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0DD05E0D-658A-4A5B-9A38-A3BFCD51A5EF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</calcChain>
</file>

<file path=xl/sharedStrings.xml><?xml version="1.0" encoding="utf-8"?>
<sst xmlns="http://schemas.openxmlformats.org/spreadsheetml/2006/main" count="21066" uniqueCount="93">
  <si>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</si>
  <si>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</si>
  <si>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</si>
  <si>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</si>
  <si>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</si>
  <si>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</si>
  <si>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</si>
  <si>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</si>
  <si>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</si>
  <si>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</si>
  <si>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</si>
  <si>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</si>
  <si>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</si>
  <si>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</si>
  <si>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</si>
  <si>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</si>
  <si>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</si>
  <si>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</si>
  <si>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</si>
  <si>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</si>
  <si>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</si>
  <si>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</si>
  <si>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</si>
  <si>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</si>
  <si>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</si>
  <si>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</si>
  <si>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</si>
  <si>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</si>
  <si>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</si>
  <si>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</si>
  <si>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</si>
  <si>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</si>
  <si>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</si>
  <si>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</si>
  <si>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</si>
  <si>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</si>
  <si>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</si>
  <si>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</si>
  <si>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</si>
  <si>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</si>
  <si>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</si>
  <si>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Building 07 (16)</t>
  </si>
  <si>
    <t>mcp_road_part_02</t>
  </si>
  <si>
    <t>Plane_01</t>
  </si>
  <si>
    <t>Kooper</t>
  </si>
  <si>
    <t>mcp_roads_turn_01 (1)</t>
  </si>
  <si>
    <t>FAR</t>
  </si>
  <si>
    <t>Floor 01</t>
  </si>
  <si>
    <t>Building 18 (9)</t>
  </si>
  <si>
    <t>Box001</t>
  </si>
  <si>
    <t>Building 24 (1)</t>
  </si>
  <si>
    <t>mcp_roads_T_cross_01</t>
  </si>
  <si>
    <t>Building 23 (4)</t>
  </si>
  <si>
    <t>Building 18 (2)</t>
  </si>
  <si>
    <t>Building 15 (35)</t>
  </si>
  <si>
    <t>mcp_road_part_01</t>
  </si>
  <si>
    <t>Building 18 (4)</t>
  </si>
  <si>
    <t>mcp_roads_cross_01</t>
  </si>
  <si>
    <t>Building 15 (31)</t>
  </si>
  <si>
    <t>Building 15 (33)</t>
  </si>
  <si>
    <t>mcp_road_part_02 (17)</t>
  </si>
  <si>
    <t>Building 01 (9)</t>
  </si>
  <si>
    <t>Building 02 (8)</t>
  </si>
  <si>
    <t>mcp_roads_turn_01</t>
  </si>
  <si>
    <t>Building 07 (15)</t>
  </si>
  <si>
    <t>Bannar 14 (1)</t>
  </si>
  <si>
    <t>Building 24</t>
  </si>
  <si>
    <t>Building 11 (3)</t>
  </si>
  <si>
    <t>mcp_roads_cross_02</t>
  </si>
  <si>
    <t>Stand 03 (4)</t>
  </si>
  <si>
    <t>Building 15 (32)</t>
  </si>
  <si>
    <t>Building 13 (1)</t>
  </si>
  <si>
    <t>mcp_road_part_02 (1)</t>
  </si>
  <si>
    <t>Building 01</t>
  </si>
  <si>
    <t>Tree 04 (5)</t>
  </si>
  <si>
    <t>mcp_road_part_02 (2)</t>
  </si>
  <si>
    <t>Tree 04 (6)</t>
  </si>
  <si>
    <t>Tree 04 (7)</t>
  </si>
  <si>
    <t>mcp_road_part_02 (3)</t>
  </si>
  <si>
    <t>Shurbs (2)</t>
  </si>
  <si>
    <t>Building 30 (4)</t>
  </si>
  <si>
    <t>Shurbs (3)</t>
  </si>
  <si>
    <t>mcp_bus_stop_night_LOD_0</t>
  </si>
  <si>
    <t>Building 07 (14)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</si>
  <si>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</si>
  <si>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</si>
  <si>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</si>
  <si>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</si>
  <si>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</si>
  <si>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</si>
  <si>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</si>
  <si>
    <t>Building 07 (18)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</si>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</sst>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51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"20190303153743768"</f>
        <v>20190303153743768</v>
      </c>
      <c r="B2" t="str">
        <f>"1551598663759425"</f>
        <v>1551598663759425</v>
      </c>
      <c r="C2" t="s">
        <v>40</v>
      </c>
      <c r="D2">
        <v>4.3001969999999998</v>
      </c>
      <c r="E2">
        <v>0.51026819999999995</v>
      </c>
      <c r="F2" t="s">
        <v>41</v>
      </c>
      <c r="G2">
        <v>-158.19499999999999</v>
      </c>
      <c r="H2">
        <v>0.93142369999999997</v>
      </c>
      <c r="I2">
        <v>360.71420000000001</v>
      </c>
      <c r="J2">
        <v>-475.67829999999998</v>
      </c>
      <c r="K2">
        <v>1.1205959999999999</v>
      </c>
      <c r="L2">
        <v>367.06439999999998</v>
      </c>
      <c r="M2">
        <v>0.99996149999999995</v>
      </c>
      <c r="N2">
        <v>-8.7864810000000005E-3</v>
      </c>
      <c r="O2">
        <v>1.170061E-4</v>
      </c>
      <c r="P2">
        <v>0.99923620000000002</v>
      </c>
      <c r="Q2">
        <v>-3.843278E-2</v>
      </c>
      <c r="R2">
        <v>7.0961899999999996E-3</v>
      </c>
      <c r="S2">
        <v>3.0027469999999998</v>
      </c>
      <c r="T2">
        <v>-1.7898079999999999E-3</v>
      </c>
      <c r="U2">
        <v>-6.0058590000000002E-2</v>
      </c>
      <c r="V2">
        <v>-6.9785480000000002E-3</v>
      </c>
      <c r="W2">
        <v>-2.9651609999999998E-2</v>
      </c>
      <c r="X2">
        <v>0.99953590000000003</v>
      </c>
      <c r="Y2">
        <v>2.0114150000000001E-2</v>
      </c>
      <c r="Z2" s="1">
        <v>-9.341269E-5</v>
      </c>
      <c r="AA2">
        <v>0.99979770000000001</v>
      </c>
      <c r="AB2">
        <v>1</v>
      </c>
      <c r="AC2">
        <v>317.48329999999999</v>
      </c>
      <c r="AD2">
        <v>-0.18917229999999999</v>
      </c>
      <c r="AE2">
        <v>-6.3501999999999699</v>
      </c>
      <c r="AF2">
        <v>6.3873466024191901</v>
      </c>
      <c r="AG2">
        <v>-0.18917229999999999</v>
      </c>
      <c r="AH2">
        <v>317.482442112993</v>
      </c>
      <c r="AI2">
        <v>90.034132848831703</v>
      </c>
      <c r="AJ2">
        <v>88.847436616317907</v>
      </c>
      <c r="AK2">
        <v>317.54674464212098</v>
      </c>
      <c r="AL2">
        <v>91.6991612161777</v>
      </c>
      <c r="AM2">
        <v>90.400020500429207</v>
      </c>
      <c r="AN2">
        <v>0.99999996674829394</v>
      </c>
    </row>
    <row r="3" spans="1:40" x14ac:dyDescent="0.25">
      <c r="A3" t="str">
        <f>"20190303153743780"</f>
        <v>20190303153743780</v>
      </c>
      <c r="B3" t="str">
        <f>"1551598663769185"</f>
        <v>1551598663769185</v>
      </c>
      <c r="C3" t="s">
        <v>40</v>
      </c>
      <c r="D3">
        <v>4.2107320000000001</v>
      </c>
      <c r="E3">
        <v>0.51021280000000002</v>
      </c>
      <c r="F3" t="s">
        <v>41</v>
      </c>
      <c r="G3">
        <v>-158.19499999999999</v>
      </c>
      <c r="H3">
        <v>1.070028</v>
      </c>
      <c r="I3">
        <v>360.75940000000003</v>
      </c>
      <c r="J3">
        <v>-475.67219999999998</v>
      </c>
      <c r="K3">
        <v>1.1205000000000001</v>
      </c>
      <c r="L3">
        <v>367.06439999999998</v>
      </c>
      <c r="M3">
        <v>0.99996649999999998</v>
      </c>
      <c r="N3">
        <v>-8.1866730000000002E-3</v>
      </c>
      <c r="O3">
        <v>1.4161639999999901E-4</v>
      </c>
      <c r="P3">
        <v>0.99927010000000005</v>
      </c>
      <c r="Q3">
        <v>-3.7582520000000001E-2</v>
      </c>
      <c r="R3">
        <v>6.8629669999999898E-3</v>
      </c>
      <c r="S3">
        <v>3.0026860000000002</v>
      </c>
      <c r="T3">
        <v>-4.7743319999999999E-4</v>
      </c>
      <c r="U3">
        <v>-5.963135E-2</v>
      </c>
      <c r="V3">
        <v>-6.7212259999999899E-3</v>
      </c>
      <c r="W3">
        <v>-2.940067E-2</v>
      </c>
      <c r="X3">
        <v>0.99954509999999996</v>
      </c>
      <c r="Y3">
        <v>1.9997000000000001E-2</v>
      </c>
      <c r="Z3" s="1">
        <v>-8.2316790000000004E-5</v>
      </c>
      <c r="AA3">
        <v>0.99980000000000002</v>
      </c>
      <c r="AB3">
        <v>1</v>
      </c>
      <c r="AC3">
        <v>317.47719999999998</v>
      </c>
      <c r="AD3">
        <v>-5.0472000000000003E-2</v>
      </c>
      <c r="AE3">
        <v>-6.30499999999995</v>
      </c>
      <c r="AF3">
        <v>6.34996126025022</v>
      </c>
      <c r="AG3">
        <v>-5.0472000000000003E-2</v>
      </c>
      <c r="AH3">
        <v>317.47629587417703</v>
      </c>
      <c r="AI3">
        <v>90.009106992630507</v>
      </c>
      <c r="AJ3">
        <v>88.854158625790902</v>
      </c>
      <c r="AK3">
        <v>317.53979750169498</v>
      </c>
      <c r="AL3">
        <v>91.684777101211495</v>
      </c>
      <c r="AM3">
        <v>90.385267337026406</v>
      </c>
      <c r="AN3">
        <v>0.99999999060470002</v>
      </c>
    </row>
    <row r="4" spans="1:40" x14ac:dyDescent="0.25">
      <c r="A4" t="str">
        <f>"20190303153743800"</f>
        <v>20190303153743800</v>
      </c>
      <c r="B4" t="str">
        <f>"1551598663788705"</f>
        <v>1551598663788705</v>
      </c>
      <c r="C4" t="s">
        <v>40</v>
      </c>
      <c r="D4">
        <v>4.2267380000000001</v>
      </c>
      <c r="E4">
        <v>0.51010469999999997</v>
      </c>
      <c r="F4" t="s">
        <v>41</v>
      </c>
      <c r="G4">
        <v>-158.19499999999999</v>
      </c>
      <c r="H4">
        <v>1.287671</v>
      </c>
      <c r="I4">
        <v>360.72070000000002</v>
      </c>
      <c r="J4">
        <v>-475.66160000000002</v>
      </c>
      <c r="K4">
        <v>1.1203650000000001</v>
      </c>
      <c r="L4">
        <v>367.06439999999998</v>
      </c>
      <c r="M4">
        <v>0.99997369999999997</v>
      </c>
      <c r="N4">
        <v>-7.2534869999999899E-3</v>
      </c>
      <c r="O4">
        <v>1.858811E-4</v>
      </c>
      <c r="P4">
        <v>0.99930830000000004</v>
      </c>
      <c r="Q4">
        <v>-3.6582820000000002E-2</v>
      </c>
      <c r="R4">
        <v>6.7024609999999998E-3</v>
      </c>
      <c r="S4">
        <v>3.0026549999999999</v>
      </c>
      <c r="T4">
        <v>1.581907E-3</v>
      </c>
      <c r="U4">
        <v>-5.9997559999999998E-2</v>
      </c>
      <c r="V4">
        <v>-6.5162919999999999E-3</v>
      </c>
      <c r="W4">
        <v>-2.9333519999999998E-2</v>
      </c>
      <c r="X4">
        <v>0.9995484</v>
      </c>
      <c r="Y4">
        <v>2.016339E-2</v>
      </c>
      <c r="Z4" s="1">
        <v>-6.6378700000000002E-5</v>
      </c>
      <c r="AA4">
        <v>0.99979669999999998</v>
      </c>
      <c r="AB4">
        <v>1</v>
      </c>
      <c r="AC4">
        <v>317.46660000000003</v>
      </c>
      <c r="AD4">
        <v>0.16730599999999901</v>
      </c>
      <c r="AE4">
        <v>-6.3436999999999504</v>
      </c>
      <c r="AF4">
        <v>6.4027107047019101</v>
      </c>
      <c r="AG4">
        <v>0.16730599999999901</v>
      </c>
      <c r="AH4">
        <v>317.46532717496802</v>
      </c>
      <c r="AI4">
        <v>89.969810946259898</v>
      </c>
      <c r="AJ4">
        <v>88.844602726109798</v>
      </c>
      <c r="AK4">
        <v>317.52993032779699</v>
      </c>
      <c r="AL4">
        <v>91.6809280797344</v>
      </c>
      <c r="AM4">
        <v>90.373519421915603</v>
      </c>
      <c r="AN4">
        <v>0.99999996069978903</v>
      </c>
    </row>
    <row r="5" spans="1:40" x14ac:dyDescent="0.25">
      <c r="A5" t="str">
        <f>"20190303153743817"</f>
        <v>20190303153743817</v>
      </c>
      <c r="B5" t="str">
        <f>"1551598663809201"</f>
        <v>1551598663809201</v>
      </c>
      <c r="C5" t="s">
        <v>40</v>
      </c>
      <c r="D5">
        <v>4.233873</v>
      </c>
      <c r="E5">
        <v>0.5100306</v>
      </c>
      <c r="F5" t="s">
        <v>41</v>
      </c>
      <c r="G5">
        <v>-158.19499999999999</v>
      </c>
      <c r="H5">
        <v>1.4884599999999999</v>
      </c>
      <c r="I5">
        <v>360.75630000000001</v>
      </c>
      <c r="J5">
        <v>-475.65120000000002</v>
      </c>
      <c r="K5">
        <v>1.120252</v>
      </c>
      <c r="L5">
        <v>367.06450000000001</v>
      </c>
      <c r="M5">
        <v>0.99997930000000002</v>
      </c>
      <c r="N5">
        <v>-6.4460109999999998E-3</v>
      </c>
      <c r="O5">
        <v>2.30616E-4</v>
      </c>
      <c r="P5">
        <v>0.99932900000000002</v>
      </c>
      <c r="Q5">
        <v>-3.6060399999999999E-2</v>
      </c>
      <c r="R5">
        <v>6.4428189999999998E-3</v>
      </c>
      <c r="S5">
        <v>3.0025629999999999</v>
      </c>
      <c r="T5">
        <v>3.482223E-3</v>
      </c>
      <c r="U5">
        <v>-5.9661869999999999E-2</v>
      </c>
      <c r="V5">
        <v>-6.2116769999999997E-3</v>
      </c>
      <c r="W5">
        <v>-2.9618120000000001E-2</v>
      </c>
      <c r="X5">
        <v>0.99954200000000004</v>
      </c>
      <c r="Y5">
        <v>2.009702E-2</v>
      </c>
      <c r="Z5" s="1">
        <v>-5.1373309999999999E-5</v>
      </c>
      <c r="AA5">
        <v>0.99979810000000002</v>
      </c>
      <c r="AB5">
        <v>1</v>
      </c>
      <c r="AC5">
        <v>317.45620000000002</v>
      </c>
      <c r="AD5">
        <v>0.36820799999999998</v>
      </c>
      <c r="AE5">
        <v>-6.3081999999999896</v>
      </c>
      <c r="AF5">
        <v>6.3814032432999896</v>
      </c>
      <c r="AG5">
        <v>0.36820799999999998</v>
      </c>
      <c r="AH5">
        <v>317.45430985357598</v>
      </c>
      <c r="AI5">
        <v>89.933557387159993</v>
      </c>
      <c r="AJ5">
        <v>88.848406759878898</v>
      </c>
      <c r="AK5">
        <v>317.518655718204</v>
      </c>
      <c r="AL5">
        <v>91.697241457327806</v>
      </c>
      <c r="AM5">
        <v>90.356061370320404</v>
      </c>
      <c r="AN5">
        <v>1.0000000138637399</v>
      </c>
    </row>
    <row r="6" spans="1:40" x14ac:dyDescent="0.25">
      <c r="A6" t="str">
        <f>"20190303153743832"</f>
        <v>20190303153743832</v>
      </c>
      <c r="B6" t="str">
        <f>"1551598663818960"</f>
        <v>1551598663818960</v>
      </c>
      <c r="C6" t="s">
        <v>40</v>
      </c>
      <c r="D6">
        <v>4.2229489999999998</v>
      </c>
      <c r="E6">
        <v>0.50998929999999998</v>
      </c>
      <c r="F6" t="s">
        <v>41</v>
      </c>
      <c r="G6">
        <v>-158.19499999999999</v>
      </c>
      <c r="H6">
        <v>1.5673820000000001</v>
      </c>
      <c r="I6">
        <v>360.75659999999999</v>
      </c>
      <c r="J6">
        <v>-475.63900000000001</v>
      </c>
      <c r="K6">
        <v>1.1201410000000001</v>
      </c>
      <c r="L6">
        <v>367.06450000000001</v>
      </c>
      <c r="M6">
        <v>0.99998430000000005</v>
      </c>
      <c r="N6">
        <v>-5.6109609999999898E-3</v>
      </c>
      <c r="O6">
        <v>2.833833E-4</v>
      </c>
      <c r="P6">
        <v>0.99935240000000003</v>
      </c>
      <c r="Q6">
        <v>-3.5407300000000003E-2</v>
      </c>
      <c r="R6">
        <v>6.4344839999999999E-3</v>
      </c>
      <c r="S6">
        <v>3.0025940000000002</v>
      </c>
      <c r="T6">
        <v>4.2299030000000001E-3</v>
      </c>
      <c r="U6">
        <v>-5.9661869999999999E-2</v>
      </c>
      <c r="V6">
        <v>-6.1501610000000003E-3</v>
      </c>
      <c r="W6">
        <v>-2.9799599999999999E-2</v>
      </c>
      <c r="X6">
        <v>0.99953700000000001</v>
      </c>
      <c r="Y6">
        <v>2.0149569999999999E-2</v>
      </c>
      <c r="Z6" s="1">
        <v>-4.0354639999999998E-5</v>
      </c>
      <c r="AA6">
        <v>0.99979700000000005</v>
      </c>
      <c r="AB6">
        <v>1</v>
      </c>
      <c r="AC6">
        <v>317.44400000000002</v>
      </c>
      <c r="AD6">
        <v>0.447241</v>
      </c>
      <c r="AE6">
        <v>-6.3079000000000098</v>
      </c>
      <c r="AF6">
        <v>6.3978467893754303</v>
      </c>
      <c r="AG6">
        <v>0.447241</v>
      </c>
      <c r="AH6">
        <v>317.441569815668</v>
      </c>
      <c r="AI6">
        <v>89.919292857779695</v>
      </c>
      <c r="AJ6">
        <v>88.845393822351895</v>
      </c>
      <c r="AK6">
        <v>317.50635066890902</v>
      </c>
      <c r="AL6">
        <v>91.707644063741995</v>
      </c>
      <c r="AM6">
        <v>90.352537046420906</v>
      </c>
      <c r="AN6">
        <v>1.00000002750474</v>
      </c>
    </row>
    <row r="7" spans="1:40" x14ac:dyDescent="0.25">
      <c r="A7" t="str">
        <f>"20190303153743847"</f>
        <v>20190303153743847</v>
      </c>
      <c r="B7" t="str">
        <f>"1551598663839457"</f>
        <v>1551598663839457</v>
      </c>
      <c r="C7" t="s">
        <v>40</v>
      </c>
      <c r="D7">
        <v>4.2191729999999996</v>
      </c>
      <c r="E7">
        <v>0.50989099999999998</v>
      </c>
      <c r="F7" t="s">
        <v>41</v>
      </c>
      <c r="G7">
        <v>-158.19499999999999</v>
      </c>
      <c r="H7">
        <v>1.7311570000000001</v>
      </c>
      <c r="I7">
        <v>360.77609999999999</v>
      </c>
      <c r="J7">
        <v>-475.62599999999998</v>
      </c>
      <c r="K7">
        <v>1.1200479999999999</v>
      </c>
      <c r="L7">
        <v>367.06459999999998</v>
      </c>
      <c r="M7">
        <v>0.99998830000000005</v>
      </c>
      <c r="N7">
        <v>-4.8416960000000004E-3</v>
      </c>
      <c r="O7">
        <v>3.4017029999999998E-4</v>
      </c>
      <c r="P7">
        <v>0.99935750000000001</v>
      </c>
      <c r="Q7">
        <v>-3.5270709999999997E-2</v>
      </c>
      <c r="R7">
        <v>6.375899E-3</v>
      </c>
      <c r="S7">
        <v>3.0025330000000001</v>
      </c>
      <c r="T7">
        <v>5.7801010000000002E-3</v>
      </c>
      <c r="U7">
        <v>-5.9478759999999999E-2</v>
      </c>
      <c r="V7">
        <v>-6.0351809999999997E-3</v>
      </c>
      <c r="W7">
        <v>-3.0431920000000001E-2</v>
      </c>
      <c r="X7">
        <v>0.99951860000000003</v>
      </c>
      <c r="Y7">
        <v>2.0145799999999998E-2</v>
      </c>
      <c r="Z7" s="1">
        <v>-2.7084109999999899E-5</v>
      </c>
      <c r="AA7">
        <v>0.99979700000000005</v>
      </c>
      <c r="AB7">
        <v>2</v>
      </c>
      <c r="AC7">
        <v>317.43099999999998</v>
      </c>
      <c r="AD7">
        <v>0.61110900000000001</v>
      </c>
      <c r="AE7">
        <v>-6.2884999999999902</v>
      </c>
      <c r="AF7">
        <v>6.3964577940031297</v>
      </c>
      <c r="AG7">
        <v>0.61110900000000001</v>
      </c>
      <c r="AH7">
        <v>317.42766643232301</v>
      </c>
      <c r="AI7">
        <v>89.889717185102199</v>
      </c>
      <c r="AJ7">
        <v>88.845593876359004</v>
      </c>
      <c r="AK7">
        <v>317.49269525957698</v>
      </c>
      <c r="AL7">
        <v>91.743889856629195</v>
      </c>
      <c r="AM7">
        <v>90.345952739304593</v>
      </c>
      <c r="AN7">
        <v>0.999999978455274</v>
      </c>
    </row>
    <row r="8" spans="1:40" x14ac:dyDescent="0.25">
      <c r="A8" t="str">
        <f>"20190303153743868"</f>
        <v>20190303153743868</v>
      </c>
      <c r="B8" t="str">
        <f>"1551598663859483"</f>
        <v>1551598663859483</v>
      </c>
      <c r="C8" t="s">
        <v>40</v>
      </c>
      <c r="D8">
        <v>4.2449629999999896</v>
      </c>
      <c r="E8">
        <v>0.50980720000000002</v>
      </c>
      <c r="F8" t="s">
        <v>41</v>
      </c>
      <c r="G8">
        <v>-158.19499999999999</v>
      </c>
      <c r="H8">
        <v>1.6901980000000001</v>
      </c>
      <c r="I8">
        <v>360.81189999999998</v>
      </c>
      <c r="J8">
        <v>-475.60660000000001</v>
      </c>
      <c r="K8">
        <v>1.1199509999999999</v>
      </c>
      <c r="L8">
        <v>367.06459999999998</v>
      </c>
      <c r="M8">
        <v>0.9999924</v>
      </c>
      <c r="N8">
        <v>-3.9072610000000004E-3</v>
      </c>
      <c r="O8">
        <v>4.2243979999999999E-4</v>
      </c>
      <c r="P8">
        <v>0.99937279999999995</v>
      </c>
      <c r="Q8">
        <v>-3.4805240000000001E-2</v>
      </c>
      <c r="R8">
        <v>6.5296169999999997E-3</v>
      </c>
      <c r="S8">
        <v>3.0025019999999998</v>
      </c>
      <c r="T8">
        <v>5.3937439999999998E-3</v>
      </c>
      <c r="U8">
        <v>-5.9143069999999999E-2</v>
      </c>
      <c r="V8">
        <v>-6.1056309999999898E-3</v>
      </c>
      <c r="W8">
        <v>-3.090041E-2</v>
      </c>
      <c r="X8">
        <v>0.99950380000000005</v>
      </c>
      <c r="Y8">
        <v>2.0116499999999999E-2</v>
      </c>
      <c r="Z8" s="1">
        <v>-1.8827870000000001E-5</v>
      </c>
      <c r="AA8">
        <v>0.99979759999999995</v>
      </c>
      <c r="AB8">
        <v>2</v>
      </c>
      <c r="AC8">
        <v>317.41160000000002</v>
      </c>
      <c r="AD8">
        <v>0.57024699999999995</v>
      </c>
      <c r="AE8">
        <v>-6.2526999999999999</v>
      </c>
      <c r="AF8">
        <v>6.38676713603813</v>
      </c>
      <c r="AG8">
        <v>0.57024699999999995</v>
      </c>
      <c r="AH8">
        <v>317.40790619841999</v>
      </c>
      <c r="AI8">
        <v>89.897084797376905</v>
      </c>
      <c r="AJ8">
        <v>88.847270594477905</v>
      </c>
      <c r="AK8">
        <v>317.47266794695298</v>
      </c>
      <c r="AL8">
        <v>91.770744984648502</v>
      </c>
      <c r="AM8">
        <v>90.349996204427001</v>
      </c>
      <c r="AN8">
        <v>0.99999998014125702</v>
      </c>
    </row>
    <row r="9" spans="1:40" x14ac:dyDescent="0.25">
      <c r="A9" t="str">
        <f>"20190303153743889"</f>
        <v>20190303153743889</v>
      </c>
      <c r="B9" t="str">
        <f>"1551598663879003"</f>
        <v>1551598663879003</v>
      </c>
      <c r="C9" t="s">
        <v>40</v>
      </c>
      <c r="D9">
        <v>4.2541079999999996</v>
      </c>
      <c r="E9">
        <v>0.50972519999999999</v>
      </c>
      <c r="F9" t="s">
        <v>41</v>
      </c>
      <c r="G9">
        <v>-158.19499999999999</v>
      </c>
      <c r="H9">
        <v>1.7661530000000001</v>
      </c>
      <c r="I9">
        <v>360.9477</v>
      </c>
      <c r="J9">
        <v>-475.584</v>
      </c>
      <c r="K9">
        <v>1.119882</v>
      </c>
      <c r="L9">
        <v>367.06479999999999</v>
      </c>
      <c r="M9">
        <v>0.99999530000000003</v>
      </c>
      <c r="N9">
        <v>-3.0412479999999999E-3</v>
      </c>
      <c r="O9">
        <v>5.18171E-4</v>
      </c>
      <c r="P9">
        <v>0.99939889999999998</v>
      </c>
      <c r="Q9">
        <v>-3.402641E-2</v>
      </c>
      <c r="R9">
        <v>6.6411639999999997E-3</v>
      </c>
      <c r="S9">
        <v>3.002472</v>
      </c>
      <c r="T9">
        <v>6.1134099999999997E-3</v>
      </c>
      <c r="U9">
        <v>-5.7861330000000002E-2</v>
      </c>
      <c r="V9">
        <v>-6.1218189999999997E-3</v>
      </c>
      <c r="W9">
        <v>-3.098714E-2</v>
      </c>
      <c r="X9">
        <v>0.99950099999999997</v>
      </c>
      <c r="Y9">
        <v>1.978574E-2</v>
      </c>
      <c r="Z9" s="1">
        <v>-7.3175800000000003E-6</v>
      </c>
      <c r="AA9">
        <v>0.99980429999999998</v>
      </c>
      <c r="AB9">
        <v>2</v>
      </c>
      <c r="AC9">
        <v>317.38900000000001</v>
      </c>
      <c r="AD9">
        <v>0.64627099999999904</v>
      </c>
      <c r="AE9">
        <v>-6.11709999999999</v>
      </c>
      <c r="AF9">
        <v>6.2815356706282204</v>
      </c>
      <c r="AG9">
        <v>0.64627099999999904</v>
      </c>
      <c r="AH9">
        <v>317.384472234876</v>
      </c>
      <c r="AI9">
        <v>89.883355038511596</v>
      </c>
      <c r="AJ9">
        <v>88.866174835501994</v>
      </c>
      <c r="AK9">
        <v>317.44728471416698</v>
      </c>
      <c r="AL9">
        <v>91.775716656708099</v>
      </c>
      <c r="AM9">
        <v>90.350925117297095</v>
      </c>
      <c r="AN9">
        <v>0.99999996425712301</v>
      </c>
    </row>
    <row r="10" spans="1:40" x14ac:dyDescent="0.25">
      <c r="A10" t="str">
        <f>"20190303153743902"</f>
        <v>20190303153743902</v>
      </c>
      <c r="B10" t="str">
        <f>"1551598663888763"</f>
        <v>1551598663888763</v>
      </c>
      <c r="C10" t="s">
        <v>40</v>
      </c>
      <c r="D10">
        <v>4.2326759999999997</v>
      </c>
      <c r="E10">
        <v>0.50967839999999998</v>
      </c>
      <c r="F10" t="s">
        <v>41</v>
      </c>
      <c r="G10">
        <v>-158.19499999999999</v>
      </c>
      <c r="H10">
        <v>1.957792</v>
      </c>
      <c r="I10">
        <v>361.06119999999999</v>
      </c>
      <c r="J10">
        <v>-475.56869999999998</v>
      </c>
      <c r="K10">
        <v>1.1198549999999901</v>
      </c>
      <c r="L10">
        <v>367.06479999999999</v>
      </c>
      <c r="M10">
        <v>0.99999649999999995</v>
      </c>
      <c r="N10">
        <v>-2.580747E-3</v>
      </c>
      <c r="O10">
        <v>5.8199260000000002E-4</v>
      </c>
      <c r="P10">
        <v>0.99940720000000005</v>
      </c>
      <c r="Q10">
        <v>-3.3758200000000002E-2</v>
      </c>
      <c r="R10">
        <v>6.7883149999999996E-3</v>
      </c>
      <c r="S10">
        <v>3.0024410000000001</v>
      </c>
      <c r="T10">
        <v>7.9272990000000005E-3</v>
      </c>
      <c r="U10">
        <v>-5.6793209999999997E-2</v>
      </c>
      <c r="V10">
        <v>-6.2051869999999896E-3</v>
      </c>
      <c r="W10">
        <v>-3.1179200000000001E-2</v>
      </c>
      <c r="X10">
        <v>0.99949460000000001</v>
      </c>
      <c r="Y10">
        <v>1.9494170000000002E-2</v>
      </c>
      <c r="Z10" s="1">
        <v>3.614005E-6</v>
      </c>
      <c r="AA10">
        <v>0.99980999999999998</v>
      </c>
      <c r="AB10">
        <v>2</v>
      </c>
      <c r="AC10">
        <v>317.37369999999999</v>
      </c>
      <c r="AD10">
        <v>0.83793699999999904</v>
      </c>
      <c r="AE10">
        <v>-6.0035999999999996</v>
      </c>
      <c r="AF10">
        <v>6.1882656217168597</v>
      </c>
      <c r="AG10">
        <v>0.83793699999999904</v>
      </c>
      <c r="AH10">
        <v>317.36794067941202</v>
      </c>
      <c r="AI10">
        <v>89.848752782469901</v>
      </c>
      <c r="AJ10">
        <v>88.882947731293399</v>
      </c>
      <c r="AK10">
        <v>317.42937252389203</v>
      </c>
      <c r="AL10">
        <v>91.786726049035707</v>
      </c>
      <c r="AM10">
        <v>90.355706232445797</v>
      </c>
      <c r="AN10">
        <v>1.0000000511437499</v>
      </c>
    </row>
    <row r="11" spans="1:40" x14ac:dyDescent="0.25">
      <c r="A11" t="str">
        <f>"20190303153743922"</f>
        <v>20190303153743922</v>
      </c>
      <c r="B11" t="str">
        <f>"1551598663919019"</f>
        <v>1551598663919019</v>
      </c>
      <c r="C11" t="s">
        <v>40</v>
      </c>
      <c r="D11">
        <v>4.2434729999999998</v>
      </c>
      <c r="E11">
        <v>0.50959989999999999</v>
      </c>
      <c r="F11" t="s">
        <v>41</v>
      </c>
      <c r="G11">
        <v>-158.19499999999999</v>
      </c>
      <c r="H11">
        <v>2.0176810000000001</v>
      </c>
      <c r="I11">
        <v>361.1551</v>
      </c>
      <c r="J11">
        <v>-475.54390000000001</v>
      </c>
      <c r="K11">
        <v>1.11982</v>
      </c>
      <c r="L11">
        <v>367.06490000000002</v>
      </c>
      <c r="M11">
        <v>0.9999979</v>
      </c>
      <c r="N11">
        <v>-1.9274979999999999E-3</v>
      </c>
      <c r="O11">
        <v>6.8416319999999996E-4</v>
      </c>
      <c r="P11">
        <v>0.99944319999999998</v>
      </c>
      <c r="Q11">
        <v>-3.265034E-2</v>
      </c>
      <c r="R11">
        <v>6.8578519999999898E-3</v>
      </c>
      <c r="S11">
        <v>3.0024410000000001</v>
      </c>
      <c r="T11">
        <v>8.4944959999999903E-3</v>
      </c>
      <c r="U11">
        <v>-5.5908199999999998E-2</v>
      </c>
      <c r="V11">
        <v>-6.1723890000000003E-3</v>
      </c>
      <c r="W11">
        <v>-3.072422E-2</v>
      </c>
      <c r="X11">
        <v>0.99950890000000003</v>
      </c>
      <c r="Y11">
        <v>1.9301700000000001E-2</v>
      </c>
      <c r="Z11" s="1">
        <v>1.195215E-5</v>
      </c>
      <c r="AA11">
        <v>0.99981370000000003</v>
      </c>
      <c r="AB11">
        <v>2</v>
      </c>
      <c r="AC11">
        <v>317.34890000000001</v>
      </c>
      <c r="AD11">
        <v>0.89786100000000002</v>
      </c>
      <c r="AE11">
        <v>-5.9098000000000104</v>
      </c>
      <c r="AF11">
        <v>6.1268684342959103</v>
      </c>
      <c r="AG11">
        <v>0.89786100000000002</v>
      </c>
      <c r="AH11">
        <v>317.342243108351</v>
      </c>
      <c r="AI11">
        <v>89.837922858984498</v>
      </c>
      <c r="AJ11">
        <v>88.893938318196604</v>
      </c>
      <c r="AK11">
        <v>317.40265268618401</v>
      </c>
      <c r="AL11">
        <v>91.760645107329907</v>
      </c>
      <c r="AM11">
        <v>90.353821105258007</v>
      </c>
      <c r="AN11">
        <v>1.0000000586298901</v>
      </c>
    </row>
    <row r="12" spans="1:40" x14ac:dyDescent="0.25">
      <c r="A12" t="str">
        <f>"20190303153743937"</f>
        <v>20190303153743937</v>
      </c>
      <c r="B12" t="str">
        <f>"1551598663928780"</f>
        <v>1551598663928780</v>
      </c>
      <c r="C12" t="s">
        <v>40</v>
      </c>
      <c r="D12">
        <v>4.2824</v>
      </c>
      <c r="E12">
        <v>0.50956789999999996</v>
      </c>
      <c r="F12" t="s">
        <v>41</v>
      </c>
      <c r="G12">
        <v>-158.19499999999999</v>
      </c>
      <c r="H12">
        <v>2.3046669999999998</v>
      </c>
      <c r="I12">
        <v>361.2362</v>
      </c>
      <c r="J12">
        <v>-475.52339999999998</v>
      </c>
      <c r="K12">
        <v>1.119801</v>
      </c>
      <c r="L12">
        <v>367.06509999999997</v>
      </c>
      <c r="M12">
        <v>0.99999870000000002</v>
      </c>
      <c r="N12">
        <v>-1.4737179999999999E-3</v>
      </c>
      <c r="O12">
        <v>7.669714E-4</v>
      </c>
      <c r="P12">
        <v>0.99945039999999996</v>
      </c>
      <c r="Q12">
        <v>-3.2369299999999997E-2</v>
      </c>
      <c r="R12">
        <v>7.1825439999999999E-3</v>
      </c>
      <c r="S12">
        <v>3.0024109999999999</v>
      </c>
      <c r="T12">
        <v>1.121056E-2</v>
      </c>
      <c r="U12">
        <v>-5.5145260000000001E-2</v>
      </c>
      <c r="V12">
        <v>-6.4139929999999998E-3</v>
      </c>
      <c r="W12">
        <v>-3.0896750000000001E-2</v>
      </c>
      <c r="X12">
        <v>0.999502</v>
      </c>
      <c r="Y12">
        <v>1.9130640000000001E-2</v>
      </c>
      <c r="Z12" s="1">
        <v>2.5608260000000001E-5</v>
      </c>
      <c r="AA12">
        <v>0.99981699999999996</v>
      </c>
      <c r="AB12">
        <v>3</v>
      </c>
      <c r="AC12">
        <v>317.32839999999999</v>
      </c>
      <c r="AD12">
        <v>1.18486599999999</v>
      </c>
      <c r="AE12">
        <v>-5.8288999999999698</v>
      </c>
      <c r="AF12">
        <v>6.0721957084821598</v>
      </c>
      <c r="AG12">
        <v>1.18486599999999</v>
      </c>
      <c r="AH12">
        <v>317.31941353291</v>
      </c>
      <c r="AI12">
        <v>89.786098560044707</v>
      </c>
      <c r="AJ12">
        <v>88.903726924440505</v>
      </c>
      <c r="AK12">
        <v>317.37971843366103</v>
      </c>
      <c r="AL12">
        <v>91.770535149869303</v>
      </c>
      <c r="AM12">
        <v>90.367672785382396</v>
      </c>
      <c r="AN12">
        <v>0.99999999823538299</v>
      </c>
    </row>
    <row r="13" spans="1:40" x14ac:dyDescent="0.25">
      <c r="A13" t="str">
        <f>"20190303153743957"</f>
        <v>20190303153743957</v>
      </c>
      <c r="B13" t="str">
        <f>"1551598663949276"</f>
        <v>1551598663949276</v>
      </c>
      <c r="C13" t="s">
        <v>40</v>
      </c>
      <c r="D13">
        <v>4.2733410000000003</v>
      </c>
      <c r="E13">
        <v>0.50952149999999996</v>
      </c>
      <c r="F13" t="s">
        <v>41</v>
      </c>
      <c r="G13">
        <v>-158.19499999999999</v>
      </c>
      <c r="H13">
        <v>2.3730609999999999</v>
      </c>
      <c r="I13">
        <v>361.34640000000002</v>
      </c>
      <c r="J13">
        <v>-475.4948</v>
      </c>
      <c r="K13">
        <v>1.119777</v>
      </c>
      <c r="L13">
        <v>367.0652</v>
      </c>
      <c r="M13">
        <v>0.99999930000000004</v>
      </c>
      <c r="N13">
        <v>-9.335061E-4</v>
      </c>
      <c r="O13">
        <v>8.8118549999999999E-4</v>
      </c>
      <c r="P13">
        <v>0.9994594</v>
      </c>
      <c r="Q13">
        <v>-3.2058499999999997E-2</v>
      </c>
      <c r="R13">
        <v>7.3186219999999899E-3</v>
      </c>
      <c r="S13">
        <v>3.0024109999999999</v>
      </c>
      <c r="T13">
        <v>1.1858580000000001E-2</v>
      </c>
      <c r="U13">
        <v>-5.4107669999999997E-2</v>
      </c>
      <c r="V13">
        <v>-6.4358699999999998E-3</v>
      </c>
      <c r="W13">
        <v>-3.1125900000000001E-2</v>
      </c>
      <c r="X13">
        <v>0.99949469999999996</v>
      </c>
      <c r="Y13">
        <v>1.8899389999999999E-2</v>
      </c>
      <c r="Z13" s="1">
        <v>3.2800720000000001E-5</v>
      </c>
      <c r="AA13">
        <v>0.99982139999999997</v>
      </c>
      <c r="AB13">
        <v>3</v>
      </c>
      <c r="AC13">
        <v>317.2998</v>
      </c>
      <c r="AD13">
        <v>1.2532839999999901</v>
      </c>
      <c r="AE13">
        <v>-5.7187999999999803</v>
      </c>
      <c r="AF13">
        <v>5.9983042991331601</v>
      </c>
      <c r="AG13">
        <v>1.2532839999999901</v>
      </c>
      <c r="AH13">
        <v>317.289688976707</v>
      </c>
      <c r="AI13">
        <v>89.7737251331381</v>
      </c>
      <c r="AJ13">
        <v>88.9169626409671</v>
      </c>
      <c r="AK13">
        <v>317.34885710552902</v>
      </c>
      <c r="AL13">
        <v>91.783670883988293</v>
      </c>
      <c r="AM13">
        <v>90.368929512319795</v>
      </c>
      <c r="AN13">
        <v>0.99999994870077702</v>
      </c>
    </row>
    <row r="14" spans="1:40" x14ac:dyDescent="0.25">
      <c r="A14" t="str">
        <f>"20190303153743971"</f>
        <v>20190303153743971</v>
      </c>
      <c r="B14" t="str">
        <f>"1551598663959544"</f>
        <v>1551598663959544</v>
      </c>
      <c r="C14" t="s">
        <v>40</v>
      </c>
      <c r="D14">
        <v>4.2595140000000002</v>
      </c>
      <c r="E14">
        <v>0.50950010000000001</v>
      </c>
      <c r="F14" t="s">
        <v>41</v>
      </c>
      <c r="G14">
        <v>-158.19499999999999</v>
      </c>
      <c r="H14">
        <v>2.4498869999999999</v>
      </c>
      <c r="I14">
        <v>361.40839999999997</v>
      </c>
      <c r="J14">
        <v>-475.47269999999997</v>
      </c>
      <c r="K14">
        <v>1.119761</v>
      </c>
      <c r="L14">
        <v>367.06529999999998</v>
      </c>
      <c r="M14">
        <v>0.99999939999999998</v>
      </c>
      <c r="N14">
        <v>-5.6805739999999999E-4</v>
      </c>
      <c r="O14">
        <v>9.6863180000000002E-4</v>
      </c>
      <c r="P14">
        <v>0.99946559999999995</v>
      </c>
      <c r="Q14">
        <v>-3.1850490000000002E-2</v>
      </c>
      <c r="R14">
        <v>7.3656729999999997E-3</v>
      </c>
      <c r="S14">
        <v>3.0024410000000001</v>
      </c>
      <c r="T14">
        <v>1.258695E-2</v>
      </c>
      <c r="U14">
        <v>-5.3527829999999998E-2</v>
      </c>
      <c r="V14">
        <v>-6.3953279999999996E-3</v>
      </c>
      <c r="W14">
        <v>-3.1283159999999997E-2</v>
      </c>
      <c r="X14">
        <v>0.99949010000000005</v>
      </c>
      <c r="Y14">
        <v>1.8793589999999999E-2</v>
      </c>
      <c r="Z14" s="1">
        <v>3.8662540000000001E-5</v>
      </c>
      <c r="AA14">
        <v>0.99982340000000003</v>
      </c>
      <c r="AB14">
        <v>3</v>
      </c>
      <c r="AC14">
        <v>317.27769999999998</v>
      </c>
      <c r="AD14">
        <v>1.3301259999999999</v>
      </c>
      <c r="AE14">
        <v>-5.6569000000000003</v>
      </c>
      <c r="AF14">
        <v>5.9641178673371904</v>
      </c>
      <c r="AG14">
        <v>1.3301259999999999</v>
      </c>
      <c r="AH14">
        <v>317.26649737384201</v>
      </c>
      <c r="AI14">
        <v>89.759833773073694</v>
      </c>
      <c r="AJ14">
        <v>88.923055093134195</v>
      </c>
      <c r="AK14">
        <v>317.32533824606202</v>
      </c>
      <c r="AL14">
        <v>91.7926855200446</v>
      </c>
      <c r="AM14">
        <v>90.366607235430394</v>
      </c>
      <c r="AN14">
        <v>0.99999999815891105</v>
      </c>
    </row>
    <row r="15" spans="1:40" x14ac:dyDescent="0.25">
      <c r="A15" t="str">
        <f>"20190303153743990"</f>
        <v>20190303153743990</v>
      </c>
      <c r="B15" t="str">
        <f>"1551598663979063"</f>
        <v>1551598663979063</v>
      </c>
      <c r="C15" t="s">
        <v>40</v>
      </c>
      <c r="D15">
        <v>4.2177550000000004</v>
      </c>
      <c r="E15">
        <v>0.50943950000000005</v>
      </c>
      <c r="F15" t="s">
        <v>41</v>
      </c>
      <c r="G15">
        <v>-158.19499999999999</v>
      </c>
      <c r="H15">
        <v>2.4968940000000002</v>
      </c>
      <c r="I15">
        <v>361.45710000000003</v>
      </c>
      <c r="J15">
        <v>-475.44060000000002</v>
      </c>
      <c r="K15">
        <v>1.1197330000000001</v>
      </c>
      <c r="L15">
        <v>367.06549999999999</v>
      </c>
      <c r="M15">
        <v>0.99999939999999998</v>
      </c>
      <c r="N15">
        <v>-1.178094E-4</v>
      </c>
      <c r="O15">
        <v>1.093208E-3</v>
      </c>
      <c r="P15">
        <v>0.99947059999999999</v>
      </c>
      <c r="Q15">
        <v>-3.173368E-2</v>
      </c>
      <c r="R15">
        <v>7.1652799999999996E-3</v>
      </c>
      <c r="S15">
        <v>3.00238</v>
      </c>
      <c r="T15">
        <v>1.303256E-2</v>
      </c>
      <c r="U15">
        <v>-5.3070069999999997E-2</v>
      </c>
      <c r="V15">
        <v>-6.0707030000000002E-3</v>
      </c>
      <c r="W15">
        <v>-3.1616350000000001E-2</v>
      </c>
      <c r="X15">
        <v>0.99948159999999997</v>
      </c>
      <c r="Y15">
        <v>1.8766089999999999E-2</v>
      </c>
      <c r="Z15" s="1">
        <v>4.449422E-5</v>
      </c>
      <c r="AA15">
        <v>0.99982389999999999</v>
      </c>
      <c r="AB15">
        <v>3</v>
      </c>
      <c r="AC15">
        <v>317.24560000000002</v>
      </c>
      <c r="AD15">
        <v>1.3771609999999901</v>
      </c>
      <c r="AE15">
        <v>-5.6083999999999596</v>
      </c>
      <c r="AF15">
        <v>5.95509989325791</v>
      </c>
      <c r="AG15">
        <v>1.3771609999999901</v>
      </c>
      <c r="AH15">
        <v>317.233303134339</v>
      </c>
      <c r="AI15">
        <v>89.751315143035001</v>
      </c>
      <c r="AJ15">
        <v>88.924570601171595</v>
      </c>
      <c r="AK15">
        <v>317.29218144272301</v>
      </c>
      <c r="AL15">
        <v>91.811785421978698</v>
      </c>
      <c r="AM15">
        <v>90.348001787508395</v>
      </c>
      <c r="AN15">
        <v>0.99999995788039697</v>
      </c>
    </row>
    <row r="16" spans="1:40" x14ac:dyDescent="0.25">
      <c r="A16" t="str">
        <f>"20190303153744012"</f>
        <v>20190303153744012</v>
      </c>
      <c r="B16" t="str">
        <f>"1551598663999559"</f>
        <v>1551598663999559</v>
      </c>
      <c r="C16" t="s">
        <v>40</v>
      </c>
      <c r="D16">
        <v>4.2389429999999999</v>
      </c>
      <c r="E16">
        <v>0.50937529999999998</v>
      </c>
      <c r="F16" t="s">
        <v>41</v>
      </c>
      <c r="G16">
        <v>-158.19499999999999</v>
      </c>
      <c r="H16">
        <v>2.4819520000000002</v>
      </c>
      <c r="I16">
        <v>361.4579</v>
      </c>
      <c r="J16">
        <v>-475.40300000000002</v>
      </c>
      <c r="K16">
        <v>1.119715</v>
      </c>
      <c r="L16">
        <v>367.06560000000002</v>
      </c>
      <c r="M16">
        <v>0.99999919999999998</v>
      </c>
      <c r="N16">
        <v>3.2205230000000002E-4</v>
      </c>
      <c r="O16">
        <v>1.236341E-3</v>
      </c>
      <c r="P16">
        <v>0.99947419999999998</v>
      </c>
      <c r="Q16">
        <v>-3.1706529999999997E-2</v>
      </c>
      <c r="R16">
        <v>6.7950469999999898E-3</v>
      </c>
      <c r="S16">
        <v>3.00238</v>
      </c>
      <c r="T16">
        <v>1.289272E-2</v>
      </c>
      <c r="U16">
        <v>-5.3070069999999997E-2</v>
      </c>
      <c r="V16">
        <v>-5.5573419999999998E-3</v>
      </c>
      <c r="W16">
        <v>-3.2028800000000003E-2</v>
      </c>
      <c r="X16">
        <v>0.99947149999999996</v>
      </c>
      <c r="Y16">
        <v>1.8909180000000001E-2</v>
      </c>
      <c r="Z16" s="1">
        <v>4.8551860000000002E-5</v>
      </c>
      <c r="AA16">
        <v>0.99982119999999997</v>
      </c>
      <c r="AB16">
        <v>4</v>
      </c>
      <c r="AC16">
        <v>317.207999999999</v>
      </c>
      <c r="AD16">
        <v>1.3622369999999999</v>
      </c>
      <c r="AE16">
        <v>-5.6077000000000199</v>
      </c>
      <c r="AF16">
        <v>5.9997623687874801</v>
      </c>
      <c r="AG16">
        <v>1.3622369999999999</v>
      </c>
      <c r="AH16">
        <v>317.194976533606</v>
      </c>
      <c r="AI16">
        <v>89.753980994962106</v>
      </c>
      <c r="AJ16">
        <v>88.916376048963699</v>
      </c>
      <c r="AK16">
        <v>317.254639014595</v>
      </c>
      <c r="AL16">
        <v>91.835428957982501</v>
      </c>
      <c r="AM16">
        <v>90.318577328669093</v>
      </c>
      <c r="AN16">
        <v>1.00000000369589</v>
      </c>
    </row>
    <row r="17" spans="1:40" x14ac:dyDescent="0.25">
      <c r="A17" t="str">
        <f>"20190303153744025"</f>
        <v>20190303153744025</v>
      </c>
      <c r="B17" t="str">
        <f>"1551598664019079"</f>
        <v>1551598664019079</v>
      </c>
      <c r="C17" t="s">
        <v>40</v>
      </c>
      <c r="D17">
        <v>4.2477359999999997</v>
      </c>
      <c r="E17">
        <v>0.50931249999999995</v>
      </c>
      <c r="F17" t="s">
        <v>41</v>
      </c>
      <c r="G17">
        <v>-158.19499999999999</v>
      </c>
      <c r="H17">
        <v>2.4315440000000001</v>
      </c>
      <c r="I17">
        <v>361.3716</v>
      </c>
      <c r="J17">
        <v>-475.37670000000003</v>
      </c>
      <c r="K17">
        <v>1.119699</v>
      </c>
      <c r="L17">
        <v>367.06580000000002</v>
      </c>
      <c r="M17">
        <v>0.99999890000000002</v>
      </c>
      <c r="N17">
        <v>5.8508799999999999E-4</v>
      </c>
      <c r="O17">
        <v>1.334202E-3</v>
      </c>
      <c r="P17">
        <v>0.99948429999999999</v>
      </c>
      <c r="Q17">
        <v>-3.1429110000000003E-2</v>
      </c>
      <c r="R17">
        <v>6.5977529999999996E-3</v>
      </c>
      <c r="S17">
        <v>3.0023499999999999</v>
      </c>
      <c r="T17">
        <v>1.24172E-2</v>
      </c>
      <c r="U17">
        <v>-5.3894039999999997E-2</v>
      </c>
      <c r="V17">
        <v>-5.2618609999999996E-3</v>
      </c>
      <c r="W17">
        <v>-3.2014250000000001E-2</v>
      </c>
      <c r="X17">
        <v>0.99947359999999996</v>
      </c>
      <c r="Y17">
        <v>1.9281510000000002E-2</v>
      </c>
      <c r="Z17" s="1">
        <v>5.0247290000000002E-5</v>
      </c>
      <c r="AA17">
        <v>0.99981410000000004</v>
      </c>
      <c r="AB17">
        <v>4</v>
      </c>
      <c r="AC17">
        <v>317.18169999999998</v>
      </c>
      <c r="AD17">
        <v>1.3118449999999899</v>
      </c>
      <c r="AE17">
        <v>-5.6942000000000199</v>
      </c>
      <c r="AF17">
        <v>6.1172748707685702</v>
      </c>
      <c r="AG17">
        <v>1.3118449999999899</v>
      </c>
      <c r="AH17">
        <v>317.16839673958998</v>
      </c>
      <c r="AI17">
        <v>89.763063476564398</v>
      </c>
      <c r="AJ17">
        <v>88.895064625184901</v>
      </c>
      <c r="AK17">
        <v>317.23009611244402</v>
      </c>
      <c r="AL17">
        <v>91.834594813262498</v>
      </c>
      <c r="AM17">
        <v>90.301638424866496</v>
      </c>
      <c r="AN17">
        <v>1.0000000382406</v>
      </c>
    </row>
    <row r="18" spans="1:40" x14ac:dyDescent="0.25">
      <c r="A18" t="str">
        <f>"20190303153744046"</f>
        <v>20190303153744046</v>
      </c>
      <c r="B18" t="str">
        <f>"1551598664039575"</f>
        <v>1551598664039575</v>
      </c>
      <c r="C18" t="s">
        <v>40</v>
      </c>
      <c r="D18">
        <v>4.2187989999999997</v>
      </c>
      <c r="E18">
        <v>0.50925589999999998</v>
      </c>
      <c r="F18" t="s">
        <v>41</v>
      </c>
      <c r="G18">
        <v>-158.19499999999999</v>
      </c>
      <c r="H18">
        <v>2.4707140000000001</v>
      </c>
      <c r="I18">
        <v>361.37209999999999</v>
      </c>
      <c r="J18">
        <v>-475.3383</v>
      </c>
      <c r="K18">
        <v>1.1196809999999999</v>
      </c>
      <c r="L18">
        <v>367.06599999999997</v>
      </c>
      <c r="M18">
        <v>0.99999850000000001</v>
      </c>
      <c r="N18">
        <v>9.2194729999999999E-4</v>
      </c>
      <c r="O18">
        <v>1.4755650000000001E-3</v>
      </c>
      <c r="P18">
        <v>0.99948380000000003</v>
      </c>
      <c r="Q18">
        <v>-3.1479010000000002E-2</v>
      </c>
      <c r="R18">
        <v>6.4243499999999997E-3</v>
      </c>
      <c r="S18">
        <v>3.002319</v>
      </c>
      <c r="T18">
        <v>1.278901E-2</v>
      </c>
      <c r="U18">
        <v>-5.3894039999999997E-2</v>
      </c>
      <c r="V18">
        <v>-4.9472530000000004E-3</v>
      </c>
      <c r="W18">
        <v>-3.2400829999999999E-2</v>
      </c>
      <c r="X18">
        <v>0.99946270000000004</v>
      </c>
      <c r="Y18">
        <v>1.9422999999999999E-2</v>
      </c>
      <c r="Z18" s="1">
        <v>5.5243610000000001E-5</v>
      </c>
      <c r="AA18">
        <v>0.99981140000000002</v>
      </c>
      <c r="AB18">
        <v>4</v>
      </c>
      <c r="AC18">
        <v>317.14330000000001</v>
      </c>
      <c r="AD18">
        <v>1.3510329999999999</v>
      </c>
      <c r="AE18">
        <v>-5.6938999999999798</v>
      </c>
      <c r="AF18">
        <v>6.1617477619913696</v>
      </c>
      <c r="AG18">
        <v>1.3510329999999999</v>
      </c>
      <c r="AH18">
        <v>317.12879972595198</v>
      </c>
      <c r="AI18">
        <v>89.7559558969633</v>
      </c>
      <c r="AJ18">
        <v>88.886894772450006</v>
      </c>
      <c r="AK18">
        <v>317.19153210839698</v>
      </c>
      <c r="AL18">
        <v>91.856755803670197</v>
      </c>
      <c r="AM18">
        <v>90.283606783991502</v>
      </c>
      <c r="AN18">
        <v>0.99999998889411201</v>
      </c>
    </row>
    <row r="19" spans="1:40" x14ac:dyDescent="0.25">
      <c r="A19" t="str">
        <f>"20190303153744061"</f>
        <v>20190303153744061</v>
      </c>
      <c r="B19" t="str">
        <f>"1551598664049335"</f>
        <v>1551598664049335</v>
      </c>
      <c r="C19" t="s">
        <v>40</v>
      </c>
      <c r="D19">
        <v>4.2393989999999997</v>
      </c>
      <c r="E19">
        <v>0.50922829999999997</v>
      </c>
      <c r="F19" t="s">
        <v>41</v>
      </c>
      <c r="G19">
        <v>-158.19499999999999</v>
      </c>
      <c r="H19">
        <v>2.3967909999999999</v>
      </c>
      <c r="I19">
        <v>361.34719999999999</v>
      </c>
      <c r="J19">
        <v>-475.30610000000001</v>
      </c>
      <c r="K19">
        <v>1.1196619999999999</v>
      </c>
      <c r="L19">
        <v>367.06610000000001</v>
      </c>
      <c r="M19">
        <v>0.99999800000000005</v>
      </c>
      <c r="N19">
        <v>1.1647269999999999E-3</v>
      </c>
      <c r="O19">
        <v>1.5914810000000001E-3</v>
      </c>
      <c r="P19">
        <v>0.99949460000000001</v>
      </c>
      <c r="Q19">
        <v>-3.1179640000000002E-2</v>
      </c>
      <c r="R19">
        <v>6.206568E-3</v>
      </c>
      <c r="S19">
        <v>3.002319</v>
      </c>
      <c r="T19">
        <v>1.209092E-2</v>
      </c>
      <c r="U19">
        <v>-5.4138180000000001E-2</v>
      </c>
      <c r="V19">
        <v>-4.6141309999999996E-3</v>
      </c>
      <c r="W19">
        <v>-3.2344089999999999E-2</v>
      </c>
      <c r="X19">
        <v>0.99946610000000002</v>
      </c>
      <c r="Y19">
        <v>1.9620180000000001E-2</v>
      </c>
      <c r="Z19" s="1">
        <v>5.5486019999999998E-5</v>
      </c>
      <c r="AA19">
        <v>0.99980749999999996</v>
      </c>
      <c r="AB19">
        <v>4</v>
      </c>
      <c r="AC19">
        <v>317.11110000000002</v>
      </c>
      <c r="AD19">
        <v>1.27712899999999</v>
      </c>
      <c r="AE19">
        <v>-5.7189000000000103</v>
      </c>
      <c r="AF19">
        <v>6.2234685074404998</v>
      </c>
      <c r="AG19">
        <v>1.27712899999999</v>
      </c>
      <c r="AH19">
        <v>317.09645529795898</v>
      </c>
      <c r="AI19">
        <v>89.769282766132903</v>
      </c>
      <c r="AJ19">
        <v>88.875633266212702</v>
      </c>
      <c r="AK19">
        <v>317.16009298345898</v>
      </c>
      <c r="AL19">
        <v>91.853503194125693</v>
      </c>
      <c r="AM19">
        <v>90.2645095759366</v>
      </c>
      <c r="AN19">
        <v>0.99999995770601002</v>
      </c>
    </row>
    <row r="20" spans="1:40" x14ac:dyDescent="0.25">
      <c r="A20" t="str">
        <f>"20190303153744079"</f>
        <v>20190303153744079</v>
      </c>
      <c r="B20" t="str">
        <f>"1551598664069365"</f>
        <v>1551598664069365</v>
      </c>
      <c r="C20" t="s">
        <v>40</v>
      </c>
      <c r="D20">
        <v>4.2476330000000004</v>
      </c>
      <c r="E20">
        <v>0.50916980000000001</v>
      </c>
      <c r="F20" t="s">
        <v>41</v>
      </c>
      <c r="G20">
        <v>-158.19499999999999</v>
      </c>
      <c r="H20">
        <v>2.4638439999999999</v>
      </c>
      <c r="I20">
        <v>361.31880000000001</v>
      </c>
      <c r="J20">
        <v>-475.26600000000002</v>
      </c>
      <c r="K20">
        <v>1.1196390000000001</v>
      </c>
      <c r="L20">
        <v>367.06639999999999</v>
      </c>
      <c r="M20">
        <v>0.99999760000000004</v>
      </c>
      <c r="N20">
        <v>1.432502E-3</v>
      </c>
      <c r="O20">
        <v>1.7333349999999999E-3</v>
      </c>
      <c r="P20">
        <v>0.99949770000000004</v>
      </c>
      <c r="Q20">
        <v>-3.11601E-2</v>
      </c>
      <c r="R20">
        <v>5.8416650000000002E-3</v>
      </c>
      <c r="S20">
        <v>3.0022579999999999</v>
      </c>
      <c r="T20">
        <v>1.2726899999999999E-2</v>
      </c>
      <c r="U20">
        <v>-5.4412839999999997E-2</v>
      </c>
      <c r="V20">
        <v>-4.1070129999999996E-3</v>
      </c>
      <c r="W20">
        <v>-3.259215E-2</v>
      </c>
      <c r="X20">
        <v>0.99946029999999997</v>
      </c>
      <c r="Y20">
        <v>1.9853780000000001E-2</v>
      </c>
      <c r="Z20" s="1">
        <v>6.1163480000000003E-5</v>
      </c>
      <c r="AA20">
        <v>0.99980290000000005</v>
      </c>
      <c r="AB20">
        <v>4</v>
      </c>
      <c r="AC20">
        <v>317.07100000000003</v>
      </c>
      <c r="AD20">
        <v>1.3442050000000001</v>
      </c>
      <c r="AE20">
        <v>-5.7475999999999701</v>
      </c>
      <c r="AF20">
        <v>6.2970689816166097</v>
      </c>
      <c r="AG20">
        <v>1.3442050000000001</v>
      </c>
      <c r="AH20">
        <v>317.05486464053303</v>
      </c>
      <c r="AI20">
        <v>89.757134695256497</v>
      </c>
      <c r="AJ20">
        <v>88.862190469043995</v>
      </c>
      <c r="AK20">
        <v>317.12024085048301</v>
      </c>
      <c r="AL20">
        <v>91.8677233975408</v>
      </c>
      <c r="AM20">
        <v>90.2354402539343</v>
      </c>
      <c r="AN20">
        <v>1.00000000353674</v>
      </c>
    </row>
    <row r="21" spans="1:40" x14ac:dyDescent="0.25">
      <c r="A21" t="str">
        <f>"20190303153744092"</f>
        <v>20190303153744092</v>
      </c>
      <c r="B21" t="str">
        <f>"1551598664088882"</f>
        <v>1551598664088882</v>
      </c>
      <c r="C21" t="s">
        <v>40</v>
      </c>
      <c r="D21">
        <v>4.2507060000000001</v>
      </c>
      <c r="E21">
        <v>0.50910909999999998</v>
      </c>
      <c r="F21" t="s">
        <v>41</v>
      </c>
      <c r="G21">
        <v>-158.19499999999999</v>
      </c>
      <c r="H21">
        <v>2.3961079999999999</v>
      </c>
      <c r="I21">
        <v>361.22300000000001</v>
      </c>
      <c r="J21">
        <v>-475.2371</v>
      </c>
      <c r="K21">
        <v>1.1196250000000001</v>
      </c>
      <c r="L21">
        <v>367.06659999999999</v>
      </c>
      <c r="M21">
        <v>0.99999709999999997</v>
      </c>
      <c r="N21">
        <v>1.6069050000000001E-3</v>
      </c>
      <c r="O21">
        <v>1.834226E-3</v>
      </c>
      <c r="P21">
        <v>0.99949589999999999</v>
      </c>
      <c r="Q21">
        <v>-3.1253339999999998E-2</v>
      </c>
      <c r="R21">
        <v>5.6242940000000002E-3</v>
      </c>
      <c r="S21">
        <v>3.0021969999999998</v>
      </c>
      <c r="T21">
        <v>1.208711E-2</v>
      </c>
      <c r="U21">
        <v>-5.5328370000000002E-2</v>
      </c>
      <c r="V21">
        <v>-3.7886249999999999E-3</v>
      </c>
      <c r="W21">
        <v>-3.2859659999999999E-2</v>
      </c>
      <c r="X21">
        <v>0.99945280000000003</v>
      </c>
      <c r="Y21">
        <v>2.0259820000000001E-2</v>
      </c>
      <c r="Z21" s="1">
        <v>6.1496510000000004E-5</v>
      </c>
      <c r="AA21">
        <v>0.99979470000000004</v>
      </c>
      <c r="AB21">
        <v>5</v>
      </c>
      <c r="AC21">
        <v>317.0421</v>
      </c>
      <c r="AD21">
        <v>1.276483</v>
      </c>
      <c r="AE21">
        <v>-5.8435999999999799</v>
      </c>
      <c r="AF21">
        <v>6.4250136237474997</v>
      </c>
      <c r="AG21">
        <v>1.276483</v>
      </c>
      <c r="AH21">
        <v>317.025710778823</v>
      </c>
      <c r="AI21">
        <v>89.769350952374694</v>
      </c>
      <c r="AJ21">
        <v>88.838971845532996</v>
      </c>
      <c r="AK21">
        <v>317.09337978540702</v>
      </c>
      <c r="AL21">
        <v>91.883058802606996</v>
      </c>
      <c r="AM21">
        <v>90.217190029318104</v>
      </c>
      <c r="AN21">
        <v>1.0000000051812701</v>
      </c>
    </row>
    <row r="22" spans="1:40" x14ac:dyDescent="0.25">
      <c r="A22" t="str">
        <f>"20190303153744112"</f>
        <v>20190303153744112</v>
      </c>
      <c r="B22" t="str">
        <f>"1551598664098643"</f>
        <v>1551598664098643</v>
      </c>
      <c r="C22" t="s">
        <v>40</v>
      </c>
      <c r="D22">
        <v>4.2738880000000004</v>
      </c>
      <c r="E22">
        <v>0.50909629999999995</v>
      </c>
      <c r="F22" t="s">
        <v>41</v>
      </c>
      <c r="G22">
        <v>-158.19499999999999</v>
      </c>
      <c r="H22">
        <v>2.313456</v>
      </c>
      <c r="I22">
        <v>361.21409999999997</v>
      </c>
      <c r="J22">
        <v>-475.19130000000001</v>
      </c>
      <c r="K22">
        <v>1.1195930000000001</v>
      </c>
      <c r="L22">
        <v>367.0668</v>
      </c>
      <c r="M22">
        <v>0.99999649999999995</v>
      </c>
      <c r="N22">
        <v>1.8494119999999999E-3</v>
      </c>
      <c r="O22">
        <v>1.9911859999999998E-3</v>
      </c>
      <c r="P22">
        <v>0.99950220000000001</v>
      </c>
      <c r="Q22">
        <v>-3.111454E-2</v>
      </c>
      <c r="R22">
        <v>5.2505329999999999E-3</v>
      </c>
      <c r="S22">
        <v>3.0021969999999998</v>
      </c>
      <c r="T22">
        <v>1.130569E-2</v>
      </c>
      <c r="U22">
        <v>-5.5419919999999998E-2</v>
      </c>
      <c r="V22">
        <v>-3.2581839999999999E-3</v>
      </c>
      <c r="W22">
        <v>-3.296321E-2</v>
      </c>
      <c r="X22">
        <v>0.99945130000000004</v>
      </c>
      <c r="Y22">
        <v>2.0447239999999998E-2</v>
      </c>
      <c r="Z22" s="1">
        <v>6.1221760000000001E-5</v>
      </c>
      <c r="AA22">
        <v>0.99979090000000004</v>
      </c>
      <c r="AB22">
        <v>5</v>
      </c>
      <c r="AC22">
        <v>316.99630000000002</v>
      </c>
      <c r="AD22">
        <v>1.1938629999999999</v>
      </c>
      <c r="AE22">
        <v>-5.85270000000002</v>
      </c>
      <c r="AF22">
        <v>6.4837960147865896</v>
      </c>
      <c r="AG22">
        <v>1.1938629999999999</v>
      </c>
      <c r="AH22">
        <v>316.97952322369503</v>
      </c>
      <c r="AI22">
        <v>89.7842488951798</v>
      </c>
      <c r="AJ22">
        <v>88.828181882230197</v>
      </c>
      <c r="AK22">
        <v>317.04807689488501</v>
      </c>
      <c r="AL22">
        <v>91.888994921059705</v>
      </c>
      <c r="AM22">
        <v>90.186782018064804</v>
      </c>
      <c r="AN22">
        <v>1.00000004502408</v>
      </c>
    </row>
    <row r="23" spans="1:40" x14ac:dyDescent="0.25">
      <c r="A23" t="str">
        <f>"20190303153744126"</f>
        <v>20190303153744126</v>
      </c>
      <c r="B23" t="str">
        <f>"1551598664119138"</f>
        <v>1551598664119138</v>
      </c>
      <c r="C23" t="s">
        <v>40</v>
      </c>
      <c r="D23">
        <v>4.2356210000000001</v>
      </c>
      <c r="E23">
        <v>0.50903770000000004</v>
      </c>
      <c r="F23" t="s">
        <v>41</v>
      </c>
      <c r="G23">
        <v>-158.19499999999999</v>
      </c>
      <c r="H23">
        <v>2.352058</v>
      </c>
      <c r="I23">
        <v>361.09269999999998</v>
      </c>
      <c r="J23">
        <v>-475.1533</v>
      </c>
      <c r="K23">
        <v>1.11957</v>
      </c>
      <c r="L23">
        <v>367.06700000000001</v>
      </c>
      <c r="M23">
        <v>0.99999579999999999</v>
      </c>
      <c r="N23">
        <v>2.0276650000000001E-3</v>
      </c>
      <c r="O23">
        <v>2.1187990000000002E-3</v>
      </c>
      <c r="P23">
        <v>0.99950410000000001</v>
      </c>
      <c r="Q23">
        <v>-3.106809E-2</v>
      </c>
      <c r="R23">
        <v>5.1499400000000004E-3</v>
      </c>
      <c r="S23">
        <v>3.0021969999999998</v>
      </c>
      <c r="T23">
        <v>1.167321E-2</v>
      </c>
      <c r="U23">
        <v>-5.6579589999999999E-2</v>
      </c>
      <c r="V23">
        <v>-3.0298909999999998E-3</v>
      </c>
      <c r="W23">
        <v>-3.3094909999999998E-2</v>
      </c>
      <c r="X23">
        <v>0.99944759999999999</v>
      </c>
      <c r="Y23">
        <v>2.0960860000000001E-2</v>
      </c>
      <c r="Z23" s="1">
        <v>6.5941119999999898E-5</v>
      </c>
      <c r="AA23">
        <v>0.99978029999999996</v>
      </c>
      <c r="AB23">
        <v>5</v>
      </c>
      <c r="AC23">
        <v>316.95830000000001</v>
      </c>
      <c r="AD23">
        <v>1.23248799999999</v>
      </c>
      <c r="AE23">
        <v>-5.9742999999999702</v>
      </c>
      <c r="AF23">
        <v>6.6457583815830503</v>
      </c>
      <c r="AG23">
        <v>1.23248799999999</v>
      </c>
      <c r="AH23">
        <v>316.940139632789</v>
      </c>
      <c r="AI23">
        <v>89.777243469517103</v>
      </c>
      <c r="AJ23">
        <v>88.798769647373604</v>
      </c>
      <c r="AK23">
        <v>317.012203616183</v>
      </c>
      <c r="AL23">
        <v>91.896545019048105</v>
      </c>
      <c r="AM23">
        <v>90.173695384200698</v>
      </c>
      <c r="AN23">
        <v>0.99999997922656902</v>
      </c>
    </row>
    <row r="24" spans="1:40" x14ac:dyDescent="0.25">
      <c r="A24" t="str">
        <f>"20190303153744145"</f>
        <v>20190303153744145</v>
      </c>
      <c r="B24" t="str">
        <f>"1551598664138659"</f>
        <v>1551598664138659</v>
      </c>
      <c r="C24" t="s">
        <v>40</v>
      </c>
      <c r="D24">
        <v>4.2210869999999998</v>
      </c>
      <c r="E24">
        <v>0.50898049999999995</v>
      </c>
      <c r="F24" t="s">
        <v>41</v>
      </c>
      <c r="G24">
        <v>-158.19499999999999</v>
      </c>
      <c r="H24">
        <v>2.3169230000000001</v>
      </c>
      <c r="I24">
        <v>361.1515</v>
      </c>
      <c r="J24">
        <v>-475.10739999999998</v>
      </c>
      <c r="K24">
        <v>1.1195440000000001</v>
      </c>
      <c r="L24">
        <v>367.06729999999999</v>
      </c>
      <c r="M24">
        <v>0.99999510000000003</v>
      </c>
      <c r="N24">
        <v>2.2170760000000001E-3</v>
      </c>
      <c r="O24">
        <v>2.2693309999999999E-3</v>
      </c>
      <c r="P24">
        <v>0.99949949999999999</v>
      </c>
      <c r="Q24">
        <v>-3.1259210000000003E-2</v>
      </c>
      <c r="R24">
        <v>4.8938540000000004E-3</v>
      </c>
      <c r="S24">
        <v>3.0021360000000001</v>
      </c>
      <c r="T24">
        <v>1.1341810000000001E-2</v>
      </c>
      <c r="U24">
        <v>-5.603027E-2</v>
      </c>
      <c r="V24">
        <v>-2.62334E-3</v>
      </c>
      <c r="W24">
        <v>-3.3475289999999998E-2</v>
      </c>
      <c r="X24">
        <v>0.99943610000000005</v>
      </c>
      <c r="Y24">
        <v>2.0928869999999999E-2</v>
      </c>
      <c r="Z24" s="1">
        <v>6.6274569999999995E-5</v>
      </c>
      <c r="AA24">
        <v>0.99978100000000003</v>
      </c>
      <c r="AB24">
        <v>5</v>
      </c>
      <c r="AC24">
        <v>316.91239999999999</v>
      </c>
      <c r="AD24">
        <v>1.197379</v>
      </c>
      <c r="AE24">
        <v>-5.9157999999999902</v>
      </c>
      <c r="AF24">
        <v>6.6348708911862602</v>
      </c>
      <c r="AG24">
        <v>1.197379</v>
      </c>
      <c r="AH24">
        <v>316.89363685643099</v>
      </c>
      <c r="AI24">
        <v>89.783557014607197</v>
      </c>
      <c r="AJ24">
        <v>88.800561066394394</v>
      </c>
      <c r="AK24">
        <v>316.96534875015499</v>
      </c>
      <c r="AL24">
        <v>91.918351236135294</v>
      </c>
      <c r="AM24">
        <v>90.150390770397195</v>
      </c>
      <c r="AN24">
        <v>0.99999999746827495</v>
      </c>
    </row>
    <row r="25" spans="1:40" x14ac:dyDescent="0.25">
      <c r="A25" t="str">
        <f>"20190303153744157"</f>
        <v>20190303153744157</v>
      </c>
      <c r="B25" t="str">
        <f>"1551598664149395"</f>
        <v>1551598664149395</v>
      </c>
      <c r="C25" t="s">
        <v>40</v>
      </c>
      <c r="D25">
        <v>4.2267869999999998</v>
      </c>
      <c r="E25">
        <v>0.50894170000000005</v>
      </c>
      <c r="F25" t="s">
        <v>41</v>
      </c>
      <c r="G25">
        <v>-158.19499999999999</v>
      </c>
      <c r="H25">
        <v>2.202283</v>
      </c>
      <c r="I25">
        <v>361.10419999999999</v>
      </c>
      <c r="J25">
        <v>-475.07389999999998</v>
      </c>
      <c r="K25">
        <v>1.1195269999999999</v>
      </c>
      <c r="L25">
        <v>367.06740000000002</v>
      </c>
      <c r="M25">
        <v>0.99999450000000001</v>
      </c>
      <c r="N25">
        <v>2.3412049999999998E-3</v>
      </c>
      <c r="O25">
        <v>2.3773069999999999E-3</v>
      </c>
      <c r="P25">
        <v>0.99949319999999997</v>
      </c>
      <c r="Q25">
        <v>-3.1426490000000001E-2</v>
      </c>
      <c r="R25">
        <v>5.0997430000000003E-3</v>
      </c>
      <c r="S25">
        <v>3.0021059999999999</v>
      </c>
      <c r="T25">
        <v>1.02576E-2</v>
      </c>
      <c r="U25">
        <v>-5.6488040000000003E-2</v>
      </c>
      <c r="V25">
        <v>-2.721486E-3</v>
      </c>
      <c r="W25">
        <v>-3.3766629999999999E-2</v>
      </c>
      <c r="X25">
        <v>0.99942609999999998</v>
      </c>
      <c r="Y25">
        <v>2.118944E-2</v>
      </c>
      <c r="Z25" s="1">
        <v>6.3560349999999897E-5</v>
      </c>
      <c r="AA25">
        <v>0.99977550000000004</v>
      </c>
      <c r="AB25">
        <v>5</v>
      </c>
      <c r="AC25">
        <v>316.87889999999999</v>
      </c>
      <c r="AD25">
        <v>1.0827560000000001</v>
      </c>
      <c r="AE25">
        <v>-5.96320000000002</v>
      </c>
      <c r="AF25">
        <v>6.7164252010639398</v>
      </c>
      <c r="AG25">
        <v>1.0827560000000001</v>
      </c>
      <c r="AH25">
        <v>316.86012998152</v>
      </c>
      <c r="AI25">
        <v>89.804256926881393</v>
      </c>
      <c r="AJ25">
        <v>88.785693868365897</v>
      </c>
      <c r="AK25">
        <v>316.93315493955902</v>
      </c>
      <c r="AL25">
        <v>91.935053108857403</v>
      </c>
      <c r="AM25">
        <v>90.156018815598003</v>
      </c>
      <c r="AN25">
        <v>1.0000000605743999</v>
      </c>
    </row>
    <row r="26" spans="1:40" x14ac:dyDescent="0.25">
      <c r="A26" t="str">
        <f>"20190303153744179"</f>
        <v>20190303153744179</v>
      </c>
      <c r="B26" t="str">
        <f>"1551598664169360"</f>
        <v>1551598664169360</v>
      </c>
      <c r="C26" t="s">
        <v>40</v>
      </c>
      <c r="D26">
        <v>4.253228</v>
      </c>
      <c r="E26">
        <v>0.50887260000000001</v>
      </c>
      <c r="F26" t="s">
        <v>41</v>
      </c>
      <c r="G26">
        <v>-158.19499999999999</v>
      </c>
      <c r="H26">
        <v>2.1275490000000001</v>
      </c>
      <c r="I26">
        <v>361.19200000000001</v>
      </c>
      <c r="J26">
        <v>-475.01549999999997</v>
      </c>
      <c r="K26">
        <v>1.119502</v>
      </c>
      <c r="L26">
        <v>367.06779999999998</v>
      </c>
      <c r="M26">
        <v>0.99999360000000004</v>
      </c>
      <c r="N26">
        <v>2.5368970000000002E-3</v>
      </c>
      <c r="O26">
        <v>2.5618939999999999E-3</v>
      </c>
      <c r="P26">
        <v>0.99950539999999999</v>
      </c>
      <c r="Q26">
        <v>-3.0941739999999999E-2</v>
      </c>
      <c r="R26">
        <v>5.6560719999999998E-3</v>
      </c>
      <c r="S26">
        <v>3.0021059999999999</v>
      </c>
      <c r="T26">
        <v>9.5508099999999999E-3</v>
      </c>
      <c r="U26">
        <v>-5.5664060000000001E-2</v>
      </c>
      <c r="V26">
        <v>-3.0932350000000002E-3</v>
      </c>
      <c r="W26">
        <v>-3.3477519999999997E-2</v>
      </c>
      <c r="X26">
        <v>0.99943470000000001</v>
      </c>
      <c r="Y26">
        <v>2.1099699999999999E-2</v>
      </c>
      <c r="Z26" s="1">
        <v>6.1977330000000002E-5</v>
      </c>
      <c r="AA26">
        <v>0.99977740000000004</v>
      </c>
      <c r="AB26">
        <v>6</v>
      </c>
      <c r="AC26">
        <v>316.82049999999998</v>
      </c>
      <c r="AD26">
        <v>1.0080469999999999</v>
      </c>
      <c r="AE26">
        <v>-5.8758000000000203</v>
      </c>
      <c r="AF26">
        <v>6.6873761095418303</v>
      </c>
      <c r="AG26">
        <v>1.0080469999999999</v>
      </c>
      <c r="AH26">
        <v>316.80120100782699</v>
      </c>
      <c r="AI26">
        <v>89.817728657705501</v>
      </c>
      <c r="AJ26">
        <v>88.790719447254702</v>
      </c>
      <c r="AK26">
        <v>316.87337868301</v>
      </c>
      <c r="AL26">
        <v>91.918479041800197</v>
      </c>
      <c r="AM26">
        <v>90.177328988733706</v>
      </c>
      <c r="AN26">
        <v>1.0000000160061</v>
      </c>
    </row>
    <row r="27" spans="1:40" x14ac:dyDescent="0.25">
      <c r="A27" t="str">
        <f>"20190303153744200"</f>
        <v>20190303153744200</v>
      </c>
      <c r="B27" t="str">
        <f>"1551598664188880"</f>
        <v>1551598664188880</v>
      </c>
      <c r="C27" t="s">
        <v>40</v>
      </c>
      <c r="D27">
        <v>4.2347999999999999</v>
      </c>
      <c r="E27">
        <v>0.50880809999999999</v>
      </c>
      <c r="F27" t="s">
        <v>41</v>
      </c>
      <c r="G27">
        <v>-158.19499999999999</v>
      </c>
      <c r="H27">
        <v>2.2392799999999999</v>
      </c>
      <c r="I27">
        <v>361.43830000000003</v>
      </c>
      <c r="J27">
        <v>-474.95609999999999</v>
      </c>
      <c r="K27">
        <v>1.1194759999999999</v>
      </c>
      <c r="L27">
        <v>367.06819999999999</v>
      </c>
      <c r="M27">
        <v>0.99999269999999996</v>
      </c>
      <c r="N27">
        <v>2.7105609999999998E-3</v>
      </c>
      <c r="O27">
        <v>2.7447029999999998E-3</v>
      </c>
      <c r="P27">
        <v>0.99952600000000003</v>
      </c>
      <c r="Q27">
        <v>-3.0097869999999999E-2</v>
      </c>
      <c r="R27">
        <v>6.4909490000000002E-3</v>
      </c>
      <c r="S27">
        <v>3.0021360000000001</v>
      </c>
      <c r="T27">
        <v>1.061165E-2</v>
      </c>
      <c r="U27">
        <v>-5.334473E-2</v>
      </c>
      <c r="V27">
        <v>-3.745263E-3</v>
      </c>
      <c r="W27">
        <v>-3.2807339999999997E-2</v>
      </c>
      <c r="X27">
        <v>0.99945470000000003</v>
      </c>
      <c r="Y27">
        <v>2.05101E-2</v>
      </c>
      <c r="Z27" s="1">
        <v>6.63068E-5</v>
      </c>
      <c r="AA27">
        <v>0.9997897</v>
      </c>
      <c r="AB27">
        <v>6</v>
      </c>
      <c r="AC27">
        <v>316.7611</v>
      </c>
      <c r="AD27">
        <v>1.119804</v>
      </c>
      <c r="AE27">
        <v>-5.6298999999999602</v>
      </c>
      <c r="AF27">
        <v>6.4992158092584704</v>
      </c>
      <c r="AG27">
        <v>1.119804</v>
      </c>
      <c r="AH27">
        <v>316.74049719934101</v>
      </c>
      <c r="AI27">
        <v>89.797480037865796</v>
      </c>
      <c r="AJ27">
        <v>88.824509680372699</v>
      </c>
      <c r="AK27">
        <v>316.80914812110399</v>
      </c>
      <c r="AL27">
        <v>91.880059436880998</v>
      </c>
      <c r="AM27">
        <v>90.214703836641405</v>
      </c>
      <c r="AN27">
        <v>1.0000000229524499</v>
      </c>
    </row>
    <row r="28" spans="1:40" x14ac:dyDescent="0.25">
      <c r="A28" t="str">
        <f>"20190303153744224"</f>
        <v>20190303153744224</v>
      </c>
      <c r="B28" t="str">
        <f>"1551598664219136"</f>
        <v>1551598664219136</v>
      </c>
      <c r="C28" t="s">
        <v>40</v>
      </c>
      <c r="D28">
        <v>4.2399610000000001</v>
      </c>
      <c r="E28">
        <v>0.50872189999999995</v>
      </c>
      <c r="F28" t="s">
        <v>41</v>
      </c>
      <c r="G28">
        <v>-158.19499999999999</v>
      </c>
      <c r="H28">
        <v>2.472102</v>
      </c>
      <c r="I28">
        <v>361.75850000000003</v>
      </c>
      <c r="J28">
        <v>-474.88959999999997</v>
      </c>
      <c r="K28">
        <v>1.119443</v>
      </c>
      <c r="L28">
        <v>367.0686</v>
      </c>
      <c r="M28">
        <v>0.99999170000000004</v>
      </c>
      <c r="N28">
        <v>2.8806069999999999E-3</v>
      </c>
      <c r="O28">
        <v>2.9437740000000001E-3</v>
      </c>
      <c r="P28">
        <v>0.99952229999999997</v>
      </c>
      <c r="Q28">
        <v>-2.9955809999999999E-2</v>
      </c>
      <c r="R28">
        <v>7.625209E-3</v>
      </c>
      <c r="S28">
        <v>3.0021360000000001</v>
      </c>
      <c r="T28">
        <v>1.282048E-2</v>
      </c>
      <c r="U28">
        <v>-5.0323489999999999E-2</v>
      </c>
      <c r="V28">
        <v>-4.6803000000000001E-3</v>
      </c>
      <c r="W28">
        <v>-3.2835309999999999E-2</v>
      </c>
      <c r="X28">
        <v>0.99944980000000005</v>
      </c>
      <c r="Y28">
        <v>1.9703200000000001E-2</v>
      </c>
      <c r="Z28" s="1">
        <v>7.4539650000000004E-5</v>
      </c>
      <c r="AA28">
        <v>0.99980590000000003</v>
      </c>
      <c r="AB28">
        <v>6</v>
      </c>
      <c r="AC28">
        <v>316.69459999999998</v>
      </c>
      <c r="AD28">
        <v>1.3526590000000001</v>
      </c>
      <c r="AE28">
        <v>-5.3100999999999701</v>
      </c>
      <c r="AF28">
        <v>6.2422441744539201</v>
      </c>
      <c r="AG28">
        <v>1.3526590000000001</v>
      </c>
      <c r="AH28">
        <v>316.671820574869</v>
      </c>
      <c r="AI28">
        <v>89.7553109467962</v>
      </c>
      <c r="AJ28">
        <v>88.8707301705346</v>
      </c>
      <c r="AK28">
        <v>316.73622660647101</v>
      </c>
      <c r="AL28">
        <v>91.881662939331605</v>
      </c>
      <c r="AM28">
        <v>90.2683070992464</v>
      </c>
      <c r="AN28">
        <v>0.99999998275546298</v>
      </c>
    </row>
    <row r="29" spans="1:40" x14ac:dyDescent="0.25">
      <c r="A29" t="str">
        <f>"20190303153744248"</f>
        <v>20190303153744248</v>
      </c>
      <c r="B29" t="str">
        <f>"1551598664238656"</f>
        <v>1551598664238656</v>
      </c>
      <c r="C29" t="s">
        <v>40</v>
      </c>
      <c r="D29">
        <v>4.2260019999999896</v>
      </c>
      <c r="E29">
        <v>0.5086775</v>
      </c>
      <c r="F29" t="s">
        <v>41</v>
      </c>
      <c r="G29">
        <v>-158.19499999999999</v>
      </c>
      <c r="H29">
        <v>2.4536370000000001</v>
      </c>
      <c r="I29">
        <v>362.21080000000001</v>
      </c>
      <c r="J29">
        <v>-474.81130000000002</v>
      </c>
      <c r="K29">
        <v>1.1194</v>
      </c>
      <c r="L29">
        <v>367.06909999999999</v>
      </c>
      <c r="M29">
        <v>0.99999039999999995</v>
      </c>
      <c r="N29">
        <v>3.0560549999999998E-3</v>
      </c>
      <c r="O29">
        <v>3.1729200000000001E-3</v>
      </c>
      <c r="P29">
        <v>0.99950170000000005</v>
      </c>
      <c r="Q29">
        <v>-3.0414819999999999E-2</v>
      </c>
      <c r="R29">
        <v>8.4602400000000008E-3</v>
      </c>
      <c r="S29">
        <v>3.0021969999999998</v>
      </c>
      <c r="T29">
        <v>1.2648700000000001E-2</v>
      </c>
      <c r="U29">
        <v>-4.605103E-2</v>
      </c>
      <c r="V29">
        <v>-5.2868680000000001E-3</v>
      </c>
      <c r="W29">
        <v>-3.346967E-2</v>
      </c>
      <c r="X29">
        <v>0.99942580000000003</v>
      </c>
      <c r="Y29">
        <v>1.8509500000000002E-2</v>
      </c>
      <c r="Z29" s="1">
        <v>7.0945330000000002E-5</v>
      </c>
      <c r="AA29">
        <v>0.99982870000000001</v>
      </c>
      <c r="AB29">
        <v>7</v>
      </c>
      <c r="AC29">
        <v>316.61630000000002</v>
      </c>
      <c r="AD29">
        <v>1.3342369999999999</v>
      </c>
      <c r="AE29">
        <v>-4.8582999999999803</v>
      </c>
      <c r="AF29">
        <v>5.8627742343813303</v>
      </c>
      <c r="AG29">
        <v>1.3342369999999999</v>
      </c>
      <c r="AH29">
        <v>316.59367034248601</v>
      </c>
      <c r="AI29">
        <v>89.758578267896695</v>
      </c>
      <c r="AJ29">
        <v>88.939101247364405</v>
      </c>
      <c r="AK29">
        <v>316.65076095127603</v>
      </c>
      <c r="AL29">
        <v>91.918028953010506</v>
      </c>
      <c r="AM29">
        <v>90.303086430015995</v>
      </c>
      <c r="AN29">
        <v>1.0000000497443899</v>
      </c>
    </row>
    <row r="30" spans="1:40" x14ac:dyDescent="0.25">
      <c r="A30" t="str">
        <f>"20190303153744269"</f>
        <v>20190303153744269</v>
      </c>
      <c r="B30" t="str">
        <f>"1551598664258683"</f>
        <v>1551598664258683</v>
      </c>
      <c r="C30" t="s">
        <v>40</v>
      </c>
      <c r="D30">
        <v>4.2249930000000004</v>
      </c>
      <c r="E30">
        <v>0.50862810000000003</v>
      </c>
      <c r="F30" t="s">
        <v>41</v>
      </c>
      <c r="G30">
        <v>-158.19499999999999</v>
      </c>
      <c r="H30">
        <v>2.2682530000000001</v>
      </c>
      <c r="I30">
        <v>362.48599999999999</v>
      </c>
      <c r="J30">
        <v>-474.7405</v>
      </c>
      <c r="K30">
        <v>1.1193599999999999</v>
      </c>
      <c r="L30">
        <v>367.06950000000001</v>
      </c>
      <c r="M30">
        <v>0.99998920000000002</v>
      </c>
      <c r="N30">
        <v>3.194222E-3</v>
      </c>
      <c r="O30">
        <v>3.3743359999999999E-3</v>
      </c>
      <c r="P30">
        <v>0.99947900000000001</v>
      </c>
      <c r="Q30">
        <v>-3.0936439999999999E-2</v>
      </c>
      <c r="R30">
        <v>9.2229449999999998E-3</v>
      </c>
      <c r="S30">
        <v>3.0021969999999998</v>
      </c>
      <c r="T30">
        <v>1.089442E-2</v>
      </c>
      <c r="U30">
        <v>-4.3457030000000001E-2</v>
      </c>
      <c r="V30">
        <v>-5.8481289999999997E-3</v>
      </c>
      <c r="W30">
        <v>-3.4129380000000001E-2</v>
      </c>
      <c r="X30">
        <v>0.99940030000000002</v>
      </c>
      <c r="Y30">
        <v>1.784726E-2</v>
      </c>
      <c r="Z30" s="1">
        <v>6.2352619999999896E-5</v>
      </c>
      <c r="AA30">
        <v>0.99984070000000003</v>
      </c>
      <c r="AB30">
        <v>7</v>
      </c>
      <c r="AC30">
        <v>316.5455</v>
      </c>
      <c r="AD30">
        <v>1.1488929999999999</v>
      </c>
      <c r="AE30">
        <v>-4.5835000000000097</v>
      </c>
      <c r="AF30">
        <v>5.6515358041499502</v>
      </c>
      <c r="AG30">
        <v>1.1488929999999999</v>
      </c>
      <c r="AH30">
        <v>316.52406279373901</v>
      </c>
      <c r="AI30">
        <v>89.792066548791894</v>
      </c>
      <c r="AJ30">
        <v>88.977092790815504</v>
      </c>
      <c r="AK30">
        <v>316.576597586628</v>
      </c>
      <c r="AL30">
        <v>91.955849281696203</v>
      </c>
      <c r="AM30">
        <v>90.335270346966098</v>
      </c>
      <c r="AN30">
        <v>0.99999998741603702</v>
      </c>
    </row>
    <row r="31" spans="1:40" x14ac:dyDescent="0.25">
      <c r="A31" t="str">
        <f>"20190303153744291"</f>
        <v>20190303153744291</v>
      </c>
      <c r="B31" t="str">
        <f>"1551598664279180"</f>
        <v>1551598664279180</v>
      </c>
      <c r="C31" t="s">
        <v>40</v>
      </c>
      <c r="D31">
        <v>4.239935</v>
      </c>
      <c r="E31">
        <v>0.50859529999999997</v>
      </c>
      <c r="F31" t="s">
        <v>41</v>
      </c>
      <c r="G31">
        <v>-158.19499999999999</v>
      </c>
      <c r="H31">
        <v>2.0741679999999998</v>
      </c>
      <c r="I31">
        <v>362.77080000000001</v>
      </c>
      <c r="J31">
        <v>-474.66840000000002</v>
      </c>
      <c r="K31">
        <v>1.119324</v>
      </c>
      <c r="L31">
        <v>367.07</v>
      </c>
      <c r="M31">
        <v>0.99998819999999999</v>
      </c>
      <c r="N31">
        <v>3.3177160000000001E-3</v>
      </c>
      <c r="O31">
        <v>3.5738599999999999E-3</v>
      </c>
      <c r="P31">
        <v>0.99943930000000003</v>
      </c>
      <c r="Q31">
        <v>-3.1941570000000002E-2</v>
      </c>
      <c r="R31">
        <v>1.0057089999999999E-2</v>
      </c>
      <c r="S31">
        <v>3.0022280000000001</v>
      </c>
      <c r="T31">
        <v>9.0565679999999992E-3</v>
      </c>
      <c r="U31">
        <v>-4.0771479999999999E-2</v>
      </c>
      <c r="V31">
        <v>-6.482163E-3</v>
      </c>
      <c r="W31">
        <v>-3.5257869999999997E-2</v>
      </c>
      <c r="X31">
        <v>0.99935719999999995</v>
      </c>
      <c r="Y31">
        <v>1.7152460000000001E-2</v>
      </c>
      <c r="Z31" s="1">
        <v>5.3248950000000001E-5</v>
      </c>
      <c r="AA31">
        <v>0.99985290000000004</v>
      </c>
      <c r="AB31">
        <v>7</v>
      </c>
      <c r="AC31">
        <v>316.47340000000003</v>
      </c>
      <c r="AD31">
        <v>0.95484400000000003</v>
      </c>
      <c r="AE31">
        <v>-4.2991999999999804</v>
      </c>
      <c r="AF31">
        <v>5.4301608700306696</v>
      </c>
      <c r="AG31">
        <v>0.95484400000000003</v>
      </c>
      <c r="AH31">
        <v>316.45313389487899</v>
      </c>
      <c r="AI31">
        <v>89.827145612135894</v>
      </c>
      <c r="AJ31">
        <v>89.016932571038794</v>
      </c>
      <c r="AK31">
        <v>316.50116007059</v>
      </c>
      <c r="AL31">
        <v>92.020545973980404</v>
      </c>
      <c r="AM31">
        <v>90.371634260064994</v>
      </c>
      <c r="AN31">
        <v>0.99999997451296696</v>
      </c>
    </row>
    <row r="32" spans="1:40" x14ac:dyDescent="0.25">
      <c r="A32" t="str">
        <f>"20190303153744313"</f>
        <v>20190303153744313</v>
      </c>
      <c r="B32" t="str">
        <f>"1551598664309436"</f>
        <v>1551598664309436</v>
      </c>
      <c r="C32" t="s">
        <v>40</v>
      </c>
      <c r="D32">
        <v>4.2151199999999998</v>
      </c>
      <c r="E32">
        <v>0.50854900000000003</v>
      </c>
      <c r="F32" t="s">
        <v>41</v>
      </c>
      <c r="G32">
        <v>-158.19499999999999</v>
      </c>
      <c r="H32">
        <v>1.7309589999999999</v>
      </c>
      <c r="I32">
        <v>363.08749999999998</v>
      </c>
      <c r="J32">
        <v>-474.58949999999999</v>
      </c>
      <c r="K32">
        <v>1.1192979999999999</v>
      </c>
      <c r="L32">
        <v>367.07049999999998</v>
      </c>
      <c r="M32">
        <v>0.99998690000000001</v>
      </c>
      <c r="N32">
        <v>3.4383119999999998E-3</v>
      </c>
      <c r="O32">
        <v>3.7873859999999998E-3</v>
      </c>
      <c r="P32">
        <v>0.99941230000000003</v>
      </c>
      <c r="Q32">
        <v>-3.2403309999999998E-2</v>
      </c>
      <c r="R32">
        <v>1.1186160000000001E-2</v>
      </c>
      <c r="S32">
        <v>3.0022890000000002</v>
      </c>
      <c r="T32">
        <v>5.8032269999999898E-3</v>
      </c>
      <c r="U32">
        <v>-3.7780759999999997E-2</v>
      </c>
      <c r="V32">
        <v>-7.3983759999999999E-3</v>
      </c>
      <c r="W32">
        <v>-3.5840160000000003E-2</v>
      </c>
      <c r="X32">
        <v>0.99933019999999995</v>
      </c>
      <c r="Y32">
        <v>1.636992E-2</v>
      </c>
      <c r="Z32" s="1">
        <v>3.8262880000000001E-5</v>
      </c>
      <c r="AA32">
        <v>0.99986600000000003</v>
      </c>
      <c r="AB32">
        <v>8</v>
      </c>
      <c r="AC32">
        <v>316.39449999999999</v>
      </c>
      <c r="AD32">
        <v>0.61166100000000001</v>
      </c>
      <c r="AE32">
        <v>-3.9830000000000001</v>
      </c>
      <c r="AF32">
        <v>5.1812672748931696</v>
      </c>
      <c r="AG32">
        <v>0.61166100000000001</v>
      </c>
      <c r="AH32">
        <v>316.37596326919697</v>
      </c>
      <c r="AI32">
        <v>89.8892430036489</v>
      </c>
      <c r="AJ32">
        <v>89.061754854911797</v>
      </c>
      <c r="AK32">
        <v>316.41897824603501</v>
      </c>
      <c r="AL32">
        <v>92.053929678735997</v>
      </c>
      <c r="AM32">
        <v>90.424172086283804</v>
      </c>
      <c r="AN32">
        <v>1.00000005083415</v>
      </c>
    </row>
    <row r="33" spans="1:40" x14ac:dyDescent="0.25">
      <c r="A33" t="str">
        <f>"20190303153744335"</f>
        <v>20190303153744335</v>
      </c>
      <c r="B33" t="str">
        <f>"1551598664328955"</f>
        <v>1551598664328955</v>
      </c>
      <c r="C33" t="s">
        <v>40</v>
      </c>
      <c r="D33">
        <v>4.1951289999999997</v>
      </c>
      <c r="E33">
        <v>0.50852580000000003</v>
      </c>
      <c r="F33" t="s">
        <v>41</v>
      </c>
      <c r="G33">
        <v>-158.19499999999999</v>
      </c>
      <c r="H33">
        <v>1.541865</v>
      </c>
      <c r="I33">
        <v>363.50060000000002</v>
      </c>
      <c r="J33">
        <v>-474.50790000000001</v>
      </c>
      <c r="K33">
        <v>1.1192690000000001</v>
      </c>
      <c r="L33">
        <v>367.0711</v>
      </c>
      <c r="M33">
        <v>0.99998569999999998</v>
      </c>
      <c r="N33">
        <v>3.549619E-3</v>
      </c>
      <c r="O33">
        <v>4.0027090000000001E-3</v>
      </c>
      <c r="P33">
        <v>0.99940850000000003</v>
      </c>
      <c r="Q33">
        <v>-3.2336829999999997E-2</v>
      </c>
      <c r="R33">
        <v>1.1714789999999999E-2</v>
      </c>
      <c r="S33">
        <v>3.0022579999999999</v>
      </c>
      <c r="T33">
        <v>4.010558E-3</v>
      </c>
      <c r="U33">
        <v>-3.3874509999999997E-2</v>
      </c>
      <c r="V33">
        <v>-7.711435E-3</v>
      </c>
      <c r="W33">
        <v>-3.588496E-2</v>
      </c>
      <c r="X33">
        <v>0.99932619999999905</v>
      </c>
      <c r="Y33">
        <v>1.528462E-2</v>
      </c>
      <c r="Z33" s="1">
        <v>2.8476129999999999E-5</v>
      </c>
      <c r="AA33">
        <v>0.99988319999999997</v>
      </c>
      <c r="AB33">
        <v>8</v>
      </c>
      <c r="AC33">
        <v>316.31290000000001</v>
      </c>
      <c r="AD33">
        <v>0.42259600000000003</v>
      </c>
      <c r="AE33">
        <v>-3.57049999999998</v>
      </c>
      <c r="AF33">
        <v>4.8365792194022799</v>
      </c>
      <c r="AG33">
        <v>0.42259600000000003</v>
      </c>
      <c r="AH33">
        <v>316.29550977576599</v>
      </c>
      <c r="AI33">
        <v>89.923457267685905</v>
      </c>
      <c r="AJ33">
        <v>89.123939568576702</v>
      </c>
      <c r="AK33">
        <v>316.33276875821201</v>
      </c>
      <c r="AL33">
        <v>92.056498234308293</v>
      </c>
      <c r="AM33">
        <v>90.442121811623906</v>
      </c>
      <c r="AN33">
        <v>1.0000000252951999</v>
      </c>
    </row>
    <row r="34" spans="1:40" x14ac:dyDescent="0.25">
      <c r="A34" t="str">
        <f>"20190303153744357"</f>
        <v>20190303153744357</v>
      </c>
      <c r="B34" t="str">
        <f>"1551598664349458"</f>
        <v>1551598664349458</v>
      </c>
      <c r="C34" t="s">
        <v>40</v>
      </c>
      <c r="D34">
        <v>4.2313879999999999</v>
      </c>
      <c r="E34">
        <v>0.50849820000000001</v>
      </c>
      <c r="F34" t="s">
        <v>41</v>
      </c>
      <c r="G34">
        <v>-158.19499999999999</v>
      </c>
      <c r="H34">
        <v>1.5465329999999999</v>
      </c>
      <c r="I34">
        <v>363.67579999999998</v>
      </c>
      <c r="J34">
        <v>-474.42320000000001</v>
      </c>
      <c r="K34">
        <v>1.119248</v>
      </c>
      <c r="L34">
        <v>367.07170000000002</v>
      </c>
      <c r="M34">
        <v>0.99998450000000005</v>
      </c>
      <c r="N34">
        <v>3.6533339999999998E-3</v>
      </c>
      <c r="O34">
        <v>4.2217349999999999E-3</v>
      </c>
      <c r="P34">
        <v>0.99940530000000005</v>
      </c>
      <c r="Q34">
        <v>-3.2299069999999999E-2</v>
      </c>
      <c r="R34">
        <v>1.2082570000000001E-2</v>
      </c>
      <c r="S34">
        <v>3.0022890000000002</v>
      </c>
      <c r="T34">
        <v>4.0562150000000002E-3</v>
      </c>
      <c r="U34">
        <v>-3.2226560000000001E-2</v>
      </c>
      <c r="V34">
        <v>-7.8596129999999997E-3</v>
      </c>
      <c r="W34">
        <v>-3.5950879999999998E-2</v>
      </c>
      <c r="X34">
        <v>0.99932270000000001</v>
      </c>
      <c r="Y34">
        <v>1.4954739999999999E-2</v>
      </c>
      <c r="Z34" s="1">
        <v>2.7700810000000002E-5</v>
      </c>
      <c r="AA34">
        <v>0.9998882</v>
      </c>
      <c r="AB34">
        <v>8</v>
      </c>
      <c r="AC34">
        <v>316.22820000000002</v>
      </c>
      <c r="AD34">
        <v>0.42728499999999903</v>
      </c>
      <c r="AE34">
        <v>-3.3959000000000401</v>
      </c>
      <c r="AF34">
        <v>4.7309015561992096</v>
      </c>
      <c r="AG34">
        <v>0.42728499999999903</v>
      </c>
      <c r="AH34">
        <v>316.210467945912</v>
      </c>
      <c r="AI34">
        <v>89.922586772968501</v>
      </c>
      <c r="AJ34">
        <v>89.142847887653105</v>
      </c>
      <c r="AK34">
        <v>316.24614470468799</v>
      </c>
      <c r="AL34">
        <v>92.060277561781703</v>
      </c>
      <c r="AM34">
        <v>90.450618572565105</v>
      </c>
      <c r="AN34">
        <v>1.00000004901228</v>
      </c>
    </row>
    <row r="35" spans="1:40" x14ac:dyDescent="0.25">
      <c r="A35" t="str">
        <f>"20190303153744379"</f>
        <v>20190303153744379</v>
      </c>
      <c r="B35" t="str">
        <f>"1551598664369481"</f>
        <v>1551598664369481</v>
      </c>
      <c r="C35" t="s">
        <v>40</v>
      </c>
      <c r="D35">
        <v>4.2119229999999996</v>
      </c>
      <c r="E35">
        <v>0.50849060000000001</v>
      </c>
      <c r="F35" t="s">
        <v>41</v>
      </c>
      <c r="G35">
        <v>-158.19499999999999</v>
      </c>
      <c r="H35">
        <v>1.5384580000000001</v>
      </c>
      <c r="I35">
        <v>363.8605</v>
      </c>
      <c r="J35">
        <v>-474.33609999999999</v>
      </c>
      <c r="K35">
        <v>1.1192219999999999</v>
      </c>
      <c r="L35">
        <v>367.07220000000001</v>
      </c>
      <c r="M35">
        <v>0.99998319999999996</v>
      </c>
      <c r="N35">
        <v>3.7504600000000002E-3</v>
      </c>
      <c r="O35">
        <v>4.4415419999999997E-3</v>
      </c>
      <c r="P35">
        <v>0.99938839999999995</v>
      </c>
      <c r="Q35">
        <v>-3.2637399999999997E-2</v>
      </c>
      <c r="R35">
        <v>1.256763E-2</v>
      </c>
      <c r="S35">
        <v>3.002319</v>
      </c>
      <c r="T35">
        <v>3.980875E-3</v>
      </c>
      <c r="U35">
        <v>-3.048706E-2</v>
      </c>
      <c r="V35">
        <v>-8.1253780000000008E-3</v>
      </c>
      <c r="W35">
        <v>-3.638628E-2</v>
      </c>
      <c r="X35">
        <v>0.99930479999999999</v>
      </c>
      <c r="Y35">
        <v>1.4595159999999999E-2</v>
      </c>
      <c r="Z35" s="1">
        <v>2.6277619999999999E-5</v>
      </c>
      <c r="AA35">
        <v>0.99989349999999999</v>
      </c>
      <c r="AB35">
        <v>8</v>
      </c>
      <c r="AC35">
        <v>316.14109999999999</v>
      </c>
      <c r="AD35">
        <v>0.419236</v>
      </c>
      <c r="AE35">
        <v>-3.2117</v>
      </c>
      <c r="AF35">
        <v>4.61582391718437</v>
      </c>
      <c r="AG35">
        <v>0.419236</v>
      </c>
      <c r="AH35">
        <v>316.12316077589901</v>
      </c>
      <c r="AI35">
        <v>89.924023664952003</v>
      </c>
      <c r="AJ35">
        <v>89.163463896667196</v>
      </c>
      <c r="AK35">
        <v>316.157135564268</v>
      </c>
      <c r="AL35">
        <v>92.085240509261396</v>
      </c>
      <c r="AM35">
        <v>90.465863475308197</v>
      </c>
      <c r="AN35">
        <v>1.00000003322146</v>
      </c>
    </row>
    <row r="36" spans="1:40" x14ac:dyDescent="0.25">
      <c r="A36" t="str">
        <f>"20190303153744401"</f>
        <v>20190303153744401</v>
      </c>
      <c r="B36" t="str">
        <f>"1551598664388999"</f>
        <v>1551598664388999</v>
      </c>
      <c r="C36" t="s">
        <v>40</v>
      </c>
      <c r="D36">
        <v>4.2172109999999998</v>
      </c>
      <c r="E36">
        <v>0.50848879999999996</v>
      </c>
      <c r="F36" t="s">
        <v>41</v>
      </c>
      <c r="G36">
        <v>-158.19499999999999</v>
      </c>
      <c r="H36">
        <v>1.4175420000000001</v>
      </c>
      <c r="I36">
        <v>364.01940000000002</v>
      </c>
      <c r="J36">
        <v>-474.24849999999998</v>
      </c>
      <c r="K36">
        <v>1.1191990000000001</v>
      </c>
      <c r="L36">
        <v>367.07279999999997</v>
      </c>
      <c r="M36">
        <v>0.99998180000000003</v>
      </c>
      <c r="N36">
        <v>3.842959E-3</v>
      </c>
      <c r="O36">
        <v>4.6581920000000002E-3</v>
      </c>
      <c r="P36">
        <v>0.99935450000000003</v>
      </c>
      <c r="Q36">
        <v>-3.3395800000000003E-2</v>
      </c>
      <c r="R36">
        <v>1.323556E-2</v>
      </c>
      <c r="S36">
        <v>3.0022579999999999</v>
      </c>
      <c r="T36">
        <v>2.833843E-3</v>
      </c>
      <c r="U36">
        <v>-2.8991699999999999E-2</v>
      </c>
      <c r="V36">
        <v>-8.5763599999999999E-3</v>
      </c>
      <c r="W36">
        <v>-3.7237100000000002E-2</v>
      </c>
      <c r="X36">
        <v>0.99926970000000004</v>
      </c>
      <c r="Y36">
        <v>1.431403E-2</v>
      </c>
      <c r="Z36" s="1">
        <v>2.0756220000000001E-5</v>
      </c>
      <c r="AA36">
        <v>0.99989749999999999</v>
      </c>
      <c r="AB36">
        <v>9</v>
      </c>
      <c r="AC36">
        <v>316.05349999999999</v>
      </c>
      <c r="AD36">
        <v>0.29834299999999903</v>
      </c>
      <c r="AE36">
        <v>-3.0533999999999502</v>
      </c>
      <c r="AF36">
        <v>4.5256115466135398</v>
      </c>
      <c r="AG36">
        <v>0.29834299999999903</v>
      </c>
      <c r="AH36">
        <v>316.035565936946</v>
      </c>
      <c r="AI36">
        <v>89.945917361369396</v>
      </c>
      <c r="AJ36">
        <v>89.179583732080303</v>
      </c>
      <c r="AK36">
        <v>316.068108333476</v>
      </c>
      <c r="AL36">
        <v>92.134021943359002</v>
      </c>
      <c r="AM36">
        <v>90.4917362816349</v>
      </c>
      <c r="AN36">
        <v>1.00000004445267</v>
      </c>
    </row>
    <row r="37" spans="1:40" x14ac:dyDescent="0.25">
      <c r="A37" t="str">
        <f>"20190303153744424"</f>
        <v>20190303153744424</v>
      </c>
      <c r="B37" t="str">
        <f>"1551598664419254"</f>
        <v>1551598664419254</v>
      </c>
      <c r="C37" t="s">
        <v>40</v>
      </c>
      <c r="D37">
        <v>4.2502060000000004</v>
      </c>
      <c r="E37">
        <v>0.50850960000000001</v>
      </c>
      <c r="F37" t="s">
        <v>41</v>
      </c>
      <c r="G37">
        <v>-158.19499999999999</v>
      </c>
      <c r="H37">
        <v>1.1620170000000001</v>
      </c>
      <c r="I37">
        <v>364.21370000000002</v>
      </c>
      <c r="J37">
        <v>-474.15410000000003</v>
      </c>
      <c r="K37">
        <v>1.119173</v>
      </c>
      <c r="L37">
        <v>367.07350000000002</v>
      </c>
      <c r="M37">
        <v>0.99998030000000004</v>
      </c>
      <c r="N37">
        <v>3.9425170000000004E-3</v>
      </c>
      <c r="O37">
        <v>4.8855529999999999E-3</v>
      </c>
      <c r="P37">
        <v>0.99931119999999996</v>
      </c>
      <c r="Q37">
        <v>-3.4353740000000001E-2</v>
      </c>
      <c r="R37">
        <v>1.404124E-2</v>
      </c>
      <c r="S37">
        <v>3.002319</v>
      </c>
      <c r="T37">
        <v>4.0757659999999998E-4</v>
      </c>
      <c r="U37">
        <v>-2.716064E-2</v>
      </c>
      <c r="V37">
        <v>-9.1549270000000002E-3</v>
      </c>
      <c r="W37">
        <v>-3.8294460000000002E-2</v>
      </c>
      <c r="X37">
        <v>0.99922449999999996</v>
      </c>
      <c r="Y37">
        <v>1.393143E-2</v>
      </c>
      <c r="Z37" s="1">
        <v>9.8109320000000004E-6</v>
      </c>
      <c r="AA37">
        <v>0.99990299999999999</v>
      </c>
      <c r="AB37">
        <v>9</v>
      </c>
      <c r="AC37">
        <v>315.95909999999998</v>
      </c>
      <c r="AD37">
        <v>4.2844E-2</v>
      </c>
      <c r="AE37">
        <v>-2.8597999999999999</v>
      </c>
      <c r="AF37">
        <v>4.40341270466108</v>
      </c>
      <c r="AG37">
        <v>4.2844E-2</v>
      </c>
      <c r="AH37">
        <v>315.94135154200001</v>
      </c>
      <c r="AI37">
        <v>89.992231020213097</v>
      </c>
      <c r="AJ37">
        <v>89.201495379777</v>
      </c>
      <c r="AK37">
        <v>315.97203910036302</v>
      </c>
      <c r="AL37">
        <v>92.194647687666105</v>
      </c>
      <c r="AM37">
        <v>90.524931086559505</v>
      </c>
      <c r="AN37">
        <v>0.99999993987765601</v>
      </c>
    </row>
    <row r="38" spans="1:40" x14ac:dyDescent="0.25">
      <c r="A38" t="str">
        <f>"20190303153744449"</f>
        <v>20190303153744449</v>
      </c>
      <c r="B38" t="str">
        <f>"1551598664438774"</f>
        <v>1551598664438774</v>
      </c>
      <c r="C38" t="s">
        <v>40</v>
      </c>
      <c r="D38">
        <v>4.2161609999999996</v>
      </c>
      <c r="E38">
        <v>0.50850770000000001</v>
      </c>
      <c r="F38" t="s">
        <v>41</v>
      </c>
      <c r="G38">
        <v>-158.19499999999999</v>
      </c>
      <c r="H38">
        <v>0.87199349999999998</v>
      </c>
      <c r="I38">
        <v>364.46890000000002</v>
      </c>
      <c r="J38">
        <v>-474.04480000000001</v>
      </c>
      <c r="K38">
        <v>1.1191519999999999</v>
      </c>
      <c r="L38">
        <v>367.07429999999999</v>
      </c>
      <c r="M38">
        <v>0.99997849999999999</v>
      </c>
      <c r="N38">
        <v>4.0621249999999998E-3</v>
      </c>
      <c r="O38">
        <v>5.1402280000000002E-3</v>
      </c>
      <c r="P38">
        <v>0.99926470000000001</v>
      </c>
      <c r="Q38">
        <v>-3.544518E-2</v>
      </c>
      <c r="R38">
        <v>1.4625249999999999E-2</v>
      </c>
      <c r="S38">
        <v>3.0023499999999999</v>
      </c>
      <c r="T38">
        <v>-2.3479460000000001E-3</v>
      </c>
      <c r="U38">
        <v>-2.4749759999999999E-2</v>
      </c>
      <c r="V38">
        <v>-9.4846700000000006E-3</v>
      </c>
      <c r="W38">
        <v>-3.9505310000000002E-2</v>
      </c>
      <c r="X38">
        <v>0.99917440000000002</v>
      </c>
      <c r="Y38">
        <v>1.338313E-2</v>
      </c>
      <c r="Z38" s="1">
        <v>-2.9501349999999998E-6</v>
      </c>
      <c r="AA38">
        <v>0.99991039999999998</v>
      </c>
      <c r="AB38">
        <v>9</v>
      </c>
      <c r="AC38">
        <v>315.84980000000002</v>
      </c>
      <c r="AD38">
        <v>-0.2471585</v>
      </c>
      <c r="AE38">
        <v>-2.6053999999999702</v>
      </c>
      <c r="AF38">
        <v>4.2289164331084903</v>
      </c>
      <c r="AG38">
        <v>-0.2471585</v>
      </c>
      <c r="AH38">
        <v>315.832041377162</v>
      </c>
      <c r="AI38">
        <v>90.044833534603796</v>
      </c>
      <c r="AJ38">
        <v>89.232868888877704</v>
      </c>
      <c r="AK38">
        <v>315.86044890424</v>
      </c>
      <c r="AL38">
        <v>92.264076579858695</v>
      </c>
      <c r="AM38">
        <v>90.543864253830606</v>
      </c>
      <c r="AN38">
        <v>1.00000005504928</v>
      </c>
    </row>
    <row r="39" spans="1:40" x14ac:dyDescent="0.25">
      <c r="A39" t="str">
        <f>"20190303153744470"</f>
        <v>20190303153744470</v>
      </c>
      <c r="B39" t="str">
        <f>"1551598664459269"</f>
        <v>1551598664459269</v>
      </c>
      <c r="C39" t="s">
        <v>40</v>
      </c>
      <c r="D39">
        <v>4.2101569999999997</v>
      </c>
      <c r="E39">
        <v>0.50849230000000001</v>
      </c>
      <c r="F39" t="s">
        <v>41</v>
      </c>
      <c r="G39">
        <v>-158.19499999999999</v>
      </c>
      <c r="H39">
        <v>0.53841919999999899</v>
      </c>
      <c r="I39">
        <v>364.64080000000001</v>
      </c>
      <c r="J39">
        <v>-473.9522</v>
      </c>
      <c r="K39">
        <v>1.1191260000000001</v>
      </c>
      <c r="L39">
        <v>367.07499999999999</v>
      </c>
      <c r="M39">
        <v>0.99997740000000002</v>
      </c>
      <c r="N39">
        <v>4.154713E-3</v>
      </c>
      <c r="O39">
        <v>5.3409579999999998E-3</v>
      </c>
      <c r="P39">
        <v>0.99923340000000005</v>
      </c>
      <c r="Q39">
        <v>-3.6275300000000003E-2</v>
      </c>
      <c r="R39">
        <v>1.474373E-2</v>
      </c>
      <c r="S39">
        <v>3.0023499999999999</v>
      </c>
      <c r="T39">
        <v>-5.5193899999999999E-3</v>
      </c>
      <c r="U39">
        <v>-2.3132320000000001E-2</v>
      </c>
      <c r="V39">
        <v>-9.4028529999999992E-3</v>
      </c>
      <c r="W39">
        <v>-4.0427780000000003E-2</v>
      </c>
      <c r="X39">
        <v>0.99913819999999998</v>
      </c>
      <c r="Y39">
        <v>1.304518E-2</v>
      </c>
      <c r="Z39" s="1">
        <v>-1.6898940000000001E-5</v>
      </c>
      <c r="AA39">
        <v>0.99991490000000005</v>
      </c>
      <c r="AB39">
        <v>9</v>
      </c>
      <c r="AC39">
        <v>315.75720000000001</v>
      </c>
      <c r="AD39">
        <v>-0.58070679999999997</v>
      </c>
      <c r="AE39">
        <v>-2.4341999999999699</v>
      </c>
      <c r="AF39">
        <v>4.1206113474062001</v>
      </c>
      <c r="AG39">
        <v>-0.58070679999999997</v>
      </c>
      <c r="AH39">
        <v>315.73862735853101</v>
      </c>
      <c r="AI39">
        <v>90.105369363407306</v>
      </c>
      <c r="AJ39">
        <v>89.252292192839505</v>
      </c>
      <c r="AK39">
        <v>315.76604862542399</v>
      </c>
      <c r="AL39">
        <v>92.316972651371103</v>
      </c>
      <c r="AM39">
        <v>90.539192564443198</v>
      </c>
      <c r="AN39">
        <v>0.99999998086975295</v>
      </c>
    </row>
    <row r="40" spans="1:40" x14ac:dyDescent="0.25">
      <c r="A40" t="str">
        <f>"20190303153744491"</f>
        <v>20190303153744491</v>
      </c>
      <c r="B40" t="str">
        <f>"1551598664478794"</f>
        <v>1551598664478794</v>
      </c>
      <c r="C40" t="s">
        <v>40</v>
      </c>
      <c r="D40">
        <v>4.2036819999999997</v>
      </c>
      <c r="E40">
        <v>0.5084786</v>
      </c>
      <c r="F40" t="s">
        <v>41</v>
      </c>
      <c r="G40">
        <v>-158.19499999999999</v>
      </c>
      <c r="H40">
        <v>0.27167920000000001</v>
      </c>
      <c r="I40">
        <v>364.68079999999998</v>
      </c>
      <c r="J40">
        <v>-473.85320000000002</v>
      </c>
      <c r="K40">
        <v>1.1191340000000001</v>
      </c>
      <c r="L40">
        <v>367.07580000000002</v>
      </c>
      <c r="M40">
        <v>0.99997639999999999</v>
      </c>
      <c r="N40">
        <v>4.1282569999999998E-3</v>
      </c>
      <c r="O40">
        <v>5.519248E-3</v>
      </c>
      <c r="P40">
        <v>0.99921819999999895</v>
      </c>
      <c r="Q40">
        <v>-3.685153E-2</v>
      </c>
      <c r="R40">
        <v>1.432546E-2</v>
      </c>
      <c r="S40">
        <v>3.00238</v>
      </c>
      <c r="T40">
        <v>-8.0571169999999904E-3</v>
      </c>
      <c r="U40">
        <v>-2.2766109999999999E-2</v>
      </c>
      <c r="V40">
        <v>-8.8061670000000002E-3</v>
      </c>
      <c r="W40">
        <v>-4.0977390000000002E-2</v>
      </c>
      <c r="X40">
        <v>0.99912120000000004</v>
      </c>
      <c r="Y40">
        <v>1.3101389999999999E-2</v>
      </c>
      <c r="Z40" s="1">
        <v>-2.8131189999999999E-5</v>
      </c>
      <c r="AA40">
        <v>0.99991419999999998</v>
      </c>
      <c r="AB40">
        <v>10</v>
      </c>
      <c r="AC40">
        <v>315.65820000000002</v>
      </c>
      <c r="AD40">
        <v>-0.84745479999999995</v>
      </c>
      <c r="AE40">
        <v>-2.3950000000000302</v>
      </c>
      <c r="AF40">
        <v>4.1371441721008502</v>
      </c>
      <c r="AG40">
        <v>-0.84745479999999995</v>
      </c>
      <c r="AH40">
        <v>315.637898463716</v>
      </c>
      <c r="AI40">
        <v>90.153819603334597</v>
      </c>
      <c r="AJ40">
        <v>89.249053018305801</v>
      </c>
      <c r="AK40">
        <v>315.66614815043101</v>
      </c>
      <c r="AL40">
        <v>92.348489214122296</v>
      </c>
      <c r="AM40">
        <v>90.504986920409607</v>
      </c>
      <c r="AN40">
        <v>0.99999993367893902</v>
      </c>
    </row>
    <row r="41" spans="1:40" x14ac:dyDescent="0.25">
      <c r="A41" t="str">
        <f>"20190303153744513"</f>
        <v>20190303153744513</v>
      </c>
      <c r="B41" t="str">
        <f>"1551598664509046"</f>
        <v>1551598664509046</v>
      </c>
      <c r="C41" t="s">
        <v>40</v>
      </c>
      <c r="D41">
        <v>4.2011310000000002</v>
      </c>
      <c r="E41">
        <v>0.50846270000000005</v>
      </c>
      <c r="F41" t="s">
        <v>41</v>
      </c>
      <c r="G41">
        <v>-158.19499999999999</v>
      </c>
      <c r="H41">
        <v>8.2028390000000007E-2</v>
      </c>
      <c r="I41">
        <v>364.56990000000002</v>
      </c>
      <c r="J41">
        <v>-473.75069999999999</v>
      </c>
      <c r="K41">
        <v>1.119281</v>
      </c>
      <c r="L41">
        <v>367.07659999999998</v>
      </c>
      <c r="M41">
        <v>0.99997780000000003</v>
      </c>
      <c r="N41">
        <v>3.5754279999999999E-3</v>
      </c>
      <c r="O41">
        <v>5.6246389999999999E-3</v>
      </c>
      <c r="P41">
        <v>0.99918379999999996</v>
      </c>
      <c r="Q41">
        <v>-3.8139310000000003E-2</v>
      </c>
      <c r="R41">
        <v>1.332004E-2</v>
      </c>
      <c r="S41">
        <v>3.002319</v>
      </c>
      <c r="T41">
        <v>-9.8633769999999996E-3</v>
      </c>
      <c r="U41">
        <v>-2.3834230000000001E-2</v>
      </c>
      <c r="V41">
        <v>-7.69682599999999E-3</v>
      </c>
      <c r="W41">
        <v>-4.1712369999999999E-2</v>
      </c>
      <c r="X41">
        <v>0.99909999999999999</v>
      </c>
      <c r="Y41">
        <v>1.3562599999999999E-2</v>
      </c>
      <c r="Z41" s="1">
        <v>-3.6619499999999997E-5</v>
      </c>
      <c r="AA41">
        <v>0.99990800000000002</v>
      </c>
      <c r="AB41">
        <v>10</v>
      </c>
      <c r="AC41">
        <v>315.5557</v>
      </c>
      <c r="AD41">
        <v>-1.0372526099999999</v>
      </c>
      <c r="AE41">
        <v>-2.50669999999996</v>
      </c>
      <c r="AF41">
        <v>4.2815123128888599</v>
      </c>
      <c r="AG41">
        <v>-1.0372526099999999</v>
      </c>
      <c r="AH41">
        <v>315.53319991502002</v>
      </c>
      <c r="AI41">
        <v>90.188330459088903</v>
      </c>
      <c r="AJ41">
        <v>89.222593592606799</v>
      </c>
      <c r="AK41">
        <v>315.56395150472201</v>
      </c>
      <c r="AL41">
        <v>92.390636382302802</v>
      </c>
      <c r="AM41">
        <v>90.441384167451403</v>
      </c>
      <c r="AN41">
        <v>0.99999998647074495</v>
      </c>
    </row>
    <row r="42" spans="1:40" x14ac:dyDescent="0.25">
      <c r="A42" t="str">
        <f>"20190303153744537"</f>
        <v>20190303153744537</v>
      </c>
      <c r="B42" t="str">
        <f>"1551598664528566"</f>
        <v>1551598664528566</v>
      </c>
      <c r="C42" t="s">
        <v>40</v>
      </c>
      <c r="D42">
        <v>4.1880300000000004</v>
      </c>
      <c r="E42">
        <v>0.50844739999999999</v>
      </c>
      <c r="F42" t="s">
        <v>42</v>
      </c>
      <c r="G42">
        <v>-223.50280000000001</v>
      </c>
      <c r="H42" s="1">
        <v>-3.6135510000000001E-6</v>
      </c>
      <c r="I42">
        <v>364.85849999999999</v>
      </c>
      <c r="J42">
        <v>-473.64190000000002</v>
      </c>
      <c r="K42">
        <v>1.1196440000000001</v>
      </c>
      <c r="L42">
        <v>367.07749999999999</v>
      </c>
      <c r="M42">
        <v>0.99998169999999997</v>
      </c>
      <c r="N42">
        <v>2.0700060000000001E-3</v>
      </c>
      <c r="O42">
        <v>5.6944140000000001E-3</v>
      </c>
      <c r="P42">
        <v>0.99916320000000003</v>
      </c>
      <c r="Q42">
        <v>-3.9023950000000002E-2</v>
      </c>
      <c r="R42">
        <v>1.2247340000000001E-2</v>
      </c>
      <c r="S42">
        <v>3.0022579999999999</v>
      </c>
      <c r="T42">
        <v>-1.3428209999999999E-2</v>
      </c>
      <c r="U42">
        <v>-2.6611329999999999E-2</v>
      </c>
      <c r="V42">
        <v>-6.5559919999999897E-3</v>
      </c>
      <c r="W42">
        <v>-4.1092450000000003E-2</v>
      </c>
      <c r="X42">
        <v>0.99913379999999996</v>
      </c>
      <c r="Y42">
        <v>1.4557280000000001E-2</v>
      </c>
      <c r="Z42" s="1">
        <v>-5.4743210000000002E-5</v>
      </c>
      <c r="AA42">
        <v>0.99989399999999995</v>
      </c>
      <c r="AB42">
        <v>10</v>
      </c>
      <c r="AC42">
        <v>250.13910000000001</v>
      </c>
      <c r="AD42">
        <v>-1.1196476135510001</v>
      </c>
      <c r="AE42">
        <v>-2.2189999999999901</v>
      </c>
      <c r="AF42">
        <v>3.64328959846558</v>
      </c>
      <c r="AG42">
        <v>-1.1196476135510001</v>
      </c>
      <c r="AH42">
        <v>250.117397644579</v>
      </c>
      <c r="AI42">
        <v>90.256454970377106</v>
      </c>
      <c r="AJ42">
        <v>89.165470464270896</v>
      </c>
      <c r="AK42">
        <v>250.14643666135501</v>
      </c>
      <c r="AL42">
        <v>92.355087161430305</v>
      </c>
      <c r="AM42">
        <v>90.375950929956403</v>
      </c>
      <c r="AN42">
        <v>0.99999996039027195</v>
      </c>
    </row>
    <row r="43" spans="1:40" x14ac:dyDescent="0.25">
      <c r="A43" t="str">
        <f>"20190303153744558"</f>
        <v>20190303153744558</v>
      </c>
      <c r="B43" t="str">
        <f>"1551598664549062"</f>
        <v>1551598664549062</v>
      </c>
      <c r="C43" t="s">
        <v>40</v>
      </c>
      <c r="D43">
        <v>4.2098839999999997</v>
      </c>
      <c r="E43">
        <v>0.50843660000000002</v>
      </c>
      <c r="F43" t="s">
        <v>42</v>
      </c>
      <c r="G43">
        <v>-262.02249999999998</v>
      </c>
      <c r="H43" s="1">
        <v>-4.2255179999999997E-6</v>
      </c>
      <c r="I43">
        <v>364.98869999999999</v>
      </c>
      <c r="J43">
        <v>-473.5428</v>
      </c>
      <c r="K43">
        <v>1.1200410000000001</v>
      </c>
      <c r="L43">
        <v>367.07819999999998</v>
      </c>
      <c r="M43">
        <v>0.99998339999999997</v>
      </c>
      <c r="N43">
        <v>2.4033E-4</v>
      </c>
      <c r="O43">
        <v>5.7799089999999997E-3</v>
      </c>
      <c r="P43">
        <v>0.99914480000000006</v>
      </c>
      <c r="Q43">
        <v>-3.9599830000000003E-2</v>
      </c>
      <c r="R43">
        <v>1.190283E-2</v>
      </c>
      <c r="S43">
        <v>3.0022579999999999</v>
      </c>
      <c r="T43">
        <v>-1.5884519999999999E-2</v>
      </c>
      <c r="U43">
        <v>-2.963257E-2</v>
      </c>
      <c r="V43">
        <v>-6.1284750000000004E-3</v>
      </c>
      <c r="W43">
        <v>-3.9839869999999999E-2</v>
      </c>
      <c r="X43">
        <v>0.9991873</v>
      </c>
      <c r="Y43">
        <v>1.5648780000000001E-2</v>
      </c>
      <c r="Z43" s="1">
        <v>-7.1484769999999995E-5</v>
      </c>
      <c r="AA43">
        <v>0.99987760000000003</v>
      </c>
      <c r="AB43">
        <v>10</v>
      </c>
      <c r="AC43">
        <v>211.52029999999999</v>
      </c>
      <c r="AD43">
        <v>-1.120045225518</v>
      </c>
      <c r="AE43">
        <v>-2.0894999999999802</v>
      </c>
      <c r="AF43">
        <v>3.3119402007344401</v>
      </c>
      <c r="AG43">
        <v>-1.120045225518</v>
      </c>
      <c r="AH43">
        <v>211.498759990086</v>
      </c>
      <c r="AI43">
        <v>90.303384274258406</v>
      </c>
      <c r="AJ43">
        <v>89.102856740018197</v>
      </c>
      <c r="AK43">
        <v>211.52765522868199</v>
      </c>
      <c r="AL43">
        <v>92.283260644804002</v>
      </c>
      <c r="AM43">
        <v>90.351416945839006</v>
      </c>
      <c r="AN43">
        <v>1.0000000169643599</v>
      </c>
    </row>
    <row r="44" spans="1:40" x14ac:dyDescent="0.25">
      <c r="A44" t="str">
        <f>"20190303153744580"</f>
        <v>20190303153744580</v>
      </c>
      <c r="B44" t="str">
        <f>"1551598664568586"</f>
        <v>1551598664568586</v>
      </c>
      <c r="C44" t="s">
        <v>40</v>
      </c>
      <c r="D44">
        <v>4.2186219999999999</v>
      </c>
      <c r="E44">
        <v>0.50841259999999999</v>
      </c>
      <c r="F44" t="s">
        <v>42</v>
      </c>
      <c r="G44">
        <v>-279.8252</v>
      </c>
      <c r="H44" s="1">
        <v>-1.248476E-6</v>
      </c>
      <c r="I44">
        <v>365.09530000000001</v>
      </c>
      <c r="J44">
        <v>-473.44709999999998</v>
      </c>
      <c r="K44">
        <v>1.120368</v>
      </c>
      <c r="L44">
        <v>367.07889999999998</v>
      </c>
      <c r="M44">
        <v>0.99998160000000003</v>
      </c>
      <c r="N44">
        <v>-1.5028000000000001E-3</v>
      </c>
      <c r="O44">
        <v>5.9032370000000004E-3</v>
      </c>
      <c r="P44">
        <v>0.99911989999999995</v>
      </c>
      <c r="Q44">
        <v>-4.0274030000000002E-2</v>
      </c>
      <c r="R44">
        <v>1.173717E-2</v>
      </c>
      <c r="S44">
        <v>3.0022579999999999</v>
      </c>
      <c r="T44">
        <v>-1.7358539999999999E-2</v>
      </c>
      <c r="U44">
        <v>-3.07312E-2</v>
      </c>
      <c r="V44">
        <v>-5.8409430000000003E-3</v>
      </c>
      <c r="W44">
        <v>-3.8772149999999998E-2</v>
      </c>
      <c r="X44">
        <v>0.99923099999999998</v>
      </c>
      <c r="Y44">
        <v>1.613786E-2</v>
      </c>
      <c r="Z44" s="1">
        <v>-8.4037350000000006E-5</v>
      </c>
      <c r="AA44">
        <v>0.99986980000000003</v>
      </c>
      <c r="AB44">
        <v>10</v>
      </c>
      <c r="AC44">
        <v>193.62190000000001</v>
      </c>
      <c r="AD44">
        <v>-1.1203692484759999</v>
      </c>
      <c r="AE44">
        <v>-1.9835999999999601</v>
      </c>
      <c r="AF44">
        <v>3.1264578469624902</v>
      </c>
      <c r="AG44">
        <v>-1.1203692484759999</v>
      </c>
      <c r="AH44">
        <v>193.60033512744599</v>
      </c>
      <c r="AI44">
        <v>90.331524965177806</v>
      </c>
      <c r="AJ44">
        <v>89.074809092221201</v>
      </c>
      <c r="AK44">
        <v>193.62881946492701</v>
      </c>
      <c r="AL44">
        <v>92.222037532700497</v>
      </c>
      <c r="AM44">
        <v>90.334915120384196</v>
      </c>
      <c r="AN44">
        <v>0.99999999379587501</v>
      </c>
    </row>
    <row r="45" spans="1:40" x14ac:dyDescent="0.25">
      <c r="A45" t="str">
        <f>"20190303153744602"</f>
        <v>20190303153744602</v>
      </c>
      <c r="B45" t="str">
        <f>"1551598664598838"</f>
        <v>1551598664598838</v>
      </c>
      <c r="C45" t="s">
        <v>40</v>
      </c>
      <c r="D45">
        <v>4.2110810000000001</v>
      </c>
      <c r="E45">
        <v>0.50838000000000005</v>
      </c>
      <c r="F45" t="s">
        <v>43</v>
      </c>
      <c r="G45">
        <v>-291.43729999999999</v>
      </c>
      <c r="H45">
        <v>-0.05</v>
      </c>
      <c r="I45">
        <v>365.19540000000001</v>
      </c>
      <c r="J45">
        <v>-473.34629999999999</v>
      </c>
      <c r="K45">
        <v>1.120587</v>
      </c>
      <c r="L45">
        <v>367.07960000000003</v>
      </c>
      <c r="M45">
        <v>0.999977</v>
      </c>
      <c r="N45">
        <v>-3.0319380000000001E-3</v>
      </c>
      <c r="O45">
        <v>6.0685189999999996E-3</v>
      </c>
      <c r="P45">
        <v>0.99907049999999997</v>
      </c>
      <c r="Q45">
        <v>-4.1270800000000003E-2</v>
      </c>
      <c r="R45">
        <v>1.2452029999999999E-2</v>
      </c>
      <c r="S45">
        <v>3.0021969999999998</v>
      </c>
      <c r="T45">
        <v>-1.9304869999999998E-2</v>
      </c>
      <c r="U45">
        <v>-3.106689E-2</v>
      </c>
      <c r="V45">
        <v>-6.3913959999999997E-3</v>
      </c>
      <c r="W45">
        <v>-3.8240980000000001E-2</v>
      </c>
      <c r="X45">
        <v>0.99924809999999997</v>
      </c>
      <c r="Y45">
        <v>1.6414999999999999E-2</v>
      </c>
      <c r="Z45" s="1">
        <v>-9.8282020000000007E-5</v>
      </c>
      <c r="AA45">
        <v>0.99986520000000001</v>
      </c>
      <c r="AB45">
        <v>10</v>
      </c>
      <c r="AC45">
        <v>181.90899999999999</v>
      </c>
      <c r="AD45">
        <v>-1.170587</v>
      </c>
      <c r="AE45">
        <v>-1.8842000000000201</v>
      </c>
      <c r="AF45">
        <v>2.9879648738125901</v>
      </c>
      <c r="AG45">
        <v>-1.170587</v>
      </c>
      <c r="AH45">
        <v>181.886684996188</v>
      </c>
      <c r="AI45">
        <v>90.368689554973798</v>
      </c>
      <c r="AJ45">
        <v>89.058851510150802</v>
      </c>
      <c r="AK45">
        <v>181.91499219941801</v>
      </c>
      <c r="AL45">
        <v>92.1915811446015</v>
      </c>
      <c r="AM45">
        <v>90.366470571418404</v>
      </c>
      <c r="AN45">
        <v>0.99999999392389904</v>
      </c>
    </row>
    <row r="46" spans="1:40" x14ac:dyDescent="0.25">
      <c r="A46" t="str">
        <f>"20190303153744626"</f>
        <v>20190303153744626</v>
      </c>
      <c r="B46" t="str">
        <f>"1551598664619334"</f>
        <v>1551598664619334</v>
      </c>
      <c r="C46" t="s">
        <v>40</v>
      </c>
      <c r="D46">
        <v>4.2116110000000004</v>
      </c>
      <c r="E46">
        <v>0.50835609999999998</v>
      </c>
      <c r="F46" t="s">
        <v>42</v>
      </c>
      <c r="G46">
        <v>-320.75850000000003</v>
      </c>
      <c r="H46" s="1">
        <v>-4.6543950000000004E-6</v>
      </c>
      <c r="I46">
        <v>365.62779999999998</v>
      </c>
      <c r="J46">
        <v>-473.24290000000002</v>
      </c>
      <c r="K46">
        <v>1.1207149999999999</v>
      </c>
      <c r="L46">
        <v>367.0804</v>
      </c>
      <c r="M46">
        <v>0.99997139999999995</v>
      </c>
      <c r="N46">
        <v>-4.289185E-3</v>
      </c>
      <c r="O46">
        <v>6.2467209999999898E-3</v>
      </c>
      <c r="P46">
        <v>0.99901019999999896</v>
      </c>
      <c r="Q46">
        <v>-4.2540950000000001E-2</v>
      </c>
      <c r="R46">
        <v>1.3000309999999999E-2</v>
      </c>
      <c r="S46">
        <v>3.0021969999999998</v>
      </c>
      <c r="T46">
        <v>-2.2047879999999999E-2</v>
      </c>
      <c r="U46">
        <v>-2.8564450000000002E-2</v>
      </c>
      <c r="V46">
        <v>-6.7606630000000001E-3</v>
      </c>
      <c r="W46">
        <v>-3.8255209999999998E-2</v>
      </c>
      <c r="X46">
        <v>0.9992451</v>
      </c>
      <c r="Y46">
        <v>1.5759700000000001E-2</v>
      </c>
      <c r="Z46">
        <v>-1.107478E-4</v>
      </c>
      <c r="AA46">
        <v>0.99987579999999998</v>
      </c>
      <c r="AB46">
        <v>10</v>
      </c>
      <c r="AC46">
        <v>152.48439999999999</v>
      </c>
      <c r="AD46">
        <v>-1.120719654395</v>
      </c>
      <c r="AE46">
        <v>-1.4526000000000101</v>
      </c>
      <c r="AF46">
        <v>2.4049779173079902</v>
      </c>
      <c r="AG46">
        <v>-1.120719654395</v>
      </c>
      <c r="AH46">
        <v>152.46411561334901</v>
      </c>
      <c r="AI46">
        <v>90.421104747679294</v>
      </c>
      <c r="AJ46">
        <v>89.096287956883799</v>
      </c>
      <c r="AK46">
        <v>152.48720104024099</v>
      </c>
      <c r="AL46">
        <v>92.192397115760798</v>
      </c>
      <c r="AM46">
        <v>90.387644178849996</v>
      </c>
      <c r="AN46">
        <v>0.99999996876517605</v>
      </c>
    </row>
    <row r="47" spans="1:40" x14ac:dyDescent="0.25">
      <c r="A47" t="str">
        <f>"20190303153744649"</f>
        <v>20190303153744649</v>
      </c>
      <c r="B47" t="str">
        <f>"1551598664638854"</f>
        <v>1551598664638854</v>
      </c>
      <c r="C47" t="s">
        <v>40</v>
      </c>
      <c r="D47">
        <v>4.228548</v>
      </c>
      <c r="E47">
        <v>0.50833249999999996</v>
      </c>
      <c r="F47" t="s">
        <v>42</v>
      </c>
      <c r="G47">
        <v>-342.06310000000002</v>
      </c>
      <c r="H47" s="1">
        <v>-4.3905069999999997E-6</v>
      </c>
      <c r="I47">
        <v>365.90559999999999</v>
      </c>
      <c r="J47">
        <v>-473.1379</v>
      </c>
      <c r="K47">
        <v>1.1208149999999999</v>
      </c>
      <c r="L47">
        <v>367.08120000000002</v>
      </c>
      <c r="M47">
        <v>0.99996459999999998</v>
      </c>
      <c r="N47">
        <v>-5.4327269999999896E-3</v>
      </c>
      <c r="O47">
        <v>6.4183419999999996E-3</v>
      </c>
      <c r="P47">
        <v>0.99895820000000002</v>
      </c>
      <c r="Q47">
        <v>-4.3664120000000001E-2</v>
      </c>
      <c r="R47">
        <v>1.3269599999999999E-2</v>
      </c>
      <c r="S47">
        <v>3.0022280000000001</v>
      </c>
      <c r="T47">
        <v>-2.5649189999999999E-2</v>
      </c>
      <c r="U47">
        <v>-2.6885989999999999E-2</v>
      </c>
      <c r="V47">
        <v>-6.8564409999999996E-3</v>
      </c>
      <c r="W47">
        <v>-3.8236279999999997E-2</v>
      </c>
      <c r="X47">
        <v>0.99924519999999994</v>
      </c>
      <c r="Y47">
        <v>1.537203E-2</v>
      </c>
      <c r="Z47">
        <v>-1.2738450000000001E-4</v>
      </c>
      <c r="AA47">
        <v>0.99988189999999999</v>
      </c>
      <c r="AB47">
        <v>10</v>
      </c>
      <c r="AC47">
        <v>131.07479999999899</v>
      </c>
      <c r="AD47">
        <v>-1.1208193905070001</v>
      </c>
      <c r="AE47">
        <v>-1.17560000000003</v>
      </c>
      <c r="AF47">
        <v>2.01672368147111</v>
      </c>
      <c r="AG47">
        <v>-1.1208193905070001</v>
      </c>
      <c r="AH47">
        <v>131.05497266146401</v>
      </c>
      <c r="AI47">
        <v>90.489939848603797</v>
      </c>
      <c r="AJ47">
        <v>89.118380374827296</v>
      </c>
      <c r="AK47">
        <v>131.07528092592699</v>
      </c>
      <c r="AL47">
        <v>92.191311651021493</v>
      </c>
      <c r="AM47">
        <v>90.393135705495695</v>
      </c>
      <c r="AN47">
        <v>0.99999999680723195</v>
      </c>
    </row>
    <row r="48" spans="1:40" x14ac:dyDescent="0.25">
      <c r="A48" t="str">
        <f>"20190303153744671"</f>
        <v>20190303153744671</v>
      </c>
      <c r="B48" t="str">
        <f>"1551598664659350"</f>
        <v>1551598664659350</v>
      </c>
      <c r="C48" t="s">
        <v>40</v>
      </c>
      <c r="D48">
        <v>4.1893279999999997</v>
      </c>
      <c r="E48">
        <v>0.50843320000000003</v>
      </c>
      <c r="F48" t="s">
        <v>42</v>
      </c>
      <c r="G48">
        <v>-357.28680000000003</v>
      </c>
      <c r="H48" s="1">
        <v>-1.849615E-6</v>
      </c>
      <c r="I48">
        <v>366.08260000000001</v>
      </c>
      <c r="J48">
        <v>-473.04250000000002</v>
      </c>
      <c r="K48">
        <v>1.120897</v>
      </c>
      <c r="L48">
        <v>367.08199999999999</v>
      </c>
      <c r="M48">
        <v>0.99995789999999996</v>
      </c>
      <c r="N48">
        <v>-6.4174380000000001E-3</v>
      </c>
      <c r="O48">
        <v>6.5607269999999997E-3</v>
      </c>
      <c r="P48">
        <v>0.99891209999999997</v>
      </c>
      <c r="Q48">
        <v>-4.4707320000000002E-2</v>
      </c>
      <c r="R48">
        <v>1.3266210000000001E-2</v>
      </c>
      <c r="S48">
        <v>3.002167</v>
      </c>
      <c r="T48">
        <v>-2.904487E-2</v>
      </c>
      <c r="U48">
        <v>-2.5878910000000001E-2</v>
      </c>
      <c r="V48">
        <v>-6.70967E-3</v>
      </c>
      <c r="W48">
        <v>-3.8295969999999999E-2</v>
      </c>
      <c r="X48">
        <v>0.99924389999999996</v>
      </c>
      <c r="Y48">
        <v>1.517897E-2</v>
      </c>
      <c r="Z48">
        <v>-1.434986E-4</v>
      </c>
      <c r="AA48">
        <v>0.99988480000000002</v>
      </c>
      <c r="AB48">
        <v>10</v>
      </c>
      <c r="AC48">
        <v>115.7557</v>
      </c>
      <c r="AD48">
        <v>-1.1208988496150001</v>
      </c>
      <c r="AE48">
        <v>-0.99939999999997997</v>
      </c>
      <c r="AF48">
        <v>1.75867077229291</v>
      </c>
      <c r="AG48">
        <v>-1.1208988496150001</v>
      </c>
      <c r="AH48">
        <v>115.73580035953</v>
      </c>
      <c r="AI48">
        <v>90.554827050441503</v>
      </c>
      <c r="AJ48">
        <v>89.129425312719405</v>
      </c>
      <c r="AK48">
        <v>115.754588772875</v>
      </c>
      <c r="AL48">
        <v>92.194734165788603</v>
      </c>
      <c r="AM48">
        <v>90.384720882750003</v>
      </c>
      <c r="AN48">
        <v>0.99999998633847897</v>
      </c>
    </row>
    <row r="49" spans="1:40" x14ac:dyDescent="0.25">
      <c r="A49" t="str">
        <f>"20190303153744685"</f>
        <v>20190303153744685</v>
      </c>
      <c r="B49" t="str">
        <f>"1551598664678870"</f>
        <v>1551598664678870</v>
      </c>
      <c r="C49" t="s">
        <v>40</v>
      </c>
      <c r="D49">
        <v>4.1981010000000003</v>
      </c>
      <c r="E49">
        <v>0.53104629999999997</v>
      </c>
      <c r="F49" t="s">
        <v>42</v>
      </c>
      <c r="G49">
        <v>-371.84010000000001</v>
      </c>
      <c r="H49" s="1">
        <v>-4.0924739999999999E-6</v>
      </c>
      <c r="I49">
        <v>366.17970000000003</v>
      </c>
      <c r="J49">
        <v>-472.97859999999997</v>
      </c>
      <c r="K49">
        <v>1.1209370000000001</v>
      </c>
      <c r="L49">
        <v>367.08260000000001</v>
      </c>
      <c r="M49">
        <v>0.99995319999999999</v>
      </c>
      <c r="N49">
        <v>-7.0259479999999997E-3</v>
      </c>
      <c r="O49">
        <v>6.6558160000000002E-3</v>
      </c>
      <c r="P49">
        <v>0.99886940000000002</v>
      </c>
      <c r="Q49">
        <v>-4.5690300000000003E-2</v>
      </c>
      <c r="R49">
        <v>1.3135930000000001E-2</v>
      </c>
      <c r="S49">
        <v>3.0021360000000001</v>
      </c>
      <c r="T49">
        <v>-3.3251169999999997E-2</v>
      </c>
      <c r="U49">
        <v>-2.676392E-2</v>
      </c>
      <c r="V49">
        <v>-6.4842019999999997E-3</v>
      </c>
      <c r="W49">
        <v>-3.8671209999999998E-2</v>
      </c>
      <c r="X49">
        <v>0.99923090000000003</v>
      </c>
      <c r="Y49">
        <v>1.5568510000000001E-2</v>
      </c>
      <c r="Z49">
        <v>-1.6786169999999999E-4</v>
      </c>
      <c r="AA49">
        <v>0.99987879999999996</v>
      </c>
      <c r="AB49">
        <v>10</v>
      </c>
      <c r="AC49">
        <v>101.138499999999</v>
      </c>
      <c r="AD49">
        <v>-1.120941092474</v>
      </c>
      <c r="AE49">
        <v>-0.90289999999998805</v>
      </c>
      <c r="AF49">
        <v>1.57586227914734</v>
      </c>
      <c r="AG49">
        <v>-1.120941092474</v>
      </c>
      <c r="AH49">
        <v>101.117829851118</v>
      </c>
      <c r="AI49">
        <v>90.635048894882502</v>
      </c>
      <c r="AJ49">
        <v>89.1071510418287</v>
      </c>
      <c r="AK49">
        <v>101.136320699615</v>
      </c>
      <c r="AL49">
        <v>92.216249854405604</v>
      </c>
      <c r="AM49">
        <v>90.371798143374704</v>
      </c>
      <c r="AN49">
        <v>0.99999994943662396</v>
      </c>
    </row>
    <row r="50" spans="1:40" x14ac:dyDescent="0.25">
      <c r="A50" t="str">
        <f>"20190303153744704"</f>
        <v>20190303153744704</v>
      </c>
      <c r="B50" t="str">
        <f>"1551598664699367"</f>
        <v>1551598664699367</v>
      </c>
      <c r="C50" t="s">
        <v>40</v>
      </c>
      <c r="D50">
        <v>4.2593550000000002</v>
      </c>
      <c r="E50">
        <v>0.53055699999999995</v>
      </c>
      <c r="F50" t="s">
        <v>44</v>
      </c>
      <c r="G50">
        <v>-472.23180000000002</v>
      </c>
      <c r="H50">
        <v>1.0465310000000001</v>
      </c>
      <c r="I50">
        <v>367.0301</v>
      </c>
      <c r="J50">
        <v>-472.89710000000002</v>
      </c>
      <c r="K50">
        <v>1.120959</v>
      </c>
      <c r="L50">
        <v>367.08330000000001</v>
      </c>
      <c r="M50">
        <v>0.99994740000000004</v>
      </c>
      <c r="N50">
        <v>-7.72253099999999E-3</v>
      </c>
      <c r="O50">
        <v>6.7812840000000003E-3</v>
      </c>
      <c r="P50">
        <v>0.99883219999999995</v>
      </c>
      <c r="Q50">
        <v>-4.652858E-2</v>
      </c>
      <c r="R50">
        <v>1.3028359999999999E-2</v>
      </c>
      <c r="S50">
        <v>2.9924930000000001</v>
      </c>
      <c r="T50">
        <v>-0.2982438</v>
      </c>
      <c r="U50">
        <v>-0.2095032</v>
      </c>
      <c r="V50">
        <v>-6.2516510000000004E-3</v>
      </c>
      <c r="W50">
        <v>-3.8813649999999998E-2</v>
      </c>
      <c r="X50">
        <v>0.99922690000000003</v>
      </c>
      <c r="Y50">
        <v>7.6168589999999994E-2</v>
      </c>
      <c r="Z50">
        <v>-4.698125E-3</v>
      </c>
      <c r="AA50">
        <v>0.99708390000000002</v>
      </c>
      <c r="AB50">
        <v>10</v>
      </c>
      <c r="AC50">
        <v>0.665300000000002</v>
      </c>
      <c r="AD50">
        <v>-7.4428000000000105E-2</v>
      </c>
      <c r="AE50">
        <v>-5.3200000000003897E-2</v>
      </c>
      <c r="AF50">
        <v>5.7001644343026799E-2</v>
      </c>
      <c r="AG50">
        <v>-7.4428000000000105E-2</v>
      </c>
      <c r="AH50">
        <v>0.65675671092243204</v>
      </c>
      <c r="AI50">
        <v>96.441539030165103</v>
      </c>
      <c r="AJ50">
        <v>85.039579052652201</v>
      </c>
      <c r="AK50">
        <v>0.66341396728095803</v>
      </c>
      <c r="AL50">
        <v>92.224417106900304</v>
      </c>
      <c r="AM50">
        <v>90.358465673548494</v>
      </c>
      <c r="AN50">
        <v>0.99999999012507901</v>
      </c>
    </row>
    <row r="51" spans="1:40" x14ac:dyDescent="0.25">
      <c r="A51" t="str">
        <f>"20190303153744718"</f>
        <v>20190303153744718</v>
      </c>
      <c r="B51" t="str">
        <f>"1551598664709127"</f>
        <v>1551598664709127</v>
      </c>
      <c r="C51" t="s">
        <v>40</v>
      </c>
      <c r="D51">
        <v>4.1636839999999999</v>
      </c>
      <c r="E51">
        <v>0.53127000000000002</v>
      </c>
      <c r="F51" t="s">
        <v>44</v>
      </c>
      <c r="G51">
        <v>-472.1499</v>
      </c>
      <c r="H51">
        <v>1.0332209999999999</v>
      </c>
      <c r="I51">
        <v>367.03160000000003</v>
      </c>
      <c r="J51">
        <v>-472.83269999999999</v>
      </c>
      <c r="K51">
        <v>1.12097</v>
      </c>
      <c r="L51">
        <v>367.0838</v>
      </c>
      <c r="M51">
        <v>0.99994260000000001</v>
      </c>
      <c r="N51">
        <v>-8.2074219999999903E-3</v>
      </c>
      <c r="O51">
        <v>6.8829819999999898E-3</v>
      </c>
      <c r="P51">
        <v>0.99881200000000003</v>
      </c>
      <c r="Q51">
        <v>-4.7056380000000002E-2</v>
      </c>
      <c r="R51">
        <v>1.2654729999999999E-2</v>
      </c>
      <c r="S51">
        <v>2.9898380000000002</v>
      </c>
      <c r="T51">
        <v>-0.35107949999999999</v>
      </c>
      <c r="U51">
        <v>-0.20626829999999999</v>
      </c>
      <c r="V51">
        <v>-5.7770779999999997E-3</v>
      </c>
      <c r="W51">
        <v>-3.8857009999999997E-2</v>
      </c>
      <c r="X51">
        <v>0.99922809999999995</v>
      </c>
      <c r="Y51">
        <v>7.5100860000000005E-2</v>
      </c>
      <c r="Z51">
        <v>-5.4470760000000003E-3</v>
      </c>
      <c r="AA51">
        <v>0.99716110000000002</v>
      </c>
      <c r="AB51">
        <v>10</v>
      </c>
      <c r="AC51">
        <v>0.68279999999998597</v>
      </c>
      <c r="AD51">
        <v>-8.7748999999999994E-2</v>
      </c>
      <c r="AE51">
        <v>-5.21999999999707E-2</v>
      </c>
      <c r="AF51">
        <v>5.5979453524843202E-2</v>
      </c>
      <c r="AG51">
        <v>-8.7748999999999994E-2</v>
      </c>
      <c r="AH51">
        <v>0.67140029839576498</v>
      </c>
      <c r="AI51">
        <v>97.420635698608095</v>
      </c>
      <c r="AJ51">
        <v>85.233864263141001</v>
      </c>
      <c r="AK51">
        <v>0.67942030209868098</v>
      </c>
      <c r="AL51">
        <v>92.226903263485596</v>
      </c>
      <c r="AM51">
        <v>90.331254194454601</v>
      </c>
      <c r="AN51">
        <v>1.0000000188429801</v>
      </c>
    </row>
    <row r="52" spans="1:40" x14ac:dyDescent="0.25">
      <c r="A52" t="str">
        <f>"20190303153744732"</f>
        <v>20190303153744732</v>
      </c>
      <c r="B52" t="str">
        <f>"1551598664728646"</f>
        <v>1551598664728646</v>
      </c>
      <c r="C52" t="s">
        <v>40</v>
      </c>
      <c r="D52">
        <v>4.2803319999999996</v>
      </c>
      <c r="E52">
        <v>0.52942900000000004</v>
      </c>
      <c r="F52" t="s">
        <v>44</v>
      </c>
      <c r="G52">
        <v>-472.06290000000001</v>
      </c>
      <c r="H52">
        <v>1.0305879999999901</v>
      </c>
      <c r="I52">
        <v>367.02890000000002</v>
      </c>
      <c r="J52">
        <v>-472.77330000000001</v>
      </c>
      <c r="K52">
        <v>1.120976</v>
      </c>
      <c r="L52">
        <v>367.08429999999998</v>
      </c>
      <c r="M52">
        <v>0.99993860000000001</v>
      </c>
      <c r="N52">
        <v>-8.6190529999999998E-3</v>
      </c>
      <c r="O52">
        <v>6.977179E-3</v>
      </c>
      <c r="P52">
        <v>0.99879819999999997</v>
      </c>
      <c r="Q52">
        <v>-4.7345850000000002E-2</v>
      </c>
      <c r="R52">
        <v>1.2687260000000001E-2</v>
      </c>
      <c r="S52">
        <v>2.9896850000000001</v>
      </c>
      <c r="T52">
        <v>-0.35104479999999999</v>
      </c>
      <c r="U52">
        <v>-0.21310419999999999</v>
      </c>
      <c r="V52">
        <v>-5.7156400000000001E-3</v>
      </c>
      <c r="W52">
        <v>-3.8735180000000001E-2</v>
      </c>
      <c r="X52">
        <v>0.99923320000000004</v>
      </c>
      <c r="Y52">
        <v>7.7447799999999997E-2</v>
      </c>
      <c r="Z52">
        <v>-5.616673E-3</v>
      </c>
      <c r="AA52">
        <v>0.99698059999999999</v>
      </c>
      <c r="AB52">
        <v>10</v>
      </c>
      <c r="AC52">
        <v>0.71039999999999204</v>
      </c>
      <c r="AD52">
        <v>-9.0388000000000093E-2</v>
      </c>
      <c r="AE52">
        <v>-5.5399999999963201E-2</v>
      </c>
      <c r="AF52">
        <v>5.9399624953621201E-2</v>
      </c>
      <c r="AG52">
        <v>-9.0388000000000093E-2</v>
      </c>
      <c r="AH52">
        <v>0.69875254445981605</v>
      </c>
      <c r="AI52">
        <v>97.344438948685493</v>
      </c>
      <c r="AJ52">
        <v>85.141076413912799</v>
      </c>
      <c r="AK52">
        <v>0.70707384648118499</v>
      </c>
      <c r="AL52">
        <v>92.219917623015704</v>
      </c>
      <c r="AM52">
        <v>90.327729780886699</v>
      </c>
      <c r="AN52">
        <v>1.0000000353462399</v>
      </c>
    </row>
    <row r="53" spans="1:40" x14ac:dyDescent="0.25">
      <c r="A53" t="str">
        <f>"20190303153744749"</f>
        <v>20190303153744749</v>
      </c>
      <c r="B53" t="str">
        <f>"1551598664739382"</f>
        <v>1551598664739382</v>
      </c>
      <c r="C53" t="s">
        <v>40</v>
      </c>
      <c r="D53">
        <v>4.1892129999999996</v>
      </c>
      <c r="E53">
        <v>0.52948519999999999</v>
      </c>
      <c r="F53" t="s">
        <v>44</v>
      </c>
      <c r="G53">
        <v>-471.98050000000001</v>
      </c>
      <c r="H53">
        <v>1.0193669999999999</v>
      </c>
      <c r="I53">
        <v>367.03120000000001</v>
      </c>
      <c r="J53">
        <v>-472.69799999999998</v>
      </c>
      <c r="K53">
        <v>1.120984</v>
      </c>
      <c r="L53">
        <v>367.08499999999998</v>
      </c>
      <c r="M53">
        <v>0.99993350000000003</v>
      </c>
      <c r="N53">
        <v>-9.0895160000000006E-3</v>
      </c>
      <c r="O53">
        <v>7.0949669999999998E-3</v>
      </c>
      <c r="P53">
        <v>0.99881790000000004</v>
      </c>
      <c r="Q53">
        <v>-4.6898090000000003E-2</v>
      </c>
      <c r="R53">
        <v>1.278572E-2</v>
      </c>
      <c r="S53">
        <v>2.987946</v>
      </c>
      <c r="T53">
        <v>-0.38325290000000001</v>
      </c>
      <c r="U53">
        <v>-0.19869999999999999</v>
      </c>
      <c r="V53">
        <v>-5.6967809999999997E-3</v>
      </c>
      <c r="W53">
        <v>-3.7817070000000001E-2</v>
      </c>
      <c r="X53">
        <v>0.99926839999999995</v>
      </c>
      <c r="Y53">
        <v>7.2745989999999996E-2</v>
      </c>
      <c r="Z53">
        <v>-5.8149780000000002E-3</v>
      </c>
      <c r="AA53">
        <v>0.99733349999999998</v>
      </c>
      <c r="AB53">
        <v>10</v>
      </c>
      <c r="AC53">
        <v>0.717500000000029</v>
      </c>
      <c r="AD53">
        <v>-0.101617</v>
      </c>
      <c r="AE53">
        <v>-5.3799999999966902E-2</v>
      </c>
      <c r="AF53">
        <v>5.77378604495596E-2</v>
      </c>
      <c r="AG53">
        <v>-0.101617</v>
      </c>
      <c r="AH53">
        <v>0.703076705130107</v>
      </c>
      <c r="AI53">
        <v>98.196900079284006</v>
      </c>
      <c r="AJ53">
        <v>85.3053073959221</v>
      </c>
      <c r="AK53">
        <v>0.71272472141416598</v>
      </c>
      <c r="AL53">
        <v>92.167275382663902</v>
      </c>
      <c r="AM53">
        <v>90.326636939655302</v>
      </c>
      <c r="AN53">
        <v>0.99999995966785205</v>
      </c>
    </row>
    <row r="54" spans="1:40" x14ac:dyDescent="0.25">
      <c r="A54" t="str">
        <f>"20190303153744762"</f>
        <v>20190303153744762</v>
      </c>
      <c r="B54" t="str">
        <f>"1551598664758903"</f>
        <v>1551598664758903</v>
      </c>
      <c r="C54" t="s">
        <v>40</v>
      </c>
      <c r="D54">
        <v>4.1515219999999999</v>
      </c>
      <c r="E54">
        <v>0.5298254</v>
      </c>
      <c r="F54" t="s">
        <v>44</v>
      </c>
      <c r="G54">
        <v>-471.97570000000002</v>
      </c>
      <c r="H54">
        <v>1.029185</v>
      </c>
      <c r="I54">
        <v>367.03649999999999</v>
      </c>
      <c r="J54">
        <v>-472.6388</v>
      </c>
      <c r="K54">
        <v>1.1209929999999999</v>
      </c>
      <c r="L54">
        <v>367.08550000000002</v>
      </c>
      <c r="M54">
        <v>0.99992979999999998</v>
      </c>
      <c r="N54">
        <v>-9.4273350000000002E-3</v>
      </c>
      <c r="O54">
        <v>7.1825999999999999E-3</v>
      </c>
      <c r="P54">
        <v>0.99883639999999996</v>
      </c>
      <c r="Q54">
        <v>-4.6497629999999998E-2</v>
      </c>
      <c r="R54">
        <v>1.280924E-2</v>
      </c>
      <c r="S54">
        <v>2.9882810000000002</v>
      </c>
      <c r="T54">
        <v>-0.38005670000000003</v>
      </c>
      <c r="U54">
        <v>-0.1986694</v>
      </c>
      <c r="V54">
        <v>-5.6330879999999996E-3</v>
      </c>
      <c r="W54">
        <v>-3.7078819999999998E-2</v>
      </c>
      <c r="X54">
        <v>0.99929650000000003</v>
      </c>
      <c r="Y54">
        <v>7.2824490000000006E-2</v>
      </c>
      <c r="Z54">
        <v>-5.7940309999999998E-3</v>
      </c>
      <c r="AA54">
        <v>0.99732790000000004</v>
      </c>
      <c r="AB54">
        <v>10</v>
      </c>
      <c r="AC54">
        <v>0.66309999999998503</v>
      </c>
      <c r="AD54">
        <v>-9.1808000000000098E-2</v>
      </c>
      <c r="AE54">
        <v>-4.9000000000035002E-2</v>
      </c>
      <c r="AF54">
        <v>5.2755934881199201E-2</v>
      </c>
      <c r="AG54">
        <v>-9.1808000000000098E-2</v>
      </c>
      <c r="AH54">
        <v>0.65033231187568996</v>
      </c>
      <c r="AI54">
        <v>98.009430447518199</v>
      </c>
      <c r="AJ54">
        <v>85.362235675950501</v>
      </c>
      <c r="AK54">
        <v>0.65889605659676598</v>
      </c>
      <c r="AL54">
        <v>92.124946925483101</v>
      </c>
      <c r="AM54">
        <v>90.3229759630497</v>
      </c>
      <c r="AN54">
        <v>1.0000000327426199</v>
      </c>
    </row>
    <row r="55" spans="1:40" x14ac:dyDescent="0.25">
      <c r="A55" t="str">
        <f>"20190303153744781"</f>
        <v>20190303153744781</v>
      </c>
      <c r="B55" t="str">
        <f>"1551598664779399"</f>
        <v>1551598664779399</v>
      </c>
      <c r="C55" t="s">
        <v>40</v>
      </c>
      <c r="D55">
        <v>4.1488459999999998</v>
      </c>
      <c r="E55">
        <v>0.53120249999999902</v>
      </c>
      <c r="F55" t="s">
        <v>44</v>
      </c>
      <c r="G55">
        <v>-471.88909999999998</v>
      </c>
      <c r="H55">
        <v>1.027345</v>
      </c>
      <c r="I55">
        <v>367.03489999999999</v>
      </c>
      <c r="J55">
        <v>-472.5566</v>
      </c>
      <c r="K55">
        <v>1.1210089999999999</v>
      </c>
      <c r="L55">
        <v>367.08620000000002</v>
      </c>
      <c r="M55">
        <v>0.99992479999999995</v>
      </c>
      <c r="N55">
        <v>-9.8675470000000008E-3</v>
      </c>
      <c r="O55">
        <v>7.2976849999999999E-3</v>
      </c>
      <c r="P55">
        <v>0.99884490000000004</v>
      </c>
      <c r="Q55">
        <v>-4.629925E-2</v>
      </c>
      <c r="R55">
        <v>1.2872929999999999E-2</v>
      </c>
      <c r="S55">
        <v>2.9886780000000002</v>
      </c>
      <c r="T55">
        <v>-0.37348740000000002</v>
      </c>
      <c r="U55">
        <v>-0.2012024</v>
      </c>
      <c r="V55">
        <v>-5.5812809999999996E-3</v>
      </c>
      <c r="W55">
        <v>-3.6440390000000003E-2</v>
      </c>
      <c r="X55">
        <v>0.99932030000000005</v>
      </c>
      <c r="Y55">
        <v>7.3784299999999997E-2</v>
      </c>
      <c r="Z55">
        <v>-5.7890989999999998E-3</v>
      </c>
      <c r="AA55">
        <v>0.99725739999999996</v>
      </c>
      <c r="AB55">
        <v>10</v>
      </c>
      <c r="AC55">
        <v>0.66750000000001797</v>
      </c>
      <c r="AD55">
        <v>-9.3663999999999706E-2</v>
      </c>
      <c r="AE55">
        <v>-5.1300000000026102E-2</v>
      </c>
      <c r="AF55">
        <v>5.5091696276668801E-2</v>
      </c>
      <c r="AG55">
        <v>-9.3663999999999706E-2</v>
      </c>
      <c r="AH55">
        <v>0.65430039182586497</v>
      </c>
      <c r="AI55">
        <v>98.118281040852494</v>
      </c>
      <c r="AJ55">
        <v>85.187082468469995</v>
      </c>
      <c r="AK55">
        <v>0.66326242365908294</v>
      </c>
      <c r="AL55">
        <v>92.088342790784694</v>
      </c>
      <c r="AM55">
        <v>90.319998023279993</v>
      </c>
      <c r="AN55">
        <v>1.00000005735652</v>
      </c>
    </row>
    <row r="56" spans="1:40" x14ac:dyDescent="0.25">
      <c r="A56" t="str">
        <f>"20190303153744795"</f>
        <v>20190303153744795</v>
      </c>
      <c r="B56" t="str">
        <f>"1551598664789159"</f>
        <v>1551598664789159</v>
      </c>
      <c r="C56" t="s">
        <v>40</v>
      </c>
      <c r="D56">
        <v>4.1482619999999999</v>
      </c>
      <c r="E56">
        <v>0.53173110000000001</v>
      </c>
      <c r="F56" t="s">
        <v>44</v>
      </c>
      <c r="G56">
        <v>-471.80079999999998</v>
      </c>
      <c r="H56">
        <v>1.029309</v>
      </c>
      <c r="I56">
        <v>367.03210000000001</v>
      </c>
      <c r="J56">
        <v>-472.5</v>
      </c>
      <c r="K56">
        <v>1.1210199999999999</v>
      </c>
      <c r="L56">
        <v>367.08670000000001</v>
      </c>
      <c r="M56">
        <v>0.99992139999999996</v>
      </c>
      <c r="N56">
        <v>-1.0147939999999999E-2</v>
      </c>
      <c r="O56">
        <v>7.3731530000000003E-3</v>
      </c>
      <c r="P56">
        <v>0.99884539999999999</v>
      </c>
      <c r="Q56">
        <v>-4.6243390000000002E-2</v>
      </c>
      <c r="R56">
        <v>1.303721E-2</v>
      </c>
      <c r="S56">
        <v>2.9894099999999999</v>
      </c>
      <c r="T56">
        <v>-0.36302469999999998</v>
      </c>
      <c r="U56">
        <v>-0.2118225</v>
      </c>
      <c r="V56">
        <v>-5.6709339999999999E-3</v>
      </c>
      <c r="W56">
        <v>-3.6104299999999999E-2</v>
      </c>
      <c r="X56">
        <v>0.999332</v>
      </c>
      <c r="Y56">
        <v>7.7374810000000002E-2</v>
      </c>
      <c r="Z56">
        <v>-5.8863029999999998E-3</v>
      </c>
      <c r="AA56">
        <v>0.99698469999999995</v>
      </c>
      <c r="AB56">
        <v>10</v>
      </c>
      <c r="AC56">
        <v>0.69920000000001803</v>
      </c>
      <c r="AD56">
        <v>-9.1711000000000098E-2</v>
      </c>
      <c r="AE56">
        <v>-5.4599999999993501E-2</v>
      </c>
      <c r="AF56">
        <v>5.8749465064021497E-2</v>
      </c>
      <c r="AG56">
        <v>-9.1711000000000098E-2</v>
      </c>
      <c r="AH56">
        <v>0.68703008424261203</v>
      </c>
      <c r="AI56">
        <v>97.5760837037908</v>
      </c>
      <c r="AJ56">
        <v>85.112401036466593</v>
      </c>
      <c r="AK56">
        <v>0.69560962027614304</v>
      </c>
      <c r="AL56">
        <v>92.069073561115999</v>
      </c>
      <c r="AM56">
        <v>90.325134286115997</v>
      </c>
      <c r="AN56">
        <v>1.0000000630974499</v>
      </c>
    </row>
    <row r="57" spans="1:40" x14ac:dyDescent="0.25">
      <c r="A57" t="str">
        <f>"20190303153744806"</f>
        <v>20190303153744806</v>
      </c>
      <c r="B57" t="str">
        <f>"1551598664798919"</f>
        <v>1551598664798919</v>
      </c>
      <c r="C57" t="s">
        <v>40</v>
      </c>
      <c r="D57">
        <v>4.1471999999999998</v>
      </c>
      <c r="E57">
        <v>0.53226530000000005</v>
      </c>
      <c r="F57" t="s">
        <v>44</v>
      </c>
      <c r="G57">
        <v>-471.7149</v>
      </c>
      <c r="H57">
        <v>1.0267470000000001</v>
      </c>
      <c r="I57">
        <v>367.03019999999998</v>
      </c>
      <c r="J57">
        <v>-472.4468</v>
      </c>
      <c r="K57">
        <v>1.12103</v>
      </c>
      <c r="L57">
        <v>367.0872</v>
      </c>
      <c r="M57">
        <v>0.99991839999999999</v>
      </c>
      <c r="N57">
        <v>-1.039233E-2</v>
      </c>
      <c r="O57">
        <v>7.4417369999999899E-3</v>
      </c>
      <c r="P57">
        <v>0.99883690000000003</v>
      </c>
      <c r="Q57">
        <v>-4.6451890000000003E-2</v>
      </c>
      <c r="R57">
        <v>1.292719E-2</v>
      </c>
      <c r="S57">
        <v>2.989655</v>
      </c>
      <c r="T57">
        <v>-0.35899710000000001</v>
      </c>
      <c r="U57">
        <v>-0.21527099999999999</v>
      </c>
      <c r="V57">
        <v>-5.4922469999999996E-3</v>
      </c>
      <c r="W57">
        <v>-3.6068620000000003E-2</v>
      </c>
      <c r="X57">
        <v>0.99933419999999895</v>
      </c>
      <c r="Y57">
        <v>7.8585039999999995E-2</v>
      </c>
      <c r="Z57">
        <v>-5.9181340000000002E-3</v>
      </c>
      <c r="AA57">
        <v>0.99688980000000005</v>
      </c>
      <c r="AB57">
        <v>10</v>
      </c>
      <c r="AC57">
        <v>0.731899999999996</v>
      </c>
      <c r="AD57">
        <v>-9.4283000000000103E-2</v>
      </c>
      <c r="AE57">
        <v>-5.7000000000016302E-2</v>
      </c>
      <c r="AF57">
        <v>6.1432036373564501E-2</v>
      </c>
      <c r="AG57">
        <v>-9.4283000000000103E-2</v>
      </c>
      <c r="AH57">
        <v>0.71958636680366095</v>
      </c>
      <c r="AI57">
        <v>97.437843088426703</v>
      </c>
      <c r="AJ57">
        <v>85.120415412328001</v>
      </c>
      <c r="AK57">
        <v>0.72833214845405203</v>
      </c>
      <c r="AL57">
        <v>92.067028094092294</v>
      </c>
      <c r="AM57">
        <v>90.314889058008205</v>
      </c>
      <c r="AN57">
        <v>0.999999976707726</v>
      </c>
    </row>
    <row r="58" spans="1:40" x14ac:dyDescent="0.25">
      <c r="A58" t="str">
        <f>"20190303153744828"</f>
        <v>20190303153744828</v>
      </c>
      <c r="B58" t="str">
        <f>"1551598664819415"</f>
        <v>1551598664819415</v>
      </c>
      <c r="C58" t="s">
        <v>40</v>
      </c>
      <c r="D58">
        <v>4.2782150000000003</v>
      </c>
      <c r="E58">
        <v>0.53212349999999997</v>
      </c>
      <c r="F58" t="s">
        <v>44</v>
      </c>
      <c r="G58">
        <v>-471.7115</v>
      </c>
      <c r="H58">
        <v>1.0336730000000001</v>
      </c>
      <c r="I58">
        <v>367.03309999999999</v>
      </c>
      <c r="J58">
        <v>-472.3528</v>
      </c>
      <c r="K58">
        <v>1.1210370000000001</v>
      </c>
      <c r="L58">
        <v>367.08800000000002</v>
      </c>
      <c r="M58">
        <v>0.99991339999999995</v>
      </c>
      <c r="N58">
        <v>-1.0773929999999999E-2</v>
      </c>
      <c r="O58">
        <v>7.5604289999999996E-3</v>
      </c>
      <c r="P58">
        <v>0.99883580000000005</v>
      </c>
      <c r="Q58">
        <v>-4.6441089999999997E-2</v>
      </c>
      <c r="R58">
        <v>1.3064020000000001E-2</v>
      </c>
      <c r="S58">
        <v>2.9898069999999999</v>
      </c>
      <c r="T58">
        <v>-0.3552362</v>
      </c>
      <c r="U58">
        <v>-0.2199402</v>
      </c>
      <c r="V58">
        <v>-5.5109089999999996E-3</v>
      </c>
      <c r="W58">
        <v>-3.5676409999999999E-2</v>
      </c>
      <c r="X58">
        <v>0.99934820000000002</v>
      </c>
      <c r="Y58">
        <v>8.0246750000000006E-2</v>
      </c>
      <c r="Z58">
        <v>-5.9916910000000004E-3</v>
      </c>
      <c r="AA58">
        <v>0.996757</v>
      </c>
      <c r="AB58">
        <v>10</v>
      </c>
      <c r="AC58">
        <v>0.64130000000000098</v>
      </c>
      <c r="AD58">
        <v>-8.7363999999999997E-2</v>
      </c>
      <c r="AE58">
        <v>-5.4900000000031902E-2</v>
      </c>
      <c r="AF58">
        <v>5.8666377106275598E-2</v>
      </c>
      <c r="AG58">
        <v>-8.7363999999999997E-2</v>
      </c>
      <c r="AH58">
        <v>0.62927318368722396</v>
      </c>
      <c r="AI58">
        <v>97.870332968518696</v>
      </c>
      <c r="AJ58">
        <v>84.673779374585294</v>
      </c>
      <c r="AK58">
        <v>0.63801171776592802</v>
      </c>
      <c r="AL58">
        <v>92.044541594019606</v>
      </c>
      <c r="AM58">
        <v>90.315954565580498</v>
      </c>
      <c r="AN58">
        <v>1.00000000059586</v>
      </c>
    </row>
    <row r="59" spans="1:40" x14ac:dyDescent="0.25">
      <c r="A59" t="str">
        <f>"20190303153744841"</f>
        <v>20190303153744841</v>
      </c>
      <c r="B59" t="str">
        <f>"1551598664838934"</f>
        <v>1551598664838934</v>
      </c>
      <c r="C59" t="s">
        <v>40</v>
      </c>
      <c r="D59">
        <v>4.1748849999999997</v>
      </c>
      <c r="E59">
        <v>0.53257080000000001</v>
      </c>
      <c r="F59" t="s">
        <v>44</v>
      </c>
      <c r="G59">
        <v>-471.62470000000002</v>
      </c>
      <c r="H59">
        <v>1.0338989999999999</v>
      </c>
      <c r="I59">
        <v>367.03440000000001</v>
      </c>
      <c r="J59">
        <v>-472.29539999999997</v>
      </c>
      <c r="K59">
        <v>1.1210450000000001</v>
      </c>
      <c r="L59">
        <v>367.08859999999999</v>
      </c>
      <c r="M59">
        <v>0.99991070000000004</v>
      </c>
      <c r="N59">
        <v>-1.097365E-2</v>
      </c>
      <c r="O59">
        <v>7.6305289999999996E-3</v>
      </c>
      <c r="P59">
        <v>0.99883230000000001</v>
      </c>
      <c r="Q59">
        <v>-4.6486520000000003E-2</v>
      </c>
      <c r="R59">
        <v>1.315558E-2</v>
      </c>
      <c r="S59">
        <v>2.9897459999999998</v>
      </c>
      <c r="T59">
        <v>-0.35802830000000002</v>
      </c>
      <c r="U59">
        <v>-0.21875</v>
      </c>
      <c r="V59">
        <v>-5.5323819999999998E-3</v>
      </c>
      <c r="W59">
        <v>-3.5522230000000002E-2</v>
      </c>
      <c r="X59">
        <v>0.99935359999999995</v>
      </c>
      <c r="Y59">
        <v>7.9914799999999994E-2</v>
      </c>
      <c r="Z59">
        <v>-6.0284469999999897E-3</v>
      </c>
      <c r="AA59">
        <v>0.99678350000000004</v>
      </c>
      <c r="AB59">
        <v>10</v>
      </c>
      <c r="AC59">
        <v>0.670699999999953</v>
      </c>
      <c r="AD59">
        <v>-8.7146000000000098E-2</v>
      </c>
      <c r="AE59">
        <v>-5.4199999999980202E-2</v>
      </c>
      <c r="AF59">
        <v>5.8338020650683699E-2</v>
      </c>
      <c r="AG59">
        <v>-8.7146000000000098E-2</v>
      </c>
      <c r="AH59">
        <v>0.659209927508142</v>
      </c>
      <c r="AI59">
        <v>97.501717877583602</v>
      </c>
      <c r="AJ59">
        <v>84.942677393437094</v>
      </c>
      <c r="AK59">
        <v>0.66749942209318003</v>
      </c>
      <c r="AL59">
        <v>92.035702074096406</v>
      </c>
      <c r="AM59">
        <v>90.3171839288364</v>
      </c>
      <c r="AN59">
        <v>1.00000002695386</v>
      </c>
    </row>
    <row r="60" spans="1:40" x14ac:dyDescent="0.25">
      <c r="A60" t="str">
        <f>"20190303153744862"</f>
        <v>20190303153744862</v>
      </c>
      <c r="B60" t="str">
        <f>"1551598664859430"</f>
        <v>1551598664859430</v>
      </c>
      <c r="C60" t="s">
        <v>40</v>
      </c>
      <c r="D60">
        <v>4.1686110000000003</v>
      </c>
      <c r="E60">
        <v>0.53260839999999998</v>
      </c>
      <c r="F60" t="s">
        <v>44</v>
      </c>
      <c r="G60">
        <v>-471.53899999999999</v>
      </c>
      <c r="H60">
        <v>1.0319670000000001</v>
      </c>
      <c r="I60">
        <v>367.0324</v>
      </c>
      <c r="J60">
        <v>-472.2072</v>
      </c>
      <c r="K60">
        <v>1.1210519999999999</v>
      </c>
      <c r="L60">
        <v>367.08940000000001</v>
      </c>
      <c r="M60">
        <v>0.99990690000000004</v>
      </c>
      <c r="N60">
        <v>-1.125311E-2</v>
      </c>
      <c r="O60">
        <v>7.7345180000000001E-3</v>
      </c>
      <c r="P60">
        <v>0.99886350000000002</v>
      </c>
      <c r="Q60">
        <v>-4.5831749999999997E-2</v>
      </c>
      <c r="R60">
        <v>1.310443E-2</v>
      </c>
      <c r="S60">
        <v>2.9900820000000001</v>
      </c>
      <c r="T60">
        <v>-0.352070099999999</v>
      </c>
      <c r="U60">
        <v>-0.22198490000000001</v>
      </c>
      <c r="V60">
        <v>-5.3776880000000003E-3</v>
      </c>
      <c r="W60">
        <v>-3.4587779999999999E-2</v>
      </c>
      <c r="X60">
        <v>0.99938720000000003</v>
      </c>
      <c r="Y60">
        <v>8.1093659999999998E-2</v>
      </c>
      <c r="Z60">
        <v>-6.0297060000000001E-3</v>
      </c>
      <c r="AA60">
        <v>0.99668820000000002</v>
      </c>
      <c r="AB60">
        <v>10</v>
      </c>
      <c r="AC60">
        <v>0.66820000000001301</v>
      </c>
      <c r="AD60">
        <v>-8.9084999999999803E-2</v>
      </c>
      <c r="AE60">
        <v>-5.7000000000016302E-2</v>
      </c>
      <c r="AF60">
        <v>6.1088849631728899E-2</v>
      </c>
      <c r="AG60">
        <v>-8.9084999999999803E-2</v>
      </c>
      <c r="AH60">
        <v>0.65616047666667199</v>
      </c>
      <c r="AI60">
        <v>97.698716608417897</v>
      </c>
      <c r="AJ60">
        <v>84.681068194277003</v>
      </c>
      <c r="AK60">
        <v>0.664992147257215</v>
      </c>
      <c r="AL60">
        <v>91.982129149589298</v>
      </c>
      <c r="AM60">
        <v>90.3083047812991</v>
      </c>
      <c r="AN60">
        <v>1.0000000047886899</v>
      </c>
    </row>
    <row r="61" spans="1:40" x14ac:dyDescent="0.25">
      <c r="A61" t="str">
        <f>"20190303153744877"</f>
        <v>20190303153744877</v>
      </c>
      <c r="B61" t="str">
        <f>"1551598664869190"</f>
        <v>1551598664869190</v>
      </c>
      <c r="C61" t="s">
        <v>40</v>
      </c>
      <c r="D61">
        <v>4.2358900000000004</v>
      </c>
      <c r="E61">
        <v>0.51364370000000004</v>
      </c>
      <c r="F61" t="s">
        <v>44</v>
      </c>
      <c r="G61">
        <v>-471.45150000000001</v>
      </c>
      <c r="H61">
        <v>1.0343279999999999</v>
      </c>
      <c r="I61">
        <v>367.03280000000001</v>
      </c>
      <c r="J61">
        <v>-472.14299999999997</v>
      </c>
      <c r="K61">
        <v>1.1210659999999999</v>
      </c>
      <c r="L61">
        <v>367.09</v>
      </c>
      <c r="M61">
        <v>0.99990420000000002</v>
      </c>
      <c r="N61">
        <v>-1.143505E-2</v>
      </c>
      <c r="O61">
        <v>7.8063219999999897E-3</v>
      </c>
      <c r="P61">
        <v>0.99886059999999999</v>
      </c>
      <c r="Q61">
        <v>-4.5835500000000001E-2</v>
      </c>
      <c r="R61">
        <v>1.328997E-2</v>
      </c>
      <c r="S61">
        <v>2.9906009999999998</v>
      </c>
      <c r="T61">
        <v>-0.34342650000000002</v>
      </c>
      <c r="U61">
        <v>-0.2223511</v>
      </c>
      <c r="V61">
        <v>-5.491615E-3</v>
      </c>
      <c r="W61">
        <v>-3.440965E-2</v>
      </c>
      <c r="X61">
        <v>0.99939270000000002</v>
      </c>
      <c r="Y61">
        <v>8.1302070000000004E-2</v>
      </c>
      <c r="Z61">
        <v>-5.9171680000000004E-3</v>
      </c>
      <c r="AA61">
        <v>0.99667190000000006</v>
      </c>
      <c r="AB61">
        <v>10</v>
      </c>
      <c r="AC61">
        <v>0.69150000000001899</v>
      </c>
      <c r="AD61">
        <v>-8.6737999999999704E-2</v>
      </c>
      <c r="AE61">
        <v>-5.7199999999966097E-2</v>
      </c>
      <c r="AF61">
        <v>6.1633539813740597E-2</v>
      </c>
      <c r="AG61">
        <v>-8.6737999999999704E-2</v>
      </c>
      <c r="AH61">
        <v>0.68039983361434697</v>
      </c>
      <c r="AI61">
        <v>97.235623518286502</v>
      </c>
      <c r="AJ61">
        <v>84.824028483180101</v>
      </c>
      <c r="AK61">
        <v>0.68866981018221196</v>
      </c>
      <c r="AL61">
        <v>91.971917031653504</v>
      </c>
      <c r="AM61">
        <v>90.314834394332706</v>
      </c>
      <c r="AN61">
        <v>0.99999997533086005</v>
      </c>
    </row>
    <row r="62" spans="1:40" x14ac:dyDescent="0.25">
      <c r="A62" t="str">
        <f>"20190303153744894"</f>
        <v>20190303153744894</v>
      </c>
      <c r="B62" t="str">
        <f>"1551598664888711"</f>
        <v>1551598664888711</v>
      </c>
      <c r="C62" t="s">
        <v>40</v>
      </c>
      <c r="D62">
        <v>4.2239579999999997</v>
      </c>
      <c r="E62">
        <v>0.51180599999999998</v>
      </c>
      <c r="F62" t="s">
        <v>42</v>
      </c>
      <c r="G62">
        <v>-444.79860000000002</v>
      </c>
      <c r="H62" s="1">
        <v>-2.9988820000000001E-6</v>
      </c>
      <c r="I62">
        <v>366.46109999999999</v>
      </c>
      <c r="J62">
        <v>-472.07040000000001</v>
      </c>
      <c r="K62">
        <v>1.121075</v>
      </c>
      <c r="L62">
        <v>367.09059999999999</v>
      </c>
      <c r="M62">
        <v>0.99990140000000005</v>
      </c>
      <c r="N62">
        <v>-1.1622459999999999E-2</v>
      </c>
      <c r="O62">
        <v>7.8822419999999994E-3</v>
      </c>
      <c r="P62">
        <v>0.9988378</v>
      </c>
      <c r="Q62">
        <v>-4.6228400000000003E-2</v>
      </c>
      <c r="R62">
        <v>1.3649929999999999E-2</v>
      </c>
      <c r="S62">
        <v>2.998688</v>
      </c>
      <c r="T62">
        <v>-0.1229408</v>
      </c>
      <c r="U62">
        <v>-6.8969730000000007E-2</v>
      </c>
      <c r="V62">
        <v>-5.7760729999999996E-3</v>
      </c>
      <c r="W62">
        <v>-3.4615380000000001E-2</v>
      </c>
      <c r="X62">
        <v>0.99938400000000005</v>
      </c>
      <c r="Y62">
        <v>3.0837219999999999E-2</v>
      </c>
      <c r="Z62">
        <v>-1.042526E-3</v>
      </c>
      <c r="AA62">
        <v>0.99952390000000002</v>
      </c>
      <c r="AB62">
        <v>10</v>
      </c>
      <c r="AC62">
        <v>27.271799999999899</v>
      </c>
      <c r="AD62">
        <v>-1.1210779988820001</v>
      </c>
      <c r="AE62">
        <v>-0.62950000000000705</v>
      </c>
      <c r="AF62">
        <v>0.84303405804257603</v>
      </c>
      <c r="AG62">
        <v>-1.1210779988820001</v>
      </c>
      <c r="AH62">
        <v>27.220017653110101</v>
      </c>
      <c r="AI62">
        <v>92.357310142573496</v>
      </c>
      <c r="AJ62">
        <v>88.226053377174907</v>
      </c>
      <c r="AK62">
        <v>27.256134783535</v>
      </c>
      <c r="AL62">
        <v>91.983711502846006</v>
      </c>
      <c r="AM62">
        <v>90.331144905419393</v>
      </c>
      <c r="AN62">
        <v>0.99999998350392205</v>
      </c>
    </row>
    <row r="63" spans="1:40" x14ac:dyDescent="0.25">
      <c r="A63" t="str">
        <f>"20190303153744907"</f>
        <v>20190303153744907</v>
      </c>
      <c r="B63" t="str">
        <f>"1551598664899447"</f>
        <v>1551598664899447</v>
      </c>
      <c r="C63" t="s">
        <v>40</v>
      </c>
      <c r="D63">
        <v>4.2272829999999999</v>
      </c>
      <c r="E63">
        <v>0.51095740000000001</v>
      </c>
      <c r="F63" t="s">
        <v>43</v>
      </c>
      <c r="G63">
        <v>-425.66550000000001</v>
      </c>
      <c r="H63">
        <v>-0.05</v>
      </c>
      <c r="I63">
        <v>366.27600000000001</v>
      </c>
      <c r="J63">
        <v>-472.00990000000002</v>
      </c>
      <c r="K63">
        <v>1.1210819999999999</v>
      </c>
      <c r="L63">
        <v>367.09120000000001</v>
      </c>
      <c r="M63">
        <v>0.99989930000000005</v>
      </c>
      <c r="N63">
        <v>-1.1765309999999999E-2</v>
      </c>
      <c r="O63">
        <v>7.9414919999999996E-3</v>
      </c>
      <c r="P63">
        <v>0.99880279999999999</v>
      </c>
      <c r="Q63">
        <v>-4.6876840000000003E-2</v>
      </c>
      <c r="R63">
        <v>1.39872E-2</v>
      </c>
      <c r="S63">
        <v>3.000702</v>
      </c>
      <c r="T63">
        <v>-7.5725669999999995E-2</v>
      </c>
      <c r="U63">
        <v>-5.2673339999999999E-2</v>
      </c>
      <c r="V63">
        <v>-6.0547439999999999E-3</v>
      </c>
      <c r="W63">
        <v>-3.5121319999999998E-2</v>
      </c>
      <c r="X63">
        <v>0.99936469999999999</v>
      </c>
      <c r="Y63">
        <v>2.5478629999999999E-2</v>
      </c>
      <c r="Z63">
        <v>-5.782917E-4</v>
      </c>
      <c r="AA63">
        <v>0.99967519999999999</v>
      </c>
      <c r="AB63">
        <v>10</v>
      </c>
      <c r="AC63">
        <v>46.3444</v>
      </c>
      <c r="AD63">
        <v>-1.171082</v>
      </c>
      <c r="AE63">
        <v>-0.81520000000000403</v>
      </c>
      <c r="AF63">
        <v>1.1824886098896401</v>
      </c>
      <c r="AG63">
        <v>-1.171082</v>
      </c>
      <c r="AH63">
        <v>46.3069048958792</v>
      </c>
      <c r="AI63">
        <v>91.448205298263403</v>
      </c>
      <c r="AJ63">
        <v>88.537218455028096</v>
      </c>
      <c r="AK63">
        <v>46.336801285794898</v>
      </c>
      <c r="AL63">
        <v>92.012717364710895</v>
      </c>
      <c r="AM63">
        <v>90.347127562827595</v>
      </c>
      <c r="AN63">
        <v>0.99999998532476797</v>
      </c>
    </row>
    <row r="64" spans="1:40" x14ac:dyDescent="0.25">
      <c r="A64" t="str">
        <f>"20190303153744919"</f>
        <v>20190303153744919</v>
      </c>
      <c r="B64" t="str">
        <f>"1551598664909207"</f>
        <v>1551598664909207</v>
      </c>
      <c r="C64" t="s">
        <v>40</v>
      </c>
      <c r="D64">
        <v>4.2358089999999997</v>
      </c>
      <c r="E64">
        <v>0.51044049999999996</v>
      </c>
      <c r="F64" t="s">
        <v>43</v>
      </c>
      <c r="G64">
        <v>-418.73610000000002</v>
      </c>
      <c r="H64">
        <v>-0.05</v>
      </c>
      <c r="I64">
        <v>366.2937</v>
      </c>
      <c r="J64">
        <v>-471.95740000000001</v>
      </c>
      <c r="K64">
        <v>1.1210880000000001</v>
      </c>
      <c r="L64">
        <v>367.09160000000003</v>
      </c>
      <c r="M64">
        <v>0.9998977</v>
      </c>
      <c r="N64">
        <v>-1.1876579999999999E-2</v>
      </c>
      <c r="O64">
        <v>7.988775E-3</v>
      </c>
      <c r="P64">
        <v>0.99877819999999995</v>
      </c>
      <c r="Q64">
        <v>-4.7379289999999998E-2</v>
      </c>
      <c r="R64">
        <v>1.4057969999999999E-2</v>
      </c>
      <c r="S64">
        <v>3.001099</v>
      </c>
      <c r="T64">
        <v>-6.5971139999999998E-2</v>
      </c>
      <c r="U64">
        <v>-4.4921879999999997E-2</v>
      </c>
      <c r="V64">
        <v>-6.0789629999999997E-3</v>
      </c>
      <c r="W64">
        <v>-3.5512780000000001E-2</v>
      </c>
      <c r="X64">
        <v>0.99935070000000004</v>
      </c>
      <c r="Y64">
        <v>2.2945819999999999E-2</v>
      </c>
      <c r="Z64">
        <v>-4.6916409999999998E-4</v>
      </c>
      <c r="AA64">
        <v>0.99973659999999998</v>
      </c>
      <c r="AB64">
        <v>10</v>
      </c>
      <c r="AC64">
        <v>53.2212999999999</v>
      </c>
      <c r="AD64">
        <v>-1.1710879999999999</v>
      </c>
      <c r="AE64">
        <v>-0.79790000000002603</v>
      </c>
      <c r="AF64">
        <v>1.22248568264348</v>
      </c>
      <c r="AG64">
        <v>-1.1710879999999999</v>
      </c>
      <c r="AH64">
        <v>53.187480133988799</v>
      </c>
      <c r="AI64">
        <v>91.261008264060393</v>
      </c>
      <c r="AJ64">
        <v>88.683319089758697</v>
      </c>
      <c r="AK64">
        <v>53.214414977066703</v>
      </c>
      <c r="AL64">
        <v>92.035160410317999</v>
      </c>
      <c r="AM64">
        <v>90.348520922547806</v>
      </c>
      <c r="AN64">
        <v>0.99999996646248601</v>
      </c>
    </row>
    <row r="65" spans="1:40" x14ac:dyDescent="0.25">
      <c r="A65" t="str">
        <f>"20190303153744940"</f>
        <v>20190303153744940</v>
      </c>
      <c r="B65" t="str">
        <f>"1551598664928726"</f>
        <v>1551598664928726</v>
      </c>
      <c r="C65" t="s">
        <v>40</v>
      </c>
      <c r="D65">
        <v>4.2351700000000001</v>
      </c>
      <c r="E65">
        <v>0.50995329999999905</v>
      </c>
      <c r="F65" t="s">
        <v>43</v>
      </c>
      <c r="G65">
        <v>-412.7996</v>
      </c>
      <c r="H65">
        <v>-0.05</v>
      </c>
      <c r="I65">
        <v>366.29340000000002</v>
      </c>
      <c r="J65">
        <v>-471.87509999999997</v>
      </c>
      <c r="K65">
        <v>1.1211009999999999</v>
      </c>
      <c r="L65">
        <v>367.09230000000002</v>
      </c>
      <c r="M65">
        <v>0.99989499999999998</v>
      </c>
      <c r="N65">
        <v>-1.2036430000000001E-2</v>
      </c>
      <c r="O65">
        <v>8.0588120000000003E-3</v>
      </c>
      <c r="P65">
        <v>0.99871860000000001</v>
      </c>
      <c r="Q65">
        <v>-4.8580400000000003E-2</v>
      </c>
      <c r="R65">
        <v>1.418207E-2</v>
      </c>
      <c r="S65">
        <v>3.0014340000000002</v>
      </c>
      <c r="T65">
        <v>-5.9416410000000003E-2</v>
      </c>
      <c r="U65">
        <v>-4.0496829999999998E-2</v>
      </c>
      <c r="V65">
        <v>-6.1340099999999996E-3</v>
      </c>
      <c r="W65">
        <v>-3.6554709999999997E-2</v>
      </c>
      <c r="X65">
        <v>0.9993128</v>
      </c>
      <c r="Y65">
        <v>2.1542459999999999E-2</v>
      </c>
      <c r="Z65">
        <v>-4.0539109999999999E-4</v>
      </c>
      <c r="AA65">
        <v>0.99976779999999998</v>
      </c>
      <c r="AB65">
        <v>10</v>
      </c>
      <c r="AC65">
        <v>59.075499999999899</v>
      </c>
      <c r="AD65">
        <v>-1.1711009999999999</v>
      </c>
      <c r="AE65">
        <v>-0.79890000000000305</v>
      </c>
      <c r="AF65">
        <v>1.2744861721285901</v>
      </c>
      <c r="AG65">
        <v>-1.1711009999999999</v>
      </c>
      <c r="AH65">
        <v>59.043943695463497</v>
      </c>
      <c r="AI65">
        <v>91.136013678053104</v>
      </c>
      <c r="AJ65">
        <v>88.763440647966505</v>
      </c>
      <c r="AK65">
        <v>59.069307424991997</v>
      </c>
      <c r="AL65">
        <v>92.094897388549995</v>
      </c>
      <c r="AM65">
        <v>90.351690152067505</v>
      </c>
      <c r="AN65">
        <v>0.999999972572851</v>
      </c>
    </row>
    <row r="66" spans="1:40" x14ac:dyDescent="0.25">
      <c r="A66" t="str">
        <f>"20190303153744955"</f>
        <v>20190303153744955</v>
      </c>
      <c r="B66" t="str">
        <f>"1551598664949223"</f>
        <v>1551598664949223</v>
      </c>
      <c r="C66" t="s">
        <v>40</v>
      </c>
      <c r="D66">
        <v>4.2098269999999998</v>
      </c>
      <c r="E66">
        <v>0.50979019999999997</v>
      </c>
      <c r="F66" t="s">
        <v>43</v>
      </c>
      <c r="G66">
        <v>-404.22129999999999</v>
      </c>
      <c r="H66">
        <v>-0.05</v>
      </c>
      <c r="I66">
        <v>366.27109999999999</v>
      </c>
      <c r="J66">
        <v>-471.8107</v>
      </c>
      <c r="K66">
        <v>1.1211089999999999</v>
      </c>
      <c r="L66">
        <v>367.09289999999999</v>
      </c>
      <c r="M66">
        <v>0.99989340000000004</v>
      </c>
      <c r="N66">
        <v>-1.2148249999999999E-2</v>
      </c>
      <c r="O66">
        <v>8.1096559999999998E-3</v>
      </c>
      <c r="P66">
        <v>0.99872340000000004</v>
      </c>
      <c r="Q66">
        <v>-4.8548849999999998E-2</v>
      </c>
      <c r="R66">
        <v>1.395183E-2</v>
      </c>
      <c r="S66">
        <v>3.0018009999999999</v>
      </c>
      <c r="T66">
        <v>-5.1961779999999999E-2</v>
      </c>
      <c r="U66">
        <v>-3.6437990000000003E-2</v>
      </c>
      <c r="V66">
        <v>-5.8528999999999899E-3</v>
      </c>
      <c r="W66">
        <v>-3.6411350000000002E-2</v>
      </c>
      <c r="X66">
        <v>0.99931970000000003</v>
      </c>
      <c r="Y66">
        <v>2.0241809999999999E-2</v>
      </c>
      <c r="Z66">
        <v>-3.4000060000000001E-4</v>
      </c>
      <c r="AA66">
        <v>0.99979510000000005</v>
      </c>
      <c r="AB66">
        <v>10</v>
      </c>
      <c r="AC66">
        <v>67.589399999999998</v>
      </c>
      <c r="AD66">
        <v>-1.171109</v>
      </c>
      <c r="AE66">
        <v>-0.82179999999999598</v>
      </c>
      <c r="AF66">
        <v>1.3695290656357699</v>
      </c>
      <c r="AG66">
        <v>-1.171109</v>
      </c>
      <c r="AH66">
        <v>67.560232235595393</v>
      </c>
      <c r="AI66">
        <v>90.9928785530022</v>
      </c>
      <c r="AJ66">
        <v>88.838703075679007</v>
      </c>
      <c r="AK66">
        <v>67.584259157581201</v>
      </c>
      <c r="AL66">
        <v>92.086678034710502</v>
      </c>
      <c r="AM66">
        <v>90.335570922415599</v>
      </c>
      <c r="AN66">
        <v>0.99999995282765997</v>
      </c>
    </row>
    <row r="67" spans="1:40" x14ac:dyDescent="0.25">
      <c r="A67" t="str">
        <f>"20190303153744973"</f>
        <v>20190303153744973</v>
      </c>
      <c r="B67" t="str">
        <f>"1551598664968742"</f>
        <v>1551598664968742</v>
      </c>
      <c r="C67" t="s">
        <v>40</v>
      </c>
      <c r="D67">
        <v>4.2004650000000003</v>
      </c>
      <c r="E67">
        <v>0.50959569999999998</v>
      </c>
      <c r="F67" t="s">
        <v>42</v>
      </c>
      <c r="G67">
        <v>-399.29700000000003</v>
      </c>
      <c r="H67" s="1">
        <v>-1.1263769999999999E-6</v>
      </c>
      <c r="I67">
        <v>366.22969999999998</v>
      </c>
      <c r="J67">
        <v>-471.7328</v>
      </c>
      <c r="K67">
        <v>1.1211329999999999</v>
      </c>
      <c r="L67">
        <v>367.09359999999998</v>
      </c>
      <c r="M67">
        <v>0.99989159999999999</v>
      </c>
      <c r="N67">
        <v>-1.226874E-2</v>
      </c>
      <c r="O67">
        <v>8.1676609999999997E-3</v>
      </c>
      <c r="P67">
        <v>0.99875630000000004</v>
      </c>
      <c r="Q67">
        <v>-4.803205E-2</v>
      </c>
      <c r="R67">
        <v>1.339593E-2</v>
      </c>
      <c r="S67">
        <v>3.0021059999999999</v>
      </c>
      <c r="T67">
        <v>-4.6414490000000003E-2</v>
      </c>
      <c r="U67">
        <v>-3.5736080000000003E-2</v>
      </c>
      <c r="V67">
        <v>-5.2387939999999997E-3</v>
      </c>
      <c r="W67">
        <v>-3.5773819999999998E-2</v>
      </c>
      <c r="X67">
        <v>0.99934619999999996</v>
      </c>
      <c r="Y67">
        <v>2.006579E-2</v>
      </c>
      <c r="Z67">
        <v>-3.0427360000000002E-4</v>
      </c>
      <c r="AA67">
        <v>0.99979859999999998</v>
      </c>
      <c r="AB67">
        <v>10</v>
      </c>
      <c r="AC67">
        <v>72.4358</v>
      </c>
      <c r="AD67">
        <v>-1.1211341263769901</v>
      </c>
      <c r="AE67">
        <v>-0.863900000000001</v>
      </c>
      <c r="AF67">
        <v>1.4551980853337301</v>
      </c>
      <c r="AG67">
        <v>-1.1211341263769901</v>
      </c>
      <c r="AH67">
        <v>72.408983302032496</v>
      </c>
      <c r="AI67">
        <v>90.886881064548803</v>
      </c>
      <c r="AJ67">
        <v>88.848685858383803</v>
      </c>
      <c r="AK67">
        <v>72.432281518884295</v>
      </c>
      <c r="AL67">
        <v>92.050126302522798</v>
      </c>
      <c r="AM67">
        <v>90.300354408134496</v>
      </c>
      <c r="AN67">
        <v>1.0000000193072001</v>
      </c>
    </row>
    <row r="68" spans="1:40" x14ac:dyDescent="0.25">
      <c r="A68" t="str">
        <f>"20190303153744988"</f>
        <v>20190303153744988</v>
      </c>
      <c r="B68" t="str">
        <f>"1551598664979479"</f>
        <v>1551598664979479</v>
      </c>
      <c r="C68" t="s">
        <v>40</v>
      </c>
      <c r="D68">
        <v>4.2321169999999997</v>
      </c>
      <c r="E68">
        <v>0.50932630000000001</v>
      </c>
      <c r="F68" t="s">
        <v>42</v>
      </c>
      <c r="G68">
        <v>-393.25189999999998</v>
      </c>
      <c r="H68" s="1">
        <v>-3.4909969999999998E-6</v>
      </c>
      <c r="I68">
        <v>366.15620000000001</v>
      </c>
      <c r="J68">
        <v>-471.66669999999999</v>
      </c>
      <c r="K68">
        <v>1.121148</v>
      </c>
      <c r="L68">
        <v>367.0942</v>
      </c>
      <c r="M68">
        <v>0.9998899</v>
      </c>
      <c r="N68">
        <v>-1.236051E-2</v>
      </c>
      <c r="O68">
        <v>8.2152449999999995E-3</v>
      </c>
      <c r="P68">
        <v>0.99878750000000005</v>
      </c>
      <c r="Q68">
        <v>-4.7539329999999998E-2</v>
      </c>
      <c r="R68">
        <v>1.2806970000000001E-2</v>
      </c>
      <c r="S68">
        <v>3.0021969999999998</v>
      </c>
      <c r="T68">
        <v>-4.2887689999999999E-2</v>
      </c>
      <c r="U68">
        <v>-3.5858149999999998E-2</v>
      </c>
      <c r="V68">
        <v>-4.6022509999999999E-3</v>
      </c>
      <c r="W68">
        <v>-3.5189129999999999E-2</v>
      </c>
      <c r="X68">
        <v>0.99937010000000004</v>
      </c>
      <c r="Y68">
        <v>2.0154149999999999E-2</v>
      </c>
      <c r="Z68">
        <v>-2.8432659999999999E-4</v>
      </c>
      <c r="AA68">
        <v>0.99979689999999999</v>
      </c>
      <c r="AB68">
        <v>10</v>
      </c>
      <c r="AC68">
        <v>78.4148</v>
      </c>
      <c r="AD68">
        <v>-1.121151490997</v>
      </c>
      <c r="AE68">
        <v>-0.93799999999998795</v>
      </c>
      <c r="AF68">
        <v>1.5818909939308701</v>
      </c>
      <c r="AG68">
        <v>-1.121151490997</v>
      </c>
      <c r="AH68">
        <v>78.388424739521795</v>
      </c>
      <c r="AI68">
        <v>90.819251004601995</v>
      </c>
      <c r="AJ68">
        <v>88.843918889156299</v>
      </c>
      <c r="AK68">
        <v>78.412400122213597</v>
      </c>
      <c r="AL68">
        <v>92.016604912240098</v>
      </c>
      <c r="AM68">
        <v>90.263853896094005</v>
      </c>
      <c r="AN68">
        <v>1.0000000261792099</v>
      </c>
    </row>
    <row r="69" spans="1:40" x14ac:dyDescent="0.25">
      <c r="A69" t="str">
        <f>"20190303153745006"</f>
        <v>20190303153745006</v>
      </c>
      <c r="B69" t="str">
        <f>"1551598664998998"</f>
        <v>1551598664998998</v>
      </c>
      <c r="C69" t="s">
        <v>40</v>
      </c>
      <c r="D69">
        <v>4.215211</v>
      </c>
      <c r="E69">
        <v>0.50890029999999997</v>
      </c>
      <c r="F69" t="s">
        <v>42</v>
      </c>
      <c r="G69">
        <v>-389.68520000000001</v>
      </c>
      <c r="H69" s="1">
        <v>-1.022141E-6</v>
      </c>
      <c r="I69">
        <v>366.12490000000003</v>
      </c>
      <c r="J69">
        <v>-471.59010000000001</v>
      </c>
      <c r="K69">
        <v>1.1211679999999999</v>
      </c>
      <c r="L69">
        <v>367.0949</v>
      </c>
      <c r="M69">
        <v>0.99988840000000001</v>
      </c>
      <c r="N69">
        <v>-1.2454059999999999E-2</v>
      </c>
      <c r="O69">
        <v>8.2683749999999997E-3</v>
      </c>
      <c r="P69">
        <v>0.99881850000000005</v>
      </c>
      <c r="Q69">
        <v>-4.7136110000000002E-2</v>
      </c>
      <c r="R69">
        <v>1.1850960000000001E-2</v>
      </c>
      <c r="S69">
        <v>3.0021059999999999</v>
      </c>
      <c r="T69">
        <v>-4.1055679999999997E-2</v>
      </c>
      <c r="U69">
        <v>-3.549194E-2</v>
      </c>
      <c r="V69">
        <v>-3.5925290000000001E-3</v>
      </c>
      <c r="W69">
        <v>-3.4692189999999998E-2</v>
      </c>
      <c r="X69">
        <v>0.99939160000000005</v>
      </c>
      <c r="Y69">
        <v>2.0085970000000002E-2</v>
      </c>
      <c r="Z69">
        <v>-2.725211E-4</v>
      </c>
      <c r="AA69">
        <v>0.99979819999999997</v>
      </c>
      <c r="AB69">
        <v>10</v>
      </c>
      <c r="AC69">
        <v>81.904899999999998</v>
      </c>
      <c r="AD69">
        <v>-1.121169022141</v>
      </c>
      <c r="AE69">
        <v>-0.96999999999997</v>
      </c>
      <c r="AF69">
        <v>1.64693113645676</v>
      </c>
      <c r="AG69">
        <v>-1.121169022141</v>
      </c>
      <c r="AH69">
        <v>81.878738560347102</v>
      </c>
      <c r="AI69">
        <v>90.784345866673803</v>
      </c>
      <c r="AJ69">
        <v>88.847692548693999</v>
      </c>
      <c r="AK69">
        <v>81.902974490418302</v>
      </c>
      <c r="AL69">
        <v>91.988114979471007</v>
      </c>
      <c r="AM69">
        <v>90.205961169654501</v>
      </c>
      <c r="AN69">
        <v>1.0000000122310799</v>
      </c>
    </row>
    <row r="70" spans="1:40" x14ac:dyDescent="0.25">
      <c r="A70" t="str">
        <f>"20190303153745029"</f>
        <v>20190303153745029</v>
      </c>
      <c r="B70" t="str">
        <f>"1551598665018519"</f>
        <v>1551598665018519</v>
      </c>
      <c r="C70" t="s">
        <v>40</v>
      </c>
      <c r="D70">
        <v>4.2395630000000004</v>
      </c>
      <c r="E70">
        <v>0.50861840000000003</v>
      </c>
      <c r="F70" t="s">
        <v>42</v>
      </c>
      <c r="G70">
        <v>-388.53129999999999</v>
      </c>
      <c r="H70" s="1">
        <v>-1.413779E-6</v>
      </c>
      <c r="I70">
        <v>366.12889999999999</v>
      </c>
      <c r="J70">
        <v>-471.49520000000001</v>
      </c>
      <c r="K70">
        <v>1.1211899999999999</v>
      </c>
      <c r="L70">
        <v>367.0958</v>
      </c>
      <c r="M70">
        <v>0.99988659999999996</v>
      </c>
      <c r="N70">
        <v>-1.2556879999999999E-2</v>
      </c>
      <c r="O70">
        <v>8.3337429999999994E-3</v>
      </c>
      <c r="P70">
        <v>0.99883759999999999</v>
      </c>
      <c r="Q70">
        <v>-4.6892009999999998E-2</v>
      </c>
      <c r="R70">
        <v>1.1171459999999999E-2</v>
      </c>
      <c r="S70">
        <v>3.0020449999999999</v>
      </c>
      <c r="T70">
        <v>-4.0523049999999998E-2</v>
      </c>
      <c r="U70">
        <v>-3.4912110000000003E-2</v>
      </c>
      <c r="V70">
        <v>-2.8472430000000002E-3</v>
      </c>
      <c r="W70">
        <v>-3.4345210000000001E-2</v>
      </c>
      <c r="X70">
        <v>0.99940600000000002</v>
      </c>
      <c r="Y70">
        <v>1.995858E-2</v>
      </c>
      <c r="Z70">
        <v>-2.6786220000000002E-4</v>
      </c>
      <c r="AA70">
        <v>0.99980080000000005</v>
      </c>
      <c r="AB70">
        <v>9</v>
      </c>
      <c r="AC70">
        <v>82.963899999999995</v>
      </c>
      <c r="AD70">
        <v>-1.121191413779</v>
      </c>
      <c r="AE70">
        <v>-0.96690000000000897</v>
      </c>
      <c r="AF70">
        <v>1.6580178671919401</v>
      </c>
      <c r="AG70">
        <v>-1.121191413779</v>
      </c>
      <c r="AH70">
        <v>82.9378147993353</v>
      </c>
      <c r="AI70">
        <v>90.7743487468165</v>
      </c>
      <c r="AJ70">
        <v>88.854747085365304</v>
      </c>
      <c r="AK70">
        <v>82.961962471503099</v>
      </c>
      <c r="AL70">
        <v>91.968222607065101</v>
      </c>
      <c r="AM70">
        <v>90.163231525318295</v>
      </c>
      <c r="AN70">
        <v>1.0000000265393201</v>
      </c>
    </row>
    <row r="71" spans="1:40" x14ac:dyDescent="0.25">
      <c r="A71" t="str">
        <f>"20190303153745044"</f>
        <v>20190303153745044</v>
      </c>
      <c r="B71" t="str">
        <f>"1551598665039014"</f>
        <v>1551598665039014</v>
      </c>
      <c r="C71" t="s">
        <v>40</v>
      </c>
      <c r="D71">
        <v>4.2275119999999999</v>
      </c>
      <c r="E71">
        <v>0.50852619999999904</v>
      </c>
      <c r="F71" t="s">
        <v>42</v>
      </c>
      <c r="G71">
        <v>-386.08080000000001</v>
      </c>
      <c r="H71" s="1">
        <v>-2.2869539999999999E-6</v>
      </c>
      <c r="I71">
        <v>366.10239999999999</v>
      </c>
      <c r="J71">
        <v>-471.43169999999998</v>
      </c>
      <c r="K71">
        <v>1.1212040000000001</v>
      </c>
      <c r="L71">
        <v>367.09629999999999</v>
      </c>
      <c r="M71">
        <v>0.99988560000000004</v>
      </c>
      <c r="N71">
        <v>-1.259089E-2</v>
      </c>
      <c r="O71">
        <v>8.3780869999999993E-3</v>
      </c>
      <c r="P71">
        <v>0.9988283</v>
      </c>
      <c r="Q71">
        <v>-4.7167649999999998E-2</v>
      </c>
      <c r="R71">
        <v>1.0838779999999999E-2</v>
      </c>
      <c r="S71">
        <v>3.0020449999999999</v>
      </c>
      <c r="T71">
        <v>-3.9406299999999998E-2</v>
      </c>
      <c r="U71">
        <v>-3.4912110000000003E-2</v>
      </c>
      <c r="V71">
        <v>-2.470744E-3</v>
      </c>
      <c r="W71">
        <v>-3.4587020000000003E-2</v>
      </c>
      <c r="X71">
        <v>0.99939860000000003</v>
      </c>
      <c r="Y71">
        <v>2.000306E-2</v>
      </c>
      <c r="Z71">
        <v>-2.6170190000000002E-4</v>
      </c>
      <c r="AA71">
        <v>0.99979989999999996</v>
      </c>
      <c r="AB71">
        <v>9</v>
      </c>
      <c r="AC71">
        <v>85.350899999999896</v>
      </c>
      <c r="AD71">
        <v>-1.121206286954</v>
      </c>
      <c r="AE71">
        <v>-0.99389999999999601</v>
      </c>
      <c r="AF71">
        <v>1.70870426391671</v>
      </c>
      <c r="AG71">
        <v>-1.121206286954</v>
      </c>
      <c r="AH71">
        <v>85.324854182378402</v>
      </c>
      <c r="AI71">
        <v>90.752697633968594</v>
      </c>
      <c r="AJ71">
        <v>88.852755630033997</v>
      </c>
      <c r="AK71">
        <v>85.349326388926897</v>
      </c>
      <c r="AL71">
        <v>91.982085659397995</v>
      </c>
      <c r="AM71">
        <v>90.141648102219094</v>
      </c>
      <c r="AN71">
        <v>0.999999964105176</v>
      </c>
    </row>
    <row r="72" spans="1:40" x14ac:dyDescent="0.25">
      <c r="A72" t="str">
        <f>"20190303153745063"</f>
        <v>20190303153745063</v>
      </c>
      <c r="B72" t="str">
        <f>"1551598665059511"</f>
        <v>1551598665059511</v>
      </c>
      <c r="C72" t="s">
        <v>40</v>
      </c>
      <c r="D72">
        <v>4.2553449999999904</v>
      </c>
      <c r="E72">
        <v>0.50854829999999995</v>
      </c>
      <c r="F72" t="s">
        <v>42</v>
      </c>
      <c r="G72">
        <v>-386.33550000000002</v>
      </c>
      <c r="H72" s="1">
        <v>-2.1778359999999999E-6</v>
      </c>
      <c r="I72">
        <v>366.10140000000001</v>
      </c>
      <c r="J72">
        <v>-471.35169999999999</v>
      </c>
      <c r="K72">
        <v>1.121154</v>
      </c>
      <c r="L72">
        <v>367.09699999999998</v>
      </c>
      <c r="M72">
        <v>0.99988500000000002</v>
      </c>
      <c r="N72">
        <v>-1.244953E-2</v>
      </c>
      <c r="O72">
        <v>8.6701959999999998E-3</v>
      </c>
      <c r="P72">
        <v>0.99883949999999999</v>
      </c>
      <c r="Q72">
        <v>-4.6927730000000001E-2</v>
      </c>
      <c r="R72">
        <v>1.085269E-2</v>
      </c>
      <c r="S72">
        <v>3.002014</v>
      </c>
      <c r="T72">
        <v>-3.955376E-2</v>
      </c>
      <c r="U72">
        <v>-3.5095210000000002E-2</v>
      </c>
      <c r="V72">
        <v>-2.193876E-3</v>
      </c>
      <c r="W72">
        <v>-3.4488190000000002E-2</v>
      </c>
      <c r="X72">
        <v>0.99940269999999998</v>
      </c>
      <c r="Y72">
        <v>2.035615E-2</v>
      </c>
      <c r="Z72">
        <v>-2.6711360000000002E-4</v>
      </c>
      <c r="AA72">
        <v>0.99979280000000004</v>
      </c>
      <c r="AB72">
        <v>9</v>
      </c>
      <c r="AC72">
        <v>85.016199999999898</v>
      </c>
      <c r="AD72">
        <v>-1.121156177836</v>
      </c>
      <c r="AE72">
        <v>-0.99559999999996696</v>
      </c>
      <c r="AF72">
        <v>1.73242550617311</v>
      </c>
      <c r="AG72">
        <v>-1.121156177836</v>
      </c>
      <c r="AH72">
        <v>84.989592638686801</v>
      </c>
      <c r="AI72">
        <v>90.755627251210697</v>
      </c>
      <c r="AJ72">
        <v>88.832246133233497</v>
      </c>
      <c r="AK72">
        <v>85.014640775571493</v>
      </c>
      <c r="AL72">
        <v>91.976419660985897</v>
      </c>
      <c r="AM72">
        <v>90.125774758929694</v>
      </c>
      <c r="AN72">
        <v>1.0000000025543301</v>
      </c>
    </row>
    <row r="73" spans="1:40" x14ac:dyDescent="0.25">
      <c r="A73" t="str">
        <f>"20190303153745085"</f>
        <v>20190303153745085</v>
      </c>
      <c r="B73" t="str">
        <f>"1551598665079030"</f>
        <v>1551598665079030</v>
      </c>
      <c r="C73" t="s">
        <v>40</v>
      </c>
      <c r="D73">
        <v>4.224056</v>
      </c>
      <c r="E73">
        <v>0.50842639999999995</v>
      </c>
      <c r="F73" t="s">
        <v>42</v>
      </c>
      <c r="G73">
        <v>-382.39</v>
      </c>
      <c r="H73" s="1">
        <v>-3.8792890000000002E-6</v>
      </c>
      <c r="I73">
        <v>366.05160000000001</v>
      </c>
      <c r="J73">
        <v>-471.2552</v>
      </c>
      <c r="K73">
        <v>1.1211340000000001</v>
      </c>
      <c r="L73">
        <v>367.09780000000001</v>
      </c>
      <c r="M73">
        <v>0.99988520000000003</v>
      </c>
      <c r="N73">
        <v>-1.223279E-2</v>
      </c>
      <c r="O73">
        <v>8.9417999999999997E-3</v>
      </c>
      <c r="P73">
        <v>0.99887349999999997</v>
      </c>
      <c r="Q73">
        <v>-4.6025440000000001E-2</v>
      </c>
      <c r="R73">
        <v>1.155492E-2</v>
      </c>
      <c r="S73">
        <v>3.0021059999999999</v>
      </c>
      <c r="T73">
        <v>-3.7834640000000003E-2</v>
      </c>
      <c r="U73">
        <v>-3.5278320000000002E-2</v>
      </c>
      <c r="V73">
        <v>-2.6185449999999999E-3</v>
      </c>
      <c r="W73">
        <v>-3.3802520000000003E-2</v>
      </c>
      <c r="X73">
        <v>0.99942509999999996</v>
      </c>
      <c r="Y73">
        <v>2.068853E-2</v>
      </c>
      <c r="Z73">
        <v>-2.6021399999999999E-4</v>
      </c>
      <c r="AA73">
        <v>0.99978599999999995</v>
      </c>
      <c r="AB73">
        <v>9</v>
      </c>
      <c r="AC73">
        <v>88.865200000000002</v>
      </c>
      <c r="AD73">
        <v>-1.1211378792890001</v>
      </c>
      <c r="AE73">
        <v>-1.04619999999999</v>
      </c>
      <c r="AF73">
        <v>1.8405395559603199</v>
      </c>
      <c r="AG73">
        <v>-1.1211378792890001</v>
      </c>
      <c r="AH73">
        <v>88.838152948611096</v>
      </c>
      <c r="AI73">
        <v>90.722879497332997</v>
      </c>
      <c r="AJ73">
        <v>88.813121831606296</v>
      </c>
      <c r="AK73">
        <v>88.8642895392871</v>
      </c>
      <c r="AL73">
        <v>91.937110748483505</v>
      </c>
      <c r="AM73">
        <v>90.150117536232401</v>
      </c>
      <c r="AN73">
        <v>0.99999999882313795</v>
      </c>
    </row>
    <row r="74" spans="1:40" x14ac:dyDescent="0.25">
      <c r="A74" t="str">
        <f>"20190303153745099"</f>
        <v>20190303153745099</v>
      </c>
      <c r="B74" t="str">
        <f>"1551598665088792"</f>
        <v>1551598665088792</v>
      </c>
      <c r="C74" t="s">
        <v>40</v>
      </c>
      <c r="D74">
        <v>4.222709</v>
      </c>
      <c r="E74">
        <v>0.50837140000000003</v>
      </c>
      <c r="F74" t="s">
        <v>42</v>
      </c>
      <c r="G74">
        <v>-373.31979999999999</v>
      </c>
      <c r="H74" s="1">
        <v>-3.4808140000000002E-6</v>
      </c>
      <c r="I74">
        <v>366.04939999999999</v>
      </c>
      <c r="J74">
        <v>-471.19409999999999</v>
      </c>
      <c r="K74">
        <v>1.121164</v>
      </c>
      <c r="L74">
        <v>367.09829999999999</v>
      </c>
      <c r="M74">
        <v>0.99988750000000004</v>
      </c>
      <c r="N74">
        <v>-1.209146E-2</v>
      </c>
      <c r="O74">
        <v>8.8890600000000007E-3</v>
      </c>
      <c r="P74">
        <v>0.99889680000000003</v>
      </c>
      <c r="Q74">
        <v>-4.5425420000000001E-2</v>
      </c>
      <c r="R74">
        <v>1.1930380000000001E-2</v>
      </c>
      <c r="S74">
        <v>3.002167</v>
      </c>
      <c r="T74">
        <v>-3.4367920000000003E-2</v>
      </c>
      <c r="U74">
        <v>-3.2135009999999999E-2</v>
      </c>
      <c r="V74">
        <v>-3.0379669999999999E-3</v>
      </c>
      <c r="W74">
        <v>-3.3344270000000002E-2</v>
      </c>
      <c r="X74">
        <v>0.99943930000000003</v>
      </c>
      <c r="Y74">
        <v>1.958946E-2</v>
      </c>
      <c r="Z74">
        <v>-2.2483940000000001E-4</v>
      </c>
      <c r="AA74">
        <v>0.99980809999999998</v>
      </c>
      <c r="AB74">
        <v>10</v>
      </c>
      <c r="AC74">
        <v>97.874300000000005</v>
      </c>
      <c r="AD74">
        <v>-1.121167480814</v>
      </c>
      <c r="AE74">
        <v>-1.0488999999999999</v>
      </c>
      <c r="AF74">
        <v>1.9186808417083301</v>
      </c>
      <c r="AG74">
        <v>-1.121167480814</v>
      </c>
      <c r="AH74">
        <v>97.848269873235097</v>
      </c>
      <c r="AI74">
        <v>90.656353036182693</v>
      </c>
      <c r="AJ74">
        <v>88.876646177757095</v>
      </c>
      <c r="AK74">
        <v>97.873501367212896</v>
      </c>
      <c r="AL74">
        <v>91.910840160402799</v>
      </c>
      <c r="AM74">
        <v>90.174159802714399</v>
      </c>
      <c r="AN74">
        <v>0.99999999198490797</v>
      </c>
    </row>
    <row r="75" spans="1:40" x14ac:dyDescent="0.25">
      <c r="A75" t="str">
        <f>"20190303153745118"</f>
        <v>20190303153745118</v>
      </c>
      <c r="B75" t="str">
        <f>"1551598665109286"</f>
        <v>1551598665109286</v>
      </c>
      <c r="C75" t="s">
        <v>40</v>
      </c>
      <c r="D75">
        <v>4.2220190000000004</v>
      </c>
      <c r="E75">
        <v>0.50824789999999997</v>
      </c>
      <c r="F75" t="s">
        <v>42</v>
      </c>
      <c r="G75">
        <v>-368.84859999999998</v>
      </c>
      <c r="H75" s="1">
        <v>-1.327732E-6</v>
      </c>
      <c r="I75">
        <v>366.04640000000001</v>
      </c>
      <c r="J75">
        <v>-471.11669999999998</v>
      </c>
      <c r="K75">
        <v>1.1211709999999999</v>
      </c>
      <c r="L75">
        <v>367.09910000000002</v>
      </c>
      <c r="M75">
        <v>0.99989209999999995</v>
      </c>
      <c r="N75">
        <v>-1.1843940000000001E-2</v>
      </c>
      <c r="O75">
        <v>8.6962629999999992E-3</v>
      </c>
      <c r="P75">
        <v>0.99892159999999997</v>
      </c>
      <c r="Q75">
        <v>-4.4634170000000001E-2</v>
      </c>
      <c r="R75">
        <v>1.2801710000000001E-2</v>
      </c>
      <c r="S75">
        <v>3.0021969999999998</v>
      </c>
      <c r="T75">
        <v>-3.2888170000000001E-2</v>
      </c>
      <c r="U75">
        <v>-3.0853269999999999E-2</v>
      </c>
      <c r="V75">
        <v>-4.0926879999999997E-3</v>
      </c>
      <c r="W75">
        <v>-3.2801650000000002E-2</v>
      </c>
      <c r="X75">
        <v>0.99945349999999999</v>
      </c>
      <c r="Y75">
        <v>1.8970009999999999E-2</v>
      </c>
      <c r="Z75">
        <v>-2.08514E-4</v>
      </c>
      <c r="AA75">
        <v>0.99982009999999999</v>
      </c>
      <c r="AB75">
        <v>10</v>
      </c>
      <c r="AC75">
        <v>102.2681</v>
      </c>
      <c r="AD75">
        <v>-1.12117232773199</v>
      </c>
      <c r="AE75">
        <v>-1.05270000000001</v>
      </c>
      <c r="AF75">
        <v>1.94183945345848</v>
      </c>
      <c r="AG75">
        <v>-1.12117232773199</v>
      </c>
      <c r="AH75">
        <v>102.242790028351</v>
      </c>
      <c r="AI75">
        <v>90.628154674930002</v>
      </c>
      <c r="AJ75">
        <v>88.911944494979394</v>
      </c>
      <c r="AK75">
        <v>102.267374468268</v>
      </c>
      <c r="AL75">
        <v>91.879733294325007</v>
      </c>
      <c r="AM75">
        <v>90.234620658770595</v>
      </c>
      <c r="AN75">
        <v>0.99999999850001797</v>
      </c>
    </row>
    <row r="76" spans="1:40" x14ac:dyDescent="0.25">
      <c r="A76" t="str">
        <f>"20190303153745140"</f>
        <v>20190303153745140</v>
      </c>
      <c r="B76" t="str">
        <f>"1551598665128806"</f>
        <v>1551598665128806</v>
      </c>
      <c r="C76" t="s">
        <v>40</v>
      </c>
      <c r="D76">
        <v>4.2333179999999997</v>
      </c>
      <c r="E76">
        <v>0.50810880000000003</v>
      </c>
      <c r="F76" t="s">
        <v>42</v>
      </c>
      <c r="G76">
        <v>-359.0453</v>
      </c>
      <c r="H76" s="1">
        <v>-1.250524E-6</v>
      </c>
      <c r="I76">
        <v>366.08510000000001</v>
      </c>
      <c r="J76">
        <v>-471.01920000000001</v>
      </c>
      <c r="K76">
        <v>1.121068</v>
      </c>
      <c r="L76">
        <v>367.1</v>
      </c>
      <c r="M76">
        <v>0.99989980000000001</v>
      </c>
      <c r="N76">
        <v>-1.1358740000000001E-2</v>
      </c>
      <c r="O76">
        <v>8.4550860000000005E-3</v>
      </c>
      <c r="P76">
        <v>0.99895809999999996</v>
      </c>
      <c r="Q76">
        <v>-4.3640560000000002E-2</v>
      </c>
      <c r="R76">
        <v>1.336624E-2</v>
      </c>
      <c r="S76">
        <v>3.0022280000000001</v>
      </c>
      <c r="T76">
        <v>-3.0034539999999998E-2</v>
      </c>
      <c r="U76">
        <v>-2.716064E-2</v>
      </c>
      <c r="V76">
        <v>-4.8938920000000004E-3</v>
      </c>
      <c r="W76">
        <v>-3.2293769999999999E-2</v>
      </c>
      <c r="X76">
        <v>0.99946639999999998</v>
      </c>
      <c r="Y76">
        <v>1.7499540000000001E-2</v>
      </c>
      <c r="Z76">
        <v>-1.7546749999999999E-4</v>
      </c>
      <c r="AA76">
        <v>0.99984689999999998</v>
      </c>
      <c r="AB76">
        <v>10</v>
      </c>
      <c r="AC76">
        <v>111.9739</v>
      </c>
      <c r="AD76">
        <v>-1.1210692505240001</v>
      </c>
      <c r="AE76">
        <v>-1.0149000000000099</v>
      </c>
      <c r="AF76">
        <v>1.9614770987888701</v>
      </c>
      <c r="AG76">
        <v>-1.1210692505240001</v>
      </c>
      <c r="AH76">
        <v>111.950094667828</v>
      </c>
      <c r="AI76">
        <v>90.5736532324065</v>
      </c>
      <c r="AJ76">
        <v>88.996223614561202</v>
      </c>
      <c r="AK76">
        <v>111.972889061635</v>
      </c>
      <c r="AL76">
        <v>91.850618556916899</v>
      </c>
      <c r="AM76">
        <v>90.280546815876804</v>
      </c>
      <c r="AN76">
        <v>0.99999996124433899</v>
      </c>
    </row>
    <row r="77" spans="1:40" x14ac:dyDescent="0.25">
      <c r="A77" t="str">
        <f>"20190303153745154"</f>
        <v>20190303153745154</v>
      </c>
      <c r="B77" t="str">
        <f>"1551598665149302"</f>
        <v>1551598665149302</v>
      </c>
      <c r="C77" t="s">
        <v>40</v>
      </c>
      <c r="D77">
        <v>4.2013210000000001</v>
      </c>
      <c r="E77">
        <v>0.50799240000000001</v>
      </c>
      <c r="F77" t="s">
        <v>42</v>
      </c>
      <c r="G77">
        <v>-347.67430000000002</v>
      </c>
      <c r="H77" s="1">
        <v>-1.8150560000000001E-6</v>
      </c>
      <c r="I77">
        <v>366.09199999999998</v>
      </c>
      <c r="J77">
        <v>-470.95979999999997</v>
      </c>
      <c r="K77">
        <v>1.120957</v>
      </c>
      <c r="L77">
        <v>367.10059999999999</v>
      </c>
      <c r="M77">
        <v>0.99990449999999997</v>
      </c>
      <c r="N77">
        <v>-1.099169E-2</v>
      </c>
      <c r="O77">
        <v>8.3896679999999994E-3</v>
      </c>
      <c r="P77">
        <v>0.99897919999999996</v>
      </c>
      <c r="Q77">
        <v>-4.3092529999999997E-2</v>
      </c>
      <c r="R77">
        <v>1.355961E-2</v>
      </c>
      <c r="S77">
        <v>3.0022579999999999</v>
      </c>
      <c r="T77">
        <v>-2.7287240000000001E-2</v>
      </c>
      <c r="U77">
        <v>-2.453613E-2</v>
      </c>
      <c r="V77">
        <v>-5.15366E-3</v>
      </c>
      <c r="W77">
        <v>-3.2112429999999997E-2</v>
      </c>
      <c r="X77">
        <v>0.99947090000000005</v>
      </c>
      <c r="Y77">
        <v>1.6560370000000001E-2</v>
      </c>
      <c r="Z77">
        <v>-1.5030840000000001E-4</v>
      </c>
      <c r="AA77">
        <v>0.99986280000000005</v>
      </c>
      <c r="AB77">
        <v>10</v>
      </c>
      <c r="AC77">
        <v>123.285499999999</v>
      </c>
      <c r="AD77">
        <v>-1.1209588150559999</v>
      </c>
      <c r="AE77">
        <v>-1.0085999999999999</v>
      </c>
      <c r="AF77">
        <v>2.0427824226475</v>
      </c>
      <c r="AG77">
        <v>-1.1209588150559999</v>
      </c>
      <c r="AH77">
        <v>123.262508648981</v>
      </c>
      <c r="AI77">
        <v>90.520966366658996</v>
      </c>
      <c r="AJ77">
        <v>89.050545871607994</v>
      </c>
      <c r="AK77">
        <v>123.28453085092001</v>
      </c>
      <c r="AL77">
        <v>91.840223216487004</v>
      </c>
      <c r="AM77">
        <v>90.295436665598899</v>
      </c>
      <c r="AN77">
        <v>0.99999992415935202</v>
      </c>
    </row>
    <row r="78" spans="1:40" x14ac:dyDescent="0.25">
      <c r="A78" t="str">
        <f>"20190303153745167"</f>
        <v>20190303153745167</v>
      </c>
      <c r="B78" t="str">
        <f>"1551598665159064"</f>
        <v>1551598665159064</v>
      </c>
      <c r="C78" t="s">
        <v>40</v>
      </c>
      <c r="D78">
        <v>4.1780140000000001</v>
      </c>
      <c r="E78">
        <v>0.50795459999999903</v>
      </c>
      <c r="F78" t="s">
        <v>42</v>
      </c>
      <c r="G78">
        <v>-344.69839999999999</v>
      </c>
      <c r="H78" s="1">
        <v>-3.1045009999999999E-6</v>
      </c>
      <c r="I78">
        <v>366.13290000000001</v>
      </c>
      <c r="J78">
        <v>-470.89339999999999</v>
      </c>
      <c r="K78">
        <v>1.1208089999999999</v>
      </c>
      <c r="L78">
        <v>367.10129999999998</v>
      </c>
      <c r="M78">
        <v>0.99990919999999905</v>
      </c>
      <c r="N78">
        <v>-1.054092E-2</v>
      </c>
      <c r="O78">
        <v>8.4121930000000001E-3</v>
      </c>
      <c r="P78">
        <v>0.99900880000000003</v>
      </c>
      <c r="Q78">
        <v>-4.2352689999999998E-2</v>
      </c>
      <c r="R78">
        <v>1.369853E-2</v>
      </c>
      <c r="S78">
        <v>3.0021969999999998</v>
      </c>
      <c r="T78">
        <v>-2.665377E-2</v>
      </c>
      <c r="U78">
        <v>-2.3010249999999999E-2</v>
      </c>
      <c r="V78">
        <v>-5.2738079999999996E-3</v>
      </c>
      <c r="W78">
        <v>-3.1822360000000001E-2</v>
      </c>
      <c r="X78">
        <v>0.99947969999999997</v>
      </c>
      <c r="Y78">
        <v>1.6074990000000001E-2</v>
      </c>
      <c r="Z78">
        <v>-1.4209269999999999E-4</v>
      </c>
      <c r="AA78">
        <v>0.99987079999999995</v>
      </c>
      <c r="AB78">
        <v>10</v>
      </c>
      <c r="AC78">
        <v>126.19499999999999</v>
      </c>
      <c r="AD78">
        <v>-1.120812104501</v>
      </c>
      <c r="AE78">
        <v>-0.96839999999997395</v>
      </c>
      <c r="AF78">
        <v>2.02984114750699</v>
      </c>
      <c r="AG78">
        <v>-1.120812104501</v>
      </c>
      <c r="AH78">
        <v>126.172435286641</v>
      </c>
      <c r="AI78">
        <v>90.508889329773496</v>
      </c>
      <c r="AJ78">
        <v>89.078314542422007</v>
      </c>
      <c r="AK78">
        <v>126.193739547646</v>
      </c>
      <c r="AL78">
        <v>91.823594658045295</v>
      </c>
      <c r="AM78">
        <v>90.302321433938999</v>
      </c>
      <c r="AN78">
        <v>1.0000000731794301</v>
      </c>
    </row>
    <row r="79" spans="1:40" x14ac:dyDescent="0.25">
      <c r="A79" t="str">
        <f>"20190303153745184"</f>
        <v>20190303153745184</v>
      </c>
      <c r="B79" t="str">
        <f>"1551598665178583"</f>
        <v>1551598665178583</v>
      </c>
      <c r="C79" t="s">
        <v>40</v>
      </c>
      <c r="D79">
        <v>4.2300839999999997</v>
      </c>
      <c r="E79">
        <v>0.50788219999999995</v>
      </c>
      <c r="F79" t="s">
        <v>42</v>
      </c>
      <c r="G79">
        <v>-337.15210000000002</v>
      </c>
      <c r="H79" s="1">
        <v>-1.8885269999999999E-6</v>
      </c>
      <c r="I79">
        <v>366.10879999999997</v>
      </c>
      <c r="J79">
        <v>-470.8236</v>
      </c>
      <c r="K79">
        <v>1.1206750000000001</v>
      </c>
      <c r="L79">
        <v>367.1019</v>
      </c>
      <c r="M79">
        <v>0.99991300000000005</v>
      </c>
      <c r="N79">
        <v>-1.007255E-2</v>
      </c>
      <c r="O79">
        <v>8.5252959999999999E-3</v>
      </c>
      <c r="P79">
        <v>0.99906399999999995</v>
      </c>
      <c r="Q79">
        <v>-4.0995240000000002E-2</v>
      </c>
      <c r="R79">
        <v>1.3802679999999999E-2</v>
      </c>
      <c r="S79">
        <v>3.0021969999999998</v>
      </c>
      <c r="T79">
        <v>-2.515972E-2</v>
      </c>
      <c r="U79">
        <v>-2.2277829999999998E-2</v>
      </c>
      <c r="V79">
        <v>-5.26919E-3</v>
      </c>
      <c r="W79">
        <v>-3.093185E-2</v>
      </c>
      <c r="X79">
        <v>0.99950760000000005</v>
      </c>
      <c r="Y79">
        <v>1.594429E-2</v>
      </c>
      <c r="Z79">
        <v>-1.326845E-4</v>
      </c>
      <c r="AA79">
        <v>0.99987289999999995</v>
      </c>
      <c r="AB79">
        <v>10</v>
      </c>
      <c r="AC79">
        <v>133.67149999999901</v>
      </c>
      <c r="AD79">
        <v>-1.120676888527</v>
      </c>
      <c r="AE79">
        <v>-0.99310000000002596</v>
      </c>
      <c r="AF79">
        <v>2.1325608557834901</v>
      </c>
      <c r="AG79">
        <v>-1.120676888527</v>
      </c>
      <c r="AH79">
        <v>133.648781421563</v>
      </c>
      <c r="AI79">
        <v>90.480366362466199</v>
      </c>
      <c r="AJ79">
        <v>89.085840013285406</v>
      </c>
      <c r="AK79">
        <v>133.67049228592199</v>
      </c>
      <c r="AL79">
        <v>91.772547202548793</v>
      </c>
      <c r="AM79">
        <v>90.302048280276594</v>
      </c>
      <c r="AN79">
        <v>0.99999999308271903</v>
      </c>
    </row>
    <row r="80" spans="1:40" x14ac:dyDescent="0.25">
      <c r="A80" t="str">
        <f>"20190303153745197"</f>
        <v>20190303153745197</v>
      </c>
      <c r="B80" t="str">
        <f>"1551598665189320"</f>
        <v>1551598665189320</v>
      </c>
      <c r="C80" t="s">
        <v>40</v>
      </c>
      <c r="D80">
        <v>4.1862380000000003</v>
      </c>
      <c r="E80">
        <v>0.50786969999999998</v>
      </c>
      <c r="F80" t="s">
        <v>43</v>
      </c>
      <c r="G80">
        <v>-309.9425</v>
      </c>
      <c r="H80">
        <v>-0.05</v>
      </c>
      <c r="I80">
        <v>365.9588</v>
      </c>
      <c r="J80">
        <v>-470.76530000000002</v>
      </c>
      <c r="K80">
        <v>1.120581</v>
      </c>
      <c r="L80">
        <v>367.10239999999999</v>
      </c>
      <c r="M80">
        <v>0.99991569999999996</v>
      </c>
      <c r="N80">
        <v>-9.6991219999999993E-3</v>
      </c>
      <c r="O80">
        <v>8.63743199999999E-3</v>
      </c>
      <c r="P80">
        <v>0.99909590000000004</v>
      </c>
      <c r="Q80">
        <v>-4.019234E-2</v>
      </c>
      <c r="R80">
        <v>1.384753E-2</v>
      </c>
      <c r="S80">
        <v>3.0021969999999998</v>
      </c>
      <c r="T80">
        <v>-2.1845940000000001E-2</v>
      </c>
      <c r="U80">
        <v>-2.133179E-2</v>
      </c>
      <c r="V80">
        <v>-5.2044409999999998E-3</v>
      </c>
      <c r="W80">
        <v>-3.050139E-2</v>
      </c>
      <c r="X80">
        <v>0.9995212</v>
      </c>
      <c r="Y80">
        <v>1.574157E-2</v>
      </c>
      <c r="Z80">
        <v>-1.1268920000000001E-4</v>
      </c>
      <c r="AA80">
        <v>0.99987610000000005</v>
      </c>
      <c r="AB80">
        <v>10</v>
      </c>
      <c r="AC80">
        <v>160.8228</v>
      </c>
      <c r="AD80">
        <v>-1.1705809999999901</v>
      </c>
      <c r="AE80">
        <v>-1.14359999999999</v>
      </c>
      <c r="AF80">
        <v>2.5325844502904298</v>
      </c>
      <c r="AG80">
        <v>-1.1705809999999901</v>
      </c>
      <c r="AH80">
        <v>160.79840339632599</v>
      </c>
      <c r="AI80">
        <v>90.417043005007997</v>
      </c>
      <c r="AJ80">
        <v>89.097662660781396</v>
      </c>
      <c r="AK80">
        <v>160.82260655356501</v>
      </c>
      <c r="AL80">
        <v>91.747871961518598</v>
      </c>
      <c r="AM80">
        <v>90.298332650860701</v>
      </c>
      <c r="AN80">
        <v>1.00000002512374</v>
      </c>
    </row>
    <row r="81" spans="1:40" x14ac:dyDescent="0.25">
      <c r="A81" t="str">
        <f>"20190303153745209"</f>
        <v>20190303153745209</v>
      </c>
      <c r="B81" t="str">
        <f>"1551598665199079"</f>
        <v>1551598665199079</v>
      </c>
      <c r="C81" t="s">
        <v>40</v>
      </c>
      <c r="D81">
        <v>4.2111510000000001</v>
      </c>
      <c r="E81">
        <v>0.50784090000000004</v>
      </c>
      <c r="F81" t="s">
        <v>43</v>
      </c>
      <c r="G81">
        <v>-296.90499999999997</v>
      </c>
      <c r="H81">
        <v>-0.05</v>
      </c>
      <c r="I81">
        <v>365.89359999999999</v>
      </c>
      <c r="J81">
        <v>-470.70299999999997</v>
      </c>
      <c r="K81">
        <v>1.120495</v>
      </c>
      <c r="L81">
        <v>367.10300000000001</v>
      </c>
      <c r="M81">
        <v>0.99991819999999998</v>
      </c>
      <c r="N81">
        <v>-9.3189620000000001E-3</v>
      </c>
      <c r="O81">
        <v>8.7653509999999994E-3</v>
      </c>
      <c r="P81">
        <v>0.99913099999999999</v>
      </c>
      <c r="Q81">
        <v>-3.9402319999999998E-2</v>
      </c>
      <c r="R81">
        <v>1.3602599999999999E-2</v>
      </c>
      <c r="S81">
        <v>3.002167</v>
      </c>
      <c r="T81">
        <v>-2.0213249999999999E-2</v>
      </c>
      <c r="U81">
        <v>-2.087402E-2</v>
      </c>
      <c r="V81">
        <v>-4.8346530000000004E-3</v>
      </c>
      <c r="W81">
        <v>-3.0090530000000001E-2</v>
      </c>
      <c r="X81">
        <v>0.99953550000000002</v>
      </c>
      <c r="Y81">
        <v>1.5717189999999999E-2</v>
      </c>
      <c r="Z81">
        <v>-1.0347750000000001E-4</v>
      </c>
      <c r="AA81">
        <v>0.99987649999999995</v>
      </c>
      <c r="AB81">
        <v>10</v>
      </c>
      <c r="AC81">
        <v>173.798</v>
      </c>
      <c r="AD81">
        <v>-1.1704950000000001</v>
      </c>
      <c r="AE81">
        <v>-1.20940000000001</v>
      </c>
      <c r="AF81">
        <v>2.7326961567257499</v>
      </c>
      <c r="AG81">
        <v>-1.1704950000000001</v>
      </c>
      <c r="AH81">
        <v>173.772839918648</v>
      </c>
      <c r="AI81">
        <v>90.385878016062705</v>
      </c>
      <c r="AJ81">
        <v>89.099059140272203</v>
      </c>
      <c r="AK81">
        <v>173.798266907993</v>
      </c>
      <c r="AL81">
        <v>91.724320625028597</v>
      </c>
      <c r="AM81">
        <v>90.277131779818006</v>
      </c>
      <c r="AN81">
        <v>1.0000000148127799</v>
      </c>
    </row>
    <row r="82" spans="1:40" x14ac:dyDescent="0.25">
      <c r="A82" t="str">
        <f>"20190303153745228"</f>
        <v>20190303153745228</v>
      </c>
      <c r="B82" t="str">
        <f>"1551598665218602"</f>
        <v>1551598665218602</v>
      </c>
      <c r="C82" t="s">
        <v>40</v>
      </c>
      <c r="D82">
        <v>4.247274</v>
      </c>
      <c r="E82">
        <v>0.50778990000000002</v>
      </c>
      <c r="F82" t="s">
        <v>43</v>
      </c>
      <c r="G82">
        <v>-281.04039999999998</v>
      </c>
      <c r="H82">
        <v>-0.05</v>
      </c>
      <c r="I82">
        <v>365.74959999999999</v>
      </c>
      <c r="J82">
        <v>-470.61590000000001</v>
      </c>
      <c r="K82">
        <v>1.1204350000000001</v>
      </c>
      <c r="L82">
        <v>367.10379999999998</v>
      </c>
      <c r="M82">
        <v>0.99992130000000001</v>
      </c>
      <c r="N82">
        <v>-8.8416509999999903E-3</v>
      </c>
      <c r="O82">
        <v>8.9204780000000008E-3</v>
      </c>
      <c r="P82">
        <v>0.9991816</v>
      </c>
      <c r="Q82">
        <v>-3.815731E-2</v>
      </c>
      <c r="R82">
        <v>1.343391E-2</v>
      </c>
      <c r="S82">
        <v>3.002167</v>
      </c>
      <c r="T82">
        <v>-1.8527749999999999E-2</v>
      </c>
      <c r="U82">
        <v>-2.1423339999999999E-2</v>
      </c>
      <c r="V82">
        <v>-4.5120869999999997E-3</v>
      </c>
      <c r="W82">
        <v>-2.932191E-2</v>
      </c>
      <c r="X82">
        <v>0.9995598</v>
      </c>
      <c r="Y82">
        <v>1.6055320000000001E-2</v>
      </c>
      <c r="Z82" s="1">
        <v>-9.6701199999999995E-5</v>
      </c>
      <c r="AA82">
        <v>0.99987110000000001</v>
      </c>
      <c r="AB82">
        <v>10</v>
      </c>
      <c r="AC82">
        <v>189.57550000000001</v>
      </c>
      <c r="AD82">
        <v>-1.1704349999999999</v>
      </c>
      <c r="AE82">
        <v>-1.3541999999999901</v>
      </c>
      <c r="AF82">
        <v>3.04519992436426</v>
      </c>
      <c r="AG82">
        <v>-1.1704349999999999</v>
      </c>
      <c r="AH82">
        <v>189.54865110512301</v>
      </c>
      <c r="AI82">
        <v>90.353742855698698</v>
      </c>
      <c r="AJ82">
        <v>89.079592000137595</v>
      </c>
      <c r="AK82">
        <v>189.57672403657699</v>
      </c>
      <c r="AL82">
        <v>91.680262584647593</v>
      </c>
      <c r="AM82">
        <v>90.258635637358395</v>
      </c>
      <c r="AN82">
        <v>0.99999996355559095</v>
      </c>
    </row>
    <row r="83" spans="1:40" x14ac:dyDescent="0.25">
      <c r="A83" t="str">
        <f>"20190303153745242"</f>
        <v>20190303153745242</v>
      </c>
      <c r="B83" t="str">
        <f>"1551598665239095"</f>
        <v>1551598665239095</v>
      </c>
      <c r="C83" t="s">
        <v>40</v>
      </c>
      <c r="D83">
        <v>4.2309369999999999</v>
      </c>
      <c r="E83">
        <v>0.50769229999999999</v>
      </c>
      <c r="F83" t="s">
        <v>42</v>
      </c>
      <c r="G83">
        <v>-262.20179999999999</v>
      </c>
      <c r="H83" s="1">
        <v>-4.0417230000000002E-6</v>
      </c>
      <c r="I83">
        <v>365.59100000000001</v>
      </c>
      <c r="J83">
        <v>-470.5566</v>
      </c>
      <c r="K83">
        <v>1.120422</v>
      </c>
      <c r="L83">
        <v>367.10430000000002</v>
      </c>
      <c r="M83">
        <v>0.99992289999999995</v>
      </c>
      <c r="N83">
        <v>-8.5581349999999997E-3</v>
      </c>
      <c r="O83">
        <v>8.9990379999999991E-3</v>
      </c>
      <c r="P83">
        <v>0.99921199999999999</v>
      </c>
      <c r="Q83">
        <v>-3.7379120000000002E-2</v>
      </c>
      <c r="R83">
        <v>1.3353210000000001E-2</v>
      </c>
      <c r="S83">
        <v>3.0021059999999999</v>
      </c>
      <c r="T83">
        <v>-1.613939E-2</v>
      </c>
      <c r="U83">
        <v>-2.1789550000000001E-2</v>
      </c>
      <c r="V83">
        <v>-4.3524790000000002E-3</v>
      </c>
      <c r="W83">
        <v>-2.8826839999999999E-2</v>
      </c>
      <c r="X83">
        <v>0.99957499999999999</v>
      </c>
      <c r="Y83">
        <v>1.6256079999999999E-2</v>
      </c>
      <c r="Z83" s="1">
        <v>-8.4622089999999997E-5</v>
      </c>
      <c r="AA83">
        <v>0.99986790000000003</v>
      </c>
      <c r="AB83">
        <v>10</v>
      </c>
      <c r="AC83">
        <v>208.35480000000001</v>
      </c>
      <c r="AD83">
        <v>-1.1204260417229901</v>
      </c>
      <c r="AE83">
        <v>-1.5133000000000101</v>
      </c>
      <c r="AF83">
        <v>3.3882021477136401</v>
      </c>
      <c r="AG83">
        <v>-1.1204260417229901</v>
      </c>
      <c r="AH83">
        <v>208.326719952101</v>
      </c>
      <c r="AI83">
        <v>90.3081053458518</v>
      </c>
      <c r="AJ83">
        <v>89.068230089311797</v>
      </c>
      <c r="AK83">
        <v>208.357283324365</v>
      </c>
      <c r="AL83">
        <v>91.651885012976607</v>
      </c>
      <c r="AM83">
        <v>90.249483131379293</v>
      </c>
      <c r="AN83">
        <v>1.0000000557014099</v>
      </c>
    </row>
    <row r="84" spans="1:40" x14ac:dyDescent="0.25">
      <c r="A84" t="str">
        <f>"20190303153745257"</f>
        <v>20190303153745257</v>
      </c>
      <c r="B84" t="str">
        <f>"1551598665248856"</f>
        <v>1551598665248856</v>
      </c>
      <c r="C84" t="s">
        <v>40</v>
      </c>
      <c r="D84">
        <v>4.2298980000000004</v>
      </c>
      <c r="E84">
        <v>0.50766480000000003</v>
      </c>
      <c r="F84" t="s">
        <v>42</v>
      </c>
      <c r="G84">
        <v>-249.9873</v>
      </c>
      <c r="H84" s="1">
        <v>-4.9969560000000002E-6</v>
      </c>
      <c r="I84">
        <v>365.5616</v>
      </c>
      <c r="J84">
        <v>-470.48309999999998</v>
      </c>
      <c r="K84">
        <v>1.120425</v>
      </c>
      <c r="L84">
        <v>367.10509999999999</v>
      </c>
      <c r="M84">
        <v>0.9999247</v>
      </c>
      <c r="N84">
        <v>-8.2529969999999998E-3</v>
      </c>
      <c r="O84">
        <v>9.0840550000000006E-3</v>
      </c>
      <c r="P84">
        <v>0.99924900000000005</v>
      </c>
      <c r="Q84">
        <v>-3.6384979999999997E-2</v>
      </c>
      <c r="R84">
        <v>1.3346E-2</v>
      </c>
      <c r="S84">
        <v>3.0020449999999999</v>
      </c>
      <c r="T84">
        <v>-1.5249489999999999E-2</v>
      </c>
      <c r="U84">
        <v>-2.0996089999999999E-2</v>
      </c>
      <c r="V84">
        <v>-4.2605730000000001E-3</v>
      </c>
      <c r="W84">
        <v>-2.813744E-2</v>
      </c>
      <c r="X84">
        <v>0.99959500000000001</v>
      </c>
      <c r="Y84">
        <v>1.6077020000000001E-2</v>
      </c>
      <c r="Z84" s="1">
        <v>-7.8349160000000003E-5</v>
      </c>
      <c r="AA84">
        <v>0.99987079999999995</v>
      </c>
      <c r="AB84">
        <v>10</v>
      </c>
      <c r="AC84">
        <v>220.4958</v>
      </c>
      <c r="AD84">
        <v>-1.1204299969560001</v>
      </c>
      <c r="AE84">
        <v>-1.5434999999999901</v>
      </c>
      <c r="AF84">
        <v>3.5464088972547101</v>
      </c>
      <c r="AG84">
        <v>-1.1204299969560001</v>
      </c>
      <c r="AH84">
        <v>220.466987470465</v>
      </c>
      <c r="AI84">
        <v>90.291141337865199</v>
      </c>
      <c r="AJ84">
        <v>89.078425566664706</v>
      </c>
      <c r="AK84">
        <v>220.498355875383</v>
      </c>
      <c r="AL84">
        <v>91.6123693365234</v>
      </c>
      <c r="AM84">
        <v>90.244210278104205</v>
      </c>
      <c r="AN84">
        <v>1.0000000160185201</v>
      </c>
    </row>
    <row r="85" spans="1:40" x14ac:dyDescent="0.25">
      <c r="A85" t="str">
        <f>"20190303153745285"</f>
        <v>20190303153745285</v>
      </c>
      <c r="B85" t="str">
        <f>"1551598665279111"</f>
        <v>1551598665279111</v>
      </c>
      <c r="C85" t="s">
        <v>40</v>
      </c>
      <c r="D85">
        <v>4.2427330000000003</v>
      </c>
      <c r="E85">
        <v>0.5075307</v>
      </c>
      <c r="F85" t="s">
        <v>42</v>
      </c>
      <c r="G85">
        <v>-216.51220000000001</v>
      </c>
      <c r="H85" s="1">
        <v>-2.3103839999999999E-6</v>
      </c>
      <c r="I85">
        <v>365.3417</v>
      </c>
      <c r="J85">
        <v>-470.35210000000001</v>
      </c>
      <c r="K85">
        <v>1.1204860000000001</v>
      </c>
      <c r="L85">
        <v>367.10640000000001</v>
      </c>
      <c r="M85">
        <v>0.99992630000000005</v>
      </c>
      <c r="N85">
        <v>-7.9116399999999993E-3</v>
      </c>
      <c r="O85">
        <v>9.2079469999999993E-3</v>
      </c>
      <c r="P85">
        <v>0.99928340000000004</v>
      </c>
      <c r="Q85">
        <v>-3.5572350000000003E-2</v>
      </c>
      <c r="R85">
        <v>1.292482E-2</v>
      </c>
      <c r="S85">
        <v>3.002014</v>
      </c>
      <c r="T85">
        <v>-1.324379E-2</v>
      </c>
      <c r="U85">
        <v>-2.0843509999999999E-2</v>
      </c>
      <c r="V85">
        <v>-3.7148630000000001E-3</v>
      </c>
      <c r="W85">
        <v>-2.7665720000000001E-2</v>
      </c>
      <c r="X85">
        <v>0.99961029999999995</v>
      </c>
      <c r="Y85">
        <v>1.6150230000000002E-2</v>
      </c>
      <c r="Z85" s="1">
        <v>-6.7284539999999999E-5</v>
      </c>
      <c r="AA85">
        <v>0.99986960000000003</v>
      </c>
      <c r="AB85">
        <v>10</v>
      </c>
      <c r="AC85">
        <v>253.8399</v>
      </c>
      <c r="AD85">
        <v>-1.120488310384</v>
      </c>
      <c r="AE85">
        <v>-1.7646999999999999</v>
      </c>
      <c r="AF85">
        <v>4.10196277835988</v>
      </c>
      <c r="AG85">
        <v>-1.120488310384</v>
      </c>
      <c r="AH85">
        <v>253.807943108053</v>
      </c>
      <c r="AI85">
        <v>90.252909545344096</v>
      </c>
      <c r="AJ85">
        <v>89.074084552283495</v>
      </c>
      <c r="AK85">
        <v>253.84356122901701</v>
      </c>
      <c r="AL85">
        <v>91.585331314685604</v>
      </c>
      <c r="AM85">
        <v>90.212927969537404</v>
      </c>
      <c r="AN85">
        <v>0.99999997206815805</v>
      </c>
    </row>
    <row r="86" spans="1:40" x14ac:dyDescent="0.25">
      <c r="A86" t="str">
        <f>"20190303153745307"</f>
        <v>20190303153745307</v>
      </c>
      <c r="B86" t="str">
        <f>"1551598665299607"</f>
        <v>1551598665299607</v>
      </c>
      <c r="C86" t="s">
        <v>40</v>
      </c>
      <c r="D86">
        <v>4.2629320000000002</v>
      </c>
      <c r="E86">
        <v>0.50744630000000002</v>
      </c>
      <c r="F86" t="s">
        <v>42</v>
      </c>
      <c r="G86">
        <v>-221.38730000000001</v>
      </c>
      <c r="H86" s="1">
        <v>-4.42856E-6</v>
      </c>
      <c r="I86">
        <v>365.3802</v>
      </c>
      <c r="J86">
        <v>-470.24650000000003</v>
      </c>
      <c r="K86">
        <v>1.1205780000000001</v>
      </c>
      <c r="L86">
        <v>367.10750000000002</v>
      </c>
      <c r="M86">
        <v>0.99992590000000003</v>
      </c>
      <c r="N86">
        <v>-7.8792930000000008E-3</v>
      </c>
      <c r="O86">
        <v>9.3007190000000007E-3</v>
      </c>
      <c r="P86">
        <v>0.99930180000000002</v>
      </c>
      <c r="Q86">
        <v>-3.4832910000000002E-2</v>
      </c>
      <c r="R86">
        <v>1.351844E-2</v>
      </c>
      <c r="S86">
        <v>3.0019529999999999</v>
      </c>
      <c r="T86">
        <v>-1.3510579999999999E-2</v>
      </c>
      <c r="U86">
        <v>-2.081299E-2</v>
      </c>
      <c r="V86">
        <v>-4.2159049999999998E-3</v>
      </c>
      <c r="W86">
        <v>-2.6958550000000001E-2</v>
      </c>
      <c r="X86">
        <v>0.99962759999999995</v>
      </c>
      <c r="Y86">
        <v>1.6232969999999999E-2</v>
      </c>
      <c r="Z86" s="1">
        <v>-6.9057319999999995E-5</v>
      </c>
      <c r="AA86">
        <v>0.99986819999999998</v>
      </c>
      <c r="AB86">
        <v>11</v>
      </c>
      <c r="AC86">
        <v>248.85919999999999</v>
      </c>
      <c r="AD86">
        <v>-1.1205824285599999</v>
      </c>
      <c r="AE86">
        <v>-1.72730000000001</v>
      </c>
      <c r="AF86">
        <v>4.0417842255351202</v>
      </c>
      <c r="AG86">
        <v>-1.1205824285599999</v>
      </c>
      <c r="AH86">
        <v>248.827324939649</v>
      </c>
      <c r="AI86">
        <v>90.257993134448199</v>
      </c>
      <c r="AJ86">
        <v>89.069407613409993</v>
      </c>
      <c r="AK86">
        <v>248.86267169128899</v>
      </c>
      <c r="AL86">
        <v>91.5447983883208</v>
      </c>
      <c r="AM86">
        <v>90.241642118689199</v>
      </c>
      <c r="AN86">
        <v>0.99999993797741304</v>
      </c>
    </row>
    <row r="87" spans="1:40" x14ac:dyDescent="0.25">
      <c r="A87" t="str">
        <f>"20190303153745329"</f>
        <v>20190303153745329</v>
      </c>
      <c r="B87" t="str">
        <f>"1551598665319130"</f>
        <v>1551598665319130</v>
      </c>
      <c r="C87" t="s">
        <v>40</v>
      </c>
      <c r="D87">
        <v>4.2571500000000002</v>
      </c>
      <c r="E87">
        <v>0.50735370000000002</v>
      </c>
      <c r="F87" t="s">
        <v>42</v>
      </c>
      <c r="G87">
        <v>-211.4143</v>
      </c>
      <c r="H87" s="1">
        <v>-4.3967179999999998E-6</v>
      </c>
      <c r="I87">
        <v>365.49450000000002</v>
      </c>
      <c r="J87">
        <v>-470.14109999999999</v>
      </c>
      <c r="K87">
        <v>1.120708</v>
      </c>
      <c r="L87">
        <v>367.1087</v>
      </c>
      <c r="M87">
        <v>0.99992320000000001</v>
      </c>
      <c r="N87">
        <v>-8.0970969999999993E-3</v>
      </c>
      <c r="O87">
        <v>9.3871189999999993E-3</v>
      </c>
      <c r="P87">
        <v>0.99928709999999998</v>
      </c>
      <c r="Q87">
        <v>-3.4877819999999997E-2</v>
      </c>
      <c r="R87">
        <v>1.445338E-2</v>
      </c>
      <c r="S87">
        <v>3.0018919999999998</v>
      </c>
      <c r="T87">
        <v>-1.299632E-2</v>
      </c>
      <c r="U87">
        <v>-1.870728E-2</v>
      </c>
      <c r="V87">
        <v>-5.0658109999999999E-3</v>
      </c>
      <c r="W87">
        <v>-2.678585E-2</v>
      </c>
      <c r="X87">
        <v>0.99962839999999997</v>
      </c>
      <c r="Y87">
        <v>1.5618190000000001E-2</v>
      </c>
      <c r="Z87" s="1">
        <v>-6.1671630000000003E-5</v>
      </c>
      <c r="AA87">
        <v>0.99987800000000004</v>
      </c>
      <c r="AB87">
        <v>11</v>
      </c>
      <c r="AC87">
        <v>258.72680000000003</v>
      </c>
      <c r="AD87">
        <v>-1.1207123967179999</v>
      </c>
      <c r="AE87">
        <v>-1.6141999999999801</v>
      </c>
      <c r="AF87">
        <v>4.04283179533968</v>
      </c>
      <c r="AG87">
        <v>-1.1207123967179999</v>
      </c>
      <c r="AH87">
        <v>258.695392825417</v>
      </c>
      <c r="AI87">
        <v>90.248183194891098</v>
      </c>
      <c r="AJ87">
        <v>89.104667686492505</v>
      </c>
      <c r="AK87">
        <v>258.72940836769698</v>
      </c>
      <c r="AL87">
        <v>91.534899673590104</v>
      </c>
      <c r="AM87">
        <v>90.290355001383801</v>
      </c>
      <c r="AN87">
        <v>1.00000004114393</v>
      </c>
    </row>
    <row r="88" spans="1:40" x14ac:dyDescent="0.25">
      <c r="A88" t="str">
        <f>"20190303153745350"</f>
        <v>20190303153745350</v>
      </c>
      <c r="B88" t="str">
        <f>"1551598665339623"</f>
        <v>1551598665339623</v>
      </c>
      <c r="C88" t="s">
        <v>40</v>
      </c>
      <c r="D88">
        <v>4.2637780000000003</v>
      </c>
      <c r="E88">
        <v>0.50726309999999997</v>
      </c>
      <c r="F88" t="s">
        <v>42</v>
      </c>
      <c r="G88">
        <v>-237.95869999999999</v>
      </c>
      <c r="H88" s="1">
        <v>-1.6563520000000001E-6</v>
      </c>
      <c r="I88">
        <v>365.94959999999998</v>
      </c>
      <c r="J88">
        <v>-470.04250000000002</v>
      </c>
      <c r="K88">
        <v>1.1208370000000001</v>
      </c>
      <c r="L88">
        <v>367.10980000000001</v>
      </c>
      <c r="M88">
        <v>0.99991929999999996</v>
      </c>
      <c r="N88">
        <v>-8.4889939999999997E-3</v>
      </c>
      <c r="O88">
        <v>9.4620239999999994E-3</v>
      </c>
      <c r="P88">
        <v>0.99926769999999998</v>
      </c>
      <c r="Q88">
        <v>-3.5201740000000002E-2</v>
      </c>
      <c r="R88">
        <v>1.499939E-2</v>
      </c>
      <c r="S88">
        <v>3.001862</v>
      </c>
      <c r="T88">
        <v>-1.448953E-2</v>
      </c>
      <c r="U88">
        <v>-1.498413E-2</v>
      </c>
      <c r="V88">
        <v>-5.5377129999999997E-3</v>
      </c>
      <c r="W88">
        <v>-2.6717939999999999E-2</v>
      </c>
      <c r="X88">
        <v>0.99962759999999995</v>
      </c>
      <c r="Y88">
        <v>1.445305E-2</v>
      </c>
      <c r="Z88" s="1">
        <v>-6.1575469999999998E-5</v>
      </c>
      <c r="AA88">
        <v>0.9998956</v>
      </c>
      <c r="AB88">
        <v>11</v>
      </c>
      <c r="AC88">
        <v>232.0838</v>
      </c>
      <c r="AD88">
        <v>-1.1208386563519901</v>
      </c>
      <c r="AE88">
        <v>-1.1602000000000301</v>
      </c>
      <c r="AF88">
        <v>3.3561311789881798</v>
      </c>
      <c r="AG88">
        <v>-1.1208386563519901</v>
      </c>
      <c r="AH88">
        <v>232.057019284701</v>
      </c>
      <c r="AI88">
        <v>90.276708329439302</v>
      </c>
      <c r="AJ88">
        <v>89.171415941599903</v>
      </c>
      <c r="AK88">
        <v>232.083993621026</v>
      </c>
      <c r="AL88">
        <v>91.531007499666302</v>
      </c>
      <c r="AM88">
        <v>90.317402538060904</v>
      </c>
      <c r="AN88">
        <v>0.99999992663243398</v>
      </c>
    </row>
    <row r="89" spans="1:40" x14ac:dyDescent="0.25">
      <c r="A89" t="str">
        <f>"20190303153745373"</f>
        <v>20190303153745373</v>
      </c>
      <c r="B89" t="str">
        <f>"1551598665369366"</f>
        <v>1551598665369366</v>
      </c>
      <c r="C89" t="s">
        <v>40</v>
      </c>
      <c r="D89">
        <v>4.2811180000000002</v>
      </c>
      <c r="E89">
        <v>0.50719309999999995</v>
      </c>
      <c r="F89" t="s">
        <v>42</v>
      </c>
      <c r="G89">
        <v>-269.69229999999999</v>
      </c>
      <c r="H89" s="1">
        <v>-9.837216E-7</v>
      </c>
      <c r="I89">
        <v>366.26029999999997</v>
      </c>
      <c r="J89">
        <v>-469.93799999999999</v>
      </c>
      <c r="K89">
        <v>1.1209629999999999</v>
      </c>
      <c r="L89">
        <v>367.11090000000002</v>
      </c>
      <c r="M89">
        <v>0.99991419999999998</v>
      </c>
      <c r="N89">
        <v>-8.9776519999999992E-3</v>
      </c>
      <c r="O89">
        <v>9.5374880000000002E-3</v>
      </c>
      <c r="P89">
        <v>0.99924230000000003</v>
      </c>
      <c r="Q89">
        <v>-3.5715980000000001E-2</v>
      </c>
      <c r="R89">
        <v>1.547245E-2</v>
      </c>
      <c r="S89">
        <v>3.0018009999999999</v>
      </c>
      <c r="T89">
        <v>-1.6793249999999999E-2</v>
      </c>
      <c r="U89">
        <v>-1.272583E-2</v>
      </c>
      <c r="V89">
        <v>-5.9376269999999896E-3</v>
      </c>
      <c r="W89">
        <v>-2.674356E-2</v>
      </c>
      <c r="X89">
        <v>0.99962470000000003</v>
      </c>
      <c r="Y89">
        <v>1.377634E-2</v>
      </c>
      <c r="Z89" s="1">
        <v>-6.8105949999999998E-5</v>
      </c>
      <c r="AA89">
        <v>0.99990509999999999</v>
      </c>
      <c r="AB89">
        <v>11</v>
      </c>
      <c r="AC89">
        <v>200.2457</v>
      </c>
      <c r="AD89">
        <v>-1.1209639837216001</v>
      </c>
      <c r="AE89">
        <v>-0.85060000000004199</v>
      </c>
      <c r="AF89">
        <v>2.7603927680843401</v>
      </c>
      <c r="AG89">
        <v>-1.1209639837216001</v>
      </c>
      <c r="AH89">
        <v>200.22220435864099</v>
      </c>
      <c r="AI89">
        <v>90.320742305627704</v>
      </c>
      <c r="AJ89">
        <v>89.210133378785898</v>
      </c>
      <c r="AK89">
        <v>200.24436932588199</v>
      </c>
      <c r="AL89">
        <v>91.5324758189698</v>
      </c>
      <c r="AM89">
        <v>90.340324690385998</v>
      </c>
      <c r="AN89">
        <v>1.00000000713297</v>
      </c>
    </row>
    <row r="90" spans="1:40" x14ac:dyDescent="0.25">
      <c r="A90" t="str">
        <f>"20190303153745396"</f>
        <v>20190303153745396</v>
      </c>
      <c r="B90" t="str">
        <f>"1551598665388886"</f>
        <v>1551598665388886</v>
      </c>
      <c r="C90" t="s">
        <v>40</v>
      </c>
      <c r="D90">
        <v>4.2874129999999999</v>
      </c>
      <c r="E90">
        <v>0.5071869</v>
      </c>
      <c r="F90" t="s">
        <v>43</v>
      </c>
      <c r="G90">
        <v>-299.315</v>
      </c>
      <c r="H90">
        <v>-0.05</v>
      </c>
      <c r="I90">
        <v>366.50900000000001</v>
      </c>
      <c r="J90">
        <v>-469.82600000000002</v>
      </c>
      <c r="K90">
        <v>1.121068</v>
      </c>
      <c r="L90">
        <v>367.1121</v>
      </c>
      <c r="M90">
        <v>0.99990889999999999</v>
      </c>
      <c r="N90">
        <v>-9.4844749999999992E-3</v>
      </c>
      <c r="O90">
        <v>9.616065E-3</v>
      </c>
      <c r="P90">
        <v>0.99923090000000003</v>
      </c>
      <c r="Q90">
        <v>-3.5702320000000003E-2</v>
      </c>
      <c r="R90">
        <v>1.6224619999999999E-2</v>
      </c>
      <c r="S90">
        <v>3.001709</v>
      </c>
      <c r="T90">
        <v>-2.0600319999999998E-2</v>
      </c>
      <c r="U90">
        <v>-1.0589599999999999E-2</v>
      </c>
      <c r="V90">
        <v>-6.6131410000000003E-3</v>
      </c>
      <c r="W90">
        <v>-2.6222970000000002E-2</v>
      </c>
      <c r="X90">
        <v>0.99963429999999998</v>
      </c>
      <c r="Y90">
        <v>1.314334E-2</v>
      </c>
      <c r="Z90" s="1">
        <v>-8.2218099999999998E-5</v>
      </c>
      <c r="AA90">
        <v>0.99991359999999996</v>
      </c>
      <c r="AB90">
        <v>11</v>
      </c>
      <c r="AC90">
        <v>170.510999999999</v>
      </c>
      <c r="AD90">
        <v>-1.171068</v>
      </c>
      <c r="AE90">
        <v>-0.60309999999998298</v>
      </c>
      <c r="AF90">
        <v>2.2426847494587898</v>
      </c>
      <c r="AG90">
        <v>-1.171068</v>
      </c>
      <c r="AH90">
        <v>170.489274176566</v>
      </c>
      <c r="AI90">
        <v>90.393516805438097</v>
      </c>
      <c r="AJ90">
        <v>89.246351650490496</v>
      </c>
      <c r="AK90">
        <v>170.50804568816801</v>
      </c>
      <c r="AL90">
        <v>91.502637670396894</v>
      </c>
      <c r="AM90">
        <v>90.379038155349406</v>
      </c>
      <c r="AN90">
        <v>1.00000005576299</v>
      </c>
    </row>
    <row r="91" spans="1:40" x14ac:dyDescent="0.25">
      <c r="A91" t="str">
        <f>"20190303153745419"</f>
        <v>20190303153745419</v>
      </c>
      <c r="B91" t="str">
        <f>"1551598665409389"</f>
        <v>1551598665409389</v>
      </c>
      <c r="C91" t="s">
        <v>40</v>
      </c>
      <c r="D91">
        <v>4.2601610000000001</v>
      </c>
      <c r="E91">
        <v>0.50603849999999995</v>
      </c>
      <c r="F91" t="s">
        <v>43</v>
      </c>
      <c r="G91">
        <v>-304.71480000000003</v>
      </c>
      <c r="H91">
        <v>-0.05</v>
      </c>
      <c r="I91">
        <v>366.66390000000001</v>
      </c>
      <c r="J91">
        <v>-469.72070000000002</v>
      </c>
      <c r="K91">
        <v>1.121143</v>
      </c>
      <c r="L91">
        <v>367.11329999999998</v>
      </c>
      <c r="M91">
        <v>0.99990380000000001</v>
      </c>
      <c r="N91">
        <v>-9.9177569999999993E-3</v>
      </c>
      <c r="O91">
        <v>9.6911219999999999E-3</v>
      </c>
      <c r="P91">
        <v>0.99921179999999998</v>
      </c>
      <c r="Q91">
        <v>-3.5914010000000003E-2</v>
      </c>
      <c r="R91">
        <v>1.690815E-2</v>
      </c>
      <c r="S91">
        <v>3.0016780000000001</v>
      </c>
      <c r="T91">
        <v>-2.128971E-2</v>
      </c>
      <c r="U91">
        <v>-8.1481929999999998E-3</v>
      </c>
      <c r="V91">
        <v>-7.222834E-3</v>
      </c>
      <c r="W91">
        <v>-2.6001380000000001E-2</v>
      </c>
      <c r="X91">
        <v>0.99963579999999996</v>
      </c>
      <c r="Y91">
        <v>1.240519E-2</v>
      </c>
      <c r="Z91" s="1">
        <v>-7.8127169999999896E-5</v>
      </c>
      <c r="AA91">
        <v>0.99992309999999995</v>
      </c>
      <c r="AB91">
        <v>10</v>
      </c>
      <c r="AC91">
        <v>165.0059</v>
      </c>
      <c r="AD91">
        <v>-1.171143</v>
      </c>
      <c r="AE91">
        <v>-0.44939999999996799</v>
      </c>
      <c r="AF91">
        <v>2.0484467500204802</v>
      </c>
      <c r="AG91">
        <v>-1.171143</v>
      </c>
      <c r="AH91">
        <v>164.985483956911</v>
      </c>
      <c r="AI91">
        <v>90.406673674105406</v>
      </c>
      <c r="AJ91">
        <v>89.2886566735977</v>
      </c>
      <c r="AK91">
        <v>165.00235642714401</v>
      </c>
      <c r="AL91">
        <v>91.489937271341006</v>
      </c>
      <c r="AM91">
        <v>90.413981474808594</v>
      </c>
      <c r="AN91">
        <v>0.99999998686726699</v>
      </c>
    </row>
    <row r="92" spans="1:40" x14ac:dyDescent="0.25">
      <c r="A92" t="str">
        <f>"20190303153745440"</f>
        <v>20190303153745440</v>
      </c>
      <c r="B92" t="str">
        <f>"1551598665428901"</f>
        <v>1551598665428901</v>
      </c>
      <c r="C92" t="s">
        <v>40</v>
      </c>
      <c r="D92">
        <v>4.2986589999999998</v>
      </c>
      <c r="E92">
        <v>0.50617800000000002</v>
      </c>
      <c r="F92" t="s">
        <v>43</v>
      </c>
      <c r="G92">
        <v>-418.42579999999998</v>
      </c>
      <c r="H92">
        <v>-0.05</v>
      </c>
      <c r="I92">
        <v>367.15910000000002</v>
      </c>
      <c r="J92">
        <v>-469.6225</v>
      </c>
      <c r="K92">
        <v>1.1212</v>
      </c>
      <c r="L92">
        <v>367.11430000000001</v>
      </c>
      <c r="M92">
        <v>0.99989950000000005</v>
      </c>
      <c r="N92">
        <v>-1.028976E-2</v>
      </c>
      <c r="O92">
        <v>9.7605890000000001E-3</v>
      </c>
      <c r="P92">
        <v>0.99922469999999997</v>
      </c>
      <c r="Q92">
        <v>-3.539581E-2</v>
      </c>
      <c r="R92">
        <v>1.724264E-2</v>
      </c>
      <c r="S92">
        <v>2.9998469999999999</v>
      </c>
      <c r="T92">
        <v>-6.8491099999999999E-2</v>
      </c>
      <c r="U92">
        <v>2.6855469999999999E-3</v>
      </c>
      <c r="V92">
        <v>-7.4880279999999999E-3</v>
      </c>
      <c r="W92">
        <v>-2.5111000000000001E-2</v>
      </c>
      <c r="X92">
        <v>0.99965660000000001</v>
      </c>
      <c r="Y92">
        <v>8.8618009999999903E-3</v>
      </c>
      <c r="Z92">
        <v>-2.6914009999999999E-4</v>
      </c>
      <c r="AA92">
        <v>0.99996070000000004</v>
      </c>
      <c r="AB92">
        <v>10</v>
      </c>
      <c r="AC92">
        <v>51.1967</v>
      </c>
      <c r="AD92">
        <v>-1.1712</v>
      </c>
      <c r="AE92">
        <v>4.4800000000009201E-2</v>
      </c>
      <c r="AF92">
        <v>0.45470053847063202</v>
      </c>
      <c r="AG92">
        <v>-1.1712</v>
      </c>
      <c r="AH92">
        <v>51.167920404778201</v>
      </c>
      <c r="AI92">
        <v>91.311181944474797</v>
      </c>
      <c r="AJ92">
        <v>89.490858024966698</v>
      </c>
      <c r="AK92">
        <v>51.183342413029301</v>
      </c>
      <c r="AL92">
        <v>91.438905601716399</v>
      </c>
      <c r="AM92">
        <v>90.429171754920304</v>
      </c>
      <c r="AN92">
        <v>0.99999997540394403</v>
      </c>
    </row>
    <row r="93" spans="1:40" x14ac:dyDescent="0.25">
      <c r="A93" t="str">
        <f>"20190303153745465"</f>
        <v>20190303153745465</v>
      </c>
      <c r="B93" t="str">
        <f>"1551598665459158"</f>
        <v>1551598665459158</v>
      </c>
      <c r="C93" t="s">
        <v>40</v>
      </c>
      <c r="D93">
        <v>4.2765019999999998</v>
      </c>
      <c r="E93">
        <v>0.50611530000000005</v>
      </c>
      <c r="F93" t="s">
        <v>43</v>
      </c>
      <c r="G93">
        <v>-416.55189999999999</v>
      </c>
      <c r="H93">
        <v>-0.05</v>
      </c>
      <c r="I93">
        <v>367.16129999999998</v>
      </c>
      <c r="J93">
        <v>-469.5086</v>
      </c>
      <c r="K93">
        <v>1.1212569999999999</v>
      </c>
      <c r="L93">
        <v>367.1155</v>
      </c>
      <c r="M93">
        <v>0.99989459999999997</v>
      </c>
      <c r="N93">
        <v>-1.068907E-2</v>
      </c>
      <c r="O93">
        <v>9.8384400000000004E-3</v>
      </c>
      <c r="P93">
        <v>0.99921689999999996</v>
      </c>
      <c r="Q93">
        <v>-3.5460709999999999E-2</v>
      </c>
      <c r="R93">
        <v>1.756222E-2</v>
      </c>
      <c r="S93">
        <v>2.9998779999999998</v>
      </c>
      <c r="T93">
        <v>-6.620347E-2</v>
      </c>
      <c r="U93">
        <v>2.6550290000000002E-3</v>
      </c>
      <c r="V93">
        <v>-7.7297659999999999E-3</v>
      </c>
      <c r="W93">
        <v>-2.477671E-2</v>
      </c>
      <c r="X93">
        <v>0.99966310000000003</v>
      </c>
      <c r="Y93">
        <v>8.9501240000000003E-3</v>
      </c>
      <c r="Z93">
        <v>-2.585221E-4</v>
      </c>
      <c r="AA93">
        <v>0.99995990000000001</v>
      </c>
      <c r="AB93">
        <v>10</v>
      </c>
      <c r="AC93">
        <v>52.956699999999998</v>
      </c>
      <c r="AD93">
        <v>-1.171257</v>
      </c>
      <c r="AE93">
        <v>4.5799999999985602E-2</v>
      </c>
      <c r="AF93">
        <v>0.47501086870852699</v>
      </c>
      <c r="AG93">
        <v>-1.171257</v>
      </c>
      <c r="AH93">
        <v>52.928696027549798</v>
      </c>
      <c r="AI93">
        <v>91.267638086108505</v>
      </c>
      <c r="AJ93">
        <v>89.485810356315298</v>
      </c>
      <c r="AK93">
        <v>52.943784729297597</v>
      </c>
      <c r="AL93">
        <v>91.419746235547095</v>
      </c>
      <c r="AM93">
        <v>90.443023396729799</v>
      </c>
      <c r="AN93">
        <v>0.99999997407122398</v>
      </c>
    </row>
    <row r="94" spans="1:40" x14ac:dyDescent="0.25">
      <c r="A94" t="str">
        <f>"20190303153745486"</f>
        <v>20190303153745486</v>
      </c>
      <c r="B94" t="str">
        <f>"1551598665479654"</f>
        <v>1551598665479654</v>
      </c>
      <c r="C94" t="s">
        <v>40</v>
      </c>
      <c r="D94">
        <v>4.2979669999999999</v>
      </c>
      <c r="E94">
        <v>0.50625169999999997</v>
      </c>
      <c r="F94" t="s">
        <v>43</v>
      </c>
      <c r="G94">
        <v>-420.84559999999999</v>
      </c>
      <c r="H94">
        <v>-0.05</v>
      </c>
      <c r="I94">
        <v>367.18040000000002</v>
      </c>
      <c r="J94">
        <v>-469.40660000000003</v>
      </c>
      <c r="K94">
        <v>1.121302</v>
      </c>
      <c r="L94">
        <v>367.11660000000001</v>
      </c>
      <c r="M94">
        <v>0.99989039999999996</v>
      </c>
      <c r="N94">
        <v>-1.1013449999999999E-2</v>
      </c>
      <c r="O94">
        <v>9.9081519999999999E-3</v>
      </c>
      <c r="P94">
        <v>0.99921539999999998</v>
      </c>
      <c r="Q94">
        <v>-3.5521209999999998E-2</v>
      </c>
      <c r="R94">
        <v>1.7524709999999999E-2</v>
      </c>
      <c r="S94">
        <v>2.9997560000000001</v>
      </c>
      <c r="T94">
        <v>-7.2200180000000003E-2</v>
      </c>
      <c r="U94">
        <v>3.9978030000000003E-3</v>
      </c>
      <c r="V94">
        <v>-7.6230400000000002E-3</v>
      </c>
      <c r="W94">
        <v>-2.451296E-2</v>
      </c>
      <c r="X94">
        <v>0.99967039999999996</v>
      </c>
      <c r="Y94">
        <v>8.5716409999999996E-3</v>
      </c>
      <c r="Z94">
        <v>-2.7967120000000001E-4</v>
      </c>
      <c r="AA94">
        <v>0.99996320000000005</v>
      </c>
      <c r="AB94">
        <v>10</v>
      </c>
      <c r="AC94">
        <v>48.561</v>
      </c>
      <c r="AD94">
        <v>-1.1713020000000001</v>
      </c>
      <c r="AE94">
        <v>6.3800000000014706E-2</v>
      </c>
      <c r="AF94">
        <v>0.41713933258237501</v>
      </c>
      <c r="AG94">
        <v>-1.1713020000000001</v>
      </c>
      <c r="AH94">
        <v>48.5310136113346</v>
      </c>
      <c r="AI94">
        <v>91.382521247334694</v>
      </c>
      <c r="AJ94">
        <v>89.507536873996003</v>
      </c>
      <c r="AK94">
        <v>48.546938479594601</v>
      </c>
      <c r="AL94">
        <v>91.404629912572005</v>
      </c>
      <c r="AM94">
        <v>90.436903556883195</v>
      </c>
      <c r="AN94">
        <v>0.99999995229147998</v>
      </c>
    </row>
    <row r="95" spans="1:40" x14ac:dyDescent="0.25">
      <c r="A95" t="str">
        <f>"20190303153745507"</f>
        <v>20190303153745507</v>
      </c>
      <c r="B95" t="str">
        <f>"1551598665499177"</f>
        <v>1551598665499177</v>
      </c>
      <c r="C95" t="s">
        <v>40</v>
      </c>
      <c r="D95">
        <v>4.2697450000000003</v>
      </c>
      <c r="E95">
        <v>0.50639709999999905</v>
      </c>
      <c r="F95" t="s">
        <v>43</v>
      </c>
      <c r="G95">
        <v>-422.57440000000003</v>
      </c>
      <c r="H95">
        <v>-0.05</v>
      </c>
      <c r="I95">
        <v>367.16230000000002</v>
      </c>
      <c r="J95">
        <v>-469.30599999999998</v>
      </c>
      <c r="K95">
        <v>1.1213360000000001</v>
      </c>
      <c r="L95">
        <v>367.11770000000001</v>
      </c>
      <c r="M95">
        <v>0.99988630000000001</v>
      </c>
      <c r="N95">
        <v>-1.129756E-2</v>
      </c>
      <c r="O95">
        <v>9.9805459999999999E-3</v>
      </c>
      <c r="P95">
        <v>0.99921079999999995</v>
      </c>
      <c r="Q95">
        <v>-3.5701610000000002E-2</v>
      </c>
      <c r="R95">
        <v>1.741434E-2</v>
      </c>
      <c r="S95">
        <v>2.999603</v>
      </c>
      <c r="T95">
        <v>-7.5021859999999996E-2</v>
      </c>
      <c r="U95">
        <v>2.9296880000000002E-3</v>
      </c>
      <c r="V95">
        <v>-7.43953699999999E-3</v>
      </c>
      <c r="W95">
        <v>-2.4409400000000001E-2</v>
      </c>
      <c r="X95">
        <v>0.99967439999999996</v>
      </c>
      <c r="Y95">
        <v>8.9995130000000007E-3</v>
      </c>
      <c r="Z95">
        <v>-3.0019900000000002E-4</v>
      </c>
      <c r="AA95">
        <v>0.9999595</v>
      </c>
      <c r="AB95">
        <v>10</v>
      </c>
      <c r="AC95">
        <v>46.731599999999901</v>
      </c>
      <c r="AD95">
        <v>-1.1713359999999999</v>
      </c>
      <c r="AE95">
        <v>4.4600000000002603E-2</v>
      </c>
      <c r="AF95">
        <v>0.42157404647669999</v>
      </c>
      <c r="AG95">
        <v>-1.1713359999999999</v>
      </c>
      <c r="AH95">
        <v>46.700377202022203</v>
      </c>
      <c r="AI95">
        <v>91.436729471837296</v>
      </c>
      <c r="AJ95">
        <v>89.482793095554996</v>
      </c>
      <c r="AK95">
        <v>46.716966762758801</v>
      </c>
      <c r="AL95">
        <v>91.398694468614195</v>
      </c>
      <c r="AM95">
        <v>90.426385033816103</v>
      </c>
      <c r="AN95">
        <v>1.0000000357672401</v>
      </c>
    </row>
    <row r="96" spans="1:40" x14ac:dyDescent="0.25">
      <c r="A96" t="str">
        <f>"20190303153745530"</f>
        <v>20190303153745530</v>
      </c>
      <c r="B96" t="str">
        <f>"1551598665519669"</f>
        <v>1551598665519669</v>
      </c>
      <c r="C96" t="s">
        <v>40</v>
      </c>
      <c r="D96">
        <v>4.2571560000000002</v>
      </c>
      <c r="E96">
        <v>0.50819789999999998</v>
      </c>
      <c r="F96" t="s">
        <v>43</v>
      </c>
      <c r="G96">
        <v>-423.9366</v>
      </c>
      <c r="H96">
        <v>-0.05</v>
      </c>
      <c r="I96">
        <v>367.14080000000001</v>
      </c>
      <c r="J96">
        <v>-469.20440000000002</v>
      </c>
      <c r="K96">
        <v>1.121353</v>
      </c>
      <c r="L96">
        <v>367.11880000000002</v>
      </c>
      <c r="M96">
        <v>0.99988279999999996</v>
      </c>
      <c r="N96">
        <v>-1.154899E-2</v>
      </c>
      <c r="O96">
        <v>1.005696E-2</v>
      </c>
      <c r="P96">
        <v>0.99919930000000001</v>
      </c>
      <c r="Q96">
        <v>-3.6162989999999999E-2</v>
      </c>
      <c r="R96">
        <v>1.712607E-2</v>
      </c>
      <c r="S96">
        <v>2.999603</v>
      </c>
      <c r="T96">
        <v>-7.7443120000000004E-2</v>
      </c>
      <c r="U96">
        <v>1.525879E-3</v>
      </c>
      <c r="V96">
        <v>-7.0753159999999999E-3</v>
      </c>
      <c r="W96">
        <v>-2.461957E-2</v>
      </c>
      <c r="X96">
        <v>0.99967189999999995</v>
      </c>
      <c r="Y96">
        <v>9.5433319999999999E-3</v>
      </c>
      <c r="Z96">
        <v>-3.2175569999999998E-4</v>
      </c>
      <c r="AA96">
        <v>0.99995440000000002</v>
      </c>
      <c r="AB96">
        <v>10</v>
      </c>
      <c r="AC96">
        <v>45.267800000000001</v>
      </c>
      <c r="AD96">
        <v>-1.1713530000000001</v>
      </c>
      <c r="AE96">
        <v>2.1999999999991301E-2</v>
      </c>
      <c r="AF96">
        <v>0.43299797677975399</v>
      </c>
      <c r="AG96">
        <v>-1.1713530000000001</v>
      </c>
      <c r="AH96">
        <v>45.235443310786799</v>
      </c>
      <c r="AI96">
        <v>91.483250995803004</v>
      </c>
      <c r="AJ96">
        <v>89.451576084455894</v>
      </c>
      <c r="AK96">
        <v>45.252678225955997</v>
      </c>
      <c r="AL96">
        <v>91.410739928439199</v>
      </c>
      <c r="AM96">
        <v>90.405512025229299</v>
      </c>
      <c r="AN96">
        <v>1.0000000454865401</v>
      </c>
    </row>
    <row r="97" spans="1:40" x14ac:dyDescent="0.25">
      <c r="A97" t="str">
        <f>"20190303153745551"</f>
        <v>20190303153745551</v>
      </c>
      <c r="B97" t="str">
        <f>"1551598665548950"</f>
        <v>1551598665548950</v>
      </c>
      <c r="C97" t="s">
        <v>40</v>
      </c>
      <c r="D97">
        <v>4.1897549999999999</v>
      </c>
      <c r="E97">
        <v>0.51114020000000004</v>
      </c>
      <c r="F97" t="s">
        <v>43</v>
      </c>
      <c r="G97">
        <v>-420.81990000000002</v>
      </c>
      <c r="H97">
        <v>-0.05</v>
      </c>
      <c r="I97">
        <v>366.89780000000002</v>
      </c>
      <c r="J97">
        <v>-469.1035</v>
      </c>
      <c r="K97">
        <v>1.121364</v>
      </c>
      <c r="L97">
        <v>367.11989999999997</v>
      </c>
      <c r="M97">
        <v>0.99987950000000003</v>
      </c>
      <c r="N97">
        <v>-1.176931E-2</v>
      </c>
      <c r="O97">
        <v>1.013619E-2</v>
      </c>
      <c r="P97">
        <v>0.99918560000000001</v>
      </c>
      <c r="Q97">
        <v>-3.6814109999999997E-2</v>
      </c>
      <c r="R97">
        <v>1.6527090000000001E-2</v>
      </c>
      <c r="S97">
        <v>3.0000610000000001</v>
      </c>
      <c r="T97">
        <v>-7.262921E-2</v>
      </c>
      <c r="U97">
        <v>-1.370239E-2</v>
      </c>
      <c r="V97">
        <v>-6.3969279999999996E-3</v>
      </c>
      <c r="W97">
        <v>-2.5050590000000001E-2</v>
      </c>
      <c r="X97">
        <v>0.99966569999999999</v>
      </c>
      <c r="Y97">
        <v>1.469669E-2</v>
      </c>
      <c r="Z97">
        <v>-3.9043729999999998E-4</v>
      </c>
      <c r="AA97">
        <v>0.99989189999999994</v>
      </c>
      <c r="AB97">
        <v>10</v>
      </c>
      <c r="AC97">
        <v>48.2835999999999</v>
      </c>
      <c r="AD97">
        <v>-1.1713639999999901</v>
      </c>
      <c r="AE97">
        <v>-0.222099999999954</v>
      </c>
      <c r="AF97">
        <v>0.71111564517758097</v>
      </c>
      <c r="AG97">
        <v>-1.1713639999999901</v>
      </c>
      <c r="AH97">
        <v>48.250470519575998</v>
      </c>
      <c r="AI97">
        <v>91.390530479441097</v>
      </c>
      <c r="AJ97">
        <v>89.155635682289599</v>
      </c>
      <c r="AK97">
        <v>48.269925258299203</v>
      </c>
      <c r="AL97">
        <v>91.435443264605098</v>
      </c>
      <c r="AM97">
        <v>90.366634539578698</v>
      </c>
      <c r="AN97">
        <v>0.99999998225183695</v>
      </c>
    </row>
    <row r="98" spans="1:40" x14ac:dyDescent="0.25">
      <c r="A98" t="str">
        <f>"20190303153745574"</f>
        <v>20190303153745574</v>
      </c>
      <c r="B98" t="str">
        <f>"1551598665569446"</f>
        <v>1551598665569446</v>
      </c>
      <c r="C98" t="s">
        <v>40</v>
      </c>
      <c r="D98">
        <v>4.2221310000000001</v>
      </c>
      <c r="E98">
        <v>0.51195630000000003</v>
      </c>
      <c r="F98" t="s">
        <v>43</v>
      </c>
      <c r="G98">
        <v>-412.32310000000001</v>
      </c>
      <c r="H98">
        <v>-0.05</v>
      </c>
      <c r="I98">
        <v>366.38310000000001</v>
      </c>
      <c r="J98">
        <v>-469.00209999999998</v>
      </c>
      <c r="K98">
        <v>1.121373</v>
      </c>
      <c r="L98">
        <v>367.12099999999998</v>
      </c>
      <c r="M98">
        <v>0.99987630000000005</v>
      </c>
      <c r="N98">
        <v>-1.196617E-2</v>
      </c>
      <c r="O98">
        <v>1.0216009999999999E-2</v>
      </c>
      <c r="P98">
        <v>0.99918410000000002</v>
      </c>
      <c r="Q98">
        <v>-3.7019900000000001E-2</v>
      </c>
      <c r="R98">
        <v>1.61444E-2</v>
      </c>
      <c r="S98">
        <v>3.0007630000000001</v>
      </c>
      <c r="T98">
        <v>-6.190491E-2</v>
      </c>
      <c r="U98">
        <v>-3.8940429999999998E-2</v>
      </c>
      <c r="V98">
        <v>-5.935025E-3</v>
      </c>
      <c r="W98">
        <v>-2.505961E-2</v>
      </c>
      <c r="X98">
        <v>0.99966840000000001</v>
      </c>
      <c r="Y98">
        <v>2.318278E-2</v>
      </c>
      <c r="Z98">
        <v>-4.6631359999999998E-4</v>
      </c>
      <c r="AA98">
        <v>0.99973109999999998</v>
      </c>
      <c r="AB98">
        <v>10</v>
      </c>
      <c r="AC98">
        <v>56.678999999999903</v>
      </c>
      <c r="AD98">
        <v>-1.171373</v>
      </c>
      <c r="AE98">
        <v>-0.73789999999996703</v>
      </c>
      <c r="AF98">
        <v>1.3163739792136799</v>
      </c>
      <c r="AG98">
        <v>-1.171373</v>
      </c>
      <c r="AH98">
        <v>56.644313257427598</v>
      </c>
      <c r="AI98">
        <v>91.184356428510696</v>
      </c>
      <c r="AJ98">
        <v>88.668726027051406</v>
      </c>
      <c r="AK98">
        <v>56.671714104691297</v>
      </c>
      <c r="AL98">
        <v>91.435960124223399</v>
      </c>
      <c r="AM98">
        <v>90.340160685801493</v>
      </c>
      <c r="AN98">
        <v>1.0000000592668199</v>
      </c>
    </row>
    <row r="99" spans="1:40" x14ac:dyDescent="0.25">
      <c r="A99" t="str">
        <f>"20190303153745597"</f>
        <v>20190303153745597</v>
      </c>
      <c r="B99" t="str">
        <f>"1551598665588966"</f>
        <v>1551598665588966</v>
      </c>
      <c r="C99" t="s">
        <v>40</v>
      </c>
      <c r="D99">
        <v>4.2125529999999998</v>
      </c>
      <c r="E99">
        <v>0.51309039999999995</v>
      </c>
      <c r="F99" t="s">
        <v>43</v>
      </c>
      <c r="G99">
        <v>-414.44</v>
      </c>
      <c r="H99">
        <v>-0.05</v>
      </c>
      <c r="I99">
        <v>366.27319999999997</v>
      </c>
      <c r="J99">
        <v>-468.89580000000001</v>
      </c>
      <c r="K99">
        <v>1.121383</v>
      </c>
      <c r="L99">
        <v>367.1223</v>
      </c>
      <c r="M99">
        <v>0.99987320000000002</v>
      </c>
      <c r="N99">
        <v>-1.214818E-2</v>
      </c>
      <c r="O99">
        <v>1.029996E-2</v>
      </c>
      <c r="P99">
        <v>0.99918260000000003</v>
      </c>
      <c r="Q99">
        <v>-3.7056819999999997E-2</v>
      </c>
      <c r="R99">
        <v>1.614782E-2</v>
      </c>
      <c r="S99">
        <v>3.0007929999999998</v>
      </c>
      <c r="T99">
        <v>-6.4422969999999996E-2</v>
      </c>
      <c r="U99">
        <v>-4.6630860000000003E-2</v>
      </c>
      <c r="V99">
        <v>-5.8544879999999997E-3</v>
      </c>
      <c r="W99">
        <v>-2.491457E-2</v>
      </c>
      <c r="X99">
        <v>0.99967240000000002</v>
      </c>
      <c r="Y99">
        <v>2.582653E-2</v>
      </c>
      <c r="Z99">
        <v>-5.3007100000000001E-4</v>
      </c>
      <c r="AA99">
        <v>0.99966630000000001</v>
      </c>
      <c r="AB99">
        <v>10</v>
      </c>
      <c r="AC99">
        <v>54.455800000000004</v>
      </c>
      <c r="AD99">
        <v>-1.1713830000000001</v>
      </c>
      <c r="AE99">
        <v>-0.84910000000002095</v>
      </c>
      <c r="AF99">
        <v>1.40933692592046</v>
      </c>
      <c r="AG99">
        <v>-1.1713830000000001</v>
      </c>
      <c r="AH99">
        <v>54.418990441628402</v>
      </c>
      <c r="AI99">
        <v>91.232703020727101</v>
      </c>
      <c r="AJ99">
        <v>88.516491916529603</v>
      </c>
      <c r="AK99">
        <v>54.449838286164798</v>
      </c>
      <c r="AL99">
        <v>91.427647492451698</v>
      </c>
      <c r="AM99">
        <v>90.335543542865096</v>
      </c>
      <c r="AN99">
        <v>0.99999995907489203</v>
      </c>
    </row>
    <row r="100" spans="1:40" x14ac:dyDescent="0.25">
      <c r="A100" t="str">
        <f>"20190303153745619"</f>
        <v>20190303153745619</v>
      </c>
      <c r="B100" t="str">
        <f>"1551598665609465"</f>
        <v>1551598665609465</v>
      </c>
      <c r="C100" t="s">
        <v>40</v>
      </c>
      <c r="D100">
        <v>4.2034640000000003</v>
      </c>
      <c r="E100">
        <v>0.51408339999999997</v>
      </c>
      <c r="F100" t="s">
        <v>43</v>
      </c>
      <c r="G100">
        <v>-410.56760000000003</v>
      </c>
      <c r="H100">
        <v>-0.05</v>
      </c>
      <c r="I100">
        <v>366.04509999999999</v>
      </c>
      <c r="J100">
        <v>-468.7955</v>
      </c>
      <c r="K100">
        <v>1.121359</v>
      </c>
      <c r="L100">
        <v>367.1234</v>
      </c>
      <c r="M100">
        <v>0.99987150000000002</v>
      </c>
      <c r="N100">
        <v>-1.2216879999999999E-2</v>
      </c>
      <c r="O100">
        <v>1.0379350000000001E-2</v>
      </c>
      <c r="P100">
        <v>0.99917319999999998</v>
      </c>
      <c r="Q100">
        <v>-3.7270690000000002E-2</v>
      </c>
      <c r="R100">
        <v>1.624509E-2</v>
      </c>
      <c r="S100">
        <v>3.00116</v>
      </c>
      <c r="T100">
        <v>-6.0271140000000001E-2</v>
      </c>
      <c r="U100">
        <v>-5.5419919999999998E-2</v>
      </c>
      <c r="V100">
        <v>-5.872581E-3</v>
      </c>
      <c r="W100">
        <v>-2.5059850000000002E-2</v>
      </c>
      <c r="X100">
        <v>0.99966869999999997</v>
      </c>
      <c r="Y100">
        <v>2.8830709999999999E-2</v>
      </c>
      <c r="Z100">
        <v>-5.4722219999999995E-4</v>
      </c>
      <c r="AA100">
        <v>0.99958409999999998</v>
      </c>
      <c r="AB100">
        <v>10</v>
      </c>
      <c r="AC100">
        <v>58.227899999999899</v>
      </c>
      <c r="AD100">
        <v>-1.171359</v>
      </c>
      <c r="AE100">
        <v>-1.07830000000001</v>
      </c>
      <c r="AF100">
        <v>1.6819743297930001</v>
      </c>
      <c r="AG100">
        <v>-1.171359</v>
      </c>
      <c r="AH100">
        <v>58.190029490942997</v>
      </c>
      <c r="AI100">
        <v>91.152720784336907</v>
      </c>
      <c r="AJ100">
        <v>88.344334830491306</v>
      </c>
      <c r="AK100">
        <v>58.226116577612999</v>
      </c>
      <c r="AL100">
        <v>91.435973969644493</v>
      </c>
      <c r="AM100">
        <v>90.336581745179302</v>
      </c>
      <c r="AN100">
        <v>0.99999999652465699</v>
      </c>
    </row>
    <row r="101" spans="1:40" x14ac:dyDescent="0.25">
      <c r="A101" t="str">
        <f>"20190303153745641"</f>
        <v>20190303153745641</v>
      </c>
      <c r="B101" t="str">
        <f>"1551598665628982"</f>
        <v>1551598665628982</v>
      </c>
      <c r="C101" t="s">
        <v>40</v>
      </c>
      <c r="D101">
        <v>4.2207569999999999</v>
      </c>
      <c r="E101">
        <v>0.51490590000000003</v>
      </c>
      <c r="F101" t="s">
        <v>43</v>
      </c>
      <c r="G101">
        <v>-407.50810000000001</v>
      </c>
      <c r="H101">
        <v>-0.05</v>
      </c>
      <c r="I101">
        <v>365.83589999999998</v>
      </c>
      <c r="J101">
        <v>-468.69549999999998</v>
      </c>
      <c r="K101">
        <v>1.1212719999999901</v>
      </c>
      <c r="L101">
        <v>367.12450000000001</v>
      </c>
      <c r="M101">
        <v>0.9998707</v>
      </c>
      <c r="N101">
        <v>-1.2216380000000001E-2</v>
      </c>
      <c r="O101">
        <v>1.045867E-2</v>
      </c>
      <c r="P101">
        <v>0.99918850000000003</v>
      </c>
      <c r="Q101">
        <v>-3.6804950000000003E-2</v>
      </c>
      <c r="R101">
        <v>1.6362669999999999E-2</v>
      </c>
      <c r="S101">
        <v>3.0014340000000002</v>
      </c>
      <c r="T101">
        <v>-5.7365060000000002E-2</v>
      </c>
      <c r="U101">
        <v>-6.3049320000000006E-2</v>
      </c>
      <c r="V101">
        <v>-5.9103059999999997E-3</v>
      </c>
      <c r="W101">
        <v>-2.459443E-2</v>
      </c>
      <c r="X101">
        <v>0.99968000000000001</v>
      </c>
      <c r="Y101">
        <v>3.14481E-2</v>
      </c>
      <c r="Z101">
        <v>-5.6471669999999996E-4</v>
      </c>
      <c r="AA101">
        <v>0.99950519999999998</v>
      </c>
      <c r="AB101">
        <v>10</v>
      </c>
      <c r="AC101">
        <v>61.187399999999897</v>
      </c>
      <c r="AD101">
        <v>-1.1712720000000001</v>
      </c>
      <c r="AE101">
        <v>-1.2886000000000299</v>
      </c>
      <c r="AF101">
        <v>1.9278099859033999</v>
      </c>
      <c r="AG101">
        <v>-1.1712720000000001</v>
      </c>
      <c r="AH101">
        <v>61.148178287431399</v>
      </c>
      <c r="AI101">
        <v>91.096801643821806</v>
      </c>
      <c r="AJ101">
        <v>88.194242161356598</v>
      </c>
      <c r="AK101">
        <v>61.189770691768601</v>
      </c>
      <c r="AL101">
        <v>91.409299196747597</v>
      </c>
      <c r="AM101">
        <v>90.338740040760996</v>
      </c>
      <c r="AN101">
        <v>0.99999996005201797</v>
      </c>
    </row>
    <row r="102" spans="1:40" x14ac:dyDescent="0.25">
      <c r="A102" t="str">
        <f>"20190303153745665"</f>
        <v>20190303153745665</v>
      </c>
      <c r="B102" t="str">
        <f>"1551598665659238"</f>
        <v>1551598665659238</v>
      </c>
      <c r="C102" t="s">
        <v>40</v>
      </c>
      <c r="D102">
        <v>4.1901140000000003</v>
      </c>
      <c r="E102">
        <v>0.51587070000000002</v>
      </c>
      <c r="F102" t="s">
        <v>43</v>
      </c>
      <c r="G102">
        <v>-402.45350000000002</v>
      </c>
      <c r="H102">
        <v>-0.05</v>
      </c>
      <c r="I102">
        <v>365.59440000000001</v>
      </c>
      <c r="J102">
        <v>-468.58969999999999</v>
      </c>
      <c r="K102">
        <v>1.12117</v>
      </c>
      <c r="L102">
        <v>367.12569999999999</v>
      </c>
      <c r="M102">
        <v>0.99986830000000004</v>
      </c>
      <c r="N102">
        <v>-1.2346609999999999E-2</v>
      </c>
      <c r="O102">
        <v>1.0541709999999999E-2</v>
      </c>
      <c r="P102">
        <v>0.99917319999999998</v>
      </c>
      <c r="Q102">
        <v>-3.6887250000000003E-2</v>
      </c>
      <c r="R102">
        <v>1.7106420000000001E-2</v>
      </c>
      <c r="S102">
        <v>3.001617</v>
      </c>
      <c r="T102">
        <v>-5.3073759999999998E-2</v>
      </c>
      <c r="U102">
        <v>-6.9335939999999999E-2</v>
      </c>
      <c r="V102">
        <v>-6.5709979999999998E-3</v>
      </c>
      <c r="W102">
        <v>-2.454661E-2</v>
      </c>
      <c r="X102">
        <v>0.99967709999999999</v>
      </c>
      <c r="Y102">
        <v>3.3622720000000002E-2</v>
      </c>
      <c r="Z102">
        <v>-5.6103979999999999E-4</v>
      </c>
      <c r="AA102">
        <v>0.99943439999999995</v>
      </c>
      <c r="AB102">
        <v>10</v>
      </c>
      <c r="AC102">
        <v>66.136199999999903</v>
      </c>
      <c r="AD102">
        <v>-1.17117</v>
      </c>
      <c r="AE102">
        <v>-1.5312999999999799</v>
      </c>
      <c r="AF102">
        <v>2.2277583948397099</v>
      </c>
      <c r="AG102">
        <v>-1.17117</v>
      </c>
      <c r="AH102">
        <v>66.095665012849807</v>
      </c>
      <c r="AI102">
        <v>91.014559809782398</v>
      </c>
      <c r="AJ102">
        <v>88.069573066257306</v>
      </c>
      <c r="AK102">
        <v>66.143567186276996</v>
      </c>
      <c r="AL102">
        <v>91.406558415936104</v>
      </c>
      <c r="AM102">
        <v>90.376606636807907</v>
      </c>
      <c r="AN102">
        <v>1.0000000091707999</v>
      </c>
    </row>
    <row r="103" spans="1:40" x14ac:dyDescent="0.25">
      <c r="A103" t="str">
        <f>"20190303153745687"</f>
        <v>20190303153745687</v>
      </c>
      <c r="B103" t="str">
        <f>"1551598665678757"</f>
        <v>1551598665678757</v>
      </c>
      <c r="C103" t="s">
        <v>40</v>
      </c>
      <c r="D103">
        <v>4.1522920000000001</v>
      </c>
      <c r="E103">
        <v>0.51640629999999998</v>
      </c>
      <c r="F103" t="s">
        <v>43</v>
      </c>
      <c r="G103">
        <v>-397.39789999999999</v>
      </c>
      <c r="H103">
        <v>-0.05</v>
      </c>
      <c r="I103">
        <v>365.35250000000002</v>
      </c>
      <c r="J103">
        <v>-468.48540000000003</v>
      </c>
      <c r="K103">
        <v>1.1210629999999999</v>
      </c>
      <c r="L103">
        <v>367.12689999999998</v>
      </c>
      <c r="M103">
        <v>0.99986589999999997</v>
      </c>
      <c r="N103">
        <v>-1.2464340000000001E-2</v>
      </c>
      <c r="O103">
        <v>1.062365E-2</v>
      </c>
      <c r="P103">
        <v>0.99922480000000002</v>
      </c>
      <c r="Q103">
        <v>-3.505664E-2</v>
      </c>
      <c r="R103">
        <v>1.79115E-2</v>
      </c>
      <c r="S103">
        <v>3.0019529999999999</v>
      </c>
      <c r="T103">
        <v>-4.9384829999999998E-2</v>
      </c>
      <c r="U103">
        <v>-7.4768070000000006E-2</v>
      </c>
      <c r="V103">
        <v>-7.2939839999999999E-3</v>
      </c>
      <c r="W103">
        <v>-2.259771E-2</v>
      </c>
      <c r="X103">
        <v>0.999718</v>
      </c>
      <c r="Y103">
        <v>3.5510010000000002E-2</v>
      </c>
      <c r="Z103">
        <v>-5.5573069999999996E-4</v>
      </c>
      <c r="AA103">
        <v>0.99936910000000001</v>
      </c>
      <c r="AB103">
        <v>10</v>
      </c>
      <c r="AC103">
        <v>71.087500000000006</v>
      </c>
      <c r="AD103">
        <v>-1.171063</v>
      </c>
      <c r="AE103">
        <v>-1.77439999999995</v>
      </c>
      <c r="AF103">
        <v>2.5288813717488798</v>
      </c>
      <c r="AG103">
        <v>-1.171063</v>
      </c>
      <c r="AH103">
        <v>71.045367540126406</v>
      </c>
      <c r="AI103">
        <v>90.943741148889501</v>
      </c>
      <c r="AJ103">
        <v>87.961400073138194</v>
      </c>
      <c r="AK103">
        <v>71.100006177594594</v>
      </c>
      <c r="AL103">
        <v>91.294863670700195</v>
      </c>
      <c r="AM103">
        <v>90.418024966807707</v>
      </c>
      <c r="AN103">
        <v>0.99999996911191702</v>
      </c>
    </row>
    <row r="104" spans="1:40" x14ac:dyDescent="0.25">
      <c r="A104" t="str">
        <f>"20190303153745709"</f>
        <v>20190303153745709</v>
      </c>
      <c r="B104" t="str">
        <f>"1551598665699257"</f>
        <v>1551598665699257</v>
      </c>
      <c r="C104" t="s">
        <v>40</v>
      </c>
      <c r="D104">
        <v>4.1448850000000004</v>
      </c>
      <c r="E104">
        <v>0.51688469999999997</v>
      </c>
      <c r="F104" t="s">
        <v>42</v>
      </c>
      <c r="G104">
        <v>-387.5514</v>
      </c>
      <c r="H104" s="1">
        <v>-2.030488E-6</v>
      </c>
      <c r="I104">
        <v>365.0643</v>
      </c>
      <c r="J104">
        <v>-468.38900000000001</v>
      </c>
      <c r="K104">
        <v>1.1209549999999999</v>
      </c>
      <c r="L104">
        <v>367.12799999999999</v>
      </c>
      <c r="M104">
        <v>0.99986649999999999</v>
      </c>
      <c r="N104">
        <v>-1.236336E-2</v>
      </c>
      <c r="O104">
        <v>1.069986E-2</v>
      </c>
      <c r="P104">
        <v>0.99924299999999999</v>
      </c>
      <c r="Q104">
        <v>-3.4093930000000001E-2</v>
      </c>
      <c r="R104">
        <v>1.8748770000000001E-2</v>
      </c>
      <c r="S104">
        <v>3.0021969999999998</v>
      </c>
      <c r="T104">
        <v>-4.1585209999999997E-2</v>
      </c>
      <c r="U104">
        <v>-7.6507569999999997E-2</v>
      </c>
      <c r="V104">
        <v>-8.0544769999999904E-3</v>
      </c>
      <c r="W104">
        <v>-2.1735689999999998E-2</v>
      </c>
      <c r="X104">
        <v>0.99973129999999999</v>
      </c>
      <c r="Y104">
        <v>3.6164759999999997E-2</v>
      </c>
      <c r="Z104">
        <v>-4.899565E-4</v>
      </c>
      <c r="AA104">
        <v>0.9993457</v>
      </c>
      <c r="AB104">
        <v>10</v>
      </c>
      <c r="AC104">
        <v>80.837599999999995</v>
      </c>
      <c r="AD104">
        <v>-1.1209570304880001</v>
      </c>
      <c r="AE104">
        <v>-2.0637000000000398</v>
      </c>
      <c r="AF104">
        <v>2.9280361477696202</v>
      </c>
      <c r="AG104">
        <v>-1.1209570304880001</v>
      </c>
      <c r="AH104">
        <v>80.7953629277998</v>
      </c>
      <c r="AI104">
        <v>90.794350790079804</v>
      </c>
      <c r="AJ104">
        <v>87.924500602242404</v>
      </c>
      <c r="AK104">
        <v>80.856172374047802</v>
      </c>
      <c r="AL104">
        <v>91.2454613906947</v>
      </c>
      <c r="AM104">
        <v>90.461601586048502</v>
      </c>
      <c r="AN104">
        <v>0.999999993509604</v>
      </c>
    </row>
    <row r="105" spans="1:40" x14ac:dyDescent="0.25">
      <c r="A105" t="str">
        <f>"20190303153745731"</f>
        <v>20190303153745731</v>
      </c>
      <c r="B105" t="str">
        <f>"1551598665718774"</f>
        <v>1551598665718774</v>
      </c>
      <c r="C105" t="s">
        <v>40</v>
      </c>
      <c r="D105">
        <v>4.1422600000000003</v>
      </c>
      <c r="E105">
        <v>0.51755139999999999</v>
      </c>
      <c r="F105" t="s">
        <v>42</v>
      </c>
      <c r="G105">
        <v>-378.8</v>
      </c>
      <c r="H105" s="1">
        <v>-1.675083E-6</v>
      </c>
      <c r="I105">
        <v>364.80309999999997</v>
      </c>
      <c r="J105">
        <v>-468.29160000000002</v>
      </c>
      <c r="K105">
        <v>1.1208229999999999</v>
      </c>
      <c r="L105">
        <v>367.12920000000003</v>
      </c>
      <c r="M105">
        <v>0.99986900000000001</v>
      </c>
      <c r="N105">
        <v>-1.208384E-2</v>
      </c>
      <c r="O105">
        <v>1.077639E-2</v>
      </c>
      <c r="P105">
        <v>0.9992704</v>
      </c>
      <c r="Q105">
        <v>-3.3102930000000003E-2</v>
      </c>
      <c r="R105">
        <v>1.9046859999999999E-2</v>
      </c>
      <c r="S105">
        <v>3.0024109999999999</v>
      </c>
      <c r="T105">
        <v>-3.7566780000000001E-2</v>
      </c>
      <c r="U105">
        <v>-7.7911380000000002E-2</v>
      </c>
      <c r="V105">
        <v>-8.276271E-3</v>
      </c>
      <c r="W105">
        <v>-2.102387E-2</v>
      </c>
      <c r="X105">
        <v>0.99974470000000004</v>
      </c>
      <c r="Y105">
        <v>3.670727E-2</v>
      </c>
      <c r="Z105">
        <v>-4.5605260000000002E-4</v>
      </c>
      <c r="AA105">
        <v>0.99932589999999999</v>
      </c>
      <c r="AB105">
        <v>10</v>
      </c>
      <c r="AC105">
        <v>89.491600000000005</v>
      </c>
      <c r="AD105">
        <v>-1.120824675083</v>
      </c>
      <c r="AE105">
        <v>-2.32610000000005</v>
      </c>
      <c r="AF105">
        <v>3.2899159252673198</v>
      </c>
      <c r="AG105">
        <v>-1.120824675083</v>
      </c>
      <c r="AH105">
        <v>89.447312758465898</v>
      </c>
      <c r="AI105">
        <v>90.717425420464807</v>
      </c>
      <c r="AJ105">
        <v>87.893582712039105</v>
      </c>
      <c r="AK105">
        <v>89.514811927738606</v>
      </c>
      <c r="AL105">
        <v>91.204667796747103</v>
      </c>
      <c r="AM105">
        <v>90.474305656621794</v>
      </c>
      <c r="AN105">
        <v>0.99999998247476596</v>
      </c>
    </row>
    <row r="106" spans="1:40" x14ac:dyDescent="0.25">
      <c r="A106" t="str">
        <f>"20190303153745752"</f>
        <v>20190303153745752</v>
      </c>
      <c r="B106" t="str">
        <f>"1551598665749030"</f>
        <v>1551598665749030</v>
      </c>
      <c r="C106" t="s">
        <v>40</v>
      </c>
      <c r="D106">
        <v>4.1389860000000001</v>
      </c>
      <c r="E106">
        <v>0.51846499999999995</v>
      </c>
      <c r="F106" t="s">
        <v>42</v>
      </c>
      <c r="G106">
        <v>-367.82029999999997</v>
      </c>
      <c r="H106" s="1">
        <v>-2.1215509999999999E-6</v>
      </c>
      <c r="I106">
        <v>364.37810000000002</v>
      </c>
      <c r="J106">
        <v>-468.1884</v>
      </c>
      <c r="K106">
        <v>1.120719</v>
      </c>
      <c r="L106">
        <v>367.13029999999998</v>
      </c>
      <c r="M106">
        <v>0.99987179999999998</v>
      </c>
      <c r="N106">
        <v>-1.176873E-2</v>
      </c>
      <c r="O106">
        <v>1.0856899999999999E-2</v>
      </c>
      <c r="P106">
        <v>0.99926040000000005</v>
      </c>
      <c r="Q106">
        <v>-3.337445E-2</v>
      </c>
      <c r="R106">
        <v>1.910384E-2</v>
      </c>
      <c r="S106">
        <v>3.0026860000000002</v>
      </c>
      <c r="T106">
        <v>-3.3496980000000003E-2</v>
      </c>
      <c r="U106">
        <v>-8.221436E-2</v>
      </c>
      <c r="V106">
        <v>-8.2528099999999993E-3</v>
      </c>
      <c r="W106">
        <v>-2.1610509999999999E-2</v>
      </c>
      <c r="X106">
        <v>0.99973239999999997</v>
      </c>
      <c r="Y106">
        <v>3.8217099999999997E-2</v>
      </c>
      <c r="Z106">
        <v>-4.3141229999999999E-4</v>
      </c>
      <c r="AA106">
        <v>0.99926939999999997</v>
      </c>
      <c r="AB106">
        <v>10</v>
      </c>
      <c r="AC106">
        <v>100.3681</v>
      </c>
      <c r="AD106">
        <v>-1.120721121551</v>
      </c>
      <c r="AE106">
        <v>-2.7521999999999598</v>
      </c>
      <c r="AF106">
        <v>3.8413210846884902</v>
      </c>
      <c r="AG106">
        <v>-1.120721121551</v>
      </c>
      <c r="AH106">
        <v>100.319802593936</v>
      </c>
      <c r="AI106">
        <v>90.639583625777803</v>
      </c>
      <c r="AJ106">
        <v>87.807172561935104</v>
      </c>
      <c r="AK106">
        <v>100.399574481142</v>
      </c>
      <c r="AL106">
        <v>91.238287415165701</v>
      </c>
      <c r="AM106">
        <v>90.472967007665602</v>
      </c>
      <c r="AN106">
        <v>0.99999999731255795</v>
      </c>
    </row>
    <row r="107" spans="1:40" x14ac:dyDescent="0.25">
      <c r="A107" t="str">
        <f>"20190303153745775"</f>
        <v>20190303153745775</v>
      </c>
      <c r="B107" t="str">
        <f>"1551598665768819"</f>
        <v>1551598665768819</v>
      </c>
      <c r="C107" t="s">
        <v>40</v>
      </c>
      <c r="D107">
        <v>4.1462269999999997</v>
      </c>
      <c r="E107">
        <v>0.51901909999999996</v>
      </c>
      <c r="F107" t="s">
        <v>42</v>
      </c>
      <c r="G107">
        <v>-366.04480000000001</v>
      </c>
      <c r="H107" s="1">
        <v>-2.8005940000000002E-6</v>
      </c>
      <c r="I107">
        <v>364.09699999999998</v>
      </c>
      <c r="J107">
        <v>-468.08359999999999</v>
      </c>
      <c r="K107">
        <v>1.1206739999999999</v>
      </c>
      <c r="L107">
        <v>367.13159999999999</v>
      </c>
      <c r="M107">
        <v>0.99987389999999998</v>
      </c>
      <c r="N107">
        <v>-1.151577E-2</v>
      </c>
      <c r="O107">
        <v>1.093854E-2</v>
      </c>
      <c r="P107">
        <v>0.99926789999999999</v>
      </c>
      <c r="Q107">
        <v>-3.3392720000000001E-2</v>
      </c>
      <c r="R107">
        <v>1.8680970000000002E-2</v>
      </c>
      <c r="S107">
        <v>3.0028380000000001</v>
      </c>
      <c r="T107">
        <v>-3.294718E-2</v>
      </c>
      <c r="U107">
        <v>-8.9172360000000006E-2</v>
      </c>
      <c r="V107">
        <v>-7.7484049999999999E-3</v>
      </c>
      <c r="W107">
        <v>-2.1881640000000001E-2</v>
      </c>
      <c r="X107">
        <v>0.99973049999999997</v>
      </c>
      <c r="Y107">
        <v>4.0610609999999998E-2</v>
      </c>
      <c r="Z107">
        <v>-4.5069089999999999E-4</v>
      </c>
      <c r="AA107">
        <v>0.99917500000000004</v>
      </c>
      <c r="AB107">
        <v>10</v>
      </c>
      <c r="AC107">
        <v>102.038799999999</v>
      </c>
      <c r="AD107">
        <v>-1.120676800594</v>
      </c>
      <c r="AE107">
        <v>-3.03460000000001</v>
      </c>
      <c r="AF107">
        <v>4.1501477283064903</v>
      </c>
      <c r="AG107">
        <v>-1.120676800594</v>
      </c>
      <c r="AH107">
        <v>101.987207028396</v>
      </c>
      <c r="AI107">
        <v>90.629043367399902</v>
      </c>
      <c r="AJ107">
        <v>87.669758433853602</v>
      </c>
      <c r="AK107">
        <v>102.077764670427</v>
      </c>
      <c r="AL107">
        <v>91.253825743286896</v>
      </c>
      <c r="AM107">
        <v>90.444061690004204</v>
      </c>
      <c r="AN107">
        <v>0.99999995828969002</v>
      </c>
    </row>
    <row r="108" spans="1:40" x14ac:dyDescent="0.25">
      <c r="A108" t="str">
        <f>"20190303153745798"</f>
        <v>20190303153745798</v>
      </c>
      <c r="B108" t="str">
        <f>"1551598665789314"</f>
        <v>1551598665789314</v>
      </c>
      <c r="C108" t="s">
        <v>40</v>
      </c>
      <c r="D108">
        <v>4.1406549999999998</v>
      </c>
      <c r="E108">
        <v>0.51948039999999995</v>
      </c>
      <c r="F108" t="s">
        <v>42</v>
      </c>
      <c r="G108">
        <v>-365.31240000000003</v>
      </c>
      <c r="H108" s="1">
        <v>-3.1069560000000001E-6</v>
      </c>
      <c r="I108">
        <v>363.88220000000001</v>
      </c>
      <c r="J108">
        <v>-467.97770000000003</v>
      </c>
      <c r="K108">
        <v>1.120657</v>
      </c>
      <c r="L108">
        <v>367.13279999999997</v>
      </c>
      <c r="M108">
        <v>0.99987550000000003</v>
      </c>
      <c r="N108">
        <v>-1.12984E-2</v>
      </c>
      <c r="O108">
        <v>1.102127E-2</v>
      </c>
      <c r="P108">
        <v>0.99925520000000001</v>
      </c>
      <c r="Q108">
        <v>-3.3863129999999998E-2</v>
      </c>
      <c r="R108">
        <v>1.8517949999999998E-2</v>
      </c>
      <c r="S108">
        <v>3.002869</v>
      </c>
      <c r="T108">
        <v>-3.2745000000000003E-2</v>
      </c>
      <c r="U108">
        <v>-9.4940189999999994E-2</v>
      </c>
      <c r="V108">
        <v>-7.5027840000000002E-3</v>
      </c>
      <c r="W108">
        <v>-2.2569499999999999E-2</v>
      </c>
      <c r="X108">
        <v>0.99971710000000003</v>
      </c>
      <c r="Y108">
        <v>4.2610099999999998E-2</v>
      </c>
      <c r="Z108">
        <v>-4.687127E-4</v>
      </c>
      <c r="AA108">
        <v>0.99909170000000003</v>
      </c>
      <c r="AB108">
        <v>10</v>
      </c>
      <c r="AC108">
        <v>102.6653</v>
      </c>
      <c r="AD108">
        <v>-1.120660106956</v>
      </c>
      <c r="AE108">
        <v>-3.25059999999996</v>
      </c>
      <c r="AF108">
        <v>4.3814551511815996</v>
      </c>
      <c r="AG108">
        <v>-1.120660106956</v>
      </c>
      <c r="AH108">
        <v>102.61102165682399</v>
      </c>
      <c r="AI108">
        <v>90.625157927206203</v>
      </c>
      <c r="AJ108">
        <v>87.5549752729858</v>
      </c>
      <c r="AK108">
        <v>102.710636225147</v>
      </c>
      <c r="AL108">
        <v>91.293246934089495</v>
      </c>
      <c r="AM108">
        <v>90.429991431886407</v>
      </c>
      <c r="AN108">
        <v>0.99999997706520505</v>
      </c>
    </row>
    <row r="109" spans="1:40" x14ac:dyDescent="0.25">
      <c r="A109" t="str">
        <f>"20190303153745821"</f>
        <v>20190303153745821</v>
      </c>
      <c r="B109" t="str">
        <f>"1551598665808834"</f>
        <v>1551598665808834</v>
      </c>
      <c r="C109" t="s">
        <v>40</v>
      </c>
      <c r="D109">
        <v>4.1585239999999999</v>
      </c>
      <c r="E109">
        <v>0.51990079999999905</v>
      </c>
      <c r="F109" t="s">
        <v>42</v>
      </c>
      <c r="G109">
        <v>-370.1003</v>
      </c>
      <c r="H109" s="1">
        <v>-5.2448080000000004E-6</v>
      </c>
      <c r="I109">
        <v>363.89109999999999</v>
      </c>
      <c r="J109">
        <v>-467.87329999999997</v>
      </c>
      <c r="K109">
        <v>1.120655</v>
      </c>
      <c r="L109">
        <v>367.13409999999999</v>
      </c>
      <c r="M109">
        <v>0.99987700000000002</v>
      </c>
      <c r="N109">
        <v>-1.10682E-2</v>
      </c>
      <c r="O109">
        <v>1.110268E-2</v>
      </c>
      <c r="P109">
        <v>0.99924109999999999</v>
      </c>
      <c r="Q109">
        <v>-3.42101E-2</v>
      </c>
      <c r="R109">
        <v>1.8619190000000001E-2</v>
      </c>
      <c r="S109">
        <v>3.0029599999999999</v>
      </c>
      <c r="T109">
        <v>-3.4382820000000001E-2</v>
      </c>
      <c r="U109">
        <v>-9.9456790000000003E-2</v>
      </c>
      <c r="V109">
        <v>-7.5222279999999997E-3</v>
      </c>
      <c r="W109">
        <v>-2.3146730000000001E-2</v>
      </c>
      <c r="X109">
        <v>0.99970380000000003</v>
      </c>
      <c r="Y109">
        <v>4.4190979999999998E-2</v>
      </c>
      <c r="Z109">
        <v>-5.0178919999999995E-4</v>
      </c>
      <c r="AA109">
        <v>0.99902299999999999</v>
      </c>
      <c r="AB109">
        <v>10</v>
      </c>
      <c r="AC109">
        <v>97.772999999999897</v>
      </c>
      <c r="AD109">
        <v>-1.1206602448080001</v>
      </c>
      <c r="AE109">
        <v>-3.2429999999999901</v>
      </c>
      <c r="AF109">
        <v>4.3278410901533597</v>
      </c>
      <c r="AG109">
        <v>-1.1206602448080001</v>
      </c>
      <c r="AH109">
        <v>97.718141125738498</v>
      </c>
      <c r="AI109">
        <v>90.656412554761403</v>
      </c>
      <c r="AJ109">
        <v>87.4640830659133</v>
      </c>
      <c r="AK109">
        <v>97.820351629687295</v>
      </c>
      <c r="AL109">
        <v>91.326328362890607</v>
      </c>
      <c r="AM109">
        <v>90.431111478543698</v>
      </c>
      <c r="AN109">
        <v>1.0000000213791</v>
      </c>
    </row>
    <row r="110" spans="1:40" x14ac:dyDescent="0.25">
      <c r="A110" t="str">
        <f>"20190303153745834"</f>
        <v>20190303153745834</v>
      </c>
      <c r="B110" t="str">
        <f>"1551598665829332"</f>
        <v>1551598665829332</v>
      </c>
      <c r="C110" t="s">
        <v>40</v>
      </c>
      <c r="D110">
        <v>4.1825869999999998</v>
      </c>
      <c r="E110">
        <v>0.51995919999999995</v>
      </c>
      <c r="F110" t="s">
        <v>42</v>
      </c>
      <c r="G110">
        <v>-371.9871</v>
      </c>
      <c r="H110" s="1">
        <v>-4.4395359999999997E-6</v>
      </c>
      <c r="I110">
        <v>363.86759999999998</v>
      </c>
      <c r="J110">
        <v>-467.81259999999997</v>
      </c>
      <c r="K110">
        <v>1.1206529999999999</v>
      </c>
      <c r="L110">
        <v>367.13479999999998</v>
      </c>
      <c r="M110">
        <v>0.99987820000000005</v>
      </c>
      <c r="N110">
        <v>-1.0920890000000001E-2</v>
      </c>
      <c r="O110">
        <v>1.114981E-2</v>
      </c>
      <c r="P110">
        <v>0.99924579999999996</v>
      </c>
      <c r="Q110">
        <v>-3.4047349999999997E-2</v>
      </c>
      <c r="R110">
        <v>1.8670579999999999E-2</v>
      </c>
      <c r="S110">
        <v>3.0029910000000002</v>
      </c>
      <c r="T110">
        <v>-3.5097120000000002E-2</v>
      </c>
      <c r="U110">
        <v>-0.10229489999999999</v>
      </c>
      <c r="V110">
        <v>-7.5265219999999999E-3</v>
      </c>
      <c r="W110">
        <v>-2.3131200000000001E-2</v>
      </c>
      <c r="X110">
        <v>0.99970409999999998</v>
      </c>
      <c r="Y110">
        <v>4.5180530000000003E-2</v>
      </c>
      <c r="Z110">
        <v>-5.1928070000000002E-4</v>
      </c>
      <c r="AA110">
        <v>0.9989787</v>
      </c>
      <c r="AB110">
        <v>10</v>
      </c>
      <c r="AC110">
        <v>95.825499999999906</v>
      </c>
      <c r="AD110">
        <v>-1.1206574395360001</v>
      </c>
      <c r="AE110">
        <v>-3.2671999999999999</v>
      </c>
      <c r="AF110">
        <v>4.3349045349880804</v>
      </c>
      <c r="AG110">
        <v>-1.1206574395360001</v>
      </c>
      <c r="AH110">
        <v>95.770028804243097</v>
      </c>
      <c r="AI110">
        <v>90.669732965292496</v>
      </c>
      <c r="AJ110">
        <v>87.408350772050895</v>
      </c>
      <c r="AK110">
        <v>95.874635267049698</v>
      </c>
      <c r="AL110">
        <v>91.325438357114393</v>
      </c>
      <c r="AM110">
        <v>90.431357436134604</v>
      </c>
      <c r="AN110">
        <v>0.99999999425183295</v>
      </c>
    </row>
    <row r="111" spans="1:40" x14ac:dyDescent="0.25">
      <c r="A111" t="str">
        <f>"20190303153745846"</f>
        <v>20190303153745846</v>
      </c>
      <c r="B111" t="str">
        <f>"1551598665839091"</f>
        <v>1551598665839091</v>
      </c>
      <c r="C111" t="s">
        <v>40</v>
      </c>
      <c r="D111">
        <v>4.1865420000000002</v>
      </c>
      <c r="E111">
        <v>0.50820270000000001</v>
      </c>
      <c r="F111" t="s">
        <v>42</v>
      </c>
      <c r="G111">
        <v>-371.95</v>
      </c>
      <c r="H111" s="1">
        <v>-4.4563739999999999E-6</v>
      </c>
      <c r="I111">
        <v>363.86239999999998</v>
      </c>
      <c r="J111">
        <v>-467.7527</v>
      </c>
      <c r="K111">
        <v>1.120654</v>
      </c>
      <c r="L111">
        <v>367.13549999999998</v>
      </c>
      <c r="M111">
        <v>0.99987950000000003</v>
      </c>
      <c r="N111">
        <v>-1.076734E-2</v>
      </c>
      <c r="O111">
        <v>1.1196370000000001E-2</v>
      </c>
      <c r="P111">
        <v>0.99923890000000004</v>
      </c>
      <c r="Q111">
        <v>-3.421532E-2</v>
      </c>
      <c r="R111">
        <v>1.8737920000000002E-2</v>
      </c>
      <c r="S111">
        <v>3.0029910000000002</v>
      </c>
      <c r="T111">
        <v>-3.5105709999999998E-2</v>
      </c>
      <c r="U111">
        <v>-0.1025085</v>
      </c>
      <c r="V111">
        <v>-7.547916E-3</v>
      </c>
      <c r="W111">
        <v>-2.3452750000000001E-2</v>
      </c>
      <c r="X111">
        <v>0.99969640000000004</v>
      </c>
      <c r="Y111">
        <v>4.5298030000000003E-2</v>
      </c>
      <c r="Z111">
        <v>-5.189808E-4</v>
      </c>
      <c r="AA111">
        <v>0.99897340000000001</v>
      </c>
      <c r="AB111">
        <v>10</v>
      </c>
      <c r="AC111">
        <v>95.802700000000002</v>
      </c>
      <c r="AD111">
        <v>-1.1206584563740001</v>
      </c>
      <c r="AE111">
        <v>-3.2730999999999901</v>
      </c>
      <c r="AF111">
        <v>4.3450054614989497</v>
      </c>
      <c r="AG111">
        <v>-1.1206584563740001</v>
      </c>
      <c r="AH111">
        <v>95.746959233851399</v>
      </c>
      <c r="AI111">
        <v>90.669891399417395</v>
      </c>
      <c r="AJ111">
        <v>87.401695098323799</v>
      </c>
      <c r="AK111">
        <v>95.852048232497907</v>
      </c>
      <c r="AL111">
        <v>91.343866877795193</v>
      </c>
      <c r="AM111">
        <v>90.432586846942399</v>
      </c>
      <c r="AN111">
        <v>0.99999994734573106</v>
      </c>
    </row>
    <row r="112" spans="1:40" x14ac:dyDescent="0.25">
      <c r="A112" t="str">
        <f>"20190303153745866"</f>
        <v>20190303153745866</v>
      </c>
      <c r="B112" t="str">
        <f>"1551598665859587"</f>
        <v>1551598665859587</v>
      </c>
      <c r="C112" t="s">
        <v>40</v>
      </c>
      <c r="D112">
        <v>4.1967280000000002</v>
      </c>
      <c r="E112">
        <v>0.50865009999999999</v>
      </c>
      <c r="F112" t="s">
        <v>43</v>
      </c>
      <c r="G112">
        <v>-425.00490000000002</v>
      </c>
      <c r="H112">
        <v>-0.05</v>
      </c>
      <c r="I112">
        <v>367.01069999999999</v>
      </c>
      <c r="J112">
        <v>-467.66410000000002</v>
      </c>
      <c r="K112">
        <v>1.120655</v>
      </c>
      <c r="L112">
        <v>367.13659999999999</v>
      </c>
      <c r="M112">
        <v>0.99988109999999997</v>
      </c>
      <c r="N112">
        <v>-1.054097E-2</v>
      </c>
      <c r="O112">
        <v>1.126566E-2</v>
      </c>
      <c r="P112">
        <v>0.99927960000000005</v>
      </c>
      <c r="Q112">
        <v>-3.2962079999999998E-2</v>
      </c>
      <c r="R112">
        <v>1.8814790000000001E-2</v>
      </c>
      <c r="S112">
        <v>2.999603</v>
      </c>
      <c r="T112">
        <v>-8.2144620000000002E-2</v>
      </c>
      <c r="U112">
        <v>-8.7585449999999995E-3</v>
      </c>
      <c r="V112">
        <v>-7.5552450000000004E-3</v>
      </c>
      <c r="W112">
        <v>-2.242545E-2</v>
      </c>
      <c r="X112">
        <v>0.99972000000000005</v>
      </c>
      <c r="Y112">
        <v>1.417698E-2</v>
      </c>
      <c r="Z112">
        <v>-4.585317E-4</v>
      </c>
      <c r="AA112">
        <v>0.99989939999999999</v>
      </c>
      <c r="AB112">
        <v>10</v>
      </c>
      <c r="AC112">
        <v>42.659199999999998</v>
      </c>
      <c r="AD112">
        <v>-1.170655</v>
      </c>
      <c r="AE112">
        <v>-0.12590000000000101</v>
      </c>
      <c r="AF112">
        <v>0.60604630794564396</v>
      </c>
      <c r="AG112">
        <v>-1.170655</v>
      </c>
      <c r="AH112">
        <v>42.622976550298901</v>
      </c>
      <c r="AI112">
        <v>91.573094235949597</v>
      </c>
      <c r="AJ112">
        <v>89.185379374088399</v>
      </c>
      <c r="AK112">
        <v>42.643356519670498</v>
      </c>
      <c r="AL112">
        <v>91.284991318740595</v>
      </c>
      <c r="AM112">
        <v>90.432996649835104</v>
      </c>
      <c r="AN112">
        <v>1.00000003046735</v>
      </c>
    </row>
    <row r="113" spans="1:40" x14ac:dyDescent="0.25">
      <c r="A113" t="str">
        <f>"20190303153745889"</f>
        <v>20190303153745889</v>
      </c>
      <c r="B113" t="str">
        <f>"1551598665879107"</f>
        <v>1551598665879107</v>
      </c>
      <c r="C113" t="s">
        <v>40</v>
      </c>
      <c r="D113">
        <v>4.1954089999999997</v>
      </c>
      <c r="E113">
        <v>0.5087429</v>
      </c>
      <c r="F113" t="s">
        <v>43</v>
      </c>
      <c r="G113">
        <v>-416.82499999999999</v>
      </c>
      <c r="H113">
        <v>-0.05</v>
      </c>
      <c r="I113">
        <v>366.93020000000001</v>
      </c>
      <c r="J113">
        <v>-467.55610000000001</v>
      </c>
      <c r="K113">
        <v>1.1206799999999999</v>
      </c>
      <c r="L113">
        <v>367.1379</v>
      </c>
      <c r="M113">
        <v>0.99988279999999996</v>
      </c>
      <c r="N113">
        <v>-1.0283209999999999E-2</v>
      </c>
      <c r="O113">
        <v>1.1349980000000001E-2</v>
      </c>
      <c r="P113">
        <v>0.9992955</v>
      </c>
      <c r="Q113">
        <v>-3.2852230000000003E-2</v>
      </c>
      <c r="R113">
        <v>1.8154839999999998E-2</v>
      </c>
      <c r="S113">
        <v>3.0001220000000002</v>
      </c>
      <c r="T113">
        <v>-6.9082859999999996E-2</v>
      </c>
      <c r="U113">
        <v>-1.217651E-2</v>
      </c>
      <c r="V113">
        <v>-6.8106089999999996E-3</v>
      </c>
      <c r="W113">
        <v>-2.2573200000000002E-2</v>
      </c>
      <c r="X113">
        <v>0.999722</v>
      </c>
      <c r="Y113">
        <v>1.5402040000000001E-2</v>
      </c>
      <c r="Z113">
        <v>-4.01118E-4</v>
      </c>
      <c r="AA113">
        <v>0.99988129999999997</v>
      </c>
      <c r="AB113">
        <v>10</v>
      </c>
      <c r="AC113">
        <v>50.731099999999998</v>
      </c>
      <c r="AD113">
        <v>-1.1706799999999999</v>
      </c>
      <c r="AE113">
        <v>-0.20769999999998801</v>
      </c>
      <c r="AF113">
        <v>0.78309698449585297</v>
      </c>
      <c r="AG113">
        <v>-1.1706799999999999</v>
      </c>
      <c r="AH113">
        <v>50.698477394295203</v>
      </c>
      <c r="AI113">
        <v>91.322625712473993</v>
      </c>
      <c r="AJ113">
        <v>89.115070378765196</v>
      </c>
      <c r="AK113">
        <v>50.718037645884799</v>
      </c>
      <c r="AL113">
        <v>91.293458945691597</v>
      </c>
      <c r="AM113">
        <v>90.390321624477806</v>
      </c>
      <c r="AN113">
        <v>1.00000000551859</v>
      </c>
    </row>
    <row r="114" spans="1:40" x14ac:dyDescent="0.25">
      <c r="A114" t="str">
        <f>"20190303153745910"</f>
        <v>20190303153745910</v>
      </c>
      <c r="B114" t="str">
        <f>"1551598665899606"</f>
        <v>1551598665899606</v>
      </c>
      <c r="C114" t="s">
        <v>40</v>
      </c>
      <c r="D114">
        <v>4.2011339999999997</v>
      </c>
      <c r="E114">
        <v>0.50801399999999997</v>
      </c>
      <c r="F114" t="s">
        <v>43</v>
      </c>
      <c r="G114">
        <v>-415.2824</v>
      </c>
      <c r="H114">
        <v>-0.05</v>
      </c>
      <c r="I114">
        <v>366.87360000000001</v>
      </c>
      <c r="J114">
        <v>-467.45670000000001</v>
      </c>
      <c r="K114">
        <v>1.120698</v>
      </c>
      <c r="L114">
        <v>367.13909999999998</v>
      </c>
      <c r="M114">
        <v>0.99988410000000005</v>
      </c>
      <c r="N114">
        <v>-1.006774E-2</v>
      </c>
      <c r="O114">
        <v>1.142775E-2</v>
      </c>
      <c r="P114">
        <v>0.99932259999999995</v>
      </c>
      <c r="Q114">
        <v>-3.2401949999999999E-2</v>
      </c>
      <c r="R114">
        <v>1.744677E-2</v>
      </c>
      <c r="S114">
        <v>3.0001220000000002</v>
      </c>
      <c r="T114">
        <v>-6.718826E-2</v>
      </c>
      <c r="U114">
        <v>-1.516724E-2</v>
      </c>
      <c r="V114">
        <v>-6.0245530000000002E-3</v>
      </c>
      <c r="W114">
        <v>-2.2338159999999999E-2</v>
      </c>
      <c r="X114">
        <v>0.99973230000000002</v>
      </c>
      <c r="Y114">
        <v>1.647647E-2</v>
      </c>
      <c r="Z114">
        <v>-4.0827389999999999E-4</v>
      </c>
      <c r="AA114">
        <v>0.99986419999999998</v>
      </c>
      <c r="AB114">
        <v>11</v>
      </c>
      <c r="AC114">
        <v>52.174300000000002</v>
      </c>
      <c r="AD114">
        <v>-1.170698</v>
      </c>
      <c r="AE114">
        <v>-0.26549999999997398</v>
      </c>
      <c r="AF114">
        <v>0.86131405049199194</v>
      </c>
      <c r="AG114">
        <v>-1.170698</v>
      </c>
      <c r="AH114">
        <v>52.141607281243999</v>
      </c>
      <c r="AI114">
        <v>91.286029435207396</v>
      </c>
      <c r="AJ114">
        <v>89.053631551236805</v>
      </c>
      <c r="AK114">
        <v>52.161859682839598</v>
      </c>
      <c r="AL114">
        <v>91.279988781546194</v>
      </c>
      <c r="AM114">
        <v>90.345269710760803</v>
      </c>
      <c r="AN114">
        <v>0.99999998014716196</v>
      </c>
    </row>
    <row r="115" spans="1:40" x14ac:dyDescent="0.25">
      <c r="A115" t="str">
        <f>"20190303153745924"</f>
        <v>20190303153745924</v>
      </c>
      <c r="B115" t="str">
        <f>"1551598665919123"</f>
        <v>1551598665919123</v>
      </c>
      <c r="C115" t="s">
        <v>40</v>
      </c>
      <c r="D115">
        <v>4.2007789999999998</v>
      </c>
      <c r="E115">
        <v>0.50767680000000004</v>
      </c>
      <c r="F115" t="s">
        <v>43</v>
      </c>
      <c r="G115">
        <v>-417.02120000000002</v>
      </c>
      <c r="H115">
        <v>-0.05</v>
      </c>
      <c r="I115">
        <v>366.94929999999999</v>
      </c>
      <c r="J115">
        <v>-467.38630000000001</v>
      </c>
      <c r="K115">
        <v>1.1207069999999999</v>
      </c>
      <c r="L115">
        <v>367.14</v>
      </c>
      <c r="M115">
        <v>0.99988489999999997</v>
      </c>
      <c r="N115">
        <v>-9.9170170000000002E-3</v>
      </c>
      <c r="O115">
        <v>1.148245E-2</v>
      </c>
      <c r="P115">
        <v>0.99935019999999997</v>
      </c>
      <c r="Q115">
        <v>-3.1789070000000003E-2</v>
      </c>
      <c r="R115">
        <v>1.6988070000000001E-2</v>
      </c>
      <c r="S115">
        <v>2.9999690000000001</v>
      </c>
      <c r="T115">
        <v>-6.9634559999999998E-2</v>
      </c>
      <c r="U115">
        <v>-1.1291499999999999E-2</v>
      </c>
      <c r="V115">
        <v>-5.5107159999999997E-3</v>
      </c>
      <c r="W115">
        <v>-2.1875780000000001E-2</v>
      </c>
      <c r="X115">
        <v>0.99974549999999995</v>
      </c>
      <c r="Y115">
        <v>1.523966E-2</v>
      </c>
      <c r="Z115">
        <v>-4.0504940000000002E-4</v>
      </c>
      <c r="AA115">
        <v>0.99988379999999999</v>
      </c>
      <c r="AB115">
        <v>11</v>
      </c>
      <c r="AC115">
        <v>50.365099999999899</v>
      </c>
      <c r="AD115">
        <v>-1.1707069999999999</v>
      </c>
      <c r="AE115">
        <v>-0.19069999999999199</v>
      </c>
      <c r="AF115">
        <v>0.76861532824621803</v>
      </c>
      <c r="AG115">
        <v>-1.1707069999999999</v>
      </c>
      <c r="AH115">
        <v>50.332395185698203</v>
      </c>
      <c r="AI115">
        <v>91.332276402525295</v>
      </c>
      <c r="AJ115">
        <v>89.125116309568398</v>
      </c>
      <c r="AK115">
        <v>50.351875134218801</v>
      </c>
      <c r="AL115">
        <v>91.2534898682879</v>
      </c>
      <c r="AM115">
        <v>90.315817946855901</v>
      </c>
      <c r="AN115">
        <v>0.99999999125584504</v>
      </c>
    </row>
    <row r="116" spans="1:40" x14ac:dyDescent="0.25">
      <c r="A116" t="str">
        <f>"20190303153745945"</f>
        <v>20190303153745945</v>
      </c>
      <c r="B116" t="str">
        <f>"1551598665939620"</f>
        <v>1551598665939620</v>
      </c>
      <c r="C116" t="s">
        <v>40</v>
      </c>
      <c r="D116">
        <v>4.1970910000000003</v>
      </c>
      <c r="E116">
        <v>0.50760019999999995</v>
      </c>
      <c r="F116" t="s">
        <v>43</v>
      </c>
      <c r="G116">
        <v>-418.60599999999999</v>
      </c>
      <c r="H116">
        <v>-0.05</v>
      </c>
      <c r="I116">
        <v>366.98020000000002</v>
      </c>
      <c r="J116">
        <v>-467.29059999999998</v>
      </c>
      <c r="K116">
        <v>1.120716</v>
      </c>
      <c r="L116">
        <v>367.14120000000003</v>
      </c>
      <c r="M116">
        <v>0.99988619999999995</v>
      </c>
      <c r="N116">
        <v>-9.7096890000000005E-3</v>
      </c>
      <c r="O116">
        <v>1.155722E-2</v>
      </c>
      <c r="P116">
        <v>0.99938680000000002</v>
      </c>
      <c r="Q116">
        <v>-3.1166510000000001E-2</v>
      </c>
      <c r="R116">
        <v>1.5968860000000001E-2</v>
      </c>
      <c r="S116">
        <v>2.9998170000000002</v>
      </c>
      <c r="T116">
        <v>-7.1994420000000003E-2</v>
      </c>
      <c r="U116">
        <v>-9.8266599999999992E-3</v>
      </c>
      <c r="V116">
        <v>-4.41669E-3</v>
      </c>
      <c r="W116">
        <v>-2.146027E-2</v>
      </c>
      <c r="X116">
        <v>0.99975999999999998</v>
      </c>
      <c r="Y116">
        <v>1.482604E-2</v>
      </c>
      <c r="Z116">
        <v>-4.1499160000000001E-4</v>
      </c>
      <c r="AA116">
        <v>0.99988999999999995</v>
      </c>
      <c r="AB116">
        <v>11</v>
      </c>
      <c r="AC116">
        <v>48.684599999999897</v>
      </c>
      <c r="AD116">
        <v>-1.1707160000000001</v>
      </c>
      <c r="AE116">
        <v>-0.161000000000001</v>
      </c>
      <c r="AF116">
        <v>0.72325610854774802</v>
      </c>
      <c r="AG116">
        <v>-1.1707160000000001</v>
      </c>
      <c r="AH116">
        <v>48.651354787181901</v>
      </c>
      <c r="AI116">
        <v>91.378311809615695</v>
      </c>
      <c r="AJ116">
        <v>89.1482977116097</v>
      </c>
      <c r="AK116">
        <v>48.670812588033201</v>
      </c>
      <c r="AL116">
        <v>91.229677230738901</v>
      </c>
      <c r="AM116">
        <v>90.253116798200097</v>
      </c>
      <c r="AN116">
        <v>1.00000005396951</v>
      </c>
    </row>
    <row r="117" spans="1:40" x14ac:dyDescent="0.25">
      <c r="A117" t="str">
        <f>"20190303153745966"</f>
        <v>20190303153745966</v>
      </c>
      <c r="B117" t="str">
        <f>"1551598665959140"</f>
        <v>1551598665959140</v>
      </c>
      <c r="C117" t="s">
        <v>40</v>
      </c>
      <c r="D117">
        <v>4.2016229999999997</v>
      </c>
      <c r="E117">
        <v>0.50752129999999995</v>
      </c>
      <c r="F117" t="s">
        <v>43</v>
      </c>
      <c r="G117">
        <v>-418.84300000000002</v>
      </c>
      <c r="H117">
        <v>-0.05</v>
      </c>
      <c r="I117">
        <v>366.93860000000001</v>
      </c>
      <c r="J117">
        <v>-467.18430000000001</v>
      </c>
      <c r="K117">
        <v>1.120716</v>
      </c>
      <c r="L117">
        <v>367.14249999999998</v>
      </c>
      <c r="M117">
        <v>0.99988779999999999</v>
      </c>
      <c r="N117">
        <v>-9.4334989999999997E-3</v>
      </c>
      <c r="O117">
        <v>1.1640869999999999E-2</v>
      </c>
      <c r="P117">
        <v>0.99941120000000006</v>
      </c>
      <c r="Q117">
        <v>-3.069742E-2</v>
      </c>
      <c r="R117">
        <v>1.5341459999999999E-2</v>
      </c>
      <c r="S117">
        <v>2.9998170000000002</v>
      </c>
      <c r="T117">
        <v>-7.2489380000000006E-2</v>
      </c>
      <c r="U117">
        <v>-1.254272E-2</v>
      </c>
      <c r="V117">
        <v>-3.7059110000000001E-3</v>
      </c>
      <c r="W117">
        <v>-2.126716E-2</v>
      </c>
      <c r="X117">
        <v>0.99976690000000001</v>
      </c>
      <c r="Y117">
        <v>1.5814450000000001E-2</v>
      </c>
      <c r="Z117">
        <v>-4.3710029999999999E-4</v>
      </c>
      <c r="AA117">
        <v>0.99987479999999995</v>
      </c>
      <c r="AB117">
        <v>11</v>
      </c>
      <c r="AC117">
        <v>48.341299999999897</v>
      </c>
      <c r="AD117">
        <v>-1.1707160000000001</v>
      </c>
      <c r="AE117">
        <v>-0.20389999999997599</v>
      </c>
      <c r="AF117">
        <v>0.76619661621163504</v>
      </c>
      <c r="AG117">
        <v>-1.1707160000000001</v>
      </c>
      <c r="AH117">
        <v>48.307318920971603</v>
      </c>
      <c r="AI117">
        <v>91.388102864890897</v>
      </c>
      <c r="AJ117">
        <v>89.091314677264705</v>
      </c>
      <c r="AK117">
        <v>48.327576957052301</v>
      </c>
      <c r="AL117">
        <v>91.218610456313101</v>
      </c>
      <c r="AM117">
        <v>90.212381593210196</v>
      </c>
      <c r="AN117">
        <v>0.99999994010320503</v>
      </c>
    </row>
    <row r="118" spans="1:40" x14ac:dyDescent="0.25">
      <c r="A118" t="str">
        <f>"20190303153745988"</f>
        <v>20190303153745988</v>
      </c>
      <c r="B118" t="str">
        <f>"1551598665979167"</f>
        <v>1551598665979167</v>
      </c>
      <c r="C118" t="s">
        <v>40</v>
      </c>
      <c r="D118">
        <v>4.2132949999999996</v>
      </c>
      <c r="E118">
        <v>0.5072837</v>
      </c>
      <c r="F118" t="s">
        <v>43</v>
      </c>
      <c r="G118">
        <v>-417.4117</v>
      </c>
      <c r="H118">
        <v>-0.05</v>
      </c>
      <c r="I118">
        <v>366.91309999999999</v>
      </c>
      <c r="J118">
        <v>-467.0729</v>
      </c>
      <c r="K118">
        <v>1.1206849999999999</v>
      </c>
      <c r="L118">
        <v>367.1438</v>
      </c>
      <c r="M118">
        <v>0.99989050000000002</v>
      </c>
      <c r="N118">
        <v>-9.0313960000000006E-3</v>
      </c>
      <c r="O118">
        <v>1.172923E-2</v>
      </c>
      <c r="P118">
        <v>0.9994227</v>
      </c>
      <c r="Q118">
        <v>-3.0162169999999999E-2</v>
      </c>
      <c r="R118">
        <v>1.563902E-2</v>
      </c>
      <c r="S118">
        <v>2.9997560000000001</v>
      </c>
      <c r="T118">
        <v>-7.0558190000000007E-2</v>
      </c>
      <c r="U118">
        <v>-1.382446E-2</v>
      </c>
      <c r="V118">
        <v>-3.9147269999999998E-3</v>
      </c>
      <c r="W118">
        <v>-2.1133829999999999E-2</v>
      </c>
      <c r="X118">
        <v>0.99976900000000002</v>
      </c>
      <c r="Y118">
        <v>1.6330270000000001E-2</v>
      </c>
      <c r="Z118">
        <v>-4.357052E-4</v>
      </c>
      <c r="AA118">
        <v>0.99986649999999999</v>
      </c>
      <c r="AB118">
        <v>11</v>
      </c>
      <c r="AC118">
        <v>49.661200000000001</v>
      </c>
      <c r="AD118">
        <v>-1.170685</v>
      </c>
      <c r="AE118">
        <v>-0.23070000000001301</v>
      </c>
      <c r="AF118">
        <v>0.81274384080310502</v>
      </c>
      <c r="AG118">
        <v>-1.170685</v>
      </c>
      <c r="AH118">
        <v>49.627499752595099</v>
      </c>
      <c r="AI118">
        <v>91.351143709496796</v>
      </c>
      <c r="AJ118">
        <v>89.061757499420693</v>
      </c>
      <c r="AK118">
        <v>49.647958544272697</v>
      </c>
      <c r="AL118">
        <v>91.210969409245195</v>
      </c>
      <c r="AM118">
        <v>90.224348013125805</v>
      </c>
      <c r="AN118">
        <v>1.00000000860947</v>
      </c>
    </row>
    <row r="119" spans="1:40" x14ac:dyDescent="0.25">
      <c r="A119" t="str">
        <f>"20190303153746002"</f>
        <v>20190303153746002</v>
      </c>
      <c r="B119" t="str">
        <f>"1551598665999663"</f>
        <v>1551598665999663</v>
      </c>
      <c r="C119" t="s">
        <v>40</v>
      </c>
      <c r="D119">
        <v>4.1758379999999997</v>
      </c>
      <c r="E119">
        <v>0.50697859999999995</v>
      </c>
      <c r="F119" t="s">
        <v>43</v>
      </c>
      <c r="G119">
        <v>-416.7672</v>
      </c>
      <c r="H119">
        <v>-0.05</v>
      </c>
      <c r="I119">
        <v>366.95859999999999</v>
      </c>
      <c r="J119">
        <v>-467.00749999999999</v>
      </c>
      <c r="K119">
        <v>1.1206430000000001</v>
      </c>
      <c r="L119">
        <v>367.1447</v>
      </c>
      <c r="M119">
        <v>0.99989269999999997</v>
      </c>
      <c r="N119">
        <v>-8.7086079999999996E-3</v>
      </c>
      <c r="O119">
        <v>1.178129E-2</v>
      </c>
      <c r="P119">
        <v>0.99941440000000004</v>
      </c>
      <c r="Q119">
        <v>-3.0202280000000001E-2</v>
      </c>
      <c r="R119">
        <v>1.6085149999999999E-2</v>
      </c>
      <c r="S119">
        <v>2.9998170000000002</v>
      </c>
      <c r="T119">
        <v>-6.9810029999999995E-2</v>
      </c>
      <c r="U119">
        <v>-1.1047360000000001E-2</v>
      </c>
      <c r="V119">
        <v>-4.30847E-3</v>
      </c>
      <c r="W119">
        <v>-2.1496700000000001E-2</v>
      </c>
      <c r="X119">
        <v>0.99975959999999997</v>
      </c>
      <c r="Y119">
        <v>1.545706E-2</v>
      </c>
      <c r="Z119">
        <v>-4.1868109999999999E-4</v>
      </c>
      <c r="AA119">
        <v>0.9998804</v>
      </c>
      <c r="AB119">
        <v>11</v>
      </c>
      <c r="AC119">
        <v>50.240299999999898</v>
      </c>
      <c r="AD119">
        <v>-1.1706430000000001</v>
      </c>
      <c r="AE119">
        <v>-0.18610000000001001</v>
      </c>
      <c r="AF119">
        <v>0.77758289047255202</v>
      </c>
      <c r="AG119">
        <v>-1.1706430000000001</v>
      </c>
      <c r="AH119">
        <v>50.207361636931402</v>
      </c>
      <c r="AI119">
        <v>91.335515592957407</v>
      </c>
      <c r="AJ119">
        <v>89.112706686804401</v>
      </c>
      <c r="AK119">
        <v>50.227026616420503</v>
      </c>
      <c r="AL119">
        <v>91.231765107834704</v>
      </c>
      <c r="AM119">
        <v>90.246914977339003</v>
      </c>
      <c r="AN119">
        <v>0.999999964408394</v>
      </c>
    </row>
    <row r="120" spans="1:40" x14ac:dyDescent="0.25">
      <c r="A120" t="str">
        <f>"20190303153746016"</f>
        <v>20190303153746016</v>
      </c>
      <c r="B120" t="str">
        <f>"1551598666009422"</f>
        <v>1551598666009422</v>
      </c>
      <c r="C120" t="s">
        <v>40</v>
      </c>
      <c r="D120">
        <v>4.2181850000000001</v>
      </c>
      <c r="E120">
        <v>0.50701759999999996</v>
      </c>
      <c r="F120" t="s">
        <v>43</v>
      </c>
      <c r="G120">
        <v>-417.9864</v>
      </c>
      <c r="H120">
        <v>-0.05</v>
      </c>
      <c r="I120">
        <v>367.02850000000001</v>
      </c>
      <c r="J120">
        <v>-466.94040000000001</v>
      </c>
      <c r="K120">
        <v>1.120595</v>
      </c>
      <c r="L120">
        <v>367.14550000000003</v>
      </c>
      <c r="M120">
        <v>0.99989530000000004</v>
      </c>
      <c r="N120">
        <v>-8.3453360000000001E-3</v>
      </c>
      <c r="O120">
        <v>1.183465E-2</v>
      </c>
      <c r="P120">
        <v>0.99940169999999995</v>
      </c>
      <c r="Q120">
        <v>-3.016951E-2</v>
      </c>
      <c r="R120">
        <v>1.692099E-2</v>
      </c>
      <c r="S120">
        <v>2.9997250000000002</v>
      </c>
      <c r="T120">
        <v>-7.1634649999999994E-2</v>
      </c>
      <c r="U120">
        <v>-7.1105959999999899E-3</v>
      </c>
      <c r="V120">
        <v>-5.091211E-3</v>
      </c>
      <c r="W120">
        <v>-2.182719E-2</v>
      </c>
      <c r="X120">
        <v>0.99974879999999999</v>
      </c>
      <c r="Y120">
        <v>1.419839E-2</v>
      </c>
      <c r="Z120">
        <v>-4.1257849999999999E-4</v>
      </c>
      <c r="AA120">
        <v>0.99989910000000004</v>
      </c>
      <c r="AB120">
        <v>11</v>
      </c>
      <c r="AC120">
        <v>48.954000000000001</v>
      </c>
      <c r="AD120">
        <v>-1.1705950000000001</v>
      </c>
      <c r="AE120">
        <v>-0.11700000000001801</v>
      </c>
      <c r="AF120">
        <v>0.69596740085727105</v>
      </c>
      <c r="AG120">
        <v>-1.1705950000000001</v>
      </c>
      <c r="AH120">
        <v>48.921214190020201</v>
      </c>
      <c r="AI120">
        <v>91.370582800596495</v>
      </c>
      <c r="AJ120">
        <v>89.184948583095306</v>
      </c>
      <c r="AK120">
        <v>48.940166132767899</v>
      </c>
      <c r="AL120">
        <v>91.250705184396793</v>
      </c>
      <c r="AM120">
        <v>90.291775675360597</v>
      </c>
      <c r="AN120">
        <v>1.0000000048770901</v>
      </c>
    </row>
    <row r="121" spans="1:40" x14ac:dyDescent="0.25">
      <c r="A121" t="str">
        <f>"20190303153746032"</f>
        <v>20190303153746032</v>
      </c>
      <c r="B121" t="str">
        <f>"1551598666028943"</f>
        <v>1551598666028943</v>
      </c>
      <c r="C121" t="s">
        <v>40</v>
      </c>
      <c r="D121">
        <v>4.1795220000000004</v>
      </c>
      <c r="E121">
        <v>0.50690309999999905</v>
      </c>
      <c r="F121" t="s">
        <v>43</v>
      </c>
      <c r="G121">
        <v>-417.59859999999998</v>
      </c>
      <c r="H121">
        <v>-0.05</v>
      </c>
      <c r="I121">
        <v>367.06169999999997</v>
      </c>
      <c r="J121">
        <v>-466.85610000000003</v>
      </c>
      <c r="K121">
        <v>1.120517</v>
      </c>
      <c r="L121">
        <v>367.14659999999998</v>
      </c>
      <c r="M121">
        <v>0.99989870000000003</v>
      </c>
      <c r="N121">
        <v>-7.8350669999999994E-3</v>
      </c>
      <c r="O121">
        <v>1.1902070000000001E-2</v>
      </c>
      <c r="P121">
        <v>0.99937290000000001</v>
      </c>
      <c r="Q121">
        <v>-3.0200979999999999E-2</v>
      </c>
      <c r="R121">
        <v>1.849611E-2</v>
      </c>
      <c r="S121">
        <v>2.9997250000000002</v>
      </c>
      <c r="T121">
        <v>-7.116604E-2</v>
      </c>
      <c r="U121">
        <v>-5.0964360000000002E-3</v>
      </c>
      <c r="V121">
        <v>-6.5994590000000002E-3</v>
      </c>
      <c r="W121">
        <v>-2.2368949999999999E-2</v>
      </c>
      <c r="X121">
        <v>0.99972799999999995</v>
      </c>
      <c r="Y121">
        <v>1.359467E-2</v>
      </c>
      <c r="Z121">
        <v>-4.0358190000000001E-4</v>
      </c>
      <c r="AA121">
        <v>0.99990749999999995</v>
      </c>
      <c r="AB121">
        <v>11</v>
      </c>
      <c r="AC121">
        <v>49.2575</v>
      </c>
      <c r="AD121">
        <v>-1.170517</v>
      </c>
      <c r="AE121">
        <v>-8.4900000000004597E-2</v>
      </c>
      <c r="AF121">
        <v>0.67079926750748897</v>
      </c>
      <c r="AG121">
        <v>-1.170517</v>
      </c>
      <c r="AH121">
        <v>49.2252033192404</v>
      </c>
      <c r="AI121">
        <v>91.362042626823396</v>
      </c>
      <c r="AJ121">
        <v>89.219270098456406</v>
      </c>
      <c r="AK121">
        <v>49.243687143888103</v>
      </c>
      <c r="AL121">
        <v>91.2817533361725</v>
      </c>
      <c r="AM121">
        <v>90.378218530947095</v>
      </c>
      <c r="AN121">
        <v>0.99999999838359699</v>
      </c>
    </row>
    <row r="122" spans="1:40" x14ac:dyDescent="0.25">
      <c r="A122" t="str">
        <f>"20190303153746044"</f>
        <v>20190303153746044</v>
      </c>
      <c r="B122" t="str">
        <f>"1551598666039679"</f>
        <v>1551598666039679</v>
      </c>
      <c r="C122" t="s">
        <v>40</v>
      </c>
      <c r="D122">
        <v>4.2200379999999997</v>
      </c>
      <c r="E122">
        <v>0.506606</v>
      </c>
      <c r="F122" t="s">
        <v>43</v>
      </c>
      <c r="G122">
        <v>-418.26310000000001</v>
      </c>
      <c r="H122">
        <v>-0.05</v>
      </c>
      <c r="I122">
        <v>367.15750000000003</v>
      </c>
      <c r="J122">
        <v>-466.79</v>
      </c>
      <c r="K122">
        <v>1.1204529999999999</v>
      </c>
      <c r="L122">
        <v>367.14749999999998</v>
      </c>
      <c r="M122">
        <v>0.99990120000000005</v>
      </c>
      <c r="N122">
        <v>-7.403494E-3</v>
      </c>
      <c r="O122">
        <v>1.1954869999999999E-2</v>
      </c>
      <c r="P122">
        <v>0.99935989999999997</v>
      </c>
      <c r="Q122">
        <v>-3.0115329999999999E-2</v>
      </c>
      <c r="R122">
        <v>1.9315430000000001E-2</v>
      </c>
      <c r="S122">
        <v>2.9996640000000001</v>
      </c>
      <c r="T122">
        <v>-7.225645E-2</v>
      </c>
      <c r="U122">
        <v>6.7138669999999997E-4</v>
      </c>
      <c r="V122">
        <v>-7.365946E-3</v>
      </c>
      <c r="W122">
        <v>-2.2714809999999998E-2</v>
      </c>
      <c r="X122">
        <v>0.99971489999999996</v>
      </c>
      <c r="Y122">
        <v>1.1725279999999999E-2</v>
      </c>
      <c r="Z122">
        <v>-3.8403489999999998E-4</v>
      </c>
      <c r="AA122">
        <v>0.99993120000000002</v>
      </c>
      <c r="AB122">
        <v>11</v>
      </c>
      <c r="AC122">
        <v>48.526899999999998</v>
      </c>
      <c r="AD122">
        <v>-1.170453</v>
      </c>
      <c r="AE122">
        <v>1.00000000000477E-2</v>
      </c>
      <c r="AF122">
        <v>0.56981785816263797</v>
      </c>
      <c r="AG122">
        <v>-1.170453</v>
      </c>
      <c r="AH122">
        <v>48.495338949979804</v>
      </c>
      <c r="AI122">
        <v>91.382491086524496</v>
      </c>
      <c r="AJ122">
        <v>89.326808375561697</v>
      </c>
      <c r="AK122">
        <v>48.5128081282677</v>
      </c>
      <c r="AL122">
        <v>91.301574623353005</v>
      </c>
      <c r="AM122">
        <v>90.422150336022398</v>
      </c>
      <c r="AN122">
        <v>1.0000000505179001</v>
      </c>
    </row>
    <row r="123" spans="1:40" x14ac:dyDescent="0.25">
      <c r="A123" t="str">
        <f>"20190303153746058"</f>
        <v>20190303153746058</v>
      </c>
      <c r="B123" t="str">
        <f>"1551598666049439"</f>
        <v>1551598666049439</v>
      </c>
      <c r="C123" t="s">
        <v>40</v>
      </c>
      <c r="D123">
        <v>4.1899620000000004</v>
      </c>
      <c r="E123">
        <v>0.50656869999999998</v>
      </c>
      <c r="F123" t="s">
        <v>43</v>
      </c>
      <c r="G123">
        <v>-420.11950000000002</v>
      </c>
      <c r="H123">
        <v>-0.05</v>
      </c>
      <c r="I123">
        <v>367.23099999999999</v>
      </c>
      <c r="J123">
        <v>-466.72149999999999</v>
      </c>
      <c r="K123">
        <v>1.120385</v>
      </c>
      <c r="L123">
        <v>367.14830000000001</v>
      </c>
      <c r="M123">
        <v>0.99990389999999996</v>
      </c>
      <c r="N123">
        <v>-6.9438819999999898E-3</v>
      </c>
      <c r="O123">
        <v>1.200934E-2</v>
      </c>
      <c r="P123">
        <v>0.99934020000000001</v>
      </c>
      <c r="Q123">
        <v>-3.0151580000000001E-2</v>
      </c>
      <c r="R123">
        <v>2.025296E-2</v>
      </c>
      <c r="S123">
        <v>2.9995419999999999</v>
      </c>
      <c r="T123">
        <v>-7.5225710000000001E-2</v>
      </c>
      <c r="U123">
        <v>5.3710939999999999E-3</v>
      </c>
      <c r="V123">
        <v>-8.2491749999999992E-3</v>
      </c>
      <c r="W123">
        <v>-2.3210629999999999E-2</v>
      </c>
      <c r="X123">
        <v>0.99969660000000005</v>
      </c>
      <c r="Y123">
        <v>1.021303E-2</v>
      </c>
      <c r="Z123">
        <v>-3.812574E-4</v>
      </c>
      <c r="AA123">
        <v>0.99994780000000005</v>
      </c>
      <c r="AB123">
        <v>11</v>
      </c>
      <c r="AC123">
        <v>46.601999999999897</v>
      </c>
      <c r="AD123">
        <v>-1.170385</v>
      </c>
      <c r="AE123">
        <v>8.2699999999988394E-2</v>
      </c>
      <c r="AF123">
        <v>0.47667799223769303</v>
      </c>
      <c r="AG123">
        <v>-1.170385</v>
      </c>
      <c r="AH123">
        <v>46.570258846737197</v>
      </c>
      <c r="AI123">
        <v>91.439556053420702</v>
      </c>
      <c r="AJ123">
        <v>89.413559553377198</v>
      </c>
      <c r="AK123">
        <v>46.587402074043702</v>
      </c>
      <c r="AL123">
        <v>91.329990526043602</v>
      </c>
      <c r="AM123">
        <v>90.472775625077702</v>
      </c>
      <c r="AN123">
        <v>1.0000000371423601</v>
      </c>
    </row>
    <row r="124" spans="1:40" x14ac:dyDescent="0.25">
      <c r="A124" t="str">
        <f>"20190303153746073"</f>
        <v>20190303153746073</v>
      </c>
      <c r="B124" t="str">
        <f>"1551598666069466"</f>
        <v>1551598666069466</v>
      </c>
      <c r="C124" t="s">
        <v>40</v>
      </c>
      <c r="D124">
        <v>4.1971299999999996</v>
      </c>
      <c r="E124">
        <v>0.50638030000000001</v>
      </c>
      <c r="F124" t="s">
        <v>43</v>
      </c>
      <c r="G124">
        <v>-419.83609999999999</v>
      </c>
      <c r="H124">
        <v>-0.05</v>
      </c>
      <c r="I124">
        <v>367.27859999999998</v>
      </c>
      <c r="J124">
        <v>-466.64389999999997</v>
      </c>
      <c r="K124">
        <v>1.1203110000000001</v>
      </c>
      <c r="L124">
        <v>367.14940000000001</v>
      </c>
      <c r="M124">
        <v>0.99990659999999998</v>
      </c>
      <c r="N124">
        <v>-6.4168940000000002E-3</v>
      </c>
      <c r="O124">
        <v>1.207042E-2</v>
      </c>
      <c r="P124">
        <v>0.99932100000000001</v>
      </c>
      <c r="Q124">
        <v>-3.045958E-2</v>
      </c>
      <c r="R124">
        <v>2.0730539999999999E-2</v>
      </c>
      <c r="S124">
        <v>2.9995419999999999</v>
      </c>
      <c r="T124">
        <v>-7.487655E-2</v>
      </c>
      <c r="U124">
        <v>8.3312990000000003E-3</v>
      </c>
      <c r="V124">
        <v>-8.6661120000000001E-3</v>
      </c>
      <c r="W124">
        <v>-2.4045569999999999E-2</v>
      </c>
      <c r="X124">
        <v>0.99967329999999999</v>
      </c>
      <c r="Y124">
        <v>9.2875960000000004E-3</v>
      </c>
      <c r="Z124">
        <v>-3.6951570000000002E-4</v>
      </c>
      <c r="AA124">
        <v>0.99995679999999998</v>
      </c>
      <c r="AB124">
        <v>12</v>
      </c>
      <c r="AC124">
        <v>46.807799999999901</v>
      </c>
      <c r="AD124">
        <v>-1.1703110000000001</v>
      </c>
      <c r="AE124">
        <v>0.12919999999996801</v>
      </c>
      <c r="AF124">
        <v>0.43553856424166798</v>
      </c>
      <c r="AG124">
        <v>-1.1703110000000001</v>
      </c>
      <c r="AH124">
        <v>46.776708417418703</v>
      </c>
      <c r="AI124">
        <v>91.433127576077794</v>
      </c>
      <c r="AJ124">
        <v>89.466533638553301</v>
      </c>
      <c r="AK124">
        <v>46.793373163791799</v>
      </c>
      <c r="AL124">
        <v>91.377842476012603</v>
      </c>
      <c r="AM124">
        <v>90.4966814705692</v>
      </c>
      <c r="AN124">
        <v>0.999999998833355</v>
      </c>
    </row>
    <row r="125" spans="1:40" x14ac:dyDescent="0.25">
      <c r="A125" t="str">
        <f>"20190303153746089"</f>
        <v>20190303153746089</v>
      </c>
      <c r="B125" t="str">
        <f>"1551598666079226"</f>
        <v>1551598666079226</v>
      </c>
      <c r="C125" t="s">
        <v>40</v>
      </c>
      <c r="D125">
        <v>4.2047889999999999</v>
      </c>
      <c r="E125">
        <v>0.5064573</v>
      </c>
      <c r="F125" t="s">
        <v>43</v>
      </c>
      <c r="G125">
        <v>-422.53769999999997</v>
      </c>
      <c r="H125">
        <v>-0.05</v>
      </c>
      <c r="I125">
        <v>367.31630000000001</v>
      </c>
      <c r="J125">
        <v>-466.55509999999998</v>
      </c>
      <c r="K125">
        <v>1.1202190000000001</v>
      </c>
      <c r="L125">
        <v>367.15050000000002</v>
      </c>
      <c r="M125">
        <v>0.99990950000000001</v>
      </c>
      <c r="N125">
        <v>-5.8134379999999998E-3</v>
      </c>
      <c r="O125">
        <v>1.213844E-2</v>
      </c>
      <c r="P125">
        <v>0.99928150000000004</v>
      </c>
      <c r="Q125">
        <v>-3.0999780000000001E-2</v>
      </c>
      <c r="R125">
        <v>2.180967E-2</v>
      </c>
      <c r="S125">
        <v>2.9994200000000002</v>
      </c>
      <c r="T125">
        <v>-7.9586509999999999E-2</v>
      </c>
      <c r="U125">
        <v>1.135254E-2</v>
      </c>
      <c r="V125">
        <v>-9.6773510000000007E-3</v>
      </c>
      <c r="W125">
        <v>-2.518921E-2</v>
      </c>
      <c r="X125">
        <v>0.99963590000000002</v>
      </c>
      <c r="Y125">
        <v>8.3477610000000004E-3</v>
      </c>
      <c r="Z125">
        <v>-3.8645660000000002E-4</v>
      </c>
      <c r="AA125">
        <v>0.99996510000000005</v>
      </c>
      <c r="AB125">
        <v>12</v>
      </c>
      <c r="AC125">
        <v>44.017400000000002</v>
      </c>
      <c r="AD125">
        <v>-1.1702189999999999</v>
      </c>
      <c r="AE125">
        <v>0.16579999999999001</v>
      </c>
      <c r="AF125">
        <v>0.36826349589652702</v>
      </c>
      <c r="AG125">
        <v>-1.1702189999999999</v>
      </c>
      <c r="AH125">
        <v>43.985082132869003</v>
      </c>
      <c r="AI125">
        <v>91.523935970837002</v>
      </c>
      <c r="AJ125">
        <v>89.520304384148105</v>
      </c>
      <c r="AK125">
        <v>44.002187226836902</v>
      </c>
      <c r="AL125">
        <v>91.443388029376393</v>
      </c>
      <c r="AM125">
        <v>90.554655998823193</v>
      </c>
      <c r="AN125">
        <v>1.0000000399958</v>
      </c>
    </row>
    <row r="126" spans="1:40" x14ac:dyDescent="0.25">
      <c r="A126" t="str">
        <f>"20190303153746111"</f>
        <v>20190303153746111</v>
      </c>
      <c r="B126" t="str">
        <f>"1551598666098746"</f>
        <v>1551598666098746</v>
      </c>
      <c r="C126" t="s">
        <v>40</v>
      </c>
      <c r="D126">
        <v>4.1969430000000001</v>
      </c>
      <c r="E126">
        <v>0.50653170000000003</v>
      </c>
      <c r="F126" t="s">
        <v>43</v>
      </c>
      <c r="G126">
        <v>-423.0668</v>
      </c>
      <c r="H126">
        <v>-0.05</v>
      </c>
      <c r="I126">
        <v>367.35669999999999</v>
      </c>
      <c r="J126">
        <v>-466.43689999999998</v>
      </c>
      <c r="K126">
        <v>1.1201099999999999</v>
      </c>
      <c r="L126">
        <v>367.15199999999999</v>
      </c>
      <c r="M126">
        <v>0.99991260000000004</v>
      </c>
      <c r="N126">
        <v>-5.0323119999999997E-3</v>
      </c>
      <c r="O126">
        <v>1.2226030000000001E-2</v>
      </c>
      <c r="P126">
        <v>0.99928760000000005</v>
      </c>
      <c r="Q126">
        <v>-3.056356E-2</v>
      </c>
      <c r="R126">
        <v>2.2142140000000001E-2</v>
      </c>
      <c r="S126">
        <v>2.99939</v>
      </c>
      <c r="T126">
        <v>-8.0710169999999998E-2</v>
      </c>
      <c r="U126">
        <v>1.422119E-2</v>
      </c>
      <c r="V126">
        <v>-9.9222689999999992E-3</v>
      </c>
      <c r="W126">
        <v>-2.5533770000000001E-2</v>
      </c>
      <c r="X126">
        <v>0.99962470000000003</v>
      </c>
      <c r="Y126">
        <v>7.4789590000000003E-3</v>
      </c>
      <c r="Z126">
        <v>-3.8682989999999997E-4</v>
      </c>
      <c r="AA126">
        <v>0.99997199999999997</v>
      </c>
      <c r="AB126">
        <v>12</v>
      </c>
      <c r="AC126">
        <v>43.370099999999901</v>
      </c>
      <c r="AD126">
        <v>-1.17011</v>
      </c>
      <c r="AE126">
        <v>0.20470000000000199</v>
      </c>
      <c r="AF126">
        <v>0.32532935320966699</v>
      </c>
      <c r="AG126">
        <v>-1.17011</v>
      </c>
      <c r="AH126">
        <v>43.3378161535259</v>
      </c>
      <c r="AI126">
        <v>91.5465521594287</v>
      </c>
      <c r="AJ126">
        <v>89.569898753084601</v>
      </c>
      <c r="AK126">
        <v>43.354830244817897</v>
      </c>
      <c r="AL126">
        <v>91.463136298205299</v>
      </c>
      <c r="AM126">
        <v>90.568698900002403</v>
      </c>
      <c r="AN126">
        <v>0.99999998284130498</v>
      </c>
    </row>
    <row r="127" spans="1:40" x14ac:dyDescent="0.25">
      <c r="A127" t="str">
        <f>"20190303153746124"</f>
        <v>20190303153746124</v>
      </c>
      <c r="B127" t="str">
        <f>"1551598666119242"</f>
        <v>1551598666119242</v>
      </c>
      <c r="C127" t="s">
        <v>40</v>
      </c>
      <c r="D127">
        <v>4.1985409999999996</v>
      </c>
      <c r="E127">
        <v>0.50656769999999995</v>
      </c>
      <c r="F127" t="s">
        <v>43</v>
      </c>
      <c r="G127">
        <v>-422.08069999999998</v>
      </c>
      <c r="H127">
        <v>-0.05</v>
      </c>
      <c r="I127">
        <v>367.3664</v>
      </c>
      <c r="J127">
        <v>-466.36399999999998</v>
      </c>
      <c r="K127">
        <v>1.120055</v>
      </c>
      <c r="L127">
        <v>367.15289999999999</v>
      </c>
      <c r="M127">
        <v>0.99991410000000003</v>
      </c>
      <c r="N127">
        <v>-4.5709230000000002E-3</v>
      </c>
      <c r="O127">
        <v>1.227757E-2</v>
      </c>
      <c r="P127">
        <v>0.99926490000000001</v>
      </c>
      <c r="Q127">
        <v>-3.1044539999999999E-2</v>
      </c>
      <c r="R127">
        <v>2.2489229999999999E-2</v>
      </c>
      <c r="S127">
        <v>2.99939</v>
      </c>
      <c r="T127">
        <v>-7.9123499999999999E-2</v>
      </c>
      <c r="U127">
        <v>1.4495849999999999E-2</v>
      </c>
      <c r="V127">
        <v>-1.021802E-2</v>
      </c>
      <c r="W127">
        <v>-2.6476039999999999E-2</v>
      </c>
      <c r="X127">
        <v>0.99959730000000002</v>
      </c>
      <c r="Y127">
        <v>7.439088E-3</v>
      </c>
      <c r="Z127">
        <v>-3.828096E-4</v>
      </c>
      <c r="AA127">
        <v>0.99997230000000004</v>
      </c>
      <c r="AB127">
        <v>12</v>
      </c>
      <c r="AC127">
        <v>44.283299999999997</v>
      </c>
      <c r="AD127">
        <v>-1.1700549999999901</v>
      </c>
      <c r="AE127">
        <v>0.21350000000000999</v>
      </c>
      <c r="AF127">
        <v>0.329982767834127</v>
      </c>
      <c r="AG127">
        <v>-1.1700549999999901</v>
      </c>
      <c r="AH127">
        <v>44.251691036946198</v>
      </c>
      <c r="AI127">
        <v>91.514557588743799</v>
      </c>
      <c r="AJ127">
        <v>89.572756000139293</v>
      </c>
      <c r="AK127">
        <v>44.268386880023499</v>
      </c>
      <c r="AL127">
        <v>91.517142518970203</v>
      </c>
      <c r="AM127">
        <v>90.585664877896903</v>
      </c>
      <c r="AN127">
        <v>1.0000000753970399</v>
      </c>
    </row>
    <row r="128" spans="1:40" x14ac:dyDescent="0.25">
      <c r="A128" t="str">
        <f>"20190303153746136"</f>
        <v>20190303153746136</v>
      </c>
      <c r="B128" t="str">
        <f>"1551598666129003"</f>
        <v>1551598666129003</v>
      </c>
      <c r="C128" t="s">
        <v>40</v>
      </c>
      <c r="D128">
        <v>4.2033269999999998</v>
      </c>
      <c r="E128">
        <v>0.50660590000000005</v>
      </c>
      <c r="F128" t="s">
        <v>43</v>
      </c>
      <c r="G128">
        <v>-422.84109999999998</v>
      </c>
      <c r="H128">
        <v>-0.05</v>
      </c>
      <c r="I128">
        <v>367.37299999999999</v>
      </c>
      <c r="J128">
        <v>-466.29390000000001</v>
      </c>
      <c r="K128">
        <v>1.120007</v>
      </c>
      <c r="L128">
        <v>367.15379999999999</v>
      </c>
      <c r="M128">
        <v>0.99991549999999996</v>
      </c>
      <c r="N128">
        <v>-4.1455379999999998E-3</v>
      </c>
      <c r="O128">
        <v>1.2325050000000001E-2</v>
      </c>
      <c r="P128">
        <v>0.99926079999999995</v>
      </c>
      <c r="Q128">
        <v>-3.1109999999999999E-2</v>
      </c>
      <c r="R128">
        <v>2.258982E-2</v>
      </c>
      <c r="S128">
        <v>2.9993590000000001</v>
      </c>
      <c r="T128">
        <v>-8.0633640000000006E-2</v>
      </c>
      <c r="U128">
        <v>1.516724E-2</v>
      </c>
      <c r="V128">
        <v>-1.0271270000000001E-2</v>
      </c>
      <c r="W128">
        <v>-2.6966710000000001E-2</v>
      </c>
      <c r="X128">
        <v>0.99958349999999996</v>
      </c>
      <c r="Y128">
        <v>7.2624059999999999E-3</v>
      </c>
      <c r="Z128">
        <v>-3.9284189999999998E-4</v>
      </c>
      <c r="AA128">
        <v>0.99997349999999996</v>
      </c>
      <c r="AB128">
        <v>12</v>
      </c>
      <c r="AC128">
        <v>43.452800000000003</v>
      </c>
      <c r="AD128">
        <v>-1.170007</v>
      </c>
      <c r="AE128">
        <v>0.21920000000005699</v>
      </c>
      <c r="AF128">
        <v>0.31614995321155798</v>
      </c>
      <c r="AG128">
        <v>-1.170007</v>
      </c>
      <c r="AH128">
        <v>43.420721636012402</v>
      </c>
      <c r="AI128">
        <v>91.543467439208996</v>
      </c>
      <c r="AJ128">
        <v>89.582831946608906</v>
      </c>
      <c r="AK128">
        <v>43.437632699826601</v>
      </c>
      <c r="AL128">
        <v>91.545266091984203</v>
      </c>
      <c r="AM128">
        <v>90.5887249138285</v>
      </c>
      <c r="AN128">
        <v>0.99999993795394104</v>
      </c>
    </row>
    <row r="129" spans="1:40" x14ac:dyDescent="0.25">
      <c r="A129" t="str">
        <f>"20190303153746156"</f>
        <v>20190303153746156</v>
      </c>
      <c r="B129" t="str">
        <f>"1551598666149498"</f>
        <v>1551598666149498</v>
      </c>
      <c r="C129" t="s">
        <v>40</v>
      </c>
      <c r="D129">
        <v>4.1590099999999897</v>
      </c>
      <c r="E129">
        <v>0.50662379999999996</v>
      </c>
      <c r="F129" t="s">
        <v>43</v>
      </c>
      <c r="G129">
        <v>-422.86599999999999</v>
      </c>
      <c r="H129">
        <v>-0.05</v>
      </c>
      <c r="I129">
        <v>367.37389999999999</v>
      </c>
      <c r="J129">
        <v>-466.18689999999998</v>
      </c>
      <c r="K129">
        <v>1.1199479999999999</v>
      </c>
      <c r="L129">
        <v>367.15530000000001</v>
      </c>
      <c r="M129">
        <v>0.9999171</v>
      </c>
      <c r="N129">
        <v>-3.5333600000000001E-3</v>
      </c>
      <c r="O129">
        <v>1.239411E-2</v>
      </c>
      <c r="P129">
        <v>0.99928059999999996</v>
      </c>
      <c r="Q129">
        <v>-3.0462309999999999E-2</v>
      </c>
      <c r="R129">
        <v>2.2595859999999999E-2</v>
      </c>
      <c r="S129">
        <v>2.9993289999999999</v>
      </c>
      <c r="T129">
        <v>-8.0806139999999999E-2</v>
      </c>
      <c r="U129">
        <v>1.5197749999999999E-2</v>
      </c>
      <c r="V129">
        <v>-1.020837E-2</v>
      </c>
      <c r="W129">
        <v>-2.6930840000000001E-2</v>
      </c>
      <c r="X129">
        <v>0.99958519999999895</v>
      </c>
      <c r="Y129">
        <v>7.321035E-3</v>
      </c>
      <c r="Z129">
        <v>-4.0159389999999998E-4</v>
      </c>
      <c r="AA129">
        <v>0.99997309999999995</v>
      </c>
      <c r="AB129">
        <v>12</v>
      </c>
      <c r="AC129">
        <v>43.320900000000002</v>
      </c>
      <c r="AD129">
        <v>-1.169948</v>
      </c>
      <c r="AE129">
        <v>0.21859999999998</v>
      </c>
      <c r="AF129">
        <v>0.318112050141095</v>
      </c>
      <c r="AG129">
        <v>-1.169948</v>
      </c>
      <c r="AH129">
        <v>43.288709877203303</v>
      </c>
      <c r="AI129">
        <v>91.548093261047498</v>
      </c>
      <c r="AJ129">
        <v>89.578962970758894</v>
      </c>
      <c r="AK129">
        <v>43.305685266854098</v>
      </c>
      <c r="AL129">
        <v>91.543210008864307</v>
      </c>
      <c r="AM129">
        <v>90.585118890915595</v>
      </c>
      <c r="AN129">
        <v>1.0000000265100999</v>
      </c>
    </row>
    <row r="130" spans="1:40" x14ac:dyDescent="0.25">
      <c r="A130" t="str">
        <f>"20190303153746168"</f>
        <v>20190303153746168</v>
      </c>
      <c r="B130" t="str">
        <f>"1551598666159258"</f>
        <v>1551598666159258</v>
      </c>
      <c r="C130" t="s">
        <v>40</v>
      </c>
      <c r="D130">
        <v>4.1664029999999999</v>
      </c>
      <c r="E130">
        <v>0.50667249999999997</v>
      </c>
      <c r="F130" t="s">
        <v>43</v>
      </c>
      <c r="G130">
        <v>-421.28800000000001</v>
      </c>
      <c r="H130">
        <v>-0.05</v>
      </c>
      <c r="I130">
        <v>367.37959999999998</v>
      </c>
      <c r="J130">
        <v>-466.11020000000002</v>
      </c>
      <c r="K130">
        <v>1.119912</v>
      </c>
      <c r="L130">
        <v>367.15620000000001</v>
      </c>
      <c r="M130">
        <v>0.99991790000000003</v>
      </c>
      <c r="N130">
        <v>-3.1192699999999999E-3</v>
      </c>
      <c r="O130">
        <v>1.2441529999999999E-2</v>
      </c>
      <c r="P130">
        <v>0.99929049999999997</v>
      </c>
      <c r="Q130">
        <v>-3.0267349999999998E-2</v>
      </c>
      <c r="R130">
        <v>2.2415830000000001E-2</v>
      </c>
      <c r="S130">
        <v>2.9994510000000001</v>
      </c>
      <c r="T130">
        <v>-7.8157899999999905E-2</v>
      </c>
      <c r="U130">
        <v>1.498413E-2</v>
      </c>
      <c r="V130">
        <v>-9.9809510000000001E-3</v>
      </c>
      <c r="W130">
        <v>-2.7149739999999999E-2</v>
      </c>
      <c r="X130">
        <v>0.99958159999999896</v>
      </c>
      <c r="Y130">
        <v>7.4401600000000003E-3</v>
      </c>
      <c r="Z130">
        <v>-3.9384940000000002E-4</v>
      </c>
      <c r="AA130">
        <v>0.99997219999999998</v>
      </c>
      <c r="AB130">
        <v>13</v>
      </c>
      <c r="AC130">
        <v>44.822200000000002</v>
      </c>
      <c r="AD130">
        <v>-1.1699120000000001</v>
      </c>
      <c r="AE130">
        <v>0.22339999999996901</v>
      </c>
      <c r="AF130">
        <v>0.33404908609536799</v>
      </c>
      <c r="AG130">
        <v>-1.1699120000000001</v>
      </c>
      <c r="AH130">
        <v>44.790996173116199</v>
      </c>
      <c r="AI130">
        <v>91.496147123894502</v>
      </c>
      <c r="AJ130">
        <v>89.572698765920606</v>
      </c>
      <c r="AK130">
        <v>44.807517461468201</v>
      </c>
      <c r="AL130">
        <v>91.555756603687101</v>
      </c>
      <c r="AM130">
        <v>90.572086724490504</v>
      </c>
      <c r="AN130">
        <v>1.00000005141174</v>
      </c>
    </row>
    <row r="131" spans="1:40" x14ac:dyDescent="0.25">
      <c r="A131" t="str">
        <f>"20190303153746191"</f>
        <v>20190303153746191</v>
      </c>
      <c r="B131" t="str">
        <f>"1551598666179290"</f>
        <v>1551598666179290</v>
      </c>
      <c r="C131" t="s">
        <v>40</v>
      </c>
      <c r="D131">
        <v>4.1586999999999996</v>
      </c>
      <c r="E131">
        <v>0.50671339999999998</v>
      </c>
      <c r="F131" t="s">
        <v>43</v>
      </c>
      <c r="G131">
        <v>-420.65390000000002</v>
      </c>
      <c r="H131">
        <v>-0.05</v>
      </c>
      <c r="I131">
        <v>367.37130000000002</v>
      </c>
      <c r="J131">
        <v>-465.98829999999998</v>
      </c>
      <c r="K131">
        <v>1.1198629999999901</v>
      </c>
      <c r="L131">
        <v>367.15780000000001</v>
      </c>
      <c r="M131">
        <v>0.99991850000000004</v>
      </c>
      <c r="N131">
        <v>-2.522626E-3</v>
      </c>
      <c r="O131">
        <v>1.2511929999999999E-2</v>
      </c>
      <c r="P131">
        <v>0.99933519999999998</v>
      </c>
      <c r="Q131">
        <v>-2.9465020000000001E-2</v>
      </c>
      <c r="R131">
        <v>2.14735E-2</v>
      </c>
      <c r="S131">
        <v>2.9994510000000001</v>
      </c>
      <c r="T131">
        <v>-7.7196959999999995E-2</v>
      </c>
      <c r="U131">
        <v>1.4190670000000001E-2</v>
      </c>
      <c r="V131">
        <v>-8.9676619999999995E-3</v>
      </c>
      <c r="W131">
        <v>-2.694365E-2</v>
      </c>
      <c r="X131">
        <v>0.9995967</v>
      </c>
      <c r="Y131">
        <v>7.7749659999999899E-3</v>
      </c>
      <c r="Z131">
        <v>-4.0024100000000002E-4</v>
      </c>
      <c r="AA131">
        <v>0.99996969999999996</v>
      </c>
      <c r="AB131">
        <v>13</v>
      </c>
      <c r="AC131">
        <v>45.334399999999903</v>
      </c>
      <c r="AD131">
        <v>-1.1698630000000001</v>
      </c>
      <c r="AE131">
        <v>0.21350000000000999</v>
      </c>
      <c r="AF131">
        <v>0.35350398363445401</v>
      </c>
      <c r="AG131">
        <v>-1.1698630000000001</v>
      </c>
      <c r="AH131">
        <v>45.303355430080501</v>
      </c>
      <c r="AI131">
        <v>91.479168156256804</v>
      </c>
      <c r="AJ131">
        <v>89.552927701520503</v>
      </c>
      <c r="AK131">
        <v>45.3198362500288</v>
      </c>
      <c r="AL131">
        <v>91.543944320023002</v>
      </c>
      <c r="AM131">
        <v>90.514002698203598</v>
      </c>
      <c r="AN131">
        <v>0.99999997094397897</v>
      </c>
    </row>
    <row r="132" spans="1:40" x14ac:dyDescent="0.25">
      <c r="A132" t="str">
        <f>"20190303153746202"</f>
        <v>20190303153746202</v>
      </c>
      <c r="B132" t="str">
        <f>"1551598666199782"</f>
        <v>1551598666199782</v>
      </c>
      <c r="C132" t="s">
        <v>40</v>
      </c>
      <c r="D132">
        <v>4.1626070000000004</v>
      </c>
      <c r="E132">
        <v>0.50677700000000003</v>
      </c>
      <c r="F132" t="s">
        <v>43</v>
      </c>
      <c r="G132">
        <v>-418.5376</v>
      </c>
      <c r="H132">
        <v>-0.05</v>
      </c>
      <c r="I132">
        <v>367.32920000000001</v>
      </c>
      <c r="J132">
        <v>-465.91180000000003</v>
      </c>
      <c r="K132">
        <v>1.1198360000000001</v>
      </c>
      <c r="L132">
        <v>367.15879999999999</v>
      </c>
      <c r="M132">
        <v>0.99991890000000005</v>
      </c>
      <c r="N132">
        <v>-2.181456E-3</v>
      </c>
      <c r="O132">
        <v>1.2553160000000001E-2</v>
      </c>
      <c r="P132">
        <v>0.99935629999999998</v>
      </c>
      <c r="Q132">
        <v>-2.9150369999999998E-2</v>
      </c>
      <c r="R132">
        <v>2.0915639999999999E-2</v>
      </c>
      <c r="S132">
        <v>2.9995419999999999</v>
      </c>
      <c r="T132">
        <v>-7.3951600000000006E-2</v>
      </c>
      <c r="U132">
        <v>1.083374E-2</v>
      </c>
      <c r="V132">
        <v>-8.3685119999999998E-3</v>
      </c>
      <c r="W132">
        <v>-2.6969969999999999E-2</v>
      </c>
      <c r="X132">
        <v>0.99960119999999997</v>
      </c>
      <c r="Y132">
        <v>8.9354929999999992E-3</v>
      </c>
      <c r="Z132">
        <v>-4.0193230000000002E-4</v>
      </c>
      <c r="AA132">
        <v>0.99995999999999996</v>
      </c>
      <c r="AB132">
        <v>13</v>
      </c>
      <c r="AC132">
        <v>47.374200000000002</v>
      </c>
      <c r="AD132">
        <v>-1.1698360000000001</v>
      </c>
      <c r="AE132">
        <v>0.170400000000029</v>
      </c>
      <c r="AF132">
        <v>0.42405213928184998</v>
      </c>
      <c r="AG132">
        <v>-1.1698360000000001</v>
      </c>
      <c r="AH132">
        <v>47.343737816362598</v>
      </c>
      <c r="AI132">
        <v>91.415400338510196</v>
      </c>
      <c r="AJ132">
        <v>89.486822348752</v>
      </c>
      <c r="AK132">
        <v>47.360087066096099</v>
      </c>
      <c r="AL132">
        <v>91.545452871227695</v>
      </c>
      <c r="AM132">
        <v>90.479660505562606</v>
      </c>
      <c r="AN132">
        <v>0.99999998515816702</v>
      </c>
    </row>
    <row r="133" spans="1:40" x14ac:dyDescent="0.25">
      <c r="A133" t="str">
        <f>"20190303153746216"</f>
        <v>20190303153746216</v>
      </c>
      <c r="B133" t="str">
        <f>"1551598666209543"</f>
        <v>1551598666209543</v>
      </c>
      <c r="C133" t="s">
        <v>40</v>
      </c>
      <c r="D133">
        <v>4.1537800000000002</v>
      </c>
      <c r="E133">
        <v>0.50678559999999995</v>
      </c>
      <c r="F133" t="s">
        <v>43</v>
      </c>
      <c r="G133">
        <v>-417.30700000000002</v>
      </c>
      <c r="H133">
        <v>-0.05</v>
      </c>
      <c r="I133">
        <v>367.30369999999999</v>
      </c>
      <c r="J133">
        <v>-465.83510000000001</v>
      </c>
      <c r="K133">
        <v>1.119815</v>
      </c>
      <c r="L133">
        <v>367.15980000000002</v>
      </c>
      <c r="M133">
        <v>0.99991909999999895</v>
      </c>
      <c r="N133">
        <v>-1.852544E-3</v>
      </c>
      <c r="O133">
        <v>1.2593719999999999E-2</v>
      </c>
      <c r="P133">
        <v>0.99937929999999997</v>
      </c>
      <c r="Q133">
        <v>-2.8828860000000001E-2</v>
      </c>
      <c r="R133">
        <v>2.0257339999999999E-2</v>
      </c>
      <c r="S133">
        <v>2.9996640000000001</v>
      </c>
      <c r="T133">
        <v>-7.2196839999999998E-2</v>
      </c>
      <c r="U133">
        <v>8.9416500000000006E-3</v>
      </c>
      <c r="V133">
        <v>-7.669744E-3</v>
      </c>
      <c r="W133">
        <v>-2.6977190000000002E-2</v>
      </c>
      <c r="X133">
        <v>0.99960660000000001</v>
      </c>
      <c r="Y133">
        <v>9.6069520000000002E-3</v>
      </c>
      <c r="Z133">
        <v>-4.0422430000000001E-4</v>
      </c>
      <c r="AA133">
        <v>0.99995369999999995</v>
      </c>
      <c r="AB133">
        <v>13</v>
      </c>
      <c r="AC133">
        <v>48.528100000000002</v>
      </c>
      <c r="AD133">
        <v>-1.169815</v>
      </c>
      <c r="AE133">
        <v>0.14389999999997299</v>
      </c>
      <c r="AF133">
        <v>0.46699032694696702</v>
      </c>
      <c r="AG133">
        <v>-1.169815</v>
      </c>
      <c r="AH133">
        <v>48.497882081076</v>
      </c>
      <c r="AI133">
        <v>91.381696680210197</v>
      </c>
      <c r="AJ133">
        <v>89.448311003389307</v>
      </c>
      <c r="AK133">
        <v>48.514236193612703</v>
      </c>
      <c r="AL133">
        <v>91.545866714187497</v>
      </c>
      <c r="AM133">
        <v>90.439608279804204</v>
      </c>
      <c r="AN133">
        <v>0.99999997425844001</v>
      </c>
    </row>
    <row r="134" spans="1:40" x14ac:dyDescent="0.25">
      <c r="A134" t="str">
        <f>"20190303153746233"</f>
        <v>20190303153746233</v>
      </c>
      <c r="B134" t="str">
        <f>"1551598666229063"</f>
        <v>1551598666229063</v>
      </c>
      <c r="C134" t="s">
        <v>40</v>
      </c>
      <c r="D134">
        <v>4.1656309999999896</v>
      </c>
      <c r="E134">
        <v>0.50681569999999998</v>
      </c>
      <c r="F134" t="s">
        <v>43</v>
      </c>
      <c r="G134">
        <v>-416.31290000000001</v>
      </c>
      <c r="H134">
        <v>-0.05</v>
      </c>
      <c r="I134">
        <v>367.27319999999997</v>
      </c>
      <c r="J134">
        <v>-465.72609999999997</v>
      </c>
      <c r="K134">
        <v>1.1197820000000001</v>
      </c>
      <c r="L134">
        <v>367.16129999999998</v>
      </c>
      <c r="M134">
        <v>0.99991920000000001</v>
      </c>
      <c r="N134">
        <v>-1.412857E-3</v>
      </c>
      <c r="O134">
        <v>1.264969E-2</v>
      </c>
      <c r="P134">
        <v>0.9994324</v>
      </c>
      <c r="Q134">
        <v>-2.7703869999999998E-2</v>
      </c>
      <c r="R134">
        <v>1.917423E-2</v>
      </c>
      <c r="S134">
        <v>2.999695</v>
      </c>
      <c r="T134">
        <v>-7.0858959999999999E-2</v>
      </c>
      <c r="U134">
        <v>6.8664549999999996E-3</v>
      </c>
      <c r="V134">
        <v>-6.5297130000000004E-3</v>
      </c>
      <c r="W134">
        <v>-2.6291640000000002E-2</v>
      </c>
      <c r="X134">
        <v>0.99963299999999999</v>
      </c>
      <c r="Y134">
        <v>1.035463E-2</v>
      </c>
      <c r="Z134">
        <v>-4.1048989999999997E-4</v>
      </c>
      <c r="AA134">
        <v>0.99994629999999995</v>
      </c>
      <c r="AB134">
        <v>13</v>
      </c>
      <c r="AC134">
        <v>49.413199999999897</v>
      </c>
      <c r="AD134">
        <v>-1.1697819999999901</v>
      </c>
      <c r="AE134">
        <v>0.11189999999999101</v>
      </c>
      <c r="AF134">
        <v>0.51288367292911696</v>
      </c>
      <c r="AG134">
        <v>-1.1697819999999901</v>
      </c>
      <c r="AH134">
        <v>49.3829861923818</v>
      </c>
      <c r="AI134">
        <v>91.356892979004698</v>
      </c>
      <c r="AJ134">
        <v>89.404956735267604</v>
      </c>
      <c r="AK134">
        <v>49.399501666175198</v>
      </c>
      <c r="AL134">
        <v>91.506573595694803</v>
      </c>
      <c r="AM134">
        <v>90.374257027683996</v>
      </c>
      <c r="AN134">
        <v>1.0000000110873699</v>
      </c>
    </row>
    <row r="135" spans="1:40" x14ac:dyDescent="0.25">
      <c r="A135" t="str">
        <f>"20190303153746245"</f>
        <v>20190303153746245</v>
      </c>
      <c r="B135" t="str">
        <f>"1551598666238823"</f>
        <v>1551598666238823</v>
      </c>
      <c r="C135" t="s">
        <v>40</v>
      </c>
      <c r="D135">
        <v>4.1504589999999997</v>
      </c>
      <c r="E135">
        <v>0.50683409999999995</v>
      </c>
      <c r="F135" t="s">
        <v>43</v>
      </c>
      <c r="G135">
        <v>-413.44929999999999</v>
      </c>
      <c r="H135">
        <v>-0.05</v>
      </c>
      <c r="I135">
        <v>367.22399999999999</v>
      </c>
      <c r="J135">
        <v>-465.64980000000003</v>
      </c>
      <c r="K135">
        <v>1.119761</v>
      </c>
      <c r="L135">
        <v>367.16230000000002</v>
      </c>
      <c r="M135">
        <v>0.99991890000000005</v>
      </c>
      <c r="N135">
        <v>-1.124288E-3</v>
      </c>
      <c r="O135">
        <v>1.2688380000000001E-2</v>
      </c>
      <c r="P135">
        <v>0.9994556</v>
      </c>
      <c r="Q135">
        <v>-2.703556E-2</v>
      </c>
      <c r="R135">
        <v>1.8909470000000001E-2</v>
      </c>
      <c r="S135">
        <v>2.9997560000000001</v>
      </c>
      <c r="T135">
        <v>-6.7124610000000001E-2</v>
      </c>
      <c r="U135">
        <v>3.6010740000000001E-3</v>
      </c>
      <c r="V135">
        <v>-6.2261410000000001E-3</v>
      </c>
      <c r="W135">
        <v>-2.5911759999999999E-2</v>
      </c>
      <c r="X135">
        <v>0.9996448</v>
      </c>
      <c r="Y135">
        <v>1.148214E-2</v>
      </c>
      <c r="Z135">
        <v>-4.0452359999999999E-4</v>
      </c>
      <c r="AA135">
        <v>0.99993399999999999</v>
      </c>
      <c r="AB135">
        <v>14</v>
      </c>
      <c r="AC135">
        <v>52.200499999999998</v>
      </c>
      <c r="AD135">
        <v>-1.1697610000000001</v>
      </c>
      <c r="AE135">
        <v>6.1699999999973401E-2</v>
      </c>
      <c r="AF135">
        <v>0.60034367385195397</v>
      </c>
      <c r="AG135">
        <v>-1.1697610000000001</v>
      </c>
      <c r="AH135">
        <v>52.170882425240798</v>
      </c>
      <c r="AI135">
        <v>91.284369793401595</v>
      </c>
      <c r="AJ135">
        <v>89.340711925208097</v>
      </c>
      <c r="AK135">
        <v>52.187447977000701</v>
      </c>
      <c r="AL135">
        <v>91.484800739952604</v>
      </c>
      <c r="AM135">
        <v>90.356853743687196</v>
      </c>
      <c r="AN135">
        <v>0.99999995515254303</v>
      </c>
    </row>
    <row r="136" spans="1:40" x14ac:dyDescent="0.25">
      <c r="A136" t="str">
        <f>"20190303153746257"</f>
        <v>20190303153746257</v>
      </c>
      <c r="B136" t="str">
        <f>"1551598666249561"</f>
        <v>1551598666249561</v>
      </c>
      <c r="C136" t="s">
        <v>40</v>
      </c>
      <c r="D136">
        <v>4.1774550000000001</v>
      </c>
      <c r="E136">
        <v>0.50686249999999999</v>
      </c>
      <c r="F136" t="s">
        <v>43</v>
      </c>
      <c r="G136">
        <v>-411.71440000000001</v>
      </c>
      <c r="H136">
        <v>-0.05</v>
      </c>
      <c r="I136">
        <v>367.2056</v>
      </c>
      <c r="J136">
        <v>-465.57589999999999</v>
      </c>
      <c r="K136">
        <v>1.1197410000000001</v>
      </c>
      <c r="L136">
        <v>367.16320000000002</v>
      </c>
      <c r="M136">
        <v>0.99991870000000005</v>
      </c>
      <c r="N136">
        <v>-8.6131320000000001E-4</v>
      </c>
      <c r="O136">
        <v>1.2725230000000001E-2</v>
      </c>
      <c r="P136">
        <v>0.99947620000000004</v>
      </c>
      <c r="Q136">
        <v>-2.64245E-2</v>
      </c>
      <c r="R136">
        <v>1.868767E-2</v>
      </c>
      <c r="S136">
        <v>2.9998469999999999</v>
      </c>
      <c r="T136">
        <v>-6.5061330000000001E-2</v>
      </c>
      <c r="U136">
        <v>2.4108889999999998E-3</v>
      </c>
      <c r="V136">
        <v>-5.9673640000000002E-3</v>
      </c>
      <c r="W136">
        <v>-2.5563570000000001E-2</v>
      </c>
      <c r="X136">
        <v>0.99965539999999997</v>
      </c>
      <c r="Y136">
        <v>1.191595E-2</v>
      </c>
      <c r="Z136">
        <v>-3.9932470000000002E-4</v>
      </c>
      <c r="AA136">
        <v>0.99992899999999996</v>
      </c>
      <c r="AB136">
        <v>14</v>
      </c>
      <c r="AC136">
        <v>53.8614999999999</v>
      </c>
      <c r="AD136">
        <v>-1.1697409999999999</v>
      </c>
      <c r="AE136">
        <v>4.23999999999864E-2</v>
      </c>
      <c r="AF136">
        <v>0.64270050418273805</v>
      </c>
      <c r="AG136">
        <v>-1.1697409999999999</v>
      </c>
      <c r="AH136">
        <v>53.832288293545197</v>
      </c>
      <c r="AI136">
        <v>91.244715864699003</v>
      </c>
      <c r="AJ136">
        <v>89.315981577488202</v>
      </c>
      <c r="AK136">
        <v>53.8488311931143</v>
      </c>
      <c r="AL136">
        <v>91.464844227043997</v>
      </c>
      <c r="AM136">
        <v>90.342018570560995</v>
      </c>
      <c r="AN136">
        <v>1.0000000121467001</v>
      </c>
    </row>
    <row r="137" spans="1:40" x14ac:dyDescent="0.25">
      <c r="A137" t="str">
        <f>"20190303153746271"</f>
        <v>20190303153746271</v>
      </c>
      <c r="B137" t="str">
        <f>"1551598666259319"</f>
        <v>1551598666259319</v>
      </c>
      <c r="C137" t="s">
        <v>40</v>
      </c>
      <c r="D137">
        <v>4.1808110000000003</v>
      </c>
      <c r="E137">
        <v>0.50690279999999999</v>
      </c>
      <c r="F137" t="s">
        <v>43</v>
      </c>
      <c r="G137">
        <v>-409.82260000000002</v>
      </c>
      <c r="H137">
        <v>-0.05</v>
      </c>
      <c r="I137">
        <v>367.19099999999997</v>
      </c>
      <c r="J137">
        <v>-465.4923</v>
      </c>
      <c r="K137">
        <v>1.119721</v>
      </c>
      <c r="L137">
        <v>367.16430000000003</v>
      </c>
      <c r="M137">
        <v>0.99991830000000004</v>
      </c>
      <c r="N137">
        <v>-5.7409059999999996E-4</v>
      </c>
      <c r="O137">
        <v>1.2766700000000001E-2</v>
      </c>
      <c r="P137">
        <v>0.99947799999999998</v>
      </c>
      <c r="Q137">
        <v>-2.6217790000000001E-2</v>
      </c>
      <c r="R137">
        <v>1.8881539999999999E-2</v>
      </c>
      <c r="S137">
        <v>2.999908</v>
      </c>
      <c r="T137">
        <v>-6.2939999999999996E-2</v>
      </c>
      <c r="U137">
        <v>1.495361E-3</v>
      </c>
      <c r="V137">
        <v>-6.1194099999999996E-3</v>
      </c>
      <c r="W137">
        <v>-2.5643989999999998E-2</v>
      </c>
      <c r="X137">
        <v>0.9996524</v>
      </c>
      <c r="Y137">
        <v>1.2262840000000001E-2</v>
      </c>
      <c r="Z137">
        <v>-3.926372E-4</v>
      </c>
      <c r="AA137">
        <v>0.9999247</v>
      </c>
      <c r="AB137">
        <v>14</v>
      </c>
      <c r="AC137">
        <v>55.669699999999899</v>
      </c>
      <c r="AD137">
        <v>-1.169721</v>
      </c>
      <c r="AE137">
        <v>2.66999999999484E-2</v>
      </c>
      <c r="AF137">
        <v>0.68371881970887405</v>
      </c>
      <c r="AG137">
        <v>-1.169721</v>
      </c>
      <c r="AH137">
        <v>55.640938671812997</v>
      </c>
      <c r="AI137">
        <v>91.204241883945102</v>
      </c>
      <c r="AJ137">
        <v>89.295981841115903</v>
      </c>
      <c r="AK137">
        <v>55.6574323421654</v>
      </c>
      <c r="AL137">
        <v>91.469453495540094</v>
      </c>
      <c r="AM137">
        <v>90.350733901737399</v>
      </c>
      <c r="AN137">
        <v>0.99999999111381399</v>
      </c>
    </row>
    <row r="138" spans="1:40" x14ac:dyDescent="0.25">
      <c r="A138" t="str">
        <f>"20190303153746286"</f>
        <v>20190303153746286</v>
      </c>
      <c r="B138" t="str">
        <f>"1551598666279247"</f>
        <v>1551598666279247</v>
      </c>
      <c r="C138" t="s">
        <v>40</v>
      </c>
      <c r="D138">
        <v>4.1403819999999998</v>
      </c>
      <c r="E138">
        <v>0.50703509999999996</v>
      </c>
      <c r="F138" t="s">
        <v>43</v>
      </c>
      <c r="G138">
        <v>-408.8596</v>
      </c>
      <c r="H138">
        <v>-0.05</v>
      </c>
      <c r="I138">
        <v>367.19600000000003</v>
      </c>
      <c r="J138">
        <v>-465.38990000000001</v>
      </c>
      <c r="K138">
        <v>1.119693</v>
      </c>
      <c r="L138">
        <v>367.16570000000002</v>
      </c>
      <c r="M138">
        <v>0.99991790000000003</v>
      </c>
      <c r="N138">
        <v>-2.4974470000000001E-4</v>
      </c>
      <c r="O138">
        <v>1.281701E-2</v>
      </c>
      <c r="P138">
        <v>0.99949339999999998</v>
      </c>
      <c r="Q138">
        <v>-2.5473249999999999E-2</v>
      </c>
      <c r="R138">
        <v>1.9084279999999999E-2</v>
      </c>
      <c r="S138">
        <v>2.999908</v>
      </c>
      <c r="T138">
        <v>-6.196165E-2</v>
      </c>
      <c r="U138">
        <v>1.6784669999999999E-3</v>
      </c>
      <c r="V138">
        <v>-6.2720120000000004E-3</v>
      </c>
      <c r="W138">
        <v>-2.5223700000000002E-2</v>
      </c>
      <c r="X138">
        <v>0.99966219999999995</v>
      </c>
      <c r="Y138">
        <v>1.2252239999999999E-2</v>
      </c>
      <c r="Z138">
        <v>-3.8954309999999999E-4</v>
      </c>
      <c r="AA138">
        <v>0.99992479999999995</v>
      </c>
      <c r="AB138">
        <v>14</v>
      </c>
      <c r="AC138">
        <v>56.530299999999997</v>
      </c>
      <c r="AD138">
        <v>-1.1696930000000001</v>
      </c>
      <c r="AE138">
        <v>3.02999999999542E-2</v>
      </c>
      <c r="AF138">
        <v>0.69395477283826801</v>
      </c>
      <c r="AG138">
        <v>-1.1696930000000001</v>
      </c>
      <c r="AH138">
        <v>56.501854445876099</v>
      </c>
      <c r="AI138">
        <v>91.185869903730904</v>
      </c>
      <c r="AJ138">
        <v>89.296329634371503</v>
      </c>
      <c r="AK138">
        <v>56.518221050949201</v>
      </c>
      <c r="AL138">
        <v>91.4453647835429</v>
      </c>
      <c r="AM138">
        <v>90.3594765325727</v>
      </c>
      <c r="AN138">
        <v>1.00000004364252</v>
      </c>
    </row>
    <row r="139" spans="1:40" x14ac:dyDescent="0.25">
      <c r="A139" t="str">
        <f>"20190303153746302"</f>
        <v>20190303153746302</v>
      </c>
      <c r="B139" t="str">
        <f>"1551598666298767"</f>
        <v>1551598666298767</v>
      </c>
      <c r="C139" t="s">
        <v>40</v>
      </c>
      <c r="D139">
        <v>4.1014689999999998</v>
      </c>
      <c r="E139">
        <v>0.50709499999999996</v>
      </c>
      <c r="F139" t="s">
        <v>43</v>
      </c>
      <c r="G139">
        <v>-406.16539999999998</v>
      </c>
      <c r="H139">
        <v>-0.05</v>
      </c>
      <c r="I139">
        <v>367.18799999999999</v>
      </c>
      <c r="J139">
        <v>-465.29059999999998</v>
      </c>
      <c r="K139">
        <v>1.1196729999999999</v>
      </c>
      <c r="L139">
        <v>367.1671</v>
      </c>
      <c r="M139">
        <v>0.99991730000000001</v>
      </c>
      <c r="N139" s="1">
        <v>4.126569E-5</v>
      </c>
      <c r="O139">
        <v>1.2865959999999999E-2</v>
      </c>
      <c r="P139">
        <v>0.99951310000000004</v>
      </c>
      <c r="Q139">
        <v>-2.4138730000000001E-2</v>
      </c>
      <c r="R139">
        <v>1.9778560000000001E-2</v>
      </c>
      <c r="S139">
        <v>3</v>
      </c>
      <c r="T139">
        <v>-5.925047E-2</v>
      </c>
      <c r="U139">
        <v>1.12915E-3</v>
      </c>
      <c r="V139">
        <v>-6.9166540000000004E-3</v>
      </c>
      <c r="W139">
        <v>-2.41801E-2</v>
      </c>
      <c r="X139">
        <v>0.99968369999999995</v>
      </c>
      <c r="Y139">
        <v>1.248466E-2</v>
      </c>
      <c r="Z139">
        <v>-3.7762279999999999E-4</v>
      </c>
      <c r="AA139">
        <v>0.99992199999999998</v>
      </c>
      <c r="AB139">
        <v>14</v>
      </c>
      <c r="AC139">
        <v>59.1252</v>
      </c>
      <c r="AD139">
        <v>-1.169673</v>
      </c>
      <c r="AE139">
        <v>2.0900000000040098E-2</v>
      </c>
      <c r="AF139">
        <v>0.73951471364917398</v>
      </c>
      <c r="AG139">
        <v>-1.169673</v>
      </c>
      <c r="AH139">
        <v>59.097446353231703</v>
      </c>
      <c r="AI139">
        <v>91.133777128309205</v>
      </c>
      <c r="AJ139">
        <v>89.283067827575493</v>
      </c>
      <c r="AK139">
        <v>59.113646329859598</v>
      </c>
      <c r="AL139">
        <v>91.385552705387397</v>
      </c>
      <c r="AM139">
        <v>90.396414144929096</v>
      </c>
      <c r="AN139">
        <v>1.0000000086921199</v>
      </c>
    </row>
    <row r="140" spans="1:40" x14ac:dyDescent="0.25">
      <c r="A140" t="str">
        <f>"20190303153746323"</f>
        <v>20190303153746323</v>
      </c>
      <c r="B140" t="str">
        <f>"1551598666319263"</f>
        <v>1551598666319263</v>
      </c>
      <c r="C140" t="s">
        <v>40</v>
      </c>
      <c r="D140">
        <v>4.1090140000000002</v>
      </c>
      <c r="E140">
        <v>0.50718399999999997</v>
      </c>
      <c r="F140" t="s">
        <v>43</v>
      </c>
      <c r="G140">
        <v>-401.8109</v>
      </c>
      <c r="H140">
        <v>-0.05</v>
      </c>
      <c r="I140">
        <v>367.23230000000001</v>
      </c>
      <c r="J140">
        <v>-465.15570000000002</v>
      </c>
      <c r="K140">
        <v>1.1196429999999999</v>
      </c>
      <c r="L140">
        <v>367.16890000000001</v>
      </c>
      <c r="M140">
        <v>0.99991629999999998</v>
      </c>
      <c r="N140">
        <v>4.0790009999999997E-4</v>
      </c>
      <c r="O140">
        <v>1.293273E-2</v>
      </c>
      <c r="P140">
        <v>0.99949869999999996</v>
      </c>
      <c r="Q140">
        <v>-2.3397069999999999E-2</v>
      </c>
      <c r="R140">
        <v>2.1340520000000002E-2</v>
      </c>
      <c r="S140">
        <v>3.0001220000000002</v>
      </c>
      <c r="T140">
        <v>-5.5279969999999998E-2</v>
      </c>
      <c r="U140">
        <v>3.0822750000000002E-3</v>
      </c>
      <c r="V140">
        <v>-8.4120879999999999E-3</v>
      </c>
      <c r="W140">
        <v>-2.3805030000000001E-2</v>
      </c>
      <c r="X140">
        <v>0.99968120000000005</v>
      </c>
      <c r="Y140">
        <v>1.1901159999999999E-2</v>
      </c>
      <c r="Z140">
        <v>-3.5075470000000002E-4</v>
      </c>
      <c r="AA140">
        <v>0.99992910000000002</v>
      </c>
      <c r="AB140">
        <v>14</v>
      </c>
      <c r="AC140">
        <v>63.344799999999999</v>
      </c>
      <c r="AD140">
        <v>-1.169643</v>
      </c>
      <c r="AE140">
        <v>6.34000000000014E-2</v>
      </c>
      <c r="AF140">
        <v>0.75556894641661299</v>
      </c>
      <c r="AG140">
        <v>-1.169643</v>
      </c>
      <c r="AH140">
        <v>63.318734126171698</v>
      </c>
      <c r="AI140">
        <v>91.058189465484702</v>
      </c>
      <c r="AJ140">
        <v>89.316334134239895</v>
      </c>
      <c r="AK140">
        <v>63.334043298379903</v>
      </c>
      <c r="AL140">
        <v>91.364056639336496</v>
      </c>
      <c r="AM140">
        <v>90.482119463456499</v>
      </c>
      <c r="AN140">
        <v>0.99999997215562997</v>
      </c>
    </row>
    <row r="141" spans="1:40" x14ac:dyDescent="0.25">
      <c r="A141" t="str">
        <f>"20190303153746336"</f>
        <v>20190303153746336</v>
      </c>
      <c r="B141" t="str">
        <f>"1551598666329025"</f>
        <v>1551598666329025</v>
      </c>
      <c r="C141" t="s">
        <v>40</v>
      </c>
      <c r="D141">
        <v>4.0905620000000003</v>
      </c>
      <c r="E141">
        <v>0.50722630000000002</v>
      </c>
      <c r="F141" t="s">
        <v>43</v>
      </c>
      <c r="G141">
        <v>-398.81700000000001</v>
      </c>
      <c r="H141">
        <v>-0.05</v>
      </c>
      <c r="I141">
        <v>367.32209999999998</v>
      </c>
      <c r="J141">
        <v>-465.06290000000001</v>
      </c>
      <c r="K141">
        <v>1.119621</v>
      </c>
      <c r="L141">
        <v>367.17009999999999</v>
      </c>
      <c r="M141">
        <v>0.99991560000000002</v>
      </c>
      <c r="N141">
        <v>6.3928680000000003E-4</v>
      </c>
      <c r="O141">
        <v>1.297922E-2</v>
      </c>
      <c r="P141">
        <v>0.99948820000000005</v>
      </c>
      <c r="Q141">
        <v>-2.3200189999999999E-2</v>
      </c>
      <c r="R141">
        <v>2.2028840000000001E-2</v>
      </c>
      <c r="S141">
        <v>3.0001220000000002</v>
      </c>
      <c r="T141">
        <v>-5.2896260000000001E-2</v>
      </c>
      <c r="U141">
        <v>6.9274899999999997E-3</v>
      </c>
      <c r="V141">
        <v>-9.053696E-3</v>
      </c>
      <c r="W141">
        <v>-2.3839510000000001E-2</v>
      </c>
      <c r="X141">
        <v>0.99967479999999997</v>
      </c>
      <c r="Y141">
        <v>1.066656E-2</v>
      </c>
      <c r="Z141">
        <v>-3.2773049999999999E-4</v>
      </c>
      <c r="AA141">
        <v>0.99994309999999997</v>
      </c>
      <c r="AB141">
        <v>15</v>
      </c>
      <c r="AC141">
        <v>66.245900000000006</v>
      </c>
      <c r="AD141">
        <v>-1.169621</v>
      </c>
      <c r="AE141">
        <v>0.15199999999998601</v>
      </c>
      <c r="AF141">
        <v>0.70761247707564001</v>
      </c>
      <c r="AG141">
        <v>-1.169621</v>
      </c>
      <c r="AH141">
        <v>66.221649840671802</v>
      </c>
      <c r="AI141">
        <v>91.011807401320198</v>
      </c>
      <c r="AJ141">
        <v>89.387788350295494</v>
      </c>
      <c r="AK141">
        <v>66.235757988581199</v>
      </c>
      <c r="AL141">
        <v>91.366032722403602</v>
      </c>
      <c r="AM141">
        <v>90.518893131750801</v>
      </c>
      <c r="AN141">
        <v>0.99999999870167</v>
      </c>
    </row>
    <row r="142" spans="1:40" x14ac:dyDescent="0.25">
      <c r="A142" t="str">
        <f>"20190303153746349"</f>
        <v>20190303153746349</v>
      </c>
      <c r="B142" t="str">
        <f>"1551598666338784"</f>
        <v>1551598666338784</v>
      </c>
      <c r="C142" t="s">
        <v>40</v>
      </c>
      <c r="D142">
        <v>4.1515979999999999</v>
      </c>
      <c r="E142">
        <v>0.50717690000000004</v>
      </c>
      <c r="F142" t="s">
        <v>43</v>
      </c>
      <c r="G142">
        <v>-397.52620000000002</v>
      </c>
      <c r="H142">
        <v>-0.05</v>
      </c>
      <c r="I142">
        <v>367.36040000000003</v>
      </c>
      <c r="J142">
        <v>-464.9735</v>
      </c>
      <c r="K142">
        <v>1.1196010000000001</v>
      </c>
      <c r="L142">
        <v>367.17140000000001</v>
      </c>
      <c r="M142">
        <v>0.99991490000000005</v>
      </c>
      <c r="N142">
        <v>8.5001929999999905E-4</v>
      </c>
      <c r="O142">
        <v>1.302419E-2</v>
      </c>
      <c r="P142">
        <v>0.99947949999999997</v>
      </c>
      <c r="Q142">
        <v>-2.284164E-2</v>
      </c>
      <c r="R142">
        <v>2.2786870000000001E-2</v>
      </c>
      <c r="S142">
        <v>3.0001530000000001</v>
      </c>
      <c r="T142">
        <v>-5.1957610000000001E-2</v>
      </c>
      <c r="U142">
        <v>8.4533690000000005E-3</v>
      </c>
      <c r="V142">
        <v>-9.7668449999999997E-3</v>
      </c>
      <c r="W142">
        <v>-2.369168E-2</v>
      </c>
      <c r="X142">
        <v>0.99967159999999999</v>
      </c>
      <c r="Y142">
        <v>1.0203149999999999E-2</v>
      </c>
      <c r="Z142">
        <v>-3.2061129999999999E-4</v>
      </c>
      <c r="AA142">
        <v>0.9999479</v>
      </c>
      <c r="AB142">
        <v>15</v>
      </c>
      <c r="AC142">
        <v>67.447299999999899</v>
      </c>
      <c r="AD142">
        <v>-1.1696009999999999</v>
      </c>
      <c r="AE142">
        <v>0.18900000000002101</v>
      </c>
      <c r="AF142">
        <v>0.689255464605952</v>
      </c>
      <c r="AG142">
        <v>-1.1696009999999999</v>
      </c>
      <c r="AH142">
        <v>67.423766030762707</v>
      </c>
      <c r="AI142">
        <v>90.993759086266905</v>
      </c>
      <c r="AJ142">
        <v>89.414300685593005</v>
      </c>
      <c r="AK142">
        <v>67.437432226959302</v>
      </c>
      <c r="AL142">
        <v>91.357560296094306</v>
      </c>
      <c r="AM142">
        <v>90.559765020200103</v>
      </c>
      <c r="AN142">
        <v>0.99999999740451795</v>
      </c>
    </row>
    <row r="143" spans="1:40" x14ac:dyDescent="0.25">
      <c r="A143" t="str">
        <f>"20190303153746362"</f>
        <v>20190303153746362</v>
      </c>
      <c r="B143" t="str">
        <f>"1551598666359279"</f>
        <v>1551598666359279</v>
      </c>
      <c r="C143" t="s">
        <v>40</v>
      </c>
      <c r="D143">
        <v>4.0925289999999999</v>
      </c>
      <c r="E143">
        <v>0.50722309999999904</v>
      </c>
      <c r="F143" t="s">
        <v>43</v>
      </c>
      <c r="G143">
        <v>-397.50779999999997</v>
      </c>
      <c r="H143">
        <v>-0.05</v>
      </c>
      <c r="I143">
        <v>367.42939999999999</v>
      </c>
      <c r="J143">
        <v>-464.88290000000001</v>
      </c>
      <c r="K143">
        <v>1.1195820000000001</v>
      </c>
      <c r="L143">
        <v>367.17259999999999</v>
      </c>
      <c r="M143">
        <v>0.99991410000000003</v>
      </c>
      <c r="N143">
        <v>1.0395230000000001E-3</v>
      </c>
      <c r="O143">
        <v>1.307119E-2</v>
      </c>
      <c r="P143">
        <v>0.99946710000000005</v>
      </c>
      <c r="Q143">
        <v>-2.2546440000000001E-2</v>
      </c>
      <c r="R143">
        <v>2.3611420000000001E-2</v>
      </c>
      <c r="S143">
        <v>3.0001530000000001</v>
      </c>
      <c r="T143">
        <v>-5.2011370000000001E-2</v>
      </c>
      <c r="U143">
        <v>1.147461E-2</v>
      </c>
      <c r="V143">
        <v>-1.054481E-2</v>
      </c>
      <c r="W143">
        <v>-2.3585970000000001E-2</v>
      </c>
      <c r="X143">
        <v>0.99966619999999995</v>
      </c>
      <c r="Y143">
        <v>9.2432650000000005E-3</v>
      </c>
      <c r="Z143">
        <v>-3.1547900000000002E-4</v>
      </c>
      <c r="AA143">
        <v>0.99995719999999999</v>
      </c>
      <c r="AB143">
        <v>15</v>
      </c>
      <c r="AC143">
        <v>67.375100000000003</v>
      </c>
      <c r="AD143">
        <v>-1.1695819999999999</v>
      </c>
      <c r="AE143">
        <v>0.25679999999999797</v>
      </c>
      <c r="AF143">
        <v>0.62370713700862901</v>
      </c>
      <c r="AG143">
        <v>-1.1695819999999999</v>
      </c>
      <c r="AH143">
        <v>67.352404765370807</v>
      </c>
      <c r="AI143">
        <v>90.9948049493442</v>
      </c>
      <c r="AJ143">
        <v>89.469435942453202</v>
      </c>
      <c r="AK143">
        <v>67.365446338058405</v>
      </c>
      <c r="AL143">
        <v>91.351501861134693</v>
      </c>
      <c r="AM143">
        <v>90.604352434871601</v>
      </c>
      <c r="AN143">
        <v>1.0000000012106001</v>
      </c>
    </row>
    <row r="144" spans="1:40" x14ac:dyDescent="0.25">
      <c r="A144" t="str">
        <f>"20190303153746380"</f>
        <v>20190303153746380</v>
      </c>
      <c r="B144" t="str">
        <f>"1551598666369552"</f>
        <v>1551598666369552</v>
      </c>
      <c r="C144" t="s">
        <v>40</v>
      </c>
      <c r="D144">
        <v>4.0585230000000001</v>
      </c>
      <c r="E144">
        <v>0.50724990000000003</v>
      </c>
      <c r="F144" t="s">
        <v>42</v>
      </c>
      <c r="G144">
        <v>-398.4049</v>
      </c>
      <c r="H144" s="1">
        <v>-1.1013759999999999E-6</v>
      </c>
      <c r="I144">
        <v>367.46469999999999</v>
      </c>
      <c r="J144">
        <v>-464.7636</v>
      </c>
      <c r="K144">
        <v>1.119564</v>
      </c>
      <c r="L144">
        <v>367.17419999999998</v>
      </c>
      <c r="M144">
        <v>0.99991289999999999</v>
      </c>
      <c r="N144">
        <v>1.267703E-3</v>
      </c>
      <c r="O144">
        <v>1.313363E-2</v>
      </c>
      <c r="P144">
        <v>0.9994594</v>
      </c>
      <c r="Q144">
        <v>-2.136861E-2</v>
      </c>
      <c r="R144">
        <v>2.4982520000000001E-2</v>
      </c>
      <c r="S144">
        <v>3.0001530000000001</v>
      </c>
      <c r="T144">
        <v>-5.0526740000000001E-2</v>
      </c>
      <c r="U144">
        <v>1.318359E-2</v>
      </c>
      <c r="V144">
        <v>-1.185307E-2</v>
      </c>
      <c r="W144">
        <v>-2.2636369999999999E-2</v>
      </c>
      <c r="X144">
        <v>0.99967349999999999</v>
      </c>
      <c r="Y144">
        <v>8.7363300000000005E-3</v>
      </c>
      <c r="Z144">
        <v>-3.058367E-4</v>
      </c>
      <c r="AA144">
        <v>0.99996180000000001</v>
      </c>
      <c r="AB144">
        <v>15</v>
      </c>
      <c r="AC144">
        <v>66.358699999999999</v>
      </c>
      <c r="AD144">
        <v>-1.119565101376</v>
      </c>
      <c r="AE144">
        <v>0.29050000000000797</v>
      </c>
      <c r="AF144">
        <v>0.580891065237922</v>
      </c>
      <c r="AG144">
        <v>-1.119565101376</v>
      </c>
      <c r="AH144">
        <v>66.337909519325294</v>
      </c>
      <c r="AI144">
        <v>90.966834923597602</v>
      </c>
      <c r="AJ144">
        <v>89.498299599674795</v>
      </c>
      <c r="AK144">
        <v>66.349899019064694</v>
      </c>
      <c r="AL144">
        <v>91.297079247668407</v>
      </c>
      <c r="AM144">
        <v>90.679320860547605</v>
      </c>
      <c r="AN144">
        <v>1.00000000355872</v>
      </c>
    </row>
    <row r="145" spans="1:40" x14ac:dyDescent="0.25">
      <c r="A145" t="str">
        <f>"20190303153746392"</f>
        <v>20190303153746392</v>
      </c>
      <c r="B145" t="str">
        <f>"1551598666389068"</f>
        <v>1551598666389068</v>
      </c>
      <c r="C145" t="s">
        <v>40</v>
      </c>
      <c r="D145">
        <v>4.0388699999999904</v>
      </c>
      <c r="E145">
        <v>0.50731649999999995</v>
      </c>
      <c r="F145" t="s">
        <v>42</v>
      </c>
      <c r="G145">
        <v>-392.69110000000001</v>
      </c>
      <c r="H145" s="1">
        <v>-3.4772520000000001E-6</v>
      </c>
      <c r="I145">
        <v>367.58980000000003</v>
      </c>
      <c r="J145">
        <v>-464.67320000000001</v>
      </c>
      <c r="K145">
        <v>1.11955</v>
      </c>
      <c r="L145">
        <v>367.1755</v>
      </c>
      <c r="M145">
        <v>0.99991209999999997</v>
      </c>
      <c r="N145">
        <v>1.422963E-3</v>
      </c>
      <c r="O145">
        <v>1.318162E-2</v>
      </c>
      <c r="P145">
        <v>0.99945669999999998</v>
      </c>
      <c r="Q145">
        <v>-2.0543349999999998E-2</v>
      </c>
      <c r="R145">
        <v>2.5777769999999998E-2</v>
      </c>
      <c r="S145">
        <v>3.0001829999999998</v>
      </c>
      <c r="T145">
        <v>-4.6604510000000002E-2</v>
      </c>
      <c r="U145">
        <v>1.7303470000000001E-2</v>
      </c>
      <c r="V145">
        <v>-1.2600210000000001E-2</v>
      </c>
      <c r="W145">
        <v>-2.1966429999999999E-2</v>
      </c>
      <c r="X145">
        <v>0.99967930000000005</v>
      </c>
      <c r="Y145">
        <v>7.4118329999999996E-3</v>
      </c>
      <c r="Z145">
        <v>-2.7578720000000001E-4</v>
      </c>
      <c r="AA145">
        <v>0.99997250000000004</v>
      </c>
      <c r="AB145">
        <v>15</v>
      </c>
      <c r="AC145">
        <v>71.982100000000003</v>
      </c>
      <c r="AD145">
        <v>-1.1195534772519999</v>
      </c>
      <c r="AE145">
        <v>0.41430000000002498</v>
      </c>
      <c r="AF145">
        <v>0.53444837027954595</v>
      </c>
      <c r="AG145">
        <v>-1.1195534772519999</v>
      </c>
      <c r="AH145">
        <v>71.963899554857704</v>
      </c>
      <c r="AI145">
        <v>90.891262798625903</v>
      </c>
      <c r="AJ145">
        <v>89.574493972429295</v>
      </c>
      <c r="AK145">
        <v>71.974591865397699</v>
      </c>
      <c r="AL145">
        <v>91.258684973023506</v>
      </c>
      <c r="AM145">
        <v>90.722132214628502</v>
      </c>
      <c r="AN145">
        <v>0.99999999609373902</v>
      </c>
    </row>
    <row r="146" spans="1:40" x14ac:dyDescent="0.25">
      <c r="A146" t="str">
        <f>"20190303153746411"</f>
        <v>20190303153746411</v>
      </c>
      <c r="B146" t="str">
        <f>"1551598666409565"</f>
        <v>1551598666409565</v>
      </c>
      <c r="C146" t="s">
        <v>40</v>
      </c>
      <c r="D146">
        <v>4.0614650000000001</v>
      </c>
      <c r="E146">
        <v>0.50739809999999996</v>
      </c>
      <c r="F146" t="s">
        <v>42</v>
      </c>
      <c r="G146">
        <v>-387.51159999999999</v>
      </c>
      <c r="H146" s="1">
        <v>-1.3959390000000001E-6</v>
      </c>
      <c r="I146">
        <v>367.66520000000003</v>
      </c>
      <c r="J146">
        <v>-464.53789999999998</v>
      </c>
      <c r="K146">
        <v>1.11954</v>
      </c>
      <c r="L146">
        <v>367.1773</v>
      </c>
      <c r="M146">
        <v>0.99991090000000005</v>
      </c>
      <c r="N146">
        <v>1.6154839999999999E-3</v>
      </c>
      <c r="O146">
        <v>1.3254480000000001E-2</v>
      </c>
      <c r="P146">
        <v>0.99943769999999998</v>
      </c>
      <c r="Q146">
        <v>-1.9978360000000001E-2</v>
      </c>
      <c r="R146">
        <v>2.6932930000000001E-2</v>
      </c>
      <c r="S146">
        <v>3.0002439999999999</v>
      </c>
      <c r="T146">
        <v>-4.3531060000000003E-2</v>
      </c>
      <c r="U146">
        <v>1.9042969999999999E-2</v>
      </c>
      <c r="V146">
        <v>-1.3682389999999999E-2</v>
      </c>
      <c r="W146">
        <v>-2.1594039999999998E-2</v>
      </c>
      <c r="X146">
        <v>0.99967320000000004</v>
      </c>
      <c r="Y146">
        <v>6.9054030000000001E-3</v>
      </c>
      <c r="Z146">
        <v>-2.5821950000000002E-4</v>
      </c>
      <c r="AA146">
        <v>0.99997610000000003</v>
      </c>
      <c r="AB146">
        <v>16</v>
      </c>
      <c r="AC146">
        <v>77.026299999999907</v>
      </c>
      <c r="AD146">
        <v>-1.1195413959389999</v>
      </c>
      <c r="AE146">
        <v>0.48790000000002398</v>
      </c>
      <c r="AF146">
        <v>0.53297510605283704</v>
      </c>
      <c r="AG146">
        <v>-1.1195413959389999</v>
      </c>
      <c r="AH146">
        <v>77.009732656603504</v>
      </c>
      <c r="AI146">
        <v>90.832868010477796</v>
      </c>
      <c r="AJ146">
        <v>89.603469125787697</v>
      </c>
      <c r="AK146">
        <v>77.019714094785101</v>
      </c>
      <c r="AL146">
        <v>91.237343519471196</v>
      </c>
      <c r="AM146">
        <v>90.784150514458702</v>
      </c>
      <c r="AN146">
        <v>1.00000000857893</v>
      </c>
    </row>
    <row r="147" spans="1:40" x14ac:dyDescent="0.25">
      <c r="A147" t="str">
        <f>"20190303153746424"</f>
        <v>20190303153746424</v>
      </c>
      <c r="B147" t="str">
        <f>"1551598666419323"</f>
        <v>1551598666419323</v>
      </c>
      <c r="C147" t="s">
        <v>40</v>
      </c>
      <c r="D147">
        <v>4.0911619999999997</v>
      </c>
      <c r="E147">
        <v>0.50737460000000001</v>
      </c>
      <c r="F147" t="s">
        <v>42</v>
      </c>
      <c r="G147">
        <v>-382.49869999999999</v>
      </c>
      <c r="H147" s="1">
        <v>-3.5259410000000001E-6</v>
      </c>
      <c r="I147">
        <v>367.78059999999999</v>
      </c>
      <c r="J147">
        <v>-464.44709999999998</v>
      </c>
      <c r="K147">
        <v>1.119537</v>
      </c>
      <c r="L147">
        <v>367.17860000000002</v>
      </c>
      <c r="M147">
        <v>0.99991010000000002</v>
      </c>
      <c r="N147">
        <v>1.7127760000000001E-3</v>
      </c>
      <c r="O147">
        <v>1.33037999999999E-2</v>
      </c>
      <c r="P147">
        <v>0.99942140000000002</v>
      </c>
      <c r="Q147">
        <v>-1.9917939999999999E-2</v>
      </c>
      <c r="R147">
        <v>2.7578709999999999E-2</v>
      </c>
      <c r="S147">
        <v>3.0002439999999999</v>
      </c>
      <c r="T147">
        <v>-4.094267E-2</v>
      </c>
      <c r="U147">
        <v>2.2064210000000001E-2</v>
      </c>
      <c r="V147">
        <v>-1.4279180000000001E-2</v>
      </c>
      <c r="W147">
        <v>-2.1630980000000001E-2</v>
      </c>
      <c r="X147">
        <v>0.99966410000000006</v>
      </c>
      <c r="Y147">
        <v>5.9481169999999898E-3</v>
      </c>
      <c r="Z147">
        <v>-2.398069E-4</v>
      </c>
      <c r="AA147">
        <v>0.99998229999999999</v>
      </c>
      <c r="AB147">
        <v>16</v>
      </c>
      <c r="AC147">
        <v>81.948399999999907</v>
      </c>
      <c r="AD147">
        <v>-1.1195405259410001</v>
      </c>
      <c r="AE147">
        <v>0.601999999999975</v>
      </c>
      <c r="AF147">
        <v>0.48818881813735998</v>
      </c>
      <c r="AG147">
        <v>-1.1195405259410001</v>
      </c>
      <c r="AH147">
        <v>81.9338653904761</v>
      </c>
      <c r="AI147">
        <v>90.782824255353603</v>
      </c>
      <c r="AJ147">
        <v>89.658617010794003</v>
      </c>
      <c r="AK147">
        <v>81.942967954157197</v>
      </c>
      <c r="AL147">
        <v>91.239460464279901</v>
      </c>
      <c r="AM147">
        <v>90.818355999465297</v>
      </c>
      <c r="AN147">
        <v>1.00000005355302</v>
      </c>
    </row>
    <row r="148" spans="1:40" x14ac:dyDescent="0.25">
      <c r="A148" t="str">
        <f>"20190303153746437"</f>
        <v>20190303153746437</v>
      </c>
      <c r="B148" t="str">
        <f>"1551598666429084"</f>
        <v>1551598666429084</v>
      </c>
      <c r="C148" t="s">
        <v>40</v>
      </c>
      <c r="D148">
        <v>4.0067360000000001</v>
      </c>
      <c r="E148">
        <v>0.50742129999999996</v>
      </c>
      <c r="F148" t="s">
        <v>42</v>
      </c>
      <c r="G148">
        <v>-383.85320000000002</v>
      </c>
      <c r="H148" s="1">
        <v>-2.9367889999999999E-6</v>
      </c>
      <c r="I148">
        <v>367.82619999999997</v>
      </c>
      <c r="J148">
        <v>-464.35390000000001</v>
      </c>
      <c r="K148">
        <v>1.1195389999999901</v>
      </c>
      <c r="L148">
        <v>367.17989999999998</v>
      </c>
      <c r="M148">
        <v>0.9999093</v>
      </c>
      <c r="N148">
        <v>1.7814549999999999E-3</v>
      </c>
      <c r="O148">
        <v>1.335511E-2</v>
      </c>
      <c r="P148">
        <v>0.99939920000000004</v>
      </c>
      <c r="Q148">
        <v>-2.015492E-2</v>
      </c>
      <c r="R148">
        <v>2.820077E-2</v>
      </c>
      <c r="S148">
        <v>3.0002439999999999</v>
      </c>
      <c r="T148">
        <v>-4.167676E-2</v>
      </c>
      <c r="U148">
        <v>2.4108890000000001E-2</v>
      </c>
      <c r="V148">
        <v>-1.485014E-2</v>
      </c>
      <c r="W148">
        <v>-2.1936710000000002E-2</v>
      </c>
      <c r="X148">
        <v>0.99964900000000001</v>
      </c>
      <c r="Y148">
        <v>5.3179459999999996E-3</v>
      </c>
      <c r="Z148">
        <v>-2.4148630000000001E-4</v>
      </c>
      <c r="AA148">
        <v>0.99998580000000004</v>
      </c>
      <c r="AB148">
        <v>16</v>
      </c>
      <c r="AC148">
        <v>80.500699999999995</v>
      </c>
      <c r="AD148">
        <v>-1.1195419367889901</v>
      </c>
      <c r="AE148">
        <v>0.64629999999999599</v>
      </c>
      <c r="AF148">
        <v>0.42877204937207603</v>
      </c>
      <c r="AG148">
        <v>-1.1195419367889901</v>
      </c>
      <c r="AH148">
        <v>80.486586071396502</v>
      </c>
      <c r="AI148">
        <v>90.796902746950195</v>
      </c>
      <c r="AJ148">
        <v>89.694774028735395</v>
      </c>
      <c r="AK148">
        <v>80.4955138939238</v>
      </c>
      <c r="AL148">
        <v>91.256981809397502</v>
      </c>
      <c r="AM148">
        <v>90.851086497834203</v>
      </c>
      <c r="AN148">
        <v>0.99999993455231895</v>
      </c>
    </row>
    <row r="149" spans="1:40" x14ac:dyDescent="0.25">
      <c r="A149" t="str">
        <f>"20190303153746449"</f>
        <v>20190303153746449</v>
      </c>
      <c r="B149" t="str">
        <f>"1551598666438845"</f>
        <v>1551598666438845</v>
      </c>
      <c r="C149" t="s">
        <v>40</v>
      </c>
      <c r="D149">
        <v>4.0491999999999999</v>
      </c>
      <c r="E149">
        <v>0.50747699999999996</v>
      </c>
      <c r="F149" t="s">
        <v>42</v>
      </c>
      <c r="G149">
        <v>-384.52569999999997</v>
      </c>
      <c r="H149" s="1">
        <v>-2.6423819999999998E-6</v>
      </c>
      <c r="I149">
        <v>367.85950000000003</v>
      </c>
      <c r="J149">
        <v>-464.26229999999998</v>
      </c>
      <c r="K149">
        <v>1.1195520000000001</v>
      </c>
      <c r="L149">
        <v>367.18119999999999</v>
      </c>
      <c r="M149">
        <v>0.99990849999999998</v>
      </c>
      <c r="N149">
        <v>1.8273370000000001E-3</v>
      </c>
      <c r="O149">
        <v>1.340614E-2</v>
      </c>
      <c r="P149">
        <v>0.99937989999999999</v>
      </c>
      <c r="Q149">
        <v>-2.0311650000000001E-2</v>
      </c>
      <c r="R149">
        <v>2.8762800000000002E-2</v>
      </c>
      <c r="S149">
        <v>3.0002439999999999</v>
      </c>
      <c r="T149">
        <v>-4.2076589999999997E-2</v>
      </c>
      <c r="U149">
        <v>2.554321E-2</v>
      </c>
      <c r="V149">
        <v>-1.5361059999999999E-2</v>
      </c>
      <c r="W149">
        <v>-2.2139410000000002E-2</v>
      </c>
      <c r="X149">
        <v>0.99963690000000005</v>
      </c>
      <c r="Y149">
        <v>4.8909399999999999E-3</v>
      </c>
      <c r="Z149">
        <v>-2.42315E-4</v>
      </c>
      <c r="AA149">
        <v>0.99998799999999999</v>
      </c>
      <c r="AB149">
        <v>16</v>
      </c>
      <c r="AC149">
        <v>79.736599999999996</v>
      </c>
      <c r="AD149">
        <v>-1.119554642382</v>
      </c>
      <c r="AE149">
        <v>0.67830000000003499</v>
      </c>
      <c r="AF149">
        <v>0.39064571903001499</v>
      </c>
      <c r="AG149">
        <v>-1.119554642382</v>
      </c>
      <c r="AH149">
        <v>79.722812307502593</v>
      </c>
      <c r="AI149">
        <v>90.8045472553205</v>
      </c>
      <c r="AJ149">
        <v>89.719250096641105</v>
      </c>
      <c r="AK149">
        <v>79.731629914936306</v>
      </c>
      <c r="AL149">
        <v>91.268598372836294</v>
      </c>
      <c r="AM149">
        <v>90.880374304957897</v>
      </c>
      <c r="AN149">
        <v>1.00000002374054</v>
      </c>
    </row>
    <row r="150" spans="1:40" x14ac:dyDescent="0.25">
      <c r="A150" t="str">
        <f>"20190303153746468"</f>
        <v>20190303153746468</v>
      </c>
      <c r="B150" t="str">
        <f>"1551598666459343"</f>
        <v>1551598666459343</v>
      </c>
      <c r="C150" t="s">
        <v>40</v>
      </c>
      <c r="D150">
        <v>4.0437310000000002</v>
      </c>
      <c r="E150">
        <v>0.50755729999999999</v>
      </c>
      <c r="F150" t="s">
        <v>42</v>
      </c>
      <c r="G150">
        <v>-384.57459999999998</v>
      </c>
      <c r="H150" s="1">
        <v>-2.6140459999999999E-6</v>
      </c>
      <c r="I150">
        <v>367.90089999999998</v>
      </c>
      <c r="J150">
        <v>-464.1216</v>
      </c>
      <c r="K150">
        <v>1.119588</v>
      </c>
      <c r="L150">
        <v>367.18310000000002</v>
      </c>
      <c r="M150">
        <v>0.99990760000000001</v>
      </c>
      <c r="N150">
        <v>1.7875320000000001E-3</v>
      </c>
      <c r="O150">
        <v>1.348658E-2</v>
      </c>
      <c r="P150">
        <v>0.99933050000000001</v>
      </c>
      <c r="Q150">
        <v>-2.1395839999999999E-2</v>
      </c>
      <c r="R150">
        <v>2.967883E-2</v>
      </c>
      <c r="S150">
        <v>3.0001829999999998</v>
      </c>
      <c r="T150">
        <v>-4.2150380000000001E-2</v>
      </c>
      <c r="U150">
        <v>2.709961E-2</v>
      </c>
      <c r="V150">
        <v>-1.6196740000000001E-2</v>
      </c>
      <c r="W150">
        <v>-2.318394E-2</v>
      </c>
      <c r="X150">
        <v>0.99960000000000004</v>
      </c>
      <c r="Y150">
        <v>4.452513E-3</v>
      </c>
      <c r="Z150">
        <v>-2.4085830000000001E-4</v>
      </c>
      <c r="AA150">
        <v>0.99999000000000005</v>
      </c>
      <c r="AB150">
        <v>16</v>
      </c>
      <c r="AC150">
        <v>79.546999999999997</v>
      </c>
      <c r="AD150">
        <v>-1.1195906140459999</v>
      </c>
      <c r="AE150">
        <v>0.71779999999995403</v>
      </c>
      <c r="AF150">
        <v>0.35501349924714998</v>
      </c>
      <c r="AG150">
        <v>-1.1195906140459999</v>
      </c>
      <c r="AH150">
        <v>79.533692166487796</v>
      </c>
      <c r="AI150">
        <v>90.8064876610661</v>
      </c>
      <c r="AJ150">
        <v>89.744251278529802</v>
      </c>
      <c r="AK150">
        <v>79.542364230398206</v>
      </c>
      <c r="AL150">
        <v>91.328460946483403</v>
      </c>
      <c r="AM150">
        <v>90.928294960493702</v>
      </c>
      <c r="AN150">
        <v>0.99999999473027501</v>
      </c>
    </row>
    <row r="151" spans="1:40" x14ac:dyDescent="0.25">
      <c r="A151" t="str">
        <f>"20190303153746482"</f>
        <v>20190303153746482</v>
      </c>
      <c r="B151" t="str">
        <f>"1551598666479368"</f>
        <v>1551598666479368</v>
      </c>
      <c r="C151" t="s">
        <v>40</v>
      </c>
      <c r="D151">
        <v>3.9773420000000002</v>
      </c>
      <c r="E151">
        <v>0.50767359999999995</v>
      </c>
      <c r="F151" t="s">
        <v>42</v>
      </c>
      <c r="G151">
        <v>-389.31130000000002</v>
      </c>
      <c r="H151" s="1">
        <v>-6.7550370000000001E-7</v>
      </c>
      <c r="I151">
        <v>367.90600000000001</v>
      </c>
      <c r="J151">
        <v>-464.02519999999998</v>
      </c>
      <c r="K151">
        <v>1.1196330000000001</v>
      </c>
      <c r="L151">
        <v>367.18450000000001</v>
      </c>
      <c r="M151">
        <v>0.99990699999999999</v>
      </c>
      <c r="N151">
        <v>1.647269E-3</v>
      </c>
      <c r="O151">
        <v>1.3541600000000001E-2</v>
      </c>
      <c r="P151">
        <v>0.99931139999999996</v>
      </c>
      <c r="Q151">
        <v>-2.2052510000000001E-2</v>
      </c>
      <c r="R151">
        <v>2.9847450000000001E-2</v>
      </c>
      <c r="S151">
        <v>3.0001829999999998</v>
      </c>
      <c r="T151">
        <v>-4.489982E-2</v>
      </c>
      <c r="U151">
        <v>2.8991699999999999E-2</v>
      </c>
      <c r="V151">
        <v>-1.6310459999999999E-2</v>
      </c>
      <c r="W151">
        <v>-2.3700490000000001E-2</v>
      </c>
      <c r="X151">
        <v>0.99958599999999997</v>
      </c>
      <c r="Y151">
        <v>3.876755E-3</v>
      </c>
      <c r="Z151">
        <v>-2.5075459999999999E-4</v>
      </c>
      <c r="AA151">
        <v>0.9999924</v>
      </c>
      <c r="AB151">
        <v>16</v>
      </c>
      <c r="AC151">
        <v>74.713899999999896</v>
      </c>
      <c r="AD151">
        <v>-1.1196336755037</v>
      </c>
      <c r="AE151">
        <v>0.72149999999999104</v>
      </c>
      <c r="AF151">
        <v>0.29024805300094098</v>
      </c>
      <c r="AG151">
        <v>-1.1196336755037</v>
      </c>
      <c r="AH151">
        <v>74.700045894266395</v>
      </c>
      <c r="AI151">
        <v>90.858700903418693</v>
      </c>
      <c r="AJ151">
        <v>89.777377583083506</v>
      </c>
      <c r="AK151">
        <v>74.708999994010796</v>
      </c>
      <c r="AL151">
        <v>91.3580652673987</v>
      </c>
      <c r="AM151">
        <v>90.934824611384698</v>
      </c>
      <c r="AN151">
        <v>0.99999995786382401</v>
      </c>
    </row>
    <row r="152" spans="1:40" x14ac:dyDescent="0.25">
      <c r="A152" t="str">
        <f>"20190303153746496"</f>
        <v>20190303153746496</v>
      </c>
      <c r="B152" t="str">
        <f>"1551598666489128"</f>
        <v>1551598666489128</v>
      </c>
      <c r="C152" t="s">
        <v>40</v>
      </c>
      <c r="D152">
        <v>4.006621</v>
      </c>
      <c r="E152">
        <v>0.50767359999999995</v>
      </c>
      <c r="F152" t="s">
        <v>42</v>
      </c>
      <c r="G152">
        <v>-391.81490000000002</v>
      </c>
      <c r="H152" s="1">
        <v>-3.8028569999999999E-6</v>
      </c>
      <c r="I152">
        <v>367.8734</v>
      </c>
      <c r="J152">
        <v>-463.91629999999998</v>
      </c>
      <c r="K152">
        <v>1.119702</v>
      </c>
      <c r="L152">
        <v>367.18599999999998</v>
      </c>
      <c r="M152">
        <v>0.99990650000000003</v>
      </c>
      <c r="N152">
        <v>1.398179E-3</v>
      </c>
      <c r="O152">
        <v>1.3605269999999999E-2</v>
      </c>
      <c r="P152">
        <v>0.99929690000000004</v>
      </c>
      <c r="Q152">
        <v>-2.2585839999999999E-2</v>
      </c>
      <c r="R152">
        <v>2.9927550000000001E-2</v>
      </c>
      <c r="S152">
        <v>3.0001829999999998</v>
      </c>
      <c r="T152">
        <v>-4.6518450000000003E-2</v>
      </c>
      <c r="U152">
        <v>2.862549E-2</v>
      </c>
      <c r="V152">
        <v>-1.6326549999999999E-2</v>
      </c>
      <c r="W152">
        <v>-2.3984950000000001E-2</v>
      </c>
      <c r="X152">
        <v>0.999579</v>
      </c>
      <c r="Y152">
        <v>4.0623489999999998E-3</v>
      </c>
      <c r="Z152">
        <v>-2.5859940000000001E-4</v>
      </c>
      <c r="AA152">
        <v>0.99999170000000004</v>
      </c>
      <c r="AB152">
        <v>17</v>
      </c>
      <c r="AC152">
        <v>72.101399999999899</v>
      </c>
      <c r="AD152">
        <v>-1.1197058028569999</v>
      </c>
      <c r="AE152">
        <v>0.68740000000002499</v>
      </c>
      <c r="AF152">
        <v>0.293552774213509</v>
      </c>
      <c r="AG152">
        <v>-1.1197058028569999</v>
      </c>
      <c r="AH152">
        <v>72.086695388491606</v>
      </c>
      <c r="AI152">
        <v>90.889883021498903</v>
      </c>
      <c r="AJ152">
        <v>89.766680356678805</v>
      </c>
      <c r="AK152">
        <v>72.095988559346196</v>
      </c>
      <c r="AL152">
        <v>91.374368194474201</v>
      </c>
      <c r="AM152">
        <v>90.935753188384396</v>
      </c>
      <c r="AN152">
        <v>1.0000000056512</v>
      </c>
    </row>
    <row r="153" spans="1:40" x14ac:dyDescent="0.25">
      <c r="A153" t="str">
        <f>"20190303153746514"</f>
        <v>20190303153746514</v>
      </c>
      <c r="B153" t="str">
        <f>"1551598666509624"</f>
        <v>1551598666509624</v>
      </c>
      <c r="C153" t="s">
        <v>40</v>
      </c>
      <c r="D153">
        <v>3.9619179999999998</v>
      </c>
      <c r="E153">
        <v>0.5222656</v>
      </c>
      <c r="F153" t="s">
        <v>42</v>
      </c>
      <c r="G153">
        <v>-394.13920000000002</v>
      </c>
      <c r="H153" s="1">
        <v>-2.808948E-6</v>
      </c>
      <c r="I153">
        <v>367.8553</v>
      </c>
      <c r="J153">
        <v>-463.78660000000002</v>
      </c>
      <c r="K153">
        <v>1.11982</v>
      </c>
      <c r="L153">
        <v>367.18790000000001</v>
      </c>
      <c r="M153">
        <v>0.99990610000000002</v>
      </c>
      <c r="N153">
        <v>9.4256630000000004E-4</v>
      </c>
      <c r="O153">
        <v>1.368406E-2</v>
      </c>
      <c r="P153">
        <v>0.99925439999999999</v>
      </c>
      <c r="Q153">
        <v>-2.3912579999999999E-2</v>
      </c>
      <c r="R153">
        <v>3.031559E-2</v>
      </c>
      <c r="S153">
        <v>3.0001530000000001</v>
      </c>
      <c r="T153">
        <v>-4.8143030000000003E-2</v>
      </c>
      <c r="U153">
        <v>2.8778080000000001E-2</v>
      </c>
      <c r="V153">
        <v>-1.663601E-2</v>
      </c>
      <c r="W153">
        <v>-2.4856409999999999E-2</v>
      </c>
      <c r="X153">
        <v>0.99955260000000001</v>
      </c>
      <c r="Y153">
        <v>4.090097E-3</v>
      </c>
      <c r="Z153">
        <v>-2.6334170000000002E-4</v>
      </c>
      <c r="AA153">
        <v>0.99999159999999998</v>
      </c>
      <c r="AB153">
        <v>17</v>
      </c>
      <c r="AC153">
        <v>69.647400000000005</v>
      </c>
      <c r="AD153">
        <v>-1.119822808948</v>
      </c>
      <c r="AE153">
        <v>0.667399999999986</v>
      </c>
      <c r="AF153">
        <v>0.285648108058492</v>
      </c>
      <c r="AG153">
        <v>-1.119822808948</v>
      </c>
      <c r="AH153">
        <v>69.632012182255806</v>
      </c>
      <c r="AI153">
        <v>90.921344199725297</v>
      </c>
      <c r="AJ153">
        <v>89.764959553827495</v>
      </c>
      <c r="AK153">
        <v>69.641601923813397</v>
      </c>
      <c r="AL153">
        <v>91.424314080507202</v>
      </c>
      <c r="AM153">
        <v>90.953511765597597</v>
      </c>
      <c r="AN153">
        <v>0.99999999905678405</v>
      </c>
    </row>
    <row r="154" spans="1:40" x14ac:dyDescent="0.25">
      <c r="A154" t="str">
        <f>"20190303153746530"</f>
        <v>20190303153746530</v>
      </c>
      <c r="B154" t="str">
        <f>"1551598666519384"</f>
        <v>1551598666519384</v>
      </c>
      <c r="C154" t="s">
        <v>40</v>
      </c>
      <c r="D154">
        <v>3.973487</v>
      </c>
      <c r="E154">
        <v>0.52267779999999997</v>
      </c>
      <c r="F154" t="s">
        <v>41</v>
      </c>
      <c r="G154">
        <v>-158.19499999999999</v>
      </c>
      <c r="H154">
        <v>5.6192390000000003</v>
      </c>
      <c r="I154">
        <v>358.53179999999998</v>
      </c>
      <c r="J154">
        <v>-463.66379999999998</v>
      </c>
      <c r="K154">
        <v>1.1199509999999999</v>
      </c>
      <c r="L154">
        <v>367.18959999999998</v>
      </c>
      <c r="M154">
        <v>0.9999053</v>
      </c>
      <c r="N154">
        <v>3.650312E-4</v>
      </c>
      <c r="O154">
        <v>1.3762659999999999E-2</v>
      </c>
      <c r="P154">
        <v>0.99922549999999999</v>
      </c>
      <c r="Q154">
        <v>-2.479783E-2</v>
      </c>
      <c r="R154">
        <v>3.0553460000000001E-2</v>
      </c>
      <c r="S154">
        <v>3.00589</v>
      </c>
      <c r="T154">
        <v>4.4258480000000003E-2</v>
      </c>
      <c r="U154">
        <v>-8.5144040000000004E-2</v>
      </c>
      <c r="V154">
        <v>-1.679603E-2</v>
      </c>
      <c r="W154">
        <v>-2.5164550000000001E-2</v>
      </c>
      <c r="X154">
        <v>0.99954219999999905</v>
      </c>
      <c r="Y154">
        <v>4.2062759999999998E-2</v>
      </c>
      <c r="Z154">
        <v>5.1483589999999895E-4</v>
      </c>
      <c r="AA154">
        <v>0.99911479999999997</v>
      </c>
      <c r="AB154">
        <v>17</v>
      </c>
      <c r="AC154">
        <v>305.46879999999999</v>
      </c>
      <c r="AD154">
        <v>4.499288</v>
      </c>
      <c r="AE154">
        <v>-8.6577999999999999</v>
      </c>
      <c r="AF154">
        <v>12.8582558917836</v>
      </c>
      <c r="AG154">
        <v>4.499288</v>
      </c>
      <c r="AH154">
        <v>305.25454379202</v>
      </c>
      <c r="AI154">
        <v>89.156300207268401</v>
      </c>
      <c r="AJ154">
        <v>87.587952294499601</v>
      </c>
      <c r="AK154">
        <v>305.55836568937201</v>
      </c>
      <c r="AL154">
        <v>91.441974746247396</v>
      </c>
      <c r="AM154">
        <v>90.962691789989194</v>
      </c>
      <c r="AN154">
        <v>0.99999998539065105</v>
      </c>
    </row>
    <row r="155" spans="1:40" x14ac:dyDescent="0.25">
      <c r="A155" t="str">
        <f>"20190303153746546"</f>
        <v>20190303153746546</v>
      </c>
      <c r="B155" t="str">
        <f>"1551598666538904"</f>
        <v>1551598666538904</v>
      </c>
      <c r="C155" t="s">
        <v>40</v>
      </c>
      <c r="D155">
        <v>3.9510839999999998</v>
      </c>
      <c r="E155">
        <v>0.52306059999999999</v>
      </c>
      <c r="F155" t="s">
        <v>41</v>
      </c>
      <c r="G155">
        <v>-158.19499999999999</v>
      </c>
      <c r="H155">
        <v>6.0061460000000002</v>
      </c>
      <c r="I155">
        <v>358.2774</v>
      </c>
      <c r="J155">
        <v>-463.53480000000002</v>
      </c>
      <c r="K155">
        <v>1.1200889999999999</v>
      </c>
      <c r="L155">
        <v>367.19150000000002</v>
      </c>
      <c r="M155">
        <v>0.99990409999999996</v>
      </c>
      <c r="N155">
        <v>-3.5856809999999898E-4</v>
      </c>
      <c r="O155">
        <v>1.385222E-2</v>
      </c>
      <c r="P155">
        <v>0.99917080000000003</v>
      </c>
      <c r="Q155">
        <v>-2.6457209999999998E-2</v>
      </c>
      <c r="R155">
        <v>3.094945E-2</v>
      </c>
      <c r="S155">
        <v>3.006195</v>
      </c>
      <c r="T155">
        <v>4.8087119999999997E-2</v>
      </c>
      <c r="U155">
        <v>-8.7707519999999997E-2</v>
      </c>
      <c r="V155">
        <v>-1.7102559999999999E-2</v>
      </c>
      <c r="W155">
        <v>-2.6100870000000002E-2</v>
      </c>
      <c r="X155">
        <v>0.99951299999999998</v>
      </c>
      <c r="Y155">
        <v>4.2999490000000001E-2</v>
      </c>
      <c r="Z155">
        <v>5.6259400000000003E-4</v>
      </c>
      <c r="AA155">
        <v>0.99907489999999999</v>
      </c>
      <c r="AB155">
        <v>17</v>
      </c>
      <c r="AC155">
        <v>305.33980000000003</v>
      </c>
      <c r="AD155">
        <v>4.8860570000000001</v>
      </c>
      <c r="AE155">
        <v>-8.9141000000000101</v>
      </c>
      <c r="AF155">
        <v>13.139516904468</v>
      </c>
      <c r="AG155">
        <v>4.8860570000000001</v>
      </c>
      <c r="AH155">
        <v>305.10896242167399</v>
      </c>
      <c r="AI155">
        <v>89.083385344053994</v>
      </c>
      <c r="AJ155">
        <v>87.534081033888697</v>
      </c>
      <c r="AK155">
        <v>305.43084226633101</v>
      </c>
      <c r="AL155">
        <v>91.495639551539696</v>
      </c>
      <c r="AM155">
        <v>90.980286290072996</v>
      </c>
      <c r="AN155">
        <v>0.999999995071155</v>
      </c>
    </row>
    <row r="156" spans="1:40" x14ac:dyDescent="0.25">
      <c r="A156" t="str">
        <f>"20190303153746560"</f>
        <v>20190303153746560</v>
      </c>
      <c r="B156" t="str">
        <f>"1551598666549640"</f>
        <v>1551598666549640</v>
      </c>
      <c r="C156" t="s">
        <v>40</v>
      </c>
      <c r="D156">
        <v>3.9532660000000002</v>
      </c>
      <c r="E156">
        <v>0.52330310000000002</v>
      </c>
      <c r="F156" t="s">
        <v>41</v>
      </c>
      <c r="G156">
        <v>-158.19499999999999</v>
      </c>
      <c r="H156">
        <v>5.9083709999999998</v>
      </c>
      <c r="I156">
        <v>358.11349999999999</v>
      </c>
      <c r="J156">
        <v>-463.43880000000001</v>
      </c>
      <c r="K156">
        <v>1.120188</v>
      </c>
      <c r="L156">
        <v>367.19299999999998</v>
      </c>
      <c r="M156">
        <v>0.99990270000000003</v>
      </c>
      <c r="N156">
        <v>-9.2639169999999996E-4</v>
      </c>
      <c r="O156">
        <v>1.3925750000000001E-2</v>
      </c>
      <c r="P156">
        <v>0.99912900000000004</v>
      </c>
      <c r="Q156">
        <v>-2.7873479999999999E-2</v>
      </c>
      <c r="R156">
        <v>3.1058450000000001E-2</v>
      </c>
      <c r="S156">
        <v>3.0065</v>
      </c>
      <c r="T156">
        <v>4.7148229999999999E-2</v>
      </c>
      <c r="U156">
        <v>-8.9385989999999999E-2</v>
      </c>
      <c r="V156">
        <v>-1.713839E-2</v>
      </c>
      <c r="W156">
        <v>-2.6949770000000001E-2</v>
      </c>
      <c r="X156">
        <v>0.99948979999999998</v>
      </c>
      <c r="Y156">
        <v>4.3627550000000001E-2</v>
      </c>
      <c r="Z156">
        <v>5.5300140000000004E-4</v>
      </c>
      <c r="AA156">
        <v>0.99904769999999998</v>
      </c>
      <c r="AB156">
        <v>17</v>
      </c>
      <c r="AC156">
        <v>305.24380000000002</v>
      </c>
      <c r="AD156">
        <v>4.7881830000000001</v>
      </c>
      <c r="AE156">
        <v>-9.0795000000000492</v>
      </c>
      <c r="AF156">
        <v>13.3260936670051</v>
      </c>
      <c r="AG156">
        <v>4.7881830000000001</v>
      </c>
      <c r="AH156">
        <v>305.01277595729499</v>
      </c>
      <c r="AI156">
        <v>89.101484374647697</v>
      </c>
      <c r="AJ156">
        <v>87.498322293423001</v>
      </c>
      <c r="AK156">
        <v>305.34129259901698</v>
      </c>
      <c r="AL156">
        <v>91.544295149380901</v>
      </c>
      <c r="AM156">
        <v>90.982362393117299</v>
      </c>
      <c r="AN156">
        <v>0.99999993740944004</v>
      </c>
    </row>
    <row r="157" spans="1:40" x14ac:dyDescent="0.25">
      <c r="A157" t="str">
        <f>"20190303153746580"</f>
        <v>20190303153746580</v>
      </c>
      <c r="B157" t="str">
        <f>"1551598666569163"</f>
        <v>1551598666569163</v>
      </c>
      <c r="C157" t="s">
        <v>40</v>
      </c>
      <c r="D157">
        <v>3.9491700000000001</v>
      </c>
      <c r="E157">
        <v>0.52370119999999998</v>
      </c>
      <c r="F157" t="s">
        <v>41</v>
      </c>
      <c r="G157">
        <v>-158.19499999999999</v>
      </c>
      <c r="H157">
        <v>5.709695</v>
      </c>
      <c r="I157">
        <v>357.97269999999997</v>
      </c>
      <c r="J157">
        <v>-463.28629999999998</v>
      </c>
      <c r="K157">
        <v>1.120339</v>
      </c>
      <c r="L157">
        <v>367.1952</v>
      </c>
      <c r="M157">
        <v>0.9998996</v>
      </c>
      <c r="N157">
        <v>-1.860659E-3</v>
      </c>
      <c r="O157">
        <v>1.405021E-2</v>
      </c>
      <c r="P157">
        <v>0.99904789999999999</v>
      </c>
      <c r="Q157">
        <v>-3.0399519999999999E-2</v>
      </c>
      <c r="R157">
        <v>3.1295969999999999E-2</v>
      </c>
      <c r="S157">
        <v>3.0066830000000002</v>
      </c>
      <c r="T157">
        <v>4.5207980000000002E-2</v>
      </c>
      <c r="U157">
        <v>-9.0820310000000001E-2</v>
      </c>
      <c r="V157">
        <v>-1.7252010000000002E-2</v>
      </c>
      <c r="W157">
        <v>-2.8542350000000001E-2</v>
      </c>
      <c r="X157">
        <v>0.99944370000000005</v>
      </c>
      <c r="Y157">
        <v>4.4226849999999998E-2</v>
      </c>
      <c r="Z157">
        <v>5.2857900000000005E-4</v>
      </c>
      <c r="AA157">
        <v>0.99902139999999995</v>
      </c>
      <c r="AB157">
        <v>17</v>
      </c>
      <c r="AC157">
        <v>305.09129999999999</v>
      </c>
      <c r="AD157">
        <v>4.5893559999999898</v>
      </c>
      <c r="AE157">
        <v>-9.2225000000000197</v>
      </c>
      <c r="AF157">
        <v>13.5051405972912</v>
      </c>
      <c r="AG157">
        <v>4.5893559999999898</v>
      </c>
      <c r="AH157">
        <v>304.86268535657098</v>
      </c>
      <c r="AI157">
        <v>89.1383881643916</v>
      </c>
      <c r="AJ157">
        <v>87.463507252571603</v>
      </c>
      <c r="AK157">
        <v>305.19617942213301</v>
      </c>
      <c r="AL157">
        <v>91.635578312827306</v>
      </c>
      <c r="AM157">
        <v>90.988919338837604</v>
      </c>
      <c r="AN157">
        <v>1.0000000035311201</v>
      </c>
    </row>
    <row r="158" spans="1:40" x14ac:dyDescent="0.25">
      <c r="A158" t="str">
        <f>"20190303153746593"</f>
        <v>20190303153746593</v>
      </c>
      <c r="B158" t="str">
        <f>"1551598666588679"</f>
        <v>1551598666588679</v>
      </c>
      <c r="C158" t="s">
        <v>40</v>
      </c>
      <c r="D158">
        <v>3.970313</v>
      </c>
      <c r="E158">
        <v>0.52398180000000005</v>
      </c>
      <c r="F158" t="s">
        <v>41</v>
      </c>
      <c r="G158">
        <v>-158.19499999999999</v>
      </c>
      <c r="H158">
        <v>5.3434080000000002</v>
      </c>
      <c r="I158">
        <v>357.73289999999997</v>
      </c>
      <c r="J158">
        <v>-463.1891</v>
      </c>
      <c r="K158">
        <v>1.1204339999999999</v>
      </c>
      <c r="L158">
        <v>367.19670000000002</v>
      </c>
      <c r="M158">
        <v>0.99989709999999998</v>
      </c>
      <c r="N158">
        <v>-2.4814289999999998E-3</v>
      </c>
      <c r="O158">
        <v>1.413326E-2</v>
      </c>
      <c r="P158">
        <v>0.99901519999999999</v>
      </c>
      <c r="Q158">
        <v>-3.1141640000000002E-2</v>
      </c>
      <c r="R158">
        <v>3.1607080000000003E-2</v>
      </c>
      <c r="S158">
        <v>3.0070190000000001</v>
      </c>
      <c r="T158">
        <v>4.162395E-2</v>
      </c>
      <c r="U158">
        <v>-9.3261720000000006E-2</v>
      </c>
      <c r="V158">
        <v>-1.7480229999999999E-2</v>
      </c>
      <c r="W158">
        <v>-2.8664249999999999E-2</v>
      </c>
      <c r="X158">
        <v>0.99943630000000006</v>
      </c>
      <c r="Y158">
        <v>4.511776E-2</v>
      </c>
      <c r="Z158">
        <v>4.8682700000000001E-4</v>
      </c>
      <c r="AA158">
        <v>0.99898149999999997</v>
      </c>
      <c r="AB158">
        <v>17</v>
      </c>
      <c r="AC158">
        <v>304.9941</v>
      </c>
      <c r="AD158">
        <v>4.2229739999999998</v>
      </c>
      <c r="AE158">
        <v>-9.46380000000004</v>
      </c>
      <c r="AF158">
        <v>13.770791172475899</v>
      </c>
      <c r="AG158">
        <v>4.2229739999999998</v>
      </c>
      <c r="AH158">
        <v>304.77150962851698</v>
      </c>
      <c r="AI158">
        <v>89.206958226454503</v>
      </c>
      <c r="AJ158">
        <v>87.412908023887297</v>
      </c>
      <c r="AK158">
        <v>305.11168656766603</v>
      </c>
      <c r="AL158">
        <v>91.6425654381827</v>
      </c>
      <c r="AM158">
        <v>91.002006128395607</v>
      </c>
      <c r="AN158">
        <v>1.0000000577132999</v>
      </c>
    </row>
    <row r="159" spans="1:40" x14ac:dyDescent="0.25">
      <c r="A159" t="str">
        <f>"20190303153746614"</f>
        <v>20190303153746614</v>
      </c>
      <c r="B159" t="str">
        <f>"1551598666609176"</f>
        <v>1551598666609176</v>
      </c>
      <c r="C159" t="s">
        <v>40</v>
      </c>
      <c r="D159">
        <v>3.9326189999999999</v>
      </c>
      <c r="E159">
        <v>0.52413589999999999</v>
      </c>
      <c r="F159" t="s">
        <v>41</v>
      </c>
      <c r="G159">
        <v>-158.19499999999999</v>
      </c>
      <c r="H159">
        <v>5.3326089999999997</v>
      </c>
      <c r="I159">
        <v>357.60809999999998</v>
      </c>
      <c r="J159">
        <v>-463.0401</v>
      </c>
      <c r="K159">
        <v>1.12059</v>
      </c>
      <c r="L159">
        <v>367.19889999999998</v>
      </c>
      <c r="M159">
        <v>0.99989220000000001</v>
      </c>
      <c r="N159">
        <v>-3.4839459999999999E-3</v>
      </c>
      <c r="O159">
        <v>1.426493E-2</v>
      </c>
      <c r="P159">
        <v>0.9989924</v>
      </c>
      <c r="Q159">
        <v>-3.1430939999999997E-2</v>
      </c>
      <c r="R159">
        <v>3.2037889999999999E-2</v>
      </c>
      <c r="S159">
        <v>3.0072329999999998</v>
      </c>
      <c r="T159">
        <v>4.153275E-2</v>
      </c>
      <c r="U159">
        <v>-9.4543459999999996E-2</v>
      </c>
      <c r="V159">
        <v>-1.777987E-2</v>
      </c>
      <c r="W159">
        <v>-2.7951810000000001E-2</v>
      </c>
      <c r="X159">
        <v>0.99945119999999998</v>
      </c>
      <c r="Y159">
        <v>4.5672560000000001E-2</v>
      </c>
      <c r="Z159">
        <v>4.8235679999999998E-4</v>
      </c>
      <c r="AA159">
        <v>0.99895630000000002</v>
      </c>
      <c r="AB159">
        <v>17</v>
      </c>
      <c r="AC159">
        <v>304.8451</v>
      </c>
      <c r="AD159">
        <v>4.2120189999999997</v>
      </c>
      <c r="AE159">
        <v>-9.5907999999999998</v>
      </c>
      <c r="AF159">
        <v>13.935786642343199</v>
      </c>
      <c r="AG159">
        <v>4.2120189999999997</v>
      </c>
      <c r="AH159">
        <v>304.61917245846399</v>
      </c>
      <c r="AI159">
        <v>89.208639972307296</v>
      </c>
      <c r="AJ159">
        <v>87.380646079403505</v>
      </c>
      <c r="AK159">
        <v>304.96686292559201</v>
      </c>
      <c r="AL159">
        <v>91.601729258732306</v>
      </c>
      <c r="AM159">
        <v>91.019163384326902</v>
      </c>
      <c r="AN159">
        <v>1.0000000643204601</v>
      </c>
    </row>
    <row r="160" spans="1:40" x14ac:dyDescent="0.25">
      <c r="A160" t="str">
        <f>"20190303153746626"</f>
        <v>20190303153746626</v>
      </c>
      <c r="B160" t="str">
        <f>"1551598666618937"</f>
        <v>1551598666618937</v>
      </c>
      <c r="C160" t="s">
        <v>40</v>
      </c>
      <c r="D160">
        <v>3.9377499999999999</v>
      </c>
      <c r="E160">
        <v>0.52408279999999996</v>
      </c>
      <c r="F160" t="s">
        <v>41</v>
      </c>
      <c r="G160">
        <v>-158.19499999999999</v>
      </c>
      <c r="H160">
        <v>5.6797659999999999</v>
      </c>
      <c r="I160">
        <v>357.66520000000003</v>
      </c>
      <c r="J160">
        <v>-462.9366</v>
      </c>
      <c r="K160">
        <v>1.1206940000000001</v>
      </c>
      <c r="L160">
        <v>367.20049999999998</v>
      </c>
      <c r="M160">
        <v>0.99988809999999995</v>
      </c>
      <c r="N160">
        <v>-4.2043999999999996E-3</v>
      </c>
      <c r="O160">
        <v>1.435883E-2</v>
      </c>
      <c r="P160">
        <v>0.99898359999999997</v>
      </c>
      <c r="Q160">
        <v>-3.1469480000000001E-2</v>
      </c>
      <c r="R160">
        <v>3.2270229999999997E-2</v>
      </c>
      <c r="S160">
        <v>3.0074459999999998</v>
      </c>
      <c r="T160">
        <v>4.4979329999999998E-2</v>
      </c>
      <c r="U160">
        <v>-9.4055180000000002E-2</v>
      </c>
      <c r="V160">
        <v>-1.791794E-2</v>
      </c>
      <c r="W160">
        <v>-2.727036E-2</v>
      </c>
      <c r="X160">
        <v>0.99946749999999995</v>
      </c>
      <c r="Y160">
        <v>4.5601240000000001E-2</v>
      </c>
      <c r="Z160">
        <v>5.2005499999999995E-4</v>
      </c>
      <c r="AA160">
        <v>0.99895959999999995</v>
      </c>
      <c r="AB160">
        <v>17</v>
      </c>
      <c r="AC160">
        <v>304.74160000000001</v>
      </c>
      <c r="AD160">
        <v>4.5590719999999996</v>
      </c>
      <c r="AE160">
        <v>-9.5352999999999408</v>
      </c>
      <c r="AF160">
        <v>13.9069787697492</v>
      </c>
      <c r="AG160">
        <v>4.5590719999999996</v>
      </c>
      <c r="AH160">
        <v>304.50517946567498</v>
      </c>
      <c r="AI160">
        <v>89.143120878036697</v>
      </c>
      <c r="AJ160">
        <v>87.385076069357098</v>
      </c>
      <c r="AK160">
        <v>304.85667700974898</v>
      </c>
      <c r="AL160">
        <v>91.562670253682796</v>
      </c>
      <c r="AM160">
        <v>91.027059286159599</v>
      </c>
      <c r="AN160">
        <v>1.0000000043323101</v>
      </c>
    </row>
    <row r="161" spans="1:40" x14ac:dyDescent="0.25">
      <c r="A161" t="str">
        <f>"20190303153746639"</f>
        <v>20190303153746639</v>
      </c>
      <c r="B161" t="str">
        <f>"1551598666628696"</f>
        <v>1551598666628696</v>
      </c>
      <c r="C161" t="s">
        <v>40</v>
      </c>
      <c r="D161">
        <v>3.9238960000000001</v>
      </c>
      <c r="E161">
        <v>0.52412639999999999</v>
      </c>
      <c r="F161" t="s">
        <v>41</v>
      </c>
      <c r="G161">
        <v>-158.19499999999999</v>
      </c>
      <c r="H161">
        <v>5.7145359999999998</v>
      </c>
      <c r="I161">
        <v>357.7629</v>
      </c>
      <c r="J161">
        <v>-462.84589999999997</v>
      </c>
      <c r="K161">
        <v>1.120779</v>
      </c>
      <c r="L161">
        <v>367.20190000000002</v>
      </c>
      <c r="M161">
        <v>0.99988410000000005</v>
      </c>
      <c r="N161">
        <v>-4.827769E-3</v>
      </c>
      <c r="O161">
        <v>1.444233E-2</v>
      </c>
      <c r="P161">
        <v>0.9989692</v>
      </c>
      <c r="Q161">
        <v>-3.112763E-2</v>
      </c>
      <c r="R161">
        <v>3.304493E-2</v>
      </c>
      <c r="S161">
        <v>3.0074770000000002</v>
      </c>
      <c r="T161">
        <v>4.5337200000000001E-2</v>
      </c>
      <c r="U161">
        <v>-9.3139650000000004E-2</v>
      </c>
      <c r="V161">
        <v>-1.8609939999999998E-2</v>
      </c>
      <c r="W161">
        <v>-2.6305599999999998E-2</v>
      </c>
      <c r="X161">
        <v>0.9994807</v>
      </c>
      <c r="Y161">
        <v>4.5380520000000001E-2</v>
      </c>
      <c r="Z161">
        <v>5.1973419999999995E-4</v>
      </c>
      <c r="AA161">
        <v>0.99896960000000001</v>
      </c>
      <c r="AB161">
        <v>17</v>
      </c>
      <c r="AC161">
        <v>304.65089999999998</v>
      </c>
      <c r="AD161">
        <v>4.5937570000000001</v>
      </c>
      <c r="AE161">
        <v>-9.4390000000000196</v>
      </c>
      <c r="AF161">
        <v>13.8347928274815</v>
      </c>
      <c r="AG161">
        <v>4.5937570000000001</v>
      </c>
      <c r="AH161">
        <v>304.41365486546499</v>
      </c>
      <c r="AI161">
        <v>89.136334484465607</v>
      </c>
      <c r="AJ161">
        <v>87.3978494214996</v>
      </c>
      <c r="AK161">
        <v>304.76249336902401</v>
      </c>
      <c r="AL161">
        <v>91.507373750186204</v>
      </c>
      <c r="AM161">
        <v>91.066701761063399</v>
      </c>
      <c r="AN161">
        <v>0.99999999206532597</v>
      </c>
    </row>
    <row r="162" spans="1:40" x14ac:dyDescent="0.25">
      <c r="A162" t="str">
        <f>"20190303153746651"</f>
        <v>20190303153746651</v>
      </c>
      <c r="B162" t="str">
        <f>"1551598666639434"</f>
        <v>1551598666639434</v>
      </c>
      <c r="C162" t="s">
        <v>40</v>
      </c>
      <c r="D162">
        <v>3.9173840000000002</v>
      </c>
      <c r="E162">
        <v>0.52411070000000004</v>
      </c>
      <c r="F162" t="s">
        <v>41</v>
      </c>
      <c r="G162">
        <v>-158.19499999999999</v>
      </c>
      <c r="H162">
        <v>5.9554049999999998</v>
      </c>
      <c r="I162">
        <v>357.99310000000003</v>
      </c>
      <c r="J162">
        <v>-462.75569999999999</v>
      </c>
      <c r="K162">
        <v>1.1208610000000001</v>
      </c>
      <c r="L162">
        <v>367.20330000000001</v>
      </c>
      <c r="M162">
        <v>0.99987979999999999</v>
      </c>
      <c r="N162">
        <v>-5.4399610000000001E-3</v>
      </c>
      <c r="O162">
        <v>1.4525959999999999E-2</v>
      </c>
      <c r="P162">
        <v>0.99895999999999996</v>
      </c>
      <c r="Q162">
        <v>-3.098505E-2</v>
      </c>
      <c r="R162">
        <v>3.3457010000000002E-2</v>
      </c>
      <c r="S162">
        <v>3.0075989999999999</v>
      </c>
      <c r="T162">
        <v>4.7729609999999999E-2</v>
      </c>
      <c r="U162">
        <v>-9.0911870000000006E-2</v>
      </c>
      <c r="V162">
        <v>-1.8938679999999999E-2</v>
      </c>
      <c r="W162">
        <v>-2.55512E-2</v>
      </c>
      <c r="X162">
        <v>0.99949410000000005</v>
      </c>
      <c r="Y162">
        <v>4.4722959999999999E-2</v>
      </c>
      <c r="Z162">
        <v>5.4254279999999997E-4</v>
      </c>
      <c r="AA162">
        <v>0.99899930000000003</v>
      </c>
      <c r="AB162">
        <v>17</v>
      </c>
      <c r="AC162">
        <v>304.5607</v>
      </c>
      <c r="AD162">
        <v>4.8345440000000002</v>
      </c>
      <c r="AE162">
        <v>-9.2101999999999808</v>
      </c>
      <c r="AF162">
        <v>13.629898466704599</v>
      </c>
      <c r="AG162">
        <v>4.8345440000000002</v>
      </c>
      <c r="AH162">
        <v>304.31816516798398</v>
      </c>
      <c r="AI162">
        <v>89.090759746117698</v>
      </c>
      <c r="AJ162">
        <v>87.435532313385906</v>
      </c>
      <c r="AK162">
        <v>304.66160342108901</v>
      </c>
      <c r="AL162">
        <v>91.464135269329304</v>
      </c>
      <c r="AM162">
        <v>91.085525764627704</v>
      </c>
      <c r="AN162">
        <v>0.99999999667819595</v>
      </c>
    </row>
    <row r="163" spans="1:40" x14ac:dyDescent="0.25">
      <c r="A163" t="str">
        <f>"20190303153746669"</f>
        <v>20190303153746669</v>
      </c>
      <c r="B163" t="str">
        <f>"1551598666658951"</f>
        <v>1551598666658951</v>
      </c>
      <c r="C163" t="s">
        <v>40</v>
      </c>
      <c r="D163">
        <v>3.9144009999999998</v>
      </c>
      <c r="E163">
        <v>0.52395530000000001</v>
      </c>
      <c r="F163" t="s">
        <v>41</v>
      </c>
      <c r="G163">
        <v>-158.19499999999999</v>
      </c>
      <c r="H163">
        <v>6.0470769999999998</v>
      </c>
      <c r="I163">
        <v>358.1456</v>
      </c>
      <c r="J163">
        <v>-462.61770000000001</v>
      </c>
      <c r="K163">
        <v>1.1209610000000001</v>
      </c>
      <c r="L163">
        <v>367.2054</v>
      </c>
      <c r="M163">
        <v>0.99987269999999995</v>
      </c>
      <c r="N163">
        <v>-6.3190269999999996E-3</v>
      </c>
      <c r="O163">
        <v>1.465578E-2</v>
      </c>
      <c r="P163">
        <v>0.9989401</v>
      </c>
      <c r="Q163">
        <v>-3.0232680000000001E-2</v>
      </c>
      <c r="R163">
        <v>3.4713889999999997E-2</v>
      </c>
      <c r="S163">
        <v>3.0075989999999999</v>
      </c>
      <c r="T163">
        <v>4.8648240000000002E-2</v>
      </c>
      <c r="U163">
        <v>-8.9447020000000002E-2</v>
      </c>
      <c r="V163">
        <v>-2.0066150000000001E-2</v>
      </c>
      <c r="W163">
        <v>-2.3920339999999998E-2</v>
      </c>
      <c r="X163">
        <v>0.99951250000000003</v>
      </c>
      <c r="Y163">
        <v>4.4366370000000002E-2</v>
      </c>
      <c r="Z163">
        <v>5.4807589999999995E-4</v>
      </c>
      <c r="AA163">
        <v>0.99901519999999999</v>
      </c>
      <c r="AB163">
        <v>17</v>
      </c>
      <c r="AC163">
        <v>304.42270000000002</v>
      </c>
      <c r="AD163">
        <v>4.9261160000000004</v>
      </c>
      <c r="AE163">
        <v>-9.0597999999999903</v>
      </c>
      <c r="AF163">
        <v>13.516931513118999</v>
      </c>
      <c r="AG163">
        <v>4.9261160000000004</v>
      </c>
      <c r="AH163">
        <v>304.177643187917</v>
      </c>
      <c r="AI163">
        <v>89.073098235378097</v>
      </c>
      <c r="AJ163">
        <v>87.455585674714897</v>
      </c>
      <c r="AK163">
        <v>304.51767218296499</v>
      </c>
      <c r="AL163">
        <v>91.370665211071199</v>
      </c>
      <c r="AM163">
        <v>91.150111962626298</v>
      </c>
      <c r="AN163">
        <v>1.00000003534889</v>
      </c>
    </row>
    <row r="164" spans="1:40" x14ac:dyDescent="0.25">
      <c r="A164" t="str">
        <f>"20190303153746682"</f>
        <v>20190303153746682</v>
      </c>
      <c r="B164" t="str">
        <f>"1551598666668712"</f>
        <v>1551598666668712</v>
      </c>
      <c r="C164" t="s">
        <v>40</v>
      </c>
      <c r="D164">
        <v>3.9252739999999999</v>
      </c>
      <c r="E164">
        <v>0.52392490000000003</v>
      </c>
      <c r="F164" t="s">
        <v>41</v>
      </c>
      <c r="G164">
        <v>-158.19499999999999</v>
      </c>
      <c r="H164">
        <v>6.2350899999999996</v>
      </c>
      <c r="I164">
        <v>358.64620000000002</v>
      </c>
      <c r="J164">
        <v>-462.52339999999998</v>
      </c>
      <c r="K164">
        <v>1.1210199999999999</v>
      </c>
      <c r="L164">
        <v>367.20690000000002</v>
      </c>
      <c r="M164">
        <v>0.99986770000000003</v>
      </c>
      <c r="N164">
        <v>-6.8622719999999896E-3</v>
      </c>
      <c r="O164">
        <v>1.474466E-2</v>
      </c>
      <c r="P164">
        <v>0.99893089999999995</v>
      </c>
      <c r="Q164">
        <v>-3.0433950000000001E-2</v>
      </c>
      <c r="R164">
        <v>3.4796090000000002E-2</v>
      </c>
      <c r="S164">
        <v>3.00766</v>
      </c>
      <c r="T164">
        <v>5.0527809999999999E-2</v>
      </c>
      <c r="U164">
        <v>-8.4564210000000001E-2</v>
      </c>
      <c r="V164">
        <v>-2.005964E-2</v>
      </c>
      <c r="W164">
        <v>-2.3578640000000001E-2</v>
      </c>
      <c r="X164">
        <v>0.99952070000000004</v>
      </c>
      <c r="Y164">
        <v>4.2833620000000003E-2</v>
      </c>
      <c r="Z164">
        <v>5.6149119999999997E-4</v>
      </c>
      <c r="AA164">
        <v>0.99908209999999997</v>
      </c>
      <c r="AB164">
        <v>17</v>
      </c>
      <c r="AC164">
        <v>304.32839999999999</v>
      </c>
      <c r="AD164">
        <v>5.1140699999999999</v>
      </c>
      <c r="AE164">
        <v>-8.56069999999999</v>
      </c>
      <c r="AF164">
        <v>13.0434135646831</v>
      </c>
      <c r="AG164">
        <v>5.1140699999999999</v>
      </c>
      <c r="AH164">
        <v>304.08328579592802</v>
      </c>
      <c r="AI164">
        <v>89.037375922124198</v>
      </c>
      <c r="AJ164">
        <v>87.543848197288497</v>
      </c>
      <c r="AK164">
        <v>304.40586237756997</v>
      </c>
      <c r="AL164">
        <v>91.351081787371598</v>
      </c>
      <c r="AM164">
        <v>91.149729505626595</v>
      </c>
      <c r="AN164">
        <v>0.99999998557483405</v>
      </c>
    </row>
    <row r="165" spans="1:40" x14ac:dyDescent="0.25">
      <c r="A165" t="str">
        <f>"20190303153746697"</f>
        <v>20190303153746697</v>
      </c>
      <c r="B165" t="str">
        <f>"1551598666689209"</f>
        <v>1551598666689209</v>
      </c>
      <c r="C165" t="s">
        <v>40</v>
      </c>
      <c r="D165">
        <v>3.892957</v>
      </c>
      <c r="E165">
        <v>0.52404240000000002</v>
      </c>
      <c r="F165" t="s">
        <v>41</v>
      </c>
      <c r="G165">
        <v>-158.19499999999999</v>
      </c>
      <c r="H165">
        <v>6.1235480000000004</v>
      </c>
      <c r="I165">
        <v>358.67189999999999</v>
      </c>
      <c r="J165">
        <v>-462.40870000000001</v>
      </c>
      <c r="K165">
        <v>1.12107</v>
      </c>
      <c r="L165">
        <v>367.20870000000002</v>
      </c>
      <c r="M165">
        <v>0.99986180000000002</v>
      </c>
      <c r="N165">
        <v>-7.4860159999999999E-3</v>
      </c>
      <c r="O165">
        <v>1.4852580000000001E-2</v>
      </c>
      <c r="P165">
        <v>0.99892800000000004</v>
      </c>
      <c r="Q165">
        <v>-3.0149619999999999E-2</v>
      </c>
      <c r="R165">
        <v>3.513637E-2</v>
      </c>
      <c r="S165">
        <v>3.0076290000000001</v>
      </c>
      <c r="T165">
        <v>4.9440030000000003E-2</v>
      </c>
      <c r="U165">
        <v>-8.4350590000000003E-2</v>
      </c>
      <c r="V165">
        <v>-2.0292170000000002E-2</v>
      </c>
      <c r="W165">
        <v>-2.267081E-2</v>
      </c>
      <c r="X165">
        <v>0.99953709999999996</v>
      </c>
      <c r="Y165">
        <v>4.2871180000000002E-2</v>
      </c>
      <c r="Z165">
        <v>5.4700669999999997E-4</v>
      </c>
      <c r="AA165">
        <v>0.99908050000000004</v>
      </c>
      <c r="AB165">
        <v>17</v>
      </c>
      <c r="AC165">
        <v>304.21370000000002</v>
      </c>
      <c r="AD165">
        <v>5.002478</v>
      </c>
      <c r="AE165">
        <v>-8.5368000000000208</v>
      </c>
      <c r="AF165">
        <v>13.050816418858499</v>
      </c>
      <c r="AG165">
        <v>5.002478</v>
      </c>
      <c r="AH165">
        <v>303.97121429103402</v>
      </c>
      <c r="AI165">
        <v>89.058031633656697</v>
      </c>
      <c r="AJ165">
        <v>87.541550941429193</v>
      </c>
      <c r="AK165">
        <v>304.29237209122601</v>
      </c>
      <c r="AL165">
        <v>91.299052926664501</v>
      </c>
      <c r="AM165">
        <v>91.163034375334206</v>
      </c>
      <c r="AN165">
        <v>1.00000007603288</v>
      </c>
    </row>
    <row r="166" spans="1:40" x14ac:dyDescent="0.25">
      <c r="A166" t="str">
        <f>"20190303153746714"</f>
        <v>20190303153746714</v>
      </c>
      <c r="B166" t="str">
        <f>"1551598666708727"</f>
        <v>1551598666708727</v>
      </c>
      <c r="C166" t="s">
        <v>40</v>
      </c>
      <c r="D166">
        <v>3.870339</v>
      </c>
      <c r="E166">
        <v>0.52415020000000001</v>
      </c>
      <c r="F166" t="s">
        <v>41</v>
      </c>
      <c r="G166">
        <v>-158.19499999999999</v>
      </c>
      <c r="H166">
        <v>6.1987930000000002</v>
      </c>
      <c r="I166">
        <v>358.68939999999998</v>
      </c>
      <c r="J166">
        <v>-462.28739999999999</v>
      </c>
      <c r="K166">
        <v>1.121113</v>
      </c>
      <c r="L166">
        <v>367.21069999999997</v>
      </c>
      <c r="M166">
        <v>0.9998553</v>
      </c>
      <c r="N166">
        <v>-8.0950889999999998E-3</v>
      </c>
      <c r="O166">
        <v>1.4965310000000001E-2</v>
      </c>
      <c r="P166">
        <v>0.99895730000000005</v>
      </c>
      <c r="Q166">
        <v>-2.9300630000000001E-2</v>
      </c>
      <c r="R166">
        <v>3.5011630000000002E-2</v>
      </c>
      <c r="S166">
        <v>3.00766</v>
      </c>
      <c r="T166">
        <v>5.0202610000000002E-2</v>
      </c>
      <c r="U166">
        <v>-8.4228520000000001E-2</v>
      </c>
      <c r="V166">
        <v>-2.005403E-2</v>
      </c>
      <c r="W166">
        <v>-2.1212720000000001E-2</v>
      </c>
      <c r="X166">
        <v>0.99957379999999996</v>
      </c>
      <c r="Y166">
        <v>4.294282E-2</v>
      </c>
      <c r="Z166">
        <v>5.5528320000000002E-4</v>
      </c>
      <c r="AA166">
        <v>0.9990774</v>
      </c>
      <c r="AB166">
        <v>17</v>
      </c>
      <c r="AC166">
        <v>304.0924</v>
      </c>
      <c r="AD166">
        <v>5.07768</v>
      </c>
      <c r="AE166">
        <v>-8.5212999999999894</v>
      </c>
      <c r="AF166">
        <v>13.0676909254514</v>
      </c>
      <c r="AG166">
        <v>5.07768</v>
      </c>
      <c r="AH166">
        <v>303.84616439594799</v>
      </c>
      <c r="AI166">
        <v>89.043483255764301</v>
      </c>
      <c r="AJ166">
        <v>87.537364261423306</v>
      </c>
      <c r="AK166">
        <v>304.16942482510501</v>
      </c>
      <c r="AL166">
        <v>91.215490542682204</v>
      </c>
      <c r="AM166">
        <v>91.149347008394301</v>
      </c>
      <c r="AN166">
        <v>0.99999996262773805</v>
      </c>
    </row>
    <row r="167" spans="1:40" x14ac:dyDescent="0.25">
      <c r="A167" t="str">
        <f>"20190303153746737"</f>
        <v>20190303153746737</v>
      </c>
      <c r="B167" t="str">
        <f>"1551598666729224"</f>
        <v>1551598666729224</v>
      </c>
      <c r="C167" t="s">
        <v>40</v>
      </c>
      <c r="D167">
        <v>3.8521010000000002</v>
      </c>
      <c r="E167">
        <v>0.52417799999999903</v>
      </c>
      <c r="F167" t="s">
        <v>41</v>
      </c>
      <c r="G167">
        <v>-158.19499999999999</v>
      </c>
      <c r="H167">
        <v>6.4466780000000004</v>
      </c>
      <c r="I167">
        <v>358.55579999999998</v>
      </c>
      <c r="J167">
        <v>-462.12439999999998</v>
      </c>
      <c r="K167">
        <v>1.1211469999999999</v>
      </c>
      <c r="L167">
        <v>367.2133</v>
      </c>
      <c r="M167">
        <v>0.99984680000000004</v>
      </c>
      <c r="N167">
        <v>-8.8353210000000001E-3</v>
      </c>
      <c r="O167">
        <v>1.511439E-2</v>
      </c>
      <c r="P167">
        <v>0.9989441</v>
      </c>
      <c r="Q167">
        <v>-3.1244129999999998E-2</v>
      </c>
      <c r="R167">
        <v>3.3684190000000003E-2</v>
      </c>
      <c r="S167">
        <v>3.00766</v>
      </c>
      <c r="T167">
        <v>5.2673940000000002E-2</v>
      </c>
      <c r="U167">
        <v>-8.560181E-2</v>
      </c>
      <c r="V167">
        <v>-1.8578339999999999E-2</v>
      </c>
      <c r="W167">
        <v>-2.2416180000000001E-2</v>
      </c>
      <c r="X167">
        <v>0.99957609999999997</v>
      </c>
      <c r="Y167">
        <v>4.3546809999999998E-2</v>
      </c>
      <c r="Z167">
        <v>5.8692439999999998E-4</v>
      </c>
      <c r="AA167">
        <v>0.99905120000000003</v>
      </c>
      <c r="AB167">
        <v>17</v>
      </c>
      <c r="AC167">
        <v>303.92939999999999</v>
      </c>
      <c r="AD167">
        <v>5.3255309999999998</v>
      </c>
      <c r="AE167">
        <v>-8.6575000000000202</v>
      </c>
      <c r="AF167">
        <v>13.2463337576889</v>
      </c>
      <c r="AG167">
        <v>5.3255309999999998</v>
      </c>
      <c r="AH167">
        <v>303.67066151200902</v>
      </c>
      <c r="AI167">
        <v>88.996250149885995</v>
      </c>
      <c r="AJ167">
        <v>87.502300060183103</v>
      </c>
      <c r="AK167">
        <v>304.00608102732599</v>
      </c>
      <c r="AL167">
        <v>91.284460079925395</v>
      </c>
      <c r="AM167">
        <v>91.064789290192707</v>
      </c>
      <c r="AN167">
        <v>1.00000000976707</v>
      </c>
    </row>
    <row r="168" spans="1:40" x14ac:dyDescent="0.25">
      <c r="A168" t="str">
        <f>"20190303153746750"</f>
        <v>20190303153746750</v>
      </c>
      <c r="B168" t="str">
        <f>"1551598666738985"</f>
        <v>1551598666738985</v>
      </c>
      <c r="C168" t="s">
        <v>40</v>
      </c>
      <c r="D168">
        <v>3.8141630000000002</v>
      </c>
      <c r="E168">
        <v>0.5241709</v>
      </c>
      <c r="F168" t="s">
        <v>41</v>
      </c>
      <c r="G168">
        <v>-158.19499999999999</v>
      </c>
      <c r="H168">
        <v>5.9001580000000002</v>
      </c>
      <c r="I168">
        <v>358.1035</v>
      </c>
      <c r="J168">
        <v>-462.02280000000002</v>
      </c>
      <c r="K168">
        <v>1.1211629999999999</v>
      </c>
      <c r="L168">
        <v>367.2149</v>
      </c>
      <c r="M168">
        <v>0.9998416</v>
      </c>
      <c r="N168">
        <v>-9.2634469999999993E-3</v>
      </c>
      <c r="O168">
        <v>1.520585E-2</v>
      </c>
      <c r="P168">
        <v>0.99891560000000001</v>
      </c>
      <c r="Q168">
        <v>-3.2918030000000001E-2</v>
      </c>
      <c r="R168">
        <v>3.2929779999999999E-2</v>
      </c>
      <c r="S168">
        <v>3.00766</v>
      </c>
      <c r="T168">
        <v>4.7293540000000002E-2</v>
      </c>
      <c r="U168">
        <v>-9.0148930000000002E-2</v>
      </c>
      <c r="V168">
        <v>-1.7732270000000001E-2</v>
      </c>
      <c r="W168">
        <v>-2.3662220000000001E-2</v>
      </c>
      <c r="X168">
        <v>0.99956270000000003</v>
      </c>
      <c r="Y168">
        <v>4.5148830000000001E-2</v>
      </c>
      <c r="Z168">
        <v>5.2554580000000004E-4</v>
      </c>
      <c r="AA168">
        <v>0.99898010000000004</v>
      </c>
      <c r="AB168">
        <v>17</v>
      </c>
      <c r="AC168">
        <v>303.82780000000002</v>
      </c>
      <c r="AD168">
        <v>4.7789950000000001</v>
      </c>
      <c r="AE168">
        <v>-9.1113999999999997</v>
      </c>
      <c r="AF168">
        <v>13.727110910174099</v>
      </c>
      <c r="AG168">
        <v>4.7789950000000001</v>
      </c>
      <c r="AH168">
        <v>303.57907607952802</v>
      </c>
      <c r="AI168">
        <v>89.099034744605305</v>
      </c>
      <c r="AJ168">
        <v>87.410987116118207</v>
      </c>
      <c r="AK168">
        <v>303.92684613316101</v>
      </c>
      <c r="AL168">
        <v>91.3558719362413</v>
      </c>
      <c r="AM168">
        <v>91.016322110312899</v>
      </c>
      <c r="AN168">
        <v>0.99999996264298496</v>
      </c>
    </row>
    <row r="169" spans="1:40" x14ac:dyDescent="0.25">
      <c r="A169" t="str">
        <f>"20190303153746764"</f>
        <v>20190303153746764</v>
      </c>
      <c r="B169" t="str">
        <f>"1551598666759480"</f>
        <v>1551598666759480</v>
      </c>
      <c r="C169" t="s">
        <v>40</v>
      </c>
      <c r="D169">
        <v>3.8431069999999998</v>
      </c>
      <c r="E169">
        <v>0.52418569999999998</v>
      </c>
      <c r="F169" t="s">
        <v>41</v>
      </c>
      <c r="G169">
        <v>-158.19499999999999</v>
      </c>
      <c r="H169">
        <v>5.3998860000000004</v>
      </c>
      <c r="I169">
        <v>357.90179999999998</v>
      </c>
      <c r="J169">
        <v>-461.92079999999999</v>
      </c>
      <c r="K169">
        <v>1.1211719999999901</v>
      </c>
      <c r="L169">
        <v>367.21660000000003</v>
      </c>
      <c r="M169">
        <v>0.99983639999999996</v>
      </c>
      <c r="N169">
        <v>-9.6521650000000007E-3</v>
      </c>
      <c r="O169">
        <v>1.5297150000000001E-2</v>
      </c>
      <c r="P169">
        <v>0.99888880000000002</v>
      </c>
      <c r="Q169">
        <v>-3.4827169999999998E-2</v>
      </c>
      <c r="R169">
        <v>3.1750359999999998E-2</v>
      </c>
      <c r="S169">
        <v>3.0076900000000002</v>
      </c>
      <c r="T169">
        <v>4.2357329999999999E-2</v>
      </c>
      <c r="U169">
        <v>-9.2193600000000001E-2</v>
      </c>
      <c r="V169">
        <v>-1.646191E-2</v>
      </c>
      <c r="W169">
        <v>-2.5182889999999999E-2</v>
      </c>
      <c r="X169">
        <v>0.99954730000000003</v>
      </c>
      <c r="Y169">
        <v>4.5919599999999998E-2</v>
      </c>
      <c r="Z169">
        <v>4.645564E-4</v>
      </c>
      <c r="AA169">
        <v>0.99894510000000003</v>
      </c>
      <c r="AB169">
        <v>16</v>
      </c>
      <c r="AC169">
        <v>303.72579999999999</v>
      </c>
      <c r="AD169">
        <v>4.2787139999999999</v>
      </c>
      <c r="AE169">
        <v>-9.3148000000000408</v>
      </c>
      <c r="AF169">
        <v>13.957298268183401</v>
      </c>
      <c r="AG169">
        <v>4.2787139999999999</v>
      </c>
      <c r="AH169">
        <v>303.48758954730602</v>
      </c>
      <c r="AI169">
        <v>89.193122787461505</v>
      </c>
      <c r="AJ169">
        <v>87.366840595710599</v>
      </c>
      <c r="AK169">
        <v>303.83849423283198</v>
      </c>
      <c r="AL169">
        <v>91.443025879220798</v>
      </c>
      <c r="AM169">
        <v>90.943539842412605</v>
      </c>
      <c r="AN169">
        <v>0.99999998868344497</v>
      </c>
    </row>
    <row r="170" spans="1:40" x14ac:dyDescent="0.25">
      <c r="A170" t="str">
        <f>"20190303153746780"</f>
        <v>20190303153746780</v>
      </c>
      <c r="B170" t="str">
        <f>"1551598666769244"</f>
        <v>1551598666769244</v>
      </c>
      <c r="C170" t="s">
        <v>40</v>
      </c>
      <c r="D170">
        <v>3.8316889999999999</v>
      </c>
      <c r="E170">
        <v>0.52417579999999997</v>
      </c>
      <c r="F170" t="s">
        <v>41</v>
      </c>
      <c r="G170">
        <v>-158.19499999999999</v>
      </c>
      <c r="H170">
        <v>4.7741759999999998</v>
      </c>
      <c r="I170">
        <v>357.49650000000003</v>
      </c>
      <c r="J170">
        <v>-461.79629999999997</v>
      </c>
      <c r="K170">
        <v>1.1211709999999999</v>
      </c>
      <c r="L170">
        <v>367.21859999999998</v>
      </c>
      <c r="M170">
        <v>0.99983040000000001</v>
      </c>
      <c r="N170">
        <v>-1.008911E-2</v>
      </c>
      <c r="O170">
        <v>1.540822E-2</v>
      </c>
      <c r="P170">
        <v>0.99889479999999997</v>
      </c>
      <c r="Q170">
        <v>-3.6886759999999998E-2</v>
      </c>
      <c r="R170">
        <v>2.913557E-2</v>
      </c>
      <c r="S170">
        <v>3.0076290000000001</v>
      </c>
      <c r="T170">
        <v>3.6174539999999998E-2</v>
      </c>
      <c r="U170">
        <v>-9.6252439999999995E-2</v>
      </c>
      <c r="V170">
        <v>-1.3736430000000001E-2</v>
      </c>
      <c r="W170">
        <v>-2.680546E-2</v>
      </c>
      <c r="X170">
        <v>0.9995463</v>
      </c>
      <c r="Y170">
        <v>4.737939E-2</v>
      </c>
      <c r="Z170">
        <v>3.8644979999999997E-4</v>
      </c>
      <c r="AA170">
        <v>0.99887689999999996</v>
      </c>
      <c r="AB170">
        <v>16</v>
      </c>
      <c r="AC170">
        <v>303.60129999999998</v>
      </c>
      <c r="AD170">
        <v>3.6530049999999998</v>
      </c>
      <c r="AE170">
        <v>-9.7220999999999496</v>
      </c>
      <c r="AF170">
        <v>14.3970571895594</v>
      </c>
      <c r="AG170">
        <v>3.6530049999999998</v>
      </c>
      <c r="AH170">
        <v>303.371571232522</v>
      </c>
      <c r="AI170">
        <v>89.310889959282903</v>
      </c>
      <c r="AJ170">
        <v>87.282961660527704</v>
      </c>
      <c r="AK170">
        <v>303.734966596437</v>
      </c>
      <c r="AL170">
        <v>91.536023689037194</v>
      </c>
      <c r="AM170">
        <v>90.7873471426104</v>
      </c>
      <c r="AN170">
        <v>1.0000000140193199</v>
      </c>
    </row>
    <row r="171" spans="1:40" x14ac:dyDescent="0.25">
      <c r="A171" t="str">
        <f>"20190303153746794"</f>
        <v>20190303153746794</v>
      </c>
      <c r="B171" t="str">
        <f>"1551598666789737"</f>
        <v>1551598666789737</v>
      </c>
      <c r="C171" t="s">
        <v>40</v>
      </c>
      <c r="D171">
        <v>3.823121</v>
      </c>
      <c r="E171">
        <v>0.52413889999999996</v>
      </c>
      <c r="F171" t="s">
        <v>41</v>
      </c>
      <c r="G171">
        <v>-158.19499999999999</v>
      </c>
      <c r="H171">
        <v>4.1352140000000004</v>
      </c>
      <c r="I171">
        <v>356.7473</v>
      </c>
      <c r="J171">
        <v>-461.70170000000002</v>
      </c>
      <c r="K171">
        <v>1.1211719999999901</v>
      </c>
      <c r="L171">
        <v>367.2201</v>
      </c>
      <c r="M171">
        <v>0.99982599999999999</v>
      </c>
      <c r="N171">
        <v>-1.03953E-2</v>
      </c>
      <c r="O171">
        <v>1.549209E-2</v>
      </c>
      <c r="P171">
        <v>0.99888750000000004</v>
      </c>
      <c r="Q171">
        <v>-3.7858179999999998E-2</v>
      </c>
      <c r="R171">
        <v>2.811837E-2</v>
      </c>
      <c r="S171">
        <v>3.0074770000000002</v>
      </c>
      <c r="T171">
        <v>2.9857990000000001E-2</v>
      </c>
      <c r="U171">
        <v>-0.10372919999999999</v>
      </c>
      <c r="V171">
        <v>-1.263567E-2</v>
      </c>
      <c r="W171">
        <v>-2.7470789999999998E-2</v>
      </c>
      <c r="X171">
        <v>0.99954279999999995</v>
      </c>
      <c r="Y171">
        <v>4.9946480000000001E-2</v>
      </c>
      <c r="Z171">
        <v>3.0291230000000001E-4</v>
      </c>
      <c r="AA171">
        <v>0.99875190000000003</v>
      </c>
      <c r="AB171">
        <v>16</v>
      </c>
      <c r="AC171">
        <v>303.50670000000002</v>
      </c>
      <c r="AD171">
        <v>3.0140419999999999</v>
      </c>
      <c r="AE171">
        <v>-10.472799999999999</v>
      </c>
      <c r="AF171">
        <v>15.1722554847165</v>
      </c>
      <c r="AG171">
        <v>3.0140419999999999</v>
      </c>
      <c r="AH171">
        <v>303.27814450441099</v>
      </c>
      <c r="AI171">
        <v>89.431312386588601</v>
      </c>
      <c r="AJ171">
        <v>87.136021542942203</v>
      </c>
      <c r="AK171">
        <v>303.672380567792</v>
      </c>
      <c r="AL171">
        <v>91.574158268163202</v>
      </c>
      <c r="AM171">
        <v>90.724263134115404</v>
      </c>
      <c r="AN171">
        <v>1.0000000567456999</v>
      </c>
    </row>
    <row r="172" spans="1:40" x14ac:dyDescent="0.25">
      <c r="A172" t="str">
        <f>"20190303153746806"</f>
        <v>20190303153746806</v>
      </c>
      <c r="B172" t="str">
        <f>"1551598666799496"</f>
        <v>1551598666799496</v>
      </c>
      <c r="C172" t="s">
        <v>40</v>
      </c>
      <c r="D172">
        <v>3.8095620000000001</v>
      </c>
      <c r="E172">
        <v>0.52408120000000002</v>
      </c>
      <c r="F172" t="s">
        <v>41</v>
      </c>
      <c r="G172">
        <v>-158.19499999999999</v>
      </c>
      <c r="H172">
        <v>3.7648990000000002</v>
      </c>
      <c r="I172">
        <v>356.44959999999998</v>
      </c>
      <c r="J172">
        <v>-461.60390000000001</v>
      </c>
      <c r="K172">
        <v>1.1211739999999999</v>
      </c>
      <c r="L172">
        <v>367.22179999999997</v>
      </c>
      <c r="M172">
        <v>0.99982170000000004</v>
      </c>
      <c r="N172">
        <v>-1.06862E-2</v>
      </c>
      <c r="O172">
        <v>1.557683E-2</v>
      </c>
      <c r="P172">
        <v>0.99886140000000001</v>
      </c>
      <c r="Q172">
        <v>-3.928471E-2</v>
      </c>
      <c r="R172">
        <v>2.7073170000000001E-2</v>
      </c>
      <c r="S172">
        <v>3.0072939999999999</v>
      </c>
      <c r="T172">
        <v>2.6196239999999999E-2</v>
      </c>
      <c r="U172">
        <v>-0.10672</v>
      </c>
      <c r="V172">
        <v>-1.1506189999999999E-2</v>
      </c>
      <c r="W172">
        <v>-2.8606670000000001E-2</v>
      </c>
      <c r="X172">
        <v>0.99952450000000004</v>
      </c>
      <c r="Y172">
        <v>5.1025849999999998E-2</v>
      </c>
      <c r="Z172">
        <v>2.5148199999999998E-4</v>
      </c>
      <c r="AA172">
        <v>0.99869730000000001</v>
      </c>
      <c r="AB172">
        <v>16</v>
      </c>
      <c r="AC172">
        <v>303.40890000000002</v>
      </c>
      <c r="AD172">
        <v>2.6437249999999999</v>
      </c>
      <c r="AE172">
        <v>-10.7721999999999</v>
      </c>
      <c r="AF172">
        <v>15.4961359675524</v>
      </c>
      <c r="AG172">
        <v>2.6437249999999999</v>
      </c>
      <c r="AH172">
        <v>303.181288486212</v>
      </c>
      <c r="AI172">
        <v>89.501047734819494</v>
      </c>
      <c r="AJ172">
        <v>87.074056752428504</v>
      </c>
      <c r="AK172">
        <v>303.58855907290098</v>
      </c>
      <c r="AL172">
        <v>91.639265121310302</v>
      </c>
      <c r="AM172">
        <v>90.659540617965007</v>
      </c>
      <c r="AN172">
        <v>0.99999998003852697</v>
      </c>
    </row>
    <row r="173" spans="1:40" x14ac:dyDescent="0.25">
      <c r="A173" t="str">
        <f>"20190303153746826"</f>
        <v>20190303153746826</v>
      </c>
      <c r="B173" t="str">
        <f>"1551598666819016"</f>
        <v>1551598666819016</v>
      </c>
      <c r="C173" t="s">
        <v>40</v>
      </c>
      <c r="D173">
        <v>3.7995930000000002</v>
      </c>
      <c r="E173">
        <v>0.52395649999999905</v>
      </c>
      <c r="F173" t="s">
        <v>41</v>
      </c>
      <c r="G173">
        <v>-169.2955</v>
      </c>
      <c r="H173">
        <v>3.177921</v>
      </c>
      <c r="I173">
        <v>356.5813</v>
      </c>
      <c r="J173">
        <v>-461.46</v>
      </c>
      <c r="K173">
        <v>1.1211629999999999</v>
      </c>
      <c r="L173">
        <v>367.22410000000002</v>
      </c>
      <c r="M173">
        <v>0.99981569999999997</v>
      </c>
      <c r="N173">
        <v>-1.1069600000000001E-2</v>
      </c>
      <c r="O173">
        <v>1.5694940000000001E-2</v>
      </c>
      <c r="P173">
        <v>0.99879150000000005</v>
      </c>
      <c r="Q173">
        <v>-4.1972950000000002E-2</v>
      </c>
      <c r="R173">
        <v>2.557537E-2</v>
      </c>
      <c r="S173">
        <v>3.0072019999999999</v>
      </c>
      <c r="T173">
        <v>2.116024E-2</v>
      </c>
      <c r="U173">
        <v>-0.1094666</v>
      </c>
      <c r="V173">
        <v>-9.8921679999999998E-3</v>
      </c>
      <c r="W173">
        <v>-3.0912189999999999E-2</v>
      </c>
      <c r="X173">
        <v>0.99947319999999995</v>
      </c>
      <c r="Y173">
        <v>5.2056570000000003E-2</v>
      </c>
      <c r="Z173">
        <v>1.78937099999999E-4</v>
      </c>
      <c r="AA173">
        <v>0.99864410000000003</v>
      </c>
      <c r="AB173">
        <v>16</v>
      </c>
      <c r="AC173">
        <v>292.16449999999998</v>
      </c>
      <c r="AD173">
        <v>2.0567579999999999</v>
      </c>
      <c r="AE173">
        <v>-10.642799999999999</v>
      </c>
      <c r="AF173">
        <v>15.226519918153</v>
      </c>
      <c r="AG173">
        <v>2.0567579999999999</v>
      </c>
      <c r="AH173">
        <v>291.94701139826901</v>
      </c>
      <c r="AI173">
        <v>89.596907463645294</v>
      </c>
      <c r="AJ173">
        <v>87.014439099348195</v>
      </c>
      <c r="AK173">
        <v>292.35104690537702</v>
      </c>
      <c r="AL173">
        <v>91.7714201312873</v>
      </c>
      <c r="AM173">
        <v>90.567059697877497</v>
      </c>
      <c r="AN173">
        <v>1.00000004799828</v>
      </c>
    </row>
    <row r="174" spans="1:40" x14ac:dyDescent="0.25">
      <c r="A174" t="str">
        <f>"20190303153746840"</f>
        <v>20190303153746840</v>
      </c>
      <c r="B174" t="str">
        <f>"1551598666828776"</f>
        <v>1551598666828776</v>
      </c>
      <c r="C174" t="s">
        <v>40</v>
      </c>
      <c r="D174">
        <v>3.830314</v>
      </c>
      <c r="E174">
        <v>0.52390769999999998</v>
      </c>
      <c r="F174" t="s">
        <v>41</v>
      </c>
      <c r="G174">
        <v>-169.2955</v>
      </c>
      <c r="H174">
        <v>2.3333780000000002</v>
      </c>
      <c r="I174">
        <v>356.22070000000002</v>
      </c>
      <c r="J174">
        <v>-461.3655</v>
      </c>
      <c r="K174">
        <v>1.121151</v>
      </c>
      <c r="L174">
        <v>367.22570000000002</v>
      </c>
      <c r="M174">
        <v>0.99981189999999998</v>
      </c>
      <c r="N174">
        <v>-1.129463E-2</v>
      </c>
      <c r="O174">
        <v>1.5766189999999999E-2</v>
      </c>
      <c r="P174">
        <v>0.99872819999999995</v>
      </c>
      <c r="Q174">
        <v>-4.3756219999999998E-2</v>
      </c>
      <c r="R174">
        <v>2.5047630000000001E-2</v>
      </c>
      <c r="S174">
        <v>3.00705</v>
      </c>
      <c r="T174">
        <v>1.24774E-2</v>
      </c>
      <c r="U174">
        <v>-0.1132507</v>
      </c>
      <c r="V174">
        <v>-9.2940669999999996E-3</v>
      </c>
      <c r="W174">
        <v>-3.2471029999999998E-2</v>
      </c>
      <c r="X174">
        <v>0.99942949999999997</v>
      </c>
      <c r="Y174">
        <v>5.3385330000000002E-2</v>
      </c>
      <c r="Z174" s="1">
        <v>5.2524990000000002E-5</v>
      </c>
      <c r="AA174">
        <v>0.99857399999999996</v>
      </c>
      <c r="AB174">
        <v>16</v>
      </c>
      <c r="AC174">
        <v>292.07</v>
      </c>
      <c r="AD174">
        <v>1.21222699999999</v>
      </c>
      <c r="AE174">
        <v>-11.0049999999999</v>
      </c>
      <c r="AF174">
        <v>15.608488383267</v>
      </c>
      <c r="AG174">
        <v>1.21222699999999</v>
      </c>
      <c r="AH174">
        <v>291.85515431909499</v>
      </c>
      <c r="AI174">
        <v>89.762361642038499</v>
      </c>
      <c r="AJ174">
        <v>86.938723375889893</v>
      </c>
      <c r="AK174">
        <v>292.27474318957701</v>
      </c>
      <c r="AL174">
        <v>91.860779996386498</v>
      </c>
      <c r="AM174">
        <v>90.532799426266493</v>
      </c>
      <c r="AN174">
        <v>1.00000003647045</v>
      </c>
    </row>
    <row r="175" spans="1:40" x14ac:dyDescent="0.25">
      <c r="A175" t="str">
        <f>"20190303153746853"</f>
        <v>20190303153746853</v>
      </c>
      <c r="B175" t="str">
        <f>"1551598666849273"</f>
        <v>1551598666849273</v>
      </c>
      <c r="C175" t="s">
        <v>40</v>
      </c>
      <c r="D175">
        <v>3.863086</v>
      </c>
      <c r="E175">
        <v>0.52386060000000001</v>
      </c>
      <c r="F175" t="s">
        <v>41</v>
      </c>
      <c r="G175">
        <v>-169.2955</v>
      </c>
      <c r="H175">
        <v>1.801644</v>
      </c>
      <c r="I175">
        <v>356.0865</v>
      </c>
      <c r="J175">
        <v>-461.2704</v>
      </c>
      <c r="K175">
        <v>1.1211450000000001</v>
      </c>
      <c r="L175">
        <v>367.22730000000001</v>
      </c>
      <c r="M175">
        <v>0.99980849999999999</v>
      </c>
      <c r="N175">
        <v>-1.150908E-2</v>
      </c>
      <c r="O175">
        <v>1.5834069999999999E-2</v>
      </c>
      <c r="P175">
        <v>0.9986872</v>
      </c>
      <c r="Q175">
        <v>-4.4860079999999997E-2</v>
      </c>
      <c r="R175">
        <v>2.4733689999999999E-2</v>
      </c>
      <c r="S175">
        <v>3.00705</v>
      </c>
      <c r="T175">
        <v>7.0070030000000004E-3</v>
      </c>
      <c r="U175">
        <v>-0.1146851</v>
      </c>
      <c r="V175">
        <v>-8.9135069999999993E-3</v>
      </c>
      <c r="W175">
        <v>-3.3360809999999998E-2</v>
      </c>
      <c r="X175">
        <v>0.99940359999999995</v>
      </c>
      <c r="Y175">
        <v>5.392893E-2</v>
      </c>
      <c r="Z175" s="1">
        <v>-2.8597509999999999E-5</v>
      </c>
      <c r="AA175">
        <v>0.99854480000000001</v>
      </c>
      <c r="AB175">
        <v>16</v>
      </c>
      <c r="AC175">
        <v>291.97489999999999</v>
      </c>
      <c r="AD175">
        <v>0.68049899999999897</v>
      </c>
      <c r="AE175">
        <v>-11.1408</v>
      </c>
      <c r="AF175">
        <v>15.7627743604464</v>
      </c>
      <c r="AG175">
        <v>0.68049899999999897</v>
      </c>
      <c r="AH175">
        <v>291.76029278993502</v>
      </c>
      <c r="AI175">
        <v>89.866558703252096</v>
      </c>
      <c r="AJ175">
        <v>86.907518639752297</v>
      </c>
      <c r="AK175">
        <v>292.18657837637898</v>
      </c>
      <c r="AL175">
        <v>91.911788392672406</v>
      </c>
      <c r="AM175">
        <v>90.510997549888501</v>
      </c>
      <c r="AN175">
        <v>0.99999997497192705</v>
      </c>
    </row>
    <row r="176" spans="1:40" x14ac:dyDescent="0.25">
      <c r="A176" t="str">
        <f>"20190303153746869"</f>
        <v>20190303153746869</v>
      </c>
      <c r="B176" t="str">
        <f>"1551598666859036"</f>
        <v>1551598666859036</v>
      </c>
      <c r="C176" t="s">
        <v>40</v>
      </c>
      <c r="D176">
        <v>3.7849659999999998</v>
      </c>
      <c r="E176">
        <v>0.50871409999999995</v>
      </c>
      <c r="F176" t="s">
        <v>41</v>
      </c>
      <c r="G176">
        <v>-169.2955</v>
      </c>
      <c r="H176">
        <v>1.423532</v>
      </c>
      <c r="I176">
        <v>356.03199999999998</v>
      </c>
      <c r="J176">
        <v>-461.14580000000001</v>
      </c>
      <c r="K176">
        <v>1.1211329999999999</v>
      </c>
      <c r="L176">
        <v>367.22930000000002</v>
      </c>
      <c r="M176">
        <v>0.99980429999999998</v>
      </c>
      <c r="N176">
        <v>-1.176462E-2</v>
      </c>
      <c r="O176">
        <v>1.5913549999999999E-2</v>
      </c>
      <c r="P176">
        <v>0.99862059999999997</v>
      </c>
      <c r="Q176">
        <v>-4.6771729999999997E-2</v>
      </c>
      <c r="R176">
        <v>2.3864099999999999E-2</v>
      </c>
      <c r="S176">
        <v>3.0069270000000001</v>
      </c>
      <c r="T176">
        <v>3.115058E-3</v>
      </c>
      <c r="U176">
        <v>-0.11529540000000001</v>
      </c>
      <c r="V176">
        <v>-7.9666149999999998E-3</v>
      </c>
      <c r="W176">
        <v>-3.5017590000000001E-2</v>
      </c>
      <c r="X176">
        <v>0.99935499999999999</v>
      </c>
      <c r="Y176">
        <v>5.4212219999999998E-2</v>
      </c>
      <c r="Z176" s="1">
        <v>-8.7323629999999994E-5</v>
      </c>
      <c r="AA176">
        <v>0.99852940000000001</v>
      </c>
      <c r="AB176">
        <v>16</v>
      </c>
      <c r="AC176">
        <v>291.8503</v>
      </c>
      <c r="AD176">
        <v>0.30239899999999997</v>
      </c>
      <c r="AE176">
        <v>-11.1973</v>
      </c>
      <c r="AF176">
        <v>15.8405600416075</v>
      </c>
      <c r="AG176">
        <v>0.30239899999999997</v>
      </c>
      <c r="AH176">
        <v>291.63482457507001</v>
      </c>
      <c r="AI176">
        <v>89.9406769126727</v>
      </c>
      <c r="AJ176">
        <v>86.8909534035474</v>
      </c>
      <c r="AK176">
        <v>292.06486555647001</v>
      </c>
      <c r="AL176">
        <v>92.006770270823694</v>
      </c>
      <c r="AM176">
        <v>90.456738344067702</v>
      </c>
      <c r="AN176">
        <v>1.00000005729448</v>
      </c>
    </row>
    <row r="177" spans="1:40" x14ac:dyDescent="0.25">
      <c r="A177" t="str">
        <f>"20190303153746883"</f>
        <v>20190303153746883</v>
      </c>
      <c r="B177" t="str">
        <f>"1551598666879528"</f>
        <v>1551598666879528</v>
      </c>
      <c r="C177" t="s">
        <v>40</v>
      </c>
      <c r="D177">
        <v>3.8216000000000001</v>
      </c>
      <c r="E177">
        <v>0.50736519999999996</v>
      </c>
      <c r="F177" t="s">
        <v>43</v>
      </c>
      <c r="G177">
        <v>-431.37900000000002</v>
      </c>
      <c r="H177">
        <v>-0.05</v>
      </c>
      <c r="I177">
        <v>367.25240000000002</v>
      </c>
      <c r="J177">
        <v>-461.05160000000001</v>
      </c>
      <c r="K177">
        <v>1.121127</v>
      </c>
      <c r="L177">
        <v>367.23090000000002</v>
      </c>
      <c r="M177">
        <v>0.99980139999999995</v>
      </c>
      <c r="N177">
        <v>-1.193572E-2</v>
      </c>
      <c r="O177">
        <v>1.596492E-2</v>
      </c>
      <c r="P177">
        <v>0.99859500000000001</v>
      </c>
      <c r="Q177">
        <v>-4.7339050000000001E-2</v>
      </c>
      <c r="R177">
        <v>2.3820399999999999E-2</v>
      </c>
      <c r="S177">
        <v>2.9985659999999998</v>
      </c>
      <c r="T177">
        <v>-0.117974499999999</v>
      </c>
      <c r="U177">
        <v>2.319336E-3</v>
      </c>
      <c r="V177">
        <v>-7.8726279999999996E-3</v>
      </c>
      <c r="W177">
        <v>-3.5414010000000003E-2</v>
      </c>
      <c r="X177">
        <v>0.9993417</v>
      </c>
      <c r="Y177">
        <v>1.517137E-2</v>
      </c>
      <c r="Z177">
        <v>-8.2626229999999904E-4</v>
      </c>
      <c r="AA177">
        <v>0.99988449999999995</v>
      </c>
      <c r="AB177">
        <v>16</v>
      </c>
      <c r="AC177">
        <v>29.6725999999999</v>
      </c>
      <c r="AD177">
        <v>-1.171127</v>
      </c>
      <c r="AE177">
        <v>2.15000000000031E-2</v>
      </c>
      <c r="AF177">
        <v>0.45155372437303398</v>
      </c>
      <c r="AG177">
        <v>-1.171127</v>
      </c>
      <c r="AH177">
        <v>29.623015909615798</v>
      </c>
      <c r="AI177">
        <v>92.263710300456495</v>
      </c>
      <c r="AJ177">
        <v>89.1266885481554</v>
      </c>
      <c r="AK177">
        <v>29.649595457568601</v>
      </c>
      <c r="AL177">
        <v>92.029497712752701</v>
      </c>
      <c r="AM177">
        <v>90.451356155087097</v>
      </c>
      <c r="AN177">
        <v>0.99999998186739802</v>
      </c>
    </row>
    <row r="178" spans="1:40" x14ac:dyDescent="0.25">
      <c r="A178" t="str">
        <f>"20190303153746898"</f>
        <v>20190303153746898</v>
      </c>
      <c r="B178" t="str">
        <f>"1551598666889288"</f>
        <v>1551598666889288</v>
      </c>
      <c r="C178" t="s">
        <v>40</v>
      </c>
      <c r="D178">
        <v>3.7833139999999998</v>
      </c>
      <c r="E178">
        <v>0.50728459999999997</v>
      </c>
      <c r="F178" t="s">
        <v>43</v>
      </c>
      <c r="G178">
        <v>-423.33530000000002</v>
      </c>
      <c r="H178">
        <v>-0.05</v>
      </c>
      <c r="I178">
        <v>367.38979999999998</v>
      </c>
      <c r="J178">
        <v>-460.947</v>
      </c>
      <c r="K178">
        <v>1.1211230000000001</v>
      </c>
      <c r="L178">
        <v>367.23259999999999</v>
      </c>
      <c r="M178">
        <v>0.99979850000000003</v>
      </c>
      <c r="N178">
        <v>-1.2112589999999999E-2</v>
      </c>
      <c r="O178">
        <v>1.6015209999999998E-2</v>
      </c>
      <c r="P178">
        <v>0.99857910000000005</v>
      </c>
      <c r="Q178">
        <v>-4.7769440000000003E-2</v>
      </c>
      <c r="R178">
        <v>2.362684E-2</v>
      </c>
      <c r="S178">
        <v>2.9994809999999998</v>
      </c>
      <c r="T178">
        <v>-9.3136670000000005E-2</v>
      </c>
      <c r="U178">
        <v>1.2634279999999999E-2</v>
      </c>
      <c r="V178">
        <v>-7.6300099999999996E-3</v>
      </c>
      <c r="W178">
        <v>-3.566768E-2</v>
      </c>
      <c r="X178">
        <v>0.99933459999999996</v>
      </c>
      <c r="Y178">
        <v>1.179389E-2</v>
      </c>
      <c r="Z178">
        <v>-5.5768850000000004E-4</v>
      </c>
      <c r="AA178">
        <v>0.99993030000000005</v>
      </c>
      <c r="AB178">
        <v>16</v>
      </c>
      <c r="AC178">
        <v>37.6116999999999</v>
      </c>
      <c r="AD178">
        <v>-1.1711229999999999</v>
      </c>
      <c r="AE178">
        <v>0.15719999999998799</v>
      </c>
      <c r="AF178">
        <v>0.44479232761350901</v>
      </c>
      <c r="AG178">
        <v>-1.1711229999999999</v>
      </c>
      <c r="AH178">
        <v>37.572966003882101</v>
      </c>
      <c r="AI178">
        <v>91.785166261446406</v>
      </c>
      <c r="AJ178">
        <v>89.321758821248494</v>
      </c>
      <c r="AK178">
        <v>37.593844491149198</v>
      </c>
      <c r="AL178">
        <v>92.044041040356703</v>
      </c>
      <c r="AM178">
        <v>90.437449955306803</v>
      </c>
      <c r="AN178">
        <v>1.0000000216031699</v>
      </c>
    </row>
    <row r="179" spans="1:40" x14ac:dyDescent="0.25">
      <c r="A179" t="str">
        <f>"20190303153746917"</f>
        <v>20190303153746917</v>
      </c>
      <c r="B179" t="str">
        <f>"1551598666908808"</f>
        <v>1551598666908808</v>
      </c>
      <c r="C179" t="s">
        <v>40</v>
      </c>
      <c r="D179">
        <v>3.7879130000000001</v>
      </c>
      <c r="E179">
        <v>0.50714979999999998</v>
      </c>
      <c r="F179" t="s">
        <v>43</v>
      </c>
      <c r="G179">
        <v>-421.44959999999998</v>
      </c>
      <c r="H179">
        <v>-0.05</v>
      </c>
      <c r="I179">
        <v>367.40140000000002</v>
      </c>
      <c r="J179">
        <v>-460.80799999999999</v>
      </c>
      <c r="K179">
        <v>1.121119</v>
      </c>
      <c r="L179">
        <v>367.23489999999998</v>
      </c>
      <c r="M179">
        <v>0.99979499999999999</v>
      </c>
      <c r="N179">
        <v>-1.232345E-2</v>
      </c>
      <c r="O179">
        <v>1.6068260000000001E-2</v>
      </c>
      <c r="P179">
        <v>0.99849350000000003</v>
      </c>
      <c r="Q179">
        <v>-4.9481700000000003E-2</v>
      </c>
      <c r="R179">
        <v>2.372169E-2</v>
      </c>
      <c r="S179">
        <v>2.9997250000000002</v>
      </c>
      <c r="T179">
        <v>-8.8943839999999996E-2</v>
      </c>
      <c r="U179">
        <v>1.281738E-2</v>
      </c>
      <c r="V179">
        <v>-7.67438199999999E-3</v>
      </c>
      <c r="W179">
        <v>-3.7169870000000001E-2</v>
      </c>
      <c r="X179">
        <v>0.99927949999999999</v>
      </c>
      <c r="Y179">
        <v>1.178733E-2</v>
      </c>
      <c r="Z179">
        <v>-5.2567029999999999E-4</v>
      </c>
      <c r="AA179">
        <v>0.9999304</v>
      </c>
      <c r="AB179">
        <v>16</v>
      </c>
      <c r="AC179">
        <v>39.358400000000003</v>
      </c>
      <c r="AD179">
        <v>-1.171119</v>
      </c>
      <c r="AE179">
        <v>0.166500000000041</v>
      </c>
      <c r="AF179">
        <v>0.465578295741574</v>
      </c>
      <c r="AG179">
        <v>-1.171119</v>
      </c>
      <c r="AH179">
        <v>39.3211801552631</v>
      </c>
      <c r="AI179">
        <v>91.705840134044706</v>
      </c>
      <c r="AJ179">
        <v>89.321627052385296</v>
      </c>
      <c r="AK179">
        <v>39.341371247889697</v>
      </c>
      <c r="AL179">
        <v>92.130167359020405</v>
      </c>
      <c r="AM179">
        <v>90.440018087455101</v>
      </c>
      <c r="AN179">
        <v>1.0000000072475701</v>
      </c>
    </row>
    <row r="180" spans="1:40" x14ac:dyDescent="0.25">
      <c r="A180" t="str">
        <f>"20190303153746941"</f>
        <v>20190303153746941</v>
      </c>
      <c r="B180" t="str">
        <f>"1551598666929304"</f>
        <v>1551598666929304</v>
      </c>
      <c r="C180" t="s">
        <v>40</v>
      </c>
      <c r="D180">
        <v>3.7780040000000001</v>
      </c>
      <c r="E180">
        <v>0.50735589999999997</v>
      </c>
      <c r="F180" t="s">
        <v>43</v>
      </c>
      <c r="G180">
        <v>-417.85570000000001</v>
      </c>
      <c r="H180">
        <v>-0.05</v>
      </c>
      <c r="I180">
        <v>367.44069999999999</v>
      </c>
      <c r="J180">
        <v>-460.63869999999997</v>
      </c>
      <c r="K180">
        <v>1.1211120000000001</v>
      </c>
      <c r="L180">
        <v>367.23770000000002</v>
      </c>
      <c r="M180">
        <v>0.99979150000000006</v>
      </c>
      <c r="N180">
        <v>-1.254574E-2</v>
      </c>
      <c r="O180">
        <v>1.6107570000000002E-2</v>
      </c>
      <c r="P180">
        <v>0.99840039999999997</v>
      </c>
      <c r="Q180">
        <v>-5.110344E-2</v>
      </c>
      <c r="R180">
        <v>2.4184259999999999E-2</v>
      </c>
      <c r="S180">
        <v>3.0001220000000002</v>
      </c>
      <c r="T180">
        <v>-8.1800220000000007E-2</v>
      </c>
      <c r="U180">
        <v>1.4373779999999999E-2</v>
      </c>
      <c r="V180">
        <v>-8.0999369999999998E-3</v>
      </c>
      <c r="W180">
        <v>-3.8570109999999998E-2</v>
      </c>
      <c r="X180">
        <v>0.99922310000000003</v>
      </c>
      <c r="Y180">
        <v>1.131039E-2</v>
      </c>
      <c r="Z180">
        <v>-4.6213820000000003E-4</v>
      </c>
      <c r="AA180">
        <v>0.99993589999999999</v>
      </c>
      <c r="AB180">
        <v>16</v>
      </c>
      <c r="AC180">
        <v>42.782999999999902</v>
      </c>
      <c r="AD180">
        <v>-1.1711119999999999</v>
      </c>
      <c r="AE180">
        <v>0.20299999999997401</v>
      </c>
      <c r="AF180">
        <v>0.48584674842765901</v>
      </c>
      <c r="AG180">
        <v>-1.1711119999999999</v>
      </c>
      <c r="AH180">
        <v>42.748687981624002</v>
      </c>
      <c r="AI180">
        <v>91.569139770732903</v>
      </c>
      <c r="AJ180">
        <v>89.348850899548395</v>
      </c>
      <c r="AK180">
        <v>42.767486184363797</v>
      </c>
      <c r="AL180">
        <v>92.210452741231293</v>
      </c>
      <c r="AM180">
        <v>90.464442865157096</v>
      </c>
      <c r="AN180">
        <v>1.00000003296921</v>
      </c>
    </row>
    <row r="181" spans="1:40" x14ac:dyDescent="0.25">
      <c r="A181" t="str">
        <f>"20190303153746961"</f>
        <v>20190303153746961</v>
      </c>
      <c r="B181" t="str">
        <f>"1551598666948824"</f>
        <v>1551598666948824</v>
      </c>
      <c r="C181" t="s">
        <v>40</v>
      </c>
      <c r="D181">
        <v>3.7300840000000002</v>
      </c>
      <c r="E181">
        <v>0.50799740000000004</v>
      </c>
      <c r="F181" t="s">
        <v>43</v>
      </c>
      <c r="G181">
        <v>-415.98700000000002</v>
      </c>
      <c r="H181">
        <v>-0.05</v>
      </c>
      <c r="I181">
        <v>367.44709999999998</v>
      </c>
      <c r="J181">
        <v>-460.49029999999999</v>
      </c>
      <c r="K181">
        <v>1.1211169999999999</v>
      </c>
      <c r="L181">
        <v>367.24009999999998</v>
      </c>
      <c r="M181">
        <v>0.99978929999999999</v>
      </c>
      <c r="N181">
        <v>-1.2714319999999999E-2</v>
      </c>
      <c r="O181">
        <v>1.612019E-2</v>
      </c>
      <c r="P181">
        <v>0.99834319999999999</v>
      </c>
      <c r="Q181">
        <v>-5.1858609999999999E-2</v>
      </c>
      <c r="R181">
        <v>2.493049E-2</v>
      </c>
      <c r="S181">
        <v>3.0004580000000001</v>
      </c>
      <c r="T181">
        <v>-7.8695180000000003E-2</v>
      </c>
      <c r="U181">
        <v>1.4068600000000001E-2</v>
      </c>
      <c r="V181">
        <v>-8.8353960000000006E-3</v>
      </c>
      <c r="W181">
        <v>-3.9157039999999997E-2</v>
      </c>
      <c r="X181">
        <v>0.99919400000000003</v>
      </c>
      <c r="Y181">
        <v>1.142585E-2</v>
      </c>
      <c r="Z181">
        <v>-4.4021659999999999E-4</v>
      </c>
      <c r="AA181">
        <v>0.99993460000000001</v>
      </c>
      <c r="AB181">
        <v>16</v>
      </c>
      <c r="AC181">
        <v>44.503300000000003</v>
      </c>
      <c r="AD181">
        <v>-1.171117</v>
      </c>
      <c r="AE181">
        <v>0.206999999999993</v>
      </c>
      <c r="AF181">
        <v>0.51013323205904704</v>
      </c>
      <c r="AG181">
        <v>-1.171117</v>
      </c>
      <c r="AH181">
        <v>44.4700589220284</v>
      </c>
      <c r="AI181">
        <v>91.508433901010804</v>
      </c>
      <c r="AJ181">
        <v>89.342766798356905</v>
      </c>
      <c r="AK181">
        <v>44.488401763502601</v>
      </c>
      <c r="AL181">
        <v>92.2441068651287</v>
      </c>
      <c r="AM181">
        <v>90.506626048239696</v>
      </c>
      <c r="AN181">
        <v>0.99999999382001903</v>
      </c>
    </row>
    <row r="182" spans="1:40" x14ac:dyDescent="0.25">
      <c r="A182" t="str">
        <f>"20190303153746976"</f>
        <v>20190303153746976</v>
      </c>
      <c r="B182" t="str">
        <f>"1551598666969321"</f>
        <v>1551598666969321</v>
      </c>
      <c r="C182" t="s">
        <v>40</v>
      </c>
      <c r="D182">
        <v>3.6784400000000002</v>
      </c>
      <c r="E182">
        <v>0.52020279999999997</v>
      </c>
      <c r="F182" t="s">
        <v>43</v>
      </c>
      <c r="G182">
        <v>-416.33249999999998</v>
      </c>
      <c r="H182">
        <v>-0.05</v>
      </c>
      <c r="I182">
        <v>367.40859999999998</v>
      </c>
      <c r="J182">
        <v>-460.38470000000001</v>
      </c>
      <c r="K182">
        <v>1.1211249999999999</v>
      </c>
      <c r="L182">
        <v>367.24189999999999</v>
      </c>
      <c r="M182">
        <v>0.99978800000000001</v>
      </c>
      <c r="N182">
        <v>-1.282149E-2</v>
      </c>
      <c r="O182">
        <v>1.611974E-2</v>
      </c>
      <c r="P182">
        <v>0.99832419999999999</v>
      </c>
      <c r="Q182">
        <v>-5.1902169999999997E-2</v>
      </c>
      <c r="R182">
        <v>2.5600149999999999E-2</v>
      </c>
      <c r="S182">
        <v>3.0005190000000002</v>
      </c>
      <c r="T182">
        <v>-7.9577330000000002E-2</v>
      </c>
      <c r="U182">
        <v>1.1444090000000001E-2</v>
      </c>
      <c r="V182">
        <v>-9.5067420000000003E-3</v>
      </c>
      <c r="W182">
        <v>-3.9093389999999999E-2</v>
      </c>
      <c r="X182">
        <v>0.99919029999999998</v>
      </c>
      <c r="Y182">
        <v>1.22995E-2</v>
      </c>
      <c r="Z182">
        <v>-4.6268699999999998E-4</v>
      </c>
      <c r="AA182">
        <v>0.99992420000000004</v>
      </c>
      <c r="AB182">
        <v>16</v>
      </c>
      <c r="AC182">
        <v>44.052199999999999</v>
      </c>
      <c r="AD182">
        <v>-1.171125</v>
      </c>
      <c r="AE182">
        <v>0.16669999999999099</v>
      </c>
      <c r="AF182">
        <v>0.54310610887291799</v>
      </c>
      <c r="AG182">
        <v>-1.171125</v>
      </c>
      <c r="AH182">
        <v>44.018052969263799</v>
      </c>
      <c r="AI182">
        <v>91.523910900874199</v>
      </c>
      <c r="AJ182">
        <v>89.293105740279699</v>
      </c>
      <c r="AK182">
        <v>44.036978611344701</v>
      </c>
      <c r="AL182">
        <v>92.240457262321797</v>
      </c>
      <c r="AM182">
        <v>90.545121142852295</v>
      </c>
      <c r="AN182">
        <v>0.99999996344961695</v>
      </c>
    </row>
    <row r="183" spans="1:40" x14ac:dyDescent="0.25">
      <c r="A183" t="str">
        <f>"20190303153746993"</f>
        <v>20190303153746993</v>
      </c>
      <c r="B183" t="str">
        <f>"1551598666988840"</f>
        <v>1551598666988840</v>
      </c>
      <c r="C183" t="s">
        <v>40</v>
      </c>
      <c r="D183">
        <v>3.8047149999999998</v>
      </c>
      <c r="E183">
        <v>0.52197269999999996</v>
      </c>
      <c r="F183" t="s">
        <v>41</v>
      </c>
      <c r="G183">
        <v>-170.08879999999999</v>
      </c>
      <c r="H183">
        <v>7.2862130000000001</v>
      </c>
      <c r="I183">
        <v>359.23180000000002</v>
      </c>
      <c r="J183">
        <v>-460.25700000000001</v>
      </c>
      <c r="K183">
        <v>1.121138</v>
      </c>
      <c r="L183">
        <v>367.2439</v>
      </c>
      <c r="M183">
        <v>0.99978650000000002</v>
      </c>
      <c r="N183">
        <v>-1.2938059999999999E-2</v>
      </c>
      <c r="O183">
        <v>1.6111670000000002E-2</v>
      </c>
      <c r="P183">
        <v>0.99831510000000001</v>
      </c>
      <c r="Q183">
        <v>-5.1359330000000002E-2</v>
      </c>
      <c r="R183">
        <v>2.7002990000000001E-2</v>
      </c>
      <c r="S183">
        <v>3.010529</v>
      </c>
      <c r="T183">
        <v>6.3936229999999997E-2</v>
      </c>
      <c r="U183">
        <v>-8.306885E-2</v>
      </c>
      <c r="V183">
        <v>-1.091778E-2</v>
      </c>
      <c r="W183">
        <v>-3.843365E-2</v>
      </c>
      <c r="X183">
        <v>0.99920149999999996</v>
      </c>
      <c r="Y183">
        <v>4.3672349999999999E-2</v>
      </c>
      <c r="Z183">
        <v>7.3146729999999996E-4</v>
      </c>
      <c r="AA183">
        <v>0.99904559999999998</v>
      </c>
      <c r="AB183">
        <v>16</v>
      </c>
      <c r="AC183">
        <v>290.16820000000001</v>
      </c>
      <c r="AD183">
        <v>6.1650749999999999</v>
      </c>
      <c r="AE183">
        <v>-8.01209999999997</v>
      </c>
      <c r="AF183">
        <v>12.6808254396005</v>
      </c>
      <c r="AG183">
        <v>6.1650749999999999</v>
      </c>
      <c r="AH183">
        <v>289.87067772828902</v>
      </c>
      <c r="AI183">
        <v>88.782760055310504</v>
      </c>
      <c r="AJ183">
        <v>87.495107711761506</v>
      </c>
      <c r="AK183">
        <v>290.21340646193897</v>
      </c>
      <c r="AL183">
        <v>92.2026284514656</v>
      </c>
      <c r="AM183">
        <v>90.626017698363796</v>
      </c>
      <c r="AN183">
        <v>0.99999999048735</v>
      </c>
    </row>
    <row r="184" spans="1:40" x14ac:dyDescent="0.25">
      <c r="A184" t="str">
        <f>"20190303153747015"</f>
        <v>20190303153747015</v>
      </c>
      <c r="B184" t="str">
        <f>"1551598667009337"</f>
        <v>1551598667009337</v>
      </c>
      <c r="C184" t="s">
        <v>40</v>
      </c>
      <c r="D184">
        <v>3.6589559999999999</v>
      </c>
      <c r="E184">
        <v>0.52135220000000004</v>
      </c>
      <c r="F184" t="s">
        <v>41</v>
      </c>
      <c r="G184">
        <v>-170.08879999999999</v>
      </c>
      <c r="H184">
        <v>7.7847679999999997</v>
      </c>
      <c r="I184">
        <v>358.3186</v>
      </c>
      <c r="J184">
        <v>-460.09780000000001</v>
      </c>
      <c r="K184">
        <v>1.121159</v>
      </c>
      <c r="L184">
        <v>367.24650000000003</v>
      </c>
      <c r="M184">
        <v>0.99978509999999998</v>
      </c>
      <c r="N184">
        <v>-1.306413E-2</v>
      </c>
      <c r="O184">
        <v>1.6094750000000001E-2</v>
      </c>
      <c r="P184">
        <v>0.99833890000000003</v>
      </c>
      <c r="Q184">
        <v>-4.997683E-2</v>
      </c>
      <c r="R184">
        <v>2.866318E-2</v>
      </c>
      <c r="S184">
        <v>3.011139</v>
      </c>
      <c r="T184">
        <v>6.9150809999999993E-2</v>
      </c>
      <c r="U184">
        <v>-9.2620850000000005E-2</v>
      </c>
      <c r="V184">
        <v>-1.259418E-2</v>
      </c>
      <c r="W184">
        <v>-3.6924390000000001E-2</v>
      </c>
      <c r="X184">
        <v>0.99923870000000004</v>
      </c>
      <c r="Y184">
        <v>4.681366E-2</v>
      </c>
      <c r="Z184">
        <v>8.1111189999999998E-4</v>
      </c>
      <c r="AA184">
        <v>0.99890330000000005</v>
      </c>
      <c r="AB184">
        <v>16</v>
      </c>
      <c r="AC184">
        <v>290.00900000000001</v>
      </c>
      <c r="AD184">
        <v>6.6636089999999903</v>
      </c>
      <c r="AE184">
        <v>-8.9279000000000206</v>
      </c>
      <c r="AF184">
        <v>13.587597363075901</v>
      </c>
      <c r="AG184">
        <v>6.6636089999999903</v>
      </c>
      <c r="AH184">
        <v>289.67493422944699</v>
      </c>
      <c r="AI184">
        <v>88.683661579028097</v>
      </c>
      <c r="AJ184">
        <v>87.314431865494996</v>
      </c>
      <c r="AK184">
        <v>290.06998122494502</v>
      </c>
      <c r="AL184">
        <v>92.116092740785305</v>
      </c>
      <c r="AM184">
        <v>90.722104892917102</v>
      </c>
      <c r="AN184">
        <v>1.0000000017622099</v>
      </c>
    </row>
    <row r="185" spans="1:40" x14ac:dyDescent="0.25">
      <c r="A185" t="str">
        <f>"20190303153747027"</f>
        <v>20190303153747027</v>
      </c>
      <c r="B185" t="str">
        <f>"1551598667019096"</f>
        <v>1551598667019096</v>
      </c>
      <c r="C185" t="s">
        <v>40</v>
      </c>
      <c r="D185">
        <v>3.7436859999999998</v>
      </c>
      <c r="E185">
        <v>0.52098889999999998</v>
      </c>
      <c r="F185" t="s">
        <v>41</v>
      </c>
      <c r="G185">
        <v>-158.19499999999999</v>
      </c>
      <c r="H185">
        <v>5.3928050000000001</v>
      </c>
      <c r="I185">
        <v>358.97449999999998</v>
      </c>
      <c r="J185">
        <v>-460.00920000000002</v>
      </c>
      <c r="K185">
        <v>1.121178</v>
      </c>
      <c r="L185">
        <v>367.24790000000002</v>
      </c>
      <c r="M185">
        <v>0.99978460000000002</v>
      </c>
      <c r="N185">
        <v>-1.312758E-2</v>
      </c>
      <c r="O185">
        <v>1.608331E-2</v>
      </c>
      <c r="P185">
        <v>0.998332</v>
      </c>
      <c r="Q185">
        <v>-4.9696270000000001E-2</v>
      </c>
      <c r="R185">
        <v>2.9393809999999999E-2</v>
      </c>
      <c r="S185">
        <v>3.0094910000000001</v>
      </c>
      <c r="T185">
        <v>4.2582389999999998E-2</v>
      </c>
      <c r="U185">
        <v>-8.2458500000000004E-2</v>
      </c>
      <c r="V185">
        <v>-1.3336219999999999E-2</v>
      </c>
      <c r="W185">
        <v>-3.6580290000000001E-2</v>
      </c>
      <c r="X185">
        <v>0.99924170000000001</v>
      </c>
      <c r="Y185">
        <v>4.3458030000000002E-2</v>
      </c>
      <c r="Z185">
        <v>4.6066139999999999E-4</v>
      </c>
      <c r="AA185">
        <v>0.99905509999999997</v>
      </c>
      <c r="AB185">
        <v>16</v>
      </c>
      <c r="AC185">
        <v>301.81420000000003</v>
      </c>
      <c r="AD185">
        <v>4.2716269999999996</v>
      </c>
      <c r="AE185">
        <v>-8.2734000000000307</v>
      </c>
      <c r="AF185">
        <v>13.1242917629946</v>
      </c>
      <c r="AG185">
        <v>4.2716269999999996</v>
      </c>
      <c r="AH185">
        <v>301.58171495379901</v>
      </c>
      <c r="AI185">
        <v>89.189279580608599</v>
      </c>
      <c r="AJ185">
        <v>87.508163364064202</v>
      </c>
      <c r="AK185">
        <v>301.897374327737</v>
      </c>
      <c r="AL185">
        <v>92.096363993155293</v>
      </c>
      <c r="AM185">
        <v>90.764643585807704</v>
      </c>
      <c r="AN185">
        <v>0.99999997369963001</v>
      </c>
    </row>
    <row r="186" spans="1:40" x14ac:dyDescent="0.25">
      <c r="A186" t="str">
        <f>"20190303153747039"</f>
        <v>20190303153747039</v>
      </c>
      <c r="B186" t="str">
        <f>"1551598667028857"</f>
        <v>1551598667028857</v>
      </c>
      <c r="C186" t="s">
        <v>40</v>
      </c>
      <c r="D186">
        <v>3.787693</v>
      </c>
      <c r="E186">
        <v>0.52033790000000002</v>
      </c>
      <c r="F186" t="s">
        <v>41</v>
      </c>
      <c r="G186">
        <v>-158.19499999999999</v>
      </c>
      <c r="H186">
        <v>4.0687470000000001</v>
      </c>
      <c r="I186">
        <v>359.47539999999998</v>
      </c>
      <c r="J186">
        <v>-459.928</v>
      </c>
      <c r="K186">
        <v>1.1211990000000001</v>
      </c>
      <c r="L186">
        <v>367.24919999999997</v>
      </c>
      <c r="M186">
        <v>0.99978409999999995</v>
      </c>
      <c r="N186">
        <v>-1.317925E-2</v>
      </c>
      <c r="O186">
        <v>1.607244E-2</v>
      </c>
      <c r="P186">
        <v>0.99832860000000001</v>
      </c>
      <c r="Q186">
        <v>-4.9365979999999997E-2</v>
      </c>
      <c r="R186">
        <v>3.005319E-2</v>
      </c>
      <c r="S186">
        <v>3.0087890000000002</v>
      </c>
      <c r="T186">
        <v>2.9385209999999998E-2</v>
      </c>
      <c r="U186">
        <v>-7.7484129999999998E-2</v>
      </c>
      <c r="V186">
        <v>-1.400586E-2</v>
      </c>
      <c r="W186">
        <v>-3.6198309999999997E-2</v>
      </c>
      <c r="X186">
        <v>0.99924650000000004</v>
      </c>
      <c r="Y186">
        <v>4.1805719999999998E-2</v>
      </c>
      <c r="Z186">
        <v>2.9729380000000002E-4</v>
      </c>
      <c r="AA186">
        <v>0.99912570000000001</v>
      </c>
      <c r="AB186">
        <v>16</v>
      </c>
      <c r="AC186">
        <v>301.733</v>
      </c>
      <c r="AD186">
        <v>2.9475479999999998</v>
      </c>
      <c r="AE186">
        <v>-7.7737999999999898</v>
      </c>
      <c r="AF186">
        <v>12.6215981533741</v>
      </c>
      <c r="AG186">
        <v>2.9475479999999998</v>
      </c>
      <c r="AH186">
        <v>301.54030729299302</v>
      </c>
      <c r="AI186">
        <v>89.440443138567602</v>
      </c>
      <c r="AJ186">
        <v>87.603164820342201</v>
      </c>
      <c r="AK186">
        <v>301.81873649843197</v>
      </c>
      <c r="AL186">
        <v>92.074463539796994</v>
      </c>
      <c r="AM186">
        <v>90.803029203609498</v>
      </c>
      <c r="AN186">
        <v>1.00000002476172</v>
      </c>
    </row>
    <row r="187" spans="1:40" x14ac:dyDescent="0.25">
      <c r="A187" t="str">
        <f>"20190303153747052"</f>
        <v>20190303153747052</v>
      </c>
      <c r="B187" t="str">
        <f>"1551598667049353"</f>
        <v>1551598667049353</v>
      </c>
      <c r="C187" t="s">
        <v>40</v>
      </c>
      <c r="D187">
        <v>3.7676750000000001</v>
      </c>
      <c r="E187">
        <v>0.51819799999999905</v>
      </c>
      <c r="F187" t="s">
        <v>41</v>
      </c>
      <c r="G187">
        <v>-158.19499999999999</v>
      </c>
      <c r="H187">
        <v>3.3763030000000001</v>
      </c>
      <c r="I187">
        <v>360.17849999999999</v>
      </c>
      <c r="J187">
        <v>-459.84</v>
      </c>
      <c r="K187">
        <v>1.1212150000000001</v>
      </c>
      <c r="L187">
        <v>367.25060000000002</v>
      </c>
      <c r="M187">
        <v>0.99978350000000005</v>
      </c>
      <c r="N187">
        <v>-1.323298E-2</v>
      </c>
      <c r="O187">
        <v>1.606074E-2</v>
      </c>
      <c r="P187">
        <v>0.99831720000000002</v>
      </c>
      <c r="Q187">
        <v>-4.9320570000000001E-2</v>
      </c>
      <c r="R187">
        <v>3.0504509999999999E-2</v>
      </c>
      <c r="S187">
        <v>3.0083009999999999</v>
      </c>
      <c r="T187">
        <v>2.2484420000000001E-2</v>
      </c>
      <c r="U187">
        <v>-7.049561E-2</v>
      </c>
      <c r="V187">
        <v>-1.4469040000000001E-2</v>
      </c>
      <c r="W187">
        <v>-3.6099300000000001E-2</v>
      </c>
      <c r="X187">
        <v>0.9992434</v>
      </c>
      <c r="Y187">
        <v>3.9479390000000003E-2</v>
      </c>
      <c r="Z187">
        <v>2.1877910000000001E-4</v>
      </c>
      <c r="AA187">
        <v>0.99922040000000001</v>
      </c>
      <c r="AB187">
        <v>16</v>
      </c>
      <c r="AC187">
        <v>301.64499999999998</v>
      </c>
      <c r="AD187">
        <v>2.2550880000000002</v>
      </c>
      <c r="AE187">
        <v>-7.07210000000003</v>
      </c>
      <c r="AF187">
        <v>11.9155879624742</v>
      </c>
      <c r="AG187">
        <v>2.2550880000000002</v>
      </c>
      <c r="AH187">
        <v>301.47565307215899</v>
      </c>
      <c r="AI187">
        <v>89.571760385159294</v>
      </c>
      <c r="AJ187">
        <v>87.736607505403597</v>
      </c>
      <c r="AK187">
        <v>301.71946581827302</v>
      </c>
      <c r="AL187">
        <v>92.068787144939705</v>
      </c>
      <c r="AM187">
        <v>90.829584656716904</v>
      </c>
      <c r="AN187">
        <v>0.99999994251128399</v>
      </c>
    </row>
    <row r="188" spans="1:40" x14ac:dyDescent="0.25">
      <c r="A188" t="str">
        <f>"20190303153747065"</f>
        <v>20190303153747065</v>
      </c>
      <c r="B188" t="str">
        <f>"1551598667059112"</f>
        <v>1551598667059112</v>
      </c>
      <c r="C188" t="s">
        <v>40</v>
      </c>
      <c r="D188">
        <v>3.784694</v>
      </c>
      <c r="E188">
        <v>0.5174993</v>
      </c>
      <c r="F188" t="s">
        <v>41</v>
      </c>
      <c r="G188">
        <v>-158.19499999999999</v>
      </c>
      <c r="H188">
        <v>1.138792</v>
      </c>
      <c r="I188">
        <v>361.99979999999999</v>
      </c>
      <c r="J188">
        <v>-459.7355</v>
      </c>
      <c r="K188">
        <v>1.121232</v>
      </c>
      <c r="L188">
        <v>367.25229999999999</v>
      </c>
      <c r="M188">
        <v>0.99978299999999998</v>
      </c>
      <c r="N188">
        <v>-1.328989E-2</v>
      </c>
      <c r="O188">
        <v>1.604707E-2</v>
      </c>
      <c r="P188">
        <v>0.99831329999999996</v>
      </c>
      <c r="Q188">
        <v>-4.9291700000000001E-2</v>
      </c>
      <c r="R188">
        <v>3.0676990000000001E-2</v>
      </c>
      <c r="S188">
        <v>3.0066830000000002</v>
      </c>
      <c r="T188">
        <v>1.760721E-4</v>
      </c>
      <c r="U188">
        <v>-5.2337649999999999E-2</v>
      </c>
      <c r="V188">
        <v>-1.465491E-2</v>
      </c>
      <c r="W188">
        <v>-3.6013709999999997E-2</v>
      </c>
      <c r="X188">
        <v>0.99924389999999996</v>
      </c>
      <c r="Y188">
        <v>3.3446869999999997E-2</v>
      </c>
      <c r="Z188" s="1">
        <v>-7.1038669999999996E-6</v>
      </c>
      <c r="AA188">
        <v>0.99944049999999995</v>
      </c>
      <c r="AB188">
        <v>16</v>
      </c>
      <c r="AC188">
        <v>301.54050000000001</v>
      </c>
      <c r="AD188">
        <v>1.7559999999999999E-2</v>
      </c>
      <c r="AE188">
        <v>-5.2524999999999897</v>
      </c>
      <c r="AF188">
        <v>10.0910919825156</v>
      </c>
      <c r="AG188">
        <v>1.7559999999999999E-2</v>
      </c>
      <c r="AH188">
        <v>301.41737033952302</v>
      </c>
      <c r="AI188">
        <v>89.9966639264414</v>
      </c>
      <c r="AJ188">
        <v>88.082522208124402</v>
      </c>
      <c r="AK188">
        <v>301.58624237213797</v>
      </c>
      <c r="AL188">
        <v>92.063879759891293</v>
      </c>
      <c r="AM188">
        <v>90.840239603504202</v>
      </c>
      <c r="AN188">
        <v>1.0000000626911301</v>
      </c>
    </row>
    <row r="189" spans="1:40" x14ac:dyDescent="0.25">
      <c r="A189" t="str">
        <f>"20190303153747082"</f>
        <v>20190303153747082</v>
      </c>
      <c r="B189" t="str">
        <f>"1551598667068872"</f>
        <v>1551598667068872</v>
      </c>
      <c r="C189" t="s">
        <v>40</v>
      </c>
      <c r="D189">
        <v>3.8219850000000002</v>
      </c>
      <c r="E189">
        <v>0.51639979999999996</v>
      </c>
      <c r="F189" t="s">
        <v>41</v>
      </c>
      <c r="G189">
        <v>-158.19499999999999</v>
      </c>
      <c r="H189">
        <v>0.61458400000000002</v>
      </c>
      <c r="I189">
        <v>362.60559999999998</v>
      </c>
      <c r="J189">
        <v>-459.62439999999998</v>
      </c>
      <c r="K189">
        <v>1.121243</v>
      </c>
      <c r="L189">
        <v>367.25400000000002</v>
      </c>
      <c r="M189">
        <v>0.99978239999999996</v>
      </c>
      <c r="N189">
        <v>-1.3344089999999999E-2</v>
      </c>
      <c r="O189">
        <v>1.603539E-2</v>
      </c>
      <c r="P189">
        <v>0.99835850000000004</v>
      </c>
      <c r="Q189">
        <v>-4.8179380000000001E-2</v>
      </c>
      <c r="R189">
        <v>3.096782E-2</v>
      </c>
      <c r="S189">
        <v>3.0062259999999998</v>
      </c>
      <c r="T189">
        <v>-5.0501820000000003E-3</v>
      </c>
      <c r="U189">
        <v>-4.6325680000000001E-2</v>
      </c>
      <c r="V189">
        <v>-1.4956189999999999E-2</v>
      </c>
      <c r="W189">
        <v>-3.4846799999999997E-2</v>
      </c>
      <c r="X189">
        <v>0.99928079999999997</v>
      </c>
      <c r="Y189">
        <v>3.1439540000000002E-2</v>
      </c>
      <c r="Z189" s="1">
        <v>-4.9155769999999999E-5</v>
      </c>
      <c r="AA189">
        <v>0.99950559999999999</v>
      </c>
      <c r="AB189">
        <v>16</v>
      </c>
      <c r="AC189">
        <v>301.42939999999999</v>
      </c>
      <c r="AD189">
        <v>-0.50665899999999997</v>
      </c>
      <c r="AE189">
        <v>-4.6484000000000298</v>
      </c>
      <c r="AF189">
        <v>9.4817437173130799</v>
      </c>
      <c r="AG189">
        <v>-0.50665899999999997</v>
      </c>
      <c r="AH189">
        <v>301.31524013645497</v>
      </c>
      <c r="AI189">
        <v>90.0962946077493</v>
      </c>
      <c r="AJ189">
        <v>88.197619590457606</v>
      </c>
      <c r="AK189">
        <v>301.46481404262198</v>
      </c>
      <c r="AL189">
        <v>91.996978759513397</v>
      </c>
      <c r="AM189">
        <v>90.857479285670493</v>
      </c>
      <c r="AN189">
        <v>1.0000000521690899</v>
      </c>
    </row>
    <row r="190" spans="1:40" x14ac:dyDescent="0.25">
      <c r="A190" t="str">
        <f>"20190303153747094"</f>
        <v>20190303153747094</v>
      </c>
      <c r="B190" t="str">
        <f>"1551598667089368"</f>
        <v>1551598667089368</v>
      </c>
      <c r="C190" t="s">
        <v>40</v>
      </c>
      <c r="D190">
        <v>3.8408220000000002</v>
      </c>
      <c r="E190">
        <v>0.51480349999999997</v>
      </c>
      <c r="F190" t="s">
        <v>41</v>
      </c>
      <c r="G190">
        <v>-158.19499999999999</v>
      </c>
      <c r="H190">
        <v>0.12612580000000001</v>
      </c>
      <c r="I190">
        <v>363.55689999999998</v>
      </c>
      <c r="J190">
        <v>-459.54059999999998</v>
      </c>
      <c r="K190">
        <v>1.121251</v>
      </c>
      <c r="L190">
        <v>367.25540000000001</v>
      </c>
      <c r="M190">
        <v>0.99978199999999995</v>
      </c>
      <c r="N190">
        <v>-1.338195E-2</v>
      </c>
      <c r="O190">
        <v>1.6027969999999999E-2</v>
      </c>
      <c r="P190">
        <v>0.99835890000000005</v>
      </c>
      <c r="Q190">
        <v>-4.812686E-2</v>
      </c>
      <c r="R190">
        <v>3.10361E-2</v>
      </c>
      <c r="S190">
        <v>3.005585</v>
      </c>
      <c r="T190">
        <v>-9.9215510000000007E-3</v>
      </c>
      <c r="U190">
        <v>-3.6865229999999999E-2</v>
      </c>
      <c r="V190">
        <v>-1.503152E-2</v>
      </c>
      <c r="W190">
        <v>-3.4756540000000002E-2</v>
      </c>
      <c r="X190">
        <v>0.99928280000000003</v>
      </c>
      <c r="Y190">
        <v>2.8289689999999999E-2</v>
      </c>
      <c r="Z190" s="1">
        <v>-7.4410549999999999E-5</v>
      </c>
      <c r="AA190">
        <v>0.99959980000000004</v>
      </c>
      <c r="AB190">
        <v>16</v>
      </c>
      <c r="AC190">
        <v>301.34559999999999</v>
      </c>
      <c r="AD190">
        <v>-0.99512520000000004</v>
      </c>
      <c r="AE190">
        <v>-3.6985000000000201</v>
      </c>
      <c r="AF190">
        <v>8.5283225450221103</v>
      </c>
      <c r="AG190">
        <v>-0.99512520000000004</v>
      </c>
      <c r="AH190">
        <v>301.24431403802799</v>
      </c>
      <c r="AI190">
        <v>90.189193386754994</v>
      </c>
      <c r="AJ190">
        <v>88.378371358879505</v>
      </c>
      <c r="AK190">
        <v>301.36665260084402</v>
      </c>
      <c r="AL190">
        <v>91.991804134316695</v>
      </c>
      <c r="AM190">
        <v>90.861795786331299</v>
      </c>
      <c r="AN190">
        <v>1.0000000390210599</v>
      </c>
    </row>
    <row r="191" spans="1:40" x14ac:dyDescent="0.25">
      <c r="A191" t="str">
        <f>"20190303153747108"</f>
        <v>20190303153747108</v>
      </c>
      <c r="B191" t="str">
        <f>"1551598667099130"</f>
        <v>1551598667099130</v>
      </c>
      <c r="C191" t="s">
        <v>40</v>
      </c>
      <c r="D191">
        <v>3.8179630000000002</v>
      </c>
      <c r="E191">
        <v>0.51416240000000002</v>
      </c>
      <c r="F191" t="s">
        <v>42</v>
      </c>
      <c r="G191">
        <v>-333.49540000000002</v>
      </c>
      <c r="H191" s="1">
        <v>-3.371936E-6</v>
      </c>
      <c r="I191">
        <v>366.23869999999999</v>
      </c>
      <c r="J191">
        <v>-459.4307</v>
      </c>
      <c r="K191">
        <v>1.121264</v>
      </c>
      <c r="L191">
        <v>367.25709999999998</v>
      </c>
      <c r="M191">
        <v>0.99978149999999999</v>
      </c>
      <c r="N191">
        <v>-1.342752E-2</v>
      </c>
      <c r="O191">
        <v>1.602021E-2</v>
      </c>
      <c r="P191">
        <v>0.99837330000000002</v>
      </c>
      <c r="Q191">
        <v>-4.8006939999999998E-2</v>
      </c>
      <c r="R191">
        <v>3.0758250000000001E-2</v>
      </c>
      <c r="S191">
        <v>3.0043950000000001</v>
      </c>
      <c r="T191">
        <v>-2.6726010000000001E-2</v>
      </c>
      <c r="U191">
        <v>-2.4230959999999999E-2</v>
      </c>
      <c r="V191">
        <v>-1.476096E-2</v>
      </c>
      <c r="W191">
        <v>-3.4591129999999998E-2</v>
      </c>
      <c r="X191">
        <v>0.99929259999999998</v>
      </c>
      <c r="Y191">
        <v>2.408246E-2</v>
      </c>
      <c r="Z191">
        <v>-1.961915E-4</v>
      </c>
      <c r="AA191">
        <v>0.99970999999999999</v>
      </c>
      <c r="AB191">
        <v>16</v>
      </c>
      <c r="AC191">
        <v>125.935299999999</v>
      </c>
      <c r="AD191">
        <v>-1.121267371936</v>
      </c>
      <c r="AE191">
        <v>-1.01839999999998</v>
      </c>
      <c r="AF191">
        <v>3.03572051014438</v>
      </c>
      <c r="AG191">
        <v>-1.121267371936</v>
      </c>
      <c r="AH191">
        <v>125.892839921652</v>
      </c>
      <c r="AI191">
        <v>90.510144353111997</v>
      </c>
      <c r="AJ191">
        <v>88.618664311128299</v>
      </c>
      <c r="AK191">
        <v>125.93442731466899</v>
      </c>
      <c r="AL191">
        <v>91.982321083361697</v>
      </c>
      <c r="AM191">
        <v>90.846277862573501</v>
      </c>
      <c r="AN191">
        <v>1.0000000663147699</v>
      </c>
    </row>
    <row r="192" spans="1:40" x14ac:dyDescent="0.25">
      <c r="A192" t="str">
        <f>"20190303153747122"</f>
        <v>20190303153747122</v>
      </c>
      <c r="B192" t="str">
        <f>"1551598667119624"</f>
        <v>1551598667119624</v>
      </c>
      <c r="C192" t="s">
        <v>40</v>
      </c>
      <c r="D192">
        <v>3.8340510000000001</v>
      </c>
      <c r="E192">
        <v>0.51310059999999902</v>
      </c>
      <c r="F192" t="s">
        <v>42</v>
      </c>
      <c r="G192">
        <v>-356.94540000000001</v>
      </c>
      <c r="H192" s="1">
        <v>-1.834209E-6</v>
      </c>
      <c r="I192">
        <v>366.5772</v>
      </c>
      <c r="J192">
        <v>-459.33679999999998</v>
      </c>
      <c r="K192">
        <v>1.1212740000000001</v>
      </c>
      <c r="L192">
        <v>367.2586</v>
      </c>
      <c r="M192">
        <v>0.99978109999999998</v>
      </c>
      <c r="N192">
        <v>-1.3461300000000001E-2</v>
      </c>
      <c r="O192">
        <v>1.601752E-2</v>
      </c>
      <c r="P192">
        <v>0.99836329999999995</v>
      </c>
      <c r="Q192">
        <v>-4.8357940000000002E-2</v>
      </c>
      <c r="R192">
        <v>3.0536279999999999E-2</v>
      </c>
      <c r="S192">
        <v>3.0039370000000001</v>
      </c>
      <c r="T192">
        <v>-3.2865289999999998E-2</v>
      </c>
      <c r="U192">
        <v>-1.9927980000000001E-2</v>
      </c>
      <c r="V192">
        <v>-1.454161E-2</v>
      </c>
      <c r="W192">
        <v>-3.4908620000000001E-2</v>
      </c>
      <c r="X192">
        <v>0.99928470000000003</v>
      </c>
      <c r="Y192">
        <v>2.264851E-2</v>
      </c>
      <c r="Z192">
        <v>-2.3595199999999999E-4</v>
      </c>
      <c r="AA192">
        <v>0.99974350000000001</v>
      </c>
      <c r="AB192">
        <v>16</v>
      </c>
      <c r="AC192">
        <v>102.391399999999</v>
      </c>
      <c r="AD192">
        <v>-1.1212758342089999</v>
      </c>
      <c r="AE192">
        <v>-0.68139999999999601</v>
      </c>
      <c r="AF192">
        <v>2.3212391128570999</v>
      </c>
      <c r="AG192">
        <v>-1.1212758342089999</v>
      </c>
      <c r="AH192">
        <v>102.355072576468</v>
      </c>
      <c r="AI192">
        <v>90.627475408452298</v>
      </c>
      <c r="AJ192">
        <v>88.700851773112902</v>
      </c>
      <c r="AK192">
        <v>102.387529966542</v>
      </c>
      <c r="AL192">
        <v>92.000523063336502</v>
      </c>
      <c r="AM192">
        <v>90.833710429620794</v>
      </c>
      <c r="AN192">
        <v>0.99999999091289304</v>
      </c>
    </row>
    <row r="193" spans="1:40" x14ac:dyDescent="0.25">
      <c r="A193" t="str">
        <f>"20190303153747140"</f>
        <v>20190303153747140</v>
      </c>
      <c r="B193" t="str">
        <f>"1551598667129384"</f>
        <v>1551598667129384</v>
      </c>
      <c r="C193" t="s">
        <v>40</v>
      </c>
      <c r="D193">
        <v>3.853243</v>
      </c>
      <c r="E193">
        <v>0.51252790000000004</v>
      </c>
      <c r="F193" t="s">
        <v>42</v>
      </c>
      <c r="G193">
        <v>-385.31849999999997</v>
      </c>
      <c r="H193" s="1">
        <v>-2.4615940000000001E-6</v>
      </c>
      <c r="I193">
        <v>366.96140000000003</v>
      </c>
      <c r="J193">
        <v>-459.21559999999999</v>
      </c>
      <c r="K193">
        <v>1.1212770000000001</v>
      </c>
      <c r="L193">
        <v>367.26049999999998</v>
      </c>
      <c r="M193">
        <v>0.99978069999999997</v>
      </c>
      <c r="N193">
        <v>-1.3501330000000001E-2</v>
      </c>
      <c r="O193">
        <v>1.6016099999999998E-2</v>
      </c>
      <c r="P193">
        <v>0.99836440000000004</v>
      </c>
      <c r="Q193">
        <v>-4.8561479999999997E-2</v>
      </c>
      <c r="R193">
        <v>3.017833E-2</v>
      </c>
      <c r="S193">
        <v>3.003082</v>
      </c>
      <c r="T193">
        <v>-4.5492530000000003E-2</v>
      </c>
      <c r="U193">
        <v>-1.205444E-2</v>
      </c>
      <c r="V193">
        <v>-1.4185100000000001E-2</v>
      </c>
      <c r="W193">
        <v>-3.5072319999999997E-2</v>
      </c>
      <c r="X193">
        <v>0.99928410000000001</v>
      </c>
      <c r="Y193">
        <v>2.0026539999999999E-2</v>
      </c>
      <c r="Z193">
        <v>-3.1324119999999998E-4</v>
      </c>
      <c r="AA193">
        <v>0.9997994</v>
      </c>
      <c r="AB193">
        <v>16</v>
      </c>
      <c r="AC193">
        <v>73.897099999999995</v>
      </c>
      <c r="AD193">
        <v>-1.121279461594</v>
      </c>
      <c r="AE193">
        <v>-0.29909999999995301</v>
      </c>
      <c r="AF193">
        <v>1.48237142125065</v>
      </c>
      <c r="AG193">
        <v>-1.121279461594</v>
      </c>
      <c r="AH193">
        <v>73.865822658730195</v>
      </c>
      <c r="AI193">
        <v>90.869505197632293</v>
      </c>
      <c r="AJ193">
        <v>88.850317728934897</v>
      </c>
      <c r="AK193">
        <v>73.889203877917893</v>
      </c>
      <c r="AL193">
        <v>92.009908114059598</v>
      </c>
      <c r="AM193">
        <v>90.813274000480206</v>
      </c>
      <c r="AN193">
        <v>0.99999999860250099</v>
      </c>
    </row>
    <row r="194" spans="1:40" x14ac:dyDescent="0.25">
      <c r="A194" t="str">
        <f>"20190303153747155"</f>
        <v>20190303153747155</v>
      </c>
      <c r="B194" t="str">
        <f>"1551598667148905"</f>
        <v>1551598667148905</v>
      </c>
      <c r="C194" t="s">
        <v>40</v>
      </c>
      <c r="D194">
        <v>3.8911340000000001</v>
      </c>
      <c r="E194">
        <v>0.51160870000000003</v>
      </c>
      <c r="F194" t="s">
        <v>42</v>
      </c>
      <c r="G194">
        <v>-396.51069999999999</v>
      </c>
      <c r="H194" s="1">
        <v>-1.9279650000000001E-6</v>
      </c>
      <c r="I194">
        <v>367.0865</v>
      </c>
      <c r="J194">
        <v>-459.11090000000002</v>
      </c>
      <c r="K194">
        <v>1.1212850000000001</v>
      </c>
      <c r="L194">
        <v>367.26220000000001</v>
      </c>
      <c r="M194">
        <v>0.99978020000000001</v>
      </c>
      <c r="N194">
        <v>-1.353245E-2</v>
      </c>
      <c r="O194">
        <v>1.601729E-2</v>
      </c>
      <c r="P194">
        <v>0.9983708</v>
      </c>
      <c r="Q194">
        <v>-4.8431639999999998E-2</v>
      </c>
      <c r="R194">
        <v>3.0169669999999999E-2</v>
      </c>
      <c r="S194">
        <v>3.0025330000000001</v>
      </c>
      <c r="T194">
        <v>-5.3690670000000003E-2</v>
      </c>
      <c r="U194">
        <v>-8.3312990000000003E-3</v>
      </c>
      <c r="V194">
        <v>-1.41747E-2</v>
      </c>
      <c r="W194">
        <v>-3.4911369999999997E-2</v>
      </c>
      <c r="X194">
        <v>0.99928989999999995</v>
      </c>
      <c r="Y194">
        <v>1.8787660000000001E-2</v>
      </c>
      <c r="Z194">
        <v>-3.6473290000000003E-4</v>
      </c>
      <c r="AA194">
        <v>0.99982349999999998</v>
      </c>
      <c r="AB194">
        <v>16</v>
      </c>
      <c r="AC194">
        <v>62.600200000000001</v>
      </c>
      <c r="AD194">
        <v>-1.121286927965</v>
      </c>
      <c r="AE194">
        <v>-0.17570000000000599</v>
      </c>
      <c r="AF194">
        <v>1.1780768054408599</v>
      </c>
      <c r="AG194">
        <v>-1.121286927965</v>
      </c>
      <c r="AH194">
        <v>62.5692790947544</v>
      </c>
      <c r="AI194">
        <v>91.026490194479294</v>
      </c>
      <c r="AJ194">
        <v>88.921341986102505</v>
      </c>
      <c r="AK194">
        <v>62.590413289669399</v>
      </c>
      <c r="AL194">
        <v>92.000680674503698</v>
      </c>
      <c r="AM194">
        <v>90.812673101277795</v>
      </c>
      <c r="AN194">
        <v>1.0000000150586801</v>
      </c>
    </row>
    <row r="195" spans="1:40" x14ac:dyDescent="0.25">
      <c r="A195" t="str">
        <f>"20190303153747174"</f>
        <v>20190303153747174</v>
      </c>
      <c r="B195" t="str">
        <f>"1551598667169402"</f>
        <v>1551598667169402</v>
      </c>
      <c r="C195" t="s">
        <v>40</v>
      </c>
      <c r="D195">
        <v>3.8525320000000001</v>
      </c>
      <c r="E195">
        <v>0.51115859999999902</v>
      </c>
      <c r="F195" t="s">
        <v>43</v>
      </c>
      <c r="G195">
        <v>-405.30169999999998</v>
      </c>
      <c r="H195">
        <v>-0.05</v>
      </c>
      <c r="I195">
        <v>367.24299999999999</v>
      </c>
      <c r="J195">
        <v>-458.97329999999999</v>
      </c>
      <c r="K195">
        <v>1.1213</v>
      </c>
      <c r="L195">
        <v>367.26440000000002</v>
      </c>
      <c r="M195">
        <v>0.99977959999999999</v>
      </c>
      <c r="N195">
        <v>-1.3568520000000001E-2</v>
      </c>
      <c r="O195">
        <v>1.6020880000000001E-2</v>
      </c>
      <c r="P195">
        <v>0.99836060000000004</v>
      </c>
      <c r="Q195">
        <v>-4.8393749999999999E-2</v>
      </c>
      <c r="R195">
        <v>3.0570650000000001E-2</v>
      </c>
      <c r="S195">
        <v>3.00177</v>
      </c>
      <c r="T195">
        <v>-6.5340640000000005E-2</v>
      </c>
      <c r="U195">
        <v>-1.0681149999999999E-3</v>
      </c>
      <c r="V195">
        <v>-1.4572140000000001E-2</v>
      </c>
      <c r="W195">
        <v>-3.4837519999999997E-2</v>
      </c>
      <c r="X195">
        <v>0.99928680000000003</v>
      </c>
      <c r="Y195">
        <v>1.637131E-2</v>
      </c>
      <c r="Z195">
        <v>-4.2054620000000001E-4</v>
      </c>
      <c r="AA195">
        <v>0.99986589999999997</v>
      </c>
      <c r="AB195">
        <v>16</v>
      </c>
      <c r="AC195">
        <v>53.671599999999998</v>
      </c>
      <c r="AD195">
        <v>-1.1713</v>
      </c>
      <c r="AE195">
        <v>-2.13999999999714E-2</v>
      </c>
      <c r="AF195">
        <v>0.88092311883968399</v>
      </c>
      <c r="AG195">
        <v>-1.1713</v>
      </c>
      <c r="AH195">
        <v>53.638821301124999</v>
      </c>
      <c r="AI195">
        <v>91.250788819837297</v>
      </c>
      <c r="AJ195">
        <v>89.059102374477106</v>
      </c>
      <c r="AK195">
        <v>53.6588400900106</v>
      </c>
      <c r="AL195">
        <v>91.996446727300693</v>
      </c>
      <c r="AM195">
        <v>90.8354587950395</v>
      </c>
      <c r="AN195">
        <v>1.0000000543590799</v>
      </c>
    </row>
    <row r="196" spans="1:40" x14ac:dyDescent="0.25">
      <c r="A196" t="str">
        <f>"20190303153747187"</f>
        <v>20190303153747187</v>
      </c>
      <c r="B196" t="str">
        <f>"1551598667179160"</f>
        <v>1551598667179160</v>
      </c>
      <c r="C196" t="s">
        <v>40</v>
      </c>
      <c r="D196">
        <v>3.8334860000000002</v>
      </c>
      <c r="E196">
        <v>0.51093690000000003</v>
      </c>
      <c r="F196" t="s">
        <v>43</v>
      </c>
      <c r="G196">
        <v>-408.93270000000001</v>
      </c>
      <c r="H196">
        <v>-0.05</v>
      </c>
      <c r="I196">
        <v>367.32589999999999</v>
      </c>
      <c r="J196">
        <v>-458.8732</v>
      </c>
      <c r="K196">
        <v>1.1213089999999999</v>
      </c>
      <c r="L196">
        <v>367.26600000000002</v>
      </c>
      <c r="M196">
        <v>0.99977930000000004</v>
      </c>
      <c r="N196">
        <v>-1.3592099999999999E-2</v>
      </c>
      <c r="O196">
        <v>1.6023780000000001E-2</v>
      </c>
      <c r="P196">
        <v>0.99835980000000002</v>
      </c>
      <c r="Q196">
        <v>-4.8149419999999998E-2</v>
      </c>
      <c r="R196">
        <v>3.09789E-2</v>
      </c>
      <c r="S196">
        <v>3.001404</v>
      </c>
      <c r="T196">
        <v>-7.0253850000000007E-2</v>
      </c>
      <c r="U196">
        <v>3.692627E-3</v>
      </c>
      <c r="V196">
        <v>-1.4977300000000001E-2</v>
      </c>
      <c r="W196">
        <v>-3.4569589999999997E-2</v>
      </c>
      <c r="X196">
        <v>0.99929000000000001</v>
      </c>
      <c r="Y196">
        <v>1.4787929999999999E-2</v>
      </c>
      <c r="Z196">
        <v>-4.3077509999999997E-4</v>
      </c>
      <c r="AA196">
        <v>0.99989059999999996</v>
      </c>
      <c r="AB196">
        <v>16</v>
      </c>
      <c r="AC196">
        <v>49.940499999999901</v>
      </c>
      <c r="AD196">
        <v>-1.1713089999999999</v>
      </c>
      <c r="AE196">
        <v>5.9900000000027299E-2</v>
      </c>
      <c r="AF196">
        <v>0.74001007011103404</v>
      </c>
      <c r="AG196">
        <v>-1.1713089999999999</v>
      </c>
      <c r="AH196">
        <v>49.907593072363603</v>
      </c>
      <c r="AI196">
        <v>91.344311916015499</v>
      </c>
      <c r="AJ196">
        <v>89.150503073181198</v>
      </c>
      <c r="AK196">
        <v>49.926820707451299</v>
      </c>
      <c r="AL196">
        <v>91.9810864439645</v>
      </c>
      <c r="AM196">
        <v>90.858681494252906</v>
      </c>
      <c r="AN196">
        <v>0.99999994008402704</v>
      </c>
    </row>
    <row r="197" spans="1:40" x14ac:dyDescent="0.25">
      <c r="A197" t="str">
        <f>"20190303153747205"</f>
        <v>20190303153747205</v>
      </c>
      <c r="B197" t="str">
        <f>"1551598667198680"</f>
        <v>1551598667198680</v>
      </c>
      <c r="C197" t="s">
        <v>40</v>
      </c>
      <c r="D197">
        <v>3.8576199999999998</v>
      </c>
      <c r="E197">
        <v>0.51049840000000002</v>
      </c>
      <c r="F197" t="s">
        <v>43</v>
      </c>
      <c r="G197">
        <v>-409.72969999999998</v>
      </c>
      <c r="H197">
        <v>-0.05</v>
      </c>
      <c r="I197">
        <v>367.37490000000003</v>
      </c>
      <c r="J197">
        <v>-458.75569999999999</v>
      </c>
      <c r="K197">
        <v>1.121327</v>
      </c>
      <c r="L197">
        <v>367.2679</v>
      </c>
      <c r="M197">
        <v>0.99977899999999997</v>
      </c>
      <c r="N197">
        <v>-1.3616100000000001E-2</v>
      </c>
      <c r="O197">
        <v>1.602744E-2</v>
      </c>
      <c r="P197">
        <v>0.99839670000000003</v>
      </c>
      <c r="Q197">
        <v>-4.6939359999999999E-2</v>
      </c>
      <c r="R197">
        <v>3.1636360000000002E-2</v>
      </c>
      <c r="S197">
        <v>3.0012819999999998</v>
      </c>
      <c r="T197">
        <v>-7.1533920000000001E-2</v>
      </c>
      <c r="U197">
        <v>6.6528319999999896E-3</v>
      </c>
      <c r="V197">
        <v>-1.563028E-2</v>
      </c>
      <c r="W197">
        <v>-3.3335030000000002E-2</v>
      </c>
      <c r="X197">
        <v>0.99932200000000004</v>
      </c>
      <c r="Y197">
        <v>1.380552E-2</v>
      </c>
      <c r="Z197">
        <v>-4.2221499999999998E-4</v>
      </c>
      <c r="AA197">
        <v>0.99990460000000003</v>
      </c>
      <c r="AB197">
        <v>16</v>
      </c>
      <c r="AC197">
        <v>49.026000000000003</v>
      </c>
      <c r="AD197">
        <v>-1.171327</v>
      </c>
      <c r="AE197">
        <v>0.107000000000027</v>
      </c>
      <c r="AF197">
        <v>0.67846046060639198</v>
      </c>
      <c r="AG197">
        <v>-1.171327</v>
      </c>
      <c r="AH197">
        <v>48.993450075016803</v>
      </c>
      <c r="AI197">
        <v>91.369425519983494</v>
      </c>
      <c r="AJ197">
        <v>89.206619735034707</v>
      </c>
      <c r="AK197">
        <v>49.012146104722802</v>
      </c>
      <c r="AL197">
        <v>91.910310447577103</v>
      </c>
      <c r="AM197">
        <v>90.896083603781804</v>
      </c>
      <c r="AN197">
        <v>0.999999994780989</v>
      </c>
    </row>
    <row r="198" spans="1:40" x14ac:dyDescent="0.25">
      <c r="A198" t="str">
        <f>"20190303153747218"</f>
        <v>20190303153747218</v>
      </c>
      <c r="B198" t="str">
        <f>"1551598667209416"</f>
        <v>1551598667209416</v>
      </c>
      <c r="C198" t="s">
        <v>40</v>
      </c>
      <c r="D198">
        <v>3.8039350000000001</v>
      </c>
      <c r="E198">
        <v>0.51030059999999999</v>
      </c>
      <c r="F198" t="s">
        <v>43</v>
      </c>
      <c r="G198">
        <v>-410.7235</v>
      </c>
      <c r="H198">
        <v>-0.05</v>
      </c>
      <c r="I198">
        <v>367.45940000000002</v>
      </c>
      <c r="J198">
        <v>-458.66300000000001</v>
      </c>
      <c r="K198">
        <v>1.1213360000000001</v>
      </c>
      <c r="L198">
        <v>367.26940000000002</v>
      </c>
      <c r="M198">
        <v>0.99977870000000002</v>
      </c>
      <c r="N198">
        <v>-1.363312E-2</v>
      </c>
      <c r="O198">
        <v>1.603019E-2</v>
      </c>
      <c r="P198">
        <v>0.9984172</v>
      </c>
      <c r="Q198">
        <v>-4.61781E-2</v>
      </c>
      <c r="R198">
        <v>3.2106299999999997E-2</v>
      </c>
      <c r="S198">
        <v>3.001007</v>
      </c>
      <c r="T198">
        <v>-7.3183419999999999E-2</v>
      </c>
      <c r="U198">
        <v>1.196289E-2</v>
      </c>
      <c r="V198">
        <v>-1.6097199999999999E-2</v>
      </c>
      <c r="W198">
        <v>-3.2556460000000002E-2</v>
      </c>
      <c r="X198">
        <v>0.99934020000000001</v>
      </c>
      <c r="Y198">
        <v>1.2039299999999999E-2</v>
      </c>
      <c r="Z198">
        <v>-4.0116050000000002E-4</v>
      </c>
      <c r="AA198">
        <v>0.99992749999999997</v>
      </c>
      <c r="AB198">
        <v>16</v>
      </c>
      <c r="AC198">
        <v>47.939500000000002</v>
      </c>
      <c r="AD198">
        <v>-1.1713359999999999</v>
      </c>
      <c r="AE198">
        <v>0.189999999999997</v>
      </c>
      <c r="AF198">
        <v>0.57822983104134895</v>
      </c>
      <c r="AG198">
        <v>-1.1713359999999999</v>
      </c>
      <c r="AH198">
        <v>47.9077844382427</v>
      </c>
      <c r="AI198">
        <v>91.400489643194902</v>
      </c>
      <c r="AJ198">
        <v>89.308494001999406</v>
      </c>
      <c r="AK198">
        <v>47.925590111583702</v>
      </c>
      <c r="AL198">
        <v>91.865677545607298</v>
      </c>
      <c r="AM198">
        <v>90.922830750677903</v>
      </c>
      <c r="AN198">
        <v>0.99999993913580298</v>
      </c>
    </row>
    <row r="199" spans="1:40" x14ac:dyDescent="0.25">
      <c r="A199" t="str">
        <f>"20190303153747230"</f>
        <v>20190303153747230</v>
      </c>
      <c r="B199" t="str">
        <f>"1551598667219177"</f>
        <v>1551598667219177</v>
      </c>
      <c r="C199" t="s">
        <v>40</v>
      </c>
      <c r="D199">
        <v>3.915632</v>
      </c>
      <c r="E199">
        <v>0.5100479</v>
      </c>
      <c r="F199" t="s">
        <v>43</v>
      </c>
      <c r="G199">
        <v>-410.76119999999997</v>
      </c>
      <c r="H199">
        <v>-0.05</v>
      </c>
      <c r="I199">
        <v>367.50369999999998</v>
      </c>
      <c r="J199">
        <v>-458.57470000000001</v>
      </c>
      <c r="K199">
        <v>1.121345</v>
      </c>
      <c r="L199">
        <v>367.27080000000001</v>
      </c>
      <c r="M199">
        <v>0.99977830000000001</v>
      </c>
      <c r="N199">
        <v>-1.3648270000000001E-2</v>
      </c>
      <c r="O199">
        <v>1.6032769999999998E-2</v>
      </c>
      <c r="P199">
        <v>0.99842280000000005</v>
      </c>
      <c r="Q199">
        <v>-4.5693240000000003E-2</v>
      </c>
      <c r="R199">
        <v>3.2618300000000003E-2</v>
      </c>
      <c r="S199">
        <v>3.0008849999999998</v>
      </c>
      <c r="T199">
        <v>-7.3380230000000005E-2</v>
      </c>
      <c r="U199">
        <v>1.467896E-2</v>
      </c>
      <c r="V199">
        <v>-1.6606389999999999E-2</v>
      </c>
      <c r="W199">
        <v>-3.2056300000000003E-2</v>
      </c>
      <c r="X199">
        <v>0.99934809999999996</v>
      </c>
      <c r="Y199">
        <v>1.11371E-2</v>
      </c>
      <c r="Z199">
        <v>-3.8531520000000002E-4</v>
      </c>
      <c r="AA199">
        <v>0.99993790000000005</v>
      </c>
      <c r="AB199">
        <v>16</v>
      </c>
      <c r="AC199">
        <v>47.813499999999998</v>
      </c>
      <c r="AD199">
        <v>-1.1713450000000001</v>
      </c>
      <c r="AE199">
        <v>0.23289999999997199</v>
      </c>
      <c r="AF199">
        <v>0.53346404962142202</v>
      </c>
      <c r="AG199">
        <v>-1.1713450000000001</v>
      </c>
      <c r="AH199">
        <v>47.7824111035806</v>
      </c>
      <c r="AI199">
        <v>91.404188375428603</v>
      </c>
      <c r="AJ199">
        <v>89.360351057605499</v>
      </c>
      <c r="AK199">
        <v>47.799743136055099</v>
      </c>
      <c r="AL199">
        <v>91.837005404954496</v>
      </c>
      <c r="AM199">
        <v>90.952009111503102</v>
      </c>
      <c r="AN199">
        <v>1.00000000176606</v>
      </c>
    </row>
    <row r="200" spans="1:40" x14ac:dyDescent="0.25">
      <c r="A200" t="str">
        <f>"20190303153747244"</f>
        <v>20190303153747244</v>
      </c>
      <c r="B200" t="str">
        <f>"1551598667239673"</f>
        <v>1551598667239673</v>
      </c>
      <c r="C200" t="s">
        <v>40</v>
      </c>
      <c r="D200">
        <v>3.8451420000000001</v>
      </c>
      <c r="E200">
        <v>0.50983880000000004</v>
      </c>
      <c r="F200" t="s">
        <v>43</v>
      </c>
      <c r="G200">
        <v>-412.68349999999998</v>
      </c>
      <c r="H200">
        <v>-0.05</v>
      </c>
      <c r="I200">
        <v>367.54899999999998</v>
      </c>
      <c r="J200">
        <v>-458.48070000000001</v>
      </c>
      <c r="K200">
        <v>1.121356</v>
      </c>
      <c r="L200">
        <v>367.27229999999997</v>
      </c>
      <c r="M200">
        <v>0.9997781</v>
      </c>
      <c r="N200">
        <v>-1.3662499999999999E-2</v>
      </c>
      <c r="O200">
        <v>1.6034820000000002E-2</v>
      </c>
      <c r="P200">
        <v>0.99840949999999995</v>
      </c>
      <c r="Q200">
        <v>-4.5677570000000001E-2</v>
      </c>
      <c r="R200">
        <v>3.3049710000000003E-2</v>
      </c>
      <c r="S200">
        <v>3.0006710000000001</v>
      </c>
      <c r="T200">
        <v>-7.65903E-2</v>
      </c>
      <c r="U200">
        <v>1.818848E-2</v>
      </c>
      <c r="V200">
        <v>-1.7035749999999999E-2</v>
      </c>
      <c r="W200">
        <v>-3.2026480000000003E-2</v>
      </c>
      <c r="X200">
        <v>0.99934179999999995</v>
      </c>
      <c r="Y200">
        <v>9.9693360000000005E-3</v>
      </c>
      <c r="Z200">
        <v>-3.8544600000000001E-4</v>
      </c>
      <c r="AA200">
        <v>0.99995020000000001</v>
      </c>
      <c r="AB200">
        <v>16</v>
      </c>
      <c r="AC200">
        <v>45.797199999999997</v>
      </c>
      <c r="AD200">
        <v>-1.1713559999999901</v>
      </c>
      <c r="AE200">
        <v>0.27670000000006201</v>
      </c>
      <c r="AF200">
        <v>0.45745472808537402</v>
      </c>
      <c r="AG200">
        <v>-1.1713559999999901</v>
      </c>
      <c r="AH200">
        <v>45.765810016516497</v>
      </c>
      <c r="AI200">
        <v>91.466067258099301</v>
      </c>
      <c r="AJ200">
        <v>89.4273158853171</v>
      </c>
      <c r="AK200">
        <v>45.7830831877328</v>
      </c>
      <c r="AL200">
        <v>91.835296020428004</v>
      </c>
      <c r="AM200">
        <v>90.976624857780394</v>
      </c>
      <c r="AN200">
        <v>0.99999997271324603</v>
      </c>
    </row>
    <row r="201" spans="1:40" x14ac:dyDescent="0.25">
      <c r="A201" t="str">
        <f>"20190303153747261"</f>
        <v>20190303153747261</v>
      </c>
      <c r="B201" t="str">
        <f>"1551598667249436"</f>
        <v>1551598667249436</v>
      </c>
      <c r="C201" t="s">
        <v>40</v>
      </c>
      <c r="D201">
        <v>3.871686</v>
      </c>
      <c r="E201">
        <v>0.50975389999999998</v>
      </c>
      <c r="F201" t="s">
        <v>43</v>
      </c>
      <c r="G201">
        <v>-415.03809999999999</v>
      </c>
      <c r="H201">
        <v>-0.05</v>
      </c>
      <c r="I201">
        <v>367.57760000000002</v>
      </c>
      <c r="J201">
        <v>-458.36630000000002</v>
      </c>
      <c r="K201">
        <v>1.1213649999999999</v>
      </c>
      <c r="L201">
        <v>367.27409999999998</v>
      </c>
      <c r="M201">
        <v>0.9997779</v>
      </c>
      <c r="N201">
        <v>-1.367791E-2</v>
      </c>
      <c r="O201">
        <v>1.6036740000000001E-2</v>
      </c>
      <c r="P201">
        <v>0.99839860000000002</v>
      </c>
      <c r="Q201">
        <v>-4.5478190000000002E-2</v>
      </c>
      <c r="R201">
        <v>3.3649390000000001E-2</v>
      </c>
      <c r="S201">
        <v>3.0003359999999999</v>
      </c>
      <c r="T201">
        <v>-8.0898999999999999E-2</v>
      </c>
      <c r="U201">
        <v>2.1087649999999999E-2</v>
      </c>
      <c r="V201">
        <v>-1.7633429999999999E-2</v>
      </c>
      <c r="W201">
        <v>-3.1811720000000002E-2</v>
      </c>
      <c r="X201">
        <v>0.99933830000000001</v>
      </c>
      <c r="Y201">
        <v>9.004148E-3</v>
      </c>
      <c r="Z201">
        <v>-3.9591939999999998E-4</v>
      </c>
      <c r="AA201">
        <v>0.99995940000000005</v>
      </c>
      <c r="AB201">
        <v>16</v>
      </c>
      <c r="AC201">
        <v>43.328200000000002</v>
      </c>
      <c r="AD201">
        <v>-1.171365</v>
      </c>
      <c r="AE201">
        <v>0.30350000000004201</v>
      </c>
      <c r="AF201">
        <v>0.39116120629594903</v>
      </c>
      <c r="AG201">
        <v>-1.171365</v>
      </c>
      <c r="AH201">
        <v>43.295852386693099</v>
      </c>
      <c r="AI201">
        <v>91.549690379014393</v>
      </c>
      <c r="AJ201">
        <v>89.482368974386503</v>
      </c>
      <c r="AK201">
        <v>43.3134613826101</v>
      </c>
      <c r="AL201">
        <v>91.822984890992103</v>
      </c>
      <c r="AM201">
        <v>91.010885185238294</v>
      </c>
      <c r="AN201">
        <v>0.99999998061490603</v>
      </c>
    </row>
    <row r="202" spans="1:40" x14ac:dyDescent="0.25">
      <c r="A202" t="str">
        <f>"20190303153747274"</f>
        <v>20190303153747274</v>
      </c>
      <c r="B202" t="str">
        <f>"1551598667268953"</f>
        <v>1551598667268953</v>
      </c>
      <c r="C202" t="s">
        <v>40</v>
      </c>
      <c r="D202">
        <v>3.878479</v>
      </c>
      <c r="E202">
        <v>0.50958999999999999</v>
      </c>
      <c r="F202" t="s">
        <v>43</v>
      </c>
      <c r="G202">
        <v>-415.82490000000001</v>
      </c>
      <c r="H202">
        <v>-0.05</v>
      </c>
      <c r="I202">
        <v>367.61079999999998</v>
      </c>
      <c r="J202">
        <v>-458.26929999999999</v>
      </c>
      <c r="K202">
        <v>1.1213649999999999</v>
      </c>
      <c r="L202">
        <v>367.27569999999997</v>
      </c>
      <c r="M202">
        <v>0.99977769999999999</v>
      </c>
      <c r="N202">
        <v>-1.368958E-2</v>
      </c>
      <c r="O202">
        <v>1.6038989999999999E-2</v>
      </c>
      <c r="P202">
        <v>0.99839409999999895</v>
      </c>
      <c r="Q202">
        <v>-4.5621750000000003E-2</v>
      </c>
      <c r="R202">
        <v>3.3586129999999999E-2</v>
      </c>
      <c r="S202">
        <v>3.0002439999999999</v>
      </c>
      <c r="T202">
        <v>-8.261085E-2</v>
      </c>
      <c r="U202">
        <v>2.3742679999999999E-2</v>
      </c>
      <c r="V202">
        <v>-1.756808E-2</v>
      </c>
      <c r="W202">
        <v>-3.194371E-2</v>
      </c>
      <c r="X202">
        <v>0.99933530000000004</v>
      </c>
      <c r="Y202">
        <v>8.1215300000000001E-3</v>
      </c>
      <c r="Z202">
        <v>-3.8935210000000002E-4</v>
      </c>
      <c r="AA202">
        <v>0.99996689999999999</v>
      </c>
      <c r="AB202">
        <v>16</v>
      </c>
      <c r="AC202">
        <v>42.444399999999902</v>
      </c>
      <c r="AD202">
        <v>-1.171365</v>
      </c>
      <c r="AE202">
        <v>0.335100000000011</v>
      </c>
      <c r="AF202">
        <v>0.34550904976425101</v>
      </c>
      <c r="AG202">
        <v>-1.171365</v>
      </c>
      <c r="AH202">
        <v>42.412014178180598</v>
      </c>
      <c r="AI202">
        <v>91.581980716765202</v>
      </c>
      <c r="AJ202">
        <v>89.533250829772001</v>
      </c>
      <c r="AK202">
        <v>42.429593671362099</v>
      </c>
      <c r="AL202">
        <v>91.830551097836604</v>
      </c>
      <c r="AM202">
        <v>91.007142611496704</v>
      </c>
      <c r="AN202">
        <v>1.0000000399347599</v>
      </c>
    </row>
    <row r="203" spans="1:40" x14ac:dyDescent="0.25">
      <c r="A203" t="str">
        <f>"20190303153747288"</f>
        <v>20190303153747288</v>
      </c>
      <c r="B203" t="str">
        <f>"1551598667278712"</f>
        <v>1551598667278712</v>
      </c>
      <c r="C203" t="s">
        <v>40</v>
      </c>
      <c r="D203">
        <v>3.902752</v>
      </c>
      <c r="E203">
        <v>0.50950010000000001</v>
      </c>
      <c r="F203" t="s">
        <v>43</v>
      </c>
      <c r="G203">
        <v>-417.96319999999997</v>
      </c>
      <c r="H203">
        <v>-0.05</v>
      </c>
      <c r="I203">
        <v>367.60860000000002</v>
      </c>
      <c r="J203">
        <v>-458.17079999999999</v>
      </c>
      <c r="K203">
        <v>1.121372</v>
      </c>
      <c r="L203">
        <v>367.27730000000003</v>
      </c>
      <c r="M203">
        <v>0.99977749999999999</v>
      </c>
      <c r="N203">
        <v>-1.370033E-2</v>
      </c>
      <c r="O203">
        <v>1.6042150000000002E-2</v>
      </c>
      <c r="P203">
        <v>0.99841409999999997</v>
      </c>
      <c r="Q203">
        <v>-4.5490099999999999E-2</v>
      </c>
      <c r="R203">
        <v>3.3166599999999997E-2</v>
      </c>
      <c r="S203">
        <v>3.0000309999999999</v>
      </c>
      <c r="T203">
        <v>-8.7185860000000004E-2</v>
      </c>
      <c r="U203">
        <v>2.478027E-2</v>
      </c>
      <c r="V203">
        <v>-1.7145000000000001E-2</v>
      </c>
      <c r="W203">
        <v>-3.180119E-2</v>
      </c>
      <c r="X203">
        <v>0.99934719999999999</v>
      </c>
      <c r="Y203">
        <v>7.7777200000000001E-3</v>
      </c>
      <c r="Z203">
        <v>-4.1259640000000002E-4</v>
      </c>
      <c r="AA203">
        <v>0.99996969999999996</v>
      </c>
      <c r="AB203">
        <v>16</v>
      </c>
      <c r="AC203">
        <v>40.207599999999999</v>
      </c>
      <c r="AD203">
        <v>-1.1713719999999901</v>
      </c>
      <c r="AE203">
        <v>0.33129999999999798</v>
      </c>
      <c r="AF203">
        <v>0.31355339577802299</v>
      </c>
      <c r="AG203">
        <v>-1.1713719999999901</v>
      </c>
      <c r="AH203">
        <v>40.173645670970203</v>
      </c>
      <c r="AI203">
        <v>91.670090387233898</v>
      </c>
      <c r="AJ203">
        <v>89.552818243289707</v>
      </c>
      <c r="AK203">
        <v>40.191942408784499</v>
      </c>
      <c r="AL203">
        <v>91.822381141034498</v>
      </c>
      <c r="AM203">
        <v>90.982881403052701</v>
      </c>
      <c r="AN203">
        <v>1.0000000464291201</v>
      </c>
    </row>
    <row r="204" spans="1:40" x14ac:dyDescent="0.25">
      <c r="A204" t="str">
        <f>"20190303153747307"</f>
        <v>20190303153747307</v>
      </c>
      <c r="B204" t="str">
        <f>"1551598667299209"</f>
        <v>1551598667299209</v>
      </c>
      <c r="C204" t="s">
        <v>40</v>
      </c>
      <c r="D204">
        <v>3.9714429999999998</v>
      </c>
      <c r="E204">
        <v>0.50920969999999999</v>
      </c>
      <c r="F204" t="s">
        <v>43</v>
      </c>
      <c r="G204">
        <v>-418.51310000000001</v>
      </c>
      <c r="H204">
        <v>-0.05</v>
      </c>
      <c r="I204">
        <v>367.59519999999998</v>
      </c>
      <c r="J204">
        <v>-458.04919999999998</v>
      </c>
      <c r="K204">
        <v>1.1213900000000001</v>
      </c>
      <c r="L204">
        <v>367.2792</v>
      </c>
      <c r="M204">
        <v>0.99977720000000003</v>
      </c>
      <c r="N204">
        <v>-1.37117E-2</v>
      </c>
      <c r="O204">
        <v>1.6051119999999999E-2</v>
      </c>
      <c r="P204">
        <v>0.9985096</v>
      </c>
      <c r="Q204">
        <v>-4.4050279999999997E-2</v>
      </c>
      <c r="R204">
        <v>3.2215100000000003E-2</v>
      </c>
      <c r="S204">
        <v>2.9999389999999999</v>
      </c>
      <c r="T204">
        <v>-8.8609220000000002E-2</v>
      </c>
      <c r="U204">
        <v>2.4047849999999999E-2</v>
      </c>
      <c r="V204">
        <v>-1.618267E-2</v>
      </c>
      <c r="W204">
        <v>-3.0349170000000002E-2</v>
      </c>
      <c r="X204">
        <v>0.99940839999999997</v>
      </c>
      <c r="Y204">
        <v>8.0301499999999998E-3</v>
      </c>
      <c r="Z204">
        <v>-4.2752829999999998E-4</v>
      </c>
      <c r="AA204">
        <v>0.99996770000000001</v>
      </c>
      <c r="AB204">
        <v>16</v>
      </c>
      <c r="AC204">
        <v>39.536099999999898</v>
      </c>
      <c r="AD204">
        <v>-1.1713899999999999</v>
      </c>
      <c r="AE204">
        <v>0.31599999999997402</v>
      </c>
      <c r="AF204">
        <v>0.318419531761092</v>
      </c>
      <c r="AG204">
        <v>-1.1713899999999999</v>
      </c>
      <c r="AH204">
        <v>39.5014046369092</v>
      </c>
      <c r="AI204">
        <v>91.698518372956499</v>
      </c>
      <c r="AJ204">
        <v>89.538150597292898</v>
      </c>
      <c r="AK204">
        <v>39.5200520472726</v>
      </c>
      <c r="AL204">
        <v>91.739146314525996</v>
      </c>
      <c r="AM204">
        <v>90.927666478740093</v>
      </c>
      <c r="AN204">
        <v>1.0000000504592801</v>
      </c>
    </row>
    <row r="205" spans="1:40" x14ac:dyDescent="0.25">
      <c r="A205" t="str">
        <f>"20190303153747321"</f>
        <v>20190303153747321</v>
      </c>
      <c r="B205" t="str">
        <f>"1551598667308968"</f>
        <v>1551598667308968</v>
      </c>
      <c r="C205" t="s">
        <v>40</v>
      </c>
      <c r="D205">
        <v>3.9052190000000002</v>
      </c>
      <c r="E205">
        <v>0.5091369</v>
      </c>
      <c r="F205" t="s">
        <v>43</v>
      </c>
      <c r="G205">
        <v>-419.16090000000003</v>
      </c>
      <c r="H205">
        <v>-0.05</v>
      </c>
      <c r="I205">
        <v>367.58260000000001</v>
      </c>
      <c r="J205">
        <v>-457.94850000000002</v>
      </c>
      <c r="K205">
        <v>1.1214029999999999</v>
      </c>
      <c r="L205">
        <v>367.2808</v>
      </c>
      <c r="M205">
        <v>0.99977689999999997</v>
      </c>
      <c r="N205">
        <v>-1.371994E-2</v>
      </c>
      <c r="O205">
        <v>1.6065389999999999E-2</v>
      </c>
      <c r="P205">
        <v>0.99856100000000003</v>
      </c>
      <c r="Q205">
        <v>-4.3423629999999998E-2</v>
      </c>
      <c r="R205">
        <v>3.14749E-2</v>
      </c>
      <c r="S205">
        <v>2.999695</v>
      </c>
      <c r="T205">
        <v>-9.0356590000000001E-2</v>
      </c>
      <c r="U205">
        <v>2.3406980000000001E-2</v>
      </c>
      <c r="V205">
        <v>-1.542762E-2</v>
      </c>
      <c r="W205">
        <v>-2.9714000000000001E-2</v>
      </c>
      <c r="X205">
        <v>0.99943939999999998</v>
      </c>
      <c r="Y205">
        <v>8.2569219999999999E-3</v>
      </c>
      <c r="Z205">
        <v>-4.4436509999999999E-4</v>
      </c>
      <c r="AA205">
        <v>0.99996580000000002</v>
      </c>
      <c r="AB205">
        <v>16</v>
      </c>
      <c r="AC205">
        <v>38.787599999999998</v>
      </c>
      <c r="AD205">
        <v>-1.171403</v>
      </c>
      <c r="AE205">
        <v>0.301800000000014</v>
      </c>
      <c r="AF205">
        <v>0.32114259179439297</v>
      </c>
      <c r="AG205">
        <v>-1.171403</v>
      </c>
      <c r="AH205">
        <v>38.7520998688628</v>
      </c>
      <c r="AI205">
        <v>91.731356873711405</v>
      </c>
      <c r="AJ205">
        <v>89.525194918583395</v>
      </c>
      <c r="AK205">
        <v>38.771130520001499</v>
      </c>
      <c r="AL205">
        <v>91.702737378683096</v>
      </c>
      <c r="AM205">
        <v>90.884363090134997</v>
      </c>
      <c r="AN205">
        <v>1.00000002376361</v>
      </c>
    </row>
    <row r="206" spans="1:40" x14ac:dyDescent="0.25">
      <c r="A206" t="str">
        <f>"20190303153747342"</f>
        <v>20190303153747342</v>
      </c>
      <c r="B206" t="str">
        <f>"1551598667329464"</f>
        <v>1551598667329464</v>
      </c>
      <c r="C206" t="s">
        <v>40</v>
      </c>
      <c r="D206">
        <v>3.9047540000000001</v>
      </c>
      <c r="E206">
        <v>0.50927049999999996</v>
      </c>
      <c r="F206" t="s">
        <v>43</v>
      </c>
      <c r="G206">
        <v>-418.87130000000002</v>
      </c>
      <c r="H206">
        <v>-0.05</v>
      </c>
      <c r="I206">
        <v>367.5659</v>
      </c>
      <c r="J206">
        <v>-457.80520000000001</v>
      </c>
      <c r="K206">
        <v>1.1214299999999999</v>
      </c>
      <c r="L206">
        <v>367.28309999999999</v>
      </c>
      <c r="M206">
        <v>0.9997762</v>
      </c>
      <c r="N206">
        <v>-1.3730239999999999E-2</v>
      </c>
      <c r="O206">
        <v>1.6098390000000001E-2</v>
      </c>
      <c r="P206">
        <v>0.99869520000000001</v>
      </c>
      <c r="Q206">
        <v>-4.1546390000000002E-2</v>
      </c>
      <c r="R206">
        <v>2.969405E-2</v>
      </c>
      <c r="S206">
        <v>2.9997250000000002</v>
      </c>
      <c r="T206">
        <v>-8.9921589999999996E-2</v>
      </c>
      <c r="U206">
        <v>2.1881100000000001E-2</v>
      </c>
      <c r="V206">
        <v>-1.3611170000000001E-2</v>
      </c>
      <c r="W206">
        <v>-2.7825550000000001E-2</v>
      </c>
      <c r="X206">
        <v>0.99952010000000002</v>
      </c>
      <c r="Y206">
        <v>8.7983599999999999E-3</v>
      </c>
      <c r="Z206">
        <v>-4.5367820000000002E-4</v>
      </c>
      <c r="AA206">
        <v>0.99996119999999999</v>
      </c>
      <c r="AB206">
        <v>16</v>
      </c>
      <c r="AC206">
        <v>38.933900000000001</v>
      </c>
      <c r="AD206">
        <v>-1.17143</v>
      </c>
      <c r="AE206">
        <v>0.28280000000000799</v>
      </c>
      <c r="AF206">
        <v>0.34375763230103501</v>
      </c>
      <c r="AG206">
        <v>-1.17143</v>
      </c>
      <c r="AH206">
        <v>38.898195347802101</v>
      </c>
      <c r="AI206">
        <v>91.724889717624706</v>
      </c>
      <c r="AJ206">
        <v>89.493669343489003</v>
      </c>
      <c r="AK206">
        <v>38.917348559099402</v>
      </c>
      <c r="AL206">
        <v>91.594492417224004</v>
      </c>
      <c r="AM206">
        <v>90.780188806807701</v>
      </c>
      <c r="AN206">
        <v>0.99999997774279004</v>
      </c>
    </row>
    <row r="207" spans="1:40" x14ac:dyDescent="0.25">
      <c r="A207" t="str">
        <f>"20190303153747356"</f>
        <v>20190303153747356</v>
      </c>
      <c r="B207" t="str">
        <f>"1551598667348984"</f>
        <v>1551598667348984</v>
      </c>
      <c r="C207" t="s">
        <v>40</v>
      </c>
      <c r="D207">
        <v>3.9065789999999998</v>
      </c>
      <c r="E207">
        <v>0.50961040000000002</v>
      </c>
      <c r="F207" t="s">
        <v>43</v>
      </c>
      <c r="G207">
        <v>-416.8297</v>
      </c>
      <c r="H207">
        <v>-0.05</v>
      </c>
      <c r="I207">
        <v>367.49619999999999</v>
      </c>
      <c r="J207">
        <v>-457.70319999999998</v>
      </c>
      <c r="K207">
        <v>1.1214459999999999</v>
      </c>
      <c r="L207">
        <v>367.28489999999999</v>
      </c>
      <c r="M207">
        <v>0.99977550000000004</v>
      </c>
      <c r="N207">
        <v>-1.373656E-2</v>
      </c>
      <c r="O207">
        <v>1.613349E-2</v>
      </c>
      <c r="P207">
        <v>0.99872450000000002</v>
      </c>
      <c r="Q207">
        <v>-4.1584759999999998E-2</v>
      </c>
      <c r="R207">
        <v>2.864413E-2</v>
      </c>
      <c r="S207">
        <v>2.999908</v>
      </c>
      <c r="T207">
        <v>-8.5762980000000003E-2</v>
      </c>
      <c r="U207">
        <v>1.5594480000000001E-2</v>
      </c>
      <c r="V207">
        <v>-1.252496E-2</v>
      </c>
      <c r="W207">
        <v>-2.7857699999999999E-2</v>
      </c>
      <c r="X207">
        <v>0.99953340000000002</v>
      </c>
      <c r="Y207">
        <v>1.092883E-2</v>
      </c>
      <c r="Z207">
        <v>-4.7077780000000002E-4</v>
      </c>
      <c r="AA207">
        <v>0.99994019999999995</v>
      </c>
      <c r="AB207">
        <v>15</v>
      </c>
      <c r="AC207">
        <v>40.8734999999999</v>
      </c>
      <c r="AD207">
        <v>-1.171446</v>
      </c>
      <c r="AE207">
        <v>0.21129999999999399</v>
      </c>
      <c r="AF207">
        <v>0.44785406041579801</v>
      </c>
      <c r="AG207">
        <v>-1.171446</v>
      </c>
      <c r="AH207">
        <v>40.838044554844402</v>
      </c>
      <c r="AI207">
        <v>91.642989516651198</v>
      </c>
      <c r="AJ207">
        <v>89.371685907791104</v>
      </c>
      <c r="AK207">
        <v>40.857297292574401</v>
      </c>
      <c r="AL207">
        <v>91.596335200272705</v>
      </c>
      <c r="AM207">
        <v>90.717924772923993</v>
      </c>
      <c r="AN207">
        <v>0.99999997189392498</v>
      </c>
    </row>
    <row r="208" spans="1:40" x14ac:dyDescent="0.25">
      <c r="A208" t="str">
        <f>"20190303153747378"</f>
        <v>20190303153747378</v>
      </c>
      <c r="B208" t="str">
        <f>"1551598667369481"</f>
        <v>1551598667369481</v>
      </c>
      <c r="C208" t="s">
        <v>40</v>
      </c>
      <c r="D208">
        <v>3.930199</v>
      </c>
      <c r="E208">
        <v>0.5099667</v>
      </c>
      <c r="F208" t="s">
        <v>43</v>
      </c>
      <c r="G208">
        <v>-415.56240000000003</v>
      </c>
      <c r="H208">
        <v>-0.05</v>
      </c>
      <c r="I208">
        <v>367.41820000000001</v>
      </c>
      <c r="J208">
        <v>-457.55349999999999</v>
      </c>
      <c r="K208">
        <v>1.121461</v>
      </c>
      <c r="L208">
        <v>367.28730000000002</v>
      </c>
      <c r="M208">
        <v>0.99977419999999995</v>
      </c>
      <c r="N208">
        <v>-1.37444E-2</v>
      </c>
      <c r="O208">
        <v>1.620458E-2</v>
      </c>
      <c r="P208">
        <v>0.99873730000000005</v>
      </c>
      <c r="Q208">
        <v>-4.2030610000000003E-2</v>
      </c>
      <c r="R208">
        <v>2.7518939999999999E-2</v>
      </c>
      <c r="S208">
        <v>3.000092</v>
      </c>
      <c r="T208">
        <v>-8.3397750000000007E-2</v>
      </c>
      <c r="U208">
        <v>9.4909669999999995E-3</v>
      </c>
      <c r="V208">
        <v>-1.132756E-2</v>
      </c>
      <c r="W208">
        <v>-2.8296149999999999E-2</v>
      </c>
      <c r="X208">
        <v>0.99953539999999996</v>
      </c>
      <c r="Y208">
        <v>1.303378E-2</v>
      </c>
      <c r="Z208">
        <v>-4.983613E-4</v>
      </c>
      <c r="AA208">
        <v>0.99991490000000005</v>
      </c>
      <c r="AB208">
        <v>15</v>
      </c>
      <c r="AC208">
        <v>41.991099999999904</v>
      </c>
      <c r="AD208">
        <v>-1.1714610000000001</v>
      </c>
      <c r="AE208">
        <v>0.13089999999999599</v>
      </c>
      <c r="AF208">
        <v>0.54920219394162495</v>
      </c>
      <c r="AG208">
        <v>-1.1714610000000001</v>
      </c>
      <c r="AH208">
        <v>41.955053927470701</v>
      </c>
      <c r="AI208">
        <v>91.599249311058898</v>
      </c>
      <c r="AJ208">
        <v>89.250026690133893</v>
      </c>
      <c r="AK208">
        <v>41.974998439324899</v>
      </c>
      <c r="AL208">
        <v>91.621466396452206</v>
      </c>
      <c r="AM208">
        <v>90.649295259661102</v>
      </c>
      <c r="AN208">
        <v>1.00000000078676</v>
      </c>
    </row>
    <row r="209" spans="1:40" x14ac:dyDescent="0.25">
      <c r="A209" t="str">
        <f>"20190303153747395"</f>
        <v>20190303153747395</v>
      </c>
      <c r="B209" t="str">
        <f>"1551598667389001"</f>
        <v>1551598667389001</v>
      </c>
      <c r="C209" t="s">
        <v>40</v>
      </c>
      <c r="D209">
        <v>3.9018839999999999</v>
      </c>
      <c r="E209">
        <v>0.51024979999999998</v>
      </c>
      <c r="F209" t="s">
        <v>43</v>
      </c>
      <c r="G209">
        <v>-414.928</v>
      </c>
      <c r="H209">
        <v>-0.05</v>
      </c>
      <c r="I209">
        <v>367.33240000000001</v>
      </c>
      <c r="J209">
        <v>-457.43470000000002</v>
      </c>
      <c r="K209">
        <v>1.121472</v>
      </c>
      <c r="L209">
        <v>367.28930000000003</v>
      </c>
      <c r="M209">
        <v>0.99977309999999997</v>
      </c>
      <c r="N209">
        <v>-1.3749590000000001E-2</v>
      </c>
      <c r="O209">
        <v>1.6278210000000001E-2</v>
      </c>
      <c r="P209">
        <v>0.99867470000000003</v>
      </c>
      <c r="Q209">
        <v>-4.3624290000000003E-2</v>
      </c>
      <c r="R209">
        <v>2.731768E-2</v>
      </c>
      <c r="S209">
        <v>3.0002439999999999</v>
      </c>
      <c r="T209">
        <v>-8.2454680000000002E-2</v>
      </c>
      <c r="U209">
        <v>3.1738280000000001E-3</v>
      </c>
      <c r="V209">
        <v>-1.105299E-2</v>
      </c>
      <c r="W209">
        <v>-2.9885720000000001E-2</v>
      </c>
      <c r="X209">
        <v>0.99949219999999905</v>
      </c>
      <c r="Y209">
        <v>1.5211870000000001E-2</v>
      </c>
      <c r="Z209">
        <v>-5.370568E-4</v>
      </c>
      <c r="AA209">
        <v>0.99988410000000005</v>
      </c>
      <c r="AB209">
        <v>15</v>
      </c>
      <c r="AC209">
        <v>42.506699999999903</v>
      </c>
      <c r="AD209">
        <v>-1.1714719999999901</v>
      </c>
      <c r="AE209">
        <v>4.3099999999981202E-2</v>
      </c>
      <c r="AF209">
        <v>0.64841152540869096</v>
      </c>
      <c r="AG209">
        <v>-1.1714719999999901</v>
      </c>
      <c r="AH209">
        <v>42.469511364955601</v>
      </c>
      <c r="AI209">
        <v>91.579852654789093</v>
      </c>
      <c r="AJ209">
        <v>89.125293503015598</v>
      </c>
      <c r="AK209">
        <v>42.490612842499203</v>
      </c>
      <c r="AL209">
        <v>91.712580636747703</v>
      </c>
      <c r="AM209">
        <v>90.6335855990813</v>
      </c>
      <c r="AN209">
        <v>0.99999999135434903</v>
      </c>
    </row>
    <row r="210" spans="1:40" x14ac:dyDescent="0.25">
      <c r="A210" t="str">
        <f>"20190303153747407"</f>
        <v>20190303153747407</v>
      </c>
      <c r="B210" t="str">
        <f>"1551598667399737"</f>
        <v>1551598667399737</v>
      </c>
      <c r="C210" t="s">
        <v>40</v>
      </c>
      <c r="D210">
        <v>3.8880300000000001</v>
      </c>
      <c r="E210">
        <v>0.51038119999999998</v>
      </c>
      <c r="F210" t="s">
        <v>43</v>
      </c>
      <c r="G210">
        <v>-416.16430000000003</v>
      </c>
      <c r="H210">
        <v>-0.05</v>
      </c>
      <c r="I210">
        <v>367.29640000000001</v>
      </c>
      <c r="J210">
        <v>-457.34649999999999</v>
      </c>
      <c r="K210">
        <v>1.121475</v>
      </c>
      <c r="L210">
        <v>367.29079999999999</v>
      </c>
      <c r="M210">
        <v>0.99977199999999999</v>
      </c>
      <c r="N210">
        <v>-1.375296E-2</v>
      </c>
      <c r="O210">
        <v>1.634188E-2</v>
      </c>
      <c r="P210">
        <v>0.99862689999999998</v>
      </c>
      <c r="Q210">
        <v>-4.4314079999999999E-2</v>
      </c>
      <c r="R210">
        <v>2.7941000000000001E-2</v>
      </c>
      <c r="S210">
        <v>3.0002439999999999</v>
      </c>
      <c r="T210">
        <v>-8.5162760000000004E-2</v>
      </c>
      <c r="U210">
        <v>5.1879879999999995E-4</v>
      </c>
      <c r="V210">
        <v>-1.1612269999999999E-2</v>
      </c>
      <c r="W210">
        <v>-3.0572950000000002E-2</v>
      </c>
      <c r="X210">
        <v>0.9994651</v>
      </c>
      <c r="Y210">
        <v>1.6159119999999999E-2</v>
      </c>
      <c r="Z210">
        <v>-5.7946629999999896E-4</v>
      </c>
      <c r="AA210">
        <v>0.99986929999999996</v>
      </c>
      <c r="AB210">
        <v>15</v>
      </c>
      <c r="AC210">
        <v>41.182199999999902</v>
      </c>
      <c r="AD210">
        <v>-1.171475</v>
      </c>
      <c r="AE210">
        <v>5.6000000000153696E-3</v>
      </c>
      <c r="AF210">
        <v>0.66691922883607602</v>
      </c>
      <c r="AG210">
        <v>-1.171475</v>
      </c>
      <c r="AH210">
        <v>41.143498483449399</v>
      </c>
      <c r="AI210">
        <v>91.630722644448596</v>
      </c>
      <c r="AJ210">
        <v>89.071340252777802</v>
      </c>
      <c r="AK210">
        <v>41.165575453174696</v>
      </c>
      <c r="AL210">
        <v>91.751973972745404</v>
      </c>
      <c r="AM210">
        <v>90.665660187990596</v>
      </c>
      <c r="AN210">
        <v>1.00000001810213</v>
      </c>
    </row>
    <row r="211" spans="1:40" x14ac:dyDescent="0.25">
      <c r="A211" t="str">
        <f>"20190303153747420"</f>
        <v>20190303153747420</v>
      </c>
      <c r="B211" t="str">
        <f>"1551598667409496"</f>
        <v>1551598667409496</v>
      </c>
      <c r="C211" t="s">
        <v>40</v>
      </c>
      <c r="D211">
        <v>3.8981699999999999</v>
      </c>
      <c r="E211">
        <v>0.5104398</v>
      </c>
      <c r="F211" t="s">
        <v>43</v>
      </c>
      <c r="G211">
        <v>-416.43729999999999</v>
      </c>
      <c r="H211">
        <v>-0.05</v>
      </c>
      <c r="I211">
        <v>367.30950000000001</v>
      </c>
      <c r="J211">
        <v>-457.26760000000002</v>
      </c>
      <c r="K211">
        <v>1.1214789999999999</v>
      </c>
      <c r="L211">
        <v>367.29219999999998</v>
      </c>
      <c r="M211">
        <v>0.99977070000000001</v>
      </c>
      <c r="N211">
        <v>-1.3755430000000001E-2</v>
      </c>
      <c r="O211">
        <v>1.640981E-2</v>
      </c>
      <c r="P211">
        <v>0.99857410000000002</v>
      </c>
      <c r="Q211">
        <v>-4.5296389999999999E-2</v>
      </c>
      <c r="R211">
        <v>2.8252070000000001E-2</v>
      </c>
      <c r="S211">
        <v>3.000305</v>
      </c>
      <c r="T211">
        <v>-8.5916759999999995E-2</v>
      </c>
      <c r="U211">
        <v>1.373291E-3</v>
      </c>
      <c r="V211">
        <v>-1.185544E-2</v>
      </c>
      <c r="W211">
        <v>-3.1553579999999998E-2</v>
      </c>
      <c r="X211">
        <v>0.99943170000000003</v>
      </c>
      <c r="Y211">
        <v>1.594222E-2</v>
      </c>
      <c r="Z211">
        <v>-5.8197879999999998E-4</v>
      </c>
      <c r="AA211">
        <v>0.99987269999999995</v>
      </c>
      <c r="AB211">
        <v>15</v>
      </c>
      <c r="AC211">
        <v>40.830300000000001</v>
      </c>
      <c r="AD211">
        <v>-1.1714789999999999</v>
      </c>
      <c r="AE211">
        <v>1.7300000000034201E-2</v>
      </c>
      <c r="AF211">
        <v>0.65224628254135997</v>
      </c>
      <c r="AG211">
        <v>-1.1714789999999999</v>
      </c>
      <c r="AH211">
        <v>40.791505629621803</v>
      </c>
      <c r="AI211">
        <v>91.644798001251402</v>
      </c>
      <c r="AJ211">
        <v>89.083932446289694</v>
      </c>
      <c r="AK211">
        <v>40.813535987365697</v>
      </c>
      <c r="AL211">
        <v>91.808187182164204</v>
      </c>
      <c r="AM211">
        <v>90.679621047425599</v>
      </c>
      <c r="AN211">
        <v>0.99999995141664799</v>
      </c>
    </row>
    <row r="212" spans="1:40" x14ac:dyDescent="0.25">
      <c r="A212" t="str">
        <f>"20190303153747432"</f>
        <v>20190303153747432</v>
      </c>
      <c r="B212" t="str">
        <f>"1551598667429017"</f>
        <v>1551598667429017</v>
      </c>
      <c r="C212" t="s">
        <v>40</v>
      </c>
      <c r="D212">
        <v>3.8887999999999998</v>
      </c>
      <c r="E212">
        <v>0.51065950000000004</v>
      </c>
      <c r="F212" t="s">
        <v>43</v>
      </c>
      <c r="G212">
        <v>-417.57580000000002</v>
      </c>
      <c r="H212">
        <v>-0.05</v>
      </c>
      <c r="I212">
        <v>367.31799999999998</v>
      </c>
      <c r="J212">
        <v>-457.18340000000001</v>
      </c>
      <c r="K212">
        <v>1.121483</v>
      </c>
      <c r="L212">
        <v>367.2937</v>
      </c>
      <c r="M212">
        <v>0.99976960000000004</v>
      </c>
      <c r="N212">
        <v>-1.375789E-2</v>
      </c>
      <c r="O212">
        <v>1.6486199999999999E-2</v>
      </c>
      <c r="P212">
        <v>0.99854949999999998</v>
      </c>
      <c r="Q212">
        <v>-4.5517559999999999E-2</v>
      </c>
      <c r="R212">
        <v>2.8764029999999999E-2</v>
      </c>
      <c r="S212">
        <v>3.0002140000000002</v>
      </c>
      <c r="T212">
        <v>-8.8549489999999995E-2</v>
      </c>
      <c r="U212">
        <v>1.953125E-3</v>
      </c>
      <c r="V212">
        <v>-1.229094E-2</v>
      </c>
      <c r="W212">
        <v>-3.1772759999999997E-2</v>
      </c>
      <c r="X212">
        <v>0.99941959999999996</v>
      </c>
      <c r="Y212">
        <v>1.5824700000000001E-2</v>
      </c>
      <c r="Z212">
        <v>-6.0202390000000001E-4</v>
      </c>
      <c r="AA212">
        <v>0.99987459999999995</v>
      </c>
      <c r="AB212">
        <v>15</v>
      </c>
      <c r="AC212">
        <v>39.607599999999898</v>
      </c>
      <c r="AD212">
        <v>-1.1714830000000001</v>
      </c>
      <c r="AE212">
        <v>2.43000000000392E-2</v>
      </c>
      <c r="AF212">
        <v>0.62819426596456995</v>
      </c>
      <c r="AG212">
        <v>-1.1714830000000001</v>
      </c>
      <c r="AH212">
        <v>39.568002134085198</v>
      </c>
      <c r="AI212">
        <v>91.695637288215593</v>
      </c>
      <c r="AJ212">
        <v>89.090430282602199</v>
      </c>
      <c r="AK212">
        <v>39.5903244914468</v>
      </c>
      <c r="AL212">
        <v>91.820751380785794</v>
      </c>
      <c r="AM212">
        <v>90.704592434254096</v>
      </c>
      <c r="AN212">
        <v>1.00000005617412</v>
      </c>
    </row>
    <row r="213" spans="1:40" x14ac:dyDescent="0.25">
      <c r="A213" t="str">
        <f>"20190303153747445"</f>
        <v>20190303153747445</v>
      </c>
      <c r="B213" t="str">
        <f>"1551598667439754"</f>
        <v>1551598667439754</v>
      </c>
      <c r="C213" t="s">
        <v>40</v>
      </c>
      <c r="D213">
        <v>3.9147880000000002</v>
      </c>
      <c r="E213">
        <v>0.51070609999999905</v>
      </c>
      <c r="F213" t="s">
        <v>43</v>
      </c>
      <c r="G213">
        <v>-416.91050000000001</v>
      </c>
      <c r="H213">
        <v>-0.05</v>
      </c>
      <c r="I213">
        <v>367.31459999999998</v>
      </c>
      <c r="J213">
        <v>-457.08969999999999</v>
      </c>
      <c r="K213">
        <v>1.1214869999999999</v>
      </c>
      <c r="L213">
        <v>367.2953</v>
      </c>
      <c r="M213">
        <v>0.99976790000000004</v>
      </c>
      <c r="N213">
        <v>-1.376017E-2</v>
      </c>
      <c r="O213">
        <v>1.658171E-2</v>
      </c>
      <c r="P213">
        <v>0.99849390000000005</v>
      </c>
      <c r="Q213">
        <v>-4.631598E-2</v>
      </c>
      <c r="R213">
        <v>2.9411030000000001E-2</v>
      </c>
      <c r="S213">
        <v>3.000305</v>
      </c>
      <c r="T213">
        <v>-8.7274790000000005E-2</v>
      </c>
      <c r="U213">
        <v>1.556396E-3</v>
      </c>
      <c r="V213">
        <v>-1.284246E-2</v>
      </c>
      <c r="W213">
        <v>-3.2569729999999998E-2</v>
      </c>
      <c r="X213">
        <v>0.99938700000000003</v>
      </c>
      <c r="Y213">
        <v>1.605266E-2</v>
      </c>
      <c r="Z213">
        <v>-5.9796860000000003E-4</v>
      </c>
      <c r="AA213">
        <v>0.99987099999999995</v>
      </c>
      <c r="AB213">
        <v>15</v>
      </c>
      <c r="AC213">
        <v>40.179199999999902</v>
      </c>
      <c r="AD213">
        <v>-1.1714869999999999</v>
      </c>
      <c r="AE213">
        <v>1.9299999999986901E-2</v>
      </c>
      <c r="AF213">
        <v>0.64645597423954704</v>
      </c>
      <c r="AG213">
        <v>-1.1714869999999999</v>
      </c>
      <c r="AH213">
        <v>40.139871851583898</v>
      </c>
      <c r="AI213">
        <v>91.671493069768701</v>
      </c>
      <c r="AJ213">
        <v>89.0773264730703</v>
      </c>
      <c r="AK213">
        <v>40.162166268509203</v>
      </c>
      <c r="AL213">
        <v>91.866438064675194</v>
      </c>
      <c r="AM213">
        <v>90.736229567099102</v>
      </c>
      <c r="AN213">
        <v>1.00000004593006</v>
      </c>
    </row>
    <row r="214" spans="1:40" x14ac:dyDescent="0.25">
      <c r="A214" t="str">
        <f>"20190303153747462"</f>
        <v>20190303153747462</v>
      </c>
      <c r="B214" t="str">
        <f>"1551598667459273"</f>
        <v>1551598667459273</v>
      </c>
      <c r="C214" t="s">
        <v>40</v>
      </c>
      <c r="D214">
        <v>3.8784420000000002</v>
      </c>
      <c r="E214">
        <v>0.51089070000000003</v>
      </c>
      <c r="F214" t="s">
        <v>43</v>
      </c>
      <c r="G214">
        <v>-417.67099999999999</v>
      </c>
      <c r="H214">
        <v>-0.05</v>
      </c>
      <c r="I214">
        <v>367.33620000000002</v>
      </c>
      <c r="J214">
        <v>-456.97919999999999</v>
      </c>
      <c r="K214">
        <v>1.1214900000000001</v>
      </c>
      <c r="L214">
        <v>367.29730000000001</v>
      </c>
      <c r="M214">
        <v>0.99976580000000004</v>
      </c>
      <c r="N214">
        <v>-1.376232E-2</v>
      </c>
      <c r="O214">
        <v>1.6703840000000001E-2</v>
      </c>
      <c r="P214">
        <v>0.99847019999999997</v>
      </c>
      <c r="Q214">
        <v>-4.6463280000000003E-2</v>
      </c>
      <c r="R214">
        <v>2.9978580000000001E-2</v>
      </c>
      <c r="S214">
        <v>3.0002749999999998</v>
      </c>
      <c r="T214">
        <v>-8.9165330000000001E-2</v>
      </c>
      <c r="U214">
        <v>3.112793E-3</v>
      </c>
      <c r="V214">
        <v>-1.328797E-2</v>
      </c>
      <c r="W214">
        <v>-3.2715269999999998E-2</v>
      </c>
      <c r="X214">
        <v>0.99937640000000005</v>
      </c>
      <c r="Y214">
        <v>1.5655820000000001E-2</v>
      </c>
      <c r="Z214">
        <v>-6.0677539999999996E-4</v>
      </c>
      <c r="AA214">
        <v>0.99987729999999997</v>
      </c>
      <c r="AB214">
        <v>15</v>
      </c>
      <c r="AC214">
        <v>39.308199999999999</v>
      </c>
      <c r="AD214">
        <v>-1.1714899999999999</v>
      </c>
      <c r="AE214">
        <v>3.89000000000123E-2</v>
      </c>
      <c r="AF214">
        <v>0.61721726449202297</v>
      </c>
      <c r="AG214">
        <v>-1.1714899999999999</v>
      </c>
      <c r="AH214">
        <v>39.2684863242362</v>
      </c>
      <c r="AI214">
        <v>91.708577403536196</v>
      </c>
      <c r="AJ214">
        <v>89.099506097662101</v>
      </c>
      <c r="AK214">
        <v>39.290805084248603</v>
      </c>
      <c r="AL214">
        <v>91.874781379458696</v>
      </c>
      <c r="AM214">
        <v>90.761774780625998</v>
      </c>
      <c r="AN214">
        <v>1.00000002395742</v>
      </c>
    </row>
    <row r="215" spans="1:40" x14ac:dyDescent="0.25">
      <c r="A215" t="str">
        <f>"20190303153747474"</f>
        <v>20190303153747474</v>
      </c>
      <c r="B215" t="str">
        <f>"1551598667469033"</f>
        <v>1551598667469033</v>
      </c>
      <c r="C215" t="s">
        <v>40</v>
      </c>
      <c r="D215">
        <v>3.8918170000000001</v>
      </c>
      <c r="E215">
        <v>0.5109882</v>
      </c>
      <c r="F215" t="s">
        <v>43</v>
      </c>
      <c r="G215">
        <v>-417.27330000000001</v>
      </c>
      <c r="H215">
        <v>-0.05</v>
      </c>
      <c r="I215">
        <v>367.34249999999997</v>
      </c>
      <c r="J215">
        <v>-456.89319999999998</v>
      </c>
      <c r="K215">
        <v>1.1214900000000001</v>
      </c>
      <c r="L215">
        <v>367.2989</v>
      </c>
      <c r="M215">
        <v>0.99976410000000004</v>
      </c>
      <c r="N215">
        <v>-1.376369E-2</v>
      </c>
      <c r="O215">
        <v>1.680311E-2</v>
      </c>
      <c r="P215">
        <v>0.99844900000000003</v>
      </c>
      <c r="Q215">
        <v>-4.6675260000000003E-2</v>
      </c>
      <c r="R215">
        <v>3.0352839999999999E-2</v>
      </c>
      <c r="S215">
        <v>3.0003660000000001</v>
      </c>
      <c r="T215">
        <v>-8.852351E-2</v>
      </c>
      <c r="U215">
        <v>3.4179689999999999E-3</v>
      </c>
      <c r="V215">
        <v>-1.356331E-2</v>
      </c>
      <c r="W215">
        <v>-3.2926190000000001E-2</v>
      </c>
      <c r="X215">
        <v>0.99936570000000002</v>
      </c>
      <c r="Y215">
        <v>1.56536E-2</v>
      </c>
      <c r="Z215">
        <v>-6.0300909999999998E-4</v>
      </c>
      <c r="AA215">
        <v>0.99987729999999997</v>
      </c>
      <c r="AB215">
        <v>15</v>
      </c>
      <c r="AC215">
        <v>39.619899999999902</v>
      </c>
      <c r="AD215">
        <v>-1.1714899999999999</v>
      </c>
      <c r="AE215">
        <v>4.3599999999969399E-2</v>
      </c>
      <c r="AF215">
        <v>0.62166324192231603</v>
      </c>
      <c r="AG215">
        <v>-1.1714899999999999</v>
      </c>
      <c r="AH215">
        <v>39.580433669970397</v>
      </c>
      <c r="AI215">
        <v>91.695119697875398</v>
      </c>
      <c r="AJ215">
        <v>89.100167727766902</v>
      </c>
      <c r="AK215">
        <v>39.602646168019902</v>
      </c>
      <c r="AL215">
        <v>91.886872859037894</v>
      </c>
      <c r="AM215">
        <v>90.777565920152796</v>
      </c>
      <c r="AN215">
        <v>0.99999994985127905</v>
      </c>
    </row>
    <row r="216" spans="1:40" x14ac:dyDescent="0.25">
      <c r="A216" t="str">
        <f>"20190303153747487"</f>
        <v>20190303153747487</v>
      </c>
      <c r="B216" t="str">
        <f>"1551598667479769"</f>
        <v>1551598667479769</v>
      </c>
      <c r="C216" t="s">
        <v>40</v>
      </c>
      <c r="D216">
        <v>3.8721269999999999</v>
      </c>
      <c r="E216">
        <v>0.51105040000000002</v>
      </c>
      <c r="F216" t="s">
        <v>43</v>
      </c>
      <c r="G216">
        <v>-417.053</v>
      </c>
      <c r="H216">
        <v>-0.05</v>
      </c>
      <c r="I216">
        <v>367.35160000000002</v>
      </c>
      <c r="J216">
        <v>-456.80369999999999</v>
      </c>
      <c r="K216">
        <v>1.1214900000000001</v>
      </c>
      <c r="L216">
        <v>367.3005</v>
      </c>
      <c r="M216">
        <v>0.99976240000000005</v>
      </c>
      <c r="N216">
        <v>-1.376486E-2</v>
      </c>
      <c r="O216">
        <v>1.6909980000000002E-2</v>
      </c>
      <c r="P216">
        <v>0.99841270000000004</v>
      </c>
      <c r="Q216">
        <v>-4.7366650000000003E-2</v>
      </c>
      <c r="R216">
        <v>3.0477959999999998E-2</v>
      </c>
      <c r="S216">
        <v>3.000397</v>
      </c>
      <c r="T216">
        <v>-8.822584E-2</v>
      </c>
      <c r="U216">
        <v>3.9672850000000001E-3</v>
      </c>
      <c r="V216">
        <v>-1.358206E-2</v>
      </c>
      <c r="W216">
        <v>-3.3616819999999999E-2</v>
      </c>
      <c r="X216">
        <v>0.99934250000000002</v>
      </c>
      <c r="Y216">
        <v>1.5577550000000001E-2</v>
      </c>
      <c r="Z216">
        <v>-6.0057760000000002E-4</v>
      </c>
      <c r="AA216">
        <v>0.9998785</v>
      </c>
      <c r="AB216">
        <v>15</v>
      </c>
      <c r="AC216">
        <v>39.750699999999902</v>
      </c>
      <c r="AD216">
        <v>-1.1714899999999999</v>
      </c>
      <c r="AE216">
        <v>5.1100000000019401E-2</v>
      </c>
      <c r="AF216">
        <v>0.62061542045409801</v>
      </c>
      <c r="AG216">
        <v>-1.1714899999999999</v>
      </c>
      <c r="AH216">
        <v>39.711388697988603</v>
      </c>
      <c r="AI216">
        <v>91.689535066642406</v>
      </c>
      <c r="AJ216">
        <v>89.104646023545897</v>
      </c>
      <c r="AK216">
        <v>39.733511607243301</v>
      </c>
      <c r="AL216">
        <v>91.926464874114998</v>
      </c>
      <c r="AM216">
        <v>90.778658773756007</v>
      </c>
      <c r="AN216">
        <v>0.999999997623503</v>
      </c>
    </row>
    <row r="217" spans="1:40" x14ac:dyDescent="0.25">
      <c r="A217" t="str">
        <f>"20190303153747500"</f>
        <v>20190303153747500</v>
      </c>
      <c r="B217" t="str">
        <f>"1551598667489529"</f>
        <v>1551598667489529</v>
      </c>
      <c r="C217" t="s">
        <v>40</v>
      </c>
      <c r="D217">
        <v>3.8448039999999999</v>
      </c>
      <c r="E217">
        <v>0.51108549999999997</v>
      </c>
      <c r="F217" t="s">
        <v>43</v>
      </c>
      <c r="G217">
        <v>-417.65499999999997</v>
      </c>
      <c r="H217">
        <v>-0.05</v>
      </c>
      <c r="I217">
        <v>367.35070000000002</v>
      </c>
      <c r="J217">
        <v>-456.72019999999998</v>
      </c>
      <c r="K217">
        <v>1.121489</v>
      </c>
      <c r="L217">
        <v>367.30200000000002</v>
      </c>
      <c r="M217">
        <v>0.9997606</v>
      </c>
      <c r="N217">
        <v>-1.3765599999999999E-2</v>
      </c>
      <c r="O217">
        <v>1.7012059999999999E-2</v>
      </c>
      <c r="P217">
        <v>0.99835289999999999</v>
      </c>
      <c r="Q217">
        <v>-4.8400070000000003E-2</v>
      </c>
      <c r="R217">
        <v>3.0808459999999999E-2</v>
      </c>
      <c r="S217">
        <v>3.000397</v>
      </c>
      <c r="T217">
        <v>-8.9784379999999997E-2</v>
      </c>
      <c r="U217">
        <v>3.8452149999999999E-3</v>
      </c>
      <c r="V217">
        <v>-1.3811729999999999E-2</v>
      </c>
      <c r="W217">
        <v>-3.4650140000000003E-2</v>
      </c>
      <c r="X217">
        <v>0.99930410000000003</v>
      </c>
      <c r="Y217">
        <v>1.5719779999999999E-2</v>
      </c>
      <c r="Z217">
        <v>-6.1814940000000005E-4</v>
      </c>
      <c r="AA217">
        <v>0.99987630000000005</v>
      </c>
      <c r="AB217">
        <v>15</v>
      </c>
      <c r="AC217">
        <v>39.065199999999997</v>
      </c>
      <c r="AD217">
        <v>-1.171489</v>
      </c>
      <c r="AE217">
        <v>4.8700000000053402E-2</v>
      </c>
      <c r="AF217">
        <v>0.61539608317971495</v>
      </c>
      <c r="AG217">
        <v>-1.171489</v>
      </c>
      <c r="AH217">
        <v>39.025279441502398</v>
      </c>
      <c r="AI217">
        <v>91.719216092570704</v>
      </c>
      <c r="AJ217">
        <v>89.096568260169406</v>
      </c>
      <c r="AK217">
        <v>39.047708438571199</v>
      </c>
      <c r="AL217">
        <v>91.985704187050203</v>
      </c>
      <c r="AM217">
        <v>90.791854503411002</v>
      </c>
      <c r="AN217">
        <v>1.00000004018221</v>
      </c>
    </row>
    <row r="218" spans="1:40" x14ac:dyDescent="0.25">
      <c r="A218" t="str">
        <f>"20190303153747519"</f>
        <v>20190303153747519</v>
      </c>
      <c r="B218" t="str">
        <f>"1551598667509048"</f>
        <v>1551598667509048</v>
      </c>
      <c r="C218" t="s">
        <v>40</v>
      </c>
      <c r="D218">
        <v>3.8600680000000001</v>
      </c>
      <c r="E218">
        <v>0.51125909999999997</v>
      </c>
      <c r="F218" t="s">
        <v>43</v>
      </c>
      <c r="G218">
        <v>-418.77859999999998</v>
      </c>
      <c r="H218">
        <v>-0.05</v>
      </c>
      <c r="I218">
        <v>367.35719999999998</v>
      </c>
      <c r="J218">
        <v>-456.58690000000001</v>
      </c>
      <c r="K218">
        <v>1.121494</v>
      </c>
      <c r="L218">
        <v>367.30450000000002</v>
      </c>
      <c r="M218">
        <v>0.99975789999999998</v>
      </c>
      <c r="N218">
        <v>-1.3766399999999899E-2</v>
      </c>
      <c r="O218">
        <v>1.7175139999999998E-2</v>
      </c>
      <c r="P218">
        <v>0.99828799999999995</v>
      </c>
      <c r="Q218">
        <v>-4.9342320000000002E-2</v>
      </c>
      <c r="R218">
        <v>3.1411809999999998E-2</v>
      </c>
      <c r="S218">
        <v>3.000305</v>
      </c>
      <c r="T218">
        <v>-9.2637780000000003E-2</v>
      </c>
      <c r="U218">
        <v>4.3640140000000003E-3</v>
      </c>
      <c r="V218">
        <v>-1.425298E-2</v>
      </c>
      <c r="W218">
        <v>-3.5592209999999999E-2</v>
      </c>
      <c r="X218">
        <v>0.99926479999999995</v>
      </c>
      <c r="Y218">
        <v>1.57091E-2</v>
      </c>
      <c r="Z218">
        <v>-6.4435600000000001E-4</v>
      </c>
      <c r="AA218">
        <v>0.9998764</v>
      </c>
      <c r="AB218">
        <v>15</v>
      </c>
      <c r="AC218">
        <v>37.808300000000003</v>
      </c>
      <c r="AD218">
        <v>-1.171494</v>
      </c>
      <c r="AE218">
        <v>5.2699999999958801E-2</v>
      </c>
      <c r="AF218">
        <v>0.59615968692083499</v>
      </c>
      <c r="AG218">
        <v>-1.171494</v>
      </c>
      <c r="AH218">
        <v>37.767367808516099</v>
      </c>
      <c r="AI218">
        <v>91.776448779182999</v>
      </c>
      <c r="AJ218">
        <v>89.095658516712007</v>
      </c>
      <c r="AK218">
        <v>37.790235190430899</v>
      </c>
      <c r="AL218">
        <v>92.0397141294562</v>
      </c>
      <c r="AM218">
        <v>90.817181017182193</v>
      </c>
      <c r="AN218">
        <v>1.0000000466853001</v>
      </c>
    </row>
    <row r="219" spans="1:40" x14ac:dyDescent="0.25">
      <c r="A219" t="str">
        <f>"20190303153747542"</f>
        <v>20190303153747542</v>
      </c>
      <c r="B219" t="str">
        <f>"1551598667539304"</f>
        <v>1551598667539304</v>
      </c>
      <c r="C219" t="s">
        <v>40</v>
      </c>
      <c r="D219">
        <v>3.8550360000000001</v>
      </c>
      <c r="E219">
        <v>0.51140819999999998</v>
      </c>
      <c r="F219" t="s">
        <v>43</v>
      </c>
      <c r="G219">
        <v>-419.06610000000001</v>
      </c>
      <c r="H219">
        <v>-0.05</v>
      </c>
      <c r="I219">
        <v>367.36559999999997</v>
      </c>
      <c r="J219">
        <v>-456.43599999999998</v>
      </c>
      <c r="K219">
        <v>1.121499</v>
      </c>
      <c r="L219">
        <v>367.3073</v>
      </c>
      <c r="M219">
        <v>0.99975449999999999</v>
      </c>
      <c r="N219">
        <v>-1.376671E-2</v>
      </c>
      <c r="O219">
        <v>1.7357669999999999E-2</v>
      </c>
      <c r="P219">
        <v>0.99820529999999996</v>
      </c>
      <c r="Q219">
        <v>-5.0688520000000001E-2</v>
      </c>
      <c r="R219">
        <v>3.1884969999999999E-2</v>
      </c>
      <c r="S219">
        <v>3.000305</v>
      </c>
      <c r="T219">
        <v>-9.3677159999999995E-2</v>
      </c>
      <c r="U219">
        <v>4.8828129999999997E-3</v>
      </c>
      <c r="V219">
        <v>-1.4545310000000001E-2</v>
      </c>
      <c r="W219">
        <v>-3.6938859999999997E-2</v>
      </c>
      <c r="X219">
        <v>0.99921170000000004</v>
      </c>
      <c r="Y219">
        <v>1.571842E-2</v>
      </c>
      <c r="Z219">
        <v>-6.5641289999999997E-4</v>
      </c>
      <c r="AA219">
        <v>0.99987630000000005</v>
      </c>
      <c r="AB219">
        <v>15</v>
      </c>
      <c r="AC219">
        <v>37.369899999999902</v>
      </c>
      <c r="AD219">
        <v>-1.1714990000000001</v>
      </c>
      <c r="AE219">
        <v>5.8299999999974199E-2</v>
      </c>
      <c r="AF219">
        <v>0.58984503007892397</v>
      </c>
      <c r="AG219">
        <v>-1.1714990000000001</v>
      </c>
      <c r="AH219">
        <v>37.3285966626148</v>
      </c>
      <c r="AI219">
        <v>91.797323258652895</v>
      </c>
      <c r="AJ219">
        <v>89.094720362446296</v>
      </c>
      <c r="AK219">
        <v>37.351632572977202</v>
      </c>
      <c r="AL219">
        <v>92.116922309649794</v>
      </c>
      <c r="AM219">
        <v>90.833983446593606</v>
      </c>
      <c r="AN219">
        <v>1.00000003341899</v>
      </c>
    </row>
    <row r="220" spans="1:40" x14ac:dyDescent="0.25">
      <c r="A220" t="str">
        <f>"20190303153747555"</f>
        <v>20190303153747555</v>
      </c>
      <c r="B220" t="str">
        <f>"1551598667549065"</f>
        <v>1551598667549065</v>
      </c>
      <c r="C220" t="s">
        <v>40</v>
      </c>
      <c r="D220">
        <v>4.0048279999999998</v>
      </c>
      <c r="E220">
        <v>0.53054979999999996</v>
      </c>
      <c r="F220" t="s">
        <v>43</v>
      </c>
      <c r="G220">
        <v>-419.9665</v>
      </c>
      <c r="H220">
        <v>-0.05</v>
      </c>
      <c r="I220">
        <v>367.36959999999999</v>
      </c>
      <c r="J220">
        <v>-456.34730000000002</v>
      </c>
      <c r="K220">
        <v>1.1214959999999901</v>
      </c>
      <c r="L220">
        <v>367.30900000000003</v>
      </c>
      <c r="M220">
        <v>0.9997528</v>
      </c>
      <c r="N220">
        <v>-1.376664E-2</v>
      </c>
      <c r="O220">
        <v>1.746257E-2</v>
      </c>
      <c r="P220">
        <v>0.99820660000000005</v>
      </c>
      <c r="Q220">
        <v>-5.0758499999999998E-2</v>
      </c>
      <c r="R220">
        <v>3.1734110000000003E-2</v>
      </c>
      <c r="S220">
        <v>3.0003359999999999</v>
      </c>
      <c r="T220">
        <v>-9.6378920000000007E-2</v>
      </c>
      <c r="U220">
        <v>5.1269530000000001E-3</v>
      </c>
      <c r="V220">
        <v>-1.428989E-2</v>
      </c>
      <c r="W220">
        <v>-3.7008729999999997E-2</v>
      </c>
      <c r="X220">
        <v>0.99921269999999995</v>
      </c>
      <c r="Y220">
        <v>1.5741129999999999E-2</v>
      </c>
      <c r="Z220">
        <v>-6.8154489999999995E-4</v>
      </c>
      <c r="AA220">
        <v>0.99987579999999998</v>
      </c>
      <c r="AB220">
        <v>15</v>
      </c>
      <c r="AC220">
        <v>36.380800000000001</v>
      </c>
      <c r="AD220">
        <v>-1.1714960000000001</v>
      </c>
      <c r="AE220">
        <v>6.05999999999653E-2</v>
      </c>
      <c r="AF220">
        <v>0.57417631760211396</v>
      </c>
      <c r="AG220">
        <v>-1.1714960000000001</v>
      </c>
      <c r="AH220">
        <v>36.338630409387001</v>
      </c>
      <c r="AI220">
        <v>91.846249245090505</v>
      </c>
      <c r="AJ220">
        <v>89.094761086352094</v>
      </c>
      <c r="AK220">
        <v>36.362042590477998</v>
      </c>
      <c r="AL220">
        <v>92.120928516919193</v>
      </c>
      <c r="AM220">
        <v>90.819339641928195</v>
      </c>
      <c r="AN220">
        <v>0.999999933446855</v>
      </c>
    </row>
    <row r="221" spans="1:40" x14ac:dyDescent="0.25">
      <c r="A221" t="str">
        <f>"20190303153747573"</f>
        <v>20190303153747573</v>
      </c>
      <c r="B221" t="str">
        <f>"1551598667569560"</f>
        <v>1551598667569560</v>
      </c>
      <c r="C221" t="s">
        <v>40</v>
      </c>
      <c r="D221">
        <v>3.8994930000000001</v>
      </c>
      <c r="E221">
        <v>0.54511069999999995</v>
      </c>
      <c r="F221" t="s">
        <v>42</v>
      </c>
      <c r="G221">
        <v>-392.43060000000003</v>
      </c>
      <c r="H221" s="1">
        <v>-4.1956769999999999E-6</v>
      </c>
      <c r="I221">
        <v>364.16969999999998</v>
      </c>
      <c r="J221">
        <v>-456.22550000000001</v>
      </c>
      <c r="K221">
        <v>1.1214919999999999</v>
      </c>
      <c r="L221">
        <v>367.31119999999999</v>
      </c>
      <c r="M221">
        <v>0.99975040000000004</v>
      </c>
      <c r="N221">
        <v>-1.3766280000000001E-2</v>
      </c>
      <c r="O221">
        <v>1.760248E-2</v>
      </c>
      <c r="P221">
        <v>0.99823609999999896</v>
      </c>
      <c r="Q221">
        <v>-5.0709650000000002E-2</v>
      </c>
      <c r="R221">
        <v>3.0876270000000001E-2</v>
      </c>
      <c r="S221">
        <v>3.0074459999999998</v>
      </c>
      <c r="T221">
        <v>-5.2769419999999997E-2</v>
      </c>
      <c r="U221">
        <v>-0.14770510000000001</v>
      </c>
      <c r="V221">
        <v>-1.3292669999999999E-2</v>
      </c>
      <c r="W221">
        <v>-3.6959649999999997E-2</v>
      </c>
      <c r="X221">
        <v>0.99922840000000002</v>
      </c>
      <c r="Y221">
        <v>6.6610959999999997E-2</v>
      </c>
      <c r="Z221">
        <v>-1.1093469999999999E-3</v>
      </c>
      <c r="AA221">
        <v>0.99777839999999995</v>
      </c>
      <c r="AB221">
        <v>15</v>
      </c>
      <c r="AC221">
        <v>63.794899999999899</v>
      </c>
      <c r="AD221">
        <v>-1.121496195677</v>
      </c>
      <c r="AE221">
        <v>-3.1415000000000002</v>
      </c>
      <c r="AF221">
        <v>4.2627537237903796</v>
      </c>
      <c r="AG221">
        <v>-1.121496195677</v>
      </c>
      <c r="AH221">
        <v>63.710068861446999</v>
      </c>
      <c r="AI221">
        <v>91.006231161126806</v>
      </c>
      <c r="AJ221">
        <v>86.172122984896902</v>
      </c>
      <c r="AK221">
        <v>63.862365265913198</v>
      </c>
      <c r="AL221">
        <v>92.118114261152499</v>
      </c>
      <c r="AM221">
        <v>90.762157047494995</v>
      </c>
      <c r="AN221">
        <v>1.0000000530852</v>
      </c>
    </row>
    <row r="222" spans="1:40" x14ac:dyDescent="0.25">
      <c r="A222" t="str">
        <f>"20190303153747586"</f>
        <v>20190303153747586</v>
      </c>
      <c r="B222" t="str">
        <f>"1551598667579321"</f>
        <v>1551598667579321</v>
      </c>
      <c r="C222" t="s">
        <v>40</v>
      </c>
      <c r="D222">
        <v>3.9000880000000002</v>
      </c>
      <c r="E222">
        <v>0.54955569999999998</v>
      </c>
      <c r="F222" t="s">
        <v>42</v>
      </c>
      <c r="G222">
        <v>-391.36200000000002</v>
      </c>
      <c r="H222" s="1">
        <v>-5.1140329999999999E-6</v>
      </c>
      <c r="I222">
        <v>361.57690000000002</v>
      </c>
      <c r="J222">
        <v>-456.13339999999999</v>
      </c>
      <c r="K222">
        <v>1.121489</v>
      </c>
      <c r="L222">
        <v>367.31299999999999</v>
      </c>
      <c r="M222">
        <v>0.99974859999999999</v>
      </c>
      <c r="N222">
        <v>-1.376582E-2</v>
      </c>
      <c r="O222">
        <v>1.7704029999999999E-2</v>
      </c>
      <c r="P222">
        <v>0.99829420000000002</v>
      </c>
      <c r="Q222">
        <v>-4.997244E-2</v>
      </c>
      <c r="R222">
        <v>3.0194599999999999E-2</v>
      </c>
      <c r="S222">
        <v>3.0108640000000002</v>
      </c>
      <c r="T222">
        <v>-5.2058100000000003E-2</v>
      </c>
      <c r="U222">
        <v>-0.26617429999999997</v>
      </c>
      <c r="V222">
        <v>-1.2508740000000001E-2</v>
      </c>
      <c r="W222">
        <v>-3.6222049999999999E-2</v>
      </c>
      <c r="X222">
        <v>0.99926550000000003</v>
      </c>
      <c r="Y222">
        <v>0.105656</v>
      </c>
      <c r="Z222">
        <v>-1.70265E-3</v>
      </c>
      <c r="AA222">
        <v>0.99440130000000004</v>
      </c>
      <c r="AB222">
        <v>15</v>
      </c>
      <c r="AC222">
        <v>64.7714</v>
      </c>
      <c r="AD222">
        <v>-1.1214941140329999</v>
      </c>
      <c r="AE222">
        <v>-5.73610000000002</v>
      </c>
      <c r="AF222">
        <v>6.8799776349483599</v>
      </c>
      <c r="AG222">
        <v>-1.1214941140329999</v>
      </c>
      <c r="AH222">
        <v>64.640456625690902</v>
      </c>
      <c r="AI222">
        <v>90.988384782191204</v>
      </c>
      <c r="AJ222">
        <v>83.924622102063907</v>
      </c>
      <c r="AK222">
        <v>65.015232631153594</v>
      </c>
      <c r="AL222">
        <v>92.075824638904805</v>
      </c>
      <c r="AM222">
        <v>90.717187351444096</v>
      </c>
      <c r="AN222">
        <v>1.0000000224864101</v>
      </c>
    </row>
    <row r="223" spans="1:40" x14ac:dyDescent="0.25">
      <c r="A223" t="str">
        <f>"20190303153747599"</f>
        <v>20190303153747599</v>
      </c>
      <c r="B223" t="str">
        <f>"1551598667589082"</f>
        <v>1551598667589082</v>
      </c>
      <c r="C223" t="s">
        <v>40</v>
      </c>
      <c r="D223">
        <v>3.8621970000000001</v>
      </c>
      <c r="E223">
        <v>0.5525139</v>
      </c>
      <c r="F223" t="s">
        <v>42</v>
      </c>
      <c r="G223">
        <v>-379.60140000000001</v>
      </c>
      <c r="H223">
        <v>7.1277510000000002E-2</v>
      </c>
      <c r="I223">
        <v>359.59500000000003</v>
      </c>
      <c r="J223">
        <v>-456.04640000000001</v>
      </c>
      <c r="K223">
        <v>1.1214900000000001</v>
      </c>
      <c r="L223">
        <v>367.31470000000002</v>
      </c>
      <c r="M223">
        <v>0.99974700000000005</v>
      </c>
      <c r="N223">
        <v>-1.376519E-2</v>
      </c>
      <c r="O223">
        <v>1.779551E-2</v>
      </c>
      <c r="P223">
        <v>0.99830160000000001</v>
      </c>
      <c r="Q223">
        <v>-5.0182709999999998E-2</v>
      </c>
      <c r="R223">
        <v>2.9597209999999999E-2</v>
      </c>
      <c r="S223">
        <v>3.012238</v>
      </c>
      <c r="T223">
        <v>-4.1335459999999997E-2</v>
      </c>
      <c r="U223">
        <v>-0.30377199999999999</v>
      </c>
      <c r="V223">
        <v>-1.1820600000000001E-2</v>
      </c>
      <c r="W223">
        <v>-3.643271E-2</v>
      </c>
      <c r="X223">
        <v>0.99926619999999999</v>
      </c>
      <c r="Y223">
        <v>0.118006399999999</v>
      </c>
      <c r="Z223">
        <v>-1.621255E-3</v>
      </c>
      <c r="AA223">
        <v>0.99301150000000005</v>
      </c>
      <c r="AB223">
        <v>15</v>
      </c>
      <c r="AC223">
        <v>76.444999999999993</v>
      </c>
      <c r="AD223">
        <v>-1.0502124899999901</v>
      </c>
      <c r="AE223">
        <v>-7.71969999999998</v>
      </c>
      <c r="AF223">
        <v>9.0772879215690594</v>
      </c>
      <c r="AG223">
        <v>-1.0502124899999901</v>
      </c>
      <c r="AH223">
        <v>76.2812517108337</v>
      </c>
      <c r="AI223">
        <v>90.783252183363103</v>
      </c>
      <c r="AJ223">
        <v>83.213849760755195</v>
      </c>
      <c r="AK223">
        <v>76.8266195068922</v>
      </c>
      <c r="AL223">
        <v>92.087902578908498</v>
      </c>
      <c r="AM223">
        <v>90.677736226231005</v>
      </c>
      <c r="AN223">
        <v>1.00000000370237</v>
      </c>
    </row>
    <row r="224" spans="1:40" x14ac:dyDescent="0.25">
      <c r="A224" t="str">
        <f>"20190303153747613"</f>
        <v>20190303153747613</v>
      </c>
      <c r="B224" t="str">
        <f>"1551598667609577"</f>
        <v>1551598667609577</v>
      </c>
      <c r="C224" t="s">
        <v>40</v>
      </c>
      <c r="D224">
        <v>3.9084310000000002</v>
      </c>
      <c r="E224">
        <v>0.55588409999999999</v>
      </c>
      <c r="F224" t="s">
        <v>42</v>
      </c>
      <c r="G224">
        <v>-373.36250000000001</v>
      </c>
      <c r="H224">
        <v>7.9985909999999993E-2</v>
      </c>
      <c r="I224">
        <v>358.28469999999999</v>
      </c>
      <c r="J224">
        <v>-455.95819999999998</v>
      </c>
      <c r="K224">
        <v>1.121481</v>
      </c>
      <c r="L224">
        <v>367.31630000000001</v>
      </c>
      <c r="M224">
        <v>0.99974529999999995</v>
      </c>
      <c r="N224">
        <v>-1.3764459999999999E-2</v>
      </c>
      <c r="O224">
        <v>1.7885129999999999E-2</v>
      </c>
      <c r="P224">
        <v>0.99832900000000002</v>
      </c>
      <c r="Q224">
        <v>-5.0043499999999998E-2</v>
      </c>
      <c r="R224">
        <v>2.889342E-2</v>
      </c>
      <c r="S224">
        <v>3.0129389999999998</v>
      </c>
      <c r="T224">
        <v>-3.795159E-2</v>
      </c>
      <c r="U224">
        <v>-0.32904050000000001</v>
      </c>
      <c r="V224">
        <v>-1.10273E-2</v>
      </c>
      <c r="W224">
        <v>-3.6293779999999998E-2</v>
      </c>
      <c r="X224">
        <v>0.99928030000000001</v>
      </c>
      <c r="Y224">
        <v>0.12630649999999999</v>
      </c>
      <c r="Z224">
        <v>-1.6443040000000001E-3</v>
      </c>
      <c r="AA224">
        <v>0.99198989999999998</v>
      </c>
      <c r="AB224">
        <v>15</v>
      </c>
      <c r="AC224">
        <v>82.595699999999894</v>
      </c>
      <c r="AD224">
        <v>-1.04149509</v>
      </c>
      <c r="AE224">
        <v>-9.0316000000000205</v>
      </c>
      <c r="AF224">
        <v>10.505879187371701</v>
      </c>
      <c r="AG224">
        <v>-1.04149509</v>
      </c>
      <c r="AH224">
        <v>82.407991400684807</v>
      </c>
      <c r="AI224">
        <v>90.718268660670205</v>
      </c>
      <c r="AJ224">
        <v>82.734771288948494</v>
      </c>
      <c r="AK224">
        <v>83.081497676784096</v>
      </c>
      <c r="AL224">
        <v>92.079937259925202</v>
      </c>
      <c r="AM224">
        <v>90.632247132694104</v>
      </c>
      <c r="AN224">
        <v>0.999999978890034</v>
      </c>
    </row>
    <row r="225" spans="1:40" x14ac:dyDescent="0.25">
      <c r="A225" t="str">
        <f>"20190303153747630"</f>
        <v>20190303153747630</v>
      </c>
      <c r="B225" t="str">
        <f>"1551598667619340"</f>
        <v>1551598667619340</v>
      </c>
      <c r="C225" t="s">
        <v>40</v>
      </c>
      <c r="D225">
        <v>3.9025319999999999</v>
      </c>
      <c r="E225">
        <v>0.55691199999999996</v>
      </c>
      <c r="F225" t="s">
        <v>42</v>
      </c>
      <c r="G225">
        <v>-369.00740000000002</v>
      </c>
      <c r="H225">
        <v>7.9985769999999998E-2</v>
      </c>
      <c r="I225">
        <v>356.98759999999999</v>
      </c>
      <c r="J225">
        <v>-455.84179999999998</v>
      </c>
      <c r="K225">
        <v>1.1214649999999999</v>
      </c>
      <c r="L225">
        <v>367.3186</v>
      </c>
      <c r="M225">
        <v>0.99974350000000001</v>
      </c>
      <c r="N225">
        <v>-1.3763310000000001E-2</v>
      </c>
      <c r="O225">
        <v>1.7996290000000002E-2</v>
      </c>
      <c r="P225">
        <v>0.99840300000000004</v>
      </c>
      <c r="Q225">
        <v>-4.947091E-2</v>
      </c>
      <c r="R225">
        <v>2.72838E-2</v>
      </c>
      <c r="S225">
        <v>3.01355</v>
      </c>
      <c r="T225">
        <v>-3.6096219999999998E-2</v>
      </c>
      <c r="U225">
        <v>-0.35797119999999999</v>
      </c>
      <c r="V225">
        <v>-9.3059010000000001E-3</v>
      </c>
      <c r="W225">
        <v>-3.5721370000000002E-2</v>
      </c>
      <c r="X225">
        <v>0.9993185</v>
      </c>
      <c r="Y225">
        <v>0.135790299999999</v>
      </c>
      <c r="Z225">
        <v>-1.7162869999999999E-3</v>
      </c>
      <c r="AA225">
        <v>0.99073610000000001</v>
      </c>
      <c r="AB225">
        <v>15</v>
      </c>
      <c r="AC225">
        <v>86.834399999999903</v>
      </c>
      <c r="AD225">
        <v>-1.04147923</v>
      </c>
      <c r="AE225">
        <v>-10.331</v>
      </c>
      <c r="AF225">
        <v>11.8904848057346</v>
      </c>
      <c r="AG225">
        <v>-1.04147923</v>
      </c>
      <c r="AH225">
        <v>86.6221106816987</v>
      </c>
      <c r="AI225">
        <v>90.682449296462593</v>
      </c>
      <c r="AJ225">
        <v>82.183943305025394</v>
      </c>
      <c r="AK225">
        <v>87.440599076483807</v>
      </c>
      <c r="AL225">
        <v>92.047119174066594</v>
      </c>
      <c r="AM225">
        <v>90.533537045817098</v>
      </c>
      <c r="AN225">
        <v>1.0000000402551701</v>
      </c>
    </row>
    <row r="226" spans="1:40" x14ac:dyDescent="0.25">
      <c r="A226" t="str">
        <f>"20190303153747642"</f>
        <v>20190303153747642</v>
      </c>
      <c r="B226" t="str">
        <f>"1551598667638858"</f>
        <v>1551598667638858</v>
      </c>
      <c r="C226" t="s">
        <v>40</v>
      </c>
      <c r="D226">
        <v>3.8634240000000002</v>
      </c>
      <c r="E226">
        <v>0.55817759999999905</v>
      </c>
      <c r="F226" t="s">
        <v>42</v>
      </c>
      <c r="G226">
        <v>-356.92950000000002</v>
      </c>
      <c r="H226">
        <v>7.9986470000000004E-2</v>
      </c>
      <c r="I226">
        <v>355.13569999999999</v>
      </c>
      <c r="J226">
        <v>-455.75760000000002</v>
      </c>
      <c r="K226">
        <v>1.1214580000000001</v>
      </c>
      <c r="L226">
        <v>367.3202</v>
      </c>
      <c r="M226">
        <v>0.99974209999999997</v>
      </c>
      <c r="N226">
        <v>-1.3762399999999999E-2</v>
      </c>
      <c r="O226">
        <v>1.806986E-2</v>
      </c>
      <c r="P226">
        <v>0.99838470000000001</v>
      </c>
      <c r="Q226">
        <v>-5.01577E-2</v>
      </c>
      <c r="R226">
        <v>2.6689520000000001E-2</v>
      </c>
      <c r="S226">
        <v>3.0133969999999999</v>
      </c>
      <c r="T226">
        <v>-3.1728979999999997E-2</v>
      </c>
      <c r="U226">
        <v>-0.37115480000000001</v>
      </c>
      <c r="V226">
        <v>-8.639519E-3</v>
      </c>
      <c r="W226">
        <v>-3.6409190000000001E-2</v>
      </c>
      <c r="X226">
        <v>0.99929959999999995</v>
      </c>
      <c r="Y226">
        <v>0.14014260000000001</v>
      </c>
      <c r="Z226">
        <v>-1.6449749999999999E-3</v>
      </c>
      <c r="AA226">
        <v>0.99012990000000001</v>
      </c>
      <c r="AB226">
        <v>15</v>
      </c>
      <c r="AC226">
        <v>98.828100000000006</v>
      </c>
      <c r="AD226">
        <v>-1.0414715299999999</v>
      </c>
      <c r="AE226">
        <v>-12.1845</v>
      </c>
      <c r="AF226">
        <v>13.966961263635</v>
      </c>
      <c r="AG226">
        <v>-1.0414715299999999</v>
      </c>
      <c r="AH226">
        <v>98.580984033078806</v>
      </c>
      <c r="AI226">
        <v>90.599301505971695</v>
      </c>
      <c r="AJ226">
        <v>81.936000679844099</v>
      </c>
      <c r="AK226">
        <v>99.5709349299173</v>
      </c>
      <c r="AL226">
        <v>92.086554135976101</v>
      </c>
      <c r="AM226">
        <v>90.495342580938399</v>
      </c>
      <c r="AN226">
        <v>0.99999998048258298</v>
      </c>
    </row>
    <row r="227" spans="1:40" x14ac:dyDescent="0.25">
      <c r="A227" t="str">
        <f>"20190303153747663"</f>
        <v>20190303153747663</v>
      </c>
      <c r="B227" t="str">
        <f>"1551598667659352"</f>
        <v>1551598667659352</v>
      </c>
      <c r="C227" t="s">
        <v>40</v>
      </c>
      <c r="D227">
        <v>3.8869470000000002</v>
      </c>
      <c r="E227">
        <v>0.55910990000000005</v>
      </c>
      <c r="F227" t="s">
        <v>42</v>
      </c>
      <c r="G227">
        <v>-365.59800000000001</v>
      </c>
      <c r="H227">
        <v>7.9986829999999995E-2</v>
      </c>
      <c r="I227">
        <v>355.87</v>
      </c>
      <c r="J227">
        <v>-455.6266</v>
      </c>
      <c r="K227">
        <v>1.1214440000000001</v>
      </c>
      <c r="L227">
        <v>367.32279999999997</v>
      </c>
      <c r="M227">
        <v>0.99974010000000002</v>
      </c>
      <c r="N227">
        <v>-1.376075E-2</v>
      </c>
      <c r="O227">
        <v>1.8178440000000001E-2</v>
      </c>
      <c r="P227">
        <v>0.99831369999999997</v>
      </c>
      <c r="Q227">
        <v>-5.1622469999999997E-2</v>
      </c>
      <c r="R227">
        <v>2.6560480000000001E-2</v>
      </c>
      <c r="S227">
        <v>3.0133359999999998</v>
      </c>
      <c r="T227">
        <v>-3.4808279999999997E-2</v>
      </c>
      <c r="U227">
        <v>-0.38269039999999999</v>
      </c>
      <c r="V227">
        <v>-8.4041459999999995E-3</v>
      </c>
      <c r="W227">
        <v>-3.7876260000000002E-2</v>
      </c>
      <c r="X227">
        <v>0.99924710000000005</v>
      </c>
      <c r="Y227">
        <v>0.14398050000000001</v>
      </c>
      <c r="Z227">
        <v>-1.783048E-3</v>
      </c>
      <c r="AA227">
        <v>0.98957890000000004</v>
      </c>
      <c r="AB227">
        <v>15</v>
      </c>
      <c r="AC227">
        <v>90.028599999999898</v>
      </c>
      <c r="AD227">
        <v>-1.0414571699999999</v>
      </c>
      <c r="AE227">
        <v>-11.4527999999999</v>
      </c>
      <c r="AF227">
        <v>13.085918299635599</v>
      </c>
      <c r="AG227">
        <v>-1.0414571699999999</v>
      </c>
      <c r="AH227">
        <v>89.7936821296978</v>
      </c>
      <c r="AI227">
        <v>90.657560445665197</v>
      </c>
      <c r="AJ227">
        <v>81.708474313425597</v>
      </c>
      <c r="AK227">
        <v>90.748174864241193</v>
      </c>
      <c r="AL227">
        <v>92.170669055586004</v>
      </c>
      <c r="AM227">
        <v>90.481873545613894</v>
      </c>
      <c r="AN227">
        <v>1.0000000037999901</v>
      </c>
    </row>
    <row r="228" spans="1:40" x14ac:dyDescent="0.25">
      <c r="A228" t="str">
        <f>"20190303153747675"</f>
        <v>20190303153747675</v>
      </c>
      <c r="B228" t="str">
        <f>"1551598667669113"</f>
        <v>1551598667669113</v>
      </c>
      <c r="C228" t="s">
        <v>40</v>
      </c>
      <c r="D228">
        <v>3.9133490000000002</v>
      </c>
      <c r="E228">
        <v>0.55951589999999995</v>
      </c>
      <c r="F228" t="s">
        <v>42</v>
      </c>
      <c r="G228">
        <v>-374.86189999999999</v>
      </c>
      <c r="H228">
        <v>7.9985539999999994E-2</v>
      </c>
      <c r="I228">
        <v>356.8526</v>
      </c>
      <c r="J228">
        <v>-455.53949999999998</v>
      </c>
      <c r="K228">
        <v>1.1214329999999999</v>
      </c>
      <c r="L228">
        <v>367.32440000000003</v>
      </c>
      <c r="M228">
        <v>0.99973900000000004</v>
      </c>
      <c r="N228">
        <v>-1.3759520000000001E-2</v>
      </c>
      <c r="O228">
        <v>1.824655E-2</v>
      </c>
      <c r="P228">
        <v>0.99826490000000001</v>
      </c>
      <c r="Q228">
        <v>-5.2402459999999998E-2</v>
      </c>
      <c r="R228">
        <v>2.6855179999999999E-2</v>
      </c>
      <c r="S228">
        <v>3.013458</v>
      </c>
      <c r="T228">
        <v>-3.8858410000000003E-2</v>
      </c>
      <c r="U228">
        <v>-0.39065549999999999</v>
      </c>
      <c r="V228">
        <v>-8.6316420000000001E-3</v>
      </c>
      <c r="W228">
        <v>-3.8657919999999998E-2</v>
      </c>
      <c r="X228">
        <v>0.99921519999999997</v>
      </c>
      <c r="Y228">
        <v>0.14661160000000001</v>
      </c>
      <c r="Z228">
        <v>-1.938679E-3</v>
      </c>
      <c r="AA228">
        <v>0.98919219999999997</v>
      </c>
      <c r="AB228">
        <v>15</v>
      </c>
      <c r="AC228">
        <v>80.677599999999899</v>
      </c>
      <c r="AD228">
        <v>-1.0414474600000001</v>
      </c>
      <c r="AE228">
        <v>-10.4718</v>
      </c>
      <c r="AF228">
        <v>11.940326571374101</v>
      </c>
      <c r="AG228">
        <v>-1.0414474600000001</v>
      </c>
      <c r="AH228">
        <v>80.459888428033693</v>
      </c>
      <c r="AI228">
        <v>90.733544624391399</v>
      </c>
      <c r="AJ228">
        <v>81.558856219603499</v>
      </c>
      <c r="AK228">
        <v>81.347708371500104</v>
      </c>
      <c r="AL228">
        <v>92.215487760406305</v>
      </c>
      <c r="AM228">
        <v>90.494932779007698</v>
      </c>
      <c r="AN228">
        <v>0.99999997796669005</v>
      </c>
    </row>
    <row r="229" spans="1:40" x14ac:dyDescent="0.25">
      <c r="A229" t="str">
        <f>"20190303153747686"</f>
        <v>20190303153747686</v>
      </c>
      <c r="B229" t="str">
        <f>"1551598667678873"</f>
        <v>1551598667678873</v>
      </c>
      <c r="C229" t="s">
        <v>40</v>
      </c>
      <c r="D229">
        <v>3.8923139999999998</v>
      </c>
      <c r="E229">
        <v>0.55974999999999997</v>
      </c>
      <c r="F229" t="s">
        <v>42</v>
      </c>
      <c r="G229">
        <v>-378.70850000000002</v>
      </c>
      <c r="H229">
        <v>7.9985840000000002E-2</v>
      </c>
      <c r="I229">
        <v>357.31199999999899</v>
      </c>
      <c r="J229">
        <v>-455.45909999999998</v>
      </c>
      <c r="K229">
        <v>1.1214299999999999</v>
      </c>
      <c r="L229">
        <v>367.32600000000002</v>
      </c>
      <c r="M229">
        <v>0.99973769999999995</v>
      </c>
      <c r="N229">
        <v>-1.3758329999999999E-2</v>
      </c>
      <c r="O229">
        <v>1.830729E-2</v>
      </c>
      <c r="P229">
        <v>0.99820070000000005</v>
      </c>
      <c r="Q229">
        <v>-5.3366329999999997E-2</v>
      </c>
      <c r="R229">
        <v>2.733615E-2</v>
      </c>
      <c r="S229">
        <v>3.0136720000000001</v>
      </c>
      <c r="T229">
        <v>-4.0850400000000002E-2</v>
      </c>
      <c r="U229">
        <v>-0.39273069999999999</v>
      </c>
      <c r="V229">
        <v>-9.0534450000000002E-3</v>
      </c>
      <c r="W229">
        <v>-3.9623600000000002E-2</v>
      </c>
      <c r="X229">
        <v>0.9991736</v>
      </c>
      <c r="Y229">
        <v>0.1473305</v>
      </c>
      <c r="Z229">
        <v>-2.0086029999999999E-3</v>
      </c>
      <c r="AA229">
        <v>0.98908529999999995</v>
      </c>
      <c r="AB229">
        <v>15</v>
      </c>
      <c r="AC229">
        <v>76.750599999999906</v>
      </c>
      <c r="AD229">
        <v>-1.04144416</v>
      </c>
      <c r="AE229">
        <v>-10.013999999999999</v>
      </c>
      <c r="AF229">
        <v>11.4154832936785</v>
      </c>
      <c r="AG229">
        <v>-1.04144416</v>
      </c>
      <c r="AH229">
        <v>76.540531188304399</v>
      </c>
      <c r="AI229">
        <v>90.771016597628403</v>
      </c>
      <c r="AJ229">
        <v>81.517263246889996</v>
      </c>
      <c r="AK229">
        <v>77.394126258744294</v>
      </c>
      <c r="AL229">
        <v>92.270859672323695</v>
      </c>
      <c r="AM229">
        <v>90.519139009891305</v>
      </c>
      <c r="AN229">
        <v>0.99999993874014204</v>
      </c>
    </row>
    <row r="230" spans="1:40" x14ac:dyDescent="0.25">
      <c r="A230" t="str">
        <f>"20190303153747698"</f>
        <v>20190303153747698</v>
      </c>
      <c r="B230" t="str">
        <f>"1551598667689608"</f>
        <v>1551598667689608</v>
      </c>
      <c r="C230" t="s">
        <v>40</v>
      </c>
      <c r="D230">
        <v>3.8760530000000002</v>
      </c>
      <c r="E230">
        <v>0.55997410000000003</v>
      </c>
      <c r="F230" t="s">
        <v>42</v>
      </c>
      <c r="G230">
        <v>-382.87630000000001</v>
      </c>
      <c r="H230">
        <v>7.9986070000000006E-2</v>
      </c>
      <c r="I230">
        <v>357.86329999999998</v>
      </c>
      <c r="J230">
        <v>-455.38459999999998</v>
      </c>
      <c r="K230">
        <v>1.121424</v>
      </c>
      <c r="L230">
        <v>367.32740000000001</v>
      </c>
      <c r="M230">
        <v>0.99973679999999998</v>
      </c>
      <c r="N230">
        <v>-1.3757139999999999E-2</v>
      </c>
      <c r="O230">
        <v>1.8361019999999999E-2</v>
      </c>
      <c r="P230">
        <v>0.99817820000000002</v>
      </c>
      <c r="Q230">
        <v>-5.3394799999999999E-2</v>
      </c>
      <c r="R230">
        <v>2.809232E-2</v>
      </c>
      <c r="S230">
        <v>3.0138240000000001</v>
      </c>
      <c r="T230">
        <v>-4.3243410000000003E-2</v>
      </c>
      <c r="U230">
        <v>-0.39291379999999998</v>
      </c>
      <c r="V230">
        <v>-9.7566619999999993E-3</v>
      </c>
      <c r="W230">
        <v>-3.9653330000000001E-2</v>
      </c>
      <c r="X230">
        <v>0.99916579999999999</v>
      </c>
      <c r="Y230">
        <v>0.14743390000000001</v>
      </c>
      <c r="Z230">
        <v>-2.0826809999999999E-3</v>
      </c>
      <c r="AA230">
        <v>0.98906970000000005</v>
      </c>
      <c r="AB230">
        <v>15</v>
      </c>
      <c r="AC230">
        <v>72.508299999999906</v>
      </c>
      <c r="AD230">
        <v>-1.0414379300000001</v>
      </c>
      <c r="AE230">
        <v>-9.4641000000000304</v>
      </c>
      <c r="AF230">
        <v>10.7917675638344</v>
      </c>
      <c r="AG230">
        <v>-1.0414379300000001</v>
      </c>
      <c r="AH230">
        <v>72.307620514326601</v>
      </c>
      <c r="AI230">
        <v>90.816128825302798</v>
      </c>
      <c r="AJ230">
        <v>81.5113774873045</v>
      </c>
      <c r="AK230">
        <v>73.115927297393597</v>
      </c>
      <c r="AL230">
        <v>92.272564418640002</v>
      </c>
      <c r="AM230">
        <v>90.559464493380503</v>
      </c>
      <c r="AN230">
        <v>0.99999993746155302</v>
      </c>
    </row>
    <row r="231" spans="1:40" x14ac:dyDescent="0.25">
      <c r="A231" t="str">
        <f>"20190303153747713"</f>
        <v>20190303153747713</v>
      </c>
      <c r="B231" t="str">
        <f>"1551598667709129"</f>
        <v>1551598667709129</v>
      </c>
      <c r="C231" t="s">
        <v>40</v>
      </c>
      <c r="D231">
        <v>3.9059050000000002</v>
      </c>
      <c r="E231">
        <v>0.56032689999999996</v>
      </c>
      <c r="F231" t="s">
        <v>42</v>
      </c>
      <c r="G231">
        <v>-381.73450000000003</v>
      </c>
      <c r="H231">
        <v>7.9986409999999994E-2</v>
      </c>
      <c r="I231">
        <v>357.73570000000001</v>
      </c>
      <c r="J231">
        <v>-455.2928</v>
      </c>
      <c r="K231">
        <v>1.1214280000000001</v>
      </c>
      <c r="L231">
        <v>367.32920000000001</v>
      </c>
      <c r="M231">
        <v>0.99973559999999995</v>
      </c>
      <c r="N231">
        <v>-1.3755649999999999E-2</v>
      </c>
      <c r="O231">
        <v>1.842597E-2</v>
      </c>
      <c r="P231">
        <v>0.99815430000000005</v>
      </c>
      <c r="Q231">
        <v>-5.3393620000000003E-2</v>
      </c>
      <c r="R231">
        <v>2.8934040000000001E-2</v>
      </c>
      <c r="S231">
        <v>3.014221</v>
      </c>
      <c r="T231">
        <v>-4.2622090000000001E-2</v>
      </c>
      <c r="U231">
        <v>-0.3925476</v>
      </c>
      <c r="V231">
        <v>-1.053373E-2</v>
      </c>
      <c r="W231">
        <v>-3.965374E-2</v>
      </c>
      <c r="X231">
        <v>0.99915799999999999</v>
      </c>
      <c r="Y231">
        <v>0.14736399999999999</v>
      </c>
      <c r="Z231">
        <v>-2.0625740000000002E-3</v>
      </c>
      <c r="AA231">
        <v>0.98908019999999996</v>
      </c>
      <c r="AB231">
        <v>15</v>
      </c>
      <c r="AC231">
        <v>73.558299999999903</v>
      </c>
      <c r="AD231">
        <v>-1.04144159</v>
      </c>
      <c r="AE231">
        <v>-9.5935000000000006</v>
      </c>
      <c r="AF231">
        <v>10.9452249758807</v>
      </c>
      <c r="AG231">
        <v>-1.04144159</v>
      </c>
      <c r="AH231">
        <v>73.354565170443294</v>
      </c>
      <c r="AI231">
        <v>90.804489565900198</v>
      </c>
      <c r="AJ231">
        <v>81.513514562223193</v>
      </c>
      <c r="AK231">
        <v>74.173949481626195</v>
      </c>
      <c r="AL231">
        <v>92.272587686693697</v>
      </c>
      <c r="AM231">
        <v>90.604024501250606</v>
      </c>
      <c r="AN231">
        <v>1.0000000437638401</v>
      </c>
    </row>
    <row r="232" spans="1:40" x14ac:dyDescent="0.25">
      <c r="A232" t="str">
        <f>"20190303153747732"</f>
        <v>20190303153747732</v>
      </c>
      <c r="B232" t="str">
        <f>"1551598667729625"</f>
        <v>1551598667729625</v>
      </c>
      <c r="C232" t="s">
        <v>40</v>
      </c>
      <c r="D232">
        <v>3.9111720000000001</v>
      </c>
      <c r="E232">
        <v>0.56081740000000002</v>
      </c>
      <c r="F232" t="s">
        <v>42</v>
      </c>
      <c r="G232">
        <v>-378.3098</v>
      </c>
      <c r="H232">
        <v>7.9985959999999995E-2</v>
      </c>
      <c r="I232">
        <v>357.29820000000001</v>
      </c>
      <c r="J232">
        <v>-455.16579999999999</v>
      </c>
      <c r="K232">
        <v>1.1214379999999999</v>
      </c>
      <c r="L232">
        <v>367.33170000000001</v>
      </c>
      <c r="M232">
        <v>0.99973400000000001</v>
      </c>
      <c r="N232">
        <v>-1.375346E-2</v>
      </c>
      <c r="O232">
        <v>1.8513470000000001E-2</v>
      </c>
      <c r="P232">
        <v>0.99817080000000002</v>
      </c>
      <c r="Q232">
        <v>-5.2240000000000002E-2</v>
      </c>
      <c r="R232">
        <v>3.0429250000000001E-2</v>
      </c>
      <c r="S232">
        <v>3.0147400000000002</v>
      </c>
      <c r="T232">
        <v>-4.0784000000000001E-2</v>
      </c>
      <c r="U232">
        <v>-0.39282230000000001</v>
      </c>
      <c r="V232">
        <v>-1.1941169999999999E-2</v>
      </c>
      <c r="W232">
        <v>-3.8501840000000002E-2</v>
      </c>
      <c r="X232">
        <v>0.99918720000000005</v>
      </c>
      <c r="Y232">
        <v>0.14751919999999999</v>
      </c>
      <c r="Z232">
        <v>-2.0084040000000001E-3</v>
      </c>
      <c r="AA232">
        <v>0.98905719999999997</v>
      </c>
      <c r="AB232">
        <v>15</v>
      </c>
      <c r="AC232">
        <v>76.855999999999995</v>
      </c>
      <c r="AD232">
        <v>-1.04145204</v>
      </c>
      <c r="AE232">
        <v>-10.0335</v>
      </c>
      <c r="AF232">
        <v>11.452718180383901</v>
      </c>
      <c r="AG232">
        <v>-1.04145204</v>
      </c>
      <c r="AH232">
        <v>76.6432152714968</v>
      </c>
      <c r="AI232">
        <v>90.769957409934307</v>
      </c>
      <c r="AJ232">
        <v>81.501233657800995</v>
      </c>
      <c r="AK232">
        <v>77.501173044179893</v>
      </c>
      <c r="AL232">
        <v>92.206538275222997</v>
      </c>
      <c r="AM232">
        <v>90.684702600222295</v>
      </c>
      <c r="AN232">
        <v>1.0000000219340901</v>
      </c>
    </row>
    <row r="233" spans="1:40" x14ac:dyDescent="0.25">
      <c r="A233" t="str">
        <f>"20190303153747753"</f>
        <v>20190303153747753</v>
      </c>
      <c r="B233" t="str">
        <f>"1551598667749145"</f>
        <v>1551598667749145</v>
      </c>
      <c r="C233" t="s">
        <v>40</v>
      </c>
      <c r="D233">
        <v>3.900172</v>
      </c>
      <c r="E233">
        <v>0.5612376</v>
      </c>
      <c r="F233" t="s">
        <v>42</v>
      </c>
      <c r="G233">
        <v>-366.64359999999999</v>
      </c>
      <c r="H233">
        <v>7.9986520000000005E-2</v>
      </c>
      <c r="I233">
        <v>355.82279999999997</v>
      </c>
      <c r="J233">
        <v>-455.02910000000003</v>
      </c>
      <c r="K233">
        <v>1.1214409999999999</v>
      </c>
      <c r="L233">
        <v>367.33429999999998</v>
      </c>
      <c r="M233">
        <v>0.99973239999999997</v>
      </c>
      <c r="N233">
        <v>-1.3750989999999999E-2</v>
      </c>
      <c r="O233">
        <v>1.8606899999999999E-2</v>
      </c>
      <c r="P233">
        <v>0.99821470000000001</v>
      </c>
      <c r="Q233">
        <v>-5.0711390000000002E-2</v>
      </c>
      <c r="R233">
        <v>3.1558549999999998E-2</v>
      </c>
      <c r="S233">
        <v>3.0155940000000001</v>
      </c>
      <c r="T233">
        <v>-3.5478000000000003E-2</v>
      </c>
      <c r="U233">
        <v>-0.3920593</v>
      </c>
      <c r="V233">
        <v>-1.2975810000000001E-2</v>
      </c>
      <c r="W233">
        <v>-3.6975019999999997E-2</v>
      </c>
      <c r="X233">
        <v>0.99923189999999995</v>
      </c>
      <c r="Y233">
        <v>0.14733470000000001</v>
      </c>
      <c r="Z233">
        <v>-1.8436909999999999E-3</v>
      </c>
      <c r="AA233">
        <v>0.98908499999999999</v>
      </c>
      <c r="AB233">
        <v>15</v>
      </c>
      <c r="AC233">
        <v>88.385499999999993</v>
      </c>
      <c r="AD233">
        <v>-1.0414544799999901</v>
      </c>
      <c r="AE233">
        <v>-11.5115</v>
      </c>
      <c r="AF233">
        <v>13.1524465933234</v>
      </c>
      <c r="AG233">
        <v>-1.0414544799999901</v>
      </c>
      <c r="AH233">
        <v>88.143948064507697</v>
      </c>
      <c r="AI233">
        <v>90.6695281675308</v>
      </c>
      <c r="AJ233">
        <v>81.513196787180703</v>
      </c>
      <c r="AK233">
        <v>89.125905657237297</v>
      </c>
      <c r="AL233">
        <v>92.118995703572395</v>
      </c>
      <c r="AM233">
        <v>90.743988820818203</v>
      </c>
      <c r="AN233">
        <v>0.99999995686338194</v>
      </c>
    </row>
    <row r="234" spans="1:40" x14ac:dyDescent="0.25">
      <c r="A234" t="str">
        <f>"20190303153747766"</f>
        <v>20190303153747766</v>
      </c>
      <c r="B234" t="str">
        <f>"1551598667758905"</f>
        <v>1551598667758905</v>
      </c>
      <c r="C234" t="s">
        <v>40</v>
      </c>
      <c r="D234">
        <v>3.9152469999999999</v>
      </c>
      <c r="E234">
        <v>0.56147769999999997</v>
      </c>
      <c r="F234" t="s">
        <v>43</v>
      </c>
      <c r="G234">
        <v>-341.83139999999997</v>
      </c>
      <c r="H234">
        <v>-0.05</v>
      </c>
      <c r="I234">
        <v>352.62369999999999</v>
      </c>
      <c r="J234">
        <v>-454.93180000000001</v>
      </c>
      <c r="K234">
        <v>1.121448</v>
      </c>
      <c r="L234">
        <v>367.33620000000002</v>
      </c>
      <c r="M234">
        <v>0.99973109999999998</v>
      </c>
      <c r="N234">
        <v>-1.374917E-2</v>
      </c>
      <c r="O234">
        <v>1.86734E-2</v>
      </c>
      <c r="P234">
        <v>0.99823300000000004</v>
      </c>
      <c r="Q234">
        <v>-5.0063290000000003E-2</v>
      </c>
      <c r="R234">
        <v>3.2011789999999998E-2</v>
      </c>
      <c r="S234">
        <v>3.0161739999999999</v>
      </c>
      <c r="T234">
        <v>-3.1213279999999999E-2</v>
      </c>
      <c r="U234">
        <v>-0.39196779999999998</v>
      </c>
      <c r="V234">
        <v>-1.3362550000000001E-2</v>
      </c>
      <c r="W234">
        <v>-3.6328489999999998E-2</v>
      </c>
      <c r="X234">
        <v>0.99925050000000004</v>
      </c>
      <c r="Y234">
        <v>0.14735029999999999</v>
      </c>
      <c r="Z234">
        <v>-1.7134120000000001E-3</v>
      </c>
      <c r="AA234">
        <v>0.98908289999999999</v>
      </c>
      <c r="AB234">
        <v>15</v>
      </c>
      <c r="AC234">
        <v>113.10039999999999</v>
      </c>
      <c r="AD234">
        <v>-1.171448</v>
      </c>
      <c r="AE234">
        <v>-14.7125</v>
      </c>
      <c r="AF234">
        <v>16.8203283958714</v>
      </c>
      <c r="AG234">
        <v>-1.171448</v>
      </c>
      <c r="AH234">
        <v>112.794018203441</v>
      </c>
      <c r="AI234">
        <v>90.588529562178095</v>
      </c>
      <c r="AJ234">
        <v>81.518310829817807</v>
      </c>
      <c r="AK234">
        <v>114.04729843464</v>
      </c>
      <c r="AL234">
        <v>92.081927391223502</v>
      </c>
      <c r="AM234">
        <v>90.766146312714696</v>
      </c>
      <c r="AN234">
        <v>0.99999993933921405</v>
      </c>
    </row>
    <row r="235" spans="1:40" x14ac:dyDescent="0.25">
      <c r="A235" t="str">
        <f>"20190303153747779"</f>
        <v>20190303153747779</v>
      </c>
      <c r="B235" t="str">
        <f>"1551598667769641"</f>
        <v>1551598667769641</v>
      </c>
      <c r="C235" t="s">
        <v>40</v>
      </c>
      <c r="D235">
        <v>3.930393</v>
      </c>
      <c r="E235">
        <v>0.56171660000000001</v>
      </c>
      <c r="F235" t="s">
        <v>43</v>
      </c>
      <c r="G235">
        <v>-334.84050000000002</v>
      </c>
      <c r="H235">
        <v>-0.05</v>
      </c>
      <c r="I235">
        <v>351.72129999999999</v>
      </c>
      <c r="J235">
        <v>-454.85059999999999</v>
      </c>
      <c r="K235">
        <v>1.121456</v>
      </c>
      <c r="L235">
        <v>367.33780000000002</v>
      </c>
      <c r="M235">
        <v>0.99973009999999995</v>
      </c>
      <c r="N235">
        <v>-1.3747590000000001E-2</v>
      </c>
      <c r="O235">
        <v>1.8730179999999999E-2</v>
      </c>
      <c r="P235">
        <v>0.99826510000000002</v>
      </c>
      <c r="Q235">
        <v>-4.9327309999999999E-2</v>
      </c>
      <c r="R235">
        <v>3.2147799999999997E-2</v>
      </c>
      <c r="S235">
        <v>3.0164179999999998</v>
      </c>
      <c r="T235">
        <v>-2.942407E-2</v>
      </c>
      <c r="U235">
        <v>-0.3922119</v>
      </c>
      <c r="V235">
        <v>-1.344104E-2</v>
      </c>
      <c r="W235">
        <v>-3.5593710000000001E-2</v>
      </c>
      <c r="X235">
        <v>0.99927589999999999</v>
      </c>
      <c r="Y235">
        <v>0.1474763</v>
      </c>
      <c r="Z235">
        <v>-1.6599539999999999E-3</v>
      </c>
      <c r="AA235">
        <v>0.98906419999999995</v>
      </c>
      <c r="AB235">
        <v>15</v>
      </c>
      <c r="AC235">
        <v>120.010099999999</v>
      </c>
      <c r="AD235">
        <v>-1.1714560000000001</v>
      </c>
      <c r="AE235">
        <v>-15.6165</v>
      </c>
      <c r="AF235">
        <v>17.8601096412124</v>
      </c>
      <c r="AG235">
        <v>-1.1714560000000001</v>
      </c>
      <c r="AH235">
        <v>119.685301625713</v>
      </c>
      <c r="AI235">
        <v>90.554640766070605</v>
      </c>
      <c r="AJ235">
        <v>81.512633421086605</v>
      </c>
      <c r="AK235">
        <v>121.016227220956</v>
      </c>
      <c r="AL235">
        <v>92.0398003268851</v>
      </c>
      <c r="AM235">
        <v>90.770626435957396</v>
      </c>
      <c r="AN235">
        <v>0.99999994903432599</v>
      </c>
    </row>
    <row r="236" spans="1:40" x14ac:dyDescent="0.25">
      <c r="A236" t="str">
        <f>"20190303153747798"</f>
        <v>20190303153747798</v>
      </c>
      <c r="B236" t="str">
        <f>"1551598667789329"</f>
        <v>1551598667789329</v>
      </c>
      <c r="C236" t="s">
        <v>40</v>
      </c>
      <c r="D236">
        <v>3.911734</v>
      </c>
      <c r="E236">
        <v>0.56197769999999903</v>
      </c>
      <c r="F236" t="s">
        <v>43</v>
      </c>
      <c r="G236">
        <v>-321.06630000000001</v>
      </c>
      <c r="H236">
        <v>-0.05</v>
      </c>
      <c r="I236">
        <v>349.87580000000003</v>
      </c>
      <c r="J236">
        <v>-454.72949999999997</v>
      </c>
      <c r="K236">
        <v>1.121461</v>
      </c>
      <c r="L236">
        <v>367.34010000000001</v>
      </c>
      <c r="M236">
        <v>0.99972870000000003</v>
      </c>
      <c r="N236">
        <v>-1.3745179999999999E-2</v>
      </c>
      <c r="O236">
        <v>1.8815769999999999E-2</v>
      </c>
      <c r="P236">
        <v>0.99827149999999998</v>
      </c>
      <c r="Q236">
        <v>-4.9084639999999999E-2</v>
      </c>
      <c r="R236">
        <v>3.2329990000000003E-2</v>
      </c>
      <c r="S236">
        <v>3.0166019999999998</v>
      </c>
      <c r="T236">
        <v>-2.6414279999999998E-2</v>
      </c>
      <c r="U236">
        <v>-0.39373780000000003</v>
      </c>
      <c r="V236">
        <v>-1.3536930000000001E-2</v>
      </c>
      <c r="W236">
        <v>-3.5353420000000003E-2</v>
      </c>
      <c r="X236">
        <v>0.99928320000000004</v>
      </c>
      <c r="Y236">
        <v>0.1480474</v>
      </c>
      <c r="Z236">
        <v>-1.5739090000000001E-3</v>
      </c>
      <c r="AA236">
        <v>0.98897900000000005</v>
      </c>
      <c r="AB236">
        <v>15</v>
      </c>
      <c r="AC236">
        <v>133.66319999999899</v>
      </c>
      <c r="AD236">
        <v>-1.1714610000000001</v>
      </c>
      <c r="AE236">
        <v>-17.464299999999898</v>
      </c>
      <c r="AF236">
        <v>19.9749121932904</v>
      </c>
      <c r="AG236">
        <v>-1.1714610000000001</v>
      </c>
      <c r="AH236">
        <v>133.300830307789</v>
      </c>
      <c r="AI236">
        <v>90.497948783376401</v>
      </c>
      <c r="AJ236">
        <v>81.477731142988503</v>
      </c>
      <c r="AK236">
        <v>134.79421648850601</v>
      </c>
      <c r="AL236">
        <v>92.0260239224705</v>
      </c>
      <c r="AM236">
        <v>90.776117838676299</v>
      </c>
      <c r="AN236">
        <v>1.00000001329088</v>
      </c>
    </row>
    <row r="237" spans="1:40" x14ac:dyDescent="0.25">
      <c r="A237" t="str">
        <f>"20190303153747810"</f>
        <v>20190303153747810</v>
      </c>
      <c r="B237" t="str">
        <f>"1551598667799089"</f>
        <v>1551598667799089</v>
      </c>
      <c r="C237" t="s">
        <v>40</v>
      </c>
      <c r="D237">
        <v>3.9655670000000001</v>
      </c>
      <c r="E237">
        <v>0.56219419999999898</v>
      </c>
      <c r="F237" t="s">
        <v>43</v>
      </c>
      <c r="G237">
        <v>-311.79379999999998</v>
      </c>
      <c r="H237">
        <v>-0.05</v>
      </c>
      <c r="I237">
        <v>348.61099999999999</v>
      </c>
      <c r="J237">
        <v>-454.64589999999998</v>
      </c>
      <c r="K237">
        <v>1.121464</v>
      </c>
      <c r="L237">
        <v>367.34179999999998</v>
      </c>
      <c r="M237">
        <v>0.99972740000000004</v>
      </c>
      <c r="N237">
        <v>-1.3743490000000001E-2</v>
      </c>
      <c r="O237">
        <v>1.8876069999999998E-2</v>
      </c>
      <c r="P237">
        <v>0.9982704</v>
      </c>
      <c r="Q237">
        <v>-4.9312950000000001E-2</v>
      </c>
      <c r="R237">
        <v>3.2005760000000001E-2</v>
      </c>
      <c r="S237">
        <v>3.016785</v>
      </c>
      <c r="T237">
        <v>-2.4724719999999999E-2</v>
      </c>
      <c r="U237">
        <v>-0.39529419999999998</v>
      </c>
      <c r="V237">
        <v>-1.3152769999999999E-2</v>
      </c>
      <c r="W237">
        <v>-3.5583530000000002E-2</v>
      </c>
      <c r="X237">
        <v>0.99928019999999995</v>
      </c>
      <c r="Y237">
        <v>0.14860219999999999</v>
      </c>
      <c r="Z237">
        <v>-1.5277629999999999E-3</v>
      </c>
      <c r="AA237">
        <v>0.98889590000000005</v>
      </c>
      <c r="AB237">
        <v>15</v>
      </c>
      <c r="AC237">
        <v>142.85210000000001</v>
      </c>
      <c r="AD237">
        <v>-1.1714639999999901</v>
      </c>
      <c r="AE237">
        <v>-18.730799999999899</v>
      </c>
      <c r="AF237">
        <v>21.422786666994</v>
      </c>
      <c r="AG237">
        <v>-1.1714639999999901</v>
      </c>
      <c r="AH237">
        <v>142.463627536373</v>
      </c>
      <c r="AI237">
        <v>90.465889059469205</v>
      </c>
      <c r="AJ237">
        <v>81.448293736792905</v>
      </c>
      <c r="AK237">
        <v>144.07009851910701</v>
      </c>
      <c r="AL237">
        <v>92.039216479020297</v>
      </c>
      <c r="AM237">
        <v>90.754097494847898</v>
      </c>
      <c r="AN237">
        <v>1.0000000505389799</v>
      </c>
    </row>
    <row r="238" spans="1:40" x14ac:dyDescent="0.25">
      <c r="A238" t="str">
        <f>"20190303153747826"</f>
        <v>20190303153747826</v>
      </c>
      <c r="B238" t="str">
        <f>"1551598667819585"</f>
        <v>1551598667819585</v>
      </c>
      <c r="C238" t="s">
        <v>40</v>
      </c>
      <c r="D238">
        <v>4.0277240000000001</v>
      </c>
      <c r="E238">
        <v>0.58679680000000001</v>
      </c>
      <c r="F238" t="s">
        <v>43</v>
      </c>
      <c r="G238">
        <v>-321.00630000000001</v>
      </c>
      <c r="H238">
        <v>-0.05</v>
      </c>
      <c r="I238">
        <v>349.70839999999998</v>
      </c>
      <c r="J238">
        <v>-454.54039999999998</v>
      </c>
      <c r="K238">
        <v>1.121462</v>
      </c>
      <c r="L238">
        <v>367.34390000000002</v>
      </c>
      <c r="M238">
        <v>0.99972589999999995</v>
      </c>
      <c r="N238">
        <v>-1.374131E-2</v>
      </c>
      <c r="O238">
        <v>1.895496E-2</v>
      </c>
      <c r="P238">
        <v>0.99824939999999995</v>
      </c>
      <c r="Q238">
        <v>-4.9814780000000003E-2</v>
      </c>
      <c r="R238">
        <v>3.1890250000000002E-2</v>
      </c>
      <c r="S238">
        <v>3.0166629999999999</v>
      </c>
      <c r="T238">
        <v>-2.6443600000000001E-2</v>
      </c>
      <c r="U238">
        <v>-0.39804079999999997</v>
      </c>
      <c r="V238">
        <v>-1.2958600000000001E-2</v>
      </c>
      <c r="W238">
        <v>-3.608782E-2</v>
      </c>
      <c r="X238">
        <v>0.99926459999999995</v>
      </c>
      <c r="Y238">
        <v>0.14956900000000001</v>
      </c>
      <c r="Z238">
        <v>-1.591072E-3</v>
      </c>
      <c r="AA238">
        <v>0.98875000000000002</v>
      </c>
      <c r="AB238">
        <v>15</v>
      </c>
      <c r="AC238">
        <v>133.534099999999</v>
      </c>
      <c r="AD238">
        <v>-1.171462</v>
      </c>
      <c r="AE238">
        <v>-17.6355</v>
      </c>
      <c r="AF238">
        <v>20.1621784178752</v>
      </c>
      <c r="AG238">
        <v>-1.171462</v>
      </c>
      <c r="AH238">
        <v>133.165719873602</v>
      </c>
      <c r="AI238">
        <v>90.498340019937501</v>
      </c>
      <c r="AJ238">
        <v>81.390427869720995</v>
      </c>
      <c r="AK238">
        <v>134.68850994508199</v>
      </c>
      <c r="AL238">
        <v>92.068128844772502</v>
      </c>
      <c r="AM238">
        <v>90.742977857310905</v>
      </c>
      <c r="AN238">
        <v>0.99999999843973597</v>
      </c>
    </row>
    <row r="239" spans="1:40" x14ac:dyDescent="0.25">
      <c r="A239" t="str">
        <f>"20190303153747842"</f>
        <v>20190303153747842</v>
      </c>
      <c r="B239" t="str">
        <f>"1551598667839105"</f>
        <v>1551598667839105</v>
      </c>
      <c r="C239" t="s">
        <v>40</v>
      </c>
      <c r="D239">
        <v>4.019895</v>
      </c>
      <c r="E239">
        <v>0.62724849999999999</v>
      </c>
      <c r="F239" t="s">
        <v>43</v>
      </c>
      <c r="G239">
        <v>-414.96039999999999</v>
      </c>
      <c r="H239">
        <v>-0.05</v>
      </c>
      <c r="I239">
        <v>359.54059999999998</v>
      </c>
      <c r="J239">
        <v>-454.44009999999997</v>
      </c>
      <c r="K239">
        <v>1.1214580000000001</v>
      </c>
      <c r="L239">
        <v>367.34589999999997</v>
      </c>
      <c r="M239">
        <v>0.99972459999999996</v>
      </c>
      <c r="N239">
        <v>-1.373916E-2</v>
      </c>
      <c r="O239">
        <v>1.9031099999999999E-2</v>
      </c>
      <c r="P239">
        <v>0.99821079999999995</v>
      </c>
      <c r="Q239">
        <v>-5.1020719999999999E-2</v>
      </c>
      <c r="R239">
        <v>3.1182049999999999E-2</v>
      </c>
      <c r="S239">
        <v>3.0198360000000002</v>
      </c>
      <c r="T239">
        <v>-8.9379070000000005E-2</v>
      </c>
      <c r="U239">
        <v>-0.59536739999999999</v>
      </c>
      <c r="V239">
        <v>-1.2175190000000001E-2</v>
      </c>
      <c r="W239">
        <v>-3.7296490000000002E-2</v>
      </c>
      <c r="X239">
        <v>0.99923010000000001</v>
      </c>
      <c r="Y239">
        <v>0.2119327</v>
      </c>
      <c r="Z239">
        <v>-4.8752170000000003E-3</v>
      </c>
      <c r="AA239">
        <v>0.97727209999999998</v>
      </c>
      <c r="AB239">
        <v>15</v>
      </c>
      <c r="AC239">
        <v>39.479699999999902</v>
      </c>
      <c r="AD239">
        <v>-1.1714579999999899</v>
      </c>
      <c r="AE239">
        <v>-7.8052999999999804</v>
      </c>
      <c r="AF239">
        <v>8.5480560451398002</v>
      </c>
      <c r="AG239">
        <v>-1.1714579999999899</v>
      </c>
      <c r="AH239">
        <v>39.290698833427697</v>
      </c>
      <c r="AI239">
        <v>91.668762685889504</v>
      </c>
      <c r="AJ239">
        <v>77.726036750536593</v>
      </c>
      <c r="AK239">
        <v>40.226864044015798</v>
      </c>
      <c r="AL239">
        <v>92.137427139950404</v>
      </c>
      <c r="AM239">
        <v>90.698089942159498</v>
      </c>
      <c r="AN239">
        <v>1.0000000280819299</v>
      </c>
    </row>
    <row r="240" spans="1:40" x14ac:dyDescent="0.25">
      <c r="A240" t="str">
        <f>"20190303153747863"</f>
        <v>20190303153747863</v>
      </c>
      <c r="B240" t="str">
        <f>"1551598667859601"</f>
        <v>1551598667859601</v>
      </c>
      <c r="C240" t="s">
        <v>40</v>
      </c>
      <c r="D240">
        <v>3.9929039999999998</v>
      </c>
      <c r="E240">
        <v>0.62750319999999904</v>
      </c>
      <c r="F240" t="s">
        <v>43</v>
      </c>
      <c r="G240">
        <v>-399.09550000000002</v>
      </c>
      <c r="H240">
        <v>-0.05</v>
      </c>
      <c r="I240">
        <v>350.55200000000002</v>
      </c>
      <c r="J240">
        <v>-454.29849999999999</v>
      </c>
      <c r="K240">
        <v>1.121462</v>
      </c>
      <c r="L240">
        <v>367.34870000000001</v>
      </c>
      <c r="M240">
        <v>0.99972249999999996</v>
      </c>
      <c r="N240">
        <v>-1.373607E-2</v>
      </c>
      <c r="O240">
        <v>1.9139980000000001E-2</v>
      </c>
      <c r="P240">
        <v>0.99822960000000005</v>
      </c>
      <c r="Q240">
        <v>-5.0994820000000003E-2</v>
      </c>
      <c r="R240">
        <v>3.0618989999999999E-2</v>
      </c>
      <c r="S240">
        <v>3.0308229999999998</v>
      </c>
      <c r="T240">
        <v>-6.4152239999999999E-2</v>
      </c>
      <c r="U240">
        <v>-0.91967770000000004</v>
      </c>
      <c r="V240">
        <v>-1.15029E-2</v>
      </c>
      <c r="W240">
        <v>-3.7273540000000001E-2</v>
      </c>
      <c r="X240">
        <v>0.99923890000000004</v>
      </c>
      <c r="Y240">
        <v>0.3085234</v>
      </c>
      <c r="Z240">
        <v>-5.4985370000000004E-3</v>
      </c>
      <c r="AA240">
        <v>0.95120079999999996</v>
      </c>
      <c r="AB240">
        <v>15</v>
      </c>
      <c r="AC240">
        <v>55.202999999999903</v>
      </c>
      <c r="AD240">
        <v>-1.171462</v>
      </c>
      <c r="AE240">
        <v>-16.796700000000001</v>
      </c>
      <c r="AF240">
        <v>17.842952107587799</v>
      </c>
      <c r="AG240">
        <v>-1.171462</v>
      </c>
      <c r="AH240">
        <v>54.848759780915103</v>
      </c>
      <c r="AI240">
        <v>91.163537986386004</v>
      </c>
      <c r="AJ240">
        <v>71.979678602107697</v>
      </c>
      <c r="AK240">
        <v>57.689944640601396</v>
      </c>
      <c r="AL240">
        <v>92.136111333271302</v>
      </c>
      <c r="AM240">
        <v>90.659540487889402</v>
      </c>
      <c r="AN240">
        <v>1.00000000638287</v>
      </c>
    </row>
    <row r="241" spans="1:40" x14ac:dyDescent="0.25">
      <c r="A241" t="str">
        <f>"20190303153747876"</f>
        <v>20190303153747876</v>
      </c>
      <c r="B241" t="str">
        <f>"1551598667869361"</f>
        <v>1551598667869361</v>
      </c>
      <c r="C241" t="s">
        <v>40</v>
      </c>
      <c r="D241">
        <v>3.995514</v>
      </c>
      <c r="E241">
        <v>0.62788269999999902</v>
      </c>
      <c r="F241" t="s">
        <v>43</v>
      </c>
      <c r="G241">
        <v>-407.67140000000001</v>
      </c>
      <c r="H241">
        <v>-0.05</v>
      </c>
      <c r="I241">
        <v>353.13659999999999</v>
      </c>
      <c r="J241">
        <v>-454.2158</v>
      </c>
      <c r="K241">
        <v>1.1214679999999999</v>
      </c>
      <c r="L241">
        <v>367.35039999999998</v>
      </c>
      <c r="M241">
        <v>0.99972130000000003</v>
      </c>
      <c r="N241">
        <v>-1.373424E-2</v>
      </c>
      <c r="O241">
        <v>1.920413E-2</v>
      </c>
      <c r="P241">
        <v>0.99826079999999995</v>
      </c>
      <c r="Q241">
        <v>-5.0586699999999998E-2</v>
      </c>
      <c r="R241">
        <v>3.027736E-2</v>
      </c>
      <c r="S241">
        <v>3.029785</v>
      </c>
      <c r="T241">
        <v>-7.612062E-2</v>
      </c>
      <c r="U241">
        <v>-0.92349239999999999</v>
      </c>
      <c r="V241">
        <v>-1.109663E-2</v>
      </c>
      <c r="W241">
        <v>-3.6866919999999997E-2</v>
      </c>
      <c r="X241">
        <v>0.9992586</v>
      </c>
      <c r="Y241">
        <v>0.3097356</v>
      </c>
      <c r="Z241">
        <v>-6.1930730000000003E-3</v>
      </c>
      <c r="AA241">
        <v>0.95080260000000005</v>
      </c>
      <c r="AB241">
        <v>15</v>
      </c>
      <c r="AC241">
        <v>46.544400000000003</v>
      </c>
      <c r="AD241">
        <v>-1.171468</v>
      </c>
      <c r="AE241">
        <v>-14.2137999999999</v>
      </c>
      <c r="AF241">
        <v>15.096359892860701</v>
      </c>
      <c r="AG241">
        <v>-1.171468</v>
      </c>
      <c r="AH241">
        <v>46.236034744848197</v>
      </c>
      <c r="AI241">
        <v>91.379723090025493</v>
      </c>
      <c r="AJ241">
        <v>71.917809749069306</v>
      </c>
      <c r="AK241">
        <v>48.652269507358099</v>
      </c>
      <c r="AL241">
        <v>92.112797654786505</v>
      </c>
      <c r="AM241">
        <v>90.636235638070502</v>
      </c>
      <c r="AN241">
        <v>1.0000000273308001</v>
      </c>
    </row>
    <row r="242" spans="1:40" x14ac:dyDescent="0.25">
      <c r="A242" t="str">
        <f>"20190303153747887"</f>
        <v>20190303153747887</v>
      </c>
      <c r="B242" t="str">
        <f>"1551598667879121"</f>
        <v>1551598667879121</v>
      </c>
      <c r="C242" t="s">
        <v>40</v>
      </c>
      <c r="D242">
        <v>3.9895710000000002</v>
      </c>
      <c r="E242">
        <v>0.62772079999999997</v>
      </c>
      <c r="F242" t="s">
        <v>43</v>
      </c>
      <c r="G242">
        <v>-407.03890000000001</v>
      </c>
      <c r="H242">
        <v>-0.05</v>
      </c>
      <c r="I242">
        <v>352.90390000000002</v>
      </c>
      <c r="J242">
        <v>-454.13600000000002</v>
      </c>
      <c r="K242">
        <v>1.121475</v>
      </c>
      <c r="L242">
        <v>367.35199999999998</v>
      </c>
      <c r="M242">
        <v>0.99972030000000001</v>
      </c>
      <c r="N242">
        <v>-1.373246E-2</v>
      </c>
      <c r="O242">
        <v>1.9266439999999999E-2</v>
      </c>
      <c r="P242">
        <v>0.99830560000000002</v>
      </c>
      <c r="Q242">
        <v>-5.0056139999999999E-2</v>
      </c>
      <c r="R242">
        <v>2.9671179999999998E-2</v>
      </c>
      <c r="S242">
        <v>3.029541</v>
      </c>
      <c r="T242">
        <v>-7.5227740000000001E-2</v>
      </c>
      <c r="U242">
        <v>-0.92770390000000003</v>
      </c>
      <c r="V242">
        <v>-1.042737E-2</v>
      </c>
      <c r="W242">
        <v>-3.6337700000000001E-2</v>
      </c>
      <c r="X242">
        <v>0.99928519999999998</v>
      </c>
      <c r="Y242">
        <v>0.3110271</v>
      </c>
      <c r="Z242">
        <v>-6.1680550000000004E-3</v>
      </c>
      <c r="AA242">
        <v>0.95038100000000003</v>
      </c>
      <c r="AB242">
        <v>15</v>
      </c>
      <c r="AC242">
        <v>47.097099999999898</v>
      </c>
      <c r="AD242">
        <v>-1.171475</v>
      </c>
      <c r="AE242">
        <v>-14.448099999999901</v>
      </c>
      <c r="AF242">
        <v>15.344219682146001</v>
      </c>
      <c r="AG242">
        <v>-1.171475</v>
      </c>
      <c r="AH242">
        <v>46.783511661425997</v>
      </c>
      <c r="AI242">
        <v>91.362996345947295</v>
      </c>
      <c r="AJ242">
        <v>71.841363326805407</v>
      </c>
      <c r="AK242">
        <v>49.249511618942698</v>
      </c>
      <c r="AL242">
        <v>92.082455235334393</v>
      </c>
      <c r="AM242">
        <v>90.597849952613402</v>
      </c>
      <c r="AN242">
        <v>1.00000003471272</v>
      </c>
    </row>
    <row r="243" spans="1:40" x14ac:dyDescent="0.25">
      <c r="A243" t="str">
        <f>"20190303153747900"</f>
        <v>20190303153747900</v>
      </c>
      <c r="B243" t="str">
        <f>"1551598667888882"</f>
        <v>1551598667888882</v>
      </c>
      <c r="C243" t="s">
        <v>40</v>
      </c>
      <c r="D243">
        <v>3.9952109999999998</v>
      </c>
      <c r="E243">
        <v>0.62779569999999996</v>
      </c>
      <c r="F243" t="s">
        <v>43</v>
      </c>
      <c r="G243">
        <v>-405.22190000000001</v>
      </c>
      <c r="H243">
        <v>-0.05</v>
      </c>
      <c r="I243">
        <v>352.36110000000002</v>
      </c>
      <c r="J243">
        <v>-454.05939999999998</v>
      </c>
      <c r="K243">
        <v>1.1214679999999999</v>
      </c>
      <c r="L243">
        <v>367.3535</v>
      </c>
      <c r="M243">
        <v>0.99971960000000004</v>
      </c>
      <c r="N243">
        <v>-1.369075E-2</v>
      </c>
      <c r="O243">
        <v>1.932766E-2</v>
      </c>
      <c r="P243">
        <v>0.99834219999999896</v>
      </c>
      <c r="Q243">
        <v>-4.9446320000000002E-2</v>
      </c>
      <c r="R243">
        <v>2.9465390000000001E-2</v>
      </c>
      <c r="S243">
        <v>3.0290219999999999</v>
      </c>
      <c r="T243">
        <v>-7.2543979999999994E-2</v>
      </c>
      <c r="U243">
        <v>-0.92831419999999998</v>
      </c>
      <c r="V243">
        <v>-1.015979E-2</v>
      </c>
      <c r="W243">
        <v>-3.5769160000000001E-2</v>
      </c>
      <c r="X243">
        <v>0.99930839999999999</v>
      </c>
      <c r="Y243">
        <v>0.31131399999999998</v>
      </c>
      <c r="Z243">
        <v>-6.0174879999999997E-3</v>
      </c>
      <c r="AA243">
        <v>0.95028809999999997</v>
      </c>
      <c r="AB243">
        <v>15</v>
      </c>
      <c r="AC243">
        <v>48.837499999999899</v>
      </c>
      <c r="AD243">
        <v>-1.171468</v>
      </c>
      <c r="AE243">
        <v>-14.9923999999999</v>
      </c>
      <c r="AF243">
        <v>15.925227999476</v>
      </c>
      <c r="AG243">
        <v>-1.171468</v>
      </c>
      <c r="AH243">
        <v>48.513071083332903</v>
      </c>
      <c r="AI243">
        <v>91.314302868250394</v>
      </c>
      <c r="AJ243">
        <v>71.826711724680905</v>
      </c>
      <c r="AK243">
        <v>51.073508691363998</v>
      </c>
      <c r="AL243">
        <v>92.049859242062894</v>
      </c>
      <c r="AM243">
        <v>90.582495886575899</v>
      </c>
      <c r="AN243">
        <v>0.999999966225254</v>
      </c>
    </row>
    <row r="244" spans="1:40" x14ac:dyDescent="0.25">
      <c r="A244" t="str">
        <f>"20190303153747915"</f>
        <v>20190303153747915</v>
      </c>
      <c r="B244" t="str">
        <f>"1551598667909377"</f>
        <v>1551598667909377</v>
      </c>
      <c r="C244" t="s">
        <v>40</v>
      </c>
      <c r="D244">
        <v>4.0216789999999998</v>
      </c>
      <c r="E244">
        <v>0.62772569999999905</v>
      </c>
      <c r="F244" t="s">
        <v>43</v>
      </c>
      <c r="G244">
        <v>-404.02089999999998</v>
      </c>
      <c r="H244">
        <v>-0.05</v>
      </c>
      <c r="I244">
        <v>351.9973</v>
      </c>
      <c r="J244">
        <v>-453.96519999999998</v>
      </c>
      <c r="K244">
        <v>1.1214379999999999</v>
      </c>
      <c r="L244">
        <v>367.35539999999997</v>
      </c>
      <c r="M244">
        <v>0.99971940000000004</v>
      </c>
      <c r="N244">
        <v>-1.359402E-2</v>
      </c>
      <c r="O244">
        <v>1.9402309999999999E-2</v>
      </c>
      <c r="P244">
        <v>0.99838229999999994</v>
      </c>
      <c r="Q244">
        <v>-4.9012340000000001E-2</v>
      </c>
      <c r="R244">
        <v>2.8821179999999998E-2</v>
      </c>
      <c r="S244">
        <v>3.0289000000000001</v>
      </c>
      <c r="T244">
        <v>-7.0910570000000006E-2</v>
      </c>
      <c r="U244">
        <v>-0.92953490000000005</v>
      </c>
      <c r="V244">
        <v>-9.4403750000000008E-3</v>
      </c>
      <c r="W244">
        <v>-3.5431480000000001E-2</v>
      </c>
      <c r="X244">
        <v>0.99932750000000004</v>
      </c>
      <c r="Y244">
        <v>0.31175069999999999</v>
      </c>
      <c r="Z244">
        <v>-5.9204990000000001E-3</v>
      </c>
      <c r="AA244">
        <v>0.95014549999999998</v>
      </c>
      <c r="AB244">
        <v>15</v>
      </c>
      <c r="AC244">
        <v>49.944299999999998</v>
      </c>
      <c r="AD244">
        <v>-1.171438</v>
      </c>
      <c r="AE244">
        <v>-15.358099999999901</v>
      </c>
      <c r="AF244">
        <v>16.316132114855399</v>
      </c>
      <c r="AG244">
        <v>-1.171438</v>
      </c>
      <c r="AH244">
        <v>49.6119512282825</v>
      </c>
      <c r="AI244">
        <v>91.284936949823503</v>
      </c>
      <c r="AJ244">
        <v>71.795255431356694</v>
      </c>
      <c r="AK244">
        <v>52.239201169760904</v>
      </c>
      <c r="AL244">
        <v>92.030499299656</v>
      </c>
      <c r="AM244">
        <v>90.541241540414703</v>
      </c>
      <c r="AN244">
        <v>0.99999998135569002</v>
      </c>
    </row>
    <row r="245" spans="1:40" x14ac:dyDescent="0.25">
      <c r="A245" t="str">
        <f>"20190303153747933"</f>
        <v>20190303153747933</v>
      </c>
      <c r="B245" t="str">
        <f>"1551598667929875"</f>
        <v>1551598667929875</v>
      </c>
      <c r="C245" t="s">
        <v>40</v>
      </c>
      <c r="D245">
        <v>3.996623</v>
      </c>
      <c r="E245">
        <v>0.6280078</v>
      </c>
      <c r="F245" t="s">
        <v>43</v>
      </c>
      <c r="G245">
        <v>-404.01870000000002</v>
      </c>
      <c r="H245">
        <v>-0.05</v>
      </c>
      <c r="I245">
        <v>352.00529999999998</v>
      </c>
      <c r="J245">
        <v>-453.84019999999998</v>
      </c>
      <c r="K245">
        <v>1.121375</v>
      </c>
      <c r="L245">
        <v>367.35789999999997</v>
      </c>
      <c r="M245">
        <v>0.99972090000000002</v>
      </c>
      <c r="N245">
        <v>-1.3339449999999999E-2</v>
      </c>
      <c r="O245">
        <v>1.9499559999999999E-2</v>
      </c>
      <c r="P245">
        <v>0.99840709999999999</v>
      </c>
      <c r="Q245">
        <v>-4.8912600000000001E-2</v>
      </c>
      <c r="R245">
        <v>2.8125069999999999E-2</v>
      </c>
      <c r="S245">
        <v>3.0282290000000001</v>
      </c>
      <c r="T245">
        <v>-7.1023580000000003E-2</v>
      </c>
      <c r="U245">
        <v>-0.93066409999999999</v>
      </c>
      <c r="V245">
        <v>-8.6464469999999998E-3</v>
      </c>
      <c r="W245">
        <v>-3.5585989999999998E-2</v>
      </c>
      <c r="X245">
        <v>0.99932920000000003</v>
      </c>
      <c r="Y245">
        <v>0.31222620000000001</v>
      </c>
      <c r="Z245">
        <v>-5.9015630000000003E-3</v>
      </c>
      <c r="AA245">
        <v>0.94998939999999998</v>
      </c>
      <c r="AB245">
        <v>15</v>
      </c>
      <c r="AC245">
        <v>49.821499999999901</v>
      </c>
      <c r="AD245">
        <v>-1.1713750000000001</v>
      </c>
      <c r="AE245">
        <v>-15.352599999999899</v>
      </c>
      <c r="AF245">
        <v>16.313028565464201</v>
      </c>
      <c r="AG245">
        <v>-1.1713750000000001</v>
      </c>
      <c r="AH245">
        <v>49.487646195690203</v>
      </c>
      <c r="AI245">
        <v>91.287802207333996</v>
      </c>
      <c r="AJ245">
        <v>71.755795530435606</v>
      </c>
      <c r="AK245">
        <v>52.1201894313335</v>
      </c>
      <c r="AL245">
        <v>92.039357645891599</v>
      </c>
      <c r="AM245">
        <v>90.495725091587303</v>
      </c>
      <c r="AN245">
        <v>0.99999998685132196</v>
      </c>
    </row>
    <row r="246" spans="1:40" x14ac:dyDescent="0.25">
      <c r="A246" t="str">
        <f>"20190303153747955"</f>
        <v>20190303153747955</v>
      </c>
      <c r="B246" t="str">
        <f>"1551598667949393"</f>
        <v>1551598667949393</v>
      </c>
      <c r="C246" t="s">
        <v>40</v>
      </c>
      <c r="D246">
        <v>4.0232939999999999</v>
      </c>
      <c r="E246">
        <v>0.62830469999999905</v>
      </c>
      <c r="F246" t="s">
        <v>43</v>
      </c>
      <c r="G246">
        <v>-403.78399999999999</v>
      </c>
      <c r="H246">
        <v>-0.05</v>
      </c>
      <c r="I246">
        <v>351.89420000000001</v>
      </c>
      <c r="J246">
        <v>-453.70119999999997</v>
      </c>
      <c r="K246">
        <v>1.1212770000000001</v>
      </c>
      <c r="L246">
        <v>367.36079999999998</v>
      </c>
      <c r="M246">
        <v>0.99972439999999996</v>
      </c>
      <c r="N246">
        <v>-1.2915919999999999E-2</v>
      </c>
      <c r="O246">
        <v>1.9608529999999999E-2</v>
      </c>
      <c r="P246">
        <v>0.99838400000000005</v>
      </c>
      <c r="Q246">
        <v>-4.9742410000000001E-2</v>
      </c>
      <c r="R246">
        <v>2.748188E-2</v>
      </c>
      <c r="S246">
        <v>3.0275880000000002</v>
      </c>
      <c r="T246">
        <v>-7.0849179999999998E-2</v>
      </c>
      <c r="U246">
        <v>-0.93530270000000004</v>
      </c>
      <c r="V246">
        <v>-7.8950940000000001E-3</v>
      </c>
      <c r="W246">
        <v>-3.683939E-2</v>
      </c>
      <c r="X246">
        <v>0.99929000000000001</v>
      </c>
      <c r="Y246">
        <v>0.31371640000000001</v>
      </c>
      <c r="Z246">
        <v>-5.8605539999999996E-3</v>
      </c>
      <c r="AA246">
        <v>0.94949870000000003</v>
      </c>
      <c r="AB246">
        <v>15</v>
      </c>
      <c r="AC246">
        <v>49.917199999999902</v>
      </c>
      <c r="AD246">
        <v>-1.1712769999999999</v>
      </c>
      <c r="AE246">
        <v>-15.4665999999999</v>
      </c>
      <c r="AF246">
        <v>16.434254527612701</v>
      </c>
      <c r="AG246">
        <v>-1.1712769999999999</v>
      </c>
      <c r="AH246">
        <v>49.579392251458501</v>
      </c>
      <c r="AI246">
        <v>91.284609996379302</v>
      </c>
      <c r="AJ246">
        <v>71.661009323739094</v>
      </c>
      <c r="AK246">
        <v>52.245313165039697</v>
      </c>
      <c r="AL246">
        <v>92.111219311520301</v>
      </c>
      <c r="AM246">
        <v>90.452667547190302</v>
      </c>
      <c r="AN246">
        <v>0.99999998863242001</v>
      </c>
    </row>
    <row r="247" spans="1:40" x14ac:dyDescent="0.25">
      <c r="A247" t="str">
        <f>"20190303153747969"</f>
        <v>20190303153747969</v>
      </c>
      <c r="B247" t="str">
        <f>"1551598667959153"</f>
        <v>1551598667959153</v>
      </c>
      <c r="C247" t="s">
        <v>40</v>
      </c>
      <c r="D247">
        <v>4.0374850000000002</v>
      </c>
      <c r="E247">
        <v>0.62846610000000003</v>
      </c>
      <c r="F247" t="s">
        <v>43</v>
      </c>
      <c r="G247">
        <v>-405.85090000000002</v>
      </c>
      <c r="H247">
        <v>-0.05</v>
      </c>
      <c r="I247">
        <v>352.50790000000001</v>
      </c>
      <c r="J247">
        <v>-453.60109999999997</v>
      </c>
      <c r="K247">
        <v>1.121197</v>
      </c>
      <c r="L247">
        <v>367.36290000000002</v>
      </c>
      <c r="M247">
        <v>0.99972720000000004</v>
      </c>
      <c r="N247">
        <v>-1.256526E-2</v>
      </c>
      <c r="O247">
        <v>1.9687920000000001E-2</v>
      </c>
      <c r="P247">
        <v>0.9983571</v>
      </c>
      <c r="Q247">
        <v>-5.0402700000000002E-2</v>
      </c>
      <c r="R247">
        <v>2.7256659999999999E-2</v>
      </c>
      <c r="S247">
        <v>3.0270389999999998</v>
      </c>
      <c r="T247">
        <v>-7.4095729999999999E-2</v>
      </c>
      <c r="U247">
        <v>-0.93960569999999999</v>
      </c>
      <c r="V247">
        <v>-7.5912779999999999E-3</v>
      </c>
      <c r="W247">
        <v>-3.7850429999999997E-2</v>
      </c>
      <c r="X247">
        <v>0.99925459999999999</v>
      </c>
      <c r="Y247">
        <v>0.31506260000000003</v>
      </c>
      <c r="Z247">
        <v>-6.0218850000000003E-3</v>
      </c>
      <c r="AA247">
        <v>0.9490518</v>
      </c>
      <c r="AB247">
        <v>15</v>
      </c>
      <c r="AC247">
        <v>47.7501999999999</v>
      </c>
      <c r="AD247">
        <v>-1.171197</v>
      </c>
      <c r="AE247">
        <v>-14.855</v>
      </c>
      <c r="AF247">
        <v>15.7836390386001</v>
      </c>
      <c r="AG247">
        <v>-1.171197</v>
      </c>
      <c r="AH247">
        <v>47.422444205938497</v>
      </c>
      <c r="AI247">
        <v>91.342381304554095</v>
      </c>
      <c r="AJ247">
        <v>71.590980787399502</v>
      </c>
      <c r="AK247">
        <v>49.993831401273702</v>
      </c>
      <c r="AL247">
        <v>92.169188010436002</v>
      </c>
      <c r="AM247">
        <v>90.435264269324506</v>
      </c>
      <c r="AN247">
        <v>1.000000019087</v>
      </c>
    </row>
    <row r="248" spans="1:40" x14ac:dyDescent="0.25">
      <c r="A248" t="str">
        <f>"20190303153747988"</f>
        <v>20190303153747988</v>
      </c>
      <c r="B248" t="str">
        <f>"1551598667979649"</f>
        <v>1551598667979649</v>
      </c>
      <c r="C248" t="s">
        <v>40</v>
      </c>
      <c r="D248">
        <v>4.0567349999999998</v>
      </c>
      <c r="E248">
        <v>0.62857410000000002</v>
      </c>
      <c r="F248" t="s">
        <v>43</v>
      </c>
      <c r="G248">
        <v>-407.53519999999997</v>
      </c>
      <c r="H248">
        <v>-0.05</v>
      </c>
      <c r="I248">
        <v>353.03309999999999</v>
      </c>
      <c r="J248">
        <v>-453.47949999999997</v>
      </c>
      <c r="K248">
        <v>1.1211059999999999</v>
      </c>
      <c r="L248">
        <v>367.36540000000002</v>
      </c>
      <c r="M248">
        <v>0.99973100000000004</v>
      </c>
      <c r="N248">
        <v>-1.2113789999999999E-2</v>
      </c>
      <c r="O248">
        <v>1.9785540000000001E-2</v>
      </c>
      <c r="P248">
        <v>0.99831210000000004</v>
      </c>
      <c r="Q248">
        <v>-5.1380519999999999E-2</v>
      </c>
      <c r="R248">
        <v>2.7080960000000001E-2</v>
      </c>
      <c r="S248">
        <v>3.0267330000000001</v>
      </c>
      <c r="T248">
        <v>-7.6952930000000003E-2</v>
      </c>
      <c r="U248">
        <v>-0.94152829999999998</v>
      </c>
      <c r="V248">
        <v>-7.3192789999999997E-3</v>
      </c>
      <c r="W248">
        <v>-3.9279870000000001E-2</v>
      </c>
      <c r="X248">
        <v>0.99920140000000002</v>
      </c>
      <c r="Y248">
        <v>0.31572450000000002</v>
      </c>
      <c r="Z248">
        <v>-6.1349949999999999E-3</v>
      </c>
      <c r="AA248">
        <v>0.94883110000000004</v>
      </c>
      <c r="AB248">
        <v>15</v>
      </c>
      <c r="AC248">
        <v>45.944299999999998</v>
      </c>
      <c r="AD248">
        <v>-1.171106</v>
      </c>
      <c r="AE248">
        <v>-14.3323</v>
      </c>
      <c r="AF248">
        <v>15.2295758502424</v>
      </c>
      <c r="AG248">
        <v>-1.171106</v>
      </c>
      <c r="AH248">
        <v>45.624697269689399</v>
      </c>
      <c r="AI248">
        <v>91.394740198784106</v>
      </c>
      <c r="AJ248">
        <v>71.540931675528498</v>
      </c>
      <c r="AK248">
        <v>48.113661997319703</v>
      </c>
      <c r="AL248">
        <v>92.251150002935404</v>
      </c>
      <c r="AM248">
        <v>90.419691460948101</v>
      </c>
      <c r="AN248">
        <v>0.99999995889712701</v>
      </c>
    </row>
    <row r="249" spans="1:40" x14ac:dyDescent="0.25">
      <c r="A249" t="str">
        <f>"20190303153748002"</f>
        <v>20190303153748002</v>
      </c>
      <c r="B249" t="str">
        <f>"1551598667999169"</f>
        <v>1551598667999169</v>
      </c>
      <c r="C249" t="s">
        <v>40</v>
      </c>
      <c r="D249">
        <v>4.036384</v>
      </c>
      <c r="E249">
        <v>0.62870869999999901</v>
      </c>
      <c r="F249" t="s">
        <v>43</v>
      </c>
      <c r="G249">
        <v>-409.81560000000002</v>
      </c>
      <c r="H249">
        <v>-0.05</v>
      </c>
      <c r="I249">
        <v>353.76150000000001</v>
      </c>
      <c r="J249">
        <v>-453.39049999999997</v>
      </c>
      <c r="K249">
        <v>1.121041</v>
      </c>
      <c r="L249">
        <v>367.36720000000003</v>
      </c>
      <c r="M249">
        <v>0.99973380000000001</v>
      </c>
      <c r="N249">
        <v>-1.176109E-2</v>
      </c>
      <c r="O249">
        <v>1.985609E-2</v>
      </c>
      <c r="P249">
        <v>0.99829270000000003</v>
      </c>
      <c r="Q249">
        <v>-5.1657969999999998E-2</v>
      </c>
      <c r="R249">
        <v>2.7268190000000001E-2</v>
      </c>
      <c r="S249">
        <v>3.0264890000000002</v>
      </c>
      <c r="T249">
        <v>-8.1173179999999998E-2</v>
      </c>
      <c r="U249">
        <v>-0.94293210000000005</v>
      </c>
      <c r="V249">
        <v>-7.4363019999999997E-3</v>
      </c>
      <c r="W249">
        <v>-3.9909899999999998E-2</v>
      </c>
      <c r="X249">
        <v>0.99917560000000005</v>
      </c>
      <c r="Y249">
        <v>0.31620189999999998</v>
      </c>
      <c r="Z249">
        <v>-6.3371069999999998E-3</v>
      </c>
      <c r="AA249">
        <v>0.94867069999999998</v>
      </c>
      <c r="AB249">
        <v>15</v>
      </c>
      <c r="AC249">
        <v>43.5748999999999</v>
      </c>
      <c r="AD249">
        <v>-1.171041</v>
      </c>
      <c r="AE249">
        <v>-13.605700000000001</v>
      </c>
      <c r="AF249">
        <v>14.458789264762499</v>
      </c>
      <c r="AG249">
        <v>-1.171041</v>
      </c>
      <c r="AH249">
        <v>43.267660283065901</v>
      </c>
      <c r="AI249">
        <v>91.470442308102605</v>
      </c>
      <c r="AJ249">
        <v>71.521876326176297</v>
      </c>
      <c r="AK249">
        <v>45.634617894722098</v>
      </c>
      <c r="AL249">
        <v>92.287276325480804</v>
      </c>
      <c r="AM249">
        <v>90.426412387787295</v>
      </c>
      <c r="AN249">
        <v>0.999999989170402</v>
      </c>
    </row>
    <row r="250" spans="1:40" x14ac:dyDescent="0.25">
      <c r="A250" t="str">
        <f>"20190303153748020"</f>
        <v>20190303153748020</v>
      </c>
      <c r="B250" t="str">
        <f>"1551598668008929"</f>
        <v>1551598668008929</v>
      </c>
      <c r="C250" t="s">
        <v>40</v>
      </c>
      <c r="D250">
        <v>4.2784879999999896</v>
      </c>
      <c r="E250">
        <v>0.58829869999999995</v>
      </c>
      <c r="F250" t="s">
        <v>43</v>
      </c>
      <c r="G250">
        <v>-409.20319999999998</v>
      </c>
      <c r="H250">
        <v>-0.05</v>
      </c>
      <c r="I250">
        <v>353.59199999999998</v>
      </c>
      <c r="J250">
        <v>-453.26440000000002</v>
      </c>
      <c r="K250">
        <v>1.12094</v>
      </c>
      <c r="L250">
        <v>367.3698</v>
      </c>
      <c r="M250">
        <v>0.99973820000000002</v>
      </c>
      <c r="N250">
        <v>-1.1209739999999999E-2</v>
      </c>
      <c r="O250">
        <v>1.9954050000000001E-2</v>
      </c>
      <c r="P250">
        <v>0.99826499999999996</v>
      </c>
      <c r="Q250">
        <v>-5.191461E-2</v>
      </c>
      <c r="R250">
        <v>2.7793640000000001E-2</v>
      </c>
      <c r="S250">
        <v>3.0268250000000001</v>
      </c>
      <c r="T250">
        <v>-8.0216170000000003E-2</v>
      </c>
      <c r="U250">
        <v>-0.94360350000000004</v>
      </c>
      <c r="V250">
        <v>-7.8648439999999993E-3</v>
      </c>
      <c r="W250">
        <v>-4.0717639999999999E-2</v>
      </c>
      <c r="X250">
        <v>0.99913969999999996</v>
      </c>
      <c r="Y250">
        <v>0.31646180000000002</v>
      </c>
      <c r="Z250">
        <v>-6.2093529999999999E-3</v>
      </c>
      <c r="AA250">
        <v>0.94858489999999995</v>
      </c>
      <c r="AB250">
        <v>15</v>
      </c>
      <c r="AC250">
        <v>44.061199999999999</v>
      </c>
      <c r="AD250">
        <v>-1.1709399999999901</v>
      </c>
      <c r="AE250">
        <v>-13.777799999999999</v>
      </c>
      <c r="AF250">
        <v>14.6448893091654</v>
      </c>
      <c r="AG250">
        <v>-1.1709399999999901</v>
      </c>
      <c r="AH250">
        <v>43.749340319879501</v>
      </c>
      <c r="AI250">
        <v>91.453883170127597</v>
      </c>
      <c r="AJ250">
        <v>71.492268448893299</v>
      </c>
      <c r="AK250">
        <v>46.150283442097603</v>
      </c>
      <c r="AL250">
        <v>92.333594138965196</v>
      </c>
      <c r="AM250">
        <v>90.451001057079097</v>
      </c>
      <c r="AN250">
        <v>0.99999996104720101</v>
      </c>
    </row>
    <row r="251" spans="1:40" x14ac:dyDescent="0.25">
      <c r="A251" t="str">
        <f>"20190303153748034"</f>
        <v>20190303153748034</v>
      </c>
      <c r="B251" t="str">
        <f>"1551598668029425"</f>
        <v>1551598668029425</v>
      </c>
      <c r="C251" t="s">
        <v>40</v>
      </c>
      <c r="D251">
        <v>4.0878839999999999</v>
      </c>
      <c r="E251">
        <v>0.56018919999999905</v>
      </c>
      <c r="F251" t="s">
        <v>43</v>
      </c>
      <c r="G251">
        <v>-427.0752</v>
      </c>
      <c r="H251">
        <v>-0.05</v>
      </c>
      <c r="I251">
        <v>361.98099999999999</v>
      </c>
      <c r="J251">
        <v>-453.17149999999998</v>
      </c>
      <c r="K251">
        <v>1.1208610000000001</v>
      </c>
      <c r="L251">
        <v>367.37180000000001</v>
      </c>
      <c r="M251">
        <v>0.99974169999999996</v>
      </c>
      <c r="N251">
        <v>-1.075533E-2</v>
      </c>
      <c r="O251">
        <v>2.0024630000000002E-2</v>
      </c>
      <c r="P251">
        <v>0.99824199999999996</v>
      </c>
      <c r="Q251">
        <v>-5.2215530000000003E-2</v>
      </c>
      <c r="R251">
        <v>2.8044969999999999E-2</v>
      </c>
      <c r="S251">
        <v>3.0155029999999998</v>
      </c>
      <c r="T251">
        <v>-0.13482569999999999</v>
      </c>
      <c r="U251">
        <v>-0.62048340000000002</v>
      </c>
      <c r="V251">
        <v>-8.046114E-3</v>
      </c>
      <c r="W251">
        <v>-4.1472790000000002E-2</v>
      </c>
      <c r="X251">
        <v>0.99910719999999997</v>
      </c>
      <c r="Y251">
        <v>0.22084090000000001</v>
      </c>
      <c r="Z251">
        <v>-6.7571630000000001E-3</v>
      </c>
      <c r="AA251">
        <v>0.9752864</v>
      </c>
      <c r="AB251">
        <v>15</v>
      </c>
      <c r="AC251">
        <v>26.0962999999999</v>
      </c>
      <c r="AD251">
        <v>-1.1708609999999999</v>
      </c>
      <c r="AE251">
        <v>-5.3908000000000103</v>
      </c>
      <c r="AF251">
        <v>5.9009252388633699</v>
      </c>
      <c r="AG251">
        <v>-1.1708609999999999</v>
      </c>
      <c r="AH251">
        <v>25.933043951684301</v>
      </c>
      <c r="AI251">
        <v>92.520765207183203</v>
      </c>
      <c r="AJ251">
        <v>77.180920366377904</v>
      </c>
      <c r="AK251">
        <v>26.621694212727402</v>
      </c>
      <c r="AL251">
        <v>92.376897622238005</v>
      </c>
      <c r="AM251">
        <v>90.461410354892706</v>
      </c>
      <c r="AN251">
        <v>0.99999996467636099</v>
      </c>
    </row>
    <row r="252" spans="1:40" x14ac:dyDescent="0.25">
      <c r="A252" t="str">
        <f>"20190303153748047"</f>
        <v>20190303153748047</v>
      </c>
      <c r="B252" t="str">
        <f>"1551598668039186"</f>
        <v>1551598668039186</v>
      </c>
      <c r="C252" t="s">
        <v>40</v>
      </c>
      <c r="D252">
        <v>4.3429719999999996</v>
      </c>
      <c r="E252">
        <v>0.55366629999999994</v>
      </c>
      <c r="F252" t="s">
        <v>43</v>
      </c>
      <c r="G252">
        <v>-409.10610000000003</v>
      </c>
      <c r="H252">
        <v>-0.05</v>
      </c>
      <c r="I252">
        <v>361.5992</v>
      </c>
      <c r="J252">
        <v>-453.0745</v>
      </c>
      <c r="K252">
        <v>1.1207640000000001</v>
      </c>
      <c r="L252">
        <v>367.37369999999999</v>
      </c>
      <c r="M252">
        <v>0.99974569999999996</v>
      </c>
      <c r="N252">
        <v>-1.02364E-2</v>
      </c>
      <c r="O252">
        <v>2.0096510000000001E-2</v>
      </c>
      <c r="P252">
        <v>0.99824299999999999</v>
      </c>
      <c r="Q252">
        <v>-5.2051699999999902E-2</v>
      </c>
      <c r="R252">
        <v>2.8315110000000001E-2</v>
      </c>
      <c r="S252">
        <v>3.0121769999999999</v>
      </c>
      <c r="T252">
        <v>-8.003652E-2</v>
      </c>
      <c r="U252">
        <v>-0.39459230000000001</v>
      </c>
      <c r="V252">
        <v>-8.2441779999999996E-3</v>
      </c>
      <c r="W252">
        <v>-4.1827360000000001E-2</v>
      </c>
      <c r="X252">
        <v>0.9990909</v>
      </c>
      <c r="Y252">
        <v>0.1497155</v>
      </c>
      <c r="Z252">
        <v>-3.0769769999999998E-3</v>
      </c>
      <c r="AA252">
        <v>0.98872439999999995</v>
      </c>
      <c r="AB252">
        <v>15</v>
      </c>
      <c r="AC252">
        <v>43.968399999999903</v>
      </c>
      <c r="AD252">
        <v>-1.1707639999999999</v>
      </c>
      <c r="AE252">
        <v>-5.7744999999999802</v>
      </c>
      <c r="AF252">
        <v>6.6523546572620198</v>
      </c>
      <c r="AG252">
        <v>-1.1707639999999999</v>
      </c>
      <c r="AH252">
        <v>43.812928606394699</v>
      </c>
      <c r="AI252">
        <v>91.513350133858793</v>
      </c>
      <c r="AJ252">
        <v>81.366414131944794</v>
      </c>
      <c r="AK252">
        <v>44.330545044006897</v>
      </c>
      <c r="AL252">
        <v>92.397230401569502</v>
      </c>
      <c r="AM252">
        <v>90.472775684813101</v>
      </c>
      <c r="AN252">
        <v>1.0000000604891299</v>
      </c>
    </row>
    <row r="253" spans="1:40" x14ac:dyDescent="0.25">
      <c r="A253" t="str">
        <f>"20190303153748066"</f>
        <v>20190303153748066</v>
      </c>
      <c r="B253" t="str">
        <f>"1551598668059681"</f>
        <v>1551598668059681</v>
      </c>
      <c r="C253" t="s">
        <v>40</v>
      </c>
      <c r="D253">
        <v>4.1004969999999998</v>
      </c>
      <c r="E253">
        <v>0.54509189999999996</v>
      </c>
      <c r="F253" t="s">
        <v>43</v>
      </c>
      <c r="G253">
        <v>-406.89269999999999</v>
      </c>
      <c r="H253">
        <v>-0.05</v>
      </c>
      <c r="I253">
        <v>362.1277</v>
      </c>
      <c r="J253">
        <v>-452.95359999999999</v>
      </c>
      <c r="K253">
        <v>1.1206480000000001</v>
      </c>
      <c r="L253">
        <v>367.37630000000001</v>
      </c>
      <c r="M253">
        <v>0.9997509</v>
      </c>
      <c r="N253">
        <v>-9.5405980000000008E-3</v>
      </c>
      <c r="O253">
        <v>2.0181040000000001E-2</v>
      </c>
      <c r="P253">
        <v>0.99822469999999996</v>
      </c>
      <c r="Q253">
        <v>-5.2160499999999999E-2</v>
      </c>
      <c r="R253">
        <v>2.8759090000000001E-2</v>
      </c>
      <c r="S253">
        <v>3.0110779999999999</v>
      </c>
      <c r="T253">
        <v>-7.6334360000000004E-2</v>
      </c>
      <c r="U253">
        <v>-0.34204099999999998</v>
      </c>
      <c r="V253">
        <v>-8.6049999999999998E-3</v>
      </c>
      <c r="W253">
        <v>-4.2631420000000003E-2</v>
      </c>
      <c r="X253">
        <v>0.99905379999999999</v>
      </c>
      <c r="Y253">
        <v>0.1328377</v>
      </c>
      <c r="Z253">
        <v>-2.6321410000000002E-3</v>
      </c>
      <c r="AA253">
        <v>0.99113430000000002</v>
      </c>
      <c r="AB253">
        <v>15</v>
      </c>
      <c r="AC253">
        <v>46.060899999999997</v>
      </c>
      <c r="AD253">
        <v>-1.1706479999999999</v>
      </c>
      <c r="AE253">
        <v>-5.2485999999999997</v>
      </c>
      <c r="AF253">
        <v>6.17319372213466</v>
      </c>
      <c r="AG253">
        <v>-1.1706479999999999</v>
      </c>
      <c r="AH253">
        <v>45.916312742717601</v>
      </c>
      <c r="AI253">
        <v>91.447436765012696</v>
      </c>
      <c r="AJ253">
        <v>82.342815090190399</v>
      </c>
      <c r="AK253">
        <v>46.344217690645699</v>
      </c>
      <c r="AL253">
        <v>92.443340950859906</v>
      </c>
      <c r="AM253">
        <v>90.493484926653906</v>
      </c>
      <c r="AN253">
        <v>0.99999998964532799</v>
      </c>
    </row>
    <row r="254" spans="1:40" x14ac:dyDescent="0.25">
      <c r="A254" t="str">
        <f>"20190303153748078"</f>
        <v>20190303153748078</v>
      </c>
      <c r="B254" t="str">
        <f>"1551598668069441"</f>
        <v>1551598668069441</v>
      </c>
      <c r="C254" t="s">
        <v>40</v>
      </c>
      <c r="D254">
        <v>4.103809</v>
      </c>
      <c r="E254">
        <v>0.54244510000000001</v>
      </c>
      <c r="F254" t="s">
        <v>43</v>
      </c>
      <c r="G254">
        <v>-406.25299999999999</v>
      </c>
      <c r="H254">
        <v>-0.05</v>
      </c>
      <c r="I254">
        <v>363.15120000000002</v>
      </c>
      <c r="J254">
        <v>-452.86430000000001</v>
      </c>
      <c r="K254">
        <v>1.120566</v>
      </c>
      <c r="L254">
        <v>367.37810000000002</v>
      </c>
      <c r="M254">
        <v>0.99975449999999999</v>
      </c>
      <c r="N254">
        <v>-9.0175050000000003E-3</v>
      </c>
      <c r="O254">
        <v>2.024076E-2</v>
      </c>
      <c r="P254">
        <v>0.99825830000000004</v>
      </c>
      <c r="Q254">
        <v>-5.1406630000000002E-2</v>
      </c>
      <c r="R254">
        <v>2.894654E-2</v>
      </c>
      <c r="S254">
        <v>3.0092159999999999</v>
      </c>
      <c r="T254">
        <v>-7.5432299999999994E-2</v>
      </c>
      <c r="U254">
        <v>-0.27224730000000003</v>
      </c>
      <c r="V254">
        <v>-8.7313259999999993E-3</v>
      </c>
      <c r="W254">
        <v>-4.2399819999999998E-2</v>
      </c>
      <c r="X254">
        <v>0.99906260000000002</v>
      </c>
      <c r="Y254">
        <v>0.1101946</v>
      </c>
      <c r="Z254">
        <v>-2.2003190000000001E-3</v>
      </c>
      <c r="AA254">
        <v>0.9939076</v>
      </c>
      <c r="AB254">
        <v>15</v>
      </c>
      <c r="AC254">
        <v>46.6112999999999</v>
      </c>
      <c r="AD254">
        <v>-1.170566</v>
      </c>
      <c r="AE254">
        <v>-4.2268999999999997</v>
      </c>
      <c r="AF254">
        <v>5.1662887509927602</v>
      </c>
      <c r="AG254">
        <v>-1.170566</v>
      </c>
      <c r="AH254">
        <v>46.487111671448197</v>
      </c>
      <c r="AI254">
        <v>91.433606073846093</v>
      </c>
      <c r="AJ254">
        <v>83.658524888027699</v>
      </c>
      <c r="AK254">
        <v>46.787950540418898</v>
      </c>
      <c r="AL254">
        <v>92.430059141337395</v>
      </c>
      <c r="AM254">
        <v>90.500724772648098</v>
      </c>
      <c r="AN254">
        <v>1.00000002975425</v>
      </c>
    </row>
    <row r="255" spans="1:40" x14ac:dyDescent="0.25">
      <c r="A255" t="str">
        <f>"20190303153748090"</f>
        <v>20190303153748090</v>
      </c>
      <c r="B255" t="str">
        <f>"1551598668079202"</f>
        <v>1551598668079202</v>
      </c>
      <c r="C255" t="s">
        <v>40</v>
      </c>
      <c r="D255">
        <v>4.0827730000000004</v>
      </c>
      <c r="E255">
        <v>0.54048399999999996</v>
      </c>
      <c r="F255" t="s">
        <v>43</v>
      </c>
      <c r="G255">
        <v>-403.96690000000001</v>
      </c>
      <c r="H255">
        <v>-0.05</v>
      </c>
      <c r="I255">
        <v>363.31029999999998</v>
      </c>
      <c r="J255">
        <v>-452.77690000000001</v>
      </c>
      <c r="K255">
        <v>1.12049</v>
      </c>
      <c r="L255">
        <v>367.38</v>
      </c>
      <c r="M255">
        <v>0.99975789999999998</v>
      </c>
      <c r="N255">
        <v>-8.5041960000000003E-3</v>
      </c>
      <c r="O255">
        <v>2.0297559999999999E-2</v>
      </c>
      <c r="P255">
        <v>0.99830459999999999</v>
      </c>
      <c r="Q255">
        <v>-5.0392720000000002E-2</v>
      </c>
      <c r="R255">
        <v>2.9129909999999998E-2</v>
      </c>
      <c r="S255">
        <v>3.0088200000000001</v>
      </c>
      <c r="T255">
        <v>-7.2028759999999997E-2</v>
      </c>
      <c r="U255">
        <v>-0.25030520000000001</v>
      </c>
      <c r="V255">
        <v>-8.8577589999999998E-3</v>
      </c>
      <c r="W255">
        <v>-4.1898329999999998E-2</v>
      </c>
      <c r="X255">
        <v>0.99908260000000004</v>
      </c>
      <c r="Y255">
        <v>0.1030732</v>
      </c>
      <c r="Z255">
        <v>-1.9833699999999999E-3</v>
      </c>
      <c r="AA255">
        <v>0.99467179999999999</v>
      </c>
      <c r="AB255">
        <v>15</v>
      </c>
      <c r="AC255">
        <v>48.81</v>
      </c>
      <c r="AD255">
        <v>-1.17049</v>
      </c>
      <c r="AE255">
        <v>-4.0697000000000099</v>
      </c>
      <c r="AF255">
        <v>5.0567332797946198</v>
      </c>
      <c r="AG255">
        <v>-1.17049</v>
      </c>
      <c r="AH255">
        <v>48.689529248547501</v>
      </c>
      <c r="AI255">
        <v>91.369753318887305</v>
      </c>
      <c r="AJ255">
        <v>84.070707294288695</v>
      </c>
      <c r="AK255">
        <v>48.965404692989502</v>
      </c>
      <c r="AL255">
        <v>92.401300430047797</v>
      </c>
      <c r="AM255">
        <v>90.507964916780594</v>
      </c>
      <c r="AN255">
        <v>0.99999998578702498</v>
      </c>
    </row>
    <row r="256" spans="1:40" x14ac:dyDescent="0.25">
      <c r="A256" t="str">
        <f>"20190303153748102"</f>
        <v>20190303153748102</v>
      </c>
      <c r="B256" t="str">
        <f>"1551598668099697"</f>
        <v>1551598668099697</v>
      </c>
      <c r="C256" t="s">
        <v>40</v>
      </c>
      <c r="D256">
        <v>4.0763959999999999</v>
      </c>
      <c r="E256">
        <v>0.53762290000000001</v>
      </c>
      <c r="F256" t="s">
        <v>43</v>
      </c>
      <c r="G256">
        <v>-401.45549999999997</v>
      </c>
      <c r="H256">
        <v>-0.05</v>
      </c>
      <c r="I256">
        <v>363.37920000000003</v>
      </c>
      <c r="J256">
        <v>-452.69299999999998</v>
      </c>
      <c r="K256">
        <v>1.1204240000000001</v>
      </c>
      <c r="L256">
        <v>367.38170000000002</v>
      </c>
      <c r="M256">
        <v>0.99976080000000001</v>
      </c>
      <c r="N256">
        <v>-8.0206640000000003E-3</v>
      </c>
      <c r="O256">
        <v>2.034861E-2</v>
      </c>
      <c r="P256">
        <v>0.99833360000000004</v>
      </c>
      <c r="Q256">
        <v>-4.9485040000000001E-2</v>
      </c>
      <c r="R256">
        <v>2.968792E-2</v>
      </c>
      <c r="S256">
        <v>3.0084840000000002</v>
      </c>
      <c r="T256">
        <v>-6.8614720000000004E-2</v>
      </c>
      <c r="U256">
        <v>-0.2345276</v>
      </c>
      <c r="V256">
        <v>-9.3648120000000001E-3</v>
      </c>
      <c r="W256">
        <v>-4.147344E-2</v>
      </c>
      <c r="X256">
        <v>0.99909570000000003</v>
      </c>
      <c r="Y256">
        <v>9.7954760000000002E-2</v>
      </c>
      <c r="Z256">
        <v>-1.8091660000000001E-3</v>
      </c>
      <c r="AA256">
        <v>0.9951892</v>
      </c>
      <c r="AB256">
        <v>16</v>
      </c>
      <c r="AC256">
        <v>51.237499999999997</v>
      </c>
      <c r="AD256">
        <v>-1.1704239999999999</v>
      </c>
      <c r="AE256">
        <v>-4.0024999999999897</v>
      </c>
      <c r="AF256">
        <v>5.0417017828289898</v>
      </c>
      <c r="AG256">
        <v>-1.1704239999999999</v>
      </c>
      <c r="AH256">
        <v>51.118929966651898</v>
      </c>
      <c r="AI256">
        <v>91.305289703881499</v>
      </c>
      <c r="AJ256">
        <v>84.367311091848904</v>
      </c>
      <c r="AK256">
        <v>51.380284644425799</v>
      </c>
      <c r="AL256">
        <v>92.376934855736707</v>
      </c>
      <c r="AM256">
        <v>90.5370341304113</v>
      </c>
      <c r="AN256">
        <v>0.99999998184385896</v>
      </c>
    </row>
    <row r="257" spans="1:40" x14ac:dyDescent="0.25">
      <c r="A257" t="str">
        <f>"20190303153748122"</f>
        <v>20190303153748122</v>
      </c>
      <c r="B257" t="str">
        <f>"1551598668119217"</f>
        <v>1551598668119217</v>
      </c>
      <c r="C257" t="s">
        <v>40</v>
      </c>
      <c r="D257">
        <v>4.0770379999999999</v>
      </c>
      <c r="E257">
        <v>0.53541669999999997</v>
      </c>
      <c r="F257" t="s">
        <v>43</v>
      </c>
      <c r="G257">
        <v>-399.99610000000001</v>
      </c>
      <c r="H257">
        <v>-0.05</v>
      </c>
      <c r="I257">
        <v>363.70979999999997</v>
      </c>
      <c r="J257">
        <v>-452.56099999999998</v>
      </c>
      <c r="K257">
        <v>1.120328</v>
      </c>
      <c r="L257">
        <v>367.3845</v>
      </c>
      <c r="M257">
        <v>0.99976489999999996</v>
      </c>
      <c r="N257">
        <v>-7.2790999999999897E-3</v>
      </c>
      <c r="O257">
        <v>2.0423879999999998E-2</v>
      </c>
      <c r="P257">
        <v>0.9983786</v>
      </c>
      <c r="Q257">
        <v>-4.842867E-2</v>
      </c>
      <c r="R257">
        <v>2.991765E-2</v>
      </c>
      <c r="S257">
        <v>3.0079349999999998</v>
      </c>
      <c r="T257">
        <v>-6.6807749999999999E-2</v>
      </c>
      <c r="U257">
        <v>-0.20959469999999999</v>
      </c>
      <c r="V257">
        <v>-9.5183379999999995E-3</v>
      </c>
      <c r="W257">
        <v>-4.1157569999999997E-2</v>
      </c>
      <c r="X257">
        <v>0.99910730000000003</v>
      </c>
      <c r="Y257">
        <v>8.9841019999999994E-2</v>
      </c>
      <c r="Z257">
        <v>-1.628429E-3</v>
      </c>
      <c r="AA257">
        <v>0.99595480000000003</v>
      </c>
      <c r="AB257">
        <v>16</v>
      </c>
      <c r="AC257">
        <v>52.564899999999902</v>
      </c>
      <c r="AD257">
        <v>-1.170328</v>
      </c>
      <c r="AE257">
        <v>-3.6747000000000298</v>
      </c>
      <c r="AF257">
        <v>4.7452003417390198</v>
      </c>
      <c r="AG257">
        <v>-1.170328</v>
      </c>
      <c r="AH257">
        <v>52.453006550411899</v>
      </c>
      <c r="AI257">
        <v>91.2729708629182</v>
      </c>
      <c r="AJ257">
        <v>84.830765706450094</v>
      </c>
      <c r="AK257">
        <v>52.680209662532498</v>
      </c>
      <c r="AL257">
        <v>92.358821397748301</v>
      </c>
      <c r="AM257">
        <v>90.545831360824593</v>
      </c>
      <c r="AN257">
        <v>0.99999997061993795</v>
      </c>
    </row>
    <row r="258" spans="1:40" x14ac:dyDescent="0.25">
      <c r="A258" t="str">
        <f>"20190303153748136"</f>
        <v>20190303153748136</v>
      </c>
      <c r="B258" t="str">
        <f>"1551598668128978"</f>
        <v>1551598668128978</v>
      </c>
      <c r="C258" t="s">
        <v>40</v>
      </c>
      <c r="D258">
        <v>4.0873650000000001</v>
      </c>
      <c r="E258">
        <v>0.53454119999999905</v>
      </c>
      <c r="F258" t="s">
        <v>42</v>
      </c>
      <c r="G258">
        <v>-398.09699999999998</v>
      </c>
      <c r="H258" s="1">
        <v>-2.1510159999999998E-6</v>
      </c>
      <c r="I258">
        <v>363.91340000000002</v>
      </c>
      <c r="J258">
        <v>-452.4529</v>
      </c>
      <c r="K258">
        <v>1.1202540000000001</v>
      </c>
      <c r="L258">
        <v>367.38679999999999</v>
      </c>
      <c r="M258">
        <v>0.99976790000000004</v>
      </c>
      <c r="N258">
        <v>-6.6883619999999998E-3</v>
      </c>
      <c r="O258">
        <v>2.048036E-2</v>
      </c>
      <c r="P258">
        <v>0.99839540000000004</v>
      </c>
      <c r="Q258">
        <v>-4.791256E-2</v>
      </c>
      <c r="R258">
        <v>3.018765E-2</v>
      </c>
      <c r="S258">
        <v>3.00766</v>
      </c>
      <c r="T258">
        <v>-6.1867829999999999E-2</v>
      </c>
      <c r="U258">
        <v>-0.19168089999999999</v>
      </c>
      <c r="V258">
        <v>-9.7317429999999993E-3</v>
      </c>
      <c r="W258">
        <v>-4.1231459999999998E-2</v>
      </c>
      <c r="X258">
        <v>0.99910220000000005</v>
      </c>
      <c r="Y258">
        <v>8.4002460000000001E-2</v>
      </c>
      <c r="Z258">
        <v>-1.4282889999999999E-3</v>
      </c>
      <c r="AA258">
        <v>0.99646460000000003</v>
      </c>
      <c r="AB258">
        <v>16</v>
      </c>
      <c r="AC258">
        <v>54.355899999999998</v>
      </c>
      <c r="AD258">
        <v>-1.1202561510160001</v>
      </c>
      <c r="AE258">
        <v>-3.4733999999999599</v>
      </c>
      <c r="AF258">
        <v>4.5839855577799904</v>
      </c>
      <c r="AG258">
        <v>-1.1202561510160001</v>
      </c>
      <c r="AH258">
        <v>54.2504109926045</v>
      </c>
      <c r="AI258">
        <v>91.178774675559893</v>
      </c>
      <c r="AJ258">
        <v>85.170163316457803</v>
      </c>
      <c r="AK258">
        <v>54.455256773835202</v>
      </c>
      <c r="AL258">
        <v>92.3630585739553</v>
      </c>
      <c r="AM258">
        <v>90.5580712044313</v>
      </c>
      <c r="AN258">
        <v>0.99999997308019395</v>
      </c>
    </row>
    <row r="259" spans="1:40" x14ac:dyDescent="0.25">
      <c r="A259" t="str">
        <f>"20190303153748156"</f>
        <v>20190303153748156</v>
      </c>
      <c r="B259" t="str">
        <f>"1551598668149473"</f>
        <v>1551598668149473</v>
      </c>
      <c r="C259" t="s">
        <v>40</v>
      </c>
      <c r="D259">
        <v>4.1118449999999998</v>
      </c>
      <c r="E259">
        <v>0.53325869999999997</v>
      </c>
      <c r="F259" t="s">
        <v>42</v>
      </c>
      <c r="G259">
        <v>-396.30419999999998</v>
      </c>
      <c r="H259" s="1">
        <v>-2.7501970000000001E-6</v>
      </c>
      <c r="I259">
        <v>363.95460000000003</v>
      </c>
      <c r="J259">
        <v>-452.31540000000001</v>
      </c>
      <c r="K259">
        <v>1.1201639999999999</v>
      </c>
      <c r="L259">
        <v>367.3897</v>
      </c>
      <c r="M259">
        <v>0.99977119999999997</v>
      </c>
      <c r="N259">
        <v>-5.9555199999999997E-3</v>
      </c>
      <c r="O259">
        <v>2.0545210000000001E-2</v>
      </c>
      <c r="P259">
        <v>0.99843939999999998</v>
      </c>
      <c r="Q259">
        <v>-4.7223429999999997E-2</v>
      </c>
      <c r="R259">
        <v>2.9812399999999999E-2</v>
      </c>
      <c r="S259">
        <v>3.0074770000000002</v>
      </c>
      <c r="T259">
        <v>-6.0003880000000002E-2</v>
      </c>
      <c r="U259">
        <v>-0.1838379</v>
      </c>
      <c r="V259">
        <v>-9.291522E-3</v>
      </c>
      <c r="W259">
        <v>-4.1274199999999997E-2</v>
      </c>
      <c r="X259">
        <v>0.99910469999999896</v>
      </c>
      <c r="Y259">
        <v>8.1484500000000001E-2</v>
      </c>
      <c r="Z259">
        <v>-1.34224E-3</v>
      </c>
      <c r="AA259">
        <v>0.9966737</v>
      </c>
      <c r="AB259">
        <v>16</v>
      </c>
      <c r="AC259">
        <v>56.011200000000002</v>
      </c>
      <c r="AD259">
        <v>-1.1201667501969901</v>
      </c>
      <c r="AE259">
        <v>-3.4350999999999701</v>
      </c>
      <c r="AF259">
        <v>4.5833308938094399</v>
      </c>
      <c r="AG259">
        <v>-1.1201667501969901</v>
      </c>
      <c r="AH259">
        <v>55.906524372452701</v>
      </c>
      <c r="AI259">
        <v>91.144011845424501</v>
      </c>
      <c r="AJ259">
        <v>85.313256337046695</v>
      </c>
      <c r="AK259">
        <v>56.105268585383698</v>
      </c>
      <c r="AL259">
        <v>92.365509307598899</v>
      </c>
      <c r="AM259">
        <v>90.532826688802103</v>
      </c>
      <c r="AN259">
        <v>1.0000000467643999</v>
      </c>
    </row>
    <row r="260" spans="1:40" x14ac:dyDescent="0.25">
      <c r="A260" t="str">
        <f>"20190303153748178"</f>
        <v>20190303153748178</v>
      </c>
      <c r="B260" t="str">
        <f>"1551598668168993"</f>
        <v>1551598668168993</v>
      </c>
      <c r="C260" t="s">
        <v>40</v>
      </c>
      <c r="D260">
        <v>4.095288</v>
      </c>
      <c r="E260">
        <v>0.53217550000000002</v>
      </c>
      <c r="F260" t="s">
        <v>42</v>
      </c>
      <c r="G260">
        <v>-392.28480000000002</v>
      </c>
      <c r="H260" s="1">
        <v>-4.3056029999999998E-6</v>
      </c>
      <c r="I260">
        <v>363.90269999999998</v>
      </c>
      <c r="J260">
        <v>-452.14400000000001</v>
      </c>
      <c r="K260">
        <v>1.120063</v>
      </c>
      <c r="L260">
        <v>367.39330000000001</v>
      </c>
      <c r="M260">
        <v>0.99977459999999996</v>
      </c>
      <c r="N260">
        <v>-5.0631440000000003E-3</v>
      </c>
      <c r="O260">
        <v>2.0615629999999999E-2</v>
      </c>
      <c r="P260">
        <v>0.99844759999999999</v>
      </c>
      <c r="Q260">
        <v>-4.7356990000000002E-2</v>
      </c>
      <c r="R260">
        <v>2.9325440000000001E-2</v>
      </c>
      <c r="S260">
        <v>3.0072939999999999</v>
      </c>
      <c r="T260">
        <v>-5.6115869999999998E-2</v>
      </c>
      <c r="U260">
        <v>-0.17468259999999999</v>
      </c>
      <c r="V260">
        <v>-8.7346980000000008E-3</v>
      </c>
      <c r="W260">
        <v>-4.229923E-2</v>
      </c>
      <c r="X260">
        <v>0.99906680000000003</v>
      </c>
      <c r="Y260">
        <v>7.8538220000000006E-2</v>
      </c>
      <c r="Z260">
        <v>-1.2111839999999999E-3</v>
      </c>
      <c r="AA260">
        <v>0.99691039999999997</v>
      </c>
      <c r="AB260">
        <v>16</v>
      </c>
      <c r="AC260">
        <v>59.859199999999902</v>
      </c>
      <c r="AD260">
        <v>-1.1200673056029999</v>
      </c>
      <c r="AE260">
        <v>-3.4906000000000201</v>
      </c>
      <c r="AF260">
        <v>4.7222613558813098</v>
      </c>
      <c r="AG260">
        <v>-1.1200673056029999</v>
      </c>
      <c r="AH260">
        <v>59.753665760611</v>
      </c>
      <c r="AI260">
        <v>91.070532041087006</v>
      </c>
      <c r="AJ260">
        <v>85.481373970525894</v>
      </c>
      <c r="AK260">
        <v>59.950436820036103</v>
      </c>
      <c r="AL260">
        <v>92.424290667313301</v>
      </c>
      <c r="AM260">
        <v>90.500916034804504</v>
      </c>
      <c r="AN260">
        <v>0.99999999533499195</v>
      </c>
    </row>
    <row r="261" spans="1:40" x14ac:dyDescent="0.25">
      <c r="A261" t="str">
        <f>"20190303153748199"</f>
        <v>20190303153748199</v>
      </c>
      <c r="B261" t="str">
        <f>"1551598668189492"</f>
        <v>1551598668189492</v>
      </c>
      <c r="C261" t="s">
        <v>40</v>
      </c>
      <c r="D261">
        <v>4.1307419999999997</v>
      </c>
      <c r="E261">
        <v>0.53124309999999997</v>
      </c>
      <c r="F261" t="s">
        <v>42</v>
      </c>
      <c r="G261">
        <v>-392.21010000000001</v>
      </c>
      <c r="H261" s="1">
        <v>-4.30956E-6</v>
      </c>
      <c r="I261">
        <v>364.06099999999998</v>
      </c>
      <c r="J261">
        <v>-451.9864</v>
      </c>
      <c r="K261">
        <v>1.1199730000000001</v>
      </c>
      <c r="L261">
        <v>367.39659999999998</v>
      </c>
      <c r="M261">
        <v>0.99977729999999998</v>
      </c>
      <c r="N261">
        <v>-4.2776510000000004E-3</v>
      </c>
      <c r="O261">
        <v>2.0670999999999998E-2</v>
      </c>
      <c r="P261">
        <v>0.99849500000000002</v>
      </c>
      <c r="Q261">
        <v>-4.6572389999999998E-2</v>
      </c>
      <c r="R261">
        <v>2.8966860000000001E-2</v>
      </c>
      <c r="S261">
        <v>3.006866</v>
      </c>
      <c r="T261">
        <v>-5.6193350000000003E-2</v>
      </c>
      <c r="U261">
        <v>-0.1671753</v>
      </c>
      <c r="V261">
        <v>-8.3202369999999994E-3</v>
      </c>
      <c r="W261">
        <v>-4.2299150000000001E-2</v>
      </c>
      <c r="X261">
        <v>0.99907029999999997</v>
      </c>
      <c r="Y261">
        <v>7.6121140000000004E-2</v>
      </c>
      <c r="Z261">
        <v>-1.1712999999999999E-3</v>
      </c>
      <c r="AA261">
        <v>0.99709789999999998</v>
      </c>
      <c r="AB261">
        <v>17</v>
      </c>
      <c r="AC261">
        <v>59.7762999999999</v>
      </c>
      <c r="AD261">
        <v>-1.1199773095600001</v>
      </c>
      <c r="AE261">
        <v>-3.3355999999999901</v>
      </c>
      <c r="AF261">
        <v>4.5689354172969896</v>
      </c>
      <c r="AG261">
        <v>-1.1199773095600001</v>
      </c>
      <c r="AH261">
        <v>59.673693669251698</v>
      </c>
      <c r="AI261">
        <v>91.072084440323593</v>
      </c>
      <c r="AJ261">
        <v>85.621672619703602</v>
      </c>
      <c r="AK261">
        <v>59.858827554113098</v>
      </c>
      <c r="AL261">
        <v>92.424286178870702</v>
      </c>
      <c r="AM261">
        <v>90.477147047835004</v>
      </c>
      <c r="AN261">
        <v>0.99999995438827305</v>
      </c>
    </row>
    <row r="262" spans="1:40" x14ac:dyDescent="0.25">
      <c r="A262" t="str">
        <f>"20190303153748211"</f>
        <v>20190303153748211</v>
      </c>
      <c r="B262" t="str">
        <f>"1551598668199249"</f>
        <v>1551598668199249</v>
      </c>
      <c r="C262" t="s">
        <v>40</v>
      </c>
      <c r="D262">
        <v>4.108943</v>
      </c>
      <c r="E262">
        <v>0.53084960000000003</v>
      </c>
      <c r="F262" t="s">
        <v>42</v>
      </c>
      <c r="G262">
        <v>-390.4735</v>
      </c>
      <c r="H262" s="1">
        <v>-5.0461139999999998E-6</v>
      </c>
      <c r="I262">
        <v>364.10860000000002</v>
      </c>
      <c r="J262">
        <v>-451.892</v>
      </c>
      <c r="K262">
        <v>1.1199220000000001</v>
      </c>
      <c r="L262">
        <v>367.39859999999999</v>
      </c>
      <c r="M262">
        <v>0.99977850000000001</v>
      </c>
      <c r="N262">
        <v>-3.826398E-3</v>
      </c>
      <c r="O262">
        <v>2.070077E-2</v>
      </c>
      <c r="P262">
        <v>0.99850989999999995</v>
      </c>
      <c r="Q262">
        <v>-4.6385959999999997E-2</v>
      </c>
      <c r="R262">
        <v>2.8751559999999999E-2</v>
      </c>
      <c r="S262">
        <v>3.006561</v>
      </c>
      <c r="T262">
        <v>-5.4741020000000001E-2</v>
      </c>
      <c r="U262">
        <v>-0.1607056</v>
      </c>
      <c r="V262">
        <v>-8.0752810000000001E-3</v>
      </c>
      <c r="W262">
        <v>-4.2563469999999999E-2</v>
      </c>
      <c r="X262">
        <v>0.99906110000000004</v>
      </c>
      <c r="Y262">
        <v>7.401845E-2</v>
      </c>
      <c r="Z262">
        <v>-1.112519E-3</v>
      </c>
      <c r="AA262">
        <v>0.99725629999999998</v>
      </c>
      <c r="AB262">
        <v>17</v>
      </c>
      <c r="AC262">
        <v>61.418500000000002</v>
      </c>
      <c r="AD262">
        <v>-1.1199270461139901</v>
      </c>
      <c r="AE262">
        <v>-3.2899999999999601</v>
      </c>
      <c r="AF262">
        <v>4.5592028501023103</v>
      </c>
      <c r="AG262">
        <v>-1.1199270461139901</v>
      </c>
      <c r="AH262">
        <v>61.316903749162499</v>
      </c>
      <c r="AI262">
        <v>91.043486676861704</v>
      </c>
      <c r="AJ262">
        <v>85.747611928377793</v>
      </c>
      <c r="AK262">
        <v>61.496367800066501</v>
      </c>
      <c r="AL262">
        <v>92.439444212683597</v>
      </c>
      <c r="AM262">
        <v>90.463104252612297</v>
      </c>
      <c r="AN262">
        <v>0.99999997033743904</v>
      </c>
    </row>
    <row r="263" spans="1:40" x14ac:dyDescent="0.25">
      <c r="A263" t="str">
        <f>"20190303153748224"</f>
        <v>20190303153748224</v>
      </c>
      <c r="B263" t="str">
        <f>"1551598668219745"</f>
        <v>1551598668219745</v>
      </c>
      <c r="C263" t="s">
        <v>40</v>
      </c>
      <c r="D263">
        <v>4.1083210000000001</v>
      </c>
      <c r="E263">
        <v>0.53015069999999997</v>
      </c>
      <c r="F263" t="s">
        <v>42</v>
      </c>
      <c r="G263">
        <v>-390.5283</v>
      </c>
      <c r="H263" s="1">
        <v>-5.0139130000000001E-6</v>
      </c>
      <c r="I263">
        <v>364.15769999999998</v>
      </c>
      <c r="J263">
        <v>-451.79599999999999</v>
      </c>
      <c r="K263">
        <v>1.1198760000000001</v>
      </c>
      <c r="L263">
        <v>367.4006</v>
      </c>
      <c r="M263">
        <v>0.99977950000000004</v>
      </c>
      <c r="N263">
        <v>-3.3928180000000001E-3</v>
      </c>
      <c r="O263">
        <v>2.0727430000000002E-2</v>
      </c>
      <c r="P263">
        <v>0.99853939999999997</v>
      </c>
      <c r="Q263">
        <v>-4.5877639999999997E-2</v>
      </c>
      <c r="R263">
        <v>2.8542310000000001E-2</v>
      </c>
      <c r="S263">
        <v>3.0064700000000002</v>
      </c>
      <c r="T263">
        <v>-5.4869889999999998E-2</v>
      </c>
      <c r="U263">
        <v>-0.15878299999999901</v>
      </c>
      <c r="V263">
        <v>-7.8390159999999903E-3</v>
      </c>
      <c r="W263">
        <v>-4.2488190000000002E-2</v>
      </c>
      <c r="X263">
        <v>0.99906620000000002</v>
      </c>
      <c r="Y263">
        <v>7.3410879999999998E-2</v>
      </c>
      <c r="Z263">
        <v>-1.1017679999999999E-3</v>
      </c>
      <c r="AA263">
        <v>0.9973012</v>
      </c>
      <c r="AB263">
        <v>17</v>
      </c>
      <c r="AC263">
        <v>61.267699999999898</v>
      </c>
      <c r="AD263">
        <v>-1.119881013913</v>
      </c>
      <c r="AE263">
        <v>-3.2429000000000201</v>
      </c>
      <c r="AF263">
        <v>4.5106296481698198</v>
      </c>
      <c r="AG263">
        <v>-1.119881013913</v>
      </c>
      <c r="AH263">
        <v>61.166940988314103</v>
      </c>
      <c r="AI263">
        <v>91.046048555933297</v>
      </c>
      <c r="AJ263">
        <v>85.782475094596194</v>
      </c>
      <c r="AK263">
        <v>61.343252140526197</v>
      </c>
      <c r="AL263">
        <v>92.435127047025105</v>
      </c>
      <c r="AM263">
        <v>90.449553108200504</v>
      </c>
      <c r="AN263">
        <v>0.99999998422188197</v>
      </c>
    </row>
    <row r="264" spans="1:40" x14ac:dyDescent="0.25">
      <c r="A264" t="str">
        <f>"20190303153748236"</f>
        <v>20190303153748236</v>
      </c>
      <c r="B264" t="str">
        <f>"1551598668229505"</f>
        <v>1551598668229505</v>
      </c>
      <c r="C264" t="s">
        <v>40</v>
      </c>
      <c r="D264">
        <v>4.1198230000000002</v>
      </c>
      <c r="E264">
        <v>0.5298003</v>
      </c>
      <c r="F264" t="s">
        <v>42</v>
      </c>
      <c r="G264">
        <v>-389.49059999999997</v>
      </c>
      <c r="H264" s="1">
        <v>-1.5959080000000001E-6</v>
      </c>
      <c r="I264">
        <v>364.21730000000002</v>
      </c>
      <c r="J264">
        <v>-451.69889999999998</v>
      </c>
      <c r="K264">
        <v>1.119834</v>
      </c>
      <c r="L264">
        <v>367.40269999999998</v>
      </c>
      <c r="M264">
        <v>0.99978020000000001</v>
      </c>
      <c r="N264">
        <v>-2.974773E-3</v>
      </c>
      <c r="O264">
        <v>2.0752300000000001E-2</v>
      </c>
      <c r="P264">
        <v>0.99855389999999999</v>
      </c>
      <c r="Q264">
        <v>-4.5734749999999998E-2</v>
      </c>
      <c r="R264">
        <v>2.826128E-2</v>
      </c>
      <c r="S264">
        <v>3.0063170000000001</v>
      </c>
      <c r="T264">
        <v>-5.403554E-2</v>
      </c>
      <c r="U264">
        <v>-0.15359500000000001</v>
      </c>
      <c r="V264">
        <v>-7.5335589999999996E-3</v>
      </c>
      <c r="W264">
        <v>-4.27629E-2</v>
      </c>
      <c r="X264">
        <v>0.99905679999999997</v>
      </c>
      <c r="Y264">
        <v>7.1722770000000005E-2</v>
      </c>
      <c r="Z264">
        <v>-1.0619329999999999E-3</v>
      </c>
      <c r="AA264">
        <v>0.99742410000000004</v>
      </c>
      <c r="AB264">
        <v>17</v>
      </c>
      <c r="AC264">
        <v>62.208300000000001</v>
      </c>
      <c r="AD264">
        <v>-1.119835595908</v>
      </c>
      <c r="AE264">
        <v>-3.1853999999999498</v>
      </c>
      <c r="AF264">
        <v>4.4742389709924097</v>
      </c>
      <c r="AG264">
        <v>-1.119835595908</v>
      </c>
      <c r="AH264">
        <v>62.1087248263186</v>
      </c>
      <c r="AI264">
        <v>91.030275765938796</v>
      </c>
      <c r="AJ264">
        <v>85.879597805306105</v>
      </c>
      <c r="AK264">
        <v>62.279744264750903</v>
      </c>
      <c r="AL264">
        <v>92.450881161437593</v>
      </c>
      <c r="AM264">
        <v>90.432040454962504</v>
      </c>
      <c r="AN264">
        <v>0.99999995487692706</v>
      </c>
    </row>
    <row r="265" spans="1:40" x14ac:dyDescent="0.25">
      <c r="A265" t="str">
        <f>"20190303153748250"</f>
        <v>20190303153748250</v>
      </c>
      <c r="B265" t="str">
        <f>"1551598668239265"</f>
        <v>1551598668239265</v>
      </c>
      <c r="C265" t="s">
        <v>40</v>
      </c>
      <c r="D265">
        <v>4.1152550000000003</v>
      </c>
      <c r="E265">
        <v>0.52944729999999995</v>
      </c>
      <c r="F265" t="s">
        <v>42</v>
      </c>
      <c r="G265">
        <v>-388.52949999999998</v>
      </c>
      <c r="H265" s="1">
        <v>-1.9251719999999999E-6</v>
      </c>
      <c r="I265">
        <v>364.20909999999998</v>
      </c>
      <c r="J265">
        <v>-451.59769999999997</v>
      </c>
      <c r="K265">
        <v>1.1197919999999999</v>
      </c>
      <c r="L265">
        <v>367.40480000000002</v>
      </c>
      <c r="M265">
        <v>0.99978100000000003</v>
      </c>
      <c r="N265">
        <v>-2.553718E-3</v>
      </c>
      <c r="O265">
        <v>2.0776559999999999E-2</v>
      </c>
      <c r="P265">
        <v>0.9985676</v>
      </c>
      <c r="Q265">
        <v>-4.5516679999999997E-2</v>
      </c>
      <c r="R265">
        <v>2.8125310000000001E-2</v>
      </c>
      <c r="S265">
        <v>3.006195</v>
      </c>
      <c r="T265">
        <v>-5.3292270000000003E-2</v>
      </c>
      <c r="U265">
        <v>-0.15197749999999999</v>
      </c>
      <c r="V265">
        <v>-7.3729529999999998E-3</v>
      </c>
      <c r="W265">
        <v>-4.2965429999999999E-2</v>
      </c>
      <c r="X265">
        <v>0.99904939999999998</v>
      </c>
      <c r="Y265">
        <v>7.1214360000000004E-2</v>
      </c>
      <c r="Z265">
        <v>-1.0368350000000001E-3</v>
      </c>
      <c r="AA265">
        <v>0.99746049999999997</v>
      </c>
      <c r="AB265">
        <v>17</v>
      </c>
      <c r="AC265">
        <v>63.068199999999898</v>
      </c>
      <c r="AD265">
        <v>-1.1197939251719999</v>
      </c>
      <c r="AE265">
        <v>-3.19570000000004</v>
      </c>
      <c r="AF265">
        <v>4.5039383136001403</v>
      </c>
      <c r="AG265">
        <v>-1.1197939251719999</v>
      </c>
      <c r="AH265">
        <v>62.968390442409699</v>
      </c>
      <c r="AI265">
        <v>91.0162123956909</v>
      </c>
      <c r="AJ265">
        <v>85.9087739285373</v>
      </c>
      <c r="AK265">
        <v>63.139192215891697</v>
      </c>
      <c r="AL265">
        <v>92.462495726413906</v>
      </c>
      <c r="AM265">
        <v>90.422833365865003</v>
      </c>
      <c r="AN265">
        <v>1.0000000461256899</v>
      </c>
    </row>
    <row r="266" spans="1:40" x14ac:dyDescent="0.25">
      <c r="A266" t="str">
        <f>"20190303153748266"</f>
        <v>20190303153748266</v>
      </c>
      <c r="B266" t="str">
        <f>"1551598668259761"</f>
        <v>1551598668259761</v>
      </c>
      <c r="C266" t="s">
        <v>40</v>
      </c>
      <c r="D266">
        <v>4.1555859999999996</v>
      </c>
      <c r="E266">
        <v>0.52880740000000004</v>
      </c>
      <c r="F266" t="s">
        <v>42</v>
      </c>
      <c r="G266">
        <v>-388.56220000000002</v>
      </c>
      <c r="H266" s="1">
        <v>-1.8963810000000001E-6</v>
      </c>
      <c r="I266">
        <v>364.27550000000002</v>
      </c>
      <c r="J266">
        <v>-451.46409999999997</v>
      </c>
      <c r="K266">
        <v>1.119737</v>
      </c>
      <c r="L266">
        <v>367.4076</v>
      </c>
      <c r="M266">
        <v>0.99978149999999999</v>
      </c>
      <c r="N266">
        <v>-2.0418939999999998E-3</v>
      </c>
      <c r="O266">
        <v>2.080487E-2</v>
      </c>
      <c r="P266">
        <v>0.99858440000000004</v>
      </c>
      <c r="Q266">
        <v>-4.5752359999999999E-2</v>
      </c>
      <c r="R266">
        <v>2.7131200000000001E-2</v>
      </c>
      <c r="S266">
        <v>3.0060730000000002</v>
      </c>
      <c r="T266">
        <v>-5.340135E-2</v>
      </c>
      <c r="U266">
        <v>-0.149231</v>
      </c>
      <c r="V266">
        <v>-6.350423E-3</v>
      </c>
      <c r="W266">
        <v>-4.3712460000000002E-2</v>
      </c>
      <c r="X266">
        <v>0.99902400000000002</v>
      </c>
      <c r="Y266">
        <v>7.0335780000000001E-2</v>
      </c>
      <c r="Z266">
        <v>-1.0230759999999999E-3</v>
      </c>
      <c r="AA266">
        <v>0.99752280000000004</v>
      </c>
      <c r="AB266">
        <v>18</v>
      </c>
      <c r="AC266">
        <v>62.901899999999898</v>
      </c>
      <c r="AD266">
        <v>-1.119738896381</v>
      </c>
      <c r="AE266">
        <v>-3.1320999999999799</v>
      </c>
      <c r="AF266">
        <v>4.4386875233135399</v>
      </c>
      <c r="AG266">
        <v>-1.119738896381</v>
      </c>
      <c r="AH266">
        <v>62.803269701559501</v>
      </c>
      <c r="AI266">
        <v>91.018894892974103</v>
      </c>
      <c r="AJ266">
        <v>85.957282495416095</v>
      </c>
      <c r="AK266">
        <v>62.9698852415384</v>
      </c>
      <c r="AL266">
        <v>92.5053376856565</v>
      </c>
      <c r="AM266">
        <v>90.364202997574196</v>
      </c>
      <c r="AN266">
        <v>1.0000000298037599</v>
      </c>
    </row>
    <row r="267" spans="1:40" x14ac:dyDescent="0.25">
      <c r="A267" t="str">
        <f>"20190303153748278"</f>
        <v>20190303153748278</v>
      </c>
      <c r="B267" t="str">
        <f>"1551598668269521"</f>
        <v>1551598668269521</v>
      </c>
      <c r="C267" t="s">
        <v>40</v>
      </c>
      <c r="D267">
        <v>4.1320629999999996</v>
      </c>
      <c r="E267">
        <v>0.5284761</v>
      </c>
      <c r="F267" t="s">
        <v>42</v>
      </c>
      <c r="G267">
        <v>-390.1087</v>
      </c>
      <c r="H267" s="1">
        <v>-5.1509209999999899E-6</v>
      </c>
      <c r="I267">
        <v>364.4</v>
      </c>
      <c r="J267">
        <v>-451.37079999999997</v>
      </c>
      <c r="K267">
        <v>1.1196980000000001</v>
      </c>
      <c r="L267">
        <v>367.40949999999998</v>
      </c>
      <c r="M267">
        <v>0.99978180000000005</v>
      </c>
      <c r="N267">
        <v>-1.70811799999999E-3</v>
      </c>
      <c r="O267">
        <v>2.0823729999999999E-2</v>
      </c>
      <c r="P267">
        <v>0.99857739999999995</v>
      </c>
      <c r="Q267">
        <v>-4.6338369999999997E-2</v>
      </c>
      <c r="R267">
        <v>2.6388129999999999E-2</v>
      </c>
      <c r="S267">
        <v>3.0057680000000002</v>
      </c>
      <c r="T267">
        <v>-5.4855470000000003E-2</v>
      </c>
      <c r="U267">
        <v>-0.14733889999999999</v>
      </c>
      <c r="V267">
        <v>-5.5894279999999996E-3</v>
      </c>
      <c r="W267">
        <v>-4.4631949999999997E-2</v>
      </c>
      <c r="X267">
        <v>0.99898790000000004</v>
      </c>
      <c r="Y267">
        <v>6.9732580000000002E-2</v>
      </c>
      <c r="Z267">
        <v>-1.0397339999999901E-3</v>
      </c>
      <c r="AA267">
        <v>0.99756520000000004</v>
      </c>
      <c r="AB267">
        <v>18</v>
      </c>
      <c r="AC267">
        <v>61.262099999999897</v>
      </c>
      <c r="AD267">
        <v>-1.11970315092099</v>
      </c>
      <c r="AE267">
        <v>-3.0095000000000001</v>
      </c>
      <c r="AF267">
        <v>4.2831272248721897</v>
      </c>
      <c r="AG267">
        <v>-1.11970315092099</v>
      </c>
      <c r="AH267">
        <v>61.1657632211259</v>
      </c>
      <c r="AI267">
        <v>91.046180661806005</v>
      </c>
      <c r="AJ267">
        <v>85.994406633891103</v>
      </c>
      <c r="AK267">
        <v>61.325765420363602</v>
      </c>
      <c r="AL267">
        <v>92.558072032322301</v>
      </c>
      <c r="AM267">
        <v>90.320571743196496</v>
      </c>
      <c r="AN267">
        <v>1.0000000385062799</v>
      </c>
    </row>
    <row r="268" spans="1:40" x14ac:dyDescent="0.25">
      <c r="A268" t="str">
        <f>"20190303153748291"</f>
        <v>20190303153748291</v>
      </c>
      <c r="B268" t="str">
        <f>"1551598668279282"</f>
        <v>1551598668279282</v>
      </c>
      <c r="C268" t="s">
        <v>40</v>
      </c>
      <c r="D268">
        <v>4.1477180000000002</v>
      </c>
      <c r="E268">
        <v>0.52820389999999995</v>
      </c>
      <c r="F268" t="s">
        <v>42</v>
      </c>
      <c r="G268">
        <v>-393.15550000000002</v>
      </c>
      <c r="H268" s="1">
        <v>-3.8153310000000004E-6</v>
      </c>
      <c r="I268">
        <v>364.5609</v>
      </c>
      <c r="J268">
        <v>-451.2647</v>
      </c>
      <c r="K268">
        <v>1.119661</v>
      </c>
      <c r="L268">
        <v>367.4117</v>
      </c>
      <c r="M268">
        <v>0.99978180000000005</v>
      </c>
      <c r="N268">
        <v>-1.3424929999999999E-3</v>
      </c>
      <c r="O268">
        <v>2.0844999999999999E-2</v>
      </c>
      <c r="P268">
        <v>0.99860079999999996</v>
      </c>
      <c r="Q268">
        <v>-4.6412139999999998E-2</v>
      </c>
      <c r="R268">
        <v>2.5346589999999999E-2</v>
      </c>
      <c r="S268">
        <v>3.005493</v>
      </c>
      <c r="T268">
        <v>-5.7806969999999999E-2</v>
      </c>
      <c r="U268">
        <v>-0.14706420000000001</v>
      </c>
      <c r="V268">
        <v>-4.5265890000000001E-3</v>
      </c>
      <c r="W268">
        <v>-4.5070979999999997E-2</v>
      </c>
      <c r="X268">
        <v>0.99897349999999996</v>
      </c>
      <c r="Y268">
        <v>6.9665759999999993E-2</v>
      </c>
      <c r="Z268">
        <v>-1.089018E-3</v>
      </c>
      <c r="AA268">
        <v>0.99756979999999995</v>
      </c>
      <c r="AB268">
        <v>18</v>
      </c>
      <c r="AC268">
        <v>58.109199999999902</v>
      </c>
      <c r="AD268">
        <v>-1.119664815331</v>
      </c>
      <c r="AE268">
        <v>-2.8507999999999898</v>
      </c>
      <c r="AF268">
        <v>4.0599642513613903</v>
      </c>
      <c r="AG268">
        <v>-1.119664815331</v>
      </c>
      <c r="AH268">
        <v>58.015661413412197</v>
      </c>
      <c r="AI268">
        <v>91.102937579328199</v>
      </c>
      <c r="AJ268">
        <v>85.996939609982803</v>
      </c>
      <c r="AK268">
        <v>58.168324097026399</v>
      </c>
      <c r="AL268">
        <v>92.583252118045095</v>
      </c>
      <c r="AM268">
        <v>90.259619169355702</v>
      </c>
      <c r="AN268">
        <v>0.99999996847419204</v>
      </c>
    </row>
    <row r="269" spans="1:40" x14ac:dyDescent="0.25">
      <c r="A269" t="str">
        <f>"20190303153748303"</f>
        <v>20190303153748303</v>
      </c>
      <c r="B269" t="str">
        <f>"1551598668299777"</f>
        <v>1551598668299777</v>
      </c>
      <c r="C269" t="s">
        <v>40</v>
      </c>
      <c r="D269">
        <v>4.1430089999999904</v>
      </c>
      <c r="E269">
        <v>0.52765779999999995</v>
      </c>
      <c r="F269" t="s">
        <v>42</v>
      </c>
      <c r="G269">
        <v>-393.69909999999999</v>
      </c>
      <c r="H269" s="1">
        <v>-3.57871E-6</v>
      </c>
      <c r="I269">
        <v>364.58</v>
      </c>
      <c r="J269">
        <v>-451.16269999999997</v>
      </c>
      <c r="K269">
        <v>1.119629</v>
      </c>
      <c r="L269">
        <v>367.41390000000001</v>
      </c>
      <c r="M269">
        <v>0.99978199999999995</v>
      </c>
      <c r="N269">
        <v>-1.0188899999999999E-3</v>
      </c>
      <c r="O269">
        <v>2.0863909999999999E-2</v>
      </c>
      <c r="P269">
        <v>0.99863170000000001</v>
      </c>
      <c r="Q269">
        <v>-4.6462969999999999E-2</v>
      </c>
      <c r="R269">
        <v>2.4006220000000002E-2</v>
      </c>
      <c r="S269">
        <v>3.0052490000000001</v>
      </c>
      <c r="T269">
        <v>-5.8452730000000001E-2</v>
      </c>
      <c r="U269">
        <v>-0.14782709999999999</v>
      </c>
      <c r="V269">
        <v>-3.1665579999999999E-3</v>
      </c>
      <c r="W269">
        <v>-4.5445100000000002E-2</v>
      </c>
      <c r="X269">
        <v>0.99896180000000001</v>
      </c>
      <c r="Y269">
        <v>6.9940870000000002E-2</v>
      </c>
      <c r="Z269">
        <v>-1.099675E-3</v>
      </c>
      <c r="AA269">
        <v>0.99755050000000001</v>
      </c>
      <c r="AB269">
        <v>18</v>
      </c>
      <c r="AC269">
        <v>57.4635999999999</v>
      </c>
      <c r="AD269">
        <v>-1.1196325787100001</v>
      </c>
      <c r="AE269">
        <v>-2.8339000000000198</v>
      </c>
      <c r="AF269">
        <v>4.0306724296220304</v>
      </c>
      <c r="AG269">
        <v>-1.1196325787100001</v>
      </c>
      <c r="AH269">
        <v>57.370238479826497</v>
      </c>
      <c r="AI269">
        <v>91.115289026297603</v>
      </c>
      <c r="AJ269">
        <v>85.981162594466696</v>
      </c>
      <c r="AK269">
        <v>57.522553494941398</v>
      </c>
      <c r="AL269">
        <v>92.604709569991599</v>
      </c>
      <c r="AM269">
        <v>90.181618357498294</v>
      </c>
      <c r="AN269">
        <v>0.99999998103140797</v>
      </c>
    </row>
    <row r="270" spans="1:40" x14ac:dyDescent="0.25">
      <c r="A270" t="str">
        <f>"20190303153748323"</f>
        <v>20190303153748323</v>
      </c>
      <c r="B270" t="str">
        <f>"1551598668309537"</f>
        <v>1551598668309537</v>
      </c>
      <c r="C270" t="s">
        <v>40</v>
      </c>
      <c r="D270">
        <v>4.1294190000000004</v>
      </c>
      <c r="E270">
        <v>0.52743359999999995</v>
      </c>
      <c r="F270" t="s">
        <v>42</v>
      </c>
      <c r="G270">
        <v>-394.19</v>
      </c>
      <c r="H270" s="1">
        <v>-3.3626959999999999E-6</v>
      </c>
      <c r="I270">
        <v>364.61059999999998</v>
      </c>
      <c r="J270">
        <v>-451.01</v>
      </c>
      <c r="K270">
        <v>1.1195839999999999</v>
      </c>
      <c r="L270">
        <v>367.4171</v>
      </c>
      <c r="M270">
        <v>0.9997817</v>
      </c>
      <c r="N270">
        <v>-5.7113620000000004E-4</v>
      </c>
      <c r="O270">
        <v>2.0892589999999999E-2</v>
      </c>
      <c r="P270">
        <v>0.99869450000000004</v>
      </c>
      <c r="Q270">
        <v>-4.6048850000000002E-2</v>
      </c>
      <c r="R270">
        <v>2.210999E-2</v>
      </c>
      <c r="S270">
        <v>3.0049440000000001</v>
      </c>
      <c r="T270">
        <v>-5.9053420000000002E-2</v>
      </c>
      <c r="U270">
        <v>-0.14785770000000001</v>
      </c>
      <c r="V270">
        <v>-1.2407010000000001E-3</v>
      </c>
      <c r="W270">
        <v>-4.5478299999999999E-2</v>
      </c>
      <c r="X270">
        <v>0.99896450000000003</v>
      </c>
      <c r="Y270">
        <v>6.9984309999999994E-2</v>
      </c>
      <c r="Z270">
        <v>-1.1055889999999999E-3</v>
      </c>
      <c r="AA270">
        <v>0.99754750000000003</v>
      </c>
      <c r="AB270">
        <v>18</v>
      </c>
      <c r="AC270">
        <v>56.819999999999901</v>
      </c>
      <c r="AD270">
        <v>-1.119587362696</v>
      </c>
      <c r="AE270">
        <v>-2.8065000000000202</v>
      </c>
      <c r="AF270">
        <v>3.9914584891464799</v>
      </c>
      <c r="AG270">
        <v>-1.119587362696</v>
      </c>
      <c r="AH270">
        <v>56.726991858743503</v>
      </c>
      <c r="AI270">
        <v>91.127878564211898</v>
      </c>
      <c r="AJ270">
        <v>85.9751535849948</v>
      </c>
      <c r="AK270">
        <v>56.878263177379502</v>
      </c>
      <c r="AL270">
        <v>92.606613856096502</v>
      </c>
      <c r="AM270">
        <v>90.071160581168201</v>
      </c>
      <c r="AN270">
        <v>0.99999994368505396</v>
      </c>
    </row>
    <row r="271" spans="1:40" x14ac:dyDescent="0.25">
      <c r="A271" t="str">
        <f>"20190303153748337"</f>
        <v>20190303153748337</v>
      </c>
      <c r="B271" t="str">
        <f>"1551598668329058"</f>
        <v>1551598668329058</v>
      </c>
      <c r="C271" t="s">
        <v>40</v>
      </c>
      <c r="D271">
        <v>4.1792439999999997</v>
      </c>
      <c r="E271">
        <v>0.52723030000000004</v>
      </c>
      <c r="F271" t="s">
        <v>42</v>
      </c>
      <c r="G271">
        <v>-389.58659999999998</v>
      </c>
      <c r="H271" s="1">
        <v>-1.534682E-6</v>
      </c>
      <c r="I271">
        <v>364.32470000000001</v>
      </c>
      <c r="J271">
        <v>-450.88619999999997</v>
      </c>
      <c r="K271">
        <v>1.1195550000000001</v>
      </c>
      <c r="L271">
        <v>367.41980000000001</v>
      </c>
      <c r="M271">
        <v>0.99978140000000004</v>
      </c>
      <c r="N271">
        <v>-2.4195409999999999E-4</v>
      </c>
      <c r="O271">
        <v>2.0916029999999999E-2</v>
      </c>
      <c r="P271">
        <v>0.998722</v>
      </c>
      <c r="Q271">
        <v>-4.5882220000000001E-2</v>
      </c>
      <c r="R271">
        <v>2.120791E-2</v>
      </c>
      <c r="S271">
        <v>3.0047299999999999</v>
      </c>
      <c r="T271">
        <v>-5.4768200000000003E-2</v>
      </c>
      <c r="U271">
        <v>-0.15127560000000001</v>
      </c>
      <c r="V271">
        <v>-3.151626E-4</v>
      </c>
      <c r="W271">
        <v>-4.5640500000000001E-2</v>
      </c>
      <c r="X271">
        <v>0.99895789999999995</v>
      </c>
      <c r="Y271">
        <v>7.1145399999999998E-2</v>
      </c>
      <c r="Z271">
        <v>-1.0324869999999999E-3</v>
      </c>
      <c r="AA271">
        <v>0.99746539999999995</v>
      </c>
      <c r="AB271">
        <v>18</v>
      </c>
      <c r="AC271">
        <v>61.299599999999998</v>
      </c>
      <c r="AD271">
        <v>-1.11955653468199</v>
      </c>
      <c r="AE271">
        <v>-3.0951</v>
      </c>
      <c r="AF271">
        <v>4.3751113052104804</v>
      </c>
      <c r="AG271">
        <v>-1.11955653468199</v>
      </c>
      <c r="AH271">
        <v>61.201090203454299</v>
      </c>
      <c r="AI271">
        <v>91.045332412355293</v>
      </c>
      <c r="AJ271">
        <v>85.9110255334257</v>
      </c>
      <c r="AK271">
        <v>61.367486895412902</v>
      </c>
      <c r="AL271">
        <v>92.615916691569097</v>
      </c>
      <c r="AM271">
        <v>90.018076323578001</v>
      </c>
      <c r="AN271">
        <v>1.0000000202700601</v>
      </c>
    </row>
    <row r="272" spans="1:40" x14ac:dyDescent="0.25">
      <c r="A272" t="str">
        <f>"20190303153748359"</f>
        <v>20190303153748359</v>
      </c>
      <c r="B272" t="str">
        <f>"1551598668349553"</f>
        <v>1551598668349553</v>
      </c>
      <c r="C272" t="s">
        <v>40</v>
      </c>
      <c r="D272">
        <v>4.1310419999999999</v>
      </c>
      <c r="E272">
        <v>0.51067580000000001</v>
      </c>
      <c r="F272" t="s">
        <v>42</v>
      </c>
      <c r="G272">
        <v>-385.86860000000001</v>
      </c>
      <c r="H272" s="1">
        <v>-2.854097E-6</v>
      </c>
      <c r="I272">
        <v>364.12119999999999</v>
      </c>
      <c r="J272">
        <v>-450.7022</v>
      </c>
      <c r="K272">
        <v>1.1195219999999999</v>
      </c>
      <c r="L272">
        <v>367.42360000000002</v>
      </c>
      <c r="M272">
        <v>0.99978049999999996</v>
      </c>
      <c r="N272">
        <v>1.9386370000000001E-4</v>
      </c>
      <c r="O272">
        <v>2.0950730000000001E-2</v>
      </c>
      <c r="P272">
        <v>0.99872320000000003</v>
      </c>
      <c r="Q272">
        <v>-4.6103440000000002E-2</v>
      </c>
      <c r="R272">
        <v>2.0663600000000001E-2</v>
      </c>
      <c r="S272">
        <v>3.0047000000000001</v>
      </c>
      <c r="T272">
        <v>-5.1738739999999998E-2</v>
      </c>
      <c r="U272">
        <v>-0.1524353</v>
      </c>
      <c r="V272">
        <v>2.6409460000000002E-4</v>
      </c>
      <c r="W272">
        <v>-4.6297100000000001E-2</v>
      </c>
      <c r="X272">
        <v>0.99892769999999997</v>
      </c>
      <c r="Y272">
        <v>7.1566190000000002E-2</v>
      </c>
      <c r="Z272">
        <v>-9.7335960000000002E-4</v>
      </c>
      <c r="AA272">
        <v>0.99743539999999997</v>
      </c>
      <c r="AB272">
        <v>19</v>
      </c>
      <c r="AC272">
        <v>64.833599999999905</v>
      </c>
      <c r="AD272">
        <v>-1.119524854097</v>
      </c>
      <c r="AE272">
        <v>-3.3024000000000302</v>
      </c>
      <c r="AF272">
        <v>4.6586009445540597</v>
      </c>
      <c r="AG272">
        <v>-1.119524854097</v>
      </c>
      <c r="AH272">
        <v>64.730930921367801</v>
      </c>
      <c r="AI272">
        <v>90.988279156546398</v>
      </c>
      <c r="AJ272">
        <v>85.883594412298905</v>
      </c>
      <c r="AK272">
        <v>64.908006567806595</v>
      </c>
      <c r="AL272">
        <v>92.653576911173104</v>
      </c>
      <c r="AM272">
        <v>89.984852251449496</v>
      </c>
      <c r="AN272">
        <v>1.0000000205208199</v>
      </c>
    </row>
    <row r="273" spans="1:40" x14ac:dyDescent="0.25">
      <c r="A273" t="str">
        <f>"20190303153748372"</f>
        <v>20190303153748372</v>
      </c>
      <c r="B273" t="str">
        <f>"1551598668359314"</f>
        <v>1551598668359314</v>
      </c>
      <c r="C273" t="s">
        <v>40</v>
      </c>
      <c r="D273">
        <v>4.116447</v>
      </c>
      <c r="E273">
        <v>0.508378</v>
      </c>
      <c r="F273" t="s">
        <v>41</v>
      </c>
      <c r="G273">
        <v>-158.19499999999999</v>
      </c>
      <c r="H273">
        <v>5.6298620000000001</v>
      </c>
      <c r="I273">
        <v>365.39269999999999</v>
      </c>
      <c r="J273">
        <v>-450.59480000000002</v>
      </c>
      <c r="K273">
        <v>1.1195040000000001</v>
      </c>
      <c r="L273">
        <v>367.42590000000001</v>
      </c>
      <c r="M273">
        <v>0.99978</v>
      </c>
      <c r="N273">
        <v>4.236558E-4</v>
      </c>
      <c r="O273">
        <v>2.097137E-2</v>
      </c>
      <c r="P273">
        <v>0.99871589999999999</v>
      </c>
      <c r="Q273">
        <v>-4.632936E-2</v>
      </c>
      <c r="R273">
        <v>2.050519E-2</v>
      </c>
      <c r="S273">
        <v>3.0063780000000002</v>
      </c>
      <c r="T273">
        <v>4.6357990000000002E-2</v>
      </c>
      <c r="U273">
        <v>-2.087402E-2</v>
      </c>
      <c r="V273">
        <v>4.4318269999999999E-4</v>
      </c>
      <c r="W273">
        <v>-4.6752559999999999E-2</v>
      </c>
      <c r="X273">
        <v>0.99890639999999997</v>
      </c>
      <c r="Y273">
        <v>2.790666E-2</v>
      </c>
      <c r="Z273">
        <v>5.355119E-4</v>
      </c>
      <c r="AA273">
        <v>0.99961040000000001</v>
      </c>
      <c r="AB273">
        <v>19</v>
      </c>
      <c r="AC273">
        <v>292.39980000000003</v>
      </c>
      <c r="AD273">
        <v>4.5103580000000001</v>
      </c>
      <c r="AE273">
        <v>-2.0332000000000199</v>
      </c>
      <c r="AF273">
        <v>8.1628355422105194</v>
      </c>
      <c r="AG273">
        <v>4.5103580000000001</v>
      </c>
      <c r="AH273">
        <v>292.22332712464402</v>
      </c>
      <c r="AI273">
        <v>89.116075973556207</v>
      </c>
      <c r="AJ273">
        <v>88.3999414358547</v>
      </c>
      <c r="AK273">
        <v>292.37210559349501</v>
      </c>
      <c r="AL273">
        <v>92.679701198395804</v>
      </c>
      <c r="AM273">
        <v>89.974579703766906</v>
      </c>
      <c r="AN273">
        <v>0.99999999711920895</v>
      </c>
    </row>
    <row r="274" spans="1:40" x14ac:dyDescent="0.25">
      <c r="A274" t="str">
        <f>"20190303153748390"</f>
        <v>20190303153748390</v>
      </c>
      <c r="B274" t="str">
        <f>"1551598668378834"</f>
        <v>1551598668378834</v>
      </c>
      <c r="C274" t="s">
        <v>40</v>
      </c>
      <c r="D274">
        <v>4.126824</v>
      </c>
      <c r="E274">
        <v>0.50572170000000005</v>
      </c>
      <c r="F274" t="s">
        <v>41</v>
      </c>
      <c r="G274">
        <v>-158.19499999999999</v>
      </c>
      <c r="H274">
        <v>6.1385199999999998</v>
      </c>
      <c r="I274">
        <v>367.1232</v>
      </c>
      <c r="J274">
        <v>-450.43860000000001</v>
      </c>
      <c r="K274">
        <v>1.1194820000000001</v>
      </c>
      <c r="L274">
        <v>367.42919999999998</v>
      </c>
      <c r="M274">
        <v>0.99977919999999998</v>
      </c>
      <c r="N274">
        <v>7.2066489999999997E-4</v>
      </c>
      <c r="O274">
        <v>2.100198E-2</v>
      </c>
      <c r="P274">
        <v>0.99871650000000001</v>
      </c>
      <c r="Q274">
        <v>-4.6217090000000002E-2</v>
      </c>
      <c r="R274">
        <v>2.0729919999999999E-2</v>
      </c>
      <c r="S274">
        <v>3.0063170000000001</v>
      </c>
      <c r="T274">
        <v>5.1604030000000002E-2</v>
      </c>
      <c r="U274">
        <v>-3.112793E-3</v>
      </c>
      <c r="V274">
        <v>2.491878E-4</v>
      </c>
      <c r="W274">
        <v>-4.6936970000000001E-2</v>
      </c>
      <c r="X274">
        <v>0.99889790000000001</v>
      </c>
      <c r="Y274">
        <v>2.2030950000000001E-2</v>
      </c>
      <c r="Z274">
        <v>5.423305E-4</v>
      </c>
      <c r="AA274">
        <v>0.99975720000000001</v>
      </c>
      <c r="AB274">
        <v>19</v>
      </c>
      <c r="AC274">
        <v>292.24360000000001</v>
      </c>
      <c r="AD274">
        <v>5.0190380000000001</v>
      </c>
      <c r="AE274">
        <v>-0.30599999999998301</v>
      </c>
      <c r="AF274">
        <v>6.4417281888084101</v>
      </c>
      <c r="AG274">
        <v>5.0190380000000001</v>
      </c>
      <c r="AH274">
        <v>292.0865630449</v>
      </c>
      <c r="AI274">
        <v>89.0158003015719</v>
      </c>
      <c r="AJ274">
        <v>88.736593657543594</v>
      </c>
      <c r="AK274">
        <v>292.20069629603302</v>
      </c>
      <c r="AL274">
        <v>92.690278507768099</v>
      </c>
      <c r="AM274">
        <v>89.985706838556794</v>
      </c>
      <c r="AN274">
        <v>1.00000007793587</v>
      </c>
    </row>
    <row r="275" spans="1:40" x14ac:dyDescent="0.25">
      <c r="A275" t="str">
        <f>"20190303153748403"</f>
        <v>20190303153748403</v>
      </c>
      <c r="B275" t="str">
        <f>"1551598668389569"</f>
        <v>1551598668389569</v>
      </c>
      <c r="C275" t="s">
        <v>40</v>
      </c>
      <c r="D275">
        <v>4.1418929999999996</v>
      </c>
      <c r="E275">
        <v>0.50504329999999997</v>
      </c>
      <c r="F275" t="s">
        <v>41</v>
      </c>
      <c r="G275">
        <v>-158.78319999999999</v>
      </c>
      <c r="H275">
        <v>6.3537499999999998</v>
      </c>
      <c r="I275">
        <v>369.30059999999997</v>
      </c>
      <c r="J275">
        <v>-450.32409999999999</v>
      </c>
      <c r="K275">
        <v>1.1194660000000001</v>
      </c>
      <c r="L275">
        <v>367.4316</v>
      </c>
      <c r="M275">
        <v>0.99977859999999996</v>
      </c>
      <c r="N275">
        <v>9.0896339999999996E-4</v>
      </c>
      <c r="O275">
        <v>2.1025450000000001E-2</v>
      </c>
      <c r="P275">
        <v>0.99869699999999995</v>
      </c>
      <c r="Q275">
        <v>-4.640503E-2</v>
      </c>
      <c r="R275">
        <v>2.123336E-2</v>
      </c>
      <c r="S275">
        <v>3.005951</v>
      </c>
      <c r="T275">
        <v>5.3947929999999998E-2</v>
      </c>
      <c r="U275">
        <v>1.928711E-2</v>
      </c>
      <c r="V275">
        <v>-2.3083239999999999E-4</v>
      </c>
      <c r="W275">
        <v>-4.7313000000000001E-2</v>
      </c>
      <c r="X275">
        <v>0.99888010000000005</v>
      </c>
      <c r="Y275">
        <v>1.460474E-2</v>
      </c>
      <c r="Z275">
        <v>4.9585440000000003E-4</v>
      </c>
      <c r="AA275">
        <v>0.99989320000000004</v>
      </c>
      <c r="AB275">
        <v>19</v>
      </c>
      <c r="AC275">
        <v>291.54090000000002</v>
      </c>
      <c r="AD275">
        <v>5.2342839999999997</v>
      </c>
      <c r="AE275">
        <v>1.86899999999997</v>
      </c>
      <c r="AF275">
        <v>4.2598208057837903</v>
      </c>
      <c r="AG275">
        <v>5.2342839999999997</v>
      </c>
      <c r="AH275">
        <v>291.42181538843801</v>
      </c>
      <c r="AI275">
        <v>88.971119874393807</v>
      </c>
      <c r="AJ275">
        <v>89.162545973796199</v>
      </c>
      <c r="AK275">
        <v>291.49994560305402</v>
      </c>
      <c r="AL275">
        <v>92.7118475754976</v>
      </c>
      <c r="AM275">
        <v>90.013240550151494</v>
      </c>
      <c r="AN275">
        <v>1.0000000137142999</v>
      </c>
    </row>
    <row r="276" spans="1:40" x14ac:dyDescent="0.25">
      <c r="A276" t="str">
        <f>"20190303153748415"</f>
        <v>20190303153748415</v>
      </c>
      <c r="B276" t="str">
        <f>"1551598668409089"</f>
        <v>1551598668409089</v>
      </c>
      <c r="C276" t="s">
        <v>40</v>
      </c>
      <c r="D276">
        <v>4.1345070000000002</v>
      </c>
      <c r="E276">
        <v>0.50390900000000005</v>
      </c>
      <c r="F276" t="s">
        <v>41</v>
      </c>
      <c r="G276">
        <v>-158.78319999999999</v>
      </c>
      <c r="H276">
        <v>6.143338</v>
      </c>
      <c r="I276">
        <v>369.97129999999999</v>
      </c>
      <c r="J276">
        <v>-450.21660000000003</v>
      </c>
      <c r="K276">
        <v>1.1194519999999999</v>
      </c>
      <c r="L276">
        <v>367.43389999999999</v>
      </c>
      <c r="M276">
        <v>0.99977800000000006</v>
      </c>
      <c r="N276">
        <v>1.0730589999999999E-3</v>
      </c>
      <c r="O276">
        <v>2.1047360000000001E-2</v>
      </c>
      <c r="P276">
        <v>0.99866679999999997</v>
      </c>
      <c r="Q276">
        <v>-4.6754089999999998E-2</v>
      </c>
      <c r="R276">
        <v>2.1879679999999999E-2</v>
      </c>
      <c r="S276">
        <v>3.0057680000000002</v>
      </c>
      <c r="T276">
        <v>5.1796670000000003E-2</v>
      </c>
      <c r="U276">
        <v>2.6184079999999998E-2</v>
      </c>
      <c r="V276">
        <v>-8.5572109999999997E-4</v>
      </c>
      <c r="W276">
        <v>-4.7825939999999997E-2</v>
      </c>
      <c r="X276">
        <v>0.9988553</v>
      </c>
      <c r="Y276">
        <v>1.2332859999999999E-2</v>
      </c>
      <c r="Z276">
        <v>4.5292029999999999E-4</v>
      </c>
      <c r="AA276">
        <v>0.99992380000000003</v>
      </c>
      <c r="AB276">
        <v>19</v>
      </c>
      <c r="AC276">
        <v>291.43340000000001</v>
      </c>
      <c r="AD276">
        <v>5.0238860000000001</v>
      </c>
      <c r="AE276">
        <v>2.5373999999999901</v>
      </c>
      <c r="AF276">
        <v>3.5960001816659299</v>
      </c>
      <c r="AG276">
        <v>5.0238860000000001</v>
      </c>
      <c r="AH276">
        <v>291.335678292772</v>
      </c>
      <c r="AI276">
        <v>89.012146328891802</v>
      </c>
      <c r="AJ276">
        <v>89.292825470969504</v>
      </c>
      <c r="AK276">
        <v>291.401180667061</v>
      </c>
      <c r="AL276">
        <v>92.741270269145502</v>
      </c>
      <c r="AM276">
        <v>90.049085383513997</v>
      </c>
      <c r="AN276">
        <v>0.99999998156678704</v>
      </c>
    </row>
    <row r="277" spans="1:40" x14ac:dyDescent="0.25">
      <c r="A277" t="str">
        <f>"20190303153748433"</f>
        <v>20190303153748433</v>
      </c>
      <c r="B277" t="str">
        <f>"1551598668429585"</f>
        <v>1551598668429585</v>
      </c>
      <c r="C277" t="s">
        <v>40</v>
      </c>
      <c r="D277">
        <v>4.1406869999999998</v>
      </c>
      <c r="E277">
        <v>0.50329330000000005</v>
      </c>
      <c r="F277" t="s">
        <v>41</v>
      </c>
      <c r="G277">
        <v>-158.19499999999999</v>
      </c>
      <c r="H277">
        <v>6.1657099999999998</v>
      </c>
      <c r="I277">
        <v>371.06310000000002</v>
      </c>
      <c r="J277">
        <v>-450.05739999999997</v>
      </c>
      <c r="K277">
        <v>1.1194309999999901</v>
      </c>
      <c r="L277">
        <v>367.43729999999999</v>
      </c>
      <c r="M277">
        <v>0.99977689999999997</v>
      </c>
      <c r="N277">
        <v>1.2894969999999999E-3</v>
      </c>
      <c r="O277">
        <v>2.1080419999999999E-2</v>
      </c>
      <c r="P277">
        <v>0.99860170000000004</v>
      </c>
      <c r="Q277">
        <v>-4.724565E-2</v>
      </c>
      <c r="R277">
        <v>2.372051E-2</v>
      </c>
      <c r="S277">
        <v>3.005646</v>
      </c>
      <c r="T277">
        <v>5.1939730000000003E-2</v>
      </c>
      <c r="U277">
        <v>3.7353520000000001E-2</v>
      </c>
      <c r="V277">
        <v>-2.6641059999999999E-3</v>
      </c>
      <c r="W277">
        <v>-4.8533670000000001E-2</v>
      </c>
      <c r="X277">
        <v>0.99881799999999998</v>
      </c>
      <c r="Y277">
        <v>8.6506699999999992E-3</v>
      </c>
      <c r="Z277">
        <v>4.1734360000000002E-4</v>
      </c>
      <c r="AA277">
        <v>0.99996249999999998</v>
      </c>
      <c r="AB277">
        <v>20</v>
      </c>
      <c r="AC277">
        <v>291.86239999999998</v>
      </c>
      <c r="AD277">
        <v>5.0462790000000002</v>
      </c>
      <c r="AE277">
        <v>3.6258000000000199</v>
      </c>
      <c r="AF277">
        <v>2.5268378620483798</v>
      </c>
      <c r="AG277">
        <v>5.0462790000000002</v>
      </c>
      <c r="AH277">
        <v>291.78676291305902</v>
      </c>
      <c r="AI277">
        <v>89.009239392299705</v>
      </c>
      <c r="AJ277">
        <v>89.503837923927193</v>
      </c>
      <c r="AK277">
        <v>291.841335065149</v>
      </c>
      <c r="AL277">
        <v>92.781867291424703</v>
      </c>
      <c r="AM277">
        <v>90.1528223039615</v>
      </c>
      <c r="AN277">
        <v>1.00000000585422</v>
      </c>
    </row>
    <row r="278" spans="1:40" x14ac:dyDescent="0.25">
      <c r="A278" t="str">
        <f>"20190303153748446"</f>
        <v>20190303153748446</v>
      </c>
      <c r="B278" t="str">
        <f>"1551598668439346"</f>
        <v>1551598668439346</v>
      </c>
      <c r="C278" t="s">
        <v>40</v>
      </c>
      <c r="D278">
        <v>4.147964</v>
      </c>
      <c r="E278">
        <v>0.50306779999999995</v>
      </c>
      <c r="F278" t="s">
        <v>41</v>
      </c>
      <c r="G278">
        <v>-158.19499999999999</v>
      </c>
      <c r="H278">
        <v>6.1344979999999998</v>
      </c>
      <c r="I278">
        <v>372.08409999999998</v>
      </c>
      <c r="J278">
        <v>-449.94380000000001</v>
      </c>
      <c r="K278">
        <v>1.11941</v>
      </c>
      <c r="L278">
        <v>367.43979999999999</v>
      </c>
      <c r="M278">
        <v>0.99977640000000001</v>
      </c>
      <c r="N278">
        <v>1.4251239999999901E-3</v>
      </c>
      <c r="O278">
        <v>2.1104049999999999E-2</v>
      </c>
      <c r="P278">
        <v>0.9985598</v>
      </c>
      <c r="Q278">
        <v>-4.7555819999999999E-2</v>
      </c>
      <c r="R278">
        <v>2.4843150000000001E-2</v>
      </c>
      <c r="S278">
        <v>3.0055540000000001</v>
      </c>
      <c r="T278">
        <v>5.1645280000000002E-2</v>
      </c>
      <c r="U278">
        <v>4.7851560000000001E-2</v>
      </c>
      <c r="V278">
        <v>-3.763738E-3</v>
      </c>
      <c r="W278">
        <v>-4.8979300000000003E-2</v>
      </c>
      <c r="X278">
        <v>0.99879269999999998</v>
      </c>
      <c r="Y278">
        <v>5.1824690000000003E-3</v>
      </c>
      <c r="Z278">
        <v>3.8068990000000001E-4</v>
      </c>
      <c r="AA278">
        <v>0.9999865</v>
      </c>
      <c r="AB278">
        <v>20</v>
      </c>
      <c r="AC278">
        <v>291.74880000000002</v>
      </c>
      <c r="AD278">
        <v>5.0150879999999898</v>
      </c>
      <c r="AE278">
        <v>4.6442999999999799</v>
      </c>
      <c r="AF278">
        <v>1.5133739975048599</v>
      </c>
      <c r="AG278">
        <v>5.0150879999999898</v>
      </c>
      <c r="AH278">
        <v>291.69566604401098</v>
      </c>
      <c r="AI278">
        <v>89.015030950806107</v>
      </c>
      <c r="AJ278">
        <v>89.702740990055602</v>
      </c>
      <c r="AK278">
        <v>291.74269998984198</v>
      </c>
      <c r="AL278">
        <v>92.807430435346902</v>
      </c>
      <c r="AM278">
        <v>90.215905945124106</v>
      </c>
      <c r="AN278">
        <v>0.99999999756275604</v>
      </c>
    </row>
    <row r="279" spans="1:40" x14ac:dyDescent="0.25">
      <c r="A279" t="str">
        <f>"20190303153748458"</f>
        <v>20190303153748458</v>
      </c>
      <c r="B279" t="str">
        <f>"1551598668449105"</f>
        <v>1551598668449105</v>
      </c>
      <c r="C279" t="s">
        <v>40</v>
      </c>
      <c r="D279">
        <v>4.1547080000000003</v>
      </c>
      <c r="E279">
        <v>0.50281719999999996</v>
      </c>
      <c r="F279" t="s">
        <v>41</v>
      </c>
      <c r="G279">
        <v>-158.19499999999999</v>
      </c>
      <c r="H279">
        <v>6.039644</v>
      </c>
      <c r="I279">
        <v>372.54410000000001</v>
      </c>
      <c r="J279">
        <v>-449.827</v>
      </c>
      <c r="K279">
        <v>1.1193930000000001</v>
      </c>
      <c r="L279">
        <v>367.44220000000001</v>
      </c>
      <c r="M279">
        <v>0.99977559999999999</v>
      </c>
      <c r="N279">
        <v>1.5480629999999999E-3</v>
      </c>
      <c r="O279">
        <v>2.112845E-2</v>
      </c>
      <c r="P279">
        <v>0.99853040000000004</v>
      </c>
      <c r="Q279">
        <v>-4.7645609999999998E-2</v>
      </c>
      <c r="R279">
        <v>2.582483E-2</v>
      </c>
      <c r="S279">
        <v>3.0054319999999999</v>
      </c>
      <c r="T279">
        <v>5.068636E-2</v>
      </c>
      <c r="U279">
        <v>5.2581790000000003E-2</v>
      </c>
      <c r="V279">
        <v>-4.721449E-3</v>
      </c>
      <c r="W279">
        <v>-4.9191899999999997E-2</v>
      </c>
      <c r="X279">
        <v>0.99877819999999995</v>
      </c>
      <c r="Y279">
        <v>3.6332019999999999E-3</v>
      </c>
      <c r="Z279">
        <v>3.569787E-4</v>
      </c>
      <c r="AA279">
        <v>0.99999329999999997</v>
      </c>
      <c r="AB279">
        <v>20</v>
      </c>
      <c r="AC279">
        <v>291.63200000000001</v>
      </c>
      <c r="AD279">
        <v>4.9202510000000004</v>
      </c>
      <c r="AE279">
        <v>5.1018999999999997</v>
      </c>
      <c r="AF279">
        <v>1.0606764128900901</v>
      </c>
      <c r="AG279">
        <v>4.9202510000000004</v>
      </c>
      <c r="AH279">
        <v>291.59171917600401</v>
      </c>
      <c r="AI279">
        <v>89.033302448341601</v>
      </c>
      <c r="AJ279">
        <v>89.791585254816297</v>
      </c>
      <c r="AK279">
        <v>291.63515665360597</v>
      </c>
      <c r="AL279">
        <v>92.819626172976598</v>
      </c>
      <c r="AM279">
        <v>90.270848007943798</v>
      </c>
      <c r="AN279">
        <v>1.0000000139507501</v>
      </c>
    </row>
    <row r="280" spans="1:40" x14ac:dyDescent="0.25">
      <c r="A280" t="str">
        <f>"20190303153748470"</f>
        <v>20190303153748470</v>
      </c>
      <c r="B280" t="str">
        <f>"1551598668458866"</f>
        <v>1551598668458866</v>
      </c>
      <c r="C280" t="s">
        <v>40</v>
      </c>
      <c r="D280">
        <v>4.155786</v>
      </c>
      <c r="E280">
        <v>0.50258549999999902</v>
      </c>
      <c r="F280" t="s">
        <v>41</v>
      </c>
      <c r="G280">
        <v>-158.19499999999999</v>
      </c>
      <c r="H280">
        <v>5.9999330000000004</v>
      </c>
      <c r="I280">
        <v>373.01260000000002</v>
      </c>
      <c r="J280">
        <v>-449.72129999999999</v>
      </c>
      <c r="K280">
        <v>1.11937999999999</v>
      </c>
      <c r="L280">
        <v>367.44450000000001</v>
      </c>
      <c r="M280">
        <v>0.99977499999999997</v>
      </c>
      <c r="N280">
        <v>1.6519799999999999E-3</v>
      </c>
      <c r="O280">
        <v>2.115036E-2</v>
      </c>
      <c r="P280">
        <v>0.99849739999999998</v>
      </c>
      <c r="Q280">
        <v>-4.7885690000000002E-2</v>
      </c>
      <c r="R280">
        <v>2.6640230000000001E-2</v>
      </c>
      <c r="S280">
        <v>3.005341</v>
      </c>
      <c r="T280">
        <v>5.0296069999999998E-2</v>
      </c>
      <c r="U280">
        <v>5.7403559999999999E-2</v>
      </c>
      <c r="V280">
        <v>-5.5152689999999997E-3</v>
      </c>
      <c r="W280">
        <v>-4.9535759999999998E-2</v>
      </c>
      <c r="X280">
        <v>0.99875709999999995</v>
      </c>
      <c r="Y280">
        <v>2.051045E-3</v>
      </c>
      <c r="Z280">
        <v>3.377845E-4</v>
      </c>
      <c r="AA280">
        <v>0.9999979</v>
      </c>
      <c r="AB280">
        <v>20</v>
      </c>
      <c r="AC280">
        <v>291.52629999999999</v>
      </c>
      <c r="AD280">
        <v>4.8805529999999999</v>
      </c>
      <c r="AE280">
        <v>5.56810000000001</v>
      </c>
      <c r="AF280">
        <v>0.59887201225105502</v>
      </c>
      <c r="AG280">
        <v>4.8805529999999999</v>
      </c>
      <c r="AH280">
        <v>291.49718540641197</v>
      </c>
      <c r="AI280">
        <v>89.040785342084206</v>
      </c>
      <c r="AJ280">
        <v>89.882287746804806</v>
      </c>
      <c r="AK280">
        <v>291.53865531886697</v>
      </c>
      <c r="AL280">
        <v>92.8393520522404</v>
      </c>
      <c r="AM280">
        <v>90.316391667796296</v>
      </c>
      <c r="AN280">
        <v>0.99999997725566403</v>
      </c>
    </row>
    <row r="281" spans="1:40" x14ac:dyDescent="0.25">
      <c r="A281" t="str">
        <f>"20190303153748482"</f>
        <v>20190303153748482</v>
      </c>
      <c r="B281" t="str">
        <f>"1551598668469603"</f>
        <v>1551598668469603</v>
      </c>
      <c r="C281" t="s">
        <v>40</v>
      </c>
      <c r="D281">
        <v>4.127872</v>
      </c>
      <c r="E281">
        <v>0.50244230000000001</v>
      </c>
      <c r="F281" t="s">
        <v>41</v>
      </c>
      <c r="G281">
        <v>-158.19499999999999</v>
      </c>
      <c r="H281">
        <v>5.8873920000000002</v>
      </c>
      <c r="I281">
        <v>373.45409999999998</v>
      </c>
      <c r="J281">
        <v>-449.6096</v>
      </c>
      <c r="K281">
        <v>1.1193630000000001</v>
      </c>
      <c r="L281">
        <v>367.44690000000003</v>
      </c>
      <c r="M281">
        <v>0.99977439999999995</v>
      </c>
      <c r="N281">
        <v>1.742557E-3</v>
      </c>
      <c r="O281">
        <v>2.1173999999999998E-2</v>
      </c>
      <c r="P281">
        <v>0.99845200000000001</v>
      </c>
      <c r="Q281">
        <v>-4.8347269999999998E-2</v>
      </c>
      <c r="R281">
        <v>2.750532E-2</v>
      </c>
      <c r="S281">
        <v>3.0052189999999999</v>
      </c>
      <c r="T281">
        <v>4.9152260000000003E-2</v>
      </c>
      <c r="U281">
        <v>6.1950680000000001E-2</v>
      </c>
      <c r="V281">
        <v>-6.357092E-3</v>
      </c>
      <c r="W281">
        <v>-5.0087779999999998E-2</v>
      </c>
      <c r="X281">
        <v>0.99872459999999996</v>
      </c>
      <c r="Y281">
        <v>5.6181949999999895E-4</v>
      </c>
      <c r="Z281">
        <v>3.144043E-4</v>
      </c>
      <c r="AA281">
        <v>0.99999979999999999</v>
      </c>
      <c r="AB281">
        <v>20</v>
      </c>
      <c r="AC281">
        <v>291.41460000000001</v>
      </c>
      <c r="AD281">
        <v>4.7680290000000003</v>
      </c>
      <c r="AE281">
        <v>6.0071999999999504</v>
      </c>
      <c r="AF281">
        <v>0.164524170905061</v>
      </c>
      <c r="AG281">
        <v>4.7680290000000003</v>
      </c>
      <c r="AH281">
        <v>291.39848750376899</v>
      </c>
      <c r="AI281">
        <v>89.062577433146501</v>
      </c>
      <c r="AJ281">
        <v>89.967650691326995</v>
      </c>
      <c r="AK281">
        <v>291.437539943351</v>
      </c>
      <c r="AL281">
        <v>92.871019679927798</v>
      </c>
      <c r="AM281">
        <v>90.364694754288706</v>
      </c>
      <c r="AN281">
        <v>1.00000001248459</v>
      </c>
    </row>
    <row r="282" spans="1:40" x14ac:dyDescent="0.25">
      <c r="A282" t="str">
        <f>"20190303153748500"</f>
        <v>20190303153748500</v>
      </c>
      <c r="B282" t="str">
        <f>"1551598668489122"</f>
        <v>1551598668489122</v>
      </c>
      <c r="C282" t="s">
        <v>40</v>
      </c>
      <c r="D282">
        <v>4.185441</v>
      </c>
      <c r="E282">
        <v>0.50209769999999998</v>
      </c>
      <c r="F282" t="s">
        <v>41</v>
      </c>
      <c r="G282">
        <v>-158.19499999999999</v>
      </c>
      <c r="H282">
        <v>5.8139760000000003</v>
      </c>
      <c r="I282">
        <v>373.82130000000001</v>
      </c>
      <c r="J282">
        <v>-449.44569999999999</v>
      </c>
      <c r="K282">
        <v>1.1193439999999999</v>
      </c>
      <c r="L282">
        <v>367.4504</v>
      </c>
      <c r="M282">
        <v>0.99977340000000003</v>
      </c>
      <c r="N282">
        <v>1.8541919999999999E-3</v>
      </c>
      <c r="O282">
        <v>2.1208580000000001E-2</v>
      </c>
      <c r="P282">
        <v>0.99845240000000002</v>
      </c>
      <c r="Q282">
        <v>-4.7813719999999997E-2</v>
      </c>
      <c r="R282">
        <v>2.8400430000000001E-2</v>
      </c>
      <c r="S282">
        <v>3.0051570000000001</v>
      </c>
      <c r="T282">
        <v>4.8413159999999997E-2</v>
      </c>
      <c r="U282">
        <v>6.5734860000000006E-2</v>
      </c>
      <c r="V282">
        <v>-7.2173119999999896E-3</v>
      </c>
      <c r="W282">
        <v>-4.9665800000000003E-2</v>
      </c>
      <c r="X282">
        <v>0.99873979999999996</v>
      </c>
      <c r="Y282">
        <v>-6.6237759999999903E-4</v>
      </c>
      <c r="Z282">
        <v>2.9629770000000002E-4</v>
      </c>
      <c r="AA282">
        <v>0.99999979999999999</v>
      </c>
      <c r="AB282">
        <v>20</v>
      </c>
      <c r="AC282">
        <v>291.25069999999999</v>
      </c>
      <c r="AD282">
        <v>4.6946320000000004</v>
      </c>
      <c r="AE282">
        <v>6.3708999999999998</v>
      </c>
      <c r="AF282">
        <v>-0.19239294166121701</v>
      </c>
      <c r="AG282">
        <v>4.6946320000000004</v>
      </c>
      <c r="AH282">
        <v>291.244673131875</v>
      </c>
      <c r="AI282">
        <v>89.076517879055103</v>
      </c>
      <c r="AJ282">
        <v>90.037848939324107</v>
      </c>
      <c r="AK282">
        <v>291.28257107549803</v>
      </c>
      <c r="AL282">
        <v>92.846811956638007</v>
      </c>
      <c r="AM282">
        <v>90.414036087345195</v>
      </c>
      <c r="AN282">
        <v>0.99999998469309204</v>
      </c>
    </row>
    <row r="283" spans="1:40" x14ac:dyDescent="0.25">
      <c r="A283" t="str">
        <f>"20190303153748514"</f>
        <v>20190303153748514</v>
      </c>
      <c r="B283" t="str">
        <f>"1551598668509618"</f>
        <v>1551598668509618</v>
      </c>
      <c r="C283" t="s">
        <v>40</v>
      </c>
      <c r="D283">
        <v>4.1977089999999997</v>
      </c>
      <c r="E283">
        <v>0.50192559999999997</v>
      </c>
      <c r="F283" t="s">
        <v>41</v>
      </c>
      <c r="G283">
        <v>-158.19499999999999</v>
      </c>
      <c r="H283">
        <v>5.9771519999999896</v>
      </c>
      <c r="I283">
        <v>374.3184</v>
      </c>
      <c r="J283">
        <v>-449.32229999999998</v>
      </c>
      <c r="K283">
        <v>1.119337</v>
      </c>
      <c r="L283">
        <v>367.45299999999997</v>
      </c>
      <c r="M283">
        <v>0.99977280000000002</v>
      </c>
      <c r="N283">
        <v>1.9189560000000001E-3</v>
      </c>
      <c r="O283">
        <v>2.1234389999999999E-2</v>
      </c>
      <c r="P283">
        <v>0.99846889999999999</v>
      </c>
      <c r="Q283">
        <v>-4.745535E-2</v>
      </c>
      <c r="R283">
        <v>2.842973E-2</v>
      </c>
      <c r="S283">
        <v>3.0050349999999999</v>
      </c>
      <c r="T283">
        <v>5.0122260000000002E-2</v>
      </c>
      <c r="U283">
        <v>7.0861820000000006E-2</v>
      </c>
      <c r="V283">
        <v>-7.2207510000000001E-3</v>
      </c>
      <c r="W283">
        <v>-4.9372159999999998E-2</v>
      </c>
      <c r="X283">
        <v>0.99875429999999998</v>
      </c>
      <c r="Y283">
        <v>-2.3425830000000001E-3</v>
      </c>
      <c r="Z283">
        <v>2.9153620000000002E-4</v>
      </c>
      <c r="AA283">
        <v>0.99999720000000003</v>
      </c>
      <c r="AB283">
        <v>20</v>
      </c>
      <c r="AC283">
        <v>291.12729999999999</v>
      </c>
      <c r="AD283">
        <v>4.8578150000000004</v>
      </c>
      <c r="AE283">
        <v>6.8653999999999602</v>
      </c>
      <c r="AF283">
        <v>-0.68174101761268902</v>
      </c>
      <c r="AG283">
        <v>4.8578150000000004</v>
      </c>
      <c r="AH283">
        <v>291.126427367399</v>
      </c>
      <c r="AI283">
        <v>89.044038327694594</v>
      </c>
      <c r="AJ283">
        <v>90.134171301396094</v>
      </c>
      <c r="AK283">
        <v>291.16775207617798</v>
      </c>
      <c r="AL283">
        <v>92.829967054453604</v>
      </c>
      <c r="AM283">
        <v>90.414227352181598</v>
      </c>
      <c r="AN283">
        <v>0.99999995059827795</v>
      </c>
    </row>
    <row r="284" spans="1:40" x14ac:dyDescent="0.25">
      <c r="A284" t="str">
        <f>"20190303153748527"</f>
        <v>20190303153748527</v>
      </c>
      <c r="B284" t="str">
        <f>"1551598668519377"</f>
        <v>1551598668519377</v>
      </c>
      <c r="C284" t="s">
        <v>40</v>
      </c>
      <c r="D284">
        <v>4.1784530000000002</v>
      </c>
      <c r="E284">
        <v>0.50180749999999996</v>
      </c>
      <c r="F284" t="s">
        <v>41</v>
      </c>
      <c r="G284">
        <v>-158.19499999999999</v>
      </c>
      <c r="H284">
        <v>6.1256430000000002</v>
      </c>
      <c r="I284">
        <v>374.4898</v>
      </c>
      <c r="J284">
        <v>-449.19830000000002</v>
      </c>
      <c r="K284">
        <v>1.1193280000000001</v>
      </c>
      <c r="L284">
        <v>367.45569999999998</v>
      </c>
      <c r="M284">
        <v>0.99977210000000005</v>
      </c>
      <c r="N284">
        <v>1.9648299999999999E-3</v>
      </c>
      <c r="O284">
        <v>2.125997E-2</v>
      </c>
      <c r="P284">
        <v>0.99848049999999999</v>
      </c>
      <c r="Q284">
        <v>-4.7249930000000002E-2</v>
      </c>
      <c r="R284">
        <v>2.8362789999999999E-2</v>
      </c>
      <c r="S284">
        <v>3.0049440000000001</v>
      </c>
      <c r="T284">
        <v>5.167472E-2</v>
      </c>
      <c r="U284">
        <v>7.2631840000000003E-2</v>
      </c>
      <c r="V284">
        <v>-7.1274629999999997E-3</v>
      </c>
      <c r="W284">
        <v>-4.9212590000000001E-2</v>
      </c>
      <c r="X284">
        <v>0.99876290000000001</v>
      </c>
      <c r="Y284">
        <v>-2.9064440000000002E-3</v>
      </c>
      <c r="Z284">
        <v>2.958646E-4</v>
      </c>
      <c r="AA284">
        <v>0.99999570000000004</v>
      </c>
      <c r="AB284">
        <v>21</v>
      </c>
      <c r="AC284">
        <v>291.00330000000002</v>
      </c>
      <c r="AD284">
        <v>5.0063149999999998</v>
      </c>
      <c r="AE284">
        <v>7.03410000000002</v>
      </c>
      <c r="AF284">
        <v>-0.845526991146203</v>
      </c>
      <c r="AG284">
        <v>5.0063149999999998</v>
      </c>
      <c r="AH284">
        <v>291.00099675048301</v>
      </c>
      <c r="AI284">
        <v>89.014397821780605</v>
      </c>
      <c r="AJ284">
        <v>90.166477064572504</v>
      </c>
      <c r="AK284">
        <v>291.045285506477</v>
      </c>
      <c r="AL284">
        <v>92.820813085196505</v>
      </c>
      <c r="AM284">
        <v>90.408872432467504</v>
      </c>
      <c r="AN284">
        <v>1.0000000050798601</v>
      </c>
    </row>
    <row r="285" spans="1:40" x14ac:dyDescent="0.25">
      <c r="A285" t="str">
        <f>"20190303153748547"</f>
        <v>20190303153748547</v>
      </c>
      <c r="B285" t="str">
        <f>"1551598668538897"</f>
        <v>1551598668538897</v>
      </c>
      <c r="C285" t="s">
        <v>40</v>
      </c>
      <c r="D285">
        <v>4.1852660000000004</v>
      </c>
      <c r="E285">
        <v>0.50171359999999998</v>
      </c>
      <c r="F285" t="s">
        <v>41</v>
      </c>
      <c r="G285">
        <v>-158.19499999999999</v>
      </c>
      <c r="H285">
        <v>6.2193940000000003</v>
      </c>
      <c r="I285">
        <v>374.5308</v>
      </c>
      <c r="J285">
        <v>-449.00990000000002</v>
      </c>
      <c r="K285">
        <v>1.119327</v>
      </c>
      <c r="L285">
        <v>367.4597</v>
      </c>
      <c r="M285">
        <v>0.99977119999999997</v>
      </c>
      <c r="N285">
        <v>1.9849220000000001E-3</v>
      </c>
      <c r="O285">
        <v>2.1297969999999999E-2</v>
      </c>
      <c r="P285">
        <v>0.99846939999999995</v>
      </c>
      <c r="Q285">
        <v>-4.768845E-2</v>
      </c>
      <c r="R285">
        <v>2.801186E-2</v>
      </c>
      <c r="S285">
        <v>3.0049739999999998</v>
      </c>
      <c r="T285">
        <v>5.2665469999999999E-2</v>
      </c>
      <c r="U285">
        <v>7.3059079999999998E-2</v>
      </c>
      <c r="V285">
        <v>-6.7391680000000002E-3</v>
      </c>
      <c r="W285">
        <v>-4.9671159999999999E-2</v>
      </c>
      <c r="X285">
        <v>0.99874289999999999</v>
      </c>
      <c r="Y285">
        <v>-3.0103500000000002E-3</v>
      </c>
      <c r="Z285">
        <v>3.0150810000000001E-4</v>
      </c>
      <c r="AA285">
        <v>0.99999539999999998</v>
      </c>
      <c r="AB285">
        <v>21</v>
      </c>
      <c r="AC285">
        <v>290.81490000000002</v>
      </c>
      <c r="AD285">
        <v>5.1000670000000001</v>
      </c>
      <c r="AE285">
        <v>7.0711000000000004</v>
      </c>
      <c r="AF285">
        <v>-0.87544775697683797</v>
      </c>
      <c r="AG285">
        <v>5.1000670000000001</v>
      </c>
      <c r="AH285">
        <v>290.81014892286203</v>
      </c>
      <c r="AI285">
        <v>88.995285964078207</v>
      </c>
      <c r="AJ285">
        <v>90.172481291744901</v>
      </c>
      <c r="AK285">
        <v>290.85618406476601</v>
      </c>
      <c r="AL285">
        <v>92.847119368249693</v>
      </c>
      <c r="AM285">
        <v>90.386606026220093</v>
      </c>
      <c r="AN285">
        <v>1.00000001041074</v>
      </c>
    </row>
    <row r="286" spans="1:40" x14ac:dyDescent="0.25">
      <c r="A286" t="str">
        <f>"20190303153748562"</f>
        <v>20190303153748562</v>
      </c>
      <c r="B286" t="str">
        <f>"1551598668549635"</f>
        <v>1551598668549635</v>
      </c>
      <c r="C286" t="s">
        <v>40</v>
      </c>
      <c r="D286">
        <v>4.1915779999999998</v>
      </c>
      <c r="E286">
        <v>0.50165680000000001</v>
      </c>
      <c r="F286" t="s">
        <v>41</v>
      </c>
      <c r="G286">
        <v>-158.19499999999999</v>
      </c>
      <c r="H286">
        <v>6.1364710000000002</v>
      </c>
      <c r="I286">
        <v>374.49770000000001</v>
      </c>
      <c r="J286">
        <v>-448.86689999999999</v>
      </c>
      <c r="K286">
        <v>1.1193340000000001</v>
      </c>
      <c r="L286">
        <v>367.46280000000002</v>
      </c>
      <c r="M286">
        <v>0.99977079999999996</v>
      </c>
      <c r="N286">
        <v>1.9464580000000001E-3</v>
      </c>
      <c r="O286">
        <v>2.1324059999999999E-2</v>
      </c>
      <c r="P286">
        <v>0.99844750000000004</v>
      </c>
      <c r="Q286">
        <v>-4.8394670000000001E-2</v>
      </c>
      <c r="R286">
        <v>2.7578100000000001E-2</v>
      </c>
      <c r="S286">
        <v>3.0050050000000001</v>
      </c>
      <c r="T286">
        <v>5.184329E-2</v>
      </c>
      <c r="U286">
        <v>7.2723389999999999E-2</v>
      </c>
      <c r="V286">
        <v>-6.2798639999999996E-3</v>
      </c>
      <c r="W286">
        <v>-5.0338880000000003E-2</v>
      </c>
      <c r="X286">
        <v>0.9987125</v>
      </c>
      <c r="Y286">
        <v>-2.872332E-3</v>
      </c>
      <c r="Z286">
        <v>2.9869309999999997E-4</v>
      </c>
      <c r="AA286">
        <v>0.99999579999999999</v>
      </c>
      <c r="AB286">
        <v>21</v>
      </c>
      <c r="AC286">
        <v>290.67189999999999</v>
      </c>
      <c r="AD286">
        <v>5.017137</v>
      </c>
      <c r="AE286">
        <v>7.0348999999999897</v>
      </c>
      <c r="AF286">
        <v>-0.83473553895270403</v>
      </c>
      <c r="AG286">
        <v>5.017137</v>
      </c>
      <c r="AH286">
        <v>290.66927190967101</v>
      </c>
      <c r="AI286">
        <v>89.0111405795802</v>
      </c>
      <c r="AJ286">
        <v>90.164539896498098</v>
      </c>
      <c r="AK286">
        <v>290.71376658079799</v>
      </c>
      <c r="AL286">
        <v>92.885424717612295</v>
      </c>
      <c r="AM286">
        <v>90.360268807213401</v>
      </c>
      <c r="AN286">
        <v>1.00000004859388</v>
      </c>
    </row>
    <row r="287" spans="1:40" x14ac:dyDescent="0.25">
      <c r="A287" t="str">
        <f>"20190303153748580"</f>
        <v>20190303153748580</v>
      </c>
      <c r="B287" t="str">
        <f>"1551598668569153"</f>
        <v>1551598668569153</v>
      </c>
      <c r="C287" t="s">
        <v>40</v>
      </c>
      <c r="D287">
        <v>4.1583480000000002</v>
      </c>
      <c r="E287">
        <v>0.50158380000000002</v>
      </c>
      <c r="F287" t="s">
        <v>41</v>
      </c>
      <c r="G287">
        <v>-158.19499999999999</v>
      </c>
      <c r="H287">
        <v>5.9516410000000004</v>
      </c>
      <c r="I287">
        <v>374.40269999999998</v>
      </c>
      <c r="J287">
        <v>-448.69170000000003</v>
      </c>
      <c r="K287">
        <v>1.119359</v>
      </c>
      <c r="L287">
        <v>367.46660000000003</v>
      </c>
      <c r="M287">
        <v>0.99977050000000001</v>
      </c>
      <c r="N287">
        <v>1.8329069999999999E-3</v>
      </c>
      <c r="O287">
        <v>2.13507E-2</v>
      </c>
      <c r="P287">
        <v>0.99834699999999998</v>
      </c>
      <c r="Q287">
        <v>-5.032739E-2</v>
      </c>
      <c r="R287">
        <v>2.776E-2</v>
      </c>
      <c r="S287">
        <v>3.005096</v>
      </c>
      <c r="T287">
        <v>4.9959419999999997E-2</v>
      </c>
      <c r="U287">
        <v>7.1746829999999998E-2</v>
      </c>
      <c r="V287">
        <v>-6.4378439999999999E-3</v>
      </c>
      <c r="W287">
        <v>-5.2157950000000002E-2</v>
      </c>
      <c r="X287">
        <v>0.99861809999999995</v>
      </c>
      <c r="Y287">
        <v>-2.5200999999999999E-3</v>
      </c>
      <c r="Z287">
        <v>2.9245090000000002E-4</v>
      </c>
      <c r="AA287">
        <v>0.99999680000000002</v>
      </c>
      <c r="AB287">
        <v>21</v>
      </c>
      <c r="AC287">
        <v>290.49669999999998</v>
      </c>
      <c r="AD287">
        <v>4.8322820000000002</v>
      </c>
      <c r="AE287">
        <v>6.93609999999995</v>
      </c>
      <c r="AF287">
        <v>-0.73199897066072805</v>
      </c>
      <c r="AG287">
        <v>4.8322820000000002</v>
      </c>
      <c r="AH287">
        <v>290.49823379664201</v>
      </c>
      <c r="AI287">
        <v>89.047006417809399</v>
      </c>
      <c r="AJ287">
        <v>90.1443738996728</v>
      </c>
      <c r="AK287">
        <v>290.53934434218797</v>
      </c>
      <c r="AL287">
        <v>92.989787033815901</v>
      </c>
      <c r="AM287">
        <v>90.369366608172001</v>
      </c>
      <c r="AN287">
        <v>1.00000000361559</v>
      </c>
    </row>
    <row r="288" spans="1:40" x14ac:dyDescent="0.25">
      <c r="A288" t="str">
        <f>"20190303153748595"</f>
        <v>20190303153748595</v>
      </c>
      <c r="B288" t="str">
        <f>"1551598668589649"</f>
        <v>1551598668589649</v>
      </c>
      <c r="C288" t="s">
        <v>40</v>
      </c>
      <c r="D288">
        <v>4.1745910000000004</v>
      </c>
      <c r="E288">
        <v>0.50151559999999995</v>
      </c>
      <c r="F288" t="s">
        <v>41</v>
      </c>
      <c r="G288">
        <v>-158.19499999999999</v>
      </c>
      <c r="H288">
        <v>5.3752319999999996</v>
      </c>
      <c r="I288">
        <v>374.52600000000001</v>
      </c>
      <c r="J288">
        <v>-448.55130000000003</v>
      </c>
      <c r="K288">
        <v>1.1193869999999999</v>
      </c>
      <c r="L288">
        <v>367.46960000000001</v>
      </c>
      <c r="M288">
        <v>0.9997703</v>
      </c>
      <c r="N288">
        <v>1.6812120000000001E-3</v>
      </c>
      <c r="O288">
        <v>2.136718E-2</v>
      </c>
      <c r="P288">
        <v>0.99831519999999996</v>
      </c>
      <c r="Q288">
        <v>-5.0959419999999998E-2</v>
      </c>
      <c r="R288">
        <v>2.7753489999999999E-2</v>
      </c>
      <c r="S288">
        <v>3.0051570000000001</v>
      </c>
      <c r="T288">
        <v>4.4027450000000003E-2</v>
      </c>
      <c r="U288">
        <v>7.3028560000000006E-2</v>
      </c>
      <c r="V288">
        <v>-6.4157789999999999E-3</v>
      </c>
      <c r="W288">
        <v>-5.2638379999999999E-2</v>
      </c>
      <c r="X288">
        <v>0.99859299999999995</v>
      </c>
      <c r="Y288">
        <v>-2.9288999999999999E-3</v>
      </c>
      <c r="Z288">
        <v>2.5310799999999999E-4</v>
      </c>
      <c r="AA288">
        <v>0.99999570000000004</v>
      </c>
      <c r="AB288">
        <v>21</v>
      </c>
      <c r="AC288">
        <v>290.35629999999998</v>
      </c>
      <c r="AD288">
        <v>4.2558449999999901</v>
      </c>
      <c r="AE288">
        <v>7.0563999999999902</v>
      </c>
      <c r="AF288">
        <v>-0.85050239421920104</v>
      </c>
      <c r="AG288">
        <v>4.2558449999999901</v>
      </c>
      <c r="AH288">
        <v>290.37843860433702</v>
      </c>
      <c r="AI288">
        <v>89.160325211955495</v>
      </c>
      <c r="AJ288">
        <v>90.167815690937402</v>
      </c>
      <c r="AK288">
        <v>290.41086959216898</v>
      </c>
      <c r="AL288">
        <v>93.017351611551106</v>
      </c>
      <c r="AM288">
        <v>90.368109931861298</v>
      </c>
      <c r="AN288">
        <v>0.99999997045910005</v>
      </c>
    </row>
    <row r="289" spans="1:40" x14ac:dyDescent="0.25">
      <c r="A289" t="str">
        <f>"20190303153748613"</f>
        <v>20190303153748613</v>
      </c>
      <c r="B289" t="str">
        <f>"1551598668609170"</f>
        <v>1551598668609170</v>
      </c>
      <c r="C289" t="s">
        <v>40</v>
      </c>
      <c r="D289">
        <v>4.1211339999999996</v>
      </c>
      <c r="E289">
        <v>0.50146389999999996</v>
      </c>
      <c r="F289" t="s">
        <v>41</v>
      </c>
      <c r="G289">
        <v>-158.19499999999999</v>
      </c>
      <c r="H289">
        <v>5.2172609999999997</v>
      </c>
      <c r="I289">
        <v>374.59629999999999</v>
      </c>
      <c r="J289">
        <v>-448.37450000000001</v>
      </c>
      <c r="K289">
        <v>1.1194280000000001</v>
      </c>
      <c r="L289">
        <v>367.47340000000003</v>
      </c>
      <c r="M289">
        <v>0.99977050000000001</v>
      </c>
      <c r="N289">
        <v>1.4061810000000001E-3</v>
      </c>
      <c r="O289">
        <v>2.138112E-2</v>
      </c>
      <c r="P289">
        <v>0.99826959999999998</v>
      </c>
      <c r="Q289">
        <v>-5.1807909999999999E-2</v>
      </c>
      <c r="R289">
        <v>2.7816299999999999E-2</v>
      </c>
      <c r="S289">
        <v>3.0052189999999999</v>
      </c>
      <c r="T289">
        <v>4.2414309999999997E-2</v>
      </c>
      <c r="U289">
        <v>7.3760989999999999E-2</v>
      </c>
      <c r="V289">
        <v>-6.4665310000000002E-3</v>
      </c>
      <c r="W289">
        <v>-5.3212049999999997E-2</v>
      </c>
      <c r="X289">
        <v>0.99856230000000001</v>
      </c>
      <c r="Y289">
        <v>-3.1579809999999998E-3</v>
      </c>
      <c r="Z289">
        <v>2.47101E-4</v>
      </c>
      <c r="AA289">
        <v>0.99999499999999997</v>
      </c>
      <c r="AB289">
        <v>22</v>
      </c>
      <c r="AC289">
        <v>290.17950000000002</v>
      </c>
      <c r="AD289">
        <v>4.0978329999999996</v>
      </c>
      <c r="AE289">
        <v>7.1228999999999596</v>
      </c>
      <c r="AF289">
        <v>-0.91672070132157601</v>
      </c>
      <c r="AG289">
        <v>4.0978329999999996</v>
      </c>
      <c r="AH289">
        <v>290.20762070417101</v>
      </c>
      <c r="AI289">
        <v>89.191021373547798</v>
      </c>
      <c r="AJ289">
        <v>90.180987847082704</v>
      </c>
      <c r="AK289">
        <v>290.237998420118</v>
      </c>
      <c r="AL289">
        <v>93.050266515654002</v>
      </c>
      <c r="AM289">
        <v>90.371033189708299</v>
      </c>
      <c r="AN289">
        <v>1.0000000026348299</v>
      </c>
    </row>
    <row r="290" spans="1:40" x14ac:dyDescent="0.25">
      <c r="A290" t="str">
        <f>"20190303153748626"</f>
        <v>20190303153748626</v>
      </c>
      <c r="B290" t="str">
        <f>"1551598668618930"</f>
        <v>1551598668618930</v>
      </c>
      <c r="C290" t="s">
        <v>40</v>
      </c>
      <c r="D290">
        <v>4.1249549999999999</v>
      </c>
      <c r="E290">
        <v>0.50146080000000004</v>
      </c>
      <c r="F290" t="s">
        <v>41</v>
      </c>
      <c r="G290">
        <v>-158.19499999999999</v>
      </c>
      <c r="H290">
        <v>5.0518489999999998</v>
      </c>
      <c r="I290">
        <v>374.67829999999998</v>
      </c>
      <c r="J290">
        <v>-448.24110000000002</v>
      </c>
      <c r="K290">
        <v>1.119475</v>
      </c>
      <c r="L290">
        <v>367.47629999999998</v>
      </c>
      <c r="M290">
        <v>0.99977059999999995</v>
      </c>
      <c r="N290">
        <v>1.1411940000000001E-3</v>
      </c>
      <c r="O290">
        <v>2.138762E-2</v>
      </c>
      <c r="P290">
        <v>0.99822710000000003</v>
      </c>
      <c r="Q290">
        <v>-5.2625640000000001E-2</v>
      </c>
      <c r="R290">
        <v>2.780703E-2</v>
      </c>
      <c r="S290">
        <v>3.0052189999999999</v>
      </c>
      <c r="T290">
        <v>4.0726659999999998E-2</v>
      </c>
      <c r="U290">
        <v>7.4615479999999998E-2</v>
      </c>
      <c r="V290">
        <v>-6.4525320000000004E-3</v>
      </c>
      <c r="W290">
        <v>-5.376504E-2</v>
      </c>
      <c r="X290">
        <v>0.9985328</v>
      </c>
      <c r="Y290">
        <v>-3.4355739999999998E-3</v>
      </c>
      <c r="Z290">
        <v>2.4010970000000001E-4</v>
      </c>
      <c r="AA290">
        <v>0.9999941</v>
      </c>
      <c r="AB290">
        <v>22</v>
      </c>
      <c r="AC290">
        <v>290.04610000000002</v>
      </c>
      <c r="AD290">
        <v>3.9323739999999998</v>
      </c>
      <c r="AE290">
        <v>7.2019999999999902</v>
      </c>
      <c r="AF290">
        <v>-0.99676964240638</v>
      </c>
      <c r="AG290">
        <v>3.9323739999999998</v>
      </c>
      <c r="AH290">
        <v>290.08050049735698</v>
      </c>
      <c r="AI290">
        <v>89.223342129746399</v>
      </c>
      <c r="AJ290">
        <v>90.196878000365203</v>
      </c>
      <c r="AK290">
        <v>290.10886557255202</v>
      </c>
      <c r="AL290">
        <v>93.081995835128694</v>
      </c>
      <c r="AM290">
        <v>90.370240922413899</v>
      </c>
      <c r="AN290">
        <v>1.0000000336856201</v>
      </c>
    </row>
    <row r="291" spans="1:40" x14ac:dyDescent="0.25">
      <c r="A291" t="str">
        <f>"20190303153748647"</f>
        <v>20190303153748647</v>
      </c>
      <c r="B291" t="str">
        <f>"1551598668639426"</f>
        <v>1551598668639426</v>
      </c>
      <c r="C291" t="s">
        <v>40</v>
      </c>
      <c r="D291">
        <v>4.1188799999999999</v>
      </c>
      <c r="E291">
        <v>0.50151290000000004</v>
      </c>
      <c r="F291" t="s">
        <v>41</v>
      </c>
      <c r="G291">
        <v>-158.19499999999999</v>
      </c>
      <c r="H291">
        <v>4.8684310000000002</v>
      </c>
      <c r="I291">
        <v>374.67759999999998</v>
      </c>
      <c r="J291">
        <v>-448.0419</v>
      </c>
      <c r="K291">
        <v>1.1195569999999999</v>
      </c>
      <c r="L291">
        <v>367.48059999999998</v>
      </c>
      <c r="M291">
        <v>0.99977119999999997</v>
      </c>
      <c r="N291">
        <v>6.7402079999999995E-4</v>
      </c>
      <c r="O291">
        <v>2.1383010000000001E-2</v>
      </c>
      <c r="P291">
        <v>0.99816110000000002</v>
      </c>
      <c r="Q291">
        <v>-5.390035E-2</v>
      </c>
      <c r="R291">
        <v>2.7740170000000001E-2</v>
      </c>
      <c r="S291">
        <v>3.0053100000000001</v>
      </c>
      <c r="T291">
        <v>3.8845659999999997E-2</v>
      </c>
      <c r="U291">
        <v>7.4615479999999998E-2</v>
      </c>
      <c r="V291">
        <v>-6.3932090000000004E-3</v>
      </c>
      <c r="W291">
        <v>-5.4573000000000003E-2</v>
      </c>
      <c r="X291">
        <v>0.99848930000000002</v>
      </c>
      <c r="Y291">
        <v>-3.4394320000000001E-3</v>
      </c>
      <c r="Z291">
        <v>2.3850649999999999E-4</v>
      </c>
      <c r="AA291">
        <v>0.99999400000000005</v>
      </c>
      <c r="AB291">
        <v>22</v>
      </c>
      <c r="AC291">
        <v>289.84690000000001</v>
      </c>
      <c r="AD291">
        <v>3.7488739999999998</v>
      </c>
      <c r="AE291">
        <v>7.1970000000000001</v>
      </c>
      <c r="AF291">
        <v>-0.99738757411032297</v>
      </c>
      <c r="AG291">
        <v>3.7488739999999998</v>
      </c>
      <c r="AH291">
        <v>289.88605761816501</v>
      </c>
      <c r="AI291">
        <v>89.259083325062406</v>
      </c>
      <c r="AJ291">
        <v>90.197132188800595</v>
      </c>
      <c r="AK291">
        <v>289.91201292744501</v>
      </c>
      <c r="AL291">
        <v>93.128356756733794</v>
      </c>
      <c r="AM291">
        <v>90.366853092560902</v>
      </c>
      <c r="AN291">
        <v>0.99999998383240296</v>
      </c>
    </row>
    <row r="292" spans="1:40" x14ac:dyDescent="0.25">
      <c r="A292" t="str">
        <f>"20190303153748659"</f>
        <v>20190303153748659</v>
      </c>
      <c r="B292" t="str">
        <f>"1551598668649185"</f>
        <v>1551598668649185</v>
      </c>
      <c r="C292" t="s">
        <v>40</v>
      </c>
      <c r="D292">
        <v>4.124301</v>
      </c>
      <c r="E292">
        <v>0.50156619999999996</v>
      </c>
      <c r="F292" t="s">
        <v>41</v>
      </c>
      <c r="G292">
        <v>-158.19499999999999</v>
      </c>
      <c r="H292">
        <v>4.5886139999999997</v>
      </c>
      <c r="I292">
        <v>374.62369999999999</v>
      </c>
      <c r="J292">
        <v>-447.91030000000001</v>
      </c>
      <c r="K292">
        <v>1.1196029999999999</v>
      </c>
      <c r="L292">
        <v>367.48340000000002</v>
      </c>
      <c r="M292">
        <v>0.99977199999999999</v>
      </c>
      <c r="N292">
        <v>3.171518E-4</v>
      </c>
      <c r="O292">
        <v>2.1358240000000001E-2</v>
      </c>
      <c r="P292">
        <v>0.99812999999999996</v>
      </c>
      <c r="Q292">
        <v>-5.452771E-2</v>
      </c>
      <c r="R292">
        <v>2.7630140000000001E-2</v>
      </c>
      <c r="S292">
        <v>3.0054020000000001</v>
      </c>
      <c r="T292">
        <v>3.5971280000000001E-2</v>
      </c>
      <c r="U292">
        <v>7.4066160000000006E-2</v>
      </c>
      <c r="V292">
        <v>-6.3102719999999996E-3</v>
      </c>
      <c r="W292">
        <v>-5.4843820000000001E-2</v>
      </c>
      <c r="X292">
        <v>0.998475</v>
      </c>
      <c r="Y292">
        <v>-3.2807000000000001E-3</v>
      </c>
      <c r="Z292">
        <v>2.2863159999999999E-4</v>
      </c>
      <c r="AA292">
        <v>0.99999459999999996</v>
      </c>
      <c r="AB292">
        <v>22</v>
      </c>
      <c r="AC292">
        <v>289.71530000000001</v>
      </c>
      <c r="AD292">
        <v>3.4690110000000001</v>
      </c>
      <c r="AE292">
        <v>7.1402999999999599</v>
      </c>
      <c r="AF292">
        <v>-0.95072676873677497</v>
      </c>
      <c r="AG292">
        <v>3.4690110000000001</v>
      </c>
      <c r="AH292">
        <v>289.76019767060097</v>
      </c>
      <c r="AI292">
        <v>89.314091010144907</v>
      </c>
      <c r="AJ292">
        <v>90.187991436653306</v>
      </c>
      <c r="AK292">
        <v>289.782522027835</v>
      </c>
      <c r="AL292">
        <v>93.143896838580105</v>
      </c>
      <c r="AM292">
        <v>90.362099341176602</v>
      </c>
      <c r="AN292">
        <v>0.99999999487495295</v>
      </c>
    </row>
    <row r="293" spans="1:40" x14ac:dyDescent="0.25">
      <c r="A293" t="str">
        <f>"20190303153748673"</f>
        <v>20190303153748673</v>
      </c>
      <c r="B293" t="str">
        <f>"1551598668669682"</f>
        <v>1551598668669682</v>
      </c>
      <c r="C293" t="s">
        <v>40</v>
      </c>
      <c r="D293">
        <v>4.0878610000000002</v>
      </c>
      <c r="E293">
        <v>0.50162669999999998</v>
      </c>
      <c r="F293" t="s">
        <v>41</v>
      </c>
      <c r="G293">
        <v>-158.19499999999999</v>
      </c>
      <c r="H293">
        <v>4.4596099999999996</v>
      </c>
      <c r="I293">
        <v>374.55250000000001</v>
      </c>
      <c r="J293">
        <v>-447.7867</v>
      </c>
      <c r="K293">
        <v>1.1196469999999901</v>
      </c>
      <c r="L293">
        <v>367.48599999999999</v>
      </c>
      <c r="M293">
        <v>0.99977280000000002</v>
      </c>
      <c r="N293" s="1">
        <v>-3.9727619999999997E-5</v>
      </c>
      <c r="O293">
        <v>2.132206E-2</v>
      </c>
      <c r="P293">
        <v>0.99809530000000002</v>
      </c>
      <c r="Q293">
        <v>-5.5149780000000002E-2</v>
      </c>
      <c r="R293">
        <v>2.7657729999999998E-2</v>
      </c>
      <c r="S293">
        <v>3.0054630000000002</v>
      </c>
      <c r="T293">
        <v>3.4649609999999997E-2</v>
      </c>
      <c r="U293">
        <v>7.3333739999999994E-2</v>
      </c>
      <c r="V293">
        <v>-6.3773099999999997E-3</v>
      </c>
      <c r="W293">
        <v>-5.5109289999999998E-2</v>
      </c>
      <c r="X293">
        <v>0.99845989999999996</v>
      </c>
      <c r="Y293">
        <v>-3.0728499999999998E-3</v>
      </c>
      <c r="Z293">
        <v>2.2894279999999999E-4</v>
      </c>
      <c r="AA293">
        <v>0.99999519999999997</v>
      </c>
      <c r="AB293">
        <v>22</v>
      </c>
      <c r="AC293">
        <v>289.5917</v>
      </c>
      <c r="AD293">
        <v>3.3399629999999898</v>
      </c>
      <c r="AE293">
        <v>7.0665000000000102</v>
      </c>
      <c r="AF293">
        <v>-0.89008443586095598</v>
      </c>
      <c r="AG293">
        <v>3.3399629999999898</v>
      </c>
      <c r="AH293">
        <v>289.63803207333098</v>
      </c>
      <c r="AI293">
        <v>89.339325719368205</v>
      </c>
      <c r="AJ293">
        <v>90.176074670445601</v>
      </c>
      <c r="AK293">
        <v>289.65865639827899</v>
      </c>
      <c r="AL293">
        <v>93.159130367631604</v>
      </c>
      <c r="AM293">
        <v>90.365951580984401</v>
      </c>
      <c r="AN293">
        <v>0.99999993791757302</v>
      </c>
    </row>
    <row r="294" spans="1:40" x14ac:dyDescent="0.25">
      <c r="A294" t="str">
        <f>"20190303153748692"</f>
        <v>20190303153748692</v>
      </c>
      <c r="B294" t="str">
        <f>"1551598668679444"</f>
        <v>1551598668679444</v>
      </c>
      <c r="C294" t="s">
        <v>40</v>
      </c>
      <c r="D294">
        <v>4.1052119999999999</v>
      </c>
      <c r="E294">
        <v>0.50167039999999996</v>
      </c>
      <c r="F294" t="s">
        <v>41</v>
      </c>
      <c r="G294">
        <v>-158.19499999999999</v>
      </c>
      <c r="H294">
        <v>4.3487</v>
      </c>
      <c r="I294">
        <v>374.54599999999999</v>
      </c>
      <c r="J294">
        <v>-447.60070000000002</v>
      </c>
      <c r="K294">
        <v>1.119713</v>
      </c>
      <c r="L294">
        <v>367.48989999999998</v>
      </c>
      <c r="M294">
        <v>0.99977450000000001</v>
      </c>
      <c r="N294">
        <v>-6.3654510000000001E-4</v>
      </c>
      <c r="O294">
        <v>2.1228790000000001E-2</v>
      </c>
      <c r="P294">
        <v>0.99807239999999997</v>
      </c>
      <c r="Q294">
        <v>-5.5354449999999999E-2</v>
      </c>
      <c r="R294">
        <v>2.8059870000000001E-2</v>
      </c>
      <c r="S294">
        <v>3.0055540000000001</v>
      </c>
      <c r="T294">
        <v>3.3513899999999999E-2</v>
      </c>
      <c r="U294">
        <v>7.3272710000000005E-2</v>
      </c>
      <c r="V294">
        <v>-6.8773640000000004E-3</v>
      </c>
      <c r="W294">
        <v>-5.4717420000000003E-2</v>
      </c>
      <c r="X294">
        <v>0.99847819999999998</v>
      </c>
      <c r="Y294">
        <v>-3.1451719999999999E-3</v>
      </c>
      <c r="Z294">
        <v>2.33625E-4</v>
      </c>
      <c r="AA294">
        <v>0.99999510000000003</v>
      </c>
      <c r="AB294">
        <v>22</v>
      </c>
      <c r="AC294">
        <v>289.40570000000002</v>
      </c>
      <c r="AD294">
        <v>3.2289870000000001</v>
      </c>
      <c r="AE294">
        <v>7.0561000000000096</v>
      </c>
      <c r="AF294">
        <v>-0.91066285344435205</v>
      </c>
      <c r="AG294">
        <v>3.2289870000000001</v>
      </c>
      <c r="AH294">
        <v>289.45426168844699</v>
      </c>
      <c r="AI294">
        <v>89.360870567698697</v>
      </c>
      <c r="AJ294">
        <v>90.1802597951243</v>
      </c>
      <c r="AK294">
        <v>289.47370394127802</v>
      </c>
      <c r="AL294">
        <v>93.136643729002799</v>
      </c>
      <c r="AM294">
        <v>90.394638260591407</v>
      </c>
      <c r="AN294">
        <v>1.0000000050311399</v>
      </c>
    </row>
    <row r="295" spans="1:40" x14ac:dyDescent="0.25">
      <c r="A295" t="str">
        <f>"20190303153748704"</f>
        <v>20190303153748704</v>
      </c>
      <c r="B295" t="str">
        <f>"1551598668698962"</f>
        <v>1551598668698962</v>
      </c>
      <c r="C295" t="s">
        <v>40</v>
      </c>
      <c r="D295">
        <v>4.1168550000000002</v>
      </c>
      <c r="E295">
        <v>0.50174849999999904</v>
      </c>
      <c r="F295" t="s">
        <v>41</v>
      </c>
      <c r="G295">
        <v>-158.19499999999999</v>
      </c>
      <c r="H295">
        <v>4.341844</v>
      </c>
      <c r="I295">
        <v>374.62479999999999</v>
      </c>
      <c r="J295">
        <v>-447.47410000000002</v>
      </c>
      <c r="K295">
        <v>1.1197539999999999</v>
      </c>
      <c r="L295">
        <v>367.49250000000001</v>
      </c>
      <c r="M295">
        <v>0.999776</v>
      </c>
      <c r="N295">
        <v>-1.0811449999999999E-3</v>
      </c>
      <c r="O295">
        <v>2.113611E-2</v>
      </c>
      <c r="P295">
        <v>0.99806669999999997</v>
      </c>
      <c r="Q295">
        <v>-5.5096289999999999E-2</v>
      </c>
      <c r="R295">
        <v>2.8764540000000002E-2</v>
      </c>
      <c r="S295">
        <v>3.0055239999999999</v>
      </c>
      <c r="T295">
        <v>3.3463239999999998E-2</v>
      </c>
      <c r="U295">
        <v>7.4096679999999998E-2</v>
      </c>
      <c r="V295">
        <v>-7.6784760000000001E-3</v>
      </c>
      <c r="W295">
        <v>-5.4014630000000001E-2</v>
      </c>
      <c r="X295">
        <v>0.99851060000000003</v>
      </c>
      <c r="Y295">
        <v>-3.5121829999999999E-3</v>
      </c>
      <c r="Z295">
        <v>2.404563E-4</v>
      </c>
      <c r="AA295">
        <v>0.99999380000000004</v>
      </c>
      <c r="AB295">
        <v>22</v>
      </c>
      <c r="AC295">
        <v>289.27910000000003</v>
      </c>
      <c r="AD295">
        <v>3.2220900000000001</v>
      </c>
      <c r="AE295">
        <v>7.1322999999999803</v>
      </c>
      <c r="AF295">
        <v>-1.0163420903012901</v>
      </c>
      <c r="AG295">
        <v>3.2220900000000001</v>
      </c>
      <c r="AH295">
        <v>289.32935312881699</v>
      </c>
      <c r="AI295">
        <v>89.361961079687703</v>
      </c>
      <c r="AJ295">
        <v>90.201265001877402</v>
      </c>
      <c r="AK295">
        <v>289.34907879091702</v>
      </c>
      <c r="AL295">
        <v>93.096317268875794</v>
      </c>
      <c r="AM295">
        <v>90.440591813610496</v>
      </c>
      <c r="AN295">
        <v>0.99999997878003899</v>
      </c>
    </row>
    <row r="296" spans="1:40" x14ac:dyDescent="0.25">
      <c r="A296" t="str">
        <f>"20190303153748718"</f>
        <v>20190303153748718</v>
      </c>
      <c r="B296" t="str">
        <f>"1551598668709697"</f>
        <v>1551598668709697</v>
      </c>
      <c r="C296" t="s">
        <v>40</v>
      </c>
      <c r="D296">
        <v>4.1223470000000004</v>
      </c>
      <c r="E296">
        <v>0.50177669999999996</v>
      </c>
      <c r="F296" t="s">
        <v>41</v>
      </c>
      <c r="G296">
        <v>-158.19499999999999</v>
      </c>
      <c r="H296">
        <v>4.495406</v>
      </c>
      <c r="I296">
        <v>374.7681</v>
      </c>
      <c r="J296">
        <v>-447.32979999999998</v>
      </c>
      <c r="K296">
        <v>1.119796</v>
      </c>
      <c r="L296">
        <v>367.49549999999999</v>
      </c>
      <c r="M296">
        <v>0.9997781</v>
      </c>
      <c r="N296">
        <v>-1.6128879999999901E-3</v>
      </c>
      <c r="O296">
        <v>2.1006489999999999E-2</v>
      </c>
      <c r="P296">
        <v>0.99801309999999999</v>
      </c>
      <c r="Q296">
        <v>-5.5678869999999998E-2</v>
      </c>
      <c r="R296">
        <v>2.949332E-2</v>
      </c>
      <c r="S296">
        <v>3.005585</v>
      </c>
      <c r="T296">
        <v>3.5073640000000003E-2</v>
      </c>
      <c r="U296">
        <v>7.5592039999999999E-2</v>
      </c>
      <c r="V296">
        <v>-8.5416680000000005E-3</v>
      </c>
      <c r="W296">
        <v>-5.4065370000000001E-2</v>
      </c>
      <c r="X296">
        <v>0.99850090000000002</v>
      </c>
      <c r="Y296">
        <v>-4.1387660000000003E-3</v>
      </c>
      <c r="Z296">
        <v>2.5813110000000002E-4</v>
      </c>
      <c r="AA296">
        <v>0.99999139999999997</v>
      </c>
      <c r="AB296">
        <v>22</v>
      </c>
      <c r="AC296">
        <v>289.13479999999998</v>
      </c>
      <c r="AD296">
        <v>3.37561</v>
      </c>
      <c r="AE296">
        <v>7.2726000000000104</v>
      </c>
      <c r="AF296">
        <v>-1.19711734181261</v>
      </c>
      <c r="AG296">
        <v>3.37561</v>
      </c>
      <c r="AH296">
        <v>289.18437952581297</v>
      </c>
      <c r="AI296">
        <v>89.331230248117507</v>
      </c>
      <c r="AJ296">
        <v>90.237182172794306</v>
      </c>
      <c r="AK296">
        <v>289.20655800747602</v>
      </c>
      <c r="AL296">
        <v>93.099228534141304</v>
      </c>
      <c r="AM296">
        <v>90.490124334289703</v>
      </c>
      <c r="AN296">
        <v>1.00000003581313</v>
      </c>
    </row>
    <row r="297" spans="1:40" x14ac:dyDescent="0.25">
      <c r="A297" t="str">
        <f>"20190303153748736"</f>
        <v>20190303153748736</v>
      </c>
      <c r="B297" t="str">
        <f>"1551598668729218"</f>
        <v>1551598668729218</v>
      </c>
      <c r="C297" t="s">
        <v>40</v>
      </c>
      <c r="D297">
        <v>4.1174600000000003</v>
      </c>
      <c r="E297">
        <v>0.50186779999999998</v>
      </c>
      <c r="F297" t="s">
        <v>41</v>
      </c>
      <c r="G297">
        <v>-158.19499999999999</v>
      </c>
      <c r="H297">
        <v>4.3882000000000003</v>
      </c>
      <c r="I297">
        <v>374.98480000000001</v>
      </c>
      <c r="J297">
        <v>-447.16379999999998</v>
      </c>
      <c r="K297">
        <v>1.1198440000000001</v>
      </c>
      <c r="L297">
        <v>367.49880000000002</v>
      </c>
      <c r="M297">
        <v>0.99978069999999997</v>
      </c>
      <c r="N297">
        <v>-2.261707E-3</v>
      </c>
      <c r="O297">
        <v>2.0825119999999999E-2</v>
      </c>
      <c r="P297">
        <v>0.99795020000000001</v>
      </c>
      <c r="Q297">
        <v>-5.6298670000000002E-2</v>
      </c>
      <c r="R297">
        <v>3.0432879999999999E-2</v>
      </c>
      <c r="S297">
        <v>3.0055239999999999</v>
      </c>
      <c r="T297">
        <v>3.3975599999999898E-2</v>
      </c>
      <c r="U297">
        <v>7.7850340000000004E-2</v>
      </c>
      <c r="V297">
        <v>-9.6691350000000006E-3</v>
      </c>
      <c r="W297">
        <v>-5.403604E-2</v>
      </c>
      <c r="X297">
        <v>0.99849219999999905</v>
      </c>
      <c r="Y297">
        <v>-5.0715919999999998E-3</v>
      </c>
      <c r="Z297">
        <v>2.5951240000000002E-4</v>
      </c>
      <c r="AA297">
        <v>0.99998710000000002</v>
      </c>
      <c r="AB297">
        <v>22</v>
      </c>
      <c r="AC297">
        <v>288.96879999999999</v>
      </c>
      <c r="AD297">
        <v>3.2683559999999998</v>
      </c>
      <c r="AE297">
        <v>7.48599999999999</v>
      </c>
      <c r="AF297">
        <v>-1.46636449281291</v>
      </c>
      <c r="AG297">
        <v>3.2683559999999998</v>
      </c>
      <c r="AH297">
        <v>289.02508046679299</v>
      </c>
      <c r="AI297">
        <v>89.352123306427401</v>
      </c>
      <c r="AJ297">
        <v>90.290686800165702</v>
      </c>
      <c r="AK297">
        <v>289.04727902992801</v>
      </c>
      <c r="AL297">
        <v>93.097545608030501</v>
      </c>
      <c r="AM297">
        <v>90.5548198683246</v>
      </c>
      <c r="AN297">
        <v>1.0000000296256799</v>
      </c>
    </row>
    <row r="298" spans="1:40" x14ac:dyDescent="0.25">
      <c r="A298" t="str">
        <f>"20190303153748759"</f>
        <v>20190303153748759</v>
      </c>
      <c r="B298" t="str">
        <f>"1551598668749713"</f>
        <v>1551598668749713</v>
      </c>
      <c r="C298" t="s">
        <v>40</v>
      </c>
      <c r="D298">
        <v>4.1024260000000004</v>
      </c>
      <c r="E298">
        <v>0.50194039999999995</v>
      </c>
      <c r="F298" t="s">
        <v>41</v>
      </c>
      <c r="G298">
        <v>-158.19499999999999</v>
      </c>
      <c r="H298">
        <v>4.2904660000000003</v>
      </c>
      <c r="I298">
        <v>375.15969999999999</v>
      </c>
      <c r="J298">
        <v>-446.93060000000003</v>
      </c>
      <c r="K298">
        <v>1.1199250000000001</v>
      </c>
      <c r="L298">
        <v>367.50319999999999</v>
      </c>
      <c r="M298">
        <v>0.99978460000000002</v>
      </c>
      <c r="N298">
        <v>-3.2642859999999999E-3</v>
      </c>
      <c r="O298">
        <v>2.050041E-2</v>
      </c>
      <c r="P298">
        <v>0.99775060000000004</v>
      </c>
      <c r="Q298">
        <v>-5.9374999999999997E-2</v>
      </c>
      <c r="R298">
        <v>3.1127889999999998E-2</v>
      </c>
      <c r="S298">
        <v>3.005585</v>
      </c>
      <c r="T298">
        <v>3.2978769999999998E-2</v>
      </c>
      <c r="U298">
        <v>7.9681399999999999E-2</v>
      </c>
      <c r="V298">
        <v>-1.070013E-2</v>
      </c>
      <c r="W298">
        <v>-5.6110050000000002E-2</v>
      </c>
      <c r="X298">
        <v>0.99836720000000001</v>
      </c>
      <c r="Y298">
        <v>-6.0047340000000003E-3</v>
      </c>
      <c r="Z298">
        <v>2.6864640000000002E-4</v>
      </c>
      <c r="AA298">
        <v>0.99998189999999998</v>
      </c>
      <c r="AB298">
        <v>22</v>
      </c>
      <c r="AC298">
        <v>288.73559999999998</v>
      </c>
      <c r="AD298">
        <v>3.1705410000000001</v>
      </c>
      <c r="AE298">
        <v>7.6564999999999896</v>
      </c>
      <c r="AF298">
        <v>-1.73545259968796</v>
      </c>
      <c r="AG298">
        <v>3.1705410000000001</v>
      </c>
      <c r="AH298">
        <v>288.79708425905699</v>
      </c>
      <c r="AI298">
        <v>89.371018438746503</v>
      </c>
      <c r="AJ298">
        <v>90.344300265006794</v>
      </c>
      <c r="AK298">
        <v>288.81970154837302</v>
      </c>
      <c r="AL298">
        <v>93.216558529862297</v>
      </c>
      <c r="AM298">
        <v>90.614051440005298</v>
      </c>
      <c r="AN298">
        <v>0.99999994826442795</v>
      </c>
    </row>
    <row r="299" spans="1:40" x14ac:dyDescent="0.25">
      <c r="A299" t="str">
        <f>"20190303153748779"</f>
        <v>20190303153748779</v>
      </c>
      <c r="B299" t="str">
        <f>"1551598668769233"</f>
        <v>1551598668769233</v>
      </c>
      <c r="C299" t="s">
        <v>40</v>
      </c>
      <c r="D299">
        <v>4.0854200000000001</v>
      </c>
      <c r="E299">
        <v>0.50200500000000003</v>
      </c>
      <c r="F299" t="s">
        <v>41</v>
      </c>
      <c r="G299">
        <v>-158.19499999999999</v>
      </c>
      <c r="H299">
        <v>3.4423490000000001</v>
      </c>
      <c r="I299">
        <v>375.29840000000002</v>
      </c>
      <c r="J299">
        <v>-446.7208</v>
      </c>
      <c r="K299">
        <v>1.1200209999999999</v>
      </c>
      <c r="L299">
        <v>367.50720000000001</v>
      </c>
      <c r="M299">
        <v>0.99978800000000001</v>
      </c>
      <c r="N299">
        <v>-4.2509760000000001E-3</v>
      </c>
      <c r="O299">
        <v>2.015142E-2</v>
      </c>
      <c r="P299">
        <v>0.99755970000000005</v>
      </c>
      <c r="Q299">
        <v>-6.2911229999999999E-2</v>
      </c>
      <c r="R299">
        <v>3.0281679999999998E-2</v>
      </c>
      <c r="S299">
        <v>3.0056759999999998</v>
      </c>
      <c r="T299">
        <v>2.4176840000000002E-2</v>
      </c>
      <c r="U299">
        <v>8.1146239999999994E-2</v>
      </c>
      <c r="V299">
        <v>-1.0212570000000001E-2</v>
      </c>
      <c r="W299">
        <v>-5.8661459999999999E-2</v>
      </c>
      <c r="X299">
        <v>0.99822569999999999</v>
      </c>
      <c r="Y299">
        <v>-6.8395080000000002E-3</v>
      </c>
      <c r="Z299">
        <v>2.3473520000000001E-4</v>
      </c>
      <c r="AA299">
        <v>0.99997659999999999</v>
      </c>
      <c r="AB299">
        <v>22</v>
      </c>
      <c r="AC299">
        <v>288.5258</v>
      </c>
      <c r="AD299">
        <v>2.3223280000000002</v>
      </c>
      <c r="AE299">
        <v>7.7911999999999999</v>
      </c>
      <c r="AF299">
        <v>-1.9752334709161401</v>
      </c>
      <c r="AG299">
        <v>2.3223280000000002</v>
      </c>
      <c r="AH299">
        <v>288.60553208226401</v>
      </c>
      <c r="AI299">
        <v>89.538977633869393</v>
      </c>
      <c r="AJ299">
        <v>90.392129608970194</v>
      </c>
      <c r="AK299">
        <v>288.62163450283998</v>
      </c>
      <c r="AL299">
        <v>93.362984707677597</v>
      </c>
      <c r="AM299">
        <v>90.586156763225802</v>
      </c>
      <c r="AN299">
        <v>1.0000000058079099</v>
      </c>
    </row>
    <row r="300" spans="1:40" x14ac:dyDescent="0.25">
      <c r="A300" t="str">
        <f>"20190303153748794"</f>
        <v>20190303153748794</v>
      </c>
      <c r="B300" t="str">
        <f>"1551598668789731"</f>
        <v>1551598668789731</v>
      </c>
      <c r="C300" t="s">
        <v>40</v>
      </c>
      <c r="D300">
        <v>4.0760500000000004</v>
      </c>
      <c r="E300">
        <v>0.50210140000000003</v>
      </c>
      <c r="F300" t="s">
        <v>41</v>
      </c>
      <c r="G300">
        <v>-158.19499999999999</v>
      </c>
      <c r="H300">
        <v>2.449697</v>
      </c>
      <c r="I300">
        <v>374.96820000000002</v>
      </c>
      <c r="J300">
        <v>-446.58789999999999</v>
      </c>
      <c r="K300">
        <v>1.120088</v>
      </c>
      <c r="L300">
        <v>367.50959999999998</v>
      </c>
      <c r="M300">
        <v>0.99978990000000001</v>
      </c>
      <c r="N300">
        <v>-4.900499E-3</v>
      </c>
      <c r="O300">
        <v>1.9910259999999999E-2</v>
      </c>
      <c r="P300">
        <v>0.99744960000000005</v>
      </c>
      <c r="Q300">
        <v>-6.4998749999999994E-2</v>
      </c>
      <c r="R300">
        <v>2.9490840000000001E-2</v>
      </c>
      <c r="S300">
        <v>3.0058289999999999</v>
      </c>
      <c r="T300">
        <v>1.3853310000000001E-2</v>
      </c>
      <c r="U300">
        <v>7.7728270000000002E-2</v>
      </c>
      <c r="V300">
        <v>-9.6681590000000008E-3</v>
      </c>
      <c r="W300">
        <v>-6.0101160000000001E-2</v>
      </c>
      <c r="X300">
        <v>0.99814550000000002</v>
      </c>
      <c r="Y300">
        <v>-5.9424730000000002E-3</v>
      </c>
      <c r="Z300">
        <v>1.9017249999999999E-4</v>
      </c>
      <c r="AA300">
        <v>0.99998229999999999</v>
      </c>
      <c r="AB300">
        <v>22</v>
      </c>
      <c r="AC300">
        <v>288.3929</v>
      </c>
      <c r="AD300">
        <v>1.329609</v>
      </c>
      <c r="AE300">
        <v>7.4586000000000396</v>
      </c>
      <c r="AF300">
        <v>-1.7150392525557701</v>
      </c>
      <c r="AG300">
        <v>1.329609</v>
      </c>
      <c r="AH300">
        <v>288.47810751805702</v>
      </c>
      <c r="AI300">
        <v>89.735927626908506</v>
      </c>
      <c r="AJ300">
        <v>90.340626725666695</v>
      </c>
      <c r="AK300">
        <v>288.48626958129302</v>
      </c>
      <c r="AL300">
        <v>93.445619180619204</v>
      </c>
      <c r="AM300">
        <v>90.554956550384901</v>
      </c>
      <c r="AN300">
        <v>1.00000003095102</v>
      </c>
    </row>
    <row r="301" spans="1:40" x14ac:dyDescent="0.25">
      <c r="A301" t="str">
        <f>"20190303153748807"</f>
        <v>20190303153748807</v>
      </c>
      <c r="B301" t="str">
        <f>"1551598668799490"</f>
        <v>1551598668799490</v>
      </c>
      <c r="C301" t="s">
        <v>40</v>
      </c>
      <c r="D301">
        <v>4.091475</v>
      </c>
      <c r="E301">
        <v>0.50214179999999997</v>
      </c>
      <c r="F301" t="s">
        <v>41</v>
      </c>
      <c r="G301">
        <v>-158.19499999999999</v>
      </c>
      <c r="H301">
        <v>1.9122840000000001</v>
      </c>
      <c r="I301">
        <v>374.6506</v>
      </c>
      <c r="J301">
        <v>-446.44720000000001</v>
      </c>
      <c r="K301">
        <v>1.1201620000000001</v>
      </c>
      <c r="L301">
        <v>367.51209999999998</v>
      </c>
      <c r="M301">
        <v>0.9997914</v>
      </c>
      <c r="N301">
        <v>-5.5971019999999996E-3</v>
      </c>
      <c r="O301">
        <v>1.9640319999999999E-2</v>
      </c>
      <c r="P301">
        <v>0.99733850000000002</v>
      </c>
      <c r="Q301">
        <v>-6.7062819999999995E-2</v>
      </c>
      <c r="R301">
        <v>2.861145E-2</v>
      </c>
      <c r="S301">
        <v>3.0060120000000001</v>
      </c>
      <c r="T301">
        <v>8.2582239999999998E-3</v>
      </c>
      <c r="U301">
        <v>7.4432369999999998E-2</v>
      </c>
      <c r="V301">
        <v>-9.063415E-3</v>
      </c>
      <c r="W301">
        <v>-6.1470770000000001E-2</v>
      </c>
      <c r="X301">
        <v>0.9980677</v>
      </c>
      <c r="Y301">
        <v>-5.1149059999999998E-3</v>
      </c>
      <c r="Z301">
        <v>1.711583E-4</v>
      </c>
      <c r="AA301">
        <v>0.99998690000000001</v>
      </c>
      <c r="AB301">
        <v>22</v>
      </c>
      <c r="AC301">
        <v>288.25220000000002</v>
      </c>
      <c r="AD301">
        <v>0.79212199999999999</v>
      </c>
      <c r="AE301">
        <v>7.1385000000000201</v>
      </c>
      <c r="AF301">
        <v>-1.4756575021959399</v>
      </c>
      <c r="AG301">
        <v>0.79212199999999999</v>
      </c>
      <c r="AH301">
        <v>288.33462594996502</v>
      </c>
      <c r="AI301">
        <v>89.842597680487202</v>
      </c>
      <c r="AJ301">
        <v>90.293229467088494</v>
      </c>
      <c r="AK301">
        <v>288.33949008769702</v>
      </c>
      <c r="AL301">
        <v>93.524237660197798</v>
      </c>
      <c r="AM301">
        <v>90.520286503421502</v>
      </c>
      <c r="AN301">
        <v>0.99999996741957198</v>
      </c>
    </row>
    <row r="302" spans="1:40" x14ac:dyDescent="0.25">
      <c r="A302" t="str">
        <f>"20190303153748825"</f>
        <v>20190303153748825</v>
      </c>
      <c r="B302" t="str">
        <f>"1551598668819010"</f>
        <v>1551598668819010</v>
      </c>
      <c r="C302" t="s">
        <v>40</v>
      </c>
      <c r="D302">
        <v>4.0816970000000001</v>
      </c>
      <c r="E302">
        <v>0.50224329999999995</v>
      </c>
      <c r="F302" t="s">
        <v>41</v>
      </c>
      <c r="G302">
        <v>-158.19499999999999</v>
      </c>
      <c r="H302">
        <v>1.3490359999999999</v>
      </c>
      <c r="I302">
        <v>374.37439999999998</v>
      </c>
      <c r="J302">
        <v>-446.27379999999999</v>
      </c>
      <c r="K302">
        <v>1.120247</v>
      </c>
      <c r="L302">
        <v>367.51510000000002</v>
      </c>
      <c r="M302">
        <v>0.99979340000000005</v>
      </c>
      <c r="N302">
        <v>-6.4272130000000002E-3</v>
      </c>
      <c r="O302">
        <v>1.929003E-2</v>
      </c>
      <c r="P302">
        <v>0.99723740000000005</v>
      </c>
      <c r="Q302">
        <v>-6.9532579999999997E-2</v>
      </c>
      <c r="R302">
        <v>2.6133E-2</v>
      </c>
      <c r="S302">
        <v>3.0060730000000002</v>
      </c>
      <c r="T302">
        <v>2.3877619999999999E-3</v>
      </c>
      <c r="U302">
        <v>7.1563719999999997E-2</v>
      </c>
      <c r="V302">
        <v>-6.9391459999999898E-3</v>
      </c>
      <c r="W302">
        <v>-6.3114400000000001E-2</v>
      </c>
      <c r="X302">
        <v>0.99798220000000004</v>
      </c>
      <c r="Y302">
        <v>-4.5107589999999996E-3</v>
      </c>
      <c r="Z302">
        <v>1.5200279999999999E-4</v>
      </c>
      <c r="AA302">
        <v>0.99998980000000004</v>
      </c>
      <c r="AB302">
        <v>22</v>
      </c>
      <c r="AC302">
        <v>288.0788</v>
      </c>
      <c r="AD302">
        <v>0.22878899999999999</v>
      </c>
      <c r="AE302">
        <v>6.8592999999999602</v>
      </c>
      <c r="AF302">
        <v>-1.30086005600427</v>
      </c>
      <c r="AG302">
        <v>0.22878899999999999</v>
      </c>
      <c r="AH302">
        <v>288.15733216479202</v>
      </c>
      <c r="AI302">
        <v>89.954509199291294</v>
      </c>
      <c r="AJ302">
        <v>90.258654826036604</v>
      </c>
      <c r="AK302">
        <v>288.16035928215803</v>
      </c>
      <c r="AL302">
        <v>93.618593772604399</v>
      </c>
      <c r="AM302">
        <v>90.398381225765903</v>
      </c>
      <c r="AN302">
        <v>1.0000000253757</v>
      </c>
    </row>
    <row r="303" spans="1:40" x14ac:dyDescent="0.25">
      <c r="A303" t="str">
        <f>"20190303153748838"</f>
        <v>20190303153748838</v>
      </c>
      <c r="B303" t="str">
        <f>"1551598668829746"</f>
        <v>1551598668829746</v>
      </c>
      <c r="C303" t="s">
        <v>40</v>
      </c>
      <c r="D303">
        <v>4.0687959999999999</v>
      </c>
      <c r="E303">
        <v>0.50226660000000001</v>
      </c>
      <c r="F303" t="s">
        <v>41</v>
      </c>
      <c r="G303">
        <v>-158.19499999999999</v>
      </c>
      <c r="H303">
        <v>0.58298059999999996</v>
      </c>
      <c r="I303">
        <v>373.53070000000002</v>
      </c>
      <c r="J303">
        <v>-446.14179999999999</v>
      </c>
      <c r="K303">
        <v>1.120306</v>
      </c>
      <c r="L303">
        <v>367.51729999999998</v>
      </c>
      <c r="M303">
        <v>0.99979450000000003</v>
      </c>
      <c r="N303">
        <v>-7.0254569999999997E-3</v>
      </c>
      <c r="O303">
        <v>1.901839E-2</v>
      </c>
      <c r="P303">
        <v>0.99718450000000003</v>
      </c>
      <c r="Q303">
        <v>-7.0826319999999998E-2</v>
      </c>
      <c r="R303">
        <v>2.4632310000000001E-2</v>
      </c>
      <c r="S303">
        <v>3.0062259999999998</v>
      </c>
      <c r="T303">
        <v>-5.6056980000000001E-3</v>
      </c>
      <c r="U303">
        <v>6.2774659999999996E-2</v>
      </c>
      <c r="V303">
        <v>-5.7111289999999997E-3</v>
      </c>
      <c r="W303">
        <v>-6.3812530000000006E-2</v>
      </c>
      <c r="X303">
        <v>0.99794550000000004</v>
      </c>
      <c r="Y303">
        <v>-1.858745E-3</v>
      </c>
      <c r="Z303">
        <v>1.064196E-4</v>
      </c>
      <c r="AA303">
        <v>0.99999830000000001</v>
      </c>
      <c r="AB303">
        <v>22</v>
      </c>
      <c r="AC303">
        <v>287.9468</v>
      </c>
      <c r="AD303">
        <v>-0.53732539999999995</v>
      </c>
      <c r="AE303">
        <v>6.0134000000000398</v>
      </c>
      <c r="AF303">
        <v>-0.53589103822945805</v>
      </c>
      <c r="AG303">
        <v>-0.53732539999999995</v>
      </c>
      <c r="AH303">
        <v>288.00808321371602</v>
      </c>
      <c r="AI303">
        <v>90.106894182584099</v>
      </c>
      <c r="AJ303">
        <v>90.106609019416297</v>
      </c>
      <c r="AK303">
        <v>288.009083006472</v>
      </c>
      <c r="AL303">
        <v>93.658674789511906</v>
      </c>
      <c r="AM303">
        <v>90.327893673229596</v>
      </c>
      <c r="AN303">
        <v>0.99999993847485003</v>
      </c>
    </row>
    <row r="304" spans="1:40" x14ac:dyDescent="0.25">
      <c r="A304" t="str">
        <f>"20190303153748851"</f>
        <v>20190303153748851</v>
      </c>
      <c r="B304" t="str">
        <f>"1551598668839506"</f>
        <v>1551598668839506</v>
      </c>
      <c r="C304" t="s">
        <v>40</v>
      </c>
      <c r="D304">
        <v>4.0816019999999904</v>
      </c>
      <c r="E304">
        <v>0.50228850000000003</v>
      </c>
      <c r="F304" t="s">
        <v>41</v>
      </c>
      <c r="G304">
        <v>-158.19499999999999</v>
      </c>
      <c r="H304">
        <v>0.1828275</v>
      </c>
      <c r="I304">
        <v>373.05349999999999</v>
      </c>
      <c r="J304">
        <v>-446.02690000000001</v>
      </c>
      <c r="K304">
        <v>1.1203529999999999</v>
      </c>
      <c r="L304">
        <v>367.51929999999999</v>
      </c>
      <c r="M304">
        <v>0.9997954</v>
      </c>
      <c r="N304">
        <v>-7.5295900000000001E-3</v>
      </c>
      <c r="O304">
        <v>1.8780910000000001E-2</v>
      </c>
      <c r="P304">
        <v>0.99718819999999997</v>
      </c>
      <c r="Q304">
        <v>-7.1349979999999993E-2</v>
      </c>
      <c r="R304">
        <v>2.2910159999999999E-2</v>
      </c>
      <c r="S304">
        <v>3.0063170000000001</v>
      </c>
      <c r="T304">
        <v>-9.7868439999999994E-3</v>
      </c>
      <c r="U304">
        <v>5.7800289999999997E-2</v>
      </c>
      <c r="V304">
        <v>-4.2259669999999997E-3</v>
      </c>
      <c r="W304">
        <v>-6.3834440000000006E-2</v>
      </c>
      <c r="X304">
        <v>0.99795160000000005</v>
      </c>
      <c r="Y304">
        <v>-4.4153440000000002E-4</v>
      </c>
      <c r="Z304" s="1">
        <v>8.2667070000000005E-5</v>
      </c>
      <c r="AA304">
        <v>0.99999990000000005</v>
      </c>
      <c r="AB304">
        <v>22</v>
      </c>
      <c r="AC304">
        <v>287.83190000000002</v>
      </c>
      <c r="AD304">
        <v>-0.93752550000000001</v>
      </c>
      <c r="AE304">
        <v>5.5341999999999896</v>
      </c>
      <c r="AF304">
        <v>-0.12732493623251101</v>
      </c>
      <c r="AG304">
        <v>-0.93752550000000001</v>
      </c>
      <c r="AH304">
        <v>287.88201738811102</v>
      </c>
      <c r="AI304">
        <v>90.186590533414304</v>
      </c>
      <c r="AJ304">
        <v>90.025340870761497</v>
      </c>
      <c r="AK304">
        <v>287.88357212795501</v>
      </c>
      <c r="AL304">
        <v>93.659932313485598</v>
      </c>
      <c r="AM304">
        <v>90.242625620490898</v>
      </c>
      <c r="AN304">
        <v>1.0000000452348701</v>
      </c>
    </row>
    <row r="305" spans="1:40" x14ac:dyDescent="0.25">
      <c r="A305" t="str">
        <f>"20190303153748869"</f>
        <v>20190303153748869</v>
      </c>
      <c r="B305" t="str">
        <f>"1551598668859026"</f>
        <v>1551598668859026</v>
      </c>
      <c r="C305" t="s">
        <v>40</v>
      </c>
      <c r="D305">
        <v>4.0680800000000001</v>
      </c>
      <c r="E305">
        <v>0.50233209999999995</v>
      </c>
      <c r="F305" t="s">
        <v>45</v>
      </c>
      <c r="G305">
        <v>-179.98490000000001</v>
      </c>
      <c r="H305">
        <v>6.5059649999999997E-2</v>
      </c>
      <c r="I305">
        <v>372.20209999999997</v>
      </c>
      <c r="J305">
        <v>-445.8374</v>
      </c>
      <c r="K305">
        <v>1.120414</v>
      </c>
      <c r="L305">
        <v>367.5224</v>
      </c>
      <c r="M305">
        <v>0.99979649999999998</v>
      </c>
      <c r="N305">
        <v>-8.2927869999999994E-3</v>
      </c>
      <c r="O305">
        <v>1.8394839999999999E-2</v>
      </c>
      <c r="P305">
        <v>0.99712509999999999</v>
      </c>
      <c r="Q305">
        <v>-7.3008539999999997E-2</v>
      </c>
      <c r="R305">
        <v>2.027808E-2</v>
      </c>
      <c r="S305">
        <v>3.006348</v>
      </c>
      <c r="T305">
        <v>-1.1925099999999999E-2</v>
      </c>
      <c r="U305">
        <v>5.2917480000000003E-2</v>
      </c>
      <c r="V305">
        <v>-1.9802579999999999E-3</v>
      </c>
      <c r="W305">
        <v>-6.4733949999999998E-2</v>
      </c>
      <c r="X305">
        <v>0.99790060000000003</v>
      </c>
      <c r="Y305">
        <v>7.9621789999999998E-4</v>
      </c>
      <c r="Z305" s="1">
        <v>7.4714010000000004E-5</v>
      </c>
      <c r="AA305">
        <v>0.99999970000000005</v>
      </c>
      <c r="AB305">
        <v>22</v>
      </c>
      <c r="AC305">
        <v>265.85250000000002</v>
      </c>
      <c r="AD305">
        <v>-1.05535435</v>
      </c>
      <c r="AE305">
        <v>4.6796999999999596</v>
      </c>
      <c r="AF305">
        <v>0.211570442931138</v>
      </c>
      <c r="AG305">
        <v>-1.05535435</v>
      </c>
      <c r="AH305">
        <v>265.88941139751302</v>
      </c>
      <c r="AI305">
        <v>90.227414146173999</v>
      </c>
      <c r="AJ305">
        <v>89.954409275542105</v>
      </c>
      <c r="AK305">
        <v>265.89158999143302</v>
      </c>
      <c r="AL305">
        <v>93.711577403918596</v>
      </c>
      <c r="AM305">
        <v>90.113698976445093</v>
      </c>
      <c r="AN305">
        <v>1.00000000659235</v>
      </c>
    </row>
    <row r="306" spans="1:40" x14ac:dyDescent="0.25">
      <c r="A306" t="str">
        <f>"20190303153748883"</f>
        <v>20190303153748883</v>
      </c>
      <c r="B306" t="str">
        <f>"1551598668879522"</f>
        <v>1551598668879522</v>
      </c>
      <c r="C306" t="s">
        <v>40</v>
      </c>
      <c r="D306">
        <v>4.0468539999999997</v>
      </c>
      <c r="E306">
        <v>0.50235070000000004</v>
      </c>
      <c r="F306" t="s">
        <v>42</v>
      </c>
      <c r="G306">
        <v>-250.03749999999999</v>
      </c>
      <c r="H306" s="1">
        <v>-4.4076029999999998E-6</v>
      </c>
      <c r="I306">
        <v>370.43009999999998</v>
      </c>
      <c r="J306">
        <v>-445.7</v>
      </c>
      <c r="K306">
        <v>1.120458</v>
      </c>
      <c r="L306">
        <v>367.52460000000002</v>
      </c>
      <c r="M306">
        <v>0.99979720000000005</v>
      </c>
      <c r="N306">
        <v>-8.7962149999999996E-3</v>
      </c>
      <c r="O306">
        <v>1.8124459999999998E-2</v>
      </c>
      <c r="P306">
        <v>0.99710580000000004</v>
      </c>
      <c r="Q306">
        <v>-7.3611919999999997E-2</v>
      </c>
      <c r="R306">
        <v>1.90198E-2</v>
      </c>
      <c r="S306">
        <v>3.0064090000000001</v>
      </c>
      <c r="T306">
        <v>-1.7203449999999999E-2</v>
      </c>
      <c r="U306">
        <v>4.4647220000000001E-2</v>
      </c>
      <c r="V306">
        <v>-9.914632E-4</v>
      </c>
      <c r="W306">
        <v>-6.4836030000000003E-2</v>
      </c>
      <c r="X306">
        <v>0.99789539999999999</v>
      </c>
      <c r="Y306">
        <v>3.2763319999999999E-3</v>
      </c>
      <c r="Z306" s="1">
        <v>3.1950540000000001E-5</v>
      </c>
      <c r="AA306">
        <v>0.99999459999999996</v>
      </c>
      <c r="AB306">
        <v>22</v>
      </c>
      <c r="AC306">
        <v>195.66249999999999</v>
      </c>
      <c r="AD306">
        <v>-1.1204624076030001</v>
      </c>
      <c r="AE306">
        <v>2.90549999999996</v>
      </c>
      <c r="AF306">
        <v>0.64137007660376</v>
      </c>
      <c r="AG306">
        <v>-1.1204624076030001</v>
      </c>
      <c r="AH306">
        <v>195.676604969491</v>
      </c>
      <c r="AI306">
        <v>90.328075605182406</v>
      </c>
      <c r="AJ306">
        <v>89.812202041711402</v>
      </c>
      <c r="AK306">
        <v>195.680863969802</v>
      </c>
      <c r="AL306">
        <v>93.717438637340905</v>
      </c>
      <c r="AM306">
        <v>90.056926445607701</v>
      </c>
      <c r="AN306">
        <v>0.99999996156329796</v>
      </c>
    </row>
    <row r="307" spans="1:40" x14ac:dyDescent="0.25">
      <c r="A307" t="str">
        <f>"20190303153748897"</f>
        <v>20190303153748897</v>
      </c>
      <c r="B307" t="str">
        <f>"1551598668889283"</f>
        <v>1551598668889283</v>
      </c>
      <c r="C307" t="s">
        <v>40</v>
      </c>
      <c r="D307">
        <v>4.0613780000000004</v>
      </c>
      <c r="E307">
        <v>0.50236059999999905</v>
      </c>
      <c r="F307" t="s">
        <v>42</v>
      </c>
      <c r="G307">
        <v>-267.65010000000001</v>
      </c>
      <c r="H307" s="1">
        <v>-1.0743579999999999E-6</v>
      </c>
      <c r="I307">
        <v>369.93180000000001</v>
      </c>
      <c r="J307">
        <v>-445.57740000000001</v>
      </c>
      <c r="K307">
        <v>1.1204940000000001</v>
      </c>
      <c r="L307">
        <v>367.5265</v>
      </c>
      <c r="M307">
        <v>0.99979750000000001</v>
      </c>
      <c r="N307">
        <v>-9.2196199999999996E-3</v>
      </c>
      <c r="O307">
        <v>1.7890070000000001E-2</v>
      </c>
      <c r="P307">
        <v>0.99708969999999997</v>
      </c>
      <c r="Q307">
        <v>-7.4147160000000004E-2</v>
      </c>
      <c r="R307">
        <v>1.7729869999999998E-2</v>
      </c>
      <c r="S307">
        <v>3.0065309999999998</v>
      </c>
      <c r="T307">
        <v>-1.891994E-2</v>
      </c>
      <c r="U307">
        <v>4.0649409999999997E-2</v>
      </c>
      <c r="V307" s="1">
        <v>6.5895419999999994E-5</v>
      </c>
      <c r="W307">
        <v>-6.4949850000000003E-2</v>
      </c>
      <c r="X307">
        <v>0.99788849999999996</v>
      </c>
      <c r="Y307">
        <v>4.3719279999999998E-3</v>
      </c>
      <c r="Z307" s="1">
        <v>1.8469829999999999E-5</v>
      </c>
      <c r="AA307">
        <v>0.9999905</v>
      </c>
      <c r="AB307">
        <v>22</v>
      </c>
      <c r="AC307">
        <v>177.9273</v>
      </c>
      <c r="AD307">
        <v>-1.120495074358</v>
      </c>
      <c r="AE307">
        <v>2.4053000000000102</v>
      </c>
      <c r="AF307">
        <v>0.77832110731451198</v>
      </c>
      <c r="AG307">
        <v>-1.120495074358</v>
      </c>
      <c r="AH307">
        <v>177.93479957711901</v>
      </c>
      <c r="AI307">
        <v>90.360796067634894</v>
      </c>
      <c r="AJ307">
        <v>89.749378816021206</v>
      </c>
      <c r="AK307">
        <v>177.94002976707401</v>
      </c>
      <c r="AL307">
        <v>93.7239737756084</v>
      </c>
      <c r="AM307">
        <v>89.996216481651203</v>
      </c>
      <c r="AN307">
        <v>0.99999997289473896</v>
      </c>
    </row>
    <row r="308" spans="1:40" x14ac:dyDescent="0.25">
      <c r="A308" t="str">
        <f>"20190303153748913"</f>
        <v>20190303153748913</v>
      </c>
      <c r="B308" t="str">
        <f>"1551598668909778"</f>
        <v>1551598668909778</v>
      </c>
      <c r="C308" t="s">
        <v>40</v>
      </c>
      <c r="D308">
        <v>4.044702</v>
      </c>
      <c r="E308">
        <v>0.50232319999999997</v>
      </c>
      <c r="F308" t="s">
        <v>42</v>
      </c>
      <c r="G308">
        <v>-278.79590000000002</v>
      </c>
      <c r="H308" s="1">
        <v>-5.0923050000000003E-7</v>
      </c>
      <c r="I308">
        <v>369.55790000000002</v>
      </c>
      <c r="J308">
        <v>-445.41309999999999</v>
      </c>
      <c r="K308">
        <v>1.1205419999999999</v>
      </c>
      <c r="L308">
        <v>367.52910000000003</v>
      </c>
      <c r="M308">
        <v>0.99979779999999996</v>
      </c>
      <c r="N308">
        <v>-9.7483329999999997E-3</v>
      </c>
      <c r="O308">
        <v>1.7586790000000001E-2</v>
      </c>
      <c r="P308">
        <v>0.99709139999999996</v>
      </c>
      <c r="Q308">
        <v>-7.4322750000000007E-2</v>
      </c>
      <c r="R308">
        <v>1.6889939999999999E-2</v>
      </c>
      <c r="S308">
        <v>3.0065919999999999</v>
      </c>
      <c r="T308">
        <v>-2.01993E-2</v>
      </c>
      <c r="U308">
        <v>3.6621090000000002E-2</v>
      </c>
      <c r="V308">
        <v>6.0548229999999995E-4</v>
      </c>
      <c r="W308">
        <v>-6.4598269999999999E-2</v>
      </c>
      <c r="X308">
        <v>0.9979112</v>
      </c>
      <c r="Y308">
        <v>5.4084629999999996E-3</v>
      </c>
      <c r="Z308" s="1">
        <v>8.7800239999999996E-6</v>
      </c>
      <c r="AA308">
        <v>0.99998540000000002</v>
      </c>
      <c r="AB308">
        <v>22</v>
      </c>
      <c r="AC308">
        <v>166.617199999999</v>
      </c>
      <c r="AD308">
        <v>-1.1205425092304999</v>
      </c>
      <c r="AE308">
        <v>2.02879999999998</v>
      </c>
      <c r="AF308">
        <v>0.90187401613568996</v>
      </c>
      <c r="AG308">
        <v>-1.1205425092304999</v>
      </c>
      <c r="AH308">
        <v>166.619575464121</v>
      </c>
      <c r="AI308">
        <v>90.385311558032001</v>
      </c>
      <c r="AJ308">
        <v>89.689873953910293</v>
      </c>
      <c r="AK308">
        <v>166.62578407947601</v>
      </c>
      <c r="AL308">
        <v>93.703787109100105</v>
      </c>
      <c r="AM308">
        <v>89.965235808453997</v>
      </c>
      <c r="AN308">
        <v>1.00000003309062</v>
      </c>
    </row>
    <row r="309" spans="1:40" x14ac:dyDescent="0.25">
      <c r="A309" t="str">
        <f>"20190303153748927"</f>
        <v>20190303153748927</v>
      </c>
      <c r="B309" t="str">
        <f>"1551598668919539"</f>
        <v>1551598668919539</v>
      </c>
      <c r="C309" t="s">
        <v>40</v>
      </c>
      <c r="D309">
        <v>4.0408299999999997</v>
      </c>
      <c r="E309">
        <v>0.50231689999999996</v>
      </c>
      <c r="F309" t="s">
        <v>43</v>
      </c>
      <c r="G309">
        <v>-273.09460000000001</v>
      </c>
      <c r="H309">
        <v>-0.05</v>
      </c>
      <c r="I309">
        <v>369.48630000000003</v>
      </c>
      <c r="J309">
        <v>-445.28129999999999</v>
      </c>
      <c r="K309">
        <v>1.120579</v>
      </c>
      <c r="L309">
        <v>367.53120000000001</v>
      </c>
      <c r="M309">
        <v>0.99979790000000002</v>
      </c>
      <c r="N309">
        <v>-1.013876E-2</v>
      </c>
      <c r="O309">
        <v>1.735507E-2</v>
      </c>
      <c r="P309">
        <v>0.99710520000000002</v>
      </c>
      <c r="Q309">
        <v>-7.4208079999999996E-2</v>
      </c>
      <c r="R309">
        <v>1.6562509999999999E-2</v>
      </c>
      <c r="S309">
        <v>3.006653</v>
      </c>
      <c r="T309">
        <v>-2.042389E-2</v>
      </c>
      <c r="U309">
        <v>3.414917E-2</v>
      </c>
      <c r="V309">
        <v>7.0424460000000002E-4</v>
      </c>
      <c r="W309">
        <v>-6.4093940000000002E-2</v>
      </c>
      <c r="X309">
        <v>0.99794360000000004</v>
      </c>
      <c r="Y309">
        <v>5.9989750000000001E-3</v>
      </c>
      <c r="Z309" s="1">
        <v>7.3029349999999999E-6</v>
      </c>
      <c r="AA309">
        <v>0.99998200000000004</v>
      </c>
      <c r="AB309">
        <v>22</v>
      </c>
      <c r="AC309">
        <v>172.18669999999901</v>
      </c>
      <c r="AD309">
        <v>-1.170579</v>
      </c>
      <c r="AE309">
        <v>1.9551000000000101</v>
      </c>
      <c r="AF309">
        <v>1.03361280747713</v>
      </c>
      <c r="AG309">
        <v>-1.170579</v>
      </c>
      <c r="AH309">
        <v>172.18673989893901</v>
      </c>
      <c r="AI309">
        <v>90.389501507484894</v>
      </c>
      <c r="AJ309">
        <v>89.656065616714201</v>
      </c>
      <c r="AK309">
        <v>172.19382104958299</v>
      </c>
      <c r="AL309">
        <v>93.674831321353693</v>
      </c>
      <c r="AM309">
        <v>89.959566616162803</v>
      </c>
      <c r="AN309">
        <v>0.99999997894307002</v>
      </c>
    </row>
    <row r="310" spans="1:40" x14ac:dyDescent="0.25">
      <c r="A310" t="str">
        <f>"20190303153748950"</f>
        <v>20190303153748950</v>
      </c>
      <c r="B310" t="str">
        <f>"1551598668939058"</f>
        <v>1551598668939058</v>
      </c>
      <c r="C310" t="s">
        <v>40</v>
      </c>
      <c r="D310">
        <v>4.0458080000000001</v>
      </c>
      <c r="E310">
        <v>0.50225929999999996</v>
      </c>
      <c r="F310" t="s">
        <v>42</v>
      </c>
      <c r="G310">
        <v>-273.04169999999999</v>
      </c>
      <c r="H310" s="1">
        <v>-2.9992520000000002E-6</v>
      </c>
      <c r="I310">
        <v>369.43669999999997</v>
      </c>
      <c r="J310">
        <v>-445.05689999999998</v>
      </c>
      <c r="K310">
        <v>1.1206400000000001</v>
      </c>
      <c r="L310">
        <v>367.53460000000001</v>
      </c>
      <c r="M310">
        <v>0.99979819999999997</v>
      </c>
      <c r="N310">
        <v>-1.07361E-2</v>
      </c>
      <c r="O310">
        <v>1.6981840000000002E-2</v>
      </c>
      <c r="P310">
        <v>0.99715569999999998</v>
      </c>
      <c r="Q310">
        <v>-7.3501259999999999E-2</v>
      </c>
      <c r="R310">
        <v>1.6680279999999999E-2</v>
      </c>
      <c r="S310">
        <v>3.0067140000000001</v>
      </c>
      <c r="T310">
        <v>-1.9561530000000001E-2</v>
      </c>
      <c r="U310">
        <v>3.3264160000000001E-2</v>
      </c>
      <c r="V310">
        <v>2.1965750000000001E-4</v>
      </c>
      <c r="W310">
        <v>-6.279013E-2</v>
      </c>
      <c r="X310">
        <v>0.99802670000000004</v>
      </c>
      <c r="Y310">
        <v>5.92027E-3</v>
      </c>
      <c r="Z310" s="1">
        <v>2.0817830000000001E-5</v>
      </c>
      <c r="AA310">
        <v>0.9999825</v>
      </c>
      <c r="AB310">
        <v>22</v>
      </c>
      <c r="AC310">
        <v>172.01519999999999</v>
      </c>
      <c r="AD310">
        <v>-1.1206429992519999</v>
      </c>
      <c r="AE310">
        <v>1.9020999999999599</v>
      </c>
      <c r="AF310">
        <v>1.01943389725734</v>
      </c>
      <c r="AG310">
        <v>-1.1206429992519999</v>
      </c>
      <c r="AH310">
        <v>172.01539538189601</v>
      </c>
      <c r="AI310">
        <v>90.373257743612101</v>
      </c>
      <c r="AJ310">
        <v>89.660445648677197</v>
      </c>
      <c r="AK310">
        <v>172.022066417633</v>
      </c>
      <c r="AL310">
        <v>93.599977740964903</v>
      </c>
      <c r="AM310">
        <v>89.987389668547706</v>
      </c>
      <c r="AN310">
        <v>0.99999997129386098</v>
      </c>
    </row>
    <row r="311" spans="1:40" x14ac:dyDescent="0.25">
      <c r="A311" t="str">
        <f>"20190303153748972"</f>
        <v>20190303153748972</v>
      </c>
      <c r="B311" t="str">
        <f>"1551598668959553"</f>
        <v>1551598668959553</v>
      </c>
      <c r="C311" t="s">
        <v>40</v>
      </c>
      <c r="D311">
        <v>4.0529270000000004</v>
      </c>
      <c r="E311">
        <v>0.5021698</v>
      </c>
      <c r="F311" t="s">
        <v>42</v>
      </c>
      <c r="G311">
        <v>-244.79750000000001</v>
      </c>
      <c r="H311" s="1">
        <v>-2.4883069999999999E-6</v>
      </c>
      <c r="I311">
        <v>369.7989</v>
      </c>
      <c r="J311">
        <v>-444.84679999999997</v>
      </c>
      <c r="K311">
        <v>1.120689</v>
      </c>
      <c r="L311">
        <v>367.5378</v>
      </c>
      <c r="M311">
        <v>0.99979819999999997</v>
      </c>
      <c r="N311">
        <v>-1.1221449999999999E-2</v>
      </c>
      <c r="O311">
        <v>1.6661220000000001E-2</v>
      </c>
      <c r="P311">
        <v>0.99720710000000001</v>
      </c>
      <c r="Q311">
        <v>-7.2620290000000004E-2</v>
      </c>
      <c r="R311">
        <v>1.7449449999999998E-2</v>
      </c>
      <c r="S311">
        <v>3.0067140000000001</v>
      </c>
      <c r="T311">
        <v>-1.6825440000000001E-2</v>
      </c>
      <c r="U311">
        <v>3.3996579999999998E-2</v>
      </c>
      <c r="V311">
        <v>-8.6412670000000002E-4</v>
      </c>
      <c r="W311">
        <v>-6.1423449999999997E-2</v>
      </c>
      <c r="X311">
        <v>0.99811139999999998</v>
      </c>
      <c r="Y311">
        <v>5.3560930000000001E-3</v>
      </c>
      <c r="Z311" s="1">
        <v>4.8709289999999997E-5</v>
      </c>
      <c r="AA311">
        <v>0.99998560000000003</v>
      </c>
      <c r="AB311">
        <v>22</v>
      </c>
      <c r="AC311">
        <v>200.04929999999999</v>
      </c>
      <c r="AD311">
        <v>-1.120691488307</v>
      </c>
      <c r="AE311">
        <v>2.2610999999999901</v>
      </c>
      <c r="AF311">
        <v>1.07245558439267</v>
      </c>
      <c r="AG311">
        <v>-1.120691488307</v>
      </c>
      <c r="AH311">
        <v>200.05292565249499</v>
      </c>
      <c r="AI311">
        <v>90.320961555070994</v>
      </c>
      <c r="AJ311">
        <v>89.692848330655295</v>
      </c>
      <c r="AK311">
        <v>200.05893924670099</v>
      </c>
      <c r="AL311">
        <v>93.521521257497596</v>
      </c>
      <c r="AM311">
        <v>90.049604483531994</v>
      </c>
      <c r="AN311">
        <v>0.99999997686740705</v>
      </c>
    </row>
    <row r="312" spans="1:40" x14ac:dyDescent="0.25">
      <c r="A312" t="str">
        <f>"20190303153748993"</f>
        <v>20190303153748993</v>
      </c>
      <c r="B312" t="str">
        <f>"1551598668979075"</f>
        <v>1551598668979075</v>
      </c>
      <c r="C312" t="s">
        <v>40</v>
      </c>
      <c r="D312">
        <v>4.0396229999999997</v>
      </c>
      <c r="E312">
        <v>0.50210180000000004</v>
      </c>
      <c r="F312" t="s">
        <v>45</v>
      </c>
      <c r="G312">
        <v>-200.7235</v>
      </c>
      <c r="H312" s="1">
        <v>-2.8096869999999998E-6</v>
      </c>
      <c r="I312">
        <v>370.56560000000002</v>
      </c>
      <c r="J312">
        <v>-444.64069999999998</v>
      </c>
      <c r="K312">
        <v>1.120735</v>
      </c>
      <c r="L312">
        <v>367.54079999999999</v>
      </c>
      <c r="M312">
        <v>0.99979839999999998</v>
      </c>
      <c r="N312">
        <v>-1.1639429999999999E-2</v>
      </c>
      <c r="O312">
        <v>1.6367590000000001E-2</v>
      </c>
      <c r="P312">
        <v>0.99725370000000002</v>
      </c>
      <c r="Q312">
        <v>-7.1748389999999995E-2</v>
      </c>
      <c r="R312">
        <v>1.8368229999999999E-2</v>
      </c>
      <c r="S312">
        <v>3.0067439999999999</v>
      </c>
      <c r="T312">
        <v>-1.3803009999999999E-2</v>
      </c>
      <c r="U312">
        <v>3.7292480000000003E-2</v>
      </c>
      <c r="V312">
        <v>-2.0707880000000001E-3</v>
      </c>
      <c r="W312">
        <v>-6.0133140000000002E-2</v>
      </c>
      <c r="X312">
        <v>0.99818819999999997</v>
      </c>
      <c r="Y312">
        <v>3.9665610000000004E-3</v>
      </c>
      <c r="Z312" s="1">
        <v>8.3200059999999994E-5</v>
      </c>
      <c r="AA312">
        <v>0.99999210000000005</v>
      </c>
      <c r="AB312">
        <v>22</v>
      </c>
      <c r="AC312">
        <v>243.91720000000001</v>
      </c>
      <c r="AD312">
        <v>-1.120737809687</v>
      </c>
      <c r="AE312">
        <v>3.0248000000000199</v>
      </c>
      <c r="AF312">
        <v>0.96819156924974703</v>
      </c>
      <c r="AG312">
        <v>-1.120737809687</v>
      </c>
      <c r="AH312">
        <v>243.92888399905999</v>
      </c>
      <c r="AI312">
        <v>90.263243072106803</v>
      </c>
      <c r="AJ312">
        <v>89.772585359883607</v>
      </c>
      <c r="AK312">
        <v>243.93338003885299</v>
      </c>
      <c r="AL312">
        <v>93.447454986361507</v>
      </c>
      <c r="AM312">
        <v>90.118862597711896</v>
      </c>
      <c r="AN312">
        <v>0.99999998265421997</v>
      </c>
    </row>
    <row r="313" spans="1:40" x14ac:dyDescent="0.25">
      <c r="A313" t="str">
        <f>"20190303153749007"</f>
        <v>20190303153749007</v>
      </c>
      <c r="B313" t="str">
        <f>"1551598668999570"</f>
        <v>1551598668999570</v>
      </c>
      <c r="C313" t="s">
        <v>40</v>
      </c>
      <c r="D313">
        <v>4.0196290000000001</v>
      </c>
      <c r="E313">
        <v>0.50203710000000001</v>
      </c>
      <c r="F313" t="s">
        <v>41</v>
      </c>
      <c r="G313">
        <v>-158.19499999999999</v>
      </c>
      <c r="H313">
        <v>9.9715949999999998E-2</v>
      </c>
      <c r="I313">
        <v>371.3843</v>
      </c>
      <c r="J313">
        <v>-444.49970000000002</v>
      </c>
      <c r="K313">
        <v>1.1207609999999999</v>
      </c>
      <c r="L313">
        <v>367.54289999999997</v>
      </c>
      <c r="M313">
        <v>0.99979839999999998</v>
      </c>
      <c r="N313">
        <v>-1.189694E-2</v>
      </c>
      <c r="O313">
        <v>1.6178069999999999E-2</v>
      </c>
      <c r="P313">
        <v>0.99725200000000003</v>
      </c>
      <c r="Q313">
        <v>-7.1652370000000007E-2</v>
      </c>
      <c r="R313">
        <v>1.882814E-2</v>
      </c>
      <c r="S313">
        <v>3.0067750000000002</v>
      </c>
      <c r="T313">
        <v>-1.071656E-2</v>
      </c>
      <c r="U313">
        <v>4.0344240000000003E-2</v>
      </c>
      <c r="V313">
        <v>-2.7181689999999999E-3</v>
      </c>
      <c r="W313">
        <v>-5.9779770000000003E-2</v>
      </c>
      <c r="X313">
        <v>0.99820790000000004</v>
      </c>
      <c r="Y313">
        <v>2.7623050000000001E-3</v>
      </c>
      <c r="Z313">
        <v>1.134705E-4</v>
      </c>
      <c r="AA313">
        <v>0.9999962</v>
      </c>
      <c r="AB313">
        <v>22</v>
      </c>
      <c r="AC313">
        <v>286.30470000000003</v>
      </c>
      <c r="AD313">
        <v>-1.0210450499999999</v>
      </c>
      <c r="AE313">
        <v>3.8414000000000201</v>
      </c>
      <c r="AF313">
        <v>0.79127779984982805</v>
      </c>
      <c r="AG313">
        <v>-1.0210450499999999</v>
      </c>
      <c r="AH313">
        <v>286.32573487075001</v>
      </c>
      <c r="AI313">
        <v>90.204316600165996</v>
      </c>
      <c r="AJ313">
        <v>89.841660188322294</v>
      </c>
      <c r="AK313">
        <v>286.32864876366398</v>
      </c>
      <c r="AL313">
        <v>93.427171791380104</v>
      </c>
      <c r="AM313">
        <v>90.156018828110604</v>
      </c>
      <c r="AN313">
        <v>1.0000000104831801</v>
      </c>
    </row>
    <row r="314" spans="1:40" x14ac:dyDescent="0.25">
      <c r="A314" t="str">
        <f>"20190303153749020"</f>
        <v>20190303153749020</v>
      </c>
      <c r="B314" t="str">
        <f>"1551598669009330"</f>
        <v>1551598669009330</v>
      </c>
      <c r="C314" t="s">
        <v>40</v>
      </c>
      <c r="D314">
        <v>4.0267039999999996</v>
      </c>
      <c r="E314">
        <v>0.50204890000000002</v>
      </c>
      <c r="F314" t="s">
        <v>41</v>
      </c>
      <c r="G314">
        <v>-158.19499999999999</v>
      </c>
      <c r="H314">
        <v>0.1864007</v>
      </c>
      <c r="I314">
        <v>371.54719999999998</v>
      </c>
      <c r="J314">
        <v>-444.37740000000002</v>
      </c>
      <c r="K314">
        <v>1.120784</v>
      </c>
      <c r="L314">
        <v>367.54469999999998</v>
      </c>
      <c r="M314">
        <v>0.99979850000000003</v>
      </c>
      <c r="N314">
        <v>-1.2098029999999999E-2</v>
      </c>
      <c r="O314">
        <v>1.602311E-2</v>
      </c>
      <c r="P314">
        <v>0.99727080000000001</v>
      </c>
      <c r="Q314">
        <v>-7.1337600000000001E-2</v>
      </c>
      <c r="R314">
        <v>1.9029399999999998E-2</v>
      </c>
      <c r="S314">
        <v>3.0067439999999999</v>
      </c>
      <c r="T314">
        <v>-9.8116399999999999E-3</v>
      </c>
      <c r="U314">
        <v>4.2053220000000002E-2</v>
      </c>
      <c r="V314">
        <v>-3.0714430000000001E-3</v>
      </c>
      <c r="W314">
        <v>-5.9263929999999999E-2</v>
      </c>
      <c r="X314">
        <v>0.99823759999999995</v>
      </c>
      <c r="Y314">
        <v>2.038902E-3</v>
      </c>
      <c r="Z314">
        <v>1.259167E-4</v>
      </c>
      <c r="AA314">
        <v>0.9999979</v>
      </c>
      <c r="AB314">
        <v>22</v>
      </c>
      <c r="AC314">
        <v>286.18239999999997</v>
      </c>
      <c r="AD314">
        <v>-0.93438330000000003</v>
      </c>
      <c r="AE314">
        <v>4.0024999999999897</v>
      </c>
      <c r="AF314">
        <v>0.58387504495011799</v>
      </c>
      <c r="AG314">
        <v>-0.93438330000000003</v>
      </c>
      <c r="AH314">
        <v>286.20674179612598</v>
      </c>
      <c r="AI314">
        <v>90.187053308382104</v>
      </c>
      <c r="AJ314">
        <v>89.883114111079493</v>
      </c>
      <c r="AK314">
        <v>286.20886260172699</v>
      </c>
      <c r="AL314">
        <v>93.397563956876496</v>
      </c>
      <c r="AM314">
        <v>90.176290860588296</v>
      </c>
      <c r="AN314">
        <v>0.99999997660745299</v>
      </c>
    </row>
    <row r="315" spans="1:40" x14ac:dyDescent="0.25">
      <c r="A315" t="str">
        <f>"20190303153749037"</f>
        <v>20190303153749037</v>
      </c>
      <c r="B315" t="str">
        <f>"1551598669028850"</f>
        <v>1551598669028850</v>
      </c>
      <c r="C315" t="s">
        <v>40</v>
      </c>
      <c r="D315">
        <v>4.0479250000000002</v>
      </c>
      <c r="E315">
        <v>0.50202340000000001</v>
      </c>
      <c r="F315" t="s">
        <v>41</v>
      </c>
      <c r="G315">
        <v>-158.19499999999999</v>
      </c>
      <c r="H315">
        <v>0.2995796</v>
      </c>
      <c r="I315">
        <v>371.60539999999997</v>
      </c>
      <c r="J315">
        <v>-444.21019999999999</v>
      </c>
      <c r="K315">
        <v>1.1208049999999901</v>
      </c>
      <c r="L315">
        <v>367.5471</v>
      </c>
      <c r="M315">
        <v>0.99979850000000003</v>
      </c>
      <c r="N315">
        <v>-1.2352409999999999E-2</v>
      </c>
      <c r="O315">
        <v>1.5822360000000001E-2</v>
      </c>
      <c r="P315">
        <v>0.99726649999999994</v>
      </c>
      <c r="Q315">
        <v>-7.1235430000000002E-2</v>
      </c>
      <c r="R315">
        <v>1.9626029999999999E-2</v>
      </c>
      <c r="S315">
        <v>3.0067750000000002</v>
      </c>
      <c r="T315">
        <v>-8.6270569999999901E-3</v>
      </c>
      <c r="U315">
        <v>4.2663569999999998E-2</v>
      </c>
      <c r="V315">
        <v>-3.8664379999999998E-3</v>
      </c>
      <c r="W315">
        <v>-5.8907540000000001E-2</v>
      </c>
      <c r="X315">
        <v>0.99825600000000003</v>
      </c>
      <c r="Y315">
        <v>1.6352840000000001E-3</v>
      </c>
      <c r="Z315">
        <v>1.3761549999999901E-4</v>
      </c>
      <c r="AA315">
        <v>0.99999859999999896</v>
      </c>
      <c r="AB315">
        <v>22</v>
      </c>
      <c r="AC315">
        <v>286.01519999999999</v>
      </c>
      <c r="AD315">
        <v>-0.821225399999999</v>
      </c>
      <c r="AE315">
        <v>4.0582999999999698</v>
      </c>
      <c r="AF315">
        <v>0.46798506175427901</v>
      </c>
      <c r="AG315">
        <v>-0.821225399999999</v>
      </c>
      <c r="AH315">
        <v>286.04124984741799</v>
      </c>
      <c r="AI315">
        <v>90.164495705501594</v>
      </c>
      <c r="AJ315">
        <v>89.906259866352499</v>
      </c>
      <c r="AK315">
        <v>286.04281154304198</v>
      </c>
      <c r="AL315">
        <v>93.377108346276501</v>
      </c>
      <c r="AM315">
        <v>90.221916493751294</v>
      </c>
      <c r="AN315">
        <v>1.00000004457382</v>
      </c>
    </row>
    <row r="316" spans="1:40" x14ac:dyDescent="0.25">
      <c r="A316" t="str">
        <f>"20190303153749050"</f>
        <v>20190303153749050</v>
      </c>
      <c r="B316" t="str">
        <f>"1551598669039586"</f>
        <v>1551598669039586</v>
      </c>
      <c r="C316" t="s">
        <v>40</v>
      </c>
      <c r="D316">
        <v>4.0174989999999999</v>
      </c>
      <c r="E316">
        <v>0.5020095</v>
      </c>
      <c r="F316" t="s">
        <v>41</v>
      </c>
      <c r="G316">
        <v>-158.19499999999999</v>
      </c>
      <c r="H316">
        <v>0.33619379999999999</v>
      </c>
      <c r="I316">
        <v>371.81169999999997</v>
      </c>
      <c r="J316">
        <v>-444.08519999999999</v>
      </c>
      <c r="K316">
        <v>1.1208229999999999</v>
      </c>
      <c r="L316">
        <v>367.5489</v>
      </c>
      <c r="M316">
        <v>0.99979859999999998</v>
      </c>
      <c r="N316">
        <v>-1.252781E-2</v>
      </c>
      <c r="O316">
        <v>1.5681009999999999E-2</v>
      </c>
      <c r="P316">
        <v>0.99722639999999996</v>
      </c>
      <c r="Q316">
        <v>-7.1754830000000006E-2</v>
      </c>
      <c r="R316">
        <v>1.9772339999999999E-2</v>
      </c>
      <c r="S316">
        <v>3.0067140000000001</v>
      </c>
      <c r="T316">
        <v>-8.2472559999999997E-3</v>
      </c>
      <c r="U316">
        <v>4.483032E-2</v>
      </c>
      <c r="V316">
        <v>-4.1529080000000003E-3</v>
      </c>
      <c r="W316">
        <v>-5.9252239999999998E-2</v>
      </c>
      <c r="X316">
        <v>0.99823439999999997</v>
      </c>
      <c r="Y316">
        <v>7.7314470000000004E-4</v>
      </c>
      <c r="Z316">
        <v>1.4754779999999999E-4</v>
      </c>
      <c r="AA316">
        <v>0.99999970000000005</v>
      </c>
      <c r="AB316">
        <v>22</v>
      </c>
      <c r="AC316">
        <v>285.89019999999999</v>
      </c>
      <c r="AD316">
        <v>-0.78462919999999903</v>
      </c>
      <c r="AE316">
        <v>4.2627999999999702</v>
      </c>
      <c r="AF316">
        <v>0.22112129177634701</v>
      </c>
      <c r="AG316">
        <v>-0.78462919999999903</v>
      </c>
      <c r="AH316">
        <v>285.91974005514101</v>
      </c>
      <c r="AI316">
        <v>90.157232289520607</v>
      </c>
      <c r="AJ316">
        <v>89.955689263528996</v>
      </c>
      <c r="AK316">
        <v>285.92090215793399</v>
      </c>
      <c r="AL316">
        <v>93.396892924267206</v>
      </c>
      <c r="AM316">
        <v>90.238363583107002</v>
      </c>
      <c r="AN316">
        <v>0.99999999596661604</v>
      </c>
    </row>
    <row r="317" spans="1:40" x14ac:dyDescent="0.25">
      <c r="A317" t="str">
        <f>"20190303153749062"</f>
        <v>20190303153749062</v>
      </c>
      <c r="B317" t="str">
        <f>"1551598669059106"</f>
        <v>1551598669059106</v>
      </c>
      <c r="C317" t="s">
        <v>40</v>
      </c>
      <c r="D317">
        <v>4.0212479999999999</v>
      </c>
      <c r="E317">
        <v>0.50200690000000003</v>
      </c>
      <c r="F317" t="s">
        <v>41</v>
      </c>
      <c r="G317">
        <v>-158.19499999999999</v>
      </c>
      <c r="H317">
        <v>0.20813989999999999</v>
      </c>
      <c r="I317">
        <v>371.84930000000003</v>
      </c>
      <c r="J317">
        <v>-443.96780000000001</v>
      </c>
      <c r="K317">
        <v>1.120838</v>
      </c>
      <c r="L317">
        <v>367.55059999999997</v>
      </c>
      <c r="M317">
        <v>0.99979850000000003</v>
      </c>
      <c r="N317">
        <v>-1.267422E-2</v>
      </c>
      <c r="O317">
        <v>1.556015E-2</v>
      </c>
      <c r="P317">
        <v>0.99722929999999999</v>
      </c>
      <c r="Q317">
        <v>-7.1761069999999996E-2</v>
      </c>
      <c r="R317">
        <v>1.9597489999999999E-2</v>
      </c>
      <c r="S317">
        <v>3.0067140000000001</v>
      </c>
      <c r="T317">
        <v>-9.5977779999999995E-3</v>
      </c>
      <c r="U317">
        <v>4.5227049999999998E-2</v>
      </c>
      <c r="V317">
        <v>-4.0977269999999998E-3</v>
      </c>
      <c r="W317">
        <v>-5.9112440000000002E-2</v>
      </c>
      <c r="X317">
        <v>0.99824290000000004</v>
      </c>
      <c r="Y317">
        <v>5.2042910000000002E-4</v>
      </c>
      <c r="Z317">
        <v>1.4342989999999999E-4</v>
      </c>
      <c r="AA317">
        <v>0.99999990000000005</v>
      </c>
      <c r="AB317">
        <v>22</v>
      </c>
      <c r="AC317">
        <v>285.77280000000002</v>
      </c>
      <c r="AD317">
        <v>-0.91269809999999996</v>
      </c>
      <c r="AE317">
        <v>4.2987000000000499</v>
      </c>
      <c r="AF317">
        <v>0.148844274802756</v>
      </c>
      <c r="AG317">
        <v>-0.91269809999999996</v>
      </c>
      <c r="AH317">
        <v>285.80217612319399</v>
      </c>
      <c r="AI317">
        <v>90.182971189901707</v>
      </c>
      <c r="AJ317">
        <v>89.970160661141406</v>
      </c>
      <c r="AK317">
        <v>285.80367221082503</v>
      </c>
      <c r="AL317">
        <v>93.388868964981398</v>
      </c>
      <c r="AM317">
        <v>90.235194404061104</v>
      </c>
      <c r="AN317">
        <v>0.99999997966486498</v>
      </c>
    </row>
    <row r="318" spans="1:40" x14ac:dyDescent="0.25">
      <c r="A318" t="str">
        <f>"20190303153749081"</f>
        <v>20190303153749081</v>
      </c>
      <c r="B318" t="str">
        <f>"1551598669068866"</f>
        <v>1551598669068866</v>
      </c>
      <c r="C318" t="s">
        <v>40</v>
      </c>
      <c r="D318">
        <v>3.9716230000000001</v>
      </c>
      <c r="E318">
        <v>0.50202009999999997</v>
      </c>
      <c r="F318" t="s">
        <v>41</v>
      </c>
      <c r="G318">
        <v>-158.19499999999999</v>
      </c>
      <c r="H318">
        <v>0.23680850000000001</v>
      </c>
      <c r="I318">
        <v>371.79700000000003</v>
      </c>
      <c r="J318">
        <v>-443.78530000000001</v>
      </c>
      <c r="K318">
        <v>1.120865</v>
      </c>
      <c r="L318">
        <v>367.55329999999998</v>
      </c>
      <c r="M318">
        <v>0.99979870000000004</v>
      </c>
      <c r="N318">
        <v>-1.28836E-2</v>
      </c>
      <c r="O318">
        <v>1.5383829999999999E-2</v>
      </c>
      <c r="P318">
        <v>0.99715359999999997</v>
      </c>
      <c r="Q318">
        <v>-7.2780250000000005E-2</v>
      </c>
      <c r="R318">
        <v>1.969218E-2</v>
      </c>
      <c r="S318">
        <v>3.0067439999999999</v>
      </c>
      <c r="T318">
        <v>-9.3003510000000001E-3</v>
      </c>
      <c r="U318">
        <v>4.4677729999999999E-2</v>
      </c>
      <c r="V318">
        <v>-4.367882E-3</v>
      </c>
      <c r="W318">
        <v>-5.9923539999999997E-2</v>
      </c>
      <c r="X318">
        <v>0.99819340000000001</v>
      </c>
      <c r="Y318">
        <v>5.2688089999999995E-4</v>
      </c>
      <c r="Z318">
        <v>1.4642090000000001E-4</v>
      </c>
      <c r="AA318">
        <v>0.99999979999999999</v>
      </c>
      <c r="AB318">
        <v>22</v>
      </c>
      <c r="AC318">
        <v>285.59030000000001</v>
      </c>
      <c r="AD318">
        <v>-0.88405650000000002</v>
      </c>
      <c r="AE318">
        <v>4.2436999999999898</v>
      </c>
      <c r="AF318">
        <v>0.150637934356291</v>
      </c>
      <c r="AG318">
        <v>-0.88405650000000002</v>
      </c>
      <c r="AH318">
        <v>285.619051645132</v>
      </c>
      <c r="AI318">
        <v>90.1773429930779</v>
      </c>
      <c r="AJ318">
        <v>89.969781717909797</v>
      </c>
      <c r="AK318">
        <v>285.62045954438702</v>
      </c>
      <c r="AL318">
        <v>93.435424082158207</v>
      </c>
      <c r="AM318">
        <v>90.250712544018199</v>
      </c>
      <c r="AN318">
        <v>0.99999998642142796</v>
      </c>
    </row>
    <row r="319" spans="1:40" x14ac:dyDescent="0.25">
      <c r="A319" t="str">
        <f>"20190303153749095"</f>
        <v>20190303153749095</v>
      </c>
      <c r="B319" t="str">
        <f>"1551598669089362"</f>
        <v>1551598669089362</v>
      </c>
      <c r="C319" t="s">
        <v>40</v>
      </c>
      <c r="D319">
        <v>4.0154059999999996</v>
      </c>
      <c r="E319">
        <v>0.50202329999999995</v>
      </c>
      <c r="F319" t="s">
        <v>45</v>
      </c>
      <c r="G319">
        <v>-180</v>
      </c>
      <c r="H319">
        <v>3.5600279999999998E-2</v>
      </c>
      <c r="I319">
        <v>371.47550000000001</v>
      </c>
      <c r="J319">
        <v>-443.65940000000001</v>
      </c>
      <c r="K319">
        <v>1.120887</v>
      </c>
      <c r="L319">
        <v>367.55500000000001</v>
      </c>
      <c r="M319">
        <v>0.99979879999999999</v>
      </c>
      <c r="N319">
        <v>-1.3014110000000001E-2</v>
      </c>
      <c r="O319">
        <v>1.5272569999999999E-2</v>
      </c>
      <c r="P319">
        <v>0.99714340000000001</v>
      </c>
      <c r="Q319">
        <v>-7.2913199999999997E-2</v>
      </c>
      <c r="R319">
        <v>1.9724930000000002E-2</v>
      </c>
      <c r="S319">
        <v>3.0068049999999999</v>
      </c>
      <c r="T319">
        <v>-1.2370590000000001E-2</v>
      </c>
      <c r="U319">
        <v>4.4708249999999998E-2</v>
      </c>
      <c r="V319">
        <v>-4.5097219999999999E-3</v>
      </c>
      <c r="W319">
        <v>-5.9926390000000003E-2</v>
      </c>
      <c r="X319">
        <v>0.99819259999999999</v>
      </c>
      <c r="Y319">
        <v>4.0590929999999997E-4</v>
      </c>
      <c r="Z319">
        <v>1.3246610000000001E-4</v>
      </c>
      <c r="AA319">
        <v>0.99999990000000005</v>
      </c>
      <c r="AB319">
        <v>21</v>
      </c>
      <c r="AC319">
        <v>263.65940000000001</v>
      </c>
      <c r="AD319">
        <v>-1.08528672</v>
      </c>
      <c r="AE319">
        <v>3.9205000000000001</v>
      </c>
      <c r="AF319">
        <v>0.10705268609007799</v>
      </c>
      <c r="AG319">
        <v>-1.08528672</v>
      </c>
      <c r="AH319">
        <v>263.684057981629</v>
      </c>
      <c r="AI319">
        <v>90.235820067558294</v>
      </c>
      <c r="AJ319">
        <v>89.976738575670893</v>
      </c>
      <c r="AK319">
        <v>263.68631314727202</v>
      </c>
      <c r="AL319">
        <v>93.435587662817099</v>
      </c>
      <c r="AM319">
        <v>90.258854132344894</v>
      </c>
      <c r="AN319">
        <v>0.99999998825285397</v>
      </c>
    </row>
    <row r="320" spans="1:40" x14ac:dyDescent="0.25">
      <c r="A320" t="str">
        <f>"20190303153749107"</f>
        <v>20190303153749107</v>
      </c>
      <c r="B320" t="str">
        <f>"1551598669099121"</f>
        <v>1551598669099121</v>
      </c>
      <c r="C320" t="s">
        <v>40</v>
      </c>
      <c r="D320">
        <v>4.0198879999999999</v>
      </c>
      <c r="E320">
        <v>0.50202009999999997</v>
      </c>
      <c r="F320" t="s">
        <v>45</v>
      </c>
      <c r="G320">
        <v>-180</v>
      </c>
      <c r="H320">
        <v>1.253541E-2</v>
      </c>
      <c r="I320">
        <v>371.49950000000001</v>
      </c>
      <c r="J320">
        <v>-443.53339999999997</v>
      </c>
      <c r="K320">
        <v>1.1209089999999999</v>
      </c>
      <c r="L320">
        <v>367.55680000000001</v>
      </c>
      <c r="M320">
        <v>0.99979870000000004</v>
      </c>
      <c r="N320">
        <v>-1.31349E-2</v>
      </c>
      <c r="O320">
        <v>1.516954E-2</v>
      </c>
      <c r="P320">
        <v>0.99711660000000002</v>
      </c>
      <c r="Q320">
        <v>-7.3362049999999998E-2</v>
      </c>
      <c r="R320">
        <v>1.9401970000000001E-2</v>
      </c>
      <c r="S320">
        <v>3.0067439999999999</v>
      </c>
      <c r="T320">
        <v>-1.263952E-2</v>
      </c>
      <c r="U320">
        <v>4.4982910000000001E-2</v>
      </c>
      <c r="V320">
        <v>-4.2878320000000001E-3</v>
      </c>
      <c r="W320">
        <v>-6.025523E-2</v>
      </c>
      <c r="X320">
        <v>0.9981738</v>
      </c>
      <c r="Y320">
        <v>2.1126740000000001E-4</v>
      </c>
      <c r="Z320">
        <v>1.336683E-4</v>
      </c>
      <c r="AA320">
        <v>0.99999990000000005</v>
      </c>
      <c r="AB320">
        <v>21</v>
      </c>
      <c r="AC320">
        <v>263.53339999999997</v>
      </c>
      <c r="AD320">
        <v>-1.10837359</v>
      </c>
      <c r="AE320">
        <v>3.9426999999999999</v>
      </c>
      <c r="AF320">
        <v>5.5777941308922697E-2</v>
      </c>
      <c r="AG320">
        <v>-1.10837359</v>
      </c>
      <c r="AH320">
        <v>263.55822462753298</v>
      </c>
      <c r="AI320">
        <v>90.240951513189998</v>
      </c>
      <c r="AJ320">
        <v>89.987874252136393</v>
      </c>
      <c r="AK320">
        <v>263.56056110884799</v>
      </c>
      <c r="AL320">
        <v>93.454462852911206</v>
      </c>
      <c r="AM320">
        <v>90.246122634901894</v>
      </c>
      <c r="AN320">
        <v>1.00000000662602</v>
      </c>
    </row>
    <row r="321" spans="1:40" x14ac:dyDescent="0.25">
      <c r="A321" t="str">
        <f>"20190303153749127"</f>
        <v>20190303153749127</v>
      </c>
      <c r="B321" t="str">
        <f>"1551598669119618"</f>
        <v>1551598669119618</v>
      </c>
      <c r="C321" t="s">
        <v>40</v>
      </c>
      <c r="D321">
        <v>4.0202540000000004</v>
      </c>
      <c r="E321">
        <v>0.5020078</v>
      </c>
      <c r="F321" t="s">
        <v>45</v>
      </c>
      <c r="G321">
        <v>-200.4298</v>
      </c>
      <c r="H321" s="1">
        <v>-2.5117609999999998E-6</v>
      </c>
      <c r="I321">
        <v>371.11219999999997</v>
      </c>
      <c r="J321">
        <v>-443.35270000000003</v>
      </c>
      <c r="K321">
        <v>1.120943</v>
      </c>
      <c r="L321">
        <v>367.55939999999998</v>
      </c>
      <c r="M321">
        <v>0.99979850000000003</v>
      </c>
      <c r="N321">
        <v>-1.3287820000000001E-2</v>
      </c>
      <c r="O321">
        <v>1.504082E-2</v>
      </c>
      <c r="P321">
        <v>0.99711170000000005</v>
      </c>
      <c r="Q321">
        <v>-7.3419970000000001E-2</v>
      </c>
      <c r="R321">
        <v>1.9429930000000002E-2</v>
      </c>
      <c r="S321">
        <v>3.0068359999999998</v>
      </c>
      <c r="T321">
        <v>-1.3864039999999999E-2</v>
      </c>
      <c r="U321">
        <v>4.397583E-2</v>
      </c>
      <c r="V321">
        <v>-4.442072E-3</v>
      </c>
      <c r="W321">
        <v>-6.0160699999999998E-2</v>
      </c>
      <c r="X321">
        <v>0.99817880000000003</v>
      </c>
      <c r="Y321">
        <v>4.1788989999999999E-4</v>
      </c>
      <c r="Z321">
        <v>1.267881E-4</v>
      </c>
      <c r="AA321">
        <v>0.99999990000000005</v>
      </c>
      <c r="AB321">
        <v>21</v>
      </c>
      <c r="AC321">
        <v>242.9229</v>
      </c>
      <c r="AD321">
        <v>-1.1209455117610001</v>
      </c>
      <c r="AE321">
        <v>3.5527999999999902</v>
      </c>
      <c r="AF321">
        <v>0.10168232324908399</v>
      </c>
      <c r="AG321">
        <v>-1.1209455117610001</v>
      </c>
      <c r="AH321">
        <v>242.94368572885199</v>
      </c>
      <c r="AI321">
        <v>90.264361616594499</v>
      </c>
      <c r="AJ321">
        <v>89.976019267116996</v>
      </c>
      <c r="AK321">
        <v>242.94629302307601</v>
      </c>
      <c r="AL321">
        <v>93.449036933698594</v>
      </c>
      <c r="AM321">
        <v>90.254974657635103</v>
      </c>
      <c r="AN321">
        <v>0.99999997929879103</v>
      </c>
    </row>
    <row r="322" spans="1:40" x14ac:dyDescent="0.25">
      <c r="A322" t="str">
        <f>"20190303153749141"</f>
        <v>20190303153749141</v>
      </c>
      <c r="B322" t="str">
        <f>"1551598669129378"</f>
        <v>1551598669129378</v>
      </c>
      <c r="C322" t="s">
        <v>40</v>
      </c>
      <c r="D322">
        <v>4.0282530000000003</v>
      </c>
      <c r="E322">
        <v>0.50200080000000002</v>
      </c>
      <c r="F322" t="s">
        <v>45</v>
      </c>
      <c r="G322">
        <v>-198.4572</v>
      </c>
      <c r="H322" s="1">
        <v>-9.6717439999999996E-6</v>
      </c>
      <c r="I322">
        <v>371.1336</v>
      </c>
      <c r="J322">
        <v>-443.22919999999999</v>
      </c>
      <c r="K322">
        <v>1.120965</v>
      </c>
      <c r="L322">
        <v>367.56119999999999</v>
      </c>
      <c r="M322">
        <v>0.99979850000000003</v>
      </c>
      <c r="N322">
        <v>-1.338073E-2</v>
      </c>
      <c r="O322">
        <v>1.4967599999999999E-2</v>
      </c>
      <c r="P322">
        <v>0.99710140000000003</v>
      </c>
      <c r="Q322">
        <v>-7.3556289999999996E-2</v>
      </c>
      <c r="R322">
        <v>1.9448139999999999E-2</v>
      </c>
      <c r="S322">
        <v>3.0068049999999999</v>
      </c>
      <c r="T322">
        <v>-1.3762949999999999E-2</v>
      </c>
      <c r="U322">
        <v>4.3884279999999998E-2</v>
      </c>
      <c r="V322">
        <v>-4.5315420000000004E-3</v>
      </c>
      <c r="W322">
        <v>-6.0204510000000003E-2</v>
      </c>
      <c r="X322">
        <v>0.99817579999999995</v>
      </c>
      <c r="Y322">
        <v>3.749569E-4</v>
      </c>
      <c r="Z322">
        <v>1.28419E-4</v>
      </c>
      <c r="AA322">
        <v>0.99999990000000005</v>
      </c>
      <c r="AB322">
        <v>21</v>
      </c>
      <c r="AC322">
        <v>244.77199999999999</v>
      </c>
      <c r="AD322">
        <v>-1.1209746717439999</v>
      </c>
      <c r="AE322">
        <v>3.5724000000000098</v>
      </c>
      <c r="AF322">
        <v>9.1975526321597501E-2</v>
      </c>
      <c r="AG322">
        <v>-1.1209746717439999</v>
      </c>
      <c r="AH322">
        <v>244.79291753822901</v>
      </c>
      <c r="AI322">
        <v>90.2623714150198</v>
      </c>
      <c r="AJ322">
        <v>89.978472378687499</v>
      </c>
      <c r="AK322">
        <v>244.79550143046001</v>
      </c>
      <c r="AL322">
        <v>93.451551469677895</v>
      </c>
      <c r="AM322">
        <v>90.260110941974204</v>
      </c>
      <c r="AN322">
        <v>1.0000000228014301</v>
      </c>
    </row>
    <row r="323" spans="1:40" x14ac:dyDescent="0.25">
      <c r="A323" t="str">
        <f>"20190303153749155"</f>
        <v>20190303153749155</v>
      </c>
      <c r="B323" t="str">
        <f>"1551598669148899"</f>
        <v>1551598669148899</v>
      </c>
      <c r="C323" t="s">
        <v>40</v>
      </c>
      <c r="D323">
        <v>3.9943759999999999</v>
      </c>
      <c r="E323">
        <v>0.50199470000000002</v>
      </c>
      <c r="F323" t="s">
        <v>45</v>
      </c>
      <c r="G323">
        <v>-203.47749999999999</v>
      </c>
      <c r="H323" s="1">
        <v>-4.0815370000000002E-6</v>
      </c>
      <c r="I323">
        <v>371.0797</v>
      </c>
      <c r="J323">
        <v>-443.08159999999998</v>
      </c>
      <c r="K323">
        <v>1.1209910000000001</v>
      </c>
      <c r="L323">
        <v>367.56330000000003</v>
      </c>
      <c r="M323">
        <v>0.99979830000000003</v>
      </c>
      <c r="N323">
        <v>-1.3483449999999999E-2</v>
      </c>
      <c r="O323">
        <v>1.489149E-2</v>
      </c>
      <c r="P323">
        <v>0.99711649999999996</v>
      </c>
      <c r="Q323">
        <v>-7.3426770000000002E-2</v>
      </c>
      <c r="R323">
        <v>1.9157960000000002E-2</v>
      </c>
      <c r="S323">
        <v>3.0068359999999998</v>
      </c>
      <c r="T323">
        <v>-1.4058589999999999E-2</v>
      </c>
      <c r="U323">
        <v>4.4128420000000002E-2</v>
      </c>
      <c r="V323">
        <v>-4.3150369999999999E-3</v>
      </c>
      <c r="W323">
        <v>-5.9972530000000003E-2</v>
      </c>
      <c r="X323">
        <v>0.99819069999999999</v>
      </c>
      <c r="Y323">
        <v>2.178239E-4</v>
      </c>
      <c r="Z323">
        <v>1.292043E-4</v>
      </c>
      <c r="AA323">
        <v>0.99999990000000005</v>
      </c>
      <c r="AB323">
        <v>21</v>
      </c>
      <c r="AC323">
        <v>239.60409999999999</v>
      </c>
      <c r="AD323">
        <v>-1.120995081537</v>
      </c>
      <c r="AE323">
        <v>3.5163999999999702</v>
      </c>
      <c r="AF323">
        <v>5.2374926857397801E-2</v>
      </c>
      <c r="AG323">
        <v>-1.120995081537</v>
      </c>
      <c r="AH323">
        <v>239.62465208151801</v>
      </c>
      <c r="AI323">
        <v>90.268035097382494</v>
      </c>
      <c r="AJ323">
        <v>89.987476821823705</v>
      </c>
      <c r="AK323">
        <v>239.62727987083301</v>
      </c>
      <c r="AL323">
        <v>93.438236017399007</v>
      </c>
      <c r="AM323">
        <v>90.247679995951202</v>
      </c>
      <c r="AN323">
        <v>0.99999999873270096</v>
      </c>
    </row>
    <row r="324" spans="1:40" x14ac:dyDescent="0.25">
      <c r="A324" t="str">
        <f>"20190303153749173"</f>
        <v>20190303153749173</v>
      </c>
      <c r="B324" t="str">
        <f>"1551598669169394"</f>
        <v>1551598669169394</v>
      </c>
      <c r="C324" t="s">
        <v>40</v>
      </c>
      <c r="D324">
        <v>3.998793</v>
      </c>
      <c r="E324">
        <v>0.50197599999999998</v>
      </c>
      <c r="F324" t="s">
        <v>45</v>
      </c>
      <c r="G324">
        <v>-194.33070000000001</v>
      </c>
      <c r="H324" s="1">
        <v>-1.094246E-5</v>
      </c>
      <c r="I324">
        <v>371.14580000000001</v>
      </c>
      <c r="J324">
        <v>-442.92149999999998</v>
      </c>
      <c r="K324">
        <v>1.121016</v>
      </c>
      <c r="L324">
        <v>367.56560000000002</v>
      </c>
      <c r="M324">
        <v>0.99979790000000002</v>
      </c>
      <c r="N324">
        <v>-1.3576950000000001E-2</v>
      </c>
      <c r="O324">
        <v>1.4824800000000001E-2</v>
      </c>
      <c r="P324">
        <v>0.99714420000000004</v>
      </c>
      <c r="Q324">
        <v>-7.2992890000000005E-2</v>
      </c>
      <c r="R324">
        <v>1.9392199999999998E-2</v>
      </c>
      <c r="S324">
        <v>3.006866</v>
      </c>
      <c r="T324">
        <v>-1.355052E-2</v>
      </c>
      <c r="U324">
        <v>4.330444E-2</v>
      </c>
      <c r="V324">
        <v>-4.6136179999999999E-3</v>
      </c>
      <c r="W324">
        <v>-5.9445030000000003E-2</v>
      </c>
      <c r="X324">
        <v>0.99822089999999997</v>
      </c>
      <c r="Y324">
        <v>4.2522719999999999E-4</v>
      </c>
      <c r="Z324">
        <v>1.3064150000000001E-4</v>
      </c>
      <c r="AA324">
        <v>0.99999990000000005</v>
      </c>
      <c r="AB324">
        <v>21</v>
      </c>
      <c r="AC324">
        <v>248.5908</v>
      </c>
      <c r="AD324">
        <v>-1.1210269424599999</v>
      </c>
      <c r="AE324">
        <v>3.5801999999999898</v>
      </c>
      <c r="AF324">
        <v>0.105840056639585</v>
      </c>
      <c r="AG324">
        <v>-1.1210269424599999</v>
      </c>
      <c r="AH324">
        <v>248.611502445886</v>
      </c>
      <c r="AI324">
        <v>90.258353578808197</v>
      </c>
      <c r="AJ324">
        <v>89.975607773080299</v>
      </c>
      <c r="AK324">
        <v>248.61405240236201</v>
      </c>
      <c r="AL324">
        <v>93.407958533364905</v>
      </c>
      <c r="AM324">
        <v>90.264810081093799</v>
      </c>
      <c r="AN324">
        <v>0.99999998112977995</v>
      </c>
    </row>
    <row r="325" spans="1:40" x14ac:dyDescent="0.25">
      <c r="A325" t="str">
        <f>"20190303153749187"</f>
        <v>20190303153749187</v>
      </c>
      <c r="B325" t="str">
        <f>"1551598669179155"</f>
        <v>1551598669179155</v>
      </c>
      <c r="C325" t="s">
        <v>40</v>
      </c>
      <c r="D325">
        <v>3.9930270000000001</v>
      </c>
      <c r="E325">
        <v>0.50197150000000001</v>
      </c>
      <c r="F325" t="s">
        <v>45</v>
      </c>
      <c r="G325">
        <v>-179.99459999999999</v>
      </c>
      <c r="H325">
        <v>5.5358530000000003E-2</v>
      </c>
      <c r="I325">
        <v>371.45890000000003</v>
      </c>
      <c r="J325">
        <v>-442.77330000000001</v>
      </c>
      <c r="K325">
        <v>1.121032</v>
      </c>
      <c r="L325">
        <v>367.5677</v>
      </c>
      <c r="M325">
        <v>0.99979819999999997</v>
      </c>
      <c r="N325">
        <v>-1.362522E-2</v>
      </c>
      <c r="O325">
        <v>1.4777169999999999E-2</v>
      </c>
      <c r="P325">
        <v>0.99716490000000002</v>
      </c>
      <c r="Q325">
        <v>-7.2731119999999996E-2</v>
      </c>
      <c r="R325">
        <v>1.930662E-2</v>
      </c>
      <c r="S325">
        <v>3.006866</v>
      </c>
      <c r="T325">
        <v>-1.2187E-2</v>
      </c>
      <c r="U325">
        <v>4.4525149999999999E-2</v>
      </c>
      <c r="V325">
        <v>-4.5732439999999997E-3</v>
      </c>
      <c r="W325">
        <v>-5.913496E-2</v>
      </c>
      <c r="X325">
        <v>0.99823949999999995</v>
      </c>
      <c r="Y325" s="1">
        <v>-2.8345709999999999E-5</v>
      </c>
      <c r="Z325">
        <v>1.4171809999999999E-4</v>
      </c>
      <c r="AA325">
        <v>1</v>
      </c>
      <c r="AB325">
        <v>21</v>
      </c>
      <c r="AC325">
        <v>262.77870000000001</v>
      </c>
      <c r="AD325">
        <v>-1.0656734699999999</v>
      </c>
      <c r="AE325">
        <v>3.89120000000002</v>
      </c>
      <c r="AF325">
        <v>-7.2897887541491999E-3</v>
      </c>
      <c r="AG325">
        <v>-1.0656734699999999</v>
      </c>
      <c r="AH325">
        <v>262.80318737435101</v>
      </c>
      <c r="AI325">
        <v>90.232334539368196</v>
      </c>
      <c r="AJ325">
        <v>90.001589303893994</v>
      </c>
      <c r="AK325">
        <v>262.80534813280298</v>
      </c>
      <c r="AL325">
        <v>93.390161530336997</v>
      </c>
      <c r="AM325">
        <v>90.262487856598597</v>
      </c>
      <c r="AN325">
        <v>0.99999997870756696</v>
      </c>
    </row>
    <row r="326" spans="1:40" x14ac:dyDescent="0.25">
      <c r="A326" t="str">
        <f>"20190303153749206"</f>
        <v>20190303153749206</v>
      </c>
      <c r="B326" t="str">
        <f>"1551598669199650"</f>
        <v>1551598669199650</v>
      </c>
      <c r="C326" t="s">
        <v>40</v>
      </c>
      <c r="D326">
        <v>4.00746</v>
      </c>
      <c r="E326">
        <v>0.50196350000000001</v>
      </c>
      <c r="F326" t="s">
        <v>43</v>
      </c>
      <c r="G326">
        <v>-133.92679999999999</v>
      </c>
      <c r="H326">
        <v>-0.05</v>
      </c>
      <c r="I326">
        <v>372.1223</v>
      </c>
      <c r="J326">
        <v>-442.60570000000001</v>
      </c>
      <c r="K326">
        <v>1.121014</v>
      </c>
      <c r="L326">
        <v>367.5702</v>
      </c>
      <c r="M326">
        <v>0.99979969999999996</v>
      </c>
      <c r="N326">
        <v>-1.354819E-2</v>
      </c>
      <c r="O326">
        <v>1.47399E-2</v>
      </c>
      <c r="P326">
        <v>0.99724389999999996</v>
      </c>
      <c r="Q326">
        <v>-7.161178E-2</v>
      </c>
      <c r="R326">
        <v>1.9401020000000001E-2</v>
      </c>
      <c r="S326">
        <v>3.0068359999999998</v>
      </c>
      <c r="T326">
        <v>-1.1400820000000001E-2</v>
      </c>
      <c r="U326">
        <v>4.4342039999999999E-2</v>
      </c>
      <c r="V326">
        <v>-4.702052E-3</v>
      </c>
      <c r="W326">
        <v>-5.8091669999999998E-2</v>
      </c>
      <c r="X326">
        <v>0.99830019999999997</v>
      </c>
      <c r="Y326" s="1">
        <v>-4.9198919999999999E-6</v>
      </c>
      <c r="Z326">
        <v>1.438706E-4</v>
      </c>
      <c r="AA326">
        <v>1</v>
      </c>
      <c r="AB326">
        <v>21</v>
      </c>
      <c r="AC326">
        <v>308.6789</v>
      </c>
      <c r="AD326">
        <v>-1.171014</v>
      </c>
      <c r="AE326">
        <v>4.5520999999999896</v>
      </c>
      <c r="AF326">
        <v>-1.29219610103792E-3</v>
      </c>
      <c r="AG326">
        <v>-1.171014</v>
      </c>
      <c r="AH326">
        <v>308.70802132365202</v>
      </c>
      <c r="AI326">
        <v>90.217337527742103</v>
      </c>
      <c r="AJ326">
        <v>90.000239829799597</v>
      </c>
      <c r="AK326">
        <v>308.71024230663699</v>
      </c>
      <c r="AL326">
        <v>93.330282327228204</v>
      </c>
      <c r="AM326">
        <v>90.269864458044694</v>
      </c>
      <c r="AN326">
        <v>1.00000002036821</v>
      </c>
    </row>
    <row r="327" spans="1:40" x14ac:dyDescent="0.25">
      <c r="A327" t="str">
        <f>"20190303153749228"</f>
        <v>20190303153749228</v>
      </c>
      <c r="B327" t="str">
        <f>"1551598669219173"</f>
        <v>1551598669219173</v>
      </c>
      <c r="C327" t="s">
        <v>40</v>
      </c>
      <c r="D327">
        <v>4.0089550000000003</v>
      </c>
      <c r="E327">
        <v>0.50195159999999905</v>
      </c>
      <c r="F327" t="s">
        <v>41</v>
      </c>
      <c r="G327">
        <v>-158.19499999999999</v>
      </c>
      <c r="H327">
        <v>0.34640169999999998</v>
      </c>
      <c r="I327">
        <v>371.79320000000001</v>
      </c>
      <c r="J327">
        <v>-442.38889999999998</v>
      </c>
      <c r="K327">
        <v>1.120938</v>
      </c>
      <c r="L327">
        <v>367.57330000000002</v>
      </c>
      <c r="M327">
        <v>0.99980469999999999</v>
      </c>
      <c r="N327">
        <v>-1.3202449999999999E-2</v>
      </c>
      <c r="O327">
        <v>1.4705930000000001E-2</v>
      </c>
      <c r="P327">
        <v>0.99733769999999999</v>
      </c>
      <c r="Q327">
        <v>-7.0243920000000001E-2</v>
      </c>
      <c r="R327">
        <v>1.9577319999999999E-2</v>
      </c>
      <c r="S327">
        <v>3.006866</v>
      </c>
      <c r="T327">
        <v>-8.188486E-3</v>
      </c>
      <c r="U327">
        <v>4.4647220000000001E-2</v>
      </c>
      <c r="V327">
        <v>-4.9098900000000001E-3</v>
      </c>
      <c r="W327">
        <v>-5.7067920000000001E-2</v>
      </c>
      <c r="X327">
        <v>0.99835819999999997</v>
      </c>
      <c r="Y327">
        <v>-1.40388E-4</v>
      </c>
      <c r="Z327">
        <v>1.5523840000000001E-4</v>
      </c>
      <c r="AA327">
        <v>1</v>
      </c>
      <c r="AB327">
        <v>21</v>
      </c>
      <c r="AC327">
        <v>284.19389999999999</v>
      </c>
      <c r="AD327">
        <v>-0.77453629999999996</v>
      </c>
      <c r="AE327">
        <v>4.2198999999999902</v>
      </c>
      <c r="AF327">
        <v>-3.9743422331912102E-2</v>
      </c>
      <c r="AG327">
        <v>-0.77453629999999996</v>
      </c>
      <c r="AH327">
        <v>284.22311477795898</v>
      </c>
      <c r="AI327">
        <v>90.156136318536198</v>
      </c>
      <c r="AJ327">
        <v>90.0080117704359</v>
      </c>
      <c r="AK327">
        <v>284.22417289897101</v>
      </c>
      <c r="AL327">
        <v>93.271528441718203</v>
      </c>
      <c r="AM327">
        <v>90.281776327276106</v>
      </c>
      <c r="AN327">
        <v>0.99999997501008897</v>
      </c>
    </row>
    <row r="328" spans="1:40" x14ac:dyDescent="0.25">
      <c r="A328" t="str">
        <f>"20190303153749242"</f>
        <v>20190303153749242</v>
      </c>
      <c r="B328" t="str">
        <f>"1551598669239666"</f>
        <v>1551598669239666</v>
      </c>
      <c r="C328" t="s">
        <v>40</v>
      </c>
      <c r="D328">
        <v>4.0090070000000004</v>
      </c>
      <c r="E328">
        <v>0.50195900000000004</v>
      </c>
      <c r="F328" t="s">
        <v>41</v>
      </c>
      <c r="G328">
        <v>-158.19499999999999</v>
      </c>
      <c r="H328">
        <v>0.72835469999999902</v>
      </c>
      <c r="I328">
        <v>371.87110000000001</v>
      </c>
      <c r="J328">
        <v>-442.2604</v>
      </c>
      <c r="K328">
        <v>1.1208549999999999</v>
      </c>
      <c r="L328">
        <v>367.5752</v>
      </c>
      <c r="M328">
        <v>0.99980990000000003</v>
      </c>
      <c r="N328">
        <v>-1.2817780000000001E-2</v>
      </c>
      <c r="O328">
        <v>1.469261E-2</v>
      </c>
      <c r="P328">
        <v>0.99742960000000003</v>
      </c>
      <c r="Q328">
        <v>-6.8783720000000007E-2</v>
      </c>
      <c r="R328">
        <v>2.007931E-2</v>
      </c>
      <c r="S328">
        <v>3.0068049999999999</v>
      </c>
      <c r="T328">
        <v>-4.1526559999999898E-3</v>
      </c>
      <c r="U328">
        <v>4.5471190000000002E-2</v>
      </c>
      <c r="V328">
        <v>-5.4234060000000004E-3</v>
      </c>
      <c r="W328">
        <v>-5.5990650000000003E-2</v>
      </c>
      <c r="X328">
        <v>0.99841650000000004</v>
      </c>
      <c r="Y328">
        <v>-4.2821979999999998E-4</v>
      </c>
      <c r="Z328">
        <v>1.7108560000000001E-4</v>
      </c>
      <c r="AA328">
        <v>0.99999990000000005</v>
      </c>
      <c r="AB328">
        <v>21</v>
      </c>
      <c r="AC328">
        <v>284.06540000000001</v>
      </c>
      <c r="AD328">
        <v>-0.39250029999999902</v>
      </c>
      <c r="AE328">
        <v>4.2959000000000103</v>
      </c>
      <c r="AF328">
        <v>-0.121430956377234</v>
      </c>
      <c r="AG328">
        <v>-0.39250029999999902</v>
      </c>
      <c r="AH328">
        <v>284.09731321574299</v>
      </c>
      <c r="AI328">
        <v>90.079158067461293</v>
      </c>
      <c r="AJ328">
        <v>90.024489780632507</v>
      </c>
      <c r="AK328">
        <v>284.097610300344</v>
      </c>
      <c r="AL328">
        <v>93.209706678561602</v>
      </c>
      <c r="AM328">
        <v>90.311228047765994</v>
      </c>
      <c r="AN328">
        <v>0.99999993684615396</v>
      </c>
    </row>
    <row r="329" spans="1:40" x14ac:dyDescent="0.25">
      <c r="A329" t="str">
        <f>"20190303153749254"</f>
        <v>20190303153749254</v>
      </c>
      <c r="B329" t="str">
        <f>"1551598669249427"</f>
        <v>1551598669249427</v>
      </c>
      <c r="C329" t="s">
        <v>40</v>
      </c>
      <c r="D329">
        <v>4.0012639999999999</v>
      </c>
      <c r="E329">
        <v>0.501973</v>
      </c>
      <c r="F329" t="s">
        <v>41</v>
      </c>
      <c r="G329">
        <v>-158.19499999999999</v>
      </c>
      <c r="H329">
        <v>1.1121639999999999</v>
      </c>
      <c r="I329">
        <v>372.01819999999998</v>
      </c>
      <c r="J329">
        <v>-442.13799999999998</v>
      </c>
      <c r="K329">
        <v>1.120768</v>
      </c>
      <c r="L329">
        <v>367.577</v>
      </c>
      <c r="M329">
        <v>0.99981540000000002</v>
      </c>
      <c r="N329">
        <v>-1.2397109999999999E-2</v>
      </c>
      <c r="O329">
        <v>1.4681080000000001E-2</v>
      </c>
      <c r="P329">
        <v>0.99749399999999999</v>
      </c>
      <c r="Q329">
        <v>-6.7678260000000004E-2</v>
      </c>
      <c r="R329">
        <v>2.063473E-2</v>
      </c>
      <c r="S329">
        <v>3.0067439999999999</v>
      </c>
      <c r="T329" s="1">
        <v>-9.10759E-5</v>
      </c>
      <c r="U329">
        <v>4.7027590000000001E-2</v>
      </c>
      <c r="V329">
        <v>-5.9887450000000002E-3</v>
      </c>
      <c r="W329">
        <v>-5.5304399999999997E-2</v>
      </c>
      <c r="X329">
        <v>0.99845159999999999</v>
      </c>
      <c r="Y329">
        <v>-9.5780880000000004E-4</v>
      </c>
      <c r="Z329">
        <v>1.875166E-4</v>
      </c>
      <c r="AA329">
        <v>0.99999950000000004</v>
      </c>
      <c r="AB329">
        <v>21</v>
      </c>
      <c r="AC329">
        <v>283.94299999999998</v>
      </c>
      <c r="AD329">
        <v>-8.6040000000000508E-3</v>
      </c>
      <c r="AE329">
        <v>4.4411999999999798</v>
      </c>
      <c r="AF329">
        <v>-0.27181113601127199</v>
      </c>
      <c r="AG329">
        <v>-8.6040000000000508E-3</v>
      </c>
      <c r="AH329">
        <v>283.97760030870103</v>
      </c>
      <c r="AI329">
        <v>90.0017359561473</v>
      </c>
      <c r="AJ329">
        <v>90.054841037269298</v>
      </c>
      <c r="AK329">
        <v>283.97773052197402</v>
      </c>
      <c r="AL329">
        <v>93.170326163217297</v>
      </c>
      <c r="AM329">
        <v>90.343657818076807</v>
      </c>
      <c r="AN329">
        <v>1.00000001963429</v>
      </c>
    </row>
    <row r="330" spans="1:40" x14ac:dyDescent="0.25">
      <c r="A330" t="str">
        <f>"20190303153749270"</f>
        <v>20190303153749270</v>
      </c>
      <c r="B330" t="str">
        <f>"1551598669259186"</f>
        <v>1551598669259186</v>
      </c>
      <c r="C330" t="s">
        <v>40</v>
      </c>
      <c r="D330">
        <v>4.0215519999999998</v>
      </c>
      <c r="E330">
        <v>0.501973</v>
      </c>
      <c r="F330" t="s">
        <v>41</v>
      </c>
      <c r="G330">
        <v>-158.19499999999999</v>
      </c>
      <c r="H330">
        <v>1.4191940000000001</v>
      </c>
      <c r="I330">
        <v>372.16500000000002</v>
      </c>
      <c r="J330">
        <v>-441.9785</v>
      </c>
      <c r="K330">
        <v>1.1206419999999999</v>
      </c>
      <c r="L330">
        <v>367.57929999999999</v>
      </c>
      <c r="M330">
        <v>0.99982349999999998</v>
      </c>
      <c r="N330">
        <v>-1.1760919999999999E-2</v>
      </c>
      <c r="O330">
        <v>1.4667650000000001E-2</v>
      </c>
      <c r="P330">
        <v>0.9975948</v>
      </c>
      <c r="Q330">
        <v>-6.5803210000000001E-2</v>
      </c>
      <c r="R330">
        <v>2.1788289999999998E-2</v>
      </c>
      <c r="S330">
        <v>3.0067750000000002</v>
      </c>
      <c r="T330">
        <v>3.1610729999999999E-3</v>
      </c>
      <c r="U330">
        <v>4.8583979999999999E-2</v>
      </c>
      <c r="V330">
        <v>-7.1542419999999999E-3</v>
      </c>
      <c r="W330">
        <v>-5.4063319999999998E-2</v>
      </c>
      <c r="X330">
        <v>0.99851190000000001</v>
      </c>
      <c r="Y330">
        <v>-1.488786E-3</v>
      </c>
      <c r="Z330">
        <v>1.959005E-4</v>
      </c>
      <c r="AA330">
        <v>0.99999890000000002</v>
      </c>
      <c r="AB330">
        <v>22</v>
      </c>
      <c r="AC330">
        <v>283.7835</v>
      </c>
      <c r="AD330">
        <v>0.29855199999999998</v>
      </c>
      <c r="AE330">
        <v>4.5857000000000303</v>
      </c>
      <c r="AF330">
        <v>-0.42248221886091297</v>
      </c>
      <c r="AG330">
        <v>0.29855199999999998</v>
      </c>
      <c r="AH330">
        <v>283.81991959553699</v>
      </c>
      <c r="AI330">
        <v>89.939730289794696</v>
      </c>
      <c r="AJ330">
        <v>90.085287989002495</v>
      </c>
      <c r="AK330">
        <v>283.82039106402999</v>
      </c>
      <c r="AL330">
        <v>93.099110954520896</v>
      </c>
      <c r="AM330">
        <v>90.410511740629403</v>
      </c>
      <c r="AN330">
        <v>1.00000002009481</v>
      </c>
    </row>
    <row r="331" spans="1:40" x14ac:dyDescent="0.25">
      <c r="A331" t="str">
        <f>"20190303153749285"</f>
        <v>20190303153749285</v>
      </c>
      <c r="B331" t="str">
        <f>"1551598669279683"</f>
        <v>1551598669279683</v>
      </c>
      <c r="C331" t="s">
        <v>40</v>
      </c>
      <c r="D331">
        <v>4.1312939999999996</v>
      </c>
      <c r="E331">
        <v>0.50232169999999998</v>
      </c>
      <c r="F331" t="s">
        <v>41</v>
      </c>
      <c r="G331">
        <v>-158.19499999999999</v>
      </c>
      <c r="H331">
        <v>1.95279</v>
      </c>
      <c r="I331">
        <v>372.49040000000002</v>
      </c>
      <c r="J331">
        <v>-441.83769999999998</v>
      </c>
      <c r="K331">
        <v>1.1205290000000001</v>
      </c>
      <c r="L331">
        <v>367.5813</v>
      </c>
      <c r="M331">
        <v>0.99983049999999996</v>
      </c>
      <c r="N331">
        <v>-1.11492E-2</v>
      </c>
      <c r="O331">
        <v>1.465642E-2</v>
      </c>
      <c r="P331">
        <v>0.99760159999999998</v>
      </c>
      <c r="Q331">
        <v>-6.5439460000000005E-2</v>
      </c>
      <c r="R331">
        <v>2.2551499999999999E-2</v>
      </c>
      <c r="S331">
        <v>3.006653</v>
      </c>
      <c r="T331">
        <v>8.8174340000000007E-3</v>
      </c>
      <c r="U331">
        <v>5.2032469999999997E-2</v>
      </c>
      <c r="V331">
        <v>-7.928793E-3</v>
      </c>
      <c r="W331">
        <v>-5.431018E-2</v>
      </c>
      <c r="X331">
        <v>0.99849270000000001</v>
      </c>
      <c r="Y331">
        <v>-2.6476770000000002E-3</v>
      </c>
      <c r="Z331">
        <v>2.1726349999999999E-4</v>
      </c>
      <c r="AA331">
        <v>0.99999649999999995</v>
      </c>
      <c r="AB331">
        <v>22</v>
      </c>
      <c r="AC331">
        <v>283.64269999999999</v>
      </c>
      <c r="AD331">
        <v>0.83226100000000003</v>
      </c>
      <c r="AE331">
        <v>4.90910000000002</v>
      </c>
      <c r="AF331">
        <v>-0.751121533309837</v>
      </c>
      <c r="AG331">
        <v>0.83226100000000003</v>
      </c>
      <c r="AH331">
        <v>283.68174252792898</v>
      </c>
      <c r="AI331">
        <v>89.831907621652704</v>
      </c>
      <c r="AJ331">
        <v>90.151705191905407</v>
      </c>
      <c r="AK331">
        <v>283.68395775160099</v>
      </c>
      <c r="AL331">
        <v>93.1132756559483</v>
      </c>
      <c r="AM331">
        <v>90.454962592560904</v>
      </c>
      <c r="AN331">
        <v>1.00000006668167</v>
      </c>
    </row>
    <row r="332" spans="1:40" x14ac:dyDescent="0.25">
      <c r="A332" t="str">
        <f>"20190303153749298"</f>
        <v>20190303153749298</v>
      </c>
      <c r="B332" t="str">
        <f>"1551598669289442"</f>
        <v>1551598669289442</v>
      </c>
      <c r="C332" t="s">
        <v>40</v>
      </c>
      <c r="D332">
        <v>4.084956</v>
      </c>
      <c r="E332">
        <v>0.50243819999999995</v>
      </c>
      <c r="F332" t="s">
        <v>41</v>
      </c>
      <c r="G332">
        <v>-158.19499999999999</v>
      </c>
      <c r="H332">
        <v>1.9186380000000001</v>
      </c>
      <c r="I332">
        <v>372.43819999999999</v>
      </c>
      <c r="J332">
        <v>-441.7072</v>
      </c>
      <c r="K332">
        <v>1.1204289999999999</v>
      </c>
      <c r="L332">
        <v>367.58330000000001</v>
      </c>
      <c r="M332">
        <v>0.99983699999999998</v>
      </c>
      <c r="N332">
        <v>-1.0573229999999999E-2</v>
      </c>
      <c r="O332">
        <v>1.464504E-2</v>
      </c>
      <c r="P332">
        <v>0.9976391</v>
      </c>
      <c r="Q332">
        <v>-6.4786399999999994E-2</v>
      </c>
      <c r="R332">
        <v>2.2786049999999999E-2</v>
      </c>
      <c r="S332">
        <v>3.006653</v>
      </c>
      <c r="T332">
        <v>8.4609990000000003E-3</v>
      </c>
      <c r="U332">
        <v>5.1483149999999998E-2</v>
      </c>
      <c r="V332">
        <v>-8.1745040000000008E-3</v>
      </c>
      <c r="W332">
        <v>-5.4231830000000002E-2</v>
      </c>
      <c r="X332">
        <v>0.99849489999999996</v>
      </c>
      <c r="Y332">
        <v>-2.4763620000000002E-3</v>
      </c>
      <c r="Z332">
        <v>2.0566160000000001E-4</v>
      </c>
      <c r="AA332">
        <v>0.99999689999999997</v>
      </c>
      <c r="AB332">
        <v>22</v>
      </c>
      <c r="AC332">
        <v>283.51220000000001</v>
      </c>
      <c r="AD332">
        <v>0.79820899999999995</v>
      </c>
      <c r="AE332">
        <v>4.8548999999999802</v>
      </c>
      <c r="AF332">
        <v>-0.70209472004360796</v>
      </c>
      <c r="AG332">
        <v>0.79820899999999995</v>
      </c>
      <c r="AH332">
        <v>283.55064874865798</v>
      </c>
      <c r="AI332">
        <v>89.838710487632795</v>
      </c>
      <c r="AJ332">
        <v>90.141868771044102</v>
      </c>
      <c r="AK332">
        <v>283.55264146254802</v>
      </c>
      <c r="AL332">
        <v>93.108780146103797</v>
      </c>
      <c r="AM332">
        <v>90.469060097678707</v>
      </c>
      <c r="AN332">
        <v>0.99999998961340197</v>
      </c>
    </row>
    <row r="333" spans="1:40" x14ac:dyDescent="0.25">
      <c r="A333" t="str">
        <f>"20190303153749316"</f>
        <v>20190303153749316</v>
      </c>
      <c r="B333" t="str">
        <f>"1551598669308962"</f>
        <v>1551598669308962</v>
      </c>
      <c r="C333" t="s">
        <v>40</v>
      </c>
      <c r="D333">
        <v>4.1190089999999904</v>
      </c>
      <c r="E333">
        <v>0.50268020000000002</v>
      </c>
      <c r="F333" t="s">
        <v>41</v>
      </c>
      <c r="G333">
        <v>-158.19499999999999</v>
      </c>
      <c r="H333">
        <v>2.018691</v>
      </c>
      <c r="I333">
        <v>372.42939999999999</v>
      </c>
      <c r="J333">
        <v>-441.52670000000001</v>
      </c>
      <c r="K333">
        <v>1.120303</v>
      </c>
      <c r="L333">
        <v>367.58589999999998</v>
      </c>
      <c r="M333">
        <v>0.99984530000000005</v>
      </c>
      <c r="N333">
        <v>-9.7755310000000005E-3</v>
      </c>
      <c r="O333">
        <v>1.462775E-2</v>
      </c>
      <c r="P333">
        <v>0.99761149999999998</v>
      </c>
      <c r="Q333">
        <v>-6.5027950000000001E-2</v>
      </c>
      <c r="R333">
        <v>2.3298889999999999E-2</v>
      </c>
      <c r="S333">
        <v>3.0065309999999998</v>
      </c>
      <c r="T333">
        <v>9.5266099999999996E-3</v>
      </c>
      <c r="U333">
        <v>5.1391600000000003E-2</v>
      </c>
      <c r="V333">
        <v>-8.7053549999999997E-3</v>
      </c>
      <c r="W333">
        <v>-5.5270010000000001E-2</v>
      </c>
      <c r="X333">
        <v>0.99843349999999997</v>
      </c>
      <c r="Y333">
        <v>-2.4639390000000001E-3</v>
      </c>
      <c r="Z333">
        <v>1.9747849999999999E-4</v>
      </c>
      <c r="AA333">
        <v>0.99999700000000002</v>
      </c>
      <c r="AB333">
        <v>22</v>
      </c>
      <c r="AC333">
        <v>283.33170000000001</v>
      </c>
      <c r="AD333">
        <v>0.89838799999999996</v>
      </c>
      <c r="AE333">
        <v>4.8434999999999997</v>
      </c>
      <c r="AF333">
        <v>-0.69827172795921799</v>
      </c>
      <c r="AG333">
        <v>0.89838799999999996</v>
      </c>
      <c r="AH333">
        <v>283.36938782457202</v>
      </c>
      <c r="AI333">
        <v>89.818351895998902</v>
      </c>
      <c r="AJ333">
        <v>90.141186534983404</v>
      </c>
      <c r="AK333">
        <v>283.37167226184999</v>
      </c>
      <c r="AL333">
        <v>93.168352787654896</v>
      </c>
      <c r="AM333">
        <v>90.499550007039403</v>
      </c>
      <c r="AN333">
        <v>1.00000000556666</v>
      </c>
    </row>
    <row r="334" spans="1:40" x14ac:dyDescent="0.25">
      <c r="A334" t="str">
        <f>"20190303153749328"</f>
        <v>20190303153749328</v>
      </c>
      <c r="B334" t="str">
        <f>"1551598669319698"</f>
        <v>1551598669319698</v>
      </c>
      <c r="C334" t="s">
        <v>40</v>
      </c>
      <c r="D334">
        <v>4.103021</v>
      </c>
      <c r="E334">
        <v>0.50278719999999999</v>
      </c>
      <c r="F334" t="s">
        <v>41</v>
      </c>
      <c r="G334">
        <v>-158.19499999999999</v>
      </c>
      <c r="H334">
        <v>1.772804</v>
      </c>
      <c r="I334">
        <v>372.3802</v>
      </c>
      <c r="J334">
        <v>-441.40550000000002</v>
      </c>
      <c r="K334">
        <v>1.1202209999999999</v>
      </c>
      <c r="L334">
        <v>367.58760000000001</v>
      </c>
      <c r="M334">
        <v>0.99985049999999998</v>
      </c>
      <c r="N334">
        <v>-9.2435810000000007E-3</v>
      </c>
      <c r="O334">
        <v>1.461522E-2</v>
      </c>
      <c r="P334">
        <v>0.99762110000000004</v>
      </c>
      <c r="Q334">
        <v>-6.498408E-2</v>
      </c>
      <c r="R334">
        <v>2.3006410000000001E-2</v>
      </c>
      <c r="S334">
        <v>3.0064389999999999</v>
      </c>
      <c r="T334">
        <v>6.9246289999999999E-3</v>
      </c>
      <c r="U334">
        <v>5.0872800000000003E-2</v>
      </c>
      <c r="V334">
        <v>-8.425185E-3</v>
      </c>
      <c r="W334">
        <v>-5.5757210000000001E-2</v>
      </c>
      <c r="X334">
        <v>0.99840879999999999</v>
      </c>
      <c r="Y334">
        <v>-2.3042900000000001E-3</v>
      </c>
      <c r="Z334">
        <v>1.767529E-4</v>
      </c>
      <c r="AA334">
        <v>0.99999729999999998</v>
      </c>
      <c r="AB334">
        <v>22</v>
      </c>
      <c r="AC334">
        <v>283.21050000000002</v>
      </c>
      <c r="AD334">
        <v>0.65258300000000002</v>
      </c>
      <c r="AE334">
        <v>4.7925999999999904</v>
      </c>
      <c r="AF334">
        <v>-0.65272414109954802</v>
      </c>
      <c r="AG334">
        <v>0.65258300000000002</v>
      </c>
      <c r="AH334">
        <v>283.24879267852702</v>
      </c>
      <c r="AI334">
        <v>89.867995602398196</v>
      </c>
      <c r="AJ334">
        <v>90.132033298071406</v>
      </c>
      <c r="AK334">
        <v>283.25029649979098</v>
      </c>
      <c r="AL334">
        <v>93.196310450548395</v>
      </c>
      <c r="AM334">
        <v>90.483485406212907</v>
      </c>
      <c r="AN334">
        <v>0.99999999106335402</v>
      </c>
    </row>
    <row r="335" spans="1:40" x14ac:dyDescent="0.25">
      <c r="A335" t="str">
        <f>"20190303153749341"</f>
        <v>20190303153749341</v>
      </c>
      <c r="B335" t="str">
        <f>"1551598669329458"</f>
        <v>1551598669329458</v>
      </c>
      <c r="C335" t="s">
        <v>40</v>
      </c>
      <c r="D335">
        <v>4.1065360000000002</v>
      </c>
      <c r="E335">
        <v>0.50290230000000002</v>
      </c>
      <c r="F335" t="s">
        <v>41</v>
      </c>
      <c r="G335">
        <v>-158.19499999999999</v>
      </c>
      <c r="H335">
        <v>1.70589199999999</v>
      </c>
      <c r="I335">
        <v>372.17009999999999</v>
      </c>
      <c r="J335">
        <v>-441.28969999999998</v>
      </c>
      <c r="K335">
        <v>1.1201570000000001</v>
      </c>
      <c r="L335">
        <v>367.58929999999998</v>
      </c>
      <c r="M335">
        <v>0.9998551</v>
      </c>
      <c r="N335">
        <v>-8.7546280000000004E-3</v>
      </c>
      <c r="O335">
        <v>1.460124E-2</v>
      </c>
      <c r="P335">
        <v>0.99763829999999998</v>
      </c>
      <c r="Q335">
        <v>-6.4767379999999999E-2</v>
      </c>
      <c r="R335">
        <v>2.2868409999999999E-2</v>
      </c>
      <c r="S335">
        <v>3.0064090000000001</v>
      </c>
      <c r="T335">
        <v>6.2180760000000003E-3</v>
      </c>
      <c r="U335">
        <v>4.8645019999999997E-2</v>
      </c>
      <c r="V335">
        <v>-8.3017560000000004E-3</v>
      </c>
      <c r="W335">
        <v>-5.6028509999999997E-2</v>
      </c>
      <c r="X335">
        <v>0.99839469999999997</v>
      </c>
      <c r="Y335">
        <v>-1.5775800000000001E-3</v>
      </c>
      <c r="Z335">
        <v>1.632994E-4</v>
      </c>
      <c r="AA335">
        <v>0.99999870000000002</v>
      </c>
      <c r="AB335">
        <v>22</v>
      </c>
      <c r="AC335">
        <v>283.09469999999999</v>
      </c>
      <c r="AD335">
        <v>0.58573499999999901</v>
      </c>
      <c r="AE335">
        <v>4.5808000000000098</v>
      </c>
      <c r="AF335">
        <v>-0.44661777522903001</v>
      </c>
      <c r="AG335">
        <v>0.58573499999999901</v>
      </c>
      <c r="AH335">
        <v>283.13019489753702</v>
      </c>
      <c r="AI335">
        <v>89.8814677685845</v>
      </c>
      <c r="AJ335">
        <v>90.090379948210597</v>
      </c>
      <c r="AK335">
        <v>283.13115302919999</v>
      </c>
      <c r="AL335">
        <v>93.211878959576396</v>
      </c>
      <c r="AM335">
        <v>90.4764093993833</v>
      </c>
      <c r="AN335">
        <v>1.0000000450367901</v>
      </c>
    </row>
    <row r="336" spans="1:40" x14ac:dyDescent="0.25">
      <c r="A336" t="str">
        <f>"20190303153749355"</f>
        <v>20190303153749355</v>
      </c>
      <c r="B336" t="str">
        <f>"1551598669348978"</f>
        <v>1551598669348978</v>
      </c>
      <c r="C336" t="s">
        <v>40</v>
      </c>
      <c r="D336">
        <v>4.1076680000000003</v>
      </c>
      <c r="E336">
        <v>0.50312599999999996</v>
      </c>
      <c r="F336" t="s">
        <v>41</v>
      </c>
      <c r="G336">
        <v>-158.19499999999999</v>
      </c>
      <c r="H336">
        <v>1.682436</v>
      </c>
      <c r="I336">
        <v>372.06650000000002</v>
      </c>
      <c r="J336">
        <v>-441.14949999999999</v>
      </c>
      <c r="K336">
        <v>1.1200699999999999</v>
      </c>
      <c r="L336">
        <v>367.59140000000002</v>
      </c>
      <c r="M336">
        <v>0.99986090000000005</v>
      </c>
      <c r="N336">
        <v>-8.1188639999999999E-3</v>
      </c>
      <c r="O336">
        <v>1.4583209999999999E-2</v>
      </c>
      <c r="P336">
        <v>0.99767779999999995</v>
      </c>
      <c r="Q336">
        <v>-6.430429E-2</v>
      </c>
      <c r="R336">
        <v>2.2456230000000001E-2</v>
      </c>
      <c r="S336">
        <v>3.0063780000000002</v>
      </c>
      <c r="T336">
        <v>5.9721469999999997E-3</v>
      </c>
      <c r="U336">
        <v>4.7546390000000001E-2</v>
      </c>
      <c r="V336">
        <v>-7.9070159999999994E-3</v>
      </c>
      <c r="W336">
        <v>-5.619992E-2</v>
      </c>
      <c r="X336">
        <v>0.99838819999999995</v>
      </c>
      <c r="Y336">
        <v>-1.2304010000000001E-3</v>
      </c>
      <c r="Z336">
        <v>1.5113870000000001E-4</v>
      </c>
      <c r="AA336">
        <v>0.99999919999999998</v>
      </c>
      <c r="AB336">
        <v>22</v>
      </c>
      <c r="AC336">
        <v>282.9545</v>
      </c>
      <c r="AD336">
        <v>0.56236599999999903</v>
      </c>
      <c r="AE336">
        <v>4.4750999999999896</v>
      </c>
      <c r="AF336">
        <v>-0.34810264740359598</v>
      </c>
      <c r="AG336">
        <v>0.56236599999999903</v>
      </c>
      <c r="AH336">
        <v>282.98855437546803</v>
      </c>
      <c r="AI336">
        <v>89.886139806535994</v>
      </c>
      <c r="AJ336">
        <v>90.070479184283101</v>
      </c>
      <c r="AK336">
        <v>282.98932725191003</v>
      </c>
      <c r="AL336">
        <v>93.221715753823901</v>
      </c>
      <c r="AM336">
        <v>90.453760544974401</v>
      </c>
      <c r="AN336">
        <v>0.99999997490463499</v>
      </c>
    </row>
    <row r="337" spans="1:40" x14ac:dyDescent="0.25">
      <c r="A337" t="str">
        <f>"20190303153749373"</f>
        <v>20190303153749373</v>
      </c>
      <c r="B337" t="str">
        <f>"1551598669359714"</f>
        <v>1551598669359714</v>
      </c>
      <c r="C337" t="s">
        <v>40</v>
      </c>
      <c r="D337">
        <v>4.125597</v>
      </c>
      <c r="E337">
        <v>0.50323189999999995</v>
      </c>
      <c r="F337" t="s">
        <v>41</v>
      </c>
      <c r="G337">
        <v>-158.19499999999999</v>
      </c>
      <c r="H337">
        <v>1.6616</v>
      </c>
      <c r="I337">
        <v>371.76769999999999</v>
      </c>
      <c r="J337">
        <v>-440.96749999999997</v>
      </c>
      <c r="K337">
        <v>1.119923</v>
      </c>
      <c r="L337">
        <v>367.59399999999999</v>
      </c>
      <c r="M337">
        <v>0.99986799999999998</v>
      </c>
      <c r="N337">
        <v>-7.2233469999999998E-3</v>
      </c>
      <c r="O337">
        <v>1.4558389999999999E-2</v>
      </c>
      <c r="P337">
        <v>0.99775460000000005</v>
      </c>
      <c r="Q337">
        <v>-6.3451010000000002E-2</v>
      </c>
      <c r="R337">
        <v>2.1451600000000001E-2</v>
      </c>
      <c r="S337">
        <v>3.006348</v>
      </c>
      <c r="T337">
        <v>5.7545900000000004E-3</v>
      </c>
      <c r="U337">
        <v>4.4372559999999998E-2</v>
      </c>
      <c r="V337">
        <v>-6.9272459999999998E-3</v>
      </c>
      <c r="W337">
        <v>-5.6240289999999998E-2</v>
      </c>
      <c r="X337">
        <v>0.99839319999999998</v>
      </c>
      <c r="Y337">
        <v>-1.9987729999999999E-4</v>
      </c>
      <c r="Z337">
        <v>1.3355560000000001E-4</v>
      </c>
      <c r="AA337">
        <v>1</v>
      </c>
      <c r="AB337">
        <v>22</v>
      </c>
      <c r="AC337">
        <v>282.77249999999998</v>
      </c>
      <c r="AD337">
        <v>0.54167699999999996</v>
      </c>
      <c r="AE337">
        <v>4.1736999999999904</v>
      </c>
      <c r="AF337">
        <v>-5.6437996695329597E-2</v>
      </c>
      <c r="AG337">
        <v>0.54167699999999996</v>
      </c>
      <c r="AH337">
        <v>282.80225691811</v>
      </c>
      <c r="AI337">
        <v>89.890256295244399</v>
      </c>
      <c r="AJ337">
        <v>90.011434346412599</v>
      </c>
      <c r="AK337">
        <v>282.80278131092803</v>
      </c>
      <c r="AL337">
        <v>93.224032466413703</v>
      </c>
      <c r="AM337">
        <v>90.397534348696198</v>
      </c>
      <c r="AN337">
        <v>0.99999996938133295</v>
      </c>
    </row>
    <row r="338" spans="1:40" x14ac:dyDescent="0.25">
      <c r="A338" t="str">
        <f>"20190303153749388"</f>
        <v>20190303153749388</v>
      </c>
      <c r="B338" t="str">
        <f>"1551598669379234"</f>
        <v>1551598669379234</v>
      </c>
      <c r="C338" t="s">
        <v>40</v>
      </c>
      <c r="D338">
        <v>4.1261380000000001</v>
      </c>
      <c r="E338">
        <v>0.50343009999999999</v>
      </c>
      <c r="F338" t="s">
        <v>41</v>
      </c>
      <c r="G338">
        <v>-158.19499999999999</v>
      </c>
      <c r="H338">
        <v>1.8204130000000001</v>
      </c>
      <c r="I338">
        <v>371.41460000000001</v>
      </c>
      <c r="J338">
        <v>-440.80509999999998</v>
      </c>
      <c r="K338">
        <v>1.1197549999999901</v>
      </c>
      <c r="L338">
        <v>367.59629999999999</v>
      </c>
      <c r="M338">
        <v>0.99987340000000002</v>
      </c>
      <c r="N338">
        <v>-6.506225E-3</v>
      </c>
      <c r="O338">
        <v>1.4534969999999999E-2</v>
      </c>
      <c r="P338">
        <v>0.99782680000000001</v>
      </c>
      <c r="Q338">
        <v>-6.2496250000000003E-2</v>
      </c>
      <c r="R338">
        <v>2.088752E-2</v>
      </c>
      <c r="S338">
        <v>3.006348</v>
      </c>
      <c r="T338">
        <v>7.448316E-3</v>
      </c>
      <c r="U338">
        <v>4.0618899999999999E-2</v>
      </c>
      <c r="V338">
        <v>-6.3850850000000004E-3</v>
      </c>
      <c r="W338">
        <v>-5.6001130000000003E-2</v>
      </c>
      <c r="X338">
        <v>0.99841029999999997</v>
      </c>
      <c r="Y338">
        <v>1.024978E-3</v>
      </c>
      <c r="Z338">
        <v>1.285111E-4</v>
      </c>
      <c r="AA338">
        <v>0.99999950000000004</v>
      </c>
      <c r="AB338">
        <v>23</v>
      </c>
      <c r="AC338">
        <v>282.61009999999999</v>
      </c>
      <c r="AD338">
        <v>0.700658</v>
      </c>
      <c r="AE338">
        <v>3.8183000000000198</v>
      </c>
      <c r="AF338">
        <v>0.28991701685222698</v>
      </c>
      <c r="AG338">
        <v>0.700658</v>
      </c>
      <c r="AH338">
        <v>282.63400742091898</v>
      </c>
      <c r="AI338">
        <v>89.857962446589397</v>
      </c>
      <c r="AJ338">
        <v>89.941227823925999</v>
      </c>
      <c r="AK338">
        <v>282.63502458881101</v>
      </c>
      <c r="AL338">
        <v>93.210307842029707</v>
      </c>
      <c r="AM338">
        <v>90.366415926347997</v>
      </c>
      <c r="AN338">
        <v>1.00000001150891</v>
      </c>
    </row>
    <row r="339" spans="1:40" x14ac:dyDescent="0.25">
      <c r="A339" t="str">
        <f>"20190303153749406"</f>
        <v>20190303153749406</v>
      </c>
      <c r="B339" t="str">
        <f>"1551598669399730"</f>
        <v>1551598669399730</v>
      </c>
      <c r="C339" t="s">
        <v>40</v>
      </c>
      <c r="D339">
        <v>4.0990409999999997</v>
      </c>
      <c r="E339">
        <v>0.50360930000000004</v>
      </c>
      <c r="F339" t="s">
        <v>41</v>
      </c>
      <c r="G339">
        <v>-158.19499999999999</v>
      </c>
      <c r="H339">
        <v>1.945033</v>
      </c>
      <c r="I339">
        <v>371.1164</v>
      </c>
      <c r="J339">
        <v>-440.62740000000002</v>
      </c>
      <c r="K339">
        <v>1.1194980000000001</v>
      </c>
      <c r="L339">
        <v>367.59890000000001</v>
      </c>
      <c r="M339">
        <v>0.99987720000000002</v>
      </c>
      <c r="N339">
        <v>-5.9355270000000003E-3</v>
      </c>
      <c r="O339">
        <v>1.450834E-2</v>
      </c>
      <c r="P339">
        <v>0.99791379999999996</v>
      </c>
      <c r="Q339">
        <v>-6.1424939999999997E-2</v>
      </c>
      <c r="R339">
        <v>1.9881309999999999E-2</v>
      </c>
      <c r="S339">
        <v>3.0062869999999999</v>
      </c>
      <c r="T339">
        <v>8.7798830000000005E-3</v>
      </c>
      <c r="U339">
        <v>3.7445069999999997E-2</v>
      </c>
      <c r="V339">
        <v>-5.4049869999999896E-3</v>
      </c>
      <c r="W339">
        <v>-5.5499239999999998E-2</v>
      </c>
      <c r="X339">
        <v>0.99844409999999895</v>
      </c>
      <c r="Y339">
        <v>2.0535979999999998E-3</v>
      </c>
      <c r="Z339">
        <v>1.253874E-4</v>
      </c>
      <c r="AA339">
        <v>0.9999979</v>
      </c>
      <c r="AB339">
        <v>23</v>
      </c>
      <c r="AC339">
        <v>282.43239999999997</v>
      </c>
      <c r="AD339">
        <v>0.82553500000000002</v>
      </c>
      <c r="AE339">
        <v>3.5174999999999801</v>
      </c>
      <c r="AF339">
        <v>0.58056246289282898</v>
      </c>
      <c r="AG339">
        <v>0.82553500000000002</v>
      </c>
      <c r="AH339">
        <v>282.45129372093299</v>
      </c>
      <c r="AI339">
        <v>89.8325394933875</v>
      </c>
      <c r="AJ339">
        <v>89.882231971450295</v>
      </c>
      <c r="AK339">
        <v>282.45309678854301</v>
      </c>
      <c r="AL339">
        <v>93.1815069066338</v>
      </c>
      <c r="AM339">
        <v>90.310162500223598</v>
      </c>
      <c r="AN339">
        <v>1.0000000001749201</v>
      </c>
    </row>
    <row r="340" spans="1:40" x14ac:dyDescent="0.25">
      <c r="A340" t="str">
        <f>"20190303153749429"</f>
        <v>20190303153749429</v>
      </c>
      <c r="B340" t="str">
        <f>"1551598669419250"</f>
        <v>1551598669419250</v>
      </c>
      <c r="C340" t="s">
        <v>40</v>
      </c>
      <c r="D340">
        <v>4.1403369999999997</v>
      </c>
      <c r="E340">
        <v>0.50378780000000001</v>
      </c>
      <c r="F340" t="s">
        <v>41</v>
      </c>
      <c r="G340">
        <v>-158.19499999999999</v>
      </c>
      <c r="H340">
        <v>2.0949970000000002</v>
      </c>
      <c r="I340">
        <v>370.71539999999999</v>
      </c>
      <c r="J340">
        <v>-440.38600000000002</v>
      </c>
      <c r="K340">
        <v>1.119003</v>
      </c>
      <c r="L340">
        <v>367.60230000000001</v>
      </c>
      <c r="M340">
        <v>0.99988060000000001</v>
      </c>
      <c r="N340">
        <v>-5.4516690000000001E-3</v>
      </c>
      <c r="O340">
        <v>1.447236E-2</v>
      </c>
      <c r="P340">
        <v>0.99800339999999998</v>
      </c>
      <c r="Q340">
        <v>-6.0224239999999998E-2</v>
      </c>
      <c r="R340">
        <v>1.9045699999999999E-2</v>
      </c>
      <c r="S340">
        <v>3.0062259999999998</v>
      </c>
      <c r="T340">
        <v>1.03842E-2</v>
      </c>
      <c r="U340">
        <v>3.3172609999999998E-2</v>
      </c>
      <c r="V340">
        <v>-4.6038999999999898E-3</v>
      </c>
      <c r="W340">
        <v>-5.4781259999999998E-2</v>
      </c>
      <c r="X340">
        <v>0.99848780000000004</v>
      </c>
      <c r="Y340">
        <v>3.4383249999999999E-3</v>
      </c>
      <c r="Z340">
        <v>1.254522E-4</v>
      </c>
      <c r="AA340">
        <v>0.9999941</v>
      </c>
      <c r="AB340">
        <v>23</v>
      </c>
      <c r="AC340">
        <v>282.19099999999997</v>
      </c>
      <c r="AD340">
        <v>0.97599400000000003</v>
      </c>
      <c r="AE340">
        <v>3.11309999999997</v>
      </c>
      <c r="AF340">
        <v>0.97124407492540499</v>
      </c>
      <c r="AG340">
        <v>0.97599400000000003</v>
      </c>
      <c r="AH340">
        <v>282.20312447448202</v>
      </c>
      <c r="AI340">
        <v>89.801845628038294</v>
      </c>
      <c r="AJ340">
        <v>89.802808821628403</v>
      </c>
      <c r="AK340">
        <v>282.20648352314799</v>
      </c>
      <c r="AL340">
        <v>93.140306893180494</v>
      </c>
      <c r="AM340">
        <v>90.264181665476201</v>
      </c>
      <c r="AN340">
        <v>1.0000000345456099</v>
      </c>
    </row>
    <row r="341" spans="1:40" x14ac:dyDescent="0.25">
      <c r="A341" t="str">
        <f>"20190303153749441"</f>
        <v>20190303153749441</v>
      </c>
      <c r="B341" t="str">
        <f>"1551598669429010"</f>
        <v>1551598669429010</v>
      </c>
      <c r="C341" t="s">
        <v>40</v>
      </c>
      <c r="D341">
        <v>4.1327410000000002</v>
      </c>
      <c r="E341">
        <v>0.50388679999999997</v>
      </c>
      <c r="F341" t="s">
        <v>41</v>
      </c>
      <c r="G341">
        <v>-158.78319999999999</v>
      </c>
      <c r="H341">
        <v>2.2756409999999998</v>
      </c>
      <c r="I341">
        <v>370.31529999999998</v>
      </c>
      <c r="J341">
        <v>-440.25490000000002</v>
      </c>
      <c r="K341">
        <v>1.1186160000000001</v>
      </c>
      <c r="L341">
        <v>367.60419999999999</v>
      </c>
      <c r="M341">
        <v>0.99988129999999997</v>
      </c>
      <c r="N341">
        <v>-5.3767240000000003E-3</v>
      </c>
      <c r="O341">
        <v>1.4453189999999999E-2</v>
      </c>
      <c r="P341">
        <v>0.99803750000000002</v>
      </c>
      <c r="Q341">
        <v>-5.976952E-2</v>
      </c>
      <c r="R341">
        <v>1.8690060000000001E-2</v>
      </c>
      <c r="S341">
        <v>3.006195</v>
      </c>
      <c r="T341">
        <v>1.2348410000000001E-2</v>
      </c>
      <c r="U341">
        <v>2.896118E-2</v>
      </c>
      <c r="V341">
        <v>-4.2673750000000003E-3</v>
      </c>
      <c r="W341">
        <v>-5.4401239999999997E-2</v>
      </c>
      <c r="X341">
        <v>0.99851009999999996</v>
      </c>
      <c r="Y341">
        <v>4.8197079999999998E-3</v>
      </c>
      <c r="Z341">
        <v>1.340178E-4</v>
      </c>
      <c r="AA341">
        <v>0.9999884</v>
      </c>
      <c r="AB341">
        <v>23</v>
      </c>
      <c r="AC341">
        <v>281.4717</v>
      </c>
      <c r="AD341">
        <v>1.15702499999999</v>
      </c>
      <c r="AE341">
        <v>2.7110999999999801</v>
      </c>
      <c r="AF341">
        <v>1.35738217058971</v>
      </c>
      <c r="AG341">
        <v>1.15702499999999</v>
      </c>
      <c r="AH341">
        <v>281.47672751382999</v>
      </c>
      <c r="AI341">
        <v>89.764486727874697</v>
      </c>
      <c r="AJ341">
        <v>89.723701254495694</v>
      </c>
      <c r="AK341">
        <v>281.482378356271</v>
      </c>
      <c r="AL341">
        <v>93.118500746586307</v>
      </c>
      <c r="AM341">
        <v>90.244865914238602</v>
      </c>
      <c r="AN341">
        <v>1.0000000626024601</v>
      </c>
    </row>
    <row r="342" spans="1:40" x14ac:dyDescent="0.25">
      <c r="A342" t="str">
        <f>"20190303153749454"</f>
        <v>20190303153749454</v>
      </c>
      <c r="B342" t="str">
        <f>"1551598669449506"</f>
        <v>1551598669449506</v>
      </c>
      <c r="C342" t="s">
        <v>40</v>
      </c>
      <c r="D342">
        <v>4.1542659999999998</v>
      </c>
      <c r="E342">
        <v>0.50406010000000001</v>
      </c>
      <c r="F342" t="s">
        <v>41</v>
      </c>
      <c r="G342">
        <v>-158.78319999999999</v>
      </c>
      <c r="H342">
        <v>2.3338860000000001</v>
      </c>
      <c r="I342">
        <v>370.14449999999999</v>
      </c>
      <c r="J342">
        <v>-440.11649999999997</v>
      </c>
      <c r="K342">
        <v>1.118163</v>
      </c>
      <c r="L342">
        <v>367.6062</v>
      </c>
      <c r="M342">
        <v>0.99988140000000003</v>
      </c>
      <c r="N342">
        <v>-5.3691429999999998E-3</v>
      </c>
      <c r="O342">
        <v>1.443359E-2</v>
      </c>
      <c r="P342">
        <v>0.99803819999999999</v>
      </c>
      <c r="Q342">
        <v>-5.981976E-2</v>
      </c>
      <c r="R342">
        <v>1.8478729999999999E-2</v>
      </c>
      <c r="S342">
        <v>3.0061650000000002</v>
      </c>
      <c r="T342">
        <v>1.2980220000000001E-2</v>
      </c>
      <c r="U342">
        <v>2.7130129999999999E-2</v>
      </c>
      <c r="V342">
        <v>-4.0759589999999997E-3</v>
      </c>
      <c r="W342">
        <v>-5.4459069999999998E-2</v>
      </c>
      <c r="X342">
        <v>0.9985077</v>
      </c>
      <c r="Y342">
        <v>5.4090199999999996E-3</v>
      </c>
      <c r="Z342">
        <v>1.369717E-4</v>
      </c>
      <c r="AA342">
        <v>0.99998529999999997</v>
      </c>
      <c r="AB342">
        <v>23</v>
      </c>
      <c r="AC342">
        <v>281.33330000000001</v>
      </c>
      <c r="AD342">
        <v>1.2157229999999899</v>
      </c>
      <c r="AE342">
        <v>2.5382999999999898</v>
      </c>
      <c r="AF342">
        <v>1.5226440874185001</v>
      </c>
      <c r="AG342">
        <v>1.2157229999999899</v>
      </c>
      <c r="AH342">
        <v>281.33537695911298</v>
      </c>
      <c r="AI342">
        <v>89.752415270300602</v>
      </c>
      <c r="AJ342">
        <v>89.689906655012706</v>
      </c>
      <c r="AK342">
        <v>281.34212403434299</v>
      </c>
      <c r="AL342">
        <v>93.121819228121296</v>
      </c>
      <c r="AM342">
        <v>90.233882974601002</v>
      </c>
      <c r="AN342">
        <v>1.0000000153531601</v>
      </c>
    </row>
    <row r="343" spans="1:40" x14ac:dyDescent="0.25">
      <c r="A343" t="str">
        <f>"20190303153749471"</f>
        <v>20190303153749471</v>
      </c>
      <c r="B343" t="str">
        <f>"1551598669459267"</f>
        <v>1551598669459267</v>
      </c>
      <c r="C343" t="s">
        <v>40</v>
      </c>
      <c r="D343">
        <v>4.1134130000000004</v>
      </c>
      <c r="E343">
        <v>0.50414409999999998</v>
      </c>
      <c r="F343" t="s">
        <v>41</v>
      </c>
      <c r="G343">
        <v>-158.78319999999999</v>
      </c>
      <c r="H343">
        <v>2.163862</v>
      </c>
      <c r="I343">
        <v>369.94819999999999</v>
      </c>
      <c r="J343">
        <v>-439.92939999999999</v>
      </c>
      <c r="K343">
        <v>1.1174219999999999</v>
      </c>
      <c r="L343">
        <v>367.60890000000001</v>
      </c>
      <c r="M343">
        <v>0.99988100000000002</v>
      </c>
      <c r="N343">
        <v>-5.5368639999999998E-3</v>
      </c>
      <c r="O343">
        <v>1.440836E-2</v>
      </c>
      <c r="P343">
        <v>0.99808350000000001</v>
      </c>
      <c r="Q343">
        <v>-5.9080340000000002E-2</v>
      </c>
      <c r="R343">
        <v>1.8415890000000001E-2</v>
      </c>
      <c r="S343">
        <v>3.0061040000000001</v>
      </c>
      <c r="T343">
        <v>1.1174440000000001E-2</v>
      </c>
      <c r="U343">
        <v>2.502441E-2</v>
      </c>
      <c r="V343">
        <v>-4.0380679999999997E-3</v>
      </c>
      <c r="W343">
        <v>-5.3551910000000001E-2</v>
      </c>
      <c r="X343">
        <v>0.99855689999999997</v>
      </c>
      <c r="Y343">
        <v>6.0841030000000004E-3</v>
      </c>
      <c r="Z343">
        <v>1.2779910000000001E-4</v>
      </c>
      <c r="AA343">
        <v>0.99998149999999997</v>
      </c>
      <c r="AB343">
        <v>24</v>
      </c>
      <c r="AC343">
        <v>281.14620000000002</v>
      </c>
      <c r="AD343">
        <v>1.04644</v>
      </c>
      <c r="AE343">
        <v>2.3392999999999802</v>
      </c>
      <c r="AF343">
        <v>1.7118363330236801</v>
      </c>
      <c r="AG343">
        <v>1.04644</v>
      </c>
      <c r="AH343">
        <v>281.14682585342899</v>
      </c>
      <c r="AI343">
        <v>89.786747699809396</v>
      </c>
      <c r="AJ343">
        <v>89.651143900432402</v>
      </c>
      <c r="AK343">
        <v>281.15398469124199</v>
      </c>
      <c r="AL343">
        <v>93.069766878452597</v>
      </c>
      <c r="AM343">
        <v>90.231697355073607</v>
      </c>
      <c r="AN343">
        <v>0.99999999779771498</v>
      </c>
    </row>
    <row r="344" spans="1:40" x14ac:dyDescent="0.25">
      <c r="A344" t="str">
        <f>"20190303153749484"</f>
        <v>20190303153749484</v>
      </c>
      <c r="B344" t="str">
        <f>"1551598669479763"</f>
        <v>1551598669479763</v>
      </c>
      <c r="C344" t="s">
        <v>40</v>
      </c>
      <c r="D344">
        <v>4.1352799999999998</v>
      </c>
      <c r="E344">
        <v>0.50429899999999905</v>
      </c>
      <c r="F344" t="s">
        <v>41</v>
      </c>
      <c r="G344">
        <v>-158.78319999999999</v>
      </c>
      <c r="H344">
        <v>2.2997489999999998</v>
      </c>
      <c r="I344">
        <v>369.8723</v>
      </c>
      <c r="J344">
        <v>-439.7885</v>
      </c>
      <c r="K344">
        <v>1.1167750000000001</v>
      </c>
      <c r="L344">
        <v>367.61090000000002</v>
      </c>
      <c r="M344">
        <v>0.99987950000000003</v>
      </c>
      <c r="N344">
        <v>-5.8329690000000003E-3</v>
      </c>
      <c r="O344">
        <v>1.439037E-2</v>
      </c>
      <c r="P344">
        <v>0.99807539999999995</v>
      </c>
      <c r="Q344">
        <v>-5.9213969999999998E-2</v>
      </c>
      <c r="R344">
        <v>1.841686E-2</v>
      </c>
      <c r="S344">
        <v>3.0060730000000002</v>
      </c>
      <c r="T344">
        <v>1.264262E-2</v>
      </c>
      <c r="U344">
        <v>2.420044E-2</v>
      </c>
      <c r="V344">
        <v>-4.057148E-3</v>
      </c>
      <c r="W344">
        <v>-5.3389880000000001E-2</v>
      </c>
      <c r="X344">
        <v>0.99856549999999999</v>
      </c>
      <c r="Y344">
        <v>6.34003E-3</v>
      </c>
      <c r="Z344">
        <v>1.3929909999999999E-4</v>
      </c>
      <c r="AA344">
        <v>0.99997990000000003</v>
      </c>
      <c r="AB344">
        <v>24</v>
      </c>
      <c r="AC344">
        <v>281.00529999999998</v>
      </c>
      <c r="AD344">
        <v>1.182974</v>
      </c>
      <c r="AE344">
        <v>2.2613999999999801</v>
      </c>
      <c r="AF344">
        <v>1.78264136610477</v>
      </c>
      <c r="AG344">
        <v>1.182974</v>
      </c>
      <c r="AH344">
        <v>281.00376504103502</v>
      </c>
      <c r="AI344">
        <v>89.758801618689901</v>
      </c>
      <c r="AJ344">
        <v>89.636529935716396</v>
      </c>
      <c r="AK344">
        <v>281.01190936499802</v>
      </c>
      <c r="AL344">
        <v>93.060469940191794</v>
      </c>
      <c r="AM344">
        <v>90.232790115574801</v>
      </c>
      <c r="AN344">
        <v>0.99999999876327905</v>
      </c>
    </row>
    <row r="345" spans="1:40" x14ac:dyDescent="0.25">
      <c r="A345" t="str">
        <f>"20190303153749497"</f>
        <v>20190303153749497</v>
      </c>
      <c r="B345" t="str">
        <f>"1551598669489702"</f>
        <v>1551598669489702</v>
      </c>
      <c r="C345" t="s">
        <v>40</v>
      </c>
      <c r="D345">
        <v>4.1067980000000004</v>
      </c>
      <c r="E345">
        <v>0.50437469999999995</v>
      </c>
      <c r="F345" t="s">
        <v>41</v>
      </c>
      <c r="G345">
        <v>-158.78319999999999</v>
      </c>
      <c r="H345">
        <v>2.110293</v>
      </c>
      <c r="I345">
        <v>369.76190000000003</v>
      </c>
      <c r="J345">
        <v>-439.6508</v>
      </c>
      <c r="K345">
        <v>1.1160859999999999</v>
      </c>
      <c r="L345">
        <v>367.61290000000002</v>
      </c>
      <c r="M345">
        <v>0.99987700000000002</v>
      </c>
      <c r="N345">
        <v>-6.2655180000000003E-3</v>
      </c>
      <c r="O345">
        <v>1.4374110000000001E-2</v>
      </c>
      <c r="P345">
        <v>0.99807330000000005</v>
      </c>
      <c r="Q345">
        <v>-5.9198670000000002E-2</v>
      </c>
      <c r="R345">
        <v>1.8575479999999998E-2</v>
      </c>
      <c r="S345">
        <v>3.0060120000000001</v>
      </c>
      <c r="T345">
        <v>1.062894E-2</v>
      </c>
      <c r="U345">
        <v>2.3010249999999999E-2</v>
      </c>
      <c r="V345">
        <v>-4.232474E-3</v>
      </c>
      <c r="W345">
        <v>-5.2942610000000001E-2</v>
      </c>
      <c r="X345">
        <v>0.99858860000000005</v>
      </c>
      <c r="Y345">
        <v>6.719587E-3</v>
      </c>
      <c r="Z345">
        <v>1.3171440000000001E-4</v>
      </c>
      <c r="AA345">
        <v>0.99997740000000002</v>
      </c>
      <c r="AB345">
        <v>24</v>
      </c>
      <c r="AC345">
        <v>280.86759999999998</v>
      </c>
      <c r="AD345">
        <v>0.99420699999999895</v>
      </c>
      <c r="AE345">
        <v>2.149</v>
      </c>
      <c r="AF345">
        <v>1.8884996191491401</v>
      </c>
      <c r="AG345">
        <v>0.99420699999999895</v>
      </c>
      <c r="AH345">
        <v>280.865953155564</v>
      </c>
      <c r="AI345">
        <v>89.797190300600406</v>
      </c>
      <c r="AJ345">
        <v>89.614757766138297</v>
      </c>
      <c r="AK345">
        <v>280.87406167240499</v>
      </c>
      <c r="AL345">
        <v>93.034806917846197</v>
      </c>
      <c r="AM345">
        <v>90.242844195263004</v>
      </c>
      <c r="AN345">
        <v>1.0000000129198601</v>
      </c>
    </row>
    <row r="346" spans="1:40" x14ac:dyDescent="0.25">
      <c r="A346" t="str">
        <f>"20190303153749510"</f>
        <v>20190303153749510</v>
      </c>
      <c r="B346" t="str">
        <f>"1551598669499461"</f>
        <v>1551598669499461</v>
      </c>
      <c r="C346" t="s">
        <v>40</v>
      </c>
      <c r="D346">
        <v>4.1444539999999996</v>
      </c>
      <c r="E346">
        <v>0.50445439999999997</v>
      </c>
      <c r="F346" t="s">
        <v>41</v>
      </c>
      <c r="G346">
        <v>-158.78319999999999</v>
      </c>
      <c r="H346">
        <v>2.0411679999999999</v>
      </c>
      <c r="I346">
        <v>369.75150000000002</v>
      </c>
      <c r="J346">
        <v>-439.51479999999998</v>
      </c>
      <c r="K346">
        <v>1.1153729999999999</v>
      </c>
      <c r="L346">
        <v>367.6148</v>
      </c>
      <c r="M346">
        <v>0.99987409999999999</v>
      </c>
      <c r="N346">
        <v>-6.7774150000000002E-3</v>
      </c>
      <c r="O346">
        <v>1.435867E-2</v>
      </c>
      <c r="P346">
        <v>0.99804669999999895</v>
      </c>
      <c r="Q346">
        <v>-5.9560050000000003E-2</v>
      </c>
      <c r="R346">
        <v>1.8859839999999999E-2</v>
      </c>
      <c r="S346">
        <v>3.0059200000000001</v>
      </c>
      <c r="T346">
        <v>9.9014040000000008E-3</v>
      </c>
      <c r="U346">
        <v>2.2888180000000001E-2</v>
      </c>
      <c r="V346">
        <v>-4.5329690000000004E-3</v>
      </c>
      <c r="W346">
        <v>-5.279288E-2</v>
      </c>
      <c r="X346">
        <v>0.99859520000000002</v>
      </c>
      <c r="Y346">
        <v>6.7445339999999999E-3</v>
      </c>
      <c r="Z346">
        <v>1.328639E-4</v>
      </c>
      <c r="AA346">
        <v>0.99997720000000001</v>
      </c>
      <c r="AB346">
        <v>24</v>
      </c>
      <c r="AC346">
        <v>280.73160000000001</v>
      </c>
      <c r="AD346">
        <v>0.92579500000000003</v>
      </c>
      <c r="AE346">
        <v>2.13670000000001</v>
      </c>
      <c r="AF346">
        <v>1.89452401908569</v>
      </c>
      <c r="AG346">
        <v>0.92579500000000003</v>
      </c>
      <c r="AH346">
        <v>280.73028575376202</v>
      </c>
      <c r="AI346">
        <v>89.811054422155095</v>
      </c>
      <c r="AJ346">
        <v>89.613342100363596</v>
      </c>
      <c r="AK346">
        <v>280.73820484043398</v>
      </c>
      <c r="AL346">
        <v>93.026216031513201</v>
      </c>
      <c r="AM346">
        <v>90.260083573889503</v>
      </c>
      <c r="AN346">
        <v>1.0000000047248401</v>
      </c>
    </row>
    <row r="347" spans="1:40" x14ac:dyDescent="0.25">
      <c r="A347" t="str">
        <f>"20190303153749521"</f>
        <v>20190303153749521</v>
      </c>
      <c r="B347" t="str">
        <f>"1551598669509221"</f>
        <v>1551598669509221</v>
      </c>
      <c r="C347" t="s">
        <v>40</v>
      </c>
      <c r="D347">
        <v>4.1389779999999998</v>
      </c>
      <c r="E347">
        <v>0.5045425</v>
      </c>
      <c r="F347" t="s">
        <v>41</v>
      </c>
      <c r="G347">
        <v>-158.78319999999999</v>
      </c>
      <c r="H347">
        <v>1.943751</v>
      </c>
      <c r="I347">
        <v>369.78660000000002</v>
      </c>
      <c r="J347">
        <v>-439.38350000000003</v>
      </c>
      <c r="K347">
        <v>1.114625</v>
      </c>
      <c r="L347">
        <v>367.61660000000001</v>
      </c>
      <c r="M347">
        <v>0.99986980000000003</v>
      </c>
      <c r="N347">
        <v>-7.4019219999999896E-3</v>
      </c>
      <c r="O347">
        <v>1.4343989999999999E-2</v>
      </c>
      <c r="P347">
        <v>0.99803900000000001</v>
      </c>
      <c r="Q347">
        <v>-5.9633749999999999E-2</v>
      </c>
      <c r="R347">
        <v>1.9032179999999999E-2</v>
      </c>
      <c r="S347">
        <v>3.005951</v>
      </c>
      <c r="T347">
        <v>8.8708399999999996E-3</v>
      </c>
      <c r="U347">
        <v>2.325439E-2</v>
      </c>
      <c r="V347">
        <v>-4.7197630000000001E-3</v>
      </c>
      <c r="W347">
        <v>-5.2242950000000003E-2</v>
      </c>
      <c r="X347">
        <v>0.99862329999999999</v>
      </c>
      <c r="Y347">
        <v>6.6081350000000002E-3</v>
      </c>
      <c r="Z347">
        <v>1.337977E-4</v>
      </c>
      <c r="AA347">
        <v>0.99997820000000004</v>
      </c>
      <c r="AB347">
        <v>24</v>
      </c>
      <c r="AC347">
        <v>280.6003</v>
      </c>
      <c r="AD347">
        <v>0.82912599999999903</v>
      </c>
      <c r="AE347">
        <v>2.1700000000000101</v>
      </c>
      <c r="AF347">
        <v>1.85524491392309</v>
      </c>
      <c r="AG347">
        <v>0.82912599999999903</v>
      </c>
      <c r="AH347">
        <v>280.600107705889</v>
      </c>
      <c r="AI347">
        <v>89.830704826456696</v>
      </c>
      <c r="AJ347">
        <v>89.621182773168201</v>
      </c>
      <c r="AK347">
        <v>280.60746573847803</v>
      </c>
      <c r="AL347">
        <v>92.994663688970306</v>
      </c>
      <c r="AM347">
        <v>90.270793287816204</v>
      </c>
      <c r="AN347">
        <v>1.0000000486451801</v>
      </c>
    </row>
    <row r="348" spans="1:40" x14ac:dyDescent="0.25">
      <c r="A348" t="str">
        <f>"20190303153749540"</f>
        <v>20190303153749540</v>
      </c>
      <c r="B348" t="str">
        <f>"1551598669529734"</f>
        <v>1551598669529734</v>
      </c>
      <c r="C348" t="s">
        <v>40</v>
      </c>
      <c r="D348">
        <v>4.145721</v>
      </c>
      <c r="E348">
        <v>0.50469699999999995</v>
      </c>
      <c r="F348" t="s">
        <v>41</v>
      </c>
      <c r="G348">
        <v>-158.78319999999999</v>
      </c>
      <c r="H348">
        <v>1.925117</v>
      </c>
      <c r="I348">
        <v>369.74470000000002</v>
      </c>
      <c r="J348">
        <v>-439.1934</v>
      </c>
      <c r="K348">
        <v>1.113504</v>
      </c>
      <c r="L348">
        <v>367.61939999999998</v>
      </c>
      <c r="M348">
        <v>0.99986280000000005</v>
      </c>
      <c r="N348">
        <v>-8.3385899999999999E-3</v>
      </c>
      <c r="O348">
        <v>1.432047E-2</v>
      </c>
      <c r="P348">
        <v>0.99795040000000002</v>
      </c>
      <c r="Q348">
        <v>-6.0872679999999998E-2</v>
      </c>
      <c r="R348">
        <v>1.9746619999999999E-2</v>
      </c>
      <c r="S348">
        <v>3.0060120000000001</v>
      </c>
      <c r="T348">
        <v>8.6835619999999902E-3</v>
      </c>
      <c r="U348">
        <v>2.2796629999999998E-2</v>
      </c>
      <c r="V348">
        <v>-5.4587069999999897E-3</v>
      </c>
      <c r="W348">
        <v>-5.2546969999999998E-2</v>
      </c>
      <c r="X348">
        <v>0.99860349999999998</v>
      </c>
      <c r="Y348">
        <v>6.7370190000000003E-3</v>
      </c>
      <c r="Z348">
        <v>1.424234E-4</v>
      </c>
      <c r="AA348">
        <v>0.99997729999999996</v>
      </c>
      <c r="AB348">
        <v>24</v>
      </c>
      <c r="AC348">
        <v>280.41019999999997</v>
      </c>
      <c r="AD348">
        <v>0.81161299999999903</v>
      </c>
      <c r="AE348">
        <v>2.1253000000000299</v>
      </c>
      <c r="AF348">
        <v>1.89064712774709</v>
      </c>
      <c r="AG348">
        <v>0.81161299999999903</v>
      </c>
      <c r="AH348">
        <v>280.40953122673699</v>
      </c>
      <c r="AI348">
        <v>89.834168216469607</v>
      </c>
      <c r="AJ348">
        <v>89.613691949003396</v>
      </c>
      <c r="AK348">
        <v>280.41707948165703</v>
      </c>
      <c r="AL348">
        <v>93.012106959640803</v>
      </c>
      <c r="AM348">
        <v>90.313195134569597</v>
      </c>
      <c r="AN348">
        <v>0.99999996587526996</v>
      </c>
    </row>
    <row r="349" spans="1:40" x14ac:dyDescent="0.25">
      <c r="A349" t="str">
        <f>"20190303153749552"</f>
        <v>20190303153749552</v>
      </c>
      <c r="B349" t="str">
        <f>"1551598669539478"</f>
        <v>1551598669539478</v>
      </c>
      <c r="C349" t="s">
        <v>40</v>
      </c>
      <c r="D349">
        <v>4.0873059999999999</v>
      </c>
      <c r="E349">
        <v>0.5047701</v>
      </c>
      <c r="F349" t="s">
        <v>41</v>
      </c>
      <c r="G349">
        <v>-158.78319999999999</v>
      </c>
      <c r="H349">
        <v>1.55263</v>
      </c>
      <c r="I349">
        <v>369.8399</v>
      </c>
      <c r="J349">
        <v>-439.05889999999999</v>
      </c>
      <c r="K349">
        <v>1.112676</v>
      </c>
      <c r="L349">
        <v>367.62119999999999</v>
      </c>
      <c r="M349">
        <v>0.9998572</v>
      </c>
      <c r="N349">
        <v>-9.006053E-3</v>
      </c>
      <c r="O349">
        <v>1.43026E-2</v>
      </c>
      <c r="P349">
        <v>0.99789760000000005</v>
      </c>
      <c r="Q349">
        <v>-6.1642160000000001E-2</v>
      </c>
      <c r="R349">
        <v>2.0018870000000001E-2</v>
      </c>
      <c r="S349">
        <v>3.005951</v>
      </c>
      <c r="T349">
        <v>4.7082900000000004E-3</v>
      </c>
      <c r="U349">
        <v>2.3803709999999999E-2</v>
      </c>
      <c r="V349">
        <v>-5.7491399999999998E-3</v>
      </c>
      <c r="W349">
        <v>-5.2650269999999999E-2</v>
      </c>
      <c r="X349">
        <v>0.9985965</v>
      </c>
      <c r="Y349">
        <v>6.3841619999999996E-3</v>
      </c>
      <c r="Z349">
        <v>1.2746709999999901E-4</v>
      </c>
      <c r="AA349">
        <v>0.99997959999999997</v>
      </c>
      <c r="AB349">
        <v>24</v>
      </c>
      <c r="AC349">
        <v>280.27569999999997</v>
      </c>
      <c r="AD349">
        <v>0.43995400000000001</v>
      </c>
      <c r="AE349">
        <v>2.2187000000000099</v>
      </c>
      <c r="AF349">
        <v>1.7903561707051801</v>
      </c>
      <c r="AG349">
        <v>0.43995400000000001</v>
      </c>
      <c r="AH349">
        <v>280.27807289787802</v>
      </c>
      <c r="AI349">
        <v>89.910064415129995</v>
      </c>
      <c r="AJ349">
        <v>89.634011836301696</v>
      </c>
      <c r="AK349">
        <v>280.28413633683999</v>
      </c>
      <c r="AL349">
        <v>93.018033604335599</v>
      </c>
      <c r="AM349">
        <v>90.329860778102898</v>
      </c>
      <c r="AN349">
        <v>1.0000000366770301</v>
      </c>
    </row>
    <row r="350" spans="1:40" x14ac:dyDescent="0.25">
      <c r="A350" t="str">
        <f>"20190303153749574"</f>
        <v>20190303153749574</v>
      </c>
      <c r="B350" t="str">
        <f>"1551598669569733"</f>
        <v>1551598669569733</v>
      </c>
      <c r="C350" t="s">
        <v>40</v>
      </c>
      <c r="D350">
        <v>4.1043849999999997</v>
      </c>
      <c r="E350">
        <v>0.50496129999999995</v>
      </c>
      <c r="F350" t="s">
        <v>41</v>
      </c>
      <c r="G350">
        <v>-158.78319999999999</v>
      </c>
      <c r="H350">
        <v>1.317296</v>
      </c>
      <c r="I350">
        <v>369.84359999999998</v>
      </c>
      <c r="J350">
        <v>-438.82499999999999</v>
      </c>
      <c r="K350">
        <v>1.1111869999999999</v>
      </c>
      <c r="L350">
        <v>367.62450000000001</v>
      </c>
      <c r="M350">
        <v>0.99984740000000005</v>
      </c>
      <c r="N350">
        <v>-1.008585E-2</v>
      </c>
      <c r="O350">
        <v>1.4268889999999999E-2</v>
      </c>
      <c r="P350">
        <v>0.99778699999999998</v>
      </c>
      <c r="Q350">
        <v>-6.3457120000000006E-2</v>
      </c>
      <c r="R350">
        <v>1.9856510000000001E-2</v>
      </c>
      <c r="S350">
        <v>3.005951</v>
      </c>
      <c r="T350">
        <v>2.1954769999999999E-3</v>
      </c>
      <c r="U350">
        <v>2.3834230000000001E-2</v>
      </c>
      <c r="V350">
        <v>-5.6217840000000003E-3</v>
      </c>
      <c r="W350">
        <v>-5.3387950000000003E-2</v>
      </c>
      <c r="X350">
        <v>0.99855799999999995</v>
      </c>
      <c r="Y350">
        <v>6.3404009999999998E-3</v>
      </c>
      <c r="Z350">
        <v>1.246819E-4</v>
      </c>
      <c r="AA350">
        <v>0.99997990000000003</v>
      </c>
      <c r="AB350">
        <v>24</v>
      </c>
      <c r="AC350">
        <v>280.04180000000002</v>
      </c>
      <c r="AD350">
        <v>0.20610899999999899</v>
      </c>
      <c r="AE350">
        <v>2.2190999999999601</v>
      </c>
      <c r="AF350">
        <v>1.77721357464164</v>
      </c>
      <c r="AG350">
        <v>0.20610899999999899</v>
      </c>
      <c r="AH350">
        <v>280.044801241139</v>
      </c>
      <c r="AI350">
        <v>89.957831976021893</v>
      </c>
      <c r="AJ350">
        <v>89.636395784844197</v>
      </c>
      <c r="AK350">
        <v>280.05051628447097</v>
      </c>
      <c r="AL350">
        <v>93.060359263435302</v>
      </c>
      <c r="AM350">
        <v>90.322566233988397</v>
      </c>
      <c r="AN350">
        <v>0.99999997851227196</v>
      </c>
    </row>
    <row r="351" spans="1:40" x14ac:dyDescent="0.25">
      <c r="A351" t="str">
        <f>"20190303153749589"</f>
        <v>20190303153749589</v>
      </c>
      <c r="B351" t="str">
        <f>"1551598669579493"</f>
        <v>1551598669579493</v>
      </c>
      <c r="C351" t="s">
        <v>40</v>
      </c>
      <c r="D351">
        <v>4.1288669999999996</v>
      </c>
      <c r="E351">
        <v>0.50501640000000003</v>
      </c>
      <c r="F351" t="s">
        <v>41</v>
      </c>
      <c r="G351">
        <v>-158.78319999999999</v>
      </c>
      <c r="H351">
        <v>0.72094369999999997</v>
      </c>
      <c r="I351">
        <v>369.63170000000002</v>
      </c>
      <c r="J351">
        <v>-438.65159999999997</v>
      </c>
      <c r="K351">
        <v>1.110074</v>
      </c>
      <c r="L351">
        <v>367.62700000000001</v>
      </c>
      <c r="M351">
        <v>0.99984010000000001</v>
      </c>
      <c r="N351">
        <v>-1.081388E-2</v>
      </c>
      <c r="O351">
        <v>1.424254E-2</v>
      </c>
      <c r="P351">
        <v>0.99774130000000005</v>
      </c>
      <c r="Q351">
        <v>-6.421607E-2</v>
      </c>
      <c r="R351">
        <v>1.9719569999999999E-2</v>
      </c>
      <c r="S351">
        <v>3.0059809999999998</v>
      </c>
      <c r="T351">
        <v>-4.1879420000000001E-3</v>
      </c>
      <c r="U351">
        <v>2.1545410000000001E-2</v>
      </c>
      <c r="V351">
        <v>-5.5122590000000003E-3</v>
      </c>
      <c r="W351">
        <v>-5.342032E-2</v>
      </c>
      <c r="X351">
        <v>0.99855689999999997</v>
      </c>
      <c r="Y351">
        <v>7.0757110000000002E-3</v>
      </c>
      <c r="Z351" s="1">
        <v>9.0995730000000002E-5</v>
      </c>
      <c r="AA351">
        <v>0.99997499999999995</v>
      </c>
      <c r="AB351">
        <v>25</v>
      </c>
      <c r="AC351">
        <v>279.86839999999899</v>
      </c>
      <c r="AD351">
        <v>-0.38913029999999998</v>
      </c>
      <c r="AE351">
        <v>2.0047000000000699</v>
      </c>
      <c r="AF351">
        <v>1.98176946455572</v>
      </c>
      <c r="AG351">
        <v>-0.38913029999999998</v>
      </c>
      <c r="AH351">
        <v>279.86802226502499</v>
      </c>
      <c r="AI351">
        <v>90.079662372200602</v>
      </c>
      <c r="AJ351">
        <v>89.594290453019198</v>
      </c>
      <c r="AK351">
        <v>279.87530923455398</v>
      </c>
      <c r="AL351">
        <v>93.062216515291396</v>
      </c>
      <c r="AM351">
        <v>90.3162823953908</v>
      </c>
      <c r="AN351">
        <v>0.99999999906289705</v>
      </c>
    </row>
    <row r="352" spans="1:40" x14ac:dyDescent="0.25">
      <c r="A352" t="str">
        <f>"20190303153749607"</f>
        <v>20190303153749607</v>
      </c>
      <c r="B352" t="str">
        <f>"1551598669599013"</f>
        <v>1551598669599013</v>
      </c>
      <c r="C352" t="s">
        <v>40</v>
      </c>
      <c r="D352">
        <v>4.0642719999999999</v>
      </c>
      <c r="E352">
        <v>0.50519320000000001</v>
      </c>
      <c r="F352" t="s">
        <v>41</v>
      </c>
      <c r="G352">
        <v>-158.78319999999999</v>
      </c>
      <c r="H352">
        <v>0.48104669999999999</v>
      </c>
      <c r="I352">
        <v>369.5421</v>
      </c>
      <c r="J352">
        <v>-438.44690000000003</v>
      </c>
      <c r="K352">
        <v>1.108689</v>
      </c>
      <c r="L352">
        <v>367.62990000000002</v>
      </c>
      <c r="M352">
        <v>0.99983719999999998</v>
      </c>
      <c r="N352">
        <v>-1.1137879999999999E-2</v>
      </c>
      <c r="O352">
        <v>1.4208780000000001E-2</v>
      </c>
      <c r="P352">
        <v>0.99770239999999999</v>
      </c>
      <c r="Q352">
        <v>-6.5084110000000001E-2</v>
      </c>
      <c r="R352">
        <v>1.8823820000000002E-2</v>
      </c>
      <c r="S352">
        <v>3.0059200000000001</v>
      </c>
      <c r="T352">
        <v>-6.7551140000000004E-3</v>
      </c>
      <c r="U352">
        <v>2.056885E-2</v>
      </c>
      <c r="V352">
        <v>-4.6507670000000001E-3</v>
      </c>
      <c r="W352">
        <v>-5.3965440000000003E-2</v>
      </c>
      <c r="X352">
        <v>0.99853199999999998</v>
      </c>
      <c r="Y352">
        <v>7.3667300000000002E-3</v>
      </c>
      <c r="Z352" s="1">
        <v>7.703175E-5</v>
      </c>
      <c r="AA352">
        <v>0.99997290000000005</v>
      </c>
      <c r="AB352">
        <v>25</v>
      </c>
      <c r="AC352">
        <v>279.66370000000001</v>
      </c>
      <c r="AD352">
        <v>-0.62764229999999999</v>
      </c>
      <c r="AE352">
        <v>1.9121999999999799</v>
      </c>
      <c r="AF352">
        <v>2.06190842576612</v>
      </c>
      <c r="AG352">
        <v>-0.62764229999999999</v>
      </c>
      <c r="AH352">
        <v>279.66122769596097</v>
      </c>
      <c r="AI352">
        <v>90.128584921773594</v>
      </c>
      <c r="AJ352">
        <v>89.577572797862004</v>
      </c>
      <c r="AK352">
        <v>279.66953298066801</v>
      </c>
      <c r="AL352">
        <v>93.093494624397295</v>
      </c>
      <c r="AM352">
        <v>90.266859142981303</v>
      </c>
      <c r="AN352">
        <v>1.00000002668604</v>
      </c>
    </row>
    <row r="353" spans="1:40" x14ac:dyDescent="0.25">
      <c r="A353" t="str">
        <f>"20190303153749629"</f>
        <v>20190303153749629</v>
      </c>
      <c r="B353" t="str">
        <f>"1551598669619513"</f>
        <v>1551598669619513</v>
      </c>
      <c r="C353" t="s">
        <v>40</v>
      </c>
      <c r="D353">
        <v>4.1509780000000003</v>
      </c>
      <c r="E353">
        <v>0.50534639999999997</v>
      </c>
      <c r="F353" t="s">
        <v>41</v>
      </c>
      <c r="G353">
        <v>-158.78319999999999</v>
      </c>
      <c r="H353">
        <v>0.2420986</v>
      </c>
      <c r="I353">
        <v>369.16879999999998</v>
      </c>
      <c r="J353">
        <v>-438.19690000000003</v>
      </c>
      <c r="K353">
        <v>1.10693</v>
      </c>
      <c r="L353">
        <v>367.63339999999999</v>
      </c>
      <c r="M353">
        <v>0.99983639999999996</v>
      </c>
      <c r="N353">
        <v>-1.125051E-2</v>
      </c>
      <c r="O353">
        <v>1.4167300000000001E-2</v>
      </c>
      <c r="P353">
        <v>0.9976893</v>
      </c>
      <c r="Q353">
        <v>-6.5623580000000001E-2</v>
      </c>
      <c r="R353">
        <v>1.760111E-2</v>
      </c>
      <c r="S353">
        <v>3.0059200000000001</v>
      </c>
      <c r="T353">
        <v>-9.3134640000000005E-3</v>
      </c>
      <c r="U353">
        <v>1.6540530000000001E-2</v>
      </c>
      <c r="V353">
        <v>-3.469864E-3</v>
      </c>
      <c r="W353">
        <v>-5.4392870000000003E-2</v>
      </c>
      <c r="X353">
        <v>0.9985136</v>
      </c>
      <c r="Y353">
        <v>8.6653019999999997E-3</v>
      </c>
      <c r="Z353" s="1">
        <v>5.3335099999999997E-5</v>
      </c>
      <c r="AA353">
        <v>0.99996240000000003</v>
      </c>
      <c r="AB353">
        <v>25</v>
      </c>
      <c r="AC353">
        <v>279.41370000000001</v>
      </c>
      <c r="AD353">
        <v>-0.86483139999999903</v>
      </c>
      <c r="AE353">
        <v>1.5353999999999799</v>
      </c>
      <c r="AF353">
        <v>2.4235189331729798</v>
      </c>
      <c r="AG353">
        <v>-0.86483139999999903</v>
      </c>
      <c r="AH353">
        <v>279.404731369432</v>
      </c>
      <c r="AI353">
        <v>90.177338325060205</v>
      </c>
      <c r="AJ353">
        <v>89.503036603704203</v>
      </c>
      <c r="AK353">
        <v>279.41658019701401</v>
      </c>
      <c r="AL353">
        <v>93.118020612715796</v>
      </c>
      <c r="AM353">
        <v>90.199103710185597</v>
      </c>
      <c r="AN353">
        <v>1.00000001682398</v>
      </c>
    </row>
    <row r="354" spans="1:40" x14ac:dyDescent="0.25">
      <c r="A354" t="str">
        <f>"20190303153749642"</f>
        <v>20190303153749642</v>
      </c>
      <c r="B354" t="str">
        <f>"1551598669629270"</f>
        <v>1551598669629270</v>
      </c>
      <c r="C354" t="s">
        <v>40</v>
      </c>
      <c r="D354">
        <v>4.1112970000000004</v>
      </c>
      <c r="E354">
        <v>0.50540799999999997</v>
      </c>
      <c r="F354" t="s">
        <v>41</v>
      </c>
      <c r="G354">
        <v>-158.78319999999999</v>
      </c>
      <c r="H354">
        <v>9.0685349999999998E-2</v>
      </c>
      <c r="I354">
        <v>368.7312</v>
      </c>
      <c r="J354">
        <v>-438.04660000000001</v>
      </c>
      <c r="K354">
        <v>1.1058490000000001</v>
      </c>
      <c r="L354">
        <v>367.63549999999998</v>
      </c>
      <c r="M354">
        <v>0.99983580000000005</v>
      </c>
      <c r="N354">
        <v>-1.13312E-2</v>
      </c>
      <c r="O354">
        <v>1.414267E-2</v>
      </c>
      <c r="P354">
        <v>0.99766250000000001</v>
      </c>
      <c r="Q354">
        <v>-6.6150699999999896E-2</v>
      </c>
      <c r="R354">
        <v>1.7139809999999998E-2</v>
      </c>
      <c r="S354">
        <v>3.0060419999999999</v>
      </c>
      <c r="T354">
        <v>-1.0932209999999999E-2</v>
      </c>
      <c r="U354">
        <v>1.1810299999999999E-2</v>
      </c>
      <c r="V354">
        <v>-3.0336550000000001E-3</v>
      </c>
      <c r="W354">
        <v>-5.4839800000000001E-2</v>
      </c>
      <c r="X354">
        <v>0.99849060000000001</v>
      </c>
      <c r="Y354">
        <v>1.0214340000000001E-2</v>
      </c>
      <c r="Z354" s="1">
        <v>3.2386389999999998E-5</v>
      </c>
      <c r="AA354">
        <v>0.99994780000000005</v>
      </c>
      <c r="AB354">
        <v>25</v>
      </c>
      <c r="AC354">
        <v>279.26339999999999</v>
      </c>
      <c r="AD354">
        <v>-1.0151636500000001</v>
      </c>
      <c r="AE354">
        <v>1.0957000000000201</v>
      </c>
      <c r="AF354">
        <v>2.8541554931746602</v>
      </c>
      <c r="AG354">
        <v>-1.0151636500000001</v>
      </c>
      <c r="AH354">
        <v>279.24727368561901</v>
      </c>
      <c r="AI354">
        <v>90.2082788412349</v>
      </c>
      <c r="AJ354">
        <v>89.414406566906393</v>
      </c>
      <c r="AK354">
        <v>279.26370444736699</v>
      </c>
      <c r="AL354">
        <v>93.143666012499096</v>
      </c>
      <c r="AM354">
        <v>90.174077846277498</v>
      </c>
      <c r="AN354">
        <v>1.0000000425075199</v>
      </c>
    </row>
    <row r="355" spans="1:40" x14ac:dyDescent="0.25">
      <c r="A355" t="str">
        <f>"20190303153749655"</f>
        <v>20190303153749655</v>
      </c>
      <c r="B355" t="str">
        <f>"1551598669649766"</f>
        <v>1551598669649766</v>
      </c>
      <c r="C355" t="s">
        <v>40</v>
      </c>
      <c r="D355">
        <v>4.0464799999999999</v>
      </c>
      <c r="E355">
        <v>0.50540260000000004</v>
      </c>
      <c r="F355" t="s">
        <v>45</v>
      </c>
      <c r="G355">
        <v>-180</v>
      </c>
      <c r="H355">
        <v>1.938515E-2</v>
      </c>
      <c r="I355">
        <v>368.48950000000002</v>
      </c>
      <c r="J355">
        <v>-437.89749999999998</v>
      </c>
      <c r="K355">
        <v>1.104749</v>
      </c>
      <c r="L355">
        <v>367.63760000000002</v>
      </c>
      <c r="M355">
        <v>0.99983540000000004</v>
      </c>
      <c r="N355">
        <v>-1.140496E-2</v>
      </c>
      <c r="O355">
        <v>1.411778E-2</v>
      </c>
      <c r="P355">
        <v>0.99765630000000005</v>
      </c>
      <c r="Q355">
        <v>-6.6378740000000006E-2</v>
      </c>
      <c r="R355">
        <v>1.6608479999999998E-2</v>
      </c>
      <c r="S355">
        <v>3.0060120000000001</v>
      </c>
      <c r="T355">
        <v>-1.265633E-2</v>
      </c>
      <c r="U355">
        <v>9.9487299999999994E-3</v>
      </c>
      <c r="V355">
        <v>-2.5275200000000001E-3</v>
      </c>
      <c r="W355">
        <v>-5.4994370000000001E-2</v>
      </c>
      <c r="X355">
        <v>0.99848349999999997</v>
      </c>
      <c r="Y355">
        <v>1.080864E-2</v>
      </c>
      <c r="Z355" s="1">
        <v>1.7192240000000001E-5</v>
      </c>
      <c r="AA355">
        <v>0.99994159999999999</v>
      </c>
      <c r="AB355">
        <v>26</v>
      </c>
      <c r="AC355">
        <v>257.89749999999998</v>
      </c>
      <c r="AD355">
        <v>-1.08536385</v>
      </c>
      <c r="AE355">
        <v>0.85189999999999999</v>
      </c>
      <c r="AF355">
        <v>2.7893121085923198</v>
      </c>
      <c r="AG355">
        <v>-1.08536385</v>
      </c>
      <c r="AH355">
        <v>257.87925471242897</v>
      </c>
      <c r="AI355">
        <v>90.241131313116199</v>
      </c>
      <c r="AJ355">
        <v>89.3802929990743</v>
      </c>
      <c r="AK355">
        <v>257.896623257778</v>
      </c>
      <c r="AL355">
        <v>93.152535631199598</v>
      </c>
      <c r="AM355">
        <v>90.145035866210407</v>
      </c>
      <c r="AN355">
        <v>1.0000000344306399</v>
      </c>
    </row>
    <row r="356" spans="1:40" x14ac:dyDescent="0.25">
      <c r="A356" t="str">
        <f>"20190303153749673"</f>
        <v>20190303153749673</v>
      </c>
      <c r="B356" t="str">
        <f>"1551598669669285"</f>
        <v>1551598669669285</v>
      </c>
      <c r="C356" t="s">
        <v>40</v>
      </c>
      <c r="D356">
        <v>4.0621710000000002</v>
      </c>
      <c r="E356">
        <v>0.50526159999999998</v>
      </c>
      <c r="F356" t="s">
        <v>45</v>
      </c>
      <c r="G356">
        <v>-181.1215</v>
      </c>
      <c r="H356" s="1">
        <v>-9.2119540000000001E-6</v>
      </c>
      <c r="I356">
        <v>368.3519</v>
      </c>
      <c r="J356">
        <v>-437.69369999999998</v>
      </c>
      <c r="K356">
        <v>1.1031690000000001</v>
      </c>
      <c r="L356">
        <v>367.6404</v>
      </c>
      <c r="M356">
        <v>0.99983520000000004</v>
      </c>
      <c r="N356">
        <v>-1.146086E-2</v>
      </c>
      <c r="O356">
        <v>1.408297E-2</v>
      </c>
      <c r="P356">
        <v>0.9976505</v>
      </c>
      <c r="Q356">
        <v>-6.6658149999999999E-2</v>
      </c>
      <c r="R356">
        <v>1.5827190000000001E-2</v>
      </c>
      <c r="S356">
        <v>3.0060419999999999</v>
      </c>
      <c r="T356">
        <v>-1.293325E-2</v>
      </c>
      <c r="U356">
        <v>8.3618159999999993E-3</v>
      </c>
      <c r="V356">
        <v>-1.7814269999999999E-3</v>
      </c>
      <c r="W356">
        <v>-5.5218209999999997E-2</v>
      </c>
      <c r="X356">
        <v>0.99847280000000005</v>
      </c>
      <c r="Y356">
        <v>1.130171E-2</v>
      </c>
      <c r="Z356" s="1">
        <v>1.1746120000000001E-5</v>
      </c>
      <c r="AA356">
        <v>0.99993609999999999</v>
      </c>
      <c r="AB356">
        <v>26</v>
      </c>
      <c r="AC356">
        <v>256.57219999999899</v>
      </c>
      <c r="AD356">
        <v>-1.1031782119539999</v>
      </c>
      <c r="AE356">
        <v>0.71150000000000002</v>
      </c>
      <c r="AF356">
        <v>2.9020526466160002</v>
      </c>
      <c r="AG356">
        <v>-1.1031782119539999</v>
      </c>
      <c r="AH356">
        <v>256.552030197943</v>
      </c>
      <c r="AI356">
        <v>90.246355573818505</v>
      </c>
      <c r="AJ356">
        <v>89.351912058418705</v>
      </c>
      <c r="AK356">
        <v>256.57081500127299</v>
      </c>
      <c r="AL356">
        <v>93.165380096618193</v>
      </c>
      <c r="AM356">
        <v>90.102224257195303</v>
      </c>
      <c r="AN356">
        <v>1.0000000782687899</v>
      </c>
    </row>
    <row r="357" spans="1:40" x14ac:dyDescent="0.25">
      <c r="A357" t="str">
        <f>"20190303153749685"</f>
        <v>20190303153749685</v>
      </c>
      <c r="B357" t="str">
        <f>"1551598669680023"</f>
        <v>1551598669680023</v>
      </c>
      <c r="C357" t="s">
        <v>40</v>
      </c>
      <c r="D357">
        <v>4.0856969999999997</v>
      </c>
      <c r="E357">
        <v>0.50519289999999994</v>
      </c>
      <c r="F357" t="s">
        <v>45</v>
      </c>
      <c r="G357">
        <v>-192.17509999999999</v>
      </c>
      <c r="H357" s="1">
        <v>-6.2771210000000004E-6</v>
      </c>
      <c r="I357">
        <v>368.21870000000001</v>
      </c>
      <c r="J357">
        <v>-437.53660000000002</v>
      </c>
      <c r="K357">
        <v>1.1018730000000001</v>
      </c>
      <c r="L357">
        <v>367.64260000000002</v>
      </c>
      <c r="M357">
        <v>0.99983630000000001</v>
      </c>
      <c r="N357">
        <v>-1.1399609999999999E-2</v>
      </c>
      <c r="O357">
        <v>1.405552E-2</v>
      </c>
      <c r="P357">
        <v>0.99765409999999999</v>
      </c>
      <c r="Q357">
        <v>-6.6545460000000001E-2</v>
      </c>
      <c r="R357">
        <v>1.606635E-2</v>
      </c>
      <c r="S357">
        <v>3.0060419999999999</v>
      </c>
      <c r="T357">
        <v>-1.3506890000000001E-2</v>
      </c>
      <c r="U357">
        <v>7.0800780000000001E-3</v>
      </c>
      <c r="V357">
        <v>-2.0480540000000001E-3</v>
      </c>
      <c r="W357">
        <v>-5.5166569999999998E-2</v>
      </c>
      <c r="X357">
        <v>0.99847509999999995</v>
      </c>
      <c r="Y357">
        <v>1.17006E-2</v>
      </c>
      <c r="Z357" s="1">
        <v>4.1043790000000001E-6</v>
      </c>
      <c r="AA357">
        <v>0.99993160000000003</v>
      </c>
      <c r="AB357">
        <v>26</v>
      </c>
      <c r="AC357">
        <v>245.36150000000001</v>
      </c>
      <c r="AD357">
        <v>-1.101879277121</v>
      </c>
      <c r="AE357">
        <v>0.57609999999999595</v>
      </c>
      <c r="AF357">
        <v>2.8728063179234602</v>
      </c>
      <c r="AG357">
        <v>-1.101879277121</v>
      </c>
      <c r="AH357">
        <v>245.34040913574199</v>
      </c>
      <c r="AI357">
        <v>90.257308937590693</v>
      </c>
      <c r="AJ357">
        <v>89.329127412288798</v>
      </c>
      <c r="AK357">
        <v>245.35970229231799</v>
      </c>
      <c r="AL357">
        <v>93.162416962509297</v>
      </c>
      <c r="AM357">
        <v>90.117523898037206</v>
      </c>
      <c r="AN357">
        <v>1.0000000351453799</v>
      </c>
    </row>
    <row r="358" spans="1:40" x14ac:dyDescent="0.25">
      <c r="A358" t="str">
        <f>"20190303153749698"</f>
        <v>20190303153749698</v>
      </c>
      <c r="B358" t="str">
        <f>"1551598669689782"</f>
        <v>1551598669689782</v>
      </c>
      <c r="C358" t="s">
        <v>40</v>
      </c>
      <c r="D358">
        <v>4.0376519999999996</v>
      </c>
      <c r="E358">
        <v>0.50514289999999995</v>
      </c>
      <c r="F358" t="s">
        <v>45</v>
      </c>
      <c r="G358">
        <v>-184.32749999999999</v>
      </c>
      <c r="H358" s="1">
        <v>-8.934423E-6</v>
      </c>
      <c r="I358">
        <v>368.36239999999998</v>
      </c>
      <c r="J358">
        <v>-437.39339999999999</v>
      </c>
      <c r="K358">
        <v>1.1006100000000001</v>
      </c>
      <c r="L358">
        <v>367.64460000000003</v>
      </c>
      <c r="M358">
        <v>0.99983869999999997</v>
      </c>
      <c r="N358">
        <v>-1.1217090000000001E-2</v>
      </c>
      <c r="O358">
        <v>1.403009E-2</v>
      </c>
      <c r="P358">
        <v>0.99767099999999997</v>
      </c>
      <c r="Q358">
        <v>-6.6316539999999993E-2</v>
      </c>
      <c r="R358">
        <v>1.5957880000000001E-2</v>
      </c>
      <c r="S358">
        <v>3.0060730000000002</v>
      </c>
      <c r="T358">
        <v>-1.308143E-2</v>
      </c>
      <c r="U358">
        <v>8.5449219999999999E-3</v>
      </c>
      <c r="V358">
        <v>-1.9652160000000001E-3</v>
      </c>
      <c r="W358">
        <v>-5.5119750000000002E-2</v>
      </c>
      <c r="X358">
        <v>0.99847779999999997</v>
      </c>
      <c r="Y358">
        <v>1.118795E-2</v>
      </c>
      <c r="Z358" s="1">
        <v>9.2410009999999995E-6</v>
      </c>
      <c r="AA358">
        <v>0.99993739999999998</v>
      </c>
      <c r="AB358">
        <v>26</v>
      </c>
      <c r="AC358">
        <v>253.0659</v>
      </c>
      <c r="AD358">
        <v>-1.100618934423</v>
      </c>
      <c r="AE358">
        <v>0.71779999999995403</v>
      </c>
      <c r="AF358">
        <v>2.8329776535820699</v>
      </c>
      <c r="AG358">
        <v>-1.100618934423</v>
      </c>
      <c r="AH358">
        <v>253.04627355865799</v>
      </c>
      <c r="AI358">
        <v>90.249189485015606</v>
      </c>
      <c r="AJ358">
        <v>89.358572328879603</v>
      </c>
      <c r="AK358">
        <v>253.064524748823</v>
      </c>
      <c r="AL358">
        <v>93.159730451239</v>
      </c>
      <c r="AM358">
        <v>90.112770095874794</v>
      </c>
      <c r="AN358">
        <v>0.99999998300341397</v>
      </c>
    </row>
    <row r="359" spans="1:40" x14ac:dyDescent="0.25">
      <c r="A359" t="str">
        <f>"20190303153749711"</f>
        <v>20190303153749711</v>
      </c>
      <c r="B359" t="str">
        <f>"1551598669699542"</f>
        <v>1551598669699542</v>
      </c>
      <c r="C359" t="s">
        <v>40</v>
      </c>
      <c r="D359">
        <v>4.0725850000000001</v>
      </c>
      <c r="E359">
        <v>0.50507919999999995</v>
      </c>
      <c r="F359" t="s">
        <v>45</v>
      </c>
      <c r="G359">
        <v>-180</v>
      </c>
      <c r="H359">
        <v>4.589625E-2</v>
      </c>
      <c r="I359">
        <v>368.37889999999999</v>
      </c>
      <c r="J359">
        <v>-437.24799999999999</v>
      </c>
      <c r="K359">
        <v>1.0992980000000001</v>
      </c>
      <c r="L359">
        <v>367.64659999999998</v>
      </c>
      <c r="M359">
        <v>0.99984170000000006</v>
      </c>
      <c r="N359">
        <v>-1.098474E-2</v>
      </c>
      <c r="O359">
        <v>1.4004259999999999E-2</v>
      </c>
      <c r="P359">
        <v>0.99770930000000002</v>
      </c>
      <c r="Q359">
        <v>-6.5721870000000002E-2</v>
      </c>
      <c r="R359">
        <v>1.603456E-2</v>
      </c>
      <c r="S359">
        <v>3.0060419999999999</v>
      </c>
      <c r="T359">
        <v>-1.231778E-2</v>
      </c>
      <c r="U359">
        <v>8.5754390000000007E-3</v>
      </c>
      <c r="V359">
        <v>-2.0671449999999998E-3</v>
      </c>
      <c r="W359">
        <v>-5.4756659999999999E-2</v>
      </c>
      <c r="X359">
        <v>0.99849759999999999</v>
      </c>
      <c r="Y359">
        <v>1.1151929999999999E-2</v>
      </c>
      <c r="Z359" s="1">
        <v>1.2358559999999999E-5</v>
      </c>
      <c r="AA359">
        <v>0.99993779999999999</v>
      </c>
      <c r="AB359">
        <v>26</v>
      </c>
      <c r="AC359">
        <v>257.24799999999999</v>
      </c>
      <c r="AD359">
        <v>-1.0534017499999999</v>
      </c>
      <c r="AE359">
        <v>0.73230000000000905</v>
      </c>
      <c r="AF359">
        <v>2.8705085595457298</v>
      </c>
      <c r="AG359">
        <v>-1.0534017499999999</v>
      </c>
      <c r="AH359">
        <v>257.22871280870697</v>
      </c>
      <c r="AI359">
        <v>90.234621472424905</v>
      </c>
      <c r="AJ359">
        <v>89.360642141816101</v>
      </c>
      <c r="AK359">
        <v>257.246885632969</v>
      </c>
      <c r="AL359">
        <v>93.138895372136503</v>
      </c>
      <c r="AM359">
        <v>90.118616724701397</v>
      </c>
      <c r="AN359">
        <v>1.0000000110542799</v>
      </c>
    </row>
    <row r="360" spans="1:40" x14ac:dyDescent="0.25">
      <c r="A360" t="str">
        <f>"20190303153749723"</f>
        <v>20190303153749723</v>
      </c>
      <c r="B360" t="str">
        <f>"1551598669719063"</f>
        <v>1551598669719063</v>
      </c>
      <c r="C360" t="s">
        <v>40</v>
      </c>
      <c r="D360">
        <v>4.0660410000000002</v>
      </c>
      <c r="E360">
        <v>0.50497190000000003</v>
      </c>
      <c r="F360" t="s">
        <v>41</v>
      </c>
      <c r="G360">
        <v>-158.78319999999999</v>
      </c>
      <c r="H360">
        <v>0.1299062</v>
      </c>
      <c r="I360">
        <v>368.49759999999998</v>
      </c>
      <c r="J360">
        <v>-437.09550000000002</v>
      </c>
      <c r="K360">
        <v>1.0978509999999999</v>
      </c>
      <c r="L360">
        <v>367.64870000000002</v>
      </c>
      <c r="M360">
        <v>0.99984519999999999</v>
      </c>
      <c r="N360">
        <v>-1.069582E-2</v>
      </c>
      <c r="O360">
        <v>1.397872E-2</v>
      </c>
      <c r="P360">
        <v>0.99772640000000001</v>
      </c>
      <c r="Q360">
        <v>-6.5380960000000002E-2</v>
      </c>
      <c r="R360">
        <v>1.6358009999999999E-2</v>
      </c>
      <c r="S360">
        <v>3.0059809999999998</v>
      </c>
      <c r="T360">
        <v>-1.0463480000000001E-2</v>
      </c>
      <c r="U360">
        <v>9.1857910000000004E-3</v>
      </c>
      <c r="V360">
        <v>-2.4161479999999999E-3</v>
      </c>
      <c r="W360">
        <v>-5.4703969999999998E-2</v>
      </c>
      <c r="X360">
        <v>0.99849969999999999</v>
      </c>
      <c r="Y360">
        <v>1.09233E-2</v>
      </c>
      <c r="Z360" s="1">
        <v>2.3436019999999999E-5</v>
      </c>
      <c r="AA360">
        <v>0.9999403</v>
      </c>
      <c r="AB360">
        <v>26</v>
      </c>
      <c r="AC360">
        <v>278.31229999999999</v>
      </c>
      <c r="AD360">
        <v>-0.96794480000000005</v>
      </c>
      <c r="AE360">
        <v>0.84889999999995702</v>
      </c>
      <c r="AF360">
        <v>3.04181798234774</v>
      </c>
      <c r="AG360">
        <v>-0.96794480000000005</v>
      </c>
      <c r="AH360">
        <v>278.29360485930698</v>
      </c>
      <c r="AI360">
        <v>90.199270176217496</v>
      </c>
      <c r="AJ360">
        <v>89.373767886402504</v>
      </c>
      <c r="AK360">
        <v>278.31191149385199</v>
      </c>
      <c r="AL360">
        <v>93.135871940212496</v>
      </c>
      <c r="AM360">
        <v>90.138642818706501</v>
      </c>
      <c r="AN360">
        <v>1.0000000065025001</v>
      </c>
    </row>
    <row r="361" spans="1:40" x14ac:dyDescent="0.25">
      <c r="A361" t="str">
        <f>"20190303153749740"</f>
        <v>20190303153749740</v>
      </c>
      <c r="B361" t="str">
        <f>"1551598669729814"</f>
        <v>1551598669729814</v>
      </c>
      <c r="C361" t="s">
        <v>40</v>
      </c>
      <c r="D361">
        <v>4.0415229999999998</v>
      </c>
      <c r="E361">
        <v>0.50490210000000002</v>
      </c>
      <c r="F361" t="s">
        <v>41</v>
      </c>
      <c r="G361">
        <v>-158.78319999999999</v>
      </c>
      <c r="H361">
        <v>0.2441333</v>
      </c>
      <c r="I361">
        <v>368.65460000000002</v>
      </c>
      <c r="J361">
        <v>-436.89929999999998</v>
      </c>
      <c r="K361">
        <v>1.095958</v>
      </c>
      <c r="L361">
        <v>367.65140000000002</v>
      </c>
      <c r="M361">
        <v>0.99984969999999995</v>
      </c>
      <c r="N361">
        <v>-1.0306920000000001E-2</v>
      </c>
      <c r="O361">
        <v>1.3946160000000001E-2</v>
      </c>
      <c r="P361">
        <v>0.99778219999999995</v>
      </c>
      <c r="Q361">
        <v>-6.4395460000000002E-2</v>
      </c>
      <c r="R361">
        <v>1.6858700000000001E-2</v>
      </c>
      <c r="S361">
        <v>3.0060730000000002</v>
      </c>
      <c r="T361">
        <v>-9.2201230000000002E-3</v>
      </c>
      <c r="U361">
        <v>1.0864260000000001E-2</v>
      </c>
      <c r="V361">
        <v>-2.9490240000000002E-3</v>
      </c>
      <c r="W361">
        <v>-5.4106139999999997E-2</v>
      </c>
      <c r="X361">
        <v>0.9985309</v>
      </c>
      <c r="Y361">
        <v>1.033251E-2</v>
      </c>
      <c r="Z361" s="1">
        <v>3.1880900000000002E-5</v>
      </c>
      <c r="AA361">
        <v>0.99994660000000002</v>
      </c>
      <c r="AB361">
        <v>26</v>
      </c>
      <c r="AC361">
        <v>278.11610000000002</v>
      </c>
      <c r="AD361">
        <v>-0.85182469999999999</v>
      </c>
      <c r="AE361">
        <v>1.0031999999999901</v>
      </c>
      <c r="AF361">
        <v>2.8757279703497001</v>
      </c>
      <c r="AG361">
        <v>-0.85182469999999999</v>
      </c>
      <c r="AH361">
        <v>278.10043237627599</v>
      </c>
      <c r="AI361">
        <v>90.175487675486906</v>
      </c>
      <c r="AJ361">
        <v>89.407547834613197</v>
      </c>
      <c r="AK361">
        <v>278.11660487024199</v>
      </c>
      <c r="AL361">
        <v>93.1015678174859</v>
      </c>
      <c r="AM361">
        <v>90.169214730984507</v>
      </c>
      <c r="AN361">
        <v>1.0000000646915199</v>
      </c>
    </row>
    <row r="362" spans="1:40" x14ac:dyDescent="0.25">
      <c r="A362" t="str">
        <f>"20190303153749753"</f>
        <v>20190303153749753</v>
      </c>
      <c r="B362" t="str">
        <f>"1551598669739558"</f>
        <v>1551598669739558</v>
      </c>
      <c r="C362" t="s">
        <v>40</v>
      </c>
      <c r="D362">
        <v>4.0538639999999999</v>
      </c>
      <c r="E362">
        <v>0.50484870000000004</v>
      </c>
      <c r="F362" t="s">
        <v>41</v>
      </c>
      <c r="G362">
        <v>-158.78319999999999</v>
      </c>
      <c r="H362">
        <v>0.52225069999999996</v>
      </c>
      <c r="I362">
        <v>368.84859999999998</v>
      </c>
      <c r="J362">
        <v>-436.75760000000002</v>
      </c>
      <c r="K362">
        <v>1.0945780000000001</v>
      </c>
      <c r="L362">
        <v>367.65339999999998</v>
      </c>
      <c r="M362">
        <v>0.99985299999999999</v>
      </c>
      <c r="N362">
        <v>-1.000821E-2</v>
      </c>
      <c r="O362">
        <v>1.392238E-2</v>
      </c>
      <c r="P362">
        <v>0.9977878</v>
      </c>
      <c r="Q362">
        <v>-6.4313709999999996E-2</v>
      </c>
      <c r="R362">
        <v>1.6839090000000001E-2</v>
      </c>
      <c r="S362">
        <v>3.0060730000000002</v>
      </c>
      <c r="T362">
        <v>-6.2000750000000002E-3</v>
      </c>
      <c r="U362">
        <v>1.293945E-2</v>
      </c>
      <c r="V362">
        <v>-2.953275E-3</v>
      </c>
      <c r="W362">
        <v>-5.4322589999999997E-2</v>
      </c>
      <c r="X362">
        <v>0.99851909999999999</v>
      </c>
      <c r="Y362">
        <v>9.6184100000000008E-3</v>
      </c>
      <c r="Z362" s="1">
        <v>5.2579649999999997E-5</v>
      </c>
      <c r="AA362">
        <v>0.99995369999999995</v>
      </c>
      <c r="AB362">
        <v>26</v>
      </c>
      <c r="AC362">
        <v>277.9744</v>
      </c>
      <c r="AD362">
        <v>-0.57232729999999998</v>
      </c>
      <c r="AE362">
        <v>1.19519999999999</v>
      </c>
      <c r="AF362">
        <v>2.67516353826736</v>
      </c>
      <c r="AG362">
        <v>-0.57232729999999998</v>
      </c>
      <c r="AH362">
        <v>277.96291829222901</v>
      </c>
      <c r="AI362">
        <v>90.117966720492305</v>
      </c>
      <c r="AJ362">
        <v>89.448592463034302</v>
      </c>
      <c r="AK362">
        <v>277.97638029880699</v>
      </c>
      <c r="AL362">
        <v>93.113987864124297</v>
      </c>
      <c r="AM362">
        <v>90.169460654125402</v>
      </c>
      <c r="AN362">
        <v>1.0000000293411699</v>
      </c>
    </row>
    <row r="363" spans="1:40" x14ac:dyDescent="0.25">
      <c r="A363" t="str">
        <f>"20190303153749765"</f>
        <v>20190303153749765</v>
      </c>
      <c r="B363" t="str">
        <f>"1551598669759078"</f>
        <v>1551598669759078</v>
      </c>
      <c r="C363" t="s">
        <v>40</v>
      </c>
      <c r="D363">
        <v>4.0354010000000002</v>
      </c>
      <c r="E363">
        <v>0.5047469</v>
      </c>
      <c r="F363" t="s">
        <v>41</v>
      </c>
      <c r="G363">
        <v>-158.78319999999999</v>
      </c>
      <c r="H363">
        <v>0.55727059999999995</v>
      </c>
      <c r="I363">
        <v>368.8895</v>
      </c>
      <c r="J363">
        <v>-436.59570000000002</v>
      </c>
      <c r="K363">
        <v>1.0929930000000001</v>
      </c>
      <c r="L363">
        <v>367.65559999999999</v>
      </c>
      <c r="M363">
        <v>0.99985710000000005</v>
      </c>
      <c r="N363">
        <v>-9.6312289999999998E-3</v>
      </c>
      <c r="O363">
        <v>1.389436E-2</v>
      </c>
      <c r="P363">
        <v>0.997838</v>
      </c>
      <c r="Q363">
        <v>-6.3458669999999995E-2</v>
      </c>
      <c r="R363">
        <v>1.7111680000000001E-2</v>
      </c>
      <c r="S363">
        <v>3.0060419999999999</v>
      </c>
      <c r="T363">
        <v>-5.8095459999999996E-3</v>
      </c>
      <c r="U363">
        <v>1.33667E-2</v>
      </c>
      <c r="V363">
        <v>-3.2528449999999999E-3</v>
      </c>
      <c r="W363">
        <v>-5.3843490000000001E-2</v>
      </c>
      <c r="X363">
        <v>0.99854410000000005</v>
      </c>
      <c r="Y363">
        <v>9.4482109999999998E-3</v>
      </c>
      <c r="Z363" s="1">
        <v>5.2345069999999999E-5</v>
      </c>
      <c r="AA363">
        <v>0.99995540000000005</v>
      </c>
      <c r="AB363">
        <v>26</v>
      </c>
      <c r="AC363">
        <v>277.8125</v>
      </c>
      <c r="AD363">
        <v>-0.53572240000000004</v>
      </c>
      <c r="AE363">
        <v>1.2339</v>
      </c>
      <c r="AF363">
        <v>2.6264152177025801</v>
      </c>
      <c r="AG363">
        <v>-0.53572240000000004</v>
      </c>
      <c r="AH363">
        <v>277.80179195747797</v>
      </c>
      <c r="AI363">
        <v>90.110486050313398</v>
      </c>
      <c r="AJ363">
        <v>89.458325942178902</v>
      </c>
      <c r="AK363">
        <v>277.81472363820399</v>
      </c>
      <c r="AL363">
        <v>93.086497279107505</v>
      </c>
      <c r="AM363">
        <v>90.1866453676448</v>
      </c>
      <c r="AN363">
        <v>1.0000000110303899</v>
      </c>
    </row>
    <row r="364" spans="1:40" x14ac:dyDescent="0.25">
      <c r="A364" t="str">
        <f>"20190303153749781"</f>
        <v>20190303153749781</v>
      </c>
      <c r="B364" t="str">
        <f>"1551598669769813"</f>
        <v>1551598669769813</v>
      </c>
      <c r="C364" t="s">
        <v>40</v>
      </c>
      <c r="D364">
        <v>4.04833</v>
      </c>
      <c r="E364">
        <v>0.50469489999999995</v>
      </c>
      <c r="F364" t="s">
        <v>41</v>
      </c>
      <c r="G364">
        <v>-158.78319999999999</v>
      </c>
      <c r="H364">
        <v>0.81827150000000004</v>
      </c>
      <c r="I364">
        <v>369.05450000000002</v>
      </c>
      <c r="J364">
        <v>-436.4248</v>
      </c>
      <c r="K364">
        <v>1.0913360000000001</v>
      </c>
      <c r="L364">
        <v>367.65789999999998</v>
      </c>
      <c r="M364">
        <v>0.99986180000000002</v>
      </c>
      <c r="N364">
        <v>-9.1750579999999998E-3</v>
      </c>
      <c r="O364">
        <v>1.386307E-2</v>
      </c>
      <c r="P364">
        <v>0.99787740000000003</v>
      </c>
      <c r="Q364">
        <v>-6.280078E-2</v>
      </c>
      <c r="R364">
        <v>1.723075E-2</v>
      </c>
      <c r="S364">
        <v>3.0060419999999999</v>
      </c>
      <c r="T364">
        <v>-2.9716489999999998E-3</v>
      </c>
      <c r="U364">
        <v>1.5136719999999999E-2</v>
      </c>
      <c r="V364">
        <v>-3.4028679999999999E-3</v>
      </c>
      <c r="W364">
        <v>-5.3640760000000003E-2</v>
      </c>
      <c r="X364">
        <v>0.99855450000000001</v>
      </c>
      <c r="Y364">
        <v>8.8280839999999999E-3</v>
      </c>
      <c r="Z364" s="1">
        <v>6.8633029999999994E-5</v>
      </c>
      <c r="AA364">
        <v>0.99996099999999999</v>
      </c>
      <c r="AB364">
        <v>26</v>
      </c>
      <c r="AC364">
        <v>277.64159999999998</v>
      </c>
      <c r="AD364">
        <v>-0.27306449999999999</v>
      </c>
      <c r="AE364">
        <v>1.39660000000003</v>
      </c>
      <c r="AF364">
        <v>2.4526588279727202</v>
      </c>
      <c r="AG364">
        <v>-0.27306449999999999</v>
      </c>
      <c r="AH364">
        <v>277.63401066614199</v>
      </c>
      <c r="AI364">
        <v>90.056350545227204</v>
      </c>
      <c r="AJ364">
        <v>89.493854000133794</v>
      </c>
      <c r="AK364">
        <v>277.64497830523601</v>
      </c>
      <c r="AL364">
        <v>93.0748649290434</v>
      </c>
      <c r="AM364">
        <v>90.195251455892205</v>
      </c>
      <c r="AN364">
        <v>1.0000000000571201</v>
      </c>
    </row>
    <row r="365" spans="1:40" x14ac:dyDescent="0.25">
      <c r="A365" t="str">
        <f>"20190303153749799"</f>
        <v>20190303153749799</v>
      </c>
      <c r="B365" t="str">
        <f>"1551598669789334"</f>
        <v>1551598669789334</v>
      </c>
      <c r="C365" t="s">
        <v>40</v>
      </c>
      <c r="D365">
        <v>4.0449919999999997</v>
      </c>
      <c r="E365">
        <v>0.50459579999999904</v>
      </c>
      <c r="F365" t="s">
        <v>41</v>
      </c>
      <c r="G365">
        <v>-158.78319999999999</v>
      </c>
      <c r="H365">
        <v>1.014715</v>
      </c>
      <c r="I365">
        <v>369.13780000000003</v>
      </c>
      <c r="J365">
        <v>-436.20330000000001</v>
      </c>
      <c r="K365">
        <v>1.08924</v>
      </c>
      <c r="L365">
        <v>367.661</v>
      </c>
      <c r="M365">
        <v>0.99986830000000004</v>
      </c>
      <c r="N365">
        <v>-8.5236019999999999E-3</v>
      </c>
      <c r="O365">
        <v>1.3820860000000001E-2</v>
      </c>
      <c r="P365">
        <v>0.99798399999999998</v>
      </c>
      <c r="Q365">
        <v>-6.1045240000000001E-2</v>
      </c>
      <c r="R365">
        <v>1.7372599999999998E-2</v>
      </c>
      <c r="S365">
        <v>3.0060120000000001</v>
      </c>
      <c r="T365">
        <v>-8.2862379999999996E-4</v>
      </c>
      <c r="U365">
        <v>1.6021730000000001E-2</v>
      </c>
      <c r="V365">
        <v>-3.5849670000000001E-3</v>
      </c>
      <c r="W365">
        <v>-5.2534850000000001E-2</v>
      </c>
      <c r="X365">
        <v>0.99861259999999996</v>
      </c>
      <c r="Y365">
        <v>8.4913760000000001E-3</v>
      </c>
      <c r="Z365" s="1">
        <v>7.6639309999999896E-5</v>
      </c>
      <c r="AA365">
        <v>0.99996390000000002</v>
      </c>
      <c r="AB365">
        <v>27</v>
      </c>
      <c r="AC365">
        <v>277.42009999999999</v>
      </c>
      <c r="AD365">
        <v>-7.4524999999999897E-2</v>
      </c>
      <c r="AE365">
        <v>1.4768000000000201</v>
      </c>
      <c r="AF365">
        <v>2.3576639971858802</v>
      </c>
      <c r="AG365">
        <v>-7.4524999999999897E-2</v>
      </c>
      <c r="AH365">
        <v>277.41399231973901</v>
      </c>
      <c r="AI365">
        <v>90.0153914863197</v>
      </c>
      <c r="AJ365">
        <v>89.513070904384904</v>
      </c>
      <c r="AK365">
        <v>277.42402071247398</v>
      </c>
      <c r="AL365">
        <v>93.011411641227397</v>
      </c>
      <c r="AM365">
        <v>90.205687967892601</v>
      </c>
      <c r="AN365">
        <v>0.999999943665835</v>
      </c>
    </row>
    <row r="366" spans="1:40" x14ac:dyDescent="0.25">
      <c r="A366" t="str">
        <f>"20190303153749813"</f>
        <v>20190303153749813</v>
      </c>
      <c r="B366" t="str">
        <f>"1551598669809829"</f>
        <v>1551598669809829</v>
      </c>
      <c r="C366" t="s">
        <v>40</v>
      </c>
      <c r="D366">
        <v>4.0401490000000004</v>
      </c>
      <c r="E366">
        <v>0.50449409999999995</v>
      </c>
      <c r="F366" t="s">
        <v>41</v>
      </c>
      <c r="G366">
        <v>-158.78319999999999</v>
      </c>
      <c r="H366">
        <v>1.5369649999999999</v>
      </c>
      <c r="I366">
        <v>369.23820000000001</v>
      </c>
      <c r="J366">
        <v>-436.03429999999997</v>
      </c>
      <c r="K366">
        <v>1.0876939999999999</v>
      </c>
      <c r="L366">
        <v>367.66329999999999</v>
      </c>
      <c r="M366">
        <v>0.99987289999999995</v>
      </c>
      <c r="N366">
        <v>-7.9953460000000004E-3</v>
      </c>
      <c r="O366">
        <v>1.378825E-2</v>
      </c>
      <c r="P366">
        <v>0.99802349999999995</v>
      </c>
      <c r="Q366">
        <v>-6.0328420000000001E-2</v>
      </c>
      <c r="R366">
        <v>1.7590140000000001E-2</v>
      </c>
      <c r="S366">
        <v>3.0060730000000002</v>
      </c>
      <c r="T366">
        <v>4.8524140000000002E-3</v>
      </c>
      <c r="U366">
        <v>1.7089839999999999E-2</v>
      </c>
      <c r="V366">
        <v>-3.834521E-3</v>
      </c>
      <c r="W366">
        <v>-5.234523E-2</v>
      </c>
      <c r="X366">
        <v>0.99862169999999895</v>
      </c>
      <c r="Y366">
        <v>8.1033999999999898E-3</v>
      </c>
      <c r="Z366">
        <v>1.066469E-4</v>
      </c>
      <c r="AA366">
        <v>0.99996719999999895</v>
      </c>
      <c r="AB366">
        <v>27</v>
      </c>
      <c r="AC366">
        <v>277.25109999999898</v>
      </c>
      <c r="AD366">
        <v>0.44927099999999898</v>
      </c>
      <c r="AE366">
        <v>1.57490000000001</v>
      </c>
      <c r="AF366">
        <v>2.2481737655337799</v>
      </c>
      <c r="AG366">
        <v>0.44927099999999898</v>
      </c>
      <c r="AH366">
        <v>277.24572997373099</v>
      </c>
      <c r="AI366">
        <v>89.907156502070706</v>
      </c>
      <c r="AJ366">
        <v>89.535401157763104</v>
      </c>
      <c r="AK366">
        <v>277.25520900134302</v>
      </c>
      <c r="AL366">
        <v>93.000532036869004</v>
      </c>
      <c r="AM366">
        <v>90.220004021533001</v>
      </c>
      <c r="AN366">
        <v>1.00000001318297</v>
      </c>
    </row>
    <row r="367" spans="1:40" x14ac:dyDescent="0.25">
      <c r="A367" t="str">
        <f>"20190303153749830"</f>
        <v>20190303153749830</v>
      </c>
      <c r="B367" t="str">
        <f>"1551598669819590"</f>
        <v>1551598669819590</v>
      </c>
      <c r="C367" t="s">
        <v>40</v>
      </c>
      <c r="D367">
        <v>4.0355420000000004</v>
      </c>
      <c r="E367">
        <v>0.50444820000000001</v>
      </c>
      <c r="F367" t="s">
        <v>41</v>
      </c>
      <c r="G367">
        <v>-158.78319999999999</v>
      </c>
      <c r="H367">
        <v>1.76918</v>
      </c>
      <c r="I367">
        <v>369.37189999999998</v>
      </c>
      <c r="J367">
        <v>-435.81799999999998</v>
      </c>
      <c r="K367">
        <v>1.08582</v>
      </c>
      <c r="L367">
        <v>367.6662</v>
      </c>
      <c r="M367">
        <v>0.99987890000000001</v>
      </c>
      <c r="N367">
        <v>-7.3080810000000001E-3</v>
      </c>
      <c r="O367">
        <v>1.374626E-2</v>
      </c>
      <c r="P367">
        <v>0.99808010000000003</v>
      </c>
      <c r="Q367">
        <v>-5.9341709999999999E-2</v>
      </c>
      <c r="R367">
        <v>1.774568E-2</v>
      </c>
      <c r="S367">
        <v>3.0060730000000002</v>
      </c>
      <c r="T367">
        <v>7.3899029999999997E-3</v>
      </c>
      <c r="U367">
        <v>1.852417E-2</v>
      </c>
      <c r="V367">
        <v>-4.031247E-3</v>
      </c>
      <c r="W367">
        <v>-5.2044409999999999E-2</v>
      </c>
      <c r="X367">
        <v>0.99863670000000004</v>
      </c>
      <c r="Y367">
        <v>7.5842080000000003E-3</v>
      </c>
      <c r="Z367">
        <v>1.158618E-4</v>
      </c>
      <c r="AA367">
        <v>0.99997119999999995</v>
      </c>
      <c r="AB367">
        <v>27</v>
      </c>
      <c r="AC367">
        <v>277.03480000000002</v>
      </c>
      <c r="AD367">
        <v>0.68335999999999997</v>
      </c>
      <c r="AE367">
        <v>1.70569999999997</v>
      </c>
      <c r="AF367">
        <v>2.1027421173198202</v>
      </c>
      <c r="AG367">
        <v>0.68335999999999997</v>
      </c>
      <c r="AH367">
        <v>277.03038523934902</v>
      </c>
      <c r="AI367">
        <v>89.858670966271305</v>
      </c>
      <c r="AJ367">
        <v>89.565116530391705</v>
      </c>
      <c r="AK367">
        <v>277.03920814780702</v>
      </c>
      <c r="AL367">
        <v>92.983272639984193</v>
      </c>
      <c r="AM367">
        <v>90.231287498936396</v>
      </c>
      <c r="AN367">
        <v>1.0000000650757499</v>
      </c>
    </row>
    <row r="368" spans="1:40" x14ac:dyDescent="0.25">
      <c r="A368" t="str">
        <f>"20190303153749843"</f>
        <v>20190303153749843</v>
      </c>
      <c r="B368" t="str">
        <f>"1551598669839110"</f>
        <v>1551598669839110</v>
      </c>
      <c r="C368" t="s">
        <v>40</v>
      </c>
      <c r="D368">
        <v>4.0286900000000001</v>
      </c>
      <c r="E368">
        <v>0.50435580000000002</v>
      </c>
      <c r="F368" t="s">
        <v>41</v>
      </c>
      <c r="G368">
        <v>-158.78319999999999</v>
      </c>
      <c r="H368">
        <v>2.0556209999999999</v>
      </c>
      <c r="I368">
        <v>369.47179999999997</v>
      </c>
      <c r="J368">
        <v>-435.66149999999999</v>
      </c>
      <c r="K368">
        <v>1.0845659999999999</v>
      </c>
      <c r="L368">
        <v>367.66840000000002</v>
      </c>
      <c r="M368">
        <v>0.99988259999999995</v>
      </c>
      <c r="N368">
        <v>-6.8375650000000003E-3</v>
      </c>
      <c r="O368">
        <v>1.3716870000000001E-2</v>
      </c>
      <c r="P368">
        <v>0.99810569999999998</v>
      </c>
      <c r="Q368">
        <v>-5.8867200000000001E-2</v>
      </c>
      <c r="R368">
        <v>1.7890329999999999E-2</v>
      </c>
      <c r="S368">
        <v>3.0060730000000002</v>
      </c>
      <c r="T368">
        <v>1.0524149999999999E-2</v>
      </c>
      <c r="U368">
        <v>1.9592289999999998E-2</v>
      </c>
      <c r="V368">
        <v>-4.2055319999999997E-3</v>
      </c>
      <c r="W368">
        <v>-5.203957E-2</v>
      </c>
      <c r="X368">
        <v>0.99863619999999997</v>
      </c>
      <c r="Y368">
        <v>7.1993919999999998E-3</v>
      </c>
      <c r="Z368">
        <v>1.29801E-4</v>
      </c>
      <c r="AA368">
        <v>0.99997409999999998</v>
      </c>
      <c r="AB368">
        <v>27</v>
      </c>
      <c r="AC368">
        <v>276.87830000000002</v>
      </c>
      <c r="AD368">
        <v>0.971054999999999</v>
      </c>
      <c r="AE368">
        <v>1.8033999999999499</v>
      </c>
      <c r="AF368">
        <v>1.9947373436870799</v>
      </c>
      <c r="AG368">
        <v>0.971054999999999</v>
      </c>
      <c r="AH368">
        <v>276.87358202715302</v>
      </c>
      <c r="AI368">
        <v>89.7990574586631</v>
      </c>
      <c r="AJ368">
        <v>89.587219362530604</v>
      </c>
      <c r="AK368">
        <v>276.88247028194098</v>
      </c>
      <c r="AL368">
        <v>92.982995051939497</v>
      </c>
      <c r="AM368">
        <v>90.241286876807095</v>
      </c>
      <c r="AN368">
        <v>1.0000000316478099</v>
      </c>
    </row>
    <row r="369" spans="1:40" x14ac:dyDescent="0.25">
      <c r="A369" t="str">
        <f>"20190303153749856"</f>
        <v>20190303153749856</v>
      </c>
      <c r="B369" t="str">
        <f>"1551598669849846"</f>
        <v>1551598669849846</v>
      </c>
      <c r="C369" t="s">
        <v>40</v>
      </c>
      <c r="D369">
        <v>4.0233080000000001</v>
      </c>
      <c r="E369">
        <v>0.50430529999999996</v>
      </c>
      <c r="F369" t="s">
        <v>41</v>
      </c>
      <c r="G369">
        <v>-158.78319999999999</v>
      </c>
      <c r="H369">
        <v>2.1930999999999998</v>
      </c>
      <c r="I369">
        <v>369.577</v>
      </c>
      <c r="J369">
        <v>-435.51069999999999</v>
      </c>
      <c r="K369">
        <v>1.0834159999999999</v>
      </c>
      <c r="L369">
        <v>367.67039999999997</v>
      </c>
      <c r="M369">
        <v>0.99988580000000005</v>
      </c>
      <c r="N369">
        <v>-6.4140380000000004E-3</v>
      </c>
      <c r="O369">
        <v>1.368918E-2</v>
      </c>
      <c r="P369">
        <v>0.9981276</v>
      </c>
      <c r="Q369">
        <v>-5.8375389999999999E-2</v>
      </c>
      <c r="R369">
        <v>1.8265489999999999E-2</v>
      </c>
      <c r="S369">
        <v>3.0060120000000001</v>
      </c>
      <c r="T369">
        <v>1.2036089999999999E-2</v>
      </c>
      <c r="U369">
        <v>2.0721440000000001E-2</v>
      </c>
      <c r="V369">
        <v>-4.6074509999999898E-3</v>
      </c>
      <c r="W369">
        <v>-5.1970500000000003E-2</v>
      </c>
      <c r="X369">
        <v>0.99863800000000003</v>
      </c>
      <c r="Y369">
        <v>6.795901E-3</v>
      </c>
      <c r="Z369">
        <v>1.3442390000000001E-4</v>
      </c>
      <c r="AA369">
        <v>0.99997689999999995</v>
      </c>
      <c r="AB369">
        <v>27</v>
      </c>
      <c r="AC369">
        <v>276.72750000000002</v>
      </c>
      <c r="AD369">
        <v>1.1096839999999999</v>
      </c>
      <c r="AE369">
        <v>1.9066000000000201</v>
      </c>
      <c r="AF369">
        <v>1.88179860532142</v>
      </c>
      <c r="AG369">
        <v>1.1096839999999999</v>
      </c>
      <c r="AH369">
        <v>276.723219979926</v>
      </c>
      <c r="AI369">
        <v>89.770245521975198</v>
      </c>
      <c r="AJ369">
        <v>89.610377994163599</v>
      </c>
      <c r="AK369">
        <v>276.73184319956698</v>
      </c>
      <c r="AL369">
        <v>92.979032339964107</v>
      </c>
      <c r="AM369">
        <v>90.264345662301594</v>
      </c>
      <c r="AN369">
        <v>1.00000000825948</v>
      </c>
    </row>
    <row r="370" spans="1:40" x14ac:dyDescent="0.25">
      <c r="A370" t="str">
        <f>"20190303153749868"</f>
        <v>20190303153749868</v>
      </c>
      <c r="B370" t="str">
        <f>"1551598669859605"</f>
        <v>1551598669859605</v>
      </c>
      <c r="C370" t="s">
        <v>40</v>
      </c>
      <c r="D370">
        <v>4.0033570000000003</v>
      </c>
      <c r="E370">
        <v>0.50425869999999995</v>
      </c>
      <c r="F370" t="s">
        <v>41</v>
      </c>
      <c r="G370">
        <v>-158.78319999999999</v>
      </c>
      <c r="H370">
        <v>2.3372470000000001</v>
      </c>
      <c r="I370">
        <v>369.73250000000002</v>
      </c>
      <c r="J370">
        <v>-435.3485</v>
      </c>
      <c r="K370">
        <v>1.0822400000000001</v>
      </c>
      <c r="L370">
        <v>367.67259999999999</v>
      </c>
      <c r="M370">
        <v>0.99988889999999997</v>
      </c>
      <c r="N370">
        <v>-5.9885519999999899E-3</v>
      </c>
      <c r="O370">
        <v>1.3659910000000001E-2</v>
      </c>
      <c r="P370">
        <v>0.99815089999999995</v>
      </c>
      <c r="Q370">
        <v>-5.7919890000000002E-2</v>
      </c>
      <c r="R370">
        <v>1.8450640000000001E-2</v>
      </c>
      <c r="S370">
        <v>3.0060419999999999</v>
      </c>
      <c r="T370">
        <v>1.3621090000000001E-2</v>
      </c>
      <c r="U370">
        <v>2.23999E-2</v>
      </c>
      <c r="V370">
        <v>-4.8217420000000004E-3</v>
      </c>
      <c r="W370">
        <v>-5.193971E-2</v>
      </c>
      <c r="X370">
        <v>0.99863860000000004</v>
      </c>
      <c r="Y370">
        <v>6.2083109999999898E-3</v>
      </c>
      <c r="Z370">
        <v>1.3917309999999901E-4</v>
      </c>
      <c r="AA370">
        <v>0.99998069999999895</v>
      </c>
      <c r="AB370">
        <v>27</v>
      </c>
      <c r="AC370">
        <v>276.56529999999998</v>
      </c>
      <c r="AD370">
        <v>1.255007</v>
      </c>
      <c r="AE370">
        <v>2.0599000000000198</v>
      </c>
      <c r="AF370">
        <v>1.7181811631352499</v>
      </c>
      <c r="AG370">
        <v>1.255007</v>
      </c>
      <c r="AH370">
        <v>276.56193920664799</v>
      </c>
      <c r="AI370">
        <v>89.740004993545796</v>
      </c>
      <c r="AJ370">
        <v>89.644046238447899</v>
      </c>
      <c r="AK370">
        <v>276.57012385075302</v>
      </c>
      <c r="AL370">
        <v>92.977265787953101</v>
      </c>
      <c r="AM370">
        <v>90.276639937316901</v>
      </c>
      <c r="AN370">
        <v>1.0000000180403701</v>
      </c>
    </row>
    <row r="371" spans="1:40" x14ac:dyDescent="0.25">
      <c r="A371" t="str">
        <f>"20190303153749885"</f>
        <v>20190303153749885</v>
      </c>
      <c r="B371" t="str">
        <f>"1551598669879126"</f>
        <v>1551598669879126</v>
      </c>
      <c r="C371" t="s">
        <v>40</v>
      </c>
      <c r="D371">
        <v>4.0369760000000001</v>
      </c>
      <c r="E371">
        <v>0.50416679999999903</v>
      </c>
      <c r="F371" t="s">
        <v>41</v>
      </c>
      <c r="G371">
        <v>-158.78319999999999</v>
      </c>
      <c r="H371">
        <v>2.4647790000000001</v>
      </c>
      <c r="I371">
        <v>369.81490000000002</v>
      </c>
      <c r="J371">
        <v>-435.13889999999998</v>
      </c>
      <c r="K371">
        <v>1.080889</v>
      </c>
      <c r="L371">
        <v>367.67540000000002</v>
      </c>
      <c r="M371">
        <v>0.99989170000000005</v>
      </c>
      <c r="N371">
        <v>-5.5704780000000002E-3</v>
      </c>
      <c r="O371">
        <v>1.3623669999999999E-2</v>
      </c>
      <c r="P371">
        <v>0.99815290000000001</v>
      </c>
      <c r="Q371">
        <v>-5.7797469999999997E-2</v>
      </c>
      <c r="R371">
        <v>1.872449E-2</v>
      </c>
      <c r="S371">
        <v>3.0060120000000001</v>
      </c>
      <c r="T371">
        <v>1.502788E-2</v>
      </c>
      <c r="U371">
        <v>2.3284909999999999E-2</v>
      </c>
      <c r="V371">
        <v>-5.131661E-3</v>
      </c>
      <c r="W371">
        <v>-5.2234719999999998E-2</v>
      </c>
      <c r="X371">
        <v>0.9986216</v>
      </c>
      <c r="Y371">
        <v>5.8775529999999998E-3</v>
      </c>
      <c r="Z371">
        <v>1.423168E-4</v>
      </c>
      <c r="AA371">
        <v>0.9999827</v>
      </c>
      <c r="AB371">
        <v>27</v>
      </c>
      <c r="AC371">
        <v>276.35570000000001</v>
      </c>
      <c r="AD371">
        <v>1.3838900000000001</v>
      </c>
      <c r="AE371">
        <v>2.1394999999999902</v>
      </c>
      <c r="AF371">
        <v>1.6256949890325301</v>
      </c>
      <c r="AG371">
        <v>1.3838900000000001</v>
      </c>
      <c r="AH371">
        <v>276.35227037160502</v>
      </c>
      <c r="AI371">
        <v>89.713087135081906</v>
      </c>
      <c r="AJ371">
        <v>89.662950526591899</v>
      </c>
      <c r="AK371">
        <v>276.360517033946</v>
      </c>
      <c r="AL371">
        <v>92.994191795785198</v>
      </c>
      <c r="AM371">
        <v>90.294425765654196</v>
      </c>
      <c r="AN371">
        <v>0.99999994995232699</v>
      </c>
    </row>
    <row r="372" spans="1:40" x14ac:dyDescent="0.25">
      <c r="A372" t="str">
        <f>"20190303153749909"</f>
        <v>20190303153749909</v>
      </c>
      <c r="B372" t="str">
        <f>"1551598669899621"</f>
        <v>1551598669899621</v>
      </c>
      <c r="C372" t="s">
        <v>40</v>
      </c>
      <c r="D372">
        <v>4.0247919999999997</v>
      </c>
      <c r="E372">
        <v>0.50407679999999999</v>
      </c>
      <c r="F372" t="s">
        <v>41</v>
      </c>
      <c r="G372">
        <v>-158.78319999999999</v>
      </c>
      <c r="H372">
        <v>2.5086249999999999</v>
      </c>
      <c r="I372">
        <v>369.95089999999999</v>
      </c>
      <c r="J372">
        <v>-434.84809999999999</v>
      </c>
      <c r="K372">
        <v>1.079237</v>
      </c>
      <c r="L372">
        <v>367.67930000000001</v>
      </c>
      <c r="M372">
        <v>0.99989430000000001</v>
      </c>
      <c r="N372">
        <v>-5.2338920000000004E-3</v>
      </c>
      <c r="O372">
        <v>1.3574060000000001E-2</v>
      </c>
      <c r="P372">
        <v>0.99814380000000003</v>
      </c>
      <c r="Q372">
        <v>-5.7889980000000001E-2</v>
      </c>
      <c r="R372">
        <v>1.8922959999999999E-2</v>
      </c>
      <c r="S372">
        <v>3.005951</v>
      </c>
      <c r="T372">
        <v>1.553059E-2</v>
      </c>
      <c r="U372">
        <v>2.4749759999999999E-2</v>
      </c>
      <c r="V372">
        <v>-5.380106E-3</v>
      </c>
      <c r="W372">
        <v>-5.2663359999999999E-2</v>
      </c>
      <c r="X372">
        <v>0.99859779999999998</v>
      </c>
      <c r="Y372">
        <v>5.3405079999999999E-3</v>
      </c>
      <c r="Z372">
        <v>1.409936E-4</v>
      </c>
      <c r="AA372">
        <v>0.99998580000000004</v>
      </c>
      <c r="AB372">
        <v>28</v>
      </c>
      <c r="AC372">
        <v>276.06490000000002</v>
      </c>
      <c r="AD372">
        <v>1.4293880000000001</v>
      </c>
      <c r="AE372">
        <v>2.2715999999999701</v>
      </c>
      <c r="AF372">
        <v>1.4759420835850201</v>
      </c>
      <c r="AG372">
        <v>1.4293880000000001</v>
      </c>
      <c r="AH372">
        <v>276.06289978505401</v>
      </c>
      <c r="AI372">
        <v>89.703342979218903</v>
      </c>
      <c r="AJ372">
        <v>89.693676888354105</v>
      </c>
      <c r="AK372">
        <v>276.07054568139199</v>
      </c>
      <c r="AL372">
        <v>93.018784847678504</v>
      </c>
      <c r="AM372">
        <v>90.308687225829104</v>
      </c>
      <c r="AN372">
        <v>0.99999997059595003</v>
      </c>
    </row>
    <row r="373" spans="1:40" x14ac:dyDescent="0.25">
      <c r="A373" t="str">
        <f>"20190303153749921"</f>
        <v>20190303153749921</v>
      </c>
      <c r="B373" t="str">
        <f>"1551598669909382"</f>
        <v>1551598669909382</v>
      </c>
      <c r="C373" t="s">
        <v>40</v>
      </c>
      <c r="D373">
        <v>4.0072650000000003</v>
      </c>
      <c r="E373">
        <v>0.50403549999999997</v>
      </c>
      <c r="F373" t="s">
        <v>41</v>
      </c>
      <c r="G373">
        <v>-158.78319999999999</v>
      </c>
      <c r="H373">
        <v>2.49695</v>
      </c>
      <c r="I373">
        <v>370.06439999999998</v>
      </c>
      <c r="J373">
        <v>-434.69799999999998</v>
      </c>
      <c r="K373">
        <v>1.0785309999999999</v>
      </c>
      <c r="L373">
        <v>367.68130000000002</v>
      </c>
      <c r="M373">
        <v>0.99989450000000002</v>
      </c>
      <c r="N373">
        <v>-5.2524499999999997E-3</v>
      </c>
      <c r="O373">
        <v>1.3548559999999999E-2</v>
      </c>
      <c r="P373">
        <v>0.99812619999999996</v>
      </c>
      <c r="Q373">
        <v>-5.820583E-2</v>
      </c>
      <c r="R373">
        <v>1.88831E-2</v>
      </c>
      <c r="S373">
        <v>3.0059809999999998</v>
      </c>
      <c r="T373">
        <v>1.5437960000000001E-2</v>
      </c>
      <c r="U373">
        <v>2.5970460000000001E-2</v>
      </c>
      <c r="V373">
        <v>-5.3662129999999999E-3</v>
      </c>
      <c r="W373">
        <v>-5.2960760000000003E-2</v>
      </c>
      <c r="X373">
        <v>0.99858219999999998</v>
      </c>
      <c r="Y373">
        <v>4.909035E-3</v>
      </c>
      <c r="Z373">
        <v>1.404546E-4</v>
      </c>
      <c r="AA373">
        <v>0.99998799999999999</v>
      </c>
      <c r="AB373">
        <v>28</v>
      </c>
      <c r="AC373">
        <v>275.91480000000001</v>
      </c>
      <c r="AD373">
        <v>1.4184190000000001</v>
      </c>
      <c r="AE373">
        <v>2.38309999999995</v>
      </c>
      <c r="AF373">
        <v>1.3553824093587501</v>
      </c>
      <c r="AG373">
        <v>1.4184190000000001</v>
      </c>
      <c r="AH373">
        <v>275.91447098285403</v>
      </c>
      <c r="AI373">
        <v>89.705460443704695</v>
      </c>
      <c r="AJ373">
        <v>89.718546596112901</v>
      </c>
      <c r="AK373">
        <v>275.92144583501198</v>
      </c>
      <c r="AL373">
        <v>93.035848262780902</v>
      </c>
      <c r="AM373">
        <v>90.307894930722</v>
      </c>
      <c r="AN373">
        <v>1.0000000242492799</v>
      </c>
    </row>
    <row r="374" spans="1:40" x14ac:dyDescent="0.25">
      <c r="A374" t="str">
        <f>"20190303153749935"</f>
        <v>20190303153749935</v>
      </c>
      <c r="B374" t="str">
        <f>"1551598669929878"</f>
        <v>1551598669929878</v>
      </c>
      <c r="C374" t="s">
        <v>40</v>
      </c>
      <c r="D374">
        <v>4.0611169999999897</v>
      </c>
      <c r="E374">
        <v>0.50394410000000001</v>
      </c>
      <c r="F374" t="s">
        <v>41</v>
      </c>
      <c r="G374">
        <v>-158.78319999999999</v>
      </c>
      <c r="H374">
        <v>2.4129559999999999</v>
      </c>
      <c r="I374">
        <v>370.08749999999998</v>
      </c>
      <c r="J374">
        <v>-434.52350000000001</v>
      </c>
      <c r="K374">
        <v>1.077766</v>
      </c>
      <c r="L374">
        <v>367.68369999999999</v>
      </c>
      <c r="M374">
        <v>0.99989439999999996</v>
      </c>
      <c r="N374">
        <v>-5.360788E-3</v>
      </c>
      <c r="O374">
        <v>1.351607E-2</v>
      </c>
      <c r="P374">
        <v>0.99811879999999997</v>
      </c>
      <c r="Q374">
        <v>-5.8315520000000003E-2</v>
      </c>
      <c r="R374">
        <v>1.8942939999999998E-2</v>
      </c>
      <c r="S374">
        <v>3.0059809999999998</v>
      </c>
      <c r="T374">
        <v>1.4538999999999899E-2</v>
      </c>
      <c r="U374">
        <v>2.62145999999999E-2</v>
      </c>
      <c r="V374">
        <v>-5.4581119999999898E-3</v>
      </c>
      <c r="W374">
        <v>-5.296228E-2</v>
      </c>
      <c r="X374">
        <v>0.99858159999999896</v>
      </c>
      <c r="Y374">
        <v>4.7953689999999998E-3</v>
      </c>
      <c r="Z374">
        <v>1.3656949999999999E-4</v>
      </c>
      <c r="AA374">
        <v>0.99998849999999995</v>
      </c>
      <c r="AB374">
        <v>28</v>
      </c>
      <c r="AC374">
        <v>275.74029999999999</v>
      </c>
      <c r="AD374">
        <v>1.3351900000000001</v>
      </c>
      <c r="AE374">
        <v>2.40379999999998</v>
      </c>
      <c r="AF374">
        <v>1.3233668730569601</v>
      </c>
      <c r="AG374">
        <v>1.3351900000000001</v>
      </c>
      <c r="AH374">
        <v>275.74113704589303</v>
      </c>
      <c r="AI374">
        <v>89.722568515606497</v>
      </c>
      <c r="AJ374">
        <v>89.725021970829502</v>
      </c>
      <c r="AK374">
        <v>275.74754521405799</v>
      </c>
      <c r="AL374">
        <v>93.035935539411994</v>
      </c>
      <c r="AM374">
        <v>90.313167864756707</v>
      </c>
      <c r="AN374">
        <v>1.00000000297398</v>
      </c>
    </row>
    <row r="375" spans="1:40" x14ac:dyDescent="0.25">
      <c r="A375" t="str">
        <f>"20190303153749953"</f>
        <v>20190303153749953</v>
      </c>
      <c r="B375" t="str">
        <f>"1551598669949398"</f>
        <v>1551598669949398</v>
      </c>
      <c r="C375" t="s">
        <v>40</v>
      </c>
      <c r="D375">
        <v>4.0590310000000001</v>
      </c>
      <c r="E375">
        <v>0.50386339999999996</v>
      </c>
      <c r="F375" t="s">
        <v>41</v>
      </c>
      <c r="G375">
        <v>-158.78319999999999</v>
      </c>
      <c r="H375">
        <v>2.3791370000000001</v>
      </c>
      <c r="I375">
        <v>370.18920000000003</v>
      </c>
      <c r="J375">
        <v>-434.29969999999997</v>
      </c>
      <c r="K375">
        <v>1.0769219999999999</v>
      </c>
      <c r="L375">
        <v>367.6866</v>
      </c>
      <c r="M375">
        <v>0.99989309999999998</v>
      </c>
      <c r="N375">
        <v>-5.6900359999999999E-3</v>
      </c>
      <c r="O375">
        <v>1.347022E-2</v>
      </c>
      <c r="P375">
        <v>0.99808839999999999</v>
      </c>
      <c r="Q375">
        <v>-5.905067E-2</v>
      </c>
      <c r="R375">
        <v>1.823694E-2</v>
      </c>
      <c r="S375">
        <v>3.005951</v>
      </c>
      <c r="T375">
        <v>1.4187689999999999E-2</v>
      </c>
      <c r="U375">
        <v>2.7313230000000001E-2</v>
      </c>
      <c r="V375">
        <v>-4.7990000000000003E-3</v>
      </c>
      <c r="W375">
        <v>-5.3368939999999997E-2</v>
      </c>
      <c r="X375">
        <v>0.99856330000000004</v>
      </c>
      <c r="Y375">
        <v>4.38398E-3</v>
      </c>
      <c r="Z375">
        <v>1.380935E-4</v>
      </c>
      <c r="AA375">
        <v>0.99999039999999995</v>
      </c>
      <c r="AB375">
        <v>28</v>
      </c>
      <c r="AC375">
        <v>275.51649999999898</v>
      </c>
      <c r="AD375">
        <v>1.3022149999999999</v>
      </c>
      <c r="AE375">
        <v>2.5026000000000201</v>
      </c>
      <c r="AF375">
        <v>1.2089279421713399</v>
      </c>
      <c r="AG375">
        <v>1.3022149999999999</v>
      </c>
      <c r="AH375">
        <v>275.51905897426002</v>
      </c>
      <c r="AI375">
        <v>89.729201493336205</v>
      </c>
      <c r="AJ375">
        <v>89.748598065931802</v>
      </c>
      <c r="AK375">
        <v>275.52478859212903</v>
      </c>
      <c r="AL375">
        <v>93.059268544346807</v>
      </c>
      <c r="AM375">
        <v>90.275355932871193</v>
      </c>
      <c r="AN375">
        <v>0.99999996913230604</v>
      </c>
    </row>
    <row r="376" spans="1:40" x14ac:dyDescent="0.25">
      <c r="A376" t="str">
        <f>"20190303153749969"</f>
        <v>20190303153749969</v>
      </c>
      <c r="B376" t="str">
        <f>"1551598669959159"</f>
        <v>1551598669959159</v>
      </c>
      <c r="C376" t="s">
        <v>40</v>
      </c>
      <c r="D376">
        <v>4.0710879999999996</v>
      </c>
      <c r="E376">
        <v>0.50381830000000005</v>
      </c>
      <c r="F376" t="s">
        <v>41</v>
      </c>
      <c r="G376">
        <v>-158.78319999999999</v>
      </c>
      <c r="H376">
        <v>2.1887889999999999</v>
      </c>
      <c r="I376">
        <v>370.01670000000001</v>
      </c>
      <c r="J376">
        <v>-434.09769999999997</v>
      </c>
      <c r="K376">
        <v>1.0762609999999999</v>
      </c>
      <c r="L376">
        <v>367.6893</v>
      </c>
      <c r="M376">
        <v>0.99989119999999998</v>
      </c>
      <c r="N376">
        <v>-6.126706E-3</v>
      </c>
      <c r="O376">
        <v>1.343103E-2</v>
      </c>
      <c r="P376">
        <v>0.99806360000000005</v>
      </c>
      <c r="Q376">
        <v>-5.9609809999999999E-2</v>
      </c>
      <c r="R376">
        <v>1.77795E-2</v>
      </c>
      <c r="S376">
        <v>3.0060120000000001</v>
      </c>
      <c r="T376">
        <v>1.2131930000000001E-2</v>
      </c>
      <c r="U376">
        <v>2.5421139999999998E-2</v>
      </c>
      <c r="V376">
        <v>-4.3809080000000002E-3</v>
      </c>
      <c r="W376">
        <v>-5.3492270000000001E-2</v>
      </c>
      <c r="X376">
        <v>0.99855859999999996</v>
      </c>
      <c r="Y376">
        <v>4.9744300000000002E-3</v>
      </c>
      <c r="Z376">
        <v>1.3129149999999999E-4</v>
      </c>
      <c r="AA376">
        <v>0.99998759999999998</v>
      </c>
      <c r="AB376">
        <v>28</v>
      </c>
      <c r="AC376">
        <v>275.31449999999899</v>
      </c>
      <c r="AD376">
        <v>1.11252799999999</v>
      </c>
      <c r="AE376">
        <v>2.3274000000000101</v>
      </c>
      <c r="AF376">
        <v>1.3706136417394099</v>
      </c>
      <c r="AG376">
        <v>1.11252799999999</v>
      </c>
      <c r="AH376">
        <v>275.31643020855199</v>
      </c>
      <c r="AI376">
        <v>89.768477231361501</v>
      </c>
      <c r="AJ376">
        <v>89.714765558279296</v>
      </c>
      <c r="AK376">
        <v>275.32208963881902</v>
      </c>
      <c r="AL376">
        <v>93.066345010789306</v>
      </c>
      <c r="AM376">
        <v>90.251368250602198</v>
      </c>
      <c r="AN376">
        <v>0.99999994646930701</v>
      </c>
    </row>
    <row r="377" spans="1:40" x14ac:dyDescent="0.25">
      <c r="A377" t="str">
        <f>"20190303153749988"</f>
        <v>20190303153749988</v>
      </c>
      <c r="B377" t="str">
        <f>"1551598669979654"</f>
        <v>1551598669979654</v>
      </c>
      <c r="C377" t="s">
        <v>40</v>
      </c>
      <c r="D377">
        <v>4.0502760000000002</v>
      </c>
      <c r="E377">
        <v>0.50373259999999997</v>
      </c>
      <c r="F377" t="s">
        <v>41</v>
      </c>
      <c r="G377">
        <v>-158.78319999999999</v>
      </c>
      <c r="H377">
        <v>2.0360070000000001</v>
      </c>
      <c r="I377">
        <v>369.9171</v>
      </c>
      <c r="J377">
        <v>-433.86869999999999</v>
      </c>
      <c r="K377">
        <v>1.0756250000000001</v>
      </c>
      <c r="L377">
        <v>367.69240000000002</v>
      </c>
      <c r="M377">
        <v>0.99988759999999999</v>
      </c>
      <c r="N377">
        <v>-6.7531279999999997E-3</v>
      </c>
      <c r="O377">
        <v>1.3388479999999999E-2</v>
      </c>
      <c r="P377">
        <v>0.99808079999999999</v>
      </c>
      <c r="Q377">
        <v>-5.9586970000000003E-2</v>
      </c>
      <c r="R377">
        <v>1.6853070000000001E-2</v>
      </c>
      <c r="S377">
        <v>3.005951</v>
      </c>
      <c r="T377">
        <v>1.047969E-2</v>
      </c>
      <c r="U377">
        <v>2.4322509999999999E-2</v>
      </c>
      <c r="V377">
        <v>-3.4968170000000002E-3</v>
      </c>
      <c r="W377">
        <v>-5.284399E-2</v>
      </c>
      <c r="X377">
        <v>0.9985967</v>
      </c>
      <c r="Y377">
        <v>5.2972160000000004E-3</v>
      </c>
      <c r="Z377">
        <v>1.2843690000000001E-4</v>
      </c>
      <c r="AA377">
        <v>0.99998589999999998</v>
      </c>
      <c r="AB377">
        <v>28</v>
      </c>
      <c r="AC377">
        <v>275.08550000000002</v>
      </c>
      <c r="AD377">
        <v>0.96038199999999996</v>
      </c>
      <c r="AE377">
        <v>2.2246999999999799</v>
      </c>
      <c r="AF377">
        <v>1.4585422037937199</v>
      </c>
      <c r="AG377">
        <v>0.96038199999999996</v>
      </c>
      <c r="AH377">
        <v>275.08727637157398</v>
      </c>
      <c r="AI377">
        <v>89.799973161020503</v>
      </c>
      <c r="AJ377">
        <v>89.696214486782793</v>
      </c>
      <c r="AK377">
        <v>275.092819427329</v>
      </c>
      <c r="AL377">
        <v>93.0291483987356</v>
      </c>
      <c r="AM377">
        <v>90.200633586029994</v>
      </c>
      <c r="AN377">
        <v>1.0000000421295601</v>
      </c>
    </row>
    <row r="378" spans="1:40" x14ac:dyDescent="0.25">
      <c r="A378" t="str">
        <f>"20190303153750010"</f>
        <v>20190303153750010</v>
      </c>
      <c r="B378" t="str">
        <f>"1551598669999174"</f>
        <v>1551598669999174</v>
      </c>
      <c r="C378" t="s">
        <v>40</v>
      </c>
      <c r="D378">
        <v>4.0770030000000004</v>
      </c>
      <c r="E378">
        <v>0.50364540000000002</v>
      </c>
      <c r="F378" t="s">
        <v>41</v>
      </c>
      <c r="G378">
        <v>-158.78319999999999</v>
      </c>
      <c r="H378">
        <v>2.0439029999999998</v>
      </c>
      <c r="I378">
        <v>369.70030000000003</v>
      </c>
      <c r="J378">
        <v>-433.59030000000001</v>
      </c>
      <c r="K378">
        <v>1.074962</v>
      </c>
      <c r="L378">
        <v>367.69600000000003</v>
      </c>
      <c r="M378">
        <v>0.99988220000000005</v>
      </c>
      <c r="N378">
        <v>-7.5916759999999899E-3</v>
      </c>
      <c r="O378">
        <v>1.333545E-2</v>
      </c>
      <c r="P378">
        <v>0.99809930000000002</v>
      </c>
      <c r="Q378">
        <v>-5.9537809999999997E-2</v>
      </c>
      <c r="R378">
        <v>1.5908390000000001E-2</v>
      </c>
      <c r="S378">
        <v>3.0060419999999999</v>
      </c>
      <c r="T378">
        <v>1.058197E-2</v>
      </c>
      <c r="U378">
        <v>2.1942139999999999E-2</v>
      </c>
      <c r="V378">
        <v>-2.6041229999999999E-3</v>
      </c>
      <c r="W378">
        <v>-5.1957549999999998E-2</v>
      </c>
      <c r="X378">
        <v>0.99864589999999998</v>
      </c>
      <c r="Y378">
        <v>6.0361999999999898E-3</v>
      </c>
      <c r="Z378">
        <v>1.358938E-4</v>
      </c>
      <c r="AA378">
        <v>0.99998180000000003</v>
      </c>
      <c r="AB378">
        <v>28</v>
      </c>
      <c r="AC378">
        <v>274.80709999999999</v>
      </c>
      <c r="AD378">
        <v>0.96894099999999905</v>
      </c>
      <c r="AE378">
        <v>2.0043000000000499</v>
      </c>
      <c r="AF378">
        <v>1.6606397582019401</v>
      </c>
      <c r="AG378">
        <v>0.96894099999999905</v>
      </c>
      <c r="AH378">
        <v>274.805975273797</v>
      </c>
      <c r="AI378">
        <v>89.797984792095903</v>
      </c>
      <c r="AJ378">
        <v>89.653768477235104</v>
      </c>
      <c r="AK378">
        <v>274.812700975138</v>
      </c>
      <c r="AL378">
        <v>92.978289377395001</v>
      </c>
      <c r="AM378">
        <v>90.149407231374695</v>
      </c>
      <c r="AN378">
        <v>1.0000000010226999</v>
      </c>
    </row>
    <row r="379" spans="1:40" x14ac:dyDescent="0.25">
      <c r="A379" t="str">
        <f>"20190303153750022"</f>
        <v>20190303153750022</v>
      </c>
      <c r="B379" t="str">
        <f>"1551598670019670"</f>
        <v>1551598670019670</v>
      </c>
      <c r="C379" t="s">
        <v>40</v>
      </c>
      <c r="D379">
        <v>4.0791469999999999</v>
      </c>
      <c r="E379">
        <v>0.50355019999999995</v>
      </c>
      <c r="F379" t="s">
        <v>41</v>
      </c>
      <c r="G379">
        <v>-158.78319999999999</v>
      </c>
      <c r="H379">
        <v>2.0517639999999999</v>
      </c>
      <c r="I379">
        <v>369.53739999999999</v>
      </c>
      <c r="J379">
        <v>-433.42989999999998</v>
      </c>
      <c r="K379">
        <v>1.07463</v>
      </c>
      <c r="L379">
        <v>367.69810000000001</v>
      </c>
      <c r="M379">
        <v>0.99987879999999996</v>
      </c>
      <c r="N379">
        <v>-8.0879790000000003E-3</v>
      </c>
      <c r="O379">
        <v>1.330431E-2</v>
      </c>
      <c r="P379">
        <v>0.99809150000000002</v>
      </c>
      <c r="Q379">
        <v>-5.9822640000000003E-2</v>
      </c>
      <c r="R379">
        <v>1.532469E-2</v>
      </c>
      <c r="S379">
        <v>3.0060730000000002</v>
      </c>
      <c r="T379">
        <v>1.0686040000000001E-2</v>
      </c>
      <c r="U379">
        <v>2.0141599999999999E-2</v>
      </c>
      <c r="V379">
        <v>-2.0517629999999999E-3</v>
      </c>
      <c r="W379">
        <v>-5.1746929999999997E-2</v>
      </c>
      <c r="X379">
        <v>0.99865809999999999</v>
      </c>
      <c r="Y379">
        <v>6.6040409999999997E-3</v>
      </c>
      <c r="Z379">
        <v>1.399308E-4</v>
      </c>
      <c r="AA379">
        <v>0.99997820000000004</v>
      </c>
      <c r="AB379">
        <v>28</v>
      </c>
      <c r="AC379">
        <v>274.64670000000001</v>
      </c>
      <c r="AD379">
        <v>0.97713399999999995</v>
      </c>
      <c r="AE379">
        <v>1.83929999999998</v>
      </c>
      <c r="AF379">
        <v>1.81494412103178</v>
      </c>
      <c r="AG379">
        <v>0.97713399999999995</v>
      </c>
      <c r="AH379">
        <v>274.643385643572</v>
      </c>
      <c r="AI379">
        <v>89.796156767223295</v>
      </c>
      <c r="AJ379">
        <v>89.621374007469001</v>
      </c>
      <c r="AK379">
        <v>274.65112068000099</v>
      </c>
      <c r="AL379">
        <v>92.966205554213303</v>
      </c>
      <c r="AM379">
        <v>90.117715157025401</v>
      </c>
      <c r="AN379">
        <v>0.99999997759572101</v>
      </c>
    </row>
    <row r="380" spans="1:40" x14ac:dyDescent="0.25">
      <c r="A380" t="str">
        <f>"20190303153750042"</f>
        <v>20190303153750042</v>
      </c>
      <c r="B380" t="str">
        <f>"1551598670039190"</f>
        <v>1551598670039190</v>
      </c>
      <c r="C380" t="s">
        <v>40</v>
      </c>
      <c r="D380">
        <v>4.3477079999999999</v>
      </c>
      <c r="E380">
        <v>0.50347449999999905</v>
      </c>
      <c r="F380" t="s">
        <v>41</v>
      </c>
      <c r="G380">
        <v>-158.78319999999999</v>
      </c>
      <c r="H380">
        <v>1.9509719999999999</v>
      </c>
      <c r="I380">
        <v>369.43799999999999</v>
      </c>
      <c r="J380">
        <v>-433.19650000000001</v>
      </c>
      <c r="K380">
        <v>1.074187</v>
      </c>
      <c r="L380">
        <v>367.70119999999997</v>
      </c>
      <c r="M380">
        <v>0.99987340000000002</v>
      </c>
      <c r="N380">
        <v>-8.7944999999999898E-3</v>
      </c>
      <c r="O380">
        <v>1.325905E-2</v>
      </c>
      <c r="P380">
        <v>0.99807060000000003</v>
      </c>
      <c r="Q380">
        <v>-6.0197790000000001E-2</v>
      </c>
      <c r="R380">
        <v>1.5212369999999999E-2</v>
      </c>
      <c r="S380">
        <v>3.0060120000000001</v>
      </c>
      <c r="T380">
        <v>9.5925330000000003E-3</v>
      </c>
      <c r="U380">
        <v>1.9042969999999999E-2</v>
      </c>
      <c r="V380">
        <v>-1.9841759999999998E-3</v>
      </c>
      <c r="W380">
        <v>-5.1416669999999998E-2</v>
      </c>
      <c r="X380">
        <v>0.99867530000000004</v>
      </c>
      <c r="Y380">
        <v>6.9241340000000002E-3</v>
      </c>
      <c r="Z380">
        <v>1.3951959999999999E-4</v>
      </c>
      <c r="AA380">
        <v>0.99997599999999998</v>
      </c>
      <c r="AB380">
        <v>28</v>
      </c>
      <c r="AC380">
        <v>274.41329999999999</v>
      </c>
      <c r="AD380">
        <v>0.87678500000000004</v>
      </c>
      <c r="AE380">
        <v>1.7368000000000701</v>
      </c>
      <c r="AF380">
        <v>1.90193371798664</v>
      </c>
      <c r="AG380">
        <v>0.87678500000000004</v>
      </c>
      <c r="AH380">
        <v>274.40940373633799</v>
      </c>
      <c r="AI380">
        <v>89.816935200413596</v>
      </c>
      <c r="AJ380">
        <v>89.602888864067594</v>
      </c>
      <c r="AK380">
        <v>274.41739551773401</v>
      </c>
      <c r="AL380">
        <v>92.9472578102733</v>
      </c>
      <c r="AM380">
        <v>90.113835558989607</v>
      </c>
      <c r="AN380">
        <v>0.99999998286918801</v>
      </c>
    </row>
    <row r="381" spans="1:40" x14ac:dyDescent="0.25">
      <c r="A381" t="str">
        <f>"20190303153750054"</f>
        <v>20190303153750054</v>
      </c>
      <c r="B381" t="str">
        <f>"1551598670049926"</f>
        <v>1551598670049926</v>
      </c>
      <c r="C381" t="s">
        <v>40</v>
      </c>
      <c r="D381">
        <v>4.099335</v>
      </c>
      <c r="E381">
        <v>0.50344409999999995</v>
      </c>
      <c r="F381" t="s">
        <v>41</v>
      </c>
      <c r="G381">
        <v>-158.78319999999999</v>
      </c>
      <c r="H381">
        <v>1.819677</v>
      </c>
      <c r="I381">
        <v>369.45069999999998</v>
      </c>
      <c r="J381">
        <v>-433.04199999999997</v>
      </c>
      <c r="K381">
        <v>1.073914</v>
      </c>
      <c r="L381">
        <v>367.70319999999998</v>
      </c>
      <c r="M381">
        <v>0.99986980000000003</v>
      </c>
      <c r="N381">
        <v>-9.2446000000000004E-3</v>
      </c>
      <c r="O381">
        <v>1.322919E-2</v>
      </c>
      <c r="P381">
        <v>0.99806079999999997</v>
      </c>
      <c r="Q381">
        <v>-6.0334480000000003E-2</v>
      </c>
      <c r="R381">
        <v>1.531541E-2</v>
      </c>
      <c r="S381">
        <v>3.0060419999999999</v>
      </c>
      <c r="T381">
        <v>8.1673860000000004E-3</v>
      </c>
      <c r="U381">
        <v>1.9165040000000001E-2</v>
      </c>
      <c r="V381">
        <v>-2.1170719999999998E-3</v>
      </c>
      <c r="W381">
        <v>-5.1103889999999999E-2</v>
      </c>
      <c r="X381">
        <v>0.99869110000000005</v>
      </c>
      <c r="Y381">
        <v>6.8537880000000004E-3</v>
      </c>
      <c r="Z381">
        <v>1.3587459999999901E-4</v>
      </c>
      <c r="AA381">
        <v>0.99997650000000005</v>
      </c>
      <c r="AB381">
        <v>28</v>
      </c>
      <c r="AC381">
        <v>274.25879999999898</v>
      </c>
      <c r="AD381">
        <v>0.74576299999999995</v>
      </c>
      <c r="AE381">
        <v>1.7475000000000001</v>
      </c>
      <c r="AF381">
        <v>1.88101568612008</v>
      </c>
      <c r="AG381">
        <v>0.74576299999999995</v>
      </c>
      <c r="AH381">
        <v>274.25588890871597</v>
      </c>
      <c r="AI381">
        <v>89.844204030351904</v>
      </c>
      <c r="AJ381">
        <v>89.6070364411611</v>
      </c>
      <c r="AK381">
        <v>274.26335333685</v>
      </c>
      <c r="AL381">
        <v>92.929313190442102</v>
      </c>
      <c r="AM381">
        <v>90.1214580853174</v>
      </c>
      <c r="AN381">
        <v>1.0000000013930901</v>
      </c>
    </row>
    <row r="382" spans="1:40" x14ac:dyDescent="0.25">
      <c r="A382" t="str">
        <f>"20190303153750068"</f>
        <v>20190303153750068</v>
      </c>
      <c r="B382" t="str">
        <f>"1551598670059686"</f>
        <v>1551598670059686</v>
      </c>
      <c r="C382" t="s">
        <v>40</v>
      </c>
      <c r="D382">
        <v>4.1758199999999999</v>
      </c>
      <c r="E382">
        <v>0.50347470000000005</v>
      </c>
      <c r="F382" t="s">
        <v>41</v>
      </c>
      <c r="G382">
        <v>-158.78319999999999</v>
      </c>
      <c r="H382">
        <v>1.7744099999999901</v>
      </c>
      <c r="I382">
        <v>369.50740000000002</v>
      </c>
      <c r="J382">
        <v>-432.87079999999997</v>
      </c>
      <c r="K382">
        <v>1.0736319999999999</v>
      </c>
      <c r="L382">
        <v>367.7054</v>
      </c>
      <c r="M382">
        <v>0.99986580000000003</v>
      </c>
      <c r="N382">
        <v>-9.7243390000000002E-3</v>
      </c>
      <c r="O382">
        <v>1.319586E-2</v>
      </c>
      <c r="P382">
        <v>0.9980232</v>
      </c>
      <c r="Q382">
        <v>-6.0969559999999999E-2</v>
      </c>
      <c r="R382">
        <v>1.5262919999999999E-2</v>
      </c>
      <c r="S382">
        <v>3.0060120000000001</v>
      </c>
      <c r="T382">
        <v>7.6787469999999997E-3</v>
      </c>
      <c r="U382">
        <v>1.977539E-2</v>
      </c>
      <c r="V382">
        <v>-2.098482E-3</v>
      </c>
      <c r="W382">
        <v>-5.1260159999999999E-2</v>
      </c>
      <c r="X382">
        <v>0.99868319999999999</v>
      </c>
      <c r="Y382">
        <v>6.6173589999999997E-3</v>
      </c>
      <c r="Z382">
        <v>1.3830870000000001E-4</v>
      </c>
      <c r="AA382">
        <v>0.99997809999999998</v>
      </c>
      <c r="AB382">
        <v>28</v>
      </c>
      <c r="AC382">
        <v>274.08759999999899</v>
      </c>
      <c r="AD382">
        <v>0.70077799999999901</v>
      </c>
      <c r="AE382">
        <v>1.80200000000002</v>
      </c>
      <c r="AF382">
        <v>1.81513710266035</v>
      </c>
      <c r="AG382">
        <v>0.70077799999999901</v>
      </c>
      <c r="AH382">
        <v>274.08572160015598</v>
      </c>
      <c r="AI382">
        <v>89.853510596594802</v>
      </c>
      <c r="AJ382">
        <v>89.620563325019504</v>
      </c>
      <c r="AK382">
        <v>274.092627769491</v>
      </c>
      <c r="AL382">
        <v>92.938278348329206</v>
      </c>
      <c r="AM382">
        <v>90.120392517897699</v>
      </c>
      <c r="AN382">
        <v>1.0000000707960801</v>
      </c>
    </row>
    <row r="383" spans="1:40" x14ac:dyDescent="0.25">
      <c r="A383" t="str">
        <f>"20190303153750080"</f>
        <v>20190303153750080</v>
      </c>
      <c r="B383" t="str">
        <f>"1551598670069446"</f>
        <v>1551598670069446</v>
      </c>
      <c r="C383" t="s">
        <v>40</v>
      </c>
      <c r="D383">
        <v>4.0985880000000003</v>
      </c>
      <c r="E383">
        <v>0.50347470000000005</v>
      </c>
      <c r="F383" t="s">
        <v>41</v>
      </c>
      <c r="G383">
        <v>-158.78319999999999</v>
      </c>
      <c r="H383">
        <v>1.615029</v>
      </c>
      <c r="I383">
        <v>369.48910000000001</v>
      </c>
      <c r="J383">
        <v>-432.72590000000002</v>
      </c>
      <c r="K383">
        <v>1.0734049999999999</v>
      </c>
      <c r="L383">
        <v>367.70729999999998</v>
      </c>
      <c r="M383">
        <v>0.99986229999999998</v>
      </c>
      <c r="N383">
        <v>-1.0099179999999999E-2</v>
      </c>
      <c r="O383">
        <v>1.3167470000000001E-2</v>
      </c>
      <c r="P383">
        <v>0.99798019999999998</v>
      </c>
      <c r="Q383">
        <v>-6.1553110000000001E-2</v>
      </c>
      <c r="R383">
        <v>1.5703700000000001E-2</v>
      </c>
      <c r="S383">
        <v>3.0060120000000001</v>
      </c>
      <c r="T383">
        <v>5.9386489999999998E-3</v>
      </c>
      <c r="U383">
        <v>1.9561769999999999E-2</v>
      </c>
      <c r="V383">
        <v>-2.5679969999999998E-3</v>
      </c>
      <c r="W383">
        <v>-5.1469609999999999E-2</v>
      </c>
      <c r="X383">
        <v>0.99867119999999998</v>
      </c>
      <c r="Y383">
        <v>6.6601059999999998E-3</v>
      </c>
      <c r="Z383">
        <v>1.3194530000000001E-4</v>
      </c>
      <c r="AA383">
        <v>0.99997780000000003</v>
      </c>
      <c r="AB383">
        <v>28</v>
      </c>
      <c r="AC383">
        <v>273.9427</v>
      </c>
      <c r="AD383">
        <v>0.54162399999999999</v>
      </c>
      <c r="AE383">
        <v>1.78180000000003</v>
      </c>
      <c r="AF383">
        <v>1.8256636118985501</v>
      </c>
      <c r="AG383">
        <v>0.54162399999999999</v>
      </c>
      <c r="AH383">
        <v>273.94134032166698</v>
      </c>
      <c r="AI383">
        <v>89.886720128914405</v>
      </c>
      <c r="AJ383">
        <v>89.618161789462405</v>
      </c>
      <c r="AK383">
        <v>273.94795918461</v>
      </c>
      <c r="AL383">
        <v>92.950295195459702</v>
      </c>
      <c r="AM383">
        <v>90.147330838827401</v>
      </c>
      <c r="AN383">
        <v>0.99999994053579</v>
      </c>
    </row>
    <row r="384" spans="1:40" x14ac:dyDescent="0.25">
      <c r="A384" t="str">
        <f>"20190303153750098"</f>
        <v>20190303153750098</v>
      </c>
      <c r="B384" t="str">
        <f>"1551598670088966"</f>
        <v>1551598670088966</v>
      </c>
      <c r="C384" t="s">
        <v>40</v>
      </c>
      <c r="D384">
        <v>4.2772160000000001</v>
      </c>
      <c r="E384">
        <v>0.51988939999999995</v>
      </c>
      <c r="F384" t="s">
        <v>41</v>
      </c>
      <c r="G384">
        <v>-158.78319999999999</v>
      </c>
      <c r="H384">
        <v>1.4547870000000001</v>
      </c>
      <c r="I384">
        <v>369.57900000000001</v>
      </c>
      <c r="J384">
        <v>-432.49880000000002</v>
      </c>
      <c r="K384">
        <v>1.07308</v>
      </c>
      <c r="L384">
        <v>367.71019999999999</v>
      </c>
      <c r="M384">
        <v>0.9998572</v>
      </c>
      <c r="N384">
        <v>-1.0655090000000001E-2</v>
      </c>
      <c r="O384">
        <v>1.311958E-2</v>
      </c>
      <c r="P384">
        <v>0.99791209999999997</v>
      </c>
      <c r="Q384">
        <v>-6.2435699999999997E-2</v>
      </c>
      <c r="R384">
        <v>1.6532689999999999E-2</v>
      </c>
      <c r="S384">
        <v>3.0060120000000001</v>
      </c>
      <c r="T384">
        <v>4.1859150000000001E-3</v>
      </c>
      <c r="U384">
        <v>2.053833E-2</v>
      </c>
      <c r="V384">
        <v>-3.4465329999999999E-3</v>
      </c>
      <c r="W384">
        <v>-5.17974E-2</v>
      </c>
      <c r="X384">
        <v>0.99865170000000003</v>
      </c>
      <c r="Y384">
        <v>6.2874380000000002E-3</v>
      </c>
      <c r="Z384">
        <v>1.2894480000000001E-4</v>
      </c>
      <c r="AA384">
        <v>0.99998019999999999</v>
      </c>
      <c r="AB384">
        <v>28</v>
      </c>
      <c r="AC384">
        <v>273.71559999999999</v>
      </c>
      <c r="AD384">
        <v>0.38170700000000002</v>
      </c>
      <c r="AE384">
        <v>1.86880000000002</v>
      </c>
      <c r="AF384">
        <v>1.72259494877312</v>
      </c>
      <c r="AG384">
        <v>0.38170700000000002</v>
      </c>
      <c r="AH384">
        <v>273.716026866942</v>
      </c>
      <c r="AI384">
        <v>89.920100576144605</v>
      </c>
      <c r="AJ384">
        <v>89.6394214890597</v>
      </c>
      <c r="AK384">
        <v>273.72171341969897</v>
      </c>
      <c r="AL384">
        <v>92.969100989140998</v>
      </c>
      <c r="AM384">
        <v>90.197737620483593</v>
      </c>
      <c r="AN384">
        <v>1.0000000335746799</v>
      </c>
    </row>
    <row r="385" spans="1:40" x14ac:dyDescent="0.25">
      <c r="A385" t="str">
        <f>"20190303153750112"</f>
        <v>20190303153750112</v>
      </c>
      <c r="B385" t="str">
        <f>"1551598670109462"</f>
        <v>1551598670109462</v>
      </c>
      <c r="C385" t="s">
        <v>40</v>
      </c>
      <c r="D385">
        <v>4.0939370000000004</v>
      </c>
      <c r="E385">
        <v>0.52028669999999999</v>
      </c>
      <c r="F385" t="s">
        <v>42</v>
      </c>
      <c r="G385">
        <v>-351.31479999999999</v>
      </c>
      <c r="H385" s="1">
        <v>-4.5635340000000001E-6</v>
      </c>
      <c r="I385">
        <v>364.7946</v>
      </c>
      <c r="J385">
        <v>-432.33420000000001</v>
      </c>
      <c r="K385">
        <v>1.072865</v>
      </c>
      <c r="L385">
        <v>367.7124</v>
      </c>
      <c r="M385">
        <v>0.99985360000000001</v>
      </c>
      <c r="N385">
        <v>-1.103057E-2</v>
      </c>
      <c r="O385">
        <v>1.308163E-2</v>
      </c>
      <c r="P385">
        <v>0.99783330000000003</v>
      </c>
      <c r="Q385">
        <v>-6.3611580000000001E-2</v>
      </c>
      <c r="R385">
        <v>1.679663E-2</v>
      </c>
      <c r="S385">
        <v>3.005585</v>
      </c>
      <c r="T385">
        <v>-3.9727569999999997E-2</v>
      </c>
      <c r="U385">
        <v>-0.1079407</v>
      </c>
      <c r="V385">
        <v>-3.749236E-3</v>
      </c>
      <c r="W385">
        <v>-5.2598979999999997E-2</v>
      </c>
      <c r="X385">
        <v>0.99860859999999996</v>
      </c>
      <c r="Y385">
        <v>4.8953280000000002E-2</v>
      </c>
      <c r="Z385">
        <v>-6.2212580000000001E-4</v>
      </c>
      <c r="AA385">
        <v>0.99880089999999999</v>
      </c>
      <c r="AB385">
        <v>27</v>
      </c>
      <c r="AC385">
        <v>81.019400000000005</v>
      </c>
      <c r="AD385">
        <v>-1.072869563534</v>
      </c>
      <c r="AE385">
        <v>-2.9178000000000002</v>
      </c>
      <c r="AF385">
        <v>3.9767841424286701</v>
      </c>
      <c r="AG385">
        <v>-1.072869563534</v>
      </c>
      <c r="AH385">
        <v>80.960116276359599</v>
      </c>
      <c r="AI385">
        <v>90.758315219632493</v>
      </c>
      <c r="AJ385">
        <v>87.187875117057203</v>
      </c>
      <c r="AK385">
        <v>81.064827691776998</v>
      </c>
      <c r="AL385">
        <v>93.015091170169995</v>
      </c>
      <c r="AM385">
        <v>90.215113699064105</v>
      </c>
      <c r="AN385">
        <v>0.99999992273078897</v>
      </c>
    </row>
    <row r="386" spans="1:40" x14ac:dyDescent="0.25">
      <c r="A386" t="str">
        <f>"20190303153750125"</f>
        <v>20190303153750125</v>
      </c>
      <c r="B386" t="str">
        <f>"1551598670119222"</f>
        <v>1551598670119222</v>
      </c>
      <c r="C386" t="s">
        <v>40</v>
      </c>
      <c r="D386">
        <v>4.2006439999999996</v>
      </c>
      <c r="E386">
        <v>0.5196248</v>
      </c>
      <c r="F386" t="s">
        <v>42</v>
      </c>
      <c r="G386">
        <v>-378.65039999999999</v>
      </c>
      <c r="H386" s="1">
        <v>-1.476722E-6</v>
      </c>
      <c r="I386">
        <v>365.74009999999998</v>
      </c>
      <c r="J386">
        <v>-432.16919999999999</v>
      </c>
      <c r="K386">
        <v>1.072668</v>
      </c>
      <c r="L386">
        <v>367.71449999999999</v>
      </c>
      <c r="M386">
        <v>0.99985040000000003</v>
      </c>
      <c r="N386">
        <v>-1.137523E-2</v>
      </c>
      <c r="O386">
        <v>1.3039240000000001E-2</v>
      </c>
      <c r="P386">
        <v>0.99775369999999997</v>
      </c>
      <c r="Q386">
        <v>-6.4826699999999904E-2</v>
      </c>
      <c r="R386">
        <v>1.68886E-2</v>
      </c>
      <c r="S386">
        <v>3.004578</v>
      </c>
      <c r="T386">
        <v>-6.0046200000000001E-2</v>
      </c>
      <c r="U386">
        <v>-0.1103821</v>
      </c>
      <c r="V386">
        <v>-3.8852410000000002E-3</v>
      </c>
      <c r="W386">
        <v>-5.347064E-2</v>
      </c>
      <c r="X386">
        <v>0.9985619</v>
      </c>
      <c r="Y386">
        <v>4.9725320000000003E-2</v>
      </c>
      <c r="Z386">
        <v>-8.9184509999999998E-4</v>
      </c>
      <c r="AA386">
        <v>0.9987625</v>
      </c>
      <c r="AB386">
        <v>27</v>
      </c>
      <c r="AC386">
        <v>53.518799999999999</v>
      </c>
      <c r="AD386">
        <v>-1.072669476722</v>
      </c>
      <c r="AE386">
        <v>-1.9743999999999999</v>
      </c>
      <c r="AF386">
        <v>2.67105012794701</v>
      </c>
      <c r="AG386">
        <v>-1.072669476722</v>
      </c>
      <c r="AH386">
        <v>53.467053822363198</v>
      </c>
      <c r="AI386">
        <v>91.147897027213602</v>
      </c>
      <c r="AJ386">
        <v>87.140056073502606</v>
      </c>
      <c r="AK386">
        <v>53.544476587560098</v>
      </c>
      <c r="AL386">
        <v>93.065103651266497</v>
      </c>
      <c r="AM386">
        <v>90.222927380242197</v>
      </c>
      <c r="AN386">
        <v>1.0000000362856201</v>
      </c>
    </row>
    <row r="387" spans="1:40" x14ac:dyDescent="0.25">
      <c r="A387" t="str">
        <f>"20190303153750142"</f>
        <v>20190303153750142</v>
      </c>
      <c r="B387" t="str">
        <f>"1551598670128982"</f>
        <v>1551598670128982</v>
      </c>
      <c r="C387" t="s">
        <v>40</v>
      </c>
      <c r="D387">
        <v>4.2413550000000004</v>
      </c>
      <c r="E387">
        <v>0.51940319999999995</v>
      </c>
      <c r="F387" t="s">
        <v>42</v>
      </c>
      <c r="G387">
        <v>-391.52120000000002</v>
      </c>
      <c r="H387" s="1">
        <v>-4.2091339999999997E-6</v>
      </c>
      <c r="I387">
        <v>366.29320000000001</v>
      </c>
      <c r="J387">
        <v>-431.96600000000001</v>
      </c>
      <c r="K387">
        <v>1.0724389999999999</v>
      </c>
      <c r="L387">
        <v>367.71710000000002</v>
      </c>
      <c r="M387">
        <v>0.99984660000000003</v>
      </c>
      <c r="N387">
        <v>-1.176351E-2</v>
      </c>
      <c r="O387">
        <v>1.298058E-2</v>
      </c>
      <c r="P387">
        <v>0.99762030000000002</v>
      </c>
      <c r="Q387">
        <v>-6.6658839999999997E-2</v>
      </c>
      <c r="R387">
        <v>1.7620690000000001E-2</v>
      </c>
      <c r="S387">
        <v>3.0034480000000001</v>
      </c>
      <c r="T387">
        <v>-7.9258800000000004E-2</v>
      </c>
      <c r="U387">
        <v>-0.10501099999999999</v>
      </c>
      <c r="V387">
        <v>-4.678616E-3</v>
      </c>
      <c r="W387">
        <v>-5.491617E-2</v>
      </c>
      <c r="X387">
        <v>0.99848000000000003</v>
      </c>
      <c r="Y387">
        <v>4.7887249999999999E-2</v>
      </c>
      <c r="Z387">
        <v>-1.1031400000000001E-3</v>
      </c>
      <c r="AA387">
        <v>0.99885210000000002</v>
      </c>
      <c r="AB387">
        <v>27</v>
      </c>
      <c r="AC387">
        <v>40.444800000000001</v>
      </c>
      <c r="AD387">
        <v>-1.0724432091339999</v>
      </c>
      <c r="AE387">
        <v>-1.4238999999999999</v>
      </c>
      <c r="AF387">
        <v>1.94744570898624</v>
      </c>
      <c r="AG387">
        <v>-1.0724432091339999</v>
      </c>
      <c r="AH387">
        <v>40.394541033780101</v>
      </c>
      <c r="AI387">
        <v>91.519037043506898</v>
      </c>
      <c r="AJ387">
        <v>87.239872269220996</v>
      </c>
      <c r="AK387">
        <v>40.455674812762801</v>
      </c>
      <c r="AL387">
        <v>93.148048451475205</v>
      </c>
      <c r="AM387">
        <v>90.268471064916</v>
      </c>
      <c r="AN387">
        <v>0.99999999278757201</v>
      </c>
    </row>
    <row r="388" spans="1:40" x14ac:dyDescent="0.25">
      <c r="A388" t="str">
        <f>"20190303153750155"</f>
        <v>20190303153750155</v>
      </c>
      <c r="B388" t="str">
        <f>"1551598670149478"</f>
        <v>1551598670149478</v>
      </c>
      <c r="C388" t="s">
        <v>40</v>
      </c>
      <c r="D388">
        <v>4.1950969999999996</v>
      </c>
      <c r="E388">
        <v>0.51906750000000001</v>
      </c>
      <c r="F388" t="s">
        <v>42</v>
      </c>
      <c r="G388">
        <v>-397.74130000000002</v>
      </c>
      <c r="H388" s="1">
        <v>-1.5665679999999999E-6</v>
      </c>
      <c r="I388">
        <v>366.56490000000002</v>
      </c>
      <c r="J388">
        <v>-431.80549999999999</v>
      </c>
      <c r="K388">
        <v>1.072279</v>
      </c>
      <c r="L388">
        <v>367.71910000000003</v>
      </c>
      <c r="M388">
        <v>0.99984399999999996</v>
      </c>
      <c r="N388">
        <v>-1.204647E-2</v>
      </c>
      <c r="O388">
        <v>1.292869E-2</v>
      </c>
      <c r="P388">
        <v>0.99755439999999995</v>
      </c>
      <c r="Q388">
        <v>-6.7518579999999995E-2</v>
      </c>
      <c r="R388">
        <v>1.807516E-2</v>
      </c>
      <c r="S388">
        <v>3.0026250000000001</v>
      </c>
      <c r="T388">
        <v>-9.4087959999999998E-2</v>
      </c>
      <c r="U388">
        <v>-0.1010742</v>
      </c>
      <c r="V388">
        <v>-5.1869380000000003E-3</v>
      </c>
      <c r="W388">
        <v>-5.5493840000000003E-2</v>
      </c>
      <c r="X388">
        <v>0.99844560000000004</v>
      </c>
      <c r="Y388">
        <v>4.6528399999999998E-2</v>
      </c>
      <c r="Z388">
        <v>-1.258285E-3</v>
      </c>
      <c r="AA388">
        <v>0.99891609999999997</v>
      </c>
      <c r="AB388">
        <v>27</v>
      </c>
      <c r="AC388">
        <v>34.0641999999999</v>
      </c>
      <c r="AD388">
        <v>-1.072280566568</v>
      </c>
      <c r="AE388">
        <v>-1.1541999999999999</v>
      </c>
      <c r="AF388">
        <v>1.59296427101984</v>
      </c>
      <c r="AG388">
        <v>-1.072280566568</v>
      </c>
      <c r="AH388">
        <v>34.0127652853946</v>
      </c>
      <c r="AI388">
        <v>91.803722999045803</v>
      </c>
      <c r="AJ388">
        <v>87.318551304418506</v>
      </c>
      <c r="AK388">
        <v>34.066927116215403</v>
      </c>
      <c r="AL388">
        <v>93.181196894279907</v>
      </c>
      <c r="AM388">
        <v>90.297649649119705</v>
      </c>
      <c r="AN388">
        <v>1.0000000433815599</v>
      </c>
    </row>
    <row r="389" spans="1:40" x14ac:dyDescent="0.25">
      <c r="A389" t="str">
        <f>"20190303153750169"</f>
        <v>20190303153750169</v>
      </c>
      <c r="B389" t="str">
        <f>"1551598670159238"</f>
        <v>1551598670159238</v>
      </c>
      <c r="C389" t="s">
        <v>40</v>
      </c>
      <c r="D389">
        <v>4.1926649999999999</v>
      </c>
      <c r="E389">
        <v>0.51891880000000001</v>
      </c>
      <c r="F389" t="s">
        <v>43</v>
      </c>
      <c r="G389">
        <v>-401.02159999999998</v>
      </c>
      <c r="H389">
        <v>-0.05</v>
      </c>
      <c r="I389">
        <v>366.72199999999998</v>
      </c>
      <c r="J389">
        <v>-431.63209999999998</v>
      </c>
      <c r="K389">
        <v>1.0721179999999999</v>
      </c>
      <c r="L389">
        <v>367.72129999999999</v>
      </c>
      <c r="M389">
        <v>0.99984119999999999</v>
      </c>
      <c r="N389">
        <v>-1.2331369999999999E-2</v>
      </c>
      <c r="O389">
        <v>1.286816E-2</v>
      </c>
      <c r="P389">
        <v>0.99750890000000003</v>
      </c>
      <c r="Q389">
        <v>-6.8089319999999995E-2</v>
      </c>
      <c r="R389">
        <v>1.8441369999999999E-2</v>
      </c>
      <c r="S389">
        <v>3.001709</v>
      </c>
      <c r="T389">
        <v>-0.10943269999999999</v>
      </c>
      <c r="U389">
        <v>-9.7228999999999996E-2</v>
      </c>
      <c r="V389">
        <v>-5.6148580000000003E-3</v>
      </c>
      <c r="W389">
        <v>-5.5780400000000001E-2</v>
      </c>
      <c r="X389">
        <v>0.99842730000000002</v>
      </c>
      <c r="Y389">
        <v>4.5190050000000002E-2</v>
      </c>
      <c r="Z389">
        <v>-1.4123499999999999E-3</v>
      </c>
      <c r="AA389">
        <v>0.99897740000000002</v>
      </c>
      <c r="AB389">
        <v>27</v>
      </c>
      <c r="AC389">
        <v>30.610499999999998</v>
      </c>
      <c r="AD389">
        <v>-1.1221179999999999</v>
      </c>
      <c r="AE389">
        <v>-0.99930000000000496</v>
      </c>
      <c r="AF389">
        <v>1.39128037687739</v>
      </c>
      <c r="AG389">
        <v>-1.1221179999999999</v>
      </c>
      <c r="AH389">
        <v>30.554089967257799</v>
      </c>
      <c r="AI389">
        <v>92.101102775525106</v>
      </c>
      <c r="AJ389">
        <v>87.392837818388799</v>
      </c>
      <c r="AK389">
        <v>30.606326529335298</v>
      </c>
      <c r="AL389">
        <v>93.197641097241899</v>
      </c>
      <c r="AM389">
        <v>90.322211015848893</v>
      </c>
      <c r="AN389">
        <v>1.0000000265199001</v>
      </c>
    </row>
    <row r="390" spans="1:40" x14ac:dyDescent="0.25">
      <c r="A390" t="str">
        <f>"20190303153750183"</f>
        <v>20190303153750183</v>
      </c>
      <c r="B390" t="str">
        <f>"1551598670179734"</f>
        <v>1551598670179734</v>
      </c>
      <c r="C390" t="s">
        <v>40</v>
      </c>
      <c r="D390">
        <v>4.2428990000000004</v>
      </c>
      <c r="E390">
        <v>0.51879299999999995</v>
      </c>
      <c r="F390" t="s">
        <v>43</v>
      </c>
      <c r="G390">
        <v>-402.37720000000002</v>
      </c>
      <c r="H390">
        <v>-0.05</v>
      </c>
      <c r="I390">
        <v>366.79739999999998</v>
      </c>
      <c r="J390">
        <v>-431.45909999999998</v>
      </c>
      <c r="K390">
        <v>1.0719860000000001</v>
      </c>
      <c r="L390">
        <v>367.72340000000003</v>
      </c>
      <c r="M390">
        <v>0.99983909999999998</v>
      </c>
      <c r="N390">
        <v>-1.258218E-2</v>
      </c>
      <c r="O390">
        <v>1.279928E-2</v>
      </c>
      <c r="P390">
        <v>0.99743130000000002</v>
      </c>
      <c r="Q390">
        <v>-6.9084850000000003E-2</v>
      </c>
      <c r="R390">
        <v>1.8928879999999999E-2</v>
      </c>
      <c r="S390">
        <v>3.001404</v>
      </c>
      <c r="T390">
        <v>-0.1151235</v>
      </c>
      <c r="U390">
        <v>-9.47876E-2</v>
      </c>
      <c r="V390">
        <v>-6.1730469999999897E-3</v>
      </c>
      <c r="W390">
        <v>-5.6526119999999999E-2</v>
      </c>
      <c r="X390">
        <v>0.99838199999999999</v>
      </c>
      <c r="Y390">
        <v>4.4309179999999997E-2</v>
      </c>
      <c r="Z390">
        <v>-1.4579040000000001E-3</v>
      </c>
      <c r="AA390">
        <v>0.99901680000000004</v>
      </c>
      <c r="AB390">
        <v>27</v>
      </c>
      <c r="AC390">
        <v>29.081899999999901</v>
      </c>
      <c r="AD390">
        <v>-1.1219859999999999</v>
      </c>
      <c r="AE390">
        <v>-0.92600000000004401</v>
      </c>
      <c r="AF390">
        <v>1.2962534847034499</v>
      </c>
      <c r="AG390">
        <v>-1.1219859999999999</v>
      </c>
      <c r="AH390">
        <v>29.0245070534015</v>
      </c>
      <c r="AI390">
        <v>92.211550074169693</v>
      </c>
      <c r="AJ390">
        <v>87.442832230786095</v>
      </c>
      <c r="AK390">
        <v>29.075094761217098</v>
      </c>
      <c r="AL390">
        <v>93.240435433015094</v>
      </c>
      <c r="AM390">
        <v>90.354258222545198</v>
      </c>
      <c r="AN390">
        <v>0.99999996333775798</v>
      </c>
    </row>
    <row r="391" spans="1:40" x14ac:dyDescent="0.25">
      <c r="A391" t="str">
        <f>"20190303153750200"</f>
        <v>20190303153750200</v>
      </c>
      <c r="B391" t="str">
        <f>"1551598670189495"</f>
        <v>1551598670189495</v>
      </c>
      <c r="C391" t="s">
        <v>40</v>
      </c>
      <c r="D391">
        <v>4.2343440000000001</v>
      </c>
      <c r="E391">
        <v>0.5189047</v>
      </c>
      <c r="F391" t="s">
        <v>43</v>
      </c>
      <c r="G391">
        <v>-401.94709999999998</v>
      </c>
      <c r="H391">
        <v>-0.05</v>
      </c>
      <c r="I391">
        <v>366.81639999999999</v>
      </c>
      <c r="J391">
        <v>-431.25779999999997</v>
      </c>
      <c r="K391">
        <v>1.071842</v>
      </c>
      <c r="L391">
        <v>367.72590000000002</v>
      </c>
      <c r="M391">
        <v>0.99983670000000002</v>
      </c>
      <c r="N391">
        <v>-1.2850550000000001E-2</v>
      </c>
      <c r="O391">
        <v>1.2714680000000001E-2</v>
      </c>
      <c r="P391">
        <v>0.99739509999999998</v>
      </c>
      <c r="Q391">
        <v>-6.9451949999999998E-2</v>
      </c>
      <c r="R391">
        <v>1.9480540000000001E-2</v>
      </c>
      <c r="S391">
        <v>3.001617</v>
      </c>
      <c r="T391">
        <v>-0.1141152</v>
      </c>
      <c r="U391">
        <v>-9.2254639999999999E-2</v>
      </c>
      <c r="V391">
        <v>-6.81046E-3</v>
      </c>
      <c r="W391">
        <v>-5.6625340000000003E-2</v>
      </c>
      <c r="X391">
        <v>0.99837229999999999</v>
      </c>
      <c r="Y391">
        <v>4.3381780000000002E-2</v>
      </c>
      <c r="Z391">
        <v>-1.4228979999999999E-3</v>
      </c>
      <c r="AA391">
        <v>0.99905750000000004</v>
      </c>
      <c r="AB391">
        <v>27</v>
      </c>
      <c r="AC391">
        <v>29.310700000000001</v>
      </c>
      <c r="AD391">
        <v>-1.121842</v>
      </c>
      <c r="AE391">
        <v>-0.90950000000003595</v>
      </c>
      <c r="AF391">
        <v>1.2802597110426299</v>
      </c>
      <c r="AG391">
        <v>-1.121842</v>
      </c>
      <c r="AH391">
        <v>29.253952137816</v>
      </c>
      <c r="AI391">
        <v>92.1940268452407</v>
      </c>
      <c r="AJ391">
        <v>87.494126562288301</v>
      </c>
      <c r="AK391">
        <v>29.303435124270202</v>
      </c>
      <c r="AL391">
        <v>93.246129222407802</v>
      </c>
      <c r="AM391">
        <v>90.390840733521998</v>
      </c>
      <c r="AN391">
        <v>1.0000000304514001</v>
      </c>
    </row>
    <row r="392" spans="1:40" x14ac:dyDescent="0.25">
      <c r="A392" t="str">
        <f>"20190303153750215"</f>
        <v>20190303153750215</v>
      </c>
      <c r="B392" t="str">
        <f>"1551598670209991"</f>
        <v>1551598670209991</v>
      </c>
      <c r="C392" t="s">
        <v>40</v>
      </c>
      <c r="D392">
        <v>4.2188179999999997</v>
      </c>
      <c r="E392">
        <v>0.51901169999999996</v>
      </c>
      <c r="F392" t="s">
        <v>43</v>
      </c>
      <c r="G392">
        <v>-401.3965</v>
      </c>
      <c r="H392">
        <v>-0.05</v>
      </c>
      <c r="I392">
        <v>366.81819999999999</v>
      </c>
      <c r="J392">
        <v>-431.06619999999998</v>
      </c>
      <c r="K392">
        <v>1.0717239999999999</v>
      </c>
      <c r="L392">
        <v>367.72829999999999</v>
      </c>
      <c r="M392">
        <v>0.99983469999999997</v>
      </c>
      <c r="N392">
        <v>-1.3081570000000001E-2</v>
      </c>
      <c r="O392">
        <v>1.26296E-2</v>
      </c>
      <c r="P392">
        <v>0.99736020000000003</v>
      </c>
      <c r="Q392">
        <v>-6.9898899999999903E-2</v>
      </c>
      <c r="R392">
        <v>1.967588E-2</v>
      </c>
      <c r="S392">
        <v>3.0017399999999999</v>
      </c>
      <c r="T392">
        <v>-0.1127708</v>
      </c>
      <c r="U392">
        <v>-9.1247560000000005E-2</v>
      </c>
      <c r="V392">
        <v>-7.0917250000000001E-3</v>
      </c>
      <c r="W392">
        <v>-5.6841830000000003E-2</v>
      </c>
      <c r="X392">
        <v>0.99835799999999997</v>
      </c>
      <c r="Y392">
        <v>4.2962E-2</v>
      </c>
      <c r="Z392">
        <v>-1.3968240000000001E-3</v>
      </c>
      <c r="AA392">
        <v>0.99907570000000001</v>
      </c>
      <c r="AB392">
        <v>27</v>
      </c>
      <c r="AC392">
        <v>29.669699999999899</v>
      </c>
      <c r="AD392">
        <v>-1.1217239999999999</v>
      </c>
      <c r="AE392">
        <v>-0.91010000000000002</v>
      </c>
      <c r="AF392">
        <v>1.2829438169473699</v>
      </c>
      <c r="AG392">
        <v>-1.1217239999999999</v>
      </c>
      <c r="AH392">
        <v>29.613549028634299</v>
      </c>
      <c r="AI392">
        <v>92.167224091822405</v>
      </c>
      <c r="AJ392">
        <v>87.519333807891499</v>
      </c>
      <c r="AK392">
        <v>29.662543647518699</v>
      </c>
      <c r="AL392">
        <v>93.258553324092603</v>
      </c>
      <c r="AM392">
        <v>90.406987351256205</v>
      </c>
      <c r="AN392">
        <v>0.99999999118261196</v>
      </c>
    </row>
    <row r="393" spans="1:40" x14ac:dyDescent="0.25">
      <c r="A393" t="str">
        <f>"20190303153750232"</f>
        <v>20190303153750232</v>
      </c>
      <c r="B393" t="str">
        <f>"1551598670219750"</f>
        <v>1551598670219750</v>
      </c>
      <c r="C393" t="s">
        <v>40</v>
      </c>
      <c r="D393">
        <v>4.2572260000000002</v>
      </c>
      <c r="E393">
        <v>0.51913109999999996</v>
      </c>
      <c r="F393" t="s">
        <v>43</v>
      </c>
      <c r="G393">
        <v>-400.88819999999998</v>
      </c>
      <c r="H393">
        <v>-0.05</v>
      </c>
      <c r="I393">
        <v>366.8066</v>
      </c>
      <c r="J393">
        <v>-430.87529999999998</v>
      </c>
      <c r="K393">
        <v>1.071623</v>
      </c>
      <c r="L393">
        <v>367.73059999999998</v>
      </c>
      <c r="M393">
        <v>0.99983299999999997</v>
      </c>
      <c r="N393">
        <v>-1.329017E-2</v>
      </c>
      <c r="O393">
        <v>1.254103E-2</v>
      </c>
      <c r="P393">
        <v>0.99733890000000003</v>
      </c>
      <c r="Q393">
        <v>-7.0190450000000001E-2</v>
      </c>
      <c r="R393">
        <v>1.9715469999999999E-2</v>
      </c>
      <c r="S393">
        <v>3.0019230000000001</v>
      </c>
      <c r="T393">
        <v>-0.111582399999999</v>
      </c>
      <c r="U393">
        <v>-9.1674800000000001E-2</v>
      </c>
      <c r="V393">
        <v>-7.22070099999999E-3</v>
      </c>
      <c r="W393">
        <v>-5.692527E-2</v>
      </c>
      <c r="X393">
        <v>0.99835229999999997</v>
      </c>
      <c r="Y393">
        <v>4.3014480000000001E-2</v>
      </c>
      <c r="Z393">
        <v>-1.3843149999999999E-3</v>
      </c>
      <c r="AA393">
        <v>0.99907349999999995</v>
      </c>
      <c r="AB393">
        <v>27</v>
      </c>
      <c r="AC393">
        <v>29.987100000000002</v>
      </c>
      <c r="AD393">
        <v>-1.121623</v>
      </c>
      <c r="AE393">
        <v>-0.92399999999997795</v>
      </c>
      <c r="AF393">
        <v>1.29821516178271</v>
      </c>
      <c r="AG393">
        <v>-1.121623</v>
      </c>
      <c r="AH393">
        <v>29.9313175244056</v>
      </c>
      <c r="AI393">
        <v>92.144039610588095</v>
      </c>
      <c r="AJ393">
        <v>87.516458844944395</v>
      </c>
      <c r="AK393">
        <v>29.9804464527665</v>
      </c>
      <c r="AL393">
        <v>93.263341906967</v>
      </c>
      <c r="AM393">
        <v>90.414391271221604</v>
      </c>
      <c r="AN393">
        <v>0.99999996990139595</v>
      </c>
    </row>
    <row r="394" spans="1:40" x14ac:dyDescent="0.25">
      <c r="A394" t="str">
        <f>"20190303153750254"</f>
        <v>20190303153750254</v>
      </c>
      <c r="B394" t="str">
        <f>"1551598670249030"</f>
        <v>1551598670249030</v>
      </c>
      <c r="C394" t="s">
        <v>40</v>
      </c>
      <c r="D394">
        <v>4.2423760000000001</v>
      </c>
      <c r="E394">
        <v>0.51928629999999998</v>
      </c>
      <c r="F394" t="s">
        <v>43</v>
      </c>
      <c r="G394">
        <v>-400.47199999999998</v>
      </c>
      <c r="H394">
        <v>-0.05</v>
      </c>
      <c r="I394">
        <v>366.78890000000001</v>
      </c>
      <c r="J394">
        <v>-430.59429999999998</v>
      </c>
      <c r="K394">
        <v>1.0714999999999999</v>
      </c>
      <c r="L394">
        <v>367.73390000000001</v>
      </c>
      <c r="M394">
        <v>0.99983129999999998</v>
      </c>
      <c r="N394">
        <v>-1.3555279999999999E-2</v>
      </c>
      <c r="O394">
        <v>1.240462E-2</v>
      </c>
      <c r="P394">
        <v>0.99732489999999996</v>
      </c>
      <c r="Q394">
        <v>-7.0675050000000003E-2</v>
      </c>
      <c r="R394">
        <v>1.8669700000000001E-2</v>
      </c>
      <c r="S394">
        <v>3.002014</v>
      </c>
      <c r="T394">
        <v>-0.1107485</v>
      </c>
      <c r="U394">
        <v>-9.2987059999999996E-2</v>
      </c>
      <c r="V394">
        <v>-6.3113600000000002E-3</v>
      </c>
      <c r="W394">
        <v>-5.7145670000000003E-2</v>
      </c>
      <c r="X394">
        <v>0.99834590000000001</v>
      </c>
      <c r="Y394">
        <v>4.3313829999999998E-2</v>
      </c>
      <c r="Z394">
        <v>-1.381574E-3</v>
      </c>
      <c r="AA394">
        <v>0.99906059999999997</v>
      </c>
      <c r="AB394">
        <v>27</v>
      </c>
      <c r="AC394">
        <v>30.122299999999999</v>
      </c>
      <c r="AD394">
        <v>-1.1214999999999999</v>
      </c>
      <c r="AE394">
        <v>-0.94499999999999296</v>
      </c>
      <c r="AF394">
        <v>1.31679372059358</v>
      </c>
      <c r="AG394">
        <v>-1.1214999999999999</v>
      </c>
      <c r="AH394">
        <v>30.066621489614601</v>
      </c>
      <c r="AI394">
        <v>92.134127022364098</v>
      </c>
      <c r="AJ394">
        <v>87.492284240163002</v>
      </c>
      <c r="AK394">
        <v>30.1163317114211</v>
      </c>
      <c r="AL394">
        <v>93.275990393490801</v>
      </c>
      <c r="AM394">
        <v>90.362208603003793</v>
      </c>
      <c r="AN394">
        <v>0.99999999845580401</v>
      </c>
    </row>
    <row r="395" spans="1:40" x14ac:dyDescent="0.25">
      <c r="A395" t="str">
        <f>"20190303153750266"</f>
        <v>20190303153750266</v>
      </c>
      <c r="B395" t="str">
        <f>"1551598670259766"</f>
        <v>1551598670259766</v>
      </c>
      <c r="C395" t="s">
        <v>40</v>
      </c>
      <c r="D395">
        <v>4.2019339999999996</v>
      </c>
      <c r="E395">
        <v>0.51928839999999998</v>
      </c>
      <c r="F395" t="s">
        <v>43</v>
      </c>
      <c r="G395">
        <v>-399.7903</v>
      </c>
      <c r="H395">
        <v>-0.05</v>
      </c>
      <c r="I395">
        <v>366.73570000000001</v>
      </c>
      <c r="J395">
        <v>-430.44560000000001</v>
      </c>
      <c r="K395">
        <v>1.0714429999999999</v>
      </c>
      <c r="L395">
        <v>367.73570000000001</v>
      </c>
      <c r="M395">
        <v>0.99983040000000001</v>
      </c>
      <c r="N395">
        <v>-1.3681280000000001E-2</v>
      </c>
      <c r="O395">
        <v>1.2331180000000001E-2</v>
      </c>
      <c r="P395">
        <v>0.99733539999999998</v>
      </c>
      <c r="Q395">
        <v>-7.0677229999999994E-2</v>
      </c>
      <c r="R395">
        <v>1.808125E-2</v>
      </c>
      <c r="S395">
        <v>3.0021360000000001</v>
      </c>
      <c r="T395">
        <v>-0.1093007</v>
      </c>
      <c r="U395">
        <v>-9.7290039999999994E-2</v>
      </c>
      <c r="V395">
        <v>-5.7963160000000001E-3</v>
      </c>
      <c r="W395">
        <v>-5.7022169999999997E-2</v>
      </c>
      <c r="X395">
        <v>0.99835609999999997</v>
      </c>
      <c r="Y395">
        <v>4.4669460000000001E-2</v>
      </c>
      <c r="Z395">
        <v>-1.3985410000000001E-3</v>
      </c>
      <c r="AA395">
        <v>0.99900080000000002</v>
      </c>
      <c r="AB395">
        <v>27</v>
      </c>
      <c r="AC395">
        <v>30.6553</v>
      </c>
      <c r="AD395">
        <v>-1.121443</v>
      </c>
      <c r="AE395">
        <v>-1</v>
      </c>
      <c r="AF395">
        <v>1.3761356655682799</v>
      </c>
      <c r="AG395">
        <v>-1.121443</v>
      </c>
      <c r="AH395">
        <v>30.599729324465699</v>
      </c>
      <c r="AI395">
        <v>92.096764152130902</v>
      </c>
      <c r="AJ395">
        <v>87.425020543948094</v>
      </c>
      <c r="AK395">
        <v>30.651179724487999</v>
      </c>
      <c r="AL395">
        <v>93.268902757427099</v>
      </c>
      <c r="AM395">
        <v>90.332647551382294</v>
      </c>
      <c r="AN395">
        <v>1.00000001377894</v>
      </c>
    </row>
    <row r="396" spans="1:40" x14ac:dyDescent="0.25">
      <c r="A396" t="str">
        <f>"20190303153750279"</f>
        <v>20190303153750279</v>
      </c>
      <c r="B396" t="str">
        <f>"1551598670269526"</f>
        <v>1551598670269526</v>
      </c>
      <c r="C396" t="s">
        <v>40</v>
      </c>
      <c r="D396">
        <v>4.2046539999999997</v>
      </c>
      <c r="E396">
        <v>0.51928839999999998</v>
      </c>
      <c r="F396" t="s">
        <v>43</v>
      </c>
      <c r="G396">
        <v>-399.24919999999997</v>
      </c>
      <c r="H396">
        <v>-0.05</v>
      </c>
      <c r="I396">
        <v>366.7079</v>
      </c>
      <c r="J396">
        <v>-430.29790000000003</v>
      </c>
      <c r="K396">
        <v>1.0713950000000001</v>
      </c>
      <c r="L396">
        <v>367.73739999999998</v>
      </c>
      <c r="M396">
        <v>0.99982990000000005</v>
      </c>
      <c r="N396">
        <v>-1.3793100000000001E-2</v>
      </c>
      <c r="O396">
        <v>1.225713E-2</v>
      </c>
      <c r="P396">
        <v>0.99735390000000002</v>
      </c>
      <c r="Q396">
        <v>-7.0682079999999994E-2</v>
      </c>
      <c r="R396">
        <v>1.7016570000000002E-2</v>
      </c>
      <c r="S396">
        <v>3.0021360000000001</v>
      </c>
      <c r="T396">
        <v>-0.10792019999999999</v>
      </c>
      <c r="U396">
        <v>-9.8907469999999997E-2</v>
      </c>
      <c r="V396">
        <v>-4.8056749999999997E-3</v>
      </c>
      <c r="W396">
        <v>-5.6915569999999999E-2</v>
      </c>
      <c r="X396">
        <v>0.99836740000000002</v>
      </c>
      <c r="Y396">
        <v>4.5133680000000002E-2</v>
      </c>
      <c r="Z396">
        <v>-1.39363299999999E-3</v>
      </c>
      <c r="AA396">
        <v>0.99897999999999998</v>
      </c>
      <c r="AB396">
        <v>27</v>
      </c>
      <c r="AC396">
        <v>31.0487</v>
      </c>
      <c r="AD396">
        <v>-1.1213949999999999</v>
      </c>
      <c r="AE396">
        <v>-1.0294999999999801</v>
      </c>
      <c r="AF396">
        <v>1.40819183555501</v>
      </c>
      <c r="AG396">
        <v>-1.1213949999999999</v>
      </c>
      <c r="AH396">
        <v>30.993362054588701</v>
      </c>
      <c r="AI396">
        <v>92.070025674388901</v>
      </c>
      <c r="AJ396">
        <v>87.398539808427003</v>
      </c>
      <c r="AK396">
        <v>31.0455958621923</v>
      </c>
      <c r="AL396">
        <v>93.262785231773705</v>
      </c>
      <c r="AM396">
        <v>90.275793028349099</v>
      </c>
      <c r="AN396">
        <v>0.99999997100169402</v>
      </c>
    </row>
    <row r="397" spans="1:40" x14ac:dyDescent="0.25">
      <c r="A397" t="str">
        <f>"20190303153750292"</f>
        <v>20190303153750292</v>
      </c>
      <c r="B397" t="str">
        <f>"1551598670279286"</f>
        <v>1551598670279286</v>
      </c>
      <c r="C397" t="s">
        <v>40</v>
      </c>
      <c r="D397">
        <v>4.1971910000000001</v>
      </c>
      <c r="E397">
        <v>0.51927970000000001</v>
      </c>
      <c r="F397" t="s">
        <v>43</v>
      </c>
      <c r="G397">
        <v>-398.87810000000002</v>
      </c>
      <c r="H397">
        <v>-0.05</v>
      </c>
      <c r="I397">
        <v>366.66680000000002</v>
      </c>
      <c r="J397">
        <v>-430.1413</v>
      </c>
      <c r="K397">
        <v>1.071348</v>
      </c>
      <c r="L397">
        <v>367.73930000000001</v>
      </c>
      <c r="M397">
        <v>0.99982919999999997</v>
      </c>
      <c r="N397">
        <v>-1.3904969999999999E-2</v>
      </c>
      <c r="O397">
        <v>1.217915E-2</v>
      </c>
      <c r="P397">
        <v>0.99735010000000002</v>
      </c>
      <c r="Q397">
        <v>-7.0943419999999993E-2</v>
      </c>
      <c r="R397">
        <v>1.6128219999999999E-2</v>
      </c>
      <c r="S397">
        <v>3.0021059999999999</v>
      </c>
      <c r="T397">
        <v>-0.1071472</v>
      </c>
      <c r="U397">
        <v>-0.10229489999999999</v>
      </c>
      <c r="V397">
        <v>-3.9953879999999999E-3</v>
      </c>
      <c r="W397">
        <v>-5.7065610000000003E-2</v>
      </c>
      <c r="X397">
        <v>0.99836239999999998</v>
      </c>
      <c r="Y397">
        <v>4.6181630000000001E-2</v>
      </c>
      <c r="Z397">
        <v>-1.410115E-3</v>
      </c>
      <c r="AA397">
        <v>0.99893209999999999</v>
      </c>
      <c r="AB397">
        <v>27</v>
      </c>
      <c r="AC397">
        <v>31.263199999999902</v>
      </c>
      <c r="AD397">
        <v>-1.121348</v>
      </c>
      <c r="AE397">
        <v>-1.07249999999999</v>
      </c>
      <c r="AF397">
        <v>1.45135144845124</v>
      </c>
      <c r="AG397">
        <v>-1.121348</v>
      </c>
      <c r="AH397">
        <v>31.207715486024799</v>
      </c>
      <c r="AI397">
        <v>92.055632739352106</v>
      </c>
      <c r="AJ397">
        <v>87.337311041802707</v>
      </c>
      <c r="AK397">
        <v>31.261563432123701</v>
      </c>
      <c r="AL397">
        <v>93.271395907329804</v>
      </c>
      <c r="AM397">
        <v>90.229293138285996</v>
      </c>
      <c r="AN397">
        <v>0.99999996435185001</v>
      </c>
    </row>
    <row r="398" spans="1:40" x14ac:dyDescent="0.25">
      <c r="A398" t="str">
        <f>"20190303153750310"</f>
        <v>20190303153750310</v>
      </c>
      <c r="B398" t="str">
        <f>"1551598670299782"</f>
        <v>1551598670299782</v>
      </c>
      <c r="C398" t="s">
        <v>40</v>
      </c>
      <c r="D398">
        <v>4.2090579999999997</v>
      </c>
      <c r="E398">
        <v>0.51928050000000003</v>
      </c>
      <c r="F398" t="s">
        <v>43</v>
      </c>
      <c r="G398">
        <v>-398.64370000000002</v>
      </c>
      <c r="H398">
        <v>-0.05</v>
      </c>
      <c r="I398">
        <v>366.64100000000002</v>
      </c>
      <c r="J398">
        <v>-429.92750000000001</v>
      </c>
      <c r="K398">
        <v>1.0712919999999999</v>
      </c>
      <c r="L398">
        <v>367.74180000000001</v>
      </c>
      <c r="M398">
        <v>0.99982859999999996</v>
      </c>
      <c r="N398">
        <v>-1.404096E-2</v>
      </c>
      <c r="O398">
        <v>1.207226E-2</v>
      </c>
      <c r="P398">
        <v>0.99734009999999995</v>
      </c>
      <c r="Q398">
        <v>-7.1493080000000001E-2</v>
      </c>
      <c r="R398">
        <v>1.420629E-2</v>
      </c>
      <c r="S398">
        <v>3.002075</v>
      </c>
      <c r="T398">
        <v>-0.10687720000000001</v>
      </c>
      <c r="U398">
        <v>-0.1046753</v>
      </c>
      <c r="V398">
        <v>-2.180127E-3</v>
      </c>
      <c r="W398">
        <v>-5.7480429999999999E-2</v>
      </c>
      <c r="X398">
        <v>0.99834420000000001</v>
      </c>
      <c r="Y398">
        <v>4.6865869999999997E-2</v>
      </c>
      <c r="Z398">
        <v>-1.4231129999999999E-3</v>
      </c>
      <c r="AA398">
        <v>0.99890020000000002</v>
      </c>
      <c r="AB398">
        <v>27</v>
      </c>
      <c r="AC398">
        <v>31.2837999999999</v>
      </c>
      <c r="AD398">
        <v>-1.121292</v>
      </c>
      <c r="AE398">
        <v>-1.10080000000004</v>
      </c>
      <c r="AF398">
        <v>1.4765286089169201</v>
      </c>
      <c r="AG398">
        <v>-1.121292</v>
      </c>
      <c r="AH398">
        <v>31.228160469303901</v>
      </c>
      <c r="AI398">
        <v>92.054111071690997</v>
      </c>
      <c r="AJ398">
        <v>87.292959361992501</v>
      </c>
      <c r="AK398">
        <v>31.2831494382968</v>
      </c>
      <c r="AL398">
        <v>93.295202477211802</v>
      </c>
      <c r="AM398">
        <v>90.125119049467699</v>
      </c>
      <c r="AN398">
        <v>0.99999994723017904</v>
      </c>
    </row>
    <row r="399" spans="1:40" x14ac:dyDescent="0.25">
      <c r="A399" t="str">
        <f>"20190303153750322"</f>
        <v>20190303153750322</v>
      </c>
      <c r="B399" t="str">
        <f>"1551598670309542"</f>
        <v>1551598670309542</v>
      </c>
      <c r="C399" t="s">
        <v>40</v>
      </c>
      <c r="D399">
        <v>4.2180260000000001</v>
      </c>
      <c r="E399">
        <v>0.51926309999999998</v>
      </c>
      <c r="F399" t="s">
        <v>42</v>
      </c>
      <c r="G399">
        <v>-399.74709999999999</v>
      </c>
      <c r="H399" s="1">
        <v>-8.6664580000000001E-7</v>
      </c>
      <c r="I399">
        <v>366.63010000000003</v>
      </c>
      <c r="J399">
        <v>-429.78100000000001</v>
      </c>
      <c r="K399">
        <v>1.071259</v>
      </c>
      <c r="L399">
        <v>367.74340000000001</v>
      </c>
      <c r="M399">
        <v>0.9998283</v>
      </c>
      <c r="N399">
        <v>-1.4122289999999999E-2</v>
      </c>
      <c r="O399">
        <v>1.1999610000000001E-2</v>
      </c>
      <c r="P399">
        <v>0.99735050000000003</v>
      </c>
      <c r="Q399">
        <v>-7.1506860000000005E-2</v>
      </c>
      <c r="R399">
        <v>1.338351E-2</v>
      </c>
      <c r="S399">
        <v>3.0019230000000001</v>
      </c>
      <c r="T399">
        <v>-0.1065569</v>
      </c>
      <c r="U399">
        <v>-0.1105652</v>
      </c>
      <c r="V399">
        <v>-1.429881E-3</v>
      </c>
      <c r="W399">
        <v>-5.7413199999999998E-2</v>
      </c>
      <c r="X399">
        <v>0.9983495</v>
      </c>
      <c r="Y399">
        <v>4.8750910000000001E-2</v>
      </c>
      <c r="Z399">
        <v>-1.4654970000000001E-3</v>
      </c>
      <c r="AA399">
        <v>0.99880990000000003</v>
      </c>
      <c r="AB399">
        <v>27</v>
      </c>
      <c r="AC399">
        <v>30.033899999999999</v>
      </c>
      <c r="AD399">
        <v>-1.0712598666458</v>
      </c>
      <c r="AE399">
        <v>-1.11329999999998</v>
      </c>
      <c r="AF399">
        <v>1.4717809715594901</v>
      </c>
      <c r="AG399">
        <v>-1.0712598666458</v>
      </c>
      <c r="AH399">
        <v>29.9802871582413</v>
      </c>
      <c r="AI399">
        <v>92.043970854853598</v>
      </c>
      <c r="AJ399">
        <v>87.189513456923905</v>
      </c>
      <c r="AK399">
        <v>30.035501577645402</v>
      </c>
      <c r="AL399">
        <v>93.291343863153202</v>
      </c>
      <c r="AM399">
        <v>90.082061533047195</v>
      </c>
      <c r="AN399">
        <v>1.0000000221220799</v>
      </c>
    </row>
    <row r="400" spans="1:40" x14ac:dyDescent="0.25">
      <c r="A400" t="str">
        <f>"20190303153750335"</f>
        <v>20190303153750335</v>
      </c>
      <c r="B400" t="str">
        <f>"1551598670329062"</f>
        <v>1551598670329062</v>
      </c>
      <c r="C400" t="s">
        <v>40</v>
      </c>
      <c r="D400">
        <v>4.251093</v>
      </c>
      <c r="E400">
        <v>0.51922579999999996</v>
      </c>
      <c r="F400" t="s">
        <v>42</v>
      </c>
      <c r="G400">
        <v>-399.41550000000001</v>
      </c>
      <c r="H400" s="1">
        <v>-9.8760980000000006E-7</v>
      </c>
      <c r="I400">
        <v>366.59960000000001</v>
      </c>
      <c r="J400">
        <v>-429.61959999999999</v>
      </c>
      <c r="K400">
        <v>1.0712280000000001</v>
      </c>
      <c r="L400">
        <v>367.74529999999999</v>
      </c>
      <c r="M400">
        <v>0.99982800000000005</v>
      </c>
      <c r="N400">
        <v>-1.4206089999999999E-2</v>
      </c>
      <c r="O400">
        <v>1.1919910000000001E-2</v>
      </c>
      <c r="P400">
        <v>0.99732880000000002</v>
      </c>
      <c r="Q400">
        <v>-7.1916339999999995E-2</v>
      </c>
      <c r="R400">
        <v>1.2785370000000001E-2</v>
      </c>
      <c r="S400">
        <v>3.0018919999999998</v>
      </c>
      <c r="T400">
        <v>-0.1059031</v>
      </c>
      <c r="U400">
        <v>-0.1130676</v>
      </c>
      <c r="V400">
        <v>-9.1144510000000002E-4</v>
      </c>
      <c r="W400">
        <v>-5.7739529999999997E-2</v>
      </c>
      <c r="X400">
        <v>0.99833119999999997</v>
      </c>
      <c r="Y400">
        <v>4.9502949999999997E-2</v>
      </c>
      <c r="Z400">
        <v>-1.47555E-3</v>
      </c>
      <c r="AA400">
        <v>0.99877289999999996</v>
      </c>
      <c r="AB400">
        <v>27</v>
      </c>
      <c r="AC400">
        <v>30.204099999999901</v>
      </c>
      <c r="AD400">
        <v>-1.0712289876098</v>
      </c>
      <c r="AE400">
        <v>-1.14569999999997</v>
      </c>
      <c r="AF400">
        <v>1.5037962396990301</v>
      </c>
      <c r="AG400">
        <v>-1.0712289876098</v>
      </c>
      <c r="AH400">
        <v>30.1504251369199</v>
      </c>
      <c r="AI400">
        <v>92.032309280507306</v>
      </c>
      <c r="AJ400">
        <v>87.144655929150602</v>
      </c>
      <c r="AK400">
        <v>30.206904353333599</v>
      </c>
      <c r="AL400">
        <v>93.310072553438204</v>
      </c>
      <c r="AM400">
        <v>90.052309236632695</v>
      </c>
      <c r="AN400">
        <v>0.99999993447511304</v>
      </c>
    </row>
    <row r="401" spans="1:40" x14ac:dyDescent="0.25">
      <c r="A401" t="str">
        <f>"20190303153750348"</f>
        <v>20190303153750348</v>
      </c>
      <c r="B401" t="str">
        <f>"1551598670339798"</f>
        <v>1551598670339798</v>
      </c>
      <c r="C401" t="s">
        <v>40</v>
      </c>
      <c r="D401">
        <v>4.230791</v>
      </c>
      <c r="E401">
        <v>0.51920040000000001</v>
      </c>
      <c r="F401" t="s">
        <v>42</v>
      </c>
      <c r="G401">
        <v>-399.19159999999999</v>
      </c>
      <c r="H401" s="1">
        <v>-1.0676529999999999E-6</v>
      </c>
      <c r="I401">
        <v>366.58519999999999</v>
      </c>
      <c r="J401">
        <v>-429.46210000000002</v>
      </c>
      <c r="K401">
        <v>1.0711949999999999</v>
      </c>
      <c r="L401">
        <v>367.74709999999999</v>
      </c>
      <c r="M401">
        <v>0.99982789999999999</v>
      </c>
      <c r="N401">
        <v>-1.4281780000000001E-2</v>
      </c>
      <c r="O401">
        <v>1.184259E-2</v>
      </c>
      <c r="P401">
        <v>0.99731069999999999</v>
      </c>
      <c r="Q401">
        <v>-7.2253559999999994E-2</v>
      </c>
      <c r="R401">
        <v>1.2291460000000001E-2</v>
      </c>
      <c r="S401">
        <v>3.0018919999999998</v>
      </c>
      <c r="T401">
        <v>-0.10568230000000001</v>
      </c>
      <c r="U401">
        <v>-0.114440899999999</v>
      </c>
      <c r="V401">
        <v>-4.9442520000000001E-4</v>
      </c>
      <c r="W401">
        <v>-5.8001599999999903E-2</v>
      </c>
      <c r="X401">
        <v>0.99831630000000005</v>
      </c>
      <c r="Y401">
        <v>4.9881790000000002E-2</v>
      </c>
      <c r="Z401">
        <v>-1.4815760000000001E-3</v>
      </c>
      <c r="AA401">
        <v>0.99875400000000003</v>
      </c>
      <c r="AB401">
        <v>27</v>
      </c>
      <c r="AC401">
        <v>30.270499999999998</v>
      </c>
      <c r="AD401">
        <v>-1.0711960676529999</v>
      </c>
      <c r="AE401">
        <v>-1.1618999999999999</v>
      </c>
      <c r="AF401">
        <v>1.51843748191044</v>
      </c>
      <c r="AG401">
        <v>-1.0711960676529999</v>
      </c>
      <c r="AH401">
        <v>30.216831480753999</v>
      </c>
      <c r="AI401">
        <v>92.027746486388395</v>
      </c>
      <c r="AJ401">
        <v>87.123227857534999</v>
      </c>
      <c r="AK401">
        <v>30.273916465137301</v>
      </c>
      <c r="AL401">
        <v>93.325113272952606</v>
      </c>
      <c r="AM401">
        <v>90.028376252024302</v>
      </c>
      <c r="AN401">
        <v>0.99999993245226104</v>
      </c>
    </row>
    <row r="402" spans="1:40" x14ac:dyDescent="0.25">
      <c r="A402" t="str">
        <f>"20190303153750367"</f>
        <v>20190303153750367</v>
      </c>
      <c r="B402" t="str">
        <f>"1551598670359318"</f>
        <v>1551598670359318</v>
      </c>
      <c r="C402" t="s">
        <v>40</v>
      </c>
      <c r="D402">
        <v>4.2734829999999997</v>
      </c>
      <c r="E402">
        <v>0.5192561</v>
      </c>
      <c r="F402" t="s">
        <v>42</v>
      </c>
      <c r="G402">
        <v>-399.05579999999998</v>
      </c>
      <c r="H402" s="1">
        <v>-1.1164319999999901E-6</v>
      </c>
      <c r="I402">
        <v>366.57549999999998</v>
      </c>
      <c r="J402">
        <v>-429.25380000000001</v>
      </c>
      <c r="K402">
        <v>1.0711649999999999</v>
      </c>
      <c r="L402">
        <v>367.74950000000001</v>
      </c>
      <c r="M402">
        <v>0.99982789999999999</v>
      </c>
      <c r="N402">
        <v>-1.436871E-2</v>
      </c>
      <c r="O402">
        <v>1.174129E-2</v>
      </c>
      <c r="P402">
        <v>0.99724769999999896</v>
      </c>
      <c r="Q402">
        <v>-7.3161530000000002E-2</v>
      </c>
      <c r="R402">
        <v>1.202013E-2</v>
      </c>
      <c r="S402">
        <v>3.0018919999999998</v>
      </c>
      <c r="T402">
        <v>-0.1057546</v>
      </c>
      <c r="U402">
        <v>-0.1156616</v>
      </c>
      <c r="V402">
        <v>-3.2541729999999999E-4</v>
      </c>
      <c r="W402">
        <v>-5.8823689999999998E-2</v>
      </c>
      <c r="X402">
        <v>0.9982683</v>
      </c>
      <c r="Y402">
        <v>5.0185800000000003E-2</v>
      </c>
      <c r="Z402">
        <v>-1.4890229999999999E-3</v>
      </c>
      <c r="AA402">
        <v>0.99873880000000004</v>
      </c>
      <c r="AB402">
        <v>27</v>
      </c>
      <c r="AC402">
        <v>30.198</v>
      </c>
      <c r="AD402">
        <v>-1.0711661164320001</v>
      </c>
      <c r="AE402">
        <v>-1.1740000000000299</v>
      </c>
      <c r="AF402">
        <v>1.5266012098684401</v>
      </c>
      <c r="AG402">
        <v>-1.0711661164320001</v>
      </c>
      <c r="AH402">
        <v>30.1442613497066</v>
      </c>
      <c r="AI402">
        <v>92.032527225975201</v>
      </c>
      <c r="AJ402">
        <v>87.100836440351102</v>
      </c>
      <c r="AK402">
        <v>30.201893987337598</v>
      </c>
      <c r="AL402">
        <v>93.372296016586105</v>
      </c>
      <c r="AM402">
        <v>90.018677380830496</v>
      </c>
      <c r="AN402">
        <v>0.99999996559326199</v>
      </c>
    </row>
    <row r="403" spans="1:40" x14ac:dyDescent="0.25">
      <c r="A403" t="str">
        <f>"20190303153750381"</f>
        <v>20190303153750381</v>
      </c>
      <c r="B403" t="str">
        <f>"1551598670369078"</f>
        <v>1551598670369078</v>
      </c>
      <c r="C403" t="s">
        <v>40</v>
      </c>
      <c r="D403">
        <v>4.2508499999999998</v>
      </c>
      <c r="E403">
        <v>0.51926110000000003</v>
      </c>
      <c r="F403" t="s">
        <v>42</v>
      </c>
      <c r="G403">
        <v>-399.23360000000002</v>
      </c>
      <c r="H403" s="1">
        <v>-1.0543790000000001E-6</v>
      </c>
      <c r="I403">
        <v>366.58139999999997</v>
      </c>
      <c r="J403">
        <v>-429.0729</v>
      </c>
      <c r="K403">
        <v>1.0711409999999999</v>
      </c>
      <c r="L403">
        <v>367.75150000000002</v>
      </c>
      <c r="M403">
        <v>0.99982789999999999</v>
      </c>
      <c r="N403">
        <v>-1.443558E-2</v>
      </c>
      <c r="O403">
        <v>1.165413E-2</v>
      </c>
      <c r="P403">
        <v>0.99723729999999999</v>
      </c>
      <c r="Q403">
        <v>-7.3285619999999996E-2</v>
      </c>
      <c r="R403">
        <v>1.2130510000000001E-2</v>
      </c>
      <c r="S403">
        <v>3.0018009999999999</v>
      </c>
      <c r="T403">
        <v>-0.1071081</v>
      </c>
      <c r="U403">
        <v>-0.1167908</v>
      </c>
      <c r="V403">
        <v>-5.2343620000000002E-4</v>
      </c>
      <c r="W403">
        <v>-5.8881080000000002E-2</v>
      </c>
      <c r="X403">
        <v>0.99826479999999995</v>
      </c>
      <c r="Y403">
        <v>5.047368E-2</v>
      </c>
      <c r="Z403">
        <v>-1.511905E-3</v>
      </c>
      <c r="AA403">
        <v>0.99872419999999995</v>
      </c>
      <c r="AB403">
        <v>27</v>
      </c>
      <c r="AC403">
        <v>29.839299999999898</v>
      </c>
      <c r="AD403">
        <v>-1.071142054379</v>
      </c>
      <c r="AE403">
        <v>-1.1701000000000401</v>
      </c>
      <c r="AF403">
        <v>1.5158575048395599</v>
      </c>
      <c r="AG403">
        <v>-1.071142054379</v>
      </c>
      <c r="AH403">
        <v>29.785312906257001</v>
      </c>
      <c r="AI403">
        <v>92.056928535655501</v>
      </c>
      <c r="AJ403">
        <v>87.086571850333897</v>
      </c>
      <c r="AK403">
        <v>29.843090225365</v>
      </c>
      <c r="AL403">
        <v>93.375590040167296</v>
      </c>
      <c r="AM403">
        <v>90.030042812644297</v>
      </c>
      <c r="AN403">
        <v>0.999999933243228</v>
      </c>
    </row>
    <row r="404" spans="1:40" x14ac:dyDescent="0.25">
      <c r="A404" t="str">
        <f>"20190303153750401"</f>
        <v>20190303153750401</v>
      </c>
      <c r="B404" t="str">
        <f>"1551598670389574"</f>
        <v>1551598670389574</v>
      </c>
      <c r="C404" t="s">
        <v>40</v>
      </c>
      <c r="D404">
        <v>4.2636810000000001</v>
      </c>
      <c r="E404">
        <v>0.5192232</v>
      </c>
      <c r="F404" t="s">
        <v>42</v>
      </c>
      <c r="G404">
        <v>-398.94470000000001</v>
      </c>
      <c r="H404" s="1">
        <v>-1.1531490000000001E-6</v>
      </c>
      <c r="I404">
        <v>366.57960000000003</v>
      </c>
      <c r="J404">
        <v>-428.83780000000002</v>
      </c>
      <c r="K404">
        <v>1.071118</v>
      </c>
      <c r="L404">
        <v>367.75409999999999</v>
      </c>
      <c r="M404">
        <v>0.9998281</v>
      </c>
      <c r="N404">
        <v>-1.4512860000000001E-2</v>
      </c>
      <c r="O404">
        <v>1.1540730000000001E-2</v>
      </c>
      <c r="P404">
        <v>0.99717040000000001</v>
      </c>
      <c r="Q404">
        <v>-7.4021149999999994E-2</v>
      </c>
      <c r="R404">
        <v>1.3119219999999999E-2</v>
      </c>
      <c r="S404">
        <v>3.0019230000000001</v>
      </c>
      <c r="T404">
        <v>-0.1067264</v>
      </c>
      <c r="U404">
        <v>-0.1167603</v>
      </c>
      <c r="V404">
        <v>-1.6253350000000001E-3</v>
      </c>
      <c r="W404">
        <v>-5.9539889999999998E-2</v>
      </c>
      <c r="X404">
        <v>0.99822460000000002</v>
      </c>
      <c r="Y404">
        <v>5.0349100000000001E-2</v>
      </c>
      <c r="Z404">
        <v>-1.5027160000000001E-3</v>
      </c>
      <c r="AA404">
        <v>0.99873049999999997</v>
      </c>
      <c r="AB404">
        <v>27</v>
      </c>
      <c r="AC404">
        <v>29.8931</v>
      </c>
      <c r="AD404">
        <v>-1.0711191531489901</v>
      </c>
      <c r="AE404">
        <v>-1.1744999999999599</v>
      </c>
      <c r="AF404">
        <v>1.5175009643361499</v>
      </c>
      <c r="AG404">
        <v>-1.0711191531489901</v>
      </c>
      <c r="AH404">
        <v>29.839300945698799</v>
      </c>
      <c r="AI404">
        <v>92.0531701286735</v>
      </c>
      <c r="AJ404">
        <v>87.088686490080505</v>
      </c>
      <c r="AK404">
        <v>29.897056482954799</v>
      </c>
      <c r="AL404">
        <v>93.413403203787993</v>
      </c>
      <c r="AM404">
        <v>90.093290381242795</v>
      </c>
      <c r="AN404">
        <v>0.99999999613011703</v>
      </c>
    </row>
    <row r="405" spans="1:40" x14ac:dyDescent="0.25">
      <c r="A405" t="str">
        <f>"20190303153750421"</f>
        <v>20190303153750421</v>
      </c>
      <c r="B405" t="str">
        <f>"1551598670409094"</f>
        <v>1551598670409094</v>
      </c>
      <c r="C405" t="s">
        <v>40</v>
      </c>
      <c r="D405">
        <v>4.1868939999999997</v>
      </c>
      <c r="E405">
        <v>0.51903739999999998</v>
      </c>
      <c r="F405" t="s">
        <v>42</v>
      </c>
      <c r="G405">
        <v>-399.00420000000003</v>
      </c>
      <c r="H405" s="1">
        <v>-1.1197019999999999E-6</v>
      </c>
      <c r="I405">
        <v>366.62920000000003</v>
      </c>
      <c r="J405">
        <v>-428.596</v>
      </c>
      <c r="K405">
        <v>1.0711079999999999</v>
      </c>
      <c r="L405">
        <v>367.75670000000002</v>
      </c>
      <c r="M405">
        <v>0.99982850000000001</v>
      </c>
      <c r="N405">
        <v>-1.458125E-2</v>
      </c>
      <c r="O405">
        <v>1.1424119999999999E-2</v>
      </c>
      <c r="P405">
        <v>0.99714270000000005</v>
      </c>
      <c r="Q405">
        <v>-7.4173820000000001E-2</v>
      </c>
      <c r="R405">
        <v>1.4317710000000001E-2</v>
      </c>
      <c r="S405">
        <v>3.002014</v>
      </c>
      <c r="T405">
        <v>-0.10778160000000001</v>
      </c>
      <c r="U405">
        <v>-0.1131897</v>
      </c>
      <c r="V405">
        <v>-2.9409560000000002E-3</v>
      </c>
      <c r="W405">
        <v>-5.9624099999999999E-2</v>
      </c>
      <c r="X405">
        <v>0.99821660000000001</v>
      </c>
      <c r="Y405">
        <v>4.904559E-2</v>
      </c>
      <c r="Z405">
        <v>-1.481139E-3</v>
      </c>
      <c r="AA405">
        <v>0.9987954</v>
      </c>
      <c r="AB405">
        <v>27</v>
      </c>
      <c r="AC405">
        <v>29.5917999999999</v>
      </c>
      <c r="AD405">
        <v>-1.071109119702</v>
      </c>
      <c r="AE405">
        <v>-1.12749999999999</v>
      </c>
      <c r="AF405">
        <v>1.4636078166458599</v>
      </c>
      <c r="AG405">
        <v>-1.071109119702</v>
      </c>
      <c r="AH405">
        <v>29.538342558812499</v>
      </c>
      <c r="AI405">
        <v>92.074187314069604</v>
      </c>
      <c r="AJ405">
        <v>87.163347158031399</v>
      </c>
      <c r="AK405">
        <v>29.5939707323808</v>
      </c>
      <c r="AL405">
        <v>93.418236547350503</v>
      </c>
      <c r="AM405">
        <v>90.168804925692697</v>
      </c>
      <c r="AN405">
        <v>1.0000000315192801</v>
      </c>
    </row>
    <row r="406" spans="1:40" x14ac:dyDescent="0.25">
      <c r="A406" t="str">
        <f>"20190303153750435"</f>
        <v>20190303153750435</v>
      </c>
      <c r="B406" t="str">
        <f>"1551598670429590"</f>
        <v>1551598670429590</v>
      </c>
      <c r="C406" t="s">
        <v>40</v>
      </c>
      <c r="D406">
        <v>4.1790240000000001</v>
      </c>
      <c r="E406">
        <v>0.51805299999999999</v>
      </c>
      <c r="F406" t="s">
        <v>42</v>
      </c>
      <c r="G406">
        <v>-397.57639999999998</v>
      </c>
      <c r="H406" s="1">
        <v>-1.60248799999999E-6</v>
      </c>
      <c r="I406">
        <v>366.64089999999999</v>
      </c>
      <c r="J406">
        <v>-428.43700000000001</v>
      </c>
      <c r="K406">
        <v>1.0711040000000001</v>
      </c>
      <c r="L406">
        <v>367.75850000000003</v>
      </c>
      <c r="M406">
        <v>0.99982879999999996</v>
      </c>
      <c r="N406">
        <v>-1.462101E-2</v>
      </c>
      <c r="O406">
        <v>1.134724E-2</v>
      </c>
      <c r="P406">
        <v>0.99713949999999996</v>
      </c>
      <c r="Q406">
        <v>-7.4044529999999997E-2</v>
      </c>
      <c r="R406">
        <v>1.517425E-2</v>
      </c>
      <c r="S406">
        <v>3.00238</v>
      </c>
      <c r="T406">
        <v>-0.1036724</v>
      </c>
      <c r="U406">
        <v>-0.10800170000000001</v>
      </c>
      <c r="V406">
        <v>-3.873928E-3</v>
      </c>
      <c r="W406">
        <v>-5.9454800000000002E-2</v>
      </c>
      <c r="X406">
        <v>0.99822350000000004</v>
      </c>
      <c r="Y406">
        <v>4.7245290000000002E-2</v>
      </c>
      <c r="Z406">
        <v>-1.3866110000000001E-3</v>
      </c>
      <c r="AA406">
        <v>0.99888239999999995</v>
      </c>
      <c r="AB406">
        <v>27</v>
      </c>
      <c r="AC406">
        <v>30.860599999999899</v>
      </c>
      <c r="AD406">
        <v>-1.0711056024879999</v>
      </c>
      <c r="AE406">
        <v>-1.1176000000000299</v>
      </c>
      <c r="AF406">
        <v>1.4659844088179801</v>
      </c>
      <c r="AG406">
        <v>-1.0711056024879999</v>
      </c>
      <c r="AH406">
        <v>30.808864819488999</v>
      </c>
      <c r="AI406">
        <v>91.988903158621994</v>
      </c>
      <c r="AJ406">
        <v>87.275738219982401</v>
      </c>
      <c r="AK406">
        <v>30.862315677280701</v>
      </c>
      <c r="AL406">
        <v>93.408519178286596</v>
      </c>
      <c r="AM406">
        <v>90.222353621460499</v>
      </c>
      <c r="AN406">
        <v>1.0000000182567099</v>
      </c>
    </row>
    <row r="407" spans="1:40" x14ac:dyDescent="0.25">
      <c r="A407" t="str">
        <f>"20190303153750448"</f>
        <v>20190303153750448</v>
      </c>
      <c r="B407" t="str">
        <f>"1551598670439350"</f>
        <v>1551598670439350</v>
      </c>
      <c r="C407" t="s">
        <v>40</v>
      </c>
      <c r="D407">
        <v>4.1811410000000002</v>
      </c>
      <c r="E407">
        <v>0.5175729</v>
      </c>
      <c r="F407" t="s">
        <v>42</v>
      </c>
      <c r="G407">
        <v>-395.4237</v>
      </c>
      <c r="H407" s="1">
        <v>-2.4654079999999999E-6</v>
      </c>
      <c r="I407">
        <v>366.68540000000002</v>
      </c>
      <c r="J407">
        <v>-428.26799999999997</v>
      </c>
      <c r="K407">
        <v>1.071105</v>
      </c>
      <c r="L407">
        <v>367.76029999999997</v>
      </c>
      <c r="M407">
        <v>0.99982910000000003</v>
      </c>
      <c r="N407">
        <v>-1.4659470000000001E-2</v>
      </c>
      <c r="O407">
        <v>1.126578E-2</v>
      </c>
      <c r="P407">
        <v>0.99715659999999895</v>
      </c>
      <c r="Q407">
        <v>-7.3634030000000003E-2</v>
      </c>
      <c r="R407">
        <v>1.6027880000000001E-2</v>
      </c>
      <c r="S407">
        <v>3.002869</v>
      </c>
      <c r="T407">
        <v>-9.7427130000000001E-2</v>
      </c>
      <c r="U407">
        <v>-9.7595210000000002E-2</v>
      </c>
      <c r="V407">
        <v>-4.8084240000000004E-3</v>
      </c>
      <c r="W407">
        <v>-5.9005290000000002E-2</v>
      </c>
      <c r="X407">
        <v>0.99824610000000003</v>
      </c>
      <c r="Y407">
        <v>4.3707339999999997E-2</v>
      </c>
      <c r="Z407">
        <v>-1.2294960000000001E-3</v>
      </c>
      <c r="AA407">
        <v>0.99904360000000003</v>
      </c>
      <c r="AB407">
        <v>27</v>
      </c>
      <c r="AC407">
        <v>32.844299999999997</v>
      </c>
      <c r="AD407">
        <v>-1.0711074654079999</v>
      </c>
      <c r="AE407">
        <v>-1.07489999999995</v>
      </c>
      <c r="AF407">
        <v>1.4433547894896901</v>
      </c>
      <c r="AG407">
        <v>-1.0711074654079999</v>
      </c>
      <c r="AH407">
        <v>32.795263200633102</v>
      </c>
      <c r="AI407">
        <v>91.868832183112303</v>
      </c>
      <c r="AJ407">
        <v>87.479977382503904</v>
      </c>
      <c r="AK407">
        <v>32.8444794851372</v>
      </c>
      <c r="AL407">
        <v>93.382718882275299</v>
      </c>
      <c r="AM407">
        <v>90.275984319477601</v>
      </c>
      <c r="AN407">
        <v>1.00000001067727</v>
      </c>
    </row>
    <row r="408" spans="1:40" x14ac:dyDescent="0.25">
      <c r="A408" t="str">
        <f>"20190303153750467"</f>
        <v>20190303153750467</v>
      </c>
      <c r="B408" t="str">
        <f>"1551598670459846"</f>
        <v>1551598670459846</v>
      </c>
      <c r="C408" t="s">
        <v>40</v>
      </c>
      <c r="D408">
        <v>4.1883049999999997</v>
      </c>
      <c r="E408">
        <v>0.51672819999999997</v>
      </c>
      <c r="F408" t="s">
        <v>42</v>
      </c>
      <c r="G408">
        <v>-393.84989999999999</v>
      </c>
      <c r="H408" s="1">
        <v>-3.135911E-6</v>
      </c>
      <c r="I408">
        <v>366.71159999999998</v>
      </c>
      <c r="J408">
        <v>-428.05410000000001</v>
      </c>
      <c r="K408">
        <v>1.071102</v>
      </c>
      <c r="L408">
        <v>367.76260000000002</v>
      </c>
      <c r="M408">
        <v>0.99982959999999999</v>
      </c>
      <c r="N408">
        <v>-1.4701519999999999E-2</v>
      </c>
      <c r="O408">
        <v>1.1162419999999999E-2</v>
      </c>
      <c r="P408">
        <v>0.99716649999999996</v>
      </c>
      <c r="Q408">
        <v>-7.3234679999999996E-2</v>
      </c>
      <c r="R408">
        <v>1.7201939999999999E-2</v>
      </c>
      <c r="S408">
        <v>3.003082</v>
      </c>
      <c r="T408">
        <v>-9.3457100000000001E-2</v>
      </c>
      <c r="U408">
        <v>-9.1491699999999995E-2</v>
      </c>
      <c r="V408">
        <v>-6.0852129999999999E-3</v>
      </c>
      <c r="W408">
        <v>-5.8563320000000002E-2</v>
      </c>
      <c r="X408">
        <v>0.99826510000000002</v>
      </c>
      <c r="Y408">
        <v>4.157723E-2</v>
      </c>
      <c r="Z408">
        <v>-1.135638E-3</v>
      </c>
      <c r="AA408">
        <v>0.99913470000000004</v>
      </c>
      <c r="AB408">
        <v>27</v>
      </c>
      <c r="AC408">
        <v>34.2042</v>
      </c>
      <c r="AD408">
        <v>-1.071105135911</v>
      </c>
      <c r="AE408">
        <v>-1.0510000000000399</v>
      </c>
      <c r="AF408">
        <v>1.4313751010053799</v>
      </c>
      <c r="AG408">
        <v>-1.071105135911</v>
      </c>
      <c r="AH408">
        <v>34.156871915986301</v>
      </c>
      <c r="AI408">
        <v>91.794541885080704</v>
      </c>
      <c r="AJ408">
        <v>87.600371726121693</v>
      </c>
      <c r="AK408">
        <v>34.203625538487103</v>
      </c>
      <c r="AL408">
        <v>93.357352200251398</v>
      </c>
      <c r="AM408">
        <v>90.349258632696205</v>
      </c>
      <c r="AN408">
        <v>0.99999995107234196</v>
      </c>
    </row>
    <row r="409" spans="1:40" x14ac:dyDescent="0.25">
      <c r="A409" t="str">
        <f>"20190303153750480"</f>
        <v>20190303153750480</v>
      </c>
      <c r="B409" t="str">
        <f>"1551598670469606"</f>
        <v>1551598670469606</v>
      </c>
      <c r="C409" t="s">
        <v>40</v>
      </c>
      <c r="D409">
        <v>4.1837900000000001</v>
      </c>
      <c r="E409">
        <v>0.51632939999999905</v>
      </c>
      <c r="F409" t="s">
        <v>42</v>
      </c>
      <c r="G409">
        <v>-391.25659999999999</v>
      </c>
      <c r="H409" s="1">
        <v>-4.2375870000000002E-6</v>
      </c>
      <c r="I409">
        <v>366.77280000000002</v>
      </c>
      <c r="J409">
        <v>-427.89510000000001</v>
      </c>
      <c r="K409">
        <v>1.0711040000000001</v>
      </c>
      <c r="L409">
        <v>367.76429999999999</v>
      </c>
      <c r="M409">
        <v>0.99983010000000005</v>
      </c>
      <c r="N409">
        <v>-1.472885E-2</v>
      </c>
      <c r="O409">
        <v>1.1085569999999999E-2</v>
      </c>
      <c r="P409">
        <v>0.9971641</v>
      </c>
      <c r="Q409">
        <v>-7.3199440000000005E-2</v>
      </c>
      <c r="R409">
        <v>1.7480180000000001E-2</v>
      </c>
      <c r="S409">
        <v>3.003479</v>
      </c>
      <c r="T409">
        <v>-8.7425470000000005E-2</v>
      </c>
      <c r="U409">
        <v>-8.0780030000000003E-2</v>
      </c>
      <c r="V409">
        <v>-6.4398629999999997E-3</v>
      </c>
      <c r="W409">
        <v>-5.8500730000000001E-2</v>
      </c>
      <c r="X409">
        <v>0.9982666</v>
      </c>
      <c r="Y409">
        <v>3.7941540000000003E-2</v>
      </c>
      <c r="Z409">
        <v>-9.9088160000000008E-4</v>
      </c>
      <c r="AA409">
        <v>0.99927949999999999</v>
      </c>
      <c r="AB409">
        <v>27</v>
      </c>
      <c r="AC409">
        <v>36.638500000000001</v>
      </c>
      <c r="AD409">
        <v>-1.071108237587</v>
      </c>
      <c r="AE409">
        <v>-0.99149999999997296</v>
      </c>
      <c r="AF409">
        <v>1.3964491597063899</v>
      </c>
      <c r="AG409">
        <v>-1.071108237587</v>
      </c>
      <c r="AH409">
        <v>36.5940032601764</v>
      </c>
      <c r="AI409">
        <v>91.6753528305358</v>
      </c>
      <c r="AJ409">
        <v>87.814619010644705</v>
      </c>
      <c r="AK409">
        <v>36.636299181523199</v>
      </c>
      <c r="AL409">
        <v>93.3537597140527</v>
      </c>
      <c r="AM409">
        <v>90.369612538598005</v>
      </c>
      <c r="AN409">
        <v>1.0000000059607701</v>
      </c>
    </row>
    <row r="410" spans="1:40" x14ac:dyDescent="0.25">
      <c r="A410" t="str">
        <f>"20190303153750493"</f>
        <v>20190303153750493</v>
      </c>
      <c r="B410" t="str">
        <f>"1551598670489126"</f>
        <v>1551598670489126</v>
      </c>
      <c r="C410" t="s">
        <v>40</v>
      </c>
      <c r="D410">
        <v>4.1914429999999996</v>
      </c>
      <c r="E410">
        <v>0.51563349999999997</v>
      </c>
      <c r="F410" t="s">
        <v>42</v>
      </c>
      <c r="G410">
        <v>-390.09559999999999</v>
      </c>
      <c r="H410" s="1">
        <v>-4.7312700000000004E-6</v>
      </c>
      <c r="I410">
        <v>366.79750000000001</v>
      </c>
      <c r="J410">
        <v>-427.74470000000002</v>
      </c>
      <c r="K410">
        <v>1.0711040000000001</v>
      </c>
      <c r="L410">
        <v>367.76580000000001</v>
      </c>
      <c r="M410">
        <v>0.99983049999999996</v>
      </c>
      <c r="N410">
        <v>-1.475284E-2</v>
      </c>
      <c r="O410">
        <v>1.101298E-2</v>
      </c>
      <c r="P410">
        <v>0.99716839999999995</v>
      </c>
      <c r="Q410">
        <v>-7.3062440000000006E-2</v>
      </c>
      <c r="R410">
        <v>1.7806450000000001E-2</v>
      </c>
      <c r="S410">
        <v>3.0036010000000002</v>
      </c>
      <c r="T410">
        <v>-8.5111500000000007E-2</v>
      </c>
      <c r="U410">
        <v>-7.6812740000000004E-2</v>
      </c>
      <c r="V410">
        <v>-6.8378719999999896E-3</v>
      </c>
      <c r="W410">
        <v>-5.833957E-2</v>
      </c>
      <c r="X410">
        <v>0.99827339999999998</v>
      </c>
      <c r="Y410">
        <v>3.6550899999999997E-2</v>
      </c>
      <c r="Z410">
        <v>-9.3695499999999995E-4</v>
      </c>
      <c r="AA410">
        <v>0.99933139999999998</v>
      </c>
      <c r="AB410">
        <v>27</v>
      </c>
      <c r="AC410">
        <v>37.649099999999997</v>
      </c>
      <c r="AD410">
        <v>-1.0711087312700001</v>
      </c>
      <c r="AE410">
        <v>-0.96829999999999905</v>
      </c>
      <c r="AF410">
        <v>1.3817975129767299</v>
      </c>
      <c r="AG410">
        <v>-1.0711087312700001</v>
      </c>
      <c r="AH410">
        <v>37.6057336644364</v>
      </c>
      <c r="AI410">
        <v>91.630391495185805</v>
      </c>
      <c r="AJ410">
        <v>87.895651649706394</v>
      </c>
      <c r="AK410">
        <v>37.646352316281501</v>
      </c>
      <c r="AL410">
        <v>93.344510076616501</v>
      </c>
      <c r="AM410">
        <v>90.392452688189096</v>
      </c>
      <c r="AN410">
        <v>1.00000002153441</v>
      </c>
    </row>
    <row r="411" spans="1:40" x14ac:dyDescent="0.25">
      <c r="A411" t="str">
        <f>"20190303153750510"</f>
        <v>20190303153750510</v>
      </c>
      <c r="B411" t="str">
        <f>"1551598670499862"</f>
        <v>1551598670499862</v>
      </c>
      <c r="C411" t="s">
        <v>40</v>
      </c>
      <c r="D411">
        <v>4.1885009999999996</v>
      </c>
      <c r="E411">
        <v>0.51534619999999998</v>
      </c>
      <c r="F411" t="s">
        <v>42</v>
      </c>
      <c r="G411">
        <v>-387.9778</v>
      </c>
      <c r="H411" s="1">
        <v>-1.4143609999999999E-6</v>
      </c>
      <c r="I411">
        <v>366.83449999999999</v>
      </c>
      <c r="J411">
        <v>-427.53469999999999</v>
      </c>
      <c r="K411">
        <v>1.0711040000000001</v>
      </c>
      <c r="L411">
        <v>367.76799999999997</v>
      </c>
      <c r="M411">
        <v>0.99983120000000003</v>
      </c>
      <c r="N411">
        <v>-1.478231E-2</v>
      </c>
      <c r="O411">
        <v>1.091167E-2</v>
      </c>
      <c r="P411">
        <v>0.9971989</v>
      </c>
      <c r="Q411">
        <v>-7.2722729999999999E-2</v>
      </c>
      <c r="R411">
        <v>1.749562E-2</v>
      </c>
      <c r="S411">
        <v>3.0038450000000001</v>
      </c>
      <c r="T411">
        <v>-8.0907339999999994E-2</v>
      </c>
      <c r="U411">
        <v>-7.0343020000000006E-2</v>
      </c>
      <c r="V411">
        <v>-6.628091E-3</v>
      </c>
      <c r="W411">
        <v>-5.7970140000000003E-2</v>
      </c>
      <c r="X411">
        <v>0.99829630000000003</v>
      </c>
      <c r="Y411">
        <v>3.4299660000000003E-2</v>
      </c>
      <c r="Z411">
        <v>-8.4795300000000003E-4</v>
      </c>
      <c r="AA411">
        <v>0.99941120000000006</v>
      </c>
      <c r="AB411">
        <v>26</v>
      </c>
      <c r="AC411">
        <v>39.556899999999899</v>
      </c>
      <c r="AD411">
        <v>-1.0711054143609999</v>
      </c>
      <c r="AE411">
        <v>-0.93350000000003697</v>
      </c>
      <c r="AF411">
        <v>1.3641238037955099</v>
      </c>
      <c r="AG411">
        <v>-1.0711054143609999</v>
      </c>
      <c r="AH411">
        <v>39.515400948711203</v>
      </c>
      <c r="AI411">
        <v>91.551756686812098</v>
      </c>
      <c r="AJ411">
        <v>88.022859207824396</v>
      </c>
      <c r="AK411">
        <v>39.553445016814401</v>
      </c>
      <c r="AL411">
        <v>93.323307532556001</v>
      </c>
      <c r="AM411">
        <v>90.380404155059907</v>
      </c>
      <c r="AN411">
        <v>0.99999998565780601</v>
      </c>
    </row>
    <row r="412" spans="1:40" x14ac:dyDescent="0.25">
      <c r="A412" t="str">
        <f>"20190303153750523"</f>
        <v>20190303153750523</v>
      </c>
      <c r="B412" t="str">
        <f>"1551598670519383"</f>
        <v>1551598670519383</v>
      </c>
      <c r="C412" t="s">
        <v>40</v>
      </c>
      <c r="D412">
        <v>4.1957469999999999</v>
      </c>
      <c r="E412">
        <v>0.51473809999999998</v>
      </c>
      <c r="F412" t="s">
        <v>42</v>
      </c>
      <c r="G412">
        <v>-386.334</v>
      </c>
      <c r="H412" s="1">
        <v>-2.0511140000000001E-6</v>
      </c>
      <c r="I412">
        <v>366.81950000000001</v>
      </c>
      <c r="J412">
        <v>-427.39109999999999</v>
      </c>
      <c r="K412">
        <v>1.0711059999999999</v>
      </c>
      <c r="L412">
        <v>367.76949999999999</v>
      </c>
      <c r="M412">
        <v>0.99983169999999999</v>
      </c>
      <c r="N412">
        <v>-1.4799659999999999E-2</v>
      </c>
      <c r="O412">
        <v>1.084247E-2</v>
      </c>
      <c r="P412">
        <v>0.99721530000000003</v>
      </c>
      <c r="Q412">
        <v>-7.2578139999999999E-2</v>
      </c>
      <c r="R412">
        <v>1.7156640000000001E-2</v>
      </c>
      <c r="S412">
        <v>3.0039370000000001</v>
      </c>
      <c r="T412">
        <v>-7.8094010000000005E-2</v>
      </c>
      <c r="U412">
        <v>-6.9152829999999998E-2</v>
      </c>
      <c r="V412">
        <v>-6.3582450000000002E-3</v>
      </c>
      <c r="W412">
        <v>-5.7808140000000001E-2</v>
      </c>
      <c r="X412">
        <v>0.99830750000000001</v>
      </c>
      <c r="Y412">
        <v>3.3835459999999998E-2</v>
      </c>
      <c r="Z412">
        <v>-8.1152709999999996E-4</v>
      </c>
      <c r="AA412">
        <v>0.99942710000000001</v>
      </c>
      <c r="AB412">
        <v>26</v>
      </c>
      <c r="AC412">
        <v>41.057099999999899</v>
      </c>
      <c r="AD412">
        <v>-1.0711080511140001</v>
      </c>
      <c r="AE412">
        <v>-0.94999999999998797</v>
      </c>
      <c r="AF412">
        <v>1.39420489251688</v>
      </c>
      <c r="AG412">
        <v>-1.0711080511140001</v>
      </c>
      <c r="AH412">
        <v>41.016483848920899</v>
      </c>
      <c r="AI412">
        <v>91.495023985911303</v>
      </c>
      <c r="AJ412">
        <v>88.0531897322699</v>
      </c>
      <c r="AK412">
        <v>41.054147501419003</v>
      </c>
      <c r="AL412">
        <v>93.314009855882901</v>
      </c>
      <c r="AM412">
        <v>90.364913293591997</v>
      </c>
      <c r="AN412">
        <v>1.00000003644299</v>
      </c>
    </row>
    <row r="413" spans="1:40" x14ac:dyDescent="0.25">
      <c r="A413" t="str">
        <f>"20190303153750544"</f>
        <v>20190303153750544</v>
      </c>
      <c r="B413" t="str">
        <f>"1551598670539878"</f>
        <v>1551598670539878</v>
      </c>
      <c r="C413" t="s">
        <v>40</v>
      </c>
      <c r="D413">
        <v>4.2073349999999996</v>
      </c>
      <c r="E413">
        <v>0.514185</v>
      </c>
      <c r="F413" t="s">
        <v>42</v>
      </c>
      <c r="G413">
        <v>-384.1096</v>
      </c>
      <c r="H413" s="1">
        <v>-3.002857E-6</v>
      </c>
      <c r="I413">
        <v>366.8338</v>
      </c>
      <c r="J413">
        <v>-427.1354</v>
      </c>
      <c r="K413">
        <v>1.0711120000000001</v>
      </c>
      <c r="L413">
        <v>367.7722</v>
      </c>
      <c r="M413">
        <v>0.99983270000000002</v>
      </c>
      <c r="N413">
        <v>-1.4827140000000001E-2</v>
      </c>
      <c r="O413">
        <v>1.0719070000000001E-2</v>
      </c>
      <c r="P413">
        <v>0.99727909999999997</v>
      </c>
      <c r="Q413">
        <v>-7.1925299999999998E-2</v>
      </c>
      <c r="R413">
        <v>1.6172869999999999E-2</v>
      </c>
      <c r="S413">
        <v>3.004089</v>
      </c>
      <c r="T413">
        <v>-7.4343439999999997E-2</v>
      </c>
      <c r="U413">
        <v>-6.4941410000000005E-2</v>
      </c>
      <c r="V413">
        <v>-5.4963690000000001E-3</v>
      </c>
      <c r="W413">
        <v>-5.712739E-2</v>
      </c>
      <c r="X413">
        <v>0.99835180000000001</v>
      </c>
      <c r="Y413">
        <v>3.2312769999999998E-2</v>
      </c>
      <c r="Z413">
        <v>-7.4566399999999896E-4</v>
      </c>
      <c r="AA413">
        <v>0.99947750000000002</v>
      </c>
      <c r="AB413">
        <v>26</v>
      </c>
      <c r="AC413">
        <v>43.025799999999997</v>
      </c>
      <c r="AD413">
        <v>-1.071115002857</v>
      </c>
      <c r="AE413">
        <v>-0.93840000000000101</v>
      </c>
      <c r="AF413">
        <v>1.39872685859487</v>
      </c>
      <c r="AG413">
        <v>-1.071115002857</v>
      </c>
      <c r="AH413">
        <v>42.986639540508101</v>
      </c>
      <c r="AI413">
        <v>91.4266114040405</v>
      </c>
      <c r="AJ413">
        <v>88.136330706457301</v>
      </c>
      <c r="AK413">
        <v>43.0227254269168</v>
      </c>
      <c r="AL413">
        <v>93.274941200689398</v>
      </c>
      <c r="AM413">
        <v>90.315435465419498</v>
      </c>
      <c r="AN413">
        <v>1.0000000326618099</v>
      </c>
    </row>
    <row r="414" spans="1:40" x14ac:dyDescent="0.25">
      <c r="A414" t="str">
        <f>"20190303153750558"</f>
        <v>20190303153750558</v>
      </c>
      <c r="B414" t="str">
        <f>"1551598670549639"</f>
        <v>1551598670549639</v>
      </c>
      <c r="C414" t="s">
        <v>40</v>
      </c>
      <c r="D414">
        <v>4.2334250000000004</v>
      </c>
      <c r="E414">
        <v>0.51391909999999996</v>
      </c>
      <c r="F414" t="s">
        <v>42</v>
      </c>
      <c r="G414">
        <v>-380.92090000000002</v>
      </c>
      <c r="H414" s="1">
        <v>-4.3778200000000004E-6</v>
      </c>
      <c r="I414">
        <v>366.79419999999999</v>
      </c>
      <c r="J414">
        <v>-426.97140000000002</v>
      </c>
      <c r="K414">
        <v>1.0711139999999999</v>
      </c>
      <c r="L414">
        <v>367.77379999999999</v>
      </c>
      <c r="M414">
        <v>0.99983330000000004</v>
      </c>
      <c r="N414">
        <v>-1.4842030000000001E-2</v>
      </c>
      <c r="O414">
        <v>1.063998E-2</v>
      </c>
      <c r="P414">
        <v>0.99729590000000001</v>
      </c>
      <c r="Q414">
        <v>-7.1837369999999998E-2</v>
      </c>
      <c r="R414">
        <v>1.5508539999999999E-2</v>
      </c>
      <c r="S414">
        <v>3.004181</v>
      </c>
      <c r="T414">
        <v>-6.9627999999999995E-2</v>
      </c>
      <c r="U414">
        <v>-6.3568120000000006E-2</v>
      </c>
      <c r="V414">
        <v>-4.9108529999999997E-3</v>
      </c>
      <c r="W414">
        <v>-5.7024640000000001E-2</v>
      </c>
      <c r="X414">
        <v>0.99836069999999999</v>
      </c>
      <c r="Y414">
        <v>3.177837E-2</v>
      </c>
      <c r="Z414">
        <v>-6.9273830000000003E-4</v>
      </c>
      <c r="AA414">
        <v>0.99949469999999996</v>
      </c>
      <c r="AB414">
        <v>26</v>
      </c>
      <c r="AC414">
        <v>46.0505</v>
      </c>
      <c r="AD414">
        <v>-1.07111837782</v>
      </c>
      <c r="AE414">
        <v>-0.97960000000000402</v>
      </c>
      <c r="AF414">
        <v>1.4687806142872599</v>
      </c>
      <c r="AG414">
        <v>-1.07111837782</v>
      </c>
      <c r="AH414">
        <v>46.012586546212901</v>
      </c>
      <c r="AI414">
        <v>91.3328582122478</v>
      </c>
      <c r="AJ414">
        <v>88.171666270508297</v>
      </c>
      <c r="AK414">
        <v>46.048482404363199</v>
      </c>
      <c r="AL414">
        <v>93.269044531902495</v>
      </c>
      <c r="AM414">
        <v>90.281830886787006</v>
      </c>
      <c r="AN414">
        <v>1.0000000066743999</v>
      </c>
    </row>
    <row r="415" spans="1:40" x14ac:dyDescent="0.25">
      <c r="A415" t="str">
        <f>"20190303153750570"</f>
        <v>20190303153750570</v>
      </c>
      <c r="B415" t="str">
        <f>"1551598670559399"</f>
        <v>1551598670559399</v>
      </c>
      <c r="C415" t="s">
        <v>40</v>
      </c>
      <c r="D415">
        <v>4.2226710000000001</v>
      </c>
      <c r="E415">
        <v>0.51366920000000005</v>
      </c>
      <c r="F415" t="s">
        <v>42</v>
      </c>
      <c r="G415">
        <v>-379.47739999999999</v>
      </c>
      <c r="H415" s="1">
        <v>-9.2105149999999999E-7</v>
      </c>
      <c r="I415">
        <v>366.7706</v>
      </c>
      <c r="J415">
        <v>-426.83409999999998</v>
      </c>
      <c r="K415">
        <v>1.071115</v>
      </c>
      <c r="L415">
        <v>367.77519999999998</v>
      </c>
      <c r="M415">
        <v>0.99983379999999999</v>
      </c>
      <c r="N415">
        <v>-1.485359E-2</v>
      </c>
      <c r="O415">
        <v>1.05735E-2</v>
      </c>
      <c r="P415">
        <v>0.99733190000000005</v>
      </c>
      <c r="Q415">
        <v>-7.1440039999999996E-2</v>
      </c>
      <c r="R415">
        <v>1.501794E-2</v>
      </c>
      <c r="S415">
        <v>3.0042110000000002</v>
      </c>
      <c r="T415">
        <v>-6.7752839999999995E-2</v>
      </c>
      <c r="U415">
        <v>-6.3446039999999995E-2</v>
      </c>
      <c r="V415">
        <v>-4.4863170000000001E-3</v>
      </c>
      <c r="W415">
        <v>-5.6615470000000001E-2</v>
      </c>
      <c r="X415">
        <v>0.998386</v>
      </c>
      <c r="Y415">
        <v>3.1671789999999998E-2</v>
      </c>
      <c r="Z415">
        <v>-6.7373439999999997E-4</v>
      </c>
      <c r="AA415">
        <v>0.99949809999999994</v>
      </c>
      <c r="AB415">
        <v>26</v>
      </c>
      <c r="AC415">
        <v>47.356699999999897</v>
      </c>
      <c r="AD415">
        <v>-1.0711159210515</v>
      </c>
      <c r="AE415">
        <v>-1.00459999999998</v>
      </c>
      <c r="AF415">
        <v>1.50455578120401</v>
      </c>
      <c r="AG415">
        <v>-1.0711159210515</v>
      </c>
      <c r="AH415">
        <v>47.319232327924702</v>
      </c>
      <c r="AI415">
        <v>91.296068372036899</v>
      </c>
      <c r="AJ415">
        <v>88.178844851086495</v>
      </c>
      <c r="AK415">
        <v>47.355260800878298</v>
      </c>
      <c r="AL415">
        <v>93.245562832725597</v>
      </c>
      <c r="AM415">
        <v>90.257460841364406</v>
      </c>
      <c r="AN415">
        <v>1.00000002173977</v>
      </c>
    </row>
    <row r="416" spans="1:40" x14ac:dyDescent="0.25">
      <c r="A416" t="str">
        <f>"20190303153750583"</f>
        <v>20190303153750583</v>
      </c>
      <c r="B416" t="str">
        <f>"1551598670579895"</f>
        <v>1551598670579895</v>
      </c>
      <c r="C416" t="s">
        <v>40</v>
      </c>
      <c r="D416">
        <v>4.2174189999999996</v>
      </c>
      <c r="E416">
        <v>0.5132388</v>
      </c>
      <c r="F416" t="s">
        <v>42</v>
      </c>
      <c r="G416">
        <v>-377.5847</v>
      </c>
      <c r="H416" s="1">
        <v>-1.5721050000000001E-6</v>
      </c>
      <c r="I416">
        <v>366.74450000000002</v>
      </c>
      <c r="J416">
        <v>-426.67070000000001</v>
      </c>
      <c r="K416">
        <v>1.0711189999999999</v>
      </c>
      <c r="L416">
        <v>367.77690000000001</v>
      </c>
      <c r="M416">
        <v>0.99983449999999996</v>
      </c>
      <c r="N416">
        <v>-1.486526E-2</v>
      </c>
      <c r="O416">
        <v>1.049456E-2</v>
      </c>
      <c r="P416">
        <v>0.99732509999999996</v>
      </c>
      <c r="Q416">
        <v>-7.1610380000000001E-2</v>
      </c>
      <c r="R416">
        <v>1.4659429999999999E-2</v>
      </c>
      <c r="S416">
        <v>3.0042719999999998</v>
      </c>
      <c r="T416">
        <v>-6.5339330000000001E-2</v>
      </c>
      <c r="U416">
        <v>-6.2866210000000006E-2</v>
      </c>
      <c r="V416">
        <v>-4.2063509999999997E-3</v>
      </c>
      <c r="W416">
        <v>-5.6774360000000003E-2</v>
      </c>
      <c r="X416">
        <v>0.99837819999999999</v>
      </c>
      <c r="Y416">
        <v>3.1400549999999999E-2</v>
      </c>
      <c r="Z416">
        <v>-6.4706529999999896E-4</v>
      </c>
      <c r="AA416">
        <v>0.99950669999999997</v>
      </c>
      <c r="AB416">
        <v>26</v>
      </c>
      <c r="AC416">
        <v>49.085999999999999</v>
      </c>
      <c r="AD416">
        <v>-1.0711205721049999</v>
      </c>
      <c r="AE416">
        <v>-1.03239999999999</v>
      </c>
      <c r="AF416">
        <v>1.5467997828908999</v>
      </c>
      <c r="AG416">
        <v>-1.0711205721049999</v>
      </c>
      <c r="AH416">
        <v>49.049115127535501</v>
      </c>
      <c r="AI416">
        <v>91.250388631494602</v>
      </c>
      <c r="AJ416">
        <v>88.193734233392703</v>
      </c>
      <c r="AK416">
        <v>49.085187008328397</v>
      </c>
      <c r="AL416">
        <v>93.254681212232398</v>
      </c>
      <c r="AM416">
        <v>90.241396229844398</v>
      </c>
      <c r="AN416">
        <v>1.0000000257886901</v>
      </c>
    </row>
    <row r="417" spans="1:40" x14ac:dyDescent="0.25">
      <c r="A417" t="str">
        <f>"20190303153750602"</f>
        <v>20190303153750602</v>
      </c>
      <c r="B417" t="str">
        <f>"1551598670589654"</f>
        <v>1551598670589654</v>
      </c>
      <c r="C417" t="s">
        <v>40</v>
      </c>
      <c r="D417">
        <v>4.2141520000000003</v>
      </c>
      <c r="E417">
        <v>0.51301009999999903</v>
      </c>
      <c r="F417" t="s">
        <v>42</v>
      </c>
      <c r="G417">
        <v>-375.91950000000003</v>
      </c>
      <c r="H417" s="1">
        <v>-2.2410350000000001E-6</v>
      </c>
      <c r="I417">
        <v>366.75139999999999</v>
      </c>
      <c r="J417">
        <v>-426.4658</v>
      </c>
      <c r="K417">
        <v>1.0711200000000001</v>
      </c>
      <c r="L417">
        <v>367.77890000000002</v>
      </c>
      <c r="M417">
        <v>0.99983540000000004</v>
      </c>
      <c r="N417">
        <v>-1.4878209999999999E-2</v>
      </c>
      <c r="O417">
        <v>1.039524E-2</v>
      </c>
      <c r="P417">
        <v>0.9972936</v>
      </c>
      <c r="Q417">
        <v>-7.22381E-2</v>
      </c>
      <c r="R417">
        <v>1.369749E-2</v>
      </c>
      <c r="S417">
        <v>3.0044249999999999</v>
      </c>
      <c r="T417">
        <v>-6.340933E-2</v>
      </c>
      <c r="U417">
        <v>-6.0699459999999997E-2</v>
      </c>
      <c r="V417">
        <v>-3.3440789999999998E-3</v>
      </c>
      <c r="W417">
        <v>-5.7389950000000002E-2</v>
      </c>
      <c r="X417">
        <v>0.99834619999999996</v>
      </c>
      <c r="Y417">
        <v>3.0580599999999999E-2</v>
      </c>
      <c r="Z417">
        <v>-6.1491140000000002E-4</v>
      </c>
      <c r="AA417">
        <v>0.99953210000000003</v>
      </c>
      <c r="AB417">
        <v>26</v>
      </c>
      <c r="AC417">
        <v>50.546299999999903</v>
      </c>
      <c r="AD417">
        <v>-1.0711222410349901</v>
      </c>
      <c r="AE417">
        <v>-1.0275000000000301</v>
      </c>
      <c r="AF417">
        <v>1.55224673382541</v>
      </c>
      <c r="AG417">
        <v>-1.0711222410349901</v>
      </c>
      <c r="AH417">
        <v>50.510213505288398</v>
      </c>
      <c r="AI417">
        <v>91.214262152716799</v>
      </c>
      <c r="AJ417">
        <v>88.239777692275297</v>
      </c>
      <c r="AK417">
        <v>50.5454096939349</v>
      </c>
      <c r="AL417">
        <v>93.290009733790299</v>
      </c>
      <c r="AM417">
        <v>90.191918290946205</v>
      </c>
      <c r="AN417">
        <v>0.99999996213989895</v>
      </c>
    </row>
    <row r="418" spans="1:40" x14ac:dyDescent="0.25">
      <c r="A418" t="str">
        <f>"20190303153750622"</f>
        <v>20190303153750622</v>
      </c>
      <c r="B418" t="str">
        <f>"1551598670618934"</f>
        <v>1551598670618934</v>
      </c>
      <c r="C418" t="s">
        <v>40</v>
      </c>
      <c r="D418">
        <v>4.2144050000000002</v>
      </c>
      <c r="E418">
        <v>0.51239259999999998</v>
      </c>
      <c r="F418" t="s">
        <v>42</v>
      </c>
      <c r="G418">
        <v>-376.5367</v>
      </c>
      <c r="H418" s="1">
        <v>-1.9762529999999998E-6</v>
      </c>
      <c r="I418">
        <v>366.75130000000001</v>
      </c>
      <c r="J418">
        <v>-426.22070000000002</v>
      </c>
      <c r="K418">
        <v>1.0711219999999999</v>
      </c>
      <c r="L418">
        <v>367.78129999999999</v>
      </c>
      <c r="M418">
        <v>0.99983639999999996</v>
      </c>
      <c r="N418">
        <v>-1.4891120000000001E-2</v>
      </c>
      <c r="O418">
        <v>1.0276540000000001E-2</v>
      </c>
      <c r="P418">
        <v>0.99722060000000001</v>
      </c>
      <c r="Q418">
        <v>-7.3351739999999999E-2</v>
      </c>
      <c r="R418">
        <v>1.307669E-2</v>
      </c>
      <c r="S418">
        <v>3.0043030000000002</v>
      </c>
      <c r="T418">
        <v>-6.4450859999999999E-2</v>
      </c>
      <c r="U418">
        <v>-6.1828609999999999E-2</v>
      </c>
      <c r="V418">
        <v>-2.842617E-3</v>
      </c>
      <c r="W418">
        <v>-5.8491899999999999E-2</v>
      </c>
      <c r="X418">
        <v>0.9982839</v>
      </c>
      <c r="Y418">
        <v>3.0837839999999998E-2</v>
      </c>
      <c r="Z418">
        <v>-6.2779480000000004E-4</v>
      </c>
      <c r="AA418">
        <v>0.99952419999999997</v>
      </c>
      <c r="AB418">
        <v>26</v>
      </c>
      <c r="AC418">
        <v>49.683999999999997</v>
      </c>
      <c r="AD418">
        <v>-1.0711239762529901</v>
      </c>
      <c r="AE418">
        <v>-1.0299999999999701</v>
      </c>
      <c r="AF418">
        <v>1.5398663951507601</v>
      </c>
      <c r="AG418">
        <v>-1.0711239762529901</v>
      </c>
      <c r="AH418">
        <v>49.6477245439755</v>
      </c>
      <c r="AI418">
        <v>91.235341209669201</v>
      </c>
      <c r="AJ418">
        <v>88.223492187081703</v>
      </c>
      <c r="AK418">
        <v>49.6831465134998</v>
      </c>
      <c r="AL418">
        <v>93.353252729940806</v>
      </c>
      <c r="AM418">
        <v>90.163149497528707</v>
      </c>
      <c r="AN418">
        <v>1.0000000639181099</v>
      </c>
    </row>
    <row r="419" spans="1:40" x14ac:dyDescent="0.25">
      <c r="A419" t="str">
        <f>"20190303153750636"</f>
        <v>20190303153750636</v>
      </c>
      <c r="B419" t="str">
        <f>"1551598670629671"</f>
        <v>1551598670629671</v>
      </c>
      <c r="C419" t="s">
        <v>40</v>
      </c>
      <c r="D419">
        <v>4.2056589999999998</v>
      </c>
      <c r="E419">
        <v>0.51221220000000001</v>
      </c>
      <c r="F419" t="s">
        <v>42</v>
      </c>
      <c r="G419">
        <v>-376.56760000000003</v>
      </c>
      <c r="H419" s="1">
        <v>-1.9535960000000001E-6</v>
      </c>
      <c r="I419">
        <v>366.80430000000001</v>
      </c>
      <c r="J419">
        <v>-426.06639999999999</v>
      </c>
      <c r="K419">
        <v>1.071124</v>
      </c>
      <c r="L419">
        <v>367.78280000000001</v>
      </c>
      <c r="M419">
        <v>0.99983699999999998</v>
      </c>
      <c r="N419">
        <v>-1.4897860000000001E-2</v>
      </c>
      <c r="O419">
        <v>1.020187E-2</v>
      </c>
      <c r="P419">
        <v>0.99720469999999894</v>
      </c>
      <c r="Q419">
        <v>-7.3635249999999999E-2</v>
      </c>
      <c r="R419">
        <v>1.267855E-2</v>
      </c>
      <c r="S419">
        <v>3.0043950000000001</v>
      </c>
      <c r="T419">
        <v>-6.4811229999999997E-2</v>
      </c>
      <c r="U419">
        <v>-5.911255E-2</v>
      </c>
      <c r="V419">
        <v>-2.51936E-3</v>
      </c>
      <c r="W419">
        <v>-5.8769040000000002E-2</v>
      </c>
      <c r="X419">
        <v>0.99826839999999994</v>
      </c>
      <c r="Y419">
        <v>2.9859589999999998E-2</v>
      </c>
      <c r="Z419">
        <v>-6.1255800000000003E-4</v>
      </c>
      <c r="AA419">
        <v>0.9995539</v>
      </c>
      <c r="AB419">
        <v>26</v>
      </c>
      <c r="AC419">
        <v>49.498799999999903</v>
      </c>
      <c r="AD419">
        <v>-1.0711259535959901</v>
      </c>
      <c r="AE419">
        <v>-0.97849999999999604</v>
      </c>
      <c r="AF419">
        <v>1.4827913574534299</v>
      </c>
      <c r="AG419">
        <v>-1.0711259535959901</v>
      </c>
      <c r="AH419">
        <v>49.463087064653301</v>
      </c>
      <c r="AI419">
        <v>91.239992592083695</v>
      </c>
      <c r="AJ419">
        <v>88.282916495016195</v>
      </c>
      <c r="AK419">
        <v>49.496898518833198</v>
      </c>
      <c r="AL419">
        <v>93.369159351293305</v>
      </c>
      <c r="AM419">
        <v>90.144598775852899</v>
      </c>
      <c r="AN419">
        <v>0.99999997283794495</v>
      </c>
    </row>
    <row r="420" spans="1:40" x14ac:dyDescent="0.25">
      <c r="A420" t="str">
        <f>"20190303153750648"</f>
        <v>20190303153750648</v>
      </c>
      <c r="B420" t="str">
        <f>"1551598670639431"</f>
        <v>1551598670639431</v>
      </c>
      <c r="C420" t="s">
        <v>40</v>
      </c>
      <c r="D420">
        <v>4.232615</v>
      </c>
      <c r="E420">
        <v>0.51202399999999904</v>
      </c>
      <c r="F420" t="s">
        <v>42</v>
      </c>
      <c r="G420">
        <v>-376.35239999999999</v>
      </c>
      <c r="H420" s="1">
        <v>-2.0448049999999998E-6</v>
      </c>
      <c r="I420">
        <v>366.81060000000002</v>
      </c>
      <c r="J420">
        <v>-425.91660000000002</v>
      </c>
      <c r="K420">
        <v>1.071121</v>
      </c>
      <c r="L420">
        <v>367.7842</v>
      </c>
      <c r="M420">
        <v>0.99983770000000005</v>
      </c>
      <c r="N420">
        <v>-1.4903660000000001E-2</v>
      </c>
      <c r="O420">
        <v>1.0129229999999999E-2</v>
      </c>
      <c r="P420">
        <v>0.99719420000000003</v>
      </c>
      <c r="Q420">
        <v>-7.3792839999999998E-2</v>
      </c>
      <c r="R420">
        <v>1.259621E-2</v>
      </c>
      <c r="S420">
        <v>3.0043329999999999</v>
      </c>
      <c r="T420">
        <v>-6.4730640000000006E-2</v>
      </c>
      <c r="U420">
        <v>-5.8746340000000001E-2</v>
      </c>
      <c r="V420">
        <v>-2.5098170000000001E-3</v>
      </c>
      <c r="W420">
        <v>-5.8920989999999999E-2</v>
      </c>
      <c r="X420">
        <v>0.99825949999999997</v>
      </c>
      <c r="Y420">
        <v>2.966568E-2</v>
      </c>
      <c r="Z420">
        <v>-6.0790650000000002E-4</v>
      </c>
      <c r="AA420">
        <v>0.99955970000000005</v>
      </c>
      <c r="AB420">
        <v>26</v>
      </c>
      <c r="AC420">
        <v>49.5642</v>
      </c>
      <c r="AD420">
        <v>-1.071123044805</v>
      </c>
      <c r="AE420">
        <v>-0.97359999999997604</v>
      </c>
      <c r="AF420">
        <v>1.47496436911811</v>
      </c>
      <c r="AG420">
        <v>-1.071123044805</v>
      </c>
      <c r="AH420">
        <v>49.528671448006797</v>
      </c>
      <c r="AI420">
        <v>91.2383550879334</v>
      </c>
      <c r="AJ420">
        <v>88.294235201818395</v>
      </c>
      <c r="AK420">
        <v>49.562204550159798</v>
      </c>
      <c r="AL420">
        <v>93.377880446503099</v>
      </c>
      <c r="AM420">
        <v>90.144052341553106</v>
      </c>
      <c r="AN420">
        <v>1.0000000057920999</v>
      </c>
    </row>
    <row r="421" spans="1:40" x14ac:dyDescent="0.25">
      <c r="A421" t="str">
        <f>"20190303153750662"</f>
        <v>20190303153750662</v>
      </c>
      <c r="B421" t="str">
        <f>"1551598670658950"</f>
        <v>1551598670658950</v>
      </c>
      <c r="C421" t="s">
        <v>40</v>
      </c>
      <c r="D421">
        <v>4.2444800000000003</v>
      </c>
      <c r="E421">
        <v>0.51166880000000003</v>
      </c>
      <c r="F421" t="s">
        <v>42</v>
      </c>
      <c r="G421">
        <v>-375.81670000000003</v>
      </c>
      <c r="H421" s="1">
        <v>-2.2725190000000002E-6</v>
      </c>
      <c r="I421">
        <v>366.82229999999998</v>
      </c>
      <c r="J421">
        <v>-425.75720000000001</v>
      </c>
      <c r="K421">
        <v>1.071124</v>
      </c>
      <c r="L421">
        <v>367.78579999999999</v>
      </c>
      <c r="M421">
        <v>0.99983840000000002</v>
      </c>
      <c r="N421">
        <v>-1.490881E-2</v>
      </c>
      <c r="O421">
        <v>1.005201E-2</v>
      </c>
      <c r="P421">
        <v>0.99718989999999996</v>
      </c>
      <c r="Q421">
        <v>-7.3874709999999996E-2</v>
      </c>
      <c r="R421">
        <v>1.2447089999999999E-2</v>
      </c>
      <c r="S421">
        <v>3.0044249999999999</v>
      </c>
      <c r="T421">
        <v>-6.4233899999999997E-2</v>
      </c>
      <c r="U421">
        <v>-5.7678220000000002E-2</v>
      </c>
      <c r="V421">
        <v>-2.437453E-3</v>
      </c>
      <c r="W421">
        <v>-5.8997819999999999E-2</v>
      </c>
      <c r="X421">
        <v>0.99825509999999995</v>
      </c>
      <c r="Y421">
        <v>2.9232979999999999E-2</v>
      </c>
      <c r="Z421">
        <v>-5.9543809999999895E-4</v>
      </c>
      <c r="AA421">
        <v>0.99957249999999997</v>
      </c>
      <c r="AB421">
        <v>26</v>
      </c>
      <c r="AC421">
        <v>49.940499999999901</v>
      </c>
      <c r="AD421">
        <v>-1.0711262725190001</v>
      </c>
      <c r="AE421">
        <v>-0.96350000000001002</v>
      </c>
      <c r="AF421">
        <v>1.4648358790718901</v>
      </c>
      <c r="AG421">
        <v>-1.0711262725190001</v>
      </c>
      <c r="AH421">
        <v>49.905341268841497</v>
      </c>
      <c r="AI421">
        <v>91.229030477295694</v>
      </c>
      <c r="AJ421">
        <v>88.318720587905105</v>
      </c>
      <c r="AK421">
        <v>49.938323387993599</v>
      </c>
      <c r="AL421">
        <v>93.382290292897494</v>
      </c>
      <c r="AM421">
        <v>90.139899602938698</v>
      </c>
      <c r="AN421">
        <v>0.999999964308944</v>
      </c>
    </row>
    <row r="422" spans="1:40" x14ac:dyDescent="0.25">
      <c r="A422" t="str">
        <f>"20190303153750680"</f>
        <v>20190303153750680</v>
      </c>
      <c r="B422" t="str">
        <f>"1551598670669690"</f>
        <v>1551598670669690</v>
      </c>
      <c r="C422" t="s">
        <v>40</v>
      </c>
      <c r="D422">
        <v>4.2333429999999996</v>
      </c>
      <c r="E422">
        <v>0.51150229999999997</v>
      </c>
      <c r="F422" t="s">
        <v>42</v>
      </c>
      <c r="G422">
        <v>-374.8109</v>
      </c>
      <c r="H422" s="1">
        <v>-2.6984420000000002E-6</v>
      </c>
      <c r="I422">
        <v>366.8537</v>
      </c>
      <c r="J422">
        <v>-425.55180000000001</v>
      </c>
      <c r="K422">
        <v>1.0711280000000001</v>
      </c>
      <c r="L422">
        <v>367.78769999999997</v>
      </c>
      <c r="M422">
        <v>0.99983940000000004</v>
      </c>
      <c r="N422">
        <v>-1.4914439999999999E-2</v>
      </c>
      <c r="O422">
        <v>9.9526730000000004E-3</v>
      </c>
      <c r="P422">
        <v>0.99716919999999998</v>
      </c>
      <c r="Q422">
        <v>-7.4213219999999996E-2</v>
      </c>
      <c r="R422">
        <v>1.2093649999999999E-2</v>
      </c>
      <c r="S422">
        <v>3.004486</v>
      </c>
      <c r="T422">
        <v>-6.3168169999999996E-2</v>
      </c>
      <c r="U422">
        <v>-5.4962160000000003E-2</v>
      </c>
      <c r="V422">
        <v>-2.1832230000000002E-3</v>
      </c>
      <c r="W422">
        <v>-5.9331109999999999E-2</v>
      </c>
      <c r="X422">
        <v>0.99823589999999995</v>
      </c>
      <c r="Y422">
        <v>2.8230669999999999E-2</v>
      </c>
      <c r="Z422">
        <v>-5.6808789999999998E-4</v>
      </c>
      <c r="AA422">
        <v>0.99960119999999997</v>
      </c>
      <c r="AB422">
        <v>26</v>
      </c>
      <c r="AC422">
        <v>50.740900000000003</v>
      </c>
      <c r="AD422">
        <v>-1.0711306984419999</v>
      </c>
      <c r="AE422">
        <v>-0.93399999999996897</v>
      </c>
      <c r="AF422">
        <v>1.4383766520087899</v>
      </c>
      <c r="AG422">
        <v>-1.0711306984419999</v>
      </c>
      <c r="AH422">
        <v>50.7065010808506</v>
      </c>
      <c r="AI422">
        <v>91.209657045859501</v>
      </c>
      <c r="AJ422">
        <v>88.375142923555998</v>
      </c>
      <c r="AK422">
        <v>50.738205528265297</v>
      </c>
      <c r="AL422">
        <v>93.4014200326896</v>
      </c>
      <c r="AM422">
        <v>90.125310324131405</v>
      </c>
      <c r="AN422">
        <v>0.99999992956265205</v>
      </c>
    </row>
    <row r="423" spans="1:40" x14ac:dyDescent="0.25">
      <c r="A423" t="str">
        <f>"20190303153750693"</f>
        <v>20190303153750693</v>
      </c>
      <c r="B423" t="str">
        <f>"1551598670689207"</f>
        <v>1551598670689207</v>
      </c>
      <c r="C423" t="s">
        <v>40</v>
      </c>
      <c r="D423">
        <v>4.2112089999999904</v>
      </c>
      <c r="E423">
        <v>0.51116549999999905</v>
      </c>
      <c r="F423" t="s">
        <v>42</v>
      </c>
      <c r="G423">
        <v>-374.76979999999998</v>
      </c>
      <c r="H423" s="1">
        <v>-2.7144050000000001E-6</v>
      </c>
      <c r="I423">
        <v>366.86329999999998</v>
      </c>
      <c r="J423">
        <v>-425.40190000000001</v>
      </c>
      <c r="K423">
        <v>1.0711310000000001</v>
      </c>
      <c r="L423">
        <v>367.78910000000002</v>
      </c>
      <c r="M423">
        <v>0.99983999999999995</v>
      </c>
      <c r="N423">
        <v>-1.491784E-2</v>
      </c>
      <c r="O423">
        <v>9.8802339999999999E-3</v>
      </c>
      <c r="P423">
        <v>0.99716859999999996</v>
      </c>
      <c r="Q423">
        <v>-7.4235099999999998E-2</v>
      </c>
      <c r="R423">
        <v>1.20064E-2</v>
      </c>
      <c r="S423">
        <v>3.0044559999999998</v>
      </c>
      <c r="T423">
        <v>-6.3372020000000001E-2</v>
      </c>
      <c r="U423">
        <v>-5.46875E-2</v>
      </c>
      <c r="V423">
        <v>-2.1684640000000002E-3</v>
      </c>
      <c r="W423">
        <v>-5.9349609999999997E-2</v>
      </c>
      <c r="X423">
        <v>0.99823490000000004</v>
      </c>
      <c r="Y423">
        <v>2.8067080000000001E-2</v>
      </c>
      <c r="Z423">
        <v>-5.6634730000000002E-4</v>
      </c>
      <c r="AA423">
        <v>0.99960590000000005</v>
      </c>
      <c r="AB423">
        <v>26</v>
      </c>
      <c r="AC423">
        <v>50.632100000000001</v>
      </c>
      <c r="AD423">
        <v>-1.0711337144049999</v>
      </c>
      <c r="AE423">
        <v>-0.92580000000003804</v>
      </c>
      <c r="AF423">
        <v>1.4254296946681799</v>
      </c>
      <c r="AG423">
        <v>-1.0711337144049999</v>
      </c>
      <c r="AH423">
        <v>50.597842744251601</v>
      </c>
      <c r="AI423">
        <v>91.2122640835981</v>
      </c>
      <c r="AJ423">
        <v>88.3863045274055</v>
      </c>
      <c r="AK423">
        <v>50.629249131510903</v>
      </c>
      <c r="AL423">
        <v>93.402481646096106</v>
      </c>
      <c r="AM423">
        <v>90.124463330019793</v>
      </c>
      <c r="AN423">
        <v>0.99999999701064002</v>
      </c>
    </row>
    <row r="424" spans="1:40" x14ac:dyDescent="0.25">
      <c r="A424" t="str">
        <f>"20190303153750712"</f>
        <v>20190303153750712</v>
      </c>
      <c r="B424" t="str">
        <f>"1551598670709702"</f>
        <v>1551598670709702</v>
      </c>
      <c r="C424" t="s">
        <v>40</v>
      </c>
      <c r="D424">
        <v>4.2157830000000001</v>
      </c>
      <c r="E424">
        <v>0.51081480000000001</v>
      </c>
      <c r="F424" t="s">
        <v>42</v>
      </c>
      <c r="G424">
        <v>-373.43689999999998</v>
      </c>
      <c r="H424" s="1">
        <v>-3.2825829999999999E-6</v>
      </c>
      <c r="I424">
        <v>366.88380000000001</v>
      </c>
      <c r="J424">
        <v>-425.18029999999999</v>
      </c>
      <c r="K424">
        <v>1.071137</v>
      </c>
      <c r="L424">
        <v>367.7912</v>
      </c>
      <c r="M424">
        <v>0.99984090000000003</v>
      </c>
      <c r="N424">
        <v>-1.4921719999999999E-2</v>
      </c>
      <c r="O424">
        <v>9.7731650000000003E-3</v>
      </c>
      <c r="P424">
        <v>0.99718220000000002</v>
      </c>
      <c r="Q424">
        <v>-7.4060500000000001E-2</v>
      </c>
      <c r="R424">
        <v>1.19454E-2</v>
      </c>
      <c r="S424">
        <v>3.0045169999999999</v>
      </c>
      <c r="T424">
        <v>-6.1930779999999998E-2</v>
      </c>
      <c r="U424">
        <v>-5.2337649999999999E-2</v>
      </c>
      <c r="V424">
        <v>-2.2141840000000001E-3</v>
      </c>
      <c r="W424">
        <v>-5.9170979999999998E-2</v>
      </c>
      <c r="X424">
        <v>0.99824539999999995</v>
      </c>
      <c r="Y424">
        <v>2.7178839999999999E-2</v>
      </c>
      <c r="Z424">
        <v>-5.3849439999999996E-4</v>
      </c>
      <c r="AA424">
        <v>0.99963049999999998</v>
      </c>
      <c r="AB424">
        <v>26</v>
      </c>
      <c r="AC424">
        <v>51.743400000000001</v>
      </c>
      <c r="AD424">
        <v>-1.0711402825830001</v>
      </c>
      <c r="AE424">
        <v>-0.90739999999999499</v>
      </c>
      <c r="AF424">
        <v>1.4125046320630901</v>
      </c>
      <c r="AG424">
        <v>-1.0711402825830001</v>
      </c>
      <c r="AH424">
        <v>51.709906591437502</v>
      </c>
      <c r="AI424">
        <v>91.186236290457202</v>
      </c>
      <c r="AJ424">
        <v>88.435301101098304</v>
      </c>
      <c r="AK424">
        <v>51.7402836340869</v>
      </c>
      <c r="AL424">
        <v>93.392228895826307</v>
      </c>
      <c r="AM424">
        <v>90.127086175619596</v>
      </c>
      <c r="AN424">
        <v>0.99999999305305298</v>
      </c>
    </row>
    <row r="425" spans="1:40" x14ac:dyDescent="0.25">
      <c r="A425" t="str">
        <f>"20190303153750724"</f>
        <v>20190303153750724</v>
      </c>
      <c r="B425" t="str">
        <f>"1551598670719462"</f>
        <v>1551598670719462</v>
      </c>
      <c r="C425" t="s">
        <v>40</v>
      </c>
      <c r="D425">
        <v>4.2197789999999999</v>
      </c>
      <c r="E425">
        <v>0.51065109999999903</v>
      </c>
      <c r="F425" t="s">
        <v>42</v>
      </c>
      <c r="G425">
        <v>-371.697</v>
      </c>
      <c r="H425" s="1">
        <v>-4.0246259999999998E-6</v>
      </c>
      <c r="I425">
        <v>366.90839999999997</v>
      </c>
      <c r="J425">
        <v>-425.03449999999998</v>
      </c>
      <c r="K425">
        <v>1.0711379999999999</v>
      </c>
      <c r="L425">
        <v>367.79250000000002</v>
      </c>
      <c r="M425">
        <v>0.9998416</v>
      </c>
      <c r="N425">
        <v>-1.492361E-2</v>
      </c>
      <c r="O425">
        <v>9.7023470000000001E-3</v>
      </c>
      <c r="P425">
        <v>0.99719970000000002</v>
      </c>
      <c r="Q425">
        <v>-7.381836E-2</v>
      </c>
      <c r="R425">
        <v>1.199035E-2</v>
      </c>
      <c r="S425">
        <v>3.0046080000000002</v>
      </c>
      <c r="T425">
        <v>-6.0174940000000003E-2</v>
      </c>
      <c r="U425">
        <v>-4.9591059999999999E-2</v>
      </c>
      <c r="V425">
        <v>-2.328933E-3</v>
      </c>
      <c r="W425">
        <v>-5.892667E-2</v>
      </c>
      <c r="X425">
        <v>0.99825960000000002</v>
      </c>
      <c r="Y425">
        <v>2.6194800000000001E-2</v>
      </c>
      <c r="Z425">
        <v>-5.0727930000000001E-4</v>
      </c>
      <c r="AA425">
        <v>0.99965669999999995</v>
      </c>
      <c r="AB425">
        <v>26</v>
      </c>
      <c r="AC425">
        <v>53.337499999999999</v>
      </c>
      <c r="AD425">
        <v>-1.0711420246259999</v>
      </c>
      <c r="AE425">
        <v>-0.88410000000004596</v>
      </c>
      <c r="AF425">
        <v>1.4010500386553699</v>
      </c>
      <c r="AG425">
        <v>-1.0711420246259999</v>
      </c>
      <c r="AH425">
        <v>53.304918107274403</v>
      </c>
      <c r="AI425">
        <v>91.150784610273504</v>
      </c>
      <c r="AJ425">
        <v>88.494402031625896</v>
      </c>
      <c r="AK425">
        <v>53.334084607040602</v>
      </c>
      <c r="AL425">
        <v>93.378206463499396</v>
      </c>
      <c r="AM425">
        <v>90.133670429590396</v>
      </c>
      <c r="AN425">
        <v>1.00000000267918</v>
      </c>
    </row>
    <row r="426" spans="1:40" x14ac:dyDescent="0.25">
      <c r="A426" t="str">
        <f>"20190303153750746"</f>
        <v>20190303153750746</v>
      </c>
      <c r="B426" t="str">
        <f>"1551598670738982"</f>
        <v>1551598670738982</v>
      </c>
      <c r="C426" t="s">
        <v>40</v>
      </c>
      <c r="D426">
        <v>4.2165249999999999</v>
      </c>
      <c r="E426">
        <v>0.51034279999999999</v>
      </c>
      <c r="F426" t="s">
        <v>42</v>
      </c>
      <c r="G426">
        <v>-370.27109999999999</v>
      </c>
      <c r="H426" s="1">
        <v>-4.6348780000000001E-6</v>
      </c>
      <c r="I426">
        <v>366.91640000000001</v>
      </c>
      <c r="J426">
        <v>-424.7851</v>
      </c>
      <c r="K426">
        <v>1.071142</v>
      </c>
      <c r="L426">
        <v>367.79489999999998</v>
      </c>
      <c r="M426">
        <v>0.99984269999999997</v>
      </c>
      <c r="N426">
        <v>-1.492596E-2</v>
      </c>
      <c r="O426">
        <v>9.5814090000000008E-3</v>
      </c>
      <c r="P426">
        <v>0.99722929999999999</v>
      </c>
      <c r="Q426">
        <v>-7.3391659999999997E-2</v>
      </c>
      <c r="R426">
        <v>1.214253E-2</v>
      </c>
      <c r="S426">
        <v>3.0046390000000001</v>
      </c>
      <c r="T426">
        <v>-5.8769109999999999E-2</v>
      </c>
      <c r="U426">
        <v>-4.8065190000000001E-2</v>
      </c>
      <c r="V426">
        <v>-2.6012750000000001E-3</v>
      </c>
      <c r="W426">
        <v>-5.8497159999999999E-2</v>
      </c>
      <c r="X426">
        <v>0.99828419999999896</v>
      </c>
      <c r="Y426">
        <v>2.5566740000000001E-2</v>
      </c>
      <c r="Z426">
        <v>-4.8522749999999998E-4</v>
      </c>
      <c r="AA426">
        <v>0.99967300000000003</v>
      </c>
      <c r="AB426">
        <v>26</v>
      </c>
      <c r="AC426">
        <v>54.514000000000003</v>
      </c>
      <c r="AD426">
        <v>-1.0711466348780001</v>
      </c>
      <c r="AE426">
        <v>-0.87849999999997397</v>
      </c>
      <c r="AF426">
        <v>1.4002982922551099</v>
      </c>
      <c r="AG426">
        <v>-1.0711466348780001</v>
      </c>
      <c r="AH426">
        <v>54.482049710098501</v>
      </c>
      <c r="AI426">
        <v>91.125949241523998</v>
      </c>
      <c r="AJ426">
        <v>88.527707329273795</v>
      </c>
      <c r="AK426">
        <v>54.510567150180599</v>
      </c>
      <c r="AL426">
        <v>93.353554789685603</v>
      </c>
      <c r="AM426">
        <v>90.149297906875304</v>
      </c>
      <c r="AN426">
        <v>1.0000000141646599</v>
      </c>
    </row>
    <row r="427" spans="1:40" x14ac:dyDescent="0.25">
      <c r="A427" t="str">
        <f>"20190303153750758"</f>
        <v>20190303153750758</v>
      </c>
      <c r="B427" t="str">
        <f>"1551598670749720"</f>
        <v>1551598670749720</v>
      </c>
      <c r="C427" t="s">
        <v>40</v>
      </c>
      <c r="D427">
        <v>4.2421410000000002</v>
      </c>
      <c r="E427">
        <v>0.51021050000000001</v>
      </c>
      <c r="F427" t="s">
        <v>42</v>
      </c>
      <c r="G427">
        <v>-367.72840000000002</v>
      </c>
      <c r="H427" s="1">
        <v>-1.4708759999999999E-6</v>
      </c>
      <c r="I427">
        <v>366.94119999999998</v>
      </c>
      <c r="J427">
        <v>-424.64589999999998</v>
      </c>
      <c r="K427">
        <v>1.0711459999999999</v>
      </c>
      <c r="L427">
        <v>367.79610000000002</v>
      </c>
      <c r="M427">
        <v>0.99984340000000005</v>
      </c>
      <c r="N427">
        <v>-1.4926719999999999E-2</v>
      </c>
      <c r="O427">
        <v>9.5138199999999992E-3</v>
      </c>
      <c r="P427">
        <v>0.99722869999999997</v>
      </c>
      <c r="Q427">
        <v>-7.337784E-2</v>
      </c>
      <c r="R427">
        <v>1.228252E-2</v>
      </c>
      <c r="S427">
        <v>3.0047299999999999</v>
      </c>
      <c r="T427">
        <v>-5.6408640000000003E-2</v>
      </c>
      <c r="U427">
        <v>-4.4952390000000002E-2</v>
      </c>
      <c r="V427">
        <v>-2.809298E-3</v>
      </c>
      <c r="W427">
        <v>-5.8482480000000003E-2</v>
      </c>
      <c r="X427">
        <v>0.99828450000000002</v>
      </c>
      <c r="Y427">
        <v>2.4464199999999998E-2</v>
      </c>
      <c r="Z427">
        <v>-4.4881240000000001E-4</v>
      </c>
      <c r="AA427">
        <v>0.99970060000000005</v>
      </c>
      <c r="AB427">
        <v>26</v>
      </c>
      <c r="AC427">
        <v>56.917499999999897</v>
      </c>
      <c r="AD427">
        <v>-1.07114747087599</v>
      </c>
      <c r="AE427">
        <v>-0.85490000000004296</v>
      </c>
      <c r="AF427">
        <v>1.3959301674542901</v>
      </c>
      <c r="AG427">
        <v>-1.07114747087599</v>
      </c>
      <c r="AH427">
        <v>56.886646443899799</v>
      </c>
      <c r="AI427">
        <v>91.078399214369895</v>
      </c>
      <c r="AJ427">
        <v>88.594312298047299</v>
      </c>
      <c r="AK427">
        <v>56.913851754823497</v>
      </c>
      <c r="AL427">
        <v>93.352712233083196</v>
      </c>
      <c r="AM427">
        <v>90.161237096135494</v>
      </c>
      <c r="AN427">
        <v>1.0000000177812201</v>
      </c>
    </row>
    <row r="428" spans="1:40" x14ac:dyDescent="0.25">
      <c r="A428" t="str">
        <f>"20190303153750770"</f>
        <v>20190303153750770</v>
      </c>
      <c r="B428" t="str">
        <f>"1551598670759479"</f>
        <v>1551598670759479</v>
      </c>
      <c r="C428" t="s">
        <v>40</v>
      </c>
      <c r="D428">
        <v>4.2221900000000003</v>
      </c>
      <c r="E428">
        <v>0.51007079999999905</v>
      </c>
      <c r="F428" t="s">
        <v>42</v>
      </c>
      <c r="G428">
        <v>-366.95819999999998</v>
      </c>
      <c r="H428" s="1">
        <v>-1.75884E-6</v>
      </c>
      <c r="I428">
        <v>366.95760000000001</v>
      </c>
      <c r="J428">
        <v>-424.50869999999998</v>
      </c>
      <c r="K428">
        <v>1.0711469999999901</v>
      </c>
      <c r="L428">
        <v>367.79730000000001</v>
      </c>
      <c r="M428">
        <v>0.99984410000000001</v>
      </c>
      <c r="N428">
        <v>-1.4927299999999999E-2</v>
      </c>
      <c r="O428">
        <v>9.4470060000000008E-3</v>
      </c>
      <c r="P428">
        <v>0.99726060000000005</v>
      </c>
      <c r="Q428">
        <v>-7.2930919999999996E-2</v>
      </c>
      <c r="R428">
        <v>1.2357480000000001E-2</v>
      </c>
      <c r="S428">
        <v>3.0047609999999998</v>
      </c>
      <c r="T428">
        <v>-5.579245E-2</v>
      </c>
      <c r="U428">
        <v>-4.3670649999999998E-2</v>
      </c>
      <c r="V428">
        <v>-2.9502759999999999E-3</v>
      </c>
      <c r="W428">
        <v>-5.8034519999999999E-2</v>
      </c>
      <c r="X428">
        <v>0.99831020000000004</v>
      </c>
      <c r="Y428">
        <v>2.3971180000000002E-2</v>
      </c>
      <c r="Z428">
        <v>-4.3585089999999998E-4</v>
      </c>
      <c r="AA428">
        <v>0.9997125</v>
      </c>
      <c r="AB428">
        <v>26</v>
      </c>
      <c r="AC428">
        <v>57.5505</v>
      </c>
      <c r="AD428">
        <v>-1.0711487588399999</v>
      </c>
      <c r="AE428">
        <v>-0.83969999999999301</v>
      </c>
      <c r="AF428">
        <v>1.3829239734968399</v>
      </c>
      <c r="AG428">
        <v>-1.0711487588399999</v>
      </c>
      <c r="AH428">
        <v>57.520075972593901</v>
      </c>
      <c r="AI428">
        <v>91.066540424859895</v>
      </c>
      <c r="AJ428">
        <v>88.622733995173803</v>
      </c>
      <c r="AK428">
        <v>57.546667829449603</v>
      </c>
      <c r="AL428">
        <v>93.327002465901899</v>
      </c>
      <c r="AM428">
        <v>90.169323994782104</v>
      </c>
      <c r="AN428">
        <v>0.99999998253207301</v>
      </c>
    </row>
    <row r="429" spans="1:40" x14ac:dyDescent="0.25">
      <c r="A429" t="str">
        <f>"20190303153750791"</f>
        <v>20190303153750791</v>
      </c>
      <c r="B429" t="str">
        <f>"1551598670778998"</f>
        <v>1551598670778998</v>
      </c>
      <c r="C429" t="s">
        <v>40</v>
      </c>
      <c r="D429">
        <v>4.223204</v>
      </c>
      <c r="E429">
        <v>0.50978509999999999</v>
      </c>
      <c r="F429" t="s">
        <v>42</v>
      </c>
      <c r="G429">
        <v>-364.83920000000001</v>
      </c>
      <c r="H429" s="1">
        <v>-2.668578E-6</v>
      </c>
      <c r="I429">
        <v>366.95370000000003</v>
      </c>
      <c r="J429">
        <v>-424.26400000000001</v>
      </c>
      <c r="K429">
        <v>1.071153</v>
      </c>
      <c r="L429">
        <v>367.79950000000002</v>
      </c>
      <c r="M429">
        <v>0.99984510000000004</v>
      </c>
      <c r="N429">
        <v>-1.492749E-2</v>
      </c>
      <c r="O429">
        <v>9.3284040000000002E-3</v>
      </c>
      <c r="P429">
        <v>0.9972628</v>
      </c>
      <c r="Q429">
        <v>-7.2794090000000006E-2</v>
      </c>
      <c r="R429">
        <v>1.295903E-2</v>
      </c>
      <c r="S429">
        <v>3.004791</v>
      </c>
      <c r="T429">
        <v>-5.3940059999999998E-2</v>
      </c>
      <c r="U429">
        <v>-4.2480469999999999E-2</v>
      </c>
      <c r="V429">
        <v>-3.669589E-3</v>
      </c>
      <c r="W429">
        <v>-5.7897240000000003E-2</v>
      </c>
      <c r="X429">
        <v>0.99831579999999998</v>
      </c>
      <c r="Y429">
        <v>2.3457100000000002E-2</v>
      </c>
      <c r="Z429">
        <v>-4.1382670000000003E-4</v>
      </c>
      <c r="AA429">
        <v>0.99972470000000002</v>
      </c>
      <c r="AB429">
        <v>26</v>
      </c>
      <c r="AC429">
        <v>59.424799999999998</v>
      </c>
      <c r="AD429">
        <v>-1.0711556685779999</v>
      </c>
      <c r="AE429">
        <v>-0.845799999999997</v>
      </c>
      <c r="AF429">
        <v>1.3997087900837399</v>
      </c>
      <c r="AG429">
        <v>-1.0711556685779999</v>
      </c>
      <c r="AH429">
        <v>59.395028552372104</v>
      </c>
      <c r="AI429">
        <v>91.032898187061704</v>
      </c>
      <c r="AJ429">
        <v>88.650012181922193</v>
      </c>
      <c r="AK429">
        <v>59.421174474260098</v>
      </c>
      <c r="AL429">
        <v>93.319123607331306</v>
      </c>
      <c r="AM429">
        <v>90.210605717474905</v>
      </c>
      <c r="AN429">
        <v>0.99999999640634296</v>
      </c>
    </row>
    <row r="430" spans="1:40" x14ac:dyDescent="0.25">
      <c r="A430" t="str">
        <f>"20190303153750806"</f>
        <v>20190303153750806</v>
      </c>
      <c r="B430" t="str">
        <f>"1551598670799494"</f>
        <v>1551598670799494</v>
      </c>
      <c r="C430" t="s">
        <v>40</v>
      </c>
      <c r="D430">
        <v>4.237997</v>
      </c>
      <c r="E430">
        <v>0.50952920000000002</v>
      </c>
      <c r="F430" t="s">
        <v>42</v>
      </c>
      <c r="G430">
        <v>-363.2133</v>
      </c>
      <c r="H430" s="1">
        <v>-3.3533449999999999E-6</v>
      </c>
      <c r="I430">
        <v>367.0256</v>
      </c>
      <c r="J430">
        <v>-424.09589999999997</v>
      </c>
      <c r="K430">
        <v>1.0711550000000001</v>
      </c>
      <c r="L430">
        <v>367.80099999999999</v>
      </c>
      <c r="M430">
        <v>0.99984589999999995</v>
      </c>
      <c r="N430">
        <v>-1.492717E-2</v>
      </c>
      <c r="O430">
        <v>9.2468749999999999E-3</v>
      </c>
      <c r="P430">
        <v>0.99727690000000002</v>
      </c>
      <c r="Q430">
        <v>-7.2594320000000004E-2</v>
      </c>
      <c r="R430">
        <v>1.300397E-2</v>
      </c>
      <c r="S430">
        <v>3.004883</v>
      </c>
      <c r="T430">
        <v>-5.2721619999999997E-2</v>
      </c>
      <c r="U430">
        <v>-3.8085939999999999E-2</v>
      </c>
      <c r="V430">
        <v>-3.7962579999999998E-3</v>
      </c>
      <c r="W430">
        <v>-5.7697560000000002E-2</v>
      </c>
      <c r="X430">
        <v>0.99832690000000002</v>
      </c>
      <c r="Y430">
        <v>2.1914010000000001E-2</v>
      </c>
      <c r="Z430">
        <v>-3.80009E-4</v>
      </c>
      <c r="AA430">
        <v>0.99975979999999998</v>
      </c>
      <c r="AB430">
        <v>26</v>
      </c>
      <c r="AC430">
        <v>60.882599999999897</v>
      </c>
      <c r="AD430">
        <v>-1.07115835334499</v>
      </c>
      <c r="AE430">
        <v>-0.77539999999998999</v>
      </c>
      <c r="AF430">
        <v>1.3379892251869501</v>
      </c>
      <c r="AG430">
        <v>-1.07115835334499</v>
      </c>
      <c r="AH430">
        <v>60.853991793436798</v>
      </c>
      <c r="AI430">
        <v>91.008178579429895</v>
      </c>
      <c r="AJ430">
        <v>88.740447689389995</v>
      </c>
      <c r="AK430">
        <v>60.878123431823397</v>
      </c>
      <c r="AL430">
        <v>93.307663584948202</v>
      </c>
      <c r="AM430">
        <v>90.217873036338602</v>
      </c>
      <c r="AN430">
        <v>1.0000000096341799</v>
      </c>
    </row>
    <row r="431" spans="1:40" x14ac:dyDescent="0.25">
      <c r="A431" t="str">
        <f>"20190303153750826"</f>
        <v>20190303153750826</v>
      </c>
      <c r="B431" t="str">
        <f>"1551598670819015"</f>
        <v>1551598670819015</v>
      </c>
      <c r="C431" t="s">
        <v>40</v>
      </c>
      <c r="D431">
        <v>4.2310480000000004</v>
      </c>
      <c r="E431">
        <v>0.5092991</v>
      </c>
      <c r="F431" t="s">
        <v>42</v>
      </c>
      <c r="G431">
        <v>-361.40219999999999</v>
      </c>
      <c r="H431" s="1">
        <v>-4.1254829999999999E-6</v>
      </c>
      <c r="I431">
        <v>367.05270000000002</v>
      </c>
      <c r="J431">
        <v>-423.86680000000001</v>
      </c>
      <c r="K431">
        <v>1.071164</v>
      </c>
      <c r="L431">
        <v>367.803</v>
      </c>
      <c r="M431">
        <v>0.99984689999999998</v>
      </c>
      <c r="N431">
        <v>-1.4926210000000001E-2</v>
      </c>
      <c r="O431">
        <v>9.1357899999999995E-3</v>
      </c>
      <c r="P431">
        <v>0.99726000000000004</v>
      </c>
      <c r="Q431">
        <v>-7.2736259999999997E-2</v>
      </c>
      <c r="R431">
        <v>1.350524E-2</v>
      </c>
      <c r="S431">
        <v>3.0049130000000002</v>
      </c>
      <c r="T431">
        <v>-5.1340699999999899E-2</v>
      </c>
      <c r="U431">
        <v>-3.5858149999999998E-2</v>
      </c>
      <c r="V431">
        <v>-4.4079319999999998E-3</v>
      </c>
      <c r="W431">
        <v>-5.7840469999999998E-2</v>
      </c>
      <c r="X431">
        <v>0.99831610000000004</v>
      </c>
      <c r="Y431">
        <v>2.10622E-2</v>
      </c>
      <c r="Z431">
        <v>-3.5684589999999998E-4</v>
      </c>
      <c r="AA431">
        <v>0.9997781</v>
      </c>
      <c r="AB431">
        <v>26</v>
      </c>
      <c r="AC431">
        <v>62.464599999999997</v>
      </c>
      <c r="AD431">
        <v>-1.0711681254829899</v>
      </c>
      <c r="AE431">
        <v>-0.75030000000003805</v>
      </c>
      <c r="AF431">
        <v>1.3206074153588501</v>
      </c>
      <c r="AG431">
        <v>-1.0711681254829899</v>
      </c>
      <c r="AH431">
        <v>62.4367792947127</v>
      </c>
      <c r="AI431">
        <v>90.982652748826695</v>
      </c>
      <c r="AJ431">
        <v>88.788311124717794</v>
      </c>
      <c r="AK431">
        <v>62.459929665308003</v>
      </c>
      <c r="AL431">
        <v>93.315865478282603</v>
      </c>
      <c r="AM431">
        <v>90.252980252214897</v>
      </c>
      <c r="AN431">
        <v>0.99999999267677298</v>
      </c>
    </row>
    <row r="432" spans="1:40" x14ac:dyDescent="0.25">
      <c r="A432" t="str">
        <f>"20190303153750847"</f>
        <v>20190303153750847</v>
      </c>
      <c r="B432" t="str">
        <f>"1551598670839511"</f>
        <v>1551598670839511</v>
      </c>
      <c r="C432" t="s">
        <v>40</v>
      </c>
      <c r="D432">
        <v>4.2456870000000002</v>
      </c>
      <c r="E432">
        <v>0.50907139999999995</v>
      </c>
      <c r="F432" t="s">
        <v>42</v>
      </c>
      <c r="G432">
        <v>-360.81779999999998</v>
      </c>
      <c r="H432" s="1">
        <v>-4.3628349999999999E-6</v>
      </c>
      <c r="I432">
        <v>367.12799999999999</v>
      </c>
      <c r="J432">
        <v>-423.62630000000001</v>
      </c>
      <c r="K432">
        <v>1.0711729999999999</v>
      </c>
      <c r="L432">
        <v>367.80509999999998</v>
      </c>
      <c r="M432">
        <v>0.99984790000000001</v>
      </c>
      <c r="N432">
        <v>-1.492457E-2</v>
      </c>
      <c r="O432">
        <v>9.0191679999999993E-3</v>
      </c>
      <c r="P432">
        <v>0.99724610000000002</v>
      </c>
      <c r="Q432">
        <v>-7.2882939999999993E-2</v>
      </c>
      <c r="R432">
        <v>1.372789E-2</v>
      </c>
      <c r="S432">
        <v>3.0049130000000002</v>
      </c>
      <c r="T432">
        <v>-5.1051739999999998E-2</v>
      </c>
      <c r="U432">
        <v>-3.2165529999999998E-2</v>
      </c>
      <c r="V432">
        <v>-4.7473029999999996E-3</v>
      </c>
      <c r="W432">
        <v>-5.798888E-2</v>
      </c>
      <c r="X432">
        <v>0.99830589999999997</v>
      </c>
      <c r="Y432">
        <v>1.9717559999999999E-2</v>
      </c>
      <c r="Z432">
        <v>-3.332543E-4</v>
      </c>
      <c r="AA432">
        <v>0.99980550000000001</v>
      </c>
      <c r="AB432">
        <v>26</v>
      </c>
      <c r="AC432">
        <v>62.808500000000002</v>
      </c>
      <c r="AD432">
        <v>-1.0711773628350001</v>
      </c>
      <c r="AE432">
        <v>-0.67709999999993797</v>
      </c>
      <c r="AF432">
        <v>1.24325441996388</v>
      </c>
      <c r="AG432">
        <v>-1.0711773628350001</v>
      </c>
      <c r="AH432">
        <v>62.781578619357397</v>
      </c>
      <c r="AI432">
        <v>90.977292414449494</v>
      </c>
      <c r="AJ432">
        <v>88.865528337462194</v>
      </c>
      <c r="AK432">
        <v>62.803023147249498</v>
      </c>
      <c r="AL432">
        <v>93.324383155046107</v>
      </c>
      <c r="AM432">
        <v>90.272459950110601</v>
      </c>
      <c r="AN432">
        <v>0.99999995853211798</v>
      </c>
    </row>
    <row r="433" spans="1:40" x14ac:dyDescent="0.25">
      <c r="A433" t="str">
        <f>"20190303153750860"</f>
        <v>20190303153750860</v>
      </c>
      <c r="B433" t="str">
        <f>"1551598670849270"</f>
        <v>1551598670849270</v>
      </c>
      <c r="C433" t="s">
        <v>40</v>
      </c>
      <c r="D433">
        <v>4.1916760000000002</v>
      </c>
      <c r="E433">
        <v>0.50897749999999997</v>
      </c>
      <c r="F433" t="s">
        <v>42</v>
      </c>
      <c r="G433">
        <v>-360.28609999999998</v>
      </c>
      <c r="H433" s="1">
        <v>-4.5821050000000001E-6</v>
      </c>
      <c r="I433">
        <v>367.17779999999999</v>
      </c>
      <c r="J433">
        <v>-423.47930000000002</v>
      </c>
      <c r="K433">
        <v>1.07118</v>
      </c>
      <c r="L433">
        <v>367.80630000000002</v>
      </c>
      <c r="M433">
        <v>0.99984870000000003</v>
      </c>
      <c r="N433">
        <v>-1.4923260000000001E-2</v>
      </c>
      <c r="O433">
        <v>8.947544E-3</v>
      </c>
      <c r="P433">
        <v>0.99725059999999999</v>
      </c>
      <c r="Q433">
        <v>-7.2818469999999996E-2</v>
      </c>
      <c r="R433">
        <v>1.3740469999999999E-2</v>
      </c>
      <c r="S433">
        <v>3.0049739999999998</v>
      </c>
      <c r="T433">
        <v>-5.0818559999999999E-2</v>
      </c>
      <c r="U433">
        <v>-2.9754639999999999E-2</v>
      </c>
      <c r="V433">
        <v>-4.8311020000000003E-3</v>
      </c>
      <c r="W433">
        <v>-5.7925650000000002E-2</v>
      </c>
      <c r="X433">
        <v>0.99830920000000001</v>
      </c>
      <c r="Y433">
        <v>1.8843929999999998E-2</v>
      </c>
      <c r="Z433">
        <v>-3.1773309999999998E-4</v>
      </c>
      <c r="AA433">
        <v>0.9998224</v>
      </c>
      <c r="AB433">
        <v>26</v>
      </c>
      <c r="AC433">
        <v>63.193199999999997</v>
      </c>
      <c r="AD433">
        <v>-1.0711845821049999</v>
      </c>
      <c r="AE433">
        <v>-0.62850000000003003</v>
      </c>
      <c r="AF433">
        <v>1.19361875811215</v>
      </c>
      <c r="AG433">
        <v>-1.0711845821049999</v>
      </c>
      <c r="AH433">
        <v>63.166897411147303</v>
      </c>
      <c r="AI433">
        <v>90.9713556401136</v>
      </c>
      <c r="AJ433">
        <v>88.917452307597699</v>
      </c>
      <c r="AK433">
        <v>63.187254179138598</v>
      </c>
      <c r="AL433">
        <v>93.320754139374401</v>
      </c>
      <c r="AM433">
        <v>90.277268399661196</v>
      </c>
      <c r="AN433">
        <v>0.99999998963954795</v>
      </c>
    </row>
    <row r="434" spans="1:40" x14ac:dyDescent="0.25">
      <c r="A434" t="str">
        <f>"20190303153750880"</f>
        <v>20190303153750880</v>
      </c>
      <c r="B434" t="str">
        <f>"1551598670869766"</f>
        <v>1551598670869766</v>
      </c>
      <c r="C434" t="s">
        <v>40</v>
      </c>
      <c r="D434">
        <v>4.2176939999999998</v>
      </c>
      <c r="E434">
        <v>0.50879589999999997</v>
      </c>
      <c r="F434" t="s">
        <v>42</v>
      </c>
      <c r="G434">
        <v>-359.52980000000002</v>
      </c>
      <c r="H434" s="1">
        <v>-7.9097769999999897E-7</v>
      </c>
      <c r="I434">
        <v>367.1925</v>
      </c>
      <c r="J434">
        <v>-423.24450000000002</v>
      </c>
      <c r="K434">
        <v>1.07119599999999</v>
      </c>
      <c r="L434">
        <v>367.80829999999997</v>
      </c>
      <c r="M434">
        <v>0.99984980000000001</v>
      </c>
      <c r="N434">
        <v>-1.4920849999999999E-2</v>
      </c>
      <c r="O434">
        <v>8.8331360000000001E-3</v>
      </c>
      <c r="P434">
        <v>0.99727529999999998</v>
      </c>
      <c r="Q434">
        <v>-7.2444610000000007E-2</v>
      </c>
      <c r="R434">
        <v>1.392912E-2</v>
      </c>
      <c r="S434">
        <v>3.0050050000000001</v>
      </c>
      <c r="T434">
        <v>-5.0335049999999999E-2</v>
      </c>
      <c r="U434">
        <v>-2.8839110000000001E-2</v>
      </c>
      <c r="V434">
        <v>-5.1334909999999996E-3</v>
      </c>
      <c r="W434">
        <v>-5.7553769999999997E-2</v>
      </c>
      <c r="X434">
        <v>0.99832920000000003</v>
      </c>
      <c r="Y434">
        <v>1.842502E-2</v>
      </c>
      <c r="Z434">
        <v>-3.0793029999999998E-4</v>
      </c>
      <c r="AA434">
        <v>0.9998302</v>
      </c>
      <c r="AB434">
        <v>26</v>
      </c>
      <c r="AC434">
        <v>63.714699999999901</v>
      </c>
      <c r="AD434">
        <v>-1.07119679097769</v>
      </c>
      <c r="AE434">
        <v>-0.61579999999997803</v>
      </c>
      <c r="AF434">
        <v>1.17830613650585</v>
      </c>
      <c r="AG434">
        <v>-1.07119679097769</v>
      </c>
      <c r="AH434">
        <v>63.688773326270997</v>
      </c>
      <c r="AI434">
        <v>90.963415799215994</v>
      </c>
      <c r="AJ434">
        <v>88.940091576156405</v>
      </c>
      <c r="AK434">
        <v>63.708678496115802</v>
      </c>
      <c r="AL434">
        <v>93.299411375382306</v>
      </c>
      <c r="AM434">
        <v>90.294617022288605</v>
      </c>
      <c r="AN434">
        <v>0.99999999037184994</v>
      </c>
    </row>
    <row r="435" spans="1:40" x14ac:dyDescent="0.25">
      <c r="A435" t="str">
        <f>"20190303153750894"</f>
        <v>20190303153750894</v>
      </c>
      <c r="B435" t="str">
        <f>"1551598670889287"</f>
        <v>1551598670889287</v>
      </c>
      <c r="C435" t="s">
        <v>40</v>
      </c>
      <c r="D435">
        <v>4.2072979999999998</v>
      </c>
      <c r="E435">
        <v>0.50863210000000003</v>
      </c>
      <c r="F435" t="s">
        <v>42</v>
      </c>
      <c r="G435">
        <v>-356.75290000000001</v>
      </c>
      <c r="H435" s="1">
        <v>-1.803256E-6</v>
      </c>
      <c r="I435">
        <v>367.20389999999998</v>
      </c>
      <c r="J435">
        <v>-423.09160000000003</v>
      </c>
      <c r="K435">
        <v>1.0712010000000001</v>
      </c>
      <c r="L435">
        <v>367.80950000000001</v>
      </c>
      <c r="M435">
        <v>0.99985040000000003</v>
      </c>
      <c r="N435">
        <v>-1.4919079999999999E-2</v>
      </c>
      <c r="O435">
        <v>8.7587719999999997E-3</v>
      </c>
      <c r="P435">
        <v>0.9973168</v>
      </c>
      <c r="Q435">
        <v>-7.1892919999999999E-2</v>
      </c>
      <c r="R435">
        <v>1.380062E-2</v>
      </c>
      <c r="S435">
        <v>3.0050659999999998</v>
      </c>
      <c r="T435">
        <v>-4.8412320000000002E-2</v>
      </c>
      <c r="U435">
        <v>-2.7313230000000001E-2</v>
      </c>
      <c r="V435">
        <v>-5.0784309999999996E-3</v>
      </c>
      <c r="W435">
        <v>-5.7003329999999998E-2</v>
      </c>
      <c r="X435">
        <v>0.9983611</v>
      </c>
      <c r="Y435">
        <v>1.784326E-2</v>
      </c>
      <c r="Z435">
        <v>-2.8726370000000003E-4</v>
      </c>
      <c r="AA435">
        <v>0.99984070000000003</v>
      </c>
      <c r="AB435">
        <v>26</v>
      </c>
      <c r="AC435">
        <v>66.338700000000003</v>
      </c>
      <c r="AD435">
        <v>-1.0712028032559999</v>
      </c>
      <c r="AE435">
        <v>-0.605600000000038</v>
      </c>
      <c r="AF435">
        <v>1.18637764212736</v>
      </c>
      <c r="AG435">
        <v>-1.0712028032559999</v>
      </c>
      <c r="AH435">
        <v>66.313560630116797</v>
      </c>
      <c r="AI435">
        <v>90.925304632489002</v>
      </c>
      <c r="AJ435">
        <v>88.975063615650299</v>
      </c>
      <c r="AK435">
        <v>66.332822122985405</v>
      </c>
      <c r="AL435">
        <v>93.267821499649898</v>
      </c>
      <c r="AM435">
        <v>90.291447807039106</v>
      </c>
      <c r="AN435">
        <v>1.00000002804286</v>
      </c>
    </row>
    <row r="436" spans="1:40" x14ac:dyDescent="0.25">
      <c r="A436" t="str">
        <f>"20190303153750906"</f>
        <v>20190303153750906</v>
      </c>
      <c r="B436" t="str">
        <f>"1551598670899046"</f>
        <v>1551598670899046</v>
      </c>
      <c r="C436" t="s">
        <v>40</v>
      </c>
      <c r="D436">
        <v>4.1990449999999999</v>
      </c>
      <c r="E436">
        <v>0.50865059999999995</v>
      </c>
      <c r="F436" t="s">
        <v>42</v>
      </c>
      <c r="G436">
        <v>-353.47359999999998</v>
      </c>
      <c r="H436" s="1">
        <v>-3.2096050000000001E-6</v>
      </c>
      <c r="I436">
        <v>367.20639999999997</v>
      </c>
      <c r="J436">
        <v>-422.94040000000001</v>
      </c>
      <c r="K436">
        <v>1.071205</v>
      </c>
      <c r="L436">
        <v>367.81079999999997</v>
      </c>
      <c r="M436">
        <v>0.99985100000000005</v>
      </c>
      <c r="N436">
        <v>-1.491718E-2</v>
      </c>
      <c r="O436">
        <v>8.6853019999999902E-3</v>
      </c>
      <c r="P436">
        <v>0.99733819999999995</v>
      </c>
      <c r="Q436">
        <v>-7.1596670000000001E-2</v>
      </c>
      <c r="R436">
        <v>1.3801890000000001E-2</v>
      </c>
      <c r="S436">
        <v>3.005096</v>
      </c>
      <c r="T436">
        <v>-4.6239019999999999E-2</v>
      </c>
      <c r="U436">
        <v>-2.6031490000000001E-2</v>
      </c>
      <c r="V436">
        <v>-5.1527830000000002E-3</v>
      </c>
      <c r="W436">
        <v>-5.6708710000000002E-2</v>
      </c>
      <c r="X436">
        <v>0.99837739999999997</v>
      </c>
      <c r="Y436">
        <v>1.73437E-2</v>
      </c>
      <c r="Z436">
        <v>-2.668708E-4</v>
      </c>
      <c r="AA436">
        <v>0.99984960000000001</v>
      </c>
      <c r="AB436">
        <v>26</v>
      </c>
      <c r="AC436">
        <v>69.466800000000006</v>
      </c>
      <c r="AD436">
        <v>-1.071208209605</v>
      </c>
      <c r="AE436">
        <v>-0.60439999999999805</v>
      </c>
      <c r="AF436">
        <v>1.20749737223165</v>
      </c>
      <c r="AG436">
        <v>-1.071208209605</v>
      </c>
      <c r="AH436">
        <v>69.442417843131807</v>
      </c>
      <c r="AI436">
        <v>90.883632357572395</v>
      </c>
      <c r="AJ436">
        <v>89.003814472971499</v>
      </c>
      <c r="AK436">
        <v>69.461175723078497</v>
      </c>
      <c r="AL436">
        <v>93.250913983346194</v>
      </c>
      <c r="AM436">
        <v>90.295709916173493</v>
      </c>
      <c r="AN436">
        <v>0.99999993089663197</v>
      </c>
    </row>
    <row r="437" spans="1:40" x14ac:dyDescent="0.25">
      <c r="A437" t="str">
        <f>"20190303153750925"</f>
        <v>20190303153750925</v>
      </c>
      <c r="B437" t="str">
        <f>"1551598670919543"</f>
        <v>1551598670919543</v>
      </c>
      <c r="C437" t="s">
        <v>40</v>
      </c>
      <c r="D437">
        <v>4.2932040000000002</v>
      </c>
      <c r="E437">
        <v>0.50872289999999998</v>
      </c>
      <c r="F437" t="s">
        <v>42</v>
      </c>
      <c r="G437">
        <v>-351.11009999999999</v>
      </c>
      <c r="H437" s="1">
        <v>-4.2272449999999997E-6</v>
      </c>
      <c r="I437">
        <v>367.18560000000002</v>
      </c>
      <c r="J437">
        <v>-422.73689999999999</v>
      </c>
      <c r="K437">
        <v>1.0712090000000001</v>
      </c>
      <c r="L437">
        <v>367.81240000000003</v>
      </c>
      <c r="M437">
        <v>0.99985210000000002</v>
      </c>
      <c r="N437">
        <v>-1.491434E-2</v>
      </c>
      <c r="O437">
        <v>8.5862709999999995E-3</v>
      </c>
      <c r="P437">
        <v>0.9973516</v>
      </c>
      <c r="Q437">
        <v>-7.1423399999999998E-2</v>
      </c>
      <c r="R437">
        <v>1.37438E-2</v>
      </c>
      <c r="S437">
        <v>3.0051269999999999</v>
      </c>
      <c r="T437">
        <v>-4.4815540000000001E-2</v>
      </c>
      <c r="U437">
        <v>-2.6153559999999999E-2</v>
      </c>
      <c r="V437">
        <v>-5.1932979999999998E-3</v>
      </c>
      <c r="W437">
        <v>-5.6538060000000001E-2</v>
      </c>
      <c r="X437">
        <v>0.99838689999999997</v>
      </c>
      <c r="Y437">
        <v>1.7285390000000001E-2</v>
      </c>
      <c r="Z437">
        <v>-2.5777770000000002E-4</v>
      </c>
      <c r="AA437">
        <v>0.99985060000000003</v>
      </c>
      <c r="AB437">
        <v>26</v>
      </c>
      <c r="AC437">
        <v>71.626800000000003</v>
      </c>
      <c r="AD437">
        <v>-1.0712132272449999</v>
      </c>
      <c r="AE437">
        <v>-0.62680000000000202</v>
      </c>
      <c r="AF437">
        <v>1.24157462151345</v>
      </c>
      <c r="AG437">
        <v>-1.0712132272449999</v>
      </c>
      <c r="AH437">
        <v>71.602762677597696</v>
      </c>
      <c r="AI437">
        <v>90.856980840954606</v>
      </c>
      <c r="AJ437">
        <v>89.006604565674195</v>
      </c>
      <c r="AK437">
        <v>71.621537461739706</v>
      </c>
      <c r="AL437">
        <v>93.241120643705997</v>
      </c>
      <c r="AM437">
        <v>90.298032129128501</v>
      </c>
      <c r="AN437">
        <v>0.99999996233214405</v>
      </c>
    </row>
    <row r="438" spans="1:40" x14ac:dyDescent="0.25">
      <c r="A438" t="str">
        <f>"20190303153750947"</f>
        <v>20190303153750947</v>
      </c>
      <c r="B438" t="str">
        <f>"1551598670939063"</f>
        <v>1551598670939063</v>
      </c>
      <c r="C438" t="s">
        <v>40</v>
      </c>
      <c r="D438">
        <v>4.2064459999999997</v>
      </c>
      <c r="E438">
        <v>0.50886549999999997</v>
      </c>
      <c r="F438" t="s">
        <v>42</v>
      </c>
      <c r="G438">
        <v>-352.58499999999998</v>
      </c>
      <c r="H438" s="1">
        <v>-3.5931360000000001E-6</v>
      </c>
      <c r="I438">
        <v>367.19330000000002</v>
      </c>
      <c r="J438">
        <v>-422.4769</v>
      </c>
      <c r="K438">
        <v>1.071204</v>
      </c>
      <c r="L438">
        <v>367.81450000000001</v>
      </c>
      <c r="M438">
        <v>0.99985310000000005</v>
      </c>
      <c r="N438">
        <v>-1.490607E-2</v>
      </c>
      <c r="O438">
        <v>8.4586079999999994E-3</v>
      </c>
      <c r="P438">
        <v>0.99734970000000001</v>
      </c>
      <c r="Q438">
        <v>-7.1439340000000004E-2</v>
      </c>
      <c r="R438">
        <v>1.377898E-2</v>
      </c>
      <c r="S438">
        <v>3.0050349999999999</v>
      </c>
      <c r="T438">
        <v>-4.588652E-2</v>
      </c>
      <c r="U438">
        <v>-2.651978E-2</v>
      </c>
      <c r="V438">
        <v>-5.3556309999999996E-3</v>
      </c>
      <c r="W438">
        <v>-5.6562269999999998E-2</v>
      </c>
      <c r="X438">
        <v>0.99838470000000001</v>
      </c>
      <c r="Y438">
        <v>1.727969E-2</v>
      </c>
      <c r="Z438">
        <v>-2.637928E-4</v>
      </c>
      <c r="AA438">
        <v>0.99985060000000003</v>
      </c>
      <c r="AB438">
        <v>25</v>
      </c>
      <c r="AC438">
        <v>69.891900000000007</v>
      </c>
      <c r="AD438">
        <v>-1.0712075931359999</v>
      </c>
      <c r="AE438">
        <v>-0.62119999999998698</v>
      </c>
      <c r="AF438">
        <v>1.2121469394920401</v>
      </c>
      <c r="AG438">
        <v>-1.0712075931359999</v>
      </c>
      <c r="AH438">
        <v>69.867732980022495</v>
      </c>
      <c r="AI438">
        <v>90.878254243913901</v>
      </c>
      <c r="AJ438">
        <v>89.006065690316603</v>
      </c>
      <c r="AK438">
        <v>69.886457183621999</v>
      </c>
      <c r="AL438">
        <v>93.242509904234296</v>
      </c>
      <c r="AM438">
        <v>90.307348569805001</v>
      </c>
      <c r="AN438">
        <v>0.99999999118252503</v>
      </c>
    </row>
    <row r="439" spans="1:40" x14ac:dyDescent="0.25">
      <c r="A439" t="str">
        <f>"20190303153750961"</f>
        <v>20190303153750961</v>
      </c>
      <c r="B439" t="str">
        <f>"1551598670949799"</f>
        <v>1551598670949799</v>
      </c>
      <c r="C439" t="s">
        <v>40</v>
      </c>
      <c r="D439">
        <v>4.2481269999999904</v>
      </c>
      <c r="E439">
        <v>0.50894740000000005</v>
      </c>
      <c r="F439" t="s">
        <v>42</v>
      </c>
      <c r="G439">
        <v>-354.23070000000001</v>
      </c>
      <c r="H439" s="1">
        <v>-2.888316E-6</v>
      </c>
      <c r="I439">
        <v>367.1866</v>
      </c>
      <c r="J439">
        <v>-422.32459999999998</v>
      </c>
      <c r="K439">
        <v>1.0711900000000001</v>
      </c>
      <c r="L439">
        <v>367.81569999999999</v>
      </c>
      <c r="M439">
        <v>0.99985429999999997</v>
      </c>
      <c r="N439">
        <v>-1.486817E-2</v>
      </c>
      <c r="O439">
        <v>8.3819999999999902E-3</v>
      </c>
      <c r="P439">
        <v>0.99731970000000003</v>
      </c>
      <c r="Q439">
        <v>-7.1865159999999997E-2</v>
      </c>
      <c r="R439">
        <v>1.3750470000000001E-2</v>
      </c>
      <c r="S439">
        <v>3.0049739999999998</v>
      </c>
      <c r="T439">
        <v>-4.7166710000000001E-2</v>
      </c>
      <c r="U439">
        <v>-2.7648929999999999E-2</v>
      </c>
      <c r="V439">
        <v>-5.4045209999999998E-3</v>
      </c>
      <c r="W439">
        <v>-5.7026309999999997E-2</v>
      </c>
      <c r="X439">
        <v>0.99835810000000003</v>
      </c>
      <c r="Y439">
        <v>1.7578699999999999E-2</v>
      </c>
      <c r="Z439">
        <v>-2.755813E-4</v>
      </c>
      <c r="AA439">
        <v>0.9998454</v>
      </c>
      <c r="AB439">
        <v>25</v>
      </c>
      <c r="AC439">
        <v>68.093899999999906</v>
      </c>
      <c r="AD439">
        <v>-1.07119288831599</v>
      </c>
      <c r="AE439">
        <v>-0.629099999999994</v>
      </c>
      <c r="AF439">
        <v>1.1996072401708999</v>
      </c>
      <c r="AG439">
        <v>-1.07119288831599</v>
      </c>
      <c r="AH439">
        <v>68.069390107463803</v>
      </c>
      <c r="AI439">
        <v>90.901436599420904</v>
      </c>
      <c r="AJ439">
        <v>88.990363840528602</v>
      </c>
      <c r="AK439">
        <v>68.088386537916605</v>
      </c>
      <c r="AL439">
        <v>93.269140222304898</v>
      </c>
      <c r="AM439">
        <v>90.310162474584601</v>
      </c>
      <c r="AN439">
        <v>1.0000000523575301</v>
      </c>
    </row>
    <row r="440" spans="1:40" x14ac:dyDescent="0.25">
      <c r="A440" t="str">
        <f>"20190303153750976"</f>
        <v>20190303153750976</v>
      </c>
      <c r="B440" t="str">
        <f>"1551598670969319"</f>
        <v>1551598670969319</v>
      </c>
      <c r="C440" t="s">
        <v>40</v>
      </c>
      <c r="D440">
        <v>4.181279</v>
      </c>
      <c r="E440">
        <v>0.50908310000000001</v>
      </c>
      <c r="F440" t="s">
        <v>42</v>
      </c>
      <c r="G440">
        <v>-356.70659999999998</v>
      </c>
      <c r="H440" s="1">
        <v>-1.8241550000000001E-6</v>
      </c>
      <c r="I440">
        <v>367.1979</v>
      </c>
      <c r="J440">
        <v>-422.16469999999998</v>
      </c>
      <c r="K440">
        <v>1.0711649999999999</v>
      </c>
      <c r="L440">
        <v>367.81700000000001</v>
      </c>
      <c r="M440">
        <v>0.99985619999999997</v>
      </c>
      <c r="N440">
        <v>-1.479111E-2</v>
      </c>
      <c r="O440">
        <v>8.2996530000000006E-3</v>
      </c>
      <c r="P440">
        <v>0.99728430000000001</v>
      </c>
      <c r="Q440">
        <v>-7.2368669999999996E-2</v>
      </c>
      <c r="R440">
        <v>1.368085E-2</v>
      </c>
      <c r="S440">
        <v>3.0049440000000001</v>
      </c>
      <c r="T440">
        <v>-4.905462E-2</v>
      </c>
      <c r="U440">
        <v>-2.8289789999999999E-2</v>
      </c>
      <c r="V440">
        <v>-5.4176709999999998E-3</v>
      </c>
      <c r="W440">
        <v>-5.7607239999999997E-2</v>
      </c>
      <c r="X440">
        <v>0.99832460000000001</v>
      </c>
      <c r="Y440">
        <v>1.7709369999999999E-2</v>
      </c>
      <c r="Z440">
        <v>-2.8824679999999998E-4</v>
      </c>
      <c r="AA440">
        <v>0.99984309999999998</v>
      </c>
      <c r="AB440">
        <v>25</v>
      </c>
      <c r="AC440">
        <v>65.458100000000002</v>
      </c>
      <c r="AD440">
        <v>-1.0711668241550001</v>
      </c>
      <c r="AE440">
        <v>-0.61909999999994603</v>
      </c>
      <c r="AF440">
        <v>1.1621064362260201</v>
      </c>
      <c r="AG440">
        <v>-1.0711668241550001</v>
      </c>
      <c r="AH440">
        <v>65.433185568791302</v>
      </c>
      <c r="AI440">
        <v>90.937722680025402</v>
      </c>
      <c r="AJ440">
        <v>88.982522489736198</v>
      </c>
      <c r="AK440">
        <v>65.452270116583193</v>
      </c>
      <c r="AL440">
        <v>93.3024801192648</v>
      </c>
      <c r="AM440">
        <v>90.310927564021796</v>
      </c>
      <c r="AN440">
        <v>0.99999997611232005</v>
      </c>
    </row>
    <row r="441" spans="1:40" x14ac:dyDescent="0.25">
      <c r="A441" t="str">
        <f>"20190303153750993"</f>
        <v>20190303153750993</v>
      </c>
      <c r="B441" t="str">
        <f>"1551598670989815"</f>
        <v>1551598670989815</v>
      </c>
      <c r="C441" t="s">
        <v>40</v>
      </c>
      <c r="D441">
        <v>4.2233450000000001</v>
      </c>
      <c r="E441">
        <v>0.50921149999999904</v>
      </c>
      <c r="F441" t="s">
        <v>42</v>
      </c>
      <c r="G441">
        <v>-360.142</v>
      </c>
      <c r="H441" s="1">
        <v>-4.6385870000000002E-6</v>
      </c>
      <c r="I441">
        <v>367.20780000000002</v>
      </c>
      <c r="J441">
        <v>-421.96589999999998</v>
      </c>
      <c r="K441">
        <v>1.07111</v>
      </c>
      <c r="L441">
        <v>367.81849999999997</v>
      </c>
      <c r="M441">
        <v>0.99985959999999996</v>
      </c>
      <c r="N441">
        <v>-1.4621210000000001E-2</v>
      </c>
      <c r="O441">
        <v>8.194794E-3</v>
      </c>
      <c r="P441">
        <v>0.99717690000000003</v>
      </c>
      <c r="Q441">
        <v>-7.3771790000000004E-2</v>
      </c>
      <c r="R441">
        <v>1.4006899999999999E-2</v>
      </c>
      <c r="S441">
        <v>3.0048219999999999</v>
      </c>
      <c r="T441">
        <v>-5.189502E-2</v>
      </c>
      <c r="U441">
        <v>-2.9510499999999999E-2</v>
      </c>
      <c r="V441">
        <v>-5.8498489999999998E-3</v>
      </c>
      <c r="W441">
        <v>-5.918122E-2</v>
      </c>
      <c r="X441">
        <v>0.99823010000000001</v>
      </c>
      <c r="Y441">
        <v>1.801053E-2</v>
      </c>
      <c r="Z441">
        <v>-3.0890239999999998E-4</v>
      </c>
      <c r="AA441">
        <v>0.9998378</v>
      </c>
      <c r="AB441">
        <v>25</v>
      </c>
      <c r="AC441">
        <v>61.823899999999902</v>
      </c>
      <c r="AD441">
        <v>-1.0711146385870001</v>
      </c>
      <c r="AE441">
        <v>-0.61069999999995095</v>
      </c>
      <c r="AF441">
        <v>1.11703247745338</v>
      </c>
      <c r="AG441">
        <v>-1.0711146385870001</v>
      </c>
      <c r="AH441">
        <v>61.798270717034399</v>
      </c>
      <c r="AI441">
        <v>90.992813925067594</v>
      </c>
      <c r="AJ441">
        <v>88.964464912264702</v>
      </c>
      <c r="AK441">
        <v>61.817645634078801</v>
      </c>
      <c r="AL441">
        <v>93.392816661808695</v>
      </c>
      <c r="AM441">
        <v>90.335762087042696</v>
      </c>
      <c r="AN441">
        <v>0.99999998504000998</v>
      </c>
    </row>
    <row r="442" spans="1:40" x14ac:dyDescent="0.25">
      <c r="A442" t="str">
        <f>"20190303153751016"</f>
        <v>20190303153751016</v>
      </c>
      <c r="B442" t="str">
        <f>"1551598671009335"</f>
        <v>1551598671009335</v>
      </c>
      <c r="C442" t="s">
        <v>40</v>
      </c>
      <c r="D442">
        <v>4.2019890000000002</v>
      </c>
      <c r="E442">
        <v>0.50936999999999999</v>
      </c>
      <c r="F442" t="s">
        <v>42</v>
      </c>
      <c r="G442">
        <v>-365.88209999999998</v>
      </c>
      <c r="H442" s="1">
        <v>-2.165092E-6</v>
      </c>
      <c r="I442">
        <v>367.26979999999998</v>
      </c>
      <c r="J442">
        <v>-421.71949999999998</v>
      </c>
      <c r="K442">
        <v>1.071024</v>
      </c>
      <c r="L442">
        <v>367.82040000000001</v>
      </c>
      <c r="M442">
        <v>0.99986540000000002</v>
      </c>
      <c r="N442">
        <v>-1.42875E-2</v>
      </c>
      <c r="O442">
        <v>8.0652669999999992E-3</v>
      </c>
      <c r="P442">
        <v>0.99707780000000001</v>
      </c>
      <c r="Q442">
        <v>-7.5002319999999997E-2</v>
      </c>
      <c r="R442">
        <v>1.45136E-2</v>
      </c>
      <c r="S442">
        <v>3.0046689999999998</v>
      </c>
      <c r="T442">
        <v>-5.7384369999999997E-2</v>
      </c>
      <c r="U442">
        <v>-2.938843E-2</v>
      </c>
      <c r="V442">
        <v>-6.4870680000000003E-3</v>
      </c>
      <c r="W442">
        <v>-6.0745920000000002E-2</v>
      </c>
      <c r="X442">
        <v>0.99813220000000002</v>
      </c>
      <c r="Y442">
        <v>1.7840060000000001E-2</v>
      </c>
      <c r="Z442">
        <v>-3.3659690000000002E-4</v>
      </c>
      <c r="AA442">
        <v>0.99984079999999997</v>
      </c>
      <c r="AB442">
        <v>25</v>
      </c>
      <c r="AC442">
        <v>55.837400000000002</v>
      </c>
      <c r="AD442">
        <v>-1.0710261650920001</v>
      </c>
      <c r="AE442">
        <v>-0.55060000000003095</v>
      </c>
      <c r="AF442">
        <v>1.00060349669819</v>
      </c>
      <c r="AG442">
        <v>-1.0710261650920001</v>
      </c>
      <c r="AH442">
        <v>55.810610667105998</v>
      </c>
      <c r="AI442">
        <v>91.0992155529147</v>
      </c>
      <c r="AJ442">
        <v>88.972879615492204</v>
      </c>
      <c r="AK442">
        <v>55.829853729337401</v>
      </c>
      <c r="AL442">
        <v>93.482628872392297</v>
      </c>
      <c r="AM442">
        <v>90.372371900944202</v>
      </c>
      <c r="AN442">
        <v>1.0000000187623601</v>
      </c>
    </row>
    <row r="443" spans="1:40" x14ac:dyDescent="0.25">
      <c r="A443" t="str">
        <f>"20190303153751030"</f>
        <v>20190303153751030</v>
      </c>
      <c r="B443" t="str">
        <f>"1551598671019094"</f>
        <v>1551598671019094</v>
      </c>
      <c r="C443" t="s">
        <v>40</v>
      </c>
      <c r="D443">
        <v>4.1606360000000002</v>
      </c>
      <c r="E443">
        <v>0.5094552</v>
      </c>
      <c r="F443" t="s">
        <v>42</v>
      </c>
      <c r="G443">
        <v>-369.81229999999999</v>
      </c>
      <c r="H443" s="1">
        <v>-6.6235659999999895E-7</v>
      </c>
      <c r="I443">
        <v>367.31470000000002</v>
      </c>
      <c r="J443">
        <v>-421.53309999999999</v>
      </c>
      <c r="K443">
        <v>1.070953</v>
      </c>
      <c r="L443">
        <v>367.8218</v>
      </c>
      <c r="M443">
        <v>0.99987079999999995</v>
      </c>
      <c r="N443">
        <v>-1.3969479999999999E-2</v>
      </c>
      <c r="O443">
        <v>7.9652839999999996E-3</v>
      </c>
      <c r="P443">
        <v>0.99705379999999999</v>
      </c>
      <c r="Q443">
        <v>-7.5283680000000006E-2</v>
      </c>
      <c r="R443">
        <v>1.471222E-2</v>
      </c>
      <c r="S443">
        <v>3.0045470000000001</v>
      </c>
      <c r="T443">
        <v>-6.1993960000000001E-2</v>
      </c>
      <c r="U443">
        <v>-2.9266360000000002E-2</v>
      </c>
      <c r="V443">
        <v>-6.7861889999999998E-3</v>
      </c>
      <c r="W443">
        <v>-6.1344959999999997E-2</v>
      </c>
      <c r="X443">
        <v>0.99809349999999997</v>
      </c>
      <c r="Y443">
        <v>1.7699110000000001E-2</v>
      </c>
      <c r="Z443">
        <v>-3.5928700000000002E-4</v>
      </c>
      <c r="AA443">
        <v>0.99984329999999999</v>
      </c>
      <c r="AB443">
        <v>25</v>
      </c>
      <c r="AC443">
        <v>51.720799999999997</v>
      </c>
      <c r="AD443">
        <v>-1.0709536623566001</v>
      </c>
      <c r="AE443">
        <v>-0.50709999999997901</v>
      </c>
      <c r="AF443">
        <v>0.91870106946107699</v>
      </c>
      <c r="AG443">
        <v>-1.0709536623566001</v>
      </c>
      <c r="AH443">
        <v>51.692957762091297</v>
      </c>
      <c r="AI443">
        <v>91.186673516043598</v>
      </c>
      <c r="AJ443">
        <v>88.9818312723866</v>
      </c>
      <c r="AK443">
        <v>51.712211667992797</v>
      </c>
      <c r="AL443">
        <v>93.517015725039201</v>
      </c>
      <c r="AM443">
        <v>90.389556687151597</v>
      </c>
      <c r="AN443">
        <v>0.99999994561039596</v>
      </c>
    </row>
    <row r="444" spans="1:40" x14ac:dyDescent="0.25">
      <c r="A444" t="str">
        <f>"20190303153751047"</f>
        <v>20190303153751047</v>
      </c>
      <c r="B444" t="str">
        <f>"1551598671039590"</f>
        <v>1551598671039590</v>
      </c>
      <c r="C444" t="s">
        <v>40</v>
      </c>
      <c r="D444">
        <v>4.2313099999999997</v>
      </c>
      <c r="E444">
        <v>0.50967189999999996</v>
      </c>
      <c r="F444" t="s">
        <v>42</v>
      </c>
      <c r="G444">
        <v>-370.67039999999997</v>
      </c>
      <c r="H444" s="1">
        <v>-4.3908109999999996E-6</v>
      </c>
      <c r="I444">
        <v>367.32679999999999</v>
      </c>
      <c r="J444">
        <v>-421.33949999999999</v>
      </c>
      <c r="K444">
        <v>1.070865</v>
      </c>
      <c r="L444">
        <v>367.82319999999999</v>
      </c>
      <c r="M444">
        <v>0.99987689999999996</v>
      </c>
      <c r="N444">
        <v>-1.3579000000000001E-2</v>
      </c>
      <c r="O444">
        <v>7.8587399999999995E-3</v>
      </c>
      <c r="P444">
        <v>0.99702290000000005</v>
      </c>
      <c r="Q444">
        <v>-7.5555559999999994E-2</v>
      </c>
      <c r="R444">
        <v>1.538456E-2</v>
      </c>
      <c r="S444">
        <v>3.004486</v>
      </c>
      <c r="T444">
        <v>-6.3261869999999998E-2</v>
      </c>
      <c r="U444">
        <v>-2.9235839999999999E-2</v>
      </c>
      <c r="V444">
        <v>-7.5654479999999998E-3</v>
      </c>
      <c r="W444">
        <v>-6.2006730000000003E-2</v>
      </c>
      <c r="X444">
        <v>0.99804709999999996</v>
      </c>
      <c r="Y444">
        <v>1.758243E-2</v>
      </c>
      <c r="Z444">
        <v>-3.6322559999999999E-4</v>
      </c>
      <c r="AA444">
        <v>0.99984530000000005</v>
      </c>
      <c r="AB444">
        <v>25</v>
      </c>
      <c r="AC444">
        <v>50.6691</v>
      </c>
      <c r="AD444">
        <v>-1.0708693908110001</v>
      </c>
      <c r="AE444">
        <v>-0.49639999999999401</v>
      </c>
      <c r="AF444">
        <v>0.89421729319781296</v>
      </c>
      <c r="AG444">
        <v>-1.0708693908110001</v>
      </c>
      <c r="AH444">
        <v>50.641015948608498</v>
      </c>
      <c r="AI444">
        <v>91.211223615587002</v>
      </c>
      <c r="AJ444">
        <v>88.988378257644598</v>
      </c>
      <c r="AK444">
        <v>50.6602297875449</v>
      </c>
      <c r="AL444">
        <v>93.555004334143703</v>
      </c>
      <c r="AM444">
        <v>90.434308098705401</v>
      </c>
      <c r="AN444">
        <v>1.00000004219357</v>
      </c>
    </row>
    <row r="445" spans="1:40" x14ac:dyDescent="0.25">
      <c r="A445" t="str">
        <f>"20190303153751061"</f>
        <v>20190303153751061</v>
      </c>
      <c r="B445" t="str">
        <f>"1551598671049351"</f>
        <v>1551598671049351</v>
      </c>
      <c r="C445" t="s">
        <v>40</v>
      </c>
      <c r="D445">
        <v>4.2123150000000003</v>
      </c>
      <c r="E445">
        <v>0.50974359999999996</v>
      </c>
      <c r="F445" t="s">
        <v>42</v>
      </c>
      <c r="G445">
        <v>-371.28309999999999</v>
      </c>
      <c r="H445" s="1">
        <v>-4.1258609999999997E-6</v>
      </c>
      <c r="I445">
        <v>367.33859999999999</v>
      </c>
      <c r="J445">
        <v>-421.19690000000003</v>
      </c>
      <c r="K445">
        <v>1.0708029999999999</v>
      </c>
      <c r="L445">
        <v>367.82420000000002</v>
      </c>
      <c r="M445">
        <v>0.9998821</v>
      </c>
      <c r="N445">
        <v>-1.3249800000000001E-2</v>
      </c>
      <c r="O445">
        <v>7.7780490000000004E-3</v>
      </c>
      <c r="P445">
        <v>0.99703450000000005</v>
      </c>
      <c r="Q445">
        <v>-7.5355350000000001E-2</v>
      </c>
      <c r="R445">
        <v>1.5627430000000001E-2</v>
      </c>
      <c r="S445">
        <v>3.0045470000000001</v>
      </c>
      <c r="T445">
        <v>-6.4276929999999996E-2</v>
      </c>
      <c r="U445">
        <v>-2.9083250000000001E-2</v>
      </c>
      <c r="V445">
        <v>-7.8885239999999992E-3</v>
      </c>
      <c r="W445">
        <v>-6.2134870000000002E-2</v>
      </c>
      <c r="X445">
        <v>0.99803660000000005</v>
      </c>
      <c r="Y445">
        <v>1.745064E-2</v>
      </c>
      <c r="Z445">
        <v>-3.6559480000000001E-4</v>
      </c>
      <c r="AA445">
        <v>0.99984770000000001</v>
      </c>
      <c r="AB445">
        <v>25</v>
      </c>
      <c r="AC445">
        <v>49.913800000000002</v>
      </c>
      <c r="AD445">
        <v>-1.0708071258609999</v>
      </c>
      <c r="AE445">
        <v>-0.48560000000003301</v>
      </c>
      <c r="AF445">
        <v>0.87344936574226495</v>
      </c>
      <c r="AG445">
        <v>-1.0708071258609999</v>
      </c>
      <c r="AH445">
        <v>49.885555527066003</v>
      </c>
      <c r="AI445">
        <v>91.229492387948696</v>
      </c>
      <c r="AJ445">
        <v>88.996907047793997</v>
      </c>
      <c r="AK445">
        <v>49.904691081493503</v>
      </c>
      <c r="AL445">
        <v>93.562360503818695</v>
      </c>
      <c r="AM445">
        <v>90.452858862933297</v>
      </c>
      <c r="AN445">
        <v>1.00000001291018</v>
      </c>
    </row>
    <row r="446" spans="1:40" x14ac:dyDescent="0.25">
      <c r="A446" t="str">
        <f>"20190303153751074"</f>
        <v>20190303153751074</v>
      </c>
      <c r="B446" t="str">
        <f>"1551598671069847"</f>
        <v>1551598671069847</v>
      </c>
      <c r="C446" t="s">
        <v>40</v>
      </c>
      <c r="D446">
        <v>4.1730359999999997</v>
      </c>
      <c r="E446">
        <v>0.50993559999999905</v>
      </c>
      <c r="F446" t="s">
        <v>42</v>
      </c>
      <c r="G446">
        <v>-370.86020000000002</v>
      </c>
      <c r="H446" s="1">
        <v>-4.3061530000000001E-6</v>
      </c>
      <c r="I446">
        <v>367.3451</v>
      </c>
      <c r="J446">
        <v>-421.03649999999999</v>
      </c>
      <c r="K446">
        <v>1.0707340000000001</v>
      </c>
      <c r="L446">
        <v>367.8254</v>
      </c>
      <c r="M446">
        <v>0.99988779999999999</v>
      </c>
      <c r="N446">
        <v>-1.285741E-2</v>
      </c>
      <c r="O446">
        <v>7.6871709999999996E-3</v>
      </c>
      <c r="P446">
        <v>0.9970521</v>
      </c>
      <c r="Q446">
        <v>-7.5044799999999995E-2</v>
      </c>
      <c r="R446">
        <v>1.5985969999999999E-2</v>
      </c>
      <c r="S446">
        <v>3.0045470000000001</v>
      </c>
      <c r="T446">
        <v>-6.3915250000000007E-2</v>
      </c>
      <c r="U446">
        <v>-2.8594970000000001E-2</v>
      </c>
      <c r="V446">
        <v>-8.3377309999999993E-3</v>
      </c>
      <c r="W446">
        <v>-6.2215619999999999E-2</v>
      </c>
      <c r="X446">
        <v>0.99802789999999997</v>
      </c>
      <c r="Y446">
        <v>1.7197460000000001E-2</v>
      </c>
      <c r="Z446">
        <v>-3.5815089999999999E-4</v>
      </c>
      <c r="AA446">
        <v>0.99985210000000002</v>
      </c>
      <c r="AB446">
        <v>26</v>
      </c>
      <c r="AC446">
        <v>50.176299999999898</v>
      </c>
      <c r="AD446">
        <v>-1.070738306153</v>
      </c>
      <c r="AE446">
        <v>-0.48029999999999901</v>
      </c>
      <c r="AF446">
        <v>0.86563733310855195</v>
      </c>
      <c r="AG446">
        <v>-1.070738306153</v>
      </c>
      <c r="AH446">
        <v>50.148290558001797</v>
      </c>
      <c r="AI446">
        <v>91.222979518433405</v>
      </c>
      <c r="AJ446">
        <v>89.011084125205201</v>
      </c>
      <c r="AK446">
        <v>50.167189022333197</v>
      </c>
      <c r="AL446">
        <v>93.566996170115601</v>
      </c>
      <c r="AM446">
        <v>90.478649628688302</v>
      </c>
      <c r="AN446">
        <v>0.99999999515431104</v>
      </c>
    </row>
    <row r="447" spans="1:40" x14ac:dyDescent="0.25">
      <c r="A447" t="str">
        <f>"20190303153751091"</f>
        <v>20190303153751091</v>
      </c>
      <c r="B447" t="str">
        <f>"1551598671079607"</f>
        <v>1551598671079607</v>
      </c>
      <c r="C447" t="s">
        <v>40</v>
      </c>
      <c r="D447">
        <v>4.1742670000000004</v>
      </c>
      <c r="E447">
        <v>0.51001890000000005</v>
      </c>
      <c r="F447" t="s">
        <v>42</v>
      </c>
      <c r="G447">
        <v>-370.3073</v>
      </c>
      <c r="H447" s="1">
        <v>-4.5457759999999999E-6</v>
      </c>
      <c r="I447">
        <v>367.33120000000002</v>
      </c>
      <c r="J447">
        <v>-420.84390000000002</v>
      </c>
      <c r="K447">
        <v>1.070657</v>
      </c>
      <c r="L447">
        <v>367.82679999999999</v>
      </c>
      <c r="M447">
        <v>0.99989519999999998</v>
      </c>
      <c r="N447">
        <v>-1.2349250000000001E-2</v>
      </c>
      <c r="O447">
        <v>7.5770999999999998E-3</v>
      </c>
      <c r="P447">
        <v>0.99715849999999995</v>
      </c>
      <c r="Q447">
        <v>-7.3486960000000004E-2</v>
      </c>
      <c r="R447">
        <v>1.658629E-2</v>
      </c>
      <c r="S447">
        <v>3.004578</v>
      </c>
      <c r="T447">
        <v>-6.3417429999999997E-2</v>
      </c>
      <c r="U447">
        <v>-2.9266360000000002E-2</v>
      </c>
      <c r="V447">
        <v>-9.0469299999999999E-3</v>
      </c>
      <c r="W447">
        <v>-6.1163509999999997E-2</v>
      </c>
      <c r="X447">
        <v>0.99808680000000005</v>
      </c>
      <c r="Y447">
        <v>1.731077E-2</v>
      </c>
      <c r="Z447">
        <v>-3.5591669999999998E-4</v>
      </c>
      <c r="AA447">
        <v>0.99985009999999996</v>
      </c>
      <c r="AB447">
        <v>26</v>
      </c>
      <c r="AC447">
        <v>50.5366</v>
      </c>
      <c r="AD447">
        <v>-1.070661545776</v>
      </c>
      <c r="AE447">
        <v>-0.49559999999996701</v>
      </c>
      <c r="AF447">
        <v>0.87814167385868203</v>
      </c>
      <c r="AG447">
        <v>-1.070661545776</v>
      </c>
      <c r="AH447">
        <v>50.508725348185799</v>
      </c>
      <c r="AI447">
        <v>91.214165211587002</v>
      </c>
      <c r="AJ447">
        <v>89.003959358867405</v>
      </c>
      <c r="AK447">
        <v>50.527703146327902</v>
      </c>
      <c r="AL447">
        <v>93.506599510969593</v>
      </c>
      <c r="AM447">
        <v>90.519330293888103</v>
      </c>
      <c r="AN447">
        <v>1.0000000411160901</v>
      </c>
    </row>
    <row r="448" spans="1:40" x14ac:dyDescent="0.25">
      <c r="A448" t="str">
        <f>"20190303153751104"</f>
        <v>20190303153751104</v>
      </c>
      <c r="B448" t="str">
        <f>"1551598671099127"</f>
        <v>1551598671099127</v>
      </c>
      <c r="C448" t="s">
        <v>40</v>
      </c>
      <c r="D448">
        <v>4.2268840000000001</v>
      </c>
      <c r="E448">
        <v>0.51024380000000003</v>
      </c>
      <c r="F448" t="s">
        <v>42</v>
      </c>
      <c r="G448">
        <v>-366.43990000000002</v>
      </c>
      <c r="H448" s="1">
        <v>-1.9174949999999999E-6</v>
      </c>
      <c r="I448">
        <v>367.31670000000003</v>
      </c>
      <c r="J448">
        <v>-420.68920000000003</v>
      </c>
      <c r="K448">
        <v>1.070592</v>
      </c>
      <c r="L448">
        <v>367.8279</v>
      </c>
      <c r="M448">
        <v>0.99990089999999998</v>
      </c>
      <c r="N448">
        <v>-1.1922540000000001E-2</v>
      </c>
      <c r="O448">
        <v>7.4884529999999999E-3</v>
      </c>
      <c r="P448">
        <v>0.9972162</v>
      </c>
      <c r="Q448">
        <v>-7.2678039999999999E-2</v>
      </c>
      <c r="R448">
        <v>1.6677000000000001E-2</v>
      </c>
      <c r="S448">
        <v>3.0046689999999998</v>
      </c>
      <c r="T448">
        <v>-5.913115E-2</v>
      </c>
      <c r="U448">
        <v>-2.816772E-2</v>
      </c>
      <c r="V448">
        <v>-9.2256179999999997E-3</v>
      </c>
      <c r="W448">
        <v>-6.0779840000000002E-2</v>
      </c>
      <c r="X448">
        <v>0.99810860000000001</v>
      </c>
      <c r="Y448">
        <v>1.685716E-2</v>
      </c>
      <c r="Z448">
        <v>-3.2443879999999997E-4</v>
      </c>
      <c r="AA448">
        <v>0.99985780000000002</v>
      </c>
      <c r="AB448">
        <v>26</v>
      </c>
      <c r="AC448">
        <v>54.249299999999998</v>
      </c>
      <c r="AD448">
        <v>-1.0705939174950001</v>
      </c>
      <c r="AE448">
        <v>-0.51119999999997301</v>
      </c>
      <c r="AF448">
        <v>0.91710072616369398</v>
      </c>
      <c r="AG448">
        <v>-1.0705939174950001</v>
      </c>
      <c r="AH448">
        <v>54.222834653498403</v>
      </c>
      <c r="AI448">
        <v>91.130958494566102</v>
      </c>
      <c r="AJ448">
        <v>89.031017252924002</v>
      </c>
      <c r="AK448">
        <v>54.241156356946703</v>
      </c>
      <c r="AL448">
        <v>93.484575871681898</v>
      </c>
      <c r="AM448">
        <v>90.5295755614722</v>
      </c>
      <c r="AN448">
        <v>1.0000000391859301</v>
      </c>
    </row>
    <row r="449" spans="1:40" x14ac:dyDescent="0.25">
      <c r="A449" t="str">
        <f>"20190303153751117"</f>
        <v>20190303153751117</v>
      </c>
      <c r="B449" t="str">
        <f>"1551598671109863"</f>
        <v>1551598671109863</v>
      </c>
      <c r="C449" t="s">
        <v>40</v>
      </c>
      <c r="D449">
        <v>4.2371349999999897</v>
      </c>
      <c r="E449">
        <v>0.51030159999999902</v>
      </c>
      <c r="F449" t="s">
        <v>42</v>
      </c>
      <c r="G449">
        <v>-364.2441</v>
      </c>
      <c r="H449" s="1">
        <v>-2.8666760000000002E-6</v>
      </c>
      <c r="I449">
        <v>367.27629999999999</v>
      </c>
      <c r="J449">
        <v>-420.54050000000001</v>
      </c>
      <c r="K449">
        <v>1.070533</v>
      </c>
      <c r="L449">
        <v>367.82889999999998</v>
      </c>
      <c r="M449">
        <v>0.99990639999999997</v>
      </c>
      <c r="N449">
        <v>-1.151451E-2</v>
      </c>
      <c r="O449">
        <v>7.4037109999999899E-3</v>
      </c>
      <c r="P449">
        <v>0.99727730000000003</v>
      </c>
      <c r="Q449">
        <v>-7.1878120000000004E-2</v>
      </c>
      <c r="R449">
        <v>1.648258E-2</v>
      </c>
      <c r="S449">
        <v>3.0047000000000001</v>
      </c>
      <c r="T449">
        <v>-5.6990029999999997E-2</v>
      </c>
      <c r="U449">
        <v>-2.9357910000000001E-2</v>
      </c>
      <c r="V449">
        <v>-9.1149430000000004E-3</v>
      </c>
      <c r="W449">
        <v>-6.0386559999999999E-2</v>
      </c>
      <c r="X449">
        <v>0.99813339999999995</v>
      </c>
      <c r="Y449">
        <v>1.7168610000000001E-2</v>
      </c>
      <c r="Z449">
        <v>-3.1682630000000003E-4</v>
      </c>
      <c r="AA449">
        <v>0.99985250000000003</v>
      </c>
      <c r="AB449">
        <v>26</v>
      </c>
      <c r="AC449">
        <v>56.296399999999998</v>
      </c>
      <c r="AD449">
        <v>-1.0705358666760001</v>
      </c>
      <c r="AE449">
        <v>-0.55259999999998399</v>
      </c>
      <c r="AF449">
        <v>0.96906432826380995</v>
      </c>
      <c r="AG449">
        <v>-1.0705358666760001</v>
      </c>
      <c r="AH449">
        <v>56.270419249491802</v>
      </c>
      <c r="AI449">
        <v>91.089750151814201</v>
      </c>
      <c r="AJ449">
        <v>89.013374900496302</v>
      </c>
      <c r="AK449">
        <v>56.288943987498399</v>
      </c>
      <c r="AL449">
        <v>93.462001425766999</v>
      </c>
      <c r="AM449">
        <v>90.523209871367101</v>
      </c>
      <c r="AN449">
        <v>0.99999995150504195</v>
      </c>
    </row>
    <row r="450" spans="1:40" x14ac:dyDescent="0.25">
      <c r="A450" t="str">
        <f>"20190303153751130"</f>
        <v>20190303153751130</v>
      </c>
      <c r="B450" t="str">
        <f>"1551598671119623"</f>
        <v>1551598671119623</v>
      </c>
      <c r="C450" t="s">
        <v>40</v>
      </c>
      <c r="D450">
        <v>4.2124519999999999</v>
      </c>
      <c r="E450">
        <v>0.51037650000000001</v>
      </c>
      <c r="F450" t="s">
        <v>42</v>
      </c>
      <c r="G450">
        <v>-362.09589999999997</v>
      </c>
      <c r="H450" s="1">
        <v>-3.7955159999999999E-6</v>
      </c>
      <c r="I450">
        <v>367.23520000000002</v>
      </c>
      <c r="J450">
        <v>-420.39159999999998</v>
      </c>
      <c r="K450">
        <v>1.070479</v>
      </c>
      <c r="L450">
        <v>367.82990000000001</v>
      </c>
      <c r="M450">
        <v>0.99991149999999995</v>
      </c>
      <c r="N450">
        <v>-1.110913E-2</v>
      </c>
      <c r="O450">
        <v>7.3192250000000004E-3</v>
      </c>
      <c r="P450">
        <v>0.99732799999999999</v>
      </c>
      <c r="Q450">
        <v>-7.1201650000000005E-2</v>
      </c>
      <c r="R450">
        <v>1.635524E-2</v>
      </c>
      <c r="S450">
        <v>3.0047000000000001</v>
      </c>
      <c r="T450">
        <v>-5.5037379999999997E-2</v>
      </c>
      <c r="U450">
        <v>-3.0517579999999999E-2</v>
      </c>
      <c r="V450">
        <v>-9.0717820000000005E-3</v>
      </c>
      <c r="W450">
        <v>-6.0114239999999999E-2</v>
      </c>
      <c r="X450">
        <v>0.99815030000000005</v>
      </c>
      <c r="Y450">
        <v>1.7470220000000002E-2</v>
      </c>
      <c r="Z450">
        <v>-3.097873E-4</v>
      </c>
      <c r="AA450">
        <v>0.99984740000000005</v>
      </c>
      <c r="AB450">
        <v>26</v>
      </c>
      <c r="AC450">
        <v>58.295699999999997</v>
      </c>
      <c r="AD450">
        <v>-1.0704827955159999</v>
      </c>
      <c r="AE450">
        <v>-0.59469999999998802</v>
      </c>
      <c r="AF450">
        <v>1.0210454866174301</v>
      </c>
      <c r="AG450">
        <v>-1.0704827955159999</v>
      </c>
      <c r="AH450">
        <v>58.2701387028103</v>
      </c>
      <c r="AI450">
        <v>91.052302916309699</v>
      </c>
      <c r="AJ450">
        <v>88.9961305740363</v>
      </c>
      <c r="AK450">
        <v>58.288914312637402</v>
      </c>
      <c r="AL450">
        <v>93.446370003867301</v>
      </c>
      <c r="AM450">
        <v>90.520723693015896</v>
      </c>
      <c r="AN450">
        <v>1.0000000202347601</v>
      </c>
    </row>
    <row r="451" spans="1:40" x14ac:dyDescent="0.25">
      <c r="A451" t="str">
        <f>"20190303153751147"</f>
        <v>20190303153751147</v>
      </c>
      <c r="B451" t="str">
        <f>"1551598671139143"</f>
        <v>1551598671139143</v>
      </c>
      <c r="C451" t="s">
        <v>40</v>
      </c>
      <c r="D451">
        <v>4.2080039999999999</v>
      </c>
      <c r="E451">
        <v>0.51048700000000002</v>
      </c>
      <c r="F451" t="s">
        <v>42</v>
      </c>
      <c r="G451">
        <v>-360.00990000000002</v>
      </c>
      <c r="H451" s="1">
        <v>-4.6963990000000002E-6</v>
      </c>
      <c r="I451">
        <v>367.2013</v>
      </c>
      <c r="J451">
        <v>-420.18150000000003</v>
      </c>
      <c r="K451">
        <v>1.070411</v>
      </c>
      <c r="L451">
        <v>367.8313</v>
      </c>
      <c r="M451">
        <v>0.99991830000000004</v>
      </c>
      <c r="N451">
        <v>-1.0561940000000001E-2</v>
      </c>
      <c r="O451">
        <v>7.2006819999999999E-3</v>
      </c>
      <c r="P451">
        <v>0.99738260000000001</v>
      </c>
      <c r="Q451">
        <v>-7.0409089999999994E-2</v>
      </c>
      <c r="R451">
        <v>1.6450670000000001E-2</v>
      </c>
      <c r="S451">
        <v>3.0047609999999998</v>
      </c>
      <c r="T451">
        <v>-5.327022E-2</v>
      </c>
      <c r="U451">
        <v>-3.1280519999999999E-2</v>
      </c>
      <c r="V451">
        <v>-9.2851459999999993E-3</v>
      </c>
      <c r="W451">
        <v>-5.986727E-2</v>
      </c>
      <c r="X451">
        <v>0.99816320000000003</v>
      </c>
      <c r="Y451">
        <v>1.7605579999999999E-2</v>
      </c>
      <c r="Z451">
        <v>-3.0063030000000002E-4</v>
      </c>
      <c r="AA451">
        <v>0.99984499999999998</v>
      </c>
      <c r="AB451">
        <v>26</v>
      </c>
      <c r="AC451">
        <v>60.171599999999998</v>
      </c>
      <c r="AD451">
        <v>-1.0704156963989999</v>
      </c>
      <c r="AE451">
        <v>-0.62999999999999501</v>
      </c>
      <c r="AF451">
        <v>1.0629480429320599</v>
      </c>
      <c r="AG451">
        <v>-1.0704156963989999</v>
      </c>
      <c r="AH451">
        <v>60.146471182532899</v>
      </c>
      <c r="AI451">
        <v>91.019415680069102</v>
      </c>
      <c r="AJ451">
        <v>88.987536653694903</v>
      </c>
      <c r="AK451">
        <v>60.165385763047603</v>
      </c>
      <c r="AL451">
        <v>93.432194069637802</v>
      </c>
      <c r="AM451">
        <v>90.532963280798796</v>
      </c>
      <c r="AN451">
        <v>1.0000000388938599</v>
      </c>
    </row>
    <row r="452" spans="1:40" x14ac:dyDescent="0.25">
      <c r="A452" t="str">
        <f>"20190303153751160"</f>
        <v>20190303153751160</v>
      </c>
      <c r="B452" t="str">
        <f>"1551598671148903"</f>
        <v>1551598671148903</v>
      </c>
      <c r="C452" t="s">
        <v>40</v>
      </c>
      <c r="D452">
        <v>4.2090290000000001</v>
      </c>
      <c r="E452">
        <v>0.51054949999999999</v>
      </c>
      <c r="F452" t="s">
        <v>42</v>
      </c>
      <c r="G452">
        <v>-358.26060000000001</v>
      </c>
      <c r="H452" s="1">
        <v>-1.2288270000000001E-6</v>
      </c>
      <c r="I452">
        <v>367.1703</v>
      </c>
      <c r="J452">
        <v>-420.04379999999998</v>
      </c>
      <c r="K452">
        <v>1.070376</v>
      </c>
      <c r="L452">
        <v>367.8322</v>
      </c>
      <c r="M452">
        <v>0.99992239999999999</v>
      </c>
      <c r="N452">
        <v>-1.022704E-2</v>
      </c>
      <c r="O452">
        <v>7.123318E-3</v>
      </c>
      <c r="P452">
        <v>0.99740830000000003</v>
      </c>
      <c r="Q452">
        <v>-7.013018E-2</v>
      </c>
      <c r="R452">
        <v>1.6074709999999999E-2</v>
      </c>
      <c r="S452">
        <v>3.0047299999999999</v>
      </c>
      <c r="T452">
        <v>-5.194199E-2</v>
      </c>
      <c r="U452">
        <v>-3.207397E-2</v>
      </c>
      <c r="V452">
        <v>-8.9862109999999992E-3</v>
      </c>
      <c r="W452">
        <v>-5.992252E-2</v>
      </c>
      <c r="X452">
        <v>0.99816260000000001</v>
      </c>
      <c r="Y452">
        <v>1.7792499999999999E-2</v>
      </c>
      <c r="Z452">
        <v>-2.9504809999999999E-4</v>
      </c>
      <c r="AA452">
        <v>0.9998416</v>
      </c>
      <c r="AB452">
        <v>26</v>
      </c>
      <c r="AC452">
        <v>61.783199999999901</v>
      </c>
      <c r="AD452">
        <v>-1.0703772288269999</v>
      </c>
      <c r="AE452">
        <v>-0.66190000000000204</v>
      </c>
      <c r="AF452">
        <v>1.1016769460838201</v>
      </c>
      <c r="AG452">
        <v>-1.0703772288269999</v>
      </c>
      <c r="AH452">
        <v>61.7583827349846</v>
      </c>
      <c r="AI452">
        <v>90.992775441063401</v>
      </c>
      <c r="AJ452">
        <v>88.9780375951389</v>
      </c>
      <c r="AK452">
        <v>61.777481638104703</v>
      </c>
      <c r="AL452">
        <v>93.435365425899803</v>
      </c>
      <c r="AM452">
        <v>90.515805796312605</v>
      </c>
      <c r="AN452">
        <v>1.0000000182150199</v>
      </c>
    </row>
    <row r="453" spans="1:40" x14ac:dyDescent="0.25">
      <c r="A453" t="str">
        <f>"20190303153751175"</f>
        <v>20190303153751175</v>
      </c>
      <c r="B453" t="str">
        <f>"1551598671169399"</f>
        <v>1551598671169399</v>
      </c>
      <c r="C453" t="s">
        <v>40</v>
      </c>
      <c r="D453">
        <v>4.2322439999999997</v>
      </c>
      <c r="E453">
        <v>0.51071569999999999</v>
      </c>
      <c r="F453" t="s">
        <v>42</v>
      </c>
      <c r="G453">
        <v>-357.57760000000002</v>
      </c>
      <c r="H453" s="1">
        <v>-1.470832E-6</v>
      </c>
      <c r="I453">
        <v>367.1343</v>
      </c>
      <c r="J453">
        <v>-419.88240000000002</v>
      </c>
      <c r="K453">
        <v>1.0703370000000001</v>
      </c>
      <c r="L453">
        <v>367.83330000000001</v>
      </c>
      <c r="M453">
        <v>0.99992669999999995</v>
      </c>
      <c r="N453">
        <v>-9.8479970000000007E-3</v>
      </c>
      <c r="O453">
        <v>7.0328910000000003E-3</v>
      </c>
      <c r="P453">
        <v>0.99742620000000004</v>
      </c>
      <c r="Q453">
        <v>-6.9853810000000002E-2</v>
      </c>
      <c r="R453">
        <v>1.615743E-2</v>
      </c>
      <c r="S453">
        <v>3.0047299999999999</v>
      </c>
      <c r="T453">
        <v>-5.1486850000000001E-2</v>
      </c>
      <c r="U453">
        <v>-3.3569340000000003E-2</v>
      </c>
      <c r="V453">
        <v>-9.1589319999999998E-3</v>
      </c>
      <c r="W453">
        <v>-6.0024269999999998E-2</v>
      </c>
      <c r="X453">
        <v>0.99815489999999996</v>
      </c>
      <c r="Y453">
        <v>1.8199590000000002E-2</v>
      </c>
      <c r="Z453">
        <v>-2.967825E-4</v>
      </c>
      <c r="AA453">
        <v>0.99983440000000001</v>
      </c>
      <c r="AB453">
        <v>26</v>
      </c>
      <c r="AC453">
        <v>62.3048</v>
      </c>
      <c r="AD453">
        <v>-1.0703384708319901</v>
      </c>
      <c r="AE453">
        <v>-0.69900000000001195</v>
      </c>
      <c r="AF453">
        <v>1.1368513952085599</v>
      </c>
      <c r="AG453">
        <v>-1.0703384708319901</v>
      </c>
      <c r="AH453">
        <v>62.279964979324603</v>
      </c>
      <c r="AI453">
        <v>90.9844197730459</v>
      </c>
      <c r="AJ453">
        <v>88.954245498915498</v>
      </c>
      <c r="AK453">
        <v>62.299535258000297</v>
      </c>
      <c r="AL453">
        <v>93.441205841015105</v>
      </c>
      <c r="AM453">
        <v>90.525723433626794</v>
      </c>
      <c r="AN453">
        <v>1.0000000017092101</v>
      </c>
    </row>
    <row r="454" spans="1:40" x14ac:dyDescent="0.25">
      <c r="A454" t="str">
        <f>"20190303153751187"</f>
        <v>20190303153751187</v>
      </c>
      <c r="B454" t="str">
        <f>"1551598671179158"</f>
        <v>1551598671179158</v>
      </c>
      <c r="C454" t="s">
        <v>40</v>
      </c>
      <c r="D454">
        <v>4.1599199999999996</v>
      </c>
      <c r="E454">
        <v>0.51082929999999904</v>
      </c>
      <c r="F454" t="s">
        <v>42</v>
      </c>
      <c r="G454">
        <v>-357.03269999999998</v>
      </c>
      <c r="H454" s="1">
        <v>-1.700445E-6</v>
      </c>
      <c r="I454">
        <v>367.1069</v>
      </c>
      <c r="J454">
        <v>-419.7176</v>
      </c>
      <c r="K454">
        <v>1.070308</v>
      </c>
      <c r="L454">
        <v>367.83440000000002</v>
      </c>
      <c r="M454">
        <v>0.99993100000000001</v>
      </c>
      <c r="N454">
        <v>-9.4829349999999996E-3</v>
      </c>
      <c r="O454">
        <v>6.9401799999999998E-3</v>
      </c>
      <c r="P454">
        <v>0.99745249999999996</v>
      </c>
      <c r="Q454">
        <v>-6.9525050000000005E-2</v>
      </c>
      <c r="R454">
        <v>1.5968070000000001E-2</v>
      </c>
      <c r="S454">
        <v>3.0047299999999999</v>
      </c>
      <c r="T454">
        <v>-5.117083E-2</v>
      </c>
      <c r="U454">
        <v>-3.4729000000000003E-2</v>
      </c>
      <c r="V454">
        <v>-9.0622940000000003E-3</v>
      </c>
      <c r="W454">
        <v>-6.0059719999999997E-2</v>
      </c>
      <c r="X454">
        <v>0.99815359999999997</v>
      </c>
      <c r="Y454">
        <v>1.8492720000000001E-2</v>
      </c>
      <c r="Z454">
        <v>-2.975168E-4</v>
      </c>
      <c r="AA454">
        <v>0.99982890000000002</v>
      </c>
      <c r="AB454">
        <v>26</v>
      </c>
      <c r="AC454">
        <v>62.684899999999999</v>
      </c>
      <c r="AD454">
        <v>-1.070309700445</v>
      </c>
      <c r="AE454">
        <v>-0.72750000000002002</v>
      </c>
      <c r="AF454">
        <v>1.16220772780119</v>
      </c>
      <c r="AG454">
        <v>-1.070309700445</v>
      </c>
      <c r="AH454">
        <v>62.660075751182902</v>
      </c>
      <c r="AI454">
        <v>90.978417631039306</v>
      </c>
      <c r="AJ454">
        <v>88.937410106644705</v>
      </c>
      <c r="AK454">
        <v>62.6799918857796</v>
      </c>
      <c r="AL454">
        <v>93.443240818282504</v>
      </c>
      <c r="AM454">
        <v>90.520177388523294</v>
      </c>
      <c r="AN454">
        <v>0.99999995216598903</v>
      </c>
    </row>
    <row r="455" spans="1:40" x14ac:dyDescent="0.25">
      <c r="A455" t="str">
        <f>"20190303153751205"</f>
        <v>20190303153751205</v>
      </c>
      <c r="B455" t="str">
        <f>"1551598671199187"</f>
        <v>1551598671199187</v>
      </c>
      <c r="C455" t="s">
        <v>40</v>
      </c>
      <c r="D455">
        <v>4.0630829999999998</v>
      </c>
      <c r="E455">
        <v>0.53672559999999903</v>
      </c>
      <c r="F455" t="s">
        <v>42</v>
      </c>
      <c r="G455">
        <v>-355.65980000000002</v>
      </c>
      <c r="H455" s="1">
        <v>-2.2968830000000001E-6</v>
      </c>
      <c r="I455">
        <v>367.06470000000002</v>
      </c>
      <c r="J455">
        <v>-419.53109999999998</v>
      </c>
      <c r="K455">
        <v>1.0702700000000001</v>
      </c>
      <c r="L455">
        <v>367.8356</v>
      </c>
      <c r="M455">
        <v>0.99993529999999997</v>
      </c>
      <c r="N455">
        <v>-9.1096739999999999E-3</v>
      </c>
      <c r="O455">
        <v>6.8362919999999999E-3</v>
      </c>
      <c r="P455">
        <v>0.99749120000000002</v>
      </c>
      <c r="Q455">
        <v>-6.90138E-2</v>
      </c>
      <c r="R455">
        <v>1.5769769999999999E-2</v>
      </c>
      <c r="S455">
        <v>3.0047299999999999</v>
      </c>
      <c r="T455">
        <v>-5.0204520000000002E-2</v>
      </c>
      <c r="U455">
        <v>-3.6102290000000002E-2</v>
      </c>
      <c r="V455">
        <v>-8.9676519999999996E-3</v>
      </c>
      <c r="W455">
        <v>-5.9920750000000002E-2</v>
      </c>
      <c r="X455">
        <v>0.99816289999999996</v>
      </c>
      <c r="Y455">
        <v>1.8845830000000001E-2</v>
      </c>
      <c r="Z455">
        <v>-2.9521920000000001E-4</v>
      </c>
      <c r="AA455">
        <v>0.9998224</v>
      </c>
      <c r="AB455">
        <v>26</v>
      </c>
      <c r="AC455">
        <v>63.871299999999898</v>
      </c>
      <c r="AD455">
        <v>-1.0702722968830001</v>
      </c>
      <c r="AE455">
        <v>-0.77089999999998304</v>
      </c>
      <c r="AF455">
        <v>1.20720397147058</v>
      </c>
      <c r="AG455">
        <v>-1.0702722968830001</v>
      </c>
      <c r="AH455">
        <v>63.846612344751001</v>
      </c>
      <c r="AI455">
        <v>90.960197961783294</v>
      </c>
      <c r="AJ455">
        <v>88.916787451363305</v>
      </c>
      <c r="AK455">
        <v>63.866992508800003</v>
      </c>
      <c r="AL455">
        <v>93.435263737689596</v>
      </c>
      <c r="AM455">
        <v>90.514740418000102</v>
      </c>
      <c r="AN455">
        <v>1.00000004499968</v>
      </c>
    </row>
    <row r="456" spans="1:40" x14ac:dyDescent="0.25">
      <c r="A456" t="str">
        <f>"20190303153751283"</f>
        <v>20190303153751283</v>
      </c>
      <c r="B456" t="str">
        <f>"1551598671279219"</f>
        <v>1551598671279219</v>
      </c>
      <c r="C456" t="s">
        <v>40</v>
      </c>
      <c r="D456">
        <v>4.2934239999999999</v>
      </c>
      <c r="E456">
        <v>0.53597810000000001</v>
      </c>
      <c r="F456" t="s">
        <v>46</v>
      </c>
      <c r="G456">
        <v>0</v>
      </c>
      <c r="H456">
        <v>0</v>
      </c>
      <c r="I456">
        <v>0</v>
      </c>
      <c r="J456">
        <v>-418.5849</v>
      </c>
      <c r="K456">
        <v>1.070181</v>
      </c>
      <c r="L456">
        <v>367.84129999999999</v>
      </c>
      <c r="M456">
        <v>0.99995060000000002</v>
      </c>
      <c r="N456">
        <v>-7.681111E-3</v>
      </c>
      <c r="O456">
        <v>6.3089890000000001E-3</v>
      </c>
      <c r="P456">
        <v>0.99754739999999997</v>
      </c>
      <c r="Q456">
        <v>-6.8574389999999999E-2</v>
      </c>
      <c r="R456">
        <v>1.404624E-2</v>
      </c>
      <c r="S456">
        <v>3.0190730000000001</v>
      </c>
      <c r="T456">
        <v>0.11220380000000001</v>
      </c>
      <c r="U456">
        <v>-0.24093629999999999</v>
      </c>
      <c r="V456">
        <v>-7.7710899999999996E-3</v>
      </c>
      <c r="W456">
        <v>-6.090723E-2</v>
      </c>
      <c r="X456">
        <v>0.99811320000000003</v>
      </c>
      <c r="Y456">
        <v>8.5786459999999995E-2</v>
      </c>
      <c r="Z456">
        <v>1.543361E-3</v>
      </c>
      <c r="AA456">
        <v>0.99631239999999999</v>
      </c>
      <c r="AB456">
        <v>27</v>
      </c>
      <c r="AC456">
        <v>3.0190730000000001</v>
      </c>
      <c r="AD456">
        <v>0.11220380000000001</v>
      </c>
      <c r="AE456">
        <v>-0.24093629999999999</v>
      </c>
      <c r="AF456">
        <v>0.259623033556168</v>
      </c>
      <c r="AG456">
        <v>0.11220380000000001</v>
      </c>
      <c r="AH456">
        <v>3.01335698484792</v>
      </c>
      <c r="AI456">
        <v>87.875412876816299</v>
      </c>
      <c r="AJ456">
        <v>85.075704512494497</v>
      </c>
      <c r="AK456">
        <v>3.0266010854453702</v>
      </c>
      <c r="AL456">
        <v>93.491888394592905</v>
      </c>
      <c r="AM456">
        <v>90.446083332785506</v>
      </c>
      <c r="AN456">
        <v>1.00000002026015</v>
      </c>
    </row>
    <row r="457" spans="1:40" x14ac:dyDescent="0.25">
      <c r="A457" t="str">
        <f>"20190303153751338"</f>
        <v>20190303153751338</v>
      </c>
      <c r="B457" t="str">
        <f>"1551598671329330"</f>
        <v>1551598671329330</v>
      </c>
      <c r="C457" t="s">
        <v>40</v>
      </c>
      <c r="D457">
        <v>4.1510930000000004</v>
      </c>
      <c r="E457">
        <v>0.53709419999999897</v>
      </c>
      <c r="F457" t="s">
        <v>46</v>
      </c>
      <c r="G457">
        <v>0</v>
      </c>
      <c r="H457">
        <v>0</v>
      </c>
      <c r="I457">
        <v>0</v>
      </c>
      <c r="J457">
        <v>-417.92309999999998</v>
      </c>
      <c r="K457">
        <v>1.070157</v>
      </c>
      <c r="L457">
        <v>367.84500000000003</v>
      </c>
      <c r="M457">
        <v>0.99995750000000005</v>
      </c>
      <c r="N457">
        <v>-7.0567549999999996E-3</v>
      </c>
      <c r="O457">
        <v>5.9408209999999998E-3</v>
      </c>
      <c r="P457">
        <v>0.99748219999999999</v>
      </c>
      <c r="Q457">
        <v>-6.9779369999999993E-2</v>
      </c>
      <c r="R457">
        <v>1.2668789999999999E-2</v>
      </c>
      <c r="S457">
        <v>3.0225219999999999</v>
      </c>
      <c r="T457">
        <v>0.17123769999999999</v>
      </c>
      <c r="U457">
        <v>-0.2398682</v>
      </c>
      <c r="V457">
        <v>-6.7618069999999999E-3</v>
      </c>
      <c r="W457">
        <v>-6.2736180000000002E-2</v>
      </c>
      <c r="X457">
        <v>0.99800719999999998</v>
      </c>
      <c r="Y457">
        <v>8.4902149999999996E-2</v>
      </c>
      <c r="Z457">
        <v>2.476692E-3</v>
      </c>
      <c r="AA457">
        <v>0.9963862</v>
      </c>
      <c r="AB457">
        <v>27</v>
      </c>
      <c r="AC457">
        <v>3.0225219999999999</v>
      </c>
      <c r="AD457">
        <v>0.17123769999999999</v>
      </c>
      <c r="AE457">
        <v>-0.2398682</v>
      </c>
      <c r="AF457">
        <v>0.25700095079657898</v>
      </c>
      <c r="AG457">
        <v>0.17123769999999999</v>
      </c>
      <c r="AH457">
        <v>3.0114383929604398</v>
      </c>
      <c r="AI457">
        <v>86.757289341950894</v>
      </c>
      <c r="AJ457">
        <v>85.122106175671703</v>
      </c>
      <c r="AK457">
        <v>3.0272319093864901</v>
      </c>
      <c r="AL457">
        <v>93.596880565112798</v>
      </c>
      <c r="AM457">
        <v>90.388190661302005</v>
      </c>
      <c r="AN457">
        <v>0.99999996078336795</v>
      </c>
    </row>
    <row r="458" spans="1:40" x14ac:dyDescent="0.25">
      <c r="A458" t="str">
        <f>"20190303153751351"</f>
        <v>20190303153751351</v>
      </c>
      <c r="B458" t="str">
        <f>"1551598671339091"</f>
        <v>1551598671339091</v>
      </c>
      <c r="C458" t="s">
        <v>40</v>
      </c>
      <c r="D458">
        <v>4.1808569999999996</v>
      </c>
      <c r="E458">
        <v>0.53496330000000003</v>
      </c>
      <c r="F458" t="s">
        <v>46</v>
      </c>
      <c r="G458">
        <v>0</v>
      </c>
      <c r="H458">
        <v>0</v>
      </c>
      <c r="I458">
        <v>0</v>
      </c>
      <c r="J458">
        <v>-417.76819999999998</v>
      </c>
      <c r="K458">
        <v>1.0701529999999999</v>
      </c>
      <c r="L458">
        <v>367.84589999999997</v>
      </c>
      <c r="M458">
        <v>0.99995889999999998</v>
      </c>
      <c r="N458">
        <v>-6.939204E-3</v>
      </c>
      <c r="O458">
        <v>5.8544640000000002E-3</v>
      </c>
      <c r="P458">
        <v>0.99751699999999999</v>
      </c>
      <c r="Q458">
        <v>-6.9334800000000002E-2</v>
      </c>
      <c r="R458">
        <v>1.2369109999999999E-2</v>
      </c>
      <c r="S458">
        <v>3.0217900000000002</v>
      </c>
      <c r="T458">
        <v>0.1572827</v>
      </c>
      <c r="U458">
        <v>-0.25320429999999999</v>
      </c>
      <c r="V458">
        <v>-6.5482680000000003E-3</v>
      </c>
      <c r="W458">
        <v>-6.2408739999999997E-2</v>
      </c>
      <c r="X458">
        <v>0.99802919999999995</v>
      </c>
      <c r="Y458">
        <v>8.9219010000000001E-2</v>
      </c>
      <c r="Z458">
        <v>2.3505259999999999E-3</v>
      </c>
      <c r="AA458">
        <v>0.99600920000000004</v>
      </c>
      <c r="AB458">
        <v>27</v>
      </c>
      <c r="AC458">
        <v>3.0217900000000002</v>
      </c>
      <c r="AD458">
        <v>0.1572827</v>
      </c>
      <c r="AE458">
        <v>-0.25320429999999999</v>
      </c>
      <c r="AF458">
        <v>0.27016453157328801</v>
      </c>
      <c r="AG458">
        <v>0.1572827</v>
      </c>
      <c r="AH458">
        <v>3.0121523189009398</v>
      </c>
      <c r="AI458">
        <v>87.022884416520995</v>
      </c>
      <c r="AJ458">
        <v>84.8747682932743</v>
      </c>
      <c r="AK458">
        <v>3.0283309452732898</v>
      </c>
      <c r="AL458">
        <v>93.578082631759699</v>
      </c>
      <c r="AM458">
        <v>90.375923606036693</v>
      </c>
      <c r="AN458">
        <v>1.00000000734741</v>
      </c>
    </row>
    <row r="459" spans="1:40" x14ac:dyDescent="0.25">
      <c r="A459" t="str">
        <f>"20190303153751363"</f>
        <v>20190303153751363</v>
      </c>
      <c r="B459" t="str">
        <f>"1551598671359589"</f>
        <v>1551598671359589</v>
      </c>
      <c r="C459" t="s">
        <v>40</v>
      </c>
      <c r="D459">
        <v>4.1544629999999998</v>
      </c>
      <c r="E459">
        <v>0.53202919999999998</v>
      </c>
      <c r="F459" t="s">
        <v>46</v>
      </c>
      <c r="G459">
        <v>0</v>
      </c>
      <c r="H459">
        <v>0</v>
      </c>
      <c r="I459">
        <v>0</v>
      </c>
      <c r="J459">
        <v>-417.61689999999999</v>
      </c>
      <c r="K459">
        <v>1.0701510000000001</v>
      </c>
      <c r="L459">
        <v>367.8467</v>
      </c>
      <c r="M459">
        <v>0.99996010000000002</v>
      </c>
      <c r="N459">
        <v>-6.8338399999999999E-3</v>
      </c>
      <c r="O459">
        <v>5.7703229999999999E-3</v>
      </c>
      <c r="P459">
        <v>0.99753190000000003</v>
      </c>
      <c r="Q459">
        <v>-6.9143549999999998E-2</v>
      </c>
      <c r="R459">
        <v>1.2227150000000001E-2</v>
      </c>
      <c r="S459">
        <v>3.0201419999999999</v>
      </c>
      <c r="T459">
        <v>0.14046929999999999</v>
      </c>
      <c r="U459">
        <v>-0.2371521</v>
      </c>
      <c r="V459">
        <v>-6.490244E-3</v>
      </c>
      <c r="W459">
        <v>-6.2322589999999997E-2</v>
      </c>
      <c r="X459">
        <v>0.99803500000000001</v>
      </c>
      <c r="Y459">
        <v>8.394894E-2</v>
      </c>
      <c r="Z459">
        <v>1.9679839999999999E-3</v>
      </c>
      <c r="AA459">
        <v>0.99646809999999997</v>
      </c>
      <c r="AB459">
        <v>27</v>
      </c>
      <c r="AC459">
        <v>3.0201419999999999</v>
      </c>
      <c r="AD459">
        <v>0.14046929999999999</v>
      </c>
      <c r="AE459">
        <v>-0.2371521</v>
      </c>
      <c r="AF459">
        <v>0.25402958799522501</v>
      </c>
      <c r="AG459">
        <v>0.14046929999999999</v>
      </c>
      <c r="AH459">
        <v>3.0122469094953699</v>
      </c>
      <c r="AI459">
        <v>87.339505773721299</v>
      </c>
      <c r="AJ459">
        <v>85.179523493058298</v>
      </c>
      <c r="AK459">
        <v>3.0262012655446302</v>
      </c>
      <c r="AL459">
        <v>93.573136838802697</v>
      </c>
      <c r="AM459">
        <v>90.372590487701004</v>
      </c>
      <c r="AN459">
        <v>1.00000004485824</v>
      </c>
    </row>
    <row r="460" spans="1:40" x14ac:dyDescent="0.25">
      <c r="A460" t="str">
        <f>"20190303153751382"</f>
        <v>20190303153751382</v>
      </c>
      <c r="B460" t="str">
        <f>"1551598671379107"</f>
        <v>1551598671379107</v>
      </c>
      <c r="C460" t="s">
        <v>40</v>
      </c>
      <c r="D460">
        <v>4.1991440000000004</v>
      </c>
      <c r="E460">
        <v>0.52983080000000005</v>
      </c>
      <c r="F460" t="s">
        <v>46</v>
      </c>
      <c r="G460">
        <v>0</v>
      </c>
      <c r="H460">
        <v>0</v>
      </c>
      <c r="I460">
        <v>0</v>
      </c>
      <c r="J460">
        <v>-417.38850000000002</v>
      </c>
      <c r="K460">
        <v>1.07013799999999</v>
      </c>
      <c r="L460">
        <v>367.84789999999998</v>
      </c>
      <c r="M460">
        <v>0.99996180000000001</v>
      </c>
      <c r="N460">
        <v>-6.6730239999999996E-3</v>
      </c>
      <c r="O460">
        <v>5.643276E-3</v>
      </c>
      <c r="P460">
        <v>0.99758539999999996</v>
      </c>
      <c r="Q460">
        <v>-6.8388959999999999E-2</v>
      </c>
      <c r="R460">
        <v>1.210494E-2</v>
      </c>
      <c r="S460">
        <v>3.0185240000000002</v>
      </c>
      <c r="T460">
        <v>0.1215427</v>
      </c>
      <c r="U460">
        <v>-0.21481320000000001</v>
      </c>
      <c r="V460">
        <v>-6.4942919999999996E-3</v>
      </c>
      <c r="W460">
        <v>-6.1728180000000001E-2</v>
      </c>
      <c r="X460">
        <v>0.99807179999999995</v>
      </c>
      <c r="Y460">
        <v>7.6555860000000003E-2</v>
      </c>
      <c r="Z460">
        <v>1.5473279999999999E-3</v>
      </c>
      <c r="AA460">
        <v>0.99706410000000001</v>
      </c>
      <c r="AB460">
        <v>27</v>
      </c>
      <c r="AC460">
        <v>3.0185240000000002</v>
      </c>
      <c r="AD460">
        <v>0.1215427</v>
      </c>
      <c r="AE460">
        <v>-0.21481320000000001</v>
      </c>
      <c r="AF460">
        <v>0.231471125307009</v>
      </c>
      <c r="AG460">
        <v>0.1215427</v>
      </c>
      <c r="AH460">
        <v>3.0124041975935998</v>
      </c>
      <c r="AI460">
        <v>87.696300530971001</v>
      </c>
      <c r="AJ460">
        <v>85.606064699266994</v>
      </c>
      <c r="AK460">
        <v>3.0237279241779902</v>
      </c>
      <c r="AL460">
        <v>93.539014357852594</v>
      </c>
      <c r="AM460">
        <v>90.372809121830102</v>
      </c>
      <c r="AN460">
        <v>0.99999993099496398</v>
      </c>
    </row>
    <row r="461" spans="1:40" x14ac:dyDescent="0.25">
      <c r="A461" t="str">
        <f>"20190303153751395"</f>
        <v>20190303153751395</v>
      </c>
      <c r="B461" t="str">
        <f>"1551598671389843"</f>
        <v>1551598671389843</v>
      </c>
      <c r="C461" t="s">
        <v>40</v>
      </c>
      <c r="D461">
        <v>4.2113870000000002</v>
      </c>
      <c r="E461">
        <v>0.52845010000000003</v>
      </c>
      <c r="F461" t="s">
        <v>41</v>
      </c>
      <c r="G461">
        <v>-158.78319999999999</v>
      </c>
      <c r="H461">
        <v>10.68507</v>
      </c>
      <c r="I461">
        <v>350.91480000000001</v>
      </c>
      <c r="J461">
        <v>-417.23340000000002</v>
      </c>
      <c r="K461">
        <v>1.07012</v>
      </c>
      <c r="L461">
        <v>367.84870000000001</v>
      </c>
      <c r="M461">
        <v>0.99996320000000005</v>
      </c>
      <c r="N461">
        <v>-6.5515310000000002E-3</v>
      </c>
      <c r="O461">
        <v>5.5566130000000002E-3</v>
      </c>
      <c r="P461">
        <v>0.99759779999999998</v>
      </c>
      <c r="Q461">
        <v>-6.8182350000000003E-2</v>
      </c>
      <c r="R461">
        <v>1.2244959999999999E-2</v>
      </c>
      <c r="S461">
        <v>3.017334</v>
      </c>
      <c r="T461">
        <v>0.112185199999999</v>
      </c>
      <c r="U461">
        <v>-0.19757079999999999</v>
      </c>
      <c r="V461">
        <v>-6.7208629999999997E-3</v>
      </c>
      <c r="W461">
        <v>-6.1642660000000002E-2</v>
      </c>
      <c r="X461">
        <v>0.99807570000000001</v>
      </c>
      <c r="Y461">
        <v>7.0837129999999998E-2</v>
      </c>
      <c r="Z461">
        <v>1.3253099999999999E-3</v>
      </c>
      <c r="AA461">
        <v>0.99748700000000001</v>
      </c>
      <c r="AB461">
        <v>27</v>
      </c>
      <c r="AC461">
        <v>258.4502</v>
      </c>
      <c r="AD461">
        <v>9.6149500000000003</v>
      </c>
      <c r="AE461">
        <v>-16.933899999999898</v>
      </c>
      <c r="AF461">
        <v>18.344496479963599</v>
      </c>
      <c r="AG461">
        <v>9.6149500000000003</v>
      </c>
      <c r="AH461">
        <v>257.996568337714</v>
      </c>
      <c r="AI461">
        <v>87.871073190675801</v>
      </c>
      <c r="AJ461">
        <v>85.9329060417314</v>
      </c>
      <c r="AK461">
        <v>258.82657724554201</v>
      </c>
      <c r="AL461">
        <v>93.534104669173999</v>
      </c>
      <c r="AM461">
        <v>90.385813685663393</v>
      </c>
      <c r="AN461">
        <v>1.0000000452309099</v>
      </c>
    </row>
    <row r="462" spans="1:40" x14ac:dyDescent="0.25">
      <c r="A462" t="str">
        <f>"20190303153751418"</f>
        <v>20190303153751418</v>
      </c>
      <c r="B462" t="str">
        <f>"1551598671409682"</f>
        <v>1551598671409682</v>
      </c>
      <c r="C462" t="s">
        <v>40</v>
      </c>
      <c r="D462">
        <v>4.223338</v>
      </c>
      <c r="E462">
        <v>0.52633169999999996</v>
      </c>
      <c r="F462" t="s">
        <v>41</v>
      </c>
      <c r="G462">
        <v>-158.78319999999999</v>
      </c>
      <c r="H462">
        <v>10.0556</v>
      </c>
      <c r="I462">
        <v>351.8947</v>
      </c>
      <c r="J462">
        <v>-416.95190000000002</v>
      </c>
      <c r="K462">
        <v>1.070065</v>
      </c>
      <c r="L462">
        <v>367.85</v>
      </c>
      <c r="M462">
        <v>0.99996569999999996</v>
      </c>
      <c r="N462">
        <v>-6.2785580000000001E-3</v>
      </c>
      <c r="O462">
        <v>5.399816E-3</v>
      </c>
      <c r="P462">
        <v>0.99760819999999995</v>
      </c>
      <c r="Q462">
        <v>-6.7995899999999998E-2</v>
      </c>
      <c r="R462">
        <v>1.245304E-2</v>
      </c>
      <c r="S462">
        <v>3.0166930000000001</v>
      </c>
      <c r="T462">
        <v>0.10488160000000001</v>
      </c>
      <c r="U462">
        <v>-0.1862183</v>
      </c>
      <c r="V462">
        <v>-7.085381E-3</v>
      </c>
      <c r="W462">
        <v>-6.1728470000000001E-2</v>
      </c>
      <c r="X462">
        <v>0.99806790000000001</v>
      </c>
      <c r="Y462">
        <v>6.6963220000000004E-2</v>
      </c>
      <c r="Z462">
        <v>1.1734969999999999E-3</v>
      </c>
      <c r="AA462">
        <v>0.99775480000000005</v>
      </c>
      <c r="AB462">
        <v>27</v>
      </c>
      <c r="AC462">
        <v>258.1687</v>
      </c>
      <c r="AD462">
        <v>8.9855350000000005</v>
      </c>
      <c r="AE462">
        <v>-15.955299999999999</v>
      </c>
      <c r="AF462">
        <v>17.3282471090141</v>
      </c>
      <c r="AG462">
        <v>8.9855350000000005</v>
      </c>
      <c r="AH462">
        <v>257.76771183657098</v>
      </c>
      <c r="AI462">
        <v>88.008024796838299</v>
      </c>
      <c r="AJ462">
        <v>86.154119204316203</v>
      </c>
      <c r="AK462">
        <v>258.505708355867</v>
      </c>
      <c r="AL462">
        <v>93.539030513439897</v>
      </c>
      <c r="AM462">
        <v>90.406741473161404</v>
      </c>
      <c r="AN462">
        <v>1.00000006982143</v>
      </c>
    </row>
    <row r="463" spans="1:40" x14ac:dyDescent="0.25">
      <c r="A463" t="str">
        <f>"20190303153751439"</f>
        <v>20190303153751439</v>
      </c>
      <c r="B463" t="str">
        <f>"1551598671429202"</f>
        <v>1551598671429202</v>
      </c>
      <c r="C463" t="s">
        <v>40</v>
      </c>
      <c r="D463">
        <v>4.2095989999999999</v>
      </c>
      <c r="E463">
        <v>0.52475509999999903</v>
      </c>
      <c r="F463" t="s">
        <v>41</v>
      </c>
      <c r="G463">
        <v>-168.84350000000001</v>
      </c>
      <c r="H463">
        <v>8.7157649999999993</v>
      </c>
      <c r="I463">
        <v>353.96539999999999</v>
      </c>
      <c r="J463">
        <v>-416.68340000000001</v>
      </c>
      <c r="K463">
        <v>1.070009</v>
      </c>
      <c r="L463">
        <v>367.85129999999998</v>
      </c>
      <c r="M463">
        <v>0.99996859999999999</v>
      </c>
      <c r="N463">
        <v>-5.9472170000000003E-3</v>
      </c>
      <c r="O463">
        <v>5.2496069999999999E-3</v>
      </c>
      <c r="P463">
        <v>0.99763979999999997</v>
      </c>
      <c r="Q463">
        <v>-6.7493079999999997E-2</v>
      </c>
      <c r="R463">
        <v>1.263857E-2</v>
      </c>
      <c r="S463">
        <v>3.0156559999999999</v>
      </c>
      <c r="T463">
        <v>9.2931390000000003E-2</v>
      </c>
      <c r="U463">
        <v>-0.1687622</v>
      </c>
      <c r="V463">
        <v>-7.4205039999999996E-3</v>
      </c>
      <c r="W463">
        <v>-6.1556069999999997E-2</v>
      </c>
      <c r="X463">
        <v>0.99807599999999996</v>
      </c>
      <c r="Y463">
        <v>6.1088490000000002E-2</v>
      </c>
      <c r="Z463">
        <v>9.5127180000000001E-4</v>
      </c>
      <c r="AA463">
        <v>0.99813189999999996</v>
      </c>
      <c r="AB463">
        <v>28</v>
      </c>
      <c r="AC463">
        <v>247.8399</v>
      </c>
      <c r="AD463">
        <v>7.6457559999999898</v>
      </c>
      <c r="AE463">
        <v>-13.8858999999999</v>
      </c>
      <c r="AF463">
        <v>15.1723993229465</v>
      </c>
      <c r="AG463">
        <v>7.6457559999999898</v>
      </c>
      <c r="AH463">
        <v>247.52875297448199</v>
      </c>
      <c r="AI463">
        <v>88.234102286961203</v>
      </c>
      <c r="AJ463">
        <v>86.492414832928503</v>
      </c>
      <c r="AK463">
        <v>248.11115016284299</v>
      </c>
      <c r="AL463">
        <v>93.529134297590502</v>
      </c>
      <c r="AM463">
        <v>90.425975303970603</v>
      </c>
      <c r="AN463">
        <v>0.99999995770472805</v>
      </c>
    </row>
    <row r="464" spans="1:40" x14ac:dyDescent="0.25">
      <c r="A464" t="str">
        <f>"20190303153751452"</f>
        <v>20190303153751452</v>
      </c>
      <c r="B464" t="str">
        <f>"1551598671438962"</f>
        <v>1551598671438962</v>
      </c>
      <c r="C464" t="s">
        <v>40</v>
      </c>
      <c r="D464">
        <v>4.2145869999999999</v>
      </c>
      <c r="E464">
        <v>0.52412190000000003</v>
      </c>
      <c r="F464" t="s">
        <v>41</v>
      </c>
      <c r="G464">
        <v>-170.08879999999999</v>
      </c>
      <c r="H464">
        <v>8.0958369999999995</v>
      </c>
      <c r="I464">
        <v>355.0788</v>
      </c>
      <c r="J464">
        <v>-416.5283</v>
      </c>
      <c r="K464">
        <v>1.069968</v>
      </c>
      <c r="L464">
        <v>367.85210000000001</v>
      </c>
      <c r="M464">
        <v>0.99997029999999998</v>
      </c>
      <c r="N464">
        <v>-5.7315619999999999E-3</v>
      </c>
      <c r="O464">
        <v>5.162476E-3</v>
      </c>
      <c r="P464">
        <v>0.99769090000000005</v>
      </c>
      <c r="Q464">
        <v>-6.6717830000000006E-2</v>
      </c>
      <c r="R464">
        <v>1.27256E-2</v>
      </c>
      <c r="S464">
        <v>3.0148929999999998</v>
      </c>
      <c r="T464">
        <v>8.5899589999999998E-2</v>
      </c>
      <c r="U464">
        <v>-0.156158399999999</v>
      </c>
      <c r="V464">
        <v>-7.5939989999999997E-3</v>
      </c>
      <c r="W464">
        <v>-6.0995720000000003E-2</v>
      </c>
      <c r="X464">
        <v>0.99810920000000003</v>
      </c>
      <c r="Y464">
        <v>5.6859930000000003E-2</v>
      </c>
      <c r="Z464">
        <v>8.2275399999999998E-4</v>
      </c>
      <c r="AA464">
        <v>0.99838190000000004</v>
      </c>
      <c r="AB464">
        <v>28</v>
      </c>
      <c r="AC464">
        <v>246.43950000000001</v>
      </c>
      <c r="AD464">
        <v>7.0258689999999904</v>
      </c>
      <c r="AE464">
        <v>-12.773300000000001</v>
      </c>
      <c r="AF464">
        <v>14.0340124459506</v>
      </c>
      <c r="AG464">
        <v>7.0258689999999904</v>
      </c>
      <c r="AH464">
        <v>246.17072346331699</v>
      </c>
      <c r="AI464">
        <v>88.367834534561993</v>
      </c>
      <c r="AJ464">
        <v>86.737141387277205</v>
      </c>
      <c r="AK464">
        <v>246.670511879695</v>
      </c>
      <c r="AL464">
        <v>93.496967799969596</v>
      </c>
      <c r="AM464">
        <v>90.435919934330798</v>
      </c>
      <c r="AN464">
        <v>1.00000006090188</v>
      </c>
    </row>
    <row r="465" spans="1:40" x14ac:dyDescent="0.25">
      <c r="A465" t="str">
        <f>"20190303153751464"</f>
        <v>20190303153751464</v>
      </c>
      <c r="B465" t="str">
        <f>"1551598671459459"</f>
        <v>1551598671459459</v>
      </c>
      <c r="C465" t="s">
        <v>40</v>
      </c>
      <c r="D465">
        <v>4.2692319999999997</v>
      </c>
      <c r="E465">
        <v>0.52310809999999996</v>
      </c>
      <c r="F465" t="s">
        <v>41</v>
      </c>
      <c r="G465">
        <v>-170.08879999999999</v>
      </c>
      <c r="H465">
        <v>7.9886140000000001</v>
      </c>
      <c r="I465">
        <v>355.5378</v>
      </c>
      <c r="J465">
        <v>-416.37389999999999</v>
      </c>
      <c r="K465">
        <v>1.069923</v>
      </c>
      <c r="L465">
        <v>367.8528</v>
      </c>
      <c r="M465">
        <v>0.99997219999999998</v>
      </c>
      <c r="N465">
        <v>-5.4959259999999999E-3</v>
      </c>
      <c r="O465">
        <v>5.0762719999999997E-3</v>
      </c>
      <c r="P465">
        <v>0.99771259999999995</v>
      </c>
      <c r="Q465">
        <v>-6.6379880000000002E-2</v>
      </c>
      <c r="R465">
        <v>1.279697E-2</v>
      </c>
      <c r="S465">
        <v>3.0145569999999999</v>
      </c>
      <c r="T465">
        <v>8.4632990000000005E-2</v>
      </c>
      <c r="U465">
        <v>-0.15063480000000001</v>
      </c>
      <c r="V465">
        <v>-7.751109E-3</v>
      </c>
      <c r="W465">
        <v>-6.0892809999999999E-2</v>
      </c>
      <c r="X465">
        <v>0.99811419999999995</v>
      </c>
      <c r="Y465">
        <v>5.4956020000000001E-2</v>
      </c>
      <c r="Z465">
        <v>7.8994660000000002E-4</v>
      </c>
      <c r="AA465">
        <v>0.9984885</v>
      </c>
      <c r="AB465">
        <v>28</v>
      </c>
      <c r="AC465">
        <v>246.2851</v>
      </c>
      <c r="AD465">
        <v>6.9186909999999999</v>
      </c>
      <c r="AE465">
        <v>-12.3149999999999</v>
      </c>
      <c r="AF465">
        <v>13.5544000566112</v>
      </c>
      <c r="AG465">
        <v>6.9186909999999999</v>
      </c>
      <c r="AH465">
        <v>246.02573910778599</v>
      </c>
      <c r="AI465">
        <v>88.391600918177602</v>
      </c>
      <c r="AJ465">
        <v>86.846567340618193</v>
      </c>
      <c r="AK465">
        <v>246.495951994309</v>
      </c>
      <c r="AL465">
        <v>93.491060775899101</v>
      </c>
      <c r="AM465">
        <v>90.444935965259006</v>
      </c>
      <c r="AN465">
        <v>0.99999998512103205</v>
      </c>
    </row>
    <row r="466" spans="1:40" x14ac:dyDescent="0.25">
      <c r="A466" t="str">
        <f>"20190303153751481"</f>
        <v>20190303153751481</v>
      </c>
      <c r="B466" t="str">
        <f>"1551598671469218"</f>
        <v>1551598671469218</v>
      </c>
      <c r="C466" t="s">
        <v>40</v>
      </c>
      <c r="D466">
        <v>4.2213440000000002</v>
      </c>
      <c r="E466">
        <v>0.52264520000000003</v>
      </c>
      <c r="F466" t="s">
        <v>41</v>
      </c>
      <c r="G466">
        <v>-170.08879999999999</v>
      </c>
      <c r="H466">
        <v>7.5009629999999996</v>
      </c>
      <c r="I466">
        <v>356.23450000000003</v>
      </c>
      <c r="J466">
        <v>-416.15190000000001</v>
      </c>
      <c r="K466">
        <v>1.069858</v>
      </c>
      <c r="L466">
        <v>367.85379999999998</v>
      </c>
      <c r="M466">
        <v>0.99997449999999999</v>
      </c>
      <c r="N466">
        <v>-5.1411349999999998E-3</v>
      </c>
      <c r="O466">
        <v>4.9528180000000003E-3</v>
      </c>
      <c r="P466">
        <v>0.99775480000000005</v>
      </c>
      <c r="Q466">
        <v>-6.5752210000000005E-2</v>
      </c>
      <c r="R466">
        <v>1.2733370000000001E-2</v>
      </c>
      <c r="S466">
        <v>3.0139469999999999</v>
      </c>
      <c r="T466">
        <v>7.8701729999999998E-2</v>
      </c>
      <c r="U466">
        <v>-0.14218140000000001</v>
      </c>
      <c r="V466">
        <v>-7.8102529999999996E-3</v>
      </c>
      <c r="W466">
        <v>-6.0619020000000003E-2</v>
      </c>
      <c r="X466">
        <v>0.99813039999999997</v>
      </c>
      <c r="Y466">
        <v>5.2052269999999998E-2</v>
      </c>
      <c r="Z466">
        <v>6.9990059999999895E-4</v>
      </c>
      <c r="AA466">
        <v>0.99864410000000003</v>
      </c>
      <c r="AB466">
        <v>28</v>
      </c>
      <c r="AC466">
        <v>246.06309999999999</v>
      </c>
      <c r="AD466">
        <v>6.4311049999999996</v>
      </c>
      <c r="AE466">
        <v>-11.6192999999999</v>
      </c>
      <c r="AF466">
        <v>12.829135399708401</v>
      </c>
      <c r="AG466">
        <v>6.4311049999999996</v>
      </c>
      <c r="AH466">
        <v>245.83497893229401</v>
      </c>
      <c r="AI466">
        <v>88.503505195744793</v>
      </c>
      <c r="AJ466">
        <v>87.012674406330802</v>
      </c>
      <c r="AK466">
        <v>246.25349275343601</v>
      </c>
      <c r="AL466">
        <v>93.4753447471615</v>
      </c>
      <c r="AM466">
        <v>90.448323586760495</v>
      </c>
      <c r="AN466">
        <v>0.99999998052092198</v>
      </c>
    </row>
    <row r="467" spans="1:40" x14ac:dyDescent="0.25">
      <c r="A467" t="str">
        <f>"20190303153751493"</f>
        <v>20190303153751493</v>
      </c>
      <c r="B467" t="str">
        <f>"1551598671489715"</f>
        <v>1551598671489715</v>
      </c>
      <c r="C467" t="s">
        <v>40</v>
      </c>
      <c r="D467">
        <v>4.2629950000000001</v>
      </c>
      <c r="E467">
        <v>0.52191849999999995</v>
      </c>
      <c r="F467" t="s">
        <v>41</v>
      </c>
      <c r="G467">
        <v>-170.08879999999999</v>
      </c>
      <c r="H467">
        <v>7.4409320000000001</v>
      </c>
      <c r="I467">
        <v>356.55119999999999</v>
      </c>
      <c r="J467">
        <v>-416.00529999999998</v>
      </c>
      <c r="K467">
        <v>1.069812</v>
      </c>
      <c r="L467">
        <v>367.85449999999997</v>
      </c>
      <c r="M467">
        <v>0.99997619999999998</v>
      </c>
      <c r="N467">
        <v>-4.9013099999999999E-3</v>
      </c>
      <c r="O467">
        <v>4.871383E-3</v>
      </c>
      <c r="P467">
        <v>0.99774859999999999</v>
      </c>
      <c r="Q467">
        <v>-6.582607E-2</v>
      </c>
      <c r="R467">
        <v>1.283927E-2</v>
      </c>
      <c r="S467">
        <v>3.0136409999999998</v>
      </c>
      <c r="T467">
        <v>7.8030349999999998E-2</v>
      </c>
      <c r="U467">
        <v>-0.13842769999999999</v>
      </c>
      <c r="V467">
        <v>-7.9980999999999993E-3</v>
      </c>
      <c r="W467">
        <v>-6.0932210000000001E-2</v>
      </c>
      <c r="X467">
        <v>0.99810989999999999</v>
      </c>
      <c r="Y467">
        <v>5.073503E-2</v>
      </c>
      <c r="Z467">
        <v>6.8185800000000003E-4</v>
      </c>
      <c r="AA467">
        <v>0.99871189999999999</v>
      </c>
      <c r="AB467">
        <v>28</v>
      </c>
      <c r="AC467">
        <v>245.91650000000001</v>
      </c>
      <c r="AD467">
        <v>6.3711200000000003</v>
      </c>
      <c r="AE467">
        <v>-11.303299999999901</v>
      </c>
      <c r="AF467">
        <v>12.4927660857317</v>
      </c>
      <c r="AG467">
        <v>6.3711200000000003</v>
      </c>
      <c r="AH467">
        <v>245.69395496969099</v>
      </c>
      <c r="AI467">
        <v>88.516504635618901</v>
      </c>
      <c r="AJ467">
        <v>87.089196337616499</v>
      </c>
      <c r="AK467">
        <v>246.09384365151399</v>
      </c>
      <c r="AL467">
        <v>93.493322243817403</v>
      </c>
      <c r="AM467">
        <v>90.459115339847799</v>
      </c>
      <c r="AN467">
        <v>1.0000000381485501</v>
      </c>
    </row>
    <row r="468" spans="1:40" x14ac:dyDescent="0.25">
      <c r="A468" t="str">
        <f>"20190303153751505"</f>
        <v>20190303153751505</v>
      </c>
      <c r="B468" t="str">
        <f>"1551598671499475"</f>
        <v>1551598671499475</v>
      </c>
      <c r="C468" t="s">
        <v>40</v>
      </c>
      <c r="D468">
        <v>4.269247</v>
      </c>
      <c r="E468">
        <v>0.52155790000000002</v>
      </c>
      <c r="F468" t="s">
        <v>41</v>
      </c>
      <c r="G468">
        <v>-170.08879999999999</v>
      </c>
      <c r="H468">
        <v>6.9926830000000004</v>
      </c>
      <c r="I468">
        <v>357.03789999999998</v>
      </c>
      <c r="J468">
        <v>-415.85520000000002</v>
      </c>
      <c r="K468">
        <v>1.069766</v>
      </c>
      <c r="L468">
        <v>367.85509999999999</v>
      </c>
      <c r="M468">
        <v>0.99997780000000003</v>
      </c>
      <c r="N468">
        <v>-4.6533479999999999E-3</v>
      </c>
      <c r="O468">
        <v>4.7880910000000004E-3</v>
      </c>
      <c r="P468">
        <v>0.99774240000000003</v>
      </c>
      <c r="Q468">
        <v>-6.5940269999999995E-2</v>
      </c>
      <c r="R468">
        <v>1.2734840000000001E-2</v>
      </c>
      <c r="S468">
        <v>3.0132750000000001</v>
      </c>
      <c r="T468">
        <v>7.257545E-2</v>
      </c>
      <c r="U468">
        <v>-0.13253779999999901</v>
      </c>
      <c r="V468">
        <v>-7.9769809999999993E-3</v>
      </c>
      <c r="W468">
        <v>-6.129395E-2</v>
      </c>
      <c r="X468">
        <v>0.99808790000000003</v>
      </c>
      <c r="Y468">
        <v>4.8711820000000003E-2</v>
      </c>
      <c r="Z468">
        <v>6.1036260000000002E-4</v>
      </c>
      <c r="AA468">
        <v>0.9988127</v>
      </c>
      <c r="AB468">
        <v>28</v>
      </c>
      <c r="AC468">
        <v>245.7664</v>
      </c>
      <c r="AD468">
        <v>5.922917</v>
      </c>
      <c r="AE468">
        <v>-10.8172</v>
      </c>
      <c r="AF468">
        <v>11.986892002218999</v>
      </c>
      <c r="AG468">
        <v>5.922917</v>
      </c>
      <c r="AH468">
        <v>245.56943757935201</v>
      </c>
      <c r="AI468">
        <v>88.619986944521997</v>
      </c>
      <c r="AJ468">
        <v>87.2054599530872</v>
      </c>
      <c r="AK468">
        <v>245.93315189030801</v>
      </c>
      <c r="AL468">
        <v>93.514087301053095</v>
      </c>
      <c r="AM468">
        <v>90.457913189245204</v>
      </c>
      <c r="AN468">
        <v>1.00000001832944</v>
      </c>
    </row>
    <row r="469" spans="1:40" x14ac:dyDescent="0.25">
      <c r="A469" t="str">
        <f>"20190303153751517"</f>
        <v>20190303153751517</v>
      </c>
      <c r="B469" t="str">
        <f>"1551598671509234"</f>
        <v>1551598671509234</v>
      </c>
      <c r="C469" t="s">
        <v>40</v>
      </c>
      <c r="D469">
        <v>4.2686679999999999</v>
      </c>
      <c r="E469">
        <v>0.52120909999999998</v>
      </c>
      <c r="F469" t="s">
        <v>41</v>
      </c>
      <c r="G469">
        <v>-170.08879999999999</v>
      </c>
      <c r="H469">
        <v>6.7272649999999903</v>
      </c>
      <c r="I469">
        <v>357.23849999999999</v>
      </c>
      <c r="J469">
        <v>-415.70620000000002</v>
      </c>
      <c r="K469">
        <v>1.0697239999999999</v>
      </c>
      <c r="L469">
        <v>367.85579999999999</v>
      </c>
      <c r="M469">
        <v>0.99997930000000002</v>
      </c>
      <c r="N469">
        <v>-4.411145E-3</v>
      </c>
      <c r="O469">
        <v>4.7059470000000003E-3</v>
      </c>
      <c r="P469">
        <v>0.99772360000000004</v>
      </c>
      <c r="Q469">
        <v>-6.6279169999999998E-2</v>
      </c>
      <c r="R469">
        <v>1.24407999999999E-2</v>
      </c>
      <c r="S469">
        <v>3.0130309999999998</v>
      </c>
      <c r="T469">
        <v>6.9360489999999997E-2</v>
      </c>
      <c r="U469">
        <v>-0.13015750000000001</v>
      </c>
      <c r="V469">
        <v>-7.7653919999999899E-3</v>
      </c>
      <c r="W469">
        <v>-6.1874739999999998E-2</v>
      </c>
      <c r="X469">
        <v>0.99805370000000004</v>
      </c>
      <c r="Y469">
        <v>4.784708E-2</v>
      </c>
      <c r="Z469">
        <v>5.7381809999999995E-4</v>
      </c>
      <c r="AA469">
        <v>0.99885449999999998</v>
      </c>
      <c r="AB469">
        <v>28</v>
      </c>
      <c r="AC469">
        <v>245.6174</v>
      </c>
      <c r="AD469">
        <v>5.6575409999999904</v>
      </c>
      <c r="AE469">
        <v>-10.6173</v>
      </c>
      <c r="AF469">
        <v>11.766824625344199</v>
      </c>
      <c r="AG469">
        <v>5.6575409999999904</v>
      </c>
      <c r="AH469">
        <v>245.43473950419099</v>
      </c>
      <c r="AI469">
        <v>88.681017484143197</v>
      </c>
      <c r="AJ469">
        <v>87.255182546421096</v>
      </c>
      <c r="AK469">
        <v>245.78176760577699</v>
      </c>
      <c r="AL469">
        <v>93.547427513443907</v>
      </c>
      <c r="AM469">
        <v>90.445782837241893</v>
      </c>
      <c r="AN469">
        <v>0.99999998642333499</v>
      </c>
    </row>
    <row r="470" spans="1:40" x14ac:dyDescent="0.25">
      <c r="A470" t="str">
        <f>"20190303153751528"</f>
        <v>20190303153751528</v>
      </c>
      <c r="B470" t="str">
        <f>"1551598671518995"</f>
        <v>1551598671518995</v>
      </c>
      <c r="C470" t="s">
        <v>40</v>
      </c>
      <c r="D470">
        <v>4.2579190000000002</v>
      </c>
      <c r="E470">
        <v>0.52088069999999997</v>
      </c>
      <c r="F470" t="s">
        <v>41</v>
      </c>
      <c r="G470">
        <v>-159.08439999999999</v>
      </c>
      <c r="H470">
        <v>6.6740880000000002</v>
      </c>
      <c r="I470">
        <v>356.90719999999999</v>
      </c>
      <c r="J470">
        <v>-415.54950000000002</v>
      </c>
      <c r="K470">
        <v>1.0696829999999999</v>
      </c>
      <c r="L470">
        <v>367.85640000000001</v>
      </c>
      <c r="M470">
        <v>0.99998069999999895</v>
      </c>
      <c r="N470">
        <v>-4.1583050000000002E-3</v>
      </c>
      <c r="O470">
        <v>4.6195659999999899E-3</v>
      </c>
      <c r="P470">
        <v>0.99769929999999996</v>
      </c>
      <c r="Q470">
        <v>-6.668528E-2</v>
      </c>
      <c r="R470">
        <v>1.2218420000000001E-2</v>
      </c>
      <c r="S470">
        <v>3.0128170000000001</v>
      </c>
      <c r="T470">
        <v>6.5797919999999996E-2</v>
      </c>
      <c r="U470">
        <v>-0.12853999999999999</v>
      </c>
      <c r="V470">
        <v>-7.629444E-3</v>
      </c>
      <c r="W470">
        <v>-6.2533329999999998E-2</v>
      </c>
      <c r="X470">
        <v>0.9980137</v>
      </c>
      <c r="Y470">
        <v>4.7229930000000003E-2</v>
      </c>
      <c r="Z470">
        <v>5.3721699999999999E-4</v>
      </c>
      <c r="AA470">
        <v>0.99888390000000005</v>
      </c>
      <c r="AB470">
        <v>28</v>
      </c>
      <c r="AC470">
        <v>256.46510000000001</v>
      </c>
      <c r="AD470">
        <v>5.6044049999999999</v>
      </c>
      <c r="AE470">
        <v>-10.949199999999999</v>
      </c>
      <c r="AF470">
        <v>12.1280698430228</v>
      </c>
      <c r="AG470">
        <v>5.6044049999999999</v>
      </c>
      <c r="AH470">
        <v>256.28961858851602</v>
      </c>
      <c r="AI470">
        <v>88.748685867429899</v>
      </c>
      <c r="AJ470">
        <v>87.290685368096604</v>
      </c>
      <c r="AK470">
        <v>256.63762005942999</v>
      </c>
      <c r="AL470">
        <v>93.585235161347001</v>
      </c>
      <c r="AM470">
        <v>90.437996418376798</v>
      </c>
      <c r="AN470">
        <v>0.99999998558216396</v>
      </c>
    </row>
    <row r="471" spans="1:40" x14ac:dyDescent="0.25">
      <c r="A471" t="str">
        <f>"20190303153751550"</f>
        <v>20190303153751550</v>
      </c>
      <c r="B471" t="str">
        <f>"1551598671539490"</f>
        <v>1551598671539490</v>
      </c>
      <c r="C471" t="s">
        <v>40</v>
      </c>
      <c r="D471">
        <v>4.2693989999999999</v>
      </c>
      <c r="E471">
        <v>0.52029890000000001</v>
      </c>
      <c r="F471" t="s">
        <v>41</v>
      </c>
      <c r="G471">
        <v>-158.19499999999999</v>
      </c>
      <c r="H471">
        <v>6.3712549999999997</v>
      </c>
      <c r="I471">
        <v>357.03730000000002</v>
      </c>
      <c r="J471">
        <v>-415.28089999999997</v>
      </c>
      <c r="K471">
        <v>1.06962</v>
      </c>
      <c r="L471">
        <v>367.85750000000002</v>
      </c>
      <c r="M471">
        <v>0.99998299999999996</v>
      </c>
      <c r="N471">
        <v>-3.747743E-3</v>
      </c>
      <c r="O471">
        <v>4.4729180000000002E-3</v>
      </c>
      <c r="P471">
        <v>0.99766580000000005</v>
      </c>
      <c r="Q471">
        <v>-6.7264009999999999E-2</v>
      </c>
      <c r="R471">
        <v>1.177311E-2</v>
      </c>
      <c r="S471">
        <v>3.0125730000000002</v>
      </c>
      <c r="T471">
        <v>6.2060829999999997E-2</v>
      </c>
      <c r="U471">
        <v>-0.12664790000000001</v>
      </c>
      <c r="V471">
        <v>-7.3310769999999897E-3</v>
      </c>
      <c r="W471">
        <v>-6.3522019999999998E-2</v>
      </c>
      <c r="X471">
        <v>0.99795350000000005</v>
      </c>
      <c r="Y471">
        <v>4.64619E-2</v>
      </c>
      <c r="Z471">
        <v>5.0004960000000001E-4</v>
      </c>
      <c r="AA471">
        <v>0.99892000000000003</v>
      </c>
      <c r="AB471">
        <v>28</v>
      </c>
      <c r="AC471">
        <v>257.08589999999998</v>
      </c>
      <c r="AD471">
        <v>5.3016350000000001</v>
      </c>
      <c r="AE471">
        <v>-10.8202</v>
      </c>
      <c r="AF471">
        <v>11.9649446374722</v>
      </c>
      <c r="AG471">
        <v>5.3016350000000001</v>
      </c>
      <c r="AH471">
        <v>256.92586073642002</v>
      </c>
      <c r="AI471">
        <v>88.819155484181096</v>
      </c>
      <c r="AJ471">
        <v>87.333682615169494</v>
      </c>
      <c r="AK471">
        <v>257.25894571229401</v>
      </c>
      <c r="AL471">
        <v>93.6419957654943</v>
      </c>
      <c r="AM471">
        <v>90.420893574466604</v>
      </c>
      <c r="AN471">
        <v>0.99999998993855499</v>
      </c>
    </row>
    <row r="472" spans="1:40" x14ac:dyDescent="0.25">
      <c r="A472" t="str">
        <f>"20190303153751563"</f>
        <v>20190303153751563</v>
      </c>
      <c r="B472" t="str">
        <f>"1551598671559011"</f>
        <v>1551598671559011</v>
      </c>
      <c r="C472" t="s">
        <v>40</v>
      </c>
      <c r="D472">
        <v>4.2756679999999996</v>
      </c>
      <c r="E472">
        <v>0.519702</v>
      </c>
      <c r="F472" t="s">
        <v>41</v>
      </c>
      <c r="G472">
        <v>-158.19499999999999</v>
      </c>
      <c r="H472">
        <v>5.9019240000000002</v>
      </c>
      <c r="I472">
        <v>357.32220000000001</v>
      </c>
      <c r="J472">
        <v>-415.10340000000002</v>
      </c>
      <c r="K472">
        <v>1.0695859999999999</v>
      </c>
      <c r="L472">
        <v>367.85820000000001</v>
      </c>
      <c r="M472">
        <v>0.9999844</v>
      </c>
      <c r="N472">
        <v>-3.496543E-3</v>
      </c>
      <c r="O472">
        <v>4.3761980000000004E-3</v>
      </c>
      <c r="P472">
        <v>0.99766120000000003</v>
      </c>
      <c r="Q472">
        <v>-6.7379590000000003E-2</v>
      </c>
      <c r="R472">
        <v>1.1505120000000001E-2</v>
      </c>
      <c r="S472">
        <v>3.0122990000000001</v>
      </c>
      <c r="T472">
        <v>5.662155E-2</v>
      </c>
      <c r="U472">
        <v>-0.1234436</v>
      </c>
      <c r="V472">
        <v>-7.1600750000000001E-3</v>
      </c>
      <c r="W472">
        <v>-6.3888329999999993E-2</v>
      </c>
      <c r="X472">
        <v>0.99793140000000002</v>
      </c>
      <c r="Y472">
        <v>4.5310070000000001E-2</v>
      </c>
      <c r="Z472">
        <v>4.438841E-4</v>
      </c>
      <c r="AA472">
        <v>0.99897290000000005</v>
      </c>
      <c r="AB472">
        <v>29</v>
      </c>
      <c r="AC472">
        <v>256.90839999999997</v>
      </c>
      <c r="AD472">
        <v>4.832338</v>
      </c>
      <c r="AE472">
        <v>-10.536</v>
      </c>
      <c r="AF472">
        <v>11.6560709144113</v>
      </c>
      <c r="AG472">
        <v>4.832338</v>
      </c>
      <c r="AH472">
        <v>256.76913959493601</v>
      </c>
      <c r="AI472">
        <v>88.922942396149296</v>
      </c>
      <c r="AJ472">
        <v>87.400834498449399</v>
      </c>
      <c r="AK472">
        <v>257.07898888869101</v>
      </c>
      <c r="AL472">
        <v>93.663026346059297</v>
      </c>
      <c r="AM472">
        <v>90.411085410317597</v>
      </c>
      <c r="AN472">
        <v>1.0000000322450699</v>
      </c>
    </row>
    <row r="473" spans="1:40" x14ac:dyDescent="0.25">
      <c r="A473" t="str">
        <f>"20190303153751576"</f>
        <v>20190303153751576</v>
      </c>
      <c r="B473" t="str">
        <f>"1551598671569747"</f>
        <v>1551598671569747</v>
      </c>
      <c r="C473" t="s">
        <v>40</v>
      </c>
      <c r="D473">
        <v>4.3003970000000002</v>
      </c>
      <c r="E473">
        <v>0.51945589999999997</v>
      </c>
      <c r="F473" t="s">
        <v>41</v>
      </c>
      <c r="G473">
        <v>-158.19499999999999</v>
      </c>
      <c r="H473">
        <v>5.5970500000000003</v>
      </c>
      <c r="I473">
        <v>357.67540000000002</v>
      </c>
      <c r="J473">
        <v>-414.94170000000003</v>
      </c>
      <c r="K473">
        <v>1.069556</v>
      </c>
      <c r="L473">
        <v>367.85890000000001</v>
      </c>
      <c r="M473">
        <v>0.99998549999999997</v>
      </c>
      <c r="N473">
        <v>-3.278993E-3</v>
      </c>
      <c r="O473">
        <v>4.2886249999999999E-3</v>
      </c>
      <c r="P473">
        <v>0.99768539999999994</v>
      </c>
      <c r="Q473">
        <v>-6.7053210000000002E-2</v>
      </c>
      <c r="R473">
        <v>1.131883E-2</v>
      </c>
      <c r="S473">
        <v>3.0120239999999998</v>
      </c>
      <c r="T473">
        <v>5.3081509999999998E-2</v>
      </c>
      <c r="U473">
        <v>-0.1193848</v>
      </c>
      <c r="V473">
        <v>-7.0611479999999997E-3</v>
      </c>
      <c r="W473">
        <v>-6.3778989999999994E-2</v>
      </c>
      <c r="X473">
        <v>0.99793909999999997</v>
      </c>
      <c r="Y473">
        <v>4.3883409999999998E-2</v>
      </c>
      <c r="Z473">
        <v>4.0412240000000001E-4</v>
      </c>
      <c r="AA473">
        <v>0.99903660000000005</v>
      </c>
      <c r="AB473">
        <v>29</v>
      </c>
      <c r="AC473">
        <v>256.74669999999998</v>
      </c>
      <c r="AD473">
        <v>4.5274939999999999</v>
      </c>
      <c r="AE473">
        <v>-10.183499999999899</v>
      </c>
      <c r="AF473">
        <v>11.281000063955201</v>
      </c>
      <c r="AG473">
        <v>4.5274939999999999</v>
      </c>
      <c r="AH473">
        <v>256.62099164204898</v>
      </c>
      <c r="AI473">
        <v>88.990226088973202</v>
      </c>
      <c r="AJ473">
        <v>87.482911202632394</v>
      </c>
      <c r="AK473">
        <v>256.90872409420399</v>
      </c>
      <c r="AL473">
        <v>93.656748819027797</v>
      </c>
      <c r="AM473">
        <v>90.405402721794403</v>
      </c>
      <c r="AN473">
        <v>1.00000003334265</v>
      </c>
    </row>
    <row r="474" spans="1:40" x14ac:dyDescent="0.25">
      <c r="A474" t="str">
        <f>"20190303153751588"</f>
        <v>20190303153751588</v>
      </c>
      <c r="B474" t="str">
        <f>"1551598671579506"</f>
        <v>1551598671579506</v>
      </c>
      <c r="C474" t="s">
        <v>40</v>
      </c>
      <c r="D474">
        <v>4.313008</v>
      </c>
      <c r="E474">
        <v>0.51916830000000003</v>
      </c>
      <c r="F474" t="s">
        <v>41</v>
      </c>
      <c r="G474">
        <v>-158.19499999999999</v>
      </c>
      <c r="H474">
        <v>5.5553710000000001</v>
      </c>
      <c r="I474">
        <v>357.7885</v>
      </c>
      <c r="J474">
        <v>-414.78019999999998</v>
      </c>
      <c r="K474">
        <v>1.069529</v>
      </c>
      <c r="L474">
        <v>367.85950000000003</v>
      </c>
      <c r="M474">
        <v>0.99998659999999995</v>
      </c>
      <c r="N474">
        <v>-3.070948E-3</v>
      </c>
      <c r="O474">
        <v>4.20113E-3</v>
      </c>
      <c r="P474">
        <v>0.9977182</v>
      </c>
      <c r="Q474">
        <v>-6.6606879999999993E-2</v>
      </c>
      <c r="R474">
        <v>1.1056160000000001E-2</v>
      </c>
      <c r="S474">
        <v>3.011841</v>
      </c>
      <c r="T474">
        <v>5.262315E-2</v>
      </c>
      <c r="U474">
        <v>-0.1181335</v>
      </c>
      <c r="V474">
        <v>-6.8856619999999999E-3</v>
      </c>
      <c r="W474">
        <v>-6.3540219999999994E-2</v>
      </c>
      <c r="X474">
        <v>0.9979555</v>
      </c>
      <c r="Y474">
        <v>4.3384150000000003E-2</v>
      </c>
      <c r="Z474">
        <v>3.9845130000000002E-4</v>
      </c>
      <c r="AA474">
        <v>0.99905840000000001</v>
      </c>
      <c r="AB474">
        <v>29</v>
      </c>
      <c r="AC474">
        <v>256.58519999999999</v>
      </c>
      <c r="AD474">
        <v>4.4858419999999999</v>
      </c>
      <c r="AE474">
        <v>-10.071</v>
      </c>
      <c r="AF474">
        <v>11.145462464653299</v>
      </c>
      <c r="AG474">
        <v>4.4858419999999999</v>
      </c>
      <c r="AH474">
        <v>256.46235869092197</v>
      </c>
      <c r="AI474">
        <v>88.998873294154393</v>
      </c>
      <c r="AJ474">
        <v>87.511578707016497</v>
      </c>
      <c r="AK474">
        <v>256.74361829909401</v>
      </c>
      <c r="AL474">
        <v>93.643040710594207</v>
      </c>
      <c r="AM474">
        <v>90.3953213458215</v>
      </c>
      <c r="AN474">
        <v>0.99999997593953804</v>
      </c>
    </row>
    <row r="475" spans="1:40" x14ac:dyDescent="0.25">
      <c r="A475" t="str">
        <f>"20190303153751608"</f>
        <v>20190303153751608</v>
      </c>
      <c r="B475" t="str">
        <f>"1551598671599534"</f>
        <v>1551598671599534</v>
      </c>
      <c r="C475" t="s">
        <v>40</v>
      </c>
      <c r="D475">
        <v>4.313034</v>
      </c>
      <c r="E475">
        <v>0.51866329999999905</v>
      </c>
      <c r="F475" t="s">
        <v>41</v>
      </c>
      <c r="G475">
        <v>-158.19499999999999</v>
      </c>
      <c r="H475">
        <v>5.5184249999999997</v>
      </c>
      <c r="I475">
        <v>357.92219999999998</v>
      </c>
      <c r="J475">
        <v>-414.53590000000003</v>
      </c>
      <c r="K475">
        <v>1.0694859999999999</v>
      </c>
      <c r="L475">
        <v>367.86040000000003</v>
      </c>
      <c r="M475">
        <v>0.99998799999999999</v>
      </c>
      <c r="N475">
        <v>-2.788001E-3</v>
      </c>
      <c r="O475">
        <v>4.0698619999999996E-3</v>
      </c>
      <c r="P475">
        <v>0.99776849999999995</v>
      </c>
      <c r="Q475">
        <v>-6.5830310000000003E-2</v>
      </c>
      <c r="R475">
        <v>1.1155379999999999E-2</v>
      </c>
      <c r="S475">
        <v>3.0116580000000002</v>
      </c>
      <c r="T475">
        <v>5.2219750000000002E-2</v>
      </c>
      <c r="U475">
        <v>-0.1166382</v>
      </c>
      <c r="V475">
        <v>-7.1157269999999996E-3</v>
      </c>
      <c r="W475">
        <v>-6.3045779999999996E-2</v>
      </c>
      <c r="X475">
        <v>0.99798520000000002</v>
      </c>
      <c r="Y475">
        <v>4.2760189999999997E-2</v>
      </c>
      <c r="Z475">
        <v>3.9279229999999998E-4</v>
      </c>
      <c r="AA475">
        <v>0.99908529999999995</v>
      </c>
      <c r="AB475">
        <v>29</v>
      </c>
      <c r="AC475">
        <v>256.34089999999998</v>
      </c>
      <c r="AD475">
        <v>4.4489389999999904</v>
      </c>
      <c r="AE475">
        <v>-9.9382000000000499</v>
      </c>
      <c r="AF475">
        <v>10.978091852015501</v>
      </c>
      <c r="AG475">
        <v>4.4489389999999904</v>
      </c>
      <c r="AH475">
        <v>256.22126778783002</v>
      </c>
      <c r="AI475">
        <v>89.006147176892995</v>
      </c>
      <c r="AJ475">
        <v>87.5465976896228</v>
      </c>
      <c r="AK475">
        <v>256.49493099424001</v>
      </c>
      <c r="AL475">
        <v>93.614654629826902</v>
      </c>
      <c r="AM475">
        <v>90.408517297194905</v>
      </c>
      <c r="AN475">
        <v>0.999999931682791</v>
      </c>
    </row>
    <row r="476" spans="1:40" x14ac:dyDescent="0.25">
      <c r="A476" t="str">
        <f>"20190303153751629"</f>
        <v>20190303153751629</v>
      </c>
      <c r="B476" t="str">
        <f>"1551598671619054"</f>
        <v>1551598671619054</v>
      </c>
      <c r="C476" t="s">
        <v>40</v>
      </c>
      <c r="D476">
        <v>4.3156600000000003</v>
      </c>
      <c r="E476">
        <v>0.5182485</v>
      </c>
      <c r="F476" t="s">
        <v>41</v>
      </c>
      <c r="G476">
        <v>-158.19499999999999</v>
      </c>
      <c r="H476">
        <v>5.4859600000000004</v>
      </c>
      <c r="I476">
        <v>358.29</v>
      </c>
      <c r="J476">
        <v>-414.2423</v>
      </c>
      <c r="K476">
        <v>1.0694440000000001</v>
      </c>
      <c r="L476">
        <v>367.8614</v>
      </c>
      <c r="M476">
        <v>0.99998940000000003</v>
      </c>
      <c r="N476">
        <v>-2.4866509999999999E-3</v>
      </c>
      <c r="O476">
        <v>3.9123539999999998E-3</v>
      </c>
      <c r="P476">
        <v>0.99776609999999999</v>
      </c>
      <c r="Q476">
        <v>-6.5859539999999994E-2</v>
      </c>
      <c r="R476">
        <v>1.120728E-2</v>
      </c>
      <c r="S476">
        <v>3.0113530000000002</v>
      </c>
      <c r="T476">
        <v>5.188334E-2</v>
      </c>
      <c r="U476">
        <v>-0.11242679999999999</v>
      </c>
      <c r="V476">
        <v>-7.3249589999999998E-3</v>
      </c>
      <c r="W476">
        <v>-6.337566E-2</v>
      </c>
      <c r="X476">
        <v>0.99796280000000004</v>
      </c>
      <c r="Y476">
        <v>4.1211690000000002E-2</v>
      </c>
      <c r="Z476">
        <v>3.8071639999999999E-4</v>
      </c>
      <c r="AA476">
        <v>0.99915030000000005</v>
      </c>
      <c r="AB476">
        <v>29</v>
      </c>
      <c r="AC476">
        <v>256.04730000000001</v>
      </c>
      <c r="AD476">
        <v>4.4165159999999997</v>
      </c>
      <c r="AE476">
        <v>-9.5713999999999793</v>
      </c>
      <c r="AF476">
        <v>10.5699369756602</v>
      </c>
      <c r="AG476">
        <v>4.4165159999999997</v>
      </c>
      <c r="AH476">
        <v>255.93185444429801</v>
      </c>
      <c r="AI476">
        <v>89.012209148921798</v>
      </c>
      <c r="AJ476">
        <v>87.635039195718093</v>
      </c>
      <c r="AK476">
        <v>256.188101403139</v>
      </c>
      <c r="AL476">
        <v>93.633593206995997</v>
      </c>
      <c r="AM476">
        <v>90.420538420097202</v>
      </c>
      <c r="AN476">
        <v>0.99999993974431101</v>
      </c>
    </row>
    <row r="477" spans="1:40" x14ac:dyDescent="0.25">
      <c r="A477" t="str">
        <f>"20190303153751651"</f>
        <v>20190303153751651</v>
      </c>
      <c r="B477" t="str">
        <f>"1551598671639550"</f>
        <v>1551598671639550</v>
      </c>
      <c r="C477" t="s">
        <v>40</v>
      </c>
      <c r="D477">
        <v>4.303693</v>
      </c>
      <c r="E477">
        <v>0.51787899999999998</v>
      </c>
      <c r="F477" t="s">
        <v>41</v>
      </c>
      <c r="G477">
        <v>-158.19499999999999</v>
      </c>
      <c r="H477">
        <v>5.2424589999999904</v>
      </c>
      <c r="I477">
        <v>358.56889999999999</v>
      </c>
      <c r="J477">
        <v>-413.95780000000002</v>
      </c>
      <c r="K477">
        <v>1.06941</v>
      </c>
      <c r="L477">
        <v>367.8623</v>
      </c>
      <c r="M477">
        <v>0.9999903</v>
      </c>
      <c r="N477">
        <v>-2.239455E-3</v>
      </c>
      <c r="O477">
        <v>3.7602170000000002E-3</v>
      </c>
      <c r="P477">
        <v>0.9977376</v>
      </c>
      <c r="Q477">
        <v>-6.6273380000000007E-2</v>
      </c>
      <c r="R477">
        <v>1.128872E-2</v>
      </c>
      <c r="S477">
        <v>3.0112299999999999</v>
      </c>
      <c r="T477">
        <v>4.9077509999999998E-2</v>
      </c>
      <c r="U477">
        <v>-0.1092834</v>
      </c>
      <c r="V477">
        <v>-7.5587650000000003E-3</v>
      </c>
      <c r="W477">
        <v>-6.4036159999999995E-2</v>
      </c>
      <c r="X477">
        <v>0.997919</v>
      </c>
      <c r="Y477">
        <v>4.0020359999999998E-2</v>
      </c>
      <c r="Z477">
        <v>3.5084949999999998E-4</v>
      </c>
      <c r="AA477">
        <v>0.99919880000000005</v>
      </c>
      <c r="AB477">
        <v>30</v>
      </c>
      <c r="AC477">
        <v>255.7628</v>
      </c>
      <c r="AD477">
        <v>4.17304899999999</v>
      </c>
      <c r="AE477">
        <v>-9.2934000000000196</v>
      </c>
      <c r="AF477">
        <v>10.252334732291899</v>
      </c>
      <c r="AG477">
        <v>4.17304899999999</v>
      </c>
      <c r="AH477">
        <v>255.65807632192599</v>
      </c>
      <c r="AI477">
        <v>89.065607871328396</v>
      </c>
      <c r="AJ477">
        <v>87.703569790625806</v>
      </c>
      <c r="AK477">
        <v>255.89759024665901</v>
      </c>
      <c r="AL477">
        <v>93.671513703800102</v>
      </c>
      <c r="AM477">
        <v>90.433980163300205</v>
      </c>
      <c r="AN477">
        <v>1.0000000476384301</v>
      </c>
    </row>
    <row r="478" spans="1:40" x14ac:dyDescent="0.25">
      <c r="A478" t="str">
        <f>"20190303153751663"</f>
        <v>20190303153751663</v>
      </c>
      <c r="B478" t="str">
        <f>"1551598671649310"</f>
        <v>1551598671649310</v>
      </c>
      <c r="C478" t="s">
        <v>40</v>
      </c>
      <c r="D478">
        <v>4.2923030000000004</v>
      </c>
      <c r="E478">
        <v>0.51774220000000004</v>
      </c>
      <c r="F478" t="s">
        <v>41</v>
      </c>
      <c r="G478">
        <v>-158.19499999999999</v>
      </c>
      <c r="H478">
        <v>4.9521680000000003</v>
      </c>
      <c r="I478">
        <v>358.87259999999998</v>
      </c>
      <c r="J478">
        <v>-413.78640000000001</v>
      </c>
      <c r="K478">
        <v>1.0693999999999999</v>
      </c>
      <c r="L478">
        <v>367.86290000000002</v>
      </c>
      <c r="M478">
        <v>0.99999099999999996</v>
      </c>
      <c r="N478">
        <v>-2.1106430000000002E-3</v>
      </c>
      <c r="O478">
        <v>3.6688239999999998E-3</v>
      </c>
      <c r="P478">
        <v>0.99773009999999995</v>
      </c>
      <c r="Q478">
        <v>-6.6420199999999999E-2</v>
      </c>
      <c r="R478">
        <v>1.108957E-2</v>
      </c>
      <c r="S478">
        <v>3.011047</v>
      </c>
      <c r="T478">
        <v>4.5711990000000001E-2</v>
      </c>
      <c r="U478">
        <v>-0.105834999999999</v>
      </c>
      <c r="V478">
        <v>-7.4510919999999899E-3</v>
      </c>
      <c r="W478">
        <v>-6.4311579999999993E-2</v>
      </c>
      <c r="X478">
        <v>0.99790199999999996</v>
      </c>
      <c r="Y478">
        <v>3.878914E-2</v>
      </c>
      <c r="Z478">
        <v>3.1679860000000001E-4</v>
      </c>
      <c r="AA478">
        <v>0.99924740000000001</v>
      </c>
      <c r="AB478">
        <v>30</v>
      </c>
      <c r="AC478">
        <v>255.59139999999999</v>
      </c>
      <c r="AD478">
        <v>3.882768</v>
      </c>
      <c r="AE478">
        <v>-8.9903000000000404</v>
      </c>
      <c r="AF478">
        <v>9.9256737090582696</v>
      </c>
      <c r="AG478">
        <v>3.882768</v>
      </c>
      <c r="AH478">
        <v>255.497806049563</v>
      </c>
      <c r="AI478">
        <v>89.130006417194906</v>
      </c>
      <c r="AJ478">
        <v>87.775271001067495</v>
      </c>
      <c r="AK478">
        <v>255.72001052334701</v>
      </c>
      <c r="AL478">
        <v>93.687327062583094</v>
      </c>
      <c r="AM478">
        <v>90.4278057271694</v>
      </c>
      <c r="AN478">
        <v>0.99999994984904295</v>
      </c>
    </row>
    <row r="479" spans="1:40" x14ac:dyDescent="0.25">
      <c r="A479" t="str">
        <f>"20190303153751676"</f>
        <v>20190303153751676</v>
      </c>
      <c r="B479" t="str">
        <f>"1551598671669806"</f>
        <v>1551598671669806</v>
      </c>
      <c r="C479" t="s">
        <v>40</v>
      </c>
      <c r="D479">
        <v>4.285539</v>
      </c>
      <c r="E479">
        <v>0.51744190000000001</v>
      </c>
      <c r="F479" t="s">
        <v>41</v>
      </c>
      <c r="G479">
        <v>-158.19499999999999</v>
      </c>
      <c r="H479">
        <v>4.8155409999999996</v>
      </c>
      <c r="I479">
        <v>358.89949999999999</v>
      </c>
      <c r="J479">
        <v>-413.61770000000001</v>
      </c>
      <c r="K479">
        <v>1.069391</v>
      </c>
      <c r="L479">
        <v>367.86340000000001</v>
      </c>
      <c r="M479">
        <v>0.99999179999999999</v>
      </c>
      <c r="N479">
        <v>-1.9960989999999999E-3</v>
      </c>
      <c r="O479">
        <v>3.578599E-3</v>
      </c>
      <c r="P479">
        <v>0.99774050000000003</v>
      </c>
      <c r="Q479">
        <v>-6.6287349999999995E-2</v>
      </c>
      <c r="R479">
        <v>1.0970590000000001E-2</v>
      </c>
      <c r="S479">
        <v>3.0109249999999999</v>
      </c>
      <c r="T479">
        <v>4.4131400000000001E-2</v>
      </c>
      <c r="U479">
        <v>-0.1055908</v>
      </c>
      <c r="V479">
        <v>-7.4220759999999997E-3</v>
      </c>
      <c r="W479">
        <v>-6.4292999999999906E-2</v>
      </c>
      <c r="X479">
        <v>0.99790350000000005</v>
      </c>
      <c r="Y479">
        <v>3.8619790000000001E-2</v>
      </c>
      <c r="Z479">
        <v>3.0394070000000002E-4</v>
      </c>
      <c r="AA479">
        <v>0.99925390000000003</v>
      </c>
      <c r="AB479">
        <v>30</v>
      </c>
      <c r="AC479">
        <v>255.42269999999999</v>
      </c>
      <c r="AD479">
        <v>3.7461500000000001</v>
      </c>
      <c r="AE479">
        <v>-8.9639000000000202</v>
      </c>
      <c r="AF479">
        <v>9.8757779430856001</v>
      </c>
      <c r="AG479">
        <v>3.7461500000000001</v>
      </c>
      <c r="AH479">
        <v>255.33413001649299</v>
      </c>
      <c r="AI479">
        <v>89.160069776200004</v>
      </c>
      <c r="AJ479">
        <v>87.785025890920807</v>
      </c>
      <c r="AK479">
        <v>255.55250454864</v>
      </c>
      <c r="AL479">
        <v>93.686259980540498</v>
      </c>
      <c r="AM479">
        <v>90.426139189572496</v>
      </c>
      <c r="AN479">
        <v>1.0000000361866901</v>
      </c>
    </row>
    <row r="480" spans="1:40" x14ac:dyDescent="0.25">
      <c r="A480" t="str">
        <f>"20190303153751689"</f>
        <v>20190303153751689</v>
      </c>
      <c r="B480" t="str">
        <f>"1551598671679566"</f>
        <v>1551598671679566</v>
      </c>
      <c r="C480" t="s">
        <v>40</v>
      </c>
      <c r="D480">
        <v>4.2360410000000002</v>
      </c>
      <c r="E480">
        <v>0.51730290000000001</v>
      </c>
      <c r="F480" t="s">
        <v>41</v>
      </c>
      <c r="G480">
        <v>-158.19499999999999</v>
      </c>
      <c r="H480">
        <v>4.680167</v>
      </c>
      <c r="I480">
        <v>359.08150000000001</v>
      </c>
      <c r="J480">
        <v>-413.43889999999999</v>
      </c>
      <c r="K480">
        <v>1.0693859999999999</v>
      </c>
      <c r="L480">
        <v>367.86399999999998</v>
      </c>
      <c r="M480">
        <v>0.9999922</v>
      </c>
      <c r="N480">
        <v>-1.885928E-3</v>
      </c>
      <c r="O480">
        <v>3.4836540000000001E-3</v>
      </c>
      <c r="P480">
        <v>0.99775020000000003</v>
      </c>
      <c r="Q480">
        <v>-6.6176330000000005E-2</v>
      </c>
      <c r="R480">
        <v>1.0739530000000001E-2</v>
      </c>
      <c r="S480">
        <v>3.0107729999999999</v>
      </c>
      <c r="T480">
        <v>4.2562719999999998E-2</v>
      </c>
      <c r="U480">
        <v>-0.1035156</v>
      </c>
      <c r="V480">
        <v>-7.28598599999999E-3</v>
      </c>
      <c r="W480">
        <v>-6.429195E-2</v>
      </c>
      <c r="X480">
        <v>0.99790449999999997</v>
      </c>
      <c r="Y480">
        <v>3.7839119999999997E-2</v>
      </c>
      <c r="Z480">
        <v>2.8747579999999998E-4</v>
      </c>
      <c r="AA480">
        <v>0.99928380000000006</v>
      </c>
      <c r="AB480">
        <v>30</v>
      </c>
      <c r="AC480">
        <v>255.2439</v>
      </c>
      <c r="AD480">
        <v>3.6107809999999998</v>
      </c>
      <c r="AE480">
        <v>-8.7825000000000202</v>
      </c>
      <c r="AF480">
        <v>9.6696968653024307</v>
      </c>
      <c r="AG480">
        <v>3.6107809999999998</v>
      </c>
      <c r="AH480">
        <v>255.16075343428199</v>
      </c>
      <c r="AI480">
        <v>89.189842738633899</v>
      </c>
      <c r="AJ480">
        <v>87.829729624243399</v>
      </c>
      <c r="AK480">
        <v>255.36943996893399</v>
      </c>
      <c r="AL480">
        <v>93.686199955165606</v>
      </c>
      <c r="AM480">
        <v>90.418325430541302</v>
      </c>
      <c r="AN480">
        <v>0.99999996577352102</v>
      </c>
    </row>
    <row r="481" spans="1:40" x14ac:dyDescent="0.25">
      <c r="A481" t="str">
        <f>"20190303153751707"</f>
        <v>20190303153751707</v>
      </c>
      <c r="B481" t="str">
        <f>"1551598671699591"</f>
        <v>1551598671699591</v>
      </c>
      <c r="C481" t="s">
        <v>40</v>
      </c>
      <c r="D481">
        <v>4.2182050000000002</v>
      </c>
      <c r="E481">
        <v>0.51703840000000001</v>
      </c>
      <c r="F481" t="s">
        <v>41</v>
      </c>
      <c r="G481">
        <v>-158.19499999999999</v>
      </c>
      <c r="H481">
        <v>4.6013440000000001</v>
      </c>
      <c r="I481">
        <v>359.10860000000002</v>
      </c>
      <c r="J481">
        <v>-413.18549999999999</v>
      </c>
      <c r="K481">
        <v>1.0693839999999999</v>
      </c>
      <c r="L481">
        <v>367.86470000000003</v>
      </c>
      <c r="M481">
        <v>0.99999289999999996</v>
      </c>
      <c r="N481">
        <v>-1.7712779999999901E-3</v>
      </c>
      <c r="O481">
        <v>3.348771E-3</v>
      </c>
      <c r="P481">
        <v>0.99781850000000005</v>
      </c>
      <c r="Q481">
        <v>-6.5201339999999997E-2</v>
      </c>
      <c r="R481">
        <v>1.036889E-2</v>
      </c>
      <c r="S481">
        <v>3.0106510000000002</v>
      </c>
      <c r="T481">
        <v>4.1661139999999999E-2</v>
      </c>
      <c r="U481">
        <v>-0.1032715</v>
      </c>
      <c r="V481">
        <v>-7.0494080000000001E-3</v>
      </c>
      <c r="W481">
        <v>-6.3431299999999996E-2</v>
      </c>
      <c r="X481">
        <v>0.99796130000000005</v>
      </c>
      <c r="Y481">
        <v>3.7624959999999999E-2</v>
      </c>
      <c r="Z481">
        <v>2.7915749999999999E-4</v>
      </c>
      <c r="AA481">
        <v>0.99929190000000001</v>
      </c>
      <c r="AB481">
        <v>30</v>
      </c>
      <c r="AC481">
        <v>254.9905</v>
      </c>
      <c r="AD481">
        <v>3.5319600000000002</v>
      </c>
      <c r="AE481">
        <v>-8.7561</v>
      </c>
      <c r="AF481">
        <v>9.6081157313196996</v>
      </c>
      <c r="AG481">
        <v>3.5319600000000002</v>
      </c>
      <c r="AH481">
        <v>254.91089850490599</v>
      </c>
      <c r="AI481">
        <v>89.206742887472899</v>
      </c>
      <c r="AJ481">
        <v>87.841426134486397</v>
      </c>
      <c r="AK481">
        <v>255.116359345939</v>
      </c>
      <c r="AL481">
        <v>93.636787387994204</v>
      </c>
      <c r="AM481">
        <v>90.404719710866402</v>
      </c>
      <c r="AN481">
        <v>0.99999999013526497</v>
      </c>
    </row>
    <row r="482" spans="1:40" x14ac:dyDescent="0.25">
      <c r="A482" t="str">
        <f>"20190303153751720"</f>
        <v>20190303153751720</v>
      </c>
      <c r="B482" t="str">
        <f>"1551598671709351"</f>
        <v>1551598671709351</v>
      </c>
      <c r="C482" t="s">
        <v>40</v>
      </c>
      <c r="D482">
        <v>4.2090680000000003</v>
      </c>
      <c r="E482">
        <v>0.51690970000000003</v>
      </c>
      <c r="F482" t="s">
        <v>41</v>
      </c>
      <c r="G482">
        <v>-158.19499999999999</v>
      </c>
      <c r="H482">
        <v>4.6995480000000001</v>
      </c>
      <c r="I482">
        <v>359.21050000000002</v>
      </c>
      <c r="J482">
        <v>-413.02409999999998</v>
      </c>
      <c r="K482">
        <v>1.069375</v>
      </c>
      <c r="L482">
        <v>367.86509999999998</v>
      </c>
      <c r="M482">
        <v>0.99999320000000003</v>
      </c>
      <c r="N482">
        <v>-1.7231270000000001E-3</v>
      </c>
      <c r="O482">
        <v>3.2635250000000002E-3</v>
      </c>
      <c r="P482">
        <v>0.99786620000000004</v>
      </c>
      <c r="Q482">
        <v>-6.4494889999999999E-2</v>
      </c>
      <c r="R482">
        <v>1.019144E-2</v>
      </c>
      <c r="S482">
        <v>3.0104679999999999</v>
      </c>
      <c r="T482">
        <v>4.2859439999999999E-2</v>
      </c>
      <c r="U482">
        <v>-0.1021729</v>
      </c>
      <c r="V482">
        <v>-6.9573810000000003E-3</v>
      </c>
      <c r="W482">
        <v>-6.2772830000000002E-2</v>
      </c>
      <c r="X482">
        <v>0.99800359999999999</v>
      </c>
      <c r="Y482">
        <v>3.7177420000000003E-2</v>
      </c>
      <c r="Z482">
        <v>2.8458139999999998E-4</v>
      </c>
      <c r="AA482">
        <v>0.99930859999999999</v>
      </c>
      <c r="AB482">
        <v>30</v>
      </c>
      <c r="AC482">
        <v>254.82910000000001</v>
      </c>
      <c r="AD482">
        <v>3.6301730000000001</v>
      </c>
      <c r="AE482">
        <v>-8.6545999999999594</v>
      </c>
      <c r="AF482">
        <v>9.4842738043202797</v>
      </c>
      <c r="AG482">
        <v>3.6301730000000001</v>
      </c>
      <c r="AH482">
        <v>254.74786075228701</v>
      </c>
      <c r="AI482">
        <v>89.184151946825196</v>
      </c>
      <c r="AJ482">
        <v>87.867860405007605</v>
      </c>
      <c r="AK482">
        <v>254.950195456822</v>
      </c>
      <c r="AL482">
        <v>93.598984427115596</v>
      </c>
      <c r="AM482">
        <v>90.399419511415104</v>
      </c>
      <c r="AN482">
        <v>1.0000000094747701</v>
      </c>
    </row>
    <row r="483" spans="1:40" x14ac:dyDescent="0.25">
      <c r="A483" t="str">
        <f>"20190303153751733"</f>
        <v>20190303153751733</v>
      </c>
      <c r="B483" t="str">
        <f>"1551598671729847"</f>
        <v>1551598671729847</v>
      </c>
      <c r="C483" t="s">
        <v>40</v>
      </c>
      <c r="D483">
        <v>4.1805009999999996</v>
      </c>
      <c r="E483">
        <v>0.51667359999999996</v>
      </c>
      <c r="F483" t="s">
        <v>41</v>
      </c>
      <c r="G483">
        <v>-158.19499999999999</v>
      </c>
      <c r="H483">
        <v>4.8313470000000001</v>
      </c>
      <c r="I483">
        <v>359.26510000000002</v>
      </c>
      <c r="J483">
        <v>-412.84589999999997</v>
      </c>
      <c r="K483">
        <v>1.069369</v>
      </c>
      <c r="L483">
        <v>367.8657</v>
      </c>
      <c r="M483">
        <v>0.99999360000000004</v>
      </c>
      <c r="N483">
        <v>-1.684322E-3</v>
      </c>
      <c r="O483">
        <v>3.1696250000000001E-3</v>
      </c>
      <c r="P483">
        <v>0.99783140000000003</v>
      </c>
      <c r="Q483">
        <v>-6.504385E-2</v>
      </c>
      <c r="R483">
        <v>1.0091269999999999E-2</v>
      </c>
      <c r="S483">
        <v>3.0103149999999999</v>
      </c>
      <c r="T483">
        <v>4.4441460000000002E-2</v>
      </c>
      <c r="U483">
        <v>-0.101593</v>
      </c>
      <c r="V483">
        <v>-6.9514109999999898E-3</v>
      </c>
      <c r="W483">
        <v>-6.336058E-2</v>
      </c>
      <c r="X483">
        <v>0.99796649999999998</v>
      </c>
      <c r="Y483">
        <v>3.6892769999999998E-2</v>
      </c>
      <c r="Z483">
        <v>2.932675E-4</v>
      </c>
      <c r="AA483">
        <v>0.99931919999999996</v>
      </c>
      <c r="AB483">
        <v>30</v>
      </c>
      <c r="AC483">
        <v>254.65090000000001</v>
      </c>
      <c r="AD483">
        <v>3.761978</v>
      </c>
      <c r="AE483">
        <v>-8.6005999999999805</v>
      </c>
      <c r="AF483">
        <v>9.4056553789803807</v>
      </c>
      <c r="AG483">
        <v>3.761978</v>
      </c>
      <c r="AH483">
        <v>254.56686574246999</v>
      </c>
      <c r="AI483">
        <v>89.1539243286025</v>
      </c>
      <c r="AJ483">
        <v>87.884016323874903</v>
      </c>
      <c r="AK483">
        <v>254.76834176468199</v>
      </c>
      <c r="AL483">
        <v>93.632727190429904</v>
      </c>
      <c r="AM483">
        <v>90.399091623444704</v>
      </c>
      <c r="AN483">
        <v>1.0000000101675299</v>
      </c>
    </row>
    <row r="484" spans="1:40" x14ac:dyDescent="0.25">
      <c r="A484" t="str">
        <f>"20190303153751751"</f>
        <v>20190303153751751</v>
      </c>
      <c r="B484" t="str">
        <f>"1551598671739607"</f>
        <v>1551598671739607</v>
      </c>
      <c r="C484" t="s">
        <v>40</v>
      </c>
      <c r="D484">
        <v>4.1784359999999996</v>
      </c>
      <c r="E484">
        <v>0.5165322</v>
      </c>
      <c r="F484" t="s">
        <v>41</v>
      </c>
      <c r="G484">
        <v>-158.19499999999999</v>
      </c>
      <c r="H484">
        <v>4.5394730000000001</v>
      </c>
      <c r="I484">
        <v>359.38490000000002</v>
      </c>
      <c r="J484">
        <v>-412.6019</v>
      </c>
      <c r="K484">
        <v>1.0693649999999999</v>
      </c>
      <c r="L484">
        <v>367.8664</v>
      </c>
      <c r="M484">
        <v>0.99999420000000006</v>
      </c>
      <c r="N484">
        <v>-1.6754059999999999E-3</v>
      </c>
      <c r="O484">
        <v>3.0408840000000002E-3</v>
      </c>
      <c r="P484">
        <v>0.99768920000000005</v>
      </c>
      <c r="Q484">
        <v>-6.7173380000000005E-2</v>
      </c>
      <c r="R484">
        <v>1.021006E-2</v>
      </c>
      <c r="S484">
        <v>3.0101930000000001</v>
      </c>
      <c r="T484">
        <v>4.1020630000000002E-2</v>
      </c>
      <c r="U484">
        <v>-0.1002502</v>
      </c>
      <c r="V484">
        <v>-7.2002439999999997E-3</v>
      </c>
      <c r="W484">
        <v>-6.5499109999999999E-2</v>
      </c>
      <c r="X484">
        <v>0.99782660000000001</v>
      </c>
      <c r="Y484">
        <v>3.632088E-2</v>
      </c>
      <c r="Z484">
        <v>2.634798E-4</v>
      </c>
      <c r="AA484">
        <v>0.99934009999999995</v>
      </c>
      <c r="AB484">
        <v>31</v>
      </c>
      <c r="AC484">
        <v>254.40690000000001</v>
      </c>
      <c r="AD484">
        <v>3.4701080000000002</v>
      </c>
      <c r="AE484">
        <v>-8.4814999999999792</v>
      </c>
      <c r="AF484">
        <v>9.2533638963356601</v>
      </c>
      <c r="AG484">
        <v>3.4701080000000002</v>
      </c>
      <c r="AH484">
        <v>254.332666559562</v>
      </c>
      <c r="AI484">
        <v>89.218823236280002</v>
      </c>
      <c r="AJ484">
        <v>87.916331571109396</v>
      </c>
      <c r="AK484">
        <v>254.52459934597101</v>
      </c>
      <c r="AL484">
        <v>93.755511297012106</v>
      </c>
      <c r="AM484">
        <v>90.413434992172895</v>
      </c>
      <c r="AN484">
        <v>0.99999995029600397</v>
      </c>
    </row>
    <row r="485" spans="1:40" x14ac:dyDescent="0.25">
      <c r="A485" t="str">
        <f>"20190303153751764"</f>
        <v>20190303153751764</v>
      </c>
      <c r="B485" t="str">
        <f>"1551598671759127"</f>
        <v>1551598671759127</v>
      </c>
      <c r="C485" t="s">
        <v>40</v>
      </c>
      <c r="D485">
        <v>4.1433849999999897</v>
      </c>
      <c r="E485">
        <v>0.5163259</v>
      </c>
      <c r="F485" t="s">
        <v>41</v>
      </c>
      <c r="G485">
        <v>-158.19499999999999</v>
      </c>
      <c r="H485">
        <v>3.944331</v>
      </c>
      <c r="I485">
        <v>359.53570000000002</v>
      </c>
      <c r="J485">
        <v>-412.41019999999997</v>
      </c>
      <c r="K485">
        <v>1.069375</v>
      </c>
      <c r="L485">
        <v>367.86689999999999</v>
      </c>
      <c r="M485">
        <v>0.99999420000000006</v>
      </c>
      <c r="N485">
        <v>-1.713806E-3</v>
      </c>
      <c r="O485">
        <v>2.9403480000000002E-3</v>
      </c>
      <c r="P485">
        <v>0.99762360000000005</v>
      </c>
      <c r="Q485">
        <v>-6.8152519999999994E-2</v>
      </c>
      <c r="R485">
        <v>1.011886E-2</v>
      </c>
      <c r="S485">
        <v>3.0102540000000002</v>
      </c>
      <c r="T485">
        <v>3.401887E-2</v>
      </c>
      <c r="U485">
        <v>-9.8571779999999998E-2</v>
      </c>
      <c r="V485">
        <v>-7.2097869999999996E-3</v>
      </c>
      <c r="W485">
        <v>-6.6440029999999997E-2</v>
      </c>
      <c r="X485">
        <v>0.99776430000000005</v>
      </c>
      <c r="Y485">
        <v>3.5664250000000002E-2</v>
      </c>
      <c r="Z485">
        <v>2.091474E-4</v>
      </c>
      <c r="AA485">
        <v>0.99936380000000002</v>
      </c>
      <c r="AB485">
        <v>31</v>
      </c>
      <c r="AC485">
        <v>254.21520000000001</v>
      </c>
      <c r="AD485">
        <v>2.8749560000000001</v>
      </c>
      <c r="AE485">
        <v>-8.33119999999996</v>
      </c>
      <c r="AF485">
        <v>9.0774865094618793</v>
      </c>
      <c r="AG485">
        <v>2.8749560000000001</v>
      </c>
      <c r="AH485">
        <v>254.15713341660501</v>
      </c>
      <c r="AI485">
        <v>89.352326380256798</v>
      </c>
      <c r="AJ485">
        <v>87.954491088603802</v>
      </c>
      <c r="AK485">
        <v>254.33543716886501</v>
      </c>
      <c r="AL485">
        <v>93.8095398234546</v>
      </c>
      <c r="AM485">
        <v>90.414008776201499</v>
      </c>
      <c r="AN485">
        <v>0.99999992848473496</v>
      </c>
    </row>
    <row r="486" spans="1:40" x14ac:dyDescent="0.25">
      <c r="A486" t="str">
        <f>"20190303153751777"</f>
        <v>20190303153751777</v>
      </c>
      <c r="B486" t="str">
        <f>"1551598671769863"</f>
        <v>1551598671769863</v>
      </c>
      <c r="C486" t="s">
        <v>40</v>
      </c>
      <c r="D486">
        <v>4.140917</v>
      </c>
      <c r="E486">
        <v>0.51624389999999998</v>
      </c>
      <c r="F486" t="s">
        <v>41</v>
      </c>
      <c r="G486">
        <v>-158.19499999999999</v>
      </c>
      <c r="H486">
        <v>3.6064289999999999</v>
      </c>
      <c r="I486">
        <v>359.6404</v>
      </c>
      <c r="J486">
        <v>-412.23469999999998</v>
      </c>
      <c r="K486">
        <v>1.0693900000000001</v>
      </c>
      <c r="L486">
        <v>367.86720000000003</v>
      </c>
      <c r="M486">
        <v>0.99999439999999995</v>
      </c>
      <c r="N486">
        <v>-1.781464E-3</v>
      </c>
      <c r="O486">
        <v>2.848302E-3</v>
      </c>
      <c r="P486">
        <v>0.99757680000000004</v>
      </c>
      <c r="Q486">
        <v>-6.8843760000000004E-2</v>
      </c>
      <c r="R486">
        <v>1.0063849999999999E-2</v>
      </c>
      <c r="S486">
        <v>3.0102229999999999</v>
      </c>
      <c r="T486">
        <v>3.0042889999999999E-2</v>
      </c>
      <c r="U486">
        <v>-9.7412109999999996E-2</v>
      </c>
      <c r="V486">
        <v>-7.2470690000000001E-3</v>
      </c>
      <c r="W486">
        <v>-6.7063789999999998E-2</v>
      </c>
      <c r="X486">
        <v>0.99772240000000001</v>
      </c>
      <c r="Y486">
        <v>3.5188549999999999E-2</v>
      </c>
      <c r="Z486">
        <v>1.776848E-4</v>
      </c>
      <c r="AA486">
        <v>0.99938059999999995</v>
      </c>
      <c r="AB486">
        <v>31</v>
      </c>
      <c r="AC486">
        <v>254.03970000000001</v>
      </c>
      <c r="AD486">
        <v>2.537039</v>
      </c>
      <c r="AE486">
        <v>-8.2268000000000203</v>
      </c>
      <c r="AF486">
        <v>8.9494578847153505</v>
      </c>
      <c r="AG486">
        <v>2.537039</v>
      </c>
      <c r="AH486">
        <v>253.989931705412</v>
      </c>
      <c r="AI486">
        <v>89.428061384811301</v>
      </c>
      <c r="AJ486">
        <v>87.981990412849797</v>
      </c>
      <c r="AK486">
        <v>254.16021476824</v>
      </c>
      <c r="AL486">
        <v>93.845358142153202</v>
      </c>
      <c r="AM486">
        <v>90.416167027333799</v>
      </c>
      <c r="AN486">
        <v>1.0000000297</v>
      </c>
    </row>
    <row r="487" spans="1:40" x14ac:dyDescent="0.25">
      <c r="A487" t="str">
        <f>"20190303153751796"</f>
        <v>20190303153751796</v>
      </c>
      <c r="B487" t="str">
        <f>"1551598671789384"</f>
        <v>1551598671789384</v>
      </c>
      <c r="C487" t="s">
        <v>40</v>
      </c>
      <c r="D487">
        <v>4.0970820000000003</v>
      </c>
      <c r="E487">
        <v>0.51607860000000005</v>
      </c>
      <c r="F487" t="s">
        <v>41</v>
      </c>
      <c r="G487">
        <v>-158.19499999999999</v>
      </c>
      <c r="H487">
        <v>3.388693</v>
      </c>
      <c r="I487">
        <v>359.7029</v>
      </c>
      <c r="J487">
        <v>-411.97710000000001</v>
      </c>
      <c r="K487">
        <v>1.069447</v>
      </c>
      <c r="L487">
        <v>367.86790000000002</v>
      </c>
      <c r="M487">
        <v>0.99999450000000001</v>
      </c>
      <c r="N487">
        <v>-1.949398E-3</v>
      </c>
      <c r="O487">
        <v>2.7132829999999999E-3</v>
      </c>
      <c r="P487">
        <v>0.99749580000000004</v>
      </c>
      <c r="Q487">
        <v>-7.0026530000000003E-2</v>
      </c>
      <c r="R487">
        <v>9.9278379999999996E-3</v>
      </c>
      <c r="S487">
        <v>3.0101619999999998</v>
      </c>
      <c r="T487">
        <v>2.748287E-2</v>
      </c>
      <c r="U487">
        <v>-9.6740720000000002E-2</v>
      </c>
      <c r="V487">
        <v>-7.2465699999999999E-3</v>
      </c>
      <c r="W487">
        <v>-6.8079139999999996E-2</v>
      </c>
      <c r="X487">
        <v>0.99765360000000003</v>
      </c>
      <c r="Y487">
        <v>3.4831920000000002E-2</v>
      </c>
      <c r="Z487">
        <v>1.550573E-4</v>
      </c>
      <c r="AA487">
        <v>0.99939319999999998</v>
      </c>
      <c r="AB487">
        <v>31</v>
      </c>
      <c r="AC487">
        <v>253.78210000000001</v>
      </c>
      <c r="AD487">
        <v>2.3192460000000001</v>
      </c>
      <c r="AE487">
        <v>-8.1650000000000098</v>
      </c>
      <c r="AF487">
        <v>8.8528152645019098</v>
      </c>
      <c r="AG487">
        <v>2.3192460000000001</v>
      </c>
      <c r="AH487">
        <v>253.73784248594299</v>
      </c>
      <c r="AI487">
        <v>89.476631045651402</v>
      </c>
      <c r="AJ487">
        <v>88.001782932335303</v>
      </c>
      <c r="AK487">
        <v>253.90282383135701</v>
      </c>
      <c r="AL487">
        <v>93.903666820765395</v>
      </c>
      <c r="AM487">
        <v>90.416167069631797</v>
      </c>
      <c r="AN487">
        <v>0.99999999383643201</v>
      </c>
    </row>
    <row r="488" spans="1:40" x14ac:dyDescent="0.25">
      <c r="A488" t="str">
        <f>"20190303153751811"</f>
        <v>20190303153751811</v>
      </c>
      <c r="B488" t="str">
        <f>"1551598671799649"</f>
        <v>1551598671799649</v>
      </c>
      <c r="C488" t="s">
        <v>40</v>
      </c>
      <c r="D488">
        <v>4.1167740000000004</v>
      </c>
      <c r="E488">
        <v>0.51599039999999996</v>
      </c>
      <c r="F488" t="s">
        <v>41</v>
      </c>
      <c r="G488">
        <v>-158.19499999999999</v>
      </c>
      <c r="H488">
        <v>3.0599319999999999</v>
      </c>
      <c r="I488">
        <v>359.78890000000001</v>
      </c>
      <c r="J488">
        <v>-411.77460000000002</v>
      </c>
      <c r="K488">
        <v>1.0695049999999999</v>
      </c>
      <c r="L488">
        <v>367.86829999999998</v>
      </c>
      <c r="M488">
        <v>0.99999450000000001</v>
      </c>
      <c r="N488">
        <v>-2.1489870000000002E-3</v>
      </c>
      <c r="O488">
        <v>2.6068210000000001E-3</v>
      </c>
      <c r="P488">
        <v>0.99749019999999999</v>
      </c>
      <c r="Q488">
        <v>-7.0150760000000006E-2</v>
      </c>
      <c r="R488">
        <v>9.6200279999999992E-3</v>
      </c>
      <c r="S488">
        <v>3.010132</v>
      </c>
      <c r="T488">
        <v>2.3610349999999999E-2</v>
      </c>
      <c r="U488">
        <v>-9.5825199999999999E-2</v>
      </c>
      <c r="V488">
        <v>-7.0453769999999898E-3</v>
      </c>
      <c r="W488">
        <v>-6.8004330000000002E-2</v>
      </c>
      <c r="X488">
        <v>0.9976602</v>
      </c>
      <c r="Y488">
        <v>3.4422599999999998E-2</v>
      </c>
      <c r="Z488">
        <v>1.2400820000000001E-4</v>
      </c>
      <c r="AA488">
        <v>0.99940739999999995</v>
      </c>
      <c r="AB488">
        <v>31</v>
      </c>
      <c r="AC488">
        <v>253.5796</v>
      </c>
      <c r="AD488">
        <v>1.9904269999999999</v>
      </c>
      <c r="AE488">
        <v>-8.0793999999999606</v>
      </c>
      <c r="AF488">
        <v>8.7398726309122097</v>
      </c>
      <c r="AG488">
        <v>1.9904269999999999</v>
      </c>
      <c r="AH488">
        <v>253.54207145779301</v>
      </c>
      <c r="AI488">
        <v>89.550476844220498</v>
      </c>
      <c r="AJ488">
        <v>88.025733517272798</v>
      </c>
      <c r="AK488">
        <v>253.70047136802</v>
      </c>
      <c r="AL488">
        <v>93.899370345701001</v>
      </c>
      <c r="AM488">
        <v>90.404610364303693</v>
      </c>
      <c r="AN488">
        <v>1.00000005044992</v>
      </c>
    </row>
    <row r="489" spans="1:40" x14ac:dyDescent="0.25">
      <c r="A489" t="str">
        <f>"20190303153751826"</f>
        <v>20190303153751826</v>
      </c>
      <c r="B489" t="str">
        <f>"1551598671820146"</f>
        <v>1551598671820146</v>
      </c>
      <c r="C489" t="s">
        <v>40</v>
      </c>
      <c r="D489">
        <v>4.0994149999999996</v>
      </c>
      <c r="E489">
        <v>0.5158625</v>
      </c>
      <c r="F489" t="s">
        <v>41</v>
      </c>
      <c r="G489">
        <v>-158.19499999999999</v>
      </c>
      <c r="H489">
        <v>3.0007779999999999</v>
      </c>
      <c r="I489">
        <v>359.76740000000001</v>
      </c>
      <c r="J489">
        <v>-411.56150000000002</v>
      </c>
      <c r="K489">
        <v>1.069588</v>
      </c>
      <c r="L489">
        <v>367.86880000000002</v>
      </c>
      <c r="M489">
        <v>0.99999389999999999</v>
      </c>
      <c r="N489">
        <v>-2.462475E-3</v>
      </c>
      <c r="O489">
        <v>2.495232E-3</v>
      </c>
      <c r="P489">
        <v>0.99750550000000004</v>
      </c>
      <c r="Q489">
        <v>-6.9912959999999996E-2</v>
      </c>
      <c r="R489">
        <v>9.7460770000000006E-3</v>
      </c>
      <c r="S489">
        <v>3.0100709999999999</v>
      </c>
      <c r="T489">
        <v>2.2925850000000001E-2</v>
      </c>
      <c r="U489">
        <v>-9.6160889999999999E-2</v>
      </c>
      <c r="V489">
        <v>-7.2830339999999999E-3</v>
      </c>
      <c r="W489">
        <v>-6.7453600000000002E-2</v>
      </c>
      <c r="X489">
        <v>0.99769580000000002</v>
      </c>
      <c r="Y489">
        <v>3.4423170000000003E-2</v>
      </c>
      <c r="Z489">
        <v>1.138027E-4</v>
      </c>
      <c r="AA489">
        <v>0.99940739999999995</v>
      </c>
      <c r="AB489">
        <v>31</v>
      </c>
      <c r="AC489">
        <v>253.3665</v>
      </c>
      <c r="AD489">
        <v>1.93119</v>
      </c>
      <c r="AE489">
        <v>-8.1014000000000106</v>
      </c>
      <c r="AF489">
        <v>8.7330780212840793</v>
      </c>
      <c r="AG489">
        <v>1.93119</v>
      </c>
      <c r="AH489">
        <v>253.33079365160501</v>
      </c>
      <c r="AI489">
        <v>89.563490853888098</v>
      </c>
      <c r="AJ489">
        <v>88.025623194375896</v>
      </c>
      <c r="AK489">
        <v>253.48863319425999</v>
      </c>
      <c r="AL489">
        <v>93.867743530170998</v>
      </c>
      <c r="AM489">
        <v>90.418243414849499</v>
      </c>
      <c r="AN489">
        <v>0.99999997003742203</v>
      </c>
    </row>
    <row r="490" spans="1:40" x14ac:dyDescent="0.25">
      <c r="A490" t="str">
        <f>"20190303153751841"</f>
        <v>20190303153751841</v>
      </c>
      <c r="B490" t="str">
        <f>"1551598671829905"</f>
        <v>1551598671829905</v>
      </c>
      <c r="C490" t="s">
        <v>40</v>
      </c>
      <c r="D490">
        <v>4.1015540000000001</v>
      </c>
      <c r="E490">
        <v>0.51581869999999996</v>
      </c>
      <c r="F490" t="s">
        <v>41</v>
      </c>
      <c r="G490">
        <v>-158.19499999999999</v>
      </c>
      <c r="H490">
        <v>3.0077050000000001</v>
      </c>
      <c r="I490">
        <v>359.86959999999999</v>
      </c>
      <c r="J490">
        <v>-411.346</v>
      </c>
      <c r="K490">
        <v>1.0697019999999999</v>
      </c>
      <c r="L490">
        <v>367.86919999999998</v>
      </c>
      <c r="M490">
        <v>0.99999309999999997</v>
      </c>
      <c r="N490">
        <v>-2.8681420000000002E-3</v>
      </c>
      <c r="O490">
        <v>2.3821319999999999E-3</v>
      </c>
      <c r="P490">
        <v>0.99759390000000003</v>
      </c>
      <c r="Q490">
        <v>-6.8632680000000001E-2</v>
      </c>
      <c r="R490">
        <v>9.8057920000000007E-3</v>
      </c>
      <c r="S490">
        <v>3.01004</v>
      </c>
      <c r="T490">
        <v>2.3026230000000002E-2</v>
      </c>
      <c r="U490">
        <v>-9.5031740000000003E-2</v>
      </c>
      <c r="V490">
        <v>-7.4551419999999997E-3</v>
      </c>
      <c r="W490">
        <v>-6.5768229999999997E-2</v>
      </c>
      <c r="X490">
        <v>0.99780709999999995</v>
      </c>
      <c r="Y490">
        <v>3.3935979999999998E-2</v>
      </c>
      <c r="Z490">
        <v>1.06137E-4</v>
      </c>
      <c r="AA490">
        <v>0.99942399999999998</v>
      </c>
      <c r="AB490">
        <v>31</v>
      </c>
      <c r="AC490">
        <v>253.15099999999899</v>
      </c>
      <c r="AD490">
        <v>1.9380029999999999</v>
      </c>
      <c r="AE490">
        <v>-7.9995999999999796</v>
      </c>
      <c r="AF490">
        <v>8.60211520925305</v>
      </c>
      <c r="AG490">
        <v>1.9380029999999999</v>
      </c>
      <c r="AH490">
        <v>253.11640595480699</v>
      </c>
      <c r="AI490">
        <v>89.561572636127593</v>
      </c>
      <c r="AJ490">
        <v>88.053562438252499</v>
      </c>
      <c r="AK490">
        <v>253.269949273853</v>
      </c>
      <c r="AL490">
        <v>93.770963779075601</v>
      </c>
      <c r="AM490">
        <v>90.428078958553897</v>
      </c>
      <c r="AN490">
        <v>1.00000002401499</v>
      </c>
    </row>
    <row r="491" spans="1:40" x14ac:dyDescent="0.25">
      <c r="A491" t="str">
        <f>"20190303153751863"</f>
        <v>20190303153751863</v>
      </c>
      <c r="B491" t="str">
        <f>"1551598671849427"</f>
        <v>1551598671849427</v>
      </c>
      <c r="C491" t="s">
        <v>40</v>
      </c>
      <c r="D491">
        <v>4.0644609999999997</v>
      </c>
      <c r="E491">
        <v>0.51571140000000004</v>
      </c>
      <c r="F491" t="s">
        <v>41</v>
      </c>
      <c r="G491">
        <v>-158.19499999999999</v>
      </c>
      <c r="H491">
        <v>3.311048</v>
      </c>
      <c r="I491">
        <v>359.9024</v>
      </c>
      <c r="J491">
        <v>-411.05270000000002</v>
      </c>
      <c r="K491">
        <v>1.069858</v>
      </c>
      <c r="L491">
        <v>367.86970000000002</v>
      </c>
      <c r="M491">
        <v>0.99999119999999997</v>
      </c>
      <c r="N491">
        <v>-3.5447999999999999E-3</v>
      </c>
      <c r="O491">
        <v>2.2222850000000001E-3</v>
      </c>
      <c r="P491">
        <v>0.99757220000000002</v>
      </c>
      <c r="Q491">
        <v>-6.8926950000000001E-2</v>
      </c>
      <c r="R491">
        <v>9.936159E-3</v>
      </c>
      <c r="S491">
        <v>3.0100099999999999</v>
      </c>
      <c r="T491">
        <v>2.6651020000000001E-2</v>
      </c>
      <c r="U491">
        <v>-9.4726560000000001E-2</v>
      </c>
      <c r="V491">
        <v>-7.7455689999999999E-3</v>
      </c>
      <c r="W491">
        <v>-6.5387199999999895E-2</v>
      </c>
      <c r="X491">
        <v>0.99782990000000005</v>
      </c>
      <c r="Y491">
        <v>3.3675110000000001E-2</v>
      </c>
      <c r="Z491">
        <v>1.1688739999999999E-4</v>
      </c>
      <c r="AA491">
        <v>0.99943280000000001</v>
      </c>
      <c r="AB491">
        <v>31</v>
      </c>
      <c r="AC491">
        <v>252.85769999999999</v>
      </c>
      <c r="AD491">
        <v>2.24119</v>
      </c>
      <c r="AE491">
        <v>-7.9673000000000203</v>
      </c>
      <c r="AF491">
        <v>8.5285364147977596</v>
      </c>
      <c r="AG491">
        <v>2.24119</v>
      </c>
      <c r="AH491">
        <v>252.81952792948101</v>
      </c>
      <c r="AI491">
        <v>89.492387433962307</v>
      </c>
      <c r="AJ491">
        <v>88.067934396854199</v>
      </c>
      <c r="AK491">
        <v>252.97326453299399</v>
      </c>
      <c r="AL491">
        <v>93.749085384981896</v>
      </c>
      <c r="AM491">
        <v>90.444744640793203</v>
      </c>
      <c r="AN491">
        <v>0.99999999454849098</v>
      </c>
    </row>
    <row r="492" spans="1:40" x14ac:dyDescent="0.25">
      <c r="A492" t="str">
        <f>"20190303153751875"</f>
        <v>20190303153751875</v>
      </c>
      <c r="B492" t="str">
        <f>"1551598671869922"</f>
        <v>1551598671869922</v>
      </c>
      <c r="C492" t="s">
        <v>40</v>
      </c>
      <c r="D492">
        <v>4.0545030000000004</v>
      </c>
      <c r="E492">
        <v>0.51557739999999996</v>
      </c>
      <c r="F492" t="s">
        <v>41</v>
      </c>
      <c r="G492">
        <v>-158.19499999999999</v>
      </c>
      <c r="H492">
        <v>3.2268400000000002</v>
      </c>
      <c r="I492">
        <v>360.0147</v>
      </c>
      <c r="J492">
        <v>-410.87119999999999</v>
      </c>
      <c r="K492">
        <v>1.069958</v>
      </c>
      <c r="L492">
        <v>367.87</v>
      </c>
      <c r="M492">
        <v>0.99998980000000004</v>
      </c>
      <c r="N492">
        <v>-4.0280719999999997E-3</v>
      </c>
      <c r="O492">
        <v>2.1232680000000002E-3</v>
      </c>
      <c r="P492">
        <v>0.99757340000000005</v>
      </c>
      <c r="Q492">
        <v>-6.8895990000000004E-2</v>
      </c>
      <c r="R492">
        <v>1.004321E-2</v>
      </c>
      <c r="S492">
        <v>3.0100099999999999</v>
      </c>
      <c r="T492">
        <v>2.5677680000000001E-2</v>
      </c>
      <c r="U492">
        <v>-9.3505859999999996E-2</v>
      </c>
      <c r="V492">
        <v>-7.9513829999999994E-3</v>
      </c>
      <c r="W492">
        <v>-6.4873860000000005E-2</v>
      </c>
      <c r="X492">
        <v>0.99786180000000002</v>
      </c>
      <c r="Y492">
        <v>3.3171390000000002E-2</v>
      </c>
      <c r="Z492">
        <v>1.012855E-4</v>
      </c>
      <c r="AA492">
        <v>0.9994497</v>
      </c>
      <c r="AB492">
        <v>31</v>
      </c>
      <c r="AC492">
        <v>252.67619999999999</v>
      </c>
      <c r="AD492">
        <v>2.156882</v>
      </c>
      <c r="AE492">
        <v>-7.8552999999999997</v>
      </c>
      <c r="AF492">
        <v>8.3911750057819692</v>
      </c>
      <c r="AG492">
        <v>2.156882</v>
      </c>
      <c r="AH492">
        <v>252.640560287722</v>
      </c>
      <c r="AI492">
        <v>89.511127073826998</v>
      </c>
      <c r="AJ492">
        <v>88.097683772638305</v>
      </c>
      <c r="AK492">
        <v>252.789075437278</v>
      </c>
      <c r="AL492">
        <v>93.719610540188398</v>
      </c>
      <c r="AM492">
        <v>90.456547234379101</v>
      </c>
      <c r="AN492">
        <v>1.00000000705107</v>
      </c>
    </row>
    <row r="493" spans="1:40" x14ac:dyDescent="0.25">
      <c r="A493" t="str">
        <f>"20190303153751887"</f>
        <v>20190303153751887</v>
      </c>
      <c r="B493" t="str">
        <f>"1551598671879682"</f>
        <v>1551598671879682</v>
      </c>
      <c r="C493" t="s">
        <v>40</v>
      </c>
      <c r="D493">
        <v>4.0588410000000001</v>
      </c>
      <c r="E493">
        <v>0.51552730000000002</v>
      </c>
      <c r="F493" t="s">
        <v>41</v>
      </c>
      <c r="G493">
        <v>-158.19499999999999</v>
      </c>
      <c r="H493">
        <v>3.2177250000000002</v>
      </c>
      <c r="I493">
        <v>360.11810000000003</v>
      </c>
      <c r="J493">
        <v>-410.69510000000002</v>
      </c>
      <c r="K493">
        <v>1.070055</v>
      </c>
      <c r="L493">
        <v>367.87029999999999</v>
      </c>
      <c r="M493">
        <v>0.99998779999999998</v>
      </c>
      <c r="N493">
        <v>-4.5292400000000003E-3</v>
      </c>
      <c r="O493">
        <v>2.0295759999999999E-3</v>
      </c>
      <c r="P493">
        <v>0.9976005</v>
      </c>
      <c r="Q493">
        <v>-6.8499160000000003E-2</v>
      </c>
      <c r="R493">
        <v>1.0073210000000001E-2</v>
      </c>
      <c r="S493">
        <v>3.01004</v>
      </c>
      <c r="T493">
        <v>2.5586609999999999E-2</v>
      </c>
      <c r="U493">
        <v>-9.2346189999999995E-2</v>
      </c>
      <c r="V493">
        <v>-8.0746109999999902E-3</v>
      </c>
      <c r="W493">
        <v>-6.3976729999999996E-2</v>
      </c>
      <c r="X493">
        <v>0.99791870000000005</v>
      </c>
      <c r="Y493">
        <v>3.2692819999999997E-2</v>
      </c>
      <c r="Z493" s="1">
        <v>9.1298900000000001E-5</v>
      </c>
      <c r="AA493">
        <v>0.99946550000000001</v>
      </c>
      <c r="AB493">
        <v>31</v>
      </c>
      <c r="AC493">
        <v>252.5001</v>
      </c>
      <c r="AD493">
        <v>2.1476700000000002</v>
      </c>
      <c r="AE493">
        <v>-7.7521999999999496</v>
      </c>
      <c r="AF493">
        <v>8.2640600677614007</v>
      </c>
      <c r="AG493">
        <v>2.1476700000000002</v>
      </c>
      <c r="AH493">
        <v>252.46559853419299</v>
      </c>
      <c r="AI493">
        <v>89.512869899074403</v>
      </c>
      <c r="AJ493">
        <v>88.125183146655601</v>
      </c>
      <c r="AK493">
        <v>252.60994758413801</v>
      </c>
      <c r="AL493">
        <v>93.668101880310104</v>
      </c>
      <c r="AM493">
        <v>90.463595917472503</v>
      </c>
      <c r="AN493">
        <v>0.99999997656699102</v>
      </c>
    </row>
    <row r="494" spans="1:40" x14ac:dyDescent="0.25">
      <c r="A494" t="str">
        <f>"20190303153751900"</f>
        <v>20190303153751900</v>
      </c>
      <c r="B494" t="str">
        <f>"1551598671889442"</f>
        <v>1551598671889442</v>
      </c>
      <c r="C494" t="s">
        <v>40</v>
      </c>
      <c r="D494">
        <v>4.0579409999999996</v>
      </c>
      <c r="E494">
        <v>0.51547229999999999</v>
      </c>
      <c r="F494" t="s">
        <v>41</v>
      </c>
      <c r="G494">
        <v>-158.19499999999999</v>
      </c>
      <c r="H494">
        <v>3.31745</v>
      </c>
      <c r="I494">
        <v>360.16199999999998</v>
      </c>
      <c r="J494">
        <v>-410.52480000000003</v>
      </c>
      <c r="K494">
        <v>1.070149</v>
      </c>
      <c r="L494">
        <v>367.87049999999999</v>
      </c>
      <c r="M494">
        <v>0.99998549999999997</v>
      </c>
      <c r="N494">
        <v>-5.047574E-3</v>
      </c>
      <c r="O494">
        <v>1.9396560000000001E-3</v>
      </c>
      <c r="P494">
        <v>0.99764470000000005</v>
      </c>
      <c r="Q494">
        <v>-6.7867620000000003E-2</v>
      </c>
      <c r="R494">
        <v>9.9884250000000004E-3</v>
      </c>
      <c r="S494">
        <v>3.009979</v>
      </c>
      <c r="T494">
        <v>2.6791570000000001E-2</v>
      </c>
      <c r="U494">
        <v>-9.1888429999999993E-2</v>
      </c>
      <c r="V494">
        <v>-8.0790089999999998E-3</v>
      </c>
      <c r="W494">
        <v>-6.2827699999999903E-2</v>
      </c>
      <c r="X494">
        <v>0.99799170000000004</v>
      </c>
      <c r="Y494">
        <v>3.2451689999999998E-2</v>
      </c>
      <c r="Z494" s="1">
        <v>8.9515359999999997E-5</v>
      </c>
      <c r="AA494">
        <v>0.99947330000000001</v>
      </c>
      <c r="AB494">
        <v>31</v>
      </c>
      <c r="AC494">
        <v>252.32980000000001</v>
      </c>
      <c r="AD494">
        <v>2.24730099999999</v>
      </c>
      <c r="AE494">
        <v>-7.7085000000000097</v>
      </c>
      <c r="AF494">
        <v>8.1972750799663192</v>
      </c>
      <c r="AG494">
        <v>2.24730099999999</v>
      </c>
      <c r="AH494">
        <v>252.29437983936199</v>
      </c>
      <c r="AI494">
        <v>89.489923030556398</v>
      </c>
      <c r="AJ494">
        <v>88.139062391262001</v>
      </c>
      <c r="AK494">
        <v>252.43751658390499</v>
      </c>
      <c r="AL494">
        <v>93.602134456035003</v>
      </c>
      <c r="AM494">
        <v>90.463814485732897</v>
      </c>
      <c r="AN494">
        <v>1.0000000117712999</v>
      </c>
    </row>
    <row r="495" spans="1:40" x14ac:dyDescent="0.25">
      <c r="A495" t="str">
        <f>"20190303153751919"</f>
        <v>20190303153751919</v>
      </c>
      <c r="B495" t="str">
        <f>"1551598671909471"</f>
        <v>1551598671909471</v>
      </c>
      <c r="C495" t="s">
        <v>40</v>
      </c>
      <c r="D495">
        <v>4.0105069999999996</v>
      </c>
      <c r="E495">
        <v>0.51535359999999997</v>
      </c>
      <c r="F495" t="s">
        <v>41</v>
      </c>
      <c r="G495">
        <v>-158.19499999999999</v>
      </c>
      <c r="H495">
        <v>3.4698069999999999</v>
      </c>
      <c r="I495">
        <v>360.19279999999998</v>
      </c>
      <c r="J495">
        <v>-410.2595</v>
      </c>
      <c r="K495">
        <v>1.0702910000000001</v>
      </c>
      <c r="L495">
        <v>367.87079999999997</v>
      </c>
      <c r="M495">
        <v>0.99998120000000001</v>
      </c>
      <c r="N495">
        <v>-5.8806700000000002E-3</v>
      </c>
      <c r="O495">
        <v>1.7977479999999901E-3</v>
      </c>
      <c r="P495">
        <v>0.99773290000000003</v>
      </c>
      <c r="Q495">
        <v>-6.6584530000000003E-2</v>
      </c>
      <c r="R495">
        <v>9.7786669999999996E-3</v>
      </c>
      <c r="S495">
        <v>3.0099179999999999</v>
      </c>
      <c r="T495">
        <v>2.8625370000000001E-2</v>
      </c>
      <c r="U495">
        <v>-9.1583250000000005E-2</v>
      </c>
      <c r="V495">
        <v>-8.0091520000000003E-3</v>
      </c>
      <c r="W495">
        <v>-6.0712719999999998E-2</v>
      </c>
      <c r="X495">
        <v>0.99812319999999999</v>
      </c>
      <c r="Y495">
        <v>3.2209219999999997E-2</v>
      </c>
      <c r="Z495" s="1">
        <v>8.6054319999999995E-5</v>
      </c>
      <c r="AA495">
        <v>0.99948110000000001</v>
      </c>
      <c r="AB495">
        <v>31</v>
      </c>
      <c r="AC495">
        <v>252.06450000000001</v>
      </c>
      <c r="AD495">
        <v>2.3995160000000002</v>
      </c>
      <c r="AE495">
        <v>-7.6779999999999902</v>
      </c>
      <c r="AF495">
        <v>8.1304077357459992</v>
      </c>
      <c r="AG495">
        <v>2.3995160000000002</v>
      </c>
      <c r="AH495">
        <v>252.02747176423799</v>
      </c>
      <c r="AI495">
        <v>89.454795512061395</v>
      </c>
      <c r="AJ495">
        <v>88.152278614341</v>
      </c>
      <c r="AK495">
        <v>252.16999768183601</v>
      </c>
      <c r="AL495">
        <v>93.480723020523797</v>
      </c>
      <c r="AM495">
        <v>90.459743605245094</v>
      </c>
      <c r="AN495">
        <v>1.0000000516318901</v>
      </c>
    </row>
    <row r="496" spans="1:40" x14ac:dyDescent="0.25">
      <c r="A496" t="str">
        <f>"20190303153751942"</f>
        <v>20190303153751942</v>
      </c>
      <c r="B496" t="str">
        <f>"1551598671929964"</f>
        <v>1551598671929964</v>
      </c>
      <c r="C496" t="s">
        <v>40</v>
      </c>
      <c r="D496">
        <v>4.0592499999999996</v>
      </c>
      <c r="E496">
        <v>0.51528629999999997</v>
      </c>
      <c r="F496" t="s">
        <v>41</v>
      </c>
      <c r="G496">
        <v>-158.19499999999999</v>
      </c>
      <c r="H496">
        <v>3.778934</v>
      </c>
      <c r="I496">
        <v>360.2088</v>
      </c>
      <c r="J496">
        <v>-409.94920000000002</v>
      </c>
      <c r="K496">
        <v>1.0704320000000001</v>
      </c>
      <c r="L496">
        <v>367.87119999999999</v>
      </c>
      <c r="M496">
        <v>0.99997499999999995</v>
      </c>
      <c r="N496">
        <v>-6.8787630000000004E-3</v>
      </c>
      <c r="O496">
        <v>1.628694E-3</v>
      </c>
      <c r="P496">
        <v>0.99774339999999995</v>
      </c>
      <c r="Q496">
        <v>-6.6461530000000005E-2</v>
      </c>
      <c r="R496">
        <v>9.5627669999999998E-3</v>
      </c>
      <c r="S496">
        <v>3.0098569999999998</v>
      </c>
      <c r="T496">
        <v>3.2344459999999998E-2</v>
      </c>
      <c r="U496">
        <v>-9.1491699999999995E-2</v>
      </c>
      <c r="V496">
        <v>-7.9616219999999998E-3</v>
      </c>
      <c r="W496">
        <v>-5.9593489999999999E-2</v>
      </c>
      <c r="X496">
        <v>0.99819100000000005</v>
      </c>
      <c r="Y496">
        <v>3.201035E-2</v>
      </c>
      <c r="Z496" s="1">
        <v>9.0524220000000005E-5</v>
      </c>
      <c r="AA496">
        <v>0.99948749999999997</v>
      </c>
      <c r="AB496">
        <v>31</v>
      </c>
      <c r="AC496">
        <v>251.7542</v>
      </c>
      <c r="AD496">
        <v>2.7085020000000002</v>
      </c>
      <c r="AE496">
        <v>-7.6623999999999901</v>
      </c>
      <c r="AF496">
        <v>8.0714967224482006</v>
      </c>
      <c r="AG496">
        <v>2.7085020000000002</v>
      </c>
      <c r="AH496">
        <v>251.712278426117</v>
      </c>
      <c r="AI496">
        <v>89.383820165014598</v>
      </c>
      <c r="AJ496">
        <v>88.163362201310804</v>
      </c>
      <c r="AK496">
        <v>251.856221191559</v>
      </c>
      <c r="AL496">
        <v>93.416479632052102</v>
      </c>
      <c r="AM496">
        <v>90.456984350346502</v>
      </c>
      <c r="AN496">
        <v>1.00000002197812</v>
      </c>
    </row>
    <row r="497" spans="1:40" x14ac:dyDescent="0.25">
      <c r="A497" t="str">
        <f>"20190303153751957"</f>
        <v>20190303153751957</v>
      </c>
      <c r="B497" t="str">
        <f>"1551598671949484"</f>
        <v>1551598671949484</v>
      </c>
      <c r="C497" t="s">
        <v>40</v>
      </c>
      <c r="D497">
        <v>4.0202799999999996</v>
      </c>
      <c r="E497">
        <v>0.51523169999999996</v>
      </c>
      <c r="F497" t="s">
        <v>41</v>
      </c>
      <c r="G497">
        <v>-158.19499999999999</v>
      </c>
      <c r="H497">
        <v>3.7842730000000002</v>
      </c>
      <c r="I497">
        <v>360.22879999999998</v>
      </c>
      <c r="J497">
        <v>-409.74590000000001</v>
      </c>
      <c r="K497">
        <v>1.070511</v>
      </c>
      <c r="L497">
        <v>367.87150000000003</v>
      </c>
      <c r="M497">
        <v>0.99997069999999999</v>
      </c>
      <c r="N497">
        <v>-7.5245889999999999E-3</v>
      </c>
      <c r="O497">
        <v>1.5172429999999999E-3</v>
      </c>
      <c r="P497">
        <v>0.99771770000000004</v>
      </c>
      <c r="Q497">
        <v>-6.6908110000000007E-2</v>
      </c>
      <c r="R497">
        <v>9.1116249999999999E-3</v>
      </c>
      <c r="S497">
        <v>3.009827</v>
      </c>
      <c r="T497">
        <v>3.244615E-2</v>
      </c>
      <c r="U497">
        <v>-9.1369629999999993E-2</v>
      </c>
      <c r="V497">
        <v>-7.620913E-3</v>
      </c>
      <c r="W497">
        <v>-5.9395749999999997E-2</v>
      </c>
      <c r="X497">
        <v>0.99820540000000002</v>
      </c>
      <c r="Y497">
        <v>3.1858869999999997E-2</v>
      </c>
      <c r="Z497" s="1">
        <v>7.954852E-5</v>
      </c>
      <c r="AA497">
        <v>0.9994923</v>
      </c>
      <c r="AB497">
        <v>31</v>
      </c>
      <c r="AC497">
        <v>251.55090000000001</v>
      </c>
      <c r="AD497">
        <v>2.713762</v>
      </c>
      <c r="AE497">
        <v>-7.6427000000000396</v>
      </c>
      <c r="AF497">
        <v>8.02343285379051</v>
      </c>
      <c r="AG497">
        <v>2.713762</v>
      </c>
      <c r="AH497">
        <v>251.509769670103</v>
      </c>
      <c r="AI497">
        <v>89.382123297344293</v>
      </c>
      <c r="AJ497">
        <v>88.172822510350599</v>
      </c>
      <c r="AK497">
        <v>251.652347929559</v>
      </c>
      <c r="AL497">
        <v>93.405130013453004</v>
      </c>
      <c r="AM497">
        <v>90.437422666303604</v>
      </c>
      <c r="AN497">
        <v>0.999999977011087</v>
      </c>
    </row>
    <row r="498" spans="1:40" x14ac:dyDescent="0.25">
      <c r="A498" t="str">
        <f>"20190303153751970"</f>
        <v>20190303153751970</v>
      </c>
      <c r="B498" t="str">
        <f>"1551598671959246"</f>
        <v>1551598671959246</v>
      </c>
      <c r="C498" t="s">
        <v>40</v>
      </c>
      <c r="D498">
        <v>4.0352870000000003</v>
      </c>
      <c r="E498">
        <v>0.51521479999999997</v>
      </c>
      <c r="F498" t="s">
        <v>41</v>
      </c>
      <c r="G498">
        <v>-158.19499999999999</v>
      </c>
      <c r="H498">
        <v>3.6596609999999998</v>
      </c>
      <c r="I498">
        <v>360.1687</v>
      </c>
      <c r="J498">
        <v>-409.5539</v>
      </c>
      <c r="K498">
        <v>1.0705720000000001</v>
      </c>
      <c r="L498">
        <v>367.8716</v>
      </c>
      <c r="M498">
        <v>0.99996609999999997</v>
      </c>
      <c r="N498">
        <v>-8.1219719999999999E-3</v>
      </c>
      <c r="O498">
        <v>1.412045E-3</v>
      </c>
      <c r="P498">
        <v>0.99765479999999995</v>
      </c>
      <c r="Q498">
        <v>-6.7848489999999997E-2</v>
      </c>
      <c r="R498">
        <v>9.0548409999999992E-3</v>
      </c>
      <c r="S498">
        <v>3.0097960000000001</v>
      </c>
      <c r="T498">
        <v>3.0980110000000002E-2</v>
      </c>
      <c r="U498">
        <v>-9.2163090000000003E-2</v>
      </c>
      <c r="V498">
        <v>-7.6688299999999997E-3</v>
      </c>
      <c r="W498">
        <v>-5.974028E-2</v>
      </c>
      <c r="X498">
        <v>0.99818450000000003</v>
      </c>
      <c r="Y498">
        <v>3.2017499999999997E-2</v>
      </c>
      <c r="Z498" s="1">
        <v>6.0676759999999897E-5</v>
      </c>
      <c r="AA498">
        <v>0.99948729999999997</v>
      </c>
      <c r="AB498">
        <v>31</v>
      </c>
      <c r="AC498">
        <v>251.35890000000001</v>
      </c>
      <c r="AD498">
        <v>2.589089</v>
      </c>
      <c r="AE498">
        <v>-7.7028999999999996</v>
      </c>
      <c r="AF498">
        <v>8.0569800528541808</v>
      </c>
      <c r="AG498">
        <v>2.589089</v>
      </c>
      <c r="AH498">
        <v>251.321132652394</v>
      </c>
      <c r="AI498">
        <v>89.410067668759496</v>
      </c>
      <c r="AJ498">
        <v>88.163811779394806</v>
      </c>
      <c r="AK498">
        <v>251.463575945114</v>
      </c>
      <c r="AL498">
        <v>93.424905152179505</v>
      </c>
      <c r="AM498">
        <v>90.440182098668402</v>
      </c>
      <c r="AN498">
        <v>1.0000000040241399</v>
      </c>
    </row>
    <row r="499" spans="1:40" x14ac:dyDescent="0.25">
      <c r="A499" t="str">
        <f>"20190303153751985"</f>
        <v>20190303153751985</v>
      </c>
      <c r="B499" t="str">
        <f>"1551598671979741"</f>
        <v>1551598671979741</v>
      </c>
      <c r="C499" t="s">
        <v>40</v>
      </c>
      <c r="D499">
        <v>3.9986899999999999</v>
      </c>
      <c r="E499">
        <v>0.5151713</v>
      </c>
      <c r="F499" t="s">
        <v>41</v>
      </c>
      <c r="G499">
        <v>-158.19499999999999</v>
      </c>
      <c r="H499">
        <v>3.4007019999999999</v>
      </c>
      <c r="I499">
        <v>360.13909999999998</v>
      </c>
      <c r="J499">
        <v>-409.33969999999999</v>
      </c>
      <c r="K499">
        <v>1.0706180000000001</v>
      </c>
      <c r="L499">
        <v>367.87180000000001</v>
      </c>
      <c r="M499">
        <v>0.99996099999999999</v>
      </c>
      <c r="N499">
        <v>-8.7522639999999992E-3</v>
      </c>
      <c r="O499">
        <v>1.2969120000000001E-3</v>
      </c>
      <c r="P499">
        <v>0.9974324</v>
      </c>
      <c r="Q499">
        <v>-7.1130239999999997E-2</v>
      </c>
      <c r="R499">
        <v>8.3294240000000002E-3</v>
      </c>
      <c r="S499">
        <v>3.0097960000000001</v>
      </c>
      <c r="T499">
        <v>2.790225E-2</v>
      </c>
      <c r="U499">
        <v>-9.2590329999999998E-2</v>
      </c>
      <c r="V499">
        <v>-7.0593869999999899E-3</v>
      </c>
      <c r="W499">
        <v>-6.2394949999999998E-2</v>
      </c>
      <c r="X499">
        <v>0.99802650000000004</v>
      </c>
      <c r="Y499">
        <v>3.2044490000000002E-2</v>
      </c>
      <c r="Z499" s="1">
        <v>3.1596520000000003E-5</v>
      </c>
      <c r="AA499">
        <v>0.9994864</v>
      </c>
      <c r="AB499">
        <v>31</v>
      </c>
      <c r="AC499">
        <v>251.1447</v>
      </c>
      <c r="AD499">
        <v>2.3300839999999998</v>
      </c>
      <c r="AE499">
        <v>-7.7327000000000199</v>
      </c>
      <c r="AF499">
        <v>8.0577255601745605</v>
      </c>
      <c r="AG499">
        <v>2.3300839999999998</v>
      </c>
      <c r="AH499">
        <v>251.112864791574</v>
      </c>
      <c r="AI499">
        <v>89.468639426324202</v>
      </c>
      <c r="AJ499">
        <v>88.162120000790395</v>
      </c>
      <c r="AK499">
        <v>251.25291460295799</v>
      </c>
      <c r="AL499">
        <v>93.577291258191295</v>
      </c>
      <c r="AM499">
        <v>90.405266128393393</v>
      </c>
      <c r="AN499">
        <v>0.99999992971628104</v>
      </c>
    </row>
    <row r="500" spans="1:40" x14ac:dyDescent="0.25">
      <c r="A500" t="str">
        <f>"20190303153752000"</f>
        <v>20190303153752000</v>
      </c>
      <c r="B500" t="str">
        <f>"1551598671989500"</f>
        <v>1551598671989500</v>
      </c>
      <c r="C500" t="s">
        <v>40</v>
      </c>
      <c r="D500">
        <v>4.0472539999999997</v>
      </c>
      <c r="E500">
        <v>0.51513699999999996</v>
      </c>
      <c r="F500" t="s">
        <v>41</v>
      </c>
      <c r="G500">
        <v>-158.19499999999999</v>
      </c>
      <c r="H500">
        <v>2.5467080000000002</v>
      </c>
      <c r="I500">
        <v>360.00569999999999</v>
      </c>
      <c r="J500">
        <v>-409.15120000000002</v>
      </c>
      <c r="K500">
        <v>1.0706530000000001</v>
      </c>
      <c r="L500">
        <v>367.87189999999998</v>
      </c>
      <c r="M500">
        <v>0.99995630000000002</v>
      </c>
      <c r="N500">
        <v>-9.2740519999999996E-3</v>
      </c>
      <c r="O500">
        <v>1.1964110000000001E-3</v>
      </c>
      <c r="P500">
        <v>0.99728019999999995</v>
      </c>
      <c r="Q500">
        <v>-7.3236389999999998E-2</v>
      </c>
      <c r="R500">
        <v>8.2771930000000004E-3</v>
      </c>
      <c r="S500">
        <v>3.0097659999999999</v>
      </c>
      <c r="T500">
        <v>1.769078E-2</v>
      </c>
      <c r="U500">
        <v>-9.42688E-2</v>
      </c>
      <c r="V500">
        <v>-7.1081640000000001E-3</v>
      </c>
      <c r="W500">
        <v>-6.3981620000000003E-2</v>
      </c>
      <c r="X500">
        <v>0.99792579999999997</v>
      </c>
      <c r="Y500">
        <v>3.2501670000000003E-2</v>
      </c>
      <c r="Z500" s="1">
        <v>-3.7132380000000002E-5</v>
      </c>
      <c r="AA500">
        <v>0.99947169999999996</v>
      </c>
      <c r="AB500">
        <v>31</v>
      </c>
      <c r="AC500">
        <v>250.9562</v>
      </c>
      <c r="AD500">
        <v>1.4760549999999999</v>
      </c>
      <c r="AE500">
        <v>-7.8661999999999903</v>
      </c>
      <c r="AF500">
        <v>8.1661718055710004</v>
      </c>
      <c r="AG500">
        <v>1.4760549999999999</v>
      </c>
      <c r="AH500">
        <v>250.93793616765399</v>
      </c>
      <c r="AI500">
        <v>89.663159730871897</v>
      </c>
      <c r="AJ500">
        <v>88.136104393484501</v>
      </c>
      <c r="AK500">
        <v>251.075114076251</v>
      </c>
      <c r="AL500">
        <v>93.668382406206604</v>
      </c>
      <c r="AM500">
        <v>90.408107406131094</v>
      </c>
      <c r="AN500">
        <v>1.00000003799945</v>
      </c>
    </row>
    <row r="501" spans="1:40" x14ac:dyDescent="0.25">
      <c r="A501" t="str">
        <f>"20190303153752021"</f>
        <v>20190303153752021</v>
      </c>
      <c r="B501" t="str">
        <f>"1551598672009995"</f>
        <v>1551598672009995</v>
      </c>
      <c r="C501" t="s">
        <v>40</v>
      </c>
      <c r="D501">
        <v>4.0336589999999903</v>
      </c>
      <c r="E501">
        <v>0.51507939999999997</v>
      </c>
      <c r="F501" t="s">
        <v>41</v>
      </c>
      <c r="G501">
        <v>-158.19499999999999</v>
      </c>
      <c r="H501">
        <v>2.00034</v>
      </c>
      <c r="I501">
        <v>359.9914</v>
      </c>
      <c r="J501">
        <v>-408.86149999999998</v>
      </c>
      <c r="K501">
        <v>1.0706830000000001</v>
      </c>
      <c r="L501">
        <v>367.87209999999999</v>
      </c>
      <c r="M501">
        <v>0.99994939999999999</v>
      </c>
      <c r="N501">
        <v>-1.0021830000000001E-2</v>
      </c>
      <c r="O501">
        <v>1.042692E-3</v>
      </c>
      <c r="P501">
        <v>0.99701649999999997</v>
      </c>
      <c r="Q501">
        <v>-7.6813489999999998E-2</v>
      </c>
      <c r="R501">
        <v>7.6194100000000001E-3</v>
      </c>
      <c r="S501">
        <v>3.0097659999999999</v>
      </c>
      <c r="T501">
        <v>1.115096E-2</v>
      </c>
      <c r="U501">
        <v>-9.4512940000000004E-2</v>
      </c>
      <c r="V501">
        <v>-6.6053910000000004E-3</v>
      </c>
      <c r="W501">
        <v>-6.6815100000000002E-2</v>
      </c>
      <c r="X501">
        <v>0.99774350000000001</v>
      </c>
      <c r="Y501">
        <v>3.242913E-2</v>
      </c>
      <c r="Z501" s="1">
        <v>-8.8174569999999999E-5</v>
      </c>
      <c r="AA501">
        <v>0.99947399999999997</v>
      </c>
      <c r="AB501">
        <v>31</v>
      </c>
      <c r="AC501">
        <v>250.66650000000001</v>
      </c>
      <c r="AD501">
        <v>0.92965699999999996</v>
      </c>
      <c r="AE501">
        <v>-7.8806999999999903</v>
      </c>
      <c r="AF501">
        <v>8.1419648734417205</v>
      </c>
      <c r="AG501">
        <v>0.92965699999999996</v>
      </c>
      <c r="AH501">
        <v>250.65470187908201</v>
      </c>
      <c r="AI501">
        <v>89.787607814897797</v>
      </c>
      <c r="AJ501">
        <v>88.139527200544194</v>
      </c>
      <c r="AK501">
        <v>250.788626991396</v>
      </c>
      <c r="AL501">
        <v>93.831077374830002</v>
      </c>
      <c r="AM501">
        <v>90.379311413523695</v>
      </c>
      <c r="AN501">
        <v>0.99999999028526099</v>
      </c>
    </row>
    <row r="502" spans="1:40" x14ac:dyDescent="0.25">
      <c r="A502" t="str">
        <f>"20190303153752043"</f>
        <v>20190303153752043</v>
      </c>
      <c r="B502" t="str">
        <f>"1551598672029516"</f>
        <v>1551598672029516</v>
      </c>
      <c r="C502" t="s">
        <v>40</v>
      </c>
      <c r="D502">
        <v>4.0368810000000002</v>
      </c>
      <c r="E502">
        <v>0.51502300000000001</v>
      </c>
      <c r="F502" t="s">
        <v>41</v>
      </c>
      <c r="G502">
        <v>-158.19499999999999</v>
      </c>
      <c r="H502">
        <v>1.0664549999999999</v>
      </c>
      <c r="I502">
        <v>359.88869999999997</v>
      </c>
      <c r="J502">
        <v>-408.5668</v>
      </c>
      <c r="K502">
        <v>1.0707</v>
      </c>
      <c r="L502">
        <v>367.87220000000002</v>
      </c>
      <c r="M502">
        <v>0.99994229999999995</v>
      </c>
      <c r="N502">
        <v>-1.070663E-2</v>
      </c>
      <c r="O502">
        <v>8.8684300000000001E-4</v>
      </c>
      <c r="P502">
        <v>0.9967975</v>
      </c>
      <c r="Q502">
        <v>-7.962081E-2</v>
      </c>
      <c r="R502">
        <v>7.4387239999999999E-3</v>
      </c>
      <c r="S502">
        <v>3.0097049999999999</v>
      </c>
      <c r="T502" s="1">
        <v>-4.9710270000000002E-5</v>
      </c>
      <c r="U502">
        <v>-9.5855709999999997E-2</v>
      </c>
      <c r="V502">
        <v>-6.5811239999999998E-3</v>
      </c>
      <c r="W502">
        <v>-6.8941329999999995E-2</v>
      </c>
      <c r="X502">
        <v>0.99759900000000001</v>
      </c>
      <c r="Y502">
        <v>3.2719119999999997E-2</v>
      </c>
      <c r="Z502">
        <v>-1.65997E-4</v>
      </c>
      <c r="AA502">
        <v>0.99946460000000004</v>
      </c>
      <c r="AB502">
        <v>31</v>
      </c>
      <c r="AC502">
        <v>250.37180000000001</v>
      </c>
      <c r="AD502">
        <v>-4.2450000000000499E-3</v>
      </c>
      <c r="AE502">
        <v>-7.9835000000000402</v>
      </c>
      <c r="AF502">
        <v>8.2055500611805208</v>
      </c>
      <c r="AG502">
        <v>-4.2450000000000499E-3</v>
      </c>
      <c r="AH502">
        <v>250.36462094242299</v>
      </c>
      <c r="AI502">
        <v>90.000970944134096</v>
      </c>
      <c r="AJ502">
        <v>88.122837175930698</v>
      </c>
      <c r="AK502">
        <v>250.49905087538701</v>
      </c>
      <c r="AL502">
        <v>93.9531830226408</v>
      </c>
      <c r="AM502">
        <v>90.377972672152396</v>
      </c>
      <c r="AN502">
        <v>0.99999999148813601</v>
      </c>
    </row>
    <row r="503" spans="1:40" x14ac:dyDescent="0.25">
      <c r="A503" t="str">
        <f>"20190303153752056"</f>
        <v>20190303153752056</v>
      </c>
      <c r="B503" t="str">
        <f>"1551598672050013"</f>
        <v>1551598672050013</v>
      </c>
      <c r="C503" t="s">
        <v>40</v>
      </c>
      <c r="D503">
        <v>3.9934889999999998</v>
      </c>
      <c r="E503">
        <v>0.51496620000000004</v>
      </c>
      <c r="F503" t="s">
        <v>41</v>
      </c>
      <c r="G503">
        <v>-158.19499999999999</v>
      </c>
      <c r="H503">
        <v>0.36206250000000001</v>
      </c>
      <c r="I503">
        <v>359.87009999999998</v>
      </c>
      <c r="J503">
        <v>-408.3766</v>
      </c>
      <c r="K503">
        <v>1.070719</v>
      </c>
      <c r="L503">
        <v>367.8723</v>
      </c>
      <c r="M503">
        <v>0.99993810000000005</v>
      </c>
      <c r="N503">
        <v>-1.11083E-2</v>
      </c>
      <c r="O503">
        <v>7.8534160000000004E-4</v>
      </c>
      <c r="P503">
        <v>0.99668069999999997</v>
      </c>
      <c r="Q503">
        <v>-8.1100790000000006E-2</v>
      </c>
      <c r="R503">
        <v>7.137544E-3</v>
      </c>
      <c r="S503">
        <v>3.0096440000000002</v>
      </c>
      <c r="T503">
        <v>-8.5172649999999996E-3</v>
      </c>
      <c r="U503">
        <v>-9.6191410000000005E-2</v>
      </c>
      <c r="V503">
        <v>-6.3818039999999996E-3</v>
      </c>
      <c r="W503">
        <v>-7.0021879999999995E-2</v>
      </c>
      <c r="X503">
        <v>0.997525</v>
      </c>
      <c r="Y503">
        <v>3.2729059999999997E-2</v>
      </c>
      <c r="Z503">
        <v>-2.2163550000000001E-4</v>
      </c>
      <c r="AA503">
        <v>0.99946420000000002</v>
      </c>
      <c r="AB503">
        <v>31</v>
      </c>
      <c r="AC503">
        <v>250.1816</v>
      </c>
      <c r="AD503">
        <v>-0.70865649999999902</v>
      </c>
      <c r="AE503">
        <v>-8.0022000000000109</v>
      </c>
      <c r="AF503">
        <v>8.1986219381944494</v>
      </c>
      <c r="AG503">
        <v>-0.70865649999999902</v>
      </c>
      <c r="AH503">
        <v>250.17323279223899</v>
      </c>
      <c r="AI503">
        <v>90.162212126501899</v>
      </c>
      <c r="AJ503">
        <v>88.122987138380793</v>
      </c>
      <c r="AK503">
        <v>250.30854160703399</v>
      </c>
      <c r="AL503">
        <v>94.015244100867406</v>
      </c>
      <c r="AM503">
        <v>90.366552664182805</v>
      </c>
      <c r="AN503">
        <v>0.99999995836301303</v>
      </c>
    </row>
    <row r="504" spans="1:40" x14ac:dyDescent="0.25">
      <c r="A504" t="str">
        <f>"20190303153752075"</f>
        <v>20190303153752075</v>
      </c>
      <c r="B504" t="str">
        <f>"1551598672069532"</f>
        <v>1551598672069532</v>
      </c>
      <c r="C504" t="s">
        <v>40</v>
      </c>
      <c r="D504">
        <v>4.0480099999999997</v>
      </c>
      <c r="E504">
        <v>0.51485479999999995</v>
      </c>
      <c r="F504" t="s">
        <v>45</v>
      </c>
      <c r="G504">
        <v>-179.1275</v>
      </c>
      <c r="H504">
        <v>7.9987920000000004E-2</v>
      </c>
      <c r="I504">
        <v>360.49869999999999</v>
      </c>
      <c r="J504">
        <v>-408.11970000000002</v>
      </c>
      <c r="K504">
        <v>1.070749</v>
      </c>
      <c r="L504">
        <v>367.8723</v>
      </c>
      <c r="M504">
        <v>0.99993259999999995</v>
      </c>
      <c r="N504">
        <v>-1.160391E-2</v>
      </c>
      <c r="O504">
        <v>6.4762100000000003E-4</v>
      </c>
      <c r="P504">
        <v>0.99658659999999999</v>
      </c>
      <c r="Q504">
        <v>-8.2279439999999995E-2</v>
      </c>
      <c r="R504">
        <v>6.7730380000000003E-3</v>
      </c>
      <c r="S504">
        <v>3.0096129999999999</v>
      </c>
      <c r="T504">
        <v>-1.3006449999999999E-2</v>
      </c>
      <c r="U504">
        <v>-9.6801760000000001E-2</v>
      </c>
      <c r="V504">
        <v>-6.1546159999999999E-3</v>
      </c>
      <c r="W504">
        <v>-7.0707210000000006E-2</v>
      </c>
      <c r="X504">
        <v>0.99747810000000003</v>
      </c>
      <c r="Y504">
        <v>3.2793740000000002E-2</v>
      </c>
      <c r="Z504">
        <v>-2.5645399999999998E-4</v>
      </c>
      <c r="AA504">
        <v>0.99946210000000002</v>
      </c>
      <c r="AB504">
        <v>31</v>
      </c>
      <c r="AC504">
        <v>228.9922</v>
      </c>
      <c r="AD504">
        <v>-0.99076107999999996</v>
      </c>
      <c r="AE504">
        <v>-7.3735999999999997</v>
      </c>
      <c r="AF504">
        <v>7.5217679174328804</v>
      </c>
      <c r="AG504">
        <v>-0.99076107999999996</v>
      </c>
      <c r="AH504">
        <v>228.983094321891</v>
      </c>
      <c r="AI504">
        <v>90.247771449458995</v>
      </c>
      <c r="AJ504">
        <v>88.118591900317995</v>
      </c>
      <c r="AK504">
        <v>229.108742926475</v>
      </c>
      <c r="AL504">
        <v>94.054608124741193</v>
      </c>
      <c r="AM504">
        <v>90.353520589955494</v>
      </c>
      <c r="AN504">
        <v>0.99999997441184996</v>
      </c>
    </row>
    <row r="505" spans="1:40" x14ac:dyDescent="0.25">
      <c r="A505" t="str">
        <f>"20190303153752088"</f>
        <v>20190303153752088</v>
      </c>
      <c r="B505" t="str">
        <f>"1551598672079292"</f>
        <v>1551598672079292</v>
      </c>
      <c r="C505" t="s">
        <v>40</v>
      </c>
      <c r="D505">
        <v>4.0188810000000004</v>
      </c>
      <c r="E505">
        <v>0.51485479999999995</v>
      </c>
      <c r="F505" t="s">
        <v>42</v>
      </c>
      <c r="G505">
        <v>-216.2466</v>
      </c>
      <c r="H505" s="1">
        <v>-3.372628E-6</v>
      </c>
      <c r="I505">
        <v>361.6891</v>
      </c>
      <c r="J505">
        <v>-407.94380000000001</v>
      </c>
      <c r="K505">
        <v>1.0707679999999999</v>
      </c>
      <c r="L505">
        <v>367.8723</v>
      </c>
      <c r="M505">
        <v>0.99992899999999996</v>
      </c>
      <c r="N505">
        <v>-1.1916609999999999E-2</v>
      </c>
      <c r="O505">
        <v>5.5334399999999999E-4</v>
      </c>
      <c r="P505">
        <v>0.99656829999999996</v>
      </c>
      <c r="Q505">
        <v>-8.2506079999999996E-2</v>
      </c>
      <c r="R505">
        <v>6.6792809999999996E-3</v>
      </c>
      <c r="S505">
        <v>3.0095830000000001</v>
      </c>
      <c r="T505">
        <v>-1.6795040000000001E-2</v>
      </c>
      <c r="U505">
        <v>-9.6984860000000006E-2</v>
      </c>
      <c r="V505">
        <v>-6.1546530000000004E-3</v>
      </c>
      <c r="W505">
        <v>-7.0622169999999998E-2</v>
      </c>
      <c r="X505">
        <v>0.99748409999999998</v>
      </c>
      <c r="Y505">
        <v>3.2760119999999997E-2</v>
      </c>
      <c r="Z505">
        <v>-2.831364E-4</v>
      </c>
      <c r="AA505">
        <v>0.9994632</v>
      </c>
      <c r="AB505">
        <v>31</v>
      </c>
      <c r="AC505">
        <v>191.69720000000001</v>
      </c>
      <c r="AD505">
        <v>-1.0707713726279999</v>
      </c>
      <c r="AE505">
        <v>-6.1831999999999896</v>
      </c>
      <c r="AF505">
        <v>6.2890850454199203</v>
      </c>
      <c r="AG505">
        <v>-1.0707713726279999</v>
      </c>
      <c r="AH505">
        <v>191.68777442473899</v>
      </c>
      <c r="AI505">
        <v>90.319879816711506</v>
      </c>
      <c r="AJ505">
        <v>88.120856577099204</v>
      </c>
      <c r="AK505">
        <v>191.793905028159</v>
      </c>
      <c r="AL505">
        <v>94.049723578741194</v>
      </c>
      <c r="AM505">
        <v>90.353520588745894</v>
      </c>
      <c r="AN505">
        <v>0.99999995020093302</v>
      </c>
    </row>
    <row r="506" spans="1:40" x14ac:dyDescent="0.25">
      <c r="A506" t="str">
        <f>"20190303153752099"</f>
        <v>20190303153752099</v>
      </c>
      <c r="B506" t="str">
        <f>"1551598672090028"</f>
        <v>1551598672090028</v>
      </c>
      <c r="C506" t="s">
        <v>40</v>
      </c>
      <c r="D506">
        <v>4.0480119999999999</v>
      </c>
      <c r="E506">
        <v>0.51445149999999995</v>
      </c>
      <c r="F506" t="s">
        <v>42</v>
      </c>
      <c r="G506">
        <v>-224.23140000000001</v>
      </c>
      <c r="H506" s="1">
        <v>-3.9978839999999999E-6</v>
      </c>
      <c r="I506">
        <v>361.91660000000002</v>
      </c>
      <c r="J506">
        <v>-407.77780000000001</v>
      </c>
      <c r="K506">
        <v>1.0707850000000001</v>
      </c>
      <c r="L506">
        <v>367.8723</v>
      </c>
      <c r="M506">
        <v>0.99992570000000003</v>
      </c>
      <c r="N506">
        <v>-1.218171E-2</v>
      </c>
      <c r="O506">
        <v>4.6373319999999999E-4</v>
      </c>
      <c r="P506">
        <v>0.99664070000000005</v>
      </c>
      <c r="Q506">
        <v>-8.1655499999999895E-2</v>
      </c>
      <c r="R506">
        <v>6.3135119999999899E-3</v>
      </c>
      <c r="S506">
        <v>3.0095209999999999</v>
      </c>
      <c r="T506">
        <v>-1.7541049999999999E-2</v>
      </c>
      <c r="U506">
        <v>-9.7564700000000004E-2</v>
      </c>
      <c r="V506">
        <v>-5.8778179999999999E-3</v>
      </c>
      <c r="W506">
        <v>-6.9506410000000005E-2</v>
      </c>
      <c r="X506">
        <v>0.99756420000000001</v>
      </c>
      <c r="Y506">
        <v>3.2863450000000002E-2</v>
      </c>
      <c r="Z506">
        <v>-2.930327E-4</v>
      </c>
      <c r="AA506">
        <v>0.99945980000000001</v>
      </c>
      <c r="AB506">
        <v>31</v>
      </c>
      <c r="AC506">
        <v>183.54640000000001</v>
      </c>
      <c r="AD506">
        <v>-1.0707889978839999</v>
      </c>
      <c r="AE506">
        <v>-5.95569999999997</v>
      </c>
      <c r="AF506">
        <v>6.0406168628436703</v>
      </c>
      <c r="AG506">
        <v>-1.0707889978839999</v>
      </c>
      <c r="AH506">
        <v>183.53737821531499</v>
      </c>
      <c r="AI506">
        <v>90.334088862451694</v>
      </c>
      <c r="AJ506">
        <v>88.114950920784807</v>
      </c>
      <c r="AK506">
        <v>183.63987814010699</v>
      </c>
      <c r="AL506">
        <v>93.985637496343898</v>
      </c>
      <c r="AM506">
        <v>90.337592574883104</v>
      </c>
      <c r="AN506">
        <v>1.0000000114485801</v>
      </c>
    </row>
    <row r="507" spans="1:40" x14ac:dyDescent="0.25">
      <c r="A507" t="str">
        <f>"20190303153752113"</f>
        <v>20190303153752113</v>
      </c>
      <c r="B507" t="str">
        <f>"1551598672109548"</f>
        <v>1551598672109548</v>
      </c>
      <c r="C507" t="s">
        <v>40</v>
      </c>
      <c r="D507">
        <v>4.0507960000000001</v>
      </c>
      <c r="E507">
        <v>0.48718850000000002</v>
      </c>
      <c r="F507" t="s">
        <v>45</v>
      </c>
      <c r="G507">
        <v>-197.0248</v>
      </c>
      <c r="H507" s="1">
        <v>-9.0683030000000008E-6</v>
      </c>
      <c r="I507">
        <v>361.18310000000002</v>
      </c>
      <c r="J507">
        <v>-407.60219999999998</v>
      </c>
      <c r="K507">
        <v>1.0708029999999999</v>
      </c>
      <c r="L507">
        <v>367.8723</v>
      </c>
      <c r="M507">
        <v>0.99992259999999999</v>
      </c>
      <c r="N507">
        <v>-1.244904E-2</v>
      </c>
      <c r="O507">
        <v>3.6888829999999999E-4</v>
      </c>
      <c r="P507">
        <v>0.99672890000000003</v>
      </c>
      <c r="Q507">
        <v>-8.0592129999999998E-2</v>
      </c>
      <c r="R507">
        <v>6.0400469999999998E-3</v>
      </c>
      <c r="S507">
        <v>3.0094910000000001</v>
      </c>
      <c r="T507">
        <v>-1.529062E-2</v>
      </c>
      <c r="U507">
        <v>-9.5520019999999997E-2</v>
      </c>
      <c r="V507">
        <v>-5.6980609999999999E-3</v>
      </c>
      <c r="W507">
        <v>-6.8175410000000006E-2</v>
      </c>
      <c r="X507">
        <v>0.99765709999999996</v>
      </c>
      <c r="Y507">
        <v>3.209091E-2</v>
      </c>
      <c r="Z507">
        <v>-2.7859800000000002E-4</v>
      </c>
      <c r="AA507">
        <v>0.99948490000000001</v>
      </c>
      <c r="AB507">
        <v>30</v>
      </c>
      <c r="AC507">
        <v>210.57740000000001</v>
      </c>
      <c r="AD507">
        <v>-1.070812068303</v>
      </c>
      <c r="AE507">
        <v>-6.6891999999999703</v>
      </c>
      <c r="AF507">
        <v>6.7667102910241299</v>
      </c>
      <c r="AG507">
        <v>-1.070812068303</v>
      </c>
      <c r="AH507">
        <v>210.56947839400701</v>
      </c>
      <c r="AI507">
        <v>90.291214235762894</v>
      </c>
      <c r="AJ507">
        <v>88.159417172623193</v>
      </c>
      <c r="AK507">
        <v>210.68089670820299</v>
      </c>
      <c r="AL507">
        <v>93.909195421187803</v>
      </c>
      <c r="AM507">
        <v>90.327237982715005</v>
      </c>
      <c r="AN507">
        <v>1.0000000218041101</v>
      </c>
    </row>
    <row r="508" spans="1:40" x14ac:dyDescent="0.25">
      <c r="A508" t="str">
        <f>"20190303153752131"</f>
        <v>20190303153752131</v>
      </c>
      <c r="B508" t="str">
        <f>"1551598672119308"</f>
        <v>1551598672119308</v>
      </c>
      <c r="C508" t="s">
        <v>40</v>
      </c>
      <c r="D508">
        <v>4.0911239999999998</v>
      </c>
      <c r="E508">
        <v>0.48707440000000002</v>
      </c>
      <c r="F508" t="s">
        <v>42</v>
      </c>
      <c r="G508">
        <v>-239.922</v>
      </c>
      <c r="H508" s="1">
        <v>-1.345397E-6</v>
      </c>
      <c r="I508">
        <v>374.61340000000001</v>
      </c>
      <c r="J508">
        <v>-407.36669999999998</v>
      </c>
      <c r="K508">
        <v>1.0708279999999999</v>
      </c>
      <c r="L508">
        <v>367.87220000000002</v>
      </c>
      <c r="M508">
        <v>0.99991839999999999</v>
      </c>
      <c r="N508">
        <v>-1.2774509999999999E-2</v>
      </c>
      <c r="O508">
        <v>2.4185769999999999E-4</v>
      </c>
      <c r="P508">
        <v>0.99687110000000001</v>
      </c>
      <c r="Q508">
        <v>-7.8845559999999995E-2</v>
      </c>
      <c r="R508">
        <v>5.6315669999999996E-3</v>
      </c>
      <c r="S508">
        <v>3.007568</v>
      </c>
      <c r="T508">
        <v>-1.9206290000000001E-2</v>
      </c>
      <c r="U508">
        <v>0.12091059999999999</v>
      </c>
      <c r="V508">
        <v>-5.4152899999999997E-3</v>
      </c>
      <c r="W508">
        <v>-6.6102530000000007E-2</v>
      </c>
      <c r="X508">
        <v>0.99779810000000002</v>
      </c>
      <c r="Y508">
        <v>-3.9925559999999999E-2</v>
      </c>
      <c r="Z508">
        <v>3.8410990000000003E-4</v>
      </c>
      <c r="AA508">
        <v>0.99920260000000005</v>
      </c>
      <c r="AB508">
        <v>30</v>
      </c>
      <c r="AC508">
        <v>167.44469999999899</v>
      </c>
      <c r="AD508">
        <v>-1.0708293453969999</v>
      </c>
      <c r="AE508">
        <v>6.7411999999999903</v>
      </c>
      <c r="AF508">
        <v>-6.7004251212740202</v>
      </c>
      <c r="AG508">
        <v>-1.0708293453969999</v>
      </c>
      <c r="AH508">
        <v>167.43948885553701</v>
      </c>
      <c r="AI508">
        <v>90.366126903848794</v>
      </c>
      <c r="AJ508">
        <v>92.291582205342706</v>
      </c>
      <c r="AK508">
        <v>167.576922040287</v>
      </c>
      <c r="AL508">
        <v>93.790159776156699</v>
      </c>
      <c r="AM508">
        <v>90.310954907143497</v>
      </c>
      <c r="AN508">
        <v>0.99999995910089601</v>
      </c>
    </row>
    <row r="509" spans="1:40" x14ac:dyDescent="0.25">
      <c r="A509" t="str">
        <f>"20190303153752143"</f>
        <v>20190303153752143</v>
      </c>
      <c r="B509" t="str">
        <f>"1551598672139805"</f>
        <v>1551598672139805</v>
      </c>
      <c r="C509" t="s">
        <v>40</v>
      </c>
      <c r="D509">
        <v>4.0677250000000003</v>
      </c>
      <c r="E509">
        <v>0.48657010000000001</v>
      </c>
      <c r="F509" t="s">
        <v>45</v>
      </c>
      <c r="G509">
        <v>-180.08850000000001</v>
      </c>
      <c r="H509">
        <v>7.9907839999999994E-2</v>
      </c>
      <c r="I509">
        <v>376.98570000000001</v>
      </c>
      <c r="J509">
        <v>-407.19049999999999</v>
      </c>
      <c r="K509">
        <v>1.0708420000000001</v>
      </c>
      <c r="L509">
        <v>367.87220000000002</v>
      </c>
      <c r="M509">
        <v>0.99991560000000002</v>
      </c>
      <c r="N509">
        <v>-1.299092E-2</v>
      </c>
      <c r="O509">
        <v>1.4703289999999999E-4</v>
      </c>
      <c r="P509">
        <v>0.9969462</v>
      </c>
      <c r="Q509">
        <v>-7.791505E-2</v>
      </c>
      <c r="R509">
        <v>5.266471E-3</v>
      </c>
      <c r="S509">
        <v>3.0077210000000001</v>
      </c>
      <c r="T509">
        <v>-1.31134999999999E-2</v>
      </c>
      <c r="U509">
        <v>0.1206055</v>
      </c>
      <c r="V509">
        <v>-5.1440030000000003E-3</v>
      </c>
      <c r="W509">
        <v>-6.4955310000000002E-2</v>
      </c>
      <c r="X509">
        <v>0.99787490000000001</v>
      </c>
      <c r="Y509">
        <v>-3.991799E-2</v>
      </c>
      <c r="Z509">
        <v>3.4765909999999998E-4</v>
      </c>
      <c r="AA509">
        <v>0.9992029</v>
      </c>
      <c r="AB509">
        <v>30</v>
      </c>
      <c r="AC509">
        <v>227.102</v>
      </c>
      <c r="AD509">
        <v>-0.99093416000000001</v>
      </c>
      <c r="AE509">
        <v>9.1134999999999806</v>
      </c>
      <c r="AF509">
        <v>-9.0799330213886797</v>
      </c>
      <c r="AG509">
        <v>-0.99093416000000001</v>
      </c>
      <c r="AH509">
        <v>227.09902082033</v>
      </c>
      <c r="AI509">
        <v>90.249805829198706</v>
      </c>
      <c r="AJ509">
        <v>92.289595471527903</v>
      </c>
      <c r="AK509">
        <v>227.282626682585</v>
      </c>
      <c r="AL509">
        <v>93.724287229073397</v>
      </c>
      <c r="AM509">
        <v>90.295354709362002</v>
      </c>
      <c r="AN509">
        <v>0.99999998455703498</v>
      </c>
    </row>
    <row r="510" spans="1:40" x14ac:dyDescent="0.25">
      <c r="A510" t="str">
        <f>"20190303153752156"</f>
        <v>20190303153752156</v>
      </c>
      <c r="B510" t="str">
        <f>"1551598672149564"</f>
        <v>1551598672149564</v>
      </c>
      <c r="C510" t="s">
        <v>40</v>
      </c>
      <c r="D510">
        <v>4.0697449999999904</v>
      </c>
      <c r="E510">
        <v>0.48680430000000002</v>
      </c>
      <c r="F510" t="s">
        <v>45</v>
      </c>
      <c r="G510">
        <v>-193.03380000000001</v>
      </c>
      <c r="H510" s="1">
        <v>-1.23153E-5</v>
      </c>
      <c r="I510">
        <v>376.654</v>
      </c>
      <c r="J510">
        <v>-407.02140000000003</v>
      </c>
      <c r="K510">
        <v>1.0708530000000001</v>
      </c>
      <c r="L510">
        <v>367.87209999999999</v>
      </c>
      <c r="M510">
        <v>0.9999131</v>
      </c>
      <c r="N510">
        <v>-1.3185219999999999E-2</v>
      </c>
      <c r="O510" s="1">
        <v>5.6089550000000002E-5</v>
      </c>
      <c r="P510">
        <v>0.99699380000000004</v>
      </c>
      <c r="Q510">
        <v>-7.7331540000000004E-2</v>
      </c>
      <c r="R510">
        <v>4.7914999999999998E-3</v>
      </c>
      <c r="S510">
        <v>3.007355</v>
      </c>
      <c r="T510">
        <v>-1.5037780000000001E-2</v>
      </c>
      <c r="U510">
        <v>0.1233215</v>
      </c>
      <c r="V510">
        <v>-4.7593000000000002E-3</v>
      </c>
      <c r="W510">
        <v>-6.4177479999999995E-2</v>
      </c>
      <c r="X510">
        <v>0.99792709999999996</v>
      </c>
      <c r="Y510">
        <v>-4.0914300000000001E-2</v>
      </c>
      <c r="Z510">
        <v>3.7257119999999999E-4</v>
      </c>
      <c r="AA510">
        <v>0.99916260000000001</v>
      </c>
      <c r="AB510">
        <v>30</v>
      </c>
      <c r="AC510">
        <v>213.98759999999999</v>
      </c>
      <c r="AD510">
        <v>-1.0708653153000001</v>
      </c>
      <c r="AE510">
        <v>8.7819000000000091</v>
      </c>
      <c r="AF510">
        <v>-8.7696772220493102</v>
      </c>
      <c r="AG510">
        <v>-1.0708653153000001</v>
      </c>
      <c r="AH510">
        <v>213.98274244375801</v>
      </c>
      <c r="AI510">
        <v>90.286490811914803</v>
      </c>
      <c r="AJ510">
        <v>92.346845608976693</v>
      </c>
      <c r="AK510">
        <v>214.16504863038301</v>
      </c>
      <c r="AL510">
        <v>93.679627798259105</v>
      </c>
      <c r="AM510">
        <v>90.273252160427802</v>
      </c>
      <c r="AN510">
        <v>0.99999994839502304</v>
      </c>
    </row>
    <row r="511" spans="1:40" x14ac:dyDescent="0.25">
      <c r="A511" t="str">
        <f>"20190303153752169"</f>
        <v>20190303153752169</v>
      </c>
      <c r="B511" t="str">
        <f>"1551598672159324"</f>
        <v>1551598672159324</v>
      </c>
      <c r="C511" t="s">
        <v>40</v>
      </c>
      <c r="D511">
        <v>4.0829529999999998</v>
      </c>
      <c r="E511">
        <v>0.48662909999999998</v>
      </c>
      <c r="F511" t="s">
        <v>45</v>
      </c>
      <c r="G511">
        <v>-180.7647</v>
      </c>
      <c r="H511" s="1">
        <v>-5.9812730000000001E-6</v>
      </c>
      <c r="I511">
        <v>376.8793</v>
      </c>
      <c r="J511">
        <v>-406.83800000000002</v>
      </c>
      <c r="K511">
        <v>1.0708629999999999</v>
      </c>
      <c r="L511">
        <v>367.87200000000001</v>
      </c>
      <c r="M511">
        <v>0.99991039999999998</v>
      </c>
      <c r="N511">
        <v>-1.3382979999999999E-2</v>
      </c>
      <c r="O511" s="1">
        <v>-4.2524780000000002E-5</v>
      </c>
      <c r="P511">
        <v>0.99701209999999996</v>
      </c>
      <c r="Q511">
        <v>-7.7134739999999993E-2</v>
      </c>
      <c r="R511">
        <v>4.1408520000000004E-3</v>
      </c>
      <c r="S511">
        <v>3.0073240000000001</v>
      </c>
      <c r="T511">
        <v>-1.423347E-2</v>
      </c>
      <c r="U511">
        <v>0.11972049999999999</v>
      </c>
      <c r="V511">
        <v>-4.2074219999999997E-3</v>
      </c>
      <c r="W511">
        <v>-6.3783300000000001E-2</v>
      </c>
      <c r="X511">
        <v>0.99795489999999998</v>
      </c>
      <c r="Y511">
        <v>-3.9818909999999999E-2</v>
      </c>
      <c r="Z511">
        <v>3.603956E-4</v>
      </c>
      <c r="AA511">
        <v>0.99920679999999995</v>
      </c>
      <c r="AB511">
        <v>30</v>
      </c>
      <c r="AC511">
        <v>226.07329999999999</v>
      </c>
      <c r="AD511">
        <v>-1.0708689812729999</v>
      </c>
      <c r="AE511">
        <v>9.0073000000000398</v>
      </c>
      <c r="AF511">
        <v>-9.0167125789708997</v>
      </c>
      <c r="AG511">
        <v>-1.0708689812729999</v>
      </c>
      <c r="AH511">
        <v>226.06785237349499</v>
      </c>
      <c r="AI511">
        <v>90.271188802757806</v>
      </c>
      <c r="AJ511">
        <v>92.284030583859902</v>
      </c>
      <c r="AK511">
        <v>226.25013092343499</v>
      </c>
      <c r="AL511">
        <v>93.656996400389701</v>
      </c>
      <c r="AM511">
        <v>90.241560109498195</v>
      </c>
      <c r="AN511">
        <v>0.99999999709639298</v>
      </c>
    </row>
    <row r="512" spans="1:40" x14ac:dyDescent="0.25">
      <c r="A512" t="str">
        <f>"20190303153752187"</f>
        <v>20190303153752187</v>
      </c>
      <c r="B512" t="str">
        <f>"1551598672179820"</f>
        <v>1551598672179820</v>
      </c>
      <c r="C512" t="s">
        <v>40</v>
      </c>
      <c r="D512">
        <v>4.054335</v>
      </c>
      <c r="E512">
        <v>0.4865292</v>
      </c>
      <c r="F512" t="s">
        <v>45</v>
      </c>
      <c r="G512">
        <v>-199.9571</v>
      </c>
      <c r="H512" s="1">
        <v>-9.8655719999999993E-6</v>
      </c>
      <c r="I512">
        <v>376.04489999999998</v>
      </c>
      <c r="J512">
        <v>-406.59559999999999</v>
      </c>
      <c r="K512">
        <v>1.0708709999999999</v>
      </c>
      <c r="L512">
        <v>367.87189999999998</v>
      </c>
      <c r="M512">
        <v>0.9999074</v>
      </c>
      <c r="N512">
        <v>-1.361266E-2</v>
      </c>
      <c r="O512">
        <v>-1.7273040000000001E-4</v>
      </c>
      <c r="P512">
        <v>0.99701919999999999</v>
      </c>
      <c r="Q512">
        <v>-7.7098410000000006E-2</v>
      </c>
      <c r="R512">
        <v>3.0064549999999999E-3</v>
      </c>
      <c r="S512">
        <v>3.0072939999999999</v>
      </c>
      <c r="T512">
        <v>-1.556659E-2</v>
      </c>
      <c r="U512">
        <v>0.1188049</v>
      </c>
      <c r="V512">
        <v>-3.2019790000000002E-3</v>
      </c>
      <c r="W512">
        <v>-6.3518019999999994E-2</v>
      </c>
      <c r="X512">
        <v>0.99797550000000002</v>
      </c>
      <c r="Y512">
        <v>-3.9645479999999997E-2</v>
      </c>
      <c r="Z512">
        <v>3.7107500000000001E-4</v>
      </c>
      <c r="AA512">
        <v>0.99921380000000004</v>
      </c>
      <c r="AB512">
        <v>30</v>
      </c>
      <c r="AC512">
        <v>206.63849999999999</v>
      </c>
      <c r="AD512">
        <v>-1.0708808655719999</v>
      </c>
      <c r="AE512">
        <v>8.173</v>
      </c>
      <c r="AF512">
        <v>-8.2084758218518594</v>
      </c>
      <c r="AG512">
        <v>-1.0708808655719999</v>
      </c>
      <c r="AH512">
        <v>206.63154419527999</v>
      </c>
      <c r="AI512">
        <v>90.296702277474694</v>
      </c>
      <c r="AJ512">
        <v>92.274889145879499</v>
      </c>
      <c r="AK512">
        <v>206.797294270675</v>
      </c>
      <c r="AL512">
        <v>93.641766282248099</v>
      </c>
      <c r="AM512">
        <v>90.183831419972194</v>
      </c>
      <c r="AN512">
        <v>0.99999994506724099</v>
      </c>
    </row>
    <row r="513" spans="1:40" x14ac:dyDescent="0.25">
      <c r="A513" t="str">
        <f>"20190303153752200"</f>
        <v>20190303153752200</v>
      </c>
      <c r="B513" t="str">
        <f>"1551598672189580"</f>
        <v>1551598672189580</v>
      </c>
      <c r="C513" t="s">
        <v>40</v>
      </c>
      <c r="D513">
        <v>4.0351039999999996</v>
      </c>
      <c r="E513">
        <v>0.48654039999999998</v>
      </c>
      <c r="F513" t="s">
        <v>42</v>
      </c>
      <c r="G513">
        <v>-256.16160000000002</v>
      </c>
      <c r="H513" s="1">
        <v>-2.7121650000000001E-6</v>
      </c>
      <c r="I513">
        <v>373.68729999999999</v>
      </c>
      <c r="J513">
        <v>-406.42880000000002</v>
      </c>
      <c r="K513">
        <v>1.070878</v>
      </c>
      <c r="L513">
        <v>367.87169999999998</v>
      </c>
      <c r="M513">
        <v>0.9999055</v>
      </c>
      <c r="N513">
        <v>-1.37541E-2</v>
      </c>
      <c r="O513">
        <v>-2.6264490000000001E-4</v>
      </c>
      <c r="P513">
        <v>0.99699530000000003</v>
      </c>
      <c r="Q513">
        <v>-7.7426399999999895E-2</v>
      </c>
      <c r="R513">
        <v>2.4034550000000001E-3</v>
      </c>
      <c r="S513">
        <v>3.006958</v>
      </c>
      <c r="T513">
        <v>-2.1405219999999999E-2</v>
      </c>
      <c r="U513">
        <v>0.1162415</v>
      </c>
      <c r="V513">
        <v>-2.6889560000000002E-3</v>
      </c>
      <c r="W513">
        <v>-6.3705310000000001E-2</v>
      </c>
      <c r="X513">
        <v>0.9979652</v>
      </c>
      <c r="Y513">
        <v>-3.8888220000000001E-2</v>
      </c>
      <c r="Z513">
        <v>4.0417710000000001E-4</v>
      </c>
      <c r="AA513">
        <v>0.99924349999999995</v>
      </c>
      <c r="AB513">
        <v>30</v>
      </c>
      <c r="AC513">
        <v>150.2672</v>
      </c>
      <c r="AD513">
        <v>-1.0708807121649999</v>
      </c>
      <c r="AE513">
        <v>5.8156000000000097</v>
      </c>
      <c r="AF513">
        <v>-5.8547735391781099</v>
      </c>
      <c r="AG513">
        <v>-1.0708807121649999</v>
      </c>
      <c r="AH513">
        <v>150.258047469872</v>
      </c>
      <c r="AI513">
        <v>90.408027290246594</v>
      </c>
      <c r="AJ513">
        <v>92.2313893051668</v>
      </c>
      <c r="AK513">
        <v>150.37588233541001</v>
      </c>
      <c r="AL513">
        <v>93.652518534344907</v>
      </c>
      <c r="AM513">
        <v>90.154379588846098</v>
      </c>
      <c r="AN513">
        <v>1.0000000687088</v>
      </c>
    </row>
    <row r="514" spans="1:40" x14ac:dyDescent="0.25">
      <c r="A514" t="str">
        <f>"20190303153752213"</f>
        <v>20190303153752213</v>
      </c>
      <c r="B514" t="str">
        <f>"1551598672210076"</f>
        <v>1551598672210076</v>
      </c>
      <c r="C514" t="s">
        <v>40</v>
      </c>
      <c r="D514">
        <v>4.067253</v>
      </c>
      <c r="E514">
        <v>0.48643809999999899</v>
      </c>
      <c r="F514" t="s">
        <v>42</v>
      </c>
      <c r="G514">
        <v>-277.06709999999998</v>
      </c>
      <c r="H514" s="1">
        <v>-2.0866929999999999E-6</v>
      </c>
      <c r="I514">
        <v>372.79649999999998</v>
      </c>
      <c r="J514">
        <v>-406.24849999999998</v>
      </c>
      <c r="K514">
        <v>1.070886</v>
      </c>
      <c r="L514">
        <v>367.8716</v>
      </c>
      <c r="M514">
        <v>0.9999034</v>
      </c>
      <c r="N514">
        <v>-1.389835E-2</v>
      </c>
      <c r="O514">
        <v>-3.5950339999999998E-4</v>
      </c>
      <c r="P514">
        <v>0.99696119999999999</v>
      </c>
      <c r="Q514">
        <v>-7.7880679999999994E-2</v>
      </c>
      <c r="R514">
        <v>1.7950990000000001E-3</v>
      </c>
      <c r="S514">
        <v>3.0068359999999998</v>
      </c>
      <c r="T514">
        <v>-2.4891139999999999E-2</v>
      </c>
      <c r="U514">
        <v>0.1144714</v>
      </c>
      <c r="V514">
        <v>-2.1773550000000002E-3</v>
      </c>
      <c r="W514">
        <v>-6.4016260000000005E-2</v>
      </c>
      <c r="X514">
        <v>0.99794649999999996</v>
      </c>
      <c r="Y514">
        <v>-3.8398580000000002E-2</v>
      </c>
      <c r="Z514">
        <v>4.2381519999999998E-4</v>
      </c>
      <c r="AA514">
        <v>0.9992624</v>
      </c>
      <c r="AB514">
        <v>30</v>
      </c>
      <c r="AC514">
        <v>129.1814</v>
      </c>
      <c r="AD514">
        <v>-1.070888086693</v>
      </c>
      <c r="AE514">
        <v>4.9248999999999796</v>
      </c>
      <c r="AF514">
        <v>-4.9710042022559904</v>
      </c>
      <c r="AG514">
        <v>-1.070888086693</v>
      </c>
      <c r="AH514">
        <v>129.17075712662299</v>
      </c>
      <c r="AI514">
        <v>90.474647522939605</v>
      </c>
      <c r="AJ514">
        <v>92.203881787091603</v>
      </c>
      <c r="AK514">
        <v>129.270809468875</v>
      </c>
      <c r="AL514">
        <v>93.670371276521493</v>
      </c>
      <c r="AM514">
        <v>90.125009761588998</v>
      </c>
      <c r="AN514">
        <v>1.0000000196407099</v>
      </c>
    </row>
    <row r="515" spans="1:40" x14ac:dyDescent="0.25">
      <c r="A515" t="str">
        <f>"20190303153752232"</f>
        <v>20190303153752232</v>
      </c>
      <c r="B515" t="str">
        <f>"1551598672219836"</f>
        <v>1551598672219836</v>
      </c>
      <c r="C515" t="s">
        <v>40</v>
      </c>
      <c r="D515">
        <v>4.0779439999999996</v>
      </c>
      <c r="E515">
        <v>0.4863827</v>
      </c>
      <c r="F515" t="s">
        <v>43</v>
      </c>
      <c r="G515">
        <v>-287.07279999999997</v>
      </c>
      <c r="H515">
        <v>-0.05</v>
      </c>
      <c r="I515">
        <v>372.37369999999999</v>
      </c>
      <c r="J515">
        <v>-405.99900000000002</v>
      </c>
      <c r="K515">
        <v>1.070883</v>
      </c>
      <c r="L515">
        <v>367.87130000000002</v>
      </c>
      <c r="M515">
        <v>0.99990089999999998</v>
      </c>
      <c r="N515">
        <v>-1.4076750000000001E-2</v>
      </c>
      <c r="O515">
        <v>-4.9369059999999996E-4</v>
      </c>
      <c r="P515">
        <v>0.99695840000000002</v>
      </c>
      <c r="Q515">
        <v>-7.7926229999999999E-2</v>
      </c>
      <c r="R515">
        <v>1.26567E-3</v>
      </c>
      <c r="S515">
        <v>3.0067439999999999</v>
      </c>
      <c r="T515">
        <v>-2.827942E-2</v>
      </c>
      <c r="U515">
        <v>0.1135864</v>
      </c>
      <c r="V515">
        <v>-1.7814560000000001E-3</v>
      </c>
      <c r="W515">
        <v>-6.3883919999999997E-2</v>
      </c>
      <c r="X515">
        <v>0.9979557</v>
      </c>
      <c r="Y515">
        <v>-3.823944E-2</v>
      </c>
      <c r="Z515">
        <v>4.4672089999999999E-4</v>
      </c>
      <c r="AA515">
        <v>0.9992685</v>
      </c>
      <c r="AB515">
        <v>30</v>
      </c>
      <c r="AC515">
        <v>118.92619999999999</v>
      </c>
      <c r="AD515">
        <v>-1.1208830000000001</v>
      </c>
      <c r="AE515">
        <v>4.5023999999999598</v>
      </c>
      <c r="AF515">
        <v>-4.5607134563295304</v>
      </c>
      <c r="AG515">
        <v>-1.1208830000000001</v>
      </c>
      <c r="AH515">
        <v>118.913414389916</v>
      </c>
      <c r="AI515">
        <v>90.539659765256005</v>
      </c>
      <c r="AJ515">
        <v>92.196401648137794</v>
      </c>
      <c r="AK515">
        <v>119.00612004346</v>
      </c>
      <c r="AL515">
        <v>93.662773441475807</v>
      </c>
      <c r="AM515">
        <v>90.102278890505602</v>
      </c>
      <c r="AN515">
        <v>0.99999995399126695</v>
      </c>
    </row>
    <row r="516" spans="1:40" x14ac:dyDescent="0.25">
      <c r="A516" t="str">
        <f>"20190303153752248"</f>
        <v>20190303153752248</v>
      </c>
      <c r="B516" t="str">
        <f>"1551598672239356"</f>
        <v>1551598672239356</v>
      </c>
      <c r="C516" t="s">
        <v>40</v>
      </c>
      <c r="D516">
        <v>4.0419679999999998</v>
      </c>
      <c r="E516">
        <v>0.48614629999999998</v>
      </c>
      <c r="F516" t="s">
        <v>43</v>
      </c>
      <c r="G516">
        <v>-288.74889999999999</v>
      </c>
      <c r="H516">
        <v>-0.05</v>
      </c>
      <c r="I516">
        <v>372.24709999999999</v>
      </c>
      <c r="J516">
        <v>-405.78339999999997</v>
      </c>
      <c r="K516">
        <v>1.0708789999999999</v>
      </c>
      <c r="L516">
        <v>367.87110000000001</v>
      </c>
      <c r="M516">
        <v>0.99989890000000003</v>
      </c>
      <c r="N516">
        <v>-1.421384E-2</v>
      </c>
      <c r="O516">
        <v>-6.1018200000000002E-4</v>
      </c>
      <c r="P516">
        <v>0.99694590000000005</v>
      </c>
      <c r="Q516">
        <v>-7.8092549999999997E-2</v>
      </c>
      <c r="R516">
        <v>1.0607220000000001E-3</v>
      </c>
      <c r="S516">
        <v>3.0067439999999999</v>
      </c>
      <c r="T516">
        <v>-2.874374E-2</v>
      </c>
      <c r="U516">
        <v>0.1122131</v>
      </c>
      <c r="V516">
        <v>-1.692467E-3</v>
      </c>
      <c r="W516">
        <v>-6.3913629999999999E-2</v>
      </c>
      <c r="X516">
        <v>0.99795400000000001</v>
      </c>
      <c r="Y516">
        <v>-3.790002E-2</v>
      </c>
      <c r="Z516">
        <v>4.4772570000000002E-4</v>
      </c>
      <c r="AA516">
        <v>0.99928139999999999</v>
      </c>
      <c r="AB516">
        <v>30</v>
      </c>
      <c r="AC516">
        <v>117.034499999999</v>
      </c>
      <c r="AD516">
        <v>-1.120879</v>
      </c>
      <c r="AE516">
        <v>4.3759999999999701</v>
      </c>
      <c r="AF516">
        <v>-4.4470114032330397</v>
      </c>
      <c r="AG516">
        <v>-1.120879</v>
      </c>
      <c r="AH516">
        <v>117.02108896076101</v>
      </c>
      <c r="AI516">
        <v>90.548391360039105</v>
      </c>
      <c r="AJ516">
        <v>92.1762952334159</v>
      </c>
      <c r="AK516">
        <v>117.110919822686</v>
      </c>
      <c r="AL516">
        <v>93.664479011337505</v>
      </c>
      <c r="AM516">
        <v>90.097169932778201</v>
      </c>
      <c r="AN516">
        <v>1.00000000133016</v>
      </c>
    </row>
    <row r="517" spans="1:40" x14ac:dyDescent="0.25">
      <c r="A517" t="str">
        <f>"20190303153752260"</f>
        <v>20190303153752260</v>
      </c>
      <c r="B517" t="str">
        <f>"1551598672250092"</f>
        <v>1551598672250092</v>
      </c>
      <c r="C517" t="s">
        <v>40</v>
      </c>
      <c r="D517">
        <v>4.0521940000000001</v>
      </c>
      <c r="E517">
        <v>0.48605789999999999</v>
      </c>
      <c r="F517" t="s">
        <v>43</v>
      </c>
      <c r="G517">
        <v>-292.92959999999999</v>
      </c>
      <c r="H517">
        <v>-0.05</v>
      </c>
      <c r="I517">
        <v>372.13200000000001</v>
      </c>
      <c r="J517">
        <v>-405.60399999999998</v>
      </c>
      <c r="K517">
        <v>1.0708770000000001</v>
      </c>
      <c r="L517">
        <v>367.87079999999997</v>
      </c>
      <c r="M517">
        <v>0.99989749999999999</v>
      </c>
      <c r="N517">
        <v>-1.431494E-2</v>
      </c>
      <c r="O517">
        <v>-7.0734750000000005E-4</v>
      </c>
      <c r="P517">
        <v>0.99691839999999998</v>
      </c>
      <c r="Q517">
        <v>-7.8443860000000004E-2</v>
      </c>
      <c r="R517">
        <v>9.4156480000000004E-4</v>
      </c>
      <c r="S517">
        <v>3.0067750000000002</v>
      </c>
      <c r="T517">
        <v>-2.986372E-2</v>
      </c>
      <c r="U517">
        <v>0.113525399999999</v>
      </c>
      <c r="V517">
        <v>-1.67055E-3</v>
      </c>
      <c r="W517">
        <v>-6.4164410000000005E-2</v>
      </c>
      <c r="X517">
        <v>0.99793790000000004</v>
      </c>
      <c r="Y517">
        <v>-3.8431930000000003E-2</v>
      </c>
      <c r="Z517">
        <v>4.628872E-4</v>
      </c>
      <c r="AA517">
        <v>0.99926110000000001</v>
      </c>
      <c r="AB517">
        <v>30</v>
      </c>
      <c r="AC517">
        <v>112.67440000000001</v>
      </c>
      <c r="AD517">
        <v>-1.1208769999999999</v>
      </c>
      <c r="AE517">
        <v>4.2611999999999703</v>
      </c>
      <c r="AF517">
        <v>-4.3404781131497598</v>
      </c>
      <c r="AG517">
        <v>-1.1208769999999999</v>
      </c>
      <c r="AH517">
        <v>112.66022426954299</v>
      </c>
      <c r="AI517">
        <v>90.569604732642205</v>
      </c>
      <c r="AJ517">
        <v>92.206352246449299</v>
      </c>
      <c r="AK517">
        <v>112.749378038034</v>
      </c>
      <c r="AL517">
        <v>93.678877363113898</v>
      </c>
      <c r="AM517">
        <v>90.095913157580696</v>
      </c>
      <c r="AN517">
        <v>0.99999995725217905</v>
      </c>
    </row>
    <row r="518" spans="1:40" x14ac:dyDescent="0.25">
      <c r="A518" t="str">
        <f>"20190303153752276"</f>
        <v>20190303153752276</v>
      </c>
      <c r="B518" t="str">
        <f>"1551598672269612"</f>
        <v>1551598672269612</v>
      </c>
      <c r="C518" t="s">
        <v>40</v>
      </c>
      <c r="D518">
        <v>4.0972549999999996</v>
      </c>
      <c r="E518">
        <v>0.48588569999999998</v>
      </c>
      <c r="F518" t="s">
        <v>43</v>
      </c>
      <c r="G518">
        <v>-297.80829999999997</v>
      </c>
      <c r="H518">
        <v>-0.05</v>
      </c>
      <c r="I518">
        <v>371.94529999999997</v>
      </c>
      <c r="J518">
        <v>-405.40210000000002</v>
      </c>
      <c r="K518">
        <v>1.0708719999999901</v>
      </c>
      <c r="L518">
        <v>367.87060000000002</v>
      </c>
      <c r="M518">
        <v>0.9998958</v>
      </c>
      <c r="N518">
        <v>-1.4420240000000001E-2</v>
      </c>
      <c r="O518">
        <v>-8.1635240000000003E-4</v>
      </c>
      <c r="P518">
        <v>0.99683060000000001</v>
      </c>
      <c r="Q518">
        <v>-7.9545820000000003E-2</v>
      </c>
      <c r="R518">
        <v>1.1614749999999999E-3</v>
      </c>
      <c r="S518">
        <v>3.0067140000000001</v>
      </c>
      <c r="T518">
        <v>-3.1264309999999997E-2</v>
      </c>
      <c r="U518">
        <v>0.113647499999999</v>
      </c>
      <c r="V518">
        <v>-1.9992360000000002E-3</v>
      </c>
      <c r="W518">
        <v>-6.5162319999999996E-2</v>
      </c>
      <c r="X518">
        <v>0.99787269999999995</v>
      </c>
      <c r="Y518">
        <v>-3.8581789999999998E-2</v>
      </c>
      <c r="Z518">
        <v>4.7554079999999999E-4</v>
      </c>
      <c r="AA518">
        <v>0.99925540000000002</v>
      </c>
      <c r="AB518">
        <v>30</v>
      </c>
      <c r="AC518">
        <v>107.5938</v>
      </c>
      <c r="AD518">
        <v>-1.1208720000000001</v>
      </c>
      <c r="AE518">
        <v>4.0746999999999503</v>
      </c>
      <c r="AF518">
        <v>-4.1620911707469102</v>
      </c>
      <c r="AG518">
        <v>-1.1208720000000001</v>
      </c>
      <c r="AH518">
        <v>107.578778929376</v>
      </c>
      <c r="AI518">
        <v>90.596501532288897</v>
      </c>
      <c r="AJ518">
        <v>92.215598510162096</v>
      </c>
      <c r="AK518">
        <v>107.665096632518</v>
      </c>
      <c r="AL518">
        <v>93.736173057991493</v>
      </c>
      <c r="AM518">
        <v>90.114791828442506</v>
      </c>
      <c r="AN518">
        <v>1.0000000251488199</v>
      </c>
    </row>
    <row r="519" spans="1:40" x14ac:dyDescent="0.25">
      <c r="A519" t="str">
        <f>"20190303153752289"</f>
        <v>20190303153752289</v>
      </c>
      <c r="B519" t="str">
        <f>"1551598672279373"</f>
        <v>1551598672279373</v>
      </c>
      <c r="C519" t="s">
        <v>40</v>
      </c>
      <c r="D519">
        <v>4.0871899999999997</v>
      </c>
      <c r="E519">
        <v>0.48576780000000003</v>
      </c>
      <c r="F519" t="s">
        <v>43</v>
      </c>
      <c r="G519">
        <v>-314.8442</v>
      </c>
      <c r="H519">
        <v>-0.05</v>
      </c>
      <c r="I519">
        <v>371.35449999999997</v>
      </c>
      <c r="J519">
        <v>-405.226</v>
      </c>
      <c r="K519">
        <v>1.0708719999999901</v>
      </c>
      <c r="L519">
        <v>367.87040000000002</v>
      </c>
      <c r="M519">
        <v>0.99989450000000002</v>
      </c>
      <c r="N519">
        <v>-1.4505189999999999E-2</v>
      </c>
      <c r="O519">
        <v>-9.1126919999999999E-4</v>
      </c>
      <c r="P519">
        <v>0.99678699999999998</v>
      </c>
      <c r="Q519">
        <v>-8.0090610000000007E-2</v>
      </c>
      <c r="R519">
        <v>1.28206E-3</v>
      </c>
      <c r="S519">
        <v>3.0064090000000001</v>
      </c>
      <c r="T519">
        <v>-3.7211540000000001E-2</v>
      </c>
      <c r="U519">
        <v>0.1156616</v>
      </c>
      <c r="V519">
        <v>-2.2147159999999998E-3</v>
      </c>
      <c r="W519">
        <v>-6.5622819999999998E-2</v>
      </c>
      <c r="X519">
        <v>0.99784200000000001</v>
      </c>
      <c r="Y519">
        <v>-3.9347390000000003E-2</v>
      </c>
      <c r="Z519">
        <v>5.2698559999999998E-4</v>
      </c>
      <c r="AA519">
        <v>0.99922540000000004</v>
      </c>
      <c r="AB519">
        <v>30</v>
      </c>
      <c r="AC519">
        <v>90.381799999999998</v>
      </c>
      <c r="AD519">
        <v>-1.1208720000000001</v>
      </c>
      <c r="AE519">
        <v>3.48409999999995</v>
      </c>
      <c r="AF519">
        <v>-3.5659217424835501</v>
      </c>
      <c r="AG519">
        <v>-1.1208720000000001</v>
      </c>
      <c r="AH519">
        <v>90.364709908185205</v>
      </c>
      <c r="AI519">
        <v>90.710100269345205</v>
      </c>
      <c r="AJ519">
        <v>92.259801564666205</v>
      </c>
      <c r="AK519">
        <v>90.441986647266702</v>
      </c>
      <c r="AL519">
        <v>93.762614610782094</v>
      </c>
      <c r="AM519">
        <v>90.127168100012099</v>
      </c>
      <c r="AN519">
        <v>0.99999995821785503</v>
      </c>
    </row>
    <row r="520" spans="1:40" x14ac:dyDescent="0.25">
      <c r="A520" t="str">
        <f>"20190303153752300"</f>
        <v>20190303153752300</v>
      </c>
      <c r="B520" t="str">
        <f>"1551598672289133"</f>
        <v>1551598672289133</v>
      </c>
      <c r="C520" t="s">
        <v>40</v>
      </c>
      <c r="D520">
        <v>4.0521859999999998</v>
      </c>
      <c r="E520">
        <v>0.48567779999999999</v>
      </c>
      <c r="F520" t="s">
        <v>42</v>
      </c>
      <c r="G520">
        <v>-323.29320000000001</v>
      </c>
      <c r="H520" s="1">
        <v>-3.2466980000000001E-6</v>
      </c>
      <c r="I520">
        <v>371.07150000000001</v>
      </c>
      <c r="J520">
        <v>-405.07220000000001</v>
      </c>
      <c r="K520">
        <v>1.070875</v>
      </c>
      <c r="L520">
        <v>367.87009999999998</v>
      </c>
      <c r="M520">
        <v>0.99989340000000004</v>
      </c>
      <c r="N520">
        <v>-1.45697999999999E-2</v>
      </c>
      <c r="O520">
        <v>-9.9423409999999991E-4</v>
      </c>
      <c r="P520">
        <v>0.99673719999999999</v>
      </c>
      <c r="Q520">
        <v>-8.069983E-2</v>
      </c>
      <c r="R520">
        <v>1.544693E-3</v>
      </c>
      <c r="S520">
        <v>3.0063780000000002</v>
      </c>
      <c r="T520">
        <v>-3.9293769999999999E-2</v>
      </c>
      <c r="U520">
        <v>0.1174622</v>
      </c>
      <c r="V520">
        <v>-2.5600599999999999E-3</v>
      </c>
      <c r="W520">
        <v>-6.6168099999999994E-2</v>
      </c>
      <c r="X520">
        <v>0.99780519999999995</v>
      </c>
      <c r="Y520">
        <v>-4.0027529999999999E-2</v>
      </c>
      <c r="Z520">
        <v>5.5172960000000003E-4</v>
      </c>
      <c r="AA520">
        <v>0.99919840000000004</v>
      </c>
      <c r="AB520">
        <v>30</v>
      </c>
      <c r="AC520">
        <v>81.778999999999996</v>
      </c>
      <c r="AD520">
        <v>-1.070878246698</v>
      </c>
      <c r="AE520">
        <v>3.2014000000000302</v>
      </c>
      <c r="AF520">
        <v>-3.2821525754426402</v>
      </c>
      <c r="AG520">
        <v>-1.070878246698</v>
      </c>
      <c r="AH520">
        <v>81.761777780834706</v>
      </c>
      <c r="AI520">
        <v>90.749787111429697</v>
      </c>
      <c r="AJ520">
        <v>92.2987828787914</v>
      </c>
      <c r="AK520">
        <v>81.834635770133005</v>
      </c>
      <c r="AL520">
        <v>93.793924770134893</v>
      </c>
      <c r="AM520">
        <v>90.147002953528897</v>
      </c>
      <c r="AN520">
        <v>0.99999999425592601</v>
      </c>
    </row>
    <row r="521" spans="1:40" x14ac:dyDescent="0.25">
      <c r="A521" t="str">
        <f>"20190303153752314"</f>
        <v>20190303153752314</v>
      </c>
      <c r="B521" t="str">
        <f>"1551598672309628"</f>
        <v>1551598672309628</v>
      </c>
      <c r="C521" t="s">
        <v>40</v>
      </c>
      <c r="D521">
        <v>4.068905</v>
      </c>
      <c r="E521">
        <v>0.48548239999999998</v>
      </c>
      <c r="F521" t="s">
        <v>42</v>
      </c>
      <c r="G521">
        <v>-327.20440000000002</v>
      </c>
      <c r="H521" s="1">
        <v>-1.5338860000000001E-6</v>
      </c>
      <c r="I521">
        <v>370.9402</v>
      </c>
      <c r="J521">
        <v>-404.90140000000002</v>
      </c>
      <c r="K521">
        <v>1.0708819999999999</v>
      </c>
      <c r="L521">
        <v>367.86989999999997</v>
      </c>
      <c r="M521">
        <v>0.99989240000000001</v>
      </c>
      <c r="N521">
        <v>-1.4638450000000001E-2</v>
      </c>
      <c r="O521">
        <v>-1.08653E-3</v>
      </c>
      <c r="P521">
        <v>0.99667779999999995</v>
      </c>
      <c r="Q521">
        <v>-8.1426600000000002E-2</v>
      </c>
      <c r="R521">
        <v>1.8400000000000001E-3</v>
      </c>
      <c r="S521">
        <v>3.006256</v>
      </c>
      <c r="T521">
        <v>-4.1343449999999997E-2</v>
      </c>
      <c r="U521">
        <v>0.11853030000000001</v>
      </c>
      <c r="V521">
        <v>-2.947224E-3</v>
      </c>
      <c r="W521">
        <v>-6.6827010000000006E-2</v>
      </c>
      <c r="X521">
        <v>0.99776019999999999</v>
      </c>
      <c r="Y521">
        <v>-4.047514E-2</v>
      </c>
      <c r="Z521">
        <v>5.7363819999999997E-4</v>
      </c>
      <c r="AA521">
        <v>0.99918039999999997</v>
      </c>
      <c r="AB521">
        <v>30</v>
      </c>
      <c r="AC521">
        <v>77.697000000000003</v>
      </c>
      <c r="AD521">
        <v>-1.0708835338860001</v>
      </c>
      <c r="AE521">
        <v>3.0703000000000298</v>
      </c>
      <c r="AF521">
        <v>-3.1541291001900098</v>
      </c>
      <c r="AG521">
        <v>-1.0708835338860001</v>
      </c>
      <c r="AH521">
        <v>77.678884453842699</v>
      </c>
      <c r="AI521">
        <v>90.789181148122395</v>
      </c>
      <c r="AJ521">
        <v>92.325201572454603</v>
      </c>
      <c r="AK521">
        <v>77.750269529547396</v>
      </c>
      <c r="AL521">
        <v>93.831761350781207</v>
      </c>
      <c r="AM521">
        <v>90.169242073758099</v>
      </c>
      <c r="AN521">
        <v>0.99999997604944202</v>
      </c>
    </row>
    <row r="522" spans="1:40" x14ac:dyDescent="0.25">
      <c r="A522" t="str">
        <f>"20190303153752331"</f>
        <v>20190303153752331</v>
      </c>
      <c r="B522" t="str">
        <f>"1551598672319388"</f>
        <v>1551598672319388</v>
      </c>
      <c r="C522" t="s">
        <v>40</v>
      </c>
      <c r="D522">
        <v>4.0742479999999999</v>
      </c>
      <c r="E522">
        <v>0.48544330000000002</v>
      </c>
      <c r="F522" t="s">
        <v>42</v>
      </c>
      <c r="G522">
        <v>-333.49790000000002</v>
      </c>
      <c r="H522" s="1">
        <v>-3.0715199999999999E-6</v>
      </c>
      <c r="I522">
        <v>370.74329999999998</v>
      </c>
      <c r="J522">
        <v>-404.67309999999998</v>
      </c>
      <c r="K522">
        <v>1.0708839999999999</v>
      </c>
      <c r="L522">
        <v>367.86950000000002</v>
      </c>
      <c r="M522">
        <v>0.99989090000000003</v>
      </c>
      <c r="N522">
        <v>-1.472099E-2</v>
      </c>
      <c r="O522">
        <v>-1.209569E-3</v>
      </c>
      <c r="P522">
        <v>0.99666730000000003</v>
      </c>
      <c r="Q522">
        <v>-8.1525529999999999E-2</v>
      </c>
      <c r="R522">
        <v>2.8267349999999999E-3</v>
      </c>
      <c r="S522">
        <v>3.0061040000000001</v>
      </c>
      <c r="T522">
        <v>-4.5084480000000003E-2</v>
      </c>
      <c r="U522">
        <v>0.1209717</v>
      </c>
      <c r="V522">
        <v>-4.0567110000000002E-3</v>
      </c>
      <c r="W522">
        <v>-6.6843379999999994E-2</v>
      </c>
      <c r="X522">
        <v>0.99775519999999995</v>
      </c>
      <c r="Y522">
        <v>-4.1408939999999998E-2</v>
      </c>
      <c r="Z522">
        <v>6.1567209999999998E-4</v>
      </c>
      <c r="AA522">
        <v>0.99914210000000003</v>
      </c>
      <c r="AB522">
        <v>30</v>
      </c>
      <c r="AC522">
        <v>71.175199999999904</v>
      </c>
      <c r="AD522">
        <v>-1.0708870715199901</v>
      </c>
      <c r="AE522">
        <v>2.8737999999999602</v>
      </c>
      <c r="AF522">
        <v>-2.9592297357433499</v>
      </c>
      <c r="AG522">
        <v>-1.0708870715199901</v>
      </c>
      <c r="AH522">
        <v>71.155589801026593</v>
      </c>
      <c r="AI522">
        <v>90.861488149299007</v>
      </c>
      <c r="AJ522">
        <v>92.381453455286405</v>
      </c>
      <c r="AK522">
        <v>71.225148646252805</v>
      </c>
      <c r="AL522">
        <v>93.8327014203348</v>
      </c>
      <c r="AM522">
        <v>90.232954073538195</v>
      </c>
      <c r="AN522">
        <v>0.99999996674049996</v>
      </c>
    </row>
    <row r="523" spans="1:40" x14ac:dyDescent="0.25">
      <c r="A523" t="str">
        <f>"20190303153752342"</f>
        <v>20190303153752342</v>
      </c>
      <c r="B523" t="str">
        <f>"1551598672339885"</f>
        <v>1551598672339885</v>
      </c>
      <c r="C523" t="s">
        <v>40</v>
      </c>
      <c r="D523">
        <v>4.1648059999999996</v>
      </c>
      <c r="E523">
        <v>0.48564780000000002</v>
      </c>
      <c r="F523" t="s">
        <v>42</v>
      </c>
      <c r="G523">
        <v>-334.24740000000003</v>
      </c>
      <c r="H523" s="1">
        <v>-2.7626699999999998E-6</v>
      </c>
      <c r="I523">
        <v>370.79090000000002</v>
      </c>
      <c r="J523">
        <v>-404.51069999999999</v>
      </c>
      <c r="K523">
        <v>1.0708949999999999</v>
      </c>
      <c r="L523">
        <v>367.86919999999998</v>
      </c>
      <c r="M523">
        <v>0.9998901</v>
      </c>
      <c r="N523">
        <v>-1.4772520000000001E-2</v>
      </c>
      <c r="O523">
        <v>-1.2976839999999999E-3</v>
      </c>
      <c r="P523">
        <v>0.99662740000000005</v>
      </c>
      <c r="Q523">
        <v>-8.2003690000000004E-2</v>
      </c>
      <c r="R523">
        <v>3.0928330000000001E-3</v>
      </c>
      <c r="S523">
        <v>3.005951</v>
      </c>
      <c r="T523">
        <v>-4.5708180000000001E-2</v>
      </c>
      <c r="U523">
        <v>0.12469479999999999</v>
      </c>
      <c r="V523">
        <v>-4.4110299999999998E-3</v>
      </c>
      <c r="W523">
        <v>-6.7270510000000006E-2</v>
      </c>
      <c r="X523">
        <v>0.99772499999999997</v>
      </c>
      <c r="Y523">
        <v>-4.273395E-2</v>
      </c>
      <c r="Z523">
        <v>6.4113879999999905E-4</v>
      </c>
      <c r="AA523">
        <v>0.99908629999999998</v>
      </c>
      <c r="AB523">
        <v>30</v>
      </c>
      <c r="AC523">
        <v>70.263299999999902</v>
      </c>
      <c r="AD523">
        <v>-1.07089776267</v>
      </c>
      <c r="AE523">
        <v>2.9217000000000399</v>
      </c>
      <c r="AF523">
        <v>-3.0121885374764101</v>
      </c>
      <c r="AG523">
        <v>-1.07089776267</v>
      </c>
      <c r="AH523">
        <v>70.243160033798006</v>
      </c>
      <c r="AI523">
        <v>90.872637911425102</v>
      </c>
      <c r="AJ523">
        <v>92.455470653157093</v>
      </c>
      <c r="AK523">
        <v>70.315870422950397</v>
      </c>
      <c r="AL523">
        <v>93.857229336134196</v>
      </c>
      <c r="AM523">
        <v>90.253308031452505</v>
      </c>
      <c r="AN523">
        <v>0.99999997716316003</v>
      </c>
    </row>
    <row r="524" spans="1:40" x14ac:dyDescent="0.25">
      <c r="A524" t="str">
        <f>"20190303153752355"</f>
        <v>20190303153752355</v>
      </c>
      <c r="B524" t="str">
        <f>"1551598672349644"</f>
        <v>1551598672349644</v>
      </c>
      <c r="C524" t="s">
        <v>40</v>
      </c>
      <c r="D524">
        <v>4.1845210000000002</v>
      </c>
      <c r="E524">
        <v>0.50841309999999995</v>
      </c>
      <c r="F524" t="s">
        <v>42</v>
      </c>
      <c r="G524">
        <v>-335.43900000000002</v>
      </c>
      <c r="H524" s="1">
        <v>-2.2305110000000002E-6</v>
      </c>
      <c r="I524">
        <v>370.71199999999999</v>
      </c>
      <c r="J524">
        <v>-404.35239999999999</v>
      </c>
      <c r="K524">
        <v>1.070902</v>
      </c>
      <c r="L524">
        <v>367.8689</v>
      </c>
      <c r="M524">
        <v>0.99988929999999998</v>
      </c>
      <c r="N524">
        <v>-1.481967E-2</v>
      </c>
      <c r="O524">
        <v>-1.3833840000000001E-3</v>
      </c>
      <c r="P524">
        <v>0.99663950000000001</v>
      </c>
      <c r="Q524">
        <v>-8.1831050000000002E-2</v>
      </c>
      <c r="R524">
        <v>3.7248419999999999E-3</v>
      </c>
      <c r="S524">
        <v>3.0059200000000001</v>
      </c>
      <c r="T524">
        <v>-4.6604159999999999E-2</v>
      </c>
      <c r="U524">
        <v>0.1237183</v>
      </c>
      <c r="V524">
        <v>-5.12854E-3</v>
      </c>
      <c r="W524">
        <v>-6.7050449999999998E-2</v>
      </c>
      <c r="X524">
        <v>0.99773639999999997</v>
      </c>
      <c r="Y524">
        <v>-4.2495720000000001E-2</v>
      </c>
      <c r="Z524">
        <v>6.4528839999999997E-4</v>
      </c>
      <c r="AA524">
        <v>0.99909650000000005</v>
      </c>
      <c r="AB524">
        <v>30</v>
      </c>
      <c r="AC524">
        <v>68.913399999999896</v>
      </c>
      <c r="AD524">
        <v>-1.0709042305109999</v>
      </c>
      <c r="AE524">
        <v>2.84309999999999</v>
      </c>
      <c r="AF524">
        <v>-2.9377332180081801</v>
      </c>
      <c r="AG524">
        <v>-1.0709042305109999</v>
      </c>
      <c r="AH524">
        <v>68.892792062216799</v>
      </c>
      <c r="AI524">
        <v>90.889754262323095</v>
      </c>
      <c r="AJ524">
        <v>92.441733010817003</v>
      </c>
      <c r="AK524">
        <v>68.963714447954203</v>
      </c>
      <c r="AL524">
        <v>93.844592228406498</v>
      </c>
      <c r="AM524">
        <v>90.294507756942807</v>
      </c>
      <c r="AN524">
        <v>0.99999999432634701</v>
      </c>
    </row>
    <row r="525" spans="1:40" x14ac:dyDescent="0.25">
      <c r="A525" t="str">
        <f>"20190303153752367"</f>
        <v>20190303153752367</v>
      </c>
      <c r="B525" t="str">
        <f>"1551598672359404"</f>
        <v>1551598672359404</v>
      </c>
      <c r="C525" t="s">
        <v>40</v>
      </c>
      <c r="D525">
        <v>4.2038710000000004</v>
      </c>
      <c r="E525">
        <v>0.50949579999999905</v>
      </c>
      <c r="F525" t="s">
        <v>42</v>
      </c>
      <c r="G525">
        <v>-250.35919999999999</v>
      </c>
      <c r="H525" s="1">
        <v>-4.9321639999999998E-6</v>
      </c>
      <c r="I525">
        <v>365.02760000000001</v>
      </c>
      <c r="J525">
        <v>-404.18029999999999</v>
      </c>
      <c r="K525">
        <v>1.070913</v>
      </c>
      <c r="L525">
        <v>367.86860000000001</v>
      </c>
      <c r="M525">
        <v>0.99988840000000001</v>
      </c>
      <c r="N525">
        <v>-1.4867129999999999E-2</v>
      </c>
      <c r="O525">
        <v>-1.476359E-3</v>
      </c>
      <c r="P525">
        <v>0.99664280000000005</v>
      </c>
      <c r="Q525">
        <v>-8.1758070000000002E-2</v>
      </c>
      <c r="R525">
        <v>4.3988959999999898E-3</v>
      </c>
      <c r="S525">
        <v>3.0086360000000001</v>
      </c>
      <c r="T525">
        <v>-2.0922779999999998E-2</v>
      </c>
      <c r="U525">
        <v>-5.551147E-2</v>
      </c>
      <c r="V525">
        <v>-5.8945569999999999E-3</v>
      </c>
      <c r="W525">
        <v>-6.6929799999999998E-2</v>
      </c>
      <c r="X525">
        <v>0.99774030000000002</v>
      </c>
      <c r="Y525">
        <v>1.6970039999999999E-2</v>
      </c>
      <c r="Z525">
        <v>-1.9685460000000001E-4</v>
      </c>
      <c r="AA525">
        <v>0.99985599999999997</v>
      </c>
      <c r="AB525">
        <v>30</v>
      </c>
      <c r="AC525">
        <v>153.8211</v>
      </c>
      <c r="AD525">
        <v>-1.0709179321639899</v>
      </c>
      <c r="AE525">
        <v>-2.8410000000000002</v>
      </c>
      <c r="AF525">
        <v>2.6137499912337301</v>
      </c>
      <c r="AG525">
        <v>-1.0709179321639899</v>
      </c>
      <c r="AH525">
        <v>153.81767399573801</v>
      </c>
      <c r="AI525">
        <v>90.398843829152</v>
      </c>
      <c r="AJ525">
        <v>89.026493978731196</v>
      </c>
      <c r="AK525">
        <v>153.84360691199799</v>
      </c>
      <c r="AL525">
        <v>93.837663810873195</v>
      </c>
      <c r="AM525">
        <v>90.338494204292701</v>
      </c>
      <c r="AN525">
        <v>1.0000000250871699</v>
      </c>
    </row>
    <row r="526" spans="1:40" x14ac:dyDescent="0.25">
      <c r="A526" t="str">
        <f>"20190303153752379"</f>
        <v>20190303153752379</v>
      </c>
      <c r="B526" t="str">
        <f>"1551598672369164"</f>
        <v>1551598672369164</v>
      </c>
      <c r="C526" t="s">
        <v>40</v>
      </c>
      <c r="D526">
        <v>4.1907009999999998</v>
      </c>
      <c r="E526">
        <v>0.51063639999999999</v>
      </c>
      <c r="F526" t="s">
        <v>43</v>
      </c>
      <c r="G526">
        <v>-311.66399999999999</v>
      </c>
      <c r="H526">
        <v>-0.05</v>
      </c>
      <c r="I526">
        <v>365.95150000000001</v>
      </c>
      <c r="J526">
        <v>-404.02339999999998</v>
      </c>
      <c r="K526">
        <v>1.0709219999999999</v>
      </c>
      <c r="L526">
        <v>367.86829999999998</v>
      </c>
      <c r="M526">
        <v>0.99988779999999999</v>
      </c>
      <c r="N526">
        <v>-1.490531E-2</v>
      </c>
      <c r="O526">
        <v>-1.56104299999999E-3</v>
      </c>
      <c r="P526">
        <v>0.99665550000000003</v>
      </c>
      <c r="Q526">
        <v>-8.15834E-2</v>
      </c>
      <c r="R526">
        <v>4.6921050000000002E-3</v>
      </c>
      <c r="S526">
        <v>3.0073850000000002</v>
      </c>
      <c r="T526">
        <v>-3.6437030000000002E-2</v>
      </c>
      <c r="U526">
        <v>-6.231689E-2</v>
      </c>
      <c r="V526">
        <v>-6.2719219999999897E-3</v>
      </c>
      <c r="W526">
        <v>-6.6716730000000002E-2</v>
      </c>
      <c r="X526">
        <v>0.99775219999999998</v>
      </c>
      <c r="Y526">
        <v>1.9152809999999999E-2</v>
      </c>
      <c r="Z526">
        <v>-2.6314010000000001E-4</v>
      </c>
      <c r="AA526">
        <v>0.9998165</v>
      </c>
      <c r="AB526">
        <v>30</v>
      </c>
      <c r="AC526">
        <v>92.359399999999994</v>
      </c>
      <c r="AD526">
        <v>-1.120922</v>
      </c>
      <c r="AE526">
        <v>-1.9167999999999601</v>
      </c>
      <c r="AF526">
        <v>1.7723437210769299</v>
      </c>
      <c r="AG526">
        <v>-1.120922</v>
      </c>
      <c r="AH526">
        <v>92.348683320015397</v>
      </c>
      <c r="AI526">
        <v>90.695290078309398</v>
      </c>
      <c r="AJ526">
        <v>88.900521950707798</v>
      </c>
      <c r="AK526">
        <v>92.372490381802606</v>
      </c>
      <c r="AL526">
        <v>93.825428716587993</v>
      </c>
      <c r="AM526">
        <v>90.360159493423197</v>
      </c>
      <c r="AN526">
        <v>0.99999995583615198</v>
      </c>
    </row>
    <row r="527" spans="1:40" x14ac:dyDescent="0.25">
      <c r="A527" t="str">
        <f>"20190303153752391"</f>
        <v>20190303153752391</v>
      </c>
      <c r="B527" t="str">
        <f>"1551598672379901"</f>
        <v>1551598672379901</v>
      </c>
      <c r="C527" t="s">
        <v>40</v>
      </c>
      <c r="D527">
        <v>4.162255</v>
      </c>
      <c r="E527">
        <v>0.51115509999999997</v>
      </c>
      <c r="F527" t="s">
        <v>42</v>
      </c>
      <c r="G527">
        <v>-321.42630000000003</v>
      </c>
      <c r="H527" s="1">
        <v>-4.3132100000000003E-6</v>
      </c>
      <c r="I527">
        <v>365.93610000000001</v>
      </c>
      <c r="J527">
        <v>-403.86709999999999</v>
      </c>
      <c r="K527">
        <v>1.0709329999999999</v>
      </c>
      <c r="L527">
        <v>367.86790000000002</v>
      </c>
      <c r="M527">
        <v>0.99988699999999997</v>
      </c>
      <c r="N527">
        <v>-1.4941670000000001E-2</v>
      </c>
      <c r="O527">
        <v>-1.6452369999999999E-3</v>
      </c>
      <c r="P527">
        <v>0.99668959999999995</v>
      </c>
      <c r="Q527">
        <v>-8.1142870000000006E-2</v>
      </c>
      <c r="R527">
        <v>5.1031100000000001E-3</v>
      </c>
      <c r="S527">
        <v>3.0072019999999999</v>
      </c>
      <c r="T527">
        <v>-3.8990379999999998E-2</v>
      </c>
      <c r="U527">
        <v>-7.0343020000000006E-2</v>
      </c>
      <c r="V527">
        <v>-6.7669339999999996E-3</v>
      </c>
      <c r="W527">
        <v>-6.6239309999999996E-2</v>
      </c>
      <c r="X527">
        <v>0.99778080000000002</v>
      </c>
      <c r="Y527">
        <v>2.1736189999999999E-2</v>
      </c>
      <c r="Z527">
        <v>-3.0657360000000002E-4</v>
      </c>
      <c r="AA527">
        <v>0.99976370000000003</v>
      </c>
      <c r="AB527">
        <v>30</v>
      </c>
      <c r="AC527">
        <v>82.440799999999896</v>
      </c>
      <c r="AD527">
        <v>-1.07093731321</v>
      </c>
      <c r="AE527">
        <v>-1.9318</v>
      </c>
      <c r="AF527">
        <v>1.7958447031916001</v>
      </c>
      <c r="AG527">
        <v>-1.07093731321</v>
      </c>
      <c r="AH527">
        <v>82.429964602665507</v>
      </c>
      <c r="AI527">
        <v>90.744173334727805</v>
      </c>
      <c r="AJ527">
        <v>88.751933863876502</v>
      </c>
      <c r="AK527">
        <v>82.456479607872495</v>
      </c>
      <c r="AL527">
        <v>93.798013822962702</v>
      </c>
      <c r="AM527">
        <v>90.388573135725593</v>
      </c>
      <c r="AN527">
        <v>0.99999998121683797</v>
      </c>
    </row>
    <row r="528" spans="1:40" x14ac:dyDescent="0.25">
      <c r="A528" t="str">
        <f>"20190303153752403"</f>
        <v>20190303153752403</v>
      </c>
      <c r="B528" t="str">
        <f>"1551598672399420"</f>
        <v>1551598672399420</v>
      </c>
      <c r="C528" t="s">
        <v>40</v>
      </c>
      <c r="D528">
        <v>4.1697800000000003</v>
      </c>
      <c r="E528">
        <v>0.51200259999999997</v>
      </c>
      <c r="F528" t="s">
        <v>42</v>
      </c>
      <c r="G528">
        <v>-328.11939999999998</v>
      </c>
      <c r="H528" s="1">
        <v>-1.5828319999999999E-6</v>
      </c>
      <c r="I528">
        <v>366.0204</v>
      </c>
      <c r="J528">
        <v>-403.70499999999998</v>
      </c>
      <c r="K528">
        <v>1.070946</v>
      </c>
      <c r="L528">
        <v>367.86759999999998</v>
      </c>
      <c r="M528">
        <v>0.99988650000000001</v>
      </c>
      <c r="N528">
        <v>-1.4974980000000001E-2</v>
      </c>
      <c r="O528">
        <v>-1.7331009999999999E-3</v>
      </c>
      <c r="P528">
        <v>0.99673690000000004</v>
      </c>
      <c r="Q528">
        <v>-8.0533489999999999E-2</v>
      </c>
      <c r="R528">
        <v>5.5128579999999998E-3</v>
      </c>
      <c r="S528">
        <v>3.006866</v>
      </c>
      <c r="T528">
        <v>-4.251158E-2</v>
      </c>
      <c r="U528">
        <v>-7.3333739999999994E-2</v>
      </c>
      <c r="V528">
        <v>-7.2644319999999899E-3</v>
      </c>
      <c r="W528">
        <v>-6.5595920000000002E-2</v>
      </c>
      <c r="X528">
        <v>0.99781980000000003</v>
      </c>
      <c r="Y528">
        <v>2.2644040000000001E-2</v>
      </c>
      <c r="Z528">
        <v>-3.310931E-4</v>
      </c>
      <c r="AA528">
        <v>0.99974350000000001</v>
      </c>
      <c r="AB528">
        <v>30</v>
      </c>
      <c r="AC528">
        <v>75.585599999999999</v>
      </c>
      <c r="AD528">
        <v>-1.0709475828320001</v>
      </c>
      <c r="AE528">
        <v>-1.84719999999998</v>
      </c>
      <c r="AF528">
        <v>1.7158408215474401</v>
      </c>
      <c r="AG528">
        <v>-1.0709475828320001</v>
      </c>
      <c r="AH528">
        <v>75.573525775697604</v>
      </c>
      <c r="AI528">
        <v>90.811671324062502</v>
      </c>
      <c r="AJ528">
        <v>88.699365298350699</v>
      </c>
      <c r="AK528">
        <v>75.600587541500602</v>
      </c>
      <c r="AL528">
        <v>93.761069963118501</v>
      </c>
      <c r="AM528">
        <v>90.417123353091995</v>
      </c>
      <c r="AN528">
        <v>0.99999997498248405</v>
      </c>
    </row>
    <row r="529" spans="1:40" x14ac:dyDescent="0.25">
      <c r="A529" t="str">
        <f>"20190303153752420"</f>
        <v>20190303153752420</v>
      </c>
      <c r="B529" t="str">
        <f>"1551598672409180"</f>
        <v>1551598672409180</v>
      </c>
      <c r="C529" t="s">
        <v>40</v>
      </c>
      <c r="D529">
        <v>4.1720829999999998</v>
      </c>
      <c r="E529">
        <v>0.51236019999999904</v>
      </c>
      <c r="F529" t="s">
        <v>42</v>
      </c>
      <c r="G529">
        <v>-330.89819999999997</v>
      </c>
      <c r="H529" s="1">
        <v>-4.5364310000000001E-6</v>
      </c>
      <c r="I529">
        <v>365.95499999999998</v>
      </c>
      <c r="J529">
        <v>-403.48700000000002</v>
      </c>
      <c r="K529">
        <v>1.070959</v>
      </c>
      <c r="L529">
        <v>367.86709999999999</v>
      </c>
      <c r="M529">
        <v>0.99988560000000004</v>
      </c>
      <c r="N529">
        <v>-1.5015809999999999E-2</v>
      </c>
      <c r="O529">
        <v>-1.851176E-3</v>
      </c>
      <c r="P529">
        <v>0.99687420000000004</v>
      </c>
      <c r="Q529">
        <v>-7.8801350000000006E-2</v>
      </c>
      <c r="R529">
        <v>5.6666829999999996E-3</v>
      </c>
      <c r="S529">
        <v>3.006653</v>
      </c>
      <c r="T529">
        <v>-4.4226290000000001E-2</v>
      </c>
      <c r="U529">
        <v>-7.8979489999999999E-2</v>
      </c>
      <c r="V529">
        <v>-7.5350779999999997E-3</v>
      </c>
      <c r="W529">
        <v>-6.382111E-2</v>
      </c>
      <c r="X529">
        <v>0.99793290000000001</v>
      </c>
      <c r="Y529">
        <v>2.4403060000000001E-2</v>
      </c>
      <c r="Z529">
        <v>-3.632857E-4</v>
      </c>
      <c r="AA529">
        <v>0.99970219999999999</v>
      </c>
      <c r="AB529">
        <v>30</v>
      </c>
      <c r="AC529">
        <v>72.588799999999907</v>
      </c>
      <c r="AD529">
        <v>-1.070963536431</v>
      </c>
      <c r="AE529">
        <v>-1.9120999999999999</v>
      </c>
      <c r="AF529">
        <v>1.7773203233386401</v>
      </c>
      <c r="AG529">
        <v>-1.070963536431</v>
      </c>
      <c r="AH529">
        <v>72.57642845158</v>
      </c>
      <c r="AI529">
        <v>90.845162147182094</v>
      </c>
      <c r="AJ529">
        <v>88.597167066953403</v>
      </c>
      <c r="AK529">
        <v>72.606086502547598</v>
      </c>
      <c r="AL529">
        <v>93.659167194607306</v>
      </c>
      <c r="AM529">
        <v>90.432614220151194</v>
      </c>
      <c r="AN529">
        <v>0.99999999219225399</v>
      </c>
    </row>
    <row r="530" spans="1:40" x14ac:dyDescent="0.25">
      <c r="A530" t="str">
        <f>"20190303153752435"</f>
        <v>20190303153752435</v>
      </c>
      <c r="B530" t="str">
        <f>"1551598672429676"</f>
        <v>1551598672429676</v>
      </c>
      <c r="C530" t="s">
        <v>40</v>
      </c>
      <c r="D530">
        <v>4.1867080000000003</v>
      </c>
      <c r="E530">
        <v>0.51289560000000001</v>
      </c>
      <c r="F530" t="s">
        <v>42</v>
      </c>
      <c r="G530">
        <v>-325.47149999999999</v>
      </c>
      <c r="H530" s="1">
        <v>-2.6091510000000001E-6</v>
      </c>
      <c r="I530">
        <v>365.75979999999998</v>
      </c>
      <c r="J530">
        <v>-403.28960000000001</v>
      </c>
      <c r="K530">
        <v>1.0709709999999999</v>
      </c>
      <c r="L530">
        <v>367.86660000000001</v>
      </c>
      <c r="M530">
        <v>0.99988489999999997</v>
      </c>
      <c r="N530">
        <v>-1.5049089999999999E-2</v>
      </c>
      <c r="O530">
        <v>-1.958586E-3</v>
      </c>
      <c r="P530">
        <v>0.99693449999999995</v>
      </c>
      <c r="Q530">
        <v>-7.802539E-2</v>
      </c>
      <c r="R530">
        <v>5.840586E-3</v>
      </c>
      <c r="S530">
        <v>3.006561</v>
      </c>
      <c r="T530">
        <v>-4.1272639999999999E-2</v>
      </c>
      <c r="U530">
        <v>-8.1207280000000007E-2</v>
      </c>
      <c r="V530">
        <v>-7.8157569999999996E-3</v>
      </c>
      <c r="W530">
        <v>-6.3011010000000006E-2</v>
      </c>
      <c r="X530">
        <v>0.99798220000000004</v>
      </c>
      <c r="Y530">
        <v>2.5037090000000001E-2</v>
      </c>
      <c r="Z530">
        <v>-3.6285689999999998E-4</v>
      </c>
      <c r="AA530">
        <v>0.99968650000000003</v>
      </c>
      <c r="AB530">
        <v>30</v>
      </c>
      <c r="AC530">
        <v>77.818100000000001</v>
      </c>
      <c r="AD530">
        <v>-1.07097360915099</v>
      </c>
      <c r="AE530">
        <v>-2.1068000000000202</v>
      </c>
      <c r="AF530">
        <v>1.95399543502964</v>
      </c>
      <c r="AG530">
        <v>-1.07097360915099</v>
      </c>
      <c r="AH530">
        <v>77.807351052752594</v>
      </c>
      <c r="AI530">
        <v>90.788345254539493</v>
      </c>
      <c r="AJ530">
        <v>88.561419157627</v>
      </c>
      <c r="AK530">
        <v>77.839250770275896</v>
      </c>
      <c r="AL530">
        <v>93.612658338998997</v>
      </c>
      <c r="AM530">
        <v>90.448706134151095</v>
      </c>
      <c r="AN530">
        <v>0.99999997247777095</v>
      </c>
    </row>
    <row r="531" spans="1:40" x14ac:dyDescent="0.25">
      <c r="A531" t="str">
        <f>"20190303153752450"</f>
        <v>20190303153752450</v>
      </c>
      <c r="B531" t="str">
        <f>"1551598672439437"</f>
        <v>1551598672439437</v>
      </c>
      <c r="C531" t="s">
        <v>40</v>
      </c>
      <c r="D531">
        <v>4.1875330000000002</v>
      </c>
      <c r="E531">
        <v>0.51292590000000005</v>
      </c>
      <c r="F531" t="s">
        <v>42</v>
      </c>
      <c r="G531">
        <v>-323.96199999999999</v>
      </c>
      <c r="H531" s="1">
        <v>-3.2796509999999998E-6</v>
      </c>
      <c r="I531">
        <v>365.63040000000001</v>
      </c>
      <c r="J531">
        <v>-403.09780000000001</v>
      </c>
      <c r="K531">
        <v>1.0709799999999901</v>
      </c>
      <c r="L531">
        <v>367.86610000000002</v>
      </c>
      <c r="M531">
        <v>0.9998842</v>
      </c>
      <c r="N531">
        <v>-1.507846E-2</v>
      </c>
      <c r="O531">
        <v>-2.0625119999999999E-3</v>
      </c>
      <c r="P531">
        <v>0.99701240000000002</v>
      </c>
      <c r="Q531">
        <v>-7.7032660000000003E-2</v>
      </c>
      <c r="R531">
        <v>5.6793540000000002E-3</v>
      </c>
      <c r="S531">
        <v>3.0065</v>
      </c>
      <c r="T531">
        <v>-4.0589689999999998E-2</v>
      </c>
      <c r="U531">
        <v>-8.4747310000000006E-2</v>
      </c>
      <c r="V531">
        <v>-7.7581969999999997E-3</v>
      </c>
      <c r="W531">
        <v>-6.198795E-2</v>
      </c>
      <c r="X531">
        <v>0.99804680000000001</v>
      </c>
      <c r="Y531">
        <v>2.6109819999999999E-2</v>
      </c>
      <c r="Z531">
        <v>-3.7638109999999999E-4</v>
      </c>
      <c r="AA531">
        <v>0.99965899999999996</v>
      </c>
      <c r="AB531">
        <v>30</v>
      </c>
      <c r="AC531">
        <v>79.135800000000003</v>
      </c>
      <c r="AD531">
        <v>-1.0709832796509999</v>
      </c>
      <c r="AE531">
        <v>-2.2357</v>
      </c>
      <c r="AF531">
        <v>2.0720789413996799</v>
      </c>
      <c r="AG531">
        <v>-1.0709832796509999</v>
      </c>
      <c r="AH531">
        <v>79.1257625821316</v>
      </c>
      <c r="AI531">
        <v>90.775196944236697</v>
      </c>
      <c r="AJ531">
        <v>88.499929137686394</v>
      </c>
      <c r="AK531">
        <v>79.160134035564596</v>
      </c>
      <c r="AL531">
        <v>93.553926198985707</v>
      </c>
      <c r="AM531">
        <v>90.445372894116403</v>
      </c>
      <c r="AN531">
        <v>1.0000000552780599</v>
      </c>
    </row>
    <row r="532" spans="1:40" x14ac:dyDescent="0.25">
      <c r="A532" t="str">
        <f>"20190303153752465"</f>
        <v>20190303153752465</v>
      </c>
      <c r="B532" t="str">
        <f>"1551598672459932"</f>
        <v>1551598672459932</v>
      </c>
      <c r="C532" t="s">
        <v>40</v>
      </c>
      <c r="D532">
        <v>4.1790269999999996</v>
      </c>
      <c r="E532">
        <v>0.51317789999999996</v>
      </c>
      <c r="F532" t="s">
        <v>42</v>
      </c>
      <c r="G532">
        <v>-322.90309999999999</v>
      </c>
      <c r="H532" s="1">
        <v>-3.7419640000000002E-6</v>
      </c>
      <c r="I532">
        <v>365.58510000000001</v>
      </c>
      <c r="J532">
        <v>-402.87990000000002</v>
      </c>
      <c r="K532">
        <v>1.0709879999999901</v>
      </c>
      <c r="L532">
        <v>367.8655</v>
      </c>
      <c r="M532">
        <v>0.99988359999999998</v>
      </c>
      <c r="N532">
        <v>-1.510718E-2</v>
      </c>
      <c r="O532">
        <v>-2.1808560000000001E-3</v>
      </c>
      <c r="P532">
        <v>0.99706419999999996</v>
      </c>
      <c r="Q532">
        <v>-7.6399300000000003E-2</v>
      </c>
      <c r="R532">
        <v>5.1437690000000003E-3</v>
      </c>
      <c r="S532">
        <v>3.0064090000000001</v>
      </c>
      <c r="T532">
        <v>-4.014993E-2</v>
      </c>
      <c r="U532">
        <v>-8.5510249999999996E-2</v>
      </c>
      <c r="V532">
        <v>-7.3401769999999998E-3</v>
      </c>
      <c r="W532">
        <v>-6.1325339999999999E-2</v>
      </c>
      <c r="X532">
        <v>0.9980909</v>
      </c>
      <c r="Y532">
        <v>2.6245890000000001E-2</v>
      </c>
      <c r="Z532">
        <v>-3.7735669999999999E-4</v>
      </c>
      <c r="AA532">
        <v>0.99965539999999997</v>
      </c>
      <c r="AB532">
        <v>29</v>
      </c>
      <c r="AC532">
        <v>79.976799999999997</v>
      </c>
      <c r="AD532">
        <v>-1.0709917419639901</v>
      </c>
      <c r="AE532">
        <v>-2.2803999999999802</v>
      </c>
      <c r="AF532">
        <v>2.1055795227515799</v>
      </c>
      <c r="AG532">
        <v>-1.0709917419639901</v>
      </c>
      <c r="AH532">
        <v>79.967254967747493</v>
      </c>
      <c r="AI532">
        <v>90.767043730821896</v>
      </c>
      <c r="AJ532">
        <v>88.491720745247093</v>
      </c>
      <c r="AK532">
        <v>80.002139693352703</v>
      </c>
      <c r="AL532">
        <v>93.515889058268698</v>
      </c>
      <c r="AM532">
        <v>90.421357995827094</v>
      </c>
      <c r="AN532">
        <v>1.0000000600936501</v>
      </c>
    </row>
    <row r="533" spans="1:40" x14ac:dyDescent="0.25">
      <c r="A533" t="str">
        <f>"20190303153752478"</f>
        <v>20190303153752478</v>
      </c>
      <c r="B533" t="str">
        <f>"1551598672469692"</f>
        <v>1551598672469692</v>
      </c>
      <c r="C533" t="s">
        <v>40</v>
      </c>
      <c r="D533">
        <v>4.2027910000000004</v>
      </c>
      <c r="E533">
        <v>0.51324740000000002</v>
      </c>
      <c r="F533" t="s">
        <v>42</v>
      </c>
      <c r="G533">
        <v>-324.40140000000002</v>
      </c>
      <c r="H533" s="1">
        <v>-3.1072099999999999E-6</v>
      </c>
      <c r="I533">
        <v>365.53989999999999</v>
      </c>
      <c r="J533">
        <v>-402.71609999999998</v>
      </c>
      <c r="K533">
        <v>1.0709919999999999</v>
      </c>
      <c r="L533">
        <v>367.86509999999998</v>
      </c>
      <c r="M533">
        <v>0.99988299999999997</v>
      </c>
      <c r="N533">
        <v>-1.512634E-2</v>
      </c>
      <c r="O533">
        <v>-2.2694500000000001E-3</v>
      </c>
      <c r="P533">
        <v>0.99706510000000004</v>
      </c>
      <c r="Q533">
        <v>-7.6415199999999905E-2</v>
      </c>
      <c r="R533">
        <v>4.6649209999999998E-3</v>
      </c>
      <c r="S533">
        <v>3.006195</v>
      </c>
      <c r="T533">
        <v>-4.1025279999999997E-2</v>
      </c>
      <c r="U533">
        <v>-8.9080809999999996E-2</v>
      </c>
      <c r="V533">
        <v>-6.9494419999999897E-3</v>
      </c>
      <c r="W533">
        <v>-6.1322250000000002E-2</v>
      </c>
      <c r="X533">
        <v>0.99809380000000003</v>
      </c>
      <c r="Y533">
        <v>2.734526E-2</v>
      </c>
      <c r="Z533">
        <v>-3.9679480000000001E-4</v>
      </c>
      <c r="AA533">
        <v>0.99962600000000001</v>
      </c>
      <c r="AB533">
        <v>29</v>
      </c>
      <c r="AC533">
        <v>78.314699999999903</v>
      </c>
      <c r="AD533">
        <v>-1.0709951072099999</v>
      </c>
      <c r="AE533">
        <v>-2.3251999999999899</v>
      </c>
      <c r="AF533">
        <v>2.1470411894001198</v>
      </c>
      <c r="AG533">
        <v>-1.0709951072099999</v>
      </c>
      <c r="AH533">
        <v>78.305144065049504</v>
      </c>
      <c r="AI533">
        <v>90.783302619893007</v>
      </c>
      <c r="AJ533">
        <v>88.429406060054703</v>
      </c>
      <c r="AK533">
        <v>78.341894305899999</v>
      </c>
      <c r="AL533">
        <v>93.515711985853201</v>
      </c>
      <c r="AM533">
        <v>90.398927698330596</v>
      </c>
      <c r="AN533">
        <v>0.99999997334380597</v>
      </c>
    </row>
    <row r="534" spans="1:40" x14ac:dyDescent="0.25">
      <c r="A534" t="str">
        <f>"20190303153752491"</f>
        <v>20190303153752491</v>
      </c>
      <c r="B534" t="str">
        <f>"1551598672479452"</f>
        <v>1551598672479452</v>
      </c>
      <c r="C534" t="s">
        <v>40</v>
      </c>
      <c r="D534">
        <v>4.2137359999999999</v>
      </c>
      <c r="E534">
        <v>0.51335730000000002</v>
      </c>
      <c r="F534" t="s">
        <v>42</v>
      </c>
      <c r="G534">
        <v>-327.29390000000001</v>
      </c>
      <c r="H534" s="1">
        <v>-1.9813180000000001E-6</v>
      </c>
      <c r="I534">
        <v>365.57859999999999</v>
      </c>
      <c r="J534">
        <v>-402.5573</v>
      </c>
      <c r="K534">
        <v>1.070997</v>
      </c>
      <c r="L534">
        <v>367.8646</v>
      </c>
      <c r="M534">
        <v>0.99988259999999995</v>
      </c>
      <c r="N534">
        <v>-1.5143810000000001E-2</v>
      </c>
      <c r="O534">
        <v>-2.355528E-3</v>
      </c>
      <c r="P534">
        <v>0.99705860000000002</v>
      </c>
      <c r="Q534">
        <v>-7.6534050000000006E-2</v>
      </c>
      <c r="R534">
        <v>4.0772660000000004E-3</v>
      </c>
      <c r="S534">
        <v>3.0060120000000001</v>
      </c>
      <c r="T534">
        <v>-4.2685269999999997E-2</v>
      </c>
      <c r="U534">
        <v>-9.1125490000000003E-2</v>
      </c>
      <c r="V534">
        <v>-6.4482480000000002E-3</v>
      </c>
      <c r="W534">
        <v>-6.1423930000000002E-2</v>
      </c>
      <c r="X534">
        <v>0.9980909</v>
      </c>
      <c r="Y534">
        <v>2.793988E-2</v>
      </c>
      <c r="Z534">
        <v>-4.1218519999999999E-4</v>
      </c>
      <c r="AA534">
        <v>0.99960950000000004</v>
      </c>
      <c r="AB534">
        <v>29</v>
      </c>
      <c r="AC534">
        <v>75.263399999999905</v>
      </c>
      <c r="AD534">
        <v>-1.0709989813179901</v>
      </c>
      <c r="AE534">
        <v>-2.286</v>
      </c>
      <c r="AF534">
        <v>2.1082617716092402</v>
      </c>
      <c r="AG534">
        <v>-1.0709989813179901</v>
      </c>
      <c r="AH534">
        <v>75.253352258880199</v>
      </c>
      <c r="AI534">
        <v>90.815053614523606</v>
      </c>
      <c r="AJ534">
        <v>88.395248713348295</v>
      </c>
      <c r="AK534">
        <v>75.290496297439304</v>
      </c>
      <c r="AL534">
        <v>93.521548864378005</v>
      </c>
      <c r="AM534">
        <v>90.370158925912506</v>
      </c>
      <c r="AN534">
        <v>0.99999996187086104</v>
      </c>
    </row>
    <row r="535" spans="1:40" x14ac:dyDescent="0.25">
      <c r="A535" t="str">
        <f>"20190303153752503"</f>
        <v>20190303153752503</v>
      </c>
      <c r="B535" t="str">
        <f>"1551598672499948"</f>
        <v>1551598672499948</v>
      </c>
      <c r="C535" t="s">
        <v>40</v>
      </c>
      <c r="D535">
        <v>4.2415940000000001</v>
      </c>
      <c r="E535">
        <v>0.51340659999999905</v>
      </c>
      <c r="F535" t="s">
        <v>42</v>
      </c>
      <c r="G535">
        <v>-330.27569999999997</v>
      </c>
      <c r="H535" s="1">
        <v>-4.8655899999999998E-6</v>
      </c>
      <c r="I535">
        <v>365.60500000000002</v>
      </c>
      <c r="J535">
        <v>-402.38920000000002</v>
      </c>
      <c r="K535">
        <v>1.071002</v>
      </c>
      <c r="L535">
        <v>367.86410000000001</v>
      </c>
      <c r="M535">
        <v>0.9998821</v>
      </c>
      <c r="N535">
        <v>-1.515968E-2</v>
      </c>
      <c r="O535">
        <v>-2.4465979999999999E-3</v>
      </c>
      <c r="P535">
        <v>0.99702809999999997</v>
      </c>
      <c r="Q535">
        <v>-7.6950989999999997E-2</v>
      </c>
      <c r="R535">
        <v>3.6547400000000001E-3</v>
      </c>
      <c r="S535">
        <v>3.0058289999999999</v>
      </c>
      <c r="T535">
        <v>-4.453754E-2</v>
      </c>
      <c r="U535">
        <v>-9.3963619999999998E-2</v>
      </c>
      <c r="V535">
        <v>-6.1163739999999999E-3</v>
      </c>
      <c r="W535">
        <v>-6.182555E-2</v>
      </c>
      <c r="X535">
        <v>0.99806819999999896</v>
      </c>
      <c r="Y535">
        <v>2.8793039999999999E-2</v>
      </c>
      <c r="Z535">
        <v>-4.324299E-4</v>
      </c>
      <c r="AA535">
        <v>0.99958530000000001</v>
      </c>
      <c r="AB535">
        <v>29</v>
      </c>
      <c r="AC535">
        <v>72.113500000000002</v>
      </c>
      <c r="AD535">
        <v>-1.07100686559</v>
      </c>
      <c r="AE535">
        <v>-2.2590999999999801</v>
      </c>
      <c r="AF535">
        <v>2.0821813949436399</v>
      </c>
      <c r="AG535">
        <v>-1.07100686559</v>
      </c>
      <c r="AH535">
        <v>72.102923535361597</v>
      </c>
      <c r="AI535">
        <v>90.850646444800603</v>
      </c>
      <c r="AJ535">
        <v>88.345877614427295</v>
      </c>
      <c r="AK535">
        <v>72.140932329807001</v>
      </c>
      <c r="AL535">
        <v>93.544603785098403</v>
      </c>
      <c r="AM535">
        <v>90.351116315767598</v>
      </c>
      <c r="AN535">
        <v>0.999999970257474</v>
      </c>
    </row>
    <row r="536" spans="1:40" x14ac:dyDescent="0.25">
      <c r="A536" t="str">
        <f>"20190303153752521"</f>
        <v>20190303153752521</v>
      </c>
      <c r="B536" t="str">
        <f>"1551598672509722"</f>
        <v>1551598672509722</v>
      </c>
      <c r="C536" t="s">
        <v>40</v>
      </c>
      <c r="D536">
        <v>4.2360870000000004</v>
      </c>
      <c r="E536">
        <v>0.51335249999999999</v>
      </c>
      <c r="F536" t="s">
        <v>42</v>
      </c>
      <c r="G536">
        <v>-337.90120000000002</v>
      </c>
      <c r="H536" s="1">
        <v>-1.712786E-6</v>
      </c>
      <c r="I536">
        <v>365.81119999999999</v>
      </c>
      <c r="J536">
        <v>-402.15839999999997</v>
      </c>
      <c r="K536">
        <v>1.0710029999999999</v>
      </c>
      <c r="L536">
        <v>367.86340000000001</v>
      </c>
      <c r="M536">
        <v>0.99988149999999998</v>
      </c>
      <c r="N536">
        <v>-1.517928E-2</v>
      </c>
      <c r="O536">
        <v>-2.5717840000000001E-3</v>
      </c>
      <c r="P536">
        <v>0.99699309999999997</v>
      </c>
      <c r="Q536">
        <v>-7.7446479999999998E-2</v>
      </c>
      <c r="R536">
        <v>2.6671360000000001E-3</v>
      </c>
      <c r="S536">
        <v>3.0054630000000002</v>
      </c>
      <c r="T536">
        <v>-4.9914E-2</v>
      </c>
      <c r="U536">
        <v>-9.5672610000000005E-2</v>
      </c>
      <c r="V536">
        <v>-5.2538569999999998E-3</v>
      </c>
      <c r="W536">
        <v>-6.2302219999999998E-2</v>
      </c>
      <c r="X536">
        <v>0.99804349999999997</v>
      </c>
      <c r="Y536">
        <v>2.9238199999999999E-2</v>
      </c>
      <c r="Z536">
        <v>-4.6105089999999999E-4</v>
      </c>
      <c r="AA536">
        <v>0.99957229999999997</v>
      </c>
      <c r="AB536">
        <v>29</v>
      </c>
      <c r="AC536">
        <v>64.257199999999898</v>
      </c>
      <c r="AD536">
        <v>-1.0710047127860001</v>
      </c>
      <c r="AE536">
        <v>-2.05220000000002</v>
      </c>
      <c r="AF536">
        <v>1.88639501954786</v>
      </c>
      <c r="AG536">
        <v>-1.0710047127860001</v>
      </c>
      <c r="AH536">
        <v>64.244436669340402</v>
      </c>
      <c r="AI536">
        <v>90.954665346631302</v>
      </c>
      <c r="AJ536">
        <v>88.318120091664994</v>
      </c>
      <c r="AK536">
        <v>64.281048375283007</v>
      </c>
      <c r="AL536">
        <v>93.571967616219297</v>
      </c>
      <c r="AM536">
        <v>90.301611153942702</v>
      </c>
      <c r="AN536">
        <v>0.99999999876127699</v>
      </c>
    </row>
    <row r="537" spans="1:40" x14ac:dyDescent="0.25">
      <c r="A537" t="str">
        <f>"20190303153752534"</f>
        <v>20190303153752534</v>
      </c>
      <c r="B537" t="str">
        <f>"1551598672529230"</f>
        <v>1551598672529230</v>
      </c>
      <c r="C537" t="s">
        <v>40</v>
      </c>
      <c r="D537">
        <v>4.2309359999999998</v>
      </c>
      <c r="E537">
        <v>0.51330779999999998</v>
      </c>
      <c r="F537" t="s">
        <v>42</v>
      </c>
      <c r="G537">
        <v>-341.85480000000001</v>
      </c>
      <c r="H537" s="1">
        <v>-4.4919299999999997E-6</v>
      </c>
      <c r="I537">
        <v>365.88909999999998</v>
      </c>
      <c r="J537">
        <v>-401.98970000000003</v>
      </c>
      <c r="K537">
        <v>1.071007</v>
      </c>
      <c r="L537">
        <v>367.86290000000002</v>
      </c>
      <c r="M537">
        <v>0.99988109999999997</v>
      </c>
      <c r="N537">
        <v>-1.519203E-2</v>
      </c>
      <c r="O537">
        <v>-2.6635420000000001E-3</v>
      </c>
      <c r="P537">
        <v>0.99698469999999995</v>
      </c>
      <c r="Q537">
        <v>-7.7563770000000004E-2</v>
      </c>
      <c r="R537">
        <v>2.288521E-3</v>
      </c>
      <c r="S537">
        <v>3.0051570000000001</v>
      </c>
      <c r="T537">
        <v>-5.3372379999999997E-2</v>
      </c>
      <c r="U537">
        <v>-9.8388669999999998E-2</v>
      </c>
      <c r="V537">
        <v>-4.9663779999999996E-3</v>
      </c>
      <c r="W537">
        <v>-6.2407009999999999E-2</v>
      </c>
      <c r="X537">
        <v>0.99803839999999999</v>
      </c>
      <c r="Y537">
        <v>3.0051089999999999E-2</v>
      </c>
      <c r="Z537">
        <v>-4.8830919999999999E-4</v>
      </c>
      <c r="AA537">
        <v>0.99954829999999995</v>
      </c>
      <c r="AB537">
        <v>29</v>
      </c>
      <c r="AC537">
        <v>60.134900000000002</v>
      </c>
      <c r="AD537">
        <v>-1.07101149192999</v>
      </c>
      <c r="AE537">
        <v>-1.97380000000004</v>
      </c>
      <c r="AF537">
        <v>1.81302821055434</v>
      </c>
      <c r="AG537">
        <v>-1.07101149192999</v>
      </c>
      <c r="AH537">
        <v>60.120894636085197</v>
      </c>
      <c r="AI537">
        <v>91.020112455455802</v>
      </c>
      <c r="AJ537">
        <v>88.272690501093294</v>
      </c>
      <c r="AK537">
        <v>60.157760170666002</v>
      </c>
      <c r="AL537">
        <v>93.577983436510706</v>
      </c>
      <c r="AM537">
        <v>90.285109420848798</v>
      </c>
      <c r="AN537">
        <v>0.99999997384106898</v>
      </c>
    </row>
    <row r="538" spans="1:40" x14ac:dyDescent="0.25">
      <c r="A538" t="str">
        <f>"20190303153752545"</f>
        <v>20190303153752545</v>
      </c>
      <c r="B538" t="str">
        <f>"1551598672539965"</f>
        <v>1551598672539965</v>
      </c>
      <c r="C538" t="s">
        <v>40</v>
      </c>
      <c r="D538">
        <v>4.2556859999999999</v>
      </c>
      <c r="E538">
        <v>0.51327309999999904</v>
      </c>
      <c r="F538" t="s">
        <v>42</v>
      </c>
      <c r="G538">
        <v>-345.3263</v>
      </c>
      <c r="H538" s="1">
        <v>-2.8318690000000001E-6</v>
      </c>
      <c r="I538">
        <v>365.9966</v>
      </c>
      <c r="J538">
        <v>-401.83089999999999</v>
      </c>
      <c r="K538">
        <v>1.071013</v>
      </c>
      <c r="L538">
        <v>367.86239999999998</v>
      </c>
      <c r="M538">
        <v>0.99988069999999896</v>
      </c>
      <c r="N538">
        <v>-1.5202729999999999E-2</v>
      </c>
      <c r="O538">
        <v>-2.7496840000000001E-3</v>
      </c>
      <c r="P538">
        <v>0.99694870000000002</v>
      </c>
      <c r="Q538">
        <v>-7.8037190000000006E-2</v>
      </c>
      <c r="R538">
        <v>1.9071380000000001E-3</v>
      </c>
      <c r="S538">
        <v>3.004883</v>
      </c>
      <c r="T538">
        <v>-5.6796069999999997E-2</v>
      </c>
      <c r="U538">
        <v>-9.8968509999999996E-2</v>
      </c>
      <c r="V538">
        <v>-4.6711820000000003E-3</v>
      </c>
      <c r="W538">
        <v>-6.2870330000000002E-2</v>
      </c>
      <c r="X538">
        <v>0.99801079999999998</v>
      </c>
      <c r="Y538">
        <v>3.0159720000000001E-2</v>
      </c>
      <c r="Z538">
        <v>-5.0413360000000002E-4</v>
      </c>
      <c r="AA538">
        <v>0.99954500000000002</v>
      </c>
      <c r="AB538">
        <v>29</v>
      </c>
      <c r="AC538">
        <v>56.504599999999897</v>
      </c>
      <c r="AD538">
        <v>-1.071015831869</v>
      </c>
      <c r="AE538">
        <v>-1.8657999999999699</v>
      </c>
      <c r="AF538">
        <v>1.70979158778347</v>
      </c>
      <c r="AG538">
        <v>-1.071015831869</v>
      </c>
      <c r="AH538">
        <v>56.489244357690197</v>
      </c>
      <c r="AI538">
        <v>91.085680236656202</v>
      </c>
      <c r="AJ538">
        <v>88.2663258526552</v>
      </c>
      <c r="AK538">
        <v>56.525261523398498</v>
      </c>
      <c r="AL538">
        <v>93.604581756173303</v>
      </c>
      <c r="AM538">
        <v>90.268170504340205</v>
      </c>
      <c r="AN538">
        <v>1.0000000276261101</v>
      </c>
    </row>
    <row r="539" spans="1:40" x14ac:dyDescent="0.25">
      <c r="A539" t="str">
        <f>"20190303153752566"</f>
        <v>20190303153752566</v>
      </c>
      <c r="B539" t="str">
        <f>"1551598672559484"</f>
        <v>1551598672559484</v>
      </c>
      <c r="C539" t="s">
        <v>40</v>
      </c>
      <c r="D539">
        <v>4.2457000000000003</v>
      </c>
      <c r="E539">
        <v>0.51324209999999904</v>
      </c>
      <c r="F539" t="s">
        <v>42</v>
      </c>
      <c r="G539">
        <v>-347.81479999999999</v>
      </c>
      <c r="H539" s="1">
        <v>-1.767559E-6</v>
      </c>
      <c r="I539">
        <v>366.06779999999998</v>
      </c>
      <c r="J539">
        <v>-401.57260000000002</v>
      </c>
      <c r="K539">
        <v>1.071018</v>
      </c>
      <c r="L539">
        <v>367.86149999999998</v>
      </c>
      <c r="M539">
        <v>0.99987999999999999</v>
      </c>
      <c r="N539">
        <v>-1.5217720000000001E-2</v>
      </c>
      <c r="O539">
        <v>-2.8899730000000001E-3</v>
      </c>
      <c r="P539">
        <v>0.99694269999999996</v>
      </c>
      <c r="Q539">
        <v>-7.812682E-2</v>
      </c>
      <c r="R539">
        <v>1.0992899999999999E-3</v>
      </c>
      <c r="S539">
        <v>3.0047000000000001</v>
      </c>
      <c r="T539">
        <v>-5.9576270000000001E-2</v>
      </c>
      <c r="U539">
        <v>-9.9822999999999995E-2</v>
      </c>
      <c r="V539">
        <v>-4.0030150000000004E-3</v>
      </c>
      <c r="W539">
        <v>-6.2945299999999996E-2</v>
      </c>
      <c r="X539">
        <v>0.99800900000000003</v>
      </c>
      <c r="Y539">
        <v>3.0304629999999999E-2</v>
      </c>
      <c r="Z539">
        <v>-5.1771330000000004E-4</v>
      </c>
      <c r="AA539">
        <v>0.9995406</v>
      </c>
      <c r="AB539">
        <v>29</v>
      </c>
      <c r="AC539">
        <v>53.757800000000003</v>
      </c>
      <c r="AD539">
        <v>-1.0710197675589901</v>
      </c>
      <c r="AE539">
        <v>-1.7937000000000001</v>
      </c>
      <c r="AF539">
        <v>1.63766660776607</v>
      </c>
      <c r="AG539">
        <v>-1.0710197675589901</v>
      </c>
      <c r="AH539">
        <v>53.741452023704802</v>
      </c>
      <c r="AI539">
        <v>91.141173659314603</v>
      </c>
      <c r="AJ539">
        <v>88.254562291537198</v>
      </c>
      <c r="AK539">
        <v>53.777064822067601</v>
      </c>
      <c r="AL539">
        <v>93.608885666327495</v>
      </c>
      <c r="AM539">
        <v>90.229812190942695</v>
      </c>
      <c r="AN539">
        <v>1.0000000495010799</v>
      </c>
    </row>
    <row r="540" spans="1:40" x14ac:dyDescent="0.25">
      <c r="A540" t="str">
        <f>"20190303153752578"</f>
        <v>20190303153752578</v>
      </c>
      <c r="B540" t="str">
        <f>"1551598672569244"</f>
        <v>1551598672569244</v>
      </c>
      <c r="C540" t="s">
        <v>40</v>
      </c>
      <c r="D540">
        <v>4.2662089999999999</v>
      </c>
      <c r="E540">
        <v>0.51323419999999997</v>
      </c>
      <c r="F540" t="s">
        <v>42</v>
      </c>
      <c r="G540">
        <v>-349.84570000000002</v>
      </c>
      <c r="H540" s="1">
        <v>-9.7886800000000003E-7</v>
      </c>
      <c r="I540">
        <v>366.10079999999999</v>
      </c>
      <c r="J540">
        <v>-401.41640000000001</v>
      </c>
      <c r="K540">
        <v>1.071018</v>
      </c>
      <c r="L540">
        <v>367.86099999999999</v>
      </c>
      <c r="M540">
        <v>0.99987969999999904</v>
      </c>
      <c r="N540">
        <v>-1.5225399999999899E-2</v>
      </c>
      <c r="O540">
        <v>-2.9748999999999999E-3</v>
      </c>
      <c r="P540">
        <v>0.99694579999999999</v>
      </c>
      <c r="Q540">
        <v>-7.8092969999999998E-2</v>
      </c>
      <c r="R540">
        <v>8.9493639999999996E-4</v>
      </c>
      <c r="S540">
        <v>3.0044249999999999</v>
      </c>
      <c r="T540">
        <v>-6.220734E-2</v>
      </c>
      <c r="U540">
        <v>-0.10226440000000001</v>
      </c>
      <c r="V540">
        <v>-3.8831019999999998E-3</v>
      </c>
      <c r="W540">
        <v>-6.2903780000000006E-2</v>
      </c>
      <c r="X540">
        <v>0.99801209999999996</v>
      </c>
      <c r="Y540">
        <v>3.1033060000000001E-2</v>
      </c>
      <c r="Z540">
        <v>-5.4122969999999997E-4</v>
      </c>
      <c r="AA540">
        <v>0.99951820000000002</v>
      </c>
      <c r="AB540">
        <v>29</v>
      </c>
      <c r="AC540">
        <v>51.570699999999903</v>
      </c>
      <c r="AD540">
        <v>-1.071018978868</v>
      </c>
      <c r="AE540">
        <v>-1.76019999999999</v>
      </c>
      <c r="AF540">
        <v>1.60606485079602</v>
      </c>
      <c r="AG540">
        <v>-1.071018978868</v>
      </c>
      <c r="AH540">
        <v>51.553499169113003</v>
      </c>
      <c r="AI540">
        <v>91.189566148895807</v>
      </c>
      <c r="AJ540">
        <v>88.2156209240717</v>
      </c>
      <c r="AK540">
        <v>51.589628827292401</v>
      </c>
      <c r="AL540">
        <v>93.606501991713401</v>
      </c>
      <c r="AM540">
        <v>90.222927390682599</v>
      </c>
      <c r="AN540">
        <v>1.00000005788291</v>
      </c>
    </row>
    <row r="541" spans="1:40" x14ac:dyDescent="0.25">
      <c r="A541" t="str">
        <f>"20190303153752590"</f>
        <v>20190303153752590</v>
      </c>
      <c r="B541" t="str">
        <f>"1551598672579980"</f>
        <v>1551598672579980</v>
      </c>
      <c r="C541" t="s">
        <v>40</v>
      </c>
      <c r="D541">
        <v>4.2771439999999998</v>
      </c>
      <c r="E541">
        <v>0.51317199999999996</v>
      </c>
      <c r="F541" t="s">
        <v>42</v>
      </c>
      <c r="G541">
        <v>-350.26990000000001</v>
      </c>
      <c r="H541" s="1">
        <v>-4.7768959999999998E-6</v>
      </c>
      <c r="I541">
        <v>366.1189</v>
      </c>
      <c r="J541">
        <v>-401.25049999999999</v>
      </c>
      <c r="K541">
        <v>1.0710379999999999</v>
      </c>
      <c r="L541">
        <v>367.86040000000003</v>
      </c>
      <c r="M541">
        <v>0.9998783</v>
      </c>
      <c r="N541">
        <v>-1.529462E-2</v>
      </c>
      <c r="O541">
        <v>-3.063872E-3</v>
      </c>
      <c r="P541">
        <v>0.99693920000000003</v>
      </c>
      <c r="Q541">
        <v>-7.8177640000000007E-2</v>
      </c>
      <c r="R541">
        <v>7.3173759999999998E-4</v>
      </c>
      <c r="S541">
        <v>3.0043639999999998</v>
      </c>
      <c r="T541">
        <v>-6.2912109999999993E-2</v>
      </c>
      <c r="U541">
        <v>-0.1023254</v>
      </c>
      <c r="V541">
        <v>-3.8088589999999999E-3</v>
      </c>
      <c r="W541">
        <v>-6.291948E-2</v>
      </c>
      <c r="X541">
        <v>0.99801139999999999</v>
      </c>
      <c r="Y541">
        <v>3.09649E-2</v>
      </c>
      <c r="Z541">
        <v>-5.4371970000000004E-4</v>
      </c>
      <c r="AA541">
        <v>0.99952030000000003</v>
      </c>
      <c r="AB541">
        <v>29</v>
      </c>
      <c r="AC541">
        <v>50.980599999999903</v>
      </c>
      <c r="AD541">
        <v>-1.071042776896</v>
      </c>
      <c r="AE541">
        <v>-1.74150000000003</v>
      </c>
      <c r="AF541">
        <v>1.5845769419050599</v>
      </c>
      <c r="AG541">
        <v>-1.071042776896</v>
      </c>
      <c r="AH541">
        <v>50.963229543825598</v>
      </c>
      <c r="AI541">
        <v>91.203368996047104</v>
      </c>
      <c r="AJ541">
        <v>88.219101654055393</v>
      </c>
      <c r="AK541">
        <v>50.999105700506298</v>
      </c>
      <c r="AL541">
        <v>93.607403307955593</v>
      </c>
      <c r="AM541">
        <v>90.218665323798106</v>
      </c>
      <c r="AN541">
        <v>1.0000000614501501</v>
      </c>
    </row>
    <row r="542" spans="1:40" x14ac:dyDescent="0.25">
      <c r="A542" t="str">
        <f>"20190303153752602"</f>
        <v>20190303153752602</v>
      </c>
      <c r="B542" t="str">
        <f>"1551598672589740"</f>
        <v>1551598672589740</v>
      </c>
      <c r="C542" t="s">
        <v>40</v>
      </c>
      <c r="D542">
        <v>4.2730319999999997</v>
      </c>
      <c r="E542">
        <v>0.51318869999999905</v>
      </c>
      <c r="F542" t="s">
        <v>42</v>
      </c>
      <c r="G542">
        <v>-351.00529999999998</v>
      </c>
      <c r="H542" s="1">
        <v>-4.4563470000000002E-6</v>
      </c>
      <c r="I542">
        <v>366.14749999999998</v>
      </c>
      <c r="J542">
        <v>-401.0985</v>
      </c>
      <c r="K542">
        <v>1.0711820000000001</v>
      </c>
      <c r="L542">
        <v>367.85989999999998</v>
      </c>
      <c r="M542">
        <v>0.99987020000000004</v>
      </c>
      <c r="N542">
        <v>-1.580693E-2</v>
      </c>
      <c r="O542">
        <v>-3.135798E-3</v>
      </c>
      <c r="P542">
        <v>0.99690650000000003</v>
      </c>
      <c r="Q542">
        <v>-7.8593549999999998E-2</v>
      </c>
      <c r="R542">
        <v>7.2312059999999896E-4</v>
      </c>
      <c r="S542">
        <v>3.0042719999999998</v>
      </c>
      <c r="T542">
        <v>-6.4039949999999998E-2</v>
      </c>
      <c r="U542">
        <v>-0.10241699999999999</v>
      </c>
      <c r="V542">
        <v>-3.871223E-3</v>
      </c>
      <c r="W542">
        <v>-6.2824519999999995E-2</v>
      </c>
      <c r="X542">
        <v>0.99801709999999999</v>
      </c>
      <c r="Y542">
        <v>3.092394E-2</v>
      </c>
      <c r="Z542">
        <v>-5.5673929999999999E-4</v>
      </c>
      <c r="AA542">
        <v>0.99952160000000001</v>
      </c>
      <c r="AB542">
        <v>29</v>
      </c>
      <c r="AC542">
        <v>50.093200000000003</v>
      </c>
      <c r="AD542">
        <v>-1.0711864563469999</v>
      </c>
      <c r="AE542">
        <v>-1.7123999999999999</v>
      </c>
      <c r="AF542">
        <v>1.5545797702048401</v>
      </c>
      <c r="AG542">
        <v>-1.0711864563469999</v>
      </c>
      <c r="AH542">
        <v>50.0754527904162</v>
      </c>
      <c r="AI542">
        <v>91.2248628796536</v>
      </c>
      <c r="AJ542">
        <v>88.221838115731103</v>
      </c>
      <c r="AK542">
        <v>50.111028036265601</v>
      </c>
      <c r="AL542">
        <v>93.601951867701203</v>
      </c>
      <c r="AM542">
        <v>90.222244315293693</v>
      </c>
      <c r="AN542">
        <v>1.0000000192865699</v>
      </c>
    </row>
    <row r="543" spans="1:40" x14ac:dyDescent="0.25">
      <c r="A543" t="str">
        <f>"20190303153752615"</f>
        <v>20190303153752615</v>
      </c>
      <c r="B543" t="str">
        <f>"1551598672609261"</f>
        <v>1551598672609261</v>
      </c>
      <c r="C543" t="s">
        <v>40</v>
      </c>
      <c r="D543">
        <v>4.262041</v>
      </c>
      <c r="E543">
        <v>0.51314539999999997</v>
      </c>
      <c r="F543" t="s">
        <v>42</v>
      </c>
      <c r="G543">
        <v>-352.09840000000003</v>
      </c>
      <c r="H543" s="1">
        <v>-3.982116E-6</v>
      </c>
      <c r="I543">
        <v>366.17739999999998</v>
      </c>
      <c r="J543">
        <v>-400.94630000000001</v>
      </c>
      <c r="K543">
        <v>1.071426</v>
      </c>
      <c r="L543">
        <v>367.85930000000002</v>
      </c>
      <c r="M543">
        <v>0.99986059999999999</v>
      </c>
      <c r="N543">
        <v>-1.6383209999999999E-2</v>
      </c>
      <c r="O543">
        <v>-3.2070570000000001E-3</v>
      </c>
      <c r="P543">
        <v>0.99684649999999997</v>
      </c>
      <c r="Q543">
        <v>-7.9351710000000006E-2</v>
      </c>
      <c r="R543">
        <v>7.0902750000000005E-4</v>
      </c>
      <c r="S543">
        <v>3.004181</v>
      </c>
      <c r="T543">
        <v>-6.5673830000000002E-2</v>
      </c>
      <c r="U543">
        <v>-0.1031494</v>
      </c>
      <c r="V543">
        <v>-3.9268569999999997E-3</v>
      </c>
      <c r="W543">
        <v>-6.3008369999999994E-2</v>
      </c>
      <c r="X543">
        <v>0.99800529999999998</v>
      </c>
      <c r="Y543">
        <v>3.1096349999999998E-2</v>
      </c>
      <c r="Z543">
        <v>-5.7707980000000004E-4</v>
      </c>
      <c r="AA543">
        <v>0.99951619999999997</v>
      </c>
      <c r="AB543">
        <v>29</v>
      </c>
      <c r="AC543">
        <v>48.847899999999903</v>
      </c>
      <c r="AD543">
        <v>-1.071429982116</v>
      </c>
      <c r="AE543">
        <v>-1.6819000000000399</v>
      </c>
      <c r="AF543">
        <v>1.52447975397929</v>
      </c>
      <c r="AG543">
        <v>-1.071429982116</v>
      </c>
      <c r="AH543">
        <v>48.829579282648901</v>
      </c>
      <c r="AI543">
        <v>91.256383648181597</v>
      </c>
      <c r="AJ543">
        <v>88.2117828064832</v>
      </c>
      <c r="AK543">
        <v>48.865118578054897</v>
      </c>
      <c r="AL543">
        <v>93.612506580246105</v>
      </c>
      <c r="AM543">
        <v>90.225440858639402</v>
      </c>
      <c r="AN543">
        <v>1.0000000268620199</v>
      </c>
    </row>
    <row r="544" spans="1:40" x14ac:dyDescent="0.25">
      <c r="A544" t="str">
        <f>"20190303153752627"</f>
        <v>20190303153752627</v>
      </c>
      <c r="B544" t="str">
        <f>"1551598672619996"</f>
        <v>1551598672619996</v>
      </c>
      <c r="C544" t="s">
        <v>40</v>
      </c>
      <c r="D544">
        <v>4.2687809999999997</v>
      </c>
      <c r="E544">
        <v>0.51311189999999995</v>
      </c>
      <c r="F544" t="s">
        <v>42</v>
      </c>
      <c r="G544">
        <v>-354.20659999999998</v>
      </c>
      <c r="H544" s="1">
        <v>-3.0616480000000001E-6</v>
      </c>
      <c r="I544">
        <v>366.26769999999999</v>
      </c>
      <c r="J544">
        <v>-400.7688</v>
      </c>
      <c r="K544">
        <v>1.071844</v>
      </c>
      <c r="L544">
        <v>367.85860000000002</v>
      </c>
      <c r="M544">
        <v>0.99984759999999995</v>
      </c>
      <c r="N544">
        <v>-1.7150680000000001E-2</v>
      </c>
      <c r="O544">
        <v>-3.289152E-3</v>
      </c>
      <c r="P544">
        <v>0.99678800000000001</v>
      </c>
      <c r="Q544">
        <v>-8.0084169999999996E-2</v>
      </c>
      <c r="R544">
        <v>7.2681899999999997E-4</v>
      </c>
      <c r="S544">
        <v>3.004089</v>
      </c>
      <c r="T544">
        <v>-6.8863629999999995E-2</v>
      </c>
      <c r="U544">
        <v>-0.10229489999999999</v>
      </c>
      <c r="V544">
        <v>-4.0248979999999998E-3</v>
      </c>
      <c r="W544">
        <v>-6.2975680000000006E-2</v>
      </c>
      <c r="X544">
        <v>0.99800690000000003</v>
      </c>
      <c r="Y544">
        <v>3.0730199999999999E-2</v>
      </c>
      <c r="Z544">
        <v>-5.9678149999999996E-4</v>
      </c>
      <c r="AA544">
        <v>0.99952750000000001</v>
      </c>
      <c r="AB544">
        <v>29</v>
      </c>
      <c r="AC544">
        <v>46.562199999999997</v>
      </c>
      <c r="AD544">
        <v>-1.071847061648</v>
      </c>
      <c r="AE544">
        <v>-1.59090000000003</v>
      </c>
      <c r="AF544">
        <v>1.43695815920171</v>
      </c>
      <c r="AG544">
        <v>-1.071847061648</v>
      </c>
      <c r="AH544">
        <v>46.542547132617798</v>
      </c>
      <c r="AI544">
        <v>91.318626298729498</v>
      </c>
      <c r="AJ544">
        <v>88.231607461573404</v>
      </c>
      <c r="AK544">
        <v>46.577058714208398</v>
      </c>
      <c r="AL544">
        <v>93.610630116624407</v>
      </c>
      <c r="AM544">
        <v>90.231068961674396</v>
      </c>
      <c r="AN544">
        <v>0.99999995426149002</v>
      </c>
    </row>
    <row r="545" spans="1:40" x14ac:dyDescent="0.25">
      <c r="A545" t="str">
        <f>"20190303153752645"</f>
        <v>20190303153752645</v>
      </c>
      <c r="B545" t="str">
        <f>"1551598672639516"</f>
        <v>1551598672639516</v>
      </c>
      <c r="C545" t="s">
        <v>40</v>
      </c>
      <c r="D545">
        <v>4.2711180000000004</v>
      </c>
      <c r="E545">
        <v>0.51305730000000005</v>
      </c>
      <c r="F545" t="s">
        <v>42</v>
      </c>
      <c r="G545">
        <v>-355.98020000000002</v>
      </c>
      <c r="H545" s="1">
        <v>-2.2880739999999999E-6</v>
      </c>
      <c r="I545">
        <v>366.33929999999998</v>
      </c>
      <c r="J545">
        <v>-400.56139999999999</v>
      </c>
      <c r="K545">
        <v>1.072492</v>
      </c>
      <c r="L545">
        <v>367.8578</v>
      </c>
      <c r="M545">
        <v>0.9998397</v>
      </c>
      <c r="N545">
        <v>-1.7583419999999999E-2</v>
      </c>
      <c r="O545">
        <v>-3.3876129999999998E-3</v>
      </c>
      <c r="P545">
        <v>0.99673299999999998</v>
      </c>
      <c r="Q545">
        <v>-8.0765740000000003E-2</v>
      </c>
      <c r="R545">
        <v>6.4633759999999996E-4</v>
      </c>
      <c r="S545">
        <v>3.0039980000000002</v>
      </c>
      <c r="T545">
        <v>-7.188928E-2</v>
      </c>
      <c r="U545">
        <v>-0.10189819999999999</v>
      </c>
      <c r="V545">
        <v>-4.0429180000000004E-3</v>
      </c>
      <c r="W545">
        <v>-6.3226169999999998E-2</v>
      </c>
      <c r="X545">
        <v>0.99799099999999996</v>
      </c>
      <c r="Y545">
        <v>3.0499910000000002E-2</v>
      </c>
      <c r="Z545">
        <v>-6.116219E-4</v>
      </c>
      <c r="AA545">
        <v>0.99953460000000005</v>
      </c>
      <c r="AB545">
        <v>29</v>
      </c>
      <c r="AC545">
        <v>44.581199999999903</v>
      </c>
      <c r="AD545">
        <v>-1.072494288074</v>
      </c>
      <c r="AE545">
        <v>-1.51850000000001</v>
      </c>
      <c r="AF545">
        <v>1.3666540592850001</v>
      </c>
      <c r="AG545">
        <v>-1.072494288074</v>
      </c>
      <c r="AH545">
        <v>44.560329864307697</v>
      </c>
      <c r="AI545">
        <v>91.378101808941807</v>
      </c>
      <c r="AJ545">
        <v>88.243303581802095</v>
      </c>
      <c r="AK545">
        <v>44.594181065825502</v>
      </c>
      <c r="AL545">
        <v>93.625010756966404</v>
      </c>
      <c r="AM545">
        <v>90.232107174479097</v>
      </c>
      <c r="AN545">
        <v>0.99999996491991106</v>
      </c>
    </row>
    <row r="546" spans="1:40" x14ac:dyDescent="0.25">
      <c r="A546" t="str">
        <f>"20190303153752660"</f>
        <v>20190303153752660</v>
      </c>
      <c r="B546" t="str">
        <f>"1551598672649277"</f>
        <v>1551598672649277</v>
      </c>
      <c r="C546" t="s">
        <v>40</v>
      </c>
      <c r="D546">
        <v>4.2709250000000001</v>
      </c>
      <c r="E546">
        <v>0.51303729999999903</v>
      </c>
      <c r="F546" t="s">
        <v>42</v>
      </c>
      <c r="G546">
        <v>-357.49110000000002</v>
      </c>
      <c r="H546" s="1">
        <v>-1.695812E-6</v>
      </c>
      <c r="I546">
        <v>366.39940000000001</v>
      </c>
      <c r="J546">
        <v>-400.36950000000002</v>
      </c>
      <c r="K546">
        <v>1.0730519999999999</v>
      </c>
      <c r="L546">
        <v>367.8571</v>
      </c>
      <c r="M546">
        <v>0.99984790000000001</v>
      </c>
      <c r="N546">
        <v>-1.7088610000000001E-2</v>
      </c>
      <c r="O546">
        <v>-3.4871569999999998E-3</v>
      </c>
      <c r="P546">
        <v>0.99677680000000002</v>
      </c>
      <c r="Q546">
        <v>-8.0222349999999998E-2</v>
      </c>
      <c r="R546">
        <v>6.8525949999999997E-4</v>
      </c>
      <c r="S546">
        <v>3.0038450000000001</v>
      </c>
      <c r="T546">
        <v>-7.4798580000000003E-2</v>
      </c>
      <c r="U546">
        <v>-0.1017151</v>
      </c>
      <c r="V546">
        <v>-4.1818879999999999E-3</v>
      </c>
      <c r="W546">
        <v>-6.317594E-2</v>
      </c>
      <c r="X546">
        <v>0.99799360000000004</v>
      </c>
      <c r="Y546">
        <v>3.034061E-2</v>
      </c>
      <c r="Z546">
        <v>-6.0977089999999904E-4</v>
      </c>
      <c r="AA546">
        <v>0.99953939999999997</v>
      </c>
      <c r="AB546">
        <v>28</v>
      </c>
      <c r="AC546">
        <v>42.878399999999999</v>
      </c>
      <c r="AD546">
        <v>-1.0730536958120001</v>
      </c>
      <c r="AE546">
        <v>-1.45769999999998</v>
      </c>
      <c r="AF546">
        <v>1.3073277823368601</v>
      </c>
      <c r="AG546">
        <v>-1.0730536958120001</v>
      </c>
      <c r="AH546">
        <v>42.856414228428903</v>
      </c>
      <c r="AI546">
        <v>91.433625238311393</v>
      </c>
      <c r="AJ546">
        <v>88.2527436155722</v>
      </c>
      <c r="AK546">
        <v>42.889774896626001</v>
      </c>
      <c r="AL546">
        <v>93.622127054879599</v>
      </c>
      <c r="AM546">
        <v>90.240084836655996</v>
      </c>
      <c r="AN546">
        <v>0.99999995661154295</v>
      </c>
    </row>
    <row r="547" spans="1:40" x14ac:dyDescent="0.25">
      <c r="A547" t="str">
        <f>"20190303153752674"</f>
        <v>20190303153752674</v>
      </c>
      <c r="B547" t="str">
        <f>"1551598672669772"</f>
        <v>1551598672669772</v>
      </c>
      <c r="C547" t="s">
        <v>40</v>
      </c>
      <c r="D547">
        <v>4.3021969999999996</v>
      </c>
      <c r="E547">
        <v>0.51306130000000005</v>
      </c>
      <c r="F547" t="s">
        <v>42</v>
      </c>
      <c r="G547">
        <v>-356.71249999999998</v>
      </c>
      <c r="H547" s="1">
        <v>-1.9659990000000001E-6</v>
      </c>
      <c r="I547">
        <v>366.38400000000001</v>
      </c>
      <c r="J547">
        <v>-400.19830000000002</v>
      </c>
      <c r="K547">
        <v>1.073556</v>
      </c>
      <c r="L547">
        <v>367.85640000000001</v>
      </c>
      <c r="M547">
        <v>0.99986330000000001</v>
      </c>
      <c r="N547">
        <v>-1.614529E-2</v>
      </c>
      <c r="O547">
        <v>-3.5776290000000001E-3</v>
      </c>
      <c r="P547">
        <v>0.99685869999999999</v>
      </c>
      <c r="Q547">
        <v>-7.9197240000000002E-2</v>
      </c>
      <c r="R547">
        <v>8.7246929999999995E-4</v>
      </c>
      <c r="S547">
        <v>3.0038149999999999</v>
      </c>
      <c r="T547">
        <v>-7.38312E-2</v>
      </c>
      <c r="U547">
        <v>-0.10134890000000001</v>
      </c>
      <c r="V547">
        <v>-4.4603020000000002E-3</v>
      </c>
      <c r="W547">
        <v>-6.3091019999999998E-2</v>
      </c>
      <c r="X547">
        <v>0.99799780000000005</v>
      </c>
      <c r="Y547">
        <v>3.0129650000000001E-2</v>
      </c>
      <c r="Z547">
        <v>-5.8334309999999998E-4</v>
      </c>
      <c r="AA547">
        <v>0.99954580000000004</v>
      </c>
      <c r="AB547">
        <v>28</v>
      </c>
      <c r="AC547">
        <v>43.485799999999998</v>
      </c>
      <c r="AD547">
        <v>-1.073557965999</v>
      </c>
      <c r="AE547">
        <v>-1.4723999999999899</v>
      </c>
      <c r="AF547">
        <v>1.3159930945585101</v>
      </c>
      <c r="AG547">
        <v>-1.073557965999</v>
      </c>
      <c r="AH547">
        <v>43.4643299195032</v>
      </c>
      <c r="AI547">
        <v>91.414255755911398</v>
      </c>
      <c r="AJ547">
        <v>88.265754418363201</v>
      </c>
      <c r="AK547">
        <v>43.497498087622297</v>
      </c>
      <c r="AL547">
        <v>93.617251650567596</v>
      </c>
      <c r="AM547">
        <v>90.256067476764102</v>
      </c>
      <c r="AN547">
        <v>0.99999998995170503</v>
      </c>
    </row>
    <row r="548" spans="1:40" x14ac:dyDescent="0.25">
      <c r="A548" t="str">
        <f>"20190303153752689"</f>
        <v>20190303153752689</v>
      </c>
      <c r="B548" t="str">
        <f>"1551598672679532"</f>
        <v>1551598672679532</v>
      </c>
      <c r="C548" t="s">
        <v>40</v>
      </c>
      <c r="D548">
        <v>4.3147960000000003</v>
      </c>
      <c r="E548">
        <v>0.51303929999999998</v>
      </c>
      <c r="F548" t="s">
        <v>42</v>
      </c>
      <c r="G548">
        <v>-355.29790000000003</v>
      </c>
      <c r="H548" s="1">
        <v>-2.5805239999999999E-6</v>
      </c>
      <c r="I548">
        <v>366.34089999999998</v>
      </c>
      <c r="J548">
        <v>-400.00229999999999</v>
      </c>
      <c r="K548">
        <v>1.0741689999999999</v>
      </c>
      <c r="L548">
        <v>367.85559999999998</v>
      </c>
      <c r="M548">
        <v>0.99988679999999996</v>
      </c>
      <c r="N548">
        <v>-1.460468E-2</v>
      </c>
      <c r="O548">
        <v>-3.6779820000000002E-3</v>
      </c>
      <c r="P548">
        <v>0.99697239999999998</v>
      </c>
      <c r="Q548">
        <v>-7.7747999999999998E-2</v>
      </c>
      <c r="R548">
        <v>1.3752529999999999E-3</v>
      </c>
      <c r="S548">
        <v>3.0038450000000001</v>
      </c>
      <c r="T548">
        <v>-7.1821090000000004E-2</v>
      </c>
      <c r="U548">
        <v>-0.10137939999999999</v>
      </c>
      <c r="V548">
        <v>-5.0646440000000001E-3</v>
      </c>
      <c r="W548">
        <v>-6.317768E-2</v>
      </c>
      <c r="X548">
        <v>0.99798940000000003</v>
      </c>
      <c r="Y548">
        <v>3.0040500000000001E-2</v>
      </c>
      <c r="Z548">
        <v>-5.4426789999999995E-4</v>
      </c>
      <c r="AA548">
        <v>0.99954860000000001</v>
      </c>
      <c r="AB548">
        <v>28</v>
      </c>
      <c r="AC548">
        <v>44.7043999999999</v>
      </c>
      <c r="AD548">
        <v>-1.074171580524</v>
      </c>
      <c r="AE548">
        <v>-1.5146999999999999</v>
      </c>
      <c r="AF548">
        <v>1.3494720340936801</v>
      </c>
      <c r="AG548">
        <v>-1.074171580524</v>
      </c>
      <c r="AH548">
        <v>44.683900078621697</v>
      </c>
      <c r="AI548">
        <v>91.376460317194699</v>
      </c>
      <c r="AJ548">
        <v>88.270169833312195</v>
      </c>
      <c r="AK548">
        <v>44.717176180875398</v>
      </c>
      <c r="AL548">
        <v>93.622226950620401</v>
      </c>
      <c r="AM548">
        <v>90.290764846645999</v>
      </c>
      <c r="AN548">
        <v>0.99999995619069304</v>
      </c>
    </row>
    <row r="549" spans="1:40" x14ac:dyDescent="0.25">
      <c r="A549" t="str">
        <f>"20190303153752701"</f>
        <v>20190303153752701</v>
      </c>
      <c r="B549" t="str">
        <f>"1551598672689293"</f>
        <v>1551598672689293</v>
      </c>
      <c r="C549" t="s">
        <v>40</v>
      </c>
      <c r="D549">
        <v>4.31182</v>
      </c>
      <c r="E549">
        <v>0.51302700000000001</v>
      </c>
      <c r="F549" t="s">
        <v>42</v>
      </c>
      <c r="G549">
        <v>-352.43799999999999</v>
      </c>
      <c r="H549" s="1">
        <v>-3.8176620000000001E-6</v>
      </c>
      <c r="I549">
        <v>366.28309999999999</v>
      </c>
      <c r="J549">
        <v>-399.84460000000001</v>
      </c>
      <c r="K549">
        <v>1.0748310000000001</v>
      </c>
      <c r="L549">
        <v>367.85489999999999</v>
      </c>
      <c r="M549">
        <v>0.99990420000000002</v>
      </c>
      <c r="N549">
        <v>-1.332292E-2</v>
      </c>
      <c r="O549">
        <v>-3.7611020000000001E-3</v>
      </c>
      <c r="P549">
        <v>0.99706490000000003</v>
      </c>
      <c r="Q549">
        <v>-7.6542440000000003E-2</v>
      </c>
      <c r="R549">
        <v>1.7555050000000001E-3</v>
      </c>
      <c r="S549">
        <v>3.0039980000000002</v>
      </c>
      <c r="T549">
        <v>-6.7840929999999994E-2</v>
      </c>
      <c r="U549">
        <v>-9.9304199999999995E-2</v>
      </c>
      <c r="V549">
        <v>-5.5276479999999996E-3</v>
      </c>
      <c r="W549">
        <v>-6.3250109999999998E-2</v>
      </c>
      <c r="X549">
        <v>0.99798240000000005</v>
      </c>
      <c r="Y549">
        <v>2.9267990000000001E-2</v>
      </c>
      <c r="Z549">
        <v>-4.9061630000000003E-4</v>
      </c>
      <c r="AA549">
        <v>0.99957149999999995</v>
      </c>
      <c r="AB549">
        <v>28</v>
      </c>
      <c r="AC549">
        <v>47.406599999999898</v>
      </c>
      <c r="AD549">
        <v>-1.074834817662</v>
      </c>
      <c r="AE549">
        <v>-1.5717999999999901</v>
      </c>
      <c r="AF549">
        <v>1.3927568399927801</v>
      </c>
      <c r="AG549">
        <v>-1.074834817662</v>
      </c>
      <c r="AH549">
        <v>47.387843861495803</v>
      </c>
      <c r="AI549">
        <v>91.298779792955699</v>
      </c>
      <c r="AJ549">
        <v>88.316527674247993</v>
      </c>
      <c r="AK549">
        <v>47.420489109056099</v>
      </c>
      <c r="AL549">
        <v>93.626385037862406</v>
      </c>
      <c r="AM549">
        <v>90.317347943559497</v>
      </c>
      <c r="AN549">
        <v>1.0000000010085901</v>
      </c>
    </row>
    <row r="550" spans="1:40" x14ac:dyDescent="0.25">
      <c r="A550" t="str">
        <f>"20190303153752715"</f>
        <v>20190303153752715</v>
      </c>
      <c r="B550" t="str">
        <f>"1551598672709788"</f>
        <v>1551598672709788</v>
      </c>
      <c r="C550" t="s">
        <v>40</v>
      </c>
      <c r="D550">
        <v>4.2860709999999997</v>
      </c>
      <c r="E550">
        <v>0.51298319999999997</v>
      </c>
      <c r="F550" t="s">
        <v>42</v>
      </c>
      <c r="G550">
        <v>-349.8458</v>
      </c>
      <c r="H550" s="1">
        <v>-9.4646479999999996E-7</v>
      </c>
      <c r="I550">
        <v>366.22239999999999</v>
      </c>
      <c r="J550">
        <v>-399.67739999999998</v>
      </c>
      <c r="K550">
        <v>1.075593</v>
      </c>
      <c r="L550">
        <v>367.85410000000002</v>
      </c>
      <c r="M550">
        <v>0.99992060000000005</v>
      </c>
      <c r="N550">
        <v>-1.2011839999999999E-2</v>
      </c>
      <c r="O550">
        <v>-3.8516309999999999E-3</v>
      </c>
      <c r="P550">
        <v>0.99717849999999997</v>
      </c>
      <c r="Q550">
        <v>-7.5040309999999999E-2</v>
      </c>
      <c r="R550">
        <v>2.0898399999999999E-3</v>
      </c>
      <c r="S550">
        <v>3.0040589999999998</v>
      </c>
      <c r="T550">
        <v>-6.4578769999999994E-2</v>
      </c>
      <c r="U550">
        <v>-9.8083500000000004E-2</v>
      </c>
      <c r="V550">
        <v>-5.9526780000000003E-3</v>
      </c>
      <c r="W550">
        <v>-6.3055109999999998E-2</v>
      </c>
      <c r="X550">
        <v>0.99799230000000005</v>
      </c>
      <c r="Y550">
        <v>2.877265E-2</v>
      </c>
      <c r="Z550">
        <v>-4.4552380000000003E-4</v>
      </c>
      <c r="AA550">
        <v>0.99958590000000003</v>
      </c>
      <c r="AB550">
        <v>29</v>
      </c>
      <c r="AC550">
        <v>49.831599999999902</v>
      </c>
      <c r="AD550">
        <v>-1.0755939464648001</v>
      </c>
      <c r="AE550">
        <v>-1.6317000000000199</v>
      </c>
      <c r="AF550">
        <v>1.43907140647151</v>
      </c>
      <c r="AG550">
        <v>-1.0755939464648001</v>
      </c>
      <c r="AH550">
        <v>49.814332139550203</v>
      </c>
      <c r="AI550">
        <v>91.236425921704296</v>
      </c>
      <c r="AJ550">
        <v>88.345259511078893</v>
      </c>
      <c r="AK550">
        <v>49.846720206649699</v>
      </c>
      <c r="AL550">
        <v>93.615189995951596</v>
      </c>
      <c r="AM550">
        <v>90.341745403854006</v>
      </c>
      <c r="AN550">
        <v>1.00000000606588</v>
      </c>
    </row>
    <row r="551" spans="1:40" x14ac:dyDescent="0.25">
      <c r="A551" t="str">
        <f>"20190303153752726"</f>
        <v>20190303153752726</v>
      </c>
      <c r="B551" t="str">
        <f>"1551598672719548"</f>
        <v>1551598672719548</v>
      </c>
      <c r="C551" t="s">
        <v>40</v>
      </c>
      <c r="D551">
        <v>4.2787730000000002</v>
      </c>
      <c r="E551">
        <v>0.51298319999999997</v>
      </c>
      <c r="F551" t="s">
        <v>42</v>
      </c>
      <c r="G551">
        <v>-346.35449999999997</v>
      </c>
      <c r="H551" s="1">
        <v>-2.3205500000000002E-6</v>
      </c>
      <c r="I551">
        <v>366.13920000000002</v>
      </c>
      <c r="J551">
        <v>-399.52440000000001</v>
      </c>
      <c r="K551">
        <v>1.07637</v>
      </c>
      <c r="L551">
        <v>367.8535</v>
      </c>
      <c r="M551">
        <v>0.99993310000000002</v>
      </c>
      <c r="N551">
        <v>-1.087395E-2</v>
      </c>
      <c r="O551">
        <v>-3.9371620000000001E-3</v>
      </c>
      <c r="P551">
        <v>0.99727299999999997</v>
      </c>
      <c r="Q551">
        <v>-7.3755429999999997E-2</v>
      </c>
      <c r="R551">
        <v>2.5994199999999999E-3</v>
      </c>
      <c r="S551">
        <v>3.0041500000000001</v>
      </c>
      <c r="T551">
        <v>-6.0597779999999997E-2</v>
      </c>
      <c r="U551">
        <v>-9.661865E-2</v>
      </c>
      <c r="V551">
        <v>-6.5471110000000004E-3</v>
      </c>
      <c r="W551">
        <v>-6.2904799999999997E-2</v>
      </c>
      <c r="X551">
        <v>0.9979981</v>
      </c>
      <c r="Y551">
        <v>2.8200840000000001E-2</v>
      </c>
      <c r="Z551">
        <v>-4.0113120000000001E-4</v>
      </c>
      <c r="AA551">
        <v>0.9996022</v>
      </c>
      <c r="AB551">
        <v>29</v>
      </c>
      <c r="AC551">
        <v>53.169899999999998</v>
      </c>
      <c r="AD551">
        <v>-1.07637232055</v>
      </c>
      <c r="AE551">
        <v>-1.71429999999998</v>
      </c>
      <c r="AF551">
        <v>1.50431995830276</v>
      </c>
      <c r="AG551">
        <v>-1.07637232055</v>
      </c>
      <c r="AH551">
        <v>53.154476569596902</v>
      </c>
      <c r="AI551">
        <v>91.159610532042706</v>
      </c>
      <c r="AJ551">
        <v>88.3789101144733</v>
      </c>
      <c r="AK551">
        <v>53.186651852670899</v>
      </c>
      <c r="AL551">
        <v>93.606560602888806</v>
      </c>
      <c r="AM551">
        <v>90.375868899043795</v>
      </c>
      <c r="AN551">
        <v>1.0000000430645399</v>
      </c>
    </row>
    <row r="552" spans="1:40" x14ac:dyDescent="0.25">
      <c r="A552" t="str">
        <f>"20190303153752744"</f>
        <v>20190303153752744</v>
      </c>
      <c r="B552" t="str">
        <f>"1551598672739069"</f>
        <v>1551598672739069</v>
      </c>
      <c r="C552" t="s">
        <v>40</v>
      </c>
      <c r="D552">
        <v>4.2591359999999998</v>
      </c>
      <c r="E552">
        <v>0.51236550000000003</v>
      </c>
      <c r="F552" t="s">
        <v>42</v>
      </c>
      <c r="G552">
        <v>-342.42720000000003</v>
      </c>
      <c r="H552" s="1">
        <v>-4.1929720000000004E-6</v>
      </c>
      <c r="I552">
        <v>366.04910000000001</v>
      </c>
      <c r="J552">
        <v>-399.2955</v>
      </c>
      <c r="K552">
        <v>1.077631</v>
      </c>
      <c r="L552">
        <v>367.85239999999999</v>
      </c>
      <c r="M552">
        <v>0.99994890000000003</v>
      </c>
      <c r="N552">
        <v>-9.2762669999999995E-3</v>
      </c>
      <c r="O552">
        <v>-4.0730389999999997E-3</v>
      </c>
      <c r="P552">
        <v>0.99739739999999999</v>
      </c>
      <c r="Q552">
        <v>-7.2020130000000002E-2</v>
      </c>
      <c r="R552">
        <v>3.4697040000000001E-3</v>
      </c>
      <c r="S552">
        <v>3.0042420000000001</v>
      </c>
      <c r="T552">
        <v>-5.6634780000000003E-2</v>
      </c>
      <c r="U552">
        <v>-9.4940189999999994E-2</v>
      </c>
      <c r="V552">
        <v>-7.5522409999999899E-3</v>
      </c>
      <c r="W552">
        <v>-6.2762760000000001E-2</v>
      </c>
      <c r="X552">
        <v>0.99799990000000005</v>
      </c>
      <c r="Y552">
        <v>2.7507739999999999E-2</v>
      </c>
      <c r="Z552">
        <v>-3.4784779999999998E-4</v>
      </c>
      <c r="AA552">
        <v>0.99962150000000005</v>
      </c>
      <c r="AB552">
        <v>29</v>
      </c>
      <c r="AC552">
        <v>56.868299999999898</v>
      </c>
      <c r="AD552">
        <v>-1.0776351929719901</v>
      </c>
      <c r="AE552">
        <v>-1.8032999999999699</v>
      </c>
      <c r="AF552">
        <v>1.57108472792587</v>
      </c>
      <c r="AG552">
        <v>-1.0776351929719901</v>
      </c>
      <c r="AH552">
        <v>56.854778009552597</v>
      </c>
      <c r="AI552">
        <v>91.085449741524599</v>
      </c>
      <c r="AJ552">
        <v>88.417131758528399</v>
      </c>
      <c r="AK552">
        <v>56.886689017264501</v>
      </c>
      <c r="AL552">
        <v>93.598406351404094</v>
      </c>
      <c r="AM552">
        <v>90.433570459957394</v>
      </c>
      <c r="AN552">
        <v>1.0000000003934699</v>
      </c>
    </row>
    <row r="553" spans="1:40" x14ac:dyDescent="0.25">
      <c r="A553" t="str">
        <f>"20190303153752757"</f>
        <v>20190303153752757</v>
      </c>
      <c r="B553" t="str">
        <f>"1551598672749804"</f>
        <v>1551598672749804</v>
      </c>
      <c r="C553" t="s">
        <v>40</v>
      </c>
      <c r="D553">
        <v>4.2618309999999999</v>
      </c>
      <c r="E553">
        <v>0.51205769999999995</v>
      </c>
      <c r="F553" t="s">
        <v>42</v>
      </c>
      <c r="G553">
        <v>-326.18189999999998</v>
      </c>
      <c r="H553" s="1">
        <v>-2.3201879999999999E-6</v>
      </c>
      <c r="I553">
        <v>365.72719999999998</v>
      </c>
      <c r="J553">
        <v>-399.1302</v>
      </c>
      <c r="K553">
        <v>1.078565</v>
      </c>
      <c r="L553">
        <v>367.85160000000002</v>
      </c>
      <c r="M553">
        <v>0.99995800000000001</v>
      </c>
      <c r="N553">
        <v>-8.1783940000000003E-3</v>
      </c>
      <c r="O553">
        <v>-4.168326E-3</v>
      </c>
      <c r="P553">
        <v>0.99746120000000005</v>
      </c>
      <c r="Q553">
        <v>-7.1094859999999996E-2</v>
      </c>
      <c r="R553">
        <v>4.1274700000000003E-3</v>
      </c>
      <c r="S553">
        <v>3.0049739999999998</v>
      </c>
      <c r="T553">
        <v>-4.4290780000000002E-2</v>
      </c>
      <c r="U553">
        <v>-8.7341310000000005E-2</v>
      </c>
      <c r="V553">
        <v>-8.3049950000000008E-3</v>
      </c>
      <c r="W553">
        <v>-6.2932500000000002E-2</v>
      </c>
      <c r="X553">
        <v>0.99798319999999996</v>
      </c>
      <c r="Y553">
        <v>2.488224E-2</v>
      </c>
      <c r="Z553">
        <v>-2.577662E-4</v>
      </c>
      <c r="AA553">
        <v>0.99969039999999998</v>
      </c>
      <c r="AB553">
        <v>29</v>
      </c>
      <c r="AC553">
        <v>72.948300000000003</v>
      </c>
      <c r="AD553">
        <v>-1.0785673201879999</v>
      </c>
      <c r="AE553">
        <v>-2.1244000000000298</v>
      </c>
      <c r="AF553">
        <v>1.8199016116247999</v>
      </c>
      <c r="AG553">
        <v>-1.0785673201879999</v>
      </c>
      <c r="AH553">
        <v>72.940589889984196</v>
      </c>
      <c r="AI553">
        <v>90.846903348933196</v>
      </c>
      <c r="AJ553">
        <v>88.570740211499597</v>
      </c>
      <c r="AK553">
        <v>72.971261485868794</v>
      </c>
      <c r="AL553">
        <v>93.608151110740593</v>
      </c>
      <c r="AM553">
        <v>90.476791772163097</v>
      </c>
      <c r="AN553">
        <v>0.99999996999021901</v>
      </c>
    </row>
    <row r="554" spans="1:40" x14ac:dyDescent="0.25">
      <c r="A554" t="str">
        <f>"20190303153752770"</f>
        <v>20190303153752770</v>
      </c>
      <c r="B554" t="str">
        <f>"1551598672759565"</f>
        <v>1551598672759565</v>
      </c>
      <c r="C554" t="s">
        <v>40</v>
      </c>
      <c r="D554">
        <v>4.2969330000000001</v>
      </c>
      <c r="E554">
        <v>0.51180539999999997</v>
      </c>
      <c r="F554" t="s">
        <v>43</v>
      </c>
      <c r="G554">
        <v>-312.55739999999997</v>
      </c>
      <c r="H554">
        <v>-0.05</v>
      </c>
      <c r="I554">
        <v>365.4683</v>
      </c>
      <c r="J554">
        <v>-398.9794</v>
      </c>
      <c r="K554">
        <v>1.07942</v>
      </c>
      <c r="L554">
        <v>367.85090000000002</v>
      </c>
      <c r="M554">
        <v>0.99996510000000005</v>
      </c>
      <c r="N554">
        <v>-7.2008200000000001E-3</v>
      </c>
      <c r="O554">
        <v>-4.2528779999999999E-3</v>
      </c>
      <c r="P554">
        <v>0.99754730000000003</v>
      </c>
      <c r="Q554">
        <v>-6.9854100000000002E-2</v>
      </c>
      <c r="R554">
        <v>4.4688879999999999E-3</v>
      </c>
      <c r="S554">
        <v>3.0052189999999999</v>
      </c>
      <c r="T554">
        <v>-3.917611E-2</v>
      </c>
      <c r="U554">
        <v>-8.2733150000000005E-2</v>
      </c>
      <c r="V554">
        <v>-8.7305750000000008E-3</v>
      </c>
      <c r="W554">
        <v>-6.2666659999999999E-2</v>
      </c>
      <c r="X554">
        <v>0.99799629999999995</v>
      </c>
      <c r="Y554">
        <v>2.326479E-2</v>
      </c>
      <c r="Z554">
        <v>-2.105822E-4</v>
      </c>
      <c r="AA554">
        <v>0.99972930000000004</v>
      </c>
      <c r="AB554">
        <v>29</v>
      </c>
      <c r="AC554">
        <v>86.421999999999997</v>
      </c>
      <c r="AD554">
        <v>-1.1294200000000001</v>
      </c>
      <c r="AE554">
        <v>-2.38260000000002</v>
      </c>
      <c r="AF554">
        <v>2.0146828994892498</v>
      </c>
      <c r="AG554">
        <v>-1.1294200000000001</v>
      </c>
      <c r="AH554">
        <v>86.416603690670399</v>
      </c>
      <c r="AI554">
        <v>90.748579979087793</v>
      </c>
      <c r="AJ554">
        <v>88.664470534958994</v>
      </c>
      <c r="AK554">
        <v>86.447463410746096</v>
      </c>
      <c r="AL554">
        <v>93.592889461682503</v>
      </c>
      <c r="AM554">
        <v>90.501216627937396</v>
      </c>
      <c r="AN554">
        <v>0.999999974014537</v>
      </c>
    </row>
    <row r="555" spans="1:40" x14ac:dyDescent="0.25">
      <c r="A555" t="str">
        <f>"20190303153752781"</f>
        <v>20190303153752781</v>
      </c>
      <c r="B555" t="str">
        <f>"1551598672769325"</f>
        <v>1551598672769325</v>
      </c>
      <c r="C555" t="s">
        <v>40</v>
      </c>
      <c r="D555">
        <v>4.2780719999999999</v>
      </c>
      <c r="E555">
        <v>0.51154549999999999</v>
      </c>
      <c r="F555" t="s">
        <v>43</v>
      </c>
      <c r="G555">
        <v>-296.5437</v>
      </c>
      <c r="H555">
        <v>-0.05</v>
      </c>
      <c r="I555">
        <v>365.14139999999998</v>
      </c>
      <c r="J555">
        <v>-398.83030000000002</v>
      </c>
      <c r="K555">
        <v>1.080254</v>
      </c>
      <c r="L555">
        <v>367.85019999999997</v>
      </c>
      <c r="M555">
        <v>0.99997080000000005</v>
      </c>
      <c r="N555">
        <v>-6.3051210000000003E-3</v>
      </c>
      <c r="O555">
        <v>-4.3366209999999997E-3</v>
      </c>
      <c r="P555">
        <v>0.99759909999999996</v>
      </c>
      <c r="Q555">
        <v>-6.9104040000000005E-2</v>
      </c>
      <c r="R555">
        <v>4.5507530000000003E-3</v>
      </c>
      <c r="S555">
        <v>3.0054630000000002</v>
      </c>
      <c r="T555">
        <v>-3.3137199999999999E-2</v>
      </c>
      <c r="U555">
        <v>-7.9498289999999999E-2</v>
      </c>
      <c r="V555">
        <v>-8.896101E-3</v>
      </c>
      <c r="W555">
        <v>-6.2810190000000002E-2</v>
      </c>
      <c r="X555">
        <v>0.99798580000000003</v>
      </c>
      <c r="Y555">
        <v>2.2104519999999999E-2</v>
      </c>
      <c r="Z555">
        <v>-1.7107049999999901E-4</v>
      </c>
      <c r="AA555">
        <v>0.99975559999999997</v>
      </c>
      <c r="AB555">
        <v>29</v>
      </c>
      <c r="AC555">
        <v>102.28660000000001</v>
      </c>
      <c r="AD555">
        <v>-1.1302540000000001</v>
      </c>
      <c r="AE555">
        <v>-2.7087999999999899</v>
      </c>
      <c r="AF555">
        <v>2.2649111773590098</v>
      </c>
      <c r="AG555">
        <v>-1.1302540000000001</v>
      </c>
      <c r="AH555">
        <v>102.28490520933801</v>
      </c>
      <c r="AI555">
        <v>90.632940704176406</v>
      </c>
      <c r="AJ555">
        <v>88.731497596450595</v>
      </c>
      <c r="AK555">
        <v>102.316221247801</v>
      </c>
      <c r="AL555">
        <v>93.601129412588506</v>
      </c>
      <c r="AM555">
        <v>90.510724242274904</v>
      </c>
      <c r="AN555">
        <v>0.99999995879123804</v>
      </c>
    </row>
    <row r="556" spans="1:40" x14ac:dyDescent="0.25">
      <c r="A556" t="str">
        <f>"20190303153752793"</f>
        <v>20190303153752793</v>
      </c>
      <c r="B556" t="str">
        <f>"1551598672789821"</f>
        <v>1551598672789821</v>
      </c>
      <c r="C556" t="s">
        <v>40</v>
      </c>
      <c r="D556">
        <v>4.3193999999999999</v>
      </c>
      <c r="E556">
        <v>0.51105349999999905</v>
      </c>
      <c r="F556" t="s">
        <v>43</v>
      </c>
      <c r="G556">
        <v>-281.1103</v>
      </c>
      <c r="H556">
        <v>-0.05</v>
      </c>
      <c r="I556">
        <v>364.82249999999999</v>
      </c>
      <c r="J556">
        <v>-398.67720000000003</v>
      </c>
      <c r="K556">
        <v>1.081153</v>
      </c>
      <c r="L556">
        <v>367.84949999999998</v>
      </c>
      <c r="M556">
        <v>0.99997469999999999</v>
      </c>
      <c r="N556">
        <v>-5.5665539999999996E-3</v>
      </c>
      <c r="O556">
        <v>-4.4232400000000002E-3</v>
      </c>
      <c r="P556">
        <v>0.99765309999999996</v>
      </c>
      <c r="Q556">
        <v>-6.829694E-2</v>
      </c>
      <c r="R556">
        <v>4.8966829999999998E-3</v>
      </c>
      <c r="S556">
        <v>3.005585</v>
      </c>
      <c r="T556">
        <v>-2.8857230000000001E-2</v>
      </c>
      <c r="U556">
        <v>-7.7301030000000007E-2</v>
      </c>
      <c r="V556">
        <v>-9.3282390000000003E-3</v>
      </c>
      <c r="W556">
        <v>-6.2739790000000004E-2</v>
      </c>
      <c r="X556">
        <v>0.99798629999999999</v>
      </c>
      <c r="Y556">
        <v>2.128702E-2</v>
      </c>
      <c r="Z556">
        <v>-1.4359010000000001E-4</v>
      </c>
      <c r="AA556">
        <v>0.99977340000000003</v>
      </c>
      <c r="AB556">
        <v>29</v>
      </c>
      <c r="AC556">
        <v>117.5669</v>
      </c>
      <c r="AD556">
        <v>-1.1311530000000001</v>
      </c>
      <c r="AE556">
        <v>-3.0269999999999802</v>
      </c>
      <c r="AF556">
        <v>2.5067038098735299</v>
      </c>
      <c r="AG556">
        <v>-1.1311530000000001</v>
      </c>
      <c r="AH556">
        <v>117.56826307067401</v>
      </c>
      <c r="AI556">
        <v>90.551114447336502</v>
      </c>
      <c r="AJ556">
        <v>88.778566703260495</v>
      </c>
      <c r="AK556">
        <v>117.600423266904</v>
      </c>
      <c r="AL556">
        <v>93.597087755841599</v>
      </c>
      <c r="AM556">
        <v>90.535531560633999</v>
      </c>
      <c r="AN556">
        <v>0.999999976139887</v>
      </c>
    </row>
    <row r="557" spans="1:40" x14ac:dyDescent="0.25">
      <c r="A557" t="str">
        <f>"20190303153752805"</f>
        <v>20190303153752805</v>
      </c>
      <c r="B557" t="str">
        <f>"1551598672799796"</f>
        <v>1551598672799796</v>
      </c>
      <c r="C557" t="s">
        <v>40</v>
      </c>
      <c r="D557">
        <v>4.3105630000000001</v>
      </c>
      <c r="E557">
        <v>0.51082289999999997</v>
      </c>
      <c r="F557" t="s">
        <v>42</v>
      </c>
      <c r="G557">
        <v>-257.94900000000001</v>
      </c>
      <c r="H557" s="1">
        <v>-2.0577849999999998E-6</v>
      </c>
      <c r="I557">
        <v>364.45319999999998</v>
      </c>
      <c r="J557">
        <v>-398.52670000000001</v>
      </c>
      <c r="K557">
        <v>1.0821080000000001</v>
      </c>
      <c r="L557">
        <v>367.84870000000001</v>
      </c>
      <c r="M557">
        <v>0.99997650000000005</v>
      </c>
      <c r="N557">
        <v>-5.1756119999999996E-3</v>
      </c>
      <c r="O557">
        <v>-4.5103290000000004E-3</v>
      </c>
      <c r="P557">
        <v>0.99765959999999998</v>
      </c>
      <c r="Q557">
        <v>-6.8188390000000002E-2</v>
      </c>
      <c r="R557">
        <v>5.0862290000000003E-3</v>
      </c>
      <c r="S557">
        <v>3.0058590000000001</v>
      </c>
      <c r="T557">
        <v>-2.3092749999999999E-2</v>
      </c>
      <c r="U557">
        <v>-7.2540279999999999E-2</v>
      </c>
      <c r="V557">
        <v>-9.6045509999999994E-3</v>
      </c>
      <c r="W557">
        <v>-6.3021380000000002E-2</v>
      </c>
      <c r="X557">
        <v>0.99796589999999996</v>
      </c>
      <c r="Y557">
        <v>1.961566E-2</v>
      </c>
      <c r="Z557">
        <v>-1.148037E-4</v>
      </c>
      <c r="AA557">
        <v>0.99980760000000002</v>
      </c>
      <c r="AB557">
        <v>28</v>
      </c>
      <c r="AC557">
        <v>140.57769999999999</v>
      </c>
      <c r="AD557">
        <v>-1.082110057785</v>
      </c>
      <c r="AE557">
        <v>-3.3955000000000202</v>
      </c>
      <c r="AF557">
        <v>2.7612418171322601</v>
      </c>
      <c r="AG557">
        <v>-1.082110057785</v>
      </c>
      <c r="AH557">
        <v>140.58325997366799</v>
      </c>
      <c r="AI557">
        <v>90.440928455721206</v>
      </c>
      <c r="AJ557">
        <v>88.874779525296901</v>
      </c>
      <c r="AK557">
        <v>140.61453837841199</v>
      </c>
      <c r="AL557">
        <v>93.613253798258398</v>
      </c>
      <c r="AM557">
        <v>90.551404859682407</v>
      </c>
      <c r="AN557">
        <v>0.99999993964991096</v>
      </c>
    </row>
    <row r="558" spans="1:40" x14ac:dyDescent="0.25">
      <c r="A558" t="str">
        <f>"20190303153752825"</f>
        <v>20190303153752825</v>
      </c>
      <c r="B558" t="str">
        <f>"1551598672819293"</f>
        <v>1551598672819293</v>
      </c>
      <c r="C558" t="s">
        <v>40</v>
      </c>
      <c r="D558">
        <v>4.3029669999999998</v>
      </c>
      <c r="E558">
        <v>0.51039829999999997</v>
      </c>
      <c r="F558" t="s">
        <v>42</v>
      </c>
      <c r="G558">
        <v>-243.04239999999999</v>
      </c>
      <c r="H558" s="1">
        <v>-4.2249599999999999E-6</v>
      </c>
      <c r="I558">
        <v>364.22919999999999</v>
      </c>
      <c r="J558">
        <v>-398.28559999999999</v>
      </c>
      <c r="K558">
        <v>1.083966</v>
      </c>
      <c r="L558">
        <v>367.84750000000003</v>
      </c>
      <c r="M558">
        <v>0.99997570000000002</v>
      </c>
      <c r="N558">
        <v>-5.1855520000000004E-3</v>
      </c>
      <c r="O558">
        <v>-4.6563639999999996E-3</v>
      </c>
      <c r="P558">
        <v>0.99764370000000002</v>
      </c>
      <c r="Q558">
        <v>-6.8412710000000002E-2</v>
      </c>
      <c r="R558">
        <v>5.1900899999999996E-3</v>
      </c>
      <c r="S558">
        <v>3.0059809999999998</v>
      </c>
      <c r="T558">
        <v>-2.0920520000000001E-2</v>
      </c>
      <c r="U558">
        <v>-6.997681E-2</v>
      </c>
      <c r="V558">
        <v>-9.8532940000000003E-3</v>
      </c>
      <c r="W558">
        <v>-6.3235860000000005E-2</v>
      </c>
      <c r="X558">
        <v>0.99795</v>
      </c>
      <c r="Y558">
        <v>1.8616690000000002E-2</v>
      </c>
      <c r="Z558">
        <v>-1.0479159999999999E-4</v>
      </c>
      <c r="AA558">
        <v>0.99982669999999996</v>
      </c>
      <c r="AB558">
        <v>28</v>
      </c>
      <c r="AC558">
        <v>155.2432</v>
      </c>
      <c r="AD558">
        <v>-1.0839702249600001</v>
      </c>
      <c r="AE558">
        <v>-3.6183000000000298</v>
      </c>
      <c r="AF558">
        <v>2.8952411186247402</v>
      </c>
      <c r="AG558">
        <v>-1.0839702249600001</v>
      </c>
      <c r="AH558">
        <v>155.25080034849901</v>
      </c>
      <c r="AI558">
        <v>90.399966462773804</v>
      </c>
      <c r="AJ558">
        <v>88.931626310279796</v>
      </c>
      <c r="AK558">
        <v>155.281577855949</v>
      </c>
      <c r="AL558">
        <v>93.625566822977007</v>
      </c>
      <c r="AM558">
        <v>90.565693487784301</v>
      </c>
      <c r="AN558">
        <v>1.0000000319462901</v>
      </c>
    </row>
    <row r="559" spans="1:40" x14ac:dyDescent="0.25">
      <c r="A559" t="str">
        <f>"20190303153752839"</f>
        <v>20190303153752839</v>
      </c>
      <c r="B559" t="str">
        <f>"1551598672829054"</f>
        <v>1551598672829054</v>
      </c>
      <c r="C559" t="s">
        <v>40</v>
      </c>
      <c r="D559">
        <v>4.3039149999999999</v>
      </c>
      <c r="E559">
        <v>0.51021620000000001</v>
      </c>
      <c r="F559" t="s">
        <v>42</v>
      </c>
      <c r="G559">
        <v>-222.66239999999999</v>
      </c>
      <c r="H559" s="1">
        <v>-4.1260470000000002E-6</v>
      </c>
      <c r="I559">
        <v>364.0018</v>
      </c>
      <c r="J559">
        <v>-398.10550000000001</v>
      </c>
      <c r="K559">
        <v>1.085515</v>
      </c>
      <c r="L559">
        <v>367.84660000000002</v>
      </c>
      <c r="M559">
        <v>0.99997480000000005</v>
      </c>
      <c r="N559">
        <v>-5.2718849999999996E-3</v>
      </c>
      <c r="O559">
        <v>-4.7657990000000003E-3</v>
      </c>
      <c r="P559">
        <v>0.99763480000000004</v>
      </c>
      <c r="Q559">
        <v>-6.8534510000000007E-2</v>
      </c>
      <c r="R559">
        <v>5.267135E-3</v>
      </c>
      <c r="S559">
        <v>3.0061650000000002</v>
      </c>
      <c r="T559">
        <v>-1.855445E-2</v>
      </c>
      <c r="U559">
        <v>-6.5826419999999997E-2</v>
      </c>
      <c r="V559">
        <v>-1.0039330000000001E-2</v>
      </c>
      <c r="W559">
        <v>-6.3271519999999998E-2</v>
      </c>
      <c r="X559">
        <v>0.99794579999999999</v>
      </c>
      <c r="Y559">
        <v>1.712632E-2</v>
      </c>
      <c r="Z559" s="1">
        <v>-9.3708049999999995E-5</v>
      </c>
      <c r="AA559">
        <v>0.99985329999999994</v>
      </c>
      <c r="AB559">
        <v>28</v>
      </c>
      <c r="AC559">
        <v>175.44309999999999</v>
      </c>
      <c r="AD559">
        <v>-1.0855191260470001</v>
      </c>
      <c r="AE559">
        <v>-3.8448000000000202</v>
      </c>
      <c r="AF559">
        <v>3.00850309159723</v>
      </c>
      <c r="AG559">
        <v>-1.0855191260470001</v>
      </c>
      <c r="AH559">
        <v>175.452717749003</v>
      </c>
      <c r="AI559">
        <v>90.354430131569799</v>
      </c>
      <c r="AJ559">
        <v>89.017640530231304</v>
      </c>
      <c r="AK559">
        <v>175.48186689266899</v>
      </c>
      <c r="AL559">
        <v>93.627614400251105</v>
      </c>
      <c r="AM559">
        <v>90.576375826074795</v>
      </c>
      <c r="AN559">
        <v>0.99999994656379798</v>
      </c>
    </row>
    <row r="560" spans="1:40" x14ac:dyDescent="0.25">
      <c r="A560" t="str">
        <f>"20190303153752858"</f>
        <v>20190303153752858</v>
      </c>
      <c r="B560" t="str">
        <f>"1551598672849549"</f>
        <v>1551598672849549</v>
      </c>
      <c r="C560" t="s">
        <v>40</v>
      </c>
      <c r="D560">
        <v>4.3206470000000001</v>
      </c>
      <c r="E560">
        <v>0.509857</v>
      </c>
      <c r="F560" t="s">
        <v>42</v>
      </c>
      <c r="G560">
        <v>-214.5119</v>
      </c>
      <c r="H560" s="1">
        <v>-3.3694869999999999E-6</v>
      </c>
      <c r="I560">
        <v>363.9196</v>
      </c>
      <c r="J560">
        <v>-397.8673</v>
      </c>
      <c r="K560">
        <v>1.0876520000000001</v>
      </c>
      <c r="L560">
        <v>367.84530000000001</v>
      </c>
      <c r="M560">
        <v>0.99997449999999999</v>
      </c>
      <c r="N560">
        <v>-5.182575E-3</v>
      </c>
      <c r="O560">
        <v>-4.9089789999999999E-3</v>
      </c>
      <c r="P560">
        <v>0.9976526</v>
      </c>
      <c r="Q560">
        <v>-6.8264069999999996E-2</v>
      </c>
      <c r="R560">
        <v>5.4112040000000002E-3</v>
      </c>
      <c r="S560">
        <v>3.006195</v>
      </c>
      <c r="T560">
        <v>-1.7774459999999999E-2</v>
      </c>
      <c r="U560">
        <v>-6.4300540000000003E-2</v>
      </c>
      <c r="V560">
        <v>-1.0327350000000001E-2</v>
      </c>
      <c r="W560">
        <v>-6.3089980000000004E-2</v>
      </c>
      <c r="X560">
        <v>0.99795440000000002</v>
      </c>
      <c r="Y560">
        <v>1.6475739999999999E-2</v>
      </c>
      <c r="Z560" s="1">
        <v>-8.781851E-5</v>
      </c>
      <c r="AA560">
        <v>0.99986430000000004</v>
      </c>
      <c r="AB560">
        <v>28</v>
      </c>
      <c r="AC560">
        <v>183.3554</v>
      </c>
      <c r="AD560">
        <v>-1.0876553694869999</v>
      </c>
      <c r="AE560">
        <v>-3.9257</v>
      </c>
      <c r="AF560">
        <v>3.02544637161993</v>
      </c>
      <c r="AG560">
        <v>-1.0876553694869999</v>
      </c>
      <c r="AH560">
        <v>183.366012773129</v>
      </c>
      <c r="AI560">
        <v>90.339805888495505</v>
      </c>
      <c r="AJ560">
        <v>89.054734418536995</v>
      </c>
      <c r="AK560">
        <v>183.39419554682101</v>
      </c>
      <c r="AL560">
        <v>93.617191936203398</v>
      </c>
      <c r="AM560">
        <v>90.592905294415999</v>
      </c>
      <c r="AN560">
        <v>0.99999999210689094</v>
      </c>
    </row>
    <row r="561" spans="1:40" x14ac:dyDescent="0.25">
      <c r="A561" t="str">
        <f>"20190303153752872"</f>
        <v>20190303153752872</v>
      </c>
      <c r="B561" t="str">
        <f>"1551598672870045"</f>
        <v>1551598672870045</v>
      </c>
      <c r="C561" t="s">
        <v>40</v>
      </c>
      <c r="D561">
        <v>4.3406979999999997</v>
      </c>
      <c r="E561">
        <v>0.50950929999999905</v>
      </c>
      <c r="F561" t="s">
        <v>45</v>
      </c>
      <c r="G561">
        <v>-180</v>
      </c>
      <c r="H561">
        <v>2.981812E-2</v>
      </c>
      <c r="I561">
        <v>363.44650000000001</v>
      </c>
      <c r="J561">
        <v>-397.69380000000001</v>
      </c>
      <c r="K561">
        <v>1.0892440000000001</v>
      </c>
      <c r="L561">
        <v>367.84440000000001</v>
      </c>
      <c r="M561">
        <v>0.99997530000000001</v>
      </c>
      <c r="N561">
        <v>-4.9645870000000003E-3</v>
      </c>
      <c r="O561">
        <v>-5.0134369999999999E-3</v>
      </c>
      <c r="P561">
        <v>0.99766880000000002</v>
      </c>
      <c r="Q561">
        <v>-6.8041030000000002E-2</v>
      </c>
      <c r="R561">
        <v>5.2451420000000004E-3</v>
      </c>
      <c r="S561">
        <v>3.0063780000000002</v>
      </c>
      <c r="T561">
        <v>-1.459718E-2</v>
      </c>
      <c r="U561">
        <v>-6.0699459999999997E-2</v>
      </c>
      <c r="V561">
        <v>-1.026549E-2</v>
      </c>
      <c r="W561">
        <v>-6.3084340000000003E-2</v>
      </c>
      <c r="X561">
        <v>0.99795540000000005</v>
      </c>
      <c r="Y561">
        <v>1.5173030000000001E-2</v>
      </c>
      <c r="Z561" s="1">
        <v>-7.5048439999999994E-5</v>
      </c>
      <c r="AA561">
        <v>0.99988489999999997</v>
      </c>
      <c r="AB561">
        <v>28</v>
      </c>
      <c r="AC561">
        <v>217.69380000000001</v>
      </c>
      <c r="AD561">
        <v>-1.05942588</v>
      </c>
      <c r="AE561">
        <v>-4.3978999999999902</v>
      </c>
      <c r="AF561">
        <v>3.3063590608314302</v>
      </c>
      <c r="AG561">
        <v>-1.05942588</v>
      </c>
      <c r="AH561">
        <v>217.707958940255</v>
      </c>
      <c r="AI561">
        <v>90.278782428992898</v>
      </c>
      <c r="AJ561">
        <v>89.129908442781002</v>
      </c>
      <c r="AK561">
        <v>217.735641959156</v>
      </c>
      <c r="AL561">
        <v>93.616868124157904</v>
      </c>
      <c r="AM561">
        <v>90.589353499890805</v>
      </c>
      <c r="AN561">
        <v>0.99999999731366696</v>
      </c>
    </row>
    <row r="562" spans="1:40" x14ac:dyDescent="0.25">
      <c r="A562" t="str">
        <f>"20190303153752889"</f>
        <v>20190303153752889</v>
      </c>
      <c r="B562" t="str">
        <f>"1551598672879805"</f>
        <v>1551598672879805</v>
      </c>
      <c r="C562" t="s">
        <v>40</v>
      </c>
      <c r="D562">
        <v>4.3397019999999999</v>
      </c>
      <c r="E562">
        <v>0.50935109999999995</v>
      </c>
      <c r="F562" t="s">
        <v>41</v>
      </c>
      <c r="G562">
        <v>-158.19499999999999</v>
      </c>
      <c r="H562">
        <v>0.14958759999999999</v>
      </c>
      <c r="I562">
        <v>363.17680000000001</v>
      </c>
      <c r="J562">
        <v>-397.47269999999997</v>
      </c>
      <c r="K562">
        <v>1.0913459999999999</v>
      </c>
      <c r="L562">
        <v>367.84320000000002</v>
      </c>
      <c r="M562">
        <v>0.99997610000000003</v>
      </c>
      <c r="N562">
        <v>-4.6502519999999997E-3</v>
      </c>
      <c r="O562">
        <v>-5.148807E-3</v>
      </c>
      <c r="P562">
        <v>0.99770999999999999</v>
      </c>
      <c r="Q562">
        <v>-6.7439959999999993E-2</v>
      </c>
      <c r="R562">
        <v>5.1887649999999997E-3</v>
      </c>
      <c r="S562">
        <v>3.0065</v>
      </c>
      <c r="T562">
        <v>-1.179469E-2</v>
      </c>
      <c r="U562">
        <v>-5.859375E-2</v>
      </c>
      <c r="V562">
        <v>-1.034562E-2</v>
      </c>
      <c r="W562">
        <v>-6.2796599999999994E-2</v>
      </c>
      <c r="X562">
        <v>0.99797270000000005</v>
      </c>
      <c r="Y562">
        <v>1.4336939999999999E-2</v>
      </c>
      <c r="Z562" s="1">
        <v>-6.5203120000000001E-5</v>
      </c>
      <c r="AA562">
        <v>0.99989720000000004</v>
      </c>
      <c r="AB562">
        <v>28</v>
      </c>
      <c r="AC562">
        <v>239.27770000000001</v>
      </c>
      <c r="AD562">
        <v>-0.9417584</v>
      </c>
      <c r="AE562">
        <v>-4.6664000000000003</v>
      </c>
      <c r="AF562">
        <v>3.4342771540681101</v>
      </c>
      <c r="AG562">
        <v>-0.9417584</v>
      </c>
      <c r="AH562">
        <v>239.29484944334101</v>
      </c>
      <c r="AI562">
        <v>90.225466395060494</v>
      </c>
      <c r="AJ562">
        <v>89.177767180576396</v>
      </c>
      <c r="AK562">
        <v>239.32134492887599</v>
      </c>
      <c r="AL562">
        <v>93.600349155721901</v>
      </c>
      <c r="AM562">
        <v>90.593943230838505</v>
      </c>
      <c r="AN562">
        <v>0.999999977385017</v>
      </c>
    </row>
    <row r="563" spans="1:40" x14ac:dyDescent="0.25">
      <c r="A563" t="str">
        <f>"20190303153752901"</f>
        <v>20190303153752901</v>
      </c>
      <c r="B563" t="str">
        <f>"1551598672889566"</f>
        <v>1551598672889566</v>
      </c>
      <c r="C563" t="s">
        <v>40</v>
      </c>
      <c r="D563">
        <v>4.3312650000000001</v>
      </c>
      <c r="E563">
        <v>0.50922889999999998</v>
      </c>
      <c r="F563" t="s">
        <v>41</v>
      </c>
      <c r="G563">
        <v>-158.19499999999999</v>
      </c>
      <c r="H563">
        <v>0.39067839999999998</v>
      </c>
      <c r="I563">
        <v>363.31119999999999</v>
      </c>
      <c r="J563">
        <v>-397.31670000000003</v>
      </c>
      <c r="K563">
        <v>1.0928949999999999</v>
      </c>
      <c r="L563">
        <v>367.84230000000002</v>
      </c>
      <c r="M563">
        <v>0.99997590000000003</v>
      </c>
      <c r="N563">
        <v>-4.5593049999999996E-3</v>
      </c>
      <c r="O563">
        <v>-5.2375249999999998E-3</v>
      </c>
      <c r="P563">
        <v>0.99773590000000001</v>
      </c>
      <c r="Q563">
        <v>-6.7045750000000001E-2</v>
      </c>
      <c r="R563">
        <v>5.2747200000000001E-3</v>
      </c>
      <c r="S563">
        <v>3.006561</v>
      </c>
      <c r="T563">
        <v>-8.8028910000000002E-3</v>
      </c>
      <c r="U563">
        <v>-5.6945799999999998E-2</v>
      </c>
      <c r="V563">
        <v>-1.051999E-2</v>
      </c>
      <c r="W563">
        <v>-6.2492989999999998E-2</v>
      </c>
      <c r="X563">
        <v>0.99799000000000004</v>
      </c>
      <c r="Y563">
        <v>1.370007E-2</v>
      </c>
      <c r="Z563" s="1">
        <v>-5.983347E-5</v>
      </c>
      <c r="AA563">
        <v>0.99990610000000002</v>
      </c>
      <c r="AB563">
        <v>28</v>
      </c>
      <c r="AC563">
        <v>239.1217</v>
      </c>
      <c r="AD563">
        <v>-0.70221659999999997</v>
      </c>
      <c r="AE563">
        <v>-4.5311000000000297</v>
      </c>
      <c r="AF563">
        <v>3.27859069952371</v>
      </c>
      <c r="AG563">
        <v>-0.70221659999999997</v>
      </c>
      <c r="AH563">
        <v>239.14009056946301</v>
      </c>
      <c r="AI563">
        <v>90.168228384800003</v>
      </c>
      <c r="AJ563">
        <v>89.214528851234505</v>
      </c>
      <c r="AK563">
        <v>239.1635950196</v>
      </c>
      <c r="AL563">
        <v>93.582919117542303</v>
      </c>
      <c r="AM563">
        <v>90.603942628510893</v>
      </c>
      <c r="AN563">
        <v>1.00000004204436</v>
      </c>
    </row>
    <row r="564" spans="1:40" x14ac:dyDescent="0.25">
      <c r="A564" t="str">
        <f>"20190303153752913"</f>
        <v>20190303153752913</v>
      </c>
      <c r="B564" t="str">
        <f>"1551598672909029"</f>
        <v>1551598672909029</v>
      </c>
      <c r="C564" t="s">
        <v>40</v>
      </c>
      <c r="D564">
        <v>4.3250669999999998</v>
      </c>
      <c r="E564">
        <v>0.50898220000000005</v>
      </c>
      <c r="F564" t="s">
        <v>41</v>
      </c>
      <c r="G564">
        <v>-158.19499999999999</v>
      </c>
      <c r="H564">
        <v>0.57078739999999994</v>
      </c>
      <c r="I564">
        <v>363.39589999999998</v>
      </c>
      <c r="J564">
        <v>-397.17</v>
      </c>
      <c r="K564">
        <v>1.09436</v>
      </c>
      <c r="L564">
        <v>367.8415</v>
      </c>
      <c r="M564">
        <v>0.99997559999999996</v>
      </c>
      <c r="N564">
        <v>-4.5248859999999997E-3</v>
      </c>
      <c r="O564">
        <v>-5.3210169999999999E-3</v>
      </c>
      <c r="P564">
        <v>0.99773650000000003</v>
      </c>
      <c r="Q564">
        <v>-6.7030580000000006E-2</v>
      </c>
      <c r="R564">
        <v>5.3775389999999998E-3</v>
      </c>
      <c r="S564">
        <v>3.0066220000000001</v>
      </c>
      <c r="T564">
        <v>-6.563663E-3</v>
      </c>
      <c r="U564">
        <v>-5.5908199999999998E-2</v>
      </c>
      <c r="V564">
        <v>-1.070604E-2</v>
      </c>
      <c r="W564">
        <v>-6.251205E-2</v>
      </c>
      <c r="X564">
        <v>0.99798679999999995</v>
      </c>
      <c r="Y564">
        <v>1.327131E-2</v>
      </c>
      <c r="Z564" s="1">
        <v>-5.6973769999999998E-5</v>
      </c>
      <c r="AA564">
        <v>0.99991189999999996</v>
      </c>
      <c r="AB564">
        <v>28</v>
      </c>
      <c r="AC564">
        <v>238.97499999999999</v>
      </c>
      <c r="AD564">
        <v>-0.52357259999999906</v>
      </c>
      <c r="AE564">
        <v>-4.4456000000000104</v>
      </c>
      <c r="AF564">
        <v>3.1739187710397201</v>
      </c>
      <c r="AG564">
        <v>-0.52357259999999906</v>
      </c>
      <c r="AH564">
        <v>238.99412539099299</v>
      </c>
      <c r="AI564">
        <v>90.125508554654999</v>
      </c>
      <c r="AJ564">
        <v>89.239138367817205</v>
      </c>
      <c r="AK564">
        <v>239.01577324527901</v>
      </c>
      <c r="AL564">
        <v>93.584013413875795</v>
      </c>
      <c r="AM564">
        <v>90.614624740559705</v>
      </c>
      <c r="AN564">
        <v>1.00000001433096</v>
      </c>
    </row>
    <row r="565" spans="1:40" x14ac:dyDescent="0.25">
      <c r="A565" t="str">
        <f>"20190303153752935"</f>
        <v>20190303153752935</v>
      </c>
      <c r="B565" t="str">
        <f>"1551598672929526"</f>
        <v>1551598672929526</v>
      </c>
      <c r="C565" t="s">
        <v>40</v>
      </c>
      <c r="D565">
        <v>4.3413149999999998</v>
      </c>
      <c r="E565">
        <v>0.50875379999999903</v>
      </c>
      <c r="F565" t="s">
        <v>41</v>
      </c>
      <c r="G565">
        <v>-158.19499999999999</v>
      </c>
      <c r="H565">
        <v>0.72483730000000002</v>
      </c>
      <c r="I565">
        <v>363.60410000000002</v>
      </c>
      <c r="J565">
        <v>-396.90010000000001</v>
      </c>
      <c r="K565">
        <v>1.097064</v>
      </c>
      <c r="L565">
        <v>367.8399</v>
      </c>
      <c r="M565">
        <v>0.99997420000000004</v>
      </c>
      <c r="N565">
        <v>-4.6530240000000004E-3</v>
      </c>
      <c r="O565">
        <v>-5.4726189999999997E-3</v>
      </c>
      <c r="P565">
        <v>0.99771799999999999</v>
      </c>
      <c r="Q565">
        <v>-6.7251580000000005E-2</v>
      </c>
      <c r="R565">
        <v>6.0143740000000003E-3</v>
      </c>
      <c r="S565">
        <v>3.0067750000000002</v>
      </c>
      <c r="T565">
        <v>-4.6482090000000004E-3</v>
      </c>
      <c r="U565">
        <v>-5.3314210000000001E-2</v>
      </c>
      <c r="V565">
        <v>-1.149498E-2</v>
      </c>
      <c r="W565">
        <v>-6.2604969999999996E-2</v>
      </c>
      <c r="X565">
        <v>0.99797219999999998</v>
      </c>
      <c r="Y565">
        <v>1.225646E-2</v>
      </c>
      <c r="Z565" s="1">
        <v>-5.4993639999999997E-5</v>
      </c>
      <c r="AA565">
        <v>0.99992490000000001</v>
      </c>
      <c r="AB565">
        <v>28</v>
      </c>
      <c r="AC565">
        <v>238.70509999999999</v>
      </c>
      <c r="AD565">
        <v>-0.37222670000000002</v>
      </c>
      <c r="AE565">
        <v>-4.2357999999999798</v>
      </c>
      <c r="AF565">
        <v>2.9293732402747201</v>
      </c>
      <c r="AG565">
        <v>-0.37222670000000002</v>
      </c>
      <c r="AH565">
        <v>238.72412621192501</v>
      </c>
      <c r="AI565">
        <v>90.089330711980296</v>
      </c>
      <c r="AJ565">
        <v>89.296961298261905</v>
      </c>
      <c r="AK565">
        <v>238.74238881259399</v>
      </c>
      <c r="AL565">
        <v>93.589347785817907</v>
      </c>
      <c r="AM565">
        <v>90.659922907019507</v>
      </c>
      <c r="AN565">
        <v>1.0000000144033701</v>
      </c>
    </row>
    <row r="566" spans="1:40" x14ac:dyDescent="0.25">
      <c r="A566" t="str">
        <f>"20190303153752947"</f>
        <v>20190303153752947</v>
      </c>
      <c r="B566" t="str">
        <f>"1551598672939285"</f>
        <v>1551598672939285</v>
      </c>
      <c r="C566" t="s">
        <v>40</v>
      </c>
      <c r="D566">
        <v>4.3061119999999997</v>
      </c>
      <c r="E566">
        <v>0.50864299999999996</v>
      </c>
      <c r="F566" t="s">
        <v>41</v>
      </c>
      <c r="G566">
        <v>-158.19499999999999</v>
      </c>
      <c r="H566">
        <v>0.79052210000000001</v>
      </c>
      <c r="I566">
        <v>363.90309999999999</v>
      </c>
      <c r="J566">
        <v>-396.73540000000003</v>
      </c>
      <c r="K566">
        <v>1.0986769999999999</v>
      </c>
      <c r="L566">
        <v>367.83890000000002</v>
      </c>
      <c r="M566">
        <v>0.99997320000000001</v>
      </c>
      <c r="N566">
        <v>-4.7736080000000004E-3</v>
      </c>
      <c r="O566">
        <v>-5.563999E-3</v>
      </c>
      <c r="P566">
        <v>0.99773049999999996</v>
      </c>
      <c r="Q566">
        <v>-6.7039269999999998E-2</v>
      </c>
      <c r="R566">
        <v>6.3190429999999999E-3</v>
      </c>
      <c r="S566">
        <v>3.0069270000000001</v>
      </c>
      <c r="T566">
        <v>-3.8603539999999999E-3</v>
      </c>
      <c r="U566">
        <v>-4.9591059999999999E-2</v>
      </c>
      <c r="V566">
        <v>-1.1890670000000001E-2</v>
      </c>
      <c r="W566">
        <v>-6.227212E-2</v>
      </c>
      <c r="X566">
        <v>0.9979884</v>
      </c>
      <c r="Y566">
        <v>1.0926460000000001E-2</v>
      </c>
      <c r="Z566" s="1">
        <v>-5.2511179999999998E-5</v>
      </c>
      <c r="AA566">
        <v>0.9999403</v>
      </c>
      <c r="AB566">
        <v>28</v>
      </c>
      <c r="AC566">
        <v>238.54040000000001</v>
      </c>
      <c r="AD566">
        <v>-0.30815490000000001</v>
      </c>
      <c r="AE566">
        <v>-3.9358000000000199</v>
      </c>
      <c r="AF566">
        <v>2.6084811513358899</v>
      </c>
      <c r="AG566">
        <v>-0.30815490000000001</v>
      </c>
      <c r="AH566">
        <v>238.558208539286</v>
      </c>
      <c r="AI566">
        <v>90.074006717750393</v>
      </c>
      <c r="AJ566">
        <v>89.373532330057401</v>
      </c>
      <c r="AK566">
        <v>238.57266816388</v>
      </c>
      <c r="AL566">
        <v>93.570239561548306</v>
      </c>
      <c r="AM566">
        <v>90.682626141980606</v>
      </c>
      <c r="AN566">
        <v>1.00000002574845</v>
      </c>
    </row>
    <row r="567" spans="1:40" x14ac:dyDescent="0.25">
      <c r="A567" t="str">
        <f>"20190303153752959"</f>
        <v>20190303153752959</v>
      </c>
      <c r="B567" t="str">
        <f>"1551598672950022"</f>
        <v>1551598672950022</v>
      </c>
      <c r="C567" t="s">
        <v>40</v>
      </c>
      <c r="D567">
        <v>4.3038220000000003</v>
      </c>
      <c r="E567">
        <v>0.50853599999999999</v>
      </c>
      <c r="F567" t="s">
        <v>41</v>
      </c>
      <c r="G567">
        <v>-158.19499999999999</v>
      </c>
      <c r="H567">
        <v>0.88732359999999899</v>
      </c>
      <c r="I567">
        <v>364.08159999999998</v>
      </c>
      <c r="J567">
        <v>-396.57319999999999</v>
      </c>
      <c r="K567">
        <v>1.1001810000000001</v>
      </c>
      <c r="L567">
        <v>367.83789999999999</v>
      </c>
      <c r="M567">
        <v>0.99997219999999998</v>
      </c>
      <c r="N567">
        <v>-4.8789910000000001E-3</v>
      </c>
      <c r="O567">
        <v>-5.6534369999999999E-3</v>
      </c>
      <c r="P567">
        <v>0.99773279999999998</v>
      </c>
      <c r="Q567">
        <v>-6.6975000000000007E-2</v>
      </c>
      <c r="R567">
        <v>6.6044179999999999E-3</v>
      </c>
      <c r="S567">
        <v>3.006958</v>
      </c>
      <c r="T567">
        <v>-2.663136E-3</v>
      </c>
      <c r="U567">
        <v>-4.7363280000000001E-2</v>
      </c>
      <c r="V567">
        <v>-1.2264840000000001E-2</v>
      </c>
      <c r="W567">
        <v>-6.2102589999999999E-2</v>
      </c>
      <c r="X567">
        <v>0.99799439999999995</v>
      </c>
      <c r="Y567">
        <v>1.0096239999999999E-2</v>
      </c>
      <c r="Z567" s="1">
        <v>-5.1677410000000002E-5</v>
      </c>
      <c r="AA567">
        <v>0.99994899999999998</v>
      </c>
      <c r="AB567">
        <v>28</v>
      </c>
      <c r="AC567">
        <v>238.37819999999999</v>
      </c>
      <c r="AD567">
        <v>-0.2128574</v>
      </c>
      <c r="AE567">
        <v>-3.7563</v>
      </c>
      <c r="AF567">
        <v>2.40856598589792</v>
      </c>
      <c r="AG567">
        <v>-0.2128574</v>
      </c>
      <c r="AH567">
        <v>238.39543665595701</v>
      </c>
      <c r="AI567">
        <v>90.051155362657298</v>
      </c>
      <c r="AJ567">
        <v>89.421146761861195</v>
      </c>
      <c r="AK567">
        <v>238.407698526632</v>
      </c>
      <c r="AL567">
        <v>93.560507498272898</v>
      </c>
      <c r="AM567">
        <v>90.704100337444899</v>
      </c>
      <c r="AN567">
        <v>0.99999999020814601</v>
      </c>
    </row>
    <row r="568" spans="1:40" x14ac:dyDescent="0.25">
      <c r="A568" t="str">
        <f>"20190303153752974"</f>
        <v>20190303153752974</v>
      </c>
      <c r="B568" t="str">
        <f>"1551598672969541"</f>
        <v>1551598672969541</v>
      </c>
      <c r="C568" t="s">
        <v>40</v>
      </c>
      <c r="D568">
        <v>4.2721619999999998</v>
      </c>
      <c r="E568">
        <v>0.50833339999999905</v>
      </c>
      <c r="F568" t="s">
        <v>41</v>
      </c>
      <c r="G568">
        <v>-158.19499999999999</v>
      </c>
      <c r="H568">
        <v>0.95721409999999996</v>
      </c>
      <c r="I568">
        <v>364.19450000000001</v>
      </c>
      <c r="J568">
        <v>-396.40570000000002</v>
      </c>
      <c r="K568">
        <v>1.1016859999999999</v>
      </c>
      <c r="L568">
        <v>367.83690000000001</v>
      </c>
      <c r="M568">
        <v>0.9999711</v>
      </c>
      <c r="N568">
        <v>-4.974376E-3</v>
      </c>
      <c r="O568">
        <v>-5.7454749999999999E-3</v>
      </c>
      <c r="P568">
        <v>0.9977068</v>
      </c>
      <c r="Q568">
        <v>-6.7319580000000004E-2</v>
      </c>
      <c r="R568">
        <v>7.0191319999999896E-3</v>
      </c>
      <c r="S568">
        <v>3.0069889999999999</v>
      </c>
      <c r="T568">
        <v>-1.802325E-3</v>
      </c>
      <c r="U568">
        <v>-4.5959470000000002E-2</v>
      </c>
      <c r="V568">
        <v>-1.277146E-2</v>
      </c>
      <c r="W568">
        <v>-6.2351959999999998E-2</v>
      </c>
      <c r="X568">
        <v>0.99797250000000004</v>
      </c>
      <c r="Y568">
        <v>9.5373479999999993E-3</v>
      </c>
      <c r="Z568" s="1">
        <v>-5.1716460000000003E-5</v>
      </c>
      <c r="AA568">
        <v>0.99995449999999997</v>
      </c>
      <c r="AB568">
        <v>28</v>
      </c>
      <c r="AC568">
        <v>238.2107</v>
      </c>
      <c r="AD568">
        <v>-0.14447189999999999</v>
      </c>
      <c r="AE568">
        <v>-3.6423999999999999</v>
      </c>
      <c r="AF568">
        <v>2.2736884579826402</v>
      </c>
      <c r="AG568">
        <v>-0.14447189999999999</v>
      </c>
      <c r="AH568">
        <v>238.22760811629101</v>
      </c>
      <c r="AI568">
        <v>90.034745142236204</v>
      </c>
      <c r="AJ568">
        <v>89.453175061290295</v>
      </c>
      <c r="AK568">
        <v>238.23850192641601</v>
      </c>
      <c r="AL568">
        <v>93.5748230772044</v>
      </c>
      <c r="AM568">
        <v>90.733197370657393</v>
      </c>
      <c r="AN568">
        <v>0.999999993931311</v>
      </c>
    </row>
    <row r="569" spans="1:40" x14ac:dyDescent="0.25">
      <c r="A569" t="str">
        <f>"20190303153752991"</f>
        <v>20190303153752991</v>
      </c>
      <c r="B569" t="str">
        <f>"1551598672979302"</f>
        <v>1551598672979302</v>
      </c>
      <c r="C569" t="s">
        <v>40</v>
      </c>
      <c r="D569">
        <v>4.2938190000000001</v>
      </c>
      <c r="E569">
        <v>0.50824209999999903</v>
      </c>
      <c r="F569" t="s">
        <v>41</v>
      </c>
      <c r="G569">
        <v>-158.19499999999999</v>
      </c>
      <c r="H569">
        <v>0.96678609999999998</v>
      </c>
      <c r="I569">
        <v>364.43310000000002</v>
      </c>
      <c r="J569">
        <v>-396.173</v>
      </c>
      <c r="K569">
        <v>1.1036440000000001</v>
      </c>
      <c r="L569">
        <v>367.83539999999999</v>
      </c>
      <c r="M569">
        <v>0.99997000000000003</v>
      </c>
      <c r="N569">
        <v>-5.0675E-3</v>
      </c>
      <c r="O569">
        <v>-5.8751760000000002E-3</v>
      </c>
      <c r="P569">
        <v>0.99770639999999999</v>
      </c>
      <c r="Q569">
        <v>-6.7252279999999998E-2</v>
      </c>
      <c r="R569">
        <v>7.7017869999999999E-3</v>
      </c>
      <c r="S569">
        <v>3.0071110000000001</v>
      </c>
      <c r="T569">
        <v>-1.7018319999999999E-3</v>
      </c>
      <c r="U569">
        <v>-4.296875E-2</v>
      </c>
      <c r="V569">
        <v>-1.358295E-2</v>
      </c>
      <c r="W569">
        <v>-6.2191499999999997E-2</v>
      </c>
      <c r="X569">
        <v>0.99797179999999996</v>
      </c>
      <c r="Y569">
        <v>8.4127390000000007E-3</v>
      </c>
      <c r="Z569" s="1">
        <v>-5.0144269999999998E-5</v>
      </c>
      <c r="AA569">
        <v>0.99996459999999998</v>
      </c>
      <c r="AB569">
        <v>29</v>
      </c>
      <c r="AC569">
        <v>237.97799999999901</v>
      </c>
      <c r="AD569">
        <v>-0.1368579</v>
      </c>
      <c r="AE569">
        <v>-3.4022999999999599</v>
      </c>
      <c r="AF569">
        <v>2.00406016752344</v>
      </c>
      <c r="AG569">
        <v>-0.1368579</v>
      </c>
      <c r="AH569">
        <v>237.99380330585001</v>
      </c>
      <c r="AI569">
        <v>90.0329466612137</v>
      </c>
      <c r="AJ569">
        <v>89.517544263519696</v>
      </c>
      <c r="AK569">
        <v>238.002280239546</v>
      </c>
      <c r="AL569">
        <v>93.565611510054396</v>
      </c>
      <c r="AM569">
        <v>90.779779205915702</v>
      </c>
      <c r="AN569">
        <v>0.99999999639909598</v>
      </c>
    </row>
    <row r="570" spans="1:40" x14ac:dyDescent="0.25">
      <c r="A570" t="str">
        <f>"20190303153753005"</f>
        <v>20190303153753005</v>
      </c>
      <c r="B570" t="str">
        <f>"1551598672999797"</f>
        <v>1551598672999797</v>
      </c>
      <c r="C570" t="s">
        <v>40</v>
      </c>
      <c r="D570">
        <v>4.320729</v>
      </c>
      <c r="E570">
        <v>0.50806870000000004</v>
      </c>
      <c r="F570" t="s">
        <v>41</v>
      </c>
      <c r="G570">
        <v>-158.19499999999999</v>
      </c>
      <c r="H570">
        <v>1.0400659999999999</v>
      </c>
      <c r="I570">
        <v>364.6789</v>
      </c>
      <c r="J570">
        <v>-395.99349999999998</v>
      </c>
      <c r="K570">
        <v>1.105037</v>
      </c>
      <c r="L570">
        <v>367.83420000000001</v>
      </c>
      <c r="M570">
        <v>0.9999692</v>
      </c>
      <c r="N570">
        <v>-5.1137190000000001E-3</v>
      </c>
      <c r="O570">
        <v>-5.9754300000000003E-3</v>
      </c>
      <c r="P570">
        <v>0.9977009</v>
      </c>
      <c r="Q570">
        <v>-6.7283469999999998E-2</v>
      </c>
      <c r="R570">
        <v>8.1314830000000001E-3</v>
      </c>
      <c r="S570">
        <v>3.0071409999999998</v>
      </c>
      <c r="T570">
        <v>-8.0227849999999997E-4</v>
      </c>
      <c r="U570">
        <v>-3.988647E-2</v>
      </c>
      <c r="V570">
        <v>-1.411308E-2</v>
      </c>
      <c r="W570">
        <v>-6.2176479999999999E-2</v>
      </c>
      <c r="X570">
        <v>0.9979654</v>
      </c>
      <c r="Y570">
        <v>7.2875989999999996E-3</v>
      </c>
      <c r="Z570" s="1">
        <v>-4.856829E-5</v>
      </c>
      <c r="AA570">
        <v>0.99997340000000001</v>
      </c>
      <c r="AB570">
        <v>29</v>
      </c>
      <c r="AC570">
        <v>237.79849999999999</v>
      </c>
      <c r="AD570">
        <v>-6.4971000000000098E-2</v>
      </c>
      <c r="AE570">
        <v>-3.1553000000000102</v>
      </c>
      <c r="AF570">
        <v>1.7342768496784</v>
      </c>
      <c r="AG570">
        <v>-6.4971000000000098E-2</v>
      </c>
      <c r="AH570">
        <v>237.81309123277401</v>
      </c>
      <c r="AI570">
        <v>90.0156529020161</v>
      </c>
      <c r="AJ570">
        <v>89.582171940052504</v>
      </c>
      <c r="AK570">
        <v>237.81942372125499</v>
      </c>
      <c r="AL570">
        <v>93.564749186466798</v>
      </c>
      <c r="AM570">
        <v>90.810214482944801</v>
      </c>
      <c r="AN570">
        <v>1.0000000166447101</v>
      </c>
    </row>
    <row r="571" spans="1:40" x14ac:dyDescent="0.25">
      <c r="A571" t="str">
        <f>"20190303153753018"</f>
        <v>20190303153753018</v>
      </c>
      <c r="B571" t="str">
        <f>"1551598673009557"</f>
        <v>1551598673009557</v>
      </c>
      <c r="C571" t="s">
        <v>40</v>
      </c>
      <c r="D571">
        <v>4.2787220000000001</v>
      </c>
      <c r="E571">
        <v>0.50798460000000001</v>
      </c>
      <c r="F571" t="s">
        <v>41</v>
      </c>
      <c r="G571">
        <v>-158.19499999999999</v>
      </c>
      <c r="H571">
        <v>1.1137060000000001</v>
      </c>
      <c r="I571">
        <v>364.88290000000001</v>
      </c>
      <c r="J571">
        <v>-395.82490000000001</v>
      </c>
      <c r="K571">
        <v>1.106255</v>
      </c>
      <c r="L571">
        <v>367.8331</v>
      </c>
      <c r="M571">
        <v>0.99996830000000003</v>
      </c>
      <c r="N571">
        <v>-5.1461299999999996E-3</v>
      </c>
      <c r="O571">
        <v>-6.0698069999999896E-3</v>
      </c>
      <c r="P571">
        <v>0.99771670000000001</v>
      </c>
      <c r="Q571">
        <v>-6.6989850000000004E-2</v>
      </c>
      <c r="R571">
        <v>8.607768E-3</v>
      </c>
      <c r="S571">
        <v>3.0072329999999998</v>
      </c>
      <c r="T571">
        <v>1.107454E-4</v>
      </c>
      <c r="U571">
        <v>-3.7323000000000002E-2</v>
      </c>
      <c r="V571">
        <v>-1.468299E-2</v>
      </c>
      <c r="W571">
        <v>-6.1850299999999997E-2</v>
      </c>
      <c r="X571">
        <v>0.99797740000000001</v>
      </c>
      <c r="Y571">
        <v>6.3405559999999998E-3</v>
      </c>
      <c r="Z571" s="1">
        <v>-4.7657639999999999E-5</v>
      </c>
      <c r="AA571">
        <v>0.99997990000000003</v>
      </c>
      <c r="AB571">
        <v>29</v>
      </c>
      <c r="AC571">
        <v>237.62989999999999</v>
      </c>
      <c r="AD571">
        <v>7.4509999999998701E-3</v>
      </c>
      <c r="AE571">
        <v>-2.9501999999999899</v>
      </c>
      <c r="AF571">
        <v>1.5077588672339901</v>
      </c>
      <c r="AG571">
        <v>7.4509999999998701E-3</v>
      </c>
      <c r="AH571">
        <v>237.64342954563901</v>
      </c>
      <c r="AI571">
        <v>89.998203601666603</v>
      </c>
      <c r="AJ571">
        <v>89.6364845405419</v>
      </c>
      <c r="AK571">
        <v>237.64821269795499</v>
      </c>
      <c r="AL571">
        <v>93.546024574427804</v>
      </c>
      <c r="AM571">
        <v>90.842917548482802</v>
      </c>
      <c r="AN571">
        <v>0.99999997035809396</v>
      </c>
    </row>
    <row r="572" spans="1:40" x14ac:dyDescent="0.25">
      <c r="A572" t="str">
        <f>"20190303153753035"</f>
        <v>20190303153753035</v>
      </c>
      <c r="B572" t="str">
        <f>"1551598673030053"</f>
        <v>1551598673030053</v>
      </c>
      <c r="C572" t="s">
        <v>40</v>
      </c>
      <c r="D572">
        <v>4.2470600000000003</v>
      </c>
      <c r="E572">
        <v>0.50780609999999904</v>
      </c>
      <c r="F572" t="s">
        <v>41</v>
      </c>
      <c r="G572">
        <v>-158.19499999999999</v>
      </c>
      <c r="H572">
        <v>1.2228509999999999</v>
      </c>
      <c r="I572">
        <v>365.0455</v>
      </c>
      <c r="J572">
        <v>-395.59840000000003</v>
      </c>
      <c r="K572">
        <v>1.1077840000000001</v>
      </c>
      <c r="L572">
        <v>367.83170000000001</v>
      </c>
      <c r="M572">
        <v>0.99996739999999995</v>
      </c>
      <c r="N572">
        <v>-5.1765680000000003E-3</v>
      </c>
      <c r="O572">
        <v>-6.1966039999999997E-3</v>
      </c>
      <c r="P572">
        <v>0.99772919999999998</v>
      </c>
      <c r="Q572">
        <v>-6.6754930000000004E-2</v>
      </c>
      <c r="R572">
        <v>8.9649729999999993E-3</v>
      </c>
      <c r="S572">
        <v>3.007263</v>
      </c>
      <c r="T572">
        <v>1.476645E-3</v>
      </c>
      <c r="U572">
        <v>-3.5278320000000002E-2</v>
      </c>
      <c r="V572">
        <v>-1.516672E-2</v>
      </c>
      <c r="W572">
        <v>-6.1584840000000002E-2</v>
      </c>
      <c r="X572">
        <v>0.99798659999999995</v>
      </c>
      <c r="Y572">
        <v>5.5338519999999997E-3</v>
      </c>
      <c r="Z572" s="1">
        <v>-4.8084409999999997E-5</v>
      </c>
      <c r="AA572">
        <v>0.99998469999999995</v>
      </c>
      <c r="AB572">
        <v>29</v>
      </c>
      <c r="AC572">
        <v>237.4034</v>
      </c>
      <c r="AD572">
        <v>0.115067</v>
      </c>
      <c r="AE572">
        <v>-2.7862</v>
      </c>
      <c r="AF572">
        <v>1.3150316251634799</v>
      </c>
      <c r="AG572">
        <v>0.115067</v>
      </c>
      <c r="AH572">
        <v>237.41605138028299</v>
      </c>
      <c r="AI572">
        <v>89.972231229626701</v>
      </c>
      <c r="AJ572">
        <v>89.682645755862794</v>
      </c>
      <c r="AK572">
        <v>237.41972117243</v>
      </c>
      <c r="AL572">
        <v>93.530785724066206</v>
      </c>
      <c r="AM572">
        <v>90.870675171585702</v>
      </c>
      <c r="AN572">
        <v>0.99999998784647104</v>
      </c>
    </row>
    <row r="573" spans="1:40" x14ac:dyDescent="0.25">
      <c r="A573" t="str">
        <f>"20190303153753049"</f>
        <v>20190303153753049</v>
      </c>
      <c r="B573" t="str">
        <f>"1551598673039813"</f>
        <v>1551598673039813</v>
      </c>
      <c r="C573" t="s">
        <v>40</v>
      </c>
      <c r="D573">
        <v>4.2451480000000004</v>
      </c>
      <c r="E573">
        <v>0.50775990000000004</v>
      </c>
      <c r="F573" t="s">
        <v>41</v>
      </c>
      <c r="G573">
        <v>-158.19499999999999</v>
      </c>
      <c r="H573">
        <v>1.3566180000000001</v>
      </c>
      <c r="I573">
        <v>365.26600000000002</v>
      </c>
      <c r="J573">
        <v>-395.42290000000003</v>
      </c>
      <c r="K573">
        <v>1.1088830000000001</v>
      </c>
      <c r="L573">
        <v>367.83049999999997</v>
      </c>
      <c r="M573">
        <v>0.99996680000000004</v>
      </c>
      <c r="N573">
        <v>-5.191312E-3</v>
      </c>
      <c r="O573">
        <v>-6.2945140000000002E-3</v>
      </c>
      <c r="P573">
        <v>0.99774240000000003</v>
      </c>
      <c r="Q573">
        <v>-6.6538810000000004E-2</v>
      </c>
      <c r="R573">
        <v>9.0973140000000004E-3</v>
      </c>
      <c r="S573">
        <v>3.0072939999999999</v>
      </c>
      <c r="T573">
        <v>3.1532050000000001E-3</v>
      </c>
      <c r="U573">
        <v>-3.2501219999999997E-2</v>
      </c>
      <c r="V573">
        <v>-1.539679E-2</v>
      </c>
      <c r="W573">
        <v>-6.135388E-2</v>
      </c>
      <c r="X573">
        <v>0.99799729999999998</v>
      </c>
      <c r="Y573">
        <v>4.5125230000000001E-3</v>
      </c>
      <c r="Z573" s="1">
        <v>-4.8623769999999998E-5</v>
      </c>
      <c r="AA573">
        <v>0.99998980000000004</v>
      </c>
      <c r="AB573">
        <v>29</v>
      </c>
      <c r="AC573">
        <v>237.22790000000001</v>
      </c>
      <c r="AD573">
        <v>0.24773500000000001</v>
      </c>
      <c r="AE573">
        <v>-2.5644999999999998</v>
      </c>
      <c r="AF573">
        <v>1.0711936951313701</v>
      </c>
      <c r="AG573">
        <v>0.24773500000000001</v>
      </c>
      <c r="AH573">
        <v>237.23908404322299</v>
      </c>
      <c r="AI573">
        <v>89.940169976012498</v>
      </c>
      <c r="AJ573">
        <v>89.741297008746798</v>
      </c>
      <c r="AK573">
        <v>237.24163173066901</v>
      </c>
      <c r="AL573">
        <v>93.517527628249397</v>
      </c>
      <c r="AM573">
        <v>90.883871234413306</v>
      </c>
      <c r="AN573">
        <v>0.99999998527032397</v>
      </c>
    </row>
    <row r="574" spans="1:40" x14ac:dyDescent="0.25">
      <c r="A574" t="str">
        <f>"20190303153753062"</f>
        <v>20190303153753062</v>
      </c>
      <c r="B574" t="str">
        <f>"1551598673050550"</f>
        <v>1551598673050550</v>
      </c>
      <c r="C574" t="s">
        <v>40</v>
      </c>
      <c r="D574">
        <v>4.2620430000000002</v>
      </c>
      <c r="E574">
        <v>0.50770660000000001</v>
      </c>
      <c r="F574" t="s">
        <v>41</v>
      </c>
      <c r="G574">
        <v>-158.19499999999999</v>
      </c>
      <c r="H574">
        <v>1.4477359999999999</v>
      </c>
      <c r="I574">
        <v>365.31729999999999</v>
      </c>
      <c r="J574">
        <v>-395.25080000000003</v>
      </c>
      <c r="K574">
        <v>1.1098429999999999</v>
      </c>
      <c r="L574">
        <v>367.82929999999999</v>
      </c>
      <c r="M574">
        <v>0.99996609999999997</v>
      </c>
      <c r="N574">
        <v>-5.1901959999999898E-3</v>
      </c>
      <c r="O574">
        <v>-6.3892860000000001E-3</v>
      </c>
      <c r="P574">
        <v>0.9977665</v>
      </c>
      <c r="Q574">
        <v>-6.6175300000000006E-2</v>
      </c>
      <c r="R574">
        <v>9.0999700000000006E-3</v>
      </c>
      <c r="S574">
        <v>3.007355</v>
      </c>
      <c r="T574">
        <v>4.29678E-3</v>
      </c>
      <c r="U574">
        <v>-3.1860350000000003E-2</v>
      </c>
      <c r="V574">
        <v>-1.549421E-2</v>
      </c>
      <c r="W574">
        <v>-6.0991320000000002E-2</v>
      </c>
      <c r="X574">
        <v>0.99801799999999996</v>
      </c>
      <c r="Y574">
        <v>4.2044730000000002E-3</v>
      </c>
      <c r="Z574" s="1">
        <v>-5.0197549999999998E-5</v>
      </c>
      <c r="AA574">
        <v>0.99999119999999997</v>
      </c>
      <c r="AB574">
        <v>29</v>
      </c>
      <c r="AC574">
        <v>237.0558</v>
      </c>
      <c r="AD574">
        <v>0.337893</v>
      </c>
      <c r="AE574">
        <v>-2.512</v>
      </c>
      <c r="AF574">
        <v>0.997308964806225</v>
      </c>
      <c r="AG574">
        <v>0.337893</v>
      </c>
      <c r="AH574">
        <v>237.06652967005999</v>
      </c>
      <c r="AI574">
        <v>89.918336601824194</v>
      </c>
      <c r="AJ574">
        <v>89.758965310101701</v>
      </c>
      <c r="AK574">
        <v>237.06886823591199</v>
      </c>
      <c r="AL574">
        <v>93.496715546590906</v>
      </c>
      <c r="AM574">
        <v>90.889444405464999</v>
      </c>
      <c r="AN574">
        <v>0.99999996999143204</v>
      </c>
    </row>
    <row r="575" spans="1:40" x14ac:dyDescent="0.25">
      <c r="A575" t="str">
        <f>"20190303153753080"</f>
        <v>20190303153753080</v>
      </c>
      <c r="B575" t="str">
        <f>"1551598673069093"</f>
        <v>1551598673069093</v>
      </c>
      <c r="C575" t="s">
        <v>40</v>
      </c>
      <c r="D575">
        <v>4.1131169999999999</v>
      </c>
      <c r="E575">
        <v>0.50764979999999904</v>
      </c>
      <c r="F575" t="s">
        <v>41</v>
      </c>
      <c r="G575">
        <v>-158.19499999999999</v>
      </c>
      <c r="H575">
        <v>1.5617749999999999</v>
      </c>
      <c r="I575">
        <v>365.37079999999997</v>
      </c>
      <c r="J575">
        <v>-395.01490000000001</v>
      </c>
      <c r="K575">
        <v>1.111057</v>
      </c>
      <c r="L575">
        <v>367.82769999999999</v>
      </c>
      <c r="M575">
        <v>0.9999654</v>
      </c>
      <c r="N575">
        <v>-5.1710200000000001E-3</v>
      </c>
      <c r="O575">
        <v>-6.5192969999999899E-3</v>
      </c>
      <c r="P575">
        <v>0.99775599999999998</v>
      </c>
      <c r="Q575">
        <v>-6.6349489999999997E-2</v>
      </c>
      <c r="R575">
        <v>8.9944320000000001E-3</v>
      </c>
      <c r="S575">
        <v>3.007355</v>
      </c>
      <c r="T575">
        <v>5.734444E-3</v>
      </c>
      <c r="U575">
        <v>-3.1188960000000002E-2</v>
      </c>
      <c r="V575">
        <v>-1.55183E-2</v>
      </c>
      <c r="W575">
        <v>-6.1184669999999997E-2</v>
      </c>
      <c r="X575">
        <v>0.99800580000000005</v>
      </c>
      <c r="Y575">
        <v>3.85126E-3</v>
      </c>
      <c r="Z575" s="1">
        <v>-5.2427689999999999E-5</v>
      </c>
      <c r="AA575">
        <v>0.99999260000000001</v>
      </c>
      <c r="AB575">
        <v>29</v>
      </c>
      <c r="AC575">
        <v>236.81989999999999</v>
      </c>
      <c r="AD575">
        <v>0.45071800000000001</v>
      </c>
      <c r="AE575">
        <v>-2.4569000000000099</v>
      </c>
      <c r="AF575">
        <v>0.91292460776206996</v>
      </c>
      <c r="AG575">
        <v>0.45071800000000001</v>
      </c>
      <c r="AH575">
        <v>236.83002696249599</v>
      </c>
      <c r="AI575">
        <v>89.890959704548607</v>
      </c>
      <c r="AJ575">
        <v>89.779139205309605</v>
      </c>
      <c r="AK575">
        <v>236.83221539543899</v>
      </c>
      <c r="AL575">
        <v>93.507814382142001</v>
      </c>
      <c r="AM575">
        <v>90.890837956169506</v>
      </c>
      <c r="AN575">
        <v>0.99999997915576899</v>
      </c>
    </row>
    <row r="576" spans="1:40" x14ac:dyDescent="0.25">
      <c r="A576" t="str">
        <f>"20190303153753093"</f>
        <v>20190303153753093</v>
      </c>
      <c r="B576" t="str">
        <f>"1551598673089589"</f>
        <v>1551598673089589</v>
      </c>
      <c r="C576" t="s">
        <v>40</v>
      </c>
      <c r="D576">
        <v>4.293793</v>
      </c>
      <c r="E576">
        <v>0.50754160000000004</v>
      </c>
      <c r="F576" t="s">
        <v>41</v>
      </c>
      <c r="G576">
        <v>-158.19499999999999</v>
      </c>
      <c r="H576">
        <v>1.5570809999999999</v>
      </c>
      <c r="I576">
        <v>365.39100000000002</v>
      </c>
      <c r="J576">
        <v>-394.84949999999998</v>
      </c>
      <c r="K576">
        <v>1.1118330000000001</v>
      </c>
      <c r="L576">
        <v>367.82650000000001</v>
      </c>
      <c r="M576">
        <v>0.99996510000000005</v>
      </c>
      <c r="N576">
        <v>-5.1409330000000003E-3</v>
      </c>
      <c r="O576">
        <v>-6.6102959999999999E-3</v>
      </c>
      <c r="P576">
        <v>0.9977741</v>
      </c>
      <c r="Q576">
        <v>-6.6102019999999997E-2</v>
      </c>
      <c r="R576">
        <v>8.8257660000000005E-3</v>
      </c>
      <c r="S576">
        <v>3.0074459999999998</v>
      </c>
      <c r="T576">
        <v>5.6653019999999997E-3</v>
      </c>
      <c r="U576">
        <v>-3.0944820000000001E-2</v>
      </c>
      <c r="V576">
        <v>-1.544094E-2</v>
      </c>
      <c r="W576">
        <v>-6.0967109999999998E-2</v>
      </c>
      <c r="X576">
        <v>0.99802040000000003</v>
      </c>
      <c r="Y576">
        <v>3.678775E-3</v>
      </c>
      <c r="Z576" s="1">
        <v>-5.2426049999999898E-5</v>
      </c>
      <c r="AA576">
        <v>0.99999320000000003</v>
      </c>
      <c r="AB576">
        <v>29</v>
      </c>
      <c r="AC576">
        <v>236.65450000000001</v>
      </c>
      <c r="AD576">
        <v>0.44524799999999898</v>
      </c>
      <c r="AE576">
        <v>-2.4355000000000402</v>
      </c>
      <c r="AF576">
        <v>0.87106699201677196</v>
      </c>
      <c r="AG576">
        <v>0.44524799999999898</v>
      </c>
      <c r="AH576">
        <v>236.66459131720001</v>
      </c>
      <c r="AI576">
        <v>89.892207667383204</v>
      </c>
      <c r="AJ576">
        <v>89.789118276319996</v>
      </c>
      <c r="AK576">
        <v>236.66661316464399</v>
      </c>
      <c r="AL576">
        <v>93.495325497109803</v>
      </c>
      <c r="AM576">
        <v>90.886384801111703</v>
      </c>
      <c r="AN576">
        <v>1.0000000649729901</v>
      </c>
    </row>
    <row r="577" spans="1:40" x14ac:dyDescent="0.25">
      <c r="A577" t="str">
        <f>"20190303153753105"</f>
        <v>20190303153753105</v>
      </c>
      <c r="B577" t="str">
        <f>"1551598673099349"</f>
        <v>1551598673099349</v>
      </c>
      <c r="C577" t="s">
        <v>40</v>
      </c>
      <c r="D577">
        <v>4.2855790000000002</v>
      </c>
      <c r="E577">
        <v>0.5074843</v>
      </c>
      <c r="F577" t="s">
        <v>41</v>
      </c>
      <c r="G577">
        <v>-158.19499999999999</v>
      </c>
      <c r="H577">
        <v>1.670498</v>
      </c>
      <c r="I577">
        <v>365.42750000000001</v>
      </c>
      <c r="J577">
        <v>-394.69040000000001</v>
      </c>
      <c r="K577">
        <v>1.1125119999999999</v>
      </c>
      <c r="L577">
        <v>367.8254</v>
      </c>
      <c r="M577">
        <v>0.99996459999999998</v>
      </c>
      <c r="N577">
        <v>-5.0924459999999996E-3</v>
      </c>
      <c r="O577">
        <v>-6.6973129999999999E-3</v>
      </c>
      <c r="P577">
        <v>0.99778429999999996</v>
      </c>
      <c r="Q577">
        <v>-6.5995769999999995E-2</v>
      </c>
      <c r="R577">
        <v>8.4445270000000003E-3</v>
      </c>
      <c r="S577">
        <v>3.0073850000000002</v>
      </c>
      <c r="T577">
        <v>7.1005819999999898E-3</v>
      </c>
      <c r="U577">
        <v>-3.048706E-2</v>
      </c>
      <c r="V577">
        <v>-1.514689E-2</v>
      </c>
      <c r="W577">
        <v>-6.0909270000000001E-2</v>
      </c>
      <c r="X577">
        <v>0.99802840000000004</v>
      </c>
      <c r="Y577">
        <v>3.4397910000000002E-3</v>
      </c>
      <c r="Z577" s="1">
        <v>-5.4615509999999898E-5</v>
      </c>
      <c r="AA577">
        <v>0.9999941</v>
      </c>
      <c r="AB577">
        <v>29</v>
      </c>
      <c r="AC577">
        <v>236.49539999999999</v>
      </c>
      <c r="AD577">
        <v>0.55798599999999898</v>
      </c>
      <c r="AE577">
        <v>-2.3978999999999902</v>
      </c>
      <c r="AF577">
        <v>0.813937425791602</v>
      </c>
      <c r="AG577">
        <v>0.55798599999999898</v>
      </c>
      <c r="AH577">
        <v>236.504839189145</v>
      </c>
      <c r="AI577">
        <v>89.864823086529796</v>
      </c>
      <c r="AJ577">
        <v>89.802815894467102</v>
      </c>
      <c r="AK577">
        <v>236.50689800171301</v>
      </c>
      <c r="AL577">
        <v>93.492005470683594</v>
      </c>
      <c r="AM577">
        <v>90.869500553765604</v>
      </c>
      <c r="AN577">
        <v>1.00000002732758</v>
      </c>
    </row>
    <row r="578" spans="1:40" x14ac:dyDescent="0.25">
      <c r="A578" t="str">
        <f>"20190303153753117"</f>
        <v>20190303153753117</v>
      </c>
      <c r="B578" t="str">
        <f>"1551598673109109"</f>
        <v>1551598673109109</v>
      </c>
      <c r="C578" t="s">
        <v>40</v>
      </c>
      <c r="D578">
        <v>4.2852480000000002</v>
      </c>
      <c r="E578">
        <v>0.50741259999999999</v>
      </c>
      <c r="F578" t="s">
        <v>41</v>
      </c>
      <c r="G578">
        <v>-158.19499999999999</v>
      </c>
      <c r="H578">
        <v>1.72167599999999</v>
      </c>
      <c r="I578">
        <v>365.3777</v>
      </c>
      <c r="J578">
        <v>-394.52600000000001</v>
      </c>
      <c r="K578">
        <v>1.1131409999999999</v>
      </c>
      <c r="L578">
        <v>367.82420000000002</v>
      </c>
      <c r="M578">
        <v>0.99996450000000003</v>
      </c>
      <c r="N578">
        <v>-5.0209E-3</v>
      </c>
      <c r="O578">
        <v>-6.7874889999999998E-3</v>
      </c>
      <c r="P578">
        <v>0.99779039999999997</v>
      </c>
      <c r="Q578">
        <v>-6.5964380000000003E-2</v>
      </c>
      <c r="R578">
        <v>7.9694050000000006E-3</v>
      </c>
      <c r="S578">
        <v>3.0074770000000002</v>
      </c>
      <c r="T578">
        <v>7.7477689999999998E-3</v>
      </c>
      <c r="U578">
        <v>-3.1127930000000002E-2</v>
      </c>
      <c r="V578">
        <v>-1.476185E-2</v>
      </c>
      <c r="W578">
        <v>-6.0949330000000003E-2</v>
      </c>
      <c r="X578">
        <v>0.99803169999999997</v>
      </c>
      <c r="Y578">
        <v>3.5623859999999999E-3</v>
      </c>
      <c r="Z578" s="1">
        <v>-5.591884E-5</v>
      </c>
      <c r="AA578">
        <v>0.99999369999999999</v>
      </c>
      <c r="AB578">
        <v>29</v>
      </c>
      <c r="AC578">
        <v>236.33099999999999</v>
      </c>
      <c r="AD578">
        <v>0.60853499999999905</v>
      </c>
      <c r="AE578">
        <v>-2.4465000000000101</v>
      </c>
      <c r="AF578">
        <v>0.84232400134289298</v>
      </c>
      <c r="AG578">
        <v>0.60853499999999905</v>
      </c>
      <c r="AH578">
        <v>236.34059488627599</v>
      </c>
      <c r="AI578">
        <v>89.852474820446503</v>
      </c>
      <c r="AJ578">
        <v>89.795797222478299</v>
      </c>
      <c r="AK578">
        <v>236.34287934221399</v>
      </c>
      <c r="AL578">
        <v>93.494305094832697</v>
      </c>
      <c r="AM578">
        <v>90.847397965635906</v>
      </c>
      <c r="AN578">
        <v>1.0000000036238801</v>
      </c>
    </row>
    <row r="579" spans="1:40" x14ac:dyDescent="0.25">
      <c r="A579" t="str">
        <f>"20190303153753128"</f>
        <v>20190303153753128</v>
      </c>
      <c r="B579" t="str">
        <f>"1551598673119845"</f>
        <v>1551598673119845</v>
      </c>
      <c r="C579" t="s">
        <v>40</v>
      </c>
      <c r="D579">
        <v>4.2617719999999997</v>
      </c>
      <c r="E579">
        <v>0.50736369999999997</v>
      </c>
      <c r="F579" t="s">
        <v>41</v>
      </c>
      <c r="G579">
        <v>-158.19499999999999</v>
      </c>
      <c r="H579">
        <v>1.7493510000000001</v>
      </c>
      <c r="I579">
        <v>365.30619999999999</v>
      </c>
      <c r="J579">
        <v>-394.37490000000003</v>
      </c>
      <c r="K579">
        <v>1.1136969999999999</v>
      </c>
      <c r="L579">
        <v>367.82310000000001</v>
      </c>
      <c r="M579">
        <v>0.99996419999999997</v>
      </c>
      <c r="N579">
        <v>-4.9461920000000003E-3</v>
      </c>
      <c r="O579">
        <v>-6.8700289999999997E-3</v>
      </c>
      <c r="P579">
        <v>0.99779359999999995</v>
      </c>
      <c r="Q579">
        <v>-6.5921599999999997E-2</v>
      </c>
      <c r="R579">
        <v>7.8908709999999903E-3</v>
      </c>
      <c r="S579">
        <v>3.0074160000000001</v>
      </c>
      <c r="T579">
        <v>8.0971719999999997E-3</v>
      </c>
      <c r="U579">
        <v>-3.2043460000000003E-2</v>
      </c>
      <c r="V579">
        <v>-1.476563E-2</v>
      </c>
      <c r="W579">
        <v>-6.098108E-2</v>
      </c>
      <c r="X579">
        <v>0.99802970000000002</v>
      </c>
      <c r="Y579">
        <v>3.7844480000000002E-3</v>
      </c>
      <c r="Z579" s="1">
        <v>-5.674123E-5</v>
      </c>
      <c r="AA579">
        <v>0.99999280000000002</v>
      </c>
      <c r="AB579">
        <v>29</v>
      </c>
      <c r="AC579">
        <v>236.1799</v>
      </c>
      <c r="AD579">
        <v>0.63565399999999905</v>
      </c>
      <c r="AE579">
        <v>-2.5169000000000201</v>
      </c>
      <c r="AF579">
        <v>0.89425156652890003</v>
      </c>
      <c r="AG579">
        <v>0.63565399999999905</v>
      </c>
      <c r="AH579">
        <v>236.18990698274899</v>
      </c>
      <c r="AI579">
        <v>89.845802291349898</v>
      </c>
      <c r="AJ579">
        <v>89.783070341931406</v>
      </c>
      <c r="AK579">
        <v>236.19245521902599</v>
      </c>
      <c r="AL579">
        <v>93.496127642065005</v>
      </c>
      <c r="AM579">
        <v>90.847616621665907</v>
      </c>
      <c r="AN579">
        <v>0.99999999901467596</v>
      </c>
    </row>
    <row r="580" spans="1:40" x14ac:dyDescent="0.25">
      <c r="A580" t="str">
        <f>"20190303153753140"</f>
        <v>20190303153753140</v>
      </c>
      <c r="B580" t="str">
        <f>"1551598673129606"</f>
        <v>1551598673129606</v>
      </c>
      <c r="C580" t="s">
        <v>40</v>
      </c>
      <c r="D580">
        <v>4.2544129999999996</v>
      </c>
      <c r="E580">
        <v>0.50732299999999997</v>
      </c>
      <c r="F580" t="s">
        <v>41</v>
      </c>
      <c r="G580">
        <v>-158.19499999999999</v>
      </c>
      <c r="H580">
        <v>1.7836019999999999</v>
      </c>
      <c r="I580">
        <v>365.29480000000001</v>
      </c>
      <c r="J580">
        <v>-394.22789999999998</v>
      </c>
      <c r="K580">
        <v>1.1141620000000001</v>
      </c>
      <c r="L580">
        <v>367.822</v>
      </c>
      <c r="M580">
        <v>0.99996419999999997</v>
      </c>
      <c r="N580">
        <v>-4.8506249999999999E-3</v>
      </c>
      <c r="O580">
        <v>-6.9496530000000001E-3</v>
      </c>
      <c r="P580">
        <v>0.99782360000000003</v>
      </c>
      <c r="Q580">
        <v>-6.5451930000000005E-2</v>
      </c>
      <c r="R580">
        <v>8.0235759999999993E-3</v>
      </c>
      <c r="S580">
        <v>3.0074770000000002</v>
      </c>
      <c r="T580">
        <v>8.5315700000000005E-3</v>
      </c>
      <c r="U580">
        <v>-3.2196040000000002E-2</v>
      </c>
      <c r="V580">
        <v>-1.497775E-2</v>
      </c>
      <c r="W580">
        <v>-6.0606559999999997E-2</v>
      </c>
      <c r="X580">
        <v>0.99804939999999998</v>
      </c>
      <c r="Y580">
        <v>3.7553420000000001E-3</v>
      </c>
      <c r="Z580" s="1">
        <v>-5.7205289999999999E-5</v>
      </c>
      <c r="AA580">
        <v>0.99999300000000002</v>
      </c>
      <c r="AB580">
        <v>29</v>
      </c>
      <c r="AC580">
        <v>236.03290000000001</v>
      </c>
      <c r="AD580">
        <v>0.66943999999999904</v>
      </c>
      <c r="AE580">
        <v>-2.5271999999999299</v>
      </c>
      <c r="AF580">
        <v>0.88676597365572796</v>
      </c>
      <c r="AG580">
        <v>0.66943999999999904</v>
      </c>
      <c r="AH580">
        <v>236.042864707544</v>
      </c>
      <c r="AI580">
        <v>89.837505305734197</v>
      </c>
      <c r="AJ580">
        <v>89.7847521942914</v>
      </c>
      <c r="AK580">
        <v>236.04547969226101</v>
      </c>
      <c r="AL580">
        <v>93.474629297249805</v>
      </c>
      <c r="AM580">
        <v>90.859774524072606</v>
      </c>
      <c r="AN580">
        <v>1.0000000464752199</v>
      </c>
    </row>
    <row r="581" spans="1:40" x14ac:dyDescent="0.25">
      <c r="A581" t="str">
        <f>"20190303153753158"</f>
        <v>20190303153753158</v>
      </c>
      <c r="B581" t="str">
        <f>"1551598673150101"</f>
        <v>1551598673150101</v>
      </c>
      <c r="C581" t="s">
        <v>40</v>
      </c>
      <c r="D581">
        <v>4.2826409999999999</v>
      </c>
      <c r="E581">
        <v>0.50721669999999996</v>
      </c>
      <c r="F581" t="s">
        <v>41</v>
      </c>
      <c r="G581">
        <v>-158.19499999999999</v>
      </c>
      <c r="H581">
        <v>1.9224159999999999</v>
      </c>
      <c r="I581">
        <v>365.3623</v>
      </c>
      <c r="J581">
        <v>-393.97800000000001</v>
      </c>
      <c r="K581">
        <v>1.1148979999999999</v>
      </c>
      <c r="L581">
        <v>367.8202</v>
      </c>
      <c r="M581">
        <v>0.99996410000000002</v>
      </c>
      <c r="N581">
        <v>-4.6756059999999997E-3</v>
      </c>
      <c r="O581">
        <v>-7.0845150000000004E-3</v>
      </c>
      <c r="P581">
        <v>0.99785829999999998</v>
      </c>
      <c r="Q581">
        <v>-6.4900699999999895E-2</v>
      </c>
      <c r="R581">
        <v>8.1956169999999901E-3</v>
      </c>
      <c r="S581">
        <v>3.0075069999999999</v>
      </c>
      <c r="T581">
        <v>1.02998E-2</v>
      </c>
      <c r="U581">
        <v>-3.1341550000000003E-2</v>
      </c>
      <c r="V581">
        <v>-1.528506E-2</v>
      </c>
      <c r="W581">
        <v>-6.0229749999999999E-2</v>
      </c>
      <c r="X581">
        <v>0.9980675</v>
      </c>
      <c r="Y581">
        <v>3.3363109999999998E-3</v>
      </c>
      <c r="Z581" s="1">
        <v>-5.9472300000000003E-5</v>
      </c>
      <c r="AA581">
        <v>0.99999450000000001</v>
      </c>
      <c r="AB581">
        <v>30</v>
      </c>
      <c r="AC581">
        <v>235.78299999999999</v>
      </c>
      <c r="AD581">
        <v>0.80751799999999996</v>
      </c>
      <c r="AE581">
        <v>-2.4578999999999902</v>
      </c>
      <c r="AF581">
        <v>0.78740283369520103</v>
      </c>
      <c r="AG581">
        <v>0.80751799999999996</v>
      </c>
      <c r="AH581">
        <v>235.79173058122601</v>
      </c>
      <c r="AI581">
        <v>89.803780504466502</v>
      </c>
      <c r="AJ581">
        <v>89.808667202465102</v>
      </c>
      <c r="AK581">
        <v>235.794428049164</v>
      </c>
      <c r="AL581">
        <v>93.453000339630407</v>
      </c>
      <c r="AM581">
        <v>90.877396538781596</v>
      </c>
      <c r="AN581">
        <v>0.99999999520025795</v>
      </c>
    </row>
    <row r="582" spans="1:40" x14ac:dyDescent="0.25">
      <c r="A582" t="str">
        <f>"20190303153753172"</f>
        <v>20190303153753172</v>
      </c>
      <c r="B582" t="str">
        <f>"1551598673159861"</f>
        <v>1551598673159861</v>
      </c>
      <c r="C582" t="s">
        <v>40</v>
      </c>
      <c r="D582">
        <v>4.2670969999999997</v>
      </c>
      <c r="E582">
        <v>0.50715569999999999</v>
      </c>
      <c r="F582" t="s">
        <v>41</v>
      </c>
      <c r="G582">
        <v>-158.19499999999999</v>
      </c>
      <c r="H582">
        <v>2.0849419999999999</v>
      </c>
      <c r="I582">
        <v>365.48739999999998</v>
      </c>
      <c r="J582">
        <v>-393.80770000000001</v>
      </c>
      <c r="K582">
        <v>1.115348</v>
      </c>
      <c r="L582">
        <v>367.81889999999999</v>
      </c>
      <c r="M582">
        <v>0.99996390000000002</v>
      </c>
      <c r="N582">
        <v>-4.5472890000000004E-3</v>
      </c>
      <c r="O582">
        <v>-7.175753E-3</v>
      </c>
      <c r="P582">
        <v>0.99785219999999997</v>
      </c>
      <c r="Q582">
        <v>-6.50144E-2</v>
      </c>
      <c r="R582">
        <v>8.0161099999999999E-3</v>
      </c>
      <c r="S582">
        <v>3.0074459999999998</v>
      </c>
      <c r="T582">
        <v>1.237416E-2</v>
      </c>
      <c r="U582">
        <v>-2.9754639999999999E-2</v>
      </c>
      <c r="V582">
        <v>-1.5196309999999999E-2</v>
      </c>
      <c r="W582">
        <v>-6.0471579999999997E-2</v>
      </c>
      <c r="X582">
        <v>0.99805429999999995</v>
      </c>
      <c r="Y582">
        <v>2.7177130000000001E-3</v>
      </c>
      <c r="Z582" s="1">
        <v>-6.2741619999999895E-5</v>
      </c>
      <c r="AA582">
        <v>0.99999629999999995</v>
      </c>
      <c r="AB582">
        <v>30</v>
      </c>
      <c r="AC582">
        <v>235.61269999999999</v>
      </c>
      <c r="AD582">
        <v>0.96959399999999896</v>
      </c>
      <c r="AE582">
        <v>-2.3315000000000001</v>
      </c>
      <c r="AF582">
        <v>0.64071307849675196</v>
      </c>
      <c r="AG582">
        <v>0.96959399999999896</v>
      </c>
      <c r="AH582">
        <v>235.61937442196401</v>
      </c>
      <c r="AI582">
        <v>89.764225139758807</v>
      </c>
      <c r="AJ582">
        <v>89.844197596723504</v>
      </c>
      <c r="AK582">
        <v>235.62224052234799</v>
      </c>
      <c r="AL582">
        <v>93.466881245513704</v>
      </c>
      <c r="AM582">
        <v>90.872314415358801</v>
      </c>
      <c r="AN582">
        <v>1.0000000627868899</v>
      </c>
    </row>
    <row r="583" spans="1:40" x14ac:dyDescent="0.25">
      <c r="A583" t="str">
        <f>"20190303153753184"</f>
        <v>20190303153753184</v>
      </c>
      <c r="B583" t="str">
        <f>"1551598673179381"</f>
        <v>1551598673179381</v>
      </c>
      <c r="C583" t="s">
        <v>40</v>
      </c>
      <c r="D583">
        <v>4.2460239999999896</v>
      </c>
      <c r="E583">
        <v>0.50705929999999999</v>
      </c>
      <c r="F583" t="s">
        <v>41</v>
      </c>
      <c r="G583">
        <v>-158.19499999999999</v>
      </c>
      <c r="H583">
        <v>2.0771350000000002</v>
      </c>
      <c r="I583">
        <v>365.48309999999998</v>
      </c>
      <c r="J583">
        <v>-393.63459999999998</v>
      </c>
      <c r="K583">
        <v>1.1157490000000001</v>
      </c>
      <c r="L583">
        <v>367.81760000000003</v>
      </c>
      <c r="M583">
        <v>0.99996399999999996</v>
      </c>
      <c r="N583">
        <v>-4.4116499999999996E-3</v>
      </c>
      <c r="O583">
        <v>-7.2669830000000003E-3</v>
      </c>
      <c r="P583">
        <v>0.99784490000000003</v>
      </c>
      <c r="Q583">
        <v>-6.5150860000000005E-2</v>
      </c>
      <c r="R583">
        <v>7.8146029999999998E-3</v>
      </c>
      <c r="S583">
        <v>3.0075069999999999</v>
      </c>
      <c r="T583">
        <v>1.2277959999999999E-2</v>
      </c>
      <c r="U583">
        <v>-2.9815669999999999E-2</v>
      </c>
      <c r="V583">
        <v>-1.508612E-2</v>
      </c>
      <c r="W583">
        <v>-6.0743440000000003E-2</v>
      </c>
      <c r="X583">
        <v>0.99803940000000002</v>
      </c>
      <c r="Y583">
        <v>2.6465690000000001E-3</v>
      </c>
      <c r="Z583" s="1">
        <v>-6.2160620000000004E-5</v>
      </c>
      <c r="AA583">
        <v>0.99999649999999995</v>
      </c>
      <c r="AB583">
        <v>30</v>
      </c>
      <c r="AC583">
        <v>235.43960000000001</v>
      </c>
      <c r="AD583">
        <v>0.96138599999999996</v>
      </c>
      <c r="AE583">
        <v>-2.3345000000000402</v>
      </c>
      <c r="AF583">
        <v>0.62347597480927397</v>
      </c>
      <c r="AG583">
        <v>0.96138599999999996</v>
      </c>
      <c r="AH583">
        <v>235.44642264486501</v>
      </c>
      <c r="AI583">
        <v>89.766049276051803</v>
      </c>
      <c r="AJ583">
        <v>89.848277760666704</v>
      </c>
      <c r="AK583">
        <v>235.44921091733599</v>
      </c>
      <c r="AL583">
        <v>93.4824865805748</v>
      </c>
      <c r="AM583">
        <v>90.866003067618905</v>
      </c>
      <c r="AN583">
        <v>1.0000000002360201</v>
      </c>
    </row>
    <row r="584" spans="1:40" x14ac:dyDescent="0.25">
      <c r="A584" t="str">
        <f>"20190303153753202"</f>
        <v>20190303153753202</v>
      </c>
      <c r="B584" t="str">
        <f>"1551598673199877"</f>
        <v>1551598673199877</v>
      </c>
      <c r="C584" t="s">
        <v>40</v>
      </c>
      <c r="D584">
        <v>4.2434019999999997</v>
      </c>
      <c r="E584">
        <v>0.50696620000000003</v>
      </c>
      <c r="F584" t="s">
        <v>41</v>
      </c>
      <c r="G584">
        <v>-158.19499999999999</v>
      </c>
      <c r="H584">
        <v>2.0866560000000001</v>
      </c>
      <c r="I584">
        <v>365.49299999999999</v>
      </c>
      <c r="J584">
        <v>-393.3972</v>
      </c>
      <c r="K584">
        <v>1.1162399999999999</v>
      </c>
      <c r="L584">
        <v>367.81569999999999</v>
      </c>
      <c r="M584">
        <v>0.99996379999999996</v>
      </c>
      <c r="N584">
        <v>-4.2267019999999997E-3</v>
      </c>
      <c r="O584">
        <v>-7.3900550000000004E-3</v>
      </c>
      <c r="P584">
        <v>0.9978378</v>
      </c>
      <c r="Q584">
        <v>-6.5309820000000005E-2</v>
      </c>
      <c r="R584">
        <v>7.3690689999999998E-3</v>
      </c>
      <c r="S584">
        <v>3.0074770000000002</v>
      </c>
      <c r="T584">
        <v>1.240337E-2</v>
      </c>
      <c r="U584">
        <v>-2.9693600000000001E-2</v>
      </c>
      <c r="V584">
        <v>-1.4763149999999999E-2</v>
      </c>
      <c r="W584">
        <v>-6.108715E-2</v>
      </c>
      <c r="X584">
        <v>0.99802329999999995</v>
      </c>
      <c r="Y584">
        <v>2.4830080000000001E-3</v>
      </c>
      <c r="Z584" s="1">
        <v>-6.1839299999999996E-5</v>
      </c>
      <c r="AA584">
        <v>0.99999689999999997</v>
      </c>
      <c r="AB584">
        <v>30</v>
      </c>
      <c r="AC584">
        <v>235.2022</v>
      </c>
      <c r="AD584">
        <v>0.97041599999999995</v>
      </c>
      <c r="AE584">
        <v>-2.3226999999999398</v>
      </c>
      <c r="AF584">
        <v>0.58445397361245299</v>
      </c>
      <c r="AG584">
        <v>0.97041599999999995</v>
      </c>
      <c r="AH584">
        <v>235.20893874881199</v>
      </c>
      <c r="AI584">
        <v>89.763613345870894</v>
      </c>
      <c r="AJ584">
        <v>89.857630082997105</v>
      </c>
      <c r="AK584">
        <v>235.21166671957999</v>
      </c>
      <c r="AL584">
        <v>93.5022161817258</v>
      </c>
      <c r="AM584">
        <v>90.847479712549998</v>
      </c>
      <c r="AN584">
        <v>1.0000000489179599</v>
      </c>
    </row>
    <row r="585" spans="1:40" x14ac:dyDescent="0.25">
      <c r="A585" t="str">
        <f>"20190303153753216"</f>
        <v>20190303153753216</v>
      </c>
      <c r="B585" t="str">
        <f>"1551598673209637"</f>
        <v>1551598673209637</v>
      </c>
      <c r="C585" t="s">
        <v>40</v>
      </c>
      <c r="D585">
        <v>4.234299</v>
      </c>
      <c r="E585">
        <v>0.50692309999999996</v>
      </c>
      <c r="F585" t="s">
        <v>41</v>
      </c>
      <c r="G585">
        <v>-158.19499999999999</v>
      </c>
      <c r="H585">
        <v>2.0908099999999998</v>
      </c>
      <c r="I585">
        <v>365.43150000000003</v>
      </c>
      <c r="J585">
        <v>-393.21300000000002</v>
      </c>
      <c r="K585">
        <v>1.116581</v>
      </c>
      <c r="L585">
        <v>367.8143</v>
      </c>
      <c r="M585">
        <v>0.99996370000000001</v>
      </c>
      <c r="N585">
        <v>-4.0867859999999898E-3</v>
      </c>
      <c r="O585">
        <v>-7.4827209999999899E-3</v>
      </c>
      <c r="P585">
        <v>0.99785360000000001</v>
      </c>
      <c r="Q585">
        <v>-6.5128539999999999E-2</v>
      </c>
      <c r="R585">
        <v>6.8325869999999898E-3</v>
      </c>
      <c r="S585">
        <v>3.0075379999999998</v>
      </c>
      <c r="T585">
        <v>1.246297E-2</v>
      </c>
      <c r="U585">
        <v>-3.048706E-2</v>
      </c>
      <c r="V585">
        <v>-1.4319180000000001E-2</v>
      </c>
      <c r="W585">
        <v>-6.104561E-2</v>
      </c>
      <c r="X585">
        <v>0.99803229999999998</v>
      </c>
      <c r="Y585">
        <v>2.6539329999999998E-3</v>
      </c>
      <c r="Z585" s="1">
        <v>-6.1510699999999994E-5</v>
      </c>
      <c r="AA585">
        <v>0.99999649999999995</v>
      </c>
      <c r="AB585">
        <v>30</v>
      </c>
      <c r="AC585">
        <v>235.018</v>
      </c>
      <c r="AD585">
        <v>0.97422899999999901</v>
      </c>
      <c r="AE585">
        <v>-2.3827999999999698</v>
      </c>
      <c r="AF585">
        <v>0.62413383926074095</v>
      </c>
      <c r="AG585">
        <v>0.97422899999999901</v>
      </c>
      <c r="AH585">
        <v>235.025212097392</v>
      </c>
      <c r="AI585">
        <v>89.7624991252884</v>
      </c>
      <c r="AJ585">
        <v>89.847845469602902</v>
      </c>
      <c r="AK585">
        <v>235.02805999841399</v>
      </c>
      <c r="AL585">
        <v>93.499831701006798</v>
      </c>
      <c r="AM585">
        <v>90.821989721629294</v>
      </c>
      <c r="AN585">
        <v>1.0000000386297101</v>
      </c>
    </row>
    <row r="586" spans="1:40" x14ac:dyDescent="0.25">
      <c r="A586" t="str">
        <f>"20190303153753228"</f>
        <v>20190303153753228</v>
      </c>
      <c r="B586" t="str">
        <f>"1551598673219397"</f>
        <v>1551598673219397</v>
      </c>
      <c r="C586" t="s">
        <v>40</v>
      </c>
      <c r="D586">
        <v>4.2263289999999998</v>
      </c>
      <c r="E586">
        <v>0.50687369999999998</v>
      </c>
      <c r="F586" t="s">
        <v>41</v>
      </c>
      <c r="G586">
        <v>-158.19499999999999</v>
      </c>
      <c r="H586">
        <v>2.1451539999999998</v>
      </c>
      <c r="I586">
        <v>365.31990000000002</v>
      </c>
      <c r="J586">
        <v>-393.04140000000001</v>
      </c>
      <c r="K586">
        <v>1.1168750000000001</v>
      </c>
      <c r="L586">
        <v>367.81290000000001</v>
      </c>
      <c r="M586">
        <v>0.99996359999999995</v>
      </c>
      <c r="N586">
        <v>-3.9595780000000001E-3</v>
      </c>
      <c r="O586">
        <v>-7.567079E-3</v>
      </c>
      <c r="P586">
        <v>0.99791989999999997</v>
      </c>
      <c r="Q586">
        <v>-6.4158129999999994E-2</v>
      </c>
      <c r="R586">
        <v>6.320188E-3</v>
      </c>
      <c r="S586">
        <v>3.0075379999999998</v>
      </c>
      <c r="T586">
        <v>1.316381E-2</v>
      </c>
      <c r="U586">
        <v>-3.1921390000000001E-2</v>
      </c>
      <c r="V586">
        <v>-1.389111E-2</v>
      </c>
      <c r="W586">
        <v>-6.0202070000000003E-2</v>
      </c>
      <c r="X586">
        <v>0.99808960000000002</v>
      </c>
      <c r="Y586">
        <v>3.046441E-3</v>
      </c>
      <c r="Z586" s="1">
        <v>-6.2445609999999896E-5</v>
      </c>
      <c r="AA586">
        <v>0.99999539999999998</v>
      </c>
      <c r="AB586">
        <v>30</v>
      </c>
      <c r="AC586">
        <v>234.84639999999999</v>
      </c>
      <c r="AD586">
        <v>1.0282789999999999</v>
      </c>
      <c r="AE586">
        <v>-2.4929999999999901</v>
      </c>
      <c r="AF586">
        <v>0.71579983296022698</v>
      </c>
      <c r="AG586">
        <v>1.0282789999999999</v>
      </c>
      <c r="AH586">
        <v>234.854038964545</v>
      </c>
      <c r="AI586">
        <v>89.7491403724229</v>
      </c>
      <c r="AJ586">
        <v>89.825371611264401</v>
      </c>
      <c r="AK586">
        <v>234.85738086136999</v>
      </c>
      <c r="AL586">
        <v>93.4514113168444</v>
      </c>
      <c r="AM586">
        <v>90.797373895458307</v>
      </c>
      <c r="AN586">
        <v>1.0000000508987299</v>
      </c>
    </row>
    <row r="587" spans="1:40" x14ac:dyDescent="0.25">
      <c r="A587" t="str">
        <f>"20190303153753241"</f>
        <v>20190303153753241</v>
      </c>
      <c r="B587" t="str">
        <f>"1551598673229158"</f>
        <v>1551598673229158</v>
      </c>
      <c r="C587" t="s">
        <v>40</v>
      </c>
      <c r="D587">
        <v>4.2087519999999996</v>
      </c>
      <c r="E587">
        <v>0.50684949999999995</v>
      </c>
      <c r="F587" t="s">
        <v>41</v>
      </c>
      <c r="G587">
        <v>-158.19499999999999</v>
      </c>
      <c r="H587">
        <v>2.3749470000000001</v>
      </c>
      <c r="I587">
        <v>365.25839999999999</v>
      </c>
      <c r="J587">
        <v>-392.86520000000002</v>
      </c>
      <c r="K587">
        <v>1.1171439999999999</v>
      </c>
      <c r="L587">
        <v>367.81150000000002</v>
      </c>
      <c r="M587">
        <v>0.99996350000000001</v>
      </c>
      <c r="N587">
        <v>-3.8385379999999998E-3</v>
      </c>
      <c r="O587">
        <v>-7.6493079999999996E-3</v>
      </c>
      <c r="P587">
        <v>0.99802060000000004</v>
      </c>
      <c r="Q587">
        <v>-6.2648969999999998E-2</v>
      </c>
      <c r="R587">
        <v>5.4920639999999996E-3</v>
      </c>
      <c r="S587">
        <v>3.0075069999999999</v>
      </c>
      <c r="T587">
        <v>1.6112330000000001E-2</v>
      </c>
      <c r="U587">
        <v>-3.2714840000000002E-2</v>
      </c>
      <c r="V587">
        <v>-1.314499E-2</v>
      </c>
      <c r="W587">
        <v>-5.8813619999999997E-2</v>
      </c>
      <c r="X587">
        <v>0.99818240000000003</v>
      </c>
      <c r="Y587">
        <v>3.2281660000000002E-3</v>
      </c>
      <c r="Z587" s="1">
        <v>-6.7888500000000006E-5</v>
      </c>
      <c r="AA587">
        <v>0.99999479999999996</v>
      </c>
      <c r="AB587">
        <v>30</v>
      </c>
      <c r="AC587">
        <v>234.67019999999999</v>
      </c>
      <c r="AD587">
        <v>1.257803</v>
      </c>
      <c r="AE587">
        <v>-2.5531000000000201</v>
      </c>
      <c r="AF587">
        <v>0.75792589243200903</v>
      </c>
      <c r="AG587">
        <v>1.257803</v>
      </c>
      <c r="AH587">
        <v>234.67612284922899</v>
      </c>
      <c r="AI587">
        <v>89.692914061427103</v>
      </c>
      <c r="AJ587">
        <v>89.814954315312207</v>
      </c>
      <c r="AK587">
        <v>234.68071747715399</v>
      </c>
      <c r="AL587">
        <v>93.371718038739203</v>
      </c>
      <c r="AM587">
        <v>90.754480259205195</v>
      </c>
      <c r="AN587">
        <v>0.99999996816468095</v>
      </c>
    </row>
    <row r="588" spans="1:40" x14ac:dyDescent="0.25">
      <c r="A588" t="str">
        <f>"20190303153753260"</f>
        <v>20190303153753260</v>
      </c>
      <c r="B588" t="str">
        <f>"1551598673249653"</f>
        <v>1551598673249653</v>
      </c>
      <c r="C588" t="s">
        <v>40</v>
      </c>
      <c r="D588">
        <v>4.1999709999999997</v>
      </c>
      <c r="E588">
        <v>0.50676880000000002</v>
      </c>
      <c r="F588" t="s">
        <v>41</v>
      </c>
      <c r="G588">
        <v>-158.19499999999999</v>
      </c>
      <c r="H588">
        <v>2.751703</v>
      </c>
      <c r="I588">
        <v>365.06119999999999</v>
      </c>
      <c r="J588">
        <v>-392.61689999999999</v>
      </c>
      <c r="K588">
        <v>1.117505</v>
      </c>
      <c r="L588">
        <v>367.80950000000001</v>
      </c>
      <c r="M588">
        <v>0.99996320000000005</v>
      </c>
      <c r="N588">
        <v>-3.680582E-3</v>
      </c>
      <c r="O588">
        <v>-7.7584009999999998E-3</v>
      </c>
      <c r="P588">
        <v>0.99833640000000001</v>
      </c>
      <c r="Q588">
        <v>-5.7513740000000001E-2</v>
      </c>
      <c r="R588">
        <v>4.0899949999999999E-3</v>
      </c>
      <c r="S588">
        <v>3.0074459999999998</v>
      </c>
      <c r="T588">
        <v>2.0949010000000001E-2</v>
      </c>
      <c r="U588">
        <v>-3.5247800000000003E-2</v>
      </c>
      <c r="V588">
        <v>-1.185224E-2</v>
      </c>
      <c r="W588">
        <v>-5.3835439999999998E-2</v>
      </c>
      <c r="X588">
        <v>0.99847949999999996</v>
      </c>
      <c r="Y588">
        <v>3.9614949999999998E-3</v>
      </c>
      <c r="Z588" s="1">
        <v>-7.6087769999999896E-5</v>
      </c>
      <c r="AA588">
        <v>0.99999210000000005</v>
      </c>
      <c r="AB588">
        <v>30</v>
      </c>
      <c r="AC588">
        <v>234.42189999999999</v>
      </c>
      <c r="AD588">
        <v>1.634198</v>
      </c>
      <c r="AE588">
        <v>-2.7483000000000199</v>
      </c>
      <c r="AF588">
        <v>0.92942082812086202</v>
      </c>
      <c r="AG588">
        <v>1.634198</v>
      </c>
      <c r="AH588">
        <v>234.42477623427899</v>
      </c>
      <c r="AI588">
        <v>89.6005951364981</v>
      </c>
      <c r="AJ588">
        <v>89.772841366499904</v>
      </c>
      <c r="AK588">
        <v>234.43231462123799</v>
      </c>
      <c r="AL588">
        <v>93.086035347177003</v>
      </c>
      <c r="AM588">
        <v>90.680085507355699</v>
      </c>
      <c r="AN588">
        <v>1.00000002105663</v>
      </c>
    </row>
    <row r="589" spans="1:40" x14ac:dyDescent="0.25">
      <c r="A589" t="str">
        <f>"20190303153753274"</f>
        <v>20190303153753274</v>
      </c>
      <c r="B589" t="str">
        <f>"1551598673269173"</f>
        <v>1551598673269173</v>
      </c>
      <c r="C589" t="s">
        <v>40</v>
      </c>
      <c r="D589">
        <v>4.1807699999999999</v>
      </c>
      <c r="E589">
        <v>0.5066929</v>
      </c>
      <c r="F589" t="s">
        <v>41</v>
      </c>
      <c r="G589">
        <v>-158.19499999999999</v>
      </c>
      <c r="H589">
        <v>3.998669</v>
      </c>
      <c r="I589">
        <v>364.84070000000003</v>
      </c>
      <c r="J589">
        <v>-392.42570000000001</v>
      </c>
      <c r="K589">
        <v>1.117753</v>
      </c>
      <c r="L589">
        <v>367.80790000000002</v>
      </c>
      <c r="M589">
        <v>0.99996300000000005</v>
      </c>
      <c r="N589">
        <v>-3.5711699999999998E-3</v>
      </c>
      <c r="O589">
        <v>-7.8362469999999993E-3</v>
      </c>
      <c r="P589">
        <v>0.99852890000000005</v>
      </c>
      <c r="Q589">
        <v>-5.4114860000000001E-2</v>
      </c>
      <c r="R589">
        <v>3.4884479999999999E-3</v>
      </c>
      <c r="S589">
        <v>3.0072939999999999</v>
      </c>
      <c r="T589">
        <v>3.6962269999999998E-2</v>
      </c>
      <c r="U589">
        <v>-3.8085939999999999E-2</v>
      </c>
      <c r="V589">
        <v>-1.1328090000000001E-2</v>
      </c>
      <c r="W589">
        <v>-5.0545420000000001E-2</v>
      </c>
      <c r="X589">
        <v>0.99865749999999998</v>
      </c>
      <c r="Y589">
        <v>4.8281770000000003E-3</v>
      </c>
      <c r="Z589">
        <v>-1.0324039999999999E-4</v>
      </c>
      <c r="AA589">
        <v>0.99998830000000005</v>
      </c>
      <c r="AB589">
        <v>31</v>
      </c>
      <c r="AC589">
        <v>234.23070000000001</v>
      </c>
      <c r="AD589">
        <v>2.880916</v>
      </c>
      <c r="AE589">
        <v>-2.9671999999999898</v>
      </c>
      <c r="AF589">
        <v>1.13143658483677</v>
      </c>
      <c r="AG589">
        <v>2.880916</v>
      </c>
      <c r="AH589">
        <v>234.211334825791</v>
      </c>
      <c r="AI589">
        <v>89.295277155496606</v>
      </c>
      <c r="AJ589">
        <v>89.723215629730504</v>
      </c>
      <c r="AK589">
        <v>234.23178517576</v>
      </c>
      <c r="AL589">
        <v>92.897273859417595</v>
      </c>
      <c r="AM589">
        <v>90.649896396988098</v>
      </c>
      <c r="AN589">
        <v>0.99999998370613696</v>
      </c>
    </row>
    <row r="590" spans="1:40" x14ac:dyDescent="0.25">
      <c r="A590" t="str">
        <f>"20190303153753288"</f>
        <v>20190303153753288</v>
      </c>
      <c r="B590" t="str">
        <f>"1551598673279911"</f>
        <v>1551598673279911</v>
      </c>
      <c r="C590" t="s">
        <v>40</v>
      </c>
      <c r="D590">
        <v>4.18398</v>
      </c>
      <c r="E590">
        <v>0.50665400000000005</v>
      </c>
      <c r="F590" t="s">
        <v>41</v>
      </c>
      <c r="G590">
        <v>-158.19499999999999</v>
      </c>
      <c r="H590">
        <v>4.8204570000000002</v>
      </c>
      <c r="I590">
        <v>364.75819999999999</v>
      </c>
      <c r="J590">
        <v>-392.21370000000002</v>
      </c>
      <c r="K590">
        <v>1.1179950000000001</v>
      </c>
      <c r="L590">
        <v>367.80619999999999</v>
      </c>
      <c r="M590">
        <v>0.99996280000000004</v>
      </c>
      <c r="N590">
        <v>-3.4634869999999999E-3</v>
      </c>
      <c r="O590">
        <v>-7.9148099999999996E-3</v>
      </c>
      <c r="P590">
        <v>0.99869660000000005</v>
      </c>
      <c r="Q590">
        <v>-5.0976979999999998E-2</v>
      </c>
      <c r="R590">
        <v>2.6308999999999998E-3</v>
      </c>
      <c r="S590">
        <v>3.0071409999999998</v>
      </c>
      <c r="T590">
        <v>4.7537799999999998E-2</v>
      </c>
      <c r="U590">
        <v>-3.9154050000000003E-2</v>
      </c>
      <c r="V590">
        <v>-1.054917E-2</v>
      </c>
      <c r="W590">
        <v>-4.7514889999999997E-2</v>
      </c>
      <c r="X590">
        <v>0.9988148</v>
      </c>
      <c r="Y590">
        <v>5.105633E-3</v>
      </c>
      <c r="Z590">
        <v>-1.210052E-4</v>
      </c>
      <c r="AA590">
        <v>0.99998690000000001</v>
      </c>
      <c r="AB590">
        <v>31</v>
      </c>
      <c r="AC590">
        <v>234.0187</v>
      </c>
      <c r="AD590">
        <v>3.7024620000000001</v>
      </c>
      <c r="AE590">
        <v>-3.048</v>
      </c>
      <c r="AF590">
        <v>1.1953809283691501</v>
      </c>
      <c r="AG590">
        <v>3.7024620000000001</v>
      </c>
      <c r="AH590">
        <v>233.97693723353601</v>
      </c>
      <c r="AI590">
        <v>89.093436397971104</v>
      </c>
      <c r="AJ590">
        <v>89.707280183149905</v>
      </c>
      <c r="AK590">
        <v>234.00928254582399</v>
      </c>
      <c r="AL590">
        <v>92.723428143970807</v>
      </c>
      <c r="AM590">
        <v>90.605117630979095</v>
      </c>
      <c r="AN590">
        <v>0.99999997722921996</v>
      </c>
    </row>
    <row r="591" spans="1:40" x14ac:dyDescent="0.25">
      <c r="A591" t="str">
        <f>"20190303153753302"</f>
        <v>20190303153753302</v>
      </c>
      <c r="B591" t="str">
        <f>"1551598673299430"</f>
        <v>1551598673299430</v>
      </c>
      <c r="C591" t="s">
        <v>40</v>
      </c>
      <c r="D591">
        <v>4.1559819999999998</v>
      </c>
      <c r="E591">
        <v>0.50657799999999997</v>
      </c>
      <c r="F591" t="s">
        <v>41</v>
      </c>
      <c r="G591">
        <v>-158.19499999999999</v>
      </c>
      <c r="H591">
        <v>5.5630990000000002</v>
      </c>
      <c r="I591">
        <v>364.61180000000002</v>
      </c>
      <c r="J591">
        <v>-392.02449999999999</v>
      </c>
      <c r="K591">
        <v>1.118198</v>
      </c>
      <c r="L591">
        <v>367.80470000000003</v>
      </c>
      <c r="M591">
        <v>0.99996249999999998</v>
      </c>
      <c r="N591">
        <v>-3.3838269999999998E-3</v>
      </c>
      <c r="O591">
        <v>-7.9742319999999995E-3</v>
      </c>
      <c r="P591">
        <v>0.99892000000000003</v>
      </c>
      <c r="Q591">
        <v>-4.6447839999999997E-2</v>
      </c>
      <c r="R591">
        <v>1.095583E-3</v>
      </c>
      <c r="S591">
        <v>3.0069889999999999</v>
      </c>
      <c r="T591">
        <v>5.711782E-2</v>
      </c>
      <c r="U591">
        <v>-4.1046140000000002E-2</v>
      </c>
      <c r="V591">
        <v>-9.0721629999999994E-3</v>
      </c>
      <c r="W591">
        <v>-4.3065150000000003E-2</v>
      </c>
      <c r="X591">
        <v>0.99903109999999995</v>
      </c>
      <c r="Y591">
        <v>5.676164E-3</v>
      </c>
      <c r="Z591">
        <v>-1.341294E-4</v>
      </c>
      <c r="AA591">
        <v>0.99998390000000004</v>
      </c>
      <c r="AB591">
        <v>31</v>
      </c>
      <c r="AC591">
        <v>233.8295</v>
      </c>
      <c r="AD591">
        <v>4.4449009999999998</v>
      </c>
      <c r="AE591">
        <v>-3.1928999999999998</v>
      </c>
      <c r="AF591">
        <v>1.3276974909065999</v>
      </c>
      <c r="AG591">
        <v>4.4449009999999998</v>
      </c>
      <c r="AH591">
        <v>233.76307239070201</v>
      </c>
      <c r="AI591">
        <v>88.910695034876198</v>
      </c>
      <c r="AJ591">
        <v>89.674582285607201</v>
      </c>
      <c r="AK591">
        <v>233.80909721195101</v>
      </c>
      <c r="AL591">
        <v>92.468214606661505</v>
      </c>
      <c r="AM591">
        <v>90.520286469075003</v>
      </c>
      <c r="AN591">
        <v>1.0000000250266099</v>
      </c>
    </row>
    <row r="592" spans="1:40" x14ac:dyDescent="0.25">
      <c r="A592" t="str">
        <f>"20190303153753316"</f>
        <v>20190303153753316</v>
      </c>
      <c r="B592" t="str">
        <f>"1551598673309631"</f>
        <v>1551598673309631</v>
      </c>
      <c r="C592" t="s">
        <v>40</v>
      </c>
      <c r="D592">
        <v>4.1570510000000001</v>
      </c>
      <c r="E592">
        <v>0.50660810000000001</v>
      </c>
      <c r="F592" t="s">
        <v>41</v>
      </c>
      <c r="G592">
        <v>-158.19499999999999</v>
      </c>
      <c r="H592">
        <v>6.6122500000000004</v>
      </c>
      <c r="I592">
        <v>364.30149999999998</v>
      </c>
      <c r="J592">
        <v>-391.84</v>
      </c>
      <c r="K592">
        <v>1.118368</v>
      </c>
      <c r="L592">
        <v>367.80309999999997</v>
      </c>
      <c r="M592">
        <v>0.99996240000000003</v>
      </c>
      <c r="N592">
        <v>-3.3141170000000001E-3</v>
      </c>
      <c r="O592">
        <v>-8.0241359999999994E-3</v>
      </c>
      <c r="P592">
        <v>0.9989557</v>
      </c>
      <c r="Q592">
        <v>-4.568999E-2</v>
      </c>
      <c r="R592">
        <v>3.0597959999999999E-4</v>
      </c>
      <c r="S592">
        <v>3.0065919999999999</v>
      </c>
      <c r="T592">
        <v>7.0643899999999996E-2</v>
      </c>
      <c r="U592">
        <v>-4.5043949999999999E-2</v>
      </c>
      <c r="V592">
        <v>-8.3321200000000002E-3</v>
      </c>
      <c r="W592">
        <v>-4.2377190000000002E-2</v>
      </c>
      <c r="X592">
        <v>0.99906689999999998</v>
      </c>
      <c r="Y592">
        <v>6.9575219999999998E-3</v>
      </c>
      <c r="Z592">
        <v>-1.4489360000000001E-4</v>
      </c>
      <c r="AA592">
        <v>0.99997579999999997</v>
      </c>
      <c r="AB592">
        <v>31</v>
      </c>
      <c r="AC592">
        <v>233.64500000000001</v>
      </c>
      <c r="AD592">
        <v>5.4938820000000002</v>
      </c>
      <c r="AE592">
        <v>-3.5015999999999901</v>
      </c>
      <c r="AF592">
        <v>1.62577918826287</v>
      </c>
      <c r="AG592">
        <v>5.4938820000000002</v>
      </c>
      <c r="AH592">
        <v>233.53648238900001</v>
      </c>
      <c r="AI592">
        <v>88.652413628628693</v>
      </c>
      <c r="AJ592">
        <v>89.601138202450599</v>
      </c>
      <c r="AK592">
        <v>233.60675183741299</v>
      </c>
      <c r="AL592">
        <v>92.428761539597403</v>
      </c>
      <c r="AM592">
        <v>90.477830105884706</v>
      </c>
      <c r="AN592">
        <v>0.99999996056579898</v>
      </c>
    </row>
    <row r="593" spans="1:40" x14ac:dyDescent="0.25">
      <c r="A593" t="str">
        <f>"20190303153753328"</f>
        <v>20190303153753328</v>
      </c>
      <c r="B593" t="str">
        <f>"1551598673319391"</f>
        <v>1551598673319391</v>
      </c>
      <c r="C593" t="s">
        <v>40</v>
      </c>
      <c r="D593">
        <v>4.258337</v>
      </c>
      <c r="E593">
        <v>0.50660810000000001</v>
      </c>
      <c r="F593" t="s">
        <v>41</v>
      </c>
      <c r="G593">
        <v>-162.68020000000001</v>
      </c>
      <c r="H593">
        <v>6.6740890000000004</v>
      </c>
      <c r="I593">
        <v>364.1558</v>
      </c>
      <c r="J593">
        <v>-391.66050000000001</v>
      </c>
      <c r="K593">
        <v>1.1185210000000001</v>
      </c>
      <c r="L593">
        <v>367.80169999999998</v>
      </c>
      <c r="M593">
        <v>0.99996229999999997</v>
      </c>
      <c r="N593">
        <v>-3.2537529999999999E-3</v>
      </c>
      <c r="O593">
        <v>-8.0649959999999996E-3</v>
      </c>
      <c r="P593">
        <v>0.99898549999999997</v>
      </c>
      <c r="Q593">
        <v>-4.5035650000000003E-2</v>
      </c>
      <c r="R593">
        <v>-3.0405820000000002E-4</v>
      </c>
      <c r="S593">
        <v>3.0064700000000002</v>
      </c>
      <c r="T593">
        <v>7.2889570000000001E-2</v>
      </c>
      <c r="U593">
        <v>-4.7851560000000001E-2</v>
      </c>
      <c r="V593">
        <v>-7.7620700000000003E-3</v>
      </c>
      <c r="W593">
        <v>-4.1783359999999999E-2</v>
      </c>
      <c r="X593">
        <v>0.99909650000000005</v>
      </c>
      <c r="Y593">
        <v>7.8506979999999997E-3</v>
      </c>
      <c r="Z593">
        <v>-1.3934749999999999E-4</v>
      </c>
      <c r="AA593">
        <v>0.9999692</v>
      </c>
      <c r="AB593">
        <v>31</v>
      </c>
      <c r="AC593">
        <v>228.9803</v>
      </c>
      <c r="AD593">
        <v>5.5555680000000001</v>
      </c>
      <c r="AE593">
        <v>-3.6458999999999802</v>
      </c>
      <c r="AF593">
        <v>1.7979885337183099</v>
      </c>
      <c r="AG593">
        <v>5.5555680000000001</v>
      </c>
      <c r="AH593">
        <v>228.867567360045</v>
      </c>
      <c r="AI593">
        <v>88.6095090330966</v>
      </c>
      <c r="AJ593">
        <v>89.549892382935994</v>
      </c>
      <c r="AK593">
        <v>228.942046133677</v>
      </c>
      <c r="AL593">
        <v>92.394707428072394</v>
      </c>
      <c r="AM593">
        <v>90.445127076062604</v>
      </c>
      <c r="AN593">
        <v>0.99999995760791105</v>
      </c>
    </row>
    <row r="594" spans="1:40" x14ac:dyDescent="0.25">
      <c r="A594" t="str">
        <f>"20190303153753340"</f>
        <v>20190303153753340</v>
      </c>
      <c r="B594" t="str">
        <f>"1551598673329151"</f>
        <v>1551598673329151</v>
      </c>
      <c r="C594" t="s">
        <v>40</v>
      </c>
      <c r="D594">
        <v>4.2519460000000002</v>
      </c>
      <c r="E594">
        <v>0.51888820000000002</v>
      </c>
      <c r="F594" t="s">
        <v>41</v>
      </c>
      <c r="G594">
        <v>-168.5171</v>
      </c>
      <c r="H594">
        <v>6.6740890000000004</v>
      </c>
      <c r="I594">
        <v>364.1481</v>
      </c>
      <c r="J594">
        <v>-391.49889999999999</v>
      </c>
      <c r="K594">
        <v>1.118636</v>
      </c>
      <c r="L594">
        <v>367.80040000000002</v>
      </c>
      <c r="M594">
        <v>0.99996220000000002</v>
      </c>
      <c r="N594">
        <v>-3.2109980000000001E-3</v>
      </c>
      <c r="O594">
        <v>-8.0912290000000001E-3</v>
      </c>
      <c r="P594">
        <v>0.99899079999999996</v>
      </c>
      <c r="Q594">
        <v>-4.4912649999999998E-2</v>
      </c>
      <c r="R594">
        <v>-7.0551119999999999E-4</v>
      </c>
      <c r="S594">
        <v>3.0064090000000001</v>
      </c>
      <c r="T594">
        <v>7.4851269999999998E-2</v>
      </c>
      <c r="U594">
        <v>-4.9224850000000001E-2</v>
      </c>
      <c r="V594">
        <v>-7.3857330000000002E-3</v>
      </c>
      <c r="W594">
        <v>-4.1703299999999999E-2</v>
      </c>
      <c r="X594">
        <v>0.99910270000000001</v>
      </c>
      <c r="Y594">
        <v>8.281353E-3</v>
      </c>
      <c r="Z594">
        <v>-1.3760479999999999E-4</v>
      </c>
      <c r="AA594">
        <v>0.99996569999999996</v>
      </c>
      <c r="AB594">
        <v>31</v>
      </c>
      <c r="AC594">
        <v>222.98179999999999</v>
      </c>
      <c r="AD594">
        <v>5.555453</v>
      </c>
      <c r="AE594">
        <v>-3.6523000000000199</v>
      </c>
      <c r="AF594">
        <v>1.84682842954185</v>
      </c>
      <c r="AG594">
        <v>5.555453</v>
      </c>
      <c r="AH594">
        <v>222.86575094622501</v>
      </c>
      <c r="AI594">
        <v>88.572112658383901</v>
      </c>
      <c r="AJ594">
        <v>89.525216180434796</v>
      </c>
      <c r="AK594">
        <v>222.942631136595</v>
      </c>
      <c r="AL594">
        <v>92.390116320974698</v>
      </c>
      <c r="AM594">
        <v>90.423543667136897</v>
      </c>
      <c r="AN594">
        <v>0.99999995971506195</v>
      </c>
    </row>
    <row r="595" spans="1:40" x14ac:dyDescent="0.25">
      <c r="A595" t="str">
        <f>"20190303153753353"</f>
        <v>20190303153753353</v>
      </c>
      <c r="B595" t="str">
        <f>"1551598673349647"</f>
        <v>1551598673349647</v>
      </c>
      <c r="C595" t="s">
        <v>40</v>
      </c>
      <c r="D595">
        <v>4.2427270000000004</v>
      </c>
      <c r="E595">
        <v>0.52261409999999997</v>
      </c>
      <c r="F595" t="s">
        <v>42</v>
      </c>
      <c r="G595">
        <v>-348.36630000000002</v>
      </c>
      <c r="H595" s="1">
        <v>-1.67571E-6</v>
      </c>
      <c r="I595">
        <v>365.61709999999999</v>
      </c>
      <c r="J595">
        <v>-391.32729999999998</v>
      </c>
      <c r="K595">
        <v>1.118754</v>
      </c>
      <c r="L595">
        <v>367.7989</v>
      </c>
      <c r="M595">
        <v>0.99996209999999996</v>
      </c>
      <c r="N595">
        <v>-3.1689800000000001E-3</v>
      </c>
      <c r="O595">
        <v>-8.1159140000000001E-3</v>
      </c>
      <c r="P595">
        <v>0.99899720000000003</v>
      </c>
      <c r="Q595">
        <v>-4.4764760000000001E-2</v>
      </c>
      <c r="R595">
        <v>-1.020246E-3</v>
      </c>
      <c r="S595">
        <v>2.9994200000000002</v>
      </c>
      <c r="T595">
        <v>-7.7789430000000007E-2</v>
      </c>
      <c r="U595">
        <v>-0.15182499999999999</v>
      </c>
      <c r="V595">
        <v>-7.0946780000000001E-3</v>
      </c>
      <c r="W595">
        <v>-4.1597599999999998E-2</v>
      </c>
      <c r="X595">
        <v>0.99910929999999998</v>
      </c>
      <c r="Y595">
        <v>4.2432270000000001E-2</v>
      </c>
      <c r="Z595">
        <v>-4.3247990000000003E-4</v>
      </c>
      <c r="AA595">
        <v>0.99909930000000002</v>
      </c>
      <c r="AB595">
        <v>31</v>
      </c>
      <c r="AC595">
        <v>42.960999999999899</v>
      </c>
      <c r="AD595">
        <v>-1.1187556757099999</v>
      </c>
      <c r="AE595">
        <v>-2.1818</v>
      </c>
      <c r="AF595">
        <v>1.8318195888159201</v>
      </c>
      <c r="AG595">
        <v>-1.1187556757099999</v>
      </c>
      <c r="AH595">
        <v>42.948242317865201</v>
      </c>
      <c r="AI595">
        <v>91.490801416124</v>
      </c>
      <c r="AJ595">
        <v>87.557712474201196</v>
      </c>
      <c r="AK595">
        <v>43.001845256476699</v>
      </c>
      <c r="AL595">
        <v>92.384054695784101</v>
      </c>
      <c r="AM595">
        <v>90.406850656087897</v>
      </c>
      <c r="AN595">
        <v>1.0000000440640799</v>
      </c>
    </row>
    <row r="596" spans="1:40" x14ac:dyDescent="0.25">
      <c r="A596" t="str">
        <f>"20190303153753370"</f>
        <v>20190303153753370</v>
      </c>
      <c r="B596" t="str">
        <f>"1551598673359411"</f>
        <v>1551598673359411</v>
      </c>
      <c r="C596" t="s">
        <v>40</v>
      </c>
      <c r="D596">
        <v>4.2093629999999997</v>
      </c>
      <c r="E596">
        <v>0.52302910000000002</v>
      </c>
      <c r="F596" t="s">
        <v>43</v>
      </c>
      <c r="G596">
        <v>-286.49869999999999</v>
      </c>
      <c r="H596">
        <v>-0.05</v>
      </c>
      <c r="I596">
        <v>361.46010000000001</v>
      </c>
      <c r="J596">
        <v>-391.08150000000001</v>
      </c>
      <c r="K596">
        <v>1.1188959999999999</v>
      </c>
      <c r="L596">
        <v>367.79689999999999</v>
      </c>
      <c r="M596">
        <v>0.99996200000000002</v>
      </c>
      <c r="N596">
        <v>-3.120215E-3</v>
      </c>
      <c r="O596">
        <v>-8.1405769999999995E-3</v>
      </c>
      <c r="P596">
        <v>0.99903580000000003</v>
      </c>
      <c r="Q596">
        <v>-4.390119E-2</v>
      </c>
      <c r="R596">
        <v>-3.697784E-4</v>
      </c>
      <c r="S596">
        <v>3.0013730000000001</v>
      </c>
      <c r="T596">
        <v>-3.346288E-2</v>
      </c>
      <c r="U596">
        <v>-0.18148800000000001</v>
      </c>
      <c r="V596">
        <v>-7.7690609999999998E-3</v>
      </c>
      <c r="W596">
        <v>-4.0782789999999999E-2</v>
      </c>
      <c r="X596">
        <v>0.99913779999999996</v>
      </c>
      <c r="Y596">
        <v>5.2226439999999999E-2</v>
      </c>
      <c r="Z596">
        <v>-3.0713270000000002E-4</v>
      </c>
      <c r="AA596">
        <v>0.99863519999999995</v>
      </c>
      <c r="AB596">
        <v>31</v>
      </c>
      <c r="AC596">
        <v>104.58280000000001</v>
      </c>
      <c r="AD596">
        <v>-1.1688959999999999</v>
      </c>
      <c r="AE596">
        <v>-6.3367999999999798</v>
      </c>
      <c r="AF596">
        <v>5.4845389284934898</v>
      </c>
      <c r="AG596">
        <v>-1.1688959999999999</v>
      </c>
      <c r="AH596">
        <v>104.61789902873601</v>
      </c>
      <c r="AI596">
        <v>90.639261451482199</v>
      </c>
      <c r="AJ596">
        <v>86.999045755808993</v>
      </c>
      <c r="AK596">
        <v>104.768083318842</v>
      </c>
      <c r="AL596">
        <v>92.337330044136905</v>
      </c>
      <c r="AM596">
        <v>90.445509553425296</v>
      </c>
      <c r="AN596">
        <v>0.99999996882892195</v>
      </c>
    </row>
    <row r="597" spans="1:40" x14ac:dyDescent="0.25">
      <c r="A597" t="str">
        <f>"20190303153753382"</f>
        <v>20190303153753382</v>
      </c>
      <c r="B597" t="str">
        <f>"1551598673369167"</f>
        <v>1551598673369167</v>
      </c>
      <c r="C597" t="s">
        <v>40</v>
      </c>
      <c r="D597">
        <v>4.2180589999999896</v>
      </c>
      <c r="E597">
        <v>0.52382770000000001</v>
      </c>
      <c r="F597" t="s">
        <v>42</v>
      </c>
      <c r="G597">
        <v>-265.03160000000003</v>
      </c>
      <c r="H597" s="1">
        <v>-4.2017239999999998E-6</v>
      </c>
      <c r="I597">
        <v>360.12689999999998</v>
      </c>
      <c r="J597">
        <v>-390.9015</v>
      </c>
      <c r="K597">
        <v>1.118986</v>
      </c>
      <c r="L597">
        <v>367.79539999999997</v>
      </c>
      <c r="M597">
        <v>0.99996200000000002</v>
      </c>
      <c r="N597">
        <v>-3.0924870000000001E-3</v>
      </c>
      <c r="O597">
        <v>-8.1520659999999995E-3</v>
      </c>
      <c r="P597">
        <v>0.9990272</v>
      </c>
      <c r="Q597">
        <v>-4.4095889999999999E-2</v>
      </c>
      <c r="R597">
        <v>4.313241E-4</v>
      </c>
      <c r="S597">
        <v>3.0016780000000001</v>
      </c>
      <c r="T597">
        <v>-2.6644830000000001E-2</v>
      </c>
      <c r="U597">
        <v>-0.1826477</v>
      </c>
      <c r="V597">
        <v>-8.5803349999999997E-3</v>
      </c>
      <c r="W597">
        <v>-4.100529E-2</v>
      </c>
      <c r="X597">
        <v>0.99912210000000001</v>
      </c>
      <c r="Y597">
        <v>5.2594469999999997E-2</v>
      </c>
      <c r="Z597">
        <v>-2.6751100000000001E-4</v>
      </c>
      <c r="AA597">
        <v>0.9986159</v>
      </c>
      <c r="AB597">
        <v>31</v>
      </c>
      <c r="AC597">
        <v>125.86989999999901</v>
      </c>
      <c r="AD597">
        <v>-1.1189902017239901</v>
      </c>
      <c r="AE597">
        <v>-7.6684999999999901</v>
      </c>
      <c r="AF597">
        <v>6.6416175895194698</v>
      </c>
      <c r="AG597">
        <v>-1.1189902017239901</v>
      </c>
      <c r="AH597">
        <v>125.91831698233401</v>
      </c>
      <c r="AI597">
        <v>90.508446571166502</v>
      </c>
      <c r="AJ597">
        <v>86.980706545993101</v>
      </c>
      <c r="AK597">
        <v>126.09831789100301</v>
      </c>
      <c r="AL597">
        <v>92.350088923889402</v>
      </c>
      <c r="AM597">
        <v>90.492036856155295</v>
      </c>
      <c r="AN597">
        <v>1.00000001333255</v>
      </c>
    </row>
    <row r="598" spans="1:40" x14ac:dyDescent="0.25">
      <c r="A598" t="str">
        <f>"20190303153753395"</f>
        <v>20190303153753395</v>
      </c>
      <c r="B598" t="str">
        <f>"1551598673379903"</f>
        <v>1551598673379903</v>
      </c>
      <c r="C598" t="s">
        <v>40</v>
      </c>
      <c r="D598">
        <v>4.2080599999999997</v>
      </c>
      <c r="E598">
        <v>0.52418729999999902</v>
      </c>
      <c r="F598" t="s">
        <v>42</v>
      </c>
      <c r="G598">
        <v>-251.08070000000001</v>
      </c>
      <c r="H598">
        <v>7.9986539999999995E-2</v>
      </c>
      <c r="I598">
        <v>359.10230000000001</v>
      </c>
      <c r="J598">
        <v>-390.7269</v>
      </c>
      <c r="K598">
        <v>1.1190629999999999</v>
      </c>
      <c r="L598">
        <v>367.79390000000001</v>
      </c>
      <c r="M598">
        <v>0.99996189999999996</v>
      </c>
      <c r="N598">
        <v>-3.0687359999999999E-3</v>
      </c>
      <c r="O598">
        <v>-8.160825E-3</v>
      </c>
      <c r="P598">
        <v>0.9990116</v>
      </c>
      <c r="Q598">
        <v>-4.4428019999999999E-2</v>
      </c>
      <c r="R598">
        <v>1.355219E-3</v>
      </c>
      <c r="S598">
        <v>3.0020449999999999</v>
      </c>
      <c r="T598">
        <v>-2.230799E-2</v>
      </c>
      <c r="U598">
        <v>-0.18664549999999999</v>
      </c>
      <c r="V598">
        <v>-9.5125439999999995E-3</v>
      </c>
      <c r="W598">
        <v>-4.1361250000000002E-2</v>
      </c>
      <c r="X598">
        <v>0.99909899999999996</v>
      </c>
      <c r="Y598">
        <v>5.3903760000000002E-2</v>
      </c>
      <c r="Z598">
        <v>-2.4731349999999999E-4</v>
      </c>
      <c r="AA598">
        <v>0.99854609999999999</v>
      </c>
      <c r="AB598">
        <v>31</v>
      </c>
      <c r="AC598">
        <v>139.64619999999999</v>
      </c>
      <c r="AD598">
        <v>-1.03907646</v>
      </c>
      <c r="AE598">
        <v>-8.6915999999999904</v>
      </c>
      <c r="AF598">
        <v>7.5512604324809196</v>
      </c>
      <c r="AG598">
        <v>-1.03907646</v>
      </c>
      <c r="AH598">
        <v>139.70477575847599</v>
      </c>
      <c r="AI598">
        <v>90.425517489645102</v>
      </c>
      <c r="AJ598">
        <v>86.906084683931198</v>
      </c>
      <c r="AK598">
        <v>139.91256406675899</v>
      </c>
      <c r="AL598">
        <v>92.370501215444804</v>
      </c>
      <c r="AM598">
        <v>90.545503654049895</v>
      </c>
      <c r="AN598">
        <v>1.0000000266479501</v>
      </c>
    </row>
    <row r="599" spans="1:40" x14ac:dyDescent="0.25">
      <c r="A599" t="str">
        <f>"20190303153753407"</f>
        <v>20190303153753407</v>
      </c>
      <c r="B599" t="str">
        <f>"1551598673399423"</f>
        <v>1551598673399423</v>
      </c>
      <c r="C599" t="s">
        <v>40</v>
      </c>
      <c r="D599">
        <v>4.1647530000000001</v>
      </c>
      <c r="E599">
        <v>0.52466979999999996</v>
      </c>
      <c r="F599" t="s">
        <v>42</v>
      </c>
      <c r="G599">
        <v>-252.6353</v>
      </c>
      <c r="H599">
        <v>7.9986070000000006E-2</v>
      </c>
      <c r="I599">
        <v>359.1934</v>
      </c>
      <c r="J599">
        <v>-390.54340000000002</v>
      </c>
      <c r="K599">
        <v>1.1191359999999999</v>
      </c>
      <c r="L599">
        <v>367.79250000000002</v>
      </c>
      <c r="M599">
        <v>0.99996200000000002</v>
      </c>
      <c r="N599">
        <v>-3.0475839999999999E-3</v>
      </c>
      <c r="O599">
        <v>-8.1676849999999992E-3</v>
      </c>
      <c r="P599">
        <v>0.99898620000000005</v>
      </c>
      <c r="Q599">
        <v>-4.4974849999999997E-2</v>
      </c>
      <c r="R599">
        <v>1.9953240000000001E-3</v>
      </c>
      <c r="S599">
        <v>3.0021969999999998</v>
      </c>
      <c r="T599">
        <v>-2.2590160000000001E-2</v>
      </c>
      <c r="U599">
        <v>-0.18698119999999999</v>
      </c>
      <c r="V599">
        <v>-1.0158779999999999E-2</v>
      </c>
      <c r="W599">
        <v>-4.1929380000000002E-2</v>
      </c>
      <c r="X599">
        <v>0.99906890000000004</v>
      </c>
      <c r="Y599">
        <v>5.4004940000000001E-2</v>
      </c>
      <c r="Z599">
        <v>-2.488314E-4</v>
      </c>
      <c r="AA599">
        <v>0.9985406</v>
      </c>
      <c r="AB599">
        <v>32</v>
      </c>
      <c r="AC599">
        <v>137.90809999999999</v>
      </c>
      <c r="AD599">
        <v>-1.03914993</v>
      </c>
      <c r="AE599">
        <v>-8.5991000000000195</v>
      </c>
      <c r="AF599">
        <v>7.4719954157399204</v>
      </c>
      <c r="AG599">
        <v>-1.03914993</v>
      </c>
      <c r="AH599">
        <v>137.96593191428701</v>
      </c>
      <c r="AI599">
        <v>90.430908252845796</v>
      </c>
      <c r="AJ599">
        <v>86.899988557746994</v>
      </c>
      <c r="AK599">
        <v>138.172026535936</v>
      </c>
      <c r="AL599">
        <v>92.4030810659266</v>
      </c>
      <c r="AM599">
        <v>90.582577598052197</v>
      </c>
      <c r="AN599">
        <v>0.99999997033274102</v>
      </c>
    </row>
    <row r="600" spans="1:40" x14ac:dyDescent="0.25">
      <c r="A600" t="str">
        <f>"20190303153753419"</f>
        <v>20190303153753419</v>
      </c>
      <c r="B600" t="str">
        <f>"1551598673409690"</f>
        <v>1551598673409690</v>
      </c>
      <c r="C600" t="s">
        <v>40</v>
      </c>
      <c r="D600">
        <v>4.1659290000000002</v>
      </c>
      <c r="E600">
        <v>0.52491299999999996</v>
      </c>
      <c r="F600" t="s">
        <v>42</v>
      </c>
      <c r="G600">
        <v>-260.5992</v>
      </c>
      <c r="H600">
        <v>5.999957E-4</v>
      </c>
      <c r="I600">
        <v>359.61630000000002</v>
      </c>
      <c r="J600">
        <v>-390.37729999999999</v>
      </c>
      <c r="K600">
        <v>1.119186</v>
      </c>
      <c r="L600">
        <v>367.79109999999997</v>
      </c>
      <c r="M600">
        <v>0.99996200000000002</v>
      </c>
      <c r="N600">
        <v>-3.03002E-3</v>
      </c>
      <c r="O600">
        <v>-8.1675210000000005E-3</v>
      </c>
      <c r="P600">
        <v>0.99896260000000003</v>
      </c>
      <c r="Q600">
        <v>-4.5466779999999998E-2</v>
      </c>
      <c r="R600">
        <v>2.579535E-3</v>
      </c>
      <c r="S600">
        <v>3.0022579999999999</v>
      </c>
      <c r="T600">
        <v>-2.584291E-2</v>
      </c>
      <c r="U600">
        <v>-0.18890380000000001</v>
      </c>
      <c r="V600">
        <v>-1.074166E-2</v>
      </c>
      <c r="W600">
        <v>-4.2438990000000003E-2</v>
      </c>
      <c r="X600">
        <v>0.99904130000000002</v>
      </c>
      <c r="Y600">
        <v>5.4640260000000003E-2</v>
      </c>
      <c r="Z600">
        <v>-2.7229089999999999E-4</v>
      </c>
      <c r="AA600">
        <v>0.99850609999999995</v>
      </c>
      <c r="AB600">
        <v>32</v>
      </c>
      <c r="AC600">
        <v>129.77809999999999</v>
      </c>
      <c r="AD600">
        <v>-1.1185860043</v>
      </c>
      <c r="AE600">
        <v>-8.1747999999999408</v>
      </c>
      <c r="AF600">
        <v>7.1140306288697799</v>
      </c>
      <c r="AG600">
        <v>-1.1185860043</v>
      </c>
      <c r="AH600">
        <v>129.83093225922701</v>
      </c>
      <c r="AI600">
        <v>90.492892407787807</v>
      </c>
      <c r="AJ600">
        <v>86.863638576628802</v>
      </c>
      <c r="AK600">
        <v>130.03050272046801</v>
      </c>
      <c r="AL600">
        <v>92.432305547497094</v>
      </c>
      <c r="AM600">
        <v>90.616018645288307</v>
      </c>
      <c r="AN600">
        <v>0.999999985118732</v>
      </c>
    </row>
    <row r="601" spans="1:40" x14ac:dyDescent="0.25">
      <c r="A601" t="str">
        <f>"20190303153753437"</f>
        <v>20190303153753437</v>
      </c>
      <c r="B601" t="str">
        <f>"1551598673429210"</f>
        <v>1551598673429210</v>
      </c>
      <c r="C601" t="s">
        <v>40</v>
      </c>
      <c r="D601">
        <v>4.1589559999999999</v>
      </c>
      <c r="E601">
        <v>0.52531119999999898</v>
      </c>
      <c r="F601" t="s">
        <v>42</v>
      </c>
      <c r="G601">
        <v>-271.27100000000002</v>
      </c>
      <c r="H601" s="1">
        <v>-5.4378470000000001E-6</v>
      </c>
      <c r="I601">
        <v>360.29090000000002</v>
      </c>
      <c r="J601">
        <v>-390.11750000000001</v>
      </c>
      <c r="K601">
        <v>1.1192610000000001</v>
      </c>
      <c r="L601">
        <v>367.78899999999999</v>
      </c>
      <c r="M601">
        <v>0.99996229999999997</v>
      </c>
      <c r="N601">
        <v>-2.999023E-3</v>
      </c>
      <c r="O601">
        <v>-8.16244E-3</v>
      </c>
      <c r="P601">
        <v>0.99888250000000001</v>
      </c>
      <c r="Q601">
        <v>-4.7190059999999999E-2</v>
      </c>
      <c r="R601">
        <v>2.7039669999999998E-3</v>
      </c>
      <c r="S601">
        <v>3.0022890000000002</v>
      </c>
      <c r="T601">
        <v>-2.8211239999999999E-2</v>
      </c>
      <c r="U601">
        <v>-0.18905640000000001</v>
      </c>
      <c r="V601">
        <v>-1.0860399999999999E-2</v>
      </c>
      <c r="W601">
        <v>-4.4193669999999997E-2</v>
      </c>
      <c r="X601">
        <v>0.99896399999999996</v>
      </c>
      <c r="Y601">
        <v>5.4694840000000002E-2</v>
      </c>
      <c r="Z601">
        <v>-2.8665210000000001E-4</v>
      </c>
      <c r="AA601">
        <v>0.99850309999999998</v>
      </c>
      <c r="AB601">
        <v>32</v>
      </c>
      <c r="AC601">
        <v>118.84650000000001</v>
      </c>
      <c r="AD601">
        <v>-1.1192664378470001</v>
      </c>
      <c r="AE601">
        <v>-7.49809999999996</v>
      </c>
      <c r="AF601">
        <v>6.5271919033458197</v>
      </c>
      <c r="AG601">
        <v>-1.1192664378470001</v>
      </c>
      <c r="AH601">
        <v>118.89324055207901</v>
      </c>
      <c r="AI601">
        <v>90.538558231876394</v>
      </c>
      <c r="AJ601">
        <v>86.857638813098703</v>
      </c>
      <c r="AK601">
        <v>119.07753625464601</v>
      </c>
      <c r="AL601">
        <v>92.532935604132106</v>
      </c>
      <c r="AM601">
        <v>90.6228758695528</v>
      </c>
      <c r="AN601">
        <v>1.00000005102611</v>
      </c>
    </row>
    <row r="602" spans="1:40" x14ac:dyDescent="0.25">
      <c r="A602" t="str">
        <f>"20190303153753451"</f>
        <v>20190303153753451</v>
      </c>
      <c r="B602" t="str">
        <f>"1551598673439946"</f>
        <v>1551598673439946</v>
      </c>
      <c r="C602" t="s">
        <v>40</v>
      </c>
      <c r="D602">
        <v>4.1885810000000001</v>
      </c>
      <c r="E602">
        <v>0.52543099999999998</v>
      </c>
      <c r="F602" t="s">
        <v>43</v>
      </c>
      <c r="G602">
        <v>-291.48379999999997</v>
      </c>
      <c r="H602">
        <v>-0.05</v>
      </c>
      <c r="I602">
        <v>361.48160000000001</v>
      </c>
      <c r="J602">
        <v>-389.91879999999998</v>
      </c>
      <c r="K602">
        <v>1.1193059999999999</v>
      </c>
      <c r="L602">
        <v>367.78739999999999</v>
      </c>
      <c r="M602">
        <v>0.99996229999999997</v>
      </c>
      <c r="N602">
        <v>-2.9705349999999998E-3</v>
      </c>
      <c r="O602">
        <v>-8.1541510000000001E-3</v>
      </c>
      <c r="P602">
        <v>0.99886039999999998</v>
      </c>
      <c r="Q602">
        <v>-4.7672699999999998E-2</v>
      </c>
      <c r="R602">
        <v>2.2771200000000001E-3</v>
      </c>
      <c r="S602">
        <v>3.0022579999999999</v>
      </c>
      <c r="T602">
        <v>-3.5590530000000002E-2</v>
      </c>
      <c r="U602">
        <v>-0.19198609999999999</v>
      </c>
      <c r="V602">
        <v>-1.0424309999999999E-2</v>
      </c>
      <c r="W602">
        <v>-4.4704979999999998E-2</v>
      </c>
      <c r="X602">
        <v>0.99894579999999999</v>
      </c>
      <c r="Y602">
        <v>5.5672630000000001E-2</v>
      </c>
      <c r="Z602">
        <v>-3.4006040000000002E-4</v>
      </c>
      <c r="AA602">
        <v>0.99844900000000003</v>
      </c>
      <c r="AB602">
        <v>32</v>
      </c>
      <c r="AC602">
        <v>98.435000000000002</v>
      </c>
      <c r="AD602">
        <v>-1.169306</v>
      </c>
      <c r="AE602">
        <v>-6.3057999999999703</v>
      </c>
      <c r="AF602">
        <v>5.5021596932300501</v>
      </c>
      <c r="AG602">
        <v>-1.169306</v>
      </c>
      <c r="AH602">
        <v>98.469307911865698</v>
      </c>
      <c r="AI602">
        <v>90.679285977201602</v>
      </c>
      <c r="AJ602">
        <v>86.8018151655764</v>
      </c>
      <c r="AK602">
        <v>98.629841520978104</v>
      </c>
      <c r="AL602">
        <v>92.562260734116194</v>
      </c>
      <c r="AM602">
        <v>90.597877571277905</v>
      </c>
      <c r="AN602">
        <v>0.99999995640670702</v>
      </c>
    </row>
    <row r="603" spans="1:40" x14ac:dyDescent="0.25">
      <c r="A603" t="str">
        <f>"20190303153753466"</f>
        <v>20190303153753466</v>
      </c>
      <c r="B603" t="str">
        <f>"1551598673459467"</f>
        <v>1551598673459467</v>
      </c>
      <c r="C603" t="s">
        <v>40</v>
      </c>
      <c r="D603">
        <v>4.138083</v>
      </c>
      <c r="E603">
        <v>0.52556619999999998</v>
      </c>
      <c r="F603" t="s">
        <v>43</v>
      </c>
      <c r="G603">
        <v>-295.11919999999998</v>
      </c>
      <c r="H603">
        <v>-0.05</v>
      </c>
      <c r="I603">
        <v>361.63819999999998</v>
      </c>
      <c r="J603">
        <v>-389.7088</v>
      </c>
      <c r="K603">
        <v>1.119343</v>
      </c>
      <c r="L603">
        <v>367.78570000000002</v>
      </c>
      <c r="M603">
        <v>0.99996249999999998</v>
      </c>
      <c r="N603">
        <v>-2.9330229999999999E-3</v>
      </c>
      <c r="O603">
        <v>-8.1416769999999999E-3</v>
      </c>
      <c r="P603">
        <v>0.99883060000000001</v>
      </c>
      <c r="Q603">
        <v>-4.8301070000000002E-2</v>
      </c>
      <c r="R603">
        <v>2.1029989999999999E-3</v>
      </c>
      <c r="S603">
        <v>3.0021360000000001</v>
      </c>
      <c r="T603">
        <v>-3.7029859999999998E-2</v>
      </c>
      <c r="U603">
        <v>-0.19473270000000001</v>
      </c>
      <c r="V603">
        <v>-1.0236800000000001E-2</v>
      </c>
      <c r="W603">
        <v>-4.5371050000000003E-2</v>
      </c>
      <c r="X603">
        <v>0.99891779999999997</v>
      </c>
      <c r="Y603">
        <v>5.6596939999999998E-2</v>
      </c>
      <c r="Z603">
        <v>-3.5530810000000001E-4</v>
      </c>
      <c r="AA603">
        <v>0.99839710000000004</v>
      </c>
      <c r="AB603">
        <v>32</v>
      </c>
      <c r="AC603">
        <v>94.589600000000004</v>
      </c>
      <c r="AD603">
        <v>-1.169343</v>
      </c>
      <c r="AE603">
        <v>-6.1475000000000302</v>
      </c>
      <c r="AF603">
        <v>5.3763567293643701</v>
      </c>
      <c r="AG603">
        <v>-1.169343</v>
      </c>
      <c r="AH603">
        <v>94.622116182039903</v>
      </c>
      <c r="AI603">
        <v>90.706886919449005</v>
      </c>
      <c r="AJ603">
        <v>86.747993964959804</v>
      </c>
      <c r="AK603">
        <v>94.781946833247105</v>
      </c>
      <c r="AL603">
        <v>92.600462263109506</v>
      </c>
      <c r="AM603">
        <v>90.587140308099805</v>
      </c>
      <c r="AN603">
        <v>1.0000000477045901</v>
      </c>
    </row>
    <row r="604" spans="1:40" x14ac:dyDescent="0.25">
      <c r="A604" t="str">
        <f>"20190303153753481"</f>
        <v>20190303153753481</v>
      </c>
      <c r="B604" t="str">
        <f>"1551598673469226"</f>
        <v>1551598673469226</v>
      </c>
      <c r="C604" t="s">
        <v>40</v>
      </c>
      <c r="D604">
        <v>4.151408</v>
      </c>
      <c r="E604">
        <v>0.52567769999999903</v>
      </c>
      <c r="F604" t="s">
        <v>43</v>
      </c>
      <c r="G604">
        <v>-300.4486</v>
      </c>
      <c r="H604">
        <v>-0.05</v>
      </c>
      <c r="I604">
        <v>361.96039999999999</v>
      </c>
      <c r="J604">
        <v>-389.48540000000003</v>
      </c>
      <c r="K604">
        <v>1.119378</v>
      </c>
      <c r="L604">
        <v>367.78390000000002</v>
      </c>
      <c r="M604">
        <v>0.99996269999999998</v>
      </c>
      <c r="N604">
        <v>-2.9161009999999999E-3</v>
      </c>
      <c r="O604">
        <v>-8.1255389999999993E-3</v>
      </c>
      <c r="P604">
        <v>0.99876359999999997</v>
      </c>
      <c r="Q604">
        <v>-4.9664189999999997E-2</v>
      </c>
      <c r="R604">
        <v>2.1209269999999999E-3</v>
      </c>
      <c r="S604">
        <v>3.002075</v>
      </c>
      <c r="T604">
        <v>-3.9328340000000003E-2</v>
      </c>
      <c r="U604">
        <v>-0.19592290000000001</v>
      </c>
      <c r="V604">
        <v>-1.023758E-2</v>
      </c>
      <c r="W604">
        <v>-4.675141E-2</v>
      </c>
      <c r="X604">
        <v>0.99885409999999997</v>
      </c>
      <c r="Y604">
        <v>5.7007910000000002E-2</v>
      </c>
      <c r="Z604">
        <v>-3.7356200000000003E-4</v>
      </c>
      <c r="AA604">
        <v>0.99837359999999997</v>
      </c>
      <c r="AB604">
        <v>32</v>
      </c>
      <c r="AC604">
        <v>89.036799999999999</v>
      </c>
      <c r="AD604">
        <v>-1.169378</v>
      </c>
      <c r="AE604">
        <v>-5.8235000000000197</v>
      </c>
      <c r="AF604">
        <v>5.0989568698281102</v>
      </c>
      <c r="AG604">
        <v>-1.169378</v>
      </c>
      <c r="AH604">
        <v>89.065882132066406</v>
      </c>
      <c r="AI604">
        <v>90.750984156492606</v>
      </c>
      <c r="AJ604">
        <v>86.723434862758694</v>
      </c>
      <c r="AK604">
        <v>89.219382232956505</v>
      </c>
      <c r="AL604">
        <v>92.679635207656702</v>
      </c>
      <c r="AM604">
        <v>90.587222486501304</v>
      </c>
      <c r="AN604">
        <v>1.0000000077340201</v>
      </c>
    </row>
    <row r="605" spans="1:40" x14ac:dyDescent="0.25">
      <c r="A605" t="str">
        <f>"20190303153753494"</f>
        <v>20190303153753494</v>
      </c>
      <c r="B605" t="str">
        <f>"1551598673489723"</f>
        <v>1551598673489723</v>
      </c>
      <c r="C605" t="s">
        <v>40</v>
      </c>
      <c r="D605">
        <v>4.140028</v>
      </c>
      <c r="E605">
        <v>0.52590319999999902</v>
      </c>
      <c r="F605" t="s">
        <v>43</v>
      </c>
      <c r="G605">
        <v>-307.7586</v>
      </c>
      <c r="H605">
        <v>-0.05</v>
      </c>
      <c r="I605">
        <v>362.43270000000001</v>
      </c>
      <c r="J605">
        <v>-389.29750000000001</v>
      </c>
      <c r="K605">
        <v>1.1194139999999999</v>
      </c>
      <c r="L605">
        <v>367.7824</v>
      </c>
      <c r="M605">
        <v>0.99996289999999999</v>
      </c>
      <c r="N605">
        <v>-2.9336710000000001E-3</v>
      </c>
      <c r="O605">
        <v>-8.1106489999999993E-3</v>
      </c>
      <c r="P605">
        <v>0.99874850000000004</v>
      </c>
      <c r="Q605">
        <v>-4.9968070000000003E-2</v>
      </c>
      <c r="R605">
        <v>2.229834E-3</v>
      </c>
      <c r="S605">
        <v>3.002014</v>
      </c>
      <c r="T605">
        <v>-4.2953970000000001E-2</v>
      </c>
      <c r="U605">
        <v>-0.19656370000000001</v>
      </c>
      <c r="V605">
        <v>-1.033127E-2</v>
      </c>
      <c r="W605">
        <v>-4.7037870000000002E-2</v>
      </c>
      <c r="X605">
        <v>0.9988397</v>
      </c>
      <c r="Y605">
        <v>5.7235359999999999E-2</v>
      </c>
      <c r="Z605">
        <v>-4.0092179999999999E-4</v>
      </c>
      <c r="AA605">
        <v>0.99836060000000004</v>
      </c>
      <c r="AB605">
        <v>32</v>
      </c>
      <c r="AC605">
        <v>81.538899999999998</v>
      </c>
      <c r="AD605">
        <v>-1.169414</v>
      </c>
      <c r="AE605">
        <v>-5.3496999999999799</v>
      </c>
      <c r="AF605">
        <v>4.6872278866375403</v>
      </c>
      <c r="AG605">
        <v>-1.169414</v>
      </c>
      <c r="AH605">
        <v>81.562903208717699</v>
      </c>
      <c r="AI605">
        <v>90.820073226481895</v>
      </c>
      <c r="AJ605">
        <v>86.7109640694636</v>
      </c>
      <c r="AK605">
        <v>81.705843207198598</v>
      </c>
      <c r="AL605">
        <v>92.696066196653703</v>
      </c>
      <c r="AM605">
        <v>90.592604659392705</v>
      </c>
      <c r="AN605">
        <v>1.00000002132501</v>
      </c>
    </row>
    <row r="606" spans="1:40" x14ac:dyDescent="0.25">
      <c r="A606" t="str">
        <f>"20190303153753507"</f>
        <v>20190303153753507</v>
      </c>
      <c r="B606" t="str">
        <f>"1551598673499482"</f>
        <v>1551598673499482</v>
      </c>
      <c r="C606" t="s">
        <v>40</v>
      </c>
      <c r="D606">
        <v>4.1346970000000001</v>
      </c>
      <c r="E606">
        <v>0.52601560000000003</v>
      </c>
      <c r="F606" t="s">
        <v>43</v>
      </c>
      <c r="G606">
        <v>-308.26350000000002</v>
      </c>
      <c r="H606">
        <v>-0.05</v>
      </c>
      <c r="I606">
        <v>362.43700000000001</v>
      </c>
      <c r="J606">
        <v>-389.10090000000002</v>
      </c>
      <c r="K606">
        <v>1.1194580000000001</v>
      </c>
      <c r="L606">
        <v>367.7808</v>
      </c>
      <c r="M606">
        <v>0.99996269999999998</v>
      </c>
      <c r="N606">
        <v>-2.993796E-3</v>
      </c>
      <c r="O606">
        <v>-8.0936769999999901E-3</v>
      </c>
      <c r="P606">
        <v>0.99871799999999999</v>
      </c>
      <c r="Q606">
        <v>-5.0563950000000003E-2</v>
      </c>
      <c r="R606">
        <v>2.3671740000000001E-3</v>
      </c>
      <c r="S606">
        <v>3.002014</v>
      </c>
      <c r="T606">
        <v>-4.3322560000000003E-2</v>
      </c>
      <c r="U606">
        <v>-0.1980286</v>
      </c>
      <c r="V606">
        <v>-1.0450549999999999E-2</v>
      </c>
      <c r="W606">
        <v>-4.7573879999999999E-2</v>
      </c>
      <c r="X606">
        <v>0.99881299999999995</v>
      </c>
      <c r="Y606">
        <v>5.7737160000000003E-2</v>
      </c>
      <c r="Z606">
        <v>-4.1020539999999999E-4</v>
      </c>
      <c r="AA606">
        <v>0.99833170000000004</v>
      </c>
      <c r="AB606">
        <v>32</v>
      </c>
      <c r="AC606">
        <v>80.837400000000002</v>
      </c>
      <c r="AD606">
        <v>-1.1694579999999899</v>
      </c>
      <c r="AE606">
        <v>-5.3438000000000399</v>
      </c>
      <c r="AF606">
        <v>4.6883732350170098</v>
      </c>
      <c r="AG606">
        <v>-1.1694579999999899</v>
      </c>
      <c r="AH606">
        <v>80.861153740813606</v>
      </c>
      <c r="AI606">
        <v>90.827195919547805</v>
      </c>
      <c r="AJ606">
        <v>86.681674976095096</v>
      </c>
      <c r="AK606">
        <v>81.005398955255302</v>
      </c>
      <c r="AL606">
        <v>92.726811926992198</v>
      </c>
      <c r="AM606">
        <v>90.599462121613797</v>
      </c>
      <c r="AN606">
        <v>0.99999994851127705</v>
      </c>
    </row>
    <row r="607" spans="1:40" x14ac:dyDescent="0.25">
      <c r="A607" t="str">
        <f>"20190303153753519"</f>
        <v>20190303153753519</v>
      </c>
      <c r="B607" t="str">
        <f>"1551598673509242"</f>
        <v>1551598673509242</v>
      </c>
      <c r="C607" t="s">
        <v>40</v>
      </c>
      <c r="D607">
        <v>4.1385769999999997</v>
      </c>
      <c r="E607">
        <v>0.52611669999999999</v>
      </c>
      <c r="F607" t="s">
        <v>43</v>
      </c>
      <c r="G607">
        <v>-309.93869999999998</v>
      </c>
      <c r="H607">
        <v>-0.05</v>
      </c>
      <c r="I607">
        <v>362.5453</v>
      </c>
      <c r="J607">
        <v>-388.92619999999999</v>
      </c>
      <c r="K607">
        <v>1.119516</v>
      </c>
      <c r="L607">
        <v>367.77940000000001</v>
      </c>
      <c r="M607">
        <v>0.99996249999999998</v>
      </c>
      <c r="N607">
        <v>-3.1346299999999998E-3</v>
      </c>
      <c r="O607">
        <v>-8.0776690000000009E-3</v>
      </c>
      <c r="P607">
        <v>0.99869680000000005</v>
      </c>
      <c r="Q607">
        <v>-5.0969500000000001E-2</v>
      </c>
      <c r="R607">
        <v>2.6239890000000002E-3</v>
      </c>
      <c r="S607">
        <v>3.002075</v>
      </c>
      <c r="T607">
        <v>-4.4349430000000002E-2</v>
      </c>
      <c r="U607">
        <v>-0.19854740000000001</v>
      </c>
      <c r="V607">
        <v>-1.069093E-2</v>
      </c>
      <c r="W607">
        <v>-4.783892E-2</v>
      </c>
      <c r="X607">
        <v>0.99879779999999996</v>
      </c>
      <c r="Y607">
        <v>5.7923200000000001E-2</v>
      </c>
      <c r="Z607">
        <v>-4.2435520000000003E-4</v>
      </c>
      <c r="AA607">
        <v>0.99832089999999996</v>
      </c>
      <c r="AB607">
        <v>32</v>
      </c>
      <c r="AC607">
        <v>78.987499999999997</v>
      </c>
      <c r="AD607">
        <v>-1.169516</v>
      </c>
      <c r="AE607">
        <v>-5.2341000000000104</v>
      </c>
      <c r="AF607">
        <v>4.59488832248873</v>
      </c>
      <c r="AG607">
        <v>-1.169516</v>
      </c>
      <c r="AH607">
        <v>79.009957096432302</v>
      </c>
      <c r="AI607">
        <v>90.846607655664201</v>
      </c>
      <c r="AJ607">
        <v>86.671666210322897</v>
      </c>
      <c r="AK607">
        <v>79.152094645375499</v>
      </c>
      <c r="AL607">
        <v>92.742014902381399</v>
      </c>
      <c r="AM607">
        <v>90.613259036327094</v>
      </c>
      <c r="AN607">
        <v>0.99999995176793399</v>
      </c>
    </row>
    <row r="608" spans="1:40" x14ac:dyDescent="0.25">
      <c r="A608" t="str">
        <f>"20190303153753538"</f>
        <v>20190303153753538</v>
      </c>
      <c r="B608" t="str">
        <f>"1551598673529738"</f>
        <v>1551598673529738</v>
      </c>
      <c r="C608" t="s">
        <v>40</v>
      </c>
      <c r="D608">
        <v>4.1123649999999996</v>
      </c>
      <c r="E608">
        <v>0.52627299999999999</v>
      </c>
      <c r="F608" t="s">
        <v>43</v>
      </c>
      <c r="G608">
        <v>-310.61160000000001</v>
      </c>
      <c r="H608">
        <v>-0.05</v>
      </c>
      <c r="I608">
        <v>362.60559999999998</v>
      </c>
      <c r="J608">
        <v>-388.66090000000003</v>
      </c>
      <c r="K608">
        <v>1.1196250000000001</v>
      </c>
      <c r="L608">
        <v>367.77730000000003</v>
      </c>
      <c r="M608">
        <v>0.99996169999999995</v>
      </c>
      <c r="N608">
        <v>-3.456818E-3</v>
      </c>
      <c r="O608">
        <v>-8.0530269999999904E-3</v>
      </c>
      <c r="P608">
        <v>0.99867640000000002</v>
      </c>
      <c r="Q608">
        <v>-5.1348169999999999E-2</v>
      </c>
      <c r="R608">
        <v>3.0178230000000002E-3</v>
      </c>
      <c r="S608">
        <v>3.0021360000000001</v>
      </c>
      <c r="T608">
        <v>-4.4832589999999999E-2</v>
      </c>
      <c r="U608">
        <v>-0.1983337</v>
      </c>
      <c r="V608">
        <v>-1.105953E-2</v>
      </c>
      <c r="W608">
        <v>-4.789595E-2</v>
      </c>
      <c r="X608">
        <v>0.99879110000000004</v>
      </c>
      <c r="Y608">
        <v>5.7875429999999999E-2</v>
      </c>
      <c r="Z608">
        <v>-4.3949190000000001E-4</v>
      </c>
      <c r="AA608">
        <v>0.99832370000000004</v>
      </c>
      <c r="AB608">
        <v>33</v>
      </c>
      <c r="AC608">
        <v>78.049300000000002</v>
      </c>
      <c r="AD608">
        <v>-1.1696249999999999</v>
      </c>
      <c r="AE608">
        <v>-5.1717000000000404</v>
      </c>
      <c r="AF608">
        <v>4.5419799458584702</v>
      </c>
      <c r="AG608">
        <v>-1.1696249999999999</v>
      </c>
      <c r="AH608">
        <v>78.0709613212601</v>
      </c>
      <c r="AI608">
        <v>90.856867451271995</v>
      </c>
      <c r="AJ608">
        <v>86.670423027431994</v>
      </c>
      <c r="AK608">
        <v>78.211716552540295</v>
      </c>
      <c r="AL608">
        <v>92.745286102840893</v>
      </c>
      <c r="AM608">
        <v>90.634405429275006</v>
      </c>
      <c r="AN608">
        <v>0.99999999833471598</v>
      </c>
    </row>
    <row r="609" spans="1:40" x14ac:dyDescent="0.25">
      <c r="A609" t="str">
        <f>"20190303153753550"</f>
        <v>20190303153753550</v>
      </c>
      <c r="B609" t="str">
        <f>"1551598673539499"</f>
        <v>1551598673539499</v>
      </c>
      <c r="C609" t="s">
        <v>40</v>
      </c>
      <c r="D609">
        <v>4.1345700000000001</v>
      </c>
      <c r="E609">
        <v>0.5263949</v>
      </c>
      <c r="F609" t="s">
        <v>43</v>
      </c>
      <c r="G609">
        <v>-309.77749999999997</v>
      </c>
      <c r="H609">
        <v>-0.05</v>
      </c>
      <c r="I609">
        <v>362.55579999999998</v>
      </c>
      <c r="J609">
        <v>-388.48750000000001</v>
      </c>
      <c r="K609">
        <v>1.11971</v>
      </c>
      <c r="L609">
        <v>367.77589999999998</v>
      </c>
      <c r="M609">
        <v>0.99996070000000004</v>
      </c>
      <c r="N609">
        <v>-3.7387229999999998E-3</v>
      </c>
      <c r="O609">
        <v>-8.0364719999999994E-3</v>
      </c>
      <c r="P609">
        <v>0.99866440000000001</v>
      </c>
      <c r="Q609">
        <v>-5.1576740000000003E-2</v>
      </c>
      <c r="R609">
        <v>3.0562829999999999E-3</v>
      </c>
      <c r="S609">
        <v>3.0022890000000002</v>
      </c>
      <c r="T609">
        <v>-4.4515730000000003E-2</v>
      </c>
      <c r="U609">
        <v>-0.1987305</v>
      </c>
      <c r="V609">
        <v>-1.108146E-2</v>
      </c>
      <c r="W609">
        <v>-4.7843049999999998E-2</v>
      </c>
      <c r="X609">
        <v>0.99879340000000005</v>
      </c>
      <c r="Y609">
        <v>5.8019880000000003E-2</v>
      </c>
      <c r="Z609">
        <v>-4.4923210000000002E-4</v>
      </c>
      <c r="AA609">
        <v>0.99831530000000002</v>
      </c>
      <c r="AB609">
        <v>33</v>
      </c>
      <c r="AC609">
        <v>78.709999999999994</v>
      </c>
      <c r="AD609">
        <v>-1.16971</v>
      </c>
      <c r="AE609">
        <v>-5.2201000000000004</v>
      </c>
      <c r="AF609">
        <v>4.5863678200654601</v>
      </c>
      <c r="AG609">
        <v>-1.16971</v>
      </c>
      <c r="AH609">
        <v>78.732097860656495</v>
      </c>
      <c r="AI609">
        <v>90.849731172922006</v>
      </c>
      <c r="AJ609">
        <v>86.666126113615306</v>
      </c>
      <c r="AK609">
        <v>78.874243101312999</v>
      </c>
      <c r="AL609">
        <v>92.742251656293107</v>
      </c>
      <c r="AM609">
        <v>90.635661828333198</v>
      </c>
      <c r="AN609">
        <v>1.0000000060362899</v>
      </c>
    </row>
    <row r="610" spans="1:40" x14ac:dyDescent="0.25">
      <c r="A610" t="str">
        <f>"20190303153753561"</f>
        <v>20190303153753561</v>
      </c>
      <c r="B610" t="str">
        <f>"1551598673549260"</f>
        <v>1551598673549260</v>
      </c>
      <c r="C610" t="s">
        <v>40</v>
      </c>
      <c r="D610">
        <v>4.128895</v>
      </c>
      <c r="E610">
        <v>0.52651459999999894</v>
      </c>
      <c r="F610" t="s">
        <v>43</v>
      </c>
      <c r="G610">
        <v>-307.94319999999999</v>
      </c>
      <c r="H610">
        <v>-0.05</v>
      </c>
      <c r="I610">
        <v>362.42090000000002</v>
      </c>
      <c r="J610">
        <v>-388.31049999999999</v>
      </c>
      <c r="K610">
        <v>1.1198170000000001</v>
      </c>
      <c r="L610">
        <v>367.77449999999999</v>
      </c>
      <c r="M610">
        <v>0.9999593</v>
      </c>
      <c r="N610">
        <v>-4.1444200000000002E-3</v>
      </c>
      <c r="O610">
        <v>-8.018776E-3</v>
      </c>
      <c r="P610">
        <v>0.99864120000000001</v>
      </c>
      <c r="Q610">
        <v>-5.2023670000000001E-2</v>
      </c>
      <c r="R610">
        <v>3.085595E-3</v>
      </c>
      <c r="S610">
        <v>3.0024109999999999</v>
      </c>
      <c r="T610">
        <v>-4.3602710000000003E-2</v>
      </c>
      <c r="U610">
        <v>-0.1996155</v>
      </c>
      <c r="V610">
        <v>-1.1092400000000001E-2</v>
      </c>
      <c r="W610">
        <v>-4.7884910000000003E-2</v>
      </c>
      <c r="X610">
        <v>0.99879130000000005</v>
      </c>
      <c r="Y610">
        <v>5.8327850000000001E-2</v>
      </c>
      <c r="Z610">
        <v>-4.609433E-4</v>
      </c>
      <c r="AA610">
        <v>0.9982974</v>
      </c>
      <c r="AB610">
        <v>33</v>
      </c>
      <c r="AC610">
        <v>80.3673</v>
      </c>
      <c r="AD610">
        <v>-1.1698170000000001</v>
      </c>
      <c r="AE610">
        <v>-5.3535999999999699</v>
      </c>
      <c r="AF610">
        <v>4.7079818973828598</v>
      </c>
      <c r="AG610">
        <v>-1.1698170000000001</v>
      </c>
      <c r="AH610">
        <v>80.390688334037307</v>
      </c>
      <c r="AI610">
        <v>90.8322633841168</v>
      </c>
      <c r="AJ610">
        <v>86.648371276834993</v>
      </c>
      <c r="AK610">
        <v>80.536925296288103</v>
      </c>
      <c r="AL610">
        <v>92.744652734362703</v>
      </c>
      <c r="AM610">
        <v>90.6362906617871</v>
      </c>
      <c r="AN610">
        <v>1.00000003344957</v>
      </c>
    </row>
    <row r="611" spans="1:40" x14ac:dyDescent="0.25">
      <c r="A611" t="str">
        <f>"20190303153753574"</f>
        <v>20190303153753574</v>
      </c>
      <c r="B611" t="str">
        <f>"1551598673569755"</f>
        <v>1551598673569755</v>
      </c>
      <c r="C611" t="s">
        <v>40</v>
      </c>
      <c r="D611">
        <v>4.1310500000000001</v>
      </c>
      <c r="E611">
        <v>0.52668519999999996</v>
      </c>
      <c r="F611" t="s">
        <v>43</v>
      </c>
      <c r="G611">
        <v>-307.37670000000003</v>
      </c>
      <c r="H611">
        <v>-0.05</v>
      </c>
      <c r="I611">
        <v>362.3723</v>
      </c>
      <c r="J611">
        <v>-388.14139999999998</v>
      </c>
      <c r="K611">
        <v>1.1198969999999999</v>
      </c>
      <c r="L611">
        <v>367.77319999999997</v>
      </c>
      <c r="M611">
        <v>0.99995789999999996</v>
      </c>
      <c r="N611">
        <v>-4.4925130000000001E-3</v>
      </c>
      <c r="O611">
        <v>-8.0016289999999997E-3</v>
      </c>
      <c r="P611">
        <v>0.99863190000000002</v>
      </c>
      <c r="Q611">
        <v>-5.2204769999999998E-2</v>
      </c>
      <c r="R611">
        <v>3.0293690000000001E-3</v>
      </c>
      <c r="S611">
        <v>3.0024410000000001</v>
      </c>
      <c r="T611">
        <v>-4.3397310000000001E-2</v>
      </c>
      <c r="U611">
        <v>-0.2004089</v>
      </c>
      <c r="V611">
        <v>-1.101914E-2</v>
      </c>
      <c r="W611">
        <v>-4.7718389999999999E-2</v>
      </c>
      <c r="X611">
        <v>0.99880000000000002</v>
      </c>
      <c r="Y611">
        <v>5.8606800000000001E-2</v>
      </c>
      <c r="Z611">
        <v>-4.7525719999999999E-4</v>
      </c>
      <c r="AA611">
        <v>0.99828099999999997</v>
      </c>
      <c r="AB611">
        <v>33</v>
      </c>
      <c r="AC611">
        <v>80.764699999999905</v>
      </c>
      <c r="AD611">
        <v>-1.169897</v>
      </c>
      <c r="AE611">
        <v>-5.4008999999999698</v>
      </c>
      <c r="AF611">
        <v>4.7534784641622503</v>
      </c>
      <c r="AG611">
        <v>-1.169897</v>
      </c>
      <c r="AH611">
        <v>80.788455046879207</v>
      </c>
      <c r="AI611">
        <v>90.8282095732161</v>
      </c>
      <c r="AJ611">
        <v>86.632679630241199</v>
      </c>
      <c r="AK611">
        <v>80.936633765937401</v>
      </c>
      <c r="AL611">
        <v>92.735101142235493</v>
      </c>
      <c r="AM611">
        <v>90.632083102867398</v>
      </c>
      <c r="AN611">
        <v>0.99999995309526402</v>
      </c>
    </row>
    <row r="612" spans="1:40" x14ac:dyDescent="0.25">
      <c r="A612" t="str">
        <f>"20190303153753594"</f>
        <v>20190303153753594</v>
      </c>
      <c r="B612" t="str">
        <f>"1551598673589274"</f>
        <v>1551598673589274</v>
      </c>
      <c r="C612" t="s">
        <v>40</v>
      </c>
      <c r="D612">
        <v>4.1066479999999999</v>
      </c>
      <c r="E612">
        <v>0.52689049999999904</v>
      </c>
      <c r="F612" t="s">
        <v>43</v>
      </c>
      <c r="G612">
        <v>-304.86869999999999</v>
      </c>
      <c r="H612">
        <v>-0.05</v>
      </c>
      <c r="I612">
        <v>362.16930000000002</v>
      </c>
      <c r="J612">
        <v>-387.85759999999999</v>
      </c>
      <c r="K612">
        <v>1.119991</v>
      </c>
      <c r="L612">
        <v>367.77089999999998</v>
      </c>
      <c r="M612">
        <v>0.99995599999999996</v>
      </c>
      <c r="N612">
        <v>-4.9754739999999997E-3</v>
      </c>
      <c r="O612">
        <v>-7.9715150000000002E-3</v>
      </c>
      <c r="P612">
        <v>0.99859989999999998</v>
      </c>
      <c r="Q612">
        <v>-5.2837820000000001E-2</v>
      </c>
      <c r="R612">
        <v>2.6090380000000002E-3</v>
      </c>
      <c r="S612">
        <v>3.0025330000000001</v>
      </c>
      <c r="T612">
        <v>-4.2182560000000001E-2</v>
      </c>
      <c r="U612">
        <v>-0.20205690000000001</v>
      </c>
      <c r="V612">
        <v>-1.056851E-2</v>
      </c>
      <c r="W612">
        <v>-4.7869210000000002E-2</v>
      </c>
      <c r="X612">
        <v>0.99879770000000001</v>
      </c>
      <c r="Y612">
        <v>5.918031E-2</v>
      </c>
      <c r="Z612">
        <v>-4.9039180000000002E-4</v>
      </c>
      <c r="AA612">
        <v>0.9982472</v>
      </c>
      <c r="AB612">
        <v>33</v>
      </c>
      <c r="AC612">
        <v>82.988900000000001</v>
      </c>
      <c r="AD612">
        <v>-1.169991</v>
      </c>
      <c r="AE612">
        <v>-5.6015999999999604</v>
      </c>
      <c r="AF612">
        <v>4.9388894734753404</v>
      </c>
      <c r="AG612">
        <v>-1.169991</v>
      </c>
      <c r="AH612">
        <v>83.014491933457904</v>
      </c>
      <c r="AI612">
        <v>90.806037665067706</v>
      </c>
      <c r="AJ612">
        <v>86.595240784229105</v>
      </c>
      <c r="AK612">
        <v>83.169509912836602</v>
      </c>
      <c r="AL612">
        <v>92.743752249485794</v>
      </c>
      <c r="AM612">
        <v>90.606237300450601</v>
      </c>
      <c r="AN612">
        <v>1.00000000009746</v>
      </c>
    </row>
    <row r="613" spans="1:40" x14ac:dyDescent="0.25">
      <c r="A613" t="str">
        <f>"20190303153753604"</f>
        <v>20190303153753604</v>
      </c>
      <c r="B613" t="str">
        <f>"1551598673600011"</f>
        <v>1551598673600011</v>
      </c>
      <c r="C613" t="s">
        <v>40</v>
      </c>
      <c r="D613">
        <v>4.0951870000000001</v>
      </c>
      <c r="E613">
        <v>0.52699689999999999</v>
      </c>
      <c r="F613" t="s">
        <v>43</v>
      </c>
      <c r="G613">
        <v>-305.24790000000002</v>
      </c>
      <c r="H613">
        <v>-0.05</v>
      </c>
      <c r="I613">
        <v>362.13010000000003</v>
      </c>
      <c r="J613">
        <v>-387.6884</v>
      </c>
      <c r="K613">
        <v>1.120044</v>
      </c>
      <c r="L613">
        <v>367.76960000000003</v>
      </c>
      <c r="M613">
        <v>0.99995460000000003</v>
      </c>
      <c r="N613">
        <v>-5.2679399999999996E-3</v>
      </c>
      <c r="O613">
        <v>-7.9526990000000006E-3</v>
      </c>
      <c r="P613">
        <v>0.99859679999999995</v>
      </c>
      <c r="Q613">
        <v>-5.2909820000000003E-2</v>
      </c>
      <c r="R613">
        <v>2.285198E-3</v>
      </c>
      <c r="S613">
        <v>3.002472</v>
      </c>
      <c r="T613">
        <v>-4.2523619999999998E-2</v>
      </c>
      <c r="U613">
        <v>-0.20501710000000001</v>
      </c>
      <c r="V613">
        <v>-1.022524E-2</v>
      </c>
      <c r="W613">
        <v>-4.76491E-2</v>
      </c>
      <c r="X613">
        <v>0.99881180000000003</v>
      </c>
      <c r="Y613">
        <v>6.0179719999999999E-2</v>
      </c>
      <c r="Z613">
        <v>-5.1370970000000002E-4</v>
      </c>
      <c r="AA613">
        <v>0.99818739999999995</v>
      </c>
      <c r="AB613">
        <v>33</v>
      </c>
      <c r="AC613">
        <v>82.440499999999901</v>
      </c>
      <c r="AD613">
        <v>-1.1700440000000001</v>
      </c>
      <c r="AE613">
        <v>-5.6394999999999902</v>
      </c>
      <c r="AF613">
        <v>4.9826891558337003</v>
      </c>
      <c r="AG613">
        <v>-1.1700440000000001</v>
      </c>
      <c r="AH613">
        <v>82.466208998304793</v>
      </c>
      <c r="AI613">
        <v>90.811387789834797</v>
      </c>
      <c r="AJ613">
        <v>86.542336394494896</v>
      </c>
      <c r="AK613">
        <v>82.624886207108901</v>
      </c>
      <c r="AL613">
        <v>92.731126462593295</v>
      </c>
      <c r="AM613">
        <v>90.586539557078595</v>
      </c>
      <c r="AN613">
        <v>1.00000000204155</v>
      </c>
    </row>
    <row r="614" spans="1:40" x14ac:dyDescent="0.25">
      <c r="A614" t="str">
        <f>"20190303153753616"</f>
        <v>20190303153753616</v>
      </c>
      <c r="B614" t="str">
        <f>"1551598673609770"</f>
        <v>1551598673609770</v>
      </c>
      <c r="C614" t="s">
        <v>40</v>
      </c>
      <c r="D614">
        <v>4.0947420000000001</v>
      </c>
      <c r="E614">
        <v>0.52708710000000003</v>
      </c>
      <c r="F614" t="s">
        <v>43</v>
      </c>
      <c r="G614">
        <v>-304.1259</v>
      </c>
      <c r="H614">
        <v>-0.05</v>
      </c>
      <c r="I614">
        <v>362.017</v>
      </c>
      <c r="J614">
        <v>-387.51530000000002</v>
      </c>
      <c r="K614">
        <v>1.120101</v>
      </c>
      <c r="L614">
        <v>367.76819999999998</v>
      </c>
      <c r="M614">
        <v>0.99995299999999998</v>
      </c>
      <c r="N614">
        <v>-5.5970409999999996E-3</v>
      </c>
      <c r="O614">
        <v>-7.9331899999999997E-3</v>
      </c>
      <c r="P614">
        <v>0.99856730000000005</v>
      </c>
      <c r="Q614">
        <v>-5.3485869999999998E-2</v>
      </c>
      <c r="R614">
        <v>1.665419E-3</v>
      </c>
      <c r="S614">
        <v>3.002472</v>
      </c>
      <c r="T614">
        <v>-4.2040710000000002E-2</v>
      </c>
      <c r="U614">
        <v>-0.20669560000000001</v>
      </c>
      <c r="V614">
        <v>-9.5859659999999996E-3</v>
      </c>
      <c r="W614">
        <v>-4.7896569999999999E-2</v>
      </c>
      <c r="X614">
        <v>0.99880630000000004</v>
      </c>
      <c r="Y614">
        <v>6.0754469999999998E-2</v>
      </c>
      <c r="Z614">
        <v>-5.2847279999999896E-4</v>
      </c>
      <c r="AA614">
        <v>0.99815259999999995</v>
      </c>
      <c r="AB614">
        <v>33</v>
      </c>
      <c r="AC614">
        <v>83.389399999999995</v>
      </c>
      <c r="AD614">
        <v>-1.1701010000000001</v>
      </c>
      <c r="AE614">
        <v>-5.7511999999999803</v>
      </c>
      <c r="AF614">
        <v>5.0884676566660803</v>
      </c>
      <c r="AG614">
        <v>-1.1701010000000001</v>
      </c>
      <c r="AH614">
        <v>83.4160557847121</v>
      </c>
      <c r="AI614">
        <v>90.802160776072697</v>
      </c>
      <c r="AJ614">
        <v>86.509222420829005</v>
      </c>
      <c r="AK614">
        <v>83.579303670952697</v>
      </c>
      <c r="AL614">
        <v>92.745321666474496</v>
      </c>
      <c r="AM614">
        <v>90.549874917524704</v>
      </c>
      <c r="AN614">
        <v>0.99999999854080401</v>
      </c>
    </row>
    <row r="615" spans="1:40" x14ac:dyDescent="0.25">
      <c r="A615" t="str">
        <f>"20190303153753629"</f>
        <v>20190303153753629</v>
      </c>
      <c r="B615" t="str">
        <f>"1551598673619530"</f>
        <v>1551598673619530</v>
      </c>
      <c r="C615" t="s">
        <v>40</v>
      </c>
      <c r="D615">
        <v>4.1099040000000002</v>
      </c>
      <c r="E615">
        <v>0.527178699999999</v>
      </c>
      <c r="F615" t="s">
        <v>43</v>
      </c>
      <c r="G615">
        <v>-305.4658</v>
      </c>
      <c r="H615">
        <v>-0.05</v>
      </c>
      <c r="I615">
        <v>362.04950000000002</v>
      </c>
      <c r="J615">
        <v>-387.33120000000002</v>
      </c>
      <c r="K615">
        <v>1.1201620000000001</v>
      </c>
      <c r="L615">
        <v>367.76679999999999</v>
      </c>
      <c r="M615">
        <v>0.99995100000000003</v>
      </c>
      <c r="N615">
        <v>-5.9659240000000001E-3</v>
      </c>
      <c r="O615">
        <v>-7.9120630000000004E-3</v>
      </c>
      <c r="P615">
        <v>0.99856100000000003</v>
      </c>
      <c r="Q615">
        <v>-5.3618369999999999E-2</v>
      </c>
      <c r="R615">
        <v>1.125256E-3</v>
      </c>
      <c r="S615">
        <v>3.0023499999999999</v>
      </c>
      <c r="T615">
        <v>-4.2816279999999998E-2</v>
      </c>
      <c r="U615">
        <v>-0.209259</v>
      </c>
      <c r="V615">
        <v>-9.0245459999999996E-3</v>
      </c>
      <c r="W615">
        <v>-4.7660630000000002E-2</v>
      </c>
      <c r="X615">
        <v>0.99882280000000001</v>
      </c>
      <c r="Y615">
        <v>6.1625930000000002E-2</v>
      </c>
      <c r="Z615">
        <v>-5.573981E-4</v>
      </c>
      <c r="AA615">
        <v>0.99809910000000002</v>
      </c>
      <c r="AB615">
        <v>33</v>
      </c>
      <c r="AC615">
        <v>81.865399999999994</v>
      </c>
      <c r="AD615">
        <v>-1.1701619999999999</v>
      </c>
      <c r="AE615">
        <v>-5.7172999999999599</v>
      </c>
      <c r="AF615">
        <v>5.0683548776206298</v>
      </c>
      <c r="AG615">
        <v>-1.1701619999999999</v>
      </c>
      <c r="AH615">
        <v>81.891423800343105</v>
      </c>
      <c r="AI615">
        <v>90.817091253143502</v>
      </c>
      <c r="AJ615">
        <v>86.458415398833097</v>
      </c>
      <c r="AK615">
        <v>82.056461002891993</v>
      </c>
      <c r="AL615">
        <v>92.731787889291297</v>
      </c>
      <c r="AM615">
        <v>90.517663722034598</v>
      </c>
      <c r="AN615">
        <v>0.99999998194117101</v>
      </c>
    </row>
    <row r="616" spans="1:40" x14ac:dyDescent="0.25">
      <c r="A616" t="str">
        <f>"20190303153753641"</f>
        <v>20190303153753641</v>
      </c>
      <c r="B616" t="str">
        <f>"1551598673629290"</f>
        <v>1551598673629290</v>
      </c>
      <c r="C616" t="s">
        <v>40</v>
      </c>
      <c r="D616">
        <v>4.1195760000000003</v>
      </c>
      <c r="E616">
        <v>0.52719689999999997</v>
      </c>
      <c r="F616" t="s">
        <v>43</v>
      </c>
      <c r="G616">
        <v>-304.12310000000002</v>
      </c>
      <c r="H616">
        <v>-0.05</v>
      </c>
      <c r="I616">
        <v>361.90210000000002</v>
      </c>
      <c r="J616">
        <v>-387.15519999999998</v>
      </c>
      <c r="K616">
        <v>1.1202190000000001</v>
      </c>
      <c r="L616">
        <v>367.7654</v>
      </c>
      <c r="M616">
        <v>0.99994890000000003</v>
      </c>
      <c r="N616">
        <v>-6.3310019999999996E-3</v>
      </c>
      <c r="O616">
        <v>-7.8927749999999994E-3</v>
      </c>
      <c r="P616">
        <v>0.99854770000000004</v>
      </c>
      <c r="Q616">
        <v>-5.3873360000000002E-2</v>
      </c>
      <c r="R616">
        <v>6.8617479999999995E-4</v>
      </c>
      <c r="S616">
        <v>3.0022890000000002</v>
      </c>
      <c r="T616">
        <v>-4.2221429999999997E-2</v>
      </c>
      <c r="U616">
        <v>-0.21160889999999999</v>
      </c>
      <c r="V616">
        <v>-8.5659359999999997E-3</v>
      </c>
      <c r="W616">
        <v>-4.7551019999999999E-2</v>
      </c>
      <c r="X616">
        <v>0.9988321</v>
      </c>
      <c r="Y616">
        <v>6.2423840000000001E-2</v>
      </c>
      <c r="Z616">
        <v>-5.7529909999999996E-4</v>
      </c>
      <c r="AA616">
        <v>0.99804959999999998</v>
      </c>
      <c r="AB616">
        <v>33</v>
      </c>
      <c r="AC616">
        <v>83.0320999999999</v>
      </c>
      <c r="AD616">
        <v>-1.1702189999999999</v>
      </c>
      <c r="AE616">
        <v>-5.8632999999999802</v>
      </c>
      <c r="AF616">
        <v>5.2067215283547403</v>
      </c>
      <c r="AG616">
        <v>-1.1702189999999999</v>
      </c>
      <c r="AH616">
        <v>83.059376080980897</v>
      </c>
      <c r="AI616">
        <v>90.805602595739202</v>
      </c>
      <c r="AJ616">
        <v>86.413007956539602</v>
      </c>
      <c r="AK616">
        <v>83.230639289528497</v>
      </c>
      <c r="AL616">
        <v>92.725500468112301</v>
      </c>
      <c r="AM616">
        <v>90.491353800929701</v>
      </c>
      <c r="AN616">
        <v>1.0000000193765</v>
      </c>
    </row>
    <row r="617" spans="1:40" x14ac:dyDescent="0.25">
      <c r="A617" t="str">
        <f>"20190303153753654"</f>
        <v>20190303153753654</v>
      </c>
      <c r="B617" t="str">
        <f>"1551598673649786"</f>
        <v>1551598673649786</v>
      </c>
      <c r="C617" t="s">
        <v>40</v>
      </c>
      <c r="D617">
        <v>4.0818130000000004</v>
      </c>
      <c r="E617">
        <v>0.52642599999999995</v>
      </c>
      <c r="F617" t="s">
        <v>43</v>
      </c>
      <c r="G617">
        <v>-303.15910000000002</v>
      </c>
      <c r="H617">
        <v>-0.05</v>
      </c>
      <c r="I617">
        <v>361.80410000000001</v>
      </c>
      <c r="J617">
        <v>-386.97329999999999</v>
      </c>
      <c r="K617">
        <v>1.1202719999999999</v>
      </c>
      <c r="L617">
        <v>367.76400000000001</v>
      </c>
      <c r="M617">
        <v>0.99994669999999997</v>
      </c>
      <c r="N617">
        <v>-6.7003679999999999E-3</v>
      </c>
      <c r="O617">
        <v>-7.8727350000000005E-3</v>
      </c>
      <c r="P617">
        <v>0.99852079999999999</v>
      </c>
      <c r="Q617">
        <v>-5.4373770000000002E-2</v>
      </c>
      <c r="R617">
        <v>2.309096E-4</v>
      </c>
      <c r="S617">
        <v>3.0022579999999999</v>
      </c>
      <c r="T617">
        <v>-4.1826960000000003E-2</v>
      </c>
      <c r="U617">
        <v>-0.2130737</v>
      </c>
      <c r="V617">
        <v>-8.090557E-3</v>
      </c>
      <c r="W617">
        <v>-4.7682629999999997E-2</v>
      </c>
      <c r="X617">
        <v>0.99882979999999999</v>
      </c>
      <c r="Y617">
        <v>6.2928929999999994E-2</v>
      </c>
      <c r="Z617">
        <v>-5.9204899999999998E-4</v>
      </c>
      <c r="AA617">
        <v>0.99801779999999995</v>
      </c>
      <c r="AB617">
        <v>33</v>
      </c>
      <c r="AC617">
        <v>83.8141999999999</v>
      </c>
      <c r="AD617">
        <v>-1.170272</v>
      </c>
      <c r="AE617">
        <v>-5.9599000000000002</v>
      </c>
      <c r="AF617">
        <v>5.2988257401564596</v>
      </c>
      <c r="AG617">
        <v>-1.170272</v>
      </c>
      <c r="AH617">
        <v>83.842260818056602</v>
      </c>
      <c r="AI617">
        <v>90.798091651071402</v>
      </c>
      <c r="AJ617">
        <v>86.383719886330198</v>
      </c>
      <c r="AK617">
        <v>84.017687363206804</v>
      </c>
      <c r="AL617">
        <v>92.733049700198507</v>
      </c>
      <c r="AM617">
        <v>90.464087707812695</v>
      </c>
      <c r="AN617">
        <v>1.0000000298421601</v>
      </c>
    </row>
    <row r="618" spans="1:40" x14ac:dyDescent="0.25">
      <c r="A618" t="str">
        <f>"20190303153753667"</f>
        <v>20190303153753667</v>
      </c>
      <c r="B618" t="str">
        <f>"1551598673659547"</f>
        <v>1551598673659547</v>
      </c>
      <c r="C618" t="s">
        <v>40</v>
      </c>
      <c r="D618">
        <v>4.059266</v>
      </c>
      <c r="E618">
        <v>0.52642599999999995</v>
      </c>
      <c r="F618" t="s">
        <v>43</v>
      </c>
      <c r="G618">
        <v>-304.74489999999997</v>
      </c>
      <c r="H618">
        <v>-0.05</v>
      </c>
      <c r="I618">
        <v>362.0609</v>
      </c>
      <c r="J618">
        <v>-386.76670000000001</v>
      </c>
      <c r="K618">
        <v>1.120325</v>
      </c>
      <c r="L618">
        <v>367.76240000000001</v>
      </c>
      <c r="M618">
        <v>0.99994400000000006</v>
      </c>
      <c r="N618">
        <v>-7.1050690000000003E-3</v>
      </c>
      <c r="O618">
        <v>-7.8499079999999992E-3</v>
      </c>
      <c r="P618">
        <v>0.99848409999999999</v>
      </c>
      <c r="Q618">
        <v>-5.5042779999999999E-2</v>
      </c>
      <c r="R618">
        <v>-2.0286459999999999E-4</v>
      </c>
      <c r="S618">
        <v>3.002167</v>
      </c>
      <c r="T618">
        <v>-4.2726760000000003E-2</v>
      </c>
      <c r="U618">
        <v>-0.2082214</v>
      </c>
      <c r="V618">
        <v>-7.6332309999999999E-3</v>
      </c>
      <c r="W618">
        <v>-4.7947610000000002E-2</v>
      </c>
      <c r="X618">
        <v>0.99882070000000001</v>
      </c>
      <c r="Y618">
        <v>6.134833E-2</v>
      </c>
      <c r="Z618">
        <v>-5.9837010000000001E-4</v>
      </c>
      <c r="AA618">
        <v>0.99811629999999996</v>
      </c>
      <c r="AB618">
        <v>33</v>
      </c>
      <c r="AC618">
        <v>82.021799999999999</v>
      </c>
      <c r="AD618">
        <v>-1.1703250000000001</v>
      </c>
      <c r="AE618">
        <v>-5.7015000000000002</v>
      </c>
      <c r="AF618">
        <v>5.0564200385988798</v>
      </c>
      <c r="AG618">
        <v>-1.1703250000000001</v>
      </c>
      <c r="AH618">
        <v>82.047406448760498</v>
      </c>
      <c r="AI618">
        <v>90.815664857180394</v>
      </c>
      <c r="AJ618">
        <v>86.473434108682994</v>
      </c>
      <c r="AK618">
        <v>82.211397927419299</v>
      </c>
      <c r="AL618">
        <v>92.748249361176505</v>
      </c>
      <c r="AM618">
        <v>90.437859774328103</v>
      </c>
      <c r="AN618">
        <v>1.00000001513435</v>
      </c>
    </row>
    <row r="619" spans="1:40" x14ac:dyDescent="0.25">
      <c r="A619" t="str">
        <f>"20190303153753682"</f>
        <v>20190303153753682</v>
      </c>
      <c r="B619" t="str">
        <f>"1551598673680042"</f>
        <v>1551598673680042</v>
      </c>
      <c r="C619" t="s">
        <v>40</v>
      </c>
      <c r="D619">
        <v>4.0572999999999997</v>
      </c>
      <c r="E619">
        <v>0.5023763</v>
      </c>
      <c r="F619" t="s">
        <v>43</v>
      </c>
      <c r="G619">
        <v>-308.31360000000001</v>
      </c>
      <c r="H619">
        <v>-0.05</v>
      </c>
      <c r="I619">
        <v>362.28019999999998</v>
      </c>
      <c r="J619">
        <v>-386.54629999999997</v>
      </c>
      <c r="K619">
        <v>1.1203650000000001</v>
      </c>
      <c r="L619">
        <v>367.76069999999999</v>
      </c>
      <c r="M619">
        <v>0.99994130000000003</v>
      </c>
      <c r="N619">
        <v>-7.5043250000000001E-3</v>
      </c>
      <c r="O619">
        <v>-7.8296559999999904E-3</v>
      </c>
      <c r="P619">
        <v>0.99842209999999998</v>
      </c>
      <c r="Q619">
        <v>-5.615005E-2</v>
      </c>
      <c r="R619">
        <v>-8.4627550000000002E-4</v>
      </c>
      <c r="S619">
        <v>3.0020449999999999</v>
      </c>
      <c r="T619">
        <v>-4.4783000000000003E-2</v>
      </c>
      <c r="U619">
        <v>-0.20977779999999999</v>
      </c>
      <c r="V619">
        <v>-6.9690630000000002E-3</v>
      </c>
      <c r="W619">
        <v>-4.8656449999999997E-2</v>
      </c>
      <c r="X619">
        <v>0.99879130000000005</v>
      </c>
      <c r="Y619">
        <v>6.1885259999999997E-2</v>
      </c>
      <c r="Z619">
        <v>-6.3555510000000003E-4</v>
      </c>
      <c r="AA619">
        <v>0.9980831</v>
      </c>
      <c r="AB619">
        <v>33</v>
      </c>
      <c r="AC619">
        <v>78.232699999999895</v>
      </c>
      <c r="AD619">
        <v>-1.1703649999999901</v>
      </c>
      <c r="AE619">
        <v>-5.4805000000000001</v>
      </c>
      <c r="AF619">
        <v>4.8666958295919001</v>
      </c>
      <c r="AG619">
        <v>-1.1703649999999901</v>
      </c>
      <c r="AH619">
        <v>78.255785138725599</v>
      </c>
      <c r="AI619">
        <v>90.855179036154595</v>
      </c>
      <c r="AJ619">
        <v>86.441381482319997</v>
      </c>
      <c r="AK619">
        <v>78.415702446699896</v>
      </c>
      <c r="AL619">
        <v>92.788910294377899</v>
      </c>
      <c r="AM619">
        <v>90.3997746248384</v>
      </c>
      <c r="AN619">
        <v>1.00000003946069</v>
      </c>
    </row>
    <row r="620" spans="1:40" x14ac:dyDescent="0.25">
      <c r="A620" t="str">
        <f>"20190303153753697"</f>
        <v>20190303153753697</v>
      </c>
      <c r="B620" t="str">
        <f>"1551598673689803"</f>
        <v>1551598673689803</v>
      </c>
      <c r="C620" t="s">
        <v>40</v>
      </c>
      <c r="D620">
        <v>4.0548799999999998</v>
      </c>
      <c r="E620">
        <v>0.50236219999999998</v>
      </c>
      <c r="F620" t="s">
        <v>41</v>
      </c>
      <c r="G620">
        <v>-158.19499999999999</v>
      </c>
      <c r="H620">
        <v>1.0695059999999901</v>
      </c>
      <c r="I620">
        <v>366.33429999999998</v>
      </c>
      <c r="J620">
        <v>-386.34280000000001</v>
      </c>
      <c r="K620">
        <v>1.1203939999999999</v>
      </c>
      <c r="L620">
        <v>367.75909999999999</v>
      </c>
      <c r="M620">
        <v>0.99993849999999995</v>
      </c>
      <c r="N620">
        <v>-7.8533159999999904E-3</v>
      </c>
      <c r="O620">
        <v>-7.8151409999999994E-3</v>
      </c>
      <c r="P620">
        <v>0.99837039999999999</v>
      </c>
      <c r="Q620">
        <v>-5.7058860000000003E-2</v>
      </c>
      <c r="R620">
        <v>-8.6620289999999895E-4</v>
      </c>
      <c r="S620">
        <v>3.0046689999999998</v>
      </c>
      <c r="T620">
        <v>-6.6804889999999995E-4</v>
      </c>
      <c r="U620">
        <v>-1.876831E-2</v>
      </c>
      <c r="V620">
        <v>-6.9350569999999997E-3</v>
      </c>
      <c r="W620">
        <v>-4.921702E-2</v>
      </c>
      <c r="X620">
        <v>0.99876399999999999</v>
      </c>
      <c r="Y620">
        <v>-1.56893299999999E-3</v>
      </c>
      <c r="Z620" s="1">
        <v>-5.3303219999999901E-5</v>
      </c>
      <c r="AA620">
        <v>0.99999870000000002</v>
      </c>
      <c r="AB620">
        <v>33</v>
      </c>
      <c r="AC620">
        <v>228.14779999999999</v>
      </c>
      <c r="AD620">
        <v>-5.0888000000000197E-2</v>
      </c>
      <c r="AE620">
        <v>-1.4248000000000001</v>
      </c>
      <c r="AF620">
        <v>-0.35830592650050302</v>
      </c>
      <c r="AG620">
        <v>-5.0888000000000197E-2</v>
      </c>
      <c r="AH620">
        <v>228.15195624312801</v>
      </c>
      <c r="AI620">
        <v>90.012779482726998</v>
      </c>
      <c r="AJ620">
        <v>90.089981259960695</v>
      </c>
      <c r="AK620">
        <v>228.15224327253901</v>
      </c>
      <c r="AL620">
        <v>92.821067315638402</v>
      </c>
      <c r="AM620">
        <v>90.397834834870196</v>
      </c>
      <c r="AN620">
        <v>0.99999996888463605</v>
      </c>
    </row>
    <row r="621" spans="1:40" x14ac:dyDescent="0.25">
      <c r="A621" t="str">
        <f>"20190303153753710"</f>
        <v>20190303153753710</v>
      </c>
      <c r="B621" t="str">
        <f>"1551598673699563"</f>
        <v>1551598673699563</v>
      </c>
      <c r="C621" t="s">
        <v>40</v>
      </c>
      <c r="D621">
        <v>4.0639269999999996</v>
      </c>
      <c r="E621">
        <v>0.50240859999999998</v>
      </c>
      <c r="F621" t="s">
        <v>41</v>
      </c>
      <c r="G621">
        <v>-158.19499999999999</v>
      </c>
      <c r="H621">
        <v>0.91377810000000004</v>
      </c>
      <c r="I621">
        <v>366.32709999999997</v>
      </c>
      <c r="J621">
        <v>-386.1585</v>
      </c>
      <c r="K621">
        <v>1.120417</v>
      </c>
      <c r="L621">
        <v>367.7577</v>
      </c>
      <c r="M621">
        <v>0.99993639999999995</v>
      </c>
      <c r="N621">
        <v>-8.15619699999999E-3</v>
      </c>
      <c r="O621">
        <v>-7.8055160000000002E-3</v>
      </c>
      <c r="P621">
        <v>0.99832359999999998</v>
      </c>
      <c r="Q621">
        <v>-5.7876730000000001E-2</v>
      </c>
      <c r="R621">
        <v>-7.7664080000000005E-4</v>
      </c>
      <c r="S621">
        <v>3.0047299999999999</v>
      </c>
      <c r="T621">
        <v>-2.7199979999999999E-3</v>
      </c>
      <c r="U621">
        <v>-1.8859859999999999E-2</v>
      </c>
      <c r="V621">
        <v>-7.0144109999999999E-3</v>
      </c>
      <c r="W621">
        <v>-4.9732680000000001E-2</v>
      </c>
      <c r="X621">
        <v>0.99873789999999996</v>
      </c>
      <c r="Y621">
        <v>-1.529E-3</v>
      </c>
      <c r="Z621" s="1">
        <v>-4.96714E-5</v>
      </c>
      <c r="AA621">
        <v>0.99999879999999997</v>
      </c>
      <c r="AB621">
        <v>33</v>
      </c>
      <c r="AC621">
        <v>227.96350000000001</v>
      </c>
      <c r="AD621">
        <v>-0.20663889999999999</v>
      </c>
      <c r="AE621">
        <v>-1.4306000000000201</v>
      </c>
      <c r="AF621">
        <v>-0.34887500633226598</v>
      </c>
      <c r="AG621">
        <v>-0.20663889999999999</v>
      </c>
      <c r="AH621">
        <v>227.96753460893299</v>
      </c>
      <c r="AI621">
        <v>90.051935113333897</v>
      </c>
      <c r="AJ621">
        <v>90.087683756679198</v>
      </c>
      <c r="AK621">
        <v>227.96789521570801</v>
      </c>
      <c r="AL621">
        <v>92.850648689716905</v>
      </c>
      <c r="AM621">
        <v>90.402397404000197</v>
      </c>
      <c r="AN621">
        <v>0.99999996715903405</v>
      </c>
    </row>
    <row r="622" spans="1:40" x14ac:dyDescent="0.25">
      <c r="A622" t="str">
        <f>"20190303153753728"</f>
        <v>20190303153753728</v>
      </c>
      <c r="B622" t="str">
        <f>"1551598673720070"</f>
        <v>1551598673720070</v>
      </c>
      <c r="C622" t="s">
        <v>40</v>
      </c>
      <c r="D622">
        <v>4.0625309999999999</v>
      </c>
      <c r="E622">
        <v>0.50210909999999997</v>
      </c>
      <c r="F622" t="s">
        <v>41</v>
      </c>
      <c r="G622">
        <v>-158.19499999999999</v>
      </c>
      <c r="H622">
        <v>0.76878500000000005</v>
      </c>
      <c r="I622">
        <v>366.30829999999997</v>
      </c>
      <c r="J622">
        <v>-385.88049999999998</v>
      </c>
      <c r="K622">
        <v>1.1204350000000001</v>
      </c>
      <c r="L622">
        <v>367.75549999999998</v>
      </c>
      <c r="M622">
        <v>0.99993290000000001</v>
      </c>
      <c r="N622">
        <v>-8.5749599999999995E-3</v>
      </c>
      <c r="O622">
        <v>-7.7996749999999998E-3</v>
      </c>
      <c r="P622">
        <v>0.99820529999999996</v>
      </c>
      <c r="Q622">
        <v>-5.9885300000000002E-2</v>
      </c>
      <c r="R622">
        <v>-2.7680249999999999E-4</v>
      </c>
      <c r="S622">
        <v>3.0047609999999998</v>
      </c>
      <c r="T622">
        <v>-4.6336650000000004E-3</v>
      </c>
      <c r="U622">
        <v>-1.9103999999999999E-2</v>
      </c>
      <c r="V622">
        <v>-7.5081380000000001E-3</v>
      </c>
      <c r="W622">
        <v>-5.132391E-2</v>
      </c>
      <c r="X622">
        <v>0.99865380000000004</v>
      </c>
      <c r="Y622">
        <v>-1.442009E-3</v>
      </c>
      <c r="Z622" s="1">
        <v>-4.7561249999999998E-5</v>
      </c>
      <c r="AA622">
        <v>0.99999899999999997</v>
      </c>
      <c r="AB622">
        <v>33</v>
      </c>
      <c r="AC622">
        <v>227.68549999999999</v>
      </c>
      <c r="AD622">
        <v>-0.35165000000000002</v>
      </c>
      <c r="AE622">
        <v>-1.4472</v>
      </c>
      <c r="AF622">
        <v>-0.328781285149433</v>
      </c>
      <c r="AG622">
        <v>-0.35165000000000002</v>
      </c>
      <c r="AH622">
        <v>227.68931877977101</v>
      </c>
      <c r="AI622">
        <v>90.088489104139498</v>
      </c>
      <c r="AJ622">
        <v>90.082734521891396</v>
      </c>
      <c r="AK622">
        <v>227.68982770701899</v>
      </c>
      <c r="AL622">
        <v>92.941936082561199</v>
      </c>
      <c r="AM622">
        <v>90.430756398657195</v>
      </c>
      <c r="AN622">
        <v>0.99999996406417602</v>
      </c>
    </row>
    <row r="623" spans="1:40" x14ac:dyDescent="0.25">
      <c r="A623" t="str">
        <f>"20190303153753740"</f>
        <v>20190303153753740</v>
      </c>
      <c r="B623" t="str">
        <f>"1551598673729819"</f>
        <v>1551598673729819</v>
      </c>
      <c r="C623" t="s">
        <v>40</v>
      </c>
      <c r="D623">
        <v>4.0465269999999904</v>
      </c>
      <c r="E623">
        <v>0.50202159999999996</v>
      </c>
      <c r="F623" t="s">
        <v>41</v>
      </c>
      <c r="G623">
        <v>-158.19499999999999</v>
      </c>
      <c r="H623">
        <v>0.40426279999999998</v>
      </c>
      <c r="I623">
        <v>366.60160000000002</v>
      </c>
      <c r="J623">
        <v>-385.70699999999999</v>
      </c>
      <c r="K623">
        <v>1.1204419999999999</v>
      </c>
      <c r="L623">
        <v>367.75420000000003</v>
      </c>
      <c r="M623">
        <v>0.99993080000000001</v>
      </c>
      <c r="N623">
        <v>-8.8126100000000002E-3</v>
      </c>
      <c r="O623">
        <v>-7.7974119999999897E-3</v>
      </c>
      <c r="P623">
        <v>0.99813629999999998</v>
      </c>
      <c r="Q623">
        <v>-6.1025969999999999E-2</v>
      </c>
      <c r="R623" s="1">
        <v>9.8142539999999994E-5</v>
      </c>
      <c r="S623">
        <v>3.0048520000000001</v>
      </c>
      <c r="T623">
        <v>-9.4504359999999996E-3</v>
      </c>
      <c r="U623">
        <v>-1.522827E-2</v>
      </c>
      <c r="V623">
        <v>-7.8811039999999999E-3</v>
      </c>
      <c r="W623">
        <v>-5.2227719999999998E-2</v>
      </c>
      <c r="X623">
        <v>0.99860409999999999</v>
      </c>
      <c r="Y623">
        <v>-2.729764E-3</v>
      </c>
      <c r="Z623" s="1">
        <v>-2.7873629999999999E-5</v>
      </c>
      <c r="AA623">
        <v>0.9999962</v>
      </c>
      <c r="AB623">
        <v>33</v>
      </c>
      <c r="AC623">
        <v>227.512</v>
      </c>
      <c r="AD623">
        <v>-0.71617919999999902</v>
      </c>
      <c r="AE623">
        <v>-1.1526000000000001</v>
      </c>
      <c r="AF623">
        <v>-0.62150251411322499</v>
      </c>
      <c r="AG623">
        <v>-0.71617919999999902</v>
      </c>
      <c r="AH623">
        <v>227.51181629827201</v>
      </c>
      <c r="AI623">
        <v>90.180358794381107</v>
      </c>
      <c r="AJ623">
        <v>90.156516628533794</v>
      </c>
      <c r="AK623">
        <v>227.51379240248301</v>
      </c>
      <c r="AL623">
        <v>92.993790034518796</v>
      </c>
      <c r="AM623">
        <v>90.452175814574503</v>
      </c>
      <c r="AN623">
        <v>0.99999999753673297</v>
      </c>
    </row>
    <row r="624" spans="1:40" x14ac:dyDescent="0.25">
      <c r="A624" t="str">
        <f>"20190303153753754"</f>
        <v>20190303153753754</v>
      </c>
      <c r="B624" t="str">
        <f>"1551598673749338"</f>
        <v>1551598673749338</v>
      </c>
      <c r="C624" t="s">
        <v>40</v>
      </c>
      <c r="D624">
        <v>4.0676909999999999</v>
      </c>
      <c r="E624">
        <v>0.50179180000000001</v>
      </c>
      <c r="F624" t="s">
        <v>41</v>
      </c>
      <c r="G624">
        <v>-158.19499999999999</v>
      </c>
      <c r="H624">
        <v>0.13704249999999901</v>
      </c>
      <c r="I624">
        <v>366.73520000000002</v>
      </c>
      <c r="J624">
        <v>-385.53050000000002</v>
      </c>
      <c r="K624">
        <v>1.1204480000000001</v>
      </c>
      <c r="L624">
        <v>367.75279999999998</v>
      </c>
      <c r="M624">
        <v>0.9999287</v>
      </c>
      <c r="N624">
        <v>-9.0463269999999998E-3</v>
      </c>
      <c r="O624">
        <v>-7.7952819999999997E-3</v>
      </c>
      <c r="P624">
        <v>0.99807100000000004</v>
      </c>
      <c r="Q624">
        <v>-6.2081949999999997E-2</v>
      </c>
      <c r="R624">
        <v>2.3339230000000001E-4</v>
      </c>
      <c r="S624">
        <v>3.0048219999999999</v>
      </c>
      <c r="T624">
        <v>-1.2986899999999999E-2</v>
      </c>
      <c r="U624">
        <v>-1.345825E-2</v>
      </c>
      <c r="V624">
        <v>-8.0145609999999999E-3</v>
      </c>
      <c r="W624">
        <v>-5.3050779999999999E-2</v>
      </c>
      <c r="X624">
        <v>0.99855970000000005</v>
      </c>
      <c r="Y624">
        <v>-3.316636E-3</v>
      </c>
      <c r="Z624" s="1">
        <v>-1.46608399999999E-5</v>
      </c>
      <c r="AA624">
        <v>0.99999450000000001</v>
      </c>
      <c r="AB624">
        <v>33</v>
      </c>
      <c r="AC624">
        <v>227.3355</v>
      </c>
      <c r="AD624">
        <v>-0.98340550000000004</v>
      </c>
      <c r="AE624">
        <v>-1.0175999999999501</v>
      </c>
      <c r="AF624">
        <v>-0.75463364170353198</v>
      </c>
      <c r="AG624">
        <v>-0.98340550000000004</v>
      </c>
      <c r="AH624">
        <v>227.332271091477</v>
      </c>
      <c r="AI624">
        <v>90.247850085438401</v>
      </c>
      <c r="AJ624">
        <v>90.190193691938404</v>
      </c>
      <c r="AK624">
        <v>227.33565060922501</v>
      </c>
      <c r="AL624">
        <v>93.041013222100204</v>
      </c>
      <c r="AM624">
        <v>90.459852986232903</v>
      </c>
      <c r="AN624">
        <v>1.00000004645535</v>
      </c>
    </row>
    <row r="625" spans="1:40" x14ac:dyDescent="0.25">
      <c r="A625" t="str">
        <f>"20190303153753765"</f>
        <v>20190303153753765</v>
      </c>
      <c r="B625" t="str">
        <f>"1551598673760075"</f>
        <v>1551598673760075</v>
      </c>
      <c r="C625" t="s">
        <v>40</v>
      </c>
      <c r="D625">
        <v>4.0376659999999998</v>
      </c>
      <c r="E625">
        <v>0.50185170000000001</v>
      </c>
      <c r="F625" t="s">
        <v>41</v>
      </c>
      <c r="G625">
        <v>-158.19499999999999</v>
      </c>
      <c r="H625">
        <v>7.6685909999999996E-2</v>
      </c>
      <c r="I625">
        <v>366.91239999999999</v>
      </c>
      <c r="J625">
        <v>-385.33749999999998</v>
      </c>
      <c r="K625">
        <v>1.1204510000000001</v>
      </c>
      <c r="L625">
        <v>367.75130000000001</v>
      </c>
      <c r="M625">
        <v>0.99992669999999995</v>
      </c>
      <c r="N625">
        <v>-9.2828939999999999E-3</v>
      </c>
      <c r="O625">
        <v>-7.7941479999999999E-3</v>
      </c>
      <c r="P625">
        <v>0.99801419999999996</v>
      </c>
      <c r="Q625">
        <v>-6.2987840000000003E-2</v>
      </c>
      <c r="R625">
        <v>4.919678E-4</v>
      </c>
      <c r="S625">
        <v>3.0049440000000001</v>
      </c>
      <c r="T625">
        <v>-1.3795379999999999E-2</v>
      </c>
      <c r="U625">
        <v>-1.1108399999999999E-2</v>
      </c>
      <c r="V625">
        <v>-8.2718600000000007E-3</v>
      </c>
      <c r="W625">
        <v>-5.3720829999999997E-2</v>
      </c>
      <c r="X625">
        <v>0.99852169999999896</v>
      </c>
      <c r="Y625">
        <v>-4.0976440000000001E-3</v>
      </c>
      <c r="Z625" s="1">
        <v>-8.1477509999999994E-6</v>
      </c>
      <c r="AA625">
        <v>0.99999159999999998</v>
      </c>
      <c r="AB625">
        <v>33</v>
      </c>
      <c r="AC625">
        <v>227.14250000000001</v>
      </c>
      <c r="AD625">
        <v>-1.04376509</v>
      </c>
      <c r="AE625">
        <v>-0.83890000000002296</v>
      </c>
      <c r="AF625">
        <v>-0.93156407012681797</v>
      </c>
      <c r="AG625">
        <v>-1.04376509</v>
      </c>
      <c r="AH625">
        <v>227.13734264917301</v>
      </c>
      <c r="AI625">
        <v>90.263287444771905</v>
      </c>
      <c r="AJ625">
        <v>90.234987297444206</v>
      </c>
      <c r="AK625">
        <v>227.141651140665</v>
      </c>
      <c r="AL625">
        <v>93.079459324279497</v>
      </c>
      <c r="AM625">
        <v>90.474633476174603</v>
      </c>
      <c r="AN625">
        <v>0.99999996830731797</v>
      </c>
    </row>
    <row r="626" spans="1:40" x14ac:dyDescent="0.25">
      <c r="A626" t="str">
        <f>"20190303153753783"</f>
        <v>20190303153753783</v>
      </c>
      <c r="B626" t="str">
        <f>"1551598673769835"</f>
        <v>1551598673769835</v>
      </c>
      <c r="C626" t="s">
        <v>40</v>
      </c>
      <c r="D626">
        <v>4.0370759999999999</v>
      </c>
      <c r="E626">
        <v>0.50184439999999997</v>
      </c>
      <c r="F626" t="s">
        <v>45</v>
      </c>
      <c r="G626">
        <v>-177.97329999999999</v>
      </c>
      <c r="H626">
        <v>7.9987970000000005E-2</v>
      </c>
      <c r="I626">
        <v>366.99950000000001</v>
      </c>
      <c r="J626">
        <v>-385.09280000000001</v>
      </c>
      <c r="K626">
        <v>1.120455</v>
      </c>
      <c r="L626">
        <v>367.74939999999998</v>
      </c>
      <c r="M626">
        <v>0.99992409999999998</v>
      </c>
      <c r="N626">
        <v>-9.5572399999999998E-3</v>
      </c>
      <c r="O626">
        <v>-7.7945269999999999E-3</v>
      </c>
      <c r="P626">
        <v>0.99793540000000003</v>
      </c>
      <c r="Q626">
        <v>-6.4217999999999997E-2</v>
      </c>
      <c r="R626">
        <v>1.082303E-3</v>
      </c>
      <c r="S626">
        <v>3.0050349999999999</v>
      </c>
      <c r="T626">
        <v>-1.507795E-2</v>
      </c>
      <c r="U626">
        <v>-1.089478E-2</v>
      </c>
      <c r="V626">
        <v>-8.8622779999999995E-3</v>
      </c>
      <c r="W626">
        <v>-5.4677669999999998E-2</v>
      </c>
      <c r="X626">
        <v>0.99846469999999998</v>
      </c>
      <c r="Y626">
        <v>-4.1692259999999998E-3</v>
      </c>
      <c r="Z626" s="1">
        <v>-5.0045570000000002E-6</v>
      </c>
      <c r="AA626">
        <v>0.99999130000000003</v>
      </c>
      <c r="AB626">
        <v>33</v>
      </c>
      <c r="AC626">
        <v>207.11949999999999</v>
      </c>
      <c r="AD626">
        <v>-1.0404670300000001</v>
      </c>
      <c r="AE626">
        <v>-0.74989999999996804</v>
      </c>
      <c r="AF626">
        <v>-0.86457299167587298</v>
      </c>
      <c r="AG626">
        <v>-1.0404670300000001</v>
      </c>
      <c r="AH626">
        <v>207.11382639137199</v>
      </c>
      <c r="AI626">
        <v>90.287828918551199</v>
      </c>
      <c r="AJ626">
        <v>90.239173292474504</v>
      </c>
      <c r="AK626">
        <v>207.11824434504501</v>
      </c>
      <c r="AL626">
        <v>93.134362909681997</v>
      </c>
      <c r="AM626">
        <v>90.508538551784099</v>
      </c>
      <c r="AN626">
        <v>0.99999997235703297</v>
      </c>
    </row>
    <row r="627" spans="1:40" x14ac:dyDescent="0.25">
      <c r="A627" t="str">
        <f>"20190303153753796"</f>
        <v>20190303153753796</v>
      </c>
      <c r="B627" t="str">
        <f>"1551598673789355"</f>
        <v>1551598673789355</v>
      </c>
      <c r="C627" t="s">
        <v>40</v>
      </c>
      <c r="D627">
        <v>4.0483209999999996</v>
      </c>
      <c r="E627">
        <v>0.50194949999999905</v>
      </c>
      <c r="F627" t="s">
        <v>45</v>
      </c>
      <c r="G627">
        <v>-194.94540000000001</v>
      </c>
      <c r="H627" s="1">
        <v>-7.4299789999999899E-6</v>
      </c>
      <c r="I627">
        <v>367.20490000000001</v>
      </c>
      <c r="J627">
        <v>-384.90710000000001</v>
      </c>
      <c r="K627">
        <v>1.12046</v>
      </c>
      <c r="L627">
        <v>367.74799999999999</v>
      </c>
      <c r="M627">
        <v>0.99992199999999998</v>
      </c>
      <c r="N627">
        <v>-9.7498129999999995E-3</v>
      </c>
      <c r="O627">
        <v>-7.7958339999999997E-3</v>
      </c>
      <c r="P627">
        <v>0.9979034</v>
      </c>
      <c r="Q627">
        <v>-6.4705479999999996E-2</v>
      </c>
      <c r="R627">
        <v>1.3576809999999999E-3</v>
      </c>
      <c r="S627">
        <v>3.0050349999999999</v>
      </c>
      <c r="T627">
        <v>-1.7707469999999999E-2</v>
      </c>
      <c r="U627">
        <v>-8.6059569999999991E-3</v>
      </c>
      <c r="V627">
        <v>-9.1392230000000001E-3</v>
      </c>
      <c r="W627">
        <v>-5.4973130000000002E-2</v>
      </c>
      <c r="X627">
        <v>0.99844599999999994</v>
      </c>
      <c r="Y627">
        <v>-4.9321410000000001E-3</v>
      </c>
      <c r="Z627" s="1">
        <v>8.502258E-6</v>
      </c>
      <c r="AA627">
        <v>0.99998779999999998</v>
      </c>
      <c r="AB627">
        <v>33</v>
      </c>
      <c r="AC627">
        <v>189.96170000000001</v>
      </c>
      <c r="AD627">
        <v>-1.1204674299789901</v>
      </c>
      <c r="AE627">
        <v>-0.543100000000038</v>
      </c>
      <c r="AF627">
        <v>-0.93786426624165498</v>
      </c>
      <c r="AG627">
        <v>-1.1204674299789901</v>
      </c>
      <c r="AH627">
        <v>189.953552405903</v>
      </c>
      <c r="AI627">
        <v>90.337959080043802</v>
      </c>
      <c r="AJ627">
        <v>90.282886141872893</v>
      </c>
      <c r="AK627">
        <v>189.959172214099</v>
      </c>
      <c r="AL627">
        <v>93.151316956876897</v>
      </c>
      <c r="AM627">
        <v>90.524439260808606</v>
      </c>
      <c r="AN627">
        <v>0.99999999266752004</v>
      </c>
    </row>
    <row r="628" spans="1:40" x14ac:dyDescent="0.25">
      <c r="A628" t="str">
        <f>"20190303153753807"</f>
        <v>20190303153753807</v>
      </c>
      <c r="B628" t="str">
        <f>"1551598673800091"</f>
        <v>1551598673800091</v>
      </c>
      <c r="C628" t="s">
        <v>40</v>
      </c>
      <c r="D628">
        <v>4.053534</v>
      </c>
      <c r="E628">
        <v>0.50197709999999995</v>
      </c>
      <c r="F628" t="s">
        <v>45</v>
      </c>
      <c r="G628">
        <v>-182.405</v>
      </c>
      <c r="H628" s="1">
        <v>-8.6245780000000002E-6</v>
      </c>
      <c r="I628">
        <v>367.1454</v>
      </c>
      <c r="J628">
        <v>-384.72719999999998</v>
      </c>
      <c r="K628">
        <v>1.120465</v>
      </c>
      <c r="L628">
        <v>367.7466</v>
      </c>
      <c r="M628">
        <v>0.99992020000000004</v>
      </c>
      <c r="N628">
        <v>-9.9255620000000006E-3</v>
      </c>
      <c r="O628">
        <v>-7.7979E-3</v>
      </c>
      <c r="P628">
        <v>0.9978918</v>
      </c>
      <c r="Q628">
        <v>-6.4880370000000007E-2</v>
      </c>
      <c r="R628">
        <v>1.4921979999999999E-3</v>
      </c>
      <c r="S628">
        <v>3.0053100000000001</v>
      </c>
      <c r="T628">
        <v>-1.6628739999999999E-2</v>
      </c>
      <c r="U628">
        <v>-8.9416500000000006E-3</v>
      </c>
      <c r="V628">
        <v>-9.2758630000000005E-3</v>
      </c>
      <c r="W628">
        <v>-5.497262E-2</v>
      </c>
      <c r="X628">
        <v>0.99844480000000002</v>
      </c>
      <c r="Y628">
        <v>-4.8227900000000004E-3</v>
      </c>
      <c r="Z628" s="1">
        <v>3.0222749999999998E-6</v>
      </c>
      <c r="AA628">
        <v>0.9999884</v>
      </c>
      <c r="AB628">
        <v>33</v>
      </c>
      <c r="AC628">
        <v>202.32220000000001</v>
      </c>
      <c r="AD628">
        <v>-1.120473624578</v>
      </c>
      <c r="AE628">
        <v>-0.60120000000000495</v>
      </c>
      <c r="AF628">
        <v>-0.97655454612810699</v>
      </c>
      <c r="AG628">
        <v>-1.120473624578</v>
      </c>
      <c r="AH628">
        <v>202.314531333568</v>
      </c>
      <c r="AI628">
        <v>90.317312874718993</v>
      </c>
      <c r="AJ628">
        <v>90.276559568152194</v>
      </c>
      <c r="AK628">
        <v>202.31999087743699</v>
      </c>
      <c r="AL628">
        <v>93.151287590996802</v>
      </c>
      <c r="AM628">
        <v>90.532280314069695</v>
      </c>
      <c r="AN628">
        <v>1.0000000246155401</v>
      </c>
    </row>
    <row r="629" spans="1:40" x14ac:dyDescent="0.25">
      <c r="A629" t="str">
        <f>"20190303153753822"</f>
        <v>20190303153753822</v>
      </c>
      <c r="B629" t="str">
        <f>"1551598673809850"</f>
        <v>1551598673809850</v>
      </c>
      <c r="C629" t="s">
        <v>40</v>
      </c>
      <c r="D629">
        <v>4.057029</v>
      </c>
      <c r="E629">
        <v>0.50205459999999902</v>
      </c>
      <c r="F629" t="s">
        <v>45</v>
      </c>
      <c r="G629">
        <v>-177.40960000000001</v>
      </c>
      <c r="H629">
        <v>7.9987989999999995E-2</v>
      </c>
      <c r="I629">
        <v>367.14030000000002</v>
      </c>
      <c r="J629">
        <v>-384.53309999999999</v>
      </c>
      <c r="K629">
        <v>1.120471</v>
      </c>
      <c r="L629">
        <v>367.74509999999998</v>
      </c>
      <c r="M629">
        <v>0.99991859999999999</v>
      </c>
      <c r="N629">
        <v>-1.009588E-2</v>
      </c>
      <c r="O629">
        <v>-7.8007800000000002E-3</v>
      </c>
      <c r="P629">
        <v>0.99788929999999998</v>
      </c>
      <c r="Q629">
        <v>-6.4920030000000004E-2</v>
      </c>
      <c r="R629">
        <v>1.5919370000000001E-3</v>
      </c>
      <c r="S629">
        <v>3.005341</v>
      </c>
      <c r="T629">
        <v>-1.5083070000000001E-2</v>
      </c>
      <c r="U629">
        <v>-8.7890629999999997E-3</v>
      </c>
      <c r="V629">
        <v>-9.3787679999999991E-3</v>
      </c>
      <c r="W629">
        <v>-5.4842250000000002E-2</v>
      </c>
      <c r="X629">
        <v>0.99845099999999998</v>
      </c>
      <c r="Y629">
        <v>-4.8764780000000001E-3</v>
      </c>
      <c r="Z629" s="1">
        <v>-2.7552910000000001E-6</v>
      </c>
      <c r="AA629">
        <v>0.99998810000000005</v>
      </c>
      <c r="AB629">
        <v>33</v>
      </c>
      <c r="AC629">
        <v>207.12350000000001</v>
      </c>
      <c r="AD629">
        <v>-1.04048301</v>
      </c>
      <c r="AE629">
        <v>-0.60479999999995404</v>
      </c>
      <c r="AF629">
        <v>-1.01100010811297</v>
      </c>
      <c r="AG629">
        <v>-1.04048301</v>
      </c>
      <c r="AH629">
        <v>207.11668881632801</v>
      </c>
      <c r="AI629">
        <v>90.287828439946395</v>
      </c>
      <c r="AJ629">
        <v>90.279676058693397</v>
      </c>
      <c r="AK629">
        <v>207.121769769265</v>
      </c>
      <c r="AL629">
        <v>93.143806680447696</v>
      </c>
      <c r="AM629">
        <v>90.538181663001794</v>
      </c>
      <c r="AN629">
        <v>1.0000000165376299</v>
      </c>
    </row>
    <row r="630" spans="1:40" x14ac:dyDescent="0.25">
      <c r="A630" t="str">
        <f>"20190303153753834"</f>
        <v>20190303153753834</v>
      </c>
      <c r="B630" t="str">
        <f>"1551598673829370"</f>
        <v>1551598673829370</v>
      </c>
      <c r="C630" t="s">
        <v>40</v>
      </c>
      <c r="D630">
        <v>4.0416780000000001</v>
      </c>
      <c r="E630">
        <v>0.50222619999999996</v>
      </c>
      <c r="F630" t="s">
        <v>41</v>
      </c>
      <c r="G630">
        <v>-158.19499999999999</v>
      </c>
      <c r="H630">
        <v>6.4978960000000002E-2</v>
      </c>
      <c r="I630">
        <v>367.05560000000003</v>
      </c>
      <c r="J630">
        <v>-384.34550000000002</v>
      </c>
      <c r="K630">
        <v>1.1204769999999999</v>
      </c>
      <c r="L630">
        <v>367.74360000000001</v>
      </c>
      <c r="M630">
        <v>0.9999171</v>
      </c>
      <c r="N630">
        <v>-1.025158E-2</v>
      </c>
      <c r="O630">
        <v>-7.80300099999999E-3</v>
      </c>
      <c r="P630">
        <v>0.99789479999999997</v>
      </c>
      <c r="Q630">
        <v>-6.4839069999999999E-2</v>
      </c>
      <c r="R630">
        <v>1.5499299999999999E-3</v>
      </c>
      <c r="S630">
        <v>3.0055239999999999</v>
      </c>
      <c r="T630">
        <v>-1.40146E-2</v>
      </c>
      <c r="U630">
        <v>-9.1552730000000002E-3</v>
      </c>
      <c r="V630">
        <v>-9.3388970000000005E-3</v>
      </c>
      <c r="W630">
        <v>-5.4605729999999998E-2</v>
      </c>
      <c r="X630">
        <v>0.99846429999999997</v>
      </c>
      <c r="Y630">
        <v>-4.7570440000000002E-3</v>
      </c>
      <c r="Z630" s="1">
        <v>-8.1364489999999996E-6</v>
      </c>
      <c r="AA630">
        <v>0.99998869999999895</v>
      </c>
      <c r="AB630">
        <v>33</v>
      </c>
      <c r="AC630">
        <v>226.15049999999999</v>
      </c>
      <c r="AD630">
        <v>-1.05549804</v>
      </c>
      <c r="AE630">
        <v>-0.68799999999998795</v>
      </c>
      <c r="AF630">
        <v>-1.07674263952747</v>
      </c>
      <c r="AG630">
        <v>-1.05549804</v>
      </c>
      <c r="AH630">
        <v>226.14405705239</v>
      </c>
      <c r="AI630">
        <v>90.267415642766693</v>
      </c>
      <c r="AJ630">
        <v>90.272801078582702</v>
      </c>
      <c r="AK630">
        <v>226.14908355095901</v>
      </c>
      <c r="AL630">
        <v>93.130234861456799</v>
      </c>
      <c r="AM630">
        <v>90.535886741959104</v>
      </c>
      <c r="AN630">
        <v>0.999999979560249</v>
      </c>
    </row>
    <row r="631" spans="1:40" x14ac:dyDescent="0.25">
      <c r="A631" t="str">
        <f>"20190303153753850"</f>
        <v>20190303153753850</v>
      </c>
      <c r="B631" t="str">
        <f>"1551598673839131"</f>
        <v>1551598673839131</v>
      </c>
      <c r="C631" t="s">
        <v>40</v>
      </c>
      <c r="D631">
        <v>4.0725709999999999</v>
      </c>
      <c r="E631">
        <v>0.50222619999999996</v>
      </c>
      <c r="F631" t="s">
        <v>41</v>
      </c>
      <c r="G631">
        <v>-158.19499999999999</v>
      </c>
      <c r="H631">
        <v>0.30312030000000001</v>
      </c>
      <c r="I631">
        <v>366.9606</v>
      </c>
      <c r="J631">
        <v>-384.1146</v>
      </c>
      <c r="K631">
        <v>1.1204780000000001</v>
      </c>
      <c r="L631">
        <v>367.74180000000001</v>
      </c>
      <c r="M631">
        <v>0.9999152</v>
      </c>
      <c r="N631">
        <v>-1.0428689999999999E-2</v>
      </c>
      <c r="O631">
        <v>-7.8053430000000002E-3</v>
      </c>
      <c r="P631">
        <v>0.99790639999999997</v>
      </c>
      <c r="Q631">
        <v>-6.4659939999999999E-2</v>
      </c>
      <c r="R631">
        <v>1.4497069999999999E-3</v>
      </c>
      <c r="S631">
        <v>3.0056759999999998</v>
      </c>
      <c r="T631">
        <v>-1.086199E-2</v>
      </c>
      <c r="U631">
        <v>-1.0406489999999999E-2</v>
      </c>
      <c r="V631">
        <v>-9.2414739999999995E-3</v>
      </c>
      <c r="W631">
        <v>-5.424967E-2</v>
      </c>
      <c r="X631">
        <v>0.99848460000000006</v>
      </c>
      <c r="Y631">
        <v>-4.3432740000000003E-3</v>
      </c>
      <c r="Z631" s="1">
        <v>-2.2700020000000001E-5</v>
      </c>
      <c r="AA631">
        <v>0.99999059999999995</v>
      </c>
      <c r="AB631">
        <v>33</v>
      </c>
      <c r="AC631">
        <v>225.9196</v>
      </c>
      <c r="AD631">
        <v>-0.81735769999999996</v>
      </c>
      <c r="AE631">
        <v>-0.781200000000012</v>
      </c>
      <c r="AF631">
        <v>-0.98228673130669697</v>
      </c>
      <c r="AG631">
        <v>-0.81735769999999996</v>
      </c>
      <c r="AH631">
        <v>225.91585807417499</v>
      </c>
      <c r="AI631">
        <v>90.207291776511994</v>
      </c>
      <c r="AJ631">
        <v>90.249121641086703</v>
      </c>
      <c r="AK631">
        <v>225.919472136032</v>
      </c>
      <c r="AL631">
        <v>93.109803889541098</v>
      </c>
      <c r="AM631">
        <v>90.530285933087796</v>
      </c>
      <c r="AN631">
        <v>0.99999996398697999</v>
      </c>
    </row>
    <row r="632" spans="1:40" x14ac:dyDescent="0.25">
      <c r="A632" t="str">
        <f>"20190303153753863"</f>
        <v>20190303153753863</v>
      </c>
      <c r="B632" t="str">
        <f>"1551598673859626"</f>
        <v>1551598673859626</v>
      </c>
      <c r="C632" t="s">
        <v>40</v>
      </c>
      <c r="D632">
        <v>4.0500769999999999</v>
      </c>
      <c r="E632">
        <v>0.50617690000000004</v>
      </c>
      <c r="F632" t="s">
        <v>41</v>
      </c>
      <c r="G632">
        <v>-158.19499999999999</v>
      </c>
      <c r="H632">
        <v>0.34397270000000002</v>
      </c>
      <c r="I632">
        <v>366.92520000000002</v>
      </c>
      <c r="J632">
        <v>-383.91269999999997</v>
      </c>
      <c r="K632">
        <v>1.120484</v>
      </c>
      <c r="L632">
        <v>367.74020000000002</v>
      </c>
      <c r="M632">
        <v>0.99991359999999996</v>
      </c>
      <c r="N632">
        <v>-1.057783E-2</v>
      </c>
      <c r="O632">
        <v>-7.8078039999999998E-3</v>
      </c>
      <c r="P632">
        <v>0.99791399999999997</v>
      </c>
      <c r="Q632">
        <v>-6.4546820000000005E-2</v>
      </c>
      <c r="R632">
        <v>1.1733990000000001E-3</v>
      </c>
      <c r="S632">
        <v>3.0056759999999998</v>
      </c>
      <c r="T632">
        <v>-1.03296E-2</v>
      </c>
      <c r="U632">
        <v>-1.0864260000000001E-2</v>
      </c>
      <c r="V632">
        <v>-8.9673579999999999E-3</v>
      </c>
      <c r="W632">
        <v>-5.3987500000000001E-2</v>
      </c>
      <c r="X632">
        <v>0.99850139999999998</v>
      </c>
      <c r="Y632">
        <v>-4.1934429999999998E-3</v>
      </c>
      <c r="Z632" s="1">
        <v>-2.6375000000000001E-5</v>
      </c>
      <c r="AA632">
        <v>0.99999119999999997</v>
      </c>
      <c r="AB632">
        <v>33</v>
      </c>
      <c r="AC632">
        <v>225.71770000000001</v>
      </c>
      <c r="AD632">
        <v>-0.77651130000000002</v>
      </c>
      <c r="AE632">
        <v>-0.81499999999999695</v>
      </c>
      <c r="AF632">
        <v>-0.947471744187947</v>
      </c>
      <c r="AG632">
        <v>-0.77651130000000002</v>
      </c>
      <c r="AH632">
        <v>225.71451149049599</v>
      </c>
      <c r="AI632">
        <v>90.1971085175729</v>
      </c>
      <c r="AJ632">
        <v>90.240506527243497</v>
      </c>
      <c r="AK632">
        <v>225.717835737228</v>
      </c>
      <c r="AL632">
        <v>93.094760327632798</v>
      </c>
      <c r="AM632">
        <v>90.5145490573654</v>
      </c>
      <c r="AN632">
        <v>1.0000000547338499</v>
      </c>
    </row>
    <row r="633" spans="1:40" x14ac:dyDescent="0.25">
      <c r="A633" t="str">
        <f>"20190303153753906"</f>
        <v>20190303153753906</v>
      </c>
      <c r="B633" t="str">
        <f>"1551598673899642"</f>
        <v>1551598673899642</v>
      </c>
      <c r="C633" t="s">
        <v>40</v>
      </c>
      <c r="D633">
        <v>4.1508979999999998</v>
      </c>
      <c r="E633">
        <v>0.51252219999999904</v>
      </c>
      <c r="F633" t="s">
        <v>41</v>
      </c>
      <c r="G633">
        <v>-158.19499999999999</v>
      </c>
      <c r="H633">
        <v>2.636053</v>
      </c>
      <c r="I633">
        <v>364.53379999999999</v>
      </c>
      <c r="J633">
        <v>-383.28289999999998</v>
      </c>
      <c r="K633">
        <v>1.120007</v>
      </c>
      <c r="L633">
        <v>367.7353</v>
      </c>
      <c r="M633">
        <v>0.99992919999999996</v>
      </c>
      <c r="N633">
        <v>-8.9810900000000006E-3</v>
      </c>
      <c r="O633">
        <v>-7.8185359999999992E-3</v>
      </c>
      <c r="P633">
        <v>0.99803209999999998</v>
      </c>
      <c r="Q633">
        <v>-6.2701439999999997E-2</v>
      </c>
      <c r="R633">
        <v>7.4445749999999997E-4</v>
      </c>
      <c r="S633">
        <v>3.0076290000000001</v>
      </c>
      <c r="T633">
        <v>2.019572E-2</v>
      </c>
      <c r="U633">
        <v>-4.2724610000000003E-2</v>
      </c>
      <c r="V633">
        <v>-8.5503899999999997E-3</v>
      </c>
      <c r="W633">
        <v>-5.3735419999999999E-2</v>
      </c>
      <c r="X633">
        <v>0.99851860000000003</v>
      </c>
      <c r="Y633">
        <v>6.386493E-3</v>
      </c>
      <c r="Z633">
        <v>-1.2995220000000001E-4</v>
      </c>
      <c r="AA633">
        <v>0.99997959999999997</v>
      </c>
      <c r="AB633">
        <v>33</v>
      </c>
      <c r="AC633">
        <v>225.08789999999999</v>
      </c>
      <c r="AD633">
        <v>1.516046</v>
      </c>
      <c r="AE633">
        <v>-3.2014999999999998</v>
      </c>
      <c r="AF633">
        <v>1.44140810389745</v>
      </c>
      <c r="AG633">
        <v>1.516046</v>
      </c>
      <c r="AH633">
        <v>225.095842238606</v>
      </c>
      <c r="AI633">
        <v>89.614120179577398</v>
      </c>
      <c r="AJ633">
        <v>89.633109739882599</v>
      </c>
      <c r="AK633">
        <v>225.10556244993899</v>
      </c>
      <c r="AL633">
        <v>93.080296382619295</v>
      </c>
      <c r="AM633">
        <v>90.490616085177294</v>
      </c>
      <c r="AN633">
        <v>0.999999999538844</v>
      </c>
    </row>
    <row r="634" spans="1:40" x14ac:dyDescent="0.25">
      <c r="A634" t="str">
        <f>"20190303153753944"</f>
        <v>20190303153753944</v>
      </c>
      <c r="B634" t="str">
        <f>"1551598673939660"</f>
        <v>1551598673939660</v>
      </c>
      <c r="C634" t="s">
        <v>40</v>
      </c>
      <c r="D634">
        <v>4.1136369999999998</v>
      </c>
      <c r="E634">
        <v>0.51133989999999996</v>
      </c>
      <c r="F634" t="s">
        <v>42</v>
      </c>
      <c r="G634">
        <v>-275.55849999999998</v>
      </c>
      <c r="H634" s="1">
        <v>-2.9106079999999902E-6</v>
      </c>
      <c r="I634">
        <v>364.30549999999999</v>
      </c>
      <c r="J634">
        <v>-382.71069999999997</v>
      </c>
      <c r="K634">
        <v>1.1195660000000001</v>
      </c>
      <c r="L634">
        <v>367.73079999999999</v>
      </c>
      <c r="M634">
        <v>0.99994519999999998</v>
      </c>
      <c r="N634">
        <v>-6.9340929999999997E-3</v>
      </c>
      <c r="O634">
        <v>-7.8396469999999999E-3</v>
      </c>
      <c r="P634">
        <v>0.99814780000000003</v>
      </c>
      <c r="Q634">
        <v>-6.0834880000000001E-2</v>
      </c>
      <c r="R634">
        <v>2.914773E-4</v>
      </c>
      <c r="S634">
        <v>3.0040279999999999</v>
      </c>
      <c r="T634">
        <v>-3.123283E-2</v>
      </c>
      <c r="U634">
        <v>-9.5642089999999999E-2</v>
      </c>
      <c r="V634">
        <v>-8.1198899999999994E-3</v>
      </c>
      <c r="W634">
        <v>-5.3911929999999997E-2</v>
      </c>
      <c r="X634">
        <v>0.99851270000000003</v>
      </c>
      <c r="Y634">
        <v>2.398287E-2</v>
      </c>
      <c r="Z634">
        <v>-1.8068199999999999E-4</v>
      </c>
      <c r="AA634">
        <v>0.9997123</v>
      </c>
      <c r="AB634">
        <v>34</v>
      </c>
      <c r="AC634">
        <v>107.15219999999999</v>
      </c>
      <c r="AD634">
        <v>-1.119568910608</v>
      </c>
      <c r="AE634">
        <v>-3.4252999999999898</v>
      </c>
      <c r="AF634">
        <v>2.5848571930624402</v>
      </c>
      <c r="AG634">
        <v>-1.119568910608</v>
      </c>
      <c r="AH634">
        <v>107.164073733506</v>
      </c>
      <c r="AI634">
        <v>90.598387010763403</v>
      </c>
      <c r="AJ634">
        <v>88.618261784882705</v>
      </c>
      <c r="AK634">
        <v>107.20108964191699</v>
      </c>
      <c r="AL634">
        <v>93.090424276964598</v>
      </c>
      <c r="AM634">
        <v>90.465918132343901</v>
      </c>
      <c r="AN634">
        <v>1.0000000204356101</v>
      </c>
    </row>
    <row r="635" spans="1:40" x14ac:dyDescent="0.25">
      <c r="A635" t="str">
        <f>"20190303153753958"</f>
        <v>20190303153753958</v>
      </c>
      <c r="B635" t="str">
        <f>"1551598673949420"</f>
        <v>1551598673949420</v>
      </c>
      <c r="C635" t="s">
        <v>40</v>
      </c>
      <c r="D635">
        <v>3.964156</v>
      </c>
      <c r="E635">
        <v>0.51402809999999999</v>
      </c>
      <c r="F635" t="s">
        <v>41</v>
      </c>
      <c r="G635">
        <v>-158.19499999999999</v>
      </c>
      <c r="H635">
        <v>4.3840909999999997</v>
      </c>
      <c r="I635">
        <v>361.27839999999998</v>
      </c>
      <c r="J635">
        <v>-382.51069999999999</v>
      </c>
      <c r="K635">
        <v>1.1194470000000001</v>
      </c>
      <c r="L635">
        <v>367.72919999999999</v>
      </c>
      <c r="M635">
        <v>0.99994959999999999</v>
      </c>
      <c r="N635">
        <v>-6.2456309999999998E-3</v>
      </c>
      <c r="O635">
        <v>-7.8516990000000002E-3</v>
      </c>
      <c r="P635">
        <v>0.99819150000000001</v>
      </c>
      <c r="Q635">
        <v>-6.0111600000000001E-2</v>
      </c>
      <c r="R635">
        <v>1.440345E-4</v>
      </c>
      <c r="S635">
        <v>3.00827</v>
      </c>
      <c r="T635">
        <v>4.3742299999999998E-2</v>
      </c>
      <c r="U635">
        <v>-8.64563E-2</v>
      </c>
      <c r="V635">
        <v>-7.9846859999999995E-3</v>
      </c>
      <c r="W635">
        <v>-5.3875800000000001E-2</v>
      </c>
      <c r="X635">
        <v>0.99851570000000001</v>
      </c>
      <c r="Y635">
        <v>2.0878620000000001E-2</v>
      </c>
      <c r="Z635" s="1">
        <v>-7.6623419999999895E-5</v>
      </c>
      <c r="AA635">
        <v>0.99978199999999995</v>
      </c>
      <c r="AB635">
        <v>34</v>
      </c>
      <c r="AC635">
        <v>224.31569999999999</v>
      </c>
      <c r="AD635">
        <v>3.2646440000000001</v>
      </c>
      <c r="AE635">
        <v>-6.4508000000000099</v>
      </c>
      <c r="AF635">
        <v>4.6883150875321604</v>
      </c>
      <c r="AG635">
        <v>3.2646440000000001</v>
      </c>
      <c r="AH635">
        <v>224.31196301760701</v>
      </c>
      <c r="AI635">
        <v>89.166356172519002</v>
      </c>
      <c r="AJ635">
        <v>88.802642717491196</v>
      </c>
      <c r="AK635">
        <v>224.38470302500301</v>
      </c>
      <c r="AL635">
        <v>93.088351292298299</v>
      </c>
      <c r="AM635">
        <v>90.458159103109793</v>
      </c>
      <c r="AN635">
        <v>0.99999998009132396</v>
      </c>
    </row>
    <row r="636" spans="1:40" x14ac:dyDescent="0.25">
      <c r="A636" t="str">
        <f>"20190303153753973"</f>
        <v>20190303153753973</v>
      </c>
      <c r="B636" t="str">
        <f>"1551598673969915"</f>
        <v>1551598673969915</v>
      </c>
      <c r="C636" t="s">
        <v>40</v>
      </c>
      <c r="D636">
        <v>4.0618349999999896</v>
      </c>
      <c r="E636">
        <v>0.51424599999999998</v>
      </c>
      <c r="F636" t="s">
        <v>41</v>
      </c>
      <c r="G636">
        <v>-158.19499999999999</v>
      </c>
      <c r="H636">
        <v>5.8646630000000002</v>
      </c>
      <c r="I636">
        <v>359.66030000000001</v>
      </c>
      <c r="J636">
        <v>-382.28230000000002</v>
      </c>
      <c r="K636">
        <v>1.119332</v>
      </c>
      <c r="L636">
        <v>367.72739999999999</v>
      </c>
      <c r="M636">
        <v>0.9999538</v>
      </c>
      <c r="N636">
        <v>-5.511724E-3</v>
      </c>
      <c r="O636">
        <v>-7.867677E-3</v>
      </c>
      <c r="P636">
        <v>0.99822350000000004</v>
      </c>
      <c r="Q636">
        <v>-5.9582429999999999E-2</v>
      </c>
      <c r="R636" s="1">
        <v>7.8255659999999994E-5</v>
      </c>
      <c r="S636">
        <v>3.0092469999999998</v>
      </c>
      <c r="T636">
        <v>6.3659309999999997E-2</v>
      </c>
      <c r="U636">
        <v>-0.1082458</v>
      </c>
      <c r="V636">
        <v>-7.9365100000000008E-3</v>
      </c>
      <c r="W636">
        <v>-5.4079210000000003E-2</v>
      </c>
      <c r="X636">
        <v>0.99850510000000003</v>
      </c>
      <c r="Y636">
        <v>2.8082159999999998E-2</v>
      </c>
      <c r="Z636" s="1">
        <v>9.7768499999999994E-6</v>
      </c>
      <c r="AA636">
        <v>0.99960559999999998</v>
      </c>
      <c r="AB636">
        <v>34</v>
      </c>
      <c r="AC636">
        <v>224.0873</v>
      </c>
      <c r="AD636">
        <v>4.7453310000000002</v>
      </c>
      <c r="AE636">
        <v>-8.0670999999999804</v>
      </c>
      <c r="AF636">
        <v>6.3009550239825902</v>
      </c>
      <c r="AG636">
        <v>4.7453310000000002</v>
      </c>
      <c r="AH636">
        <v>224.04349576221799</v>
      </c>
      <c r="AI636">
        <v>88.787113283139107</v>
      </c>
      <c r="AJ636">
        <v>88.389049450099904</v>
      </c>
      <c r="AK636">
        <v>224.18231017158601</v>
      </c>
      <c r="AL636">
        <v>93.100022805656806</v>
      </c>
      <c r="AM636">
        <v>90.455399728361897</v>
      </c>
      <c r="AN636">
        <v>0.99999999193560696</v>
      </c>
    </row>
    <row r="637" spans="1:40" x14ac:dyDescent="0.25">
      <c r="A637" t="str">
        <f>"20190303153753986"</f>
        <v>20190303153753986</v>
      </c>
      <c r="B637" t="str">
        <f>"1551598673979675"</f>
        <v>1551598673979675</v>
      </c>
      <c r="C637" t="s">
        <v>40</v>
      </c>
      <c r="D637">
        <v>4.0687129999999998</v>
      </c>
      <c r="E637">
        <v>0.51350370000000001</v>
      </c>
      <c r="F637" t="s">
        <v>41</v>
      </c>
      <c r="G637">
        <v>-170.08879999999999</v>
      </c>
      <c r="H637">
        <v>6.7195939999999998</v>
      </c>
      <c r="I637">
        <v>359.98919999999998</v>
      </c>
      <c r="J637">
        <v>-382.07740000000001</v>
      </c>
      <c r="K637">
        <v>1.1192679999999999</v>
      </c>
      <c r="L637">
        <v>367.72579999999999</v>
      </c>
      <c r="M637">
        <v>0.99995679999999998</v>
      </c>
      <c r="N637">
        <v>-4.9590579999999997E-3</v>
      </c>
      <c r="O637">
        <v>-7.8849619999999902E-3</v>
      </c>
      <c r="P637">
        <v>0.99824299999999999</v>
      </c>
      <c r="Q637">
        <v>-5.9254759999999997E-2</v>
      </c>
      <c r="R637">
        <v>1.013899E-4</v>
      </c>
      <c r="S637">
        <v>3.0101010000000001</v>
      </c>
      <c r="T637">
        <v>7.9444529999999999E-2</v>
      </c>
      <c r="U637">
        <v>-0.1097717</v>
      </c>
      <c r="V637">
        <v>-7.9773589999999998E-3</v>
      </c>
      <c r="W637">
        <v>-5.4303200000000003E-2</v>
      </c>
      <c r="X637">
        <v>0.99849259999999995</v>
      </c>
      <c r="Y637">
        <v>2.8558420000000001E-2</v>
      </c>
      <c r="Z637" s="1">
        <v>5.8756530000000001E-5</v>
      </c>
      <c r="AA637">
        <v>0.99959209999999998</v>
      </c>
      <c r="AB637">
        <v>34</v>
      </c>
      <c r="AC637">
        <v>211.98859999999999</v>
      </c>
      <c r="AD637">
        <v>5.6003259999999999</v>
      </c>
      <c r="AE637">
        <v>-7.7366000000000099</v>
      </c>
      <c r="AF637">
        <v>6.0605930419712504</v>
      </c>
      <c r="AG637">
        <v>5.6003259999999999</v>
      </c>
      <c r="AH637">
        <v>211.89532542743001</v>
      </c>
      <c r="AI637">
        <v>88.486661823662004</v>
      </c>
      <c r="AJ637">
        <v>88.361682786404003</v>
      </c>
      <c r="AK637">
        <v>212.05594398017499</v>
      </c>
      <c r="AL637">
        <v>93.112875429120194</v>
      </c>
      <c r="AM637">
        <v>90.457749289023099</v>
      </c>
      <c r="AN637">
        <v>0.99999997402080698</v>
      </c>
    </row>
    <row r="638" spans="1:40" x14ac:dyDescent="0.25">
      <c r="A638" t="str">
        <f>"20190303153753999"</f>
        <v>20190303153753999</v>
      </c>
      <c r="B638" t="str">
        <f>"1551598673989436"</f>
        <v>1551598673989436</v>
      </c>
      <c r="C638" t="s">
        <v>40</v>
      </c>
      <c r="D638">
        <v>4.0652540000000004</v>
      </c>
      <c r="E638">
        <v>0.51291980000000004</v>
      </c>
      <c r="F638" t="s">
        <v>41</v>
      </c>
      <c r="G638">
        <v>-166.76150000000001</v>
      </c>
      <c r="H638">
        <v>6.6740880000000002</v>
      </c>
      <c r="I638">
        <v>360.24419999999998</v>
      </c>
      <c r="J638">
        <v>-381.8802</v>
      </c>
      <c r="K638">
        <v>1.119281</v>
      </c>
      <c r="L638">
        <v>367.7242</v>
      </c>
      <c r="M638">
        <v>0.99995769999999995</v>
      </c>
      <c r="N638">
        <v>-4.703329E-3</v>
      </c>
      <c r="O638">
        <v>-7.9029640000000002E-3</v>
      </c>
      <c r="P638">
        <v>0.99825969999999997</v>
      </c>
      <c r="Q638">
        <v>-5.896937E-2</v>
      </c>
      <c r="R638" s="1">
        <v>-1.334446E-5</v>
      </c>
      <c r="S638">
        <v>3.0098569999999998</v>
      </c>
      <c r="T638">
        <v>7.7650899999999995E-2</v>
      </c>
      <c r="U638">
        <v>-0.1045837</v>
      </c>
      <c r="V638">
        <v>-7.8807200000000008E-3</v>
      </c>
      <c r="W638">
        <v>-5.427299E-2</v>
      </c>
      <c r="X638">
        <v>0.99849500000000002</v>
      </c>
      <c r="Y638">
        <v>2.6823139999999999E-2</v>
      </c>
      <c r="Z638" s="1">
        <v>4.1797349999999997E-5</v>
      </c>
      <c r="AA638">
        <v>0.99964019999999998</v>
      </c>
      <c r="AB638">
        <v>34</v>
      </c>
      <c r="AC638">
        <v>215.11869999999999</v>
      </c>
      <c r="AD638">
        <v>5.5548070000000003</v>
      </c>
      <c r="AE638">
        <v>-7.4800000000000102</v>
      </c>
      <c r="AF638">
        <v>5.7758256934867296</v>
      </c>
      <c r="AG638">
        <v>5.5548070000000003</v>
      </c>
      <c r="AH638">
        <v>215.02789390802599</v>
      </c>
      <c r="AI638">
        <v>88.520742843059594</v>
      </c>
      <c r="AJ638">
        <v>88.461358316415499</v>
      </c>
      <c r="AK638">
        <v>215.17716236108799</v>
      </c>
      <c r="AL638">
        <v>93.111141998134201</v>
      </c>
      <c r="AM638">
        <v>90.452203185892202</v>
      </c>
      <c r="AN638">
        <v>0.99999996410812797</v>
      </c>
    </row>
    <row r="639" spans="1:40" x14ac:dyDescent="0.25">
      <c r="A639" t="str">
        <f>"20190303153754012"</f>
        <v>20190303153754012</v>
      </c>
      <c r="B639" t="str">
        <f>"1551598673999195"</f>
        <v>1551598673999195</v>
      </c>
      <c r="C639" t="s">
        <v>40</v>
      </c>
      <c r="D639">
        <v>4.0832670000000002</v>
      </c>
      <c r="E639">
        <v>0.51241229999999904</v>
      </c>
      <c r="F639" t="s">
        <v>41</v>
      </c>
      <c r="G639">
        <v>-164.55619999999999</v>
      </c>
      <c r="H639">
        <v>6.6740890000000004</v>
      </c>
      <c r="I639">
        <v>360.50310000000002</v>
      </c>
      <c r="J639">
        <v>-381.6866</v>
      </c>
      <c r="K639">
        <v>1.1193379999999999</v>
      </c>
      <c r="L639">
        <v>367.7226</v>
      </c>
      <c r="M639">
        <v>0.99995820000000002</v>
      </c>
      <c r="N639">
        <v>-4.6094619999999999E-3</v>
      </c>
      <c r="O639">
        <v>-7.9216040000000005E-3</v>
      </c>
      <c r="P639">
        <v>0.99824250000000003</v>
      </c>
      <c r="Q639">
        <v>-5.9262620000000002E-2</v>
      </c>
      <c r="R639" s="1">
        <v>-8.5724749999999996E-6</v>
      </c>
      <c r="S639">
        <v>3.0097659999999999</v>
      </c>
      <c r="T639">
        <v>7.6930879999999993E-2</v>
      </c>
      <c r="U639">
        <v>-0.1000061</v>
      </c>
      <c r="V639">
        <v>-7.9048339999999995E-3</v>
      </c>
      <c r="W639">
        <v>-5.4659949999999999E-2</v>
      </c>
      <c r="X639">
        <v>0.99847379999999997</v>
      </c>
      <c r="Y639">
        <v>2.5287359999999998E-2</v>
      </c>
      <c r="Z639" s="1">
        <v>2.584988E-5</v>
      </c>
      <c r="AA639">
        <v>0.99968020000000002</v>
      </c>
      <c r="AB639">
        <v>34</v>
      </c>
      <c r="AC639">
        <v>217.13040000000001</v>
      </c>
      <c r="AD639">
        <v>5.5547510000000004</v>
      </c>
      <c r="AE639">
        <v>-7.2194999999999796</v>
      </c>
      <c r="AF639">
        <v>5.4956417540764901</v>
      </c>
      <c r="AG639">
        <v>5.5547510000000004</v>
      </c>
      <c r="AH639">
        <v>217.03888971896501</v>
      </c>
      <c r="AI639">
        <v>88.534398998781796</v>
      </c>
      <c r="AJ639">
        <v>88.5495234991822</v>
      </c>
      <c r="AK639">
        <v>217.17950406841399</v>
      </c>
      <c r="AL639">
        <v>93.133345823838297</v>
      </c>
      <c r="AM639">
        <v>90.453596442689403</v>
      </c>
      <c r="AN639">
        <v>1.0000000629104999</v>
      </c>
    </row>
    <row r="640" spans="1:40" x14ac:dyDescent="0.25">
      <c r="A640" t="str">
        <f>"20190303153754028"</f>
        <v>20190303153754028</v>
      </c>
      <c r="B640" t="str">
        <f>"1551598674019691"</f>
        <v>1551598674019691</v>
      </c>
      <c r="C640" t="s">
        <v>40</v>
      </c>
      <c r="D640">
        <v>4.0666690000000001</v>
      </c>
      <c r="E640">
        <v>0.51152710000000001</v>
      </c>
      <c r="F640" t="s">
        <v>41</v>
      </c>
      <c r="G640">
        <v>-158.19499999999999</v>
      </c>
      <c r="H640">
        <v>6.6554039999999901</v>
      </c>
      <c r="I640">
        <v>360.60019999999997</v>
      </c>
      <c r="J640">
        <v>-381.42200000000003</v>
      </c>
      <c r="K640">
        <v>1.119515</v>
      </c>
      <c r="L640">
        <v>367.72050000000002</v>
      </c>
      <c r="M640">
        <v>0.99995650000000003</v>
      </c>
      <c r="N640">
        <v>-4.8891230000000004E-3</v>
      </c>
      <c r="O640">
        <v>-7.9484209999999902E-3</v>
      </c>
      <c r="P640">
        <v>0.99823050000000002</v>
      </c>
      <c r="Q640">
        <v>-5.9463719999999998E-2</v>
      </c>
      <c r="R640">
        <v>2.249888E-4</v>
      </c>
      <c r="S640">
        <v>3.0097049999999999</v>
      </c>
      <c r="T640">
        <v>7.4553969999999997E-2</v>
      </c>
      <c r="U640">
        <v>-9.5916749999999995E-2</v>
      </c>
      <c r="V640">
        <v>-8.1657789999999997E-3</v>
      </c>
      <c r="W640">
        <v>-5.458176E-2</v>
      </c>
      <c r="X640">
        <v>0.99847589999999997</v>
      </c>
      <c r="Y640">
        <v>2.3905119999999998E-2</v>
      </c>
      <c r="Z640" s="1">
        <v>1.8492279999999999E-6</v>
      </c>
      <c r="AA640">
        <v>0.99971429999999994</v>
      </c>
      <c r="AB640">
        <v>34</v>
      </c>
      <c r="AC640">
        <v>223.227</v>
      </c>
      <c r="AD640">
        <v>5.5358889999999903</v>
      </c>
      <c r="AE640">
        <v>-7.1203000000000403</v>
      </c>
      <c r="AF640">
        <v>5.3424694365911201</v>
      </c>
      <c r="AG640">
        <v>5.5358889999999903</v>
      </c>
      <c r="AH640">
        <v>223.13945085184201</v>
      </c>
      <c r="AI640">
        <v>88.579241775149399</v>
      </c>
      <c r="AJ640">
        <v>88.628469861543493</v>
      </c>
      <c r="AK640">
        <v>223.27203715011601</v>
      </c>
      <c r="AL640">
        <v>93.128859411188998</v>
      </c>
      <c r="AM640">
        <v>90.468568387800104</v>
      </c>
      <c r="AN640">
        <v>0.99999998567609205</v>
      </c>
    </row>
    <row r="641" spans="1:40" x14ac:dyDescent="0.25">
      <c r="A641" t="str">
        <f>"20190303153754040"</f>
        <v>20190303153754040</v>
      </c>
      <c r="B641" t="str">
        <f>"1551598674029451"</f>
        <v>1551598674029451</v>
      </c>
      <c r="C641" t="s">
        <v>40</v>
      </c>
      <c r="D641">
        <v>4.0419340000000004</v>
      </c>
      <c r="E641">
        <v>0.51103500000000002</v>
      </c>
      <c r="F641" t="s">
        <v>41</v>
      </c>
      <c r="G641">
        <v>-158.19499999999999</v>
      </c>
      <c r="H641">
        <v>6.6254470000000003</v>
      </c>
      <c r="I641">
        <v>361.1748</v>
      </c>
      <c r="J641">
        <v>-381.25540000000001</v>
      </c>
      <c r="K641">
        <v>1.11965</v>
      </c>
      <c r="L641">
        <v>367.7192</v>
      </c>
      <c r="M641">
        <v>0.99995460000000003</v>
      </c>
      <c r="N641">
        <v>-5.2340379999999999E-3</v>
      </c>
      <c r="O641">
        <v>-7.9673260000000003E-3</v>
      </c>
      <c r="P641">
        <v>0.99818490000000004</v>
      </c>
      <c r="Q641">
        <v>-6.0222730000000002E-2</v>
      </c>
      <c r="R641">
        <v>5.9631650000000001E-4</v>
      </c>
      <c r="S641">
        <v>3.0097960000000001</v>
      </c>
      <c r="T641">
        <v>7.4238299999999993E-2</v>
      </c>
      <c r="U641">
        <v>-8.8256840000000003E-2</v>
      </c>
      <c r="V641">
        <v>-8.5564690000000006E-3</v>
      </c>
      <c r="W641">
        <v>-5.4996490000000002E-2</v>
      </c>
      <c r="X641">
        <v>0.9984499</v>
      </c>
      <c r="Y641">
        <v>2.1344100000000001E-2</v>
      </c>
      <c r="Z641" s="1">
        <v>-3.0867059999999999E-5</v>
      </c>
      <c r="AA641">
        <v>0.9997722</v>
      </c>
      <c r="AB641">
        <v>34</v>
      </c>
      <c r="AC641">
        <v>223.06039999999999</v>
      </c>
      <c r="AD641">
        <v>5.5057970000000003</v>
      </c>
      <c r="AE641">
        <v>-6.5443999999999898</v>
      </c>
      <c r="AF641">
        <v>4.7640730616798397</v>
      </c>
      <c r="AG641">
        <v>5.5057970000000003</v>
      </c>
      <c r="AH641">
        <v>222.96973458220799</v>
      </c>
      <c r="AI641">
        <v>88.585804035553096</v>
      </c>
      <c r="AJ641">
        <v>88.775978481168494</v>
      </c>
      <c r="AK641">
        <v>223.088575979144</v>
      </c>
      <c r="AL641">
        <v>93.152657343857101</v>
      </c>
      <c r="AM641">
        <v>90.490998657364003</v>
      </c>
      <c r="AN641">
        <v>1.0000000149420301</v>
      </c>
    </row>
    <row r="642" spans="1:40" x14ac:dyDescent="0.25">
      <c r="A642" t="str">
        <f>"20190303153754053"</f>
        <v>20190303153754053</v>
      </c>
      <c r="B642" t="str">
        <f>"1551598674049946"</f>
        <v>1551598674049946</v>
      </c>
      <c r="C642" t="s">
        <v>40</v>
      </c>
      <c r="D642">
        <v>4.2723440000000004</v>
      </c>
      <c r="E642">
        <v>0.50991709999999901</v>
      </c>
      <c r="F642" t="s">
        <v>41</v>
      </c>
      <c r="G642">
        <v>-158.19499999999999</v>
      </c>
      <c r="H642">
        <v>6.6491170000000004</v>
      </c>
      <c r="I642">
        <v>361.5813</v>
      </c>
      <c r="J642">
        <v>-381.06299999999999</v>
      </c>
      <c r="K642">
        <v>1.1198030000000001</v>
      </c>
      <c r="L642">
        <v>367.7176</v>
      </c>
      <c r="M642">
        <v>0.99995230000000002</v>
      </c>
      <c r="N642">
        <v>-5.6481919999999998E-3</v>
      </c>
      <c r="O642">
        <v>-7.9904239999999994E-3</v>
      </c>
      <c r="P642">
        <v>0.99814709999999995</v>
      </c>
      <c r="Q642">
        <v>-6.0847209999999999E-2</v>
      </c>
      <c r="R642">
        <v>5.6737839999999905E-4</v>
      </c>
      <c r="S642">
        <v>3.009979</v>
      </c>
      <c r="T642">
        <v>7.4615840000000003E-2</v>
      </c>
      <c r="U642">
        <v>-8.2824709999999996E-2</v>
      </c>
      <c r="V642">
        <v>-8.5506550000000008E-3</v>
      </c>
      <c r="W642">
        <v>-5.5207579999999999E-2</v>
      </c>
      <c r="X642">
        <v>0.9984383</v>
      </c>
      <c r="Y642">
        <v>1.9516970000000002E-2</v>
      </c>
      <c r="Z642" s="1">
        <v>-5.6430230000000003E-5</v>
      </c>
      <c r="AA642">
        <v>0.99980950000000002</v>
      </c>
      <c r="AB642">
        <v>34</v>
      </c>
      <c r="AC642">
        <v>222.86799999999999</v>
      </c>
      <c r="AD642">
        <v>5.5293139999999896</v>
      </c>
      <c r="AE642">
        <v>-6.1363000000000003</v>
      </c>
      <c r="AF642">
        <v>4.3525890827468503</v>
      </c>
      <c r="AG642">
        <v>5.5293139999999896</v>
      </c>
      <c r="AH642">
        <v>222.77289850977499</v>
      </c>
      <c r="AI642">
        <v>88.578458552294805</v>
      </c>
      <c r="AJ642">
        <v>88.8806840522047</v>
      </c>
      <c r="AK642">
        <v>222.884011664095</v>
      </c>
      <c r="AL642">
        <v>93.164770313293602</v>
      </c>
      <c r="AM642">
        <v>90.490670747356901</v>
      </c>
      <c r="AN642">
        <v>1.0000000147486301</v>
      </c>
    </row>
    <row r="643" spans="1:40" x14ac:dyDescent="0.25">
      <c r="A643" t="str">
        <f>"20190303153754068"</f>
        <v>20190303153754068</v>
      </c>
      <c r="B643" t="str">
        <f>"1551598674059707"</f>
        <v>1551598674059707</v>
      </c>
      <c r="C643" t="s">
        <v>40</v>
      </c>
      <c r="D643">
        <v>4.0616490000000001</v>
      </c>
      <c r="E643">
        <v>0.50942889999999996</v>
      </c>
      <c r="F643" t="s">
        <v>41</v>
      </c>
      <c r="G643">
        <v>-158.19499999999999</v>
      </c>
      <c r="H643">
        <v>6.3602740000000004</v>
      </c>
      <c r="I643">
        <v>362.21539999999999</v>
      </c>
      <c r="J643">
        <v>-380.82400000000001</v>
      </c>
      <c r="K643">
        <v>1.1199809999999999</v>
      </c>
      <c r="L643">
        <v>367.71559999999999</v>
      </c>
      <c r="M643">
        <v>0.99994859999999997</v>
      </c>
      <c r="N643">
        <v>-6.2117939999999996E-3</v>
      </c>
      <c r="O643">
        <v>-8.0221749999999994E-3</v>
      </c>
      <c r="P643">
        <v>0.99811150000000004</v>
      </c>
      <c r="Q643">
        <v>-6.1426399999999999E-2</v>
      </c>
      <c r="R643">
        <v>7.2111399999999905E-4</v>
      </c>
      <c r="S643">
        <v>3.0099490000000002</v>
      </c>
      <c r="T643">
        <v>7.0776459999999999E-2</v>
      </c>
      <c r="U643">
        <v>-7.4310299999999996E-2</v>
      </c>
      <c r="V643">
        <v>-8.7363240000000002E-3</v>
      </c>
      <c r="W643">
        <v>-5.5224189999999999E-2</v>
      </c>
      <c r="X643">
        <v>0.99843570000000004</v>
      </c>
      <c r="Y643">
        <v>1.666018E-2</v>
      </c>
      <c r="Z643" s="1">
        <v>-9.4331859999999994E-5</v>
      </c>
      <c r="AA643">
        <v>0.99986120000000001</v>
      </c>
      <c r="AB643">
        <v>34</v>
      </c>
      <c r="AC643">
        <v>222.62899999999999</v>
      </c>
      <c r="AD643">
        <v>5.2402929999999897</v>
      </c>
      <c r="AE643">
        <v>-5.5002000000000004</v>
      </c>
      <c r="AF643">
        <v>3.7119645263187002</v>
      </c>
      <c r="AG643">
        <v>5.2402929999999897</v>
      </c>
      <c r="AH643">
        <v>222.542736122897</v>
      </c>
      <c r="AI643">
        <v>88.651272704422297</v>
      </c>
      <c r="AJ643">
        <v>89.044407449704593</v>
      </c>
      <c r="AK643">
        <v>222.63537174590201</v>
      </c>
      <c r="AL643">
        <v>93.165723684659994</v>
      </c>
      <c r="AM643">
        <v>90.501325943817704</v>
      </c>
      <c r="AN643">
        <v>0.99999994077633703</v>
      </c>
    </row>
    <row r="644" spans="1:40" x14ac:dyDescent="0.25">
      <c r="A644" t="str">
        <f>"20190303153754086"</f>
        <v>20190303153754086</v>
      </c>
      <c r="B644" t="str">
        <f>"1551598674079226"</f>
        <v>1551598674079226</v>
      </c>
      <c r="C644" t="s">
        <v>40</v>
      </c>
      <c r="D644">
        <v>4.0913620000000002</v>
      </c>
      <c r="E644">
        <v>0.50881929999999997</v>
      </c>
      <c r="F644" t="s">
        <v>41</v>
      </c>
      <c r="G644">
        <v>-158.19499999999999</v>
      </c>
      <c r="H644">
        <v>6.1069129999999996</v>
      </c>
      <c r="I644">
        <v>362.54199999999997</v>
      </c>
      <c r="J644">
        <v>-380.56049999999999</v>
      </c>
      <c r="K644">
        <v>1.1201399999999999</v>
      </c>
      <c r="L644">
        <v>367.71350000000001</v>
      </c>
      <c r="M644">
        <v>0.99994419999999995</v>
      </c>
      <c r="N644">
        <v>-6.834049E-3</v>
      </c>
      <c r="O644">
        <v>-8.0613149999999995E-3</v>
      </c>
      <c r="P644">
        <v>0.99805200000000005</v>
      </c>
      <c r="Q644">
        <v>-6.2383170000000002E-2</v>
      </c>
      <c r="R644">
        <v>8.7288229999999995E-4</v>
      </c>
      <c r="S644">
        <v>3.0098880000000001</v>
      </c>
      <c r="T644">
        <v>6.7423220000000006E-2</v>
      </c>
      <c r="U644">
        <v>-6.9946289999999994E-2</v>
      </c>
      <c r="V644">
        <v>-8.9270689999999993E-3</v>
      </c>
      <c r="W644">
        <v>-5.5559999999999998E-2</v>
      </c>
      <c r="X644">
        <v>0.99841550000000001</v>
      </c>
      <c r="Y644">
        <v>1.5173280000000001E-2</v>
      </c>
      <c r="Z644">
        <v>-1.175615E-4</v>
      </c>
      <c r="AA644">
        <v>0.99988480000000002</v>
      </c>
      <c r="AB644">
        <v>34</v>
      </c>
      <c r="AC644">
        <v>222.3655</v>
      </c>
      <c r="AD644">
        <v>4.9867730000000003</v>
      </c>
      <c r="AE644">
        <v>-5.1715000000000302</v>
      </c>
      <c r="AF644">
        <v>3.3770343540471699</v>
      </c>
      <c r="AG644">
        <v>4.9867730000000003</v>
      </c>
      <c r="AH644">
        <v>222.28823024698801</v>
      </c>
      <c r="AI644">
        <v>88.715000887967804</v>
      </c>
      <c r="AJ644">
        <v>89.129621340224702</v>
      </c>
      <c r="AK644">
        <v>222.36980364321099</v>
      </c>
      <c r="AL644">
        <v>93.184993392350805</v>
      </c>
      <c r="AM644">
        <v>90.5122814574449</v>
      </c>
      <c r="AN644">
        <v>1.0000000584005799</v>
      </c>
    </row>
    <row r="645" spans="1:40" x14ac:dyDescent="0.25">
      <c r="A645" t="str">
        <f>"20190303153754099"</f>
        <v>20190303153754099</v>
      </c>
      <c r="B645" t="str">
        <f>"1551598674089962"</f>
        <v>1551598674089962</v>
      </c>
      <c r="C645" t="s">
        <v>40</v>
      </c>
      <c r="D645">
        <v>4.0684440000000004</v>
      </c>
      <c r="E645">
        <v>0.50854469999999996</v>
      </c>
      <c r="F645" t="s">
        <v>41</v>
      </c>
      <c r="G645">
        <v>-158.19499999999999</v>
      </c>
      <c r="H645">
        <v>5.6413589999999996</v>
      </c>
      <c r="I645">
        <v>362.92230000000001</v>
      </c>
      <c r="J645">
        <v>-380.35019999999997</v>
      </c>
      <c r="K645">
        <v>1.120252</v>
      </c>
      <c r="L645">
        <v>367.71179999999998</v>
      </c>
      <c r="M645">
        <v>0.99994039999999995</v>
      </c>
      <c r="N645">
        <v>-7.3241209999999899E-3</v>
      </c>
      <c r="O645">
        <v>-8.0937130000000006E-3</v>
      </c>
      <c r="P645">
        <v>0.99802060000000004</v>
      </c>
      <c r="Q645">
        <v>-6.2884579999999995E-2</v>
      </c>
      <c r="R645">
        <v>7.2320269999999996E-4</v>
      </c>
      <c r="S645">
        <v>3.009735</v>
      </c>
      <c r="T645">
        <v>6.1196210000000001E-2</v>
      </c>
      <c r="U645">
        <v>-6.4849850000000001E-2</v>
      </c>
      <c r="V645">
        <v>-8.8094719999999901E-3</v>
      </c>
      <c r="W645">
        <v>-5.5572299999999998E-2</v>
      </c>
      <c r="X645">
        <v>0.99841579999999996</v>
      </c>
      <c r="Y645">
        <v>1.345025E-2</v>
      </c>
      <c r="Z645">
        <v>-1.3634809999999901E-4</v>
      </c>
      <c r="AA645">
        <v>0.99990950000000001</v>
      </c>
      <c r="AB645">
        <v>34</v>
      </c>
      <c r="AC645">
        <v>222.15520000000001</v>
      </c>
      <c r="AD645">
        <v>4.5211069999999998</v>
      </c>
      <c r="AE645">
        <v>-4.7894999999999701</v>
      </c>
      <c r="AF645">
        <v>2.9899966279217098</v>
      </c>
      <c r="AG645">
        <v>4.5211069999999998</v>
      </c>
      <c r="AH645">
        <v>222.09474706064799</v>
      </c>
      <c r="AI645">
        <v>88.833916070996196</v>
      </c>
      <c r="AJ645">
        <v>89.2286902728992</v>
      </c>
      <c r="AK645">
        <v>222.16088125562001</v>
      </c>
      <c r="AL645">
        <v>93.185699411897005</v>
      </c>
      <c r="AM645">
        <v>90.505533333158994</v>
      </c>
      <c r="AN645">
        <v>0.999999998506924</v>
      </c>
    </row>
    <row r="646" spans="1:40" x14ac:dyDescent="0.25">
      <c r="A646" t="str">
        <f>"20190303153754113"</f>
        <v>20190303153754113</v>
      </c>
      <c r="B646" t="str">
        <f>"1551598674109483"</f>
        <v>1551598674109483</v>
      </c>
      <c r="C646" t="s">
        <v>40</v>
      </c>
      <c r="D646">
        <v>4.089156</v>
      </c>
      <c r="E646">
        <v>0.50803880000000001</v>
      </c>
      <c r="F646" t="s">
        <v>41</v>
      </c>
      <c r="G646">
        <v>-158.19499999999999</v>
      </c>
      <c r="H646">
        <v>5.4439640000000002</v>
      </c>
      <c r="I646">
        <v>363.02409999999998</v>
      </c>
      <c r="J646">
        <v>-380.14690000000002</v>
      </c>
      <c r="K646">
        <v>1.120352</v>
      </c>
      <c r="L646">
        <v>367.71010000000001</v>
      </c>
      <c r="M646">
        <v>0.99993659999999995</v>
      </c>
      <c r="N646">
        <v>-7.7917409999999996E-3</v>
      </c>
      <c r="O646">
        <v>-8.125307E-3</v>
      </c>
      <c r="P646">
        <v>0.99799689999999996</v>
      </c>
      <c r="Q646">
        <v>-6.3258419999999996E-2</v>
      </c>
      <c r="R646">
        <v>6.9294429999999904E-4</v>
      </c>
      <c r="S646">
        <v>3.009674</v>
      </c>
      <c r="T646">
        <v>5.857718E-2</v>
      </c>
      <c r="U646">
        <v>-6.3507079999999994E-2</v>
      </c>
      <c r="V646">
        <v>-8.8104700000000008E-3</v>
      </c>
      <c r="W646">
        <v>-5.547941E-2</v>
      </c>
      <c r="X646">
        <v>0.998421</v>
      </c>
      <c r="Y646">
        <v>1.297339E-2</v>
      </c>
      <c r="Z646">
        <v>-1.4573059999999999E-4</v>
      </c>
      <c r="AA646">
        <v>0.99991580000000002</v>
      </c>
      <c r="AB646">
        <v>34</v>
      </c>
      <c r="AC646">
        <v>221.95189999999999</v>
      </c>
      <c r="AD646">
        <v>4.3236119999999998</v>
      </c>
      <c r="AE646">
        <v>-4.6860000000000301</v>
      </c>
      <c r="AF646">
        <v>2.8812703064495699</v>
      </c>
      <c r="AG646">
        <v>4.3236119999999998</v>
      </c>
      <c r="AH646">
        <v>221.898483118435</v>
      </c>
      <c r="AI646">
        <v>88.8838476895626</v>
      </c>
      <c r="AJ646">
        <v>89.2560771528468</v>
      </c>
      <c r="AK646">
        <v>221.95930291287101</v>
      </c>
      <c r="AL646">
        <v>93.180368847239293</v>
      </c>
      <c r="AM646">
        <v>90.505587967525798</v>
      </c>
      <c r="AN646">
        <v>1.0000000412782799</v>
      </c>
    </row>
    <row r="647" spans="1:40" x14ac:dyDescent="0.25">
      <c r="A647" t="str">
        <f>"20190303153754129"</f>
        <v>20190303153754129</v>
      </c>
      <c r="B647" t="str">
        <f>"1551598674119246"</f>
        <v>1551598674119246</v>
      </c>
      <c r="C647" t="s">
        <v>40</v>
      </c>
      <c r="D647">
        <v>4.0906140000000004</v>
      </c>
      <c r="E647">
        <v>0.50785729999999996</v>
      </c>
      <c r="F647" t="s">
        <v>41</v>
      </c>
      <c r="G647">
        <v>-158.19499999999999</v>
      </c>
      <c r="H647">
        <v>5.2592840000000001</v>
      </c>
      <c r="I647">
        <v>363.34399999999999</v>
      </c>
      <c r="J647">
        <v>-379.8947</v>
      </c>
      <c r="K647">
        <v>1.1204499999999999</v>
      </c>
      <c r="L647">
        <v>367.70800000000003</v>
      </c>
      <c r="M647">
        <v>0.99993169999999998</v>
      </c>
      <c r="N647">
        <v>-8.3589259999999992E-3</v>
      </c>
      <c r="O647">
        <v>-8.1643449999999999E-3</v>
      </c>
      <c r="P647">
        <v>0.99795630000000002</v>
      </c>
      <c r="Q647">
        <v>-6.3896700000000001E-2</v>
      </c>
      <c r="R647">
        <v>3.4668319999999999E-4</v>
      </c>
      <c r="S647">
        <v>3.0095830000000001</v>
      </c>
      <c r="T647">
        <v>5.61235E-2</v>
      </c>
      <c r="U647">
        <v>-5.9204100000000003E-2</v>
      </c>
      <c r="V647">
        <v>-8.5028840000000005E-3</v>
      </c>
      <c r="W647">
        <v>-5.5551690000000001E-2</v>
      </c>
      <c r="X647">
        <v>0.99841959999999996</v>
      </c>
      <c r="Y647">
        <v>1.1506219999999999E-2</v>
      </c>
      <c r="Z647">
        <v>-1.612835E-4</v>
      </c>
      <c r="AA647">
        <v>0.99993379999999998</v>
      </c>
      <c r="AB647">
        <v>34</v>
      </c>
      <c r="AC647">
        <v>221.69970000000001</v>
      </c>
      <c r="AD647">
        <v>4.1388339999999904</v>
      </c>
      <c r="AE647">
        <v>-4.3640000000000301</v>
      </c>
      <c r="AF647">
        <v>2.5528690291581801</v>
      </c>
      <c r="AG647">
        <v>4.1388339999999904</v>
      </c>
      <c r="AH647">
        <v>221.65072149016299</v>
      </c>
      <c r="AI647">
        <v>88.930324062064898</v>
      </c>
      <c r="AJ647">
        <v>89.340123267501795</v>
      </c>
      <c r="AK647">
        <v>221.70405820433101</v>
      </c>
      <c r="AL647">
        <v>93.184516734922795</v>
      </c>
      <c r="AM647">
        <v>90.487938727702101</v>
      </c>
      <c r="AN647">
        <v>0.99999999348116597</v>
      </c>
    </row>
    <row r="648" spans="1:40" x14ac:dyDescent="0.25">
      <c r="A648" t="str">
        <f>"20190303153754141"</f>
        <v>20190303153754141</v>
      </c>
      <c r="B648" t="str">
        <f>"1551598674129979"</f>
        <v>1551598674129979</v>
      </c>
      <c r="C648" t="s">
        <v>40</v>
      </c>
      <c r="D648">
        <v>4.1060930000000004</v>
      </c>
      <c r="E648">
        <v>0.50765400000000005</v>
      </c>
      <c r="F648" t="s">
        <v>41</v>
      </c>
      <c r="G648">
        <v>-158.19499999999999</v>
      </c>
      <c r="H648">
        <v>5.0545359999999997</v>
      </c>
      <c r="I648">
        <v>363.37139999999999</v>
      </c>
      <c r="J648">
        <v>-379.7079</v>
      </c>
      <c r="K648">
        <v>1.1205050000000001</v>
      </c>
      <c r="L648">
        <v>367.70650000000001</v>
      </c>
      <c r="M648">
        <v>0.99992800000000004</v>
      </c>
      <c r="N648">
        <v>-8.7589439999999994E-3</v>
      </c>
      <c r="O648">
        <v>-8.1932569999999903E-3</v>
      </c>
      <c r="P648">
        <v>0.99791949999999996</v>
      </c>
      <c r="Q648">
        <v>-6.4471899999999999E-2</v>
      </c>
      <c r="R648">
        <v>2.87872E-4</v>
      </c>
      <c r="S648">
        <v>3.0095519999999998</v>
      </c>
      <c r="T648">
        <v>5.3406000000000002E-2</v>
      </c>
      <c r="U648">
        <v>-5.8868410000000003E-2</v>
      </c>
      <c r="V648">
        <v>-8.4728069999999902E-3</v>
      </c>
      <c r="W648">
        <v>-5.5727779999999998E-2</v>
      </c>
      <c r="X648">
        <v>0.99841000000000002</v>
      </c>
      <c r="Y648">
        <v>1.1366090000000001E-2</v>
      </c>
      <c r="Z648">
        <v>-1.6607070000000001E-4</v>
      </c>
      <c r="AA648">
        <v>0.99993540000000003</v>
      </c>
      <c r="AB648">
        <v>34</v>
      </c>
      <c r="AC648">
        <v>221.5129</v>
      </c>
      <c r="AD648">
        <v>3.9340309999999898</v>
      </c>
      <c r="AE648">
        <v>-4.3351000000000104</v>
      </c>
      <c r="AF648">
        <v>2.51917833185784</v>
      </c>
      <c r="AG648">
        <v>3.9340309999999898</v>
      </c>
      <c r="AH648">
        <v>221.47115643322101</v>
      </c>
      <c r="AI648">
        <v>88.9824178560946</v>
      </c>
      <c r="AJ648">
        <v>89.348303119915499</v>
      </c>
      <c r="AK648">
        <v>221.520418903642</v>
      </c>
      <c r="AL648">
        <v>93.194621737980796</v>
      </c>
      <c r="AM648">
        <v>90.486217514336204</v>
      </c>
      <c r="AN648">
        <v>0.99999995101109196</v>
      </c>
    </row>
    <row r="649" spans="1:40" x14ac:dyDescent="0.25">
      <c r="A649" t="str">
        <f>"20190303153754153"</f>
        <v>20190303153754153</v>
      </c>
      <c r="B649" t="str">
        <f>"1551598674149498"</f>
        <v>1551598674149498</v>
      </c>
      <c r="C649" t="s">
        <v>40</v>
      </c>
      <c r="D649">
        <v>4.1153690000000003</v>
      </c>
      <c r="E649">
        <v>0.50721689999999997</v>
      </c>
      <c r="F649" t="s">
        <v>41</v>
      </c>
      <c r="G649">
        <v>-158.19499999999999</v>
      </c>
      <c r="H649">
        <v>4.8426260000000001</v>
      </c>
      <c r="I649">
        <v>363.46339999999998</v>
      </c>
      <c r="J649">
        <v>-379.5367</v>
      </c>
      <c r="K649">
        <v>1.1205510000000001</v>
      </c>
      <c r="L649">
        <v>367.70499999999998</v>
      </c>
      <c r="M649">
        <v>0.9999247</v>
      </c>
      <c r="N649">
        <v>-9.1169230000000007E-3</v>
      </c>
      <c r="O649">
        <v>-8.2193140000000001E-3</v>
      </c>
      <c r="P649">
        <v>0.99788949999999998</v>
      </c>
      <c r="Q649">
        <v>-6.4935199999999998E-2</v>
      </c>
      <c r="R649">
        <v>1.4934639999999999E-4</v>
      </c>
      <c r="S649">
        <v>3.0095519999999998</v>
      </c>
      <c r="T649">
        <v>5.0571199999999997E-2</v>
      </c>
      <c r="U649">
        <v>-5.7647709999999998E-2</v>
      </c>
      <c r="V649">
        <v>-8.3599269999999996E-3</v>
      </c>
      <c r="W649">
        <v>-5.5833899999999999E-2</v>
      </c>
      <c r="X649">
        <v>0.99840510000000005</v>
      </c>
      <c r="Y649">
        <v>1.0934660000000001E-2</v>
      </c>
      <c r="Z649">
        <v>-1.7100770000000001E-4</v>
      </c>
      <c r="AA649">
        <v>0.99994019999999995</v>
      </c>
      <c r="AB649">
        <v>34</v>
      </c>
      <c r="AC649">
        <v>221.3417</v>
      </c>
      <c r="AD649">
        <v>3.7220749999999998</v>
      </c>
      <c r="AE649">
        <v>-4.2416</v>
      </c>
      <c r="AF649">
        <v>2.4214197684494998</v>
      </c>
      <c r="AG649">
        <v>3.7220749999999998</v>
      </c>
      <c r="AH649">
        <v>221.30652976140999</v>
      </c>
      <c r="AI649">
        <v>89.036511377672497</v>
      </c>
      <c r="AJ649">
        <v>89.373124700100007</v>
      </c>
      <c r="AK649">
        <v>221.351072351228</v>
      </c>
      <c r="AL649">
        <v>93.200711200421793</v>
      </c>
      <c r="AM649">
        <v>90.479742481635796</v>
      </c>
      <c r="AN649">
        <v>1.00000002823733</v>
      </c>
    </row>
    <row r="650" spans="1:40" x14ac:dyDescent="0.25">
      <c r="A650" t="str">
        <f>"20190303153754165"</f>
        <v>20190303153754165</v>
      </c>
      <c r="B650" t="str">
        <f>"1551598674160235"</f>
        <v>1551598674160235</v>
      </c>
      <c r="C650" t="s">
        <v>40</v>
      </c>
      <c r="D650">
        <v>4.1205339999999904</v>
      </c>
      <c r="E650">
        <v>0.50705639999999996</v>
      </c>
      <c r="F650" t="s">
        <v>41</v>
      </c>
      <c r="G650">
        <v>-158.19499999999999</v>
      </c>
      <c r="H650">
        <v>4.5619019999999999</v>
      </c>
      <c r="I650">
        <v>363.69850000000002</v>
      </c>
      <c r="J650">
        <v>-379.3449</v>
      </c>
      <c r="K650">
        <v>1.120593</v>
      </c>
      <c r="L650">
        <v>367.70339999999999</v>
      </c>
      <c r="M650">
        <v>0.9999209</v>
      </c>
      <c r="N650">
        <v>-9.4993869999999998E-3</v>
      </c>
      <c r="O650">
        <v>-8.2479379999999998E-3</v>
      </c>
      <c r="P650">
        <v>0.99785239999999997</v>
      </c>
      <c r="Q650">
        <v>-6.5503549999999994E-2</v>
      </c>
      <c r="R650">
        <v>-1.289312E-4</v>
      </c>
      <c r="S650">
        <v>3.009369</v>
      </c>
      <c r="T650">
        <v>4.6789879999999999E-2</v>
      </c>
      <c r="U650">
        <v>-5.4473880000000002E-2</v>
      </c>
      <c r="V650">
        <v>-8.1103770000000002E-3</v>
      </c>
      <c r="W650">
        <v>-5.6020710000000001E-2</v>
      </c>
      <c r="X650">
        <v>0.99839670000000003</v>
      </c>
      <c r="Y650">
        <v>9.8530149999999997E-3</v>
      </c>
      <c r="Z650">
        <v>-1.7677599999999999E-4</v>
      </c>
      <c r="AA650">
        <v>0.99995140000000005</v>
      </c>
      <c r="AB650">
        <v>34</v>
      </c>
      <c r="AC650">
        <v>221.1499</v>
      </c>
      <c r="AD650">
        <v>3.4413089999999902</v>
      </c>
      <c r="AE650">
        <v>-4.0048999999999602</v>
      </c>
      <c r="AF650">
        <v>2.18012312937062</v>
      </c>
      <c r="AG650">
        <v>3.4413089999999902</v>
      </c>
      <c r="AH650">
        <v>221.121884803721</v>
      </c>
      <c r="AI650">
        <v>89.108423912167495</v>
      </c>
      <c r="AJ650">
        <v>89.435117844471193</v>
      </c>
      <c r="AK650">
        <v>221.15940740480099</v>
      </c>
      <c r="AL650">
        <v>93.211431383794505</v>
      </c>
      <c r="AM650">
        <v>90.465426369277793</v>
      </c>
      <c r="AN650">
        <v>1.00000003436743</v>
      </c>
    </row>
    <row r="651" spans="1:40" x14ac:dyDescent="0.25">
      <c r="A651" t="str">
        <f>"20190303153754177"</f>
        <v>20190303153754177</v>
      </c>
      <c r="B651" t="str">
        <f>"1551598674169996"</f>
        <v>1551598674169996</v>
      </c>
      <c r="C651" t="s">
        <v>40</v>
      </c>
      <c r="D651">
        <v>4.112927</v>
      </c>
      <c r="E651">
        <v>0.50684300000000004</v>
      </c>
      <c r="F651" t="s">
        <v>41</v>
      </c>
      <c r="G651">
        <v>-158.19499999999999</v>
      </c>
      <c r="H651">
        <v>4.3758730000000003</v>
      </c>
      <c r="I651">
        <v>363.73180000000002</v>
      </c>
      <c r="J651">
        <v>-379.16359999999997</v>
      </c>
      <c r="K651">
        <v>1.120622</v>
      </c>
      <c r="L651">
        <v>367.70190000000002</v>
      </c>
      <c r="M651">
        <v>0.99991750000000001</v>
      </c>
      <c r="N651">
        <v>-9.8395140000000006E-3</v>
      </c>
      <c r="O651">
        <v>-8.274755E-3</v>
      </c>
      <c r="P651">
        <v>0.99782479999999996</v>
      </c>
      <c r="Q651">
        <v>-6.5921569999999999E-2</v>
      </c>
      <c r="R651">
        <v>-4.7510720000000002E-4</v>
      </c>
      <c r="S651">
        <v>3.0093990000000002</v>
      </c>
      <c r="T651">
        <v>4.429889E-2</v>
      </c>
      <c r="U651">
        <v>-5.4046629999999998E-2</v>
      </c>
      <c r="V651">
        <v>-7.7908980000000001E-3</v>
      </c>
      <c r="W651">
        <v>-5.6099400000000001E-2</v>
      </c>
      <c r="X651">
        <v>0.99839480000000003</v>
      </c>
      <c r="Y651">
        <v>9.6840910000000006E-3</v>
      </c>
      <c r="Z651">
        <v>-1.79579E-4</v>
      </c>
      <c r="AA651">
        <v>0.99995310000000004</v>
      </c>
      <c r="AB651">
        <v>34</v>
      </c>
      <c r="AC651">
        <v>220.96860000000001</v>
      </c>
      <c r="AD651">
        <v>3.2552509999999999</v>
      </c>
      <c r="AE651">
        <v>-3.9701</v>
      </c>
      <c r="AF651">
        <v>2.1409503002334498</v>
      </c>
      <c r="AG651">
        <v>3.2552509999999999</v>
      </c>
      <c r="AH651">
        <v>220.94595218877399</v>
      </c>
      <c r="AI651">
        <v>89.155947893925998</v>
      </c>
      <c r="AJ651">
        <v>89.444825415091699</v>
      </c>
      <c r="AK651">
        <v>220.98030255175499</v>
      </c>
      <c r="AL651">
        <v>93.215947172505096</v>
      </c>
      <c r="AM651">
        <v>90.447094189291406</v>
      </c>
      <c r="AN651">
        <v>1.00000000871952</v>
      </c>
    </row>
    <row r="652" spans="1:40" x14ac:dyDescent="0.25">
      <c r="A652" t="str">
        <f>"20190303153754190"</f>
        <v>20190303153754190</v>
      </c>
      <c r="B652" t="str">
        <f>"1551598674179755"</f>
        <v>1551598674179755</v>
      </c>
      <c r="C652" t="s">
        <v>40</v>
      </c>
      <c r="D652">
        <v>4.1087790000000002</v>
      </c>
      <c r="E652">
        <v>0.50669229999999998</v>
      </c>
      <c r="F652" t="s">
        <v>41</v>
      </c>
      <c r="G652">
        <v>-158.19499999999999</v>
      </c>
      <c r="H652">
        <v>4.1874799999999999</v>
      </c>
      <c r="I652">
        <v>363.77370000000002</v>
      </c>
      <c r="J652">
        <v>-378.97969999999998</v>
      </c>
      <c r="K652">
        <v>1.120652</v>
      </c>
      <c r="L652">
        <v>367.7004</v>
      </c>
      <c r="M652">
        <v>0.99991390000000002</v>
      </c>
      <c r="N652">
        <v>-1.017269E-2</v>
      </c>
      <c r="O652">
        <v>-8.3017149999999994E-3</v>
      </c>
      <c r="P652">
        <v>0.99780250000000004</v>
      </c>
      <c r="Q652">
        <v>-6.6255359999999999E-2</v>
      </c>
      <c r="R652">
        <v>-7.9220810000000001E-4</v>
      </c>
      <c r="S652">
        <v>3.0093079999999999</v>
      </c>
      <c r="T652">
        <v>4.1767840000000001E-2</v>
      </c>
      <c r="U652">
        <v>-5.3497309999999999E-2</v>
      </c>
      <c r="V652">
        <v>-7.5004939999999999E-3</v>
      </c>
      <c r="W652">
        <v>-5.6100730000000001E-2</v>
      </c>
      <c r="X652">
        <v>0.99839690000000003</v>
      </c>
      <c r="Y652">
        <v>9.4751869999999995E-3</v>
      </c>
      <c r="Z652">
        <v>-1.821002E-4</v>
      </c>
      <c r="AA652">
        <v>0.99995509999999999</v>
      </c>
      <c r="AB652">
        <v>34</v>
      </c>
      <c r="AC652">
        <v>220.78469999999999</v>
      </c>
      <c r="AD652">
        <v>3.0668279999999899</v>
      </c>
      <c r="AE652">
        <v>-3.9266999999999799</v>
      </c>
      <c r="AF652">
        <v>2.09317461767438</v>
      </c>
      <c r="AG652">
        <v>3.0668279999999899</v>
      </c>
      <c r="AH652">
        <v>220.767107876609</v>
      </c>
      <c r="AI652">
        <v>89.204151811240195</v>
      </c>
      <c r="AJ652">
        <v>89.456773796765404</v>
      </c>
      <c r="AK652">
        <v>220.798330460545</v>
      </c>
      <c r="AL652">
        <v>93.216023654150206</v>
      </c>
      <c r="AM652">
        <v>90.430428586091693</v>
      </c>
      <c r="AN652">
        <v>0.99999995962319199</v>
      </c>
    </row>
    <row r="653" spans="1:40" x14ac:dyDescent="0.25">
      <c r="A653" t="str">
        <f>"20190303153754202"</f>
        <v>20190303153754202</v>
      </c>
      <c r="B653" t="str">
        <f>"1551598674189515"</f>
        <v>1551598674189515</v>
      </c>
      <c r="C653" t="s">
        <v>40</v>
      </c>
      <c r="D653">
        <v>4.1354899999999999</v>
      </c>
      <c r="E653">
        <v>0.50651259999999998</v>
      </c>
      <c r="F653" t="s">
        <v>41</v>
      </c>
      <c r="G653">
        <v>-158.19499999999999</v>
      </c>
      <c r="H653">
        <v>4.0329379999999997</v>
      </c>
      <c r="I653">
        <v>363.80220000000003</v>
      </c>
      <c r="J653">
        <v>-378.79599999999999</v>
      </c>
      <c r="K653">
        <v>1.1206640000000001</v>
      </c>
      <c r="L653">
        <v>367.69880000000001</v>
      </c>
      <c r="M653">
        <v>0.99991070000000004</v>
      </c>
      <c r="N653">
        <v>-1.0449669999999999E-2</v>
      </c>
      <c r="O653">
        <v>-8.3286679999999991E-3</v>
      </c>
      <c r="P653">
        <v>0.99780409999999997</v>
      </c>
      <c r="Q653">
        <v>-6.622815E-2</v>
      </c>
      <c r="R653">
        <v>-9.9682909999999989E-4</v>
      </c>
      <c r="S653">
        <v>3.0091860000000001</v>
      </c>
      <c r="T653">
        <v>3.9694189999999997E-2</v>
      </c>
      <c r="U653">
        <v>-5.3131100000000001E-2</v>
      </c>
      <c r="V653">
        <v>-7.3230429999999996E-3</v>
      </c>
      <c r="W653">
        <v>-5.5796949999999998E-2</v>
      </c>
      <c r="X653">
        <v>0.99841530000000001</v>
      </c>
      <c r="Y653">
        <v>9.3272749999999995E-3</v>
      </c>
      <c r="Z653">
        <v>-1.8409869999999999E-4</v>
      </c>
      <c r="AA653">
        <v>0.99995650000000003</v>
      </c>
      <c r="AB653">
        <v>34</v>
      </c>
      <c r="AC653">
        <v>220.601</v>
      </c>
      <c r="AD653">
        <v>2.912274</v>
      </c>
      <c r="AE653">
        <v>-3.8965999999999701</v>
      </c>
      <c r="AF653">
        <v>2.0586933187407102</v>
      </c>
      <c r="AG653">
        <v>2.912274</v>
      </c>
      <c r="AH653">
        <v>220.587370959146</v>
      </c>
      <c r="AI653">
        <v>89.243637342430503</v>
      </c>
      <c r="AJ653">
        <v>89.465286641294497</v>
      </c>
      <c r="AK653">
        <v>220.616200186432</v>
      </c>
      <c r="AL653">
        <v>93.198590845767797</v>
      </c>
      <c r="AM653">
        <v>90.420237884226097</v>
      </c>
      <c r="AN653">
        <v>1.00000001893108</v>
      </c>
    </row>
    <row r="654" spans="1:40" x14ac:dyDescent="0.25">
      <c r="A654" t="str">
        <f>"20190303153754218"</f>
        <v>20190303153754218</v>
      </c>
      <c r="B654" t="str">
        <f>"1551598674210011"</f>
        <v>1551598674210011</v>
      </c>
      <c r="C654" t="s">
        <v>40</v>
      </c>
      <c r="D654">
        <v>4.1337000000000002</v>
      </c>
      <c r="E654">
        <v>0.5062354</v>
      </c>
      <c r="F654" t="s">
        <v>41</v>
      </c>
      <c r="G654">
        <v>-158.19499999999999</v>
      </c>
      <c r="H654">
        <v>3.9586009999999998</v>
      </c>
      <c r="I654">
        <v>363.8596</v>
      </c>
      <c r="J654">
        <v>-378.53739999999999</v>
      </c>
      <c r="K654">
        <v>1.120668</v>
      </c>
      <c r="L654">
        <v>367.69659999999999</v>
      </c>
      <c r="M654">
        <v>0.99990710000000005</v>
      </c>
      <c r="N654">
        <v>-1.076512E-2</v>
      </c>
      <c r="O654">
        <v>-8.3676700000000007E-3</v>
      </c>
      <c r="P654">
        <v>0.99782309999999996</v>
      </c>
      <c r="Q654">
        <v>-6.5933179999999994E-2</v>
      </c>
      <c r="R654">
        <v>-1.4111779999999999E-3</v>
      </c>
      <c r="S654">
        <v>3.009125</v>
      </c>
      <c r="T654">
        <v>3.8712259999999998E-2</v>
      </c>
      <c r="U654">
        <v>-5.2368159999999997E-2</v>
      </c>
      <c r="V654">
        <v>-6.9471730000000001E-3</v>
      </c>
      <c r="W654">
        <v>-5.5186850000000003E-2</v>
      </c>
      <c r="X654">
        <v>0.99845189999999995</v>
      </c>
      <c r="Y654">
        <v>9.035207E-3</v>
      </c>
      <c r="Z654">
        <v>-1.8823059999999999E-4</v>
      </c>
      <c r="AA654">
        <v>0.99995919999999905</v>
      </c>
      <c r="AB654">
        <v>34</v>
      </c>
      <c r="AC654">
        <v>220.3424</v>
      </c>
      <c r="AD654">
        <v>2.837933</v>
      </c>
      <c r="AE654">
        <v>-3.8369999999999802</v>
      </c>
      <c r="AF654">
        <v>1.99267596885168</v>
      </c>
      <c r="AG654">
        <v>2.837933</v>
      </c>
      <c r="AH654">
        <v>220.330255134814</v>
      </c>
      <c r="AI654">
        <v>89.262080717385501</v>
      </c>
      <c r="AJ654">
        <v>89.481828720482696</v>
      </c>
      <c r="AK654">
        <v>220.35754116662599</v>
      </c>
      <c r="AL654">
        <v>93.1635807286155</v>
      </c>
      <c r="AM654">
        <v>90.398654426055302</v>
      </c>
      <c r="AN654">
        <v>1.0000000241196101</v>
      </c>
    </row>
    <row r="655" spans="1:40" x14ac:dyDescent="0.25">
      <c r="A655" t="str">
        <f>"20190303153754231"</f>
        <v>20190303153754231</v>
      </c>
      <c r="B655" t="str">
        <f>"1551598674219771"</f>
        <v>1551598674219771</v>
      </c>
      <c r="C655" t="s">
        <v>40</v>
      </c>
      <c r="D655">
        <v>4.1105159999999996</v>
      </c>
      <c r="E655">
        <v>0.50610089999999996</v>
      </c>
      <c r="F655" t="s">
        <v>41</v>
      </c>
      <c r="G655">
        <v>-158.19499999999999</v>
      </c>
      <c r="H655">
        <v>3.9067180000000001</v>
      </c>
      <c r="I655">
        <v>363.9579</v>
      </c>
      <c r="J655">
        <v>-378.35770000000002</v>
      </c>
      <c r="K655">
        <v>1.120655</v>
      </c>
      <c r="L655">
        <v>367.69510000000002</v>
      </c>
      <c r="M655">
        <v>0.99990520000000005</v>
      </c>
      <c r="N655">
        <v>-1.092802E-2</v>
      </c>
      <c r="O655">
        <v>-8.3947880000000002E-3</v>
      </c>
      <c r="P655">
        <v>0.99780840000000004</v>
      </c>
      <c r="Q655">
        <v>-6.6156610000000005E-2</v>
      </c>
      <c r="R655">
        <v>-1.3384530000000001E-3</v>
      </c>
      <c r="S655">
        <v>3.0090029999999999</v>
      </c>
      <c r="T655">
        <v>3.8047549999999999E-2</v>
      </c>
      <c r="U655">
        <v>-5.1055910000000003E-2</v>
      </c>
      <c r="V655">
        <v>-7.0471309999999999E-3</v>
      </c>
      <c r="W655">
        <v>-5.5247749999999998E-2</v>
      </c>
      <c r="X655">
        <v>0.9984478</v>
      </c>
      <c r="Y655">
        <v>8.5728379999999993E-3</v>
      </c>
      <c r="Z655">
        <v>-1.905171E-4</v>
      </c>
      <c r="AA655">
        <v>0.99996320000000005</v>
      </c>
      <c r="AB655">
        <v>34</v>
      </c>
      <c r="AC655">
        <v>220.1627</v>
      </c>
      <c r="AD655">
        <v>2.786063</v>
      </c>
      <c r="AE655">
        <v>-3.7372000000000298</v>
      </c>
      <c r="AF655">
        <v>1.8884366933571699</v>
      </c>
      <c r="AG655">
        <v>2.786063</v>
      </c>
      <c r="AH655">
        <v>220.15107171003999</v>
      </c>
      <c r="AI655">
        <v>89.2749739642192</v>
      </c>
      <c r="AJ655">
        <v>89.508533854090999</v>
      </c>
      <c r="AK655">
        <v>220.17679876695499</v>
      </c>
      <c r="AL655">
        <v>93.167075472900805</v>
      </c>
      <c r="AM655">
        <v>90.404391856386994</v>
      </c>
      <c r="AN655">
        <v>0.99999999263011596</v>
      </c>
    </row>
    <row r="656" spans="1:40" x14ac:dyDescent="0.25">
      <c r="A656" t="str">
        <f>"20190303153754243"</f>
        <v>20190303153754243</v>
      </c>
      <c r="B656" t="str">
        <f>"1551598674239291"</f>
        <v>1551598674239291</v>
      </c>
      <c r="C656" t="s">
        <v>40</v>
      </c>
      <c r="D656">
        <v>4.1175189999999997</v>
      </c>
      <c r="E656">
        <v>0.50591350000000002</v>
      </c>
      <c r="F656" t="s">
        <v>41</v>
      </c>
      <c r="G656">
        <v>-158.19499999999999</v>
      </c>
      <c r="H656">
        <v>3.775928</v>
      </c>
      <c r="I656">
        <v>364.02859999999998</v>
      </c>
      <c r="J656">
        <v>-378.17149999999998</v>
      </c>
      <c r="K656">
        <v>1.120617</v>
      </c>
      <c r="L656">
        <v>367.69349999999997</v>
      </c>
      <c r="M656">
        <v>0.99990429999999997</v>
      </c>
      <c r="N656">
        <v>-1.098591E-2</v>
      </c>
      <c r="O656">
        <v>-8.42241E-3</v>
      </c>
      <c r="P656">
        <v>0.99780290000000005</v>
      </c>
      <c r="Q656">
        <v>-6.6240919999999995E-2</v>
      </c>
      <c r="R656">
        <v>-1.3793620000000001E-3</v>
      </c>
      <c r="S656">
        <v>3.0089419999999998</v>
      </c>
      <c r="T656">
        <v>3.6290530000000001E-2</v>
      </c>
      <c r="U656">
        <v>-5.0109859999999999E-2</v>
      </c>
      <c r="V656">
        <v>-7.0337899999999998E-3</v>
      </c>
      <c r="W656">
        <v>-5.5274299999999998E-2</v>
      </c>
      <c r="X656">
        <v>0.99844639999999996</v>
      </c>
      <c r="Y656">
        <v>8.2311840000000008E-3</v>
      </c>
      <c r="Z656">
        <v>-1.896744E-4</v>
      </c>
      <c r="AA656">
        <v>0.99996609999999997</v>
      </c>
      <c r="AB656">
        <v>34</v>
      </c>
      <c r="AC656">
        <v>219.97649999999999</v>
      </c>
      <c r="AD656">
        <v>2.6553110000000002</v>
      </c>
      <c r="AE656">
        <v>-3.6648999999999798</v>
      </c>
      <c r="AF656">
        <v>1.81166222845188</v>
      </c>
      <c r="AG656">
        <v>2.6553110000000002</v>
      </c>
      <c r="AH656">
        <v>219.96752408422901</v>
      </c>
      <c r="AI656">
        <v>89.308418066811299</v>
      </c>
      <c r="AJ656">
        <v>89.528120102702204</v>
      </c>
      <c r="AK656">
        <v>219.99100992604801</v>
      </c>
      <c r="AL656">
        <v>93.168599081841705</v>
      </c>
      <c r="AM656">
        <v>90.403626889074204</v>
      </c>
      <c r="AN656">
        <v>0.99999996805760605</v>
      </c>
    </row>
    <row r="657" spans="1:40" x14ac:dyDescent="0.25">
      <c r="A657" t="str">
        <f>"20190303153754255"</f>
        <v>20190303153754255</v>
      </c>
      <c r="B657" t="str">
        <f>"1551598674250027"</f>
        <v>1551598674250027</v>
      </c>
      <c r="C657" t="s">
        <v>40</v>
      </c>
      <c r="D657">
        <v>4.1140179999999997</v>
      </c>
      <c r="E657">
        <v>0.50581719999999997</v>
      </c>
      <c r="F657" t="s">
        <v>41</v>
      </c>
      <c r="G657">
        <v>-158.19499999999999</v>
      </c>
      <c r="H657">
        <v>3.6515249999999999</v>
      </c>
      <c r="I657">
        <v>364.14819999999997</v>
      </c>
      <c r="J657">
        <v>-377.98430000000002</v>
      </c>
      <c r="K657">
        <v>1.1205719999999999</v>
      </c>
      <c r="L657">
        <v>367.69189999999998</v>
      </c>
      <c r="M657">
        <v>0.99990409999999996</v>
      </c>
      <c r="N657">
        <v>-1.0986060000000001E-2</v>
      </c>
      <c r="O657">
        <v>-8.4503069999999902E-3</v>
      </c>
      <c r="P657">
        <v>0.99781410000000004</v>
      </c>
      <c r="Q657">
        <v>-6.6071580000000005E-2</v>
      </c>
      <c r="R657">
        <v>-1.490391E-3</v>
      </c>
      <c r="S657">
        <v>3.0088200000000001</v>
      </c>
      <c r="T657">
        <v>3.4618740000000002E-2</v>
      </c>
      <c r="U657">
        <v>-4.8492430000000003E-2</v>
      </c>
      <c r="V657">
        <v>-6.9510140000000002E-3</v>
      </c>
      <c r="W657">
        <v>-5.5104689999999998E-2</v>
      </c>
      <c r="X657">
        <v>0.99845640000000002</v>
      </c>
      <c r="Y657">
        <v>7.6664910000000001E-3</v>
      </c>
      <c r="Z657">
        <v>-1.8806009999999999E-4</v>
      </c>
      <c r="AA657">
        <v>0.99997060000000004</v>
      </c>
      <c r="AB657">
        <v>34</v>
      </c>
      <c r="AC657">
        <v>219.7893</v>
      </c>
      <c r="AD657">
        <v>2.5309529999999998</v>
      </c>
      <c r="AE657">
        <v>-3.5436999999999999</v>
      </c>
      <c r="AF657">
        <v>1.6859510904285999</v>
      </c>
      <c r="AG657">
        <v>2.5309529999999998</v>
      </c>
      <c r="AH657">
        <v>219.78226241914101</v>
      </c>
      <c r="AI657">
        <v>89.340245896246898</v>
      </c>
      <c r="AJ657">
        <v>89.560492342718405</v>
      </c>
      <c r="AK657">
        <v>219.80330076739901</v>
      </c>
      <c r="AL657">
        <v>93.158866168264396</v>
      </c>
      <c r="AM657">
        <v>90.398873032037898</v>
      </c>
      <c r="AN657">
        <v>1.00000001307829</v>
      </c>
    </row>
    <row r="658" spans="1:40" x14ac:dyDescent="0.25">
      <c r="A658" t="str">
        <f>"20190303153754268"</f>
        <v>20190303153754268</v>
      </c>
      <c r="B658" t="str">
        <f>"1551598674259787"</f>
        <v>1551598674259787</v>
      </c>
      <c r="C658" t="s">
        <v>40</v>
      </c>
      <c r="D658">
        <v>4.1221740000000002</v>
      </c>
      <c r="E658">
        <v>0.50572220000000001</v>
      </c>
      <c r="F658" t="s">
        <v>41</v>
      </c>
      <c r="G658">
        <v>-158.19499999999999</v>
      </c>
      <c r="H658">
        <v>3.6317719999999998</v>
      </c>
      <c r="I658">
        <v>364.15629999999999</v>
      </c>
      <c r="J658">
        <v>-377.7885</v>
      </c>
      <c r="K658">
        <v>1.120514</v>
      </c>
      <c r="L658">
        <v>367.6902</v>
      </c>
      <c r="M658">
        <v>0.99990440000000003</v>
      </c>
      <c r="N658">
        <v>-1.092887E-2</v>
      </c>
      <c r="O658">
        <v>-8.4794350000000004E-3</v>
      </c>
      <c r="P658">
        <v>0.99781140000000001</v>
      </c>
      <c r="Q658">
        <v>-6.6106159999999997E-2</v>
      </c>
      <c r="R658">
        <v>-1.532416E-3</v>
      </c>
      <c r="S658">
        <v>3.0088200000000001</v>
      </c>
      <c r="T658">
        <v>3.4378409999999998E-2</v>
      </c>
      <c r="U658">
        <v>-4.840088E-2</v>
      </c>
      <c r="V658">
        <v>-6.9376480000000003E-3</v>
      </c>
      <c r="W658">
        <v>-5.5196410000000001E-2</v>
      </c>
      <c r="X658">
        <v>0.99845139999999999</v>
      </c>
      <c r="Y658">
        <v>7.6069290000000001E-3</v>
      </c>
      <c r="Z658">
        <v>-1.876549E-4</v>
      </c>
      <c r="AA658">
        <v>0.99997100000000005</v>
      </c>
      <c r="AB658">
        <v>34</v>
      </c>
      <c r="AC658">
        <v>219.59350000000001</v>
      </c>
      <c r="AD658">
        <v>2.5112580000000002</v>
      </c>
      <c r="AE658">
        <v>-3.5339000000000098</v>
      </c>
      <c r="AF658">
        <v>1.6714145248610199</v>
      </c>
      <c r="AG658">
        <v>2.5112580000000002</v>
      </c>
      <c r="AH658">
        <v>219.586861411748</v>
      </c>
      <c r="AI658">
        <v>89.344796660283805</v>
      </c>
      <c r="AJ658">
        <v>89.563893995770002</v>
      </c>
      <c r="AK658">
        <v>219.60758126239301</v>
      </c>
      <c r="AL658">
        <v>93.164129431890004</v>
      </c>
      <c r="AM658">
        <v>90.3981080633625</v>
      </c>
      <c r="AN658">
        <v>0.99999998639930898</v>
      </c>
    </row>
    <row r="659" spans="1:40" x14ac:dyDescent="0.25">
      <c r="A659" t="str">
        <f>"20190303153754282"</f>
        <v>20190303153754282</v>
      </c>
      <c r="B659" t="str">
        <f>"1551598674269547"</f>
        <v>1551598674269547</v>
      </c>
      <c r="C659" t="s">
        <v>40</v>
      </c>
      <c r="D659">
        <v>4.1749039999999997</v>
      </c>
      <c r="E659">
        <v>0.50559370000000003</v>
      </c>
      <c r="F659" t="s">
        <v>41</v>
      </c>
      <c r="G659">
        <v>-158.19499999999999</v>
      </c>
      <c r="H659">
        <v>3.5635249999999998</v>
      </c>
      <c r="I659">
        <v>364.22899999999998</v>
      </c>
      <c r="J659">
        <v>-377.58179999999999</v>
      </c>
      <c r="K659">
        <v>1.120444</v>
      </c>
      <c r="L659">
        <v>367.6884</v>
      </c>
      <c r="M659">
        <v>0.99990579999999996</v>
      </c>
      <c r="N659">
        <v>-1.078868E-2</v>
      </c>
      <c r="O659">
        <v>-8.5108479999999997E-3</v>
      </c>
      <c r="P659">
        <v>0.99783270000000002</v>
      </c>
      <c r="Q659">
        <v>-6.5786239999999996E-2</v>
      </c>
      <c r="R659">
        <v>-1.541569E-3</v>
      </c>
      <c r="S659">
        <v>3.0087280000000001</v>
      </c>
      <c r="T659">
        <v>3.347373E-2</v>
      </c>
      <c r="U659">
        <v>-4.7424319999999999E-2</v>
      </c>
      <c r="V659">
        <v>-6.9600950000000003E-3</v>
      </c>
      <c r="W659">
        <v>-5.5016269999999999E-2</v>
      </c>
      <c r="X659">
        <v>0.99846120000000005</v>
      </c>
      <c r="Y659">
        <v>7.2514659999999998E-3</v>
      </c>
      <c r="Z659">
        <v>-1.8527699999999999E-4</v>
      </c>
      <c r="AA659">
        <v>0.99997369999999997</v>
      </c>
      <c r="AB659">
        <v>34</v>
      </c>
      <c r="AC659">
        <v>219.38679999999999</v>
      </c>
      <c r="AD659">
        <v>2.4430809999999998</v>
      </c>
      <c r="AE659">
        <v>-3.4593999999999601</v>
      </c>
      <c r="AF659">
        <v>1.5918013712368799</v>
      </c>
      <c r="AG659">
        <v>2.4430809999999998</v>
      </c>
      <c r="AH659">
        <v>219.38109891473201</v>
      </c>
      <c r="AI659">
        <v>89.361983503772507</v>
      </c>
      <c r="AJ659">
        <v>89.584276401451703</v>
      </c>
      <c r="AK659">
        <v>219.40047638374301</v>
      </c>
      <c r="AL659">
        <v>93.153792418709997</v>
      </c>
      <c r="AM659">
        <v>90.399392194121006</v>
      </c>
      <c r="AN659">
        <v>1.0000000003962799</v>
      </c>
    </row>
    <row r="660" spans="1:40" x14ac:dyDescent="0.25">
      <c r="A660" t="str">
        <f>"20190303153754297"</f>
        <v>20190303153754297</v>
      </c>
      <c r="B660" t="str">
        <f>"1551598674290043"</f>
        <v>1551598674290043</v>
      </c>
      <c r="C660" t="s">
        <v>40</v>
      </c>
      <c r="D660">
        <v>4.1720179999999996</v>
      </c>
      <c r="E660">
        <v>0.50538839999999996</v>
      </c>
      <c r="F660" t="s">
        <v>41</v>
      </c>
      <c r="G660">
        <v>-158.19499999999999</v>
      </c>
      <c r="H660">
        <v>3.5625260000000001</v>
      </c>
      <c r="I660">
        <v>364.29930000000002</v>
      </c>
      <c r="J660">
        <v>-377.34120000000001</v>
      </c>
      <c r="K660">
        <v>1.120368</v>
      </c>
      <c r="L660">
        <v>367.68639999999999</v>
      </c>
      <c r="M660">
        <v>0.9999074</v>
      </c>
      <c r="N660">
        <v>-1.059153E-2</v>
      </c>
      <c r="O660">
        <v>-8.5478040000000009E-3</v>
      </c>
      <c r="P660">
        <v>0.99787789999999998</v>
      </c>
      <c r="Q660">
        <v>-6.5099630000000006E-2</v>
      </c>
      <c r="R660">
        <v>-1.410377E-3</v>
      </c>
      <c r="S660">
        <v>3.008667</v>
      </c>
      <c r="T660">
        <v>3.3491849999999997E-2</v>
      </c>
      <c r="U660">
        <v>-4.6478270000000002E-2</v>
      </c>
      <c r="V660">
        <v>-7.1283500000000003E-3</v>
      </c>
      <c r="W660">
        <v>-5.4526070000000003E-2</v>
      </c>
      <c r="X660">
        <v>0.99848689999999996</v>
      </c>
      <c r="Y660">
        <v>6.900453E-3</v>
      </c>
      <c r="Z660">
        <v>-1.8381229999999999E-4</v>
      </c>
      <c r="AA660">
        <v>0.99997619999999998</v>
      </c>
      <c r="AB660">
        <v>34</v>
      </c>
      <c r="AC660">
        <v>219.14619999999999</v>
      </c>
      <c r="AD660">
        <v>2.4421580000000001</v>
      </c>
      <c r="AE660">
        <v>-3.38709999999997</v>
      </c>
      <c r="AF660">
        <v>1.5134645429851801</v>
      </c>
      <c r="AG660">
        <v>2.4421580000000001</v>
      </c>
      <c r="AH660">
        <v>219.13993884195699</v>
      </c>
      <c r="AI660">
        <v>89.361521143799493</v>
      </c>
      <c r="AJ660">
        <v>89.604299642791403</v>
      </c>
      <c r="AK660">
        <v>219.158772368976</v>
      </c>
      <c r="AL660">
        <v>93.125663813200106</v>
      </c>
      <c r="AM660">
        <v>90.409036344207706</v>
      </c>
      <c r="AN660">
        <v>0.99999999757748803</v>
      </c>
    </row>
    <row r="661" spans="1:40" x14ac:dyDescent="0.25">
      <c r="A661" t="str">
        <f>"20190303153754312"</f>
        <v>20190303153754312</v>
      </c>
      <c r="B661" t="str">
        <f>"1551598674299803"</f>
        <v>1551598674299803</v>
      </c>
      <c r="C661" t="s">
        <v>40</v>
      </c>
      <c r="D661">
        <v>4.2117709999999997</v>
      </c>
      <c r="E661">
        <v>0.50526720000000003</v>
      </c>
      <c r="F661" t="s">
        <v>41</v>
      </c>
      <c r="G661">
        <v>-158.19499999999999</v>
      </c>
      <c r="H661">
        <v>3.5918860000000001</v>
      </c>
      <c r="I661">
        <v>364.4631</v>
      </c>
      <c r="J661">
        <v>-377.13339999999999</v>
      </c>
      <c r="K661">
        <v>1.120295</v>
      </c>
      <c r="L661">
        <v>367.68450000000001</v>
      </c>
      <c r="M661">
        <v>0.99990919999999905</v>
      </c>
      <c r="N661">
        <v>-1.0397709999999999E-2</v>
      </c>
      <c r="O661">
        <v>-8.5800310000000001E-3</v>
      </c>
      <c r="P661">
        <v>0.99788529999999998</v>
      </c>
      <c r="Q661">
        <v>-6.4981090000000005E-2</v>
      </c>
      <c r="R661">
        <v>-1.4992979999999901E-3</v>
      </c>
      <c r="S661">
        <v>3.0085449999999998</v>
      </c>
      <c r="T661">
        <v>3.3931370000000002E-2</v>
      </c>
      <c r="U661">
        <v>-4.4250490000000003E-2</v>
      </c>
      <c r="V661">
        <v>-7.071188E-3</v>
      </c>
      <c r="W661">
        <v>-5.4601030000000002E-2</v>
      </c>
      <c r="X661">
        <v>0.99848320000000002</v>
      </c>
      <c r="Y661">
        <v>6.1285569999999998E-3</v>
      </c>
      <c r="Z661">
        <v>-1.8327179999999999E-4</v>
      </c>
      <c r="AA661">
        <v>0.99998120000000001</v>
      </c>
      <c r="AB661">
        <v>34</v>
      </c>
      <c r="AC661">
        <v>218.9384</v>
      </c>
      <c r="AD661">
        <v>2.4715910000000001</v>
      </c>
      <c r="AE661">
        <v>-3.2214000000000098</v>
      </c>
      <c r="AF661">
        <v>1.34251067372406</v>
      </c>
      <c r="AG661">
        <v>2.4715910000000001</v>
      </c>
      <c r="AH661">
        <v>218.93008675850601</v>
      </c>
      <c r="AI661">
        <v>89.353204224896999</v>
      </c>
      <c r="AJ661">
        <v>89.648658470983804</v>
      </c>
      <c r="AK661">
        <v>218.94815364617099</v>
      </c>
      <c r="AL661">
        <v>93.129965144284299</v>
      </c>
      <c r="AM661">
        <v>90.405757909095399</v>
      </c>
      <c r="AN661">
        <v>0.99999998742951601</v>
      </c>
    </row>
    <row r="662" spans="1:40" x14ac:dyDescent="0.25">
      <c r="A662" t="str">
        <f>"20190303153754331"</f>
        <v>20190303153754331</v>
      </c>
      <c r="B662" t="str">
        <f>"1551598674319326"</f>
        <v>1551598674319326</v>
      </c>
      <c r="C662" t="s">
        <v>40</v>
      </c>
      <c r="D662">
        <v>4.1803140000000001</v>
      </c>
      <c r="E662">
        <v>0.50507069999999998</v>
      </c>
      <c r="F662" t="s">
        <v>41</v>
      </c>
      <c r="G662">
        <v>-158.19499999999999</v>
      </c>
      <c r="H662">
        <v>3.5638749999999999</v>
      </c>
      <c r="I662">
        <v>364.48430000000002</v>
      </c>
      <c r="J662">
        <v>-376.84320000000002</v>
      </c>
      <c r="K662">
        <v>1.1202179999999999</v>
      </c>
      <c r="L662">
        <v>367.68200000000002</v>
      </c>
      <c r="M662">
        <v>0.99991180000000002</v>
      </c>
      <c r="N662">
        <v>-1.010372E-2</v>
      </c>
      <c r="O662">
        <v>-8.6245209999999996E-3</v>
      </c>
      <c r="P662">
        <v>0.99790860000000003</v>
      </c>
      <c r="Q662">
        <v>-6.4629809999999996E-2</v>
      </c>
      <c r="R662">
        <v>-1.1973369999999999E-3</v>
      </c>
      <c r="S662">
        <v>3.0084840000000002</v>
      </c>
      <c r="T662">
        <v>3.3578990000000003E-2</v>
      </c>
      <c r="U662">
        <v>-4.397583E-2</v>
      </c>
      <c r="V662">
        <v>-7.4182980000000003E-3</v>
      </c>
      <c r="W662">
        <v>-5.4543059999999997E-2</v>
      </c>
      <c r="X662">
        <v>0.99848380000000003</v>
      </c>
      <c r="Y662">
        <v>5.9930440000000003E-3</v>
      </c>
      <c r="Z662">
        <v>-1.8022169999999999E-4</v>
      </c>
      <c r="AA662">
        <v>0.99998200000000004</v>
      </c>
      <c r="AB662">
        <v>34</v>
      </c>
      <c r="AC662">
        <v>218.6482</v>
      </c>
      <c r="AD662">
        <v>2.443657</v>
      </c>
      <c r="AE662">
        <v>-3.1976999999999398</v>
      </c>
      <c r="AF662">
        <v>1.3115850858692999</v>
      </c>
      <c r="AG662">
        <v>2.443657</v>
      </c>
      <c r="AH662">
        <v>218.640343282788</v>
      </c>
      <c r="AI662">
        <v>89.359665822534794</v>
      </c>
      <c r="AJ662">
        <v>89.656296786962699</v>
      </c>
      <c r="AK662">
        <v>218.65793245566499</v>
      </c>
      <c r="AL662">
        <v>93.126638906668902</v>
      </c>
      <c r="AM662">
        <v>90.425674754434496</v>
      </c>
      <c r="AN662">
        <v>0.999999937700908</v>
      </c>
    </row>
    <row r="663" spans="1:40" x14ac:dyDescent="0.25">
      <c r="A663" t="str">
        <f>"20190303153754341"</f>
        <v>20190303153754341</v>
      </c>
      <c r="B663" t="str">
        <f>"1551598674330059"</f>
        <v>1551598674330059</v>
      </c>
      <c r="C663" t="s">
        <v>40</v>
      </c>
      <c r="D663">
        <v>4.1952610000000004</v>
      </c>
      <c r="E663">
        <v>0.50498889999999996</v>
      </c>
      <c r="F663" t="s">
        <v>41</v>
      </c>
      <c r="G663">
        <v>-158.19499999999999</v>
      </c>
      <c r="H663">
        <v>3.5195810000000001</v>
      </c>
      <c r="I663">
        <v>364.67660000000001</v>
      </c>
      <c r="J663">
        <v>-376.66059999999999</v>
      </c>
      <c r="K663">
        <v>1.120177</v>
      </c>
      <c r="L663">
        <v>367.68040000000002</v>
      </c>
      <c r="M663">
        <v>0.99991339999999995</v>
      </c>
      <c r="N663">
        <v>-9.9131559999999994E-3</v>
      </c>
      <c r="O663">
        <v>-8.6524089999999998E-3</v>
      </c>
      <c r="P663">
        <v>0.99792340000000002</v>
      </c>
      <c r="Q663">
        <v>-6.4403099999999894E-2</v>
      </c>
      <c r="R663">
        <v>-1.064864E-3</v>
      </c>
      <c r="S663">
        <v>3.008362</v>
      </c>
      <c r="T663">
        <v>3.3013819999999999E-2</v>
      </c>
      <c r="U663">
        <v>-4.1351319999999997E-2</v>
      </c>
      <c r="V663">
        <v>-7.57828699999999E-3</v>
      </c>
      <c r="W663">
        <v>-5.4506480000000003E-2</v>
      </c>
      <c r="X663">
        <v>0.9984847</v>
      </c>
      <c r="Y663">
        <v>5.0934880000000002E-3</v>
      </c>
      <c r="Z663">
        <v>-1.7801229999999901E-4</v>
      </c>
      <c r="AA663">
        <v>0.99998699999999996</v>
      </c>
      <c r="AB663">
        <v>34</v>
      </c>
      <c r="AC663">
        <v>218.46559999999999</v>
      </c>
      <c r="AD663">
        <v>2.3994040000000001</v>
      </c>
      <c r="AE663">
        <v>-3.0038000000000098</v>
      </c>
      <c r="AF663">
        <v>1.11320662891302</v>
      </c>
      <c r="AG663">
        <v>2.3994040000000001</v>
      </c>
      <c r="AH663">
        <v>218.457066199157</v>
      </c>
      <c r="AI663">
        <v>89.370730310816199</v>
      </c>
      <c r="AJ663">
        <v>89.708036500681899</v>
      </c>
      <c r="AK663">
        <v>218.473078755476</v>
      </c>
      <c r="AL663">
        <v>93.1245395799492</v>
      </c>
      <c r="AM663">
        <v>90.434854458868202</v>
      </c>
      <c r="AN663">
        <v>1.0000000414649599</v>
      </c>
    </row>
    <row r="664" spans="1:40" x14ac:dyDescent="0.25">
      <c r="A664" t="str">
        <f>"20190303153754354"</f>
        <v>20190303153754354</v>
      </c>
      <c r="B664" t="str">
        <f>"1551598674349579"</f>
        <v>1551598674349579</v>
      </c>
      <c r="C664" t="s">
        <v>40</v>
      </c>
      <c r="D664">
        <v>4.2088239999999999</v>
      </c>
      <c r="E664">
        <v>0.50476929999999998</v>
      </c>
      <c r="F664" t="s">
        <v>41</v>
      </c>
      <c r="G664">
        <v>-158.19499999999999</v>
      </c>
      <c r="H664">
        <v>3.5227379999999999</v>
      </c>
      <c r="I664">
        <v>364.77280000000002</v>
      </c>
      <c r="J664">
        <v>-376.48180000000002</v>
      </c>
      <c r="K664">
        <v>1.1201369999999999</v>
      </c>
      <c r="L664">
        <v>367.67880000000002</v>
      </c>
      <c r="M664">
        <v>0.99991509999999995</v>
      </c>
      <c r="N664">
        <v>-9.7267650000000001E-3</v>
      </c>
      <c r="O664">
        <v>-8.6797390000000006E-3</v>
      </c>
      <c r="P664">
        <v>0.99793600000000005</v>
      </c>
      <c r="Q664">
        <v>-6.4208920000000003E-2</v>
      </c>
      <c r="R664">
        <v>-1.095206E-3</v>
      </c>
      <c r="S664">
        <v>3.0083310000000001</v>
      </c>
      <c r="T664">
        <v>3.3085110000000001E-2</v>
      </c>
      <c r="U664">
        <v>-4.0039060000000001E-2</v>
      </c>
      <c r="V664">
        <v>-7.5754339999999998E-3</v>
      </c>
      <c r="W664">
        <v>-5.44983E-2</v>
      </c>
      <c r="X664">
        <v>0.99848510000000001</v>
      </c>
      <c r="Y664">
        <v>4.6301629999999996E-3</v>
      </c>
      <c r="Z664">
        <v>-1.7693099999999999E-4</v>
      </c>
      <c r="AA664">
        <v>0.99998929999999997</v>
      </c>
      <c r="AB664">
        <v>34</v>
      </c>
      <c r="AC664">
        <v>218.2868</v>
      </c>
      <c r="AD664">
        <v>2.4026010000000002</v>
      </c>
      <c r="AE664">
        <v>-2.9060000000000001</v>
      </c>
      <c r="AF664">
        <v>1.0110061261768799</v>
      </c>
      <c r="AG664">
        <v>2.4026010000000002</v>
      </c>
      <c r="AH664">
        <v>218.277362250306</v>
      </c>
      <c r="AI664">
        <v>89.3693717922784</v>
      </c>
      <c r="AJ664">
        <v>89.734622183141894</v>
      </c>
      <c r="AK664">
        <v>218.292925895237</v>
      </c>
      <c r="AL664">
        <v>93.124070415640304</v>
      </c>
      <c r="AM664">
        <v>90.434690581228196</v>
      </c>
      <c r="AN664">
        <v>0.99999997341259295</v>
      </c>
    </row>
    <row r="665" spans="1:40" x14ac:dyDescent="0.25">
      <c r="A665" t="str">
        <f>"20190303153754365"</f>
        <v>20190303153754365</v>
      </c>
      <c r="B665" t="str">
        <f>"1551598674359339"</f>
        <v>1551598674359339</v>
      </c>
      <c r="C665" t="s">
        <v>40</v>
      </c>
      <c r="D665">
        <v>4.2182069999999996</v>
      </c>
      <c r="E665">
        <v>0.50467289999999998</v>
      </c>
      <c r="F665" t="s">
        <v>41</v>
      </c>
      <c r="G665">
        <v>-158.19499999999999</v>
      </c>
      <c r="H665">
        <v>3.4663689999999998</v>
      </c>
      <c r="I665">
        <v>364.8997</v>
      </c>
      <c r="J665">
        <v>-376.30149999999998</v>
      </c>
      <c r="K665">
        <v>1.1201019999999999</v>
      </c>
      <c r="L665">
        <v>367.67720000000003</v>
      </c>
      <c r="M665">
        <v>0.99991660000000004</v>
      </c>
      <c r="N665">
        <v>-9.5388599999999997E-3</v>
      </c>
      <c r="O665">
        <v>-8.7069629999999999E-3</v>
      </c>
      <c r="P665">
        <v>0.99796300000000004</v>
      </c>
      <c r="Q665">
        <v>-6.3791650000000005E-2</v>
      </c>
      <c r="R665">
        <v>-8.4900679999999997E-4</v>
      </c>
      <c r="S665">
        <v>3.0082399999999998</v>
      </c>
      <c r="T665">
        <v>3.2334920000000003E-2</v>
      </c>
      <c r="U665">
        <v>-3.8299560000000003E-2</v>
      </c>
      <c r="V665">
        <v>-7.8488229999999996E-3</v>
      </c>
      <c r="W665">
        <v>-5.4268419999999998E-2</v>
      </c>
      <c r="X665">
        <v>0.99849549999999998</v>
      </c>
      <c r="Y665">
        <v>4.0251499999999999E-3</v>
      </c>
      <c r="Z665">
        <v>-1.741988E-4</v>
      </c>
      <c r="AA665">
        <v>0.99999190000000004</v>
      </c>
      <c r="AB665">
        <v>34</v>
      </c>
      <c r="AC665">
        <v>218.10650000000001</v>
      </c>
      <c r="AD665">
        <v>2.3462669999999899</v>
      </c>
      <c r="AE665">
        <v>-2.7775000000000301</v>
      </c>
      <c r="AF665">
        <v>0.87816147831821501</v>
      </c>
      <c r="AG665">
        <v>2.3462669999999899</v>
      </c>
      <c r="AH665">
        <v>218.097181673189</v>
      </c>
      <c r="AI665">
        <v>89.383646682470498</v>
      </c>
      <c r="AJ665">
        <v>89.769301583148703</v>
      </c>
      <c r="AK665">
        <v>218.11156959273299</v>
      </c>
      <c r="AL665">
        <v>93.110879768810406</v>
      </c>
      <c r="AM665">
        <v>90.450372755816105</v>
      </c>
      <c r="AN665">
        <v>0.99999996447601502</v>
      </c>
    </row>
    <row r="666" spans="1:40" x14ac:dyDescent="0.25">
      <c r="A666" t="str">
        <f>"20190303153754376"</f>
        <v>20190303153754376</v>
      </c>
      <c r="B666" t="str">
        <f>"1551598674370075"</f>
        <v>1551598674370075</v>
      </c>
      <c r="C666" t="s">
        <v>40</v>
      </c>
      <c r="D666">
        <v>4.2110200000000004</v>
      </c>
      <c r="E666">
        <v>0.50460859999999996</v>
      </c>
      <c r="F666" t="s">
        <v>41</v>
      </c>
      <c r="G666">
        <v>-158.19499999999999</v>
      </c>
      <c r="H666">
        <v>3.5057839999999998</v>
      </c>
      <c r="I666">
        <v>364.98009999999999</v>
      </c>
      <c r="J666">
        <v>-376.12920000000003</v>
      </c>
      <c r="K666">
        <v>1.120077</v>
      </c>
      <c r="L666">
        <v>367.67570000000001</v>
      </c>
      <c r="M666">
        <v>0.99991810000000003</v>
      </c>
      <c r="N666">
        <v>-9.3610640000000005E-3</v>
      </c>
      <c r="O666">
        <v>-8.7328219999999995E-3</v>
      </c>
      <c r="P666">
        <v>0.99797400000000003</v>
      </c>
      <c r="Q666">
        <v>-6.3621540000000004E-2</v>
      </c>
      <c r="R666">
        <v>-7.7753899999999897E-4</v>
      </c>
      <c r="S666">
        <v>3.0082089999999999</v>
      </c>
      <c r="T666">
        <v>3.2905459999999997E-2</v>
      </c>
      <c r="U666">
        <v>-3.720093E-2</v>
      </c>
      <c r="V666">
        <v>-7.9464240000000005E-3</v>
      </c>
      <c r="W666">
        <v>-5.427572E-2</v>
      </c>
      <c r="X666">
        <v>0.9984944</v>
      </c>
      <c r="Y666">
        <v>3.6342850000000001E-3</v>
      </c>
      <c r="Z666">
        <v>-1.7439619999999999E-4</v>
      </c>
      <c r="AA666">
        <v>0.99999340000000003</v>
      </c>
      <c r="AB666">
        <v>34</v>
      </c>
      <c r="AC666">
        <v>217.9342</v>
      </c>
      <c r="AD666">
        <v>2.385707</v>
      </c>
      <c r="AE666">
        <v>-2.69560000000001</v>
      </c>
      <c r="AF666">
        <v>0.79213841600600499</v>
      </c>
      <c r="AG666">
        <v>2.385707</v>
      </c>
      <c r="AH666">
        <v>217.923319439355</v>
      </c>
      <c r="AI666">
        <v>89.372785898179004</v>
      </c>
      <c r="AJ666">
        <v>89.791734137251296</v>
      </c>
      <c r="AK666">
        <v>217.93781736226299</v>
      </c>
      <c r="AL666">
        <v>93.111298431537705</v>
      </c>
      <c r="AM666">
        <v>90.455973459171204</v>
      </c>
      <c r="AN666">
        <v>1.0000000331336301</v>
      </c>
    </row>
    <row r="667" spans="1:40" x14ac:dyDescent="0.25">
      <c r="A667" t="str">
        <f>"20190303153754388"</f>
        <v>20190303153754388</v>
      </c>
      <c r="B667" t="str">
        <f>"1551598674379835"</f>
        <v>1551598674379835</v>
      </c>
      <c r="C667" t="s">
        <v>40</v>
      </c>
      <c r="D667">
        <v>4.2147030000000001</v>
      </c>
      <c r="E667">
        <v>0.50453930000000002</v>
      </c>
      <c r="F667" t="s">
        <v>41</v>
      </c>
      <c r="G667">
        <v>-158.19499999999999</v>
      </c>
      <c r="H667">
        <v>3.5128729999999999</v>
      </c>
      <c r="I667">
        <v>365.03370000000001</v>
      </c>
      <c r="J667">
        <v>-375.94450000000001</v>
      </c>
      <c r="K667">
        <v>1.1200509999999999</v>
      </c>
      <c r="L667">
        <v>367.67410000000001</v>
      </c>
      <c r="M667">
        <v>0.99991960000000002</v>
      </c>
      <c r="N667">
        <v>-9.171261E-3</v>
      </c>
      <c r="O667">
        <v>-8.7604299999999996E-3</v>
      </c>
      <c r="P667">
        <v>0.99799530000000003</v>
      </c>
      <c r="Q667">
        <v>-6.3284930000000003E-2</v>
      </c>
      <c r="R667">
        <v>-7.2478970000000001E-4</v>
      </c>
      <c r="S667">
        <v>3.0081790000000002</v>
      </c>
      <c r="T667">
        <v>3.3029320000000001E-2</v>
      </c>
      <c r="U667">
        <v>-3.6468510000000003E-2</v>
      </c>
      <c r="V667">
        <v>-8.0264759999999994E-3</v>
      </c>
      <c r="W667">
        <v>-5.4128450000000002E-2</v>
      </c>
      <c r="X667">
        <v>0.99850170000000005</v>
      </c>
      <c r="Y667">
        <v>3.3633529999999999E-3</v>
      </c>
      <c r="Z667">
        <v>-1.7348059999999999E-4</v>
      </c>
      <c r="AA667">
        <v>0.9999943</v>
      </c>
      <c r="AB667">
        <v>34</v>
      </c>
      <c r="AC667">
        <v>217.74950000000001</v>
      </c>
      <c r="AD667">
        <v>2.3928219999999998</v>
      </c>
      <c r="AE667">
        <v>-2.6404000000000001</v>
      </c>
      <c r="AF667">
        <v>0.73255080234266801</v>
      </c>
      <c r="AG667">
        <v>2.3928219999999998</v>
      </c>
      <c r="AH667">
        <v>217.737986375909</v>
      </c>
      <c r="AI667">
        <v>89.370379465923904</v>
      </c>
      <c r="AJ667">
        <v>89.807236616850503</v>
      </c>
      <c r="AK667">
        <v>217.75236609239701</v>
      </c>
      <c r="AL667">
        <v>93.102848227838805</v>
      </c>
      <c r="AM667">
        <v>90.460563356075696</v>
      </c>
      <c r="AN667">
        <v>0.99999997915963501</v>
      </c>
    </row>
    <row r="668" spans="1:40" x14ac:dyDescent="0.25">
      <c r="A668" t="str">
        <f>"20190303153754400"</f>
        <v>20190303153754400</v>
      </c>
      <c r="B668" t="str">
        <f>"1551598674389596"</f>
        <v>1551598674389596</v>
      </c>
      <c r="C668" t="s">
        <v>40</v>
      </c>
      <c r="D668">
        <v>4.1981989999999998</v>
      </c>
      <c r="E668">
        <v>0.50448349999999997</v>
      </c>
      <c r="F668" t="s">
        <v>41</v>
      </c>
      <c r="G668">
        <v>-158.19499999999999</v>
      </c>
      <c r="H668">
        <v>3.549769</v>
      </c>
      <c r="I668">
        <v>365.08949999999999</v>
      </c>
      <c r="J668">
        <v>-375.7722</v>
      </c>
      <c r="K668">
        <v>1.120026</v>
      </c>
      <c r="L668">
        <v>367.67259999999999</v>
      </c>
      <c r="M668">
        <v>0.99992099999999995</v>
      </c>
      <c r="N668">
        <v>-8.9920290000000003E-3</v>
      </c>
      <c r="O668">
        <v>-8.7859569999999901E-3</v>
      </c>
      <c r="P668">
        <v>0.99801519999999999</v>
      </c>
      <c r="Q668">
        <v>-6.2968869999999996E-2</v>
      </c>
      <c r="R668">
        <v>-6.3848249999999996E-4</v>
      </c>
      <c r="S668">
        <v>3.0081479999999998</v>
      </c>
      <c r="T668">
        <v>3.3567069999999997E-2</v>
      </c>
      <c r="U668">
        <v>-3.5705569999999999E-2</v>
      </c>
      <c r="V668">
        <v>-8.1389010000000005E-3</v>
      </c>
      <c r="W668">
        <v>-5.399118E-2</v>
      </c>
      <c r="X668">
        <v>0.99850819999999996</v>
      </c>
      <c r="Y668">
        <v>3.0843759999999998E-3</v>
      </c>
      <c r="Z668">
        <v>-1.736916E-4</v>
      </c>
      <c r="AA668">
        <v>0.99999519999999997</v>
      </c>
      <c r="AB668">
        <v>34</v>
      </c>
      <c r="AC668">
        <v>217.5772</v>
      </c>
      <c r="AD668">
        <v>2.4297430000000002</v>
      </c>
      <c r="AE668">
        <v>-2.5831</v>
      </c>
      <c r="AF668">
        <v>0.67121543893260305</v>
      </c>
      <c r="AG668">
        <v>2.4297430000000002</v>
      </c>
      <c r="AH668">
        <v>217.56436919038299</v>
      </c>
      <c r="AI668">
        <v>89.360154560210503</v>
      </c>
      <c r="AJ668">
        <v>89.823235349041198</v>
      </c>
      <c r="AK668">
        <v>217.57897169170801</v>
      </c>
      <c r="AL668">
        <v>93.094971785761203</v>
      </c>
      <c r="AM668">
        <v>90.467011037146904</v>
      </c>
      <c r="AN668">
        <v>0.99999995734725899</v>
      </c>
    </row>
    <row r="669" spans="1:40" x14ac:dyDescent="0.25">
      <c r="A669" t="str">
        <f>"20190303153754413"</f>
        <v>20190303153754413</v>
      </c>
      <c r="B669" t="str">
        <f>"1551598674410091"</f>
        <v>1551598674410091</v>
      </c>
      <c r="C669" t="s">
        <v>40</v>
      </c>
      <c r="D669">
        <v>4.1946919999999999</v>
      </c>
      <c r="E669">
        <v>0.50438909999999904</v>
      </c>
      <c r="F669" t="s">
        <v>41</v>
      </c>
      <c r="G669">
        <v>-158.19499999999999</v>
      </c>
      <c r="H669">
        <v>3.568797</v>
      </c>
      <c r="I669">
        <v>365.14510000000001</v>
      </c>
      <c r="J669">
        <v>-375.58069999999998</v>
      </c>
      <c r="K669">
        <v>1.1199969999999999</v>
      </c>
      <c r="L669">
        <v>367.67079999999999</v>
      </c>
      <c r="M669">
        <v>0.99992250000000005</v>
      </c>
      <c r="N669">
        <v>-8.7888350000000001E-3</v>
      </c>
      <c r="O669">
        <v>-8.8144950000000003E-3</v>
      </c>
      <c r="P669">
        <v>0.99804400000000004</v>
      </c>
      <c r="Q669">
        <v>-6.2512460000000006E-2</v>
      </c>
      <c r="R669">
        <v>-6.8276610000000005E-4</v>
      </c>
      <c r="S669">
        <v>3.008057</v>
      </c>
      <c r="T669">
        <v>3.3856030000000002E-2</v>
      </c>
      <c r="U669">
        <v>-3.4942630000000002E-2</v>
      </c>
      <c r="V669">
        <v>-8.1232990000000005E-3</v>
      </c>
      <c r="W669">
        <v>-5.3737439999999997E-2</v>
      </c>
      <c r="X669">
        <v>0.99852200000000002</v>
      </c>
      <c r="Y669">
        <v>2.8026029999999999E-3</v>
      </c>
      <c r="Z669">
        <v>-1.7321059999999999E-4</v>
      </c>
      <c r="AA669">
        <v>0.99999610000000005</v>
      </c>
      <c r="AB669">
        <v>35</v>
      </c>
      <c r="AC669">
        <v>217.38570000000001</v>
      </c>
      <c r="AD669">
        <v>2.4487999999999999</v>
      </c>
      <c r="AE669">
        <v>-2.5256999999999699</v>
      </c>
      <c r="AF669">
        <v>0.60930533782114604</v>
      </c>
      <c r="AG669">
        <v>2.4487999999999999</v>
      </c>
      <c r="AH669">
        <v>217.371938187144</v>
      </c>
      <c r="AI669">
        <v>89.354565175673997</v>
      </c>
      <c r="AJ669">
        <v>89.839397241652705</v>
      </c>
      <c r="AK669">
        <v>217.38658510973099</v>
      </c>
      <c r="AL669">
        <v>93.080412463541705</v>
      </c>
      <c r="AM669">
        <v>90.466109390567496</v>
      </c>
      <c r="AN669">
        <v>0.99999994246419599</v>
      </c>
    </row>
    <row r="670" spans="1:40" x14ac:dyDescent="0.25">
      <c r="A670" t="str">
        <f>"20190303153754423"</f>
        <v>20190303153754423</v>
      </c>
      <c r="B670" t="str">
        <f>"1551598674419851"</f>
        <v>1551598674419851</v>
      </c>
      <c r="C670" t="s">
        <v>40</v>
      </c>
      <c r="D670">
        <v>4.2038890000000002</v>
      </c>
      <c r="E670">
        <v>0.50434570000000001</v>
      </c>
      <c r="F670" t="s">
        <v>41</v>
      </c>
      <c r="G670">
        <v>-158.19499999999999</v>
      </c>
      <c r="H670">
        <v>3.6124679999999998</v>
      </c>
      <c r="I670">
        <v>365.17649999999998</v>
      </c>
      <c r="J670">
        <v>-375.40249999999997</v>
      </c>
      <c r="K670">
        <v>1.1199680000000001</v>
      </c>
      <c r="L670">
        <v>367.66919999999999</v>
      </c>
      <c r="M670">
        <v>0.99992409999999998</v>
      </c>
      <c r="N670">
        <v>-8.5882409999999999E-3</v>
      </c>
      <c r="O670">
        <v>-8.8410369999999995E-3</v>
      </c>
      <c r="P670">
        <v>0.99805719999999998</v>
      </c>
      <c r="Q670">
        <v>-6.2302280000000002E-2</v>
      </c>
      <c r="R670">
        <v>-6.1725129999999997E-4</v>
      </c>
      <c r="S670">
        <v>3.0079959999999999</v>
      </c>
      <c r="T670">
        <v>3.4489869999999999E-2</v>
      </c>
      <c r="U670">
        <v>-3.4515379999999998E-2</v>
      </c>
      <c r="V670">
        <v>-8.2156739999999992E-3</v>
      </c>
      <c r="W670">
        <v>-5.3727440000000001E-2</v>
      </c>
      <c r="X670">
        <v>0.99852189999999996</v>
      </c>
      <c r="Y670">
        <v>2.634295E-3</v>
      </c>
      <c r="Z670">
        <v>-1.7349929999999999E-4</v>
      </c>
      <c r="AA670">
        <v>0.99999649999999995</v>
      </c>
      <c r="AB670">
        <v>35</v>
      </c>
      <c r="AC670">
        <v>217.20750000000001</v>
      </c>
      <c r="AD670">
        <v>2.4925000000000002</v>
      </c>
      <c r="AE670">
        <v>-2.4927000000000099</v>
      </c>
      <c r="AF670">
        <v>0.57211699902889201</v>
      </c>
      <c r="AG670">
        <v>2.4925000000000002</v>
      </c>
      <c r="AH670">
        <v>217.19245298269101</v>
      </c>
      <c r="AI670">
        <v>89.3425049337459</v>
      </c>
      <c r="AJ670">
        <v>89.849074803635105</v>
      </c>
      <c r="AK670">
        <v>217.207507942864</v>
      </c>
      <c r="AL670">
        <v>93.079838314635893</v>
      </c>
      <c r="AM670">
        <v>90.471409614806404</v>
      </c>
      <c r="AN670">
        <v>1.0000000599439101</v>
      </c>
    </row>
    <row r="671" spans="1:40" x14ac:dyDescent="0.25">
      <c r="A671" t="str">
        <f>"20190303153754435"</f>
        <v>20190303153754435</v>
      </c>
      <c r="B671" t="str">
        <f>"1551598674429612"</f>
        <v>1551598674429612</v>
      </c>
      <c r="C671" t="s">
        <v>40</v>
      </c>
      <c r="D671">
        <v>4.1755699999999996</v>
      </c>
      <c r="E671">
        <v>0.50431029999999999</v>
      </c>
      <c r="F671" t="s">
        <v>41</v>
      </c>
      <c r="G671">
        <v>-158.19499999999999</v>
      </c>
      <c r="H671">
        <v>3.6255389999999998</v>
      </c>
      <c r="I671">
        <v>365.22089999999997</v>
      </c>
      <c r="J671">
        <v>-375.22320000000002</v>
      </c>
      <c r="K671">
        <v>1.119939</v>
      </c>
      <c r="L671">
        <v>367.66770000000002</v>
      </c>
      <c r="M671">
        <v>0.99992570000000003</v>
      </c>
      <c r="N671">
        <v>-8.3786269999999996E-3</v>
      </c>
      <c r="O671">
        <v>-8.8679169999999995E-3</v>
      </c>
      <c r="P671">
        <v>0.99807849999999998</v>
      </c>
      <c r="Q671">
        <v>-6.1958159999999998E-2</v>
      </c>
      <c r="R671">
        <v>-9.7273450000000001E-4</v>
      </c>
      <c r="S671">
        <v>3.007965</v>
      </c>
      <c r="T671">
        <v>3.4699199999999999E-2</v>
      </c>
      <c r="U671">
        <v>-3.3905030000000003E-2</v>
      </c>
      <c r="V671">
        <v>-7.8872000000000005E-3</v>
      </c>
      <c r="W671">
        <v>-5.3592479999999998E-2</v>
      </c>
      <c r="X671">
        <v>0.99853179999999997</v>
      </c>
      <c r="Y671">
        <v>2.4046409999999999E-3</v>
      </c>
      <c r="Z671">
        <v>-1.727922E-4</v>
      </c>
      <c r="AA671">
        <v>0.99999709999999997</v>
      </c>
      <c r="AB671">
        <v>35</v>
      </c>
      <c r="AC671">
        <v>217.0282</v>
      </c>
      <c r="AD671">
        <v>2.5055999999999998</v>
      </c>
      <c r="AE671">
        <v>-2.4468000000000498</v>
      </c>
      <c r="AF671">
        <v>0.52197883395698097</v>
      </c>
      <c r="AG671">
        <v>2.5055999999999998</v>
      </c>
      <c r="AH671">
        <v>217.01244298530699</v>
      </c>
      <c r="AI671">
        <v>89.338501012917106</v>
      </c>
      <c r="AJ671">
        <v>89.862187042852199</v>
      </c>
      <c r="AK671">
        <v>217.027534897566</v>
      </c>
      <c r="AL671">
        <v>93.072094523699207</v>
      </c>
      <c r="AM671">
        <v>90.4525583204219</v>
      </c>
      <c r="AN671">
        <v>1.00000005872381</v>
      </c>
    </row>
    <row r="672" spans="1:40" x14ac:dyDescent="0.25">
      <c r="A672" t="str">
        <f>"20190303153754453"</f>
        <v>20190303153754453</v>
      </c>
      <c r="B672" t="str">
        <f>"1551598674450106"</f>
        <v>1551598674450106</v>
      </c>
      <c r="C672" t="s">
        <v>40</v>
      </c>
      <c r="D672">
        <v>4.2081049999999998</v>
      </c>
      <c r="E672">
        <v>0.50421549999999904</v>
      </c>
      <c r="F672" t="s">
        <v>41</v>
      </c>
      <c r="G672">
        <v>-158.19499999999999</v>
      </c>
      <c r="H672">
        <v>3.672949</v>
      </c>
      <c r="I672">
        <v>365.14870000000002</v>
      </c>
      <c r="J672">
        <v>-374.94940000000003</v>
      </c>
      <c r="K672">
        <v>1.1198920000000001</v>
      </c>
      <c r="L672">
        <v>367.66520000000003</v>
      </c>
      <c r="M672">
        <v>0.99992809999999999</v>
      </c>
      <c r="N672">
        <v>-8.0420019999999995E-3</v>
      </c>
      <c r="O672">
        <v>-8.9087230000000003E-3</v>
      </c>
      <c r="P672">
        <v>0.99807780000000001</v>
      </c>
      <c r="Q672">
        <v>-6.1957699999999997E-2</v>
      </c>
      <c r="R672">
        <v>-1.456929E-3</v>
      </c>
      <c r="S672">
        <v>3.0079349999999998</v>
      </c>
      <c r="T672">
        <v>3.5385010000000001E-2</v>
      </c>
      <c r="U672">
        <v>-3.4912110000000003E-2</v>
      </c>
      <c r="V672">
        <v>-7.443781E-3</v>
      </c>
      <c r="W672">
        <v>-5.3928190000000001E-2</v>
      </c>
      <c r="X672">
        <v>0.99851710000000005</v>
      </c>
      <c r="Y672">
        <v>2.6987069999999998E-3</v>
      </c>
      <c r="Z672">
        <v>-1.7141150000000001E-4</v>
      </c>
      <c r="AA672">
        <v>0.99999640000000001</v>
      </c>
      <c r="AB672">
        <v>35</v>
      </c>
      <c r="AC672">
        <v>216.7544</v>
      </c>
      <c r="AD672">
        <v>2.5530569999999901</v>
      </c>
      <c r="AE672">
        <v>-2.5165000000000002</v>
      </c>
      <c r="AF672">
        <v>0.58525182786612695</v>
      </c>
      <c r="AG672">
        <v>2.5530569999999901</v>
      </c>
      <c r="AH672">
        <v>216.738152349351</v>
      </c>
      <c r="AI672">
        <v>89.325120699682699</v>
      </c>
      <c r="AJ672">
        <v>89.845286222911497</v>
      </c>
      <c r="AK672">
        <v>216.75397874908299</v>
      </c>
      <c r="AL672">
        <v>93.091357236233605</v>
      </c>
      <c r="AM672">
        <v>90.427122714655596</v>
      </c>
      <c r="AN672">
        <v>1.0000000292723299</v>
      </c>
    </row>
    <row r="673" spans="1:40" x14ac:dyDescent="0.25">
      <c r="A673" t="str">
        <f>"20190303153754466"</f>
        <v>20190303153754466</v>
      </c>
      <c r="B673" t="str">
        <f>"1551598674459867"</f>
        <v>1551598674459867</v>
      </c>
      <c r="C673" t="s">
        <v>40</v>
      </c>
      <c r="D673">
        <v>4.1588580000000004</v>
      </c>
      <c r="E673">
        <v>0.50418289999999999</v>
      </c>
      <c r="F673" t="s">
        <v>41</v>
      </c>
      <c r="G673">
        <v>-158.19499999999999</v>
      </c>
      <c r="H673">
        <v>3.5902859999999999</v>
      </c>
      <c r="I673">
        <v>365.08550000000002</v>
      </c>
      <c r="J673">
        <v>-374.73169999999999</v>
      </c>
      <c r="K673">
        <v>1.1198520000000001</v>
      </c>
      <c r="L673">
        <v>367.66320000000002</v>
      </c>
      <c r="M673">
        <v>0.99993010000000004</v>
      </c>
      <c r="N673">
        <v>-7.7558760000000001E-3</v>
      </c>
      <c r="O673">
        <v>-8.9413189999999997E-3</v>
      </c>
      <c r="P673">
        <v>0.99809910000000002</v>
      </c>
      <c r="Q673">
        <v>-6.1602490000000003E-2</v>
      </c>
      <c r="R673">
        <v>-1.8674169999999999E-3</v>
      </c>
      <c r="S673">
        <v>3.0078429999999998</v>
      </c>
      <c r="T673">
        <v>3.428221E-2</v>
      </c>
      <c r="U673">
        <v>-3.5797120000000002E-2</v>
      </c>
      <c r="V673">
        <v>-7.0657599999999999E-3</v>
      </c>
      <c r="W673">
        <v>-5.385856E-2</v>
      </c>
      <c r="X673">
        <v>0.99852359999999896</v>
      </c>
      <c r="Y673">
        <v>2.9605669999999999E-3</v>
      </c>
      <c r="Z673">
        <v>-1.658555E-4</v>
      </c>
      <c r="AA673">
        <v>0.99999559999999998</v>
      </c>
      <c r="AB673">
        <v>35</v>
      </c>
      <c r="AC673">
        <v>216.5367</v>
      </c>
      <c r="AD673">
        <v>2.470434</v>
      </c>
      <c r="AE673">
        <v>-2.5776999999999899</v>
      </c>
      <c r="AF673">
        <v>0.64133183777185998</v>
      </c>
      <c r="AG673">
        <v>2.470434</v>
      </c>
      <c r="AH673">
        <v>216.52291327191</v>
      </c>
      <c r="AI673">
        <v>89.346310848873401</v>
      </c>
      <c r="AJ673">
        <v>89.830292787224295</v>
      </c>
      <c r="AK673">
        <v>216.53795584707501</v>
      </c>
      <c r="AL673">
        <v>93.087361939249405</v>
      </c>
      <c r="AM673">
        <v>90.405430047061103</v>
      </c>
      <c r="AN673">
        <v>1.0000000246033001</v>
      </c>
    </row>
    <row r="674" spans="1:40" x14ac:dyDescent="0.25">
      <c r="A674" t="str">
        <f>"20190303153754480"</f>
        <v>20190303153754480</v>
      </c>
      <c r="B674" t="str">
        <f>"1551598674469627"</f>
        <v>1551598674469627</v>
      </c>
      <c r="C674" t="s">
        <v>40</v>
      </c>
      <c r="D674">
        <v>4.1875429999999998</v>
      </c>
      <c r="E674">
        <v>0.50414490000000001</v>
      </c>
      <c r="F674" t="s">
        <v>41</v>
      </c>
      <c r="G674">
        <v>-158.19499999999999</v>
      </c>
      <c r="H674">
        <v>3.6457619999999999</v>
      </c>
      <c r="I674">
        <v>365.0181</v>
      </c>
      <c r="J674">
        <v>-374.52330000000001</v>
      </c>
      <c r="K674">
        <v>1.11981</v>
      </c>
      <c r="L674">
        <v>367.66129999999998</v>
      </c>
      <c r="M674">
        <v>0.99993189999999998</v>
      </c>
      <c r="N674">
        <v>-7.4690390000000002E-3</v>
      </c>
      <c r="O674">
        <v>-8.9725199999999995E-3</v>
      </c>
      <c r="P674">
        <v>0.99811000000000005</v>
      </c>
      <c r="Q674">
        <v>-6.141493E-2</v>
      </c>
      <c r="R674">
        <v>-2.1381429999999999E-3</v>
      </c>
      <c r="S674">
        <v>3.0078429999999998</v>
      </c>
      <c r="T674">
        <v>3.5087819999999999E-2</v>
      </c>
      <c r="U674">
        <v>-3.6743159999999997E-2</v>
      </c>
      <c r="V674">
        <v>-6.8262280000000002E-3</v>
      </c>
      <c r="W674">
        <v>-5.3957379999999999E-2</v>
      </c>
      <c r="X674">
        <v>0.99851990000000002</v>
      </c>
      <c r="Y674">
        <v>3.2438440000000001E-3</v>
      </c>
      <c r="Z674">
        <v>-1.6486680000000001E-4</v>
      </c>
      <c r="AA674">
        <v>0.99999479999999996</v>
      </c>
      <c r="AB674">
        <v>35</v>
      </c>
      <c r="AC674">
        <v>216.32830000000001</v>
      </c>
      <c r="AD674">
        <v>2.5259520000000002</v>
      </c>
      <c r="AE674">
        <v>-2.6431999999999798</v>
      </c>
      <c r="AF674">
        <v>0.70193386035837202</v>
      </c>
      <c r="AG674">
        <v>2.5259520000000002</v>
      </c>
      <c r="AH674">
        <v>216.313820450371</v>
      </c>
      <c r="AI674">
        <v>89.330976407300398</v>
      </c>
      <c r="AJ674">
        <v>89.814077036548795</v>
      </c>
      <c r="AK674">
        <v>216.32970684232399</v>
      </c>
      <c r="AL674">
        <v>93.093032249442999</v>
      </c>
      <c r="AM674">
        <v>90.391687698539798</v>
      </c>
      <c r="AN674">
        <v>0.99999999347059099</v>
      </c>
    </row>
    <row r="675" spans="1:40" x14ac:dyDescent="0.25">
      <c r="A675" t="str">
        <f>"20190303153754493"</f>
        <v>20190303153754493</v>
      </c>
      <c r="B675" t="str">
        <f>"1551598674490123"</f>
        <v>1551598674490123</v>
      </c>
      <c r="C675" t="s">
        <v>40</v>
      </c>
      <c r="D675">
        <v>4.1395869999999997</v>
      </c>
      <c r="E675">
        <v>0.50406679999999904</v>
      </c>
      <c r="F675" t="s">
        <v>41</v>
      </c>
      <c r="G675">
        <v>-158.19499999999999</v>
      </c>
      <c r="H675">
        <v>3.6602830000000002</v>
      </c>
      <c r="I675">
        <v>364.98570000000001</v>
      </c>
      <c r="J675">
        <v>-374.31799999999998</v>
      </c>
      <c r="K675">
        <v>1.119772</v>
      </c>
      <c r="L675">
        <v>367.65949999999998</v>
      </c>
      <c r="M675">
        <v>0.99993370000000004</v>
      </c>
      <c r="N675">
        <v>-7.178701E-3</v>
      </c>
      <c r="O675">
        <v>-9.0029150000000002E-3</v>
      </c>
      <c r="P675">
        <v>0.99814000000000003</v>
      </c>
      <c r="Q675">
        <v>-6.091125E-2</v>
      </c>
      <c r="R675">
        <v>-2.5952060000000001E-3</v>
      </c>
      <c r="S675">
        <v>3.0077509999999998</v>
      </c>
      <c r="T675">
        <v>3.5323019999999997E-2</v>
      </c>
      <c r="U675">
        <v>-3.720093E-2</v>
      </c>
      <c r="V675">
        <v>-6.3996859999999999E-3</v>
      </c>
      <c r="W675">
        <v>-5.3743440000000003E-2</v>
      </c>
      <c r="X675">
        <v>0.99853429999999999</v>
      </c>
      <c r="Y675">
        <v>3.3659689999999999E-3</v>
      </c>
      <c r="Z675">
        <v>-1.6266450000000001E-4</v>
      </c>
      <c r="AA675">
        <v>0.9999943</v>
      </c>
      <c r="AB675">
        <v>35</v>
      </c>
      <c r="AC675">
        <v>216.12299999999999</v>
      </c>
      <c r="AD675">
        <v>2.540511</v>
      </c>
      <c r="AE675">
        <v>-2.6737999999999702</v>
      </c>
      <c r="AF675">
        <v>0.72780393659391596</v>
      </c>
      <c r="AG675">
        <v>2.540511</v>
      </c>
      <c r="AH675">
        <v>216.10845638053399</v>
      </c>
      <c r="AI675">
        <v>89.326481571284802</v>
      </c>
      <c r="AJ675">
        <v>89.8070416265668</v>
      </c>
      <c r="AK675">
        <v>216.12461408615201</v>
      </c>
      <c r="AL675">
        <v>93.080756463328797</v>
      </c>
      <c r="AM675">
        <v>90.367208194632298</v>
      </c>
      <c r="AN675">
        <v>1.0000000308002099</v>
      </c>
    </row>
    <row r="676" spans="1:40" x14ac:dyDescent="0.25">
      <c r="A676" t="str">
        <f>"20190303153754511"</f>
        <v>20190303153754511</v>
      </c>
      <c r="B676" t="str">
        <f>"1551598674499883"</f>
        <v>1551598674499883</v>
      </c>
      <c r="C676" t="s">
        <v>40</v>
      </c>
      <c r="D676">
        <v>4.1813609999999999</v>
      </c>
      <c r="E676">
        <v>0.5040251</v>
      </c>
      <c r="F676" t="s">
        <v>41</v>
      </c>
      <c r="G676">
        <v>-158.19499999999999</v>
      </c>
      <c r="H676">
        <v>3.7137340000000001</v>
      </c>
      <c r="I676">
        <v>364.94029999999998</v>
      </c>
      <c r="J676">
        <v>-374.03829999999999</v>
      </c>
      <c r="K676">
        <v>1.1197250000000001</v>
      </c>
      <c r="L676">
        <v>367.65690000000001</v>
      </c>
      <c r="M676">
        <v>0.9999363</v>
      </c>
      <c r="N676">
        <v>-6.7683830000000002E-3</v>
      </c>
      <c r="O676">
        <v>-9.0449759999999997E-3</v>
      </c>
      <c r="P676">
        <v>0.99818059999999997</v>
      </c>
      <c r="Q676">
        <v>-6.0216899999999997E-2</v>
      </c>
      <c r="R676">
        <v>-3.0777130000000002E-3</v>
      </c>
      <c r="S676">
        <v>3.0076900000000002</v>
      </c>
      <c r="T676">
        <v>3.6100269999999997E-2</v>
      </c>
      <c r="U676">
        <v>-3.7841800000000002E-2</v>
      </c>
      <c r="V676">
        <v>-5.9598259999999997E-3</v>
      </c>
      <c r="W676">
        <v>-5.3458600000000002E-2</v>
      </c>
      <c r="X676">
        <v>0.99855229999999995</v>
      </c>
      <c r="Y676">
        <v>3.537185E-3</v>
      </c>
      <c r="Z676">
        <v>-1.6051410000000001E-4</v>
      </c>
      <c r="AA676">
        <v>0.99999369999999999</v>
      </c>
      <c r="AB676">
        <v>35</v>
      </c>
      <c r="AC676">
        <v>215.8433</v>
      </c>
      <c r="AD676">
        <v>2.5940089999999998</v>
      </c>
      <c r="AE676">
        <v>-2.7166000000000201</v>
      </c>
      <c r="AF676">
        <v>0.76403656662987895</v>
      </c>
      <c r="AG676">
        <v>2.5940089999999998</v>
      </c>
      <c r="AH676">
        <v>215.82787463110901</v>
      </c>
      <c r="AI676">
        <v>89.311406457754401</v>
      </c>
      <c r="AJ676">
        <v>89.797172224053398</v>
      </c>
      <c r="AK676">
        <v>215.84481486092901</v>
      </c>
      <c r="AL676">
        <v>93.064412876176405</v>
      </c>
      <c r="AM676">
        <v>90.341963882915806</v>
      </c>
      <c r="AN676">
        <v>1.0000000186375999</v>
      </c>
    </row>
    <row r="677" spans="1:40" x14ac:dyDescent="0.25">
      <c r="A677" t="str">
        <f>"20190303153754528"</f>
        <v>20190303153754528</v>
      </c>
      <c r="B677" t="str">
        <f>"1551598674519403"</f>
        <v>1551598674519403</v>
      </c>
      <c r="C677" t="s">
        <v>40</v>
      </c>
      <c r="D677">
        <v>4.1306900000000004</v>
      </c>
      <c r="E677">
        <v>0.50393659999999996</v>
      </c>
      <c r="F677" t="s">
        <v>41</v>
      </c>
      <c r="G677">
        <v>-158.19499999999999</v>
      </c>
      <c r="H677">
        <v>3.8270749999999998</v>
      </c>
      <c r="I677">
        <v>364.86680000000001</v>
      </c>
      <c r="J677">
        <v>-373.7509</v>
      </c>
      <c r="K677">
        <v>1.1196710000000001</v>
      </c>
      <c r="L677">
        <v>367.65429999999998</v>
      </c>
      <c r="M677">
        <v>0.99993849999999995</v>
      </c>
      <c r="N677">
        <v>-6.3402419999999899E-3</v>
      </c>
      <c r="O677">
        <v>-9.087421E-3</v>
      </c>
      <c r="P677">
        <v>0.99821230000000005</v>
      </c>
      <c r="Q677">
        <v>-5.9683140000000003E-2</v>
      </c>
      <c r="R677">
        <v>-3.116995E-3</v>
      </c>
      <c r="S677">
        <v>3.0076290000000001</v>
      </c>
      <c r="T677">
        <v>3.7726280000000001E-2</v>
      </c>
      <c r="U677">
        <v>-3.887939E-2</v>
      </c>
      <c r="V677">
        <v>-5.9627159999999998E-3</v>
      </c>
      <c r="W677">
        <v>-5.3352169999999997E-2</v>
      </c>
      <c r="X677">
        <v>0.99855799999999995</v>
      </c>
      <c r="Y677">
        <v>3.839936E-3</v>
      </c>
      <c r="Z677">
        <v>-1.5968159999999999E-4</v>
      </c>
      <c r="AA677">
        <v>0.99999260000000001</v>
      </c>
      <c r="AB677">
        <v>35</v>
      </c>
      <c r="AC677">
        <v>215.55590000000001</v>
      </c>
      <c r="AD677">
        <v>2.7074039999999999</v>
      </c>
      <c r="AE677">
        <v>-2.7874999999999601</v>
      </c>
      <c r="AF677">
        <v>0.82836744024964504</v>
      </c>
      <c r="AG677">
        <v>2.7074039999999999</v>
      </c>
      <c r="AH677">
        <v>215.53833390692</v>
      </c>
      <c r="AI677">
        <v>89.280343702011194</v>
      </c>
      <c r="AJ677">
        <v>89.779799149069106</v>
      </c>
      <c r="AK677">
        <v>215.55692893620099</v>
      </c>
      <c r="AL677">
        <v>93.058306094976402</v>
      </c>
      <c r="AM677">
        <v>90.342127748964501</v>
      </c>
      <c r="AN677">
        <v>1.0000000436948999</v>
      </c>
    </row>
    <row r="678" spans="1:40" x14ac:dyDescent="0.25">
      <c r="A678" t="str">
        <f>"20190303153754541"</f>
        <v>20190303153754541</v>
      </c>
      <c r="B678" t="str">
        <f>"1551598674530139"</f>
        <v>1551598674530139</v>
      </c>
      <c r="C678" t="s">
        <v>40</v>
      </c>
      <c r="D678">
        <v>4.1292790000000004</v>
      </c>
      <c r="E678">
        <v>0.503911</v>
      </c>
      <c r="F678" t="s">
        <v>41</v>
      </c>
      <c r="G678">
        <v>-158.19499999999999</v>
      </c>
      <c r="H678">
        <v>3.8790049999999998</v>
      </c>
      <c r="I678">
        <v>364.9203</v>
      </c>
      <c r="J678">
        <v>-373.54390000000001</v>
      </c>
      <c r="K678">
        <v>1.119632</v>
      </c>
      <c r="L678">
        <v>367.65230000000003</v>
      </c>
      <c r="M678">
        <v>0.9999403</v>
      </c>
      <c r="N678">
        <v>-6.0391859999999898E-3</v>
      </c>
      <c r="O678">
        <v>-9.118302E-3</v>
      </c>
      <c r="P678">
        <v>0.99823770000000001</v>
      </c>
      <c r="Q678">
        <v>-5.9285589999999999E-2</v>
      </c>
      <c r="R678">
        <v>-2.7029409999999999E-3</v>
      </c>
      <c r="S678">
        <v>3.007568</v>
      </c>
      <c r="T678">
        <v>3.8501140000000003E-2</v>
      </c>
      <c r="U678">
        <v>-3.8146970000000002E-2</v>
      </c>
      <c r="V678">
        <v>-6.4079499999999999E-3</v>
      </c>
      <c r="W678">
        <v>-5.3255039999999997E-2</v>
      </c>
      <c r="X678">
        <v>0.99856040000000001</v>
      </c>
      <c r="Y678">
        <v>3.565843E-3</v>
      </c>
      <c r="Z678">
        <v>-1.5972440000000001E-4</v>
      </c>
      <c r="AA678">
        <v>0.99999360000000004</v>
      </c>
      <c r="AB678">
        <v>35</v>
      </c>
      <c r="AC678">
        <v>215.34889999999999</v>
      </c>
      <c r="AD678">
        <v>2.7593730000000001</v>
      </c>
      <c r="AE678">
        <v>-2.7320000000000202</v>
      </c>
      <c r="AF678">
        <v>0.76810842738593799</v>
      </c>
      <c r="AG678">
        <v>2.7593730000000001</v>
      </c>
      <c r="AH678">
        <v>215.329510367072</v>
      </c>
      <c r="AI678">
        <v>89.265819312361998</v>
      </c>
      <c r="AJ678">
        <v>89.795619353986794</v>
      </c>
      <c r="AK678">
        <v>215.348559699926</v>
      </c>
      <c r="AL678">
        <v>93.052733115470403</v>
      </c>
      <c r="AM678">
        <v>90.367672752387506</v>
      </c>
      <c r="AN678">
        <v>1.00000001677838</v>
      </c>
    </row>
    <row r="679" spans="1:40" x14ac:dyDescent="0.25">
      <c r="A679" t="str">
        <f>"20190303153754553"</f>
        <v>20190303153754553</v>
      </c>
      <c r="B679" t="str">
        <f>"1551598674549659"</f>
        <v>1551598674549659</v>
      </c>
      <c r="C679" t="s">
        <v>40</v>
      </c>
      <c r="D679">
        <v>4.1299229999999998</v>
      </c>
      <c r="E679">
        <v>0.50387090000000001</v>
      </c>
      <c r="F679" t="s">
        <v>41</v>
      </c>
      <c r="G679">
        <v>-158.19499999999999</v>
      </c>
      <c r="H679">
        <v>3.9412020000000001</v>
      </c>
      <c r="I679">
        <v>365.01710000000003</v>
      </c>
      <c r="J679">
        <v>-373.35930000000002</v>
      </c>
      <c r="K679">
        <v>1.1196010000000001</v>
      </c>
      <c r="L679">
        <v>367.65069999999997</v>
      </c>
      <c r="M679">
        <v>0.99994159999999999</v>
      </c>
      <c r="N679">
        <v>-5.7752760000000002E-3</v>
      </c>
      <c r="O679">
        <v>-9.1456430000000002E-3</v>
      </c>
      <c r="P679">
        <v>0.99824199999999996</v>
      </c>
      <c r="Q679">
        <v>-5.9222950000000003E-2</v>
      </c>
      <c r="R679">
        <v>-2.5029150000000001E-3</v>
      </c>
      <c r="S679">
        <v>3.0075069999999999</v>
      </c>
      <c r="T679">
        <v>3.9406539999999997E-2</v>
      </c>
      <c r="U679">
        <v>-3.6804200000000002E-2</v>
      </c>
      <c r="V679">
        <v>-6.6354789999999997E-3</v>
      </c>
      <c r="W679">
        <v>-5.3455889999999999E-2</v>
      </c>
      <c r="X679">
        <v>0.9985482</v>
      </c>
      <c r="Y679">
        <v>3.0923859999999999E-3</v>
      </c>
      <c r="Z679">
        <v>-1.6130799999999901E-4</v>
      </c>
      <c r="AA679">
        <v>0.99999519999999997</v>
      </c>
      <c r="AB679">
        <v>36</v>
      </c>
      <c r="AC679">
        <v>215.1643</v>
      </c>
      <c r="AD679">
        <v>2.8216009999999998</v>
      </c>
      <c r="AE679">
        <v>-2.63359999999994</v>
      </c>
      <c r="AF679">
        <v>0.66552692496254895</v>
      </c>
      <c r="AG679">
        <v>2.8216009999999998</v>
      </c>
      <c r="AH679">
        <v>215.142395075362</v>
      </c>
      <c r="AI679">
        <v>89.248610264726693</v>
      </c>
      <c r="AJ679">
        <v>89.822760352238006</v>
      </c>
      <c r="AK679">
        <v>215.16192627194599</v>
      </c>
      <c r="AL679">
        <v>93.064257332892396</v>
      </c>
      <c r="AM679">
        <v>90.380732092716599</v>
      </c>
      <c r="AN679">
        <v>1.00000003474024</v>
      </c>
    </row>
    <row r="680" spans="1:40" x14ac:dyDescent="0.25">
      <c r="A680" t="str">
        <f>"20190303153754566"</f>
        <v>20190303153754566</v>
      </c>
      <c r="B680" t="str">
        <f>"1551598674559419"</f>
        <v>1551598674559419</v>
      </c>
      <c r="C680" t="s">
        <v>40</v>
      </c>
      <c r="D680">
        <v>4.1324540000000001</v>
      </c>
      <c r="E680">
        <v>0.50383520000000004</v>
      </c>
      <c r="F680" t="s">
        <v>41</v>
      </c>
      <c r="G680">
        <v>-158.19499999999999</v>
      </c>
      <c r="H680">
        <v>3.908026</v>
      </c>
      <c r="I680">
        <v>365.09190000000001</v>
      </c>
      <c r="J680">
        <v>-373.15519999999998</v>
      </c>
      <c r="K680">
        <v>1.1195679999999999</v>
      </c>
      <c r="L680">
        <v>367.64879999999999</v>
      </c>
      <c r="M680">
        <v>0.99994289999999997</v>
      </c>
      <c r="N680">
        <v>-5.492116E-3</v>
      </c>
      <c r="O680">
        <v>-9.1754669999999997E-3</v>
      </c>
      <c r="P680">
        <v>0.99824869999999999</v>
      </c>
      <c r="Q680">
        <v>-5.9111179999999999E-2</v>
      </c>
      <c r="R680">
        <v>-2.3575509999999998E-3</v>
      </c>
      <c r="S680">
        <v>3.0075069999999999</v>
      </c>
      <c r="T680">
        <v>3.8977030000000003E-2</v>
      </c>
      <c r="U680">
        <v>-3.5766600000000003E-2</v>
      </c>
      <c r="V680">
        <v>-6.8106360000000001E-3</v>
      </c>
      <c r="W680">
        <v>-5.3626819999999999E-2</v>
      </c>
      <c r="X680">
        <v>0.99853780000000003</v>
      </c>
      <c r="Y680">
        <v>2.717573E-3</v>
      </c>
      <c r="Z680">
        <v>-1.591454E-4</v>
      </c>
      <c r="AA680">
        <v>0.99999629999999995</v>
      </c>
      <c r="AB680">
        <v>36</v>
      </c>
      <c r="AC680">
        <v>214.96019999999999</v>
      </c>
      <c r="AD680">
        <v>2.7884579999999999</v>
      </c>
      <c r="AE680">
        <v>-2.5568999999999802</v>
      </c>
      <c r="AF680">
        <v>0.58430423971624701</v>
      </c>
      <c r="AG680">
        <v>2.7884579999999999</v>
      </c>
      <c r="AH680">
        <v>214.938448952095</v>
      </c>
      <c r="AI680">
        <v>89.256729901324306</v>
      </c>
      <c r="AJ680">
        <v>89.844243388830506</v>
      </c>
      <c r="AK680">
        <v>214.95733006202499</v>
      </c>
      <c r="AL680">
        <v>93.074065138471695</v>
      </c>
      <c r="AM680">
        <v>90.390786055023895</v>
      </c>
      <c r="AN680">
        <v>0.999999979307438</v>
      </c>
    </row>
    <row r="681" spans="1:40" x14ac:dyDescent="0.25">
      <c r="A681" t="str">
        <f>"20190303153754577"</f>
        <v>20190303153754577</v>
      </c>
      <c r="B681" t="str">
        <f>"1551598674570155"</f>
        <v>1551598674570155</v>
      </c>
      <c r="C681" t="s">
        <v>40</v>
      </c>
      <c r="D681">
        <v>4.1296530000000002</v>
      </c>
      <c r="E681">
        <v>0.50379359999999995</v>
      </c>
      <c r="F681" t="s">
        <v>41</v>
      </c>
      <c r="G681">
        <v>-158.19499999999999</v>
      </c>
      <c r="H681">
        <v>3.9065249999999998</v>
      </c>
      <c r="I681">
        <v>365.13600000000002</v>
      </c>
      <c r="J681">
        <v>-372.9692</v>
      </c>
      <c r="K681">
        <v>1.119542</v>
      </c>
      <c r="L681">
        <v>367.64710000000002</v>
      </c>
      <c r="M681">
        <v>0.99994400000000006</v>
      </c>
      <c r="N681">
        <v>-5.2457750000000003E-3</v>
      </c>
      <c r="O681">
        <v>-9.2028070000000003E-3</v>
      </c>
      <c r="P681">
        <v>0.9982548</v>
      </c>
      <c r="Q681">
        <v>-5.9021610000000002E-2</v>
      </c>
      <c r="R681">
        <v>-2.000496E-3</v>
      </c>
      <c r="S681">
        <v>3.0074770000000002</v>
      </c>
      <c r="T681">
        <v>3.8993119999999999E-2</v>
      </c>
      <c r="U681">
        <v>-3.515625E-2</v>
      </c>
      <c r="V681">
        <v>-7.1948200000000002E-3</v>
      </c>
      <c r="W681">
        <v>-5.378314E-2</v>
      </c>
      <c r="X681">
        <v>0.99852669999999999</v>
      </c>
      <c r="Y681">
        <v>2.4874200000000002E-3</v>
      </c>
      <c r="Z681">
        <v>-1.579796E-4</v>
      </c>
      <c r="AA681">
        <v>0.99999689999999997</v>
      </c>
      <c r="AB681">
        <v>36</v>
      </c>
      <c r="AC681">
        <v>214.77420000000001</v>
      </c>
      <c r="AD681">
        <v>2.7869830000000002</v>
      </c>
      <c r="AE681">
        <v>-2.5111000000000501</v>
      </c>
      <c r="AF681">
        <v>0.53435119914432605</v>
      </c>
      <c r="AG681">
        <v>2.7869830000000002</v>
      </c>
      <c r="AH681">
        <v>214.75205808427299</v>
      </c>
      <c r="AI681">
        <v>89.256477879658803</v>
      </c>
      <c r="AJ681">
        <v>89.857435567425597</v>
      </c>
      <c r="AK681">
        <v>214.77080634219701</v>
      </c>
      <c r="AL681">
        <v>93.083034553648005</v>
      </c>
      <c r="AM681">
        <v>90.412833914641894</v>
      </c>
      <c r="AN681">
        <v>0.99999998109799004</v>
      </c>
    </row>
    <row r="682" spans="1:40" x14ac:dyDescent="0.25">
      <c r="A682" t="str">
        <f>"20190303153754588"</f>
        <v>20190303153754588</v>
      </c>
      <c r="B682" t="str">
        <f>"1551598674579915"</f>
        <v>1551598674579915</v>
      </c>
      <c r="C682" t="s">
        <v>40</v>
      </c>
      <c r="D682">
        <v>4.1443979999999998</v>
      </c>
      <c r="E682">
        <v>0.50376339999999997</v>
      </c>
      <c r="F682" t="s">
        <v>41</v>
      </c>
      <c r="G682">
        <v>-158.19499999999999</v>
      </c>
      <c r="H682">
        <v>3.9003610000000002</v>
      </c>
      <c r="I682">
        <v>365.2389</v>
      </c>
      <c r="J682">
        <v>-372.78030000000001</v>
      </c>
      <c r="K682">
        <v>1.119515</v>
      </c>
      <c r="L682">
        <v>367.64530000000002</v>
      </c>
      <c r="M682">
        <v>0.99994490000000003</v>
      </c>
      <c r="N682">
        <v>-5.0002090000000003E-3</v>
      </c>
      <c r="O682">
        <v>-9.2300609999999995E-3</v>
      </c>
      <c r="P682">
        <v>0.99827699999999997</v>
      </c>
      <c r="Q682">
        <v>-5.8653990000000003E-2</v>
      </c>
      <c r="R682">
        <v>-1.6404939999999999E-3</v>
      </c>
      <c r="S682">
        <v>3.0074459999999998</v>
      </c>
      <c r="T682">
        <v>3.8940549999999997E-2</v>
      </c>
      <c r="U682">
        <v>-3.3721920000000002E-2</v>
      </c>
      <c r="V682">
        <v>-7.5829189999999996E-3</v>
      </c>
      <c r="W682">
        <v>-5.3660609999999997E-2</v>
      </c>
      <c r="X682">
        <v>0.99853040000000004</v>
      </c>
      <c r="Y682">
        <v>1.9834169999999999E-3</v>
      </c>
      <c r="Z682">
        <v>-1.5776850000000001E-4</v>
      </c>
      <c r="AA682">
        <v>0.99999800000000005</v>
      </c>
      <c r="AB682">
        <v>36</v>
      </c>
      <c r="AC682">
        <v>214.58529999999999</v>
      </c>
      <c r="AD682">
        <v>2.7808459999999999</v>
      </c>
      <c r="AE682">
        <v>-2.4064000000000099</v>
      </c>
      <c r="AF682">
        <v>0.425565859272033</v>
      </c>
      <c r="AG682">
        <v>2.7808459999999999</v>
      </c>
      <c r="AH682">
        <v>214.56234132886999</v>
      </c>
      <c r="AI682">
        <v>89.257458207230997</v>
      </c>
      <c r="AJ682">
        <v>89.886358922463401</v>
      </c>
      <c r="AK682">
        <v>214.58078321998701</v>
      </c>
      <c r="AL682">
        <v>93.076004011740906</v>
      </c>
      <c r="AM682">
        <v>90.435100326865793</v>
      </c>
      <c r="AN682">
        <v>0.99999996072514497</v>
      </c>
    </row>
    <row r="683" spans="1:40" x14ac:dyDescent="0.25">
      <c r="A683" t="str">
        <f>"20190303153754601"</f>
        <v>20190303153754601</v>
      </c>
      <c r="B683" t="str">
        <f>"1551598674589676"</f>
        <v>1551598674589676</v>
      </c>
      <c r="C683" t="s">
        <v>40</v>
      </c>
      <c r="D683">
        <v>4.195595</v>
      </c>
      <c r="E683">
        <v>0.50376339999999997</v>
      </c>
      <c r="F683" t="s">
        <v>41</v>
      </c>
      <c r="G683">
        <v>-158.19499999999999</v>
      </c>
      <c r="H683">
        <v>3.950501</v>
      </c>
      <c r="I683">
        <v>365.33069999999998</v>
      </c>
      <c r="J683">
        <v>-372.58679999999998</v>
      </c>
      <c r="K683">
        <v>1.1194930000000001</v>
      </c>
      <c r="L683">
        <v>367.64350000000002</v>
      </c>
      <c r="M683">
        <v>0.99994590000000005</v>
      </c>
      <c r="N683">
        <v>-4.7682929999999998E-3</v>
      </c>
      <c r="O683">
        <v>-9.2579729999999992E-3</v>
      </c>
      <c r="P683">
        <v>0.99827730000000003</v>
      </c>
      <c r="Q683">
        <v>-5.866035E-2</v>
      </c>
      <c r="R683">
        <v>-1.3997580000000001E-3</v>
      </c>
      <c r="S683">
        <v>3.0074770000000002</v>
      </c>
      <c r="T683">
        <v>3.9678339999999999E-2</v>
      </c>
      <c r="U683">
        <v>-3.2440190000000001E-2</v>
      </c>
      <c r="V683">
        <v>-7.8513599999999999E-3</v>
      </c>
      <c r="W683">
        <v>-5.3898479999999999E-2</v>
      </c>
      <c r="X683">
        <v>0.9985155</v>
      </c>
      <c r="Y683">
        <v>1.529292E-3</v>
      </c>
      <c r="Z683">
        <v>-1.5983180000000001E-4</v>
      </c>
      <c r="AA683">
        <v>0.99999879999999997</v>
      </c>
      <c r="AB683">
        <v>36</v>
      </c>
      <c r="AC683">
        <v>214.39179999999999</v>
      </c>
      <c r="AD683">
        <v>2.8310080000000002</v>
      </c>
      <c r="AE683">
        <v>-2.3128000000000299</v>
      </c>
      <c r="AF683">
        <v>0.32778791889667902</v>
      </c>
      <c r="AG683">
        <v>2.8310080000000002</v>
      </c>
      <c r="AH683">
        <v>214.36664965560601</v>
      </c>
      <c r="AI683">
        <v>89.243374882002001</v>
      </c>
      <c r="AJ683">
        <v>89.912389125263203</v>
      </c>
      <c r="AK683">
        <v>214.38559311620099</v>
      </c>
      <c r="AL683">
        <v>93.089652754177493</v>
      </c>
      <c r="AM683">
        <v>90.450509301843496</v>
      </c>
      <c r="AN683">
        <v>0.99999994687020299</v>
      </c>
    </row>
    <row r="684" spans="1:40" x14ac:dyDescent="0.25">
      <c r="A684" t="str">
        <f>"20190303153754613"</f>
        <v>20190303153754613</v>
      </c>
      <c r="B684" t="str">
        <f>"1551598674599435"</f>
        <v>1551598674599435</v>
      </c>
      <c r="C684" t="s">
        <v>40</v>
      </c>
      <c r="D684">
        <v>4.312913</v>
      </c>
      <c r="E684">
        <v>0.51683800000000002</v>
      </c>
      <c r="F684" t="s">
        <v>41</v>
      </c>
      <c r="G684">
        <v>-158.19499999999999</v>
      </c>
      <c r="H684">
        <v>3.9468049999999999</v>
      </c>
      <c r="I684">
        <v>365.41800000000001</v>
      </c>
      <c r="J684">
        <v>-372.39089999999999</v>
      </c>
      <c r="K684">
        <v>1.1194729999999999</v>
      </c>
      <c r="L684">
        <v>367.64170000000001</v>
      </c>
      <c r="M684">
        <v>0.99994669999999997</v>
      </c>
      <c r="N684">
        <v>-4.54201E-3</v>
      </c>
      <c r="O684">
        <v>-9.2861639999999995E-3</v>
      </c>
      <c r="P684">
        <v>0.99829380000000001</v>
      </c>
      <c r="Q684">
        <v>-5.8379010000000002E-2</v>
      </c>
      <c r="R684">
        <v>-1.1077540000000001E-3</v>
      </c>
      <c r="S684">
        <v>3.0074770000000002</v>
      </c>
      <c r="T684">
        <v>3.9662599999999999E-2</v>
      </c>
      <c r="U684">
        <v>-3.1219480000000001E-2</v>
      </c>
      <c r="V684">
        <v>-8.1713429999999993E-3</v>
      </c>
      <c r="W684">
        <v>-5.3842979999999999E-2</v>
      </c>
      <c r="X684">
        <v>0.99851599999999996</v>
      </c>
      <c r="Y684">
        <v>1.095253E-3</v>
      </c>
      <c r="Z684">
        <v>-1.5989579999999999E-4</v>
      </c>
      <c r="AA684">
        <v>0.99999939999999998</v>
      </c>
      <c r="AB684">
        <v>36</v>
      </c>
      <c r="AC684">
        <v>214.19589999999999</v>
      </c>
      <c r="AD684">
        <v>2.8273320000000002</v>
      </c>
      <c r="AE684">
        <v>-2.2237</v>
      </c>
      <c r="AF684">
        <v>0.23448475858714099</v>
      </c>
      <c r="AG684">
        <v>2.8273320000000002</v>
      </c>
      <c r="AH684">
        <v>214.17000256773599</v>
      </c>
      <c r="AI684">
        <v>89.243663060605499</v>
      </c>
      <c r="AJ684">
        <v>89.937269545230706</v>
      </c>
      <c r="AK684">
        <v>214.188792398678</v>
      </c>
      <c r="AL684">
        <v>93.086467988721097</v>
      </c>
      <c r="AM684">
        <v>90.468868817266497</v>
      </c>
      <c r="AN684">
        <v>1.0000000197988499</v>
      </c>
    </row>
    <row r="685" spans="1:40" x14ac:dyDescent="0.25">
      <c r="A685" t="str">
        <f>"20190303153754625"</f>
        <v>20190303153754625</v>
      </c>
      <c r="B685" t="str">
        <f>"1551598674619932"</f>
        <v>1551598674619932</v>
      </c>
      <c r="C685" t="s">
        <v>40</v>
      </c>
      <c r="D685">
        <v>4.1740979999999999</v>
      </c>
      <c r="E685">
        <v>0.55912680000000003</v>
      </c>
      <c r="F685" t="s">
        <v>42</v>
      </c>
      <c r="G685">
        <v>-349.91030000000001</v>
      </c>
      <c r="H685" s="1">
        <v>-8.1824380000000002E-7</v>
      </c>
      <c r="I685">
        <v>366.61130000000003</v>
      </c>
      <c r="J685">
        <v>-372.18349999999998</v>
      </c>
      <c r="K685">
        <v>1.1194519999999999</v>
      </c>
      <c r="L685">
        <v>367.6397</v>
      </c>
      <c r="M685">
        <v>0.99994740000000004</v>
      </c>
      <c r="N685">
        <v>-4.3204869999999996E-3</v>
      </c>
      <c r="O685">
        <v>-9.3161779999999996E-3</v>
      </c>
      <c r="P685">
        <v>0.99832080000000001</v>
      </c>
      <c r="Q685">
        <v>-5.7924459999999997E-2</v>
      </c>
      <c r="R685">
        <v>-6.7824729999999998E-4</v>
      </c>
      <c r="S685">
        <v>2.9962770000000001</v>
      </c>
      <c r="T685">
        <v>-0.14920620000000001</v>
      </c>
      <c r="U685">
        <v>-0.13732910000000001</v>
      </c>
      <c r="V685">
        <v>-8.6309160000000006E-3</v>
      </c>
      <c r="W685">
        <v>-5.3609440000000001E-2</v>
      </c>
      <c r="X685">
        <v>0.99852470000000004</v>
      </c>
      <c r="Y685">
        <v>3.6437339999999999E-2</v>
      </c>
      <c r="Z685">
        <v>-5.618598E-4</v>
      </c>
      <c r="AA685">
        <v>0.9993358</v>
      </c>
      <c r="AB685">
        <v>36</v>
      </c>
      <c r="AC685">
        <v>22.2731999999999</v>
      </c>
      <c r="AD685">
        <v>-1.1194528182437999</v>
      </c>
      <c r="AE685">
        <v>-1.02839999999997</v>
      </c>
      <c r="AF685">
        <v>0.818788443130402</v>
      </c>
      <c r="AG685">
        <v>-1.1194528182437999</v>
      </c>
      <c r="AH685">
        <v>22.225789658621999</v>
      </c>
      <c r="AI685">
        <v>92.881445271024305</v>
      </c>
      <c r="AJ685">
        <v>87.890202448624393</v>
      </c>
      <c r="AK685">
        <v>22.269021421611399</v>
      </c>
      <c r="AL685">
        <v>93.073067776156705</v>
      </c>
      <c r="AM685">
        <v>90.495233362896897</v>
      </c>
      <c r="AN685">
        <v>1.0000000206391</v>
      </c>
    </row>
    <row r="686" spans="1:40" x14ac:dyDescent="0.25">
      <c r="A686" t="str">
        <f>"20190303153754644"</f>
        <v>20190303153754644</v>
      </c>
      <c r="B686" t="str">
        <f>"1551598674639453"</f>
        <v>1551598674639453</v>
      </c>
      <c r="C686" t="s">
        <v>40</v>
      </c>
      <c r="D686">
        <v>4.1881209999999998</v>
      </c>
      <c r="E686">
        <v>0.5612028</v>
      </c>
      <c r="F686" t="s">
        <v>44</v>
      </c>
      <c r="G686">
        <v>-371.42439999999999</v>
      </c>
      <c r="H686">
        <v>0.99827860000000002</v>
      </c>
      <c r="I686">
        <v>367.5179</v>
      </c>
      <c r="J686">
        <v>-371.89690000000002</v>
      </c>
      <c r="K686">
        <v>1.1194360000000001</v>
      </c>
      <c r="L686">
        <v>367.637</v>
      </c>
      <c r="M686">
        <v>0.99994810000000001</v>
      </c>
      <c r="N686">
        <v>-4.0465570000000001E-3</v>
      </c>
      <c r="O686">
        <v>-9.3570760000000006E-3</v>
      </c>
      <c r="P686">
        <v>0.99834730000000005</v>
      </c>
      <c r="Q686">
        <v>-5.7467230000000001E-2</v>
      </c>
      <c r="R686">
        <v>-5.1157890000000004E-4</v>
      </c>
      <c r="S686">
        <v>2.9771420000000002</v>
      </c>
      <c r="T686">
        <v>-0.47527459999999999</v>
      </c>
      <c r="U686">
        <v>-0.47695920000000003</v>
      </c>
      <c r="V686">
        <v>-8.8390740000000006E-3</v>
      </c>
      <c r="W686">
        <v>-5.342562E-2</v>
      </c>
      <c r="X686">
        <v>0.99853270000000005</v>
      </c>
      <c r="Y686">
        <v>0.14718899999999999</v>
      </c>
      <c r="Z686">
        <v>-1.0466319999999999E-2</v>
      </c>
      <c r="AA686">
        <v>0.98905299999999996</v>
      </c>
      <c r="AB686">
        <v>36</v>
      </c>
      <c r="AC686">
        <v>0.47250000000002501</v>
      </c>
      <c r="AD686">
        <v>-0.1211574</v>
      </c>
      <c r="AE686">
        <v>-0.119099999999946</v>
      </c>
      <c r="AF686">
        <v>0.107996929770403</v>
      </c>
      <c r="AG686">
        <v>-0.1211574</v>
      </c>
      <c r="AH686">
        <v>0.44601984760658298</v>
      </c>
      <c r="AI686">
        <v>104.789325090178</v>
      </c>
      <c r="AJ686">
        <v>76.388669097208194</v>
      </c>
      <c r="AK686">
        <v>0.47463265466420801</v>
      </c>
      <c r="AL686">
        <v>93.062520646394503</v>
      </c>
      <c r="AM686">
        <v>90.5071725818662</v>
      </c>
      <c r="AN686">
        <v>0.99999998953542601</v>
      </c>
    </row>
    <row r="687" spans="1:40" x14ac:dyDescent="0.25">
      <c r="A687" t="str">
        <f>"20190303153754657"</f>
        <v>20190303153754657</v>
      </c>
      <c r="B687" t="str">
        <f>"1551598674650188"</f>
        <v>1551598674650188</v>
      </c>
      <c r="C687" t="s">
        <v>40</v>
      </c>
      <c r="D687">
        <v>4.1841739999999996</v>
      </c>
      <c r="E687">
        <v>0.5614962</v>
      </c>
      <c r="F687" t="s">
        <v>44</v>
      </c>
      <c r="G687">
        <v>-371.11180000000002</v>
      </c>
      <c r="H687">
        <v>0.9663389</v>
      </c>
      <c r="I687">
        <v>367.5061</v>
      </c>
      <c r="J687">
        <v>-371.67399999999998</v>
      </c>
      <c r="K687">
        <v>1.1194249999999999</v>
      </c>
      <c r="L687">
        <v>367.63490000000002</v>
      </c>
      <c r="M687">
        <v>0.99994850000000002</v>
      </c>
      <c r="N687">
        <v>-3.8584439999999999E-3</v>
      </c>
      <c r="O687">
        <v>-9.3887620000000001E-3</v>
      </c>
      <c r="P687">
        <v>0.99836029999999998</v>
      </c>
      <c r="Q687">
        <v>-5.7240270000000003E-2</v>
      </c>
      <c r="R687">
        <v>-6.2513029999999999E-4</v>
      </c>
      <c r="S687">
        <v>2.9713440000000002</v>
      </c>
      <c r="T687">
        <v>-0.57955380000000001</v>
      </c>
      <c r="U687">
        <v>-0.49481199999999997</v>
      </c>
      <c r="V687">
        <v>-8.7571950000000006E-3</v>
      </c>
      <c r="W687">
        <v>-5.338644E-2</v>
      </c>
      <c r="X687">
        <v>0.99853550000000002</v>
      </c>
      <c r="Y687">
        <v>0.152313</v>
      </c>
      <c r="Z687">
        <v>-1.315012E-2</v>
      </c>
      <c r="AA687">
        <v>0.98824480000000003</v>
      </c>
      <c r="AB687">
        <v>36</v>
      </c>
      <c r="AC687">
        <v>0.56220000000001802</v>
      </c>
      <c r="AD687">
        <v>-0.153086099999999</v>
      </c>
      <c r="AE687">
        <v>-0.12880000000001199</v>
      </c>
      <c r="AF687">
        <v>0.11538705042865</v>
      </c>
      <c r="AG687">
        <v>-0.153086099999999</v>
      </c>
      <c r="AH687">
        <v>0.52630685163040403</v>
      </c>
      <c r="AI687">
        <v>105.86093133064</v>
      </c>
      <c r="AJ687">
        <v>77.634170779358996</v>
      </c>
      <c r="AK687">
        <v>0.56013250886994703</v>
      </c>
      <c r="AL687">
        <v>93.0602726413575</v>
      </c>
      <c r="AM687">
        <v>90.502473322843798</v>
      </c>
      <c r="AN687">
        <v>0.99999997260019502</v>
      </c>
    </row>
    <row r="688" spans="1:40" x14ac:dyDescent="0.25">
      <c r="A688" t="str">
        <f>"20190303153754669"</f>
        <v>20190303153754669</v>
      </c>
      <c r="B688" t="str">
        <f>"1551598674659948"</f>
        <v>1551598674659948</v>
      </c>
      <c r="C688" t="s">
        <v>40</v>
      </c>
      <c r="D688">
        <v>4.1597689999999998</v>
      </c>
      <c r="E688">
        <v>0.56162380000000001</v>
      </c>
      <c r="F688" t="s">
        <v>44</v>
      </c>
      <c r="G688">
        <v>-370.79250000000002</v>
      </c>
      <c r="H688">
        <v>0.94469110000000001</v>
      </c>
      <c r="I688">
        <v>367.48689999999999</v>
      </c>
      <c r="J688">
        <v>-371.46539999999999</v>
      </c>
      <c r="K688">
        <v>1.1194139999999999</v>
      </c>
      <c r="L688">
        <v>367.63290000000001</v>
      </c>
      <c r="M688">
        <v>0.99994890000000003</v>
      </c>
      <c r="N688">
        <v>-3.6966920000000001E-3</v>
      </c>
      <c r="O688">
        <v>-9.4183689999999994E-3</v>
      </c>
      <c r="P688">
        <v>0.99837540000000002</v>
      </c>
      <c r="Q688">
        <v>-5.6976430000000002E-2</v>
      </c>
      <c r="R688">
        <v>-8.1679119999999896E-4</v>
      </c>
      <c r="S688">
        <v>2.9708559999999999</v>
      </c>
      <c r="T688">
        <v>-0.5889664</v>
      </c>
      <c r="U688">
        <v>-0.49734499999999998</v>
      </c>
      <c r="V688">
        <v>-8.5948789999999997E-3</v>
      </c>
      <c r="W688">
        <v>-5.3284089999999999E-2</v>
      </c>
      <c r="X688">
        <v>0.99854240000000005</v>
      </c>
      <c r="Y688">
        <v>0.15303259999999999</v>
      </c>
      <c r="Z688">
        <v>-1.3407530000000001E-2</v>
      </c>
      <c r="AA688">
        <v>0.98813019999999996</v>
      </c>
      <c r="AB688">
        <v>37</v>
      </c>
      <c r="AC688">
        <v>0.67289999999996997</v>
      </c>
      <c r="AD688">
        <v>-0.17472289999999899</v>
      </c>
      <c r="AE688">
        <v>-0.14600000000001501</v>
      </c>
      <c r="AF688">
        <v>0.131207383670152</v>
      </c>
      <c r="AG688">
        <v>-0.17472289999999899</v>
      </c>
      <c r="AH688">
        <v>0.63345679817582401</v>
      </c>
      <c r="AI688">
        <v>105.11446328741199</v>
      </c>
      <c r="AJ688">
        <v>78.297850226805096</v>
      </c>
      <c r="AK688">
        <v>0.67008281911204304</v>
      </c>
      <c r="AL688">
        <v>93.054399989800203</v>
      </c>
      <c r="AM688">
        <v>90.493156956731895</v>
      </c>
      <c r="AN688">
        <v>0.99999999539495599</v>
      </c>
    </row>
    <row r="689" spans="1:40" x14ac:dyDescent="0.25">
      <c r="A689" t="str">
        <f>"20190303153754685"</f>
        <v>20190303153754685</v>
      </c>
      <c r="B689" t="str">
        <f>"1551598674679468"</f>
        <v>1551598674679468</v>
      </c>
      <c r="C689" t="s">
        <v>40</v>
      </c>
      <c r="D689">
        <v>4.1773360000000004</v>
      </c>
      <c r="E689">
        <v>0.56167709999999904</v>
      </c>
      <c r="F689" t="s">
        <v>44</v>
      </c>
      <c r="G689">
        <v>-370.47149999999999</v>
      </c>
      <c r="H689">
        <v>0.92099600000000004</v>
      </c>
      <c r="I689">
        <v>367.46600000000001</v>
      </c>
      <c r="J689">
        <v>-371.22449999999998</v>
      </c>
      <c r="K689">
        <v>1.119407</v>
      </c>
      <c r="L689">
        <v>367.63060000000002</v>
      </c>
      <c r="M689">
        <v>0.99994899999999998</v>
      </c>
      <c r="N689">
        <v>-3.5495499999999998E-3</v>
      </c>
      <c r="O689">
        <v>-9.4521880000000003E-3</v>
      </c>
      <c r="P689">
        <v>0.99837949999999998</v>
      </c>
      <c r="Q689">
        <v>-5.6899529999999997E-2</v>
      </c>
      <c r="R689">
        <v>-8.4485440000000005E-4</v>
      </c>
      <c r="S689">
        <v>2.970612</v>
      </c>
      <c r="T689">
        <v>-0.59309019999999901</v>
      </c>
      <c r="U689">
        <v>-0.49874879999999999</v>
      </c>
      <c r="V689">
        <v>-8.6010380000000001E-3</v>
      </c>
      <c r="W689">
        <v>-5.3354079999999998E-2</v>
      </c>
      <c r="X689">
        <v>0.99853860000000005</v>
      </c>
      <c r="Y689">
        <v>0.15342359999999999</v>
      </c>
      <c r="Z689">
        <v>-1.351778E-2</v>
      </c>
      <c r="AA689">
        <v>0.98806799999999995</v>
      </c>
      <c r="AB689">
        <v>37</v>
      </c>
      <c r="AC689">
        <v>0.75299999999998501</v>
      </c>
      <c r="AD689">
        <v>-0.198411</v>
      </c>
      <c r="AE689">
        <v>-0.16460000000000699</v>
      </c>
      <c r="AF689">
        <v>0.14768881662507799</v>
      </c>
      <c r="AG689">
        <v>-0.198411</v>
      </c>
      <c r="AH689">
        <v>0.70763243220948102</v>
      </c>
      <c r="AI689">
        <v>105.34817030243801</v>
      </c>
      <c r="AJ689">
        <v>78.211118038314595</v>
      </c>
      <c r="AK689">
        <v>0.74961494821796404</v>
      </c>
      <c r="AL689">
        <v>93.058415863545505</v>
      </c>
      <c r="AM689">
        <v>90.493512208345095</v>
      </c>
      <c r="AN689">
        <v>0.99999998569864101</v>
      </c>
    </row>
    <row r="690" spans="1:40" x14ac:dyDescent="0.25">
      <c r="A690" t="str">
        <f>"20190303153754701"</f>
        <v>20190303153754701</v>
      </c>
      <c r="B690" t="str">
        <f>"1551598674690206"</f>
        <v>1551598674690206</v>
      </c>
      <c r="C690" t="s">
        <v>40</v>
      </c>
      <c r="D690">
        <v>4.1912320000000003</v>
      </c>
      <c r="E690">
        <v>0.56183890000000003</v>
      </c>
      <c r="F690" t="s">
        <v>44</v>
      </c>
      <c r="G690">
        <v>-370.45330000000001</v>
      </c>
      <c r="H690">
        <v>0.96424370000000004</v>
      </c>
      <c r="I690">
        <v>367.5009</v>
      </c>
      <c r="J690">
        <v>-370.94869999999997</v>
      </c>
      <c r="K690">
        <v>1.1194040000000001</v>
      </c>
      <c r="L690">
        <v>367.62790000000001</v>
      </c>
      <c r="M690">
        <v>0.99994930000000004</v>
      </c>
      <c r="N690">
        <v>-3.4169690000000002E-3</v>
      </c>
      <c r="O690">
        <v>-9.4915280000000008E-3</v>
      </c>
      <c r="P690">
        <v>0.99841849999999999</v>
      </c>
      <c r="Q690">
        <v>-5.621802E-2</v>
      </c>
      <c r="R690">
        <v>-8.2478679999999896E-4</v>
      </c>
      <c r="S690">
        <v>2.970367</v>
      </c>
      <c r="T690">
        <v>-0.59762219999999999</v>
      </c>
      <c r="U690">
        <v>-0.4993591</v>
      </c>
      <c r="V690">
        <v>-8.6608090000000002E-3</v>
      </c>
      <c r="W690">
        <v>-5.2804810000000001E-2</v>
      </c>
      <c r="X690">
        <v>0.99856730000000005</v>
      </c>
      <c r="Y690">
        <v>0.1535532</v>
      </c>
      <c r="Z690">
        <v>-1.3611470000000001E-2</v>
      </c>
      <c r="AA690">
        <v>0.9880466</v>
      </c>
      <c r="AB690">
        <v>37</v>
      </c>
      <c r="AC690">
        <v>0.49539999999996098</v>
      </c>
      <c r="AD690">
        <v>-0.1551603</v>
      </c>
      <c r="AE690">
        <v>-0.12700000000000899</v>
      </c>
      <c r="AF690">
        <v>0.111984402192677</v>
      </c>
      <c r="AG690">
        <v>-0.1551603</v>
      </c>
      <c r="AH690">
        <v>0.454727171478987</v>
      </c>
      <c r="AI690">
        <v>108.330928616119</v>
      </c>
      <c r="AJ690">
        <v>76.165223763505296</v>
      </c>
      <c r="AK690">
        <v>0.49334777339299102</v>
      </c>
      <c r="AL690">
        <v>93.0269005237746</v>
      </c>
      <c r="AM690">
        <v>90.496927308271594</v>
      </c>
      <c r="AN690">
        <v>1.00000000510048</v>
      </c>
    </row>
    <row r="691" spans="1:40" x14ac:dyDescent="0.25">
      <c r="A691" t="str">
        <f>"20190303153754723"</f>
        <v>20190303153754723</v>
      </c>
      <c r="B691" t="str">
        <f>"1551598674720173"</f>
        <v>1551598674720173</v>
      </c>
      <c r="C691" t="s">
        <v>40</v>
      </c>
      <c r="D691">
        <v>4.173635</v>
      </c>
      <c r="E691">
        <v>0.56282019999999899</v>
      </c>
      <c r="F691" t="s">
        <v>44</v>
      </c>
      <c r="G691">
        <v>-370.1259</v>
      </c>
      <c r="H691">
        <v>0.95398640000000001</v>
      </c>
      <c r="I691">
        <v>367.48880000000003</v>
      </c>
      <c r="J691">
        <v>-370.58420000000001</v>
      </c>
      <c r="K691">
        <v>1.1194189999999999</v>
      </c>
      <c r="L691">
        <v>367.62439999999998</v>
      </c>
      <c r="M691">
        <v>0.99994899999999998</v>
      </c>
      <c r="N691">
        <v>-3.326318E-3</v>
      </c>
      <c r="O691">
        <v>-9.5427510000000004E-3</v>
      </c>
      <c r="P691">
        <v>0.99838910000000003</v>
      </c>
      <c r="Q691">
        <v>-5.6735180000000003E-2</v>
      </c>
      <c r="R691">
        <v>-5.9473149999999999E-4</v>
      </c>
      <c r="S691">
        <v>2.9707029999999999</v>
      </c>
      <c r="T691">
        <v>-0.59738469999999999</v>
      </c>
      <c r="U691">
        <v>-0.500946</v>
      </c>
      <c r="V691">
        <v>-8.9419249999999999E-3</v>
      </c>
      <c r="W691">
        <v>-5.341253E-2</v>
      </c>
      <c r="X691">
        <v>0.99853250000000005</v>
      </c>
      <c r="Y691">
        <v>0.15399450000000001</v>
      </c>
      <c r="Z691">
        <v>-1.363076E-2</v>
      </c>
      <c r="AA691">
        <v>0.98797769999999996</v>
      </c>
      <c r="AB691">
        <v>37</v>
      </c>
      <c r="AC691">
        <v>0.45830000000000798</v>
      </c>
      <c r="AD691">
        <v>-0.16543259999999901</v>
      </c>
      <c r="AE691">
        <v>-0.13559999999995301</v>
      </c>
      <c r="AF691">
        <v>0.117180823837349</v>
      </c>
      <c r="AG691">
        <v>-0.16543259999999901</v>
      </c>
      <c r="AH691">
        <v>0.41040246442761402</v>
      </c>
      <c r="AI691">
        <v>111.186730846697</v>
      </c>
      <c r="AJ691">
        <v>74.064546142137701</v>
      </c>
      <c r="AK691">
        <v>0.45774389501796597</v>
      </c>
      <c r="AL691">
        <v>93.061769524933496</v>
      </c>
      <c r="AM691">
        <v>90.513073804437099</v>
      </c>
      <c r="AN691">
        <v>1.00000000496997</v>
      </c>
    </row>
    <row r="692" spans="1:40" x14ac:dyDescent="0.25">
      <c r="A692" t="str">
        <f>"20190303153754744"</f>
        <v>20190303153754744</v>
      </c>
      <c r="B692" t="str">
        <f>"1551598674739693"</f>
        <v>1551598674739693</v>
      </c>
      <c r="C692" t="s">
        <v>40</v>
      </c>
      <c r="D692">
        <v>4.1619089999999996</v>
      </c>
      <c r="E692">
        <v>0.56350730000000004</v>
      </c>
      <c r="F692" t="s">
        <v>44</v>
      </c>
      <c r="G692">
        <v>-369.7903</v>
      </c>
      <c r="H692">
        <v>0.959399</v>
      </c>
      <c r="I692">
        <v>367.48820000000001</v>
      </c>
      <c r="J692">
        <v>-370.23059999999998</v>
      </c>
      <c r="K692">
        <v>1.119462</v>
      </c>
      <c r="L692">
        <v>367.62099999999998</v>
      </c>
      <c r="M692">
        <v>0.99994830000000001</v>
      </c>
      <c r="N692">
        <v>-3.3727219999999999E-3</v>
      </c>
      <c r="O692">
        <v>-9.5920689999999999E-3</v>
      </c>
      <c r="P692">
        <v>0.99838009999999999</v>
      </c>
      <c r="Q692">
        <v>-5.6895349999999997E-2</v>
      </c>
      <c r="R692">
        <v>-4.3149220000000002E-4</v>
      </c>
      <c r="S692">
        <v>2.97052</v>
      </c>
      <c r="T692">
        <v>-0.59883649999999999</v>
      </c>
      <c r="U692">
        <v>-0.50857540000000001</v>
      </c>
      <c r="V692">
        <v>-9.1542259999999997E-3</v>
      </c>
      <c r="W692">
        <v>-5.352635E-2</v>
      </c>
      <c r="X692">
        <v>0.99852450000000004</v>
      </c>
      <c r="Y692">
        <v>0.1563621</v>
      </c>
      <c r="Z692">
        <v>-1.389378E-2</v>
      </c>
      <c r="AA692">
        <v>0.98760210000000004</v>
      </c>
      <c r="AB692">
        <v>37</v>
      </c>
      <c r="AC692">
        <v>0.44029999999997899</v>
      </c>
      <c r="AD692">
        <v>-0.16006300000000001</v>
      </c>
      <c r="AE692">
        <v>-0.13279999999997399</v>
      </c>
      <c r="AF692">
        <v>0.11467879729253699</v>
      </c>
      <c r="AG692">
        <v>-0.16006300000000001</v>
      </c>
      <c r="AH692">
        <v>0.393844946811994</v>
      </c>
      <c r="AI692">
        <v>111.316028768978</v>
      </c>
      <c r="AJ692">
        <v>73.765627160574496</v>
      </c>
      <c r="AK692">
        <v>0.44032400871041</v>
      </c>
      <c r="AL692">
        <v>93.068300215792107</v>
      </c>
      <c r="AM692">
        <v>90.525258840371706</v>
      </c>
      <c r="AN692">
        <v>1.00000002354911</v>
      </c>
    </row>
    <row r="693" spans="1:40" x14ac:dyDescent="0.25">
      <c r="A693" t="str">
        <f>"20190303153754758"</f>
        <v>20190303153754758</v>
      </c>
      <c r="B693" t="str">
        <f>"1551598674749453"</f>
        <v>1551598674749453</v>
      </c>
      <c r="C693" t="s">
        <v>40</v>
      </c>
      <c r="D693">
        <v>4.1025260000000001</v>
      </c>
      <c r="E693">
        <v>0.56366740000000004</v>
      </c>
      <c r="F693" t="s">
        <v>44</v>
      </c>
      <c r="G693">
        <v>-369.45460000000003</v>
      </c>
      <c r="H693">
        <v>0.96301599999999998</v>
      </c>
      <c r="I693">
        <v>367.48660000000001</v>
      </c>
      <c r="J693">
        <v>-369.98790000000002</v>
      </c>
      <c r="K693">
        <v>1.11951</v>
      </c>
      <c r="L693">
        <v>367.61869999999999</v>
      </c>
      <c r="M693">
        <v>0.99994749999999999</v>
      </c>
      <c r="N693">
        <v>-3.5121969999999999E-3</v>
      </c>
      <c r="O693">
        <v>-9.6257010000000004E-3</v>
      </c>
      <c r="P693">
        <v>0.99835529999999995</v>
      </c>
      <c r="Q693">
        <v>-5.7331199999999999E-2</v>
      </c>
      <c r="R693">
        <v>-3.7390649999999997E-4</v>
      </c>
      <c r="S693">
        <v>2.9704899999999999</v>
      </c>
      <c r="T693">
        <v>-0.59896190000000005</v>
      </c>
      <c r="U693">
        <v>-0.51315310000000003</v>
      </c>
      <c r="V693">
        <v>-9.2450199999999996E-3</v>
      </c>
      <c r="W693">
        <v>-5.3822969999999998E-2</v>
      </c>
      <c r="X693">
        <v>0.9985077</v>
      </c>
      <c r="Y693">
        <v>0.15777840000000001</v>
      </c>
      <c r="Z693">
        <v>-1.4043770000000001E-2</v>
      </c>
      <c r="AA693">
        <v>0.98737470000000005</v>
      </c>
      <c r="AB693">
        <v>37</v>
      </c>
      <c r="AC693">
        <v>0.533299999999997</v>
      </c>
      <c r="AD693">
        <v>-0.15649399999999999</v>
      </c>
      <c r="AE693">
        <v>-0.13209999999997901</v>
      </c>
      <c r="AF693">
        <v>0.11743292381406301</v>
      </c>
      <c r="AG693">
        <v>-0.15649399999999999</v>
      </c>
      <c r="AH693">
        <v>0.49443267007998398</v>
      </c>
      <c r="AI693">
        <v>107.115986495475</v>
      </c>
      <c r="AJ693">
        <v>76.639215021111198</v>
      </c>
      <c r="AK693">
        <v>0.53173727429430995</v>
      </c>
      <c r="AL693">
        <v>93.085319881867605</v>
      </c>
      <c r="AM693">
        <v>90.530477122920104</v>
      </c>
      <c r="AN693">
        <v>1.00000000472685</v>
      </c>
    </row>
    <row r="694" spans="1:40" x14ac:dyDescent="0.25">
      <c r="A694" t="str">
        <f>"20190303153754771"</f>
        <v>20190303153754771</v>
      </c>
      <c r="B694" t="str">
        <f>"1551598674760190"</f>
        <v>1551598674760190</v>
      </c>
      <c r="C694" t="s">
        <v>40</v>
      </c>
      <c r="D694">
        <v>4.1461569999999996</v>
      </c>
      <c r="E694">
        <v>0.5639035</v>
      </c>
      <c r="F694" t="s">
        <v>44</v>
      </c>
      <c r="G694">
        <v>-369.1275</v>
      </c>
      <c r="H694">
        <v>0.94560679999999997</v>
      </c>
      <c r="I694">
        <v>367.46980000000002</v>
      </c>
      <c r="J694">
        <v>-369.7722</v>
      </c>
      <c r="K694">
        <v>1.119564</v>
      </c>
      <c r="L694">
        <v>367.61660000000001</v>
      </c>
      <c r="M694">
        <v>0.99994669999999997</v>
      </c>
      <c r="N694">
        <v>-3.6950609999999999E-3</v>
      </c>
      <c r="O694">
        <v>-9.6556109999999997E-3</v>
      </c>
      <c r="P694">
        <v>0.99833660000000002</v>
      </c>
      <c r="Q694">
        <v>-5.7657390000000003E-2</v>
      </c>
      <c r="R694">
        <v>-3.5948449999999998E-4</v>
      </c>
      <c r="S694">
        <v>2.9702449999999998</v>
      </c>
      <c r="T694">
        <v>-0.60048869999999999</v>
      </c>
      <c r="U694">
        <v>-0.51345829999999903</v>
      </c>
      <c r="V694">
        <v>-9.2897039999999993E-3</v>
      </c>
      <c r="W694">
        <v>-5.396662E-2</v>
      </c>
      <c r="X694">
        <v>0.99849949999999998</v>
      </c>
      <c r="Y694">
        <v>0.15784179999999901</v>
      </c>
      <c r="Z694">
        <v>-1.409607E-2</v>
      </c>
      <c r="AA694">
        <v>0.98736380000000001</v>
      </c>
      <c r="AB694">
        <v>37</v>
      </c>
      <c r="AC694">
        <v>0.64470000000000005</v>
      </c>
      <c r="AD694">
        <v>-0.17395719999999901</v>
      </c>
      <c r="AE694">
        <v>-0.146799999999984</v>
      </c>
      <c r="AF694">
        <v>0.13146823290360801</v>
      </c>
      <c r="AG694">
        <v>-0.17395719999999901</v>
      </c>
      <c r="AH694">
        <v>0.60426186969574502</v>
      </c>
      <c r="AI694">
        <v>105.71144654907999</v>
      </c>
      <c r="AJ694">
        <v>77.725542688073702</v>
      </c>
      <c r="AK694">
        <v>0.64239972825557301</v>
      </c>
      <c r="AL694">
        <v>93.093562498052805</v>
      </c>
      <c r="AM694">
        <v>90.533045310237398</v>
      </c>
      <c r="AN694">
        <v>0.99999997308744004</v>
      </c>
    </row>
    <row r="695" spans="1:40" x14ac:dyDescent="0.25">
      <c r="A695" t="str">
        <f>"20190303153754789"</f>
        <v>20190303153754789</v>
      </c>
      <c r="B695" t="str">
        <f>"1551598674779709"</f>
        <v>1551598674779709</v>
      </c>
      <c r="C695" t="s">
        <v>40</v>
      </c>
      <c r="D695">
        <v>4.1085099999999999</v>
      </c>
      <c r="E695">
        <v>0.56419039999999998</v>
      </c>
      <c r="F695" t="s">
        <v>44</v>
      </c>
      <c r="G695">
        <v>-368.80160000000001</v>
      </c>
      <c r="H695">
        <v>0.92315769999999997</v>
      </c>
      <c r="I695">
        <v>367.44779999999997</v>
      </c>
      <c r="J695">
        <v>-369.4744</v>
      </c>
      <c r="K695">
        <v>1.1196619999999999</v>
      </c>
      <c r="L695">
        <v>367.61360000000002</v>
      </c>
      <c r="M695">
        <v>0.99994470000000002</v>
      </c>
      <c r="N695">
        <v>-4.0806899999999997E-3</v>
      </c>
      <c r="O695">
        <v>-9.6975169999999992E-3</v>
      </c>
      <c r="P695">
        <v>0.99827239999999995</v>
      </c>
      <c r="Q695">
        <v>-5.875756E-2</v>
      </c>
      <c r="R695">
        <v>-4.2618019999999998E-4</v>
      </c>
      <c r="S695">
        <v>2.9700929999999999</v>
      </c>
      <c r="T695">
        <v>-0.60110249999999998</v>
      </c>
      <c r="U695">
        <v>-0.51531979999999999</v>
      </c>
      <c r="V695">
        <v>-9.264586E-3</v>
      </c>
      <c r="W695">
        <v>-5.4681979999999998E-2</v>
      </c>
      <c r="X695">
        <v>0.99846080000000004</v>
      </c>
      <c r="Y695">
        <v>0.15838679999999999</v>
      </c>
      <c r="Z695">
        <v>-1.419167E-2</v>
      </c>
      <c r="AA695">
        <v>0.98727509999999996</v>
      </c>
      <c r="AB695">
        <v>37</v>
      </c>
      <c r="AC695">
        <v>0.67279999999999496</v>
      </c>
      <c r="AD695">
        <v>-0.19650429999999999</v>
      </c>
      <c r="AE695">
        <v>-0.16580000000004699</v>
      </c>
      <c r="AF695">
        <v>0.14741263797198501</v>
      </c>
      <c r="AG695">
        <v>-0.19650429999999999</v>
      </c>
      <c r="AH695">
        <v>0.62417931021142903</v>
      </c>
      <c r="AI695">
        <v>107.034619058541</v>
      </c>
      <c r="AJ695">
        <v>76.711919357256605</v>
      </c>
      <c r="AK695">
        <v>0.67077882871209105</v>
      </c>
      <c r="AL695">
        <v>93.134610262285804</v>
      </c>
      <c r="AM695">
        <v>90.531624720171493</v>
      </c>
      <c r="AN695">
        <v>0.99999996031355498</v>
      </c>
    </row>
    <row r="696" spans="1:40" x14ac:dyDescent="0.25">
      <c r="A696" t="str">
        <f>"20190303153754803"</f>
        <v>20190303153754803</v>
      </c>
      <c r="B696" t="str">
        <f>"1551598674800205"</f>
        <v>1551598674800205</v>
      </c>
      <c r="C696" t="s">
        <v>40</v>
      </c>
      <c r="D696">
        <v>4.0730940000000002</v>
      </c>
      <c r="E696">
        <v>0.5645869</v>
      </c>
      <c r="F696" t="s">
        <v>44</v>
      </c>
      <c r="G696">
        <v>-368.77800000000002</v>
      </c>
      <c r="H696">
        <v>0.97806599999999999</v>
      </c>
      <c r="I696">
        <v>367.49180000000001</v>
      </c>
      <c r="J696">
        <v>-369.24619999999999</v>
      </c>
      <c r="K696">
        <v>1.1197459999999999</v>
      </c>
      <c r="L696">
        <v>367.6114</v>
      </c>
      <c r="M696">
        <v>0.99994269999999996</v>
      </c>
      <c r="N696">
        <v>-4.4720109999999997E-3</v>
      </c>
      <c r="O696">
        <v>-9.7300939999999999E-3</v>
      </c>
      <c r="P696">
        <v>0.9982415</v>
      </c>
      <c r="Q696">
        <v>-5.9277320000000001E-2</v>
      </c>
      <c r="R696">
        <v>-4.2441789999999999E-4</v>
      </c>
      <c r="S696">
        <v>2.9694210000000001</v>
      </c>
      <c r="T696">
        <v>-0.60381339999999994</v>
      </c>
      <c r="U696">
        <v>-0.51806640000000004</v>
      </c>
      <c r="V696">
        <v>-9.2983219999999995E-3</v>
      </c>
      <c r="W696">
        <v>-5.4811110000000003E-2</v>
      </c>
      <c r="X696">
        <v>0.99845340000000005</v>
      </c>
      <c r="Y696">
        <v>0.1592277</v>
      </c>
      <c r="Z696">
        <v>-1.4369659999999999E-2</v>
      </c>
      <c r="AA696">
        <v>0.9871373</v>
      </c>
      <c r="AB696">
        <v>37</v>
      </c>
      <c r="AC696">
        <v>0.46819999999996698</v>
      </c>
      <c r="AD696">
        <v>-0.141679999999999</v>
      </c>
      <c r="AE696">
        <v>-0.11959999999999101</v>
      </c>
      <c r="AF696">
        <v>0.105932589200206</v>
      </c>
      <c r="AG696">
        <v>-0.141679999999999</v>
      </c>
      <c r="AH696">
        <v>0.43219006674628502</v>
      </c>
      <c r="AI696">
        <v>107.66116864426699</v>
      </c>
      <c r="AJ696">
        <v>76.227943662402197</v>
      </c>
      <c r="AK696">
        <v>0.46699377902582201</v>
      </c>
      <c r="AL696">
        <v>93.142019998073096</v>
      </c>
      <c r="AM696">
        <v>90.533564417306806</v>
      </c>
      <c r="AN696">
        <v>0.99999995427150201</v>
      </c>
    </row>
    <row r="697" spans="1:40" x14ac:dyDescent="0.25">
      <c r="A697" t="str">
        <f>"20190303153754817"</f>
        <v>20190303153754817</v>
      </c>
      <c r="B697" t="str">
        <f>"1551598674809966"</f>
        <v>1551598674809966</v>
      </c>
      <c r="C697" t="s">
        <v>40</v>
      </c>
      <c r="D697">
        <v>4.0947089999999999</v>
      </c>
      <c r="E697">
        <v>0.56478229999999996</v>
      </c>
      <c r="F697" t="s">
        <v>44</v>
      </c>
      <c r="G697">
        <v>-368.45209999999997</v>
      </c>
      <c r="H697">
        <v>0.95798749999999999</v>
      </c>
      <c r="I697">
        <v>367.47210000000001</v>
      </c>
      <c r="J697">
        <v>-369.00869999999998</v>
      </c>
      <c r="K697">
        <v>1.1198399999999999</v>
      </c>
      <c r="L697">
        <v>367.60910000000001</v>
      </c>
      <c r="M697">
        <v>0.99994019999999995</v>
      </c>
      <c r="N697">
        <v>-4.9303769999999997E-3</v>
      </c>
      <c r="O697">
        <v>-9.7589960000000007E-3</v>
      </c>
      <c r="P697">
        <v>0.99820969999999998</v>
      </c>
      <c r="Q697">
        <v>-5.9813930000000001E-2</v>
      </c>
      <c r="R697">
        <v>-3.9976379999999998E-4</v>
      </c>
      <c r="S697">
        <v>2.969147</v>
      </c>
      <c r="T697">
        <v>-0.60484169999999904</v>
      </c>
      <c r="U697">
        <v>-0.52102660000000001</v>
      </c>
      <c r="V697">
        <v>-9.3520809999999999E-3</v>
      </c>
      <c r="W697">
        <v>-5.4890130000000002E-2</v>
      </c>
      <c r="X697">
        <v>0.99844860000000002</v>
      </c>
      <c r="Y697">
        <v>0.1601332</v>
      </c>
      <c r="Z697">
        <v>-1.4521879999999999E-2</v>
      </c>
      <c r="AA697">
        <v>0.98698859999999999</v>
      </c>
      <c r="AB697">
        <v>37</v>
      </c>
      <c r="AC697">
        <v>0.55660000000000298</v>
      </c>
      <c r="AD697">
        <v>-0.16185249999999901</v>
      </c>
      <c r="AE697">
        <v>-0.13700000000000001</v>
      </c>
      <c r="AF697">
        <v>0.121847008880325</v>
      </c>
      <c r="AG697">
        <v>-0.16185249999999901</v>
      </c>
      <c r="AH697">
        <v>0.51671421811734497</v>
      </c>
      <c r="AI697">
        <v>106.955008609679</v>
      </c>
      <c r="AJ697">
        <v>76.731409920171103</v>
      </c>
      <c r="AK697">
        <v>0.55501036795176295</v>
      </c>
      <c r="AL697">
        <v>93.1465542013228</v>
      </c>
      <c r="AM697">
        <v>90.536651662972304</v>
      </c>
      <c r="AN697">
        <v>0.99999999731620304</v>
      </c>
    </row>
    <row r="698" spans="1:40" x14ac:dyDescent="0.25">
      <c r="A698" t="str">
        <f>"20190303153754832"</f>
        <v>20190303153754832</v>
      </c>
      <c r="B698" t="str">
        <f>"1551598674829486"</f>
        <v>1551598674829486</v>
      </c>
      <c r="C698" t="s">
        <v>40</v>
      </c>
      <c r="D698">
        <v>4.090554</v>
      </c>
      <c r="E698">
        <v>0.56498300000000001</v>
      </c>
      <c r="F698" t="s">
        <v>44</v>
      </c>
      <c r="G698">
        <v>-368.12549999999999</v>
      </c>
      <c r="H698">
        <v>0.93953819999999999</v>
      </c>
      <c r="I698">
        <v>367.45319999999998</v>
      </c>
      <c r="J698">
        <v>-368.75450000000001</v>
      </c>
      <c r="K698">
        <v>1.1199429999999999</v>
      </c>
      <c r="L698">
        <v>367.60660000000001</v>
      </c>
      <c r="M698">
        <v>0.99993719999999997</v>
      </c>
      <c r="N698">
        <v>-5.479622E-3</v>
      </c>
      <c r="O698">
        <v>-9.7859999999999996E-3</v>
      </c>
      <c r="P698">
        <v>0.99816850000000001</v>
      </c>
      <c r="Q698">
        <v>-6.0494739999999998E-2</v>
      </c>
      <c r="R698">
        <v>-5.1365779999999999E-4</v>
      </c>
      <c r="S698">
        <v>2.968842</v>
      </c>
      <c r="T698">
        <v>-0.60611250000000005</v>
      </c>
      <c r="U698">
        <v>-0.522644</v>
      </c>
      <c r="V698">
        <v>-9.2653639999999999E-3</v>
      </c>
      <c r="W698">
        <v>-5.5022670000000003E-2</v>
      </c>
      <c r="X698">
        <v>0.9984421</v>
      </c>
      <c r="Y698">
        <v>0.16061310000000001</v>
      </c>
      <c r="Z698">
        <v>-1.464589E-2</v>
      </c>
      <c r="AA698">
        <v>0.98690880000000003</v>
      </c>
      <c r="AB698">
        <v>37</v>
      </c>
      <c r="AC698">
        <v>0.62900000000001899</v>
      </c>
      <c r="AD698">
        <v>-0.1804048</v>
      </c>
      <c r="AE698">
        <v>-0.15340000000003301</v>
      </c>
      <c r="AF698">
        <v>0.13662886830731599</v>
      </c>
      <c r="AG698">
        <v>-0.1804048</v>
      </c>
      <c r="AH698">
        <v>0.58504622370802495</v>
      </c>
      <c r="AI698">
        <v>106.71397018186001</v>
      </c>
      <c r="AJ698">
        <v>76.8550109952143</v>
      </c>
      <c r="AK698">
        <v>0.62728974437097096</v>
      </c>
      <c r="AL698">
        <v>93.154159719373496</v>
      </c>
      <c r="AM698">
        <v>90.531679318320101</v>
      </c>
      <c r="AN698">
        <v>0.99999998411819502</v>
      </c>
    </row>
    <row r="699" spans="1:40" x14ac:dyDescent="0.25">
      <c r="A699" t="str">
        <f>"20190303153754844"</f>
        <v>20190303153754844</v>
      </c>
      <c r="B699" t="str">
        <f>"1551598674839246"</f>
        <v>1551598674839246</v>
      </c>
      <c r="C699" t="s">
        <v>40</v>
      </c>
      <c r="D699">
        <v>3.9534530000000001</v>
      </c>
      <c r="E699">
        <v>0.56538279999999996</v>
      </c>
      <c r="F699" t="s">
        <v>44</v>
      </c>
      <c r="G699">
        <v>-367.79730000000001</v>
      </c>
      <c r="H699">
        <v>0.92377900000000002</v>
      </c>
      <c r="I699">
        <v>367.43740000000003</v>
      </c>
      <c r="J699">
        <v>-368.55079999999998</v>
      </c>
      <c r="K699">
        <v>1.1200289999999999</v>
      </c>
      <c r="L699">
        <v>367.60449999999997</v>
      </c>
      <c r="M699">
        <v>0.99993410000000005</v>
      </c>
      <c r="N699">
        <v>-5.9641850000000003E-3</v>
      </c>
      <c r="O699">
        <v>-9.8091169999999991E-3</v>
      </c>
      <c r="P699">
        <v>0.99814519999999995</v>
      </c>
      <c r="Q699">
        <v>-6.0874690000000002E-2</v>
      </c>
      <c r="R699">
        <v>-6.5090679999999998E-4</v>
      </c>
      <c r="S699">
        <v>2.9683229999999998</v>
      </c>
      <c r="T699">
        <v>-0.60839509999999997</v>
      </c>
      <c r="U699">
        <v>-0.52426149999999905</v>
      </c>
      <c r="V699">
        <v>-9.1511509999999997E-3</v>
      </c>
      <c r="W699">
        <v>-5.4918950000000001E-2</v>
      </c>
      <c r="X699">
        <v>0.99844889999999997</v>
      </c>
      <c r="Y699">
        <v>0.16109899999999999</v>
      </c>
      <c r="Z699">
        <v>-1.4790070000000001E-2</v>
      </c>
      <c r="AA699">
        <v>0.98682740000000002</v>
      </c>
      <c r="AB699">
        <v>37</v>
      </c>
      <c r="AC699">
        <v>0.75349999999997397</v>
      </c>
      <c r="AD699">
        <v>-0.19625000000000001</v>
      </c>
      <c r="AE699">
        <v>-0.16709999999994801</v>
      </c>
      <c r="AF699">
        <v>0.15000224624028299</v>
      </c>
      <c r="AG699">
        <v>-0.19625000000000001</v>
      </c>
      <c r="AH699">
        <v>0.70924646548995296</v>
      </c>
      <c r="AI699">
        <v>105.147687422205</v>
      </c>
      <c r="AJ699">
        <v>78.058193576628</v>
      </c>
      <c r="AK699">
        <v>0.75102948356713695</v>
      </c>
      <c r="AL699">
        <v>93.148207887865397</v>
      </c>
      <c r="AM699">
        <v>90.525122166001196</v>
      </c>
      <c r="AN699">
        <v>1.0000000202724599</v>
      </c>
    </row>
    <row r="700" spans="1:40" x14ac:dyDescent="0.25">
      <c r="A700" t="str">
        <f>"20190303153754855"</f>
        <v>20190303153754855</v>
      </c>
      <c r="B700" t="str">
        <f>"1551598674849980"</f>
        <v>1551598674849980</v>
      </c>
      <c r="C700" t="s">
        <v>40</v>
      </c>
      <c r="D700">
        <v>4.0515670000000004</v>
      </c>
      <c r="E700">
        <v>0.56537369999999898</v>
      </c>
      <c r="F700" t="s">
        <v>44</v>
      </c>
      <c r="G700">
        <v>-367.78100000000001</v>
      </c>
      <c r="H700">
        <v>0.96223309999999995</v>
      </c>
      <c r="I700">
        <v>367.46749999999997</v>
      </c>
      <c r="J700">
        <v>-368.35750000000002</v>
      </c>
      <c r="K700">
        <v>1.1201080000000001</v>
      </c>
      <c r="L700">
        <v>367.6026</v>
      </c>
      <c r="M700">
        <v>0.99993089999999996</v>
      </c>
      <c r="N700">
        <v>-6.4331229999999998E-3</v>
      </c>
      <c r="O700">
        <v>-9.8335990000000002E-3</v>
      </c>
      <c r="P700">
        <v>0.99812020000000001</v>
      </c>
      <c r="Q700">
        <v>-6.1285970000000002E-2</v>
      </c>
      <c r="R700">
        <v>-4.5051200000000003E-4</v>
      </c>
      <c r="S700">
        <v>2.9681090000000001</v>
      </c>
      <c r="T700">
        <v>-0.60843959999999997</v>
      </c>
      <c r="U700">
        <v>-0.52786250000000001</v>
      </c>
      <c r="V700">
        <v>-9.3754230000000008E-3</v>
      </c>
      <c r="W700">
        <v>-5.4862149999999998E-2</v>
      </c>
      <c r="X700">
        <v>0.9984499</v>
      </c>
      <c r="Y700">
        <v>0.1622162</v>
      </c>
      <c r="Z700">
        <v>-1.494502E-2</v>
      </c>
      <c r="AA700">
        <v>0.98664209999999997</v>
      </c>
      <c r="AB700">
        <v>37</v>
      </c>
      <c r="AC700">
        <v>0.57650000000001</v>
      </c>
      <c r="AD700">
        <v>-0.15787490000000001</v>
      </c>
      <c r="AE700">
        <v>-0.13510000000002201</v>
      </c>
      <c r="AF700">
        <v>0.120834169569288</v>
      </c>
      <c r="AG700">
        <v>-0.15787490000000001</v>
      </c>
      <c r="AH700">
        <v>0.53945105399017201</v>
      </c>
      <c r="AI700">
        <v>105.938376412745</v>
      </c>
      <c r="AJ700">
        <v>77.374453032062803</v>
      </c>
      <c r="AK700">
        <v>0.57491983809624903</v>
      </c>
      <c r="AL700">
        <v>93.144948705549496</v>
      </c>
      <c r="AM700">
        <v>90.537990320887999</v>
      </c>
      <c r="AN700">
        <v>0.99999997843453003</v>
      </c>
    </row>
    <row r="701" spans="1:40" x14ac:dyDescent="0.25">
      <c r="A701" t="str">
        <f>"20190303153754867"</f>
        <v>20190303153754867</v>
      </c>
      <c r="B701" t="str">
        <f>"1551598674859741"</f>
        <v>1551598674859741</v>
      </c>
      <c r="C701" t="s">
        <v>40</v>
      </c>
      <c r="D701">
        <v>4.0592160000000002</v>
      </c>
      <c r="E701">
        <v>0.56539799999999996</v>
      </c>
      <c r="F701" t="s">
        <v>44</v>
      </c>
      <c r="G701">
        <v>-367.45909999999998</v>
      </c>
      <c r="H701">
        <v>0.93463960000000001</v>
      </c>
      <c r="I701">
        <v>367.4425</v>
      </c>
      <c r="J701">
        <v>-368.16079999999999</v>
      </c>
      <c r="K701">
        <v>1.120187</v>
      </c>
      <c r="L701">
        <v>367.60059999999999</v>
      </c>
      <c r="M701">
        <v>0.99992749999999997</v>
      </c>
      <c r="N701">
        <v>-6.9163810000000001E-3</v>
      </c>
      <c r="O701">
        <v>-9.8603779999999995E-3</v>
      </c>
      <c r="P701">
        <v>0.99809820000000005</v>
      </c>
      <c r="Q701">
        <v>-6.1642620000000002E-2</v>
      </c>
      <c r="R701">
        <v>-5.6397249999999999E-4</v>
      </c>
      <c r="S701">
        <v>2.967743</v>
      </c>
      <c r="T701">
        <v>-0.61280440000000003</v>
      </c>
      <c r="U701">
        <v>-0.52713009999999905</v>
      </c>
      <c r="V701">
        <v>-9.2883619999999997E-3</v>
      </c>
      <c r="W701">
        <v>-5.4736479999999997E-2</v>
      </c>
      <c r="X701">
        <v>0.99845759999999995</v>
      </c>
      <c r="Y701">
        <v>0.16192670000000001</v>
      </c>
      <c r="Z701">
        <v>-1.5056959999999999E-2</v>
      </c>
      <c r="AA701">
        <v>0.98668789999999995</v>
      </c>
      <c r="AB701">
        <v>37</v>
      </c>
      <c r="AC701">
        <v>0.70170000000001598</v>
      </c>
      <c r="AD701">
        <v>-0.1855474</v>
      </c>
      <c r="AE701">
        <v>-0.15809999999999</v>
      </c>
      <c r="AF701">
        <v>0.141741254716854</v>
      </c>
      <c r="AG701">
        <v>-0.1855474</v>
      </c>
      <c r="AH701">
        <v>0.65934983420580395</v>
      </c>
      <c r="AI701">
        <v>105.38287355208099</v>
      </c>
      <c r="AJ701">
        <v>77.867694588844799</v>
      </c>
      <c r="AK701">
        <v>0.699471675482781</v>
      </c>
      <c r="AL701">
        <v>93.137737543638394</v>
      </c>
      <c r="AM701">
        <v>90.5329906749961</v>
      </c>
      <c r="AN701">
        <v>0.99999996745459596</v>
      </c>
    </row>
    <row r="702" spans="1:40" x14ac:dyDescent="0.25">
      <c r="A702" t="str">
        <f>"20190303153754879"</f>
        <v>20190303153754879</v>
      </c>
      <c r="B702" t="str">
        <f>"1551598674869501"</f>
        <v>1551598674869501</v>
      </c>
      <c r="C702" t="s">
        <v>40</v>
      </c>
      <c r="D702">
        <v>4.0685079999999996</v>
      </c>
      <c r="E702">
        <v>0.56538409999999995</v>
      </c>
      <c r="F702" t="s">
        <v>44</v>
      </c>
      <c r="G702">
        <v>-367.44299999999998</v>
      </c>
      <c r="H702">
        <v>0.97107019999999999</v>
      </c>
      <c r="I702">
        <v>367.47239999999999</v>
      </c>
      <c r="J702">
        <v>-367.96910000000003</v>
      </c>
      <c r="K702">
        <v>1.120252</v>
      </c>
      <c r="L702">
        <v>367.59870000000001</v>
      </c>
      <c r="M702">
        <v>0.99992409999999998</v>
      </c>
      <c r="N702">
        <v>-7.3755799999999996E-3</v>
      </c>
      <c r="O702">
        <v>-9.8895600000000004E-3</v>
      </c>
      <c r="P702">
        <v>0.99806680000000003</v>
      </c>
      <c r="Q702">
        <v>-6.2152119999999998E-2</v>
      </c>
      <c r="R702">
        <v>-5.3687590000000001E-4</v>
      </c>
      <c r="S702">
        <v>2.967346</v>
      </c>
      <c r="T702">
        <v>-0.61654109999999995</v>
      </c>
      <c r="U702">
        <v>-0.52792359999999905</v>
      </c>
      <c r="V702">
        <v>-9.3440390000000002E-3</v>
      </c>
      <c r="W702">
        <v>-5.4787719999999998E-2</v>
      </c>
      <c r="X702">
        <v>0.99845430000000002</v>
      </c>
      <c r="Y702">
        <v>0.16212489999999999</v>
      </c>
      <c r="Z702">
        <v>-1.520227E-2</v>
      </c>
      <c r="AA702">
        <v>0.98665309999999995</v>
      </c>
      <c r="AB702">
        <v>37</v>
      </c>
      <c r="AC702">
        <v>0.52609999999998502</v>
      </c>
      <c r="AD702">
        <v>-0.1491818</v>
      </c>
      <c r="AE702">
        <v>-0.12630000000001401</v>
      </c>
      <c r="AF702">
        <v>0.112535221703105</v>
      </c>
      <c r="AG702">
        <v>-0.1491818</v>
      </c>
      <c r="AH702">
        <v>0.49006578531737699</v>
      </c>
      <c r="AI702">
        <v>106.52508868171699</v>
      </c>
      <c r="AJ702">
        <v>77.067214251308798</v>
      </c>
      <c r="AK702">
        <v>0.52448437489952404</v>
      </c>
      <c r="AL702">
        <v>93.140677697826604</v>
      </c>
      <c r="AM702">
        <v>90.536187153972705</v>
      </c>
      <c r="AN702">
        <v>0.99999999725806099</v>
      </c>
    </row>
    <row r="703" spans="1:40" x14ac:dyDescent="0.25">
      <c r="A703" t="str">
        <f>"20190303153754892"</f>
        <v>20190303153754892</v>
      </c>
      <c r="B703" t="str">
        <f>"1551598674889997"</f>
        <v>1551598674889997</v>
      </c>
      <c r="C703" t="s">
        <v>40</v>
      </c>
      <c r="D703">
        <v>4.0918279999999996</v>
      </c>
      <c r="E703">
        <v>0.5653416</v>
      </c>
      <c r="F703" t="s">
        <v>44</v>
      </c>
      <c r="G703">
        <v>-367.12200000000001</v>
      </c>
      <c r="H703">
        <v>0.94312739999999995</v>
      </c>
      <c r="I703">
        <v>367.44779999999997</v>
      </c>
      <c r="J703">
        <v>-367.7561</v>
      </c>
      <c r="K703">
        <v>1.120322</v>
      </c>
      <c r="L703">
        <v>367.59649999999999</v>
      </c>
      <c r="M703">
        <v>0.99991980000000003</v>
      </c>
      <c r="N703">
        <v>-7.8763569999999901E-3</v>
      </c>
      <c r="O703">
        <v>-9.9227020000000003E-3</v>
      </c>
      <c r="P703">
        <v>0.99804199999999998</v>
      </c>
      <c r="Q703">
        <v>-6.2548359999999997E-2</v>
      </c>
      <c r="R703">
        <v>-3.6637950000000002E-4</v>
      </c>
      <c r="S703">
        <v>2.966888</v>
      </c>
      <c r="T703">
        <v>-0.62044940000000004</v>
      </c>
      <c r="U703">
        <v>-0.52816770000000002</v>
      </c>
      <c r="V703">
        <v>-9.5469130000000006E-3</v>
      </c>
      <c r="W703">
        <v>-5.4684169999999997E-2</v>
      </c>
      <c r="X703">
        <v>0.99845810000000002</v>
      </c>
      <c r="Y703">
        <v>0.1621464</v>
      </c>
      <c r="Z703">
        <v>-1.5336560000000001E-2</v>
      </c>
      <c r="AA703">
        <v>0.98664750000000001</v>
      </c>
      <c r="AB703">
        <v>37</v>
      </c>
      <c r="AC703">
        <v>0.63410000000004596</v>
      </c>
      <c r="AD703">
        <v>-0.17719460000000001</v>
      </c>
      <c r="AE703">
        <v>-0.14870000000001901</v>
      </c>
      <c r="AF703">
        <v>0.132586726319499</v>
      </c>
      <c r="AG703">
        <v>-0.17719460000000001</v>
      </c>
      <c r="AH703">
        <v>0.591744714374702</v>
      </c>
      <c r="AI703">
        <v>106.28833487893699</v>
      </c>
      <c r="AJ703">
        <v>77.3708522706591</v>
      </c>
      <c r="AK703">
        <v>0.63177446391546999</v>
      </c>
      <c r="AL703">
        <v>93.134735678888205</v>
      </c>
      <c r="AM703">
        <v>90.547825846057506</v>
      </c>
      <c r="AN703">
        <v>1.00000003972601</v>
      </c>
    </row>
    <row r="704" spans="1:40" x14ac:dyDescent="0.25">
      <c r="A704" t="str">
        <f>"20190303153754904"</f>
        <v>20190303153754904</v>
      </c>
      <c r="B704" t="str">
        <f>"1551598674899758"</f>
        <v>1551598674899758</v>
      </c>
      <c r="C704" t="s">
        <v>40</v>
      </c>
      <c r="D704">
        <v>4.0489439999999997</v>
      </c>
      <c r="E704">
        <v>0.56535740000000001</v>
      </c>
      <c r="F704" t="s">
        <v>44</v>
      </c>
      <c r="G704">
        <v>-366.7989</v>
      </c>
      <c r="H704">
        <v>0.91856839999999995</v>
      </c>
      <c r="I704">
        <v>367.42610000000002</v>
      </c>
      <c r="J704">
        <v>-367.54230000000001</v>
      </c>
      <c r="K704">
        <v>1.120377</v>
      </c>
      <c r="L704">
        <v>367.59440000000001</v>
      </c>
      <c r="M704">
        <v>0.99991549999999996</v>
      </c>
      <c r="N704">
        <v>-8.3543469999999998E-3</v>
      </c>
      <c r="O704">
        <v>-9.9569480000000002E-3</v>
      </c>
      <c r="P704">
        <v>0.9980137</v>
      </c>
      <c r="Q704">
        <v>-6.2997590000000006E-2</v>
      </c>
      <c r="R704">
        <v>-3.1223299999999998E-4</v>
      </c>
      <c r="S704">
        <v>2.9664920000000001</v>
      </c>
      <c r="T704">
        <v>-0.62528249999999996</v>
      </c>
      <c r="U704">
        <v>-0.52734380000000003</v>
      </c>
      <c r="V704">
        <v>-9.6345289999999993E-3</v>
      </c>
      <c r="W704">
        <v>-5.4656379999999997E-2</v>
      </c>
      <c r="X704">
        <v>0.99845870000000003</v>
      </c>
      <c r="Y704">
        <v>0.16181699999999999</v>
      </c>
      <c r="Z704">
        <v>-1.5452169999999999E-2</v>
      </c>
      <c r="AA704">
        <v>0.98669980000000002</v>
      </c>
      <c r="AB704">
        <v>37</v>
      </c>
      <c r="AC704">
        <v>0.74340000000000805</v>
      </c>
      <c r="AD704">
        <v>-0.20180859999999901</v>
      </c>
      <c r="AE704">
        <v>-0.16829999999998699</v>
      </c>
      <c r="AF704">
        <v>0.15034967753204601</v>
      </c>
      <c r="AG704">
        <v>-0.20180859999999901</v>
      </c>
      <c r="AH704">
        <v>0.69623210245863598</v>
      </c>
      <c r="AI704">
        <v>105.81887087959301</v>
      </c>
      <c r="AJ704">
        <v>77.814233255291001</v>
      </c>
      <c r="AK704">
        <v>0.74031809181048902</v>
      </c>
      <c r="AL704">
        <v>93.133141295025993</v>
      </c>
      <c r="AM704">
        <v>90.552852829350201</v>
      </c>
      <c r="AN704">
        <v>0.99999995981472201</v>
      </c>
    </row>
    <row r="705" spans="1:40" x14ac:dyDescent="0.25">
      <c r="A705" t="str">
        <f>"20190303153754922"</f>
        <v>20190303153754922</v>
      </c>
      <c r="B705" t="str">
        <f>"1551598674909517"</f>
        <v>1551598674909517</v>
      </c>
      <c r="C705" t="s">
        <v>40</v>
      </c>
      <c r="D705">
        <v>4.0323549999999999</v>
      </c>
      <c r="E705">
        <v>0.56530659999999999</v>
      </c>
      <c r="F705" t="s">
        <v>44</v>
      </c>
      <c r="G705">
        <v>-366.78160000000003</v>
      </c>
      <c r="H705">
        <v>0.95923999999999998</v>
      </c>
      <c r="I705">
        <v>367.459</v>
      </c>
      <c r="J705">
        <v>-367.25659999999999</v>
      </c>
      <c r="K705">
        <v>1.1204369999999999</v>
      </c>
      <c r="L705">
        <v>367.5915</v>
      </c>
      <c r="M705">
        <v>0.99990990000000002</v>
      </c>
      <c r="N705">
        <v>-8.9573389999999999E-3</v>
      </c>
      <c r="O705">
        <v>-1.000201E-2</v>
      </c>
      <c r="P705">
        <v>0.99797800000000003</v>
      </c>
      <c r="Q705">
        <v>-6.3561519999999996E-2</v>
      </c>
      <c r="R705" s="1">
        <v>-4.0581219999999998E-5</v>
      </c>
      <c r="S705">
        <v>2.9661559999999998</v>
      </c>
      <c r="T705">
        <v>-0.6284343</v>
      </c>
      <c r="U705">
        <v>-0.5270996</v>
      </c>
      <c r="V705">
        <v>-9.9506820000000006E-3</v>
      </c>
      <c r="W705">
        <v>-5.4618529999999998E-2</v>
      </c>
      <c r="X705">
        <v>0.9984577</v>
      </c>
      <c r="Y705">
        <v>0.1616716</v>
      </c>
      <c r="Z705">
        <v>-1.555726E-2</v>
      </c>
      <c r="AA705">
        <v>0.98672199999999999</v>
      </c>
      <c r="AB705">
        <v>37</v>
      </c>
      <c r="AC705">
        <v>0.47499999999996501</v>
      </c>
      <c r="AD705">
        <v>-0.16119700000000001</v>
      </c>
      <c r="AE705">
        <v>-0.13249999999999301</v>
      </c>
      <c r="AF705">
        <v>0.115410364993262</v>
      </c>
      <c r="AG705">
        <v>-0.16119700000000001</v>
      </c>
      <c r="AH705">
        <v>0.43032079603137102</v>
      </c>
      <c r="AI705">
        <v>109.890673240418</v>
      </c>
      <c r="AJ705">
        <v>74.986800992569599</v>
      </c>
      <c r="AK705">
        <v>0.47379321718862899</v>
      </c>
      <c r="AL705">
        <v>93.130969313062906</v>
      </c>
      <c r="AM705">
        <v>90.570993851226405</v>
      </c>
      <c r="AN705">
        <v>0.99999998929045797</v>
      </c>
    </row>
    <row r="706" spans="1:40" x14ac:dyDescent="0.25">
      <c r="A706" t="str">
        <f>"20190303153754937"</f>
        <v>20190303153754937</v>
      </c>
      <c r="B706" t="str">
        <f>"1551598674930013"</f>
        <v>1551598674930013</v>
      </c>
      <c r="C706" t="s">
        <v>40</v>
      </c>
      <c r="D706">
        <v>3.95329</v>
      </c>
      <c r="E706">
        <v>0.56558120000000001</v>
      </c>
      <c r="F706" t="s">
        <v>44</v>
      </c>
      <c r="G706">
        <v>-366.45330000000001</v>
      </c>
      <c r="H706">
        <v>0.94935910000000001</v>
      </c>
      <c r="I706">
        <v>367.44880000000001</v>
      </c>
      <c r="J706">
        <v>-367.0016</v>
      </c>
      <c r="K706">
        <v>1.1204799999999999</v>
      </c>
      <c r="L706">
        <v>367.58890000000002</v>
      </c>
      <c r="M706">
        <v>0.99990500000000004</v>
      </c>
      <c r="N706">
        <v>-9.4609559999999995E-3</v>
      </c>
      <c r="O706">
        <v>-1.00407E-2</v>
      </c>
      <c r="P706">
        <v>0.997942</v>
      </c>
      <c r="Q706">
        <v>-6.4127379999999998E-2</v>
      </c>
      <c r="R706" s="1">
        <v>-5.6536519999999903E-5</v>
      </c>
      <c r="S706">
        <v>2.9658509999999998</v>
      </c>
      <c r="T706">
        <v>-0.63174569999999997</v>
      </c>
      <c r="U706">
        <v>-0.52606200000000003</v>
      </c>
      <c r="V706">
        <v>-9.9734990000000003E-3</v>
      </c>
      <c r="W706">
        <v>-5.4681830000000001E-2</v>
      </c>
      <c r="X706">
        <v>0.99845399999999995</v>
      </c>
      <c r="Y706">
        <v>0.16128020000000001</v>
      </c>
      <c r="Z706">
        <v>-1.5631119999999998E-2</v>
      </c>
      <c r="AA706">
        <v>0.98678489999999996</v>
      </c>
      <c r="AB706">
        <v>37</v>
      </c>
      <c r="AC706">
        <v>0.54829999999998302</v>
      </c>
      <c r="AD706">
        <v>-0.17112089999999899</v>
      </c>
      <c r="AE706">
        <v>-0.14010000000001799</v>
      </c>
      <c r="AF706">
        <v>0.123312558770171</v>
      </c>
      <c r="AG706">
        <v>-0.17112089999999899</v>
      </c>
      <c r="AH706">
        <v>0.50363073638726497</v>
      </c>
      <c r="AI706">
        <v>108.26423158837601</v>
      </c>
      <c r="AJ706">
        <v>76.241960462523807</v>
      </c>
      <c r="AK706">
        <v>0.54601489741694398</v>
      </c>
      <c r="AL706">
        <v>93.134601588044802</v>
      </c>
      <c r="AM706">
        <v>90.572305178745594</v>
      </c>
      <c r="AN706">
        <v>0.99999998166522497</v>
      </c>
    </row>
    <row r="707" spans="1:40" x14ac:dyDescent="0.25">
      <c r="A707" t="str">
        <f>"20190303153754950"</f>
        <v>20190303153754950</v>
      </c>
      <c r="B707" t="str">
        <f>"1551598674939774"</f>
        <v>1551598674939774</v>
      </c>
      <c r="C707" t="s">
        <v>40</v>
      </c>
      <c r="D707">
        <v>4.0733040000000003</v>
      </c>
      <c r="E707">
        <v>0.56552709999999995</v>
      </c>
      <c r="F707" t="s">
        <v>44</v>
      </c>
      <c r="G707">
        <v>-366.12790000000001</v>
      </c>
      <c r="H707">
        <v>0.93378450000000002</v>
      </c>
      <c r="I707">
        <v>367.43310000000002</v>
      </c>
      <c r="J707">
        <v>-366.7876</v>
      </c>
      <c r="K707">
        <v>1.1205099999999999</v>
      </c>
      <c r="L707">
        <v>367.58670000000001</v>
      </c>
      <c r="M707">
        <v>0.99990069999999998</v>
      </c>
      <c r="N707">
        <v>-9.8633579999999992E-3</v>
      </c>
      <c r="O707">
        <v>-1.007223E-2</v>
      </c>
      <c r="P707">
        <v>0.99791129999999995</v>
      </c>
      <c r="Q707">
        <v>-6.4601560000000002E-2</v>
      </c>
      <c r="R707">
        <v>1.9740639999999999E-4</v>
      </c>
      <c r="S707">
        <v>2.9654240000000001</v>
      </c>
      <c r="T707">
        <v>-0.63370660000000001</v>
      </c>
      <c r="U707">
        <v>-0.52825929999999999</v>
      </c>
      <c r="V707">
        <v>-1.025817E-2</v>
      </c>
      <c r="W707">
        <v>-5.4754450000000003E-2</v>
      </c>
      <c r="X707">
        <v>0.99844719999999998</v>
      </c>
      <c r="Y707">
        <v>0.16193879999999999</v>
      </c>
      <c r="Z707">
        <v>-1.5780289999999999E-2</v>
      </c>
      <c r="AA707">
        <v>0.98667459999999996</v>
      </c>
      <c r="AB707">
        <v>37</v>
      </c>
      <c r="AC707">
        <v>0.65969999999998596</v>
      </c>
      <c r="AD707">
        <v>-0.18672549999999999</v>
      </c>
      <c r="AE707">
        <v>-0.153599999999983</v>
      </c>
      <c r="AF707">
        <v>0.136568660595179</v>
      </c>
      <c r="AG707">
        <v>-0.18672549999999999</v>
      </c>
      <c r="AH707">
        <v>0.61451356884981501</v>
      </c>
      <c r="AI707">
        <v>106.5215271494</v>
      </c>
      <c r="AJ707">
        <v>77.470295820974897</v>
      </c>
      <c r="AK707">
        <v>0.65661582200518698</v>
      </c>
      <c r="AL707">
        <v>93.138768449938098</v>
      </c>
      <c r="AM707">
        <v>90.588643212526705</v>
      </c>
      <c r="AN707">
        <v>1.00000004551719</v>
      </c>
    </row>
    <row r="708" spans="1:40" x14ac:dyDescent="0.25">
      <c r="A708" t="str">
        <f>"20190303153754968"</f>
        <v>20190303153754968</v>
      </c>
      <c r="B708" t="str">
        <f>"1551598674959294"</f>
        <v>1551598674959294</v>
      </c>
      <c r="C708" t="s">
        <v>40</v>
      </c>
      <c r="D708">
        <v>4.0186929999999998</v>
      </c>
      <c r="E708">
        <v>0.56552349999999996</v>
      </c>
      <c r="F708" t="s">
        <v>44</v>
      </c>
      <c r="G708">
        <v>-365.80549999999999</v>
      </c>
      <c r="H708">
        <v>0.90973369999999998</v>
      </c>
      <c r="I708">
        <v>367.41219999999998</v>
      </c>
      <c r="J708">
        <v>-366.495</v>
      </c>
      <c r="K708">
        <v>1.1205400000000001</v>
      </c>
      <c r="L708">
        <v>367.5838</v>
      </c>
      <c r="M708">
        <v>0.99989519999999998</v>
      </c>
      <c r="N708">
        <v>-1.036664E-2</v>
      </c>
      <c r="O708">
        <v>-1.011307E-2</v>
      </c>
      <c r="P708">
        <v>0.99790630000000002</v>
      </c>
      <c r="Q708">
        <v>-6.4674949999999995E-2</v>
      </c>
      <c r="R708">
        <v>6.973557E-4</v>
      </c>
      <c r="S708">
        <v>2.9651489999999998</v>
      </c>
      <c r="T708">
        <v>-0.636304599999999</v>
      </c>
      <c r="U708">
        <v>-0.52719119999999997</v>
      </c>
      <c r="V708">
        <v>-1.0798790000000001E-2</v>
      </c>
      <c r="W708">
        <v>-5.4325289999999998E-2</v>
      </c>
      <c r="X708">
        <v>0.99846489999999999</v>
      </c>
      <c r="Y708">
        <v>0.161541299999999</v>
      </c>
      <c r="Z708">
        <v>-1.5836159999999998E-2</v>
      </c>
      <c r="AA708">
        <v>0.98673889999999997</v>
      </c>
      <c r="AB708">
        <v>37</v>
      </c>
      <c r="AC708">
        <v>0.68950000000000899</v>
      </c>
      <c r="AD708">
        <v>-0.210806299999999</v>
      </c>
      <c r="AE708">
        <v>-0.17160000000001199</v>
      </c>
      <c r="AF708">
        <v>0.15129992868837799</v>
      </c>
      <c r="AG708">
        <v>-0.210806299999999</v>
      </c>
      <c r="AH708">
        <v>0.63528057167149499</v>
      </c>
      <c r="AI708">
        <v>107.89024340400999</v>
      </c>
      <c r="AJ708">
        <v>76.603862095787093</v>
      </c>
      <c r="AK708">
        <v>0.68623055111533704</v>
      </c>
      <c r="AL708">
        <v>93.114142871220395</v>
      </c>
      <c r="AM708">
        <v>90.619652195974894</v>
      </c>
      <c r="AN708">
        <v>1.0000000037655199</v>
      </c>
    </row>
    <row r="709" spans="1:40" x14ac:dyDescent="0.25">
      <c r="A709" t="str">
        <f>"20190303153754980"</f>
        <v>20190303153754980</v>
      </c>
      <c r="B709" t="str">
        <f>"1551598674970030"</f>
        <v>1551598674970030</v>
      </c>
      <c r="C709" t="s">
        <v>40</v>
      </c>
      <c r="D709">
        <v>3.8874919999999999</v>
      </c>
      <c r="E709">
        <v>0.56577709999999903</v>
      </c>
      <c r="F709" t="s">
        <v>44</v>
      </c>
      <c r="G709">
        <v>-365.78120000000001</v>
      </c>
      <c r="H709">
        <v>0.96657539999999997</v>
      </c>
      <c r="I709">
        <v>367.45729999999998</v>
      </c>
      <c r="J709">
        <v>-366.2937</v>
      </c>
      <c r="K709">
        <v>1.1205560000000001</v>
      </c>
      <c r="L709">
        <v>367.58170000000001</v>
      </c>
      <c r="M709">
        <v>0.99989150000000004</v>
      </c>
      <c r="N709">
        <v>-1.068318E-2</v>
      </c>
      <c r="O709">
        <v>-1.0140619999999999E-2</v>
      </c>
      <c r="P709">
        <v>0.99789000000000005</v>
      </c>
      <c r="Q709">
        <v>-6.4919379999999999E-2</v>
      </c>
      <c r="R709">
        <v>1.0631379999999999E-3</v>
      </c>
      <c r="S709">
        <v>2.9652099999999999</v>
      </c>
      <c r="T709">
        <v>-0.63954849999999996</v>
      </c>
      <c r="U709">
        <v>-0.52569580000000005</v>
      </c>
      <c r="V709">
        <v>-1.1192570000000001E-2</v>
      </c>
      <c r="W709">
        <v>-5.4253780000000001E-2</v>
      </c>
      <c r="X709">
        <v>0.99846449999999998</v>
      </c>
      <c r="Y709">
        <v>0.16100020000000001</v>
      </c>
      <c r="Z709">
        <v>-1.587423E-2</v>
      </c>
      <c r="AA709">
        <v>0.98682669999999995</v>
      </c>
      <c r="AB709">
        <v>37</v>
      </c>
      <c r="AC709">
        <v>0.51249999999998797</v>
      </c>
      <c r="AD709">
        <v>-0.153980599999999</v>
      </c>
      <c r="AE709">
        <v>-0.124400000000036</v>
      </c>
      <c r="AF709">
        <v>0.109833229961836</v>
      </c>
      <c r="AG709">
        <v>-0.153980599999999</v>
      </c>
      <c r="AH709">
        <v>0.47338068912910702</v>
      </c>
      <c r="AI709">
        <v>107.581409796561</v>
      </c>
      <c r="AJ709">
        <v>76.937425567122006</v>
      </c>
      <c r="AK709">
        <v>0.50976724141568597</v>
      </c>
      <c r="AL709">
        <v>93.110039448480507</v>
      </c>
      <c r="AM709">
        <v>90.642246332963595</v>
      </c>
      <c r="AN709">
        <v>1.0000000520138701</v>
      </c>
    </row>
    <row r="710" spans="1:40" x14ac:dyDescent="0.25">
      <c r="A710" t="str">
        <f>"20190303153754993"</f>
        <v>20190303153754993</v>
      </c>
      <c r="B710" t="str">
        <f>"1551598674989549"</f>
        <v>1551598674989549</v>
      </c>
      <c r="C710" t="s">
        <v>40</v>
      </c>
      <c r="D710">
        <v>3.8892449999999998</v>
      </c>
      <c r="E710">
        <v>0.56598729999999997</v>
      </c>
      <c r="F710" t="s">
        <v>44</v>
      </c>
      <c r="G710">
        <v>-365.46109999999999</v>
      </c>
      <c r="H710">
        <v>0.94127669999999997</v>
      </c>
      <c r="I710">
        <v>367.43349999999998</v>
      </c>
      <c r="J710">
        <v>-366.072</v>
      </c>
      <c r="K710">
        <v>1.1205719999999999</v>
      </c>
      <c r="L710">
        <v>367.57940000000002</v>
      </c>
      <c r="M710">
        <v>0.99988770000000005</v>
      </c>
      <c r="N710">
        <v>-1.101627E-2</v>
      </c>
      <c r="O710">
        <v>-1.0171299999999999E-2</v>
      </c>
      <c r="P710">
        <v>0.99786129999999995</v>
      </c>
      <c r="Q710">
        <v>-6.5356659999999997E-2</v>
      </c>
      <c r="R710">
        <v>1.2813939999999999E-3</v>
      </c>
      <c r="S710">
        <v>2.9653930000000002</v>
      </c>
      <c r="T710">
        <v>-0.63860309999999998</v>
      </c>
      <c r="U710">
        <v>-0.52688599999999997</v>
      </c>
      <c r="V710">
        <v>-1.144103E-2</v>
      </c>
      <c r="W710">
        <v>-5.4358700000000003E-2</v>
      </c>
      <c r="X710">
        <v>0.99845589999999995</v>
      </c>
      <c r="Y710">
        <v>0.16134039999999999</v>
      </c>
      <c r="Z710">
        <v>-1.5913679999999999E-2</v>
      </c>
      <c r="AA710">
        <v>0.98677049999999999</v>
      </c>
      <c r="AB710">
        <v>37</v>
      </c>
      <c r="AC710">
        <v>0.61089999999995803</v>
      </c>
      <c r="AD710">
        <v>-0.17929529999999899</v>
      </c>
      <c r="AE710">
        <v>-0.14590000000004</v>
      </c>
      <c r="AF710">
        <v>0.12915364188098299</v>
      </c>
      <c r="AG710">
        <v>-0.17929529999999899</v>
      </c>
      <c r="AH710">
        <v>0.56621164451198303</v>
      </c>
      <c r="AI710">
        <v>107.156921053503</v>
      </c>
      <c r="AJ710">
        <v>77.1505971646652</v>
      </c>
      <c r="AK710">
        <v>0.60780185438527201</v>
      </c>
      <c r="AL710">
        <v>93.116060046151304</v>
      </c>
      <c r="AM710">
        <v>90.656507757614406</v>
      </c>
      <c r="AN710">
        <v>0.99999997483897995</v>
      </c>
    </row>
    <row r="711" spans="1:40" x14ac:dyDescent="0.25">
      <c r="A711" t="str">
        <f>"20190303153755006"</f>
        <v>20190303153755006</v>
      </c>
      <c r="B711" t="str">
        <f>"1551598674999309"</f>
        <v>1551598674999309</v>
      </c>
      <c r="C711" t="s">
        <v>40</v>
      </c>
      <c r="D711">
        <v>4.0302809999999996</v>
      </c>
      <c r="E711">
        <v>0.56594040000000001</v>
      </c>
      <c r="F711" t="s">
        <v>44</v>
      </c>
      <c r="G711">
        <v>-365.13900000000001</v>
      </c>
      <c r="H711">
        <v>0.91942049999999997</v>
      </c>
      <c r="I711">
        <v>367.4135</v>
      </c>
      <c r="J711">
        <v>-365.85579999999999</v>
      </c>
      <c r="K711">
        <v>1.1205830000000001</v>
      </c>
      <c r="L711">
        <v>367.5772</v>
      </c>
      <c r="M711">
        <v>0.99988390000000005</v>
      </c>
      <c r="N711">
        <v>-1.1317000000000001E-2</v>
      </c>
      <c r="O711">
        <v>-1.020124E-2</v>
      </c>
      <c r="P711">
        <v>0.99785020000000002</v>
      </c>
      <c r="Q711">
        <v>-6.5517309999999995E-2</v>
      </c>
      <c r="R711">
        <v>1.57986E-3</v>
      </c>
      <c r="S711">
        <v>2.965271</v>
      </c>
      <c r="T711">
        <v>-0.639293</v>
      </c>
      <c r="U711">
        <v>-0.52752690000000002</v>
      </c>
      <c r="V711">
        <v>-1.1769150000000001E-2</v>
      </c>
      <c r="W711">
        <v>-5.4219150000000001E-2</v>
      </c>
      <c r="X711">
        <v>0.99845969999999995</v>
      </c>
      <c r="Y711">
        <v>0.16150780000000001</v>
      </c>
      <c r="Z711">
        <v>-1.5970209999999999E-2</v>
      </c>
      <c r="AA711">
        <v>0.98674220000000001</v>
      </c>
      <c r="AB711">
        <v>37</v>
      </c>
      <c r="AC711">
        <v>0.71679999999997701</v>
      </c>
      <c r="AD711">
        <v>-0.20116249999999899</v>
      </c>
      <c r="AE711">
        <v>-0.16370000000000501</v>
      </c>
      <c r="AF711">
        <v>0.14548830551941899</v>
      </c>
      <c r="AG711">
        <v>-0.20116249999999899</v>
      </c>
      <c r="AH711">
        <v>0.66839998342141604</v>
      </c>
      <c r="AI711">
        <v>106.387313335504</v>
      </c>
      <c r="AJ711">
        <v>77.720169435011499</v>
      </c>
      <c r="AK711">
        <v>0.713015943921951</v>
      </c>
      <c r="AL711">
        <v>93.1080525302647</v>
      </c>
      <c r="AM711">
        <v>90.675331609077702</v>
      </c>
      <c r="AN711">
        <v>1.0000000008212599</v>
      </c>
    </row>
    <row r="712" spans="1:40" x14ac:dyDescent="0.25">
      <c r="A712" t="str">
        <f>"20190303153755022"</f>
        <v>20190303153755022</v>
      </c>
      <c r="B712" t="str">
        <f>"1551598675010045"</f>
        <v>1551598675010045</v>
      </c>
      <c r="C712" t="s">
        <v>40</v>
      </c>
      <c r="D712">
        <v>4.029865</v>
      </c>
      <c r="E712">
        <v>0.56587639999999995</v>
      </c>
      <c r="F712" t="s">
        <v>44</v>
      </c>
      <c r="G712">
        <v>-365.1207</v>
      </c>
      <c r="H712">
        <v>0.96178830000000004</v>
      </c>
      <c r="I712">
        <v>367.44690000000003</v>
      </c>
      <c r="J712">
        <v>-365.59969999999998</v>
      </c>
      <c r="K712">
        <v>1.1205909999999999</v>
      </c>
      <c r="L712">
        <v>367.5745</v>
      </c>
      <c r="M712">
        <v>0.99987990000000004</v>
      </c>
      <c r="N712">
        <v>-1.164196E-2</v>
      </c>
      <c r="O712">
        <v>-1.0237690000000001E-2</v>
      </c>
      <c r="P712">
        <v>0.99781750000000002</v>
      </c>
      <c r="Q712">
        <v>-6.6010479999999996E-2</v>
      </c>
      <c r="R712">
        <v>1.74467E-3</v>
      </c>
      <c r="S712">
        <v>2.965271</v>
      </c>
      <c r="T712">
        <v>-0.64054800000000001</v>
      </c>
      <c r="U712">
        <v>-0.52603149999999999</v>
      </c>
      <c r="V712">
        <v>-1.196996E-2</v>
      </c>
      <c r="W712">
        <v>-5.4388180000000001E-2</v>
      </c>
      <c r="X712">
        <v>0.99844809999999995</v>
      </c>
      <c r="Y712">
        <v>0.1609824</v>
      </c>
      <c r="Z712">
        <v>-1.5963419999999999E-2</v>
      </c>
      <c r="AA712">
        <v>0.98682820000000004</v>
      </c>
      <c r="AB712">
        <v>37</v>
      </c>
      <c r="AC712">
        <v>0.47899999999998399</v>
      </c>
      <c r="AD712">
        <v>-0.15880269999999899</v>
      </c>
      <c r="AE712">
        <v>-0.12759999999997201</v>
      </c>
      <c r="AF712">
        <v>0.11126962842992601</v>
      </c>
      <c r="AG712">
        <v>-0.15880269999999899</v>
      </c>
      <c r="AH712">
        <v>0.435578315550257</v>
      </c>
      <c r="AI712">
        <v>109.45504071251401</v>
      </c>
      <c r="AJ712">
        <v>75.670100124129704</v>
      </c>
      <c r="AK712">
        <v>0.47678894357548102</v>
      </c>
      <c r="AL712">
        <v>93.117751608236702</v>
      </c>
      <c r="AM712">
        <v>90.6868612747421</v>
      </c>
      <c r="AN712">
        <v>0.999999981229861</v>
      </c>
    </row>
    <row r="713" spans="1:40" x14ac:dyDescent="0.25">
      <c r="A713" t="str">
        <f>"20190303153755035"</f>
        <v>20190303153755035</v>
      </c>
      <c r="B713" t="str">
        <f>"1551598675029567"</f>
        <v>1551598675029567</v>
      </c>
      <c r="C713" t="s">
        <v>40</v>
      </c>
      <c r="D713">
        <v>4.055949</v>
      </c>
      <c r="E713">
        <v>0.56578980000000001</v>
      </c>
      <c r="F713" t="s">
        <v>44</v>
      </c>
      <c r="G713">
        <v>-364.79680000000002</v>
      </c>
      <c r="H713">
        <v>0.9467527</v>
      </c>
      <c r="I713">
        <v>367.43209999999999</v>
      </c>
      <c r="J713">
        <v>-365.38979999999998</v>
      </c>
      <c r="K713">
        <v>1.1205969999999901</v>
      </c>
      <c r="L713">
        <v>367.57240000000002</v>
      </c>
      <c r="M713">
        <v>0.99987669999999995</v>
      </c>
      <c r="N713">
        <v>-1.189028E-2</v>
      </c>
      <c r="O713">
        <v>-1.0267999999999999E-2</v>
      </c>
      <c r="P713">
        <v>0.99780150000000001</v>
      </c>
      <c r="Q713">
        <v>-6.6249619999999995E-2</v>
      </c>
      <c r="R713">
        <v>1.8103609999999999E-3</v>
      </c>
      <c r="S713">
        <v>2.9649960000000002</v>
      </c>
      <c r="T713">
        <v>-0.64205610000000002</v>
      </c>
      <c r="U713">
        <v>-0.52551269999999894</v>
      </c>
      <c r="V713">
        <v>-1.2065660000000001E-2</v>
      </c>
      <c r="W713">
        <v>-5.4379539999999997E-2</v>
      </c>
      <c r="X713">
        <v>0.99844739999999998</v>
      </c>
      <c r="Y713">
        <v>0.16078410000000001</v>
      </c>
      <c r="Z713">
        <v>-1.5993830000000001E-2</v>
      </c>
      <c r="AA713">
        <v>0.98685999999999996</v>
      </c>
      <c r="AB713">
        <v>37</v>
      </c>
      <c r="AC713">
        <v>0.59299999999996</v>
      </c>
      <c r="AD713">
        <v>-0.17384429999999901</v>
      </c>
      <c r="AE713">
        <v>-0.14030000000002399</v>
      </c>
      <c r="AF713">
        <v>0.124102839520562</v>
      </c>
      <c r="AG713">
        <v>-0.17384429999999901</v>
      </c>
      <c r="AH713">
        <v>0.54967297340118704</v>
      </c>
      <c r="AI713">
        <v>107.14517173577001</v>
      </c>
      <c r="AJ713">
        <v>77.277316897271305</v>
      </c>
      <c r="AK713">
        <v>0.58971495920254502</v>
      </c>
      <c r="AL713">
        <v>93.117255897310102</v>
      </c>
      <c r="AM713">
        <v>90.692352693293699</v>
      </c>
      <c r="AN713">
        <v>0.99999996254430201</v>
      </c>
    </row>
    <row r="714" spans="1:40" x14ac:dyDescent="0.25">
      <c r="A714" t="str">
        <f>"20190303153755045"</f>
        <v>20190303153755045</v>
      </c>
      <c r="B714" t="str">
        <f>"1551598675039325"</f>
        <v>1551598675039325</v>
      </c>
      <c r="C714" t="s">
        <v>40</v>
      </c>
      <c r="D714">
        <v>4.0106599999999997</v>
      </c>
      <c r="E714">
        <v>0.56575450000000005</v>
      </c>
      <c r="F714" t="s">
        <v>44</v>
      </c>
      <c r="G714">
        <v>-364.47699999999998</v>
      </c>
      <c r="H714">
        <v>0.92236589999999996</v>
      </c>
      <c r="I714">
        <v>367.41070000000002</v>
      </c>
      <c r="J714">
        <v>-365.20659999999998</v>
      </c>
      <c r="K714">
        <v>1.120601</v>
      </c>
      <c r="L714">
        <v>367.57040000000001</v>
      </c>
      <c r="M714">
        <v>0.99987409999999999</v>
      </c>
      <c r="N714">
        <v>-1.209233E-2</v>
      </c>
      <c r="O714">
        <v>-1.0294609999999999E-2</v>
      </c>
      <c r="P714">
        <v>0.99778889999999998</v>
      </c>
      <c r="Q714">
        <v>-6.6438990000000003E-2</v>
      </c>
      <c r="R714">
        <v>1.876132E-3</v>
      </c>
      <c r="S714">
        <v>2.9648439999999998</v>
      </c>
      <c r="T714">
        <v>-0.64384319999999995</v>
      </c>
      <c r="U714">
        <v>-0.52462769999999903</v>
      </c>
      <c r="V714">
        <v>-1.215803E-2</v>
      </c>
      <c r="W714">
        <v>-5.4367279999999997E-2</v>
      </c>
      <c r="X714">
        <v>0.99844699999999997</v>
      </c>
      <c r="Y714">
        <v>0.16046529999999901</v>
      </c>
      <c r="Z714">
        <v>-1.601286E-2</v>
      </c>
      <c r="AA714">
        <v>0.9869116</v>
      </c>
      <c r="AB714">
        <v>37</v>
      </c>
      <c r="AC714">
        <v>0.72960000000000402</v>
      </c>
      <c r="AD714">
        <v>-0.1982351</v>
      </c>
      <c r="AE714">
        <v>-0.15969999999998599</v>
      </c>
      <c r="AF714">
        <v>0.14216485375045701</v>
      </c>
      <c r="AG714">
        <v>-0.1982351</v>
      </c>
      <c r="AH714">
        <v>0.683083816014321</v>
      </c>
      <c r="AI714">
        <v>105.860806751128</v>
      </c>
      <c r="AJ714">
        <v>78.243309647214502</v>
      </c>
      <c r="AK714">
        <v>0.72533543978947101</v>
      </c>
      <c r="AL714">
        <v>93.116552245702806</v>
      </c>
      <c r="AM714">
        <v>90.697652833793597</v>
      </c>
      <c r="AN714">
        <v>1.00000001531853</v>
      </c>
    </row>
    <row r="715" spans="1:40" x14ac:dyDescent="0.25">
      <c r="A715" t="str">
        <f>"20190303153755057"</f>
        <v>20190303153755057</v>
      </c>
      <c r="B715" t="str">
        <f>"1551598675050061"</f>
        <v>1551598675050061</v>
      </c>
      <c r="C715" t="s">
        <v>40</v>
      </c>
      <c r="D715">
        <v>4.0266960000000003</v>
      </c>
      <c r="E715">
        <v>0.56573430000000002</v>
      </c>
      <c r="F715" t="s">
        <v>44</v>
      </c>
      <c r="G715">
        <v>-364.46120000000002</v>
      </c>
      <c r="H715">
        <v>0.95838319999999999</v>
      </c>
      <c r="I715">
        <v>367.43849999999998</v>
      </c>
      <c r="J715">
        <v>-365.02210000000002</v>
      </c>
      <c r="K715">
        <v>1.120606</v>
      </c>
      <c r="L715">
        <v>367.56849999999997</v>
      </c>
      <c r="M715">
        <v>0.99987139999999997</v>
      </c>
      <c r="N715">
        <v>-1.2280050000000001E-2</v>
      </c>
      <c r="O715">
        <v>-1.0321500000000001E-2</v>
      </c>
      <c r="P715">
        <v>0.99777289999999996</v>
      </c>
      <c r="Q715">
        <v>-6.6676620000000006E-2</v>
      </c>
      <c r="R715">
        <v>1.8576770000000001E-3</v>
      </c>
      <c r="S715">
        <v>2.9646910000000002</v>
      </c>
      <c r="T715">
        <v>-0.64514799999999894</v>
      </c>
      <c r="U715">
        <v>-0.52429199999999998</v>
      </c>
      <c r="V715">
        <v>-1.2166089999999999E-2</v>
      </c>
      <c r="W715">
        <v>-5.441766E-2</v>
      </c>
      <c r="X715">
        <v>0.99844409999999895</v>
      </c>
      <c r="Y715">
        <v>0.16032479999999999</v>
      </c>
      <c r="Z715">
        <v>-1.6039270000000001E-2</v>
      </c>
      <c r="AA715">
        <v>0.98693399999999998</v>
      </c>
      <c r="AB715">
        <v>37</v>
      </c>
      <c r="AC715">
        <v>0.56090000000000295</v>
      </c>
      <c r="AD715">
        <v>-0.162222799999999</v>
      </c>
      <c r="AE715">
        <v>-0.12999999999999501</v>
      </c>
      <c r="AF715">
        <v>0.11506877845260401</v>
      </c>
      <c r="AG715">
        <v>-0.162222799999999</v>
      </c>
      <c r="AH715">
        <v>0.52086414075849097</v>
      </c>
      <c r="AI715">
        <v>106.91538315387101</v>
      </c>
      <c r="AJ715">
        <v>77.542367886865804</v>
      </c>
      <c r="AK715">
        <v>0.55754507776725504</v>
      </c>
      <c r="AL715">
        <v>93.119443265058607</v>
      </c>
      <c r="AM715">
        <v>90.698117314944994</v>
      </c>
      <c r="AN715">
        <v>0.99999995814528497</v>
      </c>
    </row>
    <row r="716" spans="1:40" x14ac:dyDescent="0.25">
      <c r="A716" t="str">
        <f>"20190303153755067"</f>
        <v>20190303153755067</v>
      </c>
      <c r="B716" t="str">
        <f>"1551598675059821"</f>
        <v>1551598675059821</v>
      </c>
      <c r="C716" t="s">
        <v>40</v>
      </c>
      <c r="D716">
        <v>4.0466300000000004</v>
      </c>
      <c r="E716">
        <v>0.56569440000000004</v>
      </c>
      <c r="F716" t="s">
        <v>44</v>
      </c>
      <c r="G716">
        <v>-364.14429999999999</v>
      </c>
      <c r="H716">
        <v>0.92926980000000003</v>
      </c>
      <c r="I716">
        <v>367.41309999999999</v>
      </c>
      <c r="J716">
        <v>-364.83440000000002</v>
      </c>
      <c r="K716">
        <v>1.1206100000000001</v>
      </c>
      <c r="L716">
        <v>367.56659999999999</v>
      </c>
      <c r="M716">
        <v>0.9998688</v>
      </c>
      <c r="N716">
        <v>-1.246339E-2</v>
      </c>
      <c r="O716">
        <v>-1.034886E-2</v>
      </c>
      <c r="P716">
        <v>0.99776299999999996</v>
      </c>
      <c r="Q716">
        <v>-6.6830780000000006E-2</v>
      </c>
      <c r="R716">
        <v>1.6386930000000001E-3</v>
      </c>
      <c r="S716">
        <v>2.9644780000000002</v>
      </c>
      <c r="T716">
        <v>-0.64628269999999899</v>
      </c>
      <c r="U716">
        <v>-0.52383420000000003</v>
      </c>
      <c r="V716">
        <v>-1.1974719999999999E-2</v>
      </c>
      <c r="W716">
        <v>-5.4388880000000001E-2</v>
      </c>
      <c r="X716">
        <v>0.998448</v>
      </c>
      <c r="Y716">
        <v>0.1601505</v>
      </c>
      <c r="Z716">
        <v>-1.6057760000000001E-2</v>
      </c>
      <c r="AA716">
        <v>0.98696200000000001</v>
      </c>
      <c r="AB716">
        <v>37</v>
      </c>
      <c r="AC716">
        <v>0.69010000000002902</v>
      </c>
      <c r="AD716">
        <v>-0.19134019999999999</v>
      </c>
      <c r="AE716">
        <v>-0.15350000000000799</v>
      </c>
      <c r="AF716">
        <v>0.13636085160754899</v>
      </c>
      <c r="AG716">
        <v>-0.19134019999999999</v>
      </c>
      <c r="AH716">
        <v>0.64444519504994102</v>
      </c>
      <c r="AI716">
        <v>106.19728446501701</v>
      </c>
      <c r="AJ716">
        <v>78.052767235752597</v>
      </c>
      <c r="AK716">
        <v>0.68594093288717894</v>
      </c>
      <c r="AL716">
        <v>93.117791789667393</v>
      </c>
      <c r="AM716">
        <v>90.687134456101603</v>
      </c>
      <c r="AN716">
        <v>0.99999997644536598</v>
      </c>
    </row>
    <row r="717" spans="1:40" x14ac:dyDescent="0.25">
      <c r="A717" t="str">
        <f>"20190303153755079"</f>
        <v>20190303153755079</v>
      </c>
      <c r="B717" t="str">
        <f>"1551598675069581"</f>
        <v>1551598675069581</v>
      </c>
      <c r="C717" t="s">
        <v>40</v>
      </c>
      <c r="D717">
        <v>4.007155</v>
      </c>
      <c r="E717">
        <v>0.56567990000000001</v>
      </c>
      <c r="F717" t="s">
        <v>44</v>
      </c>
      <c r="G717">
        <v>-364.1277</v>
      </c>
      <c r="H717">
        <v>0.96623809999999999</v>
      </c>
      <c r="I717">
        <v>367.44130000000001</v>
      </c>
      <c r="J717">
        <v>-364.64949999999999</v>
      </c>
      <c r="K717">
        <v>1.1206100000000001</v>
      </c>
      <c r="L717">
        <v>367.56459999999998</v>
      </c>
      <c r="M717">
        <v>0.99986640000000004</v>
      </c>
      <c r="N717">
        <v>-1.26249E-2</v>
      </c>
      <c r="O717">
        <v>-1.037598E-2</v>
      </c>
      <c r="P717">
        <v>0.99776240000000005</v>
      </c>
      <c r="Q717">
        <v>-6.6840800000000006E-2</v>
      </c>
      <c r="R717">
        <v>1.526192E-3</v>
      </c>
      <c r="S717">
        <v>2.9642029999999999</v>
      </c>
      <c r="T717">
        <v>-0.64757940000000003</v>
      </c>
      <c r="U717">
        <v>-0.52413940000000003</v>
      </c>
      <c r="V717">
        <v>-1.188912E-2</v>
      </c>
      <c r="W717">
        <v>-5.4237639999999997E-2</v>
      </c>
      <c r="X717">
        <v>0.99845729999999999</v>
      </c>
      <c r="Y717">
        <v>0.160219</v>
      </c>
      <c r="Z717">
        <v>-1.6105410000000001E-2</v>
      </c>
      <c r="AA717">
        <v>0.98695010000000005</v>
      </c>
      <c r="AB717">
        <v>37</v>
      </c>
      <c r="AC717">
        <v>0.52179999999998405</v>
      </c>
      <c r="AD717">
        <v>-0.15437190000000001</v>
      </c>
      <c r="AE717">
        <v>-0.123299999999972</v>
      </c>
      <c r="AF717">
        <v>0.1088551277512</v>
      </c>
      <c r="AG717">
        <v>-0.15437190000000001</v>
      </c>
      <c r="AH717">
        <v>0.483011794665195</v>
      </c>
      <c r="AI717">
        <v>107.316591477763</v>
      </c>
      <c r="AJ717">
        <v>77.299580205005398</v>
      </c>
      <c r="AK717">
        <v>0.51863331567980997</v>
      </c>
      <c r="AL717">
        <v>93.109113410933503</v>
      </c>
      <c r="AM717">
        <v>90.682216661277707</v>
      </c>
      <c r="AN717">
        <v>1.00000002634521</v>
      </c>
    </row>
    <row r="718" spans="1:40" x14ac:dyDescent="0.25">
      <c r="A718" t="str">
        <f>"20190303153755092"</f>
        <v>20190303153755092</v>
      </c>
      <c r="B718" t="str">
        <f>"1551598675090077"</f>
        <v>1551598675090077</v>
      </c>
      <c r="C718" t="s">
        <v>40</v>
      </c>
      <c r="D718">
        <v>4.0356259999999997</v>
      </c>
      <c r="E718">
        <v>0.56564449999999999</v>
      </c>
      <c r="F718" t="s">
        <v>44</v>
      </c>
      <c r="G718">
        <v>-363.81139999999999</v>
      </c>
      <c r="H718">
        <v>0.93729450000000003</v>
      </c>
      <c r="I718">
        <v>367.41640000000001</v>
      </c>
      <c r="J718">
        <v>-364.44589999999999</v>
      </c>
      <c r="K718">
        <v>1.1206130000000001</v>
      </c>
      <c r="L718">
        <v>367.5625</v>
      </c>
      <c r="M718">
        <v>0.99986410000000003</v>
      </c>
      <c r="N718">
        <v>-1.279636E-2</v>
      </c>
      <c r="O718">
        <v>-1.040604E-2</v>
      </c>
      <c r="P718">
        <v>0.9977471</v>
      </c>
      <c r="Q718">
        <v>-6.7076579999999997E-2</v>
      </c>
      <c r="R718">
        <v>1.202437E-3</v>
      </c>
      <c r="S718">
        <v>2.9640499999999999</v>
      </c>
      <c r="T718">
        <v>-0.6483293</v>
      </c>
      <c r="U718">
        <v>-0.52441409999999999</v>
      </c>
      <c r="V718">
        <v>-1.1595319999999999E-2</v>
      </c>
      <c r="W718">
        <v>-5.4302400000000001E-2</v>
      </c>
      <c r="X718">
        <v>0.99845720000000004</v>
      </c>
      <c r="Y718">
        <v>0.16027420000000001</v>
      </c>
      <c r="Z718">
        <v>-1.6138960000000001E-2</v>
      </c>
      <c r="AA718">
        <v>0.98694059999999995</v>
      </c>
      <c r="AB718">
        <v>37</v>
      </c>
      <c r="AC718">
        <v>0.63450000000000195</v>
      </c>
      <c r="AD718">
        <v>-0.183318499999999</v>
      </c>
      <c r="AE718">
        <v>-0.14609999999998899</v>
      </c>
      <c r="AF718">
        <v>0.12924367578697399</v>
      </c>
      <c r="AG718">
        <v>-0.183318499999999</v>
      </c>
      <c r="AH718">
        <v>0.58927391450661504</v>
      </c>
      <c r="AI718">
        <v>106.90241635260401</v>
      </c>
      <c r="AJ718">
        <v>77.629366951031102</v>
      </c>
      <c r="AK718">
        <v>0.63051831574596495</v>
      </c>
      <c r="AL718">
        <v>93.1128294713548</v>
      </c>
      <c r="AM718">
        <v>90.665359550297296</v>
      </c>
      <c r="AN718">
        <v>0.99999999116175098</v>
      </c>
    </row>
    <row r="719" spans="1:40" x14ac:dyDescent="0.25">
      <c r="A719" t="str">
        <f>"20190303153755112"</f>
        <v>20190303153755112</v>
      </c>
      <c r="B719" t="str">
        <f>"1551598675099837"</f>
        <v>1551598675099837</v>
      </c>
      <c r="C719" t="s">
        <v>40</v>
      </c>
      <c r="D719">
        <v>4.0184379999999997</v>
      </c>
      <c r="E719">
        <v>0.5656156</v>
      </c>
      <c r="F719" t="s">
        <v>44</v>
      </c>
      <c r="G719">
        <v>-363.49290000000002</v>
      </c>
      <c r="H719">
        <v>0.91145679999999996</v>
      </c>
      <c r="I719">
        <v>367.39319999999998</v>
      </c>
      <c r="J719">
        <v>-364.1121</v>
      </c>
      <c r="K719">
        <v>1.1206179999999999</v>
      </c>
      <c r="L719">
        <v>367.55889999999999</v>
      </c>
      <c r="M719">
        <v>0.99986030000000004</v>
      </c>
      <c r="N719">
        <v>-1.304598E-2</v>
      </c>
      <c r="O719">
        <v>-1.045451E-2</v>
      </c>
      <c r="P719">
        <v>0.99773429999999996</v>
      </c>
      <c r="Q719">
        <v>-6.7273199999999894E-2</v>
      </c>
      <c r="R719">
        <v>8.8808669999999998E-4</v>
      </c>
      <c r="S719">
        <v>2.9636840000000002</v>
      </c>
      <c r="T719">
        <v>-0.65053549999999905</v>
      </c>
      <c r="U719">
        <v>-0.52505489999999999</v>
      </c>
      <c r="V719">
        <v>-1.1329219999999999E-2</v>
      </c>
      <c r="W719">
        <v>-5.424992E-2</v>
      </c>
      <c r="X719">
        <v>0.99846310000000005</v>
      </c>
      <c r="Y719">
        <v>0.16042190000000001</v>
      </c>
      <c r="Z719">
        <v>-1.6220370000000001E-2</v>
      </c>
      <c r="AA719">
        <v>0.98691519999999999</v>
      </c>
      <c r="AB719">
        <v>37</v>
      </c>
      <c r="AC719">
        <v>0.61919999999997799</v>
      </c>
      <c r="AD719">
        <v>-0.20916119999999999</v>
      </c>
      <c r="AE719">
        <v>-0.165700000000015</v>
      </c>
      <c r="AF719">
        <v>0.143895180142358</v>
      </c>
      <c r="AG719">
        <v>-0.20916119999999999</v>
      </c>
      <c r="AH719">
        <v>0.56114824778978001</v>
      </c>
      <c r="AI719">
        <v>109.85242077125901</v>
      </c>
      <c r="AJ719">
        <v>75.617550206159805</v>
      </c>
      <c r="AK719">
        <v>0.61590712485827104</v>
      </c>
      <c r="AL719">
        <v>93.109818173702294</v>
      </c>
      <c r="AM719">
        <v>90.650087756004993</v>
      </c>
      <c r="AN719">
        <v>0.999999983553712</v>
      </c>
    </row>
    <row r="720" spans="1:40" x14ac:dyDescent="0.25">
      <c r="A720" t="str">
        <f>"20190303153755125"</f>
        <v>20190303153755125</v>
      </c>
      <c r="B720" t="str">
        <f>"1551598675119357"</f>
        <v>1551598675119357</v>
      </c>
      <c r="C720" t="s">
        <v>40</v>
      </c>
      <c r="D720">
        <v>4.0203369999999996</v>
      </c>
      <c r="E720">
        <v>0.56558619999999904</v>
      </c>
      <c r="F720" t="s">
        <v>44</v>
      </c>
      <c r="G720">
        <v>-363.16399999999999</v>
      </c>
      <c r="H720">
        <v>0.91206849999999995</v>
      </c>
      <c r="I720">
        <v>367.39060000000001</v>
      </c>
      <c r="J720">
        <v>-363.89530000000002</v>
      </c>
      <c r="K720">
        <v>1.1206199999999999</v>
      </c>
      <c r="L720">
        <v>367.5566</v>
      </c>
      <c r="M720">
        <v>0.99985809999999997</v>
      </c>
      <c r="N720">
        <v>-1.319126E-2</v>
      </c>
      <c r="O720">
        <v>-1.0485980000000001E-2</v>
      </c>
      <c r="P720">
        <v>0.99774929999999995</v>
      </c>
      <c r="Q720">
        <v>-6.7051830000000007E-2</v>
      </c>
      <c r="R720">
        <v>7.9023729999999897E-4</v>
      </c>
      <c r="S720">
        <v>2.9632869999999998</v>
      </c>
      <c r="T720">
        <v>-0.65191940000000004</v>
      </c>
      <c r="U720">
        <v>-0.52548219999999901</v>
      </c>
      <c r="V720">
        <v>-1.126278E-2</v>
      </c>
      <c r="W720">
        <v>-5.3883309999999997E-2</v>
      </c>
      <c r="X720">
        <v>0.99848369999999997</v>
      </c>
      <c r="Y720">
        <v>0.1605306</v>
      </c>
      <c r="Z720">
        <v>-1.627288E-2</v>
      </c>
      <c r="AA720">
        <v>0.98689669999999896</v>
      </c>
      <c r="AB720">
        <v>37</v>
      </c>
      <c r="AC720">
        <v>0.73130000000003204</v>
      </c>
      <c r="AD720">
        <v>-0.2085515</v>
      </c>
      <c r="AE720">
        <v>-0.16599999999999601</v>
      </c>
      <c r="AF720">
        <v>0.146955938169224</v>
      </c>
      <c r="AG720">
        <v>-0.2085515</v>
      </c>
      <c r="AH720">
        <v>0.68037874061023496</v>
      </c>
      <c r="AI720">
        <v>106.678925523286</v>
      </c>
      <c r="AJ720">
        <v>77.811839070068601</v>
      </c>
      <c r="AK720">
        <v>0.72663953002146497</v>
      </c>
      <c r="AL720">
        <v>93.088782209090596</v>
      </c>
      <c r="AM720">
        <v>90.646262320400595</v>
      </c>
      <c r="AN720">
        <v>0.99999998023778702</v>
      </c>
    </row>
    <row r="721" spans="1:40" x14ac:dyDescent="0.25">
      <c r="A721" t="str">
        <f>"20190303153755139"</f>
        <v>20190303153755139</v>
      </c>
      <c r="B721" t="str">
        <f>"1551598675130093"</f>
        <v>1551598675130093</v>
      </c>
      <c r="C721" t="s">
        <v>40</v>
      </c>
      <c r="D721">
        <v>4.0278450000000001</v>
      </c>
      <c r="E721">
        <v>0.5655753</v>
      </c>
      <c r="F721" t="s">
        <v>44</v>
      </c>
      <c r="G721">
        <v>-363.1454</v>
      </c>
      <c r="H721">
        <v>0.9553722</v>
      </c>
      <c r="I721">
        <v>367.42340000000002</v>
      </c>
      <c r="J721">
        <v>-363.6712</v>
      </c>
      <c r="K721">
        <v>1.120625</v>
      </c>
      <c r="L721">
        <v>367.55430000000001</v>
      </c>
      <c r="M721">
        <v>0.99985579999999996</v>
      </c>
      <c r="N721">
        <v>-1.3328380000000001E-2</v>
      </c>
      <c r="O721">
        <v>-1.051789E-2</v>
      </c>
      <c r="P721">
        <v>0.99774249999999998</v>
      </c>
      <c r="Q721">
        <v>-6.7151699999999995E-2</v>
      </c>
      <c r="R721">
        <v>5.5844830000000001E-4</v>
      </c>
      <c r="S721">
        <v>2.9632869999999998</v>
      </c>
      <c r="T721">
        <v>-0.6530939</v>
      </c>
      <c r="U721">
        <v>-0.52551269999999894</v>
      </c>
      <c r="V721">
        <v>-1.1062840000000001E-2</v>
      </c>
      <c r="W721">
        <v>-5.3846339999999999E-2</v>
      </c>
      <c r="X721">
        <v>0.99848789999999998</v>
      </c>
      <c r="Y721">
        <v>0.1604949</v>
      </c>
      <c r="Z721">
        <v>-1.6301489999999998E-2</v>
      </c>
      <c r="AA721">
        <v>0.9869021</v>
      </c>
      <c r="AB721">
        <v>37</v>
      </c>
      <c r="AC721">
        <v>0.52580000000000304</v>
      </c>
      <c r="AD721">
        <v>-0.16525279999999901</v>
      </c>
      <c r="AE721">
        <v>-0.13089999999999599</v>
      </c>
      <c r="AF721">
        <v>0.114693994124324</v>
      </c>
      <c r="AG721">
        <v>-0.16525279999999901</v>
      </c>
      <c r="AH721">
        <v>0.48228896189831599</v>
      </c>
      <c r="AI721">
        <v>108.43561451832601</v>
      </c>
      <c r="AJ721">
        <v>76.622873151885599</v>
      </c>
      <c r="AK721">
        <v>0.52255702364908097</v>
      </c>
      <c r="AL721">
        <v>93.086660996007296</v>
      </c>
      <c r="AM721">
        <v>90.634787969471105</v>
      </c>
      <c r="AN721">
        <v>0.99999995060333402</v>
      </c>
    </row>
    <row r="722" spans="1:40" x14ac:dyDescent="0.25">
      <c r="A722" t="str">
        <f>"20190303153755152"</f>
        <v>20190303153755152</v>
      </c>
      <c r="B722" t="str">
        <f>"1551598675149613"</f>
        <v>1551598675149613</v>
      </c>
      <c r="C722" t="s">
        <v>40</v>
      </c>
      <c r="D722">
        <v>4.0272050000000004</v>
      </c>
      <c r="E722">
        <v>0.56553069999999905</v>
      </c>
      <c r="F722" t="s">
        <v>44</v>
      </c>
      <c r="G722">
        <v>-362.82670000000002</v>
      </c>
      <c r="H722">
        <v>0.93417600000000001</v>
      </c>
      <c r="I722">
        <v>367.404</v>
      </c>
      <c r="J722">
        <v>-363.4563</v>
      </c>
      <c r="K722">
        <v>1.1206309999999999</v>
      </c>
      <c r="L722">
        <v>367.55200000000002</v>
      </c>
      <c r="M722">
        <v>0.99985389999999996</v>
      </c>
      <c r="N722">
        <v>-1.345154E-2</v>
      </c>
      <c r="O722">
        <v>-1.054852E-2</v>
      </c>
      <c r="P722">
        <v>0.99772559999999999</v>
      </c>
      <c r="Q722">
        <v>-6.7407999999999996E-2</v>
      </c>
      <c r="R722">
        <v>1.5070059999999999E-4</v>
      </c>
      <c r="S722">
        <v>2.9630429999999999</v>
      </c>
      <c r="T722">
        <v>-0.65421530000000006</v>
      </c>
      <c r="U722">
        <v>-0.52612300000000001</v>
      </c>
      <c r="V722">
        <v>-1.068567E-2</v>
      </c>
      <c r="W722">
        <v>-5.3979859999999998E-2</v>
      </c>
      <c r="X722">
        <v>0.99848479999999995</v>
      </c>
      <c r="Y722">
        <v>0.1606572</v>
      </c>
      <c r="Z722">
        <v>-1.6351580000000001E-2</v>
      </c>
      <c r="AA722">
        <v>0.98687480000000005</v>
      </c>
      <c r="AB722">
        <v>37</v>
      </c>
      <c r="AC722">
        <v>0.62959999999998195</v>
      </c>
      <c r="AD722">
        <v>-0.18645499999999901</v>
      </c>
      <c r="AE722">
        <v>-0.14799999999996699</v>
      </c>
      <c r="AF722">
        <v>0.130503500567514</v>
      </c>
      <c r="AG722">
        <v>-0.18645499999999901</v>
      </c>
      <c r="AH722">
        <v>0.58269754082550396</v>
      </c>
      <c r="AI722">
        <v>107.340998736559</v>
      </c>
      <c r="AJ722">
        <v>77.376105835592796</v>
      </c>
      <c r="AK722">
        <v>0.62556618736106995</v>
      </c>
      <c r="AL722">
        <v>93.0943222658439</v>
      </c>
      <c r="AM722">
        <v>90.613149464444803</v>
      </c>
      <c r="AN722">
        <v>0.99999995233000305</v>
      </c>
    </row>
    <row r="723" spans="1:40" x14ac:dyDescent="0.25">
      <c r="A723" t="str">
        <f>"20190303153755168"</f>
        <v>20190303153755168</v>
      </c>
      <c r="B723" t="str">
        <f>"1551598675159373"</f>
        <v>1551598675159373</v>
      </c>
      <c r="C723" t="s">
        <v>40</v>
      </c>
      <c r="D723">
        <v>4.0547199999999997</v>
      </c>
      <c r="E723">
        <v>0.56551130000000005</v>
      </c>
      <c r="F723" t="s">
        <v>44</v>
      </c>
      <c r="G723">
        <v>-362.50830000000002</v>
      </c>
      <c r="H723">
        <v>0.91064489999999998</v>
      </c>
      <c r="I723">
        <v>367.38330000000002</v>
      </c>
      <c r="J723">
        <v>-363.18049999999999</v>
      </c>
      <c r="K723">
        <v>1.1206389999999999</v>
      </c>
      <c r="L723">
        <v>367.54899999999998</v>
      </c>
      <c r="M723">
        <v>0.99985159999999995</v>
      </c>
      <c r="N723">
        <v>-1.3593869999999999E-2</v>
      </c>
      <c r="O723">
        <v>-1.0588459999999999E-2</v>
      </c>
      <c r="P723">
        <v>0.99772519999999998</v>
      </c>
      <c r="Q723">
        <v>-6.7413150000000005E-2</v>
      </c>
      <c r="R723">
        <v>-3.010938E-4</v>
      </c>
      <c r="S723">
        <v>2.9625849999999998</v>
      </c>
      <c r="T723">
        <v>-0.65632299999999999</v>
      </c>
      <c r="U723">
        <v>-0.52682499999999999</v>
      </c>
      <c r="V723">
        <v>-1.0273910000000001E-2</v>
      </c>
      <c r="W723">
        <v>-5.3842899999999999E-2</v>
      </c>
      <c r="X723">
        <v>0.99849659999999996</v>
      </c>
      <c r="Y723">
        <v>0.16083989999999901</v>
      </c>
      <c r="Z723">
        <v>-1.6427299999999999E-2</v>
      </c>
      <c r="AA723">
        <v>0.98684380000000005</v>
      </c>
      <c r="AB723">
        <v>37</v>
      </c>
      <c r="AC723">
        <v>0.67219999999997504</v>
      </c>
      <c r="AD723">
        <v>-0.20999409999999899</v>
      </c>
      <c r="AE723">
        <v>-0.165700000000015</v>
      </c>
      <c r="AF723">
        <v>0.14521260707533801</v>
      </c>
      <c r="AG723">
        <v>-0.20999409999999899</v>
      </c>
      <c r="AH723">
        <v>0.61713883723969198</v>
      </c>
      <c r="AI723">
        <v>108.326144224147</v>
      </c>
      <c r="AJ723">
        <v>76.759174923723805</v>
      </c>
      <c r="AK723">
        <v>0.66786568089548204</v>
      </c>
      <c r="AL723">
        <v>93.086463349400006</v>
      </c>
      <c r="AM723">
        <v>90.589517189782697</v>
      </c>
      <c r="AN723">
        <v>1.0000000356593199</v>
      </c>
    </row>
    <row r="724" spans="1:40" x14ac:dyDescent="0.25">
      <c r="A724" t="str">
        <f>"20190303153755179"</f>
        <v>20190303153755179</v>
      </c>
      <c r="B724" t="str">
        <f>"1551598675170109"</f>
        <v>1551598675170109</v>
      </c>
      <c r="C724" t="s">
        <v>40</v>
      </c>
      <c r="D724">
        <v>4.0324</v>
      </c>
      <c r="E724">
        <v>0.56551149999999994</v>
      </c>
      <c r="F724" t="s">
        <v>44</v>
      </c>
      <c r="G724">
        <v>-362.48410000000001</v>
      </c>
      <c r="H724">
        <v>0.96615119999999999</v>
      </c>
      <c r="I724">
        <v>367.4248</v>
      </c>
      <c r="J724">
        <v>-363.00510000000003</v>
      </c>
      <c r="K724">
        <v>1.1206469999999999</v>
      </c>
      <c r="L724">
        <v>367.54719999999998</v>
      </c>
      <c r="M724">
        <v>0.99985029999999997</v>
      </c>
      <c r="N724">
        <v>-1.367369E-2</v>
      </c>
      <c r="O724">
        <v>-1.061427E-2</v>
      </c>
      <c r="P724">
        <v>0.99771799999999999</v>
      </c>
      <c r="Q724">
        <v>-6.7515690000000003E-2</v>
      </c>
      <c r="R724">
        <v>-7.5449619999999997E-4</v>
      </c>
      <c r="S724">
        <v>2.9622799999999998</v>
      </c>
      <c r="T724">
        <v>-0.65716350000000001</v>
      </c>
      <c r="U724">
        <v>-0.5278931</v>
      </c>
      <c r="V724">
        <v>-9.8463430000000005E-3</v>
      </c>
      <c r="W724">
        <v>-5.3865830000000003E-2</v>
      </c>
      <c r="X724">
        <v>0.99849960000000004</v>
      </c>
      <c r="Y724">
        <v>0.161158</v>
      </c>
      <c r="Z724">
        <v>-1.648633E-2</v>
      </c>
      <c r="AA724">
        <v>0.98679090000000003</v>
      </c>
      <c r="AB724">
        <v>37</v>
      </c>
      <c r="AC724">
        <v>0.52100000000001501</v>
      </c>
      <c r="AD724">
        <v>-0.15449579999999999</v>
      </c>
      <c r="AE724">
        <v>-0.12239999999997001</v>
      </c>
      <c r="AF724">
        <v>0.107872990232091</v>
      </c>
      <c r="AG724">
        <v>-0.15449579999999999</v>
      </c>
      <c r="AH724">
        <v>0.482094737032293</v>
      </c>
      <c r="AI724">
        <v>107.366255725841</v>
      </c>
      <c r="AJ724">
        <v>77.387317548315494</v>
      </c>
      <c r="AK724">
        <v>0.51761073183763195</v>
      </c>
      <c r="AL724">
        <v>93.087779270377197</v>
      </c>
      <c r="AM724">
        <v>90.5649833130731</v>
      </c>
      <c r="AN724">
        <v>0.99999996465610996</v>
      </c>
    </row>
    <row r="725" spans="1:40" x14ac:dyDescent="0.25">
      <c r="A725" t="str">
        <f>"20190303153755191"</f>
        <v>20190303153755191</v>
      </c>
      <c r="B725" t="str">
        <f>"1551598675179869"</f>
        <v>1551598675179869</v>
      </c>
      <c r="C725" t="s">
        <v>40</v>
      </c>
      <c r="D725">
        <v>4.0248970000000002</v>
      </c>
      <c r="E725">
        <v>0.56551790000000002</v>
      </c>
      <c r="F725" t="s">
        <v>44</v>
      </c>
      <c r="G725">
        <v>-362.17079999999999</v>
      </c>
      <c r="H725">
        <v>0.93522950000000005</v>
      </c>
      <c r="I725">
        <v>367.39780000000002</v>
      </c>
      <c r="J725">
        <v>-362.80840000000001</v>
      </c>
      <c r="K725">
        <v>1.1206529999999999</v>
      </c>
      <c r="L725">
        <v>367.54509999999999</v>
      </c>
      <c r="M725">
        <v>0.99984879999999998</v>
      </c>
      <c r="N725">
        <v>-1.376052E-2</v>
      </c>
      <c r="O725">
        <v>-1.0643E-2</v>
      </c>
      <c r="P725">
        <v>0.99771739999999998</v>
      </c>
      <c r="Q725">
        <v>-6.7523230000000004E-2</v>
      </c>
      <c r="R725">
        <v>-9.3333559999999997E-4</v>
      </c>
      <c r="S725">
        <v>2.9619450000000001</v>
      </c>
      <c r="T725">
        <v>-0.65827519999999995</v>
      </c>
      <c r="U725">
        <v>-0.5293274</v>
      </c>
      <c r="V725">
        <v>-9.6959290000000007E-3</v>
      </c>
      <c r="W725">
        <v>-5.3786710000000001E-2</v>
      </c>
      <c r="X725">
        <v>0.99850539999999999</v>
      </c>
      <c r="Y725">
        <v>0.16158729999999999</v>
      </c>
      <c r="Z725">
        <v>-1.6564570000000001E-2</v>
      </c>
      <c r="AA725">
        <v>0.98671940000000002</v>
      </c>
      <c r="AB725">
        <v>37</v>
      </c>
      <c r="AC725">
        <v>0.63760000000002004</v>
      </c>
      <c r="AD725">
        <v>-0.18542349999999999</v>
      </c>
      <c r="AE725">
        <v>-0.14729999999997201</v>
      </c>
      <c r="AF725">
        <v>0.13006255638595601</v>
      </c>
      <c r="AG725">
        <v>-0.18542349999999999</v>
      </c>
      <c r="AH725">
        <v>0.59163080594352202</v>
      </c>
      <c r="AI725">
        <v>107.019422540897</v>
      </c>
      <c r="AJ725">
        <v>77.601469986818799</v>
      </c>
      <c r="AK725">
        <v>0.633502291603812</v>
      </c>
      <c r="AL725">
        <v>93.083239252815403</v>
      </c>
      <c r="AM725">
        <v>90.556349870674694</v>
      </c>
      <c r="AN725">
        <v>1.0000000275204699</v>
      </c>
    </row>
    <row r="726" spans="1:40" x14ac:dyDescent="0.25">
      <c r="A726" t="str">
        <f>"20190303153755205"</f>
        <v>20190303153755205</v>
      </c>
      <c r="B726" t="str">
        <f>"1551598675199390"</f>
        <v>1551598675199390</v>
      </c>
      <c r="C726" t="s">
        <v>40</v>
      </c>
      <c r="D726">
        <v>4.0254180000000002</v>
      </c>
      <c r="E726">
        <v>0.56546359999999996</v>
      </c>
      <c r="F726" t="s">
        <v>44</v>
      </c>
      <c r="G726">
        <v>-361.8546</v>
      </c>
      <c r="H726">
        <v>0.90844959999999997</v>
      </c>
      <c r="I726">
        <v>367.37450000000001</v>
      </c>
      <c r="J726">
        <v>-362.58879999999999</v>
      </c>
      <c r="K726">
        <v>1.12066</v>
      </c>
      <c r="L726">
        <v>367.54270000000002</v>
      </c>
      <c r="M726">
        <v>0.99984729999999999</v>
      </c>
      <c r="N726">
        <v>-1.3847299999999899E-2</v>
      </c>
      <c r="O726">
        <v>-1.067507E-2</v>
      </c>
      <c r="P726">
        <v>0.99771390000000004</v>
      </c>
      <c r="Q726">
        <v>-6.75737E-2</v>
      </c>
      <c r="R726">
        <v>-1.1089870000000001E-3</v>
      </c>
      <c r="S726">
        <v>2.9617610000000001</v>
      </c>
      <c r="T726">
        <v>-0.65891489999999997</v>
      </c>
      <c r="U726">
        <v>-0.529815699999999</v>
      </c>
      <c r="V726">
        <v>-9.5521570000000004E-3</v>
      </c>
      <c r="W726">
        <v>-5.3750539999999999E-2</v>
      </c>
      <c r="X726">
        <v>0.99850870000000003</v>
      </c>
      <c r="Y726">
        <v>0.1617122</v>
      </c>
      <c r="Z726">
        <v>-1.6595829999999999E-2</v>
      </c>
      <c r="AA726">
        <v>0.98669839999999998</v>
      </c>
      <c r="AB726">
        <v>37</v>
      </c>
      <c r="AC726">
        <v>0.73419999999998697</v>
      </c>
      <c r="AD726">
        <v>-0.21221039999999999</v>
      </c>
      <c r="AE726">
        <v>-0.16820000000001301</v>
      </c>
      <c r="AF726">
        <v>0.14855993311340801</v>
      </c>
      <c r="AG726">
        <v>-0.21221039999999999</v>
      </c>
      <c r="AH726">
        <v>0.68183271702312997</v>
      </c>
      <c r="AI726">
        <v>106.914551973649</v>
      </c>
      <c r="AJ726">
        <v>77.708314179715202</v>
      </c>
      <c r="AK726">
        <v>0.72938272641869195</v>
      </c>
      <c r="AL726">
        <v>93.081163965339698</v>
      </c>
      <c r="AM726">
        <v>90.548098966652105</v>
      </c>
      <c r="AN726">
        <v>0.999999994114667</v>
      </c>
    </row>
    <row r="727" spans="1:40" x14ac:dyDescent="0.25">
      <c r="A727" t="str">
        <f>"20190303153755216"</f>
        <v>20190303153755216</v>
      </c>
      <c r="B727" t="str">
        <f>"1551598675210125"</f>
        <v>1551598675210125</v>
      </c>
      <c r="C727" t="s">
        <v>40</v>
      </c>
      <c r="D727">
        <v>4.0360290000000001</v>
      </c>
      <c r="E727">
        <v>0.56546189999999996</v>
      </c>
      <c r="F727" t="s">
        <v>44</v>
      </c>
      <c r="G727">
        <v>-361.8356</v>
      </c>
      <c r="H727">
        <v>0.95280399999999998</v>
      </c>
      <c r="I727">
        <v>367.40789999999998</v>
      </c>
      <c r="J727">
        <v>-362.3965</v>
      </c>
      <c r="K727">
        <v>1.1206640000000001</v>
      </c>
      <c r="L727">
        <v>367.54059999999998</v>
      </c>
      <c r="M727">
        <v>0.99984600000000001</v>
      </c>
      <c r="N727">
        <v>-1.3917189999999999E-2</v>
      </c>
      <c r="O727">
        <v>-1.07032E-2</v>
      </c>
      <c r="P727">
        <v>0.9977106</v>
      </c>
      <c r="Q727">
        <v>-6.7619470000000001E-2</v>
      </c>
      <c r="R727">
        <v>-1.2353830000000001E-3</v>
      </c>
      <c r="S727">
        <v>2.9615480000000001</v>
      </c>
      <c r="T727">
        <v>-0.65997859999999997</v>
      </c>
      <c r="U727">
        <v>-0.53009030000000001</v>
      </c>
      <c r="V727">
        <v>-9.4536120000000001E-3</v>
      </c>
      <c r="W727">
        <v>-5.3726580000000003E-2</v>
      </c>
      <c r="X727">
        <v>0.99851100000000004</v>
      </c>
      <c r="Y727">
        <v>0.16177079999999999</v>
      </c>
      <c r="Z727">
        <v>-1.6628520000000001E-2</v>
      </c>
      <c r="AA727">
        <v>0.98668829999999996</v>
      </c>
      <c r="AB727">
        <v>37</v>
      </c>
      <c r="AC727">
        <v>0.56090000000000295</v>
      </c>
      <c r="AD727">
        <v>-0.16785999999999901</v>
      </c>
      <c r="AE727">
        <v>-0.13269999999999901</v>
      </c>
      <c r="AF727">
        <v>0.116783439066168</v>
      </c>
      <c r="AG727">
        <v>-0.16785999999999901</v>
      </c>
      <c r="AH727">
        <v>0.51832660012313403</v>
      </c>
      <c r="AI727">
        <v>107.532899725814</v>
      </c>
      <c r="AJ727">
        <v>77.302788299047407</v>
      </c>
      <c r="AK727">
        <v>0.55720536217388394</v>
      </c>
      <c r="AL727">
        <v>93.079788948324506</v>
      </c>
      <c r="AM727">
        <v>90.542443584004801</v>
      </c>
      <c r="AN727">
        <v>1.00000006664966</v>
      </c>
    </row>
    <row r="728" spans="1:40" x14ac:dyDescent="0.25">
      <c r="A728" t="str">
        <f>"20190303153755229"</f>
        <v>20190303153755229</v>
      </c>
      <c r="B728" t="str">
        <f>"1551598675219885"</f>
        <v>1551598675219885</v>
      </c>
      <c r="C728" t="s">
        <v>40</v>
      </c>
      <c r="D728">
        <v>4.0249759999999997</v>
      </c>
      <c r="E728">
        <v>0.56544439999999996</v>
      </c>
      <c r="F728" t="s">
        <v>44</v>
      </c>
      <c r="G728">
        <v>-361.52100000000002</v>
      </c>
      <c r="H728">
        <v>0.92534700000000003</v>
      </c>
      <c r="I728">
        <v>367.38350000000003</v>
      </c>
      <c r="J728">
        <v>-362.1875</v>
      </c>
      <c r="K728">
        <v>1.120673</v>
      </c>
      <c r="L728">
        <v>367.53829999999999</v>
      </c>
      <c r="M728">
        <v>0.99984459999999997</v>
      </c>
      <c r="N728">
        <v>-1.398918E-2</v>
      </c>
      <c r="O728">
        <v>-1.073375E-2</v>
      </c>
      <c r="P728">
        <v>0.99769750000000001</v>
      </c>
      <c r="Q728">
        <v>-6.7811109999999994E-2</v>
      </c>
      <c r="R728">
        <v>-1.273473E-3</v>
      </c>
      <c r="S728">
        <v>2.9614560000000001</v>
      </c>
      <c r="T728">
        <v>-0.66074180000000005</v>
      </c>
      <c r="U728">
        <v>-0.53021240000000003</v>
      </c>
      <c r="V728">
        <v>-9.4459330000000001E-3</v>
      </c>
      <c r="W728">
        <v>-5.3846489999999997E-2</v>
      </c>
      <c r="X728">
        <v>0.99850450000000002</v>
      </c>
      <c r="Y728">
        <v>0.16177569999999999</v>
      </c>
      <c r="Z728">
        <v>-1.664728E-2</v>
      </c>
      <c r="AA728">
        <v>0.98668710000000004</v>
      </c>
      <c r="AB728">
        <v>37</v>
      </c>
      <c r="AC728">
        <v>0.66650000000004095</v>
      </c>
      <c r="AD728">
        <v>-0.195326</v>
      </c>
      <c r="AE728">
        <v>-0.15479999999996599</v>
      </c>
      <c r="AF728">
        <v>0.136512022226847</v>
      </c>
      <c r="AG728">
        <v>-0.195326</v>
      </c>
      <c r="AH728">
        <v>0.61778062839470405</v>
      </c>
      <c r="AI728">
        <v>107.156829370342</v>
      </c>
      <c r="AJ728">
        <v>77.539489431823895</v>
      </c>
      <c r="AK728">
        <v>0.66214853568381304</v>
      </c>
      <c r="AL728">
        <v>93.086669594443293</v>
      </c>
      <c r="AM728">
        <v>90.542006521162193</v>
      </c>
      <c r="AN728">
        <v>0.99999995332790403</v>
      </c>
    </row>
    <row r="729" spans="1:40" x14ac:dyDescent="0.25">
      <c r="A729" t="str">
        <f>"20190303153755246"</f>
        <v>20190303153755246</v>
      </c>
      <c r="B729" t="str">
        <f>"1551598675239406"</f>
        <v>1551598675239406</v>
      </c>
      <c r="C729" t="s">
        <v>40</v>
      </c>
      <c r="D729">
        <v>4.0286879999999998</v>
      </c>
      <c r="E729">
        <v>0.5654399</v>
      </c>
      <c r="F729" t="s">
        <v>44</v>
      </c>
      <c r="G729">
        <v>-361.20440000000002</v>
      </c>
      <c r="H729">
        <v>0.90103500000000003</v>
      </c>
      <c r="I729">
        <v>367.36200000000002</v>
      </c>
      <c r="J729">
        <v>-361.90289999999999</v>
      </c>
      <c r="K729">
        <v>1.120684</v>
      </c>
      <c r="L729">
        <v>367.53519999999997</v>
      </c>
      <c r="M729">
        <v>0.99984289999999998</v>
      </c>
      <c r="N729">
        <v>-1.407514E-2</v>
      </c>
      <c r="O729">
        <v>-1.077476E-2</v>
      </c>
      <c r="P729">
        <v>0.99770639999999999</v>
      </c>
      <c r="Q729">
        <v>-6.768573E-2</v>
      </c>
      <c r="R729">
        <v>-1.083994E-3</v>
      </c>
      <c r="S729">
        <v>2.9612729999999998</v>
      </c>
      <c r="T729">
        <v>-0.66168439999999995</v>
      </c>
      <c r="U729">
        <v>-0.53033450000000004</v>
      </c>
      <c r="V729">
        <v>-9.6764869999999992E-3</v>
      </c>
      <c r="W729">
        <v>-5.3635149999999999E-2</v>
      </c>
      <c r="X729">
        <v>0.99851369999999895</v>
      </c>
      <c r="Y729">
        <v>0.16177339999999901</v>
      </c>
      <c r="Z729">
        <v>-1.6668889999999999E-2</v>
      </c>
      <c r="AA729">
        <v>0.98668710000000004</v>
      </c>
      <c r="AB729">
        <v>37</v>
      </c>
      <c r="AC729">
        <v>0.69849999999996704</v>
      </c>
      <c r="AD729">
        <v>-0.21964900000000001</v>
      </c>
      <c r="AE729">
        <v>-0.17320000000000799</v>
      </c>
      <c r="AF729">
        <v>0.15154560375043999</v>
      </c>
      <c r="AG729">
        <v>-0.21964900000000001</v>
      </c>
      <c r="AH729">
        <v>0.64064565183954603</v>
      </c>
      <c r="AI729">
        <v>108.451165443798</v>
      </c>
      <c r="AJ729">
        <v>76.691243132931604</v>
      </c>
      <c r="AK729">
        <v>0.69400187639371902</v>
      </c>
      <c r="AL729">
        <v>93.074543078363106</v>
      </c>
      <c r="AM729">
        <v>90.555229748693094</v>
      </c>
      <c r="AN729">
        <v>0.99999998640193599</v>
      </c>
    </row>
    <row r="730" spans="1:40" x14ac:dyDescent="0.25">
      <c r="A730" t="str">
        <f>"20190303153755258"</f>
        <v>20190303153755258</v>
      </c>
      <c r="B730" t="str">
        <f>"1551598675250142"</f>
        <v>1551598675250142</v>
      </c>
      <c r="C730" t="s">
        <v>40</v>
      </c>
      <c r="D730">
        <v>4.0313759999999998</v>
      </c>
      <c r="E730">
        <v>0.56544589999999995</v>
      </c>
      <c r="F730" t="s">
        <v>44</v>
      </c>
      <c r="G730">
        <v>-361.17959999999999</v>
      </c>
      <c r="H730">
        <v>0.95894849999999998</v>
      </c>
      <c r="I730">
        <v>367.40559999999999</v>
      </c>
      <c r="J730">
        <v>-361.71120000000002</v>
      </c>
      <c r="K730">
        <v>1.120692</v>
      </c>
      <c r="L730">
        <v>367.53309999999999</v>
      </c>
      <c r="M730">
        <v>0.9998418</v>
      </c>
      <c r="N730">
        <v>-1.41271E-2</v>
      </c>
      <c r="O730">
        <v>-1.080266E-2</v>
      </c>
      <c r="P730">
        <v>0.99771489999999996</v>
      </c>
      <c r="Q730">
        <v>-6.7557179999999994E-2</v>
      </c>
      <c r="R730">
        <v>-9.6402909999999996E-4</v>
      </c>
      <c r="S730">
        <v>2.9614259999999999</v>
      </c>
      <c r="T730">
        <v>-0.66227769999999897</v>
      </c>
      <c r="U730">
        <v>-0.52978519999999996</v>
      </c>
      <c r="V730">
        <v>-9.824658E-3</v>
      </c>
      <c r="W730">
        <v>-5.345461E-2</v>
      </c>
      <c r="X730">
        <v>0.99852189999999996</v>
      </c>
      <c r="Y730">
        <v>0.16155829999999999</v>
      </c>
      <c r="Z730">
        <v>-1.6655799999999998E-2</v>
      </c>
      <c r="AA730">
        <v>0.98672260000000001</v>
      </c>
      <c r="AB730">
        <v>37</v>
      </c>
      <c r="AC730">
        <v>0.53160000000002505</v>
      </c>
      <c r="AD730">
        <v>-0.16174349999999901</v>
      </c>
      <c r="AE730">
        <v>-0.127499999999997</v>
      </c>
      <c r="AF730">
        <v>0.11194952588561</v>
      </c>
      <c r="AG730">
        <v>-0.16174349999999901</v>
      </c>
      <c r="AH730">
        <v>0.49004886924131802</v>
      </c>
      <c r="AI730">
        <v>107.836438624333</v>
      </c>
      <c r="AJ730">
        <v>77.131848126751606</v>
      </c>
      <c r="AK730">
        <v>0.52805449565642104</v>
      </c>
      <c r="AL730">
        <v>93.0641841430417</v>
      </c>
      <c r="AM730">
        <v>90.563726518651606</v>
      </c>
      <c r="AN730">
        <v>0.99999995200733804</v>
      </c>
    </row>
    <row r="731" spans="1:40" x14ac:dyDescent="0.25">
      <c r="A731" t="str">
        <f>"20190303153755271"</f>
        <v>20190303153755271</v>
      </c>
      <c r="B731" t="str">
        <f>"1551598675259902"</f>
        <v>1551598675259902</v>
      </c>
      <c r="C731" t="s">
        <v>40</v>
      </c>
      <c r="D731">
        <v>4.0199939999999996</v>
      </c>
      <c r="E731">
        <v>0.56544749999999999</v>
      </c>
      <c r="F731" t="s">
        <v>44</v>
      </c>
      <c r="G731">
        <v>-360.86610000000002</v>
      </c>
      <c r="H731">
        <v>0.93166879999999996</v>
      </c>
      <c r="I731">
        <v>367.3818</v>
      </c>
      <c r="J731">
        <v>-361.50560000000002</v>
      </c>
      <c r="K731">
        <v>1.1207</v>
      </c>
      <c r="L731">
        <v>367.53089999999997</v>
      </c>
      <c r="M731">
        <v>0.99984099999999998</v>
      </c>
      <c r="N731">
        <v>-1.4180099999999999E-2</v>
      </c>
      <c r="O731">
        <v>-1.0832960000000001E-2</v>
      </c>
      <c r="P731">
        <v>0.99772269999999996</v>
      </c>
      <c r="Q731">
        <v>-6.7449789999999996E-2</v>
      </c>
      <c r="R731">
        <v>-6.0092689999999998E-4</v>
      </c>
      <c r="S731">
        <v>2.9615480000000001</v>
      </c>
      <c r="T731">
        <v>-0.66244759999999903</v>
      </c>
      <c r="U731">
        <v>-0.52975459999999996</v>
      </c>
      <c r="V731">
        <v>-1.0217550000000001E-2</v>
      </c>
      <c r="W731">
        <v>-5.3294170000000002E-2</v>
      </c>
      <c r="X731">
        <v>0.99852660000000004</v>
      </c>
      <c r="Y731">
        <v>0.16151070000000001</v>
      </c>
      <c r="Z731">
        <v>-1.6652210000000001E-2</v>
      </c>
      <c r="AA731">
        <v>0.98673049999999995</v>
      </c>
      <c r="AB731">
        <v>36</v>
      </c>
      <c r="AC731">
        <v>0.63949999999999796</v>
      </c>
      <c r="AD731">
        <v>-0.18903120000000001</v>
      </c>
      <c r="AE731">
        <v>-0.149099999999975</v>
      </c>
      <c r="AF731">
        <v>0.13128342181694899</v>
      </c>
      <c r="AG731">
        <v>-0.18903120000000001</v>
      </c>
      <c r="AH731">
        <v>0.59201735747300499</v>
      </c>
      <c r="AI731">
        <v>107.31368565566601</v>
      </c>
      <c r="AJ731">
        <v>77.496648397535395</v>
      </c>
      <c r="AK731">
        <v>0.63517925262616004</v>
      </c>
      <c r="AL731">
        <v>93.0549782811797</v>
      </c>
      <c r="AM731">
        <v>90.586265864829997</v>
      </c>
      <c r="AN731">
        <v>1.0000000188957701</v>
      </c>
    </row>
    <row r="732" spans="1:40" x14ac:dyDescent="0.25">
      <c r="A732" t="str">
        <f>"20190303153755284"</f>
        <v>20190303153755284</v>
      </c>
      <c r="B732" t="str">
        <f>"1551598675279421"</f>
        <v>1551598675279421</v>
      </c>
      <c r="C732" t="s">
        <v>40</v>
      </c>
      <c r="D732">
        <v>3.9908290000000002</v>
      </c>
      <c r="E732">
        <v>0.565353199999999</v>
      </c>
      <c r="F732" t="s">
        <v>44</v>
      </c>
      <c r="G732">
        <v>-360.55040000000002</v>
      </c>
      <c r="H732">
        <v>0.90701270000000001</v>
      </c>
      <c r="I732">
        <v>367.3603</v>
      </c>
      <c r="J732">
        <v>-361.29500000000002</v>
      </c>
      <c r="K732">
        <v>1.120709</v>
      </c>
      <c r="L732">
        <v>367.52859999999998</v>
      </c>
      <c r="M732">
        <v>0.99983979999999995</v>
      </c>
      <c r="N732">
        <v>-1.4228630000000001E-2</v>
      </c>
      <c r="O732">
        <v>-1.08637E-2</v>
      </c>
      <c r="P732">
        <v>0.99773060000000002</v>
      </c>
      <c r="Q732">
        <v>-6.733306E-2</v>
      </c>
      <c r="R732">
        <v>-2.8125049999999999E-4</v>
      </c>
      <c r="S732">
        <v>2.9617</v>
      </c>
      <c r="T732">
        <v>-0.66253719999999905</v>
      </c>
      <c r="U732">
        <v>-0.52847290000000002</v>
      </c>
      <c r="V732">
        <v>-1.0568080000000001E-2</v>
      </c>
      <c r="W732">
        <v>-5.3128889999999998E-2</v>
      </c>
      <c r="X732">
        <v>0.99853179999999997</v>
      </c>
      <c r="Y732">
        <v>0.16106770000000001</v>
      </c>
      <c r="Z732">
        <v>-1.6600420000000001E-2</v>
      </c>
      <c r="AA732">
        <v>0.98680380000000001</v>
      </c>
      <c r="AB732">
        <v>36</v>
      </c>
      <c r="AC732">
        <v>0.74459999999999105</v>
      </c>
      <c r="AD732">
        <v>-0.21369629999999901</v>
      </c>
      <c r="AE732">
        <v>-0.16829999999998699</v>
      </c>
      <c r="AF732">
        <v>0.148558694707669</v>
      </c>
      <c r="AG732">
        <v>-0.21369629999999901</v>
      </c>
      <c r="AH732">
        <v>0.69214623466166902</v>
      </c>
      <c r="AI732">
        <v>106.79746099639701</v>
      </c>
      <c r="AJ732">
        <v>77.886119189644901</v>
      </c>
      <c r="AK732">
        <v>0.73946075255097998</v>
      </c>
      <c r="AL732">
        <v>93.045494876002394</v>
      </c>
      <c r="AM732">
        <v>90.6063740532678</v>
      </c>
      <c r="AN732">
        <v>1.0000000594393701</v>
      </c>
    </row>
    <row r="733" spans="1:40" x14ac:dyDescent="0.25">
      <c r="A733" t="str">
        <f>"20190303153755297"</f>
        <v>20190303153755297</v>
      </c>
      <c r="B733" t="str">
        <f>"1551598675290159"</f>
        <v>1551598675290159</v>
      </c>
      <c r="C733" t="s">
        <v>40</v>
      </c>
      <c r="D733">
        <v>3.9496639999999998</v>
      </c>
      <c r="E733">
        <v>0.54308859999999903</v>
      </c>
      <c r="F733" t="s">
        <v>44</v>
      </c>
      <c r="G733">
        <v>-360.53199999999998</v>
      </c>
      <c r="H733">
        <v>0.95013000000000003</v>
      </c>
      <c r="I733">
        <v>367.39280000000002</v>
      </c>
      <c r="J733">
        <v>-361.06849999999997</v>
      </c>
      <c r="K733">
        <v>1.120717</v>
      </c>
      <c r="L733">
        <v>367.52609999999999</v>
      </c>
      <c r="M733">
        <v>0.99983880000000003</v>
      </c>
      <c r="N733">
        <v>-1.427643E-2</v>
      </c>
      <c r="O733">
        <v>-1.0896579999999999E-2</v>
      </c>
      <c r="P733">
        <v>0.99775119999999895</v>
      </c>
      <c r="Q733">
        <v>-6.7029060000000001E-2</v>
      </c>
      <c r="R733" s="1">
        <v>7.9089539999999998E-5</v>
      </c>
      <c r="S733">
        <v>2.9620060000000001</v>
      </c>
      <c r="T733">
        <v>-0.66230919999999904</v>
      </c>
      <c r="U733">
        <v>-0.52676389999999995</v>
      </c>
      <c r="V733">
        <v>-1.096158E-2</v>
      </c>
      <c r="W733">
        <v>-5.2776879999999998E-2</v>
      </c>
      <c r="X733">
        <v>0.99854620000000005</v>
      </c>
      <c r="Y733">
        <v>0.1604833</v>
      </c>
      <c r="Z733">
        <v>-1.6523840000000001E-2</v>
      </c>
      <c r="AA733">
        <v>0.98690020000000001</v>
      </c>
      <c r="AB733">
        <v>36</v>
      </c>
      <c r="AC733">
        <v>0.53649999999998899</v>
      </c>
      <c r="AD733">
        <v>-0.17058699999999999</v>
      </c>
      <c r="AE733">
        <v>-0.133299999999962</v>
      </c>
      <c r="AF733">
        <v>0.116364978322174</v>
      </c>
      <c r="AG733">
        <v>-0.17058699999999999</v>
      </c>
      <c r="AH733">
        <v>0.491152339434966</v>
      </c>
      <c r="AI733">
        <v>108.673407228046</v>
      </c>
      <c r="AJ733">
        <v>76.671114027127103</v>
      </c>
      <c r="AK733">
        <v>0.53279578947412898</v>
      </c>
      <c r="AL733">
        <v>93.025297929340596</v>
      </c>
      <c r="AM733">
        <v>90.628941399526695</v>
      </c>
      <c r="AN733">
        <v>1.0000000344165301</v>
      </c>
    </row>
    <row r="734" spans="1:40" x14ac:dyDescent="0.25">
      <c r="A734" t="str">
        <f>"20190303153755313"</f>
        <v>20190303153755313</v>
      </c>
      <c r="B734" t="str">
        <f>"1551598675309677"</f>
        <v>1551598675309677</v>
      </c>
      <c r="C734" t="s">
        <v>40</v>
      </c>
      <c r="D734">
        <v>4.0046390000000001</v>
      </c>
      <c r="E734">
        <v>0.53434879999999996</v>
      </c>
      <c r="F734" t="s">
        <v>44</v>
      </c>
      <c r="G734">
        <v>-360.18079999999998</v>
      </c>
      <c r="H734">
        <v>1.004237</v>
      </c>
      <c r="I734">
        <v>367.42290000000003</v>
      </c>
      <c r="J734">
        <v>-360.82760000000002</v>
      </c>
      <c r="K734">
        <v>1.1207279999999999</v>
      </c>
      <c r="L734">
        <v>367.52350000000001</v>
      </c>
      <c r="M734">
        <v>0.9998378</v>
      </c>
      <c r="N734">
        <v>-1.432307E-2</v>
      </c>
      <c r="O734">
        <v>-1.093148E-2</v>
      </c>
      <c r="P734">
        <v>0.99779819999999997</v>
      </c>
      <c r="Q734">
        <v>-6.6317249999999994E-2</v>
      </c>
      <c r="R734">
        <v>9.5351379999999996E-4</v>
      </c>
      <c r="S734">
        <v>2.9804689999999998</v>
      </c>
      <c r="T734">
        <v>-0.39130530000000002</v>
      </c>
      <c r="U734">
        <v>-0.34545900000000002</v>
      </c>
      <c r="V734">
        <v>-1.1871E-2</v>
      </c>
      <c r="W734">
        <v>-5.2017899999999999E-2</v>
      </c>
      <c r="X734">
        <v>0.99857560000000001</v>
      </c>
      <c r="Y734">
        <v>0.103371</v>
      </c>
      <c r="Z734">
        <v>-6.2121919999999897E-3</v>
      </c>
      <c r="AA734">
        <v>0.99462349999999999</v>
      </c>
      <c r="AB734">
        <v>36</v>
      </c>
      <c r="AC734">
        <v>0.64680000000004101</v>
      </c>
      <c r="AD734">
        <v>-0.116491</v>
      </c>
      <c r="AE734">
        <v>-0.10059999999998499</v>
      </c>
      <c r="AF734">
        <v>9.0651738170196297E-2</v>
      </c>
      <c r="AG734">
        <v>-0.116491</v>
      </c>
      <c r="AH734">
        <v>0.62797255723560597</v>
      </c>
      <c r="AI734">
        <v>100.403650049992</v>
      </c>
      <c r="AJ734">
        <v>81.785742967546099</v>
      </c>
      <c r="AK734">
        <v>0.64508714400095102</v>
      </c>
      <c r="AL734">
        <v>92.9817518458443</v>
      </c>
      <c r="AM734">
        <v>90.681096314250794</v>
      </c>
      <c r="AN734">
        <v>1.00000000573838</v>
      </c>
    </row>
    <row r="735" spans="1:40" x14ac:dyDescent="0.25">
      <c r="A735" t="str">
        <f>"20190303153755327"</f>
        <v>20190303153755327</v>
      </c>
      <c r="B735" t="str">
        <f>"1551598675319437"</f>
        <v>1551598675319437</v>
      </c>
      <c r="C735" t="s">
        <v>40</v>
      </c>
      <c r="D735">
        <v>4.0157379999999998</v>
      </c>
      <c r="E735">
        <v>0.53019269999999996</v>
      </c>
      <c r="F735" t="s">
        <v>44</v>
      </c>
      <c r="G735">
        <v>-359.83080000000001</v>
      </c>
      <c r="H735">
        <v>1.049466</v>
      </c>
      <c r="I735">
        <v>367.43299999999999</v>
      </c>
      <c r="J735">
        <v>-360.60120000000001</v>
      </c>
      <c r="K735">
        <v>1.120738</v>
      </c>
      <c r="L735">
        <v>367.52089999999998</v>
      </c>
      <c r="M735">
        <v>0.99983690000000003</v>
      </c>
      <c r="N735">
        <v>-1.4362339999999999E-2</v>
      </c>
      <c r="O735">
        <v>-1.0964430000000001E-2</v>
      </c>
      <c r="P735">
        <v>0.99781600000000004</v>
      </c>
      <c r="Q735">
        <v>-6.6048629999999997E-2</v>
      </c>
      <c r="R735">
        <v>1.1674400000000001E-3</v>
      </c>
      <c r="S735">
        <v>2.992645</v>
      </c>
      <c r="T735">
        <v>-0.21402879999999999</v>
      </c>
      <c r="U735">
        <v>-0.27124019999999999</v>
      </c>
      <c r="V735">
        <v>-1.2117849999999999E-2</v>
      </c>
      <c r="W735">
        <v>-5.1709810000000002E-2</v>
      </c>
      <c r="X735">
        <v>0.99858860000000005</v>
      </c>
      <c r="Y735">
        <v>7.9116130000000007E-2</v>
      </c>
      <c r="Z735">
        <v>-2.7655330000000001E-3</v>
      </c>
      <c r="AA735">
        <v>0.99686160000000001</v>
      </c>
      <c r="AB735">
        <v>36</v>
      </c>
      <c r="AC735">
        <v>0.77039999999999498</v>
      </c>
      <c r="AD735">
        <v>-7.1272000000000002E-2</v>
      </c>
      <c r="AE735">
        <v>-8.7899999999933698E-2</v>
      </c>
      <c r="AF735">
        <v>7.87812517582894E-2</v>
      </c>
      <c r="AG735">
        <v>-7.1272000000000002E-2</v>
      </c>
      <c r="AH735">
        <v>0.76485554403106504</v>
      </c>
      <c r="AI735">
        <v>95.295796597380004</v>
      </c>
      <c r="AJ735">
        <v>84.119188600041298</v>
      </c>
      <c r="AK735">
        <v>0.772198282080231</v>
      </c>
      <c r="AL735">
        <v>92.964075907940199</v>
      </c>
      <c r="AM735">
        <v>90.695248858606504</v>
      </c>
      <c r="AN735">
        <v>0.99999996939440805</v>
      </c>
    </row>
    <row r="736" spans="1:40" x14ac:dyDescent="0.25">
      <c r="A736" t="str">
        <f>"20190303153755340"</f>
        <v>20190303153755340</v>
      </c>
      <c r="B736" t="str">
        <f>"1551598675330174"</f>
        <v>1551598675330174</v>
      </c>
      <c r="C736" t="s">
        <v>40</v>
      </c>
      <c r="D736">
        <v>4.006513</v>
      </c>
      <c r="E736">
        <v>0.5274413</v>
      </c>
      <c r="F736" t="s">
        <v>42</v>
      </c>
      <c r="G736">
        <v>-340.13549999999998</v>
      </c>
      <c r="H736" s="1">
        <v>-5.3023150000000002E-6</v>
      </c>
      <c r="I736">
        <v>365.90219999999999</v>
      </c>
      <c r="J736">
        <v>-360.38409999999999</v>
      </c>
      <c r="K736">
        <v>1.1207400000000001</v>
      </c>
      <c r="L736">
        <v>367.51859999999999</v>
      </c>
      <c r="M736">
        <v>0.99983599999999995</v>
      </c>
      <c r="N736">
        <v>-1.439586E-2</v>
      </c>
      <c r="O736">
        <v>-1.099602E-2</v>
      </c>
      <c r="P736">
        <v>0.99783180000000005</v>
      </c>
      <c r="Q736">
        <v>-6.5793439999999995E-2</v>
      </c>
      <c r="R736">
        <v>1.7878219999999999E-3</v>
      </c>
      <c r="S736">
        <v>2.9960019999999998</v>
      </c>
      <c r="T736">
        <v>-0.1640674</v>
      </c>
      <c r="U736">
        <v>-0.23696900000000001</v>
      </c>
      <c r="V736">
        <v>-1.2769900000000001E-2</v>
      </c>
      <c r="W736">
        <v>-5.1420939999999998E-2</v>
      </c>
      <c r="X736">
        <v>0.99859540000000002</v>
      </c>
      <c r="Y736">
        <v>6.7762439999999993E-2</v>
      </c>
      <c r="Z736">
        <v>-1.8974160000000001E-3</v>
      </c>
      <c r="AA736">
        <v>0.99769969999999997</v>
      </c>
      <c r="AB736">
        <v>36</v>
      </c>
      <c r="AC736">
        <v>20.2486</v>
      </c>
      <c r="AD736">
        <v>-1.120745302315</v>
      </c>
      <c r="AE736">
        <v>-1.6163999999999901</v>
      </c>
      <c r="AF736">
        <v>1.3893956701255801</v>
      </c>
      <c r="AG736">
        <v>-1.120745302315</v>
      </c>
      <c r="AH736">
        <v>20.2036485595012</v>
      </c>
      <c r="AI736">
        <v>93.167615406766501</v>
      </c>
      <c r="AJ736">
        <v>86.065989288692904</v>
      </c>
      <c r="AK736">
        <v>20.282354534833001</v>
      </c>
      <c r="AL736">
        <v>92.947502801213005</v>
      </c>
      <c r="AM736">
        <v>90.732650576999603</v>
      </c>
      <c r="AN736">
        <v>0.99999997815882602</v>
      </c>
    </row>
    <row r="737" spans="1:40" x14ac:dyDescent="0.25">
      <c r="A737" t="str">
        <f>"20190303153755352"</f>
        <v>20190303153755352</v>
      </c>
      <c r="B737" t="str">
        <f>"1551598675349693"</f>
        <v>1551598675349693</v>
      </c>
      <c r="C737" t="s">
        <v>40</v>
      </c>
      <c r="D737">
        <v>3.9739840000000002</v>
      </c>
      <c r="E737">
        <v>0.52465030000000001</v>
      </c>
      <c r="F737" t="s">
        <v>42</v>
      </c>
      <c r="G737">
        <v>-334.56479999999999</v>
      </c>
      <c r="H737" s="1">
        <v>-3.0114379999999999E-6</v>
      </c>
      <c r="I737">
        <v>365.68470000000002</v>
      </c>
      <c r="J737">
        <v>-360.18419999999998</v>
      </c>
      <c r="K737">
        <v>1.120749</v>
      </c>
      <c r="L737">
        <v>367.5163</v>
      </c>
      <c r="M737">
        <v>0.99983520000000004</v>
      </c>
      <c r="N737">
        <v>-1.442481E-2</v>
      </c>
      <c r="O737">
        <v>-1.102507E-2</v>
      </c>
      <c r="P737">
        <v>0.99783440000000001</v>
      </c>
      <c r="Q737">
        <v>-6.5746860000000004E-2</v>
      </c>
      <c r="R737">
        <v>2.0425410000000001E-3</v>
      </c>
      <c r="S737">
        <v>2.998291</v>
      </c>
      <c r="T737">
        <v>-0.13014700000000001</v>
      </c>
      <c r="U737">
        <v>-0.21295169999999999</v>
      </c>
      <c r="V737">
        <v>-1.3053749999999999E-2</v>
      </c>
      <c r="W737">
        <v>-5.1345410000000001E-2</v>
      </c>
      <c r="X737">
        <v>0.99859569999999998</v>
      </c>
      <c r="Y737">
        <v>5.9772970000000002E-2</v>
      </c>
      <c r="Z737">
        <v>-1.408112E-3</v>
      </c>
      <c r="AA737">
        <v>0.99821099999999996</v>
      </c>
      <c r="AB737">
        <v>36</v>
      </c>
      <c r="AC737">
        <v>25.619399999999899</v>
      </c>
      <c r="AD737">
        <v>-1.1207520114380001</v>
      </c>
      <c r="AE737">
        <v>-1.8315999999999799</v>
      </c>
      <c r="AF737">
        <v>1.5460598961001899</v>
      </c>
      <c r="AG737">
        <v>-1.1207520114380001</v>
      </c>
      <c r="AH737">
        <v>25.589316133176698</v>
      </c>
      <c r="AI737">
        <v>92.503259103049601</v>
      </c>
      <c r="AJ737">
        <v>86.542496260136502</v>
      </c>
      <c r="AK737">
        <v>25.6604654368764</v>
      </c>
      <c r="AL737">
        <v>92.943169280336704</v>
      </c>
      <c r="AM737">
        <v>90.7489339122872</v>
      </c>
      <c r="AN737">
        <v>1.0000000617878</v>
      </c>
    </row>
    <row r="738" spans="1:40" x14ac:dyDescent="0.25">
      <c r="A738" t="str">
        <f>"20190303153755368"</f>
        <v>20190303153755368</v>
      </c>
      <c r="B738" t="str">
        <f>"1551598675359463"</f>
        <v>1551598675359463</v>
      </c>
      <c r="C738" t="s">
        <v>40</v>
      </c>
      <c r="D738">
        <v>3.9763600000000001</v>
      </c>
      <c r="E738">
        <v>0.52321770000000001</v>
      </c>
      <c r="F738" t="s">
        <v>42</v>
      </c>
      <c r="G738">
        <v>-320.96069999999997</v>
      </c>
      <c r="H738" s="1">
        <v>-4.672356E-6</v>
      </c>
      <c r="I738">
        <v>365.03750000000002</v>
      </c>
      <c r="J738">
        <v>-359.92610000000002</v>
      </c>
      <c r="K738">
        <v>1.1207579999999999</v>
      </c>
      <c r="L738">
        <v>367.51339999999999</v>
      </c>
      <c r="M738">
        <v>0.99983429999999995</v>
      </c>
      <c r="N738">
        <v>-1.4458459999999999E-2</v>
      </c>
      <c r="O738">
        <v>-1.106261E-2</v>
      </c>
      <c r="P738">
        <v>0.99786509999999995</v>
      </c>
      <c r="Q738">
        <v>-6.5257350000000006E-2</v>
      </c>
      <c r="R738">
        <v>2.6422170000000001E-3</v>
      </c>
      <c r="S738">
        <v>3.0012509999999999</v>
      </c>
      <c r="T738">
        <v>-8.5756180000000001E-2</v>
      </c>
      <c r="U738">
        <v>-0.18966669999999999</v>
      </c>
      <c r="V738">
        <v>-1.369075E-2</v>
      </c>
      <c r="W738">
        <v>-5.0821909999999998E-2</v>
      </c>
      <c r="X738">
        <v>0.99861390000000005</v>
      </c>
      <c r="Y738">
        <v>5.1993709999999999E-2</v>
      </c>
      <c r="Z738">
        <v>-9.6242530000000004E-4</v>
      </c>
      <c r="AA738">
        <v>0.99864699999999995</v>
      </c>
      <c r="AB738">
        <v>36</v>
      </c>
      <c r="AC738">
        <v>38.965400000000002</v>
      </c>
      <c r="AD738">
        <v>-1.120762672356</v>
      </c>
      <c r="AE738">
        <v>-2.4758999999999598</v>
      </c>
      <c r="AF738">
        <v>2.0429610186579299</v>
      </c>
      <c r="AG738">
        <v>-1.120762672356</v>
      </c>
      <c r="AH738">
        <v>38.958306841371503</v>
      </c>
      <c r="AI738">
        <v>91.645585533513497</v>
      </c>
      <c r="AJ738">
        <v>86.998177416955699</v>
      </c>
      <c r="AK738">
        <v>39.027931928786103</v>
      </c>
      <c r="AL738">
        <v>92.913135873308704</v>
      </c>
      <c r="AM738">
        <v>90.785461781518705</v>
      </c>
      <c r="AN738">
        <v>1.00000001222241</v>
      </c>
    </row>
    <row r="739" spans="1:40" x14ac:dyDescent="0.25">
      <c r="A739" t="str">
        <f>"20190303153755379"</f>
        <v>20190303153755379</v>
      </c>
      <c r="B739" t="str">
        <f>"1551598675369213"</f>
        <v>1551598675369213</v>
      </c>
      <c r="C739" t="s">
        <v>40</v>
      </c>
      <c r="D739">
        <v>4.0399079999999996</v>
      </c>
      <c r="E739">
        <v>0.52162050000000004</v>
      </c>
      <c r="F739" t="s">
        <v>43</v>
      </c>
      <c r="G739">
        <v>-311.32549999999998</v>
      </c>
      <c r="H739">
        <v>-0.05</v>
      </c>
      <c r="I739">
        <v>364.66239999999999</v>
      </c>
      <c r="J739">
        <v>-359.738</v>
      </c>
      <c r="K739">
        <v>1.1207640000000001</v>
      </c>
      <c r="L739">
        <v>367.51130000000001</v>
      </c>
      <c r="M739">
        <v>0.99983359999999999</v>
      </c>
      <c r="N739">
        <v>-1.4479880000000001E-2</v>
      </c>
      <c r="O739">
        <v>-1.108838E-2</v>
      </c>
      <c r="P739">
        <v>0.99789329999999998</v>
      </c>
      <c r="Q739">
        <v>-6.4822329999999997E-2</v>
      </c>
      <c r="R739">
        <v>2.6622009999999999E-3</v>
      </c>
      <c r="S739">
        <v>3.0021969999999998</v>
      </c>
      <c r="T739">
        <v>-7.2321060000000006E-2</v>
      </c>
      <c r="U739">
        <v>-0.17611689999999999</v>
      </c>
      <c r="V739">
        <v>-1.3736780000000001E-2</v>
      </c>
      <c r="W739">
        <v>-5.0365189999999997E-2</v>
      </c>
      <c r="X739">
        <v>0.99863639999999998</v>
      </c>
      <c r="Y739">
        <v>4.7466410000000001E-2</v>
      </c>
      <c r="Z739">
        <v>-8.0880800000000005E-4</v>
      </c>
      <c r="AA739">
        <v>0.99887250000000005</v>
      </c>
      <c r="AB739">
        <v>36</v>
      </c>
      <c r="AC739">
        <v>48.412500000000001</v>
      </c>
      <c r="AD739">
        <v>-1.1707639999999999</v>
      </c>
      <c r="AE739">
        <v>-2.8489000000000102</v>
      </c>
      <c r="AF739">
        <v>2.3105057240643201</v>
      </c>
      <c r="AG739">
        <v>-1.1707639999999999</v>
      </c>
      <c r="AH739">
        <v>48.4129008502684</v>
      </c>
      <c r="AI739">
        <v>91.383733359561504</v>
      </c>
      <c r="AJ739">
        <v>87.267632110205</v>
      </c>
      <c r="AK739">
        <v>48.482142009017601</v>
      </c>
      <c r="AL739">
        <v>92.886934208749807</v>
      </c>
      <c r="AM739">
        <v>90.788084514675901</v>
      </c>
      <c r="AN739">
        <v>1.00000000544673</v>
      </c>
    </row>
    <row r="740" spans="1:40" x14ac:dyDescent="0.25">
      <c r="A740" t="str">
        <f>"20190303153755391"</f>
        <v>20190303153755391</v>
      </c>
      <c r="B740" t="str">
        <f>"1551598675379950"</f>
        <v>1551598675379950</v>
      </c>
      <c r="C740" t="s">
        <v>40</v>
      </c>
      <c r="D740">
        <v>4.0606260000000001</v>
      </c>
      <c r="E740">
        <v>0.52042239999999995</v>
      </c>
      <c r="F740" t="s">
        <v>43</v>
      </c>
      <c r="G740">
        <v>-309.68869999999998</v>
      </c>
      <c r="H740">
        <v>-0.05</v>
      </c>
      <c r="I740">
        <v>364.78890000000001</v>
      </c>
      <c r="J740">
        <v>-359.55119999999999</v>
      </c>
      <c r="K740">
        <v>1.120771</v>
      </c>
      <c r="L740">
        <v>367.50920000000002</v>
      </c>
      <c r="M740">
        <v>0.99983319999999998</v>
      </c>
      <c r="N740">
        <v>-1.4500310000000001E-2</v>
      </c>
      <c r="O740">
        <v>-1.1113420000000001E-2</v>
      </c>
      <c r="P740">
        <v>0.99791510000000005</v>
      </c>
      <c r="Q740">
        <v>-6.4481559999999993E-2</v>
      </c>
      <c r="R740">
        <v>2.7927440000000002E-3</v>
      </c>
      <c r="S740">
        <v>3.0021969999999998</v>
      </c>
      <c r="T740">
        <v>-7.0227979999999995E-2</v>
      </c>
      <c r="U740">
        <v>-0.16329959999999999</v>
      </c>
      <c r="V740">
        <v>-1.389227E-2</v>
      </c>
      <c r="W740">
        <v>-5.0003770000000003E-2</v>
      </c>
      <c r="X740">
        <v>0.9986524</v>
      </c>
      <c r="Y740">
        <v>4.3192849999999998E-2</v>
      </c>
      <c r="Z740">
        <v>-7.195452E-4</v>
      </c>
      <c r="AA740">
        <v>0.99906649999999997</v>
      </c>
      <c r="AB740">
        <v>36</v>
      </c>
      <c r="AC740">
        <v>49.862499999999997</v>
      </c>
      <c r="AD740">
        <v>-1.170771</v>
      </c>
      <c r="AE740">
        <v>-2.7202999999999999</v>
      </c>
      <c r="AF740">
        <v>2.1647409516826999</v>
      </c>
      <c r="AG740">
        <v>-1.170771</v>
      </c>
      <c r="AH740">
        <v>49.862247082834401</v>
      </c>
      <c r="AI740">
        <v>91.343798660339601</v>
      </c>
      <c r="AJ740">
        <v>87.514097523354195</v>
      </c>
      <c r="AK740">
        <v>49.922945548835202</v>
      </c>
      <c r="AL740">
        <v>92.866200275138198</v>
      </c>
      <c r="AM740">
        <v>90.796991125747795</v>
      </c>
      <c r="AN740">
        <v>0.999999994102862</v>
      </c>
    </row>
    <row r="741" spans="1:40" x14ac:dyDescent="0.25">
      <c r="A741" t="str">
        <f>"20190303153755402"</f>
        <v>20190303153755402</v>
      </c>
      <c r="B741" t="str">
        <f>"1551598675399469"</f>
        <v>1551598675399469</v>
      </c>
      <c r="C741" t="s">
        <v>40</v>
      </c>
      <c r="D741">
        <v>4.0713179999999998</v>
      </c>
      <c r="E741">
        <v>0.51869009999999904</v>
      </c>
      <c r="F741" t="s">
        <v>43</v>
      </c>
      <c r="G741">
        <v>-308.72179999999997</v>
      </c>
      <c r="H741">
        <v>-0.05</v>
      </c>
      <c r="I741">
        <v>364.9171</v>
      </c>
      <c r="J741">
        <v>-359.36970000000002</v>
      </c>
      <c r="K741">
        <v>1.1207800000000001</v>
      </c>
      <c r="L741">
        <v>367.50720000000001</v>
      </c>
      <c r="M741">
        <v>0.99983259999999996</v>
      </c>
      <c r="N741">
        <v>-1.451789E-2</v>
      </c>
      <c r="O741">
        <v>-1.1136170000000001E-2</v>
      </c>
      <c r="P741">
        <v>0.99790630000000002</v>
      </c>
      <c r="Q741">
        <v>-6.4622170000000007E-2</v>
      </c>
      <c r="R741">
        <v>2.7102810000000001E-3</v>
      </c>
      <c r="S741">
        <v>3.0022280000000001</v>
      </c>
      <c r="T741">
        <v>-6.9151279999999996E-2</v>
      </c>
      <c r="U741">
        <v>-0.15310670000000001</v>
      </c>
      <c r="V741">
        <v>-1.3832179999999999E-2</v>
      </c>
      <c r="W741">
        <v>-5.012697E-2</v>
      </c>
      <c r="X741">
        <v>0.99864699999999995</v>
      </c>
      <c r="Y741">
        <v>3.9788690000000002E-2</v>
      </c>
      <c r="Z741">
        <v>-6.522667E-4</v>
      </c>
      <c r="AA741">
        <v>0.99920790000000004</v>
      </c>
      <c r="AB741">
        <v>36</v>
      </c>
      <c r="AC741">
        <v>50.6479</v>
      </c>
      <c r="AD741">
        <v>-1.1707799999999999</v>
      </c>
      <c r="AE741">
        <v>-2.5901000000000001</v>
      </c>
      <c r="AF741">
        <v>2.0247771641354699</v>
      </c>
      <c r="AG741">
        <v>-1.1707799999999999</v>
      </c>
      <c r="AH741">
        <v>50.646612999315401</v>
      </c>
      <c r="AI741">
        <v>91.323193980364707</v>
      </c>
      <c r="AJ741">
        <v>87.710618103287302</v>
      </c>
      <c r="AK741">
        <v>50.700590299080602</v>
      </c>
      <c r="AL741">
        <v>92.873268144265495</v>
      </c>
      <c r="AM741">
        <v>90.793548530982903</v>
      </c>
      <c r="AN741">
        <v>0.99999993646696395</v>
      </c>
    </row>
    <row r="742" spans="1:40" x14ac:dyDescent="0.25">
      <c r="A742" t="str">
        <f>"20190303153755414"</f>
        <v>20190303153755414</v>
      </c>
      <c r="B742" t="str">
        <f>"1551598675409229"</f>
        <v>1551598675409229</v>
      </c>
      <c r="C742" t="s">
        <v>40</v>
      </c>
      <c r="D742">
        <v>4.0815440000000001</v>
      </c>
      <c r="E742">
        <v>0.51802060000000005</v>
      </c>
      <c r="F742" t="s">
        <v>43</v>
      </c>
      <c r="G742">
        <v>-309.67020000000002</v>
      </c>
      <c r="H742">
        <v>-0.05</v>
      </c>
      <c r="I742">
        <v>365.19380000000001</v>
      </c>
      <c r="J742">
        <v>-359.19959999999998</v>
      </c>
      <c r="K742">
        <v>1.120789</v>
      </c>
      <c r="L742">
        <v>367.50529999999998</v>
      </c>
      <c r="M742">
        <v>0.99983230000000001</v>
      </c>
      <c r="N742">
        <v>-1.453347E-2</v>
      </c>
      <c r="O742">
        <v>-1.115712E-2</v>
      </c>
      <c r="P742">
        <v>0.99789139999999998</v>
      </c>
      <c r="Q742">
        <v>-6.486691E-2</v>
      </c>
      <c r="R742">
        <v>2.4025129999999998E-3</v>
      </c>
      <c r="S742">
        <v>3.002075</v>
      </c>
      <c r="T742">
        <v>-7.0720430000000001E-2</v>
      </c>
      <c r="U742">
        <v>-0.13974</v>
      </c>
      <c r="V742">
        <v>-1.3545359999999999E-2</v>
      </c>
      <c r="W742">
        <v>-5.0356390000000001E-2</v>
      </c>
      <c r="X742">
        <v>0.99863950000000001</v>
      </c>
      <c r="Y742">
        <v>3.5332950000000002E-2</v>
      </c>
      <c r="Z742">
        <v>-5.7230129999999999E-4</v>
      </c>
      <c r="AA742">
        <v>0.99937540000000002</v>
      </c>
      <c r="AB742">
        <v>36</v>
      </c>
      <c r="AC742">
        <v>49.529399999999903</v>
      </c>
      <c r="AD742">
        <v>-1.1707889999999901</v>
      </c>
      <c r="AE742">
        <v>-2.3114999999999601</v>
      </c>
      <c r="AF742">
        <v>1.7577123396790699</v>
      </c>
      <c r="AG742">
        <v>-1.1707889999999901</v>
      </c>
      <c r="AH742">
        <v>49.524496375685203</v>
      </c>
      <c r="AI742">
        <v>91.353402743618503</v>
      </c>
      <c r="AJ742">
        <v>87.967324229878898</v>
      </c>
      <c r="AK742">
        <v>49.569507167379001</v>
      </c>
      <c r="AL742">
        <v>92.886429245608696</v>
      </c>
      <c r="AM742">
        <v>90.777101617622293</v>
      </c>
      <c r="AN742">
        <v>1.0000000468757999</v>
      </c>
    </row>
    <row r="743" spans="1:40" x14ac:dyDescent="0.25">
      <c r="A743" t="str">
        <f>"20190303153755424"</f>
        <v>20190303153755424</v>
      </c>
      <c r="B743" t="str">
        <f>"1551598675419966"</f>
        <v>1551598675419966</v>
      </c>
      <c r="C743" t="s">
        <v>40</v>
      </c>
      <c r="D743">
        <v>4.0677130000000004</v>
      </c>
      <c r="E743">
        <v>0.51745620000000003</v>
      </c>
      <c r="F743" t="s">
        <v>43</v>
      </c>
      <c r="G743">
        <v>-310.23239999999998</v>
      </c>
      <c r="H743">
        <v>-0.05</v>
      </c>
      <c r="I743">
        <v>365.29910000000001</v>
      </c>
      <c r="J743">
        <v>-359.0136</v>
      </c>
      <c r="K743">
        <v>1.120797</v>
      </c>
      <c r="L743">
        <v>367.50319999999999</v>
      </c>
      <c r="M743">
        <v>0.99983169999999999</v>
      </c>
      <c r="N743">
        <v>-1.4549060000000001E-2</v>
      </c>
      <c r="O743">
        <v>-1.1178540000000001E-2</v>
      </c>
      <c r="P743">
        <v>0.99789819999999996</v>
      </c>
      <c r="Q743">
        <v>-6.4770309999999998E-2</v>
      </c>
      <c r="R743">
        <v>2.1384720000000002E-3</v>
      </c>
      <c r="S743">
        <v>3.0019840000000002</v>
      </c>
      <c r="T743">
        <v>-7.1776270000000003E-2</v>
      </c>
      <c r="U743">
        <v>-0.13525390000000001</v>
      </c>
      <c r="V743">
        <v>-1.330258E-2</v>
      </c>
      <c r="W743">
        <v>-5.0244190000000001E-2</v>
      </c>
      <c r="X743">
        <v>0.99864830000000004</v>
      </c>
      <c r="Y743">
        <v>3.3822949999999997E-2</v>
      </c>
      <c r="Z743">
        <v>-5.4581149999999995E-4</v>
      </c>
      <c r="AA743">
        <v>0.99942770000000003</v>
      </c>
      <c r="AB743">
        <v>36</v>
      </c>
      <c r="AC743">
        <v>48.781199999999998</v>
      </c>
      <c r="AD743">
        <v>-1.1707969999999901</v>
      </c>
      <c r="AE743">
        <v>-2.20409999999998</v>
      </c>
      <c r="AF743">
        <v>1.6576490147862999</v>
      </c>
      <c r="AG743">
        <v>-1.1707969999999901</v>
      </c>
      <c r="AH743">
        <v>48.774753315668697</v>
      </c>
      <c r="AI743">
        <v>91.374279877449794</v>
      </c>
      <c r="AJ743">
        <v>88.053506284298194</v>
      </c>
      <c r="AK743">
        <v>48.816955321647903</v>
      </c>
      <c r="AL743">
        <v>92.879992842043507</v>
      </c>
      <c r="AM743">
        <v>90.763168189878698</v>
      </c>
      <c r="AN743">
        <v>0.99999993217814898</v>
      </c>
    </row>
    <row r="744" spans="1:40" x14ac:dyDescent="0.25">
      <c r="A744" t="str">
        <f>"20190303153755436"</f>
        <v>20190303153755436</v>
      </c>
      <c r="B744" t="str">
        <f>"1551598675429725"</f>
        <v>1551598675429725</v>
      </c>
      <c r="C744" t="s">
        <v>40</v>
      </c>
      <c r="D744">
        <v>4.0337649999999998</v>
      </c>
      <c r="E744">
        <v>0.51691779999999998</v>
      </c>
      <c r="F744" t="s">
        <v>43</v>
      </c>
      <c r="G744">
        <v>-310.3494</v>
      </c>
      <c r="H744">
        <v>-0.05</v>
      </c>
      <c r="I744">
        <v>365.36599999999999</v>
      </c>
      <c r="J744">
        <v>-358.82859999999999</v>
      </c>
      <c r="K744">
        <v>1.1208100000000001</v>
      </c>
      <c r="L744">
        <v>367.50110000000001</v>
      </c>
      <c r="M744">
        <v>0.99983140000000004</v>
      </c>
      <c r="N744">
        <v>-1.45632E-2</v>
      </c>
      <c r="O744">
        <v>-1.1198990000000001E-2</v>
      </c>
      <c r="P744">
        <v>0.99790599999999996</v>
      </c>
      <c r="Q744">
        <v>-6.4662910000000004E-2</v>
      </c>
      <c r="R744">
        <v>1.6832380000000001E-3</v>
      </c>
      <c r="S744">
        <v>3.0019840000000002</v>
      </c>
      <c r="T744">
        <v>-7.2223659999999995E-2</v>
      </c>
      <c r="U744">
        <v>-0.13183590000000001</v>
      </c>
      <c r="V744">
        <v>-1.2867419999999999E-2</v>
      </c>
      <c r="W744">
        <v>-5.0122630000000001E-2</v>
      </c>
      <c r="X744">
        <v>0.9986602</v>
      </c>
      <c r="Y744">
        <v>3.2667189999999999E-2</v>
      </c>
      <c r="Z744">
        <v>-5.245534E-4</v>
      </c>
      <c r="AA744">
        <v>0.99946610000000002</v>
      </c>
      <c r="AB744">
        <v>36</v>
      </c>
      <c r="AC744">
        <v>48.479199999999899</v>
      </c>
      <c r="AD744">
        <v>-1.1708099999999999</v>
      </c>
      <c r="AE744">
        <v>-2.13510000000002</v>
      </c>
      <c r="AF744">
        <v>1.5910643032582401</v>
      </c>
      <c r="AG744">
        <v>-1.1708099999999999</v>
      </c>
      <c r="AH744">
        <v>48.471855741354702</v>
      </c>
      <c r="AI744">
        <v>91.382933257417903</v>
      </c>
      <c r="AJ744">
        <v>88.119969851198206</v>
      </c>
      <c r="AK744">
        <v>48.512092107884897</v>
      </c>
      <c r="AL744">
        <v>92.873018922224901</v>
      </c>
      <c r="AM744">
        <v>90.738197101626099</v>
      </c>
      <c r="AN744">
        <v>1.0000000217998</v>
      </c>
    </row>
    <row r="745" spans="1:40" x14ac:dyDescent="0.25">
      <c r="A745" t="str">
        <f>"20190303153755448"</f>
        <v>20190303153755448</v>
      </c>
      <c r="B745" t="str">
        <f>"1551598675439486"</f>
        <v>1551598675439486</v>
      </c>
      <c r="C745" t="s">
        <v>40</v>
      </c>
      <c r="D745">
        <v>4.0539589999999999</v>
      </c>
      <c r="E745">
        <v>0.51647240000000005</v>
      </c>
      <c r="F745" t="s">
        <v>43</v>
      </c>
      <c r="G745">
        <v>-310.62060000000002</v>
      </c>
      <c r="H745">
        <v>-0.05</v>
      </c>
      <c r="I745">
        <v>365.43430000000001</v>
      </c>
      <c r="J745">
        <v>-358.63650000000001</v>
      </c>
      <c r="K745">
        <v>1.120819</v>
      </c>
      <c r="L745">
        <v>367.49889999999999</v>
      </c>
      <c r="M745">
        <v>0.99983080000000002</v>
      </c>
      <c r="N745">
        <v>-1.457703E-2</v>
      </c>
      <c r="O745">
        <v>-1.121919E-2</v>
      </c>
      <c r="P745">
        <v>0.99790420000000002</v>
      </c>
      <c r="Q745">
        <v>-6.4692440000000004E-2</v>
      </c>
      <c r="R745">
        <v>1.437561E-3</v>
      </c>
      <c r="S745">
        <v>3.0018009999999999</v>
      </c>
      <c r="T745">
        <v>-7.2903750000000003E-2</v>
      </c>
      <c r="U745">
        <v>-0.12869259999999999</v>
      </c>
      <c r="V745">
        <v>-1.2641690000000001E-2</v>
      </c>
      <c r="W745">
        <v>-5.0138429999999998E-2</v>
      </c>
      <c r="X745">
        <v>0.9986623</v>
      </c>
      <c r="Y745">
        <v>3.1605319999999999E-2</v>
      </c>
      <c r="Z745">
        <v>-5.052775E-4</v>
      </c>
      <c r="AA745">
        <v>0.99950030000000001</v>
      </c>
      <c r="AB745">
        <v>36</v>
      </c>
      <c r="AC745">
        <v>48.015899999999903</v>
      </c>
      <c r="AD745">
        <v>-1.1708190000000001</v>
      </c>
      <c r="AE745">
        <v>-2.06459999999998</v>
      </c>
      <c r="AF745">
        <v>1.52480833557379</v>
      </c>
      <c r="AG745">
        <v>-1.1708190000000001</v>
      </c>
      <c r="AH745">
        <v>48.007551384986201</v>
      </c>
      <c r="AI745">
        <v>91.396361584865602</v>
      </c>
      <c r="AJ745">
        <v>88.180791999350504</v>
      </c>
      <c r="AK745">
        <v>48.0460284266358</v>
      </c>
      <c r="AL745">
        <v>92.873925305938698</v>
      </c>
      <c r="AM745">
        <v>90.725246961207205</v>
      </c>
      <c r="AN745">
        <v>1.0000000319650999</v>
      </c>
    </row>
    <row r="746" spans="1:40" x14ac:dyDescent="0.25">
      <c r="A746" t="str">
        <f>"20190303153755459"</f>
        <v>20190303153755459</v>
      </c>
      <c r="B746" t="str">
        <f>"1551598675449246"</f>
        <v>1551598675449246</v>
      </c>
      <c r="C746" t="s">
        <v>40</v>
      </c>
      <c r="D746">
        <v>3.996127</v>
      </c>
      <c r="E746">
        <v>0.51611459999999998</v>
      </c>
      <c r="F746" t="s">
        <v>43</v>
      </c>
      <c r="G746">
        <v>-311.49599999999998</v>
      </c>
      <c r="H746">
        <v>-0.05</v>
      </c>
      <c r="I746">
        <v>365.5181</v>
      </c>
      <c r="J746">
        <v>-358.44920000000002</v>
      </c>
      <c r="K746">
        <v>1.1208260000000001</v>
      </c>
      <c r="L746">
        <v>367.49680000000001</v>
      </c>
      <c r="M746">
        <v>0.99983049999999996</v>
      </c>
      <c r="N746">
        <v>-1.458891E-2</v>
      </c>
      <c r="O746">
        <v>-1.1236879999999999E-2</v>
      </c>
      <c r="P746">
        <v>0.99789989999999995</v>
      </c>
      <c r="Q746">
        <v>-6.4767909999999998E-2</v>
      </c>
      <c r="R746">
        <v>9.4004419999999997E-4</v>
      </c>
      <c r="S746">
        <v>3.0016780000000001</v>
      </c>
      <c r="T746">
        <v>-7.4552060000000003E-2</v>
      </c>
      <c r="U746">
        <v>-0.1261292</v>
      </c>
      <c r="V746">
        <v>-1.216164E-2</v>
      </c>
      <c r="W746">
        <v>-5.0202160000000003E-2</v>
      </c>
      <c r="X746">
        <v>0.99866500000000002</v>
      </c>
      <c r="Y746">
        <v>3.0737239999999999E-2</v>
      </c>
      <c r="Z746">
        <v>-4.9082800000000001E-4</v>
      </c>
      <c r="AA746">
        <v>0.99952739999999995</v>
      </c>
      <c r="AB746">
        <v>36</v>
      </c>
      <c r="AC746">
        <v>46.953200000000002</v>
      </c>
      <c r="AD746">
        <v>-1.1708259999999999</v>
      </c>
      <c r="AE746">
        <v>-1.9786999999999999</v>
      </c>
      <c r="AF746">
        <v>1.4500114255340399</v>
      </c>
      <c r="AG746">
        <v>-1.1708259999999999</v>
      </c>
      <c r="AH746">
        <v>46.943333864150198</v>
      </c>
      <c r="AI746">
        <v>91.428052045878204</v>
      </c>
      <c r="AJ746">
        <v>88.230779088750396</v>
      </c>
      <c r="AK746">
        <v>46.980314610882701</v>
      </c>
      <c r="AL746">
        <v>92.877581541876097</v>
      </c>
      <c r="AM746">
        <v>90.697707640773899</v>
      </c>
      <c r="AN746">
        <v>0.99999997229057702</v>
      </c>
    </row>
    <row r="747" spans="1:40" x14ac:dyDescent="0.25">
      <c r="A747" t="str">
        <f>"20190303153755471"</f>
        <v>20190303153755471</v>
      </c>
      <c r="B747" t="str">
        <f>"1551598675459982"</f>
        <v>1551598675459982</v>
      </c>
      <c r="C747" t="s">
        <v>40</v>
      </c>
      <c r="D747">
        <v>4.0390090000000001</v>
      </c>
      <c r="E747">
        <v>0.51587529999999904</v>
      </c>
      <c r="F747" t="s">
        <v>43</v>
      </c>
      <c r="G747">
        <v>-311.61200000000002</v>
      </c>
      <c r="H747">
        <v>-0.05</v>
      </c>
      <c r="I747">
        <v>365.54809999999998</v>
      </c>
      <c r="J747">
        <v>-358.26639999999998</v>
      </c>
      <c r="K747">
        <v>1.1208309999999999</v>
      </c>
      <c r="L747">
        <v>367.49470000000002</v>
      </c>
      <c r="M747">
        <v>0.99983010000000005</v>
      </c>
      <c r="N747">
        <v>-1.460004E-2</v>
      </c>
      <c r="O747">
        <v>-1.1253610000000001E-2</v>
      </c>
      <c r="P747">
        <v>0.9978766</v>
      </c>
      <c r="Q747">
        <v>-6.5134849999999994E-2</v>
      </c>
      <c r="R747">
        <v>5.3628849999999995E-4</v>
      </c>
      <c r="S747">
        <v>3.0015559999999999</v>
      </c>
      <c r="T747">
        <v>-7.5032230000000005E-2</v>
      </c>
      <c r="U747">
        <v>-0.1248779</v>
      </c>
      <c r="V747">
        <v>-1.1773799999999999E-2</v>
      </c>
      <c r="W747">
        <v>-5.0558319999999997E-2</v>
      </c>
      <c r="X747">
        <v>0.99865170000000003</v>
      </c>
      <c r="Y747">
        <v>3.0306340000000001E-2</v>
      </c>
      <c r="Z747">
        <v>-4.8308550000000002E-4</v>
      </c>
      <c r="AA747">
        <v>0.9995406</v>
      </c>
      <c r="AB747">
        <v>36</v>
      </c>
      <c r="AC747">
        <v>46.654399999999903</v>
      </c>
      <c r="AD747">
        <v>-1.170831</v>
      </c>
      <c r="AE747">
        <v>-1.9466000000000401</v>
      </c>
      <c r="AF747">
        <v>1.42049725138612</v>
      </c>
      <c r="AG747">
        <v>-1.170831</v>
      </c>
      <c r="AH747">
        <v>46.644028250452898</v>
      </c>
      <c r="AI747">
        <v>91.437237010191396</v>
      </c>
      <c r="AJ747">
        <v>88.255653441412093</v>
      </c>
      <c r="AK747">
        <v>46.680338785197399</v>
      </c>
      <c r="AL747">
        <v>92.898013897144097</v>
      </c>
      <c r="AM747">
        <v>90.675468530387406</v>
      </c>
      <c r="AN747">
        <v>0.99999999200027601</v>
      </c>
    </row>
    <row r="748" spans="1:40" x14ac:dyDescent="0.25">
      <c r="A748" t="str">
        <f>"20190303153755484"</f>
        <v>20190303153755484</v>
      </c>
      <c r="B748" t="str">
        <f>"1551598675479501"</f>
        <v>1551598675479501</v>
      </c>
      <c r="C748" t="s">
        <v>40</v>
      </c>
      <c r="D748">
        <v>3.9475310000000001</v>
      </c>
      <c r="E748">
        <v>0.51555130000000005</v>
      </c>
      <c r="F748" t="s">
        <v>43</v>
      </c>
      <c r="G748">
        <v>-312.20800000000003</v>
      </c>
      <c r="H748">
        <v>-0.05</v>
      </c>
      <c r="I748">
        <v>365.58960000000002</v>
      </c>
      <c r="J748">
        <v>-358.06220000000002</v>
      </c>
      <c r="K748">
        <v>1.120838</v>
      </c>
      <c r="L748">
        <v>367.49239999999998</v>
      </c>
      <c r="M748">
        <v>0.99982979999999999</v>
      </c>
      <c r="N748">
        <v>-1.4610919999999999E-2</v>
      </c>
      <c r="O748">
        <v>-1.127094E-2</v>
      </c>
      <c r="P748">
        <v>0.9978842</v>
      </c>
      <c r="Q748">
        <v>-6.5019090000000002E-2</v>
      </c>
      <c r="R748">
        <v>1.269361E-4</v>
      </c>
      <c r="S748">
        <v>3.0014340000000002</v>
      </c>
      <c r="T748">
        <v>-7.6298119999999997E-2</v>
      </c>
      <c r="U748">
        <v>-0.12414550000000001</v>
      </c>
      <c r="V748">
        <v>-1.1381489999999999E-2</v>
      </c>
      <c r="W748">
        <v>-5.0431660000000003E-2</v>
      </c>
      <c r="X748">
        <v>0.99866270000000001</v>
      </c>
      <c r="Y748">
        <v>3.0046980000000001E-2</v>
      </c>
      <c r="Z748">
        <v>-4.7964360000000002E-4</v>
      </c>
      <c r="AA748">
        <v>0.9995484</v>
      </c>
      <c r="AB748">
        <v>36</v>
      </c>
      <c r="AC748">
        <v>45.854199999999999</v>
      </c>
      <c r="AD748">
        <v>-1.1708379999999901</v>
      </c>
      <c r="AE748">
        <v>-1.9027999999999501</v>
      </c>
      <c r="AF748">
        <v>1.38490265700423</v>
      </c>
      <c r="AG748">
        <v>-1.1708379999999901</v>
      </c>
      <c r="AH748">
        <v>45.842898046106903</v>
      </c>
      <c r="AI748">
        <v>91.462362274137107</v>
      </c>
      <c r="AJ748">
        <v>88.269634881063098</v>
      </c>
      <c r="AK748">
        <v>45.878754541262097</v>
      </c>
      <c r="AL748">
        <v>92.890747406615304</v>
      </c>
      <c r="AM748">
        <v>90.652956308978801</v>
      </c>
      <c r="AN748">
        <v>1.0000000395081301</v>
      </c>
    </row>
    <row r="749" spans="1:40" x14ac:dyDescent="0.25">
      <c r="A749" t="str">
        <f>"20190303153755497"</f>
        <v>20190303153755497</v>
      </c>
      <c r="B749" t="str">
        <f>"1551598675489262"</f>
        <v>1551598675489262</v>
      </c>
      <c r="C749" t="s">
        <v>40</v>
      </c>
      <c r="D749">
        <v>3.944747</v>
      </c>
      <c r="E749">
        <v>0.51544609999999902</v>
      </c>
      <c r="F749" t="s">
        <v>43</v>
      </c>
      <c r="G749">
        <v>-309.75319999999999</v>
      </c>
      <c r="H749">
        <v>-0.05</v>
      </c>
      <c r="I749">
        <v>365.51839999999999</v>
      </c>
      <c r="J749">
        <v>-357.86189999999999</v>
      </c>
      <c r="K749">
        <v>1.1208450000000001</v>
      </c>
      <c r="L749">
        <v>367.49009999999998</v>
      </c>
      <c r="M749">
        <v>0.99982939999999998</v>
      </c>
      <c r="N749">
        <v>-1.4620650000000001E-2</v>
      </c>
      <c r="O749">
        <v>-1.128706E-2</v>
      </c>
      <c r="P749">
        <v>0.99789289999999997</v>
      </c>
      <c r="Q749">
        <v>-6.4884300000000006E-2</v>
      </c>
      <c r="R749">
        <v>-1.0483360000000001E-4</v>
      </c>
      <c r="S749">
        <v>3.001617</v>
      </c>
      <c r="T749">
        <v>-7.274854E-2</v>
      </c>
      <c r="U749">
        <v>-0.1226501</v>
      </c>
      <c r="V749">
        <v>-1.116585E-2</v>
      </c>
      <c r="W749">
        <v>-5.0287079999999998E-2</v>
      </c>
      <c r="X749">
        <v>0.99867240000000002</v>
      </c>
      <c r="Y749">
        <v>2.953246E-2</v>
      </c>
      <c r="Z749">
        <v>-4.6530619999999998E-4</v>
      </c>
      <c r="AA749">
        <v>0.99956369999999894</v>
      </c>
      <c r="AB749">
        <v>36</v>
      </c>
      <c r="AC749">
        <v>48.108699999999999</v>
      </c>
      <c r="AD749">
        <v>-1.1708449999999999</v>
      </c>
      <c r="AE749">
        <v>-1.97169999999999</v>
      </c>
      <c r="AF749">
        <v>1.4276663334384501</v>
      </c>
      <c r="AG749">
        <v>-1.1708449999999999</v>
      </c>
      <c r="AH749">
        <v>48.099449678346801</v>
      </c>
      <c r="AI749">
        <v>91.393814658510905</v>
      </c>
      <c r="AJ749">
        <v>88.299871471930501</v>
      </c>
      <c r="AK749">
        <v>48.1348747638703</v>
      </c>
      <c r="AL749">
        <v>92.8824531308898</v>
      </c>
      <c r="AM749">
        <v>90.640579857304502</v>
      </c>
      <c r="AN749">
        <v>1.00000001457145</v>
      </c>
    </row>
    <row r="750" spans="1:40" x14ac:dyDescent="0.25">
      <c r="A750" t="str">
        <f>"20190303153755510"</f>
        <v>20190303153755510</v>
      </c>
      <c r="B750" t="str">
        <f>"1551598675500000"</f>
        <v>1551598675500000</v>
      </c>
      <c r="C750" t="s">
        <v>40</v>
      </c>
      <c r="D750">
        <v>3.9599959999999998</v>
      </c>
      <c r="E750">
        <v>0.51541020000000004</v>
      </c>
      <c r="F750" t="s">
        <v>43</v>
      </c>
      <c r="G750">
        <v>-306.36959999999999</v>
      </c>
      <c r="H750">
        <v>-0.05</v>
      </c>
      <c r="I750">
        <v>365.3904</v>
      </c>
      <c r="J750">
        <v>-357.64389999999997</v>
      </c>
      <c r="K750">
        <v>1.1208579999999999</v>
      </c>
      <c r="L750">
        <v>367.48759999999999</v>
      </c>
      <c r="M750">
        <v>0.99982910000000003</v>
      </c>
      <c r="N750">
        <v>-1.463041E-2</v>
      </c>
      <c r="O750">
        <v>-1.1303550000000001E-2</v>
      </c>
      <c r="P750">
        <v>0.99791189999999996</v>
      </c>
      <c r="Q750">
        <v>-6.4589240000000006E-2</v>
      </c>
      <c r="R750" s="1">
        <v>-7.8551820000000004E-5</v>
      </c>
      <c r="S750">
        <v>3.0018919999999998</v>
      </c>
      <c r="T750">
        <v>-6.8257810000000002E-2</v>
      </c>
      <c r="U750">
        <v>-0.122406</v>
      </c>
      <c r="V750">
        <v>-1.12084E-2</v>
      </c>
      <c r="W750">
        <v>-4.9982079999999998E-2</v>
      </c>
      <c r="X750">
        <v>0.9986872</v>
      </c>
      <c r="Y750">
        <v>2.9432340000000001E-2</v>
      </c>
      <c r="Z750">
        <v>-4.5834409999999999E-4</v>
      </c>
      <c r="AA750">
        <v>0.99956670000000003</v>
      </c>
      <c r="AB750">
        <v>36</v>
      </c>
      <c r="AC750">
        <v>51.274299999999897</v>
      </c>
      <c r="AD750">
        <v>-1.170858</v>
      </c>
      <c r="AE750">
        <v>-2.09719999999998</v>
      </c>
      <c r="AF750">
        <v>1.51663282741529</v>
      </c>
      <c r="AG750">
        <v>-1.170858</v>
      </c>
      <c r="AH750">
        <v>51.2680430266267</v>
      </c>
      <c r="AI750">
        <v>91.307719955031402</v>
      </c>
      <c r="AJ750">
        <v>88.305546302714902</v>
      </c>
      <c r="AK750">
        <v>51.303833378894801</v>
      </c>
      <c r="AL750">
        <v>92.864956014208005</v>
      </c>
      <c r="AM750">
        <v>90.643011198919595</v>
      </c>
      <c r="AN750">
        <v>0.99999997999776202</v>
      </c>
    </row>
    <row r="751" spans="1:40" x14ac:dyDescent="0.25">
      <c r="A751" t="str">
        <f>"20190303153755527"</f>
        <v>20190303153755527</v>
      </c>
      <c r="B751" t="str">
        <f>"1551598675519517"</f>
        <v>1551598675519517</v>
      </c>
      <c r="C751" t="s">
        <v>40</v>
      </c>
      <c r="D751">
        <v>3.945684</v>
      </c>
      <c r="E751">
        <v>0.51527000000000001</v>
      </c>
      <c r="F751" t="s">
        <v>43</v>
      </c>
      <c r="G751">
        <v>-303.0745</v>
      </c>
      <c r="H751">
        <v>-0.05</v>
      </c>
      <c r="I751">
        <v>365.27089999999998</v>
      </c>
      <c r="J751">
        <v>-357.36700000000002</v>
      </c>
      <c r="K751">
        <v>1.1208670000000001</v>
      </c>
      <c r="L751">
        <v>367.48450000000003</v>
      </c>
      <c r="M751">
        <v>0.99982879999999996</v>
      </c>
      <c r="N751">
        <v>-1.4641009999999999E-2</v>
      </c>
      <c r="O751">
        <v>-1.132302E-2</v>
      </c>
      <c r="P751">
        <v>0.99794090000000002</v>
      </c>
      <c r="Q751">
        <v>-6.4140649999999994E-2</v>
      </c>
      <c r="R751">
        <v>-1.2681110000000001E-4</v>
      </c>
      <c r="S751">
        <v>3.0021059999999999</v>
      </c>
      <c r="T751">
        <v>-6.4414139999999995E-2</v>
      </c>
      <c r="U751">
        <v>-0.12194820000000001</v>
      </c>
      <c r="V751">
        <v>-1.118009E-2</v>
      </c>
      <c r="W751">
        <v>-4.9522589999999998E-2</v>
      </c>
      <c r="X751">
        <v>0.99871049999999995</v>
      </c>
      <c r="Y751">
        <v>2.9258880000000001E-2</v>
      </c>
      <c r="Z751">
        <v>-4.50982E-4</v>
      </c>
      <c r="AA751">
        <v>0.99957169999999895</v>
      </c>
      <c r="AB751">
        <v>36</v>
      </c>
      <c r="AC751">
        <v>54.292499999999897</v>
      </c>
      <c r="AD751">
        <v>-1.1708670000000001</v>
      </c>
      <c r="AE751">
        <v>-2.21360000000004</v>
      </c>
      <c r="AF751">
        <v>1.5978952303846099</v>
      </c>
      <c r="AG751">
        <v>-1.1708670000000001</v>
      </c>
      <c r="AH751">
        <v>54.288878800665501</v>
      </c>
      <c r="AI751">
        <v>91.234991658323693</v>
      </c>
      <c r="AJ751">
        <v>88.314088800357695</v>
      </c>
      <c r="AK751">
        <v>54.325008606831503</v>
      </c>
      <c r="AL751">
        <v>92.838596270184794</v>
      </c>
      <c r="AM751">
        <v>90.641372264852905</v>
      </c>
      <c r="AN751">
        <v>1.0000000720714799</v>
      </c>
    </row>
    <row r="752" spans="1:40" x14ac:dyDescent="0.25">
      <c r="A752" t="str">
        <f>"20190303153755540"</f>
        <v>20190303153755540</v>
      </c>
      <c r="B752" t="str">
        <f>"1551598675529278"</f>
        <v>1551598675529278</v>
      </c>
      <c r="C752" t="s">
        <v>40</v>
      </c>
      <c r="D752">
        <v>3.9689860000000001</v>
      </c>
      <c r="E752">
        <v>0.51527479999999903</v>
      </c>
      <c r="F752" t="s">
        <v>43</v>
      </c>
      <c r="G752">
        <v>-296.96039999999999</v>
      </c>
      <c r="H752">
        <v>-0.05</v>
      </c>
      <c r="I752">
        <v>365.04570000000001</v>
      </c>
      <c r="J752">
        <v>-357.15910000000002</v>
      </c>
      <c r="K752">
        <v>1.1208750000000001</v>
      </c>
      <c r="L752">
        <v>367.4821</v>
      </c>
      <c r="M752">
        <v>0.99982859999999996</v>
      </c>
      <c r="N752">
        <v>-1.464789E-2</v>
      </c>
      <c r="O752">
        <v>-1.133699E-2</v>
      </c>
      <c r="P752">
        <v>0.99797179999999996</v>
      </c>
      <c r="Q752">
        <v>-6.3657210000000006E-2</v>
      </c>
      <c r="R752">
        <v>-3.1834950000000001E-4</v>
      </c>
      <c r="S752">
        <v>3.0024410000000001</v>
      </c>
      <c r="T752">
        <v>-5.8196659999999997E-2</v>
      </c>
      <c r="U752">
        <v>-0.1212158</v>
      </c>
      <c r="V752">
        <v>-1.1001769999999999E-2</v>
      </c>
      <c r="W752">
        <v>-4.9031890000000002E-2</v>
      </c>
      <c r="X752">
        <v>0.99873659999999997</v>
      </c>
      <c r="Y752">
        <v>2.899856E-2</v>
      </c>
      <c r="Z752">
        <v>-4.3980979999999999E-4</v>
      </c>
      <c r="AA752">
        <v>0.99957940000000001</v>
      </c>
      <c r="AB752">
        <v>36</v>
      </c>
      <c r="AC752">
        <v>60.198700000000002</v>
      </c>
      <c r="AD752">
        <v>-1.1708750000000001</v>
      </c>
      <c r="AE752">
        <v>-2.4363999999999901</v>
      </c>
      <c r="AF752">
        <v>1.7530361051767001</v>
      </c>
      <c r="AG752">
        <v>-1.1708750000000001</v>
      </c>
      <c r="AH752">
        <v>60.199717998783903</v>
      </c>
      <c r="AI752">
        <v>91.113781342723499</v>
      </c>
      <c r="AJ752">
        <v>88.331998942012802</v>
      </c>
      <c r="AK752">
        <v>60.236617858116702</v>
      </c>
      <c r="AL752">
        <v>92.810447292570501</v>
      </c>
      <c r="AM752">
        <v>90.631126858817893</v>
      </c>
      <c r="AN752">
        <v>0.99999998067983198</v>
      </c>
    </row>
    <row r="753" spans="1:40" x14ac:dyDescent="0.25">
      <c r="A753" t="str">
        <f>"20190303153755552"</f>
        <v>20190303153755552</v>
      </c>
      <c r="B753" t="str">
        <f>"1551598675549773"</f>
        <v>1551598675549773</v>
      </c>
      <c r="C753" t="s">
        <v>40</v>
      </c>
      <c r="D753">
        <v>3.9714429999999998</v>
      </c>
      <c r="E753">
        <v>0.5152833</v>
      </c>
      <c r="F753" t="s">
        <v>43</v>
      </c>
      <c r="G753">
        <v>-292.2783</v>
      </c>
      <c r="H753">
        <v>-0.05</v>
      </c>
      <c r="I753">
        <v>364.85230000000001</v>
      </c>
      <c r="J753">
        <v>-356.96429999999998</v>
      </c>
      <c r="K753">
        <v>1.1208800000000001</v>
      </c>
      <c r="L753">
        <v>367.47989999999999</v>
      </c>
      <c r="M753">
        <v>0.9998283</v>
      </c>
      <c r="N753">
        <v>-1.4653920000000001E-2</v>
      </c>
      <c r="O753">
        <v>-1.1349659999999999E-2</v>
      </c>
      <c r="P753">
        <v>0.99798810000000004</v>
      </c>
      <c r="Q753">
        <v>-6.3401769999999996E-2</v>
      </c>
      <c r="R753">
        <v>-3.2286229999999998E-4</v>
      </c>
      <c r="S753">
        <v>3.0025940000000002</v>
      </c>
      <c r="T753">
        <v>-5.4186459999999999E-2</v>
      </c>
      <c r="U753">
        <v>-0.1217041</v>
      </c>
      <c r="V753">
        <v>-1.101048E-2</v>
      </c>
      <c r="W753">
        <v>-4.8770229999999998E-2</v>
      </c>
      <c r="X753">
        <v>0.99874929999999995</v>
      </c>
      <c r="Y753">
        <v>2.9147039999999999E-2</v>
      </c>
      <c r="Z753">
        <v>-4.3812320000000002E-4</v>
      </c>
      <c r="AA753">
        <v>0.99957499999999999</v>
      </c>
      <c r="AB753">
        <v>36</v>
      </c>
      <c r="AC753">
        <v>64.685999999999893</v>
      </c>
      <c r="AD753">
        <v>-1.1708799999999999</v>
      </c>
      <c r="AE753">
        <v>-2.62759999999997</v>
      </c>
      <c r="AF753">
        <v>1.8925687722637401</v>
      </c>
      <c r="AG753">
        <v>-1.1708799999999999</v>
      </c>
      <c r="AH753">
        <v>64.690497648522907</v>
      </c>
      <c r="AI753">
        <v>91.036481068219402</v>
      </c>
      <c r="AJ753">
        <v>88.324247206219496</v>
      </c>
      <c r="AK753">
        <v>64.728766885718599</v>
      </c>
      <c r="AL753">
        <v>92.795437364563398</v>
      </c>
      <c r="AM753">
        <v>90.631618444625005</v>
      </c>
      <c r="AN753">
        <v>0.99999996512728595</v>
      </c>
    </row>
    <row r="754" spans="1:40" x14ac:dyDescent="0.25">
      <c r="A754" t="str">
        <f>"20190303153755564"</f>
        <v>20190303153755564</v>
      </c>
      <c r="B754" t="str">
        <f>"1551598675559533"</f>
        <v>1551598675559533</v>
      </c>
      <c r="C754" t="s">
        <v>40</v>
      </c>
      <c r="D754">
        <v>4.0188100000000002</v>
      </c>
      <c r="E754">
        <v>0.51506759999999996</v>
      </c>
      <c r="F754" t="s">
        <v>43</v>
      </c>
      <c r="G754">
        <v>-284.7088</v>
      </c>
      <c r="H754">
        <v>-0.05</v>
      </c>
      <c r="I754">
        <v>364.55220000000003</v>
      </c>
      <c r="J754">
        <v>-356.77699999999999</v>
      </c>
      <c r="K754">
        <v>1.1208849999999999</v>
      </c>
      <c r="L754">
        <v>367.47770000000003</v>
      </c>
      <c r="M754">
        <v>0.9998281</v>
      </c>
      <c r="N754">
        <v>-1.4659E-2</v>
      </c>
      <c r="O754">
        <v>-1.136148E-2</v>
      </c>
      <c r="P754">
        <v>0.99798819999999999</v>
      </c>
      <c r="Q754">
        <v>-6.339989E-2</v>
      </c>
      <c r="R754">
        <v>-3.5071869999999999E-4</v>
      </c>
      <c r="S754">
        <v>3.0029300000000001</v>
      </c>
      <c r="T754">
        <v>-4.8661589999999998E-2</v>
      </c>
      <c r="U754">
        <v>-0.12167360000000001</v>
      </c>
      <c r="V754">
        <v>-1.09943E-2</v>
      </c>
      <c r="W754">
        <v>-4.8763300000000002E-2</v>
      </c>
      <c r="X754">
        <v>0.99874989999999997</v>
      </c>
      <c r="Y754">
        <v>2.9121810000000001E-2</v>
      </c>
      <c r="Z754">
        <v>-4.3190859999999999E-4</v>
      </c>
      <c r="AA754">
        <v>0.99957580000000001</v>
      </c>
      <c r="AB754">
        <v>36</v>
      </c>
      <c r="AC754">
        <v>72.068199999999905</v>
      </c>
      <c r="AD754">
        <v>-1.170885</v>
      </c>
      <c r="AE754">
        <v>-2.9254999999999902</v>
      </c>
      <c r="AF754">
        <v>2.1058668626707702</v>
      </c>
      <c r="AG754">
        <v>-1.170885</v>
      </c>
      <c r="AH754">
        <v>72.077794544270702</v>
      </c>
      <c r="AI754">
        <v>90.930276264431697</v>
      </c>
      <c r="AJ754">
        <v>88.326489171692003</v>
      </c>
      <c r="AK754">
        <v>72.118056777014004</v>
      </c>
      <c r="AL754">
        <v>92.795039598861905</v>
      </c>
      <c r="AM754">
        <v>90.630689971777002</v>
      </c>
      <c r="AN754">
        <v>1.00000004840469</v>
      </c>
    </row>
    <row r="755" spans="1:40" x14ac:dyDescent="0.25">
      <c r="A755" t="str">
        <f>"20190303153755581"</f>
        <v>20190303153755581</v>
      </c>
      <c r="B755" t="str">
        <f>"1551598675569294"</f>
        <v>1551598675569294</v>
      </c>
      <c r="C755" t="s">
        <v>40</v>
      </c>
      <c r="D755">
        <v>3.9823729999999999</v>
      </c>
      <c r="E755">
        <v>0.51510159999999905</v>
      </c>
      <c r="F755" t="s">
        <v>43</v>
      </c>
      <c r="G755">
        <v>-286.99619999999999</v>
      </c>
      <c r="H755">
        <v>-0.05</v>
      </c>
      <c r="I755">
        <v>364.6884</v>
      </c>
      <c r="J755">
        <v>-356.51199999999898</v>
      </c>
      <c r="K755">
        <v>1.1208940000000001</v>
      </c>
      <c r="L755">
        <v>367.47469999999998</v>
      </c>
      <c r="M755">
        <v>0.99982769999999999</v>
      </c>
      <c r="N755">
        <v>-1.466537E-2</v>
      </c>
      <c r="O755">
        <v>-1.137761E-2</v>
      </c>
      <c r="P755">
        <v>0.99798920000000002</v>
      </c>
      <c r="Q755">
        <v>-6.3382820000000006E-2</v>
      </c>
      <c r="R755">
        <v>-1.6177349999999999E-4</v>
      </c>
      <c r="S755">
        <v>3.002777</v>
      </c>
      <c r="T755">
        <v>-5.0384999999999999E-2</v>
      </c>
      <c r="U755">
        <v>-0.1200256</v>
      </c>
      <c r="V755">
        <v>-1.1199570000000001E-2</v>
      </c>
      <c r="W755">
        <v>-4.8739890000000001E-2</v>
      </c>
      <c r="X755">
        <v>0.99874870000000004</v>
      </c>
      <c r="Y755">
        <v>2.8559810000000001E-2</v>
      </c>
      <c r="Z755">
        <v>-4.2504249999999999E-4</v>
      </c>
      <c r="AA755">
        <v>0.99959200000000004</v>
      </c>
      <c r="AB755">
        <v>36</v>
      </c>
      <c r="AC755">
        <v>69.515799999999899</v>
      </c>
      <c r="AD755">
        <v>-1.1708940000000001</v>
      </c>
      <c r="AE755">
        <v>-2.7862999999999798</v>
      </c>
      <c r="AF755">
        <v>1.9945459087528701</v>
      </c>
      <c r="AG755">
        <v>-1.1708940000000001</v>
      </c>
      <c r="AH755">
        <v>69.523311795350097</v>
      </c>
      <c r="AI755">
        <v>90.964473031026699</v>
      </c>
      <c r="AJ755">
        <v>88.356699032157593</v>
      </c>
      <c r="AK755">
        <v>69.561771750975595</v>
      </c>
      <c r="AL755">
        <v>92.793696881026904</v>
      </c>
      <c r="AM755">
        <v>90.642465115663001</v>
      </c>
      <c r="AN755">
        <v>0.99999998649854305</v>
      </c>
    </row>
    <row r="756" spans="1:40" x14ac:dyDescent="0.25">
      <c r="A756" t="str">
        <f>"20190303153755593"</f>
        <v>20190303153755593</v>
      </c>
      <c r="B756" t="str">
        <f>"1551598675580030"</f>
        <v>1551598675580030</v>
      </c>
      <c r="C756" t="s">
        <v>40</v>
      </c>
      <c r="D756">
        <v>3.9645700000000001</v>
      </c>
      <c r="E756">
        <v>0.51513359999999997</v>
      </c>
      <c r="F756" t="s">
        <v>43</v>
      </c>
      <c r="G756">
        <v>-283.15480000000002</v>
      </c>
      <c r="H756">
        <v>-0.05</v>
      </c>
      <c r="I756">
        <v>364.55239999999998</v>
      </c>
      <c r="J756">
        <v>-356.32010000000002</v>
      </c>
      <c r="K756">
        <v>1.1209</v>
      </c>
      <c r="L756">
        <v>367.47250000000003</v>
      </c>
      <c r="M756">
        <v>0.99982760000000004</v>
      </c>
      <c r="N756">
        <v>-1.466948E-2</v>
      </c>
      <c r="O756">
        <v>-1.1389430000000001E-2</v>
      </c>
      <c r="P756">
        <v>0.99798070000000005</v>
      </c>
      <c r="Q756">
        <v>-6.3519549999999994E-2</v>
      </c>
      <c r="R756" s="1">
        <v>9.8469320000000004E-5</v>
      </c>
      <c r="S756">
        <v>3.0030209999999999</v>
      </c>
      <c r="T756">
        <v>-4.7932860000000001E-2</v>
      </c>
      <c r="U756">
        <v>-0.1196289</v>
      </c>
      <c r="V756">
        <v>-1.1471429999999999E-2</v>
      </c>
      <c r="W756">
        <v>-4.8872649999999997E-2</v>
      </c>
      <c r="X756">
        <v>0.99873909999999999</v>
      </c>
      <c r="Y756">
        <v>2.841347E-2</v>
      </c>
      <c r="Z756">
        <v>-4.2051710000000001E-4</v>
      </c>
      <c r="AA756">
        <v>0.99959620000000005</v>
      </c>
      <c r="AB756">
        <v>36</v>
      </c>
      <c r="AC756">
        <v>73.165300000000002</v>
      </c>
      <c r="AD756">
        <v>-1.1709000000000001</v>
      </c>
      <c r="AE756">
        <v>-2.9201000000000401</v>
      </c>
      <c r="AF756">
        <v>2.08597648403383</v>
      </c>
      <c r="AG756">
        <v>-1.1709000000000001</v>
      </c>
      <c r="AH756">
        <v>73.175104017327399</v>
      </c>
      <c r="AI756">
        <v>90.916359042438003</v>
      </c>
      <c r="AJ756">
        <v>88.367131942052893</v>
      </c>
      <c r="AK756">
        <v>73.214193655661006</v>
      </c>
      <c r="AL756">
        <v>92.801312619685604</v>
      </c>
      <c r="AM756">
        <v>90.658065377434099</v>
      </c>
      <c r="AN756">
        <v>0.99999995974653699</v>
      </c>
    </row>
    <row r="757" spans="1:40" x14ac:dyDescent="0.25">
      <c r="A757" t="str">
        <f>"20190303153755604"</f>
        <v>20190303153755604</v>
      </c>
      <c r="B757" t="str">
        <f>"1551598675599550"</f>
        <v>1551598675599550</v>
      </c>
      <c r="C757" t="s">
        <v>40</v>
      </c>
      <c r="D757">
        <v>3.9727760000000001</v>
      </c>
      <c r="E757">
        <v>0.51504419999999995</v>
      </c>
      <c r="F757" t="s">
        <v>43</v>
      </c>
      <c r="G757">
        <v>-280.9975</v>
      </c>
      <c r="H757">
        <v>-0.05</v>
      </c>
      <c r="I757">
        <v>364.48200000000003</v>
      </c>
      <c r="J757">
        <v>-356.12569999999999</v>
      </c>
      <c r="K757">
        <v>1.1209020000000001</v>
      </c>
      <c r="L757">
        <v>367.47030000000001</v>
      </c>
      <c r="M757">
        <v>0.99982749999999998</v>
      </c>
      <c r="N757">
        <v>-1.467309E-2</v>
      </c>
      <c r="O757">
        <v>-1.1401369999999999E-2</v>
      </c>
      <c r="P757">
        <v>0.99797849999999999</v>
      </c>
      <c r="Q757">
        <v>-6.3555550000000002E-2</v>
      </c>
      <c r="R757">
        <v>1.39412E-4</v>
      </c>
      <c r="S757">
        <v>3.0031129999999999</v>
      </c>
      <c r="T757">
        <v>-4.6683790000000003E-2</v>
      </c>
      <c r="U757">
        <v>-0.119232199999999</v>
      </c>
      <c r="V757">
        <v>-1.1523790000000001E-2</v>
      </c>
      <c r="W757">
        <v>-4.8905089999999998E-2</v>
      </c>
      <c r="X757">
        <v>0.99873699999999999</v>
      </c>
      <c r="Y757">
        <v>2.826878E-2</v>
      </c>
      <c r="Z757">
        <v>-4.1723930000000002E-4</v>
      </c>
      <c r="AA757">
        <v>0.9996003</v>
      </c>
      <c r="AB757">
        <v>36</v>
      </c>
      <c r="AC757">
        <v>75.128199999999893</v>
      </c>
      <c r="AD757">
        <v>-1.1709020000000001</v>
      </c>
      <c r="AE757">
        <v>-2.9883000000000299</v>
      </c>
      <c r="AF757">
        <v>2.1309324384233101</v>
      </c>
      <c r="AG757">
        <v>-1.1709020000000001</v>
      </c>
      <c r="AH757">
        <v>75.139167371342495</v>
      </c>
      <c r="AI757">
        <v>90.892415497299098</v>
      </c>
      <c r="AJ757">
        <v>88.375538047333606</v>
      </c>
      <c r="AK757">
        <v>75.178496645047105</v>
      </c>
      <c r="AL757">
        <v>92.803173265841394</v>
      </c>
      <c r="AM757">
        <v>90.661070163772607</v>
      </c>
      <c r="AN757">
        <v>1.0000000503664299</v>
      </c>
    </row>
    <row r="758" spans="1:40" x14ac:dyDescent="0.25">
      <c r="A758" t="str">
        <f>"20190303153755616"</f>
        <v>20190303153755616</v>
      </c>
      <c r="B758" t="str">
        <f>"1551598675609310"</f>
        <v>1551598675609310</v>
      </c>
      <c r="C758" t="s">
        <v>40</v>
      </c>
      <c r="D758">
        <v>3.9517540000000002</v>
      </c>
      <c r="E758">
        <v>0.51495309999999905</v>
      </c>
      <c r="F758" t="s">
        <v>43</v>
      </c>
      <c r="G758">
        <v>-277.2013</v>
      </c>
      <c r="H758">
        <v>-0.05</v>
      </c>
      <c r="I758">
        <v>364.35930000000002</v>
      </c>
      <c r="J758">
        <v>-355.95</v>
      </c>
      <c r="K758">
        <v>1.1209039999999999</v>
      </c>
      <c r="L758">
        <v>367.4683</v>
      </c>
      <c r="M758">
        <v>0.99982729999999997</v>
      </c>
      <c r="N758">
        <v>-1.467598E-2</v>
      </c>
      <c r="O758">
        <v>-1.1412230000000001E-2</v>
      </c>
      <c r="P758">
        <v>0.99800060000000002</v>
      </c>
      <c r="Q758">
        <v>-6.3204819999999995E-2</v>
      </c>
      <c r="R758">
        <v>5.9185740000000002E-4</v>
      </c>
      <c r="S758">
        <v>3.0032350000000001</v>
      </c>
      <c r="T758">
        <v>-4.4555190000000001E-2</v>
      </c>
      <c r="U758">
        <v>-0.1183777</v>
      </c>
      <c r="V758">
        <v>-1.1987380000000001E-2</v>
      </c>
      <c r="W758">
        <v>-4.8551219999999999E-2</v>
      </c>
      <c r="X758">
        <v>0.99874879999999999</v>
      </c>
      <c r="Y758">
        <v>2.7972859999999999E-2</v>
      </c>
      <c r="Z758">
        <v>-4.1100499999999999E-4</v>
      </c>
      <c r="AA758">
        <v>0.99960859999999996</v>
      </c>
      <c r="AB758">
        <v>36</v>
      </c>
      <c r="AC758">
        <v>78.7486999999999</v>
      </c>
      <c r="AD758">
        <v>-1.1709039999999999</v>
      </c>
      <c r="AE758">
        <v>-3.10899999999998</v>
      </c>
      <c r="AF758">
        <v>2.2095148056574798</v>
      </c>
      <c r="AG758">
        <v>-1.1709039999999999</v>
      </c>
      <c r="AH758">
        <v>78.761669308762805</v>
      </c>
      <c r="AI758">
        <v>90.8513854425034</v>
      </c>
      <c r="AJ758">
        <v>88.393092980105195</v>
      </c>
      <c r="AK758">
        <v>78.801354837061893</v>
      </c>
      <c r="AL758">
        <v>92.782873918847699</v>
      </c>
      <c r="AM758">
        <v>90.687653695738405</v>
      </c>
      <c r="AN758">
        <v>1.00000004187209</v>
      </c>
    </row>
    <row r="759" spans="1:40" x14ac:dyDescent="0.25">
      <c r="A759" t="str">
        <f>"20190303153755625"</f>
        <v>20190303153755625</v>
      </c>
      <c r="B759" t="str">
        <f>"1551598675620046"</f>
        <v>1551598675620046</v>
      </c>
      <c r="C759" t="s">
        <v>40</v>
      </c>
      <c r="D759">
        <v>4.0283959999999999</v>
      </c>
      <c r="E759">
        <v>0.51457350000000002</v>
      </c>
      <c r="F759" t="s">
        <v>42</v>
      </c>
      <c r="G759">
        <v>-276.2235</v>
      </c>
      <c r="H759" s="1">
        <v>-2.66445E-6</v>
      </c>
      <c r="I759">
        <v>364.38010000000003</v>
      </c>
      <c r="J759">
        <v>-355.7817</v>
      </c>
      <c r="K759">
        <v>1.1209070000000001</v>
      </c>
      <c r="L759">
        <v>367.46629999999999</v>
      </c>
      <c r="M759">
        <v>0.99982709999999997</v>
      </c>
      <c r="N759">
        <v>-1.4678510000000001E-2</v>
      </c>
      <c r="O759">
        <v>-1.142261E-2</v>
      </c>
      <c r="P759">
        <v>0.99799009999999999</v>
      </c>
      <c r="Q759">
        <v>-6.3367580000000007E-2</v>
      </c>
      <c r="R759">
        <v>7.8311289999999996E-4</v>
      </c>
      <c r="S759">
        <v>3.0034179999999999</v>
      </c>
      <c r="T759">
        <v>-4.2226199999999901E-2</v>
      </c>
      <c r="U759">
        <v>-0.11633300000000001</v>
      </c>
      <c r="V759">
        <v>-1.218873E-2</v>
      </c>
      <c r="W759">
        <v>-4.8711629999999999E-2</v>
      </c>
      <c r="X759">
        <v>0.99873849999999997</v>
      </c>
      <c r="Y759">
        <v>2.7281199999999999E-2</v>
      </c>
      <c r="Z759">
        <v>-3.991372E-4</v>
      </c>
      <c r="AA759">
        <v>0.99962770000000001</v>
      </c>
      <c r="AB759">
        <v>36</v>
      </c>
      <c r="AC759">
        <v>79.558199999999999</v>
      </c>
      <c r="AD759">
        <v>-1.1209096644499901</v>
      </c>
      <c r="AE759">
        <v>-3.0861999999999599</v>
      </c>
      <c r="AF759">
        <v>2.1767070423688102</v>
      </c>
      <c r="AG759">
        <v>-1.1209096644499901</v>
      </c>
      <c r="AH759">
        <v>79.5724929487954</v>
      </c>
      <c r="AI759">
        <v>90.806750325898903</v>
      </c>
      <c r="AJ759">
        <v>88.433063639629196</v>
      </c>
      <c r="AK759">
        <v>79.610150898677801</v>
      </c>
      <c r="AL759">
        <v>92.792075767748003</v>
      </c>
      <c r="AM759">
        <v>90.6992101718116</v>
      </c>
      <c r="AN759">
        <v>0.99999998970925896</v>
      </c>
    </row>
    <row r="760" spans="1:40" x14ac:dyDescent="0.25">
      <c r="A760" t="str">
        <f>"20190303153755638"</f>
        <v>20190303153755638</v>
      </c>
      <c r="B760" t="str">
        <f>"1551598675629806"</f>
        <v>1551598675629806</v>
      </c>
      <c r="C760" t="s">
        <v>40</v>
      </c>
      <c r="D760">
        <v>4.0608599999999999</v>
      </c>
      <c r="E760">
        <v>0.51422369999999995</v>
      </c>
      <c r="F760" t="s">
        <v>42</v>
      </c>
      <c r="G760">
        <v>-277.18740000000003</v>
      </c>
      <c r="H760" s="1">
        <v>-2.3003889999999999E-6</v>
      </c>
      <c r="I760">
        <v>364.51549999999997</v>
      </c>
      <c r="J760">
        <v>-355.59030000000001</v>
      </c>
      <c r="K760">
        <v>1.120911</v>
      </c>
      <c r="L760">
        <v>367.46409999999997</v>
      </c>
      <c r="M760">
        <v>0.99982689999999996</v>
      </c>
      <c r="N760">
        <v>-1.468093E-2</v>
      </c>
      <c r="O760">
        <v>-1.1434430000000001E-2</v>
      </c>
      <c r="P760">
        <v>0.99797429999999998</v>
      </c>
      <c r="Q760">
        <v>-6.3610799999999995E-2</v>
      </c>
      <c r="R760">
        <v>1.0816479999999999E-3</v>
      </c>
      <c r="S760">
        <v>3.0034179999999999</v>
      </c>
      <c r="T760">
        <v>-4.283464E-2</v>
      </c>
      <c r="U760">
        <v>-0.1127625</v>
      </c>
      <c r="V760">
        <v>-1.2499089999999999E-2</v>
      </c>
      <c r="W760">
        <v>-4.8952660000000002E-2</v>
      </c>
      <c r="X760">
        <v>0.99872289999999997</v>
      </c>
      <c r="Y760">
        <v>2.6082839999999999E-2</v>
      </c>
      <c r="Z760">
        <v>-3.8230870000000001E-4</v>
      </c>
      <c r="AA760">
        <v>0.99965970000000004</v>
      </c>
      <c r="AB760">
        <v>36</v>
      </c>
      <c r="AC760">
        <v>78.402899999999903</v>
      </c>
      <c r="AD760">
        <v>-1.1209133003889999</v>
      </c>
      <c r="AE760">
        <v>-2.9485999999999901</v>
      </c>
      <c r="AF760">
        <v>2.0513994299152598</v>
      </c>
      <c r="AG760">
        <v>-1.1209133003889999</v>
      </c>
      <c r="AH760">
        <v>78.415487033165704</v>
      </c>
      <c r="AI760">
        <v>90.818680965175005</v>
      </c>
      <c r="AJ760">
        <v>88.501447460227894</v>
      </c>
      <c r="AK760">
        <v>78.450323727162598</v>
      </c>
      <c r="AL760">
        <v>92.805902206079494</v>
      </c>
      <c r="AM760">
        <v>90.717023429657203</v>
      </c>
      <c r="AN760">
        <v>1.0000000105781499</v>
      </c>
    </row>
    <row r="761" spans="1:40" x14ac:dyDescent="0.25">
      <c r="A761" t="str">
        <f>"20190303153755652"</f>
        <v>20190303153755652</v>
      </c>
      <c r="B761" t="str">
        <f>"1551598675639566"</f>
        <v>1551598675639566</v>
      </c>
      <c r="C761" t="s">
        <v>40</v>
      </c>
      <c r="D761">
        <v>4.0535779999999999</v>
      </c>
      <c r="E761">
        <v>0.51387959999999999</v>
      </c>
      <c r="F761" t="s">
        <v>42</v>
      </c>
      <c r="G761">
        <v>-278.22910000000002</v>
      </c>
      <c r="H761" s="1">
        <v>-1.9078120000000001E-6</v>
      </c>
      <c r="I761">
        <v>364.65870000000001</v>
      </c>
      <c r="J761">
        <v>-355.38060000000002</v>
      </c>
      <c r="K761">
        <v>1.1209150000000001</v>
      </c>
      <c r="L761">
        <v>367.46170000000001</v>
      </c>
      <c r="M761">
        <v>0.99982669999999996</v>
      </c>
      <c r="N761">
        <v>-1.468332E-2</v>
      </c>
      <c r="O761">
        <v>-1.1447550000000001E-2</v>
      </c>
      <c r="P761">
        <v>0.99797559999999996</v>
      </c>
      <c r="Q761">
        <v>-6.3584660000000001E-2</v>
      </c>
      <c r="R761">
        <v>1.2896120000000001E-3</v>
      </c>
      <c r="S761">
        <v>3.0034480000000001</v>
      </c>
      <c r="T761">
        <v>-4.351795E-2</v>
      </c>
      <c r="U761">
        <v>-0.10891720000000001</v>
      </c>
      <c r="V761">
        <v>-1.272007E-2</v>
      </c>
      <c r="W761">
        <v>-4.892415E-2</v>
      </c>
      <c r="X761">
        <v>0.99872150000000004</v>
      </c>
      <c r="Y761">
        <v>2.4791359999999998E-2</v>
      </c>
      <c r="Z761">
        <v>-3.63896E-4</v>
      </c>
      <c r="AA761">
        <v>0.99969260000000004</v>
      </c>
      <c r="AB761">
        <v>36</v>
      </c>
      <c r="AC761">
        <v>77.151499999999999</v>
      </c>
      <c r="AD761">
        <v>-1.12091690781199</v>
      </c>
      <c r="AE761">
        <v>-2.8029999999999902</v>
      </c>
      <c r="AF761">
        <v>1.9191208846085199</v>
      </c>
      <c r="AG761">
        <v>-1.12091690781199</v>
      </c>
      <c r="AH761">
        <v>77.162268118797698</v>
      </c>
      <c r="AI761">
        <v>90.832005618417497</v>
      </c>
      <c r="AJ761">
        <v>88.575276936417495</v>
      </c>
      <c r="AK761">
        <v>77.194268575595601</v>
      </c>
      <c r="AL761">
        <v>92.8042667633988</v>
      </c>
      <c r="AM761">
        <v>90.729699843496405</v>
      </c>
      <c r="AN761">
        <v>1.00000000359813</v>
      </c>
    </row>
    <row r="762" spans="1:40" x14ac:dyDescent="0.25">
      <c r="A762" t="str">
        <f>"20190303153755662"</f>
        <v>20190303153755662</v>
      </c>
      <c r="B762" t="str">
        <f>"1551598675660062"</f>
        <v>1551598675660062</v>
      </c>
      <c r="C762" t="s">
        <v>40</v>
      </c>
      <c r="D762">
        <v>4.0353149999999998</v>
      </c>
      <c r="E762">
        <v>0.51321340000000004</v>
      </c>
      <c r="F762" t="s">
        <v>42</v>
      </c>
      <c r="G762">
        <v>-278.40539999999999</v>
      </c>
      <c r="H762" s="1">
        <v>-1.8218319999999999E-6</v>
      </c>
      <c r="I762">
        <v>364.75630000000001</v>
      </c>
      <c r="J762">
        <v>-355.1943</v>
      </c>
      <c r="K762">
        <v>1.1209169999999999</v>
      </c>
      <c r="L762">
        <v>367.45960000000002</v>
      </c>
      <c r="M762">
        <v>0.99982660000000001</v>
      </c>
      <c r="N762">
        <v>-1.468503E-2</v>
      </c>
      <c r="O762">
        <v>-1.145936E-2</v>
      </c>
      <c r="P762">
        <v>0.99798480000000001</v>
      </c>
      <c r="Q762">
        <v>-6.3436149999999997E-2</v>
      </c>
      <c r="R762">
        <v>1.61592299999999E-3</v>
      </c>
      <c r="S762">
        <v>3.0034480000000001</v>
      </c>
      <c r="T762">
        <v>-4.3736339999999999E-2</v>
      </c>
      <c r="U762">
        <v>-0.1055603</v>
      </c>
      <c r="V762">
        <v>-1.305829E-2</v>
      </c>
      <c r="W762">
        <v>-4.8773829999999997E-2</v>
      </c>
      <c r="X762">
        <v>0.99872450000000002</v>
      </c>
      <c r="Y762">
        <v>2.366381E-2</v>
      </c>
      <c r="Z762">
        <v>-3.475172E-4</v>
      </c>
      <c r="AA762">
        <v>0.99971989999999999</v>
      </c>
      <c r="AB762">
        <v>36</v>
      </c>
      <c r="AC762">
        <v>76.788899999999998</v>
      </c>
      <c r="AD762">
        <v>-1.1209188218320001</v>
      </c>
      <c r="AE762">
        <v>-2.7033000000000098</v>
      </c>
      <c r="AF762">
        <v>1.82268809740329</v>
      </c>
      <c r="AG762">
        <v>-1.1209188218320001</v>
      </c>
      <c r="AH762">
        <v>76.798494035772293</v>
      </c>
      <c r="AI762">
        <v>90.835970576847998</v>
      </c>
      <c r="AJ762">
        <v>88.640432533260594</v>
      </c>
      <c r="AK762">
        <v>76.828297762400695</v>
      </c>
      <c r="AL762">
        <v>92.795643732339698</v>
      </c>
      <c r="AM762">
        <v>90.749097747949804</v>
      </c>
      <c r="AN762">
        <v>1.0000000161654199</v>
      </c>
    </row>
    <row r="763" spans="1:40" x14ac:dyDescent="0.25">
      <c r="A763" t="str">
        <f>"20190303153755674"</f>
        <v>20190303153755674</v>
      </c>
      <c r="B763" t="str">
        <f>"1551598675669822"</f>
        <v>1551598675669822</v>
      </c>
      <c r="C763" t="s">
        <v>40</v>
      </c>
      <c r="D763">
        <v>4.078379</v>
      </c>
      <c r="E763">
        <v>0.5128819</v>
      </c>
      <c r="F763" t="s">
        <v>42</v>
      </c>
      <c r="G763">
        <v>-278.03289999999998</v>
      </c>
      <c r="H763" s="1">
        <v>-1.9083450000000002E-6</v>
      </c>
      <c r="I763">
        <v>364.90750000000003</v>
      </c>
      <c r="J763">
        <v>-355.01889999999997</v>
      </c>
      <c r="K763">
        <v>1.120916</v>
      </c>
      <c r="L763">
        <v>367.45760000000001</v>
      </c>
      <c r="M763">
        <v>0.99982649999999995</v>
      </c>
      <c r="N763">
        <v>-1.468646E-2</v>
      </c>
      <c r="O763">
        <v>-1.1470569999999999E-2</v>
      </c>
      <c r="P763">
        <v>0.99797919999999996</v>
      </c>
      <c r="Q763">
        <v>-6.3514440000000005E-2</v>
      </c>
      <c r="R763">
        <v>2.001807E-3</v>
      </c>
      <c r="S763">
        <v>3.0034480000000001</v>
      </c>
      <c r="T763">
        <v>-4.3630839999999997E-2</v>
      </c>
      <c r="U763">
        <v>-9.9334720000000001E-2</v>
      </c>
      <c r="V763">
        <v>-1.3455419999999999E-2</v>
      </c>
      <c r="W763">
        <v>-4.8850820000000003E-2</v>
      </c>
      <c r="X763">
        <v>0.99871549999999998</v>
      </c>
      <c r="Y763">
        <v>2.1583189999999999E-2</v>
      </c>
      <c r="Z763">
        <v>-3.1714530000000001E-4</v>
      </c>
      <c r="AA763">
        <v>0.99976699999999996</v>
      </c>
      <c r="AB763">
        <v>36</v>
      </c>
      <c r="AC763">
        <v>76.985999999999905</v>
      </c>
      <c r="AD763">
        <v>-1.120917908345</v>
      </c>
      <c r="AE763">
        <v>-2.55009999999998</v>
      </c>
      <c r="AF763">
        <v>1.66641088999815</v>
      </c>
      <c r="AG763">
        <v>-1.120917908345</v>
      </c>
      <c r="AH763">
        <v>76.993883944278707</v>
      </c>
      <c r="AI763">
        <v>90.833888241697693</v>
      </c>
      <c r="AJ763">
        <v>88.760117015965804</v>
      </c>
      <c r="AK763">
        <v>77.020072364524694</v>
      </c>
      <c r="AL763">
        <v>92.800060102852996</v>
      </c>
      <c r="AM763">
        <v>90.771883621686698</v>
      </c>
      <c r="AN763">
        <v>1.0000000504411399</v>
      </c>
    </row>
    <row r="764" spans="1:40" x14ac:dyDescent="0.25">
      <c r="A764" t="str">
        <f>"20190303153755686"</f>
        <v>20190303153755686</v>
      </c>
      <c r="B764" t="str">
        <f>"1551598675679581"</f>
        <v>1551598675679581</v>
      </c>
      <c r="C764" t="s">
        <v>40</v>
      </c>
      <c r="D764">
        <v>3.9633319999999999</v>
      </c>
      <c r="E764">
        <v>0.51273709999999995</v>
      </c>
      <c r="F764" t="s">
        <v>42</v>
      </c>
      <c r="G764">
        <v>-278.93729999999999</v>
      </c>
      <c r="H764" s="1">
        <v>-1.566945E-6</v>
      </c>
      <c r="I764">
        <v>365.03399999999999</v>
      </c>
      <c r="J764">
        <v>-354.82209999999998</v>
      </c>
      <c r="K764">
        <v>1.120919</v>
      </c>
      <c r="L764">
        <v>367.45530000000002</v>
      </c>
      <c r="M764">
        <v>0.99982610000000005</v>
      </c>
      <c r="N764">
        <v>-1.4687789999999999E-2</v>
      </c>
      <c r="O764">
        <v>-1.148297E-2</v>
      </c>
      <c r="P764">
        <v>0.99796300000000004</v>
      </c>
      <c r="Q764">
        <v>-6.3758369999999995E-2</v>
      </c>
      <c r="R764">
        <v>2.114463E-3</v>
      </c>
      <c r="S764">
        <v>3.003479</v>
      </c>
      <c r="T764">
        <v>-4.4250490000000003E-2</v>
      </c>
      <c r="U764">
        <v>-9.5672610000000005E-2</v>
      </c>
      <c r="V764">
        <v>-1.3579549999999999E-2</v>
      </c>
      <c r="W764">
        <v>-4.9093629999999999E-2</v>
      </c>
      <c r="X764">
        <v>0.99870190000000003</v>
      </c>
      <c r="Y764">
        <v>2.0352889999999998E-2</v>
      </c>
      <c r="Z764">
        <v>-2.9893520000000002E-4</v>
      </c>
      <c r="AA764">
        <v>0.99979280000000004</v>
      </c>
      <c r="AB764">
        <v>36</v>
      </c>
      <c r="AC764">
        <v>75.884799999999899</v>
      </c>
      <c r="AD764">
        <v>-1.120920566945</v>
      </c>
      <c r="AE764">
        <v>-2.42130000000002</v>
      </c>
      <c r="AF764">
        <v>1.5493256502820301</v>
      </c>
      <c r="AG764">
        <v>-1.120920566945</v>
      </c>
      <c r="AH764">
        <v>75.891060410974802</v>
      </c>
      <c r="AI764">
        <v>90.846028124521297</v>
      </c>
      <c r="AJ764">
        <v>88.830461835215203</v>
      </c>
      <c r="AK764">
        <v>75.915149497252898</v>
      </c>
      <c r="AL764">
        <v>92.813988841095096</v>
      </c>
      <c r="AM764">
        <v>90.779014196648603</v>
      </c>
      <c r="AN764">
        <v>1.0000000368741899</v>
      </c>
    </row>
    <row r="765" spans="1:40" x14ac:dyDescent="0.25">
      <c r="A765" t="str">
        <f>"20190303153755700"</f>
        <v>20190303153755700</v>
      </c>
      <c r="B765" t="str">
        <f>"1551598675689342"</f>
        <v>1551598675689342</v>
      </c>
      <c r="C765" t="s">
        <v>40</v>
      </c>
      <c r="D765">
        <v>3.9996179999999999</v>
      </c>
      <c r="E765">
        <v>0.51259140000000003</v>
      </c>
      <c r="F765" t="s">
        <v>42</v>
      </c>
      <c r="G765">
        <v>-276.14420000000001</v>
      </c>
      <c r="H765" s="1">
        <v>-2.5298119999999998E-6</v>
      </c>
      <c r="I765">
        <v>364.98750000000001</v>
      </c>
      <c r="J765">
        <v>-354.61869999999999</v>
      </c>
      <c r="K765">
        <v>1.1209209999999901</v>
      </c>
      <c r="L765">
        <v>367.4529</v>
      </c>
      <c r="M765">
        <v>0.99982610000000005</v>
      </c>
      <c r="N765">
        <v>-1.468883E-2</v>
      </c>
      <c r="O765">
        <v>-1.149585E-2</v>
      </c>
      <c r="P765">
        <v>0.99795160000000005</v>
      </c>
      <c r="Q765">
        <v>-6.393662E-2</v>
      </c>
      <c r="R765">
        <v>2.2829719999999999E-3</v>
      </c>
      <c r="S765">
        <v>3.0036320000000001</v>
      </c>
      <c r="T765">
        <v>-4.279256E-2</v>
      </c>
      <c r="U765">
        <v>-9.4207760000000001E-2</v>
      </c>
      <c r="V765">
        <v>-1.376086E-2</v>
      </c>
      <c r="W765">
        <v>-4.9271019999999999E-2</v>
      </c>
      <c r="X765">
        <v>0.99869070000000004</v>
      </c>
      <c r="Y765">
        <v>1.98516E-2</v>
      </c>
      <c r="Z765">
        <v>-2.9234429999999999E-4</v>
      </c>
      <c r="AA765">
        <v>0.99980290000000005</v>
      </c>
      <c r="AB765">
        <v>36</v>
      </c>
      <c r="AC765">
        <v>78.474499999999907</v>
      </c>
      <c r="AD765">
        <v>-1.1209235298119999</v>
      </c>
      <c r="AE765">
        <v>-2.4653999999999798</v>
      </c>
      <c r="AF765">
        <v>1.5626901775062301</v>
      </c>
      <c r="AG765">
        <v>-1.1209235298119999</v>
      </c>
      <c r="AH765">
        <v>78.481661398103597</v>
      </c>
      <c r="AI765">
        <v>90.818115909285893</v>
      </c>
      <c r="AJ765">
        <v>88.859303939513694</v>
      </c>
      <c r="AK765">
        <v>78.505220501296193</v>
      </c>
      <c r="AL765">
        <v>92.824164804153895</v>
      </c>
      <c r="AM765">
        <v>90.789422900366304</v>
      </c>
      <c r="AN765">
        <v>1.00000005447313</v>
      </c>
    </row>
    <row r="766" spans="1:40" x14ac:dyDescent="0.25">
      <c r="A766" t="str">
        <f>"20190303153755716"</f>
        <v>20190303153755716</v>
      </c>
      <c r="B766" t="str">
        <f>"1551598675709838"</f>
        <v>1551598675709838</v>
      </c>
      <c r="C766" t="s">
        <v>40</v>
      </c>
      <c r="D766">
        <v>3.9839470000000001</v>
      </c>
      <c r="E766">
        <v>0.51236610000000005</v>
      </c>
      <c r="F766" t="s">
        <v>42</v>
      </c>
      <c r="G766">
        <v>-273.28620000000001</v>
      </c>
      <c r="H766" s="1">
        <v>-3.69085E-6</v>
      </c>
      <c r="I766">
        <v>364.94659999999999</v>
      </c>
      <c r="J766">
        <v>-354.35939999999999</v>
      </c>
      <c r="K766">
        <v>1.120916</v>
      </c>
      <c r="L766">
        <v>367.45</v>
      </c>
      <c r="M766">
        <v>0.99982599999999999</v>
      </c>
      <c r="N766">
        <v>-1.4689850000000001E-2</v>
      </c>
      <c r="O766">
        <v>-1.151231E-2</v>
      </c>
      <c r="P766">
        <v>0.99790760000000001</v>
      </c>
      <c r="Q766">
        <v>-6.4613870000000004E-2</v>
      </c>
      <c r="R766">
        <v>2.428609E-3</v>
      </c>
      <c r="S766">
        <v>3.0036930000000002</v>
      </c>
      <c r="T766">
        <v>-4.1396860000000001E-2</v>
      </c>
      <c r="U766">
        <v>-9.2559810000000006E-2</v>
      </c>
      <c r="V766">
        <v>-1.3922790000000001E-2</v>
      </c>
      <c r="W766">
        <v>-4.9947850000000002E-2</v>
      </c>
      <c r="X766">
        <v>0.99865479999999995</v>
      </c>
      <c r="Y766">
        <v>1.928682E-2</v>
      </c>
      <c r="Z766">
        <v>-2.8506910000000002E-4</v>
      </c>
      <c r="AA766">
        <v>0.99981399999999998</v>
      </c>
      <c r="AB766">
        <v>36</v>
      </c>
      <c r="AC766">
        <v>81.0731999999999</v>
      </c>
      <c r="AD766">
        <v>-1.1209196908499901</v>
      </c>
      <c r="AE766">
        <v>-2.5033999999999899</v>
      </c>
      <c r="AF766">
        <v>1.56949396495904</v>
      </c>
      <c r="AG766">
        <v>-1.1209196908499901</v>
      </c>
      <c r="AH766">
        <v>81.081164620819706</v>
      </c>
      <c r="AI766">
        <v>90.791895998836793</v>
      </c>
      <c r="AJ766">
        <v>88.891059945416799</v>
      </c>
      <c r="AK766">
        <v>81.104099948941197</v>
      </c>
      <c r="AL766">
        <v>92.862992210358001</v>
      </c>
      <c r="AM766">
        <v>90.798739893776997</v>
      </c>
      <c r="AN766">
        <v>1.0000000206820201</v>
      </c>
    </row>
    <row r="767" spans="1:40" x14ac:dyDescent="0.25">
      <c r="A767" t="str">
        <f>"20190303153755730"</f>
        <v>20190303153755730</v>
      </c>
      <c r="B767" t="str">
        <f>"1551598675719598"</f>
        <v>1551598675719598</v>
      </c>
      <c r="C767" t="s">
        <v>40</v>
      </c>
      <c r="D767">
        <v>3.9929230000000002</v>
      </c>
      <c r="E767">
        <v>0.51228059999999997</v>
      </c>
      <c r="F767" t="s">
        <v>42</v>
      </c>
      <c r="G767">
        <v>-269.20010000000002</v>
      </c>
      <c r="H767" s="1">
        <v>-1.51331E-6</v>
      </c>
      <c r="I767">
        <v>364.89940000000001</v>
      </c>
      <c r="J767">
        <v>-354.13740000000001</v>
      </c>
      <c r="K767">
        <v>1.1209169999999999</v>
      </c>
      <c r="L767">
        <v>367.44740000000002</v>
      </c>
      <c r="M767">
        <v>0.99982570000000004</v>
      </c>
      <c r="N767">
        <v>-1.4690460000000001E-2</v>
      </c>
      <c r="O767">
        <v>-1.152685E-2</v>
      </c>
      <c r="P767">
        <v>0.997892</v>
      </c>
      <c r="Q767">
        <v>-6.4854659999999995E-2</v>
      </c>
      <c r="R767">
        <v>2.4326220000000002E-3</v>
      </c>
      <c r="S767">
        <v>3.0039060000000002</v>
      </c>
      <c r="T767">
        <v>-3.953922E-2</v>
      </c>
      <c r="U767">
        <v>-8.9965820000000002E-2</v>
      </c>
      <c r="V767">
        <v>-1.3941189999999999E-2</v>
      </c>
      <c r="W767">
        <v>-5.018823E-2</v>
      </c>
      <c r="X767">
        <v>0.99864240000000004</v>
      </c>
      <c r="Y767">
        <v>1.840791E-2</v>
      </c>
      <c r="Z767">
        <v>-2.7401919999999998E-4</v>
      </c>
      <c r="AA767">
        <v>0.99983049999999996</v>
      </c>
      <c r="AB767">
        <v>36</v>
      </c>
      <c r="AC767">
        <v>84.937299999999993</v>
      </c>
      <c r="AD767">
        <v>-1.1209185133099999</v>
      </c>
      <c r="AE767">
        <v>-2.548</v>
      </c>
      <c r="AF767">
        <v>1.5683926504477901</v>
      </c>
      <c r="AG767">
        <v>-1.1209185133099999</v>
      </c>
      <c r="AH767">
        <v>84.946248409763101</v>
      </c>
      <c r="AI767">
        <v>90.755880710662396</v>
      </c>
      <c r="AJ767">
        <v>88.942247926819505</v>
      </c>
      <c r="AK767">
        <v>84.968120096378797</v>
      </c>
      <c r="AL767">
        <v>92.876782528503099</v>
      </c>
      <c r="AM767">
        <v>90.799805280434796</v>
      </c>
      <c r="AN767">
        <v>0.99999992914345204</v>
      </c>
    </row>
    <row r="768" spans="1:40" x14ac:dyDescent="0.25">
      <c r="A768" t="str">
        <f>"20190303153755750"</f>
        <v>20190303153755750</v>
      </c>
      <c r="B768" t="str">
        <f>"1551598675740094"</f>
        <v>1551598675740094</v>
      </c>
      <c r="C768" t="s">
        <v>40</v>
      </c>
      <c r="D768">
        <v>4.0014349999999999</v>
      </c>
      <c r="E768">
        <v>0.51209289999999996</v>
      </c>
      <c r="F768" t="s">
        <v>42</v>
      </c>
      <c r="G768">
        <v>-266.0711</v>
      </c>
      <c r="H768" s="1">
        <v>-2.5967239999999999E-6</v>
      </c>
      <c r="I768">
        <v>364.82960000000003</v>
      </c>
      <c r="J768">
        <v>-353.8202</v>
      </c>
      <c r="K768">
        <v>1.1209229999999999</v>
      </c>
      <c r="L768">
        <v>367.44369999999998</v>
      </c>
      <c r="M768">
        <v>0.99982559999999998</v>
      </c>
      <c r="N768">
        <v>-1.469082E-2</v>
      </c>
      <c r="O768">
        <v>-1.154734E-2</v>
      </c>
      <c r="P768">
        <v>0.99790199999999996</v>
      </c>
      <c r="Q768">
        <v>-6.4716099999999999E-2</v>
      </c>
      <c r="R768">
        <v>1.958385E-3</v>
      </c>
      <c r="S768">
        <v>3.0040279999999999</v>
      </c>
      <c r="T768">
        <v>-3.8235659999999998E-2</v>
      </c>
      <c r="U768">
        <v>-8.9294429999999994E-2</v>
      </c>
      <c r="V768">
        <v>-1.3487000000000001E-2</v>
      </c>
      <c r="W768">
        <v>-5.0049169999999997E-2</v>
      </c>
      <c r="X768">
        <v>0.99865570000000004</v>
      </c>
      <c r="Y768">
        <v>1.8163160000000001E-2</v>
      </c>
      <c r="Z768">
        <v>-2.7171930000000001E-4</v>
      </c>
      <c r="AA768">
        <v>0.99983500000000003</v>
      </c>
      <c r="AB768">
        <v>36</v>
      </c>
      <c r="AC768">
        <v>87.749099999999999</v>
      </c>
      <c r="AD768">
        <v>-1.1209255967239999</v>
      </c>
      <c r="AE768">
        <v>-2.6140999999999499</v>
      </c>
      <c r="AF768">
        <v>1.60028691562408</v>
      </c>
      <c r="AG768">
        <v>-1.1209255967239999</v>
      </c>
      <c r="AH768">
        <v>87.759129538972402</v>
      </c>
      <c r="AI768">
        <v>90.731663367306894</v>
      </c>
      <c r="AJ768">
        <v>88.955327769824194</v>
      </c>
      <c r="AK768">
        <v>87.7808761054699</v>
      </c>
      <c r="AL768">
        <v>92.868804710776402</v>
      </c>
      <c r="AM768">
        <v>90.773741343611505</v>
      </c>
      <c r="AN768">
        <v>1.0000000128645801</v>
      </c>
    </row>
    <row r="769" spans="1:40" x14ac:dyDescent="0.25">
      <c r="A769" t="str">
        <f>"20190303153755761"</f>
        <v>20190303153755761</v>
      </c>
      <c r="B769" t="str">
        <f>"1551598675749854"</f>
        <v>1551598675749854</v>
      </c>
      <c r="C769" t="s">
        <v>40</v>
      </c>
      <c r="D769">
        <v>4.0197099999999999</v>
      </c>
      <c r="E769">
        <v>0.51200059999999903</v>
      </c>
      <c r="F769" t="s">
        <v>42</v>
      </c>
      <c r="G769">
        <v>-257.91469999999998</v>
      </c>
      <c r="H769" s="1">
        <v>-2.0335539999999999E-6</v>
      </c>
      <c r="I769">
        <v>364.58819999999997</v>
      </c>
      <c r="J769">
        <v>-353.62349999999998</v>
      </c>
      <c r="K769">
        <v>1.1209260000000001</v>
      </c>
      <c r="L769">
        <v>367.44139999999999</v>
      </c>
      <c r="M769">
        <v>0.99982539999999998</v>
      </c>
      <c r="N769">
        <v>-1.4690750000000001E-2</v>
      </c>
      <c r="O769">
        <v>-1.1558529999999999E-2</v>
      </c>
      <c r="P769">
        <v>0.99792159999999996</v>
      </c>
      <c r="Q769">
        <v>-6.4419030000000002E-2</v>
      </c>
      <c r="R769">
        <v>1.7201199999999999E-3</v>
      </c>
      <c r="S769">
        <v>3.0042110000000002</v>
      </c>
      <c r="T769">
        <v>-3.5112619999999997E-2</v>
      </c>
      <c r="U769">
        <v>-8.9447020000000002E-2</v>
      </c>
      <c r="V769">
        <v>-1.326053E-2</v>
      </c>
      <c r="W769">
        <v>-4.975193E-2</v>
      </c>
      <c r="X769">
        <v>0.99867360000000005</v>
      </c>
      <c r="Y769">
        <v>1.8201289999999998E-2</v>
      </c>
      <c r="Z769">
        <v>-2.748173E-4</v>
      </c>
      <c r="AA769">
        <v>0.99983429999999995</v>
      </c>
      <c r="AB769">
        <v>35</v>
      </c>
      <c r="AC769">
        <v>95.708799999999997</v>
      </c>
      <c r="AD769">
        <v>-1.1209280335539999</v>
      </c>
      <c r="AE769">
        <v>-2.85320000000001</v>
      </c>
      <c r="AF769">
        <v>1.74639772996801</v>
      </c>
      <c r="AG769">
        <v>-1.1209280335539999</v>
      </c>
      <c r="AH769">
        <v>95.722269090466</v>
      </c>
      <c r="AI769">
        <v>90.670803418286795</v>
      </c>
      <c r="AJ769">
        <v>88.954787424574803</v>
      </c>
      <c r="AK769">
        <v>95.744760611300407</v>
      </c>
      <c r="AL769">
        <v>92.851752827573193</v>
      </c>
      <c r="AM769">
        <v>90.760736797532005</v>
      </c>
      <c r="AN769">
        <v>1.0000000277657799</v>
      </c>
    </row>
    <row r="770" spans="1:40" x14ac:dyDescent="0.25">
      <c r="A770" t="str">
        <f>"20190303153755774"</f>
        <v>20190303153755774</v>
      </c>
      <c r="B770" t="str">
        <f>"1551598675769374"</f>
        <v>1551598675769374</v>
      </c>
      <c r="C770" t="s">
        <v>40</v>
      </c>
      <c r="D770">
        <v>3.9967579999999998</v>
      </c>
      <c r="E770">
        <v>0.51186030000000005</v>
      </c>
      <c r="F770" t="s">
        <v>42</v>
      </c>
      <c r="G770">
        <v>-250.99510000000001</v>
      </c>
      <c r="H770" s="1">
        <v>-4.7732250000000004E-6</v>
      </c>
      <c r="I770">
        <v>364.38580000000002</v>
      </c>
      <c r="J770">
        <v>-353.4409</v>
      </c>
      <c r="K770">
        <v>1.120924</v>
      </c>
      <c r="L770">
        <v>367.43920000000003</v>
      </c>
      <c r="M770">
        <v>0.99982530000000003</v>
      </c>
      <c r="N770">
        <v>-1.469061E-2</v>
      </c>
      <c r="O770">
        <v>-1.156853E-2</v>
      </c>
      <c r="P770">
        <v>0.99794970000000005</v>
      </c>
      <c r="Q770">
        <v>-6.3990130000000006E-2</v>
      </c>
      <c r="R770">
        <v>1.462257E-3</v>
      </c>
      <c r="S770">
        <v>3.0042719999999998</v>
      </c>
      <c r="T770">
        <v>-3.2813309999999998E-2</v>
      </c>
      <c r="U770">
        <v>-8.9447020000000002E-2</v>
      </c>
      <c r="V770">
        <v>-1.30127E-2</v>
      </c>
      <c r="W770">
        <v>-4.9322820000000003E-2</v>
      </c>
      <c r="X770">
        <v>0.99869810000000003</v>
      </c>
      <c r="Y770">
        <v>1.8190979999999999E-2</v>
      </c>
      <c r="Z770">
        <v>-2.7659979999999999E-4</v>
      </c>
      <c r="AA770">
        <v>0.99983449999999996</v>
      </c>
      <c r="AB770">
        <v>35</v>
      </c>
      <c r="AC770">
        <v>102.44580000000001</v>
      </c>
      <c r="AD770">
        <v>-1.120928773225</v>
      </c>
      <c r="AE770">
        <v>-3.0534000000000101</v>
      </c>
      <c r="AF770">
        <v>1.8676971729133101</v>
      </c>
      <c r="AG770">
        <v>-1.120928773225</v>
      </c>
      <c r="AH770">
        <v>102.46201434994001</v>
      </c>
      <c r="AI770">
        <v>90.626683560234795</v>
      </c>
      <c r="AJ770">
        <v>88.955717234660796</v>
      </c>
      <c r="AK770">
        <v>102.485165554297</v>
      </c>
      <c r="AL770">
        <v>92.827136540659595</v>
      </c>
      <c r="AM770">
        <v>90.746502473444806</v>
      </c>
      <c r="AN770">
        <v>0.99999998293882597</v>
      </c>
    </row>
    <row r="771" spans="1:40" x14ac:dyDescent="0.25">
      <c r="A771" t="str">
        <f>"20190303153755786"</f>
        <v>20190303153755786</v>
      </c>
      <c r="B771" t="str">
        <f>"1551598675780110"</f>
        <v>1551598675780110</v>
      </c>
      <c r="C771" t="s">
        <v>40</v>
      </c>
      <c r="D771">
        <v>4.0171400000000004</v>
      </c>
      <c r="E771">
        <v>0.51177320000000004</v>
      </c>
      <c r="F771" t="s">
        <v>42</v>
      </c>
      <c r="G771">
        <v>-235.77180000000001</v>
      </c>
      <c r="H771" s="1">
        <v>-2.932527E-6</v>
      </c>
      <c r="I771">
        <v>363.95030000000003</v>
      </c>
      <c r="J771">
        <v>-353.22859999999997</v>
      </c>
      <c r="K771">
        <v>1.1209290000000001</v>
      </c>
      <c r="L771">
        <v>367.43680000000001</v>
      </c>
      <c r="M771">
        <v>0.99982519999999997</v>
      </c>
      <c r="N771">
        <v>-1.469029E-2</v>
      </c>
      <c r="O771">
        <v>-1.157935E-2</v>
      </c>
      <c r="P771">
        <v>0.99796300000000004</v>
      </c>
      <c r="Q771">
        <v>-6.3784209999999994E-2</v>
      </c>
      <c r="R771">
        <v>1.2869050000000001E-3</v>
      </c>
      <c r="S771">
        <v>3.0044559999999998</v>
      </c>
      <c r="T771">
        <v>-2.8620719999999999E-2</v>
      </c>
      <c r="U771">
        <v>-8.9080809999999996E-2</v>
      </c>
      <c r="V771">
        <v>-1.284853E-2</v>
      </c>
      <c r="W771">
        <v>-4.9117069999999999E-2</v>
      </c>
      <c r="X771">
        <v>0.9987104</v>
      </c>
      <c r="Y771">
        <v>1.8057119999999999E-2</v>
      </c>
      <c r="Z771">
        <v>-2.7847739999999998E-4</v>
      </c>
      <c r="AA771">
        <v>0.99983690000000003</v>
      </c>
      <c r="AB771">
        <v>35</v>
      </c>
      <c r="AC771">
        <v>117.45679999999901</v>
      </c>
      <c r="AD771">
        <v>-1.120931932527</v>
      </c>
      <c r="AE771">
        <v>-3.4864999999999702</v>
      </c>
      <c r="AF771">
        <v>2.1258528009653102</v>
      </c>
      <c r="AG771">
        <v>-1.120931932527</v>
      </c>
      <c r="AH771">
        <v>117.478609391354</v>
      </c>
      <c r="AI771">
        <v>90.546586382949997</v>
      </c>
      <c r="AJ771">
        <v>88.963308284320505</v>
      </c>
      <c r="AK771">
        <v>117.503188905898</v>
      </c>
      <c r="AL771">
        <v>92.815333531774002</v>
      </c>
      <c r="AM771">
        <v>90.737076465153805</v>
      </c>
      <c r="AN771">
        <v>1.0000000171783501</v>
      </c>
    </row>
    <row r="772" spans="1:40" x14ac:dyDescent="0.25">
      <c r="A772" t="str">
        <f>"20190303153755798"</f>
        <v>20190303153755798</v>
      </c>
      <c r="B772" t="str">
        <f>"1551598675789870"</f>
        <v>1551598675789870</v>
      </c>
      <c r="C772" t="s">
        <v>40</v>
      </c>
      <c r="D772">
        <v>4.0308400000000004</v>
      </c>
      <c r="E772">
        <v>0.51169319999999996</v>
      </c>
      <c r="F772" t="s">
        <v>42</v>
      </c>
      <c r="G772">
        <v>-227.33459999999999</v>
      </c>
      <c r="H772" s="1">
        <v>-2.4658729999999999E-6</v>
      </c>
      <c r="I772">
        <v>363.7054</v>
      </c>
      <c r="J772">
        <v>-353.05090000000001</v>
      </c>
      <c r="K772">
        <v>1.1209340000000001</v>
      </c>
      <c r="L772">
        <v>367.4348</v>
      </c>
      <c r="M772">
        <v>0.99982510000000002</v>
      </c>
      <c r="N772">
        <v>-1.4689850000000001E-2</v>
      </c>
      <c r="O772">
        <v>-1.1586590000000001E-2</v>
      </c>
      <c r="P772">
        <v>0.99797049999999998</v>
      </c>
      <c r="Q772">
        <v>-6.3674590000000003E-2</v>
      </c>
      <c r="R772">
        <v>9.0751109999999999E-4</v>
      </c>
      <c r="S772">
        <v>3.0045169999999999</v>
      </c>
      <c r="T772">
        <v>-2.6751520000000001E-2</v>
      </c>
      <c r="U772">
        <v>-8.9050290000000004E-2</v>
      </c>
      <c r="V772">
        <v>-1.247619E-2</v>
      </c>
      <c r="W772">
        <v>-4.9007830000000002E-2</v>
      </c>
      <c r="X772">
        <v>0.99872050000000001</v>
      </c>
      <c r="Y772">
        <v>1.8039360000000001E-2</v>
      </c>
      <c r="Z772">
        <v>-2.7988680000000003E-4</v>
      </c>
      <c r="AA772">
        <v>0.99983719999999998</v>
      </c>
      <c r="AB772">
        <v>35</v>
      </c>
      <c r="AC772">
        <v>125.7163</v>
      </c>
      <c r="AD772">
        <v>-1.1209364658730001</v>
      </c>
      <c r="AE772">
        <v>-3.7293999999999898</v>
      </c>
      <c r="AF772">
        <v>2.2721889025850999</v>
      </c>
      <c r="AG772">
        <v>-1.1209364658730001</v>
      </c>
      <c r="AH772">
        <v>125.74108703962899</v>
      </c>
      <c r="AI772">
        <v>90.510674325292797</v>
      </c>
      <c r="AJ772">
        <v>88.964756310961604</v>
      </c>
      <c r="AK772">
        <v>125.76661047701501</v>
      </c>
      <c r="AL772">
        <v>92.809066958395206</v>
      </c>
      <c r="AM772">
        <v>90.715711603600298</v>
      </c>
      <c r="AN772">
        <v>1.00000002991923</v>
      </c>
    </row>
    <row r="773" spans="1:40" x14ac:dyDescent="0.25">
      <c r="A773" t="str">
        <f>"20190303153755810"</f>
        <v>20190303153755810</v>
      </c>
      <c r="B773" t="str">
        <f>"1551598675799630"</f>
        <v>1551598675799630</v>
      </c>
      <c r="C773" t="s">
        <v>40</v>
      </c>
      <c r="D773">
        <v>3.9909629999999998</v>
      </c>
      <c r="E773">
        <v>0.51163519999999996</v>
      </c>
      <c r="F773" t="s">
        <v>42</v>
      </c>
      <c r="G773">
        <v>-220.2534</v>
      </c>
      <c r="H773" s="1">
        <v>-5.2513309999999998E-6</v>
      </c>
      <c r="I773">
        <v>363.48399999999998</v>
      </c>
      <c r="J773">
        <v>-352.86720000000003</v>
      </c>
      <c r="K773">
        <v>1.120938</v>
      </c>
      <c r="L773">
        <v>367.43259999999998</v>
      </c>
      <c r="M773">
        <v>0.99982490000000002</v>
      </c>
      <c r="N773">
        <v>-1.468934E-2</v>
      </c>
      <c r="O773">
        <v>-1.159323E-2</v>
      </c>
      <c r="P773">
        <v>0.99796390000000001</v>
      </c>
      <c r="Q773">
        <v>-6.3776429999999995E-2</v>
      </c>
      <c r="R773">
        <v>8.4369130000000003E-4</v>
      </c>
      <c r="S773">
        <v>3.0046080000000002</v>
      </c>
      <c r="T773">
        <v>-2.536178E-2</v>
      </c>
      <c r="U773">
        <v>-8.9385989999999999E-2</v>
      </c>
      <c r="V773">
        <v>-1.2418510000000001E-2</v>
      </c>
      <c r="W773">
        <v>-4.9110300000000003E-2</v>
      </c>
      <c r="X773">
        <v>0.99871620000000005</v>
      </c>
      <c r="Y773">
        <v>1.8143579999999999E-2</v>
      </c>
      <c r="Z773">
        <v>-2.8231019999999999E-4</v>
      </c>
      <c r="AA773">
        <v>0.99983540000000004</v>
      </c>
      <c r="AB773">
        <v>35</v>
      </c>
      <c r="AC773">
        <v>132.6138</v>
      </c>
      <c r="AD773">
        <v>-1.120943251331</v>
      </c>
      <c r="AE773">
        <v>-3.9485999999999399</v>
      </c>
      <c r="AF773">
        <v>2.4105743305302001</v>
      </c>
      <c r="AG773">
        <v>-1.120943251331</v>
      </c>
      <c r="AH773">
        <v>132.64119935115701</v>
      </c>
      <c r="AI773">
        <v>90.484111919716995</v>
      </c>
      <c r="AJ773">
        <v>88.958841345359403</v>
      </c>
      <c r="AK773">
        <v>132.667837653627</v>
      </c>
      <c r="AL773">
        <v>92.814945093566607</v>
      </c>
      <c r="AM773">
        <v>90.712406129986604</v>
      </c>
      <c r="AN773">
        <v>1.00000004454957</v>
      </c>
    </row>
    <row r="774" spans="1:40" x14ac:dyDescent="0.25">
      <c r="A774" t="str">
        <f>"20190303153755827"</f>
        <v>20190303153755827</v>
      </c>
      <c r="B774" t="str">
        <f>"1551598675820126"</f>
        <v>1551598675820126</v>
      </c>
      <c r="C774" t="s">
        <v>40</v>
      </c>
      <c r="D774">
        <v>4.1181269999999897</v>
      </c>
      <c r="E774">
        <v>0.51164790000000004</v>
      </c>
      <c r="F774" t="s">
        <v>42</v>
      </c>
      <c r="G774">
        <v>-215.99359999999999</v>
      </c>
      <c r="H774" s="1">
        <v>-3.0139360000000002E-6</v>
      </c>
      <c r="I774">
        <v>363.36070000000001</v>
      </c>
      <c r="J774">
        <v>-352.5806</v>
      </c>
      <c r="K774">
        <v>1.120941</v>
      </c>
      <c r="L774">
        <v>367.42930000000001</v>
      </c>
      <c r="M774">
        <v>0.99982490000000002</v>
      </c>
      <c r="N774">
        <v>-1.468826E-2</v>
      </c>
      <c r="O774">
        <v>-1.1600910000000001E-2</v>
      </c>
      <c r="P774">
        <v>0.99790380000000001</v>
      </c>
      <c r="Q774">
        <v>-6.4717280000000002E-2</v>
      </c>
      <c r="R774" s="1">
        <v>-5.8059349999999998E-5</v>
      </c>
      <c r="S774">
        <v>3.0046689999999998</v>
      </c>
      <c r="T774">
        <v>-2.460706E-2</v>
      </c>
      <c r="U774">
        <v>-8.9385989999999999E-2</v>
      </c>
      <c r="V774">
        <v>-1.1523139999999999E-2</v>
      </c>
      <c r="W774">
        <v>-5.0053E-2</v>
      </c>
      <c r="X774">
        <v>0.99868009999999996</v>
      </c>
      <c r="Y774">
        <v>1.8135390000000001E-2</v>
      </c>
      <c r="Z774">
        <v>-2.828773E-4</v>
      </c>
      <c r="AA774">
        <v>0.99983549999999999</v>
      </c>
      <c r="AB774">
        <v>35</v>
      </c>
      <c r="AC774">
        <v>136.58699999999999</v>
      </c>
      <c r="AD774">
        <v>-1.1209440139360001</v>
      </c>
      <c r="AE774">
        <v>-4.0686</v>
      </c>
      <c r="AF774">
        <v>2.4834547113889802</v>
      </c>
      <c r="AG774">
        <v>-1.1209440139360001</v>
      </c>
      <c r="AH774">
        <v>136.61581808242201</v>
      </c>
      <c r="AI774">
        <v>90.470028378346001</v>
      </c>
      <c r="AJ774">
        <v>88.958570060913601</v>
      </c>
      <c r="AK774">
        <v>136.64298669567799</v>
      </c>
      <c r="AL774">
        <v>92.869024426160706</v>
      </c>
      <c r="AM774">
        <v>90.661070538522196</v>
      </c>
      <c r="AN774">
        <v>1.0000000138502301</v>
      </c>
    </row>
    <row r="775" spans="1:40" x14ac:dyDescent="0.25">
      <c r="A775" t="str">
        <f>"20190303153755839"</f>
        <v>20190303153755839</v>
      </c>
      <c r="B775" t="str">
        <f>"1551598675829886"</f>
        <v>1551598675829886</v>
      </c>
      <c r="C775" t="s">
        <v>40</v>
      </c>
      <c r="D775">
        <v>4.1480129999999997</v>
      </c>
      <c r="E775">
        <v>0.53477940000000002</v>
      </c>
      <c r="F775" t="s">
        <v>42</v>
      </c>
      <c r="G775">
        <v>-231.68870000000001</v>
      </c>
      <c r="H775" s="1">
        <v>-4.5929490000000004E-6</v>
      </c>
      <c r="I775">
        <v>363.72460000000001</v>
      </c>
      <c r="J775">
        <v>-352.40219999999999</v>
      </c>
      <c r="K775">
        <v>1.120943</v>
      </c>
      <c r="L775">
        <v>367.42720000000003</v>
      </c>
      <c r="M775">
        <v>0.99982490000000002</v>
      </c>
      <c r="N775">
        <v>-1.4687449999999999E-2</v>
      </c>
      <c r="O775">
        <v>-1.1604089999999999E-2</v>
      </c>
      <c r="P775">
        <v>0.9978747</v>
      </c>
      <c r="Q775">
        <v>-6.5162999999999999E-2</v>
      </c>
      <c r="R775">
        <v>-4.724126E-4</v>
      </c>
      <c r="S775">
        <v>3.0045169999999999</v>
      </c>
      <c r="T775">
        <v>-2.7858730000000002E-2</v>
      </c>
      <c r="U775">
        <v>-9.2071529999999999E-2</v>
      </c>
      <c r="V775">
        <v>-1.1111920000000001E-2</v>
      </c>
      <c r="W775">
        <v>-5.0499919999999997E-2</v>
      </c>
      <c r="X775">
        <v>0.99866220000000006</v>
      </c>
      <c r="Y775">
        <v>1.9026100000000001E-2</v>
      </c>
      <c r="Z775">
        <v>-2.9080950000000001E-4</v>
      </c>
      <c r="AA775">
        <v>0.99981889999999995</v>
      </c>
      <c r="AB775">
        <v>35</v>
      </c>
      <c r="AC775">
        <v>120.713499999999</v>
      </c>
      <c r="AD775">
        <v>-1.120947592949</v>
      </c>
      <c r="AE775">
        <v>-3.7026000000000101</v>
      </c>
      <c r="AF775">
        <v>2.30123111661851</v>
      </c>
      <c r="AG775">
        <v>-1.120947592949</v>
      </c>
      <c r="AH775">
        <v>120.737939116307</v>
      </c>
      <c r="AI775">
        <v>90.531830010223103</v>
      </c>
      <c r="AJ775">
        <v>88.908090785982907</v>
      </c>
      <c r="AK775">
        <v>120.76506999215999</v>
      </c>
      <c r="AL775">
        <v>92.8946636562289</v>
      </c>
      <c r="AM775">
        <v>90.637492683631507</v>
      </c>
      <c r="AN775">
        <v>0.99999995319746504</v>
      </c>
    </row>
    <row r="776" spans="1:40" x14ac:dyDescent="0.25">
      <c r="A776" t="str">
        <f>"20190303153755852"</f>
        <v>20190303153755852</v>
      </c>
      <c r="B776" t="str">
        <f>"1551598675839647"</f>
        <v>1551598675839647</v>
      </c>
      <c r="C776" t="s">
        <v>40</v>
      </c>
      <c r="D776">
        <v>4.1060679999999996</v>
      </c>
      <c r="E776">
        <v>0.53661530000000002</v>
      </c>
      <c r="F776" t="s">
        <v>42</v>
      </c>
      <c r="G776">
        <v>-271.02620000000002</v>
      </c>
      <c r="H776" s="1">
        <v>-5.625848E-6</v>
      </c>
      <c r="I776">
        <v>359.8974</v>
      </c>
      <c r="J776">
        <v>-352.2131</v>
      </c>
      <c r="K776">
        <v>1.1209439999999999</v>
      </c>
      <c r="L776">
        <v>367.42500000000001</v>
      </c>
      <c r="M776">
        <v>0.99982479999999996</v>
      </c>
      <c r="N776">
        <v>-1.468654E-2</v>
      </c>
      <c r="O776">
        <v>-1.160692E-2</v>
      </c>
      <c r="P776">
        <v>0.99784139999999999</v>
      </c>
      <c r="Q776">
        <v>-6.5662819999999997E-2</v>
      </c>
      <c r="R776">
        <v>-1.098323E-3</v>
      </c>
      <c r="S776">
        <v>3.0036010000000002</v>
      </c>
      <c r="T776">
        <v>-4.1374330000000001E-2</v>
      </c>
      <c r="U776">
        <v>-0.27792359999999999</v>
      </c>
      <c r="V776">
        <v>-1.0488300000000001E-2</v>
      </c>
      <c r="W776">
        <v>-5.1001070000000003E-2</v>
      </c>
      <c r="X776">
        <v>0.99864350000000002</v>
      </c>
      <c r="Y776">
        <v>8.055582E-2</v>
      </c>
      <c r="Z776">
        <v>-1.1571350000000001E-3</v>
      </c>
      <c r="AA776">
        <v>0.99674940000000001</v>
      </c>
      <c r="AB776">
        <v>35</v>
      </c>
      <c r="AC776">
        <v>81.186899999999895</v>
      </c>
      <c r="AD776">
        <v>-1.1209496258479901</v>
      </c>
      <c r="AE776">
        <v>-7.5275999999999996</v>
      </c>
      <c r="AF776">
        <v>6.5834170107379597</v>
      </c>
      <c r="AG776">
        <v>-1.1209496258479901</v>
      </c>
      <c r="AH776">
        <v>81.253453895889507</v>
      </c>
      <c r="AI776">
        <v>90.787804879469505</v>
      </c>
      <c r="AJ776">
        <v>85.367829753689506</v>
      </c>
      <c r="AK776">
        <v>81.527428989343306</v>
      </c>
      <c r="AL776">
        <v>92.923414417994806</v>
      </c>
      <c r="AM776">
        <v>90.601729476676994</v>
      </c>
      <c r="AN776">
        <v>0.99999997683514197</v>
      </c>
    </row>
    <row r="777" spans="1:40" x14ac:dyDescent="0.25">
      <c r="A777" t="str">
        <f>"20190303153755864"</f>
        <v>20190303153755864</v>
      </c>
      <c r="B777" t="str">
        <f>"1551598675860142"</f>
        <v>1551598675860142</v>
      </c>
      <c r="C777" t="s">
        <v>40</v>
      </c>
      <c r="D777">
        <v>4.1131570000000002</v>
      </c>
      <c r="E777">
        <v>0.5381823</v>
      </c>
      <c r="F777" t="s">
        <v>42</v>
      </c>
      <c r="G777">
        <v>-274.73570000000001</v>
      </c>
      <c r="H777" s="1">
        <v>-4.38158E-6</v>
      </c>
      <c r="I777">
        <v>359.82940000000002</v>
      </c>
      <c r="J777">
        <v>-352.01740000000001</v>
      </c>
      <c r="K777">
        <v>1.120946</v>
      </c>
      <c r="L777">
        <v>367.42270000000002</v>
      </c>
      <c r="M777">
        <v>0.99982479999999996</v>
      </c>
      <c r="N777">
        <v>-1.4685510000000001E-2</v>
      </c>
      <c r="O777">
        <v>-1.1609029999999999E-2</v>
      </c>
      <c r="P777">
        <v>0.99780939999999996</v>
      </c>
      <c r="Q777">
        <v>-6.6131099999999998E-2</v>
      </c>
      <c r="R777">
        <v>-1.7345520000000001E-3</v>
      </c>
      <c r="S777">
        <v>3.0033259999999999</v>
      </c>
      <c r="T777">
        <v>-4.3452259999999999E-2</v>
      </c>
      <c r="U777">
        <v>-0.29443360000000002</v>
      </c>
      <c r="V777">
        <v>-9.8533030000000008E-3</v>
      </c>
      <c r="W777">
        <v>-5.1470769999999999E-2</v>
      </c>
      <c r="X777">
        <v>0.99862589999999996</v>
      </c>
      <c r="Y777">
        <v>8.5988599999999998E-2</v>
      </c>
      <c r="Z777">
        <v>-1.2561180000000001E-3</v>
      </c>
      <c r="AA777">
        <v>0.99629529999999999</v>
      </c>
      <c r="AB777">
        <v>35</v>
      </c>
      <c r="AC777">
        <v>77.281700000000001</v>
      </c>
      <c r="AD777">
        <v>-1.1209503815799999</v>
      </c>
      <c r="AE777">
        <v>-7.5932999999999904</v>
      </c>
      <c r="AF777">
        <v>6.6941310021915603</v>
      </c>
      <c r="AG777">
        <v>-1.1209503815799999</v>
      </c>
      <c r="AH777">
        <v>77.348533894714606</v>
      </c>
      <c r="AI777">
        <v>90.827192101519501</v>
      </c>
      <c r="AJ777">
        <v>85.053660040864102</v>
      </c>
      <c r="AK777">
        <v>77.645757226613995</v>
      </c>
      <c r="AL777">
        <v>92.950361547714394</v>
      </c>
      <c r="AM777">
        <v>90.565311150620403</v>
      </c>
      <c r="AN777">
        <v>1.0000000079475999</v>
      </c>
    </row>
    <row r="778" spans="1:40" x14ac:dyDescent="0.25">
      <c r="A778" t="str">
        <f>"20190303153755875"</f>
        <v>20190303153755875</v>
      </c>
      <c r="B778" t="str">
        <f>"1551598675869902"</f>
        <v>1551598675869902</v>
      </c>
      <c r="C778" t="s">
        <v>40</v>
      </c>
      <c r="D778">
        <v>4.0942990000000004</v>
      </c>
      <c r="E778">
        <v>0.5385529</v>
      </c>
      <c r="F778" t="s">
        <v>42</v>
      </c>
      <c r="G778">
        <v>-277.98520000000002</v>
      </c>
      <c r="H778" s="1">
        <v>-3.2811950000000001E-6</v>
      </c>
      <c r="I778">
        <v>359.80900000000003</v>
      </c>
      <c r="J778">
        <v>-351.84269999999998</v>
      </c>
      <c r="K778">
        <v>1.1209469999999999</v>
      </c>
      <c r="L778">
        <v>367.42070000000001</v>
      </c>
      <c r="M778">
        <v>0.99982490000000002</v>
      </c>
      <c r="N778">
        <v>-1.4684549999999999E-2</v>
      </c>
      <c r="O778">
        <v>-1.161031E-2</v>
      </c>
      <c r="P778">
        <v>0.99779700000000005</v>
      </c>
      <c r="Q778">
        <v>-6.6308279999999997E-2</v>
      </c>
      <c r="R778">
        <v>-2.1142270000000002E-3</v>
      </c>
      <c r="S778">
        <v>3.0030209999999999</v>
      </c>
      <c r="T778">
        <v>-4.5469759999999998E-2</v>
      </c>
      <c r="U778">
        <v>-0.3088379</v>
      </c>
      <c r="V778">
        <v>-9.4746480000000004E-3</v>
      </c>
      <c r="W778">
        <v>-5.1649059999999997E-2</v>
      </c>
      <c r="X778">
        <v>0.99862030000000002</v>
      </c>
      <c r="Y778">
        <v>9.0724899999999997E-2</v>
      </c>
      <c r="Z778">
        <v>-1.3477789999999999E-3</v>
      </c>
      <c r="AA778">
        <v>0.99587510000000001</v>
      </c>
      <c r="AB778">
        <v>35</v>
      </c>
      <c r="AC778">
        <v>73.857499999999902</v>
      </c>
      <c r="AD778">
        <v>-1.1209502811949901</v>
      </c>
      <c r="AE778">
        <v>-7.6116999999999804</v>
      </c>
      <c r="AF778">
        <v>6.7520470483354202</v>
      </c>
      <c r="AG778">
        <v>-1.1209502811949901</v>
      </c>
      <c r="AH778">
        <v>73.924055243606901</v>
      </c>
      <c r="AI778">
        <v>90.865139503632307</v>
      </c>
      <c r="AJ778">
        <v>84.781220547475698</v>
      </c>
      <c r="AK778">
        <v>74.240235806035102</v>
      </c>
      <c r="AL778">
        <v>92.9605905923504</v>
      </c>
      <c r="AM778">
        <v>90.543591047391402</v>
      </c>
      <c r="AN778">
        <v>0.99999994896284705</v>
      </c>
    </row>
    <row r="779" spans="1:40" x14ac:dyDescent="0.25">
      <c r="A779" t="str">
        <f>"20190303153755886"</f>
        <v>20190303153755886</v>
      </c>
      <c r="B779" t="str">
        <f>"1551598675879662"</f>
        <v>1551598675879662</v>
      </c>
      <c r="C779" t="s">
        <v>40</v>
      </c>
      <c r="D779">
        <v>4.1205530000000001</v>
      </c>
      <c r="E779">
        <v>0.53873499999999996</v>
      </c>
      <c r="F779" t="s">
        <v>43</v>
      </c>
      <c r="G779">
        <v>-278.6807</v>
      </c>
      <c r="H779">
        <v>-0.05</v>
      </c>
      <c r="I779">
        <v>359.79259999999999</v>
      </c>
      <c r="J779">
        <v>-351.65100000000001</v>
      </c>
      <c r="K779">
        <v>1.1209480000000001</v>
      </c>
      <c r="L779">
        <v>367.41840000000002</v>
      </c>
      <c r="M779">
        <v>0.99982479999999996</v>
      </c>
      <c r="N779">
        <v>-1.4683420000000001E-2</v>
      </c>
      <c r="O779">
        <v>-1.1610759999999999E-2</v>
      </c>
      <c r="P779">
        <v>0.99779370000000001</v>
      </c>
      <c r="Q779">
        <v>-6.6347180000000006E-2</v>
      </c>
      <c r="R779">
        <v>-2.3605800000000001E-3</v>
      </c>
      <c r="S779">
        <v>3.002777</v>
      </c>
      <c r="T779">
        <v>-4.8058990000000003E-2</v>
      </c>
      <c r="U779">
        <v>-0.31307980000000002</v>
      </c>
      <c r="V779">
        <v>-9.2289209999999993E-3</v>
      </c>
      <c r="W779">
        <v>-5.168913E-2</v>
      </c>
      <c r="X779">
        <v>0.99862059999999997</v>
      </c>
      <c r="Y779">
        <v>9.2122419999999997E-2</v>
      </c>
      <c r="Z779">
        <v>-1.3982249999999999E-3</v>
      </c>
      <c r="AA779">
        <v>0.99574669999999998</v>
      </c>
      <c r="AB779">
        <v>35</v>
      </c>
      <c r="AC779">
        <v>72.970299999999995</v>
      </c>
      <c r="AD779">
        <v>-1.1709479999999901</v>
      </c>
      <c r="AE779">
        <v>-7.6258000000000203</v>
      </c>
      <c r="AF779">
        <v>6.7762278344000002</v>
      </c>
      <c r="AG779">
        <v>-1.1709479999999901</v>
      </c>
      <c r="AH779">
        <v>73.035327431549803</v>
      </c>
      <c r="AI779">
        <v>90.914595655423895</v>
      </c>
      <c r="AJ779">
        <v>84.699264701177398</v>
      </c>
      <c r="AK779">
        <v>73.358349462866798</v>
      </c>
      <c r="AL779">
        <v>92.962889291640906</v>
      </c>
      <c r="AM779">
        <v>90.5294935528959</v>
      </c>
      <c r="AN779">
        <v>1.0000000209436699</v>
      </c>
    </row>
    <row r="780" spans="1:40" x14ac:dyDescent="0.25">
      <c r="A780" t="str">
        <f>"20190303153755899"</f>
        <v>20190303153755899</v>
      </c>
      <c r="B780" t="str">
        <f>"1551598675889422"</f>
        <v>1551598675889422</v>
      </c>
      <c r="C780" t="s">
        <v>40</v>
      </c>
      <c r="D780">
        <v>4.1227489999999998</v>
      </c>
      <c r="E780">
        <v>0.53872209999999998</v>
      </c>
      <c r="F780" t="s">
        <v>43</v>
      </c>
      <c r="G780">
        <v>-277.07279999999997</v>
      </c>
      <c r="H780">
        <v>-0.05</v>
      </c>
      <c r="I780">
        <v>359.5933</v>
      </c>
      <c r="J780">
        <v>-351.46230000000003</v>
      </c>
      <c r="K780">
        <v>1.1209499999999999</v>
      </c>
      <c r="L780">
        <v>367.41629999999998</v>
      </c>
      <c r="M780">
        <v>0.99982490000000002</v>
      </c>
      <c r="N780">
        <v>-1.4682239999999999E-2</v>
      </c>
      <c r="O780">
        <v>-1.160917E-2</v>
      </c>
      <c r="P780">
        <v>0.99779280000000004</v>
      </c>
      <c r="Q780">
        <v>-6.6356289999999998E-2</v>
      </c>
      <c r="R780">
        <v>-2.5881540000000001E-3</v>
      </c>
      <c r="S780">
        <v>3.002777</v>
      </c>
      <c r="T780">
        <v>-4.7146439999999998E-2</v>
      </c>
      <c r="U780">
        <v>-0.3150635</v>
      </c>
      <c r="V780">
        <v>-8.9993989999999999E-3</v>
      </c>
      <c r="W780">
        <v>-5.1699439999999999E-2</v>
      </c>
      <c r="X780">
        <v>0.99862209999999996</v>
      </c>
      <c r="Y780">
        <v>9.2775140000000006E-2</v>
      </c>
      <c r="Z780">
        <v>-1.3976310000000001E-3</v>
      </c>
      <c r="AA780">
        <v>0.99568610000000002</v>
      </c>
      <c r="AB780">
        <v>35</v>
      </c>
      <c r="AC780">
        <v>74.389499999999998</v>
      </c>
      <c r="AD780">
        <v>-1.1709499999999999</v>
      </c>
      <c r="AE780">
        <v>-7.8229999999999702</v>
      </c>
      <c r="AF780">
        <v>6.9570744117696899</v>
      </c>
      <c r="AG780">
        <v>-1.1709499999999999</v>
      </c>
      <c r="AH780">
        <v>74.457067594540305</v>
      </c>
      <c r="AI780">
        <v>90.8970816620633</v>
      </c>
      <c r="AJ780">
        <v>84.6619303886458</v>
      </c>
      <c r="AK780">
        <v>74.790553701997297</v>
      </c>
      <c r="AL780">
        <v>92.963480982924295</v>
      </c>
      <c r="AM780">
        <v>90.516325067318803</v>
      </c>
      <c r="AN780">
        <v>0.99999995994354096</v>
      </c>
    </row>
    <row r="781" spans="1:40" x14ac:dyDescent="0.25">
      <c r="A781" t="str">
        <f>"20190303153755910"</f>
        <v>20190303153755910</v>
      </c>
      <c r="B781" t="str">
        <f>"1551598675900159"</f>
        <v>1551598675900159</v>
      </c>
      <c r="C781" t="s">
        <v>40</v>
      </c>
      <c r="D781">
        <v>4.0543279999999999</v>
      </c>
      <c r="E781">
        <v>0.53928909999999997</v>
      </c>
      <c r="F781" t="s">
        <v>43</v>
      </c>
      <c r="G781">
        <v>-277.58449999999999</v>
      </c>
      <c r="H781">
        <v>-0.05</v>
      </c>
      <c r="I781">
        <v>359.64260000000002</v>
      </c>
      <c r="J781">
        <v>-351.27760000000001</v>
      </c>
      <c r="K781">
        <v>1.120949</v>
      </c>
      <c r="L781">
        <v>367.41410000000002</v>
      </c>
      <c r="M781">
        <v>0.99982499999999996</v>
      </c>
      <c r="N781">
        <v>-1.4681069999999999E-2</v>
      </c>
      <c r="O781">
        <v>-1.160662E-2</v>
      </c>
      <c r="P781">
        <v>0.99779209999999996</v>
      </c>
      <c r="Q781">
        <v>-6.636135E-2</v>
      </c>
      <c r="R781">
        <v>-2.6918879999999999E-3</v>
      </c>
      <c r="S781">
        <v>3.0026549999999999</v>
      </c>
      <c r="T781">
        <v>-4.759157E-2</v>
      </c>
      <c r="U781">
        <v>-0.31594850000000002</v>
      </c>
      <c r="V781">
        <v>-8.8932089999999991E-3</v>
      </c>
      <c r="W781">
        <v>-5.17057E-2</v>
      </c>
      <c r="X781">
        <v>0.99862280000000003</v>
      </c>
      <c r="Y781">
        <v>9.3071749999999995E-2</v>
      </c>
      <c r="Z781">
        <v>-1.4072570000000001E-3</v>
      </c>
      <c r="AA781">
        <v>0.99565840000000005</v>
      </c>
      <c r="AB781">
        <v>35</v>
      </c>
      <c r="AC781">
        <v>73.693100000000001</v>
      </c>
      <c r="AD781">
        <v>-1.170949</v>
      </c>
      <c r="AE781">
        <v>-7.7714999999999996</v>
      </c>
      <c r="AF781">
        <v>6.9138301405027098</v>
      </c>
      <c r="AG781">
        <v>-1.170949</v>
      </c>
      <c r="AH781">
        <v>73.759927713451304</v>
      </c>
      <c r="AI781">
        <v>90.905533292379602</v>
      </c>
      <c r="AJ781">
        <v>84.6450705548922</v>
      </c>
      <c r="AK781">
        <v>74.092503703585905</v>
      </c>
      <c r="AL781">
        <v>92.963839919252905</v>
      </c>
      <c r="AM781">
        <v>90.510232564760699</v>
      </c>
      <c r="AN781">
        <v>1.0000000326293199</v>
      </c>
    </row>
    <row r="782" spans="1:40" x14ac:dyDescent="0.25">
      <c r="A782" t="str">
        <f>"20190303153755928"</f>
        <v>20190303153755928</v>
      </c>
      <c r="B782" t="str">
        <f>"1551598675919678"</f>
        <v>1551598675919678</v>
      </c>
      <c r="C782" t="s">
        <v>40</v>
      </c>
      <c r="D782">
        <v>4.0143279999999999</v>
      </c>
      <c r="E782">
        <v>0.54005519999999996</v>
      </c>
      <c r="F782" t="s">
        <v>42</v>
      </c>
      <c r="G782">
        <v>-278.12400000000002</v>
      </c>
      <c r="H782">
        <v>6.1272220000000002E-2</v>
      </c>
      <c r="I782">
        <v>359.60500000000002</v>
      </c>
      <c r="J782">
        <v>-351.0077</v>
      </c>
      <c r="K782">
        <v>1.120957</v>
      </c>
      <c r="L782">
        <v>367.411</v>
      </c>
      <c r="M782">
        <v>0.99982510000000002</v>
      </c>
      <c r="N782">
        <v>-1.46794E-2</v>
      </c>
      <c r="O782">
        <v>-1.159519E-2</v>
      </c>
      <c r="P782">
        <v>0.99778940000000005</v>
      </c>
      <c r="Q782">
        <v>-6.6385970000000002E-2</v>
      </c>
      <c r="R782">
        <v>-3.0125199999999999E-3</v>
      </c>
      <c r="S782">
        <v>3.0028990000000002</v>
      </c>
      <c r="T782">
        <v>-4.3498870000000002E-2</v>
      </c>
      <c r="U782">
        <v>-0.32055660000000002</v>
      </c>
      <c r="V782">
        <v>-8.5603450000000005E-3</v>
      </c>
      <c r="W782">
        <v>-5.173208E-2</v>
      </c>
      <c r="X782">
        <v>0.99862430000000002</v>
      </c>
      <c r="Y782">
        <v>9.4588080000000005E-2</v>
      </c>
      <c r="Z782">
        <v>-1.381749E-3</v>
      </c>
      <c r="AA782">
        <v>0.9955155</v>
      </c>
      <c r="AB782">
        <v>35</v>
      </c>
      <c r="AC782">
        <v>72.883699999999905</v>
      </c>
      <c r="AD782">
        <v>-1.05968478</v>
      </c>
      <c r="AE782">
        <v>-7.8059999999999796</v>
      </c>
      <c r="AF782">
        <v>6.9588293975123801</v>
      </c>
      <c r="AG782">
        <v>-1.05968478</v>
      </c>
      <c r="AH782">
        <v>72.954073877412696</v>
      </c>
      <c r="AI782">
        <v>90.828424089683494</v>
      </c>
      <c r="AJ782">
        <v>84.551244953144504</v>
      </c>
      <c r="AK782">
        <v>73.292872325538198</v>
      </c>
      <c r="AL782">
        <v>92.965353533683796</v>
      </c>
      <c r="AM782">
        <v>90.491135281474399</v>
      </c>
      <c r="AN782">
        <v>0.99999999007906704</v>
      </c>
    </row>
    <row r="783" spans="1:40" x14ac:dyDescent="0.25">
      <c r="A783" t="str">
        <f>"20190303153755944"</f>
        <v>20190303153755944</v>
      </c>
      <c r="B783" t="str">
        <f>"1551598675940176"</f>
        <v>1551598675940176</v>
      </c>
      <c r="C783" t="s">
        <v>40</v>
      </c>
      <c r="D783">
        <v>4.0701549999999997</v>
      </c>
      <c r="E783">
        <v>0.54082399999999997</v>
      </c>
      <c r="F783" t="s">
        <v>42</v>
      </c>
      <c r="G783">
        <v>-266.29910000000001</v>
      </c>
      <c r="H783">
        <v>7.9986509999999997E-2</v>
      </c>
      <c r="I783">
        <v>358.16449999999998</v>
      </c>
      <c r="J783">
        <v>-350.76949999999999</v>
      </c>
      <c r="K783">
        <v>1.12096</v>
      </c>
      <c r="L783">
        <v>367.40820000000002</v>
      </c>
      <c r="M783">
        <v>0.99982530000000003</v>
      </c>
      <c r="N783">
        <v>-1.467769E-2</v>
      </c>
      <c r="O783">
        <v>-1.1577530000000001E-2</v>
      </c>
      <c r="P783">
        <v>0.99779209999999996</v>
      </c>
      <c r="Q783">
        <v>-6.6353629999999997E-2</v>
      </c>
      <c r="R783">
        <v>-2.905342E-3</v>
      </c>
      <c r="S783">
        <v>3.0032040000000002</v>
      </c>
      <c r="T783">
        <v>-3.6905880000000002E-2</v>
      </c>
      <c r="U783">
        <v>-0.32781979999999999</v>
      </c>
      <c r="V783">
        <v>-8.6489289999999996E-3</v>
      </c>
      <c r="W783">
        <v>-5.1701589999999999E-2</v>
      </c>
      <c r="X783">
        <v>0.99862510000000004</v>
      </c>
      <c r="Y783">
        <v>9.6978499999999995E-2</v>
      </c>
      <c r="Z783">
        <v>-1.3356500000000001E-3</v>
      </c>
      <c r="AA783">
        <v>0.99528559999999999</v>
      </c>
      <c r="AB783">
        <v>35</v>
      </c>
      <c r="AC783">
        <v>84.470399999999898</v>
      </c>
      <c r="AD783">
        <v>-1.0409734900000001</v>
      </c>
      <c r="AE783">
        <v>-9.2437000000000396</v>
      </c>
      <c r="AF783">
        <v>8.2637762741217102</v>
      </c>
      <c r="AG783">
        <v>-1.0409734900000001</v>
      </c>
      <c r="AH783">
        <v>84.559078186179093</v>
      </c>
      <c r="AI783">
        <v>90.701966291973093</v>
      </c>
      <c r="AJ783">
        <v>84.4183317236118</v>
      </c>
      <c r="AK783">
        <v>84.968296015701995</v>
      </c>
      <c r="AL783">
        <v>92.963604291040795</v>
      </c>
      <c r="AM783">
        <v>90.496216987957098</v>
      </c>
      <c r="AN783">
        <v>0.99999997436569199</v>
      </c>
    </row>
    <row r="784" spans="1:40" x14ac:dyDescent="0.25">
      <c r="A784" t="str">
        <f>"20190303153755957"</f>
        <v>20190303153755957</v>
      </c>
      <c r="B784" t="str">
        <f>"1551598675949934"</f>
        <v>1551598675949934</v>
      </c>
      <c r="C784" t="s">
        <v>40</v>
      </c>
      <c r="D784">
        <v>4.0310569999999997</v>
      </c>
      <c r="E784">
        <v>0.54109130000000005</v>
      </c>
      <c r="F784" t="s">
        <v>42</v>
      </c>
      <c r="G784">
        <v>-251.30189999999999</v>
      </c>
      <c r="H784">
        <v>7.9986589999999996E-2</v>
      </c>
      <c r="I784">
        <v>356.3639</v>
      </c>
      <c r="J784">
        <v>-350.5498</v>
      </c>
      <c r="K784">
        <v>1.1209690000000001</v>
      </c>
      <c r="L784">
        <v>367.40570000000002</v>
      </c>
      <c r="M784">
        <v>0.99982559999999998</v>
      </c>
      <c r="N784">
        <v>-1.467596E-2</v>
      </c>
      <c r="O784">
        <v>-1.15552E-2</v>
      </c>
      <c r="P784">
        <v>0.99780429999999998</v>
      </c>
      <c r="Q784">
        <v>-6.6175419999999999E-2</v>
      </c>
      <c r="R784">
        <v>-2.8139440000000001E-3</v>
      </c>
      <c r="S784">
        <v>3.0035400000000001</v>
      </c>
      <c r="T784">
        <v>-3.1433339999999997E-2</v>
      </c>
      <c r="U784">
        <v>-0.33349610000000002</v>
      </c>
      <c r="V784">
        <v>-8.7171030000000004E-3</v>
      </c>
      <c r="W784">
        <v>-5.1525099999999997E-2</v>
      </c>
      <c r="X784">
        <v>0.99863369999999996</v>
      </c>
      <c r="Y784">
        <v>9.8850090000000002E-2</v>
      </c>
      <c r="Z784">
        <v>-1.291894E-3</v>
      </c>
      <c r="AA784">
        <v>0.99510149999999997</v>
      </c>
      <c r="AB784">
        <v>35</v>
      </c>
      <c r="AC784">
        <v>99.247900000000001</v>
      </c>
      <c r="AD784">
        <v>-1.04098241</v>
      </c>
      <c r="AE784">
        <v>-11.0418</v>
      </c>
      <c r="AF784">
        <v>9.8930348156221601</v>
      </c>
      <c r="AG784">
        <v>-1.04098241</v>
      </c>
      <c r="AH784">
        <v>99.358079330531396</v>
      </c>
      <c r="AI784">
        <v>90.597317016131001</v>
      </c>
      <c r="AJ784">
        <v>84.313829213022203</v>
      </c>
      <c r="AK784">
        <v>99.854813156368294</v>
      </c>
      <c r="AL784">
        <v>92.953478452952695</v>
      </c>
      <c r="AM784">
        <v>90.500123845833002</v>
      </c>
      <c r="AN784">
        <v>1.0000000452952</v>
      </c>
    </row>
    <row r="785" spans="1:40" x14ac:dyDescent="0.25">
      <c r="A785" t="str">
        <f>"20190303153755971"</f>
        <v>20190303153755971</v>
      </c>
      <c r="B785" t="str">
        <f>"1551598675959694"</f>
        <v>1551598675959694</v>
      </c>
      <c r="C785" t="s">
        <v>40</v>
      </c>
      <c r="D785">
        <v>4.0621539999999996</v>
      </c>
      <c r="E785">
        <v>0.54136410000000001</v>
      </c>
      <c r="F785" t="s">
        <v>42</v>
      </c>
      <c r="G785">
        <v>-242.83340000000001</v>
      </c>
      <c r="H785">
        <v>7.9985860000000006E-2</v>
      </c>
      <c r="I785">
        <v>355.37509999999997</v>
      </c>
      <c r="J785">
        <v>-350.3272</v>
      </c>
      <c r="K785">
        <v>1.1209849999999999</v>
      </c>
      <c r="L785">
        <v>367.40309999999999</v>
      </c>
      <c r="M785">
        <v>0.99982599999999999</v>
      </c>
      <c r="N785">
        <v>-1.4674090000000001E-2</v>
      </c>
      <c r="O785">
        <v>-1.1526649999999999E-2</v>
      </c>
      <c r="P785">
        <v>0.99782910000000002</v>
      </c>
      <c r="Q785">
        <v>-6.5809290000000006E-2</v>
      </c>
      <c r="R785">
        <v>-2.521241E-3</v>
      </c>
      <c r="S785">
        <v>3.0037229999999999</v>
      </c>
      <c r="T785">
        <v>-2.90283E-2</v>
      </c>
      <c r="U785">
        <v>-0.33547969999999999</v>
      </c>
      <c r="V785">
        <v>-8.9806E-3</v>
      </c>
      <c r="W785">
        <v>-5.1160789999999998E-2</v>
      </c>
      <c r="X785">
        <v>0.99865009999999999</v>
      </c>
      <c r="Y785">
        <v>9.9522260000000001E-2</v>
      </c>
      <c r="Z785">
        <v>-1.269573E-3</v>
      </c>
      <c r="AA785">
        <v>0.99503450000000004</v>
      </c>
      <c r="AB785">
        <v>35</v>
      </c>
      <c r="AC785">
        <v>107.49379999999999</v>
      </c>
      <c r="AD785">
        <v>-1.04099914</v>
      </c>
      <c r="AE785">
        <v>-12.028</v>
      </c>
      <c r="AF785">
        <v>10.7870249128111</v>
      </c>
      <c r="AG785">
        <v>-1.04099914</v>
      </c>
      <c r="AH785">
        <v>107.61534676170901</v>
      </c>
      <c r="AI785">
        <v>90.551460612835996</v>
      </c>
      <c r="AJ785">
        <v>84.275970221198094</v>
      </c>
      <c r="AK785">
        <v>108.159634080011</v>
      </c>
      <c r="AL785">
        <v>92.932577448065601</v>
      </c>
      <c r="AM785">
        <v>90.515232119550404</v>
      </c>
      <c r="AN785">
        <v>1.00000004991989</v>
      </c>
    </row>
    <row r="786" spans="1:40" x14ac:dyDescent="0.25">
      <c r="A786" t="str">
        <f>"20190303153755984"</f>
        <v>20190303153755984</v>
      </c>
      <c r="B786" t="str">
        <f>"1551598675979397"</f>
        <v>1551598675979397</v>
      </c>
      <c r="C786" t="s">
        <v>40</v>
      </c>
      <c r="D786">
        <v>4.0530679999999997</v>
      </c>
      <c r="E786">
        <v>0.54179849999999996</v>
      </c>
      <c r="F786" t="s">
        <v>43</v>
      </c>
      <c r="G786">
        <v>-220.1694</v>
      </c>
      <c r="H786">
        <v>-0.05</v>
      </c>
      <c r="I786">
        <v>352.81670000000003</v>
      </c>
      <c r="J786">
        <v>-350.12329999999997</v>
      </c>
      <c r="K786">
        <v>1.120997</v>
      </c>
      <c r="L786">
        <v>367.4008</v>
      </c>
      <c r="M786">
        <v>0.9998264</v>
      </c>
      <c r="N786">
        <v>-1.4672279999999999E-2</v>
      </c>
      <c r="O786">
        <v>-1.149214E-2</v>
      </c>
      <c r="P786">
        <v>0.99785579999999996</v>
      </c>
      <c r="Q786">
        <v>-6.5412869999999998E-2</v>
      </c>
      <c r="R786">
        <v>-2.2955359999999999E-3</v>
      </c>
      <c r="S786">
        <v>3.0039060000000002</v>
      </c>
      <c r="T786">
        <v>-2.70251E-2</v>
      </c>
      <c r="U786">
        <v>-0.33663939999999998</v>
      </c>
      <c r="V786">
        <v>-9.1707860000000002E-3</v>
      </c>
      <c r="W786">
        <v>-5.0766070000000003E-2</v>
      </c>
      <c r="X786">
        <v>0.99866849999999996</v>
      </c>
      <c r="Y786">
        <v>9.9930389999999994E-2</v>
      </c>
      <c r="Z786">
        <v>-1.24866E-3</v>
      </c>
      <c r="AA786">
        <v>0.99499360000000003</v>
      </c>
      <c r="AB786">
        <v>35</v>
      </c>
      <c r="AC786">
        <v>129.95389999999901</v>
      </c>
      <c r="AD786">
        <v>-1.1709969999999901</v>
      </c>
      <c r="AE786">
        <v>-14.5840999999999</v>
      </c>
      <c r="AF786">
        <v>13.088478136252499</v>
      </c>
      <c r="AG786">
        <v>-1.1709969999999901</v>
      </c>
      <c r="AH786">
        <v>130.102504587628</v>
      </c>
      <c r="AI786">
        <v>90.513091157823197</v>
      </c>
      <c r="AJ786">
        <v>84.255299343249305</v>
      </c>
      <c r="AK786">
        <v>130.764449273765</v>
      </c>
      <c r="AL786">
        <v>92.909932275305493</v>
      </c>
      <c r="AM786">
        <v>90.526133109673296</v>
      </c>
      <c r="AN786">
        <v>1.0000000350356699</v>
      </c>
    </row>
    <row r="787" spans="1:40" x14ac:dyDescent="0.25">
      <c r="A787" t="str">
        <f>"20190303153755996"</f>
        <v>20190303153755996</v>
      </c>
      <c r="B787" t="str">
        <f>"1551598675990113"</f>
        <v>1551598675990113</v>
      </c>
      <c r="C787" t="s">
        <v>40</v>
      </c>
      <c r="D787">
        <v>4.0865470000000004</v>
      </c>
      <c r="E787">
        <v>0.54196610000000001</v>
      </c>
      <c r="F787" t="s">
        <v>43</v>
      </c>
      <c r="G787">
        <v>-196.72649999999999</v>
      </c>
      <c r="H787">
        <v>-0.05</v>
      </c>
      <c r="I787">
        <v>350.06360000000001</v>
      </c>
      <c r="J787">
        <v>-349.94029999999998</v>
      </c>
      <c r="K787">
        <v>1.1210070000000001</v>
      </c>
      <c r="L787">
        <v>367.39870000000002</v>
      </c>
      <c r="M787">
        <v>0.99982680000000002</v>
      </c>
      <c r="N787">
        <v>-1.467063E-2</v>
      </c>
      <c r="O787">
        <v>-1.145646E-2</v>
      </c>
      <c r="P787">
        <v>0.99785230000000003</v>
      </c>
      <c r="Q787">
        <v>-6.5480640000000007E-2</v>
      </c>
      <c r="R787">
        <v>-1.809579E-3</v>
      </c>
      <c r="S787">
        <v>3.004181</v>
      </c>
      <c r="T787">
        <v>-2.2933240000000001E-2</v>
      </c>
      <c r="U787">
        <v>-0.33953860000000002</v>
      </c>
      <c r="V787">
        <v>-9.6202869999999999E-3</v>
      </c>
      <c r="W787">
        <v>-5.083584E-2</v>
      </c>
      <c r="X787">
        <v>0.99866069999999996</v>
      </c>
      <c r="Y787">
        <v>0.1009061</v>
      </c>
      <c r="Z787">
        <v>-1.2069380000000001E-3</v>
      </c>
      <c r="AA787">
        <v>0.99489519999999998</v>
      </c>
      <c r="AB787">
        <v>35</v>
      </c>
      <c r="AC787">
        <v>153.21379999999999</v>
      </c>
      <c r="AD787">
        <v>-1.1710069999999999</v>
      </c>
      <c r="AE787">
        <v>-17.335100000000001</v>
      </c>
      <c r="AF787">
        <v>15.5775870371038</v>
      </c>
      <c r="AG787">
        <v>-1.1710069999999999</v>
      </c>
      <c r="AH787">
        <v>153.39351585713399</v>
      </c>
      <c r="AI787">
        <v>90.435149805754605</v>
      </c>
      <c r="AJ787">
        <v>84.201315459713996</v>
      </c>
      <c r="AK787">
        <v>154.186909892849</v>
      </c>
      <c r="AL787">
        <v>92.913935033855296</v>
      </c>
      <c r="AM787">
        <v>90.5519239853448</v>
      </c>
      <c r="AN787">
        <v>1.00000001313747</v>
      </c>
    </row>
    <row r="788" spans="1:40" x14ac:dyDescent="0.25">
      <c r="A788" t="str">
        <f>"20190303153756008"</f>
        <v>20190303153756008</v>
      </c>
      <c r="B788" t="str">
        <f>"1551598675999872"</f>
        <v>1551598675999872</v>
      </c>
      <c r="C788" t="s">
        <v>40</v>
      </c>
      <c r="D788">
        <v>4.0795979999999998</v>
      </c>
      <c r="E788">
        <v>0.54214209999999996</v>
      </c>
      <c r="F788" t="s">
        <v>45</v>
      </c>
      <c r="G788">
        <v>-198.03229999999999</v>
      </c>
      <c r="H788" s="1">
        <v>-2.5191659999999999E-6</v>
      </c>
      <c r="I788">
        <v>350.24799999999999</v>
      </c>
      <c r="J788">
        <v>-349.74059999999997</v>
      </c>
      <c r="K788">
        <v>1.1210169999999999</v>
      </c>
      <c r="L788">
        <v>367.3965</v>
      </c>
      <c r="M788">
        <v>0.99982729999999997</v>
      </c>
      <c r="N788">
        <v>-1.4668789999999999E-2</v>
      </c>
      <c r="O788">
        <v>-1.141409E-2</v>
      </c>
      <c r="P788">
        <v>0.99785109999999999</v>
      </c>
      <c r="Q788">
        <v>-6.5502050000000006E-2</v>
      </c>
      <c r="R788">
        <v>-1.695275E-3</v>
      </c>
      <c r="S788">
        <v>3.0043950000000001</v>
      </c>
      <c r="T788">
        <v>-2.217102E-2</v>
      </c>
      <c r="U788">
        <v>-0.33920289999999997</v>
      </c>
      <c r="V788">
        <v>-9.6907509999999992E-3</v>
      </c>
      <c r="W788">
        <v>-5.0859330000000001E-2</v>
      </c>
      <c r="X788">
        <v>0.99865879999999996</v>
      </c>
      <c r="Y788">
        <v>0.100831</v>
      </c>
      <c r="Z788">
        <v>-1.1957999999999999E-3</v>
      </c>
      <c r="AA788">
        <v>0.99490279999999998</v>
      </c>
      <c r="AB788">
        <v>35</v>
      </c>
      <c r="AC788">
        <v>151.70829999999901</v>
      </c>
      <c r="AD788">
        <v>-1.121019519166</v>
      </c>
      <c r="AE788">
        <v>-17.148499999999899</v>
      </c>
      <c r="AF788">
        <v>15.4147531563119</v>
      </c>
      <c r="AG788">
        <v>-1.121019519166</v>
      </c>
      <c r="AH788">
        <v>151.88598210495101</v>
      </c>
      <c r="AI788">
        <v>90.420712221912297</v>
      </c>
      <c r="AJ788">
        <v>84.204951871557896</v>
      </c>
      <c r="AK788">
        <v>152.67030772097701</v>
      </c>
      <c r="AL788">
        <v>92.915282721115304</v>
      </c>
      <c r="AM788">
        <v>90.555967369358996</v>
      </c>
      <c r="AN788">
        <v>0.99999999046021604</v>
      </c>
    </row>
    <row r="789" spans="1:40" x14ac:dyDescent="0.25">
      <c r="A789" t="str">
        <f>"20190303153756022"</f>
        <v>20190303153756022</v>
      </c>
      <c r="B789" t="str">
        <f>"1551598676019393"</f>
        <v>1551598676019393</v>
      </c>
      <c r="C789" t="s">
        <v>40</v>
      </c>
      <c r="D789">
        <v>4.0904199999999999</v>
      </c>
      <c r="E789">
        <v>0.54240159999999904</v>
      </c>
      <c r="F789" t="s">
        <v>45</v>
      </c>
      <c r="G789">
        <v>-194.50720000000001</v>
      </c>
      <c r="H789" s="1">
        <v>-1.3252400000000001E-6</v>
      </c>
      <c r="I789">
        <v>349.81549999999999</v>
      </c>
      <c r="J789">
        <v>-349.53969999999998</v>
      </c>
      <c r="K789">
        <v>1.1210249999999999</v>
      </c>
      <c r="L789">
        <v>367.39429999999999</v>
      </c>
      <c r="M789">
        <v>0.99982800000000005</v>
      </c>
      <c r="N789">
        <v>-1.466691E-2</v>
      </c>
      <c r="O789">
        <v>-1.1363150000000001E-2</v>
      </c>
      <c r="P789">
        <v>0.99785449999999998</v>
      </c>
      <c r="Q789">
        <v>-6.5456790000000001E-2</v>
      </c>
      <c r="R789">
        <v>-1.506306E-3</v>
      </c>
      <c r="S789">
        <v>3.0044559999999998</v>
      </c>
      <c r="T789">
        <v>-2.1696690000000001E-2</v>
      </c>
      <c r="U789">
        <v>-0.34027099999999999</v>
      </c>
      <c r="V789">
        <v>-9.8279179999999997E-3</v>
      </c>
      <c r="W789">
        <v>-5.0816130000000001E-2</v>
      </c>
      <c r="X789">
        <v>0.99865970000000004</v>
      </c>
      <c r="Y789">
        <v>0.1012289</v>
      </c>
      <c r="Z789">
        <v>-1.193525E-3</v>
      </c>
      <c r="AA789">
        <v>0.99486240000000004</v>
      </c>
      <c r="AB789">
        <v>35</v>
      </c>
      <c r="AC789">
        <v>155.032499999999</v>
      </c>
      <c r="AD789">
        <v>-1.1210263252399999</v>
      </c>
      <c r="AE789">
        <v>-17.578800000000001</v>
      </c>
      <c r="AF789">
        <v>15.815001585400401</v>
      </c>
      <c r="AG789">
        <v>-1.1210263252399999</v>
      </c>
      <c r="AH789">
        <v>155.21424800935</v>
      </c>
      <c r="AI789">
        <v>90.411677009348296</v>
      </c>
      <c r="AJ789">
        <v>84.182129138114604</v>
      </c>
      <c r="AK789">
        <v>156.02190154037999</v>
      </c>
      <c r="AL789">
        <v>92.912804218394101</v>
      </c>
      <c r="AM789">
        <v>90.5638357547179</v>
      </c>
      <c r="AN789">
        <v>1.0000000317222399</v>
      </c>
    </row>
    <row r="790" spans="1:40" x14ac:dyDescent="0.25">
      <c r="A790" t="str">
        <f>"20190303153756035"</f>
        <v>20190303153756035</v>
      </c>
      <c r="B790" t="str">
        <f>"1551598676030128"</f>
        <v>1551598676030128</v>
      </c>
      <c r="C790" t="s">
        <v>40</v>
      </c>
      <c r="D790">
        <v>4.0831289999999996</v>
      </c>
      <c r="E790">
        <v>0.54251799999999994</v>
      </c>
      <c r="F790" t="s">
        <v>45</v>
      </c>
      <c r="G790">
        <v>-200.57220000000001</v>
      </c>
      <c r="H790">
        <v>7.9989619999999997E-2</v>
      </c>
      <c r="I790">
        <v>350.45080000000002</v>
      </c>
      <c r="J790">
        <v>-349.34199999999998</v>
      </c>
      <c r="K790">
        <v>1.1210340000000001</v>
      </c>
      <c r="L790">
        <v>367.39210000000003</v>
      </c>
      <c r="M790">
        <v>0.99982859999999996</v>
      </c>
      <c r="N790">
        <v>-1.4665040000000001E-2</v>
      </c>
      <c r="O790">
        <v>-1.13096E-2</v>
      </c>
      <c r="P790">
        <v>0.99784110000000004</v>
      </c>
      <c r="Q790">
        <v>-6.5663479999999996E-2</v>
      </c>
      <c r="R790">
        <v>-1.43746E-3</v>
      </c>
      <c r="S790">
        <v>3.0045470000000001</v>
      </c>
      <c r="T790">
        <v>-2.0996810000000001E-2</v>
      </c>
      <c r="U790">
        <v>-0.34173579999999998</v>
      </c>
      <c r="V790">
        <v>-9.8425760000000004E-3</v>
      </c>
      <c r="W790">
        <v>-5.1025019999999997E-2</v>
      </c>
      <c r="X790">
        <v>0.99864889999999995</v>
      </c>
      <c r="Y790">
        <v>0.101758</v>
      </c>
      <c r="Z790">
        <v>-1.1896179999999999E-3</v>
      </c>
      <c r="AA790">
        <v>0.99480849999999998</v>
      </c>
      <c r="AB790">
        <v>35</v>
      </c>
      <c r="AC790">
        <v>148.76979999999901</v>
      </c>
      <c r="AD790">
        <v>-1.04104438</v>
      </c>
      <c r="AE790">
        <v>-16.941299999999998</v>
      </c>
      <c r="AF790">
        <v>15.2567710368902</v>
      </c>
      <c r="AG790">
        <v>-1.04104438</v>
      </c>
      <c r="AH790">
        <v>148.94470311366101</v>
      </c>
      <c r="AI790">
        <v>90.398376110820294</v>
      </c>
      <c r="AJ790">
        <v>84.151451057894803</v>
      </c>
      <c r="AK790">
        <v>149.727677539892</v>
      </c>
      <c r="AL790">
        <v>92.924788293449396</v>
      </c>
      <c r="AM790">
        <v>90.564682748208199</v>
      </c>
      <c r="AN790">
        <v>1.00000002721976</v>
      </c>
    </row>
    <row r="791" spans="1:40" x14ac:dyDescent="0.25">
      <c r="A791" t="str">
        <f>"20190303153756049"</f>
        <v>20190303153756049</v>
      </c>
      <c r="B791" t="str">
        <f>"1551598676039888"</f>
        <v>1551598676039888</v>
      </c>
      <c r="C791" t="s">
        <v>40</v>
      </c>
      <c r="D791">
        <v>4.1074590000000004</v>
      </c>
      <c r="E791">
        <v>0.54261139999999997</v>
      </c>
      <c r="F791" t="s">
        <v>45</v>
      </c>
      <c r="G791">
        <v>-202.85290000000001</v>
      </c>
      <c r="H791">
        <v>7.9989530000000003E-2</v>
      </c>
      <c r="I791">
        <v>350.6936</v>
      </c>
      <c r="J791">
        <v>-349.11320000000001</v>
      </c>
      <c r="K791">
        <v>1.121038</v>
      </c>
      <c r="L791">
        <v>367.38959999999997</v>
      </c>
      <c r="M791">
        <v>0.99982939999999998</v>
      </c>
      <c r="N791">
        <v>-1.466283E-2</v>
      </c>
      <c r="O791">
        <v>-1.1242820000000001E-2</v>
      </c>
      <c r="P791">
        <v>0.99779390000000001</v>
      </c>
      <c r="Q791">
        <v>-6.637316E-2</v>
      </c>
      <c r="R791">
        <v>-1.4660000000000001E-3</v>
      </c>
      <c r="S791">
        <v>3.0046080000000002</v>
      </c>
      <c r="T791">
        <v>-2.1352650000000001E-2</v>
      </c>
      <c r="U791">
        <v>-0.34249879999999999</v>
      </c>
      <c r="V791">
        <v>-9.7450739999999994E-3</v>
      </c>
      <c r="W791">
        <v>-5.1737690000000003E-2</v>
      </c>
      <c r="X791">
        <v>0.99861319999999998</v>
      </c>
      <c r="Y791">
        <v>0.1020713</v>
      </c>
      <c r="Z791">
        <v>-1.197062E-3</v>
      </c>
      <c r="AA791">
        <v>0.99477640000000001</v>
      </c>
      <c r="AB791">
        <v>35</v>
      </c>
      <c r="AC791">
        <v>146.2603</v>
      </c>
      <c r="AD791">
        <v>-1.04104847</v>
      </c>
      <c r="AE791">
        <v>-16.695999999999898</v>
      </c>
      <c r="AF791">
        <v>15.0496370596895</v>
      </c>
      <c r="AG791">
        <v>-1.04104847</v>
      </c>
      <c r="AH791">
        <v>146.43146108408601</v>
      </c>
      <c r="AI791">
        <v>90.405200778260905</v>
      </c>
      <c r="AJ791">
        <v>84.131973307257695</v>
      </c>
      <c r="AK791">
        <v>147.20648135447499</v>
      </c>
      <c r="AL791">
        <v>92.965675248446502</v>
      </c>
      <c r="AM791">
        <v>90.559109260959801</v>
      </c>
      <c r="AN791">
        <v>1.00000003912402</v>
      </c>
    </row>
    <row r="792" spans="1:40" x14ac:dyDescent="0.25">
      <c r="A792" t="str">
        <f>"20190303153756060"</f>
        <v>20190303153756060</v>
      </c>
      <c r="B792" t="str">
        <f>"1551598676049649"</f>
        <v>1551598676049649</v>
      </c>
      <c r="C792" t="s">
        <v>40</v>
      </c>
      <c r="D792">
        <v>4.0856659999999998</v>
      </c>
      <c r="E792">
        <v>0.54264889999999999</v>
      </c>
      <c r="F792" t="s">
        <v>43</v>
      </c>
      <c r="G792">
        <v>-196.05119999999999</v>
      </c>
      <c r="H792">
        <v>-0.05</v>
      </c>
      <c r="I792">
        <v>349.89049999999997</v>
      </c>
      <c r="J792">
        <v>-348.93520000000001</v>
      </c>
      <c r="K792">
        <v>1.121043</v>
      </c>
      <c r="L792">
        <v>367.38760000000002</v>
      </c>
      <c r="M792">
        <v>0.99983010000000005</v>
      </c>
      <c r="N792">
        <v>-1.466107E-2</v>
      </c>
      <c r="O792">
        <v>-1.1185860000000001E-2</v>
      </c>
      <c r="P792">
        <v>0.99777669999999996</v>
      </c>
      <c r="Q792">
        <v>-6.6631120000000002E-2</v>
      </c>
      <c r="R792">
        <v>-1.4632650000000001E-3</v>
      </c>
      <c r="S792">
        <v>3.0046080000000002</v>
      </c>
      <c r="T792">
        <v>-2.2987480000000001E-2</v>
      </c>
      <c r="U792">
        <v>-0.34350589999999998</v>
      </c>
      <c r="V792">
        <v>-9.6906600000000002E-3</v>
      </c>
      <c r="W792">
        <v>-5.1997740000000001E-2</v>
      </c>
      <c r="X792">
        <v>0.99860020000000005</v>
      </c>
      <c r="Y792">
        <v>0.102456199999999</v>
      </c>
      <c r="Z792">
        <v>-1.2224429999999999E-3</v>
      </c>
      <c r="AA792">
        <v>0.99473679999999998</v>
      </c>
      <c r="AB792">
        <v>35</v>
      </c>
      <c r="AC792">
        <v>152.88399999999999</v>
      </c>
      <c r="AD792">
        <v>-1.1710430000000001</v>
      </c>
      <c r="AE792">
        <v>-17.4971</v>
      </c>
      <c r="AF792">
        <v>15.784768362609601</v>
      </c>
      <c r="AG792">
        <v>-1.1710430000000001</v>
      </c>
      <c r="AH792">
        <v>153.06130996096601</v>
      </c>
      <c r="AI792">
        <v>90.436038116238095</v>
      </c>
      <c r="AJ792">
        <v>84.112066903539997</v>
      </c>
      <c r="AK792">
        <v>153.87753202120101</v>
      </c>
      <c r="AL792">
        <v>92.980595165070895</v>
      </c>
      <c r="AM792">
        <v>90.555994771934806</v>
      </c>
      <c r="AN792">
        <v>1.0000000166481899</v>
      </c>
    </row>
    <row r="793" spans="1:40" x14ac:dyDescent="0.25">
      <c r="A793" t="str">
        <f>"20190303153756073"</f>
        <v>20190303153756073</v>
      </c>
      <c r="B793" t="str">
        <f>"1551598676070144"</f>
        <v>1551598676070144</v>
      </c>
      <c r="C793" t="s">
        <v>40</v>
      </c>
      <c r="D793">
        <v>4.0934629999999999</v>
      </c>
      <c r="E793">
        <v>0.54278519999999997</v>
      </c>
      <c r="F793" t="s">
        <v>43</v>
      </c>
      <c r="G793">
        <v>-202.5121</v>
      </c>
      <c r="H793">
        <v>-0.05</v>
      </c>
      <c r="I793">
        <v>350.63679999999999</v>
      </c>
      <c r="J793">
        <v>-348.75170000000003</v>
      </c>
      <c r="K793">
        <v>1.1210519999999999</v>
      </c>
      <c r="L793">
        <v>367.38560000000001</v>
      </c>
      <c r="M793">
        <v>0.99983080000000002</v>
      </c>
      <c r="N793">
        <v>-1.465926E-2</v>
      </c>
      <c r="O793">
        <v>-1.1126280000000001E-2</v>
      </c>
      <c r="P793">
        <v>0.99774090000000004</v>
      </c>
      <c r="Q793">
        <v>-6.7167060000000001E-2</v>
      </c>
      <c r="R793">
        <v>-1.430494E-3</v>
      </c>
      <c r="S793">
        <v>3.0045470000000001</v>
      </c>
      <c r="T793">
        <v>-2.4029370000000001E-2</v>
      </c>
      <c r="U793">
        <v>-0.34371950000000001</v>
      </c>
      <c r="V793">
        <v>-9.6627699999999993E-3</v>
      </c>
      <c r="W793">
        <v>-5.2536050000000001E-2</v>
      </c>
      <c r="X793">
        <v>0.99857229999999997</v>
      </c>
      <c r="Y793">
        <v>0.102586999999999</v>
      </c>
      <c r="Z793">
        <v>-1.2372660000000001E-3</v>
      </c>
      <c r="AA793">
        <v>0.99472329999999998</v>
      </c>
      <c r="AB793">
        <v>35</v>
      </c>
      <c r="AC793">
        <v>146.2396</v>
      </c>
      <c r="AD793">
        <v>-1.171052</v>
      </c>
      <c r="AE793">
        <v>-16.748799999999999</v>
      </c>
      <c r="AF793">
        <v>15.1195287337344</v>
      </c>
      <c r="AG793">
        <v>-1.171052</v>
      </c>
      <c r="AH793">
        <v>146.40765108173599</v>
      </c>
      <c r="AI793">
        <v>90.455850384678996</v>
      </c>
      <c r="AJ793">
        <v>84.103961264975297</v>
      </c>
      <c r="AK793">
        <v>147.19093656604099</v>
      </c>
      <c r="AL793">
        <v>93.011480255123701</v>
      </c>
      <c r="AM793">
        <v>90.554410191666307</v>
      </c>
      <c r="AN793">
        <v>1.0000000220004801</v>
      </c>
    </row>
    <row r="794" spans="1:40" x14ac:dyDescent="0.25">
      <c r="A794" t="str">
        <f>"20190303153756083"</f>
        <v>20190303153756083</v>
      </c>
      <c r="B794" t="str">
        <f>"1551598676079904"</f>
        <v>1551598676079904</v>
      </c>
      <c r="C794" t="s">
        <v>40</v>
      </c>
      <c r="D794">
        <v>4.0895390000000003</v>
      </c>
      <c r="E794">
        <v>0.54285209999999995</v>
      </c>
      <c r="F794" t="s">
        <v>43</v>
      </c>
      <c r="G794">
        <v>-214.1251</v>
      </c>
      <c r="H794">
        <v>-0.05</v>
      </c>
      <c r="I794">
        <v>351.95139999999998</v>
      </c>
      <c r="J794">
        <v>-348.57400000000001</v>
      </c>
      <c r="K794">
        <v>1.121054</v>
      </c>
      <c r="L794">
        <v>367.38369999999998</v>
      </c>
      <c r="M794">
        <v>0.99983129999999998</v>
      </c>
      <c r="N794">
        <v>-1.46575E-2</v>
      </c>
      <c r="O794">
        <v>-1.1066370000000001E-2</v>
      </c>
      <c r="P794">
        <v>0.9977568</v>
      </c>
      <c r="Q794">
        <v>-6.6930550000000005E-2</v>
      </c>
      <c r="R794">
        <v>-1.34281299999999E-3</v>
      </c>
      <c r="S794">
        <v>3.0045169999999999</v>
      </c>
      <c r="T794">
        <v>-2.6134850000000001E-2</v>
      </c>
      <c r="U794">
        <v>-0.34445189999999998</v>
      </c>
      <c r="V794">
        <v>-9.6905050000000003E-3</v>
      </c>
      <c r="W794">
        <v>-5.2301189999999997E-2</v>
      </c>
      <c r="X794">
        <v>0.99858429999999998</v>
      </c>
      <c r="Y794">
        <v>0.1028859</v>
      </c>
      <c r="Z794">
        <v>-1.268361E-3</v>
      </c>
      <c r="AA794">
        <v>0.99469240000000003</v>
      </c>
      <c r="AB794">
        <v>35</v>
      </c>
      <c r="AC794">
        <v>134.44890000000001</v>
      </c>
      <c r="AD794">
        <v>-1.171054</v>
      </c>
      <c r="AE794">
        <v>-15.4322999999999</v>
      </c>
      <c r="AF794">
        <v>13.942289665556901</v>
      </c>
      <c r="AG794">
        <v>-1.171054</v>
      </c>
      <c r="AH794">
        <v>134.601384563701</v>
      </c>
      <c r="AI794">
        <v>90.495817407386596</v>
      </c>
      <c r="AJ794">
        <v>84.086274475267103</v>
      </c>
      <c r="AK794">
        <v>135.32661059471801</v>
      </c>
      <c r="AL794">
        <v>92.998005422346594</v>
      </c>
      <c r="AM794">
        <v>90.555994731630093</v>
      </c>
      <c r="AN794">
        <v>0.99999996228452903</v>
      </c>
    </row>
    <row r="795" spans="1:40" x14ac:dyDescent="0.25">
      <c r="A795" t="str">
        <f>"20190303153756094"</f>
        <v>20190303153756094</v>
      </c>
      <c r="B795" t="str">
        <f>"1551598676089665"</f>
        <v>1551598676089665</v>
      </c>
      <c r="C795" t="s">
        <v>40</v>
      </c>
      <c r="D795">
        <v>4.1006159999999996</v>
      </c>
      <c r="E795">
        <v>0.54286829999999997</v>
      </c>
      <c r="F795" t="s">
        <v>43</v>
      </c>
      <c r="G795">
        <v>-211.6113</v>
      </c>
      <c r="H795">
        <v>-0.05</v>
      </c>
      <c r="I795">
        <v>351.6678</v>
      </c>
      <c r="J795">
        <v>-348.41890000000001</v>
      </c>
      <c r="K795">
        <v>1.1210580000000001</v>
      </c>
      <c r="L795">
        <v>367.38200000000001</v>
      </c>
      <c r="M795">
        <v>0.99983200000000005</v>
      </c>
      <c r="N795">
        <v>-1.4655980000000001E-2</v>
      </c>
      <c r="O795">
        <v>-1.1013500000000001E-2</v>
      </c>
      <c r="P795">
        <v>0.99772450000000001</v>
      </c>
      <c r="Q795">
        <v>-6.7414299999999996E-2</v>
      </c>
      <c r="R795">
        <v>-1.1278799999999999E-3</v>
      </c>
      <c r="S795">
        <v>3.0045470000000001</v>
      </c>
      <c r="T795">
        <v>-2.5689360000000001E-2</v>
      </c>
      <c r="U795">
        <v>-0.34475709999999998</v>
      </c>
      <c r="V795">
        <v>-9.851673E-3</v>
      </c>
      <c r="W795">
        <v>-5.2787010000000002E-2</v>
      </c>
      <c r="X795">
        <v>0.99855720000000003</v>
      </c>
      <c r="Y795">
        <v>0.1030373</v>
      </c>
      <c r="Z795">
        <v>-1.2637309999999999E-3</v>
      </c>
      <c r="AA795">
        <v>0.99467669999999997</v>
      </c>
      <c r="AB795">
        <v>35</v>
      </c>
      <c r="AC795">
        <v>136.80760000000001</v>
      </c>
      <c r="AD795">
        <v>-1.1710579999999999</v>
      </c>
      <c r="AE795">
        <v>-15.7141999999999</v>
      </c>
      <c r="AF795">
        <v>14.2053271703797</v>
      </c>
      <c r="AG795">
        <v>-1.1710579999999999</v>
      </c>
      <c r="AH795">
        <v>136.96248290389201</v>
      </c>
      <c r="AI795">
        <v>90.487265345403401</v>
      </c>
      <c r="AJ795">
        <v>84.0786299867938</v>
      </c>
      <c r="AK795">
        <v>137.70215837108699</v>
      </c>
      <c r="AL795">
        <v>93.025879241568106</v>
      </c>
      <c r="AM795">
        <v>90.565256523129705</v>
      </c>
      <c r="AN795">
        <v>1.0000000027787299</v>
      </c>
    </row>
    <row r="796" spans="1:40" x14ac:dyDescent="0.25">
      <c r="A796" t="str">
        <f>"20190303153756106"</f>
        <v>20190303153756106</v>
      </c>
      <c r="B796" t="str">
        <f>"1551598676099424"</f>
        <v>1551598676099424</v>
      </c>
      <c r="C796" t="s">
        <v>40</v>
      </c>
      <c r="D796">
        <v>4.1293280000000001</v>
      </c>
      <c r="E796">
        <v>0.54292980000000002</v>
      </c>
      <c r="F796" t="s">
        <v>43</v>
      </c>
      <c r="G796">
        <v>-220.0026</v>
      </c>
      <c r="H796">
        <v>-0.05</v>
      </c>
      <c r="I796">
        <v>352.68079999999998</v>
      </c>
      <c r="J796">
        <v>-348.23020000000002</v>
      </c>
      <c r="K796">
        <v>1.121067</v>
      </c>
      <c r="L796">
        <v>367.38</v>
      </c>
      <c r="M796">
        <v>0.99983279999999997</v>
      </c>
      <c r="N796">
        <v>-1.465414E-2</v>
      </c>
      <c r="O796">
        <v>-1.0947760000000001E-2</v>
      </c>
      <c r="P796">
        <v>0.99769839999999999</v>
      </c>
      <c r="Q796">
        <v>-6.7802950000000001E-2</v>
      </c>
      <c r="R796">
        <v>-1.002401E-3</v>
      </c>
      <c r="S796">
        <v>3.0045470000000001</v>
      </c>
      <c r="T796">
        <v>-2.7399179999999999E-2</v>
      </c>
      <c r="U796">
        <v>-0.34396359999999998</v>
      </c>
      <c r="V796">
        <v>-9.9109860000000001E-3</v>
      </c>
      <c r="W796">
        <v>-5.3177919999999997E-2</v>
      </c>
      <c r="X796">
        <v>0.99853590000000003</v>
      </c>
      <c r="Y796">
        <v>0.1028425</v>
      </c>
      <c r="Z796">
        <v>-1.283909E-3</v>
      </c>
      <c r="AA796">
        <v>0.99469689999999999</v>
      </c>
      <c r="AB796">
        <v>35</v>
      </c>
      <c r="AC796">
        <v>128.2276</v>
      </c>
      <c r="AD796">
        <v>-1.1710670000000001</v>
      </c>
      <c r="AE796">
        <v>-14.699199999999999</v>
      </c>
      <c r="AF796">
        <v>13.293268958590399</v>
      </c>
      <c r="AG796">
        <v>-1.1710670000000001</v>
      </c>
      <c r="AH796">
        <v>128.37028638131301</v>
      </c>
      <c r="AI796">
        <v>90.519890372244205</v>
      </c>
      <c r="AJ796">
        <v>84.087860101296599</v>
      </c>
      <c r="AK796">
        <v>129.06205028258401</v>
      </c>
      <c r="AL796">
        <v>93.048308150896503</v>
      </c>
      <c r="AM796">
        <v>90.568671614154695</v>
      </c>
      <c r="AN796">
        <v>1.0000000312039099</v>
      </c>
    </row>
    <row r="797" spans="1:40" x14ac:dyDescent="0.25">
      <c r="A797" t="str">
        <f>"20190303153756118"</f>
        <v>20190303153756118</v>
      </c>
      <c r="B797" t="str">
        <f>"1551598676110160"</f>
        <v>1551598676110160</v>
      </c>
      <c r="C797" t="s">
        <v>40</v>
      </c>
      <c r="D797">
        <v>4.1176089999999999</v>
      </c>
      <c r="E797">
        <v>0.54298999999999997</v>
      </c>
      <c r="F797" t="s">
        <v>42</v>
      </c>
      <c r="G797">
        <v>-239.1225</v>
      </c>
      <c r="H797">
        <v>7.9985819999999999E-2</v>
      </c>
      <c r="I797">
        <v>354.87639999999999</v>
      </c>
      <c r="J797">
        <v>-348.04219999999998</v>
      </c>
      <c r="K797">
        <v>1.1210690000000001</v>
      </c>
      <c r="L797">
        <v>367.37799999999999</v>
      </c>
      <c r="M797">
        <v>0.99983339999999998</v>
      </c>
      <c r="N797">
        <v>-1.465225E-2</v>
      </c>
      <c r="O797">
        <v>-1.0882019999999999E-2</v>
      </c>
      <c r="P797">
        <v>0.99768210000000002</v>
      </c>
      <c r="Q797">
        <v>-6.8042720000000001E-2</v>
      </c>
      <c r="R797">
        <v>-8.7301640000000003E-4</v>
      </c>
      <c r="S797">
        <v>3.0046689999999998</v>
      </c>
      <c r="T797">
        <v>-2.866983E-2</v>
      </c>
      <c r="U797">
        <v>-0.34432980000000002</v>
      </c>
      <c r="V797">
        <v>-9.9741829999999993E-3</v>
      </c>
      <c r="W797">
        <v>-5.3419889999999998E-2</v>
      </c>
      <c r="X797">
        <v>0.99852229999999997</v>
      </c>
      <c r="Y797">
        <v>0.10302219999999999</v>
      </c>
      <c r="Z797">
        <v>-1.302681E-3</v>
      </c>
      <c r="AA797">
        <v>0.99467819999999996</v>
      </c>
      <c r="AB797">
        <v>35</v>
      </c>
      <c r="AC797">
        <v>108.919699999999</v>
      </c>
      <c r="AD797">
        <v>-1.04108318</v>
      </c>
      <c r="AE797">
        <v>-12.5016</v>
      </c>
      <c r="AF797">
        <v>11.314445713564799</v>
      </c>
      <c r="AG797">
        <v>-1.04108318</v>
      </c>
      <c r="AH797">
        <v>109.039474290898</v>
      </c>
      <c r="AI797">
        <v>90.544108746664506</v>
      </c>
      <c r="AJ797">
        <v>84.0759230266721</v>
      </c>
      <c r="AK797">
        <v>109.62986586523</v>
      </c>
      <c r="AL797">
        <v>93.062191912691702</v>
      </c>
      <c r="AM797">
        <v>90.572305279453801</v>
      </c>
      <c r="AN797">
        <v>0.99999997628570902</v>
      </c>
    </row>
    <row r="798" spans="1:40" x14ac:dyDescent="0.25">
      <c r="A798" t="str">
        <f>"20190303153756133"</f>
        <v>20190303153756133</v>
      </c>
      <c r="B798" t="str">
        <f>"1551598676129681"</f>
        <v>1551598676129681</v>
      </c>
      <c r="C798" t="s">
        <v>40</v>
      </c>
      <c r="D798">
        <v>4.1456770000000001</v>
      </c>
      <c r="E798">
        <v>0.54312709999999997</v>
      </c>
      <c r="F798" t="s">
        <v>42</v>
      </c>
      <c r="G798">
        <v>-243.7373</v>
      </c>
      <c r="H798">
        <v>7.9985650000000005E-2</v>
      </c>
      <c r="I798">
        <v>355.42250000000001</v>
      </c>
      <c r="J798">
        <v>-347.8159</v>
      </c>
      <c r="K798">
        <v>1.12107</v>
      </c>
      <c r="L798">
        <v>367.37560000000002</v>
      </c>
      <c r="M798">
        <v>0.99983440000000001</v>
      </c>
      <c r="N798">
        <v>-1.464996E-2</v>
      </c>
      <c r="O798">
        <v>-1.0802920000000001E-2</v>
      </c>
      <c r="P798">
        <v>0.99766639999999995</v>
      </c>
      <c r="Q798">
        <v>-6.8274950000000001E-2</v>
      </c>
      <c r="R798">
        <v>-8.1827720000000003E-4</v>
      </c>
      <c r="S798">
        <v>3.0046080000000002</v>
      </c>
      <c r="T798">
        <v>-2.9989479999999999E-2</v>
      </c>
      <c r="U798">
        <v>-0.3443909</v>
      </c>
      <c r="V798">
        <v>-9.9492980000000005E-3</v>
      </c>
      <c r="W798">
        <v>-5.3654670000000002E-2</v>
      </c>
      <c r="X798">
        <v>0.99851000000000001</v>
      </c>
      <c r="Y798">
        <v>0.1031223</v>
      </c>
      <c r="Z798">
        <v>-1.3211989999999999E-3</v>
      </c>
      <c r="AA798">
        <v>0.99466779999999999</v>
      </c>
      <c r="AB798">
        <v>35</v>
      </c>
      <c r="AC798">
        <v>104.07859999999999</v>
      </c>
      <c r="AD798">
        <v>-1.04108435</v>
      </c>
      <c r="AE798">
        <v>-11.953099999999999</v>
      </c>
      <c r="AF798">
        <v>10.8268597654289</v>
      </c>
      <c r="AG798">
        <v>-1.04108435</v>
      </c>
      <c r="AH798">
        <v>104.19137820860099</v>
      </c>
      <c r="AI798">
        <v>90.5694168208082</v>
      </c>
      <c r="AJ798">
        <v>84.067503870359104</v>
      </c>
      <c r="AK798">
        <v>104.757567946244</v>
      </c>
      <c r="AL798">
        <v>93.075663013252296</v>
      </c>
      <c r="AM798">
        <v>90.570884537862497</v>
      </c>
      <c r="AN798">
        <v>1.0000000161217499</v>
      </c>
    </row>
    <row r="799" spans="1:40" x14ac:dyDescent="0.25">
      <c r="A799" t="str">
        <f>"20190303153756147"</f>
        <v>20190303153756147</v>
      </c>
      <c r="B799" t="str">
        <f>"1551598676139441"</f>
        <v>1551598676139441</v>
      </c>
      <c r="C799" t="s">
        <v>40</v>
      </c>
      <c r="D799">
        <v>4.1806340000000004</v>
      </c>
      <c r="E799">
        <v>0.54319150000000005</v>
      </c>
      <c r="F799" t="s">
        <v>42</v>
      </c>
      <c r="G799">
        <v>-246.9271</v>
      </c>
      <c r="H799">
        <v>7.9986290000000002E-2</v>
      </c>
      <c r="I799">
        <v>355.77679999999998</v>
      </c>
      <c r="J799">
        <v>-347.59109999999998</v>
      </c>
      <c r="K799">
        <v>1.121073</v>
      </c>
      <c r="L799">
        <v>367.37329999999997</v>
      </c>
      <c r="M799">
        <v>0.99983540000000004</v>
      </c>
      <c r="N799">
        <v>-1.464765E-2</v>
      </c>
      <c r="O799">
        <v>-1.072443E-2</v>
      </c>
      <c r="P799">
        <v>0.99765440000000005</v>
      </c>
      <c r="Q799">
        <v>-6.845184E-2</v>
      </c>
      <c r="R799">
        <v>-7.4651830000000005E-4</v>
      </c>
      <c r="S799">
        <v>3.0046080000000002</v>
      </c>
      <c r="T799">
        <v>-3.100491E-2</v>
      </c>
      <c r="U799">
        <v>-0.34542850000000003</v>
      </c>
      <c r="V799">
        <v>-9.9425360000000001E-3</v>
      </c>
      <c r="W799">
        <v>-5.3834069999999998E-2</v>
      </c>
      <c r="X799">
        <v>0.99850039999999995</v>
      </c>
      <c r="Y799">
        <v>0.1035388</v>
      </c>
      <c r="Z799">
        <v>-1.339652E-3</v>
      </c>
      <c r="AA799">
        <v>0.99462450000000002</v>
      </c>
      <c r="AB799">
        <v>35</v>
      </c>
      <c r="AC799">
        <v>100.664</v>
      </c>
      <c r="AD799">
        <v>-1.0410867100000001</v>
      </c>
      <c r="AE799">
        <v>-11.596499999999899</v>
      </c>
      <c r="AF799">
        <v>10.5150433529399</v>
      </c>
      <c r="AG799">
        <v>-1.0410867100000001</v>
      </c>
      <c r="AH799">
        <v>100.771951413325</v>
      </c>
      <c r="AI799">
        <v>90.588712273971396</v>
      </c>
      <c r="AJ799">
        <v>84.043032392238104</v>
      </c>
      <c r="AK799">
        <v>101.324410631898</v>
      </c>
      <c r="AL799">
        <v>93.085956787695494</v>
      </c>
      <c r="AM799">
        <v>90.570502048786594</v>
      </c>
      <c r="AN799">
        <v>1.00000000495751</v>
      </c>
    </row>
    <row r="800" spans="1:40" x14ac:dyDescent="0.25">
      <c r="A800" t="str">
        <f>"20190303153756161"</f>
        <v>20190303153756161</v>
      </c>
      <c r="B800" t="str">
        <f>"1551598676150177"</f>
        <v>1551598676150177</v>
      </c>
      <c r="C800" t="s">
        <v>40</v>
      </c>
      <c r="D800">
        <v>4.2065419999999998</v>
      </c>
      <c r="E800">
        <v>0.54326730000000001</v>
      </c>
      <c r="F800" t="s">
        <v>42</v>
      </c>
      <c r="G800">
        <v>-249.86109999999999</v>
      </c>
      <c r="H800">
        <v>7.9985539999999994E-2</v>
      </c>
      <c r="I800">
        <v>356.12759999999997</v>
      </c>
      <c r="J800">
        <v>-347.37490000000003</v>
      </c>
      <c r="K800">
        <v>1.1210739999999999</v>
      </c>
      <c r="L800">
        <v>367.37099999999998</v>
      </c>
      <c r="M800">
        <v>0.99983610000000001</v>
      </c>
      <c r="N800">
        <v>-1.4645439999999999E-2</v>
      </c>
      <c r="O800">
        <v>-1.064881E-2</v>
      </c>
      <c r="P800">
        <v>0.99757799999999996</v>
      </c>
      <c r="Q800">
        <v>-6.9548890000000002E-2</v>
      </c>
      <c r="R800">
        <v>-1.1578719999999999E-3</v>
      </c>
      <c r="S800">
        <v>3.004578</v>
      </c>
      <c r="T800">
        <v>-3.2006859999999998E-2</v>
      </c>
      <c r="U800">
        <v>-0.34573359999999997</v>
      </c>
      <c r="V800">
        <v>-9.4544190000000004E-3</v>
      </c>
      <c r="W800">
        <v>-5.4934190000000001E-2</v>
      </c>
      <c r="X800">
        <v>0.99844520000000003</v>
      </c>
      <c r="Y800">
        <v>0.10371420000000001</v>
      </c>
      <c r="Z800">
        <v>-1.3550820000000001E-3</v>
      </c>
      <c r="AA800">
        <v>0.9946062</v>
      </c>
      <c r="AB800">
        <v>35</v>
      </c>
      <c r="AC800">
        <v>97.513800000000003</v>
      </c>
      <c r="AD800">
        <v>-1.0410884600000001</v>
      </c>
      <c r="AE800">
        <v>-11.243399999999999</v>
      </c>
      <c r="AF800">
        <v>10.203097379765801</v>
      </c>
      <c r="AG800">
        <v>-1.0410884600000001</v>
      </c>
      <c r="AH800">
        <v>97.617030651457895</v>
      </c>
      <c r="AI800">
        <v>90.607727603296695</v>
      </c>
      <c r="AJ800">
        <v>84.033014481879505</v>
      </c>
      <c r="AK800">
        <v>98.154326112149604</v>
      </c>
      <c r="AL800">
        <v>93.149082508967496</v>
      </c>
      <c r="AM800">
        <v>90.542525635782695</v>
      </c>
      <c r="AN800">
        <v>0.99999998433631099</v>
      </c>
    </row>
    <row r="801" spans="1:40" x14ac:dyDescent="0.25">
      <c r="A801" t="str">
        <f>"20190303153756173"</f>
        <v>20190303153756173</v>
      </c>
      <c r="B801" t="str">
        <f>"1551598676169696"</f>
        <v>1551598676169696</v>
      </c>
      <c r="C801" t="s">
        <v>40</v>
      </c>
      <c r="D801">
        <v>4.2028639999999999</v>
      </c>
      <c r="E801">
        <v>0.54347290000000004</v>
      </c>
      <c r="F801" t="s">
        <v>42</v>
      </c>
      <c r="G801">
        <v>-258.9298</v>
      </c>
      <c r="H801">
        <v>7.9985780000000006E-2</v>
      </c>
      <c r="I801">
        <v>357.12310000000002</v>
      </c>
      <c r="J801">
        <v>-347.19499999999999</v>
      </c>
      <c r="K801">
        <v>1.121076</v>
      </c>
      <c r="L801">
        <v>367.3691</v>
      </c>
      <c r="M801">
        <v>0.99983670000000002</v>
      </c>
      <c r="N801">
        <v>-1.464361E-2</v>
      </c>
      <c r="O801">
        <v>-1.058607E-2</v>
      </c>
      <c r="P801">
        <v>0.99753950000000002</v>
      </c>
      <c r="Q801">
        <v>-7.0092199999999993E-2</v>
      </c>
      <c r="R801">
        <v>-1.44035E-3</v>
      </c>
      <c r="S801">
        <v>3.0044249999999999</v>
      </c>
      <c r="T801">
        <v>-3.5365099999999997E-2</v>
      </c>
      <c r="U801">
        <v>-0.34811399999999998</v>
      </c>
      <c r="V801">
        <v>-9.1089740000000006E-3</v>
      </c>
      <c r="W801">
        <v>-5.547974E-2</v>
      </c>
      <c r="X801">
        <v>0.99841829999999998</v>
      </c>
      <c r="Y801">
        <v>0.1045577</v>
      </c>
      <c r="Z801">
        <v>-1.411874E-3</v>
      </c>
      <c r="AA801">
        <v>0.99451780000000001</v>
      </c>
      <c r="AB801">
        <v>35</v>
      </c>
      <c r="AC801">
        <v>88.265199999999993</v>
      </c>
      <c r="AD801">
        <v>-1.0410902200000001</v>
      </c>
      <c r="AE801">
        <v>-10.245999999999899</v>
      </c>
      <c r="AF801">
        <v>9.3096659696807897</v>
      </c>
      <c r="AG801">
        <v>-1.0410902200000001</v>
      </c>
      <c r="AH801">
        <v>88.356600631510403</v>
      </c>
      <c r="AI801">
        <v>90.671358821157597</v>
      </c>
      <c r="AJ801">
        <v>83.985240407747597</v>
      </c>
      <c r="AK801">
        <v>88.851801470028903</v>
      </c>
      <c r="AL801">
        <v>93.180387793282407</v>
      </c>
      <c r="AM801">
        <v>90.522718069249606</v>
      </c>
      <c r="AN801">
        <v>1.0000000383663401</v>
      </c>
    </row>
    <row r="802" spans="1:40" x14ac:dyDescent="0.25">
      <c r="A802" t="str">
        <f>"20190303153756184"</f>
        <v>20190303153756184</v>
      </c>
      <c r="B802" t="str">
        <f>"1551598676179457"</f>
        <v>1551598676179457</v>
      </c>
      <c r="C802" t="s">
        <v>40</v>
      </c>
      <c r="D802">
        <v>4.20268</v>
      </c>
      <c r="E802">
        <v>0.54348980000000002</v>
      </c>
      <c r="F802" t="s">
        <v>42</v>
      </c>
      <c r="G802">
        <v>-261.14920000000001</v>
      </c>
      <c r="H802">
        <v>7.9986589999999996E-2</v>
      </c>
      <c r="I802">
        <v>357.34390000000002</v>
      </c>
      <c r="J802">
        <v>-347.02</v>
      </c>
      <c r="K802">
        <v>1.121075</v>
      </c>
      <c r="L802">
        <v>367.3673</v>
      </c>
      <c r="M802">
        <v>0.99983750000000005</v>
      </c>
      <c r="N802">
        <v>-1.464184E-2</v>
      </c>
      <c r="O802">
        <v>-1.0524769999999999E-2</v>
      </c>
      <c r="P802">
        <v>0.99751690000000004</v>
      </c>
      <c r="Q802">
        <v>-7.0408319999999996E-2</v>
      </c>
      <c r="R802">
        <v>-1.7385160000000001E-3</v>
      </c>
      <c r="S802">
        <v>3.0043639999999998</v>
      </c>
      <c r="T802">
        <v>-3.6350489999999999E-2</v>
      </c>
      <c r="U802">
        <v>-0.35003659999999998</v>
      </c>
      <c r="V802">
        <v>-8.7493740000000007E-3</v>
      </c>
      <c r="W802">
        <v>-5.5797779999999998E-2</v>
      </c>
      <c r="X802">
        <v>0.99840370000000001</v>
      </c>
      <c r="Y802">
        <v>0.1052481</v>
      </c>
      <c r="Z802">
        <v>-1.434486E-3</v>
      </c>
      <c r="AA802">
        <v>0.99444500000000002</v>
      </c>
      <c r="AB802">
        <v>35</v>
      </c>
      <c r="AC802">
        <v>85.870799999999903</v>
      </c>
      <c r="AD802">
        <v>-1.04108841</v>
      </c>
      <c r="AE802">
        <v>-10.023399999999899</v>
      </c>
      <c r="AF802">
        <v>9.1176553070866007</v>
      </c>
      <c r="AG802">
        <v>-1.04108841</v>
      </c>
      <c r="AH802">
        <v>85.959082959153307</v>
      </c>
      <c r="AI802">
        <v>90.690030102515806</v>
      </c>
      <c r="AJ802">
        <v>83.945292089874897</v>
      </c>
      <c r="AK802">
        <v>86.447553155395298</v>
      </c>
      <c r="AL802">
        <v>93.198638709033204</v>
      </c>
      <c r="AM802">
        <v>90.502090859054405</v>
      </c>
      <c r="AN802">
        <v>0.99999994598600295</v>
      </c>
    </row>
    <row r="803" spans="1:40" x14ac:dyDescent="0.25">
      <c r="A803" t="str">
        <f>"20190303153756196"</f>
        <v>20190303153756196</v>
      </c>
      <c r="B803" t="str">
        <f>"1551598676190193"</f>
        <v>1551598676190193</v>
      </c>
      <c r="C803" t="s">
        <v>40</v>
      </c>
      <c r="D803">
        <v>4.2177850000000001</v>
      </c>
      <c r="E803">
        <v>0.54354650000000004</v>
      </c>
      <c r="F803" t="s">
        <v>42</v>
      </c>
      <c r="G803">
        <v>-262.57530000000003</v>
      </c>
      <c r="H803">
        <v>7.9986180000000004E-2</v>
      </c>
      <c r="I803">
        <v>357.4896</v>
      </c>
      <c r="J803">
        <v>-346.8485</v>
      </c>
      <c r="K803">
        <v>1.121076</v>
      </c>
      <c r="L803">
        <v>367.36559999999997</v>
      </c>
      <c r="M803">
        <v>0.99983809999999995</v>
      </c>
      <c r="N803">
        <v>-1.464009E-2</v>
      </c>
      <c r="O803">
        <v>-1.046479E-2</v>
      </c>
      <c r="P803">
        <v>0.99750510000000003</v>
      </c>
      <c r="Q803">
        <v>-7.0563219999999996E-2</v>
      </c>
      <c r="R803">
        <v>-2.0835929999999999E-3</v>
      </c>
      <c r="S803">
        <v>3.0042110000000002</v>
      </c>
      <c r="T803">
        <v>-3.7037849999999997E-2</v>
      </c>
      <c r="U803">
        <v>-0.3514099</v>
      </c>
      <c r="V803">
        <v>-8.3436840000000005E-3</v>
      </c>
      <c r="W803">
        <v>-5.5954469999999999E-2</v>
      </c>
      <c r="X803">
        <v>0.99839849999999997</v>
      </c>
      <c r="Y803">
        <v>0.10576149999999999</v>
      </c>
      <c r="Z803">
        <v>-1.4507910000000001E-3</v>
      </c>
      <c r="AA803">
        <v>0.99439049999999995</v>
      </c>
      <c r="AB803">
        <v>35</v>
      </c>
      <c r="AC803">
        <v>84.273199999999903</v>
      </c>
      <c r="AD803">
        <v>-1.0410898200000001</v>
      </c>
      <c r="AE803">
        <v>-9.8759999999999692</v>
      </c>
      <c r="AF803">
        <v>8.99210952532923</v>
      </c>
      <c r="AG803">
        <v>-1.0410898200000001</v>
      </c>
      <c r="AH803">
        <v>84.359245693169498</v>
      </c>
      <c r="AI803">
        <v>90.703077196810796</v>
      </c>
      <c r="AJ803">
        <v>83.915642196497103</v>
      </c>
      <c r="AK803">
        <v>84.843527953812497</v>
      </c>
      <c r="AL803">
        <v>93.207630123683103</v>
      </c>
      <c r="AM803">
        <v>90.478813569908993</v>
      </c>
      <c r="AN803">
        <v>1.0000000422889599</v>
      </c>
    </row>
    <row r="804" spans="1:40" x14ac:dyDescent="0.25">
      <c r="A804" t="str">
        <f>"20190303153756208"</f>
        <v>20190303153756208</v>
      </c>
      <c r="B804" t="str">
        <f>"1551598676199952"</f>
        <v>1551598676199952</v>
      </c>
      <c r="C804" t="s">
        <v>40</v>
      </c>
      <c r="D804">
        <v>4.2191020000000004</v>
      </c>
      <c r="E804">
        <v>0.54362239999999995</v>
      </c>
      <c r="F804" t="s">
        <v>42</v>
      </c>
      <c r="G804">
        <v>-262.99680000000001</v>
      </c>
      <c r="H804">
        <v>7.9986039999999994E-2</v>
      </c>
      <c r="I804">
        <v>357.52370000000002</v>
      </c>
      <c r="J804">
        <v>-346.63729999999998</v>
      </c>
      <c r="K804">
        <v>1.121076</v>
      </c>
      <c r="L804">
        <v>367.36340000000001</v>
      </c>
      <c r="M804">
        <v>0.99983880000000003</v>
      </c>
      <c r="N804">
        <v>-1.463794E-2</v>
      </c>
      <c r="O804">
        <v>-1.039121E-2</v>
      </c>
      <c r="P804">
        <v>0.99749109999999996</v>
      </c>
      <c r="Q804">
        <v>-7.0755209999999999E-2</v>
      </c>
      <c r="R804">
        <v>-2.3229399999999999E-3</v>
      </c>
      <c r="S804">
        <v>3.0041199999999999</v>
      </c>
      <c r="T804">
        <v>-3.7298680000000001E-2</v>
      </c>
      <c r="U804">
        <v>-0.35260010000000003</v>
      </c>
      <c r="V804">
        <v>-8.0312909999999994E-3</v>
      </c>
      <c r="W804">
        <v>-5.6148690000000001E-2</v>
      </c>
      <c r="X804">
        <v>0.99839009999999995</v>
      </c>
      <c r="Y804">
        <v>0.1062265</v>
      </c>
      <c r="Z804">
        <v>-1.4604710000000001E-3</v>
      </c>
      <c r="AA804">
        <v>0.99434089999999997</v>
      </c>
      <c r="AB804">
        <v>35</v>
      </c>
      <c r="AC804">
        <v>83.640499999999903</v>
      </c>
      <c r="AD804">
        <v>-1.0410899600000001</v>
      </c>
      <c r="AE804">
        <v>-9.8396999999999899</v>
      </c>
      <c r="AF804">
        <v>8.9685788975349592</v>
      </c>
      <c r="AG804">
        <v>-1.0410899600000001</v>
      </c>
      <c r="AH804">
        <v>83.725445887680493</v>
      </c>
      <c r="AI804">
        <v>90.708359679302205</v>
      </c>
      <c r="AJ804">
        <v>83.885852668230498</v>
      </c>
      <c r="AK804">
        <v>84.2108636984388</v>
      </c>
      <c r="AL804">
        <v>93.218775818189101</v>
      </c>
      <c r="AM804">
        <v>90.460891141772095</v>
      </c>
      <c r="AN804">
        <v>0.99999998440092597</v>
      </c>
    </row>
    <row r="805" spans="1:40" x14ac:dyDescent="0.25">
      <c r="A805" t="str">
        <f>"20190303153756220"</f>
        <v>20190303153756220</v>
      </c>
      <c r="B805" t="str">
        <f>"1551598676209713"</f>
        <v>1551598676209713</v>
      </c>
      <c r="C805" t="s">
        <v>40</v>
      </c>
      <c r="D805">
        <v>4.2213770000000004</v>
      </c>
      <c r="E805">
        <v>0.54367739999999998</v>
      </c>
      <c r="F805" t="s">
        <v>42</v>
      </c>
      <c r="G805">
        <v>-263.86559999999997</v>
      </c>
      <c r="H805">
        <v>7.9985780000000006E-2</v>
      </c>
      <c r="I805">
        <v>357.61279999999999</v>
      </c>
      <c r="J805">
        <v>-346.4615</v>
      </c>
      <c r="K805">
        <v>1.121076</v>
      </c>
      <c r="L805">
        <v>367.36169999999998</v>
      </c>
      <c r="M805">
        <v>0.99983960000000005</v>
      </c>
      <c r="N805">
        <v>-1.4636150000000001E-2</v>
      </c>
      <c r="O805">
        <v>-1.0330509999999999E-2</v>
      </c>
      <c r="P805">
        <v>0.9974885</v>
      </c>
      <c r="Q805">
        <v>-7.0774020000000007E-2</v>
      </c>
      <c r="R805">
        <v>-2.8275280000000002E-3</v>
      </c>
      <c r="S805">
        <v>3.0040589999999998</v>
      </c>
      <c r="T805">
        <v>-3.7784579999999998E-2</v>
      </c>
      <c r="U805">
        <v>-0.35388180000000002</v>
      </c>
      <c r="V805">
        <v>-7.4657109999999999E-3</v>
      </c>
      <c r="W805">
        <v>-5.6169129999999998E-2</v>
      </c>
      <c r="X805">
        <v>0.99839339999999999</v>
      </c>
      <c r="Y805">
        <v>0.1067072</v>
      </c>
      <c r="Z805">
        <v>-1.4736759999999999E-3</v>
      </c>
      <c r="AA805">
        <v>0.99428939999999999</v>
      </c>
      <c r="AB805">
        <v>35</v>
      </c>
      <c r="AC805">
        <v>82.5959</v>
      </c>
      <c r="AD805">
        <v>-1.0410902200000001</v>
      </c>
      <c r="AE805">
        <v>-9.7488999999999901</v>
      </c>
      <c r="AF805">
        <v>8.8936369928605892</v>
      </c>
      <c r="AG805">
        <v>-1.0410902200000001</v>
      </c>
      <c r="AH805">
        <v>82.679258225786498</v>
      </c>
      <c r="AI805">
        <v>90.717288029289605</v>
      </c>
      <c r="AJ805">
        <v>83.860418822408803</v>
      </c>
      <c r="AK805">
        <v>83.162734374076706</v>
      </c>
      <c r="AL805">
        <v>93.219948601089598</v>
      </c>
      <c r="AM805">
        <v>90.428434081014899</v>
      </c>
      <c r="AN805">
        <v>1.00000004458462</v>
      </c>
    </row>
    <row r="806" spans="1:40" x14ac:dyDescent="0.25">
      <c r="A806" t="str">
        <f>"20190303153756233"</f>
        <v>20190303153756233</v>
      </c>
      <c r="B806" t="str">
        <f>"1551598676230210"</f>
        <v>1551598676230210</v>
      </c>
      <c r="C806" t="s">
        <v>40</v>
      </c>
      <c r="D806">
        <v>4.2264619999999997</v>
      </c>
      <c r="E806">
        <v>0.54374829999999996</v>
      </c>
      <c r="F806" t="s">
        <v>42</v>
      </c>
      <c r="G806">
        <v>-263.4502</v>
      </c>
      <c r="H806">
        <v>7.9985909999999993E-2</v>
      </c>
      <c r="I806">
        <v>357.51979999999998</v>
      </c>
      <c r="J806">
        <v>-346.27530000000002</v>
      </c>
      <c r="K806">
        <v>1.121075</v>
      </c>
      <c r="L806">
        <v>367.35980000000001</v>
      </c>
      <c r="M806">
        <v>0.99984030000000002</v>
      </c>
      <c r="N806">
        <v>-1.463425E-2</v>
      </c>
      <c r="O806">
        <v>-1.026612E-2</v>
      </c>
      <c r="P806">
        <v>0.99750660000000002</v>
      </c>
      <c r="Q806">
        <v>-7.0507410000000006E-2</v>
      </c>
      <c r="R806">
        <v>-3.039964E-3</v>
      </c>
      <c r="S806">
        <v>3.003876</v>
      </c>
      <c r="T806">
        <v>-3.7673230000000002E-2</v>
      </c>
      <c r="U806">
        <v>-0.35614010000000001</v>
      </c>
      <c r="V806">
        <v>-7.1887440000000004E-3</v>
      </c>
      <c r="W806">
        <v>-5.5904080000000002E-2</v>
      </c>
      <c r="X806">
        <v>0.99841029999999997</v>
      </c>
      <c r="Y806">
        <v>0.1075154</v>
      </c>
      <c r="Z806">
        <v>-1.4828529999999999E-3</v>
      </c>
      <c r="AA806">
        <v>0.99420229999999998</v>
      </c>
      <c r="AB806">
        <v>35</v>
      </c>
      <c r="AC806">
        <v>82.825100000000006</v>
      </c>
      <c r="AD806">
        <v>-1.0410890900000001</v>
      </c>
      <c r="AE806">
        <v>-9.8400000000000301</v>
      </c>
      <c r="AF806">
        <v>8.9876976622645497</v>
      </c>
      <c r="AG806">
        <v>-1.0410890900000001</v>
      </c>
      <c r="AH806">
        <v>82.908846658520304</v>
      </c>
      <c r="AI806">
        <v>90.715237299963206</v>
      </c>
      <c r="AJ806">
        <v>83.813035793192199</v>
      </c>
      <c r="AK806">
        <v>83.401075712532801</v>
      </c>
      <c r="AL806">
        <v>93.204738484478099</v>
      </c>
      <c r="AM806">
        <v>90.412533377988893</v>
      </c>
      <c r="AN806">
        <v>1.0000000356735099</v>
      </c>
    </row>
    <row r="807" spans="1:40" x14ac:dyDescent="0.25">
      <c r="A807" t="str">
        <f>"20190303153756244"</f>
        <v>20190303153756244</v>
      </c>
      <c r="B807" t="str">
        <f>"1551598676239970"</f>
        <v>1551598676239970</v>
      </c>
      <c r="C807" t="s">
        <v>40</v>
      </c>
      <c r="D807">
        <v>4.236777</v>
      </c>
      <c r="E807">
        <v>0.54379929999999999</v>
      </c>
      <c r="F807" t="s">
        <v>42</v>
      </c>
      <c r="G807">
        <v>-261.98649999999998</v>
      </c>
      <c r="H807">
        <v>7.9986340000000003E-2</v>
      </c>
      <c r="I807">
        <v>357.33179999999999</v>
      </c>
      <c r="J807">
        <v>-346.08890000000002</v>
      </c>
      <c r="K807">
        <v>1.121073</v>
      </c>
      <c r="L807">
        <v>367.358</v>
      </c>
      <c r="M807">
        <v>0.99984090000000003</v>
      </c>
      <c r="N807">
        <v>-1.4632320000000001E-2</v>
      </c>
      <c r="O807">
        <v>-1.020137E-2</v>
      </c>
      <c r="P807">
        <v>0.99751449999999997</v>
      </c>
      <c r="Q807">
        <v>-7.0380120000000004E-2</v>
      </c>
      <c r="R807">
        <v>-3.3866740000000001E-3</v>
      </c>
      <c r="S807">
        <v>3.0037539999999998</v>
      </c>
      <c r="T807">
        <v>-3.7100670000000002E-2</v>
      </c>
      <c r="U807">
        <v>-0.35736079999999998</v>
      </c>
      <c r="V807">
        <v>-6.777936E-3</v>
      </c>
      <c r="W807">
        <v>-5.5778469999999997E-2</v>
      </c>
      <c r="X807">
        <v>0.99842019999999998</v>
      </c>
      <c r="Y807">
        <v>0.1079833</v>
      </c>
      <c r="Z807">
        <v>-1.4806579999999999E-3</v>
      </c>
      <c r="AA807">
        <v>0.99415160000000002</v>
      </c>
      <c r="AB807">
        <v>35</v>
      </c>
      <c r="AC807">
        <v>84.102400000000003</v>
      </c>
      <c r="AD807">
        <v>-1.0410866599999999</v>
      </c>
      <c r="AE807">
        <v>-10.026199999999999</v>
      </c>
      <c r="AF807">
        <v>9.1662417055719896</v>
      </c>
      <c r="AG807">
        <v>-1.0410866599999999</v>
      </c>
      <c r="AH807">
        <v>84.187595009610703</v>
      </c>
      <c r="AI807">
        <v>90.704336964496093</v>
      </c>
      <c r="AJ807">
        <v>83.786182994651099</v>
      </c>
      <c r="AK807">
        <v>84.691528513428196</v>
      </c>
      <c r="AL807">
        <v>93.197530310575104</v>
      </c>
      <c r="AM807">
        <v>90.388955633106406</v>
      </c>
      <c r="AN807">
        <v>1.00000003694999</v>
      </c>
    </row>
    <row r="808" spans="1:40" x14ac:dyDescent="0.25">
      <c r="A808" t="str">
        <f>"20190303153756256"</f>
        <v>20190303153756256</v>
      </c>
      <c r="B808" t="str">
        <f>"1551598676249729"</f>
        <v>1551598676249729</v>
      </c>
      <c r="C808" t="s">
        <v>40</v>
      </c>
      <c r="D808">
        <v>4.2799519999999998</v>
      </c>
      <c r="E808">
        <v>0.54379929999999999</v>
      </c>
      <c r="F808" t="s">
        <v>42</v>
      </c>
      <c r="G808">
        <v>-261.18009999999998</v>
      </c>
      <c r="H808">
        <v>7.9986589999999996E-2</v>
      </c>
      <c r="I808">
        <v>357.22149999999999</v>
      </c>
      <c r="J808">
        <v>-345.91309999999999</v>
      </c>
      <c r="K808">
        <v>1.1210739999999999</v>
      </c>
      <c r="L808">
        <v>367.3562</v>
      </c>
      <c r="M808">
        <v>0.9998416</v>
      </c>
      <c r="N808">
        <v>-1.4630489999999999E-2</v>
      </c>
      <c r="O808">
        <v>-1.014056E-2</v>
      </c>
      <c r="P808">
        <v>0.99751100000000004</v>
      </c>
      <c r="Q808">
        <v>-7.0418980000000006E-2</v>
      </c>
      <c r="R808">
        <v>-3.639546E-3</v>
      </c>
      <c r="S808">
        <v>3.0036930000000002</v>
      </c>
      <c r="T808">
        <v>-3.6828989999999999E-2</v>
      </c>
      <c r="U808">
        <v>-0.3585815</v>
      </c>
      <c r="V808">
        <v>-6.4641799999999999E-3</v>
      </c>
      <c r="W808">
        <v>-5.5819069999999998E-2</v>
      </c>
      <c r="X808">
        <v>0.99841999999999997</v>
      </c>
      <c r="Y808">
        <v>0.1084446</v>
      </c>
      <c r="Z808">
        <v>-1.482667E-3</v>
      </c>
      <c r="AA808">
        <v>0.99410140000000002</v>
      </c>
      <c r="AB808">
        <v>35</v>
      </c>
      <c r="AC808">
        <v>84.732999999999905</v>
      </c>
      <c r="AD808">
        <v>-1.0410874099999901</v>
      </c>
      <c r="AE808">
        <v>-10.1347</v>
      </c>
      <c r="AF808">
        <v>9.2734665937223397</v>
      </c>
      <c r="AG808">
        <v>-1.0410874099999901</v>
      </c>
      <c r="AH808">
        <v>84.818801030687993</v>
      </c>
      <c r="AI808">
        <v>90.699062232717196</v>
      </c>
      <c r="AJ808">
        <v>83.760481915169194</v>
      </c>
      <c r="AK808">
        <v>85.330592719982803</v>
      </c>
      <c r="AL808">
        <v>93.199860186263095</v>
      </c>
      <c r="AM808">
        <v>90.370951159918405</v>
      </c>
      <c r="AN808">
        <v>1.0000000252993599</v>
      </c>
    </row>
    <row r="809" spans="1:40" x14ac:dyDescent="0.25">
      <c r="A809" t="str">
        <f>"20190303153756268"</f>
        <v>20190303153756268</v>
      </c>
      <c r="B809" t="str">
        <f>"1551598676259489"</f>
        <v>1551598676259489</v>
      </c>
      <c r="C809" t="s">
        <v>40</v>
      </c>
      <c r="D809">
        <v>4.3491819999999999</v>
      </c>
      <c r="E809">
        <v>0.55750379999999999</v>
      </c>
      <c r="F809" t="s">
        <v>42</v>
      </c>
      <c r="G809">
        <v>-260.90039999999999</v>
      </c>
      <c r="H809">
        <v>7.9986669999999996E-2</v>
      </c>
      <c r="I809">
        <v>357.18369999999999</v>
      </c>
      <c r="J809">
        <v>-345.7226</v>
      </c>
      <c r="K809">
        <v>1.121075</v>
      </c>
      <c r="L809">
        <v>367.3544</v>
      </c>
      <c r="M809">
        <v>0.99984229999999996</v>
      </c>
      <c r="N809">
        <v>-1.4628499999999999E-2</v>
      </c>
      <c r="O809">
        <v>-1.007427E-2</v>
      </c>
      <c r="P809">
        <v>0.99751650000000003</v>
      </c>
      <c r="Q809">
        <v>-7.0336830000000003E-2</v>
      </c>
      <c r="R809">
        <v>-3.691012E-3</v>
      </c>
      <c r="S809">
        <v>3.0036010000000002</v>
      </c>
      <c r="T809">
        <v>-3.6782860000000001E-2</v>
      </c>
      <c r="U809">
        <v>-0.35940549999999999</v>
      </c>
      <c r="V809">
        <v>-6.3466169999999997E-3</v>
      </c>
      <c r="W809">
        <v>-5.5738830000000003E-2</v>
      </c>
      <c r="X809">
        <v>0.99842520000000001</v>
      </c>
      <c r="Y809">
        <v>0.1087829</v>
      </c>
      <c r="Z809">
        <v>-1.4862720000000001E-3</v>
      </c>
      <c r="AA809">
        <v>0.99406450000000002</v>
      </c>
      <c r="AB809">
        <v>34</v>
      </c>
      <c r="AC809">
        <v>84.822199999999995</v>
      </c>
      <c r="AD809">
        <v>-1.04108833</v>
      </c>
      <c r="AE809">
        <v>-10.1707</v>
      </c>
      <c r="AF809">
        <v>9.3141873633402295</v>
      </c>
      <c r="AG809">
        <v>-1.04108833</v>
      </c>
      <c r="AH809">
        <v>84.907758291386301</v>
      </c>
      <c r="AI809">
        <v>90.698302936339502</v>
      </c>
      <c r="AJ809">
        <v>83.739814469101304</v>
      </c>
      <c r="AK809">
        <v>85.423447420592595</v>
      </c>
      <c r="AL809">
        <v>93.195255722518098</v>
      </c>
      <c r="AM809">
        <v>90.3642030175603</v>
      </c>
      <c r="AN809">
        <v>0.99999998835607595</v>
      </c>
    </row>
    <row r="810" spans="1:40" x14ac:dyDescent="0.25">
      <c r="A810" t="str">
        <f>"20190303153756279"</f>
        <v>20190303153756279</v>
      </c>
      <c r="B810" t="str">
        <f>"1551598676269249"</f>
        <v>1551598676269249</v>
      </c>
      <c r="C810" t="s">
        <v>40</v>
      </c>
      <c r="D810">
        <v>4.3030989999999996</v>
      </c>
      <c r="E810">
        <v>0.55821069999999995</v>
      </c>
      <c r="F810" t="s">
        <v>43</v>
      </c>
      <c r="G810">
        <v>-281.22089999999997</v>
      </c>
      <c r="H810">
        <v>-0.05</v>
      </c>
      <c r="I810">
        <v>357.27910000000003</v>
      </c>
      <c r="J810">
        <v>-345.5478</v>
      </c>
      <c r="K810">
        <v>1.1210709999999999</v>
      </c>
      <c r="L810">
        <v>367.35270000000003</v>
      </c>
      <c r="M810">
        <v>0.99984300000000004</v>
      </c>
      <c r="N810">
        <v>-1.462363E-2</v>
      </c>
      <c r="O810">
        <v>-1.0013559999999999E-2</v>
      </c>
      <c r="P810">
        <v>0.99752110000000005</v>
      </c>
      <c r="Q810">
        <v>-7.0272520000000005E-2</v>
      </c>
      <c r="R810">
        <v>-3.68886E-3</v>
      </c>
      <c r="S810">
        <v>3.0018919999999998</v>
      </c>
      <c r="T810">
        <v>-5.4501529999999999E-2</v>
      </c>
      <c r="U810">
        <v>-0.4689026</v>
      </c>
      <c r="V810">
        <v>-6.2880790000000002E-3</v>
      </c>
      <c r="W810">
        <v>-5.5679289999999999E-2</v>
      </c>
      <c r="X810">
        <v>0.99842889999999995</v>
      </c>
      <c r="Y810">
        <v>0.14438619999999999</v>
      </c>
      <c r="Z810">
        <v>-2.3299459999999998E-3</v>
      </c>
      <c r="AA810">
        <v>0.98951860000000003</v>
      </c>
      <c r="AB810">
        <v>34</v>
      </c>
      <c r="AC810">
        <v>64.326899999999995</v>
      </c>
      <c r="AD810">
        <v>-1.171071</v>
      </c>
      <c r="AE810">
        <v>-10.073600000000001</v>
      </c>
      <c r="AF810">
        <v>9.4258355687136994</v>
      </c>
      <c r="AG810">
        <v>-1.171071</v>
      </c>
      <c r="AH810">
        <v>64.403723651341394</v>
      </c>
      <c r="AI810">
        <v>91.030732254682405</v>
      </c>
      <c r="AJ810">
        <v>81.6735654389487</v>
      </c>
      <c r="AK810">
        <v>65.100364082037302</v>
      </c>
      <c r="AL810">
        <v>93.191839001958996</v>
      </c>
      <c r="AM810">
        <v>90.360842544335597</v>
      </c>
      <c r="AN810">
        <v>0.99999999581381205</v>
      </c>
    </row>
    <row r="811" spans="1:40" x14ac:dyDescent="0.25">
      <c r="A811" t="str">
        <f>"20190303153756295"</f>
        <v>20190303153756295</v>
      </c>
      <c r="B811" t="str">
        <f>"1551598676289745"</f>
        <v>1551598676289745</v>
      </c>
      <c r="C811" t="s">
        <v>40</v>
      </c>
      <c r="D811">
        <v>4.2999340000000004</v>
      </c>
      <c r="E811">
        <v>0.55945</v>
      </c>
      <c r="F811" t="s">
        <v>43</v>
      </c>
      <c r="G811">
        <v>-275.47300000000001</v>
      </c>
      <c r="H811">
        <v>-0.05</v>
      </c>
      <c r="I811">
        <v>356.27890000000002</v>
      </c>
      <c r="J811">
        <v>-345.30290000000002</v>
      </c>
      <c r="K811">
        <v>1.121068</v>
      </c>
      <c r="L811">
        <v>367.3503</v>
      </c>
      <c r="M811">
        <v>0.99984419999999996</v>
      </c>
      <c r="N811">
        <v>-1.460269E-2</v>
      </c>
      <c r="O811">
        <v>-9.9287720000000006E-3</v>
      </c>
      <c r="P811">
        <v>0.99754019999999999</v>
      </c>
      <c r="Q811">
        <v>-7.0024820000000002E-2</v>
      </c>
      <c r="R811">
        <v>-3.214565E-3</v>
      </c>
      <c r="S811">
        <v>3.002167</v>
      </c>
      <c r="T811">
        <v>-5.0171380000000002E-2</v>
      </c>
      <c r="U811">
        <v>-0.47442630000000002</v>
      </c>
      <c r="V811">
        <v>-6.678079E-3</v>
      </c>
      <c r="W811">
        <v>-5.5452399999999999E-2</v>
      </c>
      <c r="X811">
        <v>0.99843899999999997</v>
      </c>
      <c r="Y811">
        <v>0.14623739999999999</v>
      </c>
      <c r="Z811">
        <v>-2.2681020000000001E-3</v>
      </c>
      <c r="AA811">
        <v>0.98924690000000004</v>
      </c>
      <c r="AB811">
        <v>34</v>
      </c>
      <c r="AC811">
        <v>69.829899999999995</v>
      </c>
      <c r="AD811">
        <v>-1.171068</v>
      </c>
      <c r="AE811">
        <v>-11.071399999999899</v>
      </c>
      <c r="AF811">
        <v>10.3746089163976</v>
      </c>
      <c r="AG811">
        <v>-1.171068</v>
      </c>
      <c r="AH811">
        <v>69.917212827629101</v>
      </c>
      <c r="AI811">
        <v>90.949186738634396</v>
      </c>
      <c r="AJ811">
        <v>81.559797743341306</v>
      </c>
      <c r="AK811">
        <v>70.692436370610395</v>
      </c>
      <c r="AL811">
        <v>93.178819030253806</v>
      </c>
      <c r="AM811">
        <v>90.383218240027801</v>
      </c>
      <c r="AN811">
        <v>1.00000000106294</v>
      </c>
    </row>
    <row r="812" spans="1:40" x14ac:dyDescent="0.25">
      <c r="A812" t="str">
        <f>"20190303153756307"</f>
        <v>20190303153756307</v>
      </c>
      <c r="B812" t="str">
        <f>"1551598676299504"</f>
        <v>1551598676299504</v>
      </c>
      <c r="C812" t="s">
        <v>40</v>
      </c>
      <c r="D812">
        <v>4.296208</v>
      </c>
      <c r="E812">
        <v>0.55978109999999903</v>
      </c>
      <c r="F812" t="s">
        <v>43</v>
      </c>
      <c r="G812">
        <v>-254.12799999999999</v>
      </c>
      <c r="H812">
        <v>-0.05</v>
      </c>
      <c r="I812">
        <v>352.70389999999998</v>
      </c>
      <c r="J812">
        <v>-345.11439999999999</v>
      </c>
      <c r="K812">
        <v>1.121065</v>
      </c>
      <c r="L812">
        <v>367.3485</v>
      </c>
      <c r="M812">
        <v>0.99984519999999999</v>
      </c>
      <c r="N812">
        <v>-1.457089E-2</v>
      </c>
      <c r="O812">
        <v>-9.8627420000000007E-3</v>
      </c>
      <c r="P812">
        <v>0.99754379999999998</v>
      </c>
      <c r="Q812">
        <v>-6.9978299999999993E-2</v>
      </c>
      <c r="R812">
        <v>-3.0604019999999998E-3</v>
      </c>
      <c r="S812">
        <v>3.0031129999999999</v>
      </c>
      <c r="T812">
        <v>-3.8572549999999997E-2</v>
      </c>
      <c r="U812">
        <v>-0.48242190000000001</v>
      </c>
      <c r="V812">
        <v>-6.7661600000000002E-3</v>
      </c>
      <c r="W812">
        <v>-5.543762E-2</v>
      </c>
      <c r="X812">
        <v>0.99843930000000003</v>
      </c>
      <c r="Y812">
        <v>0.14883469999999999</v>
      </c>
      <c r="Z812">
        <v>-2.0580809999999998E-3</v>
      </c>
      <c r="AA812">
        <v>0.98885999999999996</v>
      </c>
      <c r="AB812">
        <v>34</v>
      </c>
      <c r="AC812">
        <v>90.986400000000003</v>
      </c>
      <c r="AD812">
        <v>-1.171065</v>
      </c>
      <c r="AE812">
        <v>-14.644600000000001</v>
      </c>
      <c r="AF812">
        <v>13.744197578481799</v>
      </c>
      <c r="AG812">
        <v>-1.171065</v>
      </c>
      <c r="AH812">
        <v>91.111712774831801</v>
      </c>
      <c r="AI812">
        <v>90.728148711219006</v>
      </c>
      <c r="AJ812">
        <v>81.421613236044905</v>
      </c>
      <c r="AK812">
        <v>92.149978649341094</v>
      </c>
      <c r="AL812">
        <v>93.177970664469598</v>
      </c>
      <c r="AM812">
        <v>90.388272453983106</v>
      </c>
      <c r="AN812">
        <v>1.00000007320844</v>
      </c>
    </row>
    <row r="813" spans="1:40" x14ac:dyDescent="0.25">
      <c r="A813" t="str">
        <f>"20190303153756320"</f>
        <v>20190303153756320</v>
      </c>
      <c r="B813" t="str">
        <f>"1551598676309265"</f>
        <v>1551598676309265</v>
      </c>
      <c r="C813" t="s">
        <v>40</v>
      </c>
      <c r="D813">
        <v>4.2914810000000001</v>
      </c>
      <c r="E813">
        <v>0.56009639999999905</v>
      </c>
      <c r="F813" t="s">
        <v>43</v>
      </c>
      <c r="G813">
        <v>-250.4974</v>
      </c>
      <c r="H813">
        <v>-0.05</v>
      </c>
      <c r="I813">
        <v>352.0779</v>
      </c>
      <c r="J813">
        <v>-344.93180000000001</v>
      </c>
      <c r="K813">
        <v>1.1210530000000001</v>
      </c>
      <c r="L813">
        <v>367.34679999999997</v>
      </c>
      <c r="M813">
        <v>0.99984660000000003</v>
      </c>
      <c r="N813">
        <v>-1.451848E-2</v>
      </c>
      <c r="O813">
        <v>-9.7990630000000002E-3</v>
      </c>
      <c r="P813">
        <v>0.99756339999999999</v>
      </c>
      <c r="Q813">
        <v>-6.9719519999999993E-2</v>
      </c>
      <c r="R813">
        <v>-2.596868E-3</v>
      </c>
      <c r="S813">
        <v>3.0032960000000002</v>
      </c>
      <c r="T813">
        <v>-3.717148E-2</v>
      </c>
      <c r="U813">
        <v>-0.48471069999999999</v>
      </c>
      <c r="V813">
        <v>-7.1666369999999896E-3</v>
      </c>
      <c r="W813">
        <v>-5.5231080000000002E-2</v>
      </c>
      <c r="X813">
        <v>0.99844790000000005</v>
      </c>
      <c r="Y813">
        <v>0.14962400000000001</v>
      </c>
      <c r="Z813">
        <v>-2.0341579999999999E-3</v>
      </c>
      <c r="AA813">
        <v>0.98874090000000003</v>
      </c>
      <c r="AB813">
        <v>34</v>
      </c>
      <c r="AC813">
        <v>94.434399999999997</v>
      </c>
      <c r="AD813">
        <v>-1.1710529999999999</v>
      </c>
      <c r="AE813">
        <v>-15.268899999999901</v>
      </c>
      <c r="AF813">
        <v>14.3405515218183</v>
      </c>
      <c r="AG813">
        <v>-1.1710529999999999</v>
      </c>
      <c r="AH813">
        <v>94.565330215551299</v>
      </c>
      <c r="AI813">
        <v>90.701468863039295</v>
      </c>
      <c r="AJ813">
        <v>81.376965418712999</v>
      </c>
      <c r="AK813">
        <v>95.653669359073703</v>
      </c>
      <c r="AL813">
        <v>93.166118801928903</v>
      </c>
      <c r="AM813">
        <v>90.411249301913699</v>
      </c>
      <c r="AN813">
        <v>1.00000002094913</v>
      </c>
    </row>
    <row r="814" spans="1:40" x14ac:dyDescent="0.25">
      <c r="A814" t="str">
        <f>"20190303153756333"</f>
        <v>20190303153756333</v>
      </c>
      <c r="B814" t="str">
        <f>"1551598676329760"</f>
        <v>1551598676329760</v>
      </c>
      <c r="C814" t="s">
        <v>40</v>
      </c>
      <c r="D814">
        <v>4.2814889999999997</v>
      </c>
      <c r="E814">
        <v>0.56049179999999998</v>
      </c>
      <c r="F814" t="s">
        <v>43</v>
      </c>
      <c r="G814">
        <v>-247.19720000000001</v>
      </c>
      <c r="H814">
        <v>-0.05</v>
      </c>
      <c r="I814">
        <v>351.54770000000002</v>
      </c>
      <c r="J814">
        <v>-344.73599999999999</v>
      </c>
      <c r="K814">
        <v>1.121041</v>
      </c>
      <c r="L814">
        <v>367.3449</v>
      </c>
      <c r="M814">
        <v>0.99984819999999996</v>
      </c>
      <c r="N814">
        <v>-1.445483E-2</v>
      </c>
      <c r="O814">
        <v>-9.7311280000000003E-3</v>
      </c>
      <c r="P814">
        <v>0.99754489999999996</v>
      </c>
      <c r="Q814">
        <v>-6.9996180000000005E-2</v>
      </c>
      <c r="R814">
        <v>-2.176842E-3</v>
      </c>
      <c r="S814">
        <v>3.003571</v>
      </c>
      <c r="T814">
        <v>-3.5988689999999997E-2</v>
      </c>
      <c r="U814">
        <v>-0.48553469999999999</v>
      </c>
      <c r="V814">
        <v>-7.5183300000000002E-3</v>
      </c>
      <c r="W814">
        <v>-5.5571700000000002E-2</v>
      </c>
      <c r="X814">
        <v>0.99842640000000005</v>
      </c>
      <c r="Y814">
        <v>0.14994250000000001</v>
      </c>
      <c r="Z814">
        <v>-2.0072800000000002E-3</v>
      </c>
      <c r="AA814">
        <v>0.98869269999999998</v>
      </c>
      <c r="AB814">
        <v>34</v>
      </c>
      <c r="AC814">
        <v>97.538799999999895</v>
      </c>
      <c r="AD814">
        <v>-1.171041</v>
      </c>
      <c r="AE814">
        <v>-15.797199999999901</v>
      </c>
      <c r="AF814">
        <v>14.845105070180001</v>
      </c>
      <c r="AG814">
        <v>-1.171041</v>
      </c>
      <c r="AH814">
        <v>97.674202287107903</v>
      </c>
      <c r="AI814">
        <v>90.679102827064696</v>
      </c>
      <c r="AJ814">
        <v>81.357985025343496</v>
      </c>
      <c r="AK814">
        <v>98.802825232840604</v>
      </c>
      <c r="AL814">
        <v>93.185664951996202</v>
      </c>
      <c r="AM814">
        <v>90.431439349179897</v>
      </c>
      <c r="AN814">
        <v>1.00000000767191</v>
      </c>
    </row>
    <row r="815" spans="1:40" x14ac:dyDescent="0.25">
      <c r="A815" t="str">
        <f>"20190303153756352"</f>
        <v>20190303153756352</v>
      </c>
      <c r="B815" t="str">
        <f>"1551598676339521"</f>
        <v>1551598676339521</v>
      </c>
      <c r="C815" t="s">
        <v>40</v>
      </c>
      <c r="D815">
        <v>4.2934169999999998</v>
      </c>
      <c r="E815">
        <v>0.56065929999999997</v>
      </c>
      <c r="F815" t="s">
        <v>43</v>
      </c>
      <c r="G815">
        <v>-243.46729999999999</v>
      </c>
      <c r="H815">
        <v>-0.05</v>
      </c>
      <c r="I815">
        <v>350.90089999999998</v>
      </c>
      <c r="J815">
        <v>-344.4468</v>
      </c>
      <c r="K815">
        <v>1.1210209999999901</v>
      </c>
      <c r="L815">
        <v>367.34219999999999</v>
      </c>
      <c r="M815">
        <v>0.99985089999999999</v>
      </c>
      <c r="N815">
        <v>-1.4339080000000001E-2</v>
      </c>
      <c r="O815">
        <v>-9.6327510000000002E-3</v>
      </c>
      <c r="P815">
        <v>0.99750139999999998</v>
      </c>
      <c r="Q815">
        <v>-7.0633100000000004E-2</v>
      </c>
      <c r="R815">
        <v>-1.571444E-3</v>
      </c>
      <c r="S815">
        <v>3.0038450000000001</v>
      </c>
      <c r="T815">
        <v>-3.4735559999999999E-2</v>
      </c>
      <c r="U815">
        <v>-0.48776249999999999</v>
      </c>
      <c r="V815">
        <v>-8.0245460000000005E-3</v>
      </c>
      <c r="W815">
        <v>-5.6325010000000002E-2</v>
      </c>
      <c r="X815">
        <v>0.99838020000000005</v>
      </c>
      <c r="Y815">
        <v>0.15074109999999999</v>
      </c>
      <c r="Z815">
        <v>-1.9804000000000002E-3</v>
      </c>
      <c r="AA815">
        <v>0.98857130000000004</v>
      </c>
      <c r="AB815">
        <v>34</v>
      </c>
      <c r="AC815">
        <v>100.9795</v>
      </c>
      <c r="AD815">
        <v>-1.1710210000000001</v>
      </c>
      <c r="AE815">
        <v>-16.441299999999998</v>
      </c>
      <c r="AF815">
        <v>15.4657006059271</v>
      </c>
      <c r="AG815">
        <v>-1.1710210000000001</v>
      </c>
      <c r="AH815">
        <v>101.11995762064601</v>
      </c>
      <c r="AI815">
        <v>90.655858997069203</v>
      </c>
      <c r="AJ815">
        <v>81.304333613861601</v>
      </c>
      <c r="AK815">
        <v>102.30251714701799</v>
      </c>
      <c r="AL815">
        <v>93.228894295685905</v>
      </c>
      <c r="AM815">
        <v>90.460508649789901</v>
      </c>
      <c r="AN815">
        <v>0.99999996192102203</v>
      </c>
    </row>
    <row r="816" spans="1:40" x14ac:dyDescent="0.25">
      <c r="A816" t="str">
        <f>"20190303153756365"</f>
        <v>20190303153756365</v>
      </c>
      <c r="B816" t="str">
        <f>"1551598676360016"</f>
        <v>1551598676360016</v>
      </c>
      <c r="C816" t="s">
        <v>40</v>
      </c>
      <c r="D816">
        <v>4.2973689999999998</v>
      </c>
      <c r="E816">
        <v>0.56101009999999996</v>
      </c>
      <c r="F816" t="s">
        <v>43</v>
      </c>
      <c r="G816">
        <v>-246.0461</v>
      </c>
      <c r="H816">
        <v>-0.05</v>
      </c>
      <c r="I816">
        <v>351.39490000000001</v>
      </c>
      <c r="J816">
        <v>-344.22629999999998</v>
      </c>
      <c r="K816">
        <v>1.121005</v>
      </c>
      <c r="L816">
        <v>367.34019999999998</v>
      </c>
      <c r="M816">
        <v>0.99985299999999999</v>
      </c>
      <c r="N816">
        <v>-1.423465E-2</v>
      </c>
      <c r="O816">
        <v>-9.5560039999999999E-3</v>
      </c>
      <c r="P816">
        <v>0.99750130000000004</v>
      </c>
      <c r="Q816">
        <v>-7.0642250000000004E-2</v>
      </c>
      <c r="R816">
        <v>-8.4333369999999995E-4</v>
      </c>
      <c r="S816">
        <v>3.0042110000000002</v>
      </c>
      <c r="T816">
        <v>-3.5751699999999997E-2</v>
      </c>
      <c r="U816">
        <v>-0.48687740000000002</v>
      </c>
      <c r="V816">
        <v>-8.6752700000000006E-3</v>
      </c>
      <c r="W816">
        <v>-5.6438790000000003E-2</v>
      </c>
      <c r="X816">
        <v>0.99836840000000004</v>
      </c>
      <c r="Y816">
        <v>0.15051339999999999</v>
      </c>
      <c r="Z816">
        <v>-1.9903149999999999E-3</v>
      </c>
      <c r="AA816">
        <v>0.98860599999999998</v>
      </c>
      <c r="AB816">
        <v>34</v>
      </c>
      <c r="AC816">
        <v>98.180199999999999</v>
      </c>
      <c r="AD816">
        <v>-1.1710049999999901</v>
      </c>
      <c r="AE816">
        <v>-15.9452999999999</v>
      </c>
      <c r="AF816">
        <v>15.004186748830101</v>
      </c>
      <c r="AG816">
        <v>-1.1710049999999901</v>
      </c>
      <c r="AH816">
        <v>98.314478632485006</v>
      </c>
      <c r="AI816">
        <v>90.674596734573598</v>
      </c>
      <c r="AJ816">
        <v>81.3228034801311</v>
      </c>
      <c r="AK816">
        <v>99.459708331973005</v>
      </c>
      <c r="AL816">
        <v>93.235423576768696</v>
      </c>
      <c r="AM816">
        <v>90.497856149467793</v>
      </c>
      <c r="AN816">
        <v>1.0000000297223901</v>
      </c>
    </row>
    <row r="817" spans="1:40" x14ac:dyDescent="0.25">
      <c r="A817" t="str">
        <f>"20190303153756376"</f>
        <v>20190303153756376</v>
      </c>
      <c r="B817" t="str">
        <f>"1551598676369777"</f>
        <v>1551598676369777</v>
      </c>
      <c r="C817" t="s">
        <v>40</v>
      </c>
      <c r="D817">
        <v>4.2699400000000001</v>
      </c>
      <c r="E817">
        <v>0.56120919999999996</v>
      </c>
      <c r="F817" t="s">
        <v>43</v>
      </c>
      <c r="G817">
        <v>-244.7381</v>
      </c>
      <c r="H817">
        <v>-0.05</v>
      </c>
      <c r="I817">
        <v>351.19150000000002</v>
      </c>
      <c r="J817">
        <v>-344.06150000000002</v>
      </c>
      <c r="K817">
        <v>1.1209830000000001</v>
      </c>
      <c r="L817">
        <v>367.33870000000002</v>
      </c>
      <c r="M817">
        <v>0.99985500000000005</v>
      </c>
      <c r="N817">
        <v>-1.414196E-2</v>
      </c>
      <c r="O817">
        <v>-9.4992010000000005E-3</v>
      </c>
      <c r="P817">
        <v>0.99749759999999998</v>
      </c>
      <c r="Q817">
        <v>-7.0701459999999994E-2</v>
      </c>
      <c r="R817">
        <v>-5.8530559999999895E-4</v>
      </c>
      <c r="S817">
        <v>3.0046080000000002</v>
      </c>
      <c r="T817">
        <v>-3.5365099999999997E-2</v>
      </c>
      <c r="U817">
        <v>-0.48770140000000001</v>
      </c>
      <c r="V817">
        <v>-8.8765649999999995E-3</v>
      </c>
      <c r="W817">
        <v>-5.6590700000000001E-2</v>
      </c>
      <c r="X817">
        <v>0.99835799999999997</v>
      </c>
      <c r="Y817">
        <v>0.15081349999999999</v>
      </c>
      <c r="Z817">
        <v>-1.977669E-3</v>
      </c>
      <c r="AA817">
        <v>0.98856029999999995</v>
      </c>
      <c r="AB817">
        <v>34</v>
      </c>
      <c r="AC817">
        <v>99.323400000000007</v>
      </c>
      <c r="AD817">
        <v>-1.1709829999999899</v>
      </c>
      <c r="AE817">
        <v>-16.147199999999899</v>
      </c>
      <c r="AF817">
        <v>15.2008257052491</v>
      </c>
      <c r="AG817">
        <v>-1.1709829999999899</v>
      </c>
      <c r="AH817">
        <v>99.458850324401794</v>
      </c>
      <c r="AI817">
        <v>90.666801012561706</v>
      </c>
      <c r="AJ817">
        <v>81.310423443157802</v>
      </c>
      <c r="AK817">
        <v>100.62057051696399</v>
      </c>
      <c r="AL817">
        <v>93.244141412941403</v>
      </c>
      <c r="AM817">
        <v>90.509412765656407</v>
      </c>
      <c r="AN817">
        <v>0.99999999844834397</v>
      </c>
    </row>
    <row r="818" spans="1:40" x14ac:dyDescent="0.25">
      <c r="A818" t="str">
        <f>"20190303153756387"</f>
        <v>20190303153756387</v>
      </c>
      <c r="B818" t="str">
        <f>"1551598676379536"</f>
        <v>1551598676379536</v>
      </c>
      <c r="C818" t="s">
        <v>40</v>
      </c>
      <c r="D818">
        <v>4.3071900000000003</v>
      </c>
      <c r="E818">
        <v>0.56132599999999999</v>
      </c>
      <c r="F818" t="s">
        <v>43</v>
      </c>
      <c r="G818">
        <v>-247.82769999999999</v>
      </c>
      <c r="H818">
        <v>-0.05</v>
      </c>
      <c r="I818">
        <v>351.69389999999999</v>
      </c>
      <c r="J818">
        <v>-343.88199999999898</v>
      </c>
      <c r="K818">
        <v>1.120965</v>
      </c>
      <c r="L818">
        <v>367.33699999999999</v>
      </c>
      <c r="M818">
        <v>0.9998572</v>
      </c>
      <c r="N818">
        <v>-1.4033530000000001E-2</v>
      </c>
      <c r="O818">
        <v>-9.4375480000000005E-3</v>
      </c>
      <c r="P818">
        <v>0.99747960000000002</v>
      </c>
      <c r="Q818">
        <v>-7.0958149999999998E-2</v>
      </c>
      <c r="R818">
        <v>-4.0171670000000001E-4</v>
      </c>
      <c r="S818">
        <v>3.0046390000000001</v>
      </c>
      <c r="T818">
        <v>-3.6560769999999999E-2</v>
      </c>
      <c r="U818">
        <v>-0.48846440000000002</v>
      </c>
      <c r="V818">
        <v>-8.9987250000000008E-3</v>
      </c>
      <c r="W818">
        <v>-5.6955909999999998E-2</v>
      </c>
      <c r="X818">
        <v>0.99833609999999995</v>
      </c>
      <c r="Y818">
        <v>0.15111640000000001</v>
      </c>
      <c r="Z818">
        <v>-1.9983219999999999E-3</v>
      </c>
      <c r="AA818">
        <v>0.98851389999999995</v>
      </c>
      <c r="AB818">
        <v>34</v>
      </c>
      <c r="AC818">
        <v>96.054299999999898</v>
      </c>
      <c r="AD818">
        <v>-1.170965</v>
      </c>
      <c r="AE818">
        <v>-15.6431</v>
      </c>
      <c r="AF818">
        <v>14.7336640242498</v>
      </c>
      <c r="AG818">
        <v>-1.170965</v>
      </c>
      <c r="AH818">
        <v>96.183743677718795</v>
      </c>
      <c r="AI818">
        <v>90.689457399352506</v>
      </c>
      <c r="AJ818">
        <v>81.290988155070806</v>
      </c>
      <c r="AK818">
        <v>97.312715317536004</v>
      </c>
      <c r="AL818">
        <v>93.265100332822399</v>
      </c>
      <c r="AM818">
        <v>90.516434295817504</v>
      </c>
      <c r="AN818">
        <v>0.99999996064938101</v>
      </c>
    </row>
    <row r="819" spans="1:40" x14ac:dyDescent="0.25">
      <c r="A819" t="str">
        <f>"20190303153756399"</f>
        <v>20190303153756399</v>
      </c>
      <c r="B819" t="str">
        <f>"1551598676390273"</f>
        <v>1551598676390273</v>
      </c>
      <c r="C819" t="s">
        <v>40</v>
      </c>
      <c r="D819">
        <v>4.249282</v>
      </c>
      <c r="E819">
        <v>0.5615599</v>
      </c>
      <c r="F819" t="s">
        <v>43</v>
      </c>
      <c r="G819">
        <v>-251.08709999999999</v>
      </c>
      <c r="H819">
        <v>-0.05</v>
      </c>
      <c r="I819">
        <v>352.23090000000002</v>
      </c>
      <c r="J819">
        <v>-343.71409999999997</v>
      </c>
      <c r="K819">
        <v>1.1209249999999999</v>
      </c>
      <c r="L819">
        <v>367.33550000000002</v>
      </c>
      <c r="M819">
        <v>0.99985999999999997</v>
      </c>
      <c r="N819">
        <v>-1.386973E-2</v>
      </c>
      <c r="O819">
        <v>-9.3775909999999994E-3</v>
      </c>
      <c r="P819">
        <v>0.9974904</v>
      </c>
      <c r="Q819">
        <v>-7.0805460000000001E-2</v>
      </c>
      <c r="R819">
        <v>-2.4447709999999998E-4</v>
      </c>
      <c r="S819">
        <v>3.0047000000000001</v>
      </c>
      <c r="T819">
        <v>-3.7915829999999998E-2</v>
      </c>
      <c r="U819">
        <v>-0.48913570000000001</v>
      </c>
      <c r="V819">
        <v>-9.0963080000000009E-3</v>
      </c>
      <c r="W819">
        <v>-5.6966620000000003E-2</v>
      </c>
      <c r="X819">
        <v>0.99833459999999996</v>
      </c>
      <c r="Y819">
        <v>0.15138650000000001</v>
      </c>
      <c r="Z819">
        <v>-2.0174400000000001E-3</v>
      </c>
      <c r="AA819">
        <v>0.98847260000000003</v>
      </c>
      <c r="AB819">
        <v>34</v>
      </c>
      <c r="AC819">
        <v>92.626999999999896</v>
      </c>
      <c r="AD819">
        <v>-1.170925</v>
      </c>
      <c r="AE819">
        <v>-15.1046</v>
      </c>
      <c r="AF819">
        <v>14.233018621895001</v>
      </c>
      <c r="AG819">
        <v>-1.170925</v>
      </c>
      <c r="AH819">
        <v>92.750146956740494</v>
      </c>
      <c r="AI819">
        <v>90.714924751957497</v>
      </c>
      <c r="AJ819">
        <v>81.275705253198296</v>
      </c>
      <c r="AK819">
        <v>93.8431651477282</v>
      </c>
      <c r="AL819">
        <v>93.265714983495599</v>
      </c>
      <c r="AM819">
        <v>90.522035032778305</v>
      </c>
      <c r="AN819">
        <v>0.99999995608530601</v>
      </c>
    </row>
    <row r="820" spans="1:40" x14ac:dyDescent="0.25">
      <c r="A820" t="str">
        <f>"20190303153756409"</f>
        <v>20190303153756409</v>
      </c>
      <c r="B820" t="str">
        <f>"1551598676400033"</f>
        <v>1551598676400033</v>
      </c>
      <c r="C820" t="s">
        <v>40</v>
      </c>
      <c r="D820">
        <v>4.276046</v>
      </c>
      <c r="E820">
        <v>0.56174169999999901</v>
      </c>
      <c r="F820" t="s">
        <v>43</v>
      </c>
      <c r="G820">
        <v>-248.05529999999999</v>
      </c>
      <c r="H820">
        <v>-0.05</v>
      </c>
      <c r="I820">
        <v>351.72980000000001</v>
      </c>
      <c r="J820">
        <v>-343.55399999999997</v>
      </c>
      <c r="K820">
        <v>1.1208929999999999</v>
      </c>
      <c r="L820">
        <v>367.33409999999998</v>
      </c>
      <c r="M820">
        <v>0.99986260000000005</v>
      </c>
      <c r="N820">
        <v>-1.3704569999999999E-2</v>
      </c>
      <c r="O820">
        <v>-9.3201429999999995E-3</v>
      </c>
      <c r="P820">
        <v>0.99749489999999996</v>
      </c>
      <c r="Q820">
        <v>-7.0739339999999998E-2</v>
      </c>
      <c r="R820">
        <v>-1.35601E-4</v>
      </c>
      <c r="S820">
        <v>3.0048219999999999</v>
      </c>
      <c r="T820">
        <v>-3.678095E-2</v>
      </c>
      <c r="U820">
        <v>-0.49020390000000003</v>
      </c>
      <c r="V820">
        <v>-9.1476679999999994E-3</v>
      </c>
      <c r="W820">
        <v>-5.7065320000000003E-2</v>
      </c>
      <c r="X820">
        <v>0.99832860000000001</v>
      </c>
      <c r="Y820">
        <v>0.15178029999999901</v>
      </c>
      <c r="Z820">
        <v>-1.9834269999999998E-3</v>
      </c>
      <c r="AA820">
        <v>0.98841230000000002</v>
      </c>
      <c r="AB820">
        <v>34</v>
      </c>
      <c r="AC820">
        <v>95.498699999999999</v>
      </c>
      <c r="AD820">
        <v>-1.170893</v>
      </c>
      <c r="AE820">
        <v>-15.604299999999901</v>
      </c>
      <c r="AF820">
        <v>14.7113229310647</v>
      </c>
      <c r="AG820">
        <v>-1.170893</v>
      </c>
      <c r="AH820">
        <v>95.625997924524597</v>
      </c>
      <c r="AI820">
        <v>90.693367072070203</v>
      </c>
      <c r="AJ820">
        <v>81.254053751163497</v>
      </c>
      <c r="AK820">
        <v>96.758077140157695</v>
      </c>
      <c r="AL820">
        <v>93.271378944387806</v>
      </c>
      <c r="AM820">
        <v>90.524985561899697</v>
      </c>
      <c r="AN820">
        <v>1.00000006207724</v>
      </c>
    </row>
    <row r="821" spans="1:40" x14ac:dyDescent="0.25">
      <c r="A821" t="str">
        <f>"20190303153756419"</f>
        <v>20190303153756419</v>
      </c>
      <c r="B821" t="str">
        <f>"1551598676409793"</f>
        <v>1551598676409793</v>
      </c>
      <c r="C821" t="s">
        <v>40</v>
      </c>
      <c r="D821">
        <v>4.2815120000000002</v>
      </c>
      <c r="E821">
        <v>0.56192640000000005</v>
      </c>
      <c r="F821" t="s">
        <v>43</v>
      </c>
      <c r="G821">
        <v>-246.30789999999999</v>
      </c>
      <c r="H821">
        <v>-0.05</v>
      </c>
      <c r="I821">
        <v>351.43439999999998</v>
      </c>
      <c r="J821">
        <v>-343.38900000000001</v>
      </c>
      <c r="K821">
        <v>1.120835</v>
      </c>
      <c r="L821">
        <v>367.33260000000001</v>
      </c>
      <c r="M821">
        <v>0.9998669</v>
      </c>
      <c r="N821">
        <v>-1.344279E-2</v>
      </c>
      <c r="O821">
        <v>-9.2581529999999999E-3</v>
      </c>
      <c r="P821">
        <v>0.99748479999999995</v>
      </c>
      <c r="Q821">
        <v>-7.0883050000000003E-2</v>
      </c>
      <c r="R821">
        <v>-1.7978659999999999E-4</v>
      </c>
      <c r="S821">
        <v>3.0049130000000002</v>
      </c>
      <c r="T821">
        <v>-3.6180730000000001E-2</v>
      </c>
      <c r="U821">
        <v>-0.49130249999999998</v>
      </c>
      <c r="V821">
        <v>-9.0422560000000003E-3</v>
      </c>
      <c r="W821">
        <v>-5.7470399999999998E-2</v>
      </c>
      <c r="X821">
        <v>0.99830629999999998</v>
      </c>
      <c r="Y821">
        <v>0.15218960000000001</v>
      </c>
      <c r="Z821">
        <v>-1.952896E-3</v>
      </c>
      <c r="AA821">
        <v>0.98834940000000004</v>
      </c>
      <c r="AB821">
        <v>34</v>
      </c>
      <c r="AC821">
        <v>97.081100000000006</v>
      </c>
      <c r="AD821">
        <v>-1.1708350000000001</v>
      </c>
      <c r="AE821">
        <v>-15.898199999999999</v>
      </c>
      <c r="AF821">
        <v>14.9965214121349</v>
      </c>
      <c r="AG821">
        <v>-1.1708350000000001</v>
      </c>
      <c r="AH821">
        <v>97.210369607576396</v>
      </c>
      <c r="AI821">
        <v>90.681989841637304</v>
      </c>
      <c r="AJ821">
        <v>81.230186559740105</v>
      </c>
      <c r="AK821">
        <v>98.3672835260965</v>
      </c>
      <c r="AL821">
        <v>93.294626546455902</v>
      </c>
      <c r="AM821">
        <v>90.5189478809436</v>
      </c>
      <c r="AN821">
        <v>1.0000000389446999</v>
      </c>
    </row>
    <row r="822" spans="1:40" x14ac:dyDescent="0.25">
      <c r="A822" t="str">
        <f>"20190303153756431"</f>
        <v>20190303153756431</v>
      </c>
      <c r="B822" t="str">
        <f>"1551598676419553"</f>
        <v>1551598676419553</v>
      </c>
      <c r="C822" t="s">
        <v>40</v>
      </c>
      <c r="D822">
        <v>4.2806540000000002</v>
      </c>
      <c r="E822">
        <v>0.56207510000000005</v>
      </c>
      <c r="F822" t="s">
        <v>43</v>
      </c>
      <c r="G822">
        <v>-245.5839</v>
      </c>
      <c r="H822">
        <v>-0.05</v>
      </c>
      <c r="I822">
        <v>351.28680000000003</v>
      </c>
      <c r="J822">
        <v>-343.21940000000001</v>
      </c>
      <c r="K822">
        <v>1.120771</v>
      </c>
      <c r="L822">
        <v>367.33109999999999</v>
      </c>
      <c r="M822">
        <v>0.99987130000000002</v>
      </c>
      <c r="N822">
        <v>-1.315644E-2</v>
      </c>
      <c r="O822">
        <v>-9.1943679999999996E-3</v>
      </c>
      <c r="P822">
        <v>0.99746610000000002</v>
      </c>
      <c r="Q822">
        <v>-7.1147020000000005E-2</v>
      </c>
      <c r="R822">
        <v>-2.9095519999999998E-4</v>
      </c>
      <c r="S822">
        <v>3.0049130000000002</v>
      </c>
      <c r="T822">
        <v>-3.5972120000000003E-2</v>
      </c>
      <c r="U822">
        <v>-0.492981</v>
      </c>
      <c r="V822">
        <v>-8.8677440000000003E-3</v>
      </c>
      <c r="W822">
        <v>-5.8020339999999997E-2</v>
      </c>
      <c r="X822">
        <v>0.99827600000000005</v>
      </c>
      <c r="Y822">
        <v>0.1527907</v>
      </c>
      <c r="Z822">
        <v>-1.931196E-3</v>
      </c>
      <c r="AA822">
        <v>0.98825669999999999</v>
      </c>
      <c r="AB822">
        <v>34</v>
      </c>
      <c r="AC822">
        <v>97.635499999999993</v>
      </c>
      <c r="AD822">
        <v>-1.170771</v>
      </c>
      <c r="AE822">
        <v>-16.0442999999999</v>
      </c>
      <c r="AF822">
        <v>15.143727135794901</v>
      </c>
      <c r="AG822">
        <v>-1.170771</v>
      </c>
      <c r="AH822">
        <v>97.765214249924895</v>
      </c>
      <c r="AI822">
        <v>90.678018153218602</v>
      </c>
      <c r="AJ822">
        <v>81.194922090257904</v>
      </c>
      <c r="AK822">
        <v>98.938062916309306</v>
      </c>
      <c r="AL822">
        <v>93.326188634020497</v>
      </c>
      <c r="AM822">
        <v>90.5089483685273</v>
      </c>
      <c r="AN822">
        <v>0.99999998445668203</v>
      </c>
    </row>
    <row r="823" spans="1:40" x14ac:dyDescent="0.25">
      <c r="A823" t="str">
        <f>"20190303153756442"</f>
        <v>20190303153756442</v>
      </c>
      <c r="B823" t="str">
        <f>"1551598676440049"</f>
        <v>1551598676440049</v>
      </c>
      <c r="C823" t="s">
        <v>40</v>
      </c>
      <c r="D823">
        <v>4.2437209999999999</v>
      </c>
      <c r="E823">
        <v>0.56239910000000004</v>
      </c>
      <c r="F823" t="s">
        <v>43</v>
      </c>
      <c r="G823">
        <v>-247.60319999999999</v>
      </c>
      <c r="H823">
        <v>-0.05</v>
      </c>
      <c r="I823">
        <v>351.59769999999997</v>
      </c>
      <c r="J823">
        <v>-343.04559999999998</v>
      </c>
      <c r="K823">
        <v>1.1206910000000001</v>
      </c>
      <c r="L823">
        <v>367.3295</v>
      </c>
      <c r="M823">
        <v>0.99987669999999995</v>
      </c>
      <c r="N823">
        <v>-1.2784129999999999E-2</v>
      </c>
      <c r="O823">
        <v>-9.1287610000000009E-3</v>
      </c>
      <c r="P823">
        <v>0.99746270000000004</v>
      </c>
      <c r="Q823">
        <v>-7.1191580000000004E-2</v>
      </c>
      <c r="R823">
        <v>-6.9329449999999996E-4</v>
      </c>
      <c r="S823">
        <v>3.004883</v>
      </c>
      <c r="T823">
        <v>-3.6793230000000003E-2</v>
      </c>
      <c r="U823">
        <v>-0.49444579999999999</v>
      </c>
      <c r="V823">
        <v>-8.4000930000000008E-3</v>
      </c>
      <c r="W823">
        <v>-5.8436399999999999E-2</v>
      </c>
      <c r="X823">
        <v>0.99825580000000003</v>
      </c>
      <c r="Y823">
        <v>0.15332570000000001</v>
      </c>
      <c r="Z823">
        <v>-1.9240699999999999E-3</v>
      </c>
      <c r="AA823">
        <v>0.98817379999999999</v>
      </c>
      <c r="AB823">
        <v>35</v>
      </c>
      <c r="AC823">
        <v>95.442400000000006</v>
      </c>
      <c r="AD823">
        <v>-1.1706909999999999</v>
      </c>
      <c r="AE823">
        <v>-15.7318</v>
      </c>
      <c r="AF823">
        <v>14.8576261420185</v>
      </c>
      <c r="AG823">
        <v>-1.1706909999999999</v>
      </c>
      <c r="AH823">
        <v>95.568047807340506</v>
      </c>
      <c r="AI823">
        <v>90.693497661837796</v>
      </c>
      <c r="AJ823">
        <v>81.163169666059105</v>
      </c>
      <c r="AK823">
        <v>96.723168546628898</v>
      </c>
      <c r="AL823">
        <v>93.350067552312098</v>
      </c>
      <c r="AM823">
        <v>90.482119429828003</v>
      </c>
      <c r="AN823">
        <v>1.0000000083205001</v>
      </c>
    </row>
    <row r="824" spans="1:40" x14ac:dyDescent="0.25">
      <c r="A824" t="str">
        <f>"20190303153756453"</f>
        <v>20190303153756453</v>
      </c>
      <c r="B824" t="str">
        <f>"1551598676449809"</f>
        <v>1551598676449809</v>
      </c>
      <c r="C824" t="s">
        <v>40</v>
      </c>
      <c r="D824">
        <v>4.2542949999999999</v>
      </c>
      <c r="E824">
        <v>0.56248989999999999</v>
      </c>
      <c r="F824" t="s">
        <v>43</v>
      </c>
      <c r="G824">
        <v>-247.69460000000001</v>
      </c>
      <c r="H824">
        <v>-0.05</v>
      </c>
      <c r="I824">
        <v>351.50850000000003</v>
      </c>
      <c r="J824">
        <v>-342.88209999999998</v>
      </c>
      <c r="K824">
        <v>1.1206119999999999</v>
      </c>
      <c r="L824">
        <v>367.32810000000001</v>
      </c>
      <c r="M824">
        <v>0.99988200000000005</v>
      </c>
      <c r="N824">
        <v>-1.240698E-2</v>
      </c>
      <c r="O824">
        <v>-9.0672349999999999E-3</v>
      </c>
      <c r="P824">
        <v>0.99747969999999997</v>
      </c>
      <c r="Q824">
        <v>-7.0944019999999997E-2</v>
      </c>
      <c r="R824">
        <v>-1.1394389999999999E-3</v>
      </c>
      <c r="S824">
        <v>3.0046080000000002</v>
      </c>
      <c r="T824">
        <v>-3.6889669999999999E-2</v>
      </c>
      <c r="U824">
        <v>-0.49853520000000001</v>
      </c>
      <c r="V824">
        <v>-7.8926109999999904E-3</v>
      </c>
      <c r="W824">
        <v>-5.8564989999999997E-2</v>
      </c>
      <c r="X824">
        <v>0.99825240000000004</v>
      </c>
      <c r="Y824">
        <v>0.15471009999999999</v>
      </c>
      <c r="Z824">
        <v>-1.9108440000000001E-3</v>
      </c>
      <c r="AA824">
        <v>0.98795809999999995</v>
      </c>
      <c r="AB824">
        <v>35</v>
      </c>
      <c r="AC824">
        <v>95.187499999999901</v>
      </c>
      <c r="AD824">
        <v>-1.170612</v>
      </c>
      <c r="AE824">
        <v>-15.8195999999999</v>
      </c>
      <c r="AF824">
        <v>14.9535949942771</v>
      </c>
      <c r="AG824">
        <v>-1.170612</v>
      </c>
      <c r="AH824">
        <v>95.313009800154802</v>
      </c>
      <c r="AI824">
        <v>90.695155416052501</v>
      </c>
      <c r="AJ824">
        <v>81.083585988013994</v>
      </c>
      <c r="AK824">
        <v>96.486010244344797</v>
      </c>
      <c r="AL824">
        <v>93.357447875067706</v>
      </c>
      <c r="AM824">
        <v>90.452995532123694</v>
      </c>
      <c r="AN824">
        <v>1.00000000273392</v>
      </c>
    </row>
    <row r="825" spans="1:40" x14ac:dyDescent="0.25">
      <c r="A825" t="str">
        <f>"20190303153756465"</f>
        <v>20190303153756465</v>
      </c>
      <c r="B825" t="str">
        <f>"1551598676459568"</f>
        <v>1551598676459568</v>
      </c>
      <c r="C825" t="s">
        <v>40</v>
      </c>
      <c r="D825">
        <v>4.2316320000000003</v>
      </c>
      <c r="E825">
        <v>0.56264569999999903</v>
      </c>
      <c r="F825" t="s">
        <v>43</v>
      </c>
      <c r="G825">
        <v>-243.30170000000001</v>
      </c>
      <c r="H825">
        <v>-0.05</v>
      </c>
      <c r="I825">
        <v>350.74189999999999</v>
      </c>
      <c r="J825">
        <v>-342.68610000000001</v>
      </c>
      <c r="K825">
        <v>1.120512</v>
      </c>
      <c r="L825">
        <v>367.3263</v>
      </c>
      <c r="M825">
        <v>0.99988889999999997</v>
      </c>
      <c r="N825">
        <v>-1.189688E-2</v>
      </c>
      <c r="O825">
        <v>-8.9942679999999997E-3</v>
      </c>
      <c r="P825">
        <v>0.9974961</v>
      </c>
      <c r="Q825">
        <v>-7.0707019999999995E-2</v>
      </c>
      <c r="R825">
        <v>-1.55155299999999E-3</v>
      </c>
      <c r="S825">
        <v>3.004486</v>
      </c>
      <c r="T825">
        <v>-3.5319089999999997E-2</v>
      </c>
      <c r="U825">
        <v>-0.50042719999999996</v>
      </c>
      <c r="V825">
        <v>-7.4083939999999996E-3</v>
      </c>
      <c r="W825">
        <v>-5.8836840000000001E-2</v>
      </c>
      <c r="X825">
        <v>0.99824009999999996</v>
      </c>
      <c r="Y825">
        <v>0.15539600000000001</v>
      </c>
      <c r="Z825">
        <v>-1.8391919999999999E-3</v>
      </c>
      <c r="AA825">
        <v>0.98785049999999996</v>
      </c>
      <c r="AB825">
        <v>35</v>
      </c>
      <c r="AC825">
        <v>99.384399999999999</v>
      </c>
      <c r="AD825">
        <v>-1.170512</v>
      </c>
      <c r="AE825">
        <v>-16.584399999999999</v>
      </c>
      <c r="AF825">
        <v>15.6876588746574</v>
      </c>
      <c r="AG825">
        <v>-1.170512</v>
      </c>
      <c r="AH825">
        <v>99.516124340083394</v>
      </c>
      <c r="AI825">
        <v>90.665664381411105</v>
      </c>
      <c r="AJ825">
        <v>81.041649641097493</v>
      </c>
      <c r="AK825">
        <v>100.75183245470301</v>
      </c>
      <c r="AL825">
        <v>93.373050722634403</v>
      </c>
      <c r="AM825">
        <v>90.425210243955704</v>
      </c>
      <c r="AN825">
        <v>0.99999997764542703</v>
      </c>
    </row>
    <row r="826" spans="1:40" x14ac:dyDescent="0.25">
      <c r="A826" t="str">
        <f>"20190303153756477"</f>
        <v>20190303153756477</v>
      </c>
      <c r="B826" t="str">
        <f>"1551598676470305"</f>
        <v>1551598676470305</v>
      </c>
      <c r="C826" t="s">
        <v>40</v>
      </c>
      <c r="D826">
        <v>4.2527379999999999</v>
      </c>
      <c r="E826">
        <v>0.56270290000000001</v>
      </c>
      <c r="F826" t="s">
        <v>43</v>
      </c>
      <c r="G826">
        <v>-239.39599999999999</v>
      </c>
      <c r="H826">
        <v>-0.05</v>
      </c>
      <c r="I826">
        <v>350.03519999999997</v>
      </c>
      <c r="J826">
        <v>-342.51830000000001</v>
      </c>
      <c r="K826">
        <v>1.1204179999999999</v>
      </c>
      <c r="L826">
        <v>367.32479999999998</v>
      </c>
      <c r="M826">
        <v>0.99989490000000003</v>
      </c>
      <c r="N826">
        <v>-1.14389E-2</v>
      </c>
      <c r="O826">
        <v>-8.9327920000000002E-3</v>
      </c>
      <c r="P826">
        <v>0.99757739999999995</v>
      </c>
      <c r="Q826">
        <v>-6.9543789999999994E-2</v>
      </c>
      <c r="R826">
        <v>-1.8757839999999999E-3</v>
      </c>
      <c r="S826">
        <v>3.0043030000000002</v>
      </c>
      <c r="T826">
        <v>-3.4045579999999999E-2</v>
      </c>
      <c r="U826">
        <v>-0.50292970000000004</v>
      </c>
      <c r="V826">
        <v>-7.0236040000000001E-3</v>
      </c>
      <c r="W826">
        <v>-5.812983E-2</v>
      </c>
      <c r="X826">
        <v>0.99828430000000001</v>
      </c>
      <c r="Y826">
        <v>0.1562684</v>
      </c>
      <c r="Z826">
        <v>-1.780317E-3</v>
      </c>
      <c r="AA826">
        <v>0.98771299999999995</v>
      </c>
      <c r="AB826">
        <v>35</v>
      </c>
      <c r="AC826">
        <v>103.1223</v>
      </c>
      <c r="AD826">
        <v>-1.170418</v>
      </c>
      <c r="AE826">
        <v>-17.2896</v>
      </c>
      <c r="AF826">
        <v>16.365629419014301</v>
      </c>
      <c r="AG826">
        <v>-1.170418</v>
      </c>
      <c r="AH826">
        <v>103.259701517168</v>
      </c>
      <c r="AI826">
        <v>90.641397790115803</v>
      </c>
      <c r="AJ826">
        <v>80.994100345543004</v>
      </c>
      <c r="AK826">
        <v>104.55510347175699</v>
      </c>
      <c r="AL826">
        <v>93.332472583497307</v>
      </c>
      <c r="AM826">
        <v>90.403107838412296</v>
      </c>
      <c r="AN826">
        <v>0.99999997588773304</v>
      </c>
    </row>
    <row r="827" spans="1:40" x14ac:dyDescent="0.25">
      <c r="A827" t="str">
        <f>"20190303153756486"</f>
        <v>20190303153756486</v>
      </c>
      <c r="B827" t="str">
        <f>"1551598676480065"</f>
        <v>1551598676480065</v>
      </c>
      <c r="C827" t="s">
        <v>40</v>
      </c>
      <c r="D827">
        <v>4.3364799999999999</v>
      </c>
      <c r="E827">
        <v>0.56260889999999997</v>
      </c>
      <c r="F827" t="s">
        <v>47</v>
      </c>
      <c r="G827">
        <v>-230.4024</v>
      </c>
      <c r="H827">
        <v>1.5910870000000001E-2</v>
      </c>
      <c r="I827">
        <v>348.51170000000002</v>
      </c>
      <c r="J827">
        <v>-342.34530000000001</v>
      </c>
      <c r="K827">
        <v>1.120333</v>
      </c>
      <c r="L827">
        <v>367.32339999999999</v>
      </c>
      <c r="M827">
        <v>0.99990060000000003</v>
      </c>
      <c r="N827">
        <v>-1.095486E-2</v>
      </c>
      <c r="O827">
        <v>-8.8696039999999997E-3</v>
      </c>
      <c r="P827">
        <v>0.99762790000000001</v>
      </c>
      <c r="Q827">
        <v>-6.8801509999999996E-2</v>
      </c>
      <c r="R827">
        <v>-2.232497E-3</v>
      </c>
      <c r="S827">
        <v>3.0042719999999998</v>
      </c>
      <c r="T827">
        <v>-2.959442E-2</v>
      </c>
      <c r="U827">
        <v>-0.50411989999999995</v>
      </c>
      <c r="V827">
        <v>-6.6043300000000003E-3</v>
      </c>
      <c r="W827">
        <v>-5.7870159999999997E-2</v>
      </c>
      <c r="X827">
        <v>0.99830229999999998</v>
      </c>
      <c r="Y827">
        <v>0.1567172</v>
      </c>
      <c r="Z827">
        <v>-1.64071799999999E-3</v>
      </c>
      <c r="AA827">
        <v>0.98764220000000003</v>
      </c>
      <c r="AB827">
        <v>35</v>
      </c>
      <c r="AC827">
        <v>111.94289999999999</v>
      </c>
      <c r="AD827">
        <v>-1.1044221299999999</v>
      </c>
      <c r="AE827">
        <v>-18.811699999999899</v>
      </c>
      <c r="AF827">
        <v>17.816324551490698</v>
      </c>
      <c r="AG827">
        <v>-1.1044221299999999</v>
      </c>
      <c r="AH827">
        <v>112.094747185792</v>
      </c>
      <c r="AI827">
        <v>90.557495491111993</v>
      </c>
      <c r="AJ827">
        <v>80.968957671022594</v>
      </c>
      <c r="AK827">
        <v>113.50715182494901</v>
      </c>
      <c r="AL827">
        <v>93.317569328878704</v>
      </c>
      <c r="AM827">
        <v>90.379038208512299</v>
      </c>
      <c r="AN827">
        <v>1.00000002738923</v>
      </c>
    </row>
    <row r="828" spans="1:40" x14ac:dyDescent="0.25">
      <c r="A828" t="str">
        <f>"20190303153756497"</f>
        <v>20190303153756497</v>
      </c>
      <c r="B828" t="str">
        <f>"1551598676489825"</f>
        <v>1551598676489825</v>
      </c>
      <c r="C828" t="s">
        <v>40</v>
      </c>
      <c r="D828">
        <v>4.2332799999999997</v>
      </c>
      <c r="E828">
        <v>0.5627143</v>
      </c>
      <c r="F828" t="s">
        <v>47</v>
      </c>
      <c r="G828">
        <v>-230.32859999999999</v>
      </c>
      <c r="H828">
        <v>4.0591960000000003E-2</v>
      </c>
      <c r="I828">
        <v>348.51170000000002</v>
      </c>
      <c r="J828">
        <v>-342.18419999999998</v>
      </c>
      <c r="K828">
        <v>1.120261</v>
      </c>
      <c r="L828">
        <v>367.322</v>
      </c>
      <c r="M828">
        <v>0.99990610000000002</v>
      </c>
      <c r="N828">
        <v>-1.050484E-2</v>
      </c>
      <c r="O828">
        <v>-8.8123030000000005E-3</v>
      </c>
      <c r="P828">
        <v>0.99766469999999896</v>
      </c>
      <c r="Q828">
        <v>-6.8256269999999994E-2</v>
      </c>
      <c r="R828">
        <v>-2.5067959999999999E-3</v>
      </c>
      <c r="S828">
        <v>3.0040279999999999</v>
      </c>
      <c r="T828">
        <v>-2.8954029999999999E-2</v>
      </c>
      <c r="U828">
        <v>-0.50448609999999905</v>
      </c>
      <c r="V828">
        <v>-6.2730479999999998E-3</v>
      </c>
      <c r="W828">
        <v>-5.7773720000000001E-2</v>
      </c>
      <c r="X828">
        <v>0.99831000000000003</v>
      </c>
      <c r="Y828">
        <v>0.15690479999999901</v>
      </c>
      <c r="Z828">
        <v>-1.5884250000000001E-3</v>
      </c>
      <c r="AA828">
        <v>0.98761239999999995</v>
      </c>
      <c r="AB828">
        <v>35</v>
      </c>
      <c r="AC828">
        <v>111.855599999999</v>
      </c>
      <c r="AD828">
        <v>-1.07966904</v>
      </c>
      <c r="AE828">
        <v>-18.810299999999899</v>
      </c>
      <c r="AF828">
        <v>17.822195019784299</v>
      </c>
      <c r="AG828">
        <v>-1.07966904</v>
      </c>
      <c r="AH828">
        <v>112.00687902298201</v>
      </c>
      <c r="AI828">
        <v>90.545413810554294</v>
      </c>
      <c r="AJ828">
        <v>80.959060976337994</v>
      </c>
      <c r="AK828">
        <v>113.42106184050699</v>
      </c>
      <c r="AL828">
        <v>93.312034538048906</v>
      </c>
      <c r="AM828">
        <v>90.360022883375294</v>
      </c>
      <c r="AN828">
        <v>1.00000000497692</v>
      </c>
    </row>
    <row r="829" spans="1:40" x14ac:dyDescent="0.25">
      <c r="A829" t="str">
        <f>"20190303153756507"</f>
        <v>20190303153756507</v>
      </c>
      <c r="B829" t="str">
        <f>"1551598676499585"</f>
        <v>1551598676499585</v>
      </c>
      <c r="C829" t="s">
        <v>40</v>
      </c>
      <c r="D829">
        <v>4.23264</v>
      </c>
      <c r="E829">
        <v>0.56283070000000002</v>
      </c>
      <c r="F829" t="s">
        <v>47</v>
      </c>
      <c r="G829">
        <v>-230.51140000000001</v>
      </c>
      <c r="H829">
        <v>0.12544230000000001</v>
      </c>
      <c r="I829">
        <v>348.51170000000002</v>
      </c>
      <c r="J829">
        <v>-342.0213</v>
      </c>
      <c r="K829">
        <v>1.1201829999999999</v>
      </c>
      <c r="L829">
        <v>367.32060000000001</v>
      </c>
      <c r="M829">
        <v>0.99991129999999995</v>
      </c>
      <c r="N829">
        <v>-1.004965E-2</v>
      </c>
      <c r="O829">
        <v>-8.7544790000000008E-3</v>
      </c>
      <c r="P829">
        <v>0.99769750000000001</v>
      </c>
      <c r="Q829">
        <v>-6.7779030000000004E-2</v>
      </c>
      <c r="R829">
        <v>-2.4600899999999998E-3</v>
      </c>
      <c r="S829">
        <v>3.0039060000000002</v>
      </c>
      <c r="T829">
        <v>-2.6757719999999999E-2</v>
      </c>
      <c r="U829">
        <v>-0.50598140000000003</v>
      </c>
      <c r="V829">
        <v>-6.2625850000000002E-3</v>
      </c>
      <c r="W829">
        <v>-5.7750629999999997E-2</v>
      </c>
      <c r="X829">
        <v>0.99831139999999996</v>
      </c>
      <c r="Y829">
        <v>0.15744849999999999</v>
      </c>
      <c r="Z829">
        <v>-1.5030309999999999E-3</v>
      </c>
      <c r="AA829">
        <v>0.98752609999999996</v>
      </c>
      <c r="AB829">
        <v>35</v>
      </c>
      <c r="AC829">
        <v>111.5099</v>
      </c>
      <c r="AD829">
        <v>-0.99474070000000003</v>
      </c>
      <c r="AE829">
        <v>-18.808899999999898</v>
      </c>
      <c r="AF829">
        <v>17.830539223975801</v>
      </c>
      <c r="AG829">
        <v>-0.99474070000000003</v>
      </c>
      <c r="AH829">
        <v>111.661656801931</v>
      </c>
      <c r="AI829">
        <v>90.5040221911798</v>
      </c>
      <c r="AJ829">
        <v>80.927397889864096</v>
      </c>
      <c r="AK829">
        <v>113.080693479613</v>
      </c>
      <c r="AL829">
        <v>93.310709371509404</v>
      </c>
      <c r="AM829">
        <v>90.359421902429006</v>
      </c>
      <c r="AN829">
        <v>1.00000000330311</v>
      </c>
    </row>
    <row r="830" spans="1:40" x14ac:dyDescent="0.25">
      <c r="A830" t="str">
        <f>"20190303153756520"</f>
        <v>20190303153756520</v>
      </c>
      <c r="B830" t="str">
        <f>"1551598676510322"</f>
        <v>1551598676510322</v>
      </c>
      <c r="C830" t="s">
        <v>40</v>
      </c>
      <c r="D830">
        <v>4.2343440000000001</v>
      </c>
      <c r="E830">
        <v>0.56292949999999997</v>
      </c>
      <c r="F830" t="s">
        <v>47</v>
      </c>
      <c r="G830">
        <v>-230.5762</v>
      </c>
      <c r="H830">
        <v>0.16865139999999901</v>
      </c>
      <c r="I830">
        <v>348.51170000000002</v>
      </c>
      <c r="J830">
        <v>-341.83850000000001</v>
      </c>
      <c r="K830">
        <v>1.1201129999999999</v>
      </c>
      <c r="L830">
        <v>367.31900000000002</v>
      </c>
      <c r="M830">
        <v>0.99991660000000004</v>
      </c>
      <c r="N830">
        <v>-9.5561580000000004E-3</v>
      </c>
      <c r="O830">
        <v>-8.6916909999999997E-3</v>
      </c>
      <c r="P830">
        <v>0.9977087</v>
      </c>
      <c r="Q830">
        <v>-6.7612679999999994E-2</v>
      </c>
      <c r="R830">
        <v>-2.4122039999999998E-3</v>
      </c>
      <c r="S830">
        <v>3.0039669999999998</v>
      </c>
      <c r="T830">
        <v>-2.564609E-2</v>
      </c>
      <c r="U830">
        <v>-0.50698849999999995</v>
      </c>
      <c r="V830">
        <v>-6.2472339999999999E-3</v>
      </c>
      <c r="W830">
        <v>-5.8076870000000003E-2</v>
      </c>
      <c r="X830">
        <v>0.99829259999999997</v>
      </c>
      <c r="Y830">
        <v>0.15783029999999901</v>
      </c>
      <c r="Z830">
        <v>-1.4372810000000001E-3</v>
      </c>
      <c r="AA830">
        <v>0.98746520000000004</v>
      </c>
      <c r="AB830">
        <v>35</v>
      </c>
      <c r="AC830">
        <v>111.2623</v>
      </c>
      <c r="AD830">
        <v>-0.95146160000000002</v>
      </c>
      <c r="AE830">
        <v>-18.807300000000001</v>
      </c>
      <c r="AF830">
        <v>17.8382196189777</v>
      </c>
      <c r="AG830">
        <v>-0.95146160000000002</v>
      </c>
      <c r="AH830">
        <v>111.413650376074</v>
      </c>
      <c r="AI830">
        <v>90.483135414431004</v>
      </c>
      <c r="AJ830">
        <v>80.903688247587198</v>
      </c>
      <c r="AK830">
        <v>112.83664674419001</v>
      </c>
      <c r="AL830">
        <v>93.329432873568393</v>
      </c>
      <c r="AM830">
        <v>90.358547653707703</v>
      </c>
      <c r="AN830">
        <v>1.0000000329881999</v>
      </c>
    </row>
    <row r="831" spans="1:40" x14ac:dyDescent="0.25">
      <c r="A831" t="str">
        <f>"20190303153756535"</f>
        <v>20190303153756535</v>
      </c>
      <c r="B831" t="str">
        <f>"1551598676530127"</f>
        <v>1551598676530127</v>
      </c>
      <c r="C831" t="s">
        <v>40</v>
      </c>
      <c r="D831">
        <v>4.2213880000000001</v>
      </c>
      <c r="E831">
        <v>0.56316369999999905</v>
      </c>
      <c r="F831" t="s">
        <v>47</v>
      </c>
      <c r="G831">
        <v>-230.52350000000001</v>
      </c>
      <c r="H831">
        <v>0.21604899999999999</v>
      </c>
      <c r="I831">
        <v>348.51170000000002</v>
      </c>
      <c r="J831">
        <v>-341.5881</v>
      </c>
      <c r="K831">
        <v>1.120023</v>
      </c>
      <c r="L831">
        <v>367.31689999999998</v>
      </c>
      <c r="M831">
        <v>0.99992349999999997</v>
      </c>
      <c r="N831">
        <v>-8.8983009999999904E-3</v>
      </c>
      <c r="O831">
        <v>-8.6069709999999997E-3</v>
      </c>
      <c r="P831">
        <v>0.99772280000000002</v>
      </c>
      <c r="Q831">
        <v>-6.7406590000000002E-2</v>
      </c>
      <c r="R831">
        <v>-2.4452469999999998E-3</v>
      </c>
      <c r="S831">
        <v>3.0039669999999998</v>
      </c>
      <c r="T831">
        <v>-2.4395110000000001E-2</v>
      </c>
      <c r="U831">
        <v>-0.50753779999999904</v>
      </c>
      <c r="V831">
        <v>-6.1294940000000001E-3</v>
      </c>
      <c r="W831">
        <v>-5.852736E-2</v>
      </c>
      <c r="X831">
        <v>0.99826700000000002</v>
      </c>
      <c r="Y831">
        <v>0.1580908</v>
      </c>
      <c r="Z831">
        <v>-1.352429E-3</v>
      </c>
      <c r="AA831">
        <v>0.98742370000000002</v>
      </c>
      <c r="AB831">
        <v>35</v>
      </c>
      <c r="AC831">
        <v>111.064599999999</v>
      </c>
      <c r="AD831">
        <v>-0.90397399999999895</v>
      </c>
      <c r="AE831">
        <v>-18.8051999999999</v>
      </c>
      <c r="AF831">
        <v>17.847386506462399</v>
      </c>
      <c r="AG831">
        <v>-0.90397399999999895</v>
      </c>
      <c r="AH831">
        <v>111.215185721046</v>
      </c>
      <c r="AI831">
        <v>90.459815750615903</v>
      </c>
      <c r="AJ831">
        <v>80.883123798106993</v>
      </c>
      <c r="AK831">
        <v>112.64175029299901</v>
      </c>
      <c r="AL831">
        <v>93.355288096043296</v>
      </c>
      <c r="AM831">
        <v>90.351799391709704</v>
      </c>
      <c r="AN831">
        <v>1.00000001292713</v>
      </c>
    </row>
    <row r="832" spans="1:40" x14ac:dyDescent="0.25">
      <c r="A832" t="str">
        <f>"20190303153756548"</f>
        <v>20190303153756548</v>
      </c>
      <c r="B832" t="str">
        <f>"1551598676539886"</f>
        <v>1551598676539886</v>
      </c>
      <c r="C832" t="s">
        <v>40</v>
      </c>
      <c r="D832">
        <v>4.2899059999999896</v>
      </c>
      <c r="E832">
        <v>0.56315079999999995</v>
      </c>
      <c r="F832" t="s">
        <v>47</v>
      </c>
      <c r="G832">
        <v>-230.78970000000001</v>
      </c>
      <c r="H832">
        <v>0.26022509999999999</v>
      </c>
      <c r="I832">
        <v>348.51170000000002</v>
      </c>
      <c r="J832">
        <v>-341.37079999999997</v>
      </c>
      <c r="K832">
        <v>1.1199589999999999</v>
      </c>
      <c r="L832">
        <v>367.31509999999997</v>
      </c>
      <c r="M832">
        <v>0.99992879999999995</v>
      </c>
      <c r="N832">
        <v>-8.3481470000000002E-3</v>
      </c>
      <c r="O832">
        <v>-8.5347019999999999E-3</v>
      </c>
      <c r="P832">
        <v>0.99772110000000003</v>
      </c>
      <c r="Q832">
        <v>-6.7440070000000005E-2</v>
      </c>
      <c r="R832">
        <v>-2.1847770000000002E-3</v>
      </c>
      <c r="S832">
        <v>3.0040279999999999</v>
      </c>
      <c r="T832">
        <v>-2.330923E-2</v>
      </c>
      <c r="U832">
        <v>-0.50985720000000001</v>
      </c>
      <c r="V832">
        <v>-6.3182530000000002E-3</v>
      </c>
      <c r="W832">
        <v>-5.9110160000000002E-2</v>
      </c>
      <c r="X832">
        <v>0.99823150000000005</v>
      </c>
      <c r="Y832">
        <v>0.15890099999999999</v>
      </c>
      <c r="Z832">
        <v>-1.2851200000000001E-3</v>
      </c>
      <c r="AA832">
        <v>0.98729370000000005</v>
      </c>
      <c r="AB832">
        <v>35</v>
      </c>
      <c r="AC832">
        <v>110.581099999999</v>
      </c>
      <c r="AD832">
        <v>-0.85973389999999905</v>
      </c>
      <c r="AE832">
        <v>-18.8033999999999</v>
      </c>
      <c r="AF832">
        <v>17.857856451711701</v>
      </c>
      <c r="AG832">
        <v>-0.85973389999999905</v>
      </c>
      <c r="AH832">
        <v>110.73105407797701</v>
      </c>
      <c r="AI832">
        <v>90.439170549089994</v>
      </c>
      <c r="AJ832">
        <v>80.838657033185598</v>
      </c>
      <c r="AK832">
        <v>112.165094912136</v>
      </c>
      <c r="AL832">
        <v>93.388737932819794</v>
      </c>
      <c r="AM832">
        <v>90.362645735636903</v>
      </c>
      <c r="AN832">
        <v>1.00000002946422</v>
      </c>
    </row>
    <row r="833" spans="1:40" x14ac:dyDescent="0.25">
      <c r="A833" t="str">
        <f>"20190303153756565"</f>
        <v>20190303153756565</v>
      </c>
      <c r="B833" t="str">
        <f>"1551598676559406"</f>
        <v>1551598676559406</v>
      </c>
      <c r="C833" t="s">
        <v>40</v>
      </c>
      <c r="D833">
        <v>4.215147</v>
      </c>
      <c r="E833">
        <v>0.56327179999999999</v>
      </c>
      <c r="F833" t="s">
        <v>47</v>
      </c>
      <c r="G833">
        <v>-230.40379999999999</v>
      </c>
      <c r="H833">
        <v>0.19519210000000001</v>
      </c>
      <c r="I833">
        <v>348.51170000000002</v>
      </c>
      <c r="J833">
        <v>-341.12900000000002</v>
      </c>
      <c r="K833">
        <v>1.1198999999999999</v>
      </c>
      <c r="L833">
        <v>367.31310000000002</v>
      </c>
      <c r="M833">
        <v>0.99993410000000005</v>
      </c>
      <c r="N833">
        <v>-7.7807450000000004E-3</v>
      </c>
      <c r="O833">
        <v>-8.4565590000000006E-3</v>
      </c>
      <c r="P833">
        <v>0.99768539999999994</v>
      </c>
      <c r="Q833">
        <v>-6.7974930000000003E-2</v>
      </c>
      <c r="R833">
        <v>-1.8822940000000001E-3</v>
      </c>
      <c r="S833">
        <v>3.0040279999999999</v>
      </c>
      <c r="T833">
        <v>-2.5032519999999999E-2</v>
      </c>
      <c r="U833">
        <v>-0.50903319999999996</v>
      </c>
      <c r="V833">
        <v>-6.5415380000000004E-3</v>
      </c>
      <c r="W833">
        <v>-6.0211729999999998E-2</v>
      </c>
      <c r="X833">
        <v>0.99816419999999995</v>
      </c>
      <c r="Y833">
        <v>0.1587142</v>
      </c>
      <c r="Z833">
        <v>-1.273838E-3</v>
      </c>
      <c r="AA833">
        <v>0.98732379999999997</v>
      </c>
      <c r="AB833">
        <v>35</v>
      </c>
      <c r="AC833">
        <v>110.7252</v>
      </c>
      <c r="AD833">
        <v>-0.92470790000000003</v>
      </c>
      <c r="AE833">
        <v>-18.801400000000001</v>
      </c>
      <c r="AF833">
        <v>17.863134303014601</v>
      </c>
      <c r="AG833">
        <v>-0.92470790000000003</v>
      </c>
      <c r="AH833">
        <v>110.872724302945</v>
      </c>
      <c r="AI833">
        <v>90.471767417404706</v>
      </c>
      <c r="AJ833">
        <v>80.847506568398998</v>
      </c>
      <c r="AK833">
        <v>112.30631169344301</v>
      </c>
      <c r="AL833">
        <v>93.451965951107098</v>
      </c>
      <c r="AM833">
        <v>90.375486471295503</v>
      </c>
      <c r="AN833">
        <v>1.0000000071553099</v>
      </c>
    </row>
    <row r="834" spans="1:40" x14ac:dyDescent="0.25">
      <c r="A834" t="str">
        <f>"20190303153756577"</f>
        <v>20190303153756577</v>
      </c>
      <c r="B834" t="str">
        <f>"1551598676570142"</f>
        <v>1551598676570142</v>
      </c>
      <c r="C834" t="s">
        <v>40</v>
      </c>
      <c r="D834">
        <v>4.2894759999999996</v>
      </c>
      <c r="E834">
        <v>0.56325970000000003</v>
      </c>
      <c r="F834" t="s">
        <v>47</v>
      </c>
      <c r="G834">
        <v>-230.2012</v>
      </c>
      <c r="H834">
        <v>0.15146809999999999</v>
      </c>
      <c r="I834">
        <v>348.51170000000002</v>
      </c>
      <c r="J834">
        <v>-340.9058</v>
      </c>
      <c r="K834">
        <v>1.119856</v>
      </c>
      <c r="L834">
        <v>367.31119999999999</v>
      </c>
      <c r="M834">
        <v>0.99993840000000001</v>
      </c>
      <c r="N834">
        <v>-7.2883239999999997E-3</v>
      </c>
      <c r="O834">
        <v>-8.3850369999999997E-3</v>
      </c>
      <c r="P834">
        <v>0.99772760000000005</v>
      </c>
      <c r="Q834">
        <v>-6.7350640000000003E-2</v>
      </c>
      <c r="R834">
        <v>-1.9042449999999999E-3</v>
      </c>
      <c r="S834">
        <v>3.004181</v>
      </c>
      <c r="T834">
        <v>-2.6225209999999999E-2</v>
      </c>
      <c r="U834">
        <v>-0.50918580000000002</v>
      </c>
      <c r="V834">
        <v>-6.4487769999999897E-3</v>
      </c>
      <c r="W834">
        <v>-6.0078680000000002E-2</v>
      </c>
      <c r="X834">
        <v>0.99817279999999997</v>
      </c>
      <c r="Y834">
        <v>0.15882499999999999</v>
      </c>
      <c r="Z834">
        <v>-1.259252E-3</v>
      </c>
      <c r="AA834">
        <v>0.98730589999999996</v>
      </c>
      <c r="AB834">
        <v>36</v>
      </c>
      <c r="AC834">
        <v>110.7046</v>
      </c>
      <c r="AD834">
        <v>-0.96838789999999997</v>
      </c>
      <c r="AE834">
        <v>-18.799499999999899</v>
      </c>
      <c r="AF834">
        <v>17.8692233495259</v>
      </c>
      <c r="AG834">
        <v>-0.96838789999999997</v>
      </c>
      <c r="AH834">
        <v>110.850102288009</v>
      </c>
      <c r="AI834">
        <v>90.494145001548901</v>
      </c>
      <c r="AJ834">
        <v>80.842602776363606</v>
      </c>
      <c r="AK834">
        <v>112.28531558268099</v>
      </c>
      <c r="AL834">
        <v>93.444328992835395</v>
      </c>
      <c r="AM834">
        <v>90.370158918929604</v>
      </c>
      <c r="AN834">
        <v>0.99999998658758904</v>
      </c>
    </row>
    <row r="835" spans="1:40" x14ac:dyDescent="0.25">
      <c r="A835" t="str">
        <f>"20190303153756589"</f>
        <v>20190303153756589</v>
      </c>
      <c r="B835" t="str">
        <f>"1551598676579902"</f>
        <v>1551598676579902</v>
      </c>
      <c r="C835" t="s">
        <v>40</v>
      </c>
      <c r="D835">
        <v>4.2939249999999998</v>
      </c>
      <c r="E835">
        <v>0.56324099999999999</v>
      </c>
      <c r="F835" t="s">
        <v>47</v>
      </c>
      <c r="G835">
        <v>-229.93559999999999</v>
      </c>
      <c r="H835">
        <v>0.20411090000000001</v>
      </c>
      <c r="I835">
        <v>348.51170000000002</v>
      </c>
      <c r="J835">
        <v>-340.71679999999998</v>
      </c>
      <c r="K835">
        <v>1.1198239999999999</v>
      </c>
      <c r="L835">
        <v>367.30970000000002</v>
      </c>
      <c r="M835">
        <v>0.99994159999999999</v>
      </c>
      <c r="N835">
        <v>-6.8886040000000004E-3</v>
      </c>
      <c r="O835">
        <v>-8.3249069999999994E-3</v>
      </c>
      <c r="P835">
        <v>0.99777009999999999</v>
      </c>
      <c r="Q835">
        <v>-6.672372E-2</v>
      </c>
      <c r="R835">
        <v>-1.6897479999999901E-3</v>
      </c>
      <c r="S835">
        <v>3.004181</v>
      </c>
      <c r="T835">
        <v>-2.4788859999999999E-2</v>
      </c>
      <c r="U835">
        <v>-0.50894170000000005</v>
      </c>
      <c r="V835">
        <v>-6.6035570000000004E-3</v>
      </c>
      <c r="W835">
        <v>-5.9850500000000001E-2</v>
      </c>
      <c r="X835">
        <v>0.99818549999999995</v>
      </c>
      <c r="Y835">
        <v>0.15880749999999999</v>
      </c>
      <c r="Z835">
        <v>-1.1901839999999999E-3</v>
      </c>
      <c r="AA835">
        <v>0.98730890000000004</v>
      </c>
      <c r="AB835">
        <v>36</v>
      </c>
      <c r="AC835">
        <v>110.781199999999</v>
      </c>
      <c r="AD835">
        <v>-0.91571309999999995</v>
      </c>
      <c r="AE835">
        <v>-18.797999999999998</v>
      </c>
      <c r="AF835">
        <v>17.8738964066759</v>
      </c>
      <c r="AG835">
        <v>-0.91571309999999995</v>
      </c>
      <c r="AH835">
        <v>110.926489220454</v>
      </c>
      <c r="AI835">
        <v>90.466950840566994</v>
      </c>
      <c r="AJ835">
        <v>80.846449408586594</v>
      </c>
      <c r="AK835">
        <v>112.36102844854</v>
      </c>
      <c r="AL835">
        <v>93.431231658411704</v>
      </c>
      <c r="AM835">
        <v>90.379038191152603</v>
      </c>
      <c r="AN835">
        <v>0.99999999086277602</v>
      </c>
    </row>
    <row r="836" spans="1:40" x14ac:dyDescent="0.25">
      <c r="A836" t="str">
        <f>"20190303153756601"</f>
        <v>20190303153756601</v>
      </c>
      <c r="B836" t="str">
        <f>"1551598676589662"</f>
        <v>1551598676589662</v>
      </c>
      <c r="C836" t="s">
        <v>40</v>
      </c>
      <c r="D836">
        <v>4.289498</v>
      </c>
      <c r="E836">
        <v>0.56321189999999999</v>
      </c>
      <c r="F836" t="s">
        <v>47</v>
      </c>
      <c r="G836">
        <v>-229.6258</v>
      </c>
      <c r="H836">
        <v>0.24960299999999999</v>
      </c>
      <c r="I836">
        <v>348.51170000000002</v>
      </c>
      <c r="J836">
        <v>-340.53199999999998</v>
      </c>
      <c r="K836">
        <v>1.1197999999999999</v>
      </c>
      <c r="L836">
        <v>367.3082</v>
      </c>
      <c r="M836">
        <v>0.99994459999999996</v>
      </c>
      <c r="N836">
        <v>-6.5383029999999996E-3</v>
      </c>
      <c r="O836">
        <v>-8.2678690000000006E-3</v>
      </c>
      <c r="P836">
        <v>0.99782950000000004</v>
      </c>
      <c r="Q836">
        <v>-6.5830890000000003E-2</v>
      </c>
      <c r="R836">
        <v>-1.714059E-3</v>
      </c>
      <c r="S836">
        <v>3.0042719999999998</v>
      </c>
      <c r="T836">
        <v>-2.353156E-2</v>
      </c>
      <c r="U836">
        <v>-0.50836179999999997</v>
      </c>
      <c r="V836">
        <v>-6.5228530000000003E-3</v>
      </c>
      <c r="W836">
        <v>-5.9306959999999999E-2</v>
      </c>
      <c r="X836">
        <v>0.99821850000000001</v>
      </c>
      <c r="Y836">
        <v>0.1586746</v>
      </c>
      <c r="Z836">
        <v>-1.128839E-3</v>
      </c>
      <c r="AA836">
        <v>0.98733029999999999</v>
      </c>
      <c r="AB836">
        <v>36</v>
      </c>
      <c r="AC836">
        <v>110.906199999999</v>
      </c>
      <c r="AD836">
        <v>-0.870196999999999</v>
      </c>
      <c r="AE836">
        <v>-18.796499999999899</v>
      </c>
      <c r="AF836">
        <v>17.8778102386011</v>
      </c>
      <c r="AG836">
        <v>-0.870196999999999</v>
      </c>
      <c r="AH836">
        <v>111.05117361858299</v>
      </c>
      <c r="AI836">
        <v>90.443253643621802</v>
      </c>
      <c r="AJ836">
        <v>80.8545846994583</v>
      </c>
      <c r="AK836">
        <v>112.484383377475</v>
      </c>
      <c r="AL836">
        <v>93.4000335961356</v>
      </c>
      <c r="AM836">
        <v>90.374393610233795</v>
      </c>
      <c r="AN836">
        <v>1.0000000184289699</v>
      </c>
    </row>
    <row r="837" spans="1:40" x14ac:dyDescent="0.25">
      <c r="A837" t="str">
        <f>"20190303153756613"</f>
        <v>20190303153756613</v>
      </c>
      <c r="B837" t="str">
        <f>"1551598676610159"</f>
        <v>1551598676610159</v>
      </c>
      <c r="C837" t="s">
        <v>40</v>
      </c>
      <c r="D837">
        <v>4.207891</v>
      </c>
      <c r="E837">
        <v>0.56327729999999998</v>
      </c>
      <c r="F837" t="s">
        <v>47</v>
      </c>
      <c r="G837">
        <v>-229.37219999999999</v>
      </c>
      <c r="H837">
        <v>0.31797389999999998</v>
      </c>
      <c r="I837">
        <v>348.51170000000002</v>
      </c>
      <c r="J837">
        <v>-340.35680000000002</v>
      </c>
      <c r="K837">
        <v>1.11978</v>
      </c>
      <c r="L837">
        <v>367.30680000000001</v>
      </c>
      <c r="M837">
        <v>0.99994700000000003</v>
      </c>
      <c r="N837">
        <v>-6.2183730000000001E-3</v>
      </c>
      <c r="O837">
        <v>-8.213962E-3</v>
      </c>
      <c r="P837">
        <v>0.99789450000000002</v>
      </c>
      <c r="Q837">
        <v>-6.4845470000000002E-2</v>
      </c>
      <c r="R837">
        <v>-1.252773E-3</v>
      </c>
      <c r="S837">
        <v>3.0042110000000002</v>
      </c>
      <c r="T837">
        <v>-2.1668079999999999E-2</v>
      </c>
      <c r="U837">
        <v>-0.50799559999999999</v>
      </c>
      <c r="V837">
        <v>-6.9310480000000004E-3</v>
      </c>
      <c r="W837">
        <v>-5.8640629999999999E-2</v>
      </c>
      <c r="X837">
        <v>0.99825509999999995</v>
      </c>
      <c r="Y837">
        <v>0.15861539999999999</v>
      </c>
      <c r="Z837">
        <v>-1.0565430000000001E-3</v>
      </c>
      <c r="AA837">
        <v>0.98733990000000005</v>
      </c>
      <c r="AB837">
        <v>36</v>
      </c>
      <c r="AC837">
        <v>110.9846</v>
      </c>
      <c r="AD837">
        <v>-0.80180609999999997</v>
      </c>
      <c r="AE837">
        <v>-18.795099999999898</v>
      </c>
      <c r="AF837">
        <v>17.881917778085899</v>
      </c>
      <c r="AG837">
        <v>-0.80180609999999997</v>
      </c>
      <c r="AH837">
        <v>111.12960248986001</v>
      </c>
      <c r="AI837">
        <v>90.4081351708884</v>
      </c>
      <c r="AJ837">
        <v>80.8588657370844</v>
      </c>
      <c r="AK837">
        <v>112.561958165264</v>
      </c>
      <c r="AL837">
        <v>93.361789185324795</v>
      </c>
      <c r="AM837">
        <v>90.397807551197104</v>
      </c>
      <c r="AN837">
        <v>1.00000000379459</v>
      </c>
    </row>
    <row r="838" spans="1:40" x14ac:dyDescent="0.25">
      <c r="A838" t="str">
        <f>"20190303153756623"</f>
        <v>20190303153756623</v>
      </c>
      <c r="B838" t="str">
        <f>"1551598676619919"</f>
        <v>1551598676619919</v>
      </c>
      <c r="C838" t="s">
        <v>40</v>
      </c>
      <c r="D838">
        <v>4.2624459999999997</v>
      </c>
      <c r="E838">
        <v>0.56324980000000002</v>
      </c>
      <c r="F838" t="s">
        <v>47</v>
      </c>
      <c r="G838">
        <v>-228.9633</v>
      </c>
      <c r="H838">
        <v>0.40680670000000002</v>
      </c>
      <c r="I838">
        <v>348.51170000000002</v>
      </c>
      <c r="J838">
        <v>-340.16399999999999</v>
      </c>
      <c r="K838">
        <v>1.1197649999999999</v>
      </c>
      <c r="L838">
        <v>367.30529999999999</v>
      </c>
      <c r="M838">
        <v>0.99994950000000005</v>
      </c>
      <c r="N838">
        <v>-5.9012229999999997E-3</v>
      </c>
      <c r="O838">
        <v>-8.1558210000000006E-3</v>
      </c>
      <c r="P838">
        <v>0.99794320000000003</v>
      </c>
      <c r="Q838">
        <v>-6.4094650000000003E-2</v>
      </c>
      <c r="R838">
        <v>-1.155204E-3</v>
      </c>
      <c r="S838">
        <v>3.0044249999999999</v>
      </c>
      <c r="T838">
        <v>-1.9227620000000001E-2</v>
      </c>
      <c r="U838">
        <v>-0.50692749999999998</v>
      </c>
      <c r="V838">
        <v>-6.9707340000000001E-3</v>
      </c>
      <c r="W838">
        <v>-5.8206170000000002E-2</v>
      </c>
      <c r="X838">
        <v>0.99828019999999995</v>
      </c>
      <c r="Y838">
        <v>0.1583214</v>
      </c>
      <c r="Z838">
        <v>-9.6946740000000003E-4</v>
      </c>
      <c r="AA838">
        <v>0.98738720000000002</v>
      </c>
      <c r="AB838">
        <v>36</v>
      </c>
      <c r="AC838">
        <v>111.200699999999</v>
      </c>
      <c r="AD838">
        <v>-0.71295829999999905</v>
      </c>
      <c r="AE838">
        <v>-18.793599999999898</v>
      </c>
      <c r="AF838">
        <v>17.885311486435999</v>
      </c>
      <c r="AG838">
        <v>-0.71295829999999905</v>
      </c>
      <c r="AH838">
        <v>111.345831337993</v>
      </c>
      <c r="AI838">
        <v>90.362222436022407</v>
      </c>
      <c r="AJ838">
        <v>80.874616179176101</v>
      </c>
      <c r="AK838">
        <v>112.775382211071</v>
      </c>
      <c r="AL838">
        <v>93.336854036596506</v>
      </c>
      <c r="AM838">
        <v>90.400075196516497</v>
      </c>
      <c r="AN838">
        <v>0.99999995353530202</v>
      </c>
    </row>
    <row r="839" spans="1:40" x14ac:dyDescent="0.25">
      <c r="A839" t="str">
        <f>"20190303153756635"</f>
        <v>20190303153756635</v>
      </c>
      <c r="B839" t="str">
        <f>"1551598676629677"</f>
        <v>1551598676629677</v>
      </c>
      <c r="C839" t="s">
        <v>40</v>
      </c>
      <c r="D839">
        <v>4.2991979999999996</v>
      </c>
      <c r="E839">
        <v>0.56322490000000003</v>
      </c>
      <c r="F839" t="s">
        <v>47</v>
      </c>
      <c r="G839">
        <v>-228.65520000000001</v>
      </c>
      <c r="H839">
        <v>0.46901490000000001</v>
      </c>
      <c r="I839">
        <v>348.51170000000002</v>
      </c>
      <c r="J839">
        <v>-339.98390000000001</v>
      </c>
      <c r="K839">
        <v>1.1197539999999999</v>
      </c>
      <c r="L839">
        <v>367.30380000000002</v>
      </c>
      <c r="M839">
        <v>0.99995140000000005</v>
      </c>
      <c r="N839">
        <v>-5.6352149999999998E-3</v>
      </c>
      <c r="O839">
        <v>-8.1015630000000009E-3</v>
      </c>
      <c r="P839">
        <v>0.99798980000000004</v>
      </c>
      <c r="Q839">
        <v>-6.337342E-2</v>
      </c>
      <c r="R839">
        <v>-7.1842080000000005E-4</v>
      </c>
      <c r="S839">
        <v>3.0045169999999999</v>
      </c>
      <c r="T839">
        <v>-1.7531870000000001E-2</v>
      </c>
      <c r="U839">
        <v>-0.5063782</v>
      </c>
      <c r="V839">
        <v>-7.3541229999999997E-3</v>
      </c>
      <c r="W839">
        <v>-5.7750339999999997E-2</v>
      </c>
      <c r="X839">
        <v>0.99830390000000002</v>
      </c>
      <c r="Y839">
        <v>0.15819540000000001</v>
      </c>
      <c r="Z839">
        <v>-9.0558640000000003E-4</v>
      </c>
      <c r="AA839">
        <v>0.98740740000000005</v>
      </c>
      <c r="AB839">
        <v>36</v>
      </c>
      <c r="AC839">
        <v>111.3287</v>
      </c>
      <c r="AD839">
        <v>-0.65073910000000001</v>
      </c>
      <c r="AE839">
        <v>-18.792100000000001</v>
      </c>
      <c r="AF839">
        <v>17.888938278310899</v>
      </c>
      <c r="AG839">
        <v>-0.65073910000000001</v>
      </c>
      <c r="AH839">
        <v>111.473590920999</v>
      </c>
      <c r="AI839">
        <v>90.330241288254399</v>
      </c>
      <c r="AJ839">
        <v>80.883081759254594</v>
      </c>
      <c r="AK839">
        <v>112.901722958172</v>
      </c>
      <c r="AL839">
        <v>93.310692968175701</v>
      </c>
      <c r="AM839">
        <v>90.422068458488297</v>
      </c>
      <c r="AN839">
        <v>0.99999993082520999</v>
      </c>
    </row>
    <row r="840" spans="1:40" x14ac:dyDescent="0.25">
      <c r="A840" t="str">
        <f>"20190303153756646"</f>
        <v>20190303153756646</v>
      </c>
      <c r="B840" t="str">
        <f>"1551598676639438"</f>
        <v>1551598676639438</v>
      </c>
      <c r="C840" t="s">
        <v>40</v>
      </c>
      <c r="D840">
        <v>4.2779879999999997</v>
      </c>
      <c r="E840">
        <v>0.5631642</v>
      </c>
      <c r="F840" t="s">
        <v>47</v>
      </c>
      <c r="G840">
        <v>-228.09569999999999</v>
      </c>
      <c r="H840">
        <v>0.51697709999999997</v>
      </c>
      <c r="I840">
        <v>348.51170000000002</v>
      </c>
      <c r="J840">
        <v>-339.79169999999999</v>
      </c>
      <c r="K840">
        <v>1.119745</v>
      </c>
      <c r="L840">
        <v>367.3023</v>
      </c>
      <c r="M840">
        <v>0.99995319999999999</v>
      </c>
      <c r="N840">
        <v>-5.3788109999999998E-3</v>
      </c>
      <c r="O840">
        <v>-8.0440269999999901E-3</v>
      </c>
      <c r="P840">
        <v>0.9980175</v>
      </c>
      <c r="Q840">
        <v>-6.29382E-2</v>
      </c>
      <c r="R840">
        <v>-2.2856889999999999E-4</v>
      </c>
      <c r="S840">
        <v>3.0046080000000002</v>
      </c>
      <c r="T840">
        <v>-1.6184690000000002E-2</v>
      </c>
      <c r="U840">
        <v>-0.5046387</v>
      </c>
      <c r="V840">
        <v>-7.7869119999999896E-3</v>
      </c>
      <c r="W840">
        <v>-5.757106E-2</v>
      </c>
      <c r="X840">
        <v>0.99831099999999995</v>
      </c>
      <c r="Y840">
        <v>0.1576921</v>
      </c>
      <c r="Z840">
        <v>-8.4876709999999998E-4</v>
      </c>
      <c r="AA840">
        <v>0.98748800000000003</v>
      </c>
      <c r="AB840">
        <v>36</v>
      </c>
      <c r="AC840">
        <v>111.696</v>
      </c>
      <c r="AD840">
        <v>-0.60276790000000002</v>
      </c>
      <c r="AE840">
        <v>-18.790599999999898</v>
      </c>
      <c r="AF840">
        <v>17.8909867314885</v>
      </c>
      <c r="AG840">
        <v>-0.60276790000000002</v>
      </c>
      <c r="AH840">
        <v>111.84037299079</v>
      </c>
      <c r="AI840">
        <v>90.304918053993106</v>
      </c>
      <c r="AJ840">
        <v>80.911457866651503</v>
      </c>
      <c r="AK840">
        <v>113.26393850686399</v>
      </c>
      <c r="AL840">
        <v>93.300403772230396</v>
      </c>
      <c r="AM840">
        <v>90.446902964208405</v>
      </c>
      <c r="AN840">
        <v>0.99999995783450801</v>
      </c>
    </row>
    <row r="841" spans="1:40" x14ac:dyDescent="0.25">
      <c r="A841" t="str">
        <f>"20190303153756657"</f>
        <v>20190303153756657</v>
      </c>
      <c r="B841" t="str">
        <f>"1551598676650174"</f>
        <v>1551598676650174</v>
      </c>
      <c r="C841" t="s">
        <v>40</v>
      </c>
      <c r="D841">
        <v>4.1955819999999999</v>
      </c>
      <c r="E841">
        <v>0.56327780000000005</v>
      </c>
      <c r="F841" t="s">
        <v>48</v>
      </c>
      <c r="G841">
        <v>-168.40020000000001</v>
      </c>
      <c r="H841">
        <v>0.24254319999999999</v>
      </c>
      <c r="I841">
        <v>338.61599999999999</v>
      </c>
      <c r="J841">
        <v>-339.62509999999997</v>
      </c>
      <c r="K841">
        <v>1.1197490000000001</v>
      </c>
      <c r="L841">
        <v>367.30099999999999</v>
      </c>
      <c r="M841">
        <v>0.99995440000000002</v>
      </c>
      <c r="N841">
        <v>-5.2171530000000004E-3</v>
      </c>
      <c r="O841">
        <v>-7.994981E-3</v>
      </c>
      <c r="P841">
        <v>0.99802820000000003</v>
      </c>
      <c r="Q841">
        <v>-6.2765249999999995E-2</v>
      </c>
      <c r="R841" s="1">
        <v>-7.6771949999999999E-5</v>
      </c>
      <c r="S841">
        <v>3.0048520000000001</v>
      </c>
      <c r="T841">
        <v>-1.537907E-2</v>
      </c>
      <c r="U841">
        <v>-0.50292970000000004</v>
      </c>
      <c r="V841">
        <v>-7.8897389999999998E-3</v>
      </c>
      <c r="W841">
        <v>-5.7559489999999998E-2</v>
      </c>
      <c r="X841">
        <v>0.9983109</v>
      </c>
      <c r="Y841">
        <v>0.1571815</v>
      </c>
      <c r="Z841">
        <v>-8.1311459999999997E-4</v>
      </c>
      <c r="AA841">
        <v>0.98756940000000004</v>
      </c>
      <c r="AB841">
        <v>36</v>
      </c>
      <c r="AC841">
        <v>171.224899999999</v>
      </c>
      <c r="AD841">
        <v>-0.87720579999999904</v>
      </c>
      <c r="AE841">
        <v>-28.684999999999999</v>
      </c>
      <c r="AF841">
        <v>27.3144273647675</v>
      </c>
      <c r="AG841">
        <v>-0.87720579999999904</v>
      </c>
      <c r="AH841">
        <v>171.44438964762401</v>
      </c>
      <c r="AI841">
        <v>90.289503729167393</v>
      </c>
      <c r="AJ841">
        <v>80.947745968940197</v>
      </c>
      <c r="AK841">
        <v>173.608830921492</v>
      </c>
      <c r="AL841">
        <v>93.299739626364101</v>
      </c>
      <c r="AM841">
        <v>90.452804166555794</v>
      </c>
      <c r="AN841">
        <v>0.99999999796467898</v>
      </c>
    </row>
    <row r="842" spans="1:40" x14ac:dyDescent="0.25">
      <c r="A842" t="str">
        <f>"20190303153756668"</f>
        <v>20190303153756668</v>
      </c>
      <c r="B842" t="str">
        <f>"1551598676659934"</f>
        <v>1551598676659934</v>
      </c>
      <c r="C842" t="s">
        <v>40</v>
      </c>
      <c r="D842">
        <v>4.1763719999999998</v>
      </c>
      <c r="E842">
        <v>0.56338310000000003</v>
      </c>
      <c r="F842" t="s">
        <v>48</v>
      </c>
      <c r="G842">
        <v>-168.40020000000001</v>
      </c>
      <c r="H842">
        <v>0.33793759999999901</v>
      </c>
      <c r="I842">
        <v>338.62900000000002</v>
      </c>
      <c r="J842">
        <v>-339.43279999999999</v>
      </c>
      <c r="K842">
        <v>1.1197569999999999</v>
      </c>
      <c r="L842">
        <v>367.29950000000002</v>
      </c>
      <c r="M842">
        <v>0.99995579999999995</v>
      </c>
      <c r="N842">
        <v>-5.0495509999999898E-3</v>
      </c>
      <c r="O842">
        <v>-7.9385410000000003E-3</v>
      </c>
      <c r="P842">
        <v>0.99803419999999998</v>
      </c>
      <c r="Q842">
        <v>-6.2669199999999994E-2</v>
      </c>
      <c r="R842">
        <v>6.2256140000000002E-4</v>
      </c>
      <c r="S842">
        <v>3.0050659999999998</v>
      </c>
      <c r="T842">
        <v>-1.3720990000000001E-2</v>
      </c>
      <c r="U842">
        <v>-0.50320429999999905</v>
      </c>
      <c r="V842">
        <v>-8.5323459999999997E-3</v>
      </c>
      <c r="W842">
        <v>-5.7630920000000002E-2</v>
      </c>
      <c r="X842">
        <v>0.99830149999999995</v>
      </c>
      <c r="Y842">
        <v>0.15731429999999999</v>
      </c>
      <c r="Z842">
        <v>-7.6042259999999995E-4</v>
      </c>
      <c r="AA842">
        <v>0.98754830000000005</v>
      </c>
      <c r="AB842">
        <v>36</v>
      </c>
      <c r="AC842">
        <v>171.03259999999901</v>
      </c>
      <c r="AD842">
        <v>-0.78181939999999905</v>
      </c>
      <c r="AE842">
        <v>-28.670500000000001</v>
      </c>
      <c r="AF842">
        <v>27.311274925585799</v>
      </c>
      <c r="AG842">
        <v>-0.78181939999999905</v>
      </c>
      <c r="AH842">
        <v>171.251334736606</v>
      </c>
      <c r="AI842">
        <v>90.258308260281694</v>
      </c>
      <c r="AJ842">
        <v>80.938738993014496</v>
      </c>
      <c r="AK842">
        <v>173.41723279047</v>
      </c>
      <c r="AL842">
        <v>93.303839047666898</v>
      </c>
      <c r="AM842">
        <v>90.489687245717306</v>
      </c>
      <c r="AN842">
        <v>1.0000000043852799</v>
      </c>
    </row>
    <row r="843" spans="1:40" x14ac:dyDescent="0.25">
      <c r="A843" t="str">
        <f>"20190303153756679"</f>
        <v>20190303153756679</v>
      </c>
      <c r="B843" t="str">
        <f>"1551598676669694"</f>
        <v>1551598676669694</v>
      </c>
      <c r="C843" t="s">
        <v>40</v>
      </c>
      <c r="D843">
        <v>4.2400989999999998</v>
      </c>
      <c r="E843">
        <v>0.56349399999999905</v>
      </c>
      <c r="F843" t="s">
        <v>48</v>
      </c>
      <c r="G843">
        <v>-168.40020000000001</v>
      </c>
      <c r="H843">
        <v>0.40789170000000002</v>
      </c>
      <c r="I843">
        <v>338.73439999999999</v>
      </c>
      <c r="J843">
        <v>-339.25850000000003</v>
      </c>
      <c r="K843">
        <v>1.1197870000000001</v>
      </c>
      <c r="L843">
        <v>367.29809999999998</v>
      </c>
      <c r="M843">
        <v>0.99995639999999997</v>
      </c>
      <c r="N843">
        <v>-5.0093009999999999E-3</v>
      </c>
      <c r="O843">
        <v>-7.8882529999999996E-3</v>
      </c>
      <c r="P843">
        <v>0.99801119999999999</v>
      </c>
      <c r="Q843">
        <v>-6.3031149999999994E-2</v>
      </c>
      <c r="R843">
        <v>1.073453E-3</v>
      </c>
      <c r="S843">
        <v>3.0054319999999999</v>
      </c>
      <c r="T843">
        <v>-1.2508989999999999E-2</v>
      </c>
      <c r="U843">
        <v>-0.50195310000000004</v>
      </c>
      <c r="V843">
        <v>-8.932476E-3</v>
      </c>
      <c r="W843">
        <v>-5.8033290000000001E-2</v>
      </c>
      <c r="X843">
        <v>0.99827469999999996</v>
      </c>
      <c r="Y843">
        <v>0.156944899999999</v>
      </c>
      <c r="Z843">
        <v>-7.2681600000000003E-4</v>
      </c>
      <c r="AA843">
        <v>0.98760709999999996</v>
      </c>
      <c r="AB843">
        <v>36</v>
      </c>
      <c r="AC843">
        <v>170.85830000000001</v>
      </c>
      <c r="AD843">
        <v>-0.71189530000000001</v>
      </c>
      <c r="AE843">
        <v>-28.563699999999901</v>
      </c>
      <c r="AF843">
        <v>27.214561344593999</v>
      </c>
      <c r="AG843">
        <v>-0.71189530000000001</v>
      </c>
      <c r="AH843">
        <v>171.075415309276</v>
      </c>
      <c r="AI843">
        <v>90.235462587314302</v>
      </c>
      <c r="AJ843">
        <v>80.961164613968407</v>
      </c>
      <c r="AK843">
        <v>173.22799100416199</v>
      </c>
      <c r="AL843">
        <v>93.326931767413896</v>
      </c>
      <c r="AM843">
        <v>90.512664016350897</v>
      </c>
      <c r="AN843">
        <v>1.0000000142679</v>
      </c>
    </row>
    <row r="844" spans="1:40" x14ac:dyDescent="0.25">
      <c r="A844" t="str">
        <f>"20190303153756691"</f>
        <v>20190303153756691</v>
      </c>
      <c r="B844" t="str">
        <f>"1551598676679455"</f>
        <v>1551598676679455</v>
      </c>
      <c r="C844" t="s">
        <v>40</v>
      </c>
      <c r="D844">
        <v>4.2728799999999998</v>
      </c>
      <c r="E844">
        <v>0.56336509999999995</v>
      </c>
      <c r="F844" t="s">
        <v>48</v>
      </c>
      <c r="G844">
        <v>-168.40020000000001</v>
      </c>
      <c r="H844">
        <v>0.35796139999999999</v>
      </c>
      <c r="I844">
        <v>338.79539999999997</v>
      </c>
      <c r="J844">
        <v>-339.07530000000003</v>
      </c>
      <c r="K844">
        <v>1.1198250000000001</v>
      </c>
      <c r="L844">
        <v>367.29669999999999</v>
      </c>
      <c r="M844">
        <v>0.99995690000000004</v>
      </c>
      <c r="N844">
        <v>-4.9904110000000002E-3</v>
      </c>
      <c r="O844">
        <v>-7.8350360000000001E-3</v>
      </c>
      <c r="P844">
        <v>0.99798909999999996</v>
      </c>
      <c r="Q844">
        <v>-6.3370969999999999E-2</v>
      </c>
      <c r="R844">
        <v>1.496266E-3</v>
      </c>
      <c r="S844">
        <v>3.005646</v>
      </c>
      <c r="T844">
        <v>-1.340151E-2</v>
      </c>
      <c r="U844">
        <v>-0.50140379999999996</v>
      </c>
      <c r="V844">
        <v>-9.3016669999999996E-3</v>
      </c>
      <c r="W844">
        <v>-5.8392189999999997E-2</v>
      </c>
      <c r="X844">
        <v>0.99825039999999998</v>
      </c>
      <c r="Y844">
        <v>0.15681010000000001</v>
      </c>
      <c r="Z844">
        <v>-7.4530500000000003E-4</v>
      </c>
      <c r="AA844">
        <v>0.98762850000000002</v>
      </c>
      <c r="AB844">
        <v>37</v>
      </c>
      <c r="AC844">
        <v>170.67509999999999</v>
      </c>
      <c r="AD844">
        <v>-0.76186359999999997</v>
      </c>
      <c r="AE844">
        <v>-28.501300000000001</v>
      </c>
      <c r="AF844">
        <v>27.162636455400602</v>
      </c>
      <c r="AG844">
        <v>-0.76186359999999997</v>
      </c>
      <c r="AH844">
        <v>170.88985986288401</v>
      </c>
      <c r="AI844">
        <v>90.252268363649705</v>
      </c>
      <c r="AJ844">
        <v>80.968491888522905</v>
      </c>
      <c r="AK844">
        <v>173.036797991957</v>
      </c>
      <c r="AL844">
        <v>93.347530150839205</v>
      </c>
      <c r="AM844">
        <v>90.533864888072898</v>
      </c>
      <c r="AN844">
        <v>1.0000000149810599</v>
      </c>
    </row>
    <row r="845" spans="1:40" x14ac:dyDescent="0.25">
      <c r="A845" t="str">
        <f>"20190303153756701"</f>
        <v>20190303153756701</v>
      </c>
      <c r="B845" t="str">
        <f>"1551598676699950"</f>
        <v>1551598676699950</v>
      </c>
      <c r="C845" t="s">
        <v>40</v>
      </c>
      <c r="D845">
        <v>4.2581939999999996</v>
      </c>
      <c r="E845">
        <v>0.54212209999999905</v>
      </c>
      <c r="F845" t="s">
        <v>48</v>
      </c>
      <c r="G845">
        <v>-168.40020000000001</v>
      </c>
      <c r="H845">
        <v>0.29229889999999997</v>
      </c>
      <c r="I845">
        <v>338.96179999999998</v>
      </c>
      <c r="J845">
        <v>-338.88659999999999</v>
      </c>
      <c r="K845">
        <v>1.119888</v>
      </c>
      <c r="L845">
        <v>367.2953</v>
      </c>
      <c r="M845">
        <v>0.99995670000000003</v>
      </c>
      <c r="N845">
        <v>-5.0992809999999998E-3</v>
      </c>
      <c r="O845">
        <v>-7.7803359999999997E-3</v>
      </c>
      <c r="P845">
        <v>0.99797829999999998</v>
      </c>
      <c r="Q845">
        <v>-6.3531829999999997E-2</v>
      </c>
      <c r="R845">
        <v>1.7317260000000001E-3</v>
      </c>
      <c r="S845">
        <v>3.0058590000000001</v>
      </c>
      <c r="T845">
        <v>-1.4573930000000001E-2</v>
      </c>
      <c r="U845">
        <v>-0.49902340000000001</v>
      </c>
      <c r="V845">
        <v>-9.482519E-3</v>
      </c>
      <c r="W845">
        <v>-5.8444500000000003E-2</v>
      </c>
      <c r="X845">
        <v>0.99824559999999996</v>
      </c>
      <c r="Y845">
        <v>0.15609120000000001</v>
      </c>
      <c r="Z845">
        <v>-7.7847089999999995E-4</v>
      </c>
      <c r="AA845">
        <v>0.98774240000000002</v>
      </c>
      <c r="AB845">
        <v>37</v>
      </c>
      <c r="AC845">
        <v>170.48639999999901</v>
      </c>
      <c r="AD845">
        <v>-0.82758909999999997</v>
      </c>
      <c r="AE845">
        <v>-28.333500000000001</v>
      </c>
      <c r="AF845">
        <v>27.005564380747401</v>
      </c>
      <c r="AG845">
        <v>-0.82758909999999997</v>
      </c>
      <c r="AH845">
        <v>170.69777250850299</v>
      </c>
      <c r="AI845">
        <v>90.274370904723497</v>
      </c>
      <c r="AJ845">
        <v>81.009923991341395</v>
      </c>
      <c r="AK845">
        <v>172.82278481324701</v>
      </c>
      <c r="AL845">
        <v>93.350532544933699</v>
      </c>
      <c r="AM845">
        <v>90.544246803610704</v>
      </c>
      <c r="AN845">
        <v>0.99999997783309702</v>
      </c>
    </row>
    <row r="846" spans="1:40" x14ac:dyDescent="0.25">
      <c r="A846" t="str">
        <f>"20190303153756713"</f>
        <v>20190303153756713</v>
      </c>
      <c r="B846" t="str">
        <f>"1551598676709711"</f>
        <v>1551598676709711</v>
      </c>
      <c r="C846" t="s">
        <v>40</v>
      </c>
      <c r="D846">
        <v>4.3084089999999904</v>
      </c>
      <c r="E846">
        <v>0.54031049999999903</v>
      </c>
      <c r="F846" t="s">
        <v>43</v>
      </c>
      <c r="G846">
        <v>-94.841930000000005</v>
      </c>
      <c r="H846">
        <v>-0.05</v>
      </c>
      <c r="I846">
        <v>340.57929999999999</v>
      </c>
      <c r="J846">
        <v>-338.7056</v>
      </c>
      <c r="K846">
        <v>1.11995</v>
      </c>
      <c r="L846">
        <v>367.29390000000001</v>
      </c>
      <c r="M846">
        <v>0.99995639999999997</v>
      </c>
      <c r="N846">
        <v>-5.2493119999999999E-3</v>
      </c>
      <c r="O846">
        <v>-7.7268119999999996E-3</v>
      </c>
      <c r="P846">
        <v>0.99795750000000005</v>
      </c>
      <c r="Q846">
        <v>-6.3845739999999998E-2</v>
      </c>
      <c r="R846">
        <v>2.2183820000000001E-3</v>
      </c>
      <c r="S846">
        <v>3.0057070000000001</v>
      </c>
      <c r="T846">
        <v>-1.4408590000000001E-2</v>
      </c>
      <c r="U846">
        <v>-0.32904050000000001</v>
      </c>
      <c r="V846">
        <v>-9.9160610000000003E-3</v>
      </c>
      <c r="W846">
        <v>-5.8608889999999997E-2</v>
      </c>
      <c r="X846">
        <v>0.9982318</v>
      </c>
      <c r="Y846">
        <v>0.10113510000000001</v>
      </c>
      <c r="Z846">
        <v>-5.1144389999999997E-4</v>
      </c>
      <c r="AA846">
        <v>0.9948726</v>
      </c>
      <c r="AB846">
        <v>37</v>
      </c>
      <c r="AC846">
        <v>243.86367000000001</v>
      </c>
      <c r="AD846">
        <v>-1.16995</v>
      </c>
      <c r="AE846">
        <v>-26.714600000000001</v>
      </c>
      <c r="AF846">
        <v>24.828923151304899</v>
      </c>
      <c r="AG846">
        <v>-1.16995</v>
      </c>
      <c r="AH846">
        <v>244.057260702403</v>
      </c>
      <c r="AI846">
        <v>90.273249280732102</v>
      </c>
      <c r="AJ846">
        <v>84.191056218455799</v>
      </c>
      <c r="AK846">
        <v>245.31977235725699</v>
      </c>
      <c r="AL846">
        <v>93.359967401385802</v>
      </c>
      <c r="AM846">
        <v>90.569136104548093</v>
      </c>
      <c r="AN846">
        <v>1.0000000283920101</v>
      </c>
    </row>
    <row r="847" spans="1:40" x14ac:dyDescent="0.25">
      <c r="A847" t="str">
        <f>"20190303153756727"</f>
        <v>20190303153756727</v>
      </c>
      <c r="B847" t="str">
        <f>"1551598676719470"</f>
        <v>1551598676719470</v>
      </c>
      <c r="C847" t="s">
        <v>40</v>
      </c>
      <c r="D847">
        <v>4.2500429999999998</v>
      </c>
      <c r="E847">
        <v>0.54046289999999997</v>
      </c>
      <c r="F847" t="s">
        <v>49</v>
      </c>
      <c r="G847">
        <v>-249.8871</v>
      </c>
      <c r="H847">
        <v>0.51787890000000003</v>
      </c>
      <c r="I847">
        <v>358.04899999999998</v>
      </c>
      <c r="J847">
        <v>-338.47840000000002</v>
      </c>
      <c r="K847">
        <v>1.120052</v>
      </c>
      <c r="L847">
        <v>367.29219999999998</v>
      </c>
      <c r="M847">
        <v>0.99995540000000005</v>
      </c>
      <c r="N847">
        <v>-5.5320739999999997E-3</v>
      </c>
      <c r="O847">
        <v>-7.6568219999999998E-3</v>
      </c>
      <c r="P847">
        <v>0.99792239999999999</v>
      </c>
      <c r="Q847">
        <v>-6.438199E-2</v>
      </c>
      <c r="R847">
        <v>2.457412E-3</v>
      </c>
      <c r="S847">
        <v>3.0055239999999999</v>
      </c>
      <c r="T847">
        <v>-2.0370599999999999E-2</v>
      </c>
      <c r="U847">
        <v>-0.31283569999999999</v>
      </c>
      <c r="V847">
        <v>-1.008393E-2</v>
      </c>
      <c r="W847">
        <v>-5.8863190000000003E-2</v>
      </c>
      <c r="X847">
        <v>0.99821510000000002</v>
      </c>
      <c r="Y847">
        <v>9.5904829999999996E-2</v>
      </c>
      <c r="Z847">
        <v>-5.8062619999999995E-4</v>
      </c>
      <c r="AA847">
        <v>0.99539040000000001</v>
      </c>
      <c r="AB847">
        <v>37</v>
      </c>
      <c r="AC847">
        <v>88.591300000000004</v>
      </c>
      <c r="AD847">
        <v>-0.60217310000000002</v>
      </c>
      <c r="AE847">
        <v>-9.2431999999999395</v>
      </c>
      <c r="AF847">
        <v>8.5641994318849299</v>
      </c>
      <c r="AG847">
        <v>-0.60217310000000002</v>
      </c>
      <c r="AH847">
        <v>88.655425636856194</v>
      </c>
      <c r="AI847">
        <v>90.3873602753428</v>
      </c>
      <c r="AJ847">
        <v>84.482293338021705</v>
      </c>
      <c r="AK847">
        <v>89.0701556033423</v>
      </c>
      <c r="AL847">
        <v>93.374563102232898</v>
      </c>
      <c r="AM847">
        <v>90.5787800419847</v>
      </c>
      <c r="AN847">
        <v>0.99999997332461499</v>
      </c>
    </row>
    <row r="848" spans="1:40" x14ac:dyDescent="0.25">
      <c r="A848" t="str">
        <f>"20190303153756742"</f>
        <v>20190303153756742</v>
      </c>
      <c r="B848" t="str">
        <f>"1551598676739969"</f>
        <v>1551598676739969</v>
      </c>
      <c r="C848" t="s">
        <v>40</v>
      </c>
      <c r="D848">
        <v>4.2196660000000001</v>
      </c>
      <c r="E848">
        <v>0.54077519999999901</v>
      </c>
      <c r="F848" t="s">
        <v>49</v>
      </c>
      <c r="G848">
        <v>-249.85730000000001</v>
      </c>
      <c r="H848">
        <v>0.65092879999999997</v>
      </c>
      <c r="I848">
        <v>358.05489999999998</v>
      </c>
      <c r="J848">
        <v>-338.23050000000001</v>
      </c>
      <c r="K848">
        <v>1.1201700000000001</v>
      </c>
      <c r="L848">
        <v>367.29039999999998</v>
      </c>
      <c r="M848">
        <v>0.9999536</v>
      </c>
      <c r="N848">
        <v>-5.9499870000000003E-3</v>
      </c>
      <c r="O848">
        <v>-7.5841550000000004E-3</v>
      </c>
      <c r="P848">
        <v>0.99786839999999999</v>
      </c>
      <c r="Q848">
        <v>-6.5196909999999997E-2</v>
      </c>
      <c r="R848">
        <v>2.856272E-3</v>
      </c>
      <c r="S848">
        <v>3.0059809999999998</v>
      </c>
      <c r="T848">
        <v>-1.5909550000000001E-2</v>
      </c>
      <c r="U848">
        <v>-0.31332399999999999</v>
      </c>
      <c r="V848">
        <v>-1.040926E-2</v>
      </c>
      <c r="W848">
        <v>-5.9261389999999997E-2</v>
      </c>
      <c r="X848">
        <v>0.99818819999999997</v>
      </c>
      <c r="Y848">
        <v>9.6122589999999994E-2</v>
      </c>
      <c r="Z848">
        <v>-5.454069E-4</v>
      </c>
      <c r="AA848">
        <v>0.99536939999999996</v>
      </c>
      <c r="AB848">
        <v>37</v>
      </c>
      <c r="AC848">
        <v>88.373199999999997</v>
      </c>
      <c r="AD848">
        <v>-0.46924120000000002</v>
      </c>
      <c r="AE848">
        <v>-9.2355</v>
      </c>
      <c r="AF848">
        <v>8.5647476445002795</v>
      </c>
      <c r="AG848">
        <v>-0.46924120000000002</v>
      </c>
      <c r="AH848">
        <v>88.438236527478495</v>
      </c>
      <c r="AI848">
        <v>90.302585114989199</v>
      </c>
      <c r="AJ848">
        <v>84.468474862646303</v>
      </c>
      <c r="AK848">
        <v>88.853231621635402</v>
      </c>
      <c r="AL848">
        <v>93.397418178811606</v>
      </c>
      <c r="AM848">
        <v>90.597467539929596</v>
      </c>
      <c r="AN848">
        <v>0.99999997382885897</v>
      </c>
    </row>
    <row r="849" spans="1:40" x14ac:dyDescent="0.25">
      <c r="A849" t="str">
        <f>"20190303153756755"</f>
        <v>20190303153756755</v>
      </c>
      <c r="B849" t="str">
        <f>"1551598676749726"</f>
        <v>1551598676749726</v>
      </c>
      <c r="C849" t="s">
        <v>40</v>
      </c>
      <c r="D849">
        <v>4.2561650000000002</v>
      </c>
      <c r="E849">
        <v>0.54080130000000004</v>
      </c>
      <c r="F849" t="s">
        <v>49</v>
      </c>
      <c r="G849">
        <v>-249.8563</v>
      </c>
      <c r="H849">
        <v>0.65559919999999905</v>
      </c>
      <c r="I849">
        <v>358.03840000000002</v>
      </c>
      <c r="J849">
        <v>-338.02949999999998</v>
      </c>
      <c r="K849">
        <v>1.1202650000000001</v>
      </c>
      <c r="L849">
        <v>367.28890000000001</v>
      </c>
      <c r="M849">
        <v>0.9999517</v>
      </c>
      <c r="N849">
        <v>-6.3322069999999899E-3</v>
      </c>
      <c r="O849">
        <v>-7.5261369999999996E-3</v>
      </c>
      <c r="P849">
        <v>0.9978378</v>
      </c>
      <c r="Q849">
        <v>-6.5674499999999997E-2</v>
      </c>
      <c r="R849">
        <v>2.6093539999999999E-3</v>
      </c>
      <c r="S849">
        <v>3.006256</v>
      </c>
      <c r="T849">
        <v>-1.5800600000000001E-2</v>
      </c>
      <c r="U849">
        <v>-0.3147278</v>
      </c>
      <c r="V849">
        <v>-1.01041E-2</v>
      </c>
      <c r="W849">
        <v>-5.9357559999999997E-2</v>
      </c>
      <c r="X849">
        <v>0.99818560000000001</v>
      </c>
      <c r="Y849">
        <v>9.6630659999999993E-2</v>
      </c>
      <c r="Z849">
        <v>-5.6811939999999999E-4</v>
      </c>
      <c r="AA849">
        <v>0.99532010000000004</v>
      </c>
      <c r="AB849">
        <v>37</v>
      </c>
      <c r="AC849">
        <v>88.173199999999895</v>
      </c>
      <c r="AD849">
        <v>-0.46466580000000002</v>
      </c>
      <c r="AE849">
        <v>-9.2504999999999793</v>
      </c>
      <c r="AF849">
        <v>8.5863852929840103</v>
      </c>
      <c r="AG849">
        <v>-0.46466580000000002</v>
      </c>
      <c r="AH849">
        <v>88.237900730194696</v>
      </c>
      <c r="AI849">
        <v>90.300301619644898</v>
      </c>
      <c r="AJ849">
        <v>84.442075640136807</v>
      </c>
      <c r="AK849">
        <v>88.655902521924403</v>
      </c>
      <c r="AL849">
        <v>93.402938103965198</v>
      </c>
      <c r="AM849">
        <v>90.579954783993898</v>
      </c>
      <c r="AN849">
        <v>0.99999995240665995</v>
      </c>
    </row>
    <row r="850" spans="1:40" x14ac:dyDescent="0.25">
      <c r="A850" t="str">
        <f>"20190303153756767"</f>
        <v>20190303153756767</v>
      </c>
      <c r="B850" t="str">
        <f>"1551598676759487"</f>
        <v>1551598676759487</v>
      </c>
      <c r="C850" t="s">
        <v>40</v>
      </c>
      <c r="D850">
        <v>4.2523530000000003</v>
      </c>
      <c r="E850">
        <v>0.54096</v>
      </c>
      <c r="F850" t="s">
        <v>49</v>
      </c>
      <c r="G850">
        <v>-249.86199999999999</v>
      </c>
      <c r="H850">
        <v>0.63025629999999999</v>
      </c>
      <c r="I850">
        <v>358.02620000000002</v>
      </c>
      <c r="J850">
        <v>-337.82830000000001</v>
      </c>
      <c r="K850">
        <v>1.120357</v>
      </c>
      <c r="L850">
        <v>367.28750000000002</v>
      </c>
      <c r="M850">
        <v>0.99994930000000004</v>
      </c>
      <c r="N850">
        <v>-6.7526560000000001E-3</v>
      </c>
      <c r="O850">
        <v>-7.4684419999999996E-3</v>
      </c>
      <c r="P850">
        <v>0.99779370000000001</v>
      </c>
      <c r="Q850">
        <v>-6.6345619999999994E-2</v>
      </c>
      <c r="R850">
        <v>2.416517E-3</v>
      </c>
      <c r="S850">
        <v>3.0062259999999998</v>
      </c>
      <c r="T850">
        <v>-1.6704799999999999E-2</v>
      </c>
      <c r="U850">
        <v>-0.31582640000000001</v>
      </c>
      <c r="V850">
        <v>-9.8531199999999999E-3</v>
      </c>
      <c r="W850">
        <v>-5.9609179999999998E-2</v>
      </c>
      <c r="X850">
        <v>0.99817319999999998</v>
      </c>
      <c r="Y850">
        <v>9.7048510000000004E-2</v>
      </c>
      <c r="Z850">
        <v>-6.0638830000000002E-4</v>
      </c>
      <c r="AA850">
        <v>0.99527949999999998</v>
      </c>
      <c r="AB850">
        <v>37</v>
      </c>
      <c r="AC850">
        <v>87.966300000000004</v>
      </c>
      <c r="AD850">
        <v>-0.4901007</v>
      </c>
      <c r="AE850">
        <v>-9.2613000000000003</v>
      </c>
      <c r="AF850">
        <v>8.6037913586577908</v>
      </c>
      <c r="AG850">
        <v>-0.4901007</v>
      </c>
      <c r="AH850">
        <v>88.030313031173606</v>
      </c>
      <c r="AI850">
        <v>90.317473016590199</v>
      </c>
      <c r="AJ850">
        <v>84.417829631327805</v>
      </c>
      <c r="AK850">
        <v>88.451124564958903</v>
      </c>
      <c r="AL850">
        <v>93.417380149811606</v>
      </c>
      <c r="AM850">
        <v>90.565557015398298</v>
      </c>
      <c r="AN850">
        <v>1.00000003775612</v>
      </c>
    </row>
    <row r="851" spans="1:40" x14ac:dyDescent="0.25">
      <c r="A851" t="str">
        <f>"20190303153756778"</f>
        <v>20190303153756778</v>
      </c>
      <c r="B851" t="str">
        <f>"1551598676770222"</f>
        <v>1551598676770222</v>
      </c>
      <c r="C851" t="s">
        <v>40</v>
      </c>
      <c r="D851">
        <v>4.2473219999999996</v>
      </c>
      <c r="E851">
        <v>0.54096359999999999</v>
      </c>
      <c r="F851" t="s">
        <v>49</v>
      </c>
      <c r="G851">
        <v>-249.87350000000001</v>
      </c>
      <c r="H851">
        <v>0.57890640000000004</v>
      </c>
      <c r="I851">
        <v>357.99779999999998</v>
      </c>
      <c r="J851">
        <v>-337.64190000000002</v>
      </c>
      <c r="K851">
        <v>1.120436</v>
      </c>
      <c r="L851">
        <v>367.28609999999998</v>
      </c>
      <c r="M851">
        <v>0.99994700000000003</v>
      </c>
      <c r="N851">
        <v>-7.1598859999999999E-3</v>
      </c>
      <c r="O851">
        <v>-7.4146150000000003E-3</v>
      </c>
      <c r="P851">
        <v>0.99776690000000001</v>
      </c>
      <c r="Q851">
        <v>-6.6761570000000006E-2</v>
      </c>
      <c r="R851">
        <v>2.0525769999999999E-3</v>
      </c>
      <c r="S851">
        <v>3.0061650000000002</v>
      </c>
      <c r="T851">
        <v>-1.850307E-2</v>
      </c>
      <c r="U851">
        <v>-0.31750489999999998</v>
      </c>
      <c r="V851">
        <v>-9.4356909999999995E-3</v>
      </c>
      <c r="W851">
        <v>-5.9618650000000002E-2</v>
      </c>
      <c r="X851">
        <v>0.99817659999999997</v>
      </c>
      <c r="Y851">
        <v>9.7653080000000003E-2</v>
      </c>
      <c r="Z851">
        <v>-6.5770809999999896E-4</v>
      </c>
      <c r="AA851">
        <v>0.99522029999999995</v>
      </c>
      <c r="AB851">
        <v>37</v>
      </c>
      <c r="AC851">
        <v>87.7684</v>
      </c>
      <c r="AD851">
        <v>-0.54152959999999895</v>
      </c>
      <c r="AE851">
        <v>-9.2882999999999907</v>
      </c>
      <c r="AF851">
        <v>8.63693401185499</v>
      </c>
      <c r="AG851">
        <v>-0.54152959999999895</v>
      </c>
      <c r="AH851">
        <v>87.831551567920897</v>
      </c>
      <c r="AI851">
        <v>90.351559745526004</v>
      </c>
      <c r="AJ851">
        <v>84.383863413058094</v>
      </c>
      <c r="AK851">
        <v>88.256848653581301</v>
      </c>
      <c r="AL851">
        <v>93.417923938574503</v>
      </c>
      <c r="AM851">
        <v>90.541596716370407</v>
      </c>
      <c r="AN851">
        <v>0.99999997024001397</v>
      </c>
    </row>
    <row r="852" spans="1:40" x14ac:dyDescent="0.25">
      <c r="A852" t="str">
        <f>"20190303153756790"</f>
        <v>20190303153756790</v>
      </c>
      <c r="B852" t="str">
        <f>"1551598676779982"</f>
        <v>1551598676779982</v>
      </c>
      <c r="C852" t="s">
        <v>40</v>
      </c>
      <c r="D852">
        <v>4.2276740000000004</v>
      </c>
      <c r="E852">
        <v>0.54094699999999996</v>
      </c>
      <c r="F852" t="s">
        <v>49</v>
      </c>
      <c r="G852">
        <v>-249.88669999999999</v>
      </c>
      <c r="H852">
        <v>0.51979359999999997</v>
      </c>
      <c r="I852">
        <v>357.9742</v>
      </c>
      <c r="J852">
        <v>-337.44380000000001</v>
      </c>
      <c r="K852">
        <v>1.1205160000000001</v>
      </c>
      <c r="L852">
        <v>367.28469999999999</v>
      </c>
      <c r="M852">
        <v>0.99994419999999995</v>
      </c>
      <c r="N852">
        <v>-7.5964559999999997E-3</v>
      </c>
      <c r="O852">
        <v>-7.357288E-3</v>
      </c>
      <c r="P852">
        <v>0.99774390000000002</v>
      </c>
      <c r="Q852">
        <v>-6.7119499999999999E-2</v>
      </c>
      <c r="R852">
        <v>1.5967620000000001E-3</v>
      </c>
      <c r="S852">
        <v>3.0059809999999998</v>
      </c>
      <c r="T852">
        <v>-2.0571590000000001E-2</v>
      </c>
      <c r="U852">
        <v>-0.31896970000000002</v>
      </c>
      <c r="V852">
        <v>-8.9231139999999994E-3</v>
      </c>
      <c r="W852">
        <v>-5.9540740000000002E-2</v>
      </c>
      <c r="X852">
        <v>0.99818600000000002</v>
      </c>
      <c r="Y852">
        <v>9.8195169999999998E-2</v>
      </c>
      <c r="Z852">
        <v>-7.1461989999999998E-4</v>
      </c>
      <c r="AA852">
        <v>0.99516689999999997</v>
      </c>
      <c r="AB852">
        <v>37</v>
      </c>
      <c r="AC852">
        <v>87.557100000000005</v>
      </c>
      <c r="AD852">
        <v>-0.60072239999999999</v>
      </c>
      <c r="AE852">
        <v>-9.3104999999999905</v>
      </c>
      <c r="AF852">
        <v>8.6656433328106797</v>
      </c>
      <c r="AG852">
        <v>-0.60072239999999999</v>
      </c>
      <c r="AH852">
        <v>87.619153795687794</v>
      </c>
      <c r="AI852">
        <v>90.390910170737399</v>
      </c>
      <c r="AJ852">
        <v>84.351744377575898</v>
      </c>
      <c r="AK852">
        <v>88.048681725768802</v>
      </c>
      <c r="AL852">
        <v>93.413451957548105</v>
      </c>
      <c r="AM852">
        <v>90.512172234948906</v>
      </c>
      <c r="AN852">
        <v>1.0000000061395999</v>
      </c>
    </row>
    <row r="853" spans="1:40" x14ac:dyDescent="0.25">
      <c r="A853" t="str">
        <f>"20190303153756803"</f>
        <v>20190303153756803</v>
      </c>
      <c r="B853" t="str">
        <f>"1551598676799503"</f>
        <v>1551598676799503</v>
      </c>
      <c r="C853" t="s">
        <v>40</v>
      </c>
      <c r="D853">
        <v>4.2603580000000001</v>
      </c>
      <c r="E853">
        <v>0.54123319999999997</v>
      </c>
      <c r="F853" t="s">
        <v>49</v>
      </c>
      <c r="G853">
        <v>-249.8974</v>
      </c>
      <c r="H853">
        <v>0.47182039999999997</v>
      </c>
      <c r="I853">
        <v>357.96769999999998</v>
      </c>
      <c r="J853">
        <v>-337.24279999999999</v>
      </c>
      <c r="K853">
        <v>1.1205799999999999</v>
      </c>
      <c r="L853">
        <v>367.2833</v>
      </c>
      <c r="M853">
        <v>0.99994119999999997</v>
      </c>
      <c r="N853">
        <v>-8.0324779999999991E-3</v>
      </c>
      <c r="O853">
        <v>-7.300661E-3</v>
      </c>
      <c r="P853">
        <v>0.99772969999999905</v>
      </c>
      <c r="Q853">
        <v>-6.7339549999999998E-2</v>
      </c>
      <c r="R853">
        <v>1.0476699999999999E-3</v>
      </c>
      <c r="S853">
        <v>3.005798</v>
      </c>
      <c r="T853">
        <v>-2.2269250000000001E-2</v>
      </c>
      <c r="U853">
        <v>-0.31988529999999998</v>
      </c>
      <c r="V853">
        <v>-8.3177830000000005E-3</v>
      </c>
      <c r="W853">
        <v>-5.93254E-2</v>
      </c>
      <c r="X853">
        <v>0.99820410000000004</v>
      </c>
      <c r="Y853">
        <v>9.8556820000000003E-2</v>
      </c>
      <c r="Z853">
        <v>-7.655731E-4</v>
      </c>
      <c r="AA853">
        <v>0.99513110000000005</v>
      </c>
      <c r="AB853">
        <v>37</v>
      </c>
      <c r="AC853">
        <v>87.345399999999898</v>
      </c>
      <c r="AD853">
        <v>-0.64875959999999899</v>
      </c>
      <c r="AE853">
        <v>-9.3156000000000105</v>
      </c>
      <c r="AF853">
        <v>8.6771787458995302</v>
      </c>
      <c r="AG853">
        <v>-0.64875959999999899</v>
      </c>
      <c r="AH853">
        <v>87.406316501525893</v>
      </c>
      <c r="AI853">
        <v>90.423180971923401</v>
      </c>
      <c r="AJ853">
        <v>84.330592053718505</v>
      </c>
      <c r="AK853">
        <v>87.838365674526401</v>
      </c>
      <c r="AL853">
        <v>93.401091862776397</v>
      </c>
      <c r="AM853">
        <v>90.4774202300041</v>
      </c>
      <c r="AN853">
        <v>1.0000000569280001</v>
      </c>
    </row>
    <row r="854" spans="1:40" x14ac:dyDescent="0.25">
      <c r="A854" t="str">
        <f>"20190303153756815"</f>
        <v>20190303153756815</v>
      </c>
      <c r="B854" t="str">
        <f>"1551598676810239"</f>
        <v>1551598676810239</v>
      </c>
      <c r="C854" t="s">
        <v>40</v>
      </c>
      <c r="D854">
        <v>4.2464740000000001</v>
      </c>
      <c r="E854">
        <v>0.54128339999999997</v>
      </c>
      <c r="F854" t="s">
        <v>49</v>
      </c>
      <c r="G854">
        <v>-249.8998</v>
      </c>
      <c r="H854">
        <v>0.46115129999999999</v>
      </c>
      <c r="I854">
        <v>357.87560000000002</v>
      </c>
      <c r="J854">
        <v>-337.0487</v>
      </c>
      <c r="K854">
        <v>1.120635</v>
      </c>
      <c r="L854">
        <v>367.28190000000001</v>
      </c>
      <c r="M854">
        <v>0.99993810000000005</v>
      </c>
      <c r="N854">
        <v>-8.4431030000000004E-3</v>
      </c>
      <c r="O854">
        <v>-7.2468899999999998E-3</v>
      </c>
      <c r="P854">
        <v>0.99769929999999996</v>
      </c>
      <c r="Q854">
        <v>-6.7795279999999999E-2</v>
      </c>
      <c r="R854">
        <v>3.0091949999999998E-4</v>
      </c>
      <c r="S854">
        <v>3.0056150000000001</v>
      </c>
      <c r="T854">
        <v>-2.26891E-2</v>
      </c>
      <c r="U854">
        <v>-0.32373049999999998</v>
      </c>
      <c r="V854">
        <v>-7.5176369999999998E-3</v>
      </c>
      <c r="W854">
        <v>-5.9371149999999998E-2</v>
      </c>
      <c r="X854">
        <v>0.99820770000000003</v>
      </c>
      <c r="Y854">
        <v>9.9874900000000003E-2</v>
      </c>
      <c r="Z854">
        <v>-8.0521929999999905E-4</v>
      </c>
      <c r="AA854">
        <v>0.99499959999999998</v>
      </c>
      <c r="AB854">
        <v>37</v>
      </c>
      <c r="AC854">
        <v>87.148899999999998</v>
      </c>
      <c r="AD854">
        <v>-0.65948370000000001</v>
      </c>
      <c r="AE854">
        <v>-9.4062999999999803</v>
      </c>
      <c r="AF854">
        <v>8.7739753302412904</v>
      </c>
      <c r="AG854">
        <v>-0.65948370000000001</v>
      </c>
      <c r="AH854">
        <v>87.209843734255301</v>
      </c>
      <c r="AI854">
        <v>90.431088167555103</v>
      </c>
      <c r="AJ854">
        <v>84.254939239630403</v>
      </c>
      <c r="AK854">
        <v>87.65257786283</v>
      </c>
      <c r="AL854">
        <v>93.403717863775597</v>
      </c>
      <c r="AM854">
        <v>90.431494095797007</v>
      </c>
      <c r="AN854">
        <v>1.0000000303288299</v>
      </c>
    </row>
    <row r="855" spans="1:40" x14ac:dyDescent="0.25">
      <c r="A855" t="str">
        <f>"20190303153756831"</f>
        <v>20190303153756831</v>
      </c>
      <c r="B855" t="str">
        <f>"1551598676819998"</f>
        <v>1551598676819998</v>
      </c>
      <c r="C855" t="s">
        <v>40</v>
      </c>
      <c r="D855">
        <v>4.2673100000000002</v>
      </c>
      <c r="E855">
        <v>0.54133830000000005</v>
      </c>
      <c r="F855" t="s">
        <v>49</v>
      </c>
      <c r="G855">
        <v>-249.90940000000001</v>
      </c>
      <c r="H855">
        <v>0.41837859999999999</v>
      </c>
      <c r="I855">
        <v>357.80509999999998</v>
      </c>
      <c r="J855">
        <v>-336.78390000000002</v>
      </c>
      <c r="K855">
        <v>1.1207</v>
      </c>
      <c r="L855">
        <v>367.2801</v>
      </c>
      <c r="M855">
        <v>0.99993390000000004</v>
      </c>
      <c r="N855">
        <v>-8.9832619999999901E-3</v>
      </c>
      <c r="O855">
        <v>-7.1757829999999998E-3</v>
      </c>
      <c r="P855">
        <v>0.99772700000000003</v>
      </c>
      <c r="Q855">
        <v>-6.7382570000000003E-2</v>
      </c>
      <c r="R855">
        <v>-7.7999639999999995E-4</v>
      </c>
      <c r="S855">
        <v>3.0053709999999998</v>
      </c>
      <c r="T855">
        <v>-2.4217369999999998E-2</v>
      </c>
      <c r="U855">
        <v>-0.3268433</v>
      </c>
      <c r="V855">
        <v>-6.3675390000000002E-3</v>
      </c>
      <c r="W855">
        <v>-5.8418589999999999E-2</v>
      </c>
      <c r="X855">
        <v>0.99827189999999999</v>
      </c>
      <c r="Y855">
        <v>0.1009719</v>
      </c>
      <c r="Z855">
        <v>-8.6713589999999998E-4</v>
      </c>
      <c r="AA855">
        <v>0.99488889999999996</v>
      </c>
      <c r="AB855">
        <v>36</v>
      </c>
      <c r="AC855">
        <v>86.874499999999998</v>
      </c>
      <c r="AD855">
        <v>-0.70232139999999998</v>
      </c>
      <c r="AE855">
        <v>-9.4750000000000192</v>
      </c>
      <c r="AF855">
        <v>8.8507666646393695</v>
      </c>
      <c r="AG855">
        <v>-0.70232139999999998</v>
      </c>
      <c r="AH855">
        <v>86.934641481788802</v>
      </c>
      <c r="AI855">
        <v>90.460486745796601</v>
      </c>
      <c r="AJ855">
        <v>84.186778878134106</v>
      </c>
      <c r="AK855">
        <v>87.386848069191501</v>
      </c>
      <c r="AL855">
        <v>93.349045289620904</v>
      </c>
      <c r="AM855">
        <v>90.365459713764295</v>
      </c>
      <c r="AN855">
        <v>1.0000000317700499</v>
      </c>
    </row>
    <row r="856" spans="1:40" x14ac:dyDescent="0.25">
      <c r="A856" t="str">
        <f>"20190303153756842"</f>
        <v>20190303153756842</v>
      </c>
      <c r="B856" t="str">
        <f>"1551598676829759"</f>
        <v>1551598676829759</v>
      </c>
      <c r="C856" t="s">
        <v>40</v>
      </c>
      <c r="D856">
        <v>4.2514029999999998</v>
      </c>
      <c r="E856">
        <v>0.54141689999999998</v>
      </c>
      <c r="F856" t="s">
        <v>49</v>
      </c>
      <c r="G856">
        <v>-249.90350000000001</v>
      </c>
      <c r="H856">
        <v>0.44463009999999997</v>
      </c>
      <c r="I856">
        <v>357.73750000000001</v>
      </c>
      <c r="J856">
        <v>-336.60210000000001</v>
      </c>
      <c r="K856">
        <v>1.120736</v>
      </c>
      <c r="L856">
        <v>367.27879999999999</v>
      </c>
      <c r="M856">
        <v>0.99993120000000002</v>
      </c>
      <c r="N856">
        <v>-9.3315729999999993E-3</v>
      </c>
      <c r="O856">
        <v>-7.132434E-3</v>
      </c>
      <c r="P856">
        <v>0.99768639999999997</v>
      </c>
      <c r="Q856">
        <v>-6.7977940000000001E-2</v>
      </c>
      <c r="R856">
        <v>-1.171152E-3</v>
      </c>
      <c r="S856">
        <v>3.0049440000000001</v>
      </c>
      <c r="T856">
        <v>-2.3380399999999999E-2</v>
      </c>
      <c r="U856">
        <v>-0.330047599999999</v>
      </c>
      <c r="V856">
        <v>-5.9328540000000004E-3</v>
      </c>
      <c r="W856">
        <v>-5.86664E-2</v>
      </c>
      <c r="X856">
        <v>0.99826000000000004</v>
      </c>
      <c r="Y856">
        <v>0.10207860000000001</v>
      </c>
      <c r="Z856">
        <v>-8.8469739999999996E-4</v>
      </c>
      <c r="AA856">
        <v>0.99477599999999999</v>
      </c>
      <c r="AB856">
        <v>36</v>
      </c>
      <c r="AC856">
        <v>86.698599999999999</v>
      </c>
      <c r="AD856">
        <v>-0.67610590000000004</v>
      </c>
      <c r="AE856">
        <v>-9.5412999999999695</v>
      </c>
      <c r="AF856">
        <v>8.9221223280917705</v>
      </c>
      <c r="AG856">
        <v>-0.67610590000000004</v>
      </c>
      <c r="AH856">
        <v>86.759237115306803</v>
      </c>
      <c r="AI856">
        <v>90.444148838761507</v>
      </c>
      <c r="AJ856">
        <v>84.128472791713193</v>
      </c>
      <c r="AK856">
        <v>87.219416478531201</v>
      </c>
      <c r="AL856">
        <v>93.363268302396804</v>
      </c>
      <c r="AM856">
        <v>90.340515990317797</v>
      </c>
      <c r="AN856">
        <v>0.99999998642277199</v>
      </c>
    </row>
    <row r="857" spans="1:40" x14ac:dyDescent="0.25">
      <c r="A857" t="str">
        <f>"20190303153756854"</f>
        <v>20190303153756854</v>
      </c>
      <c r="B857" t="str">
        <f>"1551598676850255"</f>
        <v>1551598676850255</v>
      </c>
      <c r="C857" t="s">
        <v>40</v>
      </c>
      <c r="D857">
        <v>4.2523</v>
      </c>
      <c r="E857">
        <v>0.54151210000000005</v>
      </c>
      <c r="F857" t="s">
        <v>43</v>
      </c>
      <c r="G857">
        <v>-199.53309999999999</v>
      </c>
      <c r="H857">
        <v>-0.05</v>
      </c>
      <c r="I857">
        <v>352.12009999999998</v>
      </c>
      <c r="J857">
        <v>-336.42079999999999</v>
      </c>
      <c r="K857">
        <v>1.120765</v>
      </c>
      <c r="L857">
        <v>367.27749999999997</v>
      </c>
      <c r="M857">
        <v>0.99992820000000004</v>
      </c>
      <c r="N857">
        <v>-9.6691199999999998E-3</v>
      </c>
      <c r="O857">
        <v>-7.0912469999999898E-3</v>
      </c>
      <c r="P857">
        <v>0.99766200000000005</v>
      </c>
      <c r="Q857">
        <v>-6.8325070000000002E-2</v>
      </c>
      <c r="R857">
        <v>-1.6115470000000001E-3</v>
      </c>
      <c r="S857">
        <v>3.004791</v>
      </c>
      <c r="T857">
        <v>-2.5664570000000001E-2</v>
      </c>
      <c r="U857">
        <v>-0.33230589999999999</v>
      </c>
      <c r="V857">
        <v>-5.4520819999999996E-3</v>
      </c>
      <c r="W857">
        <v>-5.8676590000000001E-2</v>
      </c>
      <c r="X857">
        <v>0.99826219999999999</v>
      </c>
      <c r="Y857">
        <v>0.1028625</v>
      </c>
      <c r="Z857">
        <v>-9.4477020000000001E-4</v>
      </c>
      <c r="AA857">
        <v>0.99469510000000005</v>
      </c>
      <c r="AB857">
        <v>36</v>
      </c>
      <c r="AC857">
        <v>136.8877</v>
      </c>
      <c r="AD857">
        <v>-1.1707650000000001</v>
      </c>
      <c r="AE857">
        <v>-15.1573999999999</v>
      </c>
      <c r="AF857">
        <v>14.1852440024449</v>
      </c>
      <c r="AG857">
        <v>-1.1707650000000001</v>
      </c>
      <c r="AH857">
        <v>136.981848996114</v>
      </c>
      <c r="AI857">
        <v>90.487082623471494</v>
      </c>
      <c r="AJ857">
        <v>84.087772177010095</v>
      </c>
      <c r="AK857">
        <v>137.719347923551</v>
      </c>
      <c r="AL857">
        <v>93.363852961067707</v>
      </c>
      <c r="AM857">
        <v>90.312921978043903</v>
      </c>
      <c r="AN857">
        <v>1.0000000436805001</v>
      </c>
    </row>
    <row r="858" spans="1:40" x14ac:dyDescent="0.25">
      <c r="A858" t="str">
        <f>"20190303153756864"</f>
        <v>20190303153756864</v>
      </c>
      <c r="B858" t="str">
        <f>"1551598676860015"</f>
        <v>1551598676860015</v>
      </c>
      <c r="C858" t="s">
        <v>40</v>
      </c>
      <c r="D858">
        <v>4.2625070000000003</v>
      </c>
      <c r="E858">
        <v>0.54152210000000001</v>
      </c>
      <c r="F858" t="s">
        <v>43</v>
      </c>
      <c r="G858">
        <v>-200.3272</v>
      </c>
      <c r="H858">
        <v>-0.05</v>
      </c>
      <c r="I858">
        <v>352.15030000000002</v>
      </c>
      <c r="J858">
        <v>-336.23630000000003</v>
      </c>
      <c r="K858">
        <v>1.1207849999999999</v>
      </c>
      <c r="L858">
        <v>367.27620000000002</v>
      </c>
      <c r="M858">
        <v>0.99992510000000001</v>
      </c>
      <c r="N858">
        <v>-9.9952889999999992E-3</v>
      </c>
      <c r="O858">
        <v>-7.0537719999999998E-3</v>
      </c>
      <c r="P858">
        <v>0.99766659999999996</v>
      </c>
      <c r="Q858">
        <v>-6.82508E-2</v>
      </c>
      <c r="R858">
        <v>-1.828966E-3</v>
      </c>
      <c r="S858">
        <v>3.0047299999999999</v>
      </c>
      <c r="T858">
        <v>-2.5848630000000001E-2</v>
      </c>
      <c r="U858">
        <v>-0.33398440000000001</v>
      </c>
      <c r="V858">
        <v>-5.1980139999999999E-3</v>
      </c>
      <c r="W858">
        <v>-5.8276500000000002E-2</v>
      </c>
      <c r="X858">
        <v>0.99828700000000004</v>
      </c>
      <c r="Y858">
        <v>0.1034506</v>
      </c>
      <c r="Z858">
        <v>-9.7204029999999996E-4</v>
      </c>
      <c r="AA858">
        <v>0.99463409999999997</v>
      </c>
      <c r="AB858">
        <v>36</v>
      </c>
      <c r="AC858">
        <v>135.9091</v>
      </c>
      <c r="AD858">
        <v>-1.170785</v>
      </c>
      <c r="AE858">
        <v>-15.1259</v>
      </c>
      <c r="AF858">
        <v>14.1657655307234</v>
      </c>
      <c r="AG858">
        <v>-1.170785</v>
      </c>
      <c r="AH858">
        <v>136.00244934160801</v>
      </c>
      <c r="AI858">
        <v>90.490568110205103</v>
      </c>
      <c r="AJ858">
        <v>84.053618839079704</v>
      </c>
      <c r="AK858">
        <v>136.74321144943201</v>
      </c>
      <c r="AL858">
        <v>93.340890171105301</v>
      </c>
      <c r="AM858">
        <v>90.298332616312706</v>
      </c>
      <c r="AN858">
        <v>1.00000005208539</v>
      </c>
    </row>
    <row r="859" spans="1:40" x14ac:dyDescent="0.25">
      <c r="A859" t="str">
        <f>"20190303153756876"</f>
        <v>20190303153756876</v>
      </c>
      <c r="B859" t="str">
        <f>"1551598676869774"</f>
        <v>1551598676869774</v>
      </c>
      <c r="C859" t="s">
        <v>40</v>
      </c>
      <c r="D859">
        <v>4.2476430000000001</v>
      </c>
      <c r="E859">
        <v>0.54156769999999999</v>
      </c>
      <c r="F859" t="s">
        <v>43</v>
      </c>
      <c r="G859">
        <v>-198.43090000000001</v>
      </c>
      <c r="H859">
        <v>-0.05</v>
      </c>
      <c r="I859">
        <v>351.93209999999999</v>
      </c>
      <c r="J859">
        <v>-336.04520000000002</v>
      </c>
      <c r="K859">
        <v>1.120806</v>
      </c>
      <c r="L859">
        <v>367.2749</v>
      </c>
      <c r="M859">
        <v>0.99992219999999998</v>
      </c>
      <c r="N859">
        <v>-1.031546E-2</v>
      </c>
      <c r="O859">
        <v>-7.0211090000000002E-3</v>
      </c>
      <c r="P859">
        <v>0.99763740000000001</v>
      </c>
      <c r="Q859">
        <v>-6.8674940000000004E-2</v>
      </c>
      <c r="R859">
        <v>-1.910557E-3</v>
      </c>
      <c r="S859">
        <v>3.0047000000000001</v>
      </c>
      <c r="T859">
        <v>-2.552772E-2</v>
      </c>
      <c r="U859">
        <v>-0.33456419999999998</v>
      </c>
      <c r="V859">
        <v>-5.0842149999999996E-3</v>
      </c>
      <c r="W859">
        <v>-5.8381179999999998E-2</v>
      </c>
      <c r="X859">
        <v>0.99828139999999999</v>
      </c>
      <c r="Y859">
        <v>0.1036738</v>
      </c>
      <c r="Z859">
        <v>-9.8819500000000009E-4</v>
      </c>
      <c r="AA859">
        <v>0.99461080000000002</v>
      </c>
      <c r="AB859">
        <v>36</v>
      </c>
      <c r="AC859">
        <v>137.61429999999999</v>
      </c>
      <c r="AD859">
        <v>-1.170806</v>
      </c>
      <c r="AE859">
        <v>-15.3428</v>
      </c>
      <c r="AF859">
        <v>14.375137673796001</v>
      </c>
      <c r="AG859">
        <v>-1.170806</v>
      </c>
      <c r="AH859">
        <v>137.708791345348</v>
      </c>
      <c r="AI859">
        <v>90.484487006269006</v>
      </c>
      <c r="AJ859">
        <v>84.040595035445406</v>
      </c>
      <c r="AK859">
        <v>138.46200411530501</v>
      </c>
      <c r="AL859">
        <v>93.346898355137995</v>
      </c>
      <c r="AM859">
        <v>90.291803035727398</v>
      </c>
      <c r="AN859">
        <v>0.99999998250315902</v>
      </c>
    </row>
    <row r="860" spans="1:40" x14ac:dyDescent="0.25">
      <c r="A860" t="str">
        <f>"20190303153756887"</f>
        <v>20190303153756887</v>
      </c>
      <c r="B860" t="str">
        <f>"1551598676879534"</f>
        <v>1551598676879534</v>
      </c>
      <c r="C860" t="s">
        <v>40</v>
      </c>
      <c r="D860">
        <v>4.2342550000000001</v>
      </c>
      <c r="E860">
        <v>0.54153949999999995</v>
      </c>
      <c r="F860" t="s">
        <v>43</v>
      </c>
      <c r="G860">
        <v>-203.60249999999999</v>
      </c>
      <c r="H860">
        <v>-0.05</v>
      </c>
      <c r="I860">
        <v>352.4871</v>
      </c>
      <c r="J860">
        <v>-335.86200000000002</v>
      </c>
      <c r="K860">
        <v>1.120817</v>
      </c>
      <c r="L860">
        <v>367.27370000000002</v>
      </c>
      <c r="M860">
        <v>0.99991920000000001</v>
      </c>
      <c r="N860">
        <v>-1.0611260000000001E-2</v>
      </c>
      <c r="O860">
        <v>-6.9933900000000004E-3</v>
      </c>
      <c r="P860">
        <v>0.99763069999999998</v>
      </c>
      <c r="Q860">
        <v>-6.8771750000000006E-2</v>
      </c>
      <c r="R860">
        <v>-1.918353E-3</v>
      </c>
      <c r="S860">
        <v>3.0046080000000002</v>
      </c>
      <c r="T860">
        <v>-2.6561020000000001E-2</v>
      </c>
      <c r="U860">
        <v>-0.33547969999999999</v>
      </c>
      <c r="V860">
        <v>-5.0504759999999999E-3</v>
      </c>
      <c r="W860">
        <v>-5.8182629999999999E-2</v>
      </c>
      <c r="X860">
        <v>0.99829319999999999</v>
      </c>
      <c r="Y860">
        <v>0.10400330000000001</v>
      </c>
      <c r="Z860">
        <v>-1.0241849999999999E-3</v>
      </c>
      <c r="AA860">
        <v>0.99457640000000003</v>
      </c>
      <c r="AB860">
        <v>36</v>
      </c>
      <c r="AC860">
        <v>132.25949999999901</v>
      </c>
      <c r="AD860">
        <v>-1.170817</v>
      </c>
      <c r="AE860">
        <v>-14.7866</v>
      </c>
      <c r="AF860">
        <v>13.860171234698999</v>
      </c>
      <c r="AG860">
        <v>-1.170817</v>
      </c>
      <c r="AH860">
        <v>132.34943606423599</v>
      </c>
      <c r="AI860">
        <v>90.504092032652096</v>
      </c>
      <c r="AJ860">
        <v>84.0215448820353</v>
      </c>
      <c r="AK860">
        <v>133.07835430912101</v>
      </c>
      <c r="AL860">
        <v>93.335502784128195</v>
      </c>
      <c r="AM860">
        <v>90.289863229151194</v>
      </c>
      <c r="AN860">
        <v>1.0000000194538901</v>
      </c>
    </row>
    <row r="861" spans="1:40" x14ac:dyDescent="0.25">
      <c r="A861" t="str">
        <f>"20190303153756899"</f>
        <v>20190303153756899</v>
      </c>
      <c r="B861" t="str">
        <f>"1551598676890272"</f>
        <v>1551598676890272</v>
      </c>
      <c r="C861" t="s">
        <v>40</v>
      </c>
      <c r="D861">
        <v>4.2357259999999997</v>
      </c>
      <c r="E861">
        <v>0.54153560000000001</v>
      </c>
      <c r="F861" t="s">
        <v>43</v>
      </c>
      <c r="G861">
        <v>-206.49629999999999</v>
      </c>
      <c r="H861">
        <v>-0.05</v>
      </c>
      <c r="I861">
        <v>352.83210000000003</v>
      </c>
      <c r="J861">
        <v>-335.68090000000001</v>
      </c>
      <c r="K861">
        <v>1.1208229999999999</v>
      </c>
      <c r="L861">
        <v>367.2724</v>
      </c>
      <c r="M861">
        <v>0.99991649999999999</v>
      </c>
      <c r="N861">
        <v>-1.0879949999999999E-2</v>
      </c>
      <c r="O861">
        <v>-6.9729769999999896E-3</v>
      </c>
      <c r="P861">
        <v>0.99762490000000004</v>
      </c>
      <c r="Q861">
        <v>-6.8855189999999997E-2</v>
      </c>
      <c r="R861">
        <v>-1.8713169999999999E-3</v>
      </c>
      <c r="S861">
        <v>3.0046390000000001</v>
      </c>
      <c r="T861">
        <v>-2.7193309999999998E-2</v>
      </c>
      <c r="U861">
        <v>-0.33541870000000001</v>
      </c>
      <c r="V861">
        <v>-5.0781400000000001E-3</v>
      </c>
      <c r="W861">
        <v>-5.7997800000000002E-2</v>
      </c>
      <c r="X861">
        <v>0.99830379999999996</v>
      </c>
      <c r="Y861">
        <v>0.1040021</v>
      </c>
      <c r="Z861">
        <v>-1.049464E-3</v>
      </c>
      <c r="AA861">
        <v>0.99457649999999997</v>
      </c>
      <c r="AB861">
        <v>36</v>
      </c>
      <c r="AC861">
        <v>129.18459999999999</v>
      </c>
      <c r="AD861">
        <v>-1.1708229999999999</v>
      </c>
      <c r="AE861">
        <v>-14.440299999999899</v>
      </c>
      <c r="AF861">
        <v>13.537996025611401</v>
      </c>
      <c r="AG861">
        <v>-1.1708229999999999</v>
      </c>
      <c r="AH861">
        <v>129.27166930717999</v>
      </c>
      <c r="AI861">
        <v>90.516095661159397</v>
      </c>
      <c r="AJ861">
        <v>84.021483046877194</v>
      </c>
      <c r="AK861">
        <v>129.983893803624</v>
      </c>
      <c r="AL861">
        <v>93.3248949413465</v>
      </c>
      <c r="AM861">
        <v>90.2914478341159</v>
      </c>
      <c r="AN861">
        <v>1.0000000047025599</v>
      </c>
    </row>
    <row r="862" spans="1:40" x14ac:dyDescent="0.25">
      <c r="A862" t="str">
        <f>"20190303153756909"</f>
        <v>20190303153756909</v>
      </c>
      <c r="B862" t="str">
        <f>"1551598676900030"</f>
        <v>1551598676900030</v>
      </c>
      <c r="C862" t="s">
        <v>40</v>
      </c>
      <c r="D862">
        <v>4.2563209999999998</v>
      </c>
      <c r="E862">
        <v>0.5415565</v>
      </c>
      <c r="F862" t="s">
        <v>49</v>
      </c>
      <c r="G862">
        <v>-249.9254</v>
      </c>
      <c r="H862">
        <v>0.3468484</v>
      </c>
      <c r="I862">
        <v>357.70440000000002</v>
      </c>
      <c r="J862">
        <v>-335.49950000000001</v>
      </c>
      <c r="K862">
        <v>1.1208199999999999</v>
      </c>
      <c r="L862">
        <v>367.27120000000002</v>
      </c>
      <c r="M862">
        <v>0.99991379999999996</v>
      </c>
      <c r="N862">
        <v>-1.1143399999999999E-2</v>
      </c>
      <c r="O862">
        <v>-6.9540089999999997E-3</v>
      </c>
      <c r="P862">
        <v>0.99759819999999999</v>
      </c>
      <c r="Q862">
        <v>-6.9246569999999993E-2</v>
      </c>
      <c r="R862">
        <v>-1.6775749999999999E-3</v>
      </c>
      <c r="S862">
        <v>3.0046390000000001</v>
      </c>
      <c r="T862">
        <v>-2.7114989999999999E-2</v>
      </c>
      <c r="U862">
        <v>-0.33523560000000002</v>
      </c>
      <c r="V862">
        <v>-5.2537549999999997E-3</v>
      </c>
      <c r="W862">
        <v>-5.812635E-2</v>
      </c>
      <c r="X862">
        <v>0.99829540000000005</v>
      </c>
      <c r="Y862">
        <v>0.103960999999999</v>
      </c>
      <c r="Z862">
        <v>-1.0634150000000001E-3</v>
      </c>
      <c r="AA862">
        <v>0.99458080000000004</v>
      </c>
      <c r="AB862">
        <v>36</v>
      </c>
      <c r="AC862">
        <v>85.574100000000001</v>
      </c>
      <c r="AD862">
        <v>-0.77397159999999998</v>
      </c>
      <c r="AE862">
        <v>-9.5668000000000006</v>
      </c>
      <c r="AF862">
        <v>8.9707239140416508</v>
      </c>
      <c r="AG862">
        <v>-0.77397159999999998</v>
      </c>
      <c r="AH862">
        <v>85.631643956011303</v>
      </c>
      <c r="AI862">
        <v>90.515028863364805</v>
      </c>
      <c r="AJ862">
        <v>84.0195396021238</v>
      </c>
      <c r="AK862">
        <v>86.103724461771407</v>
      </c>
      <c r="AL862">
        <v>93.332272809110293</v>
      </c>
      <c r="AM862">
        <v>90.301529195782507</v>
      </c>
      <c r="AN862">
        <v>0.99999999008354101</v>
      </c>
    </row>
    <row r="863" spans="1:40" x14ac:dyDescent="0.25">
      <c r="A863" t="str">
        <f>"20190303153756920"</f>
        <v>20190303153756920</v>
      </c>
      <c r="B863" t="str">
        <f>"1551598676909791"</f>
        <v>1551598676909791</v>
      </c>
      <c r="C863" t="s">
        <v>40</v>
      </c>
      <c r="D863">
        <v>4.2396000000000003</v>
      </c>
      <c r="E863">
        <v>0.541552699999999</v>
      </c>
      <c r="F863" t="s">
        <v>49</v>
      </c>
      <c r="G863">
        <v>-249.93020000000001</v>
      </c>
      <c r="H863">
        <v>0.32558290000000001</v>
      </c>
      <c r="I863">
        <v>357.74340000000001</v>
      </c>
      <c r="J863">
        <v>-335.32990000000001</v>
      </c>
      <c r="K863">
        <v>1.1208180000000001</v>
      </c>
      <c r="L863">
        <v>367.27</v>
      </c>
      <c r="M863">
        <v>0.99991140000000001</v>
      </c>
      <c r="N863">
        <v>-1.1366299999999999E-2</v>
      </c>
      <c r="O863">
        <v>-6.9418759999999996E-3</v>
      </c>
      <c r="P863">
        <v>0.99759540000000002</v>
      </c>
      <c r="Q863">
        <v>-6.9289249999999997E-2</v>
      </c>
      <c r="R863">
        <v>-1.5675960000000001E-3</v>
      </c>
      <c r="S863">
        <v>3.0047299999999999</v>
      </c>
      <c r="T863">
        <v>-2.7921439999999999E-2</v>
      </c>
      <c r="U863">
        <v>-0.33456419999999998</v>
      </c>
      <c r="V863">
        <v>-5.3523479999999998E-3</v>
      </c>
      <c r="W863">
        <v>-5.7946449999999997E-2</v>
      </c>
      <c r="X863">
        <v>0.99830529999999995</v>
      </c>
      <c r="Y863">
        <v>0.1037497</v>
      </c>
      <c r="Z863">
        <v>-1.0864119999999999E-3</v>
      </c>
      <c r="AA863">
        <v>0.99460289999999996</v>
      </c>
      <c r="AB863">
        <v>36</v>
      </c>
      <c r="AC863">
        <v>85.399699999999996</v>
      </c>
      <c r="AD863">
        <v>-0.79523509999999997</v>
      </c>
      <c r="AE863">
        <v>-9.52659999999997</v>
      </c>
      <c r="AF863">
        <v>8.9327330025101208</v>
      </c>
      <c r="AG863">
        <v>-0.79523509999999997</v>
      </c>
      <c r="AH863">
        <v>85.456459752883305</v>
      </c>
      <c r="AI863">
        <v>90.530274931887803</v>
      </c>
      <c r="AJ863">
        <v>84.032564095064401</v>
      </c>
      <c r="AK863">
        <v>85.925739049801393</v>
      </c>
      <c r="AL863">
        <v>93.321948010787196</v>
      </c>
      <c r="AM863">
        <v>90.307184598296701</v>
      </c>
      <c r="AN863">
        <v>0.99999995535240105</v>
      </c>
    </row>
    <row r="864" spans="1:40" x14ac:dyDescent="0.25">
      <c r="A864" t="str">
        <f>"20190303153756934"</f>
        <v>20190303153756934</v>
      </c>
      <c r="B864" t="str">
        <f>"1551598676930287"</f>
        <v>1551598676930287</v>
      </c>
      <c r="C864" t="s">
        <v>40</v>
      </c>
      <c r="D864">
        <v>4.2579129999999896</v>
      </c>
      <c r="E864">
        <v>0.54154469999999899</v>
      </c>
      <c r="F864" t="s">
        <v>49</v>
      </c>
      <c r="G864">
        <v>-249.9316</v>
      </c>
      <c r="H864">
        <v>0.31917079999999998</v>
      </c>
      <c r="I864">
        <v>357.76319999999998</v>
      </c>
      <c r="J864">
        <v>-335.12439999999998</v>
      </c>
      <c r="K864">
        <v>1.1208149999999999</v>
      </c>
      <c r="L864">
        <v>367.26859999999999</v>
      </c>
      <c r="M864">
        <v>0.99990849999999998</v>
      </c>
      <c r="N864">
        <v>-1.1627520000000001E-2</v>
      </c>
      <c r="O864">
        <v>-6.9286959999999998E-3</v>
      </c>
      <c r="P864">
        <v>0.99758329999999995</v>
      </c>
      <c r="Q864">
        <v>-6.9469439999999993E-2</v>
      </c>
      <c r="R864">
        <v>-1.369615E-3</v>
      </c>
      <c r="S864">
        <v>3.004791</v>
      </c>
      <c r="T864">
        <v>-2.8203490000000001E-2</v>
      </c>
      <c r="U864">
        <v>-0.3345032</v>
      </c>
      <c r="V864">
        <v>-5.5385019999999998E-3</v>
      </c>
      <c r="W864">
        <v>-5.7865890000000003E-2</v>
      </c>
      <c r="X864">
        <v>0.998309</v>
      </c>
      <c r="Y864">
        <v>0.1037404</v>
      </c>
      <c r="Z864">
        <v>-1.105883E-3</v>
      </c>
      <c r="AA864">
        <v>0.99460380000000004</v>
      </c>
      <c r="AB864">
        <v>36</v>
      </c>
      <c r="AC864">
        <v>85.192799999999906</v>
      </c>
      <c r="AD864">
        <v>-0.80164419999999903</v>
      </c>
      <c r="AE864">
        <v>-9.5053999999999998</v>
      </c>
      <c r="AF864">
        <v>8.9140773685752794</v>
      </c>
      <c r="AG864">
        <v>-0.80164419999999903</v>
      </c>
      <c r="AH864">
        <v>85.249163792995702</v>
      </c>
      <c r="AI864">
        <v>90.535846170186801</v>
      </c>
      <c r="AJ864">
        <v>84.030560999898995</v>
      </c>
      <c r="AK864">
        <v>85.717695583592004</v>
      </c>
      <c r="AL864">
        <v>93.3173243633223</v>
      </c>
      <c r="AM864">
        <v>90.317867046931397</v>
      </c>
      <c r="AN864">
        <v>0.99999999785544802</v>
      </c>
    </row>
    <row r="865" spans="1:40" x14ac:dyDescent="0.25">
      <c r="A865" t="str">
        <f>"20190303153756947"</f>
        <v>20190303153756947</v>
      </c>
      <c r="B865" t="str">
        <f>"1551598676940047"</f>
        <v>1551598676940047</v>
      </c>
      <c r="C865" t="s">
        <v>40</v>
      </c>
      <c r="D865">
        <v>4.2523109999999997</v>
      </c>
      <c r="E865">
        <v>0.52141680000000001</v>
      </c>
      <c r="F865" t="s">
        <v>49</v>
      </c>
      <c r="G865">
        <v>-249.9314</v>
      </c>
      <c r="H865">
        <v>0.32003470000000001</v>
      </c>
      <c r="I865">
        <v>357.8211</v>
      </c>
      <c r="J865">
        <v>-334.88920000000002</v>
      </c>
      <c r="K865">
        <v>1.1208129999999901</v>
      </c>
      <c r="L865">
        <v>367.267</v>
      </c>
      <c r="M865">
        <v>0.9999053</v>
      </c>
      <c r="N865">
        <v>-1.190392E-2</v>
      </c>
      <c r="O865">
        <v>-6.9182690000000003E-3</v>
      </c>
      <c r="P865">
        <v>0.99756999999999996</v>
      </c>
      <c r="Q865">
        <v>-6.96663E-2</v>
      </c>
      <c r="R865">
        <v>-1.033352E-3</v>
      </c>
      <c r="S865">
        <v>3.0048219999999999</v>
      </c>
      <c r="T865">
        <v>-2.8241160000000001E-2</v>
      </c>
      <c r="U865">
        <v>-0.3332214</v>
      </c>
      <c r="V865">
        <v>-5.865561E-3</v>
      </c>
      <c r="W865">
        <v>-5.7786850000000001E-2</v>
      </c>
      <c r="X865">
        <v>0.99831170000000002</v>
      </c>
      <c r="Y865">
        <v>0.1033304</v>
      </c>
      <c r="Z865">
        <v>-1.1183359999999999E-3</v>
      </c>
      <c r="AA865">
        <v>0.99464640000000004</v>
      </c>
      <c r="AB865">
        <v>36</v>
      </c>
      <c r="AC865">
        <v>84.957800000000006</v>
      </c>
      <c r="AD865">
        <v>-0.80077829999999905</v>
      </c>
      <c r="AE865">
        <v>-9.4458999999999893</v>
      </c>
      <c r="AF865">
        <v>8.8570941293658407</v>
      </c>
      <c r="AG865">
        <v>-0.80077829999999905</v>
      </c>
      <c r="AH865">
        <v>85.013659892184194</v>
      </c>
      <c r="AI865">
        <v>90.536771204999198</v>
      </c>
      <c r="AJ865">
        <v>84.052133821532706</v>
      </c>
      <c r="AK865">
        <v>85.477551032807298</v>
      </c>
      <c r="AL865">
        <v>93.312788148210004</v>
      </c>
      <c r="AM865">
        <v>90.336636365823296</v>
      </c>
      <c r="AN865">
        <v>0.99999998759782804</v>
      </c>
    </row>
    <row r="866" spans="1:40" x14ac:dyDescent="0.25">
      <c r="A866" t="str">
        <f>"20190303153756962"</f>
        <v>20190303153756962</v>
      </c>
      <c r="B866" t="str">
        <f>"1551598676949806"</f>
        <v>1551598676949806</v>
      </c>
      <c r="C866" t="s">
        <v>40</v>
      </c>
      <c r="D866">
        <v>4.2085980000000003</v>
      </c>
      <c r="E866">
        <v>0.51399419999999996</v>
      </c>
      <c r="F866" t="s">
        <v>42</v>
      </c>
      <c r="G866">
        <v>-215.36259999999999</v>
      </c>
      <c r="H866" s="1">
        <v>-4.0062940000000003E-6</v>
      </c>
      <c r="I866">
        <v>360.43819999999999</v>
      </c>
      <c r="J866">
        <v>-334.66430000000003</v>
      </c>
      <c r="K866">
        <v>1.120806</v>
      </c>
      <c r="L866">
        <v>367.26549999999997</v>
      </c>
      <c r="M866">
        <v>0.99990250000000003</v>
      </c>
      <c r="N866">
        <v>-1.214227E-2</v>
      </c>
      <c r="O866">
        <v>-6.9125119999999896E-3</v>
      </c>
      <c r="P866">
        <v>0.99756599999999995</v>
      </c>
      <c r="Q866">
        <v>-6.9727120000000004E-2</v>
      </c>
      <c r="R866">
        <v>-6.9904799999999997E-4</v>
      </c>
      <c r="S866">
        <v>3.0051570000000001</v>
      </c>
      <c r="T866">
        <v>-2.8179760000000002E-2</v>
      </c>
      <c r="U866">
        <v>-0.17169189999999901</v>
      </c>
      <c r="V866">
        <v>-6.1955150000000004E-3</v>
      </c>
      <c r="W866">
        <v>-5.76097E-2</v>
      </c>
      <c r="X866">
        <v>0.99831999999999999</v>
      </c>
      <c r="Y866">
        <v>5.0131240000000001E-2</v>
      </c>
      <c r="Z866">
        <v>-5.5858679999999997E-4</v>
      </c>
      <c r="AA866">
        <v>0.99874249999999998</v>
      </c>
      <c r="AB866">
        <v>36</v>
      </c>
      <c r="AC866">
        <v>119.3017</v>
      </c>
      <c r="AD866">
        <v>-1.1208100062940001</v>
      </c>
      <c r="AE866">
        <v>-6.8272999999999797</v>
      </c>
      <c r="AF866">
        <v>6.0018737169363998</v>
      </c>
      <c r="AG866">
        <v>-1.1208100062940001</v>
      </c>
      <c r="AH866">
        <v>119.335548188403</v>
      </c>
      <c r="AI866">
        <v>90.5374319516132</v>
      </c>
      <c r="AJ866">
        <v>87.120786486591996</v>
      </c>
      <c r="AK866">
        <v>119.491638889969</v>
      </c>
      <c r="AL866">
        <v>93.302621082947795</v>
      </c>
      <c r="AM866">
        <v>90.3555696613885</v>
      </c>
      <c r="AN866">
        <v>1.0000000421701001</v>
      </c>
    </row>
    <row r="867" spans="1:40" x14ac:dyDescent="0.25">
      <c r="A867" t="str">
        <f>"20190303153756979"</f>
        <v>20190303153756979</v>
      </c>
      <c r="B867" t="str">
        <f>"1551598676970304"</f>
        <v>1551598676970304</v>
      </c>
      <c r="C867" t="s">
        <v>40</v>
      </c>
      <c r="D867">
        <v>4.2461080000000004</v>
      </c>
      <c r="E867">
        <v>0.50487709999999997</v>
      </c>
      <c r="F867" t="s">
        <v>43</v>
      </c>
      <c r="G867">
        <v>-147.88669999999999</v>
      </c>
      <c r="H867">
        <v>-0.05</v>
      </c>
      <c r="I867">
        <v>360.3347</v>
      </c>
      <c r="J867">
        <v>-334.39699999999999</v>
      </c>
      <c r="K867">
        <v>1.1207990000000001</v>
      </c>
      <c r="L867">
        <v>367.2636</v>
      </c>
      <c r="M867">
        <v>0.99989910000000004</v>
      </c>
      <c r="N867">
        <v>-1.2404760000000001E-2</v>
      </c>
      <c r="O867">
        <v>-6.9112399999999999E-3</v>
      </c>
      <c r="P867">
        <v>0.99753190000000003</v>
      </c>
      <c r="Q867">
        <v>-7.021637E-2</v>
      </c>
      <c r="R867">
        <v>1.080907E-4</v>
      </c>
      <c r="S867">
        <v>3.0059200000000001</v>
      </c>
      <c r="T867">
        <v>-1.8842459999999998E-2</v>
      </c>
      <c r="U867">
        <v>-0.11154169999999999</v>
      </c>
      <c r="V867">
        <v>-7.0018249999999997E-3</v>
      </c>
      <c r="W867">
        <v>-5.7837230000000003E-2</v>
      </c>
      <c r="X867">
        <v>0.99830140000000001</v>
      </c>
      <c r="Y867">
        <v>3.0172299999999999E-2</v>
      </c>
      <c r="Z867">
        <v>-3.2415470000000002E-4</v>
      </c>
      <c r="AA867">
        <v>0.99954469999999995</v>
      </c>
      <c r="AB867">
        <v>36</v>
      </c>
      <c r="AC867">
        <v>186.5103</v>
      </c>
      <c r="AD867">
        <v>-1.1707989999999999</v>
      </c>
      <c r="AE867">
        <v>-6.9288999999999898</v>
      </c>
      <c r="AF867">
        <v>5.6393958467625902</v>
      </c>
      <c r="AG867">
        <v>-1.1707989999999999</v>
      </c>
      <c r="AH867">
        <v>186.54639502548201</v>
      </c>
      <c r="AI867">
        <v>90.359429782806998</v>
      </c>
      <c r="AJ867">
        <v>88.268445737645607</v>
      </c>
      <c r="AK867">
        <v>186.635288873294</v>
      </c>
      <c r="AL867">
        <v>93.315679743401503</v>
      </c>
      <c r="AM867">
        <v>90.401851027467401</v>
      </c>
      <c r="AN867">
        <v>0.99999992798467896</v>
      </c>
    </row>
    <row r="868" spans="1:40" x14ac:dyDescent="0.25">
      <c r="A868" t="str">
        <f>"20190303153756992"</f>
        <v>20190303153756992</v>
      </c>
      <c r="B868" t="str">
        <f>"1551598676980063"</f>
        <v>1551598676980063</v>
      </c>
      <c r="C868" t="s">
        <v>40</v>
      </c>
      <c r="D868">
        <v>4.195614</v>
      </c>
      <c r="E868">
        <v>0.50254350000000003</v>
      </c>
      <c r="F868" t="s">
        <v>41</v>
      </c>
      <c r="G868">
        <v>-158.19499999999999</v>
      </c>
      <c r="H868">
        <v>0.63627029999999996</v>
      </c>
      <c r="I868">
        <v>365.13909999999998</v>
      </c>
      <c r="J868">
        <v>-334.17579999999998</v>
      </c>
      <c r="K868">
        <v>1.1207929999999999</v>
      </c>
      <c r="L868">
        <v>367.26209999999998</v>
      </c>
      <c r="M868">
        <v>0.99989680000000003</v>
      </c>
      <c r="N868">
        <v>-1.2605470000000001E-2</v>
      </c>
      <c r="O868">
        <v>-6.9156779999999998E-3</v>
      </c>
      <c r="P868">
        <v>0.99751380000000001</v>
      </c>
      <c r="Q868">
        <v>-7.0472770000000004E-2</v>
      </c>
      <c r="R868">
        <v>4.4159130000000002E-4</v>
      </c>
      <c r="S868">
        <v>3.006866</v>
      </c>
      <c r="T868">
        <v>-8.2669259999999904E-3</v>
      </c>
      <c r="U868">
        <v>-3.6254880000000003E-2</v>
      </c>
      <c r="V868">
        <v>-7.3407319999999896E-3</v>
      </c>
      <c r="W868">
        <v>-5.7893380000000001E-2</v>
      </c>
      <c r="X868">
        <v>0.99829579999999996</v>
      </c>
      <c r="Y868">
        <v>5.1407040000000003E-3</v>
      </c>
      <c r="Z868">
        <v>-1.076349E-4</v>
      </c>
      <c r="AA868">
        <v>0.99998679999999995</v>
      </c>
      <c r="AB868">
        <v>36</v>
      </c>
      <c r="AC868">
        <v>175.98079999999999</v>
      </c>
      <c r="AD868">
        <v>-0.48452269999999897</v>
      </c>
      <c r="AE868">
        <v>-2.12299999999999</v>
      </c>
      <c r="AF868">
        <v>0.90581931184694797</v>
      </c>
      <c r="AG868">
        <v>-0.48452269999999897</v>
      </c>
      <c r="AH868">
        <v>175.989940251875</v>
      </c>
      <c r="AI868">
        <v>90.157740083899895</v>
      </c>
      <c r="AJ868">
        <v>89.705101523401297</v>
      </c>
      <c r="AK868">
        <v>175.99293832631801</v>
      </c>
      <c r="AL868">
        <v>93.318902005457602</v>
      </c>
      <c r="AM868">
        <v>90.4213033670257</v>
      </c>
      <c r="AN868">
        <v>1.00000001704587</v>
      </c>
    </row>
    <row r="869" spans="1:40" x14ac:dyDescent="0.25">
      <c r="A869" t="str">
        <f>"20190303153757005"</f>
        <v>20190303153757005</v>
      </c>
      <c r="B869" t="str">
        <f>"1551598676999583"</f>
        <v>1551598676999583</v>
      </c>
      <c r="C869" t="s">
        <v>40</v>
      </c>
      <c r="D869">
        <v>4.2170209999999999</v>
      </c>
      <c r="E869">
        <v>0.49994110000000003</v>
      </c>
      <c r="F869" t="s">
        <v>41</v>
      </c>
      <c r="G869">
        <v>-158.19499999999999</v>
      </c>
      <c r="H869">
        <v>0.66801480000000002</v>
      </c>
      <c r="I869">
        <v>366.27620000000002</v>
      </c>
      <c r="J869">
        <v>-333.95909999999998</v>
      </c>
      <c r="K869">
        <v>1.120784</v>
      </c>
      <c r="L869">
        <v>367.26060000000001</v>
      </c>
      <c r="M869">
        <v>0.99989439999999996</v>
      </c>
      <c r="N869">
        <v>-1.2783350000000001E-2</v>
      </c>
      <c r="O869">
        <v>-6.9263220000000004E-3</v>
      </c>
      <c r="P869">
        <v>0.99747750000000002</v>
      </c>
      <c r="Q869">
        <v>-7.0980180000000004E-2</v>
      </c>
      <c r="R869">
        <v>9.448255E-4</v>
      </c>
      <c r="S869">
        <v>3.0068969999999999</v>
      </c>
      <c r="T869">
        <v>-7.7348950000000003E-3</v>
      </c>
      <c r="U869">
        <v>-1.6845699999999901E-2</v>
      </c>
      <c r="V869">
        <v>-7.8551630000000001E-3</v>
      </c>
      <c r="W869">
        <v>-5.8223539999999997E-2</v>
      </c>
      <c r="X869">
        <v>0.99827270000000001</v>
      </c>
      <c r="Y869">
        <v>-1.3242589999999999E-3</v>
      </c>
      <c r="Z869" s="1">
        <v>-6.0561289999999998E-5</v>
      </c>
      <c r="AA869">
        <v>0.99999910000000003</v>
      </c>
      <c r="AB869">
        <v>36</v>
      </c>
      <c r="AC869">
        <v>175.76409999999899</v>
      </c>
      <c r="AD869">
        <v>-0.45276919999999998</v>
      </c>
      <c r="AE869">
        <v>-0.98439999999999295</v>
      </c>
      <c r="AF869">
        <v>-0.233120183637128</v>
      </c>
      <c r="AG869">
        <v>-0.45276919999999998</v>
      </c>
      <c r="AH869">
        <v>175.765535732503</v>
      </c>
      <c r="AI869">
        <v>90.147592552476794</v>
      </c>
      <c r="AJ869">
        <v>90.075992115030104</v>
      </c>
      <c r="AK869">
        <v>175.76627348926201</v>
      </c>
      <c r="AL869">
        <v>93.337850686545295</v>
      </c>
      <c r="AM869">
        <v>90.4508371296143</v>
      </c>
      <c r="AN869">
        <v>1.0000000338805799</v>
      </c>
    </row>
    <row r="870" spans="1:40" x14ac:dyDescent="0.25">
      <c r="A870" t="str">
        <f>"20190303153757018"</f>
        <v>20190303153757018</v>
      </c>
      <c r="B870" t="str">
        <f>"1551598677010319"</f>
        <v>1551598677010319</v>
      </c>
      <c r="C870" t="s">
        <v>40</v>
      </c>
      <c r="D870">
        <v>4.2251859999999999</v>
      </c>
      <c r="E870">
        <v>0.4990195</v>
      </c>
      <c r="F870" t="s">
        <v>41</v>
      </c>
      <c r="G870">
        <v>-158.78319999999999</v>
      </c>
      <c r="H870">
        <v>0.65434409999999998</v>
      </c>
      <c r="I870">
        <v>367.5718</v>
      </c>
      <c r="J870">
        <v>-333.75779999999997</v>
      </c>
      <c r="K870">
        <v>1.1207659999999999</v>
      </c>
      <c r="L870">
        <v>367.25920000000002</v>
      </c>
      <c r="M870">
        <v>0.99989229999999996</v>
      </c>
      <c r="N870">
        <v>-1.293531E-2</v>
      </c>
      <c r="O870">
        <v>-6.9407560000000002E-3</v>
      </c>
      <c r="P870">
        <v>0.99743490000000001</v>
      </c>
      <c r="Q870">
        <v>-7.156738E-2</v>
      </c>
      <c r="R870">
        <v>1.4736790000000001E-3</v>
      </c>
      <c r="S870">
        <v>3.0070190000000001</v>
      </c>
      <c r="T870">
        <v>-8.0052609999999996E-3</v>
      </c>
      <c r="U870">
        <v>5.3405759999999997E-3</v>
      </c>
      <c r="V870">
        <v>-8.3995069999999901E-3</v>
      </c>
      <c r="W870">
        <v>-5.8659419999999997E-2</v>
      </c>
      <c r="X870">
        <v>0.99824270000000004</v>
      </c>
      <c r="Y870">
        <v>-8.7167719999999994E-3</v>
      </c>
      <c r="Z870" s="1">
        <v>-3.3251819999999999E-6</v>
      </c>
      <c r="AA870">
        <v>0.99996200000000002</v>
      </c>
      <c r="AB870">
        <v>36</v>
      </c>
      <c r="AC870">
        <v>174.97459999999899</v>
      </c>
      <c r="AD870">
        <v>-0.4664219</v>
      </c>
      <c r="AE870">
        <v>0.31259999999997401</v>
      </c>
      <c r="AF870">
        <v>-1.5271391723991801</v>
      </c>
      <c r="AG870">
        <v>-0.4664219</v>
      </c>
      <c r="AH870">
        <v>174.96697149956</v>
      </c>
      <c r="AI870">
        <v>90.152731255212302</v>
      </c>
      <c r="AJ870">
        <v>90.500073852546606</v>
      </c>
      <c r="AK870">
        <v>174.974257589991</v>
      </c>
      <c r="AL870">
        <v>93.362867697139095</v>
      </c>
      <c r="AM870">
        <v>90.482092124360904</v>
      </c>
      <c r="AN870">
        <v>0.99999998368793397</v>
      </c>
    </row>
    <row r="871" spans="1:40" x14ac:dyDescent="0.25">
      <c r="A871" t="str">
        <f>"20190303153757032"</f>
        <v>20190303153757032</v>
      </c>
      <c r="B871" t="str">
        <f>"1551598677020079"</f>
        <v>1551598677020079</v>
      </c>
      <c r="C871" t="s">
        <v>40</v>
      </c>
      <c r="D871">
        <v>4.2066460000000001</v>
      </c>
      <c r="E871">
        <v>0.4982801</v>
      </c>
      <c r="F871" t="s">
        <v>41</v>
      </c>
      <c r="G871">
        <v>-158.78319999999999</v>
      </c>
      <c r="H871">
        <v>0.59705259999999905</v>
      </c>
      <c r="I871">
        <v>368.11520000000002</v>
      </c>
      <c r="J871">
        <v>-333.52179999999998</v>
      </c>
      <c r="K871">
        <v>1.1207549999999999</v>
      </c>
      <c r="L871">
        <v>367.25760000000002</v>
      </c>
      <c r="M871">
        <v>0.99988999999999995</v>
      </c>
      <c r="N871">
        <v>-1.310176E-2</v>
      </c>
      <c r="O871">
        <v>-6.9618850000000001E-3</v>
      </c>
      <c r="P871">
        <v>0.99738070000000001</v>
      </c>
      <c r="Q871">
        <v>-7.2306750000000003E-2</v>
      </c>
      <c r="R871">
        <v>1.8906929999999999E-3</v>
      </c>
      <c r="S871">
        <v>3.0070190000000001</v>
      </c>
      <c r="T871">
        <v>-8.9987519999999901E-3</v>
      </c>
      <c r="U871">
        <v>1.4709470000000001E-2</v>
      </c>
      <c r="V871">
        <v>-8.8385519999999995E-3</v>
      </c>
      <c r="W871">
        <v>-5.9233109999999999E-2</v>
      </c>
      <c r="X871">
        <v>0.99820509999999996</v>
      </c>
      <c r="Y871">
        <v>-1.1853290000000001E-2</v>
      </c>
      <c r="Z871" s="1">
        <v>2.5006699999999999E-5</v>
      </c>
      <c r="AA871">
        <v>0.99992970000000003</v>
      </c>
      <c r="AB871">
        <v>36</v>
      </c>
      <c r="AC871">
        <v>174.73859999999999</v>
      </c>
      <c r="AD871">
        <v>-0.52370240000000001</v>
      </c>
      <c r="AE871">
        <v>0.85759999999999004</v>
      </c>
      <c r="AF871">
        <v>-2.0741749622121901</v>
      </c>
      <c r="AG871">
        <v>-0.52370240000000001</v>
      </c>
      <c r="AH871">
        <v>174.72682417112901</v>
      </c>
      <c r="AI871">
        <v>90.171717957783898</v>
      </c>
      <c r="AJ871">
        <v>90.680123901841</v>
      </c>
      <c r="AK871">
        <v>174.739919740472</v>
      </c>
      <c r="AL871">
        <v>93.395794738710194</v>
      </c>
      <c r="AM871">
        <v>90.507309061836594</v>
      </c>
      <c r="AN871">
        <v>1.0000000514938601</v>
      </c>
    </row>
    <row r="872" spans="1:40" x14ac:dyDescent="0.25">
      <c r="A872" t="str">
        <f>"20190303153757043"</f>
        <v>20190303153757043</v>
      </c>
      <c r="B872" t="str">
        <f>"1551598677039599"</f>
        <v>1551598677039599</v>
      </c>
      <c r="C872" t="s">
        <v>40</v>
      </c>
      <c r="D872">
        <v>4.2219259999999998</v>
      </c>
      <c r="E872">
        <v>0.49725599999999998</v>
      </c>
      <c r="F872" t="s">
        <v>41</v>
      </c>
      <c r="G872">
        <v>-158.78319999999999</v>
      </c>
      <c r="H872">
        <v>0.52846499999999996</v>
      </c>
      <c r="I872">
        <v>368.51839999999999</v>
      </c>
      <c r="J872">
        <v>-333.33800000000002</v>
      </c>
      <c r="K872">
        <v>1.120752</v>
      </c>
      <c r="L872">
        <v>367.25630000000001</v>
      </c>
      <c r="M872">
        <v>0.99988829999999995</v>
      </c>
      <c r="N872">
        <v>-1.321902E-2</v>
      </c>
      <c r="O872">
        <v>-6.9832779999999999E-3</v>
      </c>
      <c r="P872">
        <v>0.99735110000000005</v>
      </c>
      <c r="Q872">
        <v>-7.271503E-2</v>
      </c>
      <c r="R872">
        <v>1.8580789999999999E-3</v>
      </c>
      <c r="S872">
        <v>3.0071110000000001</v>
      </c>
      <c r="T872">
        <v>-1.019132E-2</v>
      </c>
      <c r="U872">
        <v>2.1697999999999999E-2</v>
      </c>
      <c r="V872">
        <v>-8.8274519999999995E-3</v>
      </c>
      <c r="W872">
        <v>-5.9524540000000001E-2</v>
      </c>
      <c r="X872">
        <v>0.99818779999999996</v>
      </c>
      <c r="Y872">
        <v>-1.419817E-2</v>
      </c>
      <c r="Z872" s="1">
        <v>4.9259319999999999E-5</v>
      </c>
      <c r="AA872">
        <v>0.99989919999999999</v>
      </c>
      <c r="AB872">
        <v>36</v>
      </c>
      <c r="AC872">
        <v>174.5548</v>
      </c>
      <c r="AD872">
        <v>-0.59228700000000001</v>
      </c>
      <c r="AE872">
        <v>1.26209999999997</v>
      </c>
      <c r="AF872">
        <v>-2.4811117932073801</v>
      </c>
      <c r="AG872">
        <v>-0.59228700000000001</v>
      </c>
      <c r="AH872">
        <v>174.539719227615</v>
      </c>
      <c r="AI872">
        <v>90.1944083966401</v>
      </c>
      <c r="AJ872">
        <v>90.814414396637304</v>
      </c>
      <c r="AK872">
        <v>174.55835788548001</v>
      </c>
      <c r="AL872">
        <v>93.412522173846099</v>
      </c>
      <c r="AM872">
        <v>90.506680765871195</v>
      </c>
      <c r="AN872">
        <v>0.99999998941993096</v>
      </c>
    </row>
    <row r="873" spans="1:40" x14ac:dyDescent="0.25">
      <c r="A873" t="str">
        <f>"20190303153757055"</f>
        <v>20190303153757055</v>
      </c>
      <c r="B873" t="str">
        <f>"1551598677049358"</f>
        <v>1551598677049358</v>
      </c>
      <c r="C873" t="s">
        <v>40</v>
      </c>
      <c r="D873">
        <v>4.1666509999999999</v>
      </c>
      <c r="E873">
        <v>0.49689309999999998</v>
      </c>
      <c r="F873" t="s">
        <v>41</v>
      </c>
      <c r="G873">
        <v>-158.78319999999999</v>
      </c>
      <c r="H873">
        <v>0.5715597</v>
      </c>
      <c r="I873">
        <v>368.9923</v>
      </c>
      <c r="J873">
        <v>-333.16449999999998</v>
      </c>
      <c r="K873">
        <v>1.1207450000000001</v>
      </c>
      <c r="L873">
        <v>367.25510000000003</v>
      </c>
      <c r="M873">
        <v>0.99988679999999996</v>
      </c>
      <c r="N873">
        <v>-1.332296E-2</v>
      </c>
      <c r="O873">
        <v>-7.0054189999999997E-3</v>
      </c>
      <c r="P873">
        <v>0.99732880000000002</v>
      </c>
      <c r="Q873">
        <v>-7.3024179999999994E-2</v>
      </c>
      <c r="R873">
        <v>1.7419919999999999E-3</v>
      </c>
      <c r="S873">
        <v>3.0072329999999998</v>
      </c>
      <c r="T873">
        <v>-9.4599720000000005E-3</v>
      </c>
      <c r="U873">
        <v>2.990723E-2</v>
      </c>
      <c r="V873">
        <v>-8.735006E-3</v>
      </c>
      <c r="W873">
        <v>-5.9730039999999998E-2</v>
      </c>
      <c r="X873">
        <v>0.99817630000000002</v>
      </c>
      <c r="Y873">
        <v>-1.6949260000000001E-2</v>
      </c>
      <c r="Z873" s="1">
        <v>6.827608E-5</v>
      </c>
      <c r="AA873">
        <v>0.99985639999999998</v>
      </c>
      <c r="AB873">
        <v>36</v>
      </c>
      <c r="AC873">
        <v>174.38129999999899</v>
      </c>
      <c r="AD873">
        <v>-0.54918529999999999</v>
      </c>
      <c r="AE873">
        <v>1.7371999999999701</v>
      </c>
      <c r="AF873">
        <v>-2.95885041034327</v>
      </c>
      <c r="AG873">
        <v>-0.54918529999999999</v>
      </c>
      <c r="AH873">
        <v>174.36312011937801</v>
      </c>
      <c r="AI873">
        <v>90.180435898879907</v>
      </c>
      <c r="AJ873">
        <v>90.972185922464902</v>
      </c>
      <c r="AK873">
        <v>174.389088127696</v>
      </c>
      <c r="AL873">
        <v>93.424317572364899</v>
      </c>
      <c r="AM873">
        <v>90.501380570696796</v>
      </c>
      <c r="AN873">
        <v>0.99999995194495395</v>
      </c>
    </row>
    <row r="874" spans="1:40" x14ac:dyDescent="0.25">
      <c r="A874" t="str">
        <f>"20190303153757065"</f>
        <v>20190303153757065</v>
      </c>
      <c r="B874" t="str">
        <f>"1551598677060094"</f>
        <v>1551598677060094</v>
      </c>
      <c r="C874" t="s">
        <v>40</v>
      </c>
      <c r="D874">
        <v>4.1804370000000004</v>
      </c>
      <c r="E874">
        <v>0.49667129999999998</v>
      </c>
      <c r="F874" t="s">
        <v>41</v>
      </c>
      <c r="G874">
        <v>-158.78319999999999</v>
      </c>
      <c r="H874">
        <v>0.65160430000000003</v>
      </c>
      <c r="I874">
        <v>369.12369999999999</v>
      </c>
      <c r="J874">
        <v>-332.97680000000003</v>
      </c>
      <c r="K874">
        <v>1.120738</v>
      </c>
      <c r="L874">
        <v>367.25369999999998</v>
      </c>
      <c r="M874">
        <v>0.99988509999999997</v>
      </c>
      <c r="N874">
        <v>-1.342815E-2</v>
      </c>
      <c r="O874">
        <v>-7.0318739999999996E-3</v>
      </c>
      <c r="P874">
        <v>0.99733760000000005</v>
      </c>
      <c r="Q874">
        <v>-7.2909349999999998E-2</v>
      </c>
      <c r="R874">
        <v>1.443759E-3</v>
      </c>
      <c r="S874">
        <v>3.0073850000000002</v>
      </c>
      <c r="T874">
        <v>-8.0893040000000003E-3</v>
      </c>
      <c r="U874">
        <v>3.2226560000000001E-2</v>
      </c>
      <c r="V874">
        <v>-8.4638149999999995E-3</v>
      </c>
      <c r="W874">
        <v>-5.9509930000000003E-2</v>
      </c>
      <c r="X874">
        <v>0.99819179999999996</v>
      </c>
      <c r="Y874">
        <v>-1.774624E-2</v>
      </c>
      <c r="Z874" s="1">
        <v>6.7512909999999996E-5</v>
      </c>
      <c r="AA874">
        <v>0.99984249999999997</v>
      </c>
      <c r="AB874">
        <v>36</v>
      </c>
      <c r="AC874">
        <v>174.1936</v>
      </c>
      <c r="AD874">
        <v>-0.46913369999999999</v>
      </c>
      <c r="AE874">
        <v>1.87</v>
      </c>
      <c r="AF874">
        <v>-3.0949492236237299</v>
      </c>
      <c r="AG874">
        <v>-0.46913369999999999</v>
      </c>
      <c r="AH874">
        <v>174.174878504894</v>
      </c>
      <c r="AI874">
        <v>90.154299367349097</v>
      </c>
      <c r="AJ874">
        <v>91.017993352260206</v>
      </c>
      <c r="AK874">
        <v>174.20300542562299</v>
      </c>
      <c r="AL874">
        <v>93.411683666501304</v>
      </c>
      <c r="AM874">
        <v>90.485807694294493</v>
      </c>
      <c r="AN874">
        <v>0.999999968760099</v>
      </c>
    </row>
    <row r="875" spans="1:40" x14ac:dyDescent="0.25">
      <c r="A875" t="str">
        <f>"20190303153757077"</f>
        <v>20190303153757077</v>
      </c>
      <c r="B875" t="str">
        <f>"1551598677069855"</f>
        <v>1551598677069855</v>
      </c>
      <c r="C875" t="s">
        <v>40</v>
      </c>
      <c r="D875">
        <v>4.1872089999999904</v>
      </c>
      <c r="E875">
        <v>0.49657899999999999</v>
      </c>
      <c r="F875" t="s">
        <v>41</v>
      </c>
      <c r="G875">
        <v>-158.78319999999999</v>
      </c>
      <c r="H875">
        <v>0.70736690000000002</v>
      </c>
      <c r="I875">
        <v>369.18040000000002</v>
      </c>
      <c r="J875">
        <v>-332.79469999999998</v>
      </c>
      <c r="K875">
        <v>1.120738</v>
      </c>
      <c r="L875">
        <v>367.25240000000002</v>
      </c>
      <c r="M875">
        <v>0.99988379999999999</v>
      </c>
      <c r="N875">
        <v>-1.352098E-2</v>
      </c>
      <c r="O875">
        <v>-7.0610930000000001E-3</v>
      </c>
      <c r="P875">
        <v>0.99731420000000004</v>
      </c>
      <c r="Q875">
        <v>-7.3233450000000005E-2</v>
      </c>
      <c r="R875">
        <v>1.249114E-3</v>
      </c>
      <c r="S875">
        <v>3.0074770000000002</v>
      </c>
      <c r="T875">
        <v>-7.1353909999999996E-3</v>
      </c>
      <c r="U875">
        <v>3.3264160000000001E-2</v>
      </c>
      <c r="V875">
        <v>-8.2990129999999992E-3</v>
      </c>
      <c r="W875">
        <v>-5.9741519999999999E-2</v>
      </c>
      <c r="X875">
        <v>0.99817940000000005</v>
      </c>
      <c r="Y875">
        <v>-1.812006E-2</v>
      </c>
      <c r="Z875" s="1">
        <v>6.5283400000000006E-5</v>
      </c>
      <c r="AA875">
        <v>0.99983580000000005</v>
      </c>
      <c r="AB875">
        <v>36</v>
      </c>
      <c r="AC875">
        <v>174.01149999999899</v>
      </c>
      <c r="AD875">
        <v>-0.41337109999999899</v>
      </c>
      <c r="AE875">
        <v>1.9279999999999899</v>
      </c>
      <c r="AF875">
        <v>-3.1567576512436801</v>
      </c>
      <c r="AG875">
        <v>-0.41337109999999899</v>
      </c>
      <c r="AH875">
        <v>173.99256434957499</v>
      </c>
      <c r="AI875">
        <v>90.136100515593895</v>
      </c>
      <c r="AJ875">
        <v>91.039406766489194</v>
      </c>
      <c r="AK875">
        <v>174.02168957769601</v>
      </c>
      <c r="AL875">
        <v>93.424976275721505</v>
      </c>
      <c r="AM875">
        <v>90.4763547145822</v>
      </c>
      <c r="AN875">
        <v>1.0000000187065201</v>
      </c>
    </row>
    <row r="876" spans="1:40" x14ac:dyDescent="0.25">
      <c r="A876" t="str">
        <f>"20190303153757088"</f>
        <v>20190303153757088</v>
      </c>
      <c r="B876" t="str">
        <f>"1551598677079614"</f>
        <v>1551598677079614</v>
      </c>
      <c r="C876" t="s">
        <v>40</v>
      </c>
      <c r="D876">
        <v>4.1888899999999998</v>
      </c>
      <c r="E876">
        <v>0.49636190000000002</v>
      </c>
      <c r="F876" t="s">
        <v>41</v>
      </c>
      <c r="G876">
        <v>-158.78319999999999</v>
      </c>
      <c r="H876">
        <v>0.77280760000000004</v>
      </c>
      <c r="I876">
        <v>369.17700000000002</v>
      </c>
      <c r="J876">
        <v>-332.61529999999999</v>
      </c>
      <c r="K876">
        <v>1.120738</v>
      </c>
      <c r="L876">
        <v>367.25110000000001</v>
      </c>
      <c r="M876">
        <v>0.99988220000000005</v>
      </c>
      <c r="N876">
        <v>-1.360926E-2</v>
      </c>
      <c r="O876">
        <v>-7.0908739999999996E-3</v>
      </c>
      <c r="P876">
        <v>0.9973225</v>
      </c>
      <c r="Q876">
        <v>-7.3122439999999997E-2</v>
      </c>
      <c r="R876">
        <v>9.6429739999999995E-4</v>
      </c>
      <c r="S876">
        <v>3.0075989999999999</v>
      </c>
      <c r="T876">
        <v>-6.0120819999999898E-3</v>
      </c>
      <c r="U876">
        <v>3.3264160000000001E-2</v>
      </c>
      <c r="V876">
        <v>-8.0449419999999994E-3</v>
      </c>
      <c r="W876">
        <v>-5.954218E-2</v>
      </c>
      <c r="X876">
        <v>0.99819340000000001</v>
      </c>
      <c r="Y876">
        <v>-1.8149419999999999E-2</v>
      </c>
      <c r="Z876" s="1">
        <v>5.9320719999999903E-5</v>
      </c>
      <c r="AA876">
        <v>0.99983529999999998</v>
      </c>
      <c r="AB876">
        <v>36</v>
      </c>
      <c r="AC876">
        <v>173.8321</v>
      </c>
      <c r="AD876">
        <v>-0.34793039999999997</v>
      </c>
      <c r="AE876">
        <v>1.92589999999995</v>
      </c>
      <c r="AF876">
        <v>-3.15857466069787</v>
      </c>
      <c r="AG876">
        <v>-0.34793039999999997</v>
      </c>
      <c r="AH876">
        <v>173.81337514029499</v>
      </c>
      <c r="AI876">
        <v>90.114672568302396</v>
      </c>
      <c r="AJ876">
        <v>91.041076846123005</v>
      </c>
      <c r="AK876">
        <v>173.842420102549</v>
      </c>
      <c r="AL876">
        <v>93.413534535238398</v>
      </c>
      <c r="AM876">
        <v>90.461765468677697</v>
      </c>
      <c r="AN876">
        <v>1.0000000280472401</v>
      </c>
    </row>
    <row r="877" spans="1:40" x14ac:dyDescent="0.25">
      <c r="A877" t="str">
        <f>"20190303153757100"</f>
        <v>20190303153757100</v>
      </c>
      <c r="B877" t="str">
        <f>"1551598677089375"</f>
        <v>1551598677089375</v>
      </c>
      <c r="C877" t="s">
        <v>40</v>
      </c>
      <c r="D877">
        <v>4.1859419999999998</v>
      </c>
      <c r="E877">
        <v>0.49624230000000003</v>
      </c>
      <c r="F877" t="s">
        <v>41</v>
      </c>
      <c r="G877">
        <v>-158.78319999999999</v>
      </c>
      <c r="H877">
        <v>0.89006209999999997</v>
      </c>
      <c r="I877">
        <v>369.22300000000001</v>
      </c>
      <c r="J877">
        <v>-332.44310000000002</v>
      </c>
      <c r="K877">
        <v>1.1207389999999999</v>
      </c>
      <c r="L877">
        <v>367.24990000000003</v>
      </c>
      <c r="M877">
        <v>0.99988109999999997</v>
      </c>
      <c r="N877">
        <v>-1.368376E-2</v>
      </c>
      <c r="O877">
        <v>-7.1222129999999996E-3</v>
      </c>
      <c r="P877">
        <v>0.99734350000000005</v>
      </c>
      <c r="Q877">
        <v>-7.2839879999999996E-2</v>
      </c>
      <c r="R877">
        <v>5.9774120000000001E-4</v>
      </c>
      <c r="S877">
        <v>3.0076900000000002</v>
      </c>
      <c r="T877">
        <v>-3.9896970000000004E-3</v>
      </c>
      <c r="U877">
        <v>3.411865E-2</v>
      </c>
      <c r="V877">
        <v>-7.7104950000000004E-3</v>
      </c>
      <c r="W877">
        <v>-5.918491E-2</v>
      </c>
      <c r="X877">
        <v>0.99821729999999997</v>
      </c>
      <c r="Y877">
        <v>-1.8464479999999998E-2</v>
      </c>
      <c r="Z877" s="1">
        <v>5.057574E-5</v>
      </c>
      <c r="AA877">
        <v>0.99982950000000004</v>
      </c>
      <c r="AB877">
        <v>36</v>
      </c>
      <c r="AC877">
        <v>173.65989999999999</v>
      </c>
      <c r="AD877">
        <v>-0.23067689999999999</v>
      </c>
      <c r="AE877">
        <v>1.9730999999999801</v>
      </c>
      <c r="AF877">
        <v>-3.2100027786560101</v>
      </c>
      <c r="AG877">
        <v>-0.23067689999999999</v>
      </c>
      <c r="AH877">
        <v>173.64113409672899</v>
      </c>
      <c r="AI877">
        <v>90.076102631267702</v>
      </c>
      <c r="AJ877">
        <v>91.059073158709495</v>
      </c>
      <c r="AK877">
        <v>173.67095548786901</v>
      </c>
      <c r="AL877">
        <v>93.393028262134706</v>
      </c>
      <c r="AM877">
        <v>90.442558985537701</v>
      </c>
      <c r="AN877">
        <v>1.00000004166207</v>
      </c>
    </row>
    <row r="878" spans="1:40" x14ac:dyDescent="0.25">
      <c r="A878" t="str">
        <f>"20190303153757111"</f>
        <v>20190303153757111</v>
      </c>
      <c r="B878" t="str">
        <f>"1551598677100112"</f>
        <v>1551598677100112</v>
      </c>
      <c r="C878" t="s">
        <v>40</v>
      </c>
      <c r="D878">
        <v>4.1541880000000004</v>
      </c>
      <c r="E878">
        <v>0.49615629999999999</v>
      </c>
      <c r="F878" t="s">
        <v>41</v>
      </c>
      <c r="G878">
        <v>-158.78319999999999</v>
      </c>
      <c r="H878">
        <v>1.025671</v>
      </c>
      <c r="I878">
        <v>369.22859999999997</v>
      </c>
      <c r="J878">
        <v>-332.25240000000002</v>
      </c>
      <c r="K878">
        <v>1.1207400000000001</v>
      </c>
      <c r="L878">
        <v>367.24849999999998</v>
      </c>
      <c r="M878">
        <v>0.99987979999999999</v>
      </c>
      <c r="N878">
        <v>-1.3763879999999999E-2</v>
      </c>
      <c r="O878">
        <v>-7.157648E-3</v>
      </c>
      <c r="P878">
        <v>0.99737699999999996</v>
      </c>
      <c r="Q878">
        <v>-7.238269E-2</v>
      </c>
      <c r="R878">
        <v>3.892899E-4</v>
      </c>
      <c r="S878">
        <v>3.0078429999999998</v>
      </c>
      <c r="T878">
        <v>-1.6450879999999901E-3</v>
      </c>
      <c r="U878">
        <v>3.4271240000000001E-2</v>
      </c>
      <c r="V878">
        <v>-7.5379519999999997E-3</v>
      </c>
      <c r="W878">
        <v>-5.864726E-2</v>
      </c>
      <c r="X878">
        <v>0.99825030000000003</v>
      </c>
      <c r="Y878">
        <v>-1.8550090000000002E-2</v>
      </c>
      <c r="Z878" s="1">
        <v>3.8140080000000003E-5</v>
      </c>
      <c r="AA878">
        <v>0.99982789999999999</v>
      </c>
      <c r="AB878">
        <v>36</v>
      </c>
      <c r="AC878">
        <v>173.4692</v>
      </c>
      <c r="AD878">
        <v>-9.5069000000000001E-2</v>
      </c>
      <c r="AE878">
        <v>1.98009999999999</v>
      </c>
      <c r="AF878">
        <v>-3.22179721868548</v>
      </c>
      <c r="AG878">
        <v>-9.5069000000000001E-2</v>
      </c>
      <c r="AH878">
        <v>173.450529232718</v>
      </c>
      <c r="AI878">
        <v>90.031398650160398</v>
      </c>
      <c r="AJ878">
        <v>91.064131418597697</v>
      </c>
      <c r="AK878">
        <v>173.48047471269899</v>
      </c>
      <c r="AL878">
        <v>93.362169752160298</v>
      </c>
      <c r="AM878">
        <v>90.432641620241</v>
      </c>
      <c r="AN878">
        <v>0.99999999163797504</v>
      </c>
    </row>
    <row r="879" spans="1:40" x14ac:dyDescent="0.25">
      <c r="A879" t="str">
        <f>"20190303153757122"</f>
        <v>20190303153757122</v>
      </c>
      <c r="B879" t="str">
        <f>"1551598677109870"</f>
        <v>1551598677109870</v>
      </c>
      <c r="C879" t="s">
        <v>40</v>
      </c>
      <c r="D879">
        <v>4.1534050000000002</v>
      </c>
      <c r="E879">
        <v>0.49597219999999997</v>
      </c>
      <c r="F879" t="s">
        <v>41</v>
      </c>
      <c r="G879">
        <v>-158.78319999999999</v>
      </c>
      <c r="H879">
        <v>1.1504970000000001</v>
      </c>
      <c r="I879">
        <v>369.21440000000001</v>
      </c>
      <c r="J879">
        <v>-332.08210000000003</v>
      </c>
      <c r="K879">
        <v>1.120743</v>
      </c>
      <c r="L879">
        <v>367.2473</v>
      </c>
      <c r="M879">
        <v>0.99987859999999995</v>
      </c>
      <c r="N879">
        <v>-1.382802E-2</v>
      </c>
      <c r="O879">
        <v>-7.1916389999999997E-3</v>
      </c>
      <c r="P879">
        <v>0.99740649999999997</v>
      </c>
      <c r="Q879">
        <v>-7.1976799999999994E-2</v>
      </c>
      <c r="R879">
        <v>1.7592230000000001E-4</v>
      </c>
      <c r="S879">
        <v>3.0078740000000002</v>
      </c>
      <c r="T879">
        <v>5.1748750000000002E-4</v>
      </c>
      <c r="U879">
        <v>3.4088130000000001E-2</v>
      </c>
      <c r="V879">
        <v>-7.3591759999999899E-3</v>
      </c>
      <c r="W879">
        <v>-5.8176909999999998E-2</v>
      </c>
      <c r="X879">
        <v>0.99827920000000003</v>
      </c>
      <c r="Y879">
        <v>-1.8523129999999999E-2</v>
      </c>
      <c r="Z879" s="1">
        <v>2.5801389999999999E-5</v>
      </c>
      <c r="AA879">
        <v>0.99982850000000001</v>
      </c>
      <c r="AB879">
        <v>36</v>
      </c>
      <c r="AC879">
        <v>173.2989</v>
      </c>
      <c r="AD879">
        <v>2.9753999999999801E-2</v>
      </c>
      <c r="AE879">
        <v>1.9671000000000101</v>
      </c>
      <c r="AF879">
        <v>-3.2134712338061902</v>
      </c>
      <c r="AG879">
        <v>2.9753999999999801E-2</v>
      </c>
      <c r="AH879">
        <v>173.28026447246799</v>
      </c>
      <c r="AI879">
        <v>89.990163417983396</v>
      </c>
      <c r="AJ879">
        <v>91.062424721030993</v>
      </c>
      <c r="AK879">
        <v>173.31006127262</v>
      </c>
      <c r="AL879">
        <v>93.335174441815795</v>
      </c>
      <c r="AM879">
        <v>90.422368900053897</v>
      </c>
      <c r="AN879">
        <v>1.00000003574059</v>
      </c>
    </row>
    <row r="880" spans="1:40" x14ac:dyDescent="0.25">
      <c r="A880" t="str">
        <f>"20190303153757135"</f>
        <v>20190303153757135</v>
      </c>
      <c r="B880" t="str">
        <f>"1551598677129390"</f>
        <v>1551598677129390</v>
      </c>
      <c r="C880" t="s">
        <v>40</v>
      </c>
      <c r="D880">
        <v>4.1476319999999998</v>
      </c>
      <c r="E880">
        <v>0.4956951</v>
      </c>
      <c r="F880" t="s">
        <v>41</v>
      </c>
      <c r="G880">
        <v>-158.78319999999999</v>
      </c>
      <c r="H880">
        <v>1.23191299999999</v>
      </c>
      <c r="I880">
        <v>369.26749999999998</v>
      </c>
      <c r="J880">
        <v>-331.88350000000003</v>
      </c>
      <c r="K880">
        <v>1.120746</v>
      </c>
      <c r="L880">
        <v>367.24579999999997</v>
      </c>
      <c r="M880">
        <v>0.99987729999999997</v>
      </c>
      <c r="N880">
        <v>-1.3898850000000001E-2</v>
      </c>
      <c r="O880">
        <v>-7.2319979999999999E-3</v>
      </c>
      <c r="P880">
        <v>0.99742030000000004</v>
      </c>
      <c r="Q880">
        <v>-7.1784269999999997E-2</v>
      </c>
      <c r="R880" s="1">
        <v>6.6110279999999995E-5</v>
      </c>
      <c r="S880">
        <v>3.0079039999999999</v>
      </c>
      <c r="T880">
        <v>1.9310709999999999E-3</v>
      </c>
      <c r="U880">
        <v>3.5064699999999997E-2</v>
      </c>
      <c r="V880">
        <v>-7.2902660000000001E-3</v>
      </c>
      <c r="W880">
        <v>-5.7913449999999998E-2</v>
      </c>
      <c r="X880">
        <v>0.99829500000000004</v>
      </c>
      <c r="Y880">
        <v>-1.8887939999999999E-2</v>
      </c>
      <c r="Z880" s="1">
        <v>2.004798E-5</v>
      </c>
      <c r="AA880">
        <v>0.99982159999999998</v>
      </c>
      <c r="AB880">
        <v>36</v>
      </c>
      <c r="AC880">
        <v>173.1003</v>
      </c>
      <c r="AD880">
        <v>0.111166999999999</v>
      </c>
      <c r="AE880">
        <v>2.0217000000000098</v>
      </c>
      <c r="AF880">
        <v>-3.2736276673907501</v>
      </c>
      <c r="AG880">
        <v>0.111166999999999</v>
      </c>
      <c r="AH880">
        <v>173.081078621225</v>
      </c>
      <c r="AI880">
        <v>89.963206491842897</v>
      </c>
      <c r="AJ880">
        <v>91.083553957738403</v>
      </c>
      <c r="AK880">
        <v>173.11206998038401</v>
      </c>
      <c r="AL880">
        <v>93.320053883274795</v>
      </c>
      <c r="AM880">
        <v>90.418407432943496</v>
      </c>
      <c r="AN880">
        <v>1.0000000113471199</v>
      </c>
    </row>
    <row r="881" spans="1:40" x14ac:dyDescent="0.25">
      <c r="A881" t="str">
        <f>"20190303153757146"</f>
        <v>20190303153757146</v>
      </c>
      <c r="B881" t="str">
        <f>"1551598677140127"</f>
        <v>1551598677140127</v>
      </c>
      <c r="C881" t="s">
        <v>40</v>
      </c>
      <c r="D881">
        <v>4.16723</v>
      </c>
      <c r="E881">
        <v>0.49559799999999998</v>
      </c>
      <c r="F881" t="s">
        <v>41</v>
      </c>
      <c r="G881">
        <v>-158.78319999999999</v>
      </c>
      <c r="H881">
        <v>1.3136540000000001</v>
      </c>
      <c r="I881">
        <v>369.37079999999997</v>
      </c>
      <c r="J881">
        <v>-331.68439999999998</v>
      </c>
      <c r="K881">
        <v>1.120746</v>
      </c>
      <c r="L881">
        <v>367.24430000000001</v>
      </c>
      <c r="M881">
        <v>0.99987610000000005</v>
      </c>
      <c r="N881">
        <v>-1.396448E-2</v>
      </c>
      <c r="O881">
        <v>-7.2733880000000004E-3</v>
      </c>
      <c r="P881">
        <v>0.99744029999999995</v>
      </c>
      <c r="Q881">
        <v>-7.1505669999999993E-2</v>
      </c>
      <c r="R881" s="1">
        <v>7.3182399999999898E-5</v>
      </c>
      <c r="S881">
        <v>3.0079959999999999</v>
      </c>
      <c r="T881">
        <v>3.3537150000000002E-3</v>
      </c>
      <c r="U881">
        <v>3.6926269999999997E-2</v>
      </c>
      <c r="V881">
        <v>-7.3389659999999997E-3</v>
      </c>
      <c r="W881">
        <v>-5.7569019999999999E-2</v>
      </c>
      <c r="X881">
        <v>0.99831460000000005</v>
      </c>
      <c r="Y881">
        <v>-1.954765E-2</v>
      </c>
      <c r="Z881" s="1">
        <v>1.5922549999999999E-5</v>
      </c>
      <c r="AA881">
        <v>0.9998089</v>
      </c>
      <c r="AB881">
        <v>36</v>
      </c>
      <c r="AC881">
        <v>172.90119999999999</v>
      </c>
      <c r="AD881">
        <v>0.192908</v>
      </c>
      <c r="AE881">
        <v>2.1264999999999601</v>
      </c>
      <c r="AF881">
        <v>-3.3841395991579599</v>
      </c>
      <c r="AG881">
        <v>0.192908</v>
      </c>
      <c r="AH881">
        <v>172.88094208445699</v>
      </c>
      <c r="AI881">
        <v>89.9360791738019</v>
      </c>
      <c r="AJ881">
        <v>91.121420058759796</v>
      </c>
      <c r="AK881">
        <v>172.91416873793901</v>
      </c>
      <c r="AL881">
        <v>93.300286401615793</v>
      </c>
      <c r="AM881">
        <v>90.421194083744496</v>
      </c>
      <c r="AN881">
        <v>1.0000000465294301</v>
      </c>
    </row>
    <row r="882" spans="1:40" x14ac:dyDescent="0.25">
      <c r="A882" t="str">
        <f>"20190303153757159"</f>
        <v>20190303153757159</v>
      </c>
      <c r="B882" t="str">
        <f>"1551598677149886"</f>
        <v>1551598677149886</v>
      </c>
      <c r="C882" t="s">
        <v>40</v>
      </c>
      <c r="D882">
        <v>4.1250790000000004</v>
      </c>
      <c r="E882">
        <v>0.49551240000000002</v>
      </c>
      <c r="F882" t="s">
        <v>41</v>
      </c>
      <c r="G882">
        <v>-158.78319999999999</v>
      </c>
      <c r="H882">
        <v>1.3996759999999999</v>
      </c>
      <c r="I882">
        <v>369.40190000000001</v>
      </c>
      <c r="J882">
        <v>-331.48779999999999</v>
      </c>
      <c r="K882">
        <v>1.1207480000000001</v>
      </c>
      <c r="L882">
        <v>367.24279999999999</v>
      </c>
      <c r="M882">
        <v>0.99987490000000001</v>
      </c>
      <c r="N882">
        <v>-1.402248E-2</v>
      </c>
      <c r="O882">
        <v>-7.3148379999999997E-3</v>
      </c>
      <c r="P882">
        <v>0.997444</v>
      </c>
      <c r="Q882">
        <v>-7.1453820000000001E-2</v>
      </c>
      <c r="R882" s="1">
        <v>1.25832199999999E-5</v>
      </c>
      <c r="S882">
        <v>3.008057</v>
      </c>
      <c r="T882">
        <v>4.8542020000000002E-3</v>
      </c>
      <c r="U882">
        <v>3.753662E-2</v>
      </c>
      <c r="V882">
        <v>-7.3199709999999998E-3</v>
      </c>
      <c r="W882">
        <v>-5.745919E-2</v>
      </c>
      <c r="X882">
        <v>0.99832100000000001</v>
      </c>
      <c r="Y882">
        <v>-1.9791679999999999E-2</v>
      </c>
      <c r="Z882" s="1">
        <v>8.4312779999999999E-6</v>
      </c>
      <c r="AA882">
        <v>0.99980409999999997</v>
      </c>
      <c r="AB882">
        <v>36</v>
      </c>
      <c r="AC882">
        <v>172.7046</v>
      </c>
      <c r="AD882">
        <v>0.27892800000000001</v>
      </c>
      <c r="AE882">
        <v>2.15910000000002</v>
      </c>
      <c r="AF882">
        <v>-3.4224637198633001</v>
      </c>
      <c r="AG882">
        <v>0.27892800000000001</v>
      </c>
      <c r="AH882">
        <v>172.683733209027</v>
      </c>
      <c r="AI882">
        <v>89.907471044584099</v>
      </c>
      <c r="AJ882">
        <v>91.135411273645801</v>
      </c>
      <c r="AK882">
        <v>172.717870452798</v>
      </c>
      <c r="AL882">
        <v>93.293983392829105</v>
      </c>
      <c r="AM882">
        <v>90.420101278708202</v>
      </c>
      <c r="AN882">
        <v>0.99999997976594801</v>
      </c>
    </row>
    <row r="883" spans="1:40" x14ac:dyDescent="0.25">
      <c r="A883" t="str">
        <f>"20190303153757174"</f>
        <v>20190303153757174</v>
      </c>
      <c r="B883" t="str">
        <f>"1551598677169406"</f>
        <v>1551598677169406</v>
      </c>
      <c r="C883" t="s">
        <v>40</v>
      </c>
      <c r="D883">
        <v>4.1345470000000004</v>
      </c>
      <c r="E883">
        <v>0.49530760000000001</v>
      </c>
      <c r="F883" t="s">
        <v>41</v>
      </c>
      <c r="G883">
        <v>-158.78319999999999</v>
      </c>
      <c r="H883">
        <v>1.477025</v>
      </c>
      <c r="I883">
        <v>369.42950000000002</v>
      </c>
      <c r="J883">
        <v>-331.27390000000003</v>
      </c>
      <c r="K883">
        <v>1.1207510000000001</v>
      </c>
      <c r="L883">
        <v>367.24119999999999</v>
      </c>
      <c r="M883">
        <v>0.99987369999999998</v>
      </c>
      <c r="N883">
        <v>-1.4081979999999999E-2</v>
      </c>
      <c r="O883">
        <v>-7.3599950000000003E-3</v>
      </c>
      <c r="P883">
        <v>0.99742549999999996</v>
      </c>
      <c r="Q883">
        <v>-7.1710919999999997E-2</v>
      </c>
      <c r="R883">
        <v>1.390044E-4</v>
      </c>
      <c r="S883">
        <v>3.0081479999999998</v>
      </c>
      <c r="T883">
        <v>6.2071080000000002E-3</v>
      </c>
      <c r="U883">
        <v>3.8085939999999999E-2</v>
      </c>
      <c r="V883">
        <v>-7.4917339999999999E-3</v>
      </c>
      <c r="W883">
        <v>-5.7657050000000001E-2</v>
      </c>
      <c r="X883">
        <v>0.99830839999999998</v>
      </c>
      <c r="Y883">
        <v>-2.001899E-2</v>
      </c>
      <c r="Z883" s="1">
        <v>1.483015E-6</v>
      </c>
      <c r="AA883">
        <v>0.99979960000000001</v>
      </c>
      <c r="AB883">
        <v>36</v>
      </c>
      <c r="AC883">
        <v>172.4907</v>
      </c>
      <c r="AD883">
        <v>0.35627399999999998</v>
      </c>
      <c r="AE883">
        <v>2.1883000000000199</v>
      </c>
      <c r="AF883">
        <v>-3.4578826233035</v>
      </c>
      <c r="AG883">
        <v>0.35627399999999998</v>
      </c>
      <c r="AH883">
        <v>172.46918400236399</v>
      </c>
      <c r="AI883">
        <v>89.881666593690795</v>
      </c>
      <c r="AJ883">
        <v>91.148585130158594</v>
      </c>
      <c r="AK883">
        <v>172.504212452453</v>
      </c>
      <c r="AL883">
        <v>93.305338490963905</v>
      </c>
      <c r="AM883">
        <v>90.429964008978303</v>
      </c>
      <c r="AN883">
        <v>1.0000000615017901</v>
      </c>
    </row>
    <row r="884" spans="1:40" x14ac:dyDescent="0.25">
      <c r="A884" t="str">
        <f>"20190303153757186"</f>
        <v>20190303153757186</v>
      </c>
      <c r="B884" t="str">
        <f>"1551598677180143"</f>
        <v>1551598677180143</v>
      </c>
      <c r="C884" t="s">
        <v>40</v>
      </c>
      <c r="D884">
        <v>4.1436830000000002</v>
      </c>
      <c r="E884">
        <v>0.49518529999999999</v>
      </c>
      <c r="F884" t="s">
        <v>41</v>
      </c>
      <c r="G884">
        <v>-158.78319999999999</v>
      </c>
      <c r="H884">
        <v>1.5089920000000001</v>
      </c>
      <c r="I884">
        <v>369.54230000000001</v>
      </c>
      <c r="J884">
        <v>-331.0455</v>
      </c>
      <c r="K884">
        <v>1.120752</v>
      </c>
      <c r="L884">
        <v>367.23950000000002</v>
      </c>
      <c r="M884">
        <v>0.9998726</v>
      </c>
      <c r="N884">
        <v>-1.41396E-2</v>
      </c>
      <c r="O884">
        <v>-7.4082359999999899E-3</v>
      </c>
      <c r="P884">
        <v>0.99740770000000001</v>
      </c>
      <c r="Q884">
        <v>-7.1956800000000001E-2</v>
      </c>
      <c r="R884">
        <v>2.5888890000000001E-4</v>
      </c>
      <c r="S884">
        <v>3.00827</v>
      </c>
      <c r="T884">
        <v>6.7725179999999999E-3</v>
      </c>
      <c r="U884">
        <v>4.0130619999999999E-2</v>
      </c>
      <c r="V884">
        <v>-7.6596889999999999E-3</v>
      </c>
      <c r="W884">
        <v>-5.7845609999999999E-2</v>
      </c>
      <c r="X884">
        <v>0.99829610000000002</v>
      </c>
      <c r="Y884">
        <v>-2.0746150000000001E-2</v>
      </c>
      <c r="Z884" s="1">
        <v>1.906083E-6</v>
      </c>
      <c r="AA884">
        <v>0.99978480000000003</v>
      </c>
      <c r="AB884">
        <v>36</v>
      </c>
      <c r="AC884">
        <v>172.26230000000001</v>
      </c>
      <c r="AD884">
        <v>0.38823999999999997</v>
      </c>
      <c r="AE884">
        <v>2.3027999999999902</v>
      </c>
      <c r="AF884">
        <v>-3.5790059638861198</v>
      </c>
      <c r="AG884">
        <v>0.38823999999999997</v>
      </c>
      <c r="AH884">
        <v>172.23963581923201</v>
      </c>
      <c r="AI884">
        <v>89.8708794586518</v>
      </c>
      <c r="AJ884">
        <v>91.190390525581194</v>
      </c>
      <c r="AK884">
        <v>172.27725375431501</v>
      </c>
      <c r="AL884">
        <v>93.316160632930206</v>
      </c>
      <c r="AM884">
        <v>90.439608288711796</v>
      </c>
      <c r="AN884">
        <v>0.99999994435352701</v>
      </c>
    </row>
    <row r="885" spans="1:40" x14ac:dyDescent="0.25">
      <c r="A885" t="str">
        <f>"20190303153757199"</f>
        <v>20190303153757199</v>
      </c>
      <c r="B885" t="str">
        <f>"1551598677189903"</f>
        <v>1551598677189903</v>
      </c>
      <c r="C885" t="s">
        <v>40</v>
      </c>
      <c r="D885">
        <v>4.1497970000000004</v>
      </c>
      <c r="E885">
        <v>0.49508540000000001</v>
      </c>
      <c r="F885" t="s">
        <v>41</v>
      </c>
      <c r="G885">
        <v>-158.78319999999999</v>
      </c>
      <c r="H885">
        <v>1.4616910000000001</v>
      </c>
      <c r="I885">
        <v>369.60219999999998</v>
      </c>
      <c r="J885">
        <v>-330.84629999999999</v>
      </c>
      <c r="K885">
        <v>1.1207549999999999</v>
      </c>
      <c r="L885">
        <v>367.238</v>
      </c>
      <c r="M885">
        <v>0.99987159999999997</v>
      </c>
      <c r="N885">
        <v>-1.418438E-2</v>
      </c>
      <c r="O885">
        <v>-7.4500619999999899E-3</v>
      </c>
      <c r="P885">
        <v>0.99740890000000004</v>
      </c>
      <c r="Q885">
        <v>-7.1942580000000006E-2</v>
      </c>
      <c r="R885">
        <v>3.0014480000000002E-4</v>
      </c>
      <c r="S885">
        <v>3.0082089999999999</v>
      </c>
      <c r="T885">
        <v>5.9553380000000001E-3</v>
      </c>
      <c r="U885">
        <v>4.1259770000000001E-2</v>
      </c>
      <c r="V885">
        <v>-7.7430210000000001E-3</v>
      </c>
      <c r="W885">
        <v>-5.77866E-2</v>
      </c>
      <c r="X885">
        <v>0.99829889999999999</v>
      </c>
      <c r="Y885">
        <v>-2.116345E-2</v>
      </c>
      <c r="Z885" s="1">
        <v>8.7396619999999997E-6</v>
      </c>
      <c r="AA885">
        <v>0.999776</v>
      </c>
      <c r="AB885">
        <v>36</v>
      </c>
      <c r="AC885">
        <v>172.06309999999999</v>
      </c>
      <c r="AD885">
        <v>0.34093600000000002</v>
      </c>
      <c r="AE885">
        <v>2.3641999999999199</v>
      </c>
      <c r="AF885">
        <v>-3.64612985355018</v>
      </c>
      <c r="AG885">
        <v>0.34093600000000002</v>
      </c>
      <c r="AH885">
        <v>172.04003338466799</v>
      </c>
      <c r="AI885">
        <v>89.886481173064993</v>
      </c>
      <c r="AJ885">
        <v>91.214116147849893</v>
      </c>
      <c r="AK885">
        <v>172.07900391175701</v>
      </c>
      <c r="AL885">
        <v>93.312773859887002</v>
      </c>
      <c r="AM885">
        <v>90.444389478902096</v>
      </c>
      <c r="AN885">
        <v>0.99999996962748705</v>
      </c>
    </row>
    <row r="886" spans="1:40" x14ac:dyDescent="0.25">
      <c r="A886" t="str">
        <f>"20190303153757211"</f>
        <v>20190303153757211</v>
      </c>
      <c r="B886" t="str">
        <f>"1551598677199662"</f>
        <v>1551598677199662</v>
      </c>
      <c r="C886" t="s">
        <v>40</v>
      </c>
      <c r="D886">
        <v>4.1327809999999996</v>
      </c>
      <c r="E886">
        <v>0.49499270000000001</v>
      </c>
      <c r="F886" t="s">
        <v>41</v>
      </c>
      <c r="G886">
        <v>-158.78319999999999</v>
      </c>
      <c r="H886">
        <v>1.49307099999999</v>
      </c>
      <c r="I886">
        <v>369.65199999999999</v>
      </c>
      <c r="J886">
        <v>-330.66370000000001</v>
      </c>
      <c r="K886">
        <v>1.120762</v>
      </c>
      <c r="L886">
        <v>367.23660000000001</v>
      </c>
      <c r="M886">
        <v>0.99987079999999995</v>
      </c>
      <c r="N886">
        <v>-1.422354E-2</v>
      </c>
      <c r="O886">
        <v>-7.48827E-3</v>
      </c>
      <c r="P886">
        <v>0.99742379999999997</v>
      </c>
      <c r="Q886">
        <v>-7.1733329999999998E-2</v>
      </c>
      <c r="R886">
        <v>4.2951220000000002E-4</v>
      </c>
      <c r="S886">
        <v>3.0082399999999998</v>
      </c>
      <c r="T886">
        <v>6.5108539999999999E-3</v>
      </c>
      <c r="U886">
        <v>4.2205810000000003E-2</v>
      </c>
      <c r="V886">
        <v>-7.910696E-3</v>
      </c>
      <c r="W886">
        <v>-5.7538029999999997E-2</v>
      </c>
      <c r="X886">
        <v>0.99831199999999998</v>
      </c>
      <c r="Y886">
        <v>-2.1515860000000001E-2</v>
      </c>
      <c r="Z886" s="1">
        <v>7.0327810000000004E-6</v>
      </c>
      <c r="AA886">
        <v>0.99976849999999995</v>
      </c>
      <c r="AB886">
        <v>36</v>
      </c>
      <c r="AC886">
        <v>171.88050000000001</v>
      </c>
      <c r="AD886">
        <v>0.372308999999999</v>
      </c>
      <c r="AE886">
        <v>2.4153999999999698</v>
      </c>
      <c r="AF886">
        <v>-3.7025327021350201</v>
      </c>
      <c r="AG886">
        <v>0.372308999999999</v>
      </c>
      <c r="AH886">
        <v>171.856784745227</v>
      </c>
      <c r="AI886">
        <v>89.875903926929297</v>
      </c>
      <c r="AJ886">
        <v>91.234206056035205</v>
      </c>
      <c r="AK886">
        <v>171.89706752987101</v>
      </c>
      <c r="AL886">
        <v>93.298507922975901</v>
      </c>
      <c r="AM886">
        <v>90.454006370271301</v>
      </c>
      <c r="AN886">
        <v>1.0000000266757401</v>
      </c>
    </row>
    <row r="887" spans="1:40" x14ac:dyDescent="0.25">
      <c r="A887" t="str">
        <f>"20190303153757223"</f>
        <v>20190303153757223</v>
      </c>
      <c r="B887" t="str">
        <f>"1551598677220158"</f>
        <v>1551598677220158</v>
      </c>
      <c r="C887" t="s">
        <v>40</v>
      </c>
      <c r="D887">
        <v>4.1563730000000003</v>
      </c>
      <c r="E887">
        <v>0.49482660000000001</v>
      </c>
      <c r="F887" t="s">
        <v>41</v>
      </c>
      <c r="G887">
        <v>-158.78319999999999</v>
      </c>
      <c r="H887">
        <v>1.5526359999999999</v>
      </c>
      <c r="I887">
        <v>369.72129999999999</v>
      </c>
      <c r="J887">
        <v>-330.46960000000001</v>
      </c>
      <c r="K887">
        <v>1.120768</v>
      </c>
      <c r="L887">
        <v>367.23509999999999</v>
      </c>
      <c r="M887">
        <v>0.99986989999999998</v>
      </c>
      <c r="N887">
        <v>-1.426036E-2</v>
      </c>
      <c r="O887">
        <v>-7.5284849999999997E-3</v>
      </c>
      <c r="P887">
        <v>0.99743959999999998</v>
      </c>
      <c r="Q887">
        <v>-7.1512809999999996E-2</v>
      </c>
      <c r="R887">
        <v>3.5017030000000001E-4</v>
      </c>
      <c r="S887">
        <v>3.0082399999999998</v>
      </c>
      <c r="T887">
        <v>7.5601339999999996E-3</v>
      </c>
      <c r="U887">
        <v>4.348755E-2</v>
      </c>
      <c r="V887">
        <v>-7.8717769999999999E-3</v>
      </c>
      <c r="W887">
        <v>-5.7280560000000001E-2</v>
      </c>
      <c r="X887">
        <v>0.99832710000000002</v>
      </c>
      <c r="Y887">
        <v>-2.1981959999999998E-2</v>
      </c>
      <c r="Z887" s="1">
        <v>2.853674E-6</v>
      </c>
      <c r="AA887">
        <v>0.99975840000000005</v>
      </c>
      <c r="AB887">
        <v>36</v>
      </c>
      <c r="AC887">
        <v>171.68639999999999</v>
      </c>
      <c r="AD887">
        <v>0.43186799999999997</v>
      </c>
      <c r="AE887">
        <v>2.48619999999999</v>
      </c>
      <c r="AF887">
        <v>-3.7787756492403601</v>
      </c>
      <c r="AG887">
        <v>0.43186799999999997</v>
      </c>
      <c r="AH887">
        <v>171.66172833102101</v>
      </c>
      <c r="AI887">
        <v>89.855890017975696</v>
      </c>
      <c r="AJ887">
        <v>91.261043668393299</v>
      </c>
      <c r="AK887">
        <v>171.70385735029399</v>
      </c>
      <c r="AL887">
        <v>93.283731653714298</v>
      </c>
      <c r="AM887">
        <v>90.451766012040395</v>
      </c>
      <c r="AN887">
        <v>1.00000001301073</v>
      </c>
    </row>
    <row r="888" spans="1:40" x14ac:dyDescent="0.25">
      <c r="A888" t="str">
        <f>"20190303153757234"</f>
        <v>20190303153757234</v>
      </c>
      <c r="B888" t="str">
        <f>"1551598677229919"</f>
        <v>1551598677229919</v>
      </c>
      <c r="C888" t="s">
        <v>40</v>
      </c>
      <c r="D888">
        <v>4.1553420000000001</v>
      </c>
      <c r="E888">
        <v>0.4947278</v>
      </c>
      <c r="F888" t="s">
        <v>41</v>
      </c>
      <c r="G888">
        <v>-158.78319999999999</v>
      </c>
      <c r="H888">
        <v>1.5963510000000001</v>
      </c>
      <c r="I888">
        <v>369.76929999999999</v>
      </c>
      <c r="J888">
        <v>-330.29790000000003</v>
      </c>
      <c r="K888">
        <v>1.120771</v>
      </c>
      <c r="L888">
        <v>367.23379999999997</v>
      </c>
      <c r="M888">
        <v>0.99986940000000002</v>
      </c>
      <c r="N888">
        <v>-1.4291089999999999E-2</v>
      </c>
      <c r="O888">
        <v>-7.5642440000000003E-3</v>
      </c>
      <c r="P888">
        <v>0.99747909999999995</v>
      </c>
      <c r="Q888">
        <v>-7.0964860000000005E-2</v>
      </c>
      <c r="R888">
        <v>3.6316039999999999E-4</v>
      </c>
      <c r="S888">
        <v>3.00827</v>
      </c>
      <c r="T888">
        <v>8.3346369999999902E-3</v>
      </c>
      <c r="U888">
        <v>4.4403079999999998E-2</v>
      </c>
      <c r="V888">
        <v>-7.9205950000000008E-3</v>
      </c>
      <c r="W888">
        <v>-5.6701370000000001E-2</v>
      </c>
      <c r="X888">
        <v>0.99835969999999996</v>
      </c>
      <c r="Y888">
        <v>-2.232176E-2</v>
      </c>
      <c r="Z888" s="1">
        <v>-4.5886550000000001E-7</v>
      </c>
      <c r="AA888">
        <v>0.9997509</v>
      </c>
      <c r="AB888">
        <v>36</v>
      </c>
      <c r="AC888">
        <v>171.5147</v>
      </c>
      <c r="AD888">
        <v>0.47558</v>
      </c>
      <c r="AE888">
        <v>2.5355000000000101</v>
      </c>
      <c r="AF888">
        <v>-3.8329093539253098</v>
      </c>
      <c r="AG888">
        <v>0.47558</v>
      </c>
      <c r="AH888">
        <v>171.489292770037</v>
      </c>
      <c r="AI888">
        <v>89.841145455718802</v>
      </c>
      <c r="AJ888">
        <v>91.280388808263993</v>
      </c>
      <c r="AK888">
        <v>171.53278084733299</v>
      </c>
      <c r="AL888">
        <v>93.250492738296998</v>
      </c>
      <c r="AM888">
        <v>90.454552746564204</v>
      </c>
      <c r="AN888">
        <v>0.99999993588455804</v>
      </c>
    </row>
    <row r="889" spans="1:40" x14ac:dyDescent="0.25">
      <c r="A889" t="str">
        <f>"20190303153757246"</f>
        <v>20190303153757246</v>
      </c>
      <c r="B889" t="str">
        <f>"1551598677239679"</f>
        <v>1551598677239679</v>
      </c>
      <c r="C889" t="s">
        <v>40</v>
      </c>
      <c r="D889">
        <v>4.1513999999999998</v>
      </c>
      <c r="E889">
        <v>0.49463570000000001</v>
      </c>
      <c r="F889" t="s">
        <v>41</v>
      </c>
      <c r="G889">
        <v>-158.78319999999999</v>
      </c>
      <c r="H889">
        <v>1.6850430000000001</v>
      </c>
      <c r="I889">
        <v>369.79849999999999</v>
      </c>
      <c r="J889">
        <v>-330.10629999999998</v>
      </c>
      <c r="K889">
        <v>1.120773</v>
      </c>
      <c r="L889">
        <v>367.23230000000001</v>
      </c>
      <c r="M889">
        <v>0.9998686</v>
      </c>
      <c r="N889">
        <v>-1.4322700000000001E-2</v>
      </c>
      <c r="O889">
        <v>-7.6035850000000004E-3</v>
      </c>
      <c r="P889">
        <v>0.99747450000000004</v>
      </c>
      <c r="Q889">
        <v>-7.1028430000000004E-2</v>
      </c>
      <c r="R889">
        <v>2.586822E-4</v>
      </c>
      <c r="S889">
        <v>3.00827</v>
      </c>
      <c r="T889">
        <v>9.8985429999999992E-3</v>
      </c>
      <c r="U889">
        <v>4.4982910000000001E-2</v>
      </c>
      <c r="V889">
        <v>-7.8558369999999992E-3</v>
      </c>
      <c r="W889">
        <v>-5.6733440000000003E-2</v>
      </c>
      <c r="X889">
        <v>0.99835839999999998</v>
      </c>
      <c r="Y889">
        <v>-2.2553730000000001E-2</v>
      </c>
      <c r="Z889" s="1">
        <v>-9.4916760000000003E-6</v>
      </c>
      <c r="AA889">
        <v>0.99974560000000001</v>
      </c>
      <c r="AB889">
        <v>36</v>
      </c>
      <c r="AC889">
        <v>171.32309999999899</v>
      </c>
      <c r="AD889">
        <v>0.56426999999999905</v>
      </c>
      <c r="AE889">
        <v>2.5661999999999798</v>
      </c>
      <c r="AF889">
        <v>-3.86888711918562</v>
      </c>
      <c r="AG889">
        <v>0.56426999999999905</v>
      </c>
      <c r="AH889">
        <v>171.296774335077</v>
      </c>
      <c r="AI889">
        <v>89.811310342855506</v>
      </c>
      <c r="AJ889">
        <v>91.293855197759399</v>
      </c>
      <c r="AK889">
        <v>171.341389003872</v>
      </c>
      <c r="AL889">
        <v>93.252333143344302</v>
      </c>
      <c r="AM889">
        <v>90.450837109398293</v>
      </c>
      <c r="AN889">
        <v>0.99999994611987997</v>
      </c>
    </row>
    <row r="890" spans="1:40" x14ac:dyDescent="0.25">
      <c r="A890" t="str">
        <f>"20190303153757257"</f>
        <v>20190303153757257</v>
      </c>
      <c r="B890" t="str">
        <f>"1551598677249438"</f>
        <v>1551598677249438</v>
      </c>
      <c r="C890" t="s">
        <v>40</v>
      </c>
      <c r="D890">
        <v>4.1501970000000004</v>
      </c>
      <c r="E890">
        <v>0.49457499999999999</v>
      </c>
      <c r="F890" t="s">
        <v>41</v>
      </c>
      <c r="G890">
        <v>-158.78319999999999</v>
      </c>
      <c r="H890">
        <v>1.6819310000000001</v>
      </c>
      <c r="I890">
        <v>369.82190000000003</v>
      </c>
      <c r="J890">
        <v>-329.93009999999998</v>
      </c>
      <c r="K890">
        <v>1.1207739999999999</v>
      </c>
      <c r="L890">
        <v>367.23090000000002</v>
      </c>
      <c r="M890">
        <v>0.99986799999999998</v>
      </c>
      <c r="N890">
        <v>-1.434906E-2</v>
      </c>
      <c r="O890">
        <v>-7.6400239999999996E-3</v>
      </c>
      <c r="P890">
        <v>0.99750260000000002</v>
      </c>
      <c r="Q890">
        <v>-7.0631070000000004E-2</v>
      </c>
      <c r="R890">
        <v>1.5915340000000001E-4</v>
      </c>
      <c r="S890">
        <v>3.0083009999999999</v>
      </c>
      <c r="T890">
        <v>9.8550319999999997E-3</v>
      </c>
      <c r="U890">
        <v>4.5471190000000002E-2</v>
      </c>
      <c r="V890">
        <v>-7.7927099999999996E-3</v>
      </c>
      <c r="W890">
        <v>-5.6309400000000003E-2</v>
      </c>
      <c r="X890">
        <v>0.99838289999999996</v>
      </c>
      <c r="Y890">
        <v>-2.275224E-2</v>
      </c>
      <c r="Z890" s="1">
        <v>-8.6636569999999903E-6</v>
      </c>
      <c r="AA890">
        <v>0.99974110000000005</v>
      </c>
      <c r="AB890">
        <v>36</v>
      </c>
      <c r="AC890">
        <v>171.14689999999999</v>
      </c>
      <c r="AD890">
        <v>0.56115700000000002</v>
      </c>
      <c r="AE890">
        <v>2.5910000000000002</v>
      </c>
      <c r="AF890">
        <v>-3.89858333307131</v>
      </c>
      <c r="AG890">
        <v>0.56115700000000002</v>
      </c>
      <c r="AH890">
        <v>171.12026742733099</v>
      </c>
      <c r="AI890">
        <v>89.812158594343003</v>
      </c>
      <c r="AJ890">
        <v>91.305127318776499</v>
      </c>
      <c r="AK890">
        <v>171.165591675385</v>
      </c>
      <c r="AL890">
        <v>93.227998541708402</v>
      </c>
      <c r="AM890">
        <v>90.447203499891799</v>
      </c>
      <c r="AN890">
        <v>0.99999994493495503</v>
      </c>
    </row>
    <row r="891" spans="1:40" x14ac:dyDescent="0.25">
      <c r="A891" t="str">
        <f>"20190303153757267"</f>
        <v>20190303153757267</v>
      </c>
      <c r="B891" t="str">
        <f>"1551598677260175"</f>
        <v>1551598677260175</v>
      </c>
      <c r="C891" t="s">
        <v>40</v>
      </c>
      <c r="D891">
        <v>4.1516929999999999</v>
      </c>
      <c r="E891">
        <v>0.49450559999999899</v>
      </c>
      <c r="F891" t="s">
        <v>41</v>
      </c>
      <c r="G891">
        <v>-158.78319999999999</v>
      </c>
      <c r="H891">
        <v>1.7571909999999999</v>
      </c>
      <c r="I891">
        <v>369.83699999999999</v>
      </c>
      <c r="J891">
        <v>-329.75360000000001</v>
      </c>
      <c r="K891">
        <v>1.1207780000000001</v>
      </c>
      <c r="L891">
        <v>367.22949999999997</v>
      </c>
      <c r="M891">
        <v>0.99986719999999896</v>
      </c>
      <c r="N891">
        <v>-1.4374339999999999E-2</v>
      </c>
      <c r="O891">
        <v>-7.6762159999999996E-3</v>
      </c>
      <c r="P891">
        <v>0.99748990000000004</v>
      </c>
      <c r="Q891">
        <v>-7.0810620000000005E-2</v>
      </c>
      <c r="R891" s="1">
        <v>-7.723575E-6</v>
      </c>
      <c r="S891">
        <v>3.00827</v>
      </c>
      <c r="T891">
        <v>1.1187910000000001E-2</v>
      </c>
      <c r="U891">
        <v>4.5806880000000001E-2</v>
      </c>
      <c r="V891">
        <v>-7.6617259999999998E-3</v>
      </c>
      <c r="W891">
        <v>-5.6463859999999998E-2</v>
      </c>
      <c r="X891">
        <v>0.99837520000000002</v>
      </c>
      <c r="Y891">
        <v>-2.2900090000000001E-2</v>
      </c>
      <c r="Z891" s="1">
        <v>-1.6861329999999999E-5</v>
      </c>
      <c r="AA891">
        <v>0.99973769999999995</v>
      </c>
      <c r="AB891">
        <v>36</v>
      </c>
      <c r="AC891">
        <v>170.97040000000001</v>
      </c>
      <c r="AD891">
        <v>0.63641299999999901</v>
      </c>
      <c r="AE891">
        <v>2.6075000000000101</v>
      </c>
      <c r="AF891">
        <v>-3.9199102096496801</v>
      </c>
      <c r="AG891">
        <v>0.63641299999999901</v>
      </c>
      <c r="AH891">
        <v>170.94297590183899</v>
      </c>
      <c r="AI891">
        <v>89.786747438961498</v>
      </c>
      <c r="AJ891">
        <v>91.313624942919205</v>
      </c>
      <c r="AK891">
        <v>170.9890982716</v>
      </c>
      <c r="AL891">
        <v>93.236862519060097</v>
      </c>
      <c r="AM891">
        <v>90.439690355033605</v>
      </c>
      <c r="AN891">
        <v>0.99999995475321801</v>
      </c>
    </row>
    <row r="892" spans="1:40" x14ac:dyDescent="0.25">
      <c r="A892" t="str">
        <f>"20190303153757291"</f>
        <v>20190303153757291</v>
      </c>
      <c r="B892" t="str">
        <f>"1551598677279696"</f>
        <v>1551598677279696</v>
      </c>
      <c r="C892" t="s">
        <v>40</v>
      </c>
      <c r="D892">
        <v>4.177289</v>
      </c>
      <c r="E892">
        <v>0.49452180000000001</v>
      </c>
      <c r="F892" t="s">
        <v>41</v>
      </c>
      <c r="G892">
        <v>-158.78319999999999</v>
      </c>
      <c r="H892">
        <v>1.7161740000000001</v>
      </c>
      <c r="I892">
        <v>369.8329</v>
      </c>
      <c r="J892">
        <v>-329.40350000000001</v>
      </c>
      <c r="K892">
        <v>1.1207910000000001</v>
      </c>
      <c r="L892">
        <v>367.22669999999999</v>
      </c>
      <c r="M892">
        <v>0.99986609999999998</v>
      </c>
      <c r="N892">
        <v>-1.441608E-2</v>
      </c>
      <c r="O892">
        <v>-7.7485309999999899E-3</v>
      </c>
      <c r="P892">
        <v>0.99747030000000003</v>
      </c>
      <c r="Q892">
        <v>-7.1086090000000005E-2</v>
      </c>
      <c r="R892">
        <v>-1.815052E-4</v>
      </c>
      <c r="S892">
        <v>3.0083310000000001</v>
      </c>
      <c r="T892">
        <v>1.04779E-2</v>
      </c>
      <c r="U892">
        <v>4.5806880000000001E-2</v>
      </c>
      <c r="V892">
        <v>-7.5602239999999999E-3</v>
      </c>
      <c r="W892">
        <v>-5.6697900000000002E-2</v>
      </c>
      <c r="X892">
        <v>0.99836279999999999</v>
      </c>
      <c r="Y892">
        <v>-2.2972090000000001E-2</v>
      </c>
      <c r="Z892" s="1">
        <v>-1.308927E-5</v>
      </c>
      <c r="AA892">
        <v>0.99973610000000002</v>
      </c>
      <c r="AB892">
        <v>36</v>
      </c>
      <c r="AC892">
        <v>170.62029999999999</v>
      </c>
      <c r="AD892">
        <v>0.595383</v>
      </c>
      <c r="AE892">
        <v>2.6061999999999999</v>
      </c>
      <c r="AF892">
        <v>-3.9282679511588001</v>
      </c>
      <c r="AG892">
        <v>0.595383</v>
      </c>
      <c r="AH892">
        <v>170.59290375788299</v>
      </c>
      <c r="AI892">
        <v>89.800086912411899</v>
      </c>
      <c r="AJ892">
        <v>91.319125241700604</v>
      </c>
      <c r="AK892">
        <v>170.639164855432</v>
      </c>
      <c r="AL892">
        <v>93.250293247715504</v>
      </c>
      <c r="AM892">
        <v>90.433870981262203</v>
      </c>
      <c r="AN892">
        <v>1.0000000446375801</v>
      </c>
    </row>
    <row r="893" spans="1:40" x14ac:dyDescent="0.25">
      <c r="A893" t="str">
        <f>"20190303153757302"</f>
        <v>20190303153757302</v>
      </c>
      <c r="B893" t="str">
        <f>"1551598677289455"</f>
        <v>1551598677289455</v>
      </c>
      <c r="C893" t="s">
        <v>40</v>
      </c>
      <c r="D893">
        <v>4.2202529999999996</v>
      </c>
      <c r="E893">
        <v>0.49547180000000002</v>
      </c>
      <c r="F893" t="s">
        <v>41</v>
      </c>
      <c r="G893">
        <v>-158.78319999999999</v>
      </c>
      <c r="H893">
        <v>1.7035899999999999</v>
      </c>
      <c r="I893">
        <v>369.77280000000002</v>
      </c>
      <c r="J893">
        <v>-329.21300000000002</v>
      </c>
      <c r="K893">
        <v>1.120789</v>
      </c>
      <c r="L893">
        <v>367.2253</v>
      </c>
      <c r="M893">
        <v>0.99986589999999997</v>
      </c>
      <c r="N893">
        <v>-1.441595E-2</v>
      </c>
      <c r="O893">
        <v>-7.7881109999999899E-3</v>
      </c>
      <c r="P893">
        <v>0.99747010000000003</v>
      </c>
      <c r="Q893">
        <v>-7.1085780000000001E-2</v>
      </c>
      <c r="R893">
        <v>-8.1771359999999996E-4</v>
      </c>
      <c r="S893">
        <v>3.0083920000000002</v>
      </c>
      <c r="T893">
        <v>1.027751E-2</v>
      </c>
      <c r="U893">
        <v>4.4891359999999998E-2</v>
      </c>
      <c r="V893">
        <v>-6.9637220000000003E-3</v>
      </c>
      <c r="W893">
        <v>-5.6697780000000003E-2</v>
      </c>
      <c r="X893">
        <v>0.99836709999999995</v>
      </c>
      <c r="Y893">
        <v>-2.2707169999999999E-2</v>
      </c>
      <c r="Z893" s="1">
        <v>-1.3971079999999999E-5</v>
      </c>
      <c r="AA893">
        <v>0.99974220000000003</v>
      </c>
      <c r="AB893">
        <v>35</v>
      </c>
      <c r="AC893">
        <v>170.4298</v>
      </c>
      <c r="AD893">
        <v>0.58280100000000001</v>
      </c>
      <c r="AE893">
        <v>2.5475000000000101</v>
      </c>
      <c r="AF893">
        <v>-3.8748413728340299</v>
      </c>
      <c r="AG893">
        <v>0.58280100000000001</v>
      </c>
      <c r="AH893">
        <v>170.402795712179</v>
      </c>
      <c r="AI893">
        <v>89.804091959911702</v>
      </c>
      <c r="AJ893">
        <v>91.3026417916426</v>
      </c>
      <c r="AK893">
        <v>170.44784199043701</v>
      </c>
      <c r="AL893">
        <v>93.250286509568298</v>
      </c>
      <c r="AM893">
        <v>90.399637978738099</v>
      </c>
      <c r="AN893">
        <v>0.99999999902171499</v>
      </c>
    </row>
    <row r="894" spans="1:40" x14ac:dyDescent="0.25">
      <c r="A894" t="str">
        <f>"20190303153757313"</f>
        <v>20190303153757313</v>
      </c>
      <c r="B894" t="str">
        <f>"1551598677309951"</f>
        <v>1551598677309951</v>
      </c>
      <c r="C894" t="s">
        <v>40</v>
      </c>
      <c r="D894">
        <v>4.2241019999999896</v>
      </c>
      <c r="E894">
        <v>0.49639879999999997</v>
      </c>
      <c r="F894" t="s">
        <v>41</v>
      </c>
      <c r="G894">
        <v>-158.78319999999999</v>
      </c>
      <c r="H894">
        <v>1.6607749999999999</v>
      </c>
      <c r="I894">
        <v>369.23770000000002</v>
      </c>
      <c r="J894">
        <v>-329.0403</v>
      </c>
      <c r="K894">
        <v>1.120784</v>
      </c>
      <c r="L894">
        <v>367.22379999999998</v>
      </c>
      <c r="M894">
        <v>0.99986569999999997</v>
      </c>
      <c r="N894">
        <v>-1.440923E-2</v>
      </c>
      <c r="O894">
        <v>-7.8237099999999993E-3</v>
      </c>
      <c r="P894">
        <v>0.99745649999999997</v>
      </c>
      <c r="Q894">
        <v>-7.1272269999999999E-2</v>
      </c>
      <c r="R894">
        <v>-1.0635389999999901E-3</v>
      </c>
      <c r="S894">
        <v>3.008362</v>
      </c>
      <c r="T894">
        <v>9.5331670000000004E-3</v>
      </c>
      <c r="U894">
        <v>3.5522459999999999E-2</v>
      </c>
      <c r="V894">
        <v>-6.7537059999999999E-3</v>
      </c>
      <c r="W894">
        <v>-5.6891169999999998E-2</v>
      </c>
      <c r="X894">
        <v>0.99835750000000001</v>
      </c>
      <c r="Y894">
        <v>-1.9629850000000001E-2</v>
      </c>
      <c r="Z894" s="1">
        <v>-2.719001E-5</v>
      </c>
      <c r="AA894">
        <v>0.99980729999999995</v>
      </c>
      <c r="AB894">
        <v>35</v>
      </c>
      <c r="AC894">
        <v>170.25710000000001</v>
      </c>
      <c r="AD894">
        <v>0.539990999999999</v>
      </c>
      <c r="AE894">
        <v>2.0139000000000302</v>
      </c>
      <c r="AF894">
        <v>-3.34598500839894</v>
      </c>
      <c r="AG894">
        <v>0.539990999999999</v>
      </c>
      <c r="AH894">
        <v>170.23441810098601</v>
      </c>
      <c r="AI894">
        <v>89.818290993424696</v>
      </c>
      <c r="AJ894">
        <v>91.1260128214345</v>
      </c>
      <c r="AK894">
        <v>170.268154133819</v>
      </c>
      <c r="AL894">
        <v>93.261384988959605</v>
      </c>
      <c r="AM894">
        <v>90.387589563124394</v>
      </c>
      <c r="AN894">
        <v>0.99999995778747497</v>
      </c>
    </row>
    <row r="895" spans="1:40" x14ac:dyDescent="0.25">
      <c r="A895" t="str">
        <f>"20190303153757324"</f>
        <v>20190303153757324</v>
      </c>
      <c r="B895" t="str">
        <f>"1551598677319711"</f>
        <v>1551598677319711</v>
      </c>
      <c r="C895" t="s">
        <v>40</v>
      </c>
      <c r="D895">
        <v>4.2273610000000001</v>
      </c>
      <c r="E895">
        <v>0.49683699999999997</v>
      </c>
      <c r="F895" t="s">
        <v>41</v>
      </c>
      <c r="G895">
        <v>-158.78319999999999</v>
      </c>
      <c r="H895">
        <v>1.42784</v>
      </c>
      <c r="I895">
        <v>368.7715</v>
      </c>
      <c r="J895">
        <v>-328.86399999999998</v>
      </c>
      <c r="K895">
        <v>1.120779</v>
      </c>
      <c r="L895">
        <v>367.22250000000003</v>
      </c>
      <c r="M895">
        <v>0.99986569999999997</v>
      </c>
      <c r="N895">
        <v>-1.43906E-2</v>
      </c>
      <c r="O895">
        <v>-7.8601769999999994E-3</v>
      </c>
      <c r="P895">
        <v>0.9974712</v>
      </c>
      <c r="Q895">
        <v>-7.1067720000000001E-2</v>
      </c>
      <c r="R895">
        <v>-1.0707539999999999E-3</v>
      </c>
      <c r="S895">
        <v>3.008057</v>
      </c>
      <c r="T895">
        <v>5.4265260000000001E-3</v>
      </c>
      <c r="U895">
        <v>2.734375E-2</v>
      </c>
      <c r="V895">
        <v>-6.7828180000000004E-3</v>
      </c>
      <c r="W895">
        <v>-5.670501E-2</v>
      </c>
      <c r="X895">
        <v>0.99836800000000003</v>
      </c>
      <c r="Y895">
        <v>-1.6949349999999998E-2</v>
      </c>
      <c r="Z895" s="1">
        <v>-2.0618910000000001E-5</v>
      </c>
      <c r="AA895">
        <v>0.99985639999999998</v>
      </c>
      <c r="AB895">
        <v>35</v>
      </c>
      <c r="AC895">
        <v>170.08080000000001</v>
      </c>
      <c r="AD895">
        <v>0.30706099999999897</v>
      </c>
      <c r="AE895">
        <v>1.54899999999997</v>
      </c>
      <c r="AF895">
        <v>-2.8859461785374698</v>
      </c>
      <c r="AG895">
        <v>0.30706099999999897</v>
      </c>
      <c r="AH895">
        <v>170.06281390210199</v>
      </c>
      <c r="AI895">
        <v>89.896563233585596</v>
      </c>
      <c r="AJ895">
        <v>90.972209399028699</v>
      </c>
      <c r="AK895">
        <v>170.08757639552601</v>
      </c>
      <c r="AL895">
        <v>93.250701213796603</v>
      </c>
      <c r="AM895">
        <v>90.389256131474497</v>
      </c>
      <c r="AN895">
        <v>1.0000000641015501</v>
      </c>
    </row>
    <row r="896" spans="1:40" x14ac:dyDescent="0.25">
      <c r="A896" t="str">
        <f>"20190303153757336"</f>
        <v>20190303153757336</v>
      </c>
      <c r="B896" t="str">
        <f>"1551598677329471"</f>
        <v>1551598677329471</v>
      </c>
      <c r="C896" t="s">
        <v>40</v>
      </c>
      <c r="D896">
        <v>4.1968699999999997</v>
      </c>
      <c r="E896">
        <v>0.49725940000000002</v>
      </c>
      <c r="F896" t="s">
        <v>41</v>
      </c>
      <c r="G896">
        <v>-158.78319999999999</v>
      </c>
      <c r="H896">
        <v>1.380943</v>
      </c>
      <c r="I896">
        <v>368.55810000000002</v>
      </c>
      <c r="J896">
        <v>-328.68020000000001</v>
      </c>
      <c r="K896">
        <v>1.120771</v>
      </c>
      <c r="L896">
        <v>367.22089999999997</v>
      </c>
      <c r="M896">
        <v>0.99986589999999997</v>
      </c>
      <c r="N896">
        <v>-1.435051E-2</v>
      </c>
      <c r="O896">
        <v>-7.8990029999999999E-3</v>
      </c>
      <c r="P896">
        <v>0.99746380000000001</v>
      </c>
      <c r="Q896">
        <v>-7.1167079999999994E-2</v>
      </c>
      <c r="R896">
        <v>-1.160849E-3</v>
      </c>
      <c r="S896">
        <v>3.007965</v>
      </c>
      <c r="T896">
        <v>4.602671E-3</v>
      </c>
      <c r="U896">
        <v>2.362061E-2</v>
      </c>
      <c r="V896">
        <v>-6.7313499999999997E-3</v>
      </c>
      <c r="W896">
        <v>-5.6844520000000003E-2</v>
      </c>
      <c r="X896">
        <v>0.99836029999999998</v>
      </c>
      <c r="Y896">
        <v>-1.575093E-2</v>
      </c>
      <c r="Z896" s="1">
        <v>-2.4471269999999999E-5</v>
      </c>
      <c r="AA896">
        <v>0.99987599999999999</v>
      </c>
      <c r="AB896">
        <v>35</v>
      </c>
      <c r="AC896">
        <v>169.89699999999999</v>
      </c>
      <c r="AD896">
        <v>0.26017200000000001</v>
      </c>
      <c r="AE896">
        <v>1.3372000000000499</v>
      </c>
      <c r="AF896">
        <v>-2.67930701062317</v>
      </c>
      <c r="AG896">
        <v>0.26017200000000001</v>
      </c>
      <c r="AH896">
        <v>169.88073654278699</v>
      </c>
      <c r="AI896">
        <v>89.912262611136498</v>
      </c>
      <c r="AJ896">
        <v>90.9035765923459</v>
      </c>
      <c r="AK896">
        <v>169.90206303587499</v>
      </c>
      <c r="AL896">
        <v>93.258707835092096</v>
      </c>
      <c r="AM896">
        <v>90.386305526445895</v>
      </c>
      <c r="AN896">
        <v>0.99999994957146998</v>
      </c>
    </row>
    <row r="897" spans="1:40" x14ac:dyDescent="0.25">
      <c r="A897" t="str">
        <f>"20190303153757348"</f>
        <v>20190303153757348</v>
      </c>
      <c r="B897" t="str">
        <f>"1551598677340206"</f>
        <v>1551598677340206</v>
      </c>
      <c r="C897" t="s">
        <v>40</v>
      </c>
      <c r="D897">
        <v>4.214391</v>
      </c>
      <c r="E897">
        <v>0.49764730000000001</v>
      </c>
      <c r="F897" t="s">
        <v>41</v>
      </c>
      <c r="G897">
        <v>-158.78319999999999</v>
      </c>
      <c r="H897">
        <v>1.278273</v>
      </c>
      <c r="I897">
        <v>368.36900000000003</v>
      </c>
      <c r="J897">
        <v>-328.49470000000002</v>
      </c>
      <c r="K897">
        <v>1.1207560000000001</v>
      </c>
      <c r="L897">
        <v>367.21940000000001</v>
      </c>
      <c r="M897">
        <v>0.99986649999999999</v>
      </c>
      <c r="N897">
        <v>-1.429475E-2</v>
      </c>
      <c r="O897">
        <v>-7.9386779999999994E-3</v>
      </c>
      <c r="P897">
        <v>0.99747129999999995</v>
      </c>
      <c r="Q897">
        <v>-7.1063370000000001E-2</v>
      </c>
      <c r="R897">
        <v>-1.2062279999999999E-3</v>
      </c>
      <c r="S897">
        <v>3.0078740000000002</v>
      </c>
      <c r="T897">
        <v>2.7899740000000002E-3</v>
      </c>
      <c r="U897">
        <v>2.0324709999999999E-2</v>
      </c>
      <c r="V897">
        <v>-6.725656E-3</v>
      </c>
      <c r="W897">
        <v>-5.6796340000000001E-2</v>
      </c>
      <c r="X897">
        <v>0.99836309999999995</v>
      </c>
      <c r="Y897">
        <v>-1.469528E-2</v>
      </c>
      <c r="Z897" s="1">
        <v>-2.2625499999999999E-5</v>
      </c>
      <c r="AA897">
        <v>0.999892</v>
      </c>
      <c r="AB897">
        <v>35</v>
      </c>
      <c r="AC897">
        <v>169.7115</v>
      </c>
      <c r="AD897">
        <v>0.15751699999999999</v>
      </c>
      <c r="AE897">
        <v>1.1496000000000199</v>
      </c>
      <c r="AF897">
        <v>-2.4969839839516301</v>
      </c>
      <c r="AG897">
        <v>0.15751699999999999</v>
      </c>
      <c r="AH897">
        <v>169.696877579546</v>
      </c>
      <c r="AI897">
        <v>89.946822357742903</v>
      </c>
      <c r="AJ897">
        <v>90.843010914019104</v>
      </c>
      <c r="AK897">
        <v>169.715320465975</v>
      </c>
      <c r="AL897">
        <v>93.255942793702204</v>
      </c>
      <c r="AM897">
        <v>90.385977680821796</v>
      </c>
      <c r="AN897">
        <v>0.99999996906381705</v>
      </c>
    </row>
    <row r="898" spans="1:40" x14ac:dyDescent="0.25">
      <c r="A898" t="str">
        <f>"20190303153757359"</f>
        <v>20190303153757359</v>
      </c>
      <c r="B898" t="str">
        <f>"1551598677349967"</f>
        <v>1551598677349967</v>
      </c>
      <c r="C898" t="s">
        <v>40</v>
      </c>
      <c r="D898">
        <v>4.2127330000000001</v>
      </c>
      <c r="E898">
        <v>0.49801820000000002</v>
      </c>
      <c r="F898" t="s">
        <v>41</v>
      </c>
      <c r="G898">
        <v>-158.78319999999999</v>
      </c>
      <c r="H898">
        <v>1.214051</v>
      </c>
      <c r="I898">
        <v>368.19240000000002</v>
      </c>
      <c r="J898">
        <v>-328.30419999999998</v>
      </c>
      <c r="K898">
        <v>1.120738</v>
      </c>
      <c r="L898">
        <v>367.21789999999999</v>
      </c>
      <c r="M898">
        <v>0.99986730000000001</v>
      </c>
      <c r="N898">
        <v>-1.4213679999999999E-2</v>
      </c>
      <c r="O898">
        <v>-7.9747459999999996E-3</v>
      </c>
      <c r="P898">
        <v>0.99748429999999999</v>
      </c>
      <c r="Q898">
        <v>-7.08791E-2</v>
      </c>
      <c r="R898">
        <v>-1.1735859999999999E-3</v>
      </c>
      <c r="S898">
        <v>3.0077509999999998</v>
      </c>
      <c r="T898">
        <v>1.6549829999999901E-3</v>
      </c>
      <c r="U898">
        <v>1.724243E-2</v>
      </c>
      <c r="V898">
        <v>-6.7952000000000004E-3</v>
      </c>
      <c r="W898">
        <v>-5.669279E-2</v>
      </c>
      <c r="X898">
        <v>0.99836860000000005</v>
      </c>
      <c r="Y898">
        <v>-1.370699E-2</v>
      </c>
      <c r="Z898" s="1">
        <v>-2.4095370000000001E-5</v>
      </c>
      <c r="AA898">
        <v>0.99990610000000002</v>
      </c>
      <c r="AB898">
        <v>35</v>
      </c>
      <c r="AC898">
        <v>169.52099999999999</v>
      </c>
      <c r="AD898">
        <v>9.3312999999999896E-2</v>
      </c>
      <c r="AE898">
        <v>0.97450000000003401</v>
      </c>
      <c r="AF898">
        <v>-2.3264916340419499</v>
      </c>
      <c r="AG898">
        <v>9.3312999999999896E-2</v>
      </c>
      <c r="AH898">
        <v>169.507784816222</v>
      </c>
      <c r="AI898">
        <v>89.968461996938302</v>
      </c>
      <c r="AJ898">
        <v>90.786334284128202</v>
      </c>
      <c r="AK898">
        <v>169.52377527633601</v>
      </c>
      <c r="AL898">
        <v>93.249999963092094</v>
      </c>
      <c r="AM898">
        <v>90.389966460296506</v>
      </c>
      <c r="AN898">
        <v>1.0000000543234899</v>
      </c>
    </row>
    <row r="899" spans="1:40" x14ac:dyDescent="0.25">
      <c r="A899" t="str">
        <f>"20190303153757373"</f>
        <v>20190303153757373</v>
      </c>
      <c r="B899" t="str">
        <f>"1551598677359727"</f>
        <v>1551598677359727</v>
      </c>
      <c r="C899" t="s">
        <v>40</v>
      </c>
      <c r="D899">
        <v>4.2300779999999998</v>
      </c>
      <c r="E899">
        <v>0.49835499999999999</v>
      </c>
      <c r="F899" t="s">
        <v>41</v>
      </c>
      <c r="G899">
        <v>-158.78319999999999</v>
      </c>
      <c r="H899">
        <v>1.1822709999999901</v>
      </c>
      <c r="I899">
        <v>368.01769999999999</v>
      </c>
      <c r="J899">
        <v>-328.10480000000001</v>
      </c>
      <c r="K899">
        <v>1.1207180000000001</v>
      </c>
      <c r="L899">
        <v>367.21620000000001</v>
      </c>
      <c r="M899">
        <v>0.99986830000000004</v>
      </c>
      <c r="N899">
        <v>-1.412158E-2</v>
      </c>
      <c r="O899">
        <v>-8.0120409999999993E-3</v>
      </c>
      <c r="P899">
        <v>0.99748669999999995</v>
      </c>
      <c r="Q899">
        <v>-7.0846110000000004E-2</v>
      </c>
      <c r="R899">
        <v>-1.132362E-3</v>
      </c>
      <c r="S899">
        <v>3.00766</v>
      </c>
      <c r="T899">
        <v>1.0932680000000001E-3</v>
      </c>
      <c r="U899">
        <v>1.4190670000000001E-2</v>
      </c>
      <c r="V899">
        <v>-6.8737269999999996E-3</v>
      </c>
      <c r="W899">
        <v>-5.6751660000000002E-2</v>
      </c>
      <c r="X899">
        <v>0.99836469999999999</v>
      </c>
      <c r="Y899">
        <v>-1.272992E-2</v>
      </c>
      <c r="Z899" s="1">
        <v>-2.8485719999999999E-5</v>
      </c>
      <c r="AA899">
        <v>0.999919</v>
      </c>
      <c r="AB899">
        <v>35</v>
      </c>
      <c r="AC899">
        <v>169.32159999999999</v>
      </c>
      <c r="AD899">
        <v>6.1552999999999698E-2</v>
      </c>
      <c r="AE899">
        <v>0.80149999999997501</v>
      </c>
      <c r="AF899">
        <v>-2.1582207171970298</v>
      </c>
      <c r="AG899">
        <v>6.1552999999999698E-2</v>
      </c>
      <c r="AH899">
        <v>169.309719551488</v>
      </c>
      <c r="AI899">
        <v>89.979171659633593</v>
      </c>
      <c r="AJ899">
        <v>90.730319804684598</v>
      </c>
      <c r="AK899">
        <v>169.32348578989101</v>
      </c>
      <c r="AL899">
        <v>93.253378462399994</v>
      </c>
      <c r="AM899">
        <v>90.394474407801397</v>
      </c>
      <c r="AN899">
        <v>1.0000000366208499</v>
      </c>
    </row>
    <row r="900" spans="1:40" x14ac:dyDescent="0.25">
      <c r="A900" t="str">
        <f>"20190303153757385"</f>
        <v>20190303153757385</v>
      </c>
      <c r="B900" t="str">
        <f>"1551598677380223"</f>
        <v>1551598677380223</v>
      </c>
      <c r="C900" t="s">
        <v>40</v>
      </c>
      <c r="D900">
        <v>4.1834660000000001</v>
      </c>
      <c r="E900">
        <v>0.49900119999999998</v>
      </c>
      <c r="F900" t="s">
        <v>41</v>
      </c>
      <c r="G900">
        <v>-158.78319999999999</v>
      </c>
      <c r="H900">
        <v>1.1153679999999999</v>
      </c>
      <c r="I900">
        <v>367.86219999999997</v>
      </c>
      <c r="J900">
        <v>-327.8974</v>
      </c>
      <c r="K900">
        <v>1.1207039999999999</v>
      </c>
      <c r="L900">
        <v>367.21449999999999</v>
      </c>
      <c r="M900">
        <v>0.99986929999999996</v>
      </c>
      <c r="N900">
        <v>-1.4014560000000001E-2</v>
      </c>
      <c r="O900">
        <v>-8.0520450000000007E-3</v>
      </c>
      <c r="P900">
        <v>0.99747600000000003</v>
      </c>
      <c r="Q900">
        <v>-7.0996219999999999E-2</v>
      </c>
      <c r="R900">
        <v>-1.071975E-3</v>
      </c>
      <c r="S900">
        <v>3.0075989999999999</v>
      </c>
      <c r="T900" s="1">
        <v>-9.3460079999999995E-5</v>
      </c>
      <c r="U900">
        <v>1.147461E-2</v>
      </c>
      <c r="V900">
        <v>-6.9740720000000004E-3</v>
      </c>
      <c r="W900">
        <v>-5.700877E-2</v>
      </c>
      <c r="X900">
        <v>0.9983493</v>
      </c>
      <c r="Y900">
        <v>-1.1867040000000001E-2</v>
      </c>
      <c r="Z900" s="1">
        <v>-2.925684E-5</v>
      </c>
      <c r="AA900">
        <v>0.99992959999999997</v>
      </c>
      <c r="AB900">
        <v>35</v>
      </c>
      <c r="AC900">
        <v>169.11420000000001</v>
      </c>
      <c r="AD900">
        <v>-5.3359999999999996E-3</v>
      </c>
      <c r="AE900">
        <v>0.64769999999998595</v>
      </c>
      <c r="AF900">
        <v>-2.0095279856929298</v>
      </c>
      <c r="AG900">
        <v>-5.3359999999999996E-3</v>
      </c>
      <c r="AH900">
        <v>169.10350054702801</v>
      </c>
      <c r="AI900">
        <v>90.001807820025704</v>
      </c>
      <c r="AJ900">
        <v>90.6808377871631</v>
      </c>
      <c r="AK900">
        <v>169.115440242625</v>
      </c>
      <c r="AL900">
        <v>93.268133849706302</v>
      </c>
      <c r="AM900">
        <v>90.400239066703506</v>
      </c>
      <c r="AN900">
        <v>0.99999998117383104</v>
      </c>
    </row>
    <row r="901" spans="1:40" x14ac:dyDescent="0.25">
      <c r="A901" t="str">
        <f>"20190303153757400"</f>
        <v>20190303153757400</v>
      </c>
      <c r="B901" t="str">
        <f>"1551598677389984"</f>
        <v>1551598677389984</v>
      </c>
      <c r="C901" t="s">
        <v>40</v>
      </c>
      <c r="D901">
        <v>4.2276309999999997</v>
      </c>
      <c r="E901">
        <v>0.49929119999999999</v>
      </c>
      <c r="F901" t="s">
        <v>41</v>
      </c>
      <c r="G901">
        <v>-158.78319999999999</v>
      </c>
      <c r="H901">
        <v>0.95442640000000001</v>
      </c>
      <c r="I901">
        <v>367.58699999999999</v>
      </c>
      <c r="J901">
        <v>-327.65460000000002</v>
      </c>
      <c r="K901">
        <v>1.120681</v>
      </c>
      <c r="L901">
        <v>367.21249999999998</v>
      </c>
      <c r="M901">
        <v>0.99987079999999995</v>
      </c>
      <c r="N901">
        <v>-1.388472E-2</v>
      </c>
      <c r="O901">
        <v>-8.1022339999999998E-3</v>
      </c>
      <c r="P901">
        <v>0.997471</v>
      </c>
      <c r="Q901">
        <v>-7.107513E-2</v>
      </c>
      <c r="R901">
        <v>-4.4894640000000001E-4</v>
      </c>
      <c r="S901">
        <v>3.0073240000000001</v>
      </c>
      <c r="T901">
        <v>-2.9553169999999998E-3</v>
      </c>
      <c r="U901">
        <v>6.6223139999999998E-3</v>
      </c>
      <c r="V901">
        <v>-7.6466379999999999E-3</v>
      </c>
      <c r="W901">
        <v>-5.7217339999999998E-2</v>
      </c>
      <c r="X901">
        <v>0.99833240000000001</v>
      </c>
      <c r="Y901">
        <v>-1.0304229999999999E-2</v>
      </c>
      <c r="Z901" s="1">
        <v>-2.7939040000000001E-5</v>
      </c>
      <c r="AA901">
        <v>0.99994689999999997</v>
      </c>
      <c r="AB901">
        <v>35</v>
      </c>
      <c r="AC901">
        <v>168.87139999999999</v>
      </c>
      <c r="AD901">
        <v>-0.166254599999999</v>
      </c>
      <c r="AE901">
        <v>0.37450000000001099</v>
      </c>
      <c r="AF901">
        <v>-1.7428534885878699</v>
      </c>
      <c r="AG901">
        <v>-0.166254599999999</v>
      </c>
      <c r="AH901">
        <v>168.86265770981899</v>
      </c>
      <c r="AI901">
        <v>90.056407832445402</v>
      </c>
      <c r="AJ901">
        <v>90.591336207577598</v>
      </c>
      <c r="AK901">
        <v>168.871733418291</v>
      </c>
      <c r="AL901">
        <v>93.280103710488802</v>
      </c>
      <c r="AM901">
        <v>90.438843332639195</v>
      </c>
      <c r="AN901">
        <v>0.99999993797956699</v>
      </c>
    </row>
    <row r="902" spans="1:40" x14ac:dyDescent="0.25">
      <c r="A902" t="str">
        <f>"20190303153757412"</f>
        <v>20190303153757412</v>
      </c>
      <c r="B902" t="str">
        <f>"1551598677399743"</f>
        <v>1551598677399743</v>
      </c>
      <c r="C902" t="s">
        <v>40</v>
      </c>
      <c r="D902">
        <v>4.1975939999999996</v>
      </c>
      <c r="E902">
        <v>0.49960090000000001</v>
      </c>
      <c r="F902" t="s">
        <v>41</v>
      </c>
      <c r="G902">
        <v>-158.78319999999999</v>
      </c>
      <c r="H902">
        <v>0.87842209999999998</v>
      </c>
      <c r="I902">
        <v>367.54840000000002</v>
      </c>
      <c r="J902">
        <v>-327.47120000000001</v>
      </c>
      <c r="K902">
        <v>1.1206670000000001</v>
      </c>
      <c r="L902">
        <v>367.21100000000001</v>
      </c>
      <c r="M902">
        <v>0.99987190000000004</v>
      </c>
      <c r="N902">
        <v>-1.378162E-2</v>
      </c>
      <c r="O902">
        <v>-8.1412919999999996E-3</v>
      </c>
      <c r="P902">
        <v>0.99746699999999999</v>
      </c>
      <c r="Q902">
        <v>-7.1130769999999996E-2</v>
      </c>
      <c r="R902" s="1">
        <v>-4.6471830000000003E-6</v>
      </c>
      <c r="S902">
        <v>3.0072939999999999</v>
      </c>
      <c r="T902">
        <v>-4.3126340000000001E-3</v>
      </c>
      <c r="U902">
        <v>5.9814450000000002E-3</v>
      </c>
      <c r="V902">
        <v>-8.1292689999999997E-3</v>
      </c>
      <c r="W902">
        <v>-5.7375929999999999E-2</v>
      </c>
      <c r="X902">
        <v>0.99831959999999997</v>
      </c>
      <c r="Y902">
        <v>-1.013023E-2</v>
      </c>
      <c r="Z902" s="1">
        <v>-2.345871E-5</v>
      </c>
      <c r="AA902">
        <v>0.99994870000000002</v>
      </c>
      <c r="AB902">
        <v>35</v>
      </c>
      <c r="AC902">
        <v>168.68799999999999</v>
      </c>
      <c r="AD902">
        <v>-0.24224490000000001</v>
      </c>
      <c r="AE902">
        <v>0.33740000000000198</v>
      </c>
      <c r="AF902">
        <v>-1.71085397192529</v>
      </c>
      <c r="AG902">
        <v>-0.24224490000000001</v>
      </c>
      <c r="AH902">
        <v>168.67931348160801</v>
      </c>
      <c r="AI902">
        <v>90.082279721719701</v>
      </c>
      <c r="AJ902">
        <v>90.581110681368997</v>
      </c>
      <c r="AK902">
        <v>168.68816348674699</v>
      </c>
      <c r="AL902">
        <v>93.289204821769502</v>
      </c>
      <c r="AM902">
        <v>90.466546494595093</v>
      </c>
      <c r="AN902">
        <v>1.00000005305099</v>
      </c>
    </row>
    <row r="903" spans="1:40" x14ac:dyDescent="0.25">
      <c r="A903" t="str">
        <f>"20190303153757423"</f>
        <v>20190303153757423</v>
      </c>
      <c r="B903" t="str">
        <f>"1551598677409503"</f>
        <v>1551598677409503</v>
      </c>
      <c r="C903" t="s">
        <v>40</v>
      </c>
      <c r="D903">
        <v>4.2264569999999999</v>
      </c>
      <c r="E903">
        <v>0.4998977</v>
      </c>
      <c r="F903" t="s">
        <v>41</v>
      </c>
      <c r="G903">
        <v>-158.78319999999999</v>
      </c>
      <c r="H903">
        <v>0.82218740000000001</v>
      </c>
      <c r="I903">
        <v>367.48660000000001</v>
      </c>
      <c r="J903">
        <v>-327.30020000000002</v>
      </c>
      <c r="K903">
        <v>1.1206510000000001</v>
      </c>
      <c r="L903">
        <v>367.20960000000002</v>
      </c>
      <c r="M903">
        <v>0.99987309999999996</v>
      </c>
      <c r="N903">
        <v>-1.3675329999999999E-2</v>
      </c>
      <c r="O903">
        <v>-8.17938E-3</v>
      </c>
      <c r="P903">
        <v>0.9974594</v>
      </c>
      <c r="Q903">
        <v>-7.1238220000000005E-2</v>
      </c>
      <c r="R903">
        <v>2.879596E-4</v>
      </c>
      <c r="S903">
        <v>3.0072329999999998</v>
      </c>
      <c r="T903">
        <v>-5.3194760000000001E-3</v>
      </c>
      <c r="U903">
        <v>4.9133299999999996E-3</v>
      </c>
      <c r="V903">
        <v>-8.4600100000000004E-3</v>
      </c>
      <c r="W903">
        <v>-5.7589599999999998E-2</v>
      </c>
      <c r="X903">
        <v>0.99830450000000004</v>
      </c>
      <c r="Y903">
        <v>-9.8132010000000006E-3</v>
      </c>
      <c r="Z903" s="1">
        <v>-2.1611609999999999E-5</v>
      </c>
      <c r="AA903">
        <v>0.99995179999999995</v>
      </c>
      <c r="AB903">
        <v>35</v>
      </c>
      <c r="AC903">
        <v>168.517</v>
      </c>
      <c r="AD903">
        <v>-0.2984636</v>
      </c>
      <c r="AE903">
        <v>0.27699999999998598</v>
      </c>
      <c r="AF903">
        <v>-1.65547893218766</v>
      </c>
      <c r="AG903">
        <v>-0.2984636</v>
      </c>
      <c r="AH903">
        <v>168.50856728161401</v>
      </c>
      <c r="AI903">
        <v>90.101477698258293</v>
      </c>
      <c r="AJ903">
        <v>90.562872891203995</v>
      </c>
      <c r="AK903">
        <v>168.516963354784</v>
      </c>
      <c r="AL903">
        <v>93.301467647945202</v>
      </c>
      <c r="AM903">
        <v>90.485534488391707</v>
      </c>
      <c r="AN903">
        <v>1.0000000042588</v>
      </c>
    </row>
    <row r="904" spans="1:40" x14ac:dyDescent="0.25">
      <c r="A904" t="str">
        <f>"20190303153757434"</f>
        <v>20190303153757434</v>
      </c>
      <c r="B904" t="str">
        <f>"1551598677429999"</f>
        <v>1551598677429999</v>
      </c>
      <c r="C904" t="s">
        <v>40</v>
      </c>
      <c r="D904">
        <v>4.2480840000000004</v>
      </c>
      <c r="E904">
        <v>0.50041059999999904</v>
      </c>
      <c r="F904" t="s">
        <v>41</v>
      </c>
      <c r="G904">
        <v>-158.78319999999999</v>
      </c>
      <c r="H904">
        <v>0.76015849999999996</v>
      </c>
      <c r="I904">
        <v>367.40289999999999</v>
      </c>
      <c r="J904">
        <v>-327.1216</v>
      </c>
      <c r="K904">
        <v>1.12063</v>
      </c>
      <c r="L904">
        <v>367.2081</v>
      </c>
      <c r="M904">
        <v>0.99987440000000005</v>
      </c>
      <c r="N904">
        <v>-1.35543E-2</v>
      </c>
      <c r="O904">
        <v>-8.2191629999999998E-3</v>
      </c>
      <c r="P904">
        <v>0.99745600000000001</v>
      </c>
      <c r="Q904">
        <v>-7.1284399999999998E-2</v>
      </c>
      <c r="R904">
        <v>6.764033E-4</v>
      </c>
      <c r="S904">
        <v>3.0072019999999999</v>
      </c>
      <c r="T904">
        <v>-6.43146E-3</v>
      </c>
      <c r="U904">
        <v>3.4484860000000002E-3</v>
      </c>
      <c r="V904">
        <v>-8.8878740000000005E-3</v>
      </c>
      <c r="W904">
        <v>-5.7756660000000001E-2</v>
      </c>
      <c r="X904">
        <v>0.99829109999999999</v>
      </c>
      <c r="Y904">
        <v>-9.3659260000000001E-3</v>
      </c>
      <c r="Z904" s="1">
        <v>-2.0340449999999999E-5</v>
      </c>
      <c r="AA904">
        <v>0.99995610000000001</v>
      </c>
      <c r="AB904">
        <v>35</v>
      </c>
      <c r="AC904">
        <v>168.33840000000001</v>
      </c>
      <c r="AD904">
        <v>-0.3604715</v>
      </c>
      <c r="AE904">
        <v>0.19479999999998601</v>
      </c>
      <c r="AF904">
        <v>-1.57851398205172</v>
      </c>
      <c r="AG904">
        <v>-0.3604715</v>
      </c>
      <c r="AH904">
        <v>168.33033974180401</v>
      </c>
      <c r="AI904">
        <v>90.122690633223797</v>
      </c>
      <c r="AJ904">
        <v>90.537274137736404</v>
      </c>
      <c r="AK904">
        <v>168.33812676777899</v>
      </c>
      <c r="AL904">
        <v>93.311055542452905</v>
      </c>
      <c r="AM904">
        <v>90.510095917692297</v>
      </c>
      <c r="AN904">
        <v>0.99999997320890199</v>
      </c>
    </row>
    <row r="905" spans="1:40" x14ac:dyDescent="0.25">
      <c r="A905" t="str">
        <f>"20190303153757445"</f>
        <v>20190303153757445</v>
      </c>
      <c r="B905" t="str">
        <f>"1551598677439760"</f>
        <v>1551598677439760</v>
      </c>
      <c r="C905" t="s">
        <v>40</v>
      </c>
      <c r="D905">
        <v>4.2553999999999998</v>
      </c>
      <c r="E905">
        <v>0.50064629999999999</v>
      </c>
      <c r="F905" t="s">
        <v>41</v>
      </c>
      <c r="G905">
        <v>-158.19499999999999</v>
      </c>
      <c r="H905">
        <v>0.64673419999999904</v>
      </c>
      <c r="I905">
        <v>367.24759999999998</v>
      </c>
      <c r="J905">
        <v>-326.93720000000002</v>
      </c>
      <c r="K905">
        <v>1.1206100000000001</v>
      </c>
      <c r="L905">
        <v>367.20650000000001</v>
      </c>
      <c r="M905">
        <v>0.99987599999999999</v>
      </c>
      <c r="N905">
        <v>-1.341671E-2</v>
      </c>
      <c r="O905">
        <v>-8.2607559999999993E-3</v>
      </c>
      <c r="P905">
        <v>0.99745170000000005</v>
      </c>
      <c r="Q905">
        <v>-7.1340349999999997E-2</v>
      </c>
      <c r="R905">
        <v>9.6926300000000005E-4</v>
      </c>
      <c r="S905">
        <v>3.0070800000000002</v>
      </c>
      <c r="T905">
        <v>-8.4342959999999904E-3</v>
      </c>
      <c r="U905">
        <v>7.0190429999999896E-4</v>
      </c>
      <c r="V905">
        <v>-9.2219380000000007E-3</v>
      </c>
      <c r="W905">
        <v>-5.7950040000000001E-2</v>
      </c>
      <c r="X905">
        <v>0.99827690000000002</v>
      </c>
      <c r="Y905">
        <v>-8.4942509999999995E-3</v>
      </c>
      <c r="Z905" s="1">
        <v>-1.8771260000000002E-5</v>
      </c>
      <c r="AA905">
        <v>0.99996390000000002</v>
      </c>
      <c r="AB905">
        <v>35</v>
      </c>
      <c r="AC905">
        <v>168.7422</v>
      </c>
      <c r="AD905">
        <v>-0.47387580000000001</v>
      </c>
      <c r="AE905">
        <v>4.1099999999971701E-2</v>
      </c>
      <c r="AF905">
        <v>-1.43515071351904</v>
      </c>
      <c r="AG905">
        <v>-0.47387580000000001</v>
      </c>
      <c r="AH905">
        <v>168.73477110911199</v>
      </c>
      <c r="AI905">
        <v>90.160903587230194</v>
      </c>
      <c r="AJ905">
        <v>90.487309732124501</v>
      </c>
      <c r="AK905">
        <v>168.74153963114401</v>
      </c>
      <c r="AL905">
        <v>93.322153866540006</v>
      </c>
      <c r="AM905">
        <v>90.529275090769303</v>
      </c>
      <c r="AN905">
        <v>1.0000000101750399</v>
      </c>
    </row>
    <row r="906" spans="1:40" x14ac:dyDescent="0.25">
      <c r="A906" t="str">
        <f>"20190303153757457"</f>
        <v>20190303153757457</v>
      </c>
      <c r="B906" t="str">
        <f>"1551598677449519"</f>
        <v>1551598677449519</v>
      </c>
      <c r="C906" t="s">
        <v>40</v>
      </c>
      <c r="D906">
        <v>4.2079319999999996</v>
      </c>
      <c r="E906">
        <v>0.50090519999999905</v>
      </c>
      <c r="F906" t="s">
        <v>41</v>
      </c>
      <c r="G906">
        <v>-158.19499999999999</v>
      </c>
      <c r="H906">
        <v>0.586175</v>
      </c>
      <c r="I906">
        <v>367.17579999999998</v>
      </c>
      <c r="J906">
        <v>-326.75639999999999</v>
      </c>
      <c r="K906">
        <v>1.1205860000000001</v>
      </c>
      <c r="L906">
        <v>367.20499999999998</v>
      </c>
      <c r="M906">
        <v>0.99987780000000004</v>
      </c>
      <c r="N906">
        <v>-1.3261169999999999E-2</v>
      </c>
      <c r="O906">
        <v>-8.3008200000000004E-3</v>
      </c>
      <c r="P906">
        <v>0.99747739999999996</v>
      </c>
      <c r="Q906">
        <v>-7.0979340000000002E-2</v>
      </c>
      <c r="R906">
        <v>1.085578E-3</v>
      </c>
      <c r="S906">
        <v>3.0069889999999999</v>
      </c>
      <c r="T906">
        <v>-9.5220800000000005E-3</v>
      </c>
      <c r="U906">
        <v>-5.4931640000000002E-4</v>
      </c>
      <c r="V906">
        <v>-9.3781839999999995E-3</v>
      </c>
      <c r="W906">
        <v>-5.7744030000000002E-2</v>
      </c>
      <c r="X906">
        <v>0.99828740000000005</v>
      </c>
      <c r="Y906">
        <v>-8.118241E-3</v>
      </c>
      <c r="Z906" s="1">
        <v>-1.71142E-5</v>
      </c>
      <c r="AA906">
        <v>0.99996700000000005</v>
      </c>
      <c r="AB906">
        <v>35</v>
      </c>
      <c r="AC906">
        <v>168.56139999999999</v>
      </c>
      <c r="AD906">
        <v>-0.53441099999999997</v>
      </c>
      <c r="AE906">
        <v>-2.9200000000002901E-2</v>
      </c>
      <c r="AF906">
        <v>-1.3701078575763399</v>
      </c>
      <c r="AG906">
        <v>-0.53441099999999997</v>
      </c>
      <c r="AH906">
        <v>168.554139805098</v>
      </c>
      <c r="AI906">
        <v>90.181653092264298</v>
      </c>
      <c r="AJ906">
        <v>90.465723766314795</v>
      </c>
      <c r="AK906">
        <v>168.560555398037</v>
      </c>
      <c r="AL906">
        <v>93.310330504862094</v>
      </c>
      <c r="AM906">
        <v>90.538236340199703</v>
      </c>
      <c r="AN906">
        <v>1.0000000281672601</v>
      </c>
    </row>
    <row r="907" spans="1:40" x14ac:dyDescent="0.25">
      <c r="A907" t="str">
        <f>"20190303153757468"</f>
        <v>20190303153757468</v>
      </c>
      <c r="B907" t="str">
        <f>"1551598677460255"</f>
        <v>1551598677460255</v>
      </c>
      <c r="C907" t="s">
        <v>40</v>
      </c>
      <c r="D907">
        <v>4.2170969999999999</v>
      </c>
      <c r="E907">
        <v>0.50117900000000004</v>
      </c>
      <c r="F907" t="s">
        <v>41</v>
      </c>
      <c r="G907">
        <v>-158.19499999999999</v>
      </c>
      <c r="H907">
        <v>0.60711409999999999</v>
      </c>
      <c r="I907">
        <v>367.08359999999999</v>
      </c>
      <c r="J907">
        <v>-326.58460000000002</v>
      </c>
      <c r="K907">
        <v>1.120565</v>
      </c>
      <c r="L907">
        <v>367.20359999999999</v>
      </c>
      <c r="M907">
        <v>0.99987950000000003</v>
      </c>
      <c r="N907">
        <v>-1.310535E-2</v>
      </c>
      <c r="O907">
        <v>-8.3385170000000002E-3</v>
      </c>
      <c r="P907">
        <v>0.99749149999999998</v>
      </c>
      <c r="Q907">
        <v>-7.0779449999999994E-2</v>
      </c>
      <c r="R907">
        <v>1.1899020000000001E-3</v>
      </c>
      <c r="S907">
        <v>3.0069270000000001</v>
      </c>
      <c r="T907">
        <v>-9.1581340000000001E-3</v>
      </c>
      <c r="U907">
        <v>-2.166748E-3</v>
      </c>
      <c r="V907">
        <v>-9.5200609999999998E-3</v>
      </c>
      <c r="W907">
        <v>-5.7699540000000001E-2</v>
      </c>
      <c r="X907">
        <v>0.99828859999999997</v>
      </c>
      <c r="Y907">
        <v>-7.6180600000000003E-3</v>
      </c>
      <c r="Z907" s="1">
        <v>-2.2367059999999999E-5</v>
      </c>
      <c r="AA907">
        <v>0.99997100000000005</v>
      </c>
      <c r="AB907">
        <v>35</v>
      </c>
      <c r="AC907">
        <v>168.3896</v>
      </c>
      <c r="AD907">
        <v>-0.51345090000000004</v>
      </c>
      <c r="AE907">
        <v>-0.12000000000000401</v>
      </c>
      <c r="AF907">
        <v>-1.2842321615577399</v>
      </c>
      <c r="AG907">
        <v>-0.51345090000000004</v>
      </c>
      <c r="AH907">
        <v>168.38317991894201</v>
      </c>
      <c r="AI907">
        <v>90.174706421486505</v>
      </c>
      <c r="AJ907">
        <v>90.436977470974796</v>
      </c>
      <c r="AK907">
        <v>168.38885997501899</v>
      </c>
      <c r="AL907">
        <v>93.307777256162197</v>
      </c>
      <c r="AM907">
        <v>90.546377852808604</v>
      </c>
      <c r="AN907">
        <v>0.99999999868380696</v>
      </c>
    </row>
    <row r="908" spans="1:40" x14ac:dyDescent="0.25">
      <c r="A908" t="str">
        <f>"20190303153757479"</f>
        <v>20190303153757479</v>
      </c>
      <c r="B908" t="str">
        <f>"1551598677470015"</f>
        <v>1551598677470015</v>
      </c>
      <c r="C908" t="s">
        <v>40</v>
      </c>
      <c r="D908">
        <v>4.2294119999999999</v>
      </c>
      <c r="E908">
        <v>0.50144569999999999</v>
      </c>
      <c r="F908" t="s">
        <v>41</v>
      </c>
      <c r="G908">
        <v>-158.19499999999999</v>
      </c>
      <c r="H908">
        <v>0.61517559999999905</v>
      </c>
      <c r="I908">
        <v>366.97969999999998</v>
      </c>
      <c r="J908">
        <v>-326.40940000000001</v>
      </c>
      <c r="K908">
        <v>1.120536</v>
      </c>
      <c r="L908">
        <v>367.20209999999997</v>
      </c>
      <c r="M908">
        <v>0.99988149999999998</v>
      </c>
      <c r="N908">
        <v>-1.292242E-2</v>
      </c>
      <c r="O908">
        <v>-8.3759409999999996E-3</v>
      </c>
      <c r="P908">
        <v>0.99751230000000002</v>
      </c>
      <c r="Q908">
        <v>-7.0483680000000007E-2</v>
      </c>
      <c r="R908">
        <v>1.181517E-3</v>
      </c>
      <c r="S908">
        <v>3.0068969999999999</v>
      </c>
      <c r="T908">
        <v>-9.0230699999999994E-3</v>
      </c>
      <c r="U908">
        <v>-3.9978030000000003E-3</v>
      </c>
      <c r="V908">
        <v>-9.5491610000000005E-3</v>
      </c>
      <c r="W908">
        <v>-5.7586169999999999E-2</v>
      </c>
      <c r="X908">
        <v>0.99829489999999999</v>
      </c>
      <c r="Y908">
        <v>-7.0465569999999898E-3</v>
      </c>
      <c r="Z908" s="1">
        <v>-2.7005319999999998E-5</v>
      </c>
      <c r="AA908">
        <v>0.99997510000000001</v>
      </c>
      <c r="AB908">
        <v>35</v>
      </c>
      <c r="AC908">
        <v>168.21440000000001</v>
      </c>
      <c r="AD908">
        <v>-0.50536040000000004</v>
      </c>
      <c r="AE908">
        <v>-0.22239999999999299</v>
      </c>
      <c r="AF908">
        <v>-1.18666852449603</v>
      </c>
      <c r="AG908">
        <v>-0.50536040000000004</v>
      </c>
      <c r="AH908">
        <v>168.208843036209</v>
      </c>
      <c r="AI908">
        <v>90.172132510464095</v>
      </c>
      <c r="AJ908">
        <v>90.404199737573194</v>
      </c>
      <c r="AK908">
        <v>168.213787921505</v>
      </c>
      <c r="AL908">
        <v>93.301270710313005</v>
      </c>
      <c r="AM908">
        <v>90.548044407585806</v>
      </c>
      <c r="AN908">
        <v>1.0000000304085399</v>
      </c>
    </row>
    <row r="909" spans="1:40" x14ac:dyDescent="0.25">
      <c r="A909" t="str">
        <f>"20190303153757490"</f>
        <v>20190303153757490</v>
      </c>
      <c r="B909" t="str">
        <f>"1551598677479775"</f>
        <v>1551598677479775</v>
      </c>
      <c r="C909" t="s">
        <v>40</v>
      </c>
      <c r="D909">
        <v>4.2520579999999999</v>
      </c>
      <c r="E909">
        <v>0.50172170000000005</v>
      </c>
      <c r="F909" t="s">
        <v>41</v>
      </c>
      <c r="G909">
        <v>-158.19499999999999</v>
      </c>
      <c r="H909">
        <v>0.62094830000000001</v>
      </c>
      <c r="I909">
        <v>366.85550000000001</v>
      </c>
      <c r="J909">
        <v>-326.23719999999997</v>
      </c>
      <c r="K909">
        <v>1.120509</v>
      </c>
      <c r="L909">
        <v>367.20060000000001</v>
      </c>
      <c r="M909">
        <v>0.99988339999999998</v>
      </c>
      <c r="N909">
        <v>-1.2738910000000001E-2</v>
      </c>
      <c r="O909">
        <v>-8.4126640000000003E-3</v>
      </c>
      <c r="P909">
        <v>0.99753060000000005</v>
      </c>
      <c r="Q909">
        <v>-7.0226070000000002E-2</v>
      </c>
      <c r="R909">
        <v>1.0781180000000001E-3</v>
      </c>
      <c r="S909">
        <v>3.006866</v>
      </c>
      <c r="T909">
        <v>-8.9286569999999996E-3</v>
      </c>
      <c r="U909">
        <v>-6.1950679999999998E-3</v>
      </c>
      <c r="V909">
        <v>-9.4825589999999998E-3</v>
      </c>
      <c r="W909">
        <v>-5.7511529999999998E-2</v>
      </c>
      <c r="X909">
        <v>0.99829979999999996</v>
      </c>
      <c r="Y909">
        <v>-6.3525500000000002E-3</v>
      </c>
      <c r="Z909" s="1">
        <v>-3.229788E-5</v>
      </c>
      <c r="AA909">
        <v>0.99997979999999997</v>
      </c>
      <c r="AB909">
        <v>36</v>
      </c>
      <c r="AC909">
        <v>168.04219999999901</v>
      </c>
      <c r="AD909">
        <v>-0.49956070000000002</v>
      </c>
      <c r="AE909">
        <v>-0.34510000000000202</v>
      </c>
      <c r="AF909">
        <v>-1.0687001502082301</v>
      </c>
      <c r="AG909">
        <v>-0.49956070000000002</v>
      </c>
      <c r="AH909">
        <v>168.03767089456301</v>
      </c>
      <c r="AI909">
        <v>90.170331190615201</v>
      </c>
      <c r="AJ909">
        <v>90.364389617474501</v>
      </c>
      <c r="AK909">
        <v>168.041811822455</v>
      </c>
      <c r="AL909">
        <v>93.296987178106605</v>
      </c>
      <c r="AM909">
        <v>90.544219552500294</v>
      </c>
      <c r="AN909">
        <v>0.99999999284408403</v>
      </c>
    </row>
    <row r="910" spans="1:40" x14ac:dyDescent="0.25">
      <c r="A910" t="str">
        <f>"20190303153757501"</f>
        <v>20190303153757501</v>
      </c>
      <c r="B910" t="str">
        <f>"1551598677489536"</f>
        <v>1551598677489536</v>
      </c>
      <c r="C910" t="s">
        <v>40</v>
      </c>
      <c r="D910">
        <v>4.224094</v>
      </c>
      <c r="E910">
        <v>0.50197729999999996</v>
      </c>
      <c r="F910" t="s">
        <v>41</v>
      </c>
      <c r="G910">
        <v>-158.19499999999999</v>
      </c>
      <c r="H910">
        <v>0.64180230000000005</v>
      </c>
      <c r="I910">
        <v>366.72300000000001</v>
      </c>
      <c r="J910">
        <v>-326.0609</v>
      </c>
      <c r="K910">
        <v>1.1204780000000001</v>
      </c>
      <c r="L910">
        <v>367.19909999999999</v>
      </c>
      <c r="M910">
        <v>0.99988569999999999</v>
      </c>
      <c r="N910">
        <v>-1.2535849999999999E-2</v>
      </c>
      <c r="O910">
        <v>-8.4492860000000003E-3</v>
      </c>
      <c r="P910">
        <v>0.99755970000000005</v>
      </c>
      <c r="Q910">
        <v>-6.9810929999999993E-2</v>
      </c>
      <c r="R910">
        <v>1.0127809999999999E-3</v>
      </c>
      <c r="S910">
        <v>3.0068049999999999</v>
      </c>
      <c r="T910">
        <v>-8.5639949999999996E-3</v>
      </c>
      <c r="U910">
        <v>-8.5449219999999999E-3</v>
      </c>
      <c r="V910">
        <v>-9.4541120000000006E-3</v>
      </c>
      <c r="W910">
        <v>-5.7298799999999997E-2</v>
      </c>
      <c r="X910">
        <v>0.99831230000000004</v>
      </c>
      <c r="Y910">
        <v>-5.6076499999999996E-3</v>
      </c>
      <c r="Z910" s="1">
        <v>-3.8724060000000001E-5</v>
      </c>
      <c r="AA910">
        <v>0.99998430000000005</v>
      </c>
      <c r="AB910">
        <v>36</v>
      </c>
      <c r="AC910">
        <v>167.86590000000001</v>
      </c>
      <c r="AD910">
        <v>-0.47867569999999998</v>
      </c>
      <c r="AE910">
        <v>-0.47609999999997399</v>
      </c>
      <c r="AF910">
        <v>-0.94236782637828198</v>
      </c>
      <c r="AG910">
        <v>-0.47867569999999998</v>
      </c>
      <c r="AH910">
        <v>167.86256503949099</v>
      </c>
      <c r="AI910">
        <v>90.163381221128006</v>
      </c>
      <c r="AJ910">
        <v>90.321650821753295</v>
      </c>
      <c r="AK910">
        <v>167.86589269170599</v>
      </c>
      <c r="AL910">
        <v>93.284778521923997</v>
      </c>
      <c r="AM910">
        <v>90.542580237052803</v>
      </c>
      <c r="AN910">
        <v>0.99999999052321897</v>
      </c>
    </row>
    <row r="911" spans="1:40" x14ac:dyDescent="0.25">
      <c r="A911" t="str">
        <f>"20190303153757511"</f>
        <v>20190303153757511</v>
      </c>
      <c r="B911" t="str">
        <f>"1551598677500271"</f>
        <v>1551598677500271</v>
      </c>
      <c r="C911" t="s">
        <v>40</v>
      </c>
      <c r="D911">
        <v>4.2422060000000004</v>
      </c>
      <c r="E911">
        <v>0.50222979999999995</v>
      </c>
      <c r="F911" t="s">
        <v>41</v>
      </c>
      <c r="G911">
        <v>-158.19499999999999</v>
      </c>
      <c r="H911">
        <v>0.69410530000000004</v>
      </c>
      <c r="I911">
        <v>366.5806</v>
      </c>
      <c r="J911">
        <v>-325.88850000000002</v>
      </c>
      <c r="K911">
        <v>1.120449</v>
      </c>
      <c r="L911">
        <v>367.19760000000002</v>
      </c>
      <c r="M911">
        <v>0.99988809999999995</v>
      </c>
      <c r="N911">
        <v>-1.233624E-2</v>
      </c>
      <c r="O911">
        <v>-8.4851159999999991E-3</v>
      </c>
      <c r="P911">
        <v>0.99758210000000003</v>
      </c>
      <c r="Q911">
        <v>-6.9496130000000003E-2</v>
      </c>
      <c r="R911">
        <v>7.3895429999999902E-4</v>
      </c>
      <c r="S911">
        <v>3.0068049999999999</v>
      </c>
      <c r="T911">
        <v>-7.6355930000000004E-3</v>
      </c>
      <c r="U911">
        <v>-1.107788E-2</v>
      </c>
      <c r="V911">
        <v>-9.2161570000000009E-3</v>
      </c>
      <c r="W911">
        <v>-5.7183030000000003E-2</v>
      </c>
      <c r="X911">
        <v>0.99832120000000002</v>
      </c>
      <c r="Y911">
        <v>-4.8010939999999997E-3</v>
      </c>
      <c r="Z911" s="1">
        <v>-4.7421769999999998E-5</v>
      </c>
      <c r="AA911">
        <v>0.99998849999999995</v>
      </c>
      <c r="AB911">
        <v>36</v>
      </c>
      <c r="AC911">
        <v>167.6935</v>
      </c>
      <c r="AD911">
        <v>-0.42634369999999999</v>
      </c>
      <c r="AE911">
        <v>-0.61700000000001798</v>
      </c>
      <c r="AF911">
        <v>-0.80602380835655096</v>
      </c>
      <c r="AG911">
        <v>-0.42634369999999999</v>
      </c>
      <c r="AH911">
        <v>167.691614049403</v>
      </c>
      <c r="AI911">
        <v>90.1456683446266</v>
      </c>
      <c r="AJ911">
        <v>90.275394849188004</v>
      </c>
      <c r="AK911">
        <v>167.69409311548199</v>
      </c>
      <c r="AL911">
        <v>93.278134374798896</v>
      </c>
      <c r="AM911">
        <v>90.528919850180898</v>
      </c>
      <c r="AN911">
        <v>1.0000000274196299</v>
      </c>
    </row>
    <row r="912" spans="1:40" x14ac:dyDescent="0.25">
      <c r="A912" t="str">
        <f>"20190303153757523"</f>
        <v>20190303153757523</v>
      </c>
      <c r="B912" t="str">
        <f>"1551598677519791"</f>
        <v>1551598677519791</v>
      </c>
      <c r="C912" t="s">
        <v>40</v>
      </c>
      <c r="D912">
        <v>4.2067740000000002</v>
      </c>
      <c r="E912">
        <v>0.50271849999999996</v>
      </c>
      <c r="F912" t="s">
        <v>41</v>
      </c>
      <c r="G912">
        <v>-158.19499999999999</v>
      </c>
      <c r="H912">
        <v>0.72227330000000001</v>
      </c>
      <c r="I912">
        <v>366.42489999999998</v>
      </c>
      <c r="J912">
        <v>-325.70639999999997</v>
      </c>
      <c r="K912">
        <v>1.12042</v>
      </c>
      <c r="L912">
        <v>367.19600000000003</v>
      </c>
      <c r="M912">
        <v>0.99989030000000001</v>
      </c>
      <c r="N912">
        <v>-1.212207E-2</v>
      </c>
      <c r="O912">
        <v>-8.5225459999999902E-3</v>
      </c>
      <c r="P912">
        <v>0.99759140000000002</v>
      </c>
      <c r="Q912">
        <v>-6.9361779999999998E-2</v>
      </c>
      <c r="R912">
        <v>7.1460779999999997E-4</v>
      </c>
      <c r="S912">
        <v>3.0067750000000002</v>
      </c>
      <c r="T912">
        <v>-7.1377749999999998E-3</v>
      </c>
      <c r="U912">
        <v>-1.3854979999999999E-2</v>
      </c>
      <c r="V912">
        <v>-9.2294439999999998E-3</v>
      </c>
      <c r="W912">
        <v>-5.7262390000000003E-2</v>
      </c>
      <c r="X912">
        <v>0.99831650000000005</v>
      </c>
      <c r="Y912">
        <v>-3.914903E-3</v>
      </c>
      <c r="Z912" s="1">
        <v>-5.4708589999999999E-5</v>
      </c>
      <c r="AA912">
        <v>0.99999229999999995</v>
      </c>
      <c r="AB912">
        <v>36</v>
      </c>
      <c r="AC912">
        <v>167.51139999999901</v>
      </c>
      <c r="AD912">
        <v>-0.39814670000000002</v>
      </c>
      <c r="AE912">
        <v>-0.77109999999998902</v>
      </c>
      <c r="AF912">
        <v>-0.65665267742183497</v>
      </c>
      <c r="AG912">
        <v>-0.39814670000000002</v>
      </c>
      <c r="AH912">
        <v>167.510941414369</v>
      </c>
      <c r="AI912">
        <v>90.136181595746606</v>
      </c>
      <c r="AJ912">
        <v>90.224601652813803</v>
      </c>
      <c r="AK912">
        <v>167.51270162904601</v>
      </c>
      <c r="AL912">
        <v>93.282688923696199</v>
      </c>
      <c r="AM912">
        <v>90.529684847890593</v>
      </c>
      <c r="AN912">
        <v>0.999999999058655</v>
      </c>
    </row>
    <row r="913" spans="1:40" x14ac:dyDescent="0.25">
      <c r="A913" t="str">
        <f>"20190303153757535"</f>
        <v>20190303153757535</v>
      </c>
      <c r="B913" t="str">
        <f>"1551598677529614"</f>
        <v>1551598677529614</v>
      </c>
      <c r="C913" t="s">
        <v>40</v>
      </c>
      <c r="D913">
        <v>4.2294470000000004</v>
      </c>
      <c r="E913">
        <v>0.50295259999999997</v>
      </c>
      <c r="F913" t="s">
        <v>41</v>
      </c>
      <c r="G913">
        <v>-158.19499999999999</v>
      </c>
      <c r="H913">
        <v>0.69972400000000001</v>
      </c>
      <c r="I913">
        <v>366.19290000000001</v>
      </c>
      <c r="J913">
        <v>-325.51240000000001</v>
      </c>
      <c r="K913">
        <v>1.12039</v>
      </c>
      <c r="L913">
        <v>367.1943</v>
      </c>
      <c r="M913">
        <v>0.99989249999999996</v>
      </c>
      <c r="N913">
        <v>-1.1897609999999999E-2</v>
      </c>
      <c r="O913">
        <v>-8.5625590000000008E-3</v>
      </c>
      <c r="P913">
        <v>0.99759659999999994</v>
      </c>
      <c r="Q913">
        <v>-6.9289530000000002E-2</v>
      </c>
      <c r="R913">
        <v>4.2993870000000001E-4</v>
      </c>
      <c r="S913">
        <v>3.0067750000000002</v>
      </c>
      <c r="T913">
        <v>-7.5497630000000001E-3</v>
      </c>
      <c r="U913">
        <v>-1.800537E-2</v>
      </c>
      <c r="V913">
        <v>-8.9851600000000007E-3</v>
      </c>
      <c r="W913">
        <v>-5.7414189999999997E-2</v>
      </c>
      <c r="X913">
        <v>0.99831000000000003</v>
      </c>
      <c r="Y913">
        <v>-2.574649E-3</v>
      </c>
      <c r="Z913" s="1">
        <v>-6.1830369999999995E-5</v>
      </c>
      <c r="AA913">
        <v>0.99999669999999896</v>
      </c>
      <c r="AB913">
        <v>36</v>
      </c>
      <c r="AC913">
        <v>167.31739999999999</v>
      </c>
      <c r="AD913">
        <v>-0.42066599999999998</v>
      </c>
      <c r="AE913">
        <v>-1.0013999999999801</v>
      </c>
      <c r="AF913">
        <v>-0.43140059265640901</v>
      </c>
      <c r="AG913">
        <v>-0.42066599999999998</v>
      </c>
      <c r="AH913">
        <v>167.318782931974</v>
      </c>
      <c r="AI913">
        <v>90.144049909202494</v>
      </c>
      <c r="AJ913">
        <v>90.147726262612593</v>
      </c>
      <c r="AK913">
        <v>167.31986788242401</v>
      </c>
      <c r="AL913">
        <v>93.291400788150796</v>
      </c>
      <c r="AM913">
        <v>90.515669327026004</v>
      </c>
      <c r="AN913">
        <v>0.99999998920679001</v>
      </c>
    </row>
    <row r="914" spans="1:40" x14ac:dyDescent="0.25">
      <c r="A914" t="str">
        <f>"20190303153757548"</f>
        <v>20190303153757548</v>
      </c>
      <c r="B914" t="str">
        <f>"1551598677539321"</f>
        <v>1551598677539321</v>
      </c>
      <c r="C914" t="s">
        <v>40</v>
      </c>
      <c r="D914">
        <v>4.2380509999999996</v>
      </c>
      <c r="E914">
        <v>0.50318609999999997</v>
      </c>
      <c r="F914" t="s">
        <v>41</v>
      </c>
      <c r="G914">
        <v>-158.19499999999999</v>
      </c>
      <c r="H914">
        <v>0.69740800000000003</v>
      </c>
      <c r="I914">
        <v>366.05309999999997</v>
      </c>
      <c r="J914">
        <v>-325.31790000000001</v>
      </c>
      <c r="K914">
        <v>1.1203639999999999</v>
      </c>
      <c r="L914">
        <v>367.19260000000003</v>
      </c>
      <c r="M914">
        <v>0.99989490000000003</v>
      </c>
      <c r="N914">
        <v>-1.167617E-2</v>
      </c>
      <c r="O914">
        <v>-8.6027340000000008E-3</v>
      </c>
      <c r="P914">
        <v>0.99760749999999998</v>
      </c>
      <c r="Q914">
        <v>-6.9134080000000001E-2</v>
      </c>
      <c r="R914">
        <v>2.2212990000000001E-4</v>
      </c>
      <c r="S914">
        <v>3.0067140000000001</v>
      </c>
      <c r="T914">
        <v>-7.5994729999999998E-3</v>
      </c>
      <c r="U914">
        <v>-2.0507810000000001E-2</v>
      </c>
      <c r="V914">
        <v>-8.8170880000000007E-3</v>
      </c>
      <c r="W914">
        <v>-5.7479710000000003E-2</v>
      </c>
      <c r="X914">
        <v>0.99830779999999997</v>
      </c>
      <c r="Y914">
        <v>-1.782467E-3</v>
      </c>
      <c r="Z914" s="1">
        <v>-6.6049380000000004E-5</v>
      </c>
      <c r="AA914">
        <v>0.99999839999999995</v>
      </c>
      <c r="AB914">
        <v>36</v>
      </c>
      <c r="AC914">
        <v>167.12289999999999</v>
      </c>
      <c r="AD914">
        <v>-0.422955999999999</v>
      </c>
      <c r="AE914">
        <v>-1.1395000000000499</v>
      </c>
      <c r="AF914">
        <v>-0.29835202050323001</v>
      </c>
      <c r="AG914">
        <v>-0.422955999999999</v>
      </c>
      <c r="AH914">
        <v>167.12544800422501</v>
      </c>
      <c r="AI914">
        <v>90.145001875280997</v>
      </c>
      <c r="AJ914">
        <v>90.102284204043897</v>
      </c>
      <c r="AK914">
        <v>167.12624951311199</v>
      </c>
      <c r="AL914">
        <v>93.295160781214605</v>
      </c>
      <c r="AM914">
        <v>90.506025090727306</v>
      </c>
      <c r="AN914">
        <v>1.0000000608216599</v>
      </c>
    </row>
    <row r="915" spans="1:40" x14ac:dyDescent="0.25">
      <c r="A915" t="str">
        <f>"20190303153757560"</f>
        <v>20190303153757560</v>
      </c>
      <c r="B915" t="str">
        <f>"1551598677550058"</f>
        <v>1551598677550058</v>
      </c>
      <c r="C915" t="s">
        <v>40</v>
      </c>
      <c r="D915">
        <v>4.2156549999999999</v>
      </c>
      <c r="E915">
        <v>0.50340339999999995</v>
      </c>
      <c r="F915" t="s">
        <v>41</v>
      </c>
      <c r="G915">
        <v>-158.19499999999999</v>
      </c>
      <c r="H915">
        <v>0.71148540000000005</v>
      </c>
      <c r="I915">
        <v>365.90350000000001</v>
      </c>
      <c r="J915">
        <v>-325.10669999999999</v>
      </c>
      <c r="K915">
        <v>1.120339</v>
      </c>
      <c r="L915">
        <v>367.19080000000002</v>
      </c>
      <c r="M915">
        <v>0.99989709999999998</v>
      </c>
      <c r="N915">
        <v>-1.1448679999999999E-2</v>
      </c>
      <c r="O915">
        <v>-8.6465919999999998E-3</v>
      </c>
      <c r="P915">
        <v>0.99759039999999999</v>
      </c>
      <c r="Q915">
        <v>-6.9381310000000002E-2</v>
      </c>
      <c r="R915">
        <v>-1.4741959999999999E-4</v>
      </c>
      <c r="S915">
        <v>3.0066830000000002</v>
      </c>
      <c r="T915">
        <v>-7.3544980000000001E-3</v>
      </c>
      <c r="U915">
        <v>-2.319336E-2</v>
      </c>
      <c r="V915">
        <v>-8.4912470000000004E-3</v>
      </c>
      <c r="W915">
        <v>-5.795426E-2</v>
      </c>
      <c r="X915">
        <v>0.99828309999999998</v>
      </c>
      <c r="Y915">
        <v>-9.3311849999999999E-4</v>
      </c>
      <c r="Z915" s="1">
        <v>-7.1363859999999993E-5</v>
      </c>
      <c r="AA915">
        <v>0.99999959999999999</v>
      </c>
      <c r="AB915">
        <v>36</v>
      </c>
      <c r="AC915">
        <v>166.9117</v>
      </c>
      <c r="AD915">
        <v>-0.40885359999999898</v>
      </c>
      <c r="AE915">
        <v>-1.2873000000000101</v>
      </c>
      <c r="AF915">
        <v>-0.156059121060388</v>
      </c>
      <c r="AG915">
        <v>-0.40885359999999898</v>
      </c>
      <c r="AH915">
        <v>166.915589638017</v>
      </c>
      <c r="AI915">
        <v>90.140343563359806</v>
      </c>
      <c r="AJ915">
        <v>90.0535691507622</v>
      </c>
      <c r="AK915">
        <v>166.91616332734901</v>
      </c>
      <c r="AL915">
        <v>93.322396186626804</v>
      </c>
      <c r="AM915">
        <v>90.487337593345501</v>
      </c>
      <c r="AN915">
        <v>0.99999997263668505</v>
      </c>
    </row>
    <row r="916" spans="1:40" x14ac:dyDescent="0.25">
      <c r="A916" t="str">
        <f>"20190303153757574"</f>
        <v>20190303153757574</v>
      </c>
      <c r="B916" t="str">
        <f>"1551598677569578"</f>
        <v>1551598677569578</v>
      </c>
      <c r="C916" t="s">
        <v>40</v>
      </c>
      <c r="D916">
        <v>4.2165520000000001</v>
      </c>
      <c r="E916">
        <v>0.50381030000000004</v>
      </c>
      <c r="F916" t="s">
        <v>41</v>
      </c>
      <c r="G916">
        <v>-158.19499999999999</v>
      </c>
      <c r="H916">
        <v>0.65840129999999997</v>
      </c>
      <c r="I916">
        <v>365.7457</v>
      </c>
      <c r="J916">
        <v>-324.89139999999998</v>
      </c>
      <c r="K916">
        <v>1.120309</v>
      </c>
      <c r="L916">
        <v>367.18889999999999</v>
      </c>
      <c r="M916">
        <v>0.99989939999999999</v>
      </c>
      <c r="N916">
        <v>-1.121817E-2</v>
      </c>
      <c r="O916">
        <v>-8.6911739999999994E-3</v>
      </c>
      <c r="P916">
        <v>0.99756489999999998</v>
      </c>
      <c r="Q916">
        <v>-6.9745849999999998E-2</v>
      </c>
      <c r="R916">
        <v>-3.552901E-4</v>
      </c>
      <c r="S916">
        <v>3.006653</v>
      </c>
      <c r="T916">
        <v>-8.3194970000000004E-3</v>
      </c>
      <c r="U916">
        <v>-2.6031490000000001E-2</v>
      </c>
      <c r="V916">
        <v>-8.3276859999999904E-3</v>
      </c>
      <c r="W916">
        <v>-5.8549209999999997E-2</v>
      </c>
      <c r="X916">
        <v>0.99824979999999996</v>
      </c>
      <c r="Y916" s="1">
        <v>-3.3770170000000002E-5</v>
      </c>
      <c r="Z916" s="1">
        <v>-7.3218780000000003E-5</v>
      </c>
      <c r="AA916">
        <v>1</v>
      </c>
      <c r="AB916">
        <v>36</v>
      </c>
      <c r="AC916">
        <v>166.69639999999899</v>
      </c>
      <c r="AD916">
        <v>-0.46190769999999898</v>
      </c>
      <c r="AE916">
        <v>-1.44319999999999</v>
      </c>
      <c r="AF916">
        <v>-5.7329196729831696E-3</v>
      </c>
      <c r="AG916">
        <v>-0.46190769999999898</v>
      </c>
      <c r="AH916">
        <v>166.701367282338</v>
      </c>
      <c r="AI916">
        <v>90.158758709778596</v>
      </c>
      <c r="AJ916">
        <v>90.001970422359193</v>
      </c>
      <c r="AK916">
        <v>166.70200732262001</v>
      </c>
      <c r="AL916">
        <v>93.3565421632007</v>
      </c>
      <c r="AM916">
        <v>90.477966730060501</v>
      </c>
      <c r="AN916">
        <v>1.00000001177288</v>
      </c>
    </row>
    <row r="917" spans="1:40" x14ac:dyDescent="0.25">
      <c r="A917" t="str">
        <f>"20190303153757587"</f>
        <v>20190303153757587</v>
      </c>
      <c r="B917" t="str">
        <f>"1551598677579337"</f>
        <v>1551598677579337</v>
      </c>
      <c r="C917" t="s">
        <v>40</v>
      </c>
      <c r="D917">
        <v>4.2085019999999904</v>
      </c>
      <c r="E917">
        <v>0.50400420000000001</v>
      </c>
      <c r="F917" t="s">
        <v>41</v>
      </c>
      <c r="G917">
        <v>-158.19499999999999</v>
      </c>
      <c r="H917">
        <v>0.56129600000000002</v>
      </c>
      <c r="I917">
        <v>365.53919999999999</v>
      </c>
      <c r="J917">
        <v>-324.67880000000002</v>
      </c>
      <c r="K917">
        <v>1.1202829999999999</v>
      </c>
      <c r="L917">
        <v>367.18700000000001</v>
      </c>
      <c r="M917">
        <v>0.9999015</v>
      </c>
      <c r="N917">
        <v>-1.098993E-2</v>
      </c>
      <c r="O917">
        <v>-8.7354379999999999E-3</v>
      </c>
      <c r="P917">
        <v>0.99755139999999998</v>
      </c>
      <c r="Q917">
        <v>-6.9935440000000001E-2</v>
      </c>
      <c r="R917">
        <v>-5.8995480000000001E-4</v>
      </c>
      <c r="S917">
        <v>3.0066220000000001</v>
      </c>
      <c r="T917">
        <v>-1.0081049999999999E-2</v>
      </c>
      <c r="U917">
        <v>-2.9754639999999999E-2</v>
      </c>
      <c r="V917">
        <v>-8.1375590000000008E-3</v>
      </c>
      <c r="W917">
        <v>-5.8966810000000001E-2</v>
      </c>
      <c r="X917">
        <v>0.99822679999999997</v>
      </c>
      <c r="Y917">
        <v>1.1601949999999999E-3</v>
      </c>
      <c r="Z917" s="1">
        <v>-7.5037569999999898E-5</v>
      </c>
      <c r="AA917">
        <v>0.99999930000000004</v>
      </c>
      <c r="AB917">
        <v>36</v>
      </c>
      <c r="AC917">
        <v>166.4838</v>
      </c>
      <c r="AD917">
        <v>-0.55898699999999901</v>
      </c>
      <c r="AE917">
        <v>-1.64779999999996</v>
      </c>
      <c r="AF917">
        <v>0.19333826615517</v>
      </c>
      <c r="AG917">
        <v>-0.55898699999999901</v>
      </c>
      <c r="AH917">
        <v>166.48996547909101</v>
      </c>
      <c r="AI917">
        <v>90.192368674417807</v>
      </c>
      <c r="AJ917">
        <v>89.933464688650901</v>
      </c>
      <c r="AK917">
        <v>166.49101612813899</v>
      </c>
      <c r="AL917">
        <v>93.380510248706301</v>
      </c>
      <c r="AM917">
        <v>90.467065659259902</v>
      </c>
      <c r="AN917">
        <v>1.00000002439314</v>
      </c>
    </row>
    <row r="918" spans="1:40" x14ac:dyDescent="0.25">
      <c r="A918" t="str">
        <f>"20190303153757601"</f>
        <v>20190303153757601</v>
      </c>
      <c r="B918" t="str">
        <f>"1551598677590074"</f>
        <v>1551598677590074</v>
      </c>
      <c r="C918" t="s">
        <v>40</v>
      </c>
      <c r="D918">
        <v>4.2099929999999999</v>
      </c>
      <c r="E918">
        <v>0.50418540000000001</v>
      </c>
      <c r="F918" t="s">
        <v>41</v>
      </c>
      <c r="G918">
        <v>-158.19499999999999</v>
      </c>
      <c r="H918">
        <v>0.50973840000000004</v>
      </c>
      <c r="I918">
        <v>365.4008</v>
      </c>
      <c r="J918">
        <v>-324.45359999999999</v>
      </c>
      <c r="K918">
        <v>1.1202490000000001</v>
      </c>
      <c r="L918">
        <v>367.185</v>
      </c>
      <c r="M918">
        <v>0.99990389999999996</v>
      </c>
      <c r="N918">
        <v>-1.0731040000000001E-2</v>
      </c>
      <c r="O918">
        <v>-8.7827749999999996E-3</v>
      </c>
      <c r="P918">
        <v>0.99757189999999996</v>
      </c>
      <c r="Q918">
        <v>-6.9637989999999997E-2</v>
      </c>
      <c r="R918">
        <v>-9.9465090000000001E-4</v>
      </c>
      <c r="S918">
        <v>3.0065309999999998</v>
      </c>
      <c r="T918">
        <v>-1.1024239999999999E-2</v>
      </c>
      <c r="U918">
        <v>-3.225708E-2</v>
      </c>
      <c r="V918">
        <v>-7.7805819999999899E-3</v>
      </c>
      <c r="W918">
        <v>-5.8927630000000002E-2</v>
      </c>
      <c r="X918">
        <v>0.99823189999999995</v>
      </c>
      <c r="Y918">
        <v>1.9453649999999999E-3</v>
      </c>
      <c r="Z918" s="1">
        <v>-7.6053420000000001E-5</v>
      </c>
      <c r="AA918">
        <v>0.9999981</v>
      </c>
      <c r="AB918">
        <v>36</v>
      </c>
      <c r="AC918">
        <v>166.2586</v>
      </c>
      <c r="AD918">
        <v>-0.61051060000000001</v>
      </c>
      <c r="AE918">
        <v>-1.78419999999999</v>
      </c>
      <c r="AF918">
        <v>0.32383092648579698</v>
      </c>
      <c r="AG918">
        <v>-0.61051060000000001</v>
      </c>
      <c r="AH918">
        <v>166.26561624647701</v>
      </c>
      <c r="AI918">
        <v>90.210382988167098</v>
      </c>
      <c r="AJ918">
        <v>89.888406741447099</v>
      </c>
      <c r="AK918">
        <v>166.267052465251</v>
      </c>
      <c r="AL918">
        <v>93.378261691966699</v>
      </c>
      <c r="AM918">
        <v>90.446575072820096</v>
      </c>
      <c r="AN918">
        <v>0.999999964605642</v>
      </c>
    </row>
    <row r="919" spans="1:40" x14ac:dyDescent="0.25">
      <c r="A919" t="str">
        <f>"20190303153757613"</f>
        <v>20190303153757613</v>
      </c>
      <c r="B919" t="str">
        <f>"1551598677609593"</f>
        <v>1551598677609593</v>
      </c>
      <c r="C919" t="s">
        <v>40</v>
      </c>
      <c r="D919">
        <v>4.2365000000000004</v>
      </c>
      <c r="E919">
        <v>0.50453329999999996</v>
      </c>
      <c r="F919" t="s">
        <v>41</v>
      </c>
      <c r="G919">
        <v>-158.19499999999999</v>
      </c>
      <c r="H919">
        <v>0.53866510000000001</v>
      </c>
      <c r="I919">
        <v>365.25940000000003</v>
      </c>
      <c r="J919">
        <v>-324.26940000000002</v>
      </c>
      <c r="K919">
        <v>1.12022</v>
      </c>
      <c r="L919">
        <v>367.18329999999997</v>
      </c>
      <c r="M919">
        <v>0.99990590000000001</v>
      </c>
      <c r="N919">
        <v>-1.0505159999999999E-2</v>
      </c>
      <c r="O919">
        <v>-8.821499E-3</v>
      </c>
      <c r="P919">
        <v>0.99753429999999998</v>
      </c>
      <c r="Q919">
        <v>-7.0170919999999998E-2</v>
      </c>
      <c r="R919">
        <v>-1.1742E-3</v>
      </c>
      <c r="S919">
        <v>3.0065</v>
      </c>
      <c r="T919">
        <v>-1.051533E-2</v>
      </c>
      <c r="U919">
        <v>-3.482056E-2</v>
      </c>
      <c r="V919">
        <v>-7.6393429999999998E-3</v>
      </c>
      <c r="W919">
        <v>-5.9686419999999997E-2</v>
      </c>
      <c r="X919">
        <v>0.99818799999999996</v>
      </c>
      <c r="Y919">
        <v>2.7592860000000001E-3</v>
      </c>
      <c r="Z919" s="1">
        <v>-8.1141329999999997E-5</v>
      </c>
      <c r="AA919">
        <v>0.9999962</v>
      </c>
      <c r="AB919">
        <v>36</v>
      </c>
      <c r="AC919">
        <v>166.0744</v>
      </c>
      <c r="AD919">
        <v>-0.58155489999999999</v>
      </c>
      <c r="AE919">
        <v>-1.92389999999994</v>
      </c>
      <c r="AF919">
        <v>0.45871349894428298</v>
      </c>
      <c r="AG919">
        <v>-0.58155489999999999</v>
      </c>
      <c r="AH919">
        <v>166.082873616554</v>
      </c>
      <c r="AI919">
        <v>90.200625009237896</v>
      </c>
      <c r="AJ919">
        <v>89.841752011556295</v>
      </c>
      <c r="AK919">
        <v>166.08452526622699</v>
      </c>
      <c r="AL919">
        <v>93.421813507544101</v>
      </c>
      <c r="AM919">
        <v>90.438488107260994</v>
      </c>
      <c r="AN919">
        <v>1.0000000558189399</v>
      </c>
    </row>
    <row r="920" spans="1:40" x14ac:dyDescent="0.25">
      <c r="A920" t="str">
        <f>"20190303153757624"</f>
        <v>20190303153757624</v>
      </c>
      <c r="B920" t="str">
        <f>"1551598677609593"</f>
        <v>1551598677609593</v>
      </c>
      <c r="C920" t="s">
        <v>40</v>
      </c>
      <c r="D920">
        <v>4.2365000000000004</v>
      </c>
      <c r="E920">
        <v>0.50453329999999996</v>
      </c>
      <c r="F920" t="s">
        <v>41</v>
      </c>
      <c r="G920">
        <v>-158.19499999999999</v>
      </c>
      <c r="H920">
        <v>0.4179406</v>
      </c>
      <c r="I920">
        <v>365.07100000000003</v>
      </c>
      <c r="J920">
        <v>-324.084</v>
      </c>
      <c r="K920">
        <v>1.120185</v>
      </c>
      <c r="L920">
        <v>367.1816</v>
      </c>
      <c r="M920">
        <v>0.99990829999999997</v>
      </c>
      <c r="N920">
        <v>-1.025156E-2</v>
      </c>
      <c r="O920">
        <v>-8.8606989999999997E-3</v>
      </c>
      <c r="P920">
        <v>0.99753340000000001</v>
      </c>
      <c r="Q920">
        <v>-7.0183140000000005E-2</v>
      </c>
      <c r="R920">
        <v>-1.3617519999999999E-3</v>
      </c>
      <c r="S920">
        <v>3.0064700000000002</v>
      </c>
      <c r="T920">
        <v>-1.271188E-2</v>
      </c>
      <c r="U920">
        <v>-3.823853E-2</v>
      </c>
      <c r="V920">
        <v>-7.4907200000000002E-3</v>
      </c>
      <c r="W920">
        <v>-5.9951820000000003E-2</v>
      </c>
      <c r="X920">
        <v>0.99817319999999998</v>
      </c>
      <c r="Y920">
        <v>3.8568140000000001E-3</v>
      </c>
      <c r="Z920" s="1">
        <v>-8.1299510000000004E-5</v>
      </c>
      <c r="AA920">
        <v>0.99999249999999995</v>
      </c>
      <c r="AB920">
        <v>36</v>
      </c>
      <c r="AC920">
        <v>165.88900000000001</v>
      </c>
      <c r="AD920">
        <v>-0.70224439999999999</v>
      </c>
      <c r="AE920">
        <v>-2.11060000000003</v>
      </c>
      <c r="AF920">
        <v>0.640536075998556</v>
      </c>
      <c r="AG920">
        <v>-0.70224439999999999</v>
      </c>
      <c r="AH920">
        <v>165.898216985619</v>
      </c>
      <c r="AI920">
        <v>90.242528827779793</v>
      </c>
      <c r="AJ920">
        <v>89.778781037668594</v>
      </c>
      <c r="AK920">
        <v>165.90093981852399</v>
      </c>
      <c r="AL920">
        <v>93.437047160106999</v>
      </c>
      <c r="AM920">
        <v>90.429964043343901</v>
      </c>
      <c r="AN920">
        <v>1.0000000344028299</v>
      </c>
    </row>
    <row r="921" spans="1:40" x14ac:dyDescent="0.25">
      <c r="A921" t="str">
        <f>"20190303153757635"</f>
        <v>20190303153757635</v>
      </c>
      <c r="B921" t="str">
        <f>"1551598677630090"</f>
        <v>1551598677630090</v>
      </c>
      <c r="C921" t="s">
        <v>40</v>
      </c>
      <c r="D921">
        <v>4.1452080000000002</v>
      </c>
      <c r="E921">
        <v>0.50483239999999996</v>
      </c>
      <c r="F921" t="s">
        <v>41</v>
      </c>
      <c r="G921">
        <v>-158.19499999999999</v>
      </c>
      <c r="H921">
        <v>0.41642669999999998</v>
      </c>
      <c r="I921">
        <v>365.0532</v>
      </c>
      <c r="J921">
        <v>-323.90190000000001</v>
      </c>
      <c r="K921">
        <v>1.120144</v>
      </c>
      <c r="L921">
        <v>367.18</v>
      </c>
      <c r="M921">
        <v>0.99991059999999998</v>
      </c>
      <c r="N921">
        <v>-9.9832559999999994E-3</v>
      </c>
      <c r="O921">
        <v>-8.8989029999999997E-3</v>
      </c>
      <c r="P921">
        <v>0.99755769999999999</v>
      </c>
      <c r="Q921">
        <v>-6.9831580000000004E-2</v>
      </c>
      <c r="R921">
        <v>-1.4618700000000001E-3</v>
      </c>
      <c r="S921">
        <v>3.0064389999999999</v>
      </c>
      <c r="T921">
        <v>-1.275277E-2</v>
      </c>
      <c r="U921">
        <v>-3.8574219999999999E-2</v>
      </c>
      <c r="V921">
        <v>-7.42888199999999E-3</v>
      </c>
      <c r="W921">
        <v>-5.9867869999999997E-2</v>
      </c>
      <c r="X921">
        <v>0.99817869999999997</v>
      </c>
      <c r="Y921">
        <v>3.9303840000000003E-3</v>
      </c>
      <c r="Z921" s="1">
        <v>-7.9052580000000001E-5</v>
      </c>
      <c r="AA921">
        <v>0.99999229999999995</v>
      </c>
      <c r="AB921">
        <v>36</v>
      </c>
      <c r="AC921">
        <v>165.70689999999999</v>
      </c>
      <c r="AD921">
        <v>-0.70371729999999999</v>
      </c>
      <c r="AE921">
        <v>-2.1267999999999998</v>
      </c>
      <c r="AF921">
        <v>0.65202094984918202</v>
      </c>
      <c r="AG921">
        <v>-0.70371729999999999</v>
      </c>
      <c r="AH921">
        <v>165.71627694720499</v>
      </c>
      <c r="AI921">
        <v>90.243304264128994</v>
      </c>
      <c r="AJ921">
        <v>89.774567372057504</v>
      </c>
      <c r="AK921">
        <v>165.71905380673701</v>
      </c>
      <c r="AL921">
        <v>93.432228526931297</v>
      </c>
      <c r="AM921">
        <v>90.426412351396905</v>
      </c>
      <c r="AN921">
        <v>1.00000003363989</v>
      </c>
    </row>
    <row r="922" spans="1:40" x14ac:dyDescent="0.25">
      <c r="A922" t="str">
        <f>"20190303153757646"</f>
        <v>20190303153757646</v>
      </c>
      <c r="B922" t="str">
        <f>"1551598677639851"</f>
        <v>1551598677639851</v>
      </c>
      <c r="C922" t="s">
        <v>40</v>
      </c>
      <c r="D922">
        <v>4.145295</v>
      </c>
      <c r="E922">
        <v>0.50488750000000004</v>
      </c>
      <c r="F922" t="s">
        <v>41</v>
      </c>
      <c r="G922">
        <v>-158.19499999999999</v>
      </c>
      <c r="H922">
        <v>0.50893379999999999</v>
      </c>
      <c r="I922">
        <v>364.89749999999998</v>
      </c>
      <c r="J922">
        <v>-323.71570000000003</v>
      </c>
      <c r="K922">
        <v>1.120101</v>
      </c>
      <c r="L922">
        <v>367.17829999999998</v>
      </c>
      <c r="M922">
        <v>0.9999131</v>
      </c>
      <c r="N922">
        <v>-9.6936839999999993E-3</v>
      </c>
      <c r="O922">
        <v>-8.9382279999999995E-3</v>
      </c>
      <c r="P922">
        <v>0.99755640000000001</v>
      </c>
      <c r="Q922">
        <v>-6.98521E-2</v>
      </c>
      <c r="R922">
        <v>-1.356742E-3</v>
      </c>
      <c r="S922">
        <v>3.0065</v>
      </c>
      <c r="T922">
        <v>-1.108789E-2</v>
      </c>
      <c r="U922">
        <v>-4.1412350000000001E-2</v>
      </c>
      <c r="V922">
        <v>-7.5729580000000003E-3</v>
      </c>
      <c r="W922">
        <v>-6.0177429999999997E-2</v>
      </c>
      <c r="X922">
        <v>0.99815900000000002</v>
      </c>
      <c r="Y922">
        <v>4.8346580000000004E-3</v>
      </c>
      <c r="Z922" s="1">
        <v>-8.6032919999999894E-5</v>
      </c>
      <c r="AA922">
        <v>0.99998830000000005</v>
      </c>
      <c r="AB922">
        <v>36</v>
      </c>
      <c r="AC922">
        <v>165.52070000000001</v>
      </c>
      <c r="AD922">
        <v>-0.61116719999999902</v>
      </c>
      <c r="AE922">
        <v>-2.2808000000000002</v>
      </c>
      <c r="AF922">
        <v>0.80116673870984201</v>
      </c>
      <c r="AG922">
        <v>-0.61116719999999902</v>
      </c>
      <c r="AH922">
        <v>165.53221823430101</v>
      </c>
      <c r="AI922">
        <v>90.211540280594704</v>
      </c>
      <c r="AJ922">
        <v>89.722693776000497</v>
      </c>
      <c r="AK922">
        <v>165.53528526286499</v>
      </c>
      <c r="AL922">
        <v>93.449997053297295</v>
      </c>
      <c r="AM922">
        <v>90.434690472001606</v>
      </c>
      <c r="AN922">
        <v>1.00000003102763</v>
      </c>
    </row>
    <row r="923" spans="1:40" x14ac:dyDescent="0.25">
      <c r="A923" t="str">
        <f>"20190303153757658"</f>
        <v>20190303153757658</v>
      </c>
      <c r="B923" t="str">
        <f>"1551598677649610"</f>
        <v>1551598677649610</v>
      </c>
      <c r="C923" t="s">
        <v>40</v>
      </c>
      <c r="D923">
        <v>4.1741159999999997</v>
      </c>
      <c r="E923">
        <v>0.50492609999999905</v>
      </c>
      <c r="F923" t="s">
        <v>41</v>
      </c>
      <c r="G923">
        <v>-158.19499999999999</v>
      </c>
      <c r="H923">
        <v>0.56921769999999905</v>
      </c>
      <c r="I923">
        <v>364.89010000000002</v>
      </c>
      <c r="J923">
        <v>-323.53230000000002</v>
      </c>
      <c r="K923">
        <v>1.1200559999999999</v>
      </c>
      <c r="L923">
        <v>367.17660000000001</v>
      </c>
      <c r="M923">
        <v>0.99991580000000002</v>
      </c>
      <c r="N923">
        <v>-9.3879719999999996E-3</v>
      </c>
      <c r="O923">
        <v>-8.9770419999999993E-3</v>
      </c>
      <c r="P923">
        <v>0.99756440000000002</v>
      </c>
      <c r="Q923">
        <v>-6.9733799999999999E-2</v>
      </c>
      <c r="R923">
        <v>-1.58548E-3</v>
      </c>
      <c r="S923">
        <v>3.0066220000000001</v>
      </c>
      <c r="T923">
        <v>-1.0005E-2</v>
      </c>
      <c r="U923">
        <v>-4.1564940000000002E-2</v>
      </c>
      <c r="V923">
        <v>-7.3829680000000002E-3</v>
      </c>
      <c r="W923">
        <v>-6.036424E-2</v>
      </c>
      <c r="X923">
        <v>0.99814910000000001</v>
      </c>
      <c r="Y923">
        <v>4.8460689999999997E-3</v>
      </c>
      <c r="Z923" s="1">
        <v>-8.5218219999999998E-5</v>
      </c>
      <c r="AA923">
        <v>0.99998830000000005</v>
      </c>
      <c r="AB923">
        <v>36</v>
      </c>
      <c r="AC923">
        <v>165.3373</v>
      </c>
      <c r="AD923">
        <v>-0.5508383</v>
      </c>
      <c r="AE923">
        <v>-2.2864999999999802</v>
      </c>
      <c r="AF923">
        <v>0.80209390457270402</v>
      </c>
      <c r="AG923">
        <v>-0.5508383</v>
      </c>
      <c r="AH923">
        <v>165.349329189278</v>
      </c>
      <c r="AI923">
        <v>90.190869971261293</v>
      </c>
      <c r="AJ923">
        <v>89.722065790873799</v>
      </c>
      <c r="AK923">
        <v>165.35219212580299</v>
      </c>
      <c r="AL923">
        <v>93.460720121086496</v>
      </c>
      <c r="AM923">
        <v>90.423789584651701</v>
      </c>
      <c r="AN923">
        <v>0.99999998775903798</v>
      </c>
    </row>
    <row r="924" spans="1:40" x14ac:dyDescent="0.25">
      <c r="A924" t="str">
        <f>"20190303153757669"</f>
        <v>20190303153757669</v>
      </c>
      <c r="B924" t="str">
        <f>"1551598677659370"</f>
        <v>1551598677659370</v>
      </c>
      <c r="C924" t="s">
        <v>40</v>
      </c>
      <c r="D924">
        <v>4.1472049999999996</v>
      </c>
      <c r="E924">
        <v>0.50495619999999997</v>
      </c>
      <c r="F924" t="s">
        <v>41</v>
      </c>
      <c r="G924">
        <v>-158.19499999999999</v>
      </c>
      <c r="H924">
        <v>0.64483380000000001</v>
      </c>
      <c r="I924">
        <v>364.82220000000001</v>
      </c>
      <c r="J924">
        <v>-323.35660000000001</v>
      </c>
      <c r="K924">
        <v>1.120012</v>
      </c>
      <c r="L924">
        <v>367.17500000000001</v>
      </c>
      <c r="M924">
        <v>0.99991810000000003</v>
      </c>
      <c r="N924">
        <v>-9.0906560000000008E-3</v>
      </c>
      <c r="O924">
        <v>-9.0139130000000001E-3</v>
      </c>
      <c r="P924">
        <v>0.99757220000000002</v>
      </c>
      <c r="Q924">
        <v>-6.961813E-2</v>
      </c>
      <c r="R924">
        <v>-1.756922E-3</v>
      </c>
      <c r="S924">
        <v>3.006653</v>
      </c>
      <c r="T924">
        <v>-8.6402890000000006E-3</v>
      </c>
      <c r="U924">
        <v>-4.2816159999999999E-2</v>
      </c>
      <c r="V924">
        <v>-7.2491439999999999E-3</v>
      </c>
      <c r="W924">
        <v>-6.0545309999999998E-2</v>
      </c>
      <c r="X924">
        <v>0.99813909999999995</v>
      </c>
      <c r="Y924">
        <v>5.2251659999999998E-3</v>
      </c>
      <c r="Z924" s="1">
        <v>-8.7300409999999996E-5</v>
      </c>
      <c r="AA924">
        <v>0.99998640000000005</v>
      </c>
      <c r="AB924">
        <v>36</v>
      </c>
      <c r="AC924">
        <v>165.16159999999999</v>
      </c>
      <c r="AD924">
        <v>-0.4751782</v>
      </c>
      <c r="AE924">
        <v>-2.3527999999999998</v>
      </c>
      <c r="AF924">
        <v>0.86388351772025596</v>
      </c>
      <c r="AG924">
        <v>-0.4751782</v>
      </c>
      <c r="AH924">
        <v>165.17473143501701</v>
      </c>
      <c r="AI924">
        <v>90.164827014856698</v>
      </c>
      <c r="AJ924">
        <v>89.700338981521398</v>
      </c>
      <c r="AK924">
        <v>165.17767401705299</v>
      </c>
      <c r="AL924">
        <v>93.471113727004294</v>
      </c>
      <c r="AM924">
        <v>90.416112397441907</v>
      </c>
      <c r="AN924">
        <v>0.99999997380026895</v>
      </c>
    </row>
    <row r="925" spans="1:40" x14ac:dyDescent="0.25">
      <c r="A925" t="str">
        <f>"20190303153757680"</f>
        <v>20190303153757680</v>
      </c>
      <c r="B925" t="str">
        <f>"1551598677670105"</f>
        <v>1551598677670105</v>
      </c>
      <c r="C925" t="s">
        <v>40</v>
      </c>
      <c r="D925">
        <v>4.1738049999999998</v>
      </c>
      <c r="E925">
        <v>0.50497029999999998</v>
      </c>
      <c r="F925" t="s">
        <v>41</v>
      </c>
      <c r="G925">
        <v>-158.19499999999999</v>
      </c>
      <c r="H925">
        <v>0.72053789999999995</v>
      </c>
      <c r="I925">
        <v>364.77620000000002</v>
      </c>
      <c r="J925">
        <v>-323.17630000000003</v>
      </c>
      <c r="K925">
        <v>1.119966</v>
      </c>
      <c r="L925">
        <v>367.17340000000002</v>
      </c>
      <c r="M925">
        <v>0.99992049999999999</v>
      </c>
      <c r="N925">
        <v>-8.7733810000000002E-3</v>
      </c>
      <c r="O925">
        <v>-9.0516940000000008E-3</v>
      </c>
      <c r="P925">
        <v>0.99758729999999995</v>
      </c>
      <c r="Q925">
        <v>-6.9399429999999998E-2</v>
      </c>
      <c r="R925">
        <v>-1.8868229999999999E-3</v>
      </c>
      <c r="S925">
        <v>3.0067140000000001</v>
      </c>
      <c r="T925">
        <v>-7.2706940000000003E-3</v>
      </c>
      <c r="U925">
        <v>-4.3670649999999998E-2</v>
      </c>
      <c r="V925">
        <v>-7.1572449999999996E-3</v>
      </c>
      <c r="W925">
        <v>-6.0643179999999998E-2</v>
      </c>
      <c r="X925">
        <v>0.99813379999999996</v>
      </c>
      <c r="Y925">
        <v>5.4712750000000003E-3</v>
      </c>
      <c r="Z925" s="1">
        <v>-8.8144629999999897E-5</v>
      </c>
      <c r="AA925">
        <v>0.99998500000000001</v>
      </c>
      <c r="AB925">
        <v>36</v>
      </c>
      <c r="AC925">
        <v>164.9813</v>
      </c>
      <c r="AD925">
        <v>-0.39942810000000001</v>
      </c>
      <c r="AE925">
        <v>-2.39719999999999</v>
      </c>
      <c r="AF925">
        <v>0.90367870334336298</v>
      </c>
      <c r="AG925">
        <v>-0.39942810000000001</v>
      </c>
      <c r="AH925">
        <v>164.99527326418101</v>
      </c>
      <c r="AI925">
        <v>90.138701890936801</v>
      </c>
      <c r="AJ925">
        <v>89.686194295171006</v>
      </c>
      <c r="AK925">
        <v>164.99823143757499</v>
      </c>
      <c r="AL925">
        <v>93.476731663669099</v>
      </c>
      <c r="AM925">
        <v>90.410839612060499</v>
      </c>
      <c r="AN925">
        <v>0.99999995206947001</v>
      </c>
    </row>
    <row r="926" spans="1:40" x14ac:dyDescent="0.25">
      <c r="A926" t="str">
        <f>"20190303153757691"</f>
        <v>20190303153757691</v>
      </c>
      <c r="B926" t="str">
        <f>"1551598677679866"</f>
        <v>1551598677679866</v>
      </c>
      <c r="C926" t="s">
        <v>40</v>
      </c>
      <c r="D926">
        <v>4.2012809999999998</v>
      </c>
      <c r="E926">
        <v>0.50503319999999996</v>
      </c>
      <c r="F926" t="s">
        <v>41</v>
      </c>
      <c r="G926">
        <v>-158.19499999999999</v>
      </c>
      <c r="H926">
        <v>0.80880779999999997</v>
      </c>
      <c r="I926">
        <v>364.7604</v>
      </c>
      <c r="J926">
        <v>-322.99299999999999</v>
      </c>
      <c r="K926">
        <v>1.119918</v>
      </c>
      <c r="L926">
        <v>367.17169999999999</v>
      </c>
      <c r="M926">
        <v>0.99992300000000001</v>
      </c>
      <c r="N926">
        <v>-8.4513369999999997E-3</v>
      </c>
      <c r="O926">
        <v>-9.0902180000000006E-3</v>
      </c>
      <c r="P926">
        <v>0.99761659999999996</v>
      </c>
      <c r="Q926">
        <v>-6.8970279999999995E-2</v>
      </c>
      <c r="R926">
        <v>-2.0815310000000002E-3</v>
      </c>
      <c r="S926">
        <v>3.0067750000000002</v>
      </c>
      <c r="T926">
        <v>-5.6692359999999898E-3</v>
      </c>
      <c r="U926">
        <v>-4.397583E-2</v>
      </c>
      <c r="V926">
        <v>-7.0007029999999996E-3</v>
      </c>
      <c r="W926">
        <v>-6.0535289999999999E-2</v>
      </c>
      <c r="X926">
        <v>0.99814150000000001</v>
      </c>
      <c r="Y926">
        <v>5.5339859999999899E-3</v>
      </c>
      <c r="Z926" s="1">
        <v>-8.8289399999999995E-5</v>
      </c>
      <c r="AA926">
        <v>0.99998469999999995</v>
      </c>
      <c r="AB926">
        <v>36</v>
      </c>
      <c r="AC926">
        <v>164.798</v>
      </c>
      <c r="AD926">
        <v>-0.311110199999999</v>
      </c>
      <c r="AE926">
        <v>-2.4112999999999798</v>
      </c>
      <c r="AF926">
        <v>0.91309391126847195</v>
      </c>
      <c r="AG926">
        <v>-0.311110199999999</v>
      </c>
      <c r="AH926">
        <v>164.812523350383</v>
      </c>
      <c r="AI926">
        <v>90.108153229701998</v>
      </c>
      <c r="AJ926">
        <v>89.682573319684394</v>
      </c>
      <c r="AK926">
        <v>164.815346321779</v>
      </c>
      <c r="AL926">
        <v>93.470538502970399</v>
      </c>
      <c r="AM926">
        <v>90.401850998583399</v>
      </c>
      <c r="AN926">
        <v>0.999999992600064</v>
      </c>
    </row>
    <row r="927" spans="1:40" x14ac:dyDescent="0.25">
      <c r="A927" t="str">
        <f>"20190303153757702"</f>
        <v>20190303153757702</v>
      </c>
      <c r="B927" t="str">
        <f>"1551598677689626"</f>
        <v>1551598677689626</v>
      </c>
      <c r="C927" t="s">
        <v>40</v>
      </c>
      <c r="D927">
        <v>4.1733460000000004</v>
      </c>
      <c r="E927">
        <v>0.5050924</v>
      </c>
      <c r="F927" t="s">
        <v>41</v>
      </c>
      <c r="G927">
        <v>-158.19499999999999</v>
      </c>
      <c r="H927">
        <v>0.93615720000000002</v>
      </c>
      <c r="I927">
        <v>364.71469999999999</v>
      </c>
      <c r="J927">
        <v>-322.81330000000003</v>
      </c>
      <c r="K927">
        <v>1.119874</v>
      </c>
      <c r="L927">
        <v>367.17</v>
      </c>
      <c r="M927">
        <v>0.99992530000000002</v>
      </c>
      <c r="N927">
        <v>-8.1382539999999993E-3</v>
      </c>
      <c r="O927">
        <v>-9.1278790000000002E-3</v>
      </c>
      <c r="P927">
        <v>0.99763579999999996</v>
      </c>
      <c r="Q927">
        <v>-6.8690669999999995E-2</v>
      </c>
      <c r="R927">
        <v>-2.1300170000000001E-3</v>
      </c>
      <c r="S927">
        <v>3.0068359999999998</v>
      </c>
      <c r="T927">
        <v>-3.3512120000000001E-3</v>
      </c>
      <c r="U927">
        <v>-4.483032E-2</v>
      </c>
      <c r="V927">
        <v>-6.9897429999999997E-3</v>
      </c>
      <c r="W927">
        <v>-6.0568049999999998E-2</v>
      </c>
      <c r="X927">
        <v>0.99813960000000002</v>
      </c>
      <c r="Y927">
        <v>5.78022E-3</v>
      </c>
      <c r="Z927" s="1">
        <v>-9.0854959999999994E-5</v>
      </c>
      <c r="AA927">
        <v>0.99998330000000002</v>
      </c>
      <c r="AB927">
        <v>37</v>
      </c>
      <c r="AC927">
        <v>164.6183</v>
      </c>
      <c r="AD927">
        <v>-0.18371679999999899</v>
      </c>
      <c r="AE927">
        <v>-2.4553000000000198</v>
      </c>
      <c r="AF927">
        <v>0.95253094979012998</v>
      </c>
      <c r="AG927">
        <v>-0.18371679999999899</v>
      </c>
      <c r="AH927">
        <v>164.63364897301699</v>
      </c>
      <c r="AI927">
        <v>90.0639359984078</v>
      </c>
      <c r="AJ927">
        <v>89.668504010854093</v>
      </c>
      <c r="AK927">
        <v>164.636507012398</v>
      </c>
      <c r="AL927">
        <v>93.472418926608</v>
      </c>
      <c r="AM927">
        <v>90.401222662216099</v>
      </c>
      <c r="AN927">
        <v>1.00000000313808</v>
      </c>
    </row>
    <row r="928" spans="1:40" x14ac:dyDescent="0.25">
      <c r="A928" t="str">
        <f>"20190303153757714"</f>
        <v>20190303153757714</v>
      </c>
      <c r="B928" t="str">
        <f>"1551598677710122"</f>
        <v>1551598677710122</v>
      </c>
      <c r="C928" t="s">
        <v>40</v>
      </c>
      <c r="D928">
        <v>4.1345999999999998</v>
      </c>
      <c r="E928">
        <v>0.50512950000000001</v>
      </c>
      <c r="F928" t="s">
        <v>41</v>
      </c>
      <c r="G928">
        <v>-158.19499999999999</v>
      </c>
      <c r="H928">
        <v>1.0216689999999999</v>
      </c>
      <c r="I928">
        <v>364.6773</v>
      </c>
      <c r="J928">
        <v>-322.63249999999999</v>
      </c>
      <c r="K928">
        <v>1.1198319999999999</v>
      </c>
      <c r="L928">
        <v>367.16829999999999</v>
      </c>
      <c r="M928">
        <v>0.99992729999999996</v>
      </c>
      <c r="N928">
        <v>-7.8287540000000003E-3</v>
      </c>
      <c r="O928">
        <v>-9.1654830000000003E-3</v>
      </c>
      <c r="P928">
        <v>0.99764030000000004</v>
      </c>
      <c r="Q928">
        <v>-6.8628209999999995E-2</v>
      </c>
      <c r="R928">
        <v>-2.0445160000000001E-3</v>
      </c>
      <c r="S928">
        <v>3.0068969999999999</v>
      </c>
      <c r="T928">
        <v>-1.792192E-3</v>
      </c>
      <c r="U928">
        <v>-4.553223E-2</v>
      </c>
      <c r="V928">
        <v>-7.113383E-3</v>
      </c>
      <c r="W928">
        <v>-6.0814460000000001E-2</v>
      </c>
      <c r="X928">
        <v>0.99812380000000001</v>
      </c>
      <c r="Y928">
        <v>5.9757369999999897E-3</v>
      </c>
      <c r="Z928" s="1">
        <v>-9.1464750000000002E-5</v>
      </c>
      <c r="AA928">
        <v>0.99998209999999998</v>
      </c>
      <c r="AB928">
        <v>37</v>
      </c>
      <c r="AC928">
        <v>164.4375</v>
      </c>
      <c r="AD928">
        <v>-9.8162999999999695E-2</v>
      </c>
      <c r="AE928">
        <v>-2.4909999999999801</v>
      </c>
      <c r="AF928">
        <v>0.98369963747639699</v>
      </c>
      <c r="AG928">
        <v>-9.8162999999999695E-2</v>
      </c>
      <c r="AH928">
        <v>164.45336588326299</v>
      </c>
      <c r="AI928">
        <v>90.034199508717293</v>
      </c>
      <c r="AJ928">
        <v>89.657281776872495</v>
      </c>
      <c r="AK928">
        <v>164.45633721838001</v>
      </c>
      <c r="AL928">
        <v>93.486563056910995</v>
      </c>
      <c r="AM928">
        <v>90.408326025267598</v>
      </c>
      <c r="AN928">
        <v>1.0000000594446099</v>
      </c>
    </row>
    <row r="929" spans="1:40" x14ac:dyDescent="0.25">
      <c r="A929" t="str">
        <f>"20190303153757725"</f>
        <v>20190303153757725</v>
      </c>
      <c r="B929" t="str">
        <f>"1551598677719882"</f>
        <v>1551598677719882</v>
      </c>
      <c r="C929" t="s">
        <v>40</v>
      </c>
      <c r="D929">
        <v>4.1623239999999999</v>
      </c>
      <c r="E929">
        <v>0.50514539999999997</v>
      </c>
      <c r="F929" t="s">
        <v>41</v>
      </c>
      <c r="G929">
        <v>-158.19499999999999</v>
      </c>
      <c r="H929">
        <v>1.1250830000000001</v>
      </c>
      <c r="I929">
        <v>364.6617</v>
      </c>
      <c r="J929">
        <v>-322.42790000000002</v>
      </c>
      <c r="K929">
        <v>1.1197859999999999</v>
      </c>
      <c r="L929">
        <v>367.16640000000001</v>
      </c>
      <c r="M929">
        <v>0.99992970000000003</v>
      </c>
      <c r="N929">
        <v>-7.4884369999999997E-3</v>
      </c>
      <c r="O929">
        <v>-9.2080240000000004E-3</v>
      </c>
      <c r="P929">
        <v>0.99765409999999999</v>
      </c>
      <c r="Q929">
        <v>-6.8419140000000003E-2</v>
      </c>
      <c r="R929">
        <v>-2.255333E-3</v>
      </c>
      <c r="S929">
        <v>3.0069889999999999</v>
      </c>
      <c r="T929" s="1">
        <v>9.7632410000000005E-5</v>
      </c>
      <c r="U929">
        <v>-4.58374E-2</v>
      </c>
      <c r="V929">
        <v>-6.944843E-3</v>
      </c>
      <c r="W929">
        <v>-6.0944999999999999E-2</v>
      </c>
      <c r="X929">
        <v>0.99811700000000003</v>
      </c>
      <c r="Y929">
        <v>6.0342579999999998E-3</v>
      </c>
      <c r="Z929" s="1">
        <v>-9.1748780000000004E-5</v>
      </c>
      <c r="AA929">
        <v>0.99998180000000003</v>
      </c>
      <c r="AB929">
        <v>37</v>
      </c>
      <c r="AC929">
        <v>164.2329</v>
      </c>
      <c r="AD929">
        <v>5.2970000000001002E-3</v>
      </c>
      <c r="AE929">
        <v>-2.5047000000000099</v>
      </c>
      <c r="AF929">
        <v>0.99229112272471298</v>
      </c>
      <c r="AG929">
        <v>5.2970000000001002E-3</v>
      </c>
      <c r="AH929">
        <v>164.24900080886701</v>
      </c>
      <c r="AI929">
        <v>89.9981522553921</v>
      </c>
      <c r="AJ929">
        <v>89.653858462317302</v>
      </c>
      <c r="AK929">
        <v>164.251998272294</v>
      </c>
      <c r="AL929">
        <v>93.4940564330537</v>
      </c>
      <c r="AM929">
        <v>90.398654438433496</v>
      </c>
      <c r="AN929">
        <v>1.00000003477914</v>
      </c>
    </row>
    <row r="930" spans="1:40" x14ac:dyDescent="0.25">
      <c r="A930" t="str">
        <f>"20190303153757737"</f>
        <v>20190303153757737</v>
      </c>
      <c r="B930" t="str">
        <f>"1551598677729642"</f>
        <v>1551598677729642</v>
      </c>
      <c r="C930" t="s">
        <v>40</v>
      </c>
      <c r="D930">
        <v>4.1681059999999999</v>
      </c>
      <c r="E930">
        <v>0.50517699999999999</v>
      </c>
      <c r="F930" t="s">
        <v>41</v>
      </c>
      <c r="G930">
        <v>-158.19499999999999</v>
      </c>
      <c r="H930">
        <v>1.1997409999999999</v>
      </c>
      <c r="I930">
        <v>364.6397</v>
      </c>
      <c r="J930">
        <v>-322.24540000000002</v>
      </c>
      <c r="K930">
        <v>1.1197509999999999</v>
      </c>
      <c r="L930">
        <v>367.16480000000001</v>
      </c>
      <c r="M930">
        <v>0.99993129999999997</v>
      </c>
      <c r="N930">
        <v>-7.199006E-3</v>
      </c>
      <c r="O930">
        <v>-9.2455639999999995E-3</v>
      </c>
      <c r="P930">
        <v>0.9976718</v>
      </c>
      <c r="Q930">
        <v>-6.8160330000000005E-2</v>
      </c>
      <c r="R930">
        <v>-2.2669610000000001E-3</v>
      </c>
      <c r="S930">
        <v>3.00705</v>
      </c>
      <c r="T930">
        <v>1.465559E-3</v>
      </c>
      <c r="U930">
        <v>-4.6264649999999997E-2</v>
      </c>
      <c r="V930">
        <v>-6.9710070000000004E-3</v>
      </c>
      <c r="W930">
        <v>-6.097495E-2</v>
      </c>
      <c r="X930">
        <v>0.99811490000000003</v>
      </c>
      <c r="Y930">
        <v>6.1384919999999997E-3</v>
      </c>
      <c r="Z930" s="1">
        <v>-9.1664619999999998E-5</v>
      </c>
      <c r="AA930">
        <v>0.99998120000000001</v>
      </c>
      <c r="AB930">
        <v>37</v>
      </c>
      <c r="AC930">
        <v>164.0504</v>
      </c>
      <c r="AD930">
        <v>7.9989999999999895E-2</v>
      </c>
      <c r="AE930">
        <v>-2.5251000000000001</v>
      </c>
      <c r="AF930">
        <v>1.00821398453336</v>
      </c>
      <c r="AG930">
        <v>7.9989999999999895E-2</v>
      </c>
      <c r="AH930">
        <v>164.066695517206</v>
      </c>
      <c r="AI930">
        <v>89.972066222867895</v>
      </c>
      <c r="AJ930">
        <v>89.647913436342705</v>
      </c>
      <c r="AK930">
        <v>164.06981279862001</v>
      </c>
      <c r="AL930">
        <v>93.495775947818402</v>
      </c>
      <c r="AM930">
        <v>90.400157122219397</v>
      </c>
      <c r="AN930">
        <v>0.999999946534051</v>
      </c>
    </row>
    <row r="931" spans="1:40" x14ac:dyDescent="0.25">
      <c r="A931" t="str">
        <f>"20190303153757750"</f>
        <v>20190303153757750</v>
      </c>
      <c r="B931" t="str">
        <f>"1551598677739402"</f>
        <v>1551598677739402</v>
      </c>
      <c r="C931" t="s">
        <v>40</v>
      </c>
      <c r="D931">
        <v>4.1533470000000001</v>
      </c>
      <c r="E931">
        <v>0.50519449999999999</v>
      </c>
      <c r="F931" t="s">
        <v>41</v>
      </c>
      <c r="G931">
        <v>-158.19499999999999</v>
      </c>
      <c r="H931">
        <v>1.2935110000000001</v>
      </c>
      <c r="I931">
        <v>364.61419999999998</v>
      </c>
      <c r="J931">
        <v>-322.03530000000001</v>
      </c>
      <c r="K931">
        <v>1.119712</v>
      </c>
      <c r="L931">
        <v>367.1628</v>
      </c>
      <c r="M931">
        <v>0.99993330000000002</v>
      </c>
      <c r="N931">
        <v>-6.873774E-3</v>
      </c>
      <c r="O931">
        <v>-9.2889819999999994E-3</v>
      </c>
      <c r="P931">
        <v>0.99768920000000005</v>
      </c>
      <c r="Q931">
        <v>-6.7902199999999996E-2</v>
      </c>
      <c r="R931">
        <v>-2.3648559999999998E-3</v>
      </c>
      <c r="S931">
        <v>3.0071110000000001</v>
      </c>
      <c r="T931">
        <v>3.1867029999999999E-3</v>
      </c>
      <c r="U931">
        <v>-4.6752929999999998E-2</v>
      </c>
      <c r="V931">
        <v>-6.9167219999999897E-3</v>
      </c>
      <c r="W931">
        <v>-6.1041329999999998E-2</v>
      </c>
      <c r="X931">
        <v>0.99811119999999998</v>
      </c>
      <c r="Y931">
        <v>6.2571450000000004E-3</v>
      </c>
      <c r="Z931" s="1">
        <v>-9.1883220000000003E-5</v>
      </c>
      <c r="AA931">
        <v>0.99998039999999999</v>
      </c>
      <c r="AB931">
        <v>37</v>
      </c>
      <c r="AC931">
        <v>163.84030000000001</v>
      </c>
      <c r="AD931">
        <v>0.17379900000000001</v>
      </c>
      <c r="AE931">
        <v>-2.54860000000002</v>
      </c>
      <c r="AF931">
        <v>1.0265434366858099</v>
      </c>
      <c r="AG931">
        <v>0.17379900000000001</v>
      </c>
      <c r="AH931">
        <v>163.856721139353</v>
      </c>
      <c r="AI931">
        <v>89.939228919220895</v>
      </c>
      <c r="AJ931">
        <v>89.641053253569297</v>
      </c>
      <c r="AK931">
        <v>163.86002886628401</v>
      </c>
      <c r="AL931">
        <v>93.4995864105435</v>
      </c>
      <c r="AM931">
        <v>90.397042569125603</v>
      </c>
      <c r="AN931">
        <v>0.99999992628841405</v>
      </c>
    </row>
    <row r="932" spans="1:40" x14ac:dyDescent="0.25">
      <c r="A932" t="str">
        <f>"20190303153757763"</f>
        <v>20190303153757763</v>
      </c>
      <c r="B932" t="str">
        <f>"1551598677759898"</f>
        <v>1551598677759898</v>
      </c>
      <c r="C932" t="s">
        <v>40</v>
      </c>
      <c r="D932">
        <v>4.1391629999999999</v>
      </c>
      <c r="E932">
        <v>0.5052198</v>
      </c>
      <c r="F932" t="s">
        <v>41</v>
      </c>
      <c r="G932">
        <v>-158.19499999999999</v>
      </c>
      <c r="H932">
        <v>1.384782</v>
      </c>
      <c r="I932">
        <v>364.60230000000001</v>
      </c>
      <c r="J932">
        <v>-321.79610000000002</v>
      </c>
      <c r="K932">
        <v>1.1196759999999999</v>
      </c>
      <c r="L932">
        <v>367.16059999999999</v>
      </c>
      <c r="M932">
        <v>0.99993500000000002</v>
      </c>
      <c r="N932">
        <v>-6.5349930000000002E-3</v>
      </c>
      <c r="O932">
        <v>-9.3381260000000004E-3</v>
      </c>
      <c r="P932">
        <v>0.99771359999999998</v>
      </c>
      <c r="Q932">
        <v>-6.7546060000000005E-2</v>
      </c>
      <c r="R932">
        <v>-2.2806440000000001E-3</v>
      </c>
      <c r="S932">
        <v>3.0071409999999998</v>
      </c>
      <c r="T932">
        <v>4.8667190000000003E-3</v>
      </c>
      <c r="U932">
        <v>-4.6997070000000002E-2</v>
      </c>
      <c r="V932">
        <v>-7.0499919999999997E-3</v>
      </c>
      <c r="W932">
        <v>-6.102316E-2</v>
      </c>
      <c r="X932">
        <v>0.99811139999999998</v>
      </c>
      <c r="Y932">
        <v>6.2890480000000002E-3</v>
      </c>
      <c r="Z932" s="1">
        <v>-9.1596559999999994E-5</v>
      </c>
      <c r="AA932">
        <v>0.99998019999999999</v>
      </c>
      <c r="AB932">
        <v>37</v>
      </c>
      <c r="AC932">
        <v>163.6011</v>
      </c>
      <c r="AD932">
        <v>0.26510599999999901</v>
      </c>
      <c r="AE932">
        <v>-2.5582999999999698</v>
      </c>
      <c r="AF932">
        <v>1.03042536881278</v>
      </c>
      <c r="AG932">
        <v>0.26510599999999901</v>
      </c>
      <c r="AH932">
        <v>163.61742719475299</v>
      </c>
      <c r="AI932">
        <v>89.907166732298407</v>
      </c>
      <c r="AJ932">
        <v>89.6391689734225</v>
      </c>
      <c r="AK932">
        <v>163.62088662350601</v>
      </c>
      <c r="AL932">
        <v>93.498543327024393</v>
      </c>
      <c r="AM932">
        <v>90.404692371891699</v>
      </c>
      <c r="AN932">
        <v>0.99999994762677102</v>
      </c>
    </row>
    <row r="933" spans="1:40" x14ac:dyDescent="0.25">
      <c r="A933" t="str">
        <f>"20190303153757778"</f>
        <v>20190303153757778</v>
      </c>
      <c r="B933" t="str">
        <f>"1551598677769659"</f>
        <v>1551598677769659</v>
      </c>
      <c r="C933" t="s">
        <v>40</v>
      </c>
      <c r="D933">
        <v>4.1444179999999999</v>
      </c>
      <c r="E933">
        <v>0.50523929999999995</v>
      </c>
      <c r="F933" t="s">
        <v>41</v>
      </c>
      <c r="G933">
        <v>-158.19499999999999</v>
      </c>
      <c r="H933">
        <v>1.5191520000000001</v>
      </c>
      <c r="I933">
        <v>364.60390000000001</v>
      </c>
      <c r="J933">
        <v>-321.5609</v>
      </c>
      <c r="K933">
        <v>1.1196429999999999</v>
      </c>
      <c r="L933">
        <v>367.1583</v>
      </c>
      <c r="M933">
        <v>0.99993670000000001</v>
      </c>
      <c r="N933">
        <v>-6.2231550000000002E-3</v>
      </c>
      <c r="O933">
        <v>-9.385984E-3</v>
      </c>
      <c r="P933">
        <v>0.99773690000000004</v>
      </c>
      <c r="Q933">
        <v>-6.7202819999999996E-2</v>
      </c>
      <c r="R933">
        <v>-2.1869010000000002E-3</v>
      </c>
      <c r="S933">
        <v>3.0072939999999999</v>
      </c>
      <c r="T933">
        <v>7.3447230000000001E-3</v>
      </c>
      <c r="U933">
        <v>-4.6997070000000002E-2</v>
      </c>
      <c r="V933">
        <v>-7.1913589999999996E-3</v>
      </c>
      <c r="W933">
        <v>-6.0991009999999998E-2</v>
      </c>
      <c r="X933">
        <v>0.99811240000000001</v>
      </c>
      <c r="Y933">
        <v>6.2404629999999999E-3</v>
      </c>
      <c r="Z933" s="1">
        <v>-9.312907E-5</v>
      </c>
      <c r="AA933">
        <v>0.99998050000000005</v>
      </c>
      <c r="AB933">
        <v>37</v>
      </c>
      <c r="AC933">
        <v>163.36590000000001</v>
      </c>
      <c r="AD933">
        <v>0.399509</v>
      </c>
      <c r="AE933">
        <v>-2.5543999999999798</v>
      </c>
      <c r="AF933">
        <v>1.0209021313365101</v>
      </c>
      <c r="AG933">
        <v>0.399509</v>
      </c>
      <c r="AH933">
        <v>163.381702736227</v>
      </c>
      <c r="AI933">
        <v>89.859900547498796</v>
      </c>
      <c r="AJ933">
        <v>89.6419879265828</v>
      </c>
      <c r="AK933">
        <v>163.38538073399201</v>
      </c>
      <c r="AL933">
        <v>93.496697678255302</v>
      </c>
      <c r="AM933">
        <v>90.412806603863103</v>
      </c>
      <c r="AN933">
        <v>0.99999999098942305</v>
      </c>
    </row>
    <row r="934" spans="1:40" x14ac:dyDescent="0.25">
      <c r="A934" t="str">
        <f>"20190303153757792"</f>
        <v>20190303153757792</v>
      </c>
      <c r="B934" t="str">
        <f>"1551598677779418"</f>
        <v>1551598677779418</v>
      </c>
      <c r="C934" t="s">
        <v>40</v>
      </c>
      <c r="D934">
        <v>4.1446990000000001</v>
      </c>
      <c r="E934">
        <v>0.50525850000000005</v>
      </c>
      <c r="F934" t="s">
        <v>41</v>
      </c>
      <c r="G934">
        <v>-158.19499999999999</v>
      </c>
      <c r="H934">
        <v>1.6228910000000001</v>
      </c>
      <c r="I934">
        <v>364.60860000000002</v>
      </c>
      <c r="J934">
        <v>-321.32130000000001</v>
      </c>
      <c r="K934">
        <v>1.119613</v>
      </c>
      <c r="L934">
        <v>367.15600000000001</v>
      </c>
      <c r="M934">
        <v>0.99993759999999998</v>
      </c>
      <c r="N934">
        <v>-5.9026259999999898E-3</v>
      </c>
      <c r="O934">
        <v>-9.4959480000000006E-3</v>
      </c>
      <c r="P934">
        <v>0.99778960000000005</v>
      </c>
      <c r="Q934">
        <v>-6.6428840000000003E-2</v>
      </c>
      <c r="R934">
        <v>-1.8782950000000001E-3</v>
      </c>
      <c r="S934">
        <v>3.0073240000000001</v>
      </c>
      <c r="T934">
        <v>9.2656609999999997E-3</v>
      </c>
      <c r="U934">
        <v>-4.6936039999999998E-2</v>
      </c>
      <c r="V934">
        <v>-7.6099189999999997E-3</v>
      </c>
      <c r="W934">
        <v>-6.0536630000000001E-2</v>
      </c>
      <c r="X934">
        <v>0.99813700000000005</v>
      </c>
      <c r="Y934">
        <v>6.1100919999999897E-3</v>
      </c>
      <c r="Z934" s="1">
        <v>-9.392588E-5</v>
      </c>
      <c r="AA934">
        <v>0.99998129999999996</v>
      </c>
      <c r="AB934">
        <v>37</v>
      </c>
      <c r="AC934">
        <v>163.12629999999999</v>
      </c>
      <c r="AD934">
        <v>0.503278</v>
      </c>
      <c r="AE934">
        <v>-2.5473999999999801</v>
      </c>
      <c r="AF934">
        <v>0.99820996174014298</v>
      </c>
      <c r="AG934">
        <v>0.503278</v>
      </c>
      <c r="AH934">
        <v>163.14158269755299</v>
      </c>
      <c r="AI934">
        <v>89.823251229917204</v>
      </c>
      <c r="AJ934">
        <v>89.649430248194406</v>
      </c>
      <c r="AK934">
        <v>163.145412797711</v>
      </c>
      <c r="AL934">
        <v>93.470615281372503</v>
      </c>
      <c r="AM934">
        <v>90.436821591915404</v>
      </c>
      <c r="AN934">
        <v>1.00000003260397</v>
      </c>
    </row>
    <row r="935" spans="1:40" x14ac:dyDescent="0.25">
      <c r="A935" t="str">
        <f>"20190303153757803"</f>
        <v>20190303153757803</v>
      </c>
      <c r="B935" t="str">
        <f>"1551598677790154"</f>
        <v>1551598677790154</v>
      </c>
      <c r="C935" t="s">
        <v>40</v>
      </c>
      <c r="D935">
        <v>4.1466329999999996</v>
      </c>
      <c r="E935">
        <v>0.50527520000000004</v>
      </c>
      <c r="F935" t="s">
        <v>41</v>
      </c>
      <c r="G935">
        <v>-158.19499999999999</v>
      </c>
      <c r="H935">
        <v>1.798529</v>
      </c>
      <c r="I935">
        <v>364.67140000000001</v>
      </c>
      <c r="J935">
        <v>-321.14030000000002</v>
      </c>
      <c r="K935">
        <v>1.119586</v>
      </c>
      <c r="L935">
        <v>367.15429999999998</v>
      </c>
      <c r="M935">
        <v>0.99993679999999996</v>
      </c>
      <c r="N935">
        <v>-5.6131069999999896E-3</v>
      </c>
      <c r="O935">
        <v>-9.7543999999999999E-3</v>
      </c>
      <c r="P935">
        <v>0.99782760000000004</v>
      </c>
      <c r="Q935">
        <v>-6.5851350000000003E-2</v>
      </c>
      <c r="R935">
        <v>-1.9171209999999999E-3</v>
      </c>
      <c r="S935">
        <v>3.0073850000000002</v>
      </c>
      <c r="T935">
        <v>1.2518049999999999E-2</v>
      </c>
      <c r="U935">
        <v>-4.5806880000000001E-2</v>
      </c>
      <c r="V935">
        <v>-7.8270869999999999E-3</v>
      </c>
      <c r="W935">
        <v>-6.0248110000000001E-2</v>
      </c>
      <c r="X935">
        <v>0.9981527</v>
      </c>
      <c r="Y935">
        <v>5.4760369999999996E-3</v>
      </c>
      <c r="Z935" s="1">
        <v>-9.9322819999999999E-5</v>
      </c>
      <c r="AA935">
        <v>0.99998500000000001</v>
      </c>
      <c r="AB935">
        <v>37</v>
      </c>
      <c r="AC935">
        <v>162.9453</v>
      </c>
      <c r="AD935">
        <v>0.67894299999999996</v>
      </c>
      <c r="AE935">
        <v>-2.4828999999999701</v>
      </c>
      <c r="AF935">
        <v>0.89330789824207901</v>
      </c>
      <c r="AG935">
        <v>0.67894299999999996</v>
      </c>
      <c r="AH935">
        <v>162.95893863886999</v>
      </c>
      <c r="AI935">
        <v>89.761291039243901</v>
      </c>
      <c r="AJ935">
        <v>89.685919286605596</v>
      </c>
      <c r="AK935">
        <v>162.96280141463399</v>
      </c>
      <c r="AL935">
        <v>93.454054342021294</v>
      </c>
      <c r="AM935">
        <v>90.449279813966101</v>
      </c>
      <c r="AN935">
        <v>0.99999995528338204</v>
      </c>
    </row>
    <row r="936" spans="1:40" x14ac:dyDescent="0.25">
      <c r="A936" t="str">
        <f>"20190303153757817"</f>
        <v>20190303153757817</v>
      </c>
      <c r="B936" t="str">
        <f>"1551598677809674"</f>
        <v>1551598677809674</v>
      </c>
      <c r="C936" t="s">
        <v>40</v>
      </c>
      <c r="D936">
        <v>4.139659</v>
      </c>
      <c r="E936">
        <v>0.50530559999999902</v>
      </c>
      <c r="F936" t="s">
        <v>41</v>
      </c>
      <c r="G936">
        <v>-158.19499999999999</v>
      </c>
      <c r="H936">
        <v>1.936909</v>
      </c>
      <c r="I936">
        <v>364.65269999999998</v>
      </c>
      <c r="J936">
        <v>-320.90429999999998</v>
      </c>
      <c r="K936">
        <v>1.1194809999999999</v>
      </c>
      <c r="L936">
        <v>367.15210000000002</v>
      </c>
      <c r="M936">
        <v>0.9999363</v>
      </c>
      <c r="N936">
        <v>-5.2019980000000002E-3</v>
      </c>
      <c r="O936">
        <v>-1.0031409999999999E-2</v>
      </c>
      <c r="P936">
        <v>0.99786319999999995</v>
      </c>
      <c r="Q936">
        <v>-6.5312090000000003E-2</v>
      </c>
      <c r="R936">
        <v>-1.901846E-3</v>
      </c>
      <c r="S936">
        <v>3.0074459999999998</v>
      </c>
      <c r="T936">
        <v>1.5086769999999999E-2</v>
      </c>
      <c r="U936">
        <v>-4.6173100000000002E-2</v>
      </c>
      <c r="V936">
        <v>-8.1227190000000005E-3</v>
      </c>
      <c r="W936">
        <v>-6.0118539999999998E-2</v>
      </c>
      <c r="X936">
        <v>0.9981582</v>
      </c>
      <c r="Y936">
        <v>5.320511E-3</v>
      </c>
      <c r="Z936">
        <v>-1.029943E-4</v>
      </c>
      <c r="AA936">
        <v>0.99998580000000004</v>
      </c>
      <c r="AB936">
        <v>37</v>
      </c>
      <c r="AC936">
        <v>162.70929999999899</v>
      </c>
      <c r="AD936">
        <v>0.81742799999999904</v>
      </c>
      <c r="AE936">
        <v>-2.4994000000000298</v>
      </c>
      <c r="AF936">
        <v>0.86702681539061599</v>
      </c>
      <c r="AG936">
        <v>0.81742799999999904</v>
      </c>
      <c r="AH936">
        <v>162.722079770573</v>
      </c>
      <c r="AI936">
        <v>89.712183400317599</v>
      </c>
      <c r="AJ936">
        <v>89.694715632890393</v>
      </c>
      <c r="AK936">
        <v>162.726442746391</v>
      </c>
      <c r="AL936">
        <v>93.446616875303903</v>
      </c>
      <c r="AM936">
        <v>90.466245975889706</v>
      </c>
      <c r="AN936">
        <v>1.0000000048214599</v>
      </c>
    </row>
    <row r="937" spans="1:40" x14ac:dyDescent="0.25">
      <c r="A937" t="str">
        <f>"20190303153757830"</f>
        <v>20190303153757830</v>
      </c>
      <c r="B937" t="str">
        <f>"1551598677819434"</f>
        <v>1551598677819434</v>
      </c>
      <c r="C937" t="s">
        <v>40</v>
      </c>
      <c r="D937">
        <v>4.1318020000000004</v>
      </c>
      <c r="E937">
        <v>0.50530620000000004</v>
      </c>
      <c r="F937" t="s">
        <v>41</v>
      </c>
      <c r="G937">
        <v>-158.19499999999999</v>
      </c>
      <c r="H937">
        <v>2.1126320000000001</v>
      </c>
      <c r="I937">
        <v>364.63929999999999</v>
      </c>
      <c r="J937">
        <v>-320.68459999999999</v>
      </c>
      <c r="K937">
        <v>1.119327</v>
      </c>
      <c r="L937">
        <v>367.15010000000001</v>
      </c>
      <c r="M937">
        <v>0.99993620000000005</v>
      </c>
      <c r="N937">
        <v>-4.8012990000000002E-3</v>
      </c>
      <c r="O937">
        <v>-1.023598E-2</v>
      </c>
      <c r="P937">
        <v>0.99789609999999995</v>
      </c>
      <c r="Q937">
        <v>-6.4804680000000003E-2</v>
      </c>
      <c r="R937">
        <v>-2.0556540000000001E-3</v>
      </c>
      <c r="S937">
        <v>3.007568</v>
      </c>
      <c r="T937">
        <v>1.8359299999999999E-2</v>
      </c>
      <c r="U937">
        <v>-4.6447750000000003E-2</v>
      </c>
      <c r="V937">
        <v>-8.1813179999999999E-3</v>
      </c>
      <c r="W937">
        <v>-6.0009859999999998E-2</v>
      </c>
      <c r="X937">
        <v>0.99816419999999995</v>
      </c>
      <c r="Y937">
        <v>5.2066880000000001E-3</v>
      </c>
      <c r="Z937">
        <v>-1.082316E-4</v>
      </c>
      <c r="AA937">
        <v>0.99998640000000005</v>
      </c>
      <c r="AB937">
        <v>38</v>
      </c>
      <c r="AC937">
        <v>162.4896</v>
      </c>
      <c r="AD937">
        <v>0.99330499999999999</v>
      </c>
      <c r="AE937">
        <v>-2.5108000000000099</v>
      </c>
      <c r="AF937">
        <v>0.84737752613497497</v>
      </c>
      <c r="AG937">
        <v>0.99330499999999999</v>
      </c>
      <c r="AH937">
        <v>162.50071685091601</v>
      </c>
      <c r="AI937">
        <v>89.649781842035296</v>
      </c>
      <c r="AJ937">
        <v>89.701227682068506</v>
      </c>
      <c r="AK937">
        <v>162.50596198465001</v>
      </c>
      <c r="AL937">
        <v>93.440378917595197</v>
      </c>
      <c r="AM937">
        <v>90.469606599423798</v>
      </c>
      <c r="AN937">
        <v>0.999999943711536</v>
      </c>
    </row>
    <row r="938" spans="1:40" x14ac:dyDescent="0.25">
      <c r="A938" t="str">
        <f>"20190303153757841"</f>
        <v>20190303153757841</v>
      </c>
      <c r="B938" t="str">
        <f>"1551598677830170"</f>
        <v>1551598677830170</v>
      </c>
      <c r="C938" t="s">
        <v>40</v>
      </c>
      <c r="D938">
        <v>4.1225019999999999</v>
      </c>
      <c r="E938">
        <v>0.50533099999999997</v>
      </c>
      <c r="F938" t="s">
        <v>41</v>
      </c>
      <c r="G938">
        <v>-158.19499999999999</v>
      </c>
      <c r="H938">
        <v>2.2326100000000002</v>
      </c>
      <c r="I938">
        <v>364.61759999999998</v>
      </c>
      <c r="J938">
        <v>-320.4819</v>
      </c>
      <c r="K938">
        <v>1.1190770000000001</v>
      </c>
      <c r="L938">
        <v>367.14819999999997</v>
      </c>
      <c r="M938">
        <v>0.99993679999999996</v>
      </c>
      <c r="N938">
        <v>-4.5525349999999999E-3</v>
      </c>
      <c r="O938">
        <v>-1.028893E-2</v>
      </c>
      <c r="P938">
        <v>0.99792230000000004</v>
      </c>
      <c r="Q938">
        <v>-6.4402829999999994E-2</v>
      </c>
      <c r="R938">
        <v>-1.841376E-3</v>
      </c>
      <c r="S938">
        <v>3.007568</v>
      </c>
      <c r="T938">
        <v>2.0607710000000001E-2</v>
      </c>
      <c r="U938">
        <v>-4.6875E-2</v>
      </c>
      <c r="V938">
        <v>-8.4636409999999992E-3</v>
      </c>
      <c r="W938">
        <v>-5.9853940000000001E-2</v>
      </c>
      <c r="X938">
        <v>0.99817129999999998</v>
      </c>
      <c r="Y938">
        <v>5.2958010000000002E-3</v>
      </c>
      <c r="Z938">
        <v>-1.112441E-4</v>
      </c>
      <c r="AA938">
        <v>0.99998600000000004</v>
      </c>
      <c r="AB938">
        <v>38</v>
      </c>
      <c r="AC938">
        <v>162.2869</v>
      </c>
      <c r="AD938">
        <v>1.1135329999999899</v>
      </c>
      <c r="AE938">
        <v>-2.53059999999999</v>
      </c>
      <c r="AF938">
        <v>0.86064983897832004</v>
      </c>
      <c r="AG938">
        <v>1.1135329999999899</v>
      </c>
      <c r="AH938">
        <v>162.296707894582</v>
      </c>
      <c r="AI938">
        <v>89.606899955287105</v>
      </c>
      <c r="AJ938">
        <v>89.696166719423601</v>
      </c>
      <c r="AK938">
        <v>162.30280979486</v>
      </c>
      <c r="AL938">
        <v>93.431428955671194</v>
      </c>
      <c r="AM938">
        <v>90.485807684107399</v>
      </c>
      <c r="AN938">
        <v>1.00000003574809</v>
      </c>
    </row>
    <row r="939" spans="1:40" x14ac:dyDescent="0.25">
      <c r="A939" t="str">
        <f>"20190303153757852"</f>
        <v>20190303153757852</v>
      </c>
      <c r="B939" t="str">
        <f>"1551598677839931"</f>
        <v>1551598677839931</v>
      </c>
      <c r="C939" t="s">
        <v>40</v>
      </c>
      <c r="D939">
        <v>4.1325560000000001</v>
      </c>
      <c r="E939">
        <v>0.50535109999999905</v>
      </c>
      <c r="F939" t="s">
        <v>41</v>
      </c>
      <c r="G939">
        <v>-158.19499999999999</v>
      </c>
      <c r="H939">
        <v>2.3341959999999999</v>
      </c>
      <c r="I939">
        <v>364.65519999999998</v>
      </c>
      <c r="J939">
        <v>-320.2955</v>
      </c>
      <c r="K939">
        <v>1.1188359999999999</v>
      </c>
      <c r="L939">
        <v>367.1465</v>
      </c>
      <c r="M939">
        <v>0.99993739999999998</v>
      </c>
      <c r="N939">
        <v>-4.3879110000000004E-3</v>
      </c>
      <c r="O939">
        <v>-1.0306900000000001E-2</v>
      </c>
      <c r="P939">
        <v>0.99791949999999996</v>
      </c>
      <c r="Q939">
        <v>-6.4453040000000003E-2</v>
      </c>
      <c r="R939">
        <v>-1.624782E-3</v>
      </c>
      <c r="S939">
        <v>3.00766</v>
      </c>
      <c r="T939">
        <v>2.2521380000000001E-2</v>
      </c>
      <c r="U939">
        <v>-4.6203609999999999E-2</v>
      </c>
      <c r="V939">
        <v>-8.7129349999999998E-3</v>
      </c>
      <c r="W939">
        <v>-6.0066269999999998E-2</v>
      </c>
      <c r="X939">
        <v>0.99815640000000005</v>
      </c>
      <c r="Y939">
        <v>5.0542399999999998E-3</v>
      </c>
      <c r="Z939">
        <v>-1.145615E-4</v>
      </c>
      <c r="AA939">
        <v>0.99998719999999996</v>
      </c>
      <c r="AB939">
        <v>38</v>
      </c>
      <c r="AC939">
        <v>162.10050000000001</v>
      </c>
      <c r="AD939">
        <v>1.21535999999999</v>
      </c>
      <c r="AE939">
        <v>-2.4913000000000198</v>
      </c>
      <c r="AF939">
        <v>0.82035207614967598</v>
      </c>
      <c r="AG939">
        <v>1.21535999999999</v>
      </c>
      <c r="AH939">
        <v>162.10845674292699</v>
      </c>
      <c r="AI939">
        <v>89.570455460606894</v>
      </c>
      <c r="AJ939">
        <v>89.710056394335993</v>
      </c>
      <c r="AK939">
        <v>162.11508820906201</v>
      </c>
      <c r="AL939">
        <v>93.443616497304902</v>
      </c>
      <c r="AM939">
        <v>90.500123752032593</v>
      </c>
      <c r="AN939">
        <v>1.00000003544449</v>
      </c>
    </row>
    <row r="940" spans="1:40" x14ac:dyDescent="0.25">
      <c r="A940" t="str">
        <f>"20190303153757864"</f>
        <v>20190303153757864</v>
      </c>
      <c r="B940" t="str">
        <f>"1551598677859450"</f>
        <v>1551598677859450</v>
      </c>
      <c r="C940" t="s">
        <v>40</v>
      </c>
      <c r="D940">
        <v>4.1452359999999997</v>
      </c>
      <c r="E940">
        <v>0.505384099999999</v>
      </c>
      <c r="F940" t="s">
        <v>41</v>
      </c>
      <c r="G940">
        <v>-158.19499999999999</v>
      </c>
      <c r="H940">
        <v>2.3586559999999999</v>
      </c>
      <c r="I940">
        <v>364.6859</v>
      </c>
      <c r="J940">
        <v>-320.09410000000003</v>
      </c>
      <c r="K940">
        <v>1.1185309999999999</v>
      </c>
      <c r="L940">
        <v>367.14449999999999</v>
      </c>
      <c r="M940">
        <v>0.99993799999999999</v>
      </c>
      <c r="N940">
        <v>-4.3560810000000004E-3</v>
      </c>
      <c r="O940">
        <v>-1.025687E-2</v>
      </c>
      <c r="P940">
        <v>0.99793030000000005</v>
      </c>
      <c r="Q940">
        <v>-6.4289680000000002E-2</v>
      </c>
      <c r="R940">
        <v>-1.322342E-3</v>
      </c>
      <c r="S940">
        <v>3.00766</v>
      </c>
      <c r="T940">
        <v>2.3005600000000001E-2</v>
      </c>
      <c r="U940">
        <v>-4.5654300000000002E-2</v>
      </c>
      <c r="V940">
        <v>-8.9814479999999995E-3</v>
      </c>
      <c r="W940">
        <v>-5.9932029999999997E-2</v>
      </c>
      <c r="X940">
        <v>0.99816199999999999</v>
      </c>
      <c r="Y940">
        <v>4.9216909999999997E-3</v>
      </c>
      <c r="Z940">
        <v>-1.1502310000000001E-4</v>
      </c>
      <c r="AA940">
        <v>0.99998790000000004</v>
      </c>
      <c r="AB940">
        <v>38</v>
      </c>
      <c r="AC940">
        <v>161.8991</v>
      </c>
      <c r="AD940">
        <v>1.2401249999999999</v>
      </c>
      <c r="AE940">
        <v>-2.4585999999999899</v>
      </c>
      <c r="AF940">
        <v>0.79783024147331605</v>
      </c>
      <c r="AG940">
        <v>1.2401249999999999</v>
      </c>
      <c r="AH940">
        <v>161.90630380644399</v>
      </c>
      <c r="AI940">
        <v>89.561155589421901</v>
      </c>
      <c r="AJ940">
        <v>89.717664263021604</v>
      </c>
      <c r="AK940">
        <v>161.91301879519901</v>
      </c>
      <c r="AL940">
        <v>93.435911536731496</v>
      </c>
      <c r="AM940">
        <v>90.515532726183594</v>
      </c>
      <c r="AN940">
        <v>0.99999994643604695</v>
      </c>
    </row>
    <row r="941" spans="1:40" x14ac:dyDescent="0.25">
      <c r="A941" t="str">
        <f>"20190303153757876"</f>
        <v>20190303153757876</v>
      </c>
      <c r="B941" t="str">
        <f>"1551598677870186"</f>
        <v>1551598677870186</v>
      </c>
      <c r="C941" t="s">
        <v>40</v>
      </c>
      <c r="D941">
        <v>4.1477130000000004</v>
      </c>
      <c r="E941">
        <v>0.50541099999999906</v>
      </c>
      <c r="F941" t="s">
        <v>41</v>
      </c>
      <c r="G941">
        <v>-158.19499999999999</v>
      </c>
      <c r="H941">
        <v>2.4478650000000002</v>
      </c>
      <c r="I941">
        <v>364.73309999999998</v>
      </c>
      <c r="J941">
        <v>-319.90089999999998</v>
      </c>
      <c r="K941">
        <v>1.1182240000000001</v>
      </c>
      <c r="L941">
        <v>367.14260000000002</v>
      </c>
      <c r="M941">
        <v>0.99993810000000005</v>
      </c>
      <c r="N941">
        <v>-4.4765229999999996E-3</v>
      </c>
      <c r="O941">
        <v>-1.018821E-2</v>
      </c>
      <c r="P941">
        <v>0.99793319999999996</v>
      </c>
      <c r="Q941">
        <v>-6.4249349999999997E-2</v>
      </c>
      <c r="R941">
        <v>-1.1144670000000001E-3</v>
      </c>
      <c r="S941">
        <v>3.0077509999999998</v>
      </c>
      <c r="T941">
        <v>2.4697899999999998E-2</v>
      </c>
      <c r="U941">
        <v>-4.4799800000000001E-2</v>
      </c>
      <c r="V941">
        <v>-9.1338449999999998E-3</v>
      </c>
      <c r="W941">
        <v>-5.9769280000000001E-2</v>
      </c>
      <c r="X941">
        <v>0.99817040000000001</v>
      </c>
      <c r="Y941">
        <v>4.7059199999999997E-3</v>
      </c>
      <c r="Z941">
        <v>-1.2047080000000001E-4</v>
      </c>
      <c r="AA941">
        <v>0.99998889999999996</v>
      </c>
      <c r="AB941">
        <v>38</v>
      </c>
      <c r="AC941">
        <v>161.70590000000001</v>
      </c>
      <c r="AD941">
        <v>1.3296410000000001</v>
      </c>
      <c r="AE941">
        <v>-2.4095000000000302</v>
      </c>
      <c r="AF941">
        <v>0.76181330638993106</v>
      </c>
      <c r="AG941">
        <v>1.3296410000000001</v>
      </c>
      <c r="AH941">
        <v>161.71112482959799</v>
      </c>
      <c r="AI941">
        <v>89.528911473446996</v>
      </c>
      <c r="AJ941">
        <v>89.730084344018096</v>
      </c>
      <c r="AK941">
        <v>161.71838546793799</v>
      </c>
      <c r="AL941">
        <v>93.426569818526005</v>
      </c>
      <c r="AM941">
        <v>90.524275377463894</v>
      </c>
      <c r="AN941">
        <v>0.99999997069617996</v>
      </c>
    </row>
    <row r="942" spans="1:40" x14ac:dyDescent="0.25">
      <c r="A942" t="str">
        <f>"20190303153757887"</f>
        <v>20190303153757887</v>
      </c>
      <c r="B942" t="str">
        <f>"1551598677879946"</f>
        <v>1551598677879946</v>
      </c>
      <c r="C942" t="s">
        <v>40</v>
      </c>
      <c r="D942">
        <v>4.1764859999999997</v>
      </c>
      <c r="E942">
        <v>0.50545499999999999</v>
      </c>
      <c r="F942" t="s">
        <v>41</v>
      </c>
      <c r="G942">
        <v>-158.19499999999999</v>
      </c>
      <c r="H942">
        <v>2.4861469999999999</v>
      </c>
      <c r="I942">
        <v>364.75209999999998</v>
      </c>
      <c r="J942">
        <v>-319.69439999999997</v>
      </c>
      <c r="K942">
        <v>1.117872</v>
      </c>
      <c r="L942">
        <v>367.14049999999997</v>
      </c>
      <c r="M942">
        <v>0.99993790000000005</v>
      </c>
      <c r="N942">
        <v>-4.7207280000000004E-3</v>
      </c>
      <c r="O942">
        <v>-1.009911E-2</v>
      </c>
      <c r="P942">
        <v>0.99790420000000002</v>
      </c>
      <c r="Q942">
        <v>-6.4704239999999996E-2</v>
      </c>
      <c r="R942">
        <v>-8.5416029999999996E-4</v>
      </c>
      <c r="S942">
        <v>3.0078130000000001</v>
      </c>
      <c r="T942">
        <v>2.5445700000000002E-2</v>
      </c>
      <c r="U942">
        <v>-4.4464110000000001E-2</v>
      </c>
      <c r="V942">
        <v>-9.3179270000000002E-3</v>
      </c>
      <c r="W942">
        <v>-5.9978370000000003E-2</v>
      </c>
      <c r="X942">
        <v>0.99815620000000005</v>
      </c>
      <c r="Y942">
        <v>4.6831879999999996E-3</v>
      </c>
      <c r="Z942">
        <v>-1.243479E-4</v>
      </c>
      <c r="AA942">
        <v>0.99998900000000002</v>
      </c>
      <c r="AB942">
        <v>38</v>
      </c>
      <c r="AC942">
        <v>161.49939999999901</v>
      </c>
      <c r="AD942">
        <v>1.3682749999999999</v>
      </c>
      <c r="AE942">
        <v>-2.3883999999999901</v>
      </c>
      <c r="AF942">
        <v>0.75720554150058195</v>
      </c>
      <c r="AG942">
        <v>1.3682749999999999</v>
      </c>
      <c r="AH942">
        <v>161.50369452357899</v>
      </c>
      <c r="AI942">
        <v>89.514601534132794</v>
      </c>
      <c r="AJ942">
        <v>89.731372313225407</v>
      </c>
      <c r="AK942">
        <v>161.51126549400001</v>
      </c>
      <c r="AL942">
        <v>93.438571175224098</v>
      </c>
      <c r="AM942">
        <v>90.534848537223397</v>
      </c>
      <c r="AN942">
        <v>1.0000000141149299</v>
      </c>
    </row>
    <row r="943" spans="1:40" x14ac:dyDescent="0.25">
      <c r="A943" t="str">
        <f>"20190303153757898"</f>
        <v>20190303153757898</v>
      </c>
      <c r="B943" t="str">
        <f>"1551598677889706"</f>
        <v>1551598677889706</v>
      </c>
      <c r="C943" t="s">
        <v>40</v>
      </c>
      <c r="D943">
        <v>4.1298969999999997</v>
      </c>
      <c r="E943">
        <v>0.50547640000000005</v>
      </c>
      <c r="F943" t="s">
        <v>41</v>
      </c>
      <c r="G943">
        <v>-158.19499999999999</v>
      </c>
      <c r="H943">
        <v>2.4390689999999999</v>
      </c>
      <c r="I943">
        <v>364.77289999999999</v>
      </c>
      <c r="J943">
        <v>-319.5034</v>
      </c>
      <c r="K943">
        <v>1.1175120000000001</v>
      </c>
      <c r="L943">
        <v>367.1386</v>
      </c>
      <c r="M943">
        <v>0.9999363</v>
      </c>
      <c r="N943">
        <v>-5.1970369999999998E-3</v>
      </c>
      <c r="O943">
        <v>-1.003421E-2</v>
      </c>
      <c r="P943">
        <v>0.99788589999999999</v>
      </c>
      <c r="Q943">
        <v>-6.4988770000000001E-2</v>
      </c>
      <c r="R943">
        <v>-7.1320779999999896E-4</v>
      </c>
      <c r="S943">
        <v>3.0079039999999999</v>
      </c>
      <c r="T943">
        <v>2.4608729999999999E-2</v>
      </c>
      <c r="U943">
        <v>-4.4097900000000002E-2</v>
      </c>
      <c r="V943">
        <v>-9.4008500000000005E-3</v>
      </c>
      <c r="W943">
        <v>-5.9786220000000001E-2</v>
      </c>
      <c r="X943">
        <v>0.99816689999999997</v>
      </c>
      <c r="Y943">
        <v>4.6259359999999998E-3</v>
      </c>
      <c r="Z943">
        <v>-1.273305E-4</v>
      </c>
      <c r="AA943">
        <v>0.99998929999999997</v>
      </c>
      <c r="AB943">
        <v>38</v>
      </c>
      <c r="AC943">
        <v>161.30840000000001</v>
      </c>
      <c r="AD943">
        <v>1.3215570000000001</v>
      </c>
      <c r="AE943">
        <v>-2.3656999999999999</v>
      </c>
      <c r="AF943">
        <v>0.74690679815284</v>
      </c>
      <c r="AG943">
        <v>1.3215570000000001</v>
      </c>
      <c r="AH943">
        <v>161.31319196845499</v>
      </c>
      <c r="AI943">
        <v>89.53062032919</v>
      </c>
      <c r="AJ943">
        <v>89.7347129463556</v>
      </c>
      <c r="AK943">
        <v>161.32033438386199</v>
      </c>
      <c r="AL943">
        <v>93.427542170263607</v>
      </c>
      <c r="AM943">
        <v>90.539602248942998</v>
      </c>
      <c r="AN943">
        <v>0.99999996416910897</v>
      </c>
    </row>
    <row r="944" spans="1:40" x14ac:dyDescent="0.25">
      <c r="A944" t="str">
        <f>"20190303153757910"</f>
        <v>20190303153757910</v>
      </c>
      <c r="B944" t="str">
        <f>"1551598677899466"</f>
        <v>1551598677899466</v>
      </c>
      <c r="C944" t="s">
        <v>40</v>
      </c>
      <c r="D944">
        <v>4.1310890000000002</v>
      </c>
      <c r="E944">
        <v>0.50550269999999997</v>
      </c>
      <c r="F944" t="s">
        <v>41</v>
      </c>
      <c r="G944">
        <v>-158.19499999999999</v>
      </c>
      <c r="H944">
        <v>2.418472</v>
      </c>
      <c r="I944">
        <v>364.7901</v>
      </c>
      <c r="J944">
        <v>-319.3075</v>
      </c>
      <c r="K944">
        <v>1.117135</v>
      </c>
      <c r="L944">
        <v>367.13659999999999</v>
      </c>
      <c r="M944">
        <v>0.99993390000000004</v>
      </c>
      <c r="N944">
        <v>-5.7577919999999899E-3</v>
      </c>
      <c r="O944">
        <v>-9.9602240000000002E-3</v>
      </c>
      <c r="P944">
        <v>0.99784090000000003</v>
      </c>
      <c r="Q944">
        <v>-6.5676730000000003E-2</v>
      </c>
      <c r="R944">
        <v>-4.9781209999999996E-4</v>
      </c>
      <c r="S944">
        <v>3.0079039999999999</v>
      </c>
      <c r="T944">
        <v>2.4260520000000001E-2</v>
      </c>
      <c r="U944">
        <v>-4.379272E-2</v>
      </c>
      <c r="V944">
        <v>-9.5492770000000001E-3</v>
      </c>
      <c r="W944">
        <v>-5.9913370000000001E-2</v>
      </c>
      <c r="X944">
        <v>0.99815790000000004</v>
      </c>
      <c r="Y944">
        <v>4.5985260000000003E-3</v>
      </c>
      <c r="Z944">
        <v>-1.323695E-4</v>
      </c>
      <c r="AA944">
        <v>0.99998940000000003</v>
      </c>
      <c r="AB944">
        <v>38</v>
      </c>
      <c r="AC944">
        <v>161.11250000000001</v>
      </c>
      <c r="AD944">
        <v>1.301337</v>
      </c>
      <c r="AE944">
        <v>-2.34649999999999</v>
      </c>
      <c r="AF944">
        <v>0.74159216844495401</v>
      </c>
      <c r="AG944">
        <v>1.301337</v>
      </c>
      <c r="AH944">
        <v>161.117370680303</v>
      </c>
      <c r="AI944">
        <v>89.537239799576597</v>
      </c>
      <c r="AJ944">
        <v>89.736280444910804</v>
      </c>
      <c r="AK944">
        <v>161.12433264987101</v>
      </c>
      <c r="AL944">
        <v>93.4348402989839</v>
      </c>
      <c r="AM944">
        <v>90.548126281611502</v>
      </c>
      <c r="AN944">
        <v>0.99999999696419395</v>
      </c>
    </row>
    <row r="945" spans="1:40" x14ac:dyDescent="0.25">
      <c r="A945" t="str">
        <f>"20190303153757920"</f>
        <v>20190303153757920</v>
      </c>
      <c r="B945" t="str">
        <f>"1551598677910203"</f>
        <v>1551598677910203</v>
      </c>
      <c r="C945" t="s">
        <v>40</v>
      </c>
      <c r="D945">
        <v>4.1123329999999996</v>
      </c>
      <c r="E945">
        <v>0.50553649999999895</v>
      </c>
      <c r="F945" t="s">
        <v>41</v>
      </c>
      <c r="G945">
        <v>-158.19499999999999</v>
      </c>
      <c r="H945">
        <v>2.336598</v>
      </c>
      <c r="I945">
        <v>364.82690000000002</v>
      </c>
      <c r="J945">
        <v>-319.12610000000001</v>
      </c>
      <c r="K945">
        <v>1.1167469999999999</v>
      </c>
      <c r="L945">
        <v>367.13470000000001</v>
      </c>
      <c r="M945">
        <v>0.9999304</v>
      </c>
      <c r="N945">
        <v>-6.5724690000000001E-3</v>
      </c>
      <c r="O945">
        <v>-9.8112479999999998E-3</v>
      </c>
      <c r="P945">
        <v>0.99778529999999999</v>
      </c>
      <c r="Q945">
        <v>-6.6518289999999994E-2</v>
      </c>
      <c r="R945">
        <v>-3.4831050000000001E-4</v>
      </c>
      <c r="S945">
        <v>3.007965</v>
      </c>
      <c r="T945">
        <v>2.2768969999999999E-2</v>
      </c>
      <c r="U945">
        <v>-4.3121340000000001E-2</v>
      </c>
      <c r="V945">
        <v>-9.5535450000000001E-3</v>
      </c>
      <c r="W945">
        <v>-5.9941460000000002E-2</v>
      </c>
      <c r="X945">
        <v>0.99815620000000005</v>
      </c>
      <c r="Y945">
        <v>4.5240699999999998E-3</v>
      </c>
      <c r="Z945">
        <v>-1.3648809999999999E-4</v>
      </c>
      <c r="AA945">
        <v>0.99998969999999998</v>
      </c>
      <c r="AB945">
        <v>38</v>
      </c>
      <c r="AC945">
        <v>160.93109999999999</v>
      </c>
      <c r="AD945">
        <v>1.219851</v>
      </c>
      <c r="AE945">
        <v>-2.3077999999999799</v>
      </c>
      <c r="AF945">
        <v>0.72867822975893504</v>
      </c>
      <c r="AG945">
        <v>1.219851</v>
      </c>
      <c r="AH945">
        <v>160.93675186103201</v>
      </c>
      <c r="AI945">
        <v>89.565728409834193</v>
      </c>
      <c r="AJ945">
        <v>89.7405819279235</v>
      </c>
      <c r="AK945">
        <v>160.943024415487</v>
      </c>
      <c r="AL945">
        <v>93.436452541438499</v>
      </c>
      <c r="AM945">
        <v>90.548372182759294</v>
      </c>
      <c r="AN945">
        <v>1.0000000242237099</v>
      </c>
    </row>
    <row r="946" spans="1:40" x14ac:dyDescent="0.25">
      <c r="A946" t="str">
        <f>"20190303153757932"</f>
        <v>20190303153757932</v>
      </c>
      <c r="B946" t="str">
        <f>"1551598677919962"</f>
        <v>1551598677919962</v>
      </c>
      <c r="C946" t="s">
        <v>40</v>
      </c>
      <c r="D946">
        <v>4.1249349999999998</v>
      </c>
      <c r="E946">
        <v>0.50556089999999998</v>
      </c>
      <c r="F946" t="s">
        <v>41</v>
      </c>
      <c r="G946">
        <v>-158.19499999999999</v>
      </c>
      <c r="H946">
        <v>2.2267199999999998</v>
      </c>
      <c r="I946">
        <v>364.83420000000001</v>
      </c>
      <c r="J946">
        <v>-318.94240000000002</v>
      </c>
      <c r="K946">
        <v>1.1163459999999901</v>
      </c>
      <c r="L946">
        <v>367.13279999999997</v>
      </c>
      <c r="M946">
        <v>0.99992559999999997</v>
      </c>
      <c r="N946">
        <v>-7.4742300000000001E-3</v>
      </c>
      <c r="O946">
        <v>-9.6615420000000004E-3</v>
      </c>
      <c r="P946">
        <v>0.99772380000000005</v>
      </c>
      <c r="Q946">
        <v>-6.7433149999999997E-2</v>
      </c>
      <c r="R946">
        <v>-2.8180209999999998E-4</v>
      </c>
      <c r="S946">
        <v>3.0079959999999999</v>
      </c>
      <c r="T946">
        <v>2.074838E-2</v>
      </c>
      <c r="U946">
        <v>-4.2999269999999999E-2</v>
      </c>
      <c r="V946">
        <v>-9.4726229999999995E-3</v>
      </c>
      <c r="W946">
        <v>-5.995632E-2</v>
      </c>
      <c r="X946">
        <v>0.99815609999999999</v>
      </c>
      <c r="Y946">
        <v>4.6330470000000004E-3</v>
      </c>
      <c r="Z946">
        <v>-1.4018440000000001E-4</v>
      </c>
      <c r="AA946">
        <v>0.99998929999999997</v>
      </c>
      <c r="AB946">
        <v>38</v>
      </c>
      <c r="AC946">
        <v>160.7474</v>
      </c>
      <c r="AD946">
        <v>1.110374</v>
      </c>
      <c r="AE946">
        <v>-2.29859999999996</v>
      </c>
      <c r="AF946">
        <v>0.74534633674232698</v>
      </c>
      <c r="AG946">
        <v>1.110374</v>
      </c>
      <c r="AH946">
        <v>160.754436775963</v>
      </c>
      <c r="AI946">
        <v>89.604253234811594</v>
      </c>
      <c r="AJ946">
        <v>89.734347031339794</v>
      </c>
      <c r="AK946">
        <v>160.75999942379599</v>
      </c>
      <c r="AL946">
        <v>93.437305417792302</v>
      </c>
      <c r="AM946">
        <v>90.543727605499896</v>
      </c>
      <c r="AN946">
        <v>1.00000004543082</v>
      </c>
    </row>
    <row r="947" spans="1:40" x14ac:dyDescent="0.25">
      <c r="A947" t="str">
        <f>"20190303153757944"</f>
        <v>20190303153757944</v>
      </c>
      <c r="B947" t="str">
        <f>"1551598677939489"</f>
        <v>1551598677939489</v>
      </c>
      <c r="C947" t="s">
        <v>40</v>
      </c>
      <c r="D947">
        <v>4.1339139999999999</v>
      </c>
      <c r="E947">
        <v>0.50561449999999997</v>
      </c>
      <c r="F947" t="s">
        <v>41</v>
      </c>
      <c r="G947">
        <v>-158.19499999999999</v>
      </c>
      <c r="H947">
        <v>2.1060979999999998</v>
      </c>
      <c r="I947">
        <v>364.8415</v>
      </c>
      <c r="J947">
        <v>-318.72340000000003</v>
      </c>
      <c r="K947">
        <v>1.1158459999999999</v>
      </c>
      <c r="L947">
        <v>367.13049999999998</v>
      </c>
      <c r="M947">
        <v>0.99991589999999997</v>
      </c>
      <c r="N947">
        <v>-8.8584619999999992E-3</v>
      </c>
      <c r="O947">
        <v>-9.4881110000000005E-3</v>
      </c>
      <c r="P947">
        <v>0.99762609999999996</v>
      </c>
      <c r="Q947">
        <v>-6.8866810000000001E-2</v>
      </c>
      <c r="R947">
        <v>1.9312560000000001E-4</v>
      </c>
      <c r="S947">
        <v>3.0080870000000002</v>
      </c>
      <c r="T947">
        <v>1.8522980000000001E-2</v>
      </c>
      <c r="U947">
        <v>-4.2877199999999997E-2</v>
      </c>
      <c r="V947">
        <v>-9.7729229999999993E-3</v>
      </c>
      <c r="W947">
        <v>-6.000867E-2</v>
      </c>
      <c r="X947">
        <v>0.99814999999999998</v>
      </c>
      <c r="Y947">
        <v>4.7654769999999997E-3</v>
      </c>
      <c r="Z947">
        <v>-1.4890530000000001E-4</v>
      </c>
      <c r="AA947">
        <v>0.99998860000000001</v>
      </c>
      <c r="AB947">
        <v>38</v>
      </c>
      <c r="AC947">
        <v>160.5284</v>
      </c>
      <c r="AD947">
        <v>0.99025200000000002</v>
      </c>
      <c r="AE947">
        <v>-2.2889999999999802</v>
      </c>
      <c r="AF947">
        <v>0.76569701466724605</v>
      </c>
      <c r="AG947">
        <v>0.99025200000000002</v>
      </c>
      <c r="AH947">
        <v>160.536785035424</v>
      </c>
      <c r="AI947">
        <v>89.646586323906604</v>
      </c>
      <c r="AJ947">
        <v>89.726723849341994</v>
      </c>
      <c r="AK947">
        <v>160.541665122957</v>
      </c>
      <c r="AL947">
        <v>93.440310465134502</v>
      </c>
      <c r="AM947">
        <v>90.560967138640905</v>
      </c>
      <c r="AN947">
        <v>0.99999998649956601</v>
      </c>
    </row>
    <row r="948" spans="1:40" x14ac:dyDescent="0.25">
      <c r="A948" t="str">
        <f>"20190303153757960"</f>
        <v>20190303153757960</v>
      </c>
      <c r="B948" t="str">
        <f>"1551598677950224"</f>
        <v>1551598677950224</v>
      </c>
      <c r="C948" t="s">
        <v>40</v>
      </c>
      <c r="D948">
        <v>4.1269289999999996</v>
      </c>
      <c r="E948">
        <v>0.50563159999999996</v>
      </c>
      <c r="F948" t="s">
        <v>41</v>
      </c>
      <c r="G948">
        <v>-158.19499999999999</v>
      </c>
      <c r="H948">
        <v>1.928601</v>
      </c>
      <c r="I948">
        <v>364.89460000000003</v>
      </c>
      <c r="J948">
        <v>-318.4502</v>
      </c>
      <c r="K948">
        <v>1.115124</v>
      </c>
      <c r="L948">
        <v>367.12759999999997</v>
      </c>
      <c r="M948">
        <v>0.99990009999999996</v>
      </c>
      <c r="N948">
        <v>-1.0607699999999999E-2</v>
      </c>
      <c r="O948">
        <v>-9.342787E-3</v>
      </c>
      <c r="P948">
        <v>0.99750269999999996</v>
      </c>
      <c r="Q948">
        <v>-7.0628949999999996E-2</v>
      </c>
      <c r="R948" s="1">
        <v>4.0454789999999997E-5</v>
      </c>
      <c r="S948">
        <v>3.0082089999999999</v>
      </c>
      <c r="T948">
        <v>1.523221E-2</v>
      </c>
      <c r="U948">
        <v>-4.1900630000000001E-2</v>
      </c>
      <c r="V948">
        <v>-9.4673480000000004E-3</v>
      </c>
      <c r="W948">
        <v>-6.002743E-2</v>
      </c>
      <c r="X948">
        <v>0.99815180000000003</v>
      </c>
      <c r="Y948">
        <v>4.5856109999999999E-3</v>
      </c>
      <c r="Z948">
        <v>-1.5912190000000001E-4</v>
      </c>
      <c r="AA948">
        <v>0.99998940000000003</v>
      </c>
      <c r="AB948">
        <v>38</v>
      </c>
      <c r="AC948">
        <v>160.2552</v>
      </c>
      <c r="AD948">
        <v>0.81347699999999901</v>
      </c>
      <c r="AE948">
        <v>-2.2329999999999401</v>
      </c>
      <c r="AF948">
        <v>0.73556915307935</v>
      </c>
      <c r="AG948">
        <v>0.81347699999999901</v>
      </c>
      <c r="AH948">
        <v>160.26493975771501</v>
      </c>
      <c r="AI948">
        <v>89.709182134691005</v>
      </c>
      <c r="AJ948">
        <v>89.737030992898895</v>
      </c>
      <c r="AK948">
        <v>160.26869227129899</v>
      </c>
      <c r="AL948">
        <v>93.441387333936703</v>
      </c>
      <c r="AM948">
        <v>90.543427180107699</v>
      </c>
      <c r="AN948">
        <v>0.99999996943689795</v>
      </c>
    </row>
    <row r="949" spans="1:40" x14ac:dyDescent="0.25">
      <c r="A949" t="str">
        <f>"20190303153757974"</f>
        <v>20190303153757974</v>
      </c>
      <c r="B949" t="str">
        <f>"1551598677969745"</f>
        <v>1551598677969745</v>
      </c>
      <c r="C949" t="s">
        <v>40</v>
      </c>
      <c r="D949">
        <v>4.1162340000000004</v>
      </c>
      <c r="E949">
        <v>0.50566959999999905</v>
      </c>
      <c r="F949" t="s">
        <v>41</v>
      </c>
      <c r="G949">
        <v>-158.19499999999999</v>
      </c>
      <c r="H949">
        <v>1.6666759999999901</v>
      </c>
      <c r="I949">
        <v>364.86619999999999</v>
      </c>
      <c r="J949">
        <v>-318.22559999999999</v>
      </c>
      <c r="K949">
        <v>1.1144510000000001</v>
      </c>
      <c r="L949">
        <v>367.12520000000001</v>
      </c>
      <c r="M949">
        <v>0.99988449999999995</v>
      </c>
      <c r="N949">
        <v>-1.202809E-2</v>
      </c>
      <c r="O949">
        <v>-9.2847510000000008E-3</v>
      </c>
      <c r="P949">
        <v>0.99740649999999997</v>
      </c>
      <c r="Q949">
        <v>-7.1974389999999999E-2</v>
      </c>
      <c r="R949">
        <v>-1.204804E-4</v>
      </c>
      <c r="S949">
        <v>3.0082399999999998</v>
      </c>
      <c r="T949">
        <v>1.0355110000000001E-2</v>
      </c>
      <c r="U949">
        <v>-4.244995E-2</v>
      </c>
      <c r="V949">
        <v>-9.2394039999999997E-3</v>
      </c>
      <c r="W949">
        <v>-5.9957709999999997E-2</v>
      </c>
      <c r="X949">
        <v>0.9981582</v>
      </c>
      <c r="Y949">
        <v>4.8258980000000003E-3</v>
      </c>
      <c r="Z949">
        <v>-1.643557E-4</v>
      </c>
      <c r="AA949">
        <v>0.99998830000000005</v>
      </c>
      <c r="AB949">
        <v>38</v>
      </c>
      <c r="AC949">
        <v>160.03059999999999</v>
      </c>
      <c r="AD949">
        <v>0.55222499999999897</v>
      </c>
      <c r="AE949">
        <v>-2.2590000000000101</v>
      </c>
      <c r="AF949">
        <v>0.77294156598957198</v>
      </c>
      <c r="AG949">
        <v>0.55222499999999897</v>
      </c>
      <c r="AH949">
        <v>160.042771422784</v>
      </c>
      <c r="AI949">
        <v>89.802304927604496</v>
      </c>
      <c r="AJ949">
        <v>89.723286813724798</v>
      </c>
      <c r="AK949">
        <v>160.04559061655101</v>
      </c>
      <c r="AL949">
        <v>93.437385211164496</v>
      </c>
      <c r="AM949">
        <v>90.530340516959896</v>
      </c>
      <c r="AN949">
        <v>1.0000000429009701</v>
      </c>
    </row>
    <row r="950" spans="1:40" x14ac:dyDescent="0.25">
      <c r="A950" t="str">
        <f>"20190303153757994"</f>
        <v>20190303153757994</v>
      </c>
      <c r="B950" t="str">
        <f>"1551598677990241"</f>
        <v>1551598677990241</v>
      </c>
      <c r="C950" t="s">
        <v>40</v>
      </c>
      <c r="D950">
        <v>4.1192609999999998</v>
      </c>
      <c r="E950">
        <v>0.50571449999999996</v>
      </c>
      <c r="F950" t="s">
        <v>41</v>
      </c>
      <c r="G950">
        <v>-158.19499999999999</v>
      </c>
      <c r="H950">
        <v>1.502793</v>
      </c>
      <c r="I950">
        <v>364.82</v>
      </c>
      <c r="J950">
        <v>-317.88560000000001</v>
      </c>
      <c r="K950">
        <v>1.113218</v>
      </c>
      <c r="L950">
        <v>367.1216</v>
      </c>
      <c r="M950">
        <v>0.99985760000000001</v>
      </c>
      <c r="N950">
        <v>-1.405553E-2</v>
      </c>
      <c r="O950">
        <v>-9.3393969999999993E-3</v>
      </c>
      <c r="P950">
        <v>0.99727080000000001</v>
      </c>
      <c r="Q950">
        <v>-7.3831889999999997E-2</v>
      </c>
      <c r="R950">
        <v>-2.283946E-4</v>
      </c>
      <c r="S950">
        <v>3.0083009999999999</v>
      </c>
      <c r="T950">
        <v>7.3018069999999996E-3</v>
      </c>
      <c r="U950">
        <v>-4.3334959999999999E-2</v>
      </c>
      <c r="V950">
        <v>-9.1671500000000006E-3</v>
      </c>
      <c r="W950">
        <v>-5.9795729999999998E-2</v>
      </c>
      <c r="X950">
        <v>0.99816850000000001</v>
      </c>
      <c r="Y950">
        <v>5.0649969999999999E-3</v>
      </c>
      <c r="Z950">
        <v>-1.8339149999999999E-4</v>
      </c>
      <c r="AA950">
        <v>0.99998719999999996</v>
      </c>
      <c r="AB950">
        <v>38</v>
      </c>
      <c r="AC950">
        <v>159.69059999999999</v>
      </c>
      <c r="AD950">
        <v>0.389575</v>
      </c>
      <c r="AE950">
        <v>-2.3016000000000001</v>
      </c>
      <c r="AF950">
        <v>0.80993353009992197</v>
      </c>
      <c r="AG950">
        <v>0.389575</v>
      </c>
      <c r="AH950">
        <v>159.70418142285601</v>
      </c>
      <c r="AI950">
        <v>89.860237397705504</v>
      </c>
      <c r="AJ950">
        <v>89.709429178962097</v>
      </c>
      <c r="AK950">
        <v>159.706710331621</v>
      </c>
      <c r="AL950">
        <v>93.428088043428502</v>
      </c>
      <c r="AM950">
        <v>90.526187951995198</v>
      </c>
      <c r="AN950">
        <v>0.999999960178801</v>
      </c>
    </row>
    <row r="951" spans="1:40" x14ac:dyDescent="0.25">
      <c r="A951" t="str">
        <f>"20190303153758007"</f>
        <v>20190303153758007</v>
      </c>
      <c r="B951" t="str">
        <f>"1551598678000000"</f>
        <v>1551598678000000</v>
      </c>
      <c r="C951" t="s">
        <v>40</v>
      </c>
      <c r="D951">
        <v>4.1456809999999997</v>
      </c>
      <c r="E951">
        <v>0.5057353</v>
      </c>
      <c r="F951" t="s">
        <v>41</v>
      </c>
      <c r="G951">
        <v>-158.19499999999999</v>
      </c>
      <c r="H951">
        <v>1.2519690000000001</v>
      </c>
      <c r="I951">
        <v>364.77440000000001</v>
      </c>
      <c r="J951">
        <v>-317.63490000000002</v>
      </c>
      <c r="K951">
        <v>1.11215</v>
      </c>
      <c r="L951">
        <v>367.1191</v>
      </c>
      <c r="M951">
        <v>0.99983619999999995</v>
      </c>
      <c r="N951">
        <v>-1.542665E-2</v>
      </c>
      <c r="O951">
        <v>-9.4613530000000005E-3</v>
      </c>
      <c r="P951">
        <v>0.99717990000000001</v>
      </c>
      <c r="Q951">
        <v>-7.5047779999999994E-2</v>
      </c>
      <c r="R951">
        <v>-5.3339670000000002E-4</v>
      </c>
      <c r="S951">
        <v>3.0083920000000002</v>
      </c>
      <c r="T951">
        <v>2.6155710000000001E-3</v>
      </c>
      <c r="U951">
        <v>-4.4219969999999997E-2</v>
      </c>
      <c r="V951">
        <v>-8.9682749999999995E-3</v>
      </c>
      <c r="W951">
        <v>-5.9646440000000002E-2</v>
      </c>
      <c r="X951">
        <v>0.99817929999999999</v>
      </c>
      <c r="Y951">
        <v>5.2364589999999997E-3</v>
      </c>
      <c r="Z951">
        <v>-1.9230540000000001E-4</v>
      </c>
      <c r="AA951">
        <v>0.99998629999999999</v>
      </c>
      <c r="AB951">
        <v>38</v>
      </c>
      <c r="AC951">
        <v>159.43989999999999</v>
      </c>
      <c r="AD951">
        <v>0.139819</v>
      </c>
      <c r="AE951">
        <v>-2.34469999999998</v>
      </c>
      <c r="AF951">
        <v>0.83589762047878502</v>
      </c>
      <c r="AG951">
        <v>0.139819</v>
      </c>
      <c r="AH951">
        <v>159.45482591194099</v>
      </c>
      <c r="AI951">
        <v>89.949760526695499</v>
      </c>
      <c r="AJ951">
        <v>89.699645546793903</v>
      </c>
      <c r="AK951">
        <v>159.45707817714501</v>
      </c>
      <c r="AL951">
        <v>93.419518851964099</v>
      </c>
      <c r="AM951">
        <v>90.514767718807704</v>
      </c>
      <c r="AN951">
        <v>1.0000000213548099</v>
      </c>
    </row>
    <row r="952" spans="1:40" x14ac:dyDescent="0.25">
      <c r="A952" t="str">
        <f>"20190303153758020"</f>
        <v>20190303153758020</v>
      </c>
      <c r="B952" t="str">
        <f>"1551598678009761"</f>
        <v>1551598678009761</v>
      </c>
      <c r="C952" t="s">
        <v>40</v>
      </c>
      <c r="D952">
        <v>4.1252909999999998</v>
      </c>
      <c r="E952">
        <v>0.50576080000000001</v>
      </c>
      <c r="F952" t="s">
        <v>41</v>
      </c>
      <c r="G952">
        <v>-158.19499999999999</v>
      </c>
      <c r="H952">
        <v>1.076411</v>
      </c>
      <c r="I952">
        <v>364.71080000000001</v>
      </c>
      <c r="J952">
        <v>-317.42880000000002</v>
      </c>
      <c r="K952">
        <v>1.1111150000000001</v>
      </c>
      <c r="L952">
        <v>367.11700000000002</v>
      </c>
      <c r="M952">
        <v>0.99981949999999997</v>
      </c>
      <c r="N952">
        <v>-1.6402219999999999E-2</v>
      </c>
      <c r="O952">
        <v>-9.5930970000000001E-3</v>
      </c>
      <c r="P952">
        <v>0.99713099999999999</v>
      </c>
      <c r="Q952">
        <v>-7.5693060000000006E-2</v>
      </c>
      <c r="R952">
        <v>-7.6103179999999996E-4</v>
      </c>
      <c r="S952">
        <v>3.0084230000000001</v>
      </c>
      <c r="T952">
        <v>-6.72698E-4</v>
      </c>
      <c r="U952">
        <v>-4.5440670000000002E-2</v>
      </c>
      <c r="V952">
        <v>-8.8623060000000003E-3</v>
      </c>
      <c r="W952">
        <v>-5.9320020000000001E-2</v>
      </c>
      <c r="X952">
        <v>0.99819970000000002</v>
      </c>
      <c r="Y952">
        <v>5.5100180000000002E-3</v>
      </c>
      <c r="Z952">
        <v>-2.0101949999999999E-4</v>
      </c>
      <c r="AA952">
        <v>0.99998480000000001</v>
      </c>
      <c r="AB952">
        <v>38</v>
      </c>
      <c r="AC952">
        <v>159.2338</v>
      </c>
      <c r="AD952">
        <v>-3.4703999999999798E-2</v>
      </c>
      <c r="AE952">
        <v>-2.4061999999999499</v>
      </c>
      <c r="AF952">
        <v>0.87833846819225803</v>
      </c>
      <c r="AG952">
        <v>-3.4703999999999798E-2</v>
      </c>
      <c r="AH952">
        <v>159.24954936727499</v>
      </c>
      <c r="AI952">
        <v>90.012485827842596</v>
      </c>
      <c r="AJ952">
        <v>89.683989203644998</v>
      </c>
      <c r="AK952">
        <v>159.251975361414</v>
      </c>
      <c r="AL952">
        <v>93.400783182639699</v>
      </c>
      <c r="AM952">
        <v>90.508675157506801</v>
      </c>
      <c r="AN952">
        <v>1.0000000231602599</v>
      </c>
    </row>
    <row r="953" spans="1:40" x14ac:dyDescent="0.25">
      <c r="A953" t="str">
        <f>"20190303153758032"</f>
        <v>20190303153758032</v>
      </c>
      <c r="B953" t="str">
        <f>"1551598678019522"</f>
        <v>1551598678019522</v>
      </c>
      <c r="C953" t="s">
        <v>40</v>
      </c>
      <c r="D953">
        <v>4.1364239999999999</v>
      </c>
      <c r="E953">
        <v>0.50577249999999996</v>
      </c>
      <c r="F953" t="s">
        <v>41</v>
      </c>
      <c r="G953">
        <v>-158.19499999999999</v>
      </c>
      <c r="H953">
        <v>0.98811579999999999</v>
      </c>
      <c r="I953">
        <v>364.66340000000002</v>
      </c>
      <c r="J953">
        <v>-317.2174</v>
      </c>
      <c r="K953">
        <v>1.1099889999999999</v>
      </c>
      <c r="L953">
        <v>367.11489999999998</v>
      </c>
      <c r="M953">
        <v>0.99980250000000004</v>
      </c>
      <c r="N953">
        <v>-1.7336790000000001E-2</v>
      </c>
      <c r="O953">
        <v>-9.7234379999999992E-3</v>
      </c>
      <c r="P953">
        <v>0.99707400000000002</v>
      </c>
      <c r="Q953">
        <v>-7.6437610000000003E-2</v>
      </c>
      <c r="R953">
        <v>-8.4432369999999895E-4</v>
      </c>
      <c r="S953">
        <v>3.0084230000000001</v>
      </c>
      <c r="T953">
        <v>-2.3221969999999998E-3</v>
      </c>
      <c r="U953">
        <v>-4.6356199999999903E-2</v>
      </c>
      <c r="V953">
        <v>-8.8995319999999999E-3</v>
      </c>
      <c r="W953">
        <v>-5.9133610000000003E-2</v>
      </c>
      <c r="X953">
        <v>0.99821040000000005</v>
      </c>
      <c r="Y953">
        <v>5.6837969999999896E-3</v>
      </c>
      <c r="Z953">
        <v>-2.1254640000000001E-4</v>
      </c>
      <c r="AA953">
        <v>0.99998379999999998</v>
      </c>
      <c r="AB953">
        <v>38</v>
      </c>
      <c r="AC953">
        <v>159.0224</v>
      </c>
      <c r="AD953">
        <v>-0.121873199999999</v>
      </c>
      <c r="AE953">
        <v>-2.4514999999999501</v>
      </c>
      <c r="AF953">
        <v>0.904906784778295</v>
      </c>
      <c r="AG953">
        <v>-0.121873199999999</v>
      </c>
      <c r="AH953">
        <v>159.038627356982</v>
      </c>
      <c r="AI953">
        <v>90.043905720989002</v>
      </c>
      <c r="AJ953">
        <v>89.673998820391702</v>
      </c>
      <c r="AK953">
        <v>159.04124842618401</v>
      </c>
      <c r="AL953">
        <v>93.390083993246293</v>
      </c>
      <c r="AM953">
        <v>90.510806252651193</v>
      </c>
      <c r="AN953">
        <v>0.999999994084805</v>
      </c>
    </row>
    <row r="954" spans="1:40" x14ac:dyDescent="0.25">
      <c r="A954" t="str">
        <f>"20190303153758044"</f>
        <v>20190303153758044</v>
      </c>
      <c r="B954" t="str">
        <f>"1551598678039789"</f>
        <v>1551598678039789</v>
      </c>
      <c r="C954" t="s">
        <v>40</v>
      </c>
      <c r="D954">
        <v>4.169441</v>
      </c>
      <c r="E954">
        <v>0.50582099999999997</v>
      </c>
      <c r="F954" t="s">
        <v>41</v>
      </c>
      <c r="G954">
        <v>-158.19499999999999</v>
      </c>
      <c r="H954">
        <v>0.87913349999999901</v>
      </c>
      <c r="I954">
        <v>364.65159999999997</v>
      </c>
      <c r="J954">
        <v>-317.02</v>
      </c>
      <c r="K954">
        <v>1.108816</v>
      </c>
      <c r="L954">
        <v>367.11290000000002</v>
      </c>
      <c r="M954">
        <v>0.99978820000000002</v>
      </c>
      <c r="N954">
        <v>-1.8087079999999998E-2</v>
      </c>
      <c r="O954">
        <v>-9.8289740000000007E-3</v>
      </c>
      <c r="P954">
        <v>0.99703399999999998</v>
      </c>
      <c r="Q954">
        <v>-7.6957960000000006E-2</v>
      </c>
      <c r="R954">
        <v>-9.3704110000000004E-4</v>
      </c>
      <c r="S954">
        <v>3.0083920000000002</v>
      </c>
      <c r="T954">
        <v>-4.3656830000000004E-3</v>
      </c>
      <c r="U954">
        <v>-4.6600339999999997E-2</v>
      </c>
      <c r="V954">
        <v>-8.9072660000000005E-3</v>
      </c>
      <c r="W954">
        <v>-5.8906220000000002E-2</v>
      </c>
      <c r="X954">
        <v>0.99822379999999999</v>
      </c>
      <c r="Y954">
        <v>5.6593869999999897E-3</v>
      </c>
      <c r="Z954">
        <v>-2.1882029999999999E-4</v>
      </c>
      <c r="AA954">
        <v>0.99998399999999998</v>
      </c>
      <c r="AB954">
        <v>38</v>
      </c>
      <c r="AC954">
        <v>158.82499999999999</v>
      </c>
      <c r="AD954">
        <v>-0.22968250000000001</v>
      </c>
      <c r="AE954">
        <v>-2.4613000000000498</v>
      </c>
      <c r="AF954">
        <v>0.89983713131807397</v>
      </c>
      <c r="AG954">
        <v>-0.22968250000000001</v>
      </c>
      <c r="AH954">
        <v>158.84118926794801</v>
      </c>
      <c r="AI954">
        <v>90.082847639250403</v>
      </c>
      <c r="AJ954">
        <v>89.675422234026101</v>
      </c>
      <c r="AK954">
        <v>158.843904097608</v>
      </c>
      <c r="AL954">
        <v>93.377032672394606</v>
      </c>
      <c r="AM954">
        <v>90.511243274758399</v>
      </c>
      <c r="AN954">
        <v>1.00000001851436</v>
      </c>
    </row>
    <row r="955" spans="1:40" x14ac:dyDescent="0.25">
      <c r="A955" t="str">
        <f>"20190303153758060"</f>
        <v>20190303153758060</v>
      </c>
      <c r="B955" t="str">
        <f>"1551598678049548"</f>
        <v>1551598678049548</v>
      </c>
      <c r="C955" t="s">
        <v>40</v>
      </c>
      <c r="D955">
        <v>4.1306440000000002</v>
      </c>
      <c r="E955">
        <v>0.50583480000000003</v>
      </c>
      <c r="F955" t="s">
        <v>41</v>
      </c>
      <c r="G955">
        <v>-158.19499999999999</v>
      </c>
      <c r="H955">
        <v>0.8275013</v>
      </c>
      <c r="I955">
        <v>364.61410000000001</v>
      </c>
      <c r="J955">
        <v>-316.76170000000002</v>
      </c>
      <c r="K955">
        <v>1.1071679999999999</v>
      </c>
      <c r="L955">
        <v>367.1103</v>
      </c>
      <c r="M955">
        <v>0.99977199999999999</v>
      </c>
      <c r="N955">
        <v>-1.8912370000000001E-2</v>
      </c>
      <c r="O955">
        <v>-9.9280770000000004E-3</v>
      </c>
      <c r="P955">
        <v>0.99698880000000001</v>
      </c>
      <c r="Q955">
        <v>-7.7539759999999999E-2</v>
      </c>
      <c r="R955">
        <v>-1.1222579999999999E-3</v>
      </c>
      <c r="S955">
        <v>3.0084529999999998</v>
      </c>
      <c r="T955">
        <v>-5.3269859999999997E-3</v>
      </c>
      <c r="U955">
        <v>-4.7332760000000001E-2</v>
      </c>
      <c r="V955">
        <v>-8.817432E-3</v>
      </c>
      <c r="W955">
        <v>-5.8665290000000002E-2</v>
      </c>
      <c r="X955">
        <v>0.99823870000000003</v>
      </c>
      <c r="Y955">
        <v>5.8032630000000003E-3</v>
      </c>
      <c r="Z955">
        <v>-2.3022139999999999E-4</v>
      </c>
      <c r="AA955">
        <v>0.99998310000000001</v>
      </c>
      <c r="AB955">
        <v>38</v>
      </c>
      <c r="AC955">
        <v>158.5667</v>
      </c>
      <c r="AD955">
        <v>-0.27966669999999899</v>
      </c>
      <c r="AE955">
        <v>-2.49619999999998</v>
      </c>
      <c r="AF955">
        <v>0.92153027734681503</v>
      </c>
      <c r="AG955">
        <v>-0.27966669999999899</v>
      </c>
      <c r="AH955">
        <v>158.58317602785399</v>
      </c>
      <c r="AI955">
        <v>90.1010412001677</v>
      </c>
      <c r="AJ955">
        <v>89.667056729433696</v>
      </c>
      <c r="AK955">
        <v>158.586100117874</v>
      </c>
      <c r="AL955">
        <v>93.363204775015106</v>
      </c>
      <c r="AM955">
        <v>90.506079859918202</v>
      </c>
      <c r="AN955">
        <v>0.99999993276777199</v>
      </c>
    </row>
    <row r="956" spans="1:40" x14ac:dyDescent="0.25">
      <c r="A956" t="str">
        <f>"20190303153758071"</f>
        <v>20190303153758071</v>
      </c>
      <c r="B956" t="str">
        <f>"1551598678060284"</f>
        <v>1551598678060284</v>
      </c>
      <c r="C956" t="s">
        <v>40</v>
      </c>
      <c r="D956">
        <v>4.1692419999999997</v>
      </c>
      <c r="E956">
        <v>0.50586129999999996</v>
      </c>
      <c r="F956" t="s">
        <v>41</v>
      </c>
      <c r="G956">
        <v>-158.19499999999999</v>
      </c>
      <c r="H956">
        <v>0.7470329</v>
      </c>
      <c r="I956">
        <v>364.5641</v>
      </c>
      <c r="J956">
        <v>-316.57190000000003</v>
      </c>
      <c r="K956">
        <v>1.105904</v>
      </c>
      <c r="L956">
        <v>367.10829999999999</v>
      </c>
      <c r="M956">
        <v>0.99976120000000002</v>
      </c>
      <c r="N956">
        <v>-1.944183E-2</v>
      </c>
      <c r="O956">
        <v>-9.983736E-3</v>
      </c>
      <c r="P956">
        <v>0.99694870000000002</v>
      </c>
      <c r="Q956">
        <v>-7.8054040000000005E-2</v>
      </c>
      <c r="R956">
        <v>-1.103929E-3</v>
      </c>
      <c r="S956">
        <v>3.0084840000000002</v>
      </c>
      <c r="T956">
        <v>-6.8311689999999998E-3</v>
      </c>
      <c r="U956">
        <v>-4.8309329999999998E-2</v>
      </c>
      <c r="V956">
        <v>-8.8897899999999998E-3</v>
      </c>
      <c r="W956">
        <v>-5.8651780000000001E-2</v>
      </c>
      <c r="X956">
        <v>0.99823890000000004</v>
      </c>
      <c r="Y956">
        <v>6.0718159999999998E-3</v>
      </c>
      <c r="Z956">
        <v>-2.373756E-4</v>
      </c>
      <c r="AA956">
        <v>0.99998149999999997</v>
      </c>
      <c r="AB956">
        <v>38</v>
      </c>
      <c r="AC956">
        <v>158.37690000000001</v>
      </c>
      <c r="AD956">
        <v>-0.358871099999999</v>
      </c>
      <c r="AE956">
        <v>-2.54419999999998</v>
      </c>
      <c r="AF956">
        <v>0.96257622741346405</v>
      </c>
      <c r="AG956">
        <v>-0.358871099999999</v>
      </c>
      <c r="AH956">
        <v>158.39359608048099</v>
      </c>
      <c r="AI956">
        <v>90.129811968851698</v>
      </c>
      <c r="AJ956">
        <v>89.6518111986218</v>
      </c>
      <c r="AK956">
        <v>158.396927434741</v>
      </c>
      <c r="AL956">
        <v>93.362429212912005</v>
      </c>
      <c r="AM956">
        <v>90.510232553932099</v>
      </c>
      <c r="AN956">
        <v>0.99999998056831096</v>
      </c>
    </row>
    <row r="957" spans="1:40" x14ac:dyDescent="0.25">
      <c r="A957" t="str">
        <f>"20190303153758082"</f>
        <v>20190303153758082</v>
      </c>
      <c r="B957" t="str">
        <f>"1551598678070043"</f>
        <v>1551598678070043</v>
      </c>
      <c r="C957" t="s">
        <v>40</v>
      </c>
      <c r="D957">
        <v>4.1416329999999997</v>
      </c>
      <c r="E957">
        <v>0.50588310000000003</v>
      </c>
      <c r="F957" t="s">
        <v>41</v>
      </c>
      <c r="G957">
        <v>-158.19499999999999</v>
      </c>
      <c r="H957">
        <v>0.68271969999999904</v>
      </c>
      <c r="I957">
        <v>364.5684</v>
      </c>
      <c r="J957">
        <v>-316.37439999999998</v>
      </c>
      <c r="K957">
        <v>1.1045</v>
      </c>
      <c r="L957">
        <v>367.10629999999998</v>
      </c>
      <c r="M957">
        <v>0.99975309999999995</v>
      </c>
      <c r="N957">
        <v>-1.984412E-2</v>
      </c>
      <c r="O957">
        <v>-1.0015980000000001E-2</v>
      </c>
      <c r="P957">
        <v>0.99688330000000003</v>
      </c>
      <c r="Q957">
        <v>-7.888357E-2</v>
      </c>
      <c r="R957">
        <v>-1.210778E-3</v>
      </c>
      <c r="S957">
        <v>3.0085139999999999</v>
      </c>
      <c r="T957">
        <v>-8.0370900000000002E-3</v>
      </c>
      <c r="U957">
        <v>-4.8248289999999999E-2</v>
      </c>
      <c r="V957">
        <v>-8.8138799999999996E-3</v>
      </c>
      <c r="W957">
        <v>-5.9080859999999999E-2</v>
      </c>
      <c r="X957">
        <v>0.9982143</v>
      </c>
      <c r="Y957">
        <v>6.0190159999999899E-3</v>
      </c>
      <c r="Z957">
        <v>-2.3979010000000001E-4</v>
      </c>
      <c r="AA957">
        <v>0.99998189999999998</v>
      </c>
      <c r="AB957">
        <v>38</v>
      </c>
      <c r="AC957">
        <v>158.17939999999999</v>
      </c>
      <c r="AD957">
        <v>-0.4217803</v>
      </c>
      <c r="AE957">
        <v>-2.5378999999999698</v>
      </c>
      <c r="AF957">
        <v>0.95313242066876103</v>
      </c>
      <c r="AG957">
        <v>-0.4217803</v>
      </c>
      <c r="AH957">
        <v>158.19576247772599</v>
      </c>
      <c r="AI957">
        <v>90.152758422973406</v>
      </c>
      <c r="AJ957">
        <v>89.654796036389399</v>
      </c>
      <c r="AK957">
        <v>158.199196034436</v>
      </c>
      <c r="AL957">
        <v>93.387056291397897</v>
      </c>
      <c r="AM957">
        <v>90.505888366938393</v>
      </c>
      <c r="AN957">
        <v>1.0000000106117399</v>
      </c>
    </row>
    <row r="958" spans="1:40" x14ac:dyDescent="0.25">
      <c r="A958" t="str">
        <f>"20190303153758093"</f>
        <v>20190303153758093</v>
      </c>
      <c r="B958" t="str">
        <f>"1551598678089564"</f>
        <v>1551598678089564</v>
      </c>
      <c r="C958" t="s">
        <v>40</v>
      </c>
      <c r="D958">
        <v>4.1463929999999998</v>
      </c>
      <c r="E958">
        <v>0.50591699999999995</v>
      </c>
      <c r="F958" t="s">
        <v>41</v>
      </c>
      <c r="G958">
        <v>-158.19499999999999</v>
      </c>
      <c r="H958">
        <v>0.55999949999999998</v>
      </c>
      <c r="I958">
        <v>364.54230000000001</v>
      </c>
      <c r="J958">
        <v>-316.19850000000002</v>
      </c>
      <c r="K958">
        <v>1.1032310000000001</v>
      </c>
      <c r="L958">
        <v>367.10449999999997</v>
      </c>
      <c r="M958">
        <v>0.99974640000000004</v>
      </c>
      <c r="N958">
        <v>-2.016196E-2</v>
      </c>
      <c r="O958">
        <v>-1.0038E-2</v>
      </c>
      <c r="P958">
        <v>0.99685170000000001</v>
      </c>
      <c r="Q958">
        <v>-7.9279999999999906E-2</v>
      </c>
      <c r="R958">
        <v>-1.293382E-3</v>
      </c>
      <c r="S958">
        <v>3.0085139999999999</v>
      </c>
      <c r="T958">
        <v>-1.0354520000000001E-2</v>
      </c>
      <c r="U958">
        <v>-4.8767089999999999E-2</v>
      </c>
      <c r="V958">
        <v>-8.752915E-3</v>
      </c>
      <c r="W958">
        <v>-5.9160589999999999E-2</v>
      </c>
      <c r="X958">
        <v>0.99821009999999999</v>
      </c>
      <c r="Y958">
        <v>6.1691760000000002E-3</v>
      </c>
      <c r="Z958">
        <v>-2.4067660000000001E-4</v>
      </c>
      <c r="AA958">
        <v>0.99998089999999995</v>
      </c>
      <c r="AB958">
        <v>38</v>
      </c>
      <c r="AC958">
        <v>158.0035</v>
      </c>
      <c r="AD958">
        <v>-0.54323149999999898</v>
      </c>
      <c r="AE958">
        <v>-2.5621999999999598</v>
      </c>
      <c r="AF958">
        <v>0.97569783458147896</v>
      </c>
      <c r="AG958">
        <v>-0.54323149999999898</v>
      </c>
      <c r="AH958">
        <v>158.019393443849</v>
      </c>
      <c r="AI958">
        <v>90.196964155249901</v>
      </c>
      <c r="AJ958">
        <v>89.646229134533499</v>
      </c>
      <c r="AK958">
        <v>158.02333938722199</v>
      </c>
      <c r="AL958">
        <v>93.391632536825398</v>
      </c>
      <c r="AM958">
        <v>90.502391465686003</v>
      </c>
      <c r="AN958">
        <v>0.99999999633607695</v>
      </c>
    </row>
    <row r="959" spans="1:40" x14ac:dyDescent="0.25">
      <c r="A959" t="str">
        <f>"20190303153758104"</f>
        <v>20190303153758104</v>
      </c>
      <c r="B959" t="str">
        <f>"1551598678099324"</f>
        <v>1551598678099324</v>
      </c>
      <c r="C959" t="s">
        <v>40</v>
      </c>
      <c r="D959">
        <v>4.1377430000000004</v>
      </c>
      <c r="E959">
        <v>0.50593319999999997</v>
      </c>
      <c r="F959" t="s">
        <v>41</v>
      </c>
      <c r="G959">
        <v>-158.19499999999999</v>
      </c>
      <c r="H959">
        <v>0.52150730000000001</v>
      </c>
      <c r="I959">
        <v>364.50810000000001</v>
      </c>
      <c r="J959">
        <v>-316.00599999999997</v>
      </c>
      <c r="K959">
        <v>1.1018019999999999</v>
      </c>
      <c r="L959">
        <v>367.10250000000002</v>
      </c>
      <c r="M959">
        <v>0.99974079999999999</v>
      </c>
      <c r="N959">
        <v>-2.0427399999999998E-2</v>
      </c>
      <c r="O959">
        <v>-1.00491E-2</v>
      </c>
      <c r="P959">
        <v>0.99682009999999999</v>
      </c>
      <c r="Q959">
        <v>-7.9675060000000006E-2</v>
      </c>
      <c r="R959">
        <v>-1.265848E-3</v>
      </c>
      <c r="S959">
        <v>3.0085449999999998</v>
      </c>
      <c r="T959">
        <v>-1.10749E-2</v>
      </c>
      <c r="U959">
        <v>-4.943848E-2</v>
      </c>
      <c r="V959">
        <v>-8.7904490000000005E-3</v>
      </c>
      <c r="W959">
        <v>-5.929127E-2</v>
      </c>
      <c r="X959">
        <v>0.99820200000000003</v>
      </c>
      <c r="Y959">
        <v>6.3809230000000002E-3</v>
      </c>
      <c r="Z959">
        <v>-2.4523539999999998E-4</v>
      </c>
      <c r="AA959">
        <v>0.99997959999999997</v>
      </c>
      <c r="AB959">
        <v>38</v>
      </c>
      <c r="AC959">
        <v>157.81099999999901</v>
      </c>
      <c r="AD959">
        <v>-0.58029469999999905</v>
      </c>
      <c r="AE959">
        <v>-2.5943999999999998</v>
      </c>
      <c r="AF959">
        <v>1.0080657667271999</v>
      </c>
      <c r="AG959">
        <v>-0.58029469999999905</v>
      </c>
      <c r="AH959">
        <v>157.82697160354999</v>
      </c>
      <c r="AI959">
        <v>90.210658601973705</v>
      </c>
      <c r="AJ959">
        <v>89.634047793535998</v>
      </c>
      <c r="AK959">
        <v>157.83125769022001</v>
      </c>
      <c r="AL959">
        <v>93.399133172263802</v>
      </c>
      <c r="AM959">
        <v>90.504549789250603</v>
      </c>
      <c r="AN959">
        <v>0.99999997974791699</v>
      </c>
    </row>
    <row r="960" spans="1:40" x14ac:dyDescent="0.25">
      <c r="A960" t="str">
        <f>"20190303153758116"</f>
        <v>20190303153758116</v>
      </c>
      <c r="B960" t="str">
        <f>"1551598678110060"</f>
        <v>1551598678110060</v>
      </c>
      <c r="C960" t="s">
        <v>40</v>
      </c>
      <c r="D960">
        <v>4.1579689999999996</v>
      </c>
      <c r="E960">
        <v>0.50596579999999902</v>
      </c>
      <c r="F960" t="s">
        <v>41</v>
      </c>
      <c r="G960">
        <v>-158.19499999999999</v>
      </c>
      <c r="H960">
        <v>0.46978209999999998</v>
      </c>
      <c r="I960">
        <v>364.51569999999998</v>
      </c>
      <c r="J960">
        <v>-315.80619999999999</v>
      </c>
      <c r="K960">
        <v>1.1003039999999999</v>
      </c>
      <c r="L960">
        <v>367.10039999999998</v>
      </c>
      <c r="M960">
        <v>0.99973579999999995</v>
      </c>
      <c r="N960">
        <v>-2.066875E-2</v>
      </c>
      <c r="O960">
        <v>-1.006568E-2</v>
      </c>
      <c r="P960">
        <v>0.99678639999999996</v>
      </c>
      <c r="Q960">
        <v>-8.0097459999999995E-2</v>
      </c>
      <c r="R960">
        <v>-1.077833E-3</v>
      </c>
      <c r="S960">
        <v>3.0086059999999999</v>
      </c>
      <c r="T960">
        <v>-1.2047530000000001E-2</v>
      </c>
      <c r="U960">
        <v>-4.9316409999999998E-2</v>
      </c>
      <c r="V960">
        <v>-8.9935929999999994E-3</v>
      </c>
      <c r="W960">
        <v>-5.9473430000000001E-2</v>
      </c>
      <c r="X960">
        <v>0.9981894</v>
      </c>
      <c r="Y960">
        <v>6.3233550000000001E-3</v>
      </c>
      <c r="Z960">
        <v>-2.4578170000000001E-4</v>
      </c>
      <c r="AA960">
        <v>0.99997999999999998</v>
      </c>
      <c r="AB960">
        <v>38</v>
      </c>
      <c r="AC960">
        <v>157.6112</v>
      </c>
      <c r="AD960">
        <v>-0.63052189999999997</v>
      </c>
      <c r="AE960">
        <v>-2.58469999999999</v>
      </c>
      <c r="AF960">
        <v>0.99775030700107303</v>
      </c>
      <c r="AG960">
        <v>-0.63052189999999997</v>
      </c>
      <c r="AH960">
        <v>157.62671232124299</v>
      </c>
      <c r="AI960">
        <v>90.229182775245903</v>
      </c>
      <c r="AJ960">
        <v>89.637332294263302</v>
      </c>
      <c r="AK960">
        <v>157.631131128167</v>
      </c>
      <c r="AL960">
        <v>93.409588464648607</v>
      </c>
      <c r="AM960">
        <v>90.516215638665003</v>
      </c>
      <c r="AN960">
        <v>1.0000000259316799</v>
      </c>
    </row>
    <row r="961" spans="1:40" x14ac:dyDescent="0.25">
      <c r="A961" t="str">
        <f>"20190303153758127"</f>
        <v>20190303153758127</v>
      </c>
      <c r="B961" t="str">
        <f>"1551598678119820"</f>
        <v>1551598678119820</v>
      </c>
      <c r="C961" t="s">
        <v>40</v>
      </c>
      <c r="D961">
        <v>4.1481349999999999</v>
      </c>
      <c r="E961">
        <v>0.50599139999999998</v>
      </c>
      <c r="F961" t="s">
        <v>41</v>
      </c>
      <c r="G961">
        <v>-158.19499999999999</v>
      </c>
      <c r="H961">
        <v>0.4147844</v>
      </c>
      <c r="I961">
        <v>364.5265</v>
      </c>
      <c r="J961">
        <v>-315.61110000000002</v>
      </c>
      <c r="K961">
        <v>1.0988309999999999</v>
      </c>
      <c r="L961">
        <v>367.09840000000003</v>
      </c>
      <c r="M961">
        <v>0.99973120000000004</v>
      </c>
      <c r="N961">
        <v>-2.0880180000000002E-2</v>
      </c>
      <c r="O961">
        <v>-1.0085449999999999E-2</v>
      </c>
      <c r="P961">
        <v>0.99676310000000001</v>
      </c>
      <c r="Q961">
        <v>-8.0390420000000004E-2</v>
      </c>
      <c r="R961">
        <v>-1.0001070000000001E-3</v>
      </c>
      <c r="S961">
        <v>3.008575</v>
      </c>
      <c r="T961">
        <v>-1.3083930000000001E-2</v>
      </c>
      <c r="U961">
        <v>-4.9133299999999998E-2</v>
      </c>
      <c r="V961">
        <v>-9.0892179999999996E-3</v>
      </c>
      <c r="W961">
        <v>-5.9555990000000003E-2</v>
      </c>
      <c r="X961">
        <v>0.99818359999999995</v>
      </c>
      <c r="Y961">
        <v>6.2428120000000004E-3</v>
      </c>
      <c r="Z961">
        <v>-2.4551219999999999E-4</v>
      </c>
      <c r="AA961">
        <v>0.99998050000000005</v>
      </c>
      <c r="AB961">
        <v>38</v>
      </c>
      <c r="AC961">
        <v>157.4161</v>
      </c>
      <c r="AD961">
        <v>-0.68404659999999895</v>
      </c>
      <c r="AE961">
        <v>-2.5719000000000198</v>
      </c>
      <c r="AF961">
        <v>0.98379229683371305</v>
      </c>
      <c r="AG961">
        <v>-0.68404659999999895</v>
      </c>
      <c r="AH961">
        <v>157.43106284508801</v>
      </c>
      <c r="AI961">
        <v>90.248946876187901</v>
      </c>
      <c r="AJ961">
        <v>89.641961301639697</v>
      </c>
      <c r="AK961">
        <v>157.43562276552399</v>
      </c>
      <c r="AL961">
        <v>93.414327242679207</v>
      </c>
      <c r="AM961">
        <v>90.521707066616102</v>
      </c>
      <c r="AN961">
        <v>1.0000000145688399</v>
      </c>
    </row>
    <row r="962" spans="1:40" x14ac:dyDescent="0.25">
      <c r="A962" t="str">
        <f>"20190303153758138"</f>
        <v>20190303153758138</v>
      </c>
      <c r="B962" t="str">
        <f>"1551598678129580"</f>
        <v>1551598678129580</v>
      </c>
      <c r="C962" t="s">
        <v>40</v>
      </c>
      <c r="D962">
        <v>4.1591170000000002</v>
      </c>
      <c r="E962">
        <v>0.50601119999999999</v>
      </c>
      <c r="F962" t="s">
        <v>41</v>
      </c>
      <c r="G962">
        <v>-158.19499999999999</v>
      </c>
      <c r="H962">
        <v>0.38111260000000002</v>
      </c>
      <c r="I962">
        <v>364.51479999999998</v>
      </c>
      <c r="J962">
        <v>-315.43639999999999</v>
      </c>
      <c r="K962">
        <v>1.097515</v>
      </c>
      <c r="L962">
        <v>367.09660000000002</v>
      </c>
      <c r="M962">
        <v>0.99972799999999995</v>
      </c>
      <c r="N962">
        <v>-2.102043E-2</v>
      </c>
      <c r="O962">
        <v>-1.011858E-2</v>
      </c>
      <c r="P962">
        <v>0.99674700000000005</v>
      </c>
      <c r="Q962">
        <v>-8.0587770000000003E-2</v>
      </c>
      <c r="R962">
        <v>-1.08716E-3</v>
      </c>
      <c r="S962">
        <v>3.0085449999999998</v>
      </c>
      <c r="T962">
        <v>-1.3715389999999999E-2</v>
      </c>
      <c r="U962">
        <v>-4.9377440000000002E-2</v>
      </c>
      <c r="V962">
        <v>-9.0320720000000004E-3</v>
      </c>
      <c r="W962">
        <v>-5.9613979999999997E-2</v>
      </c>
      <c r="X962">
        <v>0.99818059999999997</v>
      </c>
      <c r="Y962">
        <v>6.2909039999999999E-3</v>
      </c>
      <c r="Z962">
        <v>-2.4706430000000001E-4</v>
      </c>
      <c r="AA962">
        <v>0.99998019999999999</v>
      </c>
      <c r="AB962">
        <v>38</v>
      </c>
      <c r="AC962">
        <v>157.2414</v>
      </c>
      <c r="AD962">
        <v>-0.71640239999999999</v>
      </c>
      <c r="AE962">
        <v>-2.5818000000000398</v>
      </c>
      <c r="AF962">
        <v>0.99023615894107098</v>
      </c>
      <c r="AG962">
        <v>-0.71640239999999999</v>
      </c>
      <c r="AH962">
        <v>157.25621311955601</v>
      </c>
      <c r="AI962">
        <v>90.261011857242494</v>
      </c>
      <c r="AJ962">
        <v>89.639215509370999</v>
      </c>
      <c r="AK962">
        <v>157.26096262185399</v>
      </c>
      <c r="AL962">
        <v>93.417655933848707</v>
      </c>
      <c r="AM962">
        <v>90.518428712154503</v>
      </c>
      <c r="AN962">
        <v>0.99999995757620497</v>
      </c>
    </row>
    <row r="963" spans="1:40" x14ac:dyDescent="0.25">
      <c r="A963" t="str">
        <f>"20190303153758151"</f>
        <v>20190303153758151</v>
      </c>
      <c r="B963" t="str">
        <f>"1551598678139340"</f>
        <v>1551598678139340</v>
      </c>
      <c r="C963" t="s">
        <v>40</v>
      </c>
      <c r="D963">
        <v>4.1206959999999997</v>
      </c>
      <c r="E963">
        <v>0.5060344</v>
      </c>
      <c r="F963" t="s">
        <v>41</v>
      </c>
      <c r="G963">
        <v>-158.19499999999999</v>
      </c>
      <c r="H963">
        <v>0.3564734</v>
      </c>
      <c r="I963">
        <v>364.51280000000003</v>
      </c>
      <c r="J963">
        <v>-315.23219999999998</v>
      </c>
      <c r="K963">
        <v>1.095977</v>
      </c>
      <c r="L963">
        <v>367.09449999999998</v>
      </c>
      <c r="M963">
        <v>0.99972439999999996</v>
      </c>
      <c r="N963">
        <v>-2.1166529999999999E-2</v>
      </c>
      <c r="O963">
        <v>-1.016157E-2</v>
      </c>
      <c r="P963">
        <v>0.99674390000000002</v>
      </c>
      <c r="Q963">
        <v>-8.062954E-2</v>
      </c>
      <c r="R963">
        <v>-9.3168250000000004E-4</v>
      </c>
      <c r="S963">
        <v>3.0086360000000001</v>
      </c>
      <c r="T963">
        <v>-1.417732E-2</v>
      </c>
      <c r="U963">
        <v>-4.943848E-2</v>
      </c>
      <c r="V963">
        <v>-9.2277520000000005E-3</v>
      </c>
      <c r="W963">
        <v>-5.9510309999999997E-2</v>
      </c>
      <c r="X963">
        <v>0.99818499999999999</v>
      </c>
      <c r="Y963">
        <v>6.2676340000000002E-3</v>
      </c>
      <c r="Z963">
        <v>-2.4834009999999998E-4</v>
      </c>
      <c r="AA963">
        <v>0.99998030000000004</v>
      </c>
      <c r="AB963">
        <v>38</v>
      </c>
      <c r="AC963">
        <v>157.03719999999899</v>
      </c>
      <c r="AD963">
        <v>-0.73950359999999904</v>
      </c>
      <c r="AE963">
        <v>-2.5816999999999499</v>
      </c>
      <c r="AF963">
        <v>0.985442839232055</v>
      </c>
      <c r="AG963">
        <v>-0.73950359999999904</v>
      </c>
      <c r="AH963">
        <v>157.05184674610501</v>
      </c>
      <c r="AI963">
        <v>90.269778986479494</v>
      </c>
      <c r="AJ963">
        <v>89.640494678404707</v>
      </c>
      <c r="AK963">
        <v>157.05667935342899</v>
      </c>
      <c r="AL963">
        <v>93.411705502987402</v>
      </c>
      <c r="AM963">
        <v>90.529657511690402</v>
      </c>
      <c r="AN963">
        <v>0.99999996131413404</v>
      </c>
    </row>
    <row r="964" spans="1:40" x14ac:dyDescent="0.25">
      <c r="A964" t="str">
        <f>"20190303153758164"</f>
        <v>20190303153758164</v>
      </c>
      <c r="B964" t="str">
        <f>"1551598678159836"</f>
        <v>1551598678159836</v>
      </c>
      <c r="C964" t="s">
        <v>40</v>
      </c>
      <c r="D964">
        <v>4.1542000000000003</v>
      </c>
      <c r="E964">
        <v>0.50606790000000001</v>
      </c>
      <c r="F964" t="s">
        <v>41</v>
      </c>
      <c r="G964">
        <v>-158.19499999999999</v>
      </c>
      <c r="H964">
        <v>0.35737039999999998</v>
      </c>
      <c r="I964">
        <v>364.53309999999999</v>
      </c>
      <c r="J964">
        <v>-314.9914</v>
      </c>
      <c r="K964">
        <v>1.094184</v>
      </c>
      <c r="L964">
        <v>367.09190000000001</v>
      </c>
      <c r="M964">
        <v>0.99972220000000001</v>
      </c>
      <c r="N964">
        <v>-2.124096E-2</v>
      </c>
      <c r="O964">
        <v>-1.022759E-2</v>
      </c>
      <c r="P964">
        <v>0.9967549</v>
      </c>
      <c r="Q964">
        <v>-8.0493549999999997E-2</v>
      </c>
      <c r="R964">
        <v>-9.2006070000000002E-4</v>
      </c>
      <c r="S964">
        <v>3.0086059999999999</v>
      </c>
      <c r="T964">
        <v>-1.414895E-2</v>
      </c>
      <c r="U964">
        <v>-4.9072270000000001E-2</v>
      </c>
      <c r="V964">
        <v>-9.3021200000000005E-3</v>
      </c>
      <c r="W964">
        <v>-5.9300279999999997E-2</v>
      </c>
      <c r="X964">
        <v>0.9981968</v>
      </c>
      <c r="Y964">
        <v>6.0801079999999999E-3</v>
      </c>
      <c r="Z964">
        <v>-2.4805489999999998E-4</v>
      </c>
      <c r="AA964">
        <v>0.99998149999999997</v>
      </c>
      <c r="AB964">
        <v>38</v>
      </c>
      <c r="AC964">
        <v>156.79640000000001</v>
      </c>
      <c r="AD964">
        <v>-0.73681359999999996</v>
      </c>
      <c r="AE964">
        <v>-2.5588000000000202</v>
      </c>
      <c r="AF964">
        <v>0.95463405828761205</v>
      </c>
      <c r="AG964">
        <v>-0.73681359999999996</v>
      </c>
      <c r="AH964">
        <v>156.81090979777699</v>
      </c>
      <c r="AI964">
        <v>90.269210966778701</v>
      </c>
      <c r="AJ964">
        <v>89.651198842631203</v>
      </c>
      <c r="AK964">
        <v>156.81554658921101</v>
      </c>
      <c r="AL964">
        <v>93.3996504113328</v>
      </c>
      <c r="AM964">
        <v>90.533919552880604</v>
      </c>
      <c r="AN964">
        <v>0.999999952087405</v>
      </c>
    </row>
    <row r="965" spans="1:40" x14ac:dyDescent="0.25">
      <c r="A965" t="str">
        <f>"20190303153758178"</f>
        <v>20190303153758178</v>
      </c>
      <c r="B965" t="str">
        <f>"1551598678169596"</f>
        <v>1551598678169596</v>
      </c>
      <c r="C965" t="s">
        <v>40</v>
      </c>
      <c r="D965">
        <v>4.1138810000000001</v>
      </c>
      <c r="E965">
        <v>0.50607709999999995</v>
      </c>
      <c r="F965" t="s">
        <v>41</v>
      </c>
      <c r="G965">
        <v>-158.19499999999999</v>
      </c>
      <c r="H965">
        <v>0.40000059999999998</v>
      </c>
      <c r="I965">
        <v>364.5059</v>
      </c>
      <c r="J965">
        <v>-314.76260000000002</v>
      </c>
      <c r="K965">
        <v>1.0925180000000001</v>
      </c>
      <c r="L965">
        <v>367.08960000000002</v>
      </c>
      <c r="M965">
        <v>0.99972130000000003</v>
      </c>
      <c r="N965">
        <v>-2.1242090000000002E-2</v>
      </c>
      <c r="O965">
        <v>-1.028951E-2</v>
      </c>
      <c r="P965">
        <v>0.99676480000000001</v>
      </c>
      <c r="Q965">
        <v>-8.0371629999999999E-2</v>
      </c>
      <c r="R965">
        <v>-6.1556209999999998E-4</v>
      </c>
      <c r="S965">
        <v>3.0086360000000001</v>
      </c>
      <c r="T965">
        <v>-1.3318419999999999E-2</v>
      </c>
      <c r="U965">
        <v>-4.9621579999999998E-2</v>
      </c>
      <c r="V965">
        <v>-9.666315E-3</v>
      </c>
      <c r="W965">
        <v>-5.9177359999999998E-2</v>
      </c>
      <c r="X965">
        <v>0.99820070000000005</v>
      </c>
      <c r="Y965">
        <v>6.200601E-3</v>
      </c>
      <c r="Z965">
        <v>-2.5264189999999999E-4</v>
      </c>
      <c r="AA965">
        <v>0.99998069999999895</v>
      </c>
      <c r="AB965">
        <v>38</v>
      </c>
      <c r="AC965">
        <v>156.5676</v>
      </c>
      <c r="AD965">
        <v>-0.69251739999999995</v>
      </c>
      <c r="AE965">
        <v>-2.5837000000000199</v>
      </c>
      <c r="AF965">
        <v>0.97217649523687899</v>
      </c>
      <c r="AG965">
        <v>-0.69251739999999995</v>
      </c>
      <c r="AH965">
        <v>156.582836274454</v>
      </c>
      <c r="AI965">
        <v>90.253394955527497</v>
      </c>
      <c r="AJ965">
        <v>89.644272030498001</v>
      </c>
      <c r="AK965">
        <v>156.58738558146899</v>
      </c>
      <c r="AL965">
        <v>93.392595001442203</v>
      </c>
      <c r="AM965">
        <v>90.554820029548296</v>
      </c>
      <c r="AN965">
        <v>1.0000000175313599</v>
      </c>
    </row>
    <row r="966" spans="1:40" x14ac:dyDescent="0.25">
      <c r="A966" t="str">
        <f>"20190303153758196"</f>
        <v>20190303153758196</v>
      </c>
      <c r="B966" t="str">
        <f>"1551598678190092"</f>
        <v>1551598678190092</v>
      </c>
      <c r="C966" t="s">
        <v>40</v>
      </c>
      <c r="D966">
        <v>4.1428560000000001</v>
      </c>
      <c r="E966">
        <v>0.50611149999999905</v>
      </c>
      <c r="F966" t="s">
        <v>41</v>
      </c>
      <c r="G966">
        <v>-158.19499999999999</v>
      </c>
      <c r="H966">
        <v>0.4263151</v>
      </c>
      <c r="I966">
        <v>364.55020000000002</v>
      </c>
      <c r="J966">
        <v>-314.47340000000003</v>
      </c>
      <c r="K966">
        <v>1.090463</v>
      </c>
      <c r="L966">
        <v>367.0865</v>
      </c>
      <c r="M966">
        <v>0.99972249999999996</v>
      </c>
      <c r="N966">
        <v>-2.1157659999999998E-2</v>
      </c>
      <c r="O966">
        <v>-1.036141E-2</v>
      </c>
      <c r="P966">
        <v>0.99676160000000003</v>
      </c>
      <c r="Q966">
        <v>-8.0413639999999995E-2</v>
      </c>
      <c r="R966" s="1">
        <v>-4.9436930000000003E-5</v>
      </c>
      <c r="S966">
        <v>3.008667</v>
      </c>
      <c r="T966">
        <v>-1.280034E-2</v>
      </c>
      <c r="U966">
        <v>-4.8797609999999998E-2</v>
      </c>
      <c r="V966">
        <v>-1.0301670000000001E-2</v>
      </c>
      <c r="W966">
        <v>-5.9303990000000001E-2</v>
      </c>
      <c r="X966">
        <v>0.99818680000000004</v>
      </c>
      <c r="Y966">
        <v>5.8548100000000002E-3</v>
      </c>
      <c r="Z966">
        <v>-2.4957039999999998E-4</v>
      </c>
      <c r="AA966">
        <v>0.99998279999999995</v>
      </c>
      <c r="AB966">
        <v>37</v>
      </c>
      <c r="AC966">
        <v>156.2784</v>
      </c>
      <c r="AD966">
        <v>-0.66414789999999901</v>
      </c>
      <c r="AE966">
        <v>-2.5362999999999798</v>
      </c>
      <c r="AF966">
        <v>0.916520179136046</v>
      </c>
      <c r="AG966">
        <v>-0.66414789999999901</v>
      </c>
      <c r="AH966">
        <v>156.29347060590001</v>
      </c>
      <c r="AI966">
        <v>90.243464990638401</v>
      </c>
      <c r="AJ966">
        <v>89.664015803205501</v>
      </c>
      <c r="AK966">
        <v>156.297568937297</v>
      </c>
      <c r="AL966">
        <v>93.399863232346803</v>
      </c>
      <c r="AM966">
        <v>90.591293391827904</v>
      </c>
      <c r="AN966">
        <v>0.99999998766447395</v>
      </c>
    </row>
    <row r="967" spans="1:40" x14ac:dyDescent="0.25">
      <c r="A967" t="str">
        <f>"20190303153758207"</f>
        <v>20190303153758207</v>
      </c>
      <c r="B967" t="str">
        <f>"1551598678199853"</f>
        <v>1551598678199853</v>
      </c>
      <c r="C967" t="s">
        <v>40</v>
      </c>
      <c r="D967">
        <v>4.1332250000000004</v>
      </c>
      <c r="E967">
        <v>0.5061156</v>
      </c>
      <c r="F967" t="s">
        <v>41</v>
      </c>
      <c r="G967">
        <v>-158.19499999999999</v>
      </c>
      <c r="H967">
        <v>0.43622830000000001</v>
      </c>
      <c r="I967">
        <v>364.63909999999998</v>
      </c>
      <c r="J967">
        <v>-314.26650000000001</v>
      </c>
      <c r="K967">
        <v>1.089029</v>
      </c>
      <c r="L967">
        <v>367.08429999999998</v>
      </c>
      <c r="M967">
        <v>0.99972439999999996</v>
      </c>
      <c r="N967">
        <v>-2.1046949999999998E-2</v>
      </c>
      <c r="O967">
        <v>-1.040545E-2</v>
      </c>
      <c r="P967">
        <v>0.99675270000000005</v>
      </c>
      <c r="Q967">
        <v>-8.052484E-2</v>
      </c>
      <c r="R967">
        <v>2.613642E-4</v>
      </c>
      <c r="S967">
        <v>3.0087280000000001</v>
      </c>
      <c r="T967">
        <v>-1.259387E-2</v>
      </c>
      <c r="U967">
        <v>-4.7119139999999997E-2</v>
      </c>
      <c r="V967">
        <v>-1.065517E-2</v>
      </c>
      <c r="W967">
        <v>-5.9526019999999999E-2</v>
      </c>
      <c r="X967">
        <v>0.99816990000000005</v>
      </c>
      <c r="Y967">
        <v>5.2527729999999996E-3</v>
      </c>
      <c r="Z967">
        <v>-2.4175569999999999E-4</v>
      </c>
      <c r="AA967">
        <v>0.99998620000000005</v>
      </c>
      <c r="AB967">
        <v>37</v>
      </c>
      <c r="AC967">
        <v>156.07149999999999</v>
      </c>
      <c r="AD967">
        <v>-0.65280070000000001</v>
      </c>
      <c r="AE967">
        <v>-2.4451999999999998</v>
      </c>
      <c r="AF967">
        <v>0.82069930550677905</v>
      </c>
      <c r="AG967">
        <v>-0.65280070000000001</v>
      </c>
      <c r="AH967">
        <v>156.08576582376901</v>
      </c>
      <c r="AI967">
        <v>90.239624604387203</v>
      </c>
      <c r="AJ967">
        <v>89.698741439517704</v>
      </c>
      <c r="AK967">
        <v>156.08928851428701</v>
      </c>
      <c r="AL967">
        <v>93.412607036591496</v>
      </c>
      <c r="AM967">
        <v>90.611592359206497</v>
      </c>
      <c r="AN967">
        <v>1.00000001448538</v>
      </c>
    </row>
    <row r="968" spans="1:40" x14ac:dyDescent="0.25">
      <c r="A968" t="str">
        <f>"20190303153758220"</f>
        <v>20190303153758220</v>
      </c>
      <c r="B968" t="str">
        <f>"1551598678209612"</f>
        <v>1551598678209612</v>
      </c>
      <c r="C968" t="s">
        <v>40</v>
      </c>
      <c r="D968">
        <v>4.183897</v>
      </c>
      <c r="E968">
        <v>0.50614300000000001</v>
      </c>
      <c r="F968" t="s">
        <v>41</v>
      </c>
      <c r="G968">
        <v>-158.19499999999999</v>
      </c>
      <c r="H968">
        <v>0.426367</v>
      </c>
      <c r="I968">
        <v>364.68920000000003</v>
      </c>
      <c r="J968">
        <v>-314.0736</v>
      </c>
      <c r="K968">
        <v>1.0877760000000001</v>
      </c>
      <c r="L968">
        <v>367.0822</v>
      </c>
      <c r="M968">
        <v>0.99972740000000004</v>
      </c>
      <c r="N968">
        <v>-2.0894260000000001E-2</v>
      </c>
      <c r="O968">
        <v>-1.0436000000000001E-2</v>
      </c>
      <c r="P968">
        <v>0.99674969999999996</v>
      </c>
      <c r="Q968">
        <v>-8.0561270000000004E-2</v>
      </c>
      <c r="R968">
        <v>5.877864E-4</v>
      </c>
      <c r="S968">
        <v>3.008759</v>
      </c>
      <c r="T968">
        <v>-1.277316E-2</v>
      </c>
      <c r="U968">
        <v>-4.6173100000000002E-2</v>
      </c>
      <c r="V968">
        <v>-1.101154E-2</v>
      </c>
      <c r="W968">
        <v>-5.9715020000000001E-2</v>
      </c>
      <c r="X968">
        <v>0.99815469999999895</v>
      </c>
      <c r="Y968">
        <v>4.90772E-3</v>
      </c>
      <c r="Z968">
        <v>-2.3547309999999999E-4</v>
      </c>
      <c r="AA968">
        <v>0.99998790000000004</v>
      </c>
      <c r="AB968">
        <v>37</v>
      </c>
      <c r="AC968">
        <v>155.87860000000001</v>
      </c>
      <c r="AD968">
        <v>-0.66140900000000002</v>
      </c>
      <c r="AE968">
        <v>-2.39299999999997</v>
      </c>
      <c r="AF968">
        <v>0.76575185298277704</v>
      </c>
      <c r="AG968">
        <v>-0.66140900000000002</v>
      </c>
      <c r="AH968">
        <v>155.89228047261</v>
      </c>
      <c r="AI968">
        <v>90.243086184692203</v>
      </c>
      <c r="AJ968">
        <v>89.718562097295305</v>
      </c>
      <c r="AK968">
        <v>155.89556423682001</v>
      </c>
      <c r="AL968">
        <v>93.423455384230195</v>
      </c>
      <c r="AM968">
        <v>90.632055507147101</v>
      </c>
      <c r="AN968">
        <v>0.99999997137942997</v>
      </c>
    </row>
    <row r="969" spans="1:40" x14ac:dyDescent="0.25">
      <c r="A969" t="str">
        <f>"20190303153758232"</f>
        <v>20190303153758232</v>
      </c>
      <c r="B969" t="str">
        <f>"1551598678219373"</f>
        <v>1551598678219373</v>
      </c>
      <c r="C969" t="s">
        <v>40</v>
      </c>
      <c r="D969">
        <v>4.1347680000000002</v>
      </c>
      <c r="E969">
        <v>0.50615449999999995</v>
      </c>
      <c r="F969" t="s">
        <v>41</v>
      </c>
      <c r="G969">
        <v>-158.19499999999999</v>
      </c>
      <c r="H969">
        <v>0.4344132</v>
      </c>
      <c r="I969">
        <v>364.72489999999999</v>
      </c>
      <c r="J969">
        <v>-313.86810000000003</v>
      </c>
      <c r="K969">
        <v>1.08647</v>
      </c>
      <c r="L969">
        <v>367.08010000000002</v>
      </c>
      <c r="M969">
        <v>0.99973069999999997</v>
      </c>
      <c r="N969">
        <v>-2.0716950000000001E-2</v>
      </c>
      <c r="O969">
        <v>-1.046475E-2</v>
      </c>
      <c r="P969">
        <v>0.99675230000000004</v>
      </c>
      <c r="Q969">
        <v>-8.0524369999999998E-2</v>
      </c>
      <c r="R969">
        <v>8.7411679999999895E-4</v>
      </c>
      <c r="S969">
        <v>3.0088200000000001</v>
      </c>
      <c r="T969">
        <v>-1.260972E-2</v>
      </c>
      <c r="U969">
        <v>-4.5501710000000001E-2</v>
      </c>
      <c r="V969">
        <v>-1.132558E-2</v>
      </c>
      <c r="W969">
        <v>-5.9855270000000002E-2</v>
      </c>
      <c r="X969">
        <v>0.9981428</v>
      </c>
      <c r="Y969">
        <v>4.6556080000000003E-3</v>
      </c>
      <c r="Z969">
        <v>-2.3095599999999999E-4</v>
      </c>
      <c r="AA969">
        <v>0.99998920000000002</v>
      </c>
      <c r="AB969">
        <v>37</v>
      </c>
      <c r="AC969">
        <v>155.67310000000001</v>
      </c>
      <c r="AD969">
        <v>-0.65205679999999999</v>
      </c>
      <c r="AE969">
        <v>-2.3552000000000199</v>
      </c>
      <c r="AF969">
        <v>0.72562861620528296</v>
      </c>
      <c r="AG969">
        <v>-0.65205679999999999</v>
      </c>
      <c r="AH969">
        <v>155.68649318419801</v>
      </c>
      <c r="AI969">
        <v>90.239966086006703</v>
      </c>
      <c r="AJ969">
        <v>89.732955921202503</v>
      </c>
      <c r="AK969">
        <v>155.689549665199</v>
      </c>
      <c r="AL969">
        <v>93.431505468041294</v>
      </c>
      <c r="AM969">
        <v>90.650087430849396</v>
      </c>
      <c r="AN969">
        <v>0.99999998565047399</v>
      </c>
    </row>
    <row r="970" spans="1:40" x14ac:dyDescent="0.25">
      <c r="A970" t="str">
        <f>"20190303153758244"</f>
        <v>20190303153758244</v>
      </c>
      <c r="B970" t="str">
        <f>"1551598678239400"</f>
        <v>1551598678239400</v>
      </c>
      <c r="C970" t="s">
        <v>40</v>
      </c>
      <c r="D970">
        <v>4.1211580000000003</v>
      </c>
      <c r="E970">
        <v>0.50618370000000001</v>
      </c>
      <c r="F970" t="s">
        <v>41</v>
      </c>
      <c r="G970">
        <v>-158.19499999999999</v>
      </c>
      <c r="H970">
        <v>0.449548</v>
      </c>
      <c r="I970">
        <v>364.77170000000001</v>
      </c>
      <c r="J970">
        <v>-313.65969999999999</v>
      </c>
      <c r="K970">
        <v>1.0852360000000001</v>
      </c>
      <c r="L970">
        <v>367.0779</v>
      </c>
      <c r="M970">
        <v>0.99973480000000003</v>
      </c>
      <c r="N970">
        <v>-2.0506699999999999E-2</v>
      </c>
      <c r="O970">
        <v>-1.048588E-2</v>
      </c>
      <c r="P970">
        <v>0.99673520000000004</v>
      </c>
      <c r="Q970">
        <v>-8.0736429999999998E-2</v>
      </c>
      <c r="R970">
        <v>8.1468759999999904E-4</v>
      </c>
      <c r="S970">
        <v>3.0087890000000002</v>
      </c>
      <c r="T970">
        <v>-1.230848E-2</v>
      </c>
      <c r="U970">
        <v>-4.4616700000000002E-2</v>
      </c>
      <c r="V970">
        <v>-1.128579E-2</v>
      </c>
      <c r="W970">
        <v>-6.0277730000000002E-2</v>
      </c>
      <c r="X970">
        <v>0.9981179</v>
      </c>
      <c r="Y970">
        <v>4.34061E-3</v>
      </c>
      <c r="Z970">
        <v>-2.2555200000000001E-4</v>
      </c>
      <c r="AA970">
        <v>0.99999059999999995</v>
      </c>
      <c r="AB970">
        <v>37</v>
      </c>
      <c r="AC970">
        <v>155.46469999999999</v>
      </c>
      <c r="AD970">
        <v>-0.63568800000000003</v>
      </c>
      <c r="AE970">
        <v>-2.3061999999999898</v>
      </c>
      <c r="AF970">
        <v>0.67553492180244101</v>
      </c>
      <c r="AG970">
        <v>-0.63568800000000003</v>
      </c>
      <c r="AH970">
        <v>155.477737888409</v>
      </c>
      <c r="AI970">
        <v>90.234256641810305</v>
      </c>
      <c r="AJ970">
        <v>89.751057245236098</v>
      </c>
      <c r="AK970">
        <v>155.480504969468</v>
      </c>
      <c r="AL970">
        <v>93.455754177567698</v>
      </c>
      <c r="AM970">
        <v>90.647819842205095</v>
      </c>
      <c r="AN970">
        <v>1.00000005804514</v>
      </c>
    </row>
    <row r="971" spans="1:40" x14ac:dyDescent="0.25">
      <c r="A971" t="str">
        <f>"20190303153758255"</f>
        <v>20190303153758255</v>
      </c>
      <c r="B971" t="str">
        <f>"1551598678250135"</f>
        <v>1551598678250135</v>
      </c>
      <c r="C971" t="s">
        <v>40</v>
      </c>
      <c r="D971">
        <v>4.0993250000000003</v>
      </c>
      <c r="E971">
        <v>0.50619159999999996</v>
      </c>
      <c r="F971" t="s">
        <v>41</v>
      </c>
      <c r="G971">
        <v>-158.19499999999999</v>
      </c>
      <c r="H971">
        <v>0.44661640000000002</v>
      </c>
      <c r="I971">
        <v>364.73160000000001</v>
      </c>
      <c r="J971">
        <v>-313.47309999999999</v>
      </c>
      <c r="K971">
        <v>1.08419</v>
      </c>
      <c r="L971">
        <v>367.07589999999999</v>
      </c>
      <c r="M971">
        <v>0.99973880000000004</v>
      </c>
      <c r="N971">
        <v>-2.0306540000000001E-2</v>
      </c>
      <c r="O971">
        <v>-1.0499390000000001E-2</v>
      </c>
      <c r="P971">
        <v>0.99670579999999998</v>
      </c>
      <c r="Q971">
        <v>-8.1097649999999993E-2</v>
      </c>
      <c r="R971">
        <v>1.049927E-3</v>
      </c>
      <c r="S971">
        <v>3.0088200000000001</v>
      </c>
      <c r="T971">
        <v>-1.2357949999999999E-2</v>
      </c>
      <c r="U971">
        <v>-4.5410159999999998E-2</v>
      </c>
      <c r="V971">
        <v>-1.153383E-2</v>
      </c>
      <c r="W971">
        <v>-6.0839459999999998E-2</v>
      </c>
      <c r="X971">
        <v>0.99808090000000005</v>
      </c>
      <c r="Y971">
        <v>4.5905870000000001E-3</v>
      </c>
      <c r="Z971">
        <v>-2.2615220000000001E-4</v>
      </c>
      <c r="AA971">
        <v>0.99998940000000003</v>
      </c>
      <c r="AB971">
        <v>37</v>
      </c>
      <c r="AC971">
        <v>155.27809999999999</v>
      </c>
      <c r="AD971">
        <v>-0.63757359999999896</v>
      </c>
      <c r="AE971">
        <v>-2.3442999999999699</v>
      </c>
      <c r="AF971">
        <v>0.71349734396005604</v>
      </c>
      <c r="AG971">
        <v>-0.63757359999999896</v>
      </c>
      <c r="AH971">
        <v>155.29153880364501</v>
      </c>
      <c r="AI971">
        <v>90.235232942314596</v>
      </c>
      <c r="AJ971">
        <v>89.736752567724906</v>
      </c>
      <c r="AK971">
        <v>155.294486710119</v>
      </c>
      <c r="AL971">
        <v>93.487998399849403</v>
      </c>
      <c r="AM971">
        <v>90.662080966092105</v>
      </c>
      <c r="AN971">
        <v>0.99999997603618496</v>
      </c>
    </row>
    <row r="972" spans="1:40" x14ac:dyDescent="0.25">
      <c r="A972" t="str">
        <f>"20190303153758266"</f>
        <v>20190303153758266</v>
      </c>
      <c r="B972" t="str">
        <f>"1551598678259896"</f>
        <v>1551598678259896</v>
      </c>
      <c r="C972" t="s">
        <v>40</v>
      </c>
      <c r="D972">
        <v>4.1242099999999997</v>
      </c>
      <c r="E972">
        <v>0.50620859999999901</v>
      </c>
      <c r="F972" t="s">
        <v>41</v>
      </c>
      <c r="G972">
        <v>-158.19499999999999</v>
      </c>
      <c r="H972">
        <v>0.40147640000000001</v>
      </c>
      <c r="I972">
        <v>364.75439999999998</v>
      </c>
      <c r="J972">
        <v>-313.28750000000002</v>
      </c>
      <c r="K972">
        <v>1.0831900000000001</v>
      </c>
      <c r="L972">
        <v>367.07389999999998</v>
      </c>
      <c r="M972">
        <v>0.99974280000000004</v>
      </c>
      <c r="N972">
        <v>-2.0099039999999999E-2</v>
      </c>
      <c r="O972">
        <v>-1.0509040000000001E-2</v>
      </c>
      <c r="P972">
        <v>0.99671189999999998</v>
      </c>
      <c r="Q972">
        <v>-8.1023699999999907E-2</v>
      </c>
      <c r="R972">
        <v>8.0174429999999995E-4</v>
      </c>
      <c r="S972">
        <v>3.0088499999999998</v>
      </c>
      <c r="T972">
        <v>-1.3227340000000001E-2</v>
      </c>
      <c r="U972">
        <v>-4.4982910000000001E-2</v>
      </c>
      <c r="V972">
        <v>-1.1293879999999999E-2</v>
      </c>
      <c r="W972">
        <v>-6.0972760000000001E-2</v>
      </c>
      <c r="X972">
        <v>0.9980755</v>
      </c>
      <c r="Y972">
        <v>4.4387760000000002E-3</v>
      </c>
      <c r="Z972">
        <v>-2.1941880000000001E-4</v>
      </c>
      <c r="AA972">
        <v>0.99999009999999999</v>
      </c>
      <c r="AB972">
        <v>37</v>
      </c>
      <c r="AC972">
        <v>155.0925</v>
      </c>
      <c r="AD972">
        <v>-0.68171359999999903</v>
      </c>
      <c r="AE972">
        <v>-2.3195000000000001</v>
      </c>
      <c r="AF972">
        <v>0.68915601612606703</v>
      </c>
      <c r="AG972">
        <v>-0.68171359999999903</v>
      </c>
      <c r="AH972">
        <v>155.10531667402799</v>
      </c>
      <c r="AI972">
        <v>90.251820349649904</v>
      </c>
      <c r="AJ972">
        <v>89.745427995873698</v>
      </c>
      <c r="AK972">
        <v>155.108345778032</v>
      </c>
      <c r="AL972">
        <v>93.495650166466604</v>
      </c>
      <c r="AM972">
        <v>90.648311717594495</v>
      </c>
      <c r="AN972">
        <v>0.99999996644386002</v>
      </c>
    </row>
    <row r="973" spans="1:40" x14ac:dyDescent="0.25">
      <c r="A973" t="str">
        <f>"20190303153758279"</f>
        <v>20190303153758279</v>
      </c>
      <c r="B973" t="str">
        <f>"1551598678269656"</f>
        <v>1551598678269656</v>
      </c>
      <c r="C973" t="s">
        <v>40</v>
      </c>
      <c r="D973">
        <v>4.1134649999999997</v>
      </c>
      <c r="E973">
        <v>0.50622330000000004</v>
      </c>
      <c r="F973" t="s">
        <v>41</v>
      </c>
      <c r="G973">
        <v>-158.19499999999999</v>
      </c>
      <c r="H973">
        <v>0.4301682</v>
      </c>
      <c r="I973">
        <v>364.7081</v>
      </c>
      <c r="J973">
        <v>-313.09379999999999</v>
      </c>
      <c r="K973">
        <v>1.0822369999999999</v>
      </c>
      <c r="L973">
        <v>367.0718</v>
      </c>
      <c r="M973">
        <v>0.99974730000000001</v>
      </c>
      <c r="N973">
        <v>-1.9874630000000001E-2</v>
      </c>
      <c r="O973">
        <v>-1.051904E-2</v>
      </c>
      <c r="P973">
        <v>0.99673769999999995</v>
      </c>
      <c r="Q973">
        <v>-8.0707210000000001E-2</v>
      </c>
      <c r="R973">
        <v>7.3039359999999996E-4</v>
      </c>
      <c r="S973">
        <v>3.0089419999999998</v>
      </c>
      <c r="T973">
        <v>-1.266754E-2</v>
      </c>
      <c r="U973">
        <v>-4.5898439999999999E-2</v>
      </c>
      <c r="V973">
        <v>-1.1231120000000001E-2</v>
      </c>
      <c r="W973">
        <v>-6.0880120000000003E-2</v>
      </c>
      <c r="X973">
        <v>0.99808189999999997</v>
      </c>
      <c r="Y973">
        <v>4.732549E-3</v>
      </c>
      <c r="Z973">
        <v>-2.217993E-4</v>
      </c>
      <c r="AA973">
        <v>0.99998880000000001</v>
      </c>
      <c r="AB973">
        <v>37</v>
      </c>
      <c r="AC973">
        <v>154.89879999999999</v>
      </c>
      <c r="AD973">
        <v>-0.6520688</v>
      </c>
      <c r="AE973">
        <v>-2.3636999999999899</v>
      </c>
      <c r="AF973">
        <v>0.73384785486621495</v>
      </c>
      <c r="AG973">
        <v>-0.6520688</v>
      </c>
      <c r="AH973">
        <v>154.91235077170199</v>
      </c>
      <c r="AI973">
        <v>90.241169604395196</v>
      </c>
      <c r="AJ973">
        <v>89.728581548443401</v>
      </c>
      <c r="AK973">
        <v>154.91546129424501</v>
      </c>
      <c r="AL973">
        <v>93.490332278192398</v>
      </c>
      <c r="AM973">
        <v>90.644705225833107</v>
      </c>
      <c r="AN973">
        <v>1.0000000030876299</v>
      </c>
    </row>
    <row r="974" spans="1:40" x14ac:dyDescent="0.25">
      <c r="A974" t="str">
        <f>"20190303153758290"</f>
        <v>20190303153758290</v>
      </c>
      <c r="B974" t="str">
        <f>"1551598678279417"</f>
        <v>1551598678279417</v>
      </c>
      <c r="C974" t="s">
        <v>40</v>
      </c>
      <c r="D974">
        <v>4.1227819999999999</v>
      </c>
      <c r="E974">
        <v>0.50623999999999902</v>
      </c>
      <c r="F974" t="s">
        <v>41</v>
      </c>
      <c r="G974">
        <v>-158.19499999999999</v>
      </c>
      <c r="H974">
        <v>0.49572539999999998</v>
      </c>
      <c r="I974">
        <v>364.68860000000001</v>
      </c>
      <c r="J974">
        <v>-312.89890000000003</v>
      </c>
      <c r="K974">
        <v>1.0813090000000001</v>
      </c>
      <c r="L974">
        <v>367.06979999999999</v>
      </c>
      <c r="M974">
        <v>0.99975159999999996</v>
      </c>
      <c r="N974">
        <v>-1.964538E-2</v>
      </c>
      <c r="O974">
        <v>-1.052902E-2</v>
      </c>
      <c r="P974">
        <v>0.99677090000000002</v>
      </c>
      <c r="Q974">
        <v>-8.0294760000000007E-2</v>
      </c>
      <c r="R974">
        <v>6.0333230000000004E-4</v>
      </c>
      <c r="S974">
        <v>3.0089419999999998</v>
      </c>
      <c r="T974">
        <v>-1.1391399999999999E-2</v>
      </c>
      <c r="U974">
        <v>-4.6295169999999997E-2</v>
      </c>
      <c r="V974">
        <v>-1.1112260000000001E-2</v>
      </c>
      <c r="W974">
        <v>-6.0696269999999997E-2</v>
      </c>
      <c r="X974">
        <v>0.99809440000000005</v>
      </c>
      <c r="Y974">
        <v>4.8544970000000002E-3</v>
      </c>
      <c r="Z974">
        <v>-2.2388829999999999E-4</v>
      </c>
      <c r="AA974">
        <v>0.99998819999999999</v>
      </c>
      <c r="AB974">
        <v>37</v>
      </c>
      <c r="AC974">
        <v>154.7039</v>
      </c>
      <c r="AD974">
        <v>-0.58558359999999998</v>
      </c>
      <c r="AE974">
        <v>-2.38119999999997</v>
      </c>
      <c r="AF974">
        <v>0.75186236252539995</v>
      </c>
      <c r="AG974">
        <v>-0.58558359999999998</v>
      </c>
      <c r="AH974">
        <v>154.718181510991</v>
      </c>
      <c r="AI974">
        <v>90.216851776213801</v>
      </c>
      <c r="AJ974">
        <v>89.721569885149094</v>
      </c>
      <c r="AK974">
        <v>154.72111651365699</v>
      </c>
      <c r="AL974">
        <v>93.479779029135798</v>
      </c>
      <c r="AM974">
        <v>90.637874828445007</v>
      </c>
      <c r="AN974">
        <v>0.99999997541278995</v>
      </c>
    </row>
    <row r="975" spans="1:40" x14ac:dyDescent="0.25">
      <c r="A975" t="str">
        <f>"20190303153758305"</f>
        <v>20190303153758305</v>
      </c>
      <c r="B975" t="str">
        <f>"1551598678299911"</f>
        <v>1551598678299911</v>
      </c>
      <c r="C975" t="s">
        <v>40</v>
      </c>
      <c r="D975">
        <v>4.1215960000000003</v>
      </c>
      <c r="E975">
        <v>0.50626470000000001</v>
      </c>
      <c r="F975" t="s">
        <v>41</v>
      </c>
      <c r="G975">
        <v>-158.19499999999999</v>
      </c>
      <c r="H975">
        <v>0.57241319999999996</v>
      </c>
      <c r="I975">
        <v>364.65969999999999</v>
      </c>
      <c r="J975">
        <v>-312.64609999999999</v>
      </c>
      <c r="K975">
        <v>1.0802229999999999</v>
      </c>
      <c r="L975">
        <v>367.06700000000001</v>
      </c>
      <c r="M975">
        <v>0.99975760000000002</v>
      </c>
      <c r="N975">
        <v>-1.932905E-2</v>
      </c>
      <c r="O975">
        <v>-1.054274E-2</v>
      </c>
      <c r="P975">
        <v>0.99686739999999996</v>
      </c>
      <c r="Q975">
        <v>-7.9092239999999994E-2</v>
      </c>
      <c r="R975">
        <v>1.114444E-4</v>
      </c>
      <c r="S975">
        <v>3.0089419999999998</v>
      </c>
      <c r="T975">
        <v>-9.8961589999999999E-3</v>
      </c>
      <c r="U975">
        <v>-4.6875E-2</v>
      </c>
      <c r="V975">
        <v>-1.063357E-2</v>
      </c>
      <c r="W975">
        <v>-5.980829E-2</v>
      </c>
      <c r="X975">
        <v>0.99815330000000002</v>
      </c>
      <c r="Y975">
        <v>5.033554E-3</v>
      </c>
      <c r="Z975">
        <v>-2.2605889999999999E-4</v>
      </c>
      <c r="AA975">
        <v>0.99998730000000002</v>
      </c>
      <c r="AB975">
        <v>37</v>
      </c>
      <c r="AC975">
        <v>154.4511</v>
      </c>
      <c r="AD975">
        <v>-0.50780979999999998</v>
      </c>
      <c r="AE975">
        <v>-2.4072999999999598</v>
      </c>
      <c r="AF975">
        <v>0.77851570559049799</v>
      </c>
      <c r="AG975">
        <v>-0.50780979999999998</v>
      </c>
      <c r="AH975">
        <v>154.466227909438</v>
      </c>
      <c r="AI975">
        <v>90.188357574225293</v>
      </c>
      <c r="AJ975">
        <v>89.711229521600799</v>
      </c>
      <c r="AK975">
        <v>154.469024474382</v>
      </c>
      <c r="AL975">
        <v>93.428808635199104</v>
      </c>
      <c r="AM975">
        <v>90.610362792114799</v>
      </c>
      <c r="AN975">
        <v>1.00000005733227</v>
      </c>
    </row>
    <row r="976" spans="1:40" x14ac:dyDescent="0.25">
      <c r="A976" t="str">
        <f>"20190303153758317"</f>
        <v>20190303153758317</v>
      </c>
      <c r="B976" t="str">
        <f>"1551598678309672"</f>
        <v>1551598678309672</v>
      </c>
      <c r="C976" t="s">
        <v>40</v>
      </c>
      <c r="D976">
        <v>4.1215890000000002</v>
      </c>
      <c r="E976">
        <v>0.50627860000000002</v>
      </c>
      <c r="F976" t="s">
        <v>41</v>
      </c>
      <c r="G976">
        <v>-158.19499999999999</v>
      </c>
      <c r="H976">
        <v>0.77780059999999995</v>
      </c>
      <c r="I976">
        <v>364.58420000000001</v>
      </c>
      <c r="J976">
        <v>-312.45519999999999</v>
      </c>
      <c r="K976">
        <v>1.0794600000000001</v>
      </c>
      <c r="L976">
        <v>367.065</v>
      </c>
      <c r="M976">
        <v>0.9997627</v>
      </c>
      <c r="N976">
        <v>-1.9066989999999999E-2</v>
      </c>
      <c r="O976">
        <v>-1.055179E-2</v>
      </c>
      <c r="P976">
        <v>0.99689839999999996</v>
      </c>
      <c r="Q976">
        <v>-7.8700049999999994E-2</v>
      </c>
      <c r="R976">
        <v>-4.0543669999999998E-4</v>
      </c>
      <c r="S976">
        <v>3.008972</v>
      </c>
      <c r="T976">
        <v>-5.8900119999999896E-3</v>
      </c>
      <c r="U976">
        <v>-4.8370360000000001E-2</v>
      </c>
      <c r="V976">
        <v>-1.0124380000000001E-2</v>
      </c>
      <c r="W976">
        <v>-5.9677429999999997E-2</v>
      </c>
      <c r="X976">
        <v>0.99816640000000001</v>
      </c>
      <c r="Y976">
        <v>5.5214879999999997E-3</v>
      </c>
      <c r="Z976">
        <v>-2.3860369999999999E-4</v>
      </c>
      <c r="AA976">
        <v>0.99998469999999995</v>
      </c>
      <c r="AB976">
        <v>37</v>
      </c>
      <c r="AC976">
        <v>154.2602</v>
      </c>
      <c r="AD976">
        <v>-0.30165940000000002</v>
      </c>
      <c r="AE976">
        <v>-2.4807999999999799</v>
      </c>
      <c r="AF976">
        <v>0.85264166652024098</v>
      </c>
      <c r="AG976">
        <v>-0.30165940000000002</v>
      </c>
      <c r="AH976">
        <v>154.27720077550299</v>
      </c>
      <c r="AI976">
        <v>90.112029025698007</v>
      </c>
      <c r="AJ976">
        <v>89.683347433699794</v>
      </c>
      <c r="AK976">
        <v>154.27985181263901</v>
      </c>
      <c r="AL976">
        <v>93.421297585752001</v>
      </c>
      <c r="AM976">
        <v>90.581129912197994</v>
      </c>
      <c r="AN976">
        <v>1.00000003040537</v>
      </c>
    </row>
    <row r="977" spans="1:40" x14ac:dyDescent="0.25">
      <c r="A977" t="str">
        <f>"20190303153758329"</f>
        <v>20190303153758329</v>
      </c>
      <c r="B977" t="str">
        <f>"1551598678319432"</f>
        <v>1551598678319432</v>
      </c>
      <c r="C977" t="s">
        <v>40</v>
      </c>
      <c r="D977">
        <v>4.130954</v>
      </c>
      <c r="E977">
        <v>0.50629040000000003</v>
      </c>
      <c r="F977" t="s">
        <v>41</v>
      </c>
      <c r="G977">
        <v>-158.19499999999999</v>
      </c>
      <c r="H977">
        <v>0.85098309999999999</v>
      </c>
      <c r="I977">
        <v>364.47890000000001</v>
      </c>
      <c r="J977">
        <v>-312.25799999999998</v>
      </c>
      <c r="K977">
        <v>1.0786979999999999</v>
      </c>
      <c r="L977">
        <v>367.06290000000001</v>
      </c>
      <c r="M977">
        <v>0.99976790000000004</v>
      </c>
      <c r="N977">
        <v>-1.878579E-2</v>
      </c>
      <c r="O977">
        <v>-1.056084E-2</v>
      </c>
      <c r="P977">
        <v>0.9969306</v>
      </c>
      <c r="Q977">
        <v>-7.8287480000000007E-2</v>
      </c>
      <c r="R977">
        <v>-8.5653319999999999E-4</v>
      </c>
      <c r="S977">
        <v>3.0090029999999999</v>
      </c>
      <c r="T977">
        <v>-4.4549699999999999E-3</v>
      </c>
      <c r="U977">
        <v>-5.044556E-2</v>
      </c>
      <c r="V977">
        <v>-9.6808559999999998E-3</v>
      </c>
      <c r="W977">
        <v>-5.9545260000000003E-2</v>
      </c>
      <c r="X977">
        <v>0.99817869999999997</v>
      </c>
      <c r="Y977">
        <v>6.2018580000000002E-3</v>
      </c>
      <c r="Z977">
        <v>-2.4562539999999999E-4</v>
      </c>
      <c r="AA977">
        <v>0.99998069999999895</v>
      </c>
      <c r="AB977">
        <v>37</v>
      </c>
      <c r="AC977">
        <v>154.06299999999999</v>
      </c>
      <c r="AD977">
        <v>-0.227714899999999</v>
      </c>
      <c r="AE977">
        <v>-2.5840000000000001</v>
      </c>
      <c r="AF977">
        <v>0.95653213048374697</v>
      </c>
      <c r="AG977">
        <v>-0.227714899999999</v>
      </c>
      <c r="AH977">
        <v>154.081362803785</v>
      </c>
      <c r="AI977">
        <v>90.084675015611595</v>
      </c>
      <c r="AJ977">
        <v>89.644314218018806</v>
      </c>
      <c r="AK977">
        <v>154.08450010063899</v>
      </c>
      <c r="AL977">
        <v>93.413711289142796</v>
      </c>
      <c r="AM977">
        <v>90.555666836804804</v>
      </c>
      <c r="AN977">
        <v>1.0000000370475199</v>
      </c>
    </row>
    <row r="978" spans="1:40" x14ac:dyDescent="0.25">
      <c r="A978" t="str">
        <f>"20190303153758340"</f>
        <v>20190303153758340</v>
      </c>
      <c r="B978" t="str">
        <f>"1551598678330168"</f>
        <v>1551598678330168</v>
      </c>
      <c r="C978" t="s">
        <v>40</v>
      </c>
      <c r="D978">
        <v>4.1393719999999998</v>
      </c>
      <c r="E978">
        <v>0.50630180000000002</v>
      </c>
      <c r="F978" t="s">
        <v>41</v>
      </c>
      <c r="G978">
        <v>-158.19499999999999</v>
      </c>
      <c r="H978">
        <v>0.92495680000000002</v>
      </c>
      <c r="I978">
        <v>364.41289999999998</v>
      </c>
      <c r="J978">
        <v>-312.06450000000001</v>
      </c>
      <c r="K978">
        <v>1.07802</v>
      </c>
      <c r="L978">
        <v>367.0609</v>
      </c>
      <c r="M978">
        <v>0.99977389999999999</v>
      </c>
      <c r="N978">
        <v>-1.844871E-2</v>
      </c>
      <c r="O978">
        <v>-1.0560719999999999E-2</v>
      </c>
      <c r="P978">
        <v>0.99694470000000002</v>
      </c>
      <c r="Q978">
        <v>-7.8101009999999998E-2</v>
      </c>
      <c r="R978">
        <v>-1.098604E-3</v>
      </c>
      <c r="S978">
        <v>3.008972</v>
      </c>
      <c r="T978">
        <v>-3.0009749999999999E-3</v>
      </c>
      <c r="U978">
        <v>-5.1757810000000001E-2</v>
      </c>
      <c r="V978">
        <v>-9.4385030000000009E-3</v>
      </c>
      <c r="W978">
        <v>-5.9695159999999997E-2</v>
      </c>
      <c r="X978">
        <v>0.99817199999999995</v>
      </c>
      <c r="Y978">
        <v>6.6382409999999996E-3</v>
      </c>
      <c r="Z978">
        <v>-2.4886409999999999E-4</v>
      </c>
      <c r="AA978">
        <v>0.99997789999999998</v>
      </c>
      <c r="AB978">
        <v>37</v>
      </c>
      <c r="AC978">
        <v>153.86949999999999</v>
      </c>
      <c r="AD978">
        <v>-0.15306319999999901</v>
      </c>
      <c r="AE978">
        <v>-2.6480000000000201</v>
      </c>
      <c r="AF978">
        <v>1.0226017438921</v>
      </c>
      <c r="AG978">
        <v>-0.15306319999999901</v>
      </c>
      <c r="AH978">
        <v>153.88873371142699</v>
      </c>
      <c r="AI978">
        <v>90.056987140229396</v>
      </c>
      <c r="AJ978">
        <v>89.619271013150893</v>
      </c>
      <c r="AK978">
        <v>153.89220742447</v>
      </c>
      <c r="AL978">
        <v>93.422315462806907</v>
      </c>
      <c r="AM978">
        <v>90.541760608493604</v>
      </c>
      <c r="AN978">
        <v>0.99999996952515202</v>
      </c>
    </row>
    <row r="979" spans="1:40" x14ac:dyDescent="0.25">
      <c r="A979" t="str">
        <f>"20190303153758352"</f>
        <v>20190303153758352</v>
      </c>
      <c r="B979" t="str">
        <f>"1551598678339927"</f>
        <v>1551598678339927</v>
      </c>
      <c r="C979" t="s">
        <v>40</v>
      </c>
      <c r="D979">
        <v>4.1352779999999996</v>
      </c>
      <c r="E979">
        <v>0.50631519999999997</v>
      </c>
      <c r="F979" t="s">
        <v>41</v>
      </c>
      <c r="G979">
        <v>-158.19499999999999</v>
      </c>
      <c r="H979">
        <v>0.96608260000000001</v>
      </c>
      <c r="I979">
        <v>364.36579999999998</v>
      </c>
      <c r="J979">
        <v>-311.88400000000001</v>
      </c>
      <c r="K979">
        <v>1.077402</v>
      </c>
      <c r="L979">
        <v>367.05889999999999</v>
      </c>
      <c r="M979">
        <v>0.99978009999999995</v>
      </c>
      <c r="N979">
        <v>-1.8122969999999999E-2</v>
      </c>
      <c r="O979">
        <v>-1.0560659999999999E-2</v>
      </c>
      <c r="P979">
        <v>0.99695160000000005</v>
      </c>
      <c r="Q979">
        <v>-7.8006510000000001E-2</v>
      </c>
      <c r="R979">
        <v>-1.61267299999999E-3</v>
      </c>
      <c r="S979">
        <v>3.008972</v>
      </c>
      <c r="T979">
        <v>-2.1872520000000002E-3</v>
      </c>
      <c r="U979">
        <v>-5.2703859999999998E-2</v>
      </c>
      <c r="V979">
        <v>-8.9233839999999995E-3</v>
      </c>
      <c r="W979">
        <v>-5.992575E-2</v>
      </c>
      <c r="X979">
        <v>0.99816289999999996</v>
      </c>
      <c r="Y979">
        <v>6.952682E-3</v>
      </c>
      <c r="Z979">
        <v>-2.4926210000000002E-4</v>
      </c>
      <c r="AA979">
        <v>0.99997579999999997</v>
      </c>
      <c r="AB979">
        <v>37</v>
      </c>
      <c r="AC979">
        <v>153.68899999999999</v>
      </c>
      <c r="AD979">
        <v>-0.1113194</v>
      </c>
      <c r="AE979">
        <v>-2.69310000000001</v>
      </c>
      <c r="AF979">
        <v>1.0696255045157601</v>
      </c>
      <c r="AG979">
        <v>-0.1113194</v>
      </c>
      <c r="AH979">
        <v>153.70879163500001</v>
      </c>
      <c r="AI979">
        <v>90.041493893689506</v>
      </c>
      <c r="AJ979">
        <v>89.601297770864093</v>
      </c>
      <c r="AK979">
        <v>153.71255354271</v>
      </c>
      <c r="AL979">
        <v>93.435551063836499</v>
      </c>
      <c r="AM979">
        <v>90.512199584365106</v>
      </c>
      <c r="AN979">
        <v>0.99999994861574004</v>
      </c>
    </row>
    <row r="980" spans="1:40" x14ac:dyDescent="0.25">
      <c r="A980" t="str">
        <f>"20190303153758365"</f>
        <v>20190303153758365</v>
      </c>
      <c r="B980" t="str">
        <f>"1551598678359448"</f>
        <v>1551598678359448</v>
      </c>
      <c r="C980" t="s">
        <v>40</v>
      </c>
      <c r="D980">
        <v>4.148638</v>
      </c>
      <c r="E980">
        <v>0.50633249999999996</v>
      </c>
      <c r="F980" t="s">
        <v>41</v>
      </c>
      <c r="G980">
        <v>-158.19499999999999</v>
      </c>
      <c r="H980">
        <v>0.99132629999999999</v>
      </c>
      <c r="I980">
        <v>364.28129999999999</v>
      </c>
      <c r="J980">
        <v>-311.65690000000001</v>
      </c>
      <c r="K980">
        <v>1.076686</v>
      </c>
      <c r="L980">
        <v>367.05650000000003</v>
      </c>
      <c r="M980">
        <v>0.99978829999999996</v>
      </c>
      <c r="N980">
        <v>-1.7668E-2</v>
      </c>
      <c r="O980">
        <v>-1.0558069999999999E-2</v>
      </c>
      <c r="P980">
        <v>0.99699249999999995</v>
      </c>
      <c r="Q980">
        <v>-7.7480599999999997E-2</v>
      </c>
      <c r="R980">
        <v>-1.7606049999999999E-3</v>
      </c>
      <c r="S980">
        <v>3.0089419999999998</v>
      </c>
      <c r="T980">
        <v>-1.6834739999999999E-3</v>
      </c>
      <c r="U980">
        <v>-5.4382319999999998E-2</v>
      </c>
      <c r="V980">
        <v>-8.773019E-3</v>
      </c>
      <c r="W980">
        <v>-5.9853509999999999E-2</v>
      </c>
      <c r="X980">
        <v>0.99816859999999996</v>
      </c>
      <c r="Y980">
        <v>7.5131290000000003E-3</v>
      </c>
      <c r="Z980">
        <v>-2.4912360000000001E-4</v>
      </c>
      <c r="AA980">
        <v>0.99997170000000002</v>
      </c>
      <c r="AB980">
        <v>37</v>
      </c>
      <c r="AC980">
        <v>153.46190000000001</v>
      </c>
      <c r="AD980">
        <v>-8.53596999999999E-2</v>
      </c>
      <c r="AE980">
        <v>-2.7752000000000399</v>
      </c>
      <c r="AF980">
        <v>1.15453070350981</v>
      </c>
      <c r="AG980">
        <v>-8.53596999999999E-2</v>
      </c>
      <c r="AH980">
        <v>153.48260153175201</v>
      </c>
      <c r="AI980">
        <v>90.031864274090694</v>
      </c>
      <c r="AJ980">
        <v>89.569016368356003</v>
      </c>
      <c r="AK980">
        <v>153.48696752616601</v>
      </c>
      <c r="AL980">
        <v>93.431404461384005</v>
      </c>
      <c r="AM980">
        <v>90.503566250946193</v>
      </c>
      <c r="AN980">
        <v>0.99999998127382606</v>
      </c>
    </row>
    <row r="981" spans="1:40" x14ac:dyDescent="0.25">
      <c r="A981" t="str">
        <f>"20190303153758378"</f>
        <v>20190303153758378</v>
      </c>
      <c r="B981" t="str">
        <f>"1551598678370184"</f>
        <v>1551598678370184</v>
      </c>
      <c r="C981" t="s">
        <v>40</v>
      </c>
      <c r="D981">
        <v>4.1873170000000002</v>
      </c>
      <c r="E981">
        <v>0.50635169999999996</v>
      </c>
      <c r="F981" t="s">
        <v>41</v>
      </c>
      <c r="G981">
        <v>-158.19499999999999</v>
      </c>
      <c r="H981">
        <v>1.0893060000000001</v>
      </c>
      <c r="I981">
        <v>364.26280000000003</v>
      </c>
      <c r="J981">
        <v>-311.45460000000003</v>
      </c>
      <c r="K981">
        <v>1.0760989999999999</v>
      </c>
      <c r="L981">
        <v>367.05439999999999</v>
      </c>
      <c r="M981">
        <v>0.99979600000000002</v>
      </c>
      <c r="N981">
        <v>-1.7229520000000002E-2</v>
      </c>
      <c r="O981">
        <v>-1.0555739999999999E-2</v>
      </c>
      <c r="P981">
        <v>0.99697119999999995</v>
      </c>
      <c r="Q981">
        <v>-7.7746689999999993E-2</v>
      </c>
      <c r="R981">
        <v>-2.0776570000000001E-3</v>
      </c>
      <c r="S981">
        <v>3.008972</v>
      </c>
      <c r="T981">
        <v>2.4914739999999999E-4</v>
      </c>
      <c r="U981">
        <v>-5.4779050000000003E-2</v>
      </c>
      <c r="V981">
        <v>-8.4528090000000004E-3</v>
      </c>
      <c r="W981">
        <v>-6.0557710000000001E-2</v>
      </c>
      <c r="X981">
        <v>0.99812889999999999</v>
      </c>
      <c r="Y981">
        <v>7.6472379999999998E-3</v>
      </c>
      <c r="Z981">
        <v>-2.4832229999999998E-4</v>
      </c>
      <c r="AA981">
        <v>0.99997069999999999</v>
      </c>
      <c r="AB981">
        <v>37</v>
      </c>
      <c r="AC981">
        <v>153.25960000000001</v>
      </c>
      <c r="AD981">
        <v>1.3206999999999899E-2</v>
      </c>
      <c r="AE981">
        <v>-2.7915999999999599</v>
      </c>
      <c r="AF981">
        <v>1.17343600995543</v>
      </c>
      <c r="AG981">
        <v>1.3206999999999899E-2</v>
      </c>
      <c r="AH981">
        <v>153.28052949347699</v>
      </c>
      <c r="AI981">
        <v>89.995063409633602</v>
      </c>
      <c r="AJ981">
        <v>89.561381881042394</v>
      </c>
      <c r="AK981">
        <v>153.28502160451001</v>
      </c>
      <c r="AL981">
        <v>93.471825431853702</v>
      </c>
      <c r="AM981">
        <v>90.485206573307906</v>
      </c>
      <c r="AN981">
        <v>0.99999999361782199</v>
      </c>
    </row>
    <row r="982" spans="1:40" x14ac:dyDescent="0.25">
      <c r="A982" t="str">
        <f>"20190303153758392"</f>
        <v>20190303153758392</v>
      </c>
      <c r="B982" t="str">
        <f>"1551598678379944"</f>
        <v>1551598678379944</v>
      </c>
      <c r="C982" t="s">
        <v>40</v>
      </c>
      <c r="D982">
        <v>4.1832079999999996</v>
      </c>
      <c r="E982">
        <v>0.50637710000000002</v>
      </c>
      <c r="F982" t="s">
        <v>41</v>
      </c>
      <c r="G982">
        <v>-158.19499999999999</v>
      </c>
      <c r="H982">
        <v>1.056114</v>
      </c>
      <c r="I982">
        <v>364.2099</v>
      </c>
      <c r="J982">
        <v>-311.22190000000001</v>
      </c>
      <c r="K982">
        <v>1.0754589999999999</v>
      </c>
      <c r="L982">
        <v>367.05189999999999</v>
      </c>
      <c r="M982">
        <v>0.9998049</v>
      </c>
      <c r="N982">
        <v>-1.6700949999999999E-2</v>
      </c>
      <c r="O982">
        <v>-1.055299E-2</v>
      </c>
      <c r="P982">
        <v>0.99696640000000003</v>
      </c>
      <c r="Q982">
        <v>-7.7803300000000006E-2</v>
      </c>
      <c r="R982">
        <v>-2.2186580000000001E-3</v>
      </c>
      <c r="S982">
        <v>3.0089419999999998</v>
      </c>
      <c r="T982">
        <v>-3.9064880000000001E-4</v>
      </c>
      <c r="U982">
        <v>-5.5847170000000002E-2</v>
      </c>
      <c r="V982">
        <v>-8.308302E-3</v>
      </c>
      <c r="W982">
        <v>-6.1142090000000003E-2</v>
      </c>
      <c r="X982">
        <v>0.9980945</v>
      </c>
      <c r="Y982">
        <v>8.0049700000000001E-3</v>
      </c>
      <c r="Z982">
        <v>-2.4225439999999999E-4</v>
      </c>
      <c r="AA982">
        <v>0.99996790000000002</v>
      </c>
      <c r="AB982">
        <v>37</v>
      </c>
      <c r="AC982">
        <v>153.02690000000001</v>
      </c>
      <c r="AD982">
        <v>-1.93449999999999E-2</v>
      </c>
      <c r="AE982">
        <v>-2.8419999999999801</v>
      </c>
      <c r="AF982">
        <v>1.2267251759381199</v>
      </c>
      <c r="AG982">
        <v>-1.93449999999999E-2</v>
      </c>
      <c r="AH982">
        <v>153.048369754449</v>
      </c>
      <c r="AI982">
        <v>90.007241836344207</v>
      </c>
      <c r="AJ982">
        <v>89.540768253829498</v>
      </c>
      <c r="AK982">
        <v>153.05328716947199</v>
      </c>
      <c r="AL982">
        <v>93.505370053937597</v>
      </c>
      <c r="AM982">
        <v>90.476928432113596</v>
      </c>
      <c r="AN982">
        <v>1.00000000699097</v>
      </c>
    </row>
    <row r="983" spans="1:40" x14ac:dyDescent="0.25">
      <c r="A983" t="str">
        <f>"20190303153758406"</f>
        <v>20190303153758406</v>
      </c>
      <c r="B983" t="str">
        <f>"1551598678399463"</f>
        <v>1551598678399463</v>
      </c>
      <c r="C983" t="s">
        <v>40</v>
      </c>
      <c r="D983">
        <v>4.1735600000000002</v>
      </c>
      <c r="E983">
        <v>0.50640569999999996</v>
      </c>
      <c r="F983" t="s">
        <v>41</v>
      </c>
      <c r="G983">
        <v>-158.19499999999999</v>
      </c>
      <c r="H983">
        <v>1.059712</v>
      </c>
      <c r="I983">
        <v>364.17140000000001</v>
      </c>
      <c r="J983">
        <v>-310.9726</v>
      </c>
      <c r="K983">
        <v>1.0748279999999999</v>
      </c>
      <c r="L983">
        <v>367.04930000000002</v>
      </c>
      <c r="M983">
        <v>0.99981469999999995</v>
      </c>
      <c r="N983">
        <v>-1.6097150000000001E-2</v>
      </c>
      <c r="O983">
        <v>-1.0551100000000001E-2</v>
      </c>
      <c r="P983">
        <v>0.99694260000000001</v>
      </c>
      <c r="Q983">
        <v>-7.8103560000000002E-2</v>
      </c>
      <c r="R983">
        <v>-2.285863E-3</v>
      </c>
      <c r="S983">
        <v>3.008972</v>
      </c>
      <c r="T983">
        <v>-3.0791759999999999E-4</v>
      </c>
      <c r="U983">
        <v>-5.6640629999999997E-2</v>
      </c>
      <c r="V983">
        <v>-8.238357E-3</v>
      </c>
      <c r="W983">
        <v>-6.204548E-2</v>
      </c>
      <c r="X983">
        <v>0.99803929999999996</v>
      </c>
      <c r="Y983">
        <v>8.2702769999999995E-3</v>
      </c>
      <c r="Z983">
        <v>-2.3576289999999999E-4</v>
      </c>
      <c r="AA983">
        <v>0.99996580000000002</v>
      </c>
      <c r="AB983">
        <v>37</v>
      </c>
      <c r="AC983">
        <v>152.77760000000001</v>
      </c>
      <c r="AD983">
        <v>-1.51160000000001E-2</v>
      </c>
      <c r="AE983">
        <v>-2.8779000000000101</v>
      </c>
      <c r="AF983">
        <v>1.2655590297514201</v>
      </c>
      <c r="AG983">
        <v>-1.51160000000001E-2</v>
      </c>
      <c r="AH983">
        <v>152.79946097262601</v>
      </c>
      <c r="AI983">
        <v>90.005667908053198</v>
      </c>
      <c r="AJ983">
        <v>89.525459496662293</v>
      </c>
      <c r="AK983">
        <v>152.804702616367</v>
      </c>
      <c r="AL983">
        <v>93.557229056536897</v>
      </c>
      <c r="AM983">
        <v>90.472939658631205</v>
      </c>
      <c r="AN983">
        <v>0.99999997822948905</v>
      </c>
    </row>
    <row r="984" spans="1:40" x14ac:dyDescent="0.25">
      <c r="A984" t="str">
        <f>"20190303153758418"</f>
        <v>20190303153758418</v>
      </c>
      <c r="B984" t="str">
        <f>"1551598678410200"</f>
        <v>1551598678410200</v>
      </c>
      <c r="C984" t="s">
        <v>40</v>
      </c>
      <c r="D984">
        <v>4.1814200000000001</v>
      </c>
      <c r="E984">
        <v>0.50641139999999996</v>
      </c>
      <c r="F984" t="s">
        <v>41</v>
      </c>
      <c r="G984">
        <v>-158.19499999999999</v>
      </c>
      <c r="H984">
        <v>1.0224690000000001</v>
      </c>
      <c r="I984">
        <v>364.16570000000002</v>
      </c>
      <c r="J984">
        <v>-310.79419999999999</v>
      </c>
      <c r="K984">
        <v>1.074425</v>
      </c>
      <c r="L984">
        <v>367.04739999999998</v>
      </c>
      <c r="M984">
        <v>0.99982179999999998</v>
      </c>
      <c r="N984">
        <v>-1.5656960000000001E-2</v>
      </c>
      <c r="O984">
        <v>-1.0550439999999999E-2</v>
      </c>
      <c r="P984">
        <v>0.99692510000000001</v>
      </c>
      <c r="Q984">
        <v>-7.8330490000000003E-2</v>
      </c>
      <c r="R984">
        <v>-2.2880050000000001E-3</v>
      </c>
      <c r="S984">
        <v>3.0090029999999999</v>
      </c>
      <c r="T984">
        <v>-1.029491E-3</v>
      </c>
      <c r="U984">
        <v>-5.6793209999999997E-2</v>
      </c>
      <c r="V984">
        <v>-8.2351560000000004E-3</v>
      </c>
      <c r="W984">
        <v>-6.2712080000000003E-2</v>
      </c>
      <c r="X984">
        <v>0.99799769999999999</v>
      </c>
      <c r="Y984">
        <v>8.3213769999999996E-3</v>
      </c>
      <c r="Z984">
        <v>-2.2815760000000001E-4</v>
      </c>
      <c r="AA984">
        <v>0.9999654</v>
      </c>
      <c r="AB984">
        <v>37</v>
      </c>
      <c r="AC984">
        <v>152.5992</v>
      </c>
      <c r="AD984">
        <v>-5.1955999999999801E-2</v>
      </c>
      <c r="AE984">
        <v>-2.88169999999996</v>
      </c>
      <c r="AF984">
        <v>1.2713534163332301</v>
      </c>
      <c r="AG984">
        <v>-5.1955999999999801E-2</v>
      </c>
      <c r="AH984">
        <v>152.62109388013701</v>
      </c>
      <c r="AI984">
        <v>90.019504224818405</v>
      </c>
      <c r="AJ984">
        <v>89.522729798645003</v>
      </c>
      <c r="AK984">
        <v>152.62639790057599</v>
      </c>
      <c r="AL984">
        <v>93.595496813671005</v>
      </c>
      <c r="AM984">
        <v>90.472775612258999</v>
      </c>
      <c r="AN984">
        <v>1.0000000159887801</v>
      </c>
    </row>
    <row r="985" spans="1:40" x14ac:dyDescent="0.25">
      <c r="A985" t="str">
        <f>"20190303153758428"</f>
        <v>20190303153758428</v>
      </c>
      <c r="B985" t="str">
        <f>"1551598678419960"</f>
        <v>1551598678419960</v>
      </c>
      <c r="C985" t="s">
        <v>40</v>
      </c>
      <c r="D985">
        <v>4.1790379999999896</v>
      </c>
      <c r="E985">
        <v>0.50642290000000001</v>
      </c>
      <c r="F985" t="s">
        <v>41</v>
      </c>
      <c r="G985">
        <v>-158.19499999999999</v>
      </c>
      <c r="H985">
        <v>0.98874569999999995</v>
      </c>
      <c r="I985">
        <v>364.13010000000003</v>
      </c>
      <c r="J985">
        <v>-310.60109999999997</v>
      </c>
      <c r="K985">
        <v>1.074003</v>
      </c>
      <c r="L985">
        <v>367.04539999999997</v>
      </c>
      <c r="M985">
        <v>0.99982919999999997</v>
      </c>
      <c r="N985">
        <v>-1.517776E-2</v>
      </c>
      <c r="O985">
        <v>-1.0549950000000001E-2</v>
      </c>
      <c r="P985">
        <v>0.99692670000000005</v>
      </c>
      <c r="Q985">
        <v>-7.8310980000000002E-2</v>
      </c>
      <c r="R985">
        <v>-2.2478139999999999E-3</v>
      </c>
      <c r="S985">
        <v>3.009064</v>
      </c>
      <c r="T985">
        <v>-1.6877649999999999E-3</v>
      </c>
      <c r="U985">
        <v>-5.7525630000000001E-2</v>
      </c>
      <c r="V985">
        <v>-8.2744150000000002E-3</v>
      </c>
      <c r="W985">
        <v>-6.3170879999999999E-2</v>
      </c>
      <c r="X985">
        <v>0.99796839999999998</v>
      </c>
      <c r="Y985">
        <v>8.5647509999999902E-3</v>
      </c>
      <c r="Z985">
        <v>-2.216176E-4</v>
      </c>
      <c r="AA985">
        <v>0.9999633</v>
      </c>
      <c r="AB985">
        <v>37</v>
      </c>
      <c r="AC985">
        <v>152.40609999999899</v>
      </c>
      <c r="AD985">
        <v>-8.5257299999999897E-2</v>
      </c>
      <c r="AE985">
        <v>-2.9152999999999398</v>
      </c>
      <c r="AF985">
        <v>1.30707542161723</v>
      </c>
      <c r="AG985">
        <v>-8.5257299999999897E-2</v>
      </c>
      <c r="AH985">
        <v>152.42832842859099</v>
      </c>
      <c r="AI985">
        <v>90.032045902612893</v>
      </c>
      <c r="AJ985">
        <v>89.508699790631098</v>
      </c>
      <c r="AK985">
        <v>152.43395626467</v>
      </c>
      <c r="AL985">
        <v>93.621836485079697</v>
      </c>
      <c r="AM985">
        <v>90.475043292091698</v>
      </c>
      <c r="AN985">
        <v>0.999999976711063</v>
      </c>
    </row>
    <row r="986" spans="1:40" x14ac:dyDescent="0.25">
      <c r="A986" t="str">
        <f>"20190303153758440"</f>
        <v>20190303153758440</v>
      </c>
      <c r="B986" t="str">
        <f>"1551598678429720"</f>
        <v>1551598678429720</v>
      </c>
      <c r="C986" t="s">
        <v>40</v>
      </c>
      <c r="D986">
        <v>4.1448700000000001</v>
      </c>
      <c r="E986">
        <v>0.50644169999999999</v>
      </c>
      <c r="F986" t="s">
        <v>41</v>
      </c>
      <c r="G986">
        <v>-158.19499999999999</v>
      </c>
      <c r="H986">
        <v>0.99330850000000004</v>
      </c>
      <c r="I986">
        <v>364.14870000000002</v>
      </c>
      <c r="J986">
        <v>-310.42570000000001</v>
      </c>
      <c r="K986">
        <v>1.0736709999999901</v>
      </c>
      <c r="L986">
        <v>367.04349999999999</v>
      </c>
      <c r="M986">
        <v>0.99983569999999999</v>
      </c>
      <c r="N986">
        <v>-1.47461E-2</v>
      </c>
      <c r="O986">
        <v>-1.0549579999999999E-2</v>
      </c>
      <c r="P986">
        <v>0.99693200000000004</v>
      </c>
      <c r="Q986">
        <v>-7.8245060000000005E-2</v>
      </c>
      <c r="R986">
        <v>-2.1581080000000002E-3</v>
      </c>
      <c r="S986">
        <v>3.0090029999999999</v>
      </c>
      <c r="T986">
        <v>-1.591444E-3</v>
      </c>
      <c r="U986">
        <v>-5.7189940000000002E-2</v>
      </c>
      <c r="V986">
        <v>-8.3641610000000002E-3</v>
      </c>
      <c r="W986">
        <v>-6.3535759999999997E-2</v>
      </c>
      <c r="X986">
        <v>0.99794450000000001</v>
      </c>
      <c r="Y986">
        <v>8.4539980000000008E-3</v>
      </c>
      <c r="Z986">
        <v>-2.145634E-4</v>
      </c>
      <c r="AA986">
        <v>0.99996419999999997</v>
      </c>
      <c r="AB986">
        <v>37</v>
      </c>
      <c r="AC986">
        <v>152.23070000000001</v>
      </c>
      <c r="AD986">
        <v>-8.0362499999999795E-2</v>
      </c>
      <c r="AE986">
        <v>-2.8947999999999698</v>
      </c>
      <c r="AF986">
        <v>1.2884940665404601</v>
      </c>
      <c r="AG986">
        <v>-8.0362499999999795E-2</v>
      </c>
      <c r="AH986">
        <v>152.252726597302</v>
      </c>
      <c r="AI986">
        <v>90.030240947932199</v>
      </c>
      <c r="AJ986">
        <v>89.515125205247799</v>
      </c>
      <c r="AK986">
        <v>152.258199882318</v>
      </c>
      <c r="AL986">
        <v>93.642784608087396</v>
      </c>
      <c r="AM986">
        <v>90.480206968740106</v>
      </c>
      <c r="AN986">
        <v>0.99999998853412997</v>
      </c>
    </row>
    <row r="987" spans="1:40" x14ac:dyDescent="0.25">
      <c r="A987" t="str">
        <f>"20190303153758452"</f>
        <v>20190303153758452</v>
      </c>
      <c r="B987" t="str">
        <f>"1551598678439481"</f>
        <v>1551598678439481</v>
      </c>
      <c r="C987" t="s">
        <v>40</v>
      </c>
      <c r="D987">
        <v>4.1503889999999997</v>
      </c>
      <c r="E987">
        <v>0.50645660000000003</v>
      </c>
      <c r="F987" t="s">
        <v>41</v>
      </c>
      <c r="G987">
        <v>-158.19499999999999</v>
      </c>
      <c r="H987">
        <v>1.006386</v>
      </c>
      <c r="I987">
        <v>364.15629999999999</v>
      </c>
      <c r="J987">
        <v>-310.2217</v>
      </c>
      <c r="K987">
        <v>1.0732950000000001</v>
      </c>
      <c r="L987">
        <v>367.04140000000001</v>
      </c>
      <c r="M987">
        <v>0.99984300000000004</v>
      </c>
      <c r="N987">
        <v>-1.4247589999999999E-2</v>
      </c>
      <c r="O987">
        <v>-1.054954E-2</v>
      </c>
      <c r="P987">
        <v>0.99693589999999999</v>
      </c>
      <c r="Q987">
        <v>-7.8199119999999997E-2</v>
      </c>
      <c r="R987">
        <v>-1.9825210000000001E-3</v>
      </c>
      <c r="S987">
        <v>3.0090029999999999</v>
      </c>
      <c r="T987">
        <v>-1.3282299999999999E-3</v>
      </c>
      <c r="U987">
        <v>-5.706787E-2</v>
      </c>
      <c r="V987">
        <v>-8.5385530000000008E-3</v>
      </c>
      <c r="W987">
        <v>-6.3987340000000004E-2</v>
      </c>
      <c r="X987">
        <v>0.99791419999999997</v>
      </c>
      <c r="Y987">
        <v>8.4135080000000001E-3</v>
      </c>
      <c r="Z987">
        <v>-2.0745090000000001E-4</v>
      </c>
      <c r="AA987">
        <v>0.99996459999999998</v>
      </c>
      <c r="AB987">
        <v>37</v>
      </c>
      <c r="AC987">
        <v>152.02670000000001</v>
      </c>
      <c r="AD987">
        <v>-6.6909000000000093E-2</v>
      </c>
      <c r="AE987">
        <v>-2.88510000000002</v>
      </c>
      <c r="AF987">
        <v>1.28096485976867</v>
      </c>
      <c r="AG987">
        <v>-6.6909000000000093E-2</v>
      </c>
      <c r="AH987">
        <v>152.04864843300001</v>
      </c>
      <c r="AI987">
        <v>90.025212108522794</v>
      </c>
      <c r="AJ987">
        <v>89.517311435470504</v>
      </c>
      <c r="AK987">
        <v>152.05405893328901</v>
      </c>
      <c r="AL987">
        <v>93.6687108823876</v>
      </c>
      <c r="AM987">
        <v>90.490233640905302</v>
      </c>
      <c r="AN987">
        <v>1.0000000185646201</v>
      </c>
    </row>
    <row r="988" spans="1:40" x14ac:dyDescent="0.25">
      <c r="A988" t="str">
        <f>"20190303153758461"</f>
        <v>20190303153758461</v>
      </c>
      <c r="B988" t="str">
        <f>"1551598678450216"</f>
        <v>1551598678450216</v>
      </c>
      <c r="C988" t="s">
        <v>40</v>
      </c>
      <c r="D988">
        <v>4.1395210000000002</v>
      </c>
      <c r="E988">
        <v>0.50646539999999995</v>
      </c>
      <c r="F988" t="s">
        <v>41</v>
      </c>
      <c r="G988">
        <v>-158.19499999999999</v>
      </c>
      <c r="H988">
        <v>1.018014</v>
      </c>
      <c r="I988">
        <v>364.18279999999999</v>
      </c>
      <c r="J988">
        <v>-310.04640000000001</v>
      </c>
      <c r="K988">
        <v>1.0730090000000001</v>
      </c>
      <c r="L988">
        <v>367.03949999999998</v>
      </c>
      <c r="M988">
        <v>0.99984879999999998</v>
      </c>
      <c r="N988">
        <v>-1.383178E-2</v>
      </c>
      <c r="O988">
        <v>-1.054949E-2</v>
      </c>
      <c r="P988">
        <v>0.99695409999999995</v>
      </c>
      <c r="Q988">
        <v>-7.7971789999999999E-2</v>
      </c>
      <c r="R988">
        <v>-1.728212E-3</v>
      </c>
      <c r="S988">
        <v>3.0090330000000001</v>
      </c>
      <c r="T988">
        <v>-1.092434E-3</v>
      </c>
      <c r="U988">
        <v>-5.6579589999999999E-2</v>
      </c>
      <c r="V988">
        <v>-8.7930219999999993E-3</v>
      </c>
      <c r="W988">
        <v>-6.4174819999999994E-2</v>
      </c>
      <c r="X988">
        <v>0.99789989999999995</v>
      </c>
      <c r="Y988">
        <v>8.2511800000000003E-3</v>
      </c>
      <c r="Z988">
        <v>-2.0065830000000001E-4</v>
      </c>
      <c r="AA988">
        <v>0.99996600000000002</v>
      </c>
      <c r="AB988">
        <v>37</v>
      </c>
      <c r="AC988">
        <v>151.85140000000001</v>
      </c>
      <c r="AD988">
        <v>-5.4995000000000099E-2</v>
      </c>
      <c r="AE988">
        <v>-2.85669999999998</v>
      </c>
      <c r="AF988">
        <v>1.2544329343487901</v>
      </c>
      <c r="AG988">
        <v>-5.4995000000000099E-2</v>
      </c>
      <c r="AH988">
        <v>151.873067941502</v>
      </c>
      <c r="AI988">
        <v>90.020746757930695</v>
      </c>
      <c r="AJ988">
        <v>89.526762187846998</v>
      </c>
      <c r="AK988">
        <v>151.87825845854599</v>
      </c>
      <c r="AL988">
        <v>93.679475005934407</v>
      </c>
      <c r="AM988">
        <v>90.504850247449397</v>
      </c>
      <c r="AN988">
        <v>0.99999996758896603</v>
      </c>
    </row>
    <row r="989" spans="1:40" x14ac:dyDescent="0.25">
      <c r="A989" t="str">
        <f>"20190303153758472"</f>
        <v>20190303153758472</v>
      </c>
      <c r="B989" t="str">
        <f>"1551598678459976"</f>
        <v>1551598678459976</v>
      </c>
      <c r="C989" t="s">
        <v>40</v>
      </c>
      <c r="D989">
        <v>4.1593119999999999</v>
      </c>
      <c r="E989">
        <v>0.50647869999999995</v>
      </c>
      <c r="F989" t="s">
        <v>41</v>
      </c>
      <c r="G989">
        <v>-158.19499999999999</v>
      </c>
      <c r="H989">
        <v>1.061515</v>
      </c>
      <c r="I989">
        <v>364.21660000000003</v>
      </c>
      <c r="J989">
        <v>-309.87490000000003</v>
      </c>
      <c r="K989">
        <v>1.072749</v>
      </c>
      <c r="L989">
        <v>367.03769999999997</v>
      </c>
      <c r="M989">
        <v>0.99985409999999997</v>
      </c>
      <c r="N989">
        <v>-1.3432599999999999E-2</v>
      </c>
      <c r="O989">
        <v>-1.054916E-2</v>
      </c>
      <c r="P989">
        <v>0.99696949999999995</v>
      </c>
      <c r="Q989">
        <v>-7.7779730000000005E-2</v>
      </c>
      <c r="R989">
        <v>-1.4185949999999999E-3</v>
      </c>
      <c r="S989">
        <v>3.009064</v>
      </c>
      <c r="T989">
        <v>-2.2602080000000001E-4</v>
      </c>
      <c r="U989">
        <v>-5.5938719999999997E-2</v>
      </c>
      <c r="V989">
        <v>-9.1021939999999992E-3</v>
      </c>
      <c r="W989">
        <v>-6.4380999999999994E-2</v>
      </c>
      <c r="X989">
        <v>0.99788390000000005</v>
      </c>
      <c r="Y989">
        <v>8.0384769999999901E-3</v>
      </c>
      <c r="Z989">
        <v>-1.9520790000000001E-4</v>
      </c>
      <c r="AA989">
        <v>0.99996770000000001</v>
      </c>
      <c r="AB989">
        <v>37</v>
      </c>
      <c r="AC989">
        <v>151.6799</v>
      </c>
      <c r="AD989">
        <v>-1.12339999999999E-2</v>
      </c>
      <c r="AE989">
        <v>-2.82109999999994</v>
      </c>
      <c r="AF989">
        <v>1.22070303065185</v>
      </c>
      <c r="AG989">
        <v>-1.12339999999999E-2</v>
      </c>
      <c r="AH989">
        <v>151.70122049912899</v>
      </c>
      <c r="AI989">
        <v>90.004242813249206</v>
      </c>
      <c r="AJ989">
        <v>89.538964670464907</v>
      </c>
      <c r="AK989">
        <v>151.70613218659699</v>
      </c>
      <c r="AL989">
        <v>93.691312534599803</v>
      </c>
      <c r="AM989">
        <v>90.522608729857694</v>
      </c>
      <c r="AN989">
        <v>1.00000002048791</v>
      </c>
    </row>
    <row r="990" spans="1:40" x14ac:dyDescent="0.25">
      <c r="A990" t="str">
        <f>"20190303153758484"</f>
        <v>20190303153758484</v>
      </c>
      <c r="B990" t="str">
        <f>"1551598678479496"</f>
        <v>1551598678479496</v>
      </c>
      <c r="C990" t="s">
        <v>40</v>
      </c>
      <c r="D990">
        <v>4.1724189999999997</v>
      </c>
      <c r="E990">
        <v>0.50650450000000002</v>
      </c>
      <c r="F990" t="s">
        <v>41</v>
      </c>
      <c r="G990">
        <v>-158.19499999999999</v>
      </c>
      <c r="H990">
        <v>1.0942099999999999</v>
      </c>
      <c r="I990">
        <v>364.2595</v>
      </c>
      <c r="J990">
        <v>-309.67520000000002</v>
      </c>
      <c r="K990">
        <v>1.0724739999999999</v>
      </c>
      <c r="L990">
        <v>367.03559999999999</v>
      </c>
      <c r="M990">
        <v>0.99985999999999997</v>
      </c>
      <c r="N990">
        <v>-1.2987719999999999E-2</v>
      </c>
      <c r="O990">
        <v>-1.05491E-2</v>
      </c>
      <c r="P990">
        <v>0.99698339999999996</v>
      </c>
      <c r="Q990">
        <v>-7.760533E-2</v>
      </c>
      <c r="R990">
        <v>-1.165667E-3</v>
      </c>
      <c r="S990">
        <v>3.0090330000000001</v>
      </c>
      <c r="T990">
        <v>4.2748450000000001E-4</v>
      </c>
      <c r="U990">
        <v>-5.5114749999999997E-2</v>
      </c>
      <c r="V990">
        <v>-9.3551699999999995E-3</v>
      </c>
      <c r="W990">
        <v>-6.4650440000000003E-2</v>
      </c>
      <c r="X990">
        <v>0.99786410000000003</v>
      </c>
      <c r="Y990">
        <v>7.7650389999999996E-3</v>
      </c>
      <c r="Z990">
        <v>-1.8838660000000001E-4</v>
      </c>
      <c r="AA990">
        <v>0.99996980000000002</v>
      </c>
      <c r="AB990">
        <v>38</v>
      </c>
      <c r="AC990">
        <v>151.4802</v>
      </c>
      <c r="AD990">
        <v>2.17360000000002E-2</v>
      </c>
      <c r="AE990">
        <v>-2.77609999999998</v>
      </c>
      <c r="AF990">
        <v>1.17783089633351</v>
      </c>
      <c r="AG990">
        <v>2.17360000000002E-2</v>
      </c>
      <c r="AH990">
        <v>151.501054427757</v>
      </c>
      <c r="AI990">
        <v>89.991779968627498</v>
      </c>
      <c r="AJ990">
        <v>89.554568250234297</v>
      </c>
      <c r="AK990">
        <v>151.505634386303</v>
      </c>
      <c r="AL990">
        <v>93.706782687013401</v>
      </c>
      <c r="AM990">
        <v>90.537143338791793</v>
      </c>
      <c r="AN990">
        <v>0.99999998033336601</v>
      </c>
    </row>
    <row r="991" spans="1:40" x14ac:dyDescent="0.25">
      <c r="A991" t="str">
        <f>"20190303153758496"</f>
        <v>20190303153758496</v>
      </c>
      <c r="B991" t="str">
        <f>"1551598678490236"</f>
        <v>1551598678490236</v>
      </c>
      <c r="C991" t="s">
        <v>40</v>
      </c>
      <c r="D991">
        <v>4.1939609999999998</v>
      </c>
      <c r="E991">
        <v>0.50650909999999905</v>
      </c>
      <c r="F991" t="s">
        <v>41</v>
      </c>
      <c r="G991">
        <v>-158.19499999999999</v>
      </c>
      <c r="H991">
        <v>1.129049</v>
      </c>
      <c r="I991">
        <v>364.28100000000001</v>
      </c>
      <c r="J991">
        <v>-309.48750000000001</v>
      </c>
      <c r="K991">
        <v>1.0722370000000001</v>
      </c>
      <c r="L991">
        <v>367.03359999999998</v>
      </c>
      <c r="M991">
        <v>0.99986509999999995</v>
      </c>
      <c r="N991">
        <v>-1.2587330000000001E-2</v>
      </c>
      <c r="O991">
        <v>-1.054858E-2</v>
      </c>
      <c r="P991">
        <v>0.99701459999999997</v>
      </c>
      <c r="Q991">
        <v>-7.7201790000000006E-2</v>
      </c>
      <c r="R991">
        <v>-1.22696E-3</v>
      </c>
      <c r="S991">
        <v>3.0090940000000002</v>
      </c>
      <c r="T991">
        <v>1.1255739999999901E-3</v>
      </c>
      <c r="U991">
        <v>-5.4718019999999999E-2</v>
      </c>
      <c r="V991">
        <v>-9.2933159999999994E-3</v>
      </c>
      <c r="W991">
        <v>-6.4646099999999998E-2</v>
      </c>
      <c r="X991">
        <v>0.997865</v>
      </c>
      <c r="Y991">
        <v>7.6334330000000002E-3</v>
      </c>
      <c r="Z991">
        <v>-1.8334349999999999E-4</v>
      </c>
      <c r="AA991">
        <v>0.9999709</v>
      </c>
      <c r="AB991">
        <v>38</v>
      </c>
      <c r="AC991">
        <v>151.29249999999999</v>
      </c>
      <c r="AD991">
        <v>5.68119999999998E-2</v>
      </c>
      <c r="AE991">
        <v>-2.75259999999997</v>
      </c>
      <c r="AF991">
        <v>1.1563991252327901</v>
      </c>
      <c r="AG991">
        <v>5.68119999999998E-2</v>
      </c>
      <c r="AH991">
        <v>151.31309807438299</v>
      </c>
      <c r="AI991">
        <v>89.978488361821107</v>
      </c>
      <c r="AJ991">
        <v>89.562129780893699</v>
      </c>
      <c r="AK991">
        <v>151.317527522121</v>
      </c>
      <c r="AL991">
        <v>93.706533350758505</v>
      </c>
      <c r="AM991">
        <v>90.533591608713806</v>
      </c>
      <c r="AN991">
        <v>1.0000000210962401</v>
      </c>
    </row>
    <row r="992" spans="1:40" x14ac:dyDescent="0.25">
      <c r="A992" t="str">
        <f>"20190303153758506"</f>
        <v>20190303153758506</v>
      </c>
      <c r="B992" t="str">
        <f>"1551598678499992"</f>
        <v>1551598678499992</v>
      </c>
      <c r="C992" t="s">
        <v>40</v>
      </c>
      <c r="D992">
        <v>4.2051990000000004</v>
      </c>
      <c r="E992">
        <v>0.50651679999999999</v>
      </c>
      <c r="F992" t="s">
        <v>41</v>
      </c>
      <c r="G992">
        <v>-158.19499999999999</v>
      </c>
      <c r="H992">
        <v>1.1944300000000001</v>
      </c>
      <c r="I992">
        <v>364.27179999999998</v>
      </c>
      <c r="J992">
        <v>-309.29390000000001</v>
      </c>
      <c r="K992">
        <v>1.072017</v>
      </c>
      <c r="L992">
        <v>367.03160000000003</v>
      </c>
      <c r="M992">
        <v>0.99987009999999998</v>
      </c>
      <c r="N992">
        <v>-1.2189210000000001E-2</v>
      </c>
      <c r="O992">
        <v>-1.054839E-2</v>
      </c>
      <c r="P992">
        <v>0.99704890000000002</v>
      </c>
      <c r="Q992">
        <v>-7.6763410000000004E-2</v>
      </c>
      <c r="R992">
        <v>-1.0604150000000001E-3</v>
      </c>
      <c r="S992">
        <v>3.009125</v>
      </c>
      <c r="T992">
        <v>2.4321080000000001E-3</v>
      </c>
      <c r="U992">
        <v>-5.4931639999999997E-2</v>
      </c>
      <c r="V992">
        <v>-9.4603550000000002E-3</v>
      </c>
      <c r="W992">
        <v>-6.4604629999999996E-2</v>
      </c>
      <c r="X992">
        <v>0.99786609999999998</v>
      </c>
      <c r="Y992">
        <v>7.7044779999999998E-3</v>
      </c>
      <c r="Z992">
        <v>-1.8094779999999999E-4</v>
      </c>
      <c r="AA992">
        <v>0.99997029999999998</v>
      </c>
      <c r="AB992">
        <v>38</v>
      </c>
      <c r="AC992">
        <v>151.09889999999999</v>
      </c>
      <c r="AD992">
        <v>0.12241299999999899</v>
      </c>
      <c r="AE992">
        <v>-2.7598000000000402</v>
      </c>
      <c r="AF992">
        <v>1.16567717468457</v>
      </c>
      <c r="AG992">
        <v>0.12241299999999899</v>
      </c>
      <c r="AH992">
        <v>151.11950669625199</v>
      </c>
      <c r="AI992">
        <v>89.953589458912802</v>
      </c>
      <c r="AJ992">
        <v>89.558051377617204</v>
      </c>
      <c r="AK992">
        <v>151.124051998141</v>
      </c>
      <c r="AL992">
        <v>93.704152377099902</v>
      </c>
      <c r="AM992">
        <v>90.543181269840304</v>
      </c>
      <c r="AN992">
        <v>1.00000000503168</v>
      </c>
    </row>
    <row r="993" spans="1:40" x14ac:dyDescent="0.25">
      <c r="A993" t="str">
        <f>"20190303153758517"</f>
        <v>20190303153758517</v>
      </c>
      <c r="B993" t="str">
        <f>"1551598678509752"</f>
        <v>1551598678509752</v>
      </c>
      <c r="C993" t="s">
        <v>40</v>
      </c>
      <c r="D993">
        <v>4.2212649999999998</v>
      </c>
      <c r="E993">
        <v>0.50652419999999998</v>
      </c>
      <c r="F993" t="s">
        <v>41</v>
      </c>
      <c r="G993">
        <v>-158.19499999999999</v>
      </c>
      <c r="H993">
        <v>1.2635829999999999</v>
      </c>
      <c r="I993">
        <v>364.29629999999997</v>
      </c>
      <c r="J993">
        <v>-309.10860000000002</v>
      </c>
      <c r="K993">
        <v>1.0718270000000001</v>
      </c>
      <c r="L993">
        <v>367.02960000000002</v>
      </c>
      <c r="M993">
        <v>0.9998745</v>
      </c>
      <c r="N993">
        <v>-1.1834570000000001E-2</v>
      </c>
      <c r="O993">
        <v>-1.0548180000000001E-2</v>
      </c>
      <c r="P993">
        <v>0.99709420000000004</v>
      </c>
      <c r="Q993">
        <v>-7.6172130000000005E-2</v>
      </c>
      <c r="R993">
        <v>-1.131485E-3</v>
      </c>
      <c r="S993">
        <v>3.0091860000000001</v>
      </c>
      <c r="T993">
        <v>3.8168429999999999E-3</v>
      </c>
      <c r="U993">
        <v>-5.4473880000000002E-2</v>
      </c>
      <c r="V993">
        <v>-9.3891280000000001E-3</v>
      </c>
      <c r="W993">
        <v>-6.4366789999999993E-2</v>
      </c>
      <c r="X993">
        <v>0.99788209999999999</v>
      </c>
      <c r="Y993">
        <v>7.5523250000000004E-3</v>
      </c>
      <c r="Z993">
        <v>-1.7811419999999901E-4</v>
      </c>
      <c r="AA993">
        <v>0.99997139999999995</v>
      </c>
      <c r="AB993">
        <v>38</v>
      </c>
      <c r="AC993">
        <v>150.9136</v>
      </c>
      <c r="AD993">
        <v>0.19175599999999901</v>
      </c>
      <c r="AE993">
        <v>-2.7333000000000398</v>
      </c>
      <c r="AF993">
        <v>1.14117103697927</v>
      </c>
      <c r="AG993">
        <v>0.19175599999999901</v>
      </c>
      <c r="AH993">
        <v>150.93379271046399</v>
      </c>
      <c r="AI993">
        <v>89.927209875452405</v>
      </c>
      <c r="AJ993">
        <v>89.566809810464505</v>
      </c>
      <c r="AK993">
        <v>150.93822850313401</v>
      </c>
      <c r="AL993">
        <v>93.690496883885103</v>
      </c>
      <c r="AM993">
        <v>90.539083257801707</v>
      </c>
      <c r="AN993">
        <v>0.99999996243995604</v>
      </c>
    </row>
    <row r="994" spans="1:40" x14ac:dyDescent="0.25">
      <c r="A994" t="str">
        <f>"20190303153758528"</f>
        <v>20190303153758528</v>
      </c>
      <c r="B994" t="str">
        <f>"1551598678519511"</f>
        <v>1551598678519511</v>
      </c>
      <c r="C994" t="s">
        <v>40</v>
      </c>
      <c r="D994">
        <v>4.2242189999999997</v>
      </c>
      <c r="E994">
        <v>0.50654429999999995</v>
      </c>
      <c r="F994" t="s">
        <v>41</v>
      </c>
      <c r="G994">
        <v>-158.19499999999999</v>
      </c>
      <c r="H994">
        <v>1.3605499999999999</v>
      </c>
      <c r="I994">
        <v>364.2792</v>
      </c>
      <c r="J994">
        <v>-308.92070000000001</v>
      </c>
      <c r="K994">
        <v>1.0716460000000001</v>
      </c>
      <c r="L994">
        <v>367.02760000000001</v>
      </c>
      <c r="M994">
        <v>0.9998785</v>
      </c>
      <c r="N994">
        <v>-1.1482300000000001E-2</v>
      </c>
      <c r="O994">
        <v>-1.0547569999999999E-2</v>
      </c>
      <c r="P994">
        <v>0.99710129999999997</v>
      </c>
      <c r="Q994">
        <v>-7.6077969999999995E-2</v>
      </c>
      <c r="R994">
        <v>-1.137472E-3</v>
      </c>
      <c r="S994">
        <v>3.0090940000000002</v>
      </c>
      <c r="T994">
        <v>5.7586429999999999E-3</v>
      </c>
      <c r="U994">
        <v>-5.4840090000000001E-2</v>
      </c>
      <c r="V994">
        <v>-9.3827849999999994E-3</v>
      </c>
      <c r="W994">
        <v>-6.4624089999999995E-2</v>
      </c>
      <c r="X994">
        <v>0.99786560000000002</v>
      </c>
      <c r="Y994">
        <v>7.6752469999999996E-3</v>
      </c>
      <c r="Z994">
        <v>-1.7801709999999999E-4</v>
      </c>
      <c r="AA994">
        <v>0.99997060000000004</v>
      </c>
      <c r="AB994">
        <v>38</v>
      </c>
      <c r="AC994">
        <v>150.72569999999999</v>
      </c>
      <c r="AD994">
        <v>0.28890399999999999</v>
      </c>
      <c r="AE994">
        <v>-2.7484000000000002</v>
      </c>
      <c r="AF994">
        <v>1.15834824327902</v>
      </c>
      <c r="AG994">
        <v>0.28890399999999999</v>
      </c>
      <c r="AH994">
        <v>150.745751655807</v>
      </c>
      <c r="AI994">
        <v>89.890196103246893</v>
      </c>
      <c r="AJ994">
        <v>89.559741096471797</v>
      </c>
      <c r="AK994">
        <v>150.750478866398</v>
      </c>
      <c r="AL994">
        <v>93.705269585273399</v>
      </c>
      <c r="AM994">
        <v>90.538727998907305</v>
      </c>
      <c r="AN994">
        <v>1.0000000326630201</v>
      </c>
    </row>
    <row r="995" spans="1:40" x14ac:dyDescent="0.25">
      <c r="A995" t="str">
        <f>"20190303153758540"</f>
        <v>20190303153758540</v>
      </c>
      <c r="B995" t="str">
        <f>"1551598678530248"</f>
        <v>1551598678530248</v>
      </c>
      <c r="C995" t="s">
        <v>40</v>
      </c>
      <c r="D995">
        <v>4.2238309999999997</v>
      </c>
      <c r="E995">
        <v>0.50655289999999997</v>
      </c>
      <c r="F995" t="s">
        <v>41</v>
      </c>
      <c r="G995">
        <v>-158.19499999999999</v>
      </c>
      <c r="H995">
        <v>1.387354</v>
      </c>
      <c r="I995">
        <v>364.26850000000002</v>
      </c>
      <c r="J995">
        <v>-308.72910000000002</v>
      </c>
      <c r="K995">
        <v>1.071493</v>
      </c>
      <c r="L995">
        <v>367.0256</v>
      </c>
      <c r="M995">
        <v>0.99988220000000005</v>
      </c>
      <c r="N995">
        <v>-1.115641E-2</v>
      </c>
      <c r="O995">
        <v>-1.054717E-2</v>
      </c>
      <c r="P995">
        <v>0.99714669999999905</v>
      </c>
      <c r="Q995">
        <v>-7.5483300000000003E-2</v>
      </c>
      <c r="R995">
        <v>-9.7723499999999991E-4</v>
      </c>
      <c r="S995">
        <v>3.009125</v>
      </c>
      <c r="T995">
        <v>6.3046219999999898E-3</v>
      </c>
      <c r="U995">
        <v>-5.5084229999999998E-2</v>
      </c>
      <c r="V995">
        <v>-9.5428270000000003E-3</v>
      </c>
      <c r="W995">
        <v>-6.4354190000000006E-2</v>
      </c>
      <c r="X995">
        <v>0.99788149999999998</v>
      </c>
      <c r="Y995">
        <v>7.7565899999999998E-3</v>
      </c>
      <c r="Z995">
        <v>-1.74909E-4</v>
      </c>
      <c r="AA995">
        <v>0.99996989999999997</v>
      </c>
      <c r="AB995">
        <v>38</v>
      </c>
      <c r="AC995">
        <v>150.5341</v>
      </c>
      <c r="AD995">
        <v>0.315861</v>
      </c>
      <c r="AE995">
        <v>-2.7570999999999799</v>
      </c>
      <c r="AF995">
        <v>1.16913401405239</v>
      </c>
      <c r="AG995">
        <v>0.315861</v>
      </c>
      <c r="AH995">
        <v>150.554144592076</v>
      </c>
      <c r="AI995">
        <v>89.879797862327905</v>
      </c>
      <c r="AJ995">
        <v>89.555076358655299</v>
      </c>
      <c r="AK995">
        <v>150.55901532743201</v>
      </c>
      <c r="AL995">
        <v>93.689773290009299</v>
      </c>
      <c r="AM995">
        <v>90.547907787627807</v>
      </c>
      <c r="AN995">
        <v>1.00000000767997</v>
      </c>
    </row>
    <row r="996" spans="1:40" x14ac:dyDescent="0.25">
      <c r="A996" t="str">
        <f>"20190303153758551"</f>
        <v>20190303153758551</v>
      </c>
      <c r="B996" t="str">
        <f>"1551598678540008"</f>
        <v>1551598678540008</v>
      </c>
      <c r="C996" t="s">
        <v>40</v>
      </c>
      <c r="D996">
        <v>4.1778110000000002</v>
      </c>
      <c r="E996">
        <v>0.50655559999999999</v>
      </c>
      <c r="F996" t="s">
        <v>41</v>
      </c>
      <c r="G996">
        <v>-158.19499999999999</v>
      </c>
      <c r="H996">
        <v>1.483552</v>
      </c>
      <c r="I996">
        <v>364.31420000000003</v>
      </c>
      <c r="J996">
        <v>-308.53719999999998</v>
      </c>
      <c r="K996">
        <v>1.071342</v>
      </c>
      <c r="L996">
        <v>367.02359999999999</v>
      </c>
      <c r="M996">
        <v>0.99988569999999999</v>
      </c>
      <c r="N996">
        <v>-1.08386E-2</v>
      </c>
      <c r="O996">
        <v>-1.0546740000000001E-2</v>
      </c>
      <c r="P996">
        <v>0.99717869999999997</v>
      </c>
      <c r="Q996">
        <v>-7.5061390000000006E-2</v>
      </c>
      <c r="R996">
        <v>-9.3470490000000005E-4</v>
      </c>
      <c r="S996">
        <v>3.009125</v>
      </c>
      <c r="T996">
        <v>8.2386730000000002E-3</v>
      </c>
      <c r="U996">
        <v>-5.4199219999999999E-2</v>
      </c>
      <c r="V996">
        <v>-9.5857170000000005E-3</v>
      </c>
      <c r="W996">
        <v>-6.424908E-2</v>
      </c>
      <c r="X996">
        <v>0.99788779999999999</v>
      </c>
      <c r="Y996">
        <v>7.4631039999999999E-3</v>
      </c>
      <c r="Z996">
        <v>-1.7341500000000001E-4</v>
      </c>
      <c r="AA996">
        <v>0.99997219999999998</v>
      </c>
      <c r="AB996">
        <v>38</v>
      </c>
      <c r="AC996">
        <v>150.34219999999999</v>
      </c>
      <c r="AD996">
        <v>0.41221000000000002</v>
      </c>
      <c r="AE996">
        <v>-2.7093999999999601</v>
      </c>
      <c r="AF996">
        <v>1.1235277049610299</v>
      </c>
      <c r="AG996">
        <v>0.41221000000000002</v>
      </c>
      <c r="AH996">
        <v>150.36128426014</v>
      </c>
      <c r="AI996">
        <v>89.842930479620705</v>
      </c>
      <c r="AJ996">
        <v>89.571883161604106</v>
      </c>
      <c r="AK996">
        <v>150.36604681891001</v>
      </c>
      <c r="AL996">
        <v>93.683738669790898</v>
      </c>
      <c r="AM996">
        <v>90.550366720034404</v>
      </c>
      <c r="AN996">
        <v>0.99999994582004303</v>
      </c>
    </row>
    <row r="997" spans="1:40" x14ac:dyDescent="0.25">
      <c r="A997" t="str">
        <f>"20190303153758565"</f>
        <v>20190303153758565</v>
      </c>
      <c r="B997" t="str">
        <f>"1551598678559527"</f>
        <v>1551598678559527</v>
      </c>
      <c r="C997" t="s">
        <v>40</v>
      </c>
      <c r="D997">
        <v>4.1810839999999896</v>
      </c>
      <c r="E997">
        <v>0.50656999999999996</v>
      </c>
      <c r="F997" t="s">
        <v>41</v>
      </c>
      <c r="G997">
        <v>-158.19499999999999</v>
      </c>
      <c r="H997">
        <v>1.5503640000000001</v>
      </c>
      <c r="I997">
        <v>364.31420000000003</v>
      </c>
      <c r="J997">
        <v>-308.30149999999998</v>
      </c>
      <c r="K997">
        <v>1.0711850000000001</v>
      </c>
      <c r="L997">
        <v>367.02109999999999</v>
      </c>
      <c r="M997">
        <v>0.99988949999999999</v>
      </c>
      <c r="N997">
        <v>-1.0485700000000001E-2</v>
      </c>
      <c r="O997">
        <v>-1.0546420000000001E-2</v>
      </c>
      <c r="P997">
        <v>0.99722</v>
      </c>
      <c r="Q997">
        <v>-7.4507829999999997E-2</v>
      </c>
      <c r="R997">
        <v>-9.182668E-4</v>
      </c>
      <c r="S997">
        <v>3.0091549999999998</v>
      </c>
      <c r="T997">
        <v>9.5895530000000007E-3</v>
      </c>
      <c r="U997">
        <v>-5.4229739999999999E-2</v>
      </c>
      <c r="V997">
        <v>-9.6020180000000004E-3</v>
      </c>
      <c r="W997">
        <v>-6.404733E-2</v>
      </c>
      <c r="X997">
        <v>0.99790069999999997</v>
      </c>
      <c r="Y997">
        <v>7.4734349999999996E-3</v>
      </c>
      <c r="Z997">
        <v>-1.7146779999999999E-4</v>
      </c>
      <c r="AA997">
        <v>0.99997199999999997</v>
      </c>
      <c r="AB997">
        <v>38</v>
      </c>
      <c r="AC997">
        <v>150.10649999999899</v>
      </c>
      <c r="AD997">
        <v>0.47917899999999902</v>
      </c>
      <c r="AE997">
        <v>-2.7068999999999601</v>
      </c>
      <c r="AF997">
        <v>1.12356491184635</v>
      </c>
      <c r="AG997">
        <v>0.47917899999999902</v>
      </c>
      <c r="AH997">
        <v>150.125171219679</v>
      </c>
      <c r="AI997">
        <v>89.817125456080106</v>
      </c>
      <c r="AJ997">
        <v>89.571195656142095</v>
      </c>
      <c r="AK997">
        <v>150.13014035949999</v>
      </c>
      <c r="AL997">
        <v>93.672155067389795</v>
      </c>
      <c r="AM997">
        <v>90.551295462631899</v>
      </c>
      <c r="AN997">
        <v>1.00000003314514</v>
      </c>
    </row>
    <row r="998" spans="1:40" x14ac:dyDescent="0.25">
      <c r="A998" t="str">
        <f>"20190303153758579"</f>
        <v>20190303153758579</v>
      </c>
      <c r="B998" t="str">
        <f>"1551598678570264"</f>
        <v>1551598678570264</v>
      </c>
      <c r="C998" t="s">
        <v>40</v>
      </c>
      <c r="D998">
        <v>4.2384089999999999</v>
      </c>
      <c r="E998">
        <v>0.506575</v>
      </c>
      <c r="F998" t="s">
        <v>41</v>
      </c>
      <c r="G998">
        <v>-158.19499999999999</v>
      </c>
      <c r="H998">
        <v>1.640628</v>
      </c>
      <c r="I998">
        <v>364.3175</v>
      </c>
      <c r="J998">
        <v>-308.07089999999999</v>
      </c>
      <c r="K998">
        <v>1.071043</v>
      </c>
      <c r="L998">
        <v>367.01859999999999</v>
      </c>
      <c r="M998">
        <v>0.99989280000000003</v>
      </c>
      <c r="N998">
        <v>-1.017473E-2</v>
      </c>
      <c r="O998">
        <v>-1.0546140000000001E-2</v>
      </c>
      <c r="P998">
        <v>0.99725030000000003</v>
      </c>
      <c r="Q998">
        <v>-7.4101399999999901E-2</v>
      </c>
      <c r="R998">
        <v>-9.442179E-4</v>
      </c>
      <c r="S998">
        <v>3.0091549999999998</v>
      </c>
      <c r="T998">
        <v>1.141727E-2</v>
      </c>
      <c r="U998">
        <v>-5.4199219999999999E-2</v>
      </c>
      <c r="V998">
        <v>-9.5763819999999996E-3</v>
      </c>
      <c r="W998">
        <v>-6.3950900000000005E-2</v>
      </c>
      <c r="X998">
        <v>0.99790710000000005</v>
      </c>
      <c r="Y998">
        <v>7.4636629999999997E-3</v>
      </c>
      <c r="Z998">
        <v>-1.7112599999999999E-4</v>
      </c>
      <c r="AA998">
        <v>0.99997210000000003</v>
      </c>
      <c r="AB998">
        <v>38</v>
      </c>
      <c r="AC998">
        <v>149.8759</v>
      </c>
      <c r="AD998">
        <v>0.56958500000000001</v>
      </c>
      <c r="AE998">
        <v>-2.7010999999999901</v>
      </c>
      <c r="AF998">
        <v>1.12023983229225</v>
      </c>
      <c r="AG998">
        <v>0.56958500000000001</v>
      </c>
      <c r="AH998">
        <v>149.89388768273901</v>
      </c>
      <c r="AI998">
        <v>89.782287665874193</v>
      </c>
      <c r="AJ998">
        <v>89.5718049583691</v>
      </c>
      <c r="AK998">
        <v>149.899155864867</v>
      </c>
      <c r="AL998">
        <v>93.666618798363103</v>
      </c>
      <c r="AM998">
        <v>90.549820147887004</v>
      </c>
      <c r="AN998">
        <v>1.0000000024667099</v>
      </c>
    </row>
    <row r="999" spans="1:40" x14ac:dyDescent="0.25">
      <c r="A999" t="str">
        <f>"20190303153758591"</f>
        <v>20190303153758591</v>
      </c>
      <c r="B999" t="str">
        <f>"1551598678580024"</f>
        <v>1551598678580024</v>
      </c>
      <c r="C999" t="s">
        <v>40</v>
      </c>
      <c r="D999">
        <v>4.1878190000000002</v>
      </c>
      <c r="E999">
        <v>0.50658270000000005</v>
      </c>
      <c r="F999" t="s">
        <v>41</v>
      </c>
      <c r="G999">
        <v>-158.19499999999999</v>
      </c>
      <c r="H999">
        <v>1.7070069999999999</v>
      </c>
      <c r="I999">
        <v>364.30700000000002</v>
      </c>
      <c r="J999">
        <v>-307.85489999999999</v>
      </c>
      <c r="K999">
        <v>1.070929</v>
      </c>
      <c r="L999">
        <v>367.01639999999998</v>
      </c>
      <c r="M999">
        <v>0.99989530000000004</v>
      </c>
      <c r="N999">
        <v>-9.9059290000000008E-3</v>
      </c>
      <c r="O999">
        <v>-1.0545509999999999E-2</v>
      </c>
      <c r="P999">
        <v>0.99728720000000004</v>
      </c>
      <c r="Q999">
        <v>-7.360274E-2</v>
      </c>
      <c r="R999">
        <v>-9.8459780000000009E-4</v>
      </c>
      <c r="S999">
        <v>3.0091549999999998</v>
      </c>
      <c r="T999">
        <v>1.2770409999999999E-2</v>
      </c>
      <c r="U999">
        <v>-5.4443360000000003E-2</v>
      </c>
      <c r="V999">
        <v>-9.5356E-3</v>
      </c>
      <c r="W999">
        <v>-6.3720170000000007E-2</v>
      </c>
      <c r="X999">
        <v>0.99792219999999998</v>
      </c>
      <c r="Y999">
        <v>7.5454469999999899E-3</v>
      </c>
      <c r="Z999">
        <v>-1.7057419999999901E-4</v>
      </c>
      <c r="AA999">
        <v>0.99997150000000001</v>
      </c>
      <c r="AB999">
        <v>38</v>
      </c>
      <c r="AC999">
        <v>149.65989999999999</v>
      </c>
      <c r="AD999">
        <v>0.63607799999999903</v>
      </c>
      <c r="AE999">
        <v>-2.7094000000000098</v>
      </c>
      <c r="AF999">
        <v>1.1309114513905401</v>
      </c>
      <c r="AG999">
        <v>0.63607799999999903</v>
      </c>
      <c r="AH999">
        <v>149.67744782408801</v>
      </c>
      <c r="AI999">
        <v>89.756520933702603</v>
      </c>
      <c r="AJ999">
        <v>89.567100982014296</v>
      </c>
      <c r="AK999">
        <v>149.68307166498701</v>
      </c>
      <c r="AL999">
        <v>93.653372108086899</v>
      </c>
      <c r="AM999">
        <v>90.547470541865593</v>
      </c>
      <c r="AN999">
        <v>0.99999995249251294</v>
      </c>
    </row>
    <row r="1000" spans="1:40" x14ac:dyDescent="0.25">
      <c r="A1000" t="str">
        <f>"20190303153758607"</f>
        <v>20190303153758607</v>
      </c>
      <c r="B1000" t="str">
        <f>"1551598678599544"</f>
        <v>1551598678599544</v>
      </c>
      <c r="C1000" t="s">
        <v>40</v>
      </c>
      <c r="D1000">
        <v>4.2161309999999999</v>
      </c>
      <c r="E1000">
        <v>0.50660090000000002</v>
      </c>
      <c r="F1000" t="s">
        <v>41</v>
      </c>
      <c r="G1000">
        <v>-158.19499999999999</v>
      </c>
      <c r="H1000">
        <v>1.78413499999999</v>
      </c>
      <c r="I1000">
        <v>364.29050000000001</v>
      </c>
      <c r="J1000">
        <v>-307.58019999999999</v>
      </c>
      <c r="K1000">
        <v>1.0708169999999999</v>
      </c>
      <c r="L1000">
        <v>367.01350000000002</v>
      </c>
      <c r="M1000">
        <v>0.99989810000000001</v>
      </c>
      <c r="N1000">
        <v>-9.6184289999999995E-3</v>
      </c>
      <c r="O1000">
        <v>-1.054507E-2</v>
      </c>
      <c r="P1000">
        <v>0.99735620000000003</v>
      </c>
      <c r="Q1000">
        <v>-7.2664220000000002E-2</v>
      </c>
      <c r="R1000">
        <v>-6.0769709999999996E-4</v>
      </c>
      <c r="S1000">
        <v>3.0091860000000001</v>
      </c>
      <c r="T1000">
        <v>1.434207E-2</v>
      </c>
      <c r="U1000">
        <v>-5.4809570000000002E-2</v>
      </c>
      <c r="V1000">
        <v>-9.9124079999999993E-3</v>
      </c>
      <c r="W1000">
        <v>-6.3067970000000001E-2</v>
      </c>
      <c r="X1000">
        <v>0.99795999999999996</v>
      </c>
      <c r="Y1000">
        <v>7.6674200000000003E-3</v>
      </c>
      <c r="Z1000">
        <v>-1.7028329999999999E-4</v>
      </c>
      <c r="AA1000">
        <v>0.99997060000000004</v>
      </c>
      <c r="AB1000">
        <v>38</v>
      </c>
      <c r="AC1000">
        <v>149.3852</v>
      </c>
      <c r="AD1000">
        <v>0.71331799999999901</v>
      </c>
      <c r="AE1000">
        <v>-2.7230000000000101</v>
      </c>
      <c r="AF1000">
        <v>1.1474721059773101</v>
      </c>
      <c r="AG1000">
        <v>0.71331799999999901</v>
      </c>
      <c r="AH1000">
        <v>149.40220348261201</v>
      </c>
      <c r="AI1000">
        <v>89.726452528892494</v>
      </c>
      <c r="AJ1000">
        <v>89.559952835051902</v>
      </c>
      <c r="AK1000">
        <v>149.40831275489001</v>
      </c>
      <c r="AL1000">
        <v>93.6159283359559</v>
      </c>
      <c r="AM1000">
        <v>90.569081393122701</v>
      </c>
      <c r="AN1000">
        <v>0.99999999313613896</v>
      </c>
    </row>
    <row r="1001" spans="1:40" x14ac:dyDescent="0.25">
      <c r="A1001" t="str">
        <f>"20190303153758619"</f>
        <v>20190303153758619</v>
      </c>
      <c r="B1001" t="str">
        <f>"1551598678610280"</f>
        <v>1551598678610280</v>
      </c>
      <c r="C1001" t="s">
        <v>40</v>
      </c>
      <c r="D1001">
        <v>4.2057500000000001</v>
      </c>
      <c r="E1001">
        <v>0.50662339999999995</v>
      </c>
      <c r="F1001" t="s">
        <v>41</v>
      </c>
      <c r="G1001">
        <v>-158.19499999999999</v>
      </c>
      <c r="H1001">
        <v>1.9264749999999999</v>
      </c>
      <c r="I1001">
        <v>364.3578</v>
      </c>
      <c r="J1001">
        <v>-307.37900000000002</v>
      </c>
      <c r="K1001">
        <v>1.0707519999999999</v>
      </c>
      <c r="L1001">
        <v>367.01139999999998</v>
      </c>
      <c r="M1001">
        <v>0.99989969999999995</v>
      </c>
      <c r="N1001">
        <v>-9.4607979999999994E-3</v>
      </c>
      <c r="O1001">
        <v>-1.054504E-2</v>
      </c>
      <c r="P1001">
        <v>0.99737549999999997</v>
      </c>
      <c r="Q1001">
        <v>-7.2404010000000005E-2</v>
      </c>
      <c r="R1001">
        <v>-2.8126200000000001E-4</v>
      </c>
      <c r="S1001">
        <v>3.0092159999999999</v>
      </c>
      <c r="T1001">
        <v>1.7238139999999999E-2</v>
      </c>
      <c r="U1001">
        <v>-5.3497309999999999E-2</v>
      </c>
      <c r="V1001">
        <v>-1.023892E-2</v>
      </c>
      <c r="W1001">
        <v>-6.2964900000000004E-2</v>
      </c>
      <c r="X1001">
        <v>0.99796320000000005</v>
      </c>
      <c r="Y1001">
        <v>7.2314730000000004E-3</v>
      </c>
      <c r="Z1001">
        <v>-1.7365990000000001E-4</v>
      </c>
      <c r="AA1001">
        <v>0.99997380000000002</v>
      </c>
      <c r="AB1001">
        <v>38</v>
      </c>
      <c r="AC1001">
        <v>149.184</v>
      </c>
      <c r="AD1001">
        <v>0.85572299999999901</v>
      </c>
      <c r="AE1001">
        <v>-2.65359999999998</v>
      </c>
      <c r="AF1001">
        <v>1.08019535036208</v>
      </c>
      <c r="AG1001">
        <v>0.85572299999999901</v>
      </c>
      <c r="AH1001">
        <v>149.19878074405301</v>
      </c>
      <c r="AI1001">
        <v>89.671394809080397</v>
      </c>
      <c r="AJ1001">
        <v>89.585187271824495</v>
      </c>
      <c r="AK1001">
        <v>149.205144882339</v>
      </c>
      <c r="AL1001">
        <v>93.610011142007906</v>
      </c>
      <c r="AM1001">
        <v>90.587823598941398</v>
      </c>
      <c r="AN1001">
        <v>0.99999998133450796</v>
      </c>
    </row>
    <row r="1002" spans="1:40" x14ac:dyDescent="0.25">
      <c r="A1002" t="str">
        <f>"20190303153758631"</f>
        <v>20190303153758631</v>
      </c>
      <c r="B1002" t="str">
        <f>"1551598678620040"</f>
        <v>1551598678620040</v>
      </c>
      <c r="C1002" t="s">
        <v>40</v>
      </c>
      <c r="D1002">
        <v>4.2003560000000002</v>
      </c>
      <c r="E1002">
        <v>0.50664149999999997</v>
      </c>
      <c r="F1002" t="s">
        <v>41</v>
      </c>
      <c r="G1002">
        <v>-158.19499999999999</v>
      </c>
      <c r="H1002">
        <v>1.970483</v>
      </c>
      <c r="I1002">
        <v>364.39400000000001</v>
      </c>
      <c r="J1002">
        <v>-307.17930000000001</v>
      </c>
      <c r="K1002">
        <v>1.070694</v>
      </c>
      <c r="L1002">
        <v>367.00920000000002</v>
      </c>
      <c r="M1002">
        <v>0.99990100000000004</v>
      </c>
      <c r="N1002">
        <v>-9.3280710000000003E-3</v>
      </c>
      <c r="O1002">
        <v>-1.0544660000000001E-2</v>
      </c>
      <c r="P1002">
        <v>0.99740580000000001</v>
      </c>
      <c r="Q1002">
        <v>-7.1986110000000006E-2</v>
      </c>
      <c r="R1002">
        <v>-1.023677E-4</v>
      </c>
      <c r="S1002">
        <v>3.0091860000000001</v>
      </c>
      <c r="T1002">
        <v>1.815021E-2</v>
      </c>
      <c r="U1002">
        <v>-5.2795410000000001E-2</v>
      </c>
      <c r="V1002">
        <v>-1.041803E-2</v>
      </c>
      <c r="W1002">
        <v>-6.2679230000000002E-2</v>
      </c>
      <c r="X1002">
        <v>0.99797930000000001</v>
      </c>
      <c r="Y1002">
        <v>6.9988919999999996E-3</v>
      </c>
      <c r="Z1002">
        <v>-1.734913E-4</v>
      </c>
      <c r="AA1002">
        <v>0.99997550000000002</v>
      </c>
      <c r="AB1002">
        <v>38</v>
      </c>
      <c r="AC1002">
        <v>148.98429999999999</v>
      </c>
      <c r="AD1002">
        <v>0.89978899999999995</v>
      </c>
      <c r="AE1002">
        <v>-2.61520000000001</v>
      </c>
      <c r="AF1002">
        <v>1.0439595498838901</v>
      </c>
      <c r="AG1002">
        <v>0.89978899999999995</v>
      </c>
      <c r="AH1002">
        <v>148.998160774089</v>
      </c>
      <c r="AI1002">
        <v>89.654007674617802</v>
      </c>
      <c r="AJ1002">
        <v>89.598562176093793</v>
      </c>
      <c r="AK1002">
        <v>149.00453478283001</v>
      </c>
      <c r="AL1002">
        <v>93.593611166686301</v>
      </c>
      <c r="AM1002">
        <v>90.598096041140707</v>
      </c>
      <c r="AN1002">
        <v>0.99999995222547999</v>
      </c>
    </row>
    <row r="1003" spans="1:40" x14ac:dyDescent="0.25">
      <c r="A1003" t="str">
        <f>"20190303153758642"</f>
        <v>20190303153758642</v>
      </c>
      <c r="B1003" t="str">
        <f>"1551598678629800"</f>
        <v>1551598678629800</v>
      </c>
      <c r="C1003" t="s">
        <v>40</v>
      </c>
      <c r="D1003">
        <v>4.2222799999999996</v>
      </c>
      <c r="E1003">
        <v>0.50664690000000001</v>
      </c>
      <c r="F1003" t="s">
        <v>41</v>
      </c>
      <c r="G1003">
        <v>-158.19499999999999</v>
      </c>
      <c r="H1003">
        <v>2.0376629999999998</v>
      </c>
      <c r="I1003">
        <v>364.41199999999998</v>
      </c>
      <c r="J1003">
        <v>-306.98399999999998</v>
      </c>
      <c r="K1003">
        <v>1.0706659999999999</v>
      </c>
      <c r="L1003">
        <v>367.00720000000001</v>
      </c>
      <c r="M1003">
        <v>0.99990140000000005</v>
      </c>
      <c r="N1003">
        <v>-9.2786710000000005E-3</v>
      </c>
      <c r="O1003">
        <v>-1.054419E-2</v>
      </c>
      <c r="P1003">
        <v>0.997394</v>
      </c>
      <c r="Q1003">
        <v>-7.2146119999999994E-2</v>
      </c>
      <c r="R1003">
        <v>3.2360050000000001E-4</v>
      </c>
      <c r="S1003">
        <v>3.0092159999999999</v>
      </c>
      <c r="T1003">
        <v>1.9532799999999999E-2</v>
      </c>
      <c r="U1003">
        <v>-5.2459720000000001E-2</v>
      </c>
      <c r="V1003">
        <v>-1.0842839999999999E-2</v>
      </c>
      <c r="W1003">
        <v>-6.2888669999999994E-2</v>
      </c>
      <c r="X1003">
        <v>0.9979616</v>
      </c>
      <c r="Y1003">
        <v>6.8877280000000001E-3</v>
      </c>
      <c r="Z1003">
        <v>-1.75871E-4</v>
      </c>
      <c r="AA1003">
        <v>0.99997630000000004</v>
      </c>
      <c r="AB1003">
        <v>38</v>
      </c>
      <c r="AC1003">
        <v>148.78899999999999</v>
      </c>
      <c r="AD1003">
        <v>0.966997</v>
      </c>
      <c r="AE1003">
        <v>-2.5952000000000299</v>
      </c>
      <c r="AF1003">
        <v>1.0260854300184401</v>
      </c>
      <c r="AG1003">
        <v>0.966997</v>
      </c>
      <c r="AH1003">
        <v>148.80181008570099</v>
      </c>
      <c r="AI1003">
        <v>89.627674221144801</v>
      </c>
      <c r="AJ1003">
        <v>89.604914532120404</v>
      </c>
      <c r="AK1003">
        <v>148.808489741979</v>
      </c>
      <c r="AL1003">
        <v>93.605634911774999</v>
      </c>
      <c r="AM1003">
        <v>90.622493416525401</v>
      </c>
      <c r="AN1003">
        <v>0.99999995353409599</v>
      </c>
    </row>
    <row r="1004" spans="1:40" x14ac:dyDescent="0.25">
      <c r="A1004" t="str">
        <f>"20190303153758653"</f>
        <v>20190303153758653</v>
      </c>
      <c r="B1004" t="str">
        <f>"1551598678650295"</f>
        <v>1551598678650295</v>
      </c>
      <c r="C1004" t="s">
        <v>40</v>
      </c>
      <c r="D1004">
        <v>4.2378369999999999</v>
      </c>
      <c r="E1004">
        <v>0.50668199999999997</v>
      </c>
      <c r="F1004" t="s">
        <v>41</v>
      </c>
      <c r="G1004">
        <v>-158.19499999999999</v>
      </c>
      <c r="H1004">
        <v>2.010033</v>
      </c>
      <c r="I1004">
        <v>364.49329999999998</v>
      </c>
      <c r="J1004">
        <v>-306.80189999999999</v>
      </c>
      <c r="K1004">
        <v>1.0706469999999999</v>
      </c>
      <c r="L1004">
        <v>367.00529999999998</v>
      </c>
      <c r="M1004">
        <v>0.99990159999999995</v>
      </c>
      <c r="N1004">
        <v>-9.2704310000000009E-3</v>
      </c>
      <c r="O1004">
        <v>-1.0544029999999999E-2</v>
      </c>
      <c r="P1004">
        <v>0.99738800000000005</v>
      </c>
      <c r="Q1004">
        <v>-7.222903E-2</v>
      </c>
      <c r="R1004">
        <v>5.3062509999999999E-4</v>
      </c>
      <c r="S1004">
        <v>3.0091549999999998</v>
      </c>
      <c r="T1004">
        <v>1.8999809999999999E-2</v>
      </c>
      <c r="U1004">
        <v>-5.0842289999999998E-2</v>
      </c>
      <c r="V1004">
        <v>-1.104978E-2</v>
      </c>
      <c r="W1004">
        <v>-6.2979880000000002E-2</v>
      </c>
      <c r="X1004">
        <v>0.99795370000000005</v>
      </c>
      <c r="Y1004">
        <v>6.3508740000000003E-3</v>
      </c>
      <c r="Z1004">
        <v>-1.7370339999999999E-4</v>
      </c>
      <c r="AA1004">
        <v>0.99997979999999997</v>
      </c>
      <c r="AB1004">
        <v>38</v>
      </c>
      <c r="AC1004">
        <v>148.6069</v>
      </c>
      <c r="AD1004">
        <v>0.93938600000000005</v>
      </c>
      <c r="AE1004">
        <v>-2.512</v>
      </c>
      <c r="AF1004">
        <v>0.94483991182643501</v>
      </c>
      <c r="AG1004">
        <v>0.93938600000000005</v>
      </c>
      <c r="AH1004">
        <v>148.61918907995999</v>
      </c>
      <c r="AI1004">
        <v>89.637859356532999</v>
      </c>
      <c r="AJ1004">
        <v>89.635749526812404</v>
      </c>
      <c r="AK1004">
        <v>148.62516116492799</v>
      </c>
      <c r="AL1004">
        <v>93.610870800520303</v>
      </c>
      <c r="AM1004">
        <v>90.634378015500005</v>
      </c>
      <c r="AN1004">
        <v>1.00000007513327</v>
      </c>
    </row>
    <row r="1005" spans="1:40" x14ac:dyDescent="0.25">
      <c r="A1005" t="str">
        <f>"20190303153758664"</f>
        <v>20190303153758664</v>
      </c>
      <c r="B1005" t="str">
        <f>"1551598678660056"</f>
        <v>1551598678660056</v>
      </c>
      <c r="C1005" t="s">
        <v>40</v>
      </c>
      <c r="D1005">
        <v>4.239204</v>
      </c>
      <c r="E1005">
        <v>0.50670479999999996</v>
      </c>
      <c r="F1005" t="s">
        <v>41</v>
      </c>
      <c r="G1005">
        <v>-158.19499999999999</v>
      </c>
      <c r="H1005">
        <v>1.996426</v>
      </c>
      <c r="I1005">
        <v>364.50049999999999</v>
      </c>
      <c r="J1005">
        <v>-306.60730000000001</v>
      </c>
      <c r="K1005">
        <v>1.070646</v>
      </c>
      <c r="L1005">
        <v>367.00319999999999</v>
      </c>
      <c r="M1005">
        <v>0.99990100000000004</v>
      </c>
      <c r="N1005">
        <v>-9.3312510000000005E-3</v>
      </c>
      <c r="O1005">
        <v>-1.0543719999999999E-2</v>
      </c>
      <c r="P1005">
        <v>0.99737920000000002</v>
      </c>
      <c r="Q1005">
        <v>-7.235076E-2</v>
      </c>
      <c r="R1005">
        <v>6.7431199999999896E-4</v>
      </c>
      <c r="S1005">
        <v>3.0092469999999998</v>
      </c>
      <c r="T1005">
        <v>1.8748520000000001E-2</v>
      </c>
      <c r="U1005">
        <v>-5.0720210000000002E-2</v>
      </c>
      <c r="V1005">
        <v>-1.119297E-2</v>
      </c>
      <c r="W1005">
        <v>-6.3040979999999996E-2</v>
      </c>
      <c r="X1005">
        <v>0.99794819999999995</v>
      </c>
      <c r="Y1005">
        <v>6.3101149999999998E-3</v>
      </c>
      <c r="Z1005">
        <v>-1.738531E-4</v>
      </c>
      <c r="AA1005">
        <v>0.99998010000000004</v>
      </c>
      <c r="AB1005">
        <v>38</v>
      </c>
      <c r="AC1005">
        <v>148.41229999999999</v>
      </c>
      <c r="AD1005">
        <v>0.92577999999999905</v>
      </c>
      <c r="AE1005">
        <v>-2.5026999999999999</v>
      </c>
      <c r="AF1005">
        <v>0.93763872801208303</v>
      </c>
      <c r="AG1005">
        <v>0.92577999999999905</v>
      </c>
      <c r="AH1005">
        <v>148.42466471242</v>
      </c>
      <c r="AI1005">
        <v>89.642636615375096</v>
      </c>
      <c r="AJ1005">
        <v>89.638051887869807</v>
      </c>
      <c r="AK1005">
        <v>148.430513473432</v>
      </c>
      <c r="AL1005">
        <v>93.614378710382297</v>
      </c>
      <c r="AM1005">
        <v>90.642601541193798</v>
      </c>
      <c r="AN1005">
        <v>1.0000000288100099</v>
      </c>
    </row>
    <row r="1006" spans="1:40" x14ac:dyDescent="0.25">
      <c r="A1006" t="str">
        <f>"20190303153758674"</f>
        <v>20190303153758674</v>
      </c>
      <c r="B1006" t="str">
        <f>"1551598678669817"</f>
        <v>1551598678669817</v>
      </c>
      <c r="C1006" t="s">
        <v>40</v>
      </c>
      <c r="D1006">
        <v>4.2145409999999996</v>
      </c>
      <c r="E1006">
        <v>0.50671739999999998</v>
      </c>
      <c r="F1006" t="s">
        <v>41</v>
      </c>
      <c r="G1006">
        <v>-158.19499999999999</v>
      </c>
      <c r="H1006">
        <v>1.9758819999999999</v>
      </c>
      <c r="I1006">
        <v>364.50029999999998</v>
      </c>
      <c r="J1006">
        <v>-306.43369999999999</v>
      </c>
      <c r="K1006">
        <v>1.0706549999999999</v>
      </c>
      <c r="L1006">
        <v>367.00139999999999</v>
      </c>
      <c r="M1006">
        <v>0.99990000000000001</v>
      </c>
      <c r="N1006">
        <v>-9.4357299999999998E-3</v>
      </c>
      <c r="O1006">
        <v>-1.054337E-2</v>
      </c>
      <c r="P1006">
        <v>0.99736250000000004</v>
      </c>
      <c r="Q1006">
        <v>-7.2577550000000005E-2</v>
      </c>
      <c r="R1006">
        <v>8.3692670000000001E-4</v>
      </c>
      <c r="S1006">
        <v>3.0092469999999998</v>
      </c>
      <c r="T1006">
        <v>1.8356560000000001E-2</v>
      </c>
      <c r="U1006">
        <v>-5.0750730000000001E-2</v>
      </c>
      <c r="V1006">
        <v>-1.135515E-2</v>
      </c>
      <c r="W1006">
        <v>-6.316368E-2</v>
      </c>
      <c r="X1006">
        <v>0.99793860000000001</v>
      </c>
      <c r="Y1006">
        <v>6.3205919999999999E-3</v>
      </c>
      <c r="Z1006">
        <v>-1.743343E-4</v>
      </c>
      <c r="AA1006">
        <v>0.99997999999999998</v>
      </c>
      <c r="AB1006">
        <v>38</v>
      </c>
      <c r="AC1006">
        <v>148.23869999999999</v>
      </c>
      <c r="AD1006">
        <v>0.905227</v>
      </c>
      <c r="AE1006">
        <v>-2.5011000000000001</v>
      </c>
      <c r="AF1006">
        <v>0.93792112150407403</v>
      </c>
      <c r="AG1006">
        <v>0.905227</v>
      </c>
      <c r="AH1006">
        <v>148.251304219107</v>
      </c>
      <c r="AI1006">
        <v>89.650161565818607</v>
      </c>
      <c r="AJ1006">
        <v>89.637519513876498</v>
      </c>
      <c r="AK1006">
        <v>148.25703468846899</v>
      </c>
      <c r="AL1006">
        <v>93.621422974310306</v>
      </c>
      <c r="AM1006">
        <v>90.6519179581977</v>
      </c>
      <c r="AN1006">
        <v>1.0000000196363099</v>
      </c>
    </row>
    <row r="1007" spans="1:40" x14ac:dyDescent="0.25">
      <c r="A1007" t="str">
        <f>"20190303153758685"</f>
        <v>20190303153758685</v>
      </c>
      <c r="B1007" t="str">
        <f>"1551598678679576"</f>
        <v>1551598678679576</v>
      </c>
      <c r="C1007" t="s">
        <v>40</v>
      </c>
      <c r="D1007">
        <v>4.222575</v>
      </c>
      <c r="E1007">
        <v>0.50671739999999998</v>
      </c>
      <c r="F1007" t="s">
        <v>41</v>
      </c>
      <c r="G1007">
        <v>-158.19499999999999</v>
      </c>
      <c r="H1007">
        <v>1.937762</v>
      </c>
      <c r="I1007">
        <v>364.53300000000002</v>
      </c>
      <c r="J1007">
        <v>-306.25319999999999</v>
      </c>
      <c r="K1007">
        <v>1.070675</v>
      </c>
      <c r="L1007">
        <v>366.99950000000001</v>
      </c>
      <c r="M1007">
        <v>0.99989850000000002</v>
      </c>
      <c r="N1007">
        <v>-9.5898119999999996E-3</v>
      </c>
      <c r="O1007">
        <v>-1.0543500000000001E-2</v>
      </c>
      <c r="P1007">
        <v>0.99734619999999996</v>
      </c>
      <c r="Q1007">
        <v>-7.2801899999999906E-2</v>
      </c>
      <c r="R1007">
        <v>8.3866910000000004E-4</v>
      </c>
      <c r="S1007">
        <v>3.0092159999999999</v>
      </c>
      <c r="T1007">
        <v>1.7603870000000001E-2</v>
      </c>
      <c r="U1007">
        <v>-5.0109859999999999E-2</v>
      </c>
      <c r="V1007">
        <v>-1.135653E-2</v>
      </c>
      <c r="W1007">
        <v>-6.3234399999999996E-2</v>
      </c>
      <c r="X1007">
        <v>0.99793410000000005</v>
      </c>
      <c r="Y1007">
        <v>6.1076969999999996E-3</v>
      </c>
      <c r="Z1007">
        <v>-1.7420390000000001E-4</v>
      </c>
      <c r="AA1007">
        <v>0.99998129999999996</v>
      </c>
      <c r="AB1007">
        <v>38</v>
      </c>
      <c r="AC1007">
        <v>148.0582</v>
      </c>
      <c r="AD1007">
        <v>0.86708699999999905</v>
      </c>
      <c r="AE1007">
        <v>-2.4664999999999901</v>
      </c>
      <c r="AF1007">
        <v>0.90520854337185397</v>
      </c>
      <c r="AG1007">
        <v>0.86708699999999905</v>
      </c>
      <c r="AH1007">
        <v>148.07089924959899</v>
      </c>
      <c r="AI1007">
        <v>89.664492282632594</v>
      </c>
      <c r="AJ1007">
        <v>89.649735476183295</v>
      </c>
      <c r="AK1007">
        <v>148.076204864109</v>
      </c>
      <c r="AL1007">
        <v>93.625483068432203</v>
      </c>
      <c r="AM1007">
        <v>90.652000119250403</v>
      </c>
      <c r="AN1007">
        <v>1.0000000140298999</v>
      </c>
    </row>
    <row r="1008" spans="1:40" x14ac:dyDescent="0.25">
      <c r="A1008" t="str">
        <f>"20190303153758697"</f>
        <v>20190303153758697</v>
      </c>
      <c r="B1008" t="str">
        <f>"1551598678690312"</f>
        <v>1551598678690312</v>
      </c>
      <c r="C1008" t="s">
        <v>40</v>
      </c>
      <c r="D1008">
        <v>4.2585189999999997</v>
      </c>
      <c r="E1008">
        <v>0.49340079999999997</v>
      </c>
      <c r="F1008" t="s">
        <v>41</v>
      </c>
      <c r="G1008">
        <v>-158.19499999999999</v>
      </c>
      <c r="H1008">
        <v>1.903807</v>
      </c>
      <c r="I1008">
        <v>364.52199999999999</v>
      </c>
      <c r="J1008">
        <v>-306.05090000000001</v>
      </c>
      <c r="K1008">
        <v>1.070703</v>
      </c>
      <c r="L1008">
        <v>366.9973</v>
      </c>
      <c r="M1008">
        <v>0.99989640000000002</v>
      </c>
      <c r="N1008">
        <v>-9.8041240000000009E-3</v>
      </c>
      <c r="O1008">
        <v>-1.0543459999999999E-2</v>
      </c>
      <c r="P1008">
        <v>0.99731400000000003</v>
      </c>
      <c r="Q1008">
        <v>-7.3239100000000001E-2</v>
      </c>
      <c r="R1008">
        <v>9.4349310000000004E-4</v>
      </c>
      <c r="S1008">
        <v>3.0092469999999998</v>
      </c>
      <c r="T1008">
        <v>1.693499E-2</v>
      </c>
      <c r="U1008">
        <v>-5.0354000000000003E-2</v>
      </c>
      <c r="V1008">
        <v>-1.146105E-2</v>
      </c>
      <c r="W1008">
        <v>-6.3458029999999999E-2</v>
      </c>
      <c r="X1008">
        <v>0.99791870000000005</v>
      </c>
      <c r="Y1008">
        <v>6.1886600000000003E-3</v>
      </c>
      <c r="Z1008">
        <v>-1.7562170000000001E-4</v>
      </c>
      <c r="AA1008">
        <v>0.9999808</v>
      </c>
      <c r="AB1008">
        <v>38</v>
      </c>
      <c r="AC1008">
        <v>147.85589999999999</v>
      </c>
      <c r="AD1008">
        <v>0.83310399999999996</v>
      </c>
      <c r="AE1008">
        <v>-2.4752999999999998</v>
      </c>
      <c r="AF1008">
        <v>0.91614570231249004</v>
      </c>
      <c r="AG1008">
        <v>0.83310399999999996</v>
      </c>
      <c r="AH1008">
        <v>147.86908701106901</v>
      </c>
      <c r="AI1008">
        <v>89.677201483320502</v>
      </c>
      <c r="AJ1008">
        <v>89.645019715801794</v>
      </c>
      <c r="AK1008">
        <v>147.87427186197601</v>
      </c>
      <c r="AL1008">
        <v>93.638321943459701</v>
      </c>
      <c r="AM1008">
        <v>90.658010440710896</v>
      </c>
      <c r="AN1008">
        <v>1.00000000452413</v>
      </c>
    </row>
    <row r="1009" spans="1:40" x14ac:dyDescent="0.25">
      <c r="A1009" t="str">
        <f>"20190303153758707"</f>
        <v>20190303153758707</v>
      </c>
      <c r="B1009" t="str">
        <f>"1551598678700072"</f>
        <v>1551598678700072</v>
      </c>
      <c r="C1009" t="s">
        <v>40</v>
      </c>
      <c r="D1009">
        <v>4.2581639999999998</v>
      </c>
      <c r="E1009">
        <v>0.49043500000000001</v>
      </c>
      <c r="F1009" t="s">
        <v>45</v>
      </c>
      <c r="G1009">
        <v>-193.54419999999999</v>
      </c>
      <c r="H1009" s="1">
        <v>-6.6491409999999899E-6</v>
      </c>
      <c r="I1009">
        <v>369.09449999999998</v>
      </c>
      <c r="J1009">
        <v>-305.85599999999999</v>
      </c>
      <c r="K1009">
        <v>1.0707310000000001</v>
      </c>
      <c r="L1009">
        <v>366.99529999999999</v>
      </c>
      <c r="M1009">
        <v>0.99989410000000001</v>
      </c>
      <c r="N1009">
        <v>-1.0031480000000001E-2</v>
      </c>
      <c r="O1009">
        <v>-1.054339E-2</v>
      </c>
      <c r="P1009">
        <v>0.99727909999999997</v>
      </c>
      <c r="Q1009">
        <v>-7.3713689999999998E-2</v>
      </c>
      <c r="R1009">
        <v>7.2092990000000002E-4</v>
      </c>
      <c r="S1009">
        <v>3.0059200000000001</v>
      </c>
      <c r="T1009">
        <v>-2.8606889999999999E-2</v>
      </c>
      <c r="U1009">
        <v>5.603027E-2</v>
      </c>
      <c r="V1009">
        <v>-1.123818E-2</v>
      </c>
      <c r="W1009">
        <v>-6.3706029999999997E-2</v>
      </c>
      <c r="X1009">
        <v>0.99790540000000005</v>
      </c>
      <c r="Y1009">
        <v>-2.9175070000000001E-2</v>
      </c>
      <c r="Z1009">
        <v>2.7974160000000001E-4</v>
      </c>
      <c r="AA1009">
        <v>0.99957430000000003</v>
      </c>
      <c r="AB1009">
        <v>38</v>
      </c>
      <c r="AC1009">
        <v>112.31180000000001</v>
      </c>
      <c r="AD1009">
        <v>-1.0707376491409999</v>
      </c>
      <c r="AE1009">
        <v>2.09919999999999</v>
      </c>
      <c r="AF1009">
        <v>-3.2829917131669002</v>
      </c>
      <c r="AG1009">
        <v>-1.0707376491409999</v>
      </c>
      <c r="AH1009">
        <v>112.273222005639</v>
      </c>
      <c r="AI1009">
        <v>90.546173688236095</v>
      </c>
      <c r="AJ1009">
        <v>91.674913945807603</v>
      </c>
      <c r="AK1009">
        <v>112.326314340094</v>
      </c>
      <c r="AL1009">
        <v>93.652560228097698</v>
      </c>
      <c r="AM1009">
        <v>90.645224551417002</v>
      </c>
      <c r="AN1009">
        <v>0.99999997114861605</v>
      </c>
    </row>
    <row r="1010" spans="1:40" x14ac:dyDescent="0.25">
      <c r="A1010" t="str">
        <f>"20190303153758719"</f>
        <v>20190303153758719</v>
      </c>
      <c r="B1010" t="str">
        <f>"1551598678709832"</f>
        <v>1551598678709832</v>
      </c>
      <c r="C1010" t="s">
        <v>40</v>
      </c>
      <c r="D1010">
        <v>4.2586050000000002</v>
      </c>
      <c r="E1010">
        <v>0.48845620000000001</v>
      </c>
      <c r="F1010" t="s">
        <v>42</v>
      </c>
      <c r="G1010">
        <v>-214.17179999999999</v>
      </c>
      <c r="H1010" s="1">
        <v>-2.5190150000000001E-6</v>
      </c>
      <c r="I1010">
        <v>369.41109999999998</v>
      </c>
      <c r="J1010">
        <v>-305.66739999999999</v>
      </c>
      <c r="K1010">
        <v>1.070756</v>
      </c>
      <c r="L1010">
        <v>366.99329999999998</v>
      </c>
      <c r="M1010">
        <v>0.99989170000000005</v>
      </c>
      <c r="N1010">
        <v>-1.0267790000000001E-2</v>
      </c>
      <c r="O1010">
        <v>-1.054362E-2</v>
      </c>
      <c r="P1010">
        <v>0.99724250000000003</v>
      </c>
      <c r="Q1010">
        <v>-7.421005E-2</v>
      </c>
      <c r="R1010">
        <v>5.7349810000000001E-4</v>
      </c>
      <c r="S1010">
        <v>3.005493</v>
      </c>
      <c r="T1010">
        <v>-3.509963E-2</v>
      </c>
      <c r="U1010">
        <v>7.9193120000000006E-2</v>
      </c>
      <c r="V1010">
        <v>-1.109096E-2</v>
      </c>
      <c r="W1010">
        <v>-6.3966889999999998E-2</v>
      </c>
      <c r="X1010">
        <v>0.99789039999999996</v>
      </c>
      <c r="Y1010">
        <v>-3.687464E-2</v>
      </c>
      <c r="Z1010">
        <v>4.1950530000000002E-4</v>
      </c>
      <c r="AA1010">
        <v>0.99931979999999998</v>
      </c>
      <c r="AB1010">
        <v>38</v>
      </c>
      <c r="AC1010">
        <v>91.495599999999996</v>
      </c>
      <c r="AD1010">
        <v>-1.070758519015</v>
      </c>
      <c r="AE1010">
        <v>2.4178000000000002</v>
      </c>
      <c r="AF1010">
        <v>-3.3819484259013102</v>
      </c>
      <c r="AG1010">
        <v>-1.070758519015</v>
      </c>
      <c r="AH1010">
        <v>91.452503651291593</v>
      </c>
      <c r="AI1010">
        <v>90.670350592982203</v>
      </c>
      <c r="AJ1010">
        <v>92.117854683267794</v>
      </c>
      <c r="AK1010">
        <v>91.521279072415794</v>
      </c>
      <c r="AL1010">
        <v>93.667536804680793</v>
      </c>
      <c r="AM1010">
        <v>90.636782390470998</v>
      </c>
      <c r="AN1010">
        <v>1.0000000114110701</v>
      </c>
    </row>
    <row r="1011" spans="1:40" x14ac:dyDescent="0.25">
      <c r="A1011" t="str">
        <f>"20190303153758731"</f>
        <v>20190303153758731</v>
      </c>
      <c r="B1011" t="str">
        <f>"1551598678719593"</f>
        <v>1551598678719593</v>
      </c>
      <c r="C1011" t="s">
        <v>40</v>
      </c>
      <c r="D1011">
        <v>4.2425819999999996</v>
      </c>
      <c r="E1011">
        <v>0.48765639999999999</v>
      </c>
      <c r="F1011" t="s">
        <v>42</v>
      </c>
      <c r="G1011">
        <v>-216.83330000000001</v>
      </c>
      <c r="H1011" s="1">
        <v>-1.3837629999999901E-6</v>
      </c>
      <c r="I1011">
        <v>369.77780000000001</v>
      </c>
      <c r="J1011">
        <v>-305.46690000000001</v>
      </c>
      <c r="K1011">
        <v>1.0707819999999999</v>
      </c>
      <c r="L1011">
        <v>366.99119999999999</v>
      </c>
      <c r="M1011">
        <v>0.99988920000000003</v>
      </c>
      <c r="N1011">
        <v>-1.0519850000000001E-2</v>
      </c>
      <c r="O1011">
        <v>-1.0543729999999999E-2</v>
      </c>
      <c r="P1011">
        <v>0.99724029999999997</v>
      </c>
      <c r="Q1011">
        <v>-7.4240829999999994E-2</v>
      </c>
      <c r="R1011">
        <v>5.1258640000000002E-4</v>
      </c>
      <c r="S1011">
        <v>3.0055540000000001</v>
      </c>
      <c r="T1011">
        <v>-3.6227229999999999E-2</v>
      </c>
      <c r="U1011">
        <v>9.4207760000000001E-2</v>
      </c>
      <c r="V1011">
        <v>-1.103021E-2</v>
      </c>
      <c r="W1011">
        <v>-6.3746150000000001E-2</v>
      </c>
      <c r="X1011">
        <v>0.99790520000000005</v>
      </c>
      <c r="Y1011">
        <v>-4.186086E-2</v>
      </c>
      <c r="Z1011">
        <v>4.8863740000000002E-4</v>
      </c>
      <c r="AA1011">
        <v>0.99912330000000005</v>
      </c>
      <c r="AB1011">
        <v>38</v>
      </c>
      <c r="AC1011">
        <v>88.633600000000001</v>
      </c>
      <c r="AD1011">
        <v>-1.0707833837630001</v>
      </c>
      <c r="AE1011">
        <v>2.7866000000000199</v>
      </c>
      <c r="AF1011">
        <v>-3.7204829596000701</v>
      </c>
      <c r="AG1011">
        <v>-1.0707833837630001</v>
      </c>
      <c r="AH1011">
        <v>88.586373344864398</v>
      </c>
      <c r="AI1011">
        <v>90.691916265779696</v>
      </c>
      <c r="AJ1011">
        <v>92.404915821137294</v>
      </c>
      <c r="AK1011">
        <v>88.670931611793307</v>
      </c>
      <c r="AL1011">
        <v>93.654863464646894</v>
      </c>
      <c r="AM1011">
        <v>90.633285350219595</v>
      </c>
      <c r="AN1011">
        <v>1.0000000126797499</v>
      </c>
    </row>
    <row r="1012" spans="1:40" x14ac:dyDescent="0.25">
      <c r="A1012" t="str">
        <f>"20190303153758742"</f>
        <v>20190303153758742</v>
      </c>
      <c r="B1012" t="str">
        <f>"1551598678730327"</f>
        <v>1551598678730327</v>
      </c>
      <c r="C1012" t="s">
        <v>40</v>
      </c>
      <c r="D1012">
        <v>4.2439730000000004</v>
      </c>
      <c r="E1012">
        <v>0.48700399999999999</v>
      </c>
      <c r="F1012" t="s">
        <v>42</v>
      </c>
      <c r="G1012">
        <v>-216.09059999999999</v>
      </c>
      <c r="H1012" s="1">
        <v>-1.755586E-6</v>
      </c>
      <c r="I1012">
        <v>369.97770000000003</v>
      </c>
      <c r="J1012">
        <v>-305.27339999999998</v>
      </c>
      <c r="K1012">
        <v>1.0707979999999999</v>
      </c>
      <c r="L1012">
        <v>366.98910000000001</v>
      </c>
      <c r="M1012">
        <v>0.99988659999999996</v>
      </c>
      <c r="N1012">
        <v>-1.076009E-2</v>
      </c>
      <c r="O1012">
        <v>-1.054357E-2</v>
      </c>
      <c r="P1012">
        <v>0.99724380000000001</v>
      </c>
      <c r="Q1012">
        <v>-7.41927E-2</v>
      </c>
      <c r="R1012">
        <v>3.4037649999999999E-4</v>
      </c>
      <c r="S1012">
        <v>3.005585</v>
      </c>
      <c r="T1012">
        <v>-3.6008720000000001E-2</v>
      </c>
      <c r="U1012">
        <v>0.1004333</v>
      </c>
      <c r="V1012">
        <v>-1.085815E-2</v>
      </c>
      <c r="W1012">
        <v>-6.3458230000000004E-2</v>
      </c>
      <c r="X1012">
        <v>0.99792539999999996</v>
      </c>
      <c r="Y1012">
        <v>-4.3927389999999997E-2</v>
      </c>
      <c r="Z1012">
        <v>5.1234049999999997E-4</v>
      </c>
      <c r="AA1012">
        <v>0.99903459999999999</v>
      </c>
      <c r="AB1012">
        <v>38</v>
      </c>
      <c r="AC1012">
        <v>89.182799999999901</v>
      </c>
      <c r="AD1012">
        <v>-1.0707997555859901</v>
      </c>
      <c r="AE1012">
        <v>2.9886000000000101</v>
      </c>
      <c r="AF1012">
        <v>-3.9282276474907101</v>
      </c>
      <c r="AG1012">
        <v>-1.0707997555859901</v>
      </c>
      <c r="AH1012">
        <v>89.133494514479295</v>
      </c>
      <c r="AI1012">
        <v>90.687618828192598</v>
      </c>
      <c r="AJ1012">
        <v>92.523465721035706</v>
      </c>
      <c r="AK1012">
        <v>89.226439068976504</v>
      </c>
      <c r="AL1012">
        <v>93.638333532699605</v>
      </c>
      <c r="AM1012">
        <v>90.6233949139516</v>
      </c>
      <c r="AN1012">
        <v>0.99999997517065697</v>
      </c>
    </row>
    <row r="1013" spans="1:40" x14ac:dyDescent="0.25">
      <c r="A1013" t="str">
        <f>"20190303153758753"</f>
        <v>20190303153758753</v>
      </c>
      <c r="B1013" t="str">
        <f>"1551598678749848"</f>
        <v>1551598678749848</v>
      </c>
      <c r="C1013" t="s">
        <v>40</v>
      </c>
      <c r="D1013">
        <v>4.220872</v>
      </c>
      <c r="E1013">
        <v>0.4862032</v>
      </c>
      <c r="F1013" t="s">
        <v>42</v>
      </c>
      <c r="G1013">
        <v>-216.2679</v>
      </c>
      <c r="H1013" s="1">
        <v>-1.7127109999999901E-6</v>
      </c>
      <c r="I1013">
        <v>370.10250000000002</v>
      </c>
      <c r="J1013">
        <v>-305.09120000000001</v>
      </c>
      <c r="K1013">
        <v>1.0708139999999999</v>
      </c>
      <c r="L1013">
        <v>366.98719999999997</v>
      </c>
      <c r="M1013">
        <v>0.99988410000000005</v>
      </c>
      <c r="N1013">
        <v>-1.098212E-2</v>
      </c>
      <c r="O1013">
        <v>-1.054334E-2</v>
      </c>
      <c r="P1013">
        <v>0.9972531</v>
      </c>
      <c r="Q1013">
        <v>-7.4069979999999994E-2</v>
      </c>
      <c r="R1013">
        <v>2.7537779999999999E-4</v>
      </c>
      <c r="S1013">
        <v>3.0055540000000001</v>
      </c>
      <c r="T1013">
        <v>-3.6158919999999997E-2</v>
      </c>
      <c r="U1013">
        <v>0.10513309999999999</v>
      </c>
      <c r="V1013">
        <v>-1.079272E-2</v>
      </c>
      <c r="W1013">
        <v>-6.3113810000000006E-2</v>
      </c>
      <c r="X1013">
        <v>0.99794799999999995</v>
      </c>
      <c r="Y1013">
        <v>-4.54875E-2</v>
      </c>
      <c r="Z1013">
        <v>5.3445769999999895E-4</v>
      </c>
      <c r="AA1013">
        <v>0.99896479999999999</v>
      </c>
      <c r="AB1013">
        <v>38</v>
      </c>
      <c r="AC1013">
        <v>88.823300000000003</v>
      </c>
      <c r="AD1013">
        <v>-1.0708157127109901</v>
      </c>
      <c r="AE1013">
        <v>3.1153000000000399</v>
      </c>
      <c r="AF1013">
        <v>-4.0510895127001803</v>
      </c>
      <c r="AG1013">
        <v>-1.0708157127109901</v>
      </c>
      <c r="AH1013">
        <v>88.772628649814294</v>
      </c>
      <c r="AI1013">
        <v>90.690375752506498</v>
      </c>
      <c r="AJ1013">
        <v>92.612848268845298</v>
      </c>
      <c r="AK1013">
        <v>88.871466567894203</v>
      </c>
      <c r="AL1013">
        <v>93.618559908228093</v>
      </c>
      <c r="AM1013">
        <v>90.619624668027697</v>
      </c>
      <c r="AN1013">
        <v>1.0000000232608499</v>
      </c>
    </row>
    <row r="1014" spans="1:40" x14ac:dyDescent="0.25">
      <c r="A1014" t="str">
        <f>"20190303153758768"</f>
        <v>20190303153758768</v>
      </c>
      <c r="B1014" t="str">
        <f>"1551598678759609"</f>
        <v>1551598678759609</v>
      </c>
      <c r="C1014" t="s">
        <v>40</v>
      </c>
      <c r="D1014">
        <v>4.2233669999999996</v>
      </c>
      <c r="E1014">
        <v>0.48601719999999998</v>
      </c>
      <c r="F1014" t="s">
        <v>42</v>
      </c>
      <c r="G1014">
        <v>-213.10220000000001</v>
      </c>
      <c r="H1014" s="1">
        <v>-3.147941E-6</v>
      </c>
      <c r="I1014">
        <v>370.39249999999998</v>
      </c>
      <c r="J1014">
        <v>-304.84359999999998</v>
      </c>
      <c r="K1014">
        <v>1.0708299999999999</v>
      </c>
      <c r="L1014">
        <v>366.9846</v>
      </c>
      <c r="M1014">
        <v>0.99988080000000001</v>
      </c>
      <c r="N1014">
        <v>-1.1275159999999999E-2</v>
      </c>
      <c r="O1014">
        <v>-1.054305E-2</v>
      </c>
      <c r="P1014">
        <v>0.99726519999999996</v>
      </c>
      <c r="Q1014">
        <v>-7.3904109999999995E-2</v>
      </c>
      <c r="R1014">
        <v>2.4359509999999999E-4</v>
      </c>
      <c r="S1014">
        <v>3.005646</v>
      </c>
      <c r="T1014">
        <v>-3.4987810000000001E-2</v>
      </c>
      <c r="U1014">
        <v>0.11126709999999999</v>
      </c>
      <c r="V1014">
        <v>-1.076067E-2</v>
      </c>
      <c r="W1014">
        <v>-6.2655370000000002E-2</v>
      </c>
      <c r="X1014">
        <v>0.99797720000000001</v>
      </c>
      <c r="Y1014">
        <v>-4.7522139999999997E-2</v>
      </c>
      <c r="Z1014">
        <v>5.4837259999999997E-4</v>
      </c>
      <c r="AA1014">
        <v>0.99887000000000004</v>
      </c>
      <c r="AB1014">
        <v>38</v>
      </c>
      <c r="AC1014">
        <v>91.741399999999899</v>
      </c>
      <c r="AD1014">
        <v>-1.070833147941</v>
      </c>
      <c r="AE1014">
        <v>3.4078999999999802</v>
      </c>
      <c r="AF1014">
        <v>-4.3744111103815202</v>
      </c>
      <c r="AG1014">
        <v>-1.070833147941</v>
      </c>
      <c r="AH1014">
        <v>91.687893881889394</v>
      </c>
      <c r="AI1014">
        <v>90.668373200000701</v>
      </c>
      <c r="AJ1014">
        <v>92.731498955078493</v>
      </c>
      <c r="AK1014">
        <v>91.798431580773595</v>
      </c>
      <c r="AL1014">
        <v>93.592241262696405</v>
      </c>
      <c r="AM1014">
        <v>90.617766702478505</v>
      </c>
      <c r="AN1014">
        <v>0.99999998956426195</v>
      </c>
    </row>
    <row r="1015" spans="1:40" x14ac:dyDescent="0.25">
      <c r="A1015" t="str">
        <f>"20190303153758781"</f>
        <v>20190303153758781</v>
      </c>
      <c r="B1015" t="str">
        <f>"1551598678770344"</f>
        <v>1551598678770344</v>
      </c>
      <c r="C1015" t="s">
        <v>40</v>
      </c>
      <c r="D1015">
        <v>4.225784</v>
      </c>
      <c r="E1015">
        <v>0.48581629999999998</v>
      </c>
      <c r="F1015" t="s">
        <v>42</v>
      </c>
      <c r="G1015">
        <v>-213.803</v>
      </c>
      <c r="H1015" s="1">
        <v>-2.8488519999999999E-6</v>
      </c>
      <c r="I1015">
        <v>370.39830000000001</v>
      </c>
      <c r="J1015">
        <v>-304.62740000000002</v>
      </c>
      <c r="K1015">
        <v>1.0708489999999999</v>
      </c>
      <c r="L1015">
        <v>366.98230000000001</v>
      </c>
      <c r="M1015">
        <v>0.9998783</v>
      </c>
      <c r="N1015">
        <v>-1.151752E-2</v>
      </c>
      <c r="O1015">
        <v>-1.0542030000000001E-2</v>
      </c>
      <c r="P1015">
        <v>0.99727730000000003</v>
      </c>
      <c r="Q1015">
        <v>-7.3744729999999994E-2</v>
      </c>
      <c r="R1015" s="1">
        <v>-4.7024339999999999E-5</v>
      </c>
      <c r="S1015">
        <v>3.005585</v>
      </c>
      <c r="T1015">
        <v>-3.5352109999999999E-2</v>
      </c>
      <c r="U1015">
        <v>0.11270139999999999</v>
      </c>
      <c r="V1015">
        <v>-1.046923E-2</v>
      </c>
      <c r="W1015">
        <v>-6.2253940000000001E-2</v>
      </c>
      <c r="X1015">
        <v>0.99800540000000004</v>
      </c>
      <c r="Y1015">
        <v>-4.7997690000000003E-2</v>
      </c>
      <c r="Z1015">
        <v>5.6127960000000002E-4</v>
      </c>
      <c r="AA1015">
        <v>0.99884729999999999</v>
      </c>
      <c r="AB1015">
        <v>38</v>
      </c>
      <c r="AC1015">
        <v>90.824399999999997</v>
      </c>
      <c r="AD1015">
        <v>-1.070851848852</v>
      </c>
      <c r="AE1015">
        <v>3.4159999999999902</v>
      </c>
      <c r="AF1015">
        <v>-4.3727400145492599</v>
      </c>
      <c r="AG1015">
        <v>-1.070851848852</v>
      </c>
      <c r="AH1015">
        <v>90.7707379402827</v>
      </c>
      <c r="AI1015">
        <v>90.675122700760497</v>
      </c>
      <c r="AJ1015">
        <v>92.758003463660899</v>
      </c>
      <c r="AK1015">
        <v>90.882310958406606</v>
      </c>
      <c r="AL1015">
        <v>93.569196105297706</v>
      </c>
      <c r="AM1015">
        <v>90.601019485776106</v>
      </c>
      <c r="AN1015">
        <v>0.99999996812573699</v>
      </c>
    </row>
    <row r="1016" spans="1:40" x14ac:dyDescent="0.25">
      <c r="A1016" t="str">
        <f>"20190303153758798"</f>
        <v>20190303153758798</v>
      </c>
      <c r="B1016" t="str">
        <f>"1551598678789864"</f>
        <v>1551598678789864</v>
      </c>
      <c r="C1016" t="s">
        <v>40</v>
      </c>
      <c r="D1016">
        <v>4.1942459999999997</v>
      </c>
      <c r="E1016">
        <v>0.48541099999999998</v>
      </c>
      <c r="F1016" t="s">
        <v>42</v>
      </c>
      <c r="G1016">
        <v>-214.26349999999999</v>
      </c>
      <c r="H1016" s="1">
        <v>-2.6502719999999999E-6</v>
      </c>
      <c r="I1016">
        <v>370.39449999999999</v>
      </c>
      <c r="J1016">
        <v>-304.32560000000001</v>
      </c>
      <c r="K1016">
        <v>1.0708580000000001</v>
      </c>
      <c r="L1016">
        <v>366.97910000000002</v>
      </c>
      <c r="M1016">
        <v>0.99987440000000005</v>
      </c>
      <c r="N1016">
        <v>-1.184138E-2</v>
      </c>
      <c r="O1016">
        <v>-1.0538290000000001E-2</v>
      </c>
      <c r="P1016">
        <v>0.99730540000000001</v>
      </c>
      <c r="Q1016">
        <v>-7.3360350000000005E-2</v>
      </c>
      <c r="R1016">
        <v>-5.9811409999999999E-4</v>
      </c>
      <c r="S1016">
        <v>3.005585</v>
      </c>
      <c r="T1016">
        <v>-3.5617469999999998E-2</v>
      </c>
      <c r="U1016">
        <v>0.113494899999999</v>
      </c>
      <c r="V1016">
        <v>-9.9147780000000008E-3</v>
      </c>
      <c r="W1016">
        <v>-6.1546009999999998E-2</v>
      </c>
      <c r="X1016">
        <v>0.99805500000000003</v>
      </c>
      <c r="Y1016">
        <v>-4.8257109999999999E-2</v>
      </c>
      <c r="Z1016">
        <v>5.7176459999999998E-4</v>
      </c>
      <c r="AA1016">
        <v>0.99883480000000002</v>
      </c>
      <c r="AB1016">
        <v>38</v>
      </c>
      <c r="AC1016">
        <v>90.062100000000001</v>
      </c>
      <c r="AD1016">
        <v>-1.0708606502719999</v>
      </c>
      <c r="AE1016">
        <v>3.4153999999999698</v>
      </c>
      <c r="AF1016">
        <v>-4.3637612976714397</v>
      </c>
      <c r="AG1016">
        <v>-1.0708606502719999</v>
      </c>
      <c r="AH1016">
        <v>90.008396282929695</v>
      </c>
      <c r="AI1016">
        <v>90.680835710244196</v>
      </c>
      <c r="AJ1016">
        <v>92.775624259086399</v>
      </c>
      <c r="AK1016">
        <v>90.120478009275203</v>
      </c>
      <c r="AL1016">
        <v>93.5285566625912</v>
      </c>
      <c r="AM1016">
        <v>90.569163270798697</v>
      </c>
      <c r="AN1016">
        <v>0.999999998597354</v>
      </c>
    </row>
    <row r="1017" spans="1:40" x14ac:dyDescent="0.25">
      <c r="A1017" t="str">
        <f>"20190303153758813"</f>
        <v>20190303153758813</v>
      </c>
      <c r="B1017" t="str">
        <f>"1551598678799626"</f>
        <v>1551598678799626</v>
      </c>
      <c r="C1017" t="s">
        <v>40</v>
      </c>
      <c r="D1017">
        <v>4.2078550000000003</v>
      </c>
      <c r="E1017">
        <v>0.48532219999999998</v>
      </c>
      <c r="F1017" t="s">
        <v>42</v>
      </c>
      <c r="G1017">
        <v>-217.31190000000001</v>
      </c>
      <c r="H1017" s="1">
        <v>-1.3155970000000001E-6</v>
      </c>
      <c r="I1017">
        <v>370.29320000000001</v>
      </c>
      <c r="J1017">
        <v>-304.0797</v>
      </c>
      <c r="K1017">
        <v>1.0708679999999999</v>
      </c>
      <c r="L1017">
        <v>366.97649999999999</v>
      </c>
      <c r="M1017">
        <v>0.99987159999999997</v>
      </c>
      <c r="N1017">
        <v>-1.2090800000000001E-2</v>
      </c>
      <c r="O1017">
        <v>-1.053318E-2</v>
      </c>
      <c r="P1017">
        <v>0.9973012</v>
      </c>
      <c r="Q1017">
        <v>-7.3419150000000002E-2</v>
      </c>
      <c r="R1017">
        <v>-6.8043200000000002E-4</v>
      </c>
      <c r="S1017">
        <v>3.0054630000000002</v>
      </c>
      <c r="T1017">
        <v>-3.6987539999999999E-2</v>
      </c>
      <c r="U1017">
        <v>0.1144714</v>
      </c>
      <c r="V1017">
        <v>-9.8268509999999993E-3</v>
      </c>
      <c r="W1017">
        <v>-6.1355939999999998E-2</v>
      </c>
      <c r="X1017">
        <v>0.99806760000000005</v>
      </c>
      <c r="Y1017">
        <v>-4.857711E-2</v>
      </c>
      <c r="Z1017">
        <v>5.9487509999999995E-4</v>
      </c>
      <c r="AA1017">
        <v>0.99881920000000002</v>
      </c>
      <c r="AB1017">
        <v>38</v>
      </c>
      <c r="AC1017">
        <v>86.767799999999994</v>
      </c>
      <c r="AD1017">
        <v>-1.0708693155969999</v>
      </c>
      <c r="AE1017">
        <v>3.31670000000002</v>
      </c>
      <c r="AF1017">
        <v>-4.2298801295133401</v>
      </c>
      <c r="AG1017">
        <v>-1.0708693155969999</v>
      </c>
      <c r="AH1017">
        <v>86.7148587658982</v>
      </c>
      <c r="AI1017">
        <v>90.706687637423002</v>
      </c>
      <c r="AJ1017">
        <v>92.792627892098906</v>
      </c>
      <c r="AK1017">
        <v>86.824566672058893</v>
      </c>
      <c r="AL1017">
        <v>93.517645735932206</v>
      </c>
      <c r="AM1017">
        <v>90.564108979605606</v>
      </c>
      <c r="AN1017">
        <v>1.0000000262718001</v>
      </c>
    </row>
    <row r="1018" spans="1:40" x14ac:dyDescent="0.25">
      <c r="A1018" t="str">
        <f>"20190303153758826"</f>
        <v>20190303153758826</v>
      </c>
      <c r="B1018" t="str">
        <f>"1551598678820120"</f>
        <v>1551598678820120</v>
      </c>
      <c r="C1018" t="s">
        <v>40</v>
      </c>
      <c r="D1018">
        <v>4.2041339999999998</v>
      </c>
      <c r="E1018">
        <v>0.48500690000000002</v>
      </c>
      <c r="F1018" t="s">
        <v>42</v>
      </c>
      <c r="G1018">
        <v>-218.34559999999999</v>
      </c>
      <c r="H1018" s="1">
        <v>-8.6316900000000004E-7</v>
      </c>
      <c r="I1018">
        <v>370.2595</v>
      </c>
      <c r="J1018">
        <v>-303.84160000000003</v>
      </c>
      <c r="K1018">
        <v>1.0708709999999999</v>
      </c>
      <c r="L1018">
        <v>366.97399999999999</v>
      </c>
      <c r="M1018">
        <v>0.99986889999999995</v>
      </c>
      <c r="N1018">
        <v>-1.2317069999999999E-2</v>
      </c>
      <c r="O1018">
        <v>-1.0524840000000001E-2</v>
      </c>
      <c r="P1018">
        <v>0.99728539999999999</v>
      </c>
      <c r="Q1018">
        <v>-7.3627219999999993E-2</v>
      </c>
      <c r="R1018">
        <v>-1.184654E-3</v>
      </c>
      <c r="S1018">
        <v>3.0053709999999998</v>
      </c>
      <c r="T1018">
        <v>-3.7538769999999999E-2</v>
      </c>
      <c r="U1018">
        <v>0.1150818</v>
      </c>
      <c r="V1018">
        <v>-9.3138230000000006E-3</v>
      </c>
      <c r="W1018">
        <v>-6.1338330000000003E-2</v>
      </c>
      <c r="X1018">
        <v>0.99807360000000001</v>
      </c>
      <c r="Y1018">
        <v>-4.8772259999999998E-2</v>
      </c>
      <c r="Z1018">
        <v>6.0680809999999995E-4</v>
      </c>
      <c r="AA1018">
        <v>0.99880979999999997</v>
      </c>
      <c r="AB1018">
        <v>38</v>
      </c>
      <c r="AC1018">
        <v>85.495999999999995</v>
      </c>
      <c r="AD1018">
        <v>-1.070871863169</v>
      </c>
      <c r="AE1018">
        <v>3.2855000000000101</v>
      </c>
      <c r="AF1018">
        <v>-4.1845623166446497</v>
      </c>
      <c r="AG1018">
        <v>-1.070871863169</v>
      </c>
      <c r="AH1018">
        <v>85.443296812558302</v>
      </c>
      <c r="AI1018">
        <v>90.717198297767993</v>
      </c>
      <c r="AJ1018">
        <v>92.803805048790593</v>
      </c>
      <c r="AK1018">
        <v>85.552406737204905</v>
      </c>
      <c r="AL1018">
        <v>93.516634859437602</v>
      </c>
      <c r="AM1018">
        <v>90.534657223203297</v>
      </c>
      <c r="AN1018">
        <v>1.0000000245215099</v>
      </c>
    </row>
    <row r="1019" spans="1:40" x14ac:dyDescent="0.25">
      <c r="A1019" t="str">
        <f>"20190303153758841"</f>
        <v>20190303153758841</v>
      </c>
      <c r="B1019" t="str">
        <f>"1551598678829880"</f>
        <v>1551598678829880</v>
      </c>
      <c r="C1019" t="s">
        <v>40</v>
      </c>
      <c r="D1019">
        <v>4.2329330000000001</v>
      </c>
      <c r="E1019">
        <v>0.48486459999999998</v>
      </c>
      <c r="F1019" t="s">
        <v>42</v>
      </c>
      <c r="G1019">
        <v>-222.18020000000001</v>
      </c>
      <c r="H1019" s="1">
        <v>-3.4720949999999998E-6</v>
      </c>
      <c r="I1019">
        <v>370.1241</v>
      </c>
      <c r="J1019">
        <v>-303.59660000000002</v>
      </c>
      <c r="K1019">
        <v>1.0708709999999999</v>
      </c>
      <c r="L1019">
        <v>366.97140000000002</v>
      </c>
      <c r="M1019">
        <v>0.99986629999999999</v>
      </c>
      <c r="N1019">
        <v>-1.253201E-2</v>
      </c>
      <c r="O1019">
        <v>-1.051215E-2</v>
      </c>
      <c r="P1019">
        <v>0.99725319999999995</v>
      </c>
      <c r="Q1019">
        <v>-7.405109E-2</v>
      </c>
      <c r="R1019">
        <v>-1.665071E-3</v>
      </c>
      <c r="S1019">
        <v>3.0054020000000001</v>
      </c>
      <c r="T1019">
        <v>-3.9411540000000002E-2</v>
      </c>
      <c r="U1019">
        <v>0.11593630000000001</v>
      </c>
      <c r="V1019">
        <v>-8.8197029999999999E-3</v>
      </c>
      <c r="W1019">
        <v>-6.1548100000000001E-2</v>
      </c>
      <c r="X1019">
        <v>0.99806519999999999</v>
      </c>
      <c r="Y1019">
        <v>-4.9042090000000003E-2</v>
      </c>
      <c r="Z1019">
        <v>6.3498549999999997E-4</v>
      </c>
      <c r="AA1019">
        <v>0.99879649999999998</v>
      </c>
      <c r="AB1019">
        <v>38</v>
      </c>
      <c r="AC1019">
        <v>81.416399999999996</v>
      </c>
      <c r="AD1019">
        <v>-1.0708744720950001</v>
      </c>
      <c r="AE1019">
        <v>3.1526999999999799</v>
      </c>
      <c r="AF1019">
        <v>-4.0077620061328796</v>
      </c>
      <c r="AG1019">
        <v>-1.0708744720950001</v>
      </c>
      <c r="AH1019">
        <v>81.364701190620096</v>
      </c>
      <c r="AI1019">
        <v>90.753136922785302</v>
      </c>
      <c r="AJ1019">
        <v>92.819925653916798</v>
      </c>
      <c r="AK1019">
        <v>81.470384363102696</v>
      </c>
      <c r="AL1019">
        <v>93.528676457977397</v>
      </c>
      <c r="AM1019">
        <v>90.506298191191107</v>
      </c>
      <c r="AN1019">
        <v>1.0000000496128201</v>
      </c>
    </row>
    <row r="1020" spans="1:40" x14ac:dyDescent="0.25">
      <c r="A1020" t="str">
        <f>"20190303153758853"</f>
        <v>20190303153758853</v>
      </c>
      <c r="B1020" t="str">
        <f>"1551598678850376"</f>
        <v>1551598678850376</v>
      </c>
      <c r="C1020" t="s">
        <v>40</v>
      </c>
      <c r="D1020">
        <v>4.2225970000000004</v>
      </c>
      <c r="E1020">
        <v>0.48462850000000002</v>
      </c>
      <c r="F1020" t="s">
        <v>42</v>
      </c>
      <c r="G1020">
        <v>-225.6001</v>
      </c>
      <c r="H1020" s="1">
        <v>-1.9651870000000001E-6</v>
      </c>
      <c r="I1020">
        <v>369.97460000000001</v>
      </c>
      <c r="J1020">
        <v>-303.39519999999999</v>
      </c>
      <c r="K1020">
        <v>1.0708719999999901</v>
      </c>
      <c r="L1020">
        <v>366.96929999999998</v>
      </c>
      <c r="M1020">
        <v>0.99986430000000004</v>
      </c>
      <c r="N1020">
        <v>-1.2700080000000001E-2</v>
      </c>
      <c r="O1020">
        <v>-1.0499069999999999E-2</v>
      </c>
      <c r="P1020">
        <v>0.99721579999999999</v>
      </c>
      <c r="Q1020">
        <v>-7.4546520000000005E-2</v>
      </c>
      <c r="R1020">
        <v>-1.9327140000000001E-3</v>
      </c>
      <c r="S1020">
        <v>3.0054020000000001</v>
      </c>
      <c r="T1020">
        <v>-4.1263340000000003E-2</v>
      </c>
      <c r="U1020">
        <v>0.115722699999999</v>
      </c>
      <c r="V1020">
        <v>-8.5382649999999997E-3</v>
      </c>
      <c r="W1020">
        <v>-6.1876229999999997E-2</v>
      </c>
      <c r="X1020">
        <v>0.99804729999999997</v>
      </c>
      <c r="Y1020">
        <v>-4.8957519999999997E-2</v>
      </c>
      <c r="Z1020">
        <v>6.5778919999999995E-4</v>
      </c>
      <c r="AA1020">
        <v>0.99880060000000004</v>
      </c>
      <c r="AB1020">
        <v>38</v>
      </c>
      <c r="AC1020">
        <v>77.795099999999906</v>
      </c>
      <c r="AD1020">
        <v>-1.0708739651869901</v>
      </c>
      <c r="AE1020">
        <v>3.0053000000000298</v>
      </c>
      <c r="AF1020">
        <v>-3.82125336472523</v>
      </c>
      <c r="AG1020">
        <v>-1.0708739651869901</v>
      </c>
      <c r="AH1020">
        <v>77.744546712114897</v>
      </c>
      <c r="AI1020">
        <v>90.788205923489798</v>
      </c>
      <c r="AJ1020">
        <v>92.813903274098905</v>
      </c>
      <c r="AK1020">
        <v>77.845766049278197</v>
      </c>
      <c r="AL1020">
        <v>93.547513030293302</v>
      </c>
      <c r="AM1020">
        <v>90.490151734075198</v>
      </c>
      <c r="AN1020">
        <v>0.99999999142275597</v>
      </c>
    </row>
    <row r="1021" spans="1:40" x14ac:dyDescent="0.25">
      <c r="A1021" t="str">
        <f>"20190303153758864"</f>
        <v>20190303153758864</v>
      </c>
      <c r="B1021" t="str">
        <f>"1551598678860136"</f>
        <v>1551598678860136</v>
      </c>
      <c r="C1021" t="s">
        <v>40</v>
      </c>
      <c r="D1021">
        <v>4.2074299999999996</v>
      </c>
      <c r="E1021">
        <v>0.48451300000000003</v>
      </c>
      <c r="F1021" t="s">
        <v>42</v>
      </c>
      <c r="G1021">
        <v>-230.73580000000001</v>
      </c>
      <c r="H1021" s="1">
        <v>-4.002223E-6</v>
      </c>
      <c r="I1021">
        <v>369.7878</v>
      </c>
      <c r="J1021">
        <v>-303.21269999999998</v>
      </c>
      <c r="K1021">
        <v>1.0708709999999999</v>
      </c>
      <c r="L1021">
        <v>366.9674</v>
      </c>
      <c r="M1021">
        <v>0.99986260000000005</v>
      </c>
      <c r="N1021">
        <v>-1.2842050000000001E-2</v>
      </c>
      <c r="O1021">
        <v>-1.048345E-2</v>
      </c>
      <c r="P1021">
        <v>0.99720430000000004</v>
      </c>
      <c r="Q1021">
        <v>-7.4698440000000005E-2</v>
      </c>
      <c r="R1021">
        <v>-1.972307E-3</v>
      </c>
      <c r="S1021">
        <v>3.0052490000000001</v>
      </c>
      <c r="T1021">
        <v>-4.4292209999999999E-2</v>
      </c>
      <c r="U1021">
        <v>0.1165771</v>
      </c>
      <c r="V1021">
        <v>-8.4816249999999996E-3</v>
      </c>
      <c r="W1021">
        <v>-6.1886690000000001E-2</v>
      </c>
      <c r="X1021">
        <v>0.99804709999999996</v>
      </c>
      <c r="Y1021">
        <v>-4.9226319999999997E-2</v>
      </c>
      <c r="Z1021">
        <v>6.9871639999999997E-4</v>
      </c>
      <c r="AA1021">
        <v>0.99878739999999999</v>
      </c>
      <c r="AB1021">
        <v>38</v>
      </c>
      <c r="AC1021">
        <v>72.476899999999901</v>
      </c>
      <c r="AD1021">
        <v>-1.07087500222299</v>
      </c>
      <c r="AE1021">
        <v>2.8203999999999998</v>
      </c>
      <c r="AF1021">
        <v>-3.57933535672234</v>
      </c>
      <c r="AG1021">
        <v>-1.07087500222299</v>
      </c>
      <c r="AH1021">
        <v>72.427558645478001</v>
      </c>
      <c r="AI1021">
        <v>90.846050545914593</v>
      </c>
      <c r="AJ1021">
        <v>92.829228292550596</v>
      </c>
      <c r="AK1021">
        <v>72.523855842132505</v>
      </c>
      <c r="AL1021">
        <v>93.548113616911195</v>
      </c>
      <c r="AM1021">
        <v>90.486900485707693</v>
      </c>
      <c r="AN1021">
        <v>0.99999995709010203</v>
      </c>
    </row>
    <row r="1022" spans="1:40" x14ac:dyDescent="0.25">
      <c r="A1022" t="str">
        <f>"20190303153758875"</f>
        <v>20190303153758875</v>
      </c>
      <c r="B1022" t="str">
        <f>"1551598678869896"</f>
        <v>1551598678869896</v>
      </c>
      <c r="C1022" t="s">
        <v>40</v>
      </c>
      <c r="D1022">
        <v>4.2321220000000004</v>
      </c>
      <c r="E1022">
        <v>0.48437479999999999</v>
      </c>
      <c r="F1022" t="s">
        <v>42</v>
      </c>
      <c r="G1022">
        <v>-232.03479999999999</v>
      </c>
      <c r="H1022" s="1">
        <v>-3.4347470000000002E-6</v>
      </c>
      <c r="I1022">
        <v>369.74939999999998</v>
      </c>
      <c r="J1022">
        <v>-303.01249999999999</v>
      </c>
      <c r="K1022">
        <v>1.0708709999999999</v>
      </c>
      <c r="L1022">
        <v>366.96530000000001</v>
      </c>
      <c r="M1022">
        <v>0.99986090000000005</v>
      </c>
      <c r="N1022">
        <v>-1.298876E-2</v>
      </c>
      <c r="O1022">
        <v>-1.046248E-2</v>
      </c>
      <c r="P1022">
        <v>0.99718450000000003</v>
      </c>
      <c r="Q1022">
        <v>-7.4957309999999999E-2</v>
      </c>
      <c r="R1022">
        <v>-2.237588E-3</v>
      </c>
      <c r="S1022">
        <v>3.0052490000000001</v>
      </c>
      <c r="T1022">
        <v>-4.521406E-2</v>
      </c>
      <c r="U1022">
        <v>0.1174622</v>
      </c>
      <c r="V1022">
        <v>-8.1945969999999996E-3</v>
      </c>
      <c r="W1022">
        <v>-6.1999430000000001E-2</v>
      </c>
      <c r="X1022">
        <v>0.99804250000000005</v>
      </c>
      <c r="Y1022">
        <v>-4.9498630000000002E-2</v>
      </c>
      <c r="Z1022">
        <v>7.1532679999999904E-4</v>
      </c>
      <c r="AA1022">
        <v>0.99877389999999999</v>
      </c>
      <c r="AB1022">
        <v>38</v>
      </c>
      <c r="AC1022">
        <v>70.977699999999999</v>
      </c>
      <c r="AD1022">
        <v>-1.0708744347469901</v>
      </c>
      <c r="AE1022">
        <v>2.7840999999999601</v>
      </c>
      <c r="AF1022">
        <v>-3.5258116565179898</v>
      </c>
      <c r="AG1022">
        <v>-1.0708744347469901</v>
      </c>
      <c r="AH1022">
        <v>70.928562651718494</v>
      </c>
      <c r="AI1022">
        <v>90.863915362606505</v>
      </c>
      <c r="AJ1022">
        <v>92.845792618388202</v>
      </c>
      <c r="AK1022">
        <v>71.024215023687503</v>
      </c>
      <c r="AL1022">
        <v>93.554585574474899</v>
      </c>
      <c r="AM1022">
        <v>90.470426131672596</v>
      </c>
      <c r="AN1022">
        <v>0.99999995627328198</v>
      </c>
    </row>
    <row r="1023" spans="1:40" x14ac:dyDescent="0.25">
      <c r="A1023" t="str">
        <f>"20190303153758886"</f>
        <v>20190303153758886</v>
      </c>
      <c r="B1023" t="str">
        <f>"1551598678879656"</f>
        <v>1551598678879656</v>
      </c>
      <c r="C1023" t="s">
        <v>40</v>
      </c>
      <c r="D1023">
        <v>4.1855859999999998</v>
      </c>
      <c r="E1023">
        <v>0.48425869999999999</v>
      </c>
      <c r="F1023" t="s">
        <v>42</v>
      </c>
      <c r="G1023">
        <v>-233.3152</v>
      </c>
      <c r="H1023" s="1">
        <v>-2.872528E-6</v>
      </c>
      <c r="I1023">
        <v>369.70069999999998</v>
      </c>
      <c r="J1023">
        <v>-302.82690000000002</v>
      </c>
      <c r="K1023">
        <v>1.07087</v>
      </c>
      <c r="L1023">
        <v>366.96339999999998</v>
      </c>
      <c r="M1023">
        <v>0.99985959999999996</v>
      </c>
      <c r="N1023">
        <v>-1.3118039999999999E-2</v>
      </c>
      <c r="O1023">
        <v>-1.0440100000000001E-2</v>
      </c>
      <c r="P1023">
        <v>0.99716439999999995</v>
      </c>
      <c r="Q1023">
        <v>-7.5218690000000005E-2</v>
      </c>
      <c r="R1023">
        <v>-2.4311879999999999E-3</v>
      </c>
      <c r="S1023">
        <v>3.00528</v>
      </c>
      <c r="T1023">
        <v>-4.6175000000000001E-2</v>
      </c>
      <c r="U1023">
        <v>0.1179504</v>
      </c>
      <c r="V1023">
        <v>-7.9775169999999999E-3</v>
      </c>
      <c r="W1023">
        <v>-6.2132079999999999E-2</v>
      </c>
      <c r="X1023">
        <v>0.99803600000000003</v>
      </c>
      <c r="Y1023">
        <v>-4.9637500000000001E-2</v>
      </c>
      <c r="Z1023">
        <v>7.303524E-4</v>
      </c>
      <c r="AA1023">
        <v>0.99876699999999996</v>
      </c>
      <c r="AB1023">
        <v>38</v>
      </c>
      <c r="AC1023">
        <v>69.511700000000005</v>
      </c>
      <c r="AD1023">
        <v>-1.0708728725279999</v>
      </c>
      <c r="AE1023">
        <v>2.7372999999999998</v>
      </c>
      <c r="AF1023">
        <v>-3.4621018310002598</v>
      </c>
      <c r="AG1023">
        <v>-1.0708728725279999</v>
      </c>
      <c r="AH1023">
        <v>69.462870489590102</v>
      </c>
      <c r="AI1023">
        <v>90.882134389700397</v>
      </c>
      <c r="AJ1023">
        <v>92.853320231976795</v>
      </c>
      <c r="AK1023">
        <v>69.557338178303695</v>
      </c>
      <c r="AL1023">
        <v>93.562200575223102</v>
      </c>
      <c r="AM1023">
        <v>90.457967769699593</v>
      </c>
      <c r="AN1023">
        <v>0.99999994671930403</v>
      </c>
    </row>
    <row r="1024" spans="1:40" x14ac:dyDescent="0.25">
      <c r="A1024" t="str">
        <f>"20190303153758898"</f>
        <v>20190303153758898</v>
      </c>
      <c r="B1024" t="str">
        <f>"1551598678890393"</f>
        <v>1551598678890393</v>
      </c>
      <c r="C1024" t="s">
        <v>40</v>
      </c>
      <c r="D1024">
        <v>4.1957610000000001</v>
      </c>
      <c r="E1024">
        <v>0.48415989999999998</v>
      </c>
      <c r="F1024" t="s">
        <v>42</v>
      </c>
      <c r="G1024">
        <v>-234.91829999999999</v>
      </c>
      <c r="H1024" s="1">
        <v>-2.1661470000000001E-6</v>
      </c>
      <c r="I1024">
        <v>369.63069999999999</v>
      </c>
      <c r="J1024">
        <v>-302.64139999999998</v>
      </c>
      <c r="K1024">
        <v>1.07087</v>
      </c>
      <c r="L1024">
        <v>366.9615</v>
      </c>
      <c r="M1024">
        <v>0.99985829999999998</v>
      </c>
      <c r="N1024">
        <v>-1.32362E-2</v>
      </c>
      <c r="O1024">
        <v>-1.041096E-2</v>
      </c>
      <c r="P1024">
        <v>0.99714959999999997</v>
      </c>
      <c r="Q1024">
        <v>-7.5414690000000006E-2</v>
      </c>
      <c r="R1024">
        <v>-2.3749679999999999E-3</v>
      </c>
      <c r="S1024">
        <v>3.0052490000000001</v>
      </c>
      <c r="T1024">
        <v>-4.7390700000000001E-2</v>
      </c>
      <c r="U1024">
        <v>0.11804199999999999</v>
      </c>
      <c r="V1024">
        <v>-8.0041299999999999E-3</v>
      </c>
      <c r="W1024">
        <v>-6.2210439999999999E-2</v>
      </c>
      <c r="X1024">
        <v>0.998031</v>
      </c>
      <c r="Y1024">
        <v>-4.9638689999999999E-2</v>
      </c>
      <c r="Z1024">
        <v>7.4625949999999896E-4</v>
      </c>
      <c r="AA1024">
        <v>0.99876699999999996</v>
      </c>
      <c r="AB1024">
        <v>38</v>
      </c>
      <c r="AC1024">
        <v>67.723099999999903</v>
      </c>
      <c r="AD1024">
        <v>-1.070872166147</v>
      </c>
      <c r="AE1024">
        <v>2.66919999999998</v>
      </c>
      <c r="AF1024">
        <v>-3.37333735363337</v>
      </c>
      <c r="AG1024">
        <v>-1.070872166147</v>
      </c>
      <c r="AH1024">
        <v>67.674742862707205</v>
      </c>
      <c r="AI1024">
        <v>90.905437812437796</v>
      </c>
      <c r="AJ1024">
        <v>92.853622294298702</v>
      </c>
      <c r="AK1024">
        <v>67.767226545220097</v>
      </c>
      <c r="AL1024">
        <v>93.5666986383862</v>
      </c>
      <c r="AM1024">
        <v>90.459497786882295</v>
      </c>
      <c r="AN1024">
        <v>1.00000004095152</v>
      </c>
    </row>
    <row r="1025" spans="1:40" x14ac:dyDescent="0.25">
      <c r="A1025" t="str">
        <f>"20190303153758909"</f>
        <v>20190303153758909</v>
      </c>
      <c r="B1025" t="str">
        <f>"1551598678900152"</f>
        <v>1551598678900152</v>
      </c>
      <c r="C1025" t="s">
        <v>40</v>
      </c>
      <c r="D1025">
        <v>4.2395709999999998</v>
      </c>
      <c r="E1025">
        <v>0.48403610000000002</v>
      </c>
      <c r="F1025" t="s">
        <v>42</v>
      </c>
      <c r="G1025">
        <v>-236.05279999999999</v>
      </c>
      <c r="H1025" s="1">
        <v>-1.67833499999999E-6</v>
      </c>
      <c r="I1025">
        <v>369.60129999999998</v>
      </c>
      <c r="J1025">
        <v>-302.44580000000002</v>
      </c>
      <c r="K1025">
        <v>1.0708719999999901</v>
      </c>
      <c r="L1025">
        <v>366.95940000000002</v>
      </c>
      <c r="M1025">
        <v>0.99985710000000005</v>
      </c>
      <c r="N1025">
        <v>-1.3357290000000001E-2</v>
      </c>
      <c r="O1025">
        <v>-1.0378500000000001E-2</v>
      </c>
      <c r="P1025">
        <v>0.99714360000000002</v>
      </c>
      <c r="Q1025">
        <v>-7.5498540000000003E-2</v>
      </c>
      <c r="R1025">
        <v>-2.238557E-3</v>
      </c>
      <c r="S1025">
        <v>3.005188</v>
      </c>
      <c r="T1025">
        <v>-4.8329110000000002E-2</v>
      </c>
      <c r="U1025">
        <v>0.1191406</v>
      </c>
      <c r="V1025">
        <v>-8.1069419999999903E-3</v>
      </c>
      <c r="W1025">
        <v>-6.2173680000000002E-2</v>
      </c>
      <c r="X1025">
        <v>0.99803240000000004</v>
      </c>
      <c r="Y1025">
        <v>-4.9971149999999999E-2</v>
      </c>
      <c r="Z1025">
        <v>7.6381899999999902E-4</v>
      </c>
      <c r="AA1025">
        <v>0.99875040000000004</v>
      </c>
      <c r="AB1025">
        <v>38</v>
      </c>
      <c r="AC1025">
        <v>66.393000000000001</v>
      </c>
      <c r="AD1025">
        <v>-1.0708736783349999</v>
      </c>
      <c r="AE1025">
        <v>2.6418999999999602</v>
      </c>
      <c r="AF1025">
        <v>-3.3300138452035699</v>
      </c>
      <c r="AG1025">
        <v>-1.0708736783349999</v>
      </c>
      <c r="AH1025">
        <v>66.344769536265503</v>
      </c>
      <c r="AI1025">
        <v>90.923570813283604</v>
      </c>
      <c r="AJ1025">
        <v>92.873410499037206</v>
      </c>
      <c r="AK1025">
        <v>66.436919009421104</v>
      </c>
      <c r="AL1025">
        <v>93.564588577299403</v>
      </c>
      <c r="AM1025">
        <v>90.4653990649051</v>
      </c>
      <c r="AN1025">
        <v>0.99999998022154601</v>
      </c>
    </row>
    <row r="1026" spans="1:40" x14ac:dyDescent="0.25">
      <c r="A1026" t="str">
        <f>"20190303153758921"</f>
        <v>20190303153758921</v>
      </c>
      <c r="B1026" t="str">
        <f>"1551598678909913"</f>
        <v>1551598678909913</v>
      </c>
      <c r="C1026" t="s">
        <v>40</v>
      </c>
      <c r="D1026">
        <v>4.217765</v>
      </c>
      <c r="E1026">
        <v>0.48392610000000003</v>
      </c>
      <c r="F1026" t="s">
        <v>42</v>
      </c>
      <c r="G1026">
        <v>-237.06219999999999</v>
      </c>
      <c r="H1026" s="1">
        <v>-1.2480120000000001E-6</v>
      </c>
      <c r="I1026">
        <v>369.58609999999999</v>
      </c>
      <c r="J1026">
        <v>-302.24040000000002</v>
      </c>
      <c r="K1026">
        <v>1.070873</v>
      </c>
      <c r="L1026">
        <v>366.95740000000001</v>
      </c>
      <c r="M1026">
        <v>0.99985599999999997</v>
      </c>
      <c r="N1026">
        <v>-1.3470289999999999E-2</v>
      </c>
      <c r="O1026">
        <v>-1.0333449999999999E-2</v>
      </c>
      <c r="P1026">
        <v>0.99713019999999997</v>
      </c>
      <c r="Q1026">
        <v>-7.5685370000000002E-2</v>
      </c>
      <c r="R1026">
        <v>-1.865509E-3</v>
      </c>
      <c r="S1026">
        <v>3.005096</v>
      </c>
      <c r="T1026">
        <v>-4.92183E-2</v>
      </c>
      <c r="U1026">
        <v>0.1207275</v>
      </c>
      <c r="V1026">
        <v>-8.4338469999999995E-3</v>
      </c>
      <c r="W1026">
        <v>-6.2248129999999999E-2</v>
      </c>
      <c r="X1026">
        <v>0.9980251</v>
      </c>
      <c r="Y1026">
        <v>-5.045343E-2</v>
      </c>
      <c r="Z1026">
        <v>7.8301429999999995E-4</v>
      </c>
      <c r="AA1026">
        <v>0.99872609999999995</v>
      </c>
      <c r="AB1026">
        <v>38</v>
      </c>
      <c r="AC1026">
        <v>65.178200000000004</v>
      </c>
      <c r="AD1026">
        <v>-1.0708742480119999</v>
      </c>
      <c r="AE1026">
        <v>2.6286999999999798</v>
      </c>
      <c r="AF1026">
        <v>-3.3012466220102898</v>
      </c>
      <c r="AG1026">
        <v>-1.0708742480119999</v>
      </c>
      <c r="AH1026">
        <v>65.130000562019205</v>
      </c>
      <c r="AI1026">
        <v>90.940770780638204</v>
      </c>
      <c r="AJ1026">
        <v>92.901669918779803</v>
      </c>
      <c r="AK1026">
        <v>65.222403927814696</v>
      </c>
      <c r="AL1026">
        <v>93.568862349364593</v>
      </c>
      <c r="AM1026">
        <v>90.484168520473901</v>
      </c>
      <c r="AN1026">
        <v>1.0000000298468601</v>
      </c>
    </row>
    <row r="1027" spans="1:40" x14ac:dyDescent="0.25">
      <c r="A1027" t="str">
        <f>"20190303153758933"</f>
        <v>20190303153758933</v>
      </c>
      <c r="B1027" t="str">
        <f>"1551598678919672"</f>
        <v>1551598678919672</v>
      </c>
      <c r="C1027" t="s">
        <v>40</v>
      </c>
      <c r="D1027">
        <v>4.1887410000000003</v>
      </c>
      <c r="E1027">
        <v>0.48379549999999999</v>
      </c>
      <c r="F1027" t="s">
        <v>42</v>
      </c>
      <c r="G1027">
        <v>-238.10300000000001</v>
      </c>
      <c r="H1027" s="1">
        <v>-8.0322990000000003E-7</v>
      </c>
      <c r="I1027">
        <v>369.57639999999998</v>
      </c>
      <c r="J1027">
        <v>-302.05619999999999</v>
      </c>
      <c r="K1027">
        <v>1.070875</v>
      </c>
      <c r="L1027">
        <v>366.95549999999997</v>
      </c>
      <c r="M1027">
        <v>0.99985500000000005</v>
      </c>
      <c r="N1027">
        <v>-1.356808E-2</v>
      </c>
      <c r="O1027">
        <v>-1.029033E-2</v>
      </c>
      <c r="P1027">
        <v>0.99712500000000004</v>
      </c>
      <c r="Q1027">
        <v>-7.5761289999999995E-2</v>
      </c>
      <c r="R1027">
        <v>-1.4459570000000001E-3</v>
      </c>
      <c r="S1027">
        <v>3.0050659999999998</v>
      </c>
      <c r="T1027">
        <v>-5.0174240000000002E-2</v>
      </c>
      <c r="U1027">
        <v>0.12271120000000001</v>
      </c>
      <c r="V1027">
        <v>-8.8083869999999904E-3</v>
      </c>
      <c r="W1027">
        <v>-6.2226780000000002E-2</v>
      </c>
      <c r="X1027">
        <v>0.9980232</v>
      </c>
      <c r="Y1027">
        <v>-5.1068379999999997E-2</v>
      </c>
      <c r="Z1027">
        <v>8.049547E-4</v>
      </c>
      <c r="AA1027">
        <v>0.99869479999999999</v>
      </c>
      <c r="AB1027">
        <v>38</v>
      </c>
      <c r="AC1027">
        <v>63.953200000000002</v>
      </c>
      <c r="AD1027">
        <v>-1.0708758032298999</v>
      </c>
      <c r="AE1027">
        <v>2.6208999999999998</v>
      </c>
      <c r="AF1027">
        <v>-3.2780037614419801</v>
      </c>
      <c r="AG1027">
        <v>-1.0708758032298999</v>
      </c>
      <c r="AH1027">
        <v>63.904952946187798</v>
      </c>
      <c r="AI1027">
        <v>90.958773621660995</v>
      </c>
      <c r="AJ1027">
        <v>92.936412691514306</v>
      </c>
      <c r="AK1027">
        <v>63.997930393884197</v>
      </c>
      <c r="AL1027">
        <v>93.567636694378706</v>
      </c>
      <c r="AM1027">
        <v>90.505669904134393</v>
      </c>
      <c r="AN1027">
        <v>1.0000000337844701</v>
      </c>
    </row>
    <row r="1028" spans="1:40" x14ac:dyDescent="0.25">
      <c r="A1028" t="str">
        <f>"20190303153758946"</f>
        <v>20190303153758946</v>
      </c>
      <c r="B1028" t="str">
        <f>"1551598678940169"</f>
        <v>1551598678940169</v>
      </c>
      <c r="C1028" t="s">
        <v>40</v>
      </c>
      <c r="D1028">
        <v>4.2234980000000002</v>
      </c>
      <c r="E1028">
        <v>0.48364760000000001</v>
      </c>
      <c r="F1028" t="s">
        <v>42</v>
      </c>
      <c r="G1028">
        <v>-238.43969999999999</v>
      </c>
      <c r="H1028" s="1">
        <v>-6.5486380000000005E-7</v>
      </c>
      <c r="I1028">
        <v>369.59859999999998</v>
      </c>
      <c r="J1028">
        <v>-301.83199999999999</v>
      </c>
      <c r="K1028">
        <v>1.0708759999999999</v>
      </c>
      <c r="L1028">
        <v>366.95319999999998</v>
      </c>
      <c r="M1028">
        <v>0.99985429999999997</v>
      </c>
      <c r="N1028">
        <v>-1.3677190000000001E-2</v>
      </c>
      <c r="O1028">
        <v>-1.0230690000000001E-2</v>
      </c>
      <c r="P1028">
        <v>0.99710600000000005</v>
      </c>
      <c r="Q1028">
        <v>-7.6020519999999994E-2</v>
      </c>
      <c r="R1028">
        <v>-9.793829999999999E-4</v>
      </c>
      <c r="S1028">
        <v>3.0049440000000001</v>
      </c>
      <c r="T1028">
        <v>-5.0583000000000003E-2</v>
      </c>
      <c r="U1028">
        <v>0.1248474</v>
      </c>
      <c r="V1028">
        <v>-9.2142379999999996E-3</v>
      </c>
      <c r="W1028">
        <v>-6.2377679999999998E-2</v>
      </c>
      <c r="X1028">
        <v>0.99801010000000001</v>
      </c>
      <c r="Y1028">
        <v>-5.1718859999999998E-2</v>
      </c>
      <c r="Z1028">
        <v>8.2124929999999904E-4</v>
      </c>
      <c r="AA1028">
        <v>0.99866129999999997</v>
      </c>
      <c r="AB1028">
        <v>38</v>
      </c>
      <c r="AC1028">
        <v>63.392299999999999</v>
      </c>
      <c r="AD1028">
        <v>-1.0708766548638</v>
      </c>
      <c r="AE1028">
        <v>2.6453999999999902</v>
      </c>
      <c r="AF1028">
        <v>-3.2929309864287499</v>
      </c>
      <c r="AG1028">
        <v>-1.0708766548638</v>
      </c>
      <c r="AH1028">
        <v>63.343870043055603</v>
      </c>
      <c r="AI1028">
        <v>90.967230975339803</v>
      </c>
      <c r="AJ1028">
        <v>92.975842260215202</v>
      </c>
      <c r="AK1028">
        <v>63.438442945290099</v>
      </c>
      <c r="AL1028">
        <v>93.576299511126194</v>
      </c>
      <c r="AM1028">
        <v>90.528974555424298</v>
      </c>
      <c r="AN1028">
        <v>1.00000001842305</v>
      </c>
    </row>
    <row r="1029" spans="1:40" x14ac:dyDescent="0.25">
      <c r="A1029" t="str">
        <f>"20190303153758959"</f>
        <v>20190303153758959</v>
      </c>
      <c r="B1029" t="str">
        <f>"1551598678949928"</f>
        <v>1551598678949928</v>
      </c>
      <c r="C1029" t="s">
        <v>40</v>
      </c>
      <c r="D1029">
        <v>4.22288</v>
      </c>
      <c r="E1029">
        <v>0.48356969999999999</v>
      </c>
      <c r="F1029" t="s">
        <v>42</v>
      </c>
      <c r="G1029">
        <v>-239.59559999999999</v>
      </c>
      <c r="H1029" s="1">
        <v>-1.5936650000000001E-7</v>
      </c>
      <c r="I1029">
        <v>369.59649999999999</v>
      </c>
      <c r="J1029">
        <v>-301.6037</v>
      </c>
      <c r="K1029">
        <v>1.070881</v>
      </c>
      <c r="L1029">
        <v>366.95100000000002</v>
      </c>
      <c r="M1029">
        <v>0.99985360000000001</v>
      </c>
      <c r="N1029">
        <v>-1.377833E-2</v>
      </c>
      <c r="O1029">
        <v>-1.016122E-2</v>
      </c>
      <c r="P1029">
        <v>0.99706859999999997</v>
      </c>
      <c r="Q1029">
        <v>-7.6511499999999996E-2</v>
      </c>
      <c r="R1029">
        <v>-4.789727E-4</v>
      </c>
      <c r="S1029">
        <v>3.004883</v>
      </c>
      <c r="T1029">
        <v>-5.1703689999999997E-2</v>
      </c>
      <c r="U1029">
        <v>0.1276245</v>
      </c>
      <c r="V1029">
        <v>-9.6427760000000005E-3</v>
      </c>
      <c r="W1029">
        <v>-6.2768580000000004E-2</v>
      </c>
      <c r="X1029">
        <v>0.99798149999999997</v>
      </c>
      <c r="Y1029">
        <v>-5.2570899999999997E-2</v>
      </c>
      <c r="Z1029">
        <v>8.4925789999999897E-4</v>
      </c>
      <c r="AA1029">
        <v>0.99861679999999997</v>
      </c>
      <c r="AB1029">
        <v>38</v>
      </c>
      <c r="AC1029">
        <v>62.008099999999999</v>
      </c>
      <c r="AD1029">
        <v>-1.0708811593665</v>
      </c>
      <c r="AE1029">
        <v>2.6455000000000202</v>
      </c>
      <c r="AF1029">
        <v>-3.2745261944527999</v>
      </c>
      <c r="AG1029">
        <v>-1.0708811593665</v>
      </c>
      <c r="AH1029">
        <v>61.959567985709299</v>
      </c>
      <c r="AI1029">
        <v>90.988796114719904</v>
      </c>
      <c r="AJ1029">
        <v>93.025233299353701</v>
      </c>
      <c r="AK1029">
        <v>62.055276755739101</v>
      </c>
      <c r="AL1029">
        <v>93.598740559337998</v>
      </c>
      <c r="AM1029">
        <v>90.553590597740396</v>
      </c>
      <c r="AN1029">
        <v>0.99999997605322599</v>
      </c>
    </row>
    <row r="1030" spans="1:40" x14ac:dyDescent="0.25">
      <c r="A1030" t="str">
        <f>"20190303153758974"</f>
        <v>20190303153758974</v>
      </c>
      <c r="B1030" t="str">
        <f>"1551598678970425"</f>
        <v>1551598678970425</v>
      </c>
      <c r="C1030" t="s">
        <v>40</v>
      </c>
      <c r="D1030">
        <v>4.1753660000000004</v>
      </c>
      <c r="E1030">
        <v>0.48343049999999999</v>
      </c>
      <c r="F1030" t="s">
        <v>42</v>
      </c>
      <c r="G1030">
        <v>-241.35300000000001</v>
      </c>
      <c r="H1030" s="1">
        <v>-4.0789349999999999E-6</v>
      </c>
      <c r="I1030">
        <v>369.55470000000003</v>
      </c>
      <c r="J1030">
        <v>-301.37490000000003</v>
      </c>
      <c r="K1030">
        <v>1.0708839999999999</v>
      </c>
      <c r="L1030">
        <v>366.94869999999997</v>
      </c>
      <c r="M1030">
        <v>0.99985299999999999</v>
      </c>
      <c r="N1030">
        <v>-1.3873089999999999E-2</v>
      </c>
      <c r="O1030">
        <v>-1.008538E-2</v>
      </c>
      <c r="P1030">
        <v>0.99705560000000004</v>
      </c>
      <c r="Q1030">
        <v>-7.6683970000000004E-2</v>
      </c>
      <c r="R1030" s="1">
        <v>8.6423130000000005E-5</v>
      </c>
      <c r="S1030">
        <v>3.004791</v>
      </c>
      <c r="T1030">
        <v>-5.3406599999999999E-2</v>
      </c>
      <c r="U1030">
        <v>0.1298523</v>
      </c>
      <c r="V1030">
        <v>-1.0130490000000001E-2</v>
      </c>
      <c r="W1030">
        <v>-6.2847029999999998E-2</v>
      </c>
      <c r="X1030">
        <v>0.99797179999999996</v>
      </c>
      <c r="Y1030">
        <v>-5.3234490000000002E-2</v>
      </c>
      <c r="Z1030">
        <v>8.8165420000000001E-4</v>
      </c>
      <c r="AA1030">
        <v>0.99858159999999896</v>
      </c>
      <c r="AB1030">
        <v>38</v>
      </c>
      <c r="AC1030">
        <v>60.021900000000002</v>
      </c>
      <c r="AD1030">
        <v>-1.0708880789349999</v>
      </c>
      <c r="AE1030">
        <v>2.6060000000000501</v>
      </c>
      <c r="AF1030">
        <v>-3.2102493325571602</v>
      </c>
      <c r="AG1030">
        <v>-1.0708880789349999</v>
      </c>
      <c r="AH1030">
        <v>59.973506691834402</v>
      </c>
      <c r="AI1030">
        <v>91.021503759228395</v>
      </c>
      <c r="AJ1030">
        <v>93.063992402350195</v>
      </c>
      <c r="AK1030">
        <v>60.068910485960103</v>
      </c>
      <c r="AL1030">
        <v>93.603244057319202</v>
      </c>
      <c r="AM1030">
        <v>90.581593974697398</v>
      </c>
      <c r="AN1030">
        <v>1.00000004480134</v>
      </c>
    </row>
    <row r="1031" spans="1:40" x14ac:dyDescent="0.25">
      <c r="A1031" t="str">
        <f>"20190303153758987"</f>
        <v>20190303153758987</v>
      </c>
      <c r="B1031" t="str">
        <f>"1551598678980185"</f>
        <v>1551598678980185</v>
      </c>
      <c r="C1031" t="s">
        <v>40</v>
      </c>
      <c r="D1031">
        <v>4.1731199999999999</v>
      </c>
      <c r="E1031">
        <v>0.48336649999999998</v>
      </c>
      <c r="F1031" t="s">
        <v>42</v>
      </c>
      <c r="G1031">
        <v>-242.04400000000001</v>
      </c>
      <c r="H1031" s="1">
        <v>-3.750831E-6</v>
      </c>
      <c r="I1031">
        <v>369.56279999999998</v>
      </c>
      <c r="J1031">
        <v>-301.12</v>
      </c>
      <c r="K1031">
        <v>1.070894</v>
      </c>
      <c r="L1031">
        <v>366.94619999999998</v>
      </c>
      <c r="M1031">
        <v>0.99985250000000003</v>
      </c>
      <c r="N1031">
        <v>-1.3969189999999999E-2</v>
      </c>
      <c r="O1031">
        <v>-9.9916439999999992E-3</v>
      </c>
      <c r="P1031">
        <v>0.99698759999999997</v>
      </c>
      <c r="Q1031">
        <v>-7.755956E-2</v>
      </c>
      <c r="R1031">
        <v>6.3411860000000002E-4</v>
      </c>
      <c r="S1031">
        <v>3.0046689999999998</v>
      </c>
      <c r="T1031">
        <v>-5.423248E-2</v>
      </c>
      <c r="U1031">
        <v>0.13238529999999901</v>
      </c>
      <c r="V1031">
        <v>-1.058252E-2</v>
      </c>
      <c r="W1031">
        <v>-6.3628069999999995E-2</v>
      </c>
      <c r="X1031">
        <v>0.99791759999999996</v>
      </c>
      <c r="Y1031">
        <v>-5.3982219999999997E-2</v>
      </c>
      <c r="Z1031">
        <v>9.0494019999999998E-4</v>
      </c>
      <c r="AA1031">
        <v>0.99854149999999997</v>
      </c>
      <c r="AB1031">
        <v>38</v>
      </c>
      <c r="AC1031">
        <v>59.075999999999901</v>
      </c>
      <c r="AD1031">
        <v>-1.070897750831</v>
      </c>
      <c r="AE1031">
        <v>2.6166</v>
      </c>
      <c r="AF1031">
        <v>-3.2057419635034599</v>
      </c>
      <c r="AG1031">
        <v>-1.070897750831</v>
      </c>
      <c r="AH1031">
        <v>59.027545043688598</v>
      </c>
      <c r="AI1031">
        <v>91.037836364712703</v>
      </c>
      <c r="AJ1031">
        <v>93.108637165440499</v>
      </c>
      <c r="AK1031">
        <v>59.1242308822194</v>
      </c>
      <c r="AL1031">
        <v>93.648084158094207</v>
      </c>
      <c r="AM1031">
        <v>90.607576221924205</v>
      </c>
      <c r="AN1031">
        <v>1.0000000287056099</v>
      </c>
    </row>
    <row r="1032" spans="1:40" x14ac:dyDescent="0.25">
      <c r="A1032" t="str">
        <f>"20190303153759002"</f>
        <v>20190303153759002</v>
      </c>
      <c r="B1032" t="str">
        <f>"1551598678989947"</f>
        <v>1551598678989947</v>
      </c>
      <c r="C1032" t="s">
        <v>40</v>
      </c>
      <c r="D1032">
        <v>4.1586150000000002</v>
      </c>
      <c r="E1032">
        <v>0.48330420000000002</v>
      </c>
      <c r="F1032" t="s">
        <v>42</v>
      </c>
      <c r="G1032">
        <v>-244.74430000000001</v>
      </c>
      <c r="H1032" s="1">
        <v>-2.4904010000000001E-6</v>
      </c>
      <c r="I1032">
        <v>369.4726</v>
      </c>
      <c r="J1032">
        <v>-300.8802</v>
      </c>
      <c r="K1032">
        <v>1.0709040000000001</v>
      </c>
      <c r="L1032">
        <v>366.94389999999999</v>
      </c>
      <c r="M1032">
        <v>0.99985239999999997</v>
      </c>
      <c r="N1032">
        <v>-1.404938E-2</v>
      </c>
      <c r="O1032">
        <v>-9.8913720000000007E-3</v>
      </c>
      <c r="P1032">
        <v>0.99697340000000001</v>
      </c>
      <c r="Q1032">
        <v>-7.7739890000000006E-2</v>
      </c>
      <c r="R1032">
        <v>8.5101679999999996E-4</v>
      </c>
      <c r="S1032">
        <v>3.004578</v>
      </c>
      <c r="T1032">
        <v>-5.7074069999999998E-2</v>
      </c>
      <c r="U1032">
        <v>0.1346436</v>
      </c>
      <c r="V1032">
        <v>-1.0697129999999999E-2</v>
      </c>
      <c r="W1032">
        <v>-6.372891E-2</v>
      </c>
      <c r="X1032">
        <v>0.99790990000000002</v>
      </c>
      <c r="Y1032">
        <v>-5.4630860000000003E-2</v>
      </c>
      <c r="Z1032">
        <v>9.5150050000000004E-4</v>
      </c>
      <c r="AA1032">
        <v>0.99850620000000001</v>
      </c>
      <c r="AB1032">
        <v>38</v>
      </c>
      <c r="AC1032">
        <v>56.1358999999999</v>
      </c>
      <c r="AD1032">
        <v>-1.0709064904009999</v>
      </c>
      <c r="AE1032">
        <v>2.5287000000000099</v>
      </c>
      <c r="AF1032">
        <v>-3.0827724829671501</v>
      </c>
      <c r="AG1032">
        <v>-1.0709064904009999</v>
      </c>
      <c r="AH1032">
        <v>56.0877675957584</v>
      </c>
      <c r="AI1032">
        <v>91.092190548114004</v>
      </c>
      <c r="AJ1032">
        <v>93.146003436211402</v>
      </c>
      <c r="AK1032">
        <v>56.1826307747219</v>
      </c>
      <c r="AL1032">
        <v>93.653873772176993</v>
      </c>
      <c r="AM1032">
        <v>90.614160584752</v>
      </c>
      <c r="AN1032">
        <v>0.99999998553901703</v>
      </c>
    </row>
    <row r="1033" spans="1:40" x14ac:dyDescent="0.25">
      <c r="A1033" t="str">
        <f>"20190303153759018"</f>
        <v>20190303153759018</v>
      </c>
      <c r="B1033" t="str">
        <f>"1551598679010441"</f>
        <v>1551598679010441</v>
      </c>
      <c r="C1033" t="s">
        <v>40</v>
      </c>
      <c r="D1033">
        <v>4.1922620000000004</v>
      </c>
      <c r="E1033">
        <v>0.48318159999999999</v>
      </c>
      <c r="F1033" t="s">
        <v>42</v>
      </c>
      <c r="G1033">
        <v>-245.18119999999999</v>
      </c>
      <c r="H1033" s="1">
        <v>-2.2856300000000002E-6</v>
      </c>
      <c r="I1033">
        <v>369.46260000000001</v>
      </c>
      <c r="J1033">
        <v>-300.62540000000001</v>
      </c>
      <c r="K1033">
        <v>1.070913</v>
      </c>
      <c r="L1033">
        <v>366.94150000000002</v>
      </c>
      <c r="M1033">
        <v>0.99985250000000003</v>
      </c>
      <c r="N1033">
        <v>-1.4127850000000001E-2</v>
      </c>
      <c r="O1033">
        <v>-9.7754520000000004E-3</v>
      </c>
      <c r="P1033">
        <v>0.99698030000000004</v>
      </c>
      <c r="Q1033">
        <v>-7.7650819999999995E-2</v>
      </c>
      <c r="R1033">
        <v>1.009469E-3</v>
      </c>
      <c r="S1033">
        <v>3.004486</v>
      </c>
      <c r="T1033">
        <v>-5.7766320000000003E-2</v>
      </c>
      <c r="U1033">
        <v>0.13586429999999999</v>
      </c>
      <c r="V1033">
        <v>-1.0737689999999999E-2</v>
      </c>
      <c r="W1033">
        <v>-6.3561820000000005E-2</v>
      </c>
      <c r="X1033">
        <v>0.99792020000000003</v>
      </c>
      <c r="Y1033">
        <v>-5.4920860000000002E-2</v>
      </c>
      <c r="Z1033">
        <v>9.6570260000000002E-4</v>
      </c>
      <c r="AA1033">
        <v>0.99849019999999999</v>
      </c>
      <c r="AB1033">
        <v>38</v>
      </c>
      <c r="AC1033">
        <v>55.444200000000002</v>
      </c>
      <c r="AD1033">
        <v>-1.0709152856299999</v>
      </c>
      <c r="AE1033">
        <v>2.5210999999999899</v>
      </c>
      <c r="AF1033">
        <v>-3.06188572030557</v>
      </c>
      <c r="AG1033">
        <v>-1.0709152856299999</v>
      </c>
      <c r="AH1033">
        <v>55.3962785383914</v>
      </c>
      <c r="AI1033">
        <v>91.105810856075607</v>
      </c>
      <c r="AJ1033">
        <v>93.163656635763303</v>
      </c>
      <c r="AK1033">
        <v>55.491167582023799</v>
      </c>
      <c r="AL1033">
        <v>93.644280483909696</v>
      </c>
      <c r="AM1033">
        <v>90.616482737798506</v>
      </c>
      <c r="AN1033">
        <v>1.0000000642581399</v>
      </c>
    </row>
    <row r="1034" spans="1:40" x14ac:dyDescent="0.25">
      <c r="A1034" t="str">
        <f>"20190303153759031"</f>
        <v>20190303153759031</v>
      </c>
      <c r="B1034" t="str">
        <f>"1551598679020200"</f>
        <v>1551598679020200</v>
      </c>
      <c r="C1034" t="s">
        <v>40</v>
      </c>
      <c r="D1034">
        <v>4.1842180000000004</v>
      </c>
      <c r="E1034">
        <v>0.48315150000000001</v>
      </c>
      <c r="F1034" t="s">
        <v>42</v>
      </c>
      <c r="G1034">
        <v>-245.1662</v>
      </c>
      <c r="H1034" s="1">
        <v>-2.2907430000000001E-6</v>
      </c>
      <c r="I1034">
        <v>369.47370000000001</v>
      </c>
      <c r="J1034">
        <v>-300.3974</v>
      </c>
      <c r="K1034">
        <v>1.0709229999999901</v>
      </c>
      <c r="L1034">
        <v>366.9393</v>
      </c>
      <c r="M1034">
        <v>0.99985259999999998</v>
      </c>
      <c r="N1034">
        <v>-1.4192679999999999E-2</v>
      </c>
      <c r="O1034">
        <v>-9.6635100000000002E-3</v>
      </c>
      <c r="P1034">
        <v>0.99699150000000003</v>
      </c>
      <c r="Q1034">
        <v>-7.7506569999999997E-2</v>
      </c>
      <c r="R1034">
        <v>9.1804600000000005E-4</v>
      </c>
      <c r="S1034">
        <v>3.0044249999999999</v>
      </c>
      <c r="T1034">
        <v>-5.801535E-2</v>
      </c>
      <c r="U1034">
        <v>0.13717650000000001</v>
      </c>
      <c r="V1034">
        <v>-1.0533219999999999E-2</v>
      </c>
      <c r="W1034">
        <v>-6.335296E-2</v>
      </c>
      <c r="X1034">
        <v>0.99793560000000003</v>
      </c>
      <c r="Y1034">
        <v>-5.5244969999999997E-2</v>
      </c>
      <c r="Z1034">
        <v>9.7480449999999997E-4</v>
      </c>
      <c r="AA1034">
        <v>0.99847229999999998</v>
      </c>
      <c r="AB1034">
        <v>38</v>
      </c>
      <c r="AC1034">
        <v>55.231200000000001</v>
      </c>
      <c r="AD1034">
        <v>-1.07092529074299</v>
      </c>
      <c r="AE1034">
        <v>2.5344000000000002</v>
      </c>
      <c r="AF1034">
        <v>-3.0669120105017802</v>
      </c>
      <c r="AG1034">
        <v>-1.07092529074299</v>
      </c>
      <c r="AH1034">
        <v>55.183423378464497</v>
      </c>
      <c r="AI1034">
        <v>91.110066866994003</v>
      </c>
      <c r="AJ1034">
        <v>93.181037303156202</v>
      </c>
      <c r="AK1034">
        <v>55.278956629312098</v>
      </c>
      <c r="AL1034">
        <v>93.632289740097306</v>
      </c>
      <c r="AM1034">
        <v>90.604735055270297</v>
      </c>
      <c r="AN1034">
        <v>1.0000000040058401</v>
      </c>
    </row>
    <row r="1035" spans="1:40" x14ac:dyDescent="0.25">
      <c r="A1035" t="str">
        <f>"20190303153759043"</f>
        <v>20190303153759043</v>
      </c>
      <c r="B1035" t="str">
        <f>"1551598679039721"</f>
        <v>1551598679039721</v>
      </c>
      <c r="C1035" t="s">
        <v>40</v>
      </c>
      <c r="D1035">
        <v>4.184005</v>
      </c>
      <c r="E1035">
        <v>0.48305389999999998</v>
      </c>
      <c r="F1035" t="s">
        <v>42</v>
      </c>
      <c r="G1035">
        <v>-244.7945</v>
      </c>
      <c r="H1035" s="1">
        <v>-2.4657080000000002E-6</v>
      </c>
      <c r="I1035">
        <v>369.47809999999998</v>
      </c>
      <c r="J1035">
        <v>-300.18180000000001</v>
      </c>
      <c r="K1035">
        <v>1.0709390000000001</v>
      </c>
      <c r="L1035">
        <v>366.93729999999999</v>
      </c>
      <c r="M1035">
        <v>0.99985290000000004</v>
      </c>
      <c r="N1035">
        <v>-1.4247299999999999E-2</v>
      </c>
      <c r="O1035">
        <v>-9.5468549999999999E-3</v>
      </c>
      <c r="P1035">
        <v>0.99698739999999997</v>
      </c>
      <c r="Q1035">
        <v>-7.7560589999999999E-2</v>
      </c>
      <c r="R1035">
        <v>7.5758539999999902E-4</v>
      </c>
      <c r="S1035">
        <v>3.0044249999999999</v>
      </c>
      <c r="T1035">
        <v>-5.7865979999999997E-2</v>
      </c>
      <c r="U1035">
        <v>0.13717650000000001</v>
      </c>
      <c r="V1035">
        <v>-1.025437E-2</v>
      </c>
      <c r="W1035">
        <v>-6.3352699999999998E-2</v>
      </c>
      <c r="X1035">
        <v>0.99793849999999995</v>
      </c>
      <c r="Y1035">
        <v>-5.512856E-2</v>
      </c>
      <c r="Z1035">
        <v>9.7139969999999998E-4</v>
      </c>
      <c r="AA1035">
        <v>0.9984788</v>
      </c>
      <c r="AB1035">
        <v>37</v>
      </c>
      <c r="AC1035">
        <v>55.387300000000003</v>
      </c>
      <c r="AD1035">
        <v>-1.0709414657080001</v>
      </c>
      <c r="AE1035">
        <v>2.5407999999999902</v>
      </c>
      <c r="AF1035">
        <v>-3.0683676602388301</v>
      </c>
      <c r="AG1035">
        <v>-1.0709414657080001</v>
      </c>
      <c r="AH1035">
        <v>55.339870234848703</v>
      </c>
      <c r="AI1035">
        <v>91.106954195070401</v>
      </c>
      <c r="AJ1035">
        <v>93.173565321954996</v>
      </c>
      <c r="AK1035">
        <v>55.435214740553398</v>
      </c>
      <c r="AL1035">
        <v>93.632274888731303</v>
      </c>
      <c r="AM1035">
        <v>90.588725102090507</v>
      </c>
      <c r="AN1035">
        <v>0.99999998324181805</v>
      </c>
    </row>
    <row r="1036" spans="1:40" x14ac:dyDescent="0.25">
      <c r="A1036" t="str">
        <f>"20190303153759056"</f>
        <v>20190303153759056</v>
      </c>
      <c r="B1036" t="str">
        <f>"1551598679049481"</f>
        <v>1551598679049481</v>
      </c>
      <c r="C1036" t="s">
        <v>40</v>
      </c>
      <c r="D1036">
        <v>4.1822809999999997</v>
      </c>
      <c r="E1036">
        <v>0.48303679999999899</v>
      </c>
      <c r="F1036" t="s">
        <v>42</v>
      </c>
      <c r="G1036">
        <v>-245.20070000000001</v>
      </c>
      <c r="H1036" s="1">
        <v>-2.2786559999999999E-6</v>
      </c>
      <c r="I1036">
        <v>369.45</v>
      </c>
      <c r="J1036">
        <v>-300.00040000000001</v>
      </c>
      <c r="K1036">
        <v>1.0709489999999999</v>
      </c>
      <c r="L1036">
        <v>366.9357</v>
      </c>
      <c r="M1036">
        <v>0.9998534</v>
      </c>
      <c r="N1036">
        <v>-1.429012E-2</v>
      </c>
      <c r="O1036">
        <v>-9.4439780000000004E-3</v>
      </c>
      <c r="P1036">
        <v>0.99699059999999995</v>
      </c>
      <c r="Q1036">
        <v>-7.7520809999999996E-2</v>
      </c>
      <c r="R1036">
        <v>7.3751039999999995E-4</v>
      </c>
      <c r="S1036">
        <v>3.0043950000000001</v>
      </c>
      <c r="T1036">
        <v>-5.8520669999999997E-2</v>
      </c>
      <c r="U1036">
        <v>0.13729859999999999</v>
      </c>
      <c r="V1036">
        <v>-1.012975E-2</v>
      </c>
      <c r="W1036">
        <v>-6.3270370000000006E-2</v>
      </c>
      <c r="X1036">
        <v>0.99794499999999997</v>
      </c>
      <c r="Y1036">
        <v>-5.5066459999999998E-2</v>
      </c>
      <c r="Z1036">
        <v>9.7867950000000005E-4</v>
      </c>
      <c r="AA1036">
        <v>0.99848219999999999</v>
      </c>
      <c r="AB1036">
        <v>37</v>
      </c>
      <c r="AC1036">
        <v>54.799700000000001</v>
      </c>
      <c r="AD1036">
        <v>-1.070951278656</v>
      </c>
      <c r="AE1036">
        <v>2.5142999999999902</v>
      </c>
      <c r="AF1036">
        <v>-3.0306127569100201</v>
      </c>
      <c r="AG1036">
        <v>-1.070951278656</v>
      </c>
      <c r="AH1036">
        <v>54.752640560385899</v>
      </c>
      <c r="AI1036">
        <v>91.118839541793506</v>
      </c>
      <c r="AJ1036">
        <v>93.168145200811296</v>
      </c>
      <c r="AK1036">
        <v>54.846906919701603</v>
      </c>
      <c r="AL1036">
        <v>93.627548229883701</v>
      </c>
      <c r="AM1036">
        <v>90.581567110631099</v>
      </c>
      <c r="AN1036">
        <v>0.99999998728999895</v>
      </c>
    </row>
    <row r="1037" spans="1:40" x14ac:dyDescent="0.25">
      <c r="A1037" t="str">
        <f>"20190303153759068"</f>
        <v>20190303153759068</v>
      </c>
      <c r="B1037" t="str">
        <f>"1551598679060216"</f>
        <v>1551598679060216</v>
      </c>
      <c r="C1037" t="s">
        <v>40</v>
      </c>
      <c r="D1037">
        <v>4.1896300000000002</v>
      </c>
      <c r="E1037">
        <v>0.48303679999999899</v>
      </c>
      <c r="F1037" t="s">
        <v>42</v>
      </c>
      <c r="G1037">
        <v>-244.85390000000001</v>
      </c>
      <c r="H1037" s="1">
        <v>-2.4412340000000001E-6</v>
      </c>
      <c r="I1037">
        <v>369.45749999999998</v>
      </c>
      <c r="J1037">
        <v>-299.77109999999999</v>
      </c>
      <c r="K1037">
        <v>1.0709630000000001</v>
      </c>
      <c r="L1037">
        <v>366.93360000000001</v>
      </c>
      <c r="M1037">
        <v>0.99985389999999996</v>
      </c>
      <c r="N1037">
        <v>-1.434068E-2</v>
      </c>
      <c r="O1037">
        <v>-9.3077300000000002E-3</v>
      </c>
      <c r="P1037">
        <v>0.99697460000000004</v>
      </c>
      <c r="Q1037">
        <v>-7.7726500000000004E-2</v>
      </c>
      <c r="R1037">
        <v>4.6424870000000003E-4</v>
      </c>
      <c r="S1037">
        <v>3.0043950000000001</v>
      </c>
      <c r="T1037">
        <v>-5.8345790000000002E-2</v>
      </c>
      <c r="U1037">
        <v>0.13739009999999999</v>
      </c>
      <c r="V1037">
        <v>-9.7189849999999994E-3</v>
      </c>
      <c r="W1037">
        <v>-6.3425889999999999E-2</v>
      </c>
      <c r="X1037">
        <v>0.99793920000000003</v>
      </c>
      <c r="Y1037">
        <v>-5.496086E-2</v>
      </c>
      <c r="Z1037">
        <v>9.7497030000000002E-4</v>
      </c>
      <c r="AA1037">
        <v>0.99848800000000004</v>
      </c>
      <c r="AB1037">
        <v>37</v>
      </c>
      <c r="AC1037">
        <v>54.917199999999902</v>
      </c>
      <c r="AD1037">
        <v>-1.0709654412339999</v>
      </c>
      <c r="AE1037">
        <v>2.5238999999999598</v>
      </c>
      <c r="AF1037">
        <v>-3.0338462975654599</v>
      </c>
      <c r="AG1037">
        <v>-1.0709654412339999</v>
      </c>
      <c r="AH1037">
        <v>54.870502776261098</v>
      </c>
      <c r="AI1037">
        <v>91.116455327417299</v>
      </c>
      <c r="AJ1037">
        <v>93.164720004817696</v>
      </c>
      <c r="AK1037">
        <v>54.964745658041998</v>
      </c>
      <c r="AL1037">
        <v>93.636476849175097</v>
      </c>
      <c r="AM1037">
        <v>90.557989120825496</v>
      </c>
      <c r="AN1037">
        <v>0.99999997454418099</v>
      </c>
    </row>
    <row r="1038" spans="1:40" x14ac:dyDescent="0.25">
      <c r="A1038" t="str">
        <f>"20190303153759079"</f>
        <v>20190303153759079</v>
      </c>
      <c r="B1038" t="str">
        <f>"1551598679069977"</f>
        <v>1551598679069977</v>
      </c>
      <c r="C1038" t="s">
        <v>40</v>
      </c>
      <c r="D1038">
        <v>4.17096</v>
      </c>
      <c r="E1038">
        <v>0.50151809999999997</v>
      </c>
      <c r="F1038" t="s">
        <v>42</v>
      </c>
      <c r="G1038">
        <v>-245.1858</v>
      </c>
      <c r="H1038" s="1">
        <v>-2.2917410000000001E-6</v>
      </c>
      <c r="I1038">
        <v>369.41590000000002</v>
      </c>
      <c r="J1038">
        <v>-299.59840000000003</v>
      </c>
      <c r="K1038">
        <v>1.070978</v>
      </c>
      <c r="L1038">
        <v>366.93209999999999</v>
      </c>
      <c r="M1038">
        <v>0.99985449999999998</v>
      </c>
      <c r="N1038">
        <v>-1.437426E-2</v>
      </c>
      <c r="O1038">
        <v>-9.1963349999999999E-3</v>
      </c>
      <c r="P1038">
        <v>0.99697179999999996</v>
      </c>
      <c r="Q1038">
        <v>-7.7764180000000002E-2</v>
      </c>
      <c r="R1038">
        <v>3.5754249999999998E-4</v>
      </c>
      <c r="S1038">
        <v>3.0044559999999998</v>
      </c>
      <c r="T1038">
        <v>-5.8947560000000003E-2</v>
      </c>
      <c r="U1038">
        <v>0.1366272</v>
      </c>
      <c r="V1038">
        <v>-9.499614E-3</v>
      </c>
      <c r="W1038">
        <v>-6.3430230000000004E-2</v>
      </c>
      <c r="X1038">
        <v>0.99794110000000003</v>
      </c>
      <c r="Y1038">
        <v>-5.459547E-2</v>
      </c>
      <c r="Z1038">
        <v>9.761374E-4</v>
      </c>
      <c r="AA1038">
        <v>0.99850810000000001</v>
      </c>
      <c r="AB1038">
        <v>37</v>
      </c>
      <c r="AC1038">
        <v>54.412599999999998</v>
      </c>
      <c r="AD1038">
        <v>-1.0709802917410001</v>
      </c>
      <c r="AE1038">
        <v>2.48380000000002</v>
      </c>
      <c r="AF1038">
        <v>-2.9829898747227199</v>
      </c>
      <c r="AG1038">
        <v>-1.0709802917410001</v>
      </c>
      <c r="AH1038">
        <v>54.3664363797634</v>
      </c>
      <c r="AI1038">
        <v>91.126845826182205</v>
      </c>
      <c r="AJ1038">
        <v>93.140568675743793</v>
      </c>
      <c r="AK1038">
        <v>54.458742475500301</v>
      </c>
      <c r="AL1038">
        <v>93.636725783838997</v>
      </c>
      <c r="AM1038">
        <v>90.5453942620547</v>
      </c>
      <c r="AN1038">
        <v>1.0000000379066001</v>
      </c>
    </row>
    <row r="1039" spans="1:40" x14ac:dyDescent="0.25">
      <c r="A1039" t="str">
        <f>"20190303153759091"</f>
        <v>20190303153759091</v>
      </c>
      <c r="B1039" t="str">
        <f>"1551598679079738"</f>
        <v>1551598679079738</v>
      </c>
      <c r="C1039" t="s">
        <v>40</v>
      </c>
      <c r="D1039">
        <v>4.1862599999999999</v>
      </c>
      <c r="E1039">
        <v>0.50536009999999998</v>
      </c>
      <c r="F1039" t="s">
        <v>45</v>
      </c>
      <c r="G1039">
        <v>-207.3192</v>
      </c>
      <c r="H1039" s="1">
        <v>-4.7074790000000003E-6</v>
      </c>
      <c r="I1039">
        <v>366.58460000000002</v>
      </c>
      <c r="J1039">
        <v>-299.40350000000001</v>
      </c>
      <c r="K1039">
        <v>1.070989</v>
      </c>
      <c r="L1039">
        <v>366.93040000000002</v>
      </c>
      <c r="M1039">
        <v>0.99985500000000005</v>
      </c>
      <c r="N1039">
        <v>-1.4411240000000001E-2</v>
      </c>
      <c r="O1039">
        <v>-9.0683719999999999E-3</v>
      </c>
      <c r="P1039">
        <v>0.99695670000000003</v>
      </c>
      <c r="Q1039">
        <v>-7.7957689999999996E-2</v>
      </c>
      <c r="R1039" s="1">
        <v>6.0878229999999998E-5</v>
      </c>
      <c r="S1039">
        <v>3.0064090000000001</v>
      </c>
      <c r="T1039">
        <v>-3.4892079999999999E-2</v>
      </c>
      <c r="U1039">
        <v>-1.132202E-2</v>
      </c>
      <c r="V1039">
        <v>-9.0731570000000001E-3</v>
      </c>
      <c r="W1039">
        <v>-6.3587030000000003E-2</v>
      </c>
      <c r="X1039">
        <v>0.99793509999999996</v>
      </c>
      <c r="Y1039">
        <v>-5.3026330000000002E-3</v>
      </c>
      <c r="Z1039" s="1">
        <v>4.3528949999999999E-5</v>
      </c>
      <c r="AA1039">
        <v>0.99998589999999998</v>
      </c>
      <c r="AB1039">
        <v>37</v>
      </c>
      <c r="AC1039">
        <v>92.084299999999999</v>
      </c>
      <c r="AD1039">
        <v>-1.0709937074789999</v>
      </c>
      <c r="AE1039">
        <v>-0.345799999999997</v>
      </c>
      <c r="AF1039">
        <v>-0.48928947622241498</v>
      </c>
      <c r="AG1039">
        <v>-1.0709937074789999</v>
      </c>
      <c r="AH1039">
        <v>92.071194682601501</v>
      </c>
      <c r="AI1039">
        <v>90.666438463552794</v>
      </c>
      <c r="AJ1039">
        <v>90.304481310810601</v>
      </c>
      <c r="AK1039">
        <v>92.078723503285602</v>
      </c>
      <c r="AL1039">
        <v>93.645727896940798</v>
      </c>
      <c r="AM1039">
        <v>90.520914916625799</v>
      </c>
      <c r="AN1039">
        <v>1.0000000481870801</v>
      </c>
    </row>
    <row r="1040" spans="1:40" x14ac:dyDescent="0.25">
      <c r="A1040" t="str">
        <f>"20190303153759102"</f>
        <v>20190303153759102</v>
      </c>
      <c r="B1040" t="str">
        <f>"1551598679089497"</f>
        <v>1551598679089497</v>
      </c>
      <c r="C1040" t="s">
        <v>40</v>
      </c>
      <c r="D1040">
        <v>4.1515459999999997</v>
      </c>
      <c r="E1040">
        <v>0.50699249999999996</v>
      </c>
      <c r="F1040" t="s">
        <v>45</v>
      </c>
      <c r="G1040">
        <v>-204.2595</v>
      </c>
      <c r="H1040" s="1">
        <v>-3.4778009999999998E-6</v>
      </c>
      <c r="I1040">
        <v>365.57740000000001</v>
      </c>
      <c r="J1040">
        <v>-299.2106</v>
      </c>
      <c r="K1040">
        <v>1.071002</v>
      </c>
      <c r="L1040">
        <v>366.92880000000002</v>
      </c>
      <c r="M1040">
        <v>0.99985579999999996</v>
      </c>
      <c r="N1040">
        <v>-1.444354E-2</v>
      </c>
      <c r="O1040">
        <v>-8.9337129999999994E-3</v>
      </c>
      <c r="P1040">
        <v>0.99693569999999998</v>
      </c>
      <c r="Q1040">
        <v>-7.8226889999999993E-2</v>
      </c>
      <c r="R1040">
        <v>-3.5807120000000002E-4</v>
      </c>
      <c r="S1040">
        <v>3.0065</v>
      </c>
      <c r="T1040">
        <v>-3.3842799999999999E-2</v>
      </c>
      <c r="U1040">
        <v>-4.2755130000000002E-2</v>
      </c>
      <c r="V1040">
        <v>-8.5181809999999997E-3</v>
      </c>
      <c r="W1040">
        <v>-6.3824179999999994E-2</v>
      </c>
      <c r="X1040">
        <v>0.99792479999999995</v>
      </c>
      <c r="Y1040">
        <v>5.284431E-3</v>
      </c>
      <c r="Z1040" s="1">
        <v>-9.6396639999999994E-5</v>
      </c>
      <c r="AA1040">
        <v>0.99998609999999999</v>
      </c>
      <c r="AB1040">
        <v>37</v>
      </c>
      <c r="AC1040">
        <v>94.951099999999997</v>
      </c>
      <c r="AD1040">
        <v>-1.0710054778010001</v>
      </c>
      <c r="AE1040">
        <v>-1.3514000000000099</v>
      </c>
      <c r="AF1040">
        <v>0.502927734771352</v>
      </c>
      <c r="AG1040">
        <v>-1.0710054778010001</v>
      </c>
      <c r="AH1040">
        <v>94.947306802489607</v>
      </c>
      <c r="AI1040">
        <v>90.646259832199405</v>
      </c>
      <c r="AJ1040">
        <v>89.696512011966405</v>
      </c>
      <c r="AK1040">
        <v>94.954678968895294</v>
      </c>
      <c r="AL1040">
        <v>93.659343438380901</v>
      </c>
      <c r="AM1040">
        <v>90.489058862405201</v>
      </c>
      <c r="AN1040">
        <v>0.99999999590763</v>
      </c>
    </row>
    <row r="1041" spans="1:40" x14ac:dyDescent="0.25">
      <c r="A1041" t="str">
        <f>"20190303153759113"</f>
        <v>20190303153759113</v>
      </c>
      <c r="B1041" t="str">
        <f>"1551598679109993"</f>
        <v>1551598679109993</v>
      </c>
      <c r="C1041" t="s">
        <v>40</v>
      </c>
      <c r="D1041">
        <v>4.1786190000000003</v>
      </c>
      <c r="E1041">
        <v>0.50866020000000001</v>
      </c>
      <c r="F1041" t="s">
        <v>45</v>
      </c>
      <c r="G1041">
        <v>-203.0436</v>
      </c>
      <c r="H1041" s="1">
        <v>-2.9708340000000001E-6</v>
      </c>
      <c r="I1041">
        <v>365.1044</v>
      </c>
      <c r="J1041">
        <v>-299.01859999999999</v>
      </c>
      <c r="K1041">
        <v>1.0710139999999999</v>
      </c>
      <c r="L1041">
        <v>366.92720000000003</v>
      </c>
      <c r="M1041">
        <v>0.99985670000000004</v>
      </c>
      <c r="N1041">
        <v>-1.4474010000000001E-2</v>
      </c>
      <c r="O1041">
        <v>-8.7961859999999992E-3</v>
      </c>
      <c r="P1041">
        <v>0.99692890000000001</v>
      </c>
      <c r="Q1041">
        <v>-7.8311930000000002E-2</v>
      </c>
      <c r="R1041">
        <v>-6.1657889999999999E-4</v>
      </c>
      <c r="S1041">
        <v>3.0065309999999998</v>
      </c>
      <c r="T1041">
        <v>-3.3483510000000001E-2</v>
      </c>
      <c r="U1041">
        <v>-5.7037350000000001E-2</v>
      </c>
      <c r="V1041">
        <v>-8.1208200000000008E-3</v>
      </c>
      <c r="W1041">
        <v>-6.3878829999999998E-2</v>
      </c>
      <c r="X1041">
        <v>0.99792460000000005</v>
      </c>
      <c r="Y1041">
        <v>1.017008E-2</v>
      </c>
      <c r="Z1041">
        <v>-1.5961029999999999E-4</v>
      </c>
      <c r="AA1041">
        <v>0.99994830000000001</v>
      </c>
      <c r="AB1041">
        <v>37</v>
      </c>
      <c r="AC1041">
        <v>95.974999999999994</v>
      </c>
      <c r="AD1041">
        <v>-1.0710169708339901</v>
      </c>
      <c r="AE1041">
        <v>-1.82280000000002</v>
      </c>
      <c r="AF1041">
        <v>0.97830540832806201</v>
      </c>
      <c r="AG1041">
        <v>-1.0710169708339901</v>
      </c>
      <c r="AH1041">
        <v>95.975374013221995</v>
      </c>
      <c r="AI1041">
        <v>90.639320434402407</v>
      </c>
      <c r="AJ1041">
        <v>89.415987378912206</v>
      </c>
      <c r="AK1041">
        <v>95.986335359787702</v>
      </c>
      <c r="AL1041">
        <v>93.662481113811097</v>
      </c>
      <c r="AM1041">
        <v>90.466246088895602</v>
      </c>
      <c r="AN1041">
        <v>0.99999997996239998</v>
      </c>
    </row>
    <row r="1042" spans="1:40" x14ac:dyDescent="0.25">
      <c r="A1042" t="str">
        <f>"20190303153759125"</f>
        <v>20190303153759125</v>
      </c>
      <c r="B1042" t="str">
        <f>"1551598679119752"</f>
        <v>1551598679119752</v>
      </c>
      <c r="C1042" t="s">
        <v>40</v>
      </c>
      <c r="D1042">
        <v>4.150601</v>
      </c>
      <c r="E1042">
        <v>0.50929539999999995</v>
      </c>
      <c r="F1042" t="s">
        <v>45</v>
      </c>
      <c r="G1042">
        <v>-194.41489999999999</v>
      </c>
      <c r="H1042" s="1">
        <v>-7.6412399999999899E-6</v>
      </c>
      <c r="I1042">
        <v>364.4545</v>
      </c>
      <c r="J1042">
        <v>-298.8261</v>
      </c>
      <c r="K1042">
        <v>1.071026</v>
      </c>
      <c r="L1042">
        <v>366.92559999999997</v>
      </c>
      <c r="M1042">
        <v>0.99985749999999995</v>
      </c>
      <c r="N1042">
        <v>-1.450191E-2</v>
      </c>
      <c r="O1042">
        <v>-8.6531669999999998E-3</v>
      </c>
      <c r="P1042">
        <v>0.99691129999999994</v>
      </c>
      <c r="Q1042">
        <v>-7.8527689999999997E-2</v>
      </c>
      <c r="R1042">
        <v>-1.1432809999999999E-3</v>
      </c>
      <c r="S1042">
        <v>3.0067750000000002</v>
      </c>
      <c r="T1042">
        <v>-3.0785920000000001E-2</v>
      </c>
      <c r="U1042">
        <v>-7.1075440000000004E-2</v>
      </c>
      <c r="V1042">
        <v>-7.4493060000000002E-3</v>
      </c>
      <c r="W1042">
        <v>-6.4066719999999994E-2</v>
      </c>
      <c r="X1042">
        <v>0.99791779999999997</v>
      </c>
      <c r="Y1042">
        <v>1.497747E-2</v>
      </c>
      <c r="Z1042">
        <v>-2.2219359999999999E-4</v>
      </c>
      <c r="AA1042">
        <v>0.99988779999999999</v>
      </c>
      <c r="AB1042">
        <v>37</v>
      </c>
      <c r="AC1042">
        <v>104.41119999999999</v>
      </c>
      <c r="AD1042">
        <v>-1.0710336412399999</v>
      </c>
      <c r="AE1042">
        <v>-2.4710999999999701</v>
      </c>
      <c r="AF1042">
        <v>1.5672601664840999</v>
      </c>
      <c r="AG1042">
        <v>-1.0710336412399999</v>
      </c>
      <c r="AH1042">
        <v>104.417694151685</v>
      </c>
      <c r="AI1042">
        <v>90.587607736162198</v>
      </c>
      <c r="AJ1042">
        <v>89.1400820405253</v>
      </c>
      <c r="AK1042">
        <v>104.434947548438</v>
      </c>
      <c r="AL1042">
        <v>93.673268491679906</v>
      </c>
      <c r="AM1042">
        <v>90.427696415923293</v>
      </c>
      <c r="AN1042">
        <v>0.99999998616413999</v>
      </c>
    </row>
    <row r="1043" spans="1:40" x14ac:dyDescent="0.25">
      <c r="A1043" t="str">
        <f>"20190303153759137"</f>
        <v>20190303153759137</v>
      </c>
      <c r="B1043" t="str">
        <f>"1551598679129512"</f>
        <v>1551598679129512</v>
      </c>
      <c r="C1043" t="s">
        <v>40</v>
      </c>
      <c r="D1043">
        <v>4.1540549999999996</v>
      </c>
      <c r="E1043">
        <v>0.5096678</v>
      </c>
      <c r="F1043" t="s">
        <v>45</v>
      </c>
      <c r="G1043">
        <v>-197.98920000000001</v>
      </c>
      <c r="H1043" s="1">
        <v>-8.9514119999999999E-6</v>
      </c>
      <c r="I1043">
        <v>364.3168</v>
      </c>
      <c r="J1043">
        <v>-298.63690000000003</v>
      </c>
      <c r="K1043">
        <v>1.0710360000000001</v>
      </c>
      <c r="L1043">
        <v>366.92419999999998</v>
      </c>
      <c r="M1043">
        <v>0.99985840000000004</v>
      </c>
      <c r="N1043">
        <v>-1.452699E-2</v>
      </c>
      <c r="O1043">
        <v>-8.5082379999999996E-3</v>
      </c>
      <c r="P1043">
        <v>0.99693410000000005</v>
      </c>
      <c r="Q1043">
        <v>-7.8235550000000001E-2</v>
      </c>
      <c r="R1043">
        <v>-1.3663130000000001E-3</v>
      </c>
      <c r="S1043">
        <v>3.0066830000000002</v>
      </c>
      <c r="T1043">
        <v>-3.1935329999999998E-2</v>
      </c>
      <c r="U1043">
        <v>-7.778931E-2</v>
      </c>
      <c r="V1043">
        <v>-7.0811470000000003E-3</v>
      </c>
      <c r="W1043">
        <v>-6.3749189999999997E-2</v>
      </c>
      <c r="X1043">
        <v>0.99794079999999996</v>
      </c>
      <c r="Y1043">
        <v>1.7353999999999901E-2</v>
      </c>
      <c r="Z1043">
        <v>-2.51473E-4</v>
      </c>
      <c r="AA1043">
        <v>0.9998494</v>
      </c>
      <c r="AB1043">
        <v>37</v>
      </c>
      <c r="AC1043">
        <v>100.6477</v>
      </c>
      <c r="AD1043">
        <v>-1.071044951412</v>
      </c>
      <c r="AE1043">
        <v>-2.6073999999999802</v>
      </c>
      <c r="AF1043">
        <v>1.7506826321548301</v>
      </c>
      <c r="AG1043">
        <v>-1.071044951412</v>
      </c>
      <c r="AH1043">
        <v>100.654852218797</v>
      </c>
      <c r="AI1043">
        <v>90.6095559147725</v>
      </c>
      <c r="AJ1043">
        <v>89.003559083484305</v>
      </c>
      <c r="AK1043">
        <v>100.675773163926</v>
      </c>
      <c r="AL1043">
        <v>93.655038151039605</v>
      </c>
      <c r="AM1043">
        <v>90.406550196278701</v>
      </c>
      <c r="AN1043">
        <v>0.99999997108656502</v>
      </c>
    </row>
    <row r="1044" spans="1:40" x14ac:dyDescent="0.25">
      <c r="A1044" t="str">
        <f>"20190303153759148"</f>
        <v>20190303153759148</v>
      </c>
      <c r="B1044" t="str">
        <f>"1551598679140249"</f>
        <v>1551598679140249</v>
      </c>
      <c r="C1044" t="s">
        <v>40</v>
      </c>
      <c r="D1044">
        <v>4.1182259999999999</v>
      </c>
      <c r="E1044">
        <v>0.50991370000000003</v>
      </c>
      <c r="F1044" t="s">
        <v>45</v>
      </c>
      <c r="G1044">
        <v>-198.41220000000001</v>
      </c>
      <c r="H1044" s="1">
        <v>-9.1215719999999993E-6</v>
      </c>
      <c r="I1044">
        <v>364.2029</v>
      </c>
      <c r="J1044">
        <v>-298.44060000000002</v>
      </c>
      <c r="K1044">
        <v>1.0710489999999999</v>
      </c>
      <c r="L1044">
        <v>366.92259999999999</v>
      </c>
      <c r="M1044">
        <v>0.99985930000000001</v>
      </c>
      <c r="N1044">
        <v>-1.4551710000000001E-2</v>
      </c>
      <c r="O1044">
        <v>-8.3555609999999992E-3</v>
      </c>
      <c r="P1044">
        <v>0.99694819999999995</v>
      </c>
      <c r="Q1044">
        <v>-7.8052979999999994E-2</v>
      </c>
      <c r="R1044">
        <v>-1.586142E-3</v>
      </c>
      <c r="S1044">
        <v>3.0065919999999999</v>
      </c>
      <c r="T1044">
        <v>-3.212976E-2</v>
      </c>
      <c r="U1044">
        <v>-8.1634520000000002E-2</v>
      </c>
      <c r="V1044">
        <v>-6.7081659999999998E-3</v>
      </c>
      <c r="W1044">
        <v>-6.3541669999999995E-2</v>
      </c>
      <c r="X1044">
        <v>0.99795659999999997</v>
      </c>
      <c r="Y1044">
        <v>1.8785059999999999E-2</v>
      </c>
      <c r="Z1044">
        <v>-2.693789E-4</v>
      </c>
      <c r="AA1044">
        <v>0.99982349999999998</v>
      </c>
      <c r="AB1044">
        <v>37</v>
      </c>
      <c r="AC1044">
        <v>100.0284</v>
      </c>
      <c r="AD1044">
        <v>-1.0710581215720001</v>
      </c>
      <c r="AE1044">
        <v>-2.71969999999998</v>
      </c>
      <c r="AF1044">
        <v>1.88350742830778</v>
      </c>
      <c r="AG1044">
        <v>-1.0710581215720001</v>
      </c>
      <c r="AH1044">
        <v>100.03617364553</v>
      </c>
      <c r="AI1044">
        <v>90.613317060253905</v>
      </c>
      <c r="AJ1044">
        <v>88.921347420820098</v>
      </c>
      <c r="AK1044">
        <v>100.059636234452</v>
      </c>
      <c r="AL1044">
        <v>93.643124018034598</v>
      </c>
      <c r="AM1044">
        <v>90.385130787669198</v>
      </c>
      <c r="AN1044">
        <v>0.999999959400515</v>
      </c>
    </row>
    <row r="1045" spans="1:40" x14ac:dyDescent="0.25">
      <c r="A1045" t="str">
        <f>"20190303153759158"</f>
        <v>20190303153759158</v>
      </c>
      <c r="B1045" t="str">
        <f>"1551598679150009"</f>
        <v>1551598679150009</v>
      </c>
      <c r="C1045" t="s">
        <v>40</v>
      </c>
      <c r="D1045">
        <v>4.1258869999999996</v>
      </c>
      <c r="E1045">
        <v>0.51027599999999995</v>
      </c>
      <c r="F1045" t="s">
        <v>45</v>
      </c>
      <c r="G1045">
        <v>-199.88679999999999</v>
      </c>
      <c r="H1045" s="1">
        <v>-9.6635050000000002E-6</v>
      </c>
      <c r="I1045">
        <v>364.16250000000002</v>
      </c>
      <c r="J1045">
        <v>-298.26609999999999</v>
      </c>
      <c r="K1045">
        <v>1.071061</v>
      </c>
      <c r="L1045">
        <v>366.9212</v>
      </c>
      <c r="M1045">
        <v>0.99986019999999998</v>
      </c>
      <c r="N1045">
        <v>-1.4570929999999999E-2</v>
      </c>
      <c r="O1045">
        <v>-8.2157589999999996E-3</v>
      </c>
      <c r="P1045">
        <v>0.99690690000000004</v>
      </c>
      <c r="Q1045">
        <v>-7.8575510000000001E-2</v>
      </c>
      <c r="R1045">
        <v>-1.604961E-3</v>
      </c>
      <c r="S1045">
        <v>3.0064700000000002</v>
      </c>
      <c r="T1045">
        <v>-3.2673599999999997E-2</v>
      </c>
      <c r="U1045">
        <v>-8.4197999999999995E-2</v>
      </c>
      <c r="V1045">
        <v>-6.5480629999999998E-3</v>
      </c>
      <c r="W1045">
        <v>-6.4045530000000003E-2</v>
      </c>
      <c r="X1045">
        <v>0.99792550000000002</v>
      </c>
      <c r="Y1045">
        <v>1.9777599999999999E-2</v>
      </c>
      <c r="Z1045">
        <v>-2.8201590000000003E-4</v>
      </c>
      <c r="AA1045">
        <v>0.99980440000000004</v>
      </c>
      <c r="AB1045">
        <v>37</v>
      </c>
      <c r="AC1045">
        <v>98.379300000000001</v>
      </c>
      <c r="AD1045">
        <v>-1.071070663505</v>
      </c>
      <c r="AE1045">
        <v>-2.75869999999997</v>
      </c>
      <c r="AF1045">
        <v>1.95002957699052</v>
      </c>
      <c r="AG1045">
        <v>-1.071070663505</v>
      </c>
      <c r="AH1045">
        <v>98.386993559322406</v>
      </c>
      <c r="AI1045">
        <v>90.623592139725702</v>
      </c>
      <c r="AJ1045">
        <v>88.864546685332002</v>
      </c>
      <c r="AK1045">
        <v>98.412145131378495</v>
      </c>
      <c r="AL1045">
        <v>93.672051825218702</v>
      </c>
      <c r="AM1045">
        <v>90.375950899687297</v>
      </c>
      <c r="AN1045">
        <v>1.00000000529614</v>
      </c>
    </row>
    <row r="1046" spans="1:40" x14ac:dyDescent="0.25">
      <c r="A1046" t="str">
        <f>"20190303153759170"</f>
        <v>20190303153759170</v>
      </c>
      <c r="B1046" t="str">
        <f>"1551598679159769"</f>
        <v>1551598679159769</v>
      </c>
      <c r="C1046" t="s">
        <v>40</v>
      </c>
      <c r="D1046">
        <v>4.1196960000000002</v>
      </c>
      <c r="E1046">
        <v>0.51057390000000002</v>
      </c>
      <c r="F1046" t="s">
        <v>45</v>
      </c>
      <c r="G1046">
        <v>-204.4487</v>
      </c>
      <c r="H1046" s="1">
        <v>-3.8768669999999998E-6</v>
      </c>
      <c r="I1046">
        <v>364.2072</v>
      </c>
      <c r="J1046">
        <v>-298.07690000000002</v>
      </c>
      <c r="K1046">
        <v>1.0710710000000001</v>
      </c>
      <c r="L1046">
        <v>366.91980000000001</v>
      </c>
      <c r="M1046">
        <v>0.99986109999999995</v>
      </c>
      <c r="N1046">
        <v>-1.459123E-2</v>
      </c>
      <c r="O1046">
        <v>-8.0638020000000001E-3</v>
      </c>
      <c r="P1046">
        <v>0.99689179999999999</v>
      </c>
      <c r="Q1046">
        <v>-7.8770950000000006E-2</v>
      </c>
      <c r="R1046">
        <v>-1.42985799999999E-3</v>
      </c>
      <c r="S1046">
        <v>3.0064700000000002</v>
      </c>
      <c r="T1046">
        <v>-3.4323329999999999E-2</v>
      </c>
      <c r="U1046">
        <v>-8.69751E-2</v>
      </c>
      <c r="V1046">
        <v>-6.5703530000000001E-3</v>
      </c>
      <c r="W1046">
        <v>-6.4221029999999998E-2</v>
      </c>
      <c r="X1046">
        <v>0.99791410000000003</v>
      </c>
      <c r="Y1046">
        <v>2.0851930000000001E-2</v>
      </c>
      <c r="Z1046">
        <v>-2.967914E-4</v>
      </c>
      <c r="AA1046">
        <v>0.99978250000000002</v>
      </c>
      <c r="AB1046">
        <v>37</v>
      </c>
      <c r="AC1046">
        <v>93.628200000000007</v>
      </c>
      <c r="AD1046">
        <v>-1.071074876867</v>
      </c>
      <c r="AE1046">
        <v>-2.7126000000000001</v>
      </c>
      <c r="AF1046">
        <v>1.9571762793284999</v>
      </c>
      <c r="AG1046">
        <v>-1.071074876867</v>
      </c>
      <c r="AH1046">
        <v>93.634788098015093</v>
      </c>
      <c r="AI1046">
        <v>90.655226492313602</v>
      </c>
      <c r="AJ1046">
        <v>88.802564559852399</v>
      </c>
      <c r="AK1046">
        <v>93.661364940622207</v>
      </c>
      <c r="AL1046">
        <v>93.682127884511502</v>
      </c>
      <c r="AM1046">
        <v>90.377234931518302</v>
      </c>
      <c r="AN1046">
        <v>1.0000000306057999</v>
      </c>
    </row>
    <row r="1047" spans="1:40" x14ac:dyDescent="0.25">
      <c r="A1047" t="str">
        <f>"20190303153759183"</f>
        <v>20190303153759183</v>
      </c>
      <c r="B1047" t="str">
        <f>"1551598679169528"</f>
        <v>1551598679169528</v>
      </c>
      <c r="C1047" t="s">
        <v>40</v>
      </c>
      <c r="D1047">
        <v>4.1213769999999998</v>
      </c>
      <c r="E1047">
        <v>0.51080579999999998</v>
      </c>
      <c r="F1047" t="s">
        <v>45</v>
      </c>
      <c r="G1047">
        <v>-208.72989999999999</v>
      </c>
      <c r="H1047" s="1">
        <v>-5.6931779999999998E-6</v>
      </c>
      <c r="I1047">
        <v>364.28149999999999</v>
      </c>
      <c r="J1047">
        <v>-297.86009999999999</v>
      </c>
      <c r="K1047">
        <v>1.071075</v>
      </c>
      <c r="L1047">
        <v>366.91820000000001</v>
      </c>
      <c r="M1047">
        <v>0.99986209999999998</v>
      </c>
      <c r="N1047">
        <v>-1.4611590000000001E-2</v>
      </c>
      <c r="O1047">
        <v>-7.885988E-3</v>
      </c>
      <c r="P1047">
        <v>0.99686209999999997</v>
      </c>
      <c r="Q1047">
        <v>-7.9148930000000006E-2</v>
      </c>
      <c r="R1047">
        <v>-1.221165E-3</v>
      </c>
      <c r="S1047">
        <v>3.0063780000000002</v>
      </c>
      <c r="T1047">
        <v>-3.6039950000000001E-2</v>
      </c>
      <c r="U1047">
        <v>-8.8775629999999994E-2</v>
      </c>
      <c r="V1047">
        <v>-6.6006559999999999E-3</v>
      </c>
      <c r="W1047">
        <v>-6.4579230000000001E-2</v>
      </c>
      <c r="X1047">
        <v>0.99789079999999997</v>
      </c>
      <c r="Y1047">
        <v>2.1628499999999998E-2</v>
      </c>
      <c r="Z1047">
        <v>-3.0838000000000003E-4</v>
      </c>
      <c r="AA1047">
        <v>0.99976609999999999</v>
      </c>
      <c r="AB1047">
        <v>37</v>
      </c>
      <c r="AC1047">
        <v>89.130200000000002</v>
      </c>
      <c r="AD1047">
        <v>-1.0710806931779999</v>
      </c>
      <c r="AE1047">
        <v>-2.63670000000001</v>
      </c>
      <c r="AF1047">
        <v>1.9333842759298201</v>
      </c>
      <c r="AG1047">
        <v>-1.0710806931779999</v>
      </c>
      <c r="AH1047">
        <v>89.135362415504503</v>
      </c>
      <c r="AI1047">
        <v>90.688290473654007</v>
      </c>
      <c r="AJ1047">
        <v>88.757424788016905</v>
      </c>
      <c r="AK1047">
        <v>89.162761406054798</v>
      </c>
      <c r="AL1047">
        <v>93.702693862679595</v>
      </c>
      <c r="AM1047">
        <v>90.378983567453702</v>
      </c>
      <c r="AN1047">
        <v>1.0000000471658299</v>
      </c>
    </row>
    <row r="1048" spans="1:40" x14ac:dyDescent="0.25">
      <c r="A1048" t="str">
        <f>"20190303153759199"</f>
        <v>20190303153759199</v>
      </c>
      <c r="B1048" t="str">
        <f>"1551598679190024"</f>
        <v>1551598679190024</v>
      </c>
      <c r="C1048" t="s">
        <v>40</v>
      </c>
      <c r="D1048">
        <v>4.1591129999999996</v>
      </c>
      <c r="E1048">
        <v>0.51108039999999999</v>
      </c>
      <c r="F1048" t="s">
        <v>42</v>
      </c>
      <c r="G1048">
        <v>-213.33539999999999</v>
      </c>
      <c r="H1048" s="1">
        <v>-3.7688830000000002E-6</v>
      </c>
      <c r="I1048">
        <v>364.3879</v>
      </c>
      <c r="J1048">
        <v>-297.58859999999999</v>
      </c>
      <c r="K1048">
        <v>1.071086</v>
      </c>
      <c r="L1048">
        <v>366.91629999999998</v>
      </c>
      <c r="M1048">
        <v>0.99986370000000002</v>
      </c>
      <c r="N1048">
        <v>-1.4634690000000001E-2</v>
      </c>
      <c r="O1048">
        <v>-7.6614600000000001E-3</v>
      </c>
      <c r="P1048">
        <v>0.99681810000000004</v>
      </c>
      <c r="Q1048">
        <v>-7.9712329999999998E-2</v>
      </c>
      <c r="R1048">
        <v>-4.9938800000000002E-4</v>
      </c>
      <c r="S1048">
        <v>3.0063170000000001</v>
      </c>
      <c r="T1048">
        <v>-3.8095360000000002E-2</v>
      </c>
      <c r="U1048">
        <v>-8.9996339999999994E-2</v>
      </c>
      <c r="V1048">
        <v>-7.0966969999999999E-3</v>
      </c>
      <c r="W1048">
        <v>-6.5120629999999999E-2</v>
      </c>
      <c r="X1048">
        <v>0.99785210000000002</v>
      </c>
      <c r="Y1048">
        <v>2.2258779999999999E-2</v>
      </c>
      <c r="Z1048">
        <v>-3.189798E-4</v>
      </c>
      <c r="AA1048">
        <v>0.99975219999999998</v>
      </c>
      <c r="AB1048">
        <v>37</v>
      </c>
      <c r="AC1048">
        <v>84.253199999999893</v>
      </c>
      <c r="AD1048">
        <v>-1.0710897688829999</v>
      </c>
      <c r="AE1048">
        <v>-2.5283999999999698</v>
      </c>
      <c r="AF1048">
        <v>1.8824502566133301</v>
      </c>
      <c r="AG1048">
        <v>-1.0710897688829999</v>
      </c>
      <c r="AH1048">
        <v>84.256495220559003</v>
      </c>
      <c r="AI1048">
        <v>90.728137449373904</v>
      </c>
      <c r="AJ1048">
        <v>88.7201163062538</v>
      </c>
      <c r="AK1048">
        <v>84.284327363476805</v>
      </c>
      <c r="AL1048">
        <v>93.733779644181496</v>
      </c>
      <c r="AM1048">
        <v>90.407479155790696</v>
      </c>
      <c r="AN1048">
        <v>0.99999993651715602</v>
      </c>
    </row>
    <row r="1049" spans="1:40" x14ac:dyDescent="0.25">
      <c r="A1049" t="str">
        <f>"20190303153759213"</f>
        <v>20190303153759213</v>
      </c>
      <c r="B1049" t="str">
        <f>"1551598679210521"</f>
        <v>1551598679210521</v>
      </c>
      <c r="C1049" t="s">
        <v>40</v>
      </c>
      <c r="D1049">
        <v>4.1382300000000001</v>
      </c>
      <c r="E1049">
        <v>0.51125500000000001</v>
      </c>
      <c r="F1049" t="s">
        <v>42</v>
      </c>
      <c r="G1049">
        <v>-217.1808</v>
      </c>
      <c r="H1049" s="1">
        <v>-2.3076440000000001E-6</v>
      </c>
      <c r="I1049">
        <v>364.49689999999998</v>
      </c>
      <c r="J1049">
        <v>-297.37</v>
      </c>
      <c r="K1049">
        <v>1.0710919999999999</v>
      </c>
      <c r="L1049">
        <v>366.91469999999998</v>
      </c>
      <c r="M1049">
        <v>0.9998648</v>
      </c>
      <c r="N1049">
        <v>-1.4651519999999999E-2</v>
      </c>
      <c r="O1049">
        <v>-7.4796000000000003E-3</v>
      </c>
      <c r="P1049">
        <v>0.99679030000000002</v>
      </c>
      <c r="Q1049">
        <v>-8.0058530000000003E-2</v>
      </c>
      <c r="R1049">
        <v>1.28543799999999E-4</v>
      </c>
      <c r="S1049">
        <v>3.0063170000000001</v>
      </c>
      <c r="T1049">
        <v>-4.004622E-2</v>
      </c>
      <c r="U1049">
        <v>-9.0454099999999996E-2</v>
      </c>
      <c r="V1049">
        <v>-7.541893E-3</v>
      </c>
      <c r="W1049">
        <v>-6.5450820000000007E-2</v>
      </c>
      <c r="X1049">
        <v>0.99782729999999997</v>
      </c>
      <c r="Y1049">
        <v>2.2592339999999999E-2</v>
      </c>
      <c r="Z1049">
        <v>-3.2596989999999999E-4</v>
      </c>
      <c r="AA1049">
        <v>0.99974470000000004</v>
      </c>
      <c r="AB1049">
        <v>37</v>
      </c>
      <c r="AC1049">
        <v>80.1892</v>
      </c>
      <c r="AD1049">
        <v>-1.071094307644</v>
      </c>
      <c r="AE1049">
        <v>-2.4178000000000002</v>
      </c>
      <c r="AF1049">
        <v>1.81756091488839</v>
      </c>
      <c r="AG1049">
        <v>-1.071094307644</v>
      </c>
      <c r="AH1049">
        <v>80.190748550631696</v>
      </c>
      <c r="AI1049">
        <v>90.765048097838203</v>
      </c>
      <c r="AJ1049">
        <v>88.701586604462605</v>
      </c>
      <c r="AK1049">
        <v>80.2184948986568</v>
      </c>
      <c r="AL1049">
        <v>93.752738327182399</v>
      </c>
      <c r="AM1049">
        <v>90.433051300572799</v>
      </c>
      <c r="AN1049">
        <v>1.00000000530699</v>
      </c>
    </row>
    <row r="1050" spans="1:40" x14ac:dyDescent="0.25">
      <c r="A1050" t="str">
        <f>"20190303153759225"</f>
        <v>20190303153759225</v>
      </c>
      <c r="B1050" t="str">
        <f>"1551598679220280"</f>
        <v>1551598679220280</v>
      </c>
      <c r="C1050" t="s">
        <v>40</v>
      </c>
      <c r="D1050">
        <v>4.1410720000000003</v>
      </c>
      <c r="E1050">
        <v>0.51135730000000001</v>
      </c>
      <c r="F1050" t="s">
        <v>42</v>
      </c>
      <c r="G1050">
        <v>-220.3109</v>
      </c>
      <c r="H1050" s="1">
        <v>-5.0278700000000002E-6</v>
      </c>
      <c r="I1050">
        <v>364.60480000000001</v>
      </c>
      <c r="J1050">
        <v>-297.17250000000001</v>
      </c>
      <c r="K1050">
        <v>1.071099</v>
      </c>
      <c r="L1050">
        <v>366.91340000000002</v>
      </c>
      <c r="M1050">
        <v>0.99986580000000003</v>
      </c>
      <c r="N1050">
        <v>-1.466518E-2</v>
      </c>
      <c r="O1050">
        <v>-7.31466199999999E-3</v>
      </c>
      <c r="P1050">
        <v>0.99676569999999998</v>
      </c>
      <c r="Q1050">
        <v>-8.0360730000000005E-2</v>
      </c>
      <c r="R1050">
        <v>5.8952250000000005E-4</v>
      </c>
      <c r="S1050">
        <v>3.006348</v>
      </c>
      <c r="T1050">
        <v>-4.1787270000000001E-2</v>
      </c>
      <c r="U1050">
        <v>-9.0118409999999996E-2</v>
      </c>
      <c r="V1050">
        <v>-7.8376909999999904E-3</v>
      </c>
      <c r="W1050">
        <v>-6.5740019999999996E-2</v>
      </c>
      <c r="X1050">
        <v>0.99780599999999997</v>
      </c>
      <c r="Y1050">
        <v>2.2645129999999999E-2</v>
      </c>
      <c r="Z1050">
        <v>-3.290635E-4</v>
      </c>
      <c r="AA1050">
        <v>0.99974350000000001</v>
      </c>
      <c r="AB1050">
        <v>37</v>
      </c>
      <c r="AC1050">
        <v>76.861599999999996</v>
      </c>
      <c r="AD1050">
        <v>-1.0711040278699999</v>
      </c>
      <c r="AE1050">
        <v>-2.30860000000001</v>
      </c>
      <c r="AF1050">
        <v>1.7459224386655701</v>
      </c>
      <c r="AG1050">
        <v>-1.0711040278699999</v>
      </c>
      <c r="AH1050">
        <v>76.861518871894205</v>
      </c>
      <c r="AI1050">
        <v>90.798188032152197</v>
      </c>
      <c r="AJ1050">
        <v>88.698740426393101</v>
      </c>
      <c r="AK1050">
        <v>76.888806677532102</v>
      </c>
      <c r="AL1050">
        <v>93.769344063013307</v>
      </c>
      <c r="AM1050">
        <v>90.450044778233206</v>
      </c>
      <c r="AN1050">
        <v>0.99999999663290495</v>
      </c>
    </row>
    <row r="1051" spans="1:40" x14ac:dyDescent="0.25">
      <c r="A1051" t="str">
        <f>"20190303153759237"</f>
        <v>20190303153759237</v>
      </c>
      <c r="B1051" t="str">
        <f>"1551598679230041"</f>
        <v>1551598679230041</v>
      </c>
      <c r="C1051" t="s">
        <v>40</v>
      </c>
      <c r="D1051">
        <v>4.1421830000000002</v>
      </c>
      <c r="E1051">
        <v>0.51143159999999999</v>
      </c>
      <c r="F1051" t="s">
        <v>42</v>
      </c>
      <c r="G1051">
        <v>-222.46250000000001</v>
      </c>
      <c r="H1051" s="1">
        <v>-4.0892450000000004E-6</v>
      </c>
      <c r="I1051">
        <v>364.69279999999998</v>
      </c>
      <c r="J1051">
        <v>-296.95760000000001</v>
      </c>
      <c r="K1051">
        <v>1.0711029999999999</v>
      </c>
      <c r="L1051">
        <v>366.91199999999998</v>
      </c>
      <c r="M1051">
        <v>0.99986699999999995</v>
      </c>
      <c r="N1051">
        <v>-1.467863E-2</v>
      </c>
      <c r="O1051">
        <v>-7.1343550000000002E-3</v>
      </c>
      <c r="P1051">
        <v>0.99676070000000005</v>
      </c>
      <c r="Q1051">
        <v>-8.0423560000000005E-2</v>
      </c>
      <c r="R1051">
        <v>7.9714610000000002E-4</v>
      </c>
      <c r="S1051">
        <v>3.0063170000000001</v>
      </c>
      <c r="T1051">
        <v>-4.3100949999999999E-2</v>
      </c>
      <c r="U1051">
        <v>-8.9355470000000006E-2</v>
      </c>
      <c r="V1051">
        <v>-7.8652610000000001E-3</v>
      </c>
      <c r="W1051">
        <v>-6.5789570000000006E-2</v>
      </c>
      <c r="X1051">
        <v>0.99780250000000004</v>
      </c>
      <c r="Y1051">
        <v>2.257203E-2</v>
      </c>
      <c r="Z1051">
        <v>-3.2994319999999998E-4</v>
      </c>
      <c r="AA1051">
        <v>0.9997452</v>
      </c>
      <c r="AB1051">
        <v>37</v>
      </c>
      <c r="AC1051">
        <v>74.495099999999994</v>
      </c>
      <c r="AD1051">
        <v>-1.0711070892450001</v>
      </c>
      <c r="AE1051">
        <v>-2.2191999999999998</v>
      </c>
      <c r="AF1051">
        <v>1.6872633513609501</v>
      </c>
      <c r="AG1051">
        <v>-1.0711070892450001</v>
      </c>
      <c r="AH1051">
        <v>74.493651306337199</v>
      </c>
      <c r="AI1051">
        <v>90.823559503419801</v>
      </c>
      <c r="AJ1051">
        <v>88.702486173228294</v>
      </c>
      <c r="AK1051">
        <v>74.520454997024999</v>
      </c>
      <c r="AL1051">
        <v>93.772189293237602</v>
      </c>
      <c r="AM1051">
        <v>90.451629382332101</v>
      </c>
      <c r="AN1051">
        <v>0.99999997942881602</v>
      </c>
    </row>
    <row r="1052" spans="1:40" x14ac:dyDescent="0.25">
      <c r="A1052" t="str">
        <f>"20190303153759250"</f>
        <v>20190303153759250</v>
      </c>
      <c r="B1052" t="str">
        <f>"1551598679239800"</f>
        <v>1551598679239800</v>
      </c>
      <c r="C1052" t="s">
        <v>40</v>
      </c>
      <c r="D1052">
        <v>4.1213980000000001</v>
      </c>
      <c r="E1052">
        <v>0.51156250000000003</v>
      </c>
      <c r="F1052" t="s">
        <v>42</v>
      </c>
      <c r="G1052">
        <v>-222.60470000000001</v>
      </c>
      <c r="H1052" s="1">
        <v>-4.02606E-6</v>
      </c>
      <c r="I1052">
        <v>364.70499999999998</v>
      </c>
      <c r="J1052">
        <v>-296.7561</v>
      </c>
      <c r="K1052">
        <v>1.0711090000000001</v>
      </c>
      <c r="L1052">
        <v>366.91070000000002</v>
      </c>
      <c r="M1052">
        <v>0.99986779999999997</v>
      </c>
      <c r="N1052">
        <v>-1.4690440000000001E-2</v>
      </c>
      <c r="O1052">
        <v>-6.9648940000000001E-3</v>
      </c>
      <c r="P1052">
        <v>0.99677090000000002</v>
      </c>
      <c r="Q1052">
        <v>-8.0292939999999993E-2</v>
      </c>
      <c r="R1052">
        <v>1.1272189999999901E-3</v>
      </c>
      <c r="S1052">
        <v>3.0063170000000001</v>
      </c>
      <c r="T1052">
        <v>-4.3308140000000002E-2</v>
      </c>
      <c r="U1052">
        <v>-8.9233399999999893E-2</v>
      </c>
      <c r="V1052">
        <v>-8.0256779999999996E-3</v>
      </c>
      <c r="W1052">
        <v>-6.5647179999999999E-2</v>
      </c>
      <c r="X1052">
        <v>0.99781059999999999</v>
      </c>
      <c r="Y1052">
        <v>2.270084E-2</v>
      </c>
      <c r="Z1052">
        <v>-3.3227229999999999E-4</v>
      </c>
      <c r="AA1052">
        <v>0.99974229999999997</v>
      </c>
      <c r="AB1052">
        <v>37</v>
      </c>
      <c r="AC1052">
        <v>74.151399999999995</v>
      </c>
      <c r="AD1052">
        <v>-1.0711130260599999</v>
      </c>
      <c r="AE1052">
        <v>-2.20570000000003</v>
      </c>
      <c r="AF1052">
        <v>1.6887820305671899</v>
      </c>
      <c r="AG1052">
        <v>-1.0711130260599999</v>
      </c>
      <c r="AH1052">
        <v>74.149507084025501</v>
      </c>
      <c r="AI1052">
        <v>90.827383521128894</v>
      </c>
      <c r="AJ1052">
        <v>88.695293313401294</v>
      </c>
      <c r="AK1052">
        <v>74.176469777587201</v>
      </c>
      <c r="AL1052">
        <v>93.764013275267601</v>
      </c>
      <c r="AM1052">
        <v>90.460836516669701</v>
      </c>
      <c r="AN1052">
        <v>0.99999997861083501</v>
      </c>
    </row>
    <row r="1053" spans="1:40" x14ac:dyDescent="0.25">
      <c r="A1053" t="str">
        <f>"20190303153759261"</f>
        <v>20190303153759261</v>
      </c>
      <c r="B1053" t="str">
        <f>"1551598679249561"</f>
        <v>1551598679249561</v>
      </c>
      <c r="C1053" t="s">
        <v>40</v>
      </c>
      <c r="D1053">
        <v>4.1188599999999997</v>
      </c>
      <c r="E1053">
        <v>0.51167010000000002</v>
      </c>
      <c r="F1053" t="s">
        <v>42</v>
      </c>
      <c r="G1053">
        <v>-221.59219999999999</v>
      </c>
      <c r="H1053" s="1">
        <v>-4.4648040000000001E-6</v>
      </c>
      <c r="I1053">
        <v>364.68049999999999</v>
      </c>
      <c r="J1053">
        <v>-296.56599999999997</v>
      </c>
      <c r="K1053">
        <v>1.0711109999999999</v>
      </c>
      <c r="L1053">
        <v>366.90949999999998</v>
      </c>
      <c r="M1053">
        <v>0.9998688</v>
      </c>
      <c r="N1053">
        <v>-1.4700080000000001E-2</v>
      </c>
      <c r="O1053">
        <v>-6.8054369999999897E-3</v>
      </c>
      <c r="P1053">
        <v>0.99675709999999995</v>
      </c>
      <c r="Q1053">
        <v>-8.0459409999999995E-2</v>
      </c>
      <c r="R1053">
        <v>1.1097399999999999E-3</v>
      </c>
      <c r="S1053">
        <v>3.0063780000000002</v>
      </c>
      <c r="T1053">
        <v>-4.2841909999999997E-2</v>
      </c>
      <c r="U1053">
        <v>-8.9202879999999998E-2</v>
      </c>
      <c r="V1053">
        <v>-7.8486010000000002E-3</v>
      </c>
      <c r="W1053">
        <v>-6.5804119999999994E-2</v>
      </c>
      <c r="X1053">
        <v>0.99780170000000001</v>
      </c>
      <c r="Y1053">
        <v>2.2849580000000001E-2</v>
      </c>
      <c r="Z1053">
        <v>-3.3384839999999898E-4</v>
      </c>
      <c r="AA1053">
        <v>0.99973889999999999</v>
      </c>
      <c r="AB1053">
        <v>37</v>
      </c>
      <c r="AC1053">
        <v>74.973799999999898</v>
      </c>
      <c r="AD1053">
        <v>-1.071115464804</v>
      </c>
      <c r="AE1053">
        <v>-2.2289999999999801</v>
      </c>
      <c r="AF1053">
        <v>1.7183133609649399</v>
      </c>
      <c r="AG1053">
        <v>-1.071115464804</v>
      </c>
      <c r="AH1053">
        <v>74.971945764039802</v>
      </c>
      <c r="AI1053">
        <v>90.818307575712296</v>
      </c>
      <c r="AJ1053">
        <v>88.687043947728895</v>
      </c>
      <c r="AK1053">
        <v>74.999283601855495</v>
      </c>
      <c r="AL1053">
        <v>93.773024650688299</v>
      </c>
      <c r="AM1053">
        <v>90.450673153036902</v>
      </c>
      <c r="AN1053">
        <v>1.0000000076347599</v>
      </c>
    </row>
    <row r="1054" spans="1:40" x14ac:dyDescent="0.25">
      <c r="A1054" t="str">
        <f>"20190303153759272"</f>
        <v>20190303153759272</v>
      </c>
      <c r="B1054" t="str">
        <f>"1551598679270057"</f>
        <v>1551598679270057</v>
      </c>
      <c r="C1054" t="s">
        <v>40</v>
      </c>
      <c r="D1054">
        <v>4.1119589999999997</v>
      </c>
      <c r="E1054">
        <v>0.51184770000000002</v>
      </c>
      <c r="F1054" t="s">
        <v>42</v>
      </c>
      <c r="G1054">
        <v>-221.4676</v>
      </c>
      <c r="H1054" s="1">
        <v>-4.5212290000000002E-6</v>
      </c>
      <c r="I1054">
        <v>364.66370000000001</v>
      </c>
      <c r="J1054">
        <v>-296.37880000000001</v>
      </c>
      <c r="K1054">
        <v>1.0711139999999999</v>
      </c>
      <c r="L1054">
        <v>366.90839999999997</v>
      </c>
      <c r="M1054">
        <v>0.99986980000000003</v>
      </c>
      <c r="N1054">
        <v>-1.4709109999999999E-2</v>
      </c>
      <c r="O1054">
        <v>-6.6483640000000004E-3</v>
      </c>
      <c r="P1054">
        <v>0.99675469999999999</v>
      </c>
      <c r="Q1054">
        <v>-8.0488000000000004E-2</v>
      </c>
      <c r="R1054">
        <v>1.3640169999999999E-3</v>
      </c>
      <c r="S1054">
        <v>3.0064090000000001</v>
      </c>
      <c r="T1054">
        <v>-4.2879819999999999E-2</v>
      </c>
      <c r="U1054">
        <v>-8.9904789999999998E-2</v>
      </c>
      <c r="V1054">
        <v>-7.9466050000000007E-3</v>
      </c>
      <c r="W1054">
        <v>-6.5823850000000003E-2</v>
      </c>
      <c r="X1054">
        <v>0.99779960000000001</v>
      </c>
      <c r="Y1054">
        <v>2.323944E-2</v>
      </c>
      <c r="Z1054">
        <v>-3.3964789999999998E-4</v>
      </c>
      <c r="AA1054">
        <v>0.99972989999999995</v>
      </c>
      <c r="AB1054">
        <v>37</v>
      </c>
      <c r="AC1054">
        <v>74.911199999999994</v>
      </c>
      <c r="AD1054">
        <v>-1.071118521229</v>
      </c>
      <c r="AE1054">
        <v>-2.2446999999999599</v>
      </c>
      <c r="AF1054">
        <v>1.7462029262795999</v>
      </c>
      <c r="AG1054">
        <v>-1.071118521229</v>
      </c>
      <c r="AH1054">
        <v>74.909168010056106</v>
      </c>
      <c r="AI1054">
        <v>90.818988196112301</v>
      </c>
      <c r="AJ1054">
        <v>88.664623516466904</v>
      </c>
      <c r="AK1054">
        <v>74.937173495569496</v>
      </c>
      <c r="AL1054">
        <v>93.774157639101603</v>
      </c>
      <c r="AM1054">
        <v>90.456301347504194</v>
      </c>
      <c r="AN1054">
        <v>0.99999998476000396</v>
      </c>
    </row>
    <row r="1055" spans="1:40" x14ac:dyDescent="0.25">
      <c r="A1055" t="str">
        <f>"20190303153759284"</f>
        <v>20190303153759284</v>
      </c>
      <c r="B1055" t="str">
        <f>"1551598679279817"</f>
        <v>1551598679279817</v>
      </c>
      <c r="C1055" t="s">
        <v>40</v>
      </c>
      <c r="D1055">
        <v>4.1066379999999896</v>
      </c>
      <c r="E1055">
        <v>0.51193650000000002</v>
      </c>
      <c r="F1055" t="s">
        <v>42</v>
      </c>
      <c r="G1055">
        <v>-220.86959999999999</v>
      </c>
      <c r="H1055" s="1">
        <v>-4.7835050000000004E-6</v>
      </c>
      <c r="I1055">
        <v>364.63119999999998</v>
      </c>
      <c r="J1055">
        <v>-296.17630000000003</v>
      </c>
      <c r="K1055">
        <v>1.0711189999999999</v>
      </c>
      <c r="L1055">
        <v>366.90719999999999</v>
      </c>
      <c r="M1055">
        <v>0.9998707</v>
      </c>
      <c r="N1055">
        <v>-1.471781E-2</v>
      </c>
      <c r="O1055">
        <v>-6.4783009999999997E-3</v>
      </c>
      <c r="P1055">
        <v>0.99674240000000003</v>
      </c>
      <c r="Q1055">
        <v>-8.0641999999999894E-2</v>
      </c>
      <c r="R1055">
        <v>1.373637E-3</v>
      </c>
      <c r="S1055">
        <v>3.0064389999999999</v>
      </c>
      <c r="T1055">
        <v>-4.2647119999999997E-2</v>
      </c>
      <c r="U1055">
        <v>-9.0667719999999993E-2</v>
      </c>
      <c r="V1055">
        <v>-7.7866649999999999E-3</v>
      </c>
      <c r="W1055">
        <v>-6.5969189999999997E-2</v>
      </c>
      <c r="X1055">
        <v>0.99779130000000005</v>
      </c>
      <c r="Y1055">
        <v>2.3662599999999999E-2</v>
      </c>
      <c r="Z1055">
        <v>-3.4544589999999998E-4</v>
      </c>
      <c r="AA1055">
        <v>0.99971989999999999</v>
      </c>
      <c r="AB1055">
        <v>37</v>
      </c>
      <c r="AC1055">
        <v>75.306700000000006</v>
      </c>
      <c r="AD1055">
        <v>-1.071123783505</v>
      </c>
      <c r="AE1055">
        <v>-2.27600000000001</v>
      </c>
      <c r="AF1055">
        <v>1.7876785809904201</v>
      </c>
      <c r="AG1055">
        <v>-1.071123783505</v>
      </c>
      <c r="AH1055">
        <v>75.304644806048202</v>
      </c>
      <c r="AI1055">
        <v>90.814683501622298</v>
      </c>
      <c r="AJ1055">
        <v>88.640094463636302</v>
      </c>
      <c r="AK1055">
        <v>75.333476159232205</v>
      </c>
      <c r="AL1055">
        <v>93.782503005026101</v>
      </c>
      <c r="AM1055">
        <v>90.447121541828196</v>
      </c>
      <c r="AN1055">
        <v>1.00000002226838</v>
      </c>
    </row>
    <row r="1056" spans="1:40" x14ac:dyDescent="0.25">
      <c r="A1056" t="str">
        <f>"20190303153759299"</f>
        <v>20190303153759299</v>
      </c>
      <c r="B1056" t="str">
        <f>"1551598679289576"</f>
        <v>1551598679289576</v>
      </c>
      <c r="C1056" t="s">
        <v>40</v>
      </c>
      <c r="D1056">
        <v>4.1117549999999996</v>
      </c>
      <c r="E1056">
        <v>0.51203080000000001</v>
      </c>
      <c r="F1056" t="s">
        <v>42</v>
      </c>
      <c r="G1056">
        <v>-220.90479999999999</v>
      </c>
      <c r="H1056" s="1">
        <v>-4.7710100000000004E-6</v>
      </c>
      <c r="I1056">
        <v>364.61660000000001</v>
      </c>
      <c r="J1056">
        <v>-295.94529999999997</v>
      </c>
      <c r="K1056">
        <v>1.071121</v>
      </c>
      <c r="L1056">
        <v>366.90589999999997</v>
      </c>
      <c r="M1056">
        <v>0.99987179999999998</v>
      </c>
      <c r="N1056">
        <v>-1.4726660000000001E-2</v>
      </c>
      <c r="O1056">
        <v>-6.2848749999999997E-3</v>
      </c>
      <c r="P1056">
        <v>0.99674430000000003</v>
      </c>
      <c r="Q1056">
        <v>-8.0617899999999895E-2</v>
      </c>
      <c r="R1056">
        <v>1.141672E-3</v>
      </c>
      <c r="S1056">
        <v>3.0065</v>
      </c>
      <c r="T1056">
        <v>-4.2782899999999999E-2</v>
      </c>
      <c r="U1056">
        <v>-9.1491699999999995E-2</v>
      </c>
      <c r="V1056">
        <v>-7.3613280000000003E-3</v>
      </c>
      <c r="W1056">
        <v>-6.5935949999999993E-2</v>
      </c>
      <c r="X1056">
        <v>0.99779669999999998</v>
      </c>
      <c r="Y1056">
        <v>2.4129000000000001E-2</v>
      </c>
      <c r="Z1056">
        <v>-3.525046E-4</v>
      </c>
      <c r="AA1056">
        <v>0.99970879999999995</v>
      </c>
      <c r="AB1056">
        <v>37</v>
      </c>
      <c r="AC1056">
        <v>75.040499999999895</v>
      </c>
      <c r="AD1056">
        <v>-1.0711257710099999</v>
      </c>
      <c r="AE1056">
        <v>-2.2892999999999599</v>
      </c>
      <c r="AF1056">
        <v>1.81721355623007</v>
      </c>
      <c r="AG1056">
        <v>-1.0711257710099999</v>
      </c>
      <c r="AH1056">
        <v>75.038132634245301</v>
      </c>
      <c r="AI1056">
        <v>90.817568767129202</v>
      </c>
      <c r="AJ1056">
        <v>88.612727735962594</v>
      </c>
      <c r="AK1056">
        <v>75.067775541578897</v>
      </c>
      <c r="AL1056">
        <v>93.780594434943595</v>
      </c>
      <c r="AM1056">
        <v>90.422696701714003</v>
      </c>
      <c r="AN1056">
        <v>0.99999999659160799</v>
      </c>
    </row>
    <row r="1057" spans="1:40" x14ac:dyDescent="0.25">
      <c r="A1057" t="str">
        <f>"20190303153759311"</f>
        <v>20190303153759311</v>
      </c>
      <c r="B1057" t="str">
        <f>"1551598679300313"</f>
        <v>1551598679300313</v>
      </c>
      <c r="C1057" t="s">
        <v>40</v>
      </c>
      <c r="D1057">
        <v>4.1135780000000004</v>
      </c>
      <c r="E1057">
        <v>0.51215319999999998</v>
      </c>
      <c r="F1057" t="s">
        <v>42</v>
      </c>
      <c r="G1057">
        <v>-220.2637</v>
      </c>
      <c r="H1057" s="1">
        <v>-5.055029E-6</v>
      </c>
      <c r="I1057">
        <v>364.5659</v>
      </c>
      <c r="J1057">
        <v>-295.75119999999998</v>
      </c>
      <c r="K1057">
        <v>1.0711200000000001</v>
      </c>
      <c r="L1057">
        <v>366.90480000000002</v>
      </c>
      <c r="M1057">
        <v>0.99987269999999995</v>
      </c>
      <c r="N1057">
        <v>-1.473356E-2</v>
      </c>
      <c r="O1057">
        <v>-6.122433E-3</v>
      </c>
      <c r="P1057">
        <v>0.99671069999999995</v>
      </c>
      <c r="Q1057">
        <v>-8.1029459999999998E-2</v>
      </c>
      <c r="R1057">
        <v>1.4536130000000001E-3</v>
      </c>
      <c r="S1057">
        <v>3.0064700000000002</v>
      </c>
      <c r="T1057">
        <v>-4.255068E-2</v>
      </c>
      <c r="U1057">
        <v>-9.2956540000000004E-2</v>
      </c>
      <c r="V1057">
        <v>-7.5105240000000002E-3</v>
      </c>
      <c r="W1057">
        <v>-6.6341209999999998E-2</v>
      </c>
      <c r="X1057">
        <v>0.99776869999999995</v>
      </c>
      <c r="Y1057">
        <v>2.477826E-2</v>
      </c>
      <c r="Z1057">
        <v>-3.6146909999999998E-4</v>
      </c>
      <c r="AA1057">
        <v>0.9996929</v>
      </c>
      <c r="AB1057">
        <v>37</v>
      </c>
      <c r="AC1057">
        <v>75.487499999999898</v>
      </c>
      <c r="AD1057">
        <v>-1.0711250550289999</v>
      </c>
      <c r="AE1057">
        <v>-2.3389000000000202</v>
      </c>
      <c r="AF1057">
        <v>1.87626141243372</v>
      </c>
      <c r="AG1057">
        <v>-1.0711250550289999</v>
      </c>
      <c r="AH1057">
        <v>75.485222573380199</v>
      </c>
      <c r="AI1057">
        <v>90.812713784084593</v>
      </c>
      <c r="AJ1057">
        <v>88.576148738014098</v>
      </c>
      <c r="AK1057">
        <v>75.516133989525997</v>
      </c>
      <c r="AL1057">
        <v>93.803865171027596</v>
      </c>
      <c r="AM1057">
        <v>90.431275505029106</v>
      </c>
      <c r="AN1057">
        <v>0.99999997140735297</v>
      </c>
    </row>
    <row r="1058" spans="1:40" x14ac:dyDescent="0.25">
      <c r="A1058" t="str">
        <f>"20190303153759322"</f>
        <v>20190303153759322</v>
      </c>
      <c r="B1058" t="str">
        <f>"1551598679310073"</f>
        <v>1551598679310073</v>
      </c>
      <c r="C1058" t="s">
        <v>40</v>
      </c>
      <c r="D1058">
        <v>4.1187069999999997</v>
      </c>
      <c r="E1058">
        <v>0.51222190000000001</v>
      </c>
      <c r="F1058" t="s">
        <v>42</v>
      </c>
      <c r="G1058">
        <v>-221.60749999999999</v>
      </c>
      <c r="H1058" s="1">
        <v>-4.468307E-6</v>
      </c>
      <c r="I1058">
        <v>364.62369999999999</v>
      </c>
      <c r="J1058">
        <v>-295.55610000000001</v>
      </c>
      <c r="K1058">
        <v>1.071123</v>
      </c>
      <c r="L1058">
        <v>366.90379999999999</v>
      </c>
      <c r="M1058">
        <v>0.99987369999999998</v>
      </c>
      <c r="N1058">
        <v>-1.4739510000000001E-2</v>
      </c>
      <c r="O1058">
        <v>-5.9589179999999997E-3</v>
      </c>
      <c r="P1058">
        <v>0.99668009999999996</v>
      </c>
      <c r="Q1058">
        <v>-8.1405569999999997E-2</v>
      </c>
      <c r="R1058">
        <v>1.5981280000000001E-3</v>
      </c>
      <c r="S1058">
        <v>3.0065</v>
      </c>
      <c r="T1058">
        <v>-4.3433670000000001E-2</v>
      </c>
      <c r="U1058">
        <v>-9.2498780000000003E-2</v>
      </c>
      <c r="V1058">
        <v>-7.4917830000000001E-3</v>
      </c>
      <c r="W1058">
        <v>-6.6711770000000004E-2</v>
      </c>
      <c r="X1058">
        <v>0.99774410000000002</v>
      </c>
      <c r="Y1058">
        <v>2.4789200000000001E-2</v>
      </c>
      <c r="Z1058">
        <v>-3.635299E-4</v>
      </c>
      <c r="AA1058">
        <v>0.99969260000000004</v>
      </c>
      <c r="AB1058">
        <v>37</v>
      </c>
      <c r="AC1058">
        <v>73.948599999999999</v>
      </c>
      <c r="AD1058">
        <v>-1.071127468307</v>
      </c>
      <c r="AE1058">
        <v>-2.2801</v>
      </c>
      <c r="AF1058">
        <v>1.8389725652220701</v>
      </c>
      <c r="AG1058">
        <v>-1.071127468307</v>
      </c>
      <c r="AH1058">
        <v>73.945375589199301</v>
      </c>
      <c r="AI1058">
        <v>90.829637081981801</v>
      </c>
      <c r="AJ1058">
        <v>88.575385525038897</v>
      </c>
      <c r="AK1058">
        <v>73.975994114149998</v>
      </c>
      <c r="AL1058">
        <v>93.825143962994005</v>
      </c>
      <c r="AM1058">
        <v>90.430209990797195</v>
      </c>
      <c r="AN1058">
        <v>0.999999938076929</v>
      </c>
    </row>
    <row r="1059" spans="1:40" x14ac:dyDescent="0.25">
      <c r="A1059" t="str">
        <f>"20190303153759333"</f>
        <v>20190303153759333</v>
      </c>
      <c r="B1059" t="str">
        <f>"1551598679329592"</f>
        <v>1551598679329592</v>
      </c>
      <c r="C1059" t="s">
        <v>40</v>
      </c>
      <c r="D1059">
        <v>4.107602</v>
      </c>
      <c r="E1059">
        <v>0.51241740000000002</v>
      </c>
      <c r="F1059" t="s">
        <v>42</v>
      </c>
      <c r="G1059">
        <v>-223.14830000000001</v>
      </c>
      <c r="H1059" s="1">
        <v>-3.7994180000000001E-6</v>
      </c>
      <c r="I1059">
        <v>364.66800000000001</v>
      </c>
      <c r="J1059">
        <v>-295.38350000000003</v>
      </c>
      <c r="K1059">
        <v>1.071123</v>
      </c>
      <c r="L1059">
        <v>366.90289999999999</v>
      </c>
      <c r="M1059">
        <v>0.99987440000000005</v>
      </c>
      <c r="N1059">
        <v>-1.4744439999999999E-2</v>
      </c>
      <c r="O1059">
        <v>-5.8142309999999996E-3</v>
      </c>
      <c r="P1059">
        <v>0.99662490000000004</v>
      </c>
      <c r="Q1059">
        <v>-8.2071539999999998E-2</v>
      </c>
      <c r="R1059">
        <v>1.8506530000000001E-3</v>
      </c>
      <c r="S1059">
        <v>3.0065309999999998</v>
      </c>
      <c r="T1059">
        <v>-4.4475559999999997E-2</v>
      </c>
      <c r="U1059">
        <v>-9.2834470000000002E-2</v>
      </c>
      <c r="V1059">
        <v>-7.5994419999999997E-3</v>
      </c>
      <c r="W1059">
        <v>-6.7373660000000002E-2</v>
      </c>
      <c r="X1059">
        <v>0.9976988</v>
      </c>
      <c r="Y1059">
        <v>2.5044810000000001E-2</v>
      </c>
      <c r="Z1059">
        <v>-3.6963129999999998E-4</v>
      </c>
      <c r="AA1059">
        <v>0.99968619999999997</v>
      </c>
      <c r="AB1059">
        <v>37</v>
      </c>
      <c r="AC1059">
        <v>72.235200000000006</v>
      </c>
      <c r="AD1059">
        <v>-1.071126799418</v>
      </c>
      <c r="AE1059">
        <v>-2.2348999999999801</v>
      </c>
      <c r="AF1059">
        <v>1.8144258476055499</v>
      </c>
      <c r="AG1059">
        <v>-1.071126799418</v>
      </c>
      <c r="AH1059">
        <v>72.231107471212397</v>
      </c>
      <c r="AI1059">
        <v>90.849318249631693</v>
      </c>
      <c r="AJ1059">
        <v>88.561048152762993</v>
      </c>
      <c r="AK1059">
        <v>72.261831836002699</v>
      </c>
      <c r="AL1059">
        <v>93.863153022681701</v>
      </c>
      <c r="AM1059">
        <v>90.436411803701901</v>
      </c>
      <c r="AN1059">
        <v>0.99999992855096997</v>
      </c>
    </row>
    <row r="1060" spans="1:40" x14ac:dyDescent="0.25">
      <c r="A1060" t="str">
        <f>"20190303153759344"</f>
        <v>20190303153759344</v>
      </c>
      <c r="B1060" t="str">
        <f>"1551598679340329"</f>
        <v>1551598679340329</v>
      </c>
      <c r="C1060" t="s">
        <v>40</v>
      </c>
      <c r="D1060">
        <v>4.101807</v>
      </c>
      <c r="E1060">
        <v>0.51251199999999997</v>
      </c>
      <c r="F1060" t="s">
        <v>42</v>
      </c>
      <c r="G1060">
        <v>-225.91589999999999</v>
      </c>
      <c r="H1060" s="1">
        <v>-2.6703329999999999E-6</v>
      </c>
      <c r="I1060">
        <v>364.75150000000002</v>
      </c>
      <c r="J1060">
        <v>-295.20499999999998</v>
      </c>
      <c r="K1060">
        <v>1.071124</v>
      </c>
      <c r="L1060">
        <v>366.90199999999999</v>
      </c>
      <c r="M1060">
        <v>0.99987519999999996</v>
      </c>
      <c r="N1060">
        <v>-1.474898E-2</v>
      </c>
      <c r="O1060">
        <v>-5.6648929999999998E-3</v>
      </c>
      <c r="P1060">
        <v>0.99657300000000004</v>
      </c>
      <c r="Q1060">
        <v>-8.2686079999999995E-2</v>
      </c>
      <c r="R1060">
        <v>2.305657E-3</v>
      </c>
      <c r="S1060">
        <v>3.0065309999999998</v>
      </c>
      <c r="T1060">
        <v>-4.6357870000000002E-2</v>
      </c>
      <c r="U1060">
        <v>-9.3109129999999998E-2</v>
      </c>
      <c r="V1060">
        <v>-7.9045390000000004E-3</v>
      </c>
      <c r="W1060">
        <v>-6.7984610000000001E-2</v>
      </c>
      <c r="X1060">
        <v>0.99765499999999996</v>
      </c>
      <c r="Y1060">
        <v>2.528495E-2</v>
      </c>
      <c r="Z1060">
        <v>-3.7763590000000001E-4</v>
      </c>
      <c r="AA1060">
        <v>0.99968020000000002</v>
      </c>
      <c r="AB1060">
        <v>37</v>
      </c>
      <c r="AC1060">
        <v>69.289099999999905</v>
      </c>
      <c r="AD1060">
        <v>-1.071126670333</v>
      </c>
      <c r="AE1060">
        <v>-2.1504999999999601</v>
      </c>
      <c r="AF1060">
        <v>1.7574878662156801</v>
      </c>
      <c r="AG1060">
        <v>-1.071126670333</v>
      </c>
      <c r="AH1060">
        <v>69.283630550476403</v>
      </c>
      <c r="AI1060">
        <v>90.885438847805005</v>
      </c>
      <c r="AJ1060">
        <v>88.546914377367301</v>
      </c>
      <c r="AK1060">
        <v>69.314194348623204</v>
      </c>
      <c r="AL1060">
        <v>93.898238267743295</v>
      </c>
      <c r="AM1060">
        <v>90.453951763953697</v>
      </c>
      <c r="AN1060">
        <v>0.99999994397932501</v>
      </c>
    </row>
    <row r="1061" spans="1:40" x14ac:dyDescent="0.25">
      <c r="A1061" t="str">
        <f>"20190303153759356"</f>
        <v>20190303153759356</v>
      </c>
      <c r="B1061" t="str">
        <f>"1551598679350089"</f>
        <v>1551598679350089</v>
      </c>
      <c r="C1061" t="s">
        <v>40</v>
      </c>
      <c r="D1061">
        <v>4.1075599999999897</v>
      </c>
      <c r="E1061">
        <v>0.51256880000000005</v>
      </c>
      <c r="F1061" t="s">
        <v>42</v>
      </c>
      <c r="G1061">
        <v>-228.53270000000001</v>
      </c>
      <c r="H1061" s="1">
        <v>-1.7534020000000001E-6</v>
      </c>
      <c r="I1061">
        <v>364.85070000000002</v>
      </c>
      <c r="J1061">
        <v>-295.01650000000001</v>
      </c>
      <c r="K1061">
        <v>1.0711269999999999</v>
      </c>
      <c r="L1061">
        <v>366.90109999999999</v>
      </c>
      <c r="M1061">
        <v>0.99987610000000005</v>
      </c>
      <c r="N1061">
        <v>-1.475332E-2</v>
      </c>
      <c r="O1061">
        <v>-5.5075669999999997E-3</v>
      </c>
      <c r="P1061">
        <v>0.99652810000000003</v>
      </c>
      <c r="Q1061">
        <v>-8.3221500000000004E-2</v>
      </c>
      <c r="R1061">
        <v>2.4716690000000001E-3</v>
      </c>
      <c r="S1061">
        <v>3.0065309999999998</v>
      </c>
      <c r="T1061">
        <v>-4.8301459999999997E-2</v>
      </c>
      <c r="U1061">
        <v>-9.2498780000000003E-2</v>
      </c>
      <c r="V1061">
        <v>-7.9128140000000007E-3</v>
      </c>
      <c r="W1061">
        <v>-6.8516309999999997E-2</v>
      </c>
      <c r="X1061">
        <v>0.99761860000000002</v>
      </c>
      <c r="Y1061">
        <v>2.523914E-2</v>
      </c>
      <c r="Z1061">
        <v>-3.8172519999999998E-4</v>
      </c>
      <c r="AA1061">
        <v>0.99968140000000005</v>
      </c>
      <c r="AB1061">
        <v>37</v>
      </c>
      <c r="AC1061">
        <v>66.483800000000002</v>
      </c>
      <c r="AD1061">
        <v>-1.071128753402</v>
      </c>
      <c r="AE1061">
        <v>-2.0503999999999598</v>
      </c>
      <c r="AF1061">
        <v>1.6837284671961901</v>
      </c>
      <c r="AG1061">
        <v>-1.071128753402</v>
      </c>
      <c r="AH1061">
        <v>66.476846493345505</v>
      </c>
      <c r="AI1061">
        <v>90.922820189387494</v>
      </c>
      <c r="AJ1061">
        <v>88.549120195832401</v>
      </c>
      <c r="AK1061">
        <v>66.506791969372799</v>
      </c>
      <c r="AL1061">
        <v>93.928773479273502</v>
      </c>
      <c r="AM1061">
        <v>90.454443551028703</v>
      </c>
      <c r="AN1061">
        <v>0.99999998421368697</v>
      </c>
    </row>
    <row r="1062" spans="1:40" x14ac:dyDescent="0.25">
      <c r="A1062" t="str">
        <f>"20190303153759367"</f>
        <v>20190303153759367</v>
      </c>
      <c r="B1062" t="str">
        <f>"1551598679359848"</f>
        <v>1551598679359848</v>
      </c>
      <c r="C1062" t="s">
        <v>40</v>
      </c>
      <c r="D1062">
        <v>4.083952</v>
      </c>
      <c r="E1062">
        <v>0.51264239999999905</v>
      </c>
      <c r="F1062" t="s">
        <v>42</v>
      </c>
      <c r="G1062">
        <v>-230.5711</v>
      </c>
      <c r="H1062" s="1">
        <v>-4.86052E-6</v>
      </c>
      <c r="I1062">
        <v>364.91899999999998</v>
      </c>
      <c r="J1062">
        <v>-294.8227</v>
      </c>
      <c r="K1062">
        <v>1.071129</v>
      </c>
      <c r="L1062">
        <v>366.90010000000001</v>
      </c>
      <c r="M1062">
        <v>0.99987689999999996</v>
      </c>
      <c r="N1062">
        <v>-1.475738E-2</v>
      </c>
      <c r="O1062">
        <v>-5.3458280000000004E-3</v>
      </c>
      <c r="P1062">
        <v>0.99648020000000004</v>
      </c>
      <c r="Q1062">
        <v>-8.3782250000000003E-2</v>
      </c>
      <c r="R1062">
        <v>2.82629E-3</v>
      </c>
      <c r="S1062">
        <v>3.0065</v>
      </c>
      <c r="T1062">
        <v>-4.9970269999999997E-2</v>
      </c>
      <c r="U1062">
        <v>-9.2468259999999997E-2</v>
      </c>
      <c r="V1062">
        <v>-8.1056349999999999E-3</v>
      </c>
      <c r="W1062">
        <v>-6.9073830000000003E-2</v>
      </c>
      <c r="X1062">
        <v>0.99757859999999998</v>
      </c>
      <c r="Y1062">
        <v>2.5390650000000001E-2</v>
      </c>
      <c r="Z1062">
        <v>-3.8842489999999999E-4</v>
      </c>
      <c r="AA1062">
        <v>0.9996775</v>
      </c>
      <c r="AB1062">
        <v>37</v>
      </c>
      <c r="AC1062">
        <v>64.251599999999996</v>
      </c>
      <c r="AD1062">
        <v>-1.07113386052</v>
      </c>
      <c r="AE1062">
        <v>-1.9810999999999599</v>
      </c>
      <c r="AF1062">
        <v>1.6371017548225999</v>
      </c>
      <c r="AG1062">
        <v>-1.07113386052</v>
      </c>
      <c r="AH1062">
        <v>64.2434359094635</v>
      </c>
      <c r="AI1062">
        <v>90.954896814868505</v>
      </c>
      <c r="AJ1062">
        <v>88.540259806069102</v>
      </c>
      <c r="AK1062">
        <v>64.273217496529099</v>
      </c>
      <c r="AL1062">
        <v>93.960792902878794</v>
      </c>
      <c r="AM1062">
        <v>90.465535703923194</v>
      </c>
      <c r="AN1062">
        <v>0.99999997924379003</v>
      </c>
    </row>
    <row r="1063" spans="1:40" x14ac:dyDescent="0.25">
      <c r="A1063" t="str">
        <f>"20190303153759379"</f>
        <v>20190303153759379</v>
      </c>
      <c r="B1063" t="str">
        <f>"1551598679369608"</f>
        <v>1551598679369608</v>
      </c>
      <c r="C1063" t="s">
        <v>40</v>
      </c>
      <c r="D1063">
        <v>4.134144</v>
      </c>
      <c r="E1063">
        <v>0.51270139999999997</v>
      </c>
      <c r="F1063" t="s">
        <v>42</v>
      </c>
      <c r="G1063">
        <v>-232.77680000000001</v>
      </c>
      <c r="H1063" s="1">
        <v>-3.8992400000000001E-6</v>
      </c>
      <c r="I1063">
        <v>365.00380000000001</v>
      </c>
      <c r="J1063">
        <v>-294.63049999999998</v>
      </c>
      <c r="K1063">
        <v>1.0711250000000001</v>
      </c>
      <c r="L1063">
        <v>366.89929999999998</v>
      </c>
      <c r="M1063">
        <v>0.99987760000000003</v>
      </c>
      <c r="N1063">
        <v>-1.47607E-2</v>
      </c>
      <c r="O1063">
        <v>-5.1851609999999998E-3</v>
      </c>
      <c r="P1063">
        <v>0.9964345</v>
      </c>
      <c r="Q1063">
        <v>-8.4315550000000003E-2</v>
      </c>
      <c r="R1063">
        <v>3.0199189999999998E-3</v>
      </c>
      <c r="S1063">
        <v>3.0065309999999998</v>
      </c>
      <c r="T1063">
        <v>-5.1903369999999997E-2</v>
      </c>
      <c r="U1063">
        <v>-9.1888429999999993E-2</v>
      </c>
      <c r="V1063">
        <v>-8.1386329999999993E-3</v>
      </c>
      <c r="W1063">
        <v>-6.9604460000000007E-2</v>
      </c>
      <c r="X1063">
        <v>0.99754149999999997</v>
      </c>
      <c r="Y1063">
        <v>2.5357979999999999E-2</v>
      </c>
      <c r="Z1063">
        <v>-3.930866E-4</v>
      </c>
      <c r="AA1063">
        <v>0.99967839999999997</v>
      </c>
      <c r="AB1063">
        <v>37</v>
      </c>
      <c r="AC1063">
        <v>61.853699999999897</v>
      </c>
      <c r="AD1063">
        <v>-1.0711288992399901</v>
      </c>
      <c r="AE1063">
        <v>-1.89549999999997</v>
      </c>
      <c r="AF1063">
        <v>1.57424652493158</v>
      </c>
      <c r="AG1063">
        <v>-1.0711288992399901</v>
      </c>
      <c r="AH1063">
        <v>61.844169235137002</v>
      </c>
      <c r="AI1063">
        <v>90.991931221354506</v>
      </c>
      <c r="AJ1063">
        <v>88.541847857427499</v>
      </c>
      <c r="AK1063">
        <v>61.873474426641899</v>
      </c>
      <c r="AL1063">
        <v>93.991268907433394</v>
      </c>
      <c r="AM1063">
        <v>90.467448197203197</v>
      </c>
      <c r="AN1063">
        <v>1.0000000312106201</v>
      </c>
    </row>
    <row r="1064" spans="1:40" x14ac:dyDescent="0.25">
      <c r="A1064" t="str">
        <f>"20190303153759392"</f>
        <v>20190303153759392</v>
      </c>
      <c r="B1064" t="str">
        <f>"1551598679380345"</f>
        <v>1551598679380345</v>
      </c>
      <c r="C1064" t="s">
        <v>40</v>
      </c>
      <c r="D1064">
        <v>4.0973930000000003</v>
      </c>
      <c r="E1064">
        <v>0.51274350000000002</v>
      </c>
      <c r="F1064" t="s">
        <v>42</v>
      </c>
      <c r="G1064">
        <v>-234.941</v>
      </c>
      <c r="H1064" s="1">
        <v>-2.9581079999999999E-6</v>
      </c>
      <c r="I1064">
        <v>365.07549999999998</v>
      </c>
      <c r="J1064">
        <v>-294.41890000000001</v>
      </c>
      <c r="K1064">
        <v>1.0711269999999999</v>
      </c>
      <c r="L1064">
        <v>366.89830000000001</v>
      </c>
      <c r="M1064">
        <v>0.9998785</v>
      </c>
      <c r="N1064">
        <v>-1.4764060000000001E-2</v>
      </c>
      <c r="O1064">
        <v>-5.0084029999999998E-3</v>
      </c>
      <c r="P1064">
        <v>0.99643269999999995</v>
      </c>
      <c r="Q1064">
        <v>-8.4315580000000001E-2</v>
      </c>
      <c r="R1064">
        <v>3.6623070000000001E-3</v>
      </c>
      <c r="S1064">
        <v>3.0064389999999999</v>
      </c>
      <c r="T1064">
        <v>-5.3950430000000001E-2</v>
      </c>
      <c r="U1064">
        <v>-9.1857910000000001E-2</v>
      </c>
      <c r="V1064">
        <v>-8.6047859999999997E-3</v>
      </c>
      <c r="W1064">
        <v>-6.9601479999999993E-2</v>
      </c>
      <c r="X1064">
        <v>0.99753780000000003</v>
      </c>
      <c r="Y1064">
        <v>2.5525010000000001E-2</v>
      </c>
      <c r="Z1064">
        <v>-4.0154550000000001E-4</v>
      </c>
      <c r="AA1064">
        <v>0.99967410000000001</v>
      </c>
      <c r="AB1064">
        <v>37</v>
      </c>
      <c r="AC1064">
        <v>59.477899999999998</v>
      </c>
      <c r="AD1064">
        <v>-1.071129958108</v>
      </c>
      <c r="AE1064">
        <v>-1.82280000000002</v>
      </c>
      <c r="AF1064">
        <v>1.5243614636457401</v>
      </c>
      <c r="AG1064">
        <v>-1.071129958108</v>
      </c>
      <c r="AH1064">
        <v>59.467015953122797</v>
      </c>
      <c r="AI1064">
        <v>91.031570904872694</v>
      </c>
      <c r="AJ1064">
        <v>88.531616988907501</v>
      </c>
      <c r="AK1064">
        <v>59.496193017939902</v>
      </c>
      <c r="AL1064">
        <v>93.9910977341967</v>
      </c>
      <c r="AM1064">
        <v>90.494222568557802</v>
      </c>
      <c r="AN1064">
        <v>1.0000000353945599</v>
      </c>
    </row>
    <row r="1065" spans="1:40" x14ac:dyDescent="0.25">
      <c r="A1065" t="str">
        <f>"20190303153759404"</f>
        <v>20190303153759404</v>
      </c>
      <c r="B1065" t="str">
        <f>"1551598679399865"</f>
        <v>1551598679399865</v>
      </c>
      <c r="C1065" t="s">
        <v>40</v>
      </c>
      <c r="D1065">
        <v>4.0918580000000002</v>
      </c>
      <c r="E1065">
        <v>0.51288219999999995</v>
      </c>
      <c r="F1065" t="s">
        <v>42</v>
      </c>
      <c r="G1065">
        <v>-234.56649999999999</v>
      </c>
      <c r="H1065" s="1">
        <v>-3.1136659999999998E-6</v>
      </c>
      <c r="I1065">
        <v>365.10419999999999</v>
      </c>
      <c r="J1065">
        <v>-294.2054</v>
      </c>
      <c r="K1065">
        <v>1.071132</v>
      </c>
      <c r="L1065">
        <v>366.89749999999998</v>
      </c>
      <c r="M1065">
        <v>0.99987930000000003</v>
      </c>
      <c r="N1065">
        <v>-1.4766970000000001E-2</v>
      </c>
      <c r="O1065">
        <v>-4.8300929999999997E-3</v>
      </c>
      <c r="P1065">
        <v>0.99644290000000002</v>
      </c>
      <c r="Q1065">
        <v>-8.4181229999999996E-2</v>
      </c>
      <c r="R1065">
        <v>3.9082980000000002E-3</v>
      </c>
      <c r="S1065">
        <v>3.0065309999999998</v>
      </c>
      <c r="T1065">
        <v>-5.3805350000000002E-2</v>
      </c>
      <c r="U1065">
        <v>-9.0118409999999996E-2</v>
      </c>
      <c r="V1065">
        <v>-8.6728869999999902E-3</v>
      </c>
      <c r="W1065">
        <v>-6.9464159999999997E-2</v>
      </c>
      <c r="X1065">
        <v>0.99754670000000001</v>
      </c>
      <c r="Y1065">
        <v>2.5124649999999998E-2</v>
      </c>
      <c r="Z1065">
        <v>-3.9523750000000001E-4</v>
      </c>
      <c r="AA1065">
        <v>0.99968429999999997</v>
      </c>
      <c r="AB1065">
        <v>37</v>
      </c>
      <c r="AC1065">
        <v>59.6389</v>
      </c>
      <c r="AD1065">
        <v>-1.0711351136659999</v>
      </c>
      <c r="AE1065">
        <v>-1.7932999999999799</v>
      </c>
      <c r="AF1065">
        <v>1.5047012924438701</v>
      </c>
      <c r="AG1065">
        <v>-1.0711351136659999</v>
      </c>
      <c r="AH1065">
        <v>59.627649962699699</v>
      </c>
      <c r="AI1065">
        <v>91.028807877114602</v>
      </c>
      <c r="AJ1065">
        <v>88.554450153843902</v>
      </c>
      <c r="AK1065">
        <v>59.656249433612999</v>
      </c>
      <c r="AL1065">
        <v>93.9832111153559</v>
      </c>
      <c r="AM1065">
        <v>90.498129362001606</v>
      </c>
      <c r="AN1065">
        <v>0.99999995358715399</v>
      </c>
    </row>
    <row r="1066" spans="1:40" x14ac:dyDescent="0.25">
      <c r="A1066" t="str">
        <f>"20190303153759419"</f>
        <v>20190303153759419</v>
      </c>
      <c r="B1066" t="str">
        <f>"1551598679409625"</f>
        <v>1551598679409625</v>
      </c>
      <c r="C1066" t="s">
        <v>40</v>
      </c>
      <c r="D1066">
        <v>4.119802</v>
      </c>
      <c r="E1066">
        <v>0.51298279999999996</v>
      </c>
      <c r="F1066" t="s">
        <v>42</v>
      </c>
      <c r="G1066">
        <v>-234.04159999999999</v>
      </c>
      <c r="H1066" s="1">
        <v>-3.3424910000000001E-6</v>
      </c>
      <c r="I1066">
        <v>365.08370000000002</v>
      </c>
      <c r="J1066">
        <v>-293.98559999999998</v>
      </c>
      <c r="K1066">
        <v>1.0711349999999999</v>
      </c>
      <c r="L1066">
        <v>366.8965</v>
      </c>
      <c r="M1066">
        <v>0.99988010000000005</v>
      </c>
      <c r="N1066">
        <v>-1.476951E-2</v>
      </c>
      <c r="O1066">
        <v>-4.6462989999999996E-3</v>
      </c>
      <c r="P1066">
        <v>0.9964906</v>
      </c>
      <c r="Q1066">
        <v>-8.3594979999999999E-2</v>
      </c>
      <c r="R1066">
        <v>4.3113769999999999E-3</v>
      </c>
      <c r="S1066">
        <v>3.006561</v>
      </c>
      <c r="T1066">
        <v>-5.3527709999999999E-2</v>
      </c>
      <c r="U1066">
        <v>-9.0637209999999996E-2</v>
      </c>
      <c r="V1066">
        <v>-8.8939610000000006E-3</v>
      </c>
      <c r="W1066">
        <v>-6.8874879999999999E-2</v>
      </c>
      <c r="X1066">
        <v>0.99758570000000002</v>
      </c>
      <c r="Y1066">
        <v>2.54804E-2</v>
      </c>
      <c r="Z1066">
        <v>-4.0091729999999998E-4</v>
      </c>
      <c r="AA1066">
        <v>0.99967519999999999</v>
      </c>
      <c r="AB1066">
        <v>37</v>
      </c>
      <c r="AC1066">
        <v>59.943999999999903</v>
      </c>
      <c r="AD1066">
        <v>-1.0711383424909999</v>
      </c>
      <c r="AE1066">
        <v>-1.81279999999998</v>
      </c>
      <c r="AF1066">
        <v>1.53374301245697</v>
      </c>
      <c r="AG1066">
        <v>-1.0711383424909999</v>
      </c>
      <c r="AH1066">
        <v>59.932657500561099</v>
      </c>
      <c r="AI1066">
        <v>91.023567043368303</v>
      </c>
      <c r="AJ1066">
        <v>88.534057574246603</v>
      </c>
      <c r="AK1066">
        <v>59.961847370278498</v>
      </c>
      <c r="AL1066">
        <v>93.9493664537288</v>
      </c>
      <c r="AM1066">
        <v>90.510806166783595</v>
      </c>
      <c r="AN1066">
        <v>1.00000004024088</v>
      </c>
    </row>
    <row r="1067" spans="1:40" x14ac:dyDescent="0.25">
      <c r="A1067" t="str">
        <f>"20190303153759433"</f>
        <v>20190303153759433</v>
      </c>
      <c r="B1067" t="str">
        <f>"1551598679420361"</f>
        <v>1551598679420361</v>
      </c>
      <c r="C1067" t="s">
        <v>40</v>
      </c>
      <c r="D1067">
        <v>4.1194660000000001</v>
      </c>
      <c r="E1067">
        <v>0.51307020000000003</v>
      </c>
      <c r="F1067" t="s">
        <v>42</v>
      </c>
      <c r="G1067">
        <v>-231.31290000000001</v>
      </c>
      <c r="H1067" s="1">
        <v>-4.5234020000000002E-6</v>
      </c>
      <c r="I1067">
        <v>365.0256</v>
      </c>
      <c r="J1067">
        <v>-293.75130000000001</v>
      </c>
      <c r="K1067">
        <v>1.0711389999999901</v>
      </c>
      <c r="L1067">
        <v>366.89569999999998</v>
      </c>
      <c r="M1067">
        <v>0.99988109999999997</v>
      </c>
      <c r="N1067">
        <v>-1.477183E-2</v>
      </c>
      <c r="O1067">
        <v>-4.4509490000000001E-3</v>
      </c>
      <c r="P1067">
        <v>0.99655899999999997</v>
      </c>
      <c r="Q1067">
        <v>-8.2749260000000005E-2</v>
      </c>
      <c r="R1067">
        <v>4.8004450000000004E-3</v>
      </c>
      <c r="S1067">
        <v>3.0066220000000001</v>
      </c>
      <c r="T1067">
        <v>-5.138612E-2</v>
      </c>
      <c r="U1067">
        <v>-8.9752199999999893E-2</v>
      </c>
      <c r="V1067">
        <v>-9.1889469999999994E-3</v>
      </c>
      <c r="W1067">
        <v>-6.8026160000000002E-2</v>
      </c>
      <c r="X1067">
        <v>0.99764120000000001</v>
      </c>
      <c r="Y1067">
        <v>2.5381569999999999E-2</v>
      </c>
      <c r="Z1067">
        <v>-3.9406849999999998E-4</v>
      </c>
      <c r="AA1067">
        <v>0.99967779999999995</v>
      </c>
      <c r="AB1067">
        <v>37</v>
      </c>
      <c r="AC1067">
        <v>62.438400000000001</v>
      </c>
      <c r="AD1067">
        <v>-1.0711435234019999</v>
      </c>
      <c r="AE1067">
        <v>-1.8700999999999799</v>
      </c>
      <c r="AF1067">
        <v>1.5916730327353701</v>
      </c>
      <c r="AG1067">
        <v>-1.0711435234019999</v>
      </c>
      <c r="AH1067">
        <v>62.427749922004899</v>
      </c>
      <c r="AI1067">
        <v>90.982672761855298</v>
      </c>
      <c r="AJ1067">
        <v>88.539489345381995</v>
      </c>
      <c r="AK1067">
        <v>62.457223215695798</v>
      </c>
      <c r="AL1067">
        <v>93.900624292576396</v>
      </c>
      <c r="AM1067">
        <v>90.527717774250107</v>
      </c>
      <c r="AN1067">
        <v>0.99999997956437703</v>
      </c>
    </row>
    <row r="1068" spans="1:40" x14ac:dyDescent="0.25">
      <c r="A1068" t="str">
        <f>"20190303153759445"</f>
        <v>20190303153759445</v>
      </c>
      <c r="B1068" t="str">
        <f>"1551598679439882"</f>
        <v>1551598679439882</v>
      </c>
      <c r="C1068" t="s">
        <v>40</v>
      </c>
      <c r="D1068">
        <v>4.1066940000000001</v>
      </c>
      <c r="E1068">
        <v>0.51325969999999999</v>
      </c>
      <c r="F1068" t="s">
        <v>42</v>
      </c>
      <c r="G1068">
        <v>-227.42949999999999</v>
      </c>
      <c r="H1068" s="1">
        <v>-2.109005E-6</v>
      </c>
      <c r="I1068">
        <v>364.92529999999999</v>
      </c>
      <c r="J1068">
        <v>-293.55130000000003</v>
      </c>
      <c r="K1068">
        <v>1.0711440000000001</v>
      </c>
      <c r="L1068">
        <v>366.89490000000001</v>
      </c>
      <c r="M1068">
        <v>0.99988169999999998</v>
      </c>
      <c r="N1068">
        <v>-1.4773400000000001E-2</v>
      </c>
      <c r="O1068">
        <v>-4.2863600000000003E-3</v>
      </c>
      <c r="P1068">
        <v>0.99667640000000002</v>
      </c>
      <c r="Q1068">
        <v>-8.1269980000000006E-2</v>
      </c>
      <c r="R1068">
        <v>5.6165659999999999E-3</v>
      </c>
      <c r="S1068">
        <v>3.0067439999999999</v>
      </c>
      <c r="T1068">
        <v>-4.8560859999999997E-2</v>
      </c>
      <c r="U1068">
        <v>-8.932495E-2</v>
      </c>
      <c r="V1068">
        <v>-9.8430830000000007E-3</v>
      </c>
      <c r="W1068">
        <v>-6.6544199999999998E-2</v>
      </c>
      <c r="X1068">
        <v>0.99773489999999998</v>
      </c>
      <c r="Y1068">
        <v>2.540355E-2</v>
      </c>
      <c r="Z1068">
        <v>-3.869147E-4</v>
      </c>
      <c r="AA1068">
        <v>0.99967720000000004</v>
      </c>
      <c r="AB1068">
        <v>37</v>
      </c>
      <c r="AC1068">
        <v>66.121799999999993</v>
      </c>
      <c r="AD1068">
        <v>-1.0711461090050001</v>
      </c>
      <c r="AE1068">
        <v>-1.96960000000001</v>
      </c>
      <c r="AF1068">
        <v>1.6856871582303199</v>
      </c>
      <c r="AG1068">
        <v>-1.0711461090050001</v>
      </c>
      <c r="AH1068">
        <v>66.112301521001797</v>
      </c>
      <c r="AI1068">
        <v>90.927918800670298</v>
      </c>
      <c r="AJ1068">
        <v>88.539427069463102</v>
      </c>
      <c r="AK1068">
        <v>66.142462212909095</v>
      </c>
      <c r="AL1068">
        <v>93.815521390129504</v>
      </c>
      <c r="AM1068">
        <v>90.565229118490194</v>
      </c>
      <c r="AN1068">
        <v>0.99999997375729699</v>
      </c>
    </row>
    <row r="1069" spans="1:40" x14ac:dyDescent="0.25">
      <c r="A1069" t="str">
        <f>"20190303153759457"</f>
        <v>20190303153759457</v>
      </c>
      <c r="B1069" t="str">
        <f>"1551598679449641"</f>
        <v>1551598679449641</v>
      </c>
      <c r="C1069" t="s">
        <v>40</v>
      </c>
      <c r="D1069">
        <v>4.1012700000000004</v>
      </c>
      <c r="E1069">
        <v>0.51334760000000002</v>
      </c>
      <c r="F1069" t="s">
        <v>42</v>
      </c>
      <c r="G1069">
        <v>-221.11179999999999</v>
      </c>
      <c r="H1069" s="1">
        <v>-4.6541769999999998E-6</v>
      </c>
      <c r="I1069">
        <v>364.77449999999999</v>
      </c>
      <c r="J1069">
        <v>-293.36189999999999</v>
      </c>
      <c r="K1069">
        <v>1.071145</v>
      </c>
      <c r="L1069">
        <v>366.89429999999999</v>
      </c>
      <c r="M1069">
        <v>0.99988250000000001</v>
      </c>
      <c r="N1069">
        <v>-1.477462E-2</v>
      </c>
      <c r="O1069">
        <v>-4.1317919999999996E-3</v>
      </c>
      <c r="P1069">
        <v>0.99672110000000003</v>
      </c>
      <c r="Q1069">
        <v>-8.0683160000000004E-2</v>
      </c>
      <c r="R1069">
        <v>6.13555E-3</v>
      </c>
      <c r="S1069">
        <v>3.0068969999999999</v>
      </c>
      <c r="T1069">
        <v>-4.446232E-2</v>
      </c>
      <c r="U1069">
        <v>-8.8012699999999999E-2</v>
      </c>
      <c r="V1069">
        <v>-1.0208389999999999E-2</v>
      </c>
      <c r="W1069">
        <v>-6.5955780000000006E-2</v>
      </c>
      <c r="X1069">
        <v>0.9977703</v>
      </c>
      <c r="Y1069">
        <v>2.512153E-2</v>
      </c>
      <c r="Z1069">
        <v>-3.7129250000000002E-4</v>
      </c>
      <c r="AA1069">
        <v>0.99968429999999997</v>
      </c>
      <c r="AB1069">
        <v>37</v>
      </c>
      <c r="AC1069">
        <v>72.250100000000003</v>
      </c>
      <c r="AD1069">
        <v>-1.071149654177</v>
      </c>
      <c r="AE1069">
        <v>-2.1197999999999899</v>
      </c>
      <c r="AF1069">
        <v>1.82082711537499</v>
      </c>
      <c r="AG1069">
        <v>-1.071149654177</v>
      </c>
      <c r="AH1069">
        <v>72.242377613097702</v>
      </c>
      <c r="AI1069">
        <v>90.8492020798124</v>
      </c>
      <c r="AJ1069">
        <v>88.556198876811195</v>
      </c>
      <c r="AK1069">
        <v>72.273258513499499</v>
      </c>
      <c r="AL1069">
        <v>93.781733174994997</v>
      </c>
      <c r="AM1069">
        <v>90.586184270430394</v>
      </c>
      <c r="AN1069">
        <v>0.99999997385194495</v>
      </c>
    </row>
    <row r="1070" spans="1:40" x14ac:dyDescent="0.25">
      <c r="A1070" t="str">
        <f>"20190303153759468"</f>
        <v>20190303153759468</v>
      </c>
      <c r="B1070" t="str">
        <f>"1551598679460377"</f>
        <v>1551598679460377</v>
      </c>
      <c r="C1070" t="s">
        <v>40</v>
      </c>
      <c r="D1070">
        <v>4.1165089999999998</v>
      </c>
      <c r="E1070">
        <v>0.51340070000000004</v>
      </c>
      <c r="F1070" t="s">
        <v>42</v>
      </c>
      <c r="G1070">
        <v>-218.56049999999999</v>
      </c>
      <c r="H1070" s="1">
        <v>-1.7777430000000001E-6</v>
      </c>
      <c r="I1070">
        <v>364.72379999999998</v>
      </c>
      <c r="J1070">
        <v>-293.17169999999999</v>
      </c>
      <c r="K1070">
        <v>1.0711469999999901</v>
      </c>
      <c r="L1070">
        <v>366.89359999999999</v>
      </c>
      <c r="M1070">
        <v>0.99988310000000002</v>
      </c>
      <c r="N1070">
        <v>-1.4775669999999999E-2</v>
      </c>
      <c r="O1070">
        <v>-3.9777090000000003E-3</v>
      </c>
      <c r="P1070">
        <v>0.99676589999999998</v>
      </c>
      <c r="Q1070">
        <v>-8.0105250000000003E-2</v>
      </c>
      <c r="R1070">
        <v>6.44869E-3</v>
      </c>
      <c r="S1070">
        <v>3.0069270000000001</v>
      </c>
      <c r="T1070">
        <v>-4.305875E-2</v>
      </c>
      <c r="U1070">
        <v>-8.7249759999999996E-2</v>
      </c>
      <c r="V1070">
        <v>-1.0369120000000001E-2</v>
      </c>
      <c r="W1070">
        <v>-6.537627E-2</v>
      </c>
      <c r="X1070">
        <v>0.99780679999999999</v>
      </c>
      <c r="Y1070">
        <v>2.502213E-2</v>
      </c>
      <c r="Z1070">
        <v>-3.6585829999999999E-4</v>
      </c>
      <c r="AA1070">
        <v>0.99968679999999999</v>
      </c>
      <c r="AB1070">
        <v>37</v>
      </c>
      <c r="AC1070">
        <v>74.611199999999997</v>
      </c>
      <c r="AD1070">
        <v>-1.07114877774299</v>
      </c>
      <c r="AE1070">
        <v>-2.1698</v>
      </c>
      <c r="AF1070">
        <v>1.87258321449955</v>
      </c>
      <c r="AG1070">
        <v>-1.07114877774299</v>
      </c>
      <c r="AH1070">
        <v>74.603878041407697</v>
      </c>
      <c r="AI1070">
        <v>90.822326788980803</v>
      </c>
      <c r="AJ1070">
        <v>88.562157970963298</v>
      </c>
      <c r="AK1070">
        <v>74.635062446657798</v>
      </c>
      <c r="AL1070">
        <v>93.748457806114899</v>
      </c>
      <c r="AM1070">
        <v>90.595391240492503</v>
      </c>
      <c r="AN1070">
        <v>0.99999999272746298</v>
      </c>
    </row>
    <row r="1071" spans="1:40" x14ac:dyDescent="0.25">
      <c r="A1071" t="str">
        <f>"20190303153759478"</f>
        <v>20190303153759478</v>
      </c>
      <c r="B1071" t="str">
        <f>"1551598679470136"</f>
        <v>1551598679470136</v>
      </c>
      <c r="C1071" t="s">
        <v>40</v>
      </c>
      <c r="D1071">
        <v>4.1433549999999997</v>
      </c>
      <c r="E1071">
        <v>0.51340070000000004</v>
      </c>
      <c r="F1071" t="s">
        <v>42</v>
      </c>
      <c r="G1071">
        <v>-214.97030000000001</v>
      </c>
      <c r="H1071" s="1">
        <v>-3.02341E-6</v>
      </c>
      <c r="I1071">
        <v>364.63650000000001</v>
      </c>
      <c r="J1071">
        <v>-292.99439999999998</v>
      </c>
      <c r="K1071">
        <v>1.07115</v>
      </c>
      <c r="L1071">
        <v>366.8931</v>
      </c>
      <c r="M1071">
        <v>0.99988350000000004</v>
      </c>
      <c r="N1071">
        <v>-1.4776330000000001E-2</v>
      </c>
      <c r="O1071">
        <v>-3.8378309999999999E-3</v>
      </c>
      <c r="P1071">
        <v>0.99681180000000003</v>
      </c>
      <c r="Q1071">
        <v>-7.9479259999999996E-2</v>
      </c>
      <c r="R1071">
        <v>7.0476840000000002E-3</v>
      </c>
      <c r="S1071">
        <v>3.0069889999999999</v>
      </c>
      <c r="T1071">
        <v>-4.1187639999999998E-2</v>
      </c>
      <c r="U1071">
        <v>-8.6791989999999999E-2</v>
      </c>
      <c r="V1071">
        <v>-1.083013E-2</v>
      </c>
      <c r="W1071">
        <v>-6.474924E-2</v>
      </c>
      <c r="X1071">
        <v>0.99784280000000003</v>
      </c>
      <c r="Y1071">
        <v>2.5009679999999999E-2</v>
      </c>
      <c r="Z1071">
        <v>-3.6022890000000002E-4</v>
      </c>
      <c r="AA1071">
        <v>0.99968710000000005</v>
      </c>
      <c r="AB1071">
        <v>37</v>
      </c>
      <c r="AC1071">
        <v>78.024099999999905</v>
      </c>
      <c r="AD1071">
        <v>-1.07115302341</v>
      </c>
      <c r="AE1071">
        <v>-2.2565999999999899</v>
      </c>
      <c r="AF1071">
        <v>1.95673890355834</v>
      </c>
      <c r="AG1071">
        <v>-1.07115302341</v>
      </c>
      <c r="AH1071">
        <v>78.017494882032295</v>
      </c>
      <c r="AI1071">
        <v>90.786354411421598</v>
      </c>
      <c r="AJ1071">
        <v>88.563278892727496</v>
      </c>
      <c r="AK1071">
        <v>78.049379905315007</v>
      </c>
      <c r="AL1071">
        <v>93.712455305354695</v>
      </c>
      <c r="AM1071">
        <v>90.621837805156005</v>
      </c>
      <c r="AN1071">
        <v>1.00000000465411</v>
      </c>
    </row>
    <row r="1072" spans="1:40" x14ac:dyDescent="0.25">
      <c r="A1072" t="str">
        <f>"20190303153759490"</f>
        <v>20190303153759490</v>
      </c>
      <c r="B1072" t="str">
        <f>"1551598679479897"</f>
        <v>1551598679479897</v>
      </c>
      <c r="C1072" t="s">
        <v>40</v>
      </c>
      <c r="D1072">
        <v>4.1477009999999996</v>
      </c>
      <c r="E1072">
        <v>0.50609819999999905</v>
      </c>
      <c r="F1072" t="s">
        <v>42</v>
      </c>
      <c r="G1072">
        <v>-210.96549999999999</v>
      </c>
      <c r="H1072" s="1">
        <v>-4.7503460000000001E-6</v>
      </c>
      <c r="I1072">
        <v>364.58629999999999</v>
      </c>
      <c r="J1072">
        <v>-292.80799999999999</v>
      </c>
      <c r="K1072">
        <v>1.07115</v>
      </c>
      <c r="L1072">
        <v>366.89249999999998</v>
      </c>
      <c r="M1072">
        <v>0.999884</v>
      </c>
      <c r="N1072">
        <v>-1.477696E-2</v>
      </c>
      <c r="O1072">
        <v>-3.6921200000000001E-3</v>
      </c>
      <c r="P1072">
        <v>0.99684479999999998</v>
      </c>
      <c r="Q1072">
        <v>-7.9022819999999994E-2</v>
      </c>
      <c r="R1072">
        <v>7.4671919999999897E-3</v>
      </c>
      <c r="S1072">
        <v>3.00705</v>
      </c>
      <c r="T1072">
        <v>-3.9266820000000001E-2</v>
      </c>
      <c r="U1072">
        <v>-8.4564210000000001E-2</v>
      </c>
      <c r="V1072">
        <v>-1.1105E-2</v>
      </c>
      <c r="W1072">
        <v>-6.4291810000000005E-2</v>
      </c>
      <c r="X1072">
        <v>0.99786940000000002</v>
      </c>
      <c r="Y1072">
        <v>2.441519E-2</v>
      </c>
      <c r="Z1072">
        <v>-3.4617589999999998E-4</v>
      </c>
      <c r="AA1072">
        <v>0.99970190000000003</v>
      </c>
      <c r="AB1072">
        <v>37</v>
      </c>
      <c r="AC1072">
        <v>81.842500000000001</v>
      </c>
      <c r="AD1072">
        <v>-1.0711547503459999</v>
      </c>
      <c r="AE1072">
        <v>-2.3061999999999898</v>
      </c>
      <c r="AF1072">
        <v>2.0036360087644001</v>
      </c>
      <c r="AG1072">
        <v>-1.0711547503459999</v>
      </c>
      <c r="AH1072">
        <v>81.836450628396406</v>
      </c>
      <c r="AI1072">
        <v>90.749675216278604</v>
      </c>
      <c r="AJ1072">
        <v>88.5974836898951</v>
      </c>
      <c r="AK1072">
        <v>81.8679826379567</v>
      </c>
      <c r="AL1072">
        <v>93.686191611179197</v>
      </c>
      <c r="AM1072">
        <v>90.637601840976302</v>
      </c>
      <c r="AN1072">
        <v>1.00000004865721</v>
      </c>
    </row>
    <row r="1073" spans="1:40" x14ac:dyDescent="0.25">
      <c r="A1073" t="str">
        <f>"20190303153759501"</f>
        <v>20190303153759501</v>
      </c>
      <c r="B1073" t="str">
        <f>"1551598679489657"</f>
        <v>1551598679489657</v>
      </c>
      <c r="C1073" t="s">
        <v>40</v>
      </c>
      <c r="D1073">
        <v>4.1552220000000002</v>
      </c>
      <c r="E1073">
        <v>0.50458009999999998</v>
      </c>
      <c r="F1073" t="s">
        <v>41</v>
      </c>
      <c r="G1073">
        <v>-158.19499999999999</v>
      </c>
      <c r="H1073">
        <v>0.3347366</v>
      </c>
      <c r="I1073">
        <v>365.76729999999998</v>
      </c>
      <c r="J1073">
        <v>-292.62299999999999</v>
      </c>
      <c r="K1073">
        <v>1.07115</v>
      </c>
      <c r="L1073">
        <v>366.89190000000002</v>
      </c>
      <c r="M1073">
        <v>0.99988460000000001</v>
      </c>
      <c r="N1073">
        <v>-1.477729E-2</v>
      </c>
      <c r="O1073">
        <v>-3.5532179999999999E-3</v>
      </c>
      <c r="P1073">
        <v>0.99686909999999895</v>
      </c>
      <c r="Q1073">
        <v>-7.8663520000000001E-2</v>
      </c>
      <c r="R1073">
        <v>8.0155000000000001E-3</v>
      </c>
      <c r="S1073">
        <v>3.0084230000000001</v>
      </c>
      <c r="T1073">
        <v>-1.6455890000000001E-2</v>
      </c>
      <c r="U1073">
        <v>-2.5146479999999999E-2</v>
      </c>
      <c r="V1073">
        <v>-1.151637E-2</v>
      </c>
      <c r="W1073">
        <v>-6.3932000000000003E-2</v>
      </c>
      <c r="X1073">
        <v>0.99788779999999999</v>
      </c>
      <c r="Y1073">
        <v>4.8047539999999996E-3</v>
      </c>
      <c r="Z1073" s="1">
        <v>-8.1719229999999997E-5</v>
      </c>
      <c r="AA1073">
        <v>0.9999884</v>
      </c>
      <c r="AB1073">
        <v>37</v>
      </c>
      <c r="AC1073">
        <v>134.428</v>
      </c>
      <c r="AD1073">
        <v>-0.7364134</v>
      </c>
      <c r="AE1073">
        <v>-1.12460000000004</v>
      </c>
      <c r="AF1073">
        <v>0.64686938766592195</v>
      </c>
      <c r="AG1073">
        <v>-0.7364134</v>
      </c>
      <c r="AH1073">
        <v>134.42711374042801</v>
      </c>
      <c r="AI1073">
        <v>90.313868743182098</v>
      </c>
      <c r="AJ1073">
        <v>89.724292230125201</v>
      </c>
      <c r="AK1073">
        <v>134.43068717105601</v>
      </c>
      <c r="AL1073">
        <v>93.6655337172446</v>
      </c>
      <c r="AM1073">
        <v>90.661206705042602</v>
      </c>
      <c r="AN1073">
        <v>0.99999999439540799</v>
      </c>
    </row>
    <row r="1074" spans="1:40" x14ac:dyDescent="0.25">
      <c r="A1074" t="str">
        <f>"20190303153759513"</f>
        <v>20190303153759513</v>
      </c>
      <c r="B1074" t="str">
        <f>"1551598679510153"</f>
        <v>1551598679510153</v>
      </c>
      <c r="C1074" t="s">
        <v>40</v>
      </c>
      <c r="D1074">
        <v>4.1654929999999997</v>
      </c>
      <c r="E1074">
        <v>0.50375159999999997</v>
      </c>
      <c r="F1074" t="s">
        <v>41</v>
      </c>
      <c r="G1074">
        <v>-158.19499999999999</v>
      </c>
      <c r="H1074">
        <v>1.153837</v>
      </c>
      <c r="I1074">
        <v>366.3904</v>
      </c>
      <c r="J1074">
        <v>-292.44389999999999</v>
      </c>
      <c r="K1074">
        <v>1.0711489999999999</v>
      </c>
      <c r="L1074">
        <v>366.89139999999998</v>
      </c>
      <c r="M1074">
        <v>0.99988500000000002</v>
      </c>
      <c r="N1074">
        <v>-1.4777520000000001E-2</v>
      </c>
      <c r="O1074">
        <v>-3.4200379999999998E-3</v>
      </c>
      <c r="P1074">
        <v>0.99689700000000003</v>
      </c>
      <c r="Q1074">
        <v>-7.8237039999999994E-2</v>
      </c>
      <c r="R1074">
        <v>8.6912559999999996E-3</v>
      </c>
      <c r="S1074">
        <v>3.009674</v>
      </c>
      <c r="T1074">
        <v>1.853228E-3</v>
      </c>
      <c r="U1074">
        <v>-1.1230469999999999E-2</v>
      </c>
      <c r="V1074">
        <v>-1.2060100000000001E-2</v>
      </c>
      <c r="W1074">
        <v>-6.3505140000000002E-2</v>
      </c>
      <c r="X1074">
        <v>0.99790869999999998</v>
      </c>
      <c r="Y1074">
        <v>3.1142829999999998E-4</v>
      </c>
      <c r="Z1074" s="1">
        <v>-5.4853530000000001E-5</v>
      </c>
      <c r="AA1074">
        <v>0.99999990000000005</v>
      </c>
      <c r="AB1074">
        <v>37</v>
      </c>
      <c r="AC1074">
        <v>134.24889999999999</v>
      </c>
      <c r="AD1074">
        <v>8.2688000000000095E-2</v>
      </c>
      <c r="AE1074">
        <v>-0.50099999999997602</v>
      </c>
      <c r="AF1074">
        <v>4.1810593350706401E-2</v>
      </c>
      <c r="AG1074">
        <v>8.2688000000000095E-2</v>
      </c>
      <c r="AH1074">
        <v>134.249777390807</v>
      </c>
      <c r="AI1074">
        <v>89.964710015319199</v>
      </c>
      <c r="AJ1074">
        <v>89.982155870147096</v>
      </c>
      <c r="AK1074">
        <v>134.24980936639099</v>
      </c>
      <c r="AL1074">
        <v>93.641026396338503</v>
      </c>
      <c r="AM1074">
        <v>90.692407223401702</v>
      </c>
      <c r="AN1074">
        <v>1.0000000611770501</v>
      </c>
    </row>
    <row r="1075" spans="1:40" x14ac:dyDescent="0.25">
      <c r="A1075" t="str">
        <f>"20190303153759523"</f>
        <v>20190303153759523</v>
      </c>
      <c r="B1075" t="str">
        <f>"1551598679519914"</f>
        <v>1551598679519914</v>
      </c>
      <c r="C1075" t="s">
        <v>40</v>
      </c>
      <c r="D1075">
        <v>4.1802429999999999</v>
      </c>
      <c r="E1075">
        <v>0.503567599999999</v>
      </c>
      <c r="F1075" t="s">
        <v>41</v>
      </c>
      <c r="G1075">
        <v>-158.19499999999999</v>
      </c>
      <c r="H1075">
        <v>1.751269</v>
      </c>
      <c r="I1075">
        <v>366.77159999999998</v>
      </c>
      <c r="J1075">
        <v>-292.25619999999998</v>
      </c>
      <c r="K1075">
        <v>1.0711459999999999</v>
      </c>
      <c r="L1075">
        <v>366.89089999999999</v>
      </c>
      <c r="M1075">
        <v>0.99988560000000004</v>
      </c>
      <c r="N1075">
        <v>-1.477756E-2</v>
      </c>
      <c r="O1075">
        <v>-3.2841250000000002E-3</v>
      </c>
      <c r="P1075">
        <v>0.99691960000000002</v>
      </c>
      <c r="Q1075">
        <v>-7.7915100000000001E-2</v>
      </c>
      <c r="R1075">
        <v>8.9873850000000005E-3</v>
      </c>
      <c r="S1075">
        <v>3.0105590000000002</v>
      </c>
      <c r="T1075">
        <v>1.525378E-2</v>
      </c>
      <c r="U1075">
        <v>-2.6855469999999999E-3</v>
      </c>
      <c r="V1075">
        <v>-1.2222139999999999E-2</v>
      </c>
      <c r="W1075">
        <v>-6.3182790000000003E-2</v>
      </c>
      <c r="X1075">
        <v>0.99792709999999996</v>
      </c>
      <c r="Y1075">
        <v>-2.3918569999999998E-3</v>
      </c>
      <c r="Z1075" s="1">
        <v>-5.3558370000000003E-5</v>
      </c>
      <c r="AA1075">
        <v>0.99999709999999997</v>
      </c>
      <c r="AB1075">
        <v>36</v>
      </c>
      <c r="AC1075">
        <v>134.06120000000001</v>
      </c>
      <c r="AD1075">
        <v>0.68012299999999903</v>
      </c>
      <c r="AE1075">
        <v>-0.119300000000009</v>
      </c>
      <c r="AF1075">
        <v>-0.321014117807912</v>
      </c>
      <c r="AG1075">
        <v>0.68012299999999903</v>
      </c>
      <c r="AH1075">
        <v>134.05741840342401</v>
      </c>
      <c r="AI1075">
        <v>89.709320589168598</v>
      </c>
      <c r="AJ1075">
        <v>90.137200306989897</v>
      </c>
      <c r="AK1075">
        <v>134.059527995401</v>
      </c>
      <c r="AL1075">
        <v>93.622520263418494</v>
      </c>
      <c r="AM1075">
        <v>90.701696574293095</v>
      </c>
      <c r="AN1075">
        <v>0.99999997128638596</v>
      </c>
    </row>
    <row r="1076" spans="1:40" x14ac:dyDescent="0.25">
      <c r="A1076" t="str">
        <f>"20190303153759534"</f>
        <v>20190303153759534</v>
      </c>
      <c r="B1076" t="str">
        <f>"1551598679529673"</f>
        <v>1551598679529673</v>
      </c>
      <c r="C1076" t="s">
        <v>40</v>
      </c>
      <c r="D1076">
        <v>4.1740149999999998</v>
      </c>
      <c r="E1076">
        <v>0.50337019999999999</v>
      </c>
      <c r="F1076" t="s">
        <v>41</v>
      </c>
      <c r="G1076">
        <v>-158.19499999999999</v>
      </c>
      <c r="H1076">
        <v>1.8944179999999999</v>
      </c>
      <c r="I1076">
        <v>366.87459999999999</v>
      </c>
      <c r="J1076">
        <v>-292.0872</v>
      </c>
      <c r="K1076">
        <v>1.071145</v>
      </c>
      <c r="L1076">
        <v>366.8904</v>
      </c>
      <c r="M1076">
        <v>0.99988580000000005</v>
      </c>
      <c r="N1076">
        <v>-1.4777459999999999E-2</v>
      </c>
      <c r="O1076">
        <v>-3.1635750000000001E-3</v>
      </c>
      <c r="P1076">
        <v>0.99689229999999995</v>
      </c>
      <c r="Q1076">
        <v>-7.8193600000000002E-2</v>
      </c>
      <c r="R1076">
        <v>9.5730079999999992E-3</v>
      </c>
      <c r="S1076">
        <v>3.0107119999999998</v>
      </c>
      <c r="T1076">
        <v>1.849079E-2</v>
      </c>
      <c r="U1076">
        <v>-3.6621089999999999E-4</v>
      </c>
      <c r="V1076">
        <v>-1.268824E-2</v>
      </c>
      <c r="W1076">
        <v>-6.3461909999999996E-2</v>
      </c>
      <c r="X1076">
        <v>0.9979036</v>
      </c>
      <c r="Y1076">
        <v>-3.0416739999999999E-3</v>
      </c>
      <c r="Z1076" s="1">
        <v>-5.3045499999999999E-5</v>
      </c>
      <c r="AA1076">
        <v>0.99999539999999998</v>
      </c>
      <c r="AB1076">
        <v>36</v>
      </c>
      <c r="AC1076">
        <v>133.8922</v>
      </c>
      <c r="AD1076">
        <v>0.82327299999999903</v>
      </c>
      <c r="AE1076">
        <v>-1.5800000000012901E-2</v>
      </c>
      <c r="AF1076">
        <v>-0.40780893528420897</v>
      </c>
      <c r="AG1076">
        <v>0.82327299999999903</v>
      </c>
      <c r="AH1076">
        <v>133.886517926035</v>
      </c>
      <c r="AI1076">
        <v>89.647692271662194</v>
      </c>
      <c r="AJ1076">
        <v>90.174518382745802</v>
      </c>
      <c r="AK1076">
        <v>133.88967013522199</v>
      </c>
      <c r="AL1076">
        <v>93.638544715924098</v>
      </c>
      <c r="AM1076">
        <v>90.728470594257203</v>
      </c>
      <c r="AN1076">
        <v>1.0000000001740501</v>
      </c>
    </row>
    <row r="1077" spans="1:40" x14ac:dyDescent="0.25">
      <c r="A1077" t="str">
        <f>"20190303153759545"</f>
        <v>20190303153759545</v>
      </c>
      <c r="B1077" t="str">
        <f>"1551598679540409"</f>
        <v>1551598679540409</v>
      </c>
      <c r="C1077" t="s">
        <v>40</v>
      </c>
      <c r="D1077">
        <v>4.1775089999999997</v>
      </c>
      <c r="E1077">
        <v>0.50330959999999902</v>
      </c>
      <c r="F1077" t="s">
        <v>41</v>
      </c>
      <c r="G1077">
        <v>-158.19499999999999</v>
      </c>
      <c r="H1077">
        <v>1.8781890000000001</v>
      </c>
      <c r="I1077">
        <v>367.02350000000001</v>
      </c>
      <c r="J1077">
        <v>-291.91160000000002</v>
      </c>
      <c r="K1077">
        <v>1.071142</v>
      </c>
      <c r="L1077">
        <v>366.89</v>
      </c>
      <c r="M1077">
        <v>0.99988619999999995</v>
      </c>
      <c r="N1077">
        <v>-1.477725E-2</v>
      </c>
      <c r="O1077">
        <v>-3.0404009999999999E-3</v>
      </c>
      <c r="P1077">
        <v>0.99688259999999995</v>
      </c>
      <c r="Q1077">
        <v>-7.826313E-2</v>
      </c>
      <c r="R1077">
        <v>1.000852E-2</v>
      </c>
      <c r="S1077">
        <v>3.010742</v>
      </c>
      <c r="T1077">
        <v>1.814938E-2</v>
      </c>
      <c r="U1077">
        <v>2.9907229999999998E-3</v>
      </c>
      <c r="V1077">
        <v>-1.3001759999999999E-2</v>
      </c>
      <c r="W1077">
        <v>-6.3531840000000006E-2</v>
      </c>
      <c r="X1077">
        <v>0.99789510000000003</v>
      </c>
      <c r="Y1077">
        <v>-4.0335249999999996E-3</v>
      </c>
      <c r="Z1077" s="1">
        <v>-4.5611719999999997E-5</v>
      </c>
      <c r="AA1077">
        <v>0.99999190000000004</v>
      </c>
      <c r="AB1077">
        <v>36</v>
      </c>
      <c r="AC1077">
        <v>133.7166</v>
      </c>
      <c r="AD1077">
        <v>0.80704699999999896</v>
      </c>
      <c r="AE1077">
        <v>0.13350000000002599</v>
      </c>
      <c r="AF1077">
        <v>-0.54007618485498698</v>
      </c>
      <c r="AG1077">
        <v>0.80704699999999896</v>
      </c>
      <c r="AH1077">
        <v>133.71070516969999</v>
      </c>
      <c r="AI1077">
        <v>89.654182900146395</v>
      </c>
      <c r="AJ1077">
        <v>90.231424385126601</v>
      </c>
      <c r="AK1077">
        <v>133.714231419562</v>
      </c>
      <c r="AL1077">
        <v>93.642559564905298</v>
      </c>
      <c r="AM1077">
        <v>90.7464750800046</v>
      </c>
      <c r="AN1077">
        <v>0.999999985530446</v>
      </c>
    </row>
    <row r="1078" spans="1:40" x14ac:dyDescent="0.25">
      <c r="A1078" t="str">
        <f>"20190303153759557"</f>
        <v>20190303153759557</v>
      </c>
      <c r="B1078" t="str">
        <f>"1551598679550168"</f>
        <v>1551598679550168</v>
      </c>
      <c r="C1078" t="s">
        <v>40</v>
      </c>
      <c r="D1078">
        <v>4.1912909999999997</v>
      </c>
      <c r="E1078">
        <v>0.50328269999999997</v>
      </c>
      <c r="F1078" t="s">
        <v>41</v>
      </c>
      <c r="G1078">
        <v>-158.19499999999999</v>
      </c>
      <c r="H1078">
        <v>1.8634440000000001</v>
      </c>
      <c r="I1078">
        <v>367.1123</v>
      </c>
      <c r="J1078">
        <v>-291.73140000000001</v>
      </c>
      <c r="K1078">
        <v>1.0711389999999901</v>
      </c>
      <c r="L1078">
        <v>366.88959999999997</v>
      </c>
      <c r="M1078">
        <v>0.99988670000000002</v>
      </c>
      <c r="N1078">
        <v>-1.4776890000000001E-2</v>
      </c>
      <c r="O1078">
        <v>-2.9163819999999999E-3</v>
      </c>
      <c r="P1078">
        <v>0.99686050000000004</v>
      </c>
      <c r="Q1078">
        <v>-7.8536819999999993E-2</v>
      </c>
      <c r="R1078">
        <v>1.006726E-2</v>
      </c>
      <c r="S1078">
        <v>3.0107119999999998</v>
      </c>
      <c r="T1078">
        <v>1.7841099999999999E-2</v>
      </c>
      <c r="U1078">
        <v>5.0048829999999999E-3</v>
      </c>
      <c r="V1078">
        <v>-1.293682E-2</v>
      </c>
      <c r="W1078">
        <v>-6.3805970000000004E-2</v>
      </c>
      <c r="X1078">
        <v>0.9978785</v>
      </c>
      <c r="Y1078">
        <v>-4.5785409999999898E-3</v>
      </c>
      <c r="Z1078" s="1">
        <v>-4.0114100000000003E-5</v>
      </c>
      <c r="AA1078">
        <v>0.99998949999999998</v>
      </c>
      <c r="AB1078">
        <v>36</v>
      </c>
      <c r="AC1078">
        <v>133.53639999999999</v>
      </c>
      <c r="AD1078">
        <v>0.79230500000000004</v>
      </c>
      <c r="AE1078">
        <v>0.22270000000003101</v>
      </c>
      <c r="AF1078">
        <v>-0.61216312802119499</v>
      </c>
      <c r="AG1078">
        <v>0.79230500000000004</v>
      </c>
      <c r="AH1078">
        <v>133.530481720175</v>
      </c>
      <c r="AI1078">
        <v>89.660042244655997</v>
      </c>
      <c r="AJ1078">
        <v>90.262667500630002</v>
      </c>
      <c r="AK1078">
        <v>133.534235457916</v>
      </c>
      <c r="AL1078">
        <v>93.658297819258493</v>
      </c>
      <c r="AM1078">
        <v>90.742759427815898</v>
      </c>
      <c r="AN1078">
        <v>1.0000000319408</v>
      </c>
    </row>
    <row r="1079" spans="1:40" x14ac:dyDescent="0.25">
      <c r="A1079" t="str">
        <f>"20190303153759567"</f>
        <v>20190303153759567</v>
      </c>
      <c r="B1079" t="str">
        <f>"1551598679559929"</f>
        <v>1551598679559929</v>
      </c>
      <c r="C1079" t="s">
        <v>40</v>
      </c>
      <c r="D1079">
        <v>4.2039499999999999</v>
      </c>
      <c r="E1079">
        <v>0.50325500000000001</v>
      </c>
      <c r="F1079" t="s">
        <v>41</v>
      </c>
      <c r="G1079">
        <v>-158.19499999999999</v>
      </c>
      <c r="H1079">
        <v>1.782449</v>
      </c>
      <c r="I1079">
        <v>367.12380000000002</v>
      </c>
      <c r="J1079">
        <v>-291.54390000000001</v>
      </c>
      <c r="K1079">
        <v>1.0711310000000001</v>
      </c>
      <c r="L1079">
        <v>366.88920000000002</v>
      </c>
      <c r="M1079">
        <v>0.99988699999999997</v>
      </c>
      <c r="N1079">
        <v>-1.477644E-2</v>
      </c>
      <c r="O1079">
        <v>-2.7885459999999998E-3</v>
      </c>
      <c r="P1079">
        <v>0.9968205</v>
      </c>
      <c r="Q1079">
        <v>-7.9032420000000006E-2</v>
      </c>
      <c r="R1079">
        <v>1.015959E-2</v>
      </c>
      <c r="S1079">
        <v>3.0106809999999999</v>
      </c>
      <c r="T1079">
        <v>1.6039009999999999E-2</v>
      </c>
      <c r="U1079">
        <v>5.2795409999999996E-3</v>
      </c>
      <c r="V1079">
        <v>-1.2902149999999999E-2</v>
      </c>
      <c r="W1079">
        <v>-6.4302380000000006E-2</v>
      </c>
      <c r="X1079">
        <v>0.99784709999999999</v>
      </c>
      <c r="Y1079">
        <v>-4.5419910000000004E-3</v>
      </c>
      <c r="Z1079" s="1">
        <v>-3.46010799999999E-5</v>
      </c>
      <c r="AA1079">
        <v>0.99998969999999998</v>
      </c>
      <c r="AB1079">
        <v>36</v>
      </c>
      <c r="AC1079">
        <v>133.34889999999999</v>
      </c>
      <c r="AD1079">
        <v>0.71131800000000001</v>
      </c>
      <c r="AE1079">
        <v>0.2346</v>
      </c>
      <c r="AF1079">
        <v>-0.60647195017740196</v>
      </c>
      <c r="AG1079">
        <v>0.71131800000000001</v>
      </c>
      <c r="AH1079">
        <v>133.34393295811699</v>
      </c>
      <c r="AI1079">
        <v>89.694363963220397</v>
      </c>
      <c r="AJ1079">
        <v>90.260589610417497</v>
      </c>
      <c r="AK1079">
        <v>133.347209338113</v>
      </c>
      <c r="AL1079">
        <v>93.686798484732293</v>
      </c>
      <c r="AM1079">
        <v>90.740792401302102</v>
      </c>
      <c r="AN1079">
        <v>1.00000004826334</v>
      </c>
    </row>
    <row r="1080" spans="1:40" x14ac:dyDescent="0.25">
      <c r="A1080" t="str">
        <f>"20190303153759579"</f>
        <v>20190303153759579</v>
      </c>
      <c r="B1080" t="str">
        <f>"1551598679569689"</f>
        <v>1551598679569689</v>
      </c>
      <c r="C1080" t="s">
        <v>40</v>
      </c>
      <c r="D1080">
        <v>4.2121890000000004</v>
      </c>
      <c r="E1080">
        <v>0.50316989999999995</v>
      </c>
      <c r="F1080" t="s">
        <v>41</v>
      </c>
      <c r="G1080">
        <v>-158.19499999999999</v>
      </c>
      <c r="H1080">
        <v>1.6683110000000001</v>
      </c>
      <c r="I1080">
        <v>367.13650000000001</v>
      </c>
      <c r="J1080">
        <v>-291.36309999999997</v>
      </c>
      <c r="K1080">
        <v>1.0711250000000001</v>
      </c>
      <c r="L1080">
        <v>366.88869999999997</v>
      </c>
      <c r="M1080">
        <v>0.99988719999999998</v>
      </c>
      <c r="N1080">
        <v>-1.477586E-2</v>
      </c>
      <c r="O1080">
        <v>-2.6672480000000001E-3</v>
      </c>
      <c r="P1080">
        <v>0.99677450000000001</v>
      </c>
      <c r="Q1080">
        <v>-7.9669340000000005E-2</v>
      </c>
      <c r="R1080">
        <v>9.6631319999999996E-3</v>
      </c>
      <c r="S1080">
        <v>3.0105900000000001</v>
      </c>
      <c r="T1080">
        <v>1.3484360000000001E-2</v>
      </c>
      <c r="U1080">
        <v>5.5847170000000003E-3</v>
      </c>
      <c r="V1080">
        <v>-1.228451E-2</v>
      </c>
      <c r="W1080">
        <v>-6.4940010000000006E-2</v>
      </c>
      <c r="X1080">
        <v>0.99781359999999997</v>
      </c>
      <c r="Y1080">
        <v>-4.5221599999999999E-3</v>
      </c>
      <c r="Z1080" s="1">
        <v>-2.8075040000000001E-5</v>
      </c>
      <c r="AA1080">
        <v>0.99998969999999998</v>
      </c>
      <c r="AB1080">
        <v>36</v>
      </c>
      <c r="AC1080">
        <v>133.16809999999899</v>
      </c>
      <c r="AD1080">
        <v>0.59718599999999999</v>
      </c>
      <c r="AE1080">
        <v>0.24780000000003999</v>
      </c>
      <c r="AF1080">
        <v>-0.60301814624125805</v>
      </c>
      <c r="AG1080">
        <v>0.59718599999999999</v>
      </c>
      <c r="AH1080">
        <v>133.16428722012199</v>
      </c>
      <c r="AI1080">
        <v>89.743056806658103</v>
      </c>
      <c r="AJ1080">
        <v>90.259455138519399</v>
      </c>
      <c r="AK1080">
        <v>133.16699160395001</v>
      </c>
      <c r="AL1080">
        <v>93.723408515243605</v>
      </c>
      <c r="AM1080">
        <v>90.705357211456004</v>
      </c>
      <c r="AN1080">
        <v>1.00000004721484</v>
      </c>
    </row>
    <row r="1081" spans="1:40" x14ac:dyDescent="0.25">
      <c r="A1081" t="str">
        <f>"20190303153759593"</f>
        <v>20190303153759593</v>
      </c>
      <c r="B1081" t="str">
        <f>"1551598679579451"</f>
        <v>1551598679579451</v>
      </c>
      <c r="C1081" t="s">
        <v>40</v>
      </c>
      <c r="D1081">
        <v>4.197203</v>
      </c>
      <c r="E1081">
        <v>0.50314440000000005</v>
      </c>
      <c r="F1081" t="s">
        <v>41</v>
      </c>
      <c r="G1081">
        <v>-158.19499999999999</v>
      </c>
      <c r="H1081">
        <v>1.5389999999999999</v>
      </c>
      <c r="I1081">
        <v>367.0926</v>
      </c>
      <c r="J1081">
        <v>-291.1413</v>
      </c>
      <c r="K1081">
        <v>1.0711200000000001</v>
      </c>
      <c r="L1081">
        <v>366.88830000000002</v>
      </c>
      <c r="M1081">
        <v>0.99988759999999999</v>
      </c>
      <c r="N1081">
        <v>-1.477506E-2</v>
      </c>
      <c r="O1081">
        <v>-2.5197280000000002E-3</v>
      </c>
      <c r="P1081">
        <v>0.99673719999999999</v>
      </c>
      <c r="Q1081">
        <v>-8.0213519999999996E-2</v>
      </c>
      <c r="R1081">
        <v>8.9810700000000007E-3</v>
      </c>
      <c r="S1081">
        <v>3.0104980000000001</v>
      </c>
      <c r="T1081">
        <v>1.0579109999999999E-2</v>
      </c>
      <c r="U1081">
        <v>4.6081539999999997E-3</v>
      </c>
      <c r="V1081">
        <v>-1.1455740000000001E-2</v>
      </c>
      <c r="W1081">
        <v>-6.5484840000000002E-2</v>
      </c>
      <c r="X1081">
        <v>0.9977878</v>
      </c>
      <c r="Y1081">
        <v>-4.0503470000000001E-3</v>
      </c>
      <c r="Z1081" s="1">
        <v>-2.3278189999999999E-5</v>
      </c>
      <c r="AA1081">
        <v>0.99999179999999999</v>
      </c>
      <c r="AB1081">
        <v>36</v>
      </c>
      <c r="AC1081">
        <v>132.94630000000001</v>
      </c>
      <c r="AD1081">
        <v>0.46788000000000002</v>
      </c>
      <c r="AE1081">
        <v>0.20429999999998899</v>
      </c>
      <c r="AF1081">
        <v>-0.53931777932315905</v>
      </c>
      <c r="AG1081">
        <v>0.46788000000000002</v>
      </c>
      <c r="AH1081">
        <v>132.94371644894599</v>
      </c>
      <c r="AI1081">
        <v>89.798356637129103</v>
      </c>
      <c r="AJ1081">
        <v>90.232432670658099</v>
      </c>
      <c r="AK1081">
        <v>132.94563369520401</v>
      </c>
      <c r="AL1081">
        <v>93.754691755092693</v>
      </c>
      <c r="AM1081">
        <v>90.657791882736802</v>
      </c>
      <c r="AN1081">
        <v>0.99999999603880596</v>
      </c>
    </row>
    <row r="1082" spans="1:40" x14ac:dyDescent="0.25">
      <c r="A1082" t="str">
        <f>"20190303153759606"</f>
        <v>20190303153759606</v>
      </c>
      <c r="B1082" t="str">
        <f>"1551598679599944"</f>
        <v>1551598679599944</v>
      </c>
      <c r="C1082" t="s">
        <v>40</v>
      </c>
      <c r="D1082">
        <v>4.1968459999999999</v>
      </c>
      <c r="E1082">
        <v>0.50303940000000003</v>
      </c>
      <c r="F1082" t="s">
        <v>41</v>
      </c>
      <c r="G1082">
        <v>-158.19499999999999</v>
      </c>
      <c r="H1082">
        <v>1.443211</v>
      </c>
      <c r="I1082">
        <v>367.01639999999998</v>
      </c>
      <c r="J1082">
        <v>-290.92340000000002</v>
      </c>
      <c r="K1082">
        <v>1.0711170000000001</v>
      </c>
      <c r="L1082">
        <v>366.8879</v>
      </c>
      <c r="M1082">
        <v>0.99988809999999995</v>
      </c>
      <c r="N1082">
        <v>-1.477412E-2</v>
      </c>
      <c r="O1082">
        <v>-2.3768370000000001E-3</v>
      </c>
      <c r="P1082">
        <v>0.99666659999999996</v>
      </c>
      <c r="Q1082">
        <v>-8.1172049999999996E-2</v>
      </c>
      <c r="R1082">
        <v>8.1897989999999993E-3</v>
      </c>
      <c r="S1082">
        <v>3.010437</v>
      </c>
      <c r="T1082">
        <v>8.4276200000000002E-3</v>
      </c>
      <c r="U1082">
        <v>2.89917E-3</v>
      </c>
      <c r="V1082">
        <v>-1.0521580000000001E-2</v>
      </c>
      <c r="W1082">
        <v>-6.6444589999999998E-2</v>
      </c>
      <c r="X1082">
        <v>0.99773469999999997</v>
      </c>
      <c r="Y1082">
        <v>-3.3398210000000002E-3</v>
      </c>
      <c r="Z1082" s="1">
        <v>-2.177329E-5</v>
      </c>
      <c r="AA1082">
        <v>0.99999439999999995</v>
      </c>
      <c r="AB1082">
        <v>36</v>
      </c>
      <c r="AC1082">
        <v>132.72839999999999</v>
      </c>
      <c r="AD1082">
        <v>0.37209399999999898</v>
      </c>
      <c r="AE1082">
        <v>0.128499999999974</v>
      </c>
      <c r="AF1082">
        <v>-0.44400433356911301</v>
      </c>
      <c r="AG1082">
        <v>0.37209399999999898</v>
      </c>
      <c r="AH1082">
        <v>132.72667642315301</v>
      </c>
      <c r="AI1082">
        <v>89.839374862563105</v>
      </c>
      <c r="AJ1082">
        <v>90.191668172439194</v>
      </c>
      <c r="AK1082">
        <v>132.72794064600501</v>
      </c>
      <c r="AL1082">
        <v>93.809801171399997</v>
      </c>
      <c r="AM1082">
        <v>90.604188450660899</v>
      </c>
      <c r="AN1082">
        <v>1.00000005938502</v>
      </c>
    </row>
    <row r="1083" spans="1:40" x14ac:dyDescent="0.25">
      <c r="A1083" t="str">
        <f>"20190303153759619"</f>
        <v>20190303153759619</v>
      </c>
      <c r="B1083" t="str">
        <f>"1551598679609705"</f>
        <v>1551598679609705</v>
      </c>
      <c r="C1083" t="s">
        <v>40</v>
      </c>
      <c r="D1083">
        <v>4.2326290000000002</v>
      </c>
      <c r="E1083">
        <v>0.50297349999999996</v>
      </c>
      <c r="F1083" t="s">
        <v>41</v>
      </c>
      <c r="G1083">
        <v>-158.19499999999999</v>
      </c>
      <c r="H1083">
        <v>1.2624569999999999</v>
      </c>
      <c r="I1083">
        <v>366.94979999999998</v>
      </c>
      <c r="J1083">
        <v>-290.71640000000002</v>
      </c>
      <c r="K1083">
        <v>1.0711090000000001</v>
      </c>
      <c r="L1083">
        <v>366.88749999999999</v>
      </c>
      <c r="M1083">
        <v>0.99988840000000001</v>
      </c>
      <c r="N1083">
        <v>-1.4773110000000001E-2</v>
      </c>
      <c r="O1083">
        <v>-2.241449E-3</v>
      </c>
      <c r="P1083">
        <v>0.99663690000000005</v>
      </c>
      <c r="Q1083">
        <v>-8.1608490000000006E-2</v>
      </c>
      <c r="R1083">
        <v>7.4156140000000001E-3</v>
      </c>
      <c r="S1083">
        <v>3.0103759999999999</v>
      </c>
      <c r="T1083">
        <v>4.3417220000000001E-3</v>
      </c>
      <c r="U1083">
        <v>1.403809E-3</v>
      </c>
      <c r="V1083">
        <v>-9.6126000000000007E-3</v>
      </c>
      <c r="W1083">
        <v>-6.6881839999999998E-2</v>
      </c>
      <c r="X1083">
        <v>0.99771460000000001</v>
      </c>
      <c r="Y1083">
        <v>-2.7077469999999999E-3</v>
      </c>
      <c r="Z1083" s="1">
        <v>-1.829824E-5</v>
      </c>
      <c r="AA1083">
        <v>0.99999629999999995</v>
      </c>
      <c r="AB1083">
        <v>36</v>
      </c>
      <c r="AC1083">
        <v>132.5214</v>
      </c>
      <c r="AD1083">
        <v>0.19134799999999899</v>
      </c>
      <c r="AE1083">
        <v>6.2299999999993298E-2</v>
      </c>
      <c r="AF1083">
        <v>-0.35937146067061398</v>
      </c>
      <c r="AG1083">
        <v>0.19134799999999899</v>
      </c>
      <c r="AH1083">
        <v>132.52065108321</v>
      </c>
      <c r="AI1083">
        <v>89.9172703665608</v>
      </c>
      <c r="AJ1083">
        <v>90.155375161019094</v>
      </c>
      <c r="AK1083">
        <v>132.52127650087701</v>
      </c>
      <c r="AL1083">
        <v>93.834909819778304</v>
      </c>
      <c r="AM1083">
        <v>90.552005923796798</v>
      </c>
      <c r="AN1083">
        <v>1.0000000028268501</v>
      </c>
    </row>
    <row r="1084" spans="1:40" x14ac:dyDescent="0.25">
      <c r="A1084" t="str">
        <f>"20190303153759632"</f>
        <v>20190303153759632</v>
      </c>
      <c r="B1084" t="str">
        <f>"1551598679619465"</f>
        <v>1551598679619465</v>
      </c>
      <c r="C1084" t="s">
        <v>40</v>
      </c>
      <c r="D1084">
        <v>4.2295850000000002</v>
      </c>
      <c r="E1084">
        <v>0.50292939999999997</v>
      </c>
      <c r="F1084" t="s">
        <v>41</v>
      </c>
      <c r="G1084">
        <v>-158.19499999999999</v>
      </c>
      <c r="H1084">
        <v>1.204664</v>
      </c>
      <c r="I1084">
        <v>366.88619999999997</v>
      </c>
      <c r="J1084">
        <v>-290.50049999999999</v>
      </c>
      <c r="K1084">
        <v>1.0711059999999999</v>
      </c>
      <c r="L1084">
        <v>366.88720000000001</v>
      </c>
      <c r="M1084">
        <v>0.99988869999999996</v>
      </c>
      <c r="N1084">
        <v>-1.4771970000000001E-2</v>
      </c>
      <c r="O1084">
        <v>-2.1005759999999998E-3</v>
      </c>
      <c r="P1084">
        <v>0.9966351</v>
      </c>
      <c r="Q1084">
        <v>-8.1682580000000005E-2</v>
      </c>
      <c r="R1084">
        <v>6.8317530000000003E-3</v>
      </c>
      <c r="S1084">
        <v>3.0103149999999999</v>
      </c>
      <c r="T1084">
        <v>3.0357840000000001E-3</v>
      </c>
      <c r="U1084" s="1">
        <v>-3.0517579999999999E-5</v>
      </c>
      <c r="V1084">
        <v>-8.8879890000000007E-3</v>
      </c>
      <c r="W1084">
        <v>-6.6956580000000002E-2</v>
      </c>
      <c r="X1084">
        <v>0.9977163</v>
      </c>
      <c r="Y1084">
        <v>-2.0904209999999999E-3</v>
      </c>
      <c r="Z1084" s="1">
        <v>-1.8763039999999999E-5</v>
      </c>
      <c r="AA1084">
        <v>0.99999780000000005</v>
      </c>
      <c r="AB1084">
        <v>36</v>
      </c>
      <c r="AC1084">
        <v>132.30549999999999</v>
      </c>
      <c r="AD1084">
        <v>0.13355800000000001</v>
      </c>
      <c r="AE1084">
        <v>-1.0000000000331901E-3</v>
      </c>
      <c r="AF1084">
        <v>-0.27694780030045002</v>
      </c>
      <c r="AG1084">
        <v>0.13355800000000001</v>
      </c>
      <c r="AH1084">
        <v>132.305075321174</v>
      </c>
      <c r="AI1084">
        <v>89.942161777714603</v>
      </c>
      <c r="AJ1084">
        <v>90.119934302505001</v>
      </c>
      <c r="AK1084">
        <v>132.305432592789</v>
      </c>
      <c r="AL1084">
        <v>93.839201747100205</v>
      </c>
      <c r="AM1084">
        <v>90.510396379977095</v>
      </c>
      <c r="AN1084">
        <v>0.99999999761972502</v>
      </c>
    </row>
    <row r="1085" spans="1:40" x14ac:dyDescent="0.25">
      <c r="A1085" t="str">
        <f>"20190303153759645"</f>
        <v>20190303153759645</v>
      </c>
      <c r="B1085" t="str">
        <f>"1551598679639962"</f>
        <v>1551598679639962</v>
      </c>
      <c r="C1085" t="s">
        <v>40</v>
      </c>
      <c r="D1085">
        <v>4.2263380000000002</v>
      </c>
      <c r="E1085">
        <v>0.50272299999999903</v>
      </c>
      <c r="F1085" t="s">
        <v>41</v>
      </c>
      <c r="G1085">
        <v>-158.19499999999999</v>
      </c>
      <c r="H1085">
        <v>1.2059740000000001</v>
      </c>
      <c r="I1085">
        <v>366.81610000000001</v>
      </c>
      <c r="J1085">
        <v>-290.27879999999999</v>
      </c>
      <c r="K1085">
        <v>1.0711090000000001</v>
      </c>
      <c r="L1085">
        <v>366.88679999999999</v>
      </c>
      <c r="M1085">
        <v>0.99988909999999998</v>
      </c>
      <c r="N1085">
        <v>-1.477068E-2</v>
      </c>
      <c r="O1085">
        <v>-1.9560060000000002E-3</v>
      </c>
      <c r="P1085">
        <v>0.99666960000000004</v>
      </c>
      <c r="Q1085">
        <v>-8.1327510000000006E-2</v>
      </c>
      <c r="R1085">
        <v>5.9884179999999997E-3</v>
      </c>
      <c r="S1085">
        <v>3.0104060000000001</v>
      </c>
      <c r="T1085">
        <v>3.0707120000000002E-3</v>
      </c>
      <c r="U1085">
        <v>-1.617432E-3</v>
      </c>
      <c r="V1085">
        <v>-7.9014719999999997E-3</v>
      </c>
      <c r="W1085">
        <v>-6.6601720000000003E-2</v>
      </c>
      <c r="X1085">
        <v>0.99774839999999998</v>
      </c>
      <c r="Y1085">
        <v>-1.418706E-3</v>
      </c>
      <c r="Z1085" s="1">
        <v>-2.11336E-5</v>
      </c>
      <c r="AA1085">
        <v>0.99999899999999997</v>
      </c>
      <c r="AB1085">
        <v>36</v>
      </c>
      <c r="AC1085">
        <v>132.0838</v>
      </c>
      <c r="AD1085">
        <v>0.13486499999999901</v>
      </c>
      <c r="AE1085">
        <v>-7.0699999999987995E-2</v>
      </c>
      <c r="AF1085">
        <v>-0.18768480545048499</v>
      </c>
      <c r="AG1085">
        <v>0.13486499999999901</v>
      </c>
      <c r="AH1085">
        <v>132.083547871278</v>
      </c>
      <c r="AI1085">
        <v>89.941497749400298</v>
      </c>
      <c r="AJ1085">
        <v>90.081414681592193</v>
      </c>
      <c r="AK1085">
        <v>132.083750069486</v>
      </c>
      <c r="AL1085">
        <v>93.818824094495994</v>
      </c>
      <c r="AM1085">
        <v>90.453733159291303</v>
      </c>
      <c r="AN1085">
        <v>1.0000000460346401</v>
      </c>
    </row>
    <row r="1086" spans="1:40" x14ac:dyDescent="0.25">
      <c r="A1086" t="str">
        <f>"20190303153759657"</f>
        <v>20190303153759657</v>
      </c>
      <c r="B1086" t="str">
        <f>"1551598679649721"</f>
        <v>1551598679649721</v>
      </c>
      <c r="C1086" t="s">
        <v>40</v>
      </c>
      <c r="D1086">
        <v>4.237673</v>
      </c>
      <c r="E1086">
        <v>0.50261239999999996</v>
      </c>
      <c r="F1086" t="s">
        <v>41</v>
      </c>
      <c r="G1086">
        <v>-158.19499999999999</v>
      </c>
      <c r="H1086">
        <v>1.227398</v>
      </c>
      <c r="I1086">
        <v>366.7878</v>
      </c>
      <c r="J1086">
        <v>-290.10109999999997</v>
      </c>
      <c r="K1086">
        <v>1.0711090000000001</v>
      </c>
      <c r="L1086">
        <v>366.88659999999999</v>
      </c>
      <c r="M1086">
        <v>0.99988929999999998</v>
      </c>
      <c r="N1086">
        <v>-1.4769569999999999E-2</v>
      </c>
      <c r="O1086">
        <v>-1.840153E-3</v>
      </c>
      <c r="P1086">
        <v>0.99668959999999995</v>
      </c>
      <c r="Q1086">
        <v>-8.1089910000000001E-2</v>
      </c>
      <c r="R1086">
        <v>5.8713699999999999E-3</v>
      </c>
      <c r="S1086">
        <v>3.0102540000000002</v>
      </c>
      <c r="T1086">
        <v>3.5638810000000001E-3</v>
      </c>
      <c r="U1086">
        <v>-2.2583009999999999E-3</v>
      </c>
      <c r="V1086">
        <v>-7.6694199999999997E-3</v>
      </c>
      <c r="W1086">
        <v>-6.6364790000000007E-2</v>
      </c>
      <c r="X1086">
        <v>0.99776600000000004</v>
      </c>
      <c r="Y1086">
        <v>-1.0899270000000001E-3</v>
      </c>
      <c r="Z1086" s="1">
        <v>-2.1954129999999999E-5</v>
      </c>
      <c r="AA1086">
        <v>0.99999939999999998</v>
      </c>
      <c r="AB1086">
        <v>36</v>
      </c>
      <c r="AC1086">
        <v>131.90609999999899</v>
      </c>
      <c r="AD1086">
        <v>0.15628899999999901</v>
      </c>
      <c r="AE1086">
        <v>-9.8799999999982901E-2</v>
      </c>
      <c r="AF1086">
        <v>-0.143953832659836</v>
      </c>
      <c r="AG1086">
        <v>0.15628899999999901</v>
      </c>
      <c r="AH1086">
        <v>131.905873271601</v>
      </c>
      <c r="AI1086">
        <v>89.932113026211695</v>
      </c>
      <c r="AJ1086">
        <v>90.062529010855101</v>
      </c>
      <c r="AK1086">
        <v>131.90604441230599</v>
      </c>
      <c r="AL1086">
        <v>93.805218897425604</v>
      </c>
      <c r="AM1086">
        <v>90.440400598264603</v>
      </c>
      <c r="AN1086">
        <v>1.0000000480554301</v>
      </c>
    </row>
    <row r="1087" spans="1:40" x14ac:dyDescent="0.25">
      <c r="A1087" t="str">
        <f>"20190303153759668"</f>
        <v>20190303153759668</v>
      </c>
      <c r="B1087" t="str">
        <f>"1551598679659481"</f>
        <v>1551598679659481</v>
      </c>
      <c r="C1087" t="s">
        <v>40</v>
      </c>
      <c r="D1087">
        <v>4.2346059999999897</v>
      </c>
      <c r="E1087">
        <v>0.50251599999999996</v>
      </c>
      <c r="F1087" t="s">
        <v>41</v>
      </c>
      <c r="G1087">
        <v>-158.19499999999999</v>
      </c>
      <c r="H1087">
        <v>1.2378209999999901</v>
      </c>
      <c r="I1087">
        <v>366.8064</v>
      </c>
      <c r="J1087">
        <v>-289.92329999999998</v>
      </c>
      <c r="K1087">
        <v>1.0711090000000001</v>
      </c>
      <c r="L1087">
        <v>366.88639999999998</v>
      </c>
      <c r="M1087">
        <v>0.99988960000000005</v>
      </c>
      <c r="N1087">
        <v>-1.4768440000000001E-2</v>
      </c>
      <c r="O1087">
        <v>-1.724417E-3</v>
      </c>
      <c r="P1087">
        <v>0.99668730000000005</v>
      </c>
      <c r="Q1087">
        <v>-8.1092750000000005E-2</v>
      </c>
      <c r="R1087">
        <v>6.235249E-3</v>
      </c>
      <c r="S1087">
        <v>3.010284</v>
      </c>
      <c r="T1087">
        <v>3.8065909999999998E-3</v>
      </c>
      <c r="U1087">
        <v>-1.8310550000000001E-3</v>
      </c>
      <c r="V1087">
        <v>-7.9182450000000008E-3</v>
      </c>
      <c r="W1087">
        <v>-6.6368899999999995E-2</v>
      </c>
      <c r="X1087">
        <v>0.99776379999999998</v>
      </c>
      <c r="Y1087">
        <v>-1.116127E-3</v>
      </c>
      <c r="Z1087" s="1">
        <v>-2.0112329999999999E-5</v>
      </c>
      <c r="AA1087">
        <v>0.99999939999999998</v>
      </c>
      <c r="AB1087">
        <v>36</v>
      </c>
      <c r="AC1087">
        <v>131.72829999999999</v>
      </c>
      <c r="AD1087">
        <v>0.166711999999999</v>
      </c>
      <c r="AE1087">
        <v>-7.9999999999984001E-2</v>
      </c>
      <c r="AF1087">
        <v>-0.14717914591982001</v>
      </c>
      <c r="AG1087">
        <v>0.166711999999999</v>
      </c>
      <c r="AH1087">
        <v>131.728031085037</v>
      </c>
      <c r="AI1087">
        <v>89.927487848609204</v>
      </c>
      <c r="AJ1087">
        <v>90.064016294140899</v>
      </c>
      <c r="AK1087">
        <v>131.728218799665</v>
      </c>
      <c r="AL1087">
        <v>93.805454838660495</v>
      </c>
      <c r="AM1087">
        <v>90.454689271868304</v>
      </c>
      <c r="AN1087">
        <v>1.0000000650407599</v>
      </c>
    </row>
    <row r="1088" spans="1:40" x14ac:dyDescent="0.25">
      <c r="A1088" t="str">
        <f>"20190303153759680"</f>
        <v>20190303153759680</v>
      </c>
      <c r="B1088" t="str">
        <f>"1551598679670217"</f>
        <v>1551598679670217</v>
      </c>
      <c r="C1088" t="s">
        <v>40</v>
      </c>
      <c r="D1088">
        <v>4.22776</v>
      </c>
      <c r="E1088">
        <v>0.50243930000000003</v>
      </c>
      <c r="F1088" t="s">
        <v>41</v>
      </c>
      <c r="G1088">
        <v>-158.19499999999999</v>
      </c>
      <c r="H1088">
        <v>1.238785</v>
      </c>
      <c r="I1088">
        <v>366.89710000000002</v>
      </c>
      <c r="J1088">
        <v>-289.73110000000003</v>
      </c>
      <c r="K1088">
        <v>1.0711079999999999</v>
      </c>
      <c r="L1088">
        <v>366.88619999999997</v>
      </c>
      <c r="M1088">
        <v>0.99988980000000005</v>
      </c>
      <c r="N1088">
        <v>-1.476709E-2</v>
      </c>
      <c r="O1088">
        <v>-1.598194E-3</v>
      </c>
      <c r="P1088">
        <v>0.99668069999999997</v>
      </c>
      <c r="Q1088">
        <v>-8.1148399999999996E-2</v>
      </c>
      <c r="R1088">
        <v>6.5507589999999997E-3</v>
      </c>
      <c r="S1088">
        <v>3.010284</v>
      </c>
      <c r="T1088">
        <v>3.8337710000000001E-3</v>
      </c>
      <c r="U1088">
        <v>2.4414059999999999E-4</v>
      </c>
      <c r="V1088">
        <v>-8.1080470000000002E-3</v>
      </c>
      <c r="W1088">
        <v>-6.642605E-2</v>
      </c>
      <c r="X1088">
        <v>0.99775840000000005</v>
      </c>
      <c r="Y1088">
        <v>-1.6792790000000001E-3</v>
      </c>
      <c r="Z1088" s="1">
        <v>-1.430692E-5</v>
      </c>
      <c r="AA1088">
        <v>0.99999859999999896</v>
      </c>
      <c r="AB1088">
        <v>36</v>
      </c>
      <c r="AC1088">
        <v>131.5361</v>
      </c>
      <c r="AD1088">
        <v>0.16767699999999999</v>
      </c>
      <c r="AE1088">
        <v>1.09000000000492E-2</v>
      </c>
      <c r="AF1088">
        <v>-0.22114273277675001</v>
      </c>
      <c r="AG1088">
        <v>0.16767699999999999</v>
      </c>
      <c r="AH1088">
        <v>131.53570080740801</v>
      </c>
      <c r="AI1088">
        <v>89.926961535302596</v>
      </c>
      <c r="AJ1088">
        <v>90.096327713634494</v>
      </c>
      <c r="AK1088">
        <v>131.53599357811001</v>
      </c>
      <c r="AL1088">
        <v>93.808736810213503</v>
      </c>
      <c r="AM1088">
        <v>90.465590315000199</v>
      </c>
      <c r="AN1088">
        <v>0.99999999265765804</v>
      </c>
    </row>
    <row r="1089" spans="1:40" x14ac:dyDescent="0.25">
      <c r="A1089" t="str">
        <f>"20190303153759692"</f>
        <v>20190303153759692</v>
      </c>
      <c r="B1089" t="str">
        <f>"1551598679679977"</f>
        <v>1551598679679977</v>
      </c>
      <c r="C1089" t="s">
        <v>40</v>
      </c>
      <c r="D1089">
        <v>4.1921030000000004</v>
      </c>
      <c r="E1089">
        <v>0.50234239999999997</v>
      </c>
      <c r="F1089" t="s">
        <v>41</v>
      </c>
      <c r="G1089">
        <v>-158.19499999999999</v>
      </c>
      <c r="H1089">
        <v>1.247528</v>
      </c>
      <c r="I1089">
        <v>366.96359999999999</v>
      </c>
      <c r="J1089">
        <v>-289.53089999999997</v>
      </c>
      <c r="K1089">
        <v>1.071105</v>
      </c>
      <c r="L1089">
        <v>366.88600000000002</v>
      </c>
      <c r="M1089">
        <v>0.99988999999999995</v>
      </c>
      <c r="N1089">
        <v>-1.476566E-2</v>
      </c>
      <c r="O1089">
        <v>-1.466607E-3</v>
      </c>
      <c r="P1089">
        <v>0.99667329999999998</v>
      </c>
      <c r="Q1089">
        <v>-8.1188049999999998E-2</v>
      </c>
      <c r="R1089">
        <v>7.1574730000000001E-3</v>
      </c>
      <c r="S1089">
        <v>3.0103149999999999</v>
      </c>
      <c r="T1089">
        <v>4.0395259999999999E-3</v>
      </c>
      <c r="U1089">
        <v>1.77002E-3</v>
      </c>
      <c r="V1089">
        <v>-8.583317E-3</v>
      </c>
      <c r="W1089">
        <v>-6.6467479999999995E-2</v>
      </c>
      <c r="X1089">
        <v>0.99775170000000002</v>
      </c>
      <c r="Y1089">
        <v>-2.054579E-3</v>
      </c>
      <c r="Z1089" s="1">
        <v>-9.8336660000000007E-6</v>
      </c>
      <c r="AA1089">
        <v>0.9999979</v>
      </c>
      <c r="AB1089">
        <v>36</v>
      </c>
      <c r="AC1089">
        <v>131.33589999999899</v>
      </c>
      <c r="AD1089">
        <v>0.176423</v>
      </c>
      <c r="AE1089">
        <v>7.7600000000018099E-2</v>
      </c>
      <c r="AF1089">
        <v>-0.27023856229124799</v>
      </c>
      <c r="AG1089">
        <v>0.176423</v>
      </c>
      <c r="AH1089">
        <v>131.33540791312899</v>
      </c>
      <c r="AI1089">
        <v>89.923034724668</v>
      </c>
      <c r="AJ1089">
        <v>90.117892862828299</v>
      </c>
      <c r="AK1089">
        <v>131.33580443147801</v>
      </c>
      <c r="AL1089">
        <v>93.811115700851403</v>
      </c>
      <c r="AM1089">
        <v>90.492883857933194</v>
      </c>
      <c r="AN1089">
        <v>1.00000002704058</v>
      </c>
    </row>
    <row r="1090" spans="1:40" x14ac:dyDescent="0.25">
      <c r="A1090" t="str">
        <f>"20190303153759703"</f>
        <v>20190303153759703</v>
      </c>
      <c r="B1090" t="str">
        <f>"1551598679699497"</f>
        <v>1551598679699497</v>
      </c>
      <c r="C1090" t="s">
        <v>40</v>
      </c>
      <c r="D1090">
        <v>4.228021</v>
      </c>
      <c r="E1090">
        <v>0.50237799999999999</v>
      </c>
      <c r="F1090" t="s">
        <v>41</v>
      </c>
      <c r="G1090">
        <v>-158.19499999999999</v>
      </c>
      <c r="H1090">
        <v>1.2263759999999999</v>
      </c>
      <c r="I1090">
        <v>367.09109999999998</v>
      </c>
      <c r="J1090">
        <v>-289.34989999999999</v>
      </c>
      <c r="K1090">
        <v>1.071102</v>
      </c>
      <c r="L1090">
        <v>366.88580000000002</v>
      </c>
      <c r="M1090">
        <v>0.9998901</v>
      </c>
      <c r="N1090">
        <v>-1.4764299999999999E-2</v>
      </c>
      <c r="O1090">
        <v>-1.3478889999999999E-3</v>
      </c>
      <c r="P1090">
        <v>0.99664750000000002</v>
      </c>
      <c r="Q1090">
        <v>-8.1450519999999998E-2</v>
      </c>
      <c r="R1090">
        <v>7.724725E-3</v>
      </c>
      <c r="S1090">
        <v>3.010284</v>
      </c>
      <c r="T1090">
        <v>3.560901E-3</v>
      </c>
      <c r="U1090">
        <v>4.699707E-3</v>
      </c>
      <c r="V1090">
        <v>-9.0322760000000005E-3</v>
      </c>
      <c r="W1090">
        <v>-6.6731869999999999E-2</v>
      </c>
      <c r="X1090">
        <v>0.99773009999999995</v>
      </c>
      <c r="Y1090">
        <v>-2.9091E-3</v>
      </c>
      <c r="Z1090" s="1">
        <v>-1.740143E-6</v>
      </c>
      <c r="AA1090">
        <v>0.99999579999999999</v>
      </c>
      <c r="AB1090">
        <v>36</v>
      </c>
      <c r="AC1090">
        <v>131.1549</v>
      </c>
      <c r="AD1090">
        <v>0.155274</v>
      </c>
      <c r="AE1090">
        <v>0.20529999999996501</v>
      </c>
      <c r="AF1090">
        <v>-0.38210079477599002</v>
      </c>
      <c r="AG1090">
        <v>0.155274</v>
      </c>
      <c r="AH1090">
        <v>131.154320253485</v>
      </c>
      <c r="AI1090">
        <v>89.932167671343095</v>
      </c>
      <c r="AJ1090">
        <v>90.166923216158096</v>
      </c>
      <c r="AK1090">
        <v>131.15496876667001</v>
      </c>
      <c r="AL1090">
        <v>93.826297795586996</v>
      </c>
      <c r="AM1090">
        <v>90.518674496821205</v>
      </c>
      <c r="AN1090">
        <v>1.0000000384647201</v>
      </c>
    </row>
    <row r="1091" spans="1:40" x14ac:dyDescent="0.25">
      <c r="A1091" t="str">
        <f>"20190303153759714"</f>
        <v>20190303153759714</v>
      </c>
      <c r="B1091" t="str">
        <f>"1551598679710233"</f>
        <v>1551598679710233</v>
      </c>
      <c r="C1091" t="s">
        <v>40</v>
      </c>
      <c r="D1091">
        <v>4.2208709999999998</v>
      </c>
      <c r="E1091">
        <v>0.502363</v>
      </c>
      <c r="F1091" t="s">
        <v>41</v>
      </c>
      <c r="G1091">
        <v>-158.19499999999999</v>
      </c>
      <c r="H1091">
        <v>1.1791039999999999</v>
      </c>
      <c r="I1091">
        <v>367.13979999999998</v>
      </c>
      <c r="J1091">
        <v>-289.1909</v>
      </c>
      <c r="K1091">
        <v>1.0711029999999999</v>
      </c>
      <c r="L1091">
        <v>366.88569999999999</v>
      </c>
      <c r="M1091">
        <v>0.99989030000000001</v>
      </c>
      <c r="N1091">
        <v>-1.476307E-2</v>
      </c>
      <c r="O1091">
        <v>-1.243234E-3</v>
      </c>
      <c r="P1091">
        <v>0.9966197</v>
      </c>
      <c r="Q1091">
        <v>-8.1704159999999998E-2</v>
      </c>
      <c r="R1091">
        <v>8.5899710000000001E-3</v>
      </c>
      <c r="S1091">
        <v>3.010284</v>
      </c>
      <c r="T1091">
        <v>2.4808650000000001E-3</v>
      </c>
      <c r="U1091">
        <v>5.8288569999999998E-3</v>
      </c>
      <c r="V1091">
        <v>-9.7937890000000007E-3</v>
      </c>
      <c r="W1091">
        <v>-6.6987519999999995E-2</v>
      </c>
      <c r="X1091">
        <v>0.99770579999999998</v>
      </c>
      <c r="Y1091">
        <v>-3.1795439999999999E-3</v>
      </c>
      <c r="Z1091" s="1">
        <v>2.7815110000000001E-6</v>
      </c>
      <c r="AA1091">
        <v>0.99999490000000002</v>
      </c>
      <c r="AB1091">
        <v>36</v>
      </c>
      <c r="AC1091">
        <v>130.99590000000001</v>
      </c>
      <c r="AD1091">
        <v>0.108001</v>
      </c>
      <c r="AE1091">
        <v>0.254099999999994</v>
      </c>
      <c r="AF1091">
        <v>-0.41697581853587401</v>
      </c>
      <c r="AG1091">
        <v>0.108001</v>
      </c>
      <c r="AH1091">
        <v>130.99539376015599</v>
      </c>
      <c r="AI1091">
        <v>89.952761936475099</v>
      </c>
      <c r="AJ1091">
        <v>90.182379495838902</v>
      </c>
      <c r="AK1091">
        <v>130.99610192455199</v>
      </c>
      <c r="AL1091">
        <v>93.840978247772398</v>
      </c>
      <c r="AM1091">
        <v>90.562415044885995</v>
      </c>
      <c r="AN1091">
        <v>1.00000005474618</v>
      </c>
    </row>
    <row r="1092" spans="1:40" x14ac:dyDescent="0.25">
      <c r="A1092" t="str">
        <f>"20190303153759723"</f>
        <v>20190303153759723</v>
      </c>
      <c r="B1092" t="str">
        <f>"1551598679719993"</f>
        <v>1551598679719993</v>
      </c>
      <c r="C1092" t="s">
        <v>40</v>
      </c>
      <c r="D1092">
        <v>4.2491839999999996</v>
      </c>
      <c r="E1092">
        <v>0.50239160000000005</v>
      </c>
      <c r="F1092" t="s">
        <v>41</v>
      </c>
      <c r="G1092">
        <v>-158.19499999999999</v>
      </c>
      <c r="H1092">
        <v>1.117969</v>
      </c>
      <c r="I1092">
        <v>367.26159999999999</v>
      </c>
      <c r="J1092">
        <v>-289.02</v>
      </c>
      <c r="K1092">
        <v>1.0711029999999999</v>
      </c>
      <c r="L1092">
        <v>366.88560000000001</v>
      </c>
      <c r="M1092">
        <v>0.99989050000000002</v>
      </c>
      <c r="N1092">
        <v>-1.4761700000000001E-2</v>
      </c>
      <c r="O1092">
        <v>-1.1309479999999999E-3</v>
      </c>
      <c r="P1092">
        <v>0.99662660000000003</v>
      </c>
      <c r="Q1092">
        <v>-8.153784E-2</v>
      </c>
      <c r="R1092">
        <v>9.3499970000000005E-3</v>
      </c>
      <c r="S1092">
        <v>3.0101930000000001</v>
      </c>
      <c r="T1092">
        <v>1.0789630000000001E-3</v>
      </c>
      <c r="U1092">
        <v>8.6364749999999994E-3</v>
      </c>
      <c r="V1092">
        <v>-1.044139E-2</v>
      </c>
      <c r="W1092">
        <v>-6.6822809999999996E-2</v>
      </c>
      <c r="X1092">
        <v>0.99771019999999999</v>
      </c>
      <c r="Y1092">
        <v>-4.00001E-3</v>
      </c>
      <c r="Z1092" s="1">
        <v>1.170729E-5</v>
      </c>
      <c r="AA1092">
        <v>0.99999199999999999</v>
      </c>
      <c r="AB1092">
        <v>36</v>
      </c>
      <c r="AC1092">
        <v>130.82499999999999</v>
      </c>
      <c r="AD1092">
        <v>4.6865999999999797E-2</v>
      </c>
      <c r="AE1092">
        <v>0.37599999999997602</v>
      </c>
      <c r="AF1092">
        <v>-0.52397207267943502</v>
      </c>
      <c r="AG1092">
        <v>4.6865999999999797E-2</v>
      </c>
      <c r="AH1092">
        <v>130.824474244783</v>
      </c>
      <c r="AI1092">
        <v>89.9794747705551</v>
      </c>
      <c r="AJ1092">
        <v>90.229477152461001</v>
      </c>
      <c r="AK1092">
        <v>130.82553192927901</v>
      </c>
      <c r="AL1092">
        <v>93.831520166233702</v>
      </c>
      <c r="AM1092">
        <v>90.599598701042893</v>
      </c>
      <c r="AN1092">
        <v>0.99999997687273301</v>
      </c>
    </row>
    <row r="1093" spans="1:40" x14ac:dyDescent="0.25">
      <c r="A1093" t="str">
        <f>"20190303153759735"</f>
        <v>20190303153759735</v>
      </c>
      <c r="B1093" t="str">
        <f>"1551598679729753"</f>
        <v>1551598679729753</v>
      </c>
      <c r="C1093" t="s">
        <v>40</v>
      </c>
      <c r="D1093">
        <v>4.2222299999999997</v>
      </c>
      <c r="E1093">
        <v>0.50240790000000002</v>
      </c>
      <c r="F1093" t="s">
        <v>41</v>
      </c>
      <c r="G1093">
        <v>-158.19499999999999</v>
      </c>
      <c r="H1093">
        <v>1.1168929999999999</v>
      </c>
      <c r="I1093">
        <v>367.34059999999999</v>
      </c>
      <c r="J1093">
        <v>-288.84690000000001</v>
      </c>
      <c r="K1093">
        <v>1.0711010000000001</v>
      </c>
      <c r="L1093">
        <v>366.88560000000001</v>
      </c>
      <c r="M1093">
        <v>0.99989059999999996</v>
      </c>
      <c r="N1093">
        <v>-1.4760280000000001E-2</v>
      </c>
      <c r="O1093">
        <v>-1.0169910000000001E-3</v>
      </c>
      <c r="P1093">
        <v>0.99662890000000004</v>
      </c>
      <c r="Q1093">
        <v>-8.1434690000000004E-2</v>
      </c>
      <c r="R1093">
        <v>9.976792E-3</v>
      </c>
      <c r="S1093">
        <v>3.0101619999999998</v>
      </c>
      <c r="T1093">
        <v>1.055598E-3</v>
      </c>
      <c r="U1093">
        <v>1.0467529999999999E-2</v>
      </c>
      <c r="V1093">
        <v>-1.095527E-2</v>
      </c>
      <c r="W1093">
        <v>-6.6721279999999994E-2</v>
      </c>
      <c r="X1093">
        <v>0.99771149999999997</v>
      </c>
      <c r="Y1093">
        <v>-4.4943659999999996E-3</v>
      </c>
      <c r="Z1093" s="1">
        <v>1.7014400000000001E-5</v>
      </c>
      <c r="AA1093">
        <v>0.99998989999999999</v>
      </c>
      <c r="AB1093">
        <v>36</v>
      </c>
      <c r="AC1093">
        <v>130.65190000000001</v>
      </c>
      <c r="AD1093">
        <v>4.5791999999999999E-2</v>
      </c>
      <c r="AE1093">
        <v>0.45499999999998397</v>
      </c>
      <c r="AF1093">
        <v>-0.587885967899477</v>
      </c>
      <c r="AG1093">
        <v>4.5791999999999999E-2</v>
      </c>
      <c r="AH1093">
        <v>130.65135358994499</v>
      </c>
      <c r="AI1093">
        <v>89.979918603247597</v>
      </c>
      <c r="AJ1093">
        <v>90.257809479541393</v>
      </c>
      <c r="AK1093">
        <v>130.65268424989699</v>
      </c>
      <c r="AL1093">
        <v>93.825689855293206</v>
      </c>
      <c r="AM1093">
        <v>90.629105216826005</v>
      </c>
      <c r="AN1093">
        <v>0.99999999218892999</v>
      </c>
    </row>
    <row r="1094" spans="1:40" x14ac:dyDescent="0.25">
      <c r="A1094" t="str">
        <f>"20190303153759746"</f>
        <v>20190303153759746</v>
      </c>
      <c r="B1094" t="str">
        <f>"1551598679739514"</f>
        <v>1551598679739514</v>
      </c>
      <c r="C1094" t="s">
        <v>40</v>
      </c>
      <c r="D1094">
        <v>4.228885</v>
      </c>
      <c r="E1094">
        <v>0.50243289999999996</v>
      </c>
      <c r="F1094" t="s">
        <v>41</v>
      </c>
      <c r="G1094">
        <v>-158.78319999999999</v>
      </c>
      <c r="H1094">
        <v>1.0955839999999999</v>
      </c>
      <c r="I1094">
        <v>367.42360000000002</v>
      </c>
      <c r="J1094">
        <v>-288.65300000000002</v>
      </c>
      <c r="K1094">
        <v>1.071102</v>
      </c>
      <c r="L1094">
        <v>366.8854</v>
      </c>
      <c r="M1094">
        <v>0.99989070000000002</v>
      </c>
      <c r="N1094">
        <v>-1.475867E-2</v>
      </c>
      <c r="O1094">
        <v>-8.8956179999999895E-4</v>
      </c>
      <c r="P1094">
        <v>0.99664399999999997</v>
      </c>
      <c r="Q1094">
        <v>-8.1172759999999997E-2</v>
      </c>
      <c r="R1094">
        <v>1.056327E-2</v>
      </c>
      <c r="S1094">
        <v>3.01004</v>
      </c>
      <c r="T1094">
        <v>5.6862830000000005E-4</v>
      </c>
      <c r="U1094">
        <v>1.2451169999999999E-2</v>
      </c>
      <c r="V1094">
        <v>-1.141504E-2</v>
      </c>
      <c r="W1094">
        <v>-6.6460989999999998E-2</v>
      </c>
      <c r="X1094">
        <v>0.99772369999999999</v>
      </c>
      <c r="Y1094">
        <v>-5.0260690000000002E-3</v>
      </c>
      <c r="Z1094" s="1">
        <v>2.331903E-5</v>
      </c>
      <c r="AA1094">
        <v>0.99998739999999997</v>
      </c>
      <c r="AB1094">
        <v>36</v>
      </c>
      <c r="AC1094">
        <v>129.8698</v>
      </c>
      <c r="AD1094">
        <v>2.4482000000000101E-2</v>
      </c>
      <c r="AE1094">
        <v>0.538200000000017</v>
      </c>
      <c r="AF1094">
        <v>-0.65373955961180497</v>
      </c>
      <c r="AG1094">
        <v>2.4482000000000101E-2</v>
      </c>
      <c r="AH1094">
        <v>129.869265175143</v>
      </c>
      <c r="AI1094">
        <v>89.989199157445995</v>
      </c>
      <c r="AJ1094">
        <v>90.288414670285803</v>
      </c>
      <c r="AK1094">
        <v>129.87091287856401</v>
      </c>
      <c r="AL1094">
        <v>93.810743229867001</v>
      </c>
      <c r="AM1094">
        <v>90.655497188148203</v>
      </c>
      <c r="AN1094">
        <v>0.99999997393583495</v>
      </c>
    </row>
    <row r="1095" spans="1:40" x14ac:dyDescent="0.25">
      <c r="A1095" t="str">
        <f>"20190303153759759"</f>
        <v>20190303153759759</v>
      </c>
      <c r="B1095" t="str">
        <f>"1551598679750249"</f>
        <v>1551598679750249</v>
      </c>
      <c r="C1095" t="s">
        <v>40</v>
      </c>
      <c r="D1095">
        <v>4.2419349999999998</v>
      </c>
      <c r="E1095">
        <v>0.50242200000000004</v>
      </c>
      <c r="F1095" t="s">
        <v>41</v>
      </c>
      <c r="G1095">
        <v>-158.78319999999999</v>
      </c>
      <c r="H1095">
        <v>1.1090040000000001</v>
      </c>
      <c r="I1095">
        <v>367.49110000000002</v>
      </c>
      <c r="J1095">
        <v>-288.46620000000001</v>
      </c>
      <c r="K1095">
        <v>1.071105</v>
      </c>
      <c r="L1095">
        <v>366.8854</v>
      </c>
      <c r="M1095">
        <v>0.99989090000000003</v>
      </c>
      <c r="N1095">
        <v>-1.4757080000000001E-2</v>
      </c>
      <c r="O1095">
        <v>-7.6654509999999905E-4</v>
      </c>
      <c r="P1095">
        <v>0.9966661</v>
      </c>
      <c r="Q1095">
        <v>-8.0823210000000006E-2</v>
      </c>
      <c r="R1095">
        <v>1.1160939999999999E-2</v>
      </c>
      <c r="S1095">
        <v>3.0100099999999999</v>
      </c>
      <c r="T1095">
        <v>8.8047979999999896E-4</v>
      </c>
      <c r="U1095">
        <v>1.403809E-2</v>
      </c>
      <c r="V1095">
        <v>-1.1890110000000001E-2</v>
      </c>
      <c r="W1095">
        <v>-6.6112950000000004E-2</v>
      </c>
      <c r="X1095">
        <v>0.99774130000000005</v>
      </c>
      <c r="Y1095">
        <v>-5.4302939999999996E-3</v>
      </c>
      <c r="Z1095" s="1">
        <v>2.7739029999999999E-5</v>
      </c>
      <c r="AA1095">
        <v>0.99998529999999997</v>
      </c>
      <c r="AB1095">
        <v>36</v>
      </c>
      <c r="AC1095">
        <v>129.68299999999999</v>
      </c>
      <c r="AD1095">
        <v>3.7899000000000099E-2</v>
      </c>
      <c r="AE1095">
        <v>0.60570000000001301</v>
      </c>
      <c r="AF1095">
        <v>-0.70511844735895901</v>
      </c>
      <c r="AG1095">
        <v>3.7899000000000099E-2</v>
      </c>
      <c r="AH1095">
        <v>129.68248646905701</v>
      </c>
      <c r="AI1095">
        <v>89.983255868641194</v>
      </c>
      <c r="AJ1095">
        <v>90.311529444472399</v>
      </c>
      <c r="AK1095">
        <v>129.68440895171699</v>
      </c>
      <c r="AL1095">
        <v>93.790757954451806</v>
      </c>
      <c r="AM1095">
        <v>90.682763031044004</v>
      </c>
      <c r="AN1095">
        <v>0.99999999929960204</v>
      </c>
    </row>
    <row r="1096" spans="1:40" x14ac:dyDescent="0.25">
      <c r="A1096" t="str">
        <f>"20190303153759768"</f>
        <v>20190303153759768</v>
      </c>
      <c r="B1096" t="str">
        <f>"1551598679760009"</f>
        <v>1551598679760009</v>
      </c>
      <c r="C1096" t="s">
        <v>40</v>
      </c>
      <c r="D1096">
        <v>4.2471290000000002</v>
      </c>
      <c r="E1096">
        <v>0.50243170000000004</v>
      </c>
      <c r="F1096" t="s">
        <v>41</v>
      </c>
      <c r="G1096">
        <v>-158.78319999999999</v>
      </c>
      <c r="H1096">
        <v>1.1328039999999999</v>
      </c>
      <c r="I1096">
        <v>367.56119999999999</v>
      </c>
      <c r="J1096">
        <v>-288.29919999999998</v>
      </c>
      <c r="K1096">
        <v>1.07111</v>
      </c>
      <c r="L1096">
        <v>366.8854</v>
      </c>
      <c r="M1096">
        <v>0.99989099999999997</v>
      </c>
      <c r="N1096">
        <v>-1.475564E-2</v>
      </c>
      <c r="O1096">
        <v>-6.564028E-4</v>
      </c>
      <c r="P1096">
        <v>0.99668380000000001</v>
      </c>
      <c r="Q1096">
        <v>-8.0569879999999997E-2</v>
      </c>
      <c r="R1096">
        <v>1.1418869999999999E-2</v>
      </c>
      <c r="S1096">
        <v>3.009979</v>
      </c>
      <c r="T1096">
        <v>1.4340879999999901E-3</v>
      </c>
      <c r="U1096">
        <v>1.5686039999999998E-2</v>
      </c>
      <c r="V1096">
        <v>-1.2038750000000001E-2</v>
      </c>
      <c r="W1096">
        <v>-6.5860870000000002E-2</v>
      </c>
      <c r="X1096">
        <v>0.99775619999999998</v>
      </c>
      <c r="Y1096">
        <v>-5.8676809999999996E-3</v>
      </c>
      <c r="Z1096" s="1">
        <v>3.1896629999999998E-5</v>
      </c>
      <c r="AA1096">
        <v>0.99998279999999995</v>
      </c>
      <c r="AB1096">
        <v>36</v>
      </c>
      <c r="AC1096">
        <v>129.51599999999999</v>
      </c>
      <c r="AD1096">
        <v>6.1694000000000103E-2</v>
      </c>
      <c r="AE1096">
        <v>0.67579999999998097</v>
      </c>
      <c r="AF1096">
        <v>-0.76082359608372296</v>
      </c>
      <c r="AG1096">
        <v>6.1694000000000103E-2</v>
      </c>
      <c r="AH1096">
        <v>129.51549906014699</v>
      </c>
      <c r="AI1096">
        <v>89.972707941590201</v>
      </c>
      <c r="AJ1096">
        <v>90.336573459600203</v>
      </c>
      <c r="AK1096">
        <v>129.517748418867</v>
      </c>
      <c r="AL1096">
        <v>93.776283245497396</v>
      </c>
      <c r="AM1096">
        <v>90.691287205609996</v>
      </c>
      <c r="AN1096">
        <v>1.00000001016857</v>
      </c>
    </row>
    <row r="1097" spans="1:40" x14ac:dyDescent="0.25">
      <c r="A1097" t="str">
        <f>"20190303153759779"</f>
        <v>20190303153759779</v>
      </c>
      <c r="B1097" t="str">
        <f>"1551598679769769"</f>
        <v>1551598679769769</v>
      </c>
      <c r="C1097" t="s">
        <v>40</v>
      </c>
      <c r="D1097">
        <v>4.2194279999999997</v>
      </c>
      <c r="E1097">
        <v>0.50243950000000004</v>
      </c>
      <c r="F1097" t="s">
        <v>41</v>
      </c>
      <c r="G1097">
        <v>-158.78319999999999</v>
      </c>
      <c r="H1097">
        <v>1.150504</v>
      </c>
      <c r="I1097">
        <v>367.59320000000002</v>
      </c>
      <c r="J1097">
        <v>-288.1311</v>
      </c>
      <c r="K1097">
        <v>1.071113</v>
      </c>
      <c r="L1097">
        <v>366.8854</v>
      </c>
      <c r="M1097">
        <v>0.99989110000000003</v>
      </c>
      <c r="N1097">
        <v>-1.4754140000000001E-2</v>
      </c>
      <c r="O1097">
        <v>-5.4577949999999999E-4</v>
      </c>
      <c r="P1097">
        <v>0.99667790000000001</v>
      </c>
      <c r="Q1097">
        <v>-8.0609979999999998E-2</v>
      </c>
      <c r="R1097">
        <v>1.163515E-2</v>
      </c>
      <c r="S1097">
        <v>3.0099490000000002</v>
      </c>
      <c r="T1097">
        <v>1.8471480000000001E-3</v>
      </c>
      <c r="U1097">
        <v>1.644897E-2</v>
      </c>
      <c r="V1097">
        <v>-1.214434E-2</v>
      </c>
      <c r="W1097">
        <v>-6.5902569999999994E-2</v>
      </c>
      <c r="X1097">
        <v>0.99775210000000003</v>
      </c>
      <c r="Y1097">
        <v>-6.0105790000000003E-3</v>
      </c>
      <c r="Z1097" s="1">
        <v>3.4111030000000001E-5</v>
      </c>
      <c r="AA1097">
        <v>0.99998189999999998</v>
      </c>
      <c r="AB1097">
        <v>36</v>
      </c>
      <c r="AC1097">
        <v>129.34790000000001</v>
      </c>
      <c r="AD1097">
        <v>7.9391000000000198E-2</v>
      </c>
      <c r="AE1097">
        <v>0.70780000000001997</v>
      </c>
      <c r="AF1097">
        <v>-0.77840271167465203</v>
      </c>
      <c r="AG1097">
        <v>7.9391000000000198E-2</v>
      </c>
      <c r="AH1097">
        <v>129.347445659409</v>
      </c>
      <c r="AI1097">
        <v>89.964833582360299</v>
      </c>
      <c r="AJ1097">
        <v>90.344797313412101</v>
      </c>
      <c r="AK1097">
        <v>129.34981218512101</v>
      </c>
      <c r="AL1097">
        <v>93.778677934235304</v>
      </c>
      <c r="AM1097">
        <v>90.697352647089204</v>
      </c>
      <c r="AN1097">
        <v>0.99999994339052301</v>
      </c>
    </row>
    <row r="1098" spans="1:40" x14ac:dyDescent="0.25">
      <c r="A1098" t="str">
        <f>"20190303153759792"</f>
        <v>20190303153759792</v>
      </c>
      <c r="B1098" t="str">
        <f>"1551598679780506"</f>
        <v>1551598679780506</v>
      </c>
      <c r="C1098" t="s">
        <v>40</v>
      </c>
      <c r="D1098">
        <v>4.2340470000000003</v>
      </c>
      <c r="E1098">
        <v>0.5024459</v>
      </c>
      <c r="F1098" t="s">
        <v>41</v>
      </c>
      <c r="G1098">
        <v>-158.78319999999999</v>
      </c>
      <c r="H1098">
        <v>1.129381</v>
      </c>
      <c r="I1098">
        <v>367.62240000000003</v>
      </c>
      <c r="J1098">
        <v>-287.93239999999997</v>
      </c>
      <c r="K1098">
        <v>1.071116</v>
      </c>
      <c r="L1098">
        <v>366.8854</v>
      </c>
      <c r="M1098">
        <v>0.99989110000000003</v>
      </c>
      <c r="N1098">
        <v>-1.4752360000000001E-2</v>
      </c>
      <c r="O1098">
        <v>-4.1489080000000001E-4</v>
      </c>
      <c r="P1098">
        <v>0.99665769999999998</v>
      </c>
      <c r="Q1098">
        <v>-8.0834089999999997E-2</v>
      </c>
      <c r="R1098">
        <v>1.180878E-2</v>
      </c>
      <c r="S1098">
        <v>3.0098880000000001</v>
      </c>
      <c r="T1098">
        <v>1.3579130000000001E-3</v>
      </c>
      <c r="U1098">
        <v>1.715088E-2</v>
      </c>
      <c r="V1098">
        <v>-1.218792E-2</v>
      </c>
      <c r="W1098">
        <v>-6.6128740000000005E-2</v>
      </c>
      <c r="X1098">
        <v>0.99773659999999997</v>
      </c>
      <c r="Y1098">
        <v>-6.1129879999999998E-3</v>
      </c>
      <c r="Z1098" s="1">
        <v>3.7406239999999997E-5</v>
      </c>
      <c r="AA1098">
        <v>0.99998129999999996</v>
      </c>
      <c r="AB1098">
        <v>36</v>
      </c>
      <c r="AC1098">
        <v>129.14919999999901</v>
      </c>
      <c r="AD1098">
        <v>5.8264999999999997E-2</v>
      </c>
      <c r="AE1098">
        <v>0.73700000000002297</v>
      </c>
      <c r="AF1098">
        <v>-0.790588421748324</v>
      </c>
      <c r="AG1098">
        <v>5.8264999999999997E-2</v>
      </c>
      <c r="AH1098">
        <v>129.148856789245</v>
      </c>
      <c r="AI1098">
        <v>89.974151719940494</v>
      </c>
      <c r="AJ1098">
        <v>90.350733372525696</v>
      </c>
      <c r="AK1098">
        <v>129.151289714163</v>
      </c>
      <c r="AL1098">
        <v>93.791664866757998</v>
      </c>
      <c r="AM1098">
        <v>90.699865721943297</v>
      </c>
      <c r="AN1098">
        <v>0.99999993931373499</v>
      </c>
    </row>
    <row r="1099" spans="1:40" x14ac:dyDescent="0.25">
      <c r="A1099" t="str">
        <f>"20190303153759814"</f>
        <v>20190303153759814</v>
      </c>
      <c r="B1099" t="str">
        <f>"1551598679800025"</f>
        <v>1551598679800025</v>
      </c>
      <c r="C1099" t="s">
        <v>40</v>
      </c>
      <c r="D1099">
        <v>4.2025189999999997</v>
      </c>
      <c r="E1099">
        <v>0.50252039999999998</v>
      </c>
      <c r="F1099" t="s">
        <v>41</v>
      </c>
      <c r="G1099">
        <v>-158.78319999999999</v>
      </c>
      <c r="H1099">
        <v>1.085699</v>
      </c>
      <c r="I1099">
        <v>367.64490000000001</v>
      </c>
      <c r="J1099">
        <v>-287.57889999999998</v>
      </c>
      <c r="K1099">
        <v>1.071118</v>
      </c>
      <c r="L1099">
        <v>366.88549999999998</v>
      </c>
      <c r="M1099">
        <v>0.99989130000000004</v>
      </c>
      <c r="N1099">
        <v>-1.4749109999999999E-2</v>
      </c>
      <c r="O1099">
        <v>-1.8219739999999999E-4</v>
      </c>
      <c r="P1099">
        <v>0.99664969999999997</v>
      </c>
      <c r="Q1099">
        <v>-8.0929349999999997E-2</v>
      </c>
      <c r="R1099">
        <v>1.1817309999999999E-2</v>
      </c>
      <c r="S1099">
        <v>3.0098880000000001</v>
      </c>
      <c r="T1099">
        <v>3.4189220000000001E-4</v>
      </c>
      <c r="U1099">
        <v>1.7700199999999999E-2</v>
      </c>
      <c r="V1099">
        <v>-1.1964239999999999E-2</v>
      </c>
      <c r="W1099">
        <v>-6.6227179999999997E-2</v>
      </c>
      <c r="X1099">
        <v>0.99773279999999998</v>
      </c>
      <c r="Y1099">
        <v>-6.0627800000000003E-3</v>
      </c>
      <c r="Z1099" s="1">
        <v>4.1660689999999998E-5</v>
      </c>
      <c r="AA1099">
        <v>0.99998160000000003</v>
      </c>
      <c r="AB1099">
        <v>36</v>
      </c>
      <c r="AC1099">
        <v>128.79569999999899</v>
      </c>
      <c r="AD1099">
        <v>1.45809999999999E-2</v>
      </c>
      <c r="AE1099">
        <v>0.75940000000002705</v>
      </c>
      <c r="AF1099">
        <v>-0.78286876969879204</v>
      </c>
      <c r="AG1099">
        <v>1.45809999999999E-2</v>
      </c>
      <c r="AH1099">
        <v>128.79555783538601</v>
      </c>
      <c r="AI1099">
        <v>89.9935136402312</v>
      </c>
      <c r="AJ1099">
        <v>90.348261421170804</v>
      </c>
      <c r="AK1099">
        <v>128.797937926988</v>
      </c>
      <c r="AL1099">
        <v>93.797317371418302</v>
      </c>
      <c r="AM1099">
        <v>90.687025226485403</v>
      </c>
      <c r="AN1099">
        <v>0.99999996130268398</v>
      </c>
    </row>
    <row r="1100" spans="1:40" x14ac:dyDescent="0.25">
      <c r="A1100" t="str">
        <f>"20190303153759832"</f>
        <v>20190303153759832</v>
      </c>
      <c r="B1100" t="str">
        <f>"1551598679819545"</f>
        <v>1551598679819545</v>
      </c>
      <c r="C1100" t="s">
        <v>40</v>
      </c>
      <c r="D1100">
        <v>4.1834339999999903</v>
      </c>
      <c r="E1100">
        <v>0.50261719999999999</v>
      </c>
      <c r="F1100" t="s">
        <v>41</v>
      </c>
      <c r="G1100">
        <v>-158.78319999999999</v>
      </c>
      <c r="H1100">
        <v>1.0548249999999999</v>
      </c>
      <c r="I1100">
        <v>367.60890000000001</v>
      </c>
      <c r="J1100">
        <v>-287.3048</v>
      </c>
      <c r="K1100">
        <v>1.0711189999999999</v>
      </c>
      <c r="L1100">
        <v>366.88560000000001</v>
      </c>
      <c r="M1100">
        <v>0.99989139999999999</v>
      </c>
      <c r="N1100">
        <v>-1.4746550000000001E-2</v>
      </c>
      <c r="O1100" s="1">
        <v>-2.0106849999999999E-6</v>
      </c>
      <c r="P1100">
        <v>0.99662200000000001</v>
      </c>
      <c r="Q1100">
        <v>-8.1304650000000006E-2</v>
      </c>
      <c r="R1100">
        <v>1.1597700000000001E-2</v>
      </c>
      <c r="S1100">
        <v>3.0098880000000001</v>
      </c>
      <c r="T1100">
        <v>-3.7872790000000002E-4</v>
      </c>
      <c r="U1100">
        <v>1.690674E-2</v>
      </c>
      <c r="V1100">
        <v>-1.1565260000000001E-2</v>
      </c>
      <c r="W1100">
        <v>-6.6605109999999995E-2</v>
      </c>
      <c r="X1100">
        <v>0.99771240000000005</v>
      </c>
      <c r="Y1100">
        <v>-5.6189839999999996E-3</v>
      </c>
      <c r="Z1100" s="1">
        <v>4.1757010000000001E-5</v>
      </c>
      <c r="AA1100">
        <v>0.99998419999999999</v>
      </c>
      <c r="AB1100">
        <v>36</v>
      </c>
      <c r="AC1100">
        <v>128.52160000000001</v>
      </c>
      <c r="AD1100">
        <v>-1.6294000000000201E-2</v>
      </c>
      <c r="AE1100">
        <v>0.72329999999999395</v>
      </c>
      <c r="AF1100">
        <v>-0.72355843288934896</v>
      </c>
      <c r="AG1100">
        <v>-1.6294000000000201E-2</v>
      </c>
      <c r="AH1100">
        <v>128.521596479561</v>
      </c>
      <c r="AI1100">
        <v>90.007263858038598</v>
      </c>
      <c r="AJ1100">
        <v>90.322563737019394</v>
      </c>
      <c r="AK1100">
        <v>128.523634262168</v>
      </c>
      <c r="AL1100">
        <v>93.819018879978998</v>
      </c>
      <c r="AM1100">
        <v>90.664130174032394</v>
      </c>
      <c r="AN1100">
        <v>1.00000001451536</v>
      </c>
    </row>
    <row r="1101" spans="1:40" x14ac:dyDescent="0.25">
      <c r="A1101" t="str">
        <f>"20190303153759843"</f>
        <v>20190303153759843</v>
      </c>
      <c r="B1101" t="str">
        <f>"1551598679840041"</f>
        <v>1551598679840041</v>
      </c>
      <c r="C1101" t="s">
        <v>40</v>
      </c>
      <c r="D1101">
        <v>4.2434539999999998</v>
      </c>
      <c r="E1101">
        <v>0.50273109999999999</v>
      </c>
      <c r="F1101" t="s">
        <v>41</v>
      </c>
      <c r="G1101">
        <v>-158.78319999999999</v>
      </c>
      <c r="H1101">
        <v>0.98710790000000004</v>
      </c>
      <c r="I1101">
        <v>367.55279999999999</v>
      </c>
      <c r="J1101">
        <v>-287.10340000000002</v>
      </c>
      <c r="K1101">
        <v>1.071118</v>
      </c>
      <c r="L1101">
        <v>366.88569999999999</v>
      </c>
      <c r="M1101">
        <v>0.99989139999999999</v>
      </c>
      <c r="N1101">
        <v>-1.474462E-2</v>
      </c>
      <c r="O1101">
        <v>1.3066900000000001E-4</v>
      </c>
      <c r="P1101">
        <v>0.99661789999999995</v>
      </c>
      <c r="Q1101">
        <v>-8.1382799999999894E-2</v>
      </c>
      <c r="R1101">
        <v>1.139276E-2</v>
      </c>
      <c r="S1101">
        <v>3.009827</v>
      </c>
      <c r="T1101">
        <v>-1.965404E-3</v>
      </c>
      <c r="U1101">
        <v>1.5625E-2</v>
      </c>
      <c r="V1101">
        <v>-1.1227900000000001E-2</v>
      </c>
      <c r="W1101">
        <v>-6.6685030000000006E-2</v>
      </c>
      <c r="X1101">
        <v>0.99771089999999996</v>
      </c>
      <c r="Y1101">
        <v>-5.0605659999999998E-3</v>
      </c>
      <c r="Z1101" s="1">
        <v>4.0804119999999999E-5</v>
      </c>
      <c r="AA1101">
        <v>0.99998719999999996</v>
      </c>
      <c r="AB1101">
        <v>36</v>
      </c>
      <c r="AC1101">
        <v>128.3202</v>
      </c>
      <c r="AD1101">
        <v>-8.4010100000000004E-2</v>
      </c>
      <c r="AE1101">
        <v>0.66710000000000402</v>
      </c>
      <c r="AF1101">
        <v>-0.65033042235031702</v>
      </c>
      <c r="AG1101">
        <v>-8.4010100000000004E-2</v>
      </c>
      <c r="AH1101">
        <v>128.32023108382799</v>
      </c>
      <c r="AI1101">
        <v>90.037510543919396</v>
      </c>
      <c r="AJ1101">
        <v>90.290374083363204</v>
      </c>
      <c r="AK1101">
        <v>128.321906519355</v>
      </c>
      <c r="AL1101">
        <v>93.823608219358505</v>
      </c>
      <c r="AM1101">
        <v>90.644760047723395</v>
      </c>
      <c r="AN1101">
        <v>0.99999999947165996</v>
      </c>
    </row>
    <row r="1102" spans="1:40" x14ac:dyDescent="0.25">
      <c r="A1102" t="str">
        <f>"20190303153759858"</f>
        <v>20190303153759858</v>
      </c>
      <c r="B1102" t="str">
        <f>"1551598679849801"</f>
        <v>1551598679849801</v>
      </c>
      <c r="C1102" t="s">
        <v>40</v>
      </c>
      <c r="D1102">
        <v>4.2254310000000004</v>
      </c>
      <c r="E1102">
        <v>0.50279319999999905</v>
      </c>
      <c r="F1102" t="s">
        <v>41</v>
      </c>
      <c r="G1102">
        <v>-158.78319999999999</v>
      </c>
      <c r="H1102">
        <v>0.95571539999999999</v>
      </c>
      <c r="I1102">
        <v>367.4803</v>
      </c>
      <c r="J1102">
        <v>-286.86860000000001</v>
      </c>
      <c r="K1102">
        <v>1.0711139999999999</v>
      </c>
      <c r="L1102">
        <v>366.88589999999999</v>
      </c>
      <c r="M1102">
        <v>0.99989130000000004</v>
      </c>
      <c r="N1102">
        <v>-1.474233E-2</v>
      </c>
      <c r="O1102">
        <v>2.8540279999999998E-4</v>
      </c>
      <c r="P1102">
        <v>0.99662680000000003</v>
      </c>
      <c r="Q1102">
        <v>-8.1389799999999998E-2</v>
      </c>
      <c r="R1102">
        <v>1.0522729999999999E-2</v>
      </c>
      <c r="S1102">
        <v>3.0097960000000001</v>
      </c>
      <c r="T1102">
        <v>-2.7047400000000002E-3</v>
      </c>
      <c r="U1102">
        <v>1.394653E-2</v>
      </c>
      <c r="V1102">
        <v>-1.02036E-2</v>
      </c>
      <c r="W1102">
        <v>-6.6693630000000004E-2</v>
      </c>
      <c r="X1102">
        <v>0.99772130000000003</v>
      </c>
      <c r="Y1102">
        <v>-4.3482310000000001E-3</v>
      </c>
      <c r="Z1102" s="1">
        <v>3.7958550000000003E-5</v>
      </c>
      <c r="AA1102">
        <v>0.9999905</v>
      </c>
      <c r="AB1102">
        <v>36</v>
      </c>
      <c r="AC1102">
        <v>128.08539999999999</v>
      </c>
      <c r="AD1102">
        <v>-0.115398599999999</v>
      </c>
      <c r="AE1102">
        <v>0.59440000000000703</v>
      </c>
      <c r="AF1102">
        <v>-0.55783961861960496</v>
      </c>
      <c r="AG1102">
        <v>-0.115398599999999</v>
      </c>
      <c r="AH1102">
        <v>128.085460477911</v>
      </c>
      <c r="AI1102">
        <v>90.051620130985697</v>
      </c>
      <c r="AJ1102">
        <v>90.249533815876802</v>
      </c>
      <c r="AK1102">
        <v>128.08672721135301</v>
      </c>
      <c r="AL1102">
        <v>93.824102163442006</v>
      </c>
      <c r="AM1102">
        <v>90.585938012237506</v>
      </c>
      <c r="AN1102">
        <v>0.99999997310461297</v>
      </c>
    </row>
    <row r="1103" spans="1:40" x14ac:dyDescent="0.25">
      <c r="A1103" t="str">
        <f>"20190303153759870"</f>
        <v>20190303153759870</v>
      </c>
      <c r="B1103" t="str">
        <f>"1551598679859561"</f>
        <v>1551598679859561</v>
      </c>
      <c r="C1103" t="s">
        <v>40</v>
      </c>
      <c r="D1103">
        <v>4.2387589999999999</v>
      </c>
      <c r="E1103">
        <v>0.50282870000000002</v>
      </c>
      <c r="F1103" t="s">
        <v>41</v>
      </c>
      <c r="G1103">
        <v>-158.19499999999999</v>
      </c>
      <c r="H1103">
        <v>0.94790099999999999</v>
      </c>
      <c r="I1103">
        <v>367.33080000000001</v>
      </c>
      <c r="J1103">
        <v>-286.685</v>
      </c>
      <c r="K1103">
        <v>1.071113</v>
      </c>
      <c r="L1103">
        <v>366.8861</v>
      </c>
      <c r="M1103">
        <v>0.99989130000000004</v>
      </c>
      <c r="N1103">
        <v>-1.474052E-2</v>
      </c>
      <c r="O1103">
        <v>4.062812E-4</v>
      </c>
      <c r="P1103">
        <v>0.99664109999999995</v>
      </c>
      <c r="Q1103">
        <v>-8.1266969999999994E-2</v>
      </c>
      <c r="R1103">
        <v>1.011333E-2</v>
      </c>
      <c r="S1103">
        <v>3.0098569999999998</v>
      </c>
      <c r="T1103">
        <v>-2.880096E-3</v>
      </c>
      <c r="U1103">
        <v>1.0406489999999999E-2</v>
      </c>
      <c r="V1103">
        <v>-9.6736960000000007E-3</v>
      </c>
      <c r="W1103">
        <v>-6.6572110000000004E-2</v>
      </c>
      <c r="X1103">
        <v>0.99773469999999997</v>
      </c>
      <c r="Y1103">
        <v>-3.0511430000000001E-3</v>
      </c>
      <c r="Z1103" s="1">
        <v>2.9549249999999998E-5</v>
      </c>
      <c r="AA1103">
        <v>0.99999539999999998</v>
      </c>
      <c r="AB1103">
        <v>36</v>
      </c>
      <c r="AC1103">
        <v>128.49</v>
      </c>
      <c r="AD1103">
        <v>-0.123212</v>
      </c>
      <c r="AE1103">
        <v>0.44470000000001098</v>
      </c>
      <c r="AF1103">
        <v>-0.39249086021705498</v>
      </c>
      <c r="AG1103">
        <v>-0.123212</v>
      </c>
      <c r="AH1103">
        <v>128.49005193657001</v>
      </c>
      <c r="AI1103">
        <v>90.054941938148403</v>
      </c>
      <c r="AJ1103">
        <v>90.175017439134507</v>
      </c>
      <c r="AK1103">
        <v>128.49071046941401</v>
      </c>
      <c r="AL1103">
        <v>93.817124049567596</v>
      </c>
      <c r="AM1103">
        <v>90.555502966994396</v>
      </c>
      <c r="AN1103">
        <v>0.99999997890412096</v>
      </c>
    </row>
    <row r="1104" spans="1:40" x14ac:dyDescent="0.25">
      <c r="A1104" t="str">
        <f>"20190303153759881"</f>
        <v>20190303153759881</v>
      </c>
      <c r="B1104" t="str">
        <f>"1551598679870298"</f>
        <v>1551598679870298</v>
      </c>
      <c r="C1104" t="s">
        <v>40</v>
      </c>
      <c r="D1104">
        <v>4.2345940000000004</v>
      </c>
      <c r="E1104">
        <v>0.5028572</v>
      </c>
      <c r="F1104" t="s">
        <v>41</v>
      </c>
      <c r="G1104">
        <v>-158.19499999999999</v>
      </c>
      <c r="H1104">
        <v>0.94870920000000003</v>
      </c>
      <c r="I1104">
        <v>367.27300000000002</v>
      </c>
      <c r="J1104">
        <v>-286.49990000000003</v>
      </c>
      <c r="K1104">
        <v>1.0711109999999999</v>
      </c>
      <c r="L1104">
        <v>366.88619999999997</v>
      </c>
      <c r="M1104">
        <v>0.99989130000000004</v>
      </c>
      <c r="N1104">
        <v>-1.473869E-2</v>
      </c>
      <c r="O1104">
        <v>5.284679E-4</v>
      </c>
      <c r="P1104">
        <v>0.99668610000000002</v>
      </c>
      <c r="Q1104">
        <v>-8.0757720000000005E-2</v>
      </c>
      <c r="R1104">
        <v>9.7437819999999994E-3</v>
      </c>
      <c r="S1104">
        <v>3.009827</v>
      </c>
      <c r="T1104">
        <v>-2.8651950000000001E-3</v>
      </c>
      <c r="U1104">
        <v>9.0637210000000003E-3</v>
      </c>
      <c r="V1104">
        <v>-9.1825499999999994E-3</v>
      </c>
      <c r="W1104">
        <v>-6.6063810000000001E-2</v>
      </c>
      <c r="X1104">
        <v>0.99777320000000003</v>
      </c>
      <c r="Y1104">
        <v>-2.4828720000000001E-3</v>
      </c>
      <c r="Z1104" s="1">
        <v>2.6766300000000002E-5</v>
      </c>
      <c r="AA1104">
        <v>0.99999689999999997</v>
      </c>
      <c r="AB1104">
        <v>36</v>
      </c>
      <c r="AC1104">
        <v>128.3049</v>
      </c>
      <c r="AD1104">
        <v>-0.12240180000000001</v>
      </c>
      <c r="AE1104">
        <v>0.38680000000004999</v>
      </c>
      <c r="AF1104">
        <v>-0.31898727286977802</v>
      </c>
      <c r="AG1104">
        <v>-0.12240180000000001</v>
      </c>
      <c r="AH1104">
        <v>128.30496974400199</v>
      </c>
      <c r="AI1104">
        <v>90.054659478563593</v>
      </c>
      <c r="AJ1104">
        <v>90.142446444860298</v>
      </c>
      <c r="AK1104">
        <v>128.30542465574101</v>
      </c>
      <c r="AL1104">
        <v>93.787936069466596</v>
      </c>
      <c r="AM1104">
        <v>90.527280656027997</v>
      </c>
      <c r="AN1104">
        <v>1.0000000524272199</v>
      </c>
    </row>
    <row r="1105" spans="1:40" x14ac:dyDescent="0.25">
      <c r="A1105" t="str">
        <f>"20190303153759892"</f>
        <v>20190303153759892</v>
      </c>
      <c r="B1105" t="str">
        <f>"1551598679880058"</f>
        <v>1551598679880058</v>
      </c>
      <c r="C1105" t="s">
        <v>40</v>
      </c>
      <c r="D1105">
        <v>4.2183010000000003</v>
      </c>
      <c r="E1105">
        <v>0.50288719999999998</v>
      </c>
      <c r="F1105" t="s">
        <v>41</v>
      </c>
      <c r="G1105">
        <v>-158.19499999999999</v>
      </c>
      <c r="H1105">
        <v>1.004691</v>
      </c>
      <c r="I1105">
        <v>367.22449999999998</v>
      </c>
      <c r="J1105">
        <v>-286.33049999999997</v>
      </c>
      <c r="K1105">
        <v>1.0711109999999999</v>
      </c>
      <c r="L1105">
        <v>366.88639999999998</v>
      </c>
      <c r="M1105">
        <v>0.99989130000000004</v>
      </c>
      <c r="N1105">
        <v>-1.473409E-2</v>
      </c>
      <c r="O1105">
        <v>6.403658E-4</v>
      </c>
      <c r="P1105">
        <v>0.99673040000000002</v>
      </c>
      <c r="Q1105">
        <v>-8.0260659999999998E-2</v>
      </c>
      <c r="R1105">
        <v>9.3142220000000005E-3</v>
      </c>
      <c r="S1105">
        <v>3.0097659999999999</v>
      </c>
      <c r="T1105">
        <v>-1.5560389999999999E-3</v>
      </c>
      <c r="U1105">
        <v>7.9345700000000002E-3</v>
      </c>
      <c r="V1105">
        <v>-8.6418720000000001E-3</v>
      </c>
      <c r="W1105">
        <v>-6.5570439999999994E-2</v>
      </c>
      <c r="X1105">
        <v>0.99781050000000004</v>
      </c>
      <c r="Y1105">
        <v>-1.9958889999999998E-3</v>
      </c>
      <c r="Z1105" s="1">
        <v>2.4325249999999999E-5</v>
      </c>
      <c r="AA1105">
        <v>0.99999800000000005</v>
      </c>
      <c r="AB1105">
        <v>36</v>
      </c>
      <c r="AC1105">
        <v>128.13549999999901</v>
      </c>
      <c r="AD1105">
        <v>-6.6420000000000104E-2</v>
      </c>
      <c r="AE1105">
        <v>0.33809999999999701</v>
      </c>
      <c r="AF1105">
        <v>-0.25603736653583198</v>
      </c>
      <c r="AG1105">
        <v>-6.6420000000000104E-2</v>
      </c>
      <c r="AH1105">
        <v>128.13565582419901</v>
      </c>
      <c r="AI1105">
        <v>90.029699600104905</v>
      </c>
      <c r="AJ1105">
        <v>90.114486798242893</v>
      </c>
      <c r="AK1105">
        <v>128.13592884217499</v>
      </c>
      <c r="AL1105">
        <v>93.7596069008369</v>
      </c>
      <c r="AM1105">
        <v>90.496216879877494</v>
      </c>
      <c r="AN1105">
        <v>0.99999997923185302</v>
      </c>
    </row>
    <row r="1106" spans="1:40" x14ac:dyDescent="0.25">
      <c r="A1106" t="str">
        <f>"20190303153759902"</f>
        <v>20190303153759902</v>
      </c>
      <c r="B1106" t="str">
        <f>"1551598679889818"</f>
        <v>1551598679889818</v>
      </c>
      <c r="C1106" t="s">
        <v>40</v>
      </c>
      <c r="D1106">
        <v>4.227824</v>
      </c>
      <c r="E1106">
        <v>0.50289620000000002</v>
      </c>
      <c r="F1106" t="s">
        <v>41</v>
      </c>
      <c r="G1106">
        <v>-158.19499999999999</v>
      </c>
      <c r="H1106">
        <v>1.0636239999999999</v>
      </c>
      <c r="I1106">
        <v>367.13709999999998</v>
      </c>
      <c r="J1106">
        <v>-286.15809999999999</v>
      </c>
      <c r="K1106">
        <v>1.0711059999999999</v>
      </c>
      <c r="L1106">
        <v>366.88659999999999</v>
      </c>
      <c r="M1106">
        <v>0.99989150000000004</v>
      </c>
      <c r="N1106">
        <v>-1.472068E-2</v>
      </c>
      <c r="O1106">
        <v>7.5406009999999903E-4</v>
      </c>
      <c r="P1106">
        <v>0.99675550000000002</v>
      </c>
      <c r="Q1106">
        <v>-7.9966590000000004E-2</v>
      </c>
      <c r="R1106">
        <v>9.1713530000000001E-3</v>
      </c>
      <c r="S1106">
        <v>3.0097659999999999</v>
      </c>
      <c r="T1106">
        <v>-1.73807099999999E-4</v>
      </c>
      <c r="U1106">
        <v>5.8898930000000002E-3</v>
      </c>
      <c r="V1106">
        <v>-8.3860510000000003E-3</v>
      </c>
      <c r="W1106">
        <v>-6.5289260000000002E-2</v>
      </c>
      <c r="X1106">
        <v>0.99783120000000003</v>
      </c>
      <c r="Y1106">
        <v>-1.202863E-3</v>
      </c>
      <c r="Z1106" s="1">
        <v>1.994602E-5</v>
      </c>
      <c r="AA1106">
        <v>0.99999930000000004</v>
      </c>
      <c r="AB1106">
        <v>36</v>
      </c>
      <c r="AC1106">
        <v>127.9631</v>
      </c>
      <c r="AD1106">
        <v>-7.48199999999998E-3</v>
      </c>
      <c r="AE1106">
        <v>0.25049999999998801</v>
      </c>
      <c r="AF1106">
        <v>-0.15399761719594701</v>
      </c>
      <c r="AG1106">
        <v>-7.48199999999998E-3</v>
      </c>
      <c r="AH1106">
        <v>127.96325208681201</v>
      </c>
      <c r="AI1106">
        <v>90.0033500767166</v>
      </c>
      <c r="AJ1106">
        <v>90.068952680686607</v>
      </c>
      <c r="AK1106">
        <v>127.963344969876</v>
      </c>
      <c r="AL1106">
        <v>93.743461579956104</v>
      </c>
      <c r="AM1106">
        <v>90.481518333994302</v>
      </c>
      <c r="AN1106">
        <v>1.0000000585080699</v>
      </c>
    </row>
    <row r="1107" spans="1:40" x14ac:dyDescent="0.25">
      <c r="A1107" t="str">
        <f>"20190303153759914"</f>
        <v>20190303153759914</v>
      </c>
      <c r="B1107" t="str">
        <f>"1551598679910314"</f>
        <v>1551598679910314</v>
      </c>
      <c r="C1107" t="s">
        <v>40</v>
      </c>
      <c r="D1107">
        <v>4.2417129999999998</v>
      </c>
      <c r="E1107">
        <v>0.50295159999999905</v>
      </c>
      <c r="F1107" t="s">
        <v>41</v>
      </c>
      <c r="G1107">
        <v>-158.19499999999999</v>
      </c>
      <c r="H1107">
        <v>1.097815</v>
      </c>
      <c r="I1107">
        <v>367.13310000000001</v>
      </c>
      <c r="J1107">
        <v>-285.98329999999999</v>
      </c>
      <c r="K1107">
        <v>1.071099</v>
      </c>
      <c r="L1107">
        <v>366.88690000000003</v>
      </c>
      <c r="M1107">
        <v>0.99989189999999994</v>
      </c>
      <c r="N1107">
        <v>-1.4679950000000001E-2</v>
      </c>
      <c r="O1107">
        <v>8.7063530000000002E-4</v>
      </c>
      <c r="P1107">
        <v>0.99679459999999998</v>
      </c>
      <c r="Q1107">
        <v>-7.951619E-2</v>
      </c>
      <c r="R1107">
        <v>8.8304769999999998E-3</v>
      </c>
      <c r="S1107">
        <v>3.0097659999999999</v>
      </c>
      <c r="T1107">
        <v>6.3025949999999896E-4</v>
      </c>
      <c r="U1107">
        <v>5.7983399999999999E-3</v>
      </c>
      <c r="V1107">
        <v>-7.9290149999999993E-3</v>
      </c>
      <c r="W1107">
        <v>-6.4878740000000004E-2</v>
      </c>
      <c r="X1107">
        <v>0.99786169999999996</v>
      </c>
      <c r="Y1107">
        <v>-1.055875E-3</v>
      </c>
      <c r="Z1107" s="1">
        <v>2.060383E-5</v>
      </c>
      <c r="AA1107">
        <v>0.99999950000000004</v>
      </c>
      <c r="AB1107">
        <v>36</v>
      </c>
      <c r="AC1107">
        <v>127.78830000000001</v>
      </c>
      <c r="AD1107">
        <v>2.67159999999999E-2</v>
      </c>
      <c r="AE1107">
        <v>0.24619999999998701</v>
      </c>
      <c r="AF1107">
        <v>-0.13493090986272699</v>
      </c>
      <c r="AG1107">
        <v>2.67159999999999E-2</v>
      </c>
      <c r="AH1107">
        <v>127.78846034556599</v>
      </c>
      <c r="AI1107">
        <v>89.988021507061504</v>
      </c>
      <c r="AJ1107">
        <v>90.060498176181</v>
      </c>
      <c r="AK1107">
        <v>127.78853437450999</v>
      </c>
      <c r="AL1107">
        <v>93.7198905878315</v>
      </c>
      <c r="AM1107">
        <v>90.455263023148703</v>
      </c>
      <c r="AN1107">
        <v>1.0000000462548699</v>
      </c>
    </row>
    <row r="1108" spans="1:40" x14ac:dyDescent="0.25">
      <c r="A1108" t="str">
        <f>"20190303153759924"</f>
        <v>20190303153759924</v>
      </c>
      <c r="B1108" t="str">
        <f>"1551598679920073"</f>
        <v>1551598679920073</v>
      </c>
      <c r="C1108" t="s">
        <v>40</v>
      </c>
      <c r="D1108">
        <v>4.2047350000000003</v>
      </c>
      <c r="E1108">
        <v>0.50294340000000004</v>
      </c>
      <c r="F1108" t="s">
        <v>41</v>
      </c>
      <c r="G1108">
        <v>-158.19499999999999</v>
      </c>
      <c r="H1108">
        <v>1.14147</v>
      </c>
      <c r="I1108">
        <v>367.07089999999999</v>
      </c>
      <c r="J1108">
        <v>-285.79700000000003</v>
      </c>
      <c r="K1108">
        <v>1.07108</v>
      </c>
      <c r="L1108">
        <v>366.88709999999998</v>
      </c>
      <c r="M1108">
        <v>0.99989300000000003</v>
      </c>
      <c r="N1108">
        <v>-1.4594599999999999E-2</v>
      </c>
      <c r="O1108">
        <v>9.9611529999999999E-4</v>
      </c>
      <c r="P1108">
        <v>0.99682709999999997</v>
      </c>
      <c r="Q1108">
        <v>-7.9099879999999997E-2</v>
      </c>
      <c r="R1108">
        <v>8.8876300000000005E-3</v>
      </c>
      <c r="S1108">
        <v>3.0097659999999999</v>
      </c>
      <c r="T1108">
        <v>1.6595129999999901E-3</v>
      </c>
      <c r="U1108">
        <v>4.333496E-3</v>
      </c>
      <c r="V1108">
        <v>-7.8611429999999993E-3</v>
      </c>
      <c r="W1108">
        <v>-6.4547140000000003E-2</v>
      </c>
      <c r="X1108">
        <v>0.99788370000000004</v>
      </c>
      <c r="Y1108">
        <v>-4.437054E-4</v>
      </c>
      <c r="Z1108" s="1">
        <v>1.8203570000000001E-5</v>
      </c>
      <c r="AA1108">
        <v>0.99999990000000005</v>
      </c>
      <c r="AB1108">
        <v>36</v>
      </c>
      <c r="AC1108">
        <v>127.602</v>
      </c>
      <c r="AD1108">
        <v>7.0389999999999897E-2</v>
      </c>
      <c r="AE1108">
        <v>0.183800000000019</v>
      </c>
      <c r="AF1108">
        <v>-5.6680048285251597E-2</v>
      </c>
      <c r="AG1108">
        <v>7.0389999999999897E-2</v>
      </c>
      <c r="AH1108">
        <v>127.602080956042</v>
      </c>
      <c r="AI1108">
        <v>89.968393547481796</v>
      </c>
      <c r="AJ1108">
        <v>90.025450426132707</v>
      </c>
      <c r="AK1108">
        <v>127.60211295935601</v>
      </c>
      <c r="AL1108">
        <v>93.700851554171194</v>
      </c>
      <c r="AM1108">
        <v>90.4513562040473</v>
      </c>
      <c r="AN1108">
        <v>1.00000000478856</v>
      </c>
    </row>
    <row r="1109" spans="1:40" x14ac:dyDescent="0.25">
      <c r="A1109" t="str">
        <f>"20190303153759937"</f>
        <v>20190303153759937</v>
      </c>
      <c r="B1109" t="str">
        <f>"1551598679929833"</f>
        <v>1551598679929833</v>
      </c>
      <c r="C1109" t="s">
        <v>40</v>
      </c>
      <c r="D1109">
        <v>4.2081280000000003</v>
      </c>
      <c r="E1109">
        <v>0.50294879999999997</v>
      </c>
      <c r="F1109" t="s">
        <v>41</v>
      </c>
      <c r="G1109">
        <v>-158.19499999999999</v>
      </c>
      <c r="H1109">
        <v>1.1840930000000001</v>
      </c>
      <c r="I1109">
        <v>367.09030000000001</v>
      </c>
      <c r="J1109">
        <v>-285.6173</v>
      </c>
      <c r="K1109">
        <v>1.0710409999999999</v>
      </c>
      <c r="L1109">
        <v>366.88740000000001</v>
      </c>
      <c r="M1109">
        <v>0.99989499999999998</v>
      </c>
      <c r="N1109">
        <v>-1.4441270000000001E-2</v>
      </c>
      <c r="O1109">
        <v>1.114451E-3</v>
      </c>
      <c r="P1109">
        <v>0.9968863</v>
      </c>
      <c r="Q1109">
        <v>-7.8326519999999997E-2</v>
      </c>
      <c r="R1109">
        <v>9.0922239999999994E-3</v>
      </c>
      <c r="S1109">
        <v>3.0097049999999999</v>
      </c>
      <c r="T1109">
        <v>2.6676650000000001E-3</v>
      </c>
      <c r="U1109">
        <v>4.7912600000000003E-3</v>
      </c>
      <c r="V1109">
        <v>-7.9475869999999903E-3</v>
      </c>
      <c r="W1109">
        <v>-6.3926090000000005E-2</v>
      </c>
      <c r="X1109">
        <v>0.997923</v>
      </c>
      <c r="Y1109">
        <v>-4.775014E-4</v>
      </c>
      <c r="Z1109" s="1">
        <v>2.03191E-5</v>
      </c>
      <c r="AA1109">
        <v>0.99999990000000005</v>
      </c>
      <c r="AB1109">
        <v>36</v>
      </c>
      <c r="AC1109">
        <v>127.42230000000001</v>
      </c>
      <c r="AD1109">
        <v>0.113052</v>
      </c>
      <c r="AE1109">
        <v>0.202899999999999</v>
      </c>
      <c r="AF1109">
        <v>-6.0879092420747599E-2</v>
      </c>
      <c r="AG1109">
        <v>0.113052</v>
      </c>
      <c r="AH1109">
        <v>127.422346697731</v>
      </c>
      <c r="AI1109">
        <v>89.949165902257306</v>
      </c>
      <c r="AJ1109">
        <v>90.027374435342594</v>
      </c>
      <c r="AK1109">
        <v>127.42241139209101</v>
      </c>
      <c r="AL1109">
        <v>93.665194342234003</v>
      </c>
      <c r="AM1109">
        <v>90.456301303093497</v>
      </c>
      <c r="AN1109">
        <v>1.0000000115254</v>
      </c>
    </row>
    <row r="1110" spans="1:40" x14ac:dyDescent="0.25">
      <c r="A1110" t="str">
        <f>"20190303153759948"</f>
        <v>20190303153759948</v>
      </c>
      <c r="B1110" t="str">
        <f>"1551598679939593"</f>
        <v>1551598679939593</v>
      </c>
      <c r="C1110" t="s">
        <v>40</v>
      </c>
      <c r="D1110">
        <v>4.2381630000000001</v>
      </c>
      <c r="E1110">
        <v>0.50294890000000003</v>
      </c>
      <c r="F1110" t="s">
        <v>41</v>
      </c>
      <c r="G1110">
        <v>-158.19499999999999</v>
      </c>
      <c r="H1110">
        <v>1.274629</v>
      </c>
      <c r="I1110">
        <v>367.10969999999998</v>
      </c>
      <c r="J1110">
        <v>-285.43200000000002</v>
      </c>
      <c r="K1110">
        <v>1.0709949999999999</v>
      </c>
      <c r="L1110">
        <v>366.88780000000003</v>
      </c>
      <c r="M1110">
        <v>0.99989779999999995</v>
      </c>
      <c r="N1110">
        <v>-1.424538E-2</v>
      </c>
      <c r="O1110">
        <v>1.2348050000000001E-3</v>
      </c>
      <c r="P1110">
        <v>0.99692800000000004</v>
      </c>
      <c r="Q1110">
        <v>-7.7786530000000007E-2</v>
      </c>
      <c r="R1110">
        <v>9.1546490000000008E-3</v>
      </c>
      <c r="S1110">
        <v>3.0097049999999999</v>
      </c>
      <c r="T1110">
        <v>4.8108100000000004E-3</v>
      </c>
      <c r="U1110">
        <v>5.2490230000000002E-3</v>
      </c>
      <c r="V1110">
        <v>-7.8897069999999993E-3</v>
      </c>
      <c r="W1110">
        <v>-6.3581040000000005E-2</v>
      </c>
      <c r="X1110">
        <v>0.99794550000000004</v>
      </c>
      <c r="Y1110">
        <v>-5.0926080000000004E-4</v>
      </c>
      <c r="Z1110" s="1">
        <v>2.278525E-5</v>
      </c>
      <c r="AA1110">
        <v>0.99999990000000005</v>
      </c>
      <c r="AB1110">
        <v>36</v>
      </c>
      <c r="AC1110">
        <v>127.23699999999999</v>
      </c>
      <c r="AD1110">
        <v>0.20363399999999901</v>
      </c>
      <c r="AE1110">
        <v>0.221899999999948</v>
      </c>
      <c r="AF1110">
        <v>-6.4770842345247506E-2</v>
      </c>
      <c r="AG1110">
        <v>0.20363399999999901</v>
      </c>
      <c r="AH1110">
        <v>127.236851108689</v>
      </c>
      <c r="AI1110">
        <v>89.908302058794703</v>
      </c>
      <c r="AJ1110">
        <v>90.029166829805902</v>
      </c>
      <c r="AK1110">
        <v>127.237030545838</v>
      </c>
      <c r="AL1110">
        <v>93.645384144055299</v>
      </c>
      <c r="AM1110">
        <v>90.452968117792906</v>
      </c>
      <c r="AN1110">
        <v>1.0000000085471299</v>
      </c>
    </row>
    <row r="1111" spans="1:40" x14ac:dyDescent="0.25">
      <c r="A1111" t="str">
        <f>"20190303153759960"</f>
        <v>20190303153759960</v>
      </c>
      <c r="B1111" t="str">
        <f>"1551598679950330"</f>
        <v>1551598679950330</v>
      </c>
      <c r="C1111" t="s">
        <v>40</v>
      </c>
      <c r="D1111">
        <v>4.2342589999999998</v>
      </c>
      <c r="E1111">
        <v>0.50294459999999996</v>
      </c>
      <c r="F1111" t="s">
        <v>41</v>
      </c>
      <c r="G1111">
        <v>-158.19499999999999</v>
      </c>
      <c r="H1111">
        <v>1.3344959999999999</v>
      </c>
      <c r="I1111">
        <v>367.1148</v>
      </c>
      <c r="J1111">
        <v>-285.24329999999998</v>
      </c>
      <c r="K1111">
        <v>1.0709360000000001</v>
      </c>
      <c r="L1111">
        <v>366.88810000000001</v>
      </c>
      <c r="M1111">
        <v>0.99990129999999999</v>
      </c>
      <c r="N1111">
        <v>-1.398166E-2</v>
      </c>
      <c r="O1111">
        <v>1.3593679999999999E-3</v>
      </c>
      <c r="P1111">
        <v>0.99690769999999995</v>
      </c>
      <c r="Q1111">
        <v>-7.7985730000000003E-2</v>
      </c>
      <c r="R1111">
        <v>9.6676030000000003E-3</v>
      </c>
      <c r="S1111">
        <v>3.0097049999999999</v>
      </c>
      <c r="T1111">
        <v>6.2350030000000002E-3</v>
      </c>
      <c r="U1111">
        <v>5.3710939999999999E-3</v>
      </c>
      <c r="V1111">
        <v>-8.2787139999999995E-3</v>
      </c>
      <c r="W1111">
        <v>-6.4043879999999997E-2</v>
      </c>
      <c r="X1111">
        <v>0.99791280000000004</v>
      </c>
      <c r="Y1111">
        <v>-4.2526860000000001E-4</v>
      </c>
      <c r="Z1111" s="1">
        <v>2.4355709999999999E-5</v>
      </c>
      <c r="AA1111">
        <v>0.99999990000000005</v>
      </c>
      <c r="AB1111">
        <v>36</v>
      </c>
      <c r="AC1111">
        <v>127.048299999999</v>
      </c>
      <c r="AD1111">
        <v>0.26355999999999902</v>
      </c>
      <c r="AE1111">
        <v>0.22669999999999299</v>
      </c>
      <c r="AF1111">
        <v>-5.3977276648621002E-2</v>
      </c>
      <c r="AG1111">
        <v>0.26355999999999902</v>
      </c>
      <c r="AH1111">
        <v>127.04794404233</v>
      </c>
      <c r="AI1111">
        <v>89.881140519532394</v>
      </c>
      <c r="AJ1111">
        <v>90.024342542327602</v>
      </c>
      <c r="AK1111">
        <v>127.048228884952</v>
      </c>
      <c r="AL1111">
        <v>93.671956906124805</v>
      </c>
      <c r="AM1111">
        <v>90.475316571290307</v>
      </c>
      <c r="AN1111">
        <v>1.0000000560373901</v>
      </c>
    </row>
    <row r="1112" spans="1:40" x14ac:dyDescent="0.25">
      <c r="A1112" t="str">
        <f>"20190303153759972"</f>
        <v>20190303153759972</v>
      </c>
      <c r="B1112" t="str">
        <f>"1551598679960090"</f>
        <v>1551598679960090</v>
      </c>
      <c r="C1112" t="s">
        <v>40</v>
      </c>
      <c r="D1112">
        <v>4.243881</v>
      </c>
      <c r="E1112">
        <v>0.50295210000000001</v>
      </c>
      <c r="F1112" t="s">
        <v>41</v>
      </c>
      <c r="G1112">
        <v>-158.19499999999999</v>
      </c>
      <c r="H1112">
        <v>1.298009</v>
      </c>
      <c r="I1112">
        <v>367.18830000000003</v>
      </c>
      <c r="J1112">
        <v>-285.04239999999999</v>
      </c>
      <c r="K1112">
        <v>1.0708709999999999</v>
      </c>
      <c r="L1112">
        <v>366.88850000000002</v>
      </c>
      <c r="M1112">
        <v>0.9999053</v>
      </c>
      <c r="N1112">
        <v>-1.3690610000000001E-2</v>
      </c>
      <c r="O1112">
        <v>1.4925299999999999E-3</v>
      </c>
      <c r="P1112">
        <v>0.99692369999999997</v>
      </c>
      <c r="Q1112">
        <v>-7.7751529999999999E-2</v>
      </c>
      <c r="R1112">
        <v>9.8972780000000007E-3</v>
      </c>
      <c r="S1112">
        <v>3.009674</v>
      </c>
      <c r="T1112">
        <v>5.3812269999999997E-3</v>
      </c>
      <c r="U1112">
        <v>7.1105959999999899E-3</v>
      </c>
      <c r="V1112">
        <v>-8.3757539999999991E-3</v>
      </c>
      <c r="W1112">
        <v>-6.4099950000000003E-2</v>
      </c>
      <c r="X1112">
        <v>0.99790840000000003</v>
      </c>
      <c r="Y1112">
        <v>-8.7009390000000004E-4</v>
      </c>
      <c r="Z1112" s="1">
        <v>2.82815E-5</v>
      </c>
      <c r="AA1112">
        <v>0.99999959999999999</v>
      </c>
      <c r="AB1112">
        <v>36</v>
      </c>
      <c r="AC1112">
        <v>126.84739999999999</v>
      </c>
      <c r="AD1112">
        <v>0.22713800000000001</v>
      </c>
      <c r="AE1112">
        <v>0.29980000000000401</v>
      </c>
      <c r="AF1112">
        <v>-0.110458042215794</v>
      </c>
      <c r="AG1112">
        <v>0.22713800000000001</v>
      </c>
      <c r="AH1112">
        <v>126.847299470564</v>
      </c>
      <c r="AI1112">
        <v>89.897403965414796</v>
      </c>
      <c r="AJ1112">
        <v>90.049892887424306</v>
      </c>
      <c r="AK1112">
        <v>126.84755092482099</v>
      </c>
      <c r="AL1112">
        <v>93.675176058826395</v>
      </c>
      <c r="AM1112">
        <v>90.480889915096895</v>
      </c>
      <c r="AN1112">
        <v>1.0000000658178101</v>
      </c>
    </row>
    <row r="1113" spans="1:40" x14ac:dyDescent="0.25">
      <c r="A1113" t="str">
        <f>"20190303153759985"</f>
        <v>20190303153759985</v>
      </c>
      <c r="B1113" t="str">
        <f>"1551598679979609"</f>
        <v>1551598679979609</v>
      </c>
      <c r="C1113" t="s">
        <v>40</v>
      </c>
      <c r="D1113">
        <v>4.2416140000000002</v>
      </c>
      <c r="E1113">
        <v>0.50294779999999994</v>
      </c>
      <c r="F1113" t="s">
        <v>41</v>
      </c>
      <c r="G1113">
        <v>-158.19499999999999</v>
      </c>
      <c r="H1113">
        <v>1.3148899999999999</v>
      </c>
      <c r="I1113">
        <v>367.214</v>
      </c>
      <c r="J1113">
        <v>-284.84059999999999</v>
      </c>
      <c r="K1113">
        <v>1.0708089999999999</v>
      </c>
      <c r="L1113">
        <v>366.88889999999998</v>
      </c>
      <c r="M1113">
        <v>0.9999091</v>
      </c>
      <c r="N1113">
        <v>-1.3387120000000001E-2</v>
      </c>
      <c r="O1113">
        <v>1.628572E-3</v>
      </c>
      <c r="P1113">
        <v>0.99690970000000001</v>
      </c>
      <c r="Q1113">
        <v>-7.7845600000000001E-2</v>
      </c>
      <c r="R1113">
        <v>1.0548979999999999E-2</v>
      </c>
      <c r="S1113">
        <v>3.0096440000000002</v>
      </c>
      <c r="T1113">
        <v>5.791783E-3</v>
      </c>
      <c r="U1113">
        <v>7.7209469999999997E-3</v>
      </c>
      <c r="V1113">
        <v>-8.8918119999999903E-3</v>
      </c>
      <c r="W1113">
        <v>-6.4497280000000004E-2</v>
      </c>
      <c r="X1113">
        <v>0.9978783</v>
      </c>
      <c r="Y1113">
        <v>-9.3687909999999998E-4</v>
      </c>
      <c r="Z1113" s="1">
        <v>3.0306559999999999E-5</v>
      </c>
      <c r="AA1113">
        <v>0.99999959999999999</v>
      </c>
      <c r="AB1113">
        <v>36</v>
      </c>
      <c r="AC1113">
        <v>126.6456</v>
      </c>
      <c r="AD1113">
        <v>0.24408099999999899</v>
      </c>
      <c r="AE1113">
        <v>0.32510000000001998</v>
      </c>
      <c r="AF1113">
        <v>-0.118829172966591</v>
      </c>
      <c r="AG1113">
        <v>0.24408099999999899</v>
      </c>
      <c r="AH1113">
        <v>126.645491110392</v>
      </c>
      <c r="AI1113">
        <v>89.889575321112403</v>
      </c>
      <c r="AJ1113">
        <v>90.053759577513105</v>
      </c>
      <c r="AK1113">
        <v>126.645782063593</v>
      </c>
      <c r="AL1113">
        <v>93.697988718731395</v>
      </c>
      <c r="AM1113">
        <v>90.510533014415799</v>
      </c>
      <c r="AN1113">
        <v>1.00000003252946</v>
      </c>
    </row>
    <row r="1114" spans="1:40" x14ac:dyDescent="0.25">
      <c r="A1114" t="str">
        <f>"20190303153759998"</f>
        <v>20190303153759998</v>
      </c>
      <c r="B1114" t="str">
        <f>"1551598679990345"</f>
        <v>1551598679990345</v>
      </c>
      <c r="C1114" t="s">
        <v>40</v>
      </c>
      <c r="D1114">
        <v>4.2112100000000003</v>
      </c>
      <c r="E1114">
        <v>0.50295579999999995</v>
      </c>
      <c r="F1114" t="s">
        <v>41</v>
      </c>
      <c r="G1114">
        <v>-158.19499999999999</v>
      </c>
      <c r="H1114">
        <v>1.277987</v>
      </c>
      <c r="I1114">
        <v>367.31020000000001</v>
      </c>
      <c r="J1114">
        <v>-284.64089999999999</v>
      </c>
      <c r="K1114">
        <v>1.0707549999999999</v>
      </c>
      <c r="L1114">
        <v>366.88940000000002</v>
      </c>
      <c r="M1114">
        <v>0.99991269999999999</v>
      </c>
      <c r="N1114">
        <v>-1.30937E-2</v>
      </c>
      <c r="O1114">
        <v>1.7646280000000001E-3</v>
      </c>
      <c r="P1114">
        <v>0.99689830000000001</v>
      </c>
      <c r="Q1114">
        <v>-7.7935340000000006E-2</v>
      </c>
      <c r="R1114">
        <v>1.095322E-2</v>
      </c>
      <c r="S1114">
        <v>3.0095519999999998</v>
      </c>
      <c r="T1114">
        <v>4.9253700000000001E-3</v>
      </c>
      <c r="U1114">
        <v>1.0009769999999999E-2</v>
      </c>
      <c r="V1114">
        <v>-9.1609020000000003E-3</v>
      </c>
      <c r="W1114">
        <v>-6.4880010000000002E-2</v>
      </c>
      <c r="X1114">
        <v>0.99785100000000004</v>
      </c>
      <c r="Y1114">
        <v>-1.5614120000000001E-3</v>
      </c>
      <c r="Z1114" s="1">
        <v>3.4939340000000002E-5</v>
      </c>
      <c r="AA1114">
        <v>0.99999879999999997</v>
      </c>
      <c r="AB1114">
        <v>36</v>
      </c>
      <c r="AC1114">
        <v>126.44589999999999</v>
      </c>
      <c r="AD1114">
        <v>0.207232</v>
      </c>
      <c r="AE1114">
        <v>0.42079999999998502</v>
      </c>
      <c r="AF1114">
        <v>-0.197649704762076</v>
      </c>
      <c r="AG1114">
        <v>0.207232</v>
      </c>
      <c r="AH1114">
        <v>126.446106085504</v>
      </c>
      <c r="AI1114">
        <v>89.906098382847802</v>
      </c>
      <c r="AJ1114">
        <v>90.089559773980596</v>
      </c>
      <c r="AK1114">
        <v>126.446430375452</v>
      </c>
      <c r="AL1114">
        <v>93.719963761318894</v>
      </c>
      <c r="AM1114">
        <v>90.525996642307604</v>
      </c>
      <c r="AN1114">
        <v>0.999999978012026</v>
      </c>
    </row>
    <row r="1115" spans="1:40" x14ac:dyDescent="0.25">
      <c r="A1115" t="str">
        <f>"20190303153800013"</f>
        <v>20190303153800013</v>
      </c>
      <c r="B1115" t="str">
        <f>"1551598680009865"</f>
        <v>1551598680009865</v>
      </c>
      <c r="C1115" t="s">
        <v>40</v>
      </c>
      <c r="D1115">
        <v>4.245533</v>
      </c>
      <c r="E1115">
        <v>0.50300180000000005</v>
      </c>
      <c r="F1115" t="s">
        <v>41</v>
      </c>
      <c r="G1115">
        <v>-158.19499999999999</v>
      </c>
      <c r="H1115">
        <v>1.253155</v>
      </c>
      <c r="I1115">
        <v>367.3433</v>
      </c>
      <c r="J1115">
        <v>-284.39440000000002</v>
      </c>
      <c r="K1115">
        <v>1.0707009999999999</v>
      </c>
      <c r="L1115">
        <v>366.89</v>
      </c>
      <c r="M1115">
        <v>0.99991699999999994</v>
      </c>
      <c r="N1115">
        <v>-1.274053E-2</v>
      </c>
      <c r="O1115">
        <v>1.9336679999999999E-3</v>
      </c>
      <c r="P1115">
        <v>0.99689209999999995</v>
      </c>
      <c r="Q1115">
        <v>-7.7957460000000006E-2</v>
      </c>
      <c r="R1115">
        <v>1.1341469999999999E-2</v>
      </c>
      <c r="S1115">
        <v>3.0095519999999998</v>
      </c>
      <c r="T1115">
        <v>4.3433899999999999E-3</v>
      </c>
      <c r="U1115">
        <v>1.0803220000000001E-2</v>
      </c>
      <c r="V1115">
        <v>-9.3809719999999996E-3</v>
      </c>
      <c r="W1115">
        <v>-6.5254660000000006E-2</v>
      </c>
      <c r="X1115">
        <v>0.9978245</v>
      </c>
      <c r="Y1115">
        <v>-1.6560100000000001E-3</v>
      </c>
      <c r="Z1115" s="1">
        <v>3.6782120000000003E-5</v>
      </c>
      <c r="AA1115">
        <v>0.99999859999999896</v>
      </c>
      <c r="AB1115">
        <v>36</v>
      </c>
      <c r="AC1115">
        <v>126.1994</v>
      </c>
      <c r="AD1115">
        <v>0.18245399999999901</v>
      </c>
      <c r="AE1115">
        <v>0.45330000000001203</v>
      </c>
      <c r="AF1115">
        <v>-0.209251173973488</v>
      </c>
      <c r="AG1115">
        <v>0.18245399999999901</v>
      </c>
      <c r="AH1115">
        <v>126.199776847983</v>
      </c>
      <c r="AI1115">
        <v>89.917164492975999</v>
      </c>
      <c r="AJ1115">
        <v>90.095001738030604</v>
      </c>
      <c r="AK1115">
        <v>126.20008221866</v>
      </c>
      <c r="AL1115">
        <v>93.741475304703997</v>
      </c>
      <c r="AM1115">
        <v>90.538646093070895</v>
      </c>
      <c r="AN1115">
        <v>0.99999995304381395</v>
      </c>
    </row>
    <row r="1116" spans="1:40" x14ac:dyDescent="0.25">
      <c r="A1116" t="str">
        <f>"20190303153800026"</f>
        <v>20190303153800026</v>
      </c>
      <c r="B1116" t="str">
        <f>"1551598680019625"</f>
        <v>1551598680019625</v>
      </c>
      <c r="C1116" t="s">
        <v>40</v>
      </c>
      <c r="D1116">
        <v>4.2171459999999996</v>
      </c>
      <c r="E1116">
        <v>0.50303980000000004</v>
      </c>
      <c r="F1116" t="s">
        <v>41</v>
      </c>
      <c r="G1116">
        <v>-158.19499999999999</v>
      </c>
      <c r="H1116">
        <v>1.2374179999999999</v>
      </c>
      <c r="I1116">
        <v>367.36860000000001</v>
      </c>
      <c r="J1116">
        <v>-284.18209999999999</v>
      </c>
      <c r="K1116">
        <v>1.070657</v>
      </c>
      <c r="L1116">
        <v>366.89049999999997</v>
      </c>
      <c r="M1116">
        <v>0.99992040000000004</v>
      </c>
      <c r="N1116">
        <v>-1.244906E-2</v>
      </c>
      <c r="O1116">
        <v>2.079769E-3</v>
      </c>
      <c r="P1116">
        <v>0.99682720000000002</v>
      </c>
      <c r="Q1116">
        <v>-7.8681840000000003E-2</v>
      </c>
      <c r="R1116">
        <v>1.203623E-2</v>
      </c>
      <c r="S1116">
        <v>3.0095519999999998</v>
      </c>
      <c r="T1116">
        <v>3.9778950000000004E-3</v>
      </c>
      <c r="U1116">
        <v>1.141357E-2</v>
      </c>
      <c r="V1116">
        <v>-9.9298530000000006E-3</v>
      </c>
      <c r="W1116">
        <v>-6.6270889999999999E-2</v>
      </c>
      <c r="X1116">
        <v>0.99775219999999998</v>
      </c>
      <c r="Y1116">
        <v>-1.712709E-3</v>
      </c>
      <c r="Z1116" s="1">
        <v>3.8170249999999999E-5</v>
      </c>
      <c r="AA1116">
        <v>0.99999850000000001</v>
      </c>
      <c r="AB1116">
        <v>36</v>
      </c>
      <c r="AC1116">
        <v>125.9871</v>
      </c>
      <c r="AD1116">
        <v>0.16676099999999999</v>
      </c>
      <c r="AE1116">
        <v>0.47810000000003999</v>
      </c>
      <c r="AF1116">
        <v>-0.216054230380859</v>
      </c>
      <c r="AG1116">
        <v>0.16676099999999999</v>
      </c>
      <c r="AH1116">
        <v>125.987601168819</v>
      </c>
      <c r="AI1116">
        <v>89.924161728856703</v>
      </c>
      <c r="AJ1116">
        <v>90.098255568778995</v>
      </c>
      <c r="AK1116">
        <v>125.98789678748901</v>
      </c>
      <c r="AL1116">
        <v>93.799827354718005</v>
      </c>
      <c r="AM1116">
        <v>90.570201584480202</v>
      </c>
      <c r="AN1116">
        <v>0.99999994272341497</v>
      </c>
    </row>
    <row r="1117" spans="1:40" x14ac:dyDescent="0.25">
      <c r="A1117" t="str">
        <f>"20190303153800042"</f>
        <v>20190303153800042</v>
      </c>
      <c r="B1117" t="str">
        <f>"1551598680030361"</f>
        <v>1551598680030361</v>
      </c>
      <c r="C1117" t="s">
        <v>40</v>
      </c>
      <c r="D1117">
        <v>4.3019150000000002</v>
      </c>
      <c r="E1117">
        <v>0.50303980000000004</v>
      </c>
      <c r="F1117" t="s">
        <v>41</v>
      </c>
      <c r="G1117">
        <v>-158.78319999999999</v>
      </c>
      <c r="H1117">
        <v>1.156881</v>
      </c>
      <c r="I1117">
        <v>367.43729999999999</v>
      </c>
      <c r="J1117">
        <v>-283.94619999999998</v>
      </c>
      <c r="K1117">
        <v>1.0706180000000001</v>
      </c>
      <c r="L1117">
        <v>366.89109999999999</v>
      </c>
      <c r="M1117">
        <v>0.99992389999999998</v>
      </c>
      <c r="N1117">
        <v>-1.2141040000000001E-2</v>
      </c>
      <c r="O1117">
        <v>2.2415550000000001E-3</v>
      </c>
      <c r="P1117">
        <v>0.99683999999999995</v>
      </c>
      <c r="Q1117">
        <v>-7.8494839999999996E-2</v>
      </c>
      <c r="R1117">
        <v>1.2209019999999999E-2</v>
      </c>
      <c r="S1117">
        <v>3.0095830000000001</v>
      </c>
      <c r="T1117">
        <v>2.0715E-3</v>
      </c>
      <c r="U1117">
        <v>1.312256E-2</v>
      </c>
      <c r="V1117">
        <v>-9.9411919999999997E-3</v>
      </c>
      <c r="W1117">
        <v>-6.6391039999999998E-2</v>
      </c>
      <c r="X1117">
        <v>0.99774410000000002</v>
      </c>
      <c r="Y1117">
        <v>-2.1187010000000002E-3</v>
      </c>
      <c r="Z1117" s="1">
        <v>4.0891489999999999E-5</v>
      </c>
      <c r="AA1117">
        <v>0.99999769999999999</v>
      </c>
      <c r="AB1117">
        <v>36</v>
      </c>
      <c r="AC1117">
        <v>125.162999999999</v>
      </c>
      <c r="AD1117">
        <v>8.6262999999999895E-2</v>
      </c>
      <c r="AE1117">
        <v>0.54619999999999802</v>
      </c>
      <c r="AF1117">
        <v>-0.26561810573671901</v>
      </c>
      <c r="AG1117">
        <v>8.6262999999999895E-2</v>
      </c>
      <c r="AH1117">
        <v>125.163850483524</v>
      </c>
      <c r="AI1117">
        <v>89.9605118099431</v>
      </c>
      <c r="AJ1117">
        <v>90.121590806897501</v>
      </c>
      <c r="AK1117">
        <v>125.164162051864</v>
      </c>
      <c r="AL1117">
        <v>93.806726635328502</v>
      </c>
      <c r="AM1117">
        <v>90.5708572944515</v>
      </c>
      <c r="AN1117">
        <v>0.99999994328773401</v>
      </c>
    </row>
    <row r="1118" spans="1:40" x14ac:dyDescent="0.25">
      <c r="A1118" t="str">
        <f>"20190303153800056"</f>
        <v>20190303153800056</v>
      </c>
      <c r="B1118" t="str">
        <f>"1551598680049881"</f>
        <v>1551598680049881</v>
      </c>
      <c r="C1118" t="s">
        <v>40</v>
      </c>
      <c r="D1118">
        <v>4.2555690000000004</v>
      </c>
      <c r="E1118">
        <v>0.50381049999999905</v>
      </c>
      <c r="F1118" t="s">
        <v>41</v>
      </c>
      <c r="G1118">
        <v>-158.78319999999999</v>
      </c>
      <c r="H1118">
        <v>1.181054</v>
      </c>
      <c r="I1118">
        <v>367.47370000000001</v>
      </c>
      <c r="J1118">
        <v>-283.69720000000001</v>
      </c>
      <c r="K1118">
        <v>1.0705830000000001</v>
      </c>
      <c r="L1118">
        <v>366.89179999999999</v>
      </c>
      <c r="M1118">
        <v>0.99992729999999996</v>
      </c>
      <c r="N1118">
        <v>-1.1831319999999999E-2</v>
      </c>
      <c r="O1118">
        <v>2.411364E-3</v>
      </c>
      <c r="P1118">
        <v>0.99686629999999998</v>
      </c>
      <c r="Q1118">
        <v>-7.8096769999999996E-2</v>
      </c>
      <c r="R1118">
        <v>1.259795E-2</v>
      </c>
      <c r="S1118">
        <v>3.0095519999999998</v>
      </c>
      <c r="T1118">
        <v>2.6575330000000001E-3</v>
      </c>
      <c r="U1118">
        <v>1.400757E-2</v>
      </c>
      <c r="V1118">
        <v>-1.016105E-2</v>
      </c>
      <c r="W1118">
        <v>-6.6301819999999997E-2</v>
      </c>
      <c r="X1118">
        <v>0.99774790000000002</v>
      </c>
      <c r="Y1118">
        <v>-2.2430060000000001E-3</v>
      </c>
      <c r="Z1118" s="1">
        <v>4.2938780000000002E-5</v>
      </c>
      <c r="AA1118">
        <v>0.99999749999999998</v>
      </c>
      <c r="AB1118">
        <v>36</v>
      </c>
      <c r="AC1118">
        <v>124.914</v>
      </c>
      <c r="AD1118">
        <v>0.110471</v>
      </c>
      <c r="AE1118">
        <v>0.58190000000001796</v>
      </c>
      <c r="AF1118">
        <v>-0.28066394190618599</v>
      </c>
      <c r="AG1118">
        <v>0.110471</v>
      </c>
      <c r="AH1118">
        <v>124.914942355615</v>
      </c>
      <c r="AI1118">
        <v>89.949329485227693</v>
      </c>
      <c r="AJ1118">
        <v>90.128734256841199</v>
      </c>
      <c r="AK1118">
        <v>124.915306507236</v>
      </c>
      <c r="AL1118">
        <v>93.801603105810003</v>
      </c>
      <c r="AM1118">
        <v>90.5834792083633</v>
      </c>
      <c r="AN1118">
        <v>1.00000002511341</v>
      </c>
    </row>
    <row r="1119" spans="1:40" x14ac:dyDescent="0.25">
      <c r="A1119" t="str">
        <f>"20190303153800070"</f>
        <v>20190303153800070</v>
      </c>
      <c r="B1119" t="str">
        <f>"1551598680059641"</f>
        <v>1551598680059641</v>
      </c>
      <c r="C1119" t="s">
        <v>40</v>
      </c>
      <c r="D1119">
        <v>4.2368959999999998</v>
      </c>
      <c r="E1119">
        <v>0.50415339999999997</v>
      </c>
      <c r="F1119" t="s">
        <v>41</v>
      </c>
      <c r="G1119">
        <v>-158.19499999999999</v>
      </c>
      <c r="H1119">
        <v>1.1207009999999999</v>
      </c>
      <c r="I1119">
        <v>367.27109999999999</v>
      </c>
      <c r="J1119">
        <v>-283.48</v>
      </c>
      <c r="K1119">
        <v>1.07056</v>
      </c>
      <c r="L1119">
        <v>366.89249999999998</v>
      </c>
      <c r="M1119">
        <v>0.99992970000000003</v>
      </c>
      <c r="N1119">
        <v>-1.157331E-2</v>
      </c>
      <c r="O1119">
        <v>2.5586760000000002E-3</v>
      </c>
      <c r="P1119">
        <v>0.99688929999999998</v>
      </c>
      <c r="Q1119">
        <v>-7.7787120000000001E-2</v>
      </c>
      <c r="R1119">
        <v>1.26958E-2</v>
      </c>
      <c r="S1119">
        <v>3.00943</v>
      </c>
      <c r="T1119">
        <v>1.203895E-3</v>
      </c>
      <c r="U1119">
        <v>9.0942379999999993E-3</v>
      </c>
      <c r="V1119">
        <v>-1.0112080000000001E-2</v>
      </c>
      <c r="W1119">
        <v>-6.6249329999999995E-2</v>
      </c>
      <c r="X1119">
        <v>0.99775179999999997</v>
      </c>
      <c r="Y1119">
        <v>-4.6323859999999997E-4</v>
      </c>
      <c r="Z1119" s="1">
        <v>3.3224910000000002E-5</v>
      </c>
      <c r="AA1119">
        <v>0.99999990000000005</v>
      </c>
      <c r="AB1119">
        <v>36</v>
      </c>
      <c r="AC1119">
        <v>125.285</v>
      </c>
      <c r="AD1119">
        <v>5.0140999999999901E-2</v>
      </c>
      <c r="AE1119">
        <v>0.37860000000000499</v>
      </c>
      <c r="AF1119">
        <v>-5.8013540905239303E-2</v>
      </c>
      <c r="AG1119">
        <v>5.0140999999999901E-2</v>
      </c>
      <c r="AH1119">
        <v>125.285538547553</v>
      </c>
      <c r="AI1119">
        <v>89.977069442710601</v>
      </c>
      <c r="AJ1119">
        <v>90.026530841862893</v>
      </c>
      <c r="AK1119">
        <v>125.28556201271201</v>
      </c>
      <c r="AL1119">
        <v>93.798589342956603</v>
      </c>
      <c r="AM1119">
        <v>90.580665121563598</v>
      </c>
      <c r="AN1119">
        <v>0.99999994114530499</v>
      </c>
    </row>
    <row r="1120" spans="1:40" x14ac:dyDescent="0.25">
      <c r="A1120" t="str">
        <f>"20190303153800082"</f>
        <v>20190303153800082</v>
      </c>
      <c r="B1120" t="str">
        <f>"1551598680070378"</f>
        <v>1551598680070378</v>
      </c>
      <c r="C1120" t="s">
        <v>40</v>
      </c>
      <c r="D1120">
        <v>4.2854400000000004</v>
      </c>
      <c r="E1120">
        <v>0.50448289999999996</v>
      </c>
      <c r="F1120" t="s">
        <v>41</v>
      </c>
      <c r="G1120">
        <v>-158.19499999999999</v>
      </c>
      <c r="H1120">
        <v>1.141902</v>
      </c>
      <c r="I1120">
        <v>367.17320000000001</v>
      </c>
      <c r="J1120">
        <v>-283.28149999999999</v>
      </c>
      <c r="K1120">
        <v>1.070541</v>
      </c>
      <c r="L1120">
        <v>366.89299999999997</v>
      </c>
      <c r="M1120">
        <v>0.99993189999999998</v>
      </c>
      <c r="N1120">
        <v>-1.1357239999999999E-2</v>
      </c>
      <c r="O1120">
        <v>2.6922040000000001E-3</v>
      </c>
      <c r="P1120">
        <v>0.99694380000000005</v>
      </c>
      <c r="Q1120">
        <v>-7.7091740000000006E-2</v>
      </c>
      <c r="R1120">
        <v>1.2648990000000001E-2</v>
      </c>
      <c r="S1120">
        <v>3.0093990000000002</v>
      </c>
      <c r="T1120">
        <v>1.715779E-3</v>
      </c>
      <c r="U1120">
        <v>6.7443850000000003E-3</v>
      </c>
      <c r="V1120">
        <v>-9.9316109999999999E-3</v>
      </c>
      <c r="W1120">
        <v>-6.5768930000000003E-2</v>
      </c>
      <c r="X1120">
        <v>0.99778540000000004</v>
      </c>
      <c r="Y1120">
        <v>4.5108840000000002E-4</v>
      </c>
      <c r="Z1120" s="1">
        <v>2.9678840000000001E-5</v>
      </c>
      <c r="AA1120">
        <v>0.99999990000000005</v>
      </c>
      <c r="AB1120">
        <v>36</v>
      </c>
      <c r="AC1120">
        <v>125.0865</v>
      </c>
      <c r="AD1120">
        <v>7.1360999999999994E-2</v>
      </c>
      <c r="AE1120">
        <v>0.28019999999997902</v>
      </c>
      <c r="AF1120">
        <v>5.6581086961911803E-2</v>
      </c>
      <c r="AG1120">
        <v>7.1360999999999994E-2</v>
      </c>
      <c r="AH1120">
        <v>125.086760322949</v>
      </c>
      <c r="AI1120">
        <v>89.967313221243998</v>
      </c>
      <c r="AJ1120">
        <v>89.974083130351204</v>
      </c>
      <c r="AK1120">
        <v>125.086793475181</v>
      </c>
      <c r="AL1120">
        <v>93.771004264925693</v>
      </c>
      <c r="AM1120">
        <v>90.570283552567602</v>
      </c>
      <c r="AN1120">
        <v>0.99999994675177795</v>
      </c>
    </row>
    <row r="1121" spans="1:40" x14ac:dyDescent="0.25">
      <c r="A1121" t="str">
        <f>"20190303153800092"</f>
        <v>20190303153800092</v>
      </c>
      <c r="B1121" t="str">
        <f>"1551598680089898"</f>
        <v>1551598680089898</v>
      </c>
      <c r="C1121" t="s">
        <v>40</v>
      </c>
      <c r="D1121">
        <v>4.249193</v>
      </c>
      <c r="E1121">
        <v>0.5051388</v>
      </c>
      <c r="F1121" t="s">
        <v>41</v>
      </c>
      <c r="G1121">
        <v>-158.19499999999999</v>
      </c>
      <c r="H1121">
        <v>1.2069259999999999</v>
      </c>
      <c r="I1121">
        <v>367.05290000000002</v>
      </c>
      <c r="J1121">
        <v>-283.10430000000002</v>
      </c>
      <c r="K1121">
        <v>1.0705279999999999</v>
      </c>
      <c r="L1121">
        <v>366.89359999999999</v>
      </c>
      <c r="M1121">
        <v>0.99993379999999998</v>
      </c>
      <c r="N1121">
        <v>-1.117069E-2</v>
      </c>
      <c r="O1121">
        <v>2.8108870000000002E-3</v>
      </c>
      <c r="P1121">
        <v>0.99696169999999995</v>
      </c>
      <c r="Q1121">
        <v>-7.6768610000000001E-2</v>
      </c>
      <c r="R1121">
        <v>1.319596E-2</v>
      </c>
      <c r="S1121">
        <v>3.0093380000000001</v>
      </c>
      <c r="T1121">
        <v>3.2832619999999999E-3</v>
      </c>
      <c r="U1121">
        <v>3.8452149999999999E-3</v>
      </c>
      <c r="V1121">
        <v>-1.035991E-2</v>
      </c>
      <c r="W1121">
        <v>-6.5631990000000001E-2</v>
      </c>
      <c r="X1121">
        <v>0.99779010000000001</v>
      </c>
      <c r="Y1121">
        <v>1.5331019999999999E-3</v>
      </c>
      <c r="Z1121" s="1">
        <v>2.674036E-5</v>
      </c>
      <c r="AA1121">
        <v>0.99999879999999997</v>
      </c>
      <c r="AB1121">
        <v>36</v>
      </c>
      <c r="AC1121">
        <v>124.9093</v>
      </c>
      <c r="AD1121">
        <v>0.13639799999999899</v>
      </c>
      <c r="AE1121">
        <v>0.15930000000003</v>
      </c>
      <c r="AF1121">
        <v>0.191828185637133</v>
      </c>
      <c r="AG1121">
        <v>0.13639799999999899</v>
      </c>
      <c r="AH1121">
        <v>124.90910533730001</v>
      </c>
      <c r="AI1121">
        <v>89.937434365646794</v>
      </c>
      <c r="AJ1121">
        <v>89.912008522050797</v>
      </c>
      <c r="AK1121">
        <v>124.909327108235</v>
      </c>
      <c r="AL1121">
        <v>93.763141048215999</v>
      </c>
      <c r="AM1121">
        <v>90.594872399025107</v>
      </c>
      <c r="AN1121">
        <v>0.99999998475228902</v>
      </c>
    </row>
    <row r="1122" spans="1:40" x14ac:dyDescent="0.25">
      <c r="A1122" t="str">
        <f>"20190303153800103"</f>
        <v>20190303153800103</v>
      </c>
      <c r="B1122" t="str">
        <f>"1551598680099657"</f>
        <v>1551598680099657</v>
      </c>
      <c r="C1122" t="s">
        <v>40</v>
      </c>
      <c r="D1122">
        <v>4.2655900000000004</v>
      </c>
      <c r="E1122">
        <v>0.50547489999999995</v>
      </c>
      <c r="F1122" t="s">
        <v>41</v>
      </c>
      <c r="G1122">
        <v>-158.19499999999999</v>
      </c>
      <c r="H1122">
        <v>1.221452</v>
      </c>
      <c r="I1122">
        <v>366.90249999999997</v>
      </c>
      <c r="J1122">
        <v>-282.9273</v>
      </c>
      <c r="K1122">
        <v>1.0705100000000001</v>
      </c>
      <c r="L1122">
        <v>366.89420000000001</v>
      </c>
      <c r="M1122">
        <v>0.99993529999999997</v>
      </c>
      <c r="N1122">
        <v>-1.0996590000000001E-2</v>
      </c>
      <c r="O1122">
        <v>2.9293079999999998E-3</v>
      </c>
      <c r="P1122">
        <v>0.99698260000000005</v>
      </c>
      <c r="Q1122">
        <v>-7.6491190000000001E-2</v>
      </c>
      <c r="R1122">
        <v>1.3217380000000001E-2</v>
      </c>
      <c r="S1122">
        <v>3.0093990000000002</v>
      </c>
      <c r="T1122">
        <v>3.6382680000000001E-3</v>
      </c>
      <c r="U1122">
        <v>2.13623E-4</v>
      </c>
      <c r="V1122">
        <v>-1.026292E-2</v>
      </c>
      <c r="W1122">
        <v>-6.5528080000000002E-2</v>
      </c>
      <c r="X1122">
        <v>0.99779799999999996</v>
      </c>
      <c r="Y1122">
        <v>2.8582999999999998E-3</v>
      </c>
      <c r="Z1122" s="1">
        <v>2.176632E-5</v>
      </c>
      <c r="AA1122">
        <v>0.99999590000000005</v>
      </c>
      <c r="AB1122">
        <v>36</v>
      </c>
      <c r="AC1122">
        <v>124.7323</v>
      </c>
      <c r="AD1122">
        <v>0.15094199999999899</v>
      </c>
      <c r="AE1122">
        <v>8.2999999999628891E-3</v>
      </c>
      <c r="AF1122">
        <v>0.35710091056752402</v>
      </c>
      <c r="AG1122">
        <v>0.15094199999999899</v>
      </c>
      <c r="AH1122">
        <v>124.73160643656</v>
      </c>
      <c r="AI1122">
        <v>89.930664727779103</v>
      </c>
      <c r="AJ1122">
        <v>89.8359652399308</v>
      </c>
      <c r="AK1122">
        <v>124.73220894697801</v>
      </c>
      <c r="AL1122">
        <v>93.757174343740701</v>
      </c>
      <c r="AM1122">
        <v>90.5892989027911</v>
      </c>
      <c r="AN1122">
        <v>1.0000000527996999</v>
      </c>
    </row>
    <row r="1123" spans="1:40" x14ac:dyDescent="0.25">
      <c r="A1123" t="str">
        <f>"20190303153800115"</f>
        <v>20190303153800115</v>
      </c>
      <c r="B1123" t="str">
        <f>"1551598680110394"</f>
        <v>1551598680110394</v>
      </c>
      <c r="C1123" t="s">
        <v>40</v>
      </c>
      <c r="D1123">
        <v>4.2522349999999998</v>
      </c>
      <c r="E1123">
        <v>0.50580829999999999</v>
      </c>
      <c r="F1123" t="s">
        <v>41</v>
      </c>
      <c r="G1123">
        <v>-158.19499999999999</v>
      </c>
      <c r="H1123">
        <v>1.241557</v>
      </c>
      <c r="I1123">
        <v>366.79930000000002</v>
      </c>
      <c r="J1123">
        <v>-282.75020000000001</v>
      </c>
      <c r="K1123">
        <v>1.0704979999999999</v>
      </c>
      <c r="L1123">
        <v>366.89479999999998</v>
      </c>
      <c r="M1123">
        <v>0.99993679999999996</v>
      </c>
      <c r="N1123">
        <v>-1.0831439999999999E-2</v>
      </c>
      <c r="O1123">
        <v>3.0478459999999999E-3</v>
      </c>
      <c r="P1123">
        <v>0.99701430000000002</v>
      </c>
      <c r="Q1123">
        <v>-7.5991030000000001E-2</v>
      </c>
      <c r="R1123">
        <v>1.371441E-2</v>
      </c>
      <c r="S1123">
        <v>3.009369</v>
      </c>
      <c r="T1123">
        <v>4.1289330000000004E-3</v>
      </c>
      <c r="U1123">
        <v>-2.2888180000000002E-3</v>
      </c>
      <c r="V1123">
        <v>-1.0641400000000001E-2</v>
      </c>
      <c r="W1123">
        <v>-6.5192589999999995E-2</v>
      </c>
      <c r="X1123">
        <v>0.99781600000000004</v>
      </c>
      <c r="Y1123">
        <v>3.8083819999999999E-3</v>
      </c>
      <c r="Z1123" s="1">
        <v>1.918205E-5</v>
      </c>
      <c r="AA1123">
        <v>0.99999269999999996</v>
      </c>
      <c r="AB1123">
        <v>36</v>
      </c>
      <c r="AC1123">
        <v>124.5552</v>
      </c>
      <c r="AD1123">
        <v>0.17105899999999999</v>
      </c>
      <c r="AE1123">
        <v>-9.5499999999958604E-2</v>
      </c>
      <c r="AF1123">
        <v>0.47514595856036601</v>
      </c>
      <c r="AG1123">
        <v>0.17105899999999999</v>
      </c>
      <c r="AH1123">
        <v>124.554095402</v>
      </c>
      <c r="AI1123">
        <v>89.921312251992205</v>
      </c>
      <c r="AJ1123">
        <v>89.781430502682696</v>
      </c>
      <c r="AK1123">
        <v>124.55511914921</v>
      </c>
      <c r="AL1123">
        <v>93.737911035521904</v>
      </c>
      <c r="AM1123">
        <v>90.611018659287595</v>
      </c>
      <c r="AN1123">
        <v>1.00000004152043</v>
      </c>
    </row>
    <row r="1124" spans="1:40" x14ac:dyDescent="0.25">
      <c r="A1124" t="str">
        <f>"20190303153800126"</f>
        <v>20190303153800126</v>
      </c>
      <c r="B1124" t="str">
        <f>"1551598680120153"</f>
        <v>1551598680120153</v>
      </c>
      <c r="C1124" t="s">
        <v>40</v>
      </c>
      <c r="D1124">
        <v>4.2363030000000004</v>
      </c>
      <c r="E1124">
        <v>0.50611390000000001</v>
      </c>
      <c r="F1124" t="s">
        <v>41</v>
      </c>
      <c r="G1124">
        <v>-158.19499999999999</v>
      </c>
      <c r="H1124">
        <v>1.3048420000000001</v>
      </c>
      <c r="I1124">
        <v>366.73950000000002</v>
      </c>
      <c r="J1124">
        <v>-282.55500000000001</v>
      </c>
      <c r="K1124">
        <v>1.0704880000000001</v>
      </c>
      <c r="L1124">
        <v>366.89550000000003</v>
      </c>
      <c r="M1124">
        <v>0.99993810000000005</v>
      </c>
      <c r="N1124">
        <v>-1.065935E-2</v>
      </c>
      <c r="O1124">
        <v>3.1783860000000001E-3</v>
      </c>
      <c r="P1124">
        <v>0.99703900000000001</v>
      </c>
      <c r="Q1124">
        <v>-7.5669799999999995E-2</v>
      </c>
      <c r="R1124">
        <v>1.3690519999999999E-2</v>
      </c>
      <c r="S1124">
        <v>3.0094599999999998</v>
      </c>
      <c r="T1124">
        <v>5.6642289999999998E-3</v>
      </c>
      <c r="U1124">
        <v>-3.7536620000000001E-3</v>
      </c>
      <c r="V1124">
        <v>-1.0487349999999999E-2</v>
      </c>
      <c r="W1124">
        <v>-6.5042779999999994E-2</v>
      </c>
      <c r="X1124">
        <v>0.99782740000000003</v>
      </c>
      <c r="Y1124">
        <v>4.4256299999999998E-3</v>
      </c>
      <c r="Z1124" s="1">
        <v>2.0439529999999998E-5</v>
      </c>
      <c r="AA1124">
        <v>0.99999020000000005</v>
      </c>
      <c r="AB1124">
        <v>36</v>
      </c>
      <c r="AC1124">
        <v>124.36</v>
      </c>
      <c r="AD1124">
        <v>0.23435400000000001</v>
      </c>
      <c r="AE1124">
        <v>-0.156000000000005</v>
      </c>
      <c r="AF1124">
        <v>0.55128380864841298</v>
      </c>
      <c r="AG1124">
        <v>0.23435400000000001</v>
      </c>
      <c r="AH1124">
        <v>124.358434290372</v>
      </c>
      <c r="AI1124">
        <v>89.892027047788901</v>
      </c>
      <c r="AJ1124">
        <v>89.746008151160297</v>
      </c>
      <c r="AK1124">
        <v>124.359877029481</v>
      </c>
      <c r="AL1124">
        <v>93.729309326955999</v>
      </c>
      <c r="AM1124">
        <v>90.602167037617704</v>
      </c>
      <c r="AN1124">
        <v>1.00000003396545</v>
      </c>
    </row>
    <row r="1125" spans="1:40" x14ac:dyDescent="0.25">
      <c r="A1125" t="str">
        <f>"20190303153800137"</f>
        <v>20190303153800137</v>
      </c>
      <c r="B1125" t="str">
        <f>"1551598680129913"</f>
        <v>1551598680129913</v>
      </c>
      <c r="C1125" t="s">
        <v>40</v>
      </c>
      <c r="D1125">
        <v>4.2717489999999998</v>
      </c>
      <c r="E1125">
        <v>0.50643379999999905</v>
      </c>
      <c r="F1125" t="s">
        <v>41</v>
      </c>
      <c r="G1125">
        <v>-158.19499999999999</v>
      </c>
      <c r="H1125">
        <v>1.332387</v>
      </c>
      <c r="I1125">
        <v>366.637</v>
      </c>
      <c r="J1125">
        <v>-282.38159999999999</v>
      </c>
      <c r="K1125">
        <v>1.0704819999999999</v>
      </c>
      <c r="L1125">
        <v>366.89609999999999</v>
      </c>
      <c r="M1125">
        <v>0.99993940000000003</v>
      </c>
      <c r="N1125">
        <v>-1.051906E-2</v>
      </c>
      <c r="O1125">
        <v>3.2943809999999999E-3</v>
      </c>
      <c r="P1125">
        <v>0.99702809999999997</v>
      </c>
      <c r="Q1125">
        <v>-7.5748709999999997E-2</v>
      </c>
      <c r="R1125">
        <v>1.4063600000000001E-2</v>
      </c>
      <c r="S1125">
        <v>3.0094910000000001</v>
      </c>
      <c r="T1125">
        <v>6.3400269999999998E-3</v>
      </c>
      <c r="U1125">
        <v>-6.2561040000000002E-3</v>
      </c>
      <c r="V1125">
        <v>-1.07446E-2</v>
      </c>
      <c r="W1125">
        <v>-6.5261929999999996E-2</v>
      </c>
      <c r="X1125">
        <v>0.99781030000000004</v>
      </c>
      <c r="Y1125">
        <v>5.3731169999999898E-3</v>
      </c>
      <c r="Z1125" s="1">
        <v>1.8993629999999999E-5</v>
      </c>
      <c r="AA1125">
        <v>0.99998560000000003</v>
      </c>
      <c r="AB1125">
        <v>36</v>
      </c>
      <c r="AC1125">
        <v>124.1866</v>
      </c>
      <c r="AD1125">
        <v>0.261905</v>
      </c>
      <c r="AE1125">
        <v>-0.25910000000004602</v>
      </c>
      <c r="AF1125">
        <v>0.66823617081606201</v>
      </c>
      <c r="AG1125">
        <v>0.261905</v>
      </c>
      <c r="AH1125">
        <v>124.18452007093001</v>
      </c>
      <c r="AI1125">
        <v>89.879165200047794</v>
      </c>
      <c r="AJ1125">
        <v>89.691694723669201</v>
      </c>
      <c r="AK1125">
        <v>124.18659411972</v>
      </c>
      <c r="AL1125">
        <v>93.741892632467795</v>
      </c>
      <c r="AM1125">
        <v>90.616947369388996</v>
      </c>
      <c r="AN1125">
        <v>0.99999998036128701</v>
      </c>
    </row>
    <row r="1126" spans="1:40" x14ac:dyDescent="0.25">
      <c r="A1126" t="str">
        <f>"20190303153800148"</f>
        <v>20190303153800148</v>
      </c>
      <c r="B1126" t="str">
        <f>"1551598680139673"</f>
        <v>1551598680139673</v>
      </c>
      <c r="C1126" t="s">
        <v>40</v>
      </c>
      <c r="D1126">
        <v>4.2581069999999999</v>
      </c>
      <c r="E1126">
        <v>0.50672629999999996</v>
      </c>
      <c r="F1126" t="s">
        <v>41</v>
      </c>
      <c r="G1126">
        <v>-158.19499999999999</v>
      </c>
      <c r="H1126">
        <v>1.3096239999999999</v>
      </c>
      <c r="I1126">
        <v>366.59019999999998</v>
      </c>
      <c r="J1126">
        <v>-282.20249999999999</v>
      </c>
      <c r="K1126">
        <v>1.070476</v>
      </c>
      <c r="L1126">
        <v>366.89690000000002</v>
      </c>
      <c r="M1126">
        <v>0.9999403</v>
      </c>
      <c r="N1126">
        <v>-1.0378190000000001E-2</v>
      </c>
      <c r="O1126">
        <v>3.4146020000000001E-3</v>
      </c>
      <c r="P1126">
        <v>0.99704020000000004</v>
      </c>
      <c r="Q1126">
        <v>-7.5602069999999993E-2</v>
      </c>
      <c r="R1126">
        <v>1.3974159999999999E-2</v>
      </c>
      <c r="S1126">
        <v>3.0094910000000001</v>
      </c>
      <c r="T1126">
        <v>5.7973859999999999E-3</v>
      </c>
      <c r="U1126">
        <v>-7.4157709999999998E-3</v>
      </c>
      <c r="V1126">
        <v>-1.0535259999999999E-2</v>
      </c>
      <c r="W1126">
        <v>-6.5255679999999996E-2</v>
      </c>
      <c r="X1126">
        <v>0.99781299999999995</v>
      </c>
      <c r="Y1126">
        <v>5.8786709999999898E-3</v>
      </c>
      <c r="Z1126" s="1">
        <v>1.7172349999999998E-5</v>
      </c>
      <c r="AA1126">
        <v>0.9999827</v>
      </c>
      <c r="AB1126">
        <v>36</v>
      </c>
      <c r="AC1126">
        <v>124.00749999999999</v>
      </c>
      <c r="AD1126">
        <v>0.239147999999999</v>
      </c>
      <c r="AE1126">
        <v>-0.306700000000034</v>
      </c>
      <c r="AF1126">
        <v>0.73015456553643998</v>
      </c>
      <c r="AG1126">
        <v>0.239147999999999</v>
      </c>
      <c r="AH1126">
        <v>124.00526848709499</v>
      </c>
      <c r="AI1126">
        <v>89.889505367462107</v>
      </c>
      <c r="AJ1126">
        <v>89.662641014753902</v>
      </c>
      <c r="AK1126">
        <v>124.00764867544299</v>
      </c>
      <c r="AL1126">
        <v>93.741533548331304</v>
      </c>
      <c r="AM1126">
        <v>90.604926479289503</v>
      </c>
      <c r="AN1126">
        <v>1.0000000392222601</v>
      </c>
    </row>
    <row r="1127" spans="1:40" x14ac:dyDescent="0.25">
      <c r="A1127" t="str">
        <f>"20190303153800160"</f>
        <v>20190303153800160</v>
      </c>
      <c r="B1127" t="str">
        <f>"1551598680150410"</f>
        <v>1551598680150410</v>
      </c>
      <c r="C1127" t="s">
        <v>40</v>
      </c>
      <c r="D1127">
        <v>4.2455949999999998</v>
      </c>
      <c r="E1127">
        <v>0.50700420000000002</v>
      </c>
      <c r="F1127" t="s">
        <v>41</v>
      </c>
      <c r="G1127">
        <v>-158.19499999999999</v>
      </c>
      <c r="H1127">
        <v>1.312635</v>
      </c>
      <c r="I1127">
        <v>366.47179999999997</v>
      </c>
      <c r="J1127">
        <v>-282.01760000000002</v>
      </c>
      <c r="K1127">
        <v>1.070473</v>
      </c>
      <c r="L1127">
        <v>366.89760000000001</v>
      </c>
      <c r="M1127">
        <v>0.99994130000000003</v>
      </c>
      <c r="N1127">
        <v>-1.024802E-2</v>
      </c>
      <c r="O1127">
        <v>3.5384520000000001E-3</v>
      </c>
      <c r="P1127">
        <v>0.99705339999999998</v>
      </c>
      <c r="Q1127">
        <v>-7.5460970000000002E-2</v>
      </c>
      <c r="R1127">
        <v>1.380868E-2</v>
      </c>
      <c r="S1127">
        <v>3.0094599999999998</v>
      </c>
      <c r="T1127">
        <v>5.8789250000000001E-3</v>
      </c>
      <c r="U1127">
        <v>-1.031494E-2</v>
      </c>
      <c r="V1127">
        <v>-1.024598E-2</v>
      </c>
      <c r="W1127">
        <v>-6.5244189999999994E-2</v>
      </c>
      <c r="X1127">
        <v>0.9978167</v>
      </c>
      <c r="Y1127">
        <v>6.9658740000000004E-3</v>
      </c>
      <c r="Z1127" s="1">
        <v>1.4284750000000001E-5</v>
      </c>
      <c r="AA1127">
        <v>0.99997570000000002</v>
      </c>
      <c r="AB1127">
        <v>36</v>
      </c>
      <c r="AC1127">
        <v>123.82259999999999</v>
      </c>
      <c r="AD1127">
        <v>0.24216199999999999</v>
      </c>
      <c r="AE1127">
        <v>-0.42580000000003698</v>
      </c>
      <c r="AF1127">
        <v>0.86395733322196999</v>
      </c>
      <c r="AG1127">
        <v>0.24216199999999999</v>
      </c>
      <c r="AH1127">
        <v>123.81984441086399</v>
      </c>
      <c r="AI1127">
        <v>89.887946030040993</v>
      </c>
      <c r="AJ1127">
        <v>89.600223164590304</v>
      </c>
      <c r="AK1127">
        <v>123.823095320051</v>
      </c>
      <c r="AL1127">
        <v>93.740874052203495</v>
      </c>
      <c r="AM1127">
        <v>90.588315248057995</v>
      </c>
      <c r="AN1127">
        <v>0.99999997561690201</v>
      </c>
    </row>
    <row r="1128" spans="1:40" x14ac:dyDescent="0.25">
      <c r="A1128" t="str">
        <f>"20190303153800170"</f>
        <v>20190303153800170</v>
      </c>
      <c r="B1128" t="str">
        <f>"1551598680160170"</f>
        <v>1551598680160170</v>
      </c>
      <c r="C1128" t="s">
        <v>40</v>
      </c>
      <c r="D1128">
        <v>4.2651620000000001</v>
      </c>
      <c r="E1128">
        <v>0.507274</v>
      </c>
      <c r="F1128" t="s">
        <v>41</v>
      </c>
      <c r="G1128">
        <v>-158.19499999999999</v>
      </c>
      <c r="H1128">
        <v>1.314127</v>
      </c>
      <c r="I1128">
        <v>366.36149999999998</v>
      </c>
      <c r="J1128">
        <v>-281.84429999999998</v>
      </c>
      <c r="K1128">
        <v>1.0704750000000001</v>
      </c>
      <c r="L1128">
        <v>366.89830000000001</v>
      </c>
      <c r="M1128">
        <v>0.99994209999999994</v>
      </c>
      <c r="N1128">
        <v>-1.0128740000000001E-2</v>
      </c>
      <c r="O1128">
        <v>3.6547900000000002E-3</v>
      </c>
      <c r="P1128">
        <v>0.99706170000000005</v>
      </c>
      <c r="Q1128">
        <v>-7.5319280000000002E-2</v>
      </c>
      <c r="R1128">
        <v>1.39644E-2</v>
      </c>
      <c r="S1128">
        <v>3.0094910000000001</v>
      </c>
      <c r="T1128">
        <v>5.9241060000000002E-3</v>
      </c>
      <c r="U1128">
        <v>-1.3031010000000001E-2</v>
      </c>
      <c r="V1128">
        <v>-1.028549E-2</v>
      </c>
      <c r="W1128">
        <v>-6.5221500000000002E-2</v>
      </c>
      <c r="X1128">
        <v>0.99781779999999998</v>
      </c>
      <c r="Y1128">
        <v>7.9846420000000001E-3</v>
      </c>
      <c r="Z1128" s="1">
        <v>1.163379E-5</v>
      </c>
      <c r="AA1128">
        <v>0.99996810000000003</v>
      </c>
      <c r="AB1128">
        <v>36</v>
      </c>
      <c r="AC1128">
        <v>123.649299999999</v>
      </c>
      <c r="AD1128">
        <v>0.24365200000000001</v>
      </c>
      <c r="AE1128">
        <v>-0.53680000000002703</v>
      </c>
      <c r="AF1128">
        <v>0.98872794908658401</v>
      </c>
      <c r="AG1128">
        <v>0.24365200000000001</v>
      </c>
      <c r="AH1128">
        <v>123.646032002122</v>
      </c>
      <c r="AI1128">
        <v>89.887098949577506</v>
      </c>
      <c r="AJ1128">
        <v>89.541847560799297</v>
      </c>
      <c r="AK1128">
        <v>123.650225147892</v>
      </c>
      <c r="AL1128">
        <v>93.739571149651198</v>
      </c>
      <c r="AM1128">
        <v>90.590583066452297</v>
      </c>
      <c r="AN1128">
        <v>0.99999999868181499</v>
      </c>
    </row>
    <row r="1129" spans="1:40" x14ac:dyDescent="0.25">
      <c r="A1129" t="str">
        <f>"20190303153800181"</f>
        <v>20190303153800181</v>
      </c>
      <c r="B1129" t="str">
        <f>"1551598680169929"</f>
        <v>1551598680169929</v>
      </c>
      <c r="C1129" t="s">
        <v>40</v>
      </c>
      <c r="D1129">
        <v>4.2723659999999999</v>
      </c>
      <c r="E1129">
        <v>0.50755939999999999</v>
      </c>
      <c r="F1129" t="s">
        <v>41</v>
      </c>
      <c r="G1129">
        <v>-158.19499999999999</v>
      </c>
      <c r="H1129">
        <v>1.317107</v>
      </c>
      <c r="I1129">
        <v>366.29520000000002</v>
      </c>
      <c r="J1129">
        <v>-281.6499</v>
      </c>
      <c r="K1129">
        <v>1.07047</v>
      </c>
      <c r="L1129">
        <v>366.89909999999998</v>
      </c>
      <c r="M1129">
        <v>0.99994280000000002</v>
      </c>
      <c r="N1129">
        <v>-1.001108E-2</v>
      </c>
      <c r="O1129">
        <v>3.785952E-3</v>
      </c>
      <c r="P1129">
        <v>0.99709990000000004</v>
      </c>
      <c r="Q1129">
        <v>-7.4854669999999998E-2</v>
      </c>
      <c r="R1129">
        <v>1.373198E-2</v>
      </c>
      <c r="S1129">
        <v>3.0094599999999998</v>
      </c>
      <c r="T1129">
        <v>6.0048100000000002E-3</v>
      </c>
      <c r="U1129">
        <v>-1.467896E-2</v>
      </c>
      <c r="V1129">
        <v>-9.9222019999999998E-3</v>
      </c>
      <c r="W1129">
        <v>-6.4873749999999994E-2</v>
      </c>
      <c r="X1129">
        <v>0.99784419999999996</v>
      </c>
      <c r="Y1129">
        <v>8.6634060000000002E-3</v>
      </c>
      <c r="Z1129" s="1">
        <v>1.0732909999999999E-5</v>
      </c>
      <c r="AA1129">
        <v>0.99996240000000003</v>
      </c>
      <c r="AB1129">
        <v>36</v>
      </c>
      <c r="AC1129">
        <v>123.45489999999999</v>
      </c>
      <c r="AD1129">
        <v>0.246637</v>
      </c>
      <c r="AE1129">
        <v>-0.60389999999995303</v>
      </c>
      <c r="AF1129">
        <v>1.07130910772934</v>
      </c>
      <c r="AG1129">
        <v>0.246637</v>
      </c>
      <c r="AH1129">
        <v>123.451235988646</v>
      </c>
      <c r="AI1129">
        <v>89.885536113152995</v>
      </c>
      <c r="AJ1129">
        <v>89.502800039429999</v>
      </c>
      <c r="AK1129">
        <v>123.456130670528</v>
      </c>
      <c r="AL1129">
        <v>93.719604062498206</v>
      </c>
      <c r="AM1129">
        <v>90.569709742448794</v>
      </c>
      <c r="AN1129">
        <v>1.0000000505026101</v>
      </c>
    </row>
    <row r="1130" spans="1:40" x14ac:dyDescent="0.25">
      <c r="A1130" t="str">
        <f>"20190303153800195"</f>
        <v>20190303153800195</v>
      </c>
      <c r="B1130" t="str">
        <f>"1551598680190425"</f>
        <v>1551598680190425</v>
      </c>
      <c r="C1130" t="s">
        <v>40</v>
      </c>
      <c r="D1130">
        <v>4.2899799999999999</v>
      </c>
      <c r="E1130">
        <v>0.50807389999999997</v>
      </c>
      <c r="F1130" t="s">
        <v>41</v>
      </c>
      <c r="G1130">
        <v>-158.19499999999999</v>
      </c>
      <c r="H1130">
        <v>1.360401</v>
      </c>
      <c r="I1130">
        <v>366.1755</v>
      </c>
      <c r="J1130">
        <v>-281.4547</v>
      </c>
      <c r="K1130">
        <v>1.0704670000000001</v>
      </c>
      <c r="L1130">
        <v>366.8999</v>
      </c>
      <c r="M1130">
        <v>0.99994340000000004</v>
      </c>
      <c r="N1130">
        <v>-9.9005740000000005E-3</v>
      </c>
      <c r="O1130">
        <v>3.9170740000000004E-3</v>
      </c>
      <c r="P1130">
        <v>0.99713419999999997</v>
      </c>
      <c r="Q1130">
        <v>-7.4352260000000003E-2</v>
      </c>
      <c r="R1130">
        <v>1.396698E-2</v>
      </c>
      <c r="S1130">
        <v>3.0094910000000001</v>
      </c>
      <c r="T1130">
        <v>7.0698260000000004E-3</v>
      </c>
      <c r="U1130">
        <v>-1.7639160000000001E-2</v>
      </c>
      <c r="V1130">
        <v>-1.0026180000000001E-2</v>
      </c>
      <c r="W1130">
        <v>-6.4481360000000001E-2</v>
      </c>
      <c r="X1130">
        <v>0.99786850000000005</v>
      </c>
      <c r="Y1130">
        <v>9.7780249999999992E-3</v>
      </c>
      <c r="Z1130" s="1">
        <v>1.1063029999999999E-5</v>
      </c>
      <c r="AA1130">
        <v>0.99995219999999996</v>
      </c>
      <c r="AB1130">
        <v>36</v>
      </c>
      <c r="AC1130">
        <v>123.2597</v>
      </c>
      <c r="AD1130">
        <v>0.28993399999999903</v>
      </c>
      <c r="AE1130">
        <v>-0.72440000000000204</v>
      </c>
      <c r="AF1130">
        <v>1.20722875322961</v>
      </c>
      <c r="AG1130">
        <v>0.28993399999999903</v>
      </c>
      <c r="AH1130">
        <v>123.255234680454</v>
      </c>
      <c r="AI1130">
        <v>89.865229520008697</v>
      </c>
      <c r="AJ1130">
        <v>89.438831941662997</v>
      </c>
      <c r="AK1130">
        <v>123.261487655799</v>
      </c>
      <c r="AL1130">
        <v>93.697074948060902</v>
      </c>
      <c r="AM1130">
        <v>90.575665499513406</v>
      </c>
      <c r="AN1130">
        <v>0.99999995668254504</v>
      </c>
    </row>
    <row r="1131" spans="1:40" x14ac:dyDescent="0.25">
      <c r="A1131" t="str">
        <f>"20190303153800207"</f>
        <v>20190303153800207</v>
      </c>
      <c r="B1131" t="str">
        <f>"1551598680200185"</f>
        <v>1551598680200185</v>
      </c>
      <c r="C1131" t="s">
        <v>40</v>
      </c>
      <c r="D1131">
        <v>4.2118019999999996</v>
      </c>
      <c r="E1131">
        <v>0.50834630000000003</v>
      </c>
      <c r="F1131" t="s">
        <v>41</v>
      </c>
      <c r="G1131">
        <v>-158.19499999999999</v>
      </c>
      <c r="H1131">
        <v>1.388555</v>
      </c>
      <c r="I1131">
        <v>366.04629999999997</v>
      </c>
      <c r="J1131">
        <v>-281.24610000000001</v>
      </c>
      <c r="K1131">
        <v>1.0704629999999999</v>
      </c>
      <c r="L1131">
        <v>366.90089999999998</v>
      </c>
      <c r="M1131">
        <v>0.9999439</v>
      </c>
      <c r="N1131">
        <v>-9.7939020000000002E-3</v>
      </c>
      <c r="O1131">
        <v>4.0573529999999997E-3</v>
      </c>
      <c r="P1131">
        <v>0.99713960000000001</v>
      </c>
      <c r="Q1131">
        <v>-7.4265990000000004E-2</v>
      </c>
      <c r="R1131">
        <v>1.405724E-2</v>
      </c>
      <c r="S1131">
        <v>3.0094910000000001</v>
      </c>
      <c r="T1131">
        <v>7.7685119999999896E-3</v>
      </c>
      <c r="U1131">
        <v>-2.0843509999999999E-2</v>
      </c>
      <c r="V1131">
        <v>-9.9766850000000008E-3</v>
      </c>
      <c r="W1131">
        <v>-6.4501429999999998E-2</v>
      </c>
      <c r="X1131">
        <v>0.99786779999999997</v>
      </c>
      <c r="Y1131">
        <v>1.098294E-2</v>
      </c>
      <c r="Z1131" s="1">
        <v>1.0601220000000001E-5</v>
      </c>
      <c r="AA1131">
        <v>0.99993969999999999</v>
      </c>
      <c r="AB1131">
        <v>37</v>
      </c>
      <c r="AC1131">
        <v>123.05110000000001</v>
      </c>
      <c r="AD1131">
        <v>0.31809199999999999</v>
      </c>
      <c r="AE1131">
        <v>-0.85460000000000402</v>
      </c>
      <c r="AF1131">
        <v>1.35386956813382</v>
      </c>
      <c r="AG1131">
        <v>0.31809199999999999</v>
      </c>
      <c r="AH1131">
        <v>123.045797273006</v>
      </c>
      <c r="AI1131">
        <v>89.851891037483696</v>
      </c>
      <c r="AJ1131">
        <v>89.369601531926406</v>
      </c>
      <c r="AK1131">
        <v>123.053656475042</v>
      </c>
      <c r="AL1131">
        <v>93.698226899893001</v>
      </c>
      <c r="AM1131">
        <v>90.572824274637696</v>
      </c>
      <c r="AN1131">
        <v>1.00000005749623</v>
      </c>
    </row>
    <row r="1132" spans="1:40" x14ac:dyDescent="0.25">
      <c r="A1132" t="str">
        <f>"20190303153800221"</f>
        <v>20190303153800221</v>
      </c>
      <c r="B1132" t="str">
        <f>"1551598680209946"</f>
        <v>1551598680209946</v>
      </c>
      <c r="C1132" t="s">
        <v>40</v>
      </c>
      <c r="D1132">
        <v>4.2620979999999999</v>
      </c>
      <c r="E1132">
        <v>0.50858879999999995</v>
      </c>
      <c r="F1132" t="s">
        <v>41</v>
      </c>
      <c r="G1132">
        <v>-158.19499999999999</v>
      </c>
      <c r="H1132">
        <v>1.3939729999999999</v>
      </c>
      <c r="I1132">
        <v>365.97379999999998</v>
      </c>
      <c r="J1132">
        <v>-281.01830000000001</v>
      </c>
      <c r="K1132">
        <v>1.0706370000000001</v>
      </c>
      <c r="L1132">
        <v>366.90190000000001</v>
      </c>
      <c r="M1132">
        <v>0.99993770000000004</v>
      </c>
      <c r="N1132">
        <v>-1.035871E-2</v>
      </c>
      <c r="O1132">
        <v>4.1913640000000004E-3</v>
      </c>
      <c r="P1132">
        <v>0.99709049999999999</v>
      </c>
      <c r="Q1132">
        <v>-7.486421E-2</v>
      </c>
      <c r="R1132">
        <v>1.4344249999999999E-2</v>
      </c>
      <c r="S1132">
        <v>3.0094910000000001</v>
      </c>
      <c r="T1132">
        <v>7.914305E-3</v>
      </c>
      <c r="U1132">
        <v>-2.267456E-2</v>
      </c>
      <c r="V1132">
        <v>-1.013083E-2</v>
      </c>
      <c r="W1132">
        <v>-6.4536419999999997E-2</v>
      </c>
      <c r="X1132">
        <v>0.99786390000000003</v>
      </c>
      <c r="Y1132">
        <v>1.1725309999999999E-2</v>
      </c>
      <c r="Z1132" s="1">
        <v>9.1249889999999998E-6</v>
      </c>
      <c r="AA1132">
        <v>0.99993129999999997</v>
      </c>
      <c r="AB1132">
        <v>37</v>
      </c>
      <c r="AC1132">
        <v>122.8233</v>
      </c>
      <c r="AD1132">
        <v>0.32333599999999901</v>
      </c>
      <c r="AE1132">
        <v>-0.92810000000002901</v>
      </c>
      <c r="AF1132">
        <v>1.44290655699795</v>
      </c>
      <c r="AG1132">
        <v>0.32333599999999901</v>
      </c>
      <c r="AH1132">
        <v>122.817479712797</v>
      </c>
      <c r="AI1132">
        <v>89.849170761006903</v>
      </c>
      <c r="AJ1132">
        <v>89.326898314075194</v>
      </c>
      <c r="AK1132">
        <v>122.82638091429899</v>
      </c>
      <c r="AL1132">
        <v>93.700236177634494</v>
      </c>
      <c r="AM1132">
        <v>90.581676378957098</v>
      </c>
      <c r="AN1132">
        <v>0.99999997307305699</v>
      </c>
    </row>
    <row r="1133" spans="1:40" x14ac:dyDescent="0.25">
      <c r="A1133" t="str">
        <f>"20190303153800235"</f>
        <v>20190303153800235</v>
      </c>
      <c r="B1133" t="str">
        <f>"1551598680230441"</f>
        <v>1551598680230441</v>
      </c>
      <c r="C1133" t="s">
        <v>40</v>
      </c>
      <c r="D1133">
        <v>4.256043</v>
      </c>
      <c r="E1133">
        <v>0.50907740000000001</v>
      </c>
      <c r="F1133" t="s">
        <v>41</v>
      </c>
      <c r="G1133">
        <v>-158.19499999999999</v>
      </c>
      <c r="H1133">
        <v>1.306406</v>
      </c>
      <c r="I1133">
        <v>365.93799999999999</v>
      </c>
      <c r="J1133">
        <v>-280.78730000000002</v>
      </c>
      <c r="K1133">
        <v>1.0709550000000001</v>
      </c>
      <c r="L1133">
        <v>366.90300000000002</v>
      </c>
      <c r="M1133">
        <v>0.9999285</v>
      </c>
      <c r="N1133">
        <v>-1.1160079999999999E-2</v>
      </c>
      <c r="O1133">
        <v>4.3225590000000001E-3</v>
      </c>
      <c r="P1133">
        <v>0.99707590000000001</v>
      </c>
      <c r="Q1133">
        <v>-7.4994640000000001E-2</v>
      </c>
      <c r="R1133">
        <v>1.469497E-2</v>
      </c>
      <c r="S1133">
        <v>3.0095209999999999</v>
      </c>
      <c r="T1133">
        <v>5.7791469999999897E-3</v>
      </c>
      <c r="U1133">
        <v>-2.362061E-2</v>
      </c>
      <c r="V1133">
        <v>-1.035253E-2</v>
      </c>
      <c r="W1133">
        <v>-6.3867140000000003E-2</v>
      </c>
      <c r="X1133">
        <v>0.99790469999999998</v>
      </c>
      <c r="Y1133">
        <v>1.2170739999999999E-2</v>
      </c>
      <c r="Z1133" s="1">
        <v>3.1028320000000001E-7</v>
      </c>
      <c r="AA1133">
        <v>0.99992590000000003</v>
      </c>
      <c r="AB1133">
        <v>37</v>
      </c>
      <c r="AC1133">
        <v>122.59229999999999</v>
      </c>
      <c r="AD1133">
        <v>0.23545099999999999</v>
      </c>
      <c r="AE1133">
        <v>-0.96499999999997499</v>
      </c>
      <c r="AF1133">
        <v>1.4949308591044099</v>
      </c>
      <c r="AG1133">
        <v>0.23545099999999999</v>
      </c>
      <c r="AH1133">
        <v>122.58653087628799</v>
      </c>
      <c r="AI1133">
        <v>89.889960757520598</v>
      </c>
      <c r="AJ1133">
        <v>89.301318157345904</v>
      </c>
      <c r="AK1133">
        <v>122.595871903298</v>
      </c>
      <c r="AL1133">
        <v>93.661809924841407</v>
      </c>
      <c r="AM1133">
        <v>90.594380403351295</v>
      </c>
      <c r="AN1133">
        <v>0.99999998836563497</v>
      </c>
    </row>
    <row r="1134" spans="1:40" x14ac:dyDescent="0.25">
      <c r="A1134" t="str">
        <f>"20190303153800248"</f>
        <v>20190303153800248</v>
      </c>
      <c r="B1134" t="str">
        <f>"1551598680240201"</f>
        <v>1551598680240201</v>
      </c>
      <c r="C1134" t="s">
        <v>40</v>
      </c>
      <c r="D1134">
        <v>4.2696529999999999</v>
      </c>
      <c r="E1134">
        <v>0.50930920000000002</v>
      </c>
      <c r="F1134" t="s">
        <v>41</v>
      </c>
      <c r="G1134">
        <v>-158.19499999999999</v>
      </c>
      <c r="H1134">
        <v>1.2683599999999999</v>
      </c>
      <c r="I1134">
        <v>365.82400000000001</v>
      </c>
      <c r="J1134">
        <v>-280.56810000000002</v>
      </c>
      <c r="K1134">
        <v>1.071402</v>
      </c>
      <c r="L1134">
        <v>366.90410000000003</v>
      </c>
      <c r="M1134">
        <v>0.99991779999999997</v>
      </c>
      <c r="N1134">
        <v>-1.203972E-2</v>
      </c>
      <c r="O1134">
        <v>4.4455709999999997E-3</v>
      </c>
      <c r="P1134">
        <v>0.99699930000000003</v>
      </c>
      <c r="Q1134">
        <v>-7.5736730000000002E-2</v>
      </c>
      <c r="R1134">
        <v>1.6023720000000002E-2</v>
      </c>
      <c r="S1134">
        <v>3.0095830000000001</v>
      </c>
      <c r="T1134">
        <v>4.8483609999999998E-3</v>
      </c>
      <c r="U1134">
        <v>-2.6489260000000001E-2</v>
      </c>
      <c r="V1134">
        <v>-1.155982E-2</v>
      </c>
      <c r="W1134">
        <v>-6.3732529999999996E-2</v>
      </c>
      <c r="X1134">
        <v>0.99790009999999996</v>
      </c>
      <c r="Y1134">
        <v>1.3246630000000001E-2</v>
      </c>
      <c r="Z1134" s="1">
        <v>-8.3916889999999995E-6</v>
      </c>
      <c r="AA1134">
        <v>0.99991229999999998</v>
      </c>
      <c r="AB1134">
        <v>36</v>
      </c>
      <c r="AC1134">
        <v>122.37309999999999</v>
      </c>
      <c r="AD1134">
        <v>0.19695799999999999</v>
      </c>
      <c r="AE1134">
        <v>-1.0801000000000101</v>
      </c>
      <c r="AF1134">
        <v>1.62414276793665</v>
      </c>
      <c r="AG1134">
        <v>0.19695799999999999</v>
      </c>
      <c r="AH1134">
        <v>122.366771614206</v>
      </c>
      <c r="AI1134">
        <v>89.907786579819302</v>
      </c>
      <c r="AJ1134">
        <v>89.239572468711003</v>
      </c>
      <c r="AK1134">
        <v>122.377708049577</v>
      </c>
      <c r="AL1134">
        <v>93.654081416372193</v>
      </c>
      <c r="AM1134">
        <v>90.663692962660704</v>
      </c>
      <c r="AN1134">
        <v>1.0000000371993201</v>
      </c>
    </row>
    <row r="1135" spans="1:40" x14ac:dyDescent="0.25">
      <c r="A1135" t="str">
        <f>"20190303153800261"</f>
        <v>20190303153800261</v>
      </c>
      <c r="B1135" t="str">
        <f>"1551598680249961"</f>
        <v>1551598680249961</v>
      </c>
      <c r="C1135" t="s">
        <v>40</v>
      </c>
      <c r="D1135">
        <v>4.2538629999999999</v>
      </c>
      <c r="E1135">
        <v>0.50953019999999904</v>
      </c>
      <c r="F1135" t="s">
        <v>41</v>
      </c>
      <c r="G1135">
        <v>-158.19499999999999</v>
      </c>
      <c r="H1135">
        <v>1.1613260000000001</v>
      </c>
      <c r="I1135">
        <v>365.91019999999997</v>
      </c>
      <c r="J1135">
        <v>-280.37139999999999</v>
      </c>
      <c r="K1135">
        <v>1.0717810000000001</v>
      </c>
      <c r="L1135">
        <v>366.9051</v>
      </c>
      <c r="M1135">
        <v>0.99991839999999999</v>
      </c>
      <c r="N1135">
        <v>-1.194134E-2</v>
      </c>
      <c r="O1135">
        <v>4.565782E-3</v>
      </c>
      <c r="P1135">
        <v>0.99697480000000005</v>
      </c>
      <c r="Q1135">
        <v>-7.5891699999999895E-2</v>
      </c>
      <c r="R1135">
        <v>1.6798649999999998E-2</v>
      </c>
      <c r="S1135">
        <v>3.0095830000000001</v>
      </c>
      <c r="T1135">
        <v>2.213717E-3</v>
      </c>
      <c r="U1135">
        <v>-2.444458E-2</v>
      </c>
      <c r="V1135">
        <v>-1.221437E-2</v>
      </c>
      <c r="W1135">
        <v>-6.3986399999999999E-2</v>
      </c>
      <c r="X1135">
        <v>0.99787599999999999</v>
      </c>
      <c r="Y1135">
        <v>1.2687540000000001E-2</v>
      </c>
      <c r="Z1135" s="1">
        <v>-1.321007E-5</v>
      </c>
      <c r="AA1135">
        <v>0.99991949999999996</v>
      </c>
      <c r="AB1135">
        <v>36</v>
      </c>
      <c r="AC1135">
        <v>122.1764</v>
      </c>
      <c r="AD1135">
        <v>8.9545000000000194E-2</v>
      </c>
      <c r="AE1135">
        <v>-0.99490000000002898</v>
      </c>
      <c r="AF1135">
        <v>1.5527593093602801</v>
      </c>
      <c r="AG1135">
        <v>8.9545000000000194E-2</v>
      </c>
      <c r="AH1135">
        <v>122.17051790385401</v>
      </c>
      <c r="AI1135">
        <v>89.958008401650005</v>
      </c>
      <c r="AJ1135">
        <v>89.271822969115604</v>
      </c>
      <c r="AK1135">
        <v>122.18041792642499</v>
      </c>
      <c r="AL1135">
        <v>93.668657052503605</v>
      </c>
      <c r="AM1135">
        <v>90.701286434792905</v>
      </c>
      <c r="AN1135">
        <v>0.99999998079772801</v>
      </c>
    </row>
    <row r="1136" spans="1:40" x14ac:dyDescent="0.25">
      <c r="A1136" t="str">
        <f>"20190303153800273"</f>
        <v>20190303153800273</v>
      </c>
      <c r="B1136" t="str">
        <f>"1551598680259721"</f>
        <v>1551598680259721</v>
      </c>
      <c r="C1136" t="s">
        <v>40</v>
      </c>
      <c r="D1136">
        <v>4.2476469999999997</v>
      </c>
      <c r="E1136">
        <v>0.50974849999999905</v>
      </c>
      <c r="F1136" t="s">
        <v>41</v>
      </c>
      <c r="G1136">
        <v>-158.19499999999999</v>
      </c>
      <c r="H1136">
        <v>1.1356550000000001</v>
      </c>
      <c r="I1136">
        <v>365.9425</v>
      </c>
      <c r="J1136">
        <v>-280.19240000000002</v>
      </c>
      <c r="K1136">
        <v>1.0721339999999999</v>
      </c>
      <c r="L1136">
        <v>366.90600000000001</v>
      </c>
      <c r="M1136">
        <v>0.99992139999999996</v>
      </c>
      <c r="N1136">
        <v>-1.1639129999999999E-2</v>
      </c>
      <c r="O1136">
        <v>4.6720800000000003E-3</v>
      </c>
      <c r="P1136">
        <v>0.99698330000000002</v>
      </c>
      <c r="Q1136">
        <v>-7.5612780000000004E-2</v>
      </c>
      <c r="R1136">
        <v>1.752138E-2</v>
      </c>
      <c r="S1136">
        <v>3.0096129999999999</v>
      </c>
      <c r="T1136">
        <v>1.5755890000000001E-3</v>
      </c>
      <c r="U1136">
        <v>-2.3712159999999999E-2</v>
      </c>
      <c r="V1136">
        <v>-1.2830070000000001E-2</v>
      </c>
      <c r="W1136">
        <v>-6.4009490000000002E-2</v>
      </c>
      <c r="X1136">
        <v>0.99786680000000005</v>
      </c>
      <c r="Y1136">
        <v>1.255042E-2</v>
      </c>
      <c r="Z1136" s="1">
        <v>-1.293068E-5</v>
      </c>
      <c r="AA1136">
        <v>0.99992130000000001</v>
      </c>
      <c r="AB1136">
        <v>36</v>
      </c>
      <c r="AC1136">
        <v>121.9974</v>
      </c>
      <c r="AD1136">
        <v>6.3520999999999897E-2</v>
      </c>
      <c r="AE1136">
        <v>-0.96350000000001002</v>
      </c>
      <c r="AF1136">
        <v>1.53350926143729</v>
      </c>
      <c r="AG1136">
        <v>6.3520999999999897E-2</v>
      </c>
      <c r="AH1136">
        <v>121.991533388688</v>
      </c>
      <c r="AI1136">
        <v>89.970168443186495</v>
      </c>
      <c r="AJ1136">
        <v>89.279794437867494</v>
      </c>
      <c r="AK1136">
        <v>122.001188125754</v>
      </c>
      <c r="AL1136">
        <v>93.669982703118507</v>
      </c>
      <c r="AM1136">
        <v>90.736639757571893</v>
      </c>
      <c r="AN1136">
        <v>0.99999998802425205</v>
      </c>
    </row>
    <row r="1137" spans="1:40" x14ac:dyDescent="0.25">
      <c r="A1137" t="str">
        <f>"20190303153800284"</f>
        <v>20190303153800284</v>
      </c>
      <c r="B1137" t="str">
        <f>"1551598680280217"</f>
        <v>1551598680280217</v>
      </c>
      <c r="C1137" t="s">
        <v>40</v>
      </c>
      <c r="D1137">
        <v>4.2483190000000004</v>
      </c>
      <c r="E1137">
        <v>0.51020559999999904</v>
      </c>
      <c r="F1137" t="s">
        <v>41</v>
      </c>
      <c r="G1137">
        <v>-158.19499999999999</v>
      </c>
      <c r="H1137">
        <v>1.161942</v>
      </c>
      <c r="I1137">
        <v>365.9622</v>
      </c>
      <c r="J1137">
        <v>-279.99560000000002</v>
      </c>
      <c r="K1137">
        <v>1.0725389999999999</v>
      </c>
      <c r="L1137">
        <v>366.90699999999998</v>
      </c>
      <c r="M1137">
        <v>0.99993069999999895</v>
      </c>
      <c r="N1137">
        <v>-1.075717E-2</v>
      </c>
      <c r="O1137">
        <v>4.7793769999999996E-3</v>
      </c>
      <c r="P1137">
        <v>0.9970059</v>
      </c>
      <c r="Q1137">
        <v>-7.5163670000000002E-2</v>
      </c>
      <c r="R1137">
        <v>1.815746E-2</v>
      </c>
      <c r="S1137">
        <v>3.0095830000000001</v>
      </c>
      <c r="T1137">
        <v>2.2176499999999998E-3</v>
      </c>
      <c r="U1137">
        <v>-2.3284909999999999E-2</v>
      </c>
      <c r="V1137">
        <v>-1.3356430000000001E-2</v>
      </c>
      <c r="W1137">
        <v>-6.4440899999999995E-2</v>
      </c>
      <c r="X1137">
        <v>0.9978321</v>
      </c>
      <c r="Y1137">
        <v>1.251585E-2</v>
      </c>
      <c r="Z1137" s="1">
        <v>-7.7744119999999906E-6</v>
      </c>
      <c r="AA1137">
        <v>0.99992170000000002</v>
      </c>
      <c r="AB1137">
        <v>36</v>
      </c>
      <c r="AC1137">
        <v>121.8006</v>
      </c>
      <c r="AD1137">
        <v>8.9403000000000094E-2</v>
      </c>
      <c r="AE1137">
        <v>-0.94479999999998598</v>
      </c>
      <c r="AF1137">
        <v>1.52695306607124</v>
      </c>
      <c r="AG1137">
        <v>8.9403000000000094E-2</v>
      </c>
      <c r="AH1137">
        <v>121.794627286896</v>
      </c>
      <c r="AI1137">
        <v>89.957945508361107</v>
      </c>
      <c r="AJ1137">
        <v>89.281713940769095</v>
      </c>
      <c r="AK1137">
        <v>121.80423151318</v>
      </c>
      <c r="AL1137">
        <v>93.694751910405401</v>
      </c>
      <c r="AM1137">
        <v>90.766883896515793</v>
      </c>
      <c r="AN1137">
        <v>0.99999996180278095</v>
      </c>
    </row>
    <row r="1138" spans="1:40" x14ac:dyDescent="0.25">
      <c r="A1138" t="str">
        <f>"20190303153800295"</f>
        <v>20190303153800295</v>
      </c>
      <c r="B1138" t="str">
        <f>"1551598680289977"</f>
        <v>1551598680289977</v>
      </c>
      <c r="C1138" t="s">
        <v>40</v>
      </c>
      <c r="D1138">
        <v>4.2537890000000003</v>
      </c>
      <c r="E1138">
        <v>0.5104358</v>
      </c>
      <c r="F1138" t="s">
        <v>41</v>
      </c>
      <c r="G1138">
        <v>-158.19499999999999</v>
      </c>
      <c r="H1138">
        <v>1.2058679999999999</v>
      </c>
      <c r="I1138">
        <v>365.89929999999998</v>
      </c>
      <c r="J1138">
        <v>-279.81650000000002</v>
      </c>
      <c r="K1138">
        <v>1.0729850000000001</v>
      </c>
      <c r="L1138">
        <v>366.90800000000002</v>
      </c>
      <c r="M1138">
        <v>0.99993940000000003</v>
      </c>
      <c r="N1138">
        <v>-9.8789800000000007E-3</v>
      </c>
      <c r="O1138">
        <v>4.8791269999999996E-3</v>
      </c>
      <c r="P1138">
        <v>0.9970561</v>
      </c>
      <c r="Q1138">
        <v>-7.4289190000000005E-2</v>
      </c>
      <c r="R1138">
        <v>1.899108E-2</v>
      </c>
      <c r="S1138">
        <v>3.0097049999999999</v>
      </c>
      <c r="T1138">
        <v>3.296733E-3</v>
      </c>
      <c r="U1138">
        <v>-2.4902339999999999E-2</v>
      </c>
      <c r="V1138">
        <v>-1.408916E-2</v>
      </c>
      <c r="W1138">
        <v>-6.4442840000000001E-2</v>
      </c>
      <c r="X1138">
        <v>0.99782190000000004</v>
      </c>
      <c r="Y1138">
        <v>1.31526E-2</v>
      </c>
      <c r="Z1138" s="1">
        <v>-4.2210589999999996E-6</v>
      </c>
      <c r="AA1138">
        <v>0.99991350000000001</v>
      </c>
      <c r="AB1138">
        <v>36</v>
      </c>
      <c r="AC1138">
        <v>121.6215</v>
      </c>
      <c r="AD1138">
        <v>0.132882999999999</v>
      </c>
      <c r="AE1138">
        <v>-1.0087000000000299</v>
      </c>
      <c r="AF1138">
        <v>1.6021217224566899</v>
      </c>
      <c r="AG1138">
        <v>0.132882999999999</v>
      </c>
      <c r="AH1138">
        <v>121.614985212375</v>
      </c>
      <c r="AI1138">
        <v>89.937401041070501</v>
      </c>
      <c r="AJ1138">
        <v>89.245245122376801</v>
      </c>
      <c r="AK1138">
        <v>121.625610296974</v>
      </c>
      <c r="AL1138">
        <v>93.694863287284505</v>
      </c>
      <c r="AM1138">
        <v>90.808957754546697</v>
      </c>
      <c r="AN1138">
        <v>0.99999996408819003</v>
      </c>
    </row>
    <row r="1139" spans="1:40" x14ac:dyDescent="0.25">
      <c r="A1139" t="str">
        <f>"20190303153800306"</f>
        <v>20190303153800306</v>
      </c>
      <c r="B1139" t="str">
        <f>"1551598680299738"</f>
        <v>1551598680299738</v>
      </c>
      <c r="C1139" t="s">
        <v>40</v>
      </c>
      <c r="D1139">
        <v>4.2325689999999998</v>
      </c>
      <c r="E1139">
        <v>0.51067220000000002</v>
      </c>
      <c r="F1139" t="s">
        <v>41</v>
      </c>
      <c r="G1139">
        <v>-158.19499999999999</v>
      </c>
      <c r="H1139">
        <v>1.3020940000000001</v>
      </c>
      <c r="I1139">
        <v>365.93880000000001</v>
      </c>
      <c r="J1139">
        <v>-279.63830000000002</v>
      </c>
      <c r="K1139">
        <v>1.0734969999999999</v>
      </c>
      <c r="L1139">
        <v>366.90899999999999</v>
      </c>
      <c r="M1139">
        <v>0.99994760000000005</v>
      </c>
      <c r="N1139">
        <v>-8.9489429999999991E-3</v>
      </c>
      <c r="O1139">
        <v>4.9801419999999999E-3</v>
      </c>
      <c r="P1139">
        <v>0.99709760000000003</v>
      </c>
      <c r="Q1139">
        <v>-7.359475E-2</v>
      </c>
      <c r="R1139">
        <v>1.9509909999999998E-2</v>
      </c>
      <c r="S1139">
        <v>3.009735</v>
      </c>
      <c r="T1139">
        <v>5.6718589999999996E-3</v>
      </c>
      <c r="U1139">
        <v>-2.3986819999999999E-2</v>
      </c>
      <c r="V1139">
        <v>-1.450717E-2</v>
      </c>
      <c r="W1139">
        <v>-6.4676360000000002E-2</v>
      </c>
      <c r="X1139">
        <v>0.99780080000000004</v>
      </c>
      <c r="Y1139">
        <v>1.294937E-2</v>
      </c>
      <c r="Z1139" s="1">
        <v>8.2097610000000006E-6</v>
      </c>
      <c r="AA1139">
        <v>0.99991609999999997</v>
      </c>
      <c r="AB1139">
        <v>36</v>
      </c>
      <c r="AC1139">
        <v>121.44329999999999</v>
      </c>
      <c r="AD1139">
        <v>0.22859699999999999</v>
      </c>
      <c r="AE1139">
        <v>-0.97019999999997697</v>
      </c>
      <c r="AF1139">
        <v>1.5750114586167501</v>
      </c>
      <c r="AG1139">
        <v>0.22859699999999999</v>
      </c>
      <c r="AH1139">
        <v>121.436531691307</v>
      </c>
      <c r="AI1139">
        <v>89.892153323396101</v>
      </c>
      <c r="AJ1139">
        <v>89.256925008653695</v>
      </c>
      <c r="AK1139">
        <v>121.4469602209</v>
      </c>
      <c r="AL1139">
        <v>93.708270972655598</v>
      </c>
      <c r="AM1139">
        <v>90.832972926979593</v>
      </c>
      <c r="AN1139">
        <v>0.99999996300244798</v>
      </c>
    </row>
    <row r="1140" spans="1:40" x14ac:dyDescent="0.25">
      <c r="A1140" t="str">
        <f>"20190303153800318"</f>
        <v>20190303153800318</v>
      </c>
      <c r="B1140" t="str">
        <f>"1551598680309498"</f>
        <v>1551598680309498</v>
      </c>
      <c r="C1140" t="s">
        <v>40</v>
      </c>
      <c r="D1140">
        <v>4.2435939999999999</v>
      </c>
      <c r="E1140">
        <v>0.51090849999999999</v>
      </c>
      <c r="F1140" t="s">
        <v>41</v>
      </c>
      <c r="G1140">
        <v>-158.19499999999999</v>
      </c>
      <c r="H1140">
        <v>1.3765449999999999</v>
      </c>
      <c r="I1140">
        <v>365.91899999999998</v>
      </c>
      <c r="J1140">
        <v>-279.45150000000001</v>
      </c>
      <c r="K1140">
        <v>1.0741540000000001</v>
      </c>
      <c r="L1140">
        <v>366.9101</v>
      </c>
      <c r="M1140">
        <v>0.99995460000000003</v>
      </c>
      <c r="N1140">
        <v>-8.0608329999999999E-3</v>
      </c>
      <c r="O1140">
        <v>5.0936150000000001E-3</v>
      </c>
      <c r="P1140">
        <v>0.99716930000000004</v>
      </c>
      <c r="Q1140">
        <v>-7.2520399999999999E-2</v>
      </c>
      <c r="R1140">
        <v>1.9863280000000001E-2</v>
      </c>
      <c r="S1140">
        <v>3.0097659999999999</v>
      </c>
      <c r="T1140">
        <v>7.5126890000000003E-3</v>
      </c>
      <c r="U1140">
        <v>-2.453613E-2</v>
      </c>
      <c r="V1140">
        <v>-1.4747619999999999E-2</v>
      </c>
      <c r="W1140">
        <v>-6.4487630000000004E-2</v>
      </c>
      <c r="X1140">
        <v>0.99780950000000002</v>
      </c>
      <c r="Y1140">
        <v>1.324522E-2</v>
      </c>
      <c r="Z1140" s="1">
        <v>1.691752E-5</v>
      </c>
      <c r="AA1140">
        <v>0.99991229999999998</v>
      </c>
      <c r="AB1140">
        <v>36</v>
      </c>
      <c r="AC1140">
        <v>121.2565</v>
      </c>
      <c r="AD1140">
        <v>0.30239100000000002</v>
      </c>
      <c r="AE1140">
        <v>-0.99109999999996001</v>
      </c>
      <c r="AF1140">
        <v>1.6087310938225601</v>
      </c>
      <c r="AG1140">
        <v>0.30239100000000002</v>
      </c>
      <c r="AH1140">
        <v>121.24912443725</v>
      </c>
      <c r="AI1140">
        <v>89.857119237535301</v>
      </c>
      <c r="AJ1140">
        <v>89.239845282791194</v>
      </c>
      <c r="AK1140">
        <v>121.260173316918</v>
      </c>
      <c r="AL1140">
        <v>93.697434883284004</v>
      </c>
      <c r="AM1140">
        <v>90.846769713106198</v>
      </c>
      <c r="AN1140">
        <v>0.99999997250446504</v>
      </c>
    </row>
    <row r="1141" spans="1:40" x14ac:dyDescent="0.25">
      <c r="A1141" t="str">
        <f>"20190303153800329"</f>
        <v>20190303153800329</v>
      </c>
      <c r="B1141" t="str">
        <f>"1551598680320233"</f>
        <v>1551598680320233</v>
      </c>
      <c r="C1141" t="s">
        <v>40</v>
      </c>
      <c r="D1141">
        <v>4.2792110000000001</v>
      </c>
      <c r="E1141">
        <v>0.51114170000000003</v>
      </c>
      <c r="F1141" t="s">
        <v>41</v>
      </c>
      <c r="G1141">
        <v>-158.19499999999999</v>
      </c>
      <c r="H1141">
        <v>1.497633</v>
      </c>
      <c r="I1141">
        <v>365.88600000000002</v>
      </c>
      <c r="J1141">
        <v>-279.27229999999997</v>
      </c>
      <c r="K1141">
        <v>1.0748230000000001</v>
      </c>
      <c r="L1141">
        <v>366.91109999999998</v>
      </c>
      <c r="M1141">
        <v>0.99996030000000002</v>
      </c>
      <c r="N1141">
        <v>-7.2348019999999898E-3</v>
      </c>
      <c r="O1141">
        <v>5.2048099999999998E-3</v>
      </c>
      <c r="P1141">
        <v>0.99720569999999997</v>
      </c>
      <c r="Q1141">
        <v>-7.1937290000000001E-2</v>
      </c>
      <c r="R1141">
        <v>2.014821E-2</v>
      </c>
      <c r="S1141">
        <v>3.0097960000000001</v>
      </c>
      <c r="T1141">
        <v>1.0513659999999999E-2</v>
      </c>
      <c r="U1141">
        <v>-2.5421139999999998E-2</v>
      </c>
      <c r="V1141">
        <v>-1.492248E-2</v>
      </c>
      <c r="W1141">
        <v>-6.4728309999999997E-2</v>
      </c>
      <c r="X1141">
        <v>0.99779130000000005</v>
      </c>
      <c r="Y1141">
        <v>1.3650270000000001E-2</v>
      </c>
      <c r="Z1141" s="1">
        <v>3.029684E-5</v>
      </c>
      <c r="AA1141">
        <v>0.99990679999999998</v>
      </c>
      <c r="AB1141">
        <v>36</v>
      </c>
      <c r="AC1141">
        <v>121.077299999999</v>
      </c>
      <c r="AD1141">
        <v>0.42281000000000002</v>
      </c>
      <c r="AE1141">
        <v>-1.0250999999999999</v>
      </c>
      <c r="AF1141">
        <v>1.65526675484327</v>
      </c>
      <c r="AG1141">
        <v>0.42281000000000002</v>
      </c>
      <c r="AH1141">
        <v>121.068848046132</v>
      </c>
      <c r="AI1141">
        <v>89.799924864100504</v>
      </c>
      <c r="AJ1141">
        <v>89.216694534945901</v>
      </c>
      <c r="AK1141">
        <v>121.08090123361001</v>
      </c>
      <c r="AL1141">
        <v>93.7112537629625</v>
      </c>
      <c r="AM1141">
        <v>90.856823854438701</v>
      </c>
      <c r="AN1141">
        <v>0.99999995644024697</v>
      </c>
    </row>
    <row r="1142" spans="1:40" x14ac:dyDescent="0.25">
      <c r="A1142" t="str">
        <f>"20190303153800339"</f>
        <v>20190303153800339</v>
      </c>
      <c r="B1142" t="str">
        <f>"1551598680329993"</f>
        <v>1551598680329993</v>
      </c>
      <c r="C1142" t="s">
        <v>40</v>
      </c>
      <c r="D1142">
        <v>4.258108</v>
      </c>
      <c r="E1142">
        <v>0.51135739999999996</v>
      </c>
      <c r="F1142" t="s">
        <v>41</v>
      </c>
      <c r="G1142">
        <v>-158.19499999999999</v>
      </c>
      <c r="H1142">
        <v>1.557995</v>
      </c>
      <c r="I1142">
        <v>365.85660000000001</v>
      </c>
      <c r="J1142">
        <v>-279.1062</v>
      </c>
      <c r="K1142">
        <v>1.075539</v>
      </c>
      <c r="L1142">
        <v>366.91219999999998</v>
      </c>
      <c r="M1142">
        <v>0.99996439999999998</v>
      </c>
      <c r="N1142">
        <v>-6.5553249999999999E-3</v>
      </c>
      <c r="O1142">
        <v>5.3230949999999999E-3</v>
      </c>
      <c r="P1142">
        <v>0.99723090000000003</v>
      </c>
      <c r="Q1142">
        <v>-7.1520130000000001E-2</v>
      </c>
      <c r="R1142">
        <v>2.0386680000000001E-2</v>
      </c>
      <c r="S1142">
        <v>3.0097960000000001</v>
      </c>
      <c r="T1142">
        <v>1.2013080000000001E-2</v>
      </c>
      <c r="U1142">
        <v>-2.62145999999999E-2</v>
      </c>
      <c r="V1142">
        <v>-1.5043549999999999E-2</v>
      </c>
      <c r="W1142">
        <v>-6.4988779999999996E-2</v>
      </c>
      <c r="X1142">
        <v>0.99777260000000001</v>
      </c>
      <c r="Y1142">
        <v>1.4032090000000001E-2</v>
      </c>
      <c r="Z1142" s="1">
        <v>3.8148629999999998E-5</v>
      </c>
      <c r="AA1142">
        <v>0.9999015</v>
      </c>
      <c r="AB1142">
        <v>36</v>
      </c>
      <c r="AC1142">
        <v>120.91119999999999</v>
      </c>
      <c r="AD1142">
        <v>0.482456</v>
      </c>
      <c r="AE1142">
        <v>-1.0555999999999699</v>
      </c>
      <c r="AF1142">
        <v>1.6991935908267199</v>
      </c>
      <c r="AG1142">
        <v>0.482456</v>
      </c>
      <c r="AH1142">
        <v>120.901942918522</v>
      </c>
      <c r="AI1142">
        <v>89.771386500387493</v>
      </c>
      <c r="AJ1142">
        <v>89.194800268214493</v>
      </c>
      <c r="AK1142">
        <v>120.914845342186</v>
      </c>
      <c r="AL1142">
        <v>93.726208900756205</v>
      </c>
      <c r="AM1142">
        <v>90.863790628610801</v>
      </c>
      <c r="AN1142">
        <v>1.0000000056166201</v>
      </c>
    </row>
    <row r="1143" spans="1:40" x14ac:dyDescent="0.25">
      <c r="A1143" t="str">
        <f>"20190303153800350"</f>
        <v>20190303153800350</v>
      </c>
      <c r="B1143" t="str">
        <f>"1551598680339754"</f>
        <v>1551598680339754</v>
      </c>
      <c r="C1143" t="s">
        <v>40</v>
      </c>
      <c r="D1143">
        <v>4.2644209999999996</v>
      </c>
      <c r="E1143">
        <v>0.51135739999999996</v>
      </c>
      <c r="F1143" t="s">
        <v>41</v>
      </c>
      <c r="G1143">
        <v>-158.19499999999999</v>
      </c>
      <c r="H1143">
        <v>1.598414</v>
      </c>
      <c r="I1143">
        <v>365.81490000000002</v>
      </c>
      <c r="J1143">
        <v>-278.92829999999998</v>
      </c>
      <c r="K1143">
        <v>1.0763119999999999</v>
      </c>
      <c r="L1143">
        <v>366.91320000000002</v>
      </c>
      <c r="M1143">
        <v>0.99996819999999997</v>
      </c>
      <c r="N1143">
        <v>-5.8331719999999898E-3</v>
      </c>
      <c r="O1143">
        <v>5.4508680000000002E-3</v>
      </c>
      <c r="P1143">
        <v>0.99726320000000002</v>
      </c>
      <c r="Q1143">
        <v>-7.103951E-2</v>
      </c>
      <c r="R1143">
        <v>2.0481860000000001E-2</v>
      </c>
      <c r="S1143">
        <v>3.009827</v>
      </c>
      <c r="T1143">
        <v>1.301801E-2</v>
      </c>
      <c r="U1143">
        <v>-2.7313230000000001E-2</v>
      </c>
      <c r="V1143">
        <v>-1.501239E-2</v>
      </c>
      <c r="W1143">
        <v>-6.5228209999999995E-2</v>
      </c>
      <c r="X1143">
        <v>0.99775740000000002</v>
      </c>
      <c r="Y1143">
        <v>1.452468E-2</v>
      </c>
      <c r="Z1143" s="1">
        <v>4.4416860000000002E-5</v>
      </c>
      <c r="AA1143">
        <v>0.99989450000000002</v>
      </c>
      <c r="AB1143">
        <v>36</v>
      </c>
      <c r="AC1143">
        <v>120.7333</v>
      </c>
      <c r="AD1143">
        <v>0.52210199999999896</v>
      </c>
      <c r="AE1143">
        <v>-1.0982999999999901</v>
      </c>
      <c r="AF1143">
        <v>1.7563632729305401</v>
      </c>
      <c r="AG1143">
        <v>0.52210199999999896</v>
      </c>
      <c r="AH1143">
        <v>120.723262108542</v>
      </c>
      <c r="AI1143">
        <v>89.752235909372104</v>
      </c>
      <c r="AJ1143">
        <v>89.166481240591295</v>
      </c>
      <c r="AK1143">
        <v>120.73716667444501</v>
      </c>
      <c r="AL1143">
        <v>93.739956568700293</v>
      </c>
      <c r="AM1143">
        <v>90.862014842293902</v>
      </c>
      <c r="AN1143">
        <v>0.99999996024403703</v>
      </c>
    </row>
    <row r="1144" spans="1:40" x14ac:dyDescent="0.25">
      <c r="A1144" t="str">
        <f>"20190303153800362"</f>
        <v>20190303153800362</v>
      </c>
      <c r="B1144" t="str">
        <f>"1551598680350490"</f>
        <v>1551598680350490</v>
      </c>
      <c r="C1144" t="s">
        <v>40</v>
      </c>
      <c r="D1144">
        <v>4.2280850000000001</v>
      </c>
      <c r="E1144">
        <v>0.53028609999999998</v>
      </c>
      <c r="F1144" t="s">
        <v>41</v>
      </c>
      <c r="G1144">
        <v>-158.19499999999999</v>
      </c>
      <c r="H1144">
        <v>1.656291</v>
      </c>
      <c r="I1144">
        <v>365.82619999999997</v>
      </c>
      <c r="J1144">
        <v>-278.7312</v>
      </c>
      <c r="K1144">
        <v>1.0772090000000001</v>
      </c>
      <c r="L1144">
        <v>366.9144</v>
      </c>
      <c r="M1144">
        <v>0.99997150000000001</v>
      </c>
      <c r="N1144">
        <v>-5.0791600000000001E-3</v>
      </c>
      <c r="O1144">
        <v>5.5967630000000003E-3</v>
      </c>
      <c r="P1144">
        <v>0.99728950000000005</v>
      </c>
      <c r="Q1144">
        <v>-7.0647310000000005E-2</v>
      </c>
      <c r="R1144">
        <v>2.0557929999999999E-2</v>
      </c>
      <c r="S1144">
        <v>3.009827</v>
      </c>
      <c r="T1144">
        <v>1.4460799999999999E-2</v>
      </c>
      <c r="U1144">
        <v>-2.709961E-2</v>
      </c>
      <c r="V1144">
        <v>-1.4944000000000001E-2</v>
      </c>
      <c r="W1144">
        <v>-6.5587859999999998E-2</v>
      </c>
      <c r="X1144">
        <v>0.99773489999999998</v>
      </c>
      <c r="Y1144">
        <v>1.4599549999999999E-2</v>
      </c>
      <c r="Z1144" s="1">
        <v>5.3308620000000001E-5</v>
      </c>
      <c r="AA1144">
        <v>0.99989340000000004</v>
      </c>
      <c r="AB1144">
        <v>36</v>
      </c>
      <c r="AC1144">
        <v>120.53619999999999</v>
      </c>
      <c r="AD1144">
        <v>0.57908199999999899</v>
      </c>
      <c r="AE1144">
        <v>-1.08820000000002</v>
      </c>
      <c r="AF1144">
        <v>1.76276347900495</v>
      </c>
      <c r="AG1144">
        <v>0.57908199999999899</v>
      </c>
      <c r="AH1144">
        <v>120.52544007755399</v>
      </c>
      <c r="AI1144">
        <v>89.724745653149398</v>
      </c>
      <c r="AJ1144">
        <v>89.162071452013294</v>
      </c>
      <c r="AK1144">
        <v>120.539721158354</v>
      </c>
      <c r="AL1144">
        <v>93.760607028374494</v>
      </c>
      <c r="AM1144">
        <v>90.858107809410299</v>
      </c>
      <c r="AN1144">
        <v>1.00000001059669</v>
      </c>
    </row>
    <row r="1145" spans="1:40" x14ac:dyDescent="0.25">
      <c r="A1145" t="str">
        <f>"20190303153800373"</f>
        <v>20190303153800373</v>
      </c>
      <c r="B1145" t="str">
        <f>"1551598680370009"</f>
        <v>1551598680370009</v>
      </c>
      <c r="C1145" t="s">
        <v>40</v>
      </c>
      <c r="D1145">
        <v>4.2515660000000004</v>
      </c>
      <c r="E1145">
        <v>0.53074030000000005</v>
      </c>
      <c r="F1145" t="s">
        <v>41</v>
      </c>
      <c r="G1145">
        <v>-158.19499999999999</v>
      </c>
      <c r="H1145">
        <v>0.86702919999999895</v>
      </c>
      <c r="I1145">
        <v>359.79309999999998</v>
      </c>
      <c r="J1145">
        <v>-278.55009999999999</v>
      </c>
      <c r="K1145">
        <v>1.078074</v>
      </c>
      <c r="L1145">
        <v>366.91559999999998</v>
      </c>
      <c r="M1145">
        <v>0.99997320000000001</v>
      </c>
      <c r="N1145">
        <v>-4.5523530000000003E-3</v>
      </c>
      <c r="O1145">
        <v>5.7334109999999999E-3</v>
      </c>
      <c r="P1145">
        <v>0.99732759999999998</v>
      </c>
      <c r="Q1145">
        <v>-7.0187319999999997E-2</v>
      </c>
      <c r="R1145">
        <v>2.028843E-2</v>
      </c>
      <c r="S1145">
        <v>3.011444</v>
      </c>
      <c r="T1145">
        <v>-5.2489040000000004E-3</v>
      </c>
      <c r="U1145">
        <v>-0.17791750000000001</v>
      </c>
      <c r="V1145">
        <v>-1.453954E-2</v>
      </c>
      <c r="W1145">
        <v>-6.5652820000000001E-2</v>
      </c>
      <c r="X1145">
        <v>0.99773659999999997</v>
      </c>
      <c r="Y1145">
        <v>6.469975E-2</v>
      </c>
      <c r="Z1145">
        <v>-1.876417E-4</v>
      </c>
      <c r="AA1145">
        <v>0.99790480000000004</v>
      </c>
      <c r="AB1145">
        <v>36</v>
      </c>
      <c r="AC1145">
        <v>120.35509999999999</v>
      </c>
      <c r="AD1145">
        <v>-0.2110448</v>
      </c>
      <c r="AE1145">
        <v>-7.1224999999999996</v>
      </c>
      <c r="AF1145">
        <v>7.8124113989747803</v>
      </c>
      <c r="AG1145">
        <v>-0.2110448</v>
      </c>
      <c r="AH1145">
        <v>120.311916496194</v>
      </c>
      <c r="AI1145">
        <v>90.100293900508106</v>
      </c>
      <c r="AJ1145">
        <v>86.284734943195105</v>
      </c>
      <c r="AK1145">
        <v>120.565482468083</v>
      </c>
      <c r="AL1145">
        <v>93.764337015124994</v>
      </c>
      <c r="AM1145">
        <v>90.834884995570704</v>
      </c>
      <c r="AN1145">
        <v>1.00000000698846</v>
      </c>
    </row>
    <row r="1146" spans="1:40" x14ac:dyDescent="0.25">
      <c r="A1146" t="str">
        <f>"20190303153800384"</f>
        <v>20190303153800384</v>
      </c>
      <c r="B1146" t="str">
        <f>"1551598680379770"</f>
        <v>1551598680379770</v>
      </c>
      <c r="C1146" t="s">
        <v>40</v>
      </c>
      <c r="D1146">
        <v>4.2734129999999997</v>
      </c>
      <c r="E1146">
        <v>0.53073930000000002</v>
      </c>
      <c r="F1146" t="s">
        <v>41</v>
      </c>
      <c r="G1146">
        <v>-158.19499999999999</v>
      </c>
      <c r="H1146">
        <v>0.96618649999999995</v>
      </c>
      <c r="I1146">
        <v>359.6198</v>
      </c>
      <c r="J1146">
        <v>-278.36439999999999</v>
      </c>
      <c r="K1146">
        <v>1.0790459999999999</v>
      </c>
      <c r="L1146">
        <v>366.91669999999999</v>
      </c>
      <c r="M1146">
        <v>0.99997369999999997</v>
      </c>
      <c r="N1146">
        <v>-4.2848440000000003E-3</v>
      </c>
      <c r="O1146">
        <v>5.8769499999999997E-3</v>
      </c>
      <c r="P1146">
        <v>0.9973341</v>
      </c>
      <c r="Q1146">
        <v>-7.0268230000000001E-2</v>
      </c>
      <c r="R1146">
        <v>1.9670960000000001E-2</v>
      </c>
      <c r="S1146">
        <v>3.0115660000000002</v>
      </c>
      <c r="T1146">
        <v>-2.7974839999999998E-3</v>
      </c>
      <c r="U1146">
        <v>-0.1825562</v>
      </c>
      <c r="V1146">
        <v>-1.377943E-2</v>
      </c>
      <c r="W1146">
        <v>-6.5999950000000002E-2</v>
      </c>
      <c r="X1146">
        <v>0.99772450000000001</v>
      </c>
      <c r="Y1146">
        <v>6.6372280000000006E-2</v>
      </c>
      <c r="Z1146">
        <v>-1.5342390000000001E-4</v>
      </c>
      <c r="AA1146">
        <v>0.99779490000000004</v>
      </c>
      <c r="AB1146">
        <v>36</v>
      </c>
      <c r="AC1146">
        <v>120.1694</v>
      </c>
      <c r="AD1146">
        <v>-0.1128595</v>
      </c>
      <c r="AE1146">
        <v>-7.2968999999999902</v>
      </c>
      <c r="AF1146">
        <v>8.0030028843952596</v>
      </c>
      <c r="AG1146">
        <v>-0.1128595</v>
      </c>
      <c r="AH1146">
        <v>120.124335237713</v>
      </c>
      <c r="AI1146">
        <v>90.053711581155895</v>
      </c>
      <c r="AJ1146">
        <v>86.188435346148495</v>
      </c>
      <c r="AK1146">
        <v>120.39068364594</v>
      </c>
      <c r="AL1146">
        <v>93.784269273524501</v>
      </c>
      <c r="AM1146">
        <v>90.791253489606206</v>
      </c>
      <c r="AN1146">
        <v>1.0000000219956799</v>
      </c>
    </row>
    <row r="1147" spans="1:40" x14ac:dyDescent="0.25">
      <c r="A1147" t="str">
        <f>"20190303153800396"</f>
        <v>20190303153800396</v>
      </c>
      <c r="B1147" t="str">
        <f>"1551598680389530"</f>
        <v>1551598680389530</v>
      </c>
      <c r="C1147" t="s">
        <v>40</v>
      </c>
      <c r="D1147">
        <v>4.2385539999999997</v>
      </c>
      <c r="E1147">
        <v>0.5305685</v>
      </c>
      <c r="F1147" t="s">
        <v>41</v>
      </c>
      <c r="G1147">
        <v>-158.19499999999999</v>
      </c>
      <c r="H1147">
        <v>0.97350409999999998</v>
      </c>
      <c r="I1147">
        <v>359.56150000000002</v>
      </c>
      <c r="J1147">
        <v>-278.18729999999999</v>
      </c>
      <c r="K1147">
        <v>1.0801379999999901</v>
      </c>
      <c r="L1147">
        <v>366.9178</v>
      </c>
      <c r="M1147">
        <v>0.99997259999999999</v>
      </c>
      <c r="N1147">
        <v>-4.3043589999999998E-3</v>
      </c>
      <c r="O1147">
        <v>6.0167140000000003E-3</v>
      </c>
      <c r="P1147">
        <v>0.99734029999999996</v>
      </c>
      <c r="Q1147">
        <v>-7.0275840000000006E-2</v>
      </c>
      <c r="R1147">
        <v>1.9326449999999998E-2</v>
      </c>
      <c r="S1147">
        <v>3.0115050000000001</v>
      </c>
      <c r="T1147">
        <v>-2.642751E-3</v>
      </c>
      <c r="U1147">
        <v>-0.1843262</v>
      </c>
      <c r="V1147">
        <v>-1.3296550000000001E-2</v>
      </c>
      <c r="W1147">
        <v>-6.5987649999999995E-2</v>
      </c>
      <c r="X1147">
        <v>0.9977319</v>
      </c>
      <c r="Y1147">
        <v>6.7097229999999994E-2</v>
      </c>
      <c r="Z1147">
        <v>-1.5335659999999999E-4</v>
      </c>
      <c r="AA1147">
        <v>0.99774640000000003</v>
      </c>
      <c r="AB1147">
        <v>36</v>
      </c>
      <c r="AC1147">
        <v>119.9923</v>
      </c>
      <c r="AD1147">
        <v>-0.106633899999999</v>
      </c>
      <c r="AE1147">
        <v>-7.3562999999999699</v>
      </c>
      <c r="AF1147">
        <v>8.07812655348528</v>
      </c>
      <c r="AG1147">
        <v>-0.106633899999999</v>
      </c>
      <c r="AH1147">
        <v>119.94577249247</v>
      </c>
      <c r="AI1147">
        <v>90.050821813968298</v>
      </c>
      <c r="AJ1147">
        <v>86.147053260153299</v>
      </c>
      <c r="AK1147">
        <v>120.217535485544</v>
      </c>
      <c r="AL1147">
        <v>93.7835628660509</v>
      </c>
      <c r="AM1147">
        <v>90.763522846601205</v>
      </c>
      <c r="AN1147">
        <v>1.0000000562360101</v>
      </c>
    </row>
    <row r="1148" spans="1:40" x14ac:dyDescent="0.25">
      <c r="A1148" t="str">
        <f>"20190303153800408"</f>
        <v>20190303153800408</v>
      </c>
      <c r="B1148" t="str">
        <f>"1551598680400266"</f>
        <v>1551598680400266</v>
      </c>
      <c r="C1148" t="s">
        <v>40</v>
      </c>
      <c r="D1148">
        <v>4.2669329999999999</v>
      </c>
      <c r="E1148">
        <v>0.53053079999999997</v>
      </c>
      <c r="F1148" t="s">
        <v>41</v>
      </c>
      <c r="G1148">
        <v>-158.19499999999999</v>
      </c>
      <c r="H1148">
        <v>0.98252390000000001</v>
      </c>
      <c r="I1148">
        <v>359.58659999999998</v>
      </c>
      <c r="J1148">
        <v>-277.99180000000001</v>
      </c>
      <c r="K1148">
        <v>1.0814600000000001</v>
      </c>
      <c r="L1148">
        <v>366.91910000000001</v>
      </c>
      <c r="M1148">
        <v>0.9999709</v>
      </c>
      <c r="N1148">
        <v>-4.5086290000000001E-3</v>
      </c>
      <c r="O1148">
        <v>6.1725620000000004E-3</v>
      </c>
      <c r="P1148">
        <v>0.99732019999999999</v>
      </c>
      <c r="Q1148">
        <v>-7.0666800000000002E-2</v>
      </c>
      <c r="R1148">
        <v>1.8946589999999999E-2</v>
      </c>
      <c r="S1148">
        <v>3.0114139999999998</v>
      </c>
      <c r="T1148">
        <v>-2.4476049999999998E-3</v>
      </c>
      <c r="U1148">
        <v>-0.1839905</v>
      </c>
      <c r="V1148">
        <v>-1.276212E-2</v>
      </c>
      <c r="W1148">
        <v>-6.6174449999999996E-2</v>
      </c>
      <c r="X1148">
        <v>0.99772640000000001</v>
      </c>
      <c r="Y1148">
        <v>6.714378E-2</v>
      </c>
      <c r="Z1148">
        <v>-1.559757E-4</v>
      </c>
      <c r="AA1148">
        <v>0.9977433</v>
      </c>
      <c r="AB1148">
        <v>36</v>
      </c>
      <c r="AC1148">
        <v>119.7968</v>
      </c>
      <c r="AD1148">
        <v>-9.8936099999999999E-2</v>
      </c>
      <c r="AE1148">
        <v>-7.3325000000000298</v>
      </c>
      <c r="AF1148">
        <v>8.0718154314661703</v>
      </c>
      <c r="AG1148">
        <v>-9.8936099999999999E-2</v>
      </c>
      <c r="AH1148">
        <v>119.74917563577</v>
      </c>
      <c r="AI1148">
        <v>90.047230266812704</v>
      </c>
      <c r="AJ1148">
        <v>86.143752809613304</v>
      </c>
      <c r="AK1148">
        <v>120.020952579781</v>
      </c>
      <c r="AL1148">
        <v>93.794289567950202</v>
      </c>
      <c r="AM1148">
        <v>90.732841927716294</v>
      </c>
      <c r="AN1148">
        <v>0.99999994939832704</v>
      </c>
    </row>
    <row r="1149" spans="1:40" x14ac:dyDescent="0.25">
      <c r="A1149" t="str">
        <f>"20190303153800421"</f>
        <v>20190303153800421</v>
      </c>
      <c r="B1149" t="str">
        <f>"1551598680410026"</f>
        <v>1551598680410026</v>
      </c>
      <c r="C1149" t="s">
        <v>40</v>
      </c>
      <c r="D1149">
        <v>4.2623499999999996</v>
      </c>
      <c r="E1149">
        <v>0.53061059999999904</v>
      </c>
      <c r="F1149" t="s">
        <v>41</v>
      </c>
      <c r="G1149">
        <v>-158.19499999999999</v>
      </c>
      <c r="H1149">
        <v>0.94135279999999999</v>
      </c>
      <c r="I1149">
        <v>359.55590000000001</v>
      </c>
      <c r="J1149">
        <v>-277.79450000000003</v>
      </c>
      <c r="K1149">
        <v>1.0829610000000001</v>
      </c>
      <c r="L1149">
        <v>366.92039999999997</v>
      </c>
      <c r="M1149">
        <v>0.99996870000000004</v>
      </c>
      <c r="N1149">
        <v>-4.7552609999999898E-3</v>
      </c>
      <c r="O1149">
        <v>6.3233250000000003E-3</v>
      </c>
      <c r="P1149">
        <v>0.99731879999999995</v>
      </c>
      <c r="Q1149">
        <v>-7.0803999999999895E-2</v>
      </c>
      <c r="R1149">
        <v>1.8505310000000001E-2</v>
      </c>
      <c r="S1149">
        <v>3.0113219999999998</v>
      </c>
      <c r="T1149">
        <v>-3.5196540000000001E-3</v>
      </c>
      <c r="U1149">
        <v>-0.18508910000000001</v>
      </c>
      <c r="V1149">
        <v>-1.217085E-2</v>
      </c>
      <c r="W1149">
        <v>-6.6065410000000005E-2</v>
      </c>
      <c r="X1149">
        <v>0.99774099999999999</v>
      </c>
      <c r="Y1149">
        <v>6.7658620000000003E-2</v>
      </c>
      <c r="Z1149">
        <v>-1.778672E-4</v>
      </c>
      <c r="AA1149">
        <v>0.9977085</v>
      </c>
      <c r="AB1149">
        <v>36</v>
      </c>
      <c r="AC1149">
        <v>119.59950000000001</v>
      </c>
      <c r="AD1149">
        <v>-0.14160819999999999</v>
      </c>
      <c r="AE1149">
        <v>-7.3644999999999596</v>
      </c>
      <c r="AF1149">
        <v>8.1206164809881898</v>
      </c>
      <c r="AG1149">
        <v>-0.14160819999999999</v>
      </c>
      <c r="AH1149">
        <v>119.550373244035</v>
      </c>
      <c r="AI1149">
        <v>90.067711165088298</v>
      </c>
      <c r="AJ1149">
        <v>86.114077943539698</v>
      </c>
      <c r="AK1149">
        <v>119.825941296956</v>
      </c>
      <c r="AL1149">
        <v>93.788028386860603</v>
      </c>
      <c r="AM1149">
        <v>90.698882528566003</v>
      </c>
      <c r="AN1149">
        <v>0.99999993553459299</v>
      </c>
    </row>
    <row r="1150" spans="1:40" x14ac:dyDescent="0.25">
      <c r="A1150" t="str">
        <f>"20190303153800434"</f>
        <v>20190303153800434</v>
      </c>
      <c r="B1150" t="str">
        <f>"1551598680429545"</f>
        <v>1551598680429545</v>
      </c>
      <c r="C1150" t="s">
        <v>40</v>
      </c>
      <c r="D1150">
        <v>4.3035750000000004</v>
      </c>
      <c r="E1150">
        <v>0.52781529999999999</v>
      </c>
      <c r="F1150" t="s">
        <v>41</v>
      </c>
      <c r="G1150">
        <v>-158.19499999999999</v>
      </c>
      <c r="H1150">
        <v>0.97491740000000005</v>
      </c>
      <c r="I1150">
        <v>359.49799999999999</v>
      </c>
      <c r="J1150">
        <v>-277.5795</v>
      </c>
      <c r="K1150">
        <v>1.084643</v>
      </c>
      <c r="L1150">
        <v>366.92189999999999</v>
      </c>
      <c r="M1150">
        <v>0.99996689999999999</v>
      </c>
      <c r="N1150">
        <v>-4.9521829999999998E-3</v>
      </c>
      <c r="O1150">
        <v>6.4862260000000003E-3</v>
      </c>
      <c r="P1150">
        <v>0.99730149999999995</v>
      </c>
      <c r="Q1150">
        <v>-7.1124320000000005E-2</v>
      </c>
      <c r="R1150">
        <v>1.8200270000000001E-2</v>
      </c>
      <c r="S1150">
        <v>3.0113829999999999</v>
      </c>
      <c r="T1150">
        <v>-2.71821E-3</v>
      </c>
      <c r="U1150">
        <v>-0.18688959999999999</v>
      </c>
      <c r="V1150">
        <v>-1.170213E-2</v>
      </c>
      <c r="W1150">
        <v>-6.6189250000000005E-2</v>
      </c>
      <c r="X1150">
        <v>0.99773849999999997</v>
      </c>
      <c r="Y1150">
        <v>6.8414210000000003E-2</v>
      </c>
      <c r="Z1150">
        <v>-1.741716E-4</v>
      </c>
      <c r="AA1150">
        <v>0.99765700000000002</v>
      </c>
      <c r="AB1150">
        <v>36</v>
      </c>
      <c r="AC1150">
        <v>119.3845</v>
      </c>
      <c r="AD1150">
        <v>-0.10972559999999899</v>
      </c>
      <c r="AE1150">
        <v>-7.4238999999999402</v>
      </c>
      <c r="AF1150">
        <v>8.1981011199237095</v>
      </c>
      <c r="AG1150">
        <v>-0.10972559999999899</v>
      </c>
      <c r="AH1150">
        <v>119.33373450162</v>
      </c>
      <c r="AI1150">
        <v>90.052558724569806</v>
      </c>
      <c r="AJ1150">
        <v>86.070015472298493</v>
      </c>
      <c r="AK1150">
        <v>119.615053784141</v>
      </c>
      <c r="AL1150">
        <v>93.795139081408905</v>
      </c>
      <c r="AM1150">
        <v>90.671971582421506</v>
      </c>
      <c r="AN1150">
        <v>1.0000000355221701</v>
      </c>
    </row>
    <row r="1151" spans="1:40" x14ac:dyDescent="0.25">
      <c r="A1151" t="str">
        <f>"20190303153800448"</f>
        <v>20190303153800448</v>
      </c>
      <c r="B1151" t="str">
        <f>"1551598680440282"</f>
        <v>1551598680440282</v>
      </c>
      <c r="C1151" t="s">
        <v>40</v>
      </c>
      <c r="D1151">
        <v>4.2036680000000004</v>
      </c>
      <c r="E1151">
        <v>0.52781529999999999</v>
      </c>
      <c r="F1151" t="s">
        <v>41</v>
      </c>
      <c r="G1151">
        <v>-158.19499999999999</v>
      </c>
      <c r="H1151">
        <v>0.72152569999999905</v>
      </c>
      <c r="I1151">
        <v>360.35289999999998</v>
      </c>
      <c r="J1151">
        <v>-277.3535</v>
      </c>
      <c r="K1151">
        <v>1.086462</v>
      </c>
      <c r="L1151">
        <v>366.92340000000002</v>
      </c>
      <c r="M1151">
        <v>0.9999654</v>
      </c>
      <c r="N1151">
        <v>-5.0248569999999998E-3</v>
      </c>
      <c r="O1151">
        <v>6.6568119999999998E-3</v>
      </c>
      <c r="P1151">
        <v>0.9973187</v>
      </c>
      <c r="Q1151">
        <v>-7.0948449999999996E-2</v>
      </c>
      <c r="R1151">
        <v>1.7945530000000001E-2</v>
      </c>
      <c r="S1151">
        <v>3.0104980000000001</v>
      </c>
      <c r="T1151">
        <v>-9.1544390000000003E-3</v>
      </c>
      <c r="U1151">
        <v>-0.1656494</v>
      </c>
      <c r="V1151">
        <v>-1.1276029999999999E-2</v>
      </c>
      <c r="W1151">
        <v>-6.5940830000000006E-2</v>
      </c>
      <c r="X1151">
        <v>0.99775979999999997</v>
      </c>
      <c r="Y1151">
        <v>6.1585679999999997E-2</v>
      </c>
      <c r="Z1151">
        <v>-2.3521809999999999E-4</v>
      </c>
      <c r="AA1151">
        <v>0.99810180000000004</v>
      </c>
      <c r="AB1151">
        <v>36</v>
      </c>
      <c r="AC1151">
        <v>119.1585</v>
      </c>
      <c r="AD1151">
        <v>-0.36493629999999999</v>
      </c>
      <c r="AE1151">
        <v>-6.5705000000000302</v>
      </c>
      <c r="AF1151">
        <v>7.3635111603460501</v>
      </c>
      <c r="AG1151">
        <v>-0.36493629999999999</v>
      </c>
      <c r="AH1151">
        <v>119.11100680718501</v>
      </c>
      <c r="AI1151">
        <v>90.175209697412996</v>
      </c>
      <c r="AJ1151">
        <v>86.462443862270007</v>
      </c>
      <c r="AK1151">
        <v>119.338955993979</v>
      </c>
      <c r="AL1151">
        <v>93.780874710224097</v>
      </c>
      <c r="AM1151">
        <v>90.647491936802496</v>
      </c>
      <c r="AN1151">
        <v>0.99999998020484404</v>
      </c>
    </row>
    <row r="1152" spans="1:40" x14ac:dyDescent="0.25">
      <c r="A1152" t="str">
        <f>"20190303153800460"</f>
        <v>20190303153800460</v>
      </c>
      <c r="B1152" t="str">
        <f>"1551598680450042"</f>
        <v>1551598680450042</v>
      </c>
      <c r="C1152" t="s">
        <v>40</v>
      </c>
      <c r="D1152">
        <v>4.2134299999999998</v>
      </c>
      <c r="E1152">
        <v>0.50432929999999998</v>
      </c>
      <c r="F1152" t="s">
        <v>41</v>
      </c>
      <c r="G1152">
        <v>-158.19499999999999</v>
      </c>
      <c r="H1152">
        <v>0.74182700000000001</v>
      </c>
      <c r="I1152">
        <v>360.33409999999998</v>
      </c>
      <c r="J1152">
        <v>-277.161</v>
      </c>
      <c r="K1152">
        <v>1.0880729999999901</v>
      </c>
      <c r="L1152">
        <v>366.9248</v>
      </c>
      <c r="M1152">
        <v>0.99996419999999997</v>
      </c>
      <c r="N1152">
        <v>-5.0487639999999999E-3</v>
      </c>
      <c r="O1152">
        <v>6.7949489999999998E-3</v>
      </c>
      <c r="P1152">
        <v>0.9973322</v>
      </c>
      <c r="Q1152">
        <v>-7.0842769999999999E-2</v>
      </c>
      <c r="R1152">
        <v>1.761391E-2</v>
      </c>
      <c r="S1152">
        <v>3.010437</v>
      </c>
      <c r="T1152">
        <v>-8.7046620000000002E-3</v>
      </c>
      <c r="U1152">
        <v>-0.16647339999999999</v>
      </c>
      <c r="V1152">
        <v>-1.0806059999999999E-2</v>
      </c>
      <c r="W1152">
        <v>-6.5811149999999999E-2</v>
      </c>
      <c r="X1152">
        <v>0.99777360000000004</v>
      </c>
      <c r="Y1152">
        <v>6.199706E-2</v>
      </c>
      <c r="Z1152">
        <v>-2.315436E-4</v>
      </c>
      <c r="AA1152">
        <v>0.99807630000000003</v>
      </c>
      <c r="AB1152">
        <v>36</v>
      </c>
      <c r="AC1152">
        <v>118.96599999999999</v>
      </c>
      <c r="AD1152">
        <v>-0.346245999999999</v>
      </c>
      <c r="AE1152">
        <v>-6.5907000000000204</v>
      </c>
      <c r="AF1152">
        <v>7.3988635415110702</v>
      </c>
      <c r="AG1152">
        <v>-0.346245999999999</v>
      </c>
      <c r="AH1152">
        <v>118.91746520690801</v>
      </c>
      <c r="AI1152">
        <v>90.166502802266706</v>
      </c>
      <c r="AJ1152">
        <v>86.439733238506307</v>
      </c>
      <c r="AK1152">
        <v>119.14791898826699</v>
      </c>
      <c r="AL1152">
        <v>93.773428277267399</v>
      </c>
      <c r="AM1152">
        <v>90.620498904712804</v>
      </c>
      <c r="AN1152">
        <v>1.0000000176270001</v>
      </c>
    </row>
    <row r="1153" spans="1:40" x14ac:dyDescent="0.25">
      <c r="A1153" t="str">
        <f>"20190303153800471"</f>
        <v>20190303153800471</v>
      </c>
      <c r="B1153" t="str">
        <f>"1551598680459802"</f>
        <v>1551598680459802</v>
      </c>
      <c r="C1153" t="s">
        <v>40</v>
      </c>
      <c r="D1153">
        <v>4.2062980000000003</v>
      </c>
      <c r="E1153">
        <v>0.50345109999999904</v>
      </c>
      <c r="F1153" t="s">
        <v>41</v>
      </c>
      <c r="G1153">
        <v>-158.78319999999999</v>
      </c>
      <c r="H1153">
        <v>3.605664</v>
      </c>
      <c r="I1153">
        <v>367.73200000000003</v>
      </c>
      <c r="J1153">
        <v>-276.97890000000001</v>
      </c>
      <c r="K1153">
        <v>1.0896110000000001</v>
      </c>
      <c r="L1153">
        <v>366.92610000000002</v>
      </c>
      <c r="M1153">
        <v>0.99996320000000005</v>
      </c>
      <c r="N1153">
        <v>-5.0809189999999997E-3</v>
      </c>
      <c r="O1153">
        <v>6.9237040000000001E-3</v>
      </c>
      <c r="P1153">
        <v>0.99732379999999998</v>
      </c>
      <c r="Q1153">
        <v>-7.0930740000000006E-2</v>
      </c>
      <c r="R1153">
        <v>1.7732830000000002E-2</v>
      </c>
      <c r="S1153">
        <v>3.0122070000000001</v>
      </c>
      <c r="T1153">
        <v>6.4064029999999994E-2</v>
      </c>
      <c r="U1153">
        <v>2.053833E-2</v>
      </c>
      <c r="V1153">
        <v>-1.0795549999999999E-2</v>
      </c>
      <c r="W1153">
        <v>-6.5867200000000001E-2</v>
      </c>
      <c r="X1153">
        <v>0.99777000000000005</v>
      </c>
      <c r="Y1153">
        <v>1.031671E-4</v>
      </c>
      <c r="Z1153">
        <v>1.8324309999999999E-4</v>
      </c>
      <c r="AA1153">
        <v>1</v>
      </c>
      <c r="AB1153">
        <v>36</v>
      </c>
      <c r="AC1153">
        <v>118.1957</v>
      </c>
      <c r="AD1153">
        <v>2.5160529999999999</v>
      </c>
      <c r="AE1153">
        <v>0.80589999999995099</v>
      </c>
      <c r="AF1153">
        <v>1.2476204887823699E-2</v>
      </c>
      <c r="AG1153">
        <v>2.5160529999999999</v>
      </c>
      <c r="AH1153">
        <v>118.144912597052</v>
      </c>
      <c r="AI1153">
        <v>88.779994616760803</v>
      </c>
      <c r="AJ1153">
        <v>89.993949516182695</v>
      </c>
      <c r="AK1153">
        <v>118.171701565644</v>
      </c>
      <c r="AL1153">
        <v>93.776646746331906</v>
      </c>
      <c r="AM1153">
        <v>90.619897689536401</v>
      </c>
      <c r="AN1153">
        <v>1.0000000024178199</v>
      </c>
    </row>
    <row r="1154" spans="1:40" x14ac:dyDescent="0.25">
      <c r="A1154" t="str">
        <f>"20190303153800485"</f>
        <v>20190303153800485</v>
      </c>
      <c r="B1154" t="str">
        <f>"1551598680480298"</f>
        <v>1551598680480298</v>
      </c>
      <c r="C1154" t="s">
        <v>40</v>
      </c>
      <c r="D1154">
        <v>4.2317980000000004</v>
      </c>
      <c r="E1154">
        <v>0.50323090000000004</v>
      </c>
      <c r="F1154" t="s">
        <v>41</v>
      </c>
      <c r="G1154">
        <v>-158.78319999999999</v>
      </c>
      <c r="H1154">
        <v>3.582824</v>
      </c>
      <c r="I1154">
        <v>368.01229999999998</v>
      </c>
      <c r="J1154">
        <v>-276.7586</v>
      </c>
      <c r="K1154">
        <v>1.09151</v>
      </c>
      <c r="L1154">
        <v>366.92779999999999</v>
      </c>
      <c r="M1154">
        <v>0.99996169999999995</v>
      </c>
      <c r="N1154">
        <v>-5.1772509999999999E-3</v>
      </c>
      <c r="O1154">
        <v>7.0740589999999997E-3</v>
      </c>
      <c r="P1154">
        <v>0.99732960000000004</v>
      </c>
      <c r="Q1154">
        <v>-7.0840879999999995E-2</v>
      </c>
      <c r="R1154">
        <v>1.7760769999999999E-2</v>
      </c>
      <c r="S1154">
        <v>3.012146</v>
      </c>
      <c r="T1154">
        <v>6.3540219999999994E-2</v>
      </c>
      <c r="U1154">
        <v>2.767944E-2</v>
      </c>
      <c r="V1154">
        <v>-1.0672940000000001E-2</v>
      </c>
      <c r="W1154">
        <v>-6.5681210000000004E-2</v>
      </c>
      <c r="X1154">
        <v>0.99778359999999999</v>
      </c>
      <c r="Y1154">
        <v>-2.1168910000000001E-3</v>
      </c>
      <c r="Z1154">
        <v>1.6897799999999999E-4</v>
      </c>
      <c r="AA1154">
        <v>0.99999769999999999</v>
      </c>
      <c r="AB1154">
        <v>36</v>
      </c>
      <c r="AC1154">
        <v>117.97539999999999</v>
      </c>
      <c r="AD1154">
        <v>2.491314</v>
      </c>
      <c r="AE1154">
        <v>1.08449999999999</v>
      </c>
      <c r="AF1154">
        <v>-0.24978546238232399</v>
      </c>
      <c r="AG1154">
        <v>2.491314</v>
      </c>
      <c r="AH1154">
        <v>117.927536052581</v>
      </c>
      <c r="AI1154">
        <v>88.789763333942204</v>
      </c>
      <c r="AJ1154">
        <v>90.121359538700204</v>
      </c>
      <c r="AK1154">
        <v>117.954113101903</v>
      </c>
      <c r="AL1154">
        <v>93.765967101512899</v>
      </c>
      <c r="AM1154">
        <v>90.612849415232105</v>
      </c>
      <c r="AN1154">
        <v>1.00000002271213</v>
      </c>
    </row>
    <row r="1155" spans="1:40" x14ac:dyDescent="0.25">
      <c r="A1155" t="str">
        <f>"20190303153800495"</f>
        <v>20190303153800495</v>
      </c>
      <c r="B1155" t="str">
        <f>"1551598680490058"</f>
        <v>1551598680490058</v>
      </c>
      <c r="C1155" t="s">
        <v>40</v>
      </c>
      <c r="D1155">
        <v>4.2350329999999996</v>
      </c>
      <c r="E1155">
        <v>0.50325379999999997</v>
      </c>
      <c r="F1155" t="s">
        <v>41</v>
      </c>
      <c r="G1155">
        <v>-158.78319999999999</v>
      </c>
      <c r="H1155">
        <v>3.4972769999999902</v>
      </c>
      <c r="I1155">
        <v>368.09089999999998</v>
      </c>
      <c r="J1155">
        <v>-276.59660000000002</v>
      </c>
      <c r="K1155">
        <v>1.092911</v>
      </c>
      <c r="L1155">
        <v>366.92899999999997</v>
      </c>
      <c r="M1155">
        <v>0.99996019999999997</v>
      </c>
      <c r="N1155">
        <v>-5.2976079999999997E-3</v>
      </c>
      <c r="O1155">
        <v>7.1838090000000002E-3</v>
      </c>
      <c r="P1155">
        <v>0.99730280000000004</v>
      </c>
      <c r="Q1155">
        <v>-7.1201319999999999E-2</v>
      </c>
      <c r="R1155">
        <v>1.7825270000000001E-2</v>
      </c>
      <c r="S1155">
        <v>3.0118710000000002</v>
      </c>
      <c r="T1155">
        <v>6.1420559999999999E-2</v>
      </c>
      <c r="U1155">
        <v>2.9693600000000001E-2</v>
      </c>
      <c r="V1155">
        <v>-1.062805E-2</v>
      </c>
      <c r="W1155">
        <v>-6.5921720000000003E-2</v>
      </c>
      <c r="X1155">
        <v>0.99776819999999999</v>
      </c>
      <c r="Y1155">
        <v>-2.6765199999999999E-3</v>
      </c>
      <c r="Z1155">
        <v>1.64332E-4</v>
      </c>
      <c r="AA1155">
        <v>0.99999640000000001</v>
      </c>
      <c r="AB1155">
        <v>36</v>
      </c>
      <c r="AC1155">
        <v>117.8134</v>
      </c>
      <c r="AD1155">
        <v>2.404366</v>
      </c>
      <c r="AE1155">
        <v>1.16189999999994</v>
      </c>
      <c r="AF1155">
        <v>-0.31537786779665999</v>
      </c>
      <c r="AG1155">
        <v>2.404366</v>
      </c>
      <c r="AH1155">
        <v>117.76966092679</v>
      </c>
      <c r="AI1155">
        <v>88.830425472844993</v>
      </c>
      <c r="AJ1155">
        <v>90.153433213954202</v>
      </c>
      <c r="AK1155">
        <v>117.794624129765</v>
      </c>
      <c r="AL1155">
        <v>93.779777307295205</v>
      </c>
      <c r="AM1155">
        <v>90.610281406593501</v>
      </c>
      <c r="AN1155">
        <v>1.0000000047729001</v>
      </c>
    </row>
    <row r="1156" spans="1:40" x14ac:dyDescent="0.25">
      <c r="A1156" t="str">
        <f>"20190303153800505"</f>
        <v>20190303153800505</v>
      </c>
      <c r="B1156" t="str">
        <f>"1551598680499818"</f>
        <v>1551598680499818</v>
      </c>
      <c r="C1156" t="s">
        <v>40</v>
      </c>
      <c r="D1156">
        <v>4.2298090000000004</v>
      </c>
      <c r="E1156">
        <v>0.50311419999999996</v>
      </c>
      <c r="F1156" t="s">
        <v>41</v>
      </c>
      <c r="G1156">
        <v>-158.78319999999999</v>
      </c>
      <c r="H1156">
        <v>3.4489299999999998</v>
      </c>
      <c r="I1156">
        <v>368.1001</v>
      </c>
      <c r="J1156">
        <v>-276.42759999999998</v>
      </c>
      <c r="K1156">
        <v>1.0943750000000001</v>
      </c>
      <c r="L1156">
        <v>366.93029999999999</v>
      </c>
      <c r="M1156">
        <v>0.99995849999999997</v>
      </c>
      <c r="N1156">
        <v>-5.456776E-3</v>
      </c>
      <c r="O1156">
        <v>7.297624E-3</v>
      </c>
      <c r="P1156">
        <v>0.99725969999999997</v>
      </c>
      <c r="Q1156">
        <v>-7.1808670000000005E-2</v>
      </c>
      <c r="R1156">
        <v>1.7793360000000001E-2</v>
      </c>
      <c r="S1156">
        <v>3.0118710000000002</v>
      </c>
      <c r="T1156">
        <v>6.023324E-2</v>
      </c>
      <c r="U1156">
        <v>2.9937740000000001E-2</v>
      </c>
      <c r="V1156">
        <v>-1.0482150000000001E-2</v>
      </c>
      <c r="W1156">
        <v>-6.6370410000000005E-2</v>
      </c>
      <c r="X1156">
        <v>0.99773999999999996</v>
      </c>
      <c r="Y1156">
        <v>-2.6437660000000001E-3</v>
      </c>
      <c r="Z1156">
        <v>1.665196E-4</v>
      </c>
      <c r="AA1156">
        <v>0.99999649999999995</v>
      </c>
      <c r="AB1156">
        <v>36</v>
      </c>
      <c r="AC1156">
        <v>117.6444</v>
      </c>
      <c r="AD1156">
        <v>2.354555</v>
      </c>
      <c r="AE1156">
        <v>1.1698</v>
      </c>
      <c r="AF1156">
        <v>-0.311106878075393</v>
      </c>
      <c r="AG1156">
        <v>2.354555</v>
      </c>
      <c r="AH1156">
        <v>117.60270105463201</v>
      </c>
      <c r="AI1156">
        <v>88.853023190358002</v>
      </c>
      <c r="AJ1156">
        <v>90.151570239037596</v>
      </c>
      <c r="AK1156">
        <v>117.62668069822701</v>
      </c>
      <c r="AL1156">
        <v>93.805541766918196</v>
      </c>
      <c r="AM1156">
        <v>90.601921202397094</v>
      </c>
      <c r="AN1156">
        <v>1.0000000071960899</v>
      </c>
    </row>
    <row r="1157" spans="1:40" x14ac:dyDescent="0.25">
      <c r="A1157" t="str">
        <f>"20190303153800518"</f>
        <v>20190303153800518</v>
      </c>
      <c r="B1157" t="str">
        <f>"1551598680509578"</f>
        <v>1551598680509578</v>
      </c>
      <c r="C1157" t="s">
        <v>40</v>
      </c>
      <c r="D1157">
        <v>4.2094529999999999</v>
      </c>
      <c r="E1157">
        <v>0.50311899999999998</v>
      </c>
      <c r="F1157" t="s">
        <v>41</v>
      </c>
      <c r="G1157">
        <v>-158.78319999999999</v>
      </c>
      <c r="H1157">
        <v>3.3004989999999998</v>
      </c>
      <c r="I1157">
        <v>368.12240000000003</v>
      </c>
      <c r="J1157">
        <v>-276.23840000000001</v>
      </c>
      <c r="K1157">
        <v>1.0959840000000001</v>
      </c>
      <c r="L1157">
        <v>366.93180000000001</v>
      </c>
      <c r="M1157">
        <v>0.99995630000000002</v>
      </c>
      <c r="N1157">
        <v>-5.6918219999999896E-3</v>
      </c>
      <c r="O1157">
        <v>7.4246989999999999E-3</v>
      </c>
      <c r="P1157">
        <v>0.99724219999999997</v>
      </c>
      <c r="Q1157">
        <v>-7.1885329999999997E-2</v>
      </c>
      <c r="R1157">
        <v>1.846095E-2</v>
      </c>
      <c r="S1157">
        <v>3.0117799999999999</v>
      </c>
      <c r="T1157">
        <v>5.6480530000000001E-2</v>
      </c>
      <c r="U1157">
        <v>3.0517579999999999E-2</v>
      </c>
      <c r="V1157">
        <v>-1.1023669999999999E-2</v>
      </c>
      <c r="W1157">
        <v>-6.621291E-2</v>
      </c>
      <c r="X1157">
        <v>0.99774459999999998</v>
      </c>
      <c r="Y1157">
        <v>-2.709389E-3</v>
      </c>
      <c r="Z1157">
        <v>1.637834E-4</v>
      </c>
      <c r="AA1157">
        <v>0.99999629999999995</v>
      </c>
      <c r="AB1157">
        <v>36</v>
      </c>
      <c r="AC1157">
        <v>117.4552</v>
      </c>
      <c r="AD1157">
        <v>2.2045149999999998</v>
      </c>
      <c r="AE1157">
        <v>1.1906000000000101</v>
      </c>
      <c r="AF1157">
        <v>-0.31837146114693898</v>
      </c>
      <c r="AG1157">
        <v>2.2045149999999998</v>
      </c>
      <c r="AH1157">
        <v>117.419442748425</v>
      </c>
      <c r="AI1157">
        <v>88.924419154812398</v>
      </c>
      <c r="AJ1157">
        <v>90.1553515832871</v>
      </c>
      <c r="AK1157">
        <v>117.440567020613</v>
      </c>
      <c r="AL1157">
        <v>93.796497895557195</v>
      </c>
      <c r="AM1157">
        <v>90.633011761875906</v>
      </c>
      <c r="AN1157">
        <v>0.99999997879004798</v>
      </c>
    </row>
    <row r="1158" spans="1:40" x14ac:dyDescent="0.25">
      <c r="A1158" t="str">
        <f>"20190303153800529"</f>
        <v>20190303153800529</v>
      </c>
      <c r="B1158" t="str">
        <f>"1551598680520313"</f>
        <v>1551598680520313</v>
      </c>
      <c r="C1158" t="s">
        <v>40</v>
      </c>
      <c r="D1158">
        <v>4.2402660000000001</v>
      </c>
      <c r="E1158">
        <v>0.50300710000000004</v>
      </c>
      <c r="F1158" t="s">
        <v>41</v>
      </c>
      <c r="G1158">
        <v>-158.78319999999999</v>
      </c>
      <c r="H1158">
        <v>3.2990490000000001</v>
      </c>
      <c r="I1158">
        <v>368.20530000000002</v>
      </c>
      <c r="J1158">
        <v>-276.0523</v>
      </c>
      <c r="K1158">
        <v>1.0975549999999901</v>
      </c>
      <c r="L1158">
        <v>366.93329999999997</v>
      </c>
      <c r="M1158">
        <v>0.99995389999999995</v>
      </c>
      <c r="N1158">
        <v>-5.9461440000000004E-3</v>
      </c>
      <c r="O1158">
        <v>7.5494859999999898E-3</v>
      </c>
      <c r="P1158">
        <v>0.99723079999999997</v>
      </c>
      <c r="Q1158">
        <v>-7.1986079999999994E-2</v>
      </c>
      <c r="R1158">
        <v>1.868682E-2</v>
      </c>
      <c r="S1158">
        <v>3.0118100000000001</v>
      </c>
      <c r="T1158">
        <v>5.6493639999999998E-2</v>
      </c>
      <c r="U1158">
        <v>3.2653809999999998E-2</v>
      </c>
      <c r="V1158">
        <v>-1.112512E-2</v>
      </c>
      <c r="W1158">
        <v>-6.6059989999999999E-2</v>
      </c>
      <c r="X1158">
        <v>0.99775360000000002</v>
      </c>
      <c r="Y1158">
        <v>-3.2937079999999998E-3</v>
      </c>
      <c r="Z1158">
        <v>1.6538079999999999E-4</v>
      </c>
      <c r="AA1158">
        <v>0.99999459999999996</v>
      </c>
      <c r="AB1158">
        <v>36</v>
      </c>
      <c r="AC1158">
        <v>117.26909999999999</v>
      </c>
      <c r="AD1158">
        <v>2.2014939999999998</v>
      </c>
      <c r="AE1158">
        <v>1.27200000000004</v>
      </c>
      <c r="AF1158">
        <v>-0.38649054415662998</v>
      </c>
      <c r="AG1158">
        <v>2.2014939999999998</v>
      </c>
      <c r="AH1158">
        <v>117.23404963308499</v>
      </c>
      <c r="AI1158">
        <v>88.924196456738997</v>
      </c>
      <c r="AJ1158">
        <v>90.188888781429796</v>
      </c>
      <c r="AK1158">
        <v>117.25535528983499</v>
      </c>
      <c r="AL1158">
        <v>93.787717039009493</v>
      </c>
      <c r="AM1158">
        <v>90.638831078570604</v>
      </c>
      <c r="AN1158">
        <v>0.99999996844338601</v>
      </c>
    </row>
    <row r="1159" spans="1:40" x14ac:dyDescent="0.25">
      <c r="A1159" t="str">
        <f>"20190303153800539"</f>
        <v>20190303153800539</v>
      </c>
      <c r="B1159" t="str">
        <f>"1551598680530074"</f>
        <v>1551598680530074</v>
      </c>
      <c r="C1159" t="s">
        <v>40</v>
      </c>
      <c r="D1159">
        <v>4.2355510000000001</v>
      </c>
      <c r="E1159">
        <v>0.50288829999999995</v>
      </c>
      <c r="F1159" t="s">
        <v>41</v>
      </c>
      <c r="G1159">
        <v>-158.78319999999999</v>
      </c>
      <c r="H1159">
        <v>3.297898</v>
      </c>
      <c r="I1159">
        <v>368.27600000000001</v>
      </c>
      <c r="J1159">
        <v>-275.88409999999999</v>
      </c>
      <c r="K1159">
        <v>1.098916</v>
      </c>
      <c r="L1159">
        <v>366.93459999999999</v>
      </c>
      <c r="M1159">
        <v>0.99995140000000005</v>
      </c>
      <c r="N1159">
        <v>-6.2203889999999998E-3</v>
      </c>
      <c r="O1159">
        <v>7.6622629999999999E-3</v>
      </c>
      <c r="P1159">
        <v>0.99719749999999996</v>
      </c>
      <c r="Q1159">
        <v>-7.2368370000000001E-2</v>
      </c>
      <c r="R1159">
        <v>1.8980529999999999E-2</v>
      </c>
      <c r="S1159">
        <v>3.011749</v>
      </c>
      <c r="T1159">
        <v>5.6512239999999998E-2</v>
      </c>
      <c r="U1159">
        <v>3.4484859999999999E-2</v>
      </c>
      <c r="V1159">
        <v>-1.130631E-2</v>
      </c>
      <c r="W1159">
        <v>-6.6168939999999996E-2</v>
      </c>
      <c r="X1159">
        <v>0.99774439999999998</v>
      </c>
      <c r="Y1159">
        <v>-3.7890609999999998E-3</v>
      </c>
      <c r="Z1159">
        <v>1.67651899999999E-4</v>
      </c>
      <c r="AA1159">
        <v>0.99999280000000002</v>
      </c>
      <c r="AB1159">
        <v>36</v>
      </c>
      <c r="AC1159">
        <v>117.1009</v>
      </c>
      <c r="AD1159">
        <v>2.198982</v>
      </c>
      <c r="AE1159">
        <v>1.3414000000000199</v>
      </c>
      <c r="AF1159">
        <v>-0.443928937115664</v>
      </c>
      <c r="AG1159">
        <v>2.198982</v>
      </c>
      <c r="AH1159">
        <v>117.066464585783</v>
      </c>
      <c r="AI1159">
        <v>88.923887661233707</v>
      </c>
      <c r="AJ1159">
        <v>90.217270869766196</v>
      </c>
      <c r="AK1159">
        <v>117.087957217435</v>
      </c>
      <c r="AL1159">
        <v>93.793972889387803</v>
      </c>
      <c r="AM1159">
        <v>90.6492405455366</v>
      </c>
      <c r="AN1159">
        <v>1.00000002449894</v>
      </c>
    </row>
    <row r="1160" spans="1:40" x14ac:dyDescent="0.25">
      <c r="A1160" t="str">
        <f>"20190303153800550"</f>
        <v>20190303153800550</v>
      </c>
      <c r="B1160" t="str">
        <f>"1551598680539834"</f>
        <v>1551598680539834</v>
      </c>
      <c r="C1160" t="s">
        <v>40</v>
      </c>
      <c r="D1160">
        <v>4.2189969999999999</v>
      </c>
      <c r="E1160">
        <v>0.50295559999999995</v>
      </c>
      <c r="F1160" t="s">
        <v>41</v>
      </c>
      <c r="G1160">
        <v>-158.78319999999999</v>
      </c>
      <c r="H1160">
        <v>3.3036750000000001</v>
      </c>
      <c r="I1160">
        <v>368.33229999999998</v>
      </c>
      <c r="J1160">
        <v>-275.70620000000002</v>
      </c>
      <c r="K1160">
        <v>1.10033799999999</v>
      </c>
      <c r="L1160">
        <v>366.93599999999998</v>
      </c>
      <c r="M1160">
        <v>0.99994850000000002</v>
      </c>
      <c r="N1160">
        <v>-6.5140049999999998E-3</v>
      </c>
      <c r="O1160">
        <v>7.7817980000000004E-3</v>
      </c>
      <c r="P1160">
        <v>0.99716349999999998</v>
      </c>
      <c r="Q1160">
        <v>-7.2666439999999999E-2</v>
      </c>
      <c r="R1160">
        <v>1.9607719999999999E-2</v>
      </c>
      <c r="S1160">
        <v>3.0118710000000002</v>
      </c>
      <c r="T1160">
        <v>5.6709290000000002E-2</v>
      </c>
      <c r="U1160">
        <v>3.5949710000000003E-2</v>
      </c>
      <c r="V1160">
        <v>-1.1814420000000001E-2</v>
      </c>
      <c r="W1160">
        <v>-6.6174479999999994E-2</v>
      </c>
      <c r="X1160">
        <v>0.99773809999999996</v>
      </c>
      <c r="Y1160">
        <v>-4.1553999999999897E-3</v>
      </c>
      <c r="Z1160">
        <v>1.716039E-4</v>
      </c>
      <c r="AA1160">
        <v>0.99999139999999997</v>
      </c>
      <c r="AB1160">
        <v>36</v>
      </c>
      <c r="AC1160">
        <v>116.923</v>
      </c>
      <c r="AD1160">
        <v>2.2033369999999999</v>
      </c>
      <c r="AE1160">
        <v>1.3962999999999901</v>
      </c>
      <c r="AF1160">
        <v>-0.48619461647887702</v>
      </c>
      <c r="AG1160">
        <v>2.2033369999999999</v>
      </c>
      <c r="AH1160">
        <v>116.888823153752</v>
      </c>
      <c r="AI1160">
        <v>88.920120272386995</v>
      </c>
      <c r="AJ1160">
        <v>90.238318242449495</v>
      </c>
      <c r="AK1160">
        <v>116.91059856749401</v>
      </c>
      <c r="AL1160">
        <v>93.794291177139698</v>
      </c>
      <c r="AM1160">
        <v>90.678419284894602</v>
      </c>
      <c r="AN1160">
        <v>0.99999997925740802</v>
      </c>
    </row>
    <row r="1161" spans="1:40" x14ac:dyDescent="0.25">
      <c r="A1161" t="str">
        <f>"20190303153800561"</f>
        <v>20190303153800561</v>
      </c>
      <c r="B1161" t="str">
        <f>"1551598680549593"</f>
        <v>1551598680549593</v>
      </c>
      <c r="C1161" t="s">
        <v>40</v>
      </c>
      <c r="D1161">
        <v>4.2528040000000003</v>
      </c>
      <c r="E1161">
        <v>0.50285009999999997</v>
      </c>
      <c r="F1161" t="s">
        <v>41</v>
      </c>
      <c r="G1161">
        <v>-158.78319999999999</v>
      </c>
      <c r="H1161">
        <v>3.2659739999999999</v>
      </c>
      <c r="I1161">
        <v>368.38260000000002</v>
      </c>
      <c r="J1161">
        <v>-275.52370000000002</v>
      </c>
      <c r="K1161">
        <v>1.1017140000000001</v>
      </c>
      <c r="L1161">
        <v>366.93759999999997</v>
      </c>
      <c r="M1161">
        <v>0.99994550000000004</v>
      </c>
      <c r="N1161">
        <v>-6.8371760000000004E-3</v>
      </c>
      <c r="O1161">
        <v>7.9033450000000009E-3</v>
      </c>
      <c r="P1161">
        <v>0.99713490000000005</v>
      </c>
      <c r="Q1161">
        <v>-7.2989299999999993E-2</v>
      </c>
      <c r="R1161">
        <v>1.9863390000000002E-2</v>
      </c>
      <c r="S1161">
        <v>3.011841</v>
      </c>
      <c r="T1161">
        <v>5.5787209999999997E-2</v>
      </c>
      <c r="U1161">
        <v>3.7261959999999997E-2</v>
      </c>
      <c r="V1161">
        <v>-1.194858E-2</v>
      </c>
      <c r="W1161">
        <v>-6.6175159999999997E-2</v>
      </c>
      <c r="X1161">
        <v>0.99773650000000003</v>
      </c>
      <c r="Y1161">
        <v>-4.4696229999999998E-3</v>
      </c>
      <c r="Z1161">
        <v>1.742914E-4</v>
      </c>
      <c r="AA1161">
        <v>0.99999000000000005</v>
      </c>
      <c r="AB1161">
        <v>36</v>
      </c>
      <c r="AC1161">
        <v>116.7405</v>
      </c>
      <c r="AD1161">
        <v>2.1642600000000001</v>
      </c>
      <c r="AE1161">
        <v>1.44500000000005</v>
      </c>
      <c r="AF1161">
        <v>-0.52211353152703199</v>
      </c>
      <c r="AG1161">
        <v>2.1642600000000001</v>
      </c>
      <c r="AH1161">
        <v>116.708168294751</v>
      </c>
      <c r="AI1161">
        <v>88.9376278136873</v>
      </c>
      <c r="AJ1161">
        <v>90.256320552822999</v>
      </c>
      <c r="AK1161">
        <v>116.729401483103</v>
      </c>
      <c r="AL1161">
        <v>93.794330061827296</v>
      </c>
      <c r="AM1161">
        <v>90.686123520648806</v>
      </c>
      <c r="AN1161">
        <v>1.00000002189864</v>
      </c>
    </row>
    <row r="1162" spans="1:40" x14ac:dyDescent="0.25">
      <c r="A1162" t="str">
        <f>"20190303153800573"</f>
        <v>20190303153800573</v>
      </c>
      <c r="B1162" t="str">
        <f>"1551598680570090"</f>
        <v>1551598680570090</v>
      </c>
      <c r="C1162" t="s">
        <v>40</v>
      </c>
      <c r="D1162">
        <v>4.2205890000000004</v>
      </c>
      <c r="E1162">
        <v>0.50276739999999998</v>
      </c>
      <c r="F1162" t="s">
        <v>41</v>
      </c>
      <c r="G1162">
        <v>-158.78319999999999</v>
      </c>
      <c r="H1162">
        <v>3.2282250000000001</v>
      </c>
      <c r="I1162">
        <v>368.46109999999999</v>
      </c>
      <c r="J1162">
        <v>-275.3528</v>
      </c>
      <c r="K1162">
        <v>1.1029770000000001</v>
      </c>
      <c r="L1162">
        <v>366.93900000000002</v>
      </c>
      <c r="M1162">
        <v>0.99994240000000001</v>
      </c>
      <c r="N1162">
        <v>-7.142636E-3</v>
      </c>
      <c r="O1162">
        <v>8.0170309999999904E-3</v>
      </c>
      <c r="P1162">
        <v>0.99710929999999998</v>
      </c>
      <c r="Q1162">
        <v>-7.3241609999999999E-2</v>
      </c>
      <c r="R1162">
        <v>2.021477E-2</v>
      </c>
      <c r="S1162">
        <v>3.011841</v>
      </c>
      <c r="T1162">
        <v>5.4864999999999997E-2</v>
      </c>
      <c r="U1162">
        <v>3.9306639999999997E-2</v>
      </c>
      <c r="V1162">
        <v>-1.218698E-2</v>
      </c>
      <c r="W1162">
        <v>-6.6122979999999998E-2</v>
      </c>
      <c r="X1162">
        <v>0.99773710000000004</v>
      </c>
      <c r="Y1162">
        <v>-5.0346899999999997E-3</v>
      </c>
      <c r="Z1162">
        <v>1.7540700000000001E-4</v>
      </c>
      <c r="AA1162">
        <v>0.99998730000000002</v>
      </c>
      <c r="AB1162">
        <v>36</v>
      </c>
      <c r="AC1162">
        <v>116.56959999999999</v>
      </c>
      <c r="AD1162">
        <v>2.125248</v>
      </c>
      <c r="AE1162">
        <v>1.52209999999996</v>
      </c>
      <c r="AF1162">
        <v>-0.58729001253851698</v>
      </c>
      <c r="AG1162">
        <v>2.125248</v>
      </c>
      <c r="AH1162">
        <v>116.539326692879</v>
      </c>
      <c r="AI1162">
        <v>88.955265120964</v>
      </c>
      <c r="AJ1162">
        <v>90.288734757434895</v>
      </c>
      <c r="AK1162">
        <v>116.560182972788</v>
      </c>
      <c r="AL1162">
        <v>93.791333714666294</v>
      </c>
      <c r="AM1162">
        <v>90.699811399120193</v>
      </c>
      <c r="AN1162">
        <v>1.0000000458410001</v>
      </c>
    </row>
    <row r="1163" spans="1:40" x14ac:dyDescent="0.25">
      <c r="A1163" t="str">
        <f>"20190303153800583"</f>
        <v>20190303153800583</v>
      </c>
      <c r="B1163" t="str">
        <f>"1551598680579849"</f>
        <v>1551598680579849</v>
      </c>
      <c r="C1163" t="s">
        <v>40</v>
      </c>
      <c r="D1163">
        <v>4.2132139999999998</v>
      </c>
      <c r="E1163">
        <v>0.50271429999999995</v>
      </c>
      <c r="F1163" t="s">
        <v>41</v>
      </c>
      <c r="G1163">
        <v>-158.78319999999999</v>
      </c>
      <c r="H1163">
        <v>3.1950780000000001</v>
      </c>
      <c r="I1163">
        <v>368.52409999999998</v>
      </c>
      <c r="J1163">
        <v>-275.17860000000002</v>
      </c>
      <c r="K1163">
        <v>1.1041909999999999</v>
      </c>
      <c r="L1163">
        <v>366.94049999999999</v>
      </c>
      <c r="M1163">
        <v>0.99993920000000003</v>
      </c>
      <c r="N1163">
        <v>-7.4594989999999996E-3</v>
      </c>
      <c r="O1163">
        <v>8.1318239999999993E-3</v>
      </c>
      <c r="P1163">
        <v>0.99705500000000002</v>
      </c>
      <c r="Q1163">
        <v>-7.3877929999999994E-2</v>
      </c>
      <c r="R1163">
        <v>2.0579299999999998E-2</v>
      </c>
      <c r="S1163">
        <v>3.011841</v>
      </c>
      <c r="T1163">
        <v>5.4056409999999999E-2</v>
      </c>
      <c r="U1163">
        <v>4.0954589999999999E-2</v>
      </c>
      <c r="V1163">
        <v>-1.243696E-2</v>
      </c>
      <c r="W1163">
        <v>-6.6443660000000002E-2</v>
      </c>
      <c r="X1163">
        <v>0.99771270000000001</v>
      </c>
      <c r="Y1163">
        <v>-5.4669640000000004E-3</v>
      </c>
      <c r="Z1163">
        <v>1.7791810000000001E-4</v>
      </c>
      <c r="AA1163">
        <v>0.99998500000000001</v>
      </c>
      <c r="AB1163">
        <v>36</v>
      </c>
      <c r="AC1163">
        <v>116.3954</v>
      </c>
      <c r="AD1163">
        <v>2.0908869999999999</v>
      </c>
      <c r="AE1163">
        <v>1.5835999999999899</v>
      </c>
      <c r="AF1163">
        <v>-0.63680902191254496</v>
      </c>
      <c r="AG1163">
        <v>2.0908869999999999</v>
      </c>
      <c r="AH1163">
        <v>116.36688539764501</v>
      </c>
      <c r="AI1163">
        <v>88.970632263678596</v>
      </c>
      <c r="AJ1163">
        <v>90.313543711064696</v>
      </c>
      <c r="AK1163">
        <v>116.387410622136</v>
      </c>
      <c r="AL1163">
        <v>93.809747861983695</v>
      </c>
      <c r="AM1163">
        <v>90.714181960743701</v>
      </c>
      <c r="AN1163">
        <v>1.00000003483476</v>
      </c>
    </row>
    <row r="1164" spans="1:40" x14ac:dyDescent="0.25">
      <c r="A1164" t="str">
        <f>"20190303153800595"</f>
        <v>20190303153800595</v>
      </c>
      <c r="B1164" t="str">
        <f>"1551598680589609"</f>
        <v>1551598680589609</v>
      </c>
      <c r="C1164" t="s">
        <v>40</v>
      </c>
      <c r="D1164">
        <v>4.2086649999999999</v>
      </c>
      <c r="E1164">
        <v>0.50268550000000001</v>
      </c>
      <c r="F1164" t="s">
        <v>41</v>
      </c>
      <c r="G1164">
        <v>-158.78319999999999</v>
      </c>
      <c r="H1164">
        <v>3.0967530000000001</v>
      </c>
      <c r="I1164">
        <v>368.57870000000003</v>
      </c>
      <c r="J1164">
        <v>-274.9957</v>
      </c>
      <c r="K1164">
        <v>1.10541</v>
      </c>
      <c r="L1164">
        <v>366.94200000000001</v>
      </c>
      <c r="M1164">
        <v>0.99993560000000004</v>
      </c>
      <c r="N1164">
        <v>-7.7910319999999998E-3</v>
      </c>
      <c r="O1164">
        <v>8.2520570000000001E-3</v>
      </c>
      <c r="P1164">
        <v>0.99702570000000001</v>
      </c>
      <c r="Q1164">
        <v>-7.4244980000000002E-2</v>
      </c>
      <c r="R1164">
        <v>2.067797E-2</v>
      </c>
      <c r="S1164">
        <v>3.0118100000000001</v>
      </c>
      <c r="T1164">
        <v>5.1561120000000002E-2</v>
      </c>
      <c r="U1164">
        <v>4.2388919999999997E-2</v>
      </c>
      <c r="V1164">
        <v>-1.2415519999999999E-2</v>
      </c>
      <c r="W1164">
        <v>-6.6480139999999993E-2</v>
      </c>
      <c r="X1164">
        <v>0.99771049999999994</v>
      </c>
      <c r="Y1164">
        <v>-5.8229629999999996E-3</v>
      </c>
      <c r="Z1164">
        <v>1.783845E-4</v>
      </c>
      <c r="AA1164">
        <v>0.99998299999999996</v>
      </c>
      <c r="AB1164">
        <v>36</v>
      </c>
      <c r="AC1164">
        <v>116.21250000000001</v>
      </c>
      <c r="AD1164">
        <v>1.9913430000000001</v>
      </c>
      <c r="AE1164">
        <v>1.63670000000007</v>
      </c>
      <c r="AF1164">
        <v>-0.67742412217499703</v>
      </c>
      <c r="AG1164">
        <v>1.9913430000000001</v>
      </c>
      <c r="AH1164">
        <v>116.187941012664</v>
      </c>
      <c r="AI1164">
        <v>89.018121500961499</v>
      </c>
      <c r="AJ1164">
        <v>90.334054489696399</v>
      </c>
      <c r="AK1164">
        <v>116.206979081066</v>
      </c>
      <c r="AL1164">
        <v>93.811842784274901</v>
      </c>
      <c r="AM1164">
        <v>90.712952485910193</v>
      </c>
      <c r="AN1164">
        <v>0.999999997980769</v>
      </c>
    </row>
    <row r="1165" spans="1:40" x14ac:dyDescent="0.25">
      <c r="A1165" t="str">
        <f>"20190303153800607"</f>
        <v>20190303153800607</v>
      </c>
      <c r="B1165" t="str">
        <f>"1551598680600346"</f>
        <v>1551598680600346</v>
      </c>
      <c r="C1165" t="s">
        <v>40</v>
      </c>
      <c r="D1165">
        <v>4.2289099999999999</v>
      </c>
      <c r="E1165">
        <v>0.50267600000000001</v>
      </c>
      <c r="F1165" t="s">
        <v>41</v>
      </c>
      <c r="G1165">
        <v>-158.78319999999999</v>
      </c>
      <c r="H1165">
        <v>3.048921</v>
      </c>
      <c r="I1165">
        <v>368.59769999999997</v>
      </c>
      <c r="J1165">
        <v>-274.79919999999998</v>
      </c>
      <c r="K1165">
        <v>1.1066560000000001</v>
      </c>
      <c r="L1165">
        <v>366.94380000000001</v>
      </c>
      <c r="M1165">
        <v>0.99993180000000004</v>
      </c>
      <c r="N1165">
        <v>-8.1458380000000007E-3</v>
      </c>
      <c r="O1165">
        <v>8.3804900000000009E-3</v>
      </c>
      <c r="P1165">
        <v>0.99698949999999997</v>
      </c>
      <c r="Q1165">
        <v>-7.4706640000000005E-2</v>
      </c>
      <c r="R1165">
        <v>2.07601E-2</v>
      </c>
      <c r="S1165">
        <v>3.0118100000000001</v>
      </c>
      <c r="T1165">
        <v>5.0371050000000001E-2</v>
      </c>
      <c r="U1165">
        <v>4.2907710000000002E-2</v>
      </c>
      <c r="V1165">
        <v>-1.236976E-2</v>
      </c>
      <c r="W1165">
        <v>-6.6588069999999999E-2</v>
      </c>
      <c r="X1165">
        <v>0.99770389999999998</v>
      </c>
      <c r="Y1165">
        <v>-5.8667939999999998E-3</v>
      </c>
      <c r="Z1165">
        <v>1.832414E-4</v>
      </c>
      <c r="AA1165">
        <v>0.99998279999999995</v>
      </c>
      <c r="AB1165">
        <v>36</v>
      </c>
      <c r="AC1165">
        <v>116.01600000000001</v>
      </c>
      <c r="AD1165">
        <v>1.9422649999999999</v>
      </c>
      <c r="AE1165">
        <v>1.65389999999996</v>
      </c>
      <c r="AF1165">
        <v>-0.68134789820174502</v>
      </c>
      <c r="AG1165">
        <v>1.9422649999999999</v>
      </c>
      <c r="AH1165">
        <v>115.993283381675</v>
      </c>
      <c r="AI1165">
        <v>89.040709377760606</v>
      </c>
      <c r="AJ1165">
        <v>90.3365531936183</v>
      </c>
      <c r="AK1165">
        <v>116.011544330511</v>
      </c>
      <c r="AL1165">
        <v>93.818040339704197</v>
      </c>
      <c r="AM1165">
        <v>90.710329718355297</v>
      </c>
      <c r="AN1165">
        <v>1.00000002705199</v>
      </c>
    </row>
    <row r="1166" spans="1:40" x14ac:dyDescent="0.25">
      <c r="A1166" t="str">
        <f>"20190303153800620"</f>
        <v>20190303153800620</v>
      </c>
      <c r="B1166" t="str">
        <f>"1551598680610106"</f>
        <v>1551598680610106</v>
      </c>
      <c r="C1166" t="s">
        <v>40</v>
      </c>
      <c r="D1166">
        <v>4.2372719999999999</v>
      </c>
      <c r="E1166">
        <v>0.50265950000000004</v>
      </c>
      <c r="F1166" t="s">
        <v>41</v>
      </c>
      <c r="G1166">
        <v>-158.78319999999999</v>
      </c>
      <c r="H1166">
        <v>2.9882279999999999</v>
      </c>
      <c r="I1166">
        <v>368.60840000000002</v>
      </c>
      <c r="J1166">
        <v>-274.5788</v>
      </c>
      <c r="K1166">
        <v>1.107939</v>
      </c>
      <c r="L1166">
        <v>366.94580000000002</v>
      </c>
      <c r="M1166">
        <v>0.99992740000000002</v>
      </c>
      <c r="N1166">
        <v>-8.5335700000000007E-3</v>
      </c>
      <c r="O1166">
        <v>8.5235039999999995E-3</v>
      </c>
      <c r="P1166">
        <v>0.996977</v>
      </c>
      <c r="Q1166">
        <v>-7.4838299999999996E-2</v>
      </c>
      <c r="R1166">
        <v>2.088512E-2</v>
      </c>
      <c r="S1166">
        <v>3.0118100000000001</v>
      </c>
      <c r="T1166">
        <v>4.8848389999999998E-2</v>
      </c>
      <c r="U1166">
        <v>4.3212889999999997E-2</v>
      </c>
      <c r="V1166">
        <v>-1.2351890000000001E-2</v>
      </c>
      <c r="W1166">
        <v>-6.6332950000000002E-2</v>
      </c>
      <c r="X1166">
        <v>0.99772110000000003</v>
      </c>
      <c r="Y1166">
        <v>-5.8251279999999997E-3</v>
      </c>
      <c r="Z1166">
        <v>1.8857459999999999E-4</v>
      </c>
      <c r="AA1166">
        <v>0.99998299999999996</v>
      </c>
      <c r="AB1166">
        <v>36</v>
      </c>
      <c r="AC1166">
        <v>115.79559999999999</v>
      </c>
      <c r="AD1166">
        <v>1.8802890000000001</v>
      </c>
      <c r="AE1166">
        <v>1.6625999999999901</v>
      </c>
      <c r="AF1166">
        <v>-0.67534150616491595</v>
      </c>
      <c r="AG1166">
        <v>1.8802890000000001</v>
      </c>
      <c r="AH1166">
        <v>115.775044606329</v>
      </c>
      <c r="AI1166">
        <v>89.0695635540376</v>
      </c>
      <c r="AJ1166">
        <v>90.334215195492504</v>
      </c>
      <c r="AK1166">
        <v>115.792281808724</v>
      </c>
      <c r="AL1166">
        <v>93.8033907107191</v>
      </c>
      <c r="AM1166">
        <v>90.709291417301102</v>
      </c>
      <c r="AN1166">
        <v>1.00000001141374</v>
      </c>
    </row>
    <row r="1167" spans="1:40" x14ac:dyDescent="0.25">
      <c r="A1167" t="str">
        <f>"20190303153800635"</f>
        <v>20190303153800635</v>
      </c>
      <c r="B1167" t="str">
        <f>"1551598680629626"</f>
        <v>1551598680629626</v>
      </c>
      <c r="C1167" t="s">
        <v>40</v>
      </c>
      <c r="D1167">
        <v>4.1796300000000004</v>
      </c>
      <c r="E1167">
        <v>0.50283690000000003</v>
      </c>
      <c r="F1167" t="s">
        <v>41</v>
      </c>
      <c r="G1167">
        <v>-158.78319999999999</v>
      </c>
      <c r="H1167">
        <v>2.9814799999999999</v>
      </c>
      <c r="I1167">
        <v>368.6225</v>
      </c>
      <c r="J1167">
        <v>-274.35109999999997</v>
      </c>
      <c r="K1167">
        <v>1.1091879999999901</v>
      </c>
      <c r="L1167">
        <v>366.9479</v>
      </c>
      <c r="M1167">
        <v>0.99992259999999999</v>
      </c>
      <c r="N1167">
        <v>-8.9242100000000001E-3</v>
      </c>
      <c r="O1167">
        <v>8.6707739999999991E-3</v>
      </c>
      <c r="P1167">
        <v>0.99695509999999998</v>
      </c>
      <c r="Q1167">
        <v>-7.5159030000000002E-2</v>
      </c>
      <c r="R1167">
        <v>2.0776840000000001E-2</v>
      </c>
      <c r="S1167">
        <v>3.0118710000000002</v>
      </c>
      <c r="T1167">
        <v>4.8733470000000001E-2</v>
      </c>
      <c r="U1167">
        <v>4.3609620000000002E-2</v>
      </c>
      <c r="V1167">
        <v>-1.2097419999999999E-2</v>
      </c>
      <c r="W1167">
        <v>-6.6263989999999995E-2</v>
      </c>
      <c r="X1167">
        <v>0.99772879999999997</v>
      </c>
      <c r="Y1167">
        <v>-5.8093629999999997E-3</v>
      </c>
      <c r="Z1167">
        <v>1.9657950000000001E-4</v>
      </c>
      <c r="AA1167">
        <v>0.99998310000000001</v>
      </c>
      <c r="AB1167">
        <v>36</v>
      </c>
      <c r="AC1167">
        <v>115.567899999999</v>
      </c>
      <c r="AD1167">
        <v>1.8722919999999901</v>
      </c>
      <c r="AE1167">
        <v>1.6745999999999901</v>
      </c>
      <c r="AF1167">
        <v>-0.67225760315194605</v>
      </c>
      <c r="AG1167">
        <v>1.8722919999999901</v>
      </c>
      <c r="AH1167">
        <v>115.547754929628</v>
      </c>
      <c r="AI1167">
        <v>89.071697866016507</v>
      </c>
      <c r="AJ1167">
        <v>90.333343463424896</v>
      </c>
      <c r="AK1167">
        <v>115.564878215207</v>
      </c>
      <c r="AL1167">
        <v>93.799430882556095</v>
      </c>
      <c r="AM1167">
        <v>90.694674890804706</v>
      </c>
      <c r="AN1167">
        <v>1.0000000111453999</v>
      </c>
    </row>
    <row r="1168" spans="1:40" x14ac:dyDescent="0.25">
      <c r="A1168" t="str">
        <f>"20190303153800649"</f>
        <v>20190303153800649</v>
      </c>
      <c r="B1168" t="str">
        <f>"1551598680640362"</f>
        <v>1551598680640362</v>
      </c>
      <c r="C1168" t="s">
        <v>40</v>
      </c>
      <c r="D1168">
        <v>4.2024419999999996</v>
      </c>
      <c r="E1168">
        <v>0.50290219999999997</v>
      </c>
      <c r="F1168" t="s">
        <v>41</v>
      </c>
      <c r="G1168">
        <v>-158.78319999999999</v>
      </c>
      <c r="H1168">
        <v>2.961433</v>
      </c>
      <c r="I1168">
        <v>368.5498</v>
      </c>
      <c r="J1168">
        <v>-274.12630000000001</v>
      </c>
      <c r="K1168">
        <v>1.110336</v>
      </c>
      <c r="L1168">
        <v>366.95</v>
      </c>
      <c r="M1168">
        <v>0.99991790000000003</v>
      </c>
      <c r="N1168">
        <v>-9.2984009999999995E-3</v>
      </c>
      <c r="O1168">
        <v>8.8151700000000006E-3</v>
      </c>
      <c r="P1168">
        <v>0.99692789999999998</v>
      </c>
      <c r="Q1168">
        <v>-7.5538869999999994E-2</v>
      </c>
      <c r="R1168">
        <v>2.070988E-2</v>
      </c>
      <c r="S1168">
        <v>3.0119020000000001</v>
      </c>
      <c r="T1168">
        <v>4.8274989999999997E-2</v>
      </c>
      <c r="U1168">
        <v>4.1748050000000002E-2</v>
      </c>
      <c r="V1168">
        <v>-1.1887129999999999E-2</v>
      </c>
      <c r="W1168">
        <v>-6.6270529999999994E-2</v>
      </c>
      <c r="X1168">
        <v>0.99773089999999998</v>
      </c>
      <c r="Y1168">
        <v>-5.0470059999999997E-3</v>
      </c>
      <c r="Z1168">
        <v>2.0625379999999999E-4</v>
      </c>
      <c r="AA1168">
        <v>0.99998719999999996</v>
      </c>
      <c r="AB1168">
        <v>36</v>
      </c>
      <c r="AC1168">
        <v>115.34310000000001</v>
      </c>
      <c r="AD1168">
        <v>1.851097</v>
      </c>
      <c r="AE1168">
        <v>1.5998000000000101</v>
      </c>
      <c r="AF1168">
        <v>-0.582774760110776</v>
      </c>
      <c r="AG1168">
        <v>1.851097</v>
      </c>
      <c r="AH1168">
        <v>115.32302448868801</v>
      </c>
      <c r="AI1168">
        <v>89.080412737299</v>
      </c>
      <c r="AJ1168">
        <v>90.289536717255103</v>
      </c>
      <c r="AK1168">
        <v>115.33935219058201</v>
      </c>
      <c r="AL1168">
        <v>93.7998063966769</v>
      </c>
      <c r="AM1168">
        <v>90.682599041815294</v>
      </c>
      <c r="AN1168">
        <v>1.00000001791046</v>
      </c>
    </row>
    <row r="1169" spans="1:40" x14ac:dyDescent="0.25">
      <c r="A1169" t="str">
        <f>"20190303153800662"</f>
        <v>20190303153800662</v>
      </c>
      <c r="B1169" t="str">
        <f>"1551598680650121"</f>
        <v>1551598680650121</v>
      </c>
      <c r="C1169" t="s">
        <v>40</v>
      </c>
      <c r="D1169">
        <v>4.2070259999999999</v>
      </c>
      <c r="E1169">
        <v>0.50300140000000004</v>
      </c>
      <c r="F1169" t="s">
        <v>41</v>
      </c>
      <c r="G1169">
        <v>-158.78319999999999</v>
      </c>
      <c r="H1169">
        <v>2.9116520000000001</v>
      </c>
      <c r="I1169">
        <v>368.5172</v>
      </c>
      <c r="J1169">
        <v>-273.92009999999999</v>
      </c>
      <c r="K1169">
        <v>1.11127</v>
      </c>
      <c r="L1169">
        <v>366.95190000000002</v>
      </c>
      <c r="M1169">
        <v>0.99991399999999997</v>
      </c>
      <c r="N1169">
        <v>-9.6020559999999994E-3</v>
      </c>
      <c r="O1169">
        <v>8.9468759999999994E-3</v>
      </c>
      <c r="P1169">
        <v>0.99696450000000003</v>
      </c>
      <c r="Q1169">
        <v>-7.5200690000000001E-2</v>
      </c>
      <c r="R1169">
        <v>2.0170250000000001E-2</v>
      </c>
      <c r="S1169">
        <v>3.0119929999999999</v>
      </c>
      <c r="T1169">
        <v>4.7040579999999999E-2</v>
      </c>
      <c r="U1169">
        <v>4.092407E-2</v>
      </c>
      <c r="V1169">
        <v>-1.121632E-2</v>
      </c>
      <c r="W1169">
        <v>-6.5628690000000003E-2</v>
      </c>
      <c r="X1169">
        <v>0.99778109999999998</v>
      </c>
      <c r="Y1169">
        <v>-4.6414070000000002E-3</v>
      </c>
      <c r="Z1169">
        <v>2.116571E-4</v>
      </c>
      <c r="AA1169">
        <v>0.99998920000000002</v>
      </c>
      <c r="AB1169">
        <v>36</v>
      </c>
      <c r="AC1169">
        <v>115.1369</v>
      </c>
      <c r="AD1169">
        <v>1.8003819999999999</v>
      </c>
      <c r="AE1169">
        <v>1.5652999999999699</v>
      </c>
      <c r="AF1169">
        <v>-0.53494364042768505</v>
      </c>
      <c r="AG1169">
        <v>1.8003819999999999</v>
      </c>
      <c r="AH1169">
        <v>115.118153940903</v>
      </c>
      <c r="AI1169">
        <v>89.104009540349907</v>
      </c>
      <c r="AJ1169">
        <v>90.266246384354304</v>
      </c>
      <c r="AK1169">
        <v>115.13347431049699</v>
      </c>
      <c r="AL1169">
        <v>93.762951403837604</v>
      </c>
      <c r="AM1169">
        <v>90.644049812238407</v>
      </c>
      <c r="AN1169">
        <v>1.0000000271513301</v>
      </c>
    </row>
    <row r="1170" spans="1:40" x14ac:dyDescent="0.25">
      <c r="A1170" t="str">
        <f>"20190303153800676"</f>
        <v>20190303153800676</v>
      </c>
      <c r="B1170" t="str">
        <f>"1551598680669641"</f>
        <v>1551598680669641</v>
      </c>
      <c r="C1170" t="s">
        <v>40</v>
      </c>
      <c r="D1170">
        <v>4.1851200000000004</v>
      </c>
      <c r="E1170">
        <v>0.50316439999999996</v>
      </c>
      <c r="F1170" t="s">
        <v>41</v>
      </c>
      <c r="G1170">
        <v>-158.78319999999999</v>
      </c>
      <c r="H1170">
        <v>2.9445130000000002</v>
      </c>
      <c r="I1170">
        <v>368.43349999999998</v>
      </c>
      <c r="J1170">
        <v>-273.7002</v>
      </c>
      <c r="K1170">
        <v>1.1122030000000001</v>
      </c>
      <c r="L1170">
        <v>366.95400000000001</v>
      </c>
      <c r="M1170">
        <v>0.99990999999999997</v>
      </c>
      <c r="N1170">
        <v>-9.8741499999999999E-3</v>
      </c>
      <c r="O1170">
        <v>9.0860100000000003E-3</v>
      </c>
      <c r="P1170">
        <v>0.99695619999999996</v>
      </c>
      <c r="Q1170">
        <v>-7.5379349999999998E-2</v>
      </c>
      <c r="R1170">
        <v>1.9919349999999999E-2</v>
      </c>
      <c r="S1170">
        <v>3.0119319999999998</v>
      </c>
      <c r="T1170">
        <v>4.7959090000000003E-2</v>
      </c>
      <c r="U1170">
        <v>3.8757319999999998E-2</v>
      </c>
      <c r="V1170">
        <v>-1.082719E-2</v>
      </c>
      <c r="W1170">
        <v>-6.5535640000000006E-2</v>
      </c>
      <c r="X1170">
        <v>0.99779150000000005</v>
      </c>
      <c r="Y1170">
        <v>-3.7834700000000001E-3</v>
      </c>
      <c r="Z1170">
        <v>2.2292810000000001E-4</v>
      </c>
      <c r="AA1170">
        <v>0.99999280000000002</v>
      </c>
      <c r="AB1170">
        <v>36</v>
      </c>
      <c r="AC1170">
        <v>114.917</v>
      </c>
      <c r="AD1170">
        <v>1.8323099999999899</v>
      </c>
      <c r="AE1170">
        <v>1.4794999999999701</v>
      </c>
      <c r="AF1170">
        <v>-0.43514043091000099</v>
      </c>
      <c r="AG1170">
        <v>1.8323099999999899</v>
      </c>
      <c r="AH1170">
        <v>114.89649386091401</v>
      </c>
      <c r="AI1170">
        <v>89.086360471070194</v>
      </c>
      <c r="AJ1170">
        <v>90.2169917475278</v>
      </c>
      <c r="AK1170">
        <v>114.911927181916</v>
      </c>
      <c r="AL1170">
        <v>93.757608583365894</v>
      </c>
      <c r="AM1170">
        <v>90.621700970977798</v>
      </c>
      <c r="AN1170">
        <v>1.0000000128128701</v>
      </c>
    </row>
    <row r="1171" spans="1:40" x14ac:dyDescent="0.25">
      <c r="A1171" t="str">
        <f>"20190303153800686"</f>
        <v>20190303153800686</v>
      </c>
      <c r="B1171" t="str">
        <f>"1551598680680378"</f>
        <v>1551598680680378</v>
      </c>
      <c r="C1171" t="s">
        <v>40</v>
      </c>
      <c r="D1171">
        <v>4.2269009999999998</v>
      </c>
      <c r="E1171">
        <v>0.50321009999999999</v>
      </c>
      <c r="F1171" t="s">
        <v>41</v>
      </c>
      <c r="G1171">
        <v>-158.78319999999999</v>
      </c>
      <c r="H1171">
        <v>2.9335239999999998</v>
      </c>
      <c r="I1171">
        <v>368.35700000000003</v>
      </c>
      <c r="J1171">
        <v>-273.53390000000002</v>
      </c>
      <c r="K1171">
        <v>1.1128480000000001</v>
      </c>
      <c r="L1171">
        <v>366.9556</v>
      </c>
      <c r="M1171">
        <v>0.9999074</v>
      </c>
      <c r="N1171">
        <v>-1.003509E-2</v>
      </c>
      <c r="O1171">
        <v>9.1897660000000003E-3</v>
      </c>
      <c r="P1171">
        <v>0.99693750000000003</v>
      </c>
      <c r="Q1171">
        <v>-7.5597170000000005E-2</v>
      </c>
      <c r="R1171">
        <v>2.002201E-2</v>
      </c>
      <c r="S1171">
        <v>3.012054</v>
      </c>
      <c r="T1171">
        <v>4.7740339999999999E-2</v>
      </c>
      <c r="U1171">
        <v>3.6773680000000003E-2</v>
      </c>
      <c r="V1171">
        <v>-1.082668E-2</v>
      </c>
      <c r="W1171">
        <v>-6.5592990000000004E-2</v>
      </c>
      <c r="X1171">
        <v>0.99778770000000006</v>
      </c>
      <c r="Y1171">
        <v>-3.0208069999999999E-3</v>
      </c>
      <c r="Z1171">
        <v>2.290704E-4</v>
      </c>
      <c r="AA1171">
        <v>0.99999539999999998</v>
      </c>
      <c r="AB1171">
        <v>36</v>
      </c>
      <c r="AC1171">
        <v>114.75069999999999</v>
      </c>
      <c r="AD1171">
        <v>1.820676</v>
      </c>
      <c r="AE1171">
        <v>1.40139999999996</v>
      </c>
      <c r="AF1171">
        <v>-0.34666835771473797</v>
      </c>
      <c r="AG1171">
        <v>1.820676</v>
      </c>
      <c r="AH1171">
        <v>114.729855197137</v>
      </c>
      <c r="AI1171">
        <v>89.090839791493394</v>
      </c>
      <c r="AJ1171">
        <v>90.173124713743505</v>
      </c>
      <c r="AK1171">
        <v>114.744824343424</v>
      </c>
      <c r="AL1171">
        <v>93.760901721060307</v>
      </c>
      <c r="AM1171">
        <v>90.621674056305295</v>
      </c>
      <c r="AN1171">
        <v>0.99999997580412603</v>
      </c>
    </row>
    <row r="1172" spans="1:40" x14ac:dyDescent="0.25">
      <c r="A1172" t="str">
        <f>"20190303153800696"</f>
        <v>20190303153800696</v>
      </c>
      <c r="B1172" t="str">
        <f>"1551598680690138"</f>
        <v>1551598680690138</v>
      </c>
      <c r="C1172" t="s">
        <v>40</v>
      </c>
      <c r="D1172">
        <v>4.2179960000000003</v>
      </c>
      <c r="E1172">
        <v>0.50326819999999906</v>
      </c>
      <c r="F1172" t="s">
        <v>41</v>
      </c>
      <c r="G1172">
        <v>-158.78319999999999</v>
      </c>
      <c r="H1172">
        <v>2.9053749999999998</v>
      </c>
      <c r="I1172">
        <v>368.34730000000002</v>
      </c>
      <c r="J1172">
        <v>-273.36900000000003</v>
      </c>
      <c r="K1172">
        <v>1.1134189999999999</v>
      </c>
      <c r="L1172">
        <v>366.9572</v>
      </c>
      <c r="M1172">
        <v>0.99990559999999995</v>
      </c>
      <c r="N1172">
        <v>-1.013028E-2</v>
      </c>
      <c r="O1172">
        <v>9.2873360000000002E-3</v>
      </c>
      <c r="P1172">
        <v>0.99694020000000005</v>
      </c>
      <c r="Q1172">
        <v>-7.5624090000000005E-2</v>
      </c>
      <c r="R1172">
        <v>1.9788279999999998E-2</v>
      </c>
      <c r="S1172">
        <v>3.012054</v>
      </c>
      <c r="T1172">
        <v>4.7053690000000002E-2</v>
      </c>
      <c r="U1172">
        <v>3.6529539999999999E-2</v>
      </c>
      <c r="V1172">
        <v>-1.0495579999999999E-2</v>
      </c>
      <c r="W1172">
        <v>-6.5524719999999995E-2</v>
      </c>
      <c r="X1172">
        <v>0.99779580000000001</v>
      </c>
      <c r="Y1172">
        <v>-2.8421969999999999E-3</v>
      </c>
      <c r="Z1172">
        <v>2.3134159999999999E-4</v>
      </c>
      <c r="AA1172">
        <v>0.99999590000000005</v>
      </c>
      <c r="AB1172">
        <v>36</v>
      </c>
      <c r="AC1172">
        <v>114.58580000000001</v>
      </c>
      <c r="AD1172">
        <v>1.7919559999999899</v>
      </c>
      <c r="AE1172">
        <v>1.3901000000000101</v>
      </c>
      <c r="AF1172">
        <v>-0.32570900709278</v>
      </c>
      <c r="AG1172">
        <v>1.7919559999999899</v>
      </c>
      <c r="AH1172">
        <v>114.56575402594</v>
      </c>
      <c r="AI1172">
        <v>89.103896881796999</v>
      </c>
      <c r="AJ1172">
        <v>90.162890746334895</v>
      </c>
      <c r="AK1172">
        <v>114.580230354959</v>
      </c>
      <c r="AL1172">
        <v>93.756981417123797</v>
      </c>
      <c r="AM1172">
        <v>90.602658640424096</v>
      </c>
      <c r="AN1172">
        <v>1.0000000523141199</v>
      </c>
    </row>
    <row r="1173" spans="1:40" x14ac:dyDescent="0.25">
      <c r="A1173" t="str">
        <f>"20190303153800706"</f>
        <v>20190303153800706</v>
      </c>
      <c r="B1173" t="str">
        <f>"1551598680699898"</f>
        <v>1551598680699898</v>
      </c>
      <c r="C1173" t="s">
        <v>40</v>
      </c>
      <c r="D1173">
        <v>4.2189350000000001</v>
      </c>
      <c r="E1173">
        <v>0.50323339999999905</v>
      </c>
      <c r="F1173" t="s">
        <v>41</v>
      </c>
      <c r="G1173">
        <v>-158.78319999999999</v>
      </c>
      <c r="H1173">
        <v>2.9171200000000002</v>
      </c>
      <c r="I1173">
        <v>368.31200000000001</v>
      </c>
      <c r="J1173">
        <v>-273.19709999999998</v>
      </c>
      <c r="K1173">
        <v>1.113977</v>
      </c>
      <c r="L1173">
        <v>366.95890000000003</v>
      </c>
      <c r="M1173">
        <v>0.99990389999999996</v>
      </c>
      <c r="N1173">
        <v>-1.01978E-2</v>
      </c>
      <c r="O1173">
        <v>9.3862909999999997E-3</v>
      </c>
      <c r="P1173">
        <v>0.9969538</v>
      </c>
      <c r="Q1173">
        <v>-7.5393039999999995E-2</v>
      </c>
      <c r="R1173">
        <v>1.9973390000000001E-2</v>
      </c>
      <c r="S1173">
        <v>3.0120849999999999</v>
      </c>
      <c r="T1173">
        <v>4.7415609999999997E-2</v>
      </c>
      <c r="U1173">
        <v>3.5614010000000001E-2</v>
      </c>
      <c r="V1173">
        <v>-1.0582380000000001E-2</v>
      </c>
      <c r="W1173">
        <v>-6.5226140000000002E-2</v>
      </c>
      <c r="X1173">
        <v>0.99781439999999999</v>
      </c>
      <c r="Y1173">
        <v>-2.4392870000000001E-3</v>
      </c>
      <c r="Z1173">
        <v>2.3669150000000001E-4</v>
      </c>
      <c r="AA1173">
        <v>0.99999700000000002</v>
      </c>
      <c r="AB1173">
        <v>36</v>
      </c>
      <c r="AC1173">
        <v>114.413899999999</v>
      </c>
      <c r="AD1173">
        <v>1.8031429999999999</v>
      </c>
      <c r="AE1173">
        <v>1.35309999999992</v>
      </c>
      <c r="AF1173">
        <v>-0.278993046794689</v>
      </c>
      <c r="AG1173">
        <v>1.8031429999999999</v>
      </c>
      <c r="AH1173">
        <v>114.393152451609</v>
      </c>
      <c r="AI1173">
        <v>89.096942262536103</v>
      </c>
      <c r="AJ1173">
        <v>90.139738192872898</v>
      </c>
      <c r="AK1173">
        <v>114.40770292954799</v>
      </c>
      <c r="AL1173">
        <v>93.739837540174193</v>
      </c>
      <c r="AM1173">
        <v>90.607631018345302</v>
      </c>
      <c r="AN1173">
        <v>1.00000000647656</v>
      </c>
    </row>
    <row r="1174" spans="1:40" x14ac:dyDescent="0.25">
      <c r="A1174" t="str">
        <f>"20190303153800718"</f>
        <v>20190303153800718</v>
      </c>
      <c r="B1174" t="str">
        <f>"1551598680709658"</f>
        <v>1551598680709658</v>
      </c>
      <c r="C1174" t="s">
        <v>40</v>
      </c>
      <c r="D1174">
        <v>4.204415</v>
      </c>
      <c r="E1174">
        <v>0.5032643</v>
      </c>
      <c r="F1174" t="s">
        <v>41</v>
      </c>
      <c r="G1174">
        <v>-158.78319999999999</v>
      </c>
      <c r="H1174">
        <v>2.9431949999999998</v>
      </c>
      <c r="I1174">
        <v>368.34300000000002</v>
      </c>
      <c r="J1174">
        <v>-273.01569999999998</v>
      </c>
      <c r="K1174">
        <v>1.114493</v>
      </c>
      <c r="L1174">
        <v>366.96080000000001</v>
      </c>
      <c r="M1174">
        <v>0.99990299999999999</v>
      </c>
      <c r="N1174">
        <v>-1.020076E-2</v>
      </c>
      <c r="O1174">
        <v>9.4875470000000007E-3</v>
      </c>
      <c r="P1174">
        <v>0.99694709999999997</v>
      </c>
      <c r="Q1174">
        <v>-7.5365020000000005E-2</v>
      </c>
      <c r="R1174">
        <v>2.0416150000000001E-2</v>
      </c>
      <c r="S1174">
        <v>3.0121150000000001</v>
      </c>
      <c r="T1174">
        <v>4.815912E-2</v>
      </c>
      <c r="U1174">
        <v>3.6437990000000003E-2</v>
      </c>
      <c r="V1174">
        <v>-1.0924970000000001E-2</v>
      </c>
      <c r="W1174">
        <v>-6.5195230000000007E-2</v>
      </c>
      <c r="X1174">
        <v>0.9978127</v>
      </c>
      <c r="Y1174">
        <v>-2.6114990000000002E-3</v>
      </c>
      <c r="Z1174">
        <v>2.4088979999999999E-4</v>
      </c>
      <c r="AA1174">
        <v>0.99999649999999995</v>
      </c>
      <c r="AB1174">
        <v>36</v>
      </c>
      <c r="AC1174">
        <v>114.2325</v>
      </c>
      <c r="AD1174">
        <v>1.828702</v>
      </c>
      <c r="AE1174">
        <v>1.3822000000000101</v>
      </c>
      <c r="AF1174">
        <v>-0.29821880736773598</v>
      </c>
      <c r="AG1174">
        <v>1.828702</v>
      </c>
      <c r="AH1174">
        <v>114.211207271604</v>
      </c>
      <c r="AI1174">
        <v>89.082685495855202</v>
      </c>
      <c r="AJ1174">
        <v>90.149605635121105</v>
      </c>
      <c r="AK1174">
        <v>114.226235830037</v>
      </c>
      <c r="AL1174">
        <v>93.738062854261898</v>
      </c>
      <c r="AM1174">
        <v>90.627301758339897</v>
      </c>
      <c r="AN1174">
        <v>0.99999997863277101</v>
      </c>
    </row>
    <row r="1175" spans="1:40" x14ac:dyDescent="0.25">
      <c r="A1175" t="str">
        <f>"20190303153800730"</f>
        <v>20190303153800730</v>
      </c>
      <c r="B1175" t="str">
        <f>"1551598680720395"</f>
        <v>1551598680720395</v>
      </c>
      <c r="C1175" t="s">
        <v>40</v>
      </c>
      <c r="D1175">
        <v>4.211932</v>
      </c>
      <c r="E1175">
        <v>0.50326340000000003</v>
      </c>
      <c r="F1175" t="s">
        <v>41</v>
      </c>
      <c r="G1175">
        <v>-158.78319999999999</v>
      </c>
      <c r="H1175">
        <v>2.957589</v>
      </c>
      <c r="I1175">
        <v>368.3809</v>
      </c>
      <c r="J1175">
        <v>-272.82380000000001</v>
      </c>
      <c r="K1175">
        <v>1.115011</v>
      </c>
      <c r="L1175">
        <v>366.96260000000001</v>
      </c>
      <c r="M1175">
        <v>0.99990210000000002</v>
      </c>
      <c r="N1175">
        <v>-1.0180989999999999E-2</v>
      </c>
      <c r="O1175">
        <v>9.5939649999999994E-3</v>
      </c>
      <c r="P1175">
        <v>0.99698109999999995</v>
      </c>
      <c r="Q1175">
        <v>-7.4808879999999994E-2</v>
      </c>
      <c r="R1175">
        <v>2.079259E-2</v>
      </c>
      <c r="S1175">
        <v>3.0120849999999999</v>
      </c>
      <c r="T1175">
        <v>4.8601030000000003E-2</v>
      </c>
      <c r="U1175">
        <v>3.7445069999999997E-2</v>
      </c>
      <c r="V1175">
        <v>-1.1196090000000001E-2</v>
      </c>
      <c r="W1175">
        <v>-6.4658409999999999E-2</v>
      </c>
      <c r="X1175">
        <v>0.99784459999999997</v>
      </c>
      <c r="Y1175">
        <v>-2.839542E-3</v>
      </c>
      <c r="Z1175">
        <v>2.4399870000000001E-4</v>
      </c>
      <c r="AA1175">
        <v>0.99999590000000005</v>
      </c>
      <c r="AB1175">
        <v>36</v>
      </c>
      <c r="AC1175">
        <v>114.0406</v>
      </c>
      <c r="AD1175">
        <v>1.8425779999999901</v>
      </c>
      <c r="AE1175">
        <v>1.4182999999999799</v>
      </c>
      <c r="AF1175">
        <v>-0.32399186797978102</v>
      </c>
      <c r="AG1175">
        <v>1.8425779999999901</v>
      </c>
      <c r="AH1175">
        <v>114.01919804460201</v>
      </c>
      <c r="AI1175">
        <v>89.074170579946696</v>
      </c>
      <c r="AJ1175">
        <v>90.162808693513796</v>
      </c>
      <c r="AK1175">
        <v>114.03454558663699</v>
      </c>
      <c r="AL1175">
        <v>93.707240389281196</v>
      </c>
      <c r="AM1175">
        <v>90.642847379345497</v>
      </c>
      <c r="AN1175">
        <v>0.99999995408208697</v>
      </c>
    </row>
    <row r="1176" spans="1:40" x14ac:dyDescent="0.25">
      <c r="A1176" t="str">
        <f>"20190303153800741"</f>
        <v>20190303153800741</v>
      </c>
      <c r="B1176" t="str">
        <f>"1551598680730154"</f>
        <v>1551598680730154</v>
      </c>
      <c r="C1176" t="s">
        <v>40</v>
      </c>
      <c r="D1176">
        <v>4.2257720000000001</v>
      </c>
      <c r="E1176">
        <v>0.50325790000000004</v>
      </c>
      <c r="F1176" t="s">
        <v>41</v>
      </c>
      <c r="G1176">
        <v>-158.78319999999999</v>
      </c>
      <c r="H1176">
        <v>3.0262380000000002</v>
      </c>
      <c r="I1176">
        <v>368.4255</v>
      </c>
      <c r="J1176">
        <v>-272.63510000000002</v>
      </c>
      <c r="K1176">
        <v>1.1154459999999999</v>
      </c>
      <c r="L1176">
        <v>366.96449999999999</v>
      </c>
      <c r="M1176">
        <v>0.99990210000000002</v>
      </c>
      <c r="N1176">
        <v>-1.010956E-2</v>
      </c>
      <c r="O1176">
        <v>9.6947089999999993E-3</v>
      </c>
      <c r="P1176">
        <v>0.99698030000000004</v>
      </c>
      <c r="Q1176">
        <v>-7.4627970000000002E-2</v>
      </c>
      <c r="R1176">
        <v>2.1475520000000001E-2</v>
      </c>
      <c r="S1176">
        <v>3.0120239999999998</v>
      </c>
      <c r="T1176">
        <v>5.0481320000000003E-2</v>
      </c>
      <c r="U1176">
        <v>3.8635250000000003E-2</v>
      </c>
      <c r="V1176">
        <v>-1.1779990000000001E-2</v>
      </c>
      <c r="W1176">
        <v>-6.4548750000000002E-2</v>
      </c>
      <c r="X1176">
        <v>0.99784499999999998</v>
      </c>
      <c r="Y1176">
        <v>-3.1342700000000002E-3</v>
      </c>
      <c r="Z1176">
        <v>2.5004189999999998E-4</v>
      </c>
      <c r="AA1176">
        <v>0.99999510000000003</v>
      </c>
      <c r="AB1176">
        <v>36</v>
      </c>
      <c r="AC1176">
        <v>113.8519</v>
      </c>
      <c r="AD1176">
        <v>1.910792</v>
      </c>
      <c r="AE1176">
        <v>1.4610000000000101</v>
      </c>
      <c r="AF1176">
        <v>-0.35701356184932298</v>
      </c>
      <c r="AG1176">
        <v>1.910792</v>
      </c>
      <c r="AH1176">
        <v>113.82865644205999</v>
      </c>
      <c r="AI1176">
        <v>89.038295798965706</v>
      </c>
      <c r="AJ1176">
        <v>90.179702580079194</v>
      </c>
      <c r="AK1176">
        <v>113.84525291884199</v>
      </c>
      <c r="AL1176">
        <v>93.7009440974021</v>
      </c>
      <c r="AM1176">
        <v>90.676369934307701</v>
      </c>
      <c r="AN1176">
        <v>0.99999997665798102</v>
      </c>
    </row>
    <row r="1177" spans="1:40" x14ac:dyDescent="0.25">
      <c r="A1177" t="str">
        <f>"20190303153800753"</f>
        <v>20190303153800753</v>
      </c>
      <c r="B1177" t="str">
        <f>"1551598680749674"</f>
        <v>1551598680749674</v>
      </c>
      <c r="C1177" t="s">
        <v>40</v>
      </c>
      <c r="D1177">
        <v>4.1984279999999998</v>
      </c>
      <c r="E1177">
        <v>0.50323679999999904</v>
      </c>
      <c r="F1177" t="s">
        <v>41</v>
      </c>
      <c r="G1177">
        <v>-158.78319999999999</v>
      </c>
      <c r="H1177">
        <v>3.0516350000000001</v>
      </c>
      <c r="I1177">
        <v>368.50220000000002</v>
      </c>
      <c r="J1177">
        <v>-272.45609999999999</v>
      </c>
      <c r="K1177">
        <v>1.115839</v>
      </c>
      <c r="L1177">
        <v>366.96629999999999</v>
      </c>
      <c r="M1177">
        <v>0.9999017</v>
      </c>
      <c r="N1177">
        <v>-1.003272E-2</v>
      </c>
      <c r="O1177">
        <v>9.7895800000000009E-3</v>
      </c>
      <c r="P1177">
        <v>0.99695630000000002</v>
      </c>
      <c r="Q1177">
        <v>-7.478564E-2</v>
      </c>
      <c r="R1177">
        <v>2.2023560000000001E-2</v>
      </c>
      <c r="S1177">
        <v>3.0120849999999999</v>
      </c>
      <c r="T1177">
        <v>5.1226380000000002E-2</v>
      </c>
      <c r="U1177">
        <v>4.0679930000000003E-2</v>
      </c>
      <c r="V1177">
        <v>-1.223468E-2</v>
      </c>
      <c r="W1177">
        <v>-6.4783270000000004E-2</v>
      </c>
      <c r="X1177">
        <v>0.99782439999999994</v>
      </c>
      <c r="Y1177">
        <v>-3.7178710000000002E-3</v>
      </c>
      <c r="Z1177">
        <v>2.5171310000000001E-4</v>
      </c>
      <c r="AA1177">
        <v>0.99999309999999997</v>
      </c>
      <c r="AB1177">
        <v>36</v>
      </c>
      <c r="AC1177">
        <v>113.6729</v>
      </c>
      <c r="AD1177">
        <v>1.9357960000000001</v>
      </c>
      <c r="AE1177">
        <v>1.53590000000002</v>
      </c>
      <c r="AF1177">
        <v>-0.42283777812342999</v>
      </c>
      <c r="AG1177">
        <v>1.9357960000000001</v>
      </c>
      <c r="AH1177">
        <v>113.649536019653</v>
      </c>
      <c r="AI1177">
        <v>89.024180362239903</v>
      </c>
      <c r="AJ1177">
        <v>90.213170323158195</v>
      </c>
      <c r="AK1177">
        <v>113.666807535985</v>
      </c>
      <c r="AL1177">
        <v>93.714409027866097</v>
      </c>
      <c r="AM1177">
        <v>90.702488735935205</v>
      </c>
      <c r="AN1177">
        <v>1.00000004635097</v>
      </c>
    </row>
    <row r="1178" spans="1:40" x14ac:dyDescent="0.25">
      <c r="A1178" t="str">
        <f>"20190303153800764"</f>
        <v>20190303153800764</v>
      </c>
      <c r="B1178" t="str">
        <f>"1551598680760410"</f>
        <v>1551598680760410</v>
      </c>
      <c r="C1178" t="s">
        <v>40</v>
      </c>
      <c r="D1178">
        <v>4.2078790000000001</v>
      </c>
      <c r="E1178">
        <v>0.50324789999999997</v>
      </c>
      <c r="F1178" t="s">
        <v>41</v>
      </c>
      <c r="G1178">
        <v>-158.78319999999999</v>
      </c>
      <c r="H1178">
        <v>3.0389400000000002</v>
      </c>
      <c r="I1178">
        <v>368.57420000000002</v>
      </c>
      <c r="J1178">
        <v>-272.27080000000001</v>
      </c>
      <c r="K1178">
        <v>1.1162030000000001</v>
      </c>
      <c r="L1178">
        <v>366.9683</v>
      </c>
      <c r="M1178">
        <v>0.99990179999999995</v>
      </c>
      <c r="N1178">
        <v>-9.9347670000000006E-3</v>
      </c>
      <c r="O1178">
        <v>9.8850819999999999E-3</v>
      </c>
      <c r="P1178">
        <v>0.99695270000000002</v>
      </c>
      <c r="Q1178">
        <v>-7.4679609999999993E-2</v>
      </c>
      <c r="R1178">
        <v>2.2546839999999999E-2</v>
      </c>
      <c r="S1178">
        <v>3.0120239999999998</v>
      </c>
      <c r="T1178">
        <v>5.0959230000000001E-2</v>
      </c>
      <c r="U1178">
        <v>4.2602540000000001E-2</v>
      </c>
      <c r="V1178">
        <v>-1.2663860000000001E-2</v>
      </c>
      <c r="W1178">
        <v>-6.477484E-2</v>
      </c>
      <c r="X1178">
        <v>0.99781949999999997</v>
      </c>
      <c r="Y1178">
        <v>-4.2607840000000001E-3</v>
      </c>
      <c r="Z1178">
        <v>2.5054E-4</v>
      </c>
      <c r="AA1178">
        <v>0.99999090000000002</v>
      </c>
      <c r="AB1178">
        <v>36</v>
      </c>
      <c r="AC1178">
        <v>113.4876</v>
      </c>
      <c r="AD1178">
        <v>1.9227369999999999</v>
      </c>
      <c r="AE1178">
        <v>1.6059000000000101</v>
      </c>
      <c r="AF1178">
        <v>-0.48379310500254402</v>
      </c>
      <c r="AG1178">
        <v>1.9227369999999999</v>
      </c>
      <c r="AH1178">
        <v>113.465367224091</v>
      </c>
      <c r="AI1178">
        <v>89.029191250795407</v>
      </c>
      <c r="AJ1178">
        <v>90.244295997762407</v>
      </c>
      <c r="AK1178">
        <v>113.48268825084</v>
      </c>
      <c r="AL1178">
        <v>93.713925351633605</v>
      </c>
      <c r="AM1178">
        <v>90.727132288148397</v>
      </c>
      <c r="AN1178">
        <v>0.99999995391368601</v>
      </c>
    </row>
    <row r="1179" spans="1:40" x14ac:dyDescent="0.25">
      <c r="A1179" t="str">
        <f>"20190303153800775"</f>
        <v>20190303153800775</v>
      </c>
      <c r="B1179" t="str">
        <f>"1551598680770169"</f>
        <v>1551598680770169</v>
      </c>
      <c r="C1179" t="s">
        <v>40</v>
      </c>
      <c r="D1179">
        <v>4.2271910000000004</v>
      </c>
      <c r="E1179">
        <v>0.50324029999999997</v>
      </c>
      <c r="F1179" t="s">
        <v>41</v>
      </c>
      <c r="G1179">
        <v>-158.78319999999999</v>
      </c>
      <c r="H1179">
        <v>3.05044</v>
      </c>
      <c r="I1179">
        <v>368.62639999999999</v>
      </c>
      <c r="J1179">
        <v>-272.10539999999997</v>
      </c>
      <c r="K1179">
        <v>1.116501</v>
      </c>
      <c r="L1179">
        <v>366.9699</v>
      </c>
      <c r="M1179">
        <v>0.99990199999999996</v>
      </c>
      <c r="N1179">
        <v>-9.8415510000000005E-3</v>
      </c>
      <c r="O1179">
        <v>9.9676399999999998E-3</v>
      </c>
      <c r="P1179">
        <v>0.99693169999999998</v>
      </c>
      <c r="Q1179">
        <v>-7.4837269999999997E-2</v>
      </c>
      <c r="R1179">
        <v>2.2950080000000001E-2</v>
      </c>
      <c r="S1179">
        <v>3.0119929999999999</v>
      </c>
      <c r="T1179">
        <v>5.1337479999999998E-2</v>
      </c>
      <c r="U1179">
        <v>4.400635E-2</v>
      </c>
      <c r="V1179">
        <v>-1.2985760000000001E-2</v>
      </c>
      <c r="W1179">
        <v>-6.5025609999999998E-2</v>
      </c>
      <c r="X1179">
        <v>0.99779910000000005</v>
      </c>
      <c r="Y1179">
        <v>-4.6443470000000001E-3</v>
      </c>
      <c r="Z1179">
        <v>2.5123259999999998E-4</v>
      </c>
      <c r="AA1179">
        <v>0.99998920000000002</v>
      </c>
      <c r="AB1179">
        <v>36</v>
      </c>
      <c r="AC1179">
        <v>113.322199999999</v>
      </c>
      <c r="AD1179">
        <v>1.9339389999999901</v>
      </c>
      <c r="AE1179">
        <v>1.6564999999999901</v>
      </c>
      <c r="AF1179">
        <v>-0.52665487267500999</v>
      </c>
      <c r="AG1179">
        <v>1.9339389999999901</v>
      </c>
      <c r="AH1179">
        <v>113.30009119815</v>
      </c>
      <c r="AI1179">
        <v>89.022113882589906</v>
      </c>
      <c r="AJ1179">
        <v>90.266327094870306</v>
      </c>
      <c r="AK1179">
        <v>113.31781921180701</v>
      </c>
      <c r="AL1179">
        <v>93.728323591005704</v>
      </c>
      <c r="AM1179">
        <v>90.745628292772196</v>
      </c>
      <c r="AN1179">
        <v>1.0000000019397199</v>
      </c>
    </row>
    <row r="1180" spans="1:40" x14ac:dyDescent="0.25">
      <c r="A1180" t="str">
        <f>"20190303153800785"</f>
        <v>20190303153800785</v>
      </c>
      <c r="B1180" t="str">
        <f>"1551598680779930"</f>
        <v>1551598680779930</v>
      </c>
      <c r="C1180" t="s">
        <v>40</v>
      </c>
      <c r="D1180">
        <v>4.2166269999999999</v>
      </c>
      <c r="E1180">
        <v>0.50325359999999997</v>
      </c>
      <c r="F1180" t="s">
        <v>41</v>
      </c>
      <c r="G1180">
        <v>-158.78319999999999</v>
      </c>
      <c r="H1180">
        <v>3.0376020000000001</v>
      </c>
      <c r="I1180">
        <v>368.66239999999999</v>
      </c>
      <c r="J1180">
        <v>-271.93049999999999</v>
      </c>
      <c r="K1180">
        <v>1.1167959999999999</v>
      </c>
      <c r="L1180">
        <v>366.9717</v>
      </c>
      <c r="M1180">
        <v>0.99990210000000002</v>
      </c>
      <c r="N1180">
        <v>-9.7375919999999998E-3</v>
      </c>
      <c r="O1180">
        <v>1.005227E-2</v>
      </c>
      <c r="P1180">
        <v>0.99690319999999999</v>
      </c>
      <c r="Q1180">
        <v>-7.5128650000000005E-2</v>
      </c>
      <c r="R1180">
        <v>2.3233960000000001E-2</v>
      </c>
      <c r="S1180">
        <v>3.0120239999999998</v>
      </c>
      <c r="T1180">
        <v>5.1063780000000003E-2</v>
      </c>
      <c r="U1180">
        <v>4.4982910000000001E-2</v>
      </c>
      <c r="V1180">
        <v>-1.318715E-2</v>
      </c>
      <c r="W1180">
        <v>-6.5420790000000006E-2</v>
      </c>
      <c r="X1180">
        <v>0.99777059999999995</v>
      </c>
      <c r="Y1180">
        <v>-4.8836799999999996E-3</v>
      </c>
      <c r="Z1180">
        <v>2.506543E-4</v>
      </c>
      <c r="AA1180">
        <v>0.99998799999999999</v>
      </c>
      <c r="AB1180">
        <v>36</v>
      </c>
      <c r="AC1180">
        <v>113.1473</v>
      </c>
      <c r="AD1180">
        <v>1.920806</v>
      </c>
      <c r="AE1180">
        <v>1.6906999999999901</v>
      </c>
      <c r="AF1180">
        <v>-0.55301413871693395</v>
      </c>
      <c r="AG1180">
        <v>1.920806</v>
      </c>
      <c r="AH1180">
        <v>113.125984352188</v>
      </c>
      <c r="AI1180">
        <v>89.027259839620399</v>
      </c>
      <c r="AJ1180">
        <v>90.2800870546845</v>
      </c>
      <c r="AK1180">
        <v>113.143641694877</v>
      </c>
      <c r="AL1180">
        <v>93.751014151535003</v>
      </c>
      <c r="AM1180">
        <v>90.757212178311406</v>
      </c>
      <c r="AN1180">
        <v>0.99999997545685204</v>
      </c>
    </row>
    <row r="1181" spans="1:40" x14ac:dyDescent="0.25">
      <c r="A1181" t="str">
        <f>"20190303153800796"</f>
        <v>20190303153800796</v>
      </c>
      <c r="B1181" t="str">
        <f>"1551598680789690"</f>
        <v>1551598680789690</v>
      </c>
      <c r="C1181" t="s">
        <v>40</v>
      </c>
      <c r="D1181">
        <v>4.2148879999999904</v>
      </c>
      <c r="E1181">
        <v>0.50324590000000002</v>
      </c>
      <c r="F1181" t="s">
        <v>41</v>
      </c>
      <c r="G1181">
        <v>-158.78319999999999</v>
      </c>
      <c r="H1181">
        <v>2.9841700000000002</v>
      </c>
      <c r="I1181">
        <v>368.67880000000002</v>
      </c>
      <c r="J1181">
        <v>-271.75349999999997</v>
      </c>
      <c r="K1181">
        <v>1.1170679999999999</v>
      </c>
      <c r="L1181">
        <v>366.97359999999998</v>
      </c>
      <c r="M1181">
        <v>0.99990230000000002</v>
      </c>
      <c r="N1181">
        <v>-9.6277710000000002E-3</v>
      </c>
      <c r="O1181">
        <v>1.013354E-2</v>
      </c>
      <c r="P1181">
        <v>0.99687170000000003</v>
      </c>
      <c r="Q1181">
        <v>-7.5457979999999994E-2</v>
      </c>
      <c r="R1181">
        <v>2.352193E-2</v>
      </c>
      <c r="S1181">
        <v>3.0119630000000002</v>
      </c>
      <c r="T1181">
        <v>4.9711470000000001E-2</v>
      </c>
      <c r="U1181">
        <v>4.5440670000000002E-2</v>
      </c>
      <c r="V1181">
        <v>-1.339515E-2</v>
      </c>
      <c r="W1181">
        <v>-6.5859819999999999E-2</v>
      </c>
      <c r="X1181">
        <v>0.99773900000000004</v>
      </c>
      <c r="Y1181">
        <v>-4.9545600000000002E-3</v>
      </c>
      <c r="Z1181">
        <v>2.4774900000000002E-4</v>
      </c>
      <c r="AA1181">
        <v>0.99998770000000003</v>
      </c>
      <c r="AB1181">
        <v>36</v>
      </c>
      <c r="AC1181">
        <v>112.970299999999</v>
      </c>
      <c r="AD1181">
        <v>1.867102</v>
      </c>
      <c r="AE1181">
        <v>1.70520000000004</v>
      </c>
      <c r="AF1181">
        <v>-0.56011735430847898</v>
      </c>
      <c r="AG1181">
        <v>1.867102</v>
      </c>
      <c r="AH1181">
        <v>112.950933475265</v>
      </c>
      <c r="AI1181">
        <v>89.052986955283004</v>
      </c>
      <c r="AJ1181">
        <v>90.284124233310493</v>
      </c>
      <c r="AK1181">
        <v>112.967752806997</v>
      </c>
      <c r="AL1181">
        <v>93.776222882709007</v>
      </c>
      <c r="AM1181">
        <v>90.769178567067499</v>
      </c>
      <c r="AN1181">
        <v>1.00000002902747</v>
      </c>
    </row>
    <row r="1182" spans="1:40" x14ac:dyDescent="0.25">
      <c r="A1182" t="str">
        <f>"20190303153800807"</f>
        <v>20190303153800807</v>
      </c>
      <c r="B1182" t="str">
        <f>"1551598680800427"</f>
        <v>1551598680800427</v>
      </c>
      <c r="C1182" t="s">
        <v>40</v>
      </c>
      <c r="D1182">
        <v>4.2222589999999904</v>
      </c>
      <c r="E1182">
        <v>0.5032761</v>
      </c>
      <c r="F1182" t="s">
        <v>41</v>
      </c>
      <c r="G1182">
        <v>-158.78319999999999</v>
      </c>
      <c r="H1182">
        <v>2.9346559999999999</v>
      </c>
      <c r="I1182">
        <v>368.71570000000003</v>
      </c>
      <c r="J1182">
        <v>-271.57060000000001</v>
      </c>
      <c r="K1182">
        <v>1.117329</v>
      </c>
      <c r="L1182">
        <v>366.97550000000001</v>
      </c>
      <c r="M1182">
        <v>0.99990270000000003</v>
      </c>
      <c r="N1182">
        <v>-9.5118860000000006E-3</v>
      </c>
      <c r="O1182">
        <v>1.021501E-2</v>
      </c>
      <c r="P1182">
        <v>0.99685789999999996</v>
      </c>
      <c r="Q1182">
        <v>-7.5624620000000004E-2</v>
      </c>
      <c r="R1182">
        <v>2.3561370000000002E-2</v>
      </c>
      <c r="S1182">
        <v>3.0120239999999998</v>
      </c>
      <c r="T1182">
        <v>4.8462989999999997E-2</v>
      </c>
      <c r="U1182">
        <v>4.6447750000000003E-2</v>
      </c>
      <c r="V1182">
        <v>-1.335446E-2</v>
      </c>
      <c r="W1182">
        <v>-6.6141989999999998E-2</v>
      </c>
      <c r="X1182">
        <v>0.99772079999999996</v>
      </c>
      <c r="Y1182">
        <v>-5.2069550000000001E-3</v>
      </c>
      <c r="Z1182">
        <v>2.443681E-4</v>
      </c>
      <c r="AA1182">
        <v>0.99998640000000005</v>
      </c>
      <c r="AB1182">
        <v>36</v>
      </c>
      <c r="AC1182">
        <v>112.78740000000001</v>
      </c>
      <c r="AD1182">
        <v>1.8173269999999999</v>
      </c>
      <c r="AE1182">
        <v>1.74020000000001</v>
      </c>
      <c r="AF1182">
        <v>-0.58778022341165104</v>
      </c>
      <c r="AG1182">
        <v>1.8173269999999999</v>
      </c>
      <c r="AH1182">
        <v>112.770020950698</v>
      </c>
      <c r="AI1182">
        <v>89.0767516072181</v>
      </c>
      <c r="AJ1182">
        <v>90.298634520349495</v>
      </c>
      <c r="AK1182">
        <v>112.786195025086</v>
      </c>
      <c r="AL1182">
        <v>93.792425662550102</v>
      </c>
      <c r="AM1182">
        <v>90.766856325193203</v>
      </c>
      <c r="AN1182">
        <v>0.999999949597844</v>
      </c>
    </row>
    <row r="1183" spans="1:40" x14ac:dyDescent="0.25">
      <c r="A1183" t="str">
        <f>"20190303153800821"</f>
        <v>20190303153800821</v>
      </c>
      <c r="B1183" t="str">
        <f>"1551598680810187"</f>
        <v>1551598680810187</v>
      </c>
      <c r="C1183" t="s">
        <v>40</v>
      </c>
      <c r="D1183">
        <v>4.2242689999999996</v>
      </c>
      <c r="E1183">
        <v>0.5033299</v>
      </c>
      <c r="F1183" t="s">
        <v>41</v>
      </c>
      <c r="G1183">
        <v>-158.78319999999999</v>
      </c>
      <c r="H1183">
        <v>2.9064990000000002</v>
      </c>
      <c r="I1183">
        <v>368.71140000000003</v>
      </c>
      <c r="J1183">
        <v>-271.34289999999999</v>
      </c>
      <c r="K1183">
        <v>1.1176159999999999</v>
      </c>
      <c r="L1183">
        <v>366.97789999999998</v>
      </c>
      <c r="M1183">
        <v>0.99990310000000004</v>
      </c>
      <c r="N1183">
        <v>-9.3579539999999999E-3</v>
      </c>
      <c r="O1183">
        <v>1.0308090000000001E-2</v>
      </c>
      <c r="P1183">
        <v>0.99685630000000003</v>
      </c>
      <c r="Q1183">
        <v>-7.5696390000000002E-2</v>
      </c>
      <c r="R1183">
        <v>2.3404040000000001E-2</v>
      </c>
      <c r="S1183">
        <v>3.0119929999999999</v>
      </c>
      <c r="T1183">
        <v>4.778218E-2</v>
      </c>
      <c r="U1183">
        <v>4.6356199999999903E-2</v>
      </c>
      <c r="V1183">
        <v>-1.3104970000000001E-2</v>
      </c>
      <c r="W1183">
        <v>-6.6367079999999995E-2</v>
      </c>
      <c r="X1183">
        <v>0.99770919999999996</v>
      </c>
      <c r="Y1183">
        <v>-5.0835910000000002E-3</v>
      </c>
      <c r="Z1183">
        <v>2.434251E-4</v>
      </c>
      <c r="AA1183">
        <v>0.99998710000000002</v>
      </c>
      <c r="AB1183">
        <v>36</v>
      </c>
      <c r="AC1183">
        <v>112.55970000000001</v>
      </c>
      <c r="AD1183">
        <v>1.788883</v>
      </c>
      <c r="AE1183">
        <v>1.73350000000004</v>
      </c>
      <c r="AF1183">
        <v>-0.57293691067951702</v>
      </c>
      <c r="AG1183">
        <v>1.788883</v>
      </c>
      <c r="AH1183">
        <v>112.54316970971701</v>
      </c>
      <c r="AI1183">
        <v>89.089367326614095</v>
      </c>
      <c r="AJ1183">
        <v>90.291679925251103</v>
      </c>
      <c r="AK1183">
        <v>112.558844198941</v>
      </c>
      <c r="AL1183">
        <v>93.805350621030001</v>
      </c>
      <c r="AM1183">
        <v>90.752540213358699</v>
      </c>
      <c r="AN1183">
        <v>0.99999998865553297</v>
      </c>
    </row>
    <row r="1184" spans="1:40" x14ac:dyDescent="0.25">
      <c r="A1184" t="str">
        <f>"20190303153800842"</f>
        <v>20190303153800842</v>
      </c>
      <c r="B1184" t="str">
        <f>"1551598680829707"</f>
        <v>1551598680829707</v>
      </c>
      <c r="C1184" t="s">
        <v>40</v>
      </c>
      <c r="D1184">
        <v>4.236815</v>
      </c>
      <c r="E1184">
        <v>0.50335929999999995</v>
      </c>
      <c r="F1184" t="s">
        <v>41</v>
      </c>
      <c r="G1184">
        <v>-158.78319999999999</v>
      </c>
      <c r="H1184">
        <v>2.8917959999999998</v>
      </c>
      <c r="I1184">
        <v>368.67950000000002</v>
      </c>
      <c r="J1184">
        <v>-271.02140000000003</v>
      </c>
      <c r="K1184">
        <v>1.11798</v>
      </c>
      <c r="L1184">
        <v>366.98129999999998</v>
      </c>
      <c r="M1184">
        <v>0.99990409999999996</v>
      </c>
      <c r="N1184">
        <v>-9.128522E-3</v>
      </c>
      <c r="O1184">
        <v>1.043028E-2</v>
      </c>
      <c r="P1184">
        <v>0.9968631</v>
      </c>
      <c r="Q1184">
        <v>-7.5731339999999994E-2</v>
      </c>
      <c r="R1184">
        <v>2.2996140000000002E-2</v>
      </c>
      <c r="S1184">
        <v>3.0119929999999999</v>
      </c>
      <c r="T1184">
        <v>4.7477720000000001E-2</v>
      </c>
      <c r="U1184">
        <v>4.553223E-2</v>
      </c>
      <c r="V1184">
        <v>-1.257667E-2</v>
      </c>
      <c r="W1184">
        <v>-6.6630469999999997E-2</v>
      </c>
      <c r="X1184">
        <v>0.99769839999999999</v>
      </c>
      <c r="Y1184">
        <v>-4.6878889999999998E-3</v>
      </c>
      <c r="Z1184">
        <v>2.4404569999999999E-4</v>
      </c>
      <c r="AA1184">
        <v>0.99998900000000002</v>
      </c>
      <c r="AB1184">
        <v>36</v>
      </c>
      <c r="AC1184">
        <v>112.23820000000001</v>
      </c>
      <c r="AD1184">
        <v>1.7738159999999901</v>
      </c>
      <c r="AE1184">
        <v>1.6982000000000399</v>
      </c>
      <c r="AF1184">
        <v>-0.52725151669752901</v>
      </c>
      <c r="AG1184">
        <v>1.7738159999999901</v>
      </c>
      <c r="AH1184">
        <v>112.221784597341</v>
      </c>
      <c r="AI1184">
        <v>89.094448669601206</v>
      </c>
      <c r="AJ1184">
        <v>90.269190732261904</v>
      </c>
      <c r="AK1184">
        <v>112.23704092489101</v>
      </c>
      <c r="AL1184">
        <v>93.820475402788404</v>
      </c>
      <c r="AM1184">
        <v>90.722214195122007</v>
      </c>
      <c r="AN1184">
        <v>0.99999994476163301</v>
      </c>
    </row>
    <row r="1185" spans="1:40" x14ac:dyDescent="0.25">
      <c r="A1185" t="str">
        <f>"20190303153800862"</f>
        <v>20190303153800862</v>
      </c>
      <c r="B1185" t="str">
        <f>"1551598680859962"</f>
        <v>1551598680859962</v>
      </c>
      <c r="C1185" t="s">
        <v>40</v>
      </c>
      <c r="D1185">
        <v>4.2442789999999997</v>
      </c>
      <c r="E1185">
        <v>0.5034016</v>
      </c>
      <c r="F1185" t="s">
        <v>41</v>
      </c>
      <c r="G1185">
        <v>-158.78319999999999</v>
      </c>
      <c r="H1185">
        <v>2.863988</v>
      </c>
      <c r="I1185">
        <v>368.63260000000002</v>
      </c>
      <c r="J1185">
        <v>-270.67590000000001</v>
      </c>
      <c r="K1185">
        <v>1.118303</v>
      </c>
      <c r="L1185">
        <v>366.98500000000001</v>
      </c>
      <c r="M1185">
        <v>0.99990500000000004</v>
      </c>
      <c r="N1185">
        <v>-8.8664799999999995E-3</v>
      </c>
      <c r="O1185">
        <v>1.055027E-2</v>
      </c>
      <c r="P1185">
        <v>0.99695440000000002</v>
      </c>
      <c r="Q1185">
        <v>-7.4740529999999999E-2</v>
      </c>
      <c r="R1185">
        <v>2.227146E-2</v>
      </c>
      <c r="S1185">
        <v>3.0119630000000002</v>
      </c>
      <c r="T1185">
        <v>4.6857240000000001E-2</v>
      </c>
      <c r="U1185">
        <v>4.431152E-2</v>
      </c>
      <c r="V1185">
        <v>-1.1732799999999899E-2</v>
      </c>
      <c r="W1185">
        <v>-6.5899949999999999E-2</v>
      </c>
      <c r="X1185">
        <v>0.99775729999999996</v>
      </c>
      <c r="Y1185">
        <v>-4.1628230000000004E-3</v>
      </c>
      <c r="Z1185">
        <v>2.4372120000000001E-4</v>
      </c>
      <c r="AA1185">
        <v>0.99999130000000003</v>
      </c>
      <c r="AB1185">
        <v>36</v>
      </c>
      <c r="AC1185">
        <v>111.8927</v>
      </c>
      <c r="AD1185">
        <v>1.7456849999999999</v>
      </c>
      <c r="AE1185">
        <v>1.6476000000000099</v>
      </c>
      <c r="AF1185">
        <v>-0.46685004465364799</v>
      </c>
      <c r="AG1185">
        <v>1.7456849999999999</v>
      </c>
      <c r="AH1185">
        <v>111.876630007816</v>
      </c>
      <c r="AI1185">
        <v>89.106056412614095</v>
      </c>
      <c r="AJ1185">
        <v>90.239088198898997</v>
      </c>
      <c r="AK1185">
        <v>111.89122265392101</v>
      </c>
      <c r="AL1185">
        <v>93.778527104520606</v>
      </c>
      <c r="AM1185">
        <v>90.673719890679905</v>
      </c>
      <c r="AN1185">
        <v>1.0000000458545599</v>
      </c>
    </row>
    <row r="1186" spans="1:40" x14ac:dyDescent="0.25">
      <c r="A1186" t="str">
        <f>"20190303153800874"</f>
        <v>20190303153800874</v>
      </c>
      <c r="B1186" t="str">
        <f>"1551598680869721"</f>
        <v>1551598680869721</v>
      </c>
      <c r="C1186" t="s">
        <v>40</v>
      </c>
      <c r="D1186">
        <v>4.2460969999999998</v>
      </c>
      <c r="E1186">
        <v>0.50341639999999999</v>
      </c>
      <c r="F1186" t="s">
        <v>41</v>
      </c>
      <c r="G1186">
        <v>-158.78319999999999</v>
      </c>
      <c r="H1186">
        <v>2.938536</v>
      </c>
      <c r="I1186">
        <v>368.5224</v>
      </c>
      <c r="J1186">
        <v>-270.49169999999998</v>
      </c>
      <c r="K1186">
        <v>1.118452</v>
      </c>
      <c r="L1186">
        <v>366.98700000000002</v>
      </c>
      <c r="M1186">
        <v>0.99990570000000001</v>
      </c>
      <c r="N1186">
        <v>-8.7223439999999999E-3</v>
      </c>
      <c r="O1186">
        <v>1.061021E-2</v>
      </c>
      <c r="P1186">
        <v>0.99697979999999997</v>
      </c>
      <c r="Q1186">
        <v>-7.4494840000000007E-2</v>
      </c>
      <c r="R1186">
        <v>2.1958849999999999E-2</v>
      </c>
      <c r="S1186">
        <v>3.0119319999999998</v>
      </c>
      <c r="T1186">
        <v>4.8999429999999997E-2</v>
      </c>
      <c r="U1186">
        <v>4.1381840000000003E-2</v>
      </c>
      <c r="V1186">
        <v>-1.1360830000000001E-2</v>
      </c>
      <c r="W1186">
        <v>-6.5797690000000006E-2</v>
      </c>
      <c r="X1186">
        <v>0.99776830000000005</v>
      </c>
      <c r="Y1186">
        <v>-3.130734E-3</v>
      </c>
      <c r="Z1186">
        <v>2.5331509999999998E-4</v>
      </c>
      <c r="AA1186">
        <v>0.99999510000000003</v>
      </c>
      <c r="AB1186">
        <v>36</v>
      </c>
      <c r="AC1186">
        <v>111.7085</v>
      </c>
      <c r="AD1186">
        <v>1.820084</v>
      </c>
      <c r="AE1186">
        <v>1.5354000000000301</v>
      </c>
      <c r="AF1186">
        <v>-0.34992499550600398</v>
      </c>
      <c r="AG1186">
        <v>1.820084</v>
      </c>
      <c r="AH1186">
        <v>111.68885890357799</v>
      </c>
      <c r="AI1186">
        <v>89.066393987517799</v>
      </c>
      <c r="AJ1186">
        <v>90.179509039535503</v>
      </c>
      <c r="AK1186">
        <v>111.704236072106</v>
      </c>
      <c r="AL1186">
        <v>93.772655495932796</v>
      </c>
      <c r="AM1186">
        <v>90.652355344218194</v>
      </c>
      <c r="AN1186">
        <v>0.99999999247625704</v>
      </c>
    </row>
    <row r="1187" spans="1:40" x14ac:dyDescent="0.25">
      <c r="A1187" t="str">
        <f>"20190303153800885"</f>
        <v>20190303153800885</v>
      </c>
      <c r="B1187" t="str">
        <f>"1551598680879482"</f>
        <v>1551598680879482</v>
      </c>
      <c r="C1187" t="s">
        <v>40</v>
      </c>
      <c r="D1187">
        <v>4.2510919999999999</v>
      </c>
      <c r="E1187">
        <v>0.50344100000000003</v>
      </c>
      <c r="F1187" t="s">
        <v>41</v>
      </c>
      <c r="G1187">
        <v>-158.78319999999999</v>
      </c>
      <c r="H1187">
        <v>2.9581729999999999</v>
      </c>
      <c r="I1187">
        <v>368.48329999999999</v>
      </c>
      <c r="J1187">
        <v>-270.3023</v>
      </c>
      <c r="K1187">
        <v>1.1185929999999999</v>
      </c>
      <c r="L1187">
        <v>366.98899999999998</v>
      </c>
      <c r="M1187">
        <v>0.99990639999999997</v>
      </c>
      <c r="N1187">
        <v>-8.5716439999999998E-3</v>
      </c>
      <c r="O1187">
        <v>1.066899E-2</v>
      </c>
      <c r="P1187">
        <v>0.99699819999999995</v>
      </c>
      <c r="Q1187">
        <v>-7.4329199999999998E-2</v>
      </c>
      <c r="R1187">
        <v>2.167869E-2</v>
      </c>
      <c r="S1187">
        <v>3.0119020000000001</v>
      </c>
      <c r="T1187">
        <v>4.9605129999999997E-2</v>
      </c>
      <c r="U1187">
        <v>4.0344240000000003E-2</v>
      </c>
      <c r="V1187">
        <v>-1.102209E-2</v>
      </c>
      <c r="W1187">
        <v>-6.5782090000000001E-2</v>
      </c>
      <c r="X1187">
        <v>0.99777309999999997</v>
      </c>
      <c r="Y1187">
        <v>-2.727719E-3</v>
      </c>
      <c r="Z1187">
        <v>2.5636330000000001E-4</v>
      </c>
      <c r="AA1187">
        <v>0.9999962</v>
      </c>
      <c r="AB1187">
        <v>37</v>
      </c>
      <c r="AC1187">
        <v>111.51909999999999</v>
      </c>
      <c r="AD1187">
        <v>1.83958</v>
      </c>
      <c r="AE1187">
        <v>1.49429999999995</v>
      </c>
      <c r="AF1187">
        <v>-0.30429235103833802</v>
      </c>
      <c r="AG1187">
        <v>1.83958</v>
      </c>
      <c r="AH1187">
        <v>111.49836167085201</v>
      </c>
      <c r="AI1187">
        <v>89.054782383579195</v>
      </c>
      <c r="AJ1187">
        <v>90.156366639890706</v>
      </c>
      <c r="AK1187">
        <v>111.513951161706</v>
      </c>
      <c r="AL1187">
        <v>93.771759846941706</v>
      </c>
      <c r="AM1187">
        <v>90.632902963942101</v>
      </c>
      <c r="AN1187">
        <v>0.99999996445817196</v>
      </c>
    </row>
    <row r="1188" spans="1:40" x14ac:dyDescent="0.25">
      <c r="A1188" t="str">
        <f>"20190303153800897"</f>
        <v>20190303153800897</v>
      </c>
      <c r="B1188" t="str">
        <f>"1551598680890218"</f>
        <v>1551598680890218</v>
      </c>
      <c r="C1188" t="s">
        <v>40</v>
      </c>
      <c r="D1188">
        <v>4.2363530000000003</v>
      </c>
      <c r="E1188">
        <v>0.50346639999999998</v>
      </c>
      <c r="F1188" t="s">
        <v>41</v>
      </c>
      <c r="G1188">
        <v>-158.78319999999999</v>
      </c>
      <c r="H1188">
        <v>2.9660880000000001</v>
      </c>
      <c r="I1188">
        <v>368.45460000000003</v>
      </c>
      <c r="J1188">
        <v>-270.11779999999999</v>
      </c>
      <c r="K1188">
        <v>1.1187129999999901</v>
      </c>
      <c r="L1188">
        <v>366.99099999999999</v>
      </c>
      <c r="M1188">
        <v>0.99990690000000004</v>
      </c>
      <c r="N1188">
        <v>-8.4255319999999995E-3</v>
      </c>
      <c r="O1188">
        <v>1.0724579999999999E-2</v>
      </c>
      <c r="P1188">
        <v>0.99703149999999996</v>
      </c>
      <c r="Q1188">
        <v>-7.3916510000000005E-2</v>
      </c>
      <c r="R1188">
        <v>2.1559149999999999E-2</v>
      </c>
      <c r="S1188">
        <v>3.0119020000000001</v>
      </c>
      <c r="T1188">
        <v>4.989934E-2</v>
      </c>
      <c r="U1188">
        <v>3.95813E-2</v>
      </c>
      <c r="V1188">
        <v>-1.084767E-2</v>
      </c>
      <c r="W1188">
        <v>-6.5514799999999998E-2</v>
      </c>
      <c r="X1188">
        <v>0.99779269999999998</v>
      </c>
      <c r="Y1188">
        <v>-2.418894E-3</v>
      </c>
      <c r="Z1188">
        <v>2.581603E-4</v>
      </c>
      <c r="AA1188">
        <v>0.99999700000000002</v>
      </c>
      <c r="AB1188">
        <v>37</v>
      </c>
      <c r="AC1188">
        <v>111.33459999999999</v>
      </c>
      <c r="AD1188">
        <v>1.847375</v>
      </c>
      <c r="AE1188">
        <v>1.46360000000004</v>
      </c>
      <c r="AF1188">
        <v>-0.26938234819587797</v>
      </c>
      <c r="AG1188">
        <v>1.847375</v>
      </c>
      <c r="AH1188">
        <v>111.313251429818</v>
      </c>
      <c r="AI1188">
        <v>89.049198876580405</v>
      </c>
      <c r="AJ1188">
        <v>90.1386577186246</v>
      </c>
      <c r="AK1188">
        <v>111.328905972878</v>
      </c>
      <c r="AL1188">
        <v>93.756411765487996</v>
      </c>
      <c r="AM1188">
        <v>90.622876098005605</v>
      </c>
      <c r="AN1188">
        <v>1.0000000665683699</v>
      </c>
    </row>
    <row r="1189" spans="1:40" x14ac:dyDescent="0.25">
      <c r="A1189" t="str">
        <f>"20190303153800907"</f>
        <v>20190303153800907</v>
      </c>
      <c r="B1189" t="str">
        <f>"1551598680899978"</f>
        <v>1551598680899978</v>
      </c>
      <c r="C1189" t="s">
        <v>40</v>
      </c>
      <c r="D1189">
        <v>4.2501930000000003</v>
      </c>
      <c r="E1189">
        <v>0.50350870000000003</v>
      </c>
      <c r="F1189" t="s">
        <v>41</v>
      </c>
      <c r="G1189">
        <v>-158.78319999999999</v>
      </c>
      <c r="H1189">
        <v>3.0062899999999999</v>
      </c>
      <c r="I1189">
        <v>368.43720000000002</v>
      </c>
      <c r="J1189">
        <v>-269.92579999999998</v>
      </c>
      <c r="K1189">
        <v>1.11883</v>
      </c>
      <c r="L1189">
        <v>366.99310000000003</v>
      </c>
      <c r="M1189">
        <v>0.99990769999999995</v>
      </c>
      <c r="N1189">
        <v>-8.2739149999999997E-3</v>
      </c>
      <c r="O1189">
        <v>1.078119E-2</v>
      </c>
      <c r="P1189">
        <v>0.99705339999999998</v>
      </c>
      <c r="Q1189">
        <v>-7.3621500000000006E-2</v>
      </c>
      <c r="R1189">
        <v>2.1554799999999999E-2</v>
      </c>
      <c r="S1189">
        <v>3.0119020000000001</v>
      </c>
      <c r="T1189">
        <v>5.1066399999999998E-2</v>
      </c>
      <c r="U1189">
        <v>3.9123539999999998E-2</v>
      </c>
      <c r="V1189">
        <v>-1.078687E-2</v>
      </c>
      <c r="W1189">
        <v>-6.5370780000000003E-2</v>
      </c>
      <c r="X1189">
        <v>0.99780270000000004</v>
      </c>
      <c r="Y1189">
        <v>-2.210414E-3</v>
      </c>
      <c r="Z1189">
        <v>2.6236949999999999E-4</v>
      </c>
      <c r="AA1189">
        <v>0.99999749999999998</v>
      </c>
      <c r="AB1189">
        <v>37</v>
      </c>
      <c r="AC1189">
        <v>111.1426</v>
      </c>
      <c r="AD1189">
        <v>1.8874599999999999</v>
      </c>
      <c r="AE1189">
        <v>1.4440999999999899</v>
      </c>
      <c r="AF1189">
        <v>-0.245654785861147</v>
      </c>
      <c r="AG1189">
        <v>1.8874599999999999</v>
      </c>
      <c r="AH1189">
        <v>111.119668301169</v>
      </c>
      <c r="AI1189">
        <v>89.026879482271994</v>
      </c>
      <c r="AJ1189">
        <v>90.126664880598995</v>
      </c>
      <c r="AK1189">
        <v>111.135968682003</v>
      </c>
      <c r="AL1189">
        <v>93.748142694110399</v>
      </c>
      <c r="AM1189">
        <v>90.619379011568896</v>
      </c>
      <c r="AN1189">
        <v>0.99999996178474604</v>
      </c>
    </row>
    <row r="1190" spans="1:40" x14ac:dyDescent="0.25">
      <c r="A1190" t="str">
        <f>"20190303153800920"</f>
        <v>20190303153800920</v>
      </c>
      <c r="B1190" t="str">
        <f>"1551598680909739"</f>
        <v>1551598680909739</v>
      </c>
      <c r="C1190" t="s">
        <v>40</v>
      </c>
      <c r="D1190">
        <v>4.2435280000000004</v>
      </c>
      <c r="E1190">
        <v>0.50353679999999901</v>
      </c>
      <c r="F1190" t="s">
        <v>41</v>
      </c>
      <c r="G1190">
        <v>-158.78319999999999</v>
      </c>
      <c r="H1190">
        <v>3.0349300000000001</v>
      </c>
      <c r="I1190">
        <v>368.411</v>
      </c>
      <c r="J1190">
        <v>-269.73759999999999</v>
      </c>
      <c r="K1190">
        <v>1.1189290000000001</v>
      </c>
      <c r="L1190">
        <v>366.99520000000001</v>
      </c>
      <c r="M1190">
        <v>0.99990829999999997</v>
      </c>
      <c r="N1190">
        <v>-8.1302189999999993E-3</v>
      </c>
      <c r="O1190">
        <v>1.083419E-2</v>
      </c>
      <c r="P1190">
        <v>0.99707129999999999</v>
      </c>
      <c r="Q1190">
        <v>-7.3393550000000002E-2</v>
      </c>
      <c r="R1190">
        <v>2.151235E-2</v>
      </c>
      <c r="S1190">
        <v>3.011841</v>
      </c>
      <c r="T1190">
        <v>5.1926489999999999E-2</v>
      </c>
      <c r="U1190">
        <v>3.8421629999999998E-2</v>
      </c>
      <c r="V1190">
        <v>-1.069225E-2</v>
      </c>
      <c r="W1190">
        <v>-6.5285979999999993E-2</v>
      </c>
      <c r="X1190">
        <v>0.99780930000000001</v>
      </c>
      <c r="Y1190">
        <v>-1.9247380000000001E-3</v>
      </c>
      <c r="Z1190">
        <v>2.6607289999999999E-4</v>
      </c>
      <c r="AA1190">
        <v>0.9999981</v>
      </c>
      <c r="AB1190">
        <v>37</v>
      </c>
      <c r="AC1190">
        <v>110.95440000000001</v>
      </c>
      <c r="AD1190">
        <v>1.9160009999999901</v>
      </c>
      <c r="AE1190">
        <v>1.41579999999999</v>
      </c>
      <c r="AF1190">
        <v>-0.21351251130822299</v>
      </c>
      <c r="AG1190">
        <v>1.9160009999999901</v>
      </c>
      <c r="AH1190">
        <v>110.930153447989</v>
      </c>
      <c r="AI1190">
        <v>89.010479572498497</v>
      </c>
      <c r="AJ1190">
        <v>90.110279759688396</v>
      </c>
      <c r="AK1190">
        <v>110.946904379613</v>
      </c>
      <c r="AL1190">
        <v>93.743273500011398</v>
      </c>
      <c r="AM1190">
        <v>90.613942315123197</v>
      </c>
      <c r="AN1190">
        <v>0.99999999128055606</v>
      </c>
    </row>
    <row r="1191" spans="1:40" x14ac:dyDescent="0.25">
      <c r="A1191" t="str">
        <f>"20190303153800932"</f>
        <v>20190303153800932</v>
      </c>
      <c r="B1191" t="str">
        <f>"1551598680919498"</f>
        <v>1551598680919498</v>
      </c>
      <c r="C1191" t="s">
        <v>40</v>
      </c>
      <c r="D1191">
        <v>4.2667669999999998</v>
      </c>
      <c r="E1191">
        <v>0.50355329999999998</v>
      </c>
      <c r="F1191" t="s">
        <v>41</v>
      </c>
      <c r="G1191">
        <v>-158.78319999999999</v>
      </c>
      <c r="H1191">
        <v>3.0539619999999998</v>
      </c>
      <c r="I1191">
        <v>368.40620000000001</v>
      </c>
      <c r="J1191">
        <v>-269.54230000000001</v>
      </c>
      <c r="K1191">
        <v>1.1190290000000001</v>
      </c>
      <c r="L1191">
        <v>366.99740000000003</v>
      </c>
      <c r="M1191">
        <v>0.99990889999999999</v>
      </c>
      <c r="N1191">
        <v>-7.9834239999999994E-3</v>
      </c>
      <c r="O1191">
        <v>1.088857E-2</v>
      </c>
      <c r="P1191">
        <v>0.99707480000000004</v>
      </c>
      <c r="Q1191">
        <v>-7.3326950000000002E-2</v>
      </c>
      <c r="R1191">
        <v>2.1572629999999999E-2</v>
      </c>
      <c r="S1191">
        <v>3.011841</v>
      </c>
      <c r="T1191">
        <v>5.2528499999999999E-2</v>
      </c>
      <c r="U1191">
        <v>3.8299560000000003E-2</v>
      </c>
      <c r="V1191">
        <v>-1.069838E-2</v>
      </c>
      <c r="W1191">
        <v>-6.5365759999999995E-2</v>
      </c>
      <c r="X1191">
        <v>0.99780400000000002</v>
      </c>
      <c r="Y1191">
        <v>-1.829879E-3</v>
      </c>
      <c r="Z1191">
        <v>2.6814459999999999E-4</v>
      </c>
      <c r="AA1191">
        <v>0.99999830000000001</v>
      </c>
      <c r="AB1191">
        <v>37</v>
      </c>
      <c r="AC1191">
        <v>110.7591</v>
      </c>
      <c r="AD1191">
        <v>1.934933</v>
      </c>
      <c r="AE1191">
        <v>1.4087999999999801</v>
      </c>
      <c r="AF1191">
        <v>-0.20260806861109701</v>
      </c>
      <c r="AG1191">
        <v>1.934933</v>
      </c>
      <c r="AH1191">
        <v>110.73408415988</v>
      </c>
      <c r="AI1191">
        <v>88.998934893224302</v>
      </c>
      <c r="AJ1191">
        <v>90.104832891883802</v>
      </c>
      <c r="AK1191">
        <v>110.75117340448899</v>
      </c>
      <c r="AL1191">
        <v>93.747854383811003</v>
      </c>
      <c r="AM1191">
        <v>90.614297531603498</v>
      </c>
      <c r="AN1191">
        <v>0.99999998016549996</v>
      </c>
    </row>
    <row r="1192" spans="1:40" x14ac:dyDescent="0.25">
      <c r="A1192" t="str">
        <f>"20190303153800944"</f>
        <v>20190303153800944</v>
      </c>
      <c r="B1192" t="str">
        <f>"1551598680939995"</f>
        <v>1551598680939995</v>
      </c>
      <c r="C1192" t="s">
        <v>40</v>
      </c>
      <c r="D1192">
        <v>4.2447299999999997</v>
      </c>
      <c r="E1192">
        <v>0.50355360000000005</v>
      </c>
      <c r="F1192" t="s">
        <v>41</v>
      </c>
      <c r="G1192">
        <v>-158.78319999999999</v>
      </c>
      <c r="H1192">
        <v>3.0518109999999998</v>
      </c>
      <c r="I1192">
        <v>368.40359999999998</v>
      </c>
      <c r="J1192">
        <v>-269.32249999999999</v>
      </c>
      <c r="K1192">
        <v>1.1191279999999999</v>
      </c>
      <c r="L1192">
        <v>366.99979999999999</v>
      </c>
      <c r="M1192">
        <v>0.99990959999999995</v>
      </c>
      <c r="N1192">
        <v>-7.8267489999999992E-3</v>
      </c>
      <c r="O1192">
        <v>1.094786E-2</v>
      </c>
      <c r="P1192">
        <v>0.99707959999999995</v>
      </c>
      <c r="Q1192">
        <v>-7.3175279999999995E-2</v>
      </c>
      <c r="R1192">
        <v>2.1868499999999999E-2</v>
      </c>
      <c r="S1192">
        <v>3.0118710000000002</v>
      </c>
      <c r="T1192">
        <v>5.2560450000000002E-2</v>
      </c>
      <c r="U1192">
        <v>3.823853E-2</v>
      </c>
      <c r="V1192">
        <v>-1.0935790000000001E-2</v>
      </c>
      <c r="W1192">
        <v>-6.5370339999999999E-2</v>
      </c>
      <c r="X1192">
        <v>0.9978011</v>
      </c>
      <c r="Y1192">
        <v>-1.7501909999999999E-3</v>
      </c>
      <c r="Z1192">
        <v>2.682812E-4</v>
      </c>
      <c r="AA1192">
        <v>0.99999850000000001</v>
      </c>
      <c r="AB1192">
        <v>37</v>
      </c>
      <c r="AC1192">
        <v>110.5393</v>
      </c>
      <c r="AD1192">
        <v>1.9326829999999999</v>
      </c>
      <c r="AE1192">
        <v>1.40379999999998</v>
      </c>
      <c r="AF1192">
        <v>-0.19345108413447601</v>
      </c>
      <c r="AG1192">
        <v>1.9326829999999999</v>
      </c>
      <c r="AH1192">
        <v>110.514265920982</v>
      </c>
      <c r="AI1192">
        <v>88.998110137033606</v>
      </c>
      <c r="AJ1192">
        <v>90.100294014080006</v>
      </c>
      <c r="AK1192">
        <v>110.531333380874</v>
      </c>
      <c r="AL1192">
        <v>93.748117459117907</v>
      </c>
      <c r="AM1192">
        <v>90.6279302824707</v>
      </c>
      <c r="AN1192">
        <v>0.99999995400792296</v>
      </c>
    </row>
    <row r="1193" spans="1:40" x14ac:dyDescent="0.25">
      <c r="A1193" t="str">
        <f>"20190303153800956"</f>
        <v>20190303153800956</v>
      </c>
      <c r="B1193" t="str">
        <f>"1551598680949754"</f>
        <v>1551598680949754</v>
      </c>
      <c r="C1193" t="s">
        <v>40</v>
      </c>
      <c r="D1193">
        <v>4.2442970000000004</v>
      </c>
      <c r="E1193">
        <v>0.50354920000000003</v>
      </c>
      <c r="F1193" t="s">
        <v>41</v>
      </c>
      <c r="G1193">
        <v>-158.78319999999999</v>
      </c>
      <c r="H1193">
        <v>3.0509490000000001</v>
      </c>
      <c r="I1193">
        <v>368.44589999999999</v>
      </c>
      <c r="J1193">
        <v>-269.13420000000002</v>
      </c>
      <c r="K1193">
        <v>1.1192009999999999</v>
      </c>
      <c r="L1193">
        <v>367.00189999999998</v>
      </c>
      <c r="M1193">
        <v>0.99990990000000002</v>
      </c>
      <c r="N1193">
        <v>-7.6995850000000001E-3</v>
      </c>
      <c r="O1193">
        <v>1.0997440000000001E-2</v>
      </c>
      <c r="P1193">
        <v>0.99710659999999895</v>
      </c>
      <c r="Q1193">
        <v>-7.2761419999999993E-2</v>
      </c>
      <c r="R1193">
        <v>2.200825E-2</v>
      </c>
      <c r="S1193">
        <v>3.011749</v>
      </c>
      <c r="T1193">
        <v>5.2636620000000002E-2</v>
      </c>
      <c r="U1193">
        <v>3.939819E-2</v>
      </c>
      <c r="V1193">
        <v>-1.102592E-2</v>
      </c>
      <c r="W1193">
        <v>-6.5083100000000005E-2</v>
      </c>
      <c r="X1193">
        <v>0.99781889999999995</v>
      </c>
      <c r="Y1193">
        <v>-2.0860750000000002E-3</v>
      </c>
      <c r="Z1193">
        <v>2.6664540000000001E-4</v>
      </c>
      <c r="AA1193">
        <v>0.99999780000000005</v>
      </c>
      <c r="AB1193">
        <v>37</v>
      </c>
      <c r="AC1193">
        <v>110.351</v>
      </c>
      <c r="AD1193">
        <v>1.931748</v>
      </c>
      <c r="AE1193">
        <v>1.4440000000000099</v>
      </c>
      <c r="AF1193">
        <v>-0.23022767726899199</v>
      </c>
      <c r="AG1193">
        <v>1.931748</v>
      </c>
      <c r="AH1193">
        <v>110.326404183956</v>
      </c>
      <c r="AI1193">
        <v>88.996890557142805</v>
      </c>
      <c r="AJ1193">
        <v>90.119563899363897</v>
      </c>
      <c r="AK1193">
        <v>110.343554933129</v>
      </c>
      <c r="AL1193">
        <v>93.731624640709995</v>
      </c>
      <c r="AM1193">
        <v>90.633093811655598</v>
      </c>
      <c r="AN1193">
        <v>0.99999996900733201</v>
      </c>
    </row>
    <row r="1194" spans="1:40" x14ac:dyDescent="0.25">
      <c r="A1194" t="str">
        <f>"20190303153800968"</f>
        <v>20190303153800968</v>
      </c>
      <c r="B1194" t="str">
        <f>"1551598680960490"</f>
        <v>1551598680960490</v>
      </c>
      <c r="C1194" t="s">
        <v>40</v>
      </c>
      <c r="D1194">
        <v>4.2551519999999998</v>
      </c>
      <c r="E1194">
        <v>0.50354960000000004</v>
      </c>
      <c r="F1194" t="s">
        <v>41</v>
      </c>
      <c r="G1194">
        <v>-158.78319999999999</v>
      </c>
      <c r="H1194">
        <v>3.0941429999999999</v>
      </c>
      <c r="I1194">
        <v>368.4545</v>
      </c>
      <c r="J1194">
        <v>-268.928</v>
      </c>
      <c r="K1194">
        <v>1.1192770000000001</v>
      </c>
      <c r="L1194">
        <v>367.00420000000003</v>
      </c>
      <c r="M1194">
        <v>0.99991050000000004</v>
      </c>
      <c r="N1194">
        <v>-7.564894E-3</v>
      </c>
      <c r="O1194">
        <v>1.1050549999999999E-2</v>
      </c>
      <c r="P1194">
        <v>0.99714080000000005</v>
      </c>
      <c r="Q1194">
        <v>-7.2180850000000005E-2</v>
      </c>
      <c r="R1194">
        <v>2.237333E-2</v>
      </c>
      <c r="S1194">
        <v>3.011749</v>
      </c>
      <c r="T1194">
        <v>5.3903340000000001E-2</v>
      </c>
      <c r="U1194">
        <v>3.9642330000000003E-2</v>
      </c>
      <c r="V1194">
        <v>-1.133837E-2</v>
      </c>
      <c r="W1194">
        <v>-6.4636680000000002E-2</v>
      </c>
      <c r="X1194">
        <v>0.99784450000000002</v>
      </c>
      <c r="Y1194">
        <v>-2.1140970000000001E-3</v>
      </c>
      <c r="Z1194">
        <v>2.7041620000000001E-4</v>
      </c>
      <c r="AA1194">
        <v>0.99999769999999999</v>
      </c>
      <c r="AB1194">
        <v>37</v>
      </c>
      <c r="AC1194">
        <v>110.1448</v>
      </c>
      <c r="AD1194">
        <v>1.974866</v>
      </c>
      <c r="AE1194">
        <v>1.4502999999999699</v>
      </c>
      <c r="AF1194">
        <v>-0.232941333429353</v>
      </c>
      <c r="AG1194">
        <v>1.974866</v>
      </c>
      <c r="AH1194">
        <v>110.11870705341801</v>
      </c>
      <c r="AI1194">
        <v>88.972571433891204</v>
      </c>
      <c r="AJ1194">
        <v>90.121201344705497</v>
      </c>
      <c r="AK1194">
        <v>110.13666056540499</v>
      </c>
      <c r="AL1194">
        <v>93.705992376409796</v>
      </c>
      <c r="AM1194">
        <v>90.651016055452303</v>
      </c>
      <c r="AN1194">
        <v>1.00000005260796</v>
      </c>
    </row>
    <row r="1195" spans="1:40" x14ac:dyDescent="0.25">
      <c r="A1195" t="str">
        <f>"20190303153800980"</f>
        <v>20190303153800980</v>
      </c>
      <c r="B1195" t="str">
        <f>"1551598680970251"</f>
        <v>1551598680970251</v>
      </c>
      <c r="C1195" t="s">
        <v>40</v>
      </c>
      <c r="D1195">
        <v>4.2557980000000004</v>
      </c>
      <c r="E1195">
        <v>0.50355760000000005</v>
      </c>
      <c r="F1195" t="s">
        <v>41</v>
      </c>
      <c r="G1195">
        <v>-158.78319999999999</v>
      </c>
      <c r="H1195">
        <v>3.15333</v>
      </c>
      <c r="I1195">
        <v>368.48750000000001</v>
      </c>
      <c r="J1195">
        <v>-268.74439999999998</v>
      </c>
      <c r="K1195">
        <v>1.1193360000000001</v>
      </c>
      <c r="L1195">
        <v>367.00630000000001</v>
      </c>
      <c r="M1195">
        <v>0.99991070000000004</v>
      </c>
      <c r="N1195">
        <v>-7.456168E-3</v>
      </c>
      <c r="O1195">
        <v>1.1096709999999999E-2</v>
      </c>
      <c r="P1195">
        <v>0.99715500000000001</v>
      </c>
      <c r="Q1195">
        <v>-7.1881349999999997E-2</v>
      </c>
      <c r="R1195">
        <v>2.269904E-2</v>
      </c>
      <c r="S1195">
        <v>3.011749</v>
      </c>
      <c r="T1195">
        <v>5.5620549999999998E-2</v>
      </c>
      <c r="U1195">
        <v>4.0557860000000001E-2</v>
      </c>
      <c r="V1195">
        <v>-1.1617819999999999E-2</v>
      </c>
      <c r="W1195">
        <v>-6.4445559999999999E-2</v>
      </c>
      <c r="X1195">
        <v>0.99785360000000001</v>
      </c>
      <c r="Y1195">
        <v>-2.3719729999999999E-3</v>
      </c>
      <c r="Z1195">
        <v>2.7457209999999998E-4</v>
      </c>
      <c r="AA1195">
        <v>0.99999709999999997</v>
      </c>
      <c r="AB1195">
        <v>37</v>
      </c>
      <c r="AC1195">
        <v>109.96120000000001</v>
      </c>
      <c r="AD1195">
        <v>2.0339939999999999</v>
      </c>
      <c r="AE1195">
        <v>1.4812000000000001</v>
      </c>
      <c r="AF1195">
        <v>-0.26077820462963702</v>
      </c>
      <c r="AG1195">
        <v>2.0339939999999999</v>
      </c>
      <c r="AH1195">
        <v>109.93325899978601</v>
      </c>
      <c r="AI1195">
        <v>88.940032801796406</v>
      </c>
      <c r="AJ1195">
        <v>90.1359139411</v>
      </c>
      <c r="AK1195">
        <v>109.95238319917399</v>
      </c>
      <c r="AL1195">
        <v>93.695019303247705</v>
      </c>
      <c r="AM1195">
        <v>90.667053742246907</v>
      </c>
      <c r="AN1195">
        <v>1.0000000054891101</v>
      </c>
    </row>
    <row r="1196" spans="1:40" x14ac:dyDescent="0.25">
      <c r="A1196" t="str">
        <f>"20190303153800993"</f>
        <v>20190303153800993</v>
      </c>
      <c r="B1196" t="str">
        <f>"1551598680989771"</f>
        <v>1551598680989771</v>
      </c>
      <c r="C1196" t="s">
        <v>40</v>
      </c>
      <c r="D1196">
        <v>4.2228849999999998</v>
      </c>
      <c r="E1196">
        <v>0.50355699999999903</v>
      </c>
      <c r="F1196" t="s">
        <v>41</v>
      </c>
      <c r="G1196">
        <v>-158.78319999999999</v>
      </c>
      <c r="H1196">
        <v>3.1835749999999998</v>
      </c>
      <c r="I1196">
        <v>368.53390000000002</v>
      </c>
      <c r="J1196">
        <v>-268.52780000000001</v>
      </c>
      <c r="K1196">
        <v>1.119402</v>
      </c>
      <c r="L1196">
        <v>367.00869999999998</v>
      </c>
      <c r="M1196">
        <v>0.99991110000000005</v>
      </c>
      <c r="N1196">
        <v>-7.332351E-3</v>
      </c>
      <c r="O1196">
        <v>1.1150429999999999E-2</v>
      </c>
      <c r="P1196">
        <v>0.99716439999999995</v>
      </c>
      <c r="Q1196">
        <v>-7.1627730000000001E-2</v>
      </c>
      <c r="R1196">
        <v>2.308497E-2</v>
      </c>
      <c r="S1196">
        <v>3.0116879999999999</v>
      </c>
      <c r="T1196">
        <v>5.6539060000000002E-2</v>
      </c>
      <c r="U1196">
        <v>4.1839599999999998E-2</v>
      </c>
      <c r="V1196">
        <v>-1.1950509999999999E-2</v>
      </c>
      <c r="W1196">
        <v>-6.4315399999999995E-2</v>
      </c>
      <c r="X1196">
        <v>0.99785800000000002</v>
      </c>
      <c r="Y1196">
        <v>-2.7440559999999999E-3</v>
      </c>
      <c r="Z1196">
        <v>2.7534990000000002E-4</v>
      </c>
      <c r="AA1196">
        <v>0.9999962</v>
      </c>
      <c r="AB1196">
        <v>37</v>
      </c>
      <c r="AC1196">
        <v>109.74460000000001</v>
      </c>
      <c r="AD1196">
        <v>2.0641729999999998</v>
      </c>
      <c r="AE1196">
        <v>1.5252000000000401</v>
      </c>
      <c r="AF1196">
        <v>-0.30126642571513201</v>
      </c>
      <c r="AG1196">
        <v>2.0641729999999998</v>
      </c>
      <c r="AH1196">
        <v>109.715976965433</v>
      </c>
      <c r="AI1196">
        <v>88.922180637875996</v>
      </c>
      <c r="AJ1196">
        <v>90.157326688397205</v>
      </c>
      <c r="AK1196">
        <v>109.735806248975</v>
      </c>
      <c r="AL1196">
        <v>93.687546434842403</v>
      </c>
      <c r="AM1196">
        <v>90.6861507880147</v>
      </c>
      <c r="AN1196">
        <v>0.99999993676520804</v>
      </c>
    </row>
    <row r="1197" spans="1:40" x14ac:dyDescent="0.25">
      <c r="A1197" t="str">
        <f>"20190303153801009"</f>
        <v>20190303153801009</v>
      </c>
      <c r="B1197" t="str">
        <f>"1551598681000506"</f>
        <v>1551598681000506</v>
      </c>
      <c r="C1197" t="s">
        <v>40</v>
      </c>
      <c r="D1197">
        <v>4.2405559999999998</v>
      </c>
      <c r="E1197">
        <v>0.50358519999999996</v>
      </c>
      <c r="F1197" t="s">
        <v>41</v>
      </c>
      <c r="G1197">
        <v>-158.78319999999999</v>
      </c>
      <c r="H1197">
        <v>3.1868660000000002</v>
      </c>
      <c r="I1197">
        <v>368.5779</v>
      </c>
      <c r="J1197">
        <v>-268.25779999999997</v>
      </c>
      <c r="K1197">
        <v>1.1194740000000001</v>
      </c>
      <c r="L1197">
        <v>367.01179999999999</v>
      </c>
      <c r="M1197">
        <v>0.99991129999999995</v>
      </c>
      <c r="N1197">
        <v>-7.1903619999999996E-3</v>
      </c>
      <c r="O1197">
        <v>1.121583E-2</v>
      </c>
      <c r="P1197">
        <v>0.99718079999999998</v>
      </c>
      <c r="Q1197">
        <v>-7.1333779999999999E-2</v>
      </c>
      <c r="R1197">
        <v>2.3287120000000001E-2</v>
      </c>
      <c r="S1197">
        <v>3.0116269999999998</v>
      </c>
      <c r="T1197">
        <v>5.673802E-2</v>
      </c>
      <c r="U1197">
        <v>4.3060300000000003E-2</v>
      </c>
      <c r="V1197">
        <v>-1.2087189999999999E-2</v>
      </c>
      <c r="W1197">
        <v>-6.4162990000000003E-2</v>
      </c>
      <c r="X1197">
        <v>0.99786620000000004</v>
      </c>
      <c r="Y1197">
        <v>-3.084149E-3</v>
      </c>
      <c r="Z1197">
        <v>2.7394229999999999E-4</v>
      </c>
      <c r="AA1197">
        <v>0.99999519999999997</v>
      </c>
      <c r="AB1197">
        <v>37</v>
      </c>
      <c r="AC1197">
        <v>109.474599999999</v>
      </c>
      <c r="AD1197">
        <v>2.0673919999999999</v>
      </c>
      <c r="AE1197">
        <v>1.5661</v>
      </c>
      <c r="AF1197">
        <v>-0.33800079034513503</v>
      </c>
      <c r="AG1197">
        <v>2.0673919999999999</v>
      </c>
      <c r="AH1197">
        <v>109.446255395981</v>
      </c>
      <c r="AI1197">
        <v>88.917841587967203</v>
      </c>
      <c r="AJ1197">
        <v>90.176944904341198</v>
      </c>
      <c r="AK1197">
        <v>109.466301547181</v>
      </c>
      <c r="AL1197">
        <v>93.6787957834472</v>
      </c>
      <c r="AM1197">
        <v>90.693991944793197</v>
      </c>
      <c r="AN1197">
        <v>0.99999997127513696</v>
      </c>
    </row>
    <row r="1198" spans="1:40" x14ac:dyDescent="0.25">
      <c r="A1198" t="str">
        <f>"20190303153801022"</f>
        <v>20190303153801022</v>
      </c>
      <c r="B1198" t="str">
        <f>"1551598681010267"</f>
        <v>1551598681010267</v>
      </c>
      <c r="C1198" t="s">
        <v>40</v>
      </c>
      <c r="D1198">
        <v>4.2677209999999999</v>
      </c>
      <c r="E1198">
        <v>0.5036195</v>
      </c>
      <c r="F1198" t="s">
        <v>41</v>
      </c>
      <c r="G1198">
        <v>-158.78319999999999</v>
      </c>
      <c r="H1198">
        <v>3.2101579999999998</v>
      </c>
      <c r="I1198">
        <v>368.58819999999997</v>
      </c>
      <c r="J1198">
        <v>-268.03489999999999</v>
      </c>
      <c r="K1198">
        <v>1.119521</v>
      </c>
      <c r="L1198">
        <v>367.01429999999999</v>
      </c>
      <c r="M1198">
        <v>0.99991149999999995</v>
      </c>
      <c r="N1198">
        <v>-7.0864439999999999E-3</v>
      </c>
      <c r="O1198">
        <v>1.1269639999999999E-2</v>
      </c>
      <c r="P1198">
        <v>0.99718359999999995</v>
      </c>
      <c r="Q1198">
        <v>-7.1014850000000004E-2</v>
      </c>
      <c r="R1198">
        <v>2.4126020000000001E-2</v>
      </c>
      <c r="S1198">
        <v>3.0115970000000001</v>
      </c>
      <c r="T1198">
        <v>5.7516100000000001E-2</v>
      </c>
      <c r="U1198">
        <v>4.3365479999999998E-2</v>
      </c>
      <c r="V1198">
        <v>-1.2872939999999999E-2</v>
      </c>
      <c r="W1198">
        <v>-6.3947770000000001E-2</v>
      </c>
      <c r="X1198">
        <v>0.99787020000000004</v>
      </c>
      <c r="Y1198">
        <v>-3.1318359999999998E-3</v>
      </c>
      <c r="Z1198">
        <v>2.7623909999999999E-4</v>
      </c>
      <c r="AA1198">
        <v>0.99999510000000003</v>
      </c>
      <c r="AB1198">
        <v>37</v>
      </c>
      <c r="AC1198">
        <v>109.2517</v>
      </c>
      <c r="AD1198">
        <v>2.0906370000000001</v>
      </c>
      <c r="AE1198">
        <v>1.5738999999999801</v>
      </c>
      <c r="AF1198">
        <v>-0.34241658106940298</v>
      </c>
      <c r="AG1198">
        <v>2.0906370000000001</v>
      </c>
      <c r="AH1198">
        <v>109.222512043268</v>
      </c>
      <c r="AI1198">
        <v>88.903436112245103</v>
      </c>
      <c r="AJ1198">
        <v>90.179623781664006</v>
      </c>
      <c r="AK1198">
        <v>109.243055382127</v>
      </c>
      <c r="AL1198">
        <v>93.666439166364199</v>
      </c>
      <c r="AM1198">
        <v>90.739098352308602</v>
      </c>
      <c r="AN1198">
        <v>0.99999998296012804</v>
      </c>
    </row>
    <row r="1199" spans="1:40" x14ac:dyDescent="0.25">
      <c r="A1199" t="str">
        <f>"20190303153801036"</f>
        <v>20190303153801036</v>
      </c>
      <c r="B1199" t="str">
        <f>"1551598681029786"</f>
        <v>1551598681029786</v>
      </c>
      <c r="C1199" t="s">
        <v>40</v>
      </c>
      <c r="D1199">
        <v>4.232405</v>
      </c>
      <c r="E1199">
        <v>0.5036581</v>
      </c>
      <c r="F1199" t="s">
        <v>41</v>
      </c>
      <c r="G1199">
        <v>-158.78319999999999</v>
      </c>
      <c r="H1199">
        <v>3.234086</v>
      </c>
      <c r="I1199">
        <v>368.6662</v>
      </c>
      <c r="J1199">
        <v>-267.8107</v>
      </c>
      <c r="K1199">
        <v>1.119567</v>
      </c>
      <c r="L1199">
        <v>367.01690000000002</v>
      </c>
      <c r="M1199">
        <v>0.99991140000000001</v>
      </c>
      <c r="N1199">
        <v>-6.9923210000000001E-3</v>
      </c>
      <c r="O1199">
        <v>1.13236E-2</v>
      </c>
      <c r="P1199">
        <v>0.99718720000000005</v>
      </c>
      <c r="Q1199">
        <v>-7.0908520000000003E-2</v>
      </c>
      <c r="R1199">
        <v>2.4282700000000001E-2</v>
      </c>
      <c r="S1199">
        <v>3.011536</v>
      </c>
      <c r="T1199">
        <v>5.8290599999999998E-2</v>
      </c>
      <c r="U1199">
        <v>4.553223E-2</v>
      </c>
      <c r="V1199">
        <v>-1.29762E-2</v>
      </c>
      <c r="W1199">
        <v>-6.3935329999999999E-2</v>
      </c>
      <c r="X1199">
        <v>0.99786969999999997</v>
      </c>
      <c r="Y1199">
        <v>-3.7974649999999999E-3</v>
      </c>
      <c r="Z1199">
        <v>2.7483580000000002E-4</v>
      </c>
      <c r="AA1199">
        <v>0.99999269999999996</v>
      </c>
      <c r="AB1199">
        <v>37</v>
      </c>
      <c r="AC1199">
        <v>109.0275</v>
      </c>
      <c r="AD1199">
        <v>2.114519</v>
      </c>
      <c r="AE1199">
        <v>1.64929999999998</v>
      </c>
      <c r="AF1199">
        <v>-0.41442437729457599</v>
      </c>
      <c r="AG1199">
        <v>2.114519</v>
      </c>
      <c r="AH1199">
        <v>108.998196589161</v>
      </c>
      <c r="AI1199">
        <v>88.888633501552405</v>
      </c>
      <c r="AJ1199">
        <v>90.217844460470104</v>
      </c>
      <c r="AK1199">
        <v>109.019492742606</v>
      </c>
      <c r="AL1199">
        <v>93.665724797656395</v>
      </c>
      <c r="AM1199">
        <v>90.745026720854</v>
      </c>
      <c r="AN1199">
        <v>1.0000000231833599</v>
      </c>
    </row>
    <row r="1200" spans="1:40" x14ac:dyDescent="0.25">
      <c r="A1200" t="str">
        <f>"20190303153801050"</f>
        <v>20190303153801050</v>
      </c>
      <c r="B1200" t="str">
        <f>"1551598681040522"</f>
        <v>1551598681040522</v>
      </c>
      <c r="C1200" t="s">
        <v>40</v>
      </c>
      <c r="D1200">
        <v>4.2359730000000004</v>
      </c>
      <c r="E1200">
        <v>0.50367019999999996</v>
      </c>
      <c r="F1200" t="s">
        <v>41</v>
      </c>
      <c r="G1200">
        <v>-158.78319999999999</v>
      </c>
      <c r="H1200">
        <v>3.216504</v>
      </c>
      <c r="I1200">
        <v>368.661</v>
      </c>
      <c r="J1200">
        <v>-267.57069999999999</v>
      </c>
      <c r="K1200">
        <v>1.119613</v>
      </c>
      <c r="L1200">
        <v>367.0197</v>
      </c>
      <c r="M1200">
        <v>0.99991140000000001</v>
      </c>
      <c r="N1200">
        <v>-6.9043430000000003E-3</v>
      </c>
      <c r="O1200">
        <v>1.1380690000000001E-2</v>
      </c>
      <c r="P1200">
        <v>0.99719500000000005</v>
      </c>
      <c r="Q1200">
        <v>-7.0745100000000005E-2</v>
      </c>
      <c r="R1200">
        <v>2.444288E-2</v>
      </c>
      <c r="S1200">
        <v>3.011444</v>
      </c>
      <c r="T1200">
        <v>5.7921769999999997E-2</v>
      </c>
      <c r="U1200">
        <v>4.5410159999999998E-2</v>
      </c>
      <c r="V1200">
        <v>-1.3079520000000001E-2</v>
      </c>
      <c r="W1200">
        <v>-6.3859630000000001E-2</v>
      </c>
      <c r="X1200">
        <v>0.99787320000000002</v>
      </c>
      <c r="Y1200">
        <v>-3.7002820000000001E-3</v>
      </c>
      <c r="Z1200">
        <v>2.746154E-4</v>
      </c>
      <c r="AA1200">
        <v>0.99999309999999997</v>
      </c>
      <c r="AB1200">
        <v>37</v>
      </c>
      <c r="AC1200">
        <v>108.78749999999999</v>
      </c>
      <c r="AD1200">
        <v>2.0968909999999998</v>
      </c>
      <c r="AE1200">
        <v>1.6413</v>
      </c>
      <c r="AF1200">
        <v>-0.402937706239968</v>
      </c>
      <c r="AG1200">
        <v>2.0968909999999998</v>
      </c>
      <c r="AH1200">
        <v>108.75873600161501</v>
      </c>
      <c r="AI1200">
        <v>88.895469907743802</v>
      </c>
      <c r="AJ1200">
        <v>90.212272826937493</v>
      </c>
      <c r="AK1200">
        <v>108.779694646243</v>
      </c>
      <c r="AL1200">
        <v>93.661378620025303</v>
      </c>
      <c r="AM1200">
        <v>90.7509555139914</v>
      </c>
      <c r="AN1200">
        <v>1.0000000247327001</v>
      </c>
    </row>
    <row r="1201" spans="1:40" x14ac:dyDescent="0.25">
      <c r="A1201" t="str">
        <f>"20190303153801064"</f>
        <v>20190303153801064</v>
      </c>
      <c r="B1201" t="str">
        <f>"1551598681060042"</f>
        <v>1551598681060042</v>
      </c>
      <c r="C1201" t="s">
        <v>40</v>
      </c>
      <c r="D1201">
        <v>4.2433269999999998</v>
      </c>
      <c r="E1201">
        <v>0.50370199999999998</v>
      </c>
      <c r="F1201" t="s">
        <v>41</v>
      </c>
      <c r="G1201">
        <v>-158.78319999999999</v>
      </c>
      <c r="H1201">
        <v>3.2230699999999999</v>
      </c>
      <c r="I1201">
        <v>368.6755</v>
      </c>
      <c r="J1201">
        <v>-267.32319999999999</v>
      </c>
      <c r="K1201">
        <v>1.1196549999999901</v>
      </c>
      <c r="L1201">
        <v>367.02260000000001</v>
      </c>
      <c r="M1201">
        <v>0.99991129999999995</v>
      </c>
      <c r="N1201">
        <v>-6.8381469999999897E-3</v>
      </c>
      <c r="O1201">
        <v>1.1438729999999999E-2</v>
      </c>
      <c r="P1201">
        <v>0.99719380000000002</v>
      </c>
      <c r="Q1201">
        <v>-7.0762050000000007E-2</v>
      </c>
      <c r="R1201">
        <v>2.445021E-2</v>
      </c>
      <c r="S1201">
        <v>3.011444</v>
      </c>
      <c r="T1201">
        <v>5.8230039999999997E-2</v>
      </c>
      <c r="U1201">
        <v>4.58374E-2</v>
      </c>
      <c r="V1201">
        <v>-1.3029020000000001E-2</v>
      </c>
      <c r="W1201">
        <v>-6.3942599999999905E-2</v>
      </c>
      <c r="X1201">
        <v>0.99786850000000005</v>
      </c>
      <c r="Y1201">
        <v>-3.7841020000000001E-3</v>
      </c>
      <c r="Z1201">
        <v>2.757096E-4</v>
      </c>
      <c r="AA1201">
        <v>0.99999280000000002</v>
      </c>
      <c r="AB1201">
        <v>38</v>
      </c>
      <c r="AC1201">
        <v>108.54</v>
      </c>
      <c r="AD1201">
        <v>2.103415</v>
      </c>
      <c r="AE1201">
        <v>1.6528999999999801</v>
      </c>
      <c r="AF1201">
        <v>-0.41104886942821001</v>
      </c>
      <c r="AG1201">
        <v>2.103415</v>
      </c>
      <c r="AH1201">
        <v>108.511063901296</v>
      </c>
      <c r="AI1201">
        <v>88.889506360401697</v>
      </c>
      <c r="AJ1201">
        <v>90.217040105362898</v>
      </c>
      <c r="AK1201">
        <v>108.53222703338599</v>
      </c>
      <c r="AL1201">
        <v>93.666142360202699</v>
      </c>
      <c r="AM1201">
        <v>90.748059929380702</v>
      </c>
      <c r="AN1201">
        <v>0.99999997737458401</v>
      </c>
    </row>
    <row r="1202" spans="1:40" x14ac:dyDescent="0.25">
      <c r="A1202" t="str">
        <f>"20190303153801078"</f>
        <v>20190303153801078</v>
      </c>
      <c r="B1202" t="str">
        <f>"1551598681069802"</f>
        <v>1551598681069802</v>
      </c>
      <c r="C1202" t="s">
        <v>40</v>
      </c>
      <c r="D1202">
        <v>4.2437559999999896</v>
      </c>
      <c r="E1202">
        <v>0.50370369999999998</v>
      </c>
      <c r="F1202" t="s">
        <v>41</v>
      </c>
      <c r="G1202">
        <v>-158.78319999999999</v>
      </c>
      <c r="H1202">
        <v>3.1885460000000001</v>
      </c>
      <c r="I1202">
        <v>368.67360000000002</v>
      </c>
      <c r="J1202">
        <v>-267.10169999999999</v>
      </c>
      <c r="K1202">
        <v>1.119678</v>
      </c>
      <c r="L1202">
        <v>367.02510000000001</v>
      </c>
      <c r="M1202">
        <v>0.99991099999999999</v>
      </c>
      <c r="N1202">
        <v>-6.7965580000000003E-3</v>
      </c>
      <c r="O1202">
        <v>1.149066E-2</v>
      </c>
      <c r="P1202">
        <v>0.99720319999999996</v>
      </c>
      <c r="Q1202">
        <v>-7.0645479999999997E-2</v>
      </c>
      <c r="R1202">
        <v>2.4400120000000001E-2</v>
      </c>
      <c r="S1202">
        <v>3.0113829999999999</v>
      </c>
      <c r="T1202">
        <v>5.740261E-2</v>
      </c>
      <c r="U1202">
        <v>4.5806880000000001E-2</v>
      </c>
      <c r="V1202">
        <v>-1.2926780000000001E-2</v>
      </c>
      <c r="W1202">
        <v>-6.3867419999999994E-2</v>
      </c>
      <c r="X1202">
        <v>0.9978747</v>
      </c>
      <c r="Y1202">
        <v>-3.7222919999999999E-3</v>
      </c>
      <c r="Z1202">
        <v>2.7425859999999998E-4</v>
      </c>
      <c r="AA1202">
        <v>0.99999300000000002</v>
      </c>
      <c r="AB1202">
        <v>38</v>
      </c>
      <c r="AC1202">
        <v>108.3185</v>
      </c>
      <c r="AD1202">
        <v>2.0688680000000002</v>
      </c>
      <c r="AE1202">
        <v>1.6485000000000101</v>
      </c>
      <c r="AF1202">
        <v>-0.40356431702098799</v>
      </c>
      <c r="AG1202">
        <v>2.0688680000000002</v>
      </c>
      <c r="AH1202">
        <v>108.29079546158999</v>
      </c>
      <c r="AI1202">
        <v>88.905519505180806</v>
      </c>
      <c r="AJ1202">
        <v>90.213521610836196</v>
      </c>
      <c r="AK1202">
        <v>108.31130809229199</v>
      </c>
      <c r="AL1202">
        <v>93.661825837036005</v>
      </c>
      <c r="AM1202">
        <v>90.742185877987595</v>
      </c>
      <c r="AN1202">
        <v>1.0000000329393499</v>
      </c>
    </row>
    <row r="1203" spans="1:40" x14ac:dyDescent="0.25">
      <c r="A1203" t="str">
        <f>"20190303153801088"</f>
        <v>20190303153801088</v>
      </c>
      <c r="B1203" t="str">
        <f>"1551598681079562"</f>
        <v>1551598681079562</v>
      </c>
      <c r="C1203" t="s">
        <v>40</v>
      </c>
      <c r="D1203">
        <v>4.2323269999999997</v>
      </c>
      <c r="E1203">
        <v>0.50372510000000004</v>
      </c>
      <c r="F1203" t="s">
        <v>41</v>
      </c>
      <c r="G1203">
        <v>-158.78319999999999</v>
      </c>
      <c r="H1203">
        <v>3.1770559999999999</v>
      </c>
      <c r="I1203">
        <v>368.66180000000003</v>
      </c>
      <c r="J1203">
        <v>-266.91570000000002</v>
      </c>
      <c r="K1203">
        <v>1.1197079999999999</v>
      </c>
      <c r="L1203">
        <v>367.02730000000003</v>
      </c>
      <c r="M1203">
        <v>0.99991059999999998</v>
      </c>
      <c r="N1203">
        <v>-6.7689859999999899E-3</v>
      </c>
      <c r="O1203">
        <v>1.1534320000000001E-2</v>
      </c>
      <c r="P1203">
        <v>0.99720299999999995</v>
      </c>
      <c r="Q1203">
        <v>-7.0578959999999996E-2</v>
      </c>
      <c r="R1203">
        <v>2.4595100000000002E-2</v>
      </c>
      <c r="S1203">
        <v>3.0113219999999998</v>
      </c>
      <c r="T1203">
        <v>5.7198760000000001E-2</v>
      </c>
      <c r="U1203">
        <v>4.5501710000000001E-2</v>
      </c>
      <c r="V1203">
        <v>-1.3078599999999999E-2</v>
      </c>
      <c r="W1203">
        <v>-6.382844E-2</v>
      </c>
      <c r="X1203">
        <v>0.99787519999999996</v>
      </c>
      <c r="Y1203">
        <v>-3.5776269999999999E-3</v>
      </c>
      <c r="Z1203">
        <v>2.7525150000000002E-4</v>
      </c>
      <c r="AA1203">
        <v>0.99999360000000004</v>
      </c>
      <c r="AB1203">
        <v>38</v>
      </c>
      <c r="AC1203">
        <v>108.13249999999999</v>
      </c>
      <c r="AD1203">
        <v>2.0573480000000002</v>
      </c>
      <c r="AE1203">
        <v>1.6345000000000001</v>
      </c>
      <c r="AF1203">
        <v>-0.386987818433565</v>
      </c>
      <c r="AG1203">
        <v>2.0573480000000002</v>
      </c>
      <c r="AH1203">
        <v>108.105035121904</v>
      </c>
      <c r="AI1203">
        <v>88.909742044456294</v>
      </c>
      <c r="AJ1203">
        <v>90.205103064660406</v>
      </c>
      <c r="AK1203">
        <v>108.12530258488501</v>
      </c>
      <c r="AL1203">
        <v>93.659587939238307</v>
      </c>
      <c r="AM1203">
        <v>90.750901193769494</v>
      </c>
      <c r="AN1203">
        <v>1.00000001715291</v>
      </c>
    </row>
    <row r="1204" spans="1:40" x14ac:dyDescent="0.25">
      <c r="A1204" t="str">
        <f>"20190303153801100"</f>
        <v>20190303153801100</v>
      </c>
      <c r="B1204" t="str">
        <f>"1551598681090299"</f>
        <v>1551598681090299</v>
      </c>
      <c r="C1204" t="s">
        <v>40</v>
      </c>
      <c r="D1204">
        <v>4.2465250000000001</v>
      </c>
      <c r="E1204">
        <v>0.50376209999999999</v>
      </c>
      <c r="F1204" t="s">
        <v>41</v>
      </c>
      <c r="G1204">
        <v>-158.78319999999999</v>
      </c>
      <c r="H1204">
        <v>3.171176</v>
      </c>
      <c r="I1204">
        <v>368.68200000000002</v>
      </c>
      <c r="J1204">
        <v>-266.72859999999997</v>
      </c>
      <c r="K1204">
        <v>1.1197410000000001</v>
      </c>
      <c r="L1204">
        <v>367.02949999999998</v>
      </c>
      <c r="M1204">
        <v>0.99990999999999997</v>
      </c>
      <c r="N1204">
        <v>-6.783936E-3</v>
      </c>
      <c r="O1204">
        <v>1.15779E-2</v>
      </c>
      <c r="P1204">
        <v>0.99721599999999999</v>
      </c>
      <c r="Q1204">
        <v>-7.0452680000000004E-2</v>
      </c>
      <c r="R1204">
        <v>2.4431109999999999E-2</v>
      </c>
      <c r="S1204">
        <v>3.0112920000000001</v>
      </c>
      <c r="T1204">
        <v>5.7132009999999997E-2</v>
      </c>
      <c r="U1204">
        <v>4.6081539999999997E-2</v>
      </c>
      <c r="V1204">
        <v>-1.2871250000000001E-2</v>
      </c>
      <c r="W1204">
        <v>-6.3687090000000002E-2</v>
      </c>
      <c r="X1204">
        <v>0.99788690000000002</v>
      </c>
      <c r="Y1204">
        <v>-3.7267020000000001E-3</v>
      </c>
      <c r="Z1204">
        <v>2.7545009999999998E-4</v>
      </c>
      <c r="AA1204">
        <v>0.99999300000000002</v>
      </c>
      <c r="AB1204">
        <v>38</v>
      </c>
      <c r="AC1204">
        <v>107.945399999999</v>
      </c>
      <c r="AD1204">
        <v>2.0514349999999899</v>
      </c>
      <c r="AE1204">
        <v>1.6524999999999701</v>
      </c>
      <c r="AF1204">
        <v>-0.402434164917363</v>
      </c>
      <c r="AG1204">
        <v>2.0514349999999899</v>
      </c>
      <c r="AH1204">
        <v>107.91833009064599</v>
      </c>
      <c r="AI1204">
        <v>88.910995045462599</v>
      </c>
      <c r="AJ1204">
        <v>90.213658534962406</v>
      </c>
      <c r="AK1204">
        <v>107.93857655338</v>
      </c>
      <c r="AL1204">
        <v>93.651472769470502</v>
      </c>
      <c r="AM1204">
        <v>90.738988965832604</v>
      </c>
      <c r="AN1204">
        <v>0.99999998985042005</v>
      </c>
    </row>
    <row r="1205" spans="1:40" x14ac:dyDescent="0.25">
      <c r="A1205" t="str">
        <f>"20190303153801112"</f>
        <v>20190303153801112</v>
      </c>
      <c r="B1205" t="str">
        <f>"1551598681100058"</f>
        <v>1551598681100058</v>
      </c>
      <c r="C1205" t="s">
        <v>40</v>
      </c>
      <c r="D1205">
        <v>4.2446989999999998</v>
      </c>
      <c r="E1205">
        <v>0.50380190000000002</v>
      </c>
      <c r="F1205" t="s">
        <v>41</v>
      </c>
      <c r="G1205">
        <v>-158.78319999999999</v>
      </c>
      <c r="H1205">
        <v>3.1779289999999998</v>
      </c>
      <c r="I1205">
        <v>368.64749999999998</v>
      </c>
      <c r="J1205">
        <v>-266.52800000000002</v>
      </c>
      <c r="K1205">
        <v>1.1197779999999999</v>
      </c>
      <c r="L1205">
        <v>367.03179999999998</v>
      </c>
      <c r="M1205">
        <v>0.9999093</v>
      </c>
      <c r="N1205">
        <v>-6.8192890000000001E-3</v>
      </c>
      <c r="O1205">
        <v>1.162415E-2</v>
      </c>
      <c r="P1205">
        <v>0.99721289999999996</v>
      </c>
      <c r="Q1205">
        <v>-7.051027E-2</v>
      </c>
      <c r="R1205">
        <v>2.439525E-2</v>
      </c>
      <c r="S1205">
        <v>3.0112920000000001</v>
      </c>
      <c r="T1205">
        <v>5.7418469999999999E-2</v>
      </c>
      <c r="U1205">
        <v>4.5135500000000002E-2</v>
      </c>
      <c r="V1205">
        <v>-1.2789389999999999E-2</v>
      </c>
      <c r="W1205">
        <v>-6.3709390000000005E-2</v>
      </c>
      <c r="X1205">
        <v>0.99788650000000001</v>
      </c>
      <c r="Y1205">
        <v>-3.366445E-3</v>
      </c>
      <c r="Z1205">
        <v>2.8025229999999998E-4</v>
      </c>
      <c r="AA1205">
        <v>0.9999943</v>
      </c>
      <c r="AB1205">
        <v>38</v>
      </c>
      <c r="AC1205">
        <v>107.7448</v>
      </c>
      <c r="AD1205">
        <v>2.0581509999999898</v>
      </c>
      <c r="AE1205">
        <v>1.6156999999999999</v>
      </c>
      <c r="AF1205">
        <v>-0.36298771936530699</v>
      </c>
      <c r="AG1205">
        <v>2.0581509999999898</v>
      </c>
      <c r="AH1205">
        <v>107.717005695834</v>
      </c>
      <c r="AI1205">
        <v>88.905387793127304</v>
      </c>
      <c r="AJ1205">
        <v>90.193076157999599</v>
      </c>
      <c r="AK1205">
        <v>107.737277957537</v>
      </c>
      <c r="AL1205">
        <v>93.6527531713634</v>
      </c>
      <c r="AM1205">
        <v>90.734289872591901</v>
      </c>
      <c r="AN1205">
        <v>0.99999996087649601</v>
      </c>
    </row>
    <row r="1206" spans="1:40" x14ac:dyDescent="0.25">
      <c r="A1206" t="str">
        <f>"20190303153801124"</f>
        <v>20190303153801124</v>
      </c>
      <c r="B1206" t="str">
        <f>"1551598681119578"</f>
        <v>1551598681119578</v>
      </c>
      <c r="C1206" t="s">
        <v>40</v>
      </c>
      <c r="D1206">
        <v>4.251404</v>
      </c>
      <c r="E1206">
        <v>0.50384859999999998</v>
      </c>
      <c r="F1206" t="s">
        <v>41</v>
      </c>
      <c r="G1206">
        <v>-158.78319999999999</v>
      </c>
      <c r="H1206">
        <v>3.16221</v>
      </c>
      <c r="I1206">
        <v>368.63260000000002</v>
      </c>
      <c r="J1206">
        <v>-266.32560000000001</v>
      </c>
      <c r="K1206">
        <v>1.119828</v>
      </c>
      <c r="L1206">
        <v>367.0342</v>
      </c>
      <c r="M1206">
        <v>0.99990800000000002</v>
      </c>
      <c r="N1206">
        <v>-6.9156080000000002E-3</v>
      </c>
      <c r="O1206">
        <v>1.167025E-2</v>
      </c>
      <c r="P1206">
        <v>0.99720779999999998</v>
      </c>
      <c r="Q1206">
        <v>-7.0606589999999997E-2</v>
      </c>
      <c r="R1206">
        <v>2.4315570000000002E-2</v>
      </c>
      <c r="S1206">
        <v>3.0113219999999998</v>
      </c>
      <c r="T1206">
        <v>5.7085629999999998E-2</v>
      </c>
      <c r="U1206">
        <v>4.4738769999999997E-2</v>
      </c>
      <c r="V1206">
        <v>-1.2663300000000001E-2</v>
      </c>
      <c r="W1206">
        <v>-6.370961E-2</v>
      </c>
      <c r="X1206">
        <v>0.99788809999999994</v>
      </c>
      <c r="Y1206">
        <v>-3.1884999999999999E-3</v>
      </c>
      <c r="Z1206">
        <v>2.826978E-4</v>
      </c>
      <c r="AA1206">
        <v>0.99999490000000002</v>
      </c>
      <c r="AB1206">
        <v>38</v>
      </c>
      <c r="AC1206">
        <v>107.5424</v>
      </c>
      <c r="AD1206">
        <v>2.0423819999999999</v>
      </c>
      <c r="AE1206">
        <v>1.59840000000002</v>
      </c>
      <c r="AF1206">
        <v>-0.343090739490997</v>
      </c>
      <c r="AG1206">
        <v>2.0423819999999999</v>
      </c>
      <c r="AH1206">
        <v>107.514960963078</v>
      </c>
      <c r="AI1206">
        <v>88.911730987824697</v>
      </c>
      <c r="AJ1206">
        <v>90.182835806867004</v>
      </c>
      <c r="AK1206">
        <v>107.53490533953</v>
      </c>
      <c r="AL1206">
        <v>93.652765780254896</v>
      </c>
      <c r="AM1206">
        <v>90.727050158308501</v>
      </c>
      <c r="AN1206">
        <v>0.99999996684742498</v>
      </c>
    </row>
    <row r="1207" spans="1:40" x14ac:dyDescent="0.25">
      <c r="A1207" t="str">
        <f>"20190303153801142"</f>
        <v>20190303153801142</v>
      </c>
      <c r="B1207" t="str">
        <f>"1551598681130314"</f>
        <v>1551598681130314</v>
      </c>
      <c r="C1207" t="s">
        <v>40</v>
      </c>
      <c r="D1207">
        <v>4.2694879999999999</v>
      </c>
      <c r="E1207">
        <v>0.50384859999999998</v>
      </c>
      <c r="F1207" t="s">
        <v>41</v>
      </c>
      <c r="G1207">
        <v>-158.78319999999999</v>
      </c>
      <c r="H1207">
        <v>3.1174629999999999</v>
      </c>
      <c r="I1207">
        <v>368.61559999999997</v>
      </c>
      <c r="J1207">
        <v>-266.02249999999998</v>
      </c>
      <c r="K1207">
        <v>1.119909</v>
      </c>
      <c r="L1207">
        <v>367.0378</v>
      </c>
      <c r="M1207">
        <v>0.99990559999999995</v>
      </c>
      <c r="N1207">
        <v>-7.1428180000000004E-3</v>
      </c>
      <c r="O1207">
        <v>1.173771E-2</v>
      </c>
      <c r="P1207">
        <v>0.99717690000000003</v>
      </c>
      <c r="Q1207">
        <v>-7.109269E-2</v>
      </c>
      <c r="R1207">
        <v>2.416898E-2</v>
      </c>
      <c r="S1207">
        <v>3.0112920000000001</v>
      </c>
      <c r="T1207">
        <v>5.5938120000000001E-2</v>
      </c>
      <c r="U1207">
        <v>4.4281010000000003E-2</v>
      </c>
      <c r="V1207">
        <v>-1.244992E-2</v>
      </c>
      <c r="W1207">
        <v>-6.3969120000000004E-2</v>
      </c>
      <c r="X1207">
        <v>0.99787420000000004</v>
      </c>
      <c r="Y1207">
        <v>-2.9692170000000001E-3</v>
      </c>
      <c r="Z1207">
        <v>2.8486329999999999E-4</v>
      </c>
      <c r="AA1207">
        <v>0.99999550000000004</v>
      </c>
      <c r="AB1207">
        <v>38</v>
      </c>
      <c r="AC1207">
        <v>107.2393</v>
      </c>
      <c r="AD1207">
        <v>1.9975540000000001</v>
      </c>
      <c r="AE1207">
        <v>1.5777999999999599</v>
      </c>
      <c r="AF1207">
        <v>-0.31880479582943799</v>
      </c>
      <c r="AG1207">
        <v>1.9975540000000001</v>
      </c>
      <c r="AH1207">
        <v>107.213240728385</v>
      </c>
      <c r="AI1207">
        <v>88.932616286035795</v>
      </c>
      <c r="AJ1207">
        <v>90.170371824682903</v>
      </c>
      <c r="AK1207">
        <v>107.23232183424599</v>
      </c>
      <c r="AL1207">
        <v>93.667664937435902</v>
      </c>
      <c r="AM1207">
        <v>90.714810406103595</v>
      </c>
      <c r="AN1207">
        <v>0.99999998392361</v>
      </c>
    </row>
    <row r="1208" spans="1:40" x14ac:dyDescent="0.25">
      <c r="A1208" t="str">
        <f>"20190303153801153"</f>
        <v>20190303153801153</v>
      </c>
      <c r="B1208" t="str">
        <f>"1551598681149834"</f>
        <v>1551598681149834</v>
      </c>
      <c r="C1208" t="s">
        <v>40</v>
      </c>
      <c r="D1208">
        <v>4.2663219999999997</v>
      </c>
      <c r="E1208">
        <v>0.50542319999999996</v>
      </c>
      <c r="F1208" t="s">
        <v>41</v>
      </c>
      <c r="G1208">
        <v>-158.78319999999999</v>
      </c>
      <c r="H1208">
        <v>3.0589170000000001</v>
      </c>
      <c r="I1208">
        <v>368.59840000000003</v>
      </c>
      <c r="J1208">
        <v>-265.83589999999998</v>
      </c>
      <c r="K1208">
        <v>1.1199680000000001</v>
      </c>
      <c r="L1208">
        <v>367.04</v>
      </c>
      <c r="M1208">
        <v>0.99990380000000001</v>
      </c>
      <c r="N1208">
        <v>-7.3332269999999899E-3</v>
      </c>
      <c r="O1208">
        <v>1.1777910000000001E-2</v>
      </c>
      <c r="P1208">
        <v>0.99715100000000001</v>
      </c>
      <c r="Q1208">
        <v>-7.1544819999999995E-2</v>
      </c>
      <c r="R1208">
        <v>2.3900560000000001E-2</v>
      </c>
      <c r="S1208">
        <v>3.0113219999999998</v>
      </c>
      <c r="T1208">
        <v>5.4450510000000001E-2</v>
      </c>
      <c r="U1208">
        <v>4.3823239999999999E-2</v>
      </c>
      <c r="V1208">
        <v>-1.2141849999999999E-2</v>
      </c>
      <c r="W1208">
        <v>-6.4231339999999998E-2</v>
      </c>
      <c r="X1208">
        <v>0.99786109999999995</v>
      </c>
      <c r="Y1208">
        <v>-2.776831E-3</v>
      </c>
      <c r="Z1208">
        <v>2.843713E-4</v>
      </c>
      <c r="AA1208">
        <v>0.99999610000000005</v>
      </c>
      <c r="AB1208">
        <v>38</v>
      </c>
      <c r="AC1208">
        <v>107.0527</v>
      </c>
      <c r="AD1208">
        <v>1.938949</v>
      </c>
      <c r="AE1208">
        <v>1.5584</v>
      </c>
      <c r="AF1208">
        <v>-0.297303487981533</v>
      </c>
      <c r="AG1208">
        <v>1.938949</v>
      </c>
      <c r="AH1208">
        <v>107.02852633550199</v>
      </c>
      <c r="AI1208">
        <v>88.9621363703653</v>
      </c>
      <c r="AJ1208">
        <v>90.159155618285695</v>
      </c>
      <c r="AK1208">
        <v>107.046500933649</v>
      </c>
      <c r="AL1208">
        <v>93.6827201889257</v>
      </c>
      <c r="AM1208">
        <v>90.697133529117494</v>
      </c>
      <c r="AN1208">
        <v>0.99999993222641104</v>
      </c>
    </row>
    <row r="1209" spans="1:40" x14ac:dyDescent="0.25">
      <c r="A1209" t="str">
        <f>"20190303153801164"</f>
        <v>20190303153801164</v>
      </c>
      <c r="B1209" t="str">
        <f>"1551598681160101"</f>
        <v>1551598681160101</v>
      </c>
      <c r="C1209" t="s">
        <v>40</v>
      </c>
      <c r="D1209">
        <v>4.2555909999999999</v>
      </c>
      <c r="E1209">
        <v>0.50537559999999904</v>
      </c>
      <c r="F1209" t="s">
        <v>41</v>
      </c>
      <c r="G1209">
        <v>-158.78319999999999</v>
      </c>
      <c r="H1209">
        <v>1.984518</v>
      </c>
      <c r="I1209">
        <v>368.10599999999999</v>
      </c>
      <c r="J1209">
        <v>-265.6361</v>
      </c>
      <c r="K1209">
        <v>1.1200399999999999</v>
      </c>
      <c r="L1209">
        <v>367.04239999999999</v>
      </c>
      <c r="M1209">
        <v>0.99990129999999999</v>
      </c>
      <c r="N1209">
        <v>-7.598629E-3</v>
      </c>
      <c r="O1209">
        <v>1.1819E-2</v>
      </c>
      <c r="P1209">
        <v>0.99710739999999998</v>
      </c>
      <c r="Q1209">
        <v>-7.2151060000000003E-2</v>
      </c>
      <c r="R1209">
        <v>2.390308E-2</v>
      </c>
      <c r="S1209">
        <v>3.0096129999999999</v>
      </c>
      <c r="T1209">
        <v>2.4307849999999999E-2</v>
      </c>
      <c r="U1209">
        <v>2.996826E-2</v>
      </c>
      <c r="V1209">
        <v>-1.2104E-2</v>
      </c>
      <c r="W1209">
        <v>-6.4573000000000005E-2</v>
      </c>
      <c r="X1209">
        <v>0.99783960000000005</v>
      </c>
      <c r="Y1209">
        <v>1.860977E-3</v>
      </c>
      <c r="Z1209">
        <v>1.857036E-4</v>
      </c>
      <c r="AA1209">
        <v>0.99999830000000001</v>
      </c>
      <c r="AB1209">
        <v>38</v>
      </c>
      <c r="AC1209">
        <v>106.85290000000001</v>
      </c>
      <c r="AD1209">
        <v>0.86447799999999997</v>
      </c>
      <c r="AE1209">
        <v>1.0636000000000001</v>
      </c>
      <c r="AF1209">
        <v>0.19939210580096201</v>
      </c>
      <c r="AG1209">
        <v>0.86447799999999997</v>
      </c>
      <c r="AH1209">
        <v>106.851014166694</v>
      </c>
      <c r="AI1209">
        <v>89.536459486367093</v>
      </c>
      <c r="AJ1209">
        <v>89.893081848974404</v>
      </c>
      <c r="AK1209">
        <v>106.854697172728</v>
      </c>
      <c r="AL1209">
        <v>93.702336252112303</v>
      </c>
      <c r="AM1209">
        <v>90.694975528660507</v>
      </c>
      <c r="AN1209">
        <v>1.00000002323657</v>
      </c>
    </row>
    <row r="1210" spans="1:40" x14ac:dyDescent="0.25">
      <c r="A1210" t="str">
        <f>"20190303153801175"</f>
        <v>20190303153801175</v>
      </c>
      <c r="B1210" t="str">
        <f>"1551598681169861"</f>
        <v>1551598681169861</v>
      </c>
      <c r="C1210" t="s">
        <v>40</v>
      </c>
      <c r="D1210">
        <v>4.2705010000000003</v>
      </c>
      <c r="E1210">
        <v>0.50524740000000001</v>
      </c>
      <c r="F1210" t="s">
        <v>41</v>
      </c>
      <c r="G1210">
        <v>-158.78319999999999</v>
      </c>
      <c r="H1210">
        <v>1.945049</v>
      </c>
      <c r="I1210">
        <v>368.1259</v>
      </c>
      <c r="J1210">
        <v>-265.4538</v>
      </c>
      <c r="K1210">
        <v>1.120106</v>
      </c>
      <c r="L1210">
        <v>367.0446</v>
      </c>
      <c r="M1210">
        <v>0.99989879999999998</v>
      </c>
      <c r="N1210">
        <v>-7.8782509999999993E-3</v>
      </c>
      <c r="O1210">
        <v>1.185427E-2</v>
      </c>
      <c r="P1210">
        <v>0.99706969999999995</v>
      </c>
      <c r="Q1210">
        <v>-7.269465E-2</v>
      </c>
      <c r="R1210">
        <v>2.3835479999999999E-2</v>
      </c>
      <c r="S1210">
        <v>3.0096440000000002</v>
      </c>
      <c r="T1210">
        <v>2.3239849999999999E-2</v>
      </c>
      <c r="U1210">
        <v>3.0517579999999999E-2</v>
      </c>
      <c r="V1210">
        <v>-1.200244E-2</v>
      </c>
      <c r="W1210">
        <v>-6.4837770000000003E-2</v>
      </c>
      <c r="X1210">
        <v>0.99782369999999998</v>
      </c>
      <c r="Y1210">
        <v>1.713893E-3</v>
      </c>
      <c r="Z1210">
        <v>1.8478519999999999E-4</v>
      </c>
      <c r="AA1210">
        <v>0.99999850000000001</v>
      </c>
      <c r="AB1210">
        <v>38</v>
      </c>
      <c r="AC1210">
        <v>106.67059999999999</v>
      </c>
      <c r="AD1210">
        <v>0.82494299999999998</v>
      </c>
      <c r="AE1210">
        <v>1.0812999999999899</v>
      </c>
      <c r="AF1210">
        <v>0.183306229633621</v>
      </c>
      <c r="AG1210">
        <v>0.82494299999999998</v>
      </c>
      <c r="AH1210">
        <v>106.669543793206</v>
      </c>
      <c r="AI1210">
        <v>89.556905012434299</v>
      </c>
      <c r="AJ1210">
        <v>89.9015401903427</v>
      </c>
      <c r="AK1210">
        <v>106.672891144741</v>
      </c>
      <c r="AL1210">
        <v>93.717538154786197</v>
      </c>
      <c r="AM1210">
        <v>90.689155801800496</v>
      </c>
      <c r="AN1210">
        <v>1.0000000656331001</v>
      </c>
    </row>
    <row r="1211" spans="1:40" x14ac:dyDescent="0.25">
      <c r="A1211" t="str">
        <f>"20190303153801187"</f>
        <v>20190303153801187</v>
      </c>
      <c r="B1211" t="str">
        <f>"1551598681179621"</f>
        <v>1551598681179621</v>
      </c>
      <c r="C1211" t="s">
        <v>40</v>
      </c>
      <c r="D1211">
        <v>4.2563550000000001</v>
      </c>
      <c r="E1211">
        <v>0.50522820000000002</v>
      </c>
      <c r="F1211" t="s">
        <v>41</v>
      </c>
      <c r="G1211">
        <v>-158.78319999999999</v>
      </c>
      <c r="H1211">
        <v>1.8394619999999999</v>
      </c>
      <c r="I1211">
        <v>368.14679999999998</v>
      </c>
      <c r="J1211">
        <v>-265.25540000000001</v>
      </c>
      <c r="K1211">
        <v>1.1201810000000001</v>
      </c>
      <c r="L1211">
        <v>367.04700000000003</v>
      </c>
      <c r="M1211">
        <v>0.9998956</v>
      </c>
      <c r="N1211">
        <v>-8.2106579999999992E-3</v>
      </c>
      <c r="O1211">
        <v>1.189131E-2</v>
      </c>
      <c r="P1211">
        <v>0.99702299999999999</v>
      </c>
      <c r="Q1211">
        <v>-7.3343699999999998E-2</v>
      </c>
      <c r="R1211">
        <v>2.3780539999999999E-2</v>
      </c>
      <c r="S1211">
        <v>3.0095519999999998</v>
      </c>
      <c r="T1211">
        <v>2.0298E-2</v>
      </c>
      <c r="U1211">
        <v>3.1097409999999999E-2</v>
      </c>
      <c r="V1211">
        <v>-1.1910840000000001E-2</v>
      </c>
      <c r="W1211">
        <v>-6.5155439999999995E-2</v>
      </c>
      <c r="X1211">
        <v>0.99780400000000002</v>
      </c>
      <c r="Y1211">
        <v>1.558135E-3</v>
      </c>
      <c r="Z1211">
        <v>1.766882E-4</v>
      </c>
      <c r="AA1211">
        <v>0.99999870000000002</v>
      </c>
      <c r="AB1211">
        <v>38</v>
      </c>
      <c r="AC1211">
        <v>106.4722</v>
      </c>
      <c r="AD1211">
        <v>0.71928099999999995</v>
      </c>
      <c r="AE1211">
        <v>1.0998000000000101</v>
      </c>
      <c r="AF1211">
        <v>0.16640676915386601</v>
      </c>
      <c r="AG1211">
        <v>0.71928099999999995</v>
      </c>
      <c r="AH1211">
        <v>106.47289130185</v>
      </c>
      <c r="AI1211">
        <v>89.612942901837698</v>
      </c>
      <c r="AJ1211">
        <v>89.9104523444866</v>
      </c>
      <c r="AK1211">
        <v>106.47545087270299</v>
      </c>
      <c r="AL1211">
        <v>93.735778263748699</v>
      </c>
      <c r="AM1211">
        <v>90.683910317878599</v>
      </c>
      <c r="AN1211">
        <v>0.99999996094354804</v>
      </c>
    </row>
    <row r="1212" spans="1:40" x14ac:dyDescent="0.25">
      <c r="A1212" t="str">
        <f>"20190303153801198"</f>
        <v>20190303153801198</v>
      </c>
      <c r="B1212" t="str">
        <f>"1551598681190357"</f>
        <v>1551598681190357</v>
      </c>
      <c r="C1212" t="s">
        <v>40</v>
      </c>
      <c r="D1212">
        <v>4.2610910000000004</v>
      </c>
      <c r="E1212">
        <v>0.50521079999999996</v>
      </c>
      <c r="F1212" t="s">
        <v>41</v>
      </c>
      <c r="G1212">
        <v>-158.78319999999999</v>
      </c>
      <c r="H1212">
        <v>1.84141</v>
      </c>
      <c r="I1212">
        <v>368.14060000000001</v>
      </c>
      <c r="J1212">
        <v>-265.07100000000003</v>
      </c>
      <c r="K1212">
        <v>1.120244</v>
      </c>
      <c r="L1212">
        <v>367.04919999999998</v>
      </c>
      <c r="M1212">
        <v>0.99989260000000002</v>
      </c>
      <c r="N1212">
        <v>-8.5381850000000002E-3</v>
      </c>
      <c r="O1212">
        <v>1.192139E-2</v>
      </c>
      <c r="P1212">
        <v>0.99699530000000003</v>
      </c>
      <c r="Q1212">
        <v>-7.378171E-2</v>
      </c>
      <c r="R1212">
        <v>2.36011E-2</v>
      </c>
      <c r="S1212">
        <v>3.0097049999999999</v>
      </c>
      <c r="T1212">
        <v>2.03898E-2</v>
      </c>
      <c r="U1212">
        <v>3.091431E-2</v>
      </c>
      <c r="V1212">
        <v>-1.170236E-2</v>
      </c>
      <c r="W1212">
        <v>-6.5266690000000002E-2</v>
      </c>
      <c r="X1212">
        <v>0.9977992</v>
      </c>
      <c r="Y1212">
        <v>1.649534E-3</v>
      </c>
      <c r="Z1212">
        <v>1.810898E-4</v>
      </c>
      <c r="AA1212">
        <v>0.99999859999999896</v>
      </c>
      <c r="AB1212">
        <v>38</v>
      </c>
      <c r="AC1212">
        <v>106.287799999999</v>
      </c>
      <c r="AD1212">
        <v>0.72116599999999897</v>
      </c>
      <c r="AE1212">
        <v>1.0914000000000199</v>
      </c>
      <c r="AF1212">
        <v>0.17581382788791999</v>
      </c>
      <c r="AG1212">
        <v>0.72116599999999897</v>
      </c>
      <c r="AH1212">
        <v>106.28836523023099</v>
      </c>
      <c r="AI1212">
        <v>89.611254934032701</v>
      </c>
      <c r="AJ1212">
        <v>89.905225928455195</v>
      </c>
      <c r="AK1212">
        <v>106.29095716107101</v>
      </c>
      <c r="AL1212">
        <v>93.742166001443593</v>
      </c>
      <c r="AM1212">
        <v>90.671943912807905</v>
      </c>
      <c r="AN1212">
        <v>0.99999996478688202</v>
      </c>
    </row>
    <row r="1213" spans="1:40" x14ac:dyDescent="0.25">
      <c r="A1213" t="str">
        <f>"20190303153801209"</f>
        <v>20190303153801209</v>
      </c>
      <c r="B1213" t="str">
        <f>"1551598681200118"</f>
        <v>1551598681200118</v>
      </c>
      <c r="C1213" t="s">
        <v>40</v>
      </c>
      <c r="D1213">
        <v>4.2800349999999998</v>
      </c>
      <c r="E1213">
        <v>0.50532330000000003</v>
      </c>
      <c r="F1213" t="s">
        <v>41</v>
      </c>
      <c r="G1213">
        <v>-158.78319999999999</v>
      </c>
      <c r="H1213">
        <v>1.756786</v>
      </c>
      <c r="I1213">
        <v>368.13339999999999</v>
      </c>
      <c r="J1213">
        <v>-264.87479999999999</v>
      </c>
      <c r="K1213">
        <v>1.1203080000000001</v>
      </c>
      <c r="L1213">
        <v>367.05149999999998</v>
      </c>
      <c r="M1213">
        <v>0.99988920000000003</v>
      </c>
      <c r="N1213">
        <v>-8.8900679999999992E-3</v>
      </c>
      <c r="O1213">
        <v>1.195236E-2</v>
      </c>
      <c r="P1213">
        <v>0.99696680000000004</v>
      </c>
      <c r="Q1213">
        <v>-7.4188009999999999E-2</v>
      </c>
      <c r="R1213">
        <v>2.353589E-2</v>
      </c>
      <c r="S1213">
        <v>3.0096129999999999</v>
      </c>
      <c r="T1213">
        <v>1.8026589999999999E-2</v>
      </c>
      <c r="U1213">
        <v>3.0700680000000001E-2</v>
      </c>
      <c r="V1213">
        <v>-1.160716E-2</v>
      </c>
      <c r="W1213">
        <v>-6.5321939999999995E-2</v>
      </c>
      <c r="X1213">
        <v>0.99779669999999998</v>
      </c>
      <c r="Y1213">
        <v>1.7512889999999901E-3</v>
      </c>
      <c r="Z1213">
        <v>1.753034E-4</v>
      </c>
      <c r="AA1213">
        <v>0.99999850000000001</v>
      </c>
      <c r="AB1213">
        <v>38</v>
      </c>
      <c r="AC1213">
        <v>106.0916</v>
      </c>
      <c r="AD1213">
        <v>0.63647799999999899</v>
      </c>
      <c r="AE1213">
        <v>1.0819000000000101</v>
      </c>
      <c r="AF1213">
        <v>0.186265499982643</v>
      </c>
      <c r="AG1213">
        <v>0.63647799999999899</v>
      </c>
      <c r="AH1213">
        <v>106.093134738206</v>
      </c>
      <c r="AI1213">
        <v>89.656273617028106</v>
      </c>
      <c r="AJ1213">
        <v>89.899407100385304</v>
      </c>
      <c r="AK1213">
        <v>106.095207420789</v>
      </c>
      <c r="AL1213">
        <v>93.745338349974006</v>
      </c>
      <c r="AM1213">
        <v>90.666479739180005</v>
      </c>
      <c r="AN1213">
        <v>0.99999996826975901</v>
      </c>
    </row>
    <row r="1214" spans="1:40" x14ac:dyDescent="0.25">
      <c r="A1214" t="str">
        <f>"20190303153801221"</f>
        <v>20190303153801221</v>
      </c>
      <c r="B1214" t="str">
        <f>"1551598681209877"</f>
        <v>1551598681209877</v>
      </c>
      <c r="C1214" t="s">
        <v>40</v>
      </c>
      <c r="D1214">
        <v>4.2566790000000001</v>
      </c>
      <c r="E1214">
        <v>0.5052738</v>
      </c>
      <c r="F1214" t="s">
        <v>41</v>
      </c>
      <c r="G1214">
        <v>-158.78319999999999</v>
      </c>
      <c r="H1214">
        <v>1.776033</v>
      </c>
      <c r="I1214">
        <v>368.09280000000001</v>
      </c>
      <c r="J1214">
        <v>-264.67430000000002</v>
      </c>
      <c r="K1214">
        <v>1.1203609999999999</v>
      </c>
      <c r="L1214">
        <v>367.05399999999997</v>
      </c>
      <c r="M1214">
        <v>0.99988560000000004</v>
      </c>
      <c r="N1214">
        <v>-9.2431000000000006E-3</v>
      </c>
      <c r="O1214">
        <v>1.197901E-2</v>
      </c>
      <c r="P1214">
        <v>0.99692919999999996</v>
      </c>
      <c r="Q1214">
        <v>-7.4657429999999997E-2</v>
      </c>
      <c r="R1214">
        <v>2.3639E-2</v>
      </c>
      <c r="S1214">
        <v>3.0097960000000001</v>
      </c>
      <c r="T1214">
        <v>1.860523E-2</v>
      </c>
      <c r="U1214">
        <v>2.9541020000000001E-2</v>
      </c>
      <c r="V1214">
        <v>-1.16851E-2</v>
      </c>
      <c r="W1214">
        <v>-6.5439269999999994E-2</v>
      </c>
      <c r="X1214">
        <v>0.99778809999999996</v>
      </c>
      <c r="Y1214">
        <v>2.1637620000000001E-3</v>
      </c>
      <c r="Z1214">
        <v>1.814551E-4</v>
      </c>
      <c r="AA1214">
        <v>0.99999760000000004</v>
      </c>
      <c r="AB1214">
        <v>38</v>
      </c>
      <c r="AC1214">
        <v>105.89109999999999</v>
      </c>
      <c r="AD1214">
        <v>0.65567200000000003</v>
      </c>
      <c r="AE1214">
        <v>1.03879999999998</v>
      </c>
      <c r="AF1214">
        <v>0.229790375192088</v>
      </c>
      <c r="AG1214">
        <v>0.65567200000000003</v>
      </c>
      <c r="AH1214">
        <v>105.891886369688</v>
      </c>
      <c r="AI1214">
        <v>89.645235616354796</v>
      </c>
      <c r="AJ1214">
        <v>89.875665658097603</v>
      </c>
      <c r="AK1214">
        <v>105.894165600939</v>
      </c>
      <c r="AL1214">
        <v>93.752075286638799</v>
      </c>
      <c r="AM1214">
        <v>90.6709604059387</v>
      </c>
      <c r="AN1214">
        <v>0.99999996606087505</v>
      </c>
    </row>
    <row r="1215" spans="1:40" x14ac:dyDescent="0.25">
      <c r="A1215" t="str">
        <f>"20190303153801236"</f>
        <v>20190303153801236</v>
      </c>
      <c r="B1215" t="str">
        <f>"1551598681230373"</f>
        <v>1551598681230373</v>
      </c>
      <c r="C1215" t="s">
        <v>40</v>
      </c>
      <c r="D1215">
        <v>4.2499330000000004</v>
      </c>
      <c r="E1215">
        <v>0.50535140000000001</v>
      </c>
      <c r="F1215" t="s">
        <v>41</v>
      </c>
      <c r="G1215">
        <v>-158.78319999999999</v>
      </c>
      <c r="H1215">
        <v>1.7174860000000001</v>
      </c>
      <c r="I1215">
        <v>368.12119999999999</v>
      </c>
      <c r="J1215">
        <v>-264.45190000000002</v>
      </c>
      <c r="K1215">
        <v>1.120412</v>
      </c>
      <c r="L1215">
        <v>367.0566</v>
      </c>
      <c r="M1215">
        <v>0.99988169999999998</v>
      </c>
      <c r="N1215">
        <v>-9.6242729999999992E-3</v>
      </c>
      <c r="O1215">
        <v>1.200526E-2</v>
      </c>
      <c r="P1215">
        <v>0.99691719999999895</v>
      </c>
      <c r="Q1215">
        <v>-7.4842969999999995E-2</v>
      </c>
      <c r="R1215">
        <v>2.354763E-2</v>
      </c>
      <c r="S1215">
        <v>3.009827</v>
      </c>
      <c r="T1215">
        <v>1.6975049999999998E-2</v>
      </c>
      <c r="U1215">
        <v>3.0334469999999999E-2</v>
      </c>
      <c r="V1215">
        <v>-1.156868E-2</v>
      </c>
      <c r="W1215">
        <v>-6.5244350000000007E-2</v>
      </c>
      <c r="X1215">
        <v>0.99780230000000003</v>
      </c>
      <c r="Y1215">
        <v>1.926592E-3</v>
      </c>
      <c r="Z1215">
        <v>1.7940799999999999E-4</v>
      </c>
      <c r="AA1215">
        <v>0.99999819999999995</v>
      </c>
      <c r="AB1215">
        <v>38</v>
      </c>
      <c r="AC1215">
        <v>105.6687</v>
      </c>
      <c r="AD1215">
        <v>0.59707399999999899</v>
      </c>
      <c r="AE1215">
        <v>1.06459999999998</v>
      </c>
      <c r="AF1215">
        <v>0.20410907998594299</v>
      </c>
      <c r="AG1215">
        <v>0.59707399999999899</v>
      </c>
      <c r="AH1215">
        <v>105.6704921525</v>
      </c>
      <c r="AI1215">
        <v>89.676263527428006</v>
      </c>
      <c r="AJ1215">
        <v>89.889329801901994</v>
      </c>
      <c r="AK1215">
        <v>105.672376095315</v>
      </c>
      <c r="AL1215">
        <v>93.740882980210998</v>
      </c>
      <c r="AM1215">
        <v>90.664266699354997</v>
      </c>
      <c r="AN1215">
        <v>1.00000004472457</v>
      </c>
    </row>
    <row r="1216" spans="1:40" x14ac:dyDescent="0.25">
      <c r="A1216" t="str">
        <f>"20190303153801248"</f>
        <v>20190303153801248</v>
      </c>
      <c r="B1216" t="str">
        <f>"1551598681240134"</f>
        <v>1551598681240134</v>
      </c>
      <c r="C1216" t="s">
        <v>40</v>
      </c>
      <c r="D1216">
        <v>4.2597040000000002</v>
      </c>
      <c r="E1216">
        <v>0.5053588</v>
      </c>
      <c r="F1216" t="s">
        <v>41</v>
      </c>
      <c r="G1216">
        <v>-158.78319999999999</v>
      </c>
      <c r="H1216">
        <v>1.730329</v>
      </c>
      <c r="I1216">
        <v>368.08620000000002</v>
      </c>
      <c r="J1216">
        <v>-264.22269999999997</v>
      </c>
      <c r="K1216">
        <v>1.120457</v>
      </c>
      <c r="L1216">
        <v>367.05939999999998</v>
      </c>
      <c r="M1216">
        <v>0.99987780000000004</v>
      </c>
      <c r="N1216">
        <v>-1.0004290000000001E-2</v>
      </c>
      <c r="O1216">
        <v>1.202809E-2</v>
      </c>
      <c r="P1216">
        <v>0.99689479999999997</v>
      </c>
      <c r="Q1216">
        <v>-7.5182120000000005E-2</v>
      </c>
      <c r="R1216">
        <v>2.3425709999999999E-2</v>
      </c>
      <c r="S1216">
        <v>3.0098880000000001</v>
      </c>
      <c r="T1216">
        <v>1.737547E-2</v>
      </c>
      <c r="U1216">
        <v>2.9327389999999998E-2</v>
      </c>
      <c r="V1216">
        <v>-1.1425980000000001E-2</v>
      </c>
      <c r="W1216">
        <v>-6.5204219999999993E-2</v>
      </c>
      <c r="X1216">
        <v>0.99780650000000004</v>
      </c>
      <c r="Y1216">
        <v>2.2841369999999999E-3</v>
      </c>
      <c r="Z1216">
        <v>1.849318E-4</v>
      </c>
      <c r="AA1216">
        <v>0.99999740000000004</v>
      </c>
      <c r="AB1216">
        <v>38</v>
      </c>
      <c r="AC1216">
        <v>105.439499999999</v>
      </c>
      <c r="AD1216">
        <v>0.60987199999999997</v>
      </c>
      <c r="AE1216">
        <v>1.0268000000000299</v>
      </c>
      <c r="AF1216">
        <v>0.24156523348839401</v>
      </c>
      <c r="AG1216">
        <v>0.60987199999999997</v>
      </c>
      <c r="AH1216">
        <v>105.440695532327</v>
      </c>
      <c r="AI1216">
        <v>89.668604137126906</v>
      </c>
      <c r="AJ1216">
        <v>89.868735272742896</v>
      </c>
      <c r="AK1216">
        <v>105.44273598479499</v>
      </c>
      <c r="AL1216">
        <v>93.738579046333797</v>
      </c>
      <c r="AM1216">
        <v>90.656070909899299</v>
      </c>
      <c r="AN1216">
        <v>0.99999997738350899</v>
      </c>
    </row>
    <row r="1217" spans="1:40" x14ac:dyDescent="0.25">
      <c r="A1217" t="str">
        <f>"20190303153801261"</f>
        <v>20190303153801261</v>
      </c>
      <c r="B1217" t="str">
        <f>"1551598681249893"</f>
        <v>1551598681249893</v>
      </c>
      <c r="C1217" t="s">
        <v>40</v>
      </c>
      <c r="D1217">
        <v>4.2687629999999999</v>
      </c>
      <c r="E1217">
        <v>0.5054111</v>
      </c>
      <c r="F1217" t="s">
        <v>41</v>
      </c>
      <c r="G1217">
        <v>-158.78319999999999</v>
      </c>
      <c r="H1217">
        <v>1.67006699999999</v>
      </c>
      <c r="I1217">
        <v>368.07510000000002</v>
      </c>
      <c r="J1217">
        <v>-264.005</v>
      </c>
      <c r="K1217">
        <v>1.1204879999999999</v>
      </c>
      <c r="L1217">
        <v>367.06200000000001</v>
      </c>
      <c r="M1217">
        <v>0.99987400000000004</v>
      </c>
      <c r="N1217">
        <v>-1.0340780000000001E-2</v>
      </c>
      <c r="O1217">
        <v>1.204357E-2</v>
      </c>
      <c r="P1217">
        <v>0.9968863</v>
      </c>
      <c r="Q1217">
        <v>-7.5251299999999993E-2</v>
      </c>
      <c r="R1217">
        <v>2.355788E-2</v>
      </c>
      <c r="S1217">
        <v>3.009827</v>
      </c>
      <c r="T1217">
        <v>1.5691399999999901E-2</v>
      </c>
      <c r="U1217">
        <v>2.8991699999999999E-2</v>
      </c>
      <c r="V1217">
        <v>-1.1544169999999999E-2</v>
      </c>
      <c r="W1217">
        <v>-6.4937480000000006E-2</v>
      </c>
      <c r="X1217">
        <v>0.9978226</v>
      </c>
      <c r="Y1217">
        <v>2.4110249999999998E-3</v>
      </c>
      <c r="Z1217">
        <v>1.8114389999999999E-4</v>
      </c>
      <c r="AA1217">
        <v>0.99999709999999997</v>
      </c>
      <c r="AB1217">
        <v>38</v>
      </c>
      <c r="AC1217">
        <v>105.2218</v>
      </c>
      <c r="AD1217">
        <v>0.54957899999999904</v>
      </c>
      <c r="AE1217">
        <v>1.0131000000000601</v>
      </c>
      <c r="AF1217">
        <v>0.25428042489754599</v>
      </c>
      <c r="AG1217">
        <v>0.54957899999999904</v>
      </c>
      <c r="AH1217">
        <v>105.22349955631</v>
      </c>
      <c r="AI1217">
        <v>89.700749556174898</v>
      </c>
      <c r="AJ1217">
        <v>89.861540750303803</v>
      </c>
      <c r="AK1217">
        <v>105.225242002518</v>
      </c>
      <c r="AL1217">
        <v>93.723263267441695</v>
      </c>
      <c r="AM1217">
        <v>90.662845991286105</v>
      </c>
      <c r="AN1217">
        <v>1.00000004262024</v>
      </c>
    </row>
    <row r="1218" spans="1:40" x14ac:dyDescent="0.25">
      <c r="A1218" t="str">
        <f>"20190303153801277"</f>
        <v>20190303153801277</v>
      </c>
      <c r="B1218" t="str">
        <f>"1551598681270389"</f>
        <v>1551598681270389</v>
      </c>
      <c r="C1218" t="s">
        <v>40</v>
      </c>
      <c r="D1218">
        <v>4.2761420000000001</v>
      </c>
      <c r="E1218">
        <v>0.50543549999999904</v>
      </c>
      <c r="F1218" t="s">
        <v>41</v>
      </c>
      <c r="G1218">
        <v>-158.78319999999999</v>
      </c>
      <c r="H1218">
        <v>1.6993549999999999</v>
      </c>
      <c r="I1218">
        <v>368.08199999999999</v>
      </c>
      <c r="J1218">
        <v>-263.762</v>
      </c>
      <c r="K1218">
        <v>1.1205210000000001</v>
      </c>
      <c r="L1218">
        <v>367.065</v>
      </c>
      <c r="M1218">
        <v>0.99987020000000004</v>
      </c>
      <c r="N1218">
        <v>-1.070114E-2</v>
      </c>
      <c r="O1218">
        <v>1.205729E-2</v>
      </c>
      <c r="P1218">
        <v>0.99684039999999996</v>
      </c>
      <c r="Q1218">
        <v>-7.5838740000000002E-2</v>
      </c>
      <c r="R1218">
        <v>2.36181E-2</v>
      </c>
      <c r="S1218">
        <v>3.0099179999999999</v>
      </c>
      <c r="T1218">
        <v>1.6561269999999999E-2</v>
      </c>
      <c r="U1218">
        <v>2.9174800000000001E-2</v>
      </c>
      <c r="V1218">
        <v>-1.159253E-2</v>
      </c>
      <c r="W1218">
        <v>-6.5165570000000006E-2</v>
      </c>
      <c r="X1218">
        <v>0.99780709999999995</v>
      </c>
      <c r="Y1218">
        <v>2.3641370000000001E-3</v>
      </c>
      <c r="Z1218">
        <v>1.8922040000000001E-4</v>
      </c>
      <c r="AA1218">
        <v>0.99999720000000003</v>
      </c>
      <c r="AB1218">
        <v>38</v>
      </c>
      <c r="AC1218">
        <v>104.97880000000001</v>
      </c>
      <c r="AD1218">
        <v>0.57883399999999996</v>
      </c>
      <c r="AE1218">
        <v>1.0169999999999899</v>
      </c>
      <c r="AF1218">
        <v>0.24889848925578201</v>
      </c>
      <c r="AG1218">
        <v>0.57883399999999996</v>
      </c>
      <c r="AH1218">
        <v>104.980239668889</v>
      </c>
      <c r="AI1218">
        <v>89.684089919633195</v>
      </c>
      <c r="AJ1218">
        <v>89.864157232964999</v>
      </c>
      <c r="AK1218">
        <v>104.98213048035799</v>
      </c>
      <c r="AL1218">
        <v>93.736359859003102</v>
      </c>
      <c r="AM1218">
        <v>90.665632827239705</v>
      </c>
      <c r="AN1218">
        <v>0.999999973537817</v>
      </c>
    </row>
    <row r="1219" spans="1:40" x14ac:dyDescent="0.25">
      <c r="A1219" t="str">
        <f>"20190303153801289"</f>
        <v>20190303153801289</v>
      </c>
      <c r="B1219" t="str">
        <f>"1551598681280150"</f>
        <v>1551598681280150</v>
      </c>
      <c r="C1219" t="s">
        <v>40</v>
      </c>
      <c r="D1219">
        <v>4.2895699999999897</v>
      </c>
      <c r="E1219">
        <v>0.50545329999999999</v>
      </c>
      <c r="F1219" t="s">
        <v>41</v>
      </c>
      <c r="G1219">
        <v>-158.78319999999999</v>
      </c>
      <c r="H1219">
        <v>1.6393740000000001</v>
      </c>
      <c r="I1219">
        <v>368.0804</v>
      </c>
      <c r="J1219">
        <v>-263.54140000000001</v>
      </c>
      <c r="K1219">
        <v>1.1205449999999999</v>
      </c>
      <c r="L1219">
        <v>367.0677</v>
      </c>
      <c r="M1219">
        <v>0.99986660000000005</v>
      </c>
      <c r="N1219">
        <v>-1.101417E-2</v>
      </c>
      <c r="O1219">
        <v>1.2067059999999999E-2</v>
      </c>
      <c r="P1219">
        <v>0.99683670000000002</v>
      </c>
      <c r="Q1219">
        <v>-7.5862449999999998E-2</v>
      </c>
      <c r="R1219">
        <v>2.3703599999999998E-2</v>
      </c>
      <c r="S1219">
        <v>3.0099179999999999</v>
      </c>
      <c r="T1219">
        <v>1.4878870000000001E-2</v>
      </c>
      <c r="U1219">
        <v>2.9113770000000001E-2</v>
      </c>
      <c r="V1219">
        <v>-1.166888E-2</v>
      </c>
      <c r="W1219">
        <v>-6.487677E-2</v>
      </c>
      <c r="X1219">
        <v>0.99782510000000002</v>
      </c>
      <c r="Y1219">
        <v>2.3942680000000002E-3</v>
      </c>
      <c r="Z1219">
        <v>1.852899E-4</v>
      </c>
      <c r="AA1219">
        <v>0.99999709999999997</v>
      </c>
      <c r="AB1219">
        <v>38</v>
      </c>
      <c r="AC1219">
        <v>104.7582</v>
      </c>
      <c r="AD1219">
        <v>0.51882899999999998</v>
      </c>
      <c r="AE1219">
        <v>1.0126999999999899</v>
      </c>
      <c r="AF1219">
        <v>0.25156765089473299</v>
      </c>
      <c r="AG1219">
        <v>0.51882899999999998</v>
      </c>
      <c r="AH1219">
        <v>104.76022334354801</v>
      </c>
      <c r="AI1219">
        <v>89.716243605694004</v>
      </c>
      <c r="AJ1219">
        <v>89.862412120818206</v>
      </c>
      <c r="AK1219">
        <v>104.761810144748</v>
      </c>
      <c r="AL1219">
        <v>93.719777484810706</v>
      </c>
      <c r="AM1219">
        <v>90.670004292932006</v>
      </c>
      <c r="AN1219">
        <v>1.0000000441180401</v>
      </c>
    </row>
    <row r="1220" spans="1:40" x14ac:dyDescent="0.25">
      <c r="A1220" t="str">
        <f>"20190303153801301"</f>
        <v>20190303153801301</v>
      </c>
      <c r="B1220" t="str">
        <f>"1551598681289910"</f>
        <v>1551598681289910</v>
      </c>
      <c r="C1220" t="s">
        <v>40</v>
      </c>
      <c r="D1220">
        <v>4.2704950000000004</v>
      </c>
      <c r="E1220">
        <v>0.50552399999999997</v>
      </c>
      <c r="F1220" t="s">
        <v>41</v>
      </c>
      <c r="G1220">
        <v>-158.78319999999999</v>
      </c>
      <c r="H1220">
        <v>1.6317109999999999</v>
      </c>
      <c r="I1220">
        <v>368.08199999999999</v>
      </c>
      <c r="J1220">
        <v>-263.33199999999999</v>
      </c>
      <c r="K1220">
        <v>1.1205639999999999</v>
      </c>
      <c r="L1220">
        <v>367.0702</v>
      </c>
      <c r="M1220">
        <v>0.99986359999999996</v>
      </c>
      <c r="N1220">
        <v>-1.1286320000000001E-2</v>
      </c>
      <c r="O1220">
        <v>1.207249E-2</v>
      </c>
      <c r="P1220">
        <v>0.99681229999999998</v>
      </c>
      <c r="Q1220">
        <v>-7.6082839999999999E-2</v>
      </c>
      <c r="R1220">
        <v>2.402468E-2</v>
      </c>
      <c r="S1220">
        <v>3.0100099999999999</v>
      </c>
      <c r="T1220">
        <v>1.4689799999999999E-2</v>
      </c>
      <c r="U1220">
        <v>2.914429E-2</v>
      </c>
      <c r="V1220">
        <v>-1.19858E-2</v>
      </c>
      <c r="W1220">
        <v>-6.4825640000000004E-2</v>
      </c>
      <c r="X1220">
        <v>0.99782459999999995</v>
      </c>
      <c r="Y1220">
        <v>2.3898550000000002E-3</v>
      </c>
      <c r="Z1220">
        <v>1.8751529999999999E-4</v>
      </c>
      <c r="AA1220">
        <v>0.99999709999999997</v>
      </c>
      <c r="AB1220">
        <v>37</v>
      </c>
      <c r="AC1220">
        <v>104.5488</v>
      </c>
      <c r="AD1220">
        <v>0.51114700000000002</v>
      </c>
      <c r="AE1220">
        <v>1.01179999999999</v>
      </c>
      <c r="AF1220">
        <v>0.25051227755460997</v>
      </c>
      <c r="AG1220">
        <v>0.51114700000000002</v>
      </c>
      <c r="AH1220">
        <v>104.550896889987</v>
      </c>
      <c r="AI1220">
        <v>89.719885249377697</v>
      </c>
      <c r="AJ1220">
        <v>89.862715010786403</v>
      </c>
      <c r="AK1220">
        <v>104.552446495323</v>
      </c>
      <c r="AL1220">
        <v>93.716842019167899</v>
      </c>
      <c r="AM1220">
        <v>90.688199837979496</v>
      </c>
      <c r="AN1220">
        <v>0.99999997768410398</v>
      </c>
    </row>
    <row r="1221" spans="1:40" x14ac:dyDescent="0.25">
      <c r="A1221" t="str">
        <f>"20190303153801314"</f>
        <v>20190303153801314</v>
      </c>
      <c r="B1221" t="str">
        <f>"1551598681310406"</f>
        <v>1551598681310406</v>
      </c>
      <c r="C1221" t="s">
        <v>40</v>
      </c>
      <c r="D1221">
        <v>4.3014460000000003</v>
      </c>
      <c r="E1221">
        <v>0.50554600000000005</v>
      </c>
      <c r="F1221" t="s">
        <v>41</v>
      </c>
      <c r="G1221">
        <v>-158.78319999999999</v>
      </c>
      <c r="H1221">
        <v>1.6008100000000001</v>
      </c>
      <c r="I1221">
        <v>368.09100000000001</v>
      </c>
      <c r="J1221">
        <v>-263.1311</v>
      </c>
      <c r="K1221">
        <v>1.120579</v>
      </c>
      <c r="L1221">
        <v>367.07260000000002</v>
      </c>
      <c r="M1221">
        <v>0.99986059999999999</v>
      </c>
      <c r="N1221">
        <v>-1.1537739999999999E-2</v>
      </c>
      <c r="O1221">
        <v>1.207652E-2</v>
      </c>
      <c r="P1221">
        <v>0.99680809999999997</v>
      </c>
      <c r="Q1221">
        <v>-7.6026670000000005E-2</v>
      </c>
      <c r="R1221">
        <v>2.4369169999999999E-2</v>
      </c>
      <c r="S1221">
        <v>3.009979</v>
      </c>
      <c r="T1221">
        <v>1.382887E-2</v>
      </c>
      <c r="U1221">
        <v>2.938843E-2</v>
      </c>
      <c r="V1221">
        <v>-1.2326719999999999E-2</v>
      </c>
      <c r="W1221">
        <v>-6.4518469999999994E-2</v>
      </c>
      <c r="X1221">
        <v>0.99784039999999996</v>
      </c>
      <c r="Y1221">
        <v>2.312728E-3</v>
      </c>
      <c r="Z1221">
        <v>1.867894E-4</v>
      </c>
      <c r="AA1221">
        <v>0.99999729999999998</v>
      </c>
      <c r="AB1221">
        <v>37</v>
      </c>
      <c r="AC1221">
        <v>104.3479</v>
      </c>
      <c r="AD1221">
        <v>0.48023100000000002</v>
      </c>
      <c r="AE1221">
        <v>1.01839999999998</v>
      </c>
      <c r="AF1221">
        <v>0.241912423548267</v>
      </c>
      <c r="AG1221">
        <v>0.48023100000000002</v>
      </c>
      <c r="AH1221">
        <v>104.350379119458</v>
      </c>
      <c r="AI1221">
        <v>89.736321597123094</v>
      </c>
      <c r="AJ1221">
        <v>89.867173112666194</v>
      </c>
      <c r="AK1221">
        <v>104.35176455531899</v>
      </c>
      <c r="AL1221">
        <v>93.699205387657102</v>
      </c>
      <c r="AM1221">
        <v>90.707761589386806</v>
      </c>
      <c r="AN1221">
        <v>1.0000000224346199</v>
      </c>
    </row>
    <row r="1222" spans="1:40" x14ac:dyDescent="0.25">
      <c r="A1222" t="str">
        <f>"20190303153801324"</f>
        <v>20190303153801324</v>
      </c>
      <c r="B1222" t="str">
        <f>"1551598681320165"</f>
        <v>1551598681320165</v>
      </c>
      <c r="C1222" t="s">
        <v>40</v>
      </c>
      <c r="D1222">
        <v>4.2742820000000004</v>
      </c>
      <c r="E1222">
        <v>0.50559209999999999</v>
      </c>
      <c r="F1222" t="s">
        <v>41</v>
      </c>
      <c r="G1222">
        <v>-158.78319999999999</v>
      </c>
      <c r="H1222">
        <v>1.604676</v>
      </c>
      <c r="I1222">
        <v>368.12950000000001</v>
      </c>
      <c r="J1222">
        <v>-262.95639999999997</v>
      </c>
      <c r="K1222">
        <v>1.120592</v>
      </c>
      <c r="L1222">
        <v>367.07470000000001</v>
      </c>
      <c r="M1222">
        <v>0.99985809999999997</v>
      </c>
      <c r="N1222">
        <v>-1.1743190000000001E-2</v>
      </c>
      <c r="O1222">
        <v>1.2078129999999999E-2</v>
      </c>
      <c r="P1222">
        <v>0.9967857</v>
      </c>
      <c r="Q1222">
        <v>-7.6275839999999998E-2</v>
      </c>
      <c r="R1222">
        <v>2.4502989999999999E-2</v>
      </c>
      <c r="S1222">
        <v>3.0099179999999999</v>
      </c>
      <c r="T1222">
        <v>1.3966320000000001E-2</v>
      </c>
      <c r="U1222">
        <v>3.048706E-2</v>
      </c>
      <c r="V1222">
        <v>-1.246038E-2</v>
      </c>
      <c r="W1222">
        <v>-6.4562750000000002E-2</v>
      </c>
      <c r="X1222">
        <v>0.9978359</v>
      </c>
      <c r="Y1222">
        <v>1.9491479999999999E-3</v>
      </c>
      <c r="Z1222">
        <v>1.9095599999999999E-4</v>
      </c>
      <c r="AA1222">
        <v>0.9999981</v>
      </c>
      <c r="AB1222">
        <v>37</v>
      </c>
      <c r="AC1222">
        <v>104.173199999999</v>
      </c>
      <c r="AD1222">
        <v>0.48408400000000001</v>
      </c>
      <c r="AE1222">
        <v>1.0548</v>
      </c>
      <c r="AF1222">
        <v>0.20357676995370999</v>
      </c>
      <c r="AG1222">
        <v>0.48408400000000001</v>
      </c>
      <c r="AH1222">
        <v>104.17609177886899</v>
      </c>
      <c r="AI1222">
        <v>89.733761201144304</v>
      </c>
      <c r="AJ1222">
        <v>89.888035011884796</v>
      </c>
      <c r="AK1222">
        <v>104.177415398634</v>
      </c>
      <c r="AL1222">
        <v>93.701747655958101</v>
      </c>
      <c r="AM1222">
        <v>90.715438359948806</v>
      </c>
      <c r="AN1222">
        <v>1.0000000465430501</v>
      </c>
    </row>
    <row r="1223" spans="1:40" x14ac:dyDescent="0.25">
      <c r="A1223" t="str">
        <f>"20190303153801334"</f>
        <v>20190303153801334</v>
      </c>
      <c r="B1223" t="str">
        <f>"1551598681329925"</f>
        <v>1551598681329925</v>
      </c>
      <c r="C1223" t="s">
        <v>40</v>
      </c>
      <c r="D1223">
        <v>4.2799100000000001</v>
      </c>
      <c r="E1223">
        <v>0.50559339999999997</v>
      </c>
      <c r="F1223" t="s">
        <v>41</v>
      </c>
      <c r="G1223">
        <v>-158.78319999999999</v>
      </c>
      <c r="H1223">
        <v>1.579</v>
      </c>
      <c r="I1223">
        <v>368.12360000000001</v>
      </c>
      <c r="J1223">
        <v>-262.7826</v>
      </c>
      <c r="K1223">
        <v>1.1206020000000001</v>
      </c>
      <c r="L1223">
        <v>367.07679999999999</v>
      </c>
      <c r="M1223">
        <v>0.99985570000000001</v>
      </c>
      <c r="N1223">
        <v>-1.19366E-2</v>
      </c>
      <c r="O1223">
        <v>1.2078729999999999E-2</v>
      </c>
      <c r="P1223">
        <v>0.99676200000000004</v>
      </c>
      <c r="Q1223">
        <v>-7.6499360000000002E-2</v>
      </c>
      <c r="R1223">
        <v>2.47596E-2</v>
      </c>
      <c r="S1223">
        <v>3.0099490000000002</v>
      </c>
      <c r="T1223">
        <v>1.324761E-2</v>
      </c>
      <c r="U1223">
        <v>3.0303960000000001E-2</v>
      </c>
      <c r="V1223">
        <v>-1.271634E-2</v>
      </c>
      <c r="W1223">
        <v>-6.4593419999999999E-2</v>
      </c>
      <c r="X1223">
        <v>0.99783060000000001</v>
      </c>
      <c r="Y1223">
        <v>2.0107110000000001E-3</v>
      </c>
      <c r="Z1223">
        <v>1.897647E-4</v>
      </c>
      <c r="AA1223">
        <v>0.99999800000000005</v>
      </c>
      <c r="AB1223">
        <v>37</v>
      </c>
      <c r="AC1223">
        <v>103.99939999999999</v>
      </c>
      <c r="AD1223">
        <v>0.45839799999999897</v>
      </c>
      <c r="AE1223">
        <v>1.0468000000000099</v>
      </c>
      <c r="AF1223">
        <v>0.20954260541684899</v>
      </c>
      <c r="AG1223">
        <v>0.45839799999999897</v>
      </c>
      <c r="AH1223">
        <v>104.00243668919001</v>
      </c>
      <c r="AI1223">
        <v>89.7474669998834</v>
      </c>
      <c r="AJ1223">
        <v>89.884561448218307</v>
      </c>
      <c r="AK1223">
        <v>104.003657984318</v>
      </c>
      <c r="AL1223">
        <v>93.703508911279897</v>
      </c>
      <c r="AM1223">
        <v>90.730137132811393</v>
      </c>
      <c r="AN1223">
        <v>0.99999996075332498</v>
      </c>
    </row>
    <row r="1224" spans="1:40" x14ac:dyDescent="0.25">
      <c r="A1224" t="str">
        <f>"20190303153801346"</f>
        <v>20190303153801346</v>
      </c>
      <c r="B1224" t="str">
        <f>"1551598681339685"</f>
        <v>1551598681339685</v>
      </c>
      <c r="C1224" t="s">
        <v>40</v>
      </c>
      <c r="D1224">
        <v>4.2772620000000003</v>
      </c>
      <c r="E1224">
        <v>0.50564730000000002</v>
      </c>
      <c r="F1224" t="s">
        <v>41</v>
      </c>
      <c r="G1224">
        <v>-158.78319999999999</v>
      </c>
      <c r="H1224">
        <v>1.5438350000000001</v>
      </c>
      <c r="I1224">
        <v>368.16609999999997</v>
      </c>
      <c r="J1224">
        <v>-262.5883</v>
      </c>
      <c r="K1224">
        <v>1.1206100000000001</v>
      </c>
      <c r="L1224">
        <v>367.07920000000001</v>
      </c>
      <c r="M1224">
        <v>0.9998534</v>
      </c>
      <c r="N1224">
        <v>-1.214203E-2</v>
      </c>
      <c r="O1224">
        <v>1.207827E-2</v>
      </c>
      <c r="P1224">
        <v>0.99672890000000003</v>
      </c>
      <c r="Q1224">
        <v>-7.6844949999999995E-2</v>
      </c>
      <c r="R1224">
        <v>2.5032970000000002E-2</v>
      </c>
      <c r="S1224">
        <v>3.0099179999999999</v>
      </c>
      <c r="T1224">
        <v>1.225162E-2</v>
      </c>
      <c r="U1224">
        <v>3.1524660000000003E-2</v>
      </c>
      <c r="V1224">
        <v>-1.2990760000000001E-2</v>
      </c>
      <c r="W1224">
        <v>-6.4734269999999997E-2</v>
      </c>
      <c r="X1224">
        <v>0.99781799999999998</v>
      </c>
      <c r="Y1224">
        <v>1.6046840000000001E-3</v>
      </c>
      <c r="Z1224">
        <v>1.8934219999999999E-4</v>
      </c>
      <c r="AA1224">
        <v>0.99999870000000002</v>
      </c>
      <c r="AB1224">
        <v>37</v>
      </c>
      <c r="AC1224">
        <v>103.8051</v>
      </c>
      <c r="AD1224">
        <v>0.42322500000000002</v>
      </c>
      <c r="AE1224">
        <v>1.08689999999995</v>
      </c>
      <c r="AF1224">
        <v>0.16705489183561101</v>
      </c>
      <c r="AG1224">
        <v>0.42322500000000002</v>
      </c>
      <c r="AH1224">
        <v>103.808930253678</v>
      </c>
      <c r="AI1224">
        <v>89.766408916113804</v>
      </c>
      <c r="AJ1224">
        <v>89.907796641740205</v>
      </c>
      <c r="AK1224">
        <v>103.809927401721</v>
      </c>
      <c r="AL1224">
        <v>93.7115957148539</v>
      </c>
      <c r="AM1224">
        <v>90.745901227899594</v>
      </c>
      <c r="AN1224">
        <v>1.0000000233409001</v>
      </c>
    </row>
    <row r="1225" spans="1:40" x14ac:dyDescent="0.25">
      <c r="A1225" t="str">
        <f>"20190303153801356"</f>
        <v>20190303153801356</v>
      </c>
      <c r="B1225" t="str">
        <f>"1551598681350422"</f>
        <v>1551598681350422</v>
      </c>
      <c r="C1225" t="s">
        <v>40</v>
      </c>
      <c r="D1225">
        <v>4.2694769999999904</v>
      </c>
      <c r="E1225">
        <v>0.50566169999999999</v>
      </c>
      <c r="F1225" t="s">
        <v>41</v>
      </c>
      <c r="G1225">
        <v>-158.78319999999999</v>
      </c>
      <c r="H1225">
        <v>1.4918670000000001</v>
      </c>
      <c r="I1225">
        <v>368.17169999999999</v>
      </c>
      <c r="J1225">
        <v>-262.42829999999998</v>
      </c>
      <c r="K1225">
        <v>1.1206179999999999</v>
      </c>
      <c r="L1225">
        <v>367.08109999999999</v>
      </c>
      <c r="M1225">
        <v>0.9998515</v>
      </c>
      <c r="N1225">
        <v>-1.2298450000000001E-2</v>
      </c>
      <c r="O1225">
        <v>1.207781E-2</v>
      </c>
      <c r="P1225">
        <v>0.99667349999999999</v>
      </c>
      <c r="Q1225">
        <v>-7.7528360000000004E-2</v>
      </c>
      <c r="R1225">
        <v>2.5130940000000001E-2</v>
      </c>
      <c r="S1225">
        <v>3.0098880000000001</v>
      </c>
      <c r="T1225">
        <v>1.076734E-2</v>
      </c>
      <c r="U1225">
        <v>3.1677249999999997E-2</v>
      </c>
      <c r="V1225">
        <v>-1.309023E-2</v>
      </c>
      <c r="W1225">
        <v>-6.5262150000000005E-2</v>
      </c>
      <c r="X1225">
        <v>0.99778230000000001</v>
      </c>
      <c r="Y1225">
        <v>1.5535150000000001E-3</v>
      </c>
      <c r="Z1225">
        <v>1.849714E-4</v>
      </c>
      <c r="AA1225">
        <v>0.99999870000000002</v>
      </c>
      <c r="AB1225">
        <v>37</v>
      </c>
      <c r="AC1225">
        <v>103.6451</v>
      </c>
      <c r="AD1225">
        <v>0.371249</v>
      </c>
      <c r="AE1225">
        <v>1.09059999999999</v>
      </c>
      <c r="AF1225">
        <v>0.16137790212821601</v>
      </c>
      <c r="AG1225">
        <v>0.371249</v>
      </c>
      <c r="AH1225">
        <v>103.649382406298</v>
      </c>
      <c r="AI1225">
        <v>89.794780406683103</v>
      </c>
      <c r="AJ1225">
        <v>89.910792857491202</v>
      </c>
      <c r="AK1225">
        <v>103.650172898332</v>
      </c>
      <c r="AL1225">
        <v>93.741905152398999</v>
      </c>
      <c r="AM1225">
        <v>90.751638815673203</v>
      </c>
      <c r="AN1225">
        <v>1.0000000102686799</v>
      </c>
    </row>
    <row r="1226" spans="1:40" x14ac:dyDescent="0.25">
      <c r="A1226" t="str">
        <f>"20190303153801366"</f>
        <v>20190303153801366</v>
      </c>
      <c r="B1226" t="str">
        <f>"1551598681359683"</f>
        <v>1551598681359683</v>
      </c>
      <c r="C1226" t="s">
        <v>40</v>
      </c>
      <c r="D1226">
        <v>4.2723050000000002</v>
      </c>
      <c r="E1226">
        <v>0.5057429</v>
      </c>
      <c r="F1226" t="s">
        <v>41</v>
      </c>
      <c r="G1226">
        <v>-158.78319999999999</v>
      </c>
      <c r="H1226">
        <v>1.4039919999999999</v>
      </c>
      <c r="I1226">
        <v>368.1814</v>
      </c>
      <c r="J1226">
        <v>-262.25389999999999</v>
      </c>
      <c r="K1226">
        <v>1.1206229999999999</v>
      </c>
      <c r="L1226">
        <v>367.08330000000001</v>
      </c>
      <c r="M1226">
        <v>0.9998494</v>
      </c>
      <c r="N1226">
        <v>-1.246338E-2</v>
      </c>
      <c r="O1226">
        <v>1.207711E-2</v>
      </c>
      <c r="P1226">
        <v>0.99663330000000006</v>
      </c>
      <c r="Q1226">
        <v>-7.8009040000000002E-2</v>
      </c>
      <c r="R1226">
        <v>2.523829E-2</v>
      </c>
      <c r="S1226">
        <v>3.009827</v>
      </c>
      <c r="T1226">
        <v>8.2316400000000001E-3</v>
      </c>
      <c r="U1226">
        <v>3.1951899999999998E-2</v>
      </c>
      <c r="V1226">
        <v>-1.3198909999999999E-2</v>
      </c>
      <c r="W1226">
        <v>-6.5578629999999999E-2</v>
      </c>
      <c r="X1226">
        <v>0.99776010000000004</v>
      </c>
      <c r="Y1226">
        <v>1.4615019999999999E-3</v>
      </c>
      <c r="Z1226">
        <v>1.764449E-4</v>
      </c>
      <c r="AA1226">
        <v>0.99999890000000002</v>
      </c>
      <c r="AB1226">
        <v>37</v>
      </c>
      <c r="AC1226">
        <v>103.47069999999999</v>
      </c>
      <c r="AD1226">
        <v>0.28336899999999998</v>
      </c>
      <c r="AE1226">
        <v>1.0980999999999801</v>
      </c>
      <c r="AF1226">
        <v>0.15170304372957799</v>
      </c>
      <c r="AG1226">
        <v>0.28336899999999998</v>
      </c>
      <c r="AH1226">
        <v>103.475639520191</v>
      </c>
      <c r="AI1226">
        <v>89.843095536442704</v>
      </c>
      <c r="AJ1226">
        <v>89.916000152713295</v>
      </c>
      <c r="AK1226">
        <v>103.476138727323</v>
      </c>
      <c r="AL1226">
        <v>93.760077115313507</v>
      </c>
      <c r="AM1226">
        <v>90.757895338906806</v>
      </c>
      <c r="AN1226">
        <v>0.99999999254493699</v>
      </c>
    </row>
    <row r="1227" spans="1:40" x14ac:dyDescent="0.25">
      <c r="A1227" t="str">
        <f>"20190303153801378"</f>
        <v>20190303153801378</v>
      </c>
      <c r="B1227" t="str">
        <f>"1551598681370419"</f>
        <v>1551598681370419</v>
      </c>
      <c r="C1227" t="s">
        <v>40</v>
      </c>
      <c r="D1227">
        <v>4.2628250000000003</v>
      </c>
      <c r="E1227">
        <v>0.50576469999999996</v>
      </c>
      <c r="F1227" t="s">
        <v>41</v>
      </c>
      <c r="G1227">
        <v>-158.78319999999999</v>
      </c>
      <c r="H1227">
        <v>1.339458</v>
      </c>
      <c r="I1227">
        <v>368.16910000000001</v>
      </c>
      <c r="J1227">
        <v>-262.0548</v>
      </c>
      <c r="K1227">
        <v>1.120627</v>
      </c>
      <c r="L1227">
        <v>367.08569999999997</v>
      </c>
      <c r="M1227">
        <v>0.99984740000000005</v>
      </c>
      <c r="N1227">
        <v>-1.263565E-2</v>
      </c>
      <c r="O1227">
        <v>1.2076109999999999E-2</v>
      </c>
      <c r="P1227">
        <v>0.99659430000000004</v>
      </c>
      <c r="Q1227">
        <v>-7.8522350000000005E-2</v>
      </c>
      <c r="R1227">
        <v>2.5188450000000001E-2</v>
      </c>
      <c r="S1227">
        <v>3.009827</v>
      </c>
      <c r="T1227">
        <v>6.3681600000000003E-3</v>
      </c>
      <c r="U1227">
        <v>3.158569E-2</v>
      </c>
      <c r="V1227">
        <v>-1.3151029999999999E-2</v>
      </c>
      <c r="W1227">
        <v>-6.592046E-2</v>
      </c>
      <c r="X1227">
        <v>0.99773820000000002</v>
      </c>
      <c r="Y1227">
        <v>1.582261E-3</v>
      </c>
      <c r="Z1227">
        <v>1.6982100000000001E-4</v>
      </c>
      <c r="AA1227">
        <v>0.99999870000000002</v>
      </c>
      <c r="AB1227">
        <v>37</v>
      </c>
      <c r="AC1227">
        <v>103.27160000000001</v>
      </c>
      <c r="AD1227">
        <v>0.218831</v>
      </c>
      <c r="AE1227">
        <v>1.0834000000000401</v>
      </c>
      <c r="AF1227">
        <v>0.163896851075675</v>
      </c>
      <c r="AG1227">
        <v>0.218831</v>
      </c>
      <c r="AH1227">
        <v>103.27668897952699</v>
      </c>
      <c r="AI1227">
        <v>89.878597403747506</v>
      </c>
      <c r="AJ1227">
        <v>89.909073479682405</v>
      </c>
      <c r="AK1227">
        <v>103.27705086687099</v>
      </c>
      <c r="AL1227">
        <v>93.779705027588093</v>
      </c>
      <c r="AM1227">
        <v>90.755162911013997</v>
      </c>
      <c r="AN1227">
        <v>0.99999998618795605</v>
      </c>
    </row>
    <row r="1228" spans="1:40" x14ac:dyDescent="0.25">
      <c r="A1228" t="str">
        <f>"20190303153801390"</f>
        <v>20190303153801390</v>
      </c>
      <c r="B1228" t="str">
        <f>"1551598681380178"</f>
        <v>1551598681380178</v>
      </c>
      <c r="C1228" t="s">
        <v>40</v>
      </c>
      <c r="D1228">
        <v>4.2687179999999998</v>
      </c>
      <c r="E1228">
        <v>0.50580639999999999</v>
      </c>
      <c r="F1228" t="s">
        <v>41</v>
      </c>
      <c r="G1228">
        <v>-158.78319999999999</v>
      </c>
      <c r="H1228">
        <v>1.2743249999999999</v>
      </c>
      <c r="I1228">
        <v>368.1558</v>
      </c>
      <c r="J1228">
        <v>-261.86270000000002</v>
      </c>
      <c r="K1228">
        <v>1.120633</v>
      </c>
      <c r="L1228">
        <v>367.08800000000002</v>
      </c>
      <c r="M1228">
        <v>0.99984530000000005</v>
      </c>
      <c r="N1228">
        <v>-1.2796220000000001E-2</v>
      </c>
      <c r="O1228">
        <v>1.2075229999999999E-2</v>
      </c>
      <c r="P1228">
        <v>0.99656210000000001</v>
      </c>
      <c r="Q1228">
        <v>-7.8955780000000003E-2</v>
      </c>
      <c r="R1228">
        <v>2.5102119999999999E-2</v>
      </c>
      <c r="S1228">
        <v>3.009827</v>
      </c>
      <c r="T1228">
        <v>4.482031E-3</v>
      </c>
      <c r="U1228">
        <v>3.1188960000000002E-2</v>
      </c>
      <c r="V1228">
        <v>-1.3066110000000001E-2</v>
      </c>
      <c r="W1228">
        <v>-6.6194009999999998E-2</v>
      </c>
      <c r="X1228">
        <v>0.99772119999999997</v>
      </c>
      <c r="Y1228">
        <v>1.7132810000000001E-3</v>
      </c>
      <c r="Z1228">
        <v>1.628175E-4</v>
      </c>
      <c r="AA1228">
        <v>0.99999850000000001</v>
      </c>
      <c r="AB1228">
        <v>37</v>
      </c>
      <c r="AC1228">
        <v>103.0795</v>
      </c>
      <c r="AD1228">
        <v>0.153691999999999</v>
      </c>
      <c r="AE1228">
        <v>1.0677999999999701</v>
      </c>
      <c r="AF1228">
        <v>0.177087949113794</v>
      </c>
      <c r="AG1228">
        <v>0.153691999999999</v>
      </c>
      <c r="AH1228">
        <v>103.08464926769599</v>
      </c>
      <c r="AI1228">
        <v>89.914576190644993</v>
      </c>
      <c r="AJ1228">
        <v>89.901572327424105</v>
      </c>
      <c r="AK1228">
        <v>103.08491594805</v>
      </c>
      <c r="AL1228">
        <v>93.795412613844903</v>
      </c>
      <c r="AM1228">
        <v>90.750299947732401</v>
      </c>
      <c r="AN1228">
        <v>0.99999998155992498</v>
      </c>
    </row>
    <row r="1229" spans="1:40" x14ac:dyDescent="0.25">
      <c r="A1229" t="str">
        <f>"20190303153801400"</f>
        <v>20190303153801400</v>
      </c>
      <c r="B1229" t="str">
        <f>"1551598681389939"</f>
        <v>1551598681389939</v>
      </c>
      <c r="C1229" t="s">
        <v>40</v>
      </c>
      <c r="D1229">
        <v>4.2855850000000002</v>
      </c>
      <c r="E1229">
        <v>0.50586609999999999</v>
      </c>
      <c r="F1229" t="s">
        <v>41</v>
      </c>
      <c r="G1229">
        <v>-158.78319999999999</v>
      </c>
      <c r="H1229">
        <v>1.211149</v>
      </c>
      <c r="I1229">
        <v>368.14150000000001</v>
      </c>
      <c r="J1229">
        <v>-261.67570000000001</v>
      </c>
      <c r="K1229">
        <v>1.1206370000000001</v>
      </c>
      <c r="L1229">
        <v>367.09019999999998</v>
      </c>
      <c r="M1229">
        <v>0.99984340000000005</v>
      </c>
      <c r="N1229">
        <v>-1.293589E-2</v>
      </c>
      <c r="O1229">
        <v>1.2074949999999999E-2</v>
      </c>
      <c r="P1229">
        <v>0.99653910000000001</v>
      </c>
      <c r="Q1229">
        <v>-7.9324039999999998E-2</v>
      </c>
      <c r="R1229">
        <v>2.4853630000000002E-2</v>
      </c>
      <c r="S1229">
        <v>3.0097960000000001</v>
      </c>
      <c r="T1229">
        <v>2.6454930000000001E-3</v>
      </c>
      <c r="U1229">
        <v>3.0761719999999999E-2</v>
      </c>
      <c r="V1229">
        <v>-1.2819000000000001E-2</v>
      </c>
      <c r="W1229">
        <v>-6.6423179999999998E-2</v>
      </c>
      <c r="X1229">
        <v>0.99770919999999996</v>
      </c>
      <c r="Y1229">
        <v>1.854936E-3</v>
      </c>
      <c r="Z1229">
        <v>1.55637E-4</v>
      </c>
      <c r="AA1229">
        <v>0.99999830000000001</v>
      </c>
      <c r="AB1229">
        <v>37</v>
      </c>
      <c r="AC1229">
        <v>102.8925</v>
      </c>
      <c r="AD1229">
        <v>9.0511999999999898E-2</v>
      </c>
      <c r="AE1229">
        <v>1.0513000000000201</v>
      </c>
      <c r="AF1229">
        <v>0.19130228835081101</v>
      </c>
      <c r="AG1229">
        <v>9.0511999999999898E-2</v>
      </c>
      <c r="AH1229">
        <v>102.897613220857</v>
      </c>
      <c r="AI1229">
        <v>89.949600917524094</v>
      </c>
      <c r="AJ1229">
        <v>89.893478568042994</v>
      </c>
      <c r="AK1229">
        <v>102.89783085924</v>
      </c>
      <c r="AL1229">
        <v>93.808571953851995</v>
      </c>
      <c r="AM1229">
        <v>90.7361204901636</v>
      </c>
      <c r="AN1229">
        <v>1.00000000668347</v>
      </c>
    </row>
    <row r="1230" spans="1:40" x14ac:dyDescent="0.25">
      <c r="A1230" t="str">
        <f>"20190303153801412"</f>
        <v>20190303153801412</v>
      </c>
      <c r="B1230" t="str">
        <f>"1551598681399698"</f>
        <v>1551598681399698</v>
      </c>
      <c r="C1230" t="s">
        <v>40</v>
      </c>
      <c r="D1230">
        <v>4.2526190000000001</v>
      </c>
      <c r="E1230">
        <v>0.50592729999999997</v>
      </c>
      <c r="F1230" t="s">
        <v>41</v>
      </c>
      <c r="G1230">
        <v>-158.78319999999999</v>
      </c>
      <c r="H1230">
        <v>1.1588369999999999</v>
      </c>
      <c r="I1230">
        <v>368.09699999999998</v>
      </c>
      <c r="J1230">
        <v>-261.4982</v>
      </c>
      <c r="K1230">
        <v>1.120641</v>
      </c>
      <c r="L1230">
        <v>367.0924</v>
      </c>
      <c r="M1230">
        <v>0.99984189999999995</v>
      </c>
      <c r="N1230">
        <v>-1.3064610000000001E-2</v>
      </c>
      <c r="O1230">
        <v>1.2074440000000001E-2</v>
      </c>
      <c r="P1230">
        <v>0.99651529999999999</v>
      </c>
      <c r="Q1230">
        <v>-7.9635979999999995E-2</v>
      </c>
      <c r="R1230">
        <v>2.480779E-2</v>
      </c>
      <c r="S1230">
        <v>3.0097659999999999</v>
      </c>
      <c r="T1230">
        <v>1.119971E-3</v>
      </c>
      <c r="U1230">
        <v>2.944946E-2</v>
      </c>
      <c r="V1230">
        <v>-1.2773649999999999E-2</v>
      </c>
      <c r="W1230">
        <v>-6.660692E-2</v>
      </c>
      <c r="X1230">
        <v>0.99769750000000001</v>
      </c>
      <c r="Y1230">
        <v>2.2903540000000001E-3</v>
      </c>
      <c r="Z1230">
        <v>1.4771240000000001E-4</v>
      </c>
      <c r="AA1230">
        <v>0.99999740000000004</v>
      </c>
      <c r="AB1230">
        <v>37</v>
      </c>
      <c r="AC1230">
        <v>102.715</v>
      </c>
      <c r="AD1230">
        <v>3.8196000000000098E-2</v>
      </c>
      <c r="AE1230">
        <v>1.00459999999998</v>
      </c>
      <c r="AF1230">
        <v>0.23580498868317601</v>
      </c>
      <c r="AG1230">
        <v>3.8196000000000098E-2</v>
      </c>
      <c r="AH1230">
        <v>102.719627746108</v>
      </c>
      <c r="AI1230">
        <v>89.978694785261595</v>
      </c>
      <c r="AJ1230">
        <v>89.868471029313895</v>
      </c>
      <c r="AK1230">
        <v>102.71990550631401</v>
      </c>
      <c r="AL1230">
        <v>93.819122968367196</v>
      </c>
      <c r="AM1230">
        <v>90.733525189913607</v>
      </c>
      <c r="AN1230">
        <v>0.99999997471622903</v>
      </c>
    </row>
    <row r="1231" spans="1:40" x14ac:dyDescent="0.25">
      <c r="A1231" t="str">
        <f>"20190303153801423"</f>
        <v>20190303153801423</v>
      </c>
      <c r="B1231" t="str">
        <f>"1551598681420194"</f>
        <v>1551598681420194</v>
      </c>
      <c r="C1231" t="s">
        <v>40</v>
      </c>
      <c r="D1231">
        <v>4.2686590000000004</v>
      </c>
      <c r="E1231">
        <v>0.5061078</v>
      </c>
      <c r="F1231" t="s">
        <v>41</v>
      </c>
      <c r="G1231">
        <v>-158.78319999999999</v>
      </c>
      <c r="H1231">
        <v>1.130765</v>
      </c>
      <c r="I1231">
        <v>368.06619999999998</v>
      </c>
      <c r="J1231">
        <v>-261.30799999999999</v>
      </c>
      <c r="K1231">
        <v>1.12064599999999</v>
      </c>
      <c r="L1231">
        <v>367.09469999999999</v>
      </c>
      <c r="M1231">
        <v>0.99984019999999996</v>
      </c>
      <c r="N1231">
        <v>-1.3190159999999999E-2</v>
      </c>
      <c r="O1231">
        <v>1.207424E-2</v>
      </c>
      <c r="P1231">
        <v>0.99651219999999996</v>
      </c>
      <c r="Q1231">
        <v>-7.9727080000000006E-2</v>
      </c>
      <c r="R1231">
        <v>2.4644269999999999E-2</v>
      </c>
      <c r="S1231">
        <v>3.0097659999999999</v>
      </c>
      <c r="T1231">
        <v>2.9921530000000002E-4</v>
      </c>
      <c r="U1231">
        <v>2.8533940000000001E-2</v>
      </c>
      <c r="V1231">
        <v>-1.26105E-2</v>
      </c>
      <c r="W1231">
        <v>-6.6572759999999995E-2</v>
      </c>
      <c r="X1231">
        <v>0.99770190000000003</v>
      </c>
      <c r="Y1231">
        <v>2.5943519999999999E-3</v>
      </c>
      <c r="Z1231">
        <v>1.4348780000000001E-4</v>
      </c>
      <c r="AA1231">
        <v>0.99999660000000001</v>
      </c>
      <c r="AB1231">
        <v>37</v>
      </c>
      <c r="AC1231">
        <v>102.5248</v>
      </c>
      <c r="AD1231">
        <v>1.0119000000000201E-2</v>
      </c>
      <c r="AE1231">
        <v>0.97149999999999104</v>
      </c>
      <c r="AF1231">
        <v>0.266587450004307</v>
      </c>
      <c r="AG1231">
        <v>1.0119000000000201E-2</v>
      </c>
      <c r="AH1231">
        <v>102.529055167953</v>
      </c>
      <c r="AI1231">
        <v>89.994345270906294</v>
      </c>
      <c r="AJ1231">
        <v>89.851024655301103</v>
      </c>
      <c r="AK1231">
        <v>102.52940224587201</v>
      </c>
      <c r="AL1231">
        <v>93.817161220683005</v>
      </c>
      <c r="AM1231">
        <v>90.724154133250195</v>
      </c>
      <c r="AN1231">
        <v>1.00000001917393</v>
      </c>
    </row>
    <row r="1232" spans="1:40" x14ac:dyDescent="0.25">
      <c r="A1232" t="str">
        <f>"20190303153801435"</f>
        <v>20190303153801435</v>
      </c>
      <c r="B1232" t="str">
        <f>"1551598681429954"</f>
        <v>1551598681429954</v>
      </c>
      <c r="C1232" t="s">
        <v>40</v>
      </c>
      <c r="D1232">
        <v>4.3184490000000002</v>
      </c>
      <c r="E1232">
        <v>0.50625929999999997</v>
      </c>
      <c r="F1232" t="s">
        <v>41</v>
      </c>
      <c r="G1232">
        <v>-158.78319999999999</v>
      </c>
      <c r="H1232">
        <v>1.1337919999999999</v>
      </c>
      <c r="I1232">
        <v>368.01049999999998</v>
      </c>
      <c r="J1232">
        <v>-261.11059999999998</v>
      </c>
      <c r="K1232">
        <v>1.1206480000000001</v>
      </c>
      <c r="L1232">
        <v>367.09710000000001</v>
      </c>
      <c r="M1232">
        <v>0.99983849999999996</v>
      </c>
      <c r="N1232">
        <v>-1.331278E-2</v>
      </c>
      <c r="O1232">
        <v>1.207459E-2</v>
      </c>
      <c r="P1232">
        <v>0.99652300000000005</v>
      </c>
      <c r="Q1232">
        <v>-7.9663830000000005E-2</v>
      </c>
      <c r="R1232">
        <v>2.440966E-2</v>
      </c>
      <c r="S1232">
        <v>3.0098880000000001</v>
      </c>
      <c r="T1232">
        <v>3.8850309999999998E-4</v>
      </c>
      <c r="U1232">
        <v>2.6885989999999999E-2</v>
      </c>
      <c r="V1232">
        <v>-1.237563E-2</v>
      </c>
      <c r="W1232">
        <v>-6.6387020000000005E-2</v>
      </c>
      <c r="X1232">
        <v>0.99771719999999997</v>
      </c>
      <c r="Y1232">
        <v>3.1425450000000001E-3</v>
      </c>
      <c r="Z1232">
        <v>1.4159719999999999E-4</v>
      </c>
      <c r="AA1232">
        <v>0.99999510000000003</v>
      </c>
      <c r="AB1232">
        <v>37</v>
      </c>
      <c r="AC1232">
        <v>102.327399999999</v>
      </c>
      <c r="AD1232">
        <v>1.3143999999999999E-2</v>
      </c>
      <c r="AE1232">
        <v>0.91339999999996702</v>
      </c>
      <c r="AF1232">
        <v>0.32233746639857402</v>
      </c>
      <c r="AG1232">
        <v>1.3143999999999999E-2</v>
      </c>
      <c r="AH1232">
        <v>102.330967176843</v>
      </c>
      <c r="AI1232">
        <v>89.992640624764803</v>
      </c>
      <c r="AJ1232">
        <v>89.819521735887193</v>
      </c>
      <c r="AK1232">
        <v>102.33147569323501</v>
      </c>
      <c r="AL1232">
        <v>93.806495573538697</v>
      </c>
      <c r="AM1232">
        <v>90.710657294240093</v>
      </c>
      <c r="AN1232">
        <v>1.0000000019091</v>
      </c>
    </row>
    <row r="1233" spans="1:40" x14ac:dyDescent="0.25">
      <c r="A1233" t="str">
        <f>"20190303153801448"</f>
        <v>20190303153801448</v>
      </c>
      <c r="B1233" t="str">
        <f>"1551598681439715"</f>
        <v>1551598681439715</v>
      </c>
      <c r="C1233" t="s">
        <v>40</v>
      </c>
      <c r="D1233">
        <v>4.2939689999999997</v>
      </c>
      <c r="E1233">
        <v>0.50632699999999997</v>
      </c>
      <c r="F1233" t="s">
        <v>41</v>
      </c>
      <c r="G1233">
        <v>-158.78319999999999</v>
      </c>
      <c r="H1233">
        <v>1.168418</v>
      </c>
      <c r="I1233">
        <v>367.952</v>
      </c>
      <c r="J1233">
        <v>-260.88709999999998</v>
      </c>
      <c r="K1233">
        <v>1.120655</v>
      </c>
      <c r="L1233">
        <v>367.09980000000002</v>
      </c>
      <c r="M1233">
        <v>0.99983679999999997</v>
      </c>
      <c r="N1233">
        <v>-1.344298E-2</v>
      </c>
      <c r="O1233">
        <v>1.2075000000000001E-2</v>
      </c>
      <c r="P1233">
        <v>0.99648959999999998</v>
      </c>
      <c r="Q1233">
        <v>-8.0128459999999999E-2</v>
      </c>
      <c r="R1233">
        <v>2.4256710000000001E-2</v>
      </c>
      <c r="S1233">
        <v>3.0099490000000002</v>
      </c>
      <c r="T1233">
        <v>1.4077429999999999E-3</v>
      </c>
      <c r="U1233">
        <v>2.5146479999999999E-2</v>
      </c>
      <c r="V1233">
        <v>-1.2223120000000001E-2</v>
      </c>
      <c r="W1233">
        <v>-6.6722149999999994E-2</v>
      </c>
      <c r="X1233">
        <v>0.99769669999999999</v>
      </c>
      <c r="Y1233">
        <v>3.7209550000000002E-3</v>
      </c>
      <c r="Z1233">
        <v>1.4383859999999999E-4</v>
      </c>
      <c r="AA1233">
        <v>0.99999309999999997</v>
      </c>
      <c r="AB1233">
        <v>37</v>
      </c>
      <c r="AC1233">
        <v>102.103899999999</v>
      </c>
      <c r="AD1233">
        <v>4.7763E-2</v>
      </c>
      <c r="AE1233">
        <v>0.85219999999998197</v>
      </c>
      <c r="AF1233">
        <v>0.38087797689775699</v>
      </c>
      <c r="AG1233">
        <v>4.7763E-2</v>
      </c>
      <c r="AH1233">
        <v>102.10672362488999</v>
      </c>
      <c r="AI1233">
        <v>89.973198639803599</v>
      </c>
      <c r="AJ1233">
        <v>89.786276568323899</v>
      </c>
      <c r="AK1233">
        <v>102.107445168054</v>
      </c>
      <c r="AL1233">
        <v>93.825739869933003</v>
      </c>
      <c r="AM1233">
        <v>90.701914873259099</v>
      </c>
      <c r="AN1233">
        <v>0.99999997757702297</v>
      </c>
    </row>
    <row r="1234" spans="1:40" x14ac:dyDescent="0.25">
      <c r="A1234" t="str">
        <f>"20190303153801464"</f>
        <v>20190303153801464</v>
      </c>
      <c r="B1234" t="str">
        <f>"1551598681460211"</f>
        <v>1551598681460211</v>
      </c>
      <c r="C1234" t="s">
        <v>40</v>
      </c>
      <c r="D1234">
        <v>4.2640500000000001</v>
      </c>
      <c r="E1234">
        <v>0.50637959999999904</v>
      </c>
      <c r="F1234" t="s">
        <v>41</v>
      </c>
      <c r="G1234">
        <v>-158.78319999999999</v>
      </c>
      <c r="H1234">
        <v>1.1201989999999999</v>
      </c>
      <c r="I1234">
        <v>367.9248</v>
      </c>
      <c r="J1234">
        <v>-260.65159999999997</v>
      </c>
      <c r="K1234">
        <v>1.120657</v>
      </c>
      <c r="L1234">
        <v>367.1026</v>
      </c>
      <c r="M1234">
        <v>0.99983509999999998</v>
      </c>
      <c r="N1234">
        <v>-1.356452E-2</v>
      </c>
      <c r="O1234">
        <v>1.2075519999999999E-2</v>
      </c>
      <c r="P1234">
        <v>0.99647070000000004</v>
      </c>
      <c r="Q1234">
        <v>-8.0271910000000002E-2</v>
      </c>
      <c r="R1234">
        <v>2.4544449999999999E-2</v>
      </c>
      <c r="S1234">
        <v>3.0100099999999999</v>
      </c>
      <c r="T1234" s="1">
        <v>-1.084805E-5</v>
      </c>
      <c r="U1234">
        <v>2.4322509999999999E-2</v>
      </c>
      <c r="V1234">
        <v>-1.2510449999999999E-2</v>
      </c>
      <c r="W1234">
        <v>-6.6744510000000007E-2</v>
      </c>
      <c r="X1234">
        <v>0.99769169999999996</v>
      </c>
      <c r="Y1234">
        <v>3.9954400000000003E-3</v>
      </c>
      <c r="Z1234">
        <v>1.3665800000000001E-4</v>
      </c>
      <c r="AA1234">
        <v>0.99999199999999999</v>
      </c>
      <c r="AB1234">
        <v>37</v>
      </c>
      <c r="AC1234">
        <v>101.868399999999</v>
      </c>
      <c r="AD1234">
        <v>-4.5800000000006897E-4</v>
      </c>
      <c r="AE1234">
        <v>0.82220000000000903</v>
      </c>
      <c r="AF1234">
        <v>0.40808701881327297</v>
      </c>
      <c r="AG1234">
        <v>-4.5800000000006897E-4</v>
      </c>
      <c r="AH1234">
        <v>101.870900633917</v>
      </c>
      <c r="AI1234">
        <v>90.000257593250893</v>
      </c>
      <c r="AJ1234">
        <v>89.770478727134304</v>
      </c>
      <c r="AK1234">
        <v>101.871718014325</v>
      </c>
      <c r="AL1234">
        <v>93.827023647217501</v>
      </c>
      <c r="AM1234">
        <v>90.718416740905099</v>
      </c>
      <c r="AN1234">
        <v>1.00000003461161</v>
      </c>
    </row>
    <row r="1235" spans="1:40" x14ac:dyDescent="0.25">
      <c r="A1235" t="str">
        <f>"20190303153801478"</f>
        <v>20190303153801478</v>
      </c>
      <c r="B1235" t="str">
        <f>"1551598681469971"</f>
        <v>1551598681469971</v>
      </c>
      <c r="C1235" t="s">
        <v>40</v>
      </c>
      <c r="D1235">
        <v>4.2913600000000001</v>
      </c>
      <c r="E1235">
        <v>0.50639409999999996</v>
      </c>
      <c r="F1235" t="s">
        <v>41</v>
      </c>
      <c r="G1235">
        <v>-158.78319999999999</v>
      </c>
      <c r="H1235">
        <v>1.0734859999999999</v>
      </c>
      <c r="I1235">
        <v>367.9434</v>
      </c>
      <c r="J1235">
        <v>-260.39670000000001</v>
      </c>
      <c r="K1235">
        <v>1.1206609999999999</v>
      </c>
      <c r="L1235">
        <v>367.10570000000001</v>
      </c>
      <c r="M1235">
        <v>0.99983350000000004</v>
      </c>
      <c r="N1235">
        <v>-1.3685900000000001E-2</v>
      </c>
      <c r="O1235">
        <v>1.207598E-2</v>
      </c>
      <c r="P1235">
        <v>0.99645799999999995</v>
      </c>
      <c r="Q1235">
        <v>-8.0287490000000003E-2</v>
      </c>
      <c r="R1235">
        <v>2.500776E-2</v>
      </c>
      <c r="S1235">
        <v>3.0098880000000001</v>
      </c>
      <c r="T1235">
        <v>-1.391172E-3</v>
      </c>
      <c r="U1235">
        <v>2.4841309999999998E-2</v>
      </c>
      <c r="V1235">
        <v>-1.2973429999999999E-2</v>
      </c>
      <c r="W1235">
        <v>-6.6639009999999999E-2</v>
      </c>
      <c r="X1235">
        <v>0.99769280000000005</v>
      </c>
      <c r="Y1235">
        <v>3.823281E-3</v>
      </c>
      <c r="Z1235">
        <v>1.326519E-4</v>
      </c>
      <c r="AA1235">
        <v>0.99999269999999996</v>
      </c>
      <c r="AB1235">
        <v>37</v>
      </c>
      <c r="AC1235">
        <v>101.6135</v>
      </c>
      <c r="AD1235">
        <v>-4.7174999999999898E-2</v>
      </c>
      <c r="AE1235">
        <v>0.83769999999998301</v>
      </c>
      <c r="AF1235">
        <v>0.389558440099671</v>
      </c>
      <c r="AG1235">
        <v>-4.7174999999999898E-2</v>
      </c>
      <c r="AH1235">
        <v>101.616184325145</v>
      </c>
      <c r="AI1235">
        <v>90.026599191462196</v>
      </c>
      <c r="AJ1235">
        <v>89.7803504894719</v>
      </c>
      <c r="AK1235">
        <v>101.616941983415</v>
      </c>
      <c r="AL1235">
        <v>93.820965605103396</v>
      </c>
      <c r="AM1235">
        <v>90.744999756537197</v>
      </c>
      <c r="AN1235">
        <v>0.99999999535579198</v>
      </c>
    </row>
    <row r="1236" spans="1:40" x14ac:dyDescent="0.25">
      <c r="A1236" t="str">
        <f>"20190303153801491"</f>
        <v>20190303153801491</v>
      </c>
      <c r="B1236" t="str">
        <f>"1551598681479731"</f>
        <v>1551598681479731</v>
      </c>
      <c r="C1236" t="s">
        <v>40</v>
      </c>
      <c r="D1236">
        <v>4.2572429999999999</v>
      </c>
      <c r="E1236">
        <v>0.50641780000000003</v>
      </c>
      <c r="F1236" t="s">
        <v>41</v>
      </c>
      <c r="G1236">
        <v>-158.78319999999999</v>
      </c>
      <c r="H1236">
        <v>1.064624</v>
      </c>
      <c r="I1236">
        <v>367.9907</v>
      </c>
      <c r="J1236">
        <v>-260.19600000000003</v>
      </c>
      <c r="K1236">
        <v>1.1206640000000001</v>
      </c>
      <c r="L1236">
        <v>367.10809999999998</v>
      </c>
      <c r="M1236">
        <v>0.99983219999999995</v>
      </c>
      <c r="N1236">
        <v>-1.377518E-2</v>
      </c>
      <c r="O1236">
        <v>1.2076190000000001E-2</v>
      </c>
      <c r="P1236">
        <v>0.99639319999999998</v>
      </c>
      <c r="Q1236">
        <v>-8.0957699999999994E-2</v>
      </c>
      <c r="R1236">
        <v>2.5428079999999999E-2</v>
      </c>
      <c r="S1236">
        <v>3.0098569999999998</v>
      </c>
      <c r="T1236">
        <v>-1.6572479999999901E-3</v>
      </c>
      <c r="U1236">
        <v>2.62145999999999E-2</v>
      </c>
      <c r="V1236">
        <v>-1.339488E-2</v>
      </c>
      <c r="W1236">
        <v>-6.7220890000000005E-2</v>
      </c>
      <c r="X1236">
        <v>0.99764819999999999</v>
      </c>
      <c r="Y1236">
        <v>3.3671880000000001E-3</v>
      </c>
      <c r="Z1236">
        <v>1.3559269999999999E-4</v>
      </c>
      <c r="AA1236">
        <v>0.9999943</v>
      </c>
      <c r="AB1236">
        <v>37</v>
      </c>
      <c r="AC1236">
        <v>101.412799999999</v>
      </c>
      <c r="AD1236">
        <v>-5.6039999999999798E-2</v>
      </c>
      <c r="AE1236">
        <v>0.88260000000002403</v>
      </c>
      <c r="AF1236">
        <v>0.34226070839961098</v>
      </c>
      <c r="AG1236">
        <v>-5.6039999999999798E-2</v>
      </c>
      <c r="AH1236">
        <v>101.41603208194999</v>
      </c>
      <c r="AI1236">
        <v>90.031660052227394</v>
      </c>
      <c r="AJ1236">
        <v>89.806637873388198</v>
      </c>
      <c r="AK1236">
        <v>101.416625097275</v>
      </c>
      <c r="AL1236">
        <v>93.854379777889093</v>
      </c>
      <c r="AM1236">
        <v>90.769233061176294</v>
      </c>
      <c r="AN1236">
        <v>1.00000000091292</v>
      </c>
    </row>
    <row r="1237" spans="1:40" x14ac:dyDescent="0.25">
      <c r="A1237" t="str">
        <f>"20190303153801503"</f>
        <v>20190303153801503</v>
      </c>
      <c r="B1237" t="str">
        <f>"1551598681500226"</f>
        <v>1551598681500226</v>
      </c>
      <c r="C1237" t="s">
        <v>40</v>
      </c>
      <c r="D1237">
        <v>4.316738</v>
      </c>
      <c r="E1237">
        <v>0.50649949999999999</v>
      </c>
      <c r="F1237" t="s">
        <v>41</v>
      </c>
      <c r="G1237">
        <v>-158.78319999999999</v>
      </c>
      <c r="H1237">
        <v>0.98675400000000002</v>
      </c>
      <c r="I1237">
        <v>368.03559999999999</v>
      </c>
      <c r="J1237">
        <v>-259.98390000000001</v>
      </c>
      <c r="K1237">
        <v>1.1207</v>
      </c>
      <c r="L1237">
        <v>367.11070000000001</v>
      </c>
      <c r="M1237">
        <v>0.99983100000000003</v>
      </c>
      <c r="N1237">
        <v>-1.3858809999999999E-2</v>
      </c>
      <c r="O1237">
        <v>1.207649E-2</v>
      </c>
      <c r="P1237">
        <v>0.9963706</v>
      </c>
      <c r="Q1237">
        <v>-8.1179249999999994E-2</v>
      </c>
      <c r="R1237">
        <v>2.5605180000000002E-2</v>
      </c>
      <c r="S1237">
        <v>3.009827</v>
      </c>
      <c r="T1237">
        <v>-3.9716959999999898E-3</v>
      </c>
      <c r="U1237">
        <v>2.752686E-2</v>
      </c>
      <c r="V1237">
        <v>-1.3571720000000001E-2</v>
      </c>
      <c r="W1237">
        <v>-6.7359230000000006E-2</v>
      </c>
      <c r="X1237">
        <v>0.99763650000000004</v>
      </c>
      <c r="Y1237">
        <v>2.9315529999999999E-3</v>
      </c>
      <c r="Z1237">
        <v>1.2919179999999999E-4</v>
      </c>
      <c r="AA1237">
        <v>0.99999570000000004</v>
      </c>
      <c r="AB1237">
        <v>37</v>
      </c>
      <c r="AC1237">
        <v>101.2007</v>
      </c>
      <c r="AD1237">
        <v>-0.13394599999999901</v>
      </c>
      <c r="AE1237">
        <v>0.92489999999997896</v>
      </c>
      <c r="AF1237">
        <v>0.29743360298896898</v>
      </c>
      <c r="AG1237">
        <v>-0.13394599999999901</v>
      </c>
      <c r="AH1237">
        <v>101.204312016752</v>
      </c>
      <c r="AI1237">
        <v>90.075831777370496</v>
      </c>
      <c r="AJ1237">
        <v>89.831611512077799</v>
      </c>
      <c r="AK1237">
        <v>101.20483772559101</v>
      </c>
      <c r="AL1237">
        <v>93.862324001386099</v>
      </c>
      <c r="AM1237">
        <v>90.779396416409</v>
      </c>
      <c r="AN1237">
        <v>1.0000000217911</v>
      </c>
    </row>
    <row r="1238" spans="1:40" x14ac:dyDescent="0.25">
      <c r="A1238" t="str">
        <f>"20190303153801521"</f>
        <v>20190303153801521</v>
      </c>
      <c r="B1238" t="str">
        <f>"1551598681509986"</f>
        <v>1551598681509986</v>
      </c>
      <c r="C1238" t="s">
        <v>40</v>
      </c>
      <c r="D1238">
        <v>4.2808619999999999</v>
      </c>
      <c r="E1238">
        <v>0.506546099999999</v>
      </c>
      <c r="F1238" t="s">
        <v>41</v>
      </c>
      <c r="G1238">
        <v>-158.78319999999999</v>
      </c>
      <c r="H1238">
        <v>0.95449879999999998</v>
      </c>
      <c r="I1238">
        <v>368.03620000000001</v>
      </c>
      <c r="J1238">
        <v>-259.6825</v>
      </c>
      <c r="K1238">
        <v>1.1207039999999999</v>
      </c>
      <c r="L1238">
        <v>367.11430000000001</v>
      </c>
      <c r="M1238">
        <v>0.99982959999999999</v>
      </c>
      <c r="N1238">
        <v>-1.396769E-2</v>
      </c>
      <c r="O1238">
        <v>1.2076369999999999E-2</v>
      </c>
      <c r="P1238">
        <v>0.99632810000000005</v>
      </c>
      <c r="Q1238">
        <v>-8.1470529999999999E-2</v>
      </c>
      <c r="R1238">
        <v>2.6325810000000002E-2</v>
      </c>
      <c r="S1238">
        <v>3.009827</v>
      </c>
      <c r="T1238">
        <v>-4.9403909999999997E-3</v>
      </c>
      <c r="U1238">
        <v>2.752686E-2</v>
      </c>
      <c r="V1238">
        <v>-1.4293190000000001E-2</v>
      </c>
      <c r="W1238">
        <v>-6.7542279999999996E-2</v>
      </c>
      <c r="X1238">
        <v>0.997614</v>
      </c>
      <c r="Y1238">
        <v>2.9314739999999999E-3</v>
      </c>
      <c r="Z1238">
        <v>1.2598829999999999E-4</v>
      </c>
      <c r="AA1238">
        <v>0.99999570000000004</v>
      </c>
      <c r="AB1238">
        <v>37</v>
      </c>
      <c r="AC1238">
        <v>100.8993</v>
      </c>
      <c r="AD1238">
        <v>-0.1662052</v>
      </c>
      <c r="AE1238">
        <v>0.92189999999999295</v>
      </c>
      <c r="AF1238">
        <v>0.29678249380844401</v>
      </c>
      <c r="AG1238">
        <v>-0.1662052</v>
      </c>
      <c r="AH1238">
        <v>100.902801309672</v>
      </c>
      <c r="AI1238">
        <v>90.094376038781405</v>
      </c>
      <c r="AJ1238">
        <v>89.831478065299095</v>
      </c>
      <c r="AK1238">
        <v>100.903374651972</v>
      </c>
      <c r="AL1238">
        <v>93.872836119070797</v>
      </c>
      <c r="AM1238">
        <v>90.8208419630311</v>
      </c>
      <c r="AN1238">
        <v>0.99999997393198603</v>
      </c>
    </row>
    <row r="1239" spans="1:40" x14ac:dyDescent="0.25">
      <c r="A1239" t="str">
        <f>"20190303153801533"</f>
        <v>20190303153801533</v>
      </c>
      <c r="B1239" t="str">
        <f>"1551598681530483"</f>
        <v>1551598681530483</v>
      </c>
      <c r="C1239" t="s">
        <v>40</v>
      </c>
      <c r="D1239">
        <v>4.2779569999999998</v>
      </c>
      <c r="E1239">
        <v>0.5067564</v>
      </c>
      <c r="F1239" t="s">
        <v>41</v>
      </c>
      <c r="G1239">
        <v>-158.78319999999999</v>
      </c>
      <c r="H1239">
        <v>0.92212430000000001</v>
      </c>
      <c r="I1239">
        <v>368.09030000000001</v>
      </c>
      <c r="J1239">
        <v>-259.48680000000002</v>
      </c>
      <c r="K1239">
        <v>1.120709</v>
      </c>
      <c r="L1239">
        <v>367.11669999999998</v>
      </c>
      <c r="M1239">
        <v>0.99982870000000001</v>
      </c>
      <c r="N1239">
        <v>-1.4032330000000001E-2</v>
      </c>
      <c r="O1239">
        <v>1.20762E-2</v>
      </c>
      <c r="P1239">
        <v>0.99627180000000004</v>
      </c>
      <c r="Q1239">
        <v>-8.2087899999999894E-2</v>
      </c>
      <c r="R1239">
        <v>2.653749E-2</v>
      </c>
      <c r="S1239">
        <v>3.0097659999999999</v>
      </c>
      <c r="T1239">
        <v>-5.9208869999999997E-3</v>
      </c>
      <c r="U1239">
        <v>2.9113770000000001E-2</v>
      </c>
      <c r="V1239">
        <v>-1.4505759999999999E-2</v>
      </c>
      <c r="W1239">
        <v>-6.8095820000000001E-2</v>
      </c>
      <c r="X1239">
        <v>0.9975733</v>
      </c>
      <c r="Y1239">
        <v>2.4039679999999998E-3</v>
      </c>
      <c r="Z1239">
        <v>1.264805E-4</v>
      </c>
      <c r="AA1239">
        <v>0.99999709999999997</v>
      </c>
      <c r="AB1239">
        <v>37</v>
      </c>
      <c r="AC1239">
        <v>100.70359999999999</v>
      </c>
      <c r="AD1239">
        <v>-0.198584699999999</v>
      </c>
      <c r="AE1239">
        <v>0.97360000000003299</v>
      </c>
      <c r="AF1239">
        <v>0.24270652411015001</v>
      </c>
      <c r="AG1239">
        <v>-0.198584699999999</v>
      </c>
      <c r="AH1239">
        <v>100.70762221479001</v>
      </c>
      <c r="AI1239">
        <v>90.112980697446801</v>
      </c>
      <c r="AJ1239">
        <v>89.861916781836101</v>
      </c>
      <c r="AK1239">
        <v>100.708110470294</v>
      </c>
      <c r="AL1239">
        <v>93.904624817576604</v>
      </c>
      <c r="AM1239">
        <v>90.833081896076905</v>
      </c>
      <c r="AN1239">
        <v>0.999999973323769</v>
      </c>
    </row>
    <row r="1240" spans="1:40" x14ac:dyDescent="0.25">
      <c r="A1240" t="str">
        <f>"20190303153801544"</f>
        <v>20190303153801544</v>
      </c>
      <c r="B1240" t="str">
        <f>"1551598681540243"</f>
        <v>1551598681540243</v>
      </c>
      <c r="C1240" t="s">
        <v>40</v>
      </c>
      <c r="D1240">
        <v>4.2512800000000004</v>
      </c>
      <c r="E1240">
        <v>0.50682660000000002</v>
      </c>
      <c r="F1240" t="s">
        <v>41</v>
      </c>
      <c r="G1240">
        <v>-158.78319999999999</v>
      </c>
      <c r="H1240">
        <v>0.89166429999999997</v>
      </c>
      <c r="I1240">
        <v>368.04480000000001</v>
      </c>
      <c r="J1240">
        <v>-259.30009999999999</v>
      </c>
      <c r="K1240">
        <v>1.1207119999999999</v>
      </c>
      <c r="L1240">
        <v>367.1189</v>
      </c>
      <c r="M1240">
        <v>0.99982789999999999</v>
      </c>
      <c r="N1240">
        <v>-1.408879E-2</v>
      </c>
      <c r="O1240">
        <v>1.2076160000000001E-2</v>
      </c>
      <c r="P1240">
        <v>0.99623969999999995</v>
      </c>
      <c r="Q1240">
        <v>-8.2449899999999895E-2</v>
      </c>
      <c r="R1240">
        <v>2.662196E-2</v>
      </c>
      <c r="S1240">
        <v>3.0099490000000002</v>
      </c>
      <c r="T1240">
        <v>-6.8433280000000001E-3</v>
      </c>
      <c r="U1240">
        <v>2.7740480000000001E-2</v>
      </c>
      <c r="V1240">
        <v>-1.459012E-2</v>
      </c>
      <c r="W1240">
        <v>-6.8401870000000004E-2</v>
      </c>
      <c r="X1240">
        <v>0.99755110000000002</v>
      </c>
      <c r="Y1240">
        <v>2.8607469999999999E-3</v>
      </c>
      <c r="Z1240">
        <v>1.192896E-4</v>
      </c>
      <c r="AA1240">
        <v>0.99999590000000005</v>
      </c>
      <c r="AB1240">
        <v>37</v>
      </c>
      <c r="AC1240">
        <v>100.51690000000001</v>
      </c>
      <c r="AD1240">
        <v>-0.22904769999999999</v>
      </c>
      <c r="AE1240">
        <v>0.92590000000001205</v>
      </c>
      <c r="AF1240">
        <v>0.288144594835132</v>
      </c>
      <c r="AG1240">
        <v>-0.22904769999999999</v>
      </c>
      <c r="AH1240">
        <v>100.520229427871</v>
      </c>
      <c r="AI1240">
        <v>90.130554714825195</v>
      </c>
      <c r="AJ1240">
        <v>89.8357601843108</v>
      </c>
      <c r="AK1240">
        <v>100.52090337033501</v>
      </c>
      <c r="AL1240">
        <v>93.922201295716803</v>
      </c>
      <c r="AM1240">
        <v>90.837944740686893</v>
      </c>
      <c r="AN1240">
        <v>0.99999994226615896</v>
      </c>
    </row>
    <row r="1241" spans="1:40" x14ac:dyDescent="0.25">
      <c r="A1241" t="str">
        <f>"20190303153801555"</f>
        <v>20190303153801555</v>
      </c>
      <c r="B1241" t="str">
        <f>"1551598681550002"</f>
        <v>1551598681550002</v>
      </c>
      <c r="C1241" t="s">
        <v>40</v>
      </c>
      <c r="D1241">
        <v>4.3001469999999999</v>
      </c>
      <c r="E1241">
        <v>0.50687349999999998</v>
      </c>
      <c r="F1241" t="s">
        <v>41</v>
      </c>
      <c r="G1241">
        <v>-158.78319999999999</v>
      </c>
      <c r="H1241">
        <v>0.86207500000000004</v>
      </c>
      <c r="I1241">
        <v>368.03210000000001</v>
      </c>
      <c r="J1241">
        <v>-259.12439999999998</v>
      </c>
      <c r="K1241">
        <v>1.1207180000000001</v>
      </c>
      <c r="L1241">
        <v>367.12110000000001</v>
      </c>
      <c r="M1241">
        <v>0.99982709999999997</v>
      </c>
      <c r="N1241">
        <v>-1.415289E-2</v>
      </c>
      <c r="O1241">
        <v>1.207605E-2</v>
      </c>
      <c r="P1241">
        <v>0.9962162</v>
      </c>
      <c r="Q1241">
        <v>-8.2795709999999995E-2</v>
      </c>
      <c r="R1241">
        <v>2.643183E-2</v>
      </c>
      <c r="S1241">
        <v>3.0099490000000002</v>
      </c>
      <c r="T1241">
        <v>-7.7421669999999899E-3</v>
      </c>
      <c r="U1241">
        <v>2.734375E-2</v>
      </c>
      <c r="V1241">
        <v>-1.4401000000000001E-2</v>
      </c>
      <c r="W1241">
        <v>-6.8684090000000003E-2</v>
      </c>
      <c r="X1241">
        <v>0.99753449999999999</v>
      </c>
      <c r="Y1241">
        <v>2.9924690000000002E-3</v>
      </c>
      <c r="Z1241">
        <v>1.148362E-4</v>
      </c>
      <c r="AA1241">
        <v>0.99999550000000004</v>
      </c>
      <c r="AB1241">
        <v>37</v>
      </c>
      <c r="AC1241">
        <v>100.3412</v>
      </c>
      <c r="AD1241">
        <v>-0.25864300000000001</v>
      </c>
      <c r="AE1241">
        <v>0.91100000000000103</v>
      </c>
      <c r="AF1241">
        <v>0.30091094465014601</v>
      </c>
      <c r="AG1241">
        <v>-0.25864300000000001</v>
      </c>
      <c r="AH1241">
        <v>100.344217571187</v>
      </c>
      <c r="AI1241">
        <v>90.147682180493604</v>
      </c>
      <c r="AJ1241">
        <v>89.828182670866596</v>
      </c>
      <c r="AK1241">
        <v>100.345002085663</v>
      </c>
      <c r="AL1241">
        <v>93.938409258530001</v>
      </c>
      <c r="AM1241">
        <v>90.827098416798506</v>
      </c>
      <c r="AN1241">
        <v>0.99999998585518801</v>
      </c>
    </row>
    <row r="1242" spans="1:40" x14ac:dyDescent="0.25">
      <c r="A1242" t="str">
        <f>"20190303153801566"</f>
        <v>20190303153801566</v>
      </c>
      <c r="B1242" t="str">
        <f>"1551598681559763"</f>
        <v>1551598681559763</v>
      </c>
      <c r="C1242" t="s">
        <v>40</v>
      </c>
      <c r="D1242">
        <v>4.2578870000000002</v>
      </c>
      <c r="E1242">
        <v>0.506909099999999</v>
      </c>
      <c r="F1242" t="s">
        <v>41</v>
      </c>
      <c r="G1242">
        <v>-158.78319999999999</v>
      </c>
      <c r="H1242">
        <v>0.82722689999999999</v>
      </c>
      <c r="I1242">
        <v>368.00110000000001</v>
      </c>
      <c r="J1242">
        <v>-258.9402</v>
      </c>
      <c r="K1242">
        <v>1.120725</v>
      </c>
      <c r="L1242">
        <v>367.12329999999997</v>
      </c>
      <c r="M1242">
        <v>0.99982599999999999</v>
      </c>
      <c r="N1242">
        <v>-1.422903E-2</v>
      </c>
      <c r="O1242">
        <v>1.2076160000000001E-2</v>
      </c>
      <c r="P1242">
        <v>0.99616689999999997</v>
      </c>
      <c r="Q1242">
        <v>-8.3389309999999994E-2</v>
      </c>
      <c r="R1242">
        <v>2.6419640000000001E-2</v>
      </c>
      <c r="S1242">
        <v>3.009979</v>
      </c>
      <c r="T1242">
        <v>-8.8013409999999903E-3</v>
      </c>
      <c r="U1242">
        <v>2.6397710000000001E-2</v>
      </c>
      <c r="V1242">
        <v>-1.438907E-2</v>
      </c>
      <c r="W1242">
        <v>-6.9202360000000004E-2</v>
      </c>
      <c r="X1242">
        <v>0.99749889999999997</v>
      </c>
      <c r="Y1242">
        <v>3.3069750000000002E-3</v>
      </c>
      <c r="Z1242">
        <v>1.081705E-4</v>
      </c>
      <c r="AA1242">
        <v>0.99999450000000001</v>
      </c>
      <c r="AB1242">
        <v>37</v>
      </c>
      <c r="AC1242">
        <v>100.157</v>
      </c>
      <c r="AD1242">
        <v>-0.29349809999999998</v>
      </c>
      <c r="AE1242">
        <v>0.877800000000036</v>
      </c>
      <c r="AF1242">
        <v>0.33189539051095801</v>
      </c>
      <c r="AG1242">
        <v>-0.29349809999999998</v>
      </c>
      <c r="AH1242">
        <v>100.159436635991</v>
      </c>
      <c r="AI1242">
        <v>90.167892936854599</v>
      </c>
      <c r="AJ1242">
        <v>89.810141349099595</v>
      </c>
      <c r="AK1242">
        <v>100.16041654727699</v>
      </c>
      <c r="AL1242">
        <v>93.968174577143301</v>
      </c>
      <c r="AM1242">
        <v>90.826442821374599</v>
      </c>
      <c r="AN1242">
        <v>1.0000000337331201</v>
      </c>
    </row>
    <row r="1243" spans="1:40" x14ac:dyDescent="0.25">
      <c r="A1243" t="str">
        <f>"20190303153801578"</f>
        <v>20190303153801578</v>
      </c>
      <c r="B1243" t="str">
        <f>"1551598681570498"</f>
        <v>1551598681570498</v>
      </c>
      <c r="C1243" t="s">
        <v>40</v>
      </c>
      <c r="D1243">
        <v>4.2798319999999999</v>
      </c>
      <c r="E1243">
        <v>0.50693109999999997</v>
      </c>
      <c r="F1243" t="s">
        <v>41</v>
      </c>
      <c r="G1243">
        <v>-158.78319999999999</v>
      </c>
      <c r="H1243">
        <v>0.76005219999999996</v>
      </c>
      <c r="I1243">
        <v>367.99669999999998</v>
      </c>
      <c r="J1243">
        <v>-258.74290000000002</v>
      </c>
      <c r="K1243">
        <v>1.1207499999999999</v>
      </c>
      <c r="L1243">
        <v>367.12560000000002</v>
      </c>
      <c r="M1243">
        <v>0.99982389999999999</v>
      </c>
      <c r="N1243">
        <v>-1.436056E-2</v>
      </c>
      <c r="O1243">
        <v>1.207622E-2</v>
      </c>
      <c r="P1243">
        <v>0.99611499999999997</v>
      </c>
      <c r="Q1243">
        <v>-8.4102570000000001E-2</v>
      </c>
      <c r="R1243">
        <v>2.6104599999999999E-2</v>
      </c>
      <c r="S1243">
        <v>3.0098720000000001</v>
      </c>
      <c r="T1243">
        <v>-1.0836119999999999E-2</v>
      </c>
      <c r="U1243">
        <v>2.624512E-2</v>
      </c>
      <c r="V1243">
        <v>-1.407457E-2</v>
      </c>
      <c r="W1243">
        <v>-6.9785159999999999E-2</v>
      </c>
      <c r="X1243">
        <v>0.99746270000000004</v>
      </c>
      <c r="Y1243">
        <v>3.357484E-3</v>
      </c>
      <c r="Z1243" s="1">
        <v>9.98062E-5</v>
      </c>
      <c r="AA1243">
        <v>0.9999943</v>
      </c>
      <c r="AB1243">
        <v>37</v>
      </c>
      <c r="AC1243">
        <v>99.959699999999998</v>
      </c>
      <c r="AD1243">
        <v>-0.36069780000000001</v>
      </c>
      <c r="AE1243">
        <v>0.87109999999995502</v>
      </c>
      <c r="AF1243">
        <v>0.33621904047524298</v>
      </c>
      <c r="AG1243">
        <v>-0.36069780000000001</v>
      </c>
      <c r="AH1243">
        <v>99.9616286148471</v>
      </c>
      <c r="AI1243">
        <v>90.206741880009105</v>
      </c>
      <c r="AJ1243">
        <v>89.807287459855502</v>
      </c>
      <c r="AK1243">
        <v>99.962844804851002</v>
      </c>
      <c r="AL1243">
        <v>94.001647817027603</v>
      </c>
      <c r="AM1243">
        <v>90.808411127734999</v>
      </c>
      <c r="AN1243">
        <v>0.99999994998409802</v>
      </c>
    </row>
    <row r="1244" spans="1:40" x14ac:dyDescent="0.25">
      <c r="A1244" t="str">
        <f>"20190303153801590"</f>
        <v>20190303153801590</v>
      </c>
      <c r="B1244" t="str">
        <f>"1551598681580259"</f>
        <v>1551598681580259</v>
      </c>
      <c r="C1244" t="s">
        <v>40</v>
      </c>
      <c r="D1244">
        <v>4.3131180000000002</v>
      </c>
      <c r="E1244">
        <v>0.50696830000000004</v>
      </c>
      <c r="F1244" t="s">
        <v>41</v>
      </c>
      <c r="G1244">
        <v>-158.78319999999999</v>
      </c>
      <c r="H1244">
        <v>0.69149629999999995</v>
      </c>
      <c r="I1244">
        <v>367.95670000000001</v>
      </c>
      <c r="J1244">
        <v>-258.55380000000002</v>
      </c>
      <c r="K1244">
        <v>1.1207780000000001</v>
      </c>
      <c r="L1244">
        <v>367.12799999999999</v>
      </c>
      <c r="M1244">
        <v>0.99982179999999998</v>
      </c>
      <c r="N1244">
        <v>-1.450741E-2</v>
      </c>
      <c r="O1244">
        <v>1.2076150000000001E-2</v>
      </c>
      <c r="P1244">
        <v>0.9960772</v>
      </c>
      <c r="Q1244">
        <v>-8.4681290000000006E-2</v>
      </c>
      <c r="R1244">
        <v>2.5675989999999999E-2</v>
      </c>
      <c r="S1244">
        <v>3.009979</v>
      </c>
      <c r="T1244">
        <v>-1.2923E-2</v>
      </c>
      <c r="U1244">
        <v>2.502441E-2</v>
      </c>
      <c r="V1244">
        <v>-1.364657E-2</v>
      </c>
      <c r="W1244">
        <v>-7.0217940000000006E-2</v>
      </c>
      <c r="X1244">
        <v>0.9974383</v>
      </c>
      <c r="Y1244">
        <v>3.7633020000000001E-3</v>
      </c>
      <c r="Z1244" s="1">
        <v>8.7983580000000001E-5</v>
      </c>
      <c r="AA1244">
        <v>0.99999289999999996</v>
      </c>
      <c r="AB1244">
        <v>37</v>
      </c>
      <c r="AC1244">
        <v>99.770600000000002</v>
      </c>
      <c r="AD1244">
        <v>-0.42928169999999999</v>
      </c>
      <c r="AE1244">
        <v>0.82869999999996902</v>
      </c>
      <c r="AF1244">
        <v>0.37632505664784499</v>
      </c>
      <c r="AG1244">
        <v>-0.42928169999999999</v>
      </c>
      <c r="AH1244">
        <v>99.771484865064593</v>
      </c>
      <c r="AI1244">
        <v>90.246520365292696</v>
      </c>
      <c r="AJ1244">
        <v>89.783888801018193</v>
      </c>
      <c r="AK1244">
        <v>99.7731181005487</v>
      </c>
      <c r="AL1244">
        <v>94.026505162712397</v>
      </c>
      <c r="AM1244">
        <v>90.783850073524206</v>
      </c>
      <c r="AN1244">
        <v>0.99999997513874805</v>
      </c>
    </row>
    <row r="1245" spans="1:40" x14ac:dyDescent="0.25">
      <c r="A1245" t="str">
        <f>"20190303153801601"</f>
        <v>20190303153801601</v>
      </c>
      <c r="B1245" t="str">
        <f>"1551598681590019"</f>
        <v>1551598681590019</v>
      </c>
      <c r="C1245" t="s">
        <v>40</v>
      </c>
      <c r="D1245">
        <v>4.2835580000000002</v>
      </c>
      <c r="E1245">
        <v>0.50699349999999999</v>
      </c>
      <c r="F1245" t="s">
        <v>41</v>
      </c>
      <c r="G1245">
        <v>-158.78319999999999</v>
      </c>
      <c r="H1245">
        <v>0.63782229999999995</v>
      </c>
      <c r="I1245">
        <v>367.90589999999997</v>
      </c>
      <c r="J1245">
        <v>-258.36009999999999</v>
      </c>
      <c r="K1245">
        <v>1.1208309999999999</v>
      </c>
      <c r="L1245">
        <v>367.1302</v>
      </c>
      <c r="M1245">
        <v>0.99981830000000005</v>
      </c>
      <c r="N1245">
        <v>-1.47537999999999E-2</v>
      </c>
      <c r="O1245">
        <v>1.207599E-2</v>
      </c>
      <c r="P1245">
        <v>0.99607290000000004</v>
      </c>
      <c r="Q1245">
        <v>-8.4865280000000001E-2</v>
      </c>
      <c r="R1245">
        <v>2.523417E-2</v>
      </c>
      <c r="S1245">
        <v>3.0099490000000002</v>
      </c>
      <c r="T1245">
        <v>-1.4567490000000001E-2</v>
      </c>
      <c r="U1245">
        <v>2.3468019999999999E-2</v>
      </c>
      <c r="V1245">
        <v>-1.320525E-2</v>
      </c>
      <c r="W1245">
        <v>-7.0156289999999996E-2</v>
      </c>
      <c r="X1245">
        <v>0.99744860000000002</v>
      </c>
      <c r="Y1245">
        <v>4.28013E-3</v>
      </c>
      <c r="Z1245" s="1">
        <v>7.7804750000000001E-5</v>
      </c>
      <c r="AA1245">
        <v>0.99999079999999996</v>
      </c>
      <c r="AB1245">
        <v>37</v>
      </c>
      <c r="AC1245">
        <v>99.576899999999995</v>
      </c>
      <c r="AD1245">
        <v>-0.48300869999999901</v>
      </c>
      <c r="AE1245">
        <v>0.77569999999997197</v>
      </c>
      <c r="AF1245">
        <v>0.42696699234739299</v>
      </c>
      <c r="AG1245">
        <v>-0.48300869999999901</v>
      </c>
      <c r="AH1245">
        <v>99.576663154298998</v>
      </c>
      <c r="AI1245">
        <v>90.277915403730702</v>
      </c>
      <c r="AJ1245">
        <v>89.754327410094604</v>
      </c>
      <c r="AK1245">
        <v>99.578749957817493</v>
      </c>
      <c r="AL1245">
        <v>94.022964058439399</v>
      </c>
      <c r="AM1245">
        <v>90.758496120202594</v>
      </c>
      <c r="AN1245">
        <v>0.99999999664804295</v>
      </c>
    </row>
    <row r="1246" spans="1:40" x14ac:dyDescent="0.25">
      <c r="A1246" t="str">
        <f>"20190303153801613"</f>
        <v>20190303153801613</v>
      </c>
      <c r="B1246" t="str">
        <f>"1551598681599779"</f>
        <v>1551598681599779</v>
      </c>
      <c r="C1246" t="s">
        <v>40</v>
      </c>
      <c r="D1246">
        <v>4.2863280000000001</v>
      </c>
      <c r="E1246">
        <v>0.50701960000000001</v>
      </c>
      <c r="F1246" t="s">
        <v>41</v>
      </c>
      <c r="G1246">
        <v>-158.78319999999999</v>
      </c>
      <c r="H1246">
        <v>0.61693750000000003</v>
      </c>
      <c r="I1246">
        <v>367.86020000000002</v>
      </c>
      <c r="J1246">
        <v>-258.18130000000002</v>
      </c>
      <c r="K1246">
        <v>1.1208880000000001</v>
      </c>
      <c r="L1246">
        <v>367.13240000000002</v>
      </c>
      <c r="M1246">
        <v>0.9998146</v>
      </c>
      <c r="N1246">
        <v>-1.5009430000000001E-2</v>
      </c>
      <c r="O1246">
        <v>1.207573E-2</v>
      </c>
      <c r="P1246">
        <v>0.99604910000000002</v>
      </c>
      <c r="Q1246">
        <v>-8.5303439999999994E-2</v>
      </c>
      <c r="R1246">
        <v>2.4699019999999999E-2</v>
      </c>
      <c r="S1246">
        <v>3.009979</v>
      </c>
      <c r="T1246">
        <v>-1.522887E-2</v>
      </c>
      <c r="U1246">
        <v>2.2064210000000001E-2</v>
      </c>
      <c r="V1246">
        <v>-1.267049E-2</v>
      </c>
      <c r="W1246">
        <v>-7.0339860000000004E-2</v>
      </c>
      <c r="X1246">
        <v>0.99744259999999996</v>
      </c>
      <c r="Y1246">
        <v>4.746302E-3</v>
      </c>
      <c r="Z1246" s="1">
        <v>7.2541860000000001E-5</v>
      </c>
      <c r="AA1246">
        <v>0.99998869999999895</v>
      </c>
      <c r="AB1246">
        <v>37</v>
      </c>
      <c r="AC1246">
        <v>99.398099999999999</v>
      </c>
      <c r="AD1246">
        <v>-0.50395049999999897</v>
      </c>
      <c r="AE1246">
        <v>0.727800000000002</v>
      </c>
      <c r="AF1246">
        <v>0.47268056987553703</v>
      </c>
      <c r="AG1246">
        <v>-0.50395049999999897</v>
      </c>
      <c r="AH1246">
        <v>99.397085655963394</v>
      </c>
      <c r="AI1246">
        <v>90.290488022473795</v>
      </c>
      <c r="AJ1246">
        <v>89.727533283475907</v>
      </c>
      <c r="AK1246">
        <v>99.3994870707416</v>
      </c>
      <c r="AL1246">
        <v>94.033507924601295</v>
      </c>
      <c r="AM1246">
        <v>90.727787801036897</v>
      </c>
      <c r="AN1246">
        <v>0.99999998875820895</v>
      </c>
    </row>
    <row r="1247" spans="1:40" x14ac:dyDescent="0.25">
      <c r="A1247" t="str">
        <f>"20190303153801624"</f>
        <v>20190303153801624</v>
      </c>
      <c r="B1247" t="str">
        <f>"1551598681620275"</f>
        <v>1551598681620275</v>
      </c>
      <c r="C1247" t="s">
        <v>40</v>
      </c>
      <c r="D1247">
        <v>4.2896739999999998</v>
      </c>
      <c r="E1247">
        <v>0.50709040000000005</v>
      </c>
      <c r="F1247" t="s">
        <v>41</v>
      </c>
      <c r="G1247">
        <v>-158.78319999999999</v>
      </c>
      <c r="H1247">
        <v>0.56524759999999996</v>
      </c>
      <c r="I1247">
        <v>367.7885</v>
      </c>
      <c r="J1247">
        <v>-257.9896</v>
      </c>
      <c r="K1247">
        <v>1.120962</v>
      </c>
      <c r="L1247">
        <v>367.13479999999998</v>
      </c>
      <c r="M1247">
        <v>0.99980939999999996</v>
      </c>
      <c r="N1247">
        <v>-1.5349049999999999E-2</v>
      </c>
      <c r="O1247">
        <v>1.207597E-2</v>
      </c>
      <c r="P1247">
        <v>0.99605359999999998</v>
      </c>
      <c r="Q1247">
        <v>-8.5382970000000002E-2</v>
      </c>
      <c r="R1247">
        <v>2.4233830000000001E-2</v>
      </c>
      <c r="S1247">
        <v>3.0099640000000001</v>
      </c>
      <c r="T1247">
        <v>-1.6823169999999998E-2</v>
      </c>
      <c r="U1247">
        <v>1.986694E-2</v>
      </c>
      <c r="V1247">
        <v>-1.220508E-2</v>
      </c>
      <c r="W1247">
        <v>-7.0080630000000005E-2</v>
      </c>
      <c r="X1247">
        <v>0.99746670000000004</v>
      </c>
      <c r="Y1247">
        <v>5.476468E-3</v>
      </c>
      <c r="Z1247" s="1">
        <v>6.0542399999999998E-5</v>
      </c>
      <c r="AA1247">
        <v>0.99998500000000001</v>
      </c>
      <c r="AB1247">
        <v>37</v>
      </c>
      <c r="AC1247">
        <v>99.206400000000002</v>
      </c>
      <c r="AD1247">
        <v>-0.55571440000000005</v>
      </c>
      <c r="AE1247">
        <v>0.65370000000001405</v>
      </c>
      <c r="AF1247">
        <v>0.54448509524577204</v>
      </c>
      <c r="AG1247">
        <v>-0.55571440000000005</v>
      </c>
      <c r="AH1247">
        <v>99.203946759743701</v>
      </c>
      <c r="AI1247">
        <v>90.320947685935494</v>
      </c>
      <c r="AJ1247">
        <v>89.685532826742403</v>
      </c>
      <c r="AK1247">
        <v>99.206997410582701</v>
      </c>
      <c r="AL1247">
        <v>94.018618196533893</v>
      </c>
      <c r="AM1247">
        <v>90.701040621878903</v>
      </c>
      <c r="AN1247">
        <v>1.00000003814394</v>
      </c>
    </row>
    <row r="1248" spans="1:40" x14ac:dyDescent="0.25">
      <c r="A1248" t="str">
        <f>"20190303153801637"</f>
        <v>20190303153801637</v>
      </c>
      <c r="B1248" t="str">
        <f>"1551598681630034"</f>
        <v>1551598681630034</v>
      </c>
      <c r="C1248" t="s">
        <v>40</v>
      </c>
      <c r="D1248">
        <v>4.2829350000000002</v>
      </c>
      <c r="E1248">
        <v>0.50712479999999904</v>
      </c>
      <c r="F1248" t="s">
        <v>41</v>
      </c>
      <c r="G1248">
        <v>-158.78319999999999</v>
      </c>
      <c r="H1248">
        <v>0.56348299999999996</v>
      </c>
      <c r="I1248">
        <v>367.71510000000001</v>
      </c>
      <c r="J1248">
        <v>-257.7824</v>
      </c>
      <c r="K1248">
        <v>1.121043</v>
      </c>
      <c r="L1248">
        <v>367.13720000000001</v>
      </c>
      <c r="M1248">
        <v>0.999803</v>
      </c>
      <c r="N1248">
        <v>-1.575472E-2</v>
      </c>
      <c r="O1248">
        <v>1.2076109999999999E-2</v>
      </c>
      <c r="P1248">
        <v>0.99604630000000005</v>
      </c>
      <c r="Q1248">
        <v>-8.5533620000000005E-2</v>
      </c>
      <c r="R1248">
        <v>2.399898E-2</v>
      </c>
      <c r="S1248">
        <v>3.0100099999999999</v>
      </c>
      <c r="T1248">
        <v>-1.691175E-2</v>
      </c>
      <c r="U1248">
        <v>1.7608639999999998E-2</v>
      </c>
      <c r="V1248">
        <v>-1.197033E-2</v>
      </c>
      <c r="W1248">
        <v>-6.9826739999999998E-2</v>
      </c>
      <c r="X1248">
        <v>0.99748729999999997</v>
      </c>
      <c r="Y1248">
        <v>6.2269059999999999E-3</v>
      </c>
      <c r="Z1248" s="1">
        <v>5.5877890000000002E-5</v>
      </c>
      <c r="AA1248">
        <v>0.9999806</v>
      </c>
      <c r="AB1248">
        <v>37</v>
      </c>
      <c r="AC1248">
        <v>98.999200000000002</v>
      </c>
      <c r="AD1248">
        <v>-0.55755999999999994</v>
      </c>
      <c r="AE1248">
        <v>0.57789999999999897</v>
      </c>
      <c r="AF1248">
        <v>0.61779613386796794</v>
      </c>
      <c r="AG1248">
        <v>-0.55755999999999994</v>
      </c>
      <c r="AH1248">
        <v>98.995819003932098</v>
      </c>
      <c r="AI1248">
        <v>90.322689133056599</v>
      </c>
      <c r="AJ1248">
        <v>89.642442964578905</v>
      </c>
      <c r="AK1248">
        <v>98.999316792975407</v>
      </c>
      <c r="AL1248">
        <v>94.004035848795198</v>
      </c>
      <c r="AM1248">
        <v>90.687544059758096</v>
      </c>
      <c r="AN1248">
        <v>0.99999998804031298</v>
      </c>
    </row>
    <row r="1249" spans="1:40" x14ac:dyDescent="0.25">
      <c r="A1249" t="str">
        <f>"20190303153801650"</f>
        <v>20190303153801650</v>
      </c>
      <c r="B1249" t="str">
        <f>"1551598681639795"</f>
        <v>1551598681639795</v>
      </c>
      <c r="C1249" t="s">
        <v>40</v>
      </c>
      <c r="D1249">
        <v>4.2740460000000002</v>
      </c>
      <c r="E1249">
        <v>0.50715429999999995</v>
      </c>
      <c r="F1249" t="s">
        <v>41</v>
      </c>
      <c r="G1249">
        <v>-158.78319999999999</v>
      </c>
      <c r="H1249">
        <v>0.54927959999999998</v>
      </c>
      <c r="I1249">
        <v>367.69630000000001</v>
      </c>
      <c r="J1249">
        <v>-257.57330000000002</v>
      </c>
      <c r="K1249">
        <v>1.1211310000000001</v>
      </c>
      <c r="L1249">
        <v>367.13979999999998</v>
      </c>
      <c r="M1249">
        <v>0.99979609999999997</v>
      </c>
      <c r="N1249">
        <v>-1.6190139999999999E-2</v>
      </c>
      <c r="O1249">
        <v>1.207592E-2</v>
      </c>
      <c r="P1249">
        <v>0.99604539999999997</v>
      </c>
      <c r="Q1249">
        <v>-8.5718470000000005E-2</v>
      </c>
      <c r="R1249">
        <v>2.3370910000000002E-2</v>
      </c>
      <c r="S1249">
        <v>3.0100099999999999</v>
      </c>
      <c r="T1249">
        <v>-1.738143E-2</v>
      </c>
      <c r="U1249">
        <v>1.6998289999999999E-2</v>
      </c>
      <c r="V1249">
        <v>-1.134173E-2</v>
      </c>
      <c r="W1249">
        <v>-6.9577310000000003E-2</v>
      </c>
      <c r="X1249">
        <v>0.99751210000000001</v>
      </c>
      <c r="Y1249">
        <v>6.4294929999999997E-3</v>
      </c>
      <c r="Z1249" s="1">
        <v>5.5184259999999997E-5</v>
      </c>
      <c r="AA1249">
        <v>0.99997930000000002</v>
      </c>
      <c r="AB1249">
        <v>36</v>
      </c>
      <c r="AC1249">
        <v>98.790099999999995</v>
      </c>
      <c r="AD1249">
        <v>-0.57185139999999901</v>
      </c>
      <c r="AE1249">
        <v>0.55650000000002797</v>
      </c>
      <c r="AF1249">
        <v>0.63665687096815904</v>
      </c>
      <c r="AG1249">
        <v>-0.57185139999999901</v>
      </c>
      <c r="AH1249">
        <v>98.786305848082193</v>
      </c>
      <c r="AI1249">
        <v>90.3316616111249</v>
      </c>
      <c r="AJ1249">
        <v>89.630745918011897</v>
      </c>
      <c r="AK1249">
        <v>98.790012496739095</v>
      </c>
      <c r="AL1249">
        <v>93.989709618246707</v>
      </c>
      <c r="AM1249">
        <v>90.651425943257095</v>
      </c>
      <c r="AN1249">
        <v>1.0000000132763101</v>
      </c>
    </row>
    <row r="1250" spans="1:40" x14ac:dyDescent="0.25">
      <c r="A1250" t="str">
        <f>"20190303153801663"</f>
        <v>20190303153801663</v>
      </c>
      <c r="B1250" t="str">
        <f>"1551598681650531"</f>
        <v>1551598681650531</v>
      </c>
      <c r="C1250" t="s">
        <v>40</v>
      </c>
      <c r="D1250">
        <v>4.2874660000000002</v>
      </c>
      <c r="E1250">
        <v>0.50714250000000005</v>
      </c>
      <c r="F1250" t="s">
        <v>41</v>
      </c>
      <c r="G1250">
        <v>-158.78319999999999</v>
      </c>
      <c r="H1250">
        <v>0.53419669999999997</v>
      </c>
      <c r="I1250">
        <v>367.62259999999998</v>
      </c>
      <c r="J1250">
        <v>-257.37099999999998</v>
      </c>
      <c r="K1250">
        <v>1.1212139999999999</v>
      </c>
      <c r="L1250">
        <v>367.1422</v>
      </c>
      <c r="M1250">
        <v>0.99978869999999997</v>
      </c>
      <c r="N1250">
        <v>-1.6642319999999999E-2</v>
      </c>
      <c r="O1250">
        <v>1.2075489999999999E-2</v>
      </c>
      <c r="P1250">
        <v>0.99603680000000006</v>
      </c>
      <c r="Q1250">
        <v>-8.5859669999999999E-2</v>
      </c>
      <c r="R1250">
        <v>2.321875E-2</v>
      </c>
      <c r="S1250">
        <v>3.0100250000000002</v>
      </c>
      <c r="T1250">
        <v>-1.788056E-2</v>
      </c>
      <c r="U1250">
        <v>1.4709470000000001E-2</v>
      </c>
      <c r="V1250">
        <v>-1.1190719999999999E-2</v>
      </c>
      <c r="W1250">
        <v>-6.9267549999999997E-2</v>
      </c>
      <c r="X1250">
        <v>0.99753530000000001</v>
      </c>
      <c r="Y1250">
        <v>7.1894319999999999E-3</v>
      </c>
      <c r="Z1250" s="1">
        <v>4.807128E-5</v>
      </c>
      <c r="AA1250">
        <v>0.99997409999999998</v>
      </c>
      <c r="AB1250">
        <v>36</v>
      </c>
      <c r="AC1250">
        <v>98.587800000000001</v>
      </c>
      <c r="AD1250">
        <v>-0.58701729999999996</v>
      </c>
      <c r="AE1250">
        <v>0.48039999999997401</v>
      </c>
      <c r="AF1250">
        <v>0.71027061045448503</v>
      </c>
      <c r="AG1250">
        <v>-0.58701729999999996</v>
      </c>
      <c r="AH1250">
        <v>98.582916708153306</v>
      </c>
      <c r="AI1250">
        <v>90.341157926018795</v>
      </c>
      <c r="AJ1250">
        <v>89.587202270790101</v>
      </c>
      <c r="AK1250">
        <v>98.587223007534107</v>
      </c>
      <c r="AL1250">
        <v>93.971919005519894</v>
      </c>
      <c r="AM1250">
        <v>90.642738286865395</v>
      </c>
      <c r="AN1250">
        <v>0.99999995022160404</v>
      </c>
    </row>
    <row r="1251" spans="1:40" x14ac:dyDescent="0.25">
      <c r="A1251" t="str">
        <f>"20190303153801676"</f>
        <v>20190303153801676</v>
      </c>
      <c r="B1251" t="str">
        <f>"1551598681670050"</f>
        <v>1551598681670050</v>
      </c>
      <c r="C1251" t="s">
        <v>40</v>
      </c>
      <c r="D1251">
        <v>4.3373400000000002</v>
      </c>
      <c r="E1251">
        <v>0.50720169999999998</v>
      </c>
      <c r="F1251" t="s">
        <v>41</v>
      </c>
      <c r="G1251">
        <v>-158.78319999999999</v>
      </c>
      <c r="H1251">
        <v>0.51983020000000002</v>
      </c>
      <c r="I1251">
        <v>367.60899999999998</v>
      </c>
      <c r="J1251">
        <v>-257.15559999999999</v>
      </c>
      <c r="K1251">
        <v>1.1213040000000001</v>
      </c>
      <c r="L1251">
        <v>367.14479999999998</v>
      </c>
      <c r="M1251">
        <v>0.99978040000000001</v>
      </c>
      <c r="N1251">
        <v>-1.7131710000000001E-2</v>
      </c>
      <c r="O1251">
        <v>1.207535E-2</v>
      </c>
      <c r="P1251">
        <v>0.99602630000000003</v>
      </c>
      <c r="Q1251">
        <v>-8.6010690000000001E-2</v>
      </c>
      <c r="R1251">
        <v>2.310514E-2</v>
      </c>
      <c r="S1251">
        <v>3.009995</v>
      </c>
      <c r="T1251">
        <v>-1.835823E-2</v>
      </c>
      <c r="U1251">
        <v>1.4251710000000001E-2</v>
      </c>
      <c r="V1251">
        <v>-1.1076819999999999E-2</v>
      </c>
      <c r="W1251">
        <v>-6.893051E-2</v>
      </c>
      <c r="X1251">
        <v>0.99756</v>
      </c>
      <c r="Y1251">
        <v>7.34133599999999E-3</v>
      </c>
      <c r="Z1251" s="1">
        <v>4.7969039999999997E-5</v>
      </c>
      <c r="AA1251">
        <v>0.99997309999999995</v>
      </c>
      <c r="AB1251">
        <v>36</v>
      </c>
      <c r="AC1251">
        <v>98.372399999999999</v>
      </c>
      <c r="AD1251">
        <v>-0.60147379999999995</v>
      </c>
      <c r="AE1251">
        <v>0.46420000000006201</v>
      </c>
      <c r="AF1251">
        <v>0.72386221812168805</v>
      </c>
      <c r="AG1251">
        <v>-0.60147379999999995</v>
      </c>
      <c r="AH1251">
        <v>98.367154507973297</v>
      </c>
      <c r="AI1251">
        <v>90.350325755683002</v>
      </c>
      <c r="AJ1251">
        <v>89.578380592116702</v>
      </c>
      <c r="AK1251">
        <v>98.371656655961601</v>
      </c>
      <c r="AL1251">
        <v>93.952561442136997</v>
      </c>
      <c r="AM1251">
        <v>90.6361812369082</v>
      </c>
      <c r="AN1251">
        <v>1.00000003237508</v>
      </c>
    </row>
    <row r="1252" spans="1:40" x14ac:dyDescent="0.25">
      <c r="A1252" t="str">
        <f>"20190303153801688"</f>
        <v>20190303153801688</v>
      </c>
      <c r="B1252" t="str">
        <f>"1551598681679811"</f>
        <v>1551598681679811</v>
      </c>
      <c r="C1252" t="s">
        <v>40</v>
      </c>
      <c r="D1252">
        <v>4.3397589999999999</v>
      </c>
      <c r="E1252">
        <v>0.50723430000000003</v>
      </c>
      <c r="F1252" t="s">
        <v>41</v>
      </c>
      <c r="G1252">
        <v>-158.78319999999999</v>
      </c>
      <c r="H1252">
        <v>0.51578219999999997</v>
      </c>
      <c r="I1252">
        <v>367.57859999999999</v>
      </c>
      <c r="J1252">
        <v>-256.9479</v>
      </c>
      <c r="K1252">
        <v>1.121381</v>
      </c>
      <c r="L1252">
        <v>367.14729999999997</v>
      </c>
      <c r="M1252">
        <v>0.99977210000000005</v>
      </c>
      <c r="N1252">
        <v>-1.7610919999999999E-2</v>
      </c>
      <c r="O1252">
        <v>1.2074939999999999E-2</v>
      </c>
      <c r="P1252">
        <v>0.99600520000000003</v>
      </c>
      <c r="Q1252">
        <v>-8.6367440000000004E-2</v>
      </c>
      <c r="R1252">
        <v>2.2683100000000001E-2</v>
      </c>
      <c r="S1252">
        <v>3.0100859999999998</v>
      </c>
      <c r="T1252">
        <v>-1.85256E-2</v>
      </c>
      <c r="U1252">
        <v>1.3275149999999999E-2</v>
      </c>
      <c r="V1252">
        <v>-1.065546E-2</v>
      </c>
      <c r="W1252">
        <v>-6.8809549999999997E-2</v>
      </c>
      <c r="X1252">
        <v>0.99757289999999998</v>
      </c>
      <c r="Y1252">
        <v>7.6654890000000002E-3</v>
      </c>
      <c r="Z1252" s="1">
        <v>4.726845E-5</v>
      </c>
      <c r="AA1252">
        <v>0.99997060000000004</v>
      </c>
      <c r="AB1252">
        <v>36</v>
      </c>
      <c r="AC1252">
        <v>98.164699999999996</v>
      </c>
      <c r="AD1252">
        <v>-0.60559879999999999</v>
      </c>
      <c r="AE1252">
        <v>0.431300000000021</v>
      </c>
      <c r="AF1252">
        <v>0.75421934782347699</v>
      </c>
      <c r="AG1252">
        <v>-0.60559879999999999</v>
      </c>
      <c r="AH1252">
        <v>98.159014058892694</v>
      </c>
      <c r="AI1252">
        <v>90.353475340323797</v>
      </c>
      <c r="AJ1252">
        <v>89.559768040859396</v>
      </c>
      <c r="AK1252">
        <v>98.163779663097202</v>
      </c>
      <c r="AL1252">
        <v>93.945614610138804</v>
      </c>
      <c r="AM1252">
        <v>90.611974994660997</v>
      </c>
      <c r="AN1252">
        <v>0.99999999190671196</v>
      </c>
    </row>
    <row r="1253" spans="1:40" x14ac:dyDescent="0.25">
      <c r="A1253" t="str">
        <f>"20190303153801702"</f>
        <v>20190303153801702</v>
      </c>
      <c r="B1253" t="str">
        <f>"1551598681689571"</f>
        <v>1551598681689571</v>
      </c>
      <c r="C1253" t="s">
        <v>40</v>
      </c>
      <c r="D1253">
        <v>4.3179980000000002</v>
      </c>
      <c r="E1253">
        <v>0.50722290000000003</v>
      </c>
      <c r="F1253" t="s">
        <v>41</v>
      </c>
      <c r="G1253">
        <v>-158.78319999999999</v>
      </c>
      <c r="H1253">
        <v>0.48716680000000001</v>
      </c>
      <c r="I1253">
        <v>367.53449999999998</v>
      </c>
      <c r="J1253">
        <v>-256.7534</v>
      </c>
      <c r="K1253">
        <v>1.121456</v>
      </c>
      <c r="L1253">
        <v>367.1497</v>
      </c>
      <c r="M1253">
        <v>0.99976419999999999</v>
      </c>
      <c r="N1253">
        <v>-1.8054549999999999E-2</v>
      </c>
      <c r="O1253">
        <v>1.20747999999999E-2</v>
      </c>
      <c r="P1253">
        <v>0.99595060000000002</v>
      </c>
      <c r="Q1253">
        <v>-8.6994890000000005E-2</v>
      </c>
      <c r="R1253">
        <v>2.268003E-2</v>
      </c>
      <c r="S1253">
        <v>3.0101010000000001</v>
      </c>
      <c r="T1253">
        <v>-1.9444699999999999E-2</v>
      </c>
      <c r="U1253">
        <v>1.1871339999999999E-2</v>
      </c>
      <c r="V1253">
        <v>-1.065294E-2</v>
      </c>
      <c r="W1253">
        <v>-6.8995249999999994E-2</v>
      </c>
      <c r="X1253">
        <v>0.99756009999999995</v>
      </c>
      <c r="Y1253">
        <v>8.1317090000000009E-3</v>
      </c>
      <c r="Z1253" s="1">
        <v>4.0352770000000002E-5</v>
      </c>
      <c r="AA1253">
        <v>0.99996689999999999</v>
      </c>
      <c r="AB1253">
        <v>36</v>
      </c>
      <c r="AC1253">
        <v>97.970200000000006</v>
      </c>
      <c r="AD1253">
        <v>-0.6342892</v>
      </c>
      <c r="AE1253">
        <v>0.38479999999998399</v>
      </c>
      <c r="AF1253">
        <v>0.79835788885140202</v>
      </c>
      <c r="AG1253">
        <v>-0.6342892</v>
      </c>
      <c r="AH1253">
        <v>97.963596242539495</v>
      </c>
      <c r="AI1253">
        <v>90.370957998591706</v>
      </c>
      <c r="AJ1253">
        <v>89.533076298703904</v>
      </c>
      <c r="AK1253">
        <v>97.968902652215206</v>
      </c>
      <c r="AL1253">
        <v>93.956279785364799</v>
      </c>
      <c r="AM1253">
        <v>90.611838124499201</v>
      </c>
      <c r="AN1253">
        <v>0.99999999138260798</v>
      </c>
    </row>
    <row r="1254" spans="1:40" x14ac:dyDescent="0.25">
      <c r="A1254" t="str">
        <f>"20190303153801713"</f>
        <v>20190303153801713</v>
      </c>
      <c r="B1254" t="str">
        <f>"1551598681710066"</f>
        <v>1551598681710066</v>
      </c>
      <c r="C1254" t="s">
        <v>40</v>
      </c>
      <c r="D1254">
        <v>4.3574909999999996</v>
      </c>
      <c r="E1254">
        <v>0.50726389999999999</v>
      </c>
      <c r="F1254" t="s">
        <v>41</v>
      </c>
      <c r="G1254">
        <v>-158.78319999999999</v>
      </c>
      <c r="H1254">
        <v>0.41940460000000002</v>
      </c>
      <c r="I1254">
        <v>367.5351</v>
      </c>
      <c r="J1254">
        <v>-256.56389999999999</v>
      </c>
      <c r="K1254">
        <v>1.121515</v>
      </c>
      <c r="L1254">
        <v>367.15190000000001</v>
      </c>
      <c r="M1254">
        <v>0.99975630000000004</v>
      </c>
      <c r="N1254">
        <v>-1.8480239999999998E-2</v>
      </c>
      <c r="O1254">
        <v>1.2074379999999999E-2</v>
      </c>
      <c r="P1254">
        <v>0.99592860000000005</v>
      </c>
      <c r="Q1254">
        <v>-8.7225380000000005E-2</v>
      </c>
      <c r="R1254">
        <v>2.276427E-2</v>
      </c>
      <c r="S1254">
        <v>3.0100709999999999</v>
      </c>
      <c r="T1254">
        <v>-2.1567340000000001E-2</v>
      </c>
      <c r="U1254">
        <v>1.184082E-2</v>
      </c>
      <c r="V1254">
        <v>-1.073823E-2</v>
      </c>
      <c r="W1254">
        <v>-6.8801340000000002E-2</v>
      </c>
      <c r="X1254">
        <v>0.99757260000000003</v>
      </c>
      <c r="Y1254">
        <v>8.1414060000000003E-3</v>
      </c>
      <c r="Z1254" s="1">
        <v>3.2251240000000003E-5</v>
      </c>
      <c r="AA1254">
        <v>0.99996689999999999</v>
      </c>
      <c r="AB1254">
        <v>36</v>
      </c>
      <c r="AC1254">
        <v>97.780699999999996</v>
      </c>
      <c r="AD1254">
        <v>-0.70211040000000002</v>
      </c>
      <c r="AE1254">
        <v>0.38319999999998799</v>
      </c>
      <c r="AF1254">
        <v>0.79762982381054903</v>
      </c>
      <c r="AG1254">
        <v>-0.70211040000000002</v>
      </c>
      <c r="AH1254">
        <v>97.773156232217403</v>
      </c>
      <c r="AI1254">
        <v>90.411421030767897</v>
      </c>
      <c r="AJ1254">
        <v>89.532593500229893</v>
      </c>
      <c r="AK1254">
        <v>97.7789305114309</v>
      </c>
      <c r="AL1254">
        <v>93.945143010516404</v>
      </c>
      <c r="AM1254">
        <v>90.616728543456205</v>
      </c>
      <c r="AN1254">
        <v>1.0000000131200399</v>
      </c>
    </row>
    <row r="1255" spans="1:40" x14ac:dyDescent="0.25">
      <c r="A1255" t="str">
        <f>"20190303153801725"</f>
        <v>20190303153801725</v>
      </c>
      <c r="B1255" t="str">
        <f>"1551598681719827"</f>
        <v>1551598681719827</v>
      </c>
      <c r="C1255" t="s">
        <v>40</v>
      </c>
      <c r="D1255">
        <v>4.3670949999999999</v>
      </c>
      <c r="E1255">
        <v>0.50728830000000003</v>
      </c>
      <c r="F1255" t="s">
        <v>41</v>
      </c>
      <c r="G1255">
        <v>-158.78319999999999</v>
      </c>
      <c r="H1255">
        <v>0.41543150000000001</v>
      </c>
      <c r="I1255">
        <v>367.52969999999999</v>
      </c>
      <c r="J1255">
        <v>-256.37369999999999</v>
      </c>
      <c r="K1255">
        <v>1.121569</v>
      </c>
      <c r="L1255">
        <v>367.1542</v>
      </c>
      <c r="M1255">
        <v>0.99974870000000005</v>
      </c>
      <c r="N1255">
        <v>-1.889449E-2</v>
      </c>
      <c r="O1255">
        <v>1.207396E-2</v>
      </c>
      <c r="P1255">
        <v>0.99590350000000005</v>
      </c>
      <c r="Q1255">
        <v>-8.7433670000000005E-2</v>
      </c>
      <c r="R1255">
        <v>2.30584E-2</v>
      </c>
      <c r="S1255">
        <v>3.0100709999999999</v>
      </c>
      <c r="T1255">
        <v>-2.1733280000000001E-2</v>
      </c>
      <c r="U1255">
        <v>1.1627200000000001E-2</v>
      </c>
      <c r="V1255">
        <v>-1.103283E-2</v>
      </c>
      <c r="W1255">
        <v>-6.8596679999999993E-2</v>
      </c>
      <c r="X1255">
        <v>0.99758340000000001</v>
      </c>
      <c r="Y1255">
        <v>8.2119769999999901E-3</v>
      </c>
      <c r="Z1255" s="1">
        <v>3.3751499999999997E-5</v>
      </c>
      <c r="AA1255">
        <v>0.99996629999999997</v>
      </c>
      <c r="AB1255">
        <v>36</v>
      </c>
      <c r="AC1255">
        <v>97.590500000000006</v>
      </c>
      <c r="AD1255">
        <v>-0.70613749999999997</v>
      </c>
      <c r="AE1255">
        <v>0.37549999999998801</v>
      </c>
      <c r="AF1255">
        <v>0.80299937344244099</v>
      </c>
      <c r="AG1255">
        <v>-0.70613749999999997</v>
      </c>
      <c r="AH1255">
        <v>97.582809451665796</v>
      </c>
      <c r="AI1255">
        <v>90.414587598760306</v>
      </c>
      <c r="AJ1255">
        <v>89.528529288454607</v>
      </c>
      <c r="AK1255">
        <v>97.588668085197099</v>
      </c>
      <c r="AL1255">
        <v>93.933389399066101</v>
      </c>
      <c r="AM1255">
        <v>90.633640078664499</v>
      </c>
      <c r="AN1255">
        <v>0.99999993390019304</v>
      </c>
    </row>
    <row r="1256" spans="1:40" x14ac:dyDescent="0.25">
      <c r="A1256" t="str">
        <f>"20190303153801736"</f>
        <v>20190303153801736</v>
      </c>
      <c r="B1256" t="str">
        <f>"1551598681729586"</f>
        <v>1551598681729586</v>
      </c>
      <c r="C1256" t="s">
        <v>40</v>
      </c>
      <c r="D1256">
        <v>4.3280629999999896</v>
      </c>
      <c r="E1256">
        <v>0.50727829999999996</v>
      </c>
      <c r="F1256" t="s">
        <v>41</v>
      </c>
      <c r="G1256">
        <v>-158.78319999999999</v>
      </c>
      <c r="H1256">
        <v>0.40356140000000001</v>
      </c>
      <c r="I1256">
        <v>367.54899999999998</v>
      </c>
      <c r="J1256">
        <v>-256.20580000000001</v>
      </c>
      <c r="K1256">
        <v>1.121626</v>
      </c>
      <c r="L1256">
        <v>367.15629999999999</v>
      </c>
      <c r="M1256">
        <v>0.99974220000000003</v>
      </c>
      <c r="N1256">
        <v>-1.9238350000000001E-2</v>
      </c>
      <c r="O1256">
        <v>1.207368E-2</v>
      </c>
      <c r="P1256">
        <v>0.99594539999999998</v>
      </c>
      <c r="Q1256">
        <v>-8.6973339999999996E-2</v>
      </c>
      <c r="R1256">
        <v>2.2990159999999999E-2</v>
      </c>
      <c r="S1256">
        <v>3.0101469999999999</v>
      </c>
      <c r="T1256">
        <v>-2.2143960000000001E-2</v>
      </c>
      <c r="U1256">
        <v>1.217651E-2</v>
      </c>
      <c r="V1256">
        <v>-1.096447E-2</v>
      </c>
      <c r="W1256">
        <v>-6.7792549999999993E-2</v>
      </c>
      <c r="X1256">
        <v>0.99763919999999995</v>
      </c>
      <c r="Y1256">
        <v>8.0293450000000002E-3</v>
      </c>
      <c r="Z1256" s="1">
        <v>3.6713220000000001E-5</v>
      </c>
      <c r="AA1256">
        <v>0.99996779999999996</v>
      </c>
      <c r="AB1256">
        <v>36</v>
      </c>
      <c r="AC1256">
        <v>97.422600000000003</v>
      </c>
      <c r="AD1256">
        <v>-0.71806459999999905</v>
      </c>
      <c r="AE1256">
        <v>0.39270000000004701</v>
      </c>
      <c r="AF1256">
        <v>0.783752879192954</v>
      </c>
      <c r="AG1256">
        <v>-0.71806459999999905</v>
      </c>
      <c r="AH1256">
        <v>97.4149464197436</v>
      </c>
      <c r="AI1256">
        <v>90.422317066922403</v>
      </c>
      <c r="AJ1256">
        <v>89.539036206171403</v>
      </c>
      <c r="AK1256">
        <v>97.420745589976505</v>
      </c>
      <c r="AL1256">
        <v>93.887208330721506</v>
      </c>
      <c r="AM1256">
        <v>90.629679109885998</v>
      </c>
      <c r="AN1256">
        <v>1.00000001140726</v>
      </c>
    </row>
    <row r="1257" spans="1:40" x14ac:dyDescent="0.25">
      <c r="A1257" t="str">
        <f>"20190303153801746"</f>
        <v>20190303153801746</v>
      </c>
      <c r="B1257" t="str">
        <f>"1551598681740322"</f>
        <v>1551598681740322</v>
      </c>
      <c r="C1257" t="s">
        <v>40</v>
      </c>
      <c r="D1257">
        <v>4.3327879999999999</v>
      </c>
      <c r="E1257">
        <v>0.50727860000000002</v>
      </c>
      <c r="F1257" t="s">
        <v>41</v>
      </c>
      <c r="G1257">
        <v>-158.78319999999999</v>
      </c>
      <c r="H1257">
        <v>0.43903540000000002</v>
      </c>
      <c r="I1257">
        <v>367.5514</v>
      </c>
      <c r="J1257">
        <v>-256.03800000000001</v>
      </c>
      <c r="K1257">
        <v>1.1216649999999999</v>
      </c>
      <c r="L1257">
        <v>367.1583</v>
      </c>
      <c r="M1257">
        <v>0.9997357</v>
      </c>
      <c r="N1257">
        <v>-1.9569050000000001E-2</v>
      </c>
      <c r="O1257">
        <v>1.20734E-2</v>
      </c>
      <c r="P1257">
        <v>0.99593449999999994</v>
      </c>
      <c r="Q1257">
        <v>-8.7083999999999995E-2</v>
      </c>
      <c r="R1257">
        <v>2.3045699999999999E-2</v>
      </c>
      <c r="S1257">
        <v>3.0100859999999998</v>
      </c>
      <c r="T1257">
        <v>-2.1087410000000001E-2</v>
      </c>
      <c r="U1257">
        <v>1.2207030000000001E-2</v>
      </c>
      <c r="V1257">
        <v>-1.102029E-2</v>
      </c>
      <c r="W1257">
        <v>-6.7573389999999997E-2</v>
      </c>
      <c r="X1257">
        <v>0.99765340000000002</v>
      </c>
      <c r="Y1257">
        <v>8.0188640000000005E-3</v>
      </c>
      <c r="Z1257" s="1">
        <v>4.51596E-5</v>
      </c>
      <c r="AA1257">
        <v>0.99996790000000002</v>
      </c>
      <c r="AB1257">
        <v>35</v>
      </c>
      <c r="AC1257">
        <v>97.254800000000003</v>
      </c>
      <c r="AD1257">
        <v>-0.68262959999999895</v>
      </c>
      <c r="AE1257">
        <v>0.393100000000003</v>
      </c>
      <c r="AF1257">
        <v>0.78131105735622997</v>
      </c>
      <c r="AG1257">
        <v>-0.68262959999999895</v>
      </c>
      <c r="AH1257">
        <v>97.247664785360897</v>
      </c>
      <c r="AI1257">
        <v>90.402167914017397</v>
      </c>
      <c r="AJ1257">
        <v>89.539681872948293</v>
      </c>
      <c r="AK1257">
        <v>97.253199105968093</v>
      </c>
      <c r="AL1257">
        <v>93.874622733577596</v>
      </c>
      <c r="AM1257">
        <v>90.632875532073101</v>
      </c>
      <c r="AN1257">
        <v>0.99999995817966703</v>
      </c>
    </row>
    <row r="1258" spans="1:40" x14ac:dyDescent="0.25">
      <c r="A1258" t="str">
        <f>"20190303153801757"</f>
        <v>20190303153801757</v>
      </c>
      <c r="B1258" t="str">
        <f>"1551598681750083"</f>
        <v>1551598681750083</v>
      </c>
      <c r="C1258" t="s">
        <v>40</v>
      </c>
      <c r="D1258">
        <v>4.3890419999999999</v>
      </c>
      <c r="E1258">
        <v>0.50730450000000005</v>
      </c>
      <c r="F1258" t="s">
        <v>41</v>
      </c>
      <c r="G1258">
        <v>-158.78319999999999</v>
      </c>
      <c r="H1258">
        <v>0.41501490000000002</v>
      </c>
      <c r="I1258">
        <v>367.5616</v>
      </c>
      <c r="J1258">
        <v>-255.87289999999999</v>
      </c>
      <c r="K1258">
        <v>1.1216919999999999</v>
      </c>
      <c r="L1258">
        <v>367.16030000000001</v>
      </c>
      <c r="M1258">
        <v>0.9997298</v>
      </c>
      <c r="N1258">
        <v>-1.9861500000000001E-2</v>
      </c>
      <c r="O1258">
        <v>1.207333E-2</v>
      </c>
      <c r="P1258">
        <v>0.99597539999999996</v>
      </c>
      <c r="Q1258">
        <v>-8.6536109999999999E-2</v>
      </c>
      <c r="R1258">
        <v>2.333062E-2</v>
      </c>
      <c r="S1258">
        <v>3.01004</v>
      </c>
      <c r="T1258">
        <v>-2.186811E-2</v>
      </c>
      <c r="U1258">
        <v>1.248169E-2</v>
      </c>
      <c r="V1258">
        <v>-1.130398E-2</v>
      </c>
      <c r="W1258">
        <v>-6.6732879999999994E-2</v>
      </c>
      <c r="X1258">
        <v>0.9977068</v>
      </c>
      <c r="Y1258">
        <v>7.9275279999999997E-3</v>
      </c>
      <c r="Z1258" s="1">
        <v>4.4584030000000001E-5</v>
      </c>
      <c r="AA1258">
        <v>0.99996859999999999</v>
      </c>
      <c r="AB1258">
        <v>35</v>
      </c>
      <c r="AC1258">
        <v>97.089699999999993</v>
      </c>
      <c r="AD1258">
        <v>-0.70667709999999895</v>
      </c>
      <c r="AE1258">
        <v>0.401299999999992</v>
      </c>
      <c r="AF1258">
        <v>0.77111571690631697</v>
      </c>
      <c r="AG1258">
        <v>-0.70667709999999895</v>
      </c>
      <c r="AH1258">
        <v>97.082323636423695</v>
      </c>
      <c r="AI1258">
        <v>90.417044231890003</v>
      </c>
      <c r="AJ1258">
        <v>89.544914611246398</v>
      </c>
      <c r="AK1258">
        <v>97.087957927952402</v>
      </c>
      <c r="AL1258">
        <v>93.826356101943901</v>
      </c>
      <c r="AM1258">
        <v>90.649131222163206</v>
      </c>
      <c r="AN1258">
        <v>0.99999995800158603</v>
      </c>
    </row>
    <row r="1259" spans="1:40" x14ac:dyDescent="0.25">
      <c r="A1259" t="str">
        <f>"20190303153801768"</f>
        <v>20190303153801768</v>
      </c>
      <c r="B1259" t="str">
        <f>"1551598681759842"</f>
        <v>1551598681759842</v>
      </c>
      <c r="C1259" t="s">
        <v>40</v>
      </c>
      <c r="D1259">
        <v>4.3652550000000003</v>
      </c>
      <c r="E1259">
        <v>0.5072837</v>
      </c>
      <c r="F1259" t="s">
        <v>41</v>
      </c>
      <c r="G1259">
        <v>-158.78319999999999</v>
      </c>
      <c r="H1259">
        <v>0.47201979999999999</v>
      </c>
      <c r="I1259">
        <v>367.58550000000002</v>
      </c>
      <c r="J1259">
        <v>-255.68770000000001</v>
      </c>
      <c r="K1259">
        <v>1.1217239999999999</v>
      </c>
      <c r="L1259">
        <v>367.16250000000002</v>
      </c>
      <c r="M1259">
        <v>0.99972360000000005</v>
      </c>
      <c r="N1259">
        <v>-2.0177069999999998E-2</v>
      </c>
      <c r="O1259">
        <v>1.207299E-2</v>
      </c>
      <c r="P1259">
        <v>0.99598350000000002</v>
      </c>
      <c r="Q1259">
        <v>-8.6421269999999994E-2</v>
      </c>
      <c r="R1259">
        <v>2.342172E-2</v>
      </c>
      <c r="S1259">
        <v>3.0100250000000002</v>
      </c>
      <c r="T1259">
        <v>-2.0138739999999999E-2</v>
      </c>
      <c r="U1259">
        <v>1.318359E-2</v>
      </c>
      <c r="V1259">
        <v>-1.1396130000000001E-2</v>
      </c>
      <c r="W1259">
        <v>-6.6302970000000003E-2</v>
      </c>
      <c r="X1259">
        <v>0.99773440000000002</v>
      </c>
      <c r="Y1259">
        <v>7.6940089999999999E-3</v>
      </c>
      <c r="Z1259" s="1">
        <v>5.948979E-5</v>
      </c>
      <c r="AA1259">
        <v>0.99997040000000004</v>
      </c>
      <c r="AB1259">
        <v>35</v>
      </c>
      <c r="AC1259">
        <v>96.904499999999999</v>
      </c>
      <c r="AD1259">
        <v>-0.64970419999999995</v>
      </c>
      <c r="AE1259">
        <v>0.42300000000000099</v>
      </c>
      <c r="AF1259">
        <v>0.74716244863390302</v>
      </c>
      <c r="AG1259">
        <v>-0.64970419999999995</v>
      </c>
      <c r="AH1259">
        <v>96.898186894027802</v>
      </c>
      <c r="AI1259">
        <v>90.384152123046107</v>
      </c>
      <c r="AJ1259">
        <v>89.5582125126232</v>
      </c>
      <c r="AK1259">
        <v>96.903245511293804</v>
      </c>
      <c r="AL1259">
        <v>93.8016694490275</v>
      </c>
      <c r="AM1259">
        <v>90.654404377444905</v>
      </c>
      <c r="AN1259">
        <v>0.99999994427657701</v>
      </c>
    </row>
    <row r="1260" spans="1:40" x14ac:dyDescent="0.25">
      <c r="A1260" t="str">
        <f>"20190303153801780"</f>
        <v>20190303153801780</v>
      </c>
      <c r="B1260" t="str">
        <f>"1551598681769603"</f>
        <v>1551598681769603</v>
      </c>
      <c r="C1260" t="s">
        <v>40</v>
      </c>
      <c r="D1260">
        <v>4.3591550000000003</v>
      </c>
      <c r="E1260">
        <v>0.50726890000000002</v>
      </c>
      <c r="F1260" t="s">
        <v>41</v>
      </c>
      <c r="G1260">
        <v>-158.78319999999999</v>
      </c>
      <c r="H1260">
        <v>0.4745337</v>
      </c>
      <c r="I1260">
        <v>367.58800000000002</v>
      </c>
      <c r="J1260">
        <v>-255.5181</v>
      </c>
      <c r="K1260">
        <v>1.1217360000000001</v>
      </c>
      <c r="L1260">
        <v>367.16460000000001</v>
      </c>
      <c r="M1260">
        <v>0.99971880000000002</v>
      </c>
      <c r="N1260">
        <v>-2.0409030000000002E-2</v>
      </c>
      <c r="O1260">
        <v>1.2072930000000001E-2</v>
      </c>
      <c r="P1260">
        <v>0.99599919999999997</v>
      </c>
      <c r="Q1260">
        <v>-8.6228310000000002E-2</v>
      </c>
      <c r="R1260">
        <v>2.3458420000000001E-2</v>
      </c>
      <c r="S1260">
        <v>3.0100250000000002</v>
      </c>
      <c r="T1260">
        <v>-2.0100119999999999E-2</v>
      </c>
      <c r="U1260">
        <v>1.3214109999999999E-2</v>
      </c>
      <c r="V1260">
        <v>-1.143165E-2</v>
      </c>
      <c r="W1260">
        <v>-6.5878229999999996E-2</v>
      </c>
      <c r="X1260">
        <v>0.99776220000000004</v>
      </c>
      <c r="Y1260">
        <v>7.6838200000000001E-3</v>
      </c>
      <c r="Z1260" s="1">
        <v>6.1740040000000005E-5</v>
      </c>
      <c r="AA1260">
        <v>0.99997049999999998</v>
      </c>
      <c r="AB1260">
        <v>35</v>
      </c>
      <c r="AC1260">
        <v>96.734899999999996</v>
      </c>
      <c r="AD1260">
        <v>-0.64720230000000001</v>
      </c>
      <c r="AE1260">
        <v>0.42340000000001499</v>
      </c>
      <c r="AF1260">
        <v>0.74471453595061499</v>
      </c>
      <c r="AG1260">
        <v>-0.64720230000000001</v>
      </c>
      <c r="AH1260">
        <v>96.728629993607797</v>
      </c>
      <c r="AI1260">
        <v>90.383343670019997</v>
      </c>
      <c r="AJ1260">
        <v>89.558888027047104</v>
      </c>
      <c r="AK1260">
        <v>96.733661829775997</v>
      </c>
      <c r="AL1260">
        <v>93.777280043845707</v>
      </c>
      <c r="AM1260">
        <v>90.656425589453306</v>
      </c>
      <c r="AN1260">
        <v>1.0000000157792399</v>
      </c>
    </row>
    <row r="1261" spans="1:40" x14ac:dyDescent="0.25">
      <c r="A1261" t="str">
        <f>"20190303153801792"</f>
        <v>20190303153801792</v>
      </c>
      <c r="B1261" t="str">
        <f>"1551598681780339"</f>
        <v>1551598681780339</v>
      </c>
      <c r="C1261" t="s">
        <v>40</v>
      </c>
      <c r="D1261">
        <v>4.3633850000000001</v>
      </c>
      <c r="E1261">
        <v>0.50724179999999996</v>
      </c>
      <c r="F1261" t="s">
        <v>41</v>
      </c>
      <c r="G1261">
        <v>-158.78319999999999</v>
      </c>
      <c r="H1261">
        <v>0.48208859999999998</v>
      </c>
      <c r="I1261">
        <v>367.59710000000001</v>
      </c>
      <c r="J1261">
        <v>-255.32839999999999</v>
      </c>
      <c r="K1261">
        <v>1.121745</v>
      </c>
      <c r="L1261">
        <v>367.1669</v>
      </c>
      <c r="M1261">
        <v>0.99971410000000005</v>
      </c>
      <c r="N1261">
        <v>-2.0649210000000001E-2</v>
      </c>
      <c r="O1261">
        <v>1.207227E-2</v>
      </c>
      <c r="P1261">
        <v>0.99602060000000003</v>
      </c>
      <c r="Q1261">
        <v>-8.5936940000000003E-2</v>
      </c>
      <c r="R1261">
        <v>2.362595E-2</v>
      </c>
      <c r="S1261">
        <v>3.0100099999999999</v>
      </c>
      <c r="T1261">
        <v>-1.9900560000000001E-2</v>
      </c>
      <c r="U1261">
        <v>1.345825E-2</v>
      </c>
      <c r="V1261">
        <v>-1.1600009999999999E-2</v>
      </c>
      <c r="W1261">
        <v>-6.534674E-2</v>
      </c>
      <c r="X1261">
        <v>0.99779519999999999</v>
      </c>
      <c r="Y1261">
        <v>7.6020530000000001E-3</v>
      </c>
      <c r="Z1261" s="1">
        <v>6.5877609999999995E-5</v>
      </c>
      <c r="AA1261">
        <v>0.9999711</v>
      </c>
      <c r="AB1261">
        <v>35</v>
      </c>
      <c r="AC1261">
        <v>96.545199999999994</v>
      </c>
      <c r="AD1261">
        <v>-0.63965640000000001</v>
      </c>
      <c r="AE1261">
        <v>0.43020000000001302</v>
      </c>
      <c r="AF1261">
        <v>0.73556711891316295</v>
      </c>
      <c r="AG1261">
        <v>-0.63965640000000001</v>
      </c>
      <c r="AH1261">
        <v>96.539118440928505</v>
      </c>
      <c r="AI1261">
        <v>90.379618258188501</v>
      </c>
      <c r="AJ1261">
        <v>89.563450789684097</v>
      </c>
      <c r="AK1261">
        <v>96.544039736526997</v>
      </c>
      <c r="AL1261">
        <v>93.746762175324093</v>
      </c>
      <c r="AM1261">
        <v>90.666070226487406</v>
      </c>
      <c r="AN1261">
        <v>1.0000000089018299</v>
      </c>
    </row>
    <row r="1262" spans="1:40" x14ac:dyDescent="0.25">
      <c r="A1262" t="str">
        <f>"20190303153801802"</f>
        <v>20190303153801802</v>
      </c>
      <c r="B1262" t="str">
        <f>"1551598681790099"</f>
        <v>1551598681790099</v>
      </c>
      <c r="C1262" t="s">
        <v>40</v>
      </c>
      <c r="D1262">
        <v>4.3912009999999997</v>
      </c>
      <c r="E1262">
        <v>0.5072371</v>
      </c>
      <c r="F1262" t="s">
        <v>41</v>
      </c>
      <c r="G1262">
        <v>-158.78319999999999</v>
      </c>
      <c r="H1262">
        <v>0.49842799999999998</v>
      </c>
      <c r="I1262">
        <v>367.62200000000001</v>
      </c>
      <c r="J1262">
        <v>-255.1611</v>
      </c>
      <c r="K1262">
        <v>1.1217330000000001</v>
      </c>
      <c r="L1262">
        <v>367.16890000000001</v>
      </c>
      <c r="M1262">
        <v>0.9997106</v>
      </c>
      <c r="N1262">
        <v>-2.0809100000000001E-2</v>
      </c>
      <c r="O1262">
        <v>1.207226E-2</v>
      </c>
      <c r="P1262">
        <v>0.9960099</v>
      </c>
      <c r="Q1262">
        <v>-8.6013409999999998E-2</v>
      </c>
      <c r="R1262">
        <v>2.3796080000000001E-2</v>
      </c>
      <c r="S1262">
        <v>3.0100099999999999</v>
      </c>
      <c r="T1262">
        <v>-1.943052E-2</v>
      </c>
      <c r="U1262">
        <v>1.4190670000000001E-2</v>
      </c>
      <c r="V1262">
        <v>-1.17704E-2</v>
      </c>
      <c r="W1262">
        <v>-6.5263810000000005E-2</v>
      </c>
      <c r="X1262">
        <v>0.99779859999999998</v>
      </c>
      <c r="Y1262">
        <v>7.3587499999999998E-3</v>
      </c>
      <c r="Z1262" s="1">
        <v>7.2996360000000002E-5</v>
      </c>
      <c r="AA1262">
        <v>0.99997290000000005</v>
      </c>
      <c r="AB1262">
        <v>35</v>
      </c>
      <c r="AC1262">
        <v>96.377899999999997</v>
      </c>
      <c r="AD1262">
        <v>-0.623305</v>
      </c>
      <c r="AE1262">
        <v>0.45309999999994899</v>
      </c>
      <c r="AF1262">
        <v>0.710654342533376</v>
      </c>
      <c r="AG1262">
        <v>-0.623305</v>
      </c>
      <c r="AH1262">
        <v>96.372314016655807</v>
      </c>
      <c r="AI1262">
        <v>90.370555354744695</v>
      </c>
      <c r="AJ1262">
        <v>89.577505667133806</v>
      </c>
      <c r="AK1262">
        <v>96.376949773493607</v>
      </c>
      <c r="AL1262">
        <v>93.742000592434295</v>
      </c>
      <c r="AM1262">
        <v>90.675850782081994</v>
      </c>
      <c r="AN1262">
        <v>0.99999997668691698</v>
      </c>
    </row>
    <row r="1263" spans="1:40" x14ac:dyDescent="0.25">
      <c r="A1263" t="str">
        <f>"20190303153801815"</f>
        <v>20190303153801815</v>
      </c>
      <c r="B1263" t="str">
        <f>"1551598681810595"</f>
        <v>1551598681810595</v>
      </c>
      <c r="C1263" t="s">
        <v>40</v>
      </c>
      <c r="D1263">
        <v>4.3797829999999998</v>
      </c>
      <c r="E1263">
        <v>0.50720549999999998</v>
      </c>
      <c r="F1263" t="s">
        <v>41</v>
      </c>
      <c r="G1263">
        <v>-158.78319999999999</v>
      </c>
      <c r="H1263">
        <v>0.48018119999999997</v>
      </c>
      <c r="I1263">
        <v>367.65159999999997</v>
      </c>
      <c r="J1263">
        <v>-254.98339999999999</v>
      </c>
      <c r="K1263">
        <v>1.121718</v>
      </c>
      <c r="L1263">
        <v>367.17099999999999</v>
      </c>
      <c r="M1263">
        <v>0.99970800000000004</v>
      </c>
      <c r="N1263">
        <v>-2.0932880000000001E-2</v>
      </c>
      <c r="O1263">
        <v>1.207214E-2</v>
      </c>
      <c r="P1263">
        <v>0.99599369999999998</v>
      </c>
      <c r="Q1263">
        <v>-8.6171869999999998E-2</v>
      </c>
      <c r="R1263">
        <v>2.3892159999999999E-2</v>
      </c>
      <c r="S1263">
        <v>3.0099330000000002</v>
      </c>
      <c r="T1263">
        <v>-2.0033240000000001E-2</v>
      </c>
      <c r="U1263">
        <v>1.5075679999999999E-2</v>
      </c>
      <c r="V1263">
        <v>-1.186648E-2</v>
      </c>
      <c r="W1263">
        <v>-6.5298999999999996E-2</v>
      </c>
      <c r="X1263">
        <v>0.99779519999999999</v>
      </c>
      <c r="Y1263">
        <v>7.0645409999999997E-3</v>
      </c>
      <c r="Z1263" s="1">
        <v>7.4936269999999994E-5</v>
      </c>
      <c r="AA1263">
        <v>0.99997499999999995</v>
      </c>
      <c r="AB1263">
        <v>35</v>
      </c>
      <c r="AC1263">
        <v>96.200199999999995</v>
      </c>
      <c r="AD1263">
        <v>-0.64153680000000002</v>
      </c>
      <c r="AE1263">
        <v>0.48059999999998099</v>
      </c>
      <c r="AF1263">
        <v>0.68100155555816499</v>
      </c>
      <c r="AG1263">
        <v>-0.64153680000000002</v>
      </c>
      <c r="AH1263">
        <v>96.194711960979006</v>
      </c>
      <c r="AI1263">
        <v>90.382098811064495</v>
      </c>
      <c r="AJ1263">
        <v>89.5943866106972</v>
      </c>
      <c r="AK1263">
        <v>96.199261649142301</v>
      </c>
      <c r="AL1263">
        <v>93.744020990061898</v>
      </c>
      <c r="AM1263">
        <v>90.681369453615602</v>
      </c>
      <c r="AN1263">
        <v>1.0000000169458101</v>
      </c>
    </row>
    <row r="1264" spans="1:40" x14ac:dyDescent="0.25">
      <c r="A1264" t="str">
        <f>"20190303153801835"</f>
        <v>20190303153801835</v>
      </c>
      <c r="B1264" t="str">
        <f>"1551598681830114"</f>
        <v>1551598681830114</v>
      </c>
      <c r="C1264" t="s">
        <v>40</v>
      </c>
      <c r="D1264">
        <v>4.3577130000000004</v>
      </c>
      <c r="E1264">
        <v>0.507189</v>
      </c>
      <c r="F1264" t="s">
        <v>41</v>
      </c>
      <c r="G1264">
        <v>-158.78319999999999</v>
      </c>
      <c r="H1264">
        <v>0.4340041</v>
      </c>
      <c r="I1264">
        <v>367.67630000000003</v>
      </c>
      <c r="J1264">
        <v>-254.66390000000001</v>
      </c>
      <c r="K1264">
        <v>1.121659</v>
      </c>
      <c r="L1264">
        <v>367.17489999999998</v>
      </c>
      <c r="M1264">
        <v>0.99970669999999995</v>
      </c>
      <c r="N1264">
        <v>-2.1000169999999999E-2</v>
      </c>
      <c r="O1264">
        <v>1.20716E-2</v>
      </c>
      <c r="P1264">
        <v>0.99597849999999999</v>
      </c>
      <c r="Q1264">
        <v>-8.6273329999999995E-2</v>
      </c>
      <c r="R1264">
        <v>2.4164729999999999E-2</v>
      </c>
      <c r="S1264">
        <v>3.0098419999999999</v>
      </c>
      <c r="T1264">
        <v>-2.1513939999999999E-2</v>
      </c>
      <c r="U1264">
        <v>1.580811E-2</v>
      </c>
      <c r="V1264">
        <v>-1.2139560000000001E-2</v>
      </c>
      <c r="W1264">
        <v>-6.5333530000000001E-2</v>
      </c>
      <c r="X1264">
        <v>0.99778960000000005</v>
      </c>
      <c r="Y1264">
        <v>6.8205710000000001E-3</v>
      </c>
      <c r="Z1264" s="1">
        <v>7.1258249999999897E-5</v>
      </c>
      <c r="AA1264">
        <v>0.9999768</v>
      </c>
      <c r="AB1264">
        <v>35</v>
      </c>
      <c r="AC1264">
        <v>95.880700000000004</v>
      </c>
      <c r="AD1264">
        <v>-0.68765489999999996</v>
      </c>
      <c r="AE1264">
        <v>0.50140000000004603</v>
      </c>
      <c r="AF1264">
        <v>0.65629142864314205</v>
      </c>
      <c r="AG1264">
        <v>-0.68765489999999996</v>
      </c>
      <c r="AH1264">
        <v>95.874833248617094</v>
      </c>
      <c r="AI1264">
        <v>90.410932917202601</v>
      </c>
      <c r="AJ1264">
        <v>89.607799665417204</v>
      </c>
      <c r="AK1264">
        <v>95.879545462788599</v>
      </c>
      <c r="AL1264">
        <v>93.746003851416702</v>
      </c>
      <c r="AM1264">
        <v>90.697052001122799</v>
      </c>
      <c r="AN1264">
        <v>0.99999996246370604</v>
      </c>
    </row>
    <row r="1265" spans="1:40" x14ac:dyDescent="0.25">
      <c r="A1265" t="str">
        <f>"20190303153801849"</f>
        <v>20190303153801849</v>
      </c>
      <c r="B1265" t="str">
        <f>"1551598681839875"</f>
        <v>1551598681839875</v>
      </c>
      <c r="C1265" t="s">
        <v>40</v>
      </c>
      <c r="D1265">
        <v>4.4987089999999998</v>
      </c>
      <c r="E1265">
        <v>0.50744889999999998</v>
      </c>
      <c r="F1265" t="s">
        <v>41</v>
      </c>
      <c r="G1265">
        <v>-158.78319999999999</v>
      </c>
      <c r="H1265">
        <v>0.41447010000000001</v>
      </c>
      <c r="I1265">
        <v>367.71350000000001</v>
      </c>
      <c r="J1265">
        <v>-254.44640000000001</v>
      </c>
      <c r="K1265">
        <v>1.1216060000000001</v>
      </c>
      <c r="L1265">
        <v>367.17759999999998</v>
      </c>
      <c r="M1265">
        <v>0.99970760000000003</v>
      </c>
      <c r="N1265">
        <v>-2.095545E-2</v>
      </c>
      <c r="O1265">
        <v>1.2071419999999999E-2</v>
      </c>
      <c r="P1265">
        <v>0.99594360000000004</v>
      </c>
      <c r="Q1265">
        <v>-8.6643990000000004E-2</v>
      </c>
      <c r="R1265">
        <v>2.4275189999999999E-2</v>
      </c>
      <c r="S1265">
        <v>3.0097809999999998</v>
      </c>
      <c r="T1265">
        <v>-2.2196529999999999E-2</v>
      </c>
      <c r="U1265">
        <v>1.690674E-2</v>
      </c>
      <c r="V1265">
        <v>-1.225103E-2</v>
      </c>
      <c r="W1265">
        <v>-6.5749440000000006E-2</v>
      </c>
      <c r="X1265">
        <v>0.99776100000000001</v>
      </c>
      <c r="Y1265">
        <v>6.4553259999999999E-3</v>
      </c>
      <c r="Z1265" s="1">
        <v>7.2529419999999904E-5</v>
      </c>
      <c r="AA1265">
        <v>0.99997910000000001</v>
      </c>
      <c r="AB1265">
        <v>35</v>
      </c>
      <c r="AC1265">
        <v>95.663200000000003</v>
      </c>
      <c r="AD1265">
        <v>-0.70713589999999904</v>
      </c>
      <c r="AE1265">
        <v>0.53590000000002602</v>
      </c>
      <c r="AF1265">
        <v>0.61914945743072003</v>
      </c>
      <c r="AG1265">
        <v>-0.70713589999999904</v>
      </c>
      <c r="AH1265">
        <v>95.657470573899403</v>
      </c>
      <c r="AI1265">
        <v>90.423535305188906</v>
      </c>
      <c r="AJ1265">
        <v>89.629154364996495</v>
      </c>
      <c r="AK1265">
        <v>95.6620879127574</v>
      </c>
      <c r="AL1265">
        <v>93.769884777432793</v>
      </c>
      <c r="AM1265">
        <v>90.703472116018204</v>
      </c>
      <c r="AN1265">
        <v>1.0000000448586801</v>
      </c>
    </row>
    <row r="1266" spans="1:40" x14ac:dyDescent="0.25">
      <c r="A1266" t="str">
        <f>"20190303153801862"</f>
        <v>20190303153801862</v>
      </c>
      <c r="B1266" t="str">
        <f>"1551598681860370"</f>
        <v>1551598681860370</v>
      </c>
      <c r="C1266" t="s">
        <v>40</v>
      </c>
      <c r="D1266">
        <v>4.4619859999999996</v>
      </c>
      <c r="E1266">
        <v>0.53477269999999999</v>
      </c>
      <c r="F1266" t="s">
        <v>41</v>
      </c>
      <c r="G1266">
        <v>-158.78319999999999</v>
      </c>
      <c r="H1266">
        <v>0.3259553</v>
      </c>
      <c r="I1266">
        <v>367.65769999999998</v>
      </c>
      <c r="J1266">
        <v>-254.24969999999999</v>
      </c>
      <c r="K1266">
        <v>1.1215360000000001</v>
      </c>
      <c r="L1266">
        <v>367.17989999999998</v>
      </c>
      <c r="M1266">
        <v>0.99971120000000002</v>
      </c>
      <c r="N1266">
        <v>-2.0780400000000001E-2</v>
      </c>
      <c r="O1266">
        <v>1.2071719999999999E-2</v>
      </c>
      <c r="P1266">
        <v>0.99594039999999995</v>
      </c>
      <c r="Q1266">
        <v>-8.6656670000000005E-2</v>
      </c>
      <c r="R1266">
        <v>2.4366209999999999E-2</v>
      </c>
      <c r="S1266">
        <v>3.009674</v>
      </c>
      <c r="T1266">
        <v>-2.5029300000000001E-2</v>
      </c>
      <c r="U1266">
        <v>1.51062E-2</v>
      </c>
      <c r="V1266">
        <v>-1.2342229999999999E-2</v>
      </c>
      <c r="W1266">
        <v>-6.5936830000000002E-2</v>
      </c>
      <c r="X1266">
        <v>0.99774750000000001</v>
      </c>
      <c r="Y1266">
        <v>7.0535989999999998E-3</v>
      </c>
      <c r="Z1266" s="1">
        <v>4.7876549999999998E-5</v>
      </c>
      <c r="AA1266">
        <v>0.99997510000000001</v>
      </c>
      <c r="AB1266">
        <v>35</v>
      </c>
      <c r="AC1266">
        <v>95.466499999999996</v>
      </c>
      <c r="AD1266">
        <v>-0.79558070000000003</v>
      </c>
      <c r="AE1266">
        <v>0.477800000000002</v>
      </c>
      <c r="AF1266">
        <v>0.67488170677785397</v>
      </c>
      <c r="AG1266">
        <v>-0.79558070000000003</v>
      </c>
      <c r="AH1266">
        <v>95.458680508003098</v>
      </c>
      <c r="AI1266">
        <v>90.477496877987306</v>
      </c>
      <c r="AJ1266">
        <v>89.594932288672993</v>
      </c>
      <c r="AK1266">
        <v>95.464381306838007</v>
      </c>
      <c r="AL1266">
        <v>93.780644819870901</v>
      </c>
      <c r="AM1266">
        <v>90.708718009836304</v>
      </c>
      <c r="AN1266">
        <v>1.0000000349740299</v>
      </c>
    </row>
    <row r="1267" spans="1:40" x14ac:dyDescent="0.25">
      <c r="A1267" t="str">
        <f>"20190303153801876"</f>
        <v>20190303153801876</v>
      </c>
      <c r="B1267" t="str">
        <f>"1551598681870131"</f>
        <v>1551598681870131</v>
      </c>
      <c r="C1267" t="s">
        <v>40</v>
      </c>
      <c r="D1267">
        <v>4.4169919999999996</v>
      </c>
      <c r="E1267">
        <v>0.53510829999999998</v>
      </c>
      <c r="F1267" t="s">
        <v>45</v>
      </c>
      <c r="G1267">
        <v>-197.95269999999999</v>
      </c>
      <c r="H1267" s="1">
        <v>-9.0715320000000003E-6</v>
      </c>
      <c r="I1267">
        <v>363.38780000000003</v>
      </c>
      <c r="J1267">
        <v>-254.03059999999999</v>
      </c>
      <c r="K1267">
        <v>1.1214519999999999</v>
      </c>
      <c r="L1267">
        <v>367.18259999999998</v>
      </c>
      <c r="M1267">
        <v>0.99971620000000005</v>
      </c>
      <c r="N1267">
        <v>-2.0537529999999998E-2</v>
      </c>
      <c r="O1267">
        <v>1.2071760000000001E-2</v>
      </c>
      <c r="P1267">
        <v>0.99594249999999995</v>
      </c>
      <c r="Q1267">
        <v>-8.6651880000000001E-2</v>
      </c>
      <c r="R1267">
        <v>2.4287889999999999E-2</v>
      </c>
      <c r="S1267">
        <v>3.0119630000000002</v>
      </c>
      <c r="T1267">
        <v>-6.0004120000000001E-2</v>
      </c>
      <c r="U1267">
        <v>-0.2028809</v>
      </c>
      <c r="V1267">
        <v>-1.2263059999999999E-2</v>
      </c>
      <c r="W1267">
        <v>-6.6174399999999994E-2</v>
      </c>
      <c r="X1267">
        <v>0.99773270000000003</v>
      </c>
      <c r="Y1267">
        <v>7.9216309999999998E-2</v>
      </c>
      <c r="Z1267">
        <v>-1.595291E-3</v>
      </c>
      <c r="AA1267">
        <v>0.99685619999999997</v>
      </c>
      <c r="AB1267">
        <v>34</v>
      </c>
      <c r="AC1267">
        <v>56.0779</v>
      </c>
      <c r="AD1267">
        <v>-1.1214610715319999</v>
      </c>
      <c r="AE1267">
        <v>-3.7947999999999502</v>
      </c>
      <c r="AF1267">
        <v>4.4698456527827597</v>
      </c>
      <c r="AG1267">
        <v>-1.1214610715319999</v>
      </c>
      <c r="AH1267">
        <v>56.005696198638297</v>
      </c>
      <c r="AI1267">
        <v>91.143505309623606</v>
      </c>
      <c r="AJ1267">
        <v>85.436864319679302</v>
      </c>
      <c r="AK1267">
        <v>56.194974880222397</v>
      </c>
      <c r="AL1267">
        <v>93.794286553027504</v>
      </c>
      <c r="AM1267">
        <v>90.704182797826903</v>
      </c>
      <c r="AN1267">
        <v>0.99999998725260597</v>
      </c>
    </row>
    <row r="1268" spans="1:40" x14ac:dyDescent="0.25">
      <c r="A1268" t="str">
        <f>"20190303153801891"</f>
        <v>20190303153801891</v>
      </c>
      <c r="B1268" t="str">
        <f>"1551598681879891"</f>
        <v>1551598681879891</v>
      </c>
      <c r="C1268" t="s">
        <v>40</v>
      </c>
      <c r="D1268">
        <v>4.4754050000000003</v>
      </c>
      <c r="E1268">
        <v>0.53572589999999998</v>
      </c>
      <c r="F1268" t="s">
        <v>45</v>
      </c>
      <c r="G1268">
        <v>-194.85759999999999</v>
      </c>
      <c r="H1268" s="1">
        <v>-8.0019179999999996E-6</v>
      </c>
      <c r="I1268">
        <v>363.14030000000002</v>
      </c>
      <c r="J1268">
        <v>-253.8066</v>
      </c>
      <c r="K1268">
        <v>1.1213610000000001</v>
      </c>
      <c r="L1268">
        <v>367.18529999999998</v>
      </c>
      <c r="M1268">
        <v>0.99972240000000001</v>
      </c>
      <c r="N1268">
        <v>-2.0235039999999999E-2</v>
      </c>
      <c r="O1268">
        <v>1.2072029999999999E-2</v>
      </c>
      <c r="P1268">
        <v>0.99590800000000002</v>
      </c>
      <c r="Q1268">
        <v>-8.7041270000000004E-2</v>
      </c>
      <c r="R1268">
        <v>2.4311449999999998E-2</v>
      </c>
      <c r="S1268">
        <v>3.0122680000000002</v>
      </c>
      <c r="T1268">
        <v>-5.7089210000000001E-2</v>
      </c>
      <c r="U1268">
        <v>-0.20577999999999999</v>
      </c>
      <c r="V1268">
        <v>-1.228723E-2</v>
      </c>
      <c r="W1268">
        <v>-6.6866259999999997E-2</v>
      </c>
      <c r="X1268">
        <v>0.99768630000000003</v>
      </c>
      <c r="Y1268">
        <v>8.0166879999999996E-2</v>
      </c>
      <c r="Z1268">
        <v>-1.5555110000000001E-3</v>
      </c>
      <c r="AA1268">
        <v>0.99678020000000001</v>
      </c>
      <c r="AB1268">
        <v>34</v>
      </c>
      <c r="AC1268">
        <v>58.948999999999998</v>
      </c>
      <c r="AD1268">
        <v>-1.121369001918</v>
      </c>
      <c r="AE1268">
        <v>-4.0449999999999502</v>
      </c>
      <c r="AF1268">
        <v>4.7547724175820898</v>
      </c>
      <c r="AG1268">
        <v>-1.121369001918</v>
      </c>
      <c r="AH1268">
        <v>58.874656571605101</v>
      </c>
      <c r="AI1268">
        <v>91.087624335760594</v>
      </c>
      <c r="AJ1268">
        <v>85.382760158125294</v>
      </c>
      <c r="AK1268">
        <v>59.076988037694498</v>
      </c>
      <c r="AL1268">
        <v>93.834015109771698</v>
      </c>
      <c r="AM1268">
        <v>90.705603384817493</v>
      </c>
      <c r="AN1268">
        <v>1.0000000129775699</v>
      </c>
    </row>
    <row r="1269" spans="1:40" x14ac:dyDescent="0.25">
      <c r="A1269" t="str">
        <f>"20190303153801904"</f>
        <v>20190303153801904</v>
      </c>
      <c r="B1269" t="str">
        <f>"1551598681900386"</f>
        <v>1551598681900386</v>
      </c>
      <c r="C1269" t="s">
        <v>40</v>
      </c>
      <c r="D1269">
        <v>4.4474660000000004</v>
      </c>
      <c r="E1269">
        <v>0.53640829999999995</v>
      </c>
      <c r="F1269" t="s">
        <v>45</v>
      </c>
      <c r="G1269">
        <v>-193.9974</v>
      </c>
      <c r="H1269" s="1">
        <v>-7.7217049999999996E-6</v>
      </c>
      <c r="I1269">
        <v>363.00110000000001</v>
      </c>
      <c r="J1269">
        <v>-253.59790000000001</v>
      </c>
      <c r="K1269">
        <v>1.121286</v>
      </c>
      <c r="L1269">
        <v>367.18779999999998</v>
      </c>
      <c r="M1269">
        <v>0.99972870000000003</v>
      </c>
      <c r="N1269">
        <v>-1.9922140000000001E-2</v>
      </c>
      <c r="O1269">
        <v>1.2072060000000001E-2</v>
      </c>
      <c r="P1269">
        <v>0.99593220000000005</v>
      </c>
      <c r="Q1269">
        <v>-8.6711269999999993E-2</v>
      </c>
      <c r="R1269">
        <v>2.449894E-2</v>
      </c>
      <c r="S1269">
        <v>3.012543</v>
      </c>
      <c r="T1269">
        <v>-5.648243E-2</v>
      </c>
      <c r="U1269">
        <v>-0.21075440000000001</v>
      </c>
      <c r="V1269">
        <v>-1.2474209999999999E-2</v>
      </c>
      <c r="W1269">
        <v>-6.6848039999999997E-2</v>
      </c>
      <c r="X1269">
        <v>0.99768520000000005</v>
      </c>
      <c r="Y1269">
        <v>8.1798739999999995E-2</v>
      </c>
      <c r="Z1269">
        <v>-1.5677009999999999E-3</v>
      </c>
      <c r="AA1269">
        <v>0.99664770000000003</v>
      </c>
      <c r="AB1269">
        <v>34</v>
      </c>
      <c r="AC1269">
        <v>59.600499999999997</v>
      </c>
      <c r="AD1269">
        <v>-1.1212937217049901</v>
      </c>
      <c r="AE1269">
        <v>-4.1866999999999699</v>
      </c>
      <c r="AF1269">
        <v>4.9043110491698796</v>
      </c>
      <c r="AG1269">
        <v>-1.1212937217049901</v>
      </c>
      <c r="AH1269">
        <v>59.524637915133702</v>
      </c>
      <c r="AI1269">
        <v>91.075536516278603</v>
      </c>
      <c r="AJ1269">
        <v>85.289965964599901</v>
      </c>
      <c r="AK1269">
        <v>59.736857009764996</v>
      </c>
      <c r="AL1269">
        <v>93.832968842187995</v>
      </c>
      <c r="AM1269">
        <v>90.716340530557105</v>
      </c>
      <c r="AN1269">
        <v>1.000000012333</v>
      </c>
    </row>
    <row r="1270" spans="1:40" x14ac:dyDescent="0.25">
      <c r="A1270" t="str">
        <f>"20190303153801916"</f>
        <v>20190303153801916</v>
      </c>
      <c r="B1270" t="str">
        <f>"1551598681910147"</f>
        <v>1551598681910147</v>
      </c>
      <c r="C1270" t="s">
        <v>40</v>
      </c>
      <c r="D1270">
        <v>4.429862</v>
      </c>
      <c r="E1270">
        <v>0.53672089999999995</v>
      </c>
      <c r="F1270" t="s">
        <v>45</v>
      </c>
      <c r="G1270">
        <v>-186.62289999999999</v>
      </c>
      <c r="H1270" s="1">
        <v>-6.50049E-6</v>
      </c>
      <c r="I1270">
        <v>362.3981</v>
      </c>
      <c r="J1270">
        <v>-253.43010000000001</v>
      </c>
      <c r="K1270">
        <v>1.1212329999999999</v>
      </c>
      <c r="L1270">
        <v>367.18979999999999</v>
      </c>
      <c r="M1270">
        <v>0.99973369999999995</v>
      </c>
      <c r="N1270">
        <v>-1.9667859999999999E-2</v>
      </c>
      <c r="O1270">
        <v>1.2072289999999999E-2</v>
      </c>
      <c r="P1270">
        <v>0.99591070000000004</v>
      </c>
      <c r="Q1270">
        <v>-8.6996509999999999E-2</v>
      </c>
      <c r="R1270">
        <v>2.4361130000000002E-2</v>
      </c>
      <c r="S1270">
        <v>3.013153</v>
      </c>
      <c r="T1270">
        <v>-5.0446030000000003E-2</v>
      </c>
      <c r="U1270">
        <v>-0.2154846</v>
      </c>
      <c r="V1270">
        <v>-1.233675E-2</v>
      </c>
      <c r="W1270">
        <v>-6.7387429999999998E-2</v>
      </c>
      <c r="X1270">
        <v>0.99765060000000005</v>
      </c>
      <c r="Y1270">
        <v>8.3345760000000005E-2</v>
      </c>
      <c r="Z1270">
        <v>-1.4823340000000001E-3</v>
      </c>
      <c r="AA1270">
        <v>0.99651959999999995</v>
      </c>
      <c r="AB1270">
        <v>34</v>
      </c>
      <c r="AC1270">
        <v>66.807199999999995</v>
      </c>
      <c r="AD1270">
        <v>-1.12123950049</v>
      </c>
      <c r="AE1270">
        <v>-4.7916999999999899</v>
      </c>
      <c r="AF1270">
        <v>5.5964542737285496</v>
      </c>
      <c r="AG1270">
        <v>-1.12123950049</v>
      </c>
      <c r="AH1270">
        <v>66.725772837613405</v>
      </c>
      <c r="AI1270">
        <v>90.959322497438507</v>
      </c>
      <c r="AJ1270">
        <v>85.205683405331897</v>
      </c>
      <c r="AK1270">
        <v>66.969442578180207</v>
      </c>
      <c r="AL1270">
        <v>93.863943543394399</v>
      </c>
      <c r="AM1270">
        <v>90.708472167176893</v>
      </c>
      <c r="AN1270">
        <v>0.99999999040146303</v>
      </c>
    </row>
    <row r="1271" spans="1:40" x14ac:dyDescent="0.25">
      <c r="A1271" t="str">
        <f>"20190303153801924"</f>
        <v>20190303153801924</v>
      </c>
      <c r="B1271" t="str">
        <f>"1551598681919907"</f>
        <v>1551598681919907</v>
      </c>
      <c r="C1271" t="s">
        <v>40</v>
      </c>
      <c r="D1271">
        <v>4.4521940000000004</v>
      </c>
      <c r="E1271">
        <v>0.5367267</v>
      </c>
      <c r="F1271" t="s">
        <v>45</v>
      </c>
      <c r="G1271">
        <v>-185.83359999999999</v>
      </c>
      <c r="H1271" s="1">
        <v>-6.50856599999999E-6</v>
      </c>
      <c r="I1271">
        <v>362.29430000000002</v>
      </c>
      <c r="J1271">
        <v>-253.2818</v>
      </c>
      <c r="K1271">
        <v>1.121189</v>
      </c>
      <c r="L1271">
        <v>367.19159999999999</v>
      </c>
      <c r="M1271">
        <v>0.99973820000000002</v>
      </c>
      <c r="N1271">
        <v>-1.944152E-2</v>
      </c>
      <c r="O1271">
        <v>1.207215E-2</v>
      </c>
      <c r="P1271">
        <v>0.99590029999999996</v>
      </c>
      <c r="Q1271">
        <v>-8.7160319999999999E-2</v>
      </c>
      <c r="R1271">
        <v>2.4205040000000001E-2</v>
      </c>
      <c r="S1271">
        <v>3.01329</v>
      </c>
      <c r="T1271">
        <v>-4.9982190000000003E-2</v>
      </c>
      <c r="U1271">
        <v>-0.21823119999999999</v>
      </c>
      <c r="V1271">
        <v>-1.2181340000000001E-2</v>
      </c>
      <c r="W1271">
        <v>-6.7777299999999999E-2</v>
      </c>
      <c r="X1271">
        <v>0.99762609999999996</v>
      </c>
      <c r="Y1271">
        <v>8.4246169999999995E-2</v>
      </c>
      <c r="Z1271">
        <v>-1.4835409999999999E-3</v>
      </c>
      <c r="AA1271">
        <v>0.99644390000000005</v>
      </c>
      <c r="AB1271">
        <v>34</v>
      </c>
      <c r="AC1271">
        <v>67.4482</v>
      </c>
      <c r="AD1271">
        <v>-1.1211955085659999</v>
      </c>
      <c r="AE1271">
        <v>-4.8972999999999702</v>
      </c>
      <c r="AF1271">
        <v>5.7097721485521697</v>
      </c>
      <c r="AG1271">
        <v>-1.1211955085659999</v>
      </c>
      <c r="AH1271">
        <v>67.365633746381107</v>
      </c>
      <c r="AI1271">
        <v>90.950104517717193</v>
      </c>
      <c r="AJ1271">
        <v>85.155307057825596</v>
      </c>
      <c r="AK1271">
        <v>67.616471272970003</v>
      </c>
      <c r="AL1271">
        <v>93.886332633568998</v>
      </c>
      <c r="AM1271">
        <v>90.699565386446906</v>
      </c>
      <c r="AN1271">
        <v>0.99999999142034701</v>
      </c>
    </row>
    <row r="1272" spans="1:40" x14ac:dyDescent="0.25">
      <c r="A1272" t="str">
        <f>"20190303153801936"</f>
        <v>20190303153801936</v>
      </c>
      <c r="B1272" t="str">
        <f>"1551598681929667"</f>
        <v>1551598681929667</v>
      </c>
      <c r="C1272" t="s">
        <v>40</v>
      </c>
      <c r="D1272">
        <v>4.4373639999999996</v>
      </c>
      <c r="E1272">
        <v>0.53683009999999998</v>
      </c>
      <c r="F1272" t="s">
        <v>45</v>
      </c>
      <c r="G1272">
        <v>-184.33150000000001</v>
      </c>
      <c r="H1272" s="1">
        <v>-6.5544500000000004E-6</v>
      </c>
      <c r="I1272">
        <v>362.1807</v>
      </c>
      <c r="J1272">
        <v>-253.11019999999999</v>
      </c>
      <c r="K1272">
        <v>1.1211450000000001</v>
      </c>
      <c r="L1272">
        <v>367.19369999999998</v>
      </c>
      <c r="M1272">
        <v>0.9997433</v>
      </c>
      <c r="N1272">
        <v>-1.918272E-2</v>
      </c>
      <c r="O1272">
        <v>1.207218E-2</v>
      </c>
      <c r="P1272">
        <v>0.99590290000000004</v>
      </c>
      <c r="Q1272">
        <v>-8.7232379999999998E-2</v>
      </c>
      <c r="R1272">
        <v>2.3835519999999999E-2</v>
      </c>
      <c r="S1272">
        <v>3.013382</v>
      </c>
      <c r="T1272">
        <v>-4.9000380000000003E-2</v>
      </c>
      <c r="U1272">
        <v>-0.2189941</v>
      </c>
      <c r="V1272">
        <v>-1.1811449999999999E-2</v>
      </c>
      <c r="W1272">
        <v>-6.8107639999999997E-2</v>
      </c>
      <c r="X1272">
        <v>0.9976081</v>
      </c>
      <c r="Y1272">
        <v>8.4495749999999994E-2</v>
      </c>
      <c r="Z1272">
        <v>-1.462503E-3</v>
      </c>
      <c r="AA1272">
        <v>0.99642280000000005</v>
      </c>
      <c r="AB1272">
        <v>34</v>
      </c>
      <c r="AC1272">
        <v>68.778699999999901</v>
      </c>
      <c r="AD1272">
        <v>-1.1211515544499999</v>
      </c>
      <c r="AE1272">
        <v>-5.0129999999999697</v>
      </c>
      <c r="AF1272">
        <v>5.8415520569030601</v>
      </c>
      <c r="AG1272">
        <v>-1.1211515544499999</v>
      </c>
      <c r="AH1272">
        <v>68.695000160135706</v>
      </c>
      <c r="AI1272">
        <v>90.931663277330202</v>
      </c>
      <c r="AJ1272">
        <v>85.1394859032863</v>
      </c>
      <c r="AK1272">
        <v>68.952039550999501</v>
      </c>
      <c r="AL1272">
        <v>93.905303364625496</v>
      </c>
      <c r="AM1272">
        <v>90.678337130042493</v>
      </c>
      <c r="AN1272">
        <v>1.0000000410815399</v>
      </c>
    </row>
    <row r="1273" spans="1:40" x14ac:dyDescent="0.25">
      <c r="A1273" t="str">
        <f>"20190303153801950"</f>
        <v>20190303153801950</v>
      </c>
      <c r="B1273" t="str">
        <f>"1551598681940403"</f>
        <v>1551598681940403</v>
      </c>
      <c r="C1273" t="s">
        <v>40</v>
      </c>
      <c r="D1273">
        <v>4.4499979999999999</v>
      </c>
      <c r="E1273">
        <v>0.53676869999999999</v>
      </c>
      <c r="F1273" t="s">
        <v>45</v>
      </c>
      <c r="G1273">
        <v>-182.81950000000001</v>
      </c>
      <c r="H1273" s="1">
        <v>-6.59178599999999E-6</v>
      </c>
      <c r="I1273">
        <v>362.0421</v>
      </c>
      <c r="J1273">
        <v>-252.9016</v>
      </c>
      <c r="K1273">
        <v>1.1210960000000001</v>
      </c>
      <c r="L1273">
        <v>367.19619999999998</v>
      </c>
      <c r="M1273">
        <v>0.99974909999999995</v>
      </c>
      <c r="N1273">
        <v>-1.8870899999999999E-2</v>
      </c>
      <c r="O1273">
        <v>1.2072329999999999E-2</v>
      </c>
      <c r="P1273">
        <v>0.99590460000000003</v>
      </c>
      <c r="Q1273">
        <v>-8.7278560000000005E-2</v>
      </c>
      <c r="R1273">
        <v>2.359317E-2</v>
      </c>
      <c r="S1273">
        <v>3.0134280000000002</v>
      </c>
      <c r="T1273">
        <v>-4.8064830000000003E-2</v>
      </c>
      <c r="U1273">
        <v>-0.22085569999999999</v>
      </c>
      <c r="V1273">
        <v>-1.1569029999999999E-2</v>
      </c>
      <c r="W1273">
        <v>-6.8464960000000005E-2</v>
      </c>
      <c r="X1273">
        <v>0.99758639999999998</v>
      </c>
      <c r="Y1273">
        <v>8.5107699999999994E-2</v>
      </c>
      <c r="Z1273">
        <v>-1.4468700000000001E-3</v>
      </c>
      <c r="AA1273">
        <v>0.99637070000000005</v>
      </c>
      <c r="AB1273">
        <v>34</v>
      </c>
      <c r="AC1273">
        <v>70.082099999999997</v>
      </c>
      <c r="AD1273">
        <v>-1.12110259178599</v>
      </c>
      <c r="AE1273">
        <v>-5.1540999999999704</v>
      </c>
      <c r="AF1273">
        <v>5.9984023893513596</v>
      </c>
      <c r="AG1273">
        <v>-1.12110259178599</v>
      </c>
      <c r="AH1273">
        <v>69.996941885699997</v>
      </c>
      <c r="AI1273">
        <v>90.9142463408064</v>
      </c>
      <c r="AJ1273">
        <v>85.101992733564799</v>
      </c>
      <c r="AK1273">
        <v>70.262433601434196</v>
      </c>
      <c r="AL1273">
        <v>93.925824513664494</v>
      </c>
      <c r="AM1273">
        <v>90.664430547971705</v>
      </c>
      <c r="AN1273">
        <v>0.99999995933395003</v>
      </c>
    </row>
    <row r="1274" spans="1:40" x14ac:dyDescent="0.25">
      <c r="A1274" t="str">
        <f>"20190303153801963"</f>
        <v>20190303153801963</v>
      </c>
      <c r="B1274" t="str">
        <f>"1551598681959923"</f>
        <v>1551598681959923</v>
      </c>
      <c r="C1274" t="s">
        <v>40</v>
      </c>
      <c r="D1274">
        <v>4.4597410000000002</v>
      </c>
      <c r="E1274">
        <v>0.53670739999999995</v>
      </c>
      <c r="F1274" t="s">
        <v>45</v>
      </c>
      <c r="G1274">
        <v>-183.6009</v>
      </c>
      <c r="H1274" s="1">
        <v>-6.5703329999999999E-6</v>
      </c>
      <c r="I1274">
        <v>362.1078</v>
      </c>
      <c r="J1274">
        <v>-252.69919999999999</v>
      </c>
      <c r="K1274">
        <v>1.121059</v>
      </c>
      <c r="L1274">
        <v>367.19869999999997</v>
      </c>
      <c r="M1274">
        <v>0.99975449999999999</v>
      </c>
      <c r="N1274">
        <v>-1.8579869999999998E-2</v>
      </c>
      <c r="O1274">
        <v>1.207241E-2</v>
      </c>
      <c r="P1274">
        <v>0.99593739999999997</v>
      </c>
      <c r="Q1274">
        <v>-8.7054549999999994E-2</v>
      </c>
      <c r="R1274">
        <v>2.3028590000000002E-2</v>
      </c>
      <c r="S1274">
        <v>3.01329</v>
      </c>
      <c r="T1274">
        <v>-4.8747060000000002E-2</v>
      </c>
      <c r="U1274">
        <v>-0.22125239999999999</v>
      </c>
      <c r="V1274">
        <v>-1.100434E-2</v>
      </c>
      <c r="W1274">
        <v>-6.8530919999999995E-2</v>
      </c>
      <c r="X1274">
        <v>0.99758829999999998</v>
      </c>
      <c r="Y1274">
        <v>8.5241199999999906E-2</v>
      </c>
      <c r="Z1274">
        <v>-1.452685E-3</v>
      </c>
      <c r="AA1274">
        <v>0.99635929999999995</v>
      </c>
      <c r="AB1274">
        <v>34</v>
      </c>
      <c r="AC1274">
        <v>69.098299999999995</v>
      </c>
      <c r="AD1274">
        <v>-1.1210655703329999</v>
      </c>
      <c r="AE1274">
        <v>-5.0908999999999702</v>
      </c>
      <c r="AF1274">
        <v>5.9233051555290901</v>
      </c>
      <c r="AG1274">
        <v>-1.1210655703329999</v>
      </c>
      <c r="AH1274">
        <v>69.013724667346906</v>
      </c>
      <c r="AI1274">
        <v>90.927227977086702</v>
      </c>
      <c r="AJ1274">
        <v>85.094443739091304</v>
      </c>
      <c r="AK1274">
        <v>69.2765221733804</v>
      </c>
      <c r="AL1274">
        <v>93.929612483094999</v>
      </c>
      <c r="AM1274">
        <v>90.632000863145194</v>
      </c>
      <c r="AN1274">
        <v>0.99999999939588602</v>
      </c>
    </row>
    <row r="1275" spans="1:40" x14ac:dyDescent="0.25">
      <c r="A1275" t="str">
        <f>"20190303153801976"</f>
        <v>20190303153801976</v>
      </c>
      <c r="B1275" t="str">
        <f>"1551598681969683"</f>
        <v>1551598681969683</v>
      </c>
      <c r="C1275" t="s">
        <v>40</v>
      </c>
      <c r="D1275">
        <v>4.4826629999999996</v>
      </c>
      <c r="E1275">
        <v>0.53685680000000002</v>
      </c>
      <c r="F1275" t="s">
        <v>45</v>
      </c>
      <c r="G1275">
        <v>-182.8356</v>
      </c>
      <c r="H1275" s="1">
        <v>-6.593314E-6</v>
      </c>
      <c r="I1275">
        <v>362.04880000000003</v>
      </c>
      <c r="J1275">
        <v>-252.50059999999999</v>
      </c>
      <c r="K1275">
        <v>1.1210260000000001</v>
      </c>
      <c r="L1275">
        <v>367.20100000000002</v>
      </c>
      <c r="M1275">
        <v>0.99975970000000003</v>
      </c>
      <c r="N1275">
        <v>-1.830329E-2</v>
      </c>
      <c r="O1275">
        <v>1.207249E-2</v>
      </c>
      <c r="P1275">
        <v>0.99597840000000004</v>
      </c>
      <c r="Q1275">
        <v>-8.6682999999999996E-2</v>
      </c>
      <c r="R1275">
        <v>2.2656909999999999E-2</v>
      </c>
      <c r="S1275">
        <v>3.0131380000000001</v>
      </c>
      <c r="T1275">
        <v>-4.8350209999999998E-2</v>
      </c>
      <c r="U1275">
        <v>-0.2221069</v>
      </c>
      <c r="V1275">
        <v>-1.0631949999999999E-2</v>
      </c>
      <c r="W1275">
        <v>-6.8434729999999999E-2</v>
      </c>
      <c r="X1275">
        <v>0.99759889999999996</v>
      </c>
      <c r="Y1275">
        <v>8.5526340000000006E-2</v>
      </c>
      <c r="Z1275">
        <v>-1.441962E-3</v>
      </c>
      <c r="AA1275">
        <v>0.99633490000000002</v>
      </c>
      <c r="AB1275">
        <v>34</v>
      </c>
      <c r="AC1275">
        <v>69.664999999999907</v>
      </c>
      <c r="AD1275">
        <v>-1.121032593314</v>
      </c>
      <c r="AE1275">
        <v>-5.1521999999999304</v>
      </c>
      <c r="AF1275">
        <v>5.9914522295926798</v>
      </c>
      <c r="AG1275">
        <v>-1.121032593314</v>
      </c>
      <c r="AH1275">
        <v>69.579791839906207</v>
      </c>
      <c r="AI1275">
        <v>90.919636694430196</v>
      </c>
      <c r="AJ1275">
        <v>85.078452930813995</v>
      </c>
      <c r="AK1275">
        <v>69.846271528117001</v>
      </c>
      <c r="AL1275">
        <v>93.924088395618796</v>
      </c>
      <c r="AM1275">
        <v>90.610608934016994</v>
      </c>
      <c r="AN1275">
        <v>0.99999995795609098</v>
      </c>
    </row>
    <row r="1276" spans="1:40" x14ac:dyDescent="0.25">
      <c r="A1276" t="str">
        <f>"20190303153801989"</f>
        <v>20190303153801989</v>
      </c>
      <c r="B1276" t="str">
        <f>"1551598681980419"</f>
        <v>1551598681980419</v>
      </c>
      <c r="C1276" t="s">
        <v>40</v>
      </c>
      <c r="D1276">
        <v>4.4903979999999999</v>
      </c>
      <c r="E1276">
        <v>0.53704759999999996</v>
      </c>
      <c r="F1276" t="s">
        <v>45</v>
      </c>
      <c r="G1276">
        <v>-182.61539999999999</v>
      </c>
      <c r="H1276" s="1">
        <v>-6.5823919999999996E-6</v>
      </c>
      <c r="I1276">
        <v>361.98360000000002</v>
      </c>
      <c r="J1276">
        <v>-252.3021</v>
      </c>
      <c r="K1276">
        <v>1.121</v>
      </c>
      <c r="L1276">
        <v>367.20339999999999</v>
      </c>
      <c r="M1276">
        <v>0.9997644</v>
      </c>
      <c r="N1276">
        <v>-1.803478E-2</v>
      </c>
      <c r="O1276">
        <v>1.207282E-2</v>
      </c>
      <c r="P1276">
        <v>0.9960097</v>
      </c>
      <c r="Q1276">
        <v>-8.6468699999999996E-2</v>
      </c>
      <c r="R1276">
        <v>2.209061E-2</v>
      </c>
      <c r="S1276">
        <v>3.0130460000000001</v>
      </c>
      <c r="T1276">
        <v>-4.8332449999999999E-2</v>
      </c>
      <c r="U1276">
        <v>-0.22494510000000001</v>
      </c>
      <c r="V1276">
        <v>-1.0065360000000001E-2</v>
      </c>
      <c r="W1276">
        <v>-6.8487919999999994E-2</v>
      </c>
      <c r="X1276">
        <v>0.99760119999999997</v>
      </c>
      <c r="Y1276">
        <v>8.64621E-2</v>
      </c>
      <c r="Z1276">
        <v>-1.4493500000000001E-3</v>
      </c>
      <c r="AA1276">
        <v>0.99625410000000003</v>
      </c>
      <c r="AB1276">
        <v>34</v>
      </c>
      <c r="AC1276">
        <v>69.686700000000002</v>
      </c>
      <c r="AD1276">
        <v>-1.1210065823919999</v>
      </c>
      <c r="AE1276">
        <v>-5.2197999999999602</v>
      </c>
      <c r="AF1276">
        <v>6.0593121294764103</v>
      </c>
      <c r="AG1276">
        <v>-1.1210065823919999</v>
      </c>
      <c r="AH1276">
        <v>69.600681488880895</v>
      </c>
      <c r="AI1276">
        <v>90.919264424502202</v>
      </c>
      <c r="AJ1276">
        <v>85.024475608149999</v>
      </c>
      <c r="AK1276">
        <v>69.872933121179599</v>
      </c>
      <c r="AL1276">
        <v>93.927142840216206</v>
      </c>
      <c r="AM1276">
        <v>90.578069752893796</v>
      </c>
      <c r="AN1276">
        <v>1.0000000304496399</v>
      </c>
    </row>
    <row r="1277" spans="1:40" x14ac:dyDescent="0.25">
      <c r="A1277" t="str">
        <f>"20190303153802001"</f>
        <v>20190303153802001</v>
      </c>
      <c r="B1277" t="str">
        <f>"1551598681990179"</f>
        <v>1551598681990179</v>
      </c>
      <c r="C1277" t="s">
        <v>40</v>
      </c>
      <c r="D1277">
        <v>4.4822389999999999</v>
      </c>
      <c r="E1277">
        <v>0.53717289999999995</v>
      </c>
      <c r="F1277" t="s">
        <v>45</v>
      </c>
      <c r="G1277">
        <v>-180.61590000000001</v>
      </c>
      <c r="H1277" s="1">
        <v>-6.6722670000000002E-6</v>
      </c>
      <c r="I1277">
        <v>361.78320000000002</v>
      </c>
      <c r="J1277">
        <v>-252.10390000000001</v>
      </c>
      <c r="K1277">
        <v>1.1209819999999999</v>
      </c>
      <c r="L1277">
        <v>367.20580000000001</v>
      </c>
      <c r="M1277">
        <v>0.99976900000000002</v>
      </c>
      <c r="N1277">
        <v>-1.778658E-2</v>
      </c>
      <c r="O1277">
        <v>1.2072869999999999E-2</v>
      </c>
      <c r="P1277">
        <v>0.99612500000000004</v>
      </c>
      <c r="Q1277">
        <v>-8.5383650000000005E-2</v>
      </c>
      <c r="R1277">
        <v>2.108788E-2</v>
      </c>
      <c r="S1277">
        <v>3.012985</v>
      </c>
      <c r="T1277">
        <v>-4.7116159999999997E-2</v>
      </c>
      <c r="U1277">
        <v>-0.22781370000000001</v>
      </c>
      <c r="V1277">
        <v>-9.0612139999999997E-3</v>
      </c>
      <c r="W1277">
        <v>-6.7648890000000003E-2</v>
      </c>
      <c r="X1277">
        <v>0.997668</v>
      </c>
      <c r="Y1277">
        <v>8.7407529999999997E-2</v>
      </c>
      <c r="Z1277">
        <v>-1.4351240000000001E-3</v>
      </c>
      <c r="AA1277">
        <v>0.99617160000000005</v>
      </c>
      <c r="AB1277">
        <v>34</v>
      </c>
      <c r="AC1277">
        <v>71.488</v>
      </c>
      <c r="AD1277">
        <v>-1.1209886722669999</v>
      </c>
      <c r="AE1277">
        <v>-5.4225999999999797</v>
      </c>
      <c r="AF1277">
        <v>6.2838702028362103</v>
      </c>
      <c r="AG1277">
        <v>-1.1209886722669999</v>
      </c>
      <c r="AH1277">
        <v>71.399855743422094</v>
      </c>
      <c r="AI1277">
        <v>90.896015748718199</v>
      </c>
      <c r="AJ1277">
        <v>84.970382629509004</v>
      </c>
      <c r="AK1277">
        <v>71.684608114370903</v>
      </c>
      <c r="AL1277">
        <v>93.878958486828495</v>
      </c>
      <c r="AM1277">
        <v>90.520368544210896</v>
      </c>
      <c r="AN1277">
        <v>0.99999995807069197</v>
      </c>
    </row>
    <row r="1278" spans="1:40" x14ac:dyDescent="0.25">
      <c r="A1278" t="str">
        <f>"20190303153802024"</f>
        <v>20190303153802024</v>
      </c>
      <c r="B1278" t="str">
        <f>"1551598682020435"</f>
        <v>1551598682020435</v>
      </c>
      <c r="C1278" t="s">
        <v>40</v>
      </c>
      <c r="D1278">
        <v>4.4339570000000004</v>
      </c>
      <c r="E1278">
        <v>0.53720500000000004</v>
      </c>
      <c r="F1278" t="s">
        <v>45</v>
      </c>
      <c r="G1278">
        <v>-179.98050000000001</v>
      </c>
      <c r="H1278">
        <v>6.9534150000000003E-2</v>
      </c>
      <c r="I1278">
        <v>361.6499</v>
      </c>
      <c r="J1278">
        <v>-251.76830000000001</v>
      </c>
      <c r="K1278">
        <v>1.120959</v>
      </c>
      <c r="L1278">
        <v>367.2099</v>
      </c>
      <c r="M1278">
        <v>0.99977579999999999</v>
      </c>
      <c r="N1278">
        <v>-1.7390989999999999E-2</v>
      </c>
      <c r="O1278">
        <v>1.207336E-2</v>
      </c>
      <c r="P1278">
        <v>0.99621599999999999</v>
      </c>
      <c r="Q1278">
        <v>-8.4493029999999997E-2</v>
      </c>
      <c r="R1278">
        <v>2.0356780000000001E-2</v>
      </c>
      <c r="S1278">
        <v>3.0128170000000001</v>
      </c>
      <c r="T1278">
        <v>-4.392219E-2</v>
      </c>
      <c r="U1278">
        <v>-0.23208619999999999</v>
      </c>
      <c r="V1278">
        <v>-8.3283969999999995E-3</v>
      </c>
      <c r="W1278">
        <v>-6.7151760000000005E-2</v>
      </c>
      <c r="X1278">
        <v>0.99770800000000004</v>
      </c>
      <c r="Y1278">
        <v>8.8818620000000001E-2</v>
      </c>
      <c r="Z1278">
        <v>-1.3861429999999901E-3</v>
      </c>
      <c r="AA1278">
        <v>0.99604680000000001</v>
      </c>
      <c r="AB1278">
        <v>34</v>
      </c>
      <c r="AC1278">
        <v>71.787800000000004</v>
      </c>
      <c r="AD1278">
        <v>-1.0514248500000001</v>
      </c>
      <c r="AE1278">
        <v>-5.56</v>
      </c>
      <c r="AF1278">
        <v>6.4250756945754501</v>
      </c>
      <c r="AG1278">
        <v>-1.0514248500000001</v>
      </c>
      <c r="AH1278">
        <v>71.700139119227998</v>
      </c>
      <c r="AI1278">
        <v>90.836783792016902</v>
      </c>
      <c r="AJ1278">
        <v>84.879381231757705</v>
      </c>
      <c r="AK1278">
        <v>71.995118179032602</v>
      </c>
      <c r="AL1278">
        <v>93.850410003627104</v>
      </c>
      <c r="AM1278">
        <v>90.478267103327596</v>
      </c>
      <c r="AN1278">
        <v>0.99999998716584304</v>
      </c>
    </row>
    <row r="1279" spans="1:40" x14ac:dyDescent="0.25">
      <c r="A1279" t="str">
        <f>"20190303153802038"</f>
        <v>20190303153802038</v>
      </c>
      <c r="B1279" t="str">
        <f>"1551598682030195"</f>
        <v>1551598682030195</v>
      </c>
      <c r="C1279" t="s">
        <v>40</v>
      </c>
      <c r="D1279">
        <v>4.4640399999999998</v>
      </c>
      <c r="E1279">
        <v>0.53719629999999996</v>
      </c>
      <c r="F1279" t="s">
        <v>45</v>
      </c>
      <c r="G1279">
        <v>-176.4237</v>
      </c>
      <c r="H1279">
        <v>7.9988030000000002E-2</v>
      </c>
      <c r="I1279">
        <v>361.34690000000001</v>
      </c>
      <c r="J1279">
        <v>-251.56559999999999</v>
      </c>
      <c r="K1279">
        <v>1.1209530000000001</v>
      </c>
      <c r="L1279">
        <v>367.2124</v>
      </c>
      <c r="M1279">
        <v>0.99977969999999905</v>
      </c>
      <c r="N1279">
        <v>-1.717254E-2</v>
      </c>
      <c r="O1279">
        <v>1.207331E-2</v>
      </c>
      <c r="P1279">
        <v>0.99625260000000004</v>
      </c>
      <c r="Q1279">
        <v>-8.4105460000000007E-2</v>
      </c>
      <c r="R1279">
        <v>2.018168E-2</v>
      </c>
      <c r="S1279">
        <v>3.0126650000000001</v>
      </c>
      <c r="T1279">
        <v>-4.1623350000000003E-2</v>
      </c>
      <c r="U1279">
        <v>-0.23443600000000001</v>
      </c>
      <c r="V1279">
        <v>-8.1534180000000008E-3</v>
      </c>
      <c r="W1279">
        <v>-6.6981609999999997E-2</v>
      </c>
      <c r="X1279">
        <v>0.99772090000000002</v>
      </c>
      <c r="Y1279">
        <v>8.9596140000000005E-2</v>
      </c>
      <c r="Z1279">
        <v>-1.3481189999999901E-3</v>
      </c>
      <c r="AA1279">
        <v>0.99597729999999995</v>
      </c>
      <c r="AB1279">
        <v>34</v>
      </c>
      <c r="AC1279">
        <v>75.141899999999893</v>
      </c>
      <c r="AD1279">
        <v>-1.0409649700000001</v>
      </c>
      <c r="AE1279">
        <v>-5.8654999999999902</v>
      </c>
      <c r="AF1279">
        <v>6.7711259582555101</v>
      </c>
      <c r="AG1279">
        <v>-1.0409649700000001</v>
      </c>
      <c r="AH1279">
        <v>75.051279022573993</v>
      </c>
      <c r="AI1279">
        <v>90.791430311962799</v>
      </c>
      <c r="AJ1279">
        <v>84.844732226636907</v>
      </c>
      <c r="AK1279">
        <v>75.3632950297131</v>
      </c>
      <c r="AL1279">
        <v>93.840639061526005</v>
      </c>
      <c r="AM1279">
        <v>90.468213145744897</v>
      </c>
      <c r="AN1279">
        <v>1.0000000043000401</v>
      </c>
    </row>
    <row r="1280" spans="1:40" x14ac:dyDescent="0.25">
      <c r="A1280" t="str">
        <f>"20190303153802050"</f>
        <v>20190303153802050</v>
      </c>
      <c r="B1280" t="str">
        <f>"1551598682039956"</f>
        <v>1551598682039956</v>
      </c>
      <c r="C1280" t="s">
        <v>40</v>
      </c>
      <c r="D1280">
        <v>4.4192489999999998</v>
      </c>
      <c r="E1280">
        <v>0.53712609999999905</v>
      </c>
      <c r="F1280" t="s">
        <v>43</v>
      </c>
      <c r="G1280">
        <v>-164.95330000000001</v>
      </c>
      <c r="H1280">
        <v>-0.05</v>
      </c>
      <c r="I1280">
        <v>360.45569999999998</v>
      </c>
      <c r="J1280">
        <v>-251.37049999999999</v>
      </c>
      <c r="K1280">
        <v>1.1209469999999999</v>
      </c>
      <c r="L1280">
        <v>367.21469999999999</v>
      </c>
      <c r="M1280">
        <v>0.99978319999999998</v>
      </c>
      <c r="N1280">
        <v>-1.6971920000000001E-2</v>
      </c>
      <c r="O1280">
        <v>1.2073199999999999E-2</v>
      </c>
      <c r="P1280">
        <v>0.99626510000000001</v>
      </c>
      <c r="Q1280">
        <v>-8.3970050000000004E-2</v>
      </c>
      <c r="R1280">
        <v>2.012684E-2</v>
      </c>
      <c r="S1280">
        <v>3.0126189999999999</v>
      </c>
      <c r="T1280">
        <v>-4.0729050000000003E-2</v>
      </c>
      <c r="U1280">
        <v>-0.2350159</v>
      </c>
      <c r="V1280">
        <v>-8.0986700000000005E-3</v>
      </c>
      <c r="W1280">
        <v>-6.7046229999999998E-2</v>
      </c>
      <c r="X1280">
        <v>0.99771699999999996</v>
      </c>
      <c r="Y1280">
        <v>8.9788359999999998E-2</v>
      </c>
      <c r="Z1280">
        <v>-1.3276200000000001E-3</v>
      </c>
      <c r="AA1280">
        <v>0.99595999999999996</v>
      </c>
      <c r="AB1280">
        <v>34</v>
      </c>
      <c r="AC1280">
        <v>86.417199999999895</v>
      </c>
      <c r="AD1280">
        <v>-1.170947</v>
      </c>
      <c r="AE1280">
        <v>-6.7590000000000101</v>
      </c>
      <c r="AF1280">
        <v>7.8005660585322802</v>
      </c>
      <c r="AG1280">
        <v>-1.170947</v>
      </c>
      <c r="AH1280">
        <v>86.313534412003193</v>
      </c>
      <c r="AI1280">
        <v>90.774084153756903</v>
      </c>
      <c r="AJ1280">
        <v>84.835935791322598</v>
      </c>
      <c r="AK1280">
        <v>86.673214838278597</v>
      </c>
      <c r="AL1280">
        <v>93.844349877863905</v>
      </c>
      <c r="AM1280">
        <v>90.465071177313106</v>
      </c>
      <c r="AN1280">
        <v>0.99999999875098999</v>
      </c>
    </row>
    <row r="1281" spans="1:40" x14ac:dyDescent="0.25">
      <c r="A1281" t="str">
        <f>"20190303153802063"</f>
        <v>20190303153802063</v>
      </c>
      <c r="B1281" t="str">
        <f>"1551598682060451"</f>
        <v>1551598682060451</v>
      </c>
      <c r="C1281" t="s">
        <v>40</v>
      </c>
      <c r="D1281">
        <v>4.4638970000000002</v>
      </c>
      <c r="E1281">
        <v>0.53706089999999995</v>
      </c>
      <c r="F1281" t="s">
        <v>43</v>
      </c>
      <c r="G1281">
        <v>-163.93520000000001</v>
      </c>
      <c r="H1281">
        <v>-0.05</v>
      </c>
      <c r="I1281">
        <v>360.40800000000002</v>
      </c>
      <c r="J1281">
        <v>-251.17750000000001</v>
      </c>
      <c r="K1281">
        <v>1.1209439999999999</v>
      </c>
      <c r="L1281">
        <v>367.21710000000002</v>
      </c>
      <c r="M1281">
        <v>0.99978619999999996</v>
      </c>
      <c r="N1281">
        <v>-1.6791460000000001E-2</v>
      </c>
      <c r="O1281">
        <v>1.2073199999999999E-2</v>
      </c>
      <c r="P1281">
        <v>0.99631110000000001</v>
      </c>
      <c r="Q1281">
        <v>-8.3425669999999993E-2</v>
      </c>
      <c r="R1281">
        <v>2.0117590000000001E-2</v>
      </c>
      <c r="S1281">
        <v>3.0125890000000002</v>
      </c>
      <c r="T1281">
        <v>-4.0345069999999997E-2</v>
      </c>
      <c r="U1281">
        <v>-0.2345276</v>
      </c>
      <c r="V1281">
        <v>-8.0884029999999992E-3</v>
      </c>
      <c r="W1281">
        <v>-6.6681210000000005E-2</v>
      </c>
      <c r="X1281">
        <v>0.99774149999999995</v>
      </c>
      <c r="Y1281">
        <v>8.9629059999999997E-2</v>
      </c>
      <c r="Z1281">
        <v>-1.312031E-3</v>
      </c>
      <c r="AA1281">
        <v>0.99597440000000004</v>
      </c>
      <c r="AB1281">
        <v>34</v>
      </c>
      <c r="AC1281">
        <v>87.2423</v>
      </c>
      <c r="AD1281">
        <v>-1.170944</v>
      </c>
      <c r="AE1281">
        <v>-6.8090999999999999</v>
      </c>
      <c r="AF1281">
        <v>7.8606382926771499</v>
      </c>
      <c r="AG1281">
        <v>-1.170944</v>
      </c>
      <c r="AH1281">
        <v>87.138118147891205</v>
      </c>
      <c r="AI1281">
        <v>90.766769333902104</v>
      </c>
      <c r="AJ1281">
        <v>84.845359806780195</v>
      </c>
      <c r="AK1281">
        <v>87.499785020166101</v>
      </c>
      <c r="AL1281">
        <v>93.823389037545596</v>
      </c>
      <c r="AM1281">
        <v>90.464470209221005</v>
      </c>
      <c r="AN1281">
        <v>0.99999995342620096</v>
      </c>
    </row>
    <row r="1282" spans="1:40" x14ac:dyDescent="0.25">
      <c r="A1282" t="str">
        <f>"20190303153802076"</f>
        <v>20190303153802076</v>
      </c>
      <c r="B1282" t="str">
        <f>"1551598682070210"</f>
        <v>1551598682070210</v>
      </c>
      <c r="C1282" t="s">
        <v>40</v>
      </c>
      <c r="D1282">
        <v>4.4691510000000001</v>
      </c>
      <c r="E1282">
        <v>0.5370433</v>
      </c>
      <c r="F1282" t="s">
        <v>43</v>
      </c>
      <c r="G1282">
        <v>-160.29490000000001</v>
      </c>
      <c r="H1282">
        <v>-0.05</v>
      </c>
      <c r="I1282">
        <v>360.16309999999999</v>
      </c>
      <c r="J1282">
        <v>-250.9913</v>
      </c>
      <c r="K1282">
        <v>1.1209450000000001</v>
      </c>
      <c r="L1282">
        <v>367.21929999999998</v>
      </c>
      <c r="M1282">
        <v>0.99978900000000004</v>
      </c>
      <c r="N1282">
        <v>-1.6626559999999999E-2</v>
      </c>
      <c r="O1282">
        <v>1.2073459999999999E-2</v>
      </c>
      <c r="P1282">
        <v>0.99631409999999998</v>
      </c>
      <c r="Q1282">
        <v>-8.3338040000000002E-2</v>
      </c>
      <c r="R1282">
        <v>2.03295E-2</v>
      </c>
      <c r="S1282">
        <v>3.0125730000000002</v>
      </c>
      <c r="T1282">
        <v>-3.8814429999999997E-2</v>
      </c>
      <c r="U1282">
        <v>-0.2338257</v>
      </c>
      <c r="V1282">
        <v>-8.3000739999999993E-3</v>
      </c>
      <c r="W1282">
        <v>-6.6758059999999994E-2</v>
      </c>
      <c r="X1282">
        <v>0.99773469999999997</v>
      </c>
      <c r="Y1282">
        <v>8.9400080000000007E-2</v>
      </c>
      <c r="Z1282">
        <v>-1.274376E-3</v>
      </c>
      <c r="AA1282">
        <v>0.99599499999999996</v>
      </c>
      <c r="AB1282">
        <v>34</v>
      </c>
      <c r="AC1282">
        <v>90.696399999999898</v>
      </c>
      <c r="AD1282">
        <v>-1.1709449999999999</v>
      </c>
      <c r="AE1282">
        <v>-7.0561999999999898</v>
      </c>
      <c r="AF1282">
        <v>8.1495059411299202</v>
      </c>
      <c r="AG1282">
        <v>-1.1709449999999999</v>
      </c>
      <c r="AH1282">
        <v>90.589574131241207</v>
      </c>
      <c r="AI1282">
        <v>90.737575757651797</v>
      </c>
      <c r="AJ1282">
        <v>84.859466296280303</v>
      </c>
      <c r="AK1282">
        <v>90.962940258971301</v>
      </c>
      <c r="AL1282">
        <v>93.827801755445606</v>
      </c>
      <c r="AM1282">
        <v>90.476627945321297</v>
      </c>
      <c r="AN1282">
        <v>1.00000003069372</v>
      </c>
    </row>
    <row r="1283" spans="1:40" x14ac:dyDescent="0.25">
      <c r="A1283" t="str">
        <f>"20190303153802087"</f>
        <v>20190303153802087</v>
      </c>
      <c r="B1283" t="str">
        <f>"1551598682079970"</f>
        <v>1551598682079970</v>
      </c>
      <c r="C1283" t="s">
        <v>40</v>
      </c>
      <c r="D1283">
        <v>4.4798460000000002</v>
      </c>
      <c r="E1283">
        <v>0.53704739999999995</v>
      </c>
      <c r="F1283" t="s">
        <v>43</v>
      </c>
      <c r="G1283">
        <v>-160.1208</v>
      </c>
      <c r="H1283">
        <v>-0.05</v>
      </c>
      <c r="I1283">
        <v>360.1866</v>
      </c>
      <c r="J1283">
        <v>-250.8032</v>
      </c>
      <c r="K1283">
        <v>1.1209450000000001</v>
      </c>
      <c r="L1283">
        <v>367.22160000000002</v>
      </c>
      <c r="M1283">
        <v>0.9997916</v>
      </c>
      <c r="N1283">
        <v>-1.6469069999999999E-2</v>
      </c>
      <c r="O1283">
        <v>1.207342E-2</v>
      </c>
      <c r="P1283">
        <v>0.99634299999999998</v>
      </c>
      <c r="Q1283">
        <v>-8.2949190000000006E-2</v>
      </c>
      <c r="R1283">
        <v>2.0505499999999999E-2</v>
      </c>
      <c r="S1283">
        <v>3.0126040000000001</v>
      </c>
      <c r="T1283">
        <v>-3.8820029999999998E-2</v>
      </c>
      <c r="U1283">
        <v>-0.23315429999999901</v>
      </c>
      <c r="V1283">
        <v>-8.4757600000000006E-3</v>
      </c>
      <c r="W1283">
        <v>-6.6525909999999994E-2</v>
      </c>
      <c r="X1283">
        <v>0.99774870000000004</v>
      </c>
      <c r="Y1283">
        <v>8.9178729999999998E-2</v>
      </c>
      <c r="Z1283">
        <v>-1.266068E-3</v>
      </c>
      <c r="AA1283">
        <v>0.99601479999999998</v>
      </c>
      <c r="AB1283">
        <v>34</v>
      </c>
      <c r="AC1283">
        <v>90.682400000000001</v>
      </c>
      <c r="AD1283">
        <v>-1.1709449999999999</v>
      </c>
      <c r="AE1283">
        <v>-7.0350000000000197</v>
      </c>
      <c r="AF1283">
        <v>8.1281350453567001</v>
      </c>
      <c r="AG1283">
        <v>-1.1709449999999999</v>
      </c>
      <c r="AH1283">
        <v>90.575828854293704</v>
      </c>
      <c r="AI1283">
        <v>90.737702289938397</v>
      </c>
      <c r="AJ1283">
        <v>84.872100741865594</v>
      </c>
      <c r="AK1283">
        <v>90.947338961351093</v>
      </c>
      <c r="AL1283">
        <v>93.814471015943994</v>
      </c>
      <c r="AM1283">
        <v>90.486709323970103</v>
      </c>
      <c r="AN1283">
        <v>1.0000000017802899</v>
      </c>
    </row>
    <row r="1284" spans="1:40" x14ac:dyDescent="0.25">
      <c r="A1284" t="str">
        <f>"20190303153802103"</f>
        <v>20190303153802103</v>
      </c>
      <c r="B1284" t="str">
        <f>"1551598682100467"</f>
        <v>1551598682100467</v>
      </c>
      <c r="C1284" t="s">
        <v>40</v>
      </c>
      <c r="D1284">
        <v>4.4607359999999998</v>
      </c>
      <c r="E1284">
        <v>0.53705159999999996</v>
      </c>
      <c r="F1284" t="s">
        <v>43</v>
      </c>
      <c r="G1284">
        <v>-158.22989999999999</v>
      </c>
      <c r="H1284">
        <v>-0.05</v>
      </c>
      <c r="I1284">
        <v>360.07209999999998</v>
      </c>
      <c r="J1284">
        <v>-250.5812</v>
      </c>
      <c r="K1284">
        <v>1.1209519999999999</v>
      </c>
      <c r="L1284">
        <v>367.22430000000003</v>
      </c>
      <c r="M1284">
        <v>0.99979430000000002</v>
      </c>
      <c r="N1284">
        <v>-1.6301039999999999E-2</v>
      </c>
      <c r="O1284">
        <v>1.207368E-2</v>
      </c>
      <c r="P1284">
        <v>0.99635359999999995</v>
      </c>
      <c r="Q1284">
        <v>-8.2689460000000006E-2</v>
      </c>
      <c r="R1284">
        <v>2.1027170000000001E-2</v>
      </c>
      <c r="S1284">
        <v>3.0126339999999998</v>
      </c>
      <c r="T1284">
        <v>-3.8106319999999999E-2</v>
      </c>
      <c r="U1284">
        <v>-0.23266600000000001</v>
      </c>
      <c r="V1284">
        <v>-8.9967759999999997E-3</v>
      </c>
      <c r="W1284">
        <v>-6.6433590000000001E-2</v>
      </c>
      <c r="X1284">
        <v>0.99775029999999998</v>
      </c>
      <c r="Y1284">
        <v>8.9018280000000005E-2</v>
      </c>
      <c r="Z1284">
        <v>-1.2448509999999999E-3</v>
      </c>
      <c r="AA1284">
        <v>0.99602919999999995</v>
      </c>
      <c r="AB1284">
        <v>34</v>
      </c>
      <c r="AC1284">
        <v>92.351299999999995</v>
      </c>
      <c r="AD1284">
        <v>-1.170952</v>
      </c>
      <c r="AE1284">
        <v>-7.1522000000000503</v>
      </c>
      <c r="AF1284">
        <v>8.2655257931756498</v>
      </c>
      <c r="AG1284">
        <v>-1.170952</v>
      </c>
      <c r="AH1284">
        <v>92.243460797644104</v>
      </c>
      <c r="AI1284">
        <v>90.724379998290203</v>
      </c>
      <c r="AJ1284">
        <v>84.879655110283295</v>
      </c>
      <c r="AK1284">
        <v>92.620441076203406</v>
      </c>
      <c r="AL1284">
        <v>93.809169701062999</v>
      </c>
      <c r="AM1284">
        <v>90.516625576559207</v>
      </c>
      <c r="AN1284">
        <v>1.00000001250438</v>
      </c>
    </row>
    <row r="1285" spans="1:40" x14ac:dyDescent="0.25">
      <c r="A1285" t="str">
        <f>"20190303153802115"</f>
        <v>20190303153802115</v>
      </c>
      <c r="B1285" t="str">
        <f>"1551598682110227"</f>
        <v>1551598682110227</v>
      </c>
      <c r="C1285" t="s">
        <v>40</v>
      </c>
      <c r="D1285">
        <v>4.4542840000000004</v>
      </c>
      <c r="E1285">
        <v>0.53707169999999904</v>
      </c>
      <c r="F1285" t="s">
        <v>43</v>
      </c>
      <c r="G1285">
        <v>-159.46799999999999</v>
      </c>
      <c r="H1285">
        <v>-0.05</v>
      </c>
      <c r="I1285">
        <v>360.23469999999998</v>
      </c>
      <c r="J1285">
        <v>-250.40280000000001</v>
      </c>
      <c r="K1285">
        <v>1.1209549999999999</v>
      </c>
      <c r="L1285">
        <v>367.22640000000001</v>
      </c>
      <c r="M1285">
        <v>0.99979649999999998</v>
      </c>
      <c r="N1285">
        <v>-1.6173770000000001E-2</v>
      </c>
      <c r="O1285">
        <v>1.2073540000000001E-2</v>
      </c>
      <c r="P1285">
        <v>0.99634529999999999</v>
      </c>
      <c r="Q1285">
        <v>-8.2727599999999998E-2</v>
      </c>
      <c r="R1285">
        <v>2.127544E-2</v>
      </c>
      <c r="S1285">
        <v>3.0126650000000001</v>
      </c>
      <c r="T1285">
        <v>-3.8717630000000003E-2</v>
      </c>
      <c r="U1285">
        <v>-0.2311096</v>
      </c>
      <c r="V1285">
        <v>-9.2454979999999996E-3</v>
      </c>
      <c r="W1285">
        <v>-6.65988E-2</v>
      </c>
      <c r="X1285">
        <v>0.99773699999999999</v>
      </c>
      <c r="Y1285">
        <v>8.8505600000000004E-2</v>
      </c>
      <c r="Z1285">
        <v>-1.244722E-3</v>
      </c>
      <c r="AA1285">
        <v>0.99607489999999999</v>
      </c>
      <c r="AB1285">
        <v>34</v>
      </c>
      <c r="AC1285">
        <v>90.934799999999996</v>
      </c>
      <c r="AD1285">
        <v>-1.170955</v>
      </c>
      <c r="AE1285">
        <v>-6.99170000000003</v>
      </c>
      <c r="AF1285">
        <v>8.0879054067115792</v>
      </c>
      <c r="AG1285">
        <v>-1.170955</v>
      </c>
      <c r="AH1285">
        <v>90.828772493849698</v>
      </c>
      <c r="AI1285">
        <v>90.735699611191706</v>
      </c>
      <c r="AJ1285">
        <v>84.911481974395798</v>
      </c>
      <c r="AK1285">
        <v>91.195675677191204</v>
      </c>
      <c r="AL1285">
        <v>93.818656593516295</v>
      </c>
      <c r="AM1285">
        <v>90.530914312639595</v>
      </c>
      <c r="AN1285">
        <v>1.0000000002818501</v>
      </c>
    </row>
    <row r="1286" spans="1:40" x14ac:dyDescent="0.25">
      <c r="A1286" t="str">
        <f>"20190303153802124"</f>
        <v>20190303153802124</v>
      </c>
      <c r="B1286" t="str">
        <f>"1551598682119987"</f>
        <v>1551598682119987</v>
      </c>
      <c r="C1286" t="s">
        <v>40</v>
      </c>
      <c r="D1286">
        <v>4.4260760000000001</v>
      </c>
      <c r="E1286">
        <v>0.53704130000000005</v>
      </c>
      <c r="F1286" t="s">
        <v>43</v>
      </c>
      <c r="G1286">
        <v>-159.7346</v>
      </c>
      <c r="H1286">
        <v>-0.05</v>
      </c>
      <c r="I1286">
        <v>360.29129999999998</v>
      </c>
      <c r="J1286">
        <v>-250.2355</v>
      </c>
      <c r="K1286">
        <v>1.120957</v>
      </c>
      <c r="L1286">
        <v>367.2285</v>
      </c>
      <c r="M1286">
        <v>0.99979810000000002</v>
      </c>
      <c r="N1286">
        <v>-1.6062280000000002E-2</v>
      </c>
      <c r="O1286">
        <v>1.2073800000000001E-2</v>
      </c>
      <c r="P1286">
        <v>0.99632619999999905</v>
      </c>
      <c r="Q1286">
        <v>-8.2936350000000006E-2</v>
      </c>
      <c r="R1286">
        <v>2.135219E-2</v>
      </c>
      <c r="S1286">
        <v>3.0126949999999999</v>
      </c>
      <c r="T1286">
        <v>-3.8908119999999997E-2</v>
      </c>
      <c r="U1286">
        <v>-0.23043820000000001</v>
      </c>
      <c r="V1286">
        <v>-9.32237E-3</v>
      </c>
      <c r="W1286">
        <v>-6.6919049999999994E-2</v>
      </c>
      <c r="X1286">
        <v>0.99771489999999996</v>
      </c>
      <c r="Y1286">
        <v>8.8284390000000004E-2</v>
      </c>
      <c r="Z1286">
        <v>-1.241465E-3</v>
      </c>
      <c r="AA1286">
        <v>0.99609449999999999</v>
      </c>
      <c r="AB1286">
        <v>34</v>
      </c>
      <c r="AC1286">
        <v>90.500900000000001</v>
      </c>
      <c r="AD1286">
        <v>-1.170957</v>
      </c>
      <c r="AE1286">
        <v>-6.9372000000000096</v>
      </c>
      <c r="AF1286">
        <v>8.0281888194420592</v>
      </c>
      <c r="AG1286">
        <v>-1.170957</v>
      </c>
      <c r="AH1286">
        <v>90.395487900573201</v>
      </c>
      <c r="AI1286">
        <v>90.739242093850393</v>
      </c>
      <c r="AJ1286">
        <v>84.924772634723098</v>
      </c>
      <c r="AK1286">
        <v>90.758840829966204</v>
      </c>
      <c r="AL1286">
        <v>93.837046425520498</v>
      </c>
      <c r="AM1286">
        <v>90.535340218639604</v>
      </c>
      <c r="AN1286">
        <v>1.00000004375866</v>
      </c>
    </row>
    <row r="1287" spans="1:40" x14ac:dyDescent="0.25">
      <c r="A1287" t="str">
        <f>"20190303153802136"</f>
        <v>20190303153802136</v>
      </c>
      <c r="B1287" t="str">
        <f>"1551598682129747"</f>
        <v>1551598682129747</v>
      </c>
      <c r="C1287" t="s">
        <v>40</v>
      </c>
      <c r="D1287">
        <v>4.4470070000000002</v>
      </c>
      <c r="E1287">
        <v>0.53710480000000005</v>
      </c>
      <c r="F1287" t="s">
        <v>43</v>
      </c>
      <c r="G1287">
        <v>-161.89279999999999</v>
      </c>
      <c r="H1287">
        <v>-0.05</v>
      </c>
      <c r="I1287">
        <v>360.48270000000002</v>
      </c>
      <c r="J1287">
        <v>-250.0736</v>
      </c>
      <c r="K1287">
        <v>1.120962</v>
      </c>
      <c r="L1287">
        <v>367.23039999999997</v>
      </c>
      <c r="M1287">
        <v>0.99979980000000002</v>
      </c>
      <c r="N1287">
        <v>-1.5961980000000001E-2</v>
      </c>
      <c r="O1287">
        <v>1.2073779999999999E-2</v>
      </c>
      <c r="P1287">
        <v>0.99629429999999997</v>
      </c>
      <c r="Q1287">
        <v>-8.3292409999999997E-2</v>
      </c>
      <c r="R1287">
        <v>2.1457569999999999E-2</v>
      </c>
      <c r="S1287">
        <v>3.0126499999999998</v>
      </c>
      <c r="T1287">
        <v>-3.9931769999999998E-2</v>
      </c>
      <c r="U1287">
        <v>-0.23004150000000001</v>
      </c>
      <c r="V1287">
        <v>-9.4276949999999998E-3</v>
      </c>
      <c r="W1287">
        <v>-6.7375619999999997E-2</v>
      </c>
      <c r="X1287">
        <v>0.99768319999999999</v>
      </c>
      <c r="Y1287">
        <v>8.8154549999999998E-2</v>
      </c>
      <c r="Z1287">
        <v>-1.255426E-3</v>
      </c>
      <c r="AA1287">
        <v>0.99610600000000005</v>
      </c>
      <c r="AB1287">
        <v>34</v>
      </c>
      <c r="AC1287">
        <v>88.180800000000005</v>
      </c>
      <c r="AD1287">
        <v>-1.1709620000000001</v>
      </c>
      <c r="AE1287">
        <v>-6.7476999999999503</v>
      </c>
      <c r="AF1287">
        <v>7.8106498897099499</v>
      </c>
      <c r="AG1287">
        <v>-1.1709620000000001</v>
      </c>
      <c r="AH1287">
        <v>88.077449492892598</v>
      </c>
      <c r="AI1287">
        <v>90.758707446815293</v>
      </c>
      <c r="AJ1287">
        <v>84.932304635452994</v>
      </c>
      <c r="AK1287">
        <v>88.430845935556405</v>
      </c>
      <c r="AL1287">
        <v>93.863265063454506</v>
      </c>
      <c r="AM1287">
        <v>90.541405384871098</v>
      </c>
      <c r="AN1287">
        <v>1.00000006158281</v>
      </c>
    </row>
    <row r="1288" spans="1:40" x14ac:dyDescent="0.25">
      <c r="A1288" t="str">
        <f>"20190303153802150"</f>
        <v>20190303153802150</v>
      </c>
      <c r="B1288" t="str">
        <f>"1551598682139507"</f>
        <v>1551598682139507</v>
      </c>
      <c r="C1288" t="s">
        <v>40</v>
      </c>
      <c r="D1288">
        <v>4.4470609999999997</v>
      </c>
      <c r="E1288">
        <v>0.53712019999999905</v>
      </c>
      <c r="F1288" t="s">
        <v>43</v>
      </c>
      <c r="G1288">
        <v>-164.38470000000001</v>
      </c>
      <c r="H1288">
        <v>-0.05</v>
      </c>
      <c r="I1288">
        <v>360.68310000000002</v>
      </c>
      <c r="J1288">
        <v>-249.86859999999999</v>
      </c>
      <c r="K1288">
        <v>1.1209659999999999</v>
      </c>
      <c r="L1288">
        <v>367.23289999999997</v>
      </c>
      <c r="M1288">
        <v>0.99980170000000002</v>
      </c>
      <c r="N1288">
        <v>-1.5840980000000001E-2</v>
      </c>
      <c r="O1288">
        <v>1.207392E-2</v>
      </c>
      <c r="P1288">
        <v>0.99628969999999994</v>
      </c>
      <c r="Q1288">
        <v>-8.3362649999999996E-2</v>
      </c>
      <c r="R1288">
        <v>2.138899E-2</v>
      </c>
      <c r="S1288">
        <v>3.0126949999999999</v>
      </c>
      <c r="T1288">
        <v>-4.1169289999999997E-2</v>
      </c>
      <c r="U1288">
        <v>-0.23019410000000001</v>
      </c>
      <c r="V1288">
        <v>-9.3590689999999994E-3</v>
      </c>
      <c r="W1288">
        <v>-6.7566689999999999E-2</v>
      </c>
      <c r="X1288">
        <v>0.99767090000000003</v>
      </c>
      <c r="Y1288">
        <v>8.8202959999999997E-2</v>
      </c>
      <c r="Z1288">
        <v>-1.275277E-3</v>
      </c>
      <c r="AA1288">
        <v>0.99610169999999998</v>
      </c>
      <c r="AB1288">
        <v>34</v>
      </c>
      <c r="AC1288">
        <v>85.483899999999906</v>
      </c>
      <c r="AD1288">
        <v>-1.170966</v>
      </c>
      <c r="AE1288">
        <v>-6.5497999999999399</v>
      </c>
      <c r="AF1288">
        <v>7.58016363986789</v>
      </c>
      <c r="AG1288">
        <v>-1.170966</v>
      </c>
      <c r="AH1288">
        <v>85.382648136757098</v>
      </c>
      <c r="AI1288">
        <v>90.782646256684501</v>
      </c>
      <c r="AJ1288">
        <v>84.926653979072896</v>
      </c>
      <c r="AK1288">
        <v>85.726464087967599</v>
      </c>
      <c r="AL1288">
        <v>93.874237665719804</v>
      </c>
      <c r="AM1288">
        <v>90.537471249133702</v>
      </c>
      <c r="AN1288">
        <v>1.0000000372384501</v>
      </c>
    </row>
    <row r="1289" spans="1:40" x14ac:dyDescent="0.25">
      <c r="A1289" t="str">
        <f>"20190303153802160"</f>
        <v>20190303153802160</v>
      </c>
      <c r="B1289" t="str">
        <f>"1551598682150243"</f>
        <v>1551598682150243</v>
      </c>
      <c r="C1289" t="s">
        <v>40</v>
      </c>
      <c r="D1289">
        <v>4.4368030000000003</v>
      </c>
      <c r="E1289">
        <v>0.53713710000000003</v>
      </c>
      <c r="F1289" t="s">
        <v>43</v>
      </c>
      <c r="G1289">
        <v>-164.36439999999999</v>
      </c>
      <c r="H1289">
        <v>-0.05</v>
      </c>
      <c r="I1289">
        <v>360.69349999999997</v>
      </c>
      <c r="J1289">
        <v>-249.69929999999999</v>
      </c>
      <c r="K1289">
        <v>1.12097</v>
      </c>
      <c r="L1289">
        <v>367.23500000000001</v>
      </c>
      <c r="M1289">
        <v>0.99980309999999994</v>
      </c>
      <c r="N1289">
        <v>-1.5752160000000001E-2</v>
      </c>
      <c r="O1289">
        <v>1.207392E-2</v>
      </c>
      <c r="P1289">
        <v>0.99627480000000002</v>
      </c>
      <c r="Q1289">
        <v>-8.3599329999999999E-2</v>
      </c>
      <c r="R1289">
        <v>2.116697E-2</v>
      </c>
      <c r="S1289">
        <v>3.0126650000000001</v>
      </c>
      <c r="T1289">
        <v>-4.125798E-2</v>
      </c>
      <c r="U1289">
        <v>-0.23040769999999999</v>
      </c>
      <c r="V1289">
        <v>-9.1371779999999993E-3</v>
      </c>
      <c r="W1289">
        <v>-6.7892250000000001E-2</v>
      </c>
      <c r="X1289">
        <v>0.99765079999999995</v>
      </c>
      <c r="Y1289">
        <v>8.827393E-2</v>
      </c>
      <c r="Z1289">
        <v>-1.2751289999999901E-3</v>
      </c>
      <c r="AA1289">
        <v>0.99609539999999996</v>
      </c>
      <c r="AB1289">
        <v>34</v>
      </c>
      <c r="AC1289">
        <v>85.334900000000005</v>
      </c>
      <c r="AD1289">
        <v>-1.1709700000000001</v>
      </c>
      <c r="AE1289">
        <v>-6.5415000000000401</v>
      </c>
      <c r="AF1289">
        <v>7.5700605111507899</v>
      </c>
      <c r="AG1289">
        <v>-1.1709700000000001</v>
      </c>
      <c r="AH1289">
        <v>85.233731541399493</v>
      </c>
      <c r="AI1289">
        <v>90.7840136427087</v>
      </c>
      <c r="AJ1289">
        <v>84.924574730371106</v>
      </c>
      <c r="AK1289">
        <v>85.577251529566794</v>
      </c>
      <c r="AL1289">
        <v>93.892934025256594</v>
      </c>
      <c r="AM1289">
        <v>90.524739817617004</v>
      </c>
      <c r="AN1289">
        <v>0.99999998218625297</v>
      </c>
    </row>
    <row r="1290" spans="1:40" x14ac:dyDescent="0.25">
      <c r="A1290" t="str">
        <f>"20190303153802171"</f>
        <v>20190303153802171</v>
      </c>
      <c r="B1290" t="str">
        <f>"1551598682160003"</f>
        <v>1551598682160003</v>
      </c>
      <c r="C1290" t="s">
        <v>40</v>
      </c>
      <c r="D1290">
        <v>4.4382190000000001</v>
      </c>
      <c r="E1290">
        <v>0.53716560000000002</v>
      </c>
      <c r="F1290" t="s">
        <v>45</v>
      </c>
      <c r="G1290">
        <v>-175.61189999999999</v>
      </c>
      <c r="H1290">
        <v>7.9988080000000003E-2</v>
      </c>
      <c r="I1290">
        <v>361.55059999999997</v>
      </c>
      <c r="J1290">
        <v>-249.53700000000001</v>
      </c>
      <c r="K1290">
        <v>1.12097</v>
      </c>
      <c r="L1290">
        <v>367.23689999999999</v>
      </c>
      <c r="M1290">
        <v>0.99980429999999998</v>
      </c>
      <c r="N1290">
        <v>-1.566911E-2</v>
      </c>
      <c r="O1290">
        <v>1.2074100000000001E-2</v>
      </c>
      <c r="P1290">
        <v>0.99620960000000003</v>
      </c>
      <c r="Q1290">
        <v>-8.4364830000000002E-2</v>
      </c>
      <c r="R1290">
        <v>2.1194930000000001E-2</v>
      </c>
      <c r="S1290">
        <v>3.0125890000000002</v>
      </c>
      <c r="T1290">
        <v>-4.2329070000000003E-2</v>
      </c>
      <c r="U1290">
        <v>-0.23114009999999999</v>
      </c>
      <c r="V1290">
        <v>-9.1661390000000002E-3</v>
      </c>
      <c r="W1290">
        <v>-6.8741529999999995E-2</v>
      </c>
      <c r="X1290">
        <v>0.99759240000000005</v>
      </c>
      <c r="Y1290">
        <v>8.8516120000000004E-2</v>
      </c>
      <c r="Z1290">
        <v>-1.2960339999999999E-3</v>
      </c>
      <c r="AA1290">
        <v>0.99607389999999996</v>
      </c>
      <c r="AB1290">
        <v>34</v>
      </c>
      <c r="AC1290">
        <v>73.9251</v>
      </c>
      <c r="AD1290">
        <v>-1.0409819199999999</v>
      </c>
      <c r="AE1290">
        <v>-5.6863000000000099</v>
      </c>
      <c r="AF1290">
        <v>6.5772775241683696</v>
      </c>
      <c r="AG1290">
        <v>-1.0409819199999999</v>
      </c>
      <c r="AH1290">
        <v>73.836489570022195</v>
      </c>
      <c r="AI1290">
        <v>90.804544289629902</v>
      </c>
      <c r="AJ1290">
        <v>84.909587556907297</v>
      </c>
      <c r="AK1290">
        <v>74.136168062637907</v>
      </c>
      <c r="AL1290">
        <v>93.941708044391206</v>
      </c>
      <c r="AM1290">
        <v>90.526433742437902</v>
      </c>
      <c r="AN1290">
        <v>1.0000000062943299</v>
      </c>
    </row>
    <row r="1291" spans="1:40" x14ac:dyDescent="0.25">
      <c r="A1291" t="str">
        <f>"20190303153802183"</f>
        <v>20190303153802183</v>
      </c>
      <c r="B1291" t="str">
        <f>"1551598682180499"</f>
        <v>1551598682180499</v>
      </c>
      <c r="C1291" t="s">
        <v>40</v>
      </c>
      <c r="D1291">
        <v>4.4115989999999998</v>
      </c>
      <c r="E1291">
        <v>0.5371783</v>
      </c>
      <c r="F1291" t="s">
        <v>45</v>
      </c>
      <c r="G1291">
        <v>-179.0745</v>
      </c>
      <c r="H1291">
        <v>7.9987920000000004E-2</v>
      </c>
      <c r="I1291">
        <v>361.82709999999997</v>
      </c>
      <c r="J1291">
        <v>-249.3561</v>
      </c>
      <c r="K1291">
        <v>1.120976</v>
      </c>
      <c r="L1291">
        <v>367.23910000000001</v>
      </c>
      <c r="M1291">
        <v>0.99980559999999996</v>
      </c>
      <c r="N1291">
        <v>-1.5585180000000001E-2</v>
      </c>
      <c r="O1291">
        <v>1.207423E-2</v>
      </c>
      <c r="P1291">
        <v>0.99619259999999998</v>
      </c>
      <c r="Q1291">
        <v>-8.4661449999999999E-2</v>
      </c>
      <c r="R1291">
        <v>2.0800530000000001E-2</v>
      </c>
      <c r="S1291">
        <v>3.0125730000000002</v>
      </c>
      <c r="T1291">
        <v>-4.450643E-2</v>
      </c>
      <c r="U1291">
        <v>-0.23129269999999999</v>
      </c>
      <c r="V1291">
        <v>-8.7720349999999992E-3</v>
      </c>
      <c r="W1291">
        <v>-6.9122249999999996E-2</v>
      </c>
      <c r="X1291">
        <v>0.99756959999999995</v>
      </c>
      <c r="Y1291">
        <v>8.8565389999999994E-2</v>
      </c>
      <c r="Z1291">
        <v>-1.3347319999999999E-3</v>
      </c>
      <c r="AA1291">
        <v>0.99606950000000005</v>
      </c>
      <c r="AB1291">
        <v>34</v>
      </c>
      <c r="AC1291">
        <v>70.281599999999997</v>
      </c>
      <c r="AD1291">
        <v>-1.04098808</v>
      </c>
      <c r="AE1291">
        <v>-5.4120000000000301</v>
      </c>
      <c r="AF1291">
        <v>6.2589396784927498</v>
      </c>
      <c r="AG1291">
        <v>-1.04098808</v>
      </c>
      <c r="AH1291">
        <v>70.195812646489898</v>
      </c>
      <c r="AI1291">
        <v>90.846264373397105</v>
      </c>
      <c r="AJ1291">
        <v>84.904753188646197</v>
      </c>
      <c r="AK1291">
        <v>70.481984188747305</v>
      </c>
      <c r="AL1291">
        <v>93.963573846238106</v>
      </c>
      <c r="AM1291">
        <v>90.503812094394107</v>
      </c>
      <c r="AN1291">
        <v>0.99999997044363098</v>
      </c>
    </row>
    <row r="1292" spans="1:40" x14ac:dyDescent="0.25">
      <c r="A1292" t="str">
        <f>"20190303153802194"</f>
        <v>20190303153802194</v>
      </c>
      <c r="B1292" t="str">
        <f>"1551598682190259"</f>
        <v>1551598682190259</v>
      </c>
      <c r="C1292" t="s">
        <v>40</v>
      </c>
      <c r="D1292">
        <v>4.3799000000000001</v>
      </c>
      <c r="E1292">
        <v>0.53715269999999904</v>
      </c>
      <c r="F1292" t="s">
        <v>45</v>
      </c>
      <c r="G1292">
        <v>-179.99</v>
      </c>
      <c r="H1292">
        <v>5.9977179999999998E-2</v>
      </c>
      <c r="I1292">
        <v>361.89</v>
      </c>
      <c r="J1292">
        <v>-249.19550000000001</v>
      </c>
      <c r="K1292">
        <v>1.1209800000000001</v>
      </c>
      <c r="L1292">
        <v>367.24099999999999</v>
      </c>
      <c r="M1292">
        <v>0.99980670000000005</v>
      </c>
      <c r="N1292">
        <v>-1.551464E-2</v>
      </c>
      <c r="O1292">
        <v>1.207449E-2</v>
      </c>
      <c r="P1292">
        <v>0.99615679999999995</v>
      </c>
      <c r="Q1292">
        <v>-8.5096720000000001E-2</v>
      </c>
      <c r="R1292">
        <v>2.0746339999999999E-2</v>
      </c>
      <c r="S1292">
        <v>3.0124209999999998</v>
      </c>
      <c r="T1292">
        <v>-4.6076890000000002E-2</v>
      </c>
      <c r="U1292">
        <v>-0.2322998</v>
      </c>
      <c r="V1292">
        <v>-8.717977E-3</v>
      </c>
      <c r="W1292">
        <v>-6.9628399999999993E-2</v>
      </c>
      <c r="X1292">
        <v>0.9975349</v>
      </c>
      <c r="Y1292">
        <v>8.8899430000000002E-2</v>
      </c>
      <c r="Z1292">
        <v>-1.3669800000000001E-3</v>
      </c>
      <c r="AA1292">
        <v>0.99603969999999997</v>
      </c>
      <c r="AB1292">
        <v>34</v>
      </c>
      <c r="AC1292">
        <v>69.205500000000001</v>
      </c>
      <c r="AD1292">
        <v>-1.0610028199999999</v>
      </c>
      <c r="AE1292">
        <v>-5.3509999999999902</v>
      </c>
      <c r="AF1292">
        <v>6.1848864636249701</v>
      </c>
      <c r="AG1292">
        <v>-1.0610028199999999</v>
      </c>
      <c r="AH1292">
        <v>69.119685658586505</v>
      </c>
      <c r="AI1292">
        <v>90.875934929417099</v>
      </c>
      <c r="AJ1292">
        <v>84.886744359637206</v>
      </c>
      <c r="AK1292">
        <v>69.403958771051293</v>
      </c>
      <c r="AL1292">
        <v>93.992644041280997</v>
      </c>
      <c r="AM1292">
        <v>90.500724908321899</v>
      </c>
      <c r="AN1292">
        <v>0.99999999696377095</v>
      </c>
    </row>
    <row r="1293" spans="1:40" x14ac:dyDescent="0.25">
      <c r="A1293" t="str">
        <f>"20190303153802203"</f>
        <v>20190303153802203</v>
      </c>
      <c r="B1293" t="str">
        <f>"1551598682200019"</f>
        <v>1551598682200019</v>
      </c>
      <c r="C1293" t="s">
        <v>40</v>
      </c>
      <c r="D1293">
        <v>4.4119929999999998</v>
      </c>
      <c r="E1293">
        <v>0.53711219999999904</v>
      </c>
      <c r="F1293" t="s">
        <v>45</v>
      </c>
      <c r="G1293">
        <v>-180</v>
      </c>
      <c r="H1293">
        <v>2.8624460000000001E-2</v>
      </c>
      <c r="I1293">
        <v>361.90699999999998</v>
      </c>
      <c r="J1293">
        <v>-249.0394</v>
      </c>
      <c r="K1293">
        <v>1.1209830000000001</v>
      </c>
      <c r="L1293">
        <v>367.24290000000002</v>
      </c>
      <c r="M1293">
        <v>0.99980780000000002</v>
      </c>
      <c r="N1293">
        <v>-1.545065E-2</v>
      </c>
      <c r="O1293">
        <v>1.207446E-2</v>
      </c>
      <c r="P1293">
        <v>0.99614659999999999</v>
      </c>
      <c r="Q1293">
        <v>-8.5175799999999996E-2</v>
      </c>
      <c r="R1293">
        <v>2.0903640000000001E-2</v>
      </c>
      <c r="S1293">
        <v>3.0123440000000001</v>
      </c>
      <c r="T1293">
        <v>-4.7554369999999999E-2</v>
      </c>
      <c r="U1293">
        <v>-0.23220830000000001</v>
      </c>
      <c r="V1293">
        <v>-8.8753310000000002E-3</v>
      </c>
      <c r="W1293">
        <v>-6.9771420000000001E-2</v>
      </c>
      <c r="X1293">
        <v>0.99752350000000001</v>
      </c>
      <c r="Y1293">
        <v>8.8870279999999996E-2</v>
      </c>
      <c r="Z1293">
        <v>-1.3921509999999999E-3</v>
      </c>
      <c r="AA1293">
        <v>0.99604230000000005</v>
      </c>
      <c r="AB1293">
        <v>34</v>
      </c>
      <c r="AC1293">
        <v>69.039400000000001</v>
      </c>
      <c r="AD1293">
        <v>-1.09235854</v>
      </c>
      <c r="AE1293">
        <v>-5.3359000000000298</v>
      </c>
      <c r="AF1293">
        <v>6.1676889822443597</v>
      </c>
      <c r="AG1293">
        <v>-1.09235854</v>
      </c>
      <c r="AH1293">
        <v>68.952770720086406</v>
      </c>
      <c r="AI1293">
        <v>90.904002451998394</v>
      </c>
      <c r="AJ1293">
        <v>84.888608857783893</v>
      </c>
      <c r="AK1293">
        <v>69.236682651167001</v>
      </c>
      <c r="AL1293">
        <v>94.000858537929105</v>
      </c>
      <c r="AM1293">
        <v>90.509768030597996</v>
      </c>
      <c r="AN1293">
        <v>0.99999997780071204</v>
      </c>
    </row>
    <row r="1294" spans="1:40" x14ac:dyDescent="0.25">
      <c r="A1294" t="str">
        <f>"20190303153802215"</f>
        <v>20190303153802215</v>
      </c>
      <c r="B1294" t="str">
        <f>"1551598682209779"</f>
        <v>1551598682209779</v>
      </c>
      <c r="C1294" t="s">
        <v>40</v>
      </c>
      <c r="D1294">
        <v>4.4044239999999997</v>
      </c>
      <c r="E1294">
        <v>0.53708350000000005</v>
      </c>
      <c r="F1294" t="s">
        <v>45</v>
      </c>
      <c r="G1294">
        <v>-180</v>
      </c>
      <c r="H1294">
        <v>1.717337E-2</v>
      </c>
      <c r="I1294">
        <v>361.93770000000001</v>
      </c>
      <c r="J1294">
        <v>-248.88149999999999</v>
      </c>
      <c r="K1294">
        <v>1.120984</v>
      </c>
      <c r="L1294">
        <v>367.2448</v>
      </c>
      <c r="M1294">
        <v>0.99980869999999999</v>
      </c>
      <c r="N1294">
        <v>-1.539007E-2</v>
      </c>
      <c r="O1294">
        <v>1.2074629999999999E-2</v>
      </c>
      <c r="P1294">
        <v>0.99617239999999996</v>
      </c>
      <c r="Q1294">
        <v>-8.4796880000000005E-2</v>
      </c>
      <c r="R1294">
        <v>2.1223800000000001E-2</v>
      </c>
      <c r="S1294">
        <v>3.0123289999999998</v>
      </c>
      <c r="T1294">
        <v>-4.8161509999999998E-2</v>
      </c>
      <c r="U1294">
        <v>-0.23147580000000001</v>
      </c>
      <c r="V1294">
        <v>-9.1951770000000006E-3</v>
      </c>
      <c r="W1294">
        <v>-6.9452490000000006E-2</v>
      </c>
      <c r="X1294">
        <v>0.99754290000000001</v>
      </c>
      <c r="Y1294">
        <v>8.8629749999999993E-2</v>
      </c>
      <c r="Z1294">
        <v>-1.3977869999999999E-3</v>
      </c>
      <c r="AA1294">
        <v>0.99606360000000005</v>
      </c>
      <c r="AB1294">
        <v>34</v>
      </c>
      <c r="AC1294">
        <v>68.881499999999903</v>
      </c>
      <c r="AD1294">
        <v>-1.1038106299999999</v>
      </c>
      <c r="AE1294">
        <v>-5.3070999999999904</v>
      </c>
      <c r="AF1294">
        <v>6.1369634887352298</v>
      </c>
      <c r="AG1294">
        <v>-1.1038106299999999</v>
      </c>
      <c r="AH1294">
        <v>68.794826613324801</v>
      </c>
      <c r="AI1294">
        <v>90.915594698213297</v>
      </c>
      <c r="AJ1294">
        <v>84.902322829689297</v>
      </c>
      <c r="AK1294">
        <v>69.0768332187167</v>
      </c>
      <c r="AL1294">
        <v>93.9825405958901</v>
      </c>
      <c r="AM1294">
        <v>90.528127575295102</v>
      </c>
      <c r="AN1294">
        <v>1.00000001849383</v>
      </c>
    </row>
    <row r="1295" spans="1:40" x14ac:dyDescent="0.25">
      <c r="A1295" t="str">
        <f>"20190303153802225"</f>
        <v>20190303153802225</v>
      </c>
      <c r="B1295" t="str">
        <f>"1551598682220515"</f>
        <v>1551598682220515</v>
      </c>
      <c r="C1295" t="s">
        <v>40</v>
      </c>
      <c r="D1295">
        <v>4.4019440000000003</v>
      </c>
      <c r="E1295">
        <v>0.53707349999999998</v>
      </c>
      <c r="F1295" t="s">
        <v>45</v>
      </c>
      <c r="G1295">
        <v>-180</v>
      </c>
      <c r="H1295">
        <v>3.8054400000000002E-2</v>
      </c>
      <c r="I1295">
        <v>361.98809999999997</v>
      </c>
      <c r="J1295">
        <v>-248.72540000000001</v>
      </c>
      <c r="K1295">
        <v>1.1209849999999999</v>
      </c>
      <c r="L1295">
        <v>367.24669999999998</v>
      </c>
      <c r="M1295">
        <v>0.99980970000000002</v>
      </c>
      <c r="N1295">
        <v>-1.533355E-2</v>
      </c>
      <c r="O1295">
        <v>1.207454E-2</v>
      </c>
      <c r="P1295">
        <v>0.99616190000000004</v>
      </c>
      <c r="Q1295">
        <v>-8.4822419999999996E-2</v>
      </c>
      <c r="R1295">
        <v>2.1602819999999998E-2</v>
      </c>
      <c r="S1295">
        <v>3.012375</v>
      </c>
      <c r="T1295">
        <v>-4.7359470000000001E-2</v>
      </c>
      <c r="U1295">
        <v>-0.22988890000000001</v>
      </c>
      <c r="V1295">
        <v>-9.5742259999999999E-3</v>
      </c>
      <c r="W1295">
        <v>-6.9534529999999997E-2</v>
      </c>
      <c r="X1295">
        <v>0.99753360000000002</v>
      </c>
      <c r="Y1295">
        <v>8.8107530000000003E-2</v>
      </c>
      <c r="Z1295">
        <v>-1.372846E-3</v>
      </c>
      <c r="AA1295">
        <v>0.99611000000000005</v>
      </c>
      <c r="AB1295">
        <v>34</v>
      </c>
      <c r="AC1295">
        <v>68.725399999999993</v>
      </c>
      <c r="AD1295">
        <v>-1.0829306000000001</v>
      </c>
      <c r="AE1295">
        <v>-5.2586000000000004</v>
      </c>
      <c r="AF1295">
        <v>6.0866390949428801</v>
      </c>
      <c r="AG1295">
        <v>-1.0829306000000001</v>
      </c>
      <c r="AH1295">
        <v>68.639942413011795</v>
      </c>
      <c r="AI1295">
        <v>90.900346741099696</v>
      </c>
      <c r="AJ1295">
        <v>84.932557688647293</v>
      </c>
      <c r="AK1295">
        <v>68.917788767618504</v>
      </c>
      <c r="AL1295">
        <v>93.987252607386296</v>
      </c>
      <c r="AM1295">
        <v>90.549902177095504</v>
      </c>
      <c r="AN1295">
        <v>0.99999999989738997</v>
      </c>
    </row>
    <row r="1296" spans="1:40" x14ac:dyDescent="0.25">
      <c r="A1296" t="str">
        <f>"20190303153802237"</f>
        <v>20190303153802237</v>
      </c>
      <c r="B1296" t="str">
        <f>"1551598682230275"</f>
        <v>1551598682230275</v>
      </c>
      <c r="C1296" t="s">
        <v>40</v>
      </c>
      <c r="D1296">
        <v>4.3834289999999996</v>
      </c>
      <c r="E1296">
        <v>0.53702439999999996</v>
      </c>
      <c r="F1296" t="s">
        <v>45</v>
      </c>
      <c r="G1296">
        <v>-180</v>
      </c>
      <c r="H1296">
        <v>3.1686359999999997E-2</v>
      </c>
      <c r="I1296">
        <v>362.03199999999998</v>
      </c>
      <c r="J1296">
        <v>-248.55070000000001</v>
      </c>
      <c r="K1296">
        <v>1.120986</v>
      </c>
      <c r="L1296">
        <v>367.24880000000002</v>
      </c>
      <c r="M1296">
        <v>0.99981050000000005</v>
      </c>
      <c r="N1296">
        <v>-1.52753E-2</v>
      </c>
      <c r="O1296">
        <v>1.2074690000000001E-2</v>
      </c>
      <c r="P1296">
        <v>0.99610969999999999</v>
      </c>
      <c r="Q1296">
        <v>-8.5292270000000003E-2</v>
      </c>
      <c r="R1296">
        <v>2.2159269999999998E-2</v>
      </c>
      <c r="S1296">
        <v>3.0124360000000001</v>
      </c>
      <c r="T1296">
        <v>-4.774714E-2</v>
      </c>
      <c r="U1296">
        <v>-0.22857669999999999</v>
      </c>
      <c r="V1296">
        <v>-1.0131319999999999E-2</v>
      </c>
      <c r="W1296">
        <v>-7.006308E-2</v>
      </c>
      <c r="X1296">
        <v>0.99749109999999996</v>
      </c>
      <c r="Y1296">
        <v>8.7674600000000005E-2</v>
      </c>
      <c r="Z1296">
        <v>-1.3714339999999999E-3</v>
      </c>
      <c r="AA1296">
        <v>0.99614820000000004</v>
      </c>
      <c r="AB1296">
        <v>34</v>
      </c>
      <c r="AC1296">
        <v>68.550700000000006</v>
      </c>
      <c r="AD1296">
        <v>-1.0892996399999999</v>
      </c>
      <c r="AE1296">
        <v>-5.2168000000000303</v>
      </c>
      <c r="AF1296">
        <v>6.0427275288127698</v>
      </c>
      <c r="AG1296">
        <v>-1.0892996399999999</v>
      </c>
      <c r="AH1296">
        <v>68.465514404740901</v>
      </c>
      <c r="AI1296">
        <v>90.907981072873497</v>
      </c>
      <c r="AJ1296">
        <v>84.956176522844302</v>
      </c>
      <c r="AK1296">
        <v>68.740292350258102</v>
      </c>
      <c r="AL1296">
        <v>94.017610384892805</v>
      </c>
      <c r="AM1296">
        <v>90.581921901029702</v>
      </c>
      <c r="AN1296">
        <v>0.99999998670161905</v>
      </c>
    </row>
    <row r="1297" spans="1:40" x14ac:dyDescent="0.25">
      <c r="A1297" t="str">
        <f>"20190303153802251"</f>
        <v>20190303153802251</v>
      </c>
      <c r="B1297" t="str">
        <f>"1551598682240035"</f>
        <v>1551598682240035</v>
      </c>
      <c r="C1297" t="s">
        <v>40</v>
      </c>
      <c r="D1297">
        <v>4.4169460000000003</v>
      </c>
      <c r="E1297">
        <v>0.53701599999999905</v>
      </c>
      <c r="F1297" t="s">
        <v>45</v>
      </c>
      <c r="G1297">
        <v>-180.00200000000001</v>
      </c>
      <c r="H1297" s="1">
        <v>-6.8504660000000002E-6</v>
      </c>
      <c r="I1297">
        <v>362.09910000000002</v>
      </c>
      <c r="J1297">
        <v>-248.34039999999999</v>
      </c>
      <c r="K1297">
        <v>1.1209880000000001</v>
      </c>
      <c r="L1297">
        <v>367.25139999999999</v>
      </c>
      <c r="M1297">
        <v>0.99981149999999996</v>
      </c>
      <c r="N1297">
        <v>-1.5209169999999999E-2</v>
      </c>
      <c r="O1297">
        <v>1.2074669999999999E-2</v>
      </c>
      <c r="P1297">
        <v>0.99608110000000005</v>
      </c>
      <c r="Q1297">
        <v>-8.5459129999999994E-2</v>
      </c>
      <c r="R1297">
        <v>2.2794930000000001E-2</v>
      </c>
      <c r="S1297">
        <v>3.012543</v>
      </c>
      <c r="T1297">
        <v>-4.9264790000000003E-2</v>
      </c>
      <c r="U1297">
        <v>-0.2263184</v>
      </c>
      <c r="V1297">
        <v>-1.0767550000000001E-2</v>
      </c>
      <c r="W1297">
        <v>-7.0296220000000006E-2</v>
      </c>
      <c r="X1297">
        <v>0.99746809999999997</v>
      </c>
      <c r="Y1297">
        <v>8.6928560000000002E-2</v>
      </c>
      <c r="Z1297">
        <v>-1.3856509999999999E-3</v>
      </c>
      <c r="AA1297">
        <v>0.99621360000000003</v>
      </c>
      <c r="AB1297">
        <v>34</v>
      </c>
      <c r="AC1297">
        <v>68.338399999999893</v>
      </c>
      <c r="AD1297">
        <v>-1.1209948504659999</v>
      </c>
      <c r="AE1297">
        <v>-5.1522999999999604</v>
      </c>
      <c r="AF1297">
        <v>5.9755845147070001</v>
      </c>
      <c r="AG1297">
        <v>-1.1209948504659999</v>
      </c>
      <c r="AH1297">
        <v>68.252935826582302</v>
      </c>
      <c r="AI1297">
        <v>90.937363534271199</v>
      </c>
      <c r="AJ1297">
        <v>84.996479083710796</v>
      </c>
      <c r="AK1297">
        <v>68.523189422959106</v>
      </c>
      <c r="AL1297">
        <v>94.031001066152101</v>
      </c>
      <c r="AM1297">
        <v>90.618477130910094</v>
      </c>
      <c r="AN1297">
        <v>1.00000005459844</v>
      </c>
    </row>
    <row r="1298" spans="1:40" x14ac:dyDescent="0.25">
      <c r="A1298" t="str">
        <f>"20190303153802266"</f>
        <v>20190303153802266</v>
      </c>
      <c r="B1298" t="str">
        <f>"1551598682260531"</f>
        <v>1551598682260531</v>
      </c>
      <c r="C1298" t="s">
        <v>40</v>
      </c>
      <c r="D1298">
        <v>4.4056089999999903</v>
      </c>
      <c r="E1298">
        <v>0.53690939999999998</v>
      </c>
      <c r="F1298" t="s">
        <v>45</v>
      </c>
      <c r="G1298">
        <v>-180.55500000000001</v>
      </c>
      <c r="H1298" s="1">
        <v>-6.8428230000000004E-6</v>
      </c>
      <c r="I1298">
        <v>362.20310000000001</v>
      </c>
      <c r="J1298">
        <v>-248.11429999999999</v>
      </c>
      <c r="K1298">
        <v>1.1209880000000001</v>
      </c>
      <c r="L1298">
        <v>367.25409999999999</v>
      </c>
      <c r="M1298">
        <v>0.99981240000000005</v>
      </c>
      <c r="N1298">
        <v>-1.5145509999999999E-2</v>
      </c>
      <c r="O1298">
        <v>1.207486E-2</v>
      </c>
      <c r="P1298">
        <v>0.99606439999999996</v>
      </c>
      <c r="Q1298">
        <v>-8.5492280000000004E-2</v>
      </c>
      <c r="R1298">
        <v>2.3388430000000002E-2</v>
      </c>
      <c r="S1298">
        <v>3.0126650000000001</v>
      </c>
      <c r="T1298">
        <v>-4.9821619999999997E-2</v>
      </c>
      <c r="U1298">
        <v>-0.22436519999999999</v>
      </c>
      <c r="V1298">
        <v>-1.1361059999999999E-2</v>
      </c>
      <c r="W1298">
        <v>-7.0392999999999997E-2</v>
      </c>
      <c r="X1298">
        <v>0.99745459999999997</v>
      </c>
      <c r="Y1298">
        <v>8.6283269999999995E-2</v>
      </c>
      <c r="Z1298">
        <v>-1.38364E-3</v>
      </c>
      <c r="AA1298">
        <v>0.99626970000000004</v>
      </c>
      <c r="AB1298">
        <v>34</v>
      </c>
      <c r="AC1298">
        <v>67.559299999999894</v>
      </c>
      <c r="AD1298">
        <v>-1.1209948428230001</v>
      </c>
      <c r="AE1298">
        <v>-5.0509999999999797</v>
      </c>
      <c r="AF1298">
        <v>5.8648885946996403</v>
      </c>
      <c r="AG1298">
        <v>-1.1209948428230001</v>
      </c>
      <c r="AH1298">
        <v>67.474902535417897</v>
      </c>
      <c r="AI1298">
        <v>90.948221822059907</v>
      </c>
      <c r="AJ1298">
        <v>85.032361343424</v>
      </c>
      <c r="AK1298">
        <v>67.738585900725894</v>
      </c>
      <c r="AL1298">
        <v>94.036560290010499</v>
      </c>
      <c r="AM1298">
        <v>90.652573702524904</v>
      </c>
      <c r="AN1298">
        <v>0.99999996359724097</v>
      </c>
    </row>
    <row r="1299" spans="1:40" x14ac:dyDescent="0.25">
      <c r="A1299" t="str">
        <f>"20190303153802280"</f>
        <v>20190303153802280</v>
      </c>
      <c r="B1299" t="str">
        <f>"1551598682270292"</f>
        <v>1551598682270292</v>
      </c>
      <c r="C1299" t="s">
        <v>40</v>
      </c>
      <c r="D1299">
        <v>4.401484</v>
      </c>
      <c r="E1299">
        <v>0.51976849999999997</v>
      </c>
      <c r="F1299" t="s">
        <v>45</v>
      </c>
      <c r="G1299">
        <v>-181.3621</v>
      </c>
      <c r="H1299" s="1">
        <v>-6.8266979999999997E-6</v>
      </c>
      <c r="I1299">
        <v>362.3424</v>
      </c>
      <c r="J1299">
        <v>-247.91489999999999</v>
      </c>
      <c r="K1299">
        <v>1.120986</v>
      </c>
      <c r="L1299">
        <v>367.25650000000002</v>
      </c>
      <c r="M1299">
        <v>0.99981319999999996</v>
      </c>
      <c r="N1299">
        <v>-1.5094349999999999E-2</v>
      </c>
      <c r="O1299">
        <v>1.20749E-2</v>
      </c>
      <c r="P1299">
        <v>0.99608079999999999</v>
      </c>
      <c r="Q1299">
        <v>-8.5174940000000005E-2</v>
      </c>
      <c r="R1299">
        <v>2.3841210000000002E-2</v>
      </c>
      <c r="S1299">
        <v>3.0127109999999999</v>
      </c>
      <c r="T1299">
        <v>-5.0593609999999997E-2</v>
      </c>
      <c r="U1299">
        <v>-0.22167970000000001</v>
      </c>
      <c r="V1299">
        <v>-1.181312E-2</v>
      </c>
      <c r="W1299">
        <v>-7.0126399999999894E-2</v>
      </c>
      <c r="X1299">
        <v>0.99746820000000003</v>
      </c>
      <c r="Y1299">
        <v>8.5398639999999998E-2</v>
      </c>
      <c r="Z1299">
        <v>-1.3820600000000001E-3</v>
      </c>
      <c r="AA1299">
        <v>0.99634590000000001</v>
      </c>
      <c r="AB1299">
        <v>34</v>
      </c>
      <c r="AC1299">
        <v>66.552799999999905</v>
      </c>
      <c r="AD1299">
        <v>-1.120992826698</v>
      </c>
      <c r="AE1299">
        <v>-4.9141000000000101</v>
      </c>
      <c r="AF1299">
        <v>5.7158387554371997</v>
      </c>
      <c r="AG1299">
        <v>-1.120992826698</v>
      </c>
      <c r="AH1299">
        <v>66.469847054768593</v>
      </c>
      <c r="AI1299">
        <v>90.962631626184901</v>
      </c>
      <c r="AJ1299">
        <v>85.085143202258394</v>
      </c>
      <c r="AK1299">
        <v>66.724568227003104</v>
      </c>
      <c r="AL1299">
        <v>94.021247101129205</v>
      </c>
      <c r="AM1299">
        <v>90.678528174759606</v>
      </c>
      <c r="AN1299">
        <v>1.00000003589616</v>
      </c>
    </row>
    <row r="1300" spans="1:40" x14ac:dyDescent="0.25">
      <c r="A1300" t="str">
        <f>"20190303153802292"</f>
        <v>20190303153802292</v>
      </c>
      <c r="B1300" t="str">
        <f>"1551598682280052"</f>
        <v>1551598682280052</v>
      </c>
      <c r="C1300" t="s">
        <v>40</v>
      </c>
      <c r="D1300">
        <v>4.405958</v>
      </c>
      <c r="E1300">
        <v>0.51835299999999995</v>
      </c>
      <c r="F1300" t="s">
        <v>41</v>
      </c>
      <c r="G1300">
        <v>-158.19499999999999</v>
      </c>
      <c r="H1300">
        <v>0.53515199999999996</v>
      </c>
      <c r="I1300">
        <v>364.76859999999999</v>
      </c>
      <c r="J1300">
        <v>-247.7184</v>
      </c>
      <c r="K1300">
        <v>1.120994</v>
      </c>
      <c r="L1300">
        <v>367.25889999999998</v>
      </c>
      <c r="M1300">
        <v>0.99981399999999998</v>
      </c>
      <c r="N1300">
        <v>-1.50469E-2</v>
      </c>
      <c r="O1300">
        <v>1.20749E-2</v>
      </c>
      <c r="P1300">
        <v>0.99612080000000003</v>
      </c>
      <c r="Q1300">
        <v>-8.4519780000000003E-2</v>
      </c>
      <c r="R1300">
        <v>2.4498300000000001E-2</v>
      </c>
      <c r="S1300">
        <v>3.0121150000000001</v>
      </c>
      <c r="T1300">
        <v>-1.9664879999999999E-2</v>
      </c>
      <c r="U1300">
        <v>-8.3526610000000001E-2</v>
      </c>
      <c r="V1300">
        <v>-1.247002E-2</v>
      </c>
      <c r="W1300">
        <v>-6.9517850000000006E-2</v>
      </c>
      <c r="X1300">
        <v>0.99750269999999996</v>
      </c>
      <c r="Y1300">
        <v>3.9785920000000002E-2</v>
      </c>
      <c r="Z1300">
        <v>-3.2641380000000001E-4</v>
      </c>
      <c r="AA1300">
        <v>0.99920819999999999</v>
      </c>
      <c r="AB1300">
        <v>34</v>
      </c>
      <c r="AC1300">
        <v>89.523399999999995</v>
      </c>
      <c r="AD1300">
        <v>-0.58584199999999997</v>
      </c>
      <c r="AE1300">
        <v>-2.4902999999999902</v>
      </c>
      <c r="AF1300">
        <v>3.5710739582837898</v>
      </c>
      <c r="AG1300">
        <v>-0.58584199999999997</v>
      </c>
      <c r="AH1300">
        <v>89.482969300269502</v>
      </c>
      <c r="AI1300">
        <v>90.374809847411896</v>
      </c>
      <c r="AJ1300">
        <v>87.714660682570994</v>
      </c>
      <c r="AK1300">
        <v>89.556114112088807</v>
      </c>
      <c r="AL1300">
        <v>93.986294855883003</v>
      </c>
      <c r="AM1300">
        <v>90.716230943614605</v>
      </c>
      <c r="AN1300">
        <v>0.99999993468735404</v>
      </c>
    </row>
    <row r="1301" spans="1:40" x14ac:dyDescent="0.25">
      <c r="A1301" t="str">
        <f>"20190303153802306"</f>
        <v>20190303153802306</v>
      </c>
      <c r="B1301" t="str">
        <f>"1551598682299572"</f>
        <v>1551598682299572</v>
      </c>
      <c r="C1301" t="s">
        <v>40</v>
      </c>
      <c r="D1301">
        <v>4.4092570000000002</v>
      </c>
      <c r="E1301">
        <v>0.51720639999999996</v>
      </c>
      <c r="F1301" t="s">
        <v>41</v>
      </c>
      <c r="G1301">
        <v>-158.19499999999999</v>
      </c>
      <c r="H1301">
        <v>0.65934090000000001</v>
      </c>
      <c r="I1301">
        <v>365.1628</v>
      </c>
      <c r="J1301">
        <v>-247.50720000000001</v>
      </c>
      <c r="K1301">
        <v>1.1209929999999999</v>
      </c>
      <c r="L1301">
        <v>367.26150000000001</v>
      </c>
      <c r="M1301">
        <v>0.9998146</v>
      </c>
      <c r="N1301">
        <v>-1.5000579999999999E-2</v>
      </c>
      <c r="O1301">
        <v>1.2074959999999999E-2</v>
      </c>
      <c r="P1301">
        <v>0.99616479999999996</v>
      </c>
      <c r="Q1301">
        <v>-8.3949599999999999E-2</v>
      </c>
      <c r="R1301">
        <v>2.465821E-2</v>
      </c>
      <c r="S1301">
        <v>3.0121150000000001</v>
      </c>
      <c r="T1301">
        <v>-1.5529869999999999E-2</v>
      </c>
      <c r="U1301">
        <v>-7.0526119999999998E-2</v>
      </c>
      <c r="V1301">
        <v>-1.2629349999999999E-2</v>
      </c>
      <c r="W1301">
        <v>-6.8993260000000001E-2</v>
      </c>
      <c r="X1301">
        <v>0.99753720000000001</v>
      </c>
      <c r="Y1301">
        <v>3.5476609999999999E-2</v>
      </c>
      <c r="Z1301">
        <v>-2.3871750000000001E-4</v>
      </c>
      <c r="AA1301">
        <v>0.99937050000000005</v>
      </c>
      <c r="AB1301">
        <v>34</v>
      </c>
      <c r="AC1301">
        <v>89.312200000000004</v>
      </c>
      <c r="AD1301">
        <v>-0.46165210000000001</v>
      </c>
      <c r="AE1301">
        <v>-2.0987</v>
      </c>
      <c r="AF1301">
        <v>3.17702468874587</v>
      </c>
      <c r="AG1301">
        <v>-0.46165210000000001</v>
      </c>
      <c r="AH1301">
        <v>89.277958625894797</v>
      </c>
      <c r="AI1301">
        <v>90.296083714688507</v>
      </c>
      <c r="AJ1301">
        <v>87.961945709189493</v>
      </c>
      <c r="AK1301">
        <v>89.335661999793402</v>
      </c>
      <c r="AL1301">
        <v>93.956165389357906</v>
      </c>
      <c r="AM1301">
        <v>90.725356201799798</v>
      </c>
      <c r="AN1301">
        <v>1.0000000178953401</v>
      </c>
    </row>
    <row r="1302" spans="1:40" x14ac:dyDescent="0.25">
      <c r="A1302" t="str">
        <f>"20190303153802318"</f>
        <v>20190303153802318</v>
      </c>
      <c r="B1302" t="str">
        <f>"1551598682310307"</f>
        <v>1551598682310307</v>
      </c>
      <c r="C1302" t="s">
        <v>40</v>
      </c>
      <c r="D1302">
        <v>4.3971519999999904</v>
      </c>
      <c r="E1302">
        <v>0.51690859999999905</v>
      </c>
      <c r="F1302" t="s">
        <v>41</v>
      </c>
      <c r="G1302">
        <v>-158.19499999999999</v>
      </c>
      <c r="H1302">
        <v>0.76024530000000001</v>
      </c>
      <c r="I1302">
        <v>365.45350000000002</v>
      </c>
      <c r="J1302">
        <v>-247.34110000000001</v>
      </c>
      <c r="K1302">
        <v>1.1209960000000001</v>
      </c>
      <c r="L1302">
        <v>367.26350000000002</v>
      </c>
      <c r="M1302">
        <v>0.99981520000000002</v>
      </c>
      <c r="N1302">
        <v>-1.4967390000000001E-2</v>
      </c>
      <c r="O1302">
        <v>1.207503E-2</v>
      </c>
      <c r="P1302">
        <v>0.99623289999999998</v>
      </c>
      <c r="Q1302">
        <v>-8.3182560000000003E-2</v>
      </c>
      <c r="R1302">
        <v>2.4514689999999999E-2</v>
      </c>
      <c r="S1302">
        <v>3.0120239999999998</v>
      </c>
      <c r="T1302">
        <v>-1.2163159999999999E-2</v>
      </c>
      <c r="U1302">
        <v>-6.097412E-2</v>
      </c>
      <c r="V1302">
        <v>-1.24848999999999E-2</v>
      </c>
      <c r="W1302">
        <v>-6.8258429999999995E-2</v>
      </c>
      <c r="X1302">
        <v>0.99758950000000002</v>
      </c>
      <c r="Y1302">
        <v>3.2309900000000003E-2</v>
      </c>
      <c r="Z1302">
        <v>-1.7510409999999999E-4</v>
      </c>
      <c r="AA1302">
        <v>0.99947790000000003</v>
      </c>
      <c r="AB1302">
        <v>34</v>
      </c>
      <c r="AC1302">
        <v>89.146100000000004</v>
      </c>
      <c r="AD1302">
        <v>-0.36075069999999898</v>
      </c>
      <c r="AE1302">
        <v>-1.81</v>
      </c>
      <c r="AF1302">
        <v>2.8863830469176399</v>
      </c>
      <c r="AG1302">
        <v>-0.36075069999999898</v>
      </c>
      <c r="AH1302">
        <v>89.116282251742206</v>
      </c>
      <c r="AI1302">
        <v>90.231815626004604</v>
      </c>
      <c r="AJ1302">
        <v>88.144898223092298</v>
      </c>
      <c r="AK1302">
        <v>89.163743251016896</v>
      </c>
      <c r="AL1302">
        <v>93.913963511562997</v>
      </c>
      <c r="AM1302">
        <v>90.717023118627097</v>
      </c>
      <c r="AN1302">
        <v>0.99999994825216099</v>
      </c>
    </row>
    <row r="1303" spans="1:40" x14ac:dyDescent="0.25">
      <c r="A1303" t="str">
        <f>"20190303153802328"</f>
        <v>20190303153802328</v>
      </c>
      <c r="B1303" t="str">
        <f>"1551598682320068"</f>
        <v>1551598682320068</v>
      </c>
      <c r="C1303" t="s">
        <v>40</v>
      </c>
      <c r="D1303">
        <v>4.373793</v>
      </c>
      <c r="E1303">
        <v>0.51670550000000004</v>
      </c>
      <c r="F1303" t="s">
        <v>41</v>
      </c>
      <c r="G1303">
        <v>-158.19499999999999</v>
      </c>
      <c r="H1303">
        <v>0.81743259999999995</v>
      </c>
      <c r="I1303">
        <v>365.51569999999998</v>
      </c>
      <c r="J1303">
        <v>-247.17519999999999</v>
      </c>
      <c r="K1303">
        <v>1.1209960000000001</v>
      </c>
      <c r="L1303">
        <v>367.26549999999997</v>
      </c>
      <c r="M1303">
        <v>0.99981560000000003</v>
      </c>
      <c r="N1303">
        <v>-1.49353E-2</v>
      </c>
      <c r="O1303">
        <v>1.207509E-2</v>
      </c>
      <c r="P1303">
        <v>0.99628190000000005</v>
      </c>
      <c r="Q1303">
        <v>-8.2635089999999994E-2</v>
      </c>
      <c r="R1303">
        <v>2.4371879999999999E-2</v>
      </c>
      <c r="S1303">
        <v>3.0119479999999998</v>
      </c>
      <c r="T1303">
        <v>-1.0253429999999999E-2</v>
      </c>
      <c r="U1303">
        <v>-5.9051510000000001E-2</v>
      </c>
      <c r="V1303">
        <v>-1.234121E-2</v>
      </c>
      <c r="W1303">
        <v>-6.7742360000000001E-2</v>
      </c>
      <c r="X1303">
        <v>0.99762649999999997</v>
      </c>
      <c r="Y1303">
        <v>3.1672890000000002E-2</v>
      </c>
      <c r="Z1303">
        <v>-1.5123299999999999E-4</v>
      </c>
      <c r="AA1303">
        <v>0.9994982</v>
      </c>
      <c r="AB1303">
        <v>34</v>
      </c>
      <c r="AC1303">
        <v>88.980199999999996</v>
      </c>
      <c r="AD1303">
        <v>-0.30356339999999898</v>
      </c>
      <c r="AE1303">
        <v>-1.74979999999999</v>
      </c>
      <c r="AF1303">
        <v>2.8242032630253</v>
      </c>
      <c r="AG1303">
        <v>-0.30356339999999898</v>
      </c>
      <c r="AH1303">
        <v>88.951545066680893</v>
      </c>
      <c r="AI1303">
        <v>90.195433078877798</v>
      </c>
      <c r="AJ1303">
        <v>88.181475236516604</v>
      </c>
      <c r="AK1303">
        <v>88.9968855890951</v>
      </c>
      <c r="AL1303">
        <v>93.8843261395036</v>
      </c>
      <c r="AM1303">
        <v>90.708745388197102</v>
      </c>
      <c r="AN1303">
        <v>0.99999998315244099</v>
      </c>
    </row>
    <row r="1304" spans="1:40" x14ac:dyDescent="0.25">
      <c r="A1304" t="str">
        <f>"20190303153802339"</f>
        <v>20190303153802339</v>
      </c>
      <c r="B1304" t="str">
        <f>"1551598682329828"</f>
        <v>1551598682329828</v>
      </c>
      <c r="C1304" t="s">
        <v>40</v>
      </c>
      <c r="D1304">
        <v>4.3822190000000001</v>
      </c>
      <c r="E1304">
        <v>0.51655019999999996</v>
      </c>
      <c r="F1304" t="s">
        <v>41</v>
      </c>
      <c r="G1304">
        <v>-158.19499999999999</v>
      </c>
      <c r="H1304">
        <v>0.87474059999999898</v>
      </c>
      <c r="I1304">
        <v>365.55880000000002</v>
      </c>
      <c r="J1304">
        <v>-247.01519999999999</v>
      </c>
      <c r="K1304">
        <v>1.120994</v>
      </c>
      <c r="L1304">
        <v>367.26740000000001</v>
      </c>
      <c r="M1304">
        <v>0.99981589999999998</v>
      </c>
      <c r="N1304">
        <v>-1.4907739999999999E-2</v>
      </c>
      <c r="O1304">
        <v>1.207512E-2</v>
      </c>
      <c r="P1304">
        <v>0.99629860000000003</v>
      </c>
      <c r="Q1304">
        <v>-8.256049E-2</v>
      </c>
      <c r="R1304">
        <v>2.393957E-2</v>
      </c>
      <c r="S1304">
        <v>3.011917</v>
      </c>
      <c r="T1304">
        <v>-8.3326100000000007E-3</v>
      </c>
      <c r="U1304">
        <v>-5.776978E-2</v>
      </c>
      <c r="V1304">
        <v>-1.190883E-2</v>
      </c>
      <c r="W1304">
        <v>-6.7695110000000003E-2</v>
      </c>
      <c r="X1304">
        <v>0.99763500000000005</v>
      </c>
      <c r="Y1304">
        <v>3.1248069999999999E-2</v>
      </c>
      <c r="Z1304">
        <v>-1.2957459999999999E-4</v>
      </c>
      <c r="AA1304">
        <v>0.9995117</v>
      </c>
      <c r="AB1304">
        <v>34</v>
      </c>
      <c r="AC1304">
        <v>88.8202</v>
      </c>
      <c r="AD1304">
        <v>-0.24625340000000001</v>
      </c>
      <c r="AE1304">
        <v>-1.7085999999999899</v>
      </c>
      <c r="AF1304">
        <v>2.7810878681880098</v>
      </c>
      <c r="AG1304">
        <v>-0.24625340000000001</v>
      </c>
      <c r="AH1304">
        <v>88.792406838610006</v>
      </c>
      <c r="AI1304">
        <v>90.158823589070593</v>
      </c>
      <c r="AJ1304">
        <v>88.206011900241506</v>
      </c>
      <c r="AK1304">
        <v>88.836291022649206</v>
      </c>
      <c r="AL1304">
        <v>93.88161253909</v>
      </c>
      <c r="AM1304">
        <v>90.683910740634801</v>
      </c>
      <c r="AN1304">
        <v>1.00000002068744</v>
      </c>
    </row>
    <row r="1305" spans="1:40" x14ac:dyDescent="0.25">
      <c r="A1305" t="str">
        <f>"20190303153802352"</f>
        <v>20190303153802352</v>
      </c>
      <c r="B1305" t="str">
        <f>"1551598682339588"</f>
        <v>1551598682339588</v>
      </c>
      <c r="C1305" t="s">
        <v>40</v>
      </c>
      <c r="D1305">
        <v>4.3802539999999999</v>
      </c>
      <c r="E1305">
        <v>0.51639769999999996</v>
      </c>
      <c r="F1305" t="s">
        <v>41</v>
      </c>
      <c r="G1305">
        <v>-158.19499999999999</v>
      </c>
      <c r="H1305">
        <v>0.89252690000000001</v>
      </c>
      <c r="I1305">
        <v>365.5566</v>
      </c>
      <c r="J1305">
        <v>-246.8296</v>
      </c>
      <c r="K1305">
        <v>1.1209960000000001</v>
      </c>
      <c r="L1305">
        <v>367.2697</v>
      </c>
      <c r="M1305">
        <v>0.99981640000000005</v>
      </c>
      <c r="N1305">
        <v>-1.4884339999999999E-2</v>
      </c>
      <c r="O1305">
        <v>1.2075000000000001E-2</v>
      </c>
      <c r="P1305">
        <v>0.99633499999999997</v>
      </c>
      <c r="Q1305">
        <v>-8.2179810000000006E-2</v>
      </c>
      <c r="R1305">
        <v>2.373231E-2</v>
      </c>
      <c r="S1305">
        <v>3.0118870000000002</v>
      </c>
      <c r="T1305">
        <v>-7.7443119999999997E-3</v>
      </c>
      <c r="U1305">
        <v>-5.8013919999999997E-2</v>
      </c>
      <c r="V1305">
        <v>-1.170122E-2</v>
      </c>
      <c r="W1305">
        <v>-6.7337330000000001E-2</v>
      </c>
      <c r="X1305">
        <v>0.99766169999999998</v>
      </c>
      <c r="Y1305">
        <v>3.1329160000000002E-2</v>
      </c>
      <c r="Z1305">
        <v>-1.247919E-4</v>
      </c>
      <c r="AA1305">
        <v>0.99950910000000004</v>
      </c>
      <c r="AB1305">
        <v>33</v>
      </c>
      <c r="AC1305">
        <v>88.634600000000006</v>
      </c>
      <c r="AD1305">
        <v>-0.22846909999999901</v>
      </c>
      <c r="AE1305">
        <v>-1.7130999999999901</v>
      </c>
      <c r="AF1305">
        <v>2.7833378633088399</v>
      </c>
      <c r="AG1305">
        <v>-0.22846909999999901</v>
      </c>
      <c r="AH1305">
        <v>88.606860140112303</v>
      </c>
      <c r="AI1305">
        <v>90.147661622146899</v>
      </c>
      <c r="AJ1305">
        <v>88.200804192646203</v>
      </c>
      <c r="AK1305">
        <v>88.650859170570897</v>
      </c>
      <c r="AL1305">
        <v>93.861066255070199</v>
      </c>
      <c r="AM1305">
        <v>90.671971051878202</v>
      </c>
      <c r="AN1305">
        <v>1.00000005110395</v>
      </c>
    </row>
    <row r="1306" spans="1:40" x14ac:dyDescent="0.25">
      <c r="A1306" t="str">
        <f>"20190303153802363"</f>
        <v>20190303153802363</v>
      </c>
      <c r="B1306" t="str">
        <f>"1551598682360083"</f>
        <v>1551598682360083</v>
      </c>
      <c r="C1306" t="s">
        <v>40</v>
      </c>
      <c r="D1306">
        <v>4.3959869999999999</v>
      </c>
      <c r="E1306">
        <v>0.51622460000000003</v>
      </c>
      <c r="F1306" t="s">
        <v>41</v>
      </c>
      <c r="G1306">
        <v>-158.19499999999999</v>
      </c>
      <c r="H1306">
        <v>0.95518950000000002</v>
      </c>
      <c r="I1306">
        <v>365.59210000000002</v>
      </c>
      <c r="J1306">
        <v>-246.65170000000001</v>
      </c>
      <c r="K1306">
        <v>1.1210059999999999</v>
      </c>
      <c r="L1306">
        <v>367.27179999999998</v>
      </c>
      <c r="M1306">
        <v>0.99981620000000004</v>
      </c>
      <c r="N1306">
        <v>-1.489418E-2</v>
      </c>
      <c r="O1306">
        <v>1.207511E-2</v>
      </c>
      <c r="P1306">
        <v>0.99633499999999997</v>
      </c>
      <c r="Q1306">
        <v>-8.2350209999999993E-2</v>
      </c>
      <c r="R1306">
        <v>2.312697E-2</v>
      </c>
      <c r="S1306">
        <v>3.011917</v>
      </c>
      <c r="T1306">
        <v>-5.6313279999999997E-3</v>
      </c>
      <c r="U1306">
        <v>-5.7006840000000003E-2</v>
      </c>
      <c r="V1306">
        <v>-1.109598E-2</v>
      </c>
      <c r="W1306">
        <v>-6.7498009999999997E-2</v>
      </c>
      <c r="X1306">
        <v>0.99765769999999998</v>
      </c>
      <c r="Y1306">
        <v>3.0995100000000001E-2</v>
      </c>
      <c r="Z1306">
        <v>-1.025644E-4</v>
      </c>
      <c r="AA1306">
        <v>0.99951950000000001</v>
      </c>
      <c r="AB1306">
        <v>33</v>
      </c>
      <c r="AC1306">
        <v>88.456699999999998</v>
      </c>
      <c r="AD1306">
        <v>-0.16581649999999901</v>
      </c>
      <c r="AE1306">
        <v>-1.67969999999996</v>
      </c>
      <c r="AF1306">
        <v>2.74781069409979</v>
      </c>
      <c r="AG1306">
        <v>-0.16581649999999901</v>
      </c>
      <c r="AH1306">
        <v>88.429654038878695</v>
      </c>
      <c r="AI1306">
        <v>90.1073846918204</v>
      </c>
      <c r="AJ1306">
        <v>88.220197568754898</v>
      </c>
      <c r="AK1306">
        <v>88.472491047545802</v>
      </c>
      <c r="AL1306">
        <v>93.870293754374799</v>
      </c>
      <c r="AM1306">
        <v>90.637219169850198</v>
      </c>
      <c r="AN1306">
        <v>0.99999999424770503</v>
      </c>
    </row>
    <row r="1307" spans="1:40" x14ac:dyDescent="0.25">
      <c r="A1307" t="str">
        <f>"20190303153802374"</f>
        <v>20190303153802374</v>
      </c>
      <c r="B1307" t="str">
        <f>"1551598682369843"</f>
        <v>1551598682369843</v>
      </c>
      <c r="C1307" t="s">
        <v>40</v>
      </c>
      <c r="D1307">
        <v>4.409224</v>
      </c>
      <c r="E1307">
        <v>0.51612170000000002</v>
      </c>
      <c r="F1307" t="s">
        <v>41</v>
      </c>
      <c r="G1307">
        <v>-158.19499999999999</v>
      </c>
      <c r="H1307">
        <v>0.91310999999999998</v>
      </c>
      <c r="I1307">
        <v>365.57780000000002</v>
      </c>
      <c r="J1307">
        <v>-246.4957</v>
      </c>
      <c r="K1307">
        <v>1.1210230000000001</v>
      </c>
      <c r="L1307">
        <v>367.27370000000002</v>
      </c>
      <c r="M1307">
        <v>0.99981549999999997</v>
      </c>
      <c r="N1307">
        <v>-1.493978E-2</v>
      </c>
      <c r="O1307">
        <v>1.207506E-2</v>
      </c>
      <c r="P1307">
        <v>0.9963573</v>
      </c>
      <c r="Q1307">
        <v>-8.2285839999999999E-2</v>
      </c>
      <c r="R1307">
        <v>2.2387310000000001E-2</v>
      </c>
      <c r="S1307">
        <v>3.0118100000000001</v>
      </c>
      <c r="T1307">
        <v>-7.0755480000000001E-3</v>
      </c>
      <c r="U1307">
        <v>-5.7678220000000002E-2</v>
      </c>
      <c r="V1307">
        <v>-1.035584E-2</v>
      </c>
      <c r="W1307">
        <v>-6.738798E-2</v>
      </c>
      <c r="X1307">
        <v>0.99767309999999998</v>
      </c>
      <c r="Y1307">
        <v>3.121838E-2</v>
      </c>
      <c r="Z1307">
        <v>-1.1787500000000001E-4</v>
      </c>
      <c r="AA1307">
        <v>0.99951259999999997</v>
      </c>
      <c r="AB1307">
        <v>33</v>
      </c>
      <c r="AC1307">
        <v>88.300700000000006</v>
      </c>
      <c r="AD1307">
        <v>-0.20791299999999899</v>
      </c>
      <c r="AE1307">
        <v>-1.69589999999999</v>
      </c>
      <c r="AF1307">
        <v>2.7621162633488598</v>
      </c>
      <c r="AG1307">
        <v>-0.20791299999999899</v>
      </c>
      <c r="AH1307">
        <v>88.273291295472404</v>
      </c>
      <c r="AI1307">
        <v>90.134884377313</v>
      </c>
      <c r="AJ1307">
        <v>88.207770633469394</v>
      </c>
      <c r="AK1307">
        <v>88.316739467686105</v>
      </c>
      <c r="AL1307">
        <v>93.863975095108501</v>
      </c>
      <c r="AM1307">
        <v>90.594708443895996</v>
      </c>
      <c r="AN1307">
        <v>0.99999999886709701</v>
      </c>
    </row>
    <row r="1308" spans="1:40" x14ac:dyDescent="0.25">
      <c r="A1308" t="str">
        <f>"20190303153802386"</f>
        <v>20190303153802386</v>
      </c>
      <c r="B1308" t="str">
        <f>"1551598682379603"</f>
        <v>1551598682379603</v>
      </c>
      <c r="C1308" t="s">
        <v>40</v>
      </c>
      <c r="D1308">
        <v>4.3987049999999996</v>
      </c>
      <c r="E1308">
        <v>0.51599220000000001</v>
      </c>
      <c r="F1308" t="s">
        <v>41</v>
      </c>
      <c r="G1308">
        <v>-158.19499999999999</v>
      </c>
      <c r="H1308">
        <v>0.88539789999999996</v>
      </c>
      <c r="I1308">
        <v>365.54050000000001</v>
      </c>
      <c r="J1308">
        <v>-246.31659999999999</v>
      </c>
      <c r="K1308">
        <v>1.121054</v>
      </c>
      <c r="L1308">
        <v>367.2758</v>
      </c>
      <c r="M1308">
        <v>0.99981399999999998</v>
      </c>
      <c r="N1308">
        <v>-1.5041509999999999E-2</v>
      </c>
      <c r="O1308">
        <v>1.2074939999999999E-2</v>
      </c>
      <c r="P1308">
        <v>0.99635779999999996</v>
      </c>
      <c r="Q1308">
        <v>-8.2358760000000003E-2</v>
      </c>
      <c r="R1308">
        <v>2.2095279999999998E-2</v>
      </c>
      <c r="S1308">
        <v>3.011612</v>
      </c>
      <c r="T1308">
        <v>-8.0332759999999902E-3</v>
      </c>
      <c r="U1308">
        <v>-5.911255E-2</v>
      </c>
      <c r="V1308">
        <v>-1.006376E-2</v>
      </c>
      <c r="W1308">
        <v>-6.7359440000000007E-2</v>
      </c>
      <c r="X1308">
        <v>0.99767799999999995</v>
      </c>
      <c r="Y1308">
        <v>3.1695309999999997E-2</v>
      </c>
      <c r="Z1308">
        <v>-1.312691E-4</v>
      </c>
      <c r="AA1308">
        <v>0.99949759999999999</v>
      </c>
      <c r="AB1308">
        <v>33</v>
      </c>
      <c r="AC1308">
        <v>88.121600000000001</v>
      </c>
      <c r="AD1308">
        <v>-0.23565610000000001</v>
      </c>
      <c r="AE1308">
        <v>-1.7352999999999901</v>
      </c>
      <c r="AF1308">
        <v>2.7993368263050602</v>
      </c>
      <c r="AG1308">
        <v>-0.23565610000000001</v>
      </c>
      <c r="AH1308">
        <v>88.093588300051195</v>
      </c>
      <c r="AI1308">
        <v>90.153192260768094</v>
      </c>
      <c r="AJ1308">
        <v>88.179933003960002</v>
      </c>
      <c r="AK1308">
        <v>88.138369170546198</v>
      </c>
      <c r="AL1308">
        <v>93.862336212669206</v>
      </c>
      <c r="AM1308">
        <v>90.577933379571405</v>
      </c>
      <c r="AN1308">
        <v>0.99999998255322498</v>
      </c>
    </row>
    <row r="1309" spans="1:40" x14ac:dyDescent="0.25">
      <c r="A1309" t="str">
        <f>"20190303153802397"</f>
        <v>20190303153802397</v>
      </c>
      <c r="B1309" t="str">
        <f>"1551598682390341"</f>
        <v>1551598682390341</v>
      </c>
      <c r="C1309" t="s">
        <v>40</v>
      </c>
      <c r="D1309">
        <v>4.4253619999999998</v>
      </c>
      <c r="E1309">
        <v>0.51597859999999995</v>
      </c>
      <c r="F1309" t="s">
        <v>41</v>
      </c>
      <c r="G1309">
        <v>-158.19499999999999</v>
      </c>
      <c r="H1309">
        <v>0.86464569999999996</v>
      </c>
      <c r="I1309">
        <v>365.55869999999999</v>
      </c>
      <c r="J1309">
        <v>-246.1567</v>
      </c>
      <c r="K1309">
        <v>1.121095</v>
      </c>
      <c r="L1309">
        <v>367.27780000000001</v>
      </c>
      <c r="M1309">
        <v>0.99981180000000003</v>
      </c>
      <c r="N1309">
        <v>-1.5192850000000001E-2</v>
      </c>
      <c r="O1309">
        <v>1.207479E-2</v>
      </c>
      <c r="P1309">
        <v>0.99635430000000003</v>
      </c>
      <c r="Q1309">
        <v>-8.25737E-2</v>
      </c>
      <c r="R1309">
        <v>2.1446409999999999E-2</v>
      </c>
      <c r="S1309">
        <v>3.0115509999999999</v>
      </c>
      <c r="T1309">
        <v>-8.7597370000000001E-3</v>
      </c>
      <c r="U1309">
        <v>-5.8685300000000003E-2</v>
      </c>
      <c r="V1309">
        <v>-9.4152969999999996E-3</v>
      </c>
      <c r="W1309">
        <v>-6.7423540000000004E-2</v>
      </c>
      <c r="X1309">
        <v>0.99768000000000001</v>
      </c>
      <c r="Y1309">
        <v>3.1553779999999997E-2</v>
      </c>
      <c r="Z1309">
        <v>-1.3729740000000001E-4</v>
      </c>
      <c r="AA1309">
        <v>0.99950209999999995</v>
      </c>
      <c r="AB1309">
        <v>33</v>
      </c>
      <c r="AC1309">
        <v>87.961699999999993</v>
      </c>
      <c r="AD1309">
        <v>-0.25644929999999999</v>
      </c>
      <c r="AE1309">
        <v>-1.7191000000000201</v>
      </c>
      <c r="AF1309">
        <v>2.7811925326650999</v>
      </c>
      <c r="AG1309">
        <v>-0.25644929999999999</v>
      </c>
      <c r="AH1309">
        <v>87.933778543775006</v>
      </c>
      <c r="AI1309">
        <v>90.167012920706895</v>
      </c>
      <c r="AJ1309">
        <v>88.188438011528802</v>
      </c>
      <c r="AK1309">
        <v>87.978123457669298</v>
      </c>
      <c r="AL1309">
        <v>93.866017242827596</v>
      </c>
      <c r="AM1309">
        <v>90.540695179857295</v>
      </c>
      <c r="AN1309">
        <v>0.99999998198186402</v>
      </c>
    </row>
    <row r="1310" spans="1:40" x14ac:dyDescent="0.25">
      <c r="A1310" t="str">
        <f>"20190303153802406"</f>
        <v>20190303153802406</v>
      </c>
      <c r="B1310" t="str">
        <f>"1551598682400099"</f>
        <v>1551598682400099</v>
      </c>
      <c r="C1310" t="s">
        <v>40</v>
      </c>
      <c r="D1310">
        <v>4.4166869999999996</v>
      </c>
      <c r="E1310">
        <v>0.51591359999999997</v>
      </c>
      <c r="F1310" t="s">
        <v>41</v>
      </c>
      <c r="G1310">
        <v>-158.19499999999999</v>
      </c>
      <c r="H1310">
        <v>0.81293249999999995</v>
      </c>
      <c r="I1310">
        <v>365.51010000000002</v>
      </c>
      <c r="J1310">
        <v>-246.00559999999999</v>
      </c>
      <c r="K1310">
        <v>1.121138</v>
      </c>
      <c r="L1310">
        <v>367.27949999999998</v>
      </c>
      <c r="M1310">
        <v>0.99980919999999895</v>
      </c>
      <c r="N1310">
        <v>-1.535917E-2</v>
      </c>
      <c r="O1310">
        <v>1.207488E-2</v>
      </c>
      <c r="P1310">
        <v>0.99634690000000004</v>
      </c>
      <c r="Q1310">
        <v>-8.2664210000000002E-2</v>
      </c>
      <c r="R1310">
        <v>2.1439039999999999E-2</v>
      </c>
      <c r="S1310">
        <v>3.0113979999999998</v>
      </c>
      <c r="T1310">
        <v>-1.0547040000000001E-2</v>
      </c>
      <c r="U1310">
        <v>-6.0516359999999998E-2</v>
      </c>
      <c r="V1310">
        <v>-9.4077320000000002E-3</v>
      </c>
      <c r="W1310">
        <v>-6.7348199999999997E-2</v>
      </c>
      <c r="X1310">
        <v>0.99768520000000005</v>
      </c>
      <c r="Y1310">
        <v>3.2162200000000002E-2</v>
      </c>
      <c r="Z1310">
        <v>-1.601869E-4</v>
      </c>
      <c r="AA1310">
        <v>0.9994826</v>
      </c>
      <c r="AB1310">
        <v>33</v>
      </c>
      <c r="AC1310">
        <v>87.810599999999994</v>
      </c>
      <c r="AD1310">
        <v>-0.30820549999999902</v>
      </c>
      <c r="AE1310">
        <v>-1.7693999999999599</v>
      </c>
      <c r="AF1310">
        <v>2.82966359655707</v>
      </c>
      <c r="AG1310">
        <v>-0.30820549999999902</v>
      </c>
      <c r="AH1310">
        <v>87.781747959920594</v>
      </c>
      <c r="AI1310">
        <v>90.201062689324999</v>
      </c>
      <c r="AJ1310">
        <v>88.153697504057504</v>
      </c>
      <c r="AK1310">
        <v>87.827884305606105</v>
      </c>
      <c r="AL1310">
        <v>93.861690590226601</v>
      </c>
      <c r="AM1310">
        <v>90.540257952310796</v>
      </c>
      <c r="AN1310">
        <v>1.0000000218818299</v>
      </c>
    </row>
    <row r="1311" spans="1:40" x14ac:dyDescent="0.25">
      <c r="A1311" t="str">
        <f>"20190303153802416"</f>
        <v>20190303153802416</v>
      </c>
      <c r="B1311" t="str">
        <f>"1551598682409859"</f>
        <v>1551598682409859</v>
      </c>
      <c r="C1311" t="s">
        <v>40</v>
      </c>
      <c r="D1311">
        <v>4.4090089999999904</v>
      </c>
      <c r="E1311">
        <v>0.51576999999999995</v>
      </c>
      <c r="F1311" t="s">
        <v>41</v>
      </c>
      <c r="G1311">
        <v>-158.19499999999999</v>
      </c>
      <c r="H1311">
        <v>0.78887369999999901</v>
      </c>
      <c r="I1311">
        <v>365.52109999999999</v>
      </c>
      <c r="J1311">
        <v>-245.86199999999999</v>
      </c>
      <c r="K1311">
        <v>1.121189</v>
      </c>
      <c r="L1311">
        <v>367.28129999999999</v>
      </c>
      <c r="M1311">
        <v>0.99980590000000003</v>
      </c>
      <c r="N1311">
        <v>-1.556782E-2</v>
      </c>
      <c r="O1311">
        <v>1.2074909999999999E-2</v>
      </c>
      <c r="P1311">
        <v>0.99630929999999995</v>
      </c>
      <c r="Q1311">
        <v>-8.3195729999999996E-2</v>
      </c>
      <c r="R1311">
        <v>2.1128899999999999E-2</v>
      </c>
      <c r="S1311">
        <v>3.0113370000000002</v>
      </c>
      <c r="T1311">
        <v>-1.139152E-2</v>
      </c>
      <c r="U1311">
        <v>-6.0302729999999999E-2</v>
      </c>
      <c r="V1311">
        <v>-9.0983039999999998E-3</v>
      </c>
      <c r="W1311">
        <v>-6.7672129999999997E-2</v>
      </c>
      <c r="X1311">
        <v>0.9976661</v>
      </c>
      <c r="Y1311">
        <v>3.2091700000000001E-2</v>
      </c>
      <c r="Z1311">
        <v>-1.6823819999999901E-4</v>
      </c>
      <c r="AA1311">
        <v>0.99948490000000001</v>
      </c>
      <c r="AB1311">
        <v>33</v>
      </c>
      <c r="AC1311">
        <v>87.667000000000002</v>
      </c>
      <c r="AD1311">
        <v>-0.33231529999999998</v>
      </c>
      <c r="AE1311">
        <v>-1.76019999999999</v>
      </c>
      <c r="AF1311">
        <v>2.8187305917504499</v>
      </c>
      <c r="AG1311">
        <v>-0.33231529999999998</v>
      </c>
      <c r="AH1311">
        <v>87.638091539765796</v>
      </c>
      <c r="AI1311">
        <v>90.217146813381007</v>
      </c>
      <c r="AJ1311">
        <v>88.157813476785094</v>
      </c>
      <c r="AK1311">
        <v>87.684039393380203</v>
      </c>
      <c r="AL1311">
        <v>93.880293046221695</v>
      </c>
      <c r="AM1311">
        <v>90.522499430590699</v>
      </c>
      <c r="AN1311">
        <v>0.99999997170181099</v>
      </c>
    </row>
    <row r="1312" spans="1:40" x14ac:dyDescent="0.25">
      <c r="A1312" t="str">
        <f>"20190303153802427"</f>
        <v>20190303153802427</v>
      </c>
      <c r="B1312" t="str">
        <f>"1551598682419619"</f>
        <v>1551598682419619</v>
      </c>
      <c r="C1312" t="s">
        <v>40</v>
      </c>
      <c r="D1312">
        <v>4.3936409999999997</v>
      </c>
      <c r="E1312">
        <v>0.51574399999999998</v>
      </c>
      <c r="F1312" t="s">
        <v>41</v>
      </c>
      <c r="G1312">
        <v>-158.19499999999999</v>
      </c>
      <c r="H1312">
        <v>0.72050119999999995</v>
      </c>
      <c r="I1312">
        <v>365.53190000000001</v>
      </c>
      <c r="J1312">
        <v>-245.70750000000001</v>
      </c>
      <c r="K1312">
        <v>1.121243</v>
      </c>
      <c r="L1312">
        <v>367.28309999999999</v>
      </c>
      <c r="M1312">
        <v>0.99980219999999997</v>
      </c>
      <c r="N1312">
        <v>-1.5807729999999999E-2</v>
      </c>
      <c r="O1312">
        <v>1.207485E-2</v>
      </c>
      <c r="P1312">
        <v>0.99628810000000001</v>
      </c>
      <c r="Q1312">
        <v>-8.3502259999999995E-2</v>
      </c>
      <c r="R1312">
        <v>2.0922130000000001E-2</v>
      </c>
      <c r="S1312">
        <v>3.0112459999999999</v>
      </c>
      <c r="T1312">
        <v>-1.3760090000000001E-2</v>
      </c>
      <c r="U1312">
        <v>-6.0089110000000001E-2</v>
      </c>
      <c r="V1312">
        <v>-8.8918009999999995E-3</v>
      </c>
      <c r="W1312">
        <v>-6.773962E-2</v>
      </c>
      <c r="X1312">
        <v>0.99766339999999998</v>
      </c>
      <c r="Y1312">
        <v>3.2021170000000002E-2</v>
      </c>
      <c r="Z1312">
        <v>-1.9059430000000001E-4</v>
      </c>
      <c r="AA1312">
        <v>0.99948720000000002</v>
      </c>
      <c r="AB1312">
        <v>33</v>
      </c>
      <c r="AC1312">
        <v>87.512500000000003</v>
      </c>
      <c r="AD1312">
        <v>-0.40074179999999998</v>
      </c>
      <c r="AE1312">
        <v>-1.7511999999999801</v>
      </c>
      <c r="AF1312">
        <v>2.8078457390118201</v>
      </c>
      <c r="AG1312">
        <v>-0.40074179999999998</v>
      </c>
      <c r="AH1312">
        <v>87.483136558503602</v>
      </c>
      <c r="AI1312">
        <v>90.262322969061401</v>
      </c>
      <c r="AJ1312">
        <v>88.161674255973097</v>
      </c>
      <c r="AK1312">
        <v>87.529102439121104</v>
      </c>
      <c r="AL1312">
        <v>93.884168761092695</v>
      </c>
      <c r="AM1312">
        <v>90.510642347415498</v>
      </c>
      <c r="AN1312">
        <v>0.99999998997116302</v>
      </c>
    </row>
    <row r="1313" spans="1:40" x14ac:dyDescent="0.25">
      <c r="A1313" t="str">
        <f>"20190303153802439"</f>
        <v>20190303153802439</v>
      </c>
      <c r="B1313" t="str">
        <f>"1551598682430355"</f>
        <v>1551598682430355</v>
      </c>
      <c r="C1313" t="s">
        <v>40</v>
      </c>
      <c r="D1313">
        <v>4.3802430000000001</v>
      </c>
      <c r="E1313">
        <v>0.51572419999999997</v>
      </c>
      <c r="F1313" t="s">
        <v>41</v>
      </c>
      <c r="G1313">
        <v>-158.19499999999999</v>
      </c>
      <c r="H1313">
        <v>0.67543009999999903</v>
      </c>
      <c r="I1313">
        <v>365.52530000000002</v>
      </c>
      <c r="J1313">
        <v>-245.5351</v>
      </c>
      <c r="K1313">
        <v>1.1213059999999999</v>
      </c>
      <c r="L1313">
        <v>367.28519999999997</v>
      </c>
      <c r="M1313">
        <v>0.99979750000000001</v>
      </c>
      <c r="N1313">
        <v>-1.6107980000000001E-2</v>
      </c>
      <c r="O1313">
        <v>1.207456E-2</v>
      </c>
      <c r="P1313">
        <v>0.99623629999999996</v>
      </c>
      <c r="Q1313">
        <v>-8.4082509999999999E-2</v>
      </c>
      <c r="R1313">
        <v>2.1061819999999998E-2</v>
      </c>
      <c r="S1313">
        <v>3.0111539999999999</v>
      </c>
      <c r="T1313">
        <v>-1.533663E-2</v>
      </c>
      <c r="U1313">
        <v>-6.0485839999999999E-2</v>
      </c>
      <c r="V1313">
        <v>-9.0319649999999994E-3</v>
      </c>
      <c r="W1313">
        <v>-6.8020979999999995E-2</v>
      </c>
      <c r="X1313">
        <v>0.99764299999999995</v>
      </c>
      <c r="Y1313">
        <v>3.2152970000000003E-2</v>
      </c>
      <c r="Z1313">
        <v>-2.0788579999999999E-4</v>
      </c>
      <c r="AA1313">
        <v>0.99948289999999995</v>
      </c>
      <c r="AB1313">
        <v>33</v>
      </c>
      <c r="AC1313">
        <v>87.340100000000007</v>
      </c>
      <c r="AD1313">
        <v>-0.44587589999999999</v>
      </c>
      <c r="AE1313">
        <v>-1.7598999999999501</v>
      </c>
      <c r="AF1313">
        <v>2.8144283118209299</v>
      </c>
      <c r="AG1313">
        <v>-0.44587589999999999</v>
      </c>
      <c r="AH1313">
        <v>87.3102039523325</v>
      </c>
      <c r="AI1313">
        <v>90.292443747371394</v>
      </c>
      <c r="AJ1313">
        <v>88.153720423339195</v>
      </c>
      <c r="AK1313">
        <v>87.356691364992002</v>
      </c>
      <c r="AL1313">
        <v>93.900326759754094</v>
      </c>
      <c r="AM1313">
        <v>90.518701918006201</v>
      </c>
      <c r="AN1313">
        <v>0.99999999278046003</v>
      </c>
    </row>
    <row r="1314" spans="1:40" x14ac:dyDescent="0.25">
      <c r="A1314" t="str">
        <f>"20190303153802451"</f>
        <v>20190303153802451</v>
      </c>
      <c r="B1314" t="str">
        <f>"1551598682440115"</f>
        <v>1551598682440115</v>
      </c>
      <c r="C1314" t="s">
        <v>40</v>
      </c>
      <c r="D1314">
        <v>4.3737079999999997</v>
      </c>
      <c r="E1314">
        <v>0.51562680000000005</v>
      </c>
      <c r="F1314" t="s">
        <v>41</v>
      </c>
      <c r="G1314">
        <v>-158.19499999999999</v>
      </c>
      <c r="H1314">
        <v>0.61851739999999999</v>
      </c>
      <c r="I1314">
        <v>365.5521</v>
      </c>
      <c r="J1314">
        <v>-245.35329999999999</v>
      </c>
      <c r="K1314">
        <v>1.1213690000000001</v>
      </c>
      <c r="L1314">
        <v>367.28739999999999</v>
      </c>
      <c r="M1314">
        <v>0.99979200000000001</v>
      </c>
      <c r="N1314">
        <v>-1.6432539999999999E-2</v>
      </c>
      <c r="O1314">
        <v>1.207457E-2</v>
      </c>
      <c r="P1314">
        <v>0.99620379999999997</v>
      </c>
      <c r="Q1314">
        <v>-8.4456669999999998E-2</v>
      </c>
      <c r="R1314">
        <v>2.1098519999999999E-2</v>
      </c>
      <c r="S1314">
        <v>3.0111539999999999</v>
      </c>
      <c r="T1314">
        <v>-1.7331240000000001E-2</v>
      </c>
      <c r="U1314">
        <v>-5.9753420000000002E-2</v>
      </c>
      <c r="V1314">
        <v>-9.0690389999999992E-3</v>
      </c>
      <c r="W1314">
        <v>-6.8071800000000002E-2</v>
      </c>
      <c r="X1314">
        <v>0.99763919999999995</v>
      </c>
      <c r="Y1314">
        <v>3.1909769999999997E-2</v>
      </c>
      <c r="Z1314">
        <v>-2.25133E-4</v>
      </c>
      <c r="AA1314">
        <v>0.99949069999999995</v>
      </c>
      <c r="AB1314">
        <v>33</v>
      </c>
      <c r="AC1314">
        <v>87.158299999999997</v>
      </c>
      <c r="AD1314">
        <v>-0.50285159999999995</v>
      </c>
      <c r="AE1314">
        <v>-1.7352999999999901</v>
      </c>
      <c r="AF1314">
        <v>2.7876218919106299</v>
      </c>
      <c r="AG1314">
        <v>-0.50285159999999995</v>
      </c>
      <c r="AH1314">
        <v>87.128089586214699</v>
      </c>
      <c r="AI1314">
        <v>90.330504434656902</v>
      </c>
      <c r="AJ1314">
        <v>88.167473833817098</v>
      </c>
      <c r="AK1314">
        <v>87.174122826027599</v>
      </c>
      <c r="AL1314">
        <v>93.903245285754593</v>
      </c>
      <c r="AM1314">
        <v>90.520832928780095</v>
      </c>
      <c r="AN1314">
        <v>0.99999999540013096</v>
      </c>
    </row>
    <row r="1315" spans="1:40" x14ac:dyDescent="0.25">
      <c r="A1315" t="str">
        <f>"20190303153802465"</f>
        <v>20190303153802465</v>
      </c>
      <c r="B1315" t="str">
        <f>"1551598682459636"</f>
        <v>1551598682459636</v>
      </c>
      <c r="C1315" t="s">
        <v>40</v>
      </c>
      <c r="D1315">
        <v>4.4081330000000003</v>
      </c>
      <c r="E1315">
        <v>0.51554</v>
      </c>
      <c r="F1315" t="s">
        <v>41</v>
      </c>
      <c r="G1315">
        <v>-158.19499999999999</v>
      </c>
      <c r="H1315">
        <v>0.58402349999999903</v>
      </c>
      <c r="I1315">
        <v>365.57900000000001</v>
      </c>
      <c r="J1315">
        <v>-245.1557</v>
      </c>
      <c r="K1315">
        <v>1.1214299999999999</v>
      </c>
      <c r="L1315">
        <v>367.28980000000001</v>
      </c>
      <c r="M1315">
        <v>0.99978599999999995</v>
      </c>
      <c r="N1315">
        <v>-1.6791609999999998E-2</v>
      </c>
      <c r="O1315">
        <v>1.207422E-2</v>
      </c>
      <c r="P1315">
        <v>0.99615450000000005</v>
      </c>
      <c r="Q1315">
        <v>-8.5024649999999993E-2</v>
      </c>
      <c r="R1315">
        <v>2.1141650000000001E-2</v>
      </c>
      <c r="S1315">
        <v>3.0111240000000001</v>
      </c>
      <c r="T1315">
        <v>-1.8561009999999999E-2</v>
      </c>
      <c r="U1315">
        <v>-5.9020999999999997E-2</v>
      </c>
      <c r="V1315">
        <v>-9.1131489999999992E-3</v>
      </c>
      <c r="W1315">
        <v>-6.8282229999999999E-2</v>
      </c>
      <c r="X1315">
        <v>0.99762439999999997</v>
      </c>
      <c r="Y1315">
        <v>3.1666489999999999E-2</v>
      </c>
      <c r="Z1315">
        <v>-2.3518620000000001E-4</v>
      </c>
      <c r="AA1315">
        <v>0.99949849999999996</v>
      </c>
      <c r="AB1315">
        <v>33</v>
      </c>
      <c r="AC1315">
        <v>86.960700000000003</v>
      </c>
      <c r="AD1315">
        <v>-0.53740650000000001</v>
      </c>
      <c r="AE1315">
        <v>-1.7108000000000001</v>
      </c>
      <c r="AF1315">
        <v>2.7607006513640302</v>
      </c>
      <c r="AG1315">
        <v>-0.53740650000000001</v>
      </c>
      <c r="AH1315">
        <v>86.930380964458095</v>
      </c>
      <c r="AI1315">
        <v>90.354021424391107</v>
      </c>
      <c r="AJ1315">
        <v>88.181034637581803</v>
      </c>
      <c r="AK1315">
        <v>86.9758668163675</v>
      </c>
      <c r="AL1315">
        <v>93.915330223743794</v>
      </c>
      <c r="AM1315">
        <v>90.523373779706006</v>
      </c>
      <c r="AN1315">
        <v>0.99999997794691398</v>
      </c>
    </row>
    <row r="1316" spans="1:40" x14ac:dyDescent="0.25">
      <c r="A1316" t="str">
        <f>"20190303153802478"</f>
        <v>20190303153802478</v>
      </c>
      <c r="B1316" t="str">
        <f>"1551598682470371"</f>
        <v>1551598682470371</v>
      </c>
      <c r="C1316" t="s">
        <v>40</v>
      </c>
      <c r="D1316">
        <v>4.4077729999999997</v>
      </c>
      <c r="E1316">
        <v>0.51546139999999996</v>
      </c>
      <c r="F1316" t="s">
        <v>41</v>
      </c>
      <c r="G1316">
        <v>-158.19499999999999</v>
      </c>
      <c r="H1316">
        <v>0.53893780000000002</v>
      </c>
      <c r="I1316">
        <v>365.60469999999998</v>
      </c>
      <c r="J1316">
        <v>-244.97030000000001</v>
      </c>
      <c r="K1316">
        <v>1.1214770000000001</v>
      </c>
      <c r="L1316">
        <v>367.2921</v>
      </c>
      <c r="M1316">
        <v>0.99978049999999996</v>
      </c>
      <c r="N1316">
        <v>-1.7121859999999999E-2</v>
      </c>
      <c r="O1316">
        <v>1.207388E-2</v>
      </c>
      <c r="P1316">
        <v>0.99609270000000005</v>
      </c>
      <c r="Q1316">
        <v>-8.573045E-2</v>
      </c>
      <c r="R1316">
        <v>2.1212539999999998E-2</v>
      </c>
      <c r="S1316">
        <v>3.0110929999999998</v>
      </c>
      <c r="T1316">
        <v>-2.0166280000000002E-2</v>
      </c>
      <c r="U1316">
        <v>-5.8349610000000003E-2</v>
      </c>
      <c r="V1316">
        <v>-9.1852170000000007E-3</v>
      </c>
      <c r="W1316">
        <v>-6.8659449999999997E-2</v>
      </c>
      <c r="X1316">
        <v>0.99759790000000004</v>
      </c>
      <c r="Y1316">
        <v>3.1443390000000002E-2</v>
      </c>
      <c r="Z1316">
        <v>-2.4865340000000002E-4</v>
      </c>
      <c r="AA1316">
        <v>0.99950550000000005</v>
      </c>
      <c r="AB1316">
        <v>33</v>
      </c>
      <c r="AC1316">
        <v>86.775300000000001</v>
      </c>
      <c r="AD1316">
        <v>-0.58253920000000003</v>
      </c>
      <c r="AE1316">
        <v>-1.68740000000002</v>
      </c>
      <c r="AF1316">
        <v>2.73502192746145</v>
      </c>
      <c r="AG1316">
        <v>-0.58253920000000003</v>
      </c>
      <c r="AH1316">
        <v>86.744688632375599</v>
      </c>
      <c r="AI1316">
        <v>90.384576383590399</v>
      </c>
      <c r="AJ1316">
        <v>88.194087509372693</v>
      </c>
      <c r="AK1316">
        <v>86.789749986913904</v>
      </c>
      <c r="AL1316">
        <v>93.936993979008093</v>
      </c>
      <c r="AM1316">
        <v>90.527526468467499</v>
      </c>
      <c r="AN1316">
        <v>1.00000002918502</v>
      </c>
    </row>
    <row r="1317" spans="1:40" x14ac:dyDescent="0.25">
      <c r="A1317" t="str">
        <f>"20190303153802491"</f>
        <v>20190303153802491</v>
      </c>
      <c r="B1317" t="str">
        <f>"1551598682480131"</f>
        <v>1551598682480131</v>
      </c>
      <c r="C1317" t="s">
        <v>40</v>
      </c>
      <c r="D1317">
        <v>4.4157549999999999</v>
      </c>
      <c r="E1317">
        <v>0.51540549999999996</v>
      </c>
      <c r="F1317" t="s">
        <v>41</v>
      </c>
      <c r="G1317">
        <v>-158.19499999999999</v>
      </c>
      <c r="H1317">
        <v>0.47724820000000001</v>
      </c>
      <c r="I1317">
        <v>365.63690000000003</v>
      </c>
      <c r="J1317">
        <v>-244.7714</v>
      </c>
      <c r="K1317">
        <v>1.1215269999999999</v>
      </c>
      <c r="L1317">
        <v>367.2944</v>
      </c>
      <c r="M1317">
        <v>0.99977459999999996</v>
      </c>
      <c r="N1317">
        <v>-1.746992E-2</v>
      </c>
      <c r="O1317">
        <v>1.207369E-2</v>
      </c>
      <c r="P1317">
        <v>0.99604519999999996</v>
      </c>
      <c r="Q1317">
        <v>-8.6211889999999999E-2</v>
      </c>
      <c r="R1317">
        <v>2.1484079999999999E-2</v>
      </c>
      <c r="S1317">
        <v>3.011063</v>
      </c>
      <c r="T1317">
        <v>-2.2351380000000001E-2</v>
      </c>
      <c r="U1317">
        <v>-5.7434079999999998E-2</v>
      </c>
      <c r="V1317">
        <v>-9.4572230000000007E-3</v>
      </c>
      <c r="W1317">
        <v>-6.8794300000000003E-2</v>
      </c>
      <c r="X1317">
        <v>0.99758599999999997</v>
      </c>
      <c r="Y1317">
        <v>3.113935E-2</v>
      </c>
      <c r="Z1317">
        <v>-2.6631259999999998E-4</v>
      </c>
      <c r="AA1317">
        <v>0.99951500000000004</v>
      </c>
      <c r="AB1317">
        <v>33</v>
      </c>
      <c r="AC1317">
        <v>86.576400000000007</v>
      </c>
      <c r="AD1317">
        <v>-0.64427879999999904</v>
      </c>
      <c r="AE1317">
        <v>-1.65749999999997</v>
      </c>
      <c r="AF1317">
        <v>2.7026855763023199</v>
      </c>
      <c r="AG1317">
        <v>-0.64427879999999904</v>
      </c>
      <c r="AH1317">
        <v>86.545281283697093</v>
      </c>
      <c r="AI1317">
        <v>90.426317736163398</v>
      </c>
      <c r="AJ1317">
        <v>88.211315909915996</v>
      </c>
      <c r="AK1317">
        <v>86.589868442969305</v>
      </c>
      <c r="AL1317">
        <v>93.944738895825793</v>
      </c>
      <c r="AM1317">
        <v>90.543153905486705</v>
      </c>
      <c r="AN1317">
        <v>0.99999996108767997</v>
      </c>
    </row>
    <row r="1318" spans="1:40" x14ac:dyDescent="0.25">
      <c r="A1318" t="str">
        <f>"20190303153802504"</f>
        <v>20190303153802504</v>
      </c>
      <c r="B1318" t="str">
        <f>"1551598682499655"</f>
        <v>1551598682499655</v>
      </c>
      <c r="C1318" t="s">
        <v>40</v>
      </c>
      <c r="D1318">
        <v>4.3902080000000003</v>
      </c>
      <c r="E1318">
        <v>0.51546170000000002</v>
      </c>
      <c r="F1318" t="s">
        <v>41</v>
      </c>
      <c r="G1318">
        <v>-158.19499999999999</v>
      </c>
      <c r="H1318">
        <v>0.42461510000000002</v>
      </c>
      <c r="I1318">
        <v>365.6782</v>
      </c>
      <c r="J1318">
        <v>-244.578</v>
      </c>
      <c r="K1318">
        <v>1.1215660000000001</v>
      </c>
      <c r="L1318">
        <v>367.29680000000002</v>
      </c>
      <c r="M1318">
        <v>0.99976880000000001</v>
      </c>
      <c r="N1318">
        <v>-1.7793880000000002E-2</v>
      </c>
      <c r="O1318">
        <v>1.2073479999999999E-2</v>
      </c>
      <c r="P1318">
        <v>0.99605940000000004</v>
      </c>
      <c r="Q1318">
        <v>-8.5924730000000005E-2</v>
      </c>
      <c r="R1318">
        <v>2.1971319999999999E-2</v>
      </c>
      <c r="S1318">
        <v>3.011047</v>
      </c>
      <c r="T1318">
        <v>-2.4234889999999999E-2</v>
      </c>
      <c r="U1318">
        <v>-5.621338E-2</v>
      </c>
      <c r="V1318">
        <v>-9.9442679999999992E-3</v>
      </c>
      <c r="W1318">
        <v>-6.8183560000000004E-2</v>
      </c>
      <c r="X1318">
        <v>0.99762320000000004</v>
      </c>
      <c r="Y1318">
        <v>3.0733949999999999E-2</v>
      </c>
      <c r="Z1318">
        <v>-2.7950039999999999E-4</v>
      </c>
      <c r="AA1318">
        <v>0.99952759999999996</v>
      </c>
      <c r="AB1318">
        <v>32</v>
      </c>
      <c r="AC1318">
        <v>86.382999999999996</v>
      </c>
      <c r="AD1318">
        <v>-0.69695090000000004</v>
      </c>
      <c r="AE1318">
        <v>-1.61860000000001</v>
      </c>
      <c r="AF1318">
        <v>2.6614173516506301</v>
      </c>
      <c r="AG1318">
        <v>-0.69695090000000004</v>
      </c>
      <c r="AH1318">
        <v>86.351537486848898</v>
      </c>
      <c r="AI1318">
        <v>90.462209796351004</v>
      </c>
      <c r="AJ1318">
        <v>88.234661129958496</v>
      </c>
      <c r="AK1318">
        <v>86.395352358905001</v>
      </c>
      <c r="AL1318">
        <v>93.909663682563604</v>
      </c>
      <c r="AM1318">
        <v>90.571103115110304</v>
      </c>
      <c r="AN1318">
        <v>0.99999996774928401</v>
      </c>
    </row>
    <row r="1319" spans="1:40" x14ac:dyDescent="0.25">
      <c r="A1319" t="str">
        <f>"20190303153802517"</f>
        <v>20190303153802517</v>
      </c>
      <c r="B1319" t="str">
        <f>"1551598682510387"</f>
        <v>1551598682510387</v>
      </c>
      <c r="C1319" t="s">
        <v>40</v>
      </c>
      <c r="D1319">
        <v>4.4037259999999998</v>
      </c>
      <c r="E1319">
        <v>0.5154358</v>
      </c>
      <c r="F1319" t="s">
        <v>41</v>
      </c>
      <c r="G1319">
        <v>-158.19499999999999</v>
      </c>
      <c r="H1319">
        <v>0.46024199999999998</v>
      </c>
      <c r="I1319">
        <v>365.71129999999999</v>
      </c>
      <c r="J1319">
        <v>-244.40870000000001</v>
      </c>
      <c r="K1319">
        <v>1.121599</v>
      </c>
      <c r="L1319">
        <v>367.29880000000003</v>
      </c>
      <c r="M1319">
        <v>0.99976399999999999</v>
      </c>
      <c r="N1319">
        <v>-1.8069109999999999E-2</v>
      </c>
      <c r="O1319">
        <v>1.2073179999999999E-2</v>
      </c>
      <c r="P1319">
        <v>0.99604009999999998</v>
      </c>
      <c r="Q1319">
        <v>-8.6108329999999997E-2</v>
      </c>
      <c r="R1319">
        <v>2.213379E-2</v>
      </c>
      <c r="S1319">
        <v>3.0110779999999999</v>
      </c>
      <c r="T1319">
        <v>-2.3048880000000001E-2</v>
      </c>
      <c r="U1319">
        <v>-5.5267330000000003E-2</v>
      </c>
      <c r="V1319">
        <v>-1.01075E-2</v>
      </c>
      <c r="W1319">
        <v>-6.8092819999999998E-2</v>
      </c>
      <c r="X1319">
        <v>0.99762779999999995</v>
      </c>
      <c r="Y1319">
        <v>3.0419709999999999E-2</v>
      </c>
      <c r="Z1319">
        <v>-2.6555779999999998E-4</v>
      </c>
      <c r="AA1319">
        <v>0.99953720000000001</v>
      </c>
      <c r="AB1319">
        <v>32</v>
      </c>
      <c r="AC1319">
        <v>86.213700000000003</v>
      </c>
      <c r="AD1319">
        <v>-0.66135699999999997</v>
      </c>
      <c r="AE1319">
        <v>-1.5875000000000301</v>
      </c>
      <c r="AF1319">
        <v>2.6282729654554502</v>
      </c>
      <c r="AG1319">
        <v>-0.66135699999999997</v>
      </c>
      <c r="AH1319">
        <v>86.183175250050098</v>
      </c>
      <c r="AI1319">
        <v>90.439466444759702</v>
      </c>
      <c r="AJ1319">
        <v>88.253228777504404</v>
      </c>
      <c r="AK1319">
        <v>86.2257786746124</v>
      </c>
      <c r="AL1319">
        <v>93.904452384909305</v>
      </c>
      <c r="AM1319">
        <v>90.580474278665704</v>
      </c>
      <c r="AN1319">
        <v>1.0000000105123199</v>
      </c>
    </row>
    <row r="1320" spans="1:40" x14ac:dyDescent="0.25">
      <c r="A1320" t="str">
        <f>"20190303153802529"</f>
        <v>20190303153802529</v>
      </c>
      <c r="B1320" t="str">
        <f>"1551598682520147"</f>
        <v>1551598682520147</v>
      </c>
      <c r="C1320" t="s">
        <v>40</v>
      </c>
      <c r="D1320">
        <v>4.3919319999999997</v>
      </c>
      <c r="E1320">
        <v>0.51545529999999995</v>
      </c>
      <c r="F1320" t="s">
        <v>41</v>
      </c>
      <c r="G1320">
        <v>-158.19499999999999</v>
      </c>
      <c r="H1320">
        <v>0.43810959999999899</v>
      </c>
      <c r="I1320">
        <v>365.73910000000001</v>
      </c>
      <c r="J1320">
        <v>-244.22640000000001</v>
      </c>
      <c r="K1320">
        <v>1.121629</v>
      </c>
      <c r="L1320">
        <v>367.30099999999999</v>
      </c>
      <c r="M1320">
        <v>0.99975860000000005</v>
      </c>
      <c r="N1320">
        <v>-1.8359750000000001E-2</v>
      </c>
      <c r="O1320">
        <v>1.207299E-2</v>
      </c>
      <c r="P1320">
        <v>0.99604859999999995</v>
      </c>
      <c r="Q1320">
        <v>-8.5957320000000004E-2</v>
      </c>
      <c r="R1320">
        <v>2.233303E-2</v>
      </c>
      <c r="S1320">
        <v>3.011063</v>
      </c>
      <c r="T1320">
        <v>-2.3868199999999999E-2</v>
      </c>
      <c r="U1320">
        <v>-5.4473880000000002E-2</v>
      </c>
      <c r="V1320">
        <v>-1.0306650000000001E-2</v>
      </c>
      <c r="W1320">
        <v>-6.7651610000000001E-2</v>
      </c>
      <c r="X1320">
        <v>0.99765570000000003</v>
      </c>
      <c r="Y1320">
        <v>3.0156220000000001E-2</v>
      </c>
      <c r="Z1320">
        <v>-2.704327E-4</v>
      </c>
      <c r="AA1320">
        <v>0.99954520000000002</v>
      </c>
      <c r="AB1320">
        <v>32</v>
      </c>
      <c r="AC1320">
        <v>86.031400000000005</v>
      </c>
      <c r="AD1320">
        <v>-0.6835194</v>
      </c>
      <c r="AE1320">
        <v>-1.5618999999999801</v>
      </c>
      <c r="AF1320">
        <v>2.6004533158480001</v>
      </c>
      <c r="AG1320">
        <v>-0.6835194</v>
      </c>
      <c r="AH1320">
        <v>86.000840990179398</v>
      </c>
      <c r="AI1320">
        <v>90.455159063266805</v>
      </c>
      <c r="AJ1320">
        <v>88.268044662470302</v>
      </c>
      <c r="AK1320">
        <v>86.042862616467005</v>
      </c>
      <c r="AL1320">
        <v>93.879114792210004</v>
      </c>
      <c r="AM1320">
        <v>90.591894116259397</v>
      </c>
      <c r="AN1320">
        <v>0.99999993155614997</v>
      </c>
    </row>
    <row r="1321" spans="1:40" x14ac:dyDescent="0.25">
      <c r="A1321" t="str">
        <f>"20190303153802539"</f>
        <v>20190303153802539</v>
      </c>
      <c r="B1321" t="str">
        <f>"1551598682529907"</f>
        <v>1551598682529907</v>
      </c>
      <c r="C1321" t="s">
        <v>40</v>
      </c>
      <c r="D1321">
        <v>4.3821479999999999</v>
      </c>
      <c r="E1321">
        <v>0.51545390000000002</v>
      </c>
      <c r="F1321" t="s">
        <v>41</v>
      </c>
      <c r="G1321">
        <v>-158.19499999999999</v>
      </c>
      <c r="H1321">
        <v>0.45052360000000002</v>
      </c>
      <c r="I1321">
        <v>365.75420000000003</v>
      </c>
      <c r="J1321">
        <v>-244.07079999999999</v>
      </c>
      <c r="K1321">
        <v>1.1216459999999999</v>
      </c>
      <c r="L1321">
        <v>367.30290000000002</v>
      </c>
      <c r="M1321">
        <v>0.99975440000000004</v>
      </c>
      <c r="N1321">
        <v>-1.8592830000000001E-2</v>
      </c>
      <c r="O1321">
        <v>1.207283E-2</v>
      </c>
      <c r="P1321">
        <v>0.99604040000000005</v>
      </c>
      <c r="Q1321">
        <v>-8.5981520000000006E-2</v>
      </c>
      <c r="R1321">
        <v>2.2604409999999998E-2</v>
      </c>
      <c r="S1321">
        <v>3.0110929999999998</v>
      </c>
      <c r="T1321">
        <v>-2.3485539999999999E-2</v>
      </c>
      <c r="U1321">
        <v>-5.4138180000000001E-2</v>
      </c>
      <c r="V1321">
        <v>-1.057844E-2</v>
      </c>
      <c r="W1321">
        <v>-6.7443299999999998E-2</v>
      </c>
      <c r="X1321">
        <v>0.99766699999999997</v>
      </c>
      <c r="Y1321">
        <v>3.004453E-2</v>
      </c>
      <c r="Z1321">
        <v>-2.66209E-4</v>
      </c>
      <c r="AA1321">
        <v>0.99954860000000001</v>
      </c>
      <c r="AB1321">
        <v>32</v>
      </c>
      <c r="AC1321">
        <v>85.875799999999998</v>
      </c>
      <c r="AD1321">
        <v>-0.67112240000000001</v>
      </c>
      <c r="AE1321">
        <v>-1.54869999999999</v>
      </c>
      <c r="AF1321">
        <v>2.5853722662048302</v>
      </c>
      <c r="AG1321">
        <v>-0.67112240000000001</v>
      </c>
      <c r="AH1321">
        <v>85.845597554651704</v>
      </c>
      <c r="AI1321">
        <v>90.447713958642893</v>
      </c>
      <c r="AJ1321">
        <v>88.274970846587095</v>
      </c>
      <c r="AK1321">
        <v>85.8871420792767</v>
      </c>
      <c r="AL1321">
        <v>93.867152027120497</v>
      </c>
      <c r="AM1321">
        <v>90.607494538047206</v>
      </c>
      <c r="AN1321">
        <v>0.99999997249836103</v>
      </c>
    </row>
    <row r="1322" spans="1:40" x14ac:dyDescent="0.25">
      <c r="A1322" t="str">
        <f>"20190303153802551"</f>
        <v>20190303153802551</v>
      </c>
      <c r="B1322" t="str">
        <f>"1551598682539668"</f>
        <v>1551598682539668</v>
      </c>
      <c r="C1322" t="s">
        <v>40</v>
      </c>
      <c r="D1322">
        <v>4.4270750000000003</v>
      </c>
      <c r="E1322">
        <v>0.51541229999999905</v>
      </c>
      <c r="F1322" t="s">
        <v>41</v>
      </c>
      <c r="G1322">
        <v>-158.19499999999999</v>
      </c>
      <c r="H1322">
        <v>0.44508029999999998</v>
      </c>
      <c r="I1322">
        <v>365.7833</v>
      </c>
      <c r="J1322">
        <v>-243.91810000000001</v>
      </c>
      <c r="K1322">
        <v>1.1216649999999999</v>
      </c>
      <c r="L1322">
        <v>367.30470000000003</v>
      </c>
      <c r="M1322">
        <v>0.99975009999999997</v>
      </c>
      <c r="N1322">
        <v>-1.8818270000000002E-2</v>
      </c>
      <c r="O1322">
        <v>1.2072660000000001E-2</v>
      </c>
      <c r="P1322">
        <v>0.99603180000000002</v>
      </c>
      <c r="Q1322">
        <v>-8.6067240000000003E-2</v>
      </c>
      <c r="R1322">
        <v>2.2657790000000001E-2</v>
      </c>
      <c r="S1322">
        <v>3.0110779999999999</v>
      </c>
      <c r="T1322">
        <v>-2.371943E-2</v>
      </c>
      <c r="U1322">
        <v>-5.3283690000000002E-2</v>
      </c>
      <c r="V1322">
        <v>-1.0632290000000001E-2</v>
      </c>
      <c r="W1322">
        <v>-6.7304240000000001E-2</v>
      </c>
      <c r="X1322">
        <v>0.9976758</v>
      </c>
      <c r="Y1322">
        <v>2.976088E-2</v>
      </c>
      <c r="Z1322">
        <v>-2.6519469999999998E-4</v>
      </c>
      <c r="AA1322">
        <v>0.99955700000000003</v>
      </c>
      <c r="AB1322">
        <v>32</v>
      </c>
      <c r="AC1322">
        <v>85.723100000000002</v>
      </c>
      <c r="AD1322">
        <v>-0.67658469999999904</v>
      </c>
      <c r="AE1322">
        <v>-1.5214000000000201</v>
      </c>
      <c r="AF1322">
        <v>2.5562189589404101</v>
      </c>
      <c r="AG1322">
        <v>-0.67658469999999904</v>
      </c>
      <c r="AH1322">
        <v>85.693143413030498</v>
      </c>
      <c r="AI1322">
        <v>90.452164620529899</v>
      </c>
      <c r="AJ1322">
        <v>88.291378588201397</v>
      </c>
      <c r="AK1322">
        <v>85.733930565608304</v>
      </c>
      <c r="AL1322">
        <v>93.859166401818996</v>
      </c>
      <c r="AM1322">
        <v>90.610581396094005</v>
      </c>
      <c r="AN1322">
        <v>0.99999995410912901</v>
      </c>
    </row>
    <row r="1323" spans="1:40" x14ac:dyDescent="0.25">
      <c r="A1323" t="str">
        <f>"20190303153802562"</f>
        <v>20190303153802562</v>
      </c>
      <c r="B1323" t="str">
        <f>"1551598682550404"</f>
        <v>1551598682550404</v>
      </c>
      <c r="C1323" t="s">
        <v>40</v>
      </c>
      <c r="D1323">
        <v>4.3901409999999998</v>
      </c>
      <c r="E1323">
        <v>0.51538890000000004</v>
      </c>
      <c r="F1323" t="s">
        <v>41</v>
      </c>
      <c r="G1323">
        <v>-158.19499999999999</v>
      </c>
      <c r="H1323">
        <v>0.49480269999999998</v>
      </c>
      <c r="I1323">
        <v>365.8</v>
      </c>
      <c r="J1323">
        <v>-243.75229999999999</v>
      </c>
      <c r="K1323">
        <v>1.1216820000000001</v>
      </c>
      <c r="L1323">
        <v>367.30669999999998</v>
      </c>
      <c r="M1323">
        <v>0.99974589999999997</v>
      </c>
      <c r="N1323">
        <v>-1.9042549999999998E-2</v>
      </c>
      <c r="O1323">
        <v>1.2072350000000001E-2</v>
      </c>
      <c r="P1323">
        <v>0.99600580000000005</v>
      </c>
      <c r="Q1323">
        <v>-8.634348E-2</v>
      </c>
      <c r="R1323">
        <v>2.2745979999999999E-2</v>
      </c>
      <c r="S1323">
        <v>3.0112299999999999</v>
      </c>
      <c r="T1323">
        <v>-2.2016999999999998E-2</v>
      </c>
      <c r="U1323">
        <v>-5.2856449999999999E-2</v>
      </c>
      <c r="V1323">
        <v>-1.0720739999999999E-2</v>
      </c>
      <c r="W1323">
        <v>-6.7357089999999994E-2</v>
      </c>
      <c r="X1323">
        <v>0.99767130000000004</v>
      </c>
      <c r="Y1323">
        <v>2.9618120000000001E-2</v>
      </c>
      <c r="Z1323">
        <v>-2.486985E-4</v>
      </c>
      <c r="AA1323">
        <v>0.99956129999999999</v>
      </c>
      <c r="AB1323">
        <v>32</v>
      </c>
      <c r="AC1323">
        <v>85.557299999999998</v>
      </c>
      <c r="AD1323">
        <v>-0.62687930000000003</v>
      </c>
      <c r="AE1323">
        <v>-1.50669999999996</v>
      </c>
      <c r="AF1323">
        <v>2.5395187454675301</v>
      </c>
      <c r="AG1323">
        <v>-0.62687930000000003</v>
      </c>
      <c r="AH1323">
        <v>85.528280005357601</v>
      </c>
      <c r="AI1323">
        <v>90.419756756726699</v>
      </c>
      <c r="AJ1323">
        <v>88.299264654270004</v>
      </c>
      <c r="AK1323">
        <v>85.568269900648303</v>
      </c>
      <c r="AL1323">
        <v>93.862201319929795</v>
      </c>
      <c r="AM1323">
        <v>90.6156632089114</v>
      </c>
      <c r="AN1323">
        <v>0.99999996734155205</v>
      </c>
    </row>
    <row r="1324" spans="1:40" x14ac:dyDescent="0.25">
      <c r="A1324" t="str">
        <f>"20190303153802573"</f>
        <v>20190303153802573</v>
      </c>
      <c r="B1324" t="str">
        <f>"1551598682569924"</f>
        <v>1551598682569924</v>
      </c>
      <c r="C1324" t="s">
        <v>40</v>
      </c>
      <c r="D1324">
        <v>4.4156000000000004</v>
      </c>
      <c r="E1324">
        <v>0.51535620000000004</v>
      </c>
      <c r="F1324" t="s">
        <v>41</v>
      </c>
      <c r="G1324">
        <v>-158.19499999999999</v>
      </c>
      <c r="H1324">
        <v>0.4545691</v>
      </c>
      <c r="I1324">
        <v>365.82400000000001</v>
      </c>
      <c r="J1324">
        <v>-243.60159999999999</v>
      </c>
      <c r="K1324">
        <v>1.121691</v>
      </c>
      <c r="L1324">
        <v>367.30860000000001</v>
      </c>
      <c r="M1324">
        <v>0.99974200000000002</v>
      </c>
      <c r="N1324">
        <v>-1.923679E-2</v>
      </c>
      <c r="O1324">
        <v>1.207249E-2</v>
      </c>
      <c r="P1324">
        <v>0.99601759999999995</v>
      </c>
      <c r="Q1324">
        <v>-8.6234660000000005E-2</v>
      </c>
      <c r="R1324">
        <v>2.2633799999999999E-2</v>
      </c>
      <c r="S1324">
        <v>3.0111690000000002</v>
      </c>
      <c r="T1324">
        <v>-2.347577E-2</v>
      </c>
      <c r="U1324">
        <v>-5.2185059999999998E-2</v>
      </c>
      <c r="V1324">
        <v>-1.0607729999999999E-2</v>
      </c>
      <c r="W1324">
        <v>-6.7054269999999999E-2</v>
      </c>
      <c r="X1324">
        <v>0.99769289999999999</v>
      </c>
      <c r="Y1324">
        <v>2.9395660000000001E-2</v>
      </c>
      <c r="Z1324">
        <v>-2.5924740000000002E-4</v>
      </c>
      <c r="AA1324">
        <v>0.99956780000000001</v>
      </c>
      <c r="AB1324">
        <v>32</v>
      </c>
      <c r="AC1324">
        <v>85.406599999999997</v>
      </c>
      <c r="AD1324">
        <v>-0.66712189999999905</v>
      </c>
      <c r="AE1324">
        <v>-1.4845999999999999</v>
      </c>
      <c r="AF1324">
        <v>2.5155995523186601</v>
      </c>
      <c r="AG1324">
        <v>-0.66712189999999905</v>
      </c>
      <c r="AH1324">
        <v>85.377239928361405</v>
      </c>
      <c r="AI1324">
        <v>90.447495273015903</v>
      </c>
      <c r="AJ1324">
        <v>88.312295537035794</v>
      </c>
      <c r="AK1324">
        <v>85.416897570223597</v>
      </c>
      <c r="AL1324">
        <v>93.844811720738704</v>
      </c>
      <c r="AM1324">
        <v>90.609160653227505</v>
      </c>
      <c r="AN1324">
        <v>0.99999996088569698</v>
      </c>
    </row>
    <row r="1325" spans="1:40" x14ac:dyDescent="0.25">
      <c r="A1325" t="str">
        <f>"20190303153802584"</f>
        <v>20190303153802584</v>
      </c>
      <c r="B1325" t="str">
        <f>"1551598682579683"</f>
        <v>1551598682579683</v>
      </c>
      <c r="C1325" t="s">
        <v>40</v>
      </c>
      <c r="D1325">
        <v>4.4017609999999996</v>
      </c>
      <c r="E1325">
        <v>0.51533399999999996</v>
      </c>
      <c r="F1325" t="s">
        <v>41</v>
      </c>
      <c r="G1325">
        <v>-158.19499999999999</v>
      </c>
      <c r="H1325">
        <v>0.43387629999999999</v>
      </c>
      <c r="I1325">
        <v>365.81810000000002</v>
      </c>
      <c r="J1325">
        <v>-243.44149999999999</v>
      </c>
      <c r="K1325">
        <v>1.1217010000000001</v>
      </c>
      <c r="L1325">
        <v>367.31049999999999</v>
      </c>
      <c r="M1325">
        <v>0.99973849999999997</v>
      </c>
      <c r="N1325">
        <v>-1.9425189999999998E-2</v>
      </c>
      <c r="O1325">
        <v>1.207214E-2</v>
      </c>
      <c r="P1325">
        <v>0.99602040000000003</v>
      </c>
      <c r="Q1325">
        <v>-8.6213189999999995E-2</v>
      </c>
      <c r="R1325">
        <v>2.25951E-2</v>
      </c>
      <c r="S1325">
        <v>3.0110779999999999</v>
      </c>
      <c r="T1325">
        <v>-2.4246340000000002E-2</v>
      </c>
      <c r="U1325">
        <v>-5.2551269999999997E-2</v>
      </c>
      <c r="V1325">
        <v>-1.0569820000000001E-2</v>
      </c>
      <c r="W1325">
        <v>-6.6844749999999994E-2</v>
      </c>
      <c r="X1325">
        <v>0.99770740000000002</v>
      </c>
      <c r="Y1325">
        <v>2.951724E-2</v>
      </c>
      <c r="Z1325">
        <v>-2.6827470000000001E-4</v>
      </c>
      <c r="AA1325">
        <v>0.99956420000000001</v>
      </c>
      <c r="AB1325">
        <v>32</v>
      </c>
      <c r="AC1325">
        <v>85.246499999999997</v>
      </c>
      <c r="AD1325">
        <v>-0.68782469999999996</v>
      </c>
      <c r="AE1325">
        <v>-1.49239999999997</v>
      </c>
      <c r="AF1325">
        <v>2.5214289281450402</v>
      </c>
      <c r="AG1325">
        <v>-0.68782469999999996</v>
      </c>
      <c r="AH1325">
        <v>85.216719620621802</v>
      </c>
      <c r="AI1325">
        <v>90.462249171069402</v>
      </c>
      <c r="AJ1325">
        <v>88.305202317809702</v>
      </c>
      <c r="AK1325">
        <v>85.256788642062304</v>
      </c>
      <c r="AL1325">
        <v>93.832779968232799</v>
      </c>
      <c r="AM1325">
        <v>90.606974971800895</v>
      </c>
      <c r="AN1325">
        <v>0.99999999885607704</v>
      </c>
    </row>
    <row r="1326" spans="1:40" x14ac:dyDescent="0.25">
      <c r="A1326" t="str">
        <f>"20190303153802595"</f>
        <v>20190303153802595</v>
      </c>
      <c r="B1326" t="str">
        <f>"1551598682590420"</f>
        <v>1551598682590420</v>
      </c>
      <c r="C1326" t="s">
        <v>40</v>
      </c>
      <c r="D1326">
        <v>4.4132600000000002</v>
      </c>
      <c r="E1326">
        <v>0.51532639999999996</v>
      </c>
      <c r="F1326" t="s">
        <v>41</v>
      </c>
      <c r="G1326">
        <v>-158.19499999999999</v>
      </c>
      <c r="H1326">
        <v>0.42171619999999999</v>
      </c>
      <c r="I1326">
        <v>365.82530000000003</v>
      </c>
      <c r="J1326">
        <v>-243.28980000000001</v>
      </c>
      <c r="K1326">
        <v>1.121705</v>
      </c>
      <c r="L1326">
        <v>367.31229999999999</v>
      </c>
      <c r="M1326">
        <v>0.9997355</v>
      </c>
      <c r="N1326">
        <v>-1.958615E-2</v>
      </c>
      <c r="O1326">
        <v>1.207191E-2</v>
      </c>
      <c r="P1326">
        <v>0.99602500000000005</v>
      </c>
      <c r="Q1326">
        <v>-8.6187479999999997E-2</v>
      </c>
      <c r="R1326">
        <v>2.2493429999999998E-2</v>
      </c>
      <c r="S1326">
        <v>3.0110320000000002</v>
      </c>
      <c r="T1326">
        <v>-2.4721380000000001E-2</v>
      </c>
      <c r="U1326">
        <v>-5.2459720000000001E-2</v>
      </c>
      <c r="V1326">
        <v>-1.0468150000000001E-2</v>
      </c>
      <c r="W1326">
        <v>-6.665836E-2</v>
      </c>
      <c r="X1326">
        <v>0.99772099999999997</v>
      </c>
      <c r="Y1326">
        <v>2.948684E-2</v>
      </c>
      <c r="Z1326">
        <v>-2.7252370000000001E-4</v>
      </c>
      <c r="AA1326">
        <v>0.99956509999999998</v>
      </c>
      <c r="AB1326">
        <v>32</v>
      </c>
      <c r="AC1326">
        <v>85.094800000000006</v>
      </c>
      <c r="AD1326">
        <v>-0.69998879999999897</v>
      </c>
      <c r="AE1326">
        <v>-1.4869999999999599</v>
      </c>
      <c r="AF1326">
        <v>2.5141751746066201</v>
      </c>
      <c r="AG1326">
        <v>-0.69998879999999897</v>
      </c>
      <c r="AH1326">
        <v>85.064888232565906</v>
      </c>
      <c r="AI1326">
        <v>90.471263697955607</v>
      </c>
      <c r="AJ1326">
        <v>88.307060577654099</v>
      </c>
      <c r="AK1326">
        <v>85.104913319664803</v>
      </c>
      <c r="AL1326">
        <v>93.822076515090899</v>
      </c>
      <c r="AM1326">
        <v>90.601128779624503</v>
      </c>
      <c r="AN1326">
        <v>1.00000005648165</v>
      </c>
    </row>
    <row r="1327" spans="1:40" x14ac:dyDescent="0.25">
      <c r="A1327" t="str">
        <f>"20190303153802606"</f>
        <v>20190303153802606</v>
      </c>
      <c r="B1327" t="str">
        <f>"1551598682600179"</f>
        <v>1551598682600179</v>
      </c>
      <c r="C1327" t="s">
        <v>40</v>
      </c>
      <c r="D1327">
        <v>4.4396430000000002</v>
      </c>
      <c r="E1327">
        <v>0.51529179999999997</v>
      </c>
      <c r="F1327" t="s">
        <v>41</v>
      </c>
      <c r="G1327">
        <v>-158.19499999999999</v>
      </c>
      <c r="H1327">
        <v>0.41493679999999999</v>
      </c>
      <c r="I1327">
        <v>365.8229</v>
      </c>
      <c r="J1327">
        <v>-243.14150000000001</v>
      </c>
      <c r="K1327">
        <v>1.121712</v>
      </c>
      <c r="L1327">
        <v>367.3141</v>
      </c>
      <c r="M1327">
        <v>0.99973259999999997</v>
      </c>
      <c r="N1327">
        <v>-1.972954E-2</v>
      </c>
      <c r="O1327">
        <v>1.2071790000000001E-2</v>
      </c>
      <c r="P1327">
        <v>0.99603319999999995</v>
      </c>
      <c r="Q1327">
        <v>-8.6226639999999993E-2</v>
      </c>
      <c r="R1327">
        <v>2.197665E-2</v>
      </c>
      <c r="S1327">
        <v>3.0109859999999999</v>
      </c>
      <c r="T1327">
        <v>-2.5005099999999999E-2</v>
      </c>
      <c r="U1327">
        <v>-5.2703859999999998E-2</v>
      </c>
      <c r="V1327">
        <v>-9.9510740000000007E-3</v>
      </c>
      <c r="W1327">
        <v>-6.6554409999999994E-2</v>
      </c>
      <c r="X1327">
        <v>0.99773319999999999</v>
      </c>
      <c r="Y1327">
        <v>2.9567960000000001E-2</v>
      </c>
      <c r="Z1327">
        <v>-2.7657620000000002E-4</v>
      </c>
      <c r="AA1327">
        <v>0.99956270000000003</v>
      </c>
      <c r="AB1327">
        <v>32</v>
      </c>
      <c r="AC1327">
        <v>84.9465</v>
      </c>
      <c r="AD1327">
        <v>-0.70677519999999905</v>
      </c>
      <c r="AE1327">
        <v>-1.4911999999999901</v>
      </c>
      <c r="AF1327">
        <v>2.5165729581982501</v>
      </c>
      <c r="AG1327">
        <v>-0.70677519999999905</v>
      </c>
      <c r="AH1327">
        <v>84.916426217605704</v>
      </c>
      <c r="AI1327">
        <v>90.4766631440813</v>
      </c>
      <c r="AJ1327">
        <v>88.302486044665798</v>
      </c>
      <c r="AK1327">
        <v>84.956648428521106</v>
      </c>
      <c r="AL1327">
        <v>93.816107480602597</v>
      </c>
      <c r="AM1327">
        <v>90.571430957396004</v>
      </c>
      <c r="AN1327">
        <v>1.00000002587322</v>
      </c>
    </row>
    <row r="1328" spans="1:40" x14ac:dyDescent="0.25">
      <c r="A1328" t="str">
        <f>"20190303153802617"</f>
        <v>20190303153802617</v>
      </c>
      <c r="B1328" t="str">
        <f>"1551598682609939"</f>
        <v>1551598682609939</v>
      </c>
      <c r="C1328" t="s">
        <v>40</v>
      </c>
      <c r="D1328">
        <v>4.4461649999999997</v>
      </c>
      <c r="E1328">
        <v>0.51524989999999904</v>
      </c>
      <c r="F1328" t="s">
        <v>41</v>
      </c>
      <c r="G1328">
        <v>-158.19499999999999</v>
      </c>
      <c r="H1328">
        <v>0.40485670000000001</v>
      </c>
      <c r="I1328">
        <v>365.7833</v>
      </c>
      <c r="J1328">
        <v>-242.9753</v>
      </c>
      <c r="K1328">
        <v>1.1217109999999999</v>
      </c>
      <c r="L1328">
        <v>367.31610000000001</v>
      </c>
      <c r="M1328">
        <v>0.9997298</v>
      </c>
      <c r="N1328">
        <v>-1.987009E-2</v>
      </c>
      <c r="O1328">
        <v>1.207193E-2</v>
      </c>
      <c r="P1328">
        <v>0.99602970000000002</v>
      </c>
      <c r="Q1328">
        <v>-8.6320549999999996E-2</v>
      </c>
      <c r="R1328">
        <v>2.177115E-2</v>
      </c>
      <c r="S1328">
        <v>3.0109409999999999</v>
      </c>
      <c r="T1328">
        <v>-2.5405879999999999E-2</v>
      </c>
      <c r="U1328">
        <v>-5.4260250000000003E-2</v>
      </c>
      <c r="V1328">
        <v>-9.746055E-3</v>
      </c>
      <c r="W1328">
        <v>-6.6508139999999993E-2</v>
      </c>
      <c r="X1328">
        <v>0.99773829999999997</v>
      </c>
      <c r="Y1328">
        <v>3.008477E-2</v>
      </c>
      <c r="Z1328">
        <v>-2.8785189999999997E-4</v>
      </c>
      <c r="AA1328">
        <v>0.99954730000000003</v>
      </c>
      <c r="AB1328">
        <v>32</v>
      </c>
      <c r="AC1328">
        <v>84.780299999999997</v>
      </c>
      <c r="AD1328">
        <v>-0.71685430000000006</v>
      </c>
      <c r="AE1328">
        <v>-1.5327999999999999</v>
      </c>
      <c r="AF1328">
        <v>2.5561694046740699</v>
      </c>
      <c r="AG1328">
        <v>-0.71685430000000006</v>
      </c>
      <c r="AH1328">
        <v>84.749555113297504</v>
      </c>
      <c r="AI1328">
        <v>90.484404646665595</v>
      </c>
      <c r="AJ1328">
        <v>88.2724000009203</v>
      </c>
      <c r="AK1328">
        <v>84.791125561668693</v>
      </c>
      <c r="AL1328">
        <v>93.813450552753395</v>
      </c>
      <c r="AM1328">
        <v>90.559655832536905</v>
      </c>
      <c r="AN1328">
        <v>1.0000000167806</v>
      </c>
    </row>
    <row r="1329" spans="1:40" x14ac:dyDescent="0.25">
      <c r="A1329" t="str">
        <f>"20190303153802628"</f>
        <v>20190303153802628</v>
      </c>
      <c r="B1329" t="str">
        <f>"1551598682619699"</f>
        <v>1551598682619699</v>
      </c>
      <c r="C1329" t="s">
        <v>40</v>
      </c>
      <c r="D1329">
        <v>4.4618219999999997</v>
      </c>
      <c r="E1329">
        <v>0.51522780000000001</v>
      </c>
      <c r="F1329" t="s">
        <v>41</v>
      </c>
      <c r="G1329">
        <v>-158.19499999999999</v>
      </c>
      <c r="H1329">
        <v>0.37185240000000003</v>
      </c>
      <c r="I1329">
        <v>365.77789999999999</v>
      </c>
      <c r="J1329">
        <v>-242.81950000000001</v>
      </c>
      <c r="K1329">
        <v>1.1217079999999999</v>
      </c>
      <c r="L1329">
        <v>367.31799999999998</v>
      </c>
      <c r="M1329">
        <v>0.99972740000000004</v>
      </c>
      <c r="N1329">
        <v>-1.999399E-2</v>
      </c>
      <c r="O1329">
        <v>1.207169E-2</v>
      </c>
      <c r="P1329">
        <v>0.99602619999999997</v>
      </c>
      <c r="Q1329">
        <v>-8.6475280000000002E-2</v>
      </c>
      <c r="R1329">
        <v>2.1315560000000001E-2</v>
      </c>
      <c r="S1329">
        <v>3.010834</v>
      </c>
      <c r="T1329">
        <v>-2.6626830000000001E-2</v>
      </c>
      <c r="U1329">
        <v>-5.4626460000000002E-2</v>
      </c>
      <c r="V1329">
        <v>-9.2907319999999995E-3</v>
      </c>
      <c r="W1329">
        <v>-6.6539390000000004E-2</v>
      </c>
      <c r="X1329">
        <v>0.99774059999999998</v>
      </c>
      <c r="Y1329">
        <v>3.0206509999999999E-2</v>
      </c>
      <c r="Z1329">
        <v>-3.009822E-4</v>
      </c>
      <c r="AA1329">
        <v>0.99954359999999998</v>
      </c>
      <c r="AB1329">
        <v>31</v>
      </c>
      <c r="AC1329">
        <v>84.624499999999998</v>
      </c>
      <c r="AD1329">
        <v>-0.74985559999999896</v>
      </c>
      <c r="AE1329">
        <v>-1.54010000000005</v>
      </c>
      <c r="AF1329">
        <v>2.5615514737614502</v>
      </c>
      <c r="AG1329">
        <v>-0.74985559999999896</v>
      </c>
      <c r="AH1329">
        <v>84.593096218628105</v>
      </c>
      <c r="AI1329">
        <v>90.507638987012797</v>
      </c>
      <c r="AJ1329">
        <v>88.265564666841101</v>
      </c>
      <c r="AK1329">
        <v>84.635192191119103</v>
      </c>
      <c r="AL1329">
        <v>93.8152448690808</v>
      </c>
      <c r="AM1329">
        <v>90.533509759286304</v>
      </c>
      <c r="AN1329">
        <v>1.00000005650551</v>
      </c>
    </row>
    <row r="1330" spans="1:40" x14ac:dyDescent="0.25">
      <c r="A1330" t="str">
        <f>"20190303153802640"</f>
        <v>20190303153802640</v>
      </c>
      <c r="B1330" t="str">
        <f>"1551598682630436"</f>
        <v>1551598682630436</v>
      </c>
      <c r="C1330" t="s">
        <v>40</v>
      </c>
      <c r="D1330">
        <v>4.4265910000000002</v>
      </c>
      <c r="E1330">
        <v>0.51520290000000002</v>
      </c>
      <c r="F1330" t="s">
        <v>41</v>
      </c>
      <c r="G1330">
        <v>-158.19499999999999</v>
      </c>
      <c r="H1330">
        <v>0.3427231</v>
      </c>
      <c r="I1330">
        <v>365.75170000000003</v>
      </c>
      <c r="J1330">
        <v>-242.66399999999999</v>
      </c>
      <c r="K1330">
        <v>1.1217060000000001</v>
      </c>
      <c r="L1330">
        <v>367.31990000000002</v>
      </c>
      <c r="M1330">
        <v>0.99972519999999998</v>
      </c>
      <c r="N1330">
        <v>-2.009909E-2</v>
      </c>
      <c r="O1330">
        <v>1.207158E-2</v>
      </c>
      <c r="P1330">
        <v>0.99600259999999996</v>
      </c>
      <c r="Q1330">
        <v>-8.6834149999999999E-2</v>
      </c>
      <c r="R1330">
        <v>2.0941020000000001E-2</v>
      </c>
      <c r="S1330">
        <v>3.0107569999999999</v>
      </c>
      <c r="T1330">
        <v>-2.7711510000000002E-2</v>
      </c>
      <c r="U1330">
        <v>-5.57251E-2</v>
      </c>
      <c r="V1330">
        <v>-8.91663E-3</v>
      </c>
      <c r="W1330">
        <v>-6.6793900000000003E-2</v>
      </c>
      <c r="X1330">
        <v>0.99772700000000003</v>
      </c>
      <c r="Y1330">
        <v>3.0571259999999999E-2</v>
      </c>
      <c r="Z1330">
        <v>-3.1644460000000002E-4</v>
      </c>
      <c r="AA1330">
        <v>0.99953250000000005</v>
      </c>
      <c r="AB1330">
        <v>31</v>
      </c>
      <c r="AC1330">
        <v>84.468999999999994</v>
      </c>
      <c r="AD1330">
        <v>-0.77898289999999903</v>
      </c>
      <c r="AE1330">
        <v>-1.56819999999999</v>
      </c>
      <c r="AF1330">
        <v>2.5877459093185702</v>
      </c>
      <c r="AG1330">
        <v>-0.77898289999999903</v>
      </c>
      <c r="AH1330">
        <v>84.436729622747194</v>
      </c>
      <c r="AI1330">
        <v>90.528327216769895</v>
      </c>
      <c r="AJ1330">
        <v>88.244596563134394</v>
      </c>
      <c r="AK1330">
        <v>84.479965392006406</v>
      </c>
      <c r="AL1330">
        <v>93.829859759738696</v>
      </c>
      <c r="AM1330">
        <v>90.512035522582295</v>
      </c>
      <c r="AN1330">
        <v>1.00000004894838</v>
      </c>
    </row>
    <row r="1331" spans="1:40" x14ac:dyDescent="0.25">
      <c r="A1331" t="str">
        <f>"20190303153802652"</f>
        <v>20190303153802652</v>
      </c>
      <c r="B1331" t="str">
        <f>"1551598682640196"</f>
        <v>1551598682640196</v>
      </c>
      <c r="C1331" t="s">
        <v>40</v>
      </c>
      <c r="D1331">
        <v>4.4506170000000003</v>
      </c>
      <c r="E1331">
        <v>0.51518969999999997</v>
      </c>
      <c r="F1331" t="s">
        <v>41</v>
      </c>
      <c r="G1331">
        <v>-158.19499999999999</v>
      </c>
      <c r="H1331">
        <v>0.2947166</v>
      </c>
      <c r="I1331">
        <v>365.72559999999999</v>
      </c>
      <c r="J1331">
        <v>-242.49350000000001</v>
      </c>
      <c r="K1331">
        <v>1.1217029999999999</v>
      </c>
      <c r="L1331">
        <v>367.32190000000003</v>
      </c>
      <c r="M1331">
        <v>0.99972300000000003</v>
      </c>
      <c r="N1331">
        <v>-2.020945E-2</v>
      </c>
      <c r="O1331">
        <v>1.2071459999999999E-2</v>
      </c>
      <c r="P1331">
        <v>0.99595990000000001</v>
      </c>
      <c r="Q1331">
        <v>-8.7458629999999996E-2</v>
      </c>
      <c r="R1331">
        <v>2.0370119999999999E-2</v>
      </c>
      <c r="S1331">
        <v>3.0106660000000001</v>
      </c>
      <c r="T1331">
        <v>-2.947259E-2</v>
      </c>
      <c r="U1331">
        <v>-5.6823730000000003E-2</v>
      </c>
      <c r="V1331">
        <v>-8.3459119999999901E-3</v>
      </c>
      <c r="W1331">
        <v>-6.7309149999999998E-2</v>
      </c>
      <c r="X1331">
        <v>0.99769719999999995</v>
      </c>
      <c r="Y1331">
        <v>3.093599E-2</v>
      </c>
      <c r="Z1331">
        <v>-3.382832E-4</v>
      </c>
      <c r="AA1331">
        <v>0.99952129999999995</v>
      </c>
      <c r="AB1331">
        <v>31</v>
      </c>
      <c r="AC1331">
        <v>84.298500000000004</v>
      </c>
      <c r="AD1331">
        <v>-0.82698640000000001</v>
      </c>
      <c r="AE1331">
        <v>-1.59630000000004</v>
      </c>
      <c r="AF1331">
        <v>2.6137459135496202</v>
      </c>
      <c r="AG1331">
        <v>-0.82698640000000001</v>
      </c>
      <c r="AH1331">
        <v>84.264974886306504</v>
      </c>
      <c r="AI1331">
        <v>90.562019199561604</v>
      </c>
      <c r="AJ1331">
        <v>88.223359003351604</v>
      </c>
      <c r="AK1331">
        <v>84.309557980078694</v>
      </c>
      <c r="AL1331">
        <v>93.8594484203429</v>
      </c>
      <c r="AM1331">
        <v>90.479278061914599</v>
      </c>
      <c r="AN1331">
        <v>0.99999993940433496</v>
      </c>
    </row>
    <row r="1332" spans="1:40" x14ac:dyDescent="0.25">
      <c r="A1332" t="str">
        <f>"20190303153802666"</f>
        <v>20190303153802666</v>
      </c>
      <c r="B1332" t="str">
        <f>"1551598682659715"</f>
        <v>1551598682659715</v>
      </c>
      <c r="C1332" t="s">
        <v>40</v>
      </c>
      <c r="D1332">
        <v>4.4635939999999996</v>
      </c>
      <c r="E1332">
        <v>0.51514209999999905</v>
      </c>
      <c r="F1332" t="s">
        <v>41</v>
      </c>
      <c r="G1332">
        <v>-158.19499999999999</v>
      </c>
      <c r="H1332">
        <v>0.2116468</v>
      </c>
      <c r="I1332">
        <v>365.68639999999999</v>
      </c>
      <c r="J1332">
        <v>-242.29820000000001</v>
      </c>
      <c r="K1332">
        <v>1.1216969999999999</v>
      </c>
      <c r="L1332">
        <v>367.32429999999999</v>
      </c>
      <c r="M1332">
        <v>0.99972059999999996</v>
      </c>
      <c r="N1332">
        <v>-2.032111E-2</v>
      </c>
      <c r="O1332">
        <v>1.207133E-2</v>
      </c>
      <c r="P1332">
        <v>0.99593259999999995</v>
      </c>
      <c r="Q1332">
        <v>-8.7884110000000001E-2</v>
      </c>
      <c r="R1332">
        <v>1.9862020000000001E-2</v>
      </c>
      <c r="S1332">
        <v>3.010529</v>
      </c>
      <c r="T1332">
        <v>-3.2497409999999997E-2</v>
      </c>
      <c r="U1332">
        <v>-5.841064E-2</v>
      </c>
      <c r="V1332">
        <v>-7.8381289999999992E-3</v>
      </c>
      <c r="W1332">
        <v>-6.7623820000000001E-2</v>
      </c>
      <c r="X1332">
        <v>0.99768009999999996</v>
      </c>
      <c r="Y1332">
        <v>3.1462780000000003E-2</v>
      </c>
      <c r="Z1332">
        <v>-3.745439E-4</v>
      </c>
      <c r="AA1332">
        <v>0.99950490000000003</v>
      </c>
      <c r="AB1332">
        <v>31</v>
      </c>
      <c r="AC1332">
        <v>84.103200000000001</v>
      </c>
      <c r="AD1332">
        <v>-0.91005020000000003</v>
      </c>
      <c r="AE1332">
        <v>-1.6378999999999999</v>
      </c>
      <c r="AF1332">
        <v>2.6529173044544598</v>
      </c>
      <c r="AG1332">
        <v>-0.91005020000000003</v>
      </c>
      <c r="AH1332">
        <v>84.067454490107593</v>
      </c>
      <c r="AI1332">
        <v>90.619907656579002</v>
      </c>
      <c r="AJ1332">
        <v>88.192516479327793</v>
      </c>
      <c r="AK1332">
        <v>84.114226299937599</v>
      </c>
      <c r="AL1332">
        <v>93.877518623372694</v>
      </c>
      <c r="AM1332">
        <v>90.450126720640696</v>
      </c>
      <c r="AN1332">
        <v>0.99999999961681096</v>
      </c>
    </row>
    <row r="1333" spans="1:40" x14ac:dyDescent="0.25">
      <c r="A1333" t="str">
        <f>"20190303153802681"</f>
        <v>20190303153802681</v>
      </c>
      <c r="B1333" t="str">
        <f>"1551598682670452"</f>
        <v>1551598682670452</v>
      </c>
      <c r="C1333" t="s">
        <v>40</v>
      </c>
      <c r="D1333">
        <v>4.5167169999999999</v>
      </c>
      <c r="E1333">
        <v>0.51512400000000003</v>
      </c>
      <c r="F1333" t="s">
        <v>41</v>
      </c>
      <c r="G1333">
        <v>-158.19499999999999</v>
      </c>
      <c r="H1333">
        <v>0.1451094</v>
      </c>
      <c r="I1333">
        <v>365.65410000000003</v>
      </c>
      <c r="J1333">
        <v>-242.10249999999999</v>
      </c>
      <c r="K1333">
        <v>1.121691</v>
      </c>
      <c r="L1333">
        <v>367.32659999999998</v>
      </c>
      <c r="M1333">
        <v>0.99971869999999996</v>
      </c>
      <c r="N1333">
        <v>-2.041979E-2</v>
      </c>
      <c r="O1333">
        <v>1.2070839999999999E-2</v>
      </c>
      <c r="P1333">
        <v>0.99586779999999997</v>
      </c>
      <c r="Q1333">
        <v>-8.8693720000000004E-2</v>
      </c>
      <c r="R1333">
        <v>1.9517179999999999E-2</v>
      </c>
      <c r="S1333">
        <v>3.0103759999999999</v>
      </c>
      <c r="T1333">
        <v>-3.495264E-2</v>
      </c>
      <c r="U1333">
        <v>-5.9783940000000001E-2</v>
      </c>
      <c r="V1333">
        <v>-7.4952380000000004E-3</v>
      </c>
      <c r="W1333">
        <v>-6.83362E-2</v>
      </c>
      <c r="X1333">
        <v>0.99763420000000003</v>
      </c>
      <c r="Y1333">
        <v>3.1918509999999997E-2</v>
      </c>
      <c r="Z1333">
        <v>-4.049004E-4</v>
      </c>
      <c r="AA1333">
        <v>0.9994904</v>
      </c>
      <c r="AB1333">
        <v>31</v>
      </c>
      <c r="AC1333">
        <v>83.907499999999999</v>
      </c>
      <c r="AD1333">
        <v>-0.97658159999999905</v>
      </c>
      <c r="AE1333">
        <v>-1.6724999999999499</v>
      </c>
      <c r="AF1333">
        <v>2.6850596772080801</v>
      </c>
      <c r="AG1333">
        <v>-0.97658159999999905</v>
      </c>
      <c r="AH1333">
        <v>83.869835048939606</v>
      </c>
      <c r="AI1333">
        <v>90.666781169844796</v>
      </c>
      <c r="AJ1333">
        <v>88.166324520553303</v>
      </c>
      <c r="AK1333">
        <v>83.918487165987202</v>
      </c>
      <c r="AL1333">
        <v>93.918429607068902</v>
      </c>
      <c r="AM1333">
        <v>90.430455796375</v>
      </c>
      <c r="AN1333">
        <v>1.0000000059163701</v>
      </c>
    </row>
    <row r="1334" spans="1:40" x14ac:dyDescent="0.25">
      <c r="A1334" t="str">
        <f>"20190303153802695"</f>
        <v>20190303153802695</v>
      </c>
      <c r="B1334" t="str">
        <f>"1551598682689972"</f>
        <v>1551598682689972</v>
      </c>
      <c r="C1334" t="s">
        <v>40</v>
      </c>
      <c r="D1334">
        <v>4.5037560000000001</v>
      </c>
      <c r="E1334">
        <v>0.51506850000000004</v>
      </c>
      <c r="F1334" t="s">
        <v>41</v>
      </c>
      <c r="G1334">
        <v>-158.19499999999999</v>
      </c>
      <c r="H1334">
        <v>5.5336709999999997E-2</v>
      </c>
      <c r="I1334">
        <v>365.63889999999998</v>
      </c>
      <c r="J1334">
        <v>-241.8954</v>
      </c>
      <c r="K1334">
        <v>1.1216870000000001</v>
      </c>
      <c r="L1334">
        <v>367.32909999999998</v>
      </c>
      <c r="M1334">
        <v>0.99971670000000001</v>
      </c>
      <c r="N1334">
        <v>-2.051414E-2</v>
      </c>
      <c r="O1334">
        <v>1.207016E-2</v>
      </c>
      <c r="P1334">
        <v>0.99581350000000002</v>
      </c>
      <c r="Q1334">
        <v>-8.9524399999999907E-2</v>
      </c>
      <c r="R1334">
        <v>1.846511E-2</v>
      </c>
      <c r="S1334">
        <v>3.010208</v>
      </c>
      <c r="T1334">
        <v>-3.8252590000000003E-2</v>
      </c>
      <c r="U1334">
        <v>-6.0546879999999997E-2</v>
      </c>
      <c r="V1334">
        <v>-6.4445419999999897E-3</v>
      </c>
      <c r="W1334">
        <v>-6.9073949999999995E-2</v>
      </c>
      <c r="X1334">
        <v>0.99759070000000005</v>
      </c>
      <c r="Y1334">
        <v>3.2171419999999999E-2</v>
      </c>
      <c r="Z1334">
        <v>-4.402198E-4</v>
      </c>
      <c r="AA1334">
        <v>0.99948230000000005</v>
      </c>
      <c r="AB1334">
        <v>31</v>
      </c>
      <c r="AC1334">
        <v>83.700400000000002</v>
      </c>
      <c r="AD1334">
        <v>-1.0663502899999999</v>
      </c>
      <c r="AE1334">
        <v>-1.6901999999999999</v>
      </c>
      <c r="AF1334">
        <v>2.7001286085912599</v>
      </c>
      <c r="AG1334">
        <v>-1.0663502899999999</v>
      </c>
      <c r="AH1334">
        <v>83.660321474152397</v>
      </c>
      <c r="AI1334">
        <v>90.729883294568594</v>
      </c>
      <c r="AJ1334">
        <v>88.151426067299695</v>
      </c>
      <c r="AK1334">
        <v>83.710675463780802</v>
      </c>
      <c r="AL1334">
        <v>93.960799816793397</v>
      </c>
      <c r="AM1334">
        <v>90.370131679313602</v>
      </c>
      <c r="AN1334">
        <v>0.99999997370834004</v>
      </c>
    </row>
    <row r="1335" spans="1:40" x14ac:dyDescent="0.25">
      <c r="A1335" t="str">
        <f>"20190303153802710"</f>
        <v>20190303153802710</v>
      </c>
      <c r="B1335" t="str">
        <f>"1551598682699731"</f>
        <v>1551598682699731</v>
      </c>
      <c r="C1335" t="s">
        <v>40</v>
      </c>
      <c r="D1335">
        <v>4.4962780000000002</v>
      </c>
      <c r="E1335">
        <v>0.51505859999999903</v>
      </c>
      <c r="F1335" t="s">
        <v>43</v>
      </c>
      <c r="G1335">
        <v>-157.173</v>
      </c>
      <c r="H1335">
        <v>-0.05</v>
      </c>
      <c r="I1335">
        <v>365.54079999999999</v>
      </c>
      <c r="J1335">
        <v>-241.69380000000001</v>
      </c>
      <c r="K1335">
        <v>1.121685</v>
      </c>
      <c r="L1335">
        <v>367.33159999999998</v>
      </c>
      <c r="M1335">
        <v>0.99971509999999997</v>
      </c>
      <c r="N1335">
        <v>-2.0596360000000001E-2</v>
      </c>
      <c r="O1335">
        <v>1.206845E-2</v>
      </c>
      <c r="P1335">
        <v>0.99580089999999999</v>
      </c>
      <c r="Q1335">
        <v>-8.9762300000000003E-2</v>
      </c>
      <c r="R1335">
        <v>1.7985770000000002E-2</v>
      </c>
      <c r="S1335">
        <v>3.0100560000000001</v>
      </c>
      <c r="T1335">
        <v>-4.1628239999999997E-2</v>
      </c>
      <c r="U1335">
        <v>-6.35376E-2</v>
      </c>
      <c r="V1335">
        <v>-5.9668840000000004E-3</v>
      </c>
      <c r="W1335">
        <v>-6.9230150000000004E-2</v>
      </c>
      <c r="X1335">
        <v>0.99758290000000005</v>
      </c>
      <c r="Y1335">
        <v>3.3162369999999997E-2</v>
      </c>
      <c r="Z1335">
        <v>-4.8921550000000005E-4</v>
      </c>
      <c r="AA1335">
        <v>0.99944980000000005</v>
      </c>
      <c r="AB1335">
        <v>31</v>
      </c>
      <c r="AC1335">
        <v>84.520799999999994</v>
      </c>
      <c r="AD1335">
        <v>-1.1716850000000001</v>
      </c>
      <c r="AE1335">
        <v>-1.79079999999999</v>
      </c>
      <c r="AF1335">
        <v>2.81038108883086</v>
      </c>
      <c r="AG1335">
        <v>-1.1716850000000001</v>
      </c>
      <c r="AH1335">
        <v>84.476798322705093</v>
      </c>
      <c r="AI1335">
        <v>90.794196635194893</v>
      </c>
      <c r="AJ1335">
        <v>88.094582027898298</v>
      </c>
      <c r="AK1335">
        <v>84.531654085665807</v>
      </c>
      <c r="AL1335">
        <v>93.969770670056505</v>
      </c>
      <c r="AM1335">
        <v>90.342701536965393</v>
      </c>
      <c r="AN1335">
        <v>1.00000002987305</v>
      </c>
    </row>
    <row r="1336" spans="1:40" x14ac:dyDescent="0.25">
      <c r="A1336" t="str">
        <f>"20190303153802722"</f>
        <v>20190303153802722</v>
      </c>
      <c r="B1336" t="str">
        <f>"1551598682710468"</f>
        <v>1551598682710468</v>
      </c>
      <c r="C1336" t="s">
        <v>40</v>
      </c>
      <c r="D1336">
        <v>4.5067110000000001</v>
      </c>
      <c r="E1336">
        <v>0.51505290000000004</v>
      </c>
      <c r="F1336" t="s">
        <v>43</v>
      </c>
      <c r="G1336">
        <v>-160.30869999999999</v>
      </c>
      <c r="H1336">
        <v>-0.05</v>
      </c>
      <c r="I1336">
        <v>365.57229999999998</v>
      </c>
      <c r="J1336">
        <v>-241.5266</v>
      </c>
      <c r="K1336">
        <v>1.121686</v>
      </c>
      <c r="L1336">
        <v>367.33359999999999</v>
      </c>
      <c r="M1336">
        <v>0.99971399999999999</v>
      </c>
      <c r="N1336">
        <v>-2.0654700000000002E-2</v>
      </c>
      <c r="O1336">
        <v>1.2064099999999999E-2</v>
      </c>
      <c r="P1336">
        <v>0.99578149999999999</v>
      </c>
      <c r="Q1336">
        <v>-9.0058189999999996E-2</v>
      </c>
      <c r="R1336">
        <v>1.757798E-2</v>
      </c>
      <c r="S1336">
        <v>3.0099179999999999</v>
      </c>
      <c r="T1336">
        <v>-4.3333169999999997E-2</v>
      </c>
      <c r="U1336">
        <v>-6.5063480000000007E-2</v>
      </c>
      <c r="V1336">
        <v>-5.5643630000000001E-3</v>
      </c>
      <c r="W1336">
        <v>-6.9468269999999999E-2</v>
      </c>
      <c r="X1336">
        <v>0.99756869999999997</v>
      </c>
      <c r="Y1336">
        <v>3.366487E-2</v>
      </c>
      <c r="Z1336">
        <v>-5.1456039999999998E-4</v>
      </c>
      <c r="AA1336">
        <v>0.99943300000000002</v>
      </c>
      <c r="AB1336">
        <v>31</v>
      </c>
      <c r="AC1336">
        <v>81.2179</v>
      </c>
      <c r="AD1336">
        <v>-1.171686</v>
      </c>
      <c r="AE1336">
        <v>-1.7613000000000001</v>
      </c>
      <c r="AF1336">
        <v>2.74063146989372</v>
      </c>
      <c r="AG1336">
        <v>-1.171686</v>
      </c>
      <c r="AH1336">
        <v>81.173847744222002</v>
      </c>
      <c r="AI1336">
        <v>90.826494998238601</v>
      </c>
      <c r="AJ1336">
        <v>88.066286170098493</v>
      </c>
      <c r="AK1336">
        <v>81.228550809050603</v>
      </c>
      <c r="AL1336">
        <v>93.9834467588705</v>
      </c>
      <c r="AM1336">
        <v>90.319588224038398</v>
      </c>
      <c r="AN1336">
        <v>1.0000000569460299</v>
      </c>
    </row>
    <row r="1337" spans="1:40" x14ac:dyDescent="0.25">
      <c r="A1337" t="str">
        <f>"20190303153802734"</f>
        <v>20190303153802734</v>
      </c>
      <c r="B1337" t="str">
        <f>"1551598682729988"</f>
        <v>1551598682729988</v>
      </c>
      <c r="C1337" t="s">
        <v>40</v>
      </c>
      <c r="D1337">
        <v>4.6633509999999996</v>
      </c>
      <c r="E1337">
        <v>0.51515770000000005</v>
      </c>
      <c r="F1337" t="s">
        <v>43</v>
      </c>
      <c r="G1337">
        <v>-162.72989999999999</v>
      </c>
      <c r="H1337">
        <v>-0.05</v>
      </c>
      <c r="I1337">
        <v>365.60219999999998</v>
      </c>
      <c r="J1337">
        <v>-241.3647</v>
      </c>
      <c r="K1337">
        <v>1.1216839999999999</v>
      </c>
      <c r="L1337">
        <v>367.33550000000002</v>
      </c>
      <c r="M1337">
        <v>0.99971290000000002</v>
      </c>
      <c r="N1337">
        <v>-2.0707509999999998E-2</v>
      </c>
      <c r="O1337">
        <v>1.205764E-2</v>
      </c>
      <c r="P1337">
        <v>0.99578889999999998</v>
      </c>
      <c r="Q1337">
        <v>-9.0045169999999994E-2</v>
      </c>
      <c r="R1337">
        <v>1.7218730000000002E-2</v>
      </c>
      <c r="S1337">
        <v>3.009827</v>
      </c>
      <c r="T1337">
        <v>-4.4755339999999998E-2</v>
      </c>
      <c r="U1337">
        <v>-6.6131590000000004E-2</v>
      </c>
      <c r="V1337">
        <v>-5.2119089999999998E-3</v>
      </c>
      <c r="W1337">
        <v>-6.9402489999999997E-2</v>
      </c>
      <c r="X1337">
        <v>0.99757510000000005</v>
      </c>
      <c r="Y1337">
        <v>3.4013099999999998E-2</v>
      </c>
      <c r="Z1337">
        <v>-5.3471180000000005E-4</v>
      </c>
      <c r="AA1337">
        <v>0.99942120000000001</v>
      </c>
      <c r="AB1337">
        <v>31</v>
      </c>
      <c r="AC1337">
        <v>78.634799999999998</v>
      </c>
      <c r="AD1337">
        <v>-1.1716839999999999</v>
      </c>
      <c r="AE1337">
        <v>-1.73330000000004</v>
      </c>
      <c r="AF1337">
        <v>2.68093243723541</v>
      </c>
      <c r="AG1337">
        <v>-1.1716839999999999</v>
      </c>
      <c r="AH1337">
        <v>78.5907369101824</v>
      </c>
      <c r="AI1337">
        <v>90.853644593935897</v>
      </c>
      <c r="AJ1337">
        <v>88.046251005487406</v>
      </c>
      <c r="AK1337">
        <v>78.6451789381548</v>
      </c>
      <c r="AL1337">
        <v>93.979669051373406</v>
      </c>
      <c r="AM1337">
        <v>90.299343550056307</v>
      </c>
      <c r="AN1337">
        <v>0.99999997487681602</v>
      </c>
    </row>
    <row r="1338" spans="1:40" x14ac:dyDescent="0.25">
      <c r="A1338" t="str">
        <f>"20190303153802746"</f>
        <v>20190303153802746</v>
      </c>
      <c r="B1338" t="str">
        <f>"1551598682739747"</f>
        <v>1551598682739747</v>
      </c>
      <c r="C1338" t="s">
        <v>40</v>
      </c>
      <c r="D1338">
        <v>4.5874769999999998</v>
      </c>
      <c r="E1338">
        <v>0.53246689999999997</v>
      </c>
      <c r="F1338" t="s">
        <v>43</v>
      </c>
      <c r="G1338">
        <v>-162.3657</v>
      </c>
      <c r="H1338">
        <v>-0.05</v>
      </c>
      <c r="I1338">
        <v>365.54849999999999</v>
      </c>
      <c r="J1338">
        <v>-241.19669999999999</v>
      </c>
      <c r="K1338">
        <v>1.121685</v>
      </c>
      <c r="L1338">
        <v>367.33760000000001</v>
      </c>
      <c r="M1338">
        <v>0.99971200000000005</v>
      </c>
      <c r="N1338">
        <v>-2.075716E-2</v>
      </c>
      <c r="O1338">
        <v>1.204711E-2</v>
      </c>
      <c r="P1338">
        <v>0.99580049999999998</v>
      </c>
      <c r="Q1338">
        <v>-8.9960410000000005E-2</v>
      </c>
      <c r="R1338">
        <v>1.6991920000000001E-2</v>
      </c>
      <c r="S1338">
        <v>3.009827</v>
      </c>
      <c r="T1338">
        <v>-4.4640659999999999E-2</v>
      </c>
      <c r="U1338">
        <v>-6.8084720000000001E-2</v>
      </c>
      <c r="V1338">
        <v>-4.9959970000000003E-3</v>
      </c>
      <c r="W1338">
        <v>-6.9267999999999996E-2</v>
      </c>
      <c r="X1338">
        <v>0.99758559999999996</v>
      </c>
      <c r="Y1338">
        <v>3.465066E-2</v>
      </c>
      <c r="Z1338">
        <v>-5.4526100000000001E-4</v>
      </c>
      <c r="AA1338">
        <v>0.99939940000000005</v>
      </c>
      <c r="AB1338">
        <v>31</v>
      </c>
      <c r="AC1338">
        <v>78.830999999999904</v>
      </c>
      <c r="AD1338">
        <v>-1.1716850000000001</v>
      </c>
      <c r="AE1338">
        <v>-1.7891000000000099</v>
      </c>
      <c r="AF1338">
        <v>2.7382558462615201</v>
      </c>
      <c r="AG1338">
        <v>-1.1716850000000001</v>
      </c>
      <c r="AH1338">
        <v>78.786322495517595</v>
      </c>
      <c r="AI1338">
        <v>90.851507650740203</v>
      </c>
      <c r="AJ1338">
        <v>88.009459352737906</v>
      </c>
      <c r="AK1338">
        <v>78.842599546098896</v>
      </c>
      <c r="AL1338">
        <v>93.9719445628796</v>
      </c>
      <c r="AM1338">
        <v>90.286939937243602</v>
      </c>
      <c r="AN1338">
        <v>1.00000002256869</v>
      </c>
    </row>
    <row r="1339" spans="1:40" x14ac:dyDescent="0.25">
      <c r="A1339" t="str">
        <f>"20190303153802758"</f>
        <v>20190303153802758</v>
      </c>
      <c r="B1339" t="str">
        <f>"1551598682750485"</f>
        <v>1551598682750485</v>
      </c>
      <c r="C1339" t="s">
        <v>40</v>
      </c>
      <c r="D1339">
        <v>4.6130789999999999</v>
      </c>
      <c r="E1339">
        <v>0.53593219999999997</v>
      </c>
      <c r="F1339" t="s">
        <v>45</v>
      </c>
      <c r="G1339">
        <v>-203.7636</v>
      </c>
      <c r="H1339" s="1">
        <v>-3.409473E-6</v>
      </c>
      <c r="I1339">
        <v>364.76010000000002</v>
      </c>
      <c r="J1339">
        <v>-241.03469999999999</v>
      </c>
      <c r="K1339">
        <v>1.1216839999999999</v>
      </c>
      <c r="L1339">
        <v>367.33949999999999</v>
      </c>
      <c r="M1339">
        <v>0.99971149999999998</v>
      </c>
      <c r="N1339">
        <v>-2.0799410000000001E-2</v>
      </c>
      <c r="O1339">
        <v>1.202976E-2</v>
      </c>
      <c r="P1339">
        <v>0.99580290000000005</v>
      </c>
      <c r="Q1339">
        <v>-8.9987139999999993E-2</v>
      </c>
      <c r="R1339">
        <v>1.6703659999999999E-2</v>
      </c>
      <c r="S1339">
        <v>3.0080110000000002</v>
      </c>
      <c r="T1339">
        <v>-9.0135460000000001E-2</v>
      </c>
      <c r="U1339">
        <v>-0.2071228</v>
      </c>
      <c r="V1339">
        <v>-4.7258120000000002E-3</v>
      </c>
      <c r="W1339">
        <v>-6.9252530000000007E-2</v>
      </c>
      <c r="X1339">
        <v>0.99758800000000003</v>
      </c>
      <c r="Y1339">
        <v>8.0631729999999999E-2</v>
      </c>
      <c r="Z1339">
        <v>-2.1564119999999999E-3</v>
      </c>
      <c r="AA1339">
        <v>0.99674169999999995</v>
      </c>
      <c r="AB1339">
        <v>31</v>
      </c>
      <c r="AC1339">
        <v>37.271099999999898</v>
      </c>
      <c r="AD1339">
        <v>-1.1216874094730001</v>
      </c>
      <c r="AE1339">
        <v>-2.5793999999999602</v>
      </c>
      <c r="AF1339">
        <v>3.0249458565562901</v>
      </c>
      <c r="AG1339">
        <v>-1.1216874094730001</v>
      </c>
      <c r="AH1339">
        <v>37.203829576944898</v>
      </c>
      <c r="AI1339">
        <v>91.721255503135694</v>
      </c>
      <c r="AJ1339">
        <v>85.351655598613306</v>
      </c>
      <c r="AK1339">
        <v>37.343452107029698</v>
      </c>
      <c r="AL1339">
        <v>93.971056026148403</v>
      </c>
      <c r="AM1339">
        <v>90.271421726121503</v>
      </c>
      <c r="AN1339">
        <v>1.00000003197722</v>
      </c>
    </row>
    <row r="1340" spans="1:40" x14ac:dyDescent="0.25">
      <c r="A1340" t="str">
        <f>"20190303153802770"</f>
        <v>20190303153802770</v>
      </c>
      <c r="B1340" t="str">
        <f>"1551598682760244"</f>
        <v>1551598682760244</v>
      </c>
      <c r="C1340" t="s">
        <v>40</v>
      </c>
      <c r="D1340">
        <v>4.6092589999999998</v>
      </c>
      <c r="E1340">
        <v>0.53786259999999997</v>
      </c>
      <c r="F1340" t="s">
        <v>45</v>
      </c>
      <c r="G1340">
        <v>-203.3646</v>
      </c>
      <c r="H1340" s="1">
        <v>-3.2907889999999998E-6</v>
      </c>
      <c r="I1340">
        <v>364.38990000000001</v>
      </c>
      <c r="J1340">
        <v>-240.876</v>
      </c>
      <c r="K1340">
        <v>1.1216809999999999</v>
      </c>
      <c r="L1340">
        <v>367.34140000000002</v>
      </c>
      <c r="M1340">
        <v>0.99971089999999996</v>
      </c>
      <c r="N1340">
        <v>-2.083906E-2</v>
      </c>
      <c r="O1340">
        <v>1.200974E-2</v>
      </c>
      <c r="P1340">
        <v>0.99581580000000003</v>
      </c>
      <c r="Q1340">
        <v>-8.9849579999999998E-2</v>
      </c>
      <c r="R1340">
        <v>1.6679880000000001E-2</v>
      </c>
      <c r="S1340">
        <v>3.008499</v>
      </c>
      <c r="T1340">
        <v>-8.9583040000000003E-2</v>
      </c>
      <c r="U1340">
        <v>-0.2355652</v>
      </c>
      <c r="V1340">
        <v>-4.7234909999999998E-3</v>
      </c>
      <c r="W1340">
        <v>-6.9075079999999997E-2</v>
      </c>
      <c r="X1340">
        <v>0.9976003</v>
      </c>
      <c r="Y1340">
        <v>8.9963020000000005E-2</v>
      </c>
      <c r="Z1340">
        <v>-2.3834609999999999E-3</v>
      </c>
      <c r="AA1340">
        <v>0.9959422</v>
      </c>
      <c r="AB1340">
        <v>30</v>
      </c>
      <c r="AC1340">
        <v>37.511399999999902</v>
      </c>
      <c r="AD1340">
        <v>-1.1216842907889999</v>
      </c>
      <c r="AE1340">
        <v>-2.9514999999999998</v>
      </c>
      <c r="AF1340">
        <v>3.3988665446240902</v>
      </c>
      <c r="AG1340">
        <v>-1.1216842907889999</v>
      </c>
      <c r="AH1340">
        <v>37.439967780653397</v>
      </c>
      <c r="AI1340">
        <v>91.709018367554293</v>
      </c>
      <c r="AJ1340">
        <v>84.812806330198399</v>
      </c>
      <c r="AK1340">
        <v>37.610658819711297</v>
      </c>
      <c r="AL1340">
        <v>93.960864539125595</v>
      </c>
      <c r="AM1340">
        <v>90.2712850792512</v>
      </c>
      <c r="AN1340">
        <v>1.00000001830216</v>
      </c>
    </row>
    <row r="1341" spans="1:40" x14ac:dyDescent="0.25">
      <c r="A1341" t="str">
        <f>"20190303153802783"</f>
        <v>20190303153802783</v>
      </c>
      <c r="B1341" t="str">
        <f>"1551598682780438"</f>
        <v>1551598682780438</v>
      </c>
      <c r="C1341" t="s">
        <v>40</v>
      </c>
      <c r="D1341">
        <v>4.6307609999999997</v>
      </c>
      <c r="E1341">
        <v>0.53978169999999903</v>
      </c>
      <c r="F1341" t="s">
        <v>45</v>
      </c>
      <c r="G1341">
        <v>-203.19640000000001</v>
      </c>
      <c r="H1341" s="1">
        <v>-3.2492320000000002E-6</v>
      </c>
      <c r="I1341">
        <v>364.19560000000001</v>
      </c>
      <c r="J1341">
        <v>-240.69730000000001</v>
      </c>
      <c r="K1341">
        <v>1.1216759999999999</v>
      </c>
      <c r="L1341">
        <v>367.34350000000001</v>
      </c>
      <c r="M1341">
        <v>0.99971030000000005</v>
      </c>
      <c r="N1341">
        <v>-2.0882000000000001E-2</v>
      </c>
      <c r="O1341">
        <v>1.197397E-2</v>
      </c>
      <c r="P1341">
        <v>0.99584810000000001</v>
      </c>
      <c r="Q1341">
        <v>-8.9403440000000001E-2</v>
      </c>
      <c r="R1341">
        <v>1.7137090000000001E-2</v>
      </c>
      <c r="S1341">
        <v>3.0087429999999999</v>
      </c>
      <c r="T1341">
        <v>-8.9567300000000002E-2</v>
      </c>
      <c r="U1341">
        <v>-0.25119019999999997</v>
      </c>
      <c r="V1341">
        <v>-5.216961E-3</v>
      </c>
      <c r="W1341">
        <v>-6.8585240000000006E-2</v>
      </c>
      <c r="X1341">
        <v>0.99763159999999895</v>
      </c>
      <c r="Y1341">
        <v>9.5054570000000005E-2</v>
      </c>
      <c r="Z1341">
        <v>-2.5129449999999999E-3</v>
      </c>
      <c r="AA1341">
        <v>0.99546889999999999</v>
      </c>
      <c r="AB1341">
        <v>30</v>
      </c>
      <c r="AC1341">
        <v>37.500900000000001</v>
      </c>
      <c r="AD1341">
        <v>-1.121679249232</v>
      </c>
      <c r="AE1341">
        <v>-3.1478999999999902</v>
      </c>
      <c r="AF1341">
        <v>3.5936142489454199</v>
      </c>
      <c r="AG1341">
        <v>-1.121679249232</v>
      </c>
      <c r="AH1341">
        <v>37.427259216175003</v>
      </c>
      <c r="AI1341">
        <v>91.708762809151693</v>
      </c>
      <c r="AJ1341">
        <v>84.515503428669305</v>
      </c>
      <c r="AK1341">
        <v>37.616113038738298</v>
      </c>
      <c r="AL1341">
        <v>93.932732204114799</v>
      </c>
      <c r="AM1341">
        <v>90.2996167348348</v>
      </c>
      <c r="AN1341">
        <v>0.99999998057324602</v>
      </c>
    </row>
    <row r="1342" spans="1:40" x14ac:dyDescent="0.25">
      <c r="A1342" t="str">
        <f>"20190303153802797"</f>
        <v>20190303153802797</v>
      </c>
      <c r="B1342" t="str">
        <f>"1551598682790198"</f>
        <v>1551598682790198</v>
      </c>
      <c r="C1342" t="s">
        <v>40</v>
      </c>
      <c r="D1342">
        <v>4.6059669999999997</v>
      </c>
      <c r="E1342">
        <v>0.54039309999999996</v>
      </c>
      <c r="F1342" t="s">
        <v>45</v>
      </c>
      <c r="G1342">
        <v>-201.49260000000001</v>
      </c>
      <c r="H1342" s="1">
        <v>-2.400609E-6</v>
      </c>
      <c r="I1342">
        <v>363.89420000000001</v>
      </c>
      <c r="J1342">
        <v>-240.52799999999999</v>
      </c>
      <c r="K1342">
        <v>1.1216710000000001</v>
      </c>
      <c r="L1342">
        <v>367.34550000000002</v>
      </c>
      <c r="M1342">
        <v>0.99970999999999999</v>
      </c>
      <c r="N1342">
        <v>-2.0924370000000001E-2</v>
      </c>
      <c r="O1342">
        <v>1.193204E-2</v>
      </c>
      <c r="P1342">
        <v>0.99585889999999999</v>
      </c>
      <c r="Q1342">
        <v>-8.9226189999999997E-2</v>
      </c>
      <c r="R1342">
        <v>1.7434160000000001E-2</v>
      </c>
      <c r="S1342">
        <v>3.0093380000000001</v>
      </c>
      <c r="T1342">
        <v>-8.6099620000000002E-2</v>
      </c>
      <c r="U1342">
        <v>-0.26477050000000002</v>
      </c>
      <c r="V1342">
        <v>-5.5576519999999997E-3</v>
      </c>
      <c r="W1342">
        <v>-6.8365229999999999E-2</v>
      </c>
      <c r="X1342">
        <v>0.99764489999999995</v>
      </c>
      <c r="Y1342">
        <v>9.9456379999999997E-2</v>
      </c>
      <c r="Z1342">
        <v>-2.5542730000000001E-3</v>
      </c>
      <c r="AA1342">
        <v>0.9950386</v>
      </c>
      <c r="AB1342">
        <v>30</v>
      </c>
      <c r="AC1342">
        <v>39.035399999999903</v>
      </c>
      <c r="AD1342">
        <v>-1.1216734006089999</v>
      </c>
      <c r="AE1342">
        <v>-3.4512999999999998</v>
      </c>
      <c r="AF1342">
        <v>3.9137216370911401</v>
      </c>
      <c r="AG1342">
        <v>-1.1216734006089999</v>
      </c>
      <c r="AH1342">
        <v>38.959510961156298</v>
      </c>
      <c r="AI1342">
        <v>91.640878623300395</v>
      </c>
      <c r="AJ1342">
        <v>84.263532553018706</v>
      </c>
      <c r="AK1342">
        <v>39.171658920739198</v>
      </c>
      <c r="AL1342">
        <v>93.920096749842102</v>
      </c>
      <c r="AM1342">
        <v>90.319178406730501</v>
      </c>
      <c r="AN1342">
        <v>1.0000000193323499</v>
      </c>
    </row>
    <row r="1343" spans="1:40" x14ac:dyDescent="0.25">
      <c r="A1343" t="str">
        <f>"20190303153802806"</f>
        <v>20190303153802806</v>
      </c>
      <c r="B1343" t="str">
        <f>"1551598682799957"</f>
        <v>1551598682799957</v>
      </c>
      <c r="C1343" t="s">
        <v>40</v>
      </c>
      <c r="D1343">
        <v>4.589906</v>
      </c>
      <c r="E1343">
        <v>0.54078419999999905</v>
      </c>
      <c r="F1343" t="s">
        <v>45</v>
      </c>
      <c r="G1343">
        <v>-200.2704</v>
      </c>
      <c r="H1343" s="1">
        <v>-1.7148589999999901E-6</v>
      </c>
      <c r="I1343">
        <v>363.7525</v>
      </c>
      <c r="J1343">
        <v>-240.38579999999999</v>
      </c>
      <c r="K1343">
        <v>1.121667</v>
      </c>
      <c r="L1343">
        <v>367.34710000000001</v>
      </c>
      <c r="M1343">
        <v>0.99970970000000003</v>
      </c>
      <c r="N1343">
        <v>-2.096112E-2</v>
      </c>
      <c r="O1343">
        <v>1.189115E-2</v>
      </c>
      <c r="P1343">
        <v>0.9958612</v>
      </c>
      <c r="Q1343">
        <v>-8.9119480000000001E-2</v>
      </c>
      <c r="R1343">
        <v>1.7846029999999999E-2</v>
      </c>
      <c r="S1343">
        <v>3.009674</v>
      </c>
      <c r="T1343">
        <v>-8.385658E-2</v>
      </c>
      <c r="U1343">
        <v>-0.26861570000000001</v>
      </c>
      <c r="V1343">
        <v>-6.0120169999999997E-3</v>
      </c>
      <c r="W1343">
        <v>-6.8221509999999999E-2</v>
      </c>
      <c r="X1343">
        <v>0.99765210000000004</v>
      </c>
      <c r="Y1343">
        <v>0.10066940000000001</v>
      </c>
      <c r="Z1343">
        <v>-2.5389169999999999E-3</v>
      </c>
      <c r="AA1343">
        <v>0.99491669999999999</v>
      </c>
      <c r="AB1343">
        <v>30</v>
      </c>
      <c r="AC1343">
        <v>40.115400000000001</v>
      </c>
      <c r="AD1343">
        <v>-1.1216687148590001</v>
      </c>
      <c r="AE1343">
        <v>-3.59460000000001</v>
      </c>
      <c r="AF1343">
        <v>4.0683133938237903</v>
      </c>
      <c r="AG1343">
        <v>-1.1216687148590001</v>
      </c>
      <c r="AH1343">
        <v>40.038755418072803</v>
      </c>
      <c r="AI1343">
        <v>91.596481240737106</v>
      </c>
      <c r="AJ1343">
        <v>84.198123384285793</v>
      </c>
      <c r="AK1343">
        <v>40.260542097747702</v>
      </c>
      <c r="AL1343">
        <v>93.911842944437595</v>
      </c>
      <c r="AM1343">
        <v>90.345269689566194</v>
      </c>
      <c r="AN1343">
        <v>1.00000001570474</v>
      </c>
    </row>
    <row r="1344" spans="1:40" x14ac:dyDescent="0.25">
      <c r="A1344" t="str">
        <f>"20190303153802821"</f>
        <v>20190303153802821</v>
      </c>
      <c r="B1344" t="str">
        <f>"1551598682809717"</f>
        <v>1551598682809717</v>
      </c>
      <c r="C1344" t="s">
        <v>40</v>
      </c>
      <c r="D1344">
        <v>4.591107</v>
      </c>
      <c r="E1344">
        <v>0.54110159999999996</v>
      </c>
      <c r="F1344" t="s">
        <v>45</v>
      </c>
      <c r="G1344">
        <v>-199.8348</v>
      </c>
      <c r="H1344" s="1">
        <v>-9.7107699999999999E-6</v>
      </c>
      <c r="I1344">
        <v>363.70190000000002</v>
      </c>
      <c r="J1344">
        <v>-240.19309999999999</v>
      </c>
      <c r="K1344">
        <v>1.1216619999999999</v>
      </c>
      <c r="L1344">
        <v>367.3494</v>
      </c>
      <c r="M1344">
        <v>0.99970930000000002</v>
      </c>
      <c r="N1344">
        <v>-2.1011510000000001E-2</v>
      </c>
      <c r="O1344">
        <v>1.1819629999999999E-2</v>
      </c>
      <c r="P1344">
        <v>0.99582809999999999</v>
      </c>
      <c r="Q1344">
        <v>-8.93872E-2</v>
      </c>
      <c r="R1344">
        <v>1.8337289999999999E-2</v>
      </c>
      <c r="S1344">
        <v>3.0098880000000001</v>
      </c>
      <c r="T1344">
        <v>-8.3256239999999995E-2</v>
      </c>
      <c r="U1344">
        <v>-0.2705688</v>
      </c>
      <c r="V1344">
        <v>-6.5775460000000001E-3</v>
      </c>
      <c r="W1344">
        <v>-6.8439139999999996E-2</v>
      </c>
      <c r="X1344">
        <v>0.99763360000000001</v>
      </c>
      <c r="Y1344">
        <v>0.1012328</v>
      </c>
      <c r="Z1344">
        <v>-2.5415770000000002E-3</v>
      </c>
      <c r="AA1344">
        <v>0.99485950000000001</v>
      </c>
      <c r="AB1344">
        <v>30</v>
      </c>
      <c r="AC1344">
        <v>40.3582999999999</v>
      </c>
      <c r="AD1344">
        <v>-1.1216717107700001</v>
      </c>
      <c r="AE1344">
        <v>-3.64749999999998</v>
      </c>
      <c r="AF1344">
        <v>4.1212130255758703</v>
      </c>
      <c r="AG1344">
        <v>-1.1216717107700001</v>
      </c>
      <c r="AH1344">
        <v>40.281494913277797</v>
      </c>
      <c r="AI1344">
        <v>91.586757705607695</v>
      </c>
      <c r="AJ1344">
        <v>84.158375537711706</v>
      </c>
      <c r="AK1344">
        <v>40.507300288680597</v>
      </c>
      <c r="AL1344">
        <v>93.924341538176193</v>
      </c>
      <c r="AM1344">
        <v>90.377754082022406</v>
      </c>
      <c r="AN1344">
        <v>0.99999998992214001</v>
      </c>
    </row>
    <row r="1345" spans="1:40" x14ac:dyDescent="0.25">
      <c r="A1345" t="str">
        <f>"20190303153802834"</f>
        <v>20190303153802834</v>
      </c>
      <c r="B1345" t="str">
        <f>"1551598682830213"</f>
        <v>1551598682830213</v>
      </c>
      <c r="C1345" t="s">
        <v>40</v>
      </c>
      <c r="D1345">
        <v>4.5974839999999997</v>
      </c>
      <c r="E1345">
        <v>0.54172699999999996</v>
      </c>
      <c r="F1345" t="s">
        <v>45</v>
      </c>
      <c r="G1345">
        <v>-199.69710000000001</v>
      </c>
      <c r="H1345" s="1">
        <v>-9.6621229999999998E-6</v>
      </c>
      <c r="I1345">
        <v>363.69200000000001</v>
      </c>
      <c r="J1345">
        <v>-240.03049999999999</v>
      </c>
      <c r="K1345">
        <v>1.1216569999999999</v>
      </c>
      <c r="L1345">
        <v>367.35129999999998</v>
      </c>
      <c r="M1345">
        <v>0.99970930000000002</v>
      </c>
      <c r="N1345">
        <v>-2.1058150000000001E-2</v>
      </c>
      <c r="O1345">
        <v>1.175024E-2</v>
      </c>
      <c r="P1345">
        <v>0.99582859999999995</v>
      </c>
      <c r="Q1345">
        <v>-8.9300899999999905E-2</v>
      </c>
      <c r="R1345">
        <v>1.873592E-2</v>
      </c>
      <c r="S1345">
        <v>3.0100859999999998</v>
      </c>
      <c r="T1345">
        <v>-8.3374379999999998E-2</v>
      </c>
      <c r="U1345">
        <v>-0.2718506</v>
      </c>
      <c r="V1345">
        <v>-7.0476100000000002E-3</v>
      </c>
      <c r="W1345">
        <v>-6.8305870000000005E-2</v>
      </c>
      <c r="X1345">
        <v>0.99763950000000001</v>
      </c>
      <c r="Y1345">
        <v>0.1015776</v>
      </c>
      <c r="Z1345">
        <v>-2.5536629999999999E-3</v>
      </c>
      <c r="AA1345">
        <v>0.99482429999999999</v>
      </c>
      <c r="AB1345">
        <v>30</v>
      </c>
      <c r="AC1345">
        <v>40.333399999999898</v>
      </c>
      <c r="AD1345">
        <v>-1.12166666212299</v>
      </c>
      <c r="AE1345">
        <v>-3.65930000000002</v>
      </c>
      <c r="AF1345">
        <v>4.1299115096473198</v>
      </c>
      <c r="AG1345">
        <v>-1.12166666212299</v>
      </c>
      <c r="AH1345">
        <v>40.256727177781798</v>
      </c>
      <c r="AI1345">
        <v>91.587681416315903</v>
      </c>
      <c r="AJ1345">
        <v>84.142554855578496</v>
      </c>
      <c r="AK1345">
        <v>40.483557010776501</v>
      </c>
      <c r="AL1345">
        <v>93.916687911378901</v>
      </c>
      <c r="AM1345">
        <v>90.404746997074596</v>
      </c>
      <c r="AN1345">
        <v>0.99999996632170796</v>
      </c>
    </row>
    <row r="1346" spans="1:40" x14ac:dyDescent="0.25">
      <c r="A1346" t="str">
        <f>"20190303153802845"</f>
        <v>20190303153802845</v>
      </c>
      <c r="B1346" t="str">
        <f>"1551598682839973"</f>
        <v>1551598682839973</v>
      </c>
      <c r="C1346" t="s">
        <v>40</v>
      </c>
      <c r="D1346">
        <v>4.5836269999999999</v>
      </c>
      <c r="E1346">
        <v>0.54196619999999995</v>
      </c>
      <c r="F1346" t="s">
        <v>45</v>
      </c>
      <c r="G1346">
        <v>-198.41130000000001</v>
      </c>
      <c r="H1346" s="1">
        <v>-9.2159710000000002E-6</v>
      </c>
      <c r="I1346">
        <v>363.54320000000001</v>
      </c>
      <c r="J1346">
        <v>-239.87180000000001</v>
      </c>
      <c r="K1346">
        <v>1.1216539999999999</v>
      </c>
      <c r="L1346">
        <v>367.35300000000001</v>
      </c>
      <c r="M1346">
        <v>0.99970910000000002</v>
      </c>
      <c r="N1346">
        <v>-2.1110830000000001E-2</v>
      </c>
      <c r="O1346">
        <v>1.167208E-2</v>
      </c>
      <c r="P1346">
        <v>0.99581209999999998</v>
      </c>
      <c r="Q1346">
        <v>-8.9417369999999996E-2</v>
      </c>
      <c r="R1346">
        <v>1.9046569999999999E-2</v>
      </c>
      <c r="S1346">
        <v>3.010437</v>
      </c>
      <c r="T1346">
        <v>-8.1133250000000004E-2</v>
      </c>
      <c r="U1346">
        <v>-0.27545170000000002</v>
      </c>
      <c r="V1346">
        <v>-7.4381359999999997E-3</v>
      </c>
      <c r="W1346">
        <v>-6.836971E-2</v>
      </c>
      <c r="X1346">
        <v>0.99763230000000003</v>
      </c>
      <c r="Y1346">
        <v>0.10267179999999999</v>
      </c>
      <c r="Z1346">
        <v>-2.534887E-3</v>
      </c>
      <c r="AA1346">
        <v>0.99471209999999999</v>
      </c>
      <c r="AB1346">
        <v>30</v>
      </c>
      <c r="AC1346">
        <v>41.460500000000003</v>
      </c>
      <c r="AD1346">
        <v>-1.121663215971</v>
      </c>
      <c r="AE1346">
        <v>-3.8097999999999899</v>
      </c>
      <c r="AF1346">
        <v>4.2904645280779503</v>
      </c>
      <c r="AG1346">
        <v>-1.121663215971</v>
      </c>
      <c r="AH1346">
        <v>41.383161193931599</v>
      </c>
      <c r="AI1346">
        <v>91.544310543837298</v>
      </c>
      <c r="AJ1346">
        <v>84.080916957481094</v>
      </c>
      <c r="AK1346">
        <v>41.620094241119702</v>
      </c>
      <c r="AL1346">
        <v>93.920354212733699</v>
      </c>
      <c r="AM1346">
        <v>90.4271773314466</v>
      </c>
      <c r="AN1346">
        <v>0.99999997455796397</v>
      </c>
    </row>
    <row r="1347" spans="1:40" x14ac:dyDescent="0.25">
      <c r="A1347" t="str">
        <f>"20190303153802858"</f>
        <v>20190303153802858</v>
      </c>
      <c r="B1347" t="str">
        <f>"1551598682849733"</f>
        <v>1551598682849733</v>
      </c>
      <c r="C1347" t="s">
        <v>40</v>
      </c>
      <c r="D1347">
        <v>4.5573169999999896</v>
      </c>
      <c r="E1347">
        <v>0.54219539999999999</v>
      </c>
      <c r="F1347" t="s">
        <v>45</v>
      </c>
      <c r="G1347">
        <v>-198.31559999999999</v>
      </c>
      <c r="H1347" s="1">
        <v>-9.1824330000000007E-6</v>
      </c>
      <c r="I1347">
        <v>363.53449999999998</v>
      </c>
      <c r="J1347">
        <v>-239.70439999999999</v>
      </c>
      <c r="K1347">
        <v>1.1216569999999999</v>
      </c>
      <c r="L1347">
        <v>367.35489999999999</v>
      </c>
      <c r="M1347">
        <v>0.99970870000000001</v>
      </c>
      <c r="N1347">
        <v>-2.1179380000000001E-2</v>
      </c>
      <c r="O1347">
        <v>1.1578299999999901E-2</v>
      </c>
      <c r="P1347">
        <v>0.99581390000000003</v>
      </c>
      <c r="Q1347">
        <v>-8.9370089999999999E-2</v>
      </c>
      <c r="R1347">
        <v>1.9168500000000002E-2</v>
      </c>
      <c r="S1347">
        <v>3.010605</v>
      </c>
      <c r="T1347">
        <v>-8.1260680000000002E-2</v>
      </c>
      <c r="U1347">
        <v>-0.27664179999999999</v>
      </c>
      <c r="V1347">
        <v>-7.65607099999999E-3</v>
      </c>
      <c r="W1347">
        <v>-6.8253649999999999E-2</v>
      </c>
      <c r="X1347">
        <v>0.99763860000000004</v>
      </c>
      <c r="Y1347">
        <v>0.102963</v>
      </c>
      <c r="Z1347">
        <v>-2.546647E-3</v>
      </c>
      <c r="AA1347">
        <v>0.99468199999999996</v>
      </c>
      <c r="AB1347">
        <v>30</v>
      </c>
      <c r="AC1347">
        <v>41.388800000000003</v>
      </c>
      <c r="AD1347">
        <v>-1.1216661824330001</v>
      </c>
      <c r="AE1347">
        <v>-3.8203999999999998</v>
      </c>
      <c r="AF1347">
        <v>4.2963344530839001</v>
      </c>
      <c r="AG1347">
        <v>-1.1216661824330001</v>
      </c>
      <c r="AH1347">
        <v>41.311695775400402</v>
      </c>
      <c r="AI1347">
        <v>91.546933792829293</v>
      </c>
      <c r="AJ1347">
        <v>84.062696283763401</v>
      </c>
      <c r="AK1347">
        <v>41.549642990004202</v>
      </c>
      <c r="AL1347">
        <v>93.913688888017504</v>
      </c>
      <c r="AM1347">
        <v>90.439690229384595</v>
      </c>
      <c r="AN1347">
        <v>0.99999997618571901</v>
      </c>
    </row>
    <row r="1348" spans="1:40" x14ac:dyDescent="0.25">
      <c r="A1348" t="str">
        <f>"20190303153802871"</f>
        <v>20190303153802871</v>
      </c>
      <c r="B1348" t="str">
        <f>"1551598682860469"</f>
        <v>1551598682860469</v>
      </c>
      <c r="C1348" t="s">
        <v>40</v>
      </c>
      <c r="D1348">
        <v>4.5775730000000001</v>
      </c>
      <c r="E1348">
        <v>0.54228769999999904</v>
      </c>
      <c r="F1348" t="s">
        <v>45</v>
      </c>
      <c r="G1348">
        <v>-197.31469999999999</v>
      </c>
      <c r="H1348" s="1">
        <v>-8.8321029999999996E-6</v>
      </c>
      <c r="I1348">
        <v>363.43979999999999</v>
      </c>
      <c r="J1348">
        <v>-239.53309999999999</v>
      </c>
      <c r="K1348">
        <v>1.121661</v>
      </c>
      <c r="L1348">
        <v>367.35680000000002</v>
      </c>
      <c r="M1348">
        <v>0.99970820000000005</v>
      </c>
      <c r="N1348">
        <v>-2.125724E-2</v>
      </c>
      <c r="O1348">
        <v>1.1475539999999999E-2</v>
      </c>
      <c r="P1348">
        <v>0.99581679999999995</v>
      </c>
      <c r="Q1348">
        <v>-8.9318809999999998E-2</v>
      </c>
      <c r="R1348">
        <v>1.9266479999999999E-2</v>
      </c>
      <c r="S1348">
        <v>3.010818</v>
      </c>
      <c r="T1348">
        <v>-7.9668639999999999E-2</v>
      </c>
      <c r="U1348">
        <v>-0.2780762</v>
      </c>
      <c r="V1348">
        <v>-7.8587929999999993E-3</v>
      </c>
      <c r="W1348">
        <v>-6.8124270000000001E-2</v>
      </c>
      <c r="X1348">
        <v>0.99764589999999997</v>
      </c>
      <c r="Y1348">
        <v>0.1033259</v>
      </c>
      <c r="Z1348">
        <v>-2.5244949999999999E-3</v>
      </c>
      <c r="AA1348">
        <v>0.99464430000000004</v>
      </c>
      <c r="AB1348">
        <v>30</v>
      </c>
      <c r="AC1348">
        <v>42.218400000000003</v>
      </c>
      <c r="AD1348">
        <v>-1.1216698321030001</v>
      </c>
      <c r="AE1348">
        <v>-3.91700000000003</v>
      </c>
      <c r="AF1348">
        <v>4.3982522784231604</v>
      </c>
      <c r="AG1348">
        <v>-1.1216698321030001</v>
      </c>
      <c r="AH1348">
        <v>42.141166536980499</v>
      </c>
      <c r="AI1348">
        <v>91.516446528040404</v>
      </c>
      <c r="AJ1348">
        <v>84.041640712512404</v>
      </c>
      <c r="AK1348">
        <v>42.384911034640901</v>
      </c>
      <c r="AL1348">
        <v>93.906258535965094</v>
      </c>
      <c r="AM1348">
        <v>90.451328830946693</v>
      </c>
      <c r="AN1348">
        <v>1.0000000092886201</v>
      </c>
    </row>
    <row r="1349" spans="1:40" x14ac:dyDescent="0.25">
      <c r="A1349" t="str">
        <f>"20190303153802884"</f>
        <v>20190303153802884</v>
      </c>
      <c r="B1349" t="str">
        <f>"1551598682879988"</f>
        <v>1551598682879988</v>
      </c>
      <c r="C1349" t="s">
        <v>40</v>
      </c>
      <c r="D1349">
        <v>4.579555</v>
      </c>
      <c r="E1349">
        <v>0.54245889999999997</v>
      </c>
      <c r="F1349" t="s">
        <v>45</v>
      </c>
      <c r="G1349">
        <v>-197.09569999999999</v>
      </c>
      <c r="H1349" s="1">
        <v>-8.7536849999999995E-6</v>
      </c>
      <c r="I1349">
        <v>363.43130000000002</v>
      </c>
      <c r="J1349">
        <v>-239.35470000000001</v>
      </c>
      <c r="K1349">
        <v>1.1216649999999999</v>
      </c>
      <c r="L1349">
        <v>367.3587</v>
      </c>
      <c r="M1349">
        <v>0.99970749999999997</v>
      </c>
      <c r="N1349">
        <v>-2.135074E-2</v>
      </c>
      <c r="O1349">
        <v>1.135588E-2</v>
      </c>
      <c r="P1349">
        <v>0.99576900000000002</v>
      </c>
      <c r="Q1349">
        <v>-8.9832720000000005E-2</v>
      </c>
      <c r="R1349">
        <v>1.9345580000000001E-2</v>
      </c>
      <c r="S1349">
        <v>3.0108640000000002</v>
      </c>
      <c r="T1349">
        <v>-7.958055E-2</v>
      </c>
      <c r="U1349">
        <v>-0.27850340000000001</v>
      </c>
      <c r="V1349">
        <v>-8.059788E-3</v>
      </c>
      <c r="W1349">
        <v>-6.8545499999999995E-2</v>
      </c>
      <c r="X1349">
        <v>0.99761549999999999</v>
      </c>
      <c r="Y1349">
        <v>0.10334550000000001</v>
      </c>
      <c r="Z1349">
        <v>-2.5262570000000001E-3</v>
      </c>
      <c r="AA1349">
        <v>0.99464229999999998</v>
      </c>
      <c r="AB1349">
        <v>29</v>
      </c>
      <c r="AC1349">
        <v>42.259</v>
      </c>
      <c r="AD1349">
        <v>-1.1216737536850001</v>
      </c>
      <c r="AE1349">
        <v>-3.9273999999999698</v>
      </c>
      <c r="AF1349">
        <v>4.4040680261920304</v>
      </c>
      <c r="AG1349">
        <v>-1.1216737536850001</v>
      </c>
      <c r="AH1349">
        <v>42.182200825999203</v>
      </c>
      <c r="AI1349">
        <v>91.514971648011795</v>
      </c>
      <c r="AJ1349">
        <v>84.039580868522506</v>
      </c>
      <c r="AK1349">
        <v>42.4263129875077</v>
      </c>
      <c r="AL1349">
        <v>93.930449563181298</v>
      </c>
      <c r="AM1349">
        <v>90.462885539914794</v>
      </c>
      <c r="AN1349">
        <v>1.00000006579655</v>
      </c>
    </row>
    <row r="1350" spans="1:40" x14ac:dyDescent="0.25">
      <c r="A1350" t="str">
        <f>"20190303153802899"</f>
        <v>20190303153802899</v>
      </c>
      <c r="B1350" t="str">
        <f>"1551598682889749"</f>
        <v>1551598682889749</v>
      </c>
      <c r="C1350" t="s">
        <v>40</v>
      </c>
      <c r="D1350">
        <v>4.5524490000000002</v>
      </c>
      <c r="E1350">
        <v>0.54256119999999997</v>
      </c>
      <c r="F1350" t="s">
        <v>45</v>
      </c>
      <c r="G1350">
        <v>-198.501</v>
      </c>
      <c r="H1350" s="1">
        <v>-9.2453790000000005E-6</v>
      </c>
      <c r="I1350">
        <v>363.56560000000002</v>
      </c>
      <c r="J1350">
        <v>-239.16659999999999</v>
      </c>
      <c r="K1350">
        <v>1.121675</v>
      </c>
      <c r="L1350">
        <v>367.36070000000001</v>
      </c>
      <c r="M1350">
        <v>0.99970700000000001</v>
      </c>
      <c r="N1350">
        <v>-2.1455910000000002E-2</v>
      </c>
      <c r="O1350">
        <v>1.1221160000000001E-2</v>
      </c>
      <c r="P1350">
        <v>0.99575919999999896</v>
      </c>
      <c r="Q1350">
        <v>-9.0023930000000002E-2</v>
      </c>
      <c r="R1350">
        <v>1.89666E-2</v>
      </c>
      <c r="S1350">
        <v>3.0107569999999999</v>
      </c>
      <c r="T1350">
        <v>-8.2662940000000004E-2</v>
      </c>
      <c r="U1350">
        <v>-0.27954099999999998</v>
      </c>
      <c r="V1350">
        <v>-7.8171360000000006E-3</v>
      </c>
      <c r="W1350">
        <v>-6.8631899999999996E-2</v>
      </c>
      <c r="X1350">
        <v>0.99761140000000004</v>
      </c>
      <c r="Y1350">
        <v>0.1035502</v>
      </c>
      <c r="Z1350">
        <v>-2.5991489999999998E-3</v>
      </c>
      <c r="AA1350">
        <v>0.99462079999999997</v>
      </c>
      <c r="AB1350">
        <v>29</v>
      </c>
      <c r="AC1350">
        <v>40.665599999999998</v>
      </c>
      <c r="AD1350">
        <v>-1.1216842453789999</v>
      </c>
      <c r="AE1350">
        <v>-3.7950999999999899</v>
      </c>
      <c r="AF1350">
        <v>4.2480769940449896</v>
      </c>
      <c r="AG1350">
        <v>-1.1216842453789999</v>
      </c>
      <c r="AH1350">
        <v>40.5898280637158</v>
      </c>
      <c r="AI1350">
        <v>91.574349481320596</v>
      </c>
      <c r="AJ1350">
        <v>84.025251837850405</v>
      </c>
      <c r="AK1350">
        <v>40.826933217371</v>
      </c>
      <c r="AL1350">
        <v>93.935411960161304</v>
      </c>
      <c r="AM1350">
        <v>90.448952101125599</v>
      </c>
      <c r="AN1350">
        <v>0.99999997536140595</v>
      </c>
    </row>
    <row r="1351" spans="1:40" x14ac:dyDescent="0.25">
      <c r="A1351" t="str">
        <f>"20190303153802911"</f>
        <v>20190303153802911</v>
      </c>
      <c r="B1351" t="str">
        <f>"1551598682900486"</f>
        <v>1551598682900486</v>
      </c>
      <c r="C1351" t="s">
        <v>40</v>
      </c>
      <c r="D1351">
        <v>4.5926359999999997</v>
      </c>
      <c r="E1351">
        <v>0.54272959999999904</v>
      </c>
      <c r="F1351" t="s">
        <v>45</v>
      </c>
      <c r="G1351">
        <v>-198.67699999999999</v>
      </c>
      <c r="H1351" s="1">
        <v>-9.3084599999999996E-6</v>
      </c>
      <c r="I1351">
        <v>363.572</v>
      </c>
      <c r="J1351">
        <v>-239.01179999999999</v>
      </c>
      <c r="K1351">
        <v>1.121685</v>
      </c>
      <c r="L1351">
        <v>367.3623</v>
      </c>
      <c r="M1351">
        <v>0.99970630000000005</v>
      </c>
      <c r="N1351">
        <v>-2.1544850000000001E-2</v>
      </c>
      <c r="O1351">
        <v>1.1106660000000001E-2</v>
      </c>
      <c r="P1351">
        <v>0.99574379999999996</v>
      </c>
      <c r="Q1351">
        <v>-9.0294979999999997E-2</v>
      </c>
      <c r="R1351">
        <v>1.847159E-2</v>
      </c>
      <c r="S1351">
        <v>3.010605</v>
      </c>
      <c r="T1351">
        <v>-8.3402989999999996E-2</v>
      </c>
      <c r="U1351">
        <v>-0.28170780000000001</v>
      </c>
      <c r="V1351">
        <v>-7.4374319999999999E-3</v>
      </c>
      <c r="W1351">
        <v>-6.8814639999999996E-2</v>
      </c>
      <c r="X1351">
        <v>0.99760170000000004</v>
      </c>
      <c r="Y1351">
        <v>0.10414909999999999</v>
      </c>
      <c r="Z1351">
        <v>-2.6323359999999999E-3</v>
      </c>
      <c r="AA1351">
        <v>0.99455819999999995</v>
      </c>
      <c r="AB1351">
        <v>29</v>
      </c>
      <c r="AC1351">
        <v>40.334799999999902</v>
      </c>
      <c r="AD1351">
        <v>-1.12169430846</v>
      </c>
      <c r="AE1351">
        <v>-3.79030000000005</v>
      </c>
      <c r="AF1351">
        <v>4.2349084739704397</v>
      </c>
      <c r="AG1351">
        <v>-1.12169430846</v>
      </c>
      <c r="AH1351">
        <v>40.259340652419297</v>
      </c>
      <c r="AI1351">
        <v>91.587193307720796</v>
      </c>
      <c r="AJ1351">
        <v>83.995099758019705</v>
      </c>
      <c r="AK1351">
        <v>40.4970018355937</v>
      </c>
      <c r="AL1351">
        <v>93.945907060897198</v>
      </c>
      <c r="AM1351">
        <v>90.427150003060106</v>
      </c>
      <c r="AN1351">
        <v>0.99999996095798604</v>
      </c>
    </row>
    <row r="1352" spans="1:40" x14ac:dyDescent="0.25">
      <c r="A1352" t="str">
        <f>"20190303153802921"</f>
        <v>20190303153802921</v>
      </c>
      <c r="B1352" t="str">
        <f>"1551598682920005"</f>
        <v>1551598682920005</v>
      </c>
      <c r="C1352" t="s">
        <v>40</v>
      </c>
      <c r="D1352">
        <v>4.5376390000000004</v>
      </c>
      <c r="E1352">
        <v>0.54285589999999995</v>
      </c>
      <c r="F1352" t="s">
        <v>45</v>
      </c>
      <c r="G1352">
        <v>-198.57769999999999</v>
      </c>
      <c r="H1352" s="1">
        <v>-9.2770749999999996E-6</v>
      </c>
      <c r="I1352">
        <v>363.53890000000001</v>
      </c>
      <c r="J1352">
        <v>-238.8665</v>
      </c>
      <c r="K1352">
        <v>1.1216969999999999</v>
      </c>
      <c r="L1352">
        <v>367.36380000000003</v>
      </c>
      <c r="M1352">
        <v>0.99970570000000003</v>
      </c>
      <c r="N1352">
        <v>-2.162911E-2</v>
      </c>
      <c r="O1352">
        <v>1.099429E-2</v>
      </c>
      <c r="P1352">
        <v>0.99573710000000004</v>
      </c>
      <c r="Q1352">
        <v>-9.0477940000000007E-2</v>
      </c>
      <c r="R1352">
        <v>1.7930310000000001E-2</v>
      </c>
      <c r="S1352">
        <v>3.010529</v>
      </c>
      <c r="T1352">
        <v>-8.3515759999999994E-2</v>
      </c>
      <c r="U1352">
        <v>-0.28466799999999998</v>
      </c>
      <c r="V1352">
        <v>-7.0097349999999996E-3</v>
      </c>
      <c r="W1352">
        <v>-6.8913840000000004E-2</v>
      </c>
      <c r="X1352">
        <v>0.99759799999999998</v>
      </c>
      <c r="Y1352">
        <v>0.105008199999999</v>
      </c>
      <c r="Z1352">
        <v>-2.6587080000000001E-3</v>
      </c>
      <c r="AA1352">
        <v>0.99446780000000001</v>
      </c>
      <c r="AB1352">
        <v>29</v>
      </c>
      <c r="AC1352">
        <v>40.288800000000002</v>
      </c>
      <c r="AD1352">
        <v>-1.1217062770749999</v>
      </c>
      <c r="AE1352">
        <v>-3.8249000000000102</v>
      </c>
      <c r="AF1352">
        <v>4.26444299040487</v>
      </c>
      <c r="AG1352">
        <v>-1.1217062770749999</v>
      </c>
      <c r="AH1352">
        <v>40.213408688510803</v>
      </c>
      <c r="AI1352">
        <v>91.588880460841807</v>
      </c>
      <c r="AJ1352">
        <v>83.946675321919002</v>
      </c>
      <c r="AK1352">
        <v>40.454442739205298</v>
      </c>
      <c r="AL1352">
        <v>93.951604126834198</v>
      </c>
      <c r="AM1352">
        <v>90.402588639209995</v>
      </c>
      <c r="AN1352">
        <v>1.00000001166615</v>
      </c>
    </row>
    <row r="1353" spans="1:40" x14ac:dyDescent="0.25">
      <c r="A1353" t="str">
        <f>"20190303153802934"</f>
        <v>20190303153802934</v>
      </c>
      <c r="B1353" t="str">
        <f>"1551598682929764"</f>
        <v>1551598682929764</v>
      </c>
      <c r="C1353" t="s">
        <v>40</v>
      </c>
      <c r="D1353">
        <v>4.5688259999999996</v>
      </c>
      <c r="E1353">
        <v>0.542911699999999</v>
      </c>
      <c r="F1353" t="s">
        <v>45</v>
      </c>
      <c r="G1353">
        <v>-198.08969999999999</v>
      </c>
      <c r="H1353" s="1">
        <v>-9.1092760000000004E-6</v>
      </c>
      <c r="I1353">
        <v>363.47199999999998</v>
      </c>
      <c r="J1353">
        <v>-238.71680000000001</v>
      </c>
      <c r="K1353">
        <v>1.1217079999999999</v>
      </c>
      <c r="L1353">
        <v>367.36529999999999</v>
      </c>
      <c r="M1353">
        <v>0.99970530000000002</v>
      </c>
      <c r="N1353">
        <v>-2.1714509999999999E-2</v>
      </c>
      <c r="O1353">
        <v>1.087698E-2</v>
      </c>
      <c r="P1353">
        <v>0.99573610000000001</v>
      </c>
      <c r="Q1353">
        <v>-9.0635229999999997E-2</v>
      </c>
      <c r="R1353">
        <v>1.7186199999999999E-2</v>
      </c>
      <c r="S1353">
        <v>3.0104679999999999</v>
      </c>
      <c r="T1353">
        <v>-8.2813139999999993E-2</v>
      </c>
      <c r="U1353">
        <v>-0.287323</v>
      </c>
      <c r="V1353">
        <v>-6.3832159999999997E-3</v>
      </c>
      <c r="W1353">
        <v>-6.8986279999999997E-2</v>
      </c>
      <c r="X1353">
        <v>0.99759719999999996</v>
      </c>
      <c r="Y1353">
        <v>0.10576290000000001</v>
      </c>
      <c r="Z1353">
        <v>-2.6653979999999998E-3</v>
      </c>
      <c r="AA1353">
        <v>0.99438780000000004</v>
      </c>
      <c r="AB1353">
        <v>29</v>
      </c>
      <c r="AC1353">
        <v>40.627099999999999</v>
      </c>
      <c r="AD1353">
        <v>-1.1217171092760001</v>
      </c>
      <c r="AE1353">
        <v>-3.8933</v>
      </c>
      <c r="AF1353">
        <v>4.3318016861798503</v>
      </c>
      <c r="AG1353">
        <v>-1.1217171092760001</v>
      </c>
      <c r="AH1353">
        <v>40.551706294574799</v>
      </c>
      <c r="AI1353">
        <v>91.575518666669296</v>
      </c>
      <c r="AJ1353">
        <v>83.902689886622198</v>
      </c>
      <c r="AK1353">
        <v>40.797838650142801</v>
      </c>
      <c r="AL1353">
        <v>93.955764529620296</v>
      </c>
      <c r="AM1353">
        <v>90.366607229240699</v>
      </c>
      <c r="AN1353">
        <v>1.00000001286129</v>
      </c>
    </row>
    <row r="1354" spans="1:40" x14ac:dyDescent="0.25">
      <c r="A1354" t="str">
        <f>"20190303153802948"</f>
        <v>20190303153802948</v>
      </c>
      <c r="B1354" t="str">
        <f>"1551598682940502"</f>
        <v>1551598682940502</v>
      </c>
      <c r="C1354" t="s">
        <v>40</v>
      </c>
      <c r="D1354">
        <v>4.5212159999999999</v>
      </c>
      <c r="E1354">
        <v>0.54291809999999996</v>
      </c>
      <c r="F1354" t="s">
        <v>45</v>
      </c>
      <c r="G1354">
        <v>-197.9879</v>
      </c>
      <c r="H1354" s="1">
        <v>-9.0767079999999992E-6</v>
      </c>
      <c r="I1354">
        <v>363.44110000000001</v>
      </c>
      <c r="J1354">
        <v>-238.5361</v>
      </c>
      <c r="K1354">
        <v>1.121723</v>
      </c>
      <c r="L1354">
        <v>367.36709999999999</v>
      </c>
      <c r="M1354">
        <v>0.99970440000000005</v>
      </c>
      <c r="N1354">
        <v>-2.181524E-2</v>
      </c>
      <c r="O1354">
        <v>1.0733400000000001E-2</v>
      </c>
      <c r="P1354">
        <v>0.99575970000000003</v>
      </c>
      <c r="Q1354">
        <v>-9.0506569999999995E-2</v>
      </c>
      <c r="R1354">
        <v>1.6479629999999999E-2</v>
      </c>
      <c r="S1354">
        <v>3.010284</v>
      </c>
      <c r="T1354">
        <v>-8.2906480000000005E-2</v>
      </c>
      <c r="U1354">
        <v>-0.29003909999999899</v>
      </c>
      <c r="V1354">
        <v>-5.8205640000000003E-3</v>
      </c>
      <c r="W1354">
        <v>-6.8757009999999993E-2</v>
      </c>
      <c r="X1354">
        <v>0.99761650000000002</v>
      </c>
      <c r="Y1354">
        <v>0.106514</v>
      </c>
      <c r="Z1354">
        <v>-2.6894240000000002E-3</v>
      </c>
      <c r="AA1354">
        <v>0.99430759999999996</v>
      </c>
      <c r="AB1354">
        <v>29</v>
      </c>
      <c r="AC1354">
        <v>40.548200000000001</v>
      </c>
      <c r="AD1354">
        <v>-1.1217320767079999</v>
      </c>
      <c r="AE1354">
        <v>-3.9259999999999802</v>
      </c>
      <c r="AF1354">
        <v>4.3577933149121302</v>
      </c>
      <c r="AG1354">
        <v>-1.1217320767079999</v>
      </c>
      <c r="AH1354">
        <v>40.473027192849301</v>
      </c>
      <c r="AI1354">
        <v>91.578458795670798</v>
      </c>
      <c r="AJ1354">
        <v>83.854550394299494</v>
      </c>
      <c r="AK1354">
        <v>40.7224087644693</v>
      </c>
      <c r="AL1354">
        <v>93.942596940697001</v>
      </c>
      <c r="AM1354">
        <v>90.334286739948993</v>
      </c>
      <c r="AN1354">
        <v>1.00000004323083</v>
      </c>
    </row>
    <row r="1355" spans="1:40" x14ac:dyDescent="0.25">
      <c r="A1355" t="str">
        <f>"20190303153802963"</f>
        <v>20190303153802963</v>
      </c>
      <c r="B1355" t="str">
        <f>"1551598682960021"</f>
        <v>1551598682960021</v>
      </c>
      <c r="C1355" t="s">
        <v>40</v>
      </c>
      <c r="D1355">
        <v>4.525957</v>
      </c>
      <c r="E1355">
        <v>0.54293169999999902</v>
      </c>
      <c r="F1355" t="s">
        <v>45</v>
      </c>
      <c r="G1355">
        <v>-197.6328</v>
      </c>
      <c r="H1355" s="1">
        <v>-8.9539269999999996E-6</v>
      </c>
      <c r="I1355">
        <v>363.39690000000002</v>
      </c>
      <c r="J1355">
        <v>-238.3545</v>
      </c>
      <c r="K1355">
        <v>1.1217379999999999</v>
      </c>
      <c r="L1355">
        <v>367.3689</v>
      </c>
      <c r="M1355">
        <v>0.99970389999999998</v>
      </c>
      <c r="N1355">
        <v>-2.1910289999999999E-2</v>
      </c>
      <c r="O1355">
        <v>1.058708E-2</v>
      </c>
      <c r="P1355">
        <v>0.99577020000000005</v>
      </c>
      <c r="Q1355">
        <v>-9.0612709999999999E-2</v>
      </c>
      <c r="R1355">
        <v>1.520635E-2</v>
      </c>
      <c r="S1355">
        <v>3.0101170000000002</v>
      </c>
      <c r="T1355">
        <v>-8.2549449999999996E-2</v>
      </c>
      <c r="U1355">
        <v>-0.29217530000000003</v>
      </c>
      <c r="V1355">
        <v>-4.6931459999999996E-3</v>
      </c>
      <c r="W1355">
        <v>-6.8768839999999998E-2</v>
      </c>
      <c r="X1355">
        <v>0.9976216</v>
      </c>
      <c r="Y1355">
        <v>0.1070729</v>
      </c>
      <c r="Z1355">
        <v>-2.698977E-3</v>
      </c>
      <c r="AA1355">
        <v>0.99424749999999995</v>
      </c>
      <c r="AB1355">
        <v>29</v>
      </c>
      <c r="AC1355">
        <v>40.721699999999998</v>
      </c>
      <c r="AD1355">
        <v>-1.121746953927</v>
      </c>
      <c r="AE1355">
        <v>-3.9719999999999702</v>
      </c>
      <c r="AF1355">
        <v>4.3996975832838601</v>
      </c>
      <c r="AG1355">
        <v>-1.121746953927</v>
      </c>
      <c r="AH1355">
        <v>40.646801820960498</v>
      </c>
      <c r="AI1355">
        <v>91.571639084909904</v>
      </c>
      <c r="AJ1355">
        <v>83.822233194948495</v>
      </c>
      <c r="AK1355">
        <v>40.899610674497097</v>
      </c>
      <c r="AL1355">
        <v>93.943276458021899</v>
      </c>
      <c r="AM1355">
        <v>90.269536540537501</v>
      </c>
      <c r="AN1355">
        <v>1.00000001788044</v>
      </c>
    </row>
    <row r="1356" spans="1:40" x14ac:dyDescent="0.25">
      <c r="A1356" t="str">
        <f>"20190303153802977"</f>
        <v>20190303153802977</v>
      </c>
      <c r="B1356" t="str">
        <f>"1551598682970290"</f>
        <v>1551598682970290</v>
      </c>
      <c r="C1356" t="s">
        <v>40</v>
      </c>
      <c r="D1356">
        <v>4.5247080000000004</v>
      </c>
      <c r="E1356">
        <v>0.54291990000000001</v>
      </c>
      <c r="F1356" t="s">
        <v>45</v>
      </c>
      <c r="G1356">
        <v>-197.35210000000001</v>
      </c>
      <c r="H1356" s="1">
        <v>-8.8606749999999997E-6</v>
      </c>
      <c r="I1356">
        <v>363.33569999999997</v>
      </c>
      <c r="J1356">
        <v>-238.17570000000001</v>
      </c>
      <c r="K1356">
        <v>1.1217509999999999</v>
      </c>
      <c r="L1356">
        <v>367.37060000000002</v>
      </c>
      <c r="M1356">
        <v>0.99970349999999997</v>
      </c>
      <c r="N1356">
        <v>-2.199978E-2</v>
      </c>
      <c r="O1356">
        <v>1.0442699999999999E-2</v>
      </c>
      <c r="P1356">
        <v>0.99576260000000005</v>
      </c>
      <c r="Q1356">
        <v>-9.0787720000000002E-2</v>
      </c>
      <c r="R1356">
        <v>1.4649499999999999E-2</v>
      </c>
      <c r="S1356">
        <v>3.0097659999999999</v>
      </c>
      <c r="T1356">
        <v>-8.2341429999999993E-2</v>
      </c>
      <c r="U1356">
        <v>-0.29605100000000001</v>
      </c>
      <c r="V1356">
        <v>-4.2802099999999996E-3</v>
      </c>
      <c r="W1356">
        <v>-6.8855E-2</v>
      </c>
      <c r="X1356">
        <v>0.99761750000000005</v>
      </c>
      <c r="Y1356">
        <v>0.108208</v>
      </c>
      <c r="Z1356">
        <v>-2.7258370000000001E-3</v>
      </c>
      <c r="AA1356">
        <v>0.99412449999999997</v>
      </c>
      <c r="AB1356">
        <v>29</v>
      </c>
      <c r="AC1356">
        <v>40.823599999999999</v>
      </c>
      <c r="AD1356">
        <v>-1.1217598606750001</v>
      </c>
      <c r="AE1356">
        <v>-4.0349000000000501</v>
      </c>
      <c r="AF1356">
        <v>4.4577583873919497</v>
      </c>
      <c r="AG1356">
        <v>-1.1217598606750001</v>
      </c>
      <c r="AH1356">
        <v>40.748757707726398</v>
      </c>
      <c r="AI1356">
        <v>91.567532280381002</v>
      </c>
      <c r="AJ1356">
        <v>83.756886539696296</v>
      </c>
      <c r="AK1356">
        <v>41.007209241161199</v>
      </c>
      <c r="AL1356">
        <v>93.948224847398805</v>
      </c>
      <c r="AM1356">
        <v>90.245822134918399</v>
      </c>
      <c r="AN1356">
        <v>1.0000000037644401</v>
      </c>
    </row>
    <row r="1357" spans="1:40" x14ac:dyDescent="0.25">
      <c r="A1357" t="str">
        <f>"20190303153802988"</f>
        <v>20190303153802988</v>
      </c>
      <c r="B1357" t="str">
        <f>"1551598682980050"</f>
        <v>1551598682980050</v>
      </c>
      <c r="C1357" t="s">
        <v>40</v>
      </c>
      <c r="D1357">
        <v>4.5213289999999997</v>
      </c>
      <c r="E1357">
        <v>0.54297859999999998</v>
      </c>
      <c r="F1357" t="s">
        <v>45</v>
      </c>
      <c r="G1357">
        <v>-197.3896</v>
      </c>
      <c r="H1357" s="1">
        <v>-8.8740530000000001E-6</v>
      </c>
      <c r="I1357">
        <v>363.3374</v>
      </c>
      <c r="J1357">
        <v>-238.02170000000001</v>
      </c>
      <c r="K1357">
        <v>1.121766</v>
      </c>
      <c r="L1357">
        <v>367.37209999999999</v>
      </c>
      <c r="M1357">
        <v>0.99970300000000001</v>
      </c>
      <c r="N1357">
        <v>-2.207396E-2</v>
      </c>
      <c r="O1357">
        <v>1.0318239999999999E-2</v>
      </c>
      <c r="P1357">
        <v>0.99578540000000004</v>
      </c>
      <c r="Q1357">
        <v>-9.0584890000000001E-2</v>
      </c>
      <c r="R1357">
        <v>1.43524E-2</v>
      </c>
      <c r="S1357">
        <v>3.0095830000000001</v>
      </c>
      <c r="T1357">
        <v>-8.2774039999999993E-2</v>
      </c>
      <c r="U1357">
        <v>-0.29760740000000002</v>
      </c>
      <c r="V1357">
        <v>-4.1071329999999998E-3</v>
      </c>
      <c r="W1357">
        <v>-6.8577860000000004E-2</v>
      </c>
      <c r="X1357">
        <v>0.99763729999999995</v>
      </c>
      <c r="Y1357">
        <v>0.10859829999999999</v>
      </c>
      <c r="Z1357">
        <v>-2.747443E-3</v>
      </c>
      <c r="AA1357">
        <v>0.99408189999999996</v>
      </c>
      <c r="AB1357">
        <v>28</v>
      </c>
      <c r="AC1357">
        <v>40.632100000000001</v>
      </c>
      <c r="AD1357">
        <v>-1.121774874053</v>
      </c>
      <c r="AE1357">
        <v>-4.0346999999999804</v>
      </c>
      <c r="AF1357">
        <v>4.4504800226228003</v>
      </c>
      <c r="AG1357">
        <v>-1.121774874053</v>
      </c>
      <c r="AH1357">
        <v>40.557683252469197</v>
      </c>
      <c r="AI1357">
        <v>91.574877311726496</v>
      </c>
      <c r="AJ1357">
        <v>83.7378676076396</v>
      </c>
      <c r="AK1357">
        <v>40.8165508355059</v>
      </c>
      <c r="AL1357">
        <v>93.932308338457801</v>
      </c>
      <c r="AM1357">
        <v>90.235877364811302</v>
      </c>
      <c r="AN1357">
        <v>0.99999998688747405</v>
      </c>
    </row>
    <row r="1358" spans="1:40" x14ac:dyDescent="0.25">
      <c r="A1358" t="str">
        <f>"20190303153803001"</f>
        <v>20190303153803001</v>
      </c>
      <c r="B1358" t="str">
        <f>"1551598682989810"</f>
        <v>1551598682989810</v>
      </c>
      <c r="C1358" t="s">
        <v>40</v>
      </c>
      <c r="D1358">
        <v>4.5299940000000003</v>
      </c>
      <c r="E1358">
        <v>0.54306690000000002</v>
      </c>
      <c r="F1358" t="s">
        <v>45</v>
      </c>
      <c r="G1358">
        <v>-196.85239999999999</v>
      </c>
      <c r="H1358" s="1">
        <v>-8.6865319999999998E-6</v>
      </c>
      <c r="I1358">
        <v>363.28300000000002</v>
      </c>
      <c r="J1358">
        <v>-237.86539999999999</v>
      </c>
      <c r="K1358">
        <v>1.121775</v>
      </c>
      <c r="L1358">
        <v>367.37360000000001</v>
      </c>
      <c r="M1358">
        <v>0.99970320000000001</v>
      </c>
      <c r="N1358">
        <v>-2.2133630000000001E-2</v>
      </c>
      <c r="O1358">
        <v>1.019248E-2</v>
      </c>
      <c r="P1358">
        <v>0.99580250000000003</v>
      </c>
      <c r="Q1358">
        <v>-9.0443570000000001E-2</v>
      </c>
      <c r="R1358">
        <v>1.406581E-2</v>
      </c>
      <c r="S1358">
        <v>3.0095369999999999</v>
      </c>
      <c r="T1358">
        <v>-8.2003359999999997E-2</v>
      </c>
      <c r="U1358">
        <v>-0.29891970000000001</v>
      </c>
      <c r="V1358">
        <v>-3.9449709999999898E-3</v>
      </c>
      <c r="W1358">
        <v>-6.8376779999999998E-2</v>
      </c>
      <c r="X1358">
        <v>0.99765179999999998</v>
      </c>
      <c r="Y1358">
        <v>0.1089048</v>
      </c>
      <c r="Z1358">
        <v>-2.7405189999999999E-3</v>
      </c>
      <c r="AA1358">
        <v>0.99404840000000005</v>
      </c>
      <c r="AB1358">
        <v>28</v>
      </c>
      <c r="AC1358">
        <v>41.012999999999998</v>
      </c>
      <c r="AD1358">
        <v>-1.1217836865319999</v>
      </c>
      <c r="AE1358">
        <v>-4.0905999999999896</v>
      </c>
      <c r="AF1358">
        <v>4.5051767239342899</v>
      </c>
      <c r="AG1358">
        <v>-1.1217836865319999</v>
      </c>
      <c r="AH1358">
        <v>40.938839217953998</v>
      </c>
      <c r="AI1358">
        <v>91.560180908434404</v>
      </c>
      <c r="AJ1358">
        <v>83.720068079478906</v>
      </c>
      <c r="AK1358">
        <v>41.201256928238699</v>
      </c>
      <c r="AL1358">
        <v>93.920760024647294</v>
      </c>
      <c r="AM1358">
        <v>90.226561021122194</v>
      </c>
      <c r="AN1358">
        <v>1.0000000304412899</v>
      </c>
    </row>
    <row r="1359" spans="1:40" x14ac:dyDescent="0.25">
      <c r="A1359" t="str">
        <f>"20190303153803015"</f>
        <v>20190303153803015</v>
      </c>
      <c r="B1359" t="str">
        <f>"1551598683010307"</f>
        <v>1551598683010307</v>
      </c>
      <c r="C1359" t="s">
        <v>40</v>
      </c>
      <c r="D1359">
        <v>4.5769960000000003</v>
      </c>
      <c r="E1359">
        <v>0.54269369999999995</v>
      </c>
      <c r="F1359" t="s">
        <v>45</v>
      </c>
      <c r="G1359">
        <v>-196.28309999999999</v>
      </c>
      <c r="H1359" s="1">
        <v>-8.4894000000000004E-6</v>
      </c>
      <c r="I1359">
        <v>363.22269999999997</v>
      </c>
      <c r="J1359">
        <v>-237.69739999999999</v>
      </c>
      <c r="K1359">
        <v>1.121788</v>
      </c>
      <c r="L1359">
        <v>367.37509999999997</v>
      </c>
      <c r="M1359">
        <v>0.99970320000000001</v>
      </c>
      <c r="N1359">
        <v>-2.219059E-2</v>
      </c>
      <c r="O1359">
        <v>1.0057699999999999E-2</v>
      </c>
      <c r="P1359">
        <v>0.99580310000000005</v>
      </c>
      <c r="Q1359">
        <v>-9.0507690000000002E-2</v>
      </c>
      <c r="R1359">
        <v>1.358648E-2</v>
      </c>
      <c r="S1359">
        <v>3.009506</v>
      </c>
      <c r="T1359">
        <v>-8.1188679999999999E-2</v>
      </c>
      <c r="U1359">
        <v>-0.30041499999999999</v>
      </c>
      <c r="V1359">
        <v>-3.600074E-3</v>
      </c>
      <c r="W1359">
        <v>-6.8384349999999997E-2</v>
      </c>
      <c r="X1359">
        <v>0.99765250000000005</v>
      </c>
      <c r="Y1359">
        <v>0.1092616</v>
      </c>
      <c r="Z1359">
        <v>-2.7337360000000001E-3</v>
      </c>
      <c r="AA1359">
        <v>0.99400929999999998</v>
      </c>
      <c r="AB1359">
        <v>28</v>
      </c>
      <c r="AC1359">
        <v>41.414299999999997</v>
      </c>
      <c r="AD1359">
        <v>-1.1217964893999901</v>
      </c>
      <c r="AE1359">
        <v>-4.1524000000000001</v>
      </c>
      <c r="AF1359">
        <v>4.5655086096318698</v>
      </c>
      <c r="AG1359">
        <v>-1.1217964893999901</v>
      </c>
      <c r="AH1359">
        <v>41.340400172428602</v>
      </c>
      <c r="AI1359">
        <v>91.544985386961898</v>
      </c>
      <c r="AJ1359">
        <v>83.697965366184704</v>
      </c>
      <c r="AK1359">
        <v>41.606862206188801</v>
      </c>
      <c r="AL1359">
        <v>93.921195105642596</v>
      </c>
      <c r="AM1359">
        <v>90.206753504676499</v>
      </c>
      <c r="AN1359">
        <v>0.99999994530698699</v>
      </c>
    </row>
    <row r="1360" spans="1:40" x14ac:dyDescent="0.25">
      <c r="A1360" t="str">
        <f>"20190303153803027"</f>
        <v>20190303153803027</v>
      </c>
      <c r="B1360" t="str">
        <f>"1551598683020066"</f>
        <v>1551598683020066</v>
      </c>
      <c r="C1360" t="s">
        <v>40</v>
      </c>
      <c r="D1360">
        <v>4.5897230000000002</v>
      </c>
      <c r="E1360">
        <v>0.54259029999999997</v>
      </c>
      <c r="F1360" t="s">
        <v>45</v>
      </c>
      <c r="G1360">
        <v>-198.61609999999999</v>
      </c>
      <c r="H1360" s="1">
        <v>-9.2987919999999996E-6</v>
      </c>
      <c r="I1360">
        <v>363.48500000000001</v>
      </c>
      <c r="J1360">
        <v>-237.5275</v>
      </c>
      <c r="K1360">
        <v>1.1217980000000001</v>
      </c>
      <c r="L1360">
        <v>367.3766</v>
      </c>
      <c r="M1360">
        <v>0.99970360000000003</v>
      </c>
      <c r="N1360">
        <v>-2.223808E-2</v>
      </c>
      <c r="O1360">
        <v>9.9213240000000005E-3</v>
      </c>
      <c r="P1360">
        <v>0.99578699999999998</v>
      </c>
      <c r="Q1360">
        <v>-9.0689420000000007E-2</v>
      </c>
      <c r="R1360">
        <v>1.355833E-2</v>
      </c>
      <c r="S1360">
        <v>3.008896</v>
      </c>
      <c r="T1360">
        <v>-8.6367849999999996E-2</v>
      </c>
      <c r="U1360">
        <v>-0.29949949999999997</v>
      </c>
      <c r="V1360">
        <v>-3.7075509999999999E-3</v>
      </c>
      <c r="W1360">
        <v>-6.8518999999999997E-2</v>
      </c>
      <c r="X1360">
        <v>0.9976429</v>
      </c>
      <c r="Y1360">
        <v>0.1088393</v>
      </c>
      <c r="Z1360">
        <v>-2.835639E-3</v>
      </c>
      <c r="AA1360">
        <v>0.99405529999999998</v>
      </c>
      <c r="AB1360">
        <v>28</v>
      </c>
      <c r="AC1360">
        <v>38.9114</v>
      </c>
      <c r="AD1360">
        <v>-1.12180729879199</v>
      </c>
      <c r="AE1360">
        <v>-3.89159999999998</v>
      </c>
      <c r="AF1360">
        <v>4.2740392062622901</v>
      </c>
      <c r="AG1360">
        <v>-1.12180729879199</v>
      </c>
      <c r="AH1360">
        <v>38.838903042976298</v>
      </c>
      <c r="AI1360">
        <v>91.6445262215924</v>
      </c>
      <c r="AJ1360">
        <v>83.720136370360905</v>
      </c>
      <c r="AK1360">
        <v>39.089464723042703</v>
      </c>
      <c r="AL1360">
        <v>93.928927993980494</v>
      </c>
      <c r="AM1360">
        <v>90.212927939142205</v>
      </c>
      <c r="AN1360">
        <v>0.99999997760791304</v>
      </c>
    </row>
    <row r="1361" spans="1:40" x14ac:dyDescent="0.25">
      <c r="A1361" t="str">
        <f>"20190303153803040"</f>
        <v>20190303153803040</v>
      </c>
      <c r="B1361" t="str">
        <f>"1551598683029826"</f>
        <v>1551598683029826</v>
      </c>
      <c r="C1361" t="s">
        <v>40</v>
      </c>
      <c r="D1361">
        <v>4.5645129999999998</v>
      </c>
      <c r="E1361">
        <v>0.54245869999999996</v>
      </c>
      <c r="F1361" t="s">
        <v>45</v>
      </c>
      <c r="G1361">
        <v>-199.48670000000001</v>
      </c>
      <c r="H1361" s="1">
        <v>-9.5987309999999999E-6</v>
      </c>
      <c r="I1361">
        <v>363.60059999999999</v>
      </c>
      <c r="J1361">
        <v>-237.3717</v>
      </c>
      <c r="K1361">
        <v>1.121794</v>
      </c>
      <c r="L1361">
        <v>367.37810000000002</v>
      </c>
      <c r="M1361">
        <v>0.99970440000000005</v>
      </c>
      <c r="N1361">
        <v>-2.2255179999999999E-2</v>
      </c>
      <c r="O1361">
        <v>9.7972749999999994E-3</v>
      </c>
      <c r="P1361">
        <v>0.9957376</v>
      </c>
      <c r="Q1361">
        <v>-9.1214310000000007E-2</v>
      </c>
      <c r="R1361">
        <v>1.367236E-2</v>
      </c>
      <c r="S1361">
        <v>3.0086520000000001</v>
      </c>
      <c r="T1361">
        <v>-8.8724020000000001E-2</v>
      </c>
      <c r="U1361">
        <v>-0.29864499999999999</v>
      </c>
      <c r="V1361">
        <v>-3.9457449999999996E-3</v>
      </c>
      <c r="W1361">
        <v>-6.9027669999999999E-2</v>
      </c>
      <c r="X1361">
        <v>0.99760689999999996</v>
      </c>
      <c r="Y1361">
        <v>0.1084412</v>
      </c>
      <c r="Z1361">
        <v>-2.8756179999999999E-3</v>
      </c>
      <c r="AA1361">
        <v>0.9940987</v>
      </c>
      <c r="AB1361">
        <v>28</v>
      </c>
      <c r="AC1361">
        <v>37.884999999999899</v>
      </c>
      <c r="AD1361">
        <v>-1.121803598731</v>
      </c>
      <c r="AE1361">
        <v>-3.7775000000000301</v>
      </c>
      <c r="AF1361">
        <v>4.1449817654729397</v>
      </c>
      <c r="AG1361">
        <v>-1.121803598731</v>
      </c>
      <c r="AH1361">
        <v>37.813334217016497</v>
      </c>
      <c r="AI1361">
        <v>91.689176283959497</v>
      </c>
      <c r="AJ1361">
        <v>83.744388074323197</v>
      </c>
      <c r="AK1361">
        <v>38.056373470918402</v>
      </c>
      <c r="AL1361">
        <v>93.958141887945899</v>
      </c>
      <c r="AM1361">
        <v>90.226615670627396</v>
      </c>
      <c r="AN1361">
        <v>0.99999995752842097</v>
      </c>
    </row>
    <row r="1362" spans="1:40" x14ac:dyDescent="0.25">
      <c r="A1362" t="str">
        <f>"20190303153803054"</f>
        <v>20190303153803054</v>
      </c>
      <c r="B1362" t="str">
        <f>"1551598683050321"</f>
        <v>1551598683050321</v>
      </c>
      <c r="C1362" t="s">
        <v>40</v>
      </c>
      <c r="D1362">
        <v>4.5278199999999904</v>
      </c>
      <c r="E1362">
        <v>0.542404199999999</v>
      </c>
      <c r="F1362" t="s">
        <v>45</v>
      </c>
      <c r="G1362">
        <v>-200.6345</v>
      </c>
      <c r="H1362" s="1">
        <v>-1.9312989999999998E-6</v>
      </c>
      <c r="I1362">
        <v>363.7491</v>
      </c>
      <c r="J1362">
        <v>-237.2148</v>
      </c>
      <c r="K1362">
        <v>1.121793</v>
      </c>
      <c r="L1362">
        <v>367.37939999999998</v>
      </c>
      <c r="M1362">
        <v>0.99970550000000002</v>
      </c>
      <c r="N1362">
        <v>-2.226071E-2</v>
      </c>
      <c r="O1362">
        <v>9.6729429999999998E-3</v>
      </c>
      <c r="P1362">
        <v>0.99570449999999999</v>
      </c>
      <c r="Q1362">
        <v>-9.1572760000000003E-2</v>
      </c>
      <c r="R1362">
        <v>1.369015E-2</v>
      </c>
      <c r="S1362">
        <v>3.008499</v>
      </c>
      <c r="T1362">
        <v>-9.1866610000000001E-2</v>
      </c>
      <c r="U1362">
        <v>-0.29718020000000001</v>
      </c>
      <c r="V1362">
        <v>-4.0878770000000002E-3</v>
      </c>
      <c r="W1362">
        <v>-6.9381209999999999E-2</v>
      </c>
      <c r="X1362">
        <v>0.99758179999999996</v>
      </c>
      <c r="Y1362">
        <v>0.1078389</v>
      </c>
      <c r="Z1362">
        <v>-2.9257440000000001E-3</v>
      </c>
      <c r="AA1362">
        <v>0.99416400000000005</v>
      </c>
      <c r="AB1362">
        <v>28</v>
      </c>
      <c r="AC1362">
        <v>36.580300000000001</v>
      </c>
      <c r="AD1362">
        <v>-1.1217949312989901</v>
      </c>
      <c r="AE1362">
        <v>-3.6302999999999699</v>
      </c>
      <c r="AF1362">
        <v>3.9803501179640199</v>
      </c>
      <c r="AG1362">
        <v>-1.1217949312989901</v>
      </c>
      <c r="AH1362">
        <v>36.509463195484898</v>
      </c>
      <c r="AI1362">
        <v>91.749564172547906</v>
      </c>
      <c r="AJ1362">
        <v>83.778048813141098</v>
      </c>
      <c r="AK1362">
        <v>36.742924676077898</v>
      </c>
      <c r="AL1362">
        <v>93.9784469287669</v>
      </c>
      <c r="AM1362">
        <v>90.234784544281496</v>
      </c>
      <c r="AN1362">
        <v>0.99999995536533404</v>
      </c>
    </row>
    <row r="1363" spans="1:40" x14ac:dyDescent="0.25">
      <c r="A1363" t="str">
        <f>"20190303153803065"</f>
        <v>20190303153803065</v>
      </c>
      <c r="B1363" t="str">
        <f>"1551598683060082"</f>
        <v>1551598683060082</v>
      </c>
      <c r="C1363" t="s">
        <v>40</v>
      </c>
      <c r="D1363">
        <v>4.4956959999999997</v>
      </c>
      <c r="E1363">
        <v>0.56395890000000004</v>
      </c>
      <c r="F1363" t="s">
        <v>45</v>
      </c>
      <c r="G1363">
        <v>-201.34690000000001</v>
      </c>
      <c r="H1363" s="1">
        <v>-2.3286160000000001E-6</v>
      </c>
      <c r="I1363">
        <v>363.84059999999999</v>
      </c>
      <c r="J1363">
        <v>-237.05539999999999</v>
      </c>
      <c r="K1363">
        <v>1.121785</v>
      </c>
      <c r="L1363">
        <v>367.3809</v>
      </c>
      <c r="M1363">
        <v>0.99970700000000001</v>
      </c>
      <c r="N1363">
        <v>-2.2246660000000001E-2</v>
      </c>
      <c r="O1363">
        <v>9.5468689999999995E-3</v>
      </c>
      <c r="P1363">
        <v>0.99568959999999995</v>
      </c>
      <c r="Q1363">
        <v>-9.1715619999999998E-2</v>
      </c>
      <c r="R1363">
        <v>1.38177E-2</v>
      </c>
      <c r="S1363">
        <v>3.0083769999999999</v>
      </c>
      <c r="T1363">
        <v>-9.4089149999999996E-2</v>
      </c>
      <c r="U1363">
        <v>-0.29681400000000002</v>
      </c>
      <c r="V1363">
        <v>-4.3404189999999999E-3</v>
      </c>
      <c r="W1363">
        <v>-6.9538260000000005E-2</v>
      </c>
      <c r="X1363">
        <v>0.99756990000000001</v>
      </c>
      <c r="Y1363">
        <v>0.1075945</v>
      </c>
      <c r="Z1363">
        <v>-2.9643790000000001E-3</v>
      </c>
      <c r="AA1363">
        <v>0.99419049999999998</v>
      </c>
      <c r="AB1363">
        <v>28</v>
      </c>
      <c r="AC1363">
        <v>35.708499999999901</v>
      </c>
      <c r="AD1363">
        <v>-1.1217873286160001</v>
      </c>
      <c r="AE1363">
        <v>-3.5402999999999998</v>
      </c>
      <c r="AF1363">
        <v>3.8773379795995799</v>
      </c>
      <c r="AG1363">
        <v>-1.1217873286160001</v>
      </c>
      <c r="AH1363">
        <v>35.6382353329588</v>
      </c>
      <c r="AI1363">
        <v>91.792338511349499</v>
      </c>
      <c r="AJ1363">
        <v>83.790805393070698</v>
      </c>
      <c r="AK1363">
        <v>35.866083899222197</v>
      </c>
      <c r="AL1363">
        <v>93.9874666106939</v>
      </c>
      <c r="AM1363">
        <v>90.249291925029794</v>
      </c>
      <c r="AN1363">
        <v>1.00000005711346</v>
      </c>
    </row>
    <row r="1364" spans="1:40" x14ac:dyDescent="0.25">
      <c r="A1364" t="str">
        <f>"20190303153803078"</f>
        <v>20190303153803078</v>
      </c>
      <c r="B1364" t="str">
        <f>"1551598683069841"</f>
        <v>1551598683069841</v>
      </c>
      <c r="C1364" t="s">
        <v>40</v>
      </c>
      <c r="D1364">
        <v>4.4746430000000004</v>
      </c>
      <c r="E1364">
        <v>0.57055009999999995</v>
      </c>
      <c r="F1364" t="s">
        <v>41</v>
      </c>
      <c r="G1364">
        <v>-167.67840000000001</v>
      </c>
      <c r="H1364">
        <v>0.15007499999999999</v>
      </c>
      <c r="I1364">
        <v>356.61509999999998</v>
      </c>
      <c r="J1364">
        <v>-236.90559999999999</v>
      </c>
      <c r="K1364">
        <v>1.1217699999999999</v>
      </c>
      <c r="L1364">
        <v>367.38209999999998</v>
      </c>
      <c r="M1364">
        <v>0.99970890000000001</v>
      </c>
      <c r="N1364">
        <v>-2.2211850000000002E-2</v>
      </c>
      <c r="O1364">
        <v>9.4285410000000004E-3</v>
      </c>
      <c r="P1364">
        <v>0.99567309999999998</v>
      </c>
      <c r="Q1364">
        <v>-9.1899369999999994E-2</v>
      </c>
      <c r="R1364">
        <v>1.377331E-2</v>
      </c>
      <c r="S1364">
        <v>3.0156100000000001</v>
      </c>
      <c r="T1364">
        <v>-4.2233470000000002E-2</v>
      </c>
      <c r="U1364">
        <v>-0.4679565</v>
      </c>
      <c r="V1364">
        <v>-4.4136059999999996E-3</v>
      </c>
      <c r="W1364">
        <v>-6.9757089999999994E-2</v>
      </c>
      <c r="X1364">
        <v>0.99755419999999995</v>
      </c>
      <c r="Y1364">
        <v>0.16261410000000001</v>
      </c>
      <c r="Z1364">
        <v>-2.8721490000000001E-3</v>
      </c>
      <c r="AA1364">
        <v>0.98668560000000005</v>
      </c>
      <c r="AB1364">
        <v>28</v>
      </c>
      <c r="AC1364">
        <v>69.227199999999897</v>
      </c>
      <c r="AD1364">
        <v>-0.97169499999999998</v>
      </c>
      <c r="AE1364">
        <v>-10.7669999999999</v>
      </c>
      <c r="AF1364">
        <v>11.417197423442699</v>
      </c>
      <c r="AG1364">
        <v>-0.97169499999999998</v>
      </c>
      <c r="AH1364">
        <v>69.109285007415096</v>
      </c>
      <c r="AI1364">
        <v>90.794769600455396</v>
      </c>
      <c r="AJ1364">
        <v>80.6191825642168</v>
      </c>
      <c r="AK1364">
        <v>70.052764844901105</v>
      </c>
      <c r="AL1364">
        <v>94.000035568443707</v>
      </c>
      <c r="AM1364">
        <v>90.253499354879693</v>
      </c>
      <c r="AN1364">
        <v>0.99999995673041397</v>
      </c>
    </row>
    <row r="1365" spans="1:40" x14ac:dyDescent="0.25">
      <c r="A1365" t="str">
        <f>"20190303153803092"</f>
        <v>20190303153803092</v>
      </c>
      <c r="B1365" t="str">
        <f>"1551598683079602"</f>
        <v>1551598683079602</v>
      </c>
      <c r="C1365" t="s">
        <v>40</v>
      </c>
      <c r="D1365">
        <v>4.4481489999999999</v>
      </c>
      <c r="E1365">
        <v>0.57504309999999903</v>
      </c>
      <c r="F1365" t="s">
        <v>43</v>
      </c>
      <c r="G1365">
        <v>-167.03290000000001</v>
      </c>
      <c r="H1365">
        <v>-0.05</v>
      </c>
      <c r="I1365">
        <v>355.31240000000003</v>
      </c>
      <c r="J1365">
        <v>-236.74010000000001</v>
      </c>
      <c r="K1365">
        <v>1.1217629999999901</v>
      </c>
      <c r="L1365">
        <v>367.38350000000003</v>
      </c>
      <c r="M1365">
        <v>0.99971129999999997</v>
      </c>
      <c r="N1365">
        <v>-2.2158629999999999E-2</v>
      </c>
      <c r="O1365">
        <v>9.2980330000000007E-3</v>
      </c>
      <c r="P1365">
        <v>0.99565090000000001</v>
      </c>
      <c r="Q1365">
        <v>-9.2139100000000002E-2</v>
      </c>
      <c r="R1365">
        <v>1.377665E-2</v>
      </c>
      <c r="S1365">
        <v>3.0155639999999999</v>
      </c>
      <c r="T1365">
        <v>-5.0571199999999997E-2</v>
      </c>
      <c r="U1365">
        <v>-0.52090449999999999</v>
      </c>
      <c r="V1365">
        <v>-4.5471749999999997E-3</v>
      </c>
      <c r="W1365">
        <v>-7.0050319999999999E-2</v>
      </c>
      <c r="X1365">
        <v>0.99753309999999995</v>
      </c>
      <c r="Y1365">
        <v>0.17931710000000001</v>
      </c>
      <c r="Z1365">
        <v>-3.444599E-3</v>
      </c>
      <c r="AA1365">
        <v>0.98378529999999997</v>
      </c>
      <c r="AB1365">
        <v>28</v>
      </c>
      <c r="AC1365">
        <v>69.7072</v>
      </c>
      <c r="AD1365">
        <v>-1.1717630000000001</v>
      </c>
      <c r="AE1365">
        <v>-12.071099999999999</v>
      </c>
      <c r="AF1365">
        <v>12.7153885512698</v>
      </c>
      <c r="AG1365">
        <v>-1.1717630000000001</v>
      </c>
      <c r="AH1365">
        <v>69.572833445311602</v>
      </c>
      <c r="AI1365">
        <v>90.9491792183005</v>
      </c>
      <c r="AJ1365">
        <v>79.6427215715198</v>
      </c>
      <c r="AK1365">
        <v>70.734950965891002</v>
      </c>
      <c r="AL1365">
        <v>94.016877416945604</v>
      </c>
      <c r="AM1365">
        <v>90.261176427797807</v>
      </c>
      <c r="AN1365">
        <v>1.00000000486409</v>
      </c>
    </row>
    <row r="1366" spans="1:40" x14ac:dyDescent="0.25">
      <c r="A1366" t="str">
        <f>"20190303153803106"</f>
        <v>20190303153803106</v>
      </c>
      <c r="B1366" t="str">
        <f>"1551598683100098"</f>
        <v>1551598683100098</v>
      </c>
      <c r="C1366" t="s">
        <v>40</v>
      </c>
      <c r="D1366">
        <v>4.4632139999999998</v>
      </c>
      <c r="E1366">
        <v>0.57939879999999999</v>
      </c>
      <c r="F1366" t="s">
        <v>41</v>
      </c>
      <c r="G1366">
        <v>-169.2955</v>
      </c>
      <c r="H1366">
        <v>0.21162220000000001</v>
      </c>
      <c r="I1366">
        <v>354.93869999999998</v>
      </c>
      <c r="J1366">
        <v>-236.56219999999999</v>
      </c>
      <c r="K1366">
        <v>1.1217429999999999</v>
      </c>
      <c r="L1366">
        <v>367.38499999999999</v>
      </c>
      <c r="M1366">
        <v>0.99971449999999995</v>
      </c>
      <c r="N1366">
        <v>-2.2070849999999999E-2</v>
      </c>
      <c r="O1366">
        <v>9.1576060000000004E-3</v>
      </c>
      <c r="P1366">
        <v>0.99566460000000001</v>
      </c>
      <c r="Q1366">
        <v>-9.2008729999999997E-2</v>
      </c>
      <c r="R1366">
        <v>1.36572E-2</v>
      </c>
      <c r="S1366">
        <v>3.0170439999999998</v>
      </c>
      <c r="T1366">
        <v>-4.0709969999999998E-2</v>
      </c>
      <c r="U1366">
        <v>-0.55670169999999997</v>
      </c>
      <c r="V1366">
        <v>-4.5671669999999996E-3</v>
      </c>
      <c r="W1366">
        <v>-7.0007319999999998E-2</v>
      </c>
      <c r="X1366">
        <v>0.99753599999999998</v>
      </c>
      <c r="Y1366">
        <v>0.1904103</v>
      </c>
      <c r="Z1366">
        <v>-3.3153190000000002E-3</v>
      </c>
      <c r="AA1366">
        <v>0.98169899999999999</v>
      </c>
      <c r="AB1366">
        <v>27</v>
      </c>
      <c r="AC1366">
        <v>67.266699999999901</v>
      </c>
      <c r="AD1366">
        <v>-0.91012079999999995</v>
      </c>
      <c r="AE1366">
        <v>-12.446300000000001</v>
      </c>
      <c r="AF1366">
        <v>13.059618275698501</v>
      </c>
      <c r="AG1366">
        <v>-0.91012079999999995</v>
      </c>
      <c r="AH1366">
        <v>67.137988375218598</v>
      </c>
      <c r="AI1366">
        <v>90.762365093863494</v>
      </c>
      <c r="AJ1366">
        <v>78.992339891818006</v>
      </c>
      <c r="AK1366">
        <v>68.402422708911004</v>
      </c>
      <c r="AL1366">
        <v>94.014407744747302</v>
      </c>
      <c r="AM1366">
        <v>90.262323931163195</v>
      </c>
      <c r="AN1366">
        <v>0.99999997758199299</v>
      </c>
    </row>
    <row r="1367" spans="1:40" x14ac:dyDescent="0.25">
      <c r="A1367" t="str">
        <f>"20190303153803119"</f>
        <v>20190303153803119</v>
      </c>
      <c r="B1367" t="str">
        <f>"1551598683109858"</f>
        <v>1551598683109858</v>
      </c>
      <c r="C1367" t="s">
        <v>40</v>
      </c>
      <c r="D1367">
        <v>4.5424389999999999</v>
      </c>
      <c r="E1367">
        <v>0.58021750000000005</v>
      </c>
      <c r="F1367" t="s">
        <v>41</v>
      </c>
      <c r="G1367">
        <v>-169.2955</v>
      </c>
      <c r="H1367">
        <v>0.3760481</v>
      </c>
      <c r="I1367">
        <v>354.19920000000002</v>
      </c>
      <c r="J1367">
        <v>-236.40690000000001</v>
      </c>
      <c r="K1367">
        <v>1.121718</v>
      </c>
      <c r="L1367">
        <v>367.38630000000001</v>
      </c>
      <c r="M1367">
        <v>0.99971810000000005</v>
      </c>
      <c r="N1367">
        <v>-2.1959679999999999E-2</v>
      </c>
      <c r="O1367">
        <v>9.0351240000000003E-3</v>
      </c>
      <c r="P1367">
        <v>0.99565539999999997</v>
      </c>
      <c r="Q1367">
        <v>-9.2044310000000004E-2</v>
      </c>
      <c r="R1367">
        <v>1.4079909999999999E-2</v>
      </c>
      <c r="S1367">
        <v>3.0180820000000002</v>
      </c>
      <c r="T1367">
        <v>-3.345335E-2</v>
      </c>
      <c r="U1367">
        <v>-0.59161379999999997</v>
      </c>
      <c r="V1367">
        <v>-5.1117460000000003E-3</v>
      </c>
      <c r="W1367">
        <v>-7.0153729999999997E-2</v>
      </c>
      <c r="X1367">
        <v>0.9975231</v>
      </c>
      <c r="Y1367">
        <v>0.2011858</v>
      </c>
      <c r="Z1367">
        <v>-3.2374349999999999E-3</v>
      </c>
      <c r="AA1367">
        <v>0.97954770000000002</v>
      </c>
      <c r="AB1367">
        <v>27</v>
      </c>
      <c r="AC1367">
        <v>67.111400000000003</v>
      </c>
      <c r="AD1367">
        <v>-0.7456699</v>
      </c>
      <c r="AE1367">
        <v>-13.1870999999999</v>
      </c>
      <c r="AF1367">
        <v>13.7914282127504</v>
      </c>
      <c r="AG1367">
        <v>-0.7456699</v>
      </c>
      <c r="AH1367">
        <v>66.981521894206296</v>
      </c>
      <c r="AI1367">
        <v>90.624713641315694</v>
      </c>
      <c r="AJ1367">
        <v>78.365451117707195</v>
      </c>
      <c r="AK1367">
        <v>68.390670350649899</v>
      </c>
      <c r="AL1367">
        <v>94.022816983659993</v>
      </c>
      <c r="AM1367">
        <v>90.293606141157596</v>
      </c>
      <c r="AN1367">
        <v>1.0000000054068401</v>
      </c>
    </row>
    <row r="1368" spans="1:40" x14ac:dyDescent="0.25">
      <c r="A1368" t="str">
        <f>"20190303153803133"</f>
        <v>20190303153803133</v>
      </c>
      <c r="B1368" t="str">
        <f>"1551598683130354"</f>
        <v>1551598683130354</v>
      </c>
      <c r="C1368" t="s">
        <v>40</v>
      </c>
      <c r="D1368">
        <v>4.5144469999999997</v>
      </c>
      <c r="E1368">
        <v>0.58036299999999996</v>
      </c>
      <c r="F1368" t="s">
        <v>41</v>
      </c>
      <c r="G1368">
        <v>-169.2955</v>
      </c>
      <c r="H1368">
        <v>0.28702159999999999</v>
      </c>
      <c r="I1368">
        <v>354.10930000000002</v>
      </c>
      <c r="J1368">
        <v>-236.23859999999999</v>
      </c>
      <c r="K1368">
        <v>1.1216889999999999</v>
      </c>
      <c r="L1368">
        <v>367.3877</v>
      </c>
      <c r="M1368">
        <v>0.99972249999999996</v>
      </c>
      <c r="N1368">
        <v>-2.1814750000000001E-2</v>
      </c>
      <c r="O1368">
        <v>8.9022249999999997E-3</v>
      </c>
      <c r="P1368">
        <v>0.99566540000000003</v>
      </c>
      <c r="Q1368">
        <v>-9.1924190000000003E-2</v>
      </c>
      <c r="R1368">
        <v>1.417333E-2</v>
      </c>
      <c r="S1368">
        <v>3.0180509999999998</v>
      </c>
      <c r="T1368">
        <v>-3.7532929999999999E-2</v>
      </c>
      <c r="U1368">
        <v>-0.59707639999999995</v>
      </c>
      <c r="V1368">
        <v>-5.3376739999999997E-3</v>
      </c>
      <c r="W1368">
        <v>-7.0177939999999994E-2</v>
      </c>
      <c r="X1368">
        <v>0.99752019999999997</v>
      </c>
      <c r="Y1368">
        <v>0.20275779999999999</v>
      </c>
      <c r="Z1368">
        <v>-3.3992390000000001E-3</v>
      </c>
      <c r="AA1368">
        <v>0.97922299999999995</v>
      </c>
      <c r="AB1368">
        <v>27</v>
      </c>
      <c r="AC1368">
        <v>66.943099999999902</v>
      </c>
      <c r="AD1368">
        <v>-0.83466739999999995</v>
      </c>
      <c r="AE1368">
        <v>-13.2783999999999</v>
      </c>
      <c r="AF1368">
        <v>13.8718830391075</v>
      </c>
      <c r="AG1368">
        <v>-0.83466739999999995</v>
      </c>
      <c r="AH1368">
        <v>66.812217283447396</v>
      </c>
      <c r="AI1368">
        <v>90.700799652967007</v>
      </c>
      <c r="AJ1368">
        <v>78.270615805392595</v>
      </c>
      <c r="AK1368">
        <v>68.242202390089105</v>
      </c>
      <c r="AL1368">
        <v>94.024207596907303</v>
      </c>
      <c r="AM1368">
        <v>90.306583539662796</v>
      </c>
      <c r="AN1368">
        <v>0.99999999171720599</v>
      </c>
    </row>
    <row r="1369" spans="1:40" x14ac:dyDescent="0.25">
      <c r="A1369" t="str">
        <f>"20190303153803144"</f>
        <v>20190303153803144</v>
      </c>
      <c r="B1369" t="str">
        <f>"1551598683140114"</f>
        <v>1551598683140114</v>
      </c>
      <c r="C1369" t="s">
        <v>40</v>
      </c>
      <c r="D1369">
        <v>4.51058</v>
      </c>
      <c r="E1369">
        <v>0.58038230000000002</v>
      </c>
      <c r="F1369" t="s">
        <v>43</v>
      </c>
      <c r="G1369">
        <v>-166.33420000000001</v>
      </c>
      <c r="H1369">
        <v>-0.05</v>
      </c>
      <c r="I1369">
        <v>353.5317</v>
      </c>
      <c r="J1369">
        <v>-236.0958</v>
      </c>
      <c r="K1369">
        <v>1.121658</v>
      </c>
      <c r="L1369">
        <v>367.3888</v>
      </c>
      <c r="M1369">
        <v>0.99972680000000003</v>
      </c>
      <c r="N1369">
        <v>-2.166013E-2</v>
      </c>
      <c r="O1369">
        <v>8.7896729999999996E-3</v>
      </c>
      <c r="P1369">
        <v>0.99566270000000001</v>
      </c>
      <c r="Q1369">
        <v>-9.1898709999999995E-2</v>
      </c>
      <c r="R1369">
        <v>1.451648E-2</v>
      </c>
      <c r="S1369">
        <v>3.0169069999999998</v>
      </c>
      <c r="T1369">
        <v>-5.0567269999999997E-2</v>
      </c>
      <c r="U1369">
        <v>-0.59799190000000002</v>
      </c>
      <c r="V1369">
        <v>-5.7923459999999899E-3</v>
      </c>
      <c r="W1369">
        <v>-7.0306560000000004E-2</v>
      </c>
      <c r="X1369">
        <v>0.99750859999999997</v>
      </c>
      <c r="Y1369">
        <v>0.20298289999999999</v>
      </c>
      <c r="Z1369">
        <v>-3.862121E-3</v>
      </c>
      <c r="AA1369">
        <v>0.97917469999999995</v>
      </c>
      <c r="AB1369">
        <v>27</v>
      </c>
      <c r="AC1369">
        <v>69.761599999999902</v>
      </c>
      <c r="AD1369">
        <v>-1.1716580000000001</v>
      </c>
      <c r="AE1369">
        <v>-13.857100000000001</v>
      </c>
      <c r="AF1369">
        <v>14.465964326889299</v>
      </c>
      <c r="AG1369">
        <v>-1.1716580000000001</v>
      </c>
      <c r="AH1369">
        <v>69.618183568083694</v>
      </c>
      <c r="AI1369">
        <v>90.944022981456698</v>
      </c>
      <c r="AJ1369">
        <v>78.261548505828998</v>
      </c>
      <c r="AK1369">
        <v>71.114895694890805</v>
      </c>
      <c r="AL1369">
        <v>94.031595253521004</v>
      </c>
      <c r="AM1369">
        <v>90.332702143279406</v>
      </c>
      <c r="AN1369">
        <v>0.99999998536258805</v>
      </c>
    </row>
    <row r="1370" spans="1:40" x14ac:dyDescent="0.25">
      <c r="A1370" t="str">
        <f>"20190303153803156"</f>
        <v>20190303153803156</v>
      </c>
      <c r="B1370" t="str">
        <f>"1551598683149874"</f>
        <v>1551598683149874</v>
      </c>
      <c r="C1370" t="s">
        <v>40</v>
      </c>
      <c r="D1370">
        <v>4.5257620000000003</v>
      </c>
      <c r="E1370">
        <v>0.58062290000000005</v>
      </c>
      <c r="F1370" t="s">
        <v>45</v>
      </c>
      <c r="G1370">
        <v>-179.98750000000001</v>
      </c>
      <c r="H1370">
        <v>6.2531950000000003E-2</v>
      </c>
      <c r="I1370">
        <v>356.28359999999998</v>
      </c>
      <c r="J1370">
        <v>-235.96680000000001</v>
      </c>
      <c r="K1370">
        <v>1.121629</v>
      </c>
      <c r="L1370">
        <v>367.38979999999998</v>
      </c>
      <c r="M1370">
        <v>0.99973120000000004</v>
      </c>
      <c r="N1370">
        <v>-2.1500200000000001E-2</v>
      </c>
      <c r="O1370">
        <v>8.6881240000000002E-3</v>
      </c>
      <c r="P1370">
        <v>0.99566690000000002</v>
      </c>
      <c r="Q1370">
        <v>-9.1811690000000001E-2</v>
      </c>
      <c r="R1370">
        <v>1.478403E-2</v>
      </c>
      <c r="S1370">
        <v>3.0165410000000001</v>
      </c>
      <c r="T1370">
        <v>-5.694163E-2</v>
      </c>
      <c r="U1370">
        <v>-0.59704590000000002</v>
      </c>
      <c r="V1370">
        <v>-6.1609430000000003E-3</v>
      </c>
      <c r="W1370">
        <v>-7.0378850000000007E-2</v>
      </c>
      <c r="X1370">
        <v>0.99750130000000004</v>
      </c>
      <c r="Y1370">
        <v>0.20259920000000001</v>
      </c>
      <c r="Z1370">
        <v>-4.070649E-3</v>
      </c>
      <c r="AA1370">
        <v>0.97925329999999999</v>
      </c>
      <c r="AB1370">
        <v>27</v>
      </c>
      <c r="AC1370">
        <v>55.979300000000002</v>
      </c>
      <c r="AD1370">
        <v>-1.0590970500000001</v>
      </c>
      <c r="AE1370">
        <v>-11.106199999999999</v>
      </c>
      <c r="AF1370">
        <v>11.588257255316901</v>
      </c>
      <c r="AG1370">
        <v>-1.0590970500000001</v>
      </c>
      <c r="AH1370">
        <v>55.861433797844597</v>
      </c>
      <c r="AI1370">
        <v>91.063523741302504</v>
      </c>
      <c r="AJ1370">
        <v>78.280419495281706</v>
      </c>
      <c r="AK1370">
        <v>57.060574644212103</v>
      </c>
      <c r="AL1370">
        <v>94.035747425648395</v>
      </c>
      <c r="AM1370">
        <v>90.353875772563498</v>
      </c>
      <c r="AN1370">
        <v>0.99999999162383002</v>
      </c>
    </row>
    <row r="1371" spans="1:40" x14ac:dyDescent="0.25">
      <c r="A1371" t="str">
        <f>"20190303153803166"</f>
        <v>20190303153803166</v>
      </c>
      <c r="B1371" t="str">
        <f>"1551598683159633"</f>
        <v>1551598683159633</v>
      </c>
      <c r="C1371" t="s">
        <v>40</v>
      </c>
      <c r="D1371">
        <v>4.5277159999999999</v>
      </c>
      <c r="E1371">
        <v>0.58068169999999897</v>
      </c>
      <c r="F1371" t="s">
        <v>45</v>
      </c>
      <c r="G1371">
        <v>-180.8552</v>
      </c>
      <c r="H1371" s="1">
        <v>-4.7964569999999996E-6</v>
      </c>
      <c r="I1371">
        <v>356.46260000000001</v>
      </c>
      <c r="J1371">
        <v>-235.8245</v>
      </c>
      <c r="K1371">
        <v>1.1215930000000001</v>
      </c>
      <c r="L1371">
        <v>367.39089999999999</v>
      </c>
      <c r="M1371">
        <v>0.99973630000000002</v>
      </c>
      <c r="N1371">
        <v>-2.1307280000000001E-2</v>
      </c>
      <c r="O1371">
        <v>8.5762540000000002E-3</v>
      </c>
      <c r="P1371">
        <v>0.99567600000000001</v>
      </c>
      <c r="Q1371">
        <v>-9.1674149999999996E-2</v>
      </c>
      <c r="R1371">
        <v>1.501571E-2</v>
      </c>
      <c r="S1371">
        <v>3.0162810000000002</v>
      </c>
      <c r="T1371">
        <v>-6.1387539999999997E-2</v>
      </c>
      <c r="U1371">
        <v>-0.59805299999999995</v>
      </c>
      <c r="V1371">
        <v>-6.5038580000000004E-3</v>
      </c>
      <c r="W1371">
        <v>-7.0433469999999998E-2</v>
      </c>
      <c r="X1371">
        <v>0.99749529999999997</v>
      </c>
      <c r="Y1371">
        <v>0.20281170000000001</v>
      </c>
      <c r="Z1371">
        <v>-4.2178479999999997E-3</v>
      </c>
      <c r="AA1371">
        <v>0.97920870000000004</v>
      </c>
      <c r="AB1371">
        <v>27</v>
      </c>
      <c r="AC1371">
        <v>54.969299999999997</v>
      </c>
      <c r="AD1371">
        <v>-1.1215977964569901</v>
      </c>
      <c r="AE1371">
        <v>-10.928299999999901</v>
      </c>
      <c r="AF1371">
        <v>11.3948719767276</v>
      </c>
      <c r="AG1371">
        <v>-1.1215977964569901</v>
      </c>
      <c r="AH1371">
        <v>54.851564457421297</v>
      </c>
      <c r="AI1371">
        <v>91.146933196838702</v>
      </c>
      <c r="AJ1371">
        <v>78.264288311451494</v>
      </c>
      <c r="AK1371">
        <v>56.033875579060897</v>
      </c>
      <c r="AL1371">
        <v>94.038884576865001</v>
      </c>
      <c r="AM1371">
        <v>90.373574024229498</v>
      </c>
      <c r="AN1371">
        <v>1.0000000236936</v>
      </c>
    </row>
    <row r="1372" spans="1:40" x14ac:dyDescent="0.25">
      <c r="A1372" t="str">
        <f>"20190303153803177"</f>
        <v>20190303153803177</v>
      </c>
      <c r="B1372" t="str">
        <f>"1551598683170370"</f>
        <v>1551598683170370</v>
      </c>
      <c r="C1372" t="s">
        <v>40</v>
      </c>
      <c r="D1372">
        <v>4.538754</v>
      </c>
      <c r="E1372">
        <v>0.58041830000000005</v>
      </c>
      <c r="F1372" t="s">
        <v>45</v>
      </c>
      <c r="G1372">
        <v>-185.21639999999999</v>
      </c>
      <c r="H1372" s="1">
        <v>-4.5200790000000002E-6</v>
      </c>
      <c r="I1372">
        <v>357.35739999999998</v>
      </c>
      <c r="J1372">
        <v>-235.70259999999999</v>
      </c>
      <c r="K1372">
        <v>1.121567</v>
      </c>
      <c r="L1372">
        <v>367.39190000000002</v>
      </c>
      <c r="M1372">
        <v>0.99974099999999999</v>
      </c>
      <c r="N1372">
        <v>-2.1124759999999999E-2</v>
      </c>
      <c r="O1372">
        <v>8.4802829999999999E-3</v>
      </c>
      <c r="P1372">
        <v>0.9956952</v>
      </c>
      <c r="Q1372">
        <v>-9.1461139999999996E-2</v>
      </c>
      <c r="R1372">
        <v>1.503754E-2</v>
      </c>
      <c r="S1372">
        <v>3.0158839999999998</v>
      </c>
      <c r="T1372">
        <v>-6.6839339999999997E-2</v>
      </c>
      <c r="U1372">
        <v>-0.59793090000000004</v>
      </c>
      <c r="V1372">
        <v>-6.6213560000000001E-3</v>
      </c>
      <c r="W1372">
        <v>-7.0402179999999995E-2</v>
      </c>
      <c r="X1372">
        <v>0.99749670000000001</v>
      </c>
      <c r="Y1372">
        <v>0.20269319999999999</v>
      </c>
      <c r="Z1372">
        <v>-4.3952230000000002E-3</v>
      </c>
      <c r="AA1372">
        <v>0.9792324</v>
      </c>
      <c r="AB1372">
        <v>27</v>
      </c>
      <c r="AC1372">
        <v>50.486199999999997</v>
      </c>
      <c r="AD1372">
        <v>-1.121571520079</v>
      </c>
      <c r="AE1372">
        <v>-10.0345</v>
      </c>
      <c r="AF1372">
        <v>10.457406938784301</v>
      </c>
      <c r="AG1372">
        <v>-1.121571520079</v>
      </c>
      <c r="AH1372">
        <v>50.375352762947301</v>
      </c>
      <c r="AI1372">
        <v>91.248823617168398</v>
      </c>
      <c r="AJ1372">
        <v>78.272549032911698</v>
      </c>
      <c r="AK1372">
        <v>51.461553110544301</v>
      </c>
      <c r="AL1372">
        <v>94.037087475164398</v>
      </c>
      <c r="AM1372">
        <v>90.380322242165093</v>
      </c>
      <c r="AN1372">
        <v>0.99999998790746003</v>
      </c>
    </row>
    <row r="1373" spans="1:40" x14ac:dyDescent="0.25">
      <c r="A1373" t="str">
        <f>"20190303153803187"</f>
        <v>20190303153803187</v>
      </c>
      <c r="B1373" t="str">
        <f>"1551598683180130"</f>
        <v>1551598683180130</v>
      </c>
      <c r="C1373" t="s">
        <v>40</v>
      </c>
      <c r="D1373">
        <v>4.5423339999999897</v>
      </c>
      <c r="E1373">
        <v>0.58066390000000001</v>
      </c>
      <c r="F1373" t="s">
        <v>45</v>
      </c>
      <c r="G1373">
        <v>-190.42920000000001</v>
      </c>
      <c r="H1373" s="1">
        <v>-4.8445890000000001E-6</v>
      </c>
      <c r="I1373">
        <v>358.44569999999999</v>
      </c>
      <c r="J1373">
        <v>-235.57640000000001</v>
      </c>
      <c r="K1373">
        <v>1.121534</v>
      </c>
      <c r="L1373">
        <v>367.3929</v>
      </c>
      <c r="M1373">
        <v>0.99974580000000002</v>
      </c>
      <c r="N1373">
        <v>-2.093103E-2</v>
      </c>
      <c r="O1373">
        <v>8.380663E-3</v>
      </c>
      <c r="P1373">
        <v>0.99572689999999997</v>
      </c>
      <c r="Q1373">
        <v>-9.1103480000000001E-2</v>
      </c>
      <c r="R1373">
        <v>1.5099400000000001E-2</v>
      </c>
      <c r="S1373">
        <v>3.0151059999999998</v>
      </c>
      <c r="T1373">
        <v>-7.4694040000000003E-2</v>
      </c>
      <c r="U1373">
        <v>-0.59579469999999901</v>
      </c>
      <c r="V1373">
        <v>-6.7817270000000004E-3</v>
      </c>
      <c r="W1373">
        <v>-7.0237170000000002E-2</v>
      </c>
      <c r="X1373">
        <v>0.99750729999999999</v>
      </c>
      <c r="Y1373">
        <v>0.20195940000000001</v>
      </c>
      <c r="Z1373">
        <v>-4.6438649999999996E-3</v>
      </c>
      <c r="AA1373">
        <v>0.97938289999999995</v>
      </c>
      <c r="AB1373">
        <v>27</v>
      </c>
      <c r="AC1373">
        <v>45.147199999999998</v>
      </c>
      <c r="AD1373">
        <v>-1.121538844589</v>
      </c>
      <c r="AE1373">
        <v>-8.9472000000000094</v>
      </c>
      <c r="AF1373">
        <v>9.3197979765926</v>
      </c>
      <c r="AG1373">
        <v>-1.121538844589</v>
      </c>
      <c r="AH1373">
        <v>45.043867080186899</v>
      </c>
      <c r="AI1373">
        <v>91.396730842171394</v>
      </c>
      <c r="AJ1373">
        <v>78.310170720655293</v>
      </c>
      <c r="AK1373">
        <v>46.011590335935701</v>
      </c>
      <c r="AL1373">
        <v>94.027609455389793</v>
      </c>
      <c r="AM1373">
        <v>90.389529328095804</v>
      </c>
      <c r="AN1373">
        <v>1.000000032712</v>
      </c>
    </row>
    <row r="1374" spans="1:40" x14ac:dyDescent="0.25">
      <c r="A1374" t="str">
        <f>"20190303153803197"</f>
        <v>20190303153803197</v>
      </c>
      <c r="B1374" t="str">
        <f>"1551598683189890"</f>
        <v>1551598683189890</v>
      </c>
      <c r="C1374" t="s">
        <v>40</v>
      </c>
      <c r="D1374">
        <v>4.3558309999999896</v>
      </c>
      <c r="E1374">
        <v>0.58068569999999997</v>
      </c>
      <c r="F1374" t="s">
        <v>45</v>
      </c>
      <c r="G1374">
        <v>-191.50630000000001</v>
      </c>
      <c r="H1374" s="1">
        <v>-5.1817129999999996E-6</v>
      </c>
      <c r="I1374">
        <v>358.6567</v>
      </c>
      <c r="J1374">
        <v>-235.4547</v>
      </c>
      <c r="K1374">
        <v>1.1215029999999999</v>
      </c>
      <c r="L1374">
        <v>367.3938</v>
      </c>
      <c r="M1374">
        <v>0.9997509</v>
      </c>
      <c r="N1374">
        <v>-2.0726789999999998E-2</v>
      </c>
      <c r="O1374">
        <v>8.2845269999999999E-3</v>
      </c>
      <c r="P1374">
        <v>0.99573250000000002</v>
      </c>
      <c r="Q1374">
        <v>-9.1011400000000006E-2</v>
      </c>
      <c r="R1374">
        <v>1.528201E-2</v>
      </c>
      <c r="S1374">
        <v>3.014923</v>
      </c>
      <c r="T1374">
        <v>-7.6726680000000005E-2</v>
      </c>
      <c r="U1374">
        <v>-0.59765630000000003</v>
      </c>
      <c r="V1374">
        <v>-7.0599259999999898E-3</v>
      </c>
      <c r="W1374">
        <v>-7.0348640000000004E-2</v>
      </c>
      <c r="X1374">
        <v>0.99749750000000004</v>
      </c>
      <c r="Y1374">
        <v>0.20245389999999999</v>
      </c>
      <c r="Z1374">
        <v>-4.7088290000000003E-3</v>
      </c>
      <c r="AA1374">
        <v>0.9792805</v>
      </c>
      <c r="AB1374">
        <v>27</v>
      </c>
      <c r="AC1374">
        <v>43.9483999999999</v>
      </c>
      <c r="AD1374">
        <v>-1.1215081817129999</v>
      </c>
      <c r="AE1374">
        <v>-8.7370999999999892</v>
      </c>
      <c r="AF1374">
        <v>9.0952722478536003</v>
      </c>
      <c r="AG1374">
        <v>-1.1215081817129999</v>
      </c>
      <c r="AH1374">
        <v>43.847025011190397</v>
      </c>
      <c r="AI1374">
        <v>91.4346507401319</v>
      </c>
      <c r="AJ1374">
        <v>78.281219182189503</v>
      </c>
      <c r="AK1374">
        <v>44.794456802110901</v>
      </c>
      <c r="AL1374">
        <v>94.034012112247396</v>
      </c>
      <c r="AM1374">
        <v>90.405512003199107</v>
      </c>
      <c r="AN1374">
        <v>1.0000000181056099</v>
      </c>
    </row>
    <row r="1375" spans="1:40" x14ac:dyDescent="0.25">
      <c r="A1375" t="str">
        <f>"20190303153803211"</f>
        <v>20190303153803211</v>
      </c>
      <c r="B1375" t="str">
        <f>"1551598683199650"</f>
        <v>1551598683199650</v>
      </c>
      <c r="C1375" t="s">
        <v>40</v>
      </c>
      <c r="D1375">
        <v>4.5445489999999999</v>
      </c>
      <c r="E1375">
        <v>0.58084820000000004</v>
      </c>
      <c r="F1375" t="s">
        <v>45</v>
      </c>
      <c r="G1375">
        <v>-180</v>
      </c>
      <c r="H1375">
        <v>1.6146020000000001E-2</v>
      </c>
      <c r="I1375">
        <v>356.41910000000001</v>
      </c>
      <c r="J1375">
        <v>-235.3014</v>
      </c>
      <c r="K1375">
        <v>1.1214649999999999</v>
      </c>
      <c r="L1375">
        <v>367.39490000000001</v>
      </c>
      <c r="M1375">
        <v>0.99975729999999996</v>
      </c>
      <c r="N1375">
        <v>-2.046276E-2</v>
      </c>
      <c r="O1375">
        <v>8.1640840000000003E-3</v>
      </c>
      <c r="P1375">
        <v>0.99575199999999997</v>
      </c>
      <c r="Q1375">
        <v>-9.0803099999999998E-2</v>
      </c>
      <c r="R1375">
        <v>1.5266740000000001E-2</v>
      </c>
      <c r="S1375">
        <v>3.0165410000000001</v>
      </c>
      <c r="T1375">
        <v>-6.012762E-2</v>
      </c>
      <c r="U1375">
        <v>-0.59698490000000004</v>
      </c>
      <c r="V1375">
        <v>-7.1645399999999996E-3</v>
      </c>
      <c r="W1375">
        <v>-7.0403359999999998E-2</v>
      </c>
      <c r="X1375">
        <v>0.99749279999999996</v>
      </c>
      <c r="Y1375">
        <v>0.20206260000000001</v>
      </c>
      <c r="Z1375">
        <v>-4.0778949999999998E-3</v>
      </c>
      <c r="AA1375">
        <v>0.97936409999999996</v>
      </c>
      <c r="AB1375">
        <v>27</v>
      </c>
      <c r="AC1375">
        <v>55.301400000000001</v>
      </c>
      <c r="AD1375">
        <v>-1.1053189799999901</v>
      </c>
      <c r="AE1375">
        <v>-10.9757999999999</v>
      </c>
      <c r="AF1375">
        <v>11.422623624688301</v>
      </c>
      <c r="AG1375">
        <v>-1.1053189799999901</v>
      </c>
      <c r="AH1375">
        <v>55.188718457836103</v>
      </c>
      <c r="AI1375">
        <v>91.123558820392802</v>
      </c>
      <c r="AJ1375">
        <v>78.306381745774104</v>
      </c>
      <c r="AK1375">
        <v>56.369253193005299</v>
      </c>
      <c r="AL1375">
        <v>94.037155507188203</v>
      </c>
      <c r="AM1375">
        <v>90.411522614812597</v>
      </c>
      <c r="AN1375">
        <v>0.99999992489226697</v>
      </c>
    </row>
    <row r="1376" spans="1:40" x14ac:dyDescent="0.25">
      <c r="A1376" t="str">
        <f>"20190303153803222"</f>
        <v>20190303153803222</v>
      </c>
      <c r="B1376" t="str">
        <f>"1551598683210386"</f>
        <v>1551598683210386</v>
      </c>
      <c r="C1376" t="s">
        <v>40</v>
      </c>
      <c r="D1376">
        <v>4.5395799999999999</v>
      </c>
      <c r="E1376">
        <v>0.58106610000000003</v>
      </c>
      <c r="F1376" t="s">
        <v>45</v>
      </c>
      <c r="G1376">
        <v>-181.46369999999999</v>
      </c>
      <c r="H1376" s="1">
        <v>-4.78821E-6</v>
      </c>
      <c r="I1376">
        <v>356.71460000000002</v>
      </c>
      <c r="J1376">
        <v>-235.1634</v>
      </c>
      <c r="K1376">
        <v>1.1214280000000001</v>
      </c>
      <c r="L1376">
        <v>367.39589999999998</v>
      </c>
      <c r="M1376">
        <v>0.99976339999999997</v>
      </c>
      <c r="N1376">
        <v>-2.0201139999999999E-2</v>
      </c>
      <c r="O1376">
        <v>8.0598570000000001E-3</v>
      </c>
      <c r="P1376">
        <v>0.9957954</v>
      </c>
      <c r="Q1376">
        <v>-9.0328710000000006E-2</v>
      </c>
      <c r="R1376">
        <v>1.5243680000000001E-2</v>
      </c>
      <c r="S1376">
        <v>3.016235</v>
      </c>
      <c r="T1376">
        <v>-6.2829850000000007E-2</v>
      </c>
      <c r="U1376">
        <v>-0.59835819999999995</v>
      </c>
      <c r="V1376">
        <v>-7.2455080000000003E-3</v>
      </c>
      <c r="W1376">
        <v>-7.0189189999999999E-2</v>
      </c>
      <c r="X1376">
        <v>0.99750740000000004</v>
      </c>
      <c r="Y1376">
        <v>0.20240340000000001</v>
      </c>
      <c r="Z1376">
        <v>-4.1573360000000002E-3</v>
      </c>
      <c r="AA1376">
        <v>0.97929339999999998</v>
      </c>
      <c r="AB1376">
        <v>27</v>
      </c>
      <c r="AC1376">
        <v>53.6997</v>
      </c>
      <c r="AD1376">
        <v>-1.1214327882099999</v>
      </c>
      <c r="AE1376">
        <v>-10.681299999999901</v>
      </c>
      <c r="AF1376">
        <v>11.1091926655997</v>
      </c>
      <c r="AG1376">
        <v>-1.1214327882099999</v>
      </c>
      <c r="AH1376">
        <v>53.589365987960797</v>
      </c>
      <c r="AI1376">
        <v>91.173869205707405</v>
      </c>
      <c r="AJ1376">
        <v>78.288345564418506</v>
      </c>
      <c r="AK1376">
        <v>54.740222142146003</v>
      </c>
      <c r="AL1376">
        <v>94.024853668252902</v>
      </c>
      <c r="AM1376">
        <v>90.416167066201197</v>
      </c>
      <c r="AN1376">
        <v>1.0000000164168901</v>
      </c>
    </row>
    <row r="1377" spans="1:40" x14ac:dyDescent="0.25">
      <c r="A1377" t="str">
        <f>"20190303153803233"</f>
        <v>20190303153803233</v>
      </c>
      <c r="B1377" t="str">
        <f>"1551598683229906"</f>
        <v>1551598683229906</v>
      </c>
      <c r="C1377" t="s">
        <v>40</v>
      </c>
      <c r="D1377">
        <v>4.5481119999999997</v>
      </c>
      <c r="E1377">
        <v>0.58131359999999999</v>
      </c>
      <c r="F1377" t="s">
        <v>45</v>
      </c>
      <c r="G1377">
        <v>-182.43440000000001</v>
      </c>
      <c r="H1377" s="1">
        <v>-4.7105229999999996E-6</v>
      </c>
      <c r="I1377">
        <v>356.904</v>
      </c>
      <c r="J1377">
        <v>-235.03049999999999</v>
      </c>
      <c r="K1377">
        <v>1.1213919999999999</v>
      </c>
      <c r="L1377">
        <v>367.39690000000002</v>
      </c>
      <c r="M1377">
        <v>0.99976929999999997</v>
      </c>
      <c r="N1377">
        <v>-1.9944679999999999E-2</v>
      </c>
      <c r="O1377">
        <v>7.9601989999999994E-3</v>
      </c>
      <c r="P1377">
        <v>0.99584439999999996</v>
      </c>
      <c r="Q1377">
        <v>-8.9791309999999999E-2</v>
      </c>
      <c r="R1377">
        <v>1.521308E-2</v>
      </c>
      <c r="S1377">
        <v>3.0160520000000002</v>
      </c>
      <c r="T1377">
        <v>-6.4144969999999996E-2</v>
      </c>
      <c r="U1377">
        <v>-0.600128199999999</v>
      </c>
      <c r="V1377">
        <v>-7.3136719999999898E-3</v>
      </c>
      <c r="W1377">
        <v>-6.9906759999999998E-2</v>
      </c>
      <c r="X1377">
        <v>0.99752669999999999</v>
      </c>
      <c r="Y1377">
        <v>0.20286760000000001</v>
      </c>
      <c r="Z1377">
        <v>-4.189908E-3</v>
      </c>
      <c r="AA1377">
        <v>0.97919719999999999</v>
      </c>
      <c r="AB1377">
        <v>27</v>
      </c>
      <c r="AC1377">
        <v>52.5960999999999</v>
      </c>
      <c r="AD1377">
        <v>-1.1213967105230001</v>
      </c>
      <c r="AE1377">
        <v>-10.492900000000001</v>
      </c>
      <c r="AF1377">
        <v>10.906558038703301</v>
      </c>
      <c r="AG1377">
        <v>-1.1213967105230001</v>
      </c>
      <c r="AH1377">
        <v>52.487943992401803</v>
      </c>
      <c r="AI1377">
        <v>91.198339668498406</v>
      </c>
      <c r="AJ1377">
        <v>78.261457806189796</v>
      </c>
      <c r="AK1377">
        <v>53.620842993965397</v>
      </c>
      <c r="AL1377">
        <v>94.0086319163768</v>
      </c>
      <c r="AM1377">
        <v>90.420073999010498</v>
      </c>
      <c r="AN1377">
        <v>0.99999998105235499</v>
      </c>
    </row>
    <row r="1378" spans="1:40" x14ac:dyDescent="0.25">
      <c r="A1378" t="str">
        <f>"20190303153803245"</f>
        <v>20190303153803245</v>
      </c>
      <c r="B1378" t="str">
        <f>"1551598683239666"</f>
        <v>1551598683239666</v>
      </c>
      <c r="C1378" t="s">
        <v>40</v>
      </c>
      <c r="D1378">
        <v>4.5965249999999997</v>
      </c>
      <c r="E1378">
        <v>0.58151419999999998</v>
      </c>
      <c r="F1378" t="s">
        <v>45</v>
      </c>
      <c r="G1378">
        <v>-186.47559999999999</v>
      </c>
      <c r="H1378" s="1">
        <v>-4.6073949999999998E-6</v>
      </c>
      <c r="I1378">
        <v>357.70170000000002</v>
      </c>
      <c r="J1378">
        <v>-234.88810000000001</v>
      </c>
      <c r="K1378">
        <v>1.121359</v>
      </c>
      <c r="L1378">
        <v>367.39789999999999</v>
      </c>
      <c r="M1378">
        <v>0.999776</v>
      </c>
      <c r="N1378">
        <v>-1.9661129999999999E-2</v>
      </c>
      <c r="O1378">
        <v>7.8544679999999999E-3</v>
      </c>
      <c r="P1378">
        <v>0.99589179999999999</v>
      </c>
      <c r="Q1378">
        <v>-8.9258610000000002E-2</v>
      </c>
      <c r="R1378">
        <v>1.5249850000000001E-2</v>
      </c>
      <c r="S1378">
        <v>3.0154570000000001</v>
      </c>
      <c r="T1378">
        <v>-6.9643380000000005E-2</v>
      </c>
      <c r="U1378">
        <v>-0.60211179999999997</v>
      </c>
      <c r="V1378">
        <v>-7.4555480000000002E-3</v>
      </c>
      <c r="W1378">
        <v>-6.9656060000000006E-2</v>
      </c>
      <c r="X1378">
        <v>0.99754319999999996</v>
      </c>
      <c r="Y1378">
        <v>0.20340929999999999</v>
      </c>
      <c r="Z1378">
        <v>-4.3722479999999996E-3</v>
      </c>
      <c r="AA1378">
        <v>0.97908399999999995</v>
      </c>
      <c r="AB1378">
        <v>27</v>
      </c>
      <c r="AC1378">
        <v>48.412500000000001</v>
      </c>
      <c r="AD1378">
        <v>-1.121363607395</v>
      </c>
      <c r="AE1378">
        <v>-9.6961999999999708</v>
      </c>
      <c r="AF1378">
        <v>10.0710338492575</v>
      </c>
      <c r="AG1378">
        <v>-1.121363607395</v>
      </c>
      <c r="AH1378">
        <v>48.309913679688599</v>
      </c>
      <c r="AI1378">
        <v>91.301728721229395</v>
      </c>
      <c r="AJ1378">
        <v>78.224358715720001</v>
      </c>
      <c r="AK1378">
        <v>49.361229106170398</v>
      </c>
      <c r="AL1378">
        <v>93.994232712102004</v>
      </c>
      <c r="AM1378">
        <v>90.428215520678293</v>
      </c>
      <c r="AN1378">
        <v>0.99999999387847105</v>
      </c>
    </row>
    <row r="1379" spans="1:40" x14ac:dyDescent="0.25">
      <c r="A1379" t="str">
        <f>"20190303153803258"</f>
        <v>20190303153803258</v>
      </c>
      <c r="B1379" t="str">
        <f>"1551598683250401"</f>
        <v>1551598683250401</v>
      </c>
      <c r="C1379" t="s">
        <v>40</v>
      </c>
      <c r="D1379">
        <v>4.6019290000000002</v>
      </c>
      <c r="E1379">
        <v>0.58177319999999999</v>
      </c>
      <c r="F1379" t="s">
        <v>45</v>
      </c>
      <c r="G1379">
        <v>-187.3424</v>
      </c>
      <c r="H1379" s="1">
        <v>-4.6403350000000002E-6</v>
      </c>
      <c r="I1379">
        <v>357.88040000000001</v>
      </c>
      <c r="J1379">
        <v>-234.74539999999999</v>
      </c>
      <c r="K1379">
        <v>1.121327</v>
      </c>
      <c r="L1379">
        <v>367.39879999999999</v>
      </c>
      <c r="M1379">
        <v>0.99978219999999995</v>
      </c>
      <c r="N1379">
        <v>-1.937819E-2</v>
      </c>
      <c r="O1379">
        <v>7.7468260000000001E-3</v>
      </c>
      <c r="P1379">
        <v>0.99593209999999999</v>
      </c>
      <c r="Q1379">
        <v>-8.8820170000000004E-2</v>
      </c>
      <c r="R1379">
        <v>1.518221E-2</v>
      </c>
      <c r="S1379">
        <v>3.015244</v>
      </c>
      <c r="T1379">
        <v>-7.1114419999999998E-2</v>
      </c>
      <c r="U1379">
        <v>-0.60357669999999997</v>
      </c>
      <c r="V1379">
        <v>-7.4951109999999996E-3</v>
      </c>
      <c r="W1379">
        <v>-6.9499249999999999E-2</v>
      </c>
      <c r="X1379">
        <v>0.99755380000000005</v>
      </c>
      <c r="Y1379">
        <v>0.2037718</v>
      </c>
      <c r="Z1379">
        <v>-4.4057829999999999E-3</v>
      </c>
      <c r="AA1379">
        <v>0.97900849999999995</v>
      </c>
      <c r="AB1379">
        <v>27</v>
      </c>
      <c r="AC1379">
        <v>47.402999999999899</v>
      </c>
      <c r="AD1379">
        <v>-1.121331640335</v>
      </c>
      <c r="AE1379">
        <v>-9.5183999999999802</v>
      </c>
      <c r="AF1379">
        <v>9.8800916820724396</v>
      </c>
      <c r="AG1379">
        <v>-1.121331640335</v>
      </c>
      <c r="AH1379">
        <v>47.302382542011301</v>
      </c>
      <c r="AI1379">
        <v>91.329300278130006</v>
      </c>
      <c r="AJ1379">
        <v>78.2021946043768</v>
      </c>
      <c r="AK1379">
        <v>48.3362078616491</v>
      </c>
      <c r="AL1379">
        <v>93.9852264967476</v>
      </c>
      <c r="AM1379">
        <v>90.430483194586799</v>
      </c>
      <c r="AN1379">
        <v>0.99999995316695101</v>
      </c>
    </row>
    <row r="1380" spans="1:40" x14ac:dyDescent="0.25">
      <c r="A1380" t="str">
        <f>"20190303153803271"</f>
        <v>20190303153803271</v>
      </c>
      <c r="B1380" t="str">
        <f>"1551598683260161"</f>
        <v>1551598683260161</v>
      </c>
      <c r="C1380" t="s">
        <v>40</v>
      </c>
      <c r="D1380">
        <v>4.5428879999999996</v>
      </c>
      <c r="E1380">
        <v>0.58199609999999902</v>
      </c>
      <c r="F1380" t="s">
        <v>45</v>
      </c>
      <c r="G1380">
        <v>-188.5642</v>
      </c>
      <c r="H1380" s="1">
        <v>-4.678446E-6</v>
      </c>
      <c r="I1380">
        <v>358.11439999999999</v>
      </c>
      <c r="J1380">
        <v>-234.57589999999999</v>
      </c>
      <c r="K1380">
        <v>1.121292</v>
      </c>
      <c r="L1380">
        <v>367.4</v>
      </c>
      <c r="M1380">
        <v>0.9997897</v>
      </c>
      <c r="N1380">
        <v>-1.904405E-2</v>
      </c>
      <c r="O1380">
        <v>7.6168549999999996E-3</v>
      </c>
      <c r="P1380">
        <v>0.99598690000000001</v>
      </c>
      <c r="Q1380">
        <v>-8.8247339999999994E-2</v>
      </c>
      <c r="R1380">
        <v>1.4918270000000001E-2</v>
      </c>
      <c r="S1380">
        <v>3.0149840000000001</v>
      </c>
      <c r="T1380">
        <v>-7.3207259999999996E-2</v>
      </c>
      <c r="U1380">
        <v>-0.60614009999999996</v>
      </c>
      <c r="V1380">
        <v>-7.3596679999999998E-3</v>
      </c>
      <c r="W1380">
        <v>-6.9259000000000001E-2</v>
      </c>
      <c r="X1380">
        <v>0.9975716</v>
      </c>
      <c r="Y1380">
        <v>0.20445669999999999</v>
      </c>
      <c r="Z1380">
        <v>-4.4636090000000003E-3</v>
      </c>
      <c r="AA1380">
        <v>0.9788654</v>
      </c>
      <c r="AB1380">
        <v>27</v>
      </c>
      <c r="AC1380">
        <v>46.011699999999898</v>
      </c>
      <c r="AD1380">
        <v>-1.1212966784459999</v>
      </c>
      <c r="AE1380">
        <v>-9.2855999999999792</v>
      </c>
      <c r="AF1380">
        <v>9.6303629933378208</v>
      </c>
      <c r="AG1380">
        <v>-1.1212966784459999</v>
      </c>
      <c r="AH1380">
        <v>45.9134245203131</v>
      </c>
      <c r="AI1380">
        <v>91.3692146384533</v>
      </c>
      <c r="AJ1380">
        <v>78.153913971925405</v>
      </c>
      <c r="AK1380">
        <v>46.925938976295697</v>
      </c>
      <c r="AL1380">
        <v>93.971427608200102</v>
      </c>
      <c r="AM1380">
        <v>90.422696741568402</v>
      </c>
      <c r="AN1380">
        <v>1.00000003546031</v>
      </c>
    </row>
    <row r="1381" spans="1:40" x14ac:dyDescent="0.25">
      <c r="A1381" t="str">
        <f>"20190303153803284"</f>
        <v>20190303153803284</v>
      </c>
      <c r="B1381" t="str">
        <f>"1551598683279682"</f>
        <v>1551598683279682</v>
      </c>
      <c r="C1381" t="s">
        <v>40</v>
      </c>
      <c r="D1381">
        <v>4.542484</v>
      </c>
      <c r="E1381">
        <v>0.58244399999999996</v>
      </c>
      <c r="F1381" t="s">
        <v>45</v>
      </c>
      <c r="G1381">
        <v>-188.10570000000001</v>
      </c>
      <c r="H1381" s="1">
        <v>-4.6580290000000003E-6</v>
      </c>
      <c r="I1381">
        <v>358.01350000000002</v>
      </c>
      <c r="J1381">
        <v>-234.4117</v>
      </c>
      <c r="K1381">
        <v>1.121264</v>
      </c>
      <c r="L1381">
        <v>367.40109999999999</v>
      </c>
      <c r="M1381">
        <v>0.99979660000000004</v>
      </c>
      <c r="N1381">
        <v>-1.872863E-2</v>
      </c>
      <c r="O1381">
        <v>7.4856790000000003E-3</v>
      </c>
      <c r="P1381">
        <v>0.99602400000000002</v>
      </c>
      <c r="Q1381">
        <v>-8.7871309999999994E-2</v>
      </c>
      <c r="R1381">
        <v>1.4657140000000001E-2</v>
      </c>
      <c r="S1381">
        <v>3.0147550000000001</v>
      </c>
      <c r="T1381">
        <v>-7.2744130000000004E-2</v>
      </c>
      <c r="U1381">
        <v>-0.60894780000000004</v>
      </c>
      <c r="V1381">
        <v>-7.2279349999999996E-3</v>
      </c>
      <c r="W1381">
        <v>-6.9197220000000004E-2</v>
      </c>
      <c r="X1381">
        <v>0.99757680000000004</v>
      </c>
      <c r="Y1381">
        <v>0.20522000000000001</v>
      </c>
      <c r="Z1381">
        <v>-4.4324789999999996E-3</v>
      </c>
      <c r="AA1381">
        <v>0.97870579999999996</v>
      </c>
      <c r="AB1381">
        <v>27</v>
      </c>
      <c r="AC1381">
        <v>46.305999999999898</v>
      </c>
      <c r="AD1381">
        <v>-1.1212686580290001</v>
      </c>
      <c r="AE1381">
        <v>-9.38759999999996</v>
      </c>
      <c r="AF1381">
        <v>9.7285505450185994</v>
      </c>
      <c r="AG1381">
        <v>-1.1212686580290001</v>
      </c>
      <c r="AH1381">
        <v>46.208393283490601</v>
      </c>
      <c r="AI1381">
        <v>91.360228547722201</v>
      </c>
      <c r="AJ1381">
        <v>78.110786594576894</v>
      </c>
      <c r="AK1381">
        <v>47.234707037857298</v>
      </c>
      <c r="AL1381">
        <v>93.967879562463096</v>
      </c>
      <c r="AM1381">
        <v>90.415128863699906</v>
      </c>
      <c r="AN1381">
        <v>0.99999998509916599</v>
      </c>
    </row>
    <row r="1382" spans="1:40" x14ac:dyDescent="0.25">
      <c r="A1382" t="str">
        <f>"20190303153803298"</f>
        <v>20190303153803298</v>
      </c>
      <c r="B1382" t="str">
        <f>"1551598683290419"</f>
        <v>1551598683290419</v>
      </c>
      <c r="C1382" t="s">
        <v>40</v>
      </c>
      <c r="D1382">
        <v>4.524375</v>
      </c>
      <c r="E1382">
        <v>0.58261149999999995</v>
      </c>
      <c r="F1382" t="s">
        <v>45</v>
      </c>
      <c r="G1382">
        <v>-189.1189</v>
      </c>
      <c r="H1382" s="1">
        <v>-4.6805999999999997E-6</v>
      </c>
      <c r="I1382">
        <v>358.18819999999999</v>
      </c>
      <c r="J1382">
        <v>-234.25069999999999</v>
      </c>
      <c r="K1382">
        <v>1.1212409999999999</v>
      </c>
      <c r="L1382">
        <v>367.40219999999999</v>
      </c>
      <c r="M1382">
        <v>0.99980329999999995</v>
      </c>
      <c r="N1382">
        <v>-1.8426189999999999E-2</v>
      </c>
      <c r="O1382">
        <v>7.3545009999999899E-3</v>
      </c>
      <c r="P1382">
        <v>0.99608090000000005</v>
      </c>
      <c r="Q1382">
        <v>-8.7299660000000001E-2</v>
      </c>
      <c r="R1382">
        <v>1.4213709999999999E-2</v>
      </c>
      <c r="S1382">
        <v>3.0144350000000002</v>
      </c>
      <c r="T1382">
        <v>-7.4625369999999996E-2</v>
      </c>
      <c r="U1382">
        <v>-0.61315920000000002</v>
      </c>
      <c r="V1382">
        <v>-6.9145910000000003E-3</v>
      </c>
      <c r="W1382">
        <v>-6.8926619999999994E-2</v>
      </c>
      <c r="X1382">
        <v>0.99759779999999998</v>
      </c>
      <c r="Y1382">
        <v>0.20642089999999999</v>
      </c>
      <c r="Z1382">
        <v>-4.4966210000000001E-3</v>
      </c>
      <c r="AA1382">
        <v>0.97845300000000002</v>
      </c>
      <c r="AB1382">
        <v>27</v>
      </c>
      <c r="AC1382">
        <v>45.131799999999998</v>
      </c>
      <c r="AD1382">
        <v>-1.1212456806</v>
      </c>
      <c r="AE1382">
        <v>-9.2140000000000004</v>
      </c>
      <c r="AF1382">
        <v>9.5400762439500504</v>
      </c>
      <c r="AG1382">
        <v>-1.1212456806</v>
      </c>
      <c r="AH1382">
        <v>45.036118413009604</v>
      </c>
      <c r="AI1382">
        <v>91.395227171676893</v>
      </c>
      <c r="AJ1382">
        <v>78.039743632123503</v>
      </c>
      <c r="AK1382">
        <v>46.049128203770202</v>
      </c>
      <c r="AL1382">
        <v>93.952338037466603</v>
      </c>
      <c r="AM1382">
        <v>90.397124509648606</v>
      </c>
      <c r="AN1382">
        <v>1.0000000305390799</v>
      </c>
    </row>
    <row r="1383" spans="1:40" x14ac:dyDescent="0.25">
      <c r="A1383" t="str">
        <f>"20190303153803313"</f>
        <v>20190303153803313</v>
      </c>
      <c r="B1383" t="str">
        <f>"1551598683309939"</f>
        <v>1551598683309939</v>
      </c>
      <c r="C1383" t="s">
        <v>40</v>
      </c>
      <c r="D1383">
        <v>4.534872</v>
      </c>
      <c r="E1383">
        <v>0.58300090000000004</v>
      </c>
      <c r="F1383" t="s">
        <v>45</v>
      </c>
      <c r="G1383">
        <v>-188.73589999999999</v>
      </c>
      <c r="H1383" s="1">
        <v>-4.6637790000000002E-6</v>
      </c>
      <c r="I1383">
        <v>358.1044</v>
      </c>
      <c r="J1383">
        <v>-234.0702</v>
      </c>
      <c r="K1383">
        <v>1.1212139999999999</v>
      </c>
      <c r="L1383">
        <v>367.4033</v>
      </c>
      <c r="M1383">
        <v>0.99981050000000005</v>
      </c>
      <c r="N1383">
        <v>-1.8093359999999999E-2</v>
      </c>
      <c r="O1383">
        <v>7.2063880000000002E-3</v>
      </c>
      <c r="P1383">
        <v>0.99615640000000005</v>
      </c>
      <c r="Q1383">
        <v>-8.6432800000000004E-2</v>
      </c>
      <c r="R1383">
        <v>1.421673E-2</v>
      </c>
      <c r="S1383">
        <v>3.0140989999999999</v>
      </c>
      <c r="T1383">
        <v>-7.4251529999999996E-2</v>
      </c>
      <c r="U1383">
        <v>-0.61572269999999996</v>
      </c>
      <c r="V1383">
        <v>-7.0637440000000003E-3</v>
      </c>
      <c r="W1383">
        <v>-6.8390649999999997E-2</v>
      </c>
      <c r="X1383">
        <v>0.99763360000000001</v>
      </c>
      <c r="Y1383">
        <v>0.20709739999999999</v>
      </c>
      <c r="Z1383">
        <v>-4.4644619999999998E-3</v>
      </c>
      <c r="AA1383">
        <v>0.97831020000000002</v>
      </c>
      <c r="AB1383">
        <v>27</v>
      </c>
      <c r="AC1383">
        <v>45.334299999999999</v>
      </c>
      <c r="AD1383">
        <v>-1.121218663779</v>
      </c>
      <c r="AE1383">
        <v>-9.2988999999999997</v>
      </c>
      <c r="AF1383">
        <v>9.6197617768438999</v>
      </c>
      <c r="AG1383">
        <v>-1.121218663779</v>
      </c>
      <c r="AH1383">
        <v>45.239544985558098</v>
      </c>
      <c r="AI1383">
        <v>91.388694271504207</v>
      </c>
      <c r="AJ1383">
        <v>77.995395859270999</v>
      </c>
      <c r="AK1383">
        <v>46.264601786198902</v>
      </c>
      <c r="AL1383">
        <v>93.921556745823594</v>
      </c>
      <c r="AM1383">
        <v>90.405675947140793</v>
      </c>
      <c r="AN1383">
        <v>0.99999998866783901</v>
      </c>
    </row>
    <row r="1384" spans="1:40" x14ac:dyDescent="0.25">
      <c r="A1384" t="str">
        <f>"20190303153803325"</f>
        <v>20190303153803325</v>
      </c>
      <c r="B1384" t="str">
        <f>"1551598683319699"</f>
        <v>1551598683319699</v>
      </c>
      <c r="C1384" t="s">
        <v>40</v>
      </c>
      <c r="D1384">
        <v>4.5390689999999996</v>
      </c>
      <c r="E1384">
        <v>0.58314919999999903</v>
      </c>
      <c r="F1384" t="s">
        <v>45</v>
      </c>
      <c r="G1384">
        <v>-188.5076</v>
      </c>
      <c r="H1384" s="1">
        <v>-4.650271E-6</v>
      </c>
      <c r="I1384">
        <v>358.04689999999999</v>
      </c>
      <c r="J1384">
        <v>-233.92359999999999</v>
      </c>
      <c r="K1384">
        <v>1.1211949999999999</v>
      </c>
      <c r="L1384">
        <v>367.4042</v>
      </c>
      <c r="M1384">
        <v>0.99981609999999999</v>
      </c>
      <c r="N1384">
        <v>-1.7828770000000001E-2</v>
      </c>
      <c r="O1384">
        <v>7.0857409999999996E-3</v>
      </c>
      <c r="P1384">
        <v>0.99620140000000001</v>
      </c>
      <c r="Q1384">
        <v>-8.5928080000000004E-2</v>
      </c>
      <c r="R1384">
        <v>1.412395E-2</v>
      </c>
      <c r="S1384">
        <v>3.0139770000000001</v>
      </c>
      <c r="T1384">
        <v>-7.4168919999999999E-2</v>
      </c>
      <c r="U1384">
        <v>-0.618927</v>
      </c>
      <c r="V1384">
        <v>-7.0905009999999999E-3</v>
      </c>
      <c r="W1384">
        <v>-6.8149249999999995E-2</v>
      </c>
      <c r="X1384">
        <v>0.99765000000000004</v>
      </c>
      <c r="Y1384">
        <v>0.20798559999999999</v>
      </c>
      <c r="Z1384">
        <v>-4.4536869999999996E-3</v>
      </c>
      <c r="AA1384">
        <v>0.97812180000000004</v>
      </c>
      <c r="AB1384">
        <v>27</v>
      </c>
      <c r="AC1384">
        <v>45.415999999999997</v>
      </c>
      <c r="AD1384">
        <v>-1.121199650271</v>
      </c>
      <c r="AE1384">
        <v>-9.3573000000000093</v>
      </c>
      <c r="AF1384">
        <v>9.6732667068347293</v>
      </c>
      <c r="AG1384">
        <v>-1.121199650271</v>
      </c>
      <c r="AH1384">
        <v>45.322048236299402</v>
      </c>
      <c r="AI1384">
        <v>91.385919781165398</v>
      </c>
      <c r="AJ1384">
        <v>77.951907464300902</v>
      </c>
      <c r="AK1384">
        <v>46.356415238570499</v>
      </c>
      <c r="AL1384">
        <v>93.907692923988094</v>
      </c>
      <c r="AM1384">
        <v>90.407205875639093</v>
      </c>
      <c r="AN1384">
        <v>1.00000005898999</v>
      </c>
    </row>
    <row r="1385" spans="1:40" x14ac:dyDescent="0.25">
      <c r="A1385" t="str">
        <f>"20190303153803337"</f>
        <v>20190303153803337</v>
      </c>
      <c r="B1385" t="str">
        <f>"1551598683330434"</f>
        <v>1551598683330434</v>
      </c>
      <c r="C1385" t="s">
        <v>40</v>
      </c>
      <c r="D1385">
        <v>4.5369400000000004</v>
      </c>
      <c r="E1385">
        <v>0.58305669999999898</v>
      </c>
      <c r="F1385" t="s">
        <v>45</v>
      </c>
      <c r="G1385">
        <v>-188.44059999999999</v>
      </c>
      <c r="H1385" s="1">
        <v>-4.6512289999999998E-6</v>
      </c>
      <c r="I1385">
        <v>358.04059999999998</v>
      </c>
      <c r="J1385">
        <v>-233.7842</v>
      </c>
      <c r="K1385">
        <v>1.1211770000000001</v>
      </c>
      <c r="L1385">
        <v>367.4051</v>
      </c>
      <c r="M1385">
        <v>0.99982110000000002</v>
      </c>
      <c r="N1385">
        <v>-1.7586250000000001E-2</v>
      </c>
      <c r="O1385">
        <v>6.9725759999999899E-3</v>
      </c>
      <c r="P1385">
        <v>0.99625839999999999</v>
      </c>
      <c r="Q1385">
        <v>-8.530749E-2</v>
      </c>
      <c r="R1385">
        <v>1.3857939999999999E-2</v>
      </c>
      <c r="S1385">
        <v>3.0138090000000002</v>
      </c>
      <c r="T1385">
        <v>-7.429326E-2</v>
      </c>
      <c r="U1385">
        <v>-0.62045289999999997</v>
      </c>
      <c r="V1385">
        <v>-6.9365479999999998E-3</v>
      </c>
      <c r="W1385">
        <v>-6.7769869999999996E-2</v>
      </c>
      <c r="X1385">
        <v>0.99767680000000003</v>
      </c>
      <c r="Y1385">
        <v>0.20836089999999999</v>
      </c>
      <c r="Z1385">
        <v>-4.4416580000000002E-3</v>
      </c>
      <c r="AA1385">
        <v>0.97804190000000002</v>
      </c>
      <c r="AB1385">
        <v>27</v>
      </c>
      <c r="AC1385">
        <v>45.343600000000002</v>
      </c>
      <c r="AD1385">
        <v>-1.121181651229</v>
      </c>
      <c r="AE1385">
        <v>-9.3645000000000191</v>
      </c>
      <c r="AF1385">
        <v>9.6748097351718592</v>
      </c>
      <c r="AG1385">
        <v>-1.121181651229</v>
      </c>
      <c r="AH1385">
        <v>45.2506584572224</v>
      </c>
      <c r="AI1385">
        <v>91.387978036545405</v>
      </c>
      <c r="AJ1385">
        <v>77.931588048777897</v>
      </c>
      <c r="AK1385">
        <v>46.286942894503397</v>
      </c>
      <c r="AL1385">
        <v>93.885906167862998</v>
      </c>
      <c r="AM1385">
        <v>90.398353976927496</v>
      </c>
      <c r="AN1385">
        <v>0.99999993411810395</v>
      </c>
    </row>
    <row r="1386" spans="1:40" x14ac:dyDescent="0.25">
      <c r="A1386" t="str">
        <f>"20190303153803348"</f>
        <v>20190303153803348</v>
      </c>
      <c r="B1386" t="str">
        <f>"1551598683340194"</f>
        <v>1551598683340194</v>
      </c>
      <c r="C1386" t="s">
        <v>40</v>
      </c>
      <c r="D1386">
        <v>4.5502060000000002</v>
      </c>
      <c r="E1386">
        <v>0.58305669999999898</v>
      </c>
      <c r="F1386" t="s">
        <v>45</v>
      </c>
      <c r="G1386">
        <v>-188.27420000000001</v>
      </c>
      <c r="H1386" s="1">
        <v>-4.6576920000000001E-6</v>
      </c>
      <c r="I1386">
        <v>358.03379999999999</v>
      </c>
      <c r="J1386">
        <v>-233.64490000000001</v>
      </c>
      <c r="K1386">
        <v>1.1211549999999999</v>
      </c>
      <c r="L1386">
        <v>367.40589999999997</v>
      </c>
      <c r="M1386">
        <v>0.99982610000000005</v>
      </c>
      <c r="N1386">
        <v>-1.734788E-2</v>
      </c>
      <c r="O1386">
        <v>6.86011E-3</v>
      </c>
      <c r="P1386">
        <v>0.99629970000000001</v>
      </c>
      <c r="Q1386">
        <v>-8.4843020000000005E-2</v>
      </c>
      <c r="R1386">
        <v>1.374824E-2</v>
      </c>
      <c r="S1386">
        <v>3.01355</v>
      </c>
      <c r="T1386">
        <v>-7.4241639999999998E-2</v>
      </c>
      <c r="U1386">
        <v>-0.6205444</v>
      </c>
      <c r="V1386">
        <v>-6.9385569999999997E-3</v>
      </c>
      <c r="W1386">
        <v>-6.7542610000000003E-2</v>
      </c>
      <c r="X1386">
        <v>0.99769229999999998</v>
      </c>
      <c r="Y1386">
        <v>0.2082967</v>
      </c>
      <c r="Z1386">
        <v>-4.4143840000000004E-3</v>
      </c>
      <c r="AA1386">
        <v>0.97805569999999997</v>
      </c>
      <c r="AB1386">
        <v>27</v>
      </c>
      <c r="AC1386">
        <v>45.370699999999999</v>
      </c>
      <c r="AD1386">
        <v>-1.121159657692</v>
      </c>
      <c r="AE1386">
        <v>-9.3720999999999801</v>
      </c>
      <c r="AF1386">
        <v>9.6775065834056306</v>
      </c>
      <c r="AG1386">
        <v>-1.121159657692</v>
      </c>
      <c r="AH1386">
        <v>45.278811292123301</v>
      </c>
      <c r="AI1386">
        <v>91.387108974670895</v>
      </c>
      <c r="AJ1386">
        <v>77.9356084468087</v>
      </c>
      <c r="AK1386">
        <v>46.315028712909303</v>
      </c>
      <c r="AL1386">
        <v>93.872854826845099</v>
      </c>
      <c r="AM1386">
        <v>90.398463156248496</v>
      </c>
      <c r="AN1386">
        <v>1.00000003660907</v>
      </c>
    </row>
    <row r="1387" spans="1:40" x14ac:dyDescent="0.25">
      <c r="A1387" t="str">
        <f>"20190303153803360"</f>
        <v>20190303153803360</v>
      </c>
      <c r="B1387" t="str">
        <f>"1551598683349955"</f>
        <v>1551598683349955</v>
      </c>
      <c r="C1387" t="s">
        <v>40</v>
      </c>
      <c r="D1387">
        <v>4.4653390000000002</v>
      </c>
      <c r="E1387">
        <v>0.55449459999999995</v>
      </c>
      <c r="F1387" t="s">
        <v>45</v>
      </c>
      <c r="G1387">
        <v>-187.393</v>
      </c>
      <c r="H1387" s="1">
        <v>-4.6353850000000003E-6</v>
      </c>
      <c r="I1387">
        <v>357.87610000000001</v>
      </c>
      <c r="J1387">
        <v>-233.50579999999999</v>
      </c>
      <c r="K1387">
        <v>1.12114</v>
      </c>
      <c r="L1387">
        <v>367.40679999999998</v>
      </c>
      <c r="M1387">
        <v>0.99983060000000001</v>
      </c>
      <c r="N1387">
        <v>-1.7128569999999999E-2</v>
      </c>
      <c r="O1387">
        <v>6.7498690000000004E-3</v>
      </c>
      <c r="P1387">
        <v>0.99634670000000003</v>
      </c>
      <c r="Q1387">
        <v>-8.4349019999999997E-2</v>
      </c>
      <c r="R1387">
        <v>1.337522E-2</v>
      </c>
      <c r="S1387">
        <v>3.0135040000000002</v>
      </c>
      <c r="T1387">
        <v>-7.3048230000000006E-2</v>
      </c>
      <c r="U1387">
        <v>-0.62091059999999998</v>
      </c>
      <c r="V1387">
        <v>-6.6751249999999996E-3</v>
      </c>
      <c r="W1387">
        <v>-6.7266880000000001E-2</v>
      </c>
      <c r="X1387">
        <v>0.99771270000000001</v>
      </c>
      <c r="Y1387">
        <v>0.20830899999999999</v>
      </c>
      <c r="Z1387">
        <v>-4.3487930000000001E-3</v>
      </c>
      <c r="AA1387">
        <v>0.97805339999999996</v>
      </c>
      <c r="AB1387">
        <v>27</v>
      </c>
      <c r="AC1387">
        <v>46.112799999999901</v>
      </c>
      <c r="AD1387">
        <v>-1.1211446353849901</v>
      </c>
      <c r="AE1387">
        <v>-9.5306999999999604</v>
      </c>
      <c r="AF1387">
        <v>9.8362075841048497</v>
      </c>
      <c r="AG1387">
        <v>-1.1211446353849901</v>
      </c>
      <c r="AH1387">
        <v>46.021318888606501</v>
      </c>
      <c r="AI1387">
        <v>91.364719600659299</v>
      </c>
      <c r="AJ1387">
        <v>77.935603963305894</v>
      </c>
      <c r="AK1387">
        <v>47.074087746634703</v>
      </c>
      <c r="AL1387">
        <v>93.857020749221107</v>
      </c>
      <c r="AM1387">
        <v>90.383327569040404</v>
      </c>
      <c r="AN1387">
        <v>1.00000001108999</v>
      </c>
    </row>
    <row r="1388" spans="1:40" x14ac:dyDescent="0.25">
      <c r="A1388" t="str">
        <f>"20190303153803372"</f>
        <v>20190303153803372</v>
      </c>
      <c r="B1388" t="str">
        <f>"1551598683359714"</f>
        <v>1551598683359714</v>
      </c>
      <c r="C1388" t="s">
        <v>40</v>
      </c>
      <c r="D1388">
        <v>4.487133</v>
      </c>
      <c r="E1388">
        <v>0.54473199999999999</v>
      </c>
      <c r="F1388" t="s">
        <v>43</v>
      </c>
      <c r="G1388">
        <v>-156.46459999999999</v>
      </c>
      <c r="H1388">
        <v>-0.05</v>
      </c>
      <c r="I1388">
        <v>357.32220000000001</v>
      </c>
      <c r="J1388">
        <v>-233.37100000000001</v>
      </c>
      <c r="K1388">
        <v>1.1211260000000001</v>
      </c>
      <c r="L1388">
        <v>367.4076</v>
      </c>
      <c r="M1388">
        <v>0.99983489999999997</v>
      </c>
      <c r="N1388">
        <v>-1.6921189999999999E-2</v>
      </c>
      <c r="O1388">
        <v>6.643136E-3</v>
      </c>
      <c r="P1388">
        <v>0.99637659999999995</v>
      </c>
      <c r="Q1388">
        <v>-8.4014220000000001E-2</v>
      </c>
      <c r="R1388">
        <v>1.3255299999999999E-2</v>
      </c>
      <c r="S1388">
        <v>3.0124050000000002</v>
      </c>
      <c r="T1388">
        <v>-4.5792939999999997E-2</v>
      </c>
      <c r="U1388">
        <v>-0.39431759999999999</v>
      </c>
      <c r="V1388">
        <v>-6.6613849999999997E-3</v>
      </c>
      <c r="W1388">
        <v>-6.713856E-2</v>
      </c>
      <c r="X1388">
        <v>0.99772139999999998</v>
      </c>
      <c r="Y1388">
        <v>0.13634270000000001</v>
      </c>
      <c r="Z1388">
        <v>-2.1791369999999998E-3</v>
      </c>
      <c r="AA1388">
        <v>0.99065939999999997</v>
      </c>
      <c r="AB1388">
        <v>27</v>
      </c>
      <c r="AC1388">
        <v>76.906399999999906</v>
      </c>
      <c r="AD1388">
        <v>-1.1711259999999999</v>
      </c>
      <c r="AE1388">
        <v>-10.0853999999999</v>
      </c>
      <c r="AF1388">
        <v>10.593735102323199</v>
      </c>
      <c r="AG1388">
        <v>-1.1711259999999999</v>
      </c>
      <c r="AH1388">
        <v>76.820181568432204</v>
      </c>
      <c r="AI1388">
        <v>90.865221187050196</v>
      </c>
      <c r="AJ1388">
        <v>82.148261799439993</v>
      </c>
      <c r="AK1388">
        <v>77.556038164239496</v>
      </c>
      <c r="AL1388">
        <v>93.849652031110296</v>
      </c>
      <c r="AM1388">
        <v>90.382535219896596</v>
      </c>
      <c r="AN1388">
        <v>0.99999997615347502</v>
      </c>
    </row>
    <row r="1389" spans="1:40" x14ac:dyDescent="0.25">
      <c r="A1389" t="str">
        <f>"20190303153803384"</f>
        <v>20190303153803384</v>
      </c>
      <c r="B1389" t="str">
        <f>"1551598683380210"</f>
        <v>1551598683380210</v>
      </c>
      <c r="C1389" t="s">
        <v>40</v>
      </c>
      <c r="D1389">
        <v>4.5310449999999998</v>
      </c>
      <c r="E1389">
        <v>0.53686420000000001</v>
      </c>
      <c r="F1389" t="s">
        <v>45</v>
      </c>
      <c r="G1389">
        <v>-180</v>
      </c>
      <c r="H1389">
        <v>1.001842E-2</v>
      </c>
      <c r="I1389">
        <v>361.78840000000002</v>
      </c>
      <c r="J1389">
        <v>-233.23220000000001</v>
      </c>
      <c r="K1389">
        <v>1.1211169999999999</v>
      </c>
      <c r="L1389">
        <v>367.40839999999997</v>
      </c>
      <c r="M1389">
        <v>0.99983889999999997</v>
      </c>
      <c r="N1389">
        <v>-1.6722589999999999E-2</v>
      </c>
      <c r="O1389">
        <v>6.5340939999999998E-3</v>
      </c>
      <c r="P1389">
        <v>0.99639869999999997</v>
      </c>
      <c r="Q1389">
        <v>-8.3808199999999999E-2</v>
      </c>
      <c r="R1389">
        <v>1.288913E-2</v>
      </c>
      <c r="S1389">
        <v>3.0098419999999999</v>
      </c>
      <c r="T1389">
        <v>-6.2660569999999999E-2</v>
      </c>
      <c r="U1389">
        <v>-0.31689450000000002</v>
      </c>
      <c r="V1389">
        <v>-6.4044829999999999E-3</v>
      </c>
      <c r="W1389">
        <v>-6.7130510000000004E-2</v>
      </c>
      <c r="X1389">
        <v>0.99772360000000004</v>
      </c>
      <c r="Y1389">
        <v>0.111161</v>
      </c>
      <c r="Z1389">
        <v>-2.1127390000000002E-3</v>
      </c>
      <c r="AA1389">
        <v>0.99380020000000002</v>
      </c>
      <c r="AB1389">
        <v>27</v>
      </c>
      <c r="AC1389">
        <v>53.232199999999999</v>
      </c>
      <c r="AD1389">
        <v>-1.1110985799999999</v>
      </c>
      <c r="AE1389">
        <v>-5.6199999999999397</v>
      </c>
      <c r="AF1389">
        <v>5.9651826120627902</v>
      </c>
      <c r="AG1389">
        <v>-1.1110985799999999</v>
      </c>
      <c r="AH1389">
        <v>53.171426800343603</v>
      </c>
      <c r="AI1389">
        <v>91.189648100656001</v>
      </c>
      <c r="AJ1389">
        <v>83.5988810241208</v>
      </c>
      <c r="AK1389">
        <v>53.516526154394903</v>
      </c>
      <c r="AL1389">
        <v>93.849189848775595</v>
      </c>
      <c r="AM1389">
        <v>90.367782024959496</v>
      </c>
      <c r="AN1389">
        <v>0.99999995238615702</v>
      </c>
    </row>
    <row r="1390" spans="1:40" x14ac:dyDescent="0.25">
      <c r="A1390" t="str">
        <f>"20190303153803398"</f>
        <v>20190303153803398</v>
      </c>
      <c r="B1390" t="str">
        <f>"1551598683389970"</f>
        <v>1551598683389970</v>
      </c>
      <c r="C1390" t="s">
        <v>40</v>
      </c>
      <c r="D1390">
        <v>4.5179510000000001</v>
      </c>
      <c r="E1390">
        <v>0.5348039</v>
      </c>
      <c r="F1390" t="s">
        <v>45</v>
      </c>
      <c r="G1390">
        <v>-181.59030000000001</v>
      </c>
      <c r="H1390" s="1">
        <v>-7.0744049999999999E-6</v>
      </c>
      <c r="I1390">
        <v>363.02300000000002</v>
      </c>
      <c r="J1390">
        <v>-233.06129999999999</v>
      </c>
      <c r="K1390">
        <v>1.121102</v>
      </c>
      <c r="L1390">
        <v>367.40929999999997</v>
      </c>
      <c r="M1390">
        <v>0.99984360000000005</v>
      </c>
      <c r="N1390">
        <v>-1.6492880000000001E-2</v>
      </c>
      <c r="O1390">
        <v>6.3994319999999896E-3</v>
      </c>
      <c r="P1390">
        <v>0.99644520000000003</v>
      </c>
      <c r="Q1390">
        <v>-8.3373349999999999E-2</v>
      </c>
      <c r="R1390">
        <v>1.20885E-2</v>
      </c>
      <c r="S1390">
        <v>3.0086520000000001</v>
      </c>
      <c r="T1390">
        <v>-6.5316680000000002E-2</v>
      </c>
      <c r="U1390">
        <v>-0.25549319999999998</v>
      </c>
      <c r="V1390">
        <v>-5.7375580000000002E-3</v>
      </c>
      <c r="W1390">
        <v>-6.6924549999999999E-2</v>
      </c>
      <c r="X1390">
        <v>0.99774149999999995</v>
      </c>
      <c r="Y1390">
        <v>9.0952920000000007E-2</v>
      </c>
      <c r="Z1390">
        <v>-1.77029799999999E-3</v>
      </c>
      <c r="AA1390">
        <v>0.99585360000000001</v>
      </c>
      <c r="AB1390">
        <v>27</v>
      </c>
      <c r="AC1390">
        <v>51.470999999999897</v>
      </c>
      <c r="AD1390">
        <v>-1.1211090744050001</v>
      </c>
      <c r="AE1390">
        <v>-4.3862999999999399</v>
      </c>
      <c r="AF1390">
        <v>4.7134200430669999</v>
      </c>
      <c r="AG1390">
        <v>-1.1211090744050001</v>
      </c>
      <c r="AH1390">
        <v>51.4176540107348</v>
      </c>
      <c r="AI1390">
        <v>91.243863965616399</v>
      </c>
      <c r="AJ1390">
        <v>84.762374651637401</v>
      </c>
      <c r="AK1390">
        <v>51.645409844697099</v>
      </c>
      <c r="AL1390">
        <v>93.837362590314797</v>
      </c>
      <c r="AM1390">
        <v>90.329478361409898</v>
      </c>
      <c r="AN1390">
        <v>0.99999995789337703</v>
      </c>
    </row>
    <row r="1391" spans="1:40" x14ac:dyDescent="0.25">
      <c r="A1391" t="str">
        <f>"20190303153803411"</f>
        <v>20190303153803411</v>
      </c>
      <c r="B1391" t="str">
        <f>"1551598683399731"</f>
        <v>1551598683399731</v>
      </c>
      <c r="C1391" t="s">
        <v>40</v>
      </c>
      <c r="D1391">
        <v>4.5178060000000002</v>
      </c>
      <c r="E1391">
        <v>0.53342909999999999</v>
      </c>
      <c r="F1391" t="s">
        <v>45</v>
      </c>
      <c r="G1391">
        <v>-183.5385</v>
      </c>
      <c r="H1391" s="1">
        <v>-7.0643710000000003E-6</v>
      </c>
      <c r="I1391">
        <v>363.4325</v>
      </c>
      <c r="J1391">
        <v>-232.91130000000001</v>
      </c>
      <c r="K1391">
        <v>1.1211</v>
      </c>
      <c r="L1391">
        <v>367.41019999999997</v>
      </c>
      <c r="M1391">
        <v>0.9998475</v>
      </c>
      <c r="N1391">
        <v>-1.6301329999999999E-2</v>
      </c>
      <c r="O1391">
        <v>6.2810590000000003E-3</v>
      </c>
      <c r="P1391">
        <v>0.99647699999999995</v>
      </c>
      <c r="Q1391">
        <v>-8.3055450000000003E-2</v>
      </c>
      <c r="R1391">
        <v>1.165645E-2</v>
      </c>
      <c r="S1391">
        <v>3.0079500000000001</v>
      </c>
      <c r="T1391">
        <v>-6.8094730000000006E-2</v>
      </c>
      <c r="U1391">
        <v>-0.2415466</v>
      </c>
      <c r="V1391">
        <v>-5.4236019999999996E-3</v>
      </c>
      <c r="W1391">
        <v>-6.6797469999999998E-2</v>
      </c>
      <c r="X1391">
        <v>0.99775179999999997</v>
      </c>
      <c r="Y1391">
        <v>8.626723E-2</v>
      </c>
      <c r="Z1391">
        <v>-1.7189739999999901E-3</v>
      </c>
      <c r="AA1391">
        <v>0.99627049999999995</v>
      </c>
      <c r="AB1391">
        <v>27</v>
      </c>
      <c r="AC1391">
        <v>49.372799999999998</v>
      </c>
      <c r="AD1391">
        <v>-1.1211070643709999</v>
      </c>
      <c r="AE1391">
        <v>-3.9776999999999698</v>
      </c>
      <c r="AF1391">
        <v>4.2855807393466803</v>
      </c>
      <c r="AG1391">
        <v>-1.1211070643709999</v>
      </c>
      <c r="AH1391">
        <v>49.3215717822359</v>
      </c>
      <c r="AI1391">
        <v>91.297254825993093</v>
      </c>
      <c r="AJ1391">
        <v>85.034008245434805</v>
      </c>
      <c r="AK1391">
        <v>49.520102245385999</v>
      </c>
      <c r="AL1391">
        <v>93.830065005225805</v>
      </c>
      <c r="AM1391">
        <v>90.311446638051606</v>
      </c>
      <c r="AN1391">
        <v>0.99999998593014705</v>
      </c>
    </row>
    <row r="1392" spans="1:40" x14ac:dyDescent="0.25">
      <c r="A1392" t="str">
        <f>"20190303153803422"</f>
        <v>20190303153803422</v>
      </c>
      <c r="B1392" t="str">
        <f>"1551598683410468"</f>
        <v>1551598683410468</v>
      </c>
      <c r="C1392" t="s">
        <v>40</v>
      </c>
      <c r="D1392">
        <v>4.4614549999999999</v>
      </c>
      <c r="E1392">
        <v>0.53220749999999994</v>
      </c>
      <c r="F1392" t="s">
        <v>45</v>
      </c>
      <c r="G1392">
        <v>-183.39240000000001</v>
      </c>
      <c r="H1392" s="1">
        <v>-7.139578E-6</v>
      </c>
      <c r="I1392">
        <v>363.59109999999998</v>
      </c>
      <c r="J1392">
        <v>-232.7714</v>
      </c>
      <c r="K1392">
        <v>1.1210929999999999</v>
      </c>
      <c r="L1392">
        <v>367.41090000000003</v>
      </c>
      <c r="M1392">
        <v>0.99985089999999999</v>
      </c>
      <c r="N1392">
        <v>-1.613821E-2</v>
      </c>
      <c r="O1392">
        <v>6.1698300000000003E-3</v>
      </c>
      <c r="P1392">
        <v>0.99649489999999996</v>
      </c>
      <c r="Q1392">
        <v>-8.2901340000000004E-2</v>
      </c>
      <c r="R1392">
        <v>1.1214139999999999E-2</v>
      </c>
      <c r="S1392">
        <v>3.00766</v>
      </c>
      <c r="T1392">
        <v>-6.8093420000000002E-2</v>
      </c>
      <c r="U1392">
        <v>-0.23196410000000001</v>
      </c>
      <c r="V1392">
        <v>-5.0919900000000002E-3</v>
      </c>
      <c r="W1392">
        <v>-6.6806039999999997E-2</v>
      </c>
      <c r="X1392">
        <v>0.997753</v>
      </c>
      <c r="Y1392">
        <v>8.3010539999999994E-2</v>
      </c>
      <c r="Z1392">
        <v>-1.6492179999999901E-3</v>
      </c>
      <c r="AA1392">
        <v>0.99654730000000002</v>
      </c>
      <c r="AB1392">
        <v>27</v>
      </c>
      <c r="AC1392">
        <v>49.378999999999898</v>
      </c>
      <c r="AD1392">
        <v>-1.121100139578</v>
      </c>
      <c r="AE1392">
        <v>-3.8198000000000398</v>
      </c>
      <c r="AF1392">
        <v>4.1223146490985298</v>
      </c>
      <c r="AG1392">
        <v>-1.121100139578</v>
      </c>
      <c r="AH1392">
        <v>49.329212792018602</v>
      </c>
      <c r="AI1392">
        <v>91.297410584038602</v>
      </c>
      <c r="AJ1392">
        <v>85.223039342390194</v>
      </c>
      <c r="AK1392">
        <v>49.513852387684203</v>
      </c>
      <c r="AL1392">
        <v>93.830557028650901</v>
      </c>
      <c r="AM1392">
        <v>90.292404035330506</v>
      </c>
      <c r="AN1392">
        <v>1.0000000121758199</v>
      </c>
    </row>
    <row r="1393" spans="1:40" x14ac:dyDescent="0.25">
      <c r="A1393" t="str">
        <f>"20190303153803433"</f>
        <v>20190303153803433</v>
      </c>
      <c r="B1393" t="str">
        <f>"1551598683429987"</f>
        <v>1551598683429987</v>
      </c>
      <c r="C1393" t="s">
        <v>40</v>
      </c>
      <c r="D1393">
        <v>4.4978680000000004</v>
      </c>
      <c r="E1393">
        <v>0.53082739999999995</v>
      </c>
      <c r="F1393" t="s">
        <v>45</v>
      </c>
      <c r="G1393">
        <v>-183.66210000000001</v>
      </c>
      <c r="H1393" s="1">
        <v>-7.1825719999999997E-6</v>
      </c>
      <c r="I1393">
        <v>363.76060000000001</v>
      </c>
      <c r="J1393">
        <v>-232.6464</v>
      </c>
      <c r="K1393">
        <v>1.1210869999999999</v>
      </c>
      <c r="L1393">
        <v>367.41160000000002</v>
      </c>
      <c r="M1393">
        <v>0.99985360000000001</v>
      </c>
      <c r="N1393">
        <v>-1.599822E-2</v>
      </c>
      <c r="O1393">
        <v>6.0701419999999997E-3</v>
      </c>
      <c r="P1393">
        <v>0.99649520000000003</v>
      </c>
      <c r="Q1393">
        <v>-8.2964380000000004E-2</v>
      </c>
      <c r="R1393">
        <v>1.069898E-2</v>
      </c>
      <c r="S1393">
        <v>3.0073699999999999</v>
      </c>
      <c r="T1393">
        <v>-6.8654300000000001E-2</v>
      </c>
      <c r="U1393">
        <v>-0.2235413</v>
      </c>
      <c r="V1393">
        <v>-4.6761060000000002E-3</v>
      </c>
      <c r="W1393">
        <v>-6.7008990000000004E-2</v>
      </c>
      <c r="X1393">
        <v>0.9977414</v>
      </c>
      <c r="Y1393">
        <v>8.0143969999999995E-2</v>
      </c>
      <c r="Z1393">
        <v>-1.5969549999999999E-3</v>
      </c>
      <c r="AA1393">
        <v>0.99678199999999995</v>
      </c>
      <c r="AB1393">
        <v>27</v>
      </c>
      <c r="AC1393">
        <v>48.984299999999898</v>
      </c>
      <c r="AD1393">
        <v>-1.121094182572</v>
      </c>
      <c r="AE1393">
        <v>-3.65100000000001</v>
      </c>
      <c r="AF1393">
        <v>3.94625677958545</v>
      </c>
      <c r="AG1393">
        <v>-1.121094182572</v>
      </c>
      <c r="AH1393">
        <v>48.935741164840202</v>
      </c>
      <c r="AI1393">
        <v>91.308143953252994</v>
      </c>
      <c r="AJ1393">
        <v>85.389553043553306</v>
      </c>
      <c r="AK1393">
        <v>49.107398201175997</v>
      </c>
      <c r="AL1393">
        <v>93.842211422895105</v>
      </c>
      <c r="AM1393">
        <v>90.268525668821198</v>
      </c>
      <c r="AN1393">
        <v>0.999999985991051</v>
      </c>
    </row>
    <row r="1394" spans="1:40" x14ac:dyDescent="0.25">
      <c r="A1394" t="str">
        <f>"20190303153803444"</f>
        <v>20190303153803444</v>
      </c>
      <c r="B1394" t="str">
        <f>"1551598683439747"</f>
        <v>1551598683439747</v>
      </c>
      <c r="C1394" t="s">
        <v>40</v>
      </c>
      <c r="D1394">
        <v>4.4718790000000004</v>
      </c>
      <c r="E1394">
        <v>0.53032650000000003</v>
      </c>
      <c r="F1394" t="s">
        <v>45</v>
      </c>
      <c r="G1394">
        <v>-183.32929999999999</v>
      </c>
      <c r="H1394" s="1">
        <v>-7.2661499999999999E-6</v>
      </c>
      <c r="I1394">
        <v>363.89870000000002</v>
      </c>
      <c r="J1394">
        <v>-232.51400000000001</v>
      </c>
      <c r="K1394">
        <v>1.1210869999999999</v>
      </c>
      <c r="L1394">
        <v>367.41230000000002</v>
      </c>
      <c r="M1394">
        <v>0.99985639999999998</v>
      </c>
      <c r="N1394">
        <v>-1.585986E-2</v>
      </c>
      <c r="O1394">
        <v>5.964413E-3</v>
      </c>
      <c r="P1394">
        <v>0.99650139999999998</v>
      </c>
      <c r="Q1394">
        <v>-8.2943100000000006E-2</v>
      </c>
      <c r="R1394">
        <v>1.026022E-2</v>
      </c>
      <c r="S1394">
        <v>3.0071870000000001</v>
      </c>
      <c r="T1394">
        <v>-6.8360569999999996E-2</v>
      </c>
      <c r="U1394">
        <v>-0.2142029</v>
      </c>
      <c r="V1394">
        <v>-4.3430400000000003E-3</v>
      </c>
      <c r="W1394">
        <v>-6.7125879999999999E-2</v>
      </c>
      <c r="X1394">
        <v>0.99773509999999999</v>
      </c>
      <c r="Y1394">
        <v>7.6965329999999998E-2</v>
      </c>
      <c r="Z1394">
        <v>-1.5257879999999999E-3</v>
      </c>
      <c r="AA1394">
        <v>0.99703260000000005</v>
      </c>
      <c r="AB1394">
        <v>27</v>
      </c>
      <c r="AC1394">
        <v>49.184699999999999</v>
      </c>
      <c r="AD1394">
        <v>-1.1210942661499901</v>
      </c>
      <c r="AE1394">
        <v>-3.5135999999999901</v>
      </c>
      <c r="AF1394">
        <v>3.80496544475346</v>
      </c>
      <c r="AG1394">
        <v>-1.1210942661499901</v>
      </c>
      <c r="AH1394">
        <v>49.1374661536085</v>
      </c>
      <c r="AI1394">
        <v>91.303103603681095</v>
      </c>
      <c r="AJ1394">
        <v>85.572130624322199</v>
      </c>
      <c r="AK1394">
        <v>49.297314271533999</v>
      </c>
      <c r="AL1394">
        <v>93.848923640455695</v>
      </c>
      <c r="AM1394">
        <v>90.249401159322602</v>
      </c>
      <c r="AN1394">
        <v>1.0000000377671101</v>
      </c>
    </row>
    <row r="1395" spans="1:40" x14ac:dyDescent="0.25">
      <c r="A1395" t="str">
        <f>"20190303153803456"</f>
        <v>20190303153803456</v>
      </c>
      <c r="B1395" t="str">
        <f>"1551598683450482"</f>
        <v>1551598683450482</v>
      </c>
      <c r="C1395" t="s">
        <v>40</v>
      </c>
      <c r="D1395">
        <v>4.5092780000000001</v>
      </c>
      <c r="E1395">
        <v>0.52998269999999903</v>
      </c>
      <c r="F1395" t="s">
        <v>45</v>
      </c>
      <c r="G1395">
        <v>-183.86189999999999</v>
      </c>
      <c r="H1395" s="1">
        <v>-7.2546559999999998E-6</v>
      </c>
      <c r="I1395">
        <v>363.98840000000001</v>
      </c>
      <c r="J1395">
        <v>-232.38570000000001</v>
      </c>
      <c r="K1395">
        <v>1.1210819999999999</v>
      </c>
      <c r="L1395">
        <v>367.41289999999998</v>
      </c>
      <c r="M1395">
        <v>0.99985919999999895</v>
      </c>
      <c r="N1395">
        <v>-1.5733859999999999E-2</v>
      </c>
      <c r="O1395">
        <v>5.8615539999999997E-3</v>
      </c>
      <c r="P1395">
        <v>0.99651990000000001</v>
      </c>
      <c r="Q1395">
        <v>-8.2760589999999995E-2</v>
      </c>
      <c r="R1395">
        <v>9.9606079999999993E-3</v>
      </c>
      <c r="S1395">
        <v>3.0069270000000001</v>
      </c>
      <c r="T1395">
        <v>-6.9288970000000005E-2</v>
      </c>
      <c r="U1395">
        <v>-0.21160889999999999</v>
      </c>
      <c r="V1395">
        <v>-4.1456160000000004E-3</v>
      </c>
      <c r="W1395">
        <v>-6.7068920000000004E-2</v>
      </c>
      <c r="X1395">
        <v>0.99773970000000001</v>
      </c>
      <c r="Y1395">
        <v>7.6012780000000002E-2</v>
      </c>
      <c r="Z1395">
        <v>-1.5162660000000001E-3</v>
      </c>
      <c r="AA1395">
        <v>0.99710569999999998</v>
      </c>
      <c r="AB1395">
        <v>27</v>
      </c>
      <c r="AC1395">
        <v>48.523800000000001</v>
      </c>
      <c r="AD1395">
        <v>-1.1210892546559901</v>
      </c>
      <c r="AE1395">
        <v>-3.4244999999999601</v>
      </c>
      <c r="AF1395">
        <v>3.7069322759204</v>
      </c>
      <c r="AG1395">
        <v>-1.1210892546559901</v>
      </c>
      <c r="AH1395">
        <v>48.477142436772297</v>
      </c>
      <c r="AI1395">
        <v>91.320939200616493</v>
      </c>
      <c r="AJ1395">
        <v>85.627237132737207</v>
      </c>
      <c r="AK1395">
        <v>48.631589803853601</v>
      </c>
      <c r="AL1395">
        <v>93.845652972091102</v>
      </c>
      <c r="AM1395">
        <v>90.2380630272649</v>
      </c>
      <c r="AN1395">
        <v>0.99999996755903697</v>
      </c>
    </row>
    <row r="1396" spans="1:40" x14ac:dyDescent="0.25">
      <c r="A1396" t="str">
        <f>"20190303153803467"</f>
        <v>20190303153803467</v>
      </c>
      <c r="B1396" t="str">
        <f>"1551598683460242"</f>
        <v>1551598683460242</v>
      </c>
      <c r="C1396" t="s">
        <v>40</v>
      </c>
      <c r="D1396">
        <v>4.4846589999999997</v>
      </c>
      <c r="E1396">
        <v>0.52967849999999905</v>
      </c>
      <c r="F1396" t="s">
        <v>45</v>
      </c>
      <c r="G1396">
        <v>-183.93119999999999</v>
      </c>
      <c r="H1396" s="1">
        <v>-7.2668100000000003E-6</v>
      </c>
      <c r="I1396">
        <v>364.03480000000002</v>
      </c>
      <c r="J1396">
        <v>-232.24950000000001</v>
      </c>
      <c r="K1396">
        <v>1.1210789999999999</v>
      </c>
      <c r="L1396">
        <v>367.41359999999997</v>
      </c>
      <c r="M1396">
        <v>0.99986160000000002</v>
      </c>
      <c r="N1396">
        <v>-1.560695E-2</v>
      </c>
      <c r="O1396">
        <v>5.7526729999999998E-3</v>
      </c>
      <c r="P1396">
        <v>0.99651749999999995</v>
      </c>
      <c r="Q1396">
        <v>-8.2829769999999997E-2</v>
      </c>
      <c r="R1396">
        <v>9.5937869999999995E-3</v>
      </c>
      <c r="S1396">
        <v>3.0067900000000001</v>
      </c>
      <c r="T1396">
        <v>-6.9567920000000005E-2</v>
      </c>
      <c r="U1396">
        <v>-0.20962520000000001</v>
      </c>
      <c r="V1396">
        <v>-3.887228E-3</v>
      </c>
      <c r="W1396">
        <v>-6.7264939999999995E-2</v>
      </c>
      <c r="X1396">
        <v>0.99772760000000005</v>
      </c>
      <c r="Y1396">
        <v>7.5252979999999997E-2</v>
      </c>
      <c r="Z1396">
        <v>-1.5007600000000001E-3</v>
      </c>
      <c r="AA1396">
        <v>0.99716340000000003</v>
      </c>
      <c r="AB1396">
        <v>26</v>
      </c>
      <c r="AC1396">
        <v>48.318300000000001</v>
      </c>
      <c r="AD1396">
        <v>-1.1210862668099999</v>
      </c>
      <c r="AE1396">
        <v>-3.3787999999999498</v>
      </c>
      <c r="AF1396">
        <v>3.6547794004996401</v>
      </c>
      <c r="AG1396">
        <v>-1.1210862668099999</v>
      </c>
      <c r="AH1396">
        <v>48.272200504153901</v>
      </c>
      <c r="AI1396">
        <v>91.326617595219005</v>
      </c>
      <c r="AJ1396">
        <v>85.6702888479183</v>
      </c>
      <c r="AK1396">
        <v>48.423337229038502</v>
      </c>
      <c r="AL1396">
        <v>93.856909296120307</v>
      </c>
      <c r="AM1396">
        <v>90.223227894551599</v>
      </c>
      <c r="AN1396">
        <v>1.00000002324824</v>
      </c>
    </row>
    <row r="1397" spans="1:40" x14ac:dyDescent="0.25">
      <c r="A1397" t="str">
        <f>"20190303153803478"</f>
        <v>20190303153803478</v>
      </c>
      <c r="B1397" t="str">
        <f>"1551598683470002"</f>
        <v>1551598683470002</v>
      </c>
      <c r="C1397" t="s">
        <v>40</v>
      </c>
      <c r="D1397">
        <v>4.4832039999999997</v>
      </c>
      <c r="E1397">
        <v>0.52940880000000001</v>
      </c>
      <c r="F1397" t="s">
        <v>45</v>
      </c>
      <c r="G1397">
        <v>-184.02619999999999</v>
      </c>
      <c r="H1397" s="1">
        <v>-7.2731150000000001E-6</v>
      </c>
      <c r="I1397">
        <v>364.072</v>
      </c>
      <c r="J1397">
        <v>-232.10769999999999</v>
      </c>
      <c r="K1397">
        <v>1.1210770000000001</v>
      </c>
      <c r="L1397">
        <v>367.41430000000003</v>
      </c>
      <c r="M1397">
        <v>0.99986419999999998</v>
      </c>
      <c r="N1397">
        <v>-1.548655E-2</v>
      </c>
      <c r="O1397">
        <v>5.6389659999999996E-3</v>
      </c>
      <c r="P1397">
        <v>0.99652200000000002</v>
      </c>
      <c r="Q1397">
        <v>-8.2805950000000003E-2</v>
      </c>
      <c r="R1397">
        <v>9.3473480000000001E-3</v>
      </c>
      <c r="S1397">
        <v>3.0066679999999999</v>
      </c>
      <c r="T1397">
        <v>-6.9898370000000001E-2</v>
      </c>
      <c r="U1397">
        <v>-0.20834349999999999</v>
      </c>
      <c r="V1397">
        <v>-3.7544689999999999E-3</v>
      </c>
      <c r="W1397">
        <v>-6.7361249999999998E-2</v>
      </c>
      <c r="X1397">
        <v>0.99772159999999999</v>
      </c>
      <c r="Y1397">
        <v>7.4719399999999894E-2</v>
      </c>
      <c r="Z1397">
        <v>-1.490508E-3</v>
      </c>
      <c r="AA1397">
        <v>0.99720350000000002</v>
      </c>
      <c r="AB1397">
        <v>26</v>
      </c>
      <c r="AC1397">
        <v>48.081499999999998</v>
      </c>
      <c r="AD1397">
        <v>-1.1210842731149999</v>
      </c>
      <c r="AE1397">
        <v>-3.3423000000000802</v>
      </c>
      <c r="AF1397">
        <v>3.6114553723710898</v>
      </c>
      <c r="AG1397">
        <v>-1.1210842731149999</v>
      </c>
      <c r="AH1397">
        <v>48.035896788158603</v>
      </c>
      <c r="AI1397">
        <v>91.333191860243801</v>
      </c>
      <c r="AJ1397">
        <v>85.700452899339794</v>
      </c>
      <c r="AK1397">
        <v>48.184508092297499</v>
      </c>
      <c r="AL1397">
        <v>93.862440037988094</v>
      </c>
      <c r="AM1397">
        <v>90.215605448095204</v>
      </c>
      <c r="AN1397">
        <v>1.0000000125727899</v>
      </c>
    </row>
    <row r="1398" spans="1:40" x14ac:dyDescent="0.25">
      <c r="A1398" t="str">
        <f>"20190303153803492"</f>
        <v>20190303153803492</v>
      </c>
      <c r="B1398" t="str">
        <f>"1551598683479764"</f>
        <v>1551598683479764</v>
      </c>
      <c r="C1398" t="s">
        <v>40</v>
      </c>
      <c r="D1398">
        <v>4.4766510000000004</v>
      </c>
      <c r="E1398">
        <v>0.52902329999999997</v>
      </c>
      <c r="F1398" t="s">
        <v>45</v>
      </c>
      <c r="G1398">
        <v>-184.4067</v>
      </c>
      <c r="H1398" s="1">
        <v>-7.2644369999999998E-6</v>
      </c>
      <c r="I1398">
        <v>364.13490000000002</v>
      </c>
      <c r="J1398">
        <v>-231.9572</v>
      </c>
      <c r="K1398">
        <v>1.121076</v>
      </c>
      <c r="L1398">
        <v>367.41500000000002</v>
      </c>
      <c r="M1398">
        <v>0.99986679999999994</v>
      </c>
      <c r="N1398">
        <v>-1.536442E-2</v>
      </c>
      <c r="O1398">
        <v>5.518233E-3</v>
      </c>
      <c r="P1398">
        <v>0.99652359999999895</v>
      </c>
      <c r="Q1398">
        <v>-8.2798440000000001E-2</v>
      </c>
      <c r="R1398">
        <v>9.2487799999999998E-3</v>
      </c>
      <c r="S1398">
        <v>3.0065460000000002</v>
      </c>
      <c r="T1398">
        <v>-7.0660710000000002E-2</v>
      </c>
      <c r="U1398">
        <v>-0.20669560000000001</v>
      </c>
      <c r="V1398">
        <v>-3.7763240000000002E-3</v>
      </c>
      <c r="W1398">
        <v>-6.7475579999999993E-2</v>
      </c>
      <c r="X1398">
        <v>0.99771379999999998</v>
      </c>
      <c r="Y1398">
        <v>7.4057559999999995E-2</v>
      </c>
      <c r="Z1398">
        <v>-1.48372E-3</v>
      </c>
      <c r="AA1398">
        <v>0.9972529</v>
      </c>
      <c r="AB1398">
        <v>26</v>
      </c>
      <c r="AC1398">
        <v>47.5505</v>
      </c>
      <c r="AD1398">
        <v>-1.1210832644369999</v>
      </c>
      <c r="AE1398">
        <v>-3.2801</v>
      </c>
      <c r="AF1398">
        <v>3.5405170321311701</v>
      </c>
      <c r="AG1398">
        <v>-1.1210832644369999</v>
      </c>
      <c r="AH1398">
        <v>47.5053920563928</v>
      </c>
      <c r="AI1398">
        <v>91.348138848989194</v>
      </c>
      <c r="AJ1398">
        <v>85.737697767011198</v>
      </c>
      <c r="AK1398">
        <v>47.650334342711602</v>
      </c>
      <c r="AL1398">
        <v>93.869005571253894</v>
      </c>
      <c r="AM1398">
        <v>90.2168621843784</v>
      </c>
      <c r="AN1398">
        <v>1.00000002061486</v>
      </c>
    </row>
    <row r="1399" spans="1:40" x14ac:dyDescent="0.25">
      <c r="A1399" t="str">
        <f>"20190303153803505"</f>
        <v>20190303153803505</v>
      </c>
      <c r="B1399" t="str">
        <f>"1551598683500260"</f>
        <v>1551598683500260</v>
      </c>
      <c r="C1399" t="s">
        <v>40</v>
      </c>
      <c r="D1399">
        <v>4.5437519999999996</v>
      </c>
      <c r="E1399">
        <v>0.52849809999999997</v>
      </c>
      <c r="F1399" t="s">
        <v>45</v>
      </c>
      <c r="G1399">
        <v>-184.77869999999999</v>
      </c>
      <c r="H1399" s="1">
        <v>-7.2690179999999901E-6</v>
      </c>
      <c r="I1399">
        <v>364.2174</v>
      </c>
      <c r="J1399">
        <v>-231.7944</v>
      </c>
      <c r="K1399">
        <v>1.121073</v>
      </c>
      <c r="L1399">
        <v>367.41579999999999</v>
      </c>
      <c r="M1399">
        <v>0.99986929999999996</v>
      </c>
      <c r="N1399">
        <v>-1.52449E-2</v>
      </c>
      <c r="O1399">
        <v>5.3880550000000001E-3</v>
      </c>
      <c r="P1399">
        <v>0.99653879999999995</v>
      </c>
      <c r="Q1399">
        <v>-8.2619709999999999E-2</v>
      </c>
      <c r="R1399">
        <v>9.2024979999999999E-3</v>
      </c>
      <c r="S1399">
        <v>3.006424</v>
      </c>
      <c r="T1399">
        <v>-7.1440459999999997E-2</v>
      </c>
      <c r="U1399">
        <v>-0.2037659</v>
      </c>
      <c r="V1399">
        <v>-3.859595E-3</v>
      </c>
      <c r="W1399">
        <v>-6.7415920000000004E-2</v>
      </c>
      <c r="X1399">
        <v>0.99771750000000003</v>
      </c>
      <c r="Y1399">
        <v>7.2963130000000001E-2</v>
      </c>
      <c r="Z1399">
        <v>-1.46857E-3</v>
      </c>
      <c r="AA1399">
        <v>0.99733360000000004</v>
      </c>
      <c r="AB1399">
        <v>26</v>
      </c>
      <c r="AC1399">
        <v>47.015700000000002</v>
      </c>
      <c r="AD1399">
        <v>-1.121080269018</v>
      </c>
      <c r="AE1399">
        <v>-3.1983999999999901</v>
      </c>
      <c r="AF1399">
        <v>3.4497537673290002</v>
      </c>
      <c r="AG1399">
        <v>-1.121080269018</v>
      </c>
      <c r="AH1399">
        <v>46.971198604690102</v>
      </c>
      <c r="AI1399">
        <v>91.3635703398012</v>
      </c>
      <c r="AJ1399">
        <v>85.799509163841705</v>
      </c>
      <c r="AK1399">
        <v>47.111050936972497</v>
      </c>
      <c r="AL1399">
        <v>93.865579559284797</v>
      </c>
      <c r="AM1399">
        <v>90.221643301885095</v>
      </c>
      <c r="AN1399">
        <v>1.0000000062746299</v>
      </c>
    </row>
    <row r="1400" spans="1:40" x14ac:dyDescent="0.25">
      <c r="A1400" t="str">
        <f>"20190303153803518"</f>
        <v>20190303153803518</v>
      </c>
      <c r="B1400" t="str">
        <f>"1551598683510019"</f>
        <v>1551598683510019</v>
      </c>
      <c r="C1400" t="s">
        <v>40</v>
      </c>
      <c r="D1400">
        <v>4.5258209999999996</v>
      </c>
      <c r="E1400">
        <v>0.52832480000000004</v>
      </c>
      <c r="F1400" t="s">
        <v>45</v>
      </c>
      <c r="G1400">
        <v>-186.47620000000001</v>
      </c>
      <c r="H1400" s="1">
        <v>-7.2372330000000002E-6</v>
      </c>
      <c r="I1400">
        <v>364.40100000000001</v>
      </c>
      <c r="J1400">
        <v>-231.63560000000001</v>
      </c>
      <c r="K1400">
        <v>1.121067</v>
      </c>
      <c r="L1400">
        <v>367.41649999999998</v>
      </c>
      <c r="M1400">
        <v>0.99987170000000003</v>
      </c>
      <c r="N1400">
        <v>-1.513778E-2</v>
      </c>
      <c r="O1400">
        <v>5.2611100000000003E-3</v>
      </c>
      <c r="P1400">
        <v>0.99655839999999996</v>
      </c>
      <c r="Q1400">
        <v>-8.2381629999999997E-2</v>
      </c>
      <c r="R1400">
        <v>9.2116490000000006E-3</v>
      </c>
      <c r="S1400">
        <v>3.0060880000000001</v>
      </c>
      <c r="T1400">
        <v>-7.4364540000000007E-2</v>
      </c>
      <c r="U1400">
        <v>-0.19998170000000001</v>
      </c>
      <c r="V1400">
        <v>-3.9952190000000004E-3</v>
      </c>
      <c r="W1400">
        <v>-6.7284389999999999E-2</v>
      </c>
      <c r="X1400">
        <v>0.9977258</v>
      </c>
      <c r="Y1400">
        <v>7.159256E-2</v>
      </c>
      <c r="Z1400">
        <v>-1.4774949999999999E-3</v>
      </c>
      <c r="AA1400">
        <v>0.99743289999999996</v>
      </c>
      <c r="AB1400">
        <v>26</v>
      </c>
      <c r="AC1400">
        <v>45.159399999999998</v>
      </c>
      <c r="AD1400">
        <v>-1.121074237233</v>
      </c>
      <c r="AE1400">
        <v>-3.0154999999999701</v>
      </c>
      <c r="AF1400">
        <v>3.2510793695993501</v>
      </c>
      <c r="AG1400">
        <v>-1.121074237233</v>
      </c>
      <c r="AH1400">
        <v>45.115228338686997</v>
      </c>
      <c r="AI1400">
        <v>91.419777331858498</v>
      </c>
      <c r="AJ1400">
        <v>85.878294253268393</v>
      </c>
      <c r="AK1400">
        <v>45.246106490666001</v>
      </c>
      <c r="AL1400">
        <v>93.858026468209303</v>
      </c>
      <c r="AM1400">
        <v>90.229429732549093</v>
      </c>
      <c r="AN1400">
        <v>0.99999996144908398</v>
      </c>
    </row>
    <row r="1401" spans="1:40" x14ac:dyDescent="0.25">
      <c r="A1401" t="str">
        <f>"20190303153803532"</f>
        <v>20190303153803532</v>
      </c>
      <c r="B1401" t="str">
        <f>"1551598683519778"</f>
        <v>1551598683519778</v>
      </c>
      <c r="C1401" t="s">
        <v>40</v>
      </c>
      <c r="D1401">
        <v>4.5272300000000003</v>
      </c>
      <c r="E1401">
        <v>0.52800749999999996</v>
      </c>
      <c r="F1401" t="s">
        <v>45</v>
      </c>
      <c r="G1401">
        <v>-186.20259999999999</v>
      </c>
      <c r="H1401" s="1">
        <v>-7.2591369999999899E-6</v>
      </c>
      <c r="I1401">
        <v>364.41750000000002</v>
      </c>
      <c r="J1401">
        <v>-231.4828</v>
      </c>
      <c r="K1401">
        <v>1.121065</v>
      </c>
      <c r="L1401">
        <v>367.41719999999998</v>
      </c>
      <c r="M1401">
        <v>0.99987369999999998</v>
      </c>
      <c r="N1401">
        <v>-1.5040629999999999E-2</v>
      </c>
      <c r="O1401">
        <v>5.1389699999999996E-3</v>
      </c>
      <c r="P1401">
        <v>0.99657050000000003</v>
      </c>
      <c r="Q1401">
        <v>-8.2204079999999999E-2</v>
      </c>
      <c r="R1401">
        <v>9.4873960000000004E-3</v>
      </c>
      <c r="S1401">
        <v>3.0060730000000002</v>
      </c>
      <c r="T1401">
        <v>-7.4175829999999998E-2</v>
      </c>
      <c r="U1401">
        <v>-0.1984253</v>
      </c>
      <c r="V1401">
        <v>-4.3929720000000002E-3</v>
      </c>
      <c r="W1401">
        <v>-6.720342E-2</v>
      </c>
      <c r="X1401">
        <v>0.99772959999999999</v>
      </c>
      <c r="Y1401">
        <v>7.0957430000000002E-2</v>
      </c>
      <c r="Z1401">
        <v>-1.4581749999999999E-3</v>
      </c>
      <c r="AA1401">
        <v>0.99747830000000004</v>
      </c>
      <c r="AB1401">
        <v>26</v>
      </c>
      <c r="AC1401">
        <v>45.280200000000001</v>
      </c>
      <c r="AD1401">
        <v>-1.1210722591369999</v>
      </c>
      <c r="AE1401">
        <v>-2.9996999999999598</v>
      </c>
      <c r="AF1401">
        <v>3.2304087471284002</v>
      </c>
      <c r="AG1401">
        <v>-1.1210722591369999</v>
      </c>
      <c r="AH1401">
        <v>45.2365766241643</v>
      </c>
      <c r="AI1401">
        <v>91.416033484742499</v>
      </c>
      <c r="AJ1401">
        <v>85.915360213433004</v>
      </c>
      <c r="AK1401">
        <v>45.3656280498531</v>
      </c>
      <c r="AL1401">
        <v>93.8533766470606</v>
      </c>
      <c r="AM1401">
        <v>90.252269882190205</v>
      </c>
      <c r="AN1401">
        <v>0.99999997628942405</v>
      </c>
    </row>
    <row r="1402" spans="1:40" x14ac:dyDescent="0.25">
      <c r="A1402" t="str">
        <f>"20190303153803545"</f>
        <v>20190303153803545</v>
      </c>
      <c r="B1402" t="str">
        <f>"1551598683540275"</f>
        <v>1551598683540275</v>
      </c>
      <c r="C1402" t="s">
        <v>40</v>
      </c>
      <c r="D1402">
        <v>4.546297</v>
      </c>
      <c r="E1402">
        <v>0.52763470000000001</v>
      </c>
      <c r="F1402" t="s">
        <v>45</v>
      </c>
      <c r="G1402">
        <v>-186.68879999999999</v>
      </c>
      <c r="H1402" s="1">
        <v>-7.2641629999999901E-6</v>
      </c>
      <c r="I1402">
        <v>364.50900000000001</v>
      </c>
      <c r="J1402">
        <v>-231.32759999999999</v>
      </c>
      <c r="K1402">
        <v>1.1210659999999999</v>
      </c>
      <c r="L1402">
        <v>367.4178</v>
      </c>
      <c r="M1402">
        <v>0.99987570000000003</v>
      </c>
      <c r="N1402">
        <v>-1.495138E-2</v>
      </c>
      <c r="O1402">
        <v>5.0149180000000002E-3</v>
      </c>
      <c r="P1402">
        <v>0.99659350000000002</v>
      </c>
      <c r="Q1402">
        <v>-8.1934140000000003E-2</v>
      </c>
      <c r="R1402">
        <v>9.4202750000000005E-3</v>
      </c>
      <c r="S1402">
        <v>3.0059969999999998</v>
      </c>
      <c r="T1402">
        <v>-7.5232030000000005E-2</v>
      </c>
      <c r="U1402">
        <v>-0.1951599</v>
      </c>
      <c r="V1402">
        <v>-4.4491649999999997E-3</v>
      </c>
      <c r="W1402">
        <v>-6.7022209999999999E-2</v>
      </c>
      <c r="X1402">
        <v>0.99774160000000001</v>
      </c>
      <c r="Y1402">
        <v>6.9756209999999999E-2</v>
      </c>
      <c r="Z1402">
        <v>-1.4445E-3</v>
      </c>
      <c r="AA1402">
        <v>0.99756299999999998</v>
      </c>
      <c r="AB1402">
        <v>26</v>
      </c>
      <c r="AC1402">
        <v>44.638800000000003</v>
      </c>
      <c r="AD1402">
        <v>-1.1210732641629999</v>
      </c>
      <c r="AE1402">
        <v>-2.9087999999999798</v>
      </c>
      <c r="AF1402">
        <v>3.1306820856445001</v>
      </c>
      <c r="AG1402">
        <v>-1.1210732641629999</v>
      </c>
      <c r="AH1402">
        <v>44.5956406850053</v>
      </c>
      <c r="AI1402">
        <v>91.436500167540402</v>
      </c>
      <c r="AJ1402">
        <v>85.984336861512602</v>
      </c>
      <c r="AK1402">
        <v>44.7194492775917</v>
      </c>
      <c r="AL1402">
        <v>93.842970387138294</v>
      </c>
      <c r="AM1402">
        <v>90.255493694170795</v>
      </c>
      <c r="AN1402">
        <v>1.00000003603652</v>
      </c>
    </row>
    <row r="1403" spans="1:40" x14ac:dyDescent="0.25">
      <c r="A1403" t="str">
        <f>"20190303153803555"</f>
        <v>20190303153803555</v>
      </c>
      <c r="B1403" t="str">
        <f>"1551598683550034"</f>
        <v>1551598683550034</v>
      </c>
      <c r="C1403" t="s">
        <v>40</v>
      </c>
      <c r="D1403">
        <v>4.5225929999999996</v>
      </c>
      <c r="E1403">
        <v>0.52745319999999996</v>
      </c>
      <c r="F1403" t="s">
        <v>45</v>
      </c>
      <c r="G1403">
        <v>-187.08349999999999</v>
      </c>
      <c r="H1403" s="1">
        <v>-7.2691149999999998E-6</v>
      </c>
      <c r="I1403">
        <v>364.5856</v>
      </c>
      <c r="J1403">
        <v>-231.20949999999999</v>
      </c>
      <c r="K1403">
        <v>1.121062</v>
      </c>
      <c r="L1403">
        <v>367.41829999999999</v>
      </c>
      <c r="M1403">
        <v>0.99987709999999996</v>
      </c>
      <c r="N1403">
        <v>-1.488802E-2</v>
      </c>
      <c r="O1403">
        <v>4.9204039999999998E-3</v>
      </c>
      <c r="P1403">
        <v>0.99661379999999999</v>
      </c>
      <c r="Q1403">
        <v>-8.1659109999999993E-2</v>
      </c>
      <c r="R1403">
        <v>9.6435359999999994E-3</v>
      </c>
      <c r="S1403">
        <v>3.005814</v>
      </c>
      <c r="T1403">
        <v>-7.6162339999999995E-2</v>
      </c>
      <c r="U1403">
        <v>-0.19241330000000001</v>
      </c>
      <c r="V1403">
        <v>-4.7660899999999997E-3</v>
      </c>
      <c r="W1403">
        <v>-6.6810010000000003E-2</v>
      </c>
      <c r="X1403">
        <v>0.99775429999999998</v>
      </c>
      <c r="Y1403">
        <v>6.8757879999999993E-2</v>
      </c>
      <c r="Z1403">
        <v>-1.4339470000000001E-3</v>
      </c>
      <c r="AA1403">
        <v>0.99763230000000003</v>
      </c>
      <c r="AB1403">
        <v>26</v>
      </c>
      <c r="AC1403">
        <v>44.125999999999998</v>
      </c>
      <c r="AD1403">
        <v>-1.1210692691149999</v>
      </c>
      <c r="AE1403">
        <v>-2.83269999999998</v>
      </c>
      <c r="AF1403">
        <v>3.0478482873967701</v>
      </c>
      <c r="AG1403">
        <v>-1.1210692691149999</v>
      </c>
      <c r="AH1403">
        <v>44.083188576850397</v>
      </c>
      <c r="AI1403">
        <v>91.453293755347801</v>
      </c>
      <c r="AJ1403">
        <v>86.044946060653004</v>
      </c>
      <c r="AK1403">
        <v>44.202643479675402</v>
      </c>
      <c r="AL1403">
        <v>93.830785171281804</v>
      </c>
      <c r="AM1403">
        <v>90.273689389047902</v>
      </c>
      <c r="AN1403">
        <v>0.99999996810928804</v>
      </c>
    </row>
    <row r="1404" spans="1:40" x14ac:dyDescent="0.25">
      <c r="A1404" t="str">
        <f>"20190303153803567"</f>
        <v>20190303153803567</v>
      </c>
      <c r="B1404" t="str">
        <f>"1551598683559794"</f>
        <v>1551598683559794</v>
      </c>
      <c r="C1404" t="s">
        <v>40</v>
      </c>
      <c r="D1404">
        <v>4.5223890000000004</v>
      </c>
      <c r="E1404">
        <v>0.52723790000000004</v>
      </c>
      <c r="F1404" t="s">
        <v>45</v>
      </c>
      <c r="G1404">
        <v>-186.98660000000001</v>
      </c>
      <c r="H1404" s="1">
        <v>-7.2874779999999999E-6</v>
      </c>
      <c r="I1404">
        <v>364.6207</v>
      </c>
      <c r="J1404">
        <v>-231.06389999999999</v>
      </c>
      <c r="K1404">
        <v>1.121059</v>
      </c>
      <c r="L1404">
        <v>367.41890000000001</v>
      </c>
      <c r="M1404">
        <v>0.99987859999999995</v>
      </c>
      <c r="N1404">
        <v>-1.481415E-2</v>
      </c>
      <c r="O1404">
        <v>4.8039160000000001E-3</v>
      </c>
      <c r="P1404">
        <v>0.99661840000000002</v>
      </c>
      <c r="Q1404">
        <v>-8.1596509999999997E-2</v>
      </c>
      <c r="R1404">
        <v>9.6787790000000002E-3</v>
      </c>
      <c r="S1404">
        <v>3.0057830000000001</v>
      </c>
      <c r="T1404">
        <v>-7.6197979999999998E-2</v>
      </c>
      <c r="U1404">
        <v>-0.19015499999999999</v>
      </c>
      <c r="V1404">
        <v>-4.9173799999999998E-3</v>
      </c>
      <c r="W1404">
        <v>-6.6821039999999998E-2</v>
      </c>
      <c r="X1404">
        <v>0.9977528</v>
      </c>
      <c r="Y1404">
        <v>6.7896239999999997E-2</v>
      </c>
      <c r="Z1404">
        <v>-1.4137259999999999E-3</v>
      </c>
      <c r="AA1404">
        <v>0.99769140000000001</v>
      </c>
      <c r="AB1404">
        <v>26</v>
      </c>
      <c r="AC1404">
        <v>44.077299999999902</v>
      </c>
      <c r="AD1404">
        <v>-1.121066287478</v>
      </c>
      <c r="AE1404">
        <v>-2.7982</v>
      </c>
      <c r="AF1404">
        <v>3.00799657426428</v>
      </c>
      <c r="AG1404">
        <v>-1.121066287478</v>
      </c>
      <c r="AH1404">
        <v>44.034975906068297</v>
      </c>
      <c r="AI1404">
        <v>91.4549628700033</v>
      </c>
      <c r="AJ1404">
        <v>86.092238286795293</v>
      </c>
      <c r="AK1404">
        <v>44.151828230093997</v>
      </c>
      <c r="AL1404">
        <v>93.831418663327298</v>
      </c>
      <c r="AM1404">
        <v>90.282377397617793</v>
      </c>
      <c r="AN1404">
        <v>0.99999994096029099</v>
      </c>
    </row>
    <row r="1405" spans="1:40" x14ac:dyDescent="0.25">
      <c r="A1405" t="str">
        <f>"20190303153803578"</f>
        <v>20190303153803578</v>
      </c>
      <c r="B1405" t="str">
        <f>"1551598683569554"</f>
        <v>1551598683569554</v>
      </c>
      <c r="C1405" t="s">
        <v>40</v>
      </c>
      <c r="D1405">
        <v>4.5341050000000003</v>
      </c>
      <c r="E1405">
        <v>0.52711809999999903</v>
      </c>
      <c r="F1405" t="s">
        <v>45</v>
      </c>
      <c r="G1405">
        <v>-187.2979</v>
      </c>
      <c r="H1405" s="1">
        <v>-7.28981099999999E-6</v>
      </c>
      <c r="I1405">
        <v>364.67680000000001</v>
      </c>
      <c r="J1405">
        <v>-230.93379999999999</v>
      </c>
      <c r="K1405">
        <v>1.1210530000000001</v>
      </c>
      <c r="L1405">
        <v>367.41950000000003</v>
      </c>
      <c r="M1405">
        <v>0.99988010000000005</v>
      </c>
      <c r="N1405">
        <v>-1.47546E-2</v>
      </c>
      <c r="O1405">
        <v>4.699773E-3</v>
      </c>
      <c r="P1405">
        <v>0.99662680000000003</v>
      </c>
      <c r="Q1405">
        <v>-8.1487989999999996E-2</v>
      </c>
      <c r="R1405">
        <v>9.7409149999999993E-3</v>
      </c>
      <c r="S1405">
        <v>3.0057070000000001</v>
      </c>
      <c r="T1405">
        <v>-7.6991199999999996E-2</v>
      </c>
      <c r="U1405">
        <v>-0.18832399999999999</v>
      </c>
      <c r="V1405">
        <v>-5.083438E-3</v>
      </c>
      <c r="W1405">
        <v>-6.6771759999999999E-2</v>
      </c>
      <c r="X1405">
        <v>0.99775530000000001</v>
      </c>
      <c r="Y1405">
        <v>6.7188319999999996E-2</v>
      </c>
      <c r="Z1405">
        <v>-1.4068189999999999E-3</v>
      </c>
      <c r="AA1405">
        <v>0.9977393</v>
      </c>
      <c r="AB1405">
        <v>26</v>
      </c>
      <c r="AC1405">
        <v>43.6358999999999</v>
      </c>
      <c r="AD1405">
        <v>-1.121060289811</v>
      </c>
      <c r="AE1405">
        <v>-2.7427000000000099</v>
      </c>
      <c r="AF1405">
        <v>2.9458341377275801</v>
      </c>
      <c r="AG1405">
        <v>-1.121060289811</v>
      </c>
      <c r="AH1405">
        <v>43.593866054628499</v>
      </c>
      <c r="AI1405">
        <v>91.469743804385402</v>
      </c>
      <c r="AJ1405">
        <v>86.1341428658762</v>
      </c>
      <c r="AK1405">
        <v>43.707663773408001</v>
      </c>
      <c r="AL1405">
        <v>93.828588680424104</v>
      </c>
      <c r="AM1405">
        <v>90.291912278199405</v>
      </c>
      <c r="AN1405">
        <v>0.99999997397674301</v>
      </c>
    </row>
    <row r="1406" spans="1:40" x14ac:dyDescent="0.25">
      <c r="A1406" t="str">
        <f>"20190303153803590"</f>
        <v>20190303153803590</v>
      </c>
      <c r="B1406" t="str">
        <f>"1551598683580291"</f>
        <v>1551598683580291</v>
      </c>
      <c r="C1406" t="s">
        <v>40</v>
      </c>
      <c r="D1406">
        <v>4.5138550000000004</v>
      </c>
      <c r="E1406">
        <v>0.52694350000000001</v>
      </c>
      <c r="F1406" t="s">
        <v>45</v>
      </c>
      <c r="G1406">
        <v>-187.67099999999999</v>
      </c>
      <c r="H1406" s="1">
        <v>-7.2858519999999902E-6</v>
      </c>
      <c r="I1406">
        <v>364.72539999999998</v>
      </c>
      <c r="J1406">
        <v>-230.8005</v>
      </c>
      <c r="K1406">
        <v>1.1210500000000001</v>
      </c>
      <c r="L1406">
        <v>367.42</v>
      </c>
      <c r="M1406">
        <v>0.99988160000000004</v>
      </c>
      <c r="N1406">
        <v>-1.469523E-2</v>
      </c>
      <c r="O1406">
        <v>4.5931239999999996E-3</v>
      </c>
      <c r="P1406">
        <v>0.99663559999999995</v>
      </c>
      <c r="Q1406">
        <v>-8.1368700000000002E-2</v>
      </c>
      <c r="R1406">
        <v>9.8539830000000002E-3</v>
      </c>
      <c r="S1406">
        <v>3.00563</v>
      </c>
      <c r="T1406">
        <v>-7.7884200000000001E-2</v>
      </c>
      <c r="U1406">
        <v>-0.18716430000000001</v>
      </c>
      <c r="V1406">
        <v>-5.3027880000000001E-3</v>
      </c>
      <c r="W1406">
        <v>-6.6711489999999998E-2</v>
      </c>
      <c r="X1406">
        <v>0.99775820000000004</v>
      </c>
      <c r="Y1406">
        <v>6.6699649999999999E-2</v>
      </c>
      <c r="Z1406">
        <v>-1.4053799999999999E-3</v>
      </c>
      <c r="AA1406">
        <v>0.99777210000000005</v>
      </c>
      <c r="AB1406">
        <v>26</v>
      </c>
      <c r="AC1406">
        <v>43.1295</v>
      </c>
      <c r="AD1406">
        <v>-1.121057285852</v>
      </c>
      <c r="AE1406">
        <v>-2.6946000000000301</v>
      </c>
      <c r="AF1406">
        <v>2.8907466074360002</v>
      </c>
      <c r="AG1406">
        <v>-1.121057285852</v>
      </c>
      <c r="AH1406">
        <v>43.087668998525899</v>
      </c>
      <c r="AI1406">
        <v>91.487047053387002</v>
      </c>
      <c r="AJ1406">
        <v>86.161784715081197</v>
      </c>
      <c r="AK1406">
        <v>43.199078753060199</v>
      </c>
      <c r="AL1406">
        <v>93.825127708192298</v>
      </c>
      <c r="AM1406">
        <v>90.304507155600106</v>
      </c>
      <c r="AN1406">
        <v>0.99999998406291601</v>
      </c>
    </row>
    <row r="1407" spans="1:40" x14ac:dyDescent="0.25">
      <c r="A1407" t="str">
        <f>"20190303153803601"</f>
        <v>20190303153803601</v>
      </c>
      <c r="B1407" t="str">
        <f>"1551598683590051"</f>
        <v>1551598683590051</v>
      </c>
      <c r="C1407" t="s">
        <v>40</v>
      </c>
      <c r="D1407">
        <v>4.5429040000000001</v>
      </c>
      <c r="E1407">
        <v>0.52686379999999999</v>
      </c>
      <c r="F1407" t="s">
        <v>45</v>
      </c>
      <c r="G1407">
        <v>-187.6799</v>
      </c>
      <c r="H1407" s="1">
        <v>-7.2979639999999899E-6</v>
      </c>
      <c r="I1407">
        <v>364.7602</v>
      </c>
      <c r="J1407">
        <v>-230.6559</v>
      </c>
      <c r="K1407">
        <v>1.1210469999999999</v>
      </c>
      <c r="L1407">
        <v>367.4205</v>
      </c>
      <c r="M1407">
        <v>0.99988290000000002</v>
      </c>
      <c r="N1407">
        <v>-1.463805E-2</v>
      </c>
      <c r="O1407">
        <v>4.4774569999999998E-3</v>
      </c>
      <c r="P1407">
        <v>0.99664489999999994</v>
      </c>
      <c r="Q1407">
        <v>-8.1265180000000006E-2</v>
      </c>
      <c r="R1407">
        <v>9.7721820000000008E-3</v>
      </c>
      <c r="S1407">
        <v>3.005585</v>
      </c>
      <c r="T1407">
        <v>-7.8139780000000006E-2</v>
      </c>
      <c r="U1407">
        <v>-0.18539430000000001</v>
      </c>
      <c r="V1407">
        <v>-5.3356330000000002E-3</v>
      </c>
      <c r="W1407">
        <v>-6.6664940000000006E-2</v>
      </c>
      <c r="X1407">
        <v>0.99776109999999896</v>
      </c>
      <c r="Y1407">
        <v>6.6000009999999998E-2</v>
      </c>
      <c r="Z1407">
        <v>-1.391453E-3</v>
      </c>
      <c r="AA1407">
        <v>0.9978186</v>
      </c>
      <c r="AB1407">
        <v>26</v>
      </c>
      <c r="AC1407">
        <v>42.975999999999999</v>
      </c>
      <c r="AD1407">
        <v>-1.1210542979639999</v>
      </c>
      <c r="AE1407">
        <v>-2.6602999999999999</v>
      </c>
      <c r="AF1407">
        <v>2.85078469138347</v>
      </c>
      <c r="AG1407">
        <v>-1.1210542979639999</v>
      </c>
      <c r="AH1407">
        <v>42.934552829591503</v>
      </c>
      <c r="AI1407">
        <v>91.492412436109305</v>
      </c>
      <c r="AJ1407">
        <v>86.201229198287294</v>
      </c>
      <c r="AK1407">
        <v>43.043693646951297</v>
      </c>
      <c r="AL1407">
        <v>93.822454777282601</v>
      </c>
      <c r="AM1407">
        <v>90.306392319634099</v>
      </c>
      <c r="AN1407">
        <v>0.99999994793895997</v>
      </c>
    </row>
    <row r="1408" spans="1:40" x14ac:dyDescent="0.25">
      <c r="A1408" t="str">
        <f>"20190303153803613"</f>
        <v>20190303153803613</v>
      </c>
      <c r="B1408" t="str">
        <f>"1551598683610548"</f>
        <v>1551598683610548</v>
      </c>
      <c r="C1408" t="s">
        <v>40</v>
      </c>
      <c r="D1408">
        <v>4.5512430000000004</v>
      </c>
      <c r="E1408">
        <v>0.52676080000000003</v>
      </c>
      <c r="F1408" t="s">
        <v>45</v>
      </c>
      <c r="G1408">
        <v>-187.82040000000001</v>
      </c>
      <c r="H1408" s="1">
        <v>-7.2988850000000003E-6</v>
      </c>
      <c r="I1408">
        <v>364.7851</v>
      </c>
      <c r="J1408">
        <v>-230.5275</v>
      </c>
      <c r="K1408">
        <v>1.1210359999999999</v>
      </c>
      <c r="L1408">
        <v>367.42099999999999</v>
      </c>
      <c r="M1408">
        <v>0.999884</v>
      </c>
      <c r="N1408">
        <v>-1.4589309999999999E-2</v>
      </c>
      <c r="O1408">
        <v>4.3747170000000002E-3</v>
      </c>
      <c r="P1408">
        <v>0.99668250000000003</v>
      </c>
      <c r="Q1408">
        <v>-8.0793809999999994E-2</v>
      </c>
      <c r="R1408">
        <v>9.8198209999999994E-3</v>
      </c>
      <c r="S1408">
        <v>3.0054780000000001</v>
      </c>
      <c r="T1408">
        <v>-7.8656669999999998E-2</v>
      </c>
      <c r="U1408">
        <v>-0.18490599999999999</v>
      </c>
      <c r="V1408">
        <v>-5.4856549999999999E-3</v>
      </c>
      <c r="W1408">
        <v>-6.6241640000000004E-2</v>
      </c>
      <c r="X1408">
        <v>0.99778849999999997</v>
      </c>
      <c r="Y1408">
        <v>6.5737970000000007E-2</v>
      </c>
      <c r="Z1408">
        <v>-1.390007E-3</v>
      </c>
      <c r="AA1408">
        <v>0.9978359</v>
      </c>
      <c r="AB1408">
        <v>26</v>
      </c>
      <c r="AC1408">
        <v>42.707099999999997</v>
      </c>
      <c r="AD1408">
        <v>-1.1210432988850001</v>
      </c>
      <c r="AE1408">
        <v>-2.6358999999999901</v>
      </c>
      <c r="AF1408">
        <v>2.8207898725151401</v>
      </c>
      <c r="AG1408">
        <v>-1.1210432988850001</v>
      </c>
      <c r="AH1408">
        <v>42.665871761437401</v>
      </c>
      <c r="AI1408">
        <v>91.501819841047904</v>
      </c>
      <c r="AJ1408">
        <v>86.217480518107607</v>
      </c>
      <c r="AK1408">
        <v>42.7737092937505</v>
      </c>
      <c r="AL1408">
        <v>93.798147662427596</v>
      </c>
      <c r="AM1408">
        <v>90.314998331510907</v>
      </c>
      <c r="AN1408">
        <v>0.99999996900645804</v>
      </c>
    </row>
    <row r="1409" spans="1:40" x14ac:dyDescent="0.25">
      <c r="A1409" t="str">
        <f>"20190303153803625"</f>
        <v>20190303153803625</v>
      </c>
      <c r="B1409" t="str">
        <f>"1551598683620306"</f>
        <v>1551598683620306</v>
      </c>
      <c r="C1409" t="s">
        <v>40</v>
      </c>
      <c r="D1409">
        <v>4.5370999999999997</v>
      </c>
      <c r="E1409">
        <v>0.52671459999999903</v>
      </c>
      <c r="F1409" t="s">
        <v>45</v>
      </c>
      <c r="G1409">
        <v>-187.42840000000001</v>
      </c>
      <c r="H1409" s="1">
        <v>-7.3198870000000003E-6</v>
      </c>
      <c r="I1409">
        <v>364.78030000000001</v>
      </c>
      <c r="J1409">
        <v>-230.3878</v>
      </c>
      <c r="K1409">
        <v>1.121032</v>
      </c>
      <c r="L1409">
        <v>367.42140000000001</v>
      </c>
      <c r="M1409">
        <v>0.99988520000000003</v>
      </c>
      <c r="N1409">
        <v>-1.4540519999999999E-2</v>
      </c>
      <c r="O1409">
        <v>4.2629180000000001E-3</v>
      </c>
      <c r="P1409">
        <v>0.99668769999999995</v>
      </c>
      <c r="Q1409">
        <v>-8.0747250000000007E-2</v>
      </c>
      <c r="R1409">
        <v>9.6764829999999996E-3</v>
      </c>
      <c r="S1409">
        <v>3.0054470000000002</v>
      </c>
      <c r="T1409">
        <v>-7.8174229999999997E-2</v>
      </c>
      <c r="U1409">
        <v>-0.1841431</v>
      </c>
      <c r="V1409">
        <v>-5.4537769999999999E-3</v>
      </c>
      <c r="W1409">
        <v>-6.6243720000000006E-2</v>
      </c>
      <c r="X1409">
        <v>0.99778849999999997</v>
      </c>
      <c r="Y1409">
        <v>6.5375249999999996E-2</v>
      </c>
      <c r="Z1409">
        <v>-1.3740229999999901E-3</v>
      </c>
      <c r="AA1409">
        <v>0.99785979999999996</v>
      </c>
      <c r="AB1409">
        <v>26</v>
      </c>
      <c r="AC1409">
        <v>42.959399999999903</v>
      </c>
      <c r="AD1409">
        <v>-1.1210393198869999</v>
      </c>
      <c r="AE1409">
        <v>-2.64109999999999</v>
      </c>
      <c r="AF1409">
        <v>2.8223130963600802</v>
      </c>
      <c r="AG1409">
        <v>-1.1210393198869999</v>
      </c>
      <c r="AH1409">
        <v>42.918633522427101</v>
      </c>
      <c r="AI1409">
        <v>91.493008524526701</v>
      </c>
      <c r="AJ1409">
        <v>86.237668170592798</v>
      </c>
      <c r="AK1409">
        <v>43.025937337878197</v>
      </c>
      <c r="AL1409">
        <v>93.7982672391324</v>
      </c>
      <c r="AM1409">
        <v>90.313167863456599</v>
      </c>
      <c r="AN1409">
        <v>0.99999993242762397</v>
      </c>
    </row>
    <row r="1410" spans="1:40" x14ac:dyDescent="0.25">
      <c r="A1410" t="str">
        <f>"20190303153803635"</f>
        <v>20190303153803635</v>
      </c>
      <c r="B1410" t="str">
        <f>"1551598683630067"</f>
        <v>1551598683630067</v>
      </c>
      <c r="C1410" t="s">
        <v>40</v>
      </c>
      <c r="D1410">
        <v>4.5901899999999998</v>
      </c>
      <c r="E1410">
        <v>0.52674319999999997</v>
      </c>
      <c r="F1410" t="s">
        <v>45</v>
      </c>
      <c r="G1410">
        <v>-187.446</v>
      </c>
      <c r="H1410" s="1">
        <v>-7.3221989999999997E-6</v>
      </c>
      <c r="I1410">
        <v>364.78949999999998</v>
      </c>
      <c r="J1410">
        <v>-230.26310000000001</v>
      </c>
      <c r="K1410">
        <v>1.1210310000000001</v>
      </c>
      <c r="L1410">
        <v>367.42189999999999</v>
      </c>
      <c r="M1410">
        <v>0.99988630000000001</v>
      </c>
      <c r="N1410">
        <v>-1.450005E-2</v>
      </c>
      <c r="O1410">
        <v>4.1633299999999998E-3</v>
      </c>
      <c r="P1410">
        <v>0.99668000000000001</v>
      </c>
      <c r="Q1410">
        <v>-8.0849779999999996E-2</v>
      </c>
      <c r="R1410">
        <v>9.6391859999999992E-3</v>
      </c>
      <c r="S1410">
        <v>3.0053860000000001</v>
      </c>
      <c r="T1410">
        <v>-7.8458550000000002E-2</v>
      </c>
      <c r="U1410">
        <v>-0.18420410000000001</v>
      </c>
      <c r="V1410">
        <v>-5.5160510000000001E-3</v>
      </c>
      <c r="W1410">
        <v>-6.6386710000000002E-2</v>
      </c>
      <c r="X1410">
        <v>0.99777870000000002</v>
      </c>
      <c r="Y1410">
        <v>6.5297160000000007E-2</v>
      </c>
      <c r="Z1410">
        <v>-1.373642E-3</v>
      </c>
      <c r="AA1410">
        <v>0.99786490000000005</v>
      </c>
      <c r="AB1410">
        <v>26</v>
      </c>
      <c r="AC1410">
        <v>42.817100000000003</v>
      </c>
      <c r="AD1410">
        <v>-1.1210383221989999</v>
      </c>
      <c r="AE1410">
        <v>-2.6324000000000098</v>
      </c>
      <c r="AF1410">
        <v>2.80873948702969</v>
      </c>
      <c r="AG1410">
        <v>-1.1210383221989999</v>
      </c>
      <c r="AH1410">
        <v>42.776555298465503</v>
      </c>
      <c r="AI1410">
        <v>91.497973509526602</v>
      </c>
      <c r="AJ1410">
        <v>86.243310358218196</v>
      </c>
      <c r="AK1410">
        <v>42.883323420981696</v>
      </c>
      <c r="AL1410">
        <v>93.806477863231294</v>
      </c>
      <c r="AM1410">
        <v>90.316746811913902</v>
      </c>
      <c r="AN1410">
        <v>0.99999997812847397</v>
      </c>
    </row>
    <row r="1411" spans="1:40" x14ac:dyDescent="0.25">
      <c r="A1411" t="str">
        <f>"20190303153803646"</f>
        <v>20190303153803646</v>
      </c>
      <c r="B1411" t="str">
        <f>"1551598683639827"</f>
        <v>1551598683639827</v>
      </c>
      <c r="C1411" t="s">
        <v>40</v>
      </c>
      <c r="D1411">
        <v>4.5786389999999999</v>
      </c>
      <c r="E1411">
        <v>0.52669449999999995</v>
      </c>
      <c r="F1411" t="s">
        <v>45</v>
      </c>
      <c r="G1411">
        <v>-187.4212</v>
      </c>
      <c r="H1411" s="1">
        <v>-7.3250869999999998E-6</v>
      </c>
      <c r="I1411">
        <v>364.79349999999999</v>
      </c>
      <c r="J1411">
        <v>-230.13130000000001</v>
      </c>
      <c r="K1411">
        <v>1.121027</v>
      </c>
      <c r="L1411">
        <v>367.42230000000001</v>
      </c>
      <c r="M1411">
        <v>0.99988730000000003</v>
      </c>
      <c r="N1411">
        <v>-1.445947E-2</v>
      </c>
      <c r="O1411">
        <v>4.0581389999999997E-3</v>
      </c>
      <c r="P1411">
        <v>0.99667439999999996</v>
      </c>
      <c r="Q1411">
        <v>-8.0925070000000002E-2</v>
      </c>
      <c r="R1411">
        <v>9.5640410000000006E-3</v>
      </c>
      <c r="S1411">
        <v>3.0054020000000001</v>
      </c>
      <c r="T1411">
        <v>-7.8641890000000006E-2</v>
      </c>
      <c r="U1411">
        <v>-0.1843872</v>
      </c>
      <c r="V1411">
        <v>-5.5455060000000004E-3</v>
      </c>
      <c r="W1411">
        <v>-6.6502560000000002E-2</v>
      </c>
      <c r="X1411">
        <v>0.99777079999999996</v>
      </c>
      <c r="Y1411">
        <v>6.5252379999999999E-2</v>
      </c>
      <c r="Z1411">
        <v>-1.3725810000000001E-3</v>
      </c>
      <c r="AA1411">
        <v>0.99786779999999997</v>
      </c>
      <c r="AB1411">
        <v>26</v>
      </c>
      <c r="AC1411">
        <v>42.710099999999997</v>
      </c>
      <c r="AD1411">
        <v>-1.1210343250870001</v>
      </c>
      <c r="AE1411">
        <v>-2.6288000000000098</v>
      </c>
      <c r="AF1411">
        <v>2.8001981132211702</v>
      </c>
      <c r="AG1411">
        <v>-1.1210343250870001</v>
      </c>
      <c r="AH1411">
        <v>42.669793428998403</v>
      </c>
      <c r="AI1411">
        <v>91.501717965860394</v>
      </c>
      <c r="AJ1411">
        <v>86.2453577386799</v>
      </c>
      <c r="AK1411">
        <v>42.776267938013298</v>
      </c>
      <c r="AL1411">
        <v>93.813130364157999</v>
      </c>
      <c r="AM1411">
        <v>90.318440685477498</v>
      </c>
      <c r="AN1411">
        <v>0.99999995622799298</v>
      </c>
    </row>
    <row r="1412" spans="1:40" x14ac:dyDescent="0.25">
      <c r="A1412" t="str">
        <f>"20190303153803658"</f>
        <v>20190303153803658</v>
      </c>
      <c r="B1412" t="str">
        <f>"1551598683650562"</f>
        <v>1551598683650562</v>
      </c>
      <c r="C1412" t="s">
        <v>40</v>
      </c>
      <c r="D1412">
        <v>4.5440399999999999</v>
      </c>
      <c r="E1412">
        <v>0.52660169999999995</v>
      </c>
      <c r="F1412" t="s">
        <v>45</v>
      </c>
      <c r="G1412">
        <v>-188.14429999999999</v>
      </c>
      <c r="H1412" s="1">
        <v>-7.3026119999999997E-6</v>
      </c>
      <c r="I1412">
        <v>364.84710000000001</v>
      </c>
      <c r="J1412">
        <v>-230.00700000000001</v>
      </c>
      <c r="K1412">
        <v>1.1210230000000001</v>
      </c>
      <c r="L1412">
        <v>367.42270000000002</v>
      </c>
      <c r="M1412">
        <v>0.9998882</v>
      </c>
      <c r="N1412">
        <v>-1.442478E-2</v>
      </c>
      <c r="O1412">
        <v>3.9589849999999999E-3</v>
      </c>
      <c r="P1412">
        <v>0.99667439999999996</v>
      </c>
      <c r="Q1412">
        <v>-8.0926499999999998E-2</v>
      </c>
      <c r="R1412">
        <v>9.5675759999999995E-3</v>
      </c>
      <c r="S1412">
        <v>3.0052639999999999</v>
      </c>
      <c r="T1412">
        <v>-8.02393E-2</v>
      </c>
      <c r="U1412">
        <v>-0.1843262</v>
      </c>
      <c r="V1412">
        <v>-5.6482609999999999E-3</v>
      </c>
      <c r="W1412">
        <v>-6.6538570000000005E-2</v>
      </c>
      <c r="X1412">
        <v>0.99776790000000004</v>
      </c>
      <c r="Y1412">
        <v>6.5134910000000004E-2</v>
      </c>
      <c r="Z1412">
        <v>-1.387477E-3</v>
      </c>
      <c r="AA1412">
        <v>0.99787550000000003</v>
      </c>
      <c r="AB1412">
        <v>26</v>
      </c>
      <c r="AC1412">
        <v>41.862699999999997</v>
      </c>
      <c r="AD1412">
        <v>-1.1210303026120001</v>
      </c>
      <c r="AE1412">
        <v>-2.5756000000000001</v>
      </c>
      <c r="AF1412">
        <v>2.7393738451093399</v>
      </c>
      <c r="AG1412">
        <v>-1.1210303026120001</v>
      </c>
      <c r="AH1412">
        <v>41.822296332346902</v>
      </c>
      <c r="AI1412">
        <v>91.532141732841495</v>
      </c>
      <c r="AJ1412">
        <v>86.252461263213803</v>
      </c>
      <c r="AK1412">
        <v>41.926904828681103</v>
      </c>
      <c r="AL1412">
        <v>93.815197871199402</v>
      </c>
      <c r="AM1412">
        <v>90.324342023888093</v>
      </c>
      <c r="AN1412">
        <v>1.0000000332101799</v>
      </c>
    </row>
    <row r="1413" spans="1:40" x14ac:dyDescent="0.25">
      <c r="A1413" t="str">
        <f>"20190303153803668"</f>
        <v>20190303153803668</v>
      </c>
      <c r="B1413" t="str">
        <f>"1551598683660323"</f>
        <v>1551598683660323</v>
      </c>
      <c r="C1413" t="s">
        <v>40</v>
      </c>
      <c r="D1413">
        <v>4.5892920000000004</v>
      </c>
      <c r="E1413">
        <v>0.52652169999999998</v>
      </c>
      <c r="F1413" t="s">
        <v>45</v>
      </c>
      <c r="G1413">
        <v>-188.4101</v>
      </c>
      <c r="H1413" s="1">
        <v>-7.2992310000000001E-6</v>
      </c>
      <c r="I1413">
        <v>364.8802</v>
      </c>
      <c r="J1413">
        <v>-229.88220000000001</v>
      </c>
      <c r="K1413">
        <v>1.121016</v>
      </c>
      <c r="L1413">
        <v>367.42309999999998</v>
      </c>
      <c r="M1413">
        <v>0.99988909999999998</v>
      </c>
      <c r="N1413">
        <v>-1.439091E-2</v>
      </c>
      <c r="O1413">
        <v>3.8591099999999998E-3</v>
      </c>
      <c r="P1413">
        <v>0.99666540000000003</v>
      </c>
      <c r="Q1413">
        <v>-8.105627E-2</v>
      </c>
      <c r="R1413">
        <v>9.4113280000000001E-3</v>
      </c>
      <c r="S1413">
        <v>3.0052029999999998</v>
      </c>
      <c r="T1413">
        <v>-8.0989720000000001E-2</v>
      </c>
      <c r="U1413">
        <v>-0.1836853</v>
      </c>
      <c r="V1413">
        <v>-5.5915829999999998E-3</v>
      </c>
      <c r="W1413">
        <v>-6.6702310000000001E-2</v>
      </c>
      <c r="X1413">
        <v>0.99775729999999996</v>
      </c>
      <c r="Y1413">
        <v>6.4824119999999999E-2</v>
      </c>
      <c r="Z1413">
        <v>-1.3879630000000001E-3</v>
      </c>
      <c r="AA1413">
        <v>0.99789570000000005</v>
      </c>
      <c r="AB1413">
        <v>26</v>
      </c>
      <c r="AC1413">
        <v>41.472099999999998</v>
      </c>
      <c r="AD1413">
        <v>-1.1210232992309901</v>
      </c>
      <c r="AE1413">
        <v>-2.5428999999999702</v>
      </c>
      <c r="AF1413">
        <v>2.7009769028444999</v>
      </c>
      <c r="AG1413">
        <v>-1.1210232992309901</v>
      </c>
      <c r="AH1413">
        <v>41.431817457058401</v>
      </c>
      <c r="AI1413">
        <v>91.546596063457301</v>
      </c>
      <c r="AJ1413">
        <v>86.270115194026701</v>
      </c>
      <c r="AK1413">
        <v>41.5348945738656</v>
      </c>
      <c r="AL1413">
        <v>93.8246003183407</v>
      </c>
      <c r="AM1413">
        <v>90.321090863294799</v>
      </c>
      <c r="AN1413">
        <v>1.00000004683153</v>
      </c>
    </row>
    <row r="1414" spans="1:40" x14ac:dyDescent="0.25">
      <c r="A1414" t="str">
        <f>"20190303153803681"</f>
        <v>20190303153803681</v>
      </c>
      <c r="B1414" t="str">
        <f>"1551598683670082"</f>
        <v>1551598683670082</v>
      </c>
      <c r="C1414" t="s">
        <v>40</v>
      </c>
      <c r="D1414">
        <v>4.5640510000000001</v>
      </c>
      <c r="E1414">
        <v>0.52639910000000001</v>
      </c>
      <c r="F1414" t="s">
        <v>45</v>
      </c>
      <c r="G1414">
        <v>-189.0557</v>
      </c>
      <c r="H1414" s="1">
        <v>-7.2807779999999996E-6</v>
      </c>
      <c r="I1414">
        <v>364.9325</v>
      </c>
      <c r="J1414">
        <v>-229.73</v>
      </c>
      <c r="K1414">
        <v>1.121008</v>
      </c>
      <c r="L1414">
        <v>367.42360000000002</v>
      </c>
      <c r="M1414">
        <v>0.9998901</v>
      </c>
      <c r="N1414">
        <v>-1.4350109999999999E-2</v>
      </c>
      <c r="O1414">
        <v>3.7372909999999998E-3</v>
      </c>
      <c r="P1414">
        <v>0.99659419999999999</v>
      </c>
      <c r="Q1414">
        <v>-8.1946459999999999E-2</v>
      </c>
      <c r="R1414">
        <v>9.2148230000000005E-3</v>
      </c>
      <c r="S1414">
        <v>3.0050509999999999</v>
      </c>
      <c r="T1414">
        <v>-8.2513329999999996E-2</v>
      </c>
      <c r="U1414">
        <v>-0.18331910000000001</v>
      </c>
      <c r="V1414">
        <v>-5.5170150000000001E-3</v>
      </c>
      <c r="W1414">
        <v>-6.7634189999999997E-2</v>
      </c>
      <c r="X1414">
        <v>0.99769490000000005</v>
      </c>
      <c r="Y1414">
        <v>6.4583489999999993E-2</v>
      </c>
      <c r="Z1414">
        <v>-1.398591E-3</v>
      </c>
      <c r="AA1414">
        <v>0.99791129999999995</v>
      </c>
      <c r="AB1414">
        <v>26</v>
      </c>
      <c r="AC1414">
        <v>40.674299999999903</v>
      </c>
      <c r="AD1414">
        <v>-1.1210152807780001</v>
      </c>
      <c r="AE1414">
        <v>-2.4911000000000101</v>
      </c>
      <c r="AF1414">
        <v>2.6411112590373098</v>
      </c>
      <c r="AG1414">
        <v>-1.1210152807780001</v>
      </c>
      <c r="AH1414">
        <v>40.6339548975781</v>
      </c>
      <c r="AI1414">
        <v>91.576957325323406</v>
      </c>
      <c r="AJ1414">
        <v>86.281140554092602</v>
      </c>
      <c r="AK1414">
        <v>40.735125316620397</v>
      </c>
      <c r="AL1414">
        <v>93.878114269553294</v>
      </c>
      <c r="AM1414">
        <v>90.316828775132194</v>
      </c>
      <c r="AN1414">
        <v>0.99999996729873697</v>
      </c>
    </row>
    <row r="1415" spans="1:40" x14ac:dyDescent="0.25">
      <c r="A1415" t="str">
        <f>"20190303153803695"</f>
        <v>20190303153803695</v>
      </c>
      <c r="B1415" t="str">
        <f>"1551598683689602"</f>
        <v>1551598683689602</v>
      </c>
      <c r="C1415" t="s">
        <v>40</v>
      </c>
      <c r="D1415">
        <v>4.593966</v>
      </c>
      <c r="E1415">
        <v>0.52630679999999996</v>
      </c>
      <c r="F1415" t="s">
        <v>45</v>
      </c>
      <c r="G1415">
        <v>-190.66239999999999</v>
      </c>
      <c r="H1415" s="1">
        <v>-6.2311990000000003E-6</v>
      </c>
      <c r="I1415">
        <v>365.04930000000002</v>
      </c>
      <c r="J1415">
        <v>-229.56659999999999</v>
      </c>
      <c r="K1415">
        <v>1.1209929999999999</v>
      </c>
      <c r="L1415">
        <v>367.42399999999998</v>
      </c>
      <c r="M1415">
        <v>0.99989159999999999</v>
      </c>
      <c r="N1415">
        <v>-1.4284740000000001E-2</v>
      </c>
      <c r="O1415">
        <v>3.6031129999999998E-3</v>
      </c>
      <c r="P1415">
        <v>0.9965522</v>
      </c>
      <c r="Q1415">
        <v>-8.2469490000000006E-2</v>
      </c>
      <c r="R1415">
        <v>9.1030509999999992E-3</v>
      </c>
      <c r="S1415">
        <v>3.0048370000000002</v>
      </c>
      <c r="T1415">
        <v>-8.622146E-2</v>
      </c>
      <c r="U1415">
        <v>-0.18261720000000001</v>
      </c>
      <c r="V1415">
        <v>-5.5391529999999998E-3</v>
      </c>
      <c r="W1415">
        <v>-6.8222980000000003E-2</v>
      </c>
      <c r="X1415">
        <v>0.99765470000000001</v>
      </c>
      <c r="Y1415">
        <v>6.4219070000000003E-2</v>
      </c>
      <c r="Z1415">
        <v>-1.43144E-3</v>
      </c>
      <c r="AA1415">
        <v>0.99793480000000001</v>
      </c>
      <c r="AB1415">
        <v>26</v>
      </c>
      <c r="AC1415">
        <v>38.904200000000003</v>
      </c>
      <c r="AD1415">
        <v>-1.120999231199</v>
      </c>
      <c r="AE1415">
        <v>-2.37470000000001</v>
      </c>
      <c r="AF1415">
        <v>2.5127965503415299</v>
      </c>
      <c r="AG1415">
        <v>-1.120999231199</v>
      </c>
      <c r="AH1415">
        <v>38.863243143834801</v>
      </c>
      <c r="AI1415">
        <v>91.648781462029902</v>
      </c>
      <c r="AJ1415">
        <v>86.300552977451403</v>
      </c>
      <c r="AK1415">
        <v>38.960524296222999</v>
      </c>
      <c r="AL1415">
        <v>93.911927510420796</v>
      </c>
      <c r="AM1415">
        <v>90.318112898066005</v>
      </c>
      <c r="AN1415">
        <v>0.999999978824063</v>
      </c>
    </row>
    <row r="1416" spans="1:40" x14ac:dyDescent="0.25">
      <c r="A1416" t="str">
        <f>"20190303153803709"</f>
        <v>20190303153803709</v>
      </c>
      <c r="B1416" t="str">
        <f>"1551598683700338"</f>
        <v>1551598683700338</v>
      </c>
      <c r="C1416" t="s">
        <v>40</v>
      </c>
      <c r="D1416">
        <v>4.5820160000000003</v>
      </c>
      <c r="E1416">
        <v>0.5262713</v>
      </c>
      <c r="F1416" t="s">
        <v>45</v>
      </c>
      <c r="G1416">
        <v>-191.90010000000001</v>
      </c>
      <c r="H1416" s="1">
        <v>-6.6523099999999997E-6</v>
      </c>
      <c r="I1416">
        <v>365.13470000000001</v>
      </c>
      <c r="J1416">
        <v>-229.40700000000001</v>
      </c>
      <c r="K1416">
        <v>1.1209690000000001</v>
      </c>
      <c r="L1416">
        <v>367.42450000000002</v>
      </c>
      <c r="M1416">
        <v>0.99989340000000004</v>
      </c>
      <c r="N1416">
        <v>-1.419306E-2</v>
      </c>
      <c r="O1416">
        <v>3.4684389999999998E-3</v>
      </c>
      <c r="P1416">
        <v>0.99652030000000003</v>
      </c>
      <c r="Q1416">
        <v>-8.285352E-2</v>
      </c>
      <c r="R1416">
        <v>9.0953240000000001E-3</v>
      </c>
      <c r="S1416">
        <v>3.0046390000000001</v>
      </c>
      <c r="T1416">
        <v>-8.9421749999999994E-2</v>
      </c>
      <c r="U1416">
        <v>-0.18261720000000001</v>
      </c>
      <c r="V1416">
        <v>-5.6664599999999999E-3</v>
      </c>
      <c r="W1416">
        <v>-6.8698839999999997E-2</v>
      </c>
      <c r="X1416">
        <v>0.99762139999999999</v>
      </c>
      <c r="Y1416">
        <v>6.4086279999999995E-2</v>
      </c>
      <c r="Z1416">
        <v>-1.461866E-3</v>
      </c>
      <c r="AA1416">
        <v>0.99794329999999998</v>
      </c>
      <c r="AB1416">
        <v>26</v>
      </c>
      <c r="AC1416">
        <v>37.506900000000002</v>
      </c>
      <c r="AD1416">
        <v>-1.1209756523100001</v>
      </c>
      <c r="AE1416">
        <v>-2.2898000000000098</v>
      </c>
      <c r="AF1416">
        <v>2.4177380947590099</v>
      </c>
      <c r="AG1416">
        <v>-1.1209756523100001</v>
      </c>
      <c r="AH1416">
        <v>37.465390057532801</v>
      </c>
      <c r="AI1416">
        <v>91.710240246235003</v>
      </c>
      <c r="AJ1416">
        <v>86.307675634368593</v>
      </c>
      <c r="AK1416">
        <v>37.560051864594101</v>
      </c>
      <c r="AL1416">
        <v>93.9392561248047</v>
      </c>
      <c r="AM1416">
        <v>90.325434830689403</v>
      </c>
      <c r="AN1416">
        <v>1.0000000485621099</v>
      </c>
    </row>
    <row r="1417" spans="1:40" x14ac:dyDescent="0.25">
      <c r="A1417" t="str">
        <f>"20190303153803722"</f>
        <v>20190303153803722</v>
      </c>
      <c r="B1417" t="str">
        <f>"1551598683710099"</f>
        <v>1551598683710099</v>
      </c>
      <c r="C1417" t="s">
        <v>40</v>
      </c>
      <c r="D1417">
        <v>4.5448779999999998</v>
      </c>
      <c r="E1417">
        <v>0.52616099999999999</v>
      </c>
      <c r="F1417" t="s">
        <v>45</v>
      </c>
      <c r="G1417">
        <v>-192.4819</v>
      </c>
      <c r="H1417" s="1">
        <v>-6.8488079999999998E-6</v>
      </c>
      <c r="I1417">
        <v>365.18389999999999</v>
      </c>
      <c r="J1417">
        <v>-229.25229999999999</v>
      </c>
      <c r="K1417">
        <v>1.1209309999999999</v>
      </c>
      <c r="L1417">
        <v>367.42489999999998</v>
      </c>
      <c r="M1417">
        <v>0.99989589999999995</v>
      </c>
      <c r="N1417">
        <v>-1.404702E-2</v>
      </c>
      <c r="O1417">
        <v>3.3479069999999998E-3</v>
      </c>
      <c r="P1417">
        <v>0.99645850000000002</v>
      </c>
      <c r="Q1417">
        <v>-8.3634539999999993E-2</v>
      </c>
      <c r="R1417">
        <v>8.7300590000000001E-3</v>
      </c>
      <c r="S1417">
        <v>3.004562</v>
      </c>
      <c r="T1417">
        <v>-9.1212749999999995E-2</v>
      </c>
      <c r="U1417">
        <v>-0.182312</v>
      </c>
      <c r="V1417">
        <v>-5.4230260000000001E-3</v>
      </c>
      <c r="W1417">
        <v>-6.9626430000000003E-2</v>
      </c>
      <c r="X1417">
        <v>0.99755839999999996</v>
      </c>
      <c r="Y1417">
        <v>6.3865379999999999E-2</v>
      </c>
      <c r="Z1417">
        <v>-1.4719869999999999E-3</v>
      </c>
      <c r="AA1417">
        <v>0.99795739999999999</v>
      </c>
      <c r="AB1417">
        <v>26</v>
      </c>
      <c r="AC1417">
        <v>36.770400000000002</v>
      </c>
      <c r="AD1417">
        <v>-1.120937848808</v>
      </c>
      <c r="AE1417">
        <v>-2.2409999999999801</v>
      </c>
      <c r="AF1417">
        <v>2.3619165853594599</v>
      </c>
      <c r="AG1417">
        <v>-1.120937848808</v>
      </c>
      <c r="AH1417">
        <v>36.728684018077601</v>
      </c>
      <c r="AI1417">
        <v>91.744489771947499</v>
      </c>
      <c r="AJ1417">
        <v>86.320538790901495</v>
      </c>
      <c r="AK1417">
        <v>36.821615680424401</v>
      </c>
      <c r="AL1417">
        <v>93.992530861105195</v>
      </c>
      <c r="AM1417">
        <v>90.311473935901404</v>
      </c>
      <c r="AN1417">
        <v>1.00000000518805</v>
      </c>
    </row>
    <row r="1418" spans="1:40" x14ac:dyDescent="0.25">
      <c r="A1418" t="str">
        <f>"20190303153803735"</f>
        <v>20190303153803735</v>
      </c>
      <c r="B1418" t="str">
        <f>"1551598683729618"</f>
        <v>1551598683729618</v>
      </c>
      <c r="C1418" t="s">
        <v>40</v>
      </c>
      <c r="D1418">
        <v>4.5935110000000003</v>
      </c>
      <c r="E1418">
        <v>0.52608469999999996</v>
      </c>
      <c r="F1418" t="s">
        <v>45</v>
      </c>
      <c r="G1418">
        <v>-193.84119999999999</v>
      </c>
      <c r="H1418" s="1">
        <v>-7.3123699999999899E-6</v>
      </c>
      <c r="I1418">
        <v>365.27089999999998</v>
      </c>
      <c r="J1418">
        <v>-229.10130000000001</v>
      </c>
      <c r="K1418">
        <v>1.1208929999999999</v>
      </c>
      <c r="L1418">
        <v>367.42520000000002</v>
      </c>
      <c r="M1418">
        <v>0.99989839999999997</v>
      </c>
      <c r="N1418">
        <v>-1.388645E-2</v>
      </c>
      <c r="O1418">
        <v>3.2297139999999998E-3</v>
      </c>
      <c r="P1418">
        <v>0.99644560000000004</v>
      </c>
      <c r="Q1418">
        <v>-8.381856E-2</v>
      </c>
      <c r="R1418">
        <v>8.4265920000000001E-3</v>
      </c>
      <c r="S1418">
        <v>3.0042719999999998</v>
      </c>
      <c r="T1418">
        <v>-9.5100160000000003E-2</v>
      </c>
      <c r="U1418">
        <v>-0.18273929999999999</v>
      </c>
      <c r="V1418">
        <v>-5.2378629999999997E-3</v>
      </c>
      <c r="W1418">
        <v>-6.9970889999999994E-2</v>
      </c>
      <c r="X1418">
        <v>0.99753530000000001</v>
      </c>
      <c r="Y1418">
        <v>6.3891569999999995E-2</v>
      </c>
      <c r="Z1418">
        <v>-1.5115770000000001E-3</v>
      </c>
      <c r="AA1418">
        <v>0.9979557</v>
      </c>
      <c r="AB1418">
        <v>26</v>
      </c>
      <c r="AC1418">
        <v>35.260100000000001</v>
      </c>
      <c r="AD1418">
        <v>-1.1209003123700001</v>
      </c>
      <c r="AE1418">
        <v>-2.1543000000000299</v>
      </c>
      <c r="AF1418">
        <v>2.2658984422286501</v>
      </c>
      <c r="AG1418">
        <v>-1.1209003123700001</v>
      </c>
      <c r="AH1418">
        <v>35.217500189150698</v>
      </c>
      <c r="AI1418">
        <v>91.819231878396707</v>
      </c>
      <c r="AJ1418">
        <v>86.318656488907806</v>
      </c>
      <c r="AK1418">
        <v>35.308115679452399</v>
      </c>
      <c r="AL1418">
        <v>94.012315167102301</v>
      </c>
      <c r="AM1418">
        <v>90.300846181113499</v>
      </c>
      <c r="AN1418">
        <v>1.0000000177011401</v>
      </c>
    </row>
    <row r="1419" spans="1:40" x14ac:dyDescent="0.25">
      <c r="A1419" t="str">
        <f>"20190303153803745"</f>
        <v>20190303153803745</v>
      </c>
      <c r="B1419" t="str">
        <f>"1551598683740355"</f>
        <v>1551598683740355</v>
      </c>
      <c r="C1419" t="s">
        <v>40</v>
      </c>
      <c r="D1419">
        <v>4.5927519999999999</v>
      </c>
      <c r="E1419">
        <v>0.52605309999999905</v>
      </c>
      <c r="F1419" t="s">
        <v>45</v>
      </c>
      <c r="G1419">
        <v>-194.4504</v>
      </c>
      <c r="H1419" s="1">
        <v>-7.52148699999999E-6</v>
      </c>
      <c r="I1419">
        <v>365.31420000000003</v>
      </c>
      <c r="J1419">
        <v>-228.97730000000001</v>
      </c>
      <c r="K1419">
        <v>1.120862</v>
      </c>
      <c r="L1419">
        <v>367.4255</v>
      </c>
      <c r="M1419">
        <v>0.99990080000000003</v>
      </c>
      <c r="N1419">
        <v>-1.373811E-2</v>
      </c>
      <c r="O1419">
        <v>3.1320290000000001E-3</v>
      </c>
      <c r="P1419">
        <v>0.99646159999999995</v>
      </c>
      <c r="Q1419">
        <v>-8.3669779999999999E-2</v>
      </c>
      <c r="R1419">
        <v>7.9920389999999994E-3</v>
      </c>
      <c r="S1419">
        <v>3.0040740000000001</v>
      </c>
      <c r="T1419">
        <v>-9.7176789999999999E-2</v>
      </c>
      <c r="U1419">
        <v>-0.18301390000000001</v>
      </c>
      <c r="V1419">
        <v>-4.9006179999999998E-3</v>
      </c>
      <c r="W1419">
        <v>-6.9970050000000006E-2</v>
      </c>
      <c r="X1419">
        <v>0.99753709999999995</v>
      </c>
      <c r="Y1419">
        <v>6.3887369999999999E-2</v>
      </c>
      <c r="Z1419">
        <v>-1.5297500000000001E-3</v>
      </c>
      <c r="AA1419">
        <v>0.99795590000000001</v>
      </c>
      <c r="AB1419">
        <v>26</v>
      </c>
      <c r="AC1419">
        <v>34.526899999999998</v>
      </c>
      <c r="AD1419">
        <v>-1.1208695214869999</v>
      </c>
      <c r="AE1419">
        <v>-2.1112999999999702</v>
      </c>
      <c r="AF1419">
        <v>2.2171112075467998</v>
      </c>
      <c r="AG1419">
        <v>-1.1208695214869999</v>
      </c>
      <c r="AH1419">
        <v>34.483910509841998</v>
      </c>
      <c r="AI1419">
        <v>91.857860742112294</v>
      </c>
      <c r="AJ1419">
        <v>86.321284085541606</v>
      </c>
      <c r="AK1419">
        <v>34.5732846955799</v>
      </c>
      <c r="AL1419">
        <v>94.012266811030301</v>
      </c>
      <c r="AM1419">
        <v>90.281475716085893</v>
      </c>
      <c r="AN1419">
        <v>1.0000000449150901</v>
      </c>
    </row>
    <row r="1420" spans="1:40" x14ac:dyDescent="0.25">
      <c r="A1420" t="str">
        <f>"20190303153803756"</f>
        <v>20190303153803756</v>
      </c>
      <c r="B1420" t="str">
        <f>"1551598683750114"</f>
        <v>1551598683750114</v>
      </c>
      <c r="C1420" t="s">
        <v>40</v>
      </c>
      <c r="D1420">
        <v>4.6230539999999998</v>
      </c>
      <c r="E1420">
        <v>0.52602019999999905</v>
      </c>
      <c r="F1420" t="s">
        <v>45</v>
      </c>
      <c r="G1420">
        <v>-194.35339999999999</v>
      </c>
      <c r="H1420" s="1">
        <v>-7.487635E-6</v>
      </c>
      <c r="I1420">
        <v>365.30450000000002</v>
      </c>
      <c r="J1420">
        <v>-228.8484</v>
      </c>
      <c r="K1420">
        <v>1.1208309999999999</v>
      </c>
      <c r="L1420">
        <v>367.42579999999998</v>
      </c>
      <c r="M1420">
        <v>0.99990319999999999</v>
      </c>
      <c r="N1420">
        <v>-1.3579890000000001E-2</v>
      </c>
      <c r="O1420">
        <v>3.0281679999999999E-3</v>
      </c>
      <c r="P1420">
        <v>0.99647830000000004</v>
      </c>
      <c r="Q1420">
        <v>-8.3509520000000004E-2</v>
      </c>
      <c r="R1420">
        <v>7.5601139999999997E-3</v>
      </c>
      <c r="S1420">
        <v>3.0039829999999998</v>
      </c>
      <c r="T1420">
        <v>-9.7247E-2</v>
      </c>
      <c r="U1420">
        <v>-0.18402099999999999</v>
      </c>
      <c r="V1420">
        <v>-4.5709840000000002E-3</v>
      </c>
      <c r="W1420">
        <v>-6.9967630000000003E-2</v>
      </c>
      <c r="X1420">
        <v>0.99753879999999995</v>
      </c>
      <c r="Y1420">
        <v>6.4118800000000004E-2</v>
      </c>
      <c r="Z1420">
        <v>-1.529395E-3</v>
      </c>
      <c r="AA1420">
        <v>0.99794110000000003</v>
      </c>
      <c r="AB1420">
        <v>26</v>
      </c>
      <c r="AC1420">
        <v>34.494999999999997</v>
      </c>
      <c r="AD1420">
        <v>-1.1208384876349999</v>
      </c>
      <c r="AE1420">
        <v>-2.1212999999999602</v>
      </c>
      <c r="AF1420">
        <v>2.2234179626291701</v>
      </c>
      <c r="AG1420">
        <v>-1.1208384876349999</v>
      </c>
      <c r="AH1420">
        <v>34.452180655878301</v>
      </c>
      <c r="AI1420">
        <v>91.859490268915295</v>
      </c>
      <c r="AJ1420">
        <v>86.307460285118296</v>
      </c>
      <c r="AK1420">
        <v>34.542041316302999</v>
      </c>
      <c r="AL1420">
        <v>94.012127953605699</v>
      </c>
      <c r="AM1420">
        <v>90.262542427832699</v>
      </c>
      <c r="AN1420">
        <v>1.0000000103239901</v>
      </c>
    </row>
    <row r="1421" spans="1:40" x14ac:dyDescent="0.25">
      <c r="A1421" t="str">
        <f>"20190303153803767"</f>
        <v>20190303153803767</v>
      </c>
      <c r="B1421" t="str">
        <f>"1551598683759875"</f>
        <v>1551598683759875</v>
      </c>
      <c r="C1421" t="s">
        <v>40</v>
      </c>
      <c r="D1421">
        <v>4.6078440000000001</v>
      </c>
      <c r="E1421">
        <v>0.52602839999999995</v>
      </c>
      <c r="F1421" t="s">
        <v>45</v>
      </c>
      <c r="G1421">
        <v>-194.32239999999999</v>
      </c>
      <c r="H1421" s="1">
        <v>-7.4770679999999999E-6</v>
      </c>
      <c r="I1421">
        <v>365.29939999999999</v>
      </c>
      <c r="J1421">
        <v>-228.71610000000001</v>
      </c>
      <c r="K1421">
        <v>1.1208</v>
      </c>
      <c r="L1421">
        <v>367.42610000000002</v>
      </c>
      <c r="M1421">
        <v>0.99990579999999996</v>
      </c>
      <c r="N1421">
        <v>-1.3415440000000001E-2</v>
      </c>
      <c r="O1421">
        <v>2.9201190000000001E-3</v>
      </c>
      <c r="P1421">
        <v>0.99648910000000002</v>
      </c>
      <c r="Q1421">
        <v>-8.339916E-2</v>
      </c>
      <c r="R1421">
        <v>7.3779129999999998E-3</v>
      </c>
      <c r="S1421">
        <v>3.0038149999999999</v>
      </c>
      <c r="T1421">
        <v>-9.7514390000000006E-2</v>
      </c>
      <c r="U1421">
        <v>-0.18499760000000001</v>
      </c>
      <c r="V1421">
        <v>-4.4967649999999998E-3</v>
      </c>
      <c r="W1421">
        <v>-7.0021280000000005E-2</v>
      </c>
      <c r="X1421">
        <v>0.99753530000000001</v>
      </c>
      <c r="Y1421">
        <v>6.4337370000000005E-2</v>
      </c>
      <c r="Z1421">
        <v>-1.530743E-3</v>
      </c>
      <c r="AA1421">
        <v>0.99792700000000001</v>
      </c>
      <c r="AB1421">
        <v>26</v>
      </c>
      <c r="AC1421">
        <v>34.393700000000003</v>
      </c>
      <c r="AD1421">
        <v>-1.1208074770679901</v>
      </c>
      <c r="AE1421">
        <v>-2.12670000000002</v>
      </c>
      <c r="AF1421">
        <v>2.22478005410552</v>
      </c>
      <c r="AG1421">
        <v>-1.1208074770679901</v>
      </c>
      <c r="AH1421">
        <v>34.351002441357601</v>
      </c>
      <c r="AI1421">
        <v>91.864884264872003</v>
      </c>
      <c r="AJ1421">
        <v>86.294352001307601</v>
      </c>
      <c r="AK1421">
        <v>34.441214038067201</v>
      </c>
      <c r="AL1421">
        <v>94.015209722125107</v>
      </c>
      <c r="AM1421">
        <v>90.258280494717894</v>
      </c>
      <c r="AN1421">
        <v>0.99999993764719497</v>
      </c>
    </row>
    <row r="1422" spans="1:40" x14ac:dyDescent="0.25">
      <c r="A1422" t="str">
        <f>"20190303153803788"</f>
        <v>20190303153803788</v>
      </c>
      <c r="B1422" t="str">
        <f>"1551598683769916"</f>
        <v>1551598683769916</v>
      </c>
      <c r="C1422" t="s">
        <v>40</v>
      </c>
      <c r="D1422">
        <v>4.6039849999999998</v>
      </c>
      <c r="E1422">
        <v>0.52602479999999996</v>
      </c>
      <c r="F1422" t="s">
        <v>45</v>
      </c>
      <c r="G1422">
        <v>-194.2003</v>
      </c>
      <c r="H1422" s="1">
        <v>-7.4348079999999997E-6</v>
      </c>
      <c r="I1422">
        <v>365.29399999999998</v>
      </c>
      <c r="J1422">
        <v>-228.57249999999999</v>
      </c>
      <c r="K1422">
        <v>1.1207739999999999</v>
      </c>
      <c r="L1422">
        <v>367.4264</v>
      </c>
      <c r="M1422">
        <v>0.99990829999999997</v>
      </c>
      <c r="N1422">
        <v>-1.3244399999999899E-2</v>
      </c>
      <c r="O1422">
        <v>2.8004810000000001E-3</v>
      </c>
      <c r="P1422">
        <v>0.99650019999999995</v>
      </c>
      <c r="Q1422">
        <v>-8.3300639999999995E-2</v>
      </c>
      <c r="R1422">
        <v>6.942574E-3</v>
      </c>
      <c r="S1422">
        <v>3.003784</v>
      </c>
      <c r="T1422">
        <v>-9.7539780000000006E-2</v>
      </c>
      <c r="U1422">
        <v>-0.18554689999999999</v>
      </c>
      <c r="V1422">
        <v>-4.1794759999999997E-3</v>
      </c>
      <c r="W1422">
        <v>-7.0093450000000002E-2</v>
      </c>
      <c r="X1422">
        <v>0.99753170000000002</v>
      </c>
      <c r="Y1422">
        <v>6.4400520000000003E-2</v>
      </c>
      <c r="Z1422">
        <v>-1.525181E-3</v>
      </c>
      <c r="AA1422">
        <v>0.997923</v>
      </c>
      <c r="AB1422">
        <v>26</v>
      </c>
      <c r="AC1422">
        <v>34.3721999999999</v>
      </c>
      <c r="AD1422">
        <v>-1.1207814348080001</v>
      </c>
      <c r="AE1422">
        <v>-2.1323999999999601</v>
      </c>
      <c r="AF1422">
        <v>2.22630078557704</v>
      </c>
      <c r="AG1422">
        <v>-1.1207814348080001</v>
      </c>
      <c r="AH1422">
        <v>34.329732464788798</v>
      </c>
      <c r="AI1422">
        <v>91.865985404025693</v>
      </c>
      <c r="AJ1422">
        <v>86.289535008701407</v>
      </c>
      <c r="AK1422">
        <v>34.420097288015398</v>
      </c>
      <c r="AL1422">
        <v>94.019354587527005</v>
      </c>
      <c r="AM1422">
        <v>90.240057467996095</v>
      </c>
      <c r="AN1422">
        <v>1.0000000261287101</v>
      </c>
    </row>
    <row r="1423" spans="1:40" x14ac:dyDescent="0.25">
      <c r="A1423" t="str">
        <f>"20190303153803801"</f>
        <v>20190303153803801</v>
      </c>
      <c r="B1423" t="str">
        <f>"1551598683790385"</f>
        <v>1551598683790385</v>
      </c>
      <c r="C1423" t="s">
        <v>40</v>
      </c>
      <c r="D1423">
        <v>4.6110329999999999</v>
      </c>
      <c r="E1423">
        <v>0.5259644</v>
      </c>
      <c r="F1423" t="s">
        <v>45</v>
      </c>
      <c r="G1423">
        <v>-194.15940000000001</v>
      </c>
      <c r="H1423" s="1">
        <v>-7.4213929999999998E-6</v>
      </c>
      <c r="I1423">
        <v>365.28789999999998</v>
      </c>
      <c r="J1423">
        <v>-228.33029999999999</v>
      </c>
      <c r="K1423">
        <v>1.1207339999999999</v>
      </c>
      <c r="L1423">
        <v>367.42680000000001</v>
      </c>
      <c r="M1423">
        <v>0.99991249999999998</v>
      </c>
      <c r="N1423">
        <v>-1.2966770000000001E-2</v>
      </c>
      <c r="O1423">
        <v>2.5982319999999998E-3</v>
      </c>
      <c r="P1423">
        <v>0.99652890000000005</v>
      </c>
      <c r="Q1423">
        <v>-8.2986850000000001E-2</v>
      </c>
      <c r="R1423">
        <v>6.6037489999999999E-3</v>
      </c>
      <c r="S1423">
        <v>3.003647</v>
      </c>
      <c r="T1423">
        <v>-9.7824099999999997E-2</v>
      </c>
      <c r="U1423">
        <v>-0.18664549999999999</v>
      </c>
      <c r="V1423">
        <v>-4.0420209999999998E-3</v>
      </c>
      <c r="W1423">
        <v>-7.0056359999999998E-2</v>
      </c>
      <c r="X1423">
        <v>0.9975349</v>
      </c>
      <c r="Y1423">
        <v>6.4565020000000001E-2</v>
      </c>
      <c r="Z1423">
        <v>-1.5201399999999999E-3</v>
      </c>
      <c r="AA1423">
        <v>0.99791229999999997</v>
      </c>
      <c r="AB1423">
        <v>26</v>
      </c>
      <c r="AC1423">
        <v>34.170899999999897</v>
      </c>
      <c r="AD1423">
        <v>-1.120741421393</v>
      </c>
      <c r="AE1423">
        <v>-2.1389000000000302</v>
      </c>
      <c r="AF1423">
        <v>2.2252997242077499</v>
      </c>
      <c r="AG1423">
        <v>-1.120741421393</v>
      </c>
      <c r="AH1423">
        <v>34.128657319164198</v>
      </c>
      <c r="AI1423">
        <v>91.876861550577999</v>
      </c>
      <c r="AJ1423">
        <v>86.269409223848001</v>
      </c>
      <c r="AK1423">
        <v>34.219486708674097</v>
      </c>
      <c r="AL1423">
        <v>94.017224137572796</v>
      </c>
      <c r="AM1423">
        <v>90.232161778536593</v>
      </c>
      <c r="AN1423">
        <v>1.0000000541141101</v>
      </c>
    </row>
    <row r="1424" spans="1:40" x14ac:dyDescent="0.25">
      <c r="A1424" t="str">
        <f>"20190303153803811"</f>
        <v>20190303153803811</v>
      </c>
      <c r="B1424" t="str">
        <f>"1551598683800145"</f>
        <v>1551598683800145</v>
      </c>
      <c r="C1424" t="s">
        <v>40</v>
      </c>
      <c r="D1424">
        <v>4.6212239999999998</v>
      </c>
      <c r="E1424">
        <v>0.52594510000000005</v>
      </c>
      <c r="F1424" t="s">
        <v>45</v>
      </c>
      <c r="G1424">
        <v>-194.1343</v>
      </c>
      <c r="H1424" s="1">
        <v>-7.4118300000000003E-6</v>
      </c>
      <c r="I1424">
        <v>365.2928</v>
      </c>
      <c r="J1424">
        <v>-228.20079999999999</v>
      </c>
      <c r="K1424">
        <v>1.1207119999999999</v>
      </c>
      <c r="L1424">
        <v>367.4271</v>
      </c>
      <c r="M1424">
        <v>0.99991479999999999</v>
      </c>
      <c r="N1424">
        <v>-1.282435E-2</v>
      </c>
      <c r="O1424">
        <v>2.490426E-3</v>
      </c>
      <c r="P1424">
        <v>0.9964963</v>
      </c>
      <c r="Q1424">
        <v>-8.3403619999999998E-2</v>
      </c>
      <c r="R1424">
        <v>6.2647340000000001E-3</v>
      </c>
      <c r="S1424">
        <v>3.0035099999999999</v>
      </c>
      <c r="T1424">
        <v>-9.843731E-2</v>
      </c>
      <c r="U1424">
        <v>-0.18743899999999999</v>
      </c>
      <c r="V1424">
        <v>-3.8102230000000002E-3</v>
      </c>
      <c r="W1424">
        <v>-7.0615709999999998E-2</v>
      </c>
      <c r="X1424">
        <v>0.9974963</v>
      </c>
      <c r="Y1424">
        <v>6.4722370000000001E-2</v>
      </c>
      <c r="Z1424">
        <v>-1.5244999999999901E-3</v>
      </c>
      <c r="AA1424">
        <v>0.99790219999999996</v>
      </c>
      <c r="AB1424">
        <v>26</v>
      </c>
      <c r="AC1424">
        <v>34.066499999999898</v>
      </c>
      <c r="AD1424">
        <v>-1.1207194118299999</v>
      </c>
      <c r="AE1424">
        <v>-2.1342999999999899</v>
      </c>
      <c r="AF1424">
        <v>2.21675068343179</v>
      </c>
      <c r="AG1424">
        <v>-1.1207194118299999</v>
      </c>
      <c r="AH1424">
        <v>34.0243987078941</v>
      </c>
      <c r="AI1424">
        <v>91.882577894099299</v>
      </c>
      <c r="AJ1424">
        <v>86.2723454335692</v>
      </c>
      <c r="AK1424">
        <v>34.114948380824103</v>
      </c>
      <c r="AL1424">
        <v>94.049352390966305</v>
      </c>
      <c r="AM1424">
        <v>90.218856586379403</v>
      </c>
      <c r="AN1424">
        <v>0.99999998240590104</v>
      </c>
    </row>
    <row r="1425" spans="1:40" x14ac:dyDescent="0.25">
      <c r="A1425" t="str">
        <f>"20190303153803826"</f>
        <v>20190303153803826</v>
      </c>
      <c r="B1425" t="str">
        <f>"1551598683819665"</f>
        <v>1551598683819665</v>
      </c>
      <c r="C1425" t="s">
        <v>40</v>
      </c>
      <c r="D1425">
        <v>4.6390859999999998</v>
      </c>
      <c r="E1425">
        <v>0.52587439999999996</v>
      </c>
      <c r="F1425" t="s">
        <v>45</v>
      </c>
      <c r="G1425">
        <v>-194.58080000000001</v>
      </c>
      <c r="H1425" s="1">
        <v>-7.5682889999999999E-6</v>
      </c>
      <c r="I1425">
        <v>365.3186</v>
      </c>
      <c r="J1425">
        <v>-228.03460000000001</v>
      </c>
      <c r="K1425">
        <v>1.1206879999999999</v>
      </c>
      <c r="L1425">
        <v>367.4273</v>
      </c>
      <c r="M1425">
        <v>0.99991730000000001</v>
      </c>
      <c r="N1425">
        <v>-1.2649530000000001E-2</v>
      </c>
      <c r="O1425">
        <v>2.3541930000000001E-3</v>
      </c>
      <c r="P1425">
        <v>0.99649860000000001</v>
      </c>
      <c r="Q1425">
        <v>-8.3368780000000003E-2</v>
      </c>
      <c r="R1425">
        <v>6.341228E-3</v>
      </c>
      <c r="S1425">
        <v>3.0033569999999998</v>
      </c>
      <c r="T1425">
        <v>-0.1001167</v>
      </c>
      <c r="U1425">
        <v>-0.18835450000000001</v>
      </c>
      <c r="V1425">
        <v>-4.0223200000000002E-3</v>
      </c>
      <c r="W1425">
        <v>-7.0755180000000001E-2</v>
      </c>
      <c r="X1425">
        <v>0.99748559999999997</v>
      </c>
      <c r="Y1425">
        <v>6.4891199999999996E-2</v>
      </c>
      <c r="Z1425">
        <v>-1.5398429999999999E-3</v>
      </c>
      <c r="AA1425">
        <v>0.99789110000000003</v>
      </c>
      <c r="AB1425">
        <v>26</v>
      </c>
      <c r="AC1425">
        <v>33.453800000000001</v>
      </c>
      <c r="AD1425">
        <v>-1.1206955682890001</v>
      </c>
      <c r="AE1425">
        <v>-2.10869999999999</v>
      </c>
      <c r="AF1425">
        <v>2.1850147535703401</v>
      </c>
      <c r="AG1425">
        <v>-1.1206955682890001</v>
      </c>
      <c r="AH1425">
        <v>33.411395495975903</v>
      </c>
      <c r="AI1425">
        <v>91.917020930961002</v>
      </c>
      <c r="AJ1425">
        <v>86.258339283504796</v>
      </c>
      <c r="AK1425">
        <v>33.5015163390946</v>
      </c>
      <c r="AL1425">
        <v>94.057363407029598</v>
      </c>
      <c r="AM1425">
        <v>90.231041641807707</v>
      </c>
      <c r="AN1425">
        <v>0.99999999838118703</v>
      </c>
    </row>
    <row r="1426" spans="1:40" x14ac:dyDescent="0.25">
      <c r="A1426" t="str">
        <f>"20190303153803846"</f>
        <v>20190303153803846</v>
      </c>
      <c r="B1426" t="str">
        <f>"1551598683840162"</f>
        <v>1551598683840162</v>
      </c>
      <c r="C1426" t="s">
        <v>40</v>
      </c>
      <c r="D1426">
        <v>4.5895400000000004</v>
      </c>
      <c r="E1426">
        <v>0.52574339999999997</v>
      </c>
      <c r="F1426" t="s">
        <v>45</v>
      </c>
      <c r="G1426">
        <v>-194.7825</v>
      </c>
      <c r="H1426" s="1">
        <v>-7.6364879999999993E-6</v>
      </c>
      <c r="I1426">
        <v>365.3544</v>
      </c>
      <c r="J1426">
        <v>-227.81319999999999</v>
      </c>
      <c r="K1426">
        <v>1.1206640000000001</v>
      </c>
      <c r="L1426">
        <v>367.42770000000002</v>
      </c>
      <c r="M1426">
        <v>0.99992049999999999</v>
      </c>
      <c r="N1426">
        <v>-1.2429610000000001E-2</v>
      </c>
      <c r="O1426">
        <v>2.175771E-3</v>
      </c>
      <c r="P1426">
        <v>0.99650680000000003</v>
      </c>
      <c r="Q1426">
        <v>-8.3245020000000003E-2</v>
      </c>
      <c r="R1426">
        <v>6.6922479999999996E-3</v>
      </c>
      <c r="S1426">
        <v>3.0032649999999999</v>
      </c>
      <c r="T1426">
        <v>-0.1012189</v>
      </c>
      <c r="U1426">
        <v>-0.18722530000000001</v>
      </c>
      <c r="V1426">
        <v>-4.5516740000000003E-3</v>
      </c>
      <c r="W1426">
        <v>-7.0850479999999993E-2</v>
      </c>
      <c r="X1426">
        <v>0.99747660000000005</v>
      </c>
      <c r="Y1426">
        <v>6.4341019999999999E-2</v>
      </c>
      <c r="Z1426">
        <v>-1.5295350000000001E-3</v>
      </c>
      <c r="AA1426">
        <v>0.9979268</v>
      </c>
      <c r="AB1426">
        <v>26</v>
      </c>
      <c r="AC1426">
        <v>33.030700000000003</v>
      </c>
      <c r="AD1426">
        <v>-1.1206716364879901</v>
      </c>
      <c r="AE1426">
        <v>-2.0733000000000099</v>
      </c>
      <c r="AF1426">
        <v>2.1427110334984301</v>
      </c>
      <c r="AG1426">
        <v>-1.1206716364879901</v>
      </c>
      <c r="AH1426">
        <v>32.988285927813898</v>
      </c>
      <c r="AI1426">
        <v>91.941604470843899</v>
      </c>
      <c r="AJ1426">
        <v>86.283648004275307</v>
      </c>
      <c r="AK1426">
        <v>33.076791318764698</v>
      </c>
      <c r="AL1426">
        <v>94.062837271996102</v>
      </c>
      <c r="AM1426">
        <v>90.261449641839803</v>
      </c>
      <c r="AN1426">
        <v>1.00000003789999</v>
      </c>
    </row>
    <row r="1427" spans="1:40" x14ac:dyDescent="0.25">
      <c r="A1427" t="str">
        <f>"20190303153803856"</f>
        <v>20190303153803856</v>
      </c>
      <c r="B1427" t="str">
        <f>"1551598683849921"</f>
        <v>1551598683849921</v>
      </c>
      <c r="C1427" t="s">
        <v>40</v>
      </c>
      <c r="D1427">
        <v>4.6403290000000004</v>
      </c>
      <c r="E1427">
        <v>0.52571400000000001</v>
      </c>
      <c r="F1427" t="s">
        <v>45</v>
      </c>
      <c r="G1427">
        <v>-194.98050000000001</v>
      </c>
      <c r="H1427" s="1">
        <v>-7.7017919999999995E-6</v>
      </c>
      <c r="I1427">
        <v>365.4008</v>
      </c>
      <c r="J1427">
        <v>-227.67609999999999</v>
      </c>
      <c r="K1427">
        <v>1.1206529999999999</v>
      </c>
      <c r="L1427">
        <v>367.42790000000002</v>
      </c>
      <c r="M1427">
        <v>0.99992230000000004</v>
      </c>
      <c r="N1427">
        <v>-1.230233E-2</v>
      </c>
      <c r="O1427">
        <v>2.0664160000000002E-3</v>
      </c>
      <c r="P1427">
        <v>0.99651060000000002</v>
      </c>
      <c r="Q1427">
        <v>-8.3178890000000005E-2</v>
      </c>
      <c r="R1427">
        <v>6.945774E-3</v>
      </c>
      <c r="S1427">
        <v>3.0031889999999999</v>
      </c>
      <c r="T1427">
        <v>-0.10250720000000001</v>
      </c>
      <c r="U1427">
        <v>-0.18539430000000001</v>
      </c>
      <c r="V1427">
        <v>-4.9145609999999996E-3</v>
      </c>
      <c r="W1427">
        <v>-7.0911119999999994E-2</v>
      </c>
      <c r="X1427">
        <v>0.99747059999999999</v>
      </c>
      <c r="Y1427">
        <v>6.3626950000000002E-2</v>
      </c>
      <c r="Z1427">
        <v>-1.5215090000000001E-3</v>
      </c>
      <c r="AA1427">
        <v>0.99797259999999999</v>
      </c>
      <c r="AB1427">
        <v>26</v>
      </c>
      <c r="AC1427">
        <v>32.695599999999899</v>
      </c>
      <c r="AD1427">
        <v>-1.1206607017919901</v>
      </c>
      <c r="AE1427">
        <v>-2.0271000000000101</v>
      </c>
      <c r="AF1427">
        <v>2.0922149336122602</v>
      </c>
      <c r="AG1427">
        <v>-1.1206607017919901</v>
      </c>
      <c r="AH1427">
        <v>32.653126528532297</v>
      </c>
      <c r="AI1427">
        <v>91.961609725051702</v>
      </c>
      <c r="AJ1427">
        <v>86.333844465985706</v>
      </c>
      <c r="AK1427">
        <v>32.739271766875198</v>
      </c>
      <c r="AL1427">
        <v>94.066320322752404</v>
      </c>
      <c r="AM1427">
        <v>90.282295362850306</v>
      </c>
      <c r="AN1427">
        <v>1.00000006885691</v>
      </c>
    </row>
    <row r="1428" spans="1:40" x14ac:dyDescent="0.25">
      <c r="A1428" t="str">
        <f>"20190303153803867"</f>
        <v>20190303153803867</v>
      </c>
      <c r="B1428" t="str">
        <f>"1551598683859681"</f>
        <v>1551598683859681</v>
      </c>
      <c r="C1428" t="s">
        <v>40</v>
      </c>
      <c r="D1428">
        <v>4.6401629999999896</v>
      </c>
      <c r="E1428">
        <v>0.52569409999999905</v>
      </c>
      <c r="F1428" t="s">
        <v>45</v>
      </c>
      <c r="G1428">
        <v>-194.98820000000001</v>
      </c>
      <c r="H1428" s="1">
        <v>-7.7015269999999996E-6</v>
      </c>
      <c r="I1428">
        <v>365.42219999999998</v>
      </c>
      <c r="J1428">
        <v>-227.5402</v>
      </c>
      <c r="K1428">
        <v>1.1206389999999999</v>
      </c>
      <c r="L1428">
        <v>367.428</v>
      </c>
      <c r="M1428">
        <v>0.99992400000000004</v>
      </c>
      <c r="N1428">
        <v>-1.2180369999999999E-2</v>
      </c>
      <c r="O1428">
        <v>1.9585090000000002E-3</v>
      </c>
      <c r="P1428">
        <v>0.99656279999999997</v>
      </c>
      <c r="Q1428">
        <v>-8.2557459999999999E-2</v>
      </c>
      <c r="R1428">
        <v>6.8888400000000002E-3</v>
      </c>
      <c r="S1428">
        <v>3.0031889999999999</v>
      </c>
      <c r="T1428">
        <v>-0.1029603</v>
      </c>
      <c r="U1428">
        <v>-0.18426509999999999</v>
      </c>
      <c r="V1428">
        <v>-4.9651540000000003E-3</v>
      </c>
      <c r="W1428">
        <v>-7.0410699999999896E-2</v>
      </c>
      <c r="X1428">
        <v>0.99750570000000005</v>
      </c>
      <c r="Y1428">
        <v>6.3145560000000003E-2</v>
      </c>
      <c r="Z1428">
        <v>-1.5094279999999999E-3</v>
      </c>
      <c r="AA1428">
        <v>0.99800319999999998</v>
      </c>
      <c r="AB1428">
        <v>26</v>
      </c>
      <c r="AC1428">
        <v>32.5519999999999</v>
      </c>
      <c r="AD1428">
        <v>-1.1206467015270001</v>
      </c>
      <c r="AE1428">
        <v>-2.00580000000007</v>
      </c>
      <c r="AF1428">
        <v>2.0671136382993098</v>
      </c>
      <c r="AG1428">
        <v>-1.1206467015270001</v>
      </c>
      <c r="AH1428">
        <v>32.509625068642201</v>
      </c>
      <c r="AI1428">
        <v>91.970298341315399</v>
      </c>
      <c r="AJ1428">
        <v>86.361764885065696</v>
      </c>
      <c r="AK1428">
        <v>32.594547549045302</v>
      </c>
      <c r="AL1428">
        <v>94.0375769201286</v>
      </c>
      <c r="AM1428">
        <v>90.285191372243304</v>
      </c>
      <c r="AN1428">
        <v>0.99999997048061096</v>
      </c>
    </row>
    <row r="1429" spans="1:40" x14ac:dyDescent="0.25">
      <c r="A1429" t="str">
        <f>"20190303153803880"</f>
        <v>20190303153803880</v>
      </c>
      <c r="B1429" t="str">
        <f>"1551598683870417"</f>
        <v>1551598683870417</v>
      </c>
      <c r="C1429" t="s">
        <v>40</v>
      </c>
      <c r="D1429">
        <v>4.5755049999999997</v>
      </c>
      <c r="E1429">
        <v>0.52569160000000004</v>
      </c>
      <c r="F1429" t="s">
        <v>45</v>
      </c>
      <c r="G1429">
        <v>-194.50360000000001</v>
      </c>
      <c r="H1429" s="1">
        <v>-7.5281909999999997E-6</v>
      </c>
      <c r="I1429">
        <v>365.40230000000003</v>
      </c>
      <c r="J1429">
        <v>-227.4025</v>
      </c>
      <c r="K1429">
        <v>1.120635</v>
      </c>
      <c r="L1429">
        <v>367.4282</v>
      </c>
      <c r="M1429">
        <v>0.99992559999999997</v>
      </c>
      <c r="N1429">
        <v>-1.2067639999999999E-2</v>
      </c>
      <c r="O1429">
        <v>1.849051E-3</v>
      </c>
      <c r="P1429">
        <v>0.99659880000000001</v>
      </c>
      <c r="Q1429">
        <v>-8.2096340000000004E-2</v>
      </c>
      <c r="R1429">
        <v>7.1828899999999999E-3</v>
      </c>
      <c r="S1429">
        <v>3.0031889999999999</v>
      </c>
      <c r="T1429">
        <v>-0.1018722</v>
      </c>
      <c r="U1429">
        <v>-0.1841431</v>
      </c>
      <c r="V1429">
        <v>-5.3681600000000003E-3</v>
      </c>
      <c r="W1429">
        <v>-7.0061479999999995E-2</v>
      </c>
      <c r="X1429">
        <v>0.99752830000000003</v>
      </c>
      <c r="Y1429">
        <v>6.29971E-2</v>
      </c>
      <c r="Z1429">
        <v>-1.4881530000000001E-3</v>
      </c>
      <c r="AA1429">
        <v>0.99801260000000003</v>
      </c>
      <c r="AB1429">
        <v>26</v>
      </c>
      <c r="AC1429">
        <v>32.898899999999998</v>
      </c>
      <c r="AD1429">
        <v>-1.120642528191</v>
      </c>
      <c r="AE1429">
        <v>-2.0258999999999698</v>
      </c>
      <c r="AF1429">
        <v>2.0843233917333199</v>
      </c>
      <c r="AG1429">
        <v>-1.120642528191</v>
      </c>
      <c r="AH1429">
        <v>32.857117294646898</v>
      </c>
      <c r="AI1429">
        <v>91.949487975848299</v>
      </c>
      <c r="AJ1429">
        <v>86.370249793602994</v>
      </c>
      <c r="AK1429">
        <v>32.942228227481898</v>
      </c>
      <c r="AL1429">
        <v>94.017518155797205</v>
      </c>
      <c r="AM1429">
        <v>90.308332047006303</v>
      </c>
      <c r="AN1429">
        <v>1.00000006871123</v>
      </c>
    </row>
    <row r="1430" spans="1:40" x14ac:dyDescent="0.25">
      <c r="A1430" t="str">
        <f>"20190303153803901"</f>
        <v>20190303153803901</v>
      </c>
      <c r="B1430" t="str">
        <f>"1551598683889937"</f>
        <v>1551598683889937</v>
      </c>
      <c r="C1430" t="s">
        <v>40</v>
      </c>
      <c r="D1430">
        <v>4.5737889999999997</v>
      </c>
      <c r="E1430">
        <v>0.52567540000000001</v>
      </c>
      <c r="F1430" t="s">
        <v>45</v>
      </c>
      <c r="G1430">
        <v>-194.1559</v>
      </c>
      <c r="H1430" s="1">
        <v>-7.4029510000000002E-6</v>
      </c>
      <c r="I1430">
        <v>365.3981</v>
      </c>
      <c r="J1430">
        <v>-227.15700000000001</v>
      </c>
      <c r="K1430">
        <v>1.1206160000000001</v>
      </c>
      <c r="L1430">
        <v>367.42840000000001</v>
      </c>
      <c r="M1430">
        <v>0.99992809999999999</v>
      </c>
      <c r="N1430">
        <v>-1.1880099999999999E-2</v>
      </c>
      <c r="O1430">
        <v>1.65314E-3</v>
      </c>
      <c r="P1430">
        <v>0.99664649999999999</v>
      </c>
      <c r="Q1430">
        <v>-8.1475870000000006E-2</v>
      </c>
      <c r="R1430">
        <v>7.5882249999999997E-3</v>
      </c>
      <c r="S1430">
        <v>3.0032040000000002</v>
      </c>
      <c r="T1430">
        <v>-0.101229</v>
      </c>
      <c r="U1430">
        <v>-0.18338009999999999</v>
      </c>
      <c r="V1430">
        <v>-5.9686210000000003E-3</v>
      </c>
      <c r="W1430">
        <v>-6.9627339999999996E-2</v>
      </c>
      <c r="X1430">
        <v>0.99755519999999998</v>
      </c>
      <c r="Y1430">
        <v>6.2549779999999999E-2</v>
      </c>
      <c r="Z1430">
        <v>-1.4609899999999999E-3</v>
      </c>
      <c r="AA1430">
        <v>0.99804079999999995</v>
      </c>
      <c r="AB1430">
        <v>26</v>
      </c>
      <c r="AC1430">
        <v>33.001100000000001</v>
      </c>
      <c r="AD1430">
        <v>-1.120623402951</v>
      </c>
      <c r="AE1430">
        <v>-2.0303000000000102</v>
      </c>
      <c r="AF1430">
        <v>2.0824643014105</v>
      </c>
      <c r="AG1430">
        <v>-1.120623402951</v>
      </c>
      <c r="AH1430">
        <v>32.959836001486799</v>
      </c>
      <c r="AI1430">
        <v>91.943415072580393</v>
      </c>
      <c r="AJ1430">
        <v>86.3847506317327</v>
      </c>
      <c r="AK1430">
        <v>33.044564509504397</v>
      </c>
      <c r="AL1430">
        <v>93.992583211922394</v>
      </c>
      <c r="AM1430">
        <v>90.342810815944105</v>
      </c>
      <c r="AN1430">
        <v>0.99999998397957801</v>
      </c>
    </row>
    <row r="1431" spans="1:40" x14ac:dyDescent="0.25">
      <c r="A1431" t="str">
        <f>"20190303153803916"</f>
        <v>20190303153803916</v>
      </c>
      <c r="B1431" t="str">
        <f>"1551598683910433"</f>
        <v>1551598683910433</v>
      </c>
      <c r="C1431" t="s">
        <v>40</v>
      </c>
      <c r="D1431">
        <v>4.5933789999999997</v>
      </c>
      <c r="E1431">
        <v>0.52562089999999995</v>
      </c>
      <c r="F1431" t="s">
        <v>45</v>
      </c>
      <c r="G1431">
        <v>-193.7945</v>
      </c>
      <c r="H1431" s="1">
        <v>-7.2747979999999997E-6</v>
      </c>
      <c r="I1431">
        <v>365.40660000000003</v>
      </c>
      <c r="J1431">
        <v>-226.97640000000001</v>
      </c>
      <c r="K1431">
        <v>1.1206069999999999</v>
      </c>
      <c r="L1431">
        <v>367.42860000000002</v>
      </c>
      <c r="M1431">
        <v>0.99992979999999998</v>
      </c>
      <c r="N1431">
        <v>-1.175523E-2</v>
      </c>
      <c r="O1431">
        <v>1.508164E-3</v>
      </c>
      <c r="P1431">
        <v>0.99664269999999999</v>
      </c>
      <c r="Q1431">
        <v>-8.1470429999999996E-2</v>
      </c>
      <c r="R1431">
        <v>8.1149120000000002E-3</v>
      </c>
      <c r="S1431">
        <v>3.00325</v>
      </c>
      <c r="T1431">
        <v>-0.10087740000000001</v>
      </c>
      <c r="U1431">
        <v>-0.1820068</v>
      </c>
      <c r="V1431">
        <v>-6.6402140000000002E-3</v>
      </c>
      <c r="W1431">
        <v>-6.9746219999999998E-2</v>
      </c>
      <c r="X1431">
        <v>0.9975427</v>
      </c>
      <c r="Y1431">
        <v>6.195034E-2</v>
      </c>
      <c r="Z1431">
        <v>-1.436685E-3</v>
      </c>
      <c r="AA1431">
        <v>0.99807820000000003</v>
      </c>
      <c r="AB1431">
        <v>26</v>
      </c>
      <c r="AC1431">
        <v>33.181899999999999</v>
      </c>
      <c r="AD1431">
        <v>-1.1206142747979999</v>
      </c>
      <c r="AE1431">
        <v>-2.02199999999999</v>
      </c>
      <c r="AF1431">
        <v>2.0696930727541698</v>
      </c>
      <c r="AG1431">
        <v>-1.1206142747979999</v>
      </c>
      <c r="AH1431">
        <v>33.141153629562197</v>
      </c>
      <c r="AI1431">
        <v>91.932863204634202</v>
      </c>
      <c r="AJ1431">
        <v>86.426471007103402</v>
      </c>
      <c r="AK1431">
        <v>33.224621437520298</v>
      </c>
      <c r="AL1431">
        <v>93.999410937208694</v>
      </c>
      <c r="AM1431">
        <v>90.381387802328703</v>
      </c>
      <c r="AN1431">
        <v>1.00000003298477</v>
      </c>
    </row>
    <row r="1432" spans="1:40" x14ac:dyDescent="0.25">
      <c r="A1432" t="str">
        <f>"20190303153803929"</f>
        <v>20190303153803929</v>
      </c>
      <c r="B1432" t="str">
        <f>"1551598683920194"</f>
        <v>1551598683920194</v>
      </c>
      <c r="C1432" t="s">
        <v>40</v>
      </c>
      <c r="D1432">
        <v>4.5953239999999997</v>
      </c>
      <c r="E1432">
        <v>0.52560469999999904</v>
      </c>
      <c r="F1432" t="s">
        <v>45</v>
      </c>
      <c r="G1432">
        <v>-194.08349999999999</v>
      </c>
      <c r="H1432" s="1">
        <v>-7.3684259999999898E-6</v>
      </c>
      <c r="I1432">
        <v>365.45650000000001</v>
      </c>
      <c r="J1432">
        <v>-226.8143</v>
      </c>
      <c r="K1432">
        <v>1.1205969999999901</v>
      </c>
      <c r="L1432">
        <v>367.42869999999999</v>
      </c>
      <c r="M1432">
        <v>0.99993120000000002</v>
      </c>
      <c r="N1432">
        <v>-1.1650529999999999E-2</v>
      </c>
      <c r="O1432">
        <v>1.377428E-3</v>
      </c>
      <c r="P1432">
        <v>0.99666639999999995</v>
      </c>
      <c r="Q1432">
        <v>-8.1163970000000002E-2</v>
      </c>
      <c r="R1432">
        <v>8.2883729999999999E-3</v>
      </c>
      <c r="S1432">
        <v>3.0032040000000002</v>
      </c>
      <c r="T1432">
        <v>-0.1023148</v>
      </c>
      <c r="U1432">
        <v>-0.18005370000000001</v>
      </c>
      <c r="V1432">
        <v>-6.9442619999999997E-3</v>
      </c>
      <c r="W1432">
        <v>-6.9543839999999996E-2</v>
      </c>
      <c r="X1432">
        <v>0.99755470000000002</v>
      </c>
      <c r="Y1432">
        <v>6.1173560000000002E-2</v>
      </c>
      <c r="Z1432">
        <v>-1.428475E-3</v>
      </c>
      <c r="AA1432">
        <v>0.99812610000000002</v>
      </c>
      <c r="AB1432">
        <v>26</v>
      </c>
      <c r="AC1432">
        <v>32.730800000000002</v>
      </c>
      <c r="AD1432">
        <v>-1.1206043684260001</v>
      </c>
      <c r="AE1432">
        <v>-1.97219999999998</v>
      </c>
      <c r="AF1432">
        <v>2.0149322052113798</v>
      </c>
      <c r="AG1432">
        <v>-1.1206043684260001</v>
      </c>
      <c r="AH1432">
        <v>32.689872658835498</v>
      </c>
      <c r="AI1432">
        <v>91.959606643489707</v>
      </c>
      <c r="AJ1432">
        <v>86.472875806031993</v>
      </c>
      <c r="AK1432">
        <v>32.771076887905501</v>
      </c>
      <c r="AL1432">
        <v>93.987787429070806</v>
      </c>
      <c r="AM1432">
        <v>90.398845775224601</v>
      </c>
      <c r="AN1432">
        <v>0.99999997397437901</v>
      </c>
    </row>
    <row r="1433" spans="1:40" x14ac:dyDescent="0.25">
      <c r="A1433" t="str">
        <f>"20190303153803940"</f>
        <v>20190303153803940</v>
      </c>
      <c r="B1433" t="str">
        <f>"1551598683929954"</f>
        <v>1551598683929954</v>
      </c>
      <c r="C1433" t="s">
        <v>40</v>
      </c>
      <c r="D1433">
        <v>4.5750270000000004</v>
      </c>
      <c r="E1433">
        <v>0.52559400000000001</v>
      </c>
      <c r="F1433" t="s">
        <v>45</v>
      </c>
      <c r="G1433">
        <v>-193.78020000000001</v>
      </c>
      <c r="H1433" s="1">
        <v>-7.2618629999999902E-6</v>
      </c>
      <c r="I1433">
        <v>365.4572</v>
      </c>
      <c r="J1433">
        <v>-226.679</v>
      </c>
      <c r="K1433">
        <v>1.120593</v>
      </c>
      <c r="L1433">
        <v>367.42869999999999</v>
      </c>
      <c r="M1433">
        <v>0.99993240000000005</v>
      </c>
      <c r="N1433">
        <v>-1.157263E-2</v>
      </c>
      <c r="O1433">
        <v>1.267394E-3</v>
      </c>
      <c r="P1433">
        <v>0.99668509999999999</v>
      </c>
      <c r="Q1433">
        <v>-8.0901669999999995E-2</v>
      </c>
      <c r="R1433">
        <v>8.6019900000000003E-3</v>
      </c>
      <c r="S1433">
        <v>3.0032350000000001</v>
      </c>
      <c r="T1433">
        <v>-0.10187789999999999</v>
      </c>
      <c r="U1433">
        <v>-0.17922969999999999</v>
      </c>
      <c r="V1433">
        <v>-7.3672269999999996E-3</v>
      </c>
      <c r="W1433">
        <v>-6.9358859999999994E-2</v>
      </c>
      <c r="X1433">
        <v>0.99756460000000002</v>
      </c>
      <c r="Y1433">
        <v>6.0790999999999998E-2</v>
      </c>
      <c r="Z1433">
        <v>-1.4103939999999999E-3</v>
      </c>
      <c r="AA1433">
        <v>0.99814950000000002</v>
      </c>
      <c r="AB1433">
        <v>26</v>
      </c>
      <c r="AC1433">
        <v>32.898799999999902</v>
      </c>
      <c r="AD1433">
        <v>-1.120600261863</v>
      </c>
      <c r="AE1433">
        <v>-1.97149999999999</v>
      </c>
      <c r="AF1433">
        <v>2.0108722323976198</v>
      </c>
      <c r="AG1433">
        <v>-1.120600261863</v>
      </c>
      <c r="AH1433">
        <v>32.858288226086501</v>
      </c>
      <c r="AI1433">
        <v>91.949615672779601</v>
      </c>
      <c r="AJ1433">
        <v>86.497961838408798</v>
      </c>
      <c r="AK1433">
        <v>32.938829020329301</v>
      </c>
      <c r="AL1433">
        <v>93.977162981056395</v>
      </c>
      <c r="AM1433">
        <v>90.423133840048905</v>
      </c>
      <c r="AN1433">
        <v>1.0000000293336599</v>
      </c>
    </row>
    <row r="1434" spans="1:40" x14ac:dyDescent="0.25">
      <c r="A1434" t="str">
        <f>"20190303153803953"</f>
        <v>20190303153803953</v>
      </c>
      <c r="B1434" t="str">
        <f>"1551598683950449"</f>
        <v>1551598683950449</v>
      </c>
      <c r="C1434" t="s">
        <v>40</v>
      </c>
      <c r="D1434">
        <v>4.6882630000000001</v>
      </c>
      <c r="E1434">
        <v>0.54797839999999998</v>
      </c>
      <c r="F1434" t="s">
        <v>45</v>
      </c>
      <c r="G1434">
        <v>-193.66079999999999</v>
      </c>
      <c r="H1434" s="1">
        <v>-7.2174679999999999E-6</v>
      </c>
      <c r="I1434">
        <v>365.47300000000001</v>
      </c>
      <c r="J1434">
        <v>-226.5369</v>
      </c>
      <c r="K1434">
        <v>1.1205889999999901</v>
      </c>
      <c r="L1434">
        <v>367.42880000000002</v>
      </c>
      <c r="M1434">
        <v>0.99993350000000003</v>
      </c>
      <c r="N1434">
        <v>-1.149478E-2</v>
      </c>
      <c r="O1434">
        <v>1.151932E-3</v>
      </c>
      <c r="P1434">
        <v>0.99667790000000001</v>
      </c>
      <c r="Q1434">
        <v>-8.0949289999999993E-2</v>
      </c>
      <c r="R1434">
        <v>8.9914339999999995E-3</v>
      </c>
      <c r="S1434">
        <v>3.0032199999999998</v>
      </c>
      <c r="T1434">
        <v>-0.10192569999999999</v>
      </c>
      <c r="U1434">
        <v>-0.17788699999999999</v>
      </c>
      <c r="V1434">
        <v>-7.8718499999999997E-3</v>
      </c>
      <c r="W1434">
        <v>-6.9484030000000002E-2</v>
      </c>
      <c r="X1434">
        <v>0.99755199999999999</v>
      </c>
      <c r="Y1434">
        <v>6.0231809999999997E-2</v>
      </c>
      <c r="Z1434">
        <v>-1.3933560000000001E-3</v>
      </c>
      <c r="AA1434">
        <v>0.99818340000000005</v>
      </c>
      <c r="AB1434">
        <v>26</v>
      </c>
      <c r="AC1434">
        <v>32.876100000000001</v>
      </c>
      <c r="AD1434">
        <v>-1.12059621746799</v>
      </c>
      <c r="AE1434">
        <v>-1.95580000000001</v>
      </c>
      <c r="AF1434">
        <v>1.99136678266732</v>
      </c>
      <c r="AG1434">
        <v>-1.12059621746799</v>
      </c>
      <c r="AH1434">
        <v>32.835810422003</v>
      </c>
      <c r="AI1434">
        <v>91.9510075508706</v>
      </c>
      <c r="AJ1434">
        <v>86.529479942224498</v>
      </c>
      <c r="AK1434">
        <v>32.915220242547903</v>
      </c>
      <c r="AL1434">
        <v>93.984352176448496</v>
      </c>
      <c r="AM1434">
        <v>90.452121213210404</v>
      </c>
      <c r="AN1434">
        <v>0.99999999457573097</v>
      </c>
    </row>
    <row r="1435" spans="1:40" x14ac:dyDescent="0.25">
      <c r="A1435" t="str">
        <f>"20190303153803967"</f>
        <v>20190303153803967</v>
      </c>
      <c r="B1435" t="str">
        <f>"1551598683960209"</f>
        <v>1551598683960209</v>
      </c>
      <c r="C1435" t="s">
        <v>40</v>
      </c>
      <c r="D1435">
        <v>4.9619530000000003</v>
      </c>
      <c r="E1435">
        <v>0.54797839999999998</v>
      </c>
      <c r="F1435" t="s">
        <v>41</v>
      </c>
      <c r="G1435">
        <v>-158.19499999999999</v>
      </c>
      <c r="H1435">
        <v>0.87406249999999996</v>
      </c>
      <c r="I1435">
        <v>359.36970000000002</v>
      </c>
      <c r="J1435">
        <v>-226.37200000000001</v>
      </c>
      <c r="K1435">
        <v>1.120584</v>
      </c>
      <c r="L1435">
        <v>367.42880000000002</v>
      </c>
      <c r="M1435">
        <v>0.9999344</v>
      </c>
      <c r="N1435">
        <v>-1.141382E-2</v>
      </c>
      <c r="O1435">
        <v>1.0181260000000001E-3</v>
      </c>
      <c r="P1435">
        <v>0.99669920000000001</v>
      </c>
      <c r="Q1435">
        <v>-8.0665340000000002E-2</v>
      </c>
      <c r="R1435">
        <v>9.1648110000000001E-3</v>
      </c>
      <c r="S1435">
        <v>3.0123289999999998</v>
      </c>
      <c r="T1435">
        <v>-1.086235E-2</v>
      </c>
      <c r="U1435">
        <v>-0.355224599999999</v>
      </c>
      <c r="V1435">
        <v>-8.1778219999999995E-3</v>
      </c>
      <c r="W1435">
        <v>-6.9280510000000003E-2</v>
      </c>
      <c r="X1435">
        <v>0.99756369999999905</v>
      </c>
      <c r="Y1435">
        <v>0.11812</v>
      </c>
      <c r="Z1435">
        <v>-8.8076850000000004E-4</v>
      </c>
      <c r="AA1435">
        <v>0.99299899999999997</v>
      </c>
      <c r="AB1435">
        <v>26</v>
      </c>
      <c r="AC1435">
        <v>68.177000000000007</v>
      </c>
      <c r="AD1435">
        <v>-0.2465215</v>
      </c>
      <c r="AE1435">
        <v>-8.0591000000000008</v>
      </c>
      <c r="AF1435">
        <v>8.1284083041548492</v>
      </c>
      <c r="AG1435">
        <v>-0.2465215</v>
      </c>
      <c r="AH1435">
        <v>68.167879950178104</v>
      </c>
      <c r="AI1435">
        <v>90.205745351674594</v>
      </c>
      <c r="AJ1435">
        <v>83.200098829125494</v>
      </c>
      <c r="AK1435">
        <v>68.651231972273493</v>
      </c>
      <c r="AL1435">
        <v>93.972663146166198</v>
      </c>
      <c r="AM1435">
        <v>90.4696884924833</v>
      </c>
      <c r="AN1435">
        <v>1.0000000006981</v>
      </c>
    </row>
    <row r="1436" spans="1:40" x14ac:dyDescent="0.25">
      <c r="A1436" t="str">
        <f>"20190303153803979"</f>
        <v>20190303153803979</v>
      </c>
      <c r="B1436" t="str">
        <f>"1551598683969969"</f>
        <v>1551598683969969</v>
      </c>
      <c r="C1436" t="s">
        <v>40</v>
      </c>
      <c r="D1436">
        <v>4.7508210000000002</v>
      </c>
      <c r="E1436">
        <v>0.59717019999999998</v>
      </c>
      <c r="F1436" t="s">
        <v>41</v>
      </c>
      <c r="G1436">
        <v>-158.19499999999999</v>
      </c>
      <c r="H1436">
        <v>0.89186100000000001</v>
      </c>
      <c r="I1436">
        <v>359.39479999999998</v>
      </c>
      <c r="J1436">
        <v>-226.2312</v>
      </c>
      <c r="K1436">
        <v>1.1205830000000001</v>
      </c>
      <c r="L1436">
        <v>367.4289</v>
      </c>
      <c r="M1436">
        <v>0.99993509999999997</v>
      </c>
      <c r="N1436">
        <v>-1.136742E-2</v>
      </c>
      <c r="O1436">
        <v>9.0384030000000004E-4</v>
      </c>
      <c r="P1436">
        <v>0.99671889999999996</v>
      </c>
      <c r="Q1436">
        <v>-8.0399970000000001E-2</v>
      </c>
      <c r="R1436">
        <v>9.3533590000000003E-3</v>
      </c>
      <c r="S1436">
        <v>3.012375</v>
      </c>
      <c r="T1436">
        <v>-1.0102150000000001E-2</v>
      </c>
      <c r="U1436">
        <v>-0.35498049999999998</v>
      </c>
      <c r="V1436">
        <v>-8.4804790000000008E-3</v>
      </c>
      <c r="W1436">
        <v>-6.9061109999999995E-2</v>
      </c>
      <c r="X1436">
        <v>0.99757640000000003</v>
      </c>
      <c r="Y1436">
        <v>0.11792569999999999</v>
      </c>
      <c r="Z1436">
        <v>-8.624301E-4</v>
      </c>
      <c r="AA1436">
        <v>0.99302199999999996</v>
      </c>
      <c r="AB1436">
        <v>26</v>
      </c>
      <c r="AC1436">
        <v>68.036199999999994</v>
      </c>
      <c r="AD1436">
        <v>-0.22872199999999901</v>
      </c>
      <c r="AE1436">
        <v>-8.03410000000002</v>
      </c>
      <c r="AF1436">
        <v>8.0955043103974997</v>
      </c>
      <c r="AG1436">
        <v>-0.22872199999999901</v>
      </c>
      <c r="AH1436">
        <v>68.028151947947407</v>
      </c>
      <c r="AI1436">
        <v>90.1912875555482</v>
      </c>
      <c r="AJ1436">
        <v>83.213587600917094</v>
      </c>
      <c r="AK1436">
        <v>68.508532032484595</v>
      </c>
      <c r="AL1436">
        <v>93.960062215609796</v>
      </c>
      <c r="AM1436">
        <v>90.487064399769096</v>
      </c>
      <c r="AN1436">
        <v>1.0000000146377299</v>
      </c>
    </row>
    <row r="1437" spans="1:40" x14ac:dyDescent="0.25">
      <c r="A1437" t="str">
        <f>"20190303153803996"</f>
        <v>20190303153803996</v>
      </c>
      <c r="B1437" t="str">
        <f>"1551598683990466"</f>
        <v>1551598683990466</v>
      </c>
      <c r="C1437" t="s">
        <v>40</v>
      </c>
      <c r="D1437">
        <v>4.7021579999999998</v>
      </c>
      <c r="E1437">
        <v>0.60723039999999995</v>
      </c>
      <c r="F1437" t="s">
        <v>43</v>
      </c>
      <c r="G1437">
        <v>-131.62469999999999</v>
      </c>
      <c r="H1437">
        <v>-0.05</v>
      </c>
      <c r="I1437">
        <v>343.98849999999999</v>
      </c>
      <c r="J1437">
        <v>-226.03559999999999</v>
      </c>
      <c r="K1437">
        <v>1.1206</v>
      </c>
      <c r="L1437">
        <v>367.4289</v>
      </c>
      <c r="M1437">
        <v>0.99993529999999997</v>
      </c>
      <c r="N1437">
        <v>-1.135656E-2</v>
      </c>
      <c r="O1437">
        <v>7.4583339999999905E-4</v>
      </c>
      <c r="P1437">
        <v>0.99670639999999999</v>
      </c>
      <c r="Q1437">
        <v>-8.0552670000000007E-2</v>
      </c>
      <c r="R1437">
        <v>9.3613959999999993E-3</v>
      </c>
      <c r="S1437">
        <v>3.013855</v>
      </c>
      <c r="T1437">
        <v>-3.729093E-2</v>
      </c>
      <c r="U1437">
        <v>-0.74673459999999903</v>
      </c>
      <c r="V1437">
        <v>-8.6459190000000002E-3</v>
      </c>
      <c r="W1437">
        <v>-6.9224720000000003E-2</v>
      </c>
      <c r="X1437">
        <v>0.99756359999999999</v>
      </c>
      <c r="Y1437">
        <v>0.24118500000000001</v>
      </c>
      <c r="Z1437">
        <v>-2.8606360000000002E-3</v>
      </c>
      <c r="AA1437">
        <v>0.97047499999999998</v>
      </c>
      <c r="AB1437">
        <v>26</v>
      </c>
      <c r="AC1437">
        <v>94.410899999999998</v>
      </c>
      <c r="AD1437">
        <v>-1.1706000000000001</v>
      </c>
      <c r="AE1437">
        <v>-23.4404</v>
      </c>
      <c r="AF1437">
        <v>23.507408745353999</v>
      </c>
      <c r="AG1437">
        <v>-1.1706000000000001</v>
      </c>
      <c r="AH1437">
        <v>94.379722989152796</v>
      </c>
      <c r="AI1437">
        <v>90.689543427624599</v>
      </c>
      <c r="AJ1437">
        <v>76.013774598646293</v>
      </c>
      <c r="AK1437">
        <v>97.270245613909907</v>
      </c>
      <c r="AL1437">
        <v>93.9694590243151</v>
      </c>
      <c r="AM1437">
        <v>90.4965721137998</v>
      </c>
      <c r="AN1437">
        <v>0.99999997490969605</v>
      </c>
    </row>
    <row r="1438" spans="1:40" x14ac:dyDescent="0.25">
      <c r="A1438" t="str">
        <f>"20190303153804010"</f>
        <v>20190303153804010</v>
      </c>
      <c r="B1438" t="str">
        <f>"1551598684000226"</f>
        <v>1551598684000226</v>
      </c>
      <c r="C1438" t="s">
        <v>40</v>
      </c>
      <c r="D1438">
        <v>4.6833869999999997</v>
      </c>
      <c r="E1438">
        <v>0.60843319999999901</v>
      </c>
      <c r="F1438" t="s">
        <v>43</v>
      </c>
      <c r="G1438">
        <v>-155.72460000000001</v>
      </c>
      <c r="H1438">
        <v>-0.05</v>
      </c>
      <c r="I1438">
        <v>348.14280000000002</v>
      </c>
      <c r="J1438">
        <v>-225.86009999999999</v>
      </c>
      <c r="K1438">
        <v>1.120633</v>
      </c>
      <c r="L1438">
        <v>367.4289</v>
      </c>
      <c r="M1438">
        <v>0.99993460000000001</v>
      </c>
      <c r="N1438">
        <v>-1.142053E-2</v>
      </c>
      <c r="O1438">
        <v>6.0520780000000002E-4</v>
      </c>
      <c r="P1438">
        <v>0.99671759999999998</v>
      </c>
      <c r="Q1438">
        <v>-8.0450679999999997E-2</v>
      </c>
      <c r="R1438">
        <v>9.0516599999999996E-3</v>
      </c>
      <c r="S1438">
        <v>3.0136409999999998</v>
      </c>
      <c r="T1438">
        <v>-5.0173759999999998E-2</v>
      </c>
      <c r="U1438">
        <v>-0.82662959999999996</v>
      </c>
      <c r="V1438">
        <v>-8.4766749999999995E-3</v>
      </c>
      <c r="W1438">
        <v>-6.9058889999999998E-2</v>
      </c>
      <c r="X1438">
        <v>0.99757660000000004</v>
      </c>
      <c r="Y1438">
        <v>0.2650497</v>
      </c>
      <c r="Z1438">
        <v>-3.7105139999999998E-3</v>
      </c>
      <c r="AA1438">
        <v>0.96422759999999996</v>
      </c>
      <c r="AB1438">
        <v>26</v>
      </c>
      <c r="AC1438">
        <v>70.135499999999894</v>
      </c>
      <c r="AD1438">
        <v>-1.170633</v>
      </c>
      <c r="AE1438">
        <v>-19.286099999999902</v>
      </c>
      <c r="AF1438">
        <v>19.323540889550198</v>
      </c>
      <c r="AG1438">
        <v>-1.170633</v>
      </c>
      <c r="AH1438">
        <v>70.105656563139704</v>
      </c>
      <c r="AI1438">
        <v>90.922256774495196</v>
      </c>
      <c r="AJ1438">
        <v>74.589953549290698</v>
      </c>
      <c r="AK1438">
        <v>72.729448618009599</v>
      </c>
      <c r="AL1438">
        <v>93.959934659245903</v>
      </c>
      <c r="AM1438">
        <v>90.486845835289401</v>
      </c>
      <c r="AN1438">
        <v>1.0000000285873201</v>
      </c>
    </row>
    <row r="1439" spans="1:40" x14ac:dyDescent="0.25">
      <c r="A1439" t="str">
        <f>"20190303153804023"</f>
        <v>20190303153804023</v>
      </c>
      <c r="B1439" t="str">
        <f>"1551598684019745"</f>
        <v>1551598684019745</v>
      </c>
      <c r="C1439" t="s">
        <v>40</v>
      </c>
      <c r="D1439">
        <v>4.6729070000000004</v>
      </c>
      <c r="E1439">
        <v>0.609581699999999</v>
      </c>
      <c r="F1439" t="s">
        <v>45</v>
      </c>
      <c r="G1439">
        <v>-180</v>
      </c>
      <c r="H1439">
        <v>4.8739379999999999E-2</v>
      </c>
      <c r="I1439">
        <v>354.68150000000003</v>
      </c>
      <c r="J1439">
        <v>-225.7064</v>
      </c>
      <c r="K1439">
        <v>1.1206769999999999</v>
      </c>
      <c r="L1439">
        <v>367.42880000000002</v>
      </c>
      <c r="M1439">
        <v>0.99993339999999997</v>
      </c>
      <c r="N1439">
        <v>-1.154078E-2</v>
      </c>
      <c r="O1439">
        <v>4.8367609999999998E-4</v>
      </c>
      <c r="P1439">
        <v>0.99672749999999999</v>
      </c>
      <c r="Q1439">
        <v>-8.0368679999999998E-2</v>
      </c>
      <c r="R1439">
        <v>8.6800650000000007E-3</v>
      </c>
      <c r="S1439">
        <v>3.011765</v>
      </c>
      <c r="T1439">
        <v>-7.0394280000000004E-2</v>
      </c>
      <c r="U1439">
        <v>-0.83715819999999996</v>
      </c>
      <c r="V1439">
        <v>-8.2261069999999999E-3</v>
      </c>
      <c r="W1439">
        <v>-6.8856899999999999E-2</v>
      </c>
      <c r="X1439">
        <v>0.99759260000000005</v>
      </c>
      <c r="Y1439">
        <v>0.2681714</v>
      </c>
      <c r="Z1439">
        <v>-4.6575089999999998E-3</v>
      </c>
      <c r="AA1439">
        <v>0.96335999999999999</v>
      </c>
      <c r="AB1439">
        <v>26</v>
      </c>
      <c r="AC1439">
        <v>45.706400000000002</v>
      </c>
      <c r="AD1439">
        <v>-1.0719376199999999</v>
      </c>
      <c r="AE1439">
        <v>-12.7472999999999</v>
      </c>
      <c r="AF1439">
        <v>12.7628937433402</v>
      </c>
      <c r="AG1439">
        <v>-1.0719376199999999</v>
      </c>
      <c r="AH1439">
        <v>45.676918230361302</v>
      </c>
      <c r="AI1439">
        <v>91.294783597244702</v>
      </c>
      <c r="AJ1439">
        <v>74.388749189839302</v>
      </c>
      <c r="AK1439">
        <v>47.438606282099798</v>
      </c>
      <c r="AL1439">
        <v>93.9483341076469</v>
      </c>
      <c r="AM1439">
        <v>90.472447901812103</v>
      </c>
      <c r="AN1439">
        <v>0.99999996854437201</v>
      </c>
    </row>
    <row r="1440" spans="1:40" x14ac:dyDescent="0.25">
      <c r="A1440" t="str">
        <f>"20190303153804037"</f>
        <v>20190303153804037</v>
      </c>
      <c r="B1440" t="str">
        <f>"1551598684030481"</f>
        <v>1551598684030481</v>
      </c>
      <c r="C1440" t="s">
        <v>40</v>
      </c>
      <c r="D1440">
        <v>4.6490910000000003</v>
      </c>
      <c r="E1440">
        <v>0.61010609999999998</v>
      </c>
      <c r="F1440" t="s">
        <v>45</v>
      </c>
      <c r="G1440">
        <v>-190.8194</v>
      </c>
      <c r="H1440" s="1">
        <v>-4.5391950000000002E-6</v>
      </c>
      <c r="I1440">
        <v>357.6044</v>
      </c>
      <c r="J1440">
        <v>-225.5496</v>
      </c>
      <c r="K1440">
        <v>1.1207129999999901</v>
      </c>
      <c r="L1440">
        <v>367.42880000000002</v>
      </c>
      <c r="M1440">
        <v>0.99993189999999998</v>
      </c>
      <c r="N1440">
        <v>-1.167116E-2</v>
      </c>
      <c r="O1440">
        <v>3.588617E-4</v>
      </c>
      <c r="P1440">
        <v>0.99673279999999997</v>
      </c>
      <c r="Q1440">
        <v>-8.0317509999999995E-2</v>
      </c>
      <c r="R1440">
        <v>8.5480599999999997E-3</v>
      </c>
      <c r="S1440">
        <v>3.0094150000000002</v>
      </c>
      <c r="T1440">
        <v>-9.6671939999999998E-2</v>
      </c>
      <c r="U1440">
        <v>-0.84747309999999998</v>
      </c>
      <c r="V1440">
        <v>-8.218599E-3</v>
      </c>
      <c r="W1440">
        <v>-6.8675630000000001E-2</v>
      </c>
      <c r="X1440">
        <v>0.99760519999999997</v>
      </c>
      <c r="Y1440">
        <v>0.27122980000000002</v>
      </c>
      <c r="Z1440">
        <v>-5.8929919999999997E-3</v>
      </c>
      <c r="AA1440">
        <v>0.96249660000000004</v>
      </c>
      <c r="AB1440">
        <v>26</v>
      </c>
      <c r="AC1440">
        <v>34.730200000000004</v>
      </c>
      <c r="AD1440">
        <v>-1.1207175391949999</v>
      </c>
      <c r="AE1440">
        <v>-9.8244000000000202</v>
      </c>
      <c r="AF1440">
        <v>9.8273884458911898</v>
      </c>
      <c r="AG1440">
        <v>-1.1207175391949999</v>
      </c>
      <c r="AH1440">
        <v>34.693222341192303</v>
      </c>
      <c r="AI1440">
        <v>91.780222947657904</v>
      </c>
      <c r="AJ1440">
        <v>74.184410782557705</v>
      </c>
      <c r="AK1440">
        <v>36.075660047800902</v>
      </c>
      <c r="AL1440">
        <v>93.937923288626294</v>
      </c>
      <c r="AM1440">
        <v>90.4720107548671</v>
      </c>
      <c r="AN1440">
        <v>1.00000001129623</v>
      </c>
    </row>
    <row r="1441" spans="1:40" x14ac:dyDescent="0.25">
      <c r="A1441" t="str">
        <f>"20190303153804048"</f>
        <v>20190303153804048</v>
      </c>
      <c r="B1441" t="str">
        <f>"1551598684040242"</f>
        <v>1551598684040242</v>
      </c>
      <c r="C1441" t="s">
        <v>40</v>
      </c>
      <c r="D1441">
        <v>4.6360340000000004</v>
      </c>
      <c r="E1441">
        <v>0.61087259999999999</v>
      </c>
      <c r="F1441" t="s">
        <v>45</v>
      </c>
      <c r="G1441">
        <v>-192.94669999999999</v>
      </c>
      <c r="H1441" s="1">
        <v>-5.2779599999999897E-6</v>
      </c>
      <c r="I1441">
        <v>358.19779999999997</v>
      </c>
      <c r="J1441">
        <v>-225.41720000000001</v>
      </c>
      <c r="K1441">
        <v>1.120744</v>
      </c>
      <c r="L1441">
        <v>367.42869999999999</v>
      </c>
      <c r="M1441">
        <v>0.9999306</v>
      </c>
      <c r="N1441">
        <v>-1.178627E-2</v>
      </c>
      <c r="O1441">
        <v>2.5296900000000002E-4</v>
      </c>
      <c r="P1441">
        <v>0.99671940000000003</v>
      </c>
      <c r="Q1441">
        <v>-8.0508170000000004E-2</v>
      </c>
      <c r="R1441">
        <v>8.3214759999999995E-3</v>
      </c>
      <c r="S1441">
        <v>3.008804</v>
      </c>
      <c r="T1441">
        <v>-0.10342709999999999</v>
      </c>
      <c r="U1441">
        <v>-0.85189820000000005</v>
      </c>
      <c r="V1441">
        <v>-8.0977289999999997E-3</v>
      </c>
      <c r="W1441">
        <v>-6.8751660000000006E-2</v>
      </c>
      <c r="X1441">
        <v>0.99760090000000001</v>
      </c>
      <c r="Y1441">
        <v>0.27246589999999998</v>
      </c>
      <c r="Z1441">
        <v>-6.2343210000000001E-3</v>
      </c>
      <c r="AA1441">
        <v>0.96214529999999998</v>
      </c>
      <c r="AB1441">
        <v>26</v>
      </c>
      <c r="AC1441">
        <v>32.470500000000001</v>
      </c>
      <c r="AD1441">
        <v>-1.1207492779599999</v>
      </c>
      <c r="AE1441">
        <v>-9.2309000000000196</v>
      </c>
      <c r="AF1441">
        <v>9.2289415593614894</v>
      </c>
      <c r="AG1441">
        <v>-1.1207492779599999</v>
      </c>
      <c r="AH1441">
        <v>32.4324145318785</v>
      </c>
      <c r="AI1441">
        <v>91.903637987698403</v>
      </c>
      <c r="AJ1441">
        <v>74.115810065121394</v>
      </c>
      <c r="AK1441">
        <v>33.738567746983001</v>
      </c>
      <c r="AL1441">
        <v>93.942290010530201</v>
      </c>
      <c r="AM1441">
        <v>90.465071258122705</v>
      </c>
      <c r="AN1441">
        <v>0.99999995982426004</v>
      </c>
    </row>
    <row r="1442" spans="1:40" x14ac:dyDescent="0.25">
      <c r="A1442" t="str">
        <f>"20190303153804058"</f>
        <v>20190303153804058</v>
      </c>
      <c r="B1442" t="str">
        <f>"1551598684050001"</f>
        <v>1551598684050001</v>
      </c>
      <c r="C1442" t="s">
        <v>40</v>
      </c>
      <c r="D1442">
        <v>4.637022</v>
      </c>
      <c r="E1442">
        <v>0.61151420000000001</v>
      </c>
      <c r="F1442" t="s">
        <v>45</v>
      </c>
      <c r="G1442">
        <v>-194.66149999999999</v>
      </c>
      <c r="H1442" s="1">
        <v>-5.6961339999999899E-6</v>
      </c>
      <c r="I1442">
        <v>358.64690000000002</v>
      </c>
      <c r="J1442">
        <v>-225.2893</v>
      </c>
      <c r="K1442">
        <v>1.120763</v>
      </c>
      <c r="L1442">
        <v>367.42860000000002</v>
      </c>
      <c r="M1442">
        <v>0.99992939999999997</v>
      </c>
      <c r="N1442">
        <v>-1.1889129999999999E-2</v>
      </c>
      <c r="O1442">
        <v>1.5000589999999999E-4</v>
      </c>
      <c r="P1442">
        <v>0.99670939999999997</v>
      </c>
      <c r="Q1442">
        <v>-8.064267E-2</v>
      </c>
      <c r="R1442">
        <v>8.1882699999999992E-3</v>
      </c>
      <c r="S1442">
        <v>3.008194</v>
      </c>
      <c r="T1442">
        <v>-0.1096197</v>
      </c>
      <c r="U1442">
        <v>-0.85894780000000004</v>
      </c>
      <c r="V1442">
        <v>-8.0667919999999997E-3</v>
      </c>
      <c r="W1442">
        <v>-6.8783689999999995E-2</v>
      </c>
      <c r="X1442">
        <v>0.99759900000000001</v>
      </c>
      <c r="Y1442">
        <v>0.27447969999999999</v>
      </c>
      <c r="Z1442">
        <v>-6.5695349999999996E-3</v>
      </c>
      <c r="AA1442">
        <v>0.96157040000000005</v>
      </c>
      <c r="AB1442">
        <v>26</v>
      </c>
      <c r="AC1442">
        <v>30.627800000000001</v>
      </c>
      <c r="AD1442">
        <v>-1.120768696134</v>
      </c>
      <c r="AE1442">
        <v>-8.7817000000000007</v>
      </c>
      <c r="AF1442">
        <v>8.7754363849449</v>
      </c>
      <c r="AG1442">
        <v>-1.120768696134</v>
      </c>
      <c r="AH1442">
        <v>30.588633740513998</v>
      </c>
      <c r="AI1442">
        <v>92.017086776594894</v>
      </c>
      <c r="AJ1442">
        <v>73.992580694683397</v>
      </c>
      <c r="AK1442">
        <v>31.842250553749398</v>
      </c>
      <c r="AL1442">
        <v>93.944129323404297</v>
      </c>
      <c r="AM1442">
        <v>90.463295434776001</v>
      </c>
      <c r="AN1442">
        <v>1.00000001697209</v>
      </c>
    </row>
    <row r="1443" spans="1:40" x14ac:dyDescent="0.25">
      <c r="A1443" t="str">
        <f>"20190303153804070"</f>
        <v>20190303153804070</v>
      </c>
      <c r="B1443" t="str">
        <f>"1551598684059761"</f>
        <v>1551598684059761</v>
      </c>
      <c r="C1443" t="s">
        <v>40</v>
      </c>
      <c r="D1443">
        <v>4.6561959999999996</v>
      </c>
      <c r="E1443">
        <v>0.61202869999999998</v>
      </c>
      <c r="F1443" t="s">
        <v>45</v>
      </c>
      <c r="G1443">
        <v>-195.4298</v>
      </c>
      <c r="H1443" s="1">
        <v>-5.8834079999999997E-6</v>
      </c>
      <c r="I1443">
        <v>358.84780000000001</v>
      </c>
      <c r="J1443">
        <v>-225.1541</v>
      </c>
      <c r="K1443">
        <v>1.120781</v>
      </c>
      <c r="L1443">
        <v>367.42849999999999</v>
      </c>
      <c r="M1443">
        <v>0.99992809999999999</v>
      </c>
      <c r="N1443">
        <v>-1.199627E-2</v>
      </c>
      <c r="O1443" s="1">
        <v>4.1169869999999998E-5</v>
      </c>
      <c r="P1443">
        <v>0.99666509999999997</v>
      </c>
      <c r="Q1443">
        <v>-8.1189479999999994E-2</v>
      </c>
      <c r="R1443">
        <v>8.2054399999999996E-3</v>
      </c>
      <c r="S1443">
        <v>3.0078580000000001</v>
      </c>
      <c r="T1443">
        <v>-0.11289920000000001</v>
      </c>
      <c r="U1443">
        <v>-0.86437989999999998</v>
      </c>
      <c r="V1443">
        <v>-8.1930760000000005E-3</v>
      </c>
      <c r="W1443">
        <v>-6.9224049999999995E-2</v>
      </c>
      <c r="X1443">
        <v>0.99756750000000005</v>
      </c>
      <c r="Y1443">
        <v>0.27599420000000002</v>
      </c>
      <c r="Z1443">
        <v>-6.7653670000000004E-3</v>
      </c>
      <c r="AA1443">
        <v>0.96113550000000003</v>
      </c>
      <c r="AB1443">
        <v>26</v>
      </c>
      <c r="AC1443">
        <v>29.724299999999999</v>
      </c>
      <c r="AD1443">
        <v>-1.1207868834079999</v>
      </c>
      <c r="AE1443">
        <v>-8.58069999999997</v>
      </c>
      <c r="AF1443">
        <v>8.5706758211067395</v>
      </c>
      <c r="AG1443">
        <v>-1.1207868834079999</v>
      </c>
      <c r="AH1443">
        <v>29.684988622761502</v>
      </c>
      <c r="AI1443">
        <v>92.077457086631895</v>
      </c>
      <c r="AJ1443">
        <v>73.895467262013796</v>
      </c>
      <c r="AK1443">
        <v>30.917813583790199</v>
      </c>
      <c r="AL1443">
        <v>93.969420418933097</v>
      </c>
      <c r="AM1443">
        <v>90.470562765395897</v>
      </c>
      <c r="AN1443">
        <v>1.00000000632449</v>
      </c>
    </row>
    <row r="1444" spans="1:40" x14ac:dyDescent="0.25">
      <c r="A1444" t="str">
        <f>"20190303153804083"</f>
        <v>20190303153804083</v>
      </c>
      <c r="B1444" t="str">
        <f>"1551598684080257"</f>
        <v>1551598684080257</v>
      </c>
      <c r="C1444" t="s">
        <v>40</v>
      </c>
      <c r="D1444">
        <v>4.6712689999999997</v>
      </c>
      <c r="E1444">
        <v>0.61289669999999996</v>
      </c>
      <c r="F1444" t="s">
        <v>45</v>
      </c>
      <c r="G1444">
        <v>-196.5172</v>
      </c>
      <c r="H1444" s="1">
        <v>-6.1577229999999999E-6</v>
      </c>
      <c r="I1444">
        <v>359.15989999999999</v>
      </c>
      <c r="J1444">
        <v>-225.00909999999999</v>
      </c>
      <c r="K1444">
        <v>1.1207940000000001</v>
      </c>
      <c r="L1444">
        <v>367.42840000000001</v>
      </c>
      <c r="M1444">
        <v>0.9999268</v>
      </c>
      <c r="N1444">
        <v>-1.210542E-2</v>
      </c>
      <c r="O1444" s="1">
        <v>-7.5496890000000005E-5</v>
      </c>
      <c r="P1444">
        <v>0.99662949999999995</v>
      </c>
      <c r="Q1444">
        <v>-8.1626829999999997E-2</v>
      </c>
      <c r="R1444">
        <v>8.1818389999999998E-3</v>
      </c>
      <c r="S1444">
        <v>3.007568</v>
      </c>
      <c r="T1444">
        <v>-0.1177101</v>
      </c>
      <c r="U1444">
        <v>-0.86840819999999996</v>
      </c>
      <c r="V1444">
        <v>-8.285644E-3</v>
      </c>
      <c r="W1444">
        <v>-6.9552879999999997E-2</v>
      </c>
      <c r="X1444">
        <v>0.99754390000000004</v>
      </c>
      <c r="Y1444">
        <v>0.27707540000000003</v>
      </c>
      <c r="Z1444">
        <v>-7.0211190000000001E-3</v>
      </c>
      <c r="AA1444">
        <v>0.96082250000000002</v>
      </c>
      <c r="AB1444">
        <v>26</v>
      </c>
      <c r="AC1444">
        <v>28.491899999999902</v>
      </c>
      <c r="AD1444">
        <v>-1.120800157723</v>
      </c>
      <c r="AE1444">
        <v>-8.2685000000000102</v>
      </c>
      <c r="AF1444">
        <v>8.25456753431774</v>
      </c>
      <c r="AG1444">
        <v>-1.120800157723</v>
      </c>
      <c r="AH1444">
        <v>28.451916545941199</v>
      </c>
      <c r="AI1444">
        <v>92.166622256007898</v>
      </c>
      <c r="AJ1444">
        <v>73.821317955655999</v>
      </c>
      <c r="AK1444">
        <v>29.6463426632927</v>
      </c>
      <c r="AL1444">
        <v>93.988306361541603</v>
      </c>
      <c r="AM1444">
        <v>90.475890349163507</v>
      </c>
      <c r="AN1444">
        <v>1.0000000437199901</v>
      </c>
    </row>
    <row r="1445" spans="1:40" x14ac:dyDescent="0.25">
      <c r="A1445" t="str">
        <f>"20190303153804095"</f>
        <v>20190303153804095</v>
      </c>
      <c r="B1445" t="str">
        <f>"1551598684090017"</f>
        <v>1551598684090017</v>
      </c>
      <c r="C1445" t="s">
        <v>40</v>
      </c>
      <c r="D1445">
        <v>4.6432390000000003</v>
      </c>
      <c r="E1445">
        <v>0.613209</v>
      </c>
      <c r="F1445" t="s">
        <v>45</v>
      </c>
      <c r="G1445">
        <v>-197.8409</v>
      </c>
      <c r="H1445" s="1">
        <v>-6.4850669999999997E-6</v>
      </c>
      <c r="I1445">
        <v>359.52019999999999</v>
      </c>
      <c r="J1445">
        <v>-224.85990000000001</v>
      </c>
      <c r="K1445">
        <v>1.1208070000000001</v>
      </c>
      <c r="L1445">
        <v>367.42829999999998</v>
      </c>
      <c r="M1445">
        <v>0.99992539999999996</v>
      </c>
      <c r="N1445">
        <v>-1.221737E-2</v>
      </c>
      <c r="O1445">
        <v>-1.9505060000000001E-4</v>
      </c>
      <c r="P1445">
        <v>0.99656690000000003</v>
      </c>
      <c r="Q1445">
        <v>-8.240488E-2</v>
      </c>
      <c r="R1445">
        <v>7.999028E-3</v>
      </c>
      <c r="S1445">
        <v>3.0071720000000002</v>
      </c>
      <c r="T1445">
        <v>-0.124058</v>
      </c>
      <c r="U1445">
        <v>-0.87533570000000005</v>
      </c>
      <c r="V1445">
        <v>-8.2219939999999998E-3</v>
      </c>
      <c r="W1445">
        <v>-7.0219989999999996E-2</v>
      </c>
      <c r="X1445">
        <v>0.99749759999999998</v>
      </c>
      <c r="Y1445">
        <v>0.27900789999999998</v>
      </c>
      <c r="Z1445">
        <v>-7.3702719999999998E-3</v>
      </c>
      <c r="AA1445">
        <v>0.96026049999999996</v>
      </c>
      <c r="AB1445">
        <v>26</v>
      </c>
      <c r="AC1445">
        <v>27.018999999999998</v>
      </c>
      <c r="AD1445">
        <v>-1.120813485067</v>
      </c>
      <c r="AE1445">
        <v>-7.9080999999999904</v>
      </c>
      <c r="AF1445">
        <v>7.8903231396634101</v>
      </c>
      <c r="AG1445">
        <v>-1.120813485067</v>
      </c>
      <c r="AH1445">
        <v>26.977782014193501</v>
      </c>
      <c r="AI1445">
        <v>92.283476206506904</v>
      </c>
      <c r="AJ1445">
        <v>73.697128658556593</v>
      </c>
      <c r="AK1445">
        <v>28.130306513117802</v>
      </c>
      <c r="AL1445">
        <v>94.026622990558295</v>
      </c>
      <c r="AM1445">
        <v>90.472256662246707</v>
      </c>
      <c r="AN1445">
        <v>0.99999995509334605</v>
      </c>
    </row>
    <row r="1446" spans="1:40" x14ac:dyDescent="0.25">
      <c r="A1446" t="str">
        <f>"20190303153804109"</f>
        <v>20190303153804109</v>
      </c>
      <c r="B1446" t="str">
        <f>"1551598684099777"</f>
        <v>1551598684099777</v>
      </c>
      <c r="C1446" t="s">
        <v>40</v>
      </c>
      <c r="D1446">
        <v>4.665953</v>
      </c>
      <c r="E1446">
        <v>0.61351440000000002</v>
      </c>
      <c r="F1446" t="s">
        <v>45</v>
      </c>
      <c r="G1446">
        <v>-198.62569999999999</v>
      </c>
      <c r="H1446" s="1">
        <v>-9.8519550000000001E-6</v>
      </c>
      <c r="I1446">
        <v>359.76350000000002</v>
      </c>
      <c r="J1446">
        <v>-224.6969</v>
      </c>
      <c r="K1446">
        <v>1.120817</v>
      </c>
      <c r="L1446">
        <v>367.42809999999997</v>
      </c>
      <c r="M1446">
        <v>0.99992389999999998</v>
      </c>
      <c r="N1446">
        <v>-1.233917E-2</v>
      </c>
      <c r="O1446">
        <v>-3.2504719999999998E-4</v>
      </c>
      <c r="P1446">
        <v>0.99652430000000003</v>
      </c>
      <c r="Q1446">
        <v>-8.2917489999999996E-2</v>
      </c>
      <c r="R1446">
        <v>8.0138799999999993E-3</v>
      </c>
      <c r="S1446">
        <v>3.0067750000000002</v>
      </c>
      <c r="T1446">
        <v>-0.1284602</v>
      </c>
      <c r="U1446">
        <v>-0.87847900000000001</v>
      </c>
      <c r="V1446">
        <v>-8.3668330000000006E-3</v>
      </c>
      <c r="W1446">
        <v>-7.0611519999999997E-2</v>
      </c>
      <c r="X1446">
        <v>0.99746880000000004</v>
      </c>
      <c r="Y1446">
        <v>0.27982240000000003</v>
      </c>
      <c r="Z1446">
        <v>-7.60569099999999E-3</v>
      </c>
      <c r="AA1446">
        <v>0.96002169999999998</v>
      </c>
      <c r="AB1446">
        <v>26</v>
      </c>
      <c r="AC1446">
        <v>26.071200000000001</v>
      </c>
      <c r="AD1446">
        <v>-1.120826851955</v>
      </c>
      <c r="AE1446">
        <v>-7.6645999999999503</v>
      </c>
      <c r="AF1446">
        <v>7.6431221457942096</v>
      </c>
      <c r="AG1446">
        <v>-1.120826851955</v>
      </c>
      <c r="AH1446">
        <v>26.029409091989901</v>
      </c>
      <c r="AI1446">
        <v>92.365869724211194</v>
      </c>
      <c r="AJ1446">
        <v>73.635962311727496</v>
      </c>
      <c r="AK1446">
        <v>27.151495477151201</v>
      </c>
      <c r="AL1446">
        <v>94.049111654329394</v>
      </c>
      <c r="AM1446">
        <v>90.480589444167293</v>
      </c>
      <c r="AN1446">
        <v>0.99999999881229995</v>
      </c>
    </row>
    <row r="1447" spans="1:40" x14ac:dyDescent="0.25">
      <c r="A1447" t="str">
        <f>"20190303153804123"</f>
        <v>20190303153804123</v>
      </c>
      <c r="B1447" t="str">
        <f>"1551598684120273"</f>
        <v>1551598684120273</v>
      </c>
      <c r="C1447" t="s">
        <v>40</v>
      </c>
      <c r="D1447">
        <v>4.6229779999999998</v>
      </c>
      <c r="E1447">
        <v>0.61385259999999997</v>
      </c>
      <c r="F1447" t="s">
        <v>45</v>
      </c>
      <c r="G1447">
        <v>-199.27279999999999</v>
      </c>
      <c r="H1447" s="1">
        <v>-1.004588E-5</v>
      </c>
      <c r="I1447">
        <v>359.97620000000001</v>
      </c>
      <c r="J1447">
        <v>-224.53639999999999</v>
      </c>
      <c r="K1447">
        <v>1.1208279999999999</v>
      </c>
      <c r="L1447">
        <v>367.42790000000002</v>
      </c>
      <c r="M1447">
        <v>0.99992230000000004</v>
      </c>
      <c r="N1447">
        <v>-1.245598E-2</v>
      </c>
      <c r="O1447">
        <v>-4.5203769999999999E-4</v>
      </c>
      <c r="P1447">
        <v>0.99650479999999997</v>
      </c>
      <c r="Q1447">
        <v>-8.3174499999999998E-2</v>
      </c>
      <c r="R1447">
        <v>7.7711659999999899E-3</v>
      </c>
      <c r="S1447">
        <v>3.006516</v>
      </c>
      <c r="T1447">
        <v>-0.1325431</v>
      </c>
      <c r="U1447">
        <v>-0.88122559999999905</v>
      </c>
      <c r="V1447">
        <v>-8.2506969999999995E-3</v>
      </c>
      <c r="W1447">
        <v>-7.0752270000000006E-2</v>
      </c>
      <c r="X1447">
        <v>0.99745980000000001</v>
      </c>
      <c r="Y1447">
        <v>0.28051160000000003</v>
      </c>
      <c r="Z1447">
        <v>-7.8231789999999995E-3</v>
      </c>
      <c r="AA1447">
        <v>0.95981879999999997</v>
      </c>
      <c r="AB1447">
        <v>26</v>
      </c>
      <c r="AC1447">
        <v>25.2636</v>
      </c>
      <c r="AD1447">
        <v>-1.12083804588</v>
      </c>
      <c r="AE1447">
        <v>-7.4517000000000104</v>
      </c>
      <c r="AF1447">
        <v>7.4268298994047797</v>
      </c>
      <c r="AG1447">
        <v>-1.12083804588</v>
      </c>
      <c r="AH1447">
        <v>25.221295917008302</v>
      </c>
      <c r="AI1447">
        <v>92.441058954096505</v>
      </c>
      <c r="AJ1447">
        <v>73.592058371099498</v>
      </c>
      <c r="AK1447">
        <v>26.315923848747602</v>
      </c>
      <c r="AL1447">
        <v>94.057196229839406</v>
      </c>
      <c r="AM1447">
        <v>90.473923194701001</v>
      </c>
      <c r="AN1447">
        <v>1.00000000516358</v>
      </c>
    </row>
    <row r="1448" spans="1:40" x14ac:dyDescent="0.25">
      <c r="A1448" t="str">
        <f>"20190303153804135"</f>
        <v>20190303153804135</v>
      </c>
      <c r="B1448" t="str">
        <f>"1551598684130035"</f>
        <v>1551598684130035</v>
      </c>
      <c r="C1448" t="s">
        <v>40</v>
      </c>
      <c r="D1448">
        <v>4.6097729999999997</v>
      </c>
      <c r="E1448">
        <v>0.61406559999999999</v>
      </c>
      <c r="F1448" t="s">
        <v>45</v>
      </c>
      <c r="G1448">
        <v>-200.1593</v>
      </c>
      <c r="H1448" s="1">
        <v>-2.5799219999999998E-6</v>
      </c>
      <c r="I1448">
        <v>360.25420000000003</v>
      </c>
      <c r="J1448">
        <v>-224.393</v>
      </c>
      <c r="K1448">
        <v>1.120846</v>
      </c>
      <c r="L1448">
        <v>367.42770000000002</v>
      </c>
      <c r="M1448">
        <v>0.99992099999999995</v>
      </c>
      <c r="N1448">
        <v>-1.255675E-2</v>
      </c>
      <c r="O1448">
        <v>-5.660528E-4</v>
      </c>
      <c r="P1448">
        <v>0.99654229999999999</v>
      </c>
      <c r="Q1448">
        <v>-8.2754549999999996E-2</v>
      </c>
      <c r="R1448">
        <v>7.4186669999999899E-3</v>
      </c>
      <c r="S1448">
        <v>3.0059049999999998</v>
      </c>
      <c r="T1448">
        <v>-0.1382082</v>
      </c>
      <c r="U1448">
        <v>-0.88458250000000005</v>
      </c>
      <c r="V1448">
        <v>-8.0117509999999992E-3</v>
      </c>
      <c r="W1448">
        <v>-7.0231479999999999E-2</v>
      </c>
      <c r="X1448">
        <v>0.99749860000000001</v>
      </c>
      <c r="Y1448">
        <v>0.28141470000000002</v>
      </c>
      <c r="Z1448">
        <v>-8.1182890000000008E-3</v>
      </c>
      <c r="AA1448">
        <v>0.95955190000000001</v>
      </c>
      <c r="AB1448">
        <v>26</v>
      </c>
      <c r="AC1448">
        <v>24.233699999999999</v>
      </c>
      <c r="AD1448">
        <v>-1.120848579922</v>
      </c>
      <c r="AE1448">
        <v>-7.17349999999999</v>
      </c>
      <c r="AF1448">
        <v>7.1457255013338203</v>
      </c>
      <c r="AG1448">
        <v>-1.120848579922</v>
      </c>
      <c r="AH1448">
        <v>24.190178078602202</v>
      </c>
      <c r="AI1448">
        <v>92.544358037049506</v>
      </c>
      <c r="AJ1448">
        <v>73.542975229194198</v>
      </c>
      <c r="AK1448">
        <v>25.248414008686002</v>
      </c>
      <c r="AL1448">
        <v>94.027282553622399</v>
      </c>
      <c r="AM1448">
        <v>90.460180744351902</v>
      </c>
      <c r="AN1448">
        <v>1.0000000529695099</v>
      </c>
    </row>
    <row r="1449" spans="1:40" x14ac:dyDescent="0.25">
      <c r="A1449" t="str">
        <f>"20190303153804147"</f>
        <v>20190303153804147</v>
      </c>
      <c r="B1449" t="str">
        <f>"1551598684139793"</f>
        <v>1551598684139793</v>
      </c>
      <c r="C1449" t="s">
        <v>40</v>
      </c>
      <c r="D1449">
        <v>4.600651</v>
      </c>
      <c r="E1449">
        <v>0.6143248</v>
      </c>
      <c r="F1449" t="s">
        <v>45</v>
      </c>
      <c r="G1449">
        <v>-200.11490000000001</v>
      </c>
      <c r="H1449" s="1">
        <v>-2.551721E-6</v>
      </c>
      <c r="I1449">
        <v>360.26139999999998</v>
      </c>
      <c r="J1449">
        <v>-224.2491</v>
      </c>
      <c r="K1449">
        <v>1.120854</v>
      </c>
      <c r="L1449">
        <v>367.42750000000001</v>
      </c>
      <c r="M1449">
        <v>0.99991969999999997</v>
      </c>
      <c r="N1449">
        <v>-1.265429E-2</v>
      </c>
      <c r="O1449">
        <v>-6.801674E-4</v>
      </c>
      <c r="P1449">
        <v>0.99658840000000004</v>
      </c>
      <c r="Q1449">
        <v>-8.2198430000000003E-2</v>
      </c>
      <c r="R1449">
        <v>7.4026119999999898E-3</v>
      </c>
      <c r="S1449">
        <v>3.0055079999999998</v>
      </c>
      <c r="T1449">
        <v>-0.138755399999999</v>
      </c>
      <c r="U1449">
        <v>-0.88714599999999899</v>
      </c>
      <c r="V1449">
        <v>-8.1086800000000001E-3</v>
      </c>
      <c r="W1449">
        <v>-6.9577520000000004E-2</v>
      </c>
      <c r="X1449">
        <v>0.99754359999999997</v>
      </c>
      <c r="Y1449">
        <v>0.28208840000000002</v>
      </c>
      <c r="Z1449">
        <v>-8.1734230000000008E-3</v>
      </c>
      <c r="AA1449">
        <v>0.95935360000000003</v>
      </c>
      <c r="AB1449">
        <v>26</v>
      </c>
      <c r="AC1449">
        <v>24.1342</v>
      </c>
      <c r="AD1449">
        <v>-1.1208565517209901</v>
      </c>
      <c r="AE1449">
        <v>-7.1661000000000197</v>
      </c>
      <c r="AF1449">
        <v>7.13553793763319</v>
      </c>
      <c r="AG1449">
        <v>-1.1208565517209901</v>
      </c>
      <c r="AH1449">
        <v>24.091316057096499</v>
      </c>
      <c r="AI1449">
        <v>92.554255783486795</v>
      </c>
      <c r="AJ1449">
        <v>73.501388372342902</v>
      </c>
      <c r="AK1449">
        <v>25.150819677136798</v>
      </c>
      <c r="AL1449">
        <v>93.989721700911801</v>
      </c>
      <c r="AM1449">
        <v>90.465726920786693</v>
      </c>
      <c r="AN1449">
        <v>1.00000000794082</v>
      </c>
    </row>
    <row r="1450" spans="1:40" x14ac:dyDescent="0.25">
      <c r="A1450" t="str">
        <f>"20190303153804159"</f>
        <v>20190303153804159</v>
      </c>
      <c r="B1450" t="str">
        <f>"1551598684150529"</f>
        <v>1551598684150529</v>
      </c>
      <c r="C1450" t="s">
        <v>40</v>
      </c>
      <c r="D1450">
        <v>4.5924100000000001</v>
      </c>
      <c r="E1450">
        <v>0.61441199999999996</v>
      </c>
      <c r="F1450" t="s">
        <v>45</v>
      </c>
      <c r="G1450">
        <v>-199.9153</v>
      </c>
      <c r="H1450" s="1">
        <v>-1.0239060000000001E-5</v>
      </c>
      <c r="I1450">
        <v>360.22699999999998</v>
      </c>
      <c r="J1450">
        <v>-224.1114</v>
      </c>
      <c r="K1450">
        <v>1.12086</v>
      </c>
      <c r="L1450">
        <v>367.4273</v>
      </c>
      <c r="M1450">
        <v>0.99991859999999999</v>
      </c>
      <c r="N1450">
        <v>-1.2740029999999999E-2</v>
      </c>
      <c r="O1450">
        <v>-7.9051039999999896E-4</v>
      </c>
      <c r="P1450">
        <v>0.99665219999999999</v>
      </c>
      <c r="Q1450">
        <v>-8.1441250000000007E-2</v>
      </c>
      <c r="R1450">
        <v>7.1845370000000004E-3</v>
      </c>
      <c r="S1450">
        <v>3.0054780000000001</v>
      </c>
      <c r="T1450">
        <v>-0.13843859999999999</v>
      </c>
      <c r="U1450">
        <v>-0.88934329999999995</v>
      </c>
      <c r="V1450">
        <v>-8.0002219999999995E-3</v>
      </c>
      <c r="W1450">
        <v>-6.8734089999999998E-2</v>
      </c>
      <c r="X1450">
        <v>0.99760289999999996</v>
      </c>
      <c r="Y1450">
        <v>0.28263050000000001</v>
      </c>
      <c r="Z1450">
        <v>-8.1831109999999999E-3</v>
      </c>
      <c r="AA1450">
        <v>0.95919390000000004</v>
      </c>
      <c r="AB1450">
        <v>26</v>
      </c>
      <c r="AC1450">
        <v>24.196100000000001</v>
      </c>
      <c r="AD1450">
        <v>-1.1208702390600001</v>
      </c>
      <c r="AE1450">
        <v>-7.2003000000000199</v>
      </c>
      <c r="AF1450">
        <v>7.1670399894352297</v>
      </c>
      <c r="AG1450">
        <v>-1.1208702390600001</v>
      </c>
      <c r="AH1450">
        <v>24.154167831709699</v>
      </c>
      <c r="AI1450">
        <v>92.547279305974001</v>
      </c>
      <c r="AJ1450">
        <v>73.473290640091605</v>
      </c>
      <c r="AK1450">
        <v>25.219965026648499</v>
      </c>
      <c r="AL1450">
        <v>93.941280926483103</v>
      </c>
      <c r="AM1450">
        <v>90.459470526599404</v>
      </c>
      <c r="AN1450">
        <v>0.99999996238429301</v>
      </c>
    </row>
    <row r="1451" spans="1:40" x14ac:dyDescent="0.25">
      <c r="A1451" t="str">
        <f>"20190303153804171"</f>
        <v>20190303153804171</v>
      </c>
      <c r="B1451" t="str">
        <f>"1551598684160290"</f>
        <v>1551598684160290</v>
      </c>
      <c r="C1451" t="s">
        <v>40</v>
      </c>
      <c r="D1451">
        <v>4.6129660000000001</v>
      </c>
      <c r="E1451">
        <v>0.61459269999999999</v>
      </c>
      <c r="F1451" t="s">
        <v>45</v>
      </c>
      <c r="G1451">
        <v>-199.80520000000001</v>
      </c>
      <c r="H1451" s="1">
        <v>-1.0199619999999999E-5</v>
      </c>
      <c r="I1451">
        <v>360.22289999999998</v>
      </c>
      <c r="J1451">
        <v>-223.9736</v>
      </c>
      <c r="K1451">
        <v>1.1208629999999999</v>
      </c>
      <c r="L1451">
        <v>367.4271</v>
      </c>
      <c r="M1451">
        <v>0.99991739999999996</v>
      </c>
      <c r="N1451">
        <v>-1.282318E-2</v>
      </c>
      <c r="O1451">
        <v>-9.0060100000000001E-4</v>
      </c>
      <c r="P1451">
        <v>0.99667939999999999</v>
      </c>
      <c r="Q1451">
        <v>-8.1146090000000004E-2</v>
      </c>
      <c r="R1451">
        <v>6.7779349999999997E-3</v>
      </c>
      <c r="S1451">
        <v>3.005188</v>
      </c>
      <c r="T1451">
        <v>-0.1385834</v>
      </c>
      <c r="U1451">
        <v>-0.89074709999999901</v>
      </c>
      <c r="V1451">
        <v>-7.7035890000000003E-3</v>
      </c>
      <c r="W1451">
        <v>-6.8355769999999996E-2</v>
      </c>
      <c r="X1451">
        <v>0.9976313</v>
      </c>
      <c r="Y1451">
        <v>0.2829604</v>
      </c>
      <c r="Z1451">
        <v>-8.2081210000000005E-3</v>
      </c>
      <c r="AA1451">
        <v>0.95909639999999996</v>
      </c>
      <c r="AB1451">
        <v>26</v>
      </c>
      <c r="AC1451">
        <v>24.168399999999899</v>
      </c>
      <c r="AD1451">
        <v>-1.1208731996200001</v>
      </c>
      <c r="AE1451">
        <v>-7.2042000000000099</v>
      </c>
      <c r="AF1451">
        <v>7.1682692466072897</v>
      </c>
      <c r="AG1451">
        <v>-1.1208731996200001</v>
      </c>
      <c r="AH1451">
        <v>24.127218747330598</v>
      </c>
      <c r="AI1451">
        <v>92.549861783565305</v>
      </c>
      <c r="AJ1451">
        <v>73.453157158346798</v>
      </c>
      <c r="AK1451">
        <v>25.194505853519399</v>
      </c>
      <c r="AL1451">
        <v>93.919553404617403</v>
      </c>
      <c r="AM1451">
        <v>90.4424223300433</v>
      </c>
      <c r="AN1451">
        <v>1.0000000336577299</v>
      </c>
    </row>
    <row r="1452" spans="1:40" x14ac:dyDescent="0.25">
      <c r="A1452" t="str">
        <f>"20190303153804182"</f>
        <v>20190303153804182</v>
      </c>
      <c r="B1452" t="str">
        <f>"1551598684179809"</f>
        <v>1551598684179809</v>
      </c>
      <c r="C1452" t="s">
        <v>40</v>
      </c>
      <c r="D1452">
        <v>4.5935759999999997</v>
      </c>
      <c r="E1452">
        <v>0.6150177</v>
      </c>
      <c r="F1452" t="s">
        <v>45</v>
      </c>
      <c r="G1452">
        <v>-199.9205</v>
      </c>
      <c r="H1452" s="1">
        <v>-1.023402E-5</v>
      </c>
      <c r="I1452">
        <v>360.27519999999998</v>
      </c>
      <c r="J1452">
        <v>-223.8331</v>
      </c>
      <c r="K1452">
        <v>1.1208670000000001</v>
      </c>
      <c r="L1452">
        <v>367.42680000000001</v>
      </c>
      <c r="M1452">
        <v>0.99991629999999998</v>
      </c>
      <c r="N1452">
        <v>-1.2900899999999899E-2</v>
      </c>
      <c r="O1452">
        <v>-1.0129239999999999E-3</v>
      </c>
      <c r="P1452">
        <v>0.9967068</v>
      </c>
      <c r="Q1452">
        <v>-8.0833290000000002E-2</v>
      </c>
      <c r="R1452">
        <v>6.4522629999999997E-3</v>
      </c>
      <c r="S1452">
        <v>3.0046689999999998</v>
      </c>
      <c r="T1452">
        <v>-0.14001739999999999</v>
      </c>
      <c r="U1452">
        <v>-0.89340209999999998</v>
      </c>
      <c r="V1452">
        <v>-7.48972099999999E-3</v>
      </c>
      <c r="W1452">
        <v>-6.7965209999999998E-2</v>
      </c>
      <c r="X1452">
        <v>0.99765959999999998</v>
      </c>
      <c r="Y1452">
        <v>0.28366859999999999</v>
      </c>
      <c r="Z1452">
        <v>-8.3026269999999999E-3</v>
      </c>
      <c r="AA1452">
        <v>0.95888640000000003</v>
      </c>
      <c r="AB1452">
        <v>26</v>
      </c>
      <c r="AC1452">
        <v>23.912600000000001</v>
      </c>
      <c r="AD1452">
        <v>-1.1208772340199999</v>
      </c>
      <c r="AE1452">
        <v>-7.1516000000000197</v>
      </c>
      <c r="AF1452">
        <v>7.1130272932539196</v>
      </c>
      <c r="AG1452">
        <v>-1.1208772340199999</v>
      </c>
      <c r="AH1452">
        <v>23.871688535380098</v>
      </c>
      <c r="AI1452">
        <v>92.576519724718196</v>
      </c>
      <c r="AJ1452">
        <v>73.407565627958206</v>
      </c>
      <c r="AK1452">
        <v>24.934093859182401</v>
      </c>
      <c r="AL1452">
        <v>93.897123849751495</v>
      </c>
      <c r="AM1452">
        <v>90.430128013076896</v>
      </c>
      <c r="AN1452">
        <v>1.0000000215815801</v>
      </c>
    </row>
    <row r="1453" spans="1:40" x14ac:dyDescent="0.25">
      <c r="A1453" t="str">
        <f>"20190303153804194"</f>
        <v>20190303153804194</v>
      </c>
      <c r="B1453" t="str">
        <f>"1551598684190546"</f>
        <v>1551598684190546</v>
      </c>
      <c r="C1453" t="s">
        <v>40</v>
      </c>
      <c r="D1453">
        <v>4.5857809999999999</v>
      </c>
      <c r="E1453">
        <v>0.61522940000000004</v>
      </c>
      <c r="F1453" t="s">
        <v>45</v>
      </c>
      <c r="G1453">
        <v>-200.2878</v>
      </c>
      <c r="H1453" s="1">
        <v>-2.619721E-6</v>
      </c>
      <c r="I1453">
        <v>360.3904</v>
      </c>
      <c r="J1453">
        <v>-223.7054</v>
      </c>
      <c r="K1453">
        <v>1.1208720000000001</v>
      </c>
      <c r="L1453">
        <v>367.42660000000001</v>
      </c>
      <c r="M1453">
        <v>0.99991540000000001</v>
      </c>
      <c r="N1453">
        <v>-1.296837E-2</v>
      </c>
      <c r="O1453">
        <v>-1.1154050000000001E-3</v>
      </c>
      <c r="P1453">
        <v>0.99671949999999998</v>
      </c>
      <c r="Q1453">
        <v>-8.0692600000000003E-2</v>
      </c>
      <c r="R1453">
        <v>6.2646330000000004E-3</v>
      </c>
      <c r="S1453">
        <v>3.0041350000000002</v>
      </c>
      <c r="T1453">
        <v>-0.14301069999999999</v>
      </c>
      <c r="U1453">
        <v>-0.89776610000000001</v>
      </c>
      <c r="V1453">
        <v>-7.40419699999999E-3</v>
      </c>
      <c r="W1453">
        <v>-6.7757079999999997E-2</v>
      </c>
      <c r="X1453">
        <v>0.99767430000000001</v>
      </c>
      <c r="Y1453">
        <v>0.28487990000000002</v>
      </c>
      <c r="Z1453">
        <v>-8.4825460000000005E-3</v>
      </c>
      <c r="AA1453">
        <v>0.95852570000000004</v>
      </c>
      <c r="AB1453">
        <v>26</v>
      </c>
      <c r="AC1453">
        <v>23.4176</v>
      </c>
      <c r="AD1453">
        <v>-1.12087461972099</v>
      </c>
      <c r="AE1453">
        <v>-7.0362</v>
      </c>
      <c r="AF1453">
        <v>6.9953738332926001</v>
      </c>
      <c r="AG1453">
        <v>-1.12087461972099</v>
      </c>
      <c r="AH1453">
        <v>23.376313293586598</v>
      </c>
      <c r="AI1453">
        <v>92.630114739213894</v>
      </c>
      <c r="AJ1453">
        <v>73.340160425676899</v>
      </c>
      <c r="AK1453">
        <v>24.426289897988202</v>
      </c>
      <c r="AL1453">
        <v>93.885171696310096</v>
      </c>
      <c r="AM1453">
        <v>90.425210362210606</v>
      </c>
      <c r="AN1453">
        <v>0.99999992645191305</v>
      </c>
    </row>
    <row r="1454" spans="1:40" x14ac:dyDescent="0.25">
      <c r="A1454" t="str">
        <f>"20190303153804206"</f>
        <v>20190303153804206</v>
      </c>
      <c r="B1454" t="str">
        <f>"1551598684200305"</f>
        <v>1551598684200305</v>
      </c>
      <c r="C1454" t="s">
        <v>40</v>
      </c>
      <c r="D1454">
        <v>4.5343479999999996</v>
      </c>
      <c r="E1454">
        <v>0.61550859999999996</v>
      </c>
      <c r="F1454" t="s">
        <v>45</v>
      </c>
      <c r="G1454">
        <v>-200.3066</v>
      </c>
      <c r="H1454" s="1">
        <v>-2.6246580000000002E-6</v>
      </c>
      <c r="I1454">
        <v>360.41370000000001</v>
      </c>
      <c r="J1454">
        <v>-223.56909999999999</v>
      </c>
      <c r="K1454">
        <v>1.120879</v>
      </c>
      <c r="L1454">
        <v>367.42630000000003</v>
      </c>
      <c r="M1454">
        <v>0.99991430000000003</v>
      </c>
      <c r="N1454">
        <v>-1.3036239999999999E-2</v>
      </c>
      <c r="O1454">
        <v>-1.225159E-3</v>
      </c>
      <c r="P1454">
        <v>0.99670990000000004</v>
      </c>
      <c r="Q1454">
        <v>-8.0822050000000006E-2</v>
      </c>
      <c r="R1454">
        <v>6.1084360000000001E-3</v>
      </c>
      <c r="S1454">
        <v>3.0038909999999999</v>
      </c>
      <c r="T1454">
        <v>-0.1438951</v>
      </c>
      <c r="U1454">
        <v>-0.90029910000000002</v>
      </c>
      <c r="V1454">
        <v>-7.3570679999999996E-3</v>
      </c>
      <c r="W1454">
        <v>-6.7819000000000004E-2</v>
      </c>
      <c r="X1454">
        <v>0.99767050000000002</v>
      </c>
      <c r="Y1454">
        <v>0.28553240000000002</v>
      </c>
      <c r="Z1454">
        <v>-8.5490099999999992E-3</v>
      </c>
      <c r="AA1454">
        <v>0.95833089999999999</v>
      </c>
      <c r="AB1454">
        <v>26</v>
      </c>
      <c r="AC1454">
        <v>23.2624999999999</v>
      </c>
      <c r="AD1454">
        <v>-1.120881624658</v>
      </c>
      <c r="AE1454">
        <v>-7.0126000000000097</v>
      </c>
      <c r="AF1454">
        <v>6.96925941923487</v>
      </c>
      <c r="AG1454">
        <v>-1.120881624658</v>
      </c>
      <c r="AH1454">
        <v>23.2216523105463</v>
      </c>
      <c r="AI1454">
        <v>92.646992176288194</v>
      </c>
      <c r="AJ1454">
        <v>73.294499952632606</v>
      </c>
      <c r="AK1454">
        <v>24.270807331050801</v>
      </c>
      <c r="AL1454">
        <v>93.888727403194494</v>
      </c>
      <c r="AM1454">
        <v>90.422505532031195</v>
      </c>
      <c r="AN1454">
        <v>0.99999998489040298</v>
      </c>
    </row>
    <row r="1455" spans="1:40" x14ac:dyDescent="0.25">
      <c r="A1455" t="str">
        <f>"20190303153804216"</f>
        <v>20190303153804216</v>
      </c>
      <c r="B1455" t="str">
        <f>"1551598684210065"</f>
        <v>1551598684210065</v>
      </c>
      <c r="C1455" t="s">
        <v>40</v>
      </c>
      <c r="D1455">
        <v>4.5647909999999996</v>
      </c>
      <c r="E1455">
        <v>0.61572769999999899</v>
      </c>
      <c r="F1455" t="s">
        <v>45</v>
      </c>
      <c r="G1455">
        <v>-200.2509</v>
      </c>
      <c r="H1455" s="1">
        <v>-2.5903800000000001E-6</v>
      </c>
      <c r="I1455">
        <v>360.4187</v>
      </c>
      <c r="J1455">
        <v>-223.4538</v>
      </c>
      <c r="K1455">
        <v>1.120884</v>
      </c>
      <c r="L1455">
        <v>367.42610000000002</v>
      </c>
      <c r="M1455">
        <v>0.99991359999999996</v>
      </c>
      <c r="N1455">
        <v>-1.308964E-2</v>
      </c>
      <c r="O1455">
        <v>-1.3171750000000001E-3</v>
      </c>
      <c r="P1455">
        <v>0.99668829999999997</v>
      </c>
      <c r="Q1455">
        <v>-8.1100329999999998E-2</v>
      </c>
      <c r="R1455">
        <v>5.9301099999999997E-3</v>
      </c>
      <c r="S1455">
        <v>3.003708</v>
      </c>
      <c r="T1455">
        <v>-0.14438529999999999</v>
      </c>
      <c r="U1455">
        <v>-0.90267940000000002</v>
      </c>
      <c r="V1455">
        <v>-7.2698969999999896E-3</v>
      </c>
      <c r="W1455">
        <v>-6.8044320000000005E-2</v>
      </c>
      <c r="X1455">
        <v>0.99765579999999998</v>
      </c>
      <c r="Y1455">
        <v>0.28615350000000001</v>
      </c>
      <c r="Z1455">
        <v>-8.5949010000000003E-3</v>
      </c>
      <c r="AA1455">
        <v>0.95814529999999998</v>
      </c>
      <c r="AB1455">
        <v>26</v>
      </c>
      <c r="AC1455">
        <v>23.2029</v>
      </c>
      <c r="AD1455">
        <v>-1.1208865903799901</v>
      </c>
      <c r="AE1455">
        <v>-7.0074000000000103</v>
      </c>
      <c r="AF1455">
        <v>6.9619401519312198</v>
      </c>
      <c r="AG1455">
        <v>-1.1208865903799901</v>
      </c>
      <c r="AH1455">
        <v>23.162574918034601</v>
      </c>
      <c r="AI1455">
        <v>92.653417458092704</v>
      </c>
      <c r="AJ1455">
        <v>73.270877839092407</v>
      </c>
      <c r="AK1455">
        <v>24.2121844173782</v>
      </c>
      <c r="AL1455">
        <v>93.901667167178999</v>
      </c>
      <c r="AM1455">
        <v>90.417505760164502</v>
      </c>
      <c r="AN1455">
        <v>0.99999998808014601</v>
      </c>
    </row>
    <row r="1456" spans="1:40" x14ac:dyDescent="0.25">
      <c r="A1456" t="str">
        <f>"20190303153804226"</f>
        <v>20190303153804226</v>
      </c>
      <c r="B1456" t="str">
        <f>"1551598684219825"</f>
        <v>1551598684219825</v>
      </c>
      <c r="C1456" t="s">
        <v>40</v>
      </c>
      <c r="D1456">
        <v>4.5795909999999997</v>
      </c>
      <c r="E1456">
        <v>0.61592819999999904</v>
      </c>
      <c r="F1456" t="s">
        <v>45</v>
      </c>
      <c r="G1456">
        <v>-200.42769999999999</v>
      </c>
      <c r="H1456" s="1">
        <v>-2.6768450000000001E-6</v>
      </c>
      <c r="I1456">
        <v>360.48689999999999</v>
      </c>
      <c r="J1456">
        <v>-223.32339999999999</v>
      </c>
      <c r="K1456">
        <v>1.120886</v>
      </c>
      <c r="L1456">
        <v>367.42579999999998</v>
      </c>
      <c r="M1456">
        <v>0.99991269999999999</v>
      </c>
      <c r="N1456">
        <v>-1.314773E-2</v>
      </c>
      <c r="O1456">
        <v>-1.4211429999999999E-3</v>
      </c>
      <c r="P1456">
        <v>0.99669589999999997</v>
      </c>
      <c r="Q1456">
        <v>-8.1026029999999999E-2</v>
      </c>
      <c r="R1456">
        <v>5.7118680000000002E-3</v>
      </c>
      <c r="S1456">
        <v>3.0034480000000001</v>
      </c>
      <c r="T1456">
        <v>-0.14620420000000001</v>
      </c>
      <c r="U1456">
        <v>-0.90512079999999995</v>
      </c>
      <c r="V1456">
        <v>-7.1557900000000004E-3</v>
      </c>
      <c r="W1456">
        <v>-6.7911979999999997E-2</v>
      </c>
      <c r="X1456">
        <v>0.99766560000000004</v>
      </c>
      <c r="Y1456">
        <v>0.2867808</v>
      </c>
      <c r="Z1456">
        <v>-8.7028890000000001E-3</v>
      </c>
      <c r="AA1456">
        <v>0.95795669999999999</v>
      </c>
      <c r="AB1456">
        <v>26</v>
      </c>
      <c r="AC1456">
        <v>22.895700000000001</v>
      </c>
      <c r="AD1456">
        <v>-1.1208886768449999</v>
      </c>
      <c r="AE1456">
        <v>-6.9388999999999896</v>
      </c>
      <c r="AF1456">
        <v>6.89122518085862</v>
      </c>
      <c r="AG1456">
        <v>-1.1208886768449999</v>
      </c>
      <c r="AH1456">
        <v>22.855369039374398</v>
      </c>
      <c r="AI1456">
        <v>92.688334784244205</v>
      </c>
      <c r="AJ1456">
        <v>73.221179363801198</v>
      </c>
      <c r="AK1456">
        <v>23.8979762709141</v>
      </c>
      <c r="AL1456">
        <v>93.894067227680097</v>
      </c>
      <c r="AM1456">
        <v>90.410948854514601</v>
      </c>
      <c r="AN1456">
        <v>0.99999994589069996</v>
      </c>
    </row>
    <row r="1457" spans="1:40" x14ac:dyDescent="0.25">
      <c r="A1457" t="str">
        <f>"20190303153804238"</f>
        <v>20190303153804238</v>
      </c>
      <c r="B1457" t="str">
        <f>"1551598684230562"</f>
        <v>1551598684230562</v>
      </c>
      <c r="C1457" t="s">
        <v>40</v>
      </c>
      <c r="D1457">
        <v>4.5556479999999997</v>
      </c>
      <c r="E1457">
        <v>0.61612650000000002</v>
      </c>
      <c r="F1457" t="s">
        <v>45</v>
      </c>
      <c r="G1457">
        <v>-200.38310000000001</v>
      </c>
      <c r="H1457" s="1">
        <v>-2.6483760000000001E-6</v>
      </c>
      <c r="I1457">
        <v>360.49470000000002</v>
      </c>
      <c r="J1457">
        <v>-223.19890000000001</v>
      </c>
      <c r="K1457">
        <v>1.120889</v>
      </c>
      <c r="L1457">
        <v>367.4255</v>
      </c>
      <c r="M1457">
        <v>0.99991189999999996</v>
      </c>
      <c r="N1457">
        <v>-1.3198410000000001E-2</v>
      </c>
      <c r="O1457">
        <v>-1.51945799999999E-3</v>
      </c>
      <c r="P1457">
        <v>0.9966739</v>
      </c>
      <c r="Q1457">
        <v>-8.1290780000000007E-2</v>
      </c>
      <c r="R1457">
        <v>5.7545649999999997E-3</v>
      </c>
      <c r="S1457">
        <v>3.0032199999999998</v>
      </c>
      <c r="T1457">
        <v>-0.1467407</v>
      </c>
      <c r="U1457">
        <v>-0.90737920000000005</v>
      </c>
      <c r="V1457">
        <v>-7.2960219999999897E-3</v>
      </c>
      <c r="W1457">
        <v>-6.8126430000000002E-2</v>
      </c>
      <c r="X1457">
        <v>0.99765000000000004</v>
      </c>
      <c r="Y1457">
        <v>0.28736329999999999</v>
      </c>
      <c r="Z1457">
        <v>-8.7495560000000003E-3</v>
      </c>
      <c r="AA1457">
        <v>0.95778169999999996</v>
      </c>
      <c r="AB1457">
        <v>26</v>
      </c>
      <c r="AC1457">
        <v>22.815799999999999</v>
      </c>
      <c r="AD1457">
        <v>-1.1208916483759901</v>
      </c>
      <c r="AE1457">
        <v>-6.9307999999999703</v>
      </c>
      <c r="AF1457">
        <v>6.8809169354322997</v>
      </c>
      <c r="AG1457">
        <v>-1.1208916483759901</v>
      </c>
      <c r="AH1457">
        <v>22.775978757277901</v>
      </c>
      <c r="AI1457">
        <v>92.697252997409706</v>
      </c>
      <c r="AJ1457">
        <v>73.189756135029398</v>
      </c>
      <c r="AK1457">
        <v>23.819081097130798</v>
      </c>
      <c r="AL1457">
        <v>93.906382688039201</v>
      </c>
      <c r="AM1457">
        <v>90.419008485490906</v>
      </c>
      <c r="AN1457">
        <v>0.99999998245078403</v>
      </c>
    </row>
    <row r="1458" spans="1:40" x14ac:dyDescent="0.25">
      <c r="A1458" t="str">
        <f>"20190303153804250"</f>
        <v>20190303153804250</v>
      </c>
      <c r="B1458" t="str">
        <f>"1551598684240321"</f>
        <v>1551598684240321</v>
      </c>
      <c r="C1458" t="s">
        <v>40</v>
      </c>
      <c r="D1458">
        <v>4.5417719999999999</v>
      </c>
      <c r="E1458">
        <v>0.61634769999999905</v>
      </c>
      <c r="F1458" t="s">
        <v>45</v>
      </c>
      <c r="G1458">
        <v>-200.5667</v>
      </c>
      <c r="H1458" s="1">
        <v>-2.7279429999999999E-6</v>
      </c>
      <c r="I1458">
        <v>360.57830000000001</v>
      </c>
      <c r="J1458">
        <v>-223.05690000000001</v>
      </c>
      <c r="K1458">
        <v>1.120892</v>
      </c>
      <c r="L1458">
        <v>367.42520000000002</v>
      </c>
      <c r="M1458">
        <v>0.99991099999999999</v>
      </c>
      <c r="N1458">
        <v>-1.325439E-2</v>
      </c>
      <c r="O1458">
        <v>-1.631516E-3</v>
      </c>
      <c r="P1458">
        <v>0.99666999999999994</v>
      </c>
      <c r="Q1458">
        <v>-8.1355620000000003E-2</v>
      </c>
      <c r="R1458">
        <v>5.5068769999999899E-3</v>
      </c>
      <c r="S1458">
        <v>3.0031279999999998</v>
      </c>
      <c r="T1458">
        <v>-0.14873449999999999</v>
      </c>
      <c r="U1458">
        <v>-0.90856930000000002</v>
      </c>
      <c r="V1458">
        <v>-7.1599609999999899E-3</v>
      </c>
      <c r="W1458">
        <v>-6.8135570000000006E-2</v>
      </c>
      <c r="X1458">
        <v>0.99765040000000005</v>
      </c>
      <c r="Y1458">
        <v>0.28760140000000001</v>
      </c>
      <c r="Z1458">
        <v>-8.8533829999999994E-3</v>
      </c>
      <c r="AA1458">
        <v>0.95770929999999999</v>
      </c>
      <c r="AB1458">
        <v>26</v>
      </c>
      <c r="AC1458">
        <v>22.490200000000002</v>
      </c>
      <c r="AD1458">
        <v>-1.1208947279429999</v>
      </c>
      <c r="AE1458">
        <v>-6.8468999999999998</v>
      </c>
      <c r="AF1458">
        <v>6.7947483315271997</v>
      </c>
      <c r="AG1458">
        <v>-1.1208947279429999</v>
      </c>
      <c r="AH1458">
        <v>22.450306529748602</v>
      </c>
      <c r="AI1458">
        <v>92.735916754487207</v>
      </c>
      <c r="AJ1458">
        <v>73.161179256072302</v>
      </c>
      <c r="AK1458">
        <v>23.4827867417732</v>
      </c>
      <c r="AL1458">
        <v>93.906907441163597</v>
      </c>
      <c r="AM1458">
        <v>90.411194646631103</v>
      </c>
      <c r="AN1458">
        <v>1.00000002078045</v>
      </c>
    </row>
    <row r="1459" spans="1:40" x14ac:dyDescent="0.25">
      <c r="A1459" t="str">
        <f>"20190303153804261"</f>
        <v>20190303153804261</v>
      </c>
      <c r="B1459" t="str">
        <f>"1551598684250081"</f>
        <v>1551598684250081</v>
      </c>
      <c r="C1459" t="s">
        <v>40</v>
      </c>
      <c r="D1459">
        <v>4.5653410000000001</v>
      </c>
      <c r="E1459">
        <v>0.6165214</v>
      </c>
      <c r="F1459" t="s">
        <v>45</v>
      </c>
      <c r="G1459">
        <v>-200.54400000000001</v>
      </c>
      <c r="H1459" s="1">
        <v>-2.7132760000000001E-6</v>
      </c>
      <c r="I1459">
        <v>360.59289999999999</v>
      </c>
      <c r="J1459">
        <v>-222.92240000000001</v>
      </c>
      <c r="K1459">
        <v>1.120895</v>
      </c>
      <c r="L1459">
        <v>367.4248</v>
      </c>
      <c r="M1459">
        <v>0.99991010000000002</v>
      </c>
      <c r="N1459">
        <v>-1.330169E-2</v>
      </c>
      <c r="O1459">
        <v>-1.736961E-3</v>
      </c>
      <c r="P1459">
        <v>0.99664929999999996</v>
      </c>
      <c r="Q1459">
        <v>-8.1611980000000001E-2</v>
      </c>
      <c r="R1459">
        <v>5.4566090000000003E-3</v>
      </c>
      <c r="S1459">
        <v>3.002869</v>
      </c>
      <c r="T1459">
        <v>-0.14950949999999999</v>
      </c>
      <c r="U1459">
        <v>-0.91131589999999996</v>
      </c>
      <c r="V1459">
        <v>-7.21456599999999E-3</v>
      </c>
      <c r="W1459">
        <v>-6.8344970000000005E-2</v>
      </c>
      <c r="X1459">
        <v>0.99763570000000001</v>
      </c>
      <c r="Y1459">
        <v>0.28832049999999998</v>
      </c>
      <c r="Z1459">
        <v>-8.9148100000000004E-3</v>
      </c>
      <c r="AA1459">
        <v>0.95749249999999997</v>
      </c>
      <c r="AB1459">
        <v>26</v>
      </c>
      <c r="AC1459">
        <v>22.378399999999999</v>
      </c>
      <c r="AD1459">
        <v>-1.1208977132760001</v>
      </c>
      <c r="AE1459">
        <v>-6.8319000000000099</v>
      </c>
      <c r="AF1459">
        <v>6.77746190171659</v>
      </c>
      <c r="AG1459">
        <v>-1.1208977132760001</v>
      </c>
      <c r="AH1459">
        <v>22.3389671827446</v>
      </c>
      <c r="AI1459">
        <v>92.748979542803596</v>
      </c>
      <c r="AJ1459">
        <v>73.122627148512507</v>
      </c>
      <c r="AK1459">
        <v>23.371346908224801</v>
      </c>
      <c r="AL1459">
        <v>93.918933145010399</v>
      </c>
      <c r="AM1459">
        <v>90.4143365931549</v>
      </c>
      <c r="AN1459">
        <v>1.0000000374006699</v>
      </c>
    </row>
    <row r="1460" spans="1:40" x14ac:dyDescent="0.25">
      <c r="A1460" t="str">
        <f>"20190303153804274"</f>
        <v>20190303153804274</v>
      </c>
      <c r="B1460" t="str">
        <f>"1551598684270577"</f>
        <v>1551598684270577</v>
      </c>
      <c r="C1460" t="s">
        <v>40</v>
      </c>
      <c r="D1460">
        <v>4.5667330000000002</v>
      </c>
      <c r="E1460">
        <v>0.61682459999999995</v>
      </c>
      <c r="F1460" t="s">
        <v>45</v>
      </c>
      <c r="G1460">
        <v>-200.6859</v>
      </c>
      <c r="H1460" s="1">
        <v>-2.7683700000000001E-6</v>
      </c>
      <c r="I1460">
        <v>360.66660000000002</v>
      </c>
      <c r="J1460">
        <v>-222.77760000000001</v>
      </c>
      <c r="K1460">
        <v>1.1209009999999999</v>
      </c>
      <c r="L1460">
        <v>367.42439999999999</v>
      </c>
      <c r="M1460">
        <v>0.99990919999999905</v>
      </c>
      <c r="N1460">
        <v>-1.335036E-2</v>
      </c>
      <c r="O1460">
        <v>-1.8500439999999999E-3</v>
      </c>
      <c r="P1460">
        <v>0.99664219999999903</v>
      </c>
      <c r="Q1460">
        <v>-8.1708039999999996E-2</v>
      </c>
      <c r="R1460">
        <v>5.329561E-3</v>
      </c>
      <c r="S1460">
        <v>3.0027010000000001</v>
      </c>
      <c r="T1460">
        <v>-0.15136040000000001</v>
      </c>
      <c r="U1460">
        <v>-0.91259769999999896</v>
      </c>
      <c r="V1460">
        <v>-7.2002709999999899E-3</v>
      </c>
      <c r="W1460">
        <v>-6.839257E-2</v>
      </c>
      <c r="X1460">
        <v>0.99763250000000003</v>
      </c>
      <c r="Y1460">
        <v>0.2885913</v>
      </c>
      <c r="Z1460">
        <v>-9.0122929999999993E-3</v>
      </c>
      <c r="AA1460">
        <v>0.95740999999999998</v>
      </c>
      <c r="AB1460">
        <v>26</v>
      </c>
      <c r="AC1460">
        <v>22.091699999999999</v>
      </c>
      <c r="AD1460">
        <v>-1.1209037683699901</v>
      </c>
      <c r="AE1460">
        <v>-6.7577999999999703</v>
      </c>
      <c r="AF1460">
        <v>6.7011388224779296</v>
      </c>
      <c r="AG1460">
        <v>-1.1209037683699901</v>
      </c>
      <c r="AH1460">
        <v>22.052251660339302</v>
      </c>
      <c r="AI1460">
        <v>92.784306166478999</v>
      </c>
      <c r="AJ1460">
        <v>73.097258697440296</v>
      </c>
      <c r="AK1460">
        <v>23.0751704233578</v>
      </c>
      <c r="AL1460">
        <v>93.921666981945904</v>
      </c>
      <c r="AM1460">
        <v>90.413516978125699</v>
      </c>
      <c r="AN1460">
        <v>0.99999999629496406</v>
      </c>
    </row>
    <row r="1461" spans="1:40" x14ac:dyDescent="0.25">
      <c r="A1461" t="str">
        <f>"20190303153804287"</f>
        <v>20190303153804287</v>
      </c>
      <c r="B1461" t="str">
        <f>"1551598684280169"</f>
        <v>1551598684280169</v>
      </c>
      <c r="C1461" t="s">
        <v>40</v>
      </c>
      <c r="D1461">
        <v>4.5646420000000001</v>
      </c>
      <c r="E1461">
        <v>0.61693599999999904</v>
      </c>
      <c r="F1461" t="s">
        <v>45</v>
      </c>
      <c r="G1461">
        <v>-201.0684</v>
      </c>
      <c r="H1461" s="1">
        <v>-2.9304849999999999E-6</v>
      </c>
      <c r="I1461">
        <v>360.80340000000001</v>
      </c>
      <c r="J1461">
        <v>-222.6284</v>
      </c>
      <c r="K1461">
        <v>1.1209020000000001</v>
      </c>
      <c r="L1461">
        <v>367.42399999999998</v>
      </c>
      <c r="M1461">
        <v>0.99990829999999997</v>
      </c>
      <c r="N1461">
        <v>-1.339658E-2</v>
      </c>
      <c r="O1461">
        <v>-1.966331E-3</v>
      </c>
      <c r="P1461">
        <v>0.99663930000000001</v>
      </c>
      <c r="Q1461">
        <v>-8.1723989999999996E-2</v>
      </c>
      <c r="R1461">
        <v>5.595966E-3</v>
      </c>
      <c r="S1461">
        <v>3.0022890000000002</v>
      </c>
      <c r="T1461">
        <v>-0.15501589999999901</v>
      </c>
      <c r="U1461">
        <v>-0.91564939999999995</v>
      </c>
      <c r="V1461">
        <v>-7.5822800000000003E-3</v>
      </c>
      <c r="W1461">
        <v>-6.8362339999999994E-2</v>
      </c>
      <c r="X1461">
        <v>0.99763170000000001</v>
      </c>
      <c r="Y1461">
        <v>0.28938700000000001</v>
      </c>
      <c r="Z1461">
        <v>-9.2099090000000005E-3</v>
      </c>
      <c r="AA1461">
        <v>0.95716789999999996</v>
      </c>
      <c r="AB1461">
        <v>26</v>
      </c>
      <c r="AC1461">
        <v>21.56</v>
      </c>
      <c r="AD1461">
        <v>-1.1209049304850001</v>
      </c>
      <c r="AE1461">
        <v>-6.62060000000002</v>
      </c>
      <c r="AF1461">
        <v>6.56198090698072</v>
      </c>
      <c r="AG1461">
        <v>-1.1209049304850001</v>
      </c>
      <c r="AH1461">
        <v>21.519822837159001</v>
      </c>
      <c r="AI1461">
        <v>92.852249592522796</v>
      </c>
      <c r="AJ1461">
        <v>73.042106467224002</v>
      </c>
      <c r="AK1461">
        <v>22.525958275497999</v>
      </c>
      <c r="AL1461">
        <v>93.919931030599798</v>
      </c>
      <c r="AM1461">
        <v>90.435455567905507</v>
      </c>
      <c r="AN1461">
        <v>0.99999995467258096</v>
      </c>
    </row>
    <row r="1462" spans="1:40" x14ac:dyDescent="0.25">
      <c r="A1462" t="str">
        <f>"20190303153804300"</f>
        <v>20190303153804300</v>
      </c>
      <c r="B1462" t="str">
        <f>"1551598684289929"</f>
        <v>1551598684289929</v>
      </c>
      <c r="C1462" t="s">
        <v>40</v>
      </c>
      <c r="D1462">
        <v>4.5750270000000004</v>
      </c>
      <c r="E1462">
        <v>0.61709569999999903</v>
      </c>
      <c r="F1462" t="s">
        <v>45</v>
      </c>
      <c r="G1462">
        <v>-201.19589999999999</v>
      </c>
      <c r="H1462" s="1">
        <v>-2.9761390000000002E-6</v>
      </c>
      <c r="I1462">
        <v>360.887</v>
      </c>
      <c r="J1462">
        <v>-222.46700000000001</v>
      </c>
      <c r="K1462">
        <v>1.120906</v>
      </c>
      <c r="L1462">
        <v>367.42360000000002</v>
      </c>
      <c r="M1462">
        <v>0.99990769999999995</v>
      </c>
      <c r="N1462">
        <v>-1.344177E-2</v>
      </c>
      <c r="O1462">
        <v>-2.0916709999999998E-3</v>
      </c>
      <c r="P1462">
        <v>0.99662569999999995</v>
      </c>
      <c r="Q1462">
        <v>-8.1901639999999998E-2</v>
      </c>
      <c r="R1462">
        <v>5.4678779999999998E-3</v>
      </c>
      <c r="S1462">
        <v>3.0023650000000002</v>
      </c>
      <c r="T1462">
        <v>-0.1570213</v>
      </c>
      <c r="U1462">
        <v>-0.91574100000000003</v>
      </c>
      <c r="V1462">
        <v>-7.578881E-3</v>
      </c>
      <c r="W1462">
        <v>-6.8495089999999995E-2</v>
      </c>
      <c r="X1462">
        <v>0.99762269999999997</v>
      </c>
      <c r="Y1462">
        <v>0.28927639999999999</v>
      </c>
      <c r="Z1462">
        <v>-9.3012129999999991E-3</v>
      </c>
      <c r="AA1462">
        <v>0.95720039999999995</v>
      </c>
      <c r="AB1462">
        <v>26</v>
      </c>
      <c r="AC1462">
        <v>21.271100000000001</v>
      </c>
      <c r="AD1462">
        <v>-1.1209089761390001</v>
      </c>
      <c r="AE1462">
        <v>-6.5366000000000701</v>
      </c>
      <c r="AF1462">
        <v>6.4756588645624804</v>
      </c>
      <c r="AG1462">
        <v>-1.1209089761390001</v>
      </c>
      <c r="AH1462">
        <v>21.230858079430099</v>
      </c>
      <c r="AI1462">
        <v>92.890947487978096</v>
      </c>
      <c r="AJ1462">
        <v>73.037683895789399</v>
      </c>
      <c r="AK1462">
        <v>22.224759378942199</v>
      </c>
      <c r="AL1462">
        <v>93.927554603272597</v>
      </c>
      <c r="AM1462">
        <v>90.435264295031203</v>
      </c>
      <c r="AN1462">
        <v>1.0000000341733</v>
      </c>
    </row>
    <row r="1463" spans="1:40" x14ac:dyDescent="0.25">
      <c r="A1463" t="str">
        <f>"20190303153804316"</f>
        <v>20190303153804316</v>
      </c>
      <c r="B1463" t="str">
        <f>"1551598684310425"</f>
        <v>1551598684310425</v>
      </c>
      <c r="C1463" t="s">
        <v>40</v>
      </c>
      <c r="D1463">
        <v>4.5696079999999997</v>
      </c>
      <c r="E1463">
        <v>0.61736679999999999</v>
      </c>
      <c r="F1463" t="s">
        <v>45</v>
      </c>
      <c r="G1463">
        <v>-201.2784</v>
      </c>
      <c r="H1463" s="1">
        <v>-3.0034249999999898E-6</v>
      </c>
      <c r="I1463">
        <v>360.9511</v>
      </c>
      <c r="J1463">
        <v>-222.3107</v>
      </c>
      <c r="K1463">
        <v>1.120908</v>
      </c>
      <c r="L1463">
        <v>367.42309999999998</v>
      </c>
      <c r="M1463">
        <v>0.99990659999999998</v>
      </c>
      <c r="N1463">
        <v>-1.3482650000000001E-2</v>
      </c>
      <c r="O1463">
        <v>-2.2122159999999999E-3</v>
      </c>
      <c r="P1463">
        <v>0.99661549999999999</v>
      </c>
      <c r="Q1463">
        <v>-8.1985680000000005E-2</v>
      </c>
      <c r="R1463">
        <v>5.9958340000000002E-3</v>
      </c>
      <c r="S1463">
        <v>3.0021209999999998</v>
      </c>
      <c r="T1463">
        <v>-0.15881619999999999</v>
      </c>
      <c r="U1463">
        <v>-0.91705320000000001</v>
      </c>
      <c r="V1463">
        <v>-8.2272390000000008E-3</v>
      </c>
      <c r="W1463">
        <v>-6.8538260000000004E-2</v>
      </c>
      <c r="X1463">
        <v>0.99761460000000002</v>
      </c>
      <c r="Y1463">
        <v>0.28955540000000002</v>
      </c>
      <c r="Z1463">
        <v>-9.3952740000000003E-3</v>
      </c>
      <c r="AA1463">
        <v>0.9571151</v>
      </c>
      <c r="AB1463">
        <v>26</v>
      </c>
      <c r="AC1463">
        <v>21.0322999999999</v>
      </c>
      <c r="AD1463">
        <v>-1.1209110034250001</v>
      </c>
      <c r="AE1463">
        <v>-6.47199999999998</v>
      </c>
      <c r="AF1463">
        <v>6.4088233281920104</v>
      </c>
      <c r="AG1463">
        <v>-1.1209110034250001</v>
      </c>
      <c r="AH1463">
        <v>20.992100281049598</v>
      </c>
      <c r="AI1463">
        <v>92.923544375311295</v>
      </c>
      <c r="AJ1463">
        <v>73.022731596534598</v>
      </c>
      <c r="AK1463">
        <v>21.977209380156101</v>
      </c>
      <c r="AL1463">
        <v>93.930033883791097</v>
      </c>
      <c r="AM1463">
        <v>90.472502493063502</v>
      </c>
      <c r="AN1463">
        <v>1.00000003533927</v>
      </c>
    </row>
    <row r="1464" spans="1:40" x14ac:dyDescent="0.25">
      <c r="A1464" t="str">
        <f>"20190303153804331"</f>
        <v>20190303153804331</v>
      </c>
      <c r="B1464" t="str">
        <f>"1551598684320185"</f>
        <v>1551598684320185</v>
      </c>
      <c r="C1464" t="s">
        <v>40</v>
      </c>
      <c r="D1464">
        <v>4.6674049999999996</v>
      </c>
      <c r="E1464">
        <v>0.61729409999999996</v>
      </c>
      <c r="F1464" t="s">
        <v>45</v>
      </c>
      <c r="G1464">
        <v>-201.4753</v>
      </c>
      <c r="H1464" s="1">
        <v>-3.0797989999999999E-6</v>
      </c>
      <c r="I1464">
        <v>361.05340000000001</v>
      </c>
      <c r="J1464">
        <v>-222.11840000000001</v>
      </c>
      <c r="K1464">
        <v>1.1209100000000001</v>
      </c>
      <c r="L1464">
        <v>367.42250000000001</v>
      </c>
      <c r="M1464">
        <v>0.99990579999999996</v>
      </c>
      <c r="N1464">
        <v>-1.352834E-2</v>
      </c>
      <c r="O1464">
        <v>-2.3605710000000001E-3</v>
      </c>
      <c r="P1464">
        <v>0.9966081</v>
      </c>
      <c r="Q1464">
        <v>-8.2082569999999994E-2</v>
      </c>
      <c r="R1464">
        <v>5.9086829999999996E-3</v>
      </c>
      <c r="S1464">
        <v>3.0024109999999999</v>
      </c>
      <c r="T1464">
        <v>-0.161524799999999</v>
      </c>
      <c r="U1464">
        <v>-0.91787719999999995</v>
      </c>
      <c r="V1464">
        <v>-8.2876240000000004E-3</v>
      </c>
      <c r="W1464">
        <v>-6.8589689999999995E-2</v>
      </c>
      <c r="X1464">
        <v>0.99761049999999996</v>
      </c>
      <c r="Y1464">
        <v>0.28961320000000002</v>
      </c>
      <c r="Z1464">
        <v>-9.5228610000000005E-3</v>
      </c>
      <c r="AA1464">
        <v>0.95709639999999996</v>
      </c>
      <c r="AB1464">
        <v>26</v>
      </c>
      <c r="AC1464">
        <v>20.6431</v>
      </c>
      <c r="AD1464">
        <v>-1.1209130797989999</v>
      </c>
      <c r="AE1464">
        <v>-6.3691000000000004</v>
      </c>
      <c r="AF1464">
        <v>6.3033784959935204</v>
      </c>
      <c r="AG1464">
        <v>-1.1209130797989999</v>
      </c>
      <c r="AH1464">
        <v>20.602612725229498</v>
      </c>
      <c r="AI1464">
        <v>92.978177088726696</v>
      </c>
      <c r="AJ1464">
        <v>72.988485613113198</v>
      </c>
      <c r="AK1464">
        <v>21.574445014924599</v>
      </c>
      <c r="AL1464">
        <v>93.932987813831502</v>
      </c>
      <c r="AM1464">
        <v>90.475972289937701</v>
      </c>
      <c r="AN1464">
        <v>0.99999996999805496</v>
      </c>
    </row>
    <row r="1465" spans="1:40" x14ac:dyDescent="0.25">
      <c r="A1465" t="str">
        <f>"20190303153804345"</f>
        <v>20190303153804345</v>
      </c>
      <c r="B1465" t="str">
        <f>"1551598684339705"</f>
        <v>1551598684339705</v>
      </c>
      <c r="C1465" t="s">
        <v>40</v>
      </c>
      <c r="D1465">
        <v>4.5163250000000001</v>
      </c>
      <c r="E1465">
        <v>0.57242510000000002</v>
      </c>
      <c r="F1465" t="s">
        <v>45</v>
      </c>
      <c r="G1465">
        <v>-201.41759999999999</v>
      </c>
      <c r="H1465" s="1">
        <v>-3.0414959999999999E-6</v>
      </c>
      <c r="I1465">
        <v>361.09530000000001</v>
      </c>
      <c r="J1465">
        <v>-221.95009999999999</v>
      </c>
      <c r="K1465">
        <v>1.120911</v>
      </c>
      <c r="L1465">
        <v>367.42200000000003</v>
      </c>
      <c r="M1465">
        <v>0.99990500000000004</v>
      </c>
      <c r="N1465">
        <v>-1.356372E-2</v>
      </c>
      <c r="O1465">
        <v>-2.4897869999999998E-3</v>
      </c>
      <c r="P1465">
        <v>0.99659070000000005</v>
      </c>
      <c r="Q1465">
        <v>-8.2282969999999997E-2</v>
      </c>
      <c r="R1465">
        <v>6.0603019999999896E-3</v>
      </c>
      <c r="S1465">
        <v>3.002243</v>
      </c>
      <c r="T1465">
        <v>-0.16256619999999999</v>
      </c>
      <c r="U1465">
        <v>-0.91763309999999998</v>
      </c>
      <c r="V1465">
        <v>-8.5681869999999997E-3</v>
      </c>
      <c r="W1465">
        <v>-6.8754930000000006E-2</v>
      </c>
      <c r="X1465">
        <v>0.99759679999999995</v>
      </c>
      <c r="Y1465">
        <v>0.28942780000000001</v>
      </c>
      <c r="Z1465">
        <v>-9.5655719999999996E-3</v>
      </c>
      <c r="AA1465">
        <v>0.95715209999999995</v>
      </c>
      <c r="AB1465">
        <v>26</v>
      </c>
      <c r="AC1465">
        <v>20.532499999999999</v>
      </c>
      <c r="AD1465">
        <v>-1.1209140414959999</v>
      </c>
      <c r="AE1465">
        <v>-6.3266999999999598</v>
      </c>
      <c r="AF1465">
        <v>6.2585192066124904</v>
      </c>
      <c r="AG1465">
        <v>-1.1209140414959999</v>
      </c>
      <c r="AH1465">
        <v>20.4924120711805</v>
      </c>
      <c r="AI1465">
        <v>92.994620500630603</v>
      </c>
      <c r="AJ1465">
        <v>73.016979429641097</v>
      </c>
      <c r="AK1465">
        <v>21.456105505031001</v>
      </c>
      <c r="AL1465">
        <v>93.942477595053703</v>
      </c>
      <c r="AM1465">
        <v>90.492091476536999</v>
      </c>
      <c r="AN1465">
        <v>1.000000014799</v>
      </c>
    </row>
    <row r="1466" spans="1:40" x14ac:dyDescent="0.25">
      <c r="A1466" t="str">
        <f>"20190303153804359"</f>
        <v>20190303153804359</v>
      </c>
      <c r="B1466" t="str">
        <f>"1551598684350442"</f>
        <v>1551598684350442</v>
      </c>
      <c r="C1466" t="s">
        <v>40</v>
      </c>
      <c r="D1466">
        <v>4.4984460000000004</v>
      </c>
      <c r="E1466">
        <v>0.57242510000000002</v>
      </c>
      <c r="F1466" t="s">
        <v>45</v>
      </c>
      <c r="G1466">
        <v>-184.3082</v>
      </c>
      <c r="H1466" s="1">
        <v>-5.9159499999999997E-6</v>
      </c>
      <c r="I1466">
        <v>360.42090000000002</v>
      </c>
      <c r="J1466">
        <v>-221.79409999999999</v>
      </c>
      <c r="K1466">
        <v>1.1209119999999999</v>
      </c>
      <c r="L1466">
        <v>367.42140000000001</v>
      </c>
      <c r="M1466">
        <v>0.99990420000000002</v>
      </c>
      <c r="N1466">
        <v>-1.3593630000000001E-2</v>
      </c>
      <c r="O1466">
        <v>-2.6093129999999998E-3</v>
      </c>
      <c r="P1466">
        <v>0.99660090000000001</v>
      </c>
      <c r="Q1466">
        <v>-8.2164840000000003E-2</v>
      </c>
      <c r="R1466">
        <v>5.9745609999999998E-3</v>
      </c>
      <c r="S1466">
        <v>3.0062869999999999</v>
      </c>
      <c r="T1466">
        <v>-8.9522599999999994E-2</v>
      </c>
      <c r="U1466">
        <v>-0.5591431</v>
      </c>
      <c r="V1466">
        <v>-8.6015729999999995E-3</v>
      </c>
      <c r="W1466">
        <v>-6.8606829999999994E-2</v>
      </c>
      <c r="X1466">
        <v>0.99760669999999996</v>
      </c>
      <c r="Y1466">
        <v>0.18017610000000001</v>
      </c>
      <c r="Z1466">
        <v>-3.8529290000000002E-3</v>
      </c>
      <c r="AA1466">
        <v>0.98362680000000002</v>
      </c>
      <c r="AB1466">
        <v>26</v>
      </c>
      <c r="AC1466">
        <v>37.485900000000001</v>
      </c>
      <c r="AD1466">
        <v>-1.12091791595</v>
      </c>
      <c r="AE1466">
        <v>-7.0004999999999802</v>
      </c>
      <c r="AF1466">
        <v>6.89669579958501</v>
      </c>
      <c r="AG1466">
        <v>-1.12091791595</v>
      </c>
      <c r="AH1466">
        <v>37.471664297461999</v>
      </c>
      <c r="AI1466">
        <v>91.685133242076802</v>
      </c>
      <c r="AJ1466">
        <v>79.571367303174299</v>
      </c>
      <c r="AK1466">
        <v>38.117535271158303</v>
      </c>
      <c r="AL1466">
        <v>93.933972040352202</v>
      </c>
      <c r="AM1466">
        <v>90.494003917364097</v>
      </c>
      <c r="AN1466">
        <v>1.0000000060328</v>
      </c>
    </row>
    <row r="1467" spans="1:40" x14ac:dyDescent="0.25">
      <c r="A1467" t="str">
        <f>"20190303153804372"</f>
        <v>20190303153804372</v>
      </c>
      <c r="B1467" t="str">
        <f>"1551598684360201"</f>
        <v>1551598684360201</v>
      </c>
      <c r="C1467" t="s">
        <v>40</v>
      </c>
      <c r="D1467">
        <v>4.3875310000000001</v>
      </c>
      <c r="E1467">
        <v>0.52377209999999996</v>
      </c>
      <c r="F1467" t="s">
        <v>45</v>
      </c>
      <c r="G1467">
        <v>-184.2252</v>
      </c>
      <c r="H1467" s="1">
        <v>-5.92278199999999E-6</v>
      </c>
      <c r="I1467">
        <v>360.42649999999998</v>
      </c>
      <c r="J1467">
        <v>-221.64080000000001</v>
      </c>
      <c r="K1467">
        <v>1.1209089999999999</v>
      </c>
      <c r="L1467">
        <v>367.42090000000002</v>
      </c>
      <c r="M1467">
        <v>0.9999036</v>
      </c>
      <c r="N1467">
        <v>-1.3621110000000001E-2</v>
      </c>
      <c r="O1467">
        <v>-2.726797E-3</v>
      </c>
      <c r="P1467">
        <v>0.99660919999999997</v>
      </c>
      <c r="Q1467">
        <v>-8.2078020000000002E-2</v>
      </c>
      <c r="R1467">
        <v>5.8226229999999999E-3</v>
      </c>
      <c r="S1467">
        <v>3.0061800000000001</v>
      </c>
      <c r="T1467">
        <v>-8.9693190000000006E-2</v>
      </c>
      <c r="U1467">
        <v>-0.55972290000000002</v>
      </c>
      <c r="V1467">
        <v>-8.5669149999999996E-3</v>
      </c>
      <c r="W1467">
        <v>-6.8492490000000003E-2</v>
      </c>
      <c r="X1467">
        <v>0.99761489999999997</v>
      </c>
      <c r="Y1467">
        <v>0.18024970000000001</v>
      </c>
      <c r="Z1467">
        <v>-3.8601909999999998E-3</v>
      </c>
      <c r="AA1467">
        <v>0.98361330000000002</v>
      </c>
      <c r="AB1467">
        <v>26</v>
      </c>
      <c r="AC1467">
        <v>37.415599999999998</v>
      </c>
      <c r="AD1467">
        <v>-1.1209149227819999</v>
      </c>
      <c r="AE1467">
        <v>-6.9944000000000397</v>
      </c>
      <c r="AF1467">
        <v>6.8863678901884899</v>
      </c>
      <c r="AG1467">
        <v>-1.1209149227819999</v>
      </c>
      <c r="AH1467">
        <v>37.402099626901297</v>
      </c>
      <c r="AI1467">
        <v>91.688241242567301</v>
      </c>
      <c r="AJ1467">
        <v>79.567699359346094</v>
      </c>
      <c r="AK1467">
        <v>38.047280710765499</v>
      </c>
      <c r="AL1467">
        <v>93.927405217546493</v>
      </c>
      <c r="AM1467">
        <v>90.492009499739694</v>
      </c>
      <c r="AN1467">
        <v>1.00000005096051</v>
      </c>
    </row>
    <row r="1468" spans="1:40" x14ac:dyDescent="0.25">
      <c r="A1468" t="str">
        <f>"20190303153804383"</f>
        <v>20190303153804383</v>
      </c>
      <c r="B1468" t="str">
        <f>"1551598684380629"</f>
        <v>1551598684380629</v>
      </c>
      <c r="C1468" t="s">
        <v>40</v>
      </c>
      <c r="D1468">
        <v>4.4147429999999996</v>
      </c>
      <c r="E1468">
        <v>0.5238585</v>
      </c>
      <c r="F1468" t="s">
        <v>45</v>
      </c>
      <c r="G1468">
        <v>-179.5643</v>
      </c>
      <c r="H1468">
        <v>7.9987899999999904E-2</v>
      </c>
      <c r="I1468">
        <v>365.00889999999998</v>
      </c>
      <c r="J1468">
        <v>-221.50190000000001</v>
      </c>
      <c r="K1468">
        <v>1.1209070000000001</v>
      </c>
      <c r="L1468">
        <v>367.42039999999997</v>
      </c>
      <c r="M1468">
        <v>0.99990310000000004</v>
      </c>
      <c r="N1468">
        <v>-1.364338E-2</v>
      </c>
      <c r="O1468">
        <v>-2.8329240000000001E-3</v>
      </c>
      <c r="P1468">
        <v>0.99665369999999998</v>
      </c>
      <c r="Q1468">
        <v>-8.154401E-2</v>
      </c>
      <c r="R1468">
        <v>5.6967440000000001E-3</v>
      </c>
      <c r="S1468">
        <v>3.005112</v>
      </c>
      <c r="T1468">
        <v>-7.4342850000000002E-2</v>
      </c>
      <c r="U1468">
        <v>-0.1722717</v>
      </c>
      <c r="V1468">
        <v>-8.5463099999999997E-3</v>
      </c>
      <c r="W1468">
        <v>-6.7935720000000005E-2</v>
      </c>
      <c r="X1468">
        <v>0.99765309999999996</v>
      </c>
      <c r="Y1468">
        <v>5.4377920000000003E-2</v>
      </c>
      <c r="Z1468">
        <v>-1.0119319999999999E-3</v>
      </c>
      <c r="AA1468">
        <v>0.99851990000000002</v>
      </c>
      <c r="AB1468">
        <v>26</v>
      </c>
      <c r="AC1468">
        <v>41.937600000000003</v>
      </c>
      <c r="AD1468">
        <v>-1.0409191</v>
      </c>
      <c r="AE1468">
        <v>-2.4114999999999802</v>
      </c>
      <c r="AF1468">
        <v>2.2912663334776102</v>
      </c>
      <c r="AG1468">
        <v>-1.0409191</v>
      </c>
      <c r="AH1468">
        <v>41.918524470273603</v>
      </c>
      <c r="AI1468">
        <v>91.420354788780799</v>
      </c>
      <c r="AJ1468">
        <v>86.871326367563398</v>
      </c>
      <c r="AK1468">
        <v>41.994000854272102</v>
      </c>
      <c r="AL1468">
        <v>93.895430348753095</v>
      </c>
      <c r="AM1468">
        <v>90.490807391974698</v>
      </c>
      <c r="AN1468">
        <v>1.0000000047030699</v>
      </c>
    </row>
    <row r="1469" spans="1:40" x14ac:dyDescent="0.25">
      <c r="A1469" t="str">
        <f>"20190303153804395"</f>
        <v>20190303153804395</v>
      </c>
      <c r="B1469" t="str">
        <f>"1551598684390389"</f>
        <v>1551598684390389</v>
      </c>
      <c r="C1469" t="s">
        <v>40</v>
      </c>
      <c r="D1469">
        <v>4.367515</v>
      </c>
      <c r="E1469">
        <v>0.52398359999999899</v>
      </c>
      <c r="F1469" t="s">
        <v>43</v>
      </c>
      <c r="G1469">
        <v>-165.13839999999999</v>
      </c>
      <c r="H1469">
        <v>-0.05</v>
      </c>
      <c r="I1469">
        <v>364.17419999999998</v>
      </c>
      <c r="J1469">
        <v>-221.37739999999999</v>
      </c>
      <c r="K1469">
        <v>1.12090499999999</v>
      </c>
      <c r="L1469">
        <v>367.42</v>
      </c>
      <c r="M1469">
        <v>0.99990259999999997</v>
      </c>
      <c r="N1469">
        <v>-1.3661990000000001E-2</v>
      </c>
      <c r="O1469">
        <v>-2.9284150000000002E-3</v>
      </c>
      <c r="P1469">
        <v>0.99666739999999998</v>
      </c>
      <c r="Q1469">
        <v>-8.1382179999999998E-2</v>
      </c>
      <c r="R1469">
        <v>5.6087649999999999E-3</v>
      </c>
      <c r="S1469">
        <v>3.005951</v>
      </c>
      <c r="T1469">
        <v>-6.244624E-2</v>
      </c>
      <c r="U1469">
        <v>-0.17312620000000001</v>
      </c>
      <c r="V1469">
        <v>-8.5535509999999995E-3</v>
      </c>
      <c r="W1469">
        <v>-6.775515E-2</v>
      </c>
      <c r="X1469">
        <v>0.99766529999999998</v>
      </c>
      <c r="Y1469">
        <v>5.4555720000000002E-2</v>
      </c>
      <c r="Z1469">
        <v>-9.1840699999999999E-4</v>
      </c>
      <c r="AA1469">
        <v>0.99851029999999996</v>
      </c>
      <c r="AB1469">
        <v>26</v>
      </c>
      <c r="AC1469">
        <v>56.238999999999997</v>
      </c>
      <c r="AD1469">
        <v>-1.1709050000000001</v>
      </c>
      <c r="AE1469">
        <v>-3.2458000000000302</v>
      </c>
      <c r="AF1469">
        <v>3.0797490380202701</v>
      </c>
      <c r="AG1469">
        <v>-1.1709050000000001</v>
      </c>
      <c r="AH1469">
        <v>56.223973742933502</v>
      </c>
      <c r="AI1469">
        <v>91.191268350682293</v>
      </c>
      <c r="AJ1469">
        <v>86.864674558394896</v>
      </c>
      <c r="AK1469">
        <v>56.320432314589802</v>
      </c>
      <c r="AL1469">
        <v>93.8850606243453</v>
      </c>
      <c r="AM1469">
        <v>90.491217209489804</v>
      </c>
      <c r="AN1469">
        <v>0.99999998720516003</v>
      </c>
    </row>
    <row r="1470" spans="1:40" x14ac:dyDescent="0.25">
      <c r="A1470" t="str">
        <f>"20190303153804406"</f>
        <v>20190303153804406</v>
      </c>
      <c r="B1470" t="str">
        <f>"1551598684400148"</f>
        <v>1551598684400148</v>
      </c>
      <c r="C1470" t="s">
        <v>40</v>
      </c>
      <c r="D1470">
        <v>4.344379</v>
      </c>
      <c r="E1470">
        <v>0.52380519999999997</v>
      </c>
      <c r="F1470" t="s">
        <v>43</v>
      </c>
      <c r="G1470">
        <v>-168.22110000000001</v>
      </c>
      <c r="H1470">
        <v>-0.05</v>
      </c>
      <c r="I1470">
        <v>364.33600000000001</v>
      </c>
      <c r="J1470">
        <v>-221.24870000000001</v>
      </c>
      <c r="K1470">
        <v>1.1209070000000001</v>
      </c>
      <c r="L1470">
        <v>367.41950000000003</v>
      </c>
      <c r="M1470">
        <v>0.99990199999999996</v>
      </c>
      <c r="N1470">
        <v>-1.3679999999999999E-2</v>
      </c>
      <c r="O1470">
        <v>-3.027236E-3</v>
      </c>
      <c r="P1470">
        <v>0.99663349999999995</v>
      </c>
      <c r="Q1470">
        <v>-8.1819509999999998E-2</v>
      </c>
      <c r="R1470">
        <v>5.2580309999999998E-3</v>
      </c>
      <c r="S1470">
        <v>3.0056150000000001</v>
      </c>
      <c r="T1470">
        <v>-6.6206459999999995E-2</v>
      </c>
      <c r="U1470">
        <v>-0.17437739999999999</v>
      </c>
      <c r="V1470">
        <v>-8.3011790000000005E-3</v>
      </c>
      <c r="W1470">
        <v>-6.8175040000000006E-2</v>
      </c>
      <c r="X1470">
        <v>0.99763880000000005</v>
      </c>
      <c r="Y1470">
        <v>5.4875699999999902E-2</v>
      </c>
      <c r="Z1470">
        <v>-9.5432700000000004E-4</v>
      </c>
      <c r="AA1470">
        <v>0.99849270000000001</v>
      </c>
      <c r="AB1470">
        <v>26</v>
      </c>
      <c r="AC1470">
        <v>53.0276</v>
      </c>
      <c r="AD1470">
        <v>-1.1709069999999999</v>
      </c>
      <c r="AE1470">
        <v>-3.0835000000000101</v>
      </c>
      <c r="AF1470">
        <v>2.9215241513628998</v>
      </c>
      <c r="AG1470">
        <v>-1.1709069999999999</v>
      </c>
      <c r="AH1470">
        <v>53.010932661223002</v>
      </c>
      <c r="AI1470">
        <v>91.263428437855694</v>
      </c>
      <c r="AJ1470">
        <v>86.845521649625198</v>
      </c>
      <c r="AK1470">
        <v>53.104287097958199</v>
      </c>
      <c r="AL1470">
        <v>93.909174412494494</v>
      </c>
      <c r="AM1470">
        <v>90.476737217299004</v>
      </c>
      <c r="AN1470">
        <v>0.99999996045861494</v>
      </c>
    </row>
    <row r="1471" spans="1:40" x14ac:dyDescent="0.25">
      <c r="A1471" t="str">
        <f>"20190303153804415"</f>
        <v>20190303153804415</v>
      </c>
      <c r="B1471" t="str">
        <f>"1551598684409908"</f>
        <v>1551598684409908</v>
      </c>
      <c r="C1471" t="s">
        <v>40</v>
      </c>
      <c r="D1471">
        <v>4.476445</v>
      </c>
      <c r="E1471">
        <v>0.52292680000000002</v>
      </c>
      <c r="F1471" t="s">
        <v>43</v>
      </c>
      <c r="G1471">
        <v>-166.51499999999999</v>
      </c>
      <c r="H1471">
        <v>-0.05</v>
      </c>
      <c r="I1471">
        <v>364.25299999999999</v>
      </c>
      <c r="J1471">
        <v>-221.13910000000001</v>
      </c>
      <c r="K1471">
        <v>1.12090499999999</v>
      </c>
      <c r="L1471">
        <v>367.41910000000001</v>
      </c>
      <c r="M1471">
        <v>0.9999015</v>
      </c>
      <c r="N1471">
        <v>-1.3694080000000001E-2</v>
      </c>
      <c r="O1471">
        <v>-3.11137E-3</v>
      </c>
      <c r="P1471">
        <v>0.99661920000000004</v>
      </c>
      <c r="Q1471">
        <v>-8.1999870000000002E-2</v>
      </c>
      <c r="R1471">
        <v>5.1262419999999996E-3</v>
      </c>
      <c r="S1471">
        <v>3.0057680000000002</v>
      </c>
      <c r="T1471">
        <v>-6.4301730000000001E-2</v>
      </c>
      <c r="U1471">
        <v>-0.17388919999999999</v>
      </c>
      <c r="V1471">
        <v>-8.2530390000000002E-3</v>
      </c>
      <c r="W1471">
        <v>-6.8341579999999999E-2</v>
      </c>
      <c r="X1471">
        <v>0.99762790000000001</v>
      </c>
      <c r="Y1471">
        <v>5.4628160000000002E-2</v>
      </c>
      <c r="Z1471">
        <v>-9.342873E-4</v>
      </c>
      <c r="AA1471">
        <v>0.99850629999999996</v>
      </c>
      <c r="AB1471">
        <v>26</v>
      </c>
      <c r="AC1471">
        <v>54.624099999999999</v>
      </c>
      <c r="AD1471">
        <v>-1.1709050000000001</v>
      </c>
      <c r="AE1471">
        <v>-3.1660999999999699</v>
      </c>
      <c r="AF1471">
        <v>2.99474152460754</v>
      </c>
      <c r="AG1471">
        <v>-1.1709050000000001</v>
      </c>
      <c r="AH1471">
        <v>54.608679334034797</v>
      </c>
      <c r="AI1471">
        <v>91.226490537431502</v>
      </c>
      <c r="AJ1471">
        <v>86.8610420364259</v>
      </c>
      <c r="AK1471">
        <v>54.703266391740001</v>
      </c>
      <c r="AL1471">
        <v>93.918738385947805</v>
      </c>
      <c r="AM1471">
        <v>90.473977839002004</v>
      </c>
      <c r="AN1471">
        <v>1.0000000555340101</v>
      </c>
    </row>
    <row r="1472" spans="1:40" x14ac:dyDescent="0.25">
      <c r="A1472" t="str">
        <f>"20190303153804427"</f>
        <v>20190303153804427</v>
      </c>
      <c r="B1472" t="str">
        <f>"1551598684420644"</f>
        <v>1551598684420644</v>
      </c>
      <c r="C1472" t="s">
        <v>40</v>
      </c>
      <c r="D1472">
        <v>4.3394360000000001</v>
      </c>
      <c r="E1472">
        <v>0.52368840000000005</v>
      </c>
      <c r="F1472" t="s">
        <v>45</v>
      </c>
      <c r="G1472">
        <v>-175.71889999999999</v>
      </c>
      <c r="H1472">
        <v>7.998806E-2</v>
      </c>
      <c r="I1472">
        <v>364.89120000000003</v>
      </c>
      <c r="J1472">
        <v>-221.00049999999999</v>
      </c>
      <c r="K1472">
        <v>1.12090499999999</v>
      </c>
      <c r="L1472">
        <v>367.41849999999999</v>
      </c>
      <c r="M1472">
        <v>0.99990089999999998</v>
      </c>
      <c r="N1472">
        <v>-1.3711070000000001E-2</v>
      </c>
      <c r="O1472">
        <v>-3.217817E-3</v>
      </c>
      <c r="P1472">
        <v>0.9966062</v>
      </c>
      <c r="Q1472">
        <v>-8.2191699999999895E-2</v>
      </c>
      <c r="R1472">
        <v>4.5641689999999999E-3</v>
      </c>
      <c r="S1472">
        <v>3.0053709999999998</v>
      </c>
      <c r="T1472">
        <v>-6.8875549999999994E-2</v>
      </c>
      <c r="U1472">
        <v>-0.16726679999999999</v>
      </c>
      <c r="V1472">
        <v>-7.79721699999999E-3</v>
      </c>
      <c r="W1472">
        <v>-6.8516779999999999E-2</v>
      </c>
      <c r="X1472">
        <v>0.99761949999999999</v>
      </c>
      <c r="Y1472">
        <v>5.2334760000000001E-2</v>
      </c>
      <c r="Z1472">
        <v>-9.2871130000000003E-4</v>
      </c>
      <c r="AA1472">
        <v>0.99862919999999999</v>
      </c>
      <c r="AB1472">
        <v>26</v>
      </c>
      <c r="AC1472">
        <v>45.281599999999997</v>
      </c>
      <c r="AD1472">
        <v>-1.04091693999999</v>
      </c>
      <c r="AE1472">
        <v>-2.5272999999999599</v>
      </c>
      <c r="AF1472">
        <v>2.3803113992351399</v>
      </c>
      <c r="AG1472">
        <v>-1.04091693999999</v>
      </c>
      <c r="AH1472">
        <v>45.265653165327997</v>
      </c>
      <c r="AI1472">
        <v>91.315509419270001</v>
      </c>
      <c r="AJ1472">
        <v>86.989852413643703</v>
      </c>
      <c r="AK1472">
        <v>45.340144981209299</v>
      </c>
      <c r="AL1472">
        <v>93.928800384981798</v>
      </c>
      <c r="AM1472">
        <v>90.447804528224097</v>
      </c>
      <c r="AN1472">
        <v>1.0000000062573799</v>
      </c>
    </row>
    <row r="1473" spans="1:40" x14ac:dyDescent="0.25">
      <c r="A1473" t="str">
        <f>"20190303153804439"</f>
        <v>20190303153804439</v>
      </c>
      <c r="B1473" t="str">
        <f>"1551598684430405"</f>
        <v>1551598684430405</v>
      </c>
      <c r="C1473" t="s">
        <v>40</v>
      </c>
      <c r="D1473">
        <v>4.4489199999999904</v>
      </c>
      <c r="E1473">
        <v>0.52344990000000002</v>
      </c>
      <c r="F1473" t="s">
        <v>43</v>
      </c>
      <c r="G1473">
        <v>-163.54429999999999</v>
      </c>
      <c r="H1473">
        <v>-0.05</v>
      </c>
      <c r="I1473">
        <v>364.06729999999999</v>
      </c>
      <c r="J1473">
        <v>-220.8766</v>
      </c>
      <c r="K1473">
        <v>1.1208990000000001</v>
      </c>
      <c r="L1473">
        <v>367.41800000000001</v>
      </c>
      <c r="M1473">
        <v>0.99990029999999996</v>
      </c>
      <c r="N1473">
        <v>-1.3724409999999999E-2</v>
      </c>
      <c r="O1473">
        <v>-3.313033E-3</v>
      </c>
      <c r="P1473">
        <v>0.99659279999999995</v>
      </c>
      <c r="Q1473">
        <v>-8.238885E-2</v>
      </c>
      <c r="R1473">
        <v>3.8992559999999998E-3</v>
      </c>
      <c r="S1473">
        <v>3.0059659999999999</v>
      </c>
      <c r="T1473">
        <v>-6.125891E-2</v>
      </c>
      <c r="U1473">
        <v>-0.17532349999999999</v>
      </c>
      <c r="V1473">
        <v>-7.2272339999999999E-3</v>
      </c>
      <c r="W1473">
        <v>-6.8700999999999998E-2</v>
      </c>
      <c r="X1473">
        <v>0.99761109999999997</v>
      </c>
      <c r="Y1473">
        <v>5.4899219999999999E-2</v>
      </c>
      <c r="Z1473">
        <v>-9.1398019999999996E-4</v>
      </c>
      <c r="AA1473">
        <v>0.99849149999999998</v>
      </c>
      <c r="AB1473">
        <v>26</v>
      </c>
      <c r="AC1473">
        <v>57.332299999999996</v>
      </c>
      <c r="AD1473">
        <v>-1.1708989999999999</v>
      </c>
      <c r="AE1473">
        <v>-3.35070000000001</v>
      </c>
      <c r="AF1473">
        <v>3.1594066065346098</v>
      </c>
      <c r="AG1473">
        <v>-1.1708989999999999</v>
      </c>
      <c r="AH1473">
        <v>57.3192608421381</v>
      </c>
      <c r="AI1473">
        <v>91.168483392934803</v>
      </c>
      <c r="AJ1473">
        <v>86.845080132024705</v>
      </c>
      <c r="AK1473">
        <v>57.418207200004801</v>
      </c>
      <c r="AL1473">
        <v>93.939380433173596</v>
      </c>
      <c r="AM1473">
        <v>90.415074332775902</v>
      </c>
      <c r="AN1473">
        <v>0.99999998357775</v>
      </c>
    </row>
    <row r="1474" spans="1:40" x14ac:dyDescent="0.25">
      <c r="A1474" t="str">
        <f>"20190303153804451"</f>
        <v>20190303153804451</v>
      </c>
      <c r="B1474" t="str">
        <f>"1551598684440164"</f>
        <v>1551598684440164</v>
      </c>
      <c r="C1474" t="s">
        <v>40</v>
      </c>
      <c r="D1474">
        <v>4.4514740000000002</v>
      </c>
      <c r="E1474">
        <v>0.52328339999999995</v>
      </c>
      <c r="F1474" t="s">
        <v>43</v>
      </c>
      <c r="G1474">
        <v>-163.66640000000001</v>
      </c>
      <c r="H1474">
        <v>-0.05</v>
      </c>
      <c r="I1474">
        <v>364.07580000000002</v>
      </c>
      <c r="J1474">
        <v>-220.72389999999999</v>
      </c>
      <c r="K1474">
        <v>1.1209</v>
      </c>
      <c r="L1474">
        <v>367.41739999999999</v>
      </c>
      <c r="M1474">
        <v>0.99989980000000001</v>
      </c>
      <c r="N1474">
        <v>-1.374006E-2</v>
      </c>
      <c r="O1474">
        <v>-3.4304370000000002E-3</v>
      </c>
      <c r="P1474">
        <v>0.99656460000000002</v>
      </c>
      <c r="Q1474">
        <v>-8.274716E-2</v>
      </c>
      <c r="R1474">
        <v>3.4828670000000002E-3</v>
      </c>
      <c r="S1474">
        <v>3.0058440000000002</v>
      </c>
      <c r="T1474">
        <v>-6.1519379999999999E-2</v>
      </c>
      <c r="U1474">
        <v>-0.17559810000000001</v>
      </c>
      <c r="V1474">
        <v>-6.9278539999999998E-3</v>
      </c>
      <c r="W1474">
        <v>-6.9044149999999999E-2</v>
      </c>
      <c r="X1474">
        <v>0.99758950000000002</v>
      </c>
      <c r="Y1474">
        <v>5.4875130000000001E-2</v>
      </c>
      <c r="Z1474">
        <v>-9.1537059999999997E-4</v>
      </c>
      <c r="AA1474">
        <v>0.99849279999999996</v>
      </c>
      <c r="AB1474">
        <v>26</v>
      </c>
      <c r="AC1474">
        <v>57.057499999999898</v>
      </c>
      <c r="AD1474">
        <v>-1.1709000000000001</v>
      </c>
      <c r="AE1474">
        <v>-3.3415999999999699</v>
      </c>
      <c r="AF1474">
        <v>3.1445099982416398</v>
      </c>
      <c r="AG1474">
        <v>-1.1709000000000001</v>
      </c>
      <c r="AH1474">
        <v>57.044687441364403</v>
      </c>
      <c r="AI1474">
        <v>91.174106821322297</v>
      </c>
      <c r="AJ1474">
        <v>86.844842080098104</v>
      </c>
      <c r="AK1474">
        <v>57.143287577999999</v>
      </c>
      <c r="AL1474">
        <v>93.959088409815706</v>
      </c>
      <c r="AM1474">
        <v>90.397889527097902</v>
      </c>
      <c r="AN1474">
        <v>0.999999950160257</v>
      </c>
    </row>
    <row r="1475" spans="1:40" x14ac:dyDescent="0.25">
      <c r="A1475" t="str">
        <f>"20190303153804463"</f>
        <v>20190303153804463</v>
      </c>
      <c r="B1475" t="str">
        <f>"1551598684460661"</f>
        <v>1551598684460661</v>
      </c>
      <c r="C1475" t="s">
        <v>40</v>
      </c>
      <c r="D1475">
        <v>4.4460790000000001</v>
      </c>
      <c r="E1475">
        <v>0.52282910000000005</v>
      </c>
      <c r="F1475" t="s">
        <v>43</v>
      </c>
      <c r="G1475">
        <v>-164.5943</v>
      </c>
      <c r="H1475">
        <v>-0.05</v>
      </c>
      <c r="I1475">
        <v>364.14049999999997</v>
      </c>
      <c r="J1475">
        <v>-220.58439999999999</v>
      </c>
      <c r="K1475">
        <v>1.1209009999999999</v>
      </c>
      <c r="L1475">
        <v>367.41669999999999</v>
      </c>
      <c r="M1475">
        <v>0.99989930000000005</v>
      </c>
      <c r="N1475">
        <v>-1.375272E-2</v>
      </c>
      <c r="O1475">
        <v>-3.5378079999999999E-3</v>
      </c>
      <c r="P1475">
        <v>0.99655800000000005</v>
      </c>
      <c r="Q1475">
        <v>-8.2843749999999994E-2</v>
      </c>
      <c r="R1475">
        <v>3.0169749999999999E-3</v>
      </c>
      <c r="S1475">
        <v>3.0057830000000001</v>
      </c>
      <c r="T1475">
        <v>-6.2702540000000001E-2</v>
      </c>
      <c r="U1475">
        <v>-0.1754761</v>
      </c>
      <c r="V1475">
        <v>-6.5691469999999896E-3</v>
      </c>
      <c r="W1475">
        <v>-6.9128300000000004E-2</v>
      </c>
      <c r="X1475">
        <v>0.99758610000000003</v>
      </c>
      <c r="Y1475">
        <v>5.4728150000000003E-2</v>
      </c>
      <c r="Z1475">
        <v>-9.2190749999999998E-4</v>
      </c>
      <c r="AA1475">
        <v>0.99850090000000002</v>
      </c>
      <c r="AB1475">
        <v>26</v>
      </c>
      <c r="AC1475">
        <v>55.990099999999899</v>
      </c>
      <c r="AD1475">
        <v>-1.170901</v>
      </c>
      <c r="AE1475">
        <v>-3.27620000000001</v>
      </c>
      <c r="AF1475">
        <v>3.0767375759316402</v>
      </c>
      <c r="AG1475">
        <v>-1.170901</v>
      </c>
      <c r="AH1475">
        <v>55.976943857646802</v>
      </c>
      <c r="AI1475">
        <v>91.196507586064499</v>
      </c>
      <c r="AJ1475">
        <v>86.853939071504399</v>
      </c>
      <c r="AK1475">
        <v>56.073661971598597</v>
      </c>
      <c r="AL1475">
        <v>93.963921393138904</v>
      </c>
      <c r="AM1475">
        <v>90.3772896974845</v>
      </c>
      <c r="AN1475">
        <v>0.99999995123320196</v>
      </c>
    </row>
    <row r="1476" spans="1:40" x14ac:dyDescent="0.25">
      <c r="A1476" t="str">
        <f>"20190303153804475"</f>
        <v>20190303153804475</v>
      </c>
      <c r="B1476" t="str">
        <f>"1551598684470420"</f>
        <v>1551598684470420</v>
      </c>
      <c r="C1476" t="s">
        <v>40</v>
      </c>
      <c r="D1476">
        <v>4.4324909999999997</v>
      </c>
      <c r="E1476">
        <v>0.52263800000000005</v>
      </c>
      <c r="F1476" t="s">
        <v>43</v>
      </c>
      <c r="G1476">
        <v>-166.96109999999999</v>
      </c>
      <c r="H1476">
        <v>-0.05</v>
      </c>
      <c r="I1476">
        <v>364.32510000000002</v>
      </c>
      <c r="J1476">
        <v>-220.4599</v>
      </c>
      <c r="K1476">
        <v>1.1209070000000001</v>
      </c>
      <c r="L1476">
        <v>367.4162</v>
      </c>
      <c r="M1476">
        <v>0.99989879999999998</v>
      </c>
      <c r="N1476">
        <v>-1.376319E-2</v>
      </c>
      <c r="O1476">
        <v>-3.6336010000000002E-3</v>
      </c>
      <c r="P1476">
        <v>0.99655970000000005</v>
      </c>
      <c r="Q1476">
        <v>-8.2840339999999998E-2</v>
      </c>
      <c r="R1476">
        <v>2.5701080000000002E-3</v>
      </c>
      <c r="S1476">
        <v>3.0054470000000002</v>
      </c>
      <c r="T1476">
        <v>-6.5626030000000002E-2</v>
      </c>
      <c r="U1476">
        <v>-0.17327879999999901</v>
      </c>
      <c r="V1476">
        <v>-6.2180949999999999E-3</v>
      </c>
      <c r="W1476">
        <v>-6.9114540000000002E-2</v>
      </c>
      <c r="X1476">
        <v>0.99758930000000001</v>
      </c>
      <c r="Y1476">
        <v>5.3910239999999998E-2</v>
      </c>
      <c r="Z1476">
        <v>-9.3011669999999995E-4</v>
      </c>
      <c r="AA1476">
        <v>0.99854529999999997</v>
      </c>
      <c r="AB1476">
        <v>26</v>
      </c>
      <c r="AC1476">
        <v>53.498800000000003</v>
      </c>
      <c r="AD1476">
        <v>-1.1709069999999999</v>
      </c>
      <c r="AE1476">
        <v>-3.09109999999998</v>
      </c>
      <c r="AF1476">
        <v>2.8952856110969099</v>
      </c>
      <c r="AG1476">
        <v>-1.1709069999999999</v>
      </c>
      <c r="AH1476">
        <v>53.4841447339913</v>
      </c>
      <c r="AI1476">
        <v>91.252320259421694</v>
      </c>
      <c r="AJ1476">
        <v>86.901401528962893</v>
      </c>
      <c r="AK1476">
        <v>53.575250255122498</v>
      </c>
      <c r="AL1476">
        <v>93.963131126217903</v>
      </c>
      <c r="AM1476">
        <v>90.357126912148004</v>
      </c>
      <c r="AN1476">
        <v>0.99999994790966396</v>
      </c>
    </row>
    <row r="1477" spans="1:40" x14ac:dyDescent="0.25">
      <c r="A1477" t="str">
        <f>"20190303153804486"</f>
        <v>20190303153804486</v>
      </c>
      <c r="B1477" t="str">
        <f>"1551598684480159"</f>
        <v>1551598684480159</v>
      </c>
      <c r="C1477" t="s">
        <v>40</v>
      </c>
      <c r="D1477">
        <v>4.3120279999999998</v>
      </c>
      <c r="E1477">
        <v>0.52306549999999996</v>
      </c>
      <c r="F1477" t="s">
        <v>43</v>
      </c>
      <c r="G1477">
        <v>-167.9924</v>
      </c>
      <c r="H1477">
        <v>-0.05</v>
      </c>
      <c r="I1477">
        <v>364.39580000000001</v>
      </c>
      <c r="J1477">
        <v>-220.32419999999999</v>
      </c>
      <c r="K1477">
        <v>1.1209070000000001</v>
      </c>
      <c r="L1477">
        <v>367.41559999999998</v>
      </c>
      <c r="M1477">
        <v>0.99989819999999996</v>
      </c>
      <c r="N1477">
        <v>-1.377375E-2</v>
      </c>
      <c r="O1477">
        <v>-3.7378580000000002E-3</v>
      </c>
      <c r="P1477">
        <v>0.99655629999999995</v>
      </c>
      <c r="Q1477">
        <v>-8.2888199999999995E-2</v>
      </c>
      <c r="R1477">
        <v>2.2723830000000002E-3</v>
      </c>
      <c r="S1477">
        <v>3.0052189999999999</v>
      </c>
      <c r="T1477">
        <v>-6.7066790000000001E-2</v>
      </c>
      <c r="U1477">
        <v>-0.1730042</v>
      </c>
      <c r="V1477">
        <v>-6.0239999999999998E-3</v>
      </c>
      <c r="W1477">
        <v>-6.9151989999999997E-2</v>
      </c>
      <c r="X1477">
        <v>0.99758789999999997</v>
      </c>
      <c r="Y1477">
        <v>5.3718879999999997E-2</v>
      </c>
      <c r="Z1477">
        <v>-9.3730699999999996E-4</v>
      </c>
      <c r="AA1477">
        <v>0.99855570000000005</v>
      </c>
      <c r="AB1477">
        <v>26</v>
      </c>
      <c r="AC1477">
        <v>52.331799999999902</v>
      </c>
      <c r="AD1477">
        <v>-1.1709069999999999</v>
      </c>
      <c r="AE1477">
        <v>-3.0197999999999698</v>
      </c>
      <c r="AF1477">
        <v>2.8227430659959598</v>
      </c>
      <c r="AG1477">
        <v>-1.1709069999999999</v>
      </c>
      <c r="AH1477">
        <v>52.316618864082301</v>
      </c>
      <c r="AI1477">
        <v>91.2802708261151</v>
      </c>
      <c r="AJ1477">
        <v>86.911600930730401</v>
      </c>
      <c r="AK1477">
        <v>52.405796539971803</v>
      </c>
      <c r="AL1477">
        <v>93.965281982095206</v>
      </c>
      <c r="AM1477">
        <v>90.345980119312202</v>
      </c>
      <c r="AN1477">
        <v>0.99999995226168303</v>
      </c>
    </row>
    <row r="1478" spans="1:40" x14ac:dyDescent="0.25">
      <c r="A1478" t="str">
        <f>"20190303153804499"</f>
        <v>20190303153804499</v>
      </c>
      <c r="B1478" t="str">
        <f>"1551598684489919"</f>
        <v>1551598684489919</v>
      </c>
      <c r="C1478" t="s">
        <v>40</v>
      </c>
      <c r="D1478">
        <v>4.3482750000000001</v>
      </c>
      <c r="E1478">
        <v>0.52350429999999903</v>
      </c>
      <c r="F1478" t="s">
        <v>43</v>
      </c>
      <c r="G1478">
        <v>-164.82220000000001</v>
      </c>
      <c r="H1478">
        <v>-0.05</v>
      </c>
      <c r="I1478">
        <v>364.1379</v>
      </c>
      <c r="J1478">
        <v>-220.1765</v>
      </c>
      <c r="K1478">
        <v>1.1209089999999999</v>
      </c>
      <c r="L1478">
        <v>367.41489999999999</v>
      </c>
      <c r="M1478">
        <v>0.99989760000000005</v>
      </c>
      <c r="N1478">
        <v>-1.378397E-2</v>
      </c>
      <c r="O1478">
        <v>-3.851649E-3</v>
      </c>
      <c r="P1478">
        <v>0.99653329999999996</v>
      </c>
      <c r="Q1478">
        <v>-8.3175970000000002E-2</v>
      </c>
      <c r="R1478">
        <v>1.826198E-3</v>
      </c>
      <c r="S1478">
        <v>3.0054780000000001</v>
      </c>
      <c r="T1478">
        <v>-6.3405509999999998E-2</v>
      </c>
      <c r="U1478">
        <v>-0.17749019999999999</v>
      </c>
      <c r="V1478">
        <v>-5.6909079999999997E-3</v>
      </c>
      <c r="W1478">
        <v>-6.9429959999999999E-2</v>
      </c>
      <c r="X1478">
        <v>0.99757059999999997</v>
      </c>
      <c r="Y1478">
        <v>5.5086999999999997E-2</v>
      </c>
      <c r="Z1478">
        <v>-9.3245440000000001E-4</v>
      </c>
      <c r="AA1478">
        <v>0.99848110000000001</v>
      </c>
      <c r="AB1478">
        <v>26</v>
      </c>
      <c r="AC1478">
        <v>55.354300000000002</v>
      </c>
      <c r="AD1478">
        <v>-1.170909</v>
      </c>
      <c r="AE1478">
        <v>-3.2769999999999802</v>
      </c>
      <c r="AF1478">
        <v>3.0623846256257998</v>
      </c>
      <c r="AG1478">
        <v>-1.170909</v>
      </c>
      <c r="AH1478">
        <v>55.341836209148397</v>
      </c>
      <c r="AI1478">
        <v>91.210218307088596</v>
      </c>
      <c r="AJ1478">
        <v>86.832722516271104</v>
      </c>
      <c r="AK1478">
        <v>55.438867795814197</v>
      </c>
      <c r="AL1478">
        <v>93.981246656616705</v>
      </c>
      <c r="AM1478">
        <v>90.326855535711402</v>
      </c>
      <c r="AN1478">
        <v>1.0000000038819099</v>
      </c>
    </row>
    <row r="1479" spans="1:40" x14ac:dyDescent="0.25">
      <c r="A1479" t="str">
        <f>"20190303153804513"</f>
        <v>20190303153804513</v>
      </c>
      <c r="B1479" t="str">
        <f>"1551598684500656"</f>
        <v>1551598684500656</v>
      </c>
      <c r="C1479" t="s">
        <v>40</v>
      </c>
      <c r="D1479">
        <v>4.4491079999999998</v>
      </c>
      <c r="E1479">
        <v>0.5232637</v>
      </c>
      <c r="F1479" t="s">
        <v>43</v>
      </c>
      <c r="G1479">
        <v>-162.2373</v>
      </c>
      <c r="H1479">
        <v>-0.05</v>
      </c>
      <c r="I1479">
        <v>363.90410000000003</v>
      </c>
      <c r="J1479">
        <v>-220.02379999999999</v>
      </c>
      <c r="K1479">
        <v>1.12090499999999</v>
      </c>
      <c r="L1479">
        <v>367.41419999999999</v>
      </c>
      <c r="M1479">
        <v>0.99989689999999998</v>
      </c>
      <c r="N1479">
        <v>-1.37937999999999E-2</v>
      </c>
      <c r="O1479">
        <v>-3.9688939999999997E-3</v>
      </c>
      <c r="P1479">
        <v>0.99653659999999999</v>
      </c>
      <c r="Q1479">
        <v>-8.3138820000000002E-2</v>
      </c>
      <c r="R1479">
        <v>1.8086039999999999E-3</v>
      </c>
      <c r="S1479">
        <v>3.0056919999999998</v>
      </c>
      <c r="T1479">
        <v>-6.0742740000000003E-2</v>
      </c>
      <c r="U1479">
        <v>-0.18212890000000001</v>
      </c>
      <c r="V1479">
        <v>-5.7908200000000003E-3</v>
      </c>
      <c r="W1479">
        <v>-6.9382910000000006E-2</v>
      </c>
      <c r="X1479">
        <v>0.9975733</v>
      </c>
      <c r="Y1479">
        <v>5.6501969999999999E-2</v>
      </c>
      <c r="Z1479">
        <v>-9.3505509999999999E-4</v>
      </c>
      <c r="AA1479">
        <v>0.99840209999999996</v>
      </c>
      <c r="AB1479">
        <v>26</v>
      </c>
      <c r="AC1479">
        <v>57.786499999999897</v>
      </c>
      <c r="AD1479">
        <v>-1.1709050000000001</v>
      </c>
      <c r="AE1479">
        <v>-3.51009999999996</v>
      </c>
      <c r="AF1479">
        <v>3.2793605465552198</v>
      </c>
      <c r="AG1479">
        <v>-1.1709050000000001</v>
      </c>
      <c r="AH1479">
        <v>57.776343110417898</v>
      </c>
      <c r="AI1479">
        <v>91.159141724554104</v>
      </c>
      <c r="AJ1479">
        <v>86.7514016604662</v>
      </c>
      <c r="AK1479">
        <v>57.881180424435598</v>
      </c>
      <c r="AL1479">
        <v>93.978544367763405</v>
      </c>
      <c r="AM1479">
        <v>90.332592922475797</v>
      </c>
      <c r="AN1479">
        <v>1.0000000053346101</v>
      </c>
    </row>
    <row r="1480" spans="1:40" x14ac:dyDescent="0.25">
      <c r="A1480" t="str">
        <f>"20190303153804527"</f>
        <v>20190303153804527</v>
      </c>
      <c r="B1480" t="str">
        <f>"1551598684520175"</f>
        <v>1551598684520175</v>
      </c>
      <c r="C1480" t="s">
        <v>40</v>
      </c>
      <c r="D1480">
        <v>4.4959040000000003</v>
      </c>
      <c r="E1480">
        <v>0.52287479999999997</v>
      </c>
      <c r="F1480" t="s">
        <v>43</v>
      </c>
      <c r="G1480">
        <v>-163.9804</v>
      </c>
      <c r="H1480">
        <v>-0.05</v>
      </c>
      <c r="I1480">
        <v>364.05340000000001</v>
      </c>
      <c r="J1480">
        <v>-219.8622</v>
      </c>
      <c r="K1480">
        <v>1.120903</v>
      </c>
      <c r="L1480">
        <v>367.41340000000002</v>
      </c>
      <c r="M1480">
        <v>0.99989640000000002</v>
      </c>
      <c r="N1480">
        <v>-1.3803080000000001E-2</v>
      </c>
      <c r="O1480">
        <v>-4.092933E-3</v>
      </c>
      <c r="P1480">
        <v>0.99650280000000002</v>
      </c>
      <c r="Q1480">
        <v>-8.3542779999999997E-2</v>
      </c>
      <c r="R1480">
        <v>1.6951360000000001E-3</v>
      </c>
      <c r="S1480">
        <v>3.0055239999999999</v>
      </c>
      <c r="T1480">
        <v>-6.2793849999999998E-2</v>
      </c>
      <c r="U1480">
        <v>-0.1802368</v>
      </c>
      <c r="V1480">
        <v>-5.8006480000000003E-3</v>
      </c>
      <c r="W1480">
        <v>-6.9778049999999994E-2</v>
      </c>
      <c r="X1480">
        <v>0.99754569999999998</v>
      </c>
      <c r="Y1480">
        <v>5.5754440000000002E-2</v>
      </c>
      <c r="Z1480">
        <v>-9.3809519999999997E-4</v>
      </c>
      <c r="AA1480">
        <v>0.99844409999999895</v>
      </c>
      <c r="AB1480">
        <v>26</v>
      </c>
      <c r="AC1480">
        <v>55.881799999999998</v>
      </c>
      <c r="AD1480">
        <v>-1.170903</v>
      </c>
      <c r="AE1480">
        <v>-3.3600000000000101</v>
      </c>
      <c r="AF1480">
        <v>3.1298604316744099</v>
      </c>
      <c r="AG1480">
        <v>-1.170903</v>
      </c>
      <c r="AH1480">
        <v>55.870644487699202</v>
      </c>
      <c r="AI1480">
        <v>91.198715472180297</v>
      </c>
      <c r="AJ1480">
        <v>86.793655101066804</v>
      </c>
      <c r="AK1480">
        <v>55.9704918294278</v>
      </c>
      <c r="AL1480">
        <v>94.001239153161507</v>
      </c>
      <c r="AM1480">
        <v>90.333166593709095</v>
      </c>
      <c r="AN1480">
        <v>1.0000000236837501</v>
      </c>
    </row>
    <row r="1481" spans="1:40" x14ac:dyDescent="0.25">
      <c r="A1481" t="str">
        <f>"20190303153804541"</f>
        <v>20190303153804541</v>
      </c>
      <c r="B1481" t="str">
        <f>"1551598684529935"</f>
        <v>1551598684529935</v>
      </c>
      <c r="C1481" t="s">
        <v>40</v>
      </c>
      <c r="D1481">
        <v>4.4689819999999996</v>
      </c>
      <c r="E1481">
        <v>0.52263539999999997</v>
      </c>
      <c r="F1481" t="s">
        <v>43</v>
      </c>
      <c r="G1481">
        <v>-167.78469999999999</v>
      </c>
      <c r="H1481">
        <v>-0.05</v>
      </c>
      <c r="I1481">
        <v>364.33440000000002</v>
      </c>
      <c r="J1481">
        <v>-219.69659999999999</v>
      </c>
      <c r="K1481">
        <v>1.1209089999999999</v>
      </c>
      <c r="L1481">
        <v>367.4126</v>
      </c>
      <c r="M1481">
        <v>0.9998958</v>
      </c>
      <c r="N1481">
        <v>-1.381141E-2</v>
      </c>
      <c r="O1481">
        <v>-4.2205360000000004E-3</v>
      </c>
      <c r="P1481">
        <v>0.99645720000000004</v>
      </c>
      <c r="Q1481">
        <v>-8.4082400000000002E-2</v>
      </c>
      <c r="R1481">
        <v>1.8465300000000001E-3</v>
      </c>
      <c r="S1481">
        <v>3.0051730000000001</v>
      </c>
      <c r="T1481">
        <v>-6.7567710000000003E-2</v>
      </c>
      <c r="U1481">
        <v>-0.17767330000000001</v>
      </c>
      <c r="V1481">
        <v>-6.0786850000000003E-3</v>
      </c>
      <c r="W1481">
        <v>-7.0309849999999993E-2</v>
      </c>
      <c r="X1481">
        <v>0.99750669999999997</v>
      </c>
      <c r="Y1481">
        <v>5.4783209999999999E-2</v>
      </c>
      <c r="Z1481">
        <v>-9.5744120000000002E-4</v>
      </c>
      <c r="AA1481">
        <v>0.99849779999999999</v>
      </c>
      <c r="AB1481">
        <v>26</v>
      </c>
      <c r="AC1481">
        <v>51.911900000000003</v>
      </c>
      <c r="AD1481">
        <v>-1.170909</v>
      </c>
      <c r="AE1481">
        <v>-3.0781999999999798</v>
      </c>
      <c r="AF1481">
        <v>2.85760691531457</v>
      </c>
      <c r="AG1481">
        <v>-1.170909</v>
      </c>
      <c r="AH1481">
        <v>51.898119307200098</v>
      </c>
      <c r="AI1481">
        <v>91.290515879897001</v>
      </c>
      <c r="AJ1481">
        <v>86.848370355439798</v>
      </c>
      <c r="AK1481">
        <v>51.989919530550402</v>
      </c>
      <c r="AL1481">
        <v>94.0317840804356</v>
      </c>
      <c r="AM1481">
        <v>90.3491492181263</v>
      </c>
      <c r="AN1481">
        <v>1.00000002098162</v>
      </c>
    </row>
    <row r="1482" spans="1:40" x14ac:dyDescent="0.25">
      <c r="A1482" t="str">
        <f>"20190303153804554"</f>
        <v>20190303153804554</v>
      </c>
      <c r="B1482" t="str">
        <f>"1551598684550432"</f>
        <v>1551598684550432</v>
      </c>
      <c r="C1482" t="s">
        <v>40</v>
      </c>
      <c r="D1482">
        <v>4.3341200000000004</v>
      </c>
      <c r="E1482">
        <v>0.52316600000000002</v>
      </c>
      <c r="F1482" t="s">
        <v>45</v>
      </c>
      <c r="G1482">
        <v>-175.19299999999899</v>
      </c>
      <c r="H1482">
        <v>7.9988089999999998E-2</v>
      </c>
      <c r="I1482">
        <v>364.81700000000001</v>
      </c>
      <c r="J1482">
        <v>-219.55549999999999</v>
      </c>
      <c r="K1482">
        <v>1.120908</v>
      </c>
      <c r="L1482">
        <v>367.4119</v>
      </c>
      <c r="M1482">
        <v>0.99989519999999998</v>
      </c>
      <c r="N1482">
        <v>-1.3817909999999999E-2</v>
      </c>
      <c r="O1482">
        <v>-4.3289349999999999E-3</v>
      </c>
      <c r="P1482">
        <v>0.99644580000000005</v>
      </c>
      <c r="Q1482">
        <v>-8.4209030000000004E-2</v>
      </c>
      <c r="R1482">
        <v>2.0932839999999999E-3</v>
      </c>
      <c r="S1482">
        <v>3.0050509999999999</v>
      </c>
      <c r="T1482">
        <v>-7.0286989999999994E-2</v>
      </c>
      <c r="U1482">
        <v>-0.17526249999999999</v>
      </c>
      <c r="V1482">
        <v>-6.4334650000000002E-3</v>
      </c>
      <c r="W1482">
        <v>-7.0430039999999999E-2</v>
      </c>
      <c r="X1482">
        <v>0.99749589999999999</v>
      </c>
      <c r="Y1482">
        <v>5.3877960000000003E-2</v>
      </c>
      <c r="Z1482">
        <v>-9.6074539999999996E-4</v>
      </c>
      <c r="AA1482">
        <v>0.99854710000000002</v>
      </c>
      <c r="AB1482">
        <v>26</v>
      </c>
      <c r="AC1482">
        <v>44.362499999999997</v>
      </c>
      <c r="AD1482">
        <v>-1.0409199099999999</v>
      </c>
      <c r="AE1482">
        <v>-2.5949000000000502</v>
      </c>
      <c r="AF1482">
        <v>2.4014973204577799</v>
      </c>
      <c r="AG1482">
        <v>-1.0409199099999999</v>
      </c>
      <c r="AH1482">
        <v>44.348985068049799</v>
      </c>
      <c r="AI1482">
        <v>91.342582470325894</v>
      </c>
      <c r="AJ1482">
        <v>86.900460971766293</v>
      </c>
      <c r="AK1482">
        <v>44.426154236050003</v>
      </c>
      <c r="AL1482">
        <v>94.0386879612781</v>
      </c>
      <c r="AM1482">
        <v>90.369530622810103</v>
      </c>
      <c r="AN1482">
        <v>0.99999992526155601</v>
      </c>
    </row>
    <row r="1483" spans="1:40" x14ac:dyDescent="0.25">
      <c r="A1483" t="str">
        <f>"20190303153804566"</f>
        <v>20190303153804566</v>
      </c>
      <c r="B1483" t="str">
        <f>"1551598684560191"</f>
        <v>1551598684560191</v>
      </c>
      <c r="C1483" t="s">
        <v>40</v>
      </c>
      <c r="D1483">
        <v>4.3759730000000001</v>
      </c>
      <c r="E1483">
        <v>0.52342599999999995</v>
      </c>
      <c r="F1483" t="s">
        <v>43</v>
      </c>
      <c r="G1483">
        <v>-166.93879999999999</v>
      </c>
      <c r="H1483">
        <v>-0.05</v>
      </c>
      <c r="I1483">
        <v>364.28100000000001</v>
      </c>
      <c r="J1483">
        <v>-219.41630000000001</v>
      </c>
      <c r="K1483">
        <v>1.1209089999999999</v>
      </c>
      <c r="L1483">
        <v>367.41120000000001</v>
      </c>
      <c r="M1483">
        <v>0.99989459999999997</v>
      </c>
      <c r="N1483">
        <v>-1.382367E-2</v>
      </c>
      <c r="O1483">
        <v>-4.4362560000000004E-3</v>
      </c>
      <c r="P1483">
        <v>0.99640759999999995</v>
      </c>
      <c r="Q1483">
        <v>-8.4653270000000003E-2</v>
      </c>
      <c r="R1483">
        <v>2.367826E-3</v>
      </c>
      <c r="S1483">
        <v>3.005417</v>
      </c>
      <c r="T1483">
        <v>-6.6881179999999998E-2</v>
      </c>
      <c r="U1483">
        <v>-0.17883299999999999</v>
      </c>
      <c r="V1483">
        <v>-6.814718E-3</v>
      </c>
      <c r="W1483">
        <v>-7.0868920000000002E-2</v>
      </c>
      <c r="X1483">
        <v>0.99746230000000002</v>
      </c>
      <c r="Y1483">
        <v>5.4947219999999998E-2</v>
      </c>
      <c r="Z1483">
        <v>-9.5363930000000004E-4</v>
      </c>
      <c r="AA1483">
        <v>0.99848879999999995</v>
      </c>
      <c r="AB1483">
        <v>26</v>
      </c>
      <c r="AC1483">
        <v>52.477499999999999</v>
      </c>
      <c r="AD1483">
        <v>-1.170909</v>
      </c>
      <c r="AE1483">
        <v>-3.1301999999999999</v>
      </c>
      <c r="AF1483">
        <v>2.8959066986755402</v>
      </c>
      <c r="AG1483">
        <v>-1.170909</v>
      </c>
      <c r="AH1483">
        <v>52.464844095901</v>
      </c>
      <c r="AI1483">
        <v>91.276570891633298</v>
      </c>
      <c r="AJ1483">
        <v>86.840645678372397</v>
      </c>
      <c r="AK1483">
        <v>52.557750803291697</v>
      </c>
      <c r="AL1483">
        <v>94.063896858769894</v>
      </c>
      <c r="AM1483">
        <v>90.391441867087195</v>
      </c>
      <c r="AN1483">
        <v>0.999999942062336</v>
      </c>
    </row>
    <row r="1484" spans="1:40" x14ac:dyDescent="0.25">
      <c r="A1484" t="str">
        <f>"20190303153804578"</f>
        <v>20190303153804578</v>
      </c>
      <c r="B1484" t="str">
        <f>"1551598684569951"</f>
        <v>1551598684569951</v>
      </c>
      <c r="C1484" t="s">
        <v>40</v>
      </c>
      <c r="D1484">
        <v>4.3215170000000001</v>
      </c>
      <c r="E1484">
        <v>0.52365640000000002</v>
      </c>
      <c r="F1484" t="s">
        <v>43</v>
      </c>
      <c r="G1484">
        <v>-166.3092</v>
      </c>
      <c r="H1484">
        <v>-0.05</v>
      </c>
      <c r="I1484">
        <v>364.2276</v>
      </c>
      <c r="J1484">
        <v>-219.27670000000001</v>
      </c>
      <c r="K1484">
        <v>1.1209089999999999</v>
      </c>
      <c r="L1484">
        <v>367.41039999999998</v>
      </c>
      <c r="M1484">
        <v>0.99989410000000001</v>
      </c>
      <c r="N1484">
        <v>-1.3828760000000001E-2</v>
      </c>
      <c r="O1484">
        <v>-4.5438099999999997E-3</v>
      </c>
      <c r="P1484">
        <v>0.99637690000000001</v>
      </c>
      <c r="Q1484">
        <v>-8.5002679999999997E-2</v>
      </c>
      <c r="R1484">
        <v>2.8028710000000002E-3</v>
      </c>
      <c r="S1484">
        <v>3.0055999999999998</v>
      </c>
      <c r="T1484">
        <v>-6.6267729999999997E-2</v>
      </c>
      <c r="U1484">
        <v>-0.1801758</v>
      </c>
      <c r="V1484">
        <v>-7.3572259999999997E-3</v>
      </c>
      <c r="W1484">
        <v>-7.1213479999999996E-2</v>
      </c>
      <c r="X1484">
        <v>0.99743400000000004</v>
      </c>
      <c r="Y1484">
        <v>5.5280900000000001E-2</v>
      </c>
      <c r="Z1484">
        <v>-9.5417289999999997E-4</v>
      </c>
      <c r="AA1484">
        <v>0.99847039999999998</v>
      </c>
      <c r="AB1484">
        <v>26</v>
      </c>
      <c r="AC1484">
        <v>52.967500000000001</v>
      </c>
      <c r="AD1484">
        <v>-1.170909</v>
      </c>
      <c r="AE1484">
        <v>-3.1827999999999799</v>
      </c>
      <c r="AF1484">
        <v>2.94063800614712</v>
      </c>
      <c r="AG1484">
        <v>-1.170909</v>
      </c>
      <c r="AH1484">
        <v>52.955631106595298</v>
      </c>
      <c r="AI1484">
        <v>91.264720385473197</v>
      </c>
      <c r="AJ1484">
        <v>86.821616862862498</v>
      </c>
      <c r="AK1484">
        <v>53.050138978774498</v>
      </c>
      <c r="AL1484">
        <v>94.083688314199506</v>
      </c>
      <c r="AM1484">
        <v>90.422614783545995</v>
      </c>
      <c r="AN1484">
        <v>1.00000003643206</v>
      </c>
    </row>
    <row r="1485" spans="1:40" x14ac:dyDescent="0.25">
      <c r="A1485" t="str">
        <f>"20190303153804589"</f>
        <v>20190303153804589</v>
      </c>
      <c r="B1485" t="str">
        <f>"1551598684580221"</f>
        <v>1551598684580221</v>
      </c>
      <c r="C1485" t="s">
        <v>40</v>
      </c>
      <c r="D1485">
        <v>4.4980140000000004</v>
      </c>
      <c r="E1485">
        <v>0.52347500000000002</v>
      </c>
      <c r="F1485" t="s">
        <v>43</v>
      </c>
      <c r="G1485">
        <v>-165.9939</v>
      </c>
      <c r="H1485">
        <v>-0.05</v>
      </c>
      <c r="I1485">
        <v>364.20940000000002</v>
      </c>
      <c r="J1485">
        <v>-219.13829999999999</v>
      </c>
      <c r="K1485">
        <v>1.120908</v>
      </c>
      <c r="L1485">
        <v>367.40969999999999</v>
      </c>
      <c r="M1485">
        <v>0.99989349999999999</v>
      </c>
      <c r="N1485">
        <v>-1.383348E-2</v>
      </c>
      <c r="O1485">
        <v>-4.6502879999999998E-3</v>
      </c>
      <c r="P1485">
        <v>0.99638289999999996</v>
      </c>
      <c r="Q1485">
        <v>-8.4929649999999995E-2</v>
      </c>
      <c r="R1485">
        <v>2.8444249999999998E-3</v>
      </c>
      <c r="S1485">
        <v>3.0057529999999999</v>
      </c>
      <c r="T1485">
        <v>-6.6052440000000004E-2</v>
      </c>
      <c r="U1485">
        <v>-0.1805725</v>
      </c>
      <c r="V1485">
        <v>-7.5047079999999997E-3</v>
      </c>
      <c r="W1485">
        <v>-7.1135619999999997E-2</v>
      </c>
      <c r="X1485">
        <v>0.99743839999999995</v>
      </c>
      <c r="Y1485">
        <v>5.5302959999999998E-2</v>
      </c>
      <c r="Z1485">
        <v>-9.5217550000000005E-4</v>
      </c>
      <c r="AA1485">
        <v>0.99846919999999995</v>
      </c>
      <c r="AB1485">
        <v>25</v>
      </c>
      <c r="AC1485">
        <v>53.144399999999898</v>
      </c>
      <c r="AD1485">
        <v>-1.1709080000000001</v>
      </c>
      <c r="AE1485">
        <v>-3.2002999999999702</v>
      </c>
      <c r="AF1485">
        <v>2.9516773057496901</v>
      </c>
      <c r="AG1485">
        <v>-1.1709080000000001</v>
      </c>
      <c r="AH1485">
        <v>53.133009603975196</v>
      </c>
      <c r="AI1485">
        <v>91.260496986990304</v>
      </c>
      <c r="AJ1485">
        <v>86.820338187804694</v>
      </c>
      <c r="AK1485">
        <v>53.227813538016598</v>
      </c>
      <c r="AL1485">
        <v>94.079216155325597</v>
      </c>
      <c r="AM1485">
        <v>90.431084246642001</v>
      </c>
      <c r="AN1485">
        <v>0.99999997943475405</v>
      </c>
    </row>
    <row r="1486" spans="1:40" x14ac:dyDescent="0.25">
      <c r="A1486" t="str">
        <f>"20190303153804603"</f>
        <v>20190303153804603</v>
      </c>
      <c r="B1486" t="str">
        <f>"1551598684599740"</f>
        <v>1551598684599740</v>
      </c>
      <c r="C1486" t="s">
        <v>40</v>
      </c>
      <c r="D1486">
        <v>4.3644660000000002</v>
      </c>
      <c r="E1486">
        <v>0.52403049999999995</v>
      </c>
      <c r="F1486" t="s">
        <v>43</v>
      </c>
      <c r="G1486">
        <v>-167.0282</v>
      </c>
      <c r="H1486">
        <v>-0.05</v>
      </c>
      <c r="I1486">
        <v>364.30439999999999</v>
      </c>
      <c r="J1486">
        <v>-218.98429999999999</v>
      </c>
      <c r="K1486">
        <v>1.1209100000000001</v>
      </c>
      <c r="L1486">
        <v>367.40879999999999</v>
      </c>
      <c r="M1486">
        <v>0.99989300000000003</v>
      </c>
      <c r="N1486">
        <v>-1.383791E-2</v>
      </c>
      <c r="O1486">
        <v>-4.769634E-3</v>
      </c>
      <c r="P1486">
        <v>0.99635620000000003</v>
      </c>
      <c r="Q1486">
        <v>-8.5247370000000003E-2</v>
      </c>
      <c r="R1486">
        <v>2.735281E-3</v>
      </c>
      <c r="S1486">
        <v>3.00563</v>
      </c>
      <c r="T1486">
        <v>-6.7536120000000005E-2</v>
      </c>
      <c r="U1486">
        <v>-0.17910770000000001</v>
      </c>
      <c r="V1486">
        <v>-7.5150019999999998E-3</v>
      </c>
      <c r="W1486">
        <v>-7.1449250000000006E-2</v>
      </c>
      <c r="X1486">
        <v>0.99741590000000002</v>
      </c>
      <c r="Y1486">
        <v>5.4700789999999999E-2</v>
      </c>
      <c r="Z1486">
        <v>-9.5172590000000004E-4</v>
      </c>
      <c r="AA1486">
        <v>0.99850229999999995</v>
      </c>
      <c r="AB1486">
        <v>25</v>
      </c>
      <c r="AC1486">
        <v>51.9560999999999</v>
      </c>
      <c r="AD1486">
        <v>-1.1709099999999999</v>
      </c>
      <c r="AE1486">
        <v>-3.1043999999999898</v>
      </c>
      <c r="AF1486">
        <v>2.8550844767110402</v>
      </c>
      <c r="AG1486">
        <v>-1.1709099999999999</v>
      </c>
      <c r="AH1486">
        <v>51.944028905424901</v>
      </c>
      <c r="AI1486">
        <v>91.289383644965895</v>
      </c>
      <c r="AJ1486">
        <v>86.853924182352301</v>
      </c>
      <c r="AK1486">
        <v>52.035609696868804</v>
      </c>
      <c r="AL1486">
        <v>94.097231694349205</v>
      </c>
      <c r="AM1486">
        <v>90.431685268090902</v>
      </c>
      <c r="AN1486">
        <v>0.99999997407671504</v>
      </c>
    </row>
    <row r="1487" spans="1:40" x14ac:dyDescent="0.25">
      <c r="A1487" t="str">
        <f>"20190303153804617"</f>
        <v>20190303153804617</v>
      </c>
      <c r="B1487" t="str">
        <f>"1551598684610479"</f>
        <v>1551598684610479</v>
      </c>
      <c r="C1487" t="s">
        <v>40</v>
      </c>
      <c r="D1487">
        <v>4.4753619999999996</v>
      </c>
      <c r="E1487">
        <v>0.5238971</v>
      </c>
      <c r="F1487" t="s">
        <v>43</v>
      </c>
      <c r="G1487">
        <v>-166.47059999999999</v>
      </c>
      <c r="H1487">
        <v>-0.05</v>
      </c>
      <c r="I1487">
        <v>364.1927</v>
      </c>
      <c r="J1487">
        <v>-218.83260000000001</v>
      </c>
      <c r="K1487">
        <v>1.1209100000000001</v>
      </c>
      <c r="L1487">
        <v>367.40800000000002</v>
      </c>
      <c r="M1487">
        <v>0.99989240000000001</v>
      </c>
      <c r="N1487">
        <v>-1.3841829999999999E-2</v>
      </c>
      <c r="O1487">
        <v>-4.8868339999999996E-3</v>
      </c>
      <c r="P1487">
        <v>0.99637089999999995</v>
      </c>
      <c r="Q1487">
        <v>-8.5085079999999993E-2</v>
      </c>
      <c r="R1487">
        <v>2.4416849999999999E-3</v>
      </c>
      <c r="S1487">
        <v>3.0057529999999999</v>
      </c>
      <c r="T1487">
        <v>-6.701994E-2</v>
      </c>
      <c r="U1487">
        <v>-0.184082</v>
      </c>
      <c r="V1487">
        <v>-7.3381640000000003E-3</v>
      </c>
      <c r="W1487">
        <v>-7.1282929999999994E-2</v>
      </c>
      <c r="X1487">
        <v>0.99742909999999996</v>
      </c>
      <c r="Y1487">
        <v>5.6227399999999997E-2</v>
      </c>
      <c r="Z1487">
        <v>-9.7453860000000004E-4</v>
      </c>
      <c r="AA1487">
        <v>0.99841749999999996</v>
      </c>
      <c r="AB1487">
        <v>25</v>
      </c>
      <c r="AC1487">
        <v>52.362000000000002</v>
      </c>
      <c r="AD1487">
        <v>-1.1709099999999999</v>
      </c>
      <c r="AE1487">
        <v>-3.2153000000000098</v>
      </c>
      <c r="AF1487">
        <v>2.9578791829304798</v>
      </c>
      <c r="AG1487">
        <v>-1.1709099999999999</v>
      </c>
      <c r="AH1487">
        <v>52.3510089305178</v>
      </c>
      <c r="AI1487">
        <v>91.279254080715802</v>
      </c>
      <c r="AJ1487">
        <v>86.7661750673917</v>
      </c>
      <c r="AK1487">
        <v>52.447575878510001</v>
      </c>
      <c r="AL1487">
        <v>94.087677969013299</v>
      </c>
      <c r="AM1487">
        <v>90.421521931787694</v>
      </c>
      <c r="AN1487">
        <v>0.99999995714354095</v>
      </c>
    </row>
    <row r="1488" spans="1:40" x14ac:dyDescent="0.25">
      <c r="A1488" t="str">
        <f>"20190303153804628"</f>
        <v>20190303153804628</v>
      </c>
      <c r="B1488" t="str">
        <f>"1551598684620237"</f>
        <v>1551598684620237</v>
      </c>
      <c r="C1488" t="s">
        <v>40</v>
      </c>
      <c r="D1488">
        <v>4.3295360000000001</v>
      </c>
      <c r="E1488">
        <v>0.52410849999999998</v>
      </c>
      <c r="F1488" t="s">
        <v>43</v>
      </c>
      <c r="G1488">
        <v>-167.0556</v>
      </c>
      <c r="H1488">
        <v>-0.05</v>
      </c>
      <c r="I1488">
        <v>364.23739999999998</v>
      </c>
      <c r="J1488">
        <v>-218.70330000000001</v>
      </c>
      <c r="K1488">
        <v>1.120911</v>
      </c>
      <c r="L1488">
        <v>367.40719999999999</v>
      </c>
      <c r="M1488">
        <v>0.9998918</v>
      </c>
      <c r="N1488">
        <v>-1.384494E-2</v>
      </c>
      <c r="O1488">
        <v>-4.9866270000000004E-3</v>
      </c>
      <c r="P1488">
        <v>0.99637710000000002</v>
      </c>
      <c r="Q1488">
        <v>-8.5021040000000006E-2</v>
      </c>
      <c r="R1488">
        <v>2.1197299999999998E-3</v>
      </c>
      <c r="S1488">
        <v>3.005585</v>
      </c>
      <c r="T1488">
        <v>-6.7969799999999997E-2</v>
      </c>
      <c r="U1488">
        <v>-0.18405150000000001</v>
      </c>
      <c r="V1488">
        <v>-7.1156129999999998E-3</v>
      </c>
      <c r="W1488">
        <v>-7.1215790000000001E-2</v>
      </c>
      <c r="X1488">
        <v>0.99743559999999998</v>
      </c>
      <c r="Y1488">
        <v>5.6120589999999998E-2</v>
      </c>
      <c r="Z1488">
        <v>-9.7918209999999992E-4</v>
      </c>
      <c r="AA1488">
        <v>0.99842350000000002</v>
      </c>
      <c r="AB1488">
        <v>25</v>
      </c>
      <c r="AC1488">
        <v>51.6477</v>
      </c>
      <c r="AD1488">
        <v>-1.170911</v>
      </c>
      <c r="AE1488">
        <v>-3.1698</v>
      </c>
      <c r="AF1488">
        <v>2.91069767455331</v>
      </c>
      <c r="AG1488">
        <v>-1.170911</v>
      </c>
      <c r="AH1488">
        <v>51.636425378944502</v>
      </c>
      <c r="AI1488">
        <v>91.296962073908801</v>
      </c>
      <c r="AJ1488">
        <v>86.773704017907093</v>
      </c>
      <c r="AK1488">
        <v>51.7316500745711</v>
      </c>
      <c r="AL1488">
        <v>94.083820955301903</v>
      </c>
      <c r="AM1488">
        <v>90.408735839729999</v>
      </c>
      <c r="AN1488">
        <v>1.00000004842052</v>
      </c>
    </row>
    <row r="1489" spans="1:40" x14ac:dyDescent="0.25">
      <c r="A1489" t="str">
        <f>"20190303153804640"</f>
        <v>20190303153804640</v>
      </c>
      <c r="B1489" t="str">
        <f>"1551598684629997"</f>
        <v>1551598684629997</v>
      </c>
      <c r="C1489" t="s">
        <v>40</v>
      </c>
      <c r="D1489">
        <v>4.3583930000000004</v>
      </c>
      <c r="E1489">
        <v>0.52428739999999996</v>
      </c>
      <c r="F1489" t="s">
        <v>43</v>
      </c>
      <c r="G1489">
        <v>-166.5539</v>
      </c>
      <c r="H1489">
        <v>-0.05</v>
      </c>
      <c r="I1489">
        <v>364.16930000000002</v>
      </c>
      <c r="J1489">
        <v>-218.578</v>
      </c>
      <c r="K1489">
        <v>1.1209129999999901</v>
      </c>
      <c r="L1489">
        <v>367.40649999999999</v>
      </c>
      <c r="M1489">
        <v>0.99989130000000004</v>
      </c>
      <c r="N1489">
        <v>-1.3847480000000001E-2</v>
      </c>
      <c r="O1489">
        <v>-5.083316E-3</v>
      </c>
      <c r="P1489">
        <v>0.99636800000000003</v>
      </c>
      <c r="Q1489">
        <v>-8.5136470000000006E-2</v>
      </c>
      <c r="R1489">
        <v>1.779269E-3</v>
      </c>
      <c r="S1489">
        <v>3.0055540000000001</v>
      </c>
      <c r="T1489">
        <v>-6.7483779999999993E-2</v>
      </c>
      <c r="U1489">
        <v>-0.186615</v>
      </c>
      <c r="V1489">
        <v>-6.8715669999999899E-3</v>
      </c>
      <c r="W1489">
        <v>-7.1328890000000006E-2</v>
      </c>
      <c r="X1489">
        <v>0.99742920000000002</v>
      </c>
      <c r="Y1489">
        <v>5.6872939999999997E-2</v>
      </c>
      <c r="Z1489">
        <v>-9.8836129999999999E-4</v>
      </c>
      <c r="AA1489">
        <v>0.99838099999999996</v>
      </c>
      <c r="AB1489">
        <v>25</v>
      </c>
      <c r="AC1489">
        <v>52.024099999999997</v>
      </c>
      <c r="AD1489">
        <v>-1.1709130000000001</v>
      </c>
      <c r="AE1489">
        <v>-3.2371999999999699</v>
      </c>
      <c r="AF1489">
        <v>2.9711785885520898</v>
      </c>
      <c r="AG1489">
        <v>-1.1709130000000001</v>
      </c>
      <c r="AH1489">
        <v>52.013638039343697</v>
      </c>
      <c r="AI1489">
        <v>91.287506744882805</v>
      </c>
      <c r="AJ1489">
        <v>86.730642215707903</v>
      </c>
      <c r="AK1489">
        <v>52.111586826218499</v>
      </c>
      <c r="AL1489">
        <v>94.090317749945598</v>
      </c>
      <c r="AM1489">
        <v>90.394720306078796</v>
      </c>
      <c r="AN1489">
        <v>1.0000000189971501</v>
      </c>
    </row>
    <row r="1490" spans="1:40" x14ac:dyDescent="0.25">
      <c r="A1490" t="str">
        <f>"20190303153804651"</f>
        <v>20190303153804651</v>
      </c>
      <c r="B1490" t="str">
        <f>"1551598684640734"</f>
        <v>1551598684640734</v>
      </c>
      <c r="C1490" t="s">
        <v>40</v>
      </c>
      <c r="D1490">
        <v>4.6182679999999996</v>
      </c>
      <c r="E1490">
        <v>0.52418909999999996</v>
      </c>
      <c r="F1490" t="s">
        <v>43</v>
      </c>
      <c r="G1490">
        <v>-165.9503</v>
      </c>
      <c r="H1490">
        <v>-0.05</v>
      </c>
      <c r="I1490">
        <v>364.09449999999998</v>
      </c>
      <c r="J1490">
        <v>-218.44450000000001</v>
      </c>
      <c r="K1490">
        <v>1.1209169999999999</v>
      </c>
      <c r="L1490">
        <v>367.40570000000002</v>
      </c>
      <c r="M1490">
        <v>0.99989070000000002</v>
      </c>
      <c r="N1490">
        <v>-1.3850080000000001E-2</v>
      </c>
      <c r="O1490">
        <v>-5.186085E-3</v>
      </c>
      <c r="P1490">
        <v>0.99642059999999999</v>
      </c>
      <c r="Q1490">
        <v>-8.4524420000000003E-2</v>
      </c>
      <c r="R1490">
        <v>1.3953769999999999E-3</v>
      </c>
      <c r="S1490">
        <v>3.0055390000000002</v>
      </c>
      <c r="T1490">
        <v>-6.6870330000000006E-2</v>
      </c>
      <c r="U1490">
        <v>-0.18914790000000001</v>
      </c>
      <c r="V1490">
        <v>-6.5898170000000004E-3</v>
      </c>
      <c r="W1490">
        <v>-7.0713659999999998E-2</v>
      </c>
      <c r="X1490">
        <v>0.99747490000000005</v>
      </c>
      <c r="Y1490">
        <v>5.7608800000000002E-2</v>
      </c>
      <c r="Z1490">
        <v>-9.9610210000000005E-4</v>
      </c>
      <c r="AA1490">
        <v>0.99833879999999997</v>
      </c>
      <c r="AB1490">
        <v>25</v>
      </c>
      <c r="AC1490">
        <v>52.494199999999999</v>
      </c>
      <c r="AD1490">
        <v>-1.170917</v>
      </c>
      <c r="AE1490">
        <v>-3.3112000000000399</v>
      </c>
      <c r="AF1490">
        <v>3.0373847460027901</v>
      </c>
      <c r="AG1490">
        <v>-1.170917</v>
      </c>
      <c r="AH1490">
        <v>52.484657917775102</v>
      </c>
      <c r="AI1490">
        <v>91.275905566135407</v>
      </c>
      <c r="AJ1490">
        <v>86.687881001477805</v>
      </c>
      <c r="AK1490">
        <v>52.5855119729951</v>
      </c>
      <c r="AL1490">
        <v>94.054978458178795</v>
      </c>
      <c r="AM1490">
        <v>90.378519007252805</v>
      </c>
      <c r="AN1490">
        <v>1.0000000117643399</v>
      </c>
    </row>
    <row r="1491" spans="1:40" x14ac:dyDescent="0.25">
      <c r="A1491" t="str">
        <f>"20190303153804664"</f>
        <v>20190303153804664</v>
      </c>
      <c r="B1491" t="str">
        <f>"1551598684660253"</f>
        <v>1551598684660253</v>
      </c>
      <c r="C1491" t="s">
        <v>40</v>
      </c>
      <c r="D1491">
        <v>4.4698640000000003</v>
      </c>
      <c r="E1491">
        <v>0.52396049999999905</v>
      </c>
      <c r="F1491" t="s">
        <v>43</v>
      </c>
      <c r="G1491">
        <v>-166.00899999999999</v>
      </c>
      <c r="H1491">
        <v>-0.05</v>
      </c>
      <c r="I1491">
        <v>364.10070000000002</v>
      </c>
      <c r="J1491">
        <v>-218.30269999999999</v>
      </c>
      <c r="K1491">
        <v>1.120919</v>
      </c>
      <c r="L1491">
        <v>367.40480000000002</v>
      </c>
      <c r="M1491">
        <v>0.99989019999999995</v>
      </c>
      <c r="N1491">
        <v>-1.3852400000000001E-2</v>
      </c>
      <c r="O1491">
        <v>-5.2956459999999898E-3</v>
      </c>
      <c r="P1491">
        <v>0.99646749999999995</v>
      </c>
      <c r="Q1491">
        <v>-8.3971219999999999E-2</v>
      </c>
      <c r="R1491">
        <v>1.3062970000000001E-3</v>
      </c>
      <c r="S1491">
        <v>3.005341</v>
      </c>
      <c r="T1491">
        <v>-6.7111019999999993E-2</v>
      </c>
      <c r="U1491">
        <v>-0.1894226</v>
      </c>
      <c r="V1491">
        <v>-6.609579E-3</v>
      </c>
      <c r="W1491">
        <v>-7.0157529999999996E-2</v>
      </c>
      <c r="X1491">
        <v>0.99751400000000001</v>
      </c>
      <c r="Y1491">
        <v>5.7594279999999998E-2</v>
      </c>
      <c r="Z1491">
        <v>-9.9691470000000003E-4</v>
      </c>
      <c r="AA1491">
        <v>0.99833959999999999</v>
      </c>
      <c r="AB1491">
        <v>25</v>
      </c>
      <c r="AC1491">
        <v>52.293699999999902</v>
      </c>
      <c r="AD1491">
        <v>-1.170919</v>
      </c>
      <c r="AE1491">
        <v>-3.3041</v>
      </c>
      <c r="AF1491">
        <v>3.0255873166639602</v>
      </c>
      <c r="AG1491">
        <v>-1.170919</v>
      </c>
      <c r="AH1491">
        <v>52.284356244572898</v>
      </c>
      <c r="AI1491">
        <v>91.280794420027107</v>
      </c>
      <c r="AJ1491">
        <v>86.688105555068702</v>
      </c>
      <c r="AK1491">
        <v>52.384913265411903</v>
      </c>
      <c r="AL1491">
        <v>94.023035376504893</v>
      </c>
      <c r="AM1491">
        <v>90.379639222077401</v>
      </c>
      <c r="AN1491">
        <v>0.99999997287312803</v>
      </c>
    </row>
    <row r="1492" spans="1:40" x14ac:dyDescent="0.25">
      <c r="A1492" t="str">
        <f>"20190303153804675"</f>
        <v>20190303153804675</v>
      </c>
      <c r="B1492" t="str">
        <f>"1551598684670014"</f>
        <v>1551598684670014</v>
      </c>
      <c r="C1492" t="s">
        <v>40</v>
      </c>
      <c r="D1492">
        <v>4.5136560000000001</v>
      </c>
      <c r="E1492">
        <v>0.52382249999999997</v>
      </c>
      <c r="F1492" t="s">
        <v>43</v>
      </c>
      <c r="G1492">
        <v>-167.47900000000001</v>
      </c>
      <c r="H1492">
        <v>-0.05</v>
      </c>
      <c r="I1492">
        <v>364.226</v>
      </c>
      <c r="J1492">
        <v>-218.1782</v>
      </c>
      <c r="K1492">
        <v>1.12093</v>
      </c>
      <c r="L1492">
        <v>367.40410000000003</v>
      </c>
      <c r="M1492">
        <v>0.99988960000000005</v>
      </c>
      <c r="N1492">
        <v>-1.385421E-2</v>
      </c>
      <c r="O1492">
        <v>-5.391496E-3</v>
      </c>
      <c r="P1492">
        <v>0.99653820000000004</v>
      </c>
      <c r="Q1492">
        <v>-8.3137329999999995E-2</v>
      </c>
      <c r="R1492">
        <v>6.4439360000000004E-4</v>
      </c>
      <c r="S1492">
        <v>3.0050509999999999</v>
      </c>
      <c r="T1492">
        <v>-6.9232940000000007E-2</v>
      </c>
      <c r="U1492">
        <v>-0.18795780000000001</v>
      </c>
      <c r="V1492">
        <v>-6.0434319999999996E-3</v>
      </c>
      <c r="W1492">
        <v>-6.932112E-2</v>
      </c>
      <c r="X1492">
        <v>0.99757609999999997</v>
      </c>
      <c r="Y1492">
        <v>5.7018949999999999E-2</v>
      </c>
      <c r="Z1492">
        <v>-1.0021170000000001E-3</v>
      </c>
      <c r="AA1492">
        <v>0.99837260000000005</v>
      </c>
      <c r="AB1492">
        <v>25</v>
      </c>
      <c r="AC1492">
        <v>50.699199999999898</v>
      </c>
      <c r="AD1492">
        <v>-1.17093</v>
      </c>
      <c r="AE1492">
        <v>-3.1781000000000201</v>
      </c>
      <c r="AF1492">
        <v>2.9031405617413699</v>
      </c>
      <c r="AG1492">
        <v>-1.17093</v>
      </c>
      <c r="AH1492">
        <v>50.688667420787702</v>
      </c>
      <c r="AI1492">
        <v>91.321157417084393</v>
      </c>
      <c r="AJ1492">
        <v>86.722025107732605</v>
      </c>
      <c r="AK1492">
        <v>50.785237097815703</v>
      </c>
      <c r="AL1492">
        <v>93.974995506130497</v>
      </c>
      <c r="AM1492">
        <v>90.347100247716298</v>
      </c>
      <c r="AN1492">
        <v>1.0000000080197999</v>
      </c>
    </row>
    <row r="1493" spans="1:40" x14ac:dyDescent="0.25">
      <c r="A1493" t="str">
        <f>"20190303153804686"</f>
        <v>20190303153804686</v>
      </c>
      <c r="B1493" t="str">
        <f>"1551598684679774"</f>
        <v>1551598684679774</v>
      </c>
      <c r="C1493" t="s">
        <v>40</v>
      </c>
      <c r="D1493">
        <v>4.4487829999999997</v>
      </c>
      <c r="E1493">
        <v>0.52373709999999996</v>
      </c>
      <c r="F1493" t="s">
        <v>43</v>
      </c>
      <c r="G1493">
        <v>-166.85679999999999</v>
      </c>
      <c r="H1493">
        <v>-0.05</v>
      </c>
      <c r="I1493">
        <v>364.17660000000001</v>
      </c>
      <c r="J1493">
        <v>-218.05080000000001</v>
      </c>
      <c r="K1493">
        <v>1.1209340000000001</v>
      </c>
      <c r="L1493">
        <v>367.4033</v>
      </c>
      <c r="M1493">
        <v>0.99988909999999998</v>
      </c>
      <c r="N1493">
        <v>-1.3855849999999999E-2</v>
      </c>
      <c r="O1493">
        <v>-5.4897289999999996E-3</v>
      </c>
      <c r="P1493">
        <v>0.9965889</v>
      </c>
      <c r="Q1493">
        <v>-8.2527429999999999E-2</v>
      </c>
      <c r="R1493">
        <v>1.424555E-4</v>
      </c>
      <c r="S1493">
        <v>3.004807</v>
      </c>
      <c r="T1493">
        <v>-6.8556549999999994E-2</v>
      </c>
      <c r="U1493">
        <v>-0.18896479999999999</v>
      </c>
      <c r="V1493">
        <v>-5.6393399999999996E-3</v>
      </c>
      <c r="W1493">
        <v>-6.8709049999999994E-2</v>
      </c>
      <c r="X1493">
        <v>0.99762079999999997</v>
      </c>
      <c r="Y1493">
        <v>5.7259490000000003E-2</v>
      </c>
      <c r="Z1493">
        <v>-1.0005459999999999E-3</v>
      </c>
      <c r="AA1493">
        <v>0.99835879999999999</v>
      </c>
      <c r="AB1493">
        <v>25</v>
      </c>
      <c r="AC1493">
        <v>51.194000000000003</v>
      </c>
      <c r="AD1493">
        <v>-1.1709339999999999</v>
      </c>
      <c r="AE1493">
        <v>-3.2266999999999899</v>
      </c>
      <c r="AF1493">
        <v>2.94404916080041</v>
      </c>
      <c r="AG1493">
        <v>-1.1709339999999999</v>
      </c>
      <c r="AH1493">
        <v>51.184272705735999</v>
      </c>
      <c r="AI1493">
        <v>91.308355589631603</v>
      </c>
      <c r="AJ1493">
        <v>86.708052504583605</v>
      </c>
      <c r="AK1493">
        <v>51.282241412683199</v>
      </c>
      <c r="AL1493">
        <v>93.939842699164998</v>
      </c>
      <c r="AM1493">
        <v>90.323877509115903</v>
      </c>
      <c r="AN1493">
        <v>0.999999998150089</v>
      </c>
    </row>
    <row r="1494" spans="1:40" x14ac:dyDescent="0.25">
      <c r="A1494" t="str">
        <f>"20190303153804698"</f>
        <v>20190303153804698</v>
      </c>
      <c r="B1494" t="str">
        <f>"1551598684690508"</f>
        <v>1551598684690508</v>
      </c>
      <c r="C1494" t="s">
        <v>40</v>
      </c>
      <c r="D1494">
        <v>4.3974979999999997</v>
      </c>
      <c r="E1494">
        <v>0.52392439999999996</v>
      </c>
      <c r="F1494" t="s">
        <v>43</v>
      </c>
      <c r="G1494">
        <v>-166.5197</v>
      </c>
      <c r="H1494">
        <v>-0.05</v>
      </c>
      <c r="I1494">
        <v>364.15249999999997</v>
      </c>
      <c r="J1494">
        <v>-217.92009999999999</v>
      </c>
      <c r="K1494">
        <v>1.120938</v>
      </c>
      <c r="L1494">
        <v>367.4024</v>
      </c>
      <c r="M1494">
        <v>0.99988849999999996</v>
      </c>
      <c r="N1494">
        <v>-1.385724E-2</v>
      </c>
      <c r="O1494">
        <v>-5.5903439999999997E-3</v>
      </c>
      <c r="P1494">
        <v>0.99663349999999995</v>
      </c>
      <c r="Q1494">
        <v>-8.1986610000000001E-2</v>
      </c>
      <c r="R1494">
        <v>-2.6214080000000001E-4</v>
      </c>
      <c r="S1494">
        <v>3.0046390000000001</v>
      </c>
      <c r="T1494">
        <v>-6.8274020000000005E-2</v>
      </c>
      <c r="U1494">
        <v>-0.18954470000000001</v>
      </c>
      <c r="V1494">
        <v>-5.3350899999999998E-3</v>
      </c>
      <c r="W1494">
        <v>-6.8166379999999999E-2</v>
      </c>
      <c r="X1494">
        <v>0.99765970000000004</v>
      </c>
      <c r="Y1494">
        <v>5.7354540000000002E-2</v>
      </c>
      <c r="Z1494">
        <v>-9.9929619999999898E-4</v>
      </c>
      <c r="AA1494">
        <v>0.99835339999999995</v>
      </c>
      <c r="AB1494">
        <v>25</v>
      </c>
      <c r="AC1494">
        <v>51.400399999999898</v>
      </c>
      <c r="AD1494">
        <v>-1.17093799999999</v>
      </c>
      <c r="AE1494">
        <v>-3.2499000000000202</v>
      </c>
      <c r="AF1494">
        <v>2.9609452411228201</v>
      </c>
      <c r="AG1494">
        <v>-1.17093799999999</v>
      </c>
      <c r="AH1494">
        <v>51.391202617973001</v>
      </c>
      <c r="AI1494">
        <v>91.303086420789398</v>
      </c>
      <c r="AJ1494">
        <v>86.702503382630894</v>
      </c>
      <c r="AK1494">
        <v>51.4897465428053</v>
      </c>
      <c r="AL1494">
        <v>93.908676927963697</v>
      </c>
      <c r="AM1494">
        <v>90.306392276403301</v>
      </c>
      <c r="AN1494">
        <v>0.99999999777585102</v>
      </c>
    </row>
    <row r="1495" spans="1:40" x14ac:dyDescent="0.25">
      <c r="A1495" t="str">
        <f>"20190303153804711"</f>
        <v>20190303153804711</v>
      </c>
      <c r="B1495" t="str">
        <f>"1551598684700268"</f>
        <v>1551598684700268</v>
      </c>
      <c r="C1495" t="s">
        <v>40</v>
      </c>
      <c r="D1495">
        <v>4.3738190000000001</v>
      </c>
      <c r="E1495">
        <v>0.52415329999999904</v>
      </c>
      <c r="F1495" t="s">
        <v>43</v>
      </c>
      <c r="G1495">
        <v>-164.8681</v>
      </c>
      <c r="H1495">
        <v>-0.05</v>
      </c>
      <c r="I1495">
        <v>364.00400000000002</v>
      </c>
      <c r="J1495">
        <v>-217.77770000000001</v>
      </c>
      <c r="K1495">
        <v>1.1209420000000001</v>
      </c>
      <c r="L1495">
        <v>367.4015</v>
      </c>
      <c r="M1495">
        <v>0.99988790000000005</v>
      </c>
      <c r="N1495">
        <v>-1.385862E-2</v>
      </c>
      <c r="O1495">
        <v>-5.7003749999999997E-3</v>
      </c>
      <c r="P1495">
        <v>0.99665809999999999</v>
      </c>
      <c r="Q1495">
        <v>-8.168599E-2</v>
      </c>
      <c r="R1495">
        <v>-7.4807390000000001E-4</v>
      </c>
      <c r="S1495">
        <v>3.0046390000000001</v>
      </c>
      <c r="T1495">
        <v>-6.6316840000000002E-2</v>
      </c>
      <c r="U1495">
        <v>-0.19247439999999999</v>
      </c>
      <c r="V1495">
        <v>-4.958896E-3</v>
      </c>
      <c r="W1495">
        <v>-6.7864160000000007E-2</v>
      </c>
      <c r="X1495">
        <v>0.99768230000000002</v>
      </c>
      <c r="Y1495">
        <v>5.8214920000000003E-2</v>
      </c>
      <c r="Z1495">
        <v>-9.9886799999999998E-4</v>
      </c>
      <c r="AA1495">
        <v>0.99830359999999996</v>
      </c>
      <c r="AB1495">
        <v>25</v>
      </c>
      <c r="AC1495">
        <v>52.909599999999998</v>
      </c>
      <c r="AD1495">
        <v>-1.1709419999999999</v>
      </c>
      <c r="AE1495">
        <v>-3.3974999999999702</v>
      </c>
      <c r="AF1495">
        <v>3.09430200978646</v>
      </c>
      <c r="AG1495">
        <v>-1.1709419999999999</v>
      </c>
      <c r="AH1495">
        <v>52.902304942164598</v>
      </c>
      <c r="AI1495">
        <v>91.265817581318004</v>
      </c>
      <c r="AJ1495">
        <v>86.6525337804202</v>
      </c>
      <c r="AK1495">
        <v>53.005657040441498</v>
      </c>
      <c r="AL1495">
        <v>93.891320589071697</v>
      </c>
      <c r="AM1495">
        <v>90.284781510222302</v>
      </c>
      <c r="AN1495">
        <v>1.0000000532976601</v>
      </c>
    </row>
    <row r="1496" spans="1:40" x14ac:dyDescent="0.25">
      <c r="A1496" t="str">
        <f>"20190303153804723"</f>
        <v>20190303153804723</v>
      </c>
      <c r="B1496" t="str">
        <f>"1551598684719789"</f>
        <v>1551598684719789</v>
      </c>
      <c r="C1496" t="s">
        <v>40</v>
      </c>
      <c r="D1496">
        <v>4.3557050000000004</v>
      </c>
      <c r="E1496">
        <v>0.5245514</v>
      </c>
      <c r="F1496" t="s">
        <v>43</v>
      </c>
      <c r="G1496">
        <v>-163.74189999999999</v>
      </c>
      <c r="H1496">
        <v>-0.05</v>
      </c>
      <c r="I1496">
        <v>363.87909999999999</v>
      </c>
      <c r="J1496">
        <v>-217.6309</v>
      </c>
      <c r="K1496">
        <v>1.120946</v>
      </c>
      <c r="L1496">
        <v>367.40050000000002</v>
      </c>
      <c r="M1496">
        <v>0.99988719999999998</v>
      </c>
      <c r="N1496">
        <v>-1.3859730000000001E-2</v>
      </c>
      <c r="O1496">
        <v>-5.8135030000000002E-3</v>
      </c>
      <c r="P1496">
        <v>0.99667090000000003</v>
      </c>
      <c r="Q1496">
        <v>-8.1512710000000002E-2</v>
      </c>
      <c r="R1496">
        <v>-1.6148320000000001E-3</v>
      </c>
      <c r="S1496">
        <v>3.0045929999999998</v>
      </c>
      <c r="T1496">
        <v>-6.5108780000000005E-2</v>
      </c>
      <c r="U1496">
        <v>-0.1958618</v>
      </c>
      <c r="V1496">
        <v>-4.2044329999999996E-3</v>
      </c>
      <c r="W1496">
        <v>-6.7689860000000004E-2</v>
      </c>
      <c r="X1496">
        <v>0.99769750000000001</v>
      </c>
      <c r="Y1496">
        <v>5.9223999999999999E-2</v>
      </c>
      <c r="Z1496">
        <v>-1.0065479999999999E-3</v>
      </c>
      <c r="AA1496">
        <v>0.99824420000000003</v>
      </c>
      <c r="AB1496">
        <v>25</v>
      </c>
      <c r="AC1496">
        <v>53.889000000000003</v>
      </c>
      <c r="AD1496">
        <v>-1.1709459999999901</v>
      </c>
      <c r="AE1496">
        <v>-3.5214000000000198</v>
      </c>
      <c r="AF1496">
        <v>3.2065190738730398</v>
      </c>
      <c r="AG1496">
        <v>-1.1709459999999901</v>
      </c>
      <c r="AH1496">
        <v>53.883230396257098</v>
      </c>
      <c r="AI1496">
        <v>91.242711006886097</v>
      </c>
      <c r="AJ1496">
        <v>86.594420934393696</v>
      </c>
      <c r="AK1496">
        <v>53.991252967885103</v>
      </c>
      <c r="AL1496">
        <v>93.881311327425905</v>
      </c>
      <c r="AM1496">
        <v>90.241450780561905</v>
      </c>
      <c r="AN1496">
        <v>0.99999994795495895</v>
      </c>
    </row>
    <row r="1497" spans="1:40" x14ac:dyDescent="0.25">
      <c r="A1497" t="str">
        <f>"20190303153804737"</f>
        <v>20190303153804737</v>
      </c>
      <c r="B1497" t="str">
        <f>"1551598684730524"</f>
        <v>1551598684730524</v>
      </c>
      <c r="C1497" t="s">
        <v>40</v>
      </c>
      <c r="D1497">
        <v>4.3433619999999999</v>
      </c>
      <c r="E1497">
        <v>0.52473630000000004</v>
      </c>
      <c r="F1497" t="s">
        <v>43</v>
      </c>
      <c r="G1497">
        <v>-162.6318</v>
      </c>
      <c r="H1497">
        <v>-0.05</v>
      </c>
      <c r="I1497">
        <v>363.71339999999998</v>
      </c>
      <c r="J1497">
        <v>-217.4744</v>
      </c>
      <c r="K1497">
        <v>1.120949</v>
      </c>
      <c r="L1497">
        <v>367.39949999999999</v>
      </c>
      <c r="M1497">
        <v>0.99988639999999995</v>
      </c>
      <c r="N1497">
        <v>-1.386072E-2</v>
      </c>
      <c r="O1497">
        <v>-5.9341400000000001E-3</v>
      </c>
      <c r="P1497">
        <v>0.99668319999999999</v>
      </c>
      <c r="Q1497">
        <v>-8.1350699999999998E-2</v>
      </c>
      <c r="R1497">
        <v>-2.16825E-3</v>
      </c>
      <c r="S1497">
        <v>3.0044559999999998</v>
      </c>
      <c r="T1497">
        <v>-6.3965679999999997E-2</v>
      </c>
      <c r="U1497">
        <v>-0.20141600000000001</v>
      </c>
      <c r="V1497">
        <v>-3.771553E-3</v>
      </c>
      <c r="W1497">
        <v>-6.7526820000000001E-2</v>
      </c>
      <c r="X1497">
        <v>0.99771030000000005</v>
      </c>
      <c r="Y1497">
        <v>6.0943789999999998E-2</v>
      </c>
      <c r="Z1497">
        <v>-1.026877E-3</v>
      </c>
      <c r="AA1497">
        <v>0.99814069999999999</v>
      </c>
      <c r="AB1497">
        <v>25</v>
      </c>
      <c r="AC1497">
        <v>54.842599999999997</v>
      </c>
      <c r="AD1497">
        <v>-1.170949</v>
      </c>
      <c r="AE1497">
        <v>-3.6861000000000002</v>
      </c>
      <c r="AF1497">
        <v>3.35903578346693</v>
      </c>
      <c r="AG1497">
        <v>-1.170949</v>
      </c>
      <c r="AH1497">
        <v>54.8386233328944</v>
      </c>
      <c r="AI1497">
        <v>91.220942258844005</v>
      </c>
      <c r="AJ1497">
        <v>86.494835126905997</v>
      </c>
      <c r="AK1497">
        <v>54.953879317135403</v>
      </c>
      <c r="AL1497">
        <v>93.871948317003998</v>
      </c>
      <c r="AM1497">
        <v>90.216588963542094</v>
      </c>
      <c r="AN1497">
        <v>0.99999996937871605</v>
      </c>
    </row>
    <row r="1498" spans="1:40" x14ac:dyDescent="0.25">
      <c r="A1498" t="str">
        <f>"20190303153804750"</f>
        <v>20190303153804750</v>
      </c>
      <c r="B1498" t="str">
        <f>"1551598684740286"</f>
        <v>1551598684740286</v>
      </c>
      <c r="C1498" t="s">
        <v>40</v>
      </c>
      <c r="D1498">
        <v>4.3401820000000004</v>
      </c>
      <c r="E1498">
        <v>0.52492190000000005</v>
      </c>
      <c r="F1498" t="s">
        <v>43</v>
      </c>
      <c r="G1498">
        <v>-162.44810000000001</v>
      </c>
      <c r="H1498">
        <v>-0.05</v>
      </c>
      <c r="I1498">
        <v>363.64780000000002</v>
      </c>
      <c r="J1498">
        <v>-217.33789999999999</v>
      </c>
      <c r="K1498">
        <v>1.120949</v>
      </c>
      <c r="L1498">
        <v>367.39859999999999</v>
      </c>
      <c r="M1498">
        <v>0.99988589999999999</v>
      </c>
      <c r="N1498">
        <v>-1.3861470000000001E-2</v>
      </c>
      <c r="O1498">
        <v>-6.0395179999999998E-3</v>
      </c>
      <c r="P1498">
        <v>0.99669450000000004</v>
      </c>
      <c r="Q1498">
        <v>-8.1169370000000005E-2</v>
      </c>
      <c r="R1498">
        <v>-3.4680929999999998E-3</v>
      </c>
      <c r="S1498">
        <v>3.0043329999999999</v>
      </c>
      <c r="T1498">
        <v>-6.3931580000000002E-2</v>
      </c>
      <c r="U1498">
        <v>-0.20483399999999999</v>
      </c>
      <c r="V1498">
        <v>-2.5769859999999999E-3</v>
      </c>
      <c r="W1498">
        <v>-6.7344920000000003E-2</v>
      </c>
      <c r="X1498">
        <v>0.99772640000000001</v>
      </c>
      <c r="Y1498">
        <v>6.1971310000000002E-2</v>
      </c>
      <c r="Z1498">
        <v>-1.043911E-3</v>
      </c>
      <c r="AA1498">
        <v>0.9980774</v>
      </c>
      <c r="AB1498">
        <v>25</v>
      </c>
      <c r="AC1498">
        <v>54.889799999999902</v>
      </c>
      <c r="AD1498">
        <v>-1.170949</v>
      </c>
      <c r="AE1498">
        <v>-3.7507999999999599</v>
      </c>
      <c r="AF1498">
        <v>3.4176437727904898</v>
      </c>
      <c r="AG1498">
        <v>-1.170949</v>
      </c>
      <c r="AH1498">
        <v>54.886591939264697</v>
      </c>
      <c r="AI1498">
        <v>91.2197994294323</v>
      </c>
      <c r="AJ1498">
        <v>86.436942625287202</v>
      </c>
      <c r="AK1498">
        <v>55.005357786543399</v>
      </c>
      <c r="AL1498">
        <v>93.861502416907598</v>
      </c>
      <c r="AM1498">
        <v>90.147986555565197</v>
      </c>
      <c r="AN1498">
        <v>0.99999997418180497</v>
      </c>
    </row>
    <row r="1499" spans="1:40" x14ac:dyDescent="0.25">
      <c r="A1499" t="str">
        <f>"20190303153804762"</f>
        <v>20190303153804762</v>
      </c>
      <c r="B1499" t="str">
        <f>"1551598684750046"</f>
        <v>1551598684750046</v>
      </c>
      <c r="C1499" t="s">
        <v>40</v>
      </c>
      <c r="D1499">
        <v>4.3616720000000004</v>
      </c>
      <c r="E1499">
        <v>0.52509930000000005</v>
      </c>
      <c r="F1499" t="s">
        <v>43</v>
      </c>
      <c r="G1499">
        <v>-162.01159999999999</v>
      </c>
      <c r="H1499">
        <v>-0.05</v>
      </c>
      <c r="I1499">
        <v>363.52440000000001</v>
      </c>
      <c r="J1499">
        <v>-217.1876</v>
      </c>
      <c r="K1499">
        <v>1.1209499999999999</v>
      </c>
      <c r="L1499">
        <v>367.39749999999998</v>
      </c>
      <c r="M1499">
        <v>0.99988509999999997</v>
      </c>
      <c r="N1499">
        <v>-1.3862019999999999E-2</v>
      </c>
      <c r="O1499">
        <v>-6.1557410000000002E-3</v>
      </c>
      <c r="P1499">
        <v>0.99669339999999995</v>
      </c>
      <c r="Q1499">
        <v>-8.11587E-2</v>
      </c>
      <c r="R1499">
        <v>-3.9853620000000001E-3</v>
      </c>
      <c r="S1499">
        <v>3.0040589999999998</v>
      </c>
      <c r="T1499">
        <v>-6.3579199999999905E-2</v>
      </c>
      <c r="U1499">
        <v>-0.21035770000000001</v>
      </c>
      <c r="V1499">
        <v>-2.174975E-3</v>
      </c>
      <c r="W1499">
        <v>-6.7333850000000001E-2</v>
      </c>
      <c r="X1499">
        <v>0.99772810000000001</v>
      </c>
      <c r="Y1499">
        <v>6.3687460000000001E-2</v>
      </c>
      <c r="Z1499">
        <v>-1.0702470000000001E-3</v>
      </c>
      <c r="AA1499">
        <v>0.99796929999999995</v>
      </c>
      <c r="AB1499">
        <v>25</v>
      </c>
      <c r="AC1499">
        <v>55.176000000000002</v>
      </c>
      <c r="AD1499">
        <v>-1.1709499999999999</v>
      </c>
      <c r="AE1499">
        <v>-3.87309999999996</v>
      </c>
      <c r="AF1499">
        <v>3.5317620194318202</v>
      </c>
      <c r="AG1499">
        <v>-1.1709499999999999</v>
      </c>
      <c r="AH1499">
        <v>55.174071185900999</v>
      </c>
      <c r="AI1499">
        <v>91.213313689141998</v>
      </c>
      <c r="AJ1499">
        <v>86.337421695765102</v>
      </c>
      <c r="AK1499">
        <v>55.299390576129099</v>
      </c>
      <c r="AL1499">
        <v>93.860866726964105</v>
      </c>
      <c r="AM1499">
        <v>90.124900451987202</v>
      </c>
      <c r="AN1499">
        <v>0.99999996970084104</v>
      </c>
    </row>
    <row r="1500" spans="1:40" x14ac:dyDescent="0.25">
      <c r="A1500" t="str">
        <f>"20190303153804775"</f>
        <v>20190303153804775</v>
      </c>
      <c r="B1500" t="str">
        <f>"1551598684770541"</f>
        <v>1551598684770541</v>
      </c>
      <c r="C1500" t="s">
        <v>40</v>
      </c>
      <c r="D1500">
        <v>4.3187480000000003</v>
      </c>
      <c r="E1500">
        <v>0.52541300000000002</v>
      </c>
      <c r="F1500" t="s">
        <v>43</v>
      </c>
      <c r="G1500">
        <v>-162.28479999999999</v>
      </c>
      <c r="H1500">
        <v>-0.05</v>
      </c>
      <c r="I1500">
        <v>363.49919999999997</v>
      </c>
      <c r="J1500">
        <v>-217.05690000000001</v>
      </c>
      <c r="K1500">
        <v>1.1209549999999999</v>
      </c>
      <c r="L1500">
        <v>367.39659999999998</v>
      </c>
      <c r="M1500">
        <v>0.99988440000000001</v>
      </c>
      <c r="N1500">
        <v>-1.38624E-2</v>
      </c>
      <c r="O1500">
        <v>-6.2565850000000003E-3</v>
      </c>
      <c r="P1500">
        <v>0.9966931</v>
      </c>
      <c r="Q1500">
        <v>-8.1134620000000005E-2</v>
      </c>
      <c r="R1500">
        <v>-4.5284619999999996E-3</v>
      </c>
      <c r="S1500">
        <v>3.0038909999999999</v>
      </c>
      <c r="T1500">
        <v>-6.4066170000000006E-2</v>
      </c>
      <c r="U1500">
        <v>-0.21328739999999999</v>
      </c>
      <c r="V1500">
        <v>-1.7330030000000001E-3</v>
      </c>
      <c r="W1500">
        <v>-6.7309530000000006E-2</v>
      </c>
      <c r="X1500">
        <v>0.99773060000000002</v>
      </c>
      <c r="Y1500">
        <v>6.4558550000000006E-2</v>
      </c>
      <c r="Z1500">
        <v>-1.0890170000000001E-3</v>
      </c>
      <c r="AA1500">
        <v>0.9979133</v>
      </c>
      <c r="AB1500">
        <v>25</v>
      </c>
      <c r="AC1500">
        <v>54.772100000000002</v>
      </c>
      <c r="AD1500">
        <v>-1.170955</v>
      </c>
      <c r="AE1500">
        <v>-3.8974000000000002</v>
      </c>
      <c r="AF1500">
        <v>3.5529887889892402</v>
      </c>
      <c r="AG1500">
        <v>-1.170955</v>
      </c>
      <c r="AH1500">
        <v>54.770507885450399</v>
      </c>
      <c r="AI1500">
        <v>91.222188842369903</v>
      </c>
      <c r="AJ1500">
        <v>86.288396178392603</v>
      </c>
      <c r="AK1500">
        <v>54.898118355521902</v>
      </c>
      <c r="AL1500">
        <v>93.859470150435698</v>
      </c>
      <c r="AM1500">
        <v>90.0995195074983</v>
      </c>
      <c r="AN1500">
        <v>0.99999996315228801</v>
      </c>
    </row>
    <row r="1501" spans="1:40" x14ac:dyDescent="0.25">
      <c r="A1501" t="str">
        <f>"20190303153804785"</f>
        <v>20190303153804785</v>
      </c>
      <c r="B1501" t="str">
        <f>"1551598684780301"</f>
        <v>1551598684780301</v>
      </c>
      <c r="C1501" t="s">
        <v>40</v>
      </c>
      <c r="D1501">
        <v>4.3177680000000001</v>
      </c>
      <c r="E1501">
        <v>0.52554389999999995</v>
      </c>
      <c r="F1501" t="s">
        <v>43</v>
      </c>
      <c r="G1501">
        <v>-162.83269999999999</v>
      </c>
      <c r="H1501">
        <v>-0.05</v>
      </c>
      <c r="I1501">
        <v>363.47239999999999</v>
      </c>
      <c r="J1501">
        <v>-216.93209999999999</v>
      </c>
      <c r="K1501">
        <v>1.1209549999999999</v>
      </c>
      <c r="L1501">
        <v>367.39569999999998</v>
      </c>
      <c r="M1501">
        <v>0.99988370000000004</v>
      </c>
      <c r="N1501">
        <v>-1.3862650000000001E-2</v>
      </c>
      <c r="O1501">
        <v>-6.3530169999999999E-3</v>
      </c>
      <c r="P1501">
        <v>0.99669209999999997</v>
      </c>
      <c r="Q1501">
        <v>-8.1127099999999994E-2</v>
      </c>
      <c r="R1501">
        <v>-4.8540120000000004E-3</v>
      </c>
      <c r="S1501">
        <v>3.0036770000000002</v>
      </c>
      <c r="T1501">
        <v>-6.4863439999999994E-2</v>
      </c>
      <c r="U1501">
        <v>-0.21737670000000001</v>
      </c>
      <c r="V1501">
        <v>-1.5032139999999999E-3</v>
      </c>
      <c r="W1501">
        <v>-6.7301810000000004E-2</v>
      </c>
      <c r="X1501">
        <v>0.99773149999999999</v>
      </c>
      <c r="Y1501">
        <v>6.5817990000000007E-2</v>
      </c>
      <c r="Z1501">
        <v>-1.1175320000000001E-3</v>
      </c>
      <c r="AA1501">
        <v>0.99783100000000002</v>
      </c>
      <c r="AB1501">
        <v>25</v>
      </c>
      <c r="AC1501">
        <v>54.099400000000003</v>
      </c>
      <c r="AD1501">
        <v>-1.170955</v>
      </c>
      <c r="AE1501">
        <v>-3.9232999999999798</v>
      </c>
      <c r="AF1501">
        <v>3.5778259760472402</v>
      </c>
      <c r="AG1501">
        <v>-1.170955</v>
      </c>
      <c r="AH1501">
        <v>54.098023707963897</v>
      </c>
      <c r="AI1501">
        <v>91.237274890496295</v>
      </c>
      <c r="AJ1501">
        <v>86.216197624233502</v>
      </c>
      <c r="AK1501">
        <v>54.228849733645703</v>
      </c>
      <c r="AL1501">
        <v>93.859026796454799</v>
      </c>
      <c r="AM1501">
        <v>90.086323577772902</v>
      </c>
      <c r="AN1501">
        <v>0.99999996968692695</v>
      </c>
    </row>
    <row r="1502" spans="1:40" x14ac:dyDescent="0.25">
      <c r="A1502" t="str">
        <f>"20190303153804796"</f>
        <v>20190303153804796</v>
      </c>
      <c r="B1502" t="str">
        <f>"1551598684790061"</f>
        <v>1551598684790061</v>
      </c>
      <c r="C1502" t="s">
        <v>40</v>
      </c>
      <c r="D1502">
        <v>4.4975259999999997</v>
      </c>
      <c r="E1502">
        <v>0.52570329999999998</v>
      </c>
      <c r="F1502" t="s">
        <v>43</v>
      </c>
      <c r="G1502">
        <v>-163.16550000000001</v>
      </c>
      <c r="H1502">
        <v>-0.05</v>
      </c>
      <c r="I1502">
        <v>363.46899999999999</v>
      </c>
      <c r="J1502">
        <v>-216.81020000000001</v>
      </c>
      <c r="K1502">
        <v>1.1209559999999901</v>
      </c>
      <c r="L1502">
        <v>367.39479999999998</v>
      </c>
      <c r="M1502">
        <v>0.99988310000000002</v>
      </c>
      <c r="N1502">
        <v>-1.3862799999999899E-2</v>
      </c>
      <c r="O1502">
        <v>-6.4474240000000002E-3</v>
      </c>
      <c r="P1502">
        <v>0.99667600000000001</v>
      </c>
      <c r="Q1502">
        <v>-8.1301479999999995E-2</v>
      </c>
      <c r="R1502">
        <v>-5.216371E-3</v>
      </c>
      <c r="S1502">
        <v>3.0035859999999999</v>
      </c>
      <c r="T1502">
        <v>-6.5413479999999996E-2</v>
      </c>
      <c r="U1502">
        <v>-0.21936040000000001</v>
      </c>
      <c r="V1502">
        <v>-1.234873E-3</v>
      </c>
      <c r="W1502">
        <v>-6.7476350000000004E-2</v>
      </c>
      <c r="X1502">
        <v>0.9977201</v>
      </c>
      <c r="Y1502">
        <v>6.6380930000000005E-2</v>
      </c>
      <c r="Z1502">
        <v>-1.1316900000000001E-3</v>
      </c>
      <c r="AA1502">
        <v>0.99779370000000001</v>
      </c>
      <c r="AB1502">
        <v>25</v>
      </c>
      <c r="AC1502">
        <v>53.6447</v>
      </c>
      <c r="AD1502">
        <v>-1.1709560000000001</v>
      </c>
      <c r="AE1502">
        <v>-3.9257999999999802</v>
      </c>
      <c r="AF1502">
        <v>3.5781192617981499</v>
      </c>
      <c r="AG1502">
        <v>-1.1709560000000001</v>
      </c>
      <c r="AH1502">
        <v>53.643475638524997</v>
      </c>
      <c r="AI1502">
        <v>91.247710031097</v>
      </c>
      <c r="AJ1502">
        <v>86.183918024893302</v>
      </c>
      <c r="AK1502">
        <v>53.7754270460646</v>
      </c>
      <c r="AL1502">
        <v>93.869049907124705</v>
      </c>
      <c r="AM1502">
        <v>90.070914653324195</v>
      </c>
      <c r="AN1502">
        <v>0.999999990332329</v>
      </c>
    </row>
    <row r="1503" spans="1:40" x14ac:dyDescent="0.25">
      <c r="A1503" t="str">
        <f>"20190303153804806"</f>
        <v>20190303153804806</v>
      </c>
      <c r="B1503" t="str">
        <f>"1551598684799821"</f>
        <v>1551598684799821</v>
      </c>
      <c r="C1503" t="s">
        <v>40</v>
      </c>
      <c r="D1503">
        <v>4.3207240000000002</v>
      </c>
      <c r="E1503">
        <v>0.525841</v>
      </c>
      <c r="F1503" t="s">
        <v>43</v>
      </c>
      <c r="G1503">
        <v>-163.50880000000001</v>
      </c>
      <c r="H1503">
        <v>-0.05</v>
      </c>
      <c r="I1503">
        <v>363.45749999999998</v>
      </c>
      <c r="J1503">
        <v>-216.69290000000001</v>
      </c>
      <c r="K1503">
        <v>1.1209579999999999</v>
      </c>
      <c r="L1503">
        <v>367.39400000000001</v>
      </c>
      <c r="M1503">
        <v>0.99988250000000001</v>
      </c>
      <c r="N1503">
        <v>-1.3862899999999999E-2</v>
      </c>
      <c r="O1503">
        <v>-6.5380169999999897E-3</v>
      </c>
      <c r="P1503">
        <v>0.99668009999999996</v>
      </c>
      <c r="Q1503">
        <v>-8.1232040000000005E-2</v>
      </c>
      <c r="R1503">
        <v>-5.4971960000000002E-3</v>
      </c>
      <c r="S1503">
        <v>3.0034640000000001</v>
      </c>
      <c r="T1503">
        <v>-6.5981860000000003E-2</v>
      </c>
      <c r="U1503">
        <v>-0.2218628</v>
      </c>
      <c r="V1503">
        <v>-1.0441020000000001E-3</v>
      </c>
      <c r="W1503">
        <v>-6.7406779999999999E-2</v>
      </c>
      <c r="X1503">
        <v>0.99772499999999997</v>
      </c>
      <c r="Y1503">
        <v>6.7119709999999999E-2</v>
      </c>
      <c r="Z1503">
        <v>-1.149265E-3</v>
      </c>
      <c r="AA1503">
        <v>0.99774430000000003</v>
      </c>
      <c r="AB1503">
        <v>25</v>
      </c>
      <c r="AC1503">
        <v>53.184100000000001</v>
      </c>
      <c r="AD1503">
        <v>-1.1709579999999999</v>
      </c>
      <c r="AE1503">
        <v>-3.9365000000000201</v>
      </c>
      <c r="AF1503">
        <v>3.5869345737718601</v>
      </c>
      <c r="AG1503">
        <v>-1.1709579999999999</v>
      </c>
      <c r="AH1503">
        <v>53.183062360108103</v>
      </c>
      <c r="AI1503">
        <v>91.258447889802099</v>
      </c>
      <c r="AJ1503">
        <v>86.141526431554595</v>
      </c>
      <c r="AK1503">
        <v>53.316745627180097</v>
      </c>
      <c r="AL1503">
        <v>93.865054822781104</v>
      </c>
      <c r="AM1503">
        <v>90.059959022920495</v>
      </c>
      <c r="AN1503">
        <v>0.99999996988197604</v>
      </c>
    </row>
    <row r="1504" spans="1:40" x14ac:dyDescent="0.25">
      <c r="A1504" t="str">
        <f>"20190303153804820"</f>
        <v>20190303153804820</v>
      </c>
      <c r="B1504" t="str">
        <f>"1551598684810556"</f>
        <v>1551598684810556</v>
      </c>
      <c r="C1504" t="s">
        <v>40</v>
      </c>
      <c r="D1504">
        <v>4.3232780000000002</v>
      </c>
      <c r="E1504">
        <v>0.5259528</v>
      </c>
      <c r="F1504" t="s">
        <v>43</v>
      </c>
      <c r="G1504">
        <v>-163.50380000000001</v>
      </c>
      <c r="H1504">
        <v>-0.05</v>
      </c>
      <c r="I1504">
        <v>363.42970000000003</v>
      </c>
      <c r="J1504">
        <v>-216.54900000000001</v>
      </c>
      <c r="K1504">
        <v>1.120959</v>
      </c>
      <c r="L1504">
        <v>367.3929</v>
      </c>
      <c r="M1504">
        <v>0.99988189999999999</v>
      </c>
      <c r="N1504">
        <v>-1.386284E-2</v>
      </c>
      <c r="O1504">
        <v>-6.6493489999999997E-3</v>
      </c>
      <c r="P1504">
        <v>0.99666829999999995</v>
      </c>
      <c r="Q1504">
        <v>-8.1349779999999997E-2</v>
      </c>
      <c r="R1504">
        <v>-5.8778629999999997E-3</v>
      </c>
      <c r="S1504">
        <v>3.003387</v>
      </c>
      <c r="T1504">
        <v>-6.6119549999999999E-2</v>
      </c>
      <c r="U1504">
        <v>-0.2238464</v>
      </c>
      <c r="V1504">
        <v>-7.7482029999999995E-4</v>
      </c>
      <c r="W1504">
        <v>-6.7524760000000003E-2</v>
      </c>
      <c r="X1504">
        <v>0.99771730000000003</v>
      </c>
      <c r="Y1504">
        <v>6.7665530000000002E-2</v>
      </c>
      <c r="Z1504">
        <v>-1.159392E-3</v>
      </c>
      <c r="AA1504">
        <v>0.99770740000000002</v>
      </c>
      <c r="AB1504">
        <v>25</v>
      </c>
      <c r="AC1504">
        <v>53.045200000000001</v>
      </c>
      <c r="AD1504">
        <v>-1.1709590000000001</v>
      </c>
      <c r="AE1504">
        <v>-3.9631999999999699</v>
      </c>
      <c r="AF1504">
        <v>3.6086137648398902</v>
      </c>
      <c r="AG1504">
        <v>-1.1709590000000001</v>
      </c>
      <c r="AH1504">
        <v>53.044677452648102</v>
      </c>
      <c r="AI1504">
        <v>91.261681269630301</v>
      </c>
      <c r="AJ1504">
        <v>86.108181455545207</v>
      </c>
      <c r="AK1504">
        <v>53.180175294360801</v>
      </c>
      <c r="AL1504">
        <v>93.871829890642502</v>
      </c>
      <c r="AM1504">
        <v>90.044495494010604</v>
      </c>
      <c r="AN1504">
        <v>1.00000000213942</v>
      </c>
    </row>
    <row r="1505" spans="1:40" x14ac:dyDescent="0.25">
      <c r="A1505" t="str">
        <f>"20190303153804832"</f>
        <v>20190303153804832</v>
      </c>
      <c r="B1505" t="str">
        <f>"1551598684820316"</f>
        <v>1551598684820316</v>
      </c>
      <c r="C1505" t="s">
        <v>40</v>
      </c>
      <c r="D1505">
        <v>4.3344820000000004</v>
      </c>
      <c r="E1505">
        <v>0.52603080000000002</v>
      </c>
      <c r="F1505" t="s">
        <v>43</v>
      </c>
      <c r="G1505">
        <v>-163.96350000000001</v>
      </c>
      <c r="H1505">
        <v>-0.05</v>
      </c>
      <c r="I1505">
        <v>363.44029999999998</v>
      </c>
      <c r="J1505">
        <v>-216.41030000000001</v>
      </c>
      <c r="K1505">
        <v>1.120959</v>
      </c>
      <c r="L1505">
        <v>367.39190000000002</v>
      </c>
      <c r="M1505">
        <v>0.99988100000000002</v>
      </c>
      <c r="N1505">
        <v>-1.38627E-2</v>
      </c>
      <c r="O1505">
        <v>-6.7562719999999998E-3</v>
      </c>
      <c r="P1505">
        <v>0.99667479999999997</v>
      </c>
      <c r="Q1505">
        <v>-8.1229839999999998E-2</v>
      </c>
      <c r="R1505">
        <v>-6.380569E-3</v>
      </c>
      <c r="S1505">
        <v>3.00325</v>
      </c>
      <c r="T1505">
        <v>-6.6875580000000004E-2</v>
      </c>
      <c r="U1505">
        <v>-0.22573850000000001</v>
      </c>
      <c r="V1505">
        <v>-3.785247E-4</v>
      </c>
      <c r="W1505">
        <v>-6.7405019999999996E-2</v>
      </c>
      <c r="X1505">
        <v>0.99772559999999999</v>
      </c>
      <c r="Y1505">
        <v>6.81866E-2</v>
      </c>
      <c r="Z1505">
        <v>-1.174755E-3</v>
      </c>
      <c r="AA1505">
        <v>0.99767189999999994</v>
      </c>
      <c r="AB1505">
        <v>25</v>
      </c>
      <c r="AC1505">
        <v>52.446800000000003</v>
      </c>
      <c r="AD1505">
        <v>-1.1709590000000001</v>
      </c>
      <c r="AE1505">
        <v>-3.95160000000004</v>
      </c>
      <c r="AF1505">
        <v>3.5953487803852502</v>
      </c>
      <c r="AG1505">
        <v>-1.1709590000000001</v>
      </c>
      <c r="AH1505">
        <v>52.446307663370497</v>
      </c>
      <c r="AI1505">
        <v>91.276025925801406</v>
      </c>
      <c r="AJ1505">
        <v>86.078341255084894</v>
      </c>
      <c r="AK1505">
        <v>52.582438754333197</v>
      </c>
      <c r="AL1505">
        <v>93.864953726916298</v>
      </c>
      <c r="AM1505">
        <v>90.021737306039697</v>
      </c>
      <c r="AN1505">
        <v>0.99999997644875405</v>
      </c>
    </row>
    <row r="1506" spans="1:40" x14ac:dyDescent="0.25">
      <c r="A1506" t="str">
        <f>"20190303153804843"</f>
        <v>20190303153804843</v>
      </c>
      <c r="B1506" t="str">
        <f>"1551598684839837"</f>
        <v>1551598684839837</v>
      </c>
      <c r="C1506" t="s">
        <v>40</v>
      </c>
      <c r="D1506">
        <v>4.3087759999999999</v>
      </c>
      <c r="E1506">
        <v>0.52616549999999995</v>
      </c>
      <c r="F1506" t="s">
        <v>43</v>
      </c>
      <c r="G1506">
        <v>-164.18350000000001</v>
      </c>
      <c r="H1506">
        <v>-0.05</v>
      </c>
      <c r="I1506">
        <v>363.42720000000003</v>
      </c>
      <c r="J1506">
        <v>-216.27709999999999</v>
      </c>
      <c r="K1506">
        <v>1.1209559999999901</v>
      </c>
      <c r="L1506">
        <v>367.39080000000001</v>
      </c>
      <c r="M1506">
        <v>0.9998804</v>
      </c>
      <c r="N1506">
        <v>-1.386244E-2</v>
      </c>
      <c r="O1506">
        <v>-6.8589050000000002E-3</v>
      </c>
      <c r="P1506">
        <v>0.99667810000000001</v>
      </c>
      <c r="Q1506">
        <v>-8.1154649999999995E-2</v>
      </c>
      <c r="R1506">
        <v>-6.8449679999999999E-3</v>
      </c>
      <c r="S1506">
        <v>3.0030519999999998</v>
      </c>
      <c r="T1506">
        <v>-6.7330360000000006E-2</v>
      </c>
      <c r="U1506">
        <v>-0.22796630000000001</v>
      </c>
      <c r="V1506" s="1">
        <v>-1.637416E-5</v>
      </c>
      <c r="W1506">
        <v>-6.7330139999999997E-2</v>
      </c>
      <c r="X1506">
        <v>0.99773069999999997</v>
      </c>
      <c r="Y1506">
        <v>6.8824469999999999E-2</v>
      </c>
      <c r="Z1506">
        <v>-1.189603E-3</v>
      </c>
      <c r="AA1506">
        <v>0.99762810000000002</v>
      </c>
      <c r="AB1506">
        <v>25</v>
      </c>
      <c r="AC1506">
        <v>52.093599999999903</v>
      </c>
      <c r="AD1506">
        <v>-1.1709560000000001</v>
      </c>
      <c r="AE1506">
        <v>-3.96359999999998</v>
      </c>
      <c r="AF1506">
        <v>3.6043567183274599</v>
      </c>
      <c r="AG1506">
        <v>-1.1709560000000001</v>
      </c>
      <c r="AH1506">
        <v>52.093393896395902</v>
      </c>
      <c r="AI1506">
        <v>91.284608255506697</v>
      </c>
      <c r="AJ1506">
        <v>86.041996743978302</v>
      </c>
      <c r="AK1506">
        <v>52.231065592728903</v>
      </c>
      <c r="AL1506">
        <v>93.860653756660398</v>
      </c>
      <c r="AM1506">
        <v>90.000940304093007</v>
      </c>
      <c r="AN1506">
        <v>0.99999994887151</v>
      </c>
    </row>
    <row r="1507" spans="1:40" x14ac:dyDescent="0.25">
      <c r="A1507" t="str">
        <f>"20190303153804856"</f>
        <v>20190303153804856</v>
      </c>
      <c r="B1507" t="str">
        <f>"1551598684850572"</f>
        <v>1551598684850572</v>
      </c>
      <c r="C1507" t="s">
        <v>40</v>
      </c>
      <c r="D1507">
        <v>4.3097750000000001</v>
      </c>
      <c r="E1507">
        <v>0.52621169999999995</v>
      </c>
      <c r="F1507" t="s">
        <v>43</v>
      </c>
      <c r="G1507">
        <v>-164.61420000000001</v>
      </c>
      <c r="H1507">
        <v>-0.05</v>
      </c>
      <c r="I1507">
        <v>363.42419999999998</v>
      </c>
      <c r="J1507">
        <v>-216.1464</v>
      </c>
      <c r="K1507">
        <v>1.120957</v>
      </c>
      <c r="L1507">
        <v>367.38979999999998</v>
      </c>
      <c r="M1507">
        <v>0.99987969999999904</v>
      </c>
      <c r="N1507">
        <v>-1.386211E-2</v>
      </c>
      <c r="O1507">
        <v>-6.959748E-3</v>
      </c>
      <c r="P1507">
        <v>0.99666549999999998</v>
      </c>
      <c r="Q1507">
        <v>-8.1284560000000006E-2</v>
      </c>
      <c r="R1507">
        <v>-7.1316039999999997E-3</v>
      </c>
      <c r="S1507">
        <v>3.0028839999999999</v>
      </c>
      <c r="T1507">
        <v>-6.806123E-2</v>
      </c>
      <c r="U1507">
        <v>-0.2305603</v>
      </c>
      <c r="V1507">
        <v>1.69679E-4</v>
      </c>
      <c r="W1507">
        <v>-6.7460569999999997E-2</v>
      </c>
      <c r="X1507">
        <v>0.99772190000000005</v>
      </c>
      <c r="Y1507">
        <v>6.958404E-2</v>
      </c>
      <c r="Z1507">
        <v>-1.209295E-3</v>
      </c>
      <c r="AA1507">
        <v>0.99757530000000005</v>
      </c>
      <c r="AB1507">
        <v>25</v>
      </c>
      <c r="AC1507">
        <v>51.532199999999897</v>
      </c>
      <c r="AD1507">
        <v>-1.170957</v>
      </c>
      <c r="AE1507">
        <v>-3.96559999999999</v>
      </c>
      <c r="AF1507">
        <v>3.6049679663276302</v>
      </c>
      <c r="AG1507">
        <v>-1.170957</v>
      </c>
      <c r="AH1507">
        <v>51.532103154164702</v>
      </c>
      <c r="AI1507">
        <v>91.298527827398203</v>
      </c>
      <c r="AJ1507">
        <v>85.998348890821703</v>
      </c>
      <c r="AK1507">
        <v>51.671313025948599</v>
      </c>
      <c r="AL1507">
        <v>93.8681437800129</v>
      </c>
      <c r="AM1507">
        <v>89.9902559115137</v>
      </c>
      <c r="AN1507">
        <v>0.99999997351764802</v>
      </c>
    </row>
    <row r="1508" spans="1:40" x14ac:dyDescent="0.25">
      <c r="A1508" t="str">
        <f>"20190303153804867"</f>
        <v>20190303153804867</v>
      </c>
      <c r="B1508" t="str">
        <f>"1551598684860332"</f>
        <v>1551598684860332</v>
      </c>
      <c r="C1508" t="s">
        <v>40</v>
      </c>
      <c r="D1508">
        <v>4.331582</v>
      </c>
      <c r="E1508">
        <v>0.52628079999999999</v>
      </c>
      <c r="F1508" t="s">
        <v>43</v>
      </c>
      <c r="G1508">
        <v>-165.23009999999999</v>
      </c>
      <c r="H1508">
        <v>-0.05</v>
      </c>
      <c r="I1508">
        <v>363.45960000000002</v>
      </c>
      <c r="J1508">
        <v>-216.00739999999999</v>
      </c>
      <c r="K1508">
        <v>1.1209559999999901</v>
      </c>
      <c r="L1508">
        <v>367.3888</v>
      </c>
      <c r="M1508">
        <v>0.99987890000000001</v>
      </c>
      <c r="N1508">
        <v>-1.3861709999999999E-2</v>
      </c>
      <c r="O1508">
        <v>-7.0669060000000004E-3</v>
      </c>
      <c r="P1508">
        <v>0.99665550000000003</v>
      </c>
      <c r="Q1508">
        <v>-8.1362450000000003E-2</v>
      </c>
      <c r="R1508">
        <v>-7.6030809999999898E-3</v>
      </c>
      <c r="S1508">
        <v>3.0027469999999998</v>
      </c>
      <c r="T1508">
        <v>-6.9056270000000003E-2</v>
      </c>
      <c r="U1508">
        <v>-0.23178099999999999</v>
      </c>
      <c r="V1508">
        <v>5.3442460000000002E-4</v>
      </c>
      <c r="W1508">
        <v>-6.7539089999999996E-2</v>
      </c>
      <c r="X1508">
        <v>0.99771650000000001</v>
      </c>
      <c r="Y1508">
        <v>6.9883000000000001E-2</v>
      </c>
      <c r="Z1508">
        <v>-1.2230419999999999E-3</v>
      </c>
      <c r="AA1508">
        <v>0.99755439999999995</v>
      </c>
      <c r="AB1508">
        <v>25</v>
      </c>
      <c r="AC1508">
        <v>50.777299999999997</v>
      </c>
      <c r="AD1508">
        <v>-1.1709560000000001</v>
      </c>
      <c r="AE1508">
        <v>-3.9291999999999798</v>
      </c>
      <c r="AF1508">
        <v>3.5683426404643899</v>
      </c>
      <c r="AG1508">
        <v>-1.1709560000000001</v>
      </c>
      <c r="AH1508">
        <v>50.776959693858799</v>
      </c>
      <c r="AI1508">
        <v>91.317802027262999</v>
      </c>
      <c r="AJ1508">
        <v>85.980157059793896</v>
      </c>
      <c r="AK1508">
        <v>50.915654202862299</v>
      </c>
      <c r="AL1508">
        <v>93.872652770528504</v>
      </c>
      <c r="AM1508">
        <v>89.969309647460506</v>
      </c>
      <c r="AN1508">
        <v>1.0000000143299601</v>
      </c>
    </row>
    <row r="1509" spans="1:40" x14ac:dyDescent="0.25">
      <c r="A1509" t="str">
        <f>"20190303153804878"</f>
        <v>20190303153804878</v>
      </c>
      <c r="B1509" t="str">
        <f>"1551598684870093"</f>
        <v>1551598684870093</v>
      </c>
      <c r="C1509" t="s">
        <v>40</v>
      </c>
      <c r="D1509">
        <v>4.3222829999999997</v>
      </c>
      <c r="E1509">
        <v>0.52623819999999999</v>
      </c>
      <c r="F1509" t="s">
        <v>43</v>
      </c>
      <c r="G1509">
        <v>-165.47499999999999</v>
      </c>
      <c r="H1509">
        <v>-0.05</v>
      </c>
      <c r="I1509">
        <v>363.45100000000002</v>
      </c>
      <c r="J1509">
        <v>-215.8852</v>
      </c>
      <c r="K1509">
        <v>1.120946</v>
      </c>
      <c r="L1509">
        <v>367.38780000000003</v>
      </c>
      <c r="M1509">
        <v>0.9998783</v>
      </c>
      <c r="N1509">
        <v>-1.386125E-2</v>
      </c>
      <c r="O1509">
        <v>-7.1629909999999996E-3</v>
      </c>
      <c r="P1509">
        <v>0.99662010000000001</v>
      </c>
      <c r="Q1509">
        <v>-8.1784049999999997E-2</v>
      </c>
      <c r="R1509">
        <v>-7.7204939999999996E-3</v>
      </c>
      <c r="S1509">
        <v>3.0025940000000002</v>
      </c>
      <c r="T1509">
        <v>-6.9577340000000001E-2</v>
      </c>
      <c r="U1509">
        <v>-0.2339783</v>
      </c>
      <c r="V1509">
        <v>5.5616539999999999E-4</v>
      </c>
      <c r="W1509">
        <v>-6.7961599999999997E-2</v>
      </c>
      <c r="X1509">
        <v>0.99768780000000001</v>
      </c>
      <c r="Y1509">
        <v>7.0516010000000004E-2</v>
      </c>
      <c r="Z1509">
        <v>-1.2387019999999999E-3</v>
      </c>
      <c r="AA1509">
        <v>0.99750989999999995</v>
      </c>
      <c r="AB1509">
        <v>25</v>
      </c>
      <c r="AC1509">
        <v>50.410200000000003</v>
      </c>
      <c r="AD1509">
        <v>-1.1709459999999901</v>
      </c>
      <c r="AE1509">
        <v>-3.9368000000000598</v>
      </c>
      <c r="AF1509">
        <v>3.5736599887715701</v>
      </c>
      <c r="AG1509">
        <v>-1.1709459999999901</v>
      </c>
      <c r="AH1509">
        <v>50.410074269395302</v>
      </c>
      <c r="AI1509">
        <v>91.3273207695796</v>
      </c>
      <c r="AJ1509">
        <v>85.944984040396605</v>
      </c>
      <c r="AK1509">
        <v>50.550150821696</v>
      </c>
      <c r="AL1509">
        <v>93.896916549223505</v>
      </c>
      <c r="AM1509">
        <v>89.968060222014898</v>
      </c>
      <c r="AN1509">
        <v>1.0000000173316701</v>
      </c>
    </row>
    <row r="1510" spans="1:40" x14ac:dyDescent="0.25">
      <c r="A1510" t="str">
        <f>"20190303153804891"</f>
        <v>20190303153804891</v>
      </c>
      <c r="B1510" t="str">
        <f>"1551598684879853"</f>
        <v>1551598684879853</v>
      </c>
      <c r="C1510" t="s">
        <v>40</v>
      </c>
      <c r="D1510">
        <v>4.3193699999999904</v>
      </c>
      <c r="E1510">
        <v>0.52619189999999905</v>
      </c>
      <c r="F1510" t="s">
        <v>43</v>
      </c>
      <c r="G1510">
        <v>-167.05779999999999</v>
      </c>
      <c r="H1510">
        <v>-0.05</v>
      </c>
      <c r="I1510">
        <v>363.59120000000001</v>
      </c>
      <c r="J1510">
        <v>-215.75309999999999</v>
      </c>
      <c r="K1510">
        <v>1.1209439999999999</v>
      </c>
      <c r="L1510">
        <v>367.38670000000002</v>
      </c>
      <c r="M1510">
        <v>0.99987749999999997</v>
      </c>
      <c r="N1510">
        <v>-1.386073E-2</v>
      </c>
      <c r="O1510">
        <v>-7.2682659999999998E-3</v>
      </c>
      <c r="P1510">
        <v>0.99659560000000003</v>
      </c>
      <c r="Q1510">
        <v>-8.2082539999999996E-2</v>
      </c>
      <c r="R1510">
        <v>-7.730921E-3</v>
      </c>
      <c r="S1510">
        <v>3.0024410000000001</v>
      </c>
      <c r="T1510">
        <v>-7.2002529999999995E-2</v>
      </c>
      <c r="U1510">
        <v>-0.23345949999999999</v>
      </c>
      <c r="V1510">
        <v>4.614447E-4</v>
      </c>
      <c r="W1510">
        <v>-6.8260890000000005E-2</v>
      </c>
      <c r="X1510">
        <v>0.99766739999999998</v>
      </c>
      <c r="Y1510">
        <v>7.0242040000000006E-2</v>
      </c>
      <c r="Z1510">
        <v>-1.2551260000000001E-3</v>
      </c>
      <c r="AA1510">
        <v>0.9975292</v>
      </c>
      <c r="AB1510">
        <v>25</v>
      </c>
      <c r="AC1510">
        <v>48.695300000000003</v>
      </c>
      <c r="AD1510">
        <v>-1.170944</v>
      </c>
      <c r="AE1510">
        <v>-3.7955000000000001</v>
      </c>
      <c r="AF1510">
        <v>3.4394585448144901</v>
      </c>
      <c r="AG1510">
        <v>-1.170944</v>
      </c>
      <c r="AH1510">
        <v>48.693616930976098</v>
      </c>
      <c r="AI1510">
        <v>91.374113912098593</v>
      </c>
      <c r="AJ1510">
        <v>85.959640916301694</v>
      </c>
      <c r="AK1510">
        <v>48.828980275583</v>
      </c>
      <c r="AL1510">
        <v>93.914104579848896</v>
      </c>
      <c r="AM1510">
        <v>89.973499352686702</v>
      </c>
      <c r="AN1510">
        <v>1.00000000152878</v>
      </c>
    </row>
    <row r="1511" spans="1:40" x14ac:dyDescent="0.25">
      <c r="A1511" t="str">
        <f>"20190303153804903"</f>
        <v>20190303153804903</v>
      </c>
      <c r="B1511" t="str">
        <f>"1551598684900349"</f>
        <v>1551598684900349</v>
      </c>
      <c r="C1511" t="s">
        <v>40</v>
      </c>
      <c r="D1511">
        <v>4.2928420000000003</v>
      </c>
      <c r="E1511">
        <v>0.52611940000000001</v>
      </c>
      <c r="F1511" t="s">
        <v>43</v>
      </c>
      <c r="G1511">
        <v>-168.36580000000001</v>
      </c>
      <c r="H1511">
        <v>-0.05</v>
      </c>
      <c r="I1511">
        <v>363.7063</v>
      </c>
      <c r="J1511">
        <v>-215.6123</v>
      </c>
      <c r="K1511">
        <v>1.1209370000000001</v>
      </c>
      <c r="L1511">
        <v>367.38560000000001</v>
      </c>
      <c r="M1511">
        <v>0.9998766</v>
      </c>
      <c r="N1511">
        <v>-1.386009E-2</v>
      </c>
      <c r="O1511">
        <v>-7.3893369999999898E-3</v>
      </c>
      <c r="P1511">
        <v>0.99660970000000004</v>
      </c>
      <c r="Q1511">
        <v>-8.1897330000000004E-2</v>
      </c>
      <c r="R1511">
        <v>-7.8730220000000004E-3</v>
      </c>
      <c r="S1511">
        <v>3.002335</v>
      </c>
      <c r="T1511">
        <v>-7.4187989999999995E-2</v>
      </c>
      <c r="U1511">
        <v>-0.2331848</v>
      </c>
      <c r="V1511">
        <v>4.8191029999999999E-4</v>
      </c>
      <c r="W1511">
        <v>-6.8076129999999999E-2</v>
      </c>
      <c r="X1511">
        <v>0.99768000000000001</v>
      </c>
      <c r="Y1511">
        <v>7.0031860000000001E-2</v>
      </c>
      <c r="Z1511">
        <v>-1.270001E-3</v>
      </c>
      <c r="AA1511">
        <v>0.99754390000000004</v>
      </c>
      <c r="AB1511">
        <v>25</v>
      </c>
      <c r="AC1511">
        <v>47.246499999999997</v>
      </c>
      <c r="AD1511">
        <v>-1.1709369999999999</v>
      </c>
      <c r="AE1511">
        <v>-3.6793000000000098</v>
      </c>
      <c r="AF1511">
        <v>3.3280138386553602</v>
      </c>
      <c r="AG1511">
        <v>-1.1709369999999999</v>
      </c>
      <c r="AH1511">
        <v>47.243556776803402</v>
      </c>
      <c r="AI1511">
        <v>91.416283574599504</v>
      </c>
      <c r="AJ1511">
        <v>85.970526169077402</v>
      </c>
      <c r="AK1511">
        <v>47.375103445705598</v>
      </c>
      <c r="AL1511">
        <v>93.903493985940102</v>
      </c>
      <c r="AM1511">
        <v>89.9723243683882</v>
      </c>
      <c r="AN1511">
        <v>0.99999998705665705</v>
      </c>
    </row>
    <row r="1512" spans="1:40" x14ac:dyDescent="0.25">
      <c r="A1512" t="str">
        <f>"20190303153804917"</f>
        <v>20190303153804917</v>
      </c>
      <c r="B1512" t="str">
        <f>"1551598684910109"</f>
        <v>1551598684910109</v>
      </c>
      <c r="C1512" t="s">
        <v>40</v>
      </c>
      <c r="D1512">
        <v>4.2928850000000001</v>
      </c>
      <c r="E1512">
        <v>0.52619189999999905</v>
      </c>
      <c r="F1512" t="s">
        <v>43</v>
      </c>
      <c r="G1512">
        <v>-169.4676</v>
      </c>
      <c r="H1512">
        <v>-0.05</v>
      </c>
      <c r="I1512">
        <v>363.79899999999998</v>
      </c>
      <c r="J1512">
        <v>-215.44900000000001</v>
      </c>
      <c r="K1512">
        <v>1.1209150000000001</v>
      </c>
      <c r="L1512">
        <v>367.38420000000002</v>
      </c>
      <c r="M1512">
        <v>0.99987570000000003</v>
      </c>
      <c r="N1512">
        <v>-1.385927E-2</v>
      </c>
      <c r="O1512">
        <v>-7.540644E-3</v>
      </c>
      <c r="P1512">
        <v>0.99662039999999996</v>
      </c>
      <c r="Q1512">
        <v>-8.1707119999999994E-2</v>
      </c>
      <c r="R1512">
        <v>-8.4826060000000002E-3</v>
      </c>
      <c r="S1512">
        <v>3.0021059999999999</v>
      </c>
      <c r="T1512">
        <v>-7.6179269999999993E-2</v>
      </c>
      <c r="U1512">
        <v>-0.2333374</v>
      </c>
      <c r="V1512">
        <v>9.3935999999999998E-4</v>
      </c>
      <c r="W1512">
        <v>-6.7886730000000006E-2</v>
      </c>
      <c r="X1512">
        <v>0.99769260000000004</v>
      </c>
      <c r="Y1512">
        <v>6.9935810000000001E-2</v>
      </c>
      <c r="Z1512">
        <v>-1.28469E-3</v>
      </c>
      <c r="AA1512">
        <v>0.99755070000000001</v>
      </c>
      <c r="AB1512">
        <v>25</v>
      </c>
      <c r="AC1512">
        <v>45.981400000000001</v>
      </c>
      <c r="AD1512">
        <v>-1.1709149999999999</v>
      </c>
      <c r="AE1512">
        <v>-3.58519999999998</v>
      </c>
      <c r="AF1512">
        <v>3.23624952605133</v>
      </c>
      <c r="AG1512">
        <v>-1.1709149999999999</v>
      </c>
      <c r="AH1512">
        <v>45.977495135707699</v>
      </c>
      <c r="AI1512">
        <v>91.455244978276099</v>
      </c>
      <c r="AJ1512">
        <v>85.973723153730603</v>
      </c>
      <c r="AK1512">
        <v>46.106121197581999</v>
      </c>
      <c r="AL1512">
        <v>93.892616923258203</v>
      </c>
      <c r="AM1512">
        <v>89.946054177870494</v>
      </c>
      <c r="AN1512">
        <v>1.00000000730103</v>
      </c>
    </row>
    <row r="1513" spans="1:40" x14ac:dyDescent="0.25">
      <c r="A1513" t="str">
        <f>"20190303153804934"</f>
        <v>20190303153804934</v>
      </c>
      <c r="B1513" t="str">
        <f>"1551598684930606"</f>
        <v>1551598684930606</v>
      </c>
      <c r="C1513" t="s">
        <v>40</v>
      </c>
      <c r="D1513">
        <v>4.2955399999999999</v>
      </c>
      <c r="E1513">
        <v>0.52638050000000003</v>
      </c>
      <c r="F1513" t="s">
        <v>43</v>
      </c>
      <c r="G1513">
        <v>-169.18639999999999</v>
      </c>
      <c r="H1513">
        <v>-0.05</v>
      </c>
      <c r="I1513">
        <v>363.7525</v>
      </c>
      <c r="J1513">
        <v>-215.27459999999999</v>
      </c>
      <c r="K1513">
        <v>1.120897</v>
      </c>
      <c r="L1513">
        <v>367.3827</v>
      </c>
      <c r="M1513">
        <v>0.99987420000000005</v>
      </c>
      <c r="N1513">
        <v>-1.385836E-2</v>
      </c>
      <c r="O1513">
        <v>-7.7183950000000003E-3</v>
      </c>
      <c r="P1513">
        <v>0.99666359999999998</v>
      </c>
      <c r="Q1513">
        <v>-8.1088770000000004E-2</v>
      </c>
      <c r="R1513">
        <v>-9.2931990000000003E-3</v>
      </c>
      <c r="S1513">
        <v>3.0019230000000001</v>
      </c>
      <c r="T1513">
        <v>-7.5979229999999995E-2</v>
      </c>
      <c r="U1513">
        <v>-0.2356567</v>
      </c>
      <c r="V1513">
        <v>1.5700289999999999E-3</v>
      </c>
      <c r="W1513">
        <v>-6.7268980000000006E-2</v>
      </c>
      <c r="X1513">
        <v>0.99773369999999995</v>
      </c>
      <c r="Y1513">
        <v>7.0529060000000005E-2</v>
      </c>
      <c r="Z1513">
        <v>-1.292442E-3</v>
      </c>
      <c r="AA1513">
        <v>0.99750890000000003</v>
      </c>
      <c r="AB1513">
        <v>25</v>
      </c>
      <c r="AC1513">
        <v>46.088200000000001</v>
      </c>
      <c r="AD1513">
        <v>-1.1708969999999901</v>
      </c>
      <c r="AE1513">
        <v>-3.6301999999999999</v>
      </c>
      <c r="AF1513">
        <v>3.2722317400544898</v>
      </c>
      <c r="AG1513">
        <v>-1.1708969999999901</v>
      </c>
      <c r="AH1513">
        <v>46.085286884573499</v>
      </c>
      <c r="AI1513">
        <v>91.451757468284299</v>
      </c>
      <c r="AJ1513">
        <v>85.938596475737597</v>
      </c>
      <c r="AK1513">
        <v>46.216146178350598</v>
      </c>
      <c r="AL1513">
        <v>93.857141160796004</v>
      </c>
      <c r="AM1513">
        <v>89.909839708568001</v>
      </c>
      <c r="AN1513">
        <v>1.00000005838849</v>
      </c>
    </row>
    <row r="1514" spans="1:40" x14ac:dyDescent="0.25">
      <c r="A1514" t="str">
        <f>"20190303153804951"</f>
        <v>20190303153804951</v>
      </c>
      <c r="B1514" t="str">
        <f>"1551598684940367"</f>
        <v>1551598684940367</v>
      </c>
      <c r="C1514" t="s">
        <v>40</v>
      </c>
      <c r="D1514">
        <v>4.3022879999999999</v>
      </c>
      <c r="E1514">
        <v>0.52646340000000003</v>
      </c>
      <c r="F1514" t="s">
        <v>43</v>
      </c>
      <c r="G1514">
        <v>-168.089</v>
      </c>
      <c r="H1514">
        <v>-0.05</v>
      </c>
      <c r="I1514">
        <v>363.61259999999999</v>
      </c>
      <c r="J1514">
        <v>-215.0866</v>
      </c>
      <c r="K1514">
        <v>1.120868</v>
      </c>
      <c r="L1514">
        <v>367.38099999999997</v>
      </c>
      <c r="M1514">
        <v>0.99987250000000005</v>
      </c>
      <c r="N1514">
        <v>-1.3857309999999999E-2</v>
      </c>
      <c r="O1514">
        <v>-7.9375509999999993E-3</v>
      </c>
      <c r="P1514">
        <v>0.99663820000000003</v>
      </c>
      <c r="Q1514">
        <v>-8.1162349999999994E-2</v>
      </c>
      <c r="R1514">
        <v>-1.117423E-2</v>
      </c>
      <c r="S1514">
        <v>3.0017399999999999</v>
      </c>
      <c r="T1514">
        <v>-7.4487330000000004E-2</v>
      </c>
      <c r="U1514">
        <v>-0.23983760000000001</v>
      </c>
      <c r="V1514">
        <v>3.2286680000000001E-3</v>
      </c>
      <c r="W1514">
        <v>-6.7344639999999997E-2</v>
      </c>
      <c r="X1514">
        <v>0.99772450000000001</v>
      </c>
      <c r="Y1514">
        <v>7.1696369999999995E-2</v>
      </c>
      <c r="Z1514">
        <v>-1.2989220000000001E-3</v>
      </c>
      <c r="AA1514">
        <v>0.99742569999999997</v>
      </c>
      <c r="AB1514">
        <v>25</v>
      </c>
      <c r="AC1514">
        <v>46.997599999999899</v>
      </c>
      <c r="AD1514">
        <v>-1.170868</v>
      </c>
      <c r="AE1514">
        <v>-3.7683999999999802</v>
      </c>
      <c r="AF1514">
        <v>3.3931070370470402</v>
      </c>
      <c r="AG1514">
        <v>-1.170868</v>
      </c>
      <c r="AH1514">
        <v>46.997050327950802</v>
      </c>
      <c r="AI1514">
        <v>91.423448120209102</v>
      </c>
      <c r="AJ1514">
        <v>85.870507422473295</v>
      </c>
      <c r="AK1514">
        <v>47.1339245848065</v>
      </c>
      <c r="AL1514">
        <v>93.861486425817702</v>
      </c>
      <c r="AM1514">
        <v>89.814589694726294</v>
      </c>
      <c r="AN1514">
        <v>0.99999995136701503</v>
      </c>
    </row>
    <row r="1515" spans="1:40" x14ac:dyDescent="0.25">
      <c r="A1515" t="str">
        <f>"20190303153804965"</f>
        <v>20190303153804965</v>
      </c>
      <c r="B1515" t="str">
        <f>"1551598684959885"</f>
        <v>1551598684959885</v>
      </c>
      <c r="C1515" t="s">
        <v>40</v>
      </c>
      <c r="D1515">
        <v>4.306616</v>
      </c>
      <c r="E1515">
        <v>0.52655350000000001</v>
      </c>
      <c r="F1515" t="s">
        <v>43</v>
      </c>
      <c r="G1515">
        <v>-168.3689</v>
      </c>
      <c r="H1515">
        <v>-0.05</v>
      </c>
      <c r="I1515">
        <v>363.54880000000003</v>
      </c>
      <c r="J1515">
        <v>-214.92</v>
      </c>
      <c r="K1515">
        <v>1.1208340000000001</v>
      </c>
      <c r="L1515">
        <v>367.37950000000001</v>
      </c>
      <c r="M1515">
        <v>0.9998707</v>
      </c>
      <c r="N1515">
        <v>-1.385637E-2</v>
      </c>
      <c r="O1515">
        <v>-8.1664549999999995E-3</v>
      </c>
      <c r="P1515">
        <v>0.99657260000000003</v>
      </c>
      <c r="Q1515">
        <v>-8.1809209999999993E-2</v>
      </c>
      <c r="R1515">
        <v>-1.227074E-2</v>
      </c>
      <c r="S1515">
        <v>3.0012210000000001</v>
      </c>
      <c r="T1515">
        <v>-7.5218320000000005E-2</v>
      </c>
      <c r="U1515">
        <v>-0.2461853</v>
      </c>
      <c r="V1515">
        <v>4.0924100000000003E-3</v>
      </c>
      <c r="W1515">
        <v>-6.7993919999999999E-2</v>
      </c>
      <c r="X1515">
        <v>0.99767729999999999</v>
      </c>
      <c r="Y1515">
        <v>7.3575970000000004E-2</v>
      </c>
      <c r="Z1515">
        <v>-1.33976E-3</v>
      </c>
      <c r="AA1515">
        <v>0.99728870000000003</v>
      </c>
      <c r="AB1515">
        <v>25</v>
      </c>
      <c r="AC1515">
        <v>46.551099999999899</v>
      </c>
      <c r="AD1515">
        <v>-1.1708339999999999</v>
      </c>
      <c r="AE1515">
        <v>-3.83069999999997</v>
      </c>
      <c r="AF1515">
        <v>3.4482116190063099</v>
      </c>
      <c r="AG1515">
        <v>-1.1708339999999999</v>
      </c>
      <c r="AH1515">
        <v>46.551583085542703</v>
      </c>
      <c r="AI1515">
        <v>91.436826287037206</v>
      </c>
      <c r="AJ1515">
        <v>85.763671050301596</v>
      </c>
      <c r="AK1515">
        <v>46.693799410576901</v>
      </c>
      <c r="AL1515">
        <v>93.898772874081899</v>
      </c>
      <c r="AM1515">
        <v>89.7649776075381</v>
      </c>
      <c r="AN1515">
        <v>0.999999957955931</v>
      </c>
    </row>
    <row r="1516" spans="1:40" x14ac:dyDescent="0.25">
      <c r="A1516" t="str">
        <f>"20190303153804977"</f>
        <v>20190303153804977</v>
      </c>
      <c r="B1516" t="str">
        <f>"1551598684970621"</f>
        <v>1551598684970621</v>
      </c>
      <c r="C1516" t="s">
        <v>40</v>
      </c>
      <c r="D1516">
        <v>4.3078089999999998</v>
      </c>
      <c r="E1516">
        <v>0.52657940000000003</v>
      </c>
      <c r="F1516" t="s">
        <v>43</v>
      </c>
      <c r="G1516">
        <v>-169.90610000000001</v>
      </c>
      <c r="H1516">
        <v>-0.05</v>
      </c>
      <c r="I1516">
        <v>363.62979999999999</v>
      </c>
      <c r="J1516">
        <v>-214.7963</v>
      </c>
      <c r="K1516">
        <v>1.1208049999999901</v>
      </c>
      <c r="L1516">
        <v>367.37830000000002</v>
      </c>
      <c r="M1516">
        <v>0.99986920000000001</v>
      </c>
      <c r="N1516">
        <v>-1.385567E-2</v>
      </c>
      <c r="O1516">
        <v>-8.3592919999999904E-3</v>
      </c>
      <c r="P1516">
        <v>0.99646310000000005</v>
      </c>
      <c r="Q1516">
        <v>-8.2963170000000003E-2</v>
      </c>
      <c r="R1516">
        <v>-1.3367449999999999E-2</v>
      </c>
      <c r="S1516">
        <v>3.000839</v>
      </c>
      <c r="T1516">
        <v>-7.8053360000000002E-2</v>
      </c>
      <c r="U1516">
        <v>-0.24996950000000001</v>
      </c>
      <c r="V1516">
        <v>4.9927929999999997E-3</v>
      </c>
      <c r="W1516">
        <v>-6.9150649999999994E-2</v>
      </c>
      <c r="X1516">
        <v>0.99759379999999998</v>
      </c>
      <c r="Y1516">
        <v>7.4640300000000007E-2</v>
      </c>
      <c r="Z1516">
        <v>-1.3856579999999999E-3</v>
      </c>
      <c r="AA1516">
        <v>0.99720949999999997</v>
      </c>
      <c r="AB1516">
        <v>25</v>
      </c>
      <c r="AC1516">
        <v>44.890199999999901</v>
      </c>
      <c r="AD1516">
        <v>-1.1708050000000001</v>
      </c>
      <c r="AE1516">
        <v>-3.7485000000000301</v>
      </c>
      <c r="AF1516">
        <v>3.3708056411526499</v>
      </c>
      <c r="AG1516">
        <v>-1.1708050000000001</v>
      </c>
      <c r="AH1516">
        <v>44.8896445125662</v>
      </c>
      <c r="AI1516">
        <v>91.489848676022504</v>
      </c>
      <c r="AJ1516">
        <v>85.705665324360396</v>
      </c>
      <c r="AK1516">
        <v>45.031248033815501</v>
      </c>
      <c r="AL1516">
        <v>93.965204573422795</v>
      </c>
      <c r="AM1516">
        <v>89.713246435150197</v>
      </c>
      <c r="AN1516">
        <v>1.00000006508789</v>
      </c>
    </row>
    <row r="1517" spans="1:40" x14ac:dyDescent="0.25">
      <c r="A1517" t="str">
        <f>"20190303153804989"</f>
        <v>20190303153804989</v>
      </c>
      <c r="B1517" t="str">
        <f>"1551598684980381"</f>
        <v>1551598684980381</v>
      </c>
      <c r="C1517" t="s">
        <v>40</v>
      </c>
      <c r="D1517">
        <v>4.3137349999999897</v>
      </c>
      <c r="E1517">
        <v>0.52661950000000002</v>
      </c>
      <c r="F1517" t="s">
        <v>45</v>
      </c>
      <c r="G1517">
        <v>-176.70609999999999</v>
      </c>
      <c r="H1517">
        <v>7.9988030000000002E-2</v>
      </c>
      <c r="I1517">
        <v>364.16039999999998</v>
      </c>
      <c r="J1517">
        <v>-214.65639999999999</v>
      </c>
      <c r="K1517">
        <v>1.120768</v>
      </c>
      <c r="L1517">
        <v>367.37689999999998</v>
      </c>
      <c r="M1517">
        <v>0.99986719999999896</v>
      </c>
      <c r="N1517">
        <v>-1.385489E-2</v>
      </c>
      <c r="O1517">
        <v>-8.5907259999999999E-3</v>
      </c>
      <c r="P1517">
        <v>0.99633490000000002</v>
      </c>
      <c r="Q1517">
        <v>-8.4366380000000005E-2</v>
      </c>
      <c r="R1517">
        <v>-1.41177E-2</v>
      </c>
      <c r="S1517">
        <v>3.0004270000000002</v>
      </c>
      <c r="T1517">
        <v>-8.1987019999999994E-2</v>
      </c>
      <c r="U1517">
        <v>-0.25347900000000001</v>
      </c>
      <c r="V1517">
        <v>5.5071879999999997E-3</v>
      </c>
      <c r="W1517">
        <v>-7.0556919999999995E-2</v>
      </c>
      <c r="X1517">
        <v>0.99749259999999995</v>
      </c>
      <c r="Y1517">
        <v>7.5575429999999999E-2</v>
      </c>
      <c r="Z1517">
        <v>-1.439734E-3</v>
      </c>
      <c r="AA1517">
        <v>0.997139</v>
      </c>
      <c r="AB1517">
        <v>25</v>
      </c>
      <c r="AC1517">
        <v>37.950299999999999</v>
      </c>
      <c r="AD1517">
        <v>-1.04077997</v>
      </c>
      <c r="AE1517">
        <v>-3.2164999999999901</v>
      </c>
      <c r="AF1517">
        <v>2.88817262872388</v>
      </c>
      <c r="AG1517">
        <v>-1.04077997</v>
      </c>
      <c r="AH1517">
        <v>37.948195999428798</v>
      </c>
      <c r="AI1517">
        <v>91.566491352782506</v>
      </c>
      <c r="AJ1517">
        <v>85.647706283362197</v>
      </c>
      <c r="AK1517">
        <v>38.072172825967399</v>
      </c>
      <c r="AL1517">
        <v>94.045975285008495</v>
      </c>
      <c r="AM1517">
        <v>89.683671414320997</v>
      </c>
      <c r="AN1517">
        <v>1.00000004756715</v>
      </c>
    </row>
    <row r="1518" spans="1:40" x14ac:dyDescent="0.25">
      <c r="A1518" t="str">
        <f>"20190303153805001"</f>
        <v>20190303153805001</v>
      </c>
      <c r="B1518" t="str">
        <f>"1551598684990142"</f>
        <v>1551598684990142</v>
      </c>
      <c r="C1518" t="s">
        <v>40</v>
      </c>
      <c r="D1518">
        <v>4.3564590000000001</v>
      </c>
      <c r="E1518">
        <v>0.52664800000000001</v>
      </c>
      <c r="F1518" t="s">
        <v>45</v>
      </c>
      <c r="G1518">
        <v>-178.6396</v>
      </c>
      <c r="H1518">
        <v>7.9987939999999993E-2</v>
      </c>
      <c r="I1518">
        <v>364.30189999999999</v>
      </c>
      <c r="J1518">
        <v>-214.52090000000001</v>
      </c>
      <c r="K1518">
        <v>1.120719</v>
      </c>
      <c r="L1518">
        <v>367.37540000000001</v>
      </c>
      <c r="M1518">
        <v>0.9998648</v>
      </c>
      <c r="N1518">
        <v>-1.3854160000000001E-2</v>
      </c>
      <c r="O1518">
        <v>-8.8716760000000002E-3</v>
      </c>
      <c r="P1518">
        <v>0.99620160000000002</v>
      </c>
      <c r="Q1518">
        <v>-8.5747260000000006E-2</v>
      </c>
      <c r="R1518">
        <v>-1.516633E-2</v>
      </c>
      <c r="S1518">
        <v>3.0000610000000001</v>
      </c>
      <c r="T1518">
        <v>-8.6692809999999995E-2</v>
      </c>
      <c r="U1518">
        <v>-0.25613399999999997</v>
      </c>
      <c r="V1518">
        <v>6.2690259999999996E-3</v>
      </c>
      <c r="W1518">
        <v>-7.1941229999999995E-2</v>
      </c>
      <c r="X1518">
        <v>0.99738919999999998</v>
      </c>
      <c r="Y1518">
        <v>7.6177289999999995E-2</v>
      </c>
      <c r="Z1518">
        <v>-1.4941259999999999E-3</v>
      </c>
      <c r="AA1518">
        <v>0.99709309999999995</v>
      </c>
      <c r="AB1518">
        <v>25</v>
      </c>
      <c r="AC1518">
        <v>35.881300000000003</v>
      </c>
      <c r="AD1518">
        <v>-1.0407310599999999</v>
      </c>
      <c r="AE1518">
        <v>-3.0735000000000201</v>
      </c>
      <c r="AF1518">
        <v>2.75272229875408</v>
      </c>
      <c r="AG1518">
        <v>-1.0407310599999999</v>
      </c>
      <c r="AH1518">
        <v>35.877194431880902</v>
      </c>
      <c r="AI1518">
        <v>91.656712067785307</v>
      </c>
      <c r="AJ1518">
        <v>85.612506289480706</v>
      </c>
      <c r="AK1518">
        <v>35.997689946665901</v>
      </c>
      <c r="AL1518">
        <v>94.125492574509494</v>
      </c>
      <c r="AM1518">
        <v>89.639875786253995</v>
      </c>
      <c r="AN1518">
        <v>1.00000002876877</v>
      </c>
    </row>
    <row r="1519" spans="1:40" x14ac:dyDescent="0.25">
      <c r="A1519" t="str">
        <f>"20190303153805015"</f>
        <v>20190303153805015</v>
      </c>
      <c r="B1519" t="str">
        <f>"1551598685010638"</f>
        <v>1551598685010638</v>
      </c>
      <c r="C1519" t="s">
        <v>40</v>
      </c>
      <c r="D1519">
        <v>4.5771300000000004</v>
      </c>
      <c r="E1519">
        <v>0.53292109999999904</v>
      </c>
      <c r="F1519" t="s">
        <v>45</v>
      </c>
      <c r="G1519">
        <v>-179.97790000000001</v>
      </c>
      <c r="H1519">
        <v>7.2081160000000005E-2</v>
      </c>
      <c r="I1519">
        <v>364.3879</v>
      </c>
      <c r="J1519">
        <v>-214.36869999999999</v>
      </c>
      <c r="K1519">
        <v>1.1206640000000001</v>
      </c>
      <c r="L1519">
        <v>367.37369999999999</v>
      </c>
      <c r="M1519">
        <v>0.99986169999999996</v>
      </c>
      <c r="N1519">
        <v>-1.385342E-2</v>
      </c>
      <c r="O1519">
        <v>-9.2220740000000002E-3</v>
      </c>
      <c r="P1519">
        <v>0.99609910000000002</v>
      </c>
      <c r="Q1519">
        <v>-8.6780380000000004E-2</v>
      </c>
      <c r="R1519">
        <v>-1.6012620000000002E-2</v>
      </c>
      <c r="S1519">
        <v>2.9996489999999998</v>
      </c>
      <c r="T1519">
        <v>-9.1061710000000004E-2</v>
      </c>
      <c r="U1519">
        <v>-0.25942989999999999</v>
      </c>
      <c r="V1519">
        <v>6.7572780000000002E-3</v>
      </c>
      <c r="W1519">
        <v>-7.2977479999999997E-2</v>
      </c>
      <c r="X1519">
        <v>0.99731069999999999</v>
      </c>
      <c r="Y1519">
        <v>7.6922710000000005E-2</v>
      </c>
      <c r="Z1519">
        <v>-1.547346E-3</v>
      </c>
      <c r="AA1519">
        <v>0.99703589999999997</v>
      </c>
      <c r="AB1519">
        <v>25</v>
      </c>
      <c r="AC1519">
        <v>34.390799999999899</v>
      </c>
      <c r="AD1519">
        <v>-1.0485828399999999</v>
      </c>
      <c r="AE1519">
        <v>-2.9857999999999798</v>
      </c>
      <c r="AF1519">
        <v>2.6660281877329202</v>
      </c>
      <c r="AG1519">
        <v>-1.0485828399999999</v>
      </c>
      <c r="AH1519">
        <v>34.385148071356603</v>
      </c>
      <c r="AI1519">
        <v>91.741482944338003</v>
      </c>
      <c r="AJ1519">
        <v>85.5664821053483</v>
      </c>
      <c r="AK1519">
        <v>34.5042843739622</v>
      </c>
      <c r="AL1519">
        <v>94.185021916193094</v>
      </c>
      <c r="AM1519">
        <v>89.611798423496097</v>
      </c>
      <c r="AN1519">
        <v>1.0000000028638001</v>
      </c>
    </row>
    <row r="1520" spans="1:40" x14ac:dyDescent="0.25">
      <c r="A1520" t="str">
        <f>"20190303153805028"</f>
        <v>20190303153805028</v>
      </c>
      <c r="B1520" t="str">
        <f>"1551598685020397"</f>
        <v>1551598685020397</v>
      </c>
      <c r="C1520" t="s">
        <v>40</v>
      </c>
      <c r="D1520">
        <v>4.4926209999999998</v>
      </c>
      <c r="E1520">
        <v>0.53292109999999904</v>
      </c>
      <c r="F1520" t="s">
        <v>44</v>
      </c>
      <c r="G1520">
        <v>-213.47149999999999</v>
      </c>
      <c r="H1520">
        <v>1.053267</v>
      </c>
      <c r="I1520">
        <v>367.28019999999998</v>
      </c>
      <c r="J1520">
        <v>-214.21549999999999</v>
      </c>
      <c r="K1520">
        <v>1.1206</v>
      </c>
      <c r="L1520">
        <v>367.37189999999998</v>
      </c>
      <c r="M1520">
        <v>0.99985789999999997</v>
      </c>
      <c r="N1520">
        <v>-1.385276E-2</v>
      </c>
      <c r="O1520">
        <v>-9.6211360000000006E-3</v>
      </c>
      <c r="P1520">
        <v>0.99608779999999997</v>
      </c>
      <c r="Q1520">
        <v>-8.6496589999999998E-2</v>
      </c>
      <c r="R1520">
        <v>-1.8108760000000002E-2</v>
      </c>
      <c r="S1520">
        <v>2.9871669999999999</v>
      </c>
      <c r="T1520">
        <v>-0.22468769999999999</v>
      </c>
      <c r="U1520">
        <v>-0.31079099999999998</v>
      </c>
      <c r="V1520">
        <v>8.4458599999999995E-3</v>
      </c>
      <c r="W1520">
        <v>-7.2696999999999998E-2</v>
      </c>
      <c r="X1520">
        <v>0.99731829999999999</v>
      </c>
      <c r="Y1520">
        <v>9.3615859999999995E-2</v>
      </c>
      <c r="Z1520">
        <v>-3.5698330000000001E-3</v>
      </c>
      <c r="AA1520">
        <v>0.99560199999999999</v>
      </c>
      <c r="AB1520">
        <v>25</v>
      </c>
      <c r="AC1520">
        <v>0.743999999999999</v>
      </c>
      <c r="AD1520">
        <v>-6.7333000000000004E-2</v>
      </c>
      <c r="AE1520">
        <v>-9.1700000000003001E-2</v>
      </c>
      <c r="AF1520">
        <v>8.3860364170820101E-2</v>
      </c>
      <c r="AG1520">
        <v>-6.7333000000000004E-2</v>
      </c>
      <c r="AH1520">
        <v>0.73888661406378997</v>
      </c>
      <c r="AI1520">
        <v>95.173814506544105</v>
      </c>
      <c r="AJ1520">
        <v>83.524889956401296</v>
      </c>
      <c r="AK1520">
        <v>0.74667243287168095</v>
      </c>
      <c r="AL1520">
        <v>94.168908855095395</v>
      </c>
      <c r="AM1520">
        <v>89.514798269854793</v>
      </c>
      <c r="AN1520">
        <v>0.99999998893751396</v>
      </c>
    </row>
    <row r="1521" spans="1:40" x14ac:dyDescent="0.25">
      <c r="A1521" t="str">
        <f>"20190303153805042"</f>
        <v>20190303153805042</v>
      </c>
      <c r="B1521" t="str">
        <f>"1551598685039917"</f>
        <v>1551598685039917</v>
      </c>
      <c r="C1521" t="s">
        <v>40</v>
      </c>
      <c r="D1521">
        <v>4.5879839999999996</v>
      </c>
      <c r="E1521">
        <v>0.57949700000000004</v>
      </c>
      <c r="F1521" t="s">
        <v>45</v>
      </c>
      <c r="G1521">
        <v>-199.2432</v>
      </c>
      <c r="H1521" s="1">
        <v>-9.1968430000000007E-6</v>
      </c>
      <c r="I1521">
        <v>365.78269999999998</v>
      </c>
      <c r="J1521">
        <v>-214.0659</v>
      </c>
      <c r="K1521">
        <v>1.1205369999999999</v>
      </c>
      <c r="L1521">
        <v>367.37</v>
      </c>
      <c r="M1521">
        <v>0.99985329999999994</v>
      </c>
      <c r="N1521">
        <v>-1.3852389999999999E-2</v>
      </c>
      <c r="O1521">
        <v>-1.008862E-2</v>
      </c>
      <c r="P1521">
        <v>0.99613090000000004</v>
      </c>
      <c r="Q1521">
        <v>-8.5678939999999995E-2</v>
      </c>
      <c r="R1521">
        <v>-1.9558300000000001E-2</v>
      </c>
      <c r="S1521">
        <v>2.9865879999999998</v>
      </c>
      <c r="T1521">
        <v>-0.22353210000000001</v>
      </c>
      <c r="U1521">
        <v>-0.31701659999999998</v>
      </c>
      <c r="V1521">
        <v>9.4189530000000007E-3</v>
      </c>
      <c r="W1521">
        <v>-7.1881470000000003E-2</v>
      </c>
      <c r="X1521">
        <v>0.9973687</v>
      </c>
      <c r="Y1521">
        <v>9.522108E-2</v>
      </c>
      <c r="Z1521">
        <v>-3.5984160000000001E-3</v>
      </c>
      <c r="AA1521">
        <v>0.99544969999999999</v>
      </c>
      <c r="AB1521">
        <v>25</v>
      </c>
      <c r="AC1521">
        <v>14.8226999999999</v>
      </c>
      <c r="AD1521">
        <v>-1.1205461968429999</v>
      </c>
      <c r="AE1521">
        <v>-1.5873000000000199</v>
      </c>
      <c r="AF1521">
        <v>1.4295870371453501</v>
      </c>
      <c r="AG1521">
        <v>-1.1205461968429999</v>
      </c>
      <c r="AH1521">
        <v>14.754596360547801</v>
      </c>
      <c r="AI1521">
        <v>94.322857000844195</v>
      </c>
      <c r="AJ1521">
        <v>84.465831651317004</v>
      </c>
      <c r="AK1521">
        <v>14.865983204575601</v>
      </c>
      <c r="AL1521">
        <v>94.122059838580896</v>
      </c>
      <c r="AM1521">
        <v>89.4589260604034</v>
      </c>
      <c r="AN1521">
        <v>0.999999993072333</v>
      </c>
    </row>
    <row r="1522" spans="1:40" x14ac:dyDescent="0.25">
      <c r="A1522" t="str">
        <f>"20190303153805054"</f>
        <v>20190303153805054</v>
      </c>
      <c r="B1522" t="str">
        <f>"1551598685050653"</f>
        <v>1551598685050653</v>
      </c>
      <c r="C1522" t="s">
        <v>40</v>
      </c>
      <c r="D1522">
        <v>4.5777679999999998</v>
      </c>
      <c r="E1522">
        <v>0.58278319999999995</v>
      </c>
      <c r="F1522" t="s">
        <v>45</v>
      </c>
      <c r="G1522">
        <v>-188.45660000000001</v>
      </c>
      <c r="H1522" s="1">
        <v>-6.0405290000000002E-6</v>
      </c>
      <c r="I1522">
        <v>361.42579999999998</v>
      </c>
      <c r="J1522">
        <v>-213.934</v>
      </c>
      <c r="K1522">
        <v>1.1204780000000001</v>
      </c>
      <c r="L1522">
        <v>367.3682</v>
      </c>
      <c r="M1522">
        <v>0.99984850000000003</v>
      </c>
      <c r="N1522">
        <v>-1.3852150000000001E-2</v>
      </c>
      <c r="O1522">
        <v>-1.053756E-2</v>
      </c>
      <c r="P1522">
        <v>0.99615679999999995</v>
      </c>
      <c r="Q1522">
        <v>-8.4981899999999999E-2</v>
      </c>
      <c r="R1522">
        <v>-2.1215970000000001E-2</v>
      </c>
      <c r="S1522">
        <v>2.9867859999999999</v>
      </c>
      <c r="T1522">
        <v>-0.13068759999999999</v>
      </c>
      <c r="U1522">
        <v>-0.69326779999999999</v>
      </c>
      <c r="V1522">
        <v>1.0619389999999999E-2</v>
      </c>
      <c r="W1522">
        <v>-7.1187070000000005E-2</v>
      </c>
      <c r="X1522">
        <v>0.99740640000000003</v>
      </c>
      <c r="Y1522">
        <v>0.2155668</v>
      </c>
      <c r="Z1522">
        <v>-5.8550679999999997E-3</v>
      </c>
      <c r="AA1522">
        <v>0.97647150000000005</v>
      </c>
      <c r="AB1522">
        <v>25</v>
      </c>
      <c r="AC1522">
        <v>25.477399999999999</v>
      </c>
      <c r="AD1522">
        <v>-1.120484040529</v>
      </c>
      <c r="AE1522">
        <v>-5.9424000000000197</v>
      </c>
      <c r="AF1522">
        <v>5.6631860344398897</v>
      </c>
      <c r="AG1522">
        <v>-1.120484040529</v>
      </c>
      <c r="AH1522">
        <v>25.491847242325399</v>
      </c>
      <c r="AI1522">
        <v>92.456969396354296</v>
      </c>
      <c r="AJ1522">
        <v>77.474766878189399</v>
      </c>
      <c r="AK1522">
        <v>26.1373571038046</v>
      </c>
      <c r="AL1522">
        <v>94.082171641827898</v>
      </c>
      <c r="AM1522">
        <v>89.389994651451204</v>
      </c>
      <c r="AN1522">
        <v>0.99999994857005703</v>
      </c>
    </row>
    <row r="1523" spans="1:40" x14ac:dyDescent="0.25">
      <c r="A1523" t="str">
        <f>"20190303153805066"</f>
        <v>20190303153805066</v>
      </c>
      <c r="B1523" t="str">
        <f>"1551598685060413"</f>
        <v>1551598685060413</v>
      </c>
      <c r="C1523" t="s">
        <v>40</v>
      </c>
      <c r="D1523">
        <v>4.5783189999999996</v>
      </c>
      <c r="E1523">
        <v>0.5844241</v>
      </c>
      <c r="F1523" t="s">
        <v>45</v>
      </c>
      <c r="G1523">
        <v>-189.20529999999999</v>
      </c>
      <c r="H1523" s="1">
        <v>-5.974903E-6</v>
      </c>
      <c r="I1523">
        <v>361.3648</v>
      </c>
      <c r="J1523">
        <v>-213.79650000000001</v>
      </c>
      <c r="K1523">
        <v>1.1204130000000001</v>
      </c>
      <c r="L1523">
        <v>367.36630000000002</v>
      </c>
      <c r="M1523">
        <v>0.99984309999999998</v>
      </c>
      <c r="N1523">
        <v>-1.385203E-2</v>
      </c>
      <c r="O1523">
        <v>-1.105458E-2</v>
      </c>
      <c r="P1523">
        <v>0.996139</v>
      </c>
      <c r="Q1523">
        <v>-8.4728929999999994E-2</v>
      </c>
      <c r="R1523">
        <v>-2.2989430000000002E-2</v>
      </c>
      <c r="S1523">
        <v>2.984604</v>
      </c>
      <c r="T1523">
        <v>-0.135236</v>
      </c>
      <c r="U1523">
        <v>-0.72457890000000003</v>
      </c>
      <c r="V1523">
        <v>1.186683E-2</v>
      </c>
      <c r="W1523">
        <v>-7.0937760000000002E-2</v>
      </c>
      <c r="X1523">
        <v>0.99741020000000002</v>
      </c>
      <c r="Y1523">
        <v>0.22487889999999999</v>
      </c>
      <c r="Z1523">
        <v>-6.2578859999999998E-3</v>
      </c>
      <c r="AA1523">
        <v>0.97436659999999997</v>
      </c>
      <c r="AB1523">
        <v>25</v>
      </c>
      <c r="AC1523">
        <v>24.591200000000001</v>
      </c>
      <c r="AD1523">
        <v>-1.12041897490299</v>
      </c>
      <c r="AE1523">
        <v>-6.0015000000000196</v>
      </c>
      <c r="AF1523">
        <v>5.7180590457419402</v>
      </c>
      <c r="AG1523">
        <v>-1.12041897490299</v>
      </c>
      <c r="AH1523">
        <v>24.607836194566801</v>
      </c>
      <c r="AI1523">
        <v>92.539369938575305</v>
      </c>
      <c r="AJ1523">
        <v>76.918474928875</v>
      </c>
      <c r="AK1523">
        <v>25.28828068708</v>
      </c>
      <c r="AL1523">
        <v>94.067850623779293</v>
      </c>
      <c r="AM1523">
        <v>89.318347460069404</v>
      </c>
      <c r="AN1523">
        <v>1.00000004725605</v>
      </c>
    </row>
    <row r="1524" spans="1:40" x14ac:dyDescent="0.25">
      <c r="A1524" t="str">
        <f>"20190303153805077"</f>
        <v>20190303153805077</v>
      </c>
      <c r="B1524" t="str">
        <f>"1551598685070173"</f>
        <v>1551598685070173</v>
      </c>
      <c r="C1524" t="s">
        <v>40</v>
      </c>
      <c r="D1524">
        <v>4.5505890000000004</v>
      </c>
      <c r="E1524">
        <v>0.58574059999999994</v>
      </c>
      <c r="F1524" t="s">
        <v>45</v>
      </c>
      <c r="G1524">
        <v>-189.12880000000001</v>
      </c>
      <c r="H1524" s="1">
        <v>-5.9272060000000004E-6</v>
      </c>
      <c r="I1524">
        <v>361.22140000000002</v>
      </c>
      <c r="J1524">
        <v>-213.67959999999999</v>
      </c>
      <c r="K1524">
        <v>1.120355</v>
      </c>
      <c r="L1524">
        <v>367.36450000000002</v>
      </c>
      <c r="M1524">
        <v>0.99983730000000004</v>
      </c>
      <c r="N1524">
        <v>-1.3852049999999999E-2</v>
      </c>
      <c r="O1524">
        <v>-1.1550009999999999E-2</v>
      </c>
      <c r="P1524">
        <v>0.99607540000000006</v>
      </c>
      <c r="Q1524">
        <v>-8.4990759999999999E-2</v>
      </c>
      <c r="R1524">
        <v>-2.470808E-2</v>
      </c>
      <c r="S1524">
        <v>2.9829409999999998</v>
      </c>
      <c r="T1524">
        <v>-0.13548659999999901</v>
      </c>
      <c r="U1524">
        <v>-0.74307250000000002</v>
      </c>
      <c r="V1524">
        <v>1.308196E-2</v>
      </c>
      <c r="W1524">
        <v>-7.1203779999999994E-2</v>
      </c>
      <c r="X1524">
        <v>0.99737600000000004</v>
      </c>
      <c r="Y1524">
        <v>0.23020599999999999</v>
      </c>
      <c r="Z1524">
        <v>-6.4076599999999999E-3</v>
      </c>
      <c r="AA1524">
        <v>0.97312080000000001</v>
      </c>
      <c r="AB1524">
        <v>25</v>
      </c>
      <c r="AC1524">
        <v>24.550799999999899</v>
      </c>
      <c r="AD1524">
        <v>-1.120360927206</v>
      </c>
      <c r="AE1524">
        <v>-6.1430999999999996</v>
      </c>
      <c r="AF1524">
        <v>5.8476407685886604</v>
      </c>
      <c r="AG1524">
        <v>-1.120360927206</v>
      </c>
      <c r="AH1524">
        <v>24.5719657149338</v>
      </c>
      <c r="AI1524">
        <v>92.539765967184707</v>
      </c>
      <c r="AJ1524">
        <v>76.6137412065642</v>
      </c>
      <c r="AK1524">
        <v>25.283030084654602</v>
      </c>
      <c r="AL1524">
        <v>94.083131276986293</v>
      </c>
      <c r="AM1524">
        <v>89.248530026115503</v>
      </c>
      <c r="AN1524">
        <v>1.0000000006698599</v>
      </c>
    </row>
    <row r="1525" spans="1:40" x14ac:dyDescent="0.25">
      <c r="A1525" t="str">
        <f>"20190303153805088"</f>
        <v>20190303153805088</v>
      </c>
      <c r="B1525" t="str">
        <f>"1551598685079933"</f>
        <v>1551598685079933</v>
      </c>
      <c r="C1525" t="s">
        <v>40</v>
      </c>
      <c r="D1525">
        <v>4.5712279999999996</v>
      </c>
      <c r="E1525">
        <v>0.58688989999999996</v>
      </c>
      <c r="F1525" t="s">
        <v>45</v>
      </c>
      <c r="G1525">
        <v>-189.45670000000001</v>
      </c>
      <c r="H1525" s="1">
        <v>-5.9011850000000002E-6</v>
      </c>
      <c r="I1525">
        <v>361.2022</v>
      </c>
      <c r="J1525">
        <v>-213.554</v>
      </c>
      <c r="K1525">
        <v>1.1202890000000001</v>
      </c>
      <c r="L1525">
        <v>367.36250000000001</v>
      </c>
      <c r="M1525">
        <v>0.99983100000000003</v>
      </c>
      <c r="N1525">
        <v>-1.3852049999999999E-2</v>
      </c>
      <c r="O1525">
        <v>-1.2101560000000001E-2</v>
      </c>
      <c r="P1525">
        <v>0.99599000000000004</v>
      </c>
      <c r="Q1525">
        <v>-8.5443740000000004E-2</v>
      </c>
      <c r="R1525">
        <v>-2.6518730000000001E-2</v>
      </c>
      <c r="S1525">
        <v>2.9812319999999999</v>
      </c>
      <c r="T1525">
        <v>-0.13788810000000001</v>
      </c>
      <c r="U1525">
        <v>-0.75842290000000001</v>
      </c>
      <c r="V1525">
        <v>1.43322999999999E-2</v>
      </c>
      <c r="W1525">
        <v>-7.1661799999999998E-2</v>
      </c>
      <c r="X1525">
        <v>0.99732600000000005</v>
      </c>
      <c r="Y1525">
        <v>0.23449529999999999</v>
      </c>
      <c r="Z1525">
        <v>-6.600519E-3</v>
      </c>
      <c r="AA1525">
        <v>0.97209480000000004</v>
      </c>
      <c r="AB1525">
        <v>25</v>
      </c>
      <c r="AC1525">
        <v>24.097299999999901</v>
      </c>
      <c r="AD1525">
        <v>-1.1202949011850001</v>
      </c>
      <c r="AE1525">
        <v>-6.1603000000000003</v>
      </c>
      <c r="AF1525">
        <v>5.8563247871536701</v>
      </c>
      <c r="AG1525">
        <v>-1.1202949011850001</v>
      </c>
      <c r="AH1525">
        <v>24.1211550332965</v>
      </c>
      <c r="AI1525">
        <v>92.584195480491402</v>
      </c>
      <c r="AJ1525">
        <v>76.353326815762102</v>
      </c>
      <c r="AK1525">
        <v>24.8471672594398</v>
      </c>
      <c r="AL1525">
        <v>94.109441147450994</v>
      </c>
      <c r="AM1525">
        <v>89.176674649745195</v>
      </c>
      <c r="AN1525">
        <v>0.99999998933926404</v>
      </c>
    </row>
    <row r="1526" spans="1:40" x14ac:dyDescent="0.25">
      <c r="A1526" t="str">
        <f>"20190303153805100"</f>
        <v>20190303153805100</v>
      </c>
      <c r="B1526" t="str">
        <f>"1551598685089693"</f>
        <v>1551598685089693</v>
      </c>
      <c r="C1526" t="s">
        <v>40</v>
      </c>
      <c r="D1526">
        <v>4.5520620000000003</v>
      </c>
      <c r="E1526">
        <v>0.58764919999999998</v>
      </c>
      <c r="F1526" t="s">
        <v>45</v>
      </c>
      <c r="G1526">
        <v>-189.77850000000001</v>
      </c>
      <c r="H1526" s="1">
        <v>-5.8789130000000003E-6</v>
      </c>
      <c r="I1526">
        <v>361.19229999999999</v>
      </c>
      <c r="J1526">
        <v>-213.42670000000001</v>
      </c>
      <c r="K1526">
        <v>1.120217</v>
      </c>
      <c r="L1526">
        <v>367.3603</v>
      </c>
      <c r="M1526">
        <v>0.99982289999999996</v>
      </c>
      <c r="N1526">
        <v>-1.385224E-2</v>
      </c>
      <c r="O1526">
        <v>-1.2747130000000001E-2</v>
      </c>
      <c r="P1526">
        <v>0.99593480000000001</v>
      </c>
      <c r="Q1526">
        <v>-8.5510080000000002E-2</v>
      </c>
      <c r="R1526">
        <v>-2.8319190000000001E-2</v>
      </c>
      <c r="S1526">
        <v>2.9794459999999998</v>
      </c>
      <c r="T1526">
        <v>-0.14039079999999901</v>
      </c>
      <c r="U1526">
        <v>-0.77322389999999996</v>
      </c>
      <c r="V1526">
        <v>1.547841E-2</v>
      </c>
      <c r="W1526">
        <v>-7.1732889999999994E-2</v>
      </c>
      <c r="X1526">
        <v>0.99730379999999996</v>
      </c>
      <c r="Y1526">
        <v>0.2385198</v>
      </c>
      <c r="Z1526">
        <v>-6.7885899999999997E-3</v>
      </c>
      <c r="AA1526">
        <v>0.97111389999999997</v>
      </c>
      <c r="AB1526">
        <v>25</v>
      </c>
      <c r="AC1526">
        <v>23.648199999999999</v>
      </c>
      <c r="AD1526">
        <v>-1.120222878913</v>
      </c>
      <c r="AE1526">
        <v>-6.1680000000000001</v>
      </c>
      <c r="AF1526">
        <v>5.8537244124260601</v>
      </c>
      <c r="AG1526">
        <v>-1.120222878913</v>
      </c>
      <c r="AH1526">
        <v>23.675168146061001</v>
      </c>
      <c r="AI1526">
        <v>92.629927985919807</v>
      </c>
      <c r="AJ1526">
        <v>76.112058029733106</v>
      </c>
      <c r="AK1526">
        <v>24.4138193558348</v>
      </c>
      <c r="AL1526">
        <v>94.113524650254007</v>
      </c>
      <c r="AM1526">
        <v>89.110826240302103</v>
      </c>
      <c r="AN1526">
        <v>1.00000002908915</v>
      </c>
    </row>
    <row r="1527" spans="1:40" x14ac:dyDescent="0.25">
      <c r="A1527" t="str">
        <f>"20190303153805115"</f>
        <v>20190303153805115</v>
      </c>
      <c r="B1527" t="str">
        <f>"1551598685110189"</f>
        <v>1551598685110189</v>
      </c>
      <c r="C1527" t="s">
        <v>40</v>
      </c>
      <c r="D1527">
        <v>4.5856620000000001</v>
      </c>
      <c r="E1527">
        <v>0.58870710000000004</v>
      </c>
      <c r="F1527" t="s">
        <v>45</v>
      </c>
      <c r="G1527">
        <v>-189.61770000000001</v>
      </c>
      <c r="H1527" s="1">
        <v>-5.8515489999999997E-6</v>
      </c>
      <c r="I1527">
        <v>361.09140000000002</v>
      </c>
      <c r="J1527">
        <v>-213.2749</v>
      </c>
      <c r="K1527">
        <v>1.1201319999999999</v>
      </c>
      <c r="L1527">
        <v>367.35750000000002</v>
      </c>
      <c r="M1527">
        <v>0.99981209999999998</v>
      </c>
      <c r="N1527">
        <v>-1.385256E-2</v>
      </c>
      <c r="O1527">
        <v>-1.356275E-2</v>
      </c>
      <c r="P1527">
        <v>0.99583880000000002</v>
      </c>
      <c r="Q1527">
        <v>-8.5964499999999999E-2</v>
      </c>
      <c r="R1527">
        <v>-3.0253599999999999E-2</v>
      </c>
      <c r="S1527">
        <v>2.9779360000000001</v>
      </c>
      <c r="T1527">
        <v>-0.14011289999999901</v>
      </c>
      <c r="U1527">
        <v>-0.78408809999999995</v>
      </c>
      <c r="V1527">
        <v>1.658579E-2</v>
      </c>
      <c r="W1527">
        <v>-7.2193229999999997E-2</v>
      </c>
      <c r="X1527">
        <v>0.99725280000000005</v>
      </c>
      <c r="Y1527">
        <v>0.24116070000000001</v>
      </c>
      <c r="Z1527">
        <v>-6.8328449999999997E-3</v>
      </c>
      <c r="AA1527">
        <v>0.97046109999999997</v>
      </c>
      <c r="AB1527">
        <v>25</v>
      </c>
      <c r="AC1527">
        <v>23.6571999999999</v>
      </c>
      <c r="AD1527">
        <v>-1.1201378515489999</v>
      </c>
      <c r="AE1527">
        <v>-6.26609999999999</v>
      </c>
      <c r="AF1527">
        <v>5.9322085316160802</v>
      </c>
      <c r="AG1527">
        <v>-1.1201378515489999</v>
      </c>
      <c r="AH1527">
        <v>23.690387691575001</v>
      </c>
      <c r="AI1527">
        <v>92.626102740613206</v>
      </c>
      <c r="AJ1527">
        <v>75.941880118234195</v>
      </c>
      <c r="AK1527">
        <v>24.4475004007808</v>
      </c>
      <c r="AL1527">
        <v>94.139968667969796</v>
      </c>
      <c r="AM1527">
        <v>89.047174234839403</v>
      </c>
      <c r="AN1527">
        <v>1.00000004899779</v>
      </c>
    </row>
    <row r="1528" spans="1:40" x14ac:dyDescent="0.25">
      <c r="A1528" t="str">
        <f>"20190303153805127"</f>
        <v>20190303153805127</v>
      </c>
      <c r="B1528" t="str">
        <f>"1551598685119949"</f>
        <v>1551598685119949</v>
      </c>
      <c r="C1528" t="s">
        <v>40</v>
      </c>
      <c r="D1528">
        <v>4.5942129999999999</v>
      </c>
      <c r="E1528">
        <v>0.58882330000000005</v>
      </c>
      <c r="F1528" t="s">
        <v>45</v>
      </c>
      <c r="G1528">
        <v>-189.51509999999999</v>
      </c>
      <c r="H1528" s="1">
        <v>-5.8178959999999997E-6</v>
      </c>
      <c r="I1528">
        <v>360.98239999999998</v>
      </c>
      <c r="J1528">
        <v>-213.12049999999999</v>
      </c>
      <c r="K1528">
        <v>1.120047</v>
      </c>
      <c r="L1528">
        <v>367.35449999999997</v>
      </c>
      <c r="M1528">
        <v>0.99979929999999995</v>
      </c>
      <c r="N1528">
        <v>-1.385314E-2</v>
      </c>
      <c r="O1528">
        <v>-1.447267E-2</v>
      </c>
      <c r="P1528">
        <v>0.99569090000000005</v>
      </c>
      <c r="Q1528">
        <v>-8.6945750000000002E-2</v>
      </c>
      <c r="R1528">
        <v>-3.2253959999999998E-2</v>
      </c>
      <c r="S1528">
        <v>2.9761959999999998</v>
      </c>
      <c r="T1528">
        <v>-0.14030999999999999</v>
      </c>
      <c r="U1528">
        <v>-0.79855350000000003</v>
      </c>
      <c r="V1528">
        <v>1.7664119999999998E-2</v>
      </c>
      <c r="W1528">
        <v>-7.3181289999999996E-2</v>
      </c>
      <c r="X1528">
        <v>0.9971622</v>
      </c>
      <c r="Y1528">
        <v>0.24481559999999999</v>
      </c>
      <c r="Z1528">
        <v>-6.9212650000000002E-3</v>
      </c>
      <c r="AA1528">
        <v>0.96954490000000004</v>
      </c>
      <c r="AB1528">
        <v>25</v>
      </c>
      <c r="AC1528">
        <v>23.605399999999999</v>
      </c>
      <c r="AD1528">
        <v>-1.1200528178960001</v>
      </c>
      <c r="AE1528">
        <v>-6.3720999999999801</v>
      </c>
      <c r="AF1528">
        <v>6.0171396158869603</v>
      </c>
      <c r="AG1528">
        <v>-1.1200528178960001</v>
      </c>
      <c r="AH1528">
        <v>23.6455373704684</v>
      </c>
      <c r="AI1528">
        <v>92.628343111563495</v>
      </c>
      <c r="AJ1528">
        <v>75.722828582764507</v>
      </c>
      <c r="AK1528">
        <v>24.424821903346</v>
      </c>
      <c r="AL1528">
        <v>94.196730740388801</v>
      </c>
      <c r="AM1528">
        <v>88.985146367006706</v>
      </c>
      <c r="AN1528">
        <v>0.99999998772513898</v>
      </c>
    </row>
    <row r="1529" spans="1:40" x14ac:dyDescent="0.25">
      <c r="A1529" t="str">
        <f>"20190303153805141"</f>
        <v>20190303153805141</v>
      </c>
      <c r="B1529" t="str">
        <f>"1551598685129709"</f>
        <v>1551598685129709</v>
      </c>
      <c r="C1529" t="s">
        <v>40</v>
      </c>
      <c r="D1529">
        <v>4.5834320000000002</v>
      </c>
      <c r="E1529">
        <v>0.58895580000000003</v>
      </c>
      <c r="F1529" t="s">
        <v>45</v>
      </c>
      <c r="G1529">
        <v>-190.3896</v>
      </c>
      <c r="H1529" s="1">
        <v>-6.736586E-6</v>
      </c>
      <c r="I1529">
        <v>361.20060000000001</v>
      </c>
      <c r="J1529">
        <v>-212.97540000000001</v>
      </c>
      <c r="K1529">
        <v>1.11996299999999</v>
      </c>
      <c r="L1529">
        <v>367.35140000000001</v>
      </c>
      <c r="M1529">
        <v>0.99978520000000004</v>
      </c>
      <c r="N1529">
        <v>-1.385408E-2</v>
      </c>
      <c r="O1529">
        <v>-1.542399E-2</v>
      </c>
      <c r="P1529">
        <v>0.99550709999999998</v>
      </c>
      <c r="Q1529">
        <v>-8.7560570000000004E-2</v>
      </c>
      <c r="R1529">
        <v>-3.6042390000000001E-2</v>
      </c>
      <c r="S1529">
        <v>2.9741059999999999</v>
      </c>
      <c r="T1529">
        <v>-0.14654779999999901</v>
      </c>
      <c r="U1529">
        <v>-0.8051758</v>
      </c>
      <c r="V1529">
        <v>2.049103E-2</v>
      </c>
      <c r="W1529">
        <v>-7.3807520000000001E-2</v>
      </c>
      <c r="X1529">
        <v>0.997062</v>
      </c>
      <c r="Y1529">
        <v>0.24604889999999999</v>
      </c>
      <c r="Z1529">
        <v>-7.1514450000000002E-3</v>
      </c>
      <c r="AA1529">
        <v>0.96923099999999995</v>
      </c>
      <c r="AB1529">
        <v>25</v>
      </c>
      <c r="AC1529">
        <v>22.585799999999999</v>
      </c>
      <c r="AD1529">
        <v>-1.11996973658599</v>
      </c>
      <c r="AE1529">
        <v>-6.1508000000000003</v>
      </c>
      <c r="AF1529">
        <v>5.7884211716079301</v>
      </c>
      <c r="AG1529">
        <v>-1.11996973658599</v>
      </c>
      <c r="AH1529">
        <v>22.6261973381053</v>
      </c>
      <c r="AI1529">
        <v>92.745482148092407</v>
      </c>
      <c r="AJ1529">
        <v>75.649897472426105</v>
      </c>
      <c r="AK1529">
        <v>23.381722730664499</v>
      </c>
      <c r="AL1529">
        <v>94.232708186200398</v>
      </c>
      <c r="AM1529">
        <v>88.822656677265897</v>
      </c>
      <c r="AN1529">
        <v>1.0000000320814999</v>
      </c>
    </row>
    <row r="1530" spans="1:40" x14ac:dyDescent="0.25">
      <c r="A1530" t="str">
        <f>"20190303153805158"</f>
        <v>20190303153805158</v>
      </c>
      <c r="B1530" t="str">
        <f>"1551598685150205"</f>
        <v>1551598685150205</v>
      </c>
      <c r="C1530" t="s">
        <v>40</v>
      </c>
      <c r="D1530">
        <v>4.6097299999999999</v>
      </c>
      <c r="E1530">
        <v>0.58890549999999997</v>
      </c>
      <c r="F1530" t="s">
        <v>45</v>
      </c>
      <c r="G1530">
        <v>-190.89510000000001</v>
      </c>
      <c r="H1530" s="1">
        <v>-6.9025660000000001E-6</v>
      </c>
      <c r="I1530">
        <v>361.27379999999999</v>
      </c>
      <c r="J1530">
        <v>-212.7961</v>
      </c>
      <c r="K1530">
        <v>1.119864</v>
      </c>
      <c r="L1530">
        <v>367.34739999999999</v>
      </c>
      <c r="M1530">
        <v>0.99976469999999995</v>
      </c>
      <c r="N1530">
        <v>-1.385546E-2</v>
      </c>
      <c r="O1530">
        <v>-1.668619E-2</v>
      </c>
      <c r="P1530">
        <v>0.99540589999999995</v>
      </c>
      <c r="Q1530">
        <v>-8.7411030000000001E-2</v>
      </c>
      <c r="R1530">
        <v>-3.9071000000000002E-2</v>
      </c>
      <c r="S1530">
        <v>2.9707029999999999</v>
      </c>
      <c r="T1530">
        <v>-0.15068139999999999</v>
      </c>
      <c r="U1530">
        <v>-0.81768799999999997</v>
      </c>
      <c r="V1530">
        <v>2.224549E-2</v>
      </c>
      <c r="W1530">
        <v>-7.3667129999999997E-2</v>
      </c>
      <c r="X1530">
        <v>0.99703470000000005</v>
      </c>
      <c r="Y1530">
        <v>0.24888179999999999</v>
      </c>
      <c r="Z1530">
        <v>-7.3471480000000004E-3</v>
      </c>
      <c r="AA1530">
        <v>0.96850599999999998</v>
      </c>
      <c r="AB1530">
        <v>25</v>
      </c>
      <c r="AC1530">
        <v>21.9009999999999</v>
      </c>
      <c r="AD1530">
        <v>-1.1198709025660001</v>
      </c>
      <c r="AE1530">
        <v>-6.0735999999999901</v>
      </c>
      <c r="AF1530">
        <v>5.6934517855556601</v>
      </c>
      <c r="AG1530">
        <v>-1.1198709025660001</v>
      </c>
      <c r="AH1530">
        <v>21.946022603579401</v>
      </c>
      <c r="AI1530">
        <v>92.827729946644595</v>
      </c>
      <c r="AJ1530">
        <v>75.456390595941301</v>
      </c>
      <c r="AK1530">
        <v>22.700163263502699</v>
      </c>
      <c r="AL1530">
        <v>94.224642820214399</v>
      </c>
      <c r="AM1530">
        <v>88.721848642671603</v>
      </c>
      <c r="AN1530">
        <v>0.99999995043593204</v>
      </c>
    </row>
    <row r="1531" spans="1:40" x14ac:dyDescent="0.25">
      <c r="A1531" t="str">
        <f>"20190303153805168"</f>
        <v>20190303153805168</v>
      </c>
      <c r="B1531" t="str">
        <f>"1551598685159965"</f>
        <v>1551598685159965</v>
      </c>
      <c r="C1531" t="s">
        <v>40</v>
      </c>
      <c r="D1531">
        <v>4.6113269999999904</v>
      </c>
      <c r="E1531">
        <v>0.58883289999999999</v>
      </c>
      <c r="F1531" t="s">
        <v>45</v>
      </c>
      <c r="G1531">
        <v>-191.60169999999999</v>
      </c>
      <c r="H1531" s="1">
        <v>-7.1233089999999997E-6</v>
      </c>
      <c r="I1531">
        <v>361.4486</v>
      </c>
      <c r="J1531">
        <v>-212.66800000000001</v>
      </c>
      <c r="K1531">
        <v>1.1197889999999999</v>
      </c>
      <c r="L1531">
        <v>367.34429999999998</v>
      </c>
      <c r="M1531">
        <v>0.99974839999999998</v>
      </c>
      <c r="N1531">
        <v>-1.385655E-2</v>
      </c>
      <c r="O1531">
        <v>-1.7638999999999998E-2</v>
      </c>
      <c r="P1531">
        <v>0.99525980000000003</v>
      </c>
      <c r="Q1531">
        <v>-8.7770570000000006E-2</v>
      </c>
      <c r="R1531">
        <v>-4.1883650000000001E-2</v>
      </c>
      <c r="S1531">
        <v>2.9676670000000001</v>
      </c>
      <c r="T1531">
        <v>-0.15680649999999999</v>
      </c>
      <c r="U1531">
        <v>-0.82595830000000003</v>
      </c>
      <c r="V1531">
        <v>2.409648E-2</v>
      </c>
      <c r="W1531">
        <v>-7.4036320000000003E-2</v>
      </c>
      <c r="X1531">
        <v>0.99696439999999997</v>
      </c>
      <c r="Y1531">
        <v>0.2506891</v>
      </c>
      <c r="Z1531">
        <v>-7.5924240000000004E-3</v>
      </c>
      <c r="AA1531">
        <v>0.96803790000000001</v>
      </c>
      <c r="AB1531">
        <v>25</v>
      </c>
      <c r="AC1531">
        <v>21.066299999999998</v>
      </c>
      <c r="AD1531">
        <v>-1.1197961233089999</v>
      </c>
      <c r="AE1531">
        <v>-5.8956999999999704</v>
      </c>
      <c r="AF1531">
        <v>5.5087238840531301</v>
      </c>
      <c r="AG1531">
        <v>-1.1197961233089999</v>
      </c>
      <c r="AH1531">
        <v>21.111706976396</v>
      </c>
      <c r="AI1531">
        <v>92.938017153951407</v>
      </c>
      <c r="AJ1531">
        <v>75.375766683566098</v>
      </c>
      <c r="AK1531">
        <v>21.8472916775907</v>
      </c>
      <c r="AL1531">
        <v>94.245853493739403</v>
      </c>
      <c r="AM1531">
        <v>88.615439173415396</v>
      </c>
      <c r="AN1531">
        <v>1.00000001594744</v>
      </c>
    </row>
    <row r="1532" spans="1:40" x14ac:dyDescent="0.25">
      <c r="A1532" t="str">
        <f>"20190303153805180"</f>
        <v>20190303153805180</v>
      </c>
      <c r="B1532" t="str">
        <f>"1551598685170702"</f>
        <v>1551598685170702</v>
      </c>
      <c r="C1532" t="s">
        <v>40</v>
      </c>
      <c r="D1532">
        <v>4.6457369999999996</v>
      </c>
      <c r="E1532">
        <v>0.58869300000000002</v>
      </c>
      <c r="F1532" t="s">
        <v>45</v>
      </c>
      <c r="G1532">
        <v>-192.05600000000001</v>
      </c>
      <c r="H1532" s="1">
        <v>-7.2675829999999998E-6</v>
      </c>
      <c r="I1532">
        <v>361.54570000000001</v>
      </c>
      <c r="J1532">
        <v>-212.54509999999999</v>
      </c>
      <c r="K1532">
        <v>1.1197140000000001</v>
      </c>
      <c r="L1532">
        <v>367.34109999999998</v>
      </c>
      <c r="M1532">
        <v>0.99973009999999995</v>
      </c>
      <c r="N1532">
        <v>-1.3858000000000001E-2</v>
      </c>
      <c r="O1532">
        <v>-1.8650449999999999E-2</v>
      </c>
      <c r="P1532">
        <v>0.9950736</v>
      </c>
      <c r="Q1532">
        <v>-8.8346530000000006E-2</v>
      </c>
      <c r="R1532">
        <v>-4.4986610000000003E-2</v>
      </c>
      <c r="S1532">
        <v>2.9649809999999999</v>
      </c>
      <c r="T1532">
        <v>-0.16107949999999999</v>
      </c>
      <c r="U1532">
        <v>-0.83410640000000003</v>
      </c>
      <c r="V1532">
        <v>2.6179560000000001E-2</v>
      </c>
      <c r="W1532">
        <v>-7.4623330000000002E-2</v>
      </c>
      <c r="X1532">
        <v>0.99686810000000003</v>
      </c>
      <c r="Y1532">
        <v>0.25238100000000002</v>
      </c>
      <c r="Z1532">
        <v>-7.7650769999999996E-3</v>
      </c>
      <c r="AA1532">
        <v>0.96759680000000003</v>
      </c>
      <c r="AB1532">
        <v>25</v>
      </c>
      <c r="AC1532">
        <v>20.489100000000001</v>
      </c>
      <c r="AD1532">
        <v>-1.1197212675829999</v>
      </c>
      <c r="AE1532">
        <v>-5.7953999999999697</v>
      </c>
      <c r="AF1532">
        <v>5.39729883239049</v>
      </c>
      <c r="AG1532">
        <v>-1.1197212675829999</v>
      </c>
      <c r="AH1532">
        <v>20.5368414554741</v>
      </c>
      <c r="AI1532">
        <v>93.018518939124107</v>
      </c>
      <c r="AJ1532">
        <v>75.275050580393795</v>
      </c>
      <c r="AK1532">
        <v>21.263735969261901</v>
      </c>
      <c r="AL1532">
        <v>94.2795800128915</v>
      </c>
      <c r="AM1532">
        <v>88.495654937890293</v>
      </c>
      <c r="AN1532">
        <v>1.00000000976984</v>
      </c>
    </row>
    <row r="1533" spans="1:40" x14ac:dyDescent="0.25">
      <c r="A1533" t="str">
        <f>"20190303153805192"</f>
        <v>20190303153805192</v>
      </c>
      <c r="B1533" t="str">
        <f>"1551598685180462"</f>
        <v>1551598685180462</v>
      </c>
      <c r="C1533" t="s">
        <v>40</v>
      </c>
      <c r="D1533">
        <v>4.6558289999999998</v>
      </c>
      <c r="E1533">
        <v>0.58865540000000005</v>
      </c>
      <c r="F1533" t="s">
        <v>45</v>
      </c>
      <c r="G1533">
        <v>-192.57210000000001</v>
      </c>
      <c r="H1533" s="1">
        <v>-7.4304430000000002E-6</v>
      </c>
      <c r="I1533">
        <v>361.6628</v>
      </c>
      <c r="J1533">
        <v>-212.41659999999999</v>
      </c>
      <c r="K1533">
        <v>1.1196379999999999</v>
      </c>
      <c r="L1533">
        <v>367.33760000000001</v>
      </c>
      <c r="M1533">
        <v>0.99970919999999996</v>
      </c>
      <c r="N1533">
        <v>-1.385948E-2</v>
      </c>
      <c r="O1533">
        <v>-1.9734720000000001E-2</v>
      </c>
      <c r="P1533">
        <v>0.99487389999999998</v>
      </c>
      <c r="Q1533">
        <v>-8.9014490000000002E-2</v>
      </c>
      <c r="R1533">
        <v>-4.7984980000000003E-2</v>
      </c>
      <c r="S1533">
        <v>2.9620359999999999</v>
      </c>
      <c r="T1533">
        <v>-0.1660568</v>
      </c>
      <c r="U1533">
        <v>-0.84210209999999996</v>
      </c>
      <c r="V1533">
        <v>2.8084600000000001E-2</v>
      </c>
      <c r="W1533">
        <v>-7.5302830000000001E-2</v>
      </c>
      <c r="X1533">
        <v>0.99676509999999996</v>
      </c>
      <c r="Y1533">
        <v>0.25397459999999999</v>
      </c>
      <c r="Z1533">
        <v>-7.9565230000000001E-3</v>
      </c>
      <c r="AA1533">
        <v>0.96717819999999999</v>
      </c>
      <c r="AB1533">
        <v>25</v>
      </c>
      <c r="AC1533">
        <v>19.844499999999901</v>
      </c>
      <c r="AD1533">
        <v>-1.1196454304429999</v>
      </c>
      <c r="AE1533">
        <v>-5.6748000000000003</v>
      </c>
      <c r="AF1533">
        <v>5.2665336167627004</v>
      </c>
      <c r="AG1533">
        <v>-1.1196454304429999</v>
      </c>
      <c r="AH1533">
        <v>19.894093867574998</v>
      </c>
      <c r="AI1533">
        <v>93.114172458297105</v>
      </c>
      <c r="AJ1533">
        <v>75.172309028632895</v>
      </c>
      <c r="AK1533">
        <v>20.6098266134941</v>
      </c>
      <c r="AL1533">
        <v>94.318622551844896</v>
      </c>
      <c r="AM1533">
        <v>88.3860756787018</v>
      </c>
      <c r="AN1533">
        <v>0.999999962770588</v>
      </c>
    </row>
    <row r="1534" spans="1:40" x14ac:dyDescent="0.25">
      <c r="A1534" t="str">
        <f>"20190303153805203"</f>
        <v>20190303153805203</v>
      </c>
      <c r="B1534" t="str">
        <f>"1551598685199981"</f>
        <v>1551598685199981</v>
      </c>
      <c r="C1534" t="s">
        <v>40</v>
      </c>
      <c r="D1534">
        <v>4.6642489999999999</v>
      </c>
      <c r="E1534">
        <v>0.58846960000000004</v>
      </c>
      <c r="F1534" t="s">
        <v>45</v>
      </c>
      <c r="G1534">
        <v>-192.9187</v>
      </c>
      <c r="H1534" s="1">
        <v>-7.5412529999999999E-6</v>
      </c>
      <c r="I1534">
        <v>361.73230000000001</v>
      </c>
      <c r="J1534">
        <v>-212.28620000000001</v>
      </c>
      <c r="K1534">
        <v>1.1195489999999999</v>
      </c>
      <c r="L1534">
        <v>367.3338</v>
      </c>
      <c r="M1534">
        <v>0.99968500000000005</v>
      </c>
      <c r="N1534">
        <v>-1.386135E-2</v>
      </c>
      <c r="O1534">
        <v>-2.0925579999999999E-2</v>
      </c>
      <c r="P1534">
        <v>0.99465959999999998</v>
      </c>
      <c r="Q1534">
        <v>-8.9446940000000003E-2</v>
      </c>
      <c r="R1534">
        <v>-5.1493230000000001E-2</v>
      </c>
      <c r="S1534">
        <v>2.9592130000000001</v>
      </c>
      <c r="T1534">
        <v>-0.16992950000000001</v>
      </c>
      <c r="U1534">
        <v>-0.85070800000000002</v>
      </c>
      <c r="V1534">
        <v>3.039385E-2</v>
      </c>
      <c r="W1534">
        <v>-7.5748990000000002E-2</v>
      </c>
      <c r="X1534">
        <v>0.99666359999999998</v>
      </c>
      <c r="Y1534">
        <v>0.25564369999999997</v>
      </c>
      <c r="Z1534">
        <v>-8.1059449999999998E-3</v>
      </c>
      <c r="AA1534">
        <v>0.96673710000000002</v>
      </c>
      <c r="AB1534">
        <v>25</v>
      </c>
      <c r="AC1534">
        <v>19.3675</v>
      </c>
      <c r="AD1534">
        <v>-1.119556541253</v>
      </c>
      <c r="AE1534">
        <v>-5.6014999999999802</v>
      </c>
      <c r="AF1534">
        <v>5.1789882888671803</v>
      </c>
      <c r="AG1534">
        <v>-1.119556541253</v>
      </c>
      <c r="AH1534">
        <v>19.420599181916302</v>
      </c>
      <c r="AI1534">
        <v>93.188154257390593</v>
      </c>
      <c r="AJ1534">
        <v>75.068137051277404</v>
      </c>
      <c r="AK1534">
        <v>20.130449551113699</v>
      </c>
      <c r="AL1534">
        <v>94.344258638239793</v>
      </c>
      <c r="AM1534">
        <v>88.253272424303603</v>
      </c>
      <c r="AN1534">
        <v>1.0000000135844</v>
      </c>
    </row>
    <row r="1535" spans="1:40" x14ac:dyDescent="0.25">
      <c r="A1535" t="str">
        <f>"20190303153805216"</f>
        <v>20190303153805216</v>
      </c>
      <c r="B1535" t="str">
        <f>"1551598685209741"</f>
        <v>1551598685209741</v>
      </c>
      <c r="C1535" t="s">
        <v>40</v>
      </c>
      <c r="D1535">
        <v>4.6693559999999996</v>
      </c>
      <c r="E1535">
        <v>0.58836659999999996</v>
      </c>
      <c r="F1535" t="s">
        <v>45</v>
      </c>
      <c r="G1535">
        <v>-193.25370000000001</v>
      </c>
      <c r="H1535" s="1">
        <v>-7.6481700000000003E-6</v>
      </c>
      <c r="I1535">
        <v>361.8005</v>
      </c>
      <c r="J1535">
        <v>-212.15270000000001</v>
      </c>
      <c r="K1535">
        <v>1.1194580000000001</v>
      </c>
      <c r="L1535">
        <v>367.3297</v>
      </c>
      <c r="M1535">
        <v>0.99965729999999997</v>
      </c>
      <c r="N1535">
        <v>-1.386357E-2</v>
      </c>
      <c r="O1535">
        <v>-2.2205659999999999E-2</v>
      </c>
      <c r="P1535">
        <v>0.99443090000000001</v>
      </c>
      <c r="Q1535">
        <v>-9.003121E-2</v>
      </c>
      <c r="R1535">
        <v>-5.4787040000000002E-2</v>
      </c>
      <c r="S1535">
        <v>2.955978</v>
      </c>
      <c r="T1535">
        <v>-0.17388020000000001</v>
      </c>
      <c r="U1535">
        <v>-0.859375</v>
      </c>
      <c r="V1535">
        <v>3.2398929999999999E-2</v>
      </c>
      <c r="W1535">
        <v>-7.6346639999999993E-2</v>
      </c>
      <c r="X1535">
        <v>0.99655479999999996</v>
      </c>
      <c r="Y1535">
        <v>0.25728010000000001</v>
      </c>
      <c r="Z1535">
        <v>-8.2530959999999997E-3</v>
      </c>
      <c r="AA1535">
        <v>0.96630159999999998</v>
      </c>
      <c r="AB1535">
        <v>25</v>
      </c>
      <c r="AC1535">
        <v>18.899000000000001</v>
      </c>
      <c r="AD1535">
        <v>-1.11946564817</v>
      </c>
      <c r="AE1535">
        <v>-5.5292000000000003</v>
      </c>
      <c r="AF1535">
        <v>5.0916747918169101</v>
      </c>
      <c r="AG1535">
        <v>-1.11946564817</v>
      </c>
      <c r="AH1535">
        <v>18.955864364901601</v>
      </c>
      <c r="AI1535">
        <v>93.264313481058196</v>
      </c>
      <c r="AJ1535">
        <v>74.964849561525298</v>
      </c>
      <c r="AK1535">
        <v>19.659683347999302</v>
      </c>
      <c r="AL1535">
        <v>94.378601036716304</v>
      </c>
      <c r="AM1535">
        <v>88.137916405379102</v>
      </c>
      <c r="AN1535">
        <v>0.99999998475373697</v>
      </c>
    </row>
    <row r="1536" spans="1:40" x14ac:dyDescent="0.25">
      <c r="A1536" t="str">
        <f>"20190303153805230"</f>
        <v>20190303153805230</v>
      </c>
      <c r="B1536" t="str">
        <f>"1551598685220477"</f>
        <v>1551598685220477</v>
      </c>
      <c r="C1536" t="s">
        <v>40</v>
      </c>
      <c r="D1536">
        <v>4.6627080000000003</v>
      </c>
      <c r="E1536">
        <v>0.58824169999999998</v>
      </c>
      <c r="F1536" t="s">
        <v>45</v>
      </c>
      <c r="G1536">
        <v>-193.42670000000001</v>
      </c>
      <c r="H1536" s="1">
        <v>-7.7056029999999994E-6</v>
      </c>
      <c r="I1536">
        <v>361.82170000000002</v>
      </c>
      <c r="J1536">
        <v>-212.0008</v>
      </c>
      <c r="K1536">
        <v>1.119362</v>
      </c>
      <c r="L1536">
        <v>367.32479999999998</v>
      </c>
      <c r="M1536">
        <v>0.99962260000000003</v>
      </c>
      <c r="N1536">
        <v>-1.386635E-2</v>
      </c>
      <c r="O1536">
        <v>-2.3724200000000001E-2</v>
      </c>
      <c r="P1536">
        <v>0.99413569999999996</v>
      </c>
      <c r="Q1536">
        <v>-9.0009210000000006E-2</v>
      </c>
      <c r="R1536">
        <v>-5.9939529999999998E-2</v>
      </c>
      <c r="S1536">
        <v>2.9529719999999999</v>
      </c>
      <c r="T1536">
        <v>-0.17653289999999999</v>
      </c>
      <c r="U1536">
        <v>-0.86856080000000002</v>
      </c>
      <c r="V1536">
        <v>3.6026759999999998E-2</v>
      </c>
      <c r="W1536">
        <v>-7.6346049999999999E-2</v>
      </c>
      <c r="X1536">
        <v>0.99643029999999999</v>
      </c>
      <c r="Y1536">
        <v>0.25882909999999998</v>
      </c>
      <c r="Z1536">
        <v>-8.3392969999999903E-3</v>
      </c>
      <c r="AA1536">
        <v>0.9658871</v>
      </c>
      <c r="AB1536">
        <v>24</v>
      </c>
      <c r="AC1536">
        <v>18.574099999999898</v>
      </c>
      <c r="AD1536">
        <v>-1.1193697056029901</v>
      </c>
      <c r="AE1536">
        <v>-5.5030999999999599</v>
      </c>
      <c r="AF1536">
        <v>5.0440119381936697</v>
      </c>
      <c r="AG1536">
        <v>-1.1193697056029901</v>
      </c>
      <c r="AH1536">
        <v>18.637214429751399</v>
      </c>
      <c r="AI1536">
        <v>93.318023511823199</v>
      </c>
      <c r="AJ1536">
        <v>74.856148879219603</v>
      </c>
      <c r="AK1536">
        <v>19.340134608399001</v>
      </c>
      <c r="AL1536">
        <v>94.378567089300901</v>
      </c>
      <c r="AM1536">
        <v>87.929325774529701</v>
      </c>
      <c r="AN1536">
        <v>0.99999999477239498</v>
      </c>
    </row>
    <row r="1537" spans="1:40" x14ac:dyDescent="0.25">
      <c r="A1537" t="str">
        <f>"20190303153805242"</f>
        <v>20190303153805242</v>
      </c>
      <c r="B1537" t="str">
        <f>"1551598685239998"</f>
        <v>1551598685239998</v>
      </c>
      <c r="C1537" t="s">
        <v>40</v>
      </c>
      <c r="D1537">
        <v>4.6798070000000003</v>
      </c>
      <c r="E1537">
        <v>0.58793819999999997</v>
      </c>
      <c r="F1537" t="s">
        <v>45</v>
      </c>
      <c r="G1537">
        <v>-193.4452</v>
      </c>
      <c r="H1537" s="1">
        <v>-7.720238E-6</v>
      </c>
      <c r="I1537">
        <v>361.76960000000003</v>
      </c>
      <c r="J1537">
        <v>-211.8546</v>
      </c>
      <c r="K1537">
        <v>1.1192789999999999</v>
      </c>
      <c r="L1537">
        <v>367.31959999999998</v>
      </c>
      <c r="M1537">
        <v>0.99958360000000002</v>
      </c>
      <c r="N1537">
        <v>-1.386942E-2</v>
      </c>
      <c r="O1537">
        <v>-2.530431E-2</v>
      </c>
      <c r="P1537">
        <v>0.99394510000000003</v>
      </c>
      <c r="Q1537">
        <v>-8.9797399999999999E-2</v>
      </c>
      <c r="R1537">
        <v>-6.3321840000000004E-2</v>
      </c>
      <c r="S1537">
        <v>2.9483799999999998</v>
      </c>
      <c r="T1537">
        <v>-0.17786160000000001</v>
      </c>
      <c r="U1537">
        <v>-0.88269039999999999</v>
      </c>
      <c r="V1537">
        <v>3.7823179999999998E-2</v>
      </c>
      <c r="W1537">
        <v>-7.614783E-2</v>
      </c>
      <c r="X1537">
        <v>0.99637889999999996</v>
      </c>
      <c r="Y1537">
        <v>0.2619496</v>
      </c>
      <c r="Z1537">
        <v>-8.4350950000000001E-3</v>
      </c>
      <c r="AA1537">
        <v>0.96504469999999998</v>
      </c>
      <c r="AB1537">
        <v>24</v>
      </c>
      <c r="AC1537">
        <v>18.409400000000002</v>
      </c>
      <c r="AD1537">
        <v>-1.1192867202379999</v>
      </c>
      <c r="AE1537">
        <v>-5.5499999999999501</v>
      </c>
      <c r="AF1537">
        <v>5.0651765791015801</v>
      </c>
      <c r="AG1537">
        <v>-1.1192867202379999</v>
      </c>
      <c r="AH1537">
        <v>18.481330243987902</v>
      </c>
      <c r="AI1537">
        <v>93.342799112724194</v>
      </c>
      <c r="AJ1537">
        <v>74.673303846642398</v>
      </c>
      <c r="AK1537">
        <v>19.195530316376299</v>
      </c>
      <c r="AL1537">
        <v>94.367176745146097</v>
      </c>
      <c r="AM1537">
        <v>87.826059404676499</v>
      </c>
      <c r="AN1537">
        <v>0.99999999866211498</v>
      </c>
    </row>
    <row r="1538" spans="1:40" x14ac:dyDescent="0.25">
      <c r="A1538" t="str">
        <f>"20190303153805254"</f>
        <v>20190303153805254</v>
      </c>
      <c r="B1538" t="str">
        <f>"1551598685249757"</f>
        <v>1551598685249757</v>
      </c>
      <c r="C1538" t="s">
        <v>40</v>
      </c>
      <c r="D1538">
        <v>4.6600149999999996</v>
      </c>
      <c r="E1538">
        <v>0.58775379999999999</v>
      </c>
      <c r="F1538" t="s">
        <v>45</v>
      </c>
      <c r="G1538">
        <v>-193.57259999999999</v>
      </c>
      <c r="H1538" s="1">
        <v>-7.7611639999999993E-6</v>
      </c>
      <c r="I1538">
        <v>361.79390000000001</v>
      </c>
      <c r="J1538">
        <v>-211.73169999999999</v>
      </c>
      <c r="K1538">
        <v>1.1192070000000001</v>
      </c>
      <c r="L1538">
        <v>367.31509999999997</v>
      </c>
      <c r="M1538">
        <v>0.99954799999999999</v>
      </c>
      <c r="N1538">
        <v>-1.3872020000000001E-2</v>
      </c>
      <c r="O1538">
        <v>-2.6675819999999999E-2</v>
      </c>
      <c r="P1538">
        <v>0.99370740000000002</v>
      </c>
      <c r="Q1538">
        <v>-8.9904349999999994E-2</v>
      </c>
      <c r="R1538">
        <v>-6.6808619999999999E-2</v>
      </c>
      <c r="S1538">
        <v>2.9452509999999998</v>
      </c>
      <c r="T1538">
        <v>-0.1803188</v>
      </c>
      <c r="U1538">
        <v>-0.89019780000000004</v>
      </c>
      <c r="V1538">
        <v>3.9934560000000001E-2</v>
      </c>
      <c r="W1538">
        <v>-7.6269980000000001E-2</v>
      </c>
      <c r="X1538">
        <v>0.99628720000000004</v>
      </c>
      <c r="Y1538">
        <v>0.2631482</v>
      </c>
      <c r="Z1538">
        <v>-8.5073909999999996E-3</v>
      </c>
      <c r="AA1538">
        <v>0.96471790000000002</v>
      </c>
      <c r="AB1538">
        <v>24</v>
      </c>
      <c r="AC1538">
        <v>18.159099999999899</v>
      </c>
      <c r="AD1538">
        <v>-1.119214761164</v>
      </c>
      <c r="AE1538">
        <v>-5.5211999999999604</v>
      </c>
      <c r="AF1538">
        <v>5.0173327439664304</v>
      </c>
      <c r="AG1538">
        <v>-1.119214761164</v>
      </c>
      <c r="AH1538">
        <v>18.236519899369799</v>
      </c>
      <c r="AI1538">
        <v>93.386441536404405</v>
      </c>
      <c r="AJ1538">
        <v>74.617060724311401</v>
      </c>
      <c r="AK1538">
        <v>18.947214243402499</v>
      </c>
      <c r="AL1538">
        <v>94.374195691333696</v>
      </c>
      <c r="AM1538">
        <v>87.704620192331802</v>
      </c>
      <c r="AN1538">
        <v>1.00000003190771</v>
      </c>
    </row>
    <row r="1539" spans="1:40" x14ac:dyDescent="0.25">
      <c r="A1539" t="str">
        <f>"20190303153805265"</f>
        <v>20190303153805265</v>
      </c>
      <c r="B1539" t="str">
        <f>"1551598685260493"</f>
        <v>1551598685260493</v>
      </c>
      <c r="C1539" t="s">
        <v>40</v>
      </c>
      <c r="D1539">
        <v>4.6595370000000003</v>
      </c>
      <c r="E1539">
        <v>0.58754309999999998</v>
      </c>
      <c r="F1539" t="s">
        <v>45</v>
      </c>
      <c r="G1539">
        <v>-193.59299999999999</v>
      </c>
      <c r="H1539" s="1">
        <v>-7.7718159999999995E-6</v>
      </c>
      <c r="I1539">
        <v>361.7715</v>
      </c>
      <c r="J1539">
        <v>-211.60720000000001</v>
      </c>
      <c r="K1539">
        <v>1.1191329999999999</v>
      </c>
      <c r="L1539">
        <v>367.31029999999998</v>
      </c>
      <c r="M1539">
        <v>0.99950839999999996</v>
      </c>
      <c r="N1539">
        <v>-1.387474E-2</v>
      </c>
      <c r="O1539">
        <v>-2.8119419999999999E-2</v>
      </c>
      <c r="P1539">
        <v>0.99346259999999997</v>
      </c>
      <c r="Q1539">
        <v>-9.0083090000000005E-2</v>
      </c>
      <c r="R1539">
        <v>-7.0126049999999995E-2</v>
      </c>
      <c r="S1539">
        <v>2.9421080000000002</v>
      </c>
      <c r="T1539">
        <v>-0.18153749999999999</v>
      </c>
      <c r="U1539">
        <v>-0.89916989999999997</v>
      </c>
      <c r="V1539">
        <v>4.180557E-2</v>
      </c>
      <c r="W1539">
        <v>-7.6463299999999998E-2</v>
      </c>
      <c r="X1539">
        <v>0.99619559999999996</v>
      </c>
      <c r="Y1539">
        <v>0.26472430000000002</v>
      </c>
      <c r="Z1539">
        <v>-8.5461200000000008E-3</v>
      </c>
      <c r="AA1539">
        <v>0.96428630000000004</v>
      </c>
      <c r="AB1539">
        <v>24</v>
      </c>
      <c r="AC1539">
        <v>18.014199999999999</v>
      </c>
      <c r="AD1539">
        <v>-1.119140771816</v>
      </c>
      <c r="AE1539">
        <v>-5.5387999999999797</v>
      </c>
      <c r="AF1539">
        <v>5.0123372298214504</v>
      </c>
      <c r="AG1539">
        <v>-1.119140771816</v>
      </c>
      <c r="AH1539">
        <v>18.099017043131902</v>
      </c>
      <c r="AI1539">
        <v>93.410300102092705</v>
      </c>
      <c r="AJ1539">
        <v>74.520474656472999</v>
      </c>
      <c r="AK1539">
        <v>18.813570062595101</v>
      </c>
      <c r="AL1539">
        <v>94.3853046575246</v>
      </c>
      <c r="AM1539">
        <v>87.596979839833907</v>
      </c>
      <c r="AN1539">
        <v>1.00000000769463</v>
      </c>
    </row>
    <row r="1540" spans="1:40" x14ac:dyDescent="0.25">
      <c r="A1540" t="str">
        <f>"20190303153805278"</f>
        <v>20190303153805278</v>
      </c>
      <c r="B1540" t="str">
        <f>"1551598685270254"</f>
        <v>1551598685270254</v>
      </c>
      <c r="C1540" t="s">
        <v>40</v>
      </c>
      <c r="D1540">
        <v>4.6785199999999998</v>
      </c>
      <c r="E1540">
        <v>0.58735969999999904</v>
      </c>
      <c r="F1540" t="s">
        <v>45</v>
      </c>
      <c r="G1540">
        <v>-193.63800000000001</v>
      </c>
      <c r="H1540" s="1">
        <v>-7.7887049999999907E-6</v>
      </c>
      <c r="I1540">
        <v>361.76459999999997</v>
      </c>
      <c r="J1540">
        <v>-211.4768</v>
      </c>
      <c r="K1540">
        <v>1.119081</v>
      </c>
      <c r="L1540">
        <v>367.30489999999998</v>
      </c>
      <c r="M1540">
        <v>0.99946239999999997</v>
      </c>
      <c r="N1540">
        <v>-1.387772E-2</v>
      </c>
      <c r="O1540">
        <v>-2.970252E-2</v>
      </c>
      <c r="P1540">
        <v>0.99315600000000004</v>
      </c>
      <c r="Q1540">
        <v>-9.0521500000000005E-2</v>
      </c>
      <c r="R1540">
        <v>-7.3804620000000001E-2</v>
      </c>
      <c r="S1540">
        <v>2.9391020000000001</v>
      </c>
      <c r="T1540">
        <v>-0.18305109999999999</v>
      </c>
      <c r="U1540">
        <v>-0.90707400000000005</v>
      </c>
      <c r="V1540">
        <v>4.3899380000000002E-2</v>
      </c>
      <c r="W1540">
        <v>-7.6918349999999996E-2</v>
      </c>
      <c r="X1540">
        <v>0.99607049999999997</v>
      </c>
      <c r="Y1540">
        <v>0.26583289999999998</v>
      </c>
      <c r="Z1540">
        <v>-8.5703810000000002E-3</v>
      </c>
      <c r="AA1540">
        <v>0.96398099999999998</v>
      </c>
      <c r="AB1540">
        <v>24</v>
      </c>
      <c r="AC1540">
        <v>17.8387999999999</v>
      </c>
      <c r="AD1540">
        <v>-1.1190887887050001</v>
      </c>
      <c r="AE1540">
        <v>-5.5403000000000002</v>
      </c>
      <c r="AF1540">
        <v>4.9900361032285296</v>
      </c>
      <c r="AG1540">
        <v>-1.1190887887050001</v>
      </c>
      <c r="AH1540">
        <v>17.931144712671099</v>
      </c>
      <c r="AI1540">
        <v>93.440797875482502</v>
      </c>
      <c r="AJ1540">
        <v>74.448712452186598</v>
      </c>
      <c r="AK1540">
        <v>18.646146270349899</v>
      </c>
      <c r="AL1540">
        <v>94.411454083906705</v>
      </c>
      <c r="AM1540">
        <v>87.476461194020501</v>
      </c>
      <c r="AN1540">
        <v>1.00000001455067</v>
      </c>
    </row>
    <row r="1541" spans="1:40" x14ac:dyDescent="0.25">
      <c r="A1541" t="str">
        <f>"20190303153805291"</f>
        <v>20190303153805291</v>
      </c>
      <c r="B1541" t="str">
        <f>"1551598685280014"</f>
        <v>1551598685280014</v>
      </c>
      <c r="C1541" t="s">
        <v>40</v>
      </c>
      <c r="D1541">
        <v>4.7208699999999997</v>
      </c>
      <c r="E1541">
        <v>0.58724460000000001</v>
      </c>
      <c r="F1541" t="s">
        <v>45</v>
      </c>
      <c r="G1541">
        <v>-193.76249999999999</v>
      </c>
      <c r="H1541" s="1">
        <v>-7.8309020000000003E-6</v>
      </c>
      <c r="I1541">
        <v>361.77420000000001</v>
      </c>
      <c r="J1541">
        <v>-211.32050000000001</v>
      </c>
      <c r="K1541">
        <v>1.118997</v>
      </c>
      <c r="L1541">
        <v>367.29820000000001</v>
      </c>
      <c r="M1541">
        <v>0.99940240000000002</v>
      </c>
      <c r="N1541">
        <v>-1.3881249999999999E-2</v>
      </c>
      <c r="O1541">
        <v>-3.1660239999999999E-2</v>
      </c>
      <c r="P1541">
        <v>0.99281430000000004</v>
      </c>
      <c r="Q1541">
        <v>-9.0985750000000004E-2</v>
      </c>
      <c r="R1541">
        <v>-7.7728060000000002E-2</v>
      </c>
      <c r="S1541">
        <v>2.935638</v>
      </c>
      <c r="T1541">
        <v>-0.18545710000000001</v>
      </c>
      <c r="U1541">
        <v>-0.91656490000000002</v>
      </c>
      <c r="V1541">
        <v>4.5864050000000003E-2</v>
      </c>
      <c r="W1541">
        <v>-7.7400269999999993E-2</v>
      </c>
      <c r="X1541">
        <v>0.99594459999999996</v>
      </c>
      <c r="Y1541">
        <v>0.26709339999999998</v>
      </c>
      <c r="Z1541">
        <v>-8.6123659999999998E-3</v>
      </c>
      <c r="AA1541">
        <v>0.96363220000000005</v>
      </c>
      <c r="AB1541">
        <v>24</v>
      </c>
      <c r="AC1541">
        <v>17.558</v>
      </c>
      <c r="AD1541">
        <v>-1.119004830902</v>
      </c>
      <c r="AE1541">
        <v>-5.524</v>
      </c>
      <c r="AF1541">
        <v>4.9470024755141599</v>
      </c>
      <c r="AG1541">
        <v>-1.119004830902</v>
      </c>
      <c r="AH1541">
        <v>17.658838539963501</v>
      </c>
      <c r="AI1541">
        <v>93.491790988012298</v>
      </c>
      <c r="AJ1541">
        <v>74.350148751323601</v>
      </c>
      <c r="AK1541">
        <v>18.372794667247199</v>
      </c>
      <c r="AL1541">
        <v>94.439148785045504</v>
      </c>
      <c r="AM1541">
        <v>87.363346040103394</v>
      </c>
      <c r="AN1541">
        <v>0.99999997957381703</v>
      </c>
    </row>
    <row r="1542" spans="1:40" x14ac:dyDescent="0.25">
      <c r="A1542" t="str">
        <f>"20190303153805304"</f>
        <v>20190303153805304</v>
      </c>
      <c r="B1542" t="str">
        <f>"1551598685300509"</f>
        <v>1551598685300509</v>
      </c>
      <c r="C1542" t="s">
        <v>40</v>
      </c>
      <c r="D1542">
        <v>4.6859089999999997</v>
      </c>
      <c r="E1542">
        <v>0.58684890000000001</v>
      </c>
      <c r="F1542" t="s">
        <v>45</v>
      </c>
      <c r="G1542">
        <v>-193.7869</v>
      </c>
      <c r="H1542" s="1">
        <v>-7.8427349999999994E-6</v>
      </c>
      <c r="I1542">
        <v>361.75310000000002</v>
      </c>
      <c r="J1542">
        <v>-211.1867</v>
      </c>
      <c r="K1542">
        <v>1.1189309999999999</v>
      </c>
      <c r="L1542">
        <v>367.2921</v>
      </c>
      <c r="M1542">
        <v>0.99934489999999998</v>
      </c>
      <c r="N1542">
        <v>-1.388445E-2</v>
      </c>
      <c r="O1542">
        <v>-3.3421770000000003E-2</v>
      </c>
      <c r="P1542">
        <v>0.992479</v>
      </c>
      <c r="Q1542">
        <v>-9.1416940000000002E-2</v>
      </c>
      <c r="R1542">
        <v>-8.1415130000000002E-2</v>
      </c>
      <c r="S1542">
        <v>2.9319609999999998</v>
      </c>
      <c r="T1542">
        <v>-0.18711920000000001</v>
      </c>
      <c r="U1542">
        <v>-0.92724609999999996</v>
      </c>
      <c r="V1542">
        <v>4.7790869999999999E-2</v>
      </c>
      <c r="W1542">
        <v>-7.7848260000000002E-2</v>
      </c>
      <c r="X1542">
        <v>0.99581909999999896</v>
      </c>
      <c r="Y1542">
        <v>0.26892139999999998</v>
      </c>
      <c r="Z1542">
        <v>-8.6587019999999904E-3</v>
      </c>
      <c r="AA1542">
        <v>0.96312319999999996</v>
      </c>
      <c r="AB1542">
        <v>24</v>
      </c>
      <c r="AC1542">
        <v>17.399799999999999</v>
      </c>
      <c r="AD1542">
        <v>-1.118938842735</v>
      </c>
      <c r="AE1542">
        <v>-5.5389999999999802</v>
      </c>
      <c r="AF1542">
        <v>4.9357832115788396</v>
      </c>
      <c r="AG1542">
        <v>-1.118938842735</v>
      </c>
      <c r="AH1542">
        <v>17.5094714488364</v>
      </c>
      <c r="AI1542">
        <v>93.5196967447379</v>
      </c>
      <c r="AJ1542">
        <v>74.257270402118905</v>
      </c>
      <c r="AK1542">
        <v>18.226233029979099</v>
      </c>
      <c r="AL1542">
        <v>94.464894316086799</v>
      </c>
      <c r="AM1542">
        <v>87.252396700877</v>
      </c>
      <c r="AN1542">
        <v>0.99999999938259698</v>
      </c>
    </row>
    <row r="1543" spans="1:40" x14ac:dyDescent="0.25">
      <c r="A1543" t="str">
        <f>"20190303153805319"</f>
        <v>20190303153805319</v>
      </c>
      <c r="B1543" t="str">
        <f>"1551598685310269"</f>
        <v>1551598685310269</v>
      </c>
      <c r="C1543" t="s">
        <v>40</v>
      </c>
      <c r="D1543">
        <v>4.6931190000000003</v>
      </c>
      <c r="E1543">
        <v>0.58668640000000005</v>
      </c>
      <c r="F1543" t="s">
        <v>45</v>
      </c>
      <c r="G1543">
        <v>-193.96440000000001</v>
      </c>
      <c r="H1543" s="1">
        <v>-7.8984030000000003E-6</v>
      </c>
      <c r="I1543">
        <v>361.79579999999999</v>
      </c>
      <c r="J1543">
        <v>-211.0307</v>
      </c>
      <c r="K1543">
        <v>1.1188670000000001</v>
      </c>
      <c r="L1543">
        <v>367.28460000000001</v>
      </c>
      <c r="M1543">
        <v>0.99927169999999998</v>
      </c>
      <c r="N1543">
        <v>-1.3888350000000001E-2</v>
      </c>
      <c r="O1543">
        <v>-3.5544239999999998E-2</v>
      </c>
      <c r="P1543">
        <v>0.9921818</v>
      </c>
      <c r="Q1543">
        <v>-9.1540140000000006E-2</v>
      </c>
      <c r="R1543">
        <v>-8.4826940000000003E-2</v>
      </c>
      <c r="S1543">
        <v>2.9285580000000002</v>
      </c>
      <c r="T1543">
        <v>-0.1902702</v>
      </c>
      <c r="U1543">
        <v>-0.93463130000000005</v>
      </c>
      <c r="V1543">
        <v>4.9082479999999998E-2</v>
      </c>
      <c r="W1543">
        <v>-7.7985090000000007E-2</v>
      </c>
      <c r="X1543">
        <v>0.99574549999999995</v>
      </c>
      <c r="Y1543">
        <v>0.26938719999999999</v>
      </c>
      <c r="Z1543">
        <v>-8.6833710000000005E-3</v>
      </c>
      <c r="AA1543">
        <v>0.96299279999999998</v>
      </c>
      <c r="AB1543">
        <v>24</v>
      </c>
      <c r="AC1543">
        <v>17.066299999999899</v>
      </c>
      <c r="AD1543">
        <v>-1.1188748984029999</v>
      </c>
      <c r="AE1543">
        <v>-5.4888000000000199</v>
      </c>
      <c r="AF1543">
        <v>4.85973392824335</v>
      </c>
      <c r="AG1543">
        <v>-1.1188748984029999</v>
      </c>
      <c r="AH1543">
        <v>17.183692816313801</v>
      </c>
      <c r="AI1543">
        <v>93.585189204980907</v>
      </c>
      <c r="AJ1543">
        <v>74.208523926133694</v>
      </c>
      <c r="AK1543">
        <v>17.8926854803026</v>
      </c>
      <c r="AL1543">
        <v>94.472758304243797</v>
      </c>
      <c r="AM1543">
        <v>87.178049379600793</v>
      </c>
      <c r="AN1543">
        <v>0.99999993243775098</v>
      </c>
    </row>
    <row r="1544" spans="1:40" x14ac:dyDescent="0.25">
      <c r="A1544" t="str">
        <f>"20190303153805332"</f>
        <v>20190303153805332</v>
      </c>
      <c r="B1544" t="str">
        <f>"1551598685320029"</f>
        <v>1551598685320029</v>
      </c>
      <c r="C1544" t="s">
        <v>40</v>
      </c>
      <c r="D1544">
        <v>4.6483379999999999</v>
      </c>
      <c r="E1544">
        <v>0.58649580000000001</v>
      </c>
      <c r="F1544" t="s">
        <v>45</v>
      </c>
      <c r="G1544">
        <v>-193.9238</v>
      </c>
      <c r="H1544" s="1">
        <v>-7.8887609999999997E-6</v>
      </c>
      <c r="I1544">
        <v>361.76609999999999</v>
      </c>
      <c r="J1544">
        <v>-210.89320000000001</v>
      </c>
      <c r="K1544">
        <v>1.1188149999999999</v>
      </c>
      <c r="L1544">
        <v>367.27780000000001</v>
      </c>
      <c r="M1544">
        <v>0.99920160000000002</v>
      </c>
      <c r="N1544">
        <v>-1.3891819999999999E-2</v>
      </c>
      <c r="O1544">
        <v>-3.7461759999999997E-2</v>
      </c>
      <c r="P1544">
        <v>0.9920156</v>
      </c>
      <c r="Q1544">
        <v>-8.9268680000000003E-2</v>
      </c>
      <c r="R1544">
        <v>-8.9087109999999997E-2</v>
      </c>
      <c r="S1544">
        <v>2.9252929999999999</v>
      </c>
      <c r="T1544">
        <v>-0.19132850000000001</v>
      </c>
      <c r="U1544">
        <v>-0.94366459999999996</v>
      </c>
      <c r="V1544">
        <v>5.1436620000000002E-2</v>
      </c>
      <c r="W1544">
        <v>-7.5730560000000002E-2</v>
      </c>
      <c r="X1544">
        <v>0.99580069999999998</v>
      </c>
      <c r="Y1544">
        <v>0.27053959999999999</v>
      </c>
      <c r="Z1544">
        <v>-8.6725999999999904E-3</v>
      </c>
      <c r="AA1544">
        <v>0.96266980000000002</v>
      </c>
      <c r="AB1544">
        <v>24</v>
      </c>
      <c r="AC1544">
        <v>16.9694</v>
      </c>
      <c r="AD1544">
        <v>-1.1188228887609999</v>
      </c>
      <c r="AE1544">
        <v>-5.51170000000001</v>
      </c>
      <c r="AF1544">
        <v>4.8529827523353202</v>
      </c>
      <c r="AG1544">
        <v>-1.1188228887609999</v>
      </c>
      <c r="AH1544">
        <v>17.096756761392701</v>
      </c>
      <c r="AI1544">
        <v>93.602221592067195</v>
      </c>
      <c r="AJ1544">
        <v>74.153194831755002</v>
      </c>
      <c r="AK1544">
        <v>17.807366397339798</v>
      </c>
      <c r="AL1544">
        <v>94.343199960352393</v>
      </c>
      <c r="AM1544">
        <v>87.0430986988857</v>
      </c>
      <c r="AN1544">
        <v>0.99999993885771199</v>
      </c>
    </row>
    <row r="1545" spans="1:40" x14ac:dyDescent="0.25">
      <c r="A1545" t="str">
        <f>"20190303153805345"</f>
        <v>20190303153805345</v>
      </c>
      <c r="B1545" t="str">
        <f>"1551598685340526"</f>
        <v>1551598685340526</v>
      </c>
      <c r="C1545" t="s">
        <v>40</v>
      </c>
      <c r="D1545">
        <v>4.7130789999999996</v>
      </c>
      <c r="E1545">
        <v>0.58605869999999904</v>
      </c>
      <c r="F1545" t="s">
        <v>45</v>
      </c>
      <c r="G1545">
        <v>-193.2567</v>
      </c>
      <c r="H1545" s="1">
        <v>-7.6938329999999994E-6</v>
      </c>
      <c r="I1545">
        <v>361.51499999999999</v>
      </c>
      <c r="J1545">
        <v>-210.7303</v>
      </c>
      <c r="K1545">
        <v>1.1187499999999999</v>
      </c>
      <c r="L1545">
        <v>367.26909999999998</v>
      </c>
      <c r="M1545">
        <v>0.99910969999999999</v>
      </c>
      <c r="N1545">
        <v>-1.3896189999999999E-2</v>
      </c>
      <c r="O1545">
        <v>-3.9832310000000003E-2</v>
      </c>
      <c r="P1545">
        <v>0.99183160000000004</v>
      </c>
      <c r="Q1545">
        <v>-8.7816450000000004E-2</v>
      </c>
      <c r="R1545">
        <v>-9.2512499999999998E-2</v>
      </c>
      <c r="S1545">
        <v>2.9217379999999999</v>
      </c>
      <c r="T1545">
        <v>-0.18534870000000001</v>
      </c>
      <c r="U1545">
        <v>-0.95468140000000001</v>
      </c>
      <c r="V1545">
        <v>5.2500280000000003E-2</v>
      </c>
      <c r="W1545">
        <v>-7.4289289999999994E-2</v>
      </c>
      <c r="X1545">
        <v>0.99585380000000001</v>
      </c>
      <c r="Y1545">
        <v>0.27191270000000001</v>
      </c>
      <c r="Z1545">
        <v>-8.4216710000000004E-3</v>
      </c>
      <c r="AA1545">
        <v>0.96228499999999995</v>
      </c>
      <c r="AB1545">
        <v>24</v>
      </c>
      <c r="AC1545">
        <v>17.473600000000001</v>
      </c>
      <c r="AD1545">
        <v>-1.1187576938329999</v>
      </c>
      <c r="AE1545">
        <v>-5.7540999999999896</v>
      </c>
      <c r="AF1545">
        <v>5.0348314325041397</v>
      </c>
      <c r="AG1545">
        <v>-1.1187576938329999</v>
      </c>
      <c r="AH1545">
        <v>17.623774194578498</v>
      </c>
      <c r="AI1545">
        <v>93.492889497113197</v>
      </c>
      <c r="AJ1545">
        <v>74.056205010780801</v>
      </c>
      <c r="AK1545">
        <v>18.3629671674469</v>
      </c>
      <c r="AL1545">
        <v>94.260387766026398</v>
      </c>
      <c r="AM1545">
        <v>86.982225328662594</v>
      </c>
      <c r="AN1545">
        <v>0.99999998449161098</v>
      </c>
    </row>
    <row r="1546" spans="1:40" x14ac:dyDescent="0.25">
      <c r="A1546" t="str">
        <f>"20190303153805359"</f>
        <v>20190303153805359</v>
      </c>
      <c r="B1546" t="str">
        <f>"1551598685350285"</f>
        <v>1551598685350285</v>
      </c>
      <c r="C1546" t="s">
        <v>40</v>
      </c>
      <c r="D1546">
        <v>4.6975319999999998</v>
      </c>
      <c r="E1546">
        <v>0.58587429999999996</v>
      </c>
      <c r="F1546" t="s">
        <v>45</v>
      </c>
      <c r="G1546">
        <v>-192.82560000000001</v>
      </c>
      <c r="H1546" s="1">
        <v>-7.5646990000000004E-6</v>
      </c>
      <c r="I1546">
        <v>361.37299999999999</v>
      </c>
      <c r="J1546">
        <v>-210.5916</v>
      </c>
      <c r="K1546">
        <v>1.1186959999999999</v>
      </c>
      <c r="L1546">
        <v>367.26130000000001</v>
      </c>
      <c r="M1546">
        <v>0.99902460000000004</v>
      </c>
      <c r="N1546">
        <v>-1.3900020000000001E-2</v>
      </c>
      <c r="O1546">
        <v>-4.1915609999999999E-2</v>
      </c>
      <c r="P1546">
        <v>0.99172419999999994</v>
      </c>
      <c r="Q1546">
        <v>-8.6011859999999996E-2</v>
      </c>
      <c r="R1546">
        <v>-9.5318079999999999E-2</v>
      </c>
      <c r="S1546">
        <v>2.9189150000000001</v>
      </c>
      <c r="T1546">
        <v>-0.18238599999999999</v>
      </c>
      <c r="U1546">
        <v>-0.96121219999999996</v>
      </c>
      <c r="V1546">
        <v>5.3232439999999999E-2</v>
      </c>
      <c r="W1546">
        <v>-7.2492150000000005E-2</v>
      </c>
      <c r="X1546">
        <v>0.99594740000000004</v>
      </c>
      <c r="Y1546">
        <v>0.27214159999999998</v>
      </c>
      <c r="Z1546">
        <v>-8.2421079999999997E-3</v>
      </c>
      <c r="AA1546">
        <v>0.96222189999999996</v>
      </c>
      <c r="AB1546">
        <v>24</v>
      </c>
      <c r="AC1546">
        <v>17.765999999999899</v>
      </c>
      <c r="AD1546">
        <v>-1.118703564699</v>
      </c>
      <c r="AE1546">
        <v>-5.8882999999999504</v>
      </c>
      <c r="AF1546">
        <v>5.1200874146514801</v>
      </c>
      <c r="AG1546">
        <v>-1.118703564699</v>
      </c>
      <c r="AH1546">
        <v>17.933150648398801</v>
      </c>
      <c r="AI1546">
        <v>93.432768777060701</v>
      </c>
      <c r="AJ1546">
        <v>74.065445004152707</v>
      </c>
      <c r="AK1546">
        <v>18.683272865788599</v>
      </c>
      <c r="AL1546">
        <v>94.157140660324899</v>
      </c>
      <c r="AM1546">
        <v>86.940506391224204</v>
      </c>
      <c r="AN1546">
        <v>1.00000001402336</v>
      </c>
    </row>
    <row r="1547" spans="1:40" x14ac:dyDescent="0.25">
      <c r="A1547" t="str">
        <f>"20190303153805369"</f>
        <v>20190303153805369</v>
      </c>
      <c r="B1547" t="str">
        <f>"1551598685360045"</f>
        <v>1551598685360045</v>
      </c>
      <c r="C1547" t="s">
        <v>40</v>
      </c>
      <c r="D1547">
        <v>4.687055</v>
      </c>
      <c r="E1547">
        <v>0.58559439999999996</v>
      </c>
      <c r="F1547" t="s">
        <v>45</v>
      </c>
      <c r="G1547">
        <v>-192.21100000000001</v>
      </c>
      <c r="H1547" s="1">
        <v>-7.382146E-6</v>
      </c>
      <c r="I1547">
        <v>361.16059999999999</v>
      </c>
      <c r="J1547">
        <v>-210.46610000000001</v>
      </c>
      <c r="K1547">
        <v>1.1186480000000001</v>
      </c>
      <c r="L1547">
        <v>367.25409999999999</v>
      </c>
      <c r="M1547">
        <v>0.99894240000000001</v>
      </c>
      <c r="N1547">
        <v>-1.390341E-2</v>
      </c>
      <c r="O1547">
        <v>-4.3829949999999999E-2</v>
      </c>
      <c r="P1547">
        <v>0.99165959999999997</v>
      </c>
      <c r="Q1547">
        <v>-8.3928989999999995E-2</v>
      </c>
      <c r="R1547">
        <v>-9.7813410000000003E-2</v>
      </c>
      <c r="S1547">
        <v>2.9165800000000002</v>
      </c>
      <c r="T1547">
        <v>-0.17751239999999999</v>
      </c>
      <c r="U1547">
        <v>-0.96804809999999997</v>
      </c>
      <c r="V1547">
        <v>5.3824089999999998E-2</v>
      </c>
      <c r="W1547">
        <v>-7.04153E-2</v>
      </c>
      <c r="X1547">
        <v>0.99606459999999997</v>
      </c>
      <c r="Y1547">
        <v>0.27258549999999998</v>
      </c>
      <c r="Z1547">
        <v>-8.021973E-3</v>
      </c>
      <c r="AA1547">
        <v>0.96209809999999996</v>
      </c>
      <c r="AB1547">
        <v>24</v>
      </c>
      <c r="AC1547">
        <v>18.255099999999999</v>
      </c>
      <c r="AD1547">
        <v>-1.1186553821459999</v>
      </c>
      <c r="AE1547">
        <v>-6.0934999999999997</v>
      </c>
      <c r="AF1547">
        <v>5.2696413225982202</v>
      </c>
      <c r="AG1547">
        <v>-1.1186553821459999</v>
      </c>
      <c r="AH1547">
        <v>18.4423465443938</v>
      </c>
      <c r="AI1547">
        <v>93.337864417387706</v>
      </c>
      <c r="AJ1547">
        <v>74.0534567657254</v>
      </c>
      <c r="AK1547">
        <v>19.213033482413799</v>
      </c>
      <c r="AL1547">
        <v>94.037840947343199</v>
      </c>
      <c r="AM1547">
        <v>86.906930719312498</v>
      </c>
      <c r="AN1547">
        <v>1.0000000172557799</v>
      </c>
    </row>
    <row r="1548" spans="1:40" x14ac:dyDescent="0.25">
      <c r="A1548" t="str">
        <f>"20190303153805381"</f>
        <v>20190303153805381</v>
      </c>
      <c r="B1548" t="str">
        <f>"1551598685369805"</f>
        <v>1551598685369805</v>
      </c>
      <c r="C1548" t="s">
        <v>40</v>
      </c>
      <c r="D1548">
        <v>4.6998179999999996</v>
      </c>
      <c r="E1548">
        <v>0.58548959999999906</v>
      </c>
      <c r="F1548" t="s">
        <v>45</v>
      </c>
      <c r="G1548">
        <v>-191.48580000000001</v>
      </c>
      <c r="H1548" s="1">
        <v>-7.1659280000000002E-6</v>
      </c>
      <c r="I1548">
        <v>360.91520000000003</v>
      </c>
      <c r="J1548">
        <v>-210.3338</v>
      </c>
      <c r="K1548">
        <v>1.118601</v>
      </c>
      <c r="L1548">
        <v>367.24599999999998</v>
      </c>
      <c r="M1548">
        <v>0.99884790000000001</v>
      </c>
      <c r="N1548">
        <v>-1.3907330000000001E-2</v>
      </c>
      <c r="O1548">
        <v>-4.5929159999999997E-2</v>
      </c>
      <c r="P1548">
        <v>0.99160919999999997</v>
      </c>
      <c r="Q1548">
        <v>-8.1487160000000003E-2</v>
      </c>
      <c r="R1548">
        <v>-0.10035520000000001</v>
      </c>
      <c r="S1548">
        <v>2.9146730000000001</v>
      </c>
      <c r="T1548">
        <v>-0.17178479999999999</v>
      </c>
      <c r="U1548">
        <v>-0.97341920000000004</v>
      </c>
      <c r="V1548">
        <v>5.427891E-2</v>
      </c>
      <c r="W1548">
        <v>-6.7978289999999997E-2</v>
      </c>
      <c r="X1548">
        <v>0.99620920000000002</v>
      </c>
      <c r="Y1548">
        <v>0.27237899999999998</v>
      </c>
      <c r="Z1548">
        <v>-7.7495659999999899E-3</v>
      </c>
      <c r="AA1548">
        <v>0.96215890000000004</v>
      </c>
      <c r="AB1548">
        <v>24</v>
      </c>
      <c r="AC1548">
        <v>18.8479999999999</v>
      </c>
      <c r="AD1548">
        <v>-1.1186081659280001</v>
      </c>
      <c r="AE1548">
        <v>-6.3307999999999502</v>
      </c>
      <c r="AF1548">
        <v>5.4411390204937504</v>
      </c>
      <c r="AG1548">
        <v>-1.1186081659280001</v>
      </c>
      <c r="AH1548">
        <v>19.058578175479902</v>
      </c>
      <c r="AI1548">
        <v>93.230240312517694</v>
      </c>
      <c r="AJ1548">
        <v>74.0661922039655</v>
      </c>
      <c r="AK1548">
        <v>19.8516165623885</v>
      </c>
      <c r="AL1548">
        <v>93.897875064624202</v>
      </c>
      <c r="AM1548">
        <v>86.881297160349703</v>
      </c>
      <c r="AN1548">
        <v>1.0000000090733701</v>
      </c>
    </row>
    <row r="1549" spans="1:40" x14ac:dyDescent="0.25">
      <c r="A1549" t="str">
        <f>"20190303153805393"</f>
        <v>20190303153805393</v>
      </c>
      <c r="B1549" t="str">
        <f>"1551598685390302"</f>
        <v>1551598685390302</v>
      </c>
      <c r="C1549" t="s">
        <v>40</v>
      </c>
      <c r="D1549">
        <v>4.7372160000000001</v>
      </c>
      <c r="E1549">
        <v>0.58532659999999903</v>
      </c>
      <c r="F1549" t="s">
        <v>45</v>
      </c>
      <c r="G1549">
        <v>-190.16480000000001</v>
      </c>
      <c r="H1549" s="1">
        <v>-6.7730479999999998E-6</v>
      </c>
      <c r="I1549">
        <v>360.46190000000001</v>
      </c>
      <c r="J1549">
        <v>-210.2141</v>
      </c>
      <c r="K1549">
        <v>1.1185499999999999</v>
      </c>
      <c r="L1549">
        <v>367.23849999999999</v>
      </c>
      <c r="M1549">
        <v>0.99875740000000002</v>
      </c>
      <c r="N1549">
        <v>-1.3910860000000001E-2</v>
      </c>
      <c r="O1549">
        <v>-4.7857400000000001E-2</v>
      </c>
      <c r="P1549">
        <v>0.99147110000000005</v>
      </c>
      <c r="Q1549">
        <v>-7.9833080000000001E-2</v>
      </c>
      <c r="R1549">
        <v>-0.10301539999999999</v>
      </c>
      <c r="S1549">
        <v>2.9129330000000002</v>
      </c>
      <c r="T1549">
        <v>-0.1615567</v>
      </c>
      <c r="U1549">
        <v>-0.97979740000000004</v>
      </c>
      <c r="V1549">
        <v>5.5022710000000002E-2</v>
      </c>
      <c r="W1549">
        <v>-6.6331630000000003E-2</v>
      </c>
      <c r="X1549">
        <v>0.99627940000000004</v>
      </c>
      <c r="Y1549">
        <v>0.2726382</v>
      </c>
      <c r="Z1549">
        <v>-7.3752180000000002E-3</v>
      </c>
      <c r="AA1549">
        <v>0.96208830000000001</v>
      </c>
      <c r="AB1549">
        <v>24</v>
      </c>
      <c r="AC1549">
        <v>20.049299999999899</v>
      </c>
      <c r="AD1549">
        <v>-1.1185567730479999</v>
      </c>
      <c r="AE1549">
        <v>-6.77659999999997</v>
      </c>
      <c r="AF1549">
        <v>5.7930510932665298</v>
      </c>
      <c r="AG1549">
        <v>-1.1185567730479999</v>
      </c>
      <c r="AH1549">
        <v>20.2939745940755</v>
      </c>
      <c r="AI1549">
        <v>93.033870481383005</v>
      </c>
      <c r="AJ1549">
        <v>74.0682495491465</v>
      </c>
      <c r="AK1549">
        <v>21.134237981264199</v>
      </c>
      <c r="AL1549">
        <v>93.803314906134005</v>
      </c>
      <c r="AM1549">
        <v>86.838869055503096</v>
      </c>
      <c r="AN1549">
        <v>1.0000000133092799</v>
      </c>
    </row>
    <row r="1550" spans="1:40" x14ac:dyDescent="0.25">
      <c r="A1550" t="str">
        <f>"20190303153805405"</f>
        <v>20190303153805405</v>
      </c>
      <c r="B1550" t="str">
        <f>"1551598685400061"</f>
        <v>1551598685400061</v>
      </c>
      <c r="C1550" t="s">
        <v>40</v>
      </c>
      <c r="D1550">
        <v>5.0092290000000004</v>
      </c>
      <c r="E1550">
        <v>0.58532659999999903</v>
      </c>
      <c r="F1550" t="s">
        <v>45</v>
      </c>
      <c r="G1550">
        <v>-189.5592</v>
      </c>
      <c r="H1550" s="1">
        <v>-5.5448690000000003E-6</v>
      </c>
      <c r="I1550">
        <v>360.23860000000002</v>
      </c>
      <c r="J1550">
        <v>-210.07839999999999</v>
      </c>
      <c r="K1550">
        <v>1.1184879999999999</v>
      </c>
      <c r="L1550">
        <v>367.2296</v>
      </c>
      <c r="M1550">
        <v>0.99864750000000002</v>
      </c>
      <c r="N1550">
        <v>-1.391507E-2</v>
      </c>
      <c r="O1550">
        <v>-5.0097879999999997E-2</v>
      </c>
      <c r="P1550">
        <v>0.99128340000000004</v>
      </c>
      <c r="Q1550">
        <v>-7.8810859999999996E-2</v>
      </c>
      <c r="R1550">
        <v>-0.1055769</v>
      </c>
      <c r="S1550">
        <v>2.9106450000000001</v>
      </c>
      <c r="T1550">
        <v>-0.15762499999999999</v>
      </c>
      <c r="U1550">
        <v>-0.98641970000000001</v>
      </c>
      <c r="V1550">
        <v>5.5354300000000002E-2</v>
      </c>
      <c r="W1550">
        <v>-6.531489E-2</v>
      </c>
      <c r="X1550">
        <v>0.9963282</v>
      </c>
      <c r="Y1550">
        <v>0.27269290000000002</v>
      </c>
      <c r="Z1550">
        <v>-7.1771150000000004E-3</v>
      </c>
      <c r="AA1550">
        <v>0.96207430000000005</v>
      </c>
      <c r="AB1550">
        <v>24</v>
      </c>
      <c r="AC1550">
        <v>20.519199999999898</v>
      </c>
      <c r="AD1550">
        <v>-1.1184935448690001</v>
      </c>
      <c r="AE1550">
        <v>-6.9909999999999801</v>
      </c>
      <c r="AF1550">
        <v>5.9383425454305403</v>
      </c>
      <c r="AG1550">
        <v>-1.1184935448690001</v>
      </c>
      <c r="AH1550">
        <v>20.788353426235499</v>
      </c>
      <c r="AI1550">
        <v>92.961526817954507</v>
      </c>
      <c r="AJ1550">
        <v>74.057628795697994</v>
      </c>
      <c r="AK1550">
        <v>21.648800848334801</v>
      </c>
      <c r="AL1550">
        <v>93.744933402193695</v>
      </c>
      <c r="AM1550">
        <v>86.820013178189399</v>
      </c>
      <c r="AN1550">
        <v>1.00000000774972</v>
      </c>
    </row>
    <row r="1551" spans="1:40" x14ac:dyDescent="0.25">
      <c r="A1551" t="str">
        <f>"20190303153805417"</f>
        <v>20190303153805417</v>
      </c>
      <c r="B1551" t="str">
        <f>"1551598685409821"</f>
        <v>1551598685409821</v>
      </c>
      <c r="C1551" t="s">
        <v>40</v>
      </c>
      <c r="D1551">
        <v>4.9277100000000003</v>
      </c>
      <c r="E1551">
        <v>0.6203784</v>
      </c>
      <c r="F1551" t="s">
        <v>45</v>
      </c>
      <c r="G1551">
        <v>-188.95820000000001</v>
      </c>
      <c r="H1551" s="1">
        <v>-5.4983980000000001E-6</v>
      </c>
      <c r="I1551">
        <v>360.01479999999998</v>
      </c>
      <c r="J1551">
        <v>-209.95079999999999</v>
      </c>
      <c r="K1551">
        <v>1.11843</v>
      </c>
      <c r="L1551">
        <v>367.2208</v>
      </c>
      <c r="M1551">
        <v>0.9985366</v>
      </c>
      <c r="N1551">
        <v>-1.391915E-2</v>
      </c>
      <c r="O1551">
        <v>-5.2259100000000003E-2</v>
      </c>
      <c r="P1551">
        <v>0.99098660000000005</v>
      </c>
      <c r="Q1551">
        <v>-7.8916420000000001E-2</v>
      </c>
      <c r="R1551">
        <v>-0.1082491</v>
      </c>
      <c r="S1551">
        <v>2.908325</v>
      </c>
      <c r="T1551">
        <v>-0.15402089999999999</v>
      </c>
      <c r="U1551">
        <v>-0.99349980000000004</v>
      </c>
      <c r="V1551">
        <v>5.5874569999999998E-2</v>
      </c>
      <c r="W1551">
        <v>-6.5428059999999996E-2</v>
      </c>
      <c r="X1551">
        <v>0.9962917</v>
      </c>
      <c r="Y1551">
        <v>0.27296009999999998</v>
      </c>
      <c r="Z1551">
        <v>-7.003759E-3</v>
      </c>
      <c r="AA1551">
        <v>0.96199979999999996</v>
      </c>
      <c r="AB1551">
        <v>24</v>
      </c>
      <c r="AC1551">
        <v>20.9925999999999</v>
      </c>
      <c r="AD1551">
        <v>-1.118435498398</v>
      </c>
      <c r="AE1551">
        <v>-7.2060000000000102</v>
      </c>
      <c r="AF1551">
        <v>6.0835429772584897</v>
      </c>
      <c r="AG1551">
        <v>-1.118435498398</v>
      </c>
      <c r="AH1551">
        <v>21.2864721530363</v>
      </c>
      <c r="AI1551">
        <v>92.892089959790795</v>
      </c>
      <c r="AJ1551">
        <v>74.050389174954503</v>
      </c>
      <c r="AK1551">
        <v>22.166963929284901</v>
      </c>
      <c r="AL1551">
        <v>93.751431587739006</v>
      </c>
      <c r="AM1551">
        <v>86.790069630840406</v>
      </c>
      <c r="AN1551">
        <v>0.99999997504846805</v>
      </c>
    </row>
    <row r="1552" spans="1:40" x14ac:dyDescent="0.25">
      <c r="A1552" t="str">
        <f>"20190303153805431"</f>
        <v>20190303153805431</v>
      </c>
      <c r="B1552" t="str">
        <f>"1551598685420557"</f>
        <v>1551598685420557</v>
      </c>
      <c r="C1552" t="s">
        <v>40</v>
      </c>
      <c r="D1552">
        <v>4.7070119999999998</v>
      </c>
      <c r="E1552">
        <v>0.6203784</v>
      </c>
      <c r="F1552" t="s">
        <v>45</v>
      </c>
      <c r="G1552">
        <v>-192.37880000000001</v>
      </c>
      <c r="H1552" s="1">
        <v>-5.5905580000000004E-6</v>
      </c>
      <c r="I1552">
        <v>359.3965</v>
      </c>
      <c r="J1552">
        <v>-209.80719999999999</v>
      </c>
      <c r="K1552">
        <v>1.11835</v>
      </c>
      <c r="L1552">
        <v>367.21069999999997</v>
      </c>
      <c r="M1552">
        <v>0.99840430000000002</v>
      </c>
      <c r="N1552">
        <v>-1.3923680000000001E-2</v>
      </c>
      <c r="O1552">
        <v>-5.472925E-2</v>
      </c>
      <c r="P1552">
        <v>0.99026349999999996</v>
      </c>
      <c r="Q1552">
        <v>-8.1478460000000003E-2</v>
      </c>
      <c r="R1552">
        <v>-0.11286939999999999</v>
      </c>
      <c r="S1552">
        <v>2.8730009999999999</v>
      </c>
      <c r="T1552">
        <v>-0.1828632</v>
      </c>
      <c r="U1552">
        <v>-1.279266</v>
      </c>
      <c r="V1552">
        <v>5.8037409999999998E-2</v>
      </c>
      <c r="W1552">
        <v>-6.8013379999999998E-2</v>
      </c>
      <c r="X1552">
        <v>0.99599490000000002</v>
      </c>
      <c r="Y1552">
        <v>0.35546509999999998</v>
      </c>
      <c r="Z1552">
        <v>-1.0798520000000001E-2</v>
      </c>
      <c r="AA1552">
        <v>0.93462719999999999</v>
      </c>
      <c r="AB1552">
        <v>24</v>
      </c>
      <c r="AC1552">
        <v>17.4283999999999</v>
      </c>
      <c r="AD1552">
        <v>-1.118355590558</v>
      </c>
      <c r="AE1552">
        <v>-7.8141999999999703</v>
      </c>
      <c r="AF1552">
        <v>6.8251510851394901</v>
      </c>
      <c r="AG1552">
        <v>-1.118355590558</v>
      </c>
      <c r="AH1552">
        <v>17.769060970505599</v>
      </c>
      <c r="AI1552">
        <v>93.362451963486805</v>
      </c>
      <c r="AJ1552">
        <v>68.988063559988007</v>
      </c>
      <c r="AK1552">
        <v>19.0675885820798</v>
      </c>
      <c r="AL1552">
        <v>93.899890269643095</v>
      </c>
      <c r="AM1552">
        <v>86.665100766304406</v>
      </c>
      <c r="AN1552">
        <v>1.00000000082227</v>
      </c>
    </row>
    <row r="1553" spans="1:40" x14ac:dyDescent="0.25">
      <c r="A1553" t="str">
        <f>"20190303153805444"</f>
        <v>20190303153805444</v>
      </c>
      <c r="B1553" t="str">
        <f>"1551598685440078"</f>
        <v>1551598685440078</v>
      </c>
      <c r="C1553" t="s">
        <v>40</v>
      </c>
      <c r="D1553">
        <v>4.7888799999999998</v>
      </c>
      <c r="E1553">
        <v>0.67892859999999999</v>
      </c>
      <c r="F1553" t="s">
        <v>45</v>
      </c>
      <c r="G1553">
        <v>-192.85810000000001</v>
      </c>
      <c r="H1553" s="1">
        <v>-5.722483E-6</v>
      </c>
      <c r="I1553">
        <v>359.56699999999898</v>
      </c>
      <c r="J1553">
        <v>-209.6551</v>
      </c>
      <c r="K1553">
        <v>1.1182749999999999</v>
      </c>
      <c r="L1553">
        <v>367.19940000000003</v>
      </c>
      <c r="M1553">
        <v>0.99825229999999998</v>
      </c>
      <c r="N1553">
        <v>-1.392874E-2</v>
      </c>
      <c r="O1553">
        <v>-5.743098E-2</v>
      </c>
      <c r="P1553">
        <v>0.98960859999999995</v>
      </c>
      <c r="Q1553">
        <v>-8.3545449999999993E-2</v>
      </c>
      <c r="R1553">
        <v>-0.1170253</v>
      </c>
      <c r="S1553">
        <v>2.8665620000000001</v>
      </c>
      <c r="T1553">
        <v>-0.1891448</v>
      </c>
      <c r="U1553">
        <v>-1.2927550000000001</v>
      </c>
      <c r="V1553">
        <v>5.9505879999999997E-2</v>
      </c>
      <c r="W1553">
        <v>-7.0098439999999998E-2</v>
      </c>
      <c r="X1553">
        <v>0.99576370000000003</v>
      </c>
      <c r="Y1553">
        <v>0.35733229999999999</v>
      </c>
      <c r="Z1553">
        <v>-1.100684E-2</v>
      </c>
      <c r="AA1553">
        <v>0.93391239999999998</v>
      </c>
      <c r="AB1553">
        <v>24</v>
      </c>
      <c r="AC1553">
        <v>16.796999999999901</v>
      </c>
      <c r="AD1553">
        <v>-1.11828072248299</v>
      </c>
      <c r="AE1553">
        <v>-7.6324000000000698</v>
      </c>
      <c r="AF1553">
        <v>6.6306782314537198</v>
      </c>
      <c r="AG1553">
        <v>-1.11828072248299</v>
      </c>
      <c r="AH1553">
        <v>17.144662645072401</v>
      </c>
      <c r="AI1553">
        <v>93.481296665995004</v>
      </c>
      <c r="AJ1553">
        <v>68.856079950674996</v>
      </c>
      <c r="AK1553">
        <v>18.416185891674001</v>
      </c>
      <c r="AL1553">
        <v>94.019641127939096</v>
      </c>
      <c r="AM1553">
        <v>86.580126462532306</v>
      </c>
      <c r="AN1553">
        <v>1.0000000436413401</v>
      </c>
    </row>
    <row r="1554" spans="1:40" x14ac:dyDescent="0.25">
      <c r="A1554" t="str">
        <f>"20190303153805454"</f>
        <v>20190303153805454</v>
      </c>
      <c r="B1554" t="str">
        <f>"1551598685449837"</f>
        <v>1551598685449837</v>
      </c>
      <c r="C1554" t="s">
        <v>40</v>
      </c>
      <c r="D1554">
        <v>4.7577730000000003</v>
      </c>
      <c r="E1554">
        <v>0.68002309999999999</v>
      </c>
      <c r="F1554" t="s">
        <v>45</v>
      </c>
      <c r="G1554">
        <v>-188.9914</v>
      </c>
      <c r="H1554" s="1">
        <v>-2.85694E-6</v>
      </c>
      <c r="I1554">
        <v>354.19199999999898</v>
      </c>
      <c r="J1554">
        <v>-209.54839999999999</v>
      </c>
      <c r="K1554">
        <v>1.1182259999999999</v>
      </c>
      <c r="L1554">
        <v>367.19119999999998</v>
      </c>
      <c r="M1554">
        <v>0.99813940000000001</v>
      </c>
      <c r="N1554">
        <v>-1.393235E-2</v>
      </c>
      <c r="O1554">
        <v>-5.936176E-2</v>
      </c>
      <c r="P1554">
        <v>0.98899749999999997</v>
      </c>
      <c r="Q1554">
        <v>-8.5410920000000001E-2</v>
      </c>
      <c r="R1554">
        <v>-0.12078469999999999</v>
      </c>
      <c r="S1554">
        <v>2.8095400000000001</v>
      </c>
      <c r="T1554">
        <v>-0.15204719999999999</v>
      </c>
      <c r="U1554">
        <v>-1.7685550000000001</v>
      </c>
      <c r="V1554">
        <v>6.1349809999999998E-2</v>
      </c>
      <c r="W1554">
        <v>-7.1983619999999998E-2</v>
      </c>
      <c r="X1554">
        <v>0.99551730000000005</v>
      </c>
      <c r="Y1554">
        <v>0.48090630000000001</v>
      </c>
      <c r="Z1554">
        <v>-1.3386790000000001E-2</v>
      </c>
      <c r="AA1554">
        <v>0.87666980000000005</v>
      </c>
      <c r="AB1554">
        <v>24</v>
      </c>
      <c r="AC1554">
        <v>20.556999999999899</v>
      </c>
      <c r="AD1554">
        <v>-1.1182288569399901</v>
      </c>
      <c r="AE1554">
        <v>-12.9992</v>
      </c>
      <c r="AF1554">
        <v>11.7310572504518</v>
      </c>
      <c r="AG1554">
        <v>-1.1182288569399901</v>
      </c>
      <c r="AH1554">
        <v>21.247559411560999</v>
      </c>
      <c r="AI1554">
        <v>92.637913033438494</v>
      </c>
      <c r="AJ1554">
        <v>61.096333073084203</v>
      </c>
      <c r="AK1554">
        <v>24.296644232026999</v>
      </c>
      <c r="AL1554">
        <v>94.127927495013097</v>
      </c>
      <c r="AM1554">
        <v>86.4735464977297</v>
      </c>
      <c r="AN1554">
        <v>1.00000006766731</v>
      </c>
    </row>
    <row r="1555" spans="1:40" x14ac:dyDescent="0.25">
      <c r="A1555" t="str">
        <f>"20190303153805465"</f>
        <v>20190303153805465</v>
      </c>
      <c r="B1555" t="str">
        <f>"1551598685460573"</f>
        <v>1551598685460573</v>
      </c>
      <c r="C1555" t="s">
        <v>40</v>
      </c>
      <c r="D1555">
        <v>4.7453729999999998</v>
      </c>
      <c r="E1555">
        <v>0.68067</v>
      </c>
      <c r="F1555" t="s">
        <v>45</v>
      </c>
      <c r="G1555">
        <v>-191.10380000000001</v>
      </c>
      <c r="H1555" s="1">
        <v>-3.5832630000000001E-6</v>
      </c>
      <c r="I1555">
        <v>355.4169</v>
      </c>
      <c r="J1555">
        <v>-209.4299</v>
      </c>
      <c r="K1555">
        <v>1.1181749999999999</v>
      </c>
      <c r="L1555">
        <v>367.18180000000001</v>
      </c>
      <c r="M1555">
        <v>0.99800750000000005</v>
      </c>
      <c r="N1555">
        <v>-1.39364E-2</v>
      </c>
      <c r="O1555">
        <v>-6.1536779999999999E-2</v>
      </c>
      <c r="P1555">
        <v>0.98841999999999997</v>
      </c>
      <c r="Q1555">
        <v>-8.6554839999999994E-2</v>
      </c>
      <c r="R1555">
        <v>-0.1246365</v>
      </c>
      <c r="S1555">
        <v>2.8003999999999998</v>
      </c>
      <c r="T1555">
        <v>-0.16977790000000001</v>
      </c>
      <c r="U1555">
        <v>-1.7876590000000001</v>
      </c>
      <c r="V1555">
        <v>6.3045699999999996E-2</v>
      </c>
      <c r="W1555">
        <v>-7.3145879999999996E-2</v>
      </c>
      <c r="X1555">
        <v>0.9953265</v>
      </c>
      <c r="Y1555">
        <v>0.48440709999999998</v>
      </c>
      <c r="Z1555">
        <v>-1.448413E-2</v>
      </c>
      <c r="AA1555">
        <v>0.87472280000000002</v>
      </c>
      <c r="AB1555">
        <v>24</v>
      </c>
      <c r="AC1555">
        <v>18.3261</v>
      </c>
      <c r="AD1555">
        <v>-1.118178583263</v>
      </c>
      <c r="AE1555">
        <v>-11.764900000000001</v>
      </c>
      <c r="AF1555">
        <v>10.5868493974614</v>
      </c>
      <c r="AG1555">
        <v>-1.118178583263</v>
      </c>
      <c r="AH1555">
        <v>18.9654064200591</v>
      </c>
      <c r="AI1555">
        <v>92.947041989541404</v>
      </c>
      <c r="AJ1555">
        <v>60.828917043885703</v>
      </c>
      <c r="AK1555">
        <v>21.7489849001423</v>
      </c>
      <c r="AL1555">
        <v>94.1946965578408</v>
      </c>
      <c r="AM1555">
        <v>86.375628372060703</v>
      </c>
      <c r="AN1555">
        <v>0.99999996082585596</v>
      </c>
    </row>
    <row r="1556" spans="1:40" x14ac:dyDescent="0.25">
      <c r="A1556" t="str">
        <f>"20190303153805478"</f>
        <v>20190303153805478</v>
      </c>
      <c r="B1556" t="str">
        <f>"1551598685470333"</f>
        <v>1551598685470333</v>
      </c>
      <c r="C1556" t="s">
        <v>40</v>
      </c>
      <c r="D1556">
        <v>4.7673809999999897</v>
      </c>
      <c r="E1556">
        <v>0.68045230000000001</v>
      </c>
      <c r="F1556" t="s">
        <v>45</v>
      </c>
      <c r="G1556">
        <v>-191.80779999999999</v>
      </c>
      <c r="H1556" s="1">
        <v>-3.9180959999999997E-6</v>
      </c>
      <c r="I1556">
        <v>355.8005</v>
      </c>
      <c r="J1556">
        <v>-209.29810000000001</v>
      </c>
      <c r="K1556">
        <v>1.1181140000000001</v>
      </c>
      <c r="L1556">
        <v>367.17099999999999</v>
      </c>
      <c r="M1556">
        <v>0.99785119999999905</v>
      </c>
      <c r="N1556">
        <v>-1.3941169999999999E-2</v>
      </c>
      <c r="O1556">
        <v>-6.4020259999999996E-2</v>
      </c>
      <c r="P1556">
        <v>0.98778889999999997</v>
      </c>
      <c r="Q1556">
        <v>-8.710495E-2</v>
      </c>
      <c r="R1556">
        <v>-0.12917300000000001</v>
      </c>
      <c r="S1556">
        <v>2.7922359999999999</v>
      </c>
      <c r="T1556">
        <v>-0.17717659999999999</v>
      </c>
      <c r="U1556">
        <v>-1.803375</v>
      </c>
      <c r="V1556">
        <v>6.5124989999999994E-2</v>
      </c>
      <c r="W1556">
        <v>-7.3717690000000002E-2</v>
      </c>
      <c r="X1556">
        <v>0.99515039999999999</v>
      </c>
      <c r="Y1556">
        <v>0.48680950000000001</v>
      </c>
      <c r="Z1556">
        <v>-1.4915390000000001E-2</v>
      </c>
      <c r="AA1556">
        <v>0.87338079999999996</v>
      </c>
      <c r="AB1556">
        <v>24</v>
      </c>
      <c r="AC1556">
        <v>17.490300000000001</v>
      </c>
      <c r="AD1556">
        <v>-1.1181179180959999</v>
      </c>
      <c r="AE1556">
        <v>-11.3704999999999</v>
      </c>
      <c r="AF1556">
        <v>10.198031907782401</v>
      </c>
      <c r="AG1556">
        <v>-1.1181179180959999</v>
      </c>
      <c r="AH1556">
        <v>18.130343825833599</v>
      </c>
      <c r="AI1556">
        <v>93.076765738659503</v>
      </c>
      <c r="AJ1556">
        <v>60.642934230802297</v>
      </c>
      <c r="AK1556">
        <v>20.831692435178201</v>
      </c>
      <c r="AL1556">
        <v>94.227547635582198</v>
      </c>
      <c r="AM1556">
        <v>86.255768065602098</v>
      </c>
      <c r="AN1556">
        <v>0.99999994038079598</v>
      </c>
    </row>
    <row r="1557" spans="1:40" x14ac:dyDescent="0.25">
      <c r="A1557" t="str">
        <f>"20190303153805489"</f>
        <v>20190303153805489</v>
      </c>
      <c r="B1557" t="str">
        <f>"1551598685480094"</f>
        <v>1551598685480094</v>
      </c>
      <c r="C1557" t="s">
        <v>40</v>
      </c>
      <c r="D1557">
        <v>4.748068</v>
      </c>
      <c r="E1557">
        <v>0.67993919999999997</v>
      </c>
      <c r="F1557" t="s">
        <v>45</v>
      </c>
      <c r="G1557">
        <v>-192.69059999999999</v>
      </c>
      <c r="H1557" s="1">
        <v>-4.3659519999999997E-6</v>
      </c>
      <c r="I1557">
        <v>356.34179999999998</v>
      </c>
      <c r="J1557">
        <v>-209.17420000000001</v>
      </c>
      <c r="K1557">
        <v>1.118066</v>
      </c>
      <c r="L1557">
        <v>367.16059999999999</v>
      </c>
      <c r="M1557">
        <v>0.9976971</v>
      </c>
      <c r="N1557">
        <v>-1.3945569999999999E-2</v>
      </c>
      <c r="O1557">
        <v>-6.6379110000000005E-2</v>
      </c>
      <c r="P1557">
        <v>0.98721599999999998</v>
      </c>
      <c r="Q1557">
        <v>-8.7175500000000003E-2</v>
      </c>
      <c r="R1557">
        <v>-0.13343640000000001</v>
      </c>
      <c r="S1557">
        <v>2.7832340000000002</v>
      </c>
      <c r="T1557">
        <v>-0.18738440000000001</v>
      </c>
      <c r="U1557">
        <v>-1.8148500000000001</v>
      </c>
      <c r="V1557">
        <v>6.7056420000000005E-2</v>
      </c>
      <c r="W1557">
        <v>-7.3808680000000002E-2</v>
      </c>
      <c r="X1557">
        <v>0.99501539999999999</v>
      </c>
      <c r="Y1557">
        <v>0.4884751</v>
      </c>
      <c r="Z1557">
        <v>-1.54888E-2</v>
      </c>
      <c r="AA1557">
        <v>0.8724404</v>
      </c>
      <c r="AB1557">
        <v>24</v>
      </c>
      <c r="AC1557">
        <v>16.483599999999999</v>
      </c>
      <c r="AD1557">
        <v>-1.1180703659519999</v>
      </c>
      <c r="AE1557">
        <v>-10.8188</v>
      </c>
      <c r="AF1557">
        <v>9.6695677624382999</v>
      </c>
      <c r="AG1557">
        <v>-1.1180703659519999</v>
      </c>
      <c r="AH1557">
        <v>17.110429766110101</v>
      </c>
      <c r="AI1557">
        <v>93.255966458026293</v>
      </c>
      <c r="AJ1557">
        <v>60.528031364956</v>
      </c>
      <c r="AK1557">
        <v>19.685462372943899</v>
      </c>
      <c r="AL1557">
        <v>94.232775113536604</v>
      </c>
      <c r="AM1557">
        <v>86.144532899607398</v>
      </c>
      <c r="AN1557">
        <v>0.99999996547185799</v>
      </c>
    </row>
    <row r="1558" spans="1:40" x14ac:dyDescent="0.25">
      <c r="A1558" t="str">
        <f>"20190303153805500"</f>
        <v>20190303153805500</v>
      </c>
      <c r="B1558" t="str">
        <f>"1551598685489853"</f>
        <v>1551598685489853</v>
      </c>
      <c r="C1558" t="s">
        <v>40</v>
      </c>
      <c r="D1558">
        <v>4.738086</v>
      </c>
      <c r="E1558">
        <v>0.67953430000000004</v>
      </c>
      <c r="F1558" t="s">
        <v>45</v>
      </c>
      <c r="G1558">
        <v>-193.34450000000001</v>
      </c>
      <c r="H1558" s="1">
        <v>-4.70763E-6</v>
      </c>
      <c r="I1558">
        <v>356.76400000000001</v>
      </c>
      <c r="J1558">
        <v>-209.05449999999999</v>
      </c>
      <c r="K1558">
        <v>1.1180159999999999</v>
      </c>
      <c r="L1558">
        <v>367.15</v>
      </c>
      <c r="M1558">
        <v>0.99753670000000005</v>
      </c>
      <c r="N1558">
        <v>-1.3950580000000001E-2</v>
      </c>
      <c r="O1558">
        <v>-6.8744139999999995E-2</v>
      </c>
      <c r="P1558">
        <v>0.98662660000000002</v>
      </c>
      <c r="Q1558">
        <v>-8.6952009999999996E-2</v>
      </c>
      <c r="R1558">
        <v>-0.13786679999999901</v>
      </c>
      <c r="S1558">
        <v>2.7751769999999998</v>
      </c>
      <c r="T1558">
        <v>-0.1960143</v>
      </c>
      <c r="U1558">
        <v>-1.822662</v>
      </c>
      <c r="V1558">
        <v>6.9152140000000001E-2</v>
      </c>
      <c r="W1558">
        <v>-7.3607140000000001E-2</v>
      </c>
      <c r="X1558">
        <v>0.99488690000000002</v>
      </c>
      <c r="Y1558">
        <v>0.48920789999999997</v>
      </c>
      <c r="Z1558">
        <v>-1.5924979999999998E-2</v>
      </c>
      <c r="AA1558">
        <v>0.87202179999999996</v>
      </c>
      <c r="AB1558">
        <v>24</v>
      </c>
      <c r="AC1558">
        <v>15.7099999999999</v>
      </c>
      <c r="AD1558">
        <v>-1.1180207076299999</v>
      </c>
      <c r="AE1558">
        <v>-10.3859999999999</v>
      </c>
      <c r="AF1558">
        <v>9.2487543815449396</v>
      </c>
      <c r="AG1558">
        <v>-1.1180207076299999</v>
      </c>
      <c r="AH1558">
        <v>16.329324901021</v>
      </c>
      <c r="AI1558">
        <v>93.409362956783497</v>
      </c>
      <c r="AJ1558">
        <v>60.473249771707103</v>
      </c>
      <c r="AK1558">
        <v>18.799901053886899</v>
      </c>
      <c r="AL1558">
        <v>94.221196136065402</v>
      </c>
      <c r="AM1558">
        <v>86.023906373359907</v>
      </c>
      <c r="AN1558">
        <v>0.99999998665858403</v>
      </c>
    </row>
    <row r="1559" spans="1:40" x14ac:dyDescent="0.25">
      <c r="A1559" t="str">
        <f>"20190303153805515"</f>
        <v>20190303153805515</v>
      </c>
      <c r="B1559" t="str">
        <f>"1551598685510349"</f>
        <v>1551598685510349</v>
      </c>
      <c r="C1559" t="s">
        <v>40</v>
      </c>
      <c r="D1559">
        <v>4.766</v>
      </c>
      <c r="E1559">
        <v>0.67894480000000001</v>
      </c>
      <c r="F1559" t="s">
        <v>45</v>
      </c>
      <c r="G1559">
        <v>-193.62880000000001</v>
      </c>
      <c r="H1559" s="1">
        <v>-4.8506130000000003E-6</v>
      </c>
      <c r="I1559">
        <v>356.93560000000002</v>
      </c>
      <c r="J1559">
        <v>-208.90729999999999</v>
      </c>
      <c r="K1559">
        <v>1.117947</v>
      </c>
      <c r="L1559">
        <v>367.13659999999999</v>
      </c>
      <c r="M1559">
        <v>0.99732940000000003</v>
      </c>
      <c r="N1559">
        <v>-1.395683E-2</v>
      </c>
      <c r="O1559">
        <v>-7.1690229999999994E-2</v>
      </c>
      <c r="P1559">
        <v>0.98597849999999998</v>
      </c>
      <c r="Q1559">
        <v>-8.6687639999999996E-2</v>
      </c>
      <c r="R1559">
        <v>-0.14258979999999999</v>
      </c>
      <c r="S1559">
        <v>2.766953</v>
      </c>
      <c r="T1559">
        <v>-0.20054359999999999</v>
      </c>
      <c r="U1559">
        <v>-1.832184</v>
      </c>
      <c r="V1559">
        <v>7.0963230000000002E-2</v>
      </c>
      <c r="W1559">
        <v>-7.3364139999999994E-2</v>
      </c>
      <c r="X1559">
        <v>0.99477729999999998</v>
      </c>
      <c r="Y1559">
        <v>0.48987069999999999</v>
      </c>
      <c r="Z1559">
        <v>-1.6083460000000001E-2</v>
      </c>
      <c r="AA1559">
        <v>0.87164680000000005</v>
      </c>
      <c r="AB1559">
        <v>24</v>
      </c>
      <c r="AC1559">
        <v>15.2784999999999</v>
      </c>
      <c r="AD1559">
        <v>-1.117951850613</v>
      </c>
      <c r="AE1559">
        <v>-10.200999999999899</v>
      </c>
      <c r="AF1559">
        <v>9.0458225726560197</v>
      </c>
      <c r="AG1559">
        <v>-1.117951850613</v>
      </c>
      <c r="AH1559">
        <v>15.911638551922699</v>
      </c>
      <c r="AI1559">
        <v>93.495260024205294</v>
      </c>
      <c r="AJ1559">
        <v>60.381617176272101</v>
      </c>
      <c r="AK1559">
        <v>18.337310701498598</v>
      </c>
      <c r="AL1559">
        <v>94.207235557204498</v>
      </c>
      <c r="AM1559">
        <v>85.919671943275603</v>
      </c>
      <c r="AN1559">
        <v>0.99999997682263098</v>
      </c>
    </row>
    <row r="1560" spans="1:40" x14ac:dyDescent="0.25">
      <c r="A1560" t="str">
        <f>"20190303153805527"</f>
        <v>20190303153805527</v>
      </c>
      <c r="B1560" t="str">
        <f>"1551598685520109"</f>
        <v>1551598685520109</v>
      </c>
      <c r="C1560" t="s">
        <v>40</v>
      </c>
      <c r="D1560">
        <v>4.7808719999999996</v>
      </c>
      <c r="E1560">
        <v>0.67886179999999996</v>
      </c>
      <c r="F1560" t="s">
        <v>45</v>
      </c>
      <c r="G1560">
        <v>-194.21780000000001</v>
      </c>
      <c r="H1560" s="1">
        <v>-5.1669999999999998E-6</v>
      </c>
      <c r="I1560">
        <v>357.33449999999999</v>
      </c>
      <c r="J1560">
        <v>-208.75409999999999</v>
      </c>
      <c r="K1560">
        <v>1.1178779999999999</v>
      </c>
      <c r="L1560">
        <v>367.1223</v>
      </c>
      <c r="M1560">
        <v>0.99709859999999995</v>
      </c>
      <c r="N1560">
        <v>-1.396379E-2</v>
      </c>
      <c r="O1560">
        <v>-7.4828539999999999E-2</v>
      </c>
      <c r="P1560">
        <v>0.98528769999999999</v>
      </c>
      <c r="Q1560">
        <v>-8.6007609999999998E-2</v>
      </c>
      <c r="R1560">
        <v>-0.1476856</v>
      </c>
      <c r="S1560">
        <v>2.758057</v>
      </c>
      <c r="T1560">
        <v>-0.2099036</v>
      </c>
      <c r="U1560">
        <v>-1.8404240000000001</v>
      </c>
      <c r="V1560">
        <v>7.2960590000000006E-2</v>
      </c>
      <c r="W1560">
        <v>-7.2707649999999999E-2</v>
      </c>
      <c r="X1560">
        <v>0.99468100000000004</v>
      </c>
      <c r="Y1560">
        <v>0.49014150000000001</v>
      </c>
      <c r="Z1560">
        <v>-1.6482690000000001E-2</v>
      </c>
      <c r="AA1560">
        <v>0.87148700000000001</v>
      </c>
      <c r="AB1560">
        <v>24</v>
      </c>
      <c r="AC1560">
        <v>14.536299999999899</v>
      </c>
      <c r="AD1560">
        <v>-1.117883167</v>
      </c>
      <c r="AE1560">
        <v>-9.7878000000000007</v>
      </c>
      <c r="AF1560">
        <v>8.6373705598449106</v>
      </c>
      <c r="AG1560">
        <v>-1.117883167</v>
      </c>
      <c r="AH1560">
        <v>15.1663022426296</v>
      </c>
      <c r="AI1560">
        <v>93.6647671123647</v>
      </c>
      <c r="AJ1560">
        <v>60.338026646076202</v>
      </c>
      <c r="AK1560">
        <v>17.489155402074999</v>
      </c>
      <c r="AL1560">
        <v>94.169520749513893</v>
      </c>
      <c r="AM1560">
        <v>85.804825070890104</v>
      </c>
      <c r="AN1560">
        <v>0.99999997091133497</v>
      </c>
    </row>
    <row r="1561" spans="1:40" x14ac:dyDescent="0.25">
      <c r="A1561" t="str">
        <f>"20190303153805541"</f>
        <v>20190303153805541</v>
      </c>
      <c r="B1561" t="str">
        <f>"1551598685529870"</f>
        <v>1551598685529870</v>
      </c>
      <c r="C1561" t="s">
        <v>40</v>
      </c>
      <c r="D1561">
        <v>4.793202</v>
      </c>
      <c r="E1561">
        <v>0.67868240000000002</v>
      </c>
      <c r="F1561" t="s">
        <v>45</v>
      </c>
      <c r="G1561">
        <v>-194.29140000000001</v>
      </c>
      <c r="H1561" s="1">
        <v>-5.1976860000000003E-6</v>
      </c>
      <c r="I1561">
        <v>357.36540000000002</v>
      </c>
      <c r="J1561">
        <v>-208.61770000000001</v>
      </c>
      <c r="K1561">
        <v>1.1178110000000001</v>
      </c>
      <c r="L1561">
        <v>367.10879999999997</v>
      </c>
      <c r="M1561">
        <v>0.99687720000000002</v>
      </c>
      <c r="N1561">
        <v>-1.397083E-2</v>
      </c>
      <c r="O1561">
        <v>-7.7721369999999998E-2</v>
      </c>
      <c r="P1561">
        <v>0.98463849999999997</v>
      </c>
      <c r="Q1561">
        <v>-8.5211190000000006E-2</v>
      </c>
      <c r="R1561">
        <v>-0.152400799999999</v>
      </c>
      <c r="S1561">
        <v>2.7483219999999999</v>
      </c>
      <c r="T1561">
        <v>-0.21242949999999999</v>
      </c>
      <c r="U1561">
        <v>-1.854095</v>
      </c>
      <c r="V1561">
        <v>7.4822310000000003E-2</v>
      </c>
      <c r="W1561">
        <v>-7.1933659999999996E-2</v>
      </c>
      <c r="X1561">
        <v>0.99459900000000001</v>
      </c>
      <c r="Y1561">
        <v>0.4919963</v>
      </c>
      <c r="Z1561">
        <v>-1.656763E-2</v>
      </c>
      <c r="AA1561">
        <v>0.87043959999999998</v>
      </c>
      <c r="AB1561">
        <v>24</v>
      </c>
      <c r="AC1561">
        <v>14.3263</v>
      </c>
      <c r="AD1561">
        <v>-1.1178161976859999</v>
      </c>
      <c r="AE1561">
        <v>-9.7433999999999497</v>
      </c>
      <c r="AF1561">
        <v>8.5647018854966195</v>
      </c>
      <c r="AG1561">
        <v>-1.1178161976859999</v>
      </c>
      <c r="AH1561">
        <v>14.9779534063423</v>
      </c>
      <c r="AI1561">
        <v>93.706824690492695</v>
      </c>
      <c r="AJ1561">
        <v>60.238190190138297</v>
      </c>
      <c r="AK1561">
        <v>17.289960083291099</v>
      </c>
      <c r="AL1561">
        <v>94.125057837049397</v>
      </c>
      <c r="AM1561">
        <v>85.697821214696006</v>
      </c>
      <c r="AN1561">
        <v>1.0000000001578599</v>
      </c>
    </row>
    <row r="1562" spans="1:40" x14ac:dyDescent="0.25">
      <c r="A1562" t="str">
        <f>"20190303153805555"</f>
        <v>20190303153805555</v>
      </c>
      <c r="B1562" t="str">
        <f>"1551598685550365"</f>
        <v>1551598685550365</v>
      </c>
      <c r="C1562" t="s">
        <v>40</v>
      </c>
      <c r="D1562">
        <v>4.7563139999999997</v>
      </c>
      <c r="E1562">
        <v>0.67809889999999995</v>
      </c>
      <c r="F1562" t="s">
        <v>45</v>
      </c>
      <c r="G1562">
        <v>-194.2594</v>
      </c>
      <c r="H1562" s="1">
        <v>-5.1737189999999996E-6</v>
      </c>
      <c r="I1562">
        <v>357.32909999999998</v>
      </c>
      <c r="J1562">
        <v>-208.4725</v>
      </c>
      <c r="K1562">
        <v>1.1177379999999999</v>
      </c>
      <c r="L1562">
        <v>367.09410000000003</v>
      </c>
      <c r="M1562">
        <v>0.99662729999999999</v>
      </c>
      <c r="N1562">
        <v>-1.397865E-2</v>
      </c>
      <c r="O1562">
        <v>-8.0862939999999994E-2</v>
      </c>
      <c r="P1562">
        <v>0.9836028</v>
      </c>
      <c r="Q1562">
        <v>-8.4098229999999996E-2</v>
      </c>
      <c r="R1562">
        <v>-0.15953999999999999</v>
      </c>
      <c r="S1562">
        <v>2.739563</v>
      </c>
      <c r="T1562">
        <v>-0.21327969999999999</v>
      </c>
      <c r="U1562">
        <v>-1.8659669999999999</v>
      </c>
      <c r="V1562">
        <v>7.8884709999999997E-2</v>
      </c>
      <c r="W1562">
        <v>-7.0865449999999996E-2</v>
      </c>
      <c r="X1562">
        <v>0.99436179999999996</v>
      </c>
      <c r="Y1562">
        <v>0.49311579999999999</v>
      </c>
      <c r="Z1562">
        <v>-1.6510070000000002E-2</v>
      </c>
      <c r="AA1562">
        <v>0.86980709999999894</v>
      </c>
      <c r="AB1562">
        <v>24</v>
      </c>
      <c r="AC1562">
        <v>14.213099999999899</v>
      </c>
      <c r="AD1562">
        <v>-1.117743173719</v>
      </c>
      <c r="AE1562">
        <v>-9.7650000000000396</v>
      </c>
      <c r="AF1562">
        <v>8.5476784374328894</v>
      </c>
      <c r="AG1562">
        <v>-1.117743173719</v>
      </c>
      <c r="AH1562">
        <v>14.8936761585851</v>
      </c>
      <c r="AI1562">
        <v>93.724144759984398</v>
      </c>
      <c r="AJ1562">
        <v>60.147913820381703</v>
      </c>
      <c r="AK1562">
        <v>17.2085370089662</v>
      </c>
      <c r="AL1562">
        <v>94.063697104402294</v>
      </c>
      <c r="AM1562">
        <v>85.464110959729993</v>
      </c>
      <c r="AN1562">
        <v>1.00000004938736</v>
      </c>
    </row>
    <row r="1563" spans="1:40" x14ac:dyDescent="0.25">
      <c r="A1563" t="str">
        <f>"20190303153805568"</f>
        <v>20190303153805568</v>
      </c>
      <c r="B1563" t="str">
        <f>"1551598685560125"</f>
        <v>1551598685560125</v>
      </c>
      <c r="C1563" t="s">
        <v>40</v>
      </c>
      <c r="D1563">
        <v>4.7716890000000003</v>
      </c>
      <c r="E1563">
        <v>0.67792959999999902</v>
      </c>
      <c r="F1563" t="s">
        <v>45</v>
      </c>
      <c r="G1563">
        <v>-194.18870000000001</v>
      </c>
      <c r="H1563" s="1">
        <v>-5.1161640000000001E-6</v>
      </c>
      <c r="I1563">
        <v>357.23919999999998</v>
      </c>
      <c r="J1563">
        <v>-208.32140000000001</v>
      </c>
      <c r="K1563">
        <v>1.1176469999999901</v>
      </c>
      <c r="L1563">
        <v>367.07830000000001</v>
      </c>
      <c r="M1563">
        <v>0.99634869999999998</v>
      </c>
      <c r="N1563">
        <v>-1.3987370000000001E-2</v>
      </c>
      <c r="O1563">
        <v>-8.4223259999999994E-2</v>
      </c>
      <c r="P1563">
        <v>0.98273489999999997</v>
      </c>
      <c r="Q1563">
        <v>-8.3694840000000006E-2</v>
      </c>
      <c r="R1563">
        <v>-0.16500670000000001</v>
      </c>
      <c r="S1563">
        <v>2.726639</v>
      </c>
      <c r="T1563">
        <v>-0.2133659</v>
      </c>
      <c r="U1563">
        <v>-1.881195</v>
      </c>
      <c r="V1563">
        <v>8.1041820000000001E-2</v>
      </c>
      <c r="W1563">
        <v>-7.0492509999999994E-2</v>
      </c>
      <c r="X1563">
        <v>0.99421479999999995</v>
      </c>
      <c r="Y1563">
        <v>0.49539159999999999</v>
      </c>
      <c r="Z1563">
        <v>-1.6459370000000001E-2</v>
      </c>
      <c r="AA1563">
        <v>0.8685138</v>
      </c>
      <c r="AB1563">
        <v>24</v>
      </c>
      <c r="AC1563">
        <v>14.1327</v>
      </c>
      <c r="AD1563">
        <v>-1.1176521161639901</v>
      </c>
      <c r="AE1563">
        <v>-9.8391000000000304</v>
      </c>
      <c r="AF1563">
        <v>8.5775832546483297</v>
      </c>
      <c r="AG1563">
        <v>-1.1176521161639901</v>
      </c>
      <c r="AH1563">
        <v>14.8486891197589</v>
      </c>
      <c r="AI1563">
        <v>93.729053217209895</v>
      </c>
      <c r="AJ1563">
        <v>59.9864331492589</v>
      </c>
      <c r="AK1563">
        <v>17.1845177214385</v>
      </c>
      <c r="AL1563">
        <v>94.042275765512699</v>
      </c>
      <c r="AM1563">
        <v>85.3399296571653</v>
      </c>
      <c r="AN1563">
        <v>1.00000001954702</v>
      </c>
    </row>
    <row r="1564" spans="1:40" x14ac:dyDescent="0.25">
      <c r="A1564" t="str">
        <f>"20190303153805587"</f>
        <v>20190303153805587</v>
      </c>
      <c r="B1564" t="str">
        <f>"1551598685580627"</f>
        <v>1551598685580627</v>
      </c>
      <c r="C1564" t="s">
        <v>40</v>
      </c>
      <c r="D1564">
        <v>4.7793479999999997</v>
      </c>
      <c r="E1564">
        <v>0.67733669999999901</v>
      </c>
      <c r="F1564" t="s">
        <v>45</v>
      </c>
      <c r="G1564">
        <v>-194.1241</v>
      </c>
      <c r="H1564" s="1">
        <v>-5.0720809999999998E-6</v>
      </c>
      <c r="I1564">
        <v>357.17540000000002</v>
      </c>
      <c r="J1564">
        <v>-208.11840000000001</v>
      </c>
      <c r="K1564">
        <v>1.117515</v>
      </c>
      <c r="L1564">
        <v>367.05579999999998</v>
      </c>
      <c r="M1564">
        <v>0.99593920000000002</v>
      </c>
      <c r="N1564">
        <v>-1.400144E-2</v>
      </c>
      <c r="O1564">
        <v>-8.8932990000000003E-2</v>
      </c>
      <c r="P1564">
        <v>0.98129619999999995</v>
      </c>
      <c r="Q1564">
        <v>-8.3083030000000002E-2</v>
      </c>
      <c r="R1564">
        <v>-0.173653</v>
      </c>
      <c r="S1564">
        <v>2.7163539999999999</v>
      </c>
      <c r="T1564">
        <v>-0.21383869999999999</v>
      </c>
      <c r="U1564">
        <v>-1.894714</v>
      </c>
      <c r="V1564">
        <v>8.5065959999999996E-2</v>
      </c>
      <c r="W1564">
        <v>-6.9935059999999993E-2</v>
      </c>
      <c r="X1564">
        <v>0.99391790000000002</v>
      </c>
      <c r="Y1564">
        <v>0.49573590000000001</v>
      </c>
      <c r="Z1564">
        <v>-1.626261E-2</v>
      </c>
      <c r="AA1564">
        <v>0.86832099999999901</v>
      </c>
      <c r="AB1564">
        <v>24</v>
      </c>
      <c r="AC1564">
        <v>13.994300000000001</v>
      </c>
      <c r="AD1564">
        <v>-1.1175200720809999</v>
      </c>
      <c r="AE1564">
        <v>-9.8803999999999501</v>
      </c>
      <c r="AF1564">
        <v>8.5601371175009309</v>
      </c>
      <c r="AG1564">
        <v>-1.1175200720809999</v>
      </c>
      <c r="AH1564">
        <v>14.754827707832799</v>
      </c>
      <c r="AI1564">
        <v>93.748224312768897</v>
      </c>
      <c r="AJ1564">
        <v>59.879476538949497</v>
      </c>
      <c r="AK1564">
        <v>17.094728405849299</v>
      </c>
      <c r="AL1564">
        <v>94.010257445521106</v>
      </c>
      <c r="AM1564">
        <v>85.108175484987797</v>
      </c>
      <c r="AN1564">
        <v>0.999999961054166</v>
      </c>
    </row>
    <row r="1565" spans="1:40" x14ac:dyDescent="0.25">
      <c r="A1565" t="str">
        <f>"20190303153805600"</f>
        <v>20190303153805600</v>
      </c>
      <c r="B1565" t="str">
        <f>"1551598685590382"</f>
        <v>1551598685590382</v>
      </c>
      <c r="C1565" t="s">
        <v>40</v>
      </c>
      <c r="D1565">
        <v>4.765339</v>
      </c>
      <c r="E1565">
        <v>0.67711250000000001</v>
      </c>
      <c r="F1565" t="s">
        <v>45</v>
      </c>
      <c r="G1565">
        <v>-194.19980000000001</v>
      </c>
      <c r="H1565" s="1">
        <v>-5.0951770000000004E-6</v>
      </c>
      <c r="I1565">
        <v>357.18889999999999</v>
      </c>
      <c r="J1565">
        <v>-207.9864</v>
      </c>
      <c r="K1565">
        <v>1.1174170000000001</v>
      </c>
      <c r="L1565">
        <v>367.04050000000001</v>
      </c>
      <c r="M1565">
        <v>0.99564870000000005</v>
      </c>
      <c r="N1565">
        <v>-1.4012180000000001E-2</v>
      </c>
      <c r="O1565">
        <v>-9.2127790000000001E-2</v>
      </c>
      <c r="P1565">
        <v>0.98046540000000004</v>
      </c>
      <c r="Q1565">
        <v>-8.2325129999999996E-2</v>
      </c>
      <c r="R1565">
        <v>-0.17863599999999999</v>
      </c>
      <c r="S1565">
        <v>2.7000890000000002</v>
      </c>
      <c r="T1565">
        <v>-0.21678810000000001</v>
      </c>
      <c r="U1565">
        <v>-1.914093</v>
      </c>
      <c r="V1565">
        <v>8.6908330000000006E-2</v>
      </c>
      <c r="W1565">
        <v>-6.9206100000000007E-2</v>
      </c>
      <c r="X1565">
        <v>0.99380959999999996</v>
      </c>
      <c r="Y1565">
        <v>0.49952020000000003</v>
      </c>
      <c r="Z1565">
        <v>-1.6444259999999999E-2</v>
      </c>
      <c r="AA1565">
        <v>0.86614609999999903</v>
      </c>
      <c r="AB1565">
        <v>24</v>
      </c>
      <c r="AC1565">
        <v>13.7865999999999</v>
      </c>
      <c r="AD1565">
        <v>-1.117422095177</v>
      </c>
      <c r="AE1565">
        <v>-9.8516000000000101</v>
      </c>
      <c r="AF1565">
        <v>8.5024661307926301</v>
      </c>
      <c r="AG1565">
        <v>-1.117422095177</v>
      </c>
      <c r="AH1565">
        <v>14.5722806575086</v>
      </c>
      <c r="AI1565">
        <v>93.789270241580994</v>
      </c>
      <c r="AJ1565">
        <v>59.737786689496701</v>
      </c>
      <c r="AK1565">
        <v>16.9083389487337</v>
      </c>
      <c r="AL1565">
        <v>93.968389386906907</v>
      </c>
      <c r="AM1565">
        <v>85.002216718246402</v>
      </c>
      <c r="AN1565">
        <v>1.00000003157637</v>
      </c>
    </row>
    <row r="1566" spans="1:40" x14ac:dyDescent="0.25">
      <c r="A1566" t="str">
        <f>"20190303153805611"</f>
        <v>20190303153805611</v>
      </c>
      <c r="B1566" t="str">
        <f>"1551598685600142"</f>
        <v>1551598685600142</v>
      </c>
      <c r="C1566" t="s">
        <v>40</v>
      </c>
      <c r="D1566">
        <v>4.7403180000000003</v>
      </c>
      <c r="E1566">
        <v>0.67684029999999995</v>
      </c>
      <c r="F1566" t="s">
        <v>45</v>
      </c>
      <c r="G1566">
        <v>-194.01509999999999</v>
      </c>
      <c r="H1566" s="1">
        <v>-4.9850959999999998E-6</v>
      </c>
      <c r="I1566">
        <v>357.04050000000001</v>
      </c>
      <c r="J1566">
        <v>-207.86109999999999</v>
      </c>
      <c r="K1566">
        <v>1.117318</v>
      </c>
      <c r="L1566">
        <v>367.02569999999997</v>
      </c>
      <c r="M1566">
        <v>0.99535859999999998</v>
      </c>
      <c r="N1566">
        <v>-1.402254E-2</v>
      </c>
      <c r="O1566">
        <v>-9.520692E-2</v>
      </c>
      <c r="P1566">
        <v>0.97966799999999998</v>
      </c>
      <c r="Q1566">
        <v>-8.192576E-2</v>
      </c>
      <c r="R1566">
        <v>-0.18313589999999999</v>
      </c>
      <c r="S1566">
        <v>2.6908110000000001</v>
      </c>
      <c r="T1566">
        <v>-0.2152106</v>
      </c>
      <c r="U1566">
        <v>-1.925964</v>
      </c>
      <c r="V1566">
        <v>8.8379609999999997E-2</v>
      </c>
      <c r="W1566">
        <v>-6.8832959999999999E-2</v>
      </c>
      <c r="X1566">
        <v>0.99370570000000003</v>
      </c>
      <c r="Y1566">
        <v>0.50079479999999998</v>
      </c>
      <c r="Z1566">
        <v>-1.6266280000000001E-2</v>
      </c>
      <c r="AA1566">
        <v>0.86541309999999905</v>
      </c>
      <c r="AB1566">
        <v>24</v>
      </c>
      <c r="AC1566">
        <v>13.846</v>
      </c>
      <c r="AD1566">
        <v>-1.117322985096</v>
      </c>
      <c r="AE1566">
        <v>-9.9851999999999599</v>
      </c>
      <c r="AF1566">
        <v>8.5846921299140995</v>
      </c>
      <c r="AG1566">
        <v>-1.117322985096</v>
      </c>
      <c r="AH1566">
        <v>14.670996148544599</v>
      </c>
      <c r="AI1566">
        <v>93.760771237535707</v>
      </c>
      <c r="AJ1566">
        <v>59.666083279191596</v>
      </c>
      <c r="AK1566">
        <v>17.034772602211099</v>
      </c>
      <c r="AL1566">
        <v>93.946959158826004</v>
      </c>
      <c r="AM1566">
        <v>84.917519550274307</v>
      </c>
      <c r="AN1566">
        <v>0.99999997502930105</v>
      </c>
    </row>
    <row r="1567" spans="1:40" x14ac:dyDescent="0.25">
      <c r="A1567" t="str">
        <f>"20190303153805623"</f>
        <v>20190303153805623</v>
      </c>
      <c r="B1567" t="str">
        <f>"1551598685620637"</f>
        <v>1551598685620637</v>
      </c>
      <c r="C1567" t="s">
        <v>40</v>
      </c>
      <c r="D1567">
        <v>4.7354989999999999</v>
      </c>
      <c r="E1567">
        <v>0.67632630000000005</v>
      </c>
      <c r="F1567" t="s">
        <v>45</v>
      </c>
      <c r="G1567">
        <v>-193.89779999999999</v>
      </c>
      <c r="H1567" s="1">
        <v>-4.9158870000000001E-6</v>
      </c>
      <c r="I1567">
        <v>356.94779999999997</v>
      </c>
      <c r="J1567">
        <v>-207.7355</v>
      </c>
      <c r="K1567">
        <v>1.117216</v>
      </c>
      <c r="L1567">
        <v>367.0102</v>
      </c>
      <c r="M1567">
        <v>0.99504630000000005</v>
      </c>
      <c r="N1567">
        <v>-1.4034400000000001E-2</v>
      </c>
      <c r="O1567">
        <v>-9.8417180000000007E-2</v>
      </c>
      <c r="P1567">
        <v>0.97888819999999999</v>
      </c>
      <c r="Q1567">
        <v>-8.1677319999999998E-2</v>
      </c>
      <c r="R1567">
        <v>-0.18736829999999999</v>
      </c>
      <c r="S1567">
        <v>2.682404</v>
      </c>
      <c r="T1567">
        <v>-0.2146411</v>
      </c>
      <c r="U1567">
        <v>-1.936005</v>
      </c>
      <c r="V1567">
        <v>8.9450360000000007E-2</v>
      </c>
      <c r="W1567">
        <v>-6.8607139999999997E-2</v>
      </c>
      <c r="X1567">
        <v>0.99362550000000005</v>
      </c>
      <c r="Y1567">
        <v>0.5014265</v>
      </c>
      <c r="Z1567">
        <v>-1.6105270000000001E-2</v>
      </c>
      <c r="AA1567">
        <v>0.8650504</v>
      </c>
      <c r="AB1567">
        <v>24</v>
      </c>
      <c r="AC1567">
        <v>13.8377</v>
      </c>
      <c r="AD1567">
        <v>-1.1172209158869999</v>
      </c>
      <c r="AE1567">
        <v>-10.0624</v>
      </c>
      <c r="AF1567">
        <v>8.6148058310014104</v>
      </c>
      <c r="AG1567">
        <v>-1.1172209158869999</v>
      </c>
      <c r="AH1567">
        <v>14.698247052441801</v>
      </c>
      <c r="AI1567">
        <v>93.751903800717898</v>
      </c>
      <c r="AJ1567">
        <v>59.624958899668599</v>
      </c>
      <c r="AK1567">
        <v>17.073415841458502</v>
      </c>
      <c r="AL1567">
        <v>93.933989984366704</v>
      </c>
      <c r="AM1567">
        <v>84.855858926267203</v>
      </c>
      <c r="AN1567">
        <v>0.99999997040667898</v>
      </c>
    </row>
    <row r="1568" spans="1:40" x14ac:dyDescent="0.25">
      <c r="A1568" t="str">
        <f>"20190303153805634"</f>
        <v>20190303153805634</v>
      </c>
      <c r="B1568" t="str">
        <f>"1551598685630398"</f>
        <v>1551598685630398</v>
      </c>
      <c r="C1568" t="s">
        <v>40</v>
      </c>
      <c r="D1568">
        <v>4.7657629999999997</v>
      </c>
      <c r="E1568">
        <v>0.67603590000000002</v>
      </c>
      <c r="F1568" t="s">
        <v>45</v>
      </c>
      <c r="G1568">
        <v>-193.70769999999999</v>
      </c>
      <c r="H1568" s="1">
        <v>-4.8129750000000003E-6</v>
      </c>
      <c r="I1568">
        <v>356.81729999999999</v>
      </c>
      <c r="J1568">
        <v>-207.6206</v>
      </c>
      <c r="K1568">
        <v>1.1171219999999999</v>
      </c>
      <c r="L1568">
        <v>366.99560000000002</v>
      </c>
      <c r="M1568">
        <v>0.9947454</v>
      </c>
      <c r="N1568">
        <v>-1.404558E-2</v>
      </c>
      <c r="O1568">
        <v>-0.1014111</v>
      </c>
      <c r="P1568">
        <v>0.97804049999999998</v>
      </c>
      <c r="Q1568">
        <v>-8.1809199999999999E-2</v>
      </c>
      <c r="R1568">
        <v>-0.1916872</v>
      </c>
      <c r="S1568">
        <v>2.6748810000000001</v>
      </c>
      <c r="T1568">
        <v>-0.213037</v>
      </c>
      <c r="U1568">
        <v>-1.9436340000000001</v>
      </c>
      <c r="V1568">
        <v>9.0828179999999994E-2</v>
      </c>
      <c r="W1568">
        <v>-6.8764809999999996E-2</v>
      </c>
      <c r="X1568">
        <v>0.99348959999999997</v>
      </c>
      <c r="Y1568">
        <v>0.50161109999999998</v>
      </c>
      <c r="Z1568">
        <v>-1.588465E-2</v>
      </c>
      <c r="AA1568">
        <v>0.86494740000000003</v>
      </c>
      <c r="AB1568">
        <v>24</v>
      </c>
      <c r="AC1568">
        <v>13.9129</v>
      </c>
      <c r="AD1568">
        <v>-1.117126812975</v>
      </c>
      <c r="AE1568">
        <v>-10.1783</v>
      </c>
      <c r="AF1568">
        <v>8.6783095222532793</v>
      </c>
      <c r="AG1568">
        <v>-1.117126812975</v>
      </c>
      <c r="AH1568">
        <v>14.811252876497999</v>
      </c>
      <c r="AI1568">
        <v>93.723344438719195</v>
      </c>
      <c r="AJ1568">
        <v>59.632820778699298</v>
      </c>
      <c r="AK1568">
        <v>17.202739324069</v>
      </c>
      <c r="AL1568">
        <v>93.9430451919294</v>
      </c>
      <c r="AM1568">
        <v>84.776347226410095</v>
      </c>
      <c r="AN1568">
        <v>0.99999997134230301</v>
      </c>
    </row>
    <row r="1569" spans="1:40" x14ac:dyDescent="0.25">
      <c r="A1569" t="str">
        <f>"20190303153805645"</f>
        <v>20190303153805645</v>
      </c>
      <c r="B1569" t="str">
        <f>"1551598685640159"</f>
        <v>1551598685640159</v>
      </c>
      <c r="C1569" t="s">
        <v>40</v>
      </c>
      <c r="D1569">
        <v>4.7602599999999997</v>
      </c>
      <c r="E1569">
        <v>0.67572259999999995</v>
      </c>
      <c r="F1569" t="s">
        <v>45</v>
      </c>
      <c r="G1569">
        <v>-193.56649999999999</v>
      </c>
      <c r="H1569" s="1">
        <v>-4.7282410000000004E-6</v>
      </c>
      <c r="I1569">
        <v>356.70260000000002</v>
      </c>
      <c r="J1569">
        <v>-207.4973</v>
      </c>
      <c r="K1569">
        <v>1.1170150000000001</v>
      </c>
      <c r="L1569">
        <v>366.97949999999997</v>
      </c>
      <c r="M1569">
        <v>0.99440390000000001</v>
      </c>
      <c r="N1569">
        <v>-1.405819E-2</v>
      </c>
      <c r="O1569">
        <v>-0.1047057</v>
      </c>
      <c r="P1569">
        <v>0.97719690000000003</v>
      </c>
      <c r="Q1569">
        <v>-8.2228579999999996E-2</v>
      </c>
      <c r="R1569">
        <v>-0.19576760000000001</v>
      </c>
      <c r="S1569">
        <v>2.6668240000000001</v>
      </c>
      <c r="T1569">
        <v>-0.21197820000000001</v>
      </c>
      <c r="U1569">
        <v>-1.953125</v>
      </c>
      <c r="V1569">
        <v>9.1664659999999995E-2</v>
      </c>
      <c r="W1569">
        <v>-6.9205009999999997E-2</v>
      </c>
      <c r="X1569">
        <v>0.99338219999999999</v>
      </c>
      <c r="Y1569">
        <v>0.50200659999999997</v>
      </c>
      <c r="Z1569">
        <v>-1.5686169999999999E-2</v>
      </c>
      <c r="AA1569">
        <v>0.86472150000000003</v>
      </c>
      <c r="AB1569">
        <v>24</v>
      </c>
      <c r="AC1569">
        <v>13.9308</v>
      </c>
      <c r="AD1569">
        <v>-1.1170197282409999</v>
      </c>
      <c r="AE1569">
        <v>-10.2768999999999</v>
      </c>
      <c r="AF1569">
        <v>8.7252929857174504</v>
      </c>
      <c r="AG1569">
        <v>-1.1170197282409999</v>
      </c>
      <c r="AH1569">
        <v>14.868461832103</v>
      </c>
      <c r="AI1569">
        <v>93.707242798145103</v>
      </c>
      <c r="AJ1569">
        <v>59.594214567223297</v>
      </c>
      <c r="AK1569">
        <v>17.275694718667499</v>
      </c>
      <c r="AL1569">
        <v>93.968327031985794</v>
      </c>
      <c r="AM1569">
        <v>84.727943196191902</v>
      </c>
      <c r="AN1569">
        <v>0.99999996928942703</v>
      </c>
    </row>
    <row r="1570" spans="1:40" x14ac:dyDescent="0.25">
      <c r="A1570" t="str">
        <f>"20190303153805655"</f>
        <v>20190303153805655</v>
      </c>
      <c r="B1570" t="str">
        <f>"1551598685649918"</f>
        <v>1551598685649918</v>
      </c>
      <c r="C1570" t="s">
        <v>40</v>
      </c>
      <c r="D1570">
        <v>4.7497339999999904</v>
      </c>
      <c r="E1570">
        <v>0.67549289999999995</v>
      </c>
      <c r="F1570" t="s">
        <v>45</v>
      </c>
      <c r="G1570">
        <v>-193.4701</v>
      </c>
      <c r="H1570" s="1">
        <v>-4.6739890000000004E-6</v>
      </c>
      <c r="I1570">
        <v>356.63199999999898</v>
      </c>
      <c r="J1570">
        <v>-207.38929999999999</v>
      </c>
      <c r="K1570">
        <v>1.1169230000000001</v>
      </c>
      <c r="L1570">
        <v>366.9649</v>
      </c>
      <c r="M1570">
        <v>0.99408660000000004</v>
      </c>
      <c r="N1570">
        <v>-1.4069760000000001E-2</v>
      </c>
      <c r="O1570">
        <v>-0.10767599999999999</v>
      </c>
      <c r="P1570">
        <v>0.97635470000000002</v>
      </c>
      <c r="Q1570">
        <v>-8.3153160000000004E-2</v>
      </c>
      <c r="R1570">
        <v>-0.1995432</v>
      </c>
      <c r="S1570">
        <v>2.6592250000000002</v>
      </c>
      <c r="T1570">
        <v>-0.21176059999999999</v>
      </c>
      <c r="U1570">
        <v>-1.9616389999999999</v>
      </c>
      <c r="V1570">
        <v>9.2518939999999994E-2</v>
      </c>
      <c r="W1570">
        <v>-7.014985E-2</v>
      </c>
      <c r="X1570">
        <v>0.99323680000000003</v>
      </c>
      <c r="Y1570">
        <v>0.50239999999999996</v>
      </c>
      <c r="Z1570">
        <v>-1.5547E-2</v>
      </c>
      <c r="AA1570">
        <v>0.86449560000000003</v>
      </c>
      <c r="AB1570">
        <v>24</v>
      </c>
      <c r="AC1570">
        <v>13.919199999999901</v>
      </c>
      <c r="AD1570">
        <v>-1.1169276739889999</v>
      </c>
      <c r="AE1570">
        <v>-10.3329</v>
      </c>
      <c r="AF1570">
        <v>8.7376282906093401</v>
      </c>
      <c r="AG1570">
        <v>-1.1169276739889999</v>
      </c>
      <c r="AH1570">
        <v>14.889163817215699</v>
      </c>
      <c r="AI1570">
        <v>93.701778118523507</v>
      </c>
      <c r="AJ1570">
        <v>59.593680121814401</v>
      </c>
      <c r="AK1570">
        <v>17.299736262430802</v>
      </c>
      <c r="AL1570">
        <v>94.022593954189404</v>
      </c>
      <c r="AM1570">
        <v>84.678315881872393</v>
      </c>
      <c r="AN1570">
        <v>1.0000000482939899</v>
      </c>
    </row>
    <row r="1571" spans="1:40" x14ac:dyDescent="0.25">
      <c r="A1571" t="str">
        <f>"20190303153805666"</f>
        <v>20190303153805666</v>
      </c>
      <c r="B1571" t="str">
        <f>"1551598685660653"</f>
        <v>1551598685660653</v>
      </c>
      <c r="C1571" t="s">
        <v>40</v>
      </c>
      <c r="D1571">
        <v>4.7530449999999904</v>
      </c>
      <c r="E1571">
        <v>0.67527019999999904</v>
      </c>
      <c r="F1571" t="s">
        <v>45</v>
      </c>
      <c r="G1571">
        <v>-193.5479</v>
      </c>
      <c r="H1571" s="1">
        <v>-4.713957E-6</v>
      </c>
      <c r="I1571">
        <v>356.68079999999998</v>
      </c>
      <c r="J1571">
        <v>-207.2679</v>
      </c>
      <c r="K1571">
        <v>1.1168180000000001</v>
      </c>
      <c r="L1571">
        <v>366.94819999999999</v>
      </c>
      <c r="M1571">
        <v>0.99371279999999995</v>
      </c>
      <c r="N1571">
        <v>-1.408272E-2</v>
      </c>
      <c r="O1571">
        <v>-0.1110701</v>
      </c>
      <c r="P1571">
        <v>0.97539889999999996</v>
      </c>
      <c r="Q1571">
        <v>-8.3824940000000001E-2</v>
      </c>
      <c r="R1571">
        <v>-0.2038886</v>
      </c>
      <c r="S1571">
        <v>2.6517490000000001</v>
      </c>
      <c r="T1571">
        <v>-0.2139819</v>
      </c>
      <c r="U1571">
        <v>-1.970245</v>
      </c>
      <c r="V1571">
        <v>9.3530080000000002E-2</v>
      </c>
      <c r="W1571">
        <v>-7.0845190000000002E-2</v>
      </c>
      <c r="X1571">
        <v>0.99309270000000005</v>
      </c>
      <c r="Y1571">
        <v>0.50240560000000001</v>
      </c>
      <c r="Z1571">
        <v>-1.5482569999999999E-2</v>
      </c>
      <c r="AA1571">
        <v>0.86449339999999997</v>
      </c>
      <c r="AB1571">
        <v>24</v>
      </c>
      <c r="AC1571">
        <v>13.72</v>
      </c>
      <c r="AD1571">
        <v>-1.1168227139569999</v>
      </c>
      <c r="AE1571">
        <v>-10.2674</v>
      </c>
      <c r="AF1571">
        <v>8.6431146243747197</v>
      </c>
      <c r="AG1571">
        <v>-1.1168227139569999</v>
      </c>
      <c r="AH1571">
        <v>14.7131128676905</v>
      </c>
      <c r="AI1571">
        <v>93.744620321038099</v>
      </c>
      <c r="AJ1571">
        <v>59.568193730687298</v>
      </c>
      <c r="AK1571">
        <v>17.100479924314701</v>
      </c>
      <c r="AL1571">
        <v>94.062533511842204</v>
      </c>
      <c r="AM1571">
        <v>84.619718544222394</v>
      </c>
      <c r="AN1571">
        <v>1.0000000138021099</v>
      </c>
    </row>
    <row r="1572" spans="1:40" x14ac:dyDescent="0.25">
      <c r="A1572" t="str">
        <f>"20190303153805678"</f>
        <v>20190303153805678</v>
      </c>
      <c r="B1572" t="str">
        <f>"1551598685670413"</f>
        <v>1551598685670413</v>
      </c>
      <c r="C1572" t="s">
        <v>40</v>
      </c>
      <c r="D1572">
        <v>4.7430349999999999</v>
      </c>
      <c r="E1572">
        <v>0.67506919999999904</v>
      </c>
      <c r="F1572" t="s">
        <v>45</v>
      </c>
      <c r="G1572">
        <v>-193.59970000000001</v>
      </c>
      <c r="H1572" s="1">
        <v>-4.7388310000000001E-6</v>
      </c>
      <c r="I1572">
        <v>356.70949999999999</v>
      </c>
      <c r="J1572">
        <v>-207.15860000000001</v>
      </c>
      <c r="K1572">
        <v>1.116716</v>
      </c>
      <c r="L1572">
        <v>366.9325</v>
      </c>
      <c r="M1572">
        <v>0.9933535</v>
      </c>
      <c r="N1572">
        <v>-1.4095379999999999E-2</v>
      </c>
      <c r="O1572">
        <v>-0.1142379</v>
      </c>
      <c r="P1572">
        <v>0.97439659999999995</v>
      </c>
      <c r="Q1572">
        <v>-8.4734309999999993E-2</v>
      </c>
      <c r="R1572">
        <v>-0.2082591</v>
      </c>
      <c r="S1572">
        <v>2.6432190000000002</v>
      </c>
      <c r="T1572">
        <v>-0.21597659999999999</v>
      </c>
      <c r="U1572">
        <v>-1.980011</v>
      </c>
      <c r="V1572">
        <v>9.4796859999999997E-2</v>
      </c>
      <c r="W1572">
        <v>-7.1780150000000001E-2</v>
      </c>
      <c r="X1572">
        <v>0.99290540000000005</v>
      </c>
      <c r="Y1572">
        <v>0.50301649999999998</v>
      </c>
      <c r="Z1572">
        <v>-1.544477E-2</v>
      </c>
      <c r="AA1572">
        <v>0.86413879999999998</v>
      </c>
      <c r="AB1572">
        <v>24</v>
      </c>
      <c r="AC1572">
        <v>13.5588999999999</v>
      </c>
      <c r="AD1572">
        <v>-1.1167207388310001</v>
      </c>
      <c r="AE1572">
        <v>-10.223000000000001</v>
      </c>
      <c r="AF1572">
        <v>8.5699040224178002</v>
      </c>
      <c r="AG1572">
        <v>-1.1167207388310001</v>
      </c>
      <c r="AH1572">
        <v>14.5750540269058</v>
      </c>
      <c r="AI1572">
        <v>93.778752672544599</v>
      </c>
      <c r="AJ1572">
        <v>59.545137102233802</v>
      </c>
      <c r="AK1572">
        <v>16.944690025173401</v>
      </c>
      <c r="AL1572">
        <v>94.116239632999395</v>
      </c>
      <c r="AM1572">
        <v>84.546261416004398</v>
      </c>
      <c r="AN1572">
        <v>0.99999998397452095</v>
      </c>
    </row>
    <row r="1573" spans="1:40" x14ac:dyDescent="0.25">
      <c r="A1573" t="str">
        <f>"20190303153805688"</f>
        <v>20190303153805688</v>
      </c>
      <c r="B1573" t="str">
        <f>"1551598685680174"</f>
        <v>1551598685680174</v>
      </c>
      <c r="C1573" t="s">
        <v>40</v>
      </c>
      <c r="D1573">
        <v>4.7481090000000004</v>
      </c>
      <c r="E1573">
        <v>0.6748343</v>
      </c>
      <c r="F1573" t="s">
        <v>45</v>
      </c>
      <c r="G1573">
        <v>-193.77109999999999</v>
      </c>
      <c r="H1573" s="1">
        <v>-4.826605E-6</v>
      </c>
      <c r="I1573">
        <v>356.81639999999999</v>
      </c>
      <c r="J1573">
        <v>-207.03399999999999</v>
      </c>
      <c r="K1573">
        <v>1.116606</v>
      </c>
      <c r="L1573">
        <v>366.91449999999998</v>
      </c>
      <c r="M1573">
        <v>0.99292769999999997</v>
      </c>
      <c r="N1573">
        <v>-1.4109419999999999E-2</v>
      </c>
      <c r="O1573">
        <v>-0.11787930000000001</v>
      </c>
      <c r="P1573">
        <v>0.97328300000000001</v>
      </c>
      <c r="Q1573">
        <v>-8.5252449999999994E-2</v>
      </c>
      <c r="R1573">
        <v>-0.21319579999999999</v>
      </c>
      <c r="S1573">
        <v>2.6342620000000001</v>
      </c>
      <c r="T1573">
        <v>-0.21973860000000001</v>
      </c>
      <c r="U1573">
        <v>-1.99057</v>
      </c>
      <c r="V1573">
        <v>9.6169000000000004E-2</v>
      </c>
      <c r="W1573">
        <v>-7.2327230000000006E-2</v>
      </c>
      <c r="X1573">
        <v>0.9927338</v>
      </c>
      <c r="Y1573">
        <v>0.50343439999999995</v>
      </c>
      <c r="Z1573">
        <v>-1.544825E-2</v>
      </c>
      <c r="AA1573">
        <v>0.86389539999999998</v>
      </c>
      <c r="AB1573">
        <v>24</v>
      </c>
      <c r="AC1573">
        <v>13.2629</v>
      </c>
      <c r="AD1573">
        <v>-1.1166108266050001</v>
      </c>
      <c r="AE1573">
        <v>-10.098099999999899</v>
      </c>
      <c r="AF1573">
        <v>8.4262958140141198</v>
      </c>
      <c r="AG1573">
        <v>-1.1166108266050001</v>
      </c>
      <c r="AH1573">
        <v>14.296738189173601</v>
      </c>
      <c r="AI1573">
        <v>93.849364422645493</v>
      </c>
      <c r="AJ1573">
        <v>59.485502381534999</v>
      </c>
      <c r="AK1573">
        <v>16.632678790054701</v>
      </c>
      <c r="AL1573">
        <v>94.147666416235296</v>
      </c>
      <c r="AM1573">
        <v>84.466857033686594</v>
      </c>
      <c r="AN1573">
        <v>1.00000005121145</v>
      </c>
    </row>
    <row r="1574" spans="1:40" x14ac:dyDescent="0.25">
      <c r="A1574" t="str">
        <f>"20190303153805699"</f>
        <v>20190303153805699</v>
      </c>
      <c r="B1574" t="str">
        <f>"1551598685689934"</f>
        <v>1551598685689934</v>
      </c>
      <c r="C1574" t="s">
        <v>40</v>
      </c>
      <c r="D1574">
        <v>4.7480140000000004</v>
      </c>
      <c r="E1574">
        <v>0.67459250000000004</v>
      </c>
      <c r="F1574" t="s">
        <v>45</v>
      </c>
      <c r="G1574">
        <v>-193.83920000000001</v>
      </c>
      <c r="H1574" s="1">
        <v>-4.8570929999999996E-6</v>
      </c>
      <c r="I1574">
        <v>356.8494</v>
      </c>
      <c r="J1574">
        <v>-206.91839999999999</v>
      </c>
      <c r="K1574">
        <v>1.116506</v>
      </c>
      <c r="L1574">
        <v>366.89670000000001</v>
      </c>
      <c r="M1574">
        <v>0.99250210000000005</v>
      </c>
      <c r="N1574">
        <v>-1.4124390000000001E-2</v>
      </c>
      <c r="O1574">
        <v>-0.121409199999999</v>
      </c>
      <c r="P1574">
        <v>0.97212080000000001</v>
      </c>
      <c r="Q1574">
        <v>-8.555952E-2</v>
      </c>
      <c r="R1574">
        <v>-0.21831400000000001</v>
      </c>
      <c r="S1574">
        <v>2.624374</v>
      </c>
      <c r="T1574">
        <v>-0.22208829999999999</v>
      </c>
      <c r="U1574">
        <v>-2.0018919999999998</v>
      </c>
      <c r="V1574">
        <v>9.7842330000000005E-2</v>
      </c>
      <c r="W1574">
        <v>-7.2664950000000006E-2</v>
      </c>
      <c r="X1574">
        <v>0.99254549999999997</v>
      </c>
      <c r="Y1574">
        <v>0.50426700000000002</v>
      </c>
      <c r="Z1574">
        <v>-1.54089E-2</v>
      </c>
      <c r="AA1574">
        <v>0.86341039999999902</v>
      </c>
      <c r="AB1574">
        <v>24</v>
      </c>
      <c r="AC1574">
        <v>13.079199999999901</v>
      </c>
      <c r="AD1574">
        <v>-1.116510857093</v>
      </c>
      <c r="AE1574">
        <v>-10.0473</v>
      </c>
      <c r="AF1574">
        <v>8.3466158604915996</v>
      </c>
      <c r="AG1574">
        <v>-1.116510857093</v>
      </c>
      <c r="AH1574">
        <v>14.1375936906796</v>
      </c>
      <c r="AI1574">
        <v>93.890520893545798</v>
      </c>
      <c r="AJ1574">
        <v>59.443057181031797</v>
      </c>
      <c r="AK1574">
        <v>16.455520295006199</v>
      </c>
      <c r="AL1574">
        <v>94.167067847432094</v>
      </c>
      <c r="AM1574">
        <v>84.370132984393095</v>
      </c>
      <c r="AN1574">
        <v>0.99999994303428896</v>
      </c>
    </row>
    <row r="1575" spans="1:40" x14ac:dyDescent="0.25">
      <c r="A1575" t="str">
        <f>"20190303153805713"</f>
        <v>20190303153805713</v>
      </c>
      <c r="B1575" t="str">
        <f>"1551598685710430"</f>
        <v>1551598685710430</v>
      </c>
      <c r="C1575" t="s">
        <v>40</v>
      </c>
      <c r="D1575">
        <v>4.7535069999999999</v>
      </c>
      <c r="E1575">
        <v>0.67414540000000001</v>
      </c>
      <c r="F1575" t="s">
        <v>45</v>
      </c>
      <c r="G1575">
        <v>-193.8356</v>
      </c>
      <c r="H1575" s="1">
        <v>-4.8414589999999997E-6</v>
      </c>
      <c r="I1575">
        <v>356.81760000000003</v>
      </c>
      <c r="J1575">
        <v>-206.78030000000001</v>
      </c>
      <c r="K1575">
        <v>1.116385</v>
      </c>
      <c r="L1575">
        <v>366.87520000000001</v>
      </c>
      <c r="M1575">
        <v>0.99197069999999998</v>
      </c>
      <c r="N1575">
        <v>-1.4142109999999999E-2</v>
      </c>
      <c r="O1575">
        <v>-0.12567519999999999</v>
      </c>
      <c r="P1575">
        <v>0.97069749999999999</v>
      </c>
      <c r="Q1575">
        <v>-8.5463670000000005E-2</v>
      </c>
      <c r="R1575">
        <v>-0.2245943</v>
      </c>
      <c r="S1575">
        <v>2.6141049999999999</v>
      </c>
      <c r="T1575">
        <v>-0.22309319999999999</v>
      </c>
      <c r="U1575">
        <v>-2.0139469999999999</v>
      </c>
      <c r="V1575">
        <v>9.9968399999999999E-2</v>
      </c>
      <c r="W1575">
        <v>-7.2607980000000003E-2</v>
      </c>
      <c r="X1575">
        <v>0.99233780000000005</v>
      </c>
      <c r="Y1575">
        <v>0.50468760000000001</v>
      </c>
      <c r="Z1575">
        <v>-1.5244529999999999E-2</v>
      </c>
      <c r="AA1575">
        <v>0.86316749999999998</v>
      </c>
      <c r="AB1575">
        <v>24</v>
      </c>
      <c r="AC1575">
        <v>12.944699999999999</v>
      </c>
      <c r="AD1575">
        <v>-1.1163898414590001</v>
      </c>
      <c r="AE1575">
        <v>-10.0575999999999</v>
      </c>
      <c r="AF1575">
        <v>8.3122989035170605</v>
      </c>
      <c r="AG1575">
        <v>-1.1163898414590001</v>
      </c>
      <c r="AH1575">
        <v>14.0410414499336</v>
      </c>
      <c r="AI1575">
        <v>93.914004836255302</v>
      </c>
      <c r="AJ1575">
        <v>59.374460134694701</v>
      </c>
      <c r="AK1575">
        <v>16.3551669003492</v>
      </c>
      <c r="AL1575">
        <v>94.163795013601899</v>
      </c>
      <c r="AM1575">
        <v>84.247414282048794</v>
      </c>
      <c r="AN1575">
        <v>0.99999995453353896</v>
      </c>
    </row>
    <row r="1576" spans="1:40" x14ac:dyDescent="0.25">
      <c r="A1576" t="str">
        <f>"20190303153805730"</f>
        <v>20190303153805730</v>
      </c>
      <c r="B1576" t="str">
        <f>"1551598685720189"</f>
        <v>1551598685720189</v>
      </c>
      <c r="C1576" t="s">
        <v>40</v>
      </c>
      <c r="D1576">
        <v>4.7478199999999999</v>
      </c>
      <c r="E1576">
        <v>0.67395519999999998</v>
      </c>
      <c r="F1576" t="s">
        <v>45</v>
      </c>
      <c r="G1576">
        <v>-193.7672</v>
      </c>
      <c r="H1576" s="1">
        <v>-4.7880480000000002E-6</v>
      </c>
      <c r="I1576">
        <v>356.73540000000003</v>
      </c>
      <c r="J1576">
        <v>-206.59610000000001</v>
      </c>
      <c r="K1576">
        <v>1.116231</v>
      </c>
      <c r="L1576">
        <v>366.84550000000002</v>
      </c>
      <c r="M1576">
        <v>0.99121029999999999</v>
      </c>
      <c r="N1576">
        <v>-1.4166949999999999E-2</v>
      </c>
      <c r="O1576">
        <v>-0.1315345</v>
      </c>
      <c r="P1576">
        <v>0.968719</v>
      </c>
      <c r="Q1576">
        <v>-8.5014790000000007E-2</v>
      </c>
      <c r="R1576">
        <v>-0.23314380000000001</v>
      </c>
      <c r="S1576">
        <v>2.6018219999999999</v>
      </c>
      <c r="T1576">
        <v>-0.22321050000000001</v>
      </c>
      <c r="U1576">
        <v>-2.0273439999999998</v>
      </c>
      <c r="V1576">
        <v>0.10282289999999999</v>
      </c>
      <c r="W1576">
        <v>-7.2210650000000001E-2</v>
      </c>
      <c r="X1576">
        <v>0.99207509999999999</v>
      </c>
      <c r="Y1576">
        <v>0.50433470000000002</v>
      </c>
      <c r="Z1576">
        <v>-1.4915909999999999E-2</v>
      </c>
      <c r="AA1576">
        <v>0.86337940000000002</v>
      </c>
      <c r="AB1576">
        <v>24</v>
      </c>
      <c r="AC1576">
        <v>12.828900000000001</v>
      </c>
      <c r="AD1576">
        <v>-1.1162357880480001</v>
      </c>
      <c r="AE1576">
        <v>-10.1100999999999</v>
      </c>
      <c r="AF1576">
        <v>8.2958858531618809</v>
      </c>
      <c r="AG1576">
        <v>-1.1162357880480001</v>
      </c>
      <c r="AH1576">
        <v>13.9820763591229</v>
      </c>
      <c r="AI1576">
        <v>93.927646510115693</v>
      </c>
      <c r="AJ1576">
        <v>59.318374228175401</v>
      </c>
      <c r="AK1576">
        <v>16.296200898846099</v>
      </c>
      <c r="AL1576">
        <v>94.140969719029698</v>
      </c>
      <c r="AM1576">
        <v>84.082748347217304</v>
      </c>
      <c r="AN1576">
        <v>0.99999996538892</v>
      </c>
    </row>
    <row r="1577" spans="1:40" x14ac:dyDescent="0.25">
      <c r="A1577" t="str">
        <f>"20190303153805745"</f>
        <v>20190303153805745</v>
      </c>
      <c r="B1577" t="str">
        <f>"1551598685740685"</f>
        <v>1551598685740685</v>
      </c>
      <c r="C1577" t="s">
        <v>40</v>
      </c>
      <c r="D1577">
        <v>4.7514200000000004</v>
      </c>
      <c r="E1577">
        <v>0.67358949999999995</v>
      </c>
      <c r="F1577" t="s">
        <v>45</v>
      </c>
      <c r="G1577">
        <v>-193.5865</v>
      </c>
      <c r="H1577" s="1">
        <v>-4.654135E-6</v>
      </c>
      <c r="I1577">
        <v>356.53399999999999</v>
      </c>
      <c r="J1577">
        <v>-206.43600000000001</v>
      </c>
      <c r="K1577">
        <v>1.1161080000000001</v>
      </c>
      <c r="L1577">
        <v>366.8184</v>
      </c>
      <c r="M1577">
        <v>0.99049929999999997</v>
      </c>
      <c r="N1577">
        <v>-1.418878E-2</v>
      </c>
      <c r="O1577">
        <v>-0.13678460000000001</v>
      </c>
      <c r="P1577">
        <v>0.96599650000000004</v>
      </c>
      <c r="Q1577">
        <v>-8.3540509999999998E-2</v>
      </c>
      <c r="R1577">
        <v>-0.2446883</v>
      </c>
      <c r="S1577">
        <v>2.5844269999999998</v>
      </c>
      <c r="T1577">
        <v>-0.22174540000000001</v>
      </c>
      <c r="U1577">
        <v>-2.0484309999999999</v>
      </c>
      <c r="V1577">
        <v>0.1093755</v>
      </c>
      <c r="W1577">
        <v>-7.0834809999999998E-2</v>
      </c>
      <c r="X1577">
        <v>0.99147339999999995</v>
      </c>
      <c r="Y1577">
        <v>0.50692420000000005</v>
      </c>
      <c r="Z1577">
        <v>-1.4701799999999999E-2</v>
      </c>
      <c r="AA1577">
        <v>0.8618652</v>
      </c>
      <c r="AB1577">
        <v>24</v>
      </c>
      <c r="AC1577">
        <v>12.8494999999999</v>
      </c>
      <c r="AD1577">
        <v>-1.1161126541349999</v>
      </c>
      <c r="AE1577">
        <v>-10.2844</v>
      </c>
      <c r="AF1577">
        <v>8.3913351951067892</v>
      </c>
      <c r="AG1577">
        <v>-1.1161126541349999</v>
      </c>
      <c r="AH1577">
        <v>14.070881056987799</v>
      </c>
      <c r="AI1577">
        <v>93.897314749259706</v>
      </c>
      <c r="AJ1577">
        <v>59.189766433083101</v>
      </c>
      <c r="AK1577">
        <v>16.421020295135602</v>
      </c>
      <c r="AL1577">
        <v>94.061937190959398</v>
      </c>
      <c r="AM1577">
        <v>83.7048062416346</v>
      </c>
      <c r="AN1577">
        <v>1.0000000366077699</v>
      </c>
    </row>
    <row r="1578" spans="1:40" x14ac:dyDescent="0.25">
      <c r="A1578" t="str">
        <f>"20190303153805759"</f>
        <v>20190303153805759</v>
      </c>
      <c r="B1578" t="str">
        <f>"1551598685750446"</f>
        <v>1551598685750446</v>
      </c>
      <c r="C1578" t="s">
        <v>40</v>
      </c>
      <c r="D1578">
        <v>4.7477499999999999</v>
      </c>
      <c r="E1578">
        <v>0.67342009999999997</v>
      </c>
      <c r="F1578" t="s">
        <v>45</v>
      </c>
      <c r="G1578">
        <v>-193.38929999999999</v>
      </c>
      <c r="H1578" s="1">
        <v>-4.4727179999999996E-6</v>
      </c>
      <c r="I1578">
        <v>356.23840000000001</v>
      </c>
      <c r="J1578">
        <v>-206.29759999999999</v>
      </c>
      <c r="K1578">
        <v>1.116015</v>
      </c>
      <c r="L1578">
        <v>366.79410000000001</v>
      </c>
      <c r="M1578">
        <v>0.98984890000000003</v>
      </c>
      <c r="N1578">
        <v>-1.4206460000000001E-2</v>
      </c>
      <c r="O1578">
        <v>-0.1414118</v>
      </c>
      <c r="P1578">
        <v>0.96392359999999999</v>
      </c>
      <c r="Q1578">
        <v>-8.3023479999999997E-2</v>
      </c>
      <c r="R1578">
        <v>-0.25290000000000001</v>
      </c>
      <c r="S1578">
        <v>2.5606689999999999</v>
      </c>
      <c r="T1578">
        <v>-0.219059</v>
      </c>
      <c r="U1578">
        <v>-2.0765380000000002</v>
      </c>
      <c r="V1578">
        <v>0.1131588</v>
      </c>
      <c r="W1578">
        <v>-7.0377980000000007E-2</v>
      </c>
      <c r="X1578">
        <v>0.9910812</v>
      </c>
      <c r="Y1578">
        <v>0.51251420000000003</v>
      </c>
      <c r="Z1578">
        <v>-1.4626500000000001E-2</v>
      </c>
      <c r="AA1578">
        <v>0.85855419999999905</v>
      </c>
      <c r="AB1578">
        <v>24</v>
      </c>
      <c r="AC1578">
        <v>12.908299999999899</v>
      </c>
      <c r="AD1578">
        <v>-1.1160194727179999</v>
      </c>
      <c r="AE1578">
        <v>-10.5557</v>
      </c>
      <c r="AF1578">
        <v>8.5855738509570294</v>
      </c>
      <c r="AG1578">
        <v>-1.1160194727179999</v>
      </c>
      <c r="AH1578">
        <v>14.2077645030712</v>
      </c>
      <c r="AI1578">
        <v>93.846124476580997</v>
      </c>
      <c r="AJ1578">
        <v>58.855957822159198</v>
      </c>
      <c r="AK1578">
        <v>16.6378529260374</v>
      </c>
      <c r="AL1578">
        <v>94.035697584105094</v>
      </c>
      <c r="AM1578">
        <v>83.486339933335302</v>
      </c>
      <c r="AN1578">
        <v>0.99999995953987897</v>
      </c>
    </row>
    <row r="1579" spans="1:40" x14ac:dyDescent="0.25">
      <c r="A1579" t="str">
        <f>"20190303153805772"</f>
        <v>20190303153805772</v>
      </c>
      <c r="B1579" t="str">
        <f>"1551598685769966"</f>
        <v>1551598685769966</v>
      </c>
      <c r="C1579" t="s">
        <v>40</v>
      </c>
      <c r="D1579">
        <v>4.7537770000000004</v>
      </c>
      <c r="E1579">
        <v>0.67300459999999995</v>
      </c>
      <c r="F1579" t="s">
        <v>45</v>
      </c>
      <c r="G1579">
        <v>-193.36940000000001</v>
      </c>
      <c r="H1579" s="1">
        <v>-4.4197640000000003E-6</v>
      </c>
      <c r="I1579">
        <v>356.13420000000002</v>
      </c>
      <c r="J1579">
        <v>-206.15270000000001</v>
      </c>
      <c r="K1579">
        <v>1.1159289999999999</v>
      </c>
      <c r="L1579">
        <v>366.76799999999997</v>
      </c>
      <c r="M1579">
        <v>0.98913580000000001</v>
      </c>
      <c r="N1579">
        <v>-1.4223670000000001E-2</v>
      </c>
      <c r="O1579">
        <v>-0.146315</v>
      </c>
      <c r="P1579">
        <v>0.96168480000000001</v>
      </c>
      <c r="Q1579">
        <v>-8.2640249999999998E-2</v>
      </c>
      <c r="R1579">
        <v>-0.26140609999999997</v>
      </c>
      <c r="S1579">
        <v>2.5431979999999998</v>
      </c>
      <c r="T1579">
        <v>-0.21953990000000001</v>
      </c>
      <c r="U1579">
        <v>-2.0969850000000001</v>
      </c>
      <c r="V1579">
        <v>0.1169838</v>
      </c>
      <c r="W1579">
        <v>-7.005625E-2</v>
      </c>
      <c r="X1579">
        <v>0.99065979999999998</v>
      </c>
      <c r="Y1579">
        <v>0.51525359999999998</v>
      </c>
      <c r="Z1579">
        <v>-1.4519249999999999E-2</v>
      </c>
      <c r="AA1579">
        <v>0.85691479999999998</v>
      </c>
      <c r="AB1579">
        <v>24</v>
      </c>
      <c r="AC1579">
        <v>12.783299999999899</v>
      </c>
      <c r="AD1579">
        <v>-1.1159334197640001</v>
      </c>
      <c r="AE1579">
        <v>-10.633800000000001</v>
      </c>
      <c r="AF1579">
        <v>8.6099793816907795</v>
      </c>
      <c r="AG1579">
        <v>-1.1159334197640001</v>
      </c>
      <c r="AH1579">
        <v>14.1380630786879</v>
      </c>
      <c r="AI1579">
        <v>93.856700277431003</v>
      </c>
      <c r="AJ1579">
        <v>58.6588839123661</v>
      </c>
      <c r="AK1579">
        <v>16.591018050964902</v>
      </c>
      <c r="AL1579">
        <v>94.017218184203898</v>
      </c>
      <c r="AM1579">
        <v>83.265315716764704</v>
      </c>
      <c r="AN1579">
        <v>0.99999996348126996</v>
      </c>
    </row>
    <row r="1580" spans="1:40" x14ac:dyDescent="0.25">
      <c r="A1580" t="str">
        <f>"20190303153805783"</f>
        <v>20190303153805783</v>
      </c>
      <c r="B1580" t="str">
        <f>"1551598685780702"</f>
        <v>1551598685780702</v>
      </c>
      <c r="C1580" t="s">
        <v>40</v>
      </c>
      <c r="D1580">
        <v>4.7423330000000004</v>
      </c>
      <c r="E1580">
        <v>0.67281250000000004</v>
      </c>
      <c r="F1580" t="s">
        <v>45</v>
      </c>
      <c r="G1580">
        <v>-193.42869999999999</v>
      </c>
      <c r="H1580" s="1">
        <v>-4.4193689999999998E-6</v>
      </c>
      <c r="I1580">
        <v>356.10509999999999</v>
      </c>
      <c r="J1580">
        <v>-206.03729999999999</v>
      </c>
      <c r="K1580">
        <v>1.115872</v>
      </c>
      <c r="L1580">
        <v>366.7466</v>
      </c>
      <c r="M1580">
        <v>0.98854010000000003</v>
      </c>
      <c r="N1580">
        <v>-1.42361E-2</v>
      </c>
      <c r="O1580">
        <v>-0.1502859</v>
      </c>
      <c r="P1580">
        <v>0.95964070000000001</v>
      </c>
      <c r="Q1580">
        <v>-8.2677029999999999E-2</v>
      </c>
      <c r="R1580">
        <v>-0.26880120000000002</v>
      </c>
      <c r="S1580">
        <v>2.5252530000000002</v>
      </c>
      <c r="T1580">
        <v>-0.22147320000000001</v>
      </c>
      <c r="U1580">
        <v>-2.1162109999999998</v>
      </c>
      <c r="V1580">
        <v>0.1206174</v>
      </c>
      <c r="W1580">
        <v>-7.0149649999999994E-2</v>
      </c>
      <c r="X1580">
        <v>0.99021740000000003</v>
      </c>
      <c r="Y1580">
        <v>0.51861219999999997</v>
      </c>
      <c r="Z1580">
        <v>-1.455001E-2</v>
      </c>
      <c r="AA1580">
        <v>0.85488580000000003</v>
      </c>
      <c r="AB1580">
        <v>24</v>
      </c>
      <c r="AC1580">
        <v>12.6085999999999</v>
      </c>
      <c r="AD1580">
        <v>-1.1158764193690001</v>
      </c>
      <c r="AE1580">
        <v>-10.641500000000001</v>
      </c>
      <c r="AF1580">
        <v>8.5862533538266508</v>
      </c>
      <c r="AG1580">
        <v>-1.1158764193690001</v>
      </c>
      <c r="AH1580">
        <v>14.0007568604334</v>
      </c>
      <c r="AI1580">
        <v>93.886826527784805</v>
      </c>
      <c r="AJ1580">
        <v>58.480432305607003</v>
      </c>
      <c r="AK1580">
        <v>16.461777531736299</v>
      </c>
      <c r="AL1580">
        <v>94.022582601203695</v>
      </c>
      <c r="AM1580">
        <v>83.055071338855299</v>
      </c>
      <c r="AN1580">
        <v>1.0000000149203201</v>
      </c>
    </row>
    <row r="1581" spans="1:40" x14ac:dyDescent="0.25">
      <c r="A1581" t="str">
        <f>"20190303153805795"</f>
        <v>20190303153805795</v>
      </c>
      <c r="B1581" t="str">
        <f>"1551598685790462"</f>
        <v>1551598685790462</v>
      </c>
      <c r="C1581" t="s">
        <v>40</v>
      </c>
      <c r="D1581">
        <v>4.4120689999999998</v>
      </c>
      <c r="E1581">
        <v>0.67281250000000004</v>
      </c>
      <c r="F1581" t="s">
        <v>45</v>
      </c>
      <c r="G1581">
        <v>-193.49340000000001</v>
      </c>
      <c r="H1581" s="1">
        <v>-4.4208759999999996E-6</v>
      </c>
      <c r="I1581">
        <v>356.07749999999999</v>
      </c>
      <c r="J1581">
        <v>-205.91970000000001</v>
      </c>
      <c r="K1581">
        <v>1.1158239999999999</v>
      </c>
      <c r="L1581">
        <v>366.7242</v>
      </c>
      <c r="M1581">
        <v>0.9879114</v>
      </c>
      <c r="N1581">
        <v>-1.424771E-2</v>
      </c>
      <c r="O1581">
        <v>-0.15436369999999999</v>
      </c>
      <c r="P1581">
        <v>0.95744530000000005</v>
      </c>
      <c r="Q1581">
        <v>-8.3137779999999994E-2</v>
      </c>
      <c r="R1581">
        <v>-0.2763815</v>
      </c>
      <c r="S1581">
        <v>2.5091399999999999</v>
      </c>
      <c r="T1581">
        <v>-0.22320870000000001</v>
      </c>
      <c r="U1581">
        <v>-2.134125</v>
      </c>
      <c r="V1581">
        <v>0.124349</v>
      </c>
      <c r="W1581">
        <v>-7.0668380000000003E-2</v>
      </c>
      <c r="X1581">
        <v>0.98971880000000001</v>
      </c>
      <c r="Y1581">
        <v>0.52131249999999996</v>
      </c>
      <c r="Z1581">
        <v>-1.4528910000000001E-2</v>
      </c>
      <c r="AA1581">
        <v>0.85324219999999895</v>
      </c>
      <c r="AB1581">
        <v>24</v>
      </c>
      <c r="AC1581">
        <v>12.4262999999999</v>
      </c>
      <c r="AD1581">
        <v>-1.1158284208760001</v>
      </c>
      <c r="AE1581">
        <v>-10.646699999999999</v>
      </c>
      <c r="AF1581">
        <v>8.56089226853139</v>
      </c>
      <c r="AG1581">
        <v>-1.1158284208760001</v>
      </c>
      <c r="AH1581">
        <v>13.8565288308971</v>
      </c>
      <c r="AI1581">
        <v>93.919040224217198</v>
      </c>
      <c r="AJ1581">
        <v>58.291243830616501</v>
      </c>
      <c r="AK1581">
        <v>16.325971356697899</v>
      </c>
      <c r="AL1581">
        <v>94.052377652874995</v>
      </c>
      <c r="AM1581">
        <v>82.838839741950693</v>
      </c>
      <c r="AN1581">
        <v>0.99999999840313203</v>
      </c>
    </row>
    <row r="1582" spans="1:40" x14ac:dyDescent="0.25">
      <c r="A1582" t="str">
        <f>"20190303153805806"</f>
        <v>20190303153805806</v>
      </c>
      <c r="B1582" t="str">
        <f>"1551598685800222"</f>
        <v>1551598685800222</v>
      </c>
      <c r="C1582" t="s">
        <v>40</v>
      </c>
      <c r="D1582">
        <v>4.5534520000000001</v>
      </c>
      <c r="E1582">
        <v>0.69317510000000004</v>
      </c>
      <c r="F1582" t="s">
        <v>45</v>
      </c>
      <c r="G1582">
        <v>-193.55070000000001</v>
      </c>
      <c r="H1582" s="1">
        <v>-4.4133959999999999E-6</v>
      </c>
      <c r="I1582">
        <v>356.0342</v>
      </c>
      <c r="J1582">
        <v>-205.80459999999999</v>
      </c>
      <c r="K1582">
        <v>1.1157859999999999</v>
      </c>
      <c r="L1582">
        <v>366.70179999999999</v>
      </c>
      <c r="M1582">
        <v>0.9872746</v>
      </c>
      <c r="N1582">
        <v>-1.4258140000000001E-2</v>
      </c>
      <c r="O1582">
        <v>-0.15838379999999999</v>
      </c>
      <c r="P1582">
        <v>0.95513369999999997</v>
      </c>
      <c r="Q1582">
        <v>-8.3662349999999996E-2</v>
      </c>
      <c r="R1582">
        <v>-0.28411340000000002</v>
      </c>
      <c r="S1582">
        <v>2.4920960000000001</v>
      </c>
      <c r="T1582">
        <v>-0.2248164</v>
      </c>
      <c r="U1582">
        <v>-2.1538089999999999</v>
      </c>
      <c r="V1582">
        <v>0.12831049999999999</v>
      </c>
      <c r="W1582">
        <v>-7.1253280000000002E-2</v>
      </c>
      <c r="X1582">
        <v>0.98917109999999997</v>
      </c>
      <c r="Y1582">
        <v>0.52456059999999904</v>
      </c>
      <c r="Z1582">
        <v>-1.452988E-2</v>
      </c>
      <c r="AA1582">
        <v>0.85124920000000004</v>
      </c>
      <c r="AB1582">
        <v>24</v>
      </c>
      <c r="AC1582">
        <v>12.2538999999999</v>
      </c>
      <c r="AD1582">
        <v>-1.1157904133959999</v>
      </c>
      <c r="AE1582">
        <v>-10.667599999999901</v>
      </c>
      <c r="AF1582">
        <v>8.55157046433043</v>
      </c>
      <c r="AG1582">
        <v>-1.1157904133959999</v>
      </c>
      <c r="AH1582">
        <v>13.724209539058499</v>
      </c>
      <c r="AI1582">
        <v>93.947257403417794</v>
      </c>
      <c r="AJ1582">
        <v>58.072919807674197</v>
      </c>
      <c r="AK1582">
        <v>16.208894876734199</v>
      </c>
      <c r="AL1582">
        <v>94.085974480409703</v>
      </c>
      <c r="AM1582">
        <v>82.609136647041595</v>
      </c>
      <c r="AN1582">
        <v>1.0000000396980999</v>
      </c>
    </row>
    <row r="1583" spans="1:40" x14ac:dyDescent="0.25">
      <c r="A1583" t="str">
        <f>"20190303153805819"</f>
        <v>20190303153805819</v>
      </c>
      <c r="B1583" t="str">
        <f>"1551598685809982"</f>
        <v>1551598685809982</v>
      </c>
      <c r="C1583" t="s">
        <v>40</v>
      </c>
      <c r="D1583">
        <v>4.5396089999999996</v>
      </c>
      <c r="E1583">
        <v>0.6907799</v>
      </c>
      <c r="F1583" t="s">
        <v>48</v>
      </c>
      <c r="G1583">
        <v>-168.4007</v>
      </c>
      <c r="H1583">
        <v>1.8641080000000001</v>
      </c>
      <c r="I1583">
        <v>331.0659</v>
      </c>
      <c r="J1583">
        <v>-205.66229999999999</v>
      </c>
      <c r="K1583">
        <v>1.1157509999999999</v>
      </c>
      <c r="L1583">
        <v>366.67329999999998</v>
      </c>
      <c r="M1583">
        <v>0.98645749999999999</v>
      </c>
      <c r="N1583">
        <v>-1.4269469999999999E-2</v>
      </c>
      <c r="O1583">
        <v>-0.1633964</v>
      </c>
      <c r="P1583">
        <v>0.95242669999999996</v>
      </c>
      <c r="Q1583">
        <v>-8.3918699999999999E-2</v>
      </c>
      <c r="R1583">
        <v>-0.29298760000000001</v>
      </c>
      <c r="S1583">
        <v>2.4507140000000001</v>
      </c>
      <c r="T1583">
        <v>4.9030539999999997E-2</v>
      </c>
      <c r="U1583">
        <v>-2.3348689999999999</v>
      </c>
      <c r="V1583">
        <v>0.13247909999999999</v>
      </c>
      <c r="W1583">
        <v>-7.1570040000000001E-2</v>
      </c>
      <c r="X1583">
        <v>0.98859850000000005</v>
      </c>
      <c r="Y1583">
        <v>0.56225099999999995</v>
      </c>
      <c r="Z1583">
        <v>-4.633135E-3</v>
      </c>
      <c r="AA1583">
        <v>0.82695370000000001</v>
      </c>
      <c r="AB1583">
        <v>24</v>
      </c>
      <c r="AC1583">
        <v>37.261599999999902</v>
      </c>
      <c r="AD1583">
        <v>0.74835700000000005</v>
      </c>
      <c r="AE1583">
        <v>-35.607399999999899</v>
      </c>
      <c r="AF1583">
        <v>29.033605084876601</v>
      </c>
      <c r="AG1583">
        <v>0.74835700000000005</v>
      </c>
      <c r="AH1583">
        <v>42.570457160104802</v>
      </c>
      <c r="AI1583">
        <v>89.167943546025398</v>
      </c>
      <c r="AJ1583">
        <v>55.705503884070701</v>
      </c>
      <c r="AK1583">
        <v>51.534009015836702</v>
      </c>
      <c r="AL1583">
        <v>94.104170156177005</v>
      </c>
      <c r="AM1583">
        <v>82.367437024669997</v>
      </c>
      <c r="AN1583">
        <v>0.99999998838232995</v>
      </c>
    </row>
    <row r="1584" spans="1:40" x14ac:dyDescent="0.25">
      <c r="A1584" t="str">
        <f>"20190303153805832"</f>
        <v>20190303153805832</v>
      </c>
      <c r="B1584" t="str">
        <f>"1551598685820718"</f>
        <v>1551598685820718</v>
      </c>
      <c r="C1584" t="s">
        <v>40</v>
      </c>
      <c r="D1584">
        <v>4.6004839999999998</v>
      </c>
      <c r="E1584">
        <v>0.68815669999999995</v>
      </c>
      <c r="F1584" t="s">
        <v>48</v>
      </c>
      <c r="G1584">
        <v>-168.40049999999999</v>
      </c>
      <c r="H1584">
        <v>1.5392060000000001</v>
      </c>
      <c r="I1584">
        <v>330.85489999999999</v>
      </c>
      <c r="J1584">
        <v>-205.53020000000001</v>
      </c>
      <c r="K1584">
        <v>1.115729</v>
      </c>
      <c r="L1584">
        <v>366.6463</v>
      </c>
      <c r="M1584">
        <v>0.9856724</v>
      </c>
      <c r="N1584">
        <v>-1.427894E-2</v>
      </c>
      <c r="O1584">
        <v>-0.16806570000000001</v>
      </c>
      <c r="P1584">
        <v>0.94979230000000003</v>
      </c>
      <c r="Q1584">
        <v>-8.4213940000000001E-2</v>
      </c>
      <c r="R1584">
        <v>-0.30133490000000002</v>
      </c>
      <c r="S1584">
        <v>2.4328609999999999</v>
      </c>
      <c r="T1584">
        <v>2.7648209999999999E-2</v>
      </c>
      <c r="U1584">
        <v>-2.3386230000000001</v>
      </c>
      <c r="V1584">
        <v>0.136466</v>
      </c>
      <c r="W1584">
        <v>-7.1921929999999995E-2</v>
      </c>
      <c r="X1584">
        <v>0.98803050000000003</v>
      </c>
      <c r="Y1584">
        <v>0.562007699999999</v>
      </c>
      <c r="Z1584">
        <v>-5.6223200000000001E-3</v>
      </c>
      <c r="AA1584">
        <v>0.82711290000000004</v>
      </c>
      <c r="AB1584">
        <v>24</v>
      </c>
      <c r="AC1584">
        <v>37.1297</v>
      </c>
      <c r="AD1584">
        <v>0.42347699999999899</v>
      </c>
      <c r="AE1584">
        <v>-35.791400000000003</v>
      </c>
      <c r="AF1584">
        <v>29.0393681125244</v>
      </c>
      <c r="AG1584">
        <v>0.42347699999999899</v>
      </c>
      <c r="AH1584">
        <v>42.614497608312298</v>
      </c>
      <c r="AI1584">
        <v>89.529498904110795</v>
      </c>
      <c r="AJ1584">
        <v>55.727784467326998</v>
      </c>
      <c r="AK1584">
        <v>51.569948996999003</v>
      </c>
      <c r="AL1584">
        <v>94.1243840085546</v>
      </c>
      <c r="AM1584">
        <v>82.136106147296303</v>
      </c>
      <c r="AN1584">
        <v>1.0000000010505801</v>
      </c>
    </row>
    <row r="1585" spans="1:40" x14ac:dyDescent="0.25">
      <c r="A1585" t="str">
        <f>"20190303153805844"</f>
        <v>20190303153805844</v>
      </c>
      <c r="B1585" t="str">
        <f>"1551598685840238"</f>
        <v>1551598685840238</v>
      </c>
      <c r="C1585" t="s">
        <v>40</v>
      </c>
      <c r="D1585">
        <v>4.5938129999999999</v>
      </c>
      <c r="E1585">
        <v>0.68574449999999998</v>
      </c>
      <c r="F1585" t="s">
        <v>48</v>
      </c>
      <c r="G1585">
        <v>-168.40049999999999</v>
      </c>
      <c r="H1585">
        <v>1.275542</v>
      </c>
      <c r="I1585">
        <v>330.7158</v>
      </c>
      <c r="J1585">
        <v>-205.4006</v>
      </c>
      <c r="K1585">
        <v>1.115721</v>
      </c>
      <c r="L1585">
        <v>366.61900000000003</v>
      </c>
      <c r="M1585">
        <v>0.98487630000000004</v>
      </c>
      <c r="N1585">
        <v>-1.428668E-2</v>
      </c>
      <c r="O1585">
        <v>-0.17266889999999999</v>
      </c>
      <c r="P1585">
        <v>0.94579840000000004</v>
      </c>
      <c r="Q1585">
        <v>-8.5018280000000002E-2</v>
      </c>
      <c r="R1585">
        <v>-0.31342819999999999</v>
      </c>
      <c r="S1585">
        <v>2.4173429999999998</v>
      </c>
      <c r="T1585">
        <v>1.0405060000000001E-2</v>
      </c>
      <c r="U1585">
        <v>-2.339264</v>
      </c>
      <c r="V1585">
        <v>0.14444290000000001</v>
      </c>
      <c r="W1585">
        <v>-7.2842229999999994E-2</v>
      </c>
      <c r="X1585">
        <v>0.98682840000000005</v>
      </c>
      <c r="Y1585">
        <v>0.56087959999999903</v>
      </c>
      <c r="Z1585">
        <v>-6.384359E-3</v>
      </c>
      <c r="AA1585">
        <v>0.82787279999999996</v>
      </c>
      <c r="AB1585">
        <v>23</v>
      </c>
      <c r="AC1585">
        <v>37.000100000000003</v>
      </c>
      <c r="AD1585">
        <v>0.15982099999999999</v>
      </c>
      <c r="AE1585">
        <v>-35.903199999999998</v>
      </c>
      <c r="AF1585">
        <v>28.974123123751301</v>
      </c>
      <c r="AG1585">
        <v>0.15982099999999999</v>
      </c>
      <c r="AH1585">
        <v>42.643830441131499</v>
      </c>
      <c r="AI1585">
        <v>89.822385704945603</v>
      </c>
      <c r="AJ1585">
        <v>55.806061079445698</v>
      </c>
      <c r="AK1585">
        <v>51.556004773782803</v>
      </c>
      <c r="AL1585">
        <v>94.177251925814204</v>
      </c>
      <c r="AM1585">
        <v>81.672701917326094</v>
      </c>
      <c r="AN1585">
        <v>1.00000001643917</v>
      </c>
    </row>
    <row r="1586" spans="1:40" x14ac:dyDescent="0.25">
      <c r="A1586" t="str">
        <f>"20190303153805855"</f>
        <v>20190303153805855</v>
      </c>
      <c r="B1586" t="str">
        <f>"1551598685849998"</f>
        <v>1551598685849998</v>
      </c>
      <c r="C1586" t="s">
        <v>40</v>
      </c>
      <c r="D1586">
        <v>4.5205529999999996</v>
      </c>
      <c r="E1586">
        <v>0.68708780000000003</v>
      </c>
      <c r="F1586" t="s">
        <v>48</v>
      </c>
      <c r="G1586">
        <v>-168.40039999999999</v>
      </c>
      <c r="H1586">
        <v>1.0866290000000001</v>
      </c>
      <c r="I1586">
        <v>330.25990000000002</v>
      </c>
      <c r="J1586">
        <v>-205.28309999999999</v>
      </c>
      <c r="K1586">
        <v>1.1157239999999999</v>
      </c>
      <c r="L1586">
        <v>366.59370000000001</v>
      </c>
      <c r="M1586">
        <v>0.98413499999999998</v>
      </c>
      <c r="N1586">
        <v>-1.42927E-2</v>
      </c>
      <c r="O1586">
        <v>-0.17684549999999999</v>
      </c>
      <c r="P1586">
        <v>0.94323310000000005</v>
      </c>
      <c r="Q1586">
        <v>-8.463358E-2</v>
      </c>
      <c r="R1586">
        <v>-0.32116820000000001</v>
      </c>
      <c r="S1586">
        <v>2.3926240000000001</v>
      </c>
      <c r="T1586">
        <v>-1.880884E-3</v>
      </c>
      <c r="U1586">
        <v>-2.3511660000000001</v>
      </c>
      <c r="V1586">
        <v>0.14833669999999999</v>
      </c>
      <c r="W1586">
        <v>-7.2509829999999997E-2</v>
      </c>
      <c r="X1586">
        <v>0.98627509999999996</v>
      </c>
      <c r="Y1586">
        <v>0.56369599999999997</v>
      </c>
      <c r="Z1586">
        <v>-6.9419959999999998E-3</v>
      </c>
      <c r="AA1586">
        <v>0.82595319999999905</v>
      </c>
      <c r="AB1586">
        <v>23</v>
      </c>
      <c r="AC1586">
        <v>36.8827</v>
      </c>
      <c r="AD1586">
        <v>-2.9094999999999802E-2</v>
      </c>
      <c r="AE1586">
        <v>-36.333799999999997</v>
      </c>
      <c r="AF1586">
        <v>29.2377974896052</v>
      </c>
      <c r="AG1586">
        <v>-2.9094999999999802E-2</v>
      </c>
      <c r="AH1586">
        <v>42.727369292405299</v>
      </c>
      <c r="AI1586">
        <v>90.032198446217393</v>
      </c>
      <c r="AJ1586">
        <v>55.616658008143602</v>
      </c>
      <c r="AK1586">
        <v>51.773330346924503</v>
      </c>
      <c r="AL1586">
        <v>94.158156329137</v>
      </c>
      <c r="AM1586">
        <v>81.446769164282301</v>
      </c>
      <c r="AN1586">
        <v>1.0000000124467601</v>
      </c>
    </row>
    <row r="1587" spans="1:40" x14ac:dyDescent="0.25">
      <c r="A1587" t="str">
        <f>"20190303153805867"</f>
        <v>20190303153805867</v>
      </c>
      <c r="B1587" t="str">
        <f>"1551598685860734"</f>
        <v>1551598685860734</v>
      </c>
      <c r="C1587" t="s">
        <v>40</v>
      </c>
      <c r="D1587">
        <v>4.7185980000000001</v>
      </c>
      <c r="E1587">
        <v>0.68665919999999903</v>
      </c>
      <c r="F1587" t="s">
        <v>48</v>
      </c>
      <c r="G1587">
        <v>-168.40039999999999</v>
      </c>
      <c r="H1587">
        <v>1.2424919999999999</v>
      </c>
      <c r="I1587">
        <v>329.55149999999998</v>
      </c>
      <c r="J1587">
        <v>-205.15770000000001</v>
      </c>
      <c r="K1587">
        <v>1.115729</v>
      </c>
      <c r="L1587">
        <v>366.56630000000001</v>
      </c>
      <c r="M1587">
        <v>0.98332260000000005</v>
      </c>
      <c r="N1587">
        <v>-1.4298409999999999E-2</v>
      </c>
      <c r="O1587">
        <v>-0.18130789999999999</v>
      </c>
      <c r="P1587">
        <v>0.94037899999999996</v>
      </c>
      <c r="Q1587">
        <v>-8.4562199999999907E-2</v>
      </c>
      <c r="R1587">
        <v>-0.3294494</v>
      </c>
      <c r="S1587">
        <v>2.3706049999999999</v>
      </c>
      <c r="T1587">
        <v>8.1483130000000008E-3</v>
      </c>
      <c r="U1587">
        <v>-2.3808590000000001</v>
      </c>
      <c r="V1587">
        <v>0.15252939999999901</v>
      </c>
      <c r="W1587">
        <v>-7.2494630000000004E-2</v>
      </c>
      <c r="X1587">
        <v>0.98563650000000003</v>
      </c>
      <c r="Y1587">
        <v>0.56895660000000003</v>
      </c>
      <c r="Z1587">
        <v>-6.6779459999999997E-3</v>
      </c>
      <c r="AA1587">
        <v>0.82234050000000003</v>
      </c>
      <c r="AB1587">
        <v>23</v>
      </c>
      <c r="AC1587">
        <v>36.757300000000001</v>
      </c>
      <c r="AD1587">
        <v>0.12676299999999899</v>
      </c>
      <c r="AE1587">
        <v>-37.014800000000001</v>
      </c>
      <c r="AF1587">
        <v>29.735959780836399</v>
      </c>
      <c r="AG1587">
        <v>0.12676299999999899</v>
      </c>
      <c r="AH1587">
        <v>42.859480640936397</v>
      </c>
      <c r="AI1587">
        <v>89.860768642728999</v>
      </c>
      <c r="AJ1587">
        <v>55.247039817527401</v>
      </c>
      <c r="AK1587">
        <v>52.1649159278196</v>
      </c>
      <c r="AL1587">
        <v>94.157283188407803</v>
      </c>
      <c r="AM1587">
        <v>81.203133278679203</v>
      </c>
      <c r="AN1587">
        <v>0.99999999968772302</v>
      </c>
    </row>
    <row r="1588" spans="1:40" x14ac:dyDescent="0.25">
      <c r="A1588" t="str">
        <f>"20190303153805879"</f>
        <v>20190303153805879</v>
      </c>
      <c r="B1588" t="str">
        <f>"1551598685870494"</f>
        <v>1551598685870494</v>
      </c>
      <c r="C1588" t="s">
        <v>40</v>
      </c>
      <c r="D1588">
        <v>4.8809009999999997</v>
      </c>
      <c r="E1588">
        <v>0.68665919999999903</v>
      </c>
      <c r="F1588" t="s">
        <v>48</v>
      </c>
      <c r="G1588">
        <v>-168.40029999999999</v>
      </c>
      <c r="H1588">
        <v>0.91528569999999998</v>
      </c>
      <c r="I1588">
        <v>329.03730000000002</v>
      </c>
      <c r="J1588">
        <v>-205.0429</v>
      </c>
      <c r="K1588">
        <v>1.115737</v>
      </c>
      <c r="L1588">
        <v>366.54039999999998</v>
      </c>
      <c r="M1588">
        <v>0.9825585</v>
      </c>
      <c r="N1588">
        <v>-1.430267E-2</v>
      </c>
      <c r="O1588">
        <v>-0.18540300000000001</v>
      </c>
      <c r="P1588">
        <v>0.93750789999999995</v>
      </c>
      <c r="Q1588">
        <v>-8.4260779999999993E-2</v>
      </c>
      <c r="R1588">
        <v>-0.33760879999999999</v>
      </c>
      <c r="S1588">
        <v>2.3488920000000002</v>
      </c>
      <c r="T1588">
        <v>-1.2808440000000001E-2</v>
      </c>
      <c r="U1588">
        <v>-2.398193</v>
      </c>
      <c r="V1588">
        <v>0.1569816</v>
      </c>
      <c r="W1588">
        <v>-7.225413E-2</v>
      </c>
      <c r="X1588">
        <v>0.98495489999999997</v>
      </c>
      <c r="Y1588">
        <v>0.57224889999999995</v>
      </c>
      <c r="Z1588">
        <v>-7.5427189999999998E-3</v>
      </c>
      <c r="AA1588">
        <v>0.82004529999999998</v>
      </c>
      <c r="AB1588">
        <v>23</v>
      </c>
      <c r="AC1588">
        <v>36.642600000000002</v>
      </c>
      <c r="AD1588">
        <v>-0.2004513</v>
      </c>
      <c r="AE1588">
        <v>-37.503099999999897</v>
      </c>
      <c r="AF1588">
        <v>30.057976353358502</v>
      </c>
      <c r="AG1588">
        <v>-0.2004513</v>
      </c>
      <c r="AH1588">
        <v>42.960450908077704</v>
      </c>
      <c r="AI1588">
        <v>90.219046099437193</v>
      </c>
      <c r="AJ1588">
        <v>55.020816786832697</v>
      </c>
      <c r="AK1588">
        <v>52.432074776877599</v>
      </c>
      <c r="AL1588">
        <v>94.143467243543299</v>
      </c>
      <c r="AM1588">
        <v>80.944392153221401</v>
      </c>
      <c r="AN1588">
        <v>1.0000000185373099</v>
      </c>
    </row>
    <row r="1589" spans="1:40" x14ac:dyDescent="0.25">
      <c r="A1589" t="str">
        <f>"20190303153805890"</f>
        <v>20190303153805890</v>
      </c>
      <c r="B1589" t="str">
        <f>"1551598685880254"</f>
        <v>1551598685880254</v>
      </c>
      <c r="C1589" t="s">
        <v>40</v>
      </c>
      <c r="D1589">
        <v>4.8515699999999997</v>
      </c>
      <c r="E1589">
        <v>0.71967009999999998</v>
      </c>
      <c r="F1589" t="s">
        <v>48</v>
      </c>
      <c r="G1589">
        <v>-168.40029999999999</v>
      </c>
      <c r="H1589">
        <v>0.91948189999999996</v>
      </c>
      <c r="I1589">
        <v>328.47300000000001</v>
      </c>
      <c r="J1589">
        <v>-204.93090000000001</v>
      </c>
      <c r="K1589">
        <v>1.1157459999999999</v>
      </c>
      <c r="L1589">
        <v>366.51490000000001</v>
      </c>
      <c r="M1589">
        <v>0.98179629999999996</v>
      </c>
      <c r="N1589">
        <v>-1.430674E-2</v>
      </c>
      <c r="O1589">
        <v>-0.1893977</v>
      </c>
      <c r="P1589">
        <v>0.93454879999999996</v>
      </c>
      <c r="Q1589">
        <v>-8.4592520000000004E-2</v>
      </c>
      <c r="R1589">
        <v>-0.34563430000000001</v>
      </c>
      <c r="S1589">
        <v>2.3279420000000002</v>
      </c>
      <c r="T1589">
        <v>-1.2467860000000001E-2</v>
      </c>
      <c r="U1589">
        <v>-2.4184570000000001</v>
      </c>
      <c r="V1589">
        <v>0.16141629999999901</v>
      </c>
      <c r="W1589">
        <v>-7.2647669999999998E-2</v>
      </c>
      <c r="X1589">
        <v>0.98420890000000005</v>
      </c>
      <c r="Y1589">
        <v>0.57602799999999998</v>
      </c>
      <c r="Z1589">
        <v>-7.6151119999999899E-3</v>
      </c>
      <c r="AA1589">
        <v>0.81739439999999997</v>
      </c>
      <c r="AB1589">
        <v>23</v>
      </c>
      <c r="AC1589">
        <v>36.5306</v>
      </c>
      <c r="AD1589">
        <v>-0.196264099999999</v>
      </c>
      <c r="AE1589">
        <v>-38.041899999999998</v>
      </c>
      <c r="AF1589">
        <v>30.433276176865999</v>
      </c>
      <c r="AG1589">
        <v>-0.196264099999999</v>
      </c>
      <c r="AH1589">
        <v>43.074465237758702</v>
      </c>
      <c r="AI1589">
        <v>90.213213468765801</v>
      </c>
      <c r="AJ1589">
        <v>54.757759296626602</v>
      </c>
      <c r="AK1589">
        <v>52.741182902673302</v>
      </c>
      <c r="AL1589">
        <v>94.166074779894601</v>
      </c>
      <c r="AM1589">
        <v>80.686058658842299</v>
      </c>
      <c r="AN1589">
        <v>1.0000000323506599</v>
      </c>
    </row>
    <row r="1590" spans="1:40" x14ac:dyDescent="0.25">
      <c r="A1590" t="str">
        <f>"20190303153805899"</f>
        <v>20190303153805899</v>
      </c>
      <c r="B1590" t="str">
        <f>"1551598685890014"</f>
        <v>1551598685890014</v>
      </c>
      <c r="C1590" t="s">
        <v>40</v>
      </c>
      <c r="D1590">
        <v>4.7863879999999996</v>
      </c>
      <c r="E1590">
        <v>0.72252859999999997</v>
      </c>
      <c r="F1590" t="s">
        <v>42</v>
      </c>
      <c r="G1590">
        <v>-182.44990000000001</v>
      </c>
      <c r="H1590" s="1">
        <v>-5.4422649999999996E-6</v>
      </c>
      <c r="I1590">
        <v>339.19699999999898</v>
      </c>
      <c r="J1590">
        <v>-204.81809999999999</v>
      </c>
      <c r="K1590">
        <v>1.115745</v>
      </c>
      <c r="L1590">
        <v>366.48840000000001</v>
      </c>
      <c r="M1590">
        <v>0.98100889999999996</v>
      </c>
      <c r="N1590">
        <v>-1.431057E-2</v>
      </c>
      <c r="O1590">
        <v>-0.1934343</v>
      </c>
      <c r="P1590">
        <v>0.9312918</v>
      </c>
      <c r="Q1590">
        <v>-8.4965470000000001E-2</v>
      </c>
      <c r="R1590">
        <v>-0.35422700000000001</v>
      </c>
      <c r="S1590">
        <v>2.207932</v>
      </c>
      <c r="T1590">
        <v>-0.10958179999999999</v>
      </c>
      <c r="U1590">
        <v>-2.6829830000000001</v>
      </c>
      <c r="V1590">
        <v>0.16642689999999999</v>
      </c>
      <c r="W1590">
        <v>-7.3093870000000005E-2</v>
      </c>
      <c r="X1590">
        <v>0.98334089999999996</v>
      </c>
      <c r="Y1590">
        <v>0.6341985</v>
      </c>
      <c r="Z1590">
        <v>-1.2758759999999999E-2</v>
      </c>
      <c r="AA1590">
        <v>0.773065</v>
      </c>
      <c r="AB1590">
        <v>23</v>
      </c>
      <c r="AC1590">
        <v>22.368199999999899</v>
      </c>
      <c r="AD1590">
        <v>-1.115750442265</v>
      </c>
      <c r="AE1590">
        <v>-27.291399999999999</v>
      </c>
      <c r="AF1590">
        <v>22.426205466053201</v>
      </c>
      <c r="AG1590">
        <v>-1.115750442265</v>
      </c>
      <c r="AH1590">
        <v>27.198090455912801</v>
      </c>
      <c r="AI1590">
        <v>91.812870112093904</v>
      </c>
      <c r="AJ1590">
        <v>50.492688438414099</v>
      </c>
      <c r="AK1590">
        <v>35.269189317349799</v>
      </c>
      <c r="AL1590">
        <v>94.191708541215206</v>
      </c>
      <c r="AM1590">
        <v>80.393925617875595</v>
      </c>
      <c r="AN1590">
        <v>0.99999997624399795</v>
      </c>
    </row>
    <row r="1591" spans="1:40" x14ac:dyDescent="0.25">
      <c r="A1591" t="str">
        <f>"20190303153805913"</f>
        <v>20190303153805913</v>
      </c>
      <c r="B1591" t="str">
        <f>"1551598685910510"</f>
        <v>1551598685910510</v>
      </c>
      <c r="C1591" t="s">
        <v>40</v>
      </c>
      <c r="D1591">
        <v>4.8295560000000002</v>
      </c>
      <c r="E1591">
        <v>0.72325059999999997</v>
      </c>
      <c r="F1591" t="s">
        <v>42</v>
      </c>
      <c r="G1591">
        <v>-181.78649999999999</v>
      </c>
      <c r="H1591" s="1">
        <v>-4.9050100000000003E-6</v>
      </c>
      <c r="I1591">
        <v>337.6397</v>
      </c>
      <c r="J1591">
        <v>-204.68690000000001</v>
      </c>
      <c r="K1591">
        <v>1.1157509999999999</v>
      </c>
      <c r="L1591">
        <v>366.45729999999998</v>
      </c>
      <c r="M1591">
        <v>0.98007060000000001</v>
      </c>
      <c r="N1591">
        <v>-1.431519E-2</v>
      </c>
      <c r="O1591">
        <v>-0.1981338</v>
      </c>
      <c r="P1591">
        <v>0.92764120000000005</v>
      </c>
      <c r="Q1591">
        <v>-8.5229959999999994E-2</v>
      </c>
      <c r="R1591">
        <v>-0.363618</v>
      </c>
      <c r="S1591">
        <v>2.1753390000000001</v>
      </c>
      <c r="T1591">
        <v>-0.1053827</v>
      </c>
      <c r="U1591">
        <v>-2.7247620000000001</v>
      </c>
      <c r="V1591">
        <v>0.17164179999999901</v>
      </c>
      <c r="W1591">
        <v>-7.3435299999999995E-2</v>
      </c>
      <c r="X1591">
        <v>0.98241869999999998</v>
      </c>
      <c r="Y1591">
        <v>0.64194689999999999</v>
      </c>
      <c r="Z1591">
        <v>-1.2713149999999999E-2</v>
      </c>
      <c r="AA1591">
        <v>0.76664370000000004</v>
      </c>
      <c r="AB1591">
        <v>23</v>
      </c>
      <c r="AC1591">
        <v>22.900400000000001</v>
      </c>
      <c r="AD1591">
        <v>-1.1157559050100001</v>
      </c>
      <c r="AE1591">
        <v>-28.817599999999899</v>
      </c>
      <c r="AF1591">
        <v>23.686600891395301</v>
      </c>
      <c r="AG1591">
        <v>-1.1157559050100001</v>
      </c>
      <c r="AH1591">
        <v>28.130782659776099</v>
      </c>
      <c r="AI1591">
        <v>91.737827567480196</v>
      </c>
      <c r="AJ1591">
        <v>49.902047068364197</v>
      </c>
      <c r="AK1591">
        <v>36.791859236512799</v>
      </c>
      <c r="AL1591">
        <v>94.2113233321313</v>
      </c>
      <c r="AM1591">
        <v>80.089683270148996</v>
      </c>
      <c r="AN1591">
        <v>1.0000000764515</v>
      </c>
    </row>
    <row r="1592" spans="1:40" x14ac:dyDescent="0.25">
      <c r="A1592" t="str">
        <f>"20190303153805926"</f>
        <v>20190303153805926</v>
      </c>
      <c r="B1592" t="str">
        <f>"1551598685920270"</f>
        <v>1551598685920270</v>
      </c>
      <c r="C1592" t="s">
        <v>40</v>
      </c>
      <c r="D1592">
        <v>4.8454899999999999</v>
      </c>
      <c r="E1592">
        <v>0.72294939999999996</v>
      </c>
      <c r="F1592" t="s">
        <v>42</v>
      </c>
      <c r="G1592">
        <v>-182.5385</v>
      </c>
      <c r="H1592" s="1">
        <v>-4.9329060000000004E-6</v>
      </c>
      <c r="I1592">
        <v>338.04629999999997</v>
      </c>
      <c r="J1592">
        <v>-204.55959999999999</v>
      </c>
      <c r="K1592">
        <v>1.1157509999999999</v>
      </c>
      <c r="L1592">
        <v>366.42630000000003</v>
      </c>
      <c r="M1592">
        <v>0.97913380000000005</v>
      </c>
      <c r="N1592">
        <v>-1.4319899999999899E-2</v>
      </c>
      <c r="O1592">
        <v>-0.20271110000000001</v>
      </c>
      <c r="P1592">
        <v>0.92386840000000003</v>
      </c>
      <c r="Q1592">
        <v>-8.4998889999999994E-2</v>
      </c>
      <c r="R1592">
        <v>-0.37315199999999998</v>
      </c>
      <c r="S1592">
        <v>2.1453700000000002</v>
      </c>
      <c r="T1592">
        <v>-0.1080759</v>
      </c>
      <c r="U1592">
        <v>-2.7519840000000002</v>
      </c>
      <c r="V1592">
        <v>0.17715699999999901</v>
      </c>
      <c r="W1592">
        <v>-7.3288339999999993E-2</v>
      </c>
      <c r="X1592">
        <v>0.98145009999999999</v>
      </c>
      <c r="Y1592">
        <v>0.64720659999999997</v>
      </c>
      <c r="Z1592">
        <v>-1.2915289999999999E-2</v>
      </c>
      <c r="AA1592">
        <v>0.76220519999999903</v>
      </c>
      <c r="AB1592">
        <v>23</v>
      </c>
      <c r="AC1592">
        <v>22.021099999999901</v>
      </c>
      <c r="AD1592">
        <v>-1.1157559329059901</v>
      </c>
      <c r="AE1592">
        <v>-28.38</v>
      </c>
      <c r="AF1592">
        <v>23.3038062517589</v>
      </c>
      <c r="AG1592">
        <v>-1.1157559329059901</v>
      </c>
      <c r="AH1592">
        <v>27.2910174849961</v>
      </c>
      <c r="AI1592">
        <v>91.780805336321194</v>
      </c>
      <c r="AJ1592">
        <v>49.505978740000003</v>
      </c>
      <c r="AK1592">
        <v>35.904204941590002</v>
      </c>
      <c r="AL1592">
        <v>94.2028805434053</v>
      </c>
      <c r="AM1592">
        <v>79.767982661084801</v>
      </c>
      <c r="AN1592">
        <v>1.00000004110948</v>
      </c>
    </row>
    <row r="1593" spans="1:40" x14ac:dyDescent="0.25">
      <c r="A1593" t="str">
        <f>"20190303153805937"</f>
        <v>20190303153805937</v>
      </c>
      <c r="B1593" t="str">
        <f>"1551598685930029"</f>
        <v>1551598685930029</v>
      </c>
      <c r="C1593" t="s">
        <v>40</v>
      </c>
      <c r="D1593">
        <v>4.7995049999999999</v>
      </c>
      <c r="E1593">
        <v>0.72277840000000004</v>
      </c>
      <c r="F1593" t="s">
        <v>42</v>
      </c>
      <c r="G1593">
        <v>-182.5026</v>
      </c>
      <c r="H1593" s="1">
        <v>-4.7329699999999999E-6</v>
      </c>
      <c r="I1593">
        <v>337.56540000000001</v>
      </c>
      <c r="J1593">
        <v>-204.43860000000001</v>
      </c>
      <c r="K1593">
        <v>1.1157459999999999</v>
      </c>
      <c r="L1593">
        <v>366.39620000000002</v>
      </c>
      <c r="M1593">
        <v>0.97821749999999996</v>
      </c>
      <c r="N1593">
        <v>-1.4324949999999999E-2</v>
      </c>
      <c r="O1593">
        <v>-0.2070881</v>
      </c>
      <c r="P1593">
        <v>0.92007890000000003</v>
      </c>
      <c r="Q1593">
        <v>-8.4501119999999999E-2</v>
      </c>
      <c r="R1593">
        <v>-0.38251109999999999</v>
      </c>
      <c r="S1593">
        <v>2.1180110000000001</v>
      </c>
      <c r="T1593">
        <v>-0.1071402</v>
      </c>
      <c r="U1593">
        <v>-2.7713619999999999</v>
      </c>
      <c r="V1593">
        <v>0.1827153</v>
      </c>
      <c r="W1593">
        <v>-7.2879199999999894E-2</v>
      </c>
      <c r="X1593">
        <v>0.98046100000000003</v>
      </c>
      <c r="Y1593">
        <v>0.65110959999999996</v>
      </c>
      <c r="Z1593">
        <v>-1.291952E-2</v>
      </c>
      <c r="AA1593">
        <v>0.75887380000000004</v>
      </c>
      <c r="AB1593">
        <v>23</v>
      </c>
      <c r="AC1593">
        <v>21.936</v>
      </c>
      <c r="AD1593">
        <v>-1.1157507329699901</v>
      </c>
      <c r="AE1593">
        <v>-28.8308</v>
      </c>
      <c r="AF1593">
        <v>23.640110381124298</v>
      </c>
      <c r="AG1593">
        <v>-1.1157507329699901</v>
      </c>
      <c r="AH1593">
        <v>27.405511207450999</v>
      </c>
      <c r="AI1593">
        <v>91.765754915055794</v>
      </c>
      <c r="AJ1593">
        <v>49.218805336286799</v>
      </c>
      <c r="AK1593">
        <v>36.209967730883001</v>
      </c>
      <c r="AL1593">
        <v>94.179375799307607</v>
      </c>
      <c r="AM1593">
        <v>79.443649293920998</v>
      </c>
      <c r="AN1593">
        <v>1.00000001558386</v>
      </c>
    </row>
    <row r="1594" spans="1:40" x14ac:dyDescent="0.25">
      <c r="A1594" t="str">
        <f>"20190303153805952"</f>
        <v>20190303153805952</v>
      </c>
      <c r="B1594" t="str">
        <f>"1551598685940766"</f>
        <v>1551598685940766</v>
      </c>
      <c r="C1594" t="s">
        <v>40</v>
      </c>
      <c r="D1594">
        <v>4.8204929999999999</v>
      </c>
      <c r="E1594">
        <v>0.72239709999999902</v>
      </c>
      <c r="F1594" t="s">
        <v>42</v>
      </c>
      <c r="G1594">
        <v>-182.5515</v>
      </c>
      <c r="H1594" s="1">
        <v>-4.5507219999999997E-6</v>
      </c>
      <c r="I1594">
        <v>337.16079999999999</v>
      </c>
      <c r="J1594">
        <v>-204.29640000000001</v>
      </c>
      <c r="K1594">
        <v>1.1157300000000001</v>
      </c>
      <c r="L1594">
        <v>366.36020000000002</v>
      </c>
      <c r="M1594">
        <v>0.97710980000000003</v>
      </c>
      <c r="N1594">
        <v>-1.433129E-2</v>
      </c>
      <c r="O1594">
        <v>-0.2122521</v>
      </c>
      <c r="P1594">
        <v>0.9159813</v>
      </c>
      <c r="Q1594">
        <v>-8.3942370000000002E-2</v>
      </c>
      <c r="R1594">
        <v>-0.39234160000000001</v>
      </c>
      <c r="S1594">
        <v>2.0901339999999999</v>
      </c>
      <c r="T1594">
        <v>-0.10655000000000001</v>
      </c>
      <c r="U1594">
        <v>-2.7918699999999999</v>
      </c>
      <c r="V1594">
        <v>0.18801850000000001</v>
      </c>
      <c r="W1594">
        <v>-7.2409199999999896E-2</v>
      </c>
      <c r="X1594">
        <v>0.97949269999999999</v>
      </c>
      <c r="Y1594">
        <v>0.65462419999999899</v>
      </c>
      <c r="Z1594">
        <v>-1.2911189999999999E-2</v>
      </c>
      <c r="AA1594">
        <v>0.75584419999999897</v>
      </c>
      <c r="AB1594">
        <v>23</v>
      </c>
      <c r="AC1594">
        <v>21.744900000000001</v>
      </c>
      <c r="AD1594">
        <v>-1.11573455072199</v>
      </c>
      <c r="AE1594">
        <v>-29.199400000000001</v>
      </c>
      <c r="AF1594">
        <v>23.895633861270699</v>
      </c>
      <c r="AG1594">
        <v>-1.11573455072199</v>
      </c>
      <c r="AH1594">
        <v>27.4218543267474</v>
      </c>
      <c r="AI1594">
        <v>91.757009422275004</v>
      </c>
      <c r="AJ1594">
        <v>48.9308328568763</v>
      </c>
      <c r="AK1594">
        <v>36.389617694294898</v>
      </c>
      <c r="AL1594">
        <v>94.152375515114301</v>
      </c>
      <c r="AM1594">
        <v>79.133962520679702</v>
      </c>
      <c r="AN1594">
        <v>0.99999999897008995</v>
      </c>
    </row>
    <row r="1595" spans="1:40" x14ac:dyDescent="0.25">
      <c r="A1595" t="str">
        <f>"20190303153805966"</f>
        <v>20190303153805966</v>
      </c>
      <c r="B1595" t="str">
        <f>"1551598685960287"</f>
        <v>1551598685960287</v>
      </c>
      <c r="C1595" t="s">
        <v>40</v>
      </c>
      <c r="D1595">
        <v>4.7738399999999999</v>
      </c>
      <c r="E1595">
        <v>0.72117769999999903</v>
      </c>
      <c r="F1595" t="s">
        <v>42</v>
      </c>
      <c r="G1595">
        <v>-182.8477</v>
      </c>
      <c r="H1595" s="1">
        <v>-4.475094E-6</v>
      </c>
      <c r="I1595">
        <v>337.10700000000003</v>
      </c>
      <c r="J1595">
        <v>-204.15039999999999</v>
      </c>
      <c r="K1595">
        <v>1.115694</v>
      </c>
      <c r="L1595">
        <v>366.32229999999998</v>
      </c>
      <c r="M1595">
        <v>0.97592889999999999</v>
      </c>
      <c r="N1595">
        <v>-1.433923E-2</v>
      </c>
      <c r="O1595">
        <v>-0.21761739999999999</v>
      </c>
      <c r="P1595">
        <v>0.91140889999999997</v>
      </c>
      <c r="Q1595">
        <v>-8.3068169999999997E-2</v>
      </c>
      <c r="R1595">
        <v>-0.40303020000000001</v>
      </c>
      <c r="S1595">
        <v>2.0612029999999999</v>
      </c>
      <c r="T1595">
        <v>-0.10722139999999999</v>
      </c>
      <c r="U1595">
        <v>-2.8112180000000002</v>
      </c>
      <c r="V1595">
        <v>0.19407140000000001</v>
      </c>
      <c r="W1595">
        <v>-7.1643600000000002E-2</v>
      </c>
      <c r="X1595">
        <v>0.97836769999999995</v>
      </c>
      <c r="Y1595">
        <v>0.65799419999999897</v>
      </c>
      <c r="Z1595">
        <v>-1.295146E-2</v>
      </c>
      <c r="AA1595">
        <v>0.75291169999999996</v>
      </c>
      <c r="AB1595">
        <v>23</v>
      </c>
      <c r="AC1595">
        <v>21.302699999999898</v>
      </c>
      <c r="AD1595">
        <v>-1.115698475094</v>
      </c>
      <c r="AE1595">
        <v>-29.215299999999999</v>
      </c>
      <c r="AF1595">
        <v>23.855956002973901</v>
      </c>
      <c r="AG1595">
        <v>-1.115698475094</v>
      </c>
      <c r="AH1595">
        <v>27.1246406343537</v>
      </c>
      <c r="AI1595">
        <v>91.769093037005405</v>
      </c>
      <c r="AJ1595">
        <v>48.668568936574196</v>
      </c>
      <c r="AK1595">
        <v>36.1399716303982</v>
      </c>
      <c r="AL1595">
        <v>94.108395900398406</v>
      </c>
      <c r="AM1595">
        <v>78.780312719153599</v>
      </c>
      <c r="AN1595">
        <v>0.99999993506110196</v>
      </c>
    </row>
    <row r="1596" spans="1:40" x14ac:dyDescent="0.25">
      <c r="A1596" t="str">
        <f>"20190303153805979"</f>
        <v>20190303153805979</v>
      </c>
      <c r="B1596" t="str">
        <f>"1551598685970045"</f>
        <v>1551598685970045</v>
      </c>
      <c r="C1596" t="s">
        <v>40</v>
      </c>
      <c r="D1596">
        <v>4.7849139999999997</v>
      </c>
      <c r="E1596">
        <v>0.72047159999999999</v>
      </c>
      <c r="F1596" t="s">
        <v>42</v>
      </c>
      <c r="G1596">
        <v>-183.17840000000001</v>
      </c>
      <c r="H1596" s="1">
        <v>-4.438939E-6</v>
      </c>
      <c r="I1596">
        <v>337.15949999999998</v>
      </c>
      <c r="J1596">
        <v>-204.00970000000001</v>
      </c>
      <c r="K1596">
        <v>1.115645</v>
      </c>
      <c r="L1596">
        <v>366.28469999999999</v>
      </c>
      <c r="M1596">
        <v>0.97474519999999998</v>
      </c>
      <c r="N1596">
        <v>-1.4348609999999999E-2</v>
      </c>
      <c r="O1596">
        <v>-0.22285849999999999</v>
      </c>
      <c r="P1596">
        <v>0.90438280000000004</v>
      </c>
      <c r="Q1596">
        <v>-8.0537719999999993E-2</v>
      </c>
      <c r="R1596">
        <v>-0.41905340000000002</v>
      </c>
      <c r="S1596">
        <v>2.0321349999999998</v>
      </c>
      <c r="T1596">
        <v>-0.1081083</v>
      </c>
      <c r="U1596">
        <v>-2.825806</v>
      </c>
      <c r="V1596">
        <v>0.2060265</v>
      </c>
      <c r="W1596">
        <v>-6.932249E-2</v>
      </c>
      <c r="X1596">
        <v>0.97608790000000001</v>
      </c>
      <c r="Y1596">
        <v>0.66087189999999996</v>
      </c>
      <c r="Z1596">
        <v>-1.299081E-2</v>
      </c>
      <c r="AA1596">
        <v>0.75038629999999995</v>
      </c>
      <c r="AB1596">
        <v>23</v>
      </c>
      <c r="AC1596">
        <v>20.831299999999999</v>
      </c>
      <c r="AD1596">
        <v>-1.1156494389389999</v>
      </c>
      <c r="AE1596">
        <v>-29.1252</v>
      </c>
      <c r="AF1596">
        <v>23.726629738324402</v>
      </c>
      <c r="AG1596">
        <v>-1.1156494389389999</v>
      </c>
      <c r="AH1596">
        <v>26.772778127100501</v>
      </c>
      <c r="AI1596">
        <v>91.786280622712297</v>
      </c>
      <c r="AJ1596">
        <v>48.451926145290301</v>
      </c>
      <c r="AK1596">
        <v>35.790770892132201</v>
      </c>
      <c r="AL1596">
        <v>93.975073993933194</v>
      </c>
      <c r="AM1596">
        <v>78.081312652455495</v>
      </c>
      <c r="AN1596">
        <v>1.00000005742422</v>
      </c>
    </row>
    <row r="1597" spans="1:40" x14ac:dyDescent="0.25">
      <c r="A1597" t="str">
        <f>"20190303153805993"</f>
        <v>20190303153805993</v>
      </c>
      <c r="B1597" t="str">
        <f>"1551598685990409"</f>
        <v>1551598685990409</v>
      </c>
      <c r="C1597" t="s">
        <v>40</v>
      </c>
      <c r="D1597">
        <v>4.8039489999999896</v>
      </c>
      <c r="E1597">
        <v>0.71985980000000005</v>
      </c>
      <c r="F1597" t="s">
        <v>42</v>
      </c>
      <c r="G1597">
        <v>-182.9006</v>
      </c>
      <c r="H1597" s="1">
        <v>-4.0129379999999999E-6</v>
      </c>
      <c r="I1597">
        <v>335.88940000000002</v>
      </c>
      <c r="J1597">
        <v>-203.87729999999999</v>
      </c>
      <c r="K1597">
        <v>1.115585</v>
      </c>
      <c r="L1597">
        <v>366.24869999999999</v>
      </c>
      <c r="M1597">
        <v>0.97359240000000002</v>
      </c>
      <c r="N1597">
        <v>-1.435845E-2</v>
      </c>
      <c r="O1597">
        <v>-0.22784180000000001</v>
      </c>
      <c r="P1597">
        <v>0.89970509999999904</v>
      </c>
      <c r="Q1597">
        <v>-7.9125780000000007E-2</v>
      </c>
      <c r="R1597">
        <v>-0.42926690000000001</v>
      </c>
      <c r="S1597">
        <v>1.9840850000000001</v>
      </c>
      <c r="T1597">
        <v>-0.1048617</v>
      </c>
      <c r="U1597">
        <v>-2.856903</v>
      </c>
      <c r="V1597">
        <v>0.21205550000000001</v>
      </c>
      <c r="W1597">
        <v>-6.8029629999999994E-2</v>
      </c>
      <c r="X1597">
        <v>0.9748869</v>
      </c>
      <c r="Y1597">
        <v>0.66933379999999998</v>
      </c>
      <c r="Z1597">
        <v>-1.3047299999999901E-2</v>
      </c>
      <c r="AA1597">
        <v>0.74284729999999999</v>
      </c>
      <c r="AB1597">
        <v>23</v>
      </c>
      <c r="AC1597">
        <v>20.976699999999902</v>
      </c>
      <c r="AD1597">
        <v>-1.1155890129379999</v>
      </c>
      <c r="AE1597">
        <v>-30.359299999999902</v>
      </c>
      <c r="AF1597">
        <v>24.758138839709598</v>
      </c>
      <c r="AG1597">
        <v>-1.1155890129379999</v>
      </c>
      <c r="AH1597">
        <v>27.3177219233358</v>
      </c>
      <c r="AI1597">
        <v>91.733201062433494</v>
      </c>
      <c r="AJ1597">
        <v>47.813883063656398</v>
      </c>
      <c r="AK1597">
        <v>36.88452126208</v>
      </c>
      <c r="AL1597">
        <v>93.900823425436897</v>
      </c>
      <c r="AM1597">
        <v>77.728292028191106</v>
      </c>
      <c r="AN1597">
        <v>1.0000000167148899</v>
      </c>
    </row>
    <row r="1598" spans="1:40" x14ac:dyDescent="0.25">
      <c r="A1598" t="str">
        <f>"20190303153806005"</f>
        <v>20190303153806005</v>
      </c>
      <c r="B1598" t="str">
        <f>"1551598686000169"</f>
        <v>1551598686000169</v>
      </c>
      <c r="C1598" t="s">
        <v>40</v>
      </c>
      <c r="D1598">
        <v>4.8266429999999998</v>
      </c>
      <c r="E1598">
        <v>0.70729880000000001</v>
      </c>
      <c r="F1598" t="s">
        <v>42</v>
      </c>
      <c r="G1598">
        <v>-182.61519999999999</v>
      </c>
      <c r="H1598" s="1">
        <v>-3.7767109999999999E-6</v>
      </c>
      <c r="I1598">
        <v>334.97219999999999</v>
      </c>
      <c r="J1598">
        <v>-203.74930000000001</v>
      </c>
      <c r="K1598">
        <v>1.1155090000000001</v>
      </c>
      <c r="L1598">
        <v>366.2131</v>
      </c>
      <c r="M1598">
        <v>0.97243219999999997</v>
      </c>
      <c r="N1598">
        <v>-1.4369969999999999E-2</v>
      </c>
      <c r="O1598">
        <v>-0.23274339999999999</v>
      </c>
      <c r="P1598">
        <v>0.89479209999999998</v>
      </c>
      <c r="Q1598">
        <v>-7.7953400000000006E-2</v>
      </c>
      <c r="R1598">
        <v>-0.43962580000000001</v>
      </c>
      <c r="S1598">
        <v>1.95401</v>
      </c>
      <c r="T1598">
        <v>-0.102524</v>
      </c>
      <c r="U1598">
        <v>-2.8743590000000001</v>
      </c>
      <c r="V1598">
        <v>0.2183686</v>
      </c>
      <c r="W1598">
        <v>-6.6988770000000003E-2</v>
      </c>
      <c r="X1598">
        <v>0.9735644</v>
      </c>
      <c r="Y1598">
        <v>0.67300119999999997</v>
      </c>
      <c r="Z1598">
        <v>-1.2986859999999999E-2</v>
      </c>
      <c r="AA1598">
        <v>0.7395273</v>
      </c>
      <c r="AB1598">
        <v>23</v>
      </c>
      <c r="AC1598">
        <v>21.1341</v>
      </c>
      <c r="AD1598">
        <v>-1.115512776711</v>
      </c>
      <c r="AE1598">
        <v>-31.2409</v>
      </c>
      <c r="AF1598">
        <v>25.441206203039901</v>
      </c>
      <c r="AG1598">
        <v>-1.115512776711</v>
      </c>
      <c r="AH1598">
        <v>27.801143259608899</v>
      </c>
      <c r="AI1598">
        <v>91.695516299257605</v>
      </c>
      <c r="AJ1598">
        <v>47.537941862619398</v>
      </c>
      <c r="AK1598">
        <v>37.701497428642099</v>
      </c>
      <c r="AL1598">
        <v>93.841050274488595</v>
      </c>
      <c r="AM1598">
        <v>77.357902866806</v>
      </c>
      <c r="AN1598">
        <v>0.99999999085971603</v>
      </c>
    </row>
    <row r="1599" spans="1:40" x14ac:dyDescent="0.25">
      <c r="A1599" t="str">
        <f>"20190303153806018"</f>
        <v>20190303153806018</v>
      </c>
      <c r="B1599" t="str">
        <f>"1551598686009929"</f>
        <v>1551598686009929</v>
      </c>
      <c r="C1599" t="s">
        <v>40</v>
      </c>
      <c r="D1599">
        <v>4.7886959999999998</v>
      </c>
      <c r="E1599">
        <v>0.70592339999999998</v>
      </c>
      <c r="F1599" t="s">
        <v>42</v>
      </c>
      <c r="G1599">
        <v>-187.119</v>
      </c>
      <c r="H1599" s="1">
        <v>-1.716585E-6</v>
      </c>
      <c r="I1599">
        <v>342.43979999999999</v>
      </c>
      <c r="J1599">
        <v>-203.61170000000001</v>
      </c>
      <c r="K1599">
        <v>1.115421</v>
      </c>
      <c r="L1599">
        <v>366.1739</v>
      </c>
      <c r="M1599">
        <v>0.97112980000000004</v>
      </c>
      <c r="N1599">
        <v>-1.438471E-2</v>
      </c>
      <c r="O1599">
        <v>-0.23811779999999999</v>
      </c>
      <c r="P1599">
        <v>0.88950379999999996</v>
      </c>
      <c r="Q1599">
        <v>-7.7300880000000002E-2</v>
      </c>
      <c r="R1599">
        <v>-0.45034170000000001</v>
      </c>
      <c r="S1599">
        <v>1.962753</v>
      </c>
      <c r="T1599">
        <v>-0.131655299999999</v>
      </c>
      <c r="U1599">
        <v>-2.8057859999999999</v>
      </c>
      <c r="V1599">
        <v>0.2246475</v>
      </c>
      <c r="W1599">
        <v>-6.6476869999999993E-2</v>
      </c>
      <c r="X1599">
        <v>0.97216990000000003</v>
      </c>
      <c r="Y1599">
        <v>0.65873179999999998</v>
      </c>
      <c r="Z1599">
        <v>-1.356253E-2</v>
      </c>
      <c r="AA1599">
        <v>0.75225559999999903</v>
      </c>
      <c r="AB1599">
        <v>23</v>
      </c>
      <c r="AC1599">
        <v>16.4926999999999</v>
      </c>
      <c r="AD1599">
        <v>-1.1154227165849999</v>
      </c>
      <c r="AE1599">
        <v>-23.734100000000002</v>
      </c>
      <c r="AF1599">
        <v>19.0952225694151</v>
      </c>
      <c r="AG1599">
        <v>-1.1154227165849999</v>
      </c>
      <c r="AH1599">
        <v>21.638076250736699</v>
      </c>
      <c r="AI1599">
        <v>92.213435160595694</v>
      </c>
      <c r="AJ1599">
        <v>48.572162484519701</v>
      </c>
      <c r="AK1599">
        <v>28.880409218791701</v>
      </c>
      <c r="AL1599">
        <v>93.811655026954099</v>
      </c>
      <c r="AM1599">
        <v>76.988563954952497</v>
      </c>
      <c r="AN1599">
        <v>0.99999999398362804</v>
      </c>
    </row>
    <row r="1600" spans="1:40" x14ac:dyDescent="0.25">
      <c r="A1600" t="str">
        <f>"20190303153806031"</f>
        <v>20190303153806031</v>
      </c>
      <c r="B1600" t="str">
        <f>"1551598686020665"</f>
        <v>1551598686020665</v>
      </c>
      <c r="C1600" t="s">
        <v>40</v>
      </c>
      <c r="D1600">
        <v>4.7730059999999996</v>
      </c>
      <c r="E1600">
        <v>0.70543610000000001</v>
      </c>
      <c r="F1600" t="s">
        <v>42</v>
      </c>
      <c r="G1600">
        <v>-186.17789999999999</v>
      </c>
      <c r="H1600" s="1">
        <v>-1.397624E-6</v>
      </c>
      <c r="I1600">
        <v>340.76670000000001</v>
      </c>
      <c r="J1600">
        <v>-203.48230000000001</v>
      </c>
      <c r="K1600">
        <v>1.115327</v>
      </c>
      <c r="L1600">
        <v>366.13639999999998</v>
      </c>
      <c r="M1600">
        <v>0.96985840000000001</v>
      </c>
      <c r="N1600">
        <v>-1.4399800000000001E-2</v>
      </c>
      <c r="O1600">
        <v>-0.24324319999999999</v>
      </c>
      <c r="P1600">
        <v>0.88411669999999998</v>
      </c>
      <c r="Q1600">
        <v>-7.7314560000000004E-2</v>
      </c>
      <c r="R1600">
        <v>-0.4608256</v>
      </c>
      <c r="S1600">
        <v>1.9345399999999999</v>
      </c>
      <c r="T1600">
        <v>-0.1237726</v>
      </c>
      <c r="U1600">
        <v>-2.8193049999999999</v>
      </c>
      <c r="V1600">
        <v>0.2309793</v>
      </c>
      <c r="W1600">
        <v>-6.663761E-2</v>
      </c>
      <c r="X1600">
        <v>0.97067400000000004</v>
      </c>
      <c r="Y1600">
        <v>0.66159349999999995</v>
      </c>
      <c r="Z1600">
        <v>-1.3256769999999999E-2</v>
      </c>
      <c r="AA1600">
        <v>0.74974549999999995</v>
      </c>
      <c r="AB1600">
        <v>23</v>
      </c>
      <c r="AC1600">
        <v>17.304400000000001</v>
      </c>
      <c r="AD1600">
        <v>-1.115328397624</v>
      </c>
      <c r="AE1600">
        <v>-25.369699999999899</v>
      </c>
      <c r="AF1600">
        <v>20.3710840282743</v>
      </c>
      <c r="AG1600">
        <v>-1.115328397624</v>
      </c>
      <c r="AH1600">
        <v>22.925965018122501</v>
      </c>
      <c r="AI1600">
        <v>92.082744318287794</v>
      </c>
      <c r="AJ1600">
        <v>48.377004988326902</v>
      </c>
      <c r="AK1600">
        <v>30.689165741898801</v>
      </c>
      <c r="AL1600">
        <v>93.820885151741095</v>
      </c>
      <c r="AM1600">
        <v>76.614962996289407</v>
      </c>
      <c r="AN1600">
        <v>1.0000000111855001</v>
      </c>
    </row>
    <row r="1601" spans="1:40" x14ac:dyDescent="0.25">
      <c r="A1601" t="str">
        <f>"20190303153806042"</f>
        <v>20190303153806042</v>
      </c>
      <c r="B1601" t="str">
        <f>"1551598686030426"</f>
        <v>1551598686030426</v>
      </c>
      <c r="C1601" t="s">
        <v>40</v>
      </c>
      <c r="D1601">
        <v>4.7893290000000004</v>
      </c>
      <c r="E1601">
        <v>0.70472129999999999</v>
      </c>
      <c r="F1601" t="s">
        <v>42</v>
      </c>
      <c r="G1601">
        <v>-185.5891</v>
      </c>
      <c r="H1601" s="1">
        <v>-4.9940529999999999E-6</v>
      </c>
      <c r="I1601">
        <v>339.4502</v>
      </c>
      <c r="J1601">
        <v>-203.36859999999999</v>
      </c>
      <c r="K1601">
        <v>1.1152299999999999</v>
      </c>
      <c r="L1601">
        <v>366.10239999999999</v>
      </c>
      <c r="M1601">
        <v>0.96868650000000001</v>
      </c>
      <c r="N1601">
        <v>-1.441599E-2</v>
      </c>
      <c r="O1601">
        <v>-0.24786839999999999</v>
      </c>
      <c r="P1601">
        <v>0.87894450000000002</v>
      </c>
      <c r="Q1601">
        <v>-7.776226E-2</v>
      </c>
      <c r="R1601">
        <v>-0.47054230000000002</v>
      </c>
      <c r="S1601">
        <v>1.9032899999999999</v>
      </c>
      <c r="T1601">
        <v>-0.1186373</v>
      </c>
      <c r="U1601">
        <v>-2.8385929999999999</v>
      </c>
      <c r="V1601">
        <v>0.2370225</v>
      </c>
      <c r="W1601">
        <v>-6.7231920000000001E-2</v>
      </c>
      <c r="X1601">
        <v>0.96917500000000001</v>
      </c>
      <c r="Y1601">
        <v>0.66607799999999995</v>
      </c>
      <c r="Z1601">
        <v>-1.31308E-2</v>
      </c>
      <c r="AA1601">
        <v>0.7457665</v>
      </c>
      <c r="AB1601">
        <v>23</v>
      </c>
      <c r="AC1601">
        <v>17.779499999999899</v>
      </c>
      <c r="AD1601">
        <v>-1.115234994053</v>
      </c>
      <c r="AE1601">
        <v>-26.652200000000001</v>
      </c>
      <c r="AF1601">
        <v>21.386959623332199</v>
      </c>
      <c r="AG1601">
        <v>-1.115234994053</v>
      </c>
      <c r="AH1601">
        <v>23.802633443213502</v>
      </c>
      <c r="AI1601">
        <v>91.996044462837204</v>
      </c>
      <c r="AJ1601">
        <v>48.059914753069201</v>
      </c>
      <c r="AK1601">
        <v>32.0189186240571</v>
      </c>
      <c r="AL1601">
        <v>93.855013230802001</v>
      </c>
      <c r="AM1601">
        <v>76.257425084586501</v>
      </c>
      <c r="AN1601">
        <v>0.99999998859906802</v>
      </c>
    </row>
    <row r="1602" spans="1:40" x14ac:dyDescent="0.25">
      <c r="A1602" t="str">
        <f>"20190303153806057"</f>
        <v>20190303153806057</v>
      </c>
      <c r="B1602" t="str">
        <f>"1551598686049945"</f>
        <v>1551598686049945</v>
      </c>
      <c r="C1602" t="s">
        <v>40</v>
      </c>
      <c r="D1602">
        <v>4.7861159999999998</v>
      </c>
      <c r="E1602">
        <v>0.70364119999999997</v>
      </c>
      <c r="F1602" t="s">
        <v>42</v>
      </c>
      <c r="G1602">
        <v>-185.86</v>
      </c>
      <c r="H1602" s="1">
        <v>-4.9420399999999997E-6</v>
      </c>
      <c r="I1602">
        <v>339.44099999999997</v>
      </c>
      <c r="J1602">
        <v>-203.22059999999999</v>
      </c>
      <c r="K1602">
        <v>1.1150799999999901</v>
      </c>
      <c r="L1602">
        <v>366.0573</v>
      </c>
      <c r="M1602">
        <v>0.96709489999999998</v>
      </c>
      <c r="N1602">
        <v>-1.443938E-2</v>
      </c>
      <c r="O1602">
        <v>-0.2540058</v>
      </c>
      <c r="P1602">
        <v>0.87035379999999996</v>
      </c>
      <c r="Q1602">
        <v>-7.9283950000000006E-2</v>
      </c>
      <c r="R1602">
        <v>-0.4860024</v>
      </c>
      <c r="S1602">
        <v>1.874512</v>
      </c>
      <c r="T1602">
        <v>-0.11939950000000001</v>
      </c>
      <c r="U1602">
        <v>-2.8544309999999999</v>
      </c>
      <c r="V1602">
        <v>0.24796860000000001</v>
      </c>
      <c r="W1602">
        <v>-6.9010669999999996E-2</v>
      </c>
      <c r="X1602">
        <v>0.96630689999999997</v>
      </c>
      <c r="Y1602">
        <v>0.668485</v>
      </c>
      <c r="Z1602">
        <v>-1.3108369999999999E-2</v>
      </c>
      <c r="AA1602">
        <v>0.74361009999999905</v>
      </c>
      <c r="AB1602">
        <v>23</v>
      </c>
      <c r="AC1602">
        <v>17.360599999999899</v>
      </c>
      <c r="AD1602">
        <v>-1.11508494203999</v>
      </c>
      <c r="AE1602">
        <v>-26.616299999999999</v>
      </c>
      <c r="AF1602">
        <v>21.3067834787376</v>
      </c>
      <c r="AG1602">
        <v>-1.11508494203999</v>
      </c>
      <c r="AH1602">
        <v>23.5235327406082</v>
      </c>
      <c r="AI1602">
        <v>92.012171033714296</v>
      </c>
      <c r="AJ1602">
        <v>47.830830189059398</v>
      </c>
      <c r="AK1602">
        <v>31.7581332769456</v>
      </c>
      <c r="AL1602">
        <v>93.957165513353004</v>
      </c>
      <c r="AM1602">
        <v>75.607612330650795</v>
      </c>
      <c r="AN1602">
        <v>0.999999962073708</v>
      </c>
    </row>
    <row r="1603" spans="1:40" x14ac:dyDescent="0.25">
      <c r="A1603" t="str">
        <f>"20190303153806068"</f>
        <v>20190303153806068</v>
      </c>
      <c r="B1603" t="str">
        <f>"1551598686060681"</f>
        <v>1551598686060681</v>
      </c>
      <c r="C1603" t="s">
        <v>40</v>
      </c>
      <c r="D1603">
        <v>4.7639449999999997</v>
      </c>
      <c r="E1603">
        <v>0.69265399999999999</v>
      </c>
      <c r="F1603" t="s">
        <v>42</v>
      </c>
      <c r="G1603">
        <v>-187.2773</v>
      </c>
      <c r="H1603" s="1">
        <v>-1.161661E-6</v>
      </c>
      <c r="I1603">
        <v>340.93279999999999</v>
      </c>
      <c r="J1603">
        <v>-203.1061</v>
      </c>
      <c r="K1603">
        <v>1.114967</v>
      </c>
      <c r="L1603">
        <v>366.02190000000002</v>
      </c>
      <c r="M1603">
        <v>0.96581700000000004</v>
      </c>
      <c r="N1603">
        <v>-1.4458479999999999E-2</v>
      </c>
      <c r="O1603">
        <v>-0.25882179999999999</v>
      </c>
      <c r="P1603">
        <v>0.86522790000000005</v>
      </c>
      <c r="Q1603">
        <v>-8.0246499999999998E-2</v>
      </c>
      <c r="R1603">
        <v>-0.49491570000000001</v>
      </c>
      <c r="S1603">
        <v>1.8273010000000001</v>
      </c>
      <c r="T1603">
        <v>-0.12780239999999901</v>
      </c>
      <c r="U1603">
        <v>-2.879578</v>
      </c>
      <c r="V1603">
        <v>0.25305860000000002</v>
      </c>
      <c r="W1603">
        <v>-7.0116620000000004E-2</v>
      </c>
      <c r="X1603">
        <v>0.96490679999999995</v>
      </c>
      <c r="Y1603">
        <v>0.67629130000000004</v>
      </c>
      <c r="Z1603">
        <v>-1.358148E-2</v>
      </c>
      <c r="AA1603">
        <v>0.73650909999999903</v>
      </c>
      <c r="AB1603">
        <v>23</v>
      </c>
      <c r="AC1603">
        <v>15.828799999999999</v>
      </c>
      <c r="AD1603">
        <v>-1.1149681616609901</v>
      </c>
      <c r="AE1603">
        <v>-25.089099999999998</v>
      </c>
      <c r="AF1603">
        <v>20.108337057967901</v>
      </c>
      <c r="AG1603">
        <v>-1.1149681616609901</v>
      </c>
      <c r="AH1603">
        <v>21.752875201663699</v>
      </c>
      <c r="AI1603">
        <v>92.155502172179695</v>
      </c>
      <c r="AJ1603">
        <v>47.249735747020402</v>
      </c>
      <c r="AK1603">
        <v>29.644155457316</v>
      </c>
      <c r="AL1603">
        <v>94.020685252264997</v>
      </c>
      <c r="AM1603">
        <v>75.304442357355597</v>
      </c>
      <c r="AN1603">
        <v>1.00000006406021</v>
      </c>
    </row>
    <row r="1604" spans="1:40" x14ac:dyDescent="0.25">
      <c r="A1604" t="str">
        <f>"20190303153806080"</f>
        <v>20190303153806080</v>
      </c>
      <c r="B1604" t="str">
        <f>"1551598686070441"</f>
        <v>1551598686070441</v>
      </c>
      <c r="C1604" t="s">
        <v>40</v>
      </c>
      <c r="D1604">
        <v>4.788608</v>
      </c>
      <c r="E1604">
        <v>0.690949699999999</v>
      </c>
      <c r="F1604" t="s">
        <v>42</v>
      </c>
      <c r="G1604">
        <v>-190.58150000000001</v>
      </c>
      <c r="H1604" s="1">
        <v>-3.2495110000000001E-6</v>
      </c>
      <c r="I1604">
        <v>346.8032</v>
      </c>
      <c r="J1604">
        <v>-202.9957</v>
      </c>
      <c r="K1604">
        <v>1.114851</v>
      </c>
      <c r="L1604">
        <v>365.98649999999998</v>
      </c>
      <c r="M1604">
        <v>0.96451439999999999</v>
      </c>
      <c r="N1604">
        <v>-1.448083E-2</v>
      </c>
      <c r="O1604">
        <v>-0.26363320000000001</v>
      </c>
      <c r="P1604">
        <v>0.86033419999999905</v>
      </c>
      <c r="Q1604">
        <v>-8.1112219999999999E-2</v>
      </c>
      <c r="R1604">
        <v>-0.50323569999999995</v>
      </c>
      <c r="S1604">
        <v>1.838455</v>
      </c>
      <c r="T1604">
        <v>-0.16366429999999901</v>
      </c>
      <c r="U1604">
        <v>-2.821075</v>
      </c>
      <c r="V1604">
        <v>0.25753320000000002</v>
      </c>
      <c r="W1604">
        <v>-7.1118299999999995E-2</v>
      </c>
      <c r="X1604">
        <v>0.96364870000000002</v>
      </c>
      <c r="Y1604">
        <v>0.66336119999999898</v>
      </c>
      <c r="Z1604">
        <v>-1.409755E-2</v>
      </c>
      <c r="AA1604">
        <v>0.74816660000000001</v>
      </c>
      <c r="AB1604">
        <v>23</v>
      </c>
      <c r="AC1604">
        <v>12.4141999999999</v>
      </c>
      <c r="AD1604">
        <v>-1.1148542495110001</v>
      </c>
      <c r="AE1604">
        <v>-19.1832999999999</v>
      </c>
      <c r="AF1604">
        <v>15.1951968780989</v>
      </c>
      <c r="AG1604">
        <v>-1.1148542495110001</v>
      </c>
      <c r="AH1604">
        <v>16.992363006660799</v>
      </c>
      <c r="AI1604">
        <v>92.799921623722398</v>
      </c>
      <c r="AJ1604">
        <v>48.195744964781397</v>
      </c>
      <c r="AK1604">
        <v>22.822736661320299</v>
      </c>
      <c r="AL1604">
        <v>94.078221232112099</v>
      </c>
      <c r="AM1604">
        <v>75.037490016080795</v>
      </c>
      <c r="AN1604">
        <v>0.99999998935440904</v>
      </c>
    </row>
    <row r="1605" spans="1:40" x14ac:dyDescent="0.25">
      <c r="A1605" t="str">
        <f>"20190303153806091"</f>
        <v>20190303153806091</v>
      </c>
      <c r="B1605" t="str">
        <f>"1551598686080202"</f>
        <v>1551598686080202</v>
      </c>
      <c r="C1605" t="s">
        <v>40</v>
      </c>
      <c r="D1605">
        <v>4.770149</v>
      </c>
      <c r="E1605">
        <v>0.68990450000000003</v>
      </c>
      <c r="F1605" t="s">
        <v>42</v>
      </c>
      <c r="G1605">
        <v>-191.30170000000001</v>
      </c>
      <c r="H1605" s="1">
        <v>-3.8692579999999996E-6</v>
      </c>
      <c r="I1605">
        <v>347.80110000000002</v>
      </c>
      <c r="J1605">
        <v>-202.87690000000001</v>
      </c>
      <c r="K1605">
        <v>1.114724</v>
      </c>
      <c r="L1605">
        <v>365.94810000000001</v>
      </c>
      <c r="M1605">
        <v>0.96307089999999995</v>
      </c>
      <c r="N1605">
        <v>-1.4504899999999999E-2</v>
      </c>
      <c r="O1605">
        <v>-0.26885720000000002</v>
      </c>
      <c r="P1605">
        <v>0.85519559999999994</v>
      </c>
      <c r="Q1605">
        <v>-8.0881170000000002E-2</v>
      </c>
      <c r="R1605">
        <v>-0.51195599999999997</v>
      </c>
      <c r="S1605">
        <v>1.8174589999999999</v>
      </c>
      <c r="T1605">
        <v>-0.17326949999999999</v>
      </c>
      <c r="U1605">
        <v>-2.826355</v>
      </c>
      <c r="V1605">
        <v>0.26207409999999998</v>
      </c>
      <c r="W1605">
        <v>-7.1031979999999995E-2</v>
      </c>
      <c r="X1605">
        <v>0.96243009999999996</v>
      </c>
      <c r="Y1605">
        <v>0.66378919999999997</v>
      </c>
      <c r="Z1605">
        <v>-1.420681E-2</v>
      </c>
      <c r="AA1605">
        <v>0.74778480000000003</v>
      </c>
      <c r="AB1605">
        <v>23</v>
      </c>
      <c r="AC1605">
        <v>11.575199999999899</v>
      </c>
      <c r="AD1605">
        <v>-1.114727869258</v>
      </c>
      <c r="AE1605">
        <v>-18.146999999999899</v>
      </c>
      <c r="AF1605">
        <v>14.3278532089927</v>
      </c>
      <c r="AG1605">
        <v>-1.114727869258</v>
      </c>
      <c r="AH1605">
        <v>15.985500082694401</v>
      </c>
      <c r="AI1605">
        <v>92.972584674822997</v>
      </c>
      <c r="AJ1605">
        <v>48.130028835768996</v>
      </c>
      <c r="AK1605">
        <v>21.495725358655999</v>
      </c>
      <c r="AL1605">
        <v>94.073262727324902</v>
      </c>
      <c r="AM1605">
        <v>74.767426897036103</v>
      </c>
      <c r="AN1605">
        <v>1.0000000367297599</v>
      </c>
    </row>
    <row r="1606" spans="1:40" x14ac:dyDescent="0.25">
      <c r="A1606" t="str">
        <f>"20190303153806103"</f>
        <v>20190303153806103</v>
      </c>
      <c r="B1606" t="str">
        <f>"1551598686100736"</f>
        <v>1551598686100736</v>
      </c>
      <c r="C1606" t="s">
        <v>40</v>
      </c>
      <c r="D1606">
        <v>4.6212600000000004</v>
      </c>
      <c r="E1606">
        <v>0.68880240000000004</v>
      </c>
      <c r="F1606" t="s">
        <v>42</v>
      </c>
      <c r="G1606">
        <v>-191.18129999999999</v>
      </c>
      <c r="H1606" s="1">
        <v>-3.6822300000000001E-6</v>
      </c>
      <c r="I1606">
        <v>347.43979999999999</v>
      </c>
      <c r="J1606">
        <v>-202.75970000000001</v>
      </c>
      <c r="K1606">
        <v>1.1145879999999999</v>
      </c>
      <c r="L1606">
        <v>365.90910000000002</v>
      </c>
      <c r="M1606">
        <v>0.96157119999999996</v>
      </c>
      <c r="N1606">
        <v>-1.4531850000000001E-2</v>
      </c>
      <c r="O1606">
        <v>-0.27417079999999999</v>
      </c>
      <c r="P1606">
        <v>0.8498848</v>
      </c>
      <c r="Q1606">
        <v>-8.0411930000000006E-2</v>
      </c>
      <c r="R1606">
        <v>-0.52079750000000002</v>
      </c>
      <c r="S1606">
        <v>1.7931060000000001</v>
      </c>
      <c r="T1606">
        <v>-0.170904</v>
      </c>
      <c r="U1606">
        <v>-2.8375849999999998</v>
      </c>
      <c r="V1606">
        <v>0.26670440000000001</v>
      </c>
      <c r="W1606">
        <v>-7.0714819999999998E-2</v>
      </c>
      <c r="X1606">
        <v>0.96118060000000005</v>
      </c>
      <c r="Y1606">
        <v>0.66559209999999902</v>
      </c>
      <c r="Z1606">
        <v>-1.4017389999999999E-2</v>
      </c>
      <c r="AA1606">
        <v>0.74618409999999902</v>
      </c>
      <c r="AB1606">
        <v>23</v>
      </c>
      <c r="AC1606">
        <v>11.5784</v>
      </c>
      <c r="AD1606">
        <v>-1.1145916822299999</v>
      </c>
      <c r="AE1606">
        <v>-18.4693</v>
      </c>
      <c r="AF1606">
        <v>14.548591790172001</v>
      </c>
      <c r="AG1606">
        <v>-1.1145916822299999</v>
      </c>
      <c r="AH1606">
        <v>16.1566688011393</v>
      </c>
      <c r="AI1606">
        <v>92.9347144111006</v>
      </c>
      <c r="AJ1606">
        <v>47.997920444642197</v>
      </c>
      <c r="AK1606">
        <v>21.770204051521102</v>
      </c>
      <c r="AL1606">
        <v>94.055045199712495</v>
      </c>
      <c r="AM1606">
        <v>74.491950464707699</v>
      </c>
      <c r="AN1606">
        <v>0.99999998428167602</v>
      </c>
    </row>
    <row r="1607" spans="1:40" x14ac:dyDescent="0.25">
      <c r="A1607" t="str">
        <f>"20190303153806114"</f>
        <v>20190303153806114</v>
      </c>
      <c r="B1607" t="str">
        <f>"1551598686110496"</f>
        <v>1551598686110496</v>
      </c>
      <c r="C1607" t="s">
        <v>40</v>
      </c>
      <c r="D1607">
        <v>4.6140800000000004</v>
      </c>
      <c r="E1607">
        <v>0.69136980000000003</v>
      </c>
      <c r="F1607" t="s">
        <v>42</v>
      </c>
      <c r="G1607">
        <v>-191.10040000000001</v>
      </c>
      <c r="H1607" s="1">
        <v>-3.5251540000000001E-6</v>
      </c>
      <c r="I1607">
        <v>347.12380000000002</v>
      </c>
      <c r="J1607">
        <v>-202.65539999999999</v>
      </c>
      <c r="K1607">
        <v>1.114471</v>
      </c>
      <c r="L1607">
        <v>365.87389999999999</v>
      </c>
      <c r="M1607">
        <v>0.96018709999999996</v>
      </c>
      <c r="N1607">
        <v>-1.4556990000000001E-2</v>
      </c>
      <c r="O1607">
        <v>-0.27897850000000002</v>
      </c>
      <c r="P1607">
        <v>0.84487570000000001</v>
      </c>
      <c r="Q1607">
        <v>-7.9785289999999995E-2</v>
      </c>
      <c r="R1607">
        <v>-0.52897969999999905</v>
      </c>
      <c r="S1607">
        <v>1.7681579999999999</v>
      </c>
      <c r="T1607">
        <v>-0.16903080000000001</v>
      </c>
      <c r="U1607">
        <v>-2.848846</v>
      </c>
      <c r="V1607">
        <v>0.27114100000000002</v>
      </c>
      <c r="W1607">
        <v>-7.0232249999999996E-2</v>
      </c>
      <c r="X1607">
        <v>0.95997390000000005</v>
      </c>
      <c r="Y1607">
        <v>0.66789940000000003</v>
      </c>
      <c r="Z1607">
        <v>-1.389115E-2</v>
      </c>
      <c r="AA1607">
        <v>0.74412199999999995</v>
      </c>
      <c r="AB1607">
        <v>23</v>
      </c>
      <c r="AC1607">
        <v>11.5549999999999</v>
      </c>
      <c r="AD1607">
        <v>-1.114474525154</v>
      </c>
      <c r="AE1607">
        <v>-18.7500999999999</v>
      </c>
      <c r="AF1607">
        <v>14.7438210993034</v>
      </c>
      <c r="AG1607">
        <v>-1.114474525154</v>
      </c>
      <c r="AH1607">
        <v>16.285865521849502</v>
      </c>
      <c r="AI1607">
        <v>92.904173851525996</v>
      </c>
      <c r="AJ1607">
        <v>47.8450178029725</v>
      </c>
      <c r="AK1607">
        <v>21.99662996623</v>
      </c>
      <c r="AL1607">
        <v>94.0273271969603</v>
      </c>
      <c r="AM1607">
        <v>74.227867678557004</v>
      </c>
      <c r="AN1607">
        <v>0.99999994975113504</v>
      </c>
    </row>
    <row r="1608" spans="1:40" x14ac:dyDescent="0.25">
      <c r="A1608" t="str">
        <f>"20190303153806126"</f>
        <v>20190303153806126</v>
      </c>
      <c r="B1608" t="str">
        <f>"1551598686120256"</f>
        <v>1551598686120256</v>
      </c>
      <c r="C1608" t="s">
        <v>40</v>
      </c>
      <c r="D1608">
        <v>4.6608320000000001</v>
      </c>
      <c r="E1608">
        <v>0.68991239999999998</v>
      </c>
      <c r="F1608" t="s">
        <v>43</v>
      </c>
      <c r="G1608">
        <v>-163.4469</v>
      </c>
      <c r="H1608">
        <v>-0.05</v>
      </c>
      <c r="I1608">
        <v>300.75790000000001</v>
      </c>
      <c r="J1608">
        <v>-202.53229999999999</v>
      </c>
      <c r="K1608">
        <v>1.1143320000000001</v>
      </c>
      <c r="L1608">
        <v>365.83139999999997</v>
      </c>
      <c r="M1608">
        <v>0.95848580000000005</v>
      </c>
      <c r="N1608">
        <v>-1.4588490000000001E-2</v>
      </c>
      <c r="O1608">
        <v>-0.28476699999999999</v>
      </c>
      <c r="P1608">
        <v>0.83935179999999998</v>
      </c>
      <c r="Q1608">
        <v>-7.9134899999999994E-2</v>
      </c>
      <c r="R1608">
        <v>-0.53779829999999995</v>
      </c>
      <c r="S1608">
        <v>1.7383729999999999</v>
      </c>
      <c r="T1608">
        <v>-5.1628710000000001E-2</v>
      </c>
      <c r="U1608">
        <v>-2.8870239999999998</v>
      </c>
      <c r="V1608">
        <v>0.275362099999999</v>
      </c>
      <c r="W1608">
        <v>-6.9734009999999999E-2</v>
      </c>
      <c r="X1608">
        <v>0.95880810000000005</v>
      </c>
      <c r="Y1608">
        <v>0.67411460000000001</v>
      </c>
      <c r="Z1608">
        <v>-1.0909790000000001E-2</v>
      </c>
      <c r="AA1608">
        <v>0.73854619999999904</v>
      </c>
      <c r="AB1608">
        <v>23</v>
      </c>
      <c r="AC1608">
        <v>39.0853999999999</v>
      </c>
      <c r="AD1608">
        <v>-1.1643319999999999</v>
      </c>
      <c r="AE1608">
        <v>-65.073499999999896</v>
      </c>
      <c r="AF1608">
        <v>51.2351907192132</v>
      </c>
      <c r="AG1608">
        <v>-1.1643319999999999</v>
      </c>
      <c r="AH1608">
        <v>55.9863710727941</v>
      </c>
      <c r="AI1608">
        <v>90.878966464406901</v>
      </c>
      <c r="AJ1608">
        <v>47.537219325347401</v>
      </c>
      <c r="AK1608">
        <v>75.900422811345194</v>
      </c>
      <c r="AL1608">
        <v>93.998709598350203</v>
      </c>
      <c r="AM1608">
        <v>73.976353199875405</v>
      </c>
      <c r="AN1608">
        <v>1.00000004544634</v>
      </c>
    </row>
    <row r="1609" spans="1:40" x14ac:dyDescent="0.25">
      <c r="A1609" t="str">
        <f>"20190303153806140"</f>
        <v>20190303153806140</v>
      </c>
      <c r="B1609" t="str">
        <f>"1551598686130016"</f>
        <v>1551598686130016</v>
      </c>
      <c r="C1609" t="s">
        <v>40</v>
      </c>
      <c r="D1609">
        <v>4.7714299999999996</v>
      </c>
      <c r="E1609">
        <v>0.68644729999999998</v>
      </c>
      <c r="F1609" t="s">
        <v>43</v>
      </c>
      <c r="G1609">
        <v>-165.51740000000001</v>
      </c>
      <c r="H1609">
        <v>-0.05</v>
      </c>
      <c r="I1609">
        <v>303.32389999999998</v>
      </c>
      <c r="J1609">
        <v>-202.4023</v>
      </c>
      <c r="K1609">
        <v>1.114187</v>
      </c>
      <c r="L1609">
        <v>365.78519999999997</v>
      </c>
      <c r="M1609">
        <v>0.9565941</v>
      </c>
      <c r="N1609">
        <v>-1.462435E-2</v>
      </c>
      <c r="O1609">
        <v>-0.29105639999999999</v>
      </c>
      <c r="P1609">
        <v>0.83343799999999901</v>
      </c>
      <c r="Q1609">
        <v>-7.8345490000000004E-2</v>
      </c>
      <c r="R1609">
        <v>-0.54703119999999905</v>
      </c>
      <c r="S1609">
        <v>1.714264</v>
      </c>
      <c r="T1609">
        <v>-5.3923489999999998E-2</v>
      </c>
      <c r="U1609">
        <v>-2.8948969999999998</v>
      </c>
      <c r="V1609">
        <v>0.2796072</v>
      </c>
      <c r="W1609">
        <v>-6.9101850000000006E-2</v>
      </c>
      <c r="X1609">
        <v>0.95762460000000005</v>
      </c>
      <c r="Y1609">
        <v>0.67467829999999995</v>
      </c>
      <c r="Z1609">
        <v>-1.097648E-2</v>
      </c>
      <c r="AA1609">
        <v>0.73803030000000003</v>
      </c>
      <c r="AB1609">
        <v>23</v>
      </c>
      <c r="AC1609">
        <v>36.884899999999902</v>
      </c>
      <c r="AD1609">
        <v>-1.1641870000000001</v>
      </c>
      <c r="AE1609">
        <v>-62.461300000000001</v>
      </c>
      <c r="AF1609">
        <v>49.007144822964598</v>
      </c>
      <c r="AG1609">
        <v>-1.1641870000000001</v>
      </c>
      <c r="AH1609">
        <v>53.455588914481098</v>
      </c>
      <c r="AI1609">
        <v>90.919704311079101</v>
      </c>
      <c r="AJ1609">
        <v>47.485948847884202</v>
      </c>
      <c r="AK1609">
        <v>72.529687447720306</v>
      </c>
      <c r="AL1609">
        <v>93.962401842503496</v>
      </c>
      <c r="AM1609">
        <v>73.7232531908395</v>
      </c>
      <c r="AN1609">
        <v>1.0000000632452</v>
      </c>
    </row>
    <row r="1610" spans="1:40" x14ac:dyDescent="0.25">
      <c r="A1610" t="str">
        <f>"20190303153806154"</f>
        <v>20190303153806154</v>
      </c>
      <c r="B1610" t="str">
        <f>"1551598686150512"</f>
        <v>1551598686150512</v>
      </c>
      <c r="C1610" t="s">
        <v>40</v>
      </c>
      <c r="D1610">
        <v>4.6562929999999998</v>
      </c>
      <c r="E1610">
        <v>0.68458490000000005</v>
      </c>
      <c r="F1610" t="s">
        <v>42</v>
      </c>
      <c r="G1610">
        <v>-179.94880000000001</v>
      </c>
      <c r="H1610">
        <v>5.899683E-2</v>
      </c>
      <c r="I1610">
        <v>327.51319999999998</v>
      </c>
      <c r="J1610">
        <v>-202.2663</v>
      </c>
      <c r="K1610">
        <v>1.114034</v>
      </c>
      <c r="L1610">
        <v>365.73599999999999</v>
      </c>
      <c r="M1610">
        <v>0.95453239999999995</v>
      </c>
      <c r="N1610">
        <v>-1.4662339999999999E-2</v>
      </c>
      <c r="O1610">
        <v>-0.29774679999999998</v>
      </c>
      <c r="P1610">
        <v>0.82755749999999995</v>
      </c>
      <c r="Q1610">
        <v>-7.7440839999999997E-2</v>
      </c>
      <c r="R1610">
        <v>-0.55601420000000001</v>
      </c>
      <c r="S1610">
        <v>1.6953579999999999</v>
      </c>
      <c r="T1610">
        <v>-7.9672460000000001E-2</v>
      </c>
      <c r="U1610">
        <v>-2.8897400000000002</v>
      </c>
      <c r="V1610">
        <v>0.28321819999999998</v>
      </c>
      <c r="W1610">
        <v>-6.8346439999999994E-2</v>
      </c>
      <c r="X1610">
        <v>0.9566171</v>
      </c>
      <c r="Y1610">
        <v>0.67239640000000001</v>
      </c>
      <c r="Z1610">
        <v>-1.146789E-2</v>
      </c>
      <c r="AA1610">
        <v>0.74010240000000005</v>
      </c>
      <c r="AB1610">
        <v>23</v>
      </c>
      <c r="AC1610">
        <v>22.3174999999999</v>
      </c>
      <c r="AD1610">
        <v>-1.0550371700000001</v>
      </c>
      <c r="AE1610">
        <v>-38.222799999999999</v>
      </c>
      <c r="AF1610">
        <v>29.826194468953101</v>
      </c>
      <c r="AG1610">
        <v>-1.0550371700000001</v>
      </c>
      <c r="AH1610">
        <v>32.668441325498797</v>
      </c>
      <c r="AI1610">
        <v>91.366254595827101</v>
      </c>
      <c r="AJ1610">
        <v>47.604009233362099</v>
      </c>
      <c r="AK1610">
        <v>44.248638832934198</v>
      </c>
      <c r="AL1610">
        <v>93.919017594913399</v>
      </c>
      <c r="AM1610">
        <v>73.507967616554893</v>
      </c>
      <c r="AN1610">
        <v>1.0000000303421599</v>
      </c>
    </row>
    <row r="1611" spans="1:40" x14ac:dyDescent="0.25">
      <c r="A1611" t="str">
        <f>"20190303153806167"</f>
        <v>20190303153806167</v>
      </c>
      <c r="B1611" t="str">
        <f>"1551598686160272"</f>
        <v>1551598686160272</v>
      </c>
      <c r="C1611" t="s">
        <v>40</v>
      </c>
      <c r="D1611">
        <v>4.6835050000000003</v>
      </c>
      <c r="E1611">
        <v>0.68365359999999997</v>
      </c>
      <c r="F1611" t="s">
        <v>42</v>
      </c>
      <c r="G1611">
        <v>-178.55199999999999</v>
      </c>
      <c r="H1611">
        <v>7.9985440000000005E-2</v>
      </c>
      <c r="I1611">
        <v>324.69479999999999</v>
      </c>
      <c r="J1611">
        <v>-202.13079999999999</v>
      </c>
      <c r="K1611">
        <v>1.1138779999999999</v>
      </c>
      <c r="L1611">
        <v>365.6857</v>
      </c>
      <c r="M1611">
        <v>0.95237340000000004</v>
      </c>
      <c r="N1611">
        <v>-1.470146E-2</v>
      </c>
      <c r="O1611">
        <v>-0.30458010000000002</v>
      </c>
      <c r="P1611">
        <v>0.82136889999999996</v>
      </c>
      <c r="Q1611">
        <v>-7.6462189999999999E-2</v>
      </c>
      <c r="R1611">
        <v>-0.56524909999999995</v>
      </c>
      <c r="S1611">
        <v>1.6730039999999999</v>
      </c>
      <c r="T1611">
        <v>-7.295024E-2</v>
      </c>
      <c r="U1611">
        <v>-2.8953859999999998</v>
      </c>
      <c r="V1611">
        <v>0.28703430000000002</v>
      </c>
      <c r="W1611">
        <v>-6.7522319999999997E-2</v>
      </c>
      <c r="X1611">
        <v>0.95553759999999999</v>
      </c>
      <c r="Y1611">
        <v>0.67202340000000005</v>
      </c>
      <c r="Z1611">
        <v>-1.1264939999999999E-2</v>
      </c>
      <c r="AA1611">
        <v>0.740444199999999</v>
      </c>
      <c r="AB1611">
        <v>23</v>
      </c>
      <c r="AC1611">
        <v>23.578799999999902</v>
      </c>
      <c r="AD1611">
        <v>-1.03389256</v>
      </c>
      <c r="AE1611">
        <v>-40.990900000000003</v>
      </c>
      <c r="AF1611">
        <v>31.845226222465801</v>
      </c>
      <c r="AG1611">
        <v>-1.03389256</v>
      </c>
      <c r="AH1611">
        <v>34.927910377624798</v>
      </c>
      <c r="AI1611">
        <v>91.253082567299799</v>
      </c>
      <c r="AJ1611">
        <v>47.643270600548597</v>
      </c>
      <c r="AK1611">
        <v>47.277333790443798</v>
      </c>
      <c r="AL1611">
        <v>93.871689664813005</v>
      </c>
      <c r="AM1611">
        <v>73.280237824228195</v>
      </c>
      <c r="AN1611">
        <v>1.0000000290442099</v>
      </c>
    </row>
    <row r="1612" spans="1:40" x14ac:dyDescent="0.25">
      <c r="A1612" t="str">
        <f>"20190303153806179"</f>
        <v>20190303153806179</v>
      </c>
      <c r="B1612" t="str">
        <f>"1551598686170032"</f>
        <v>1551598686170032</v>
      </c>
      <c r="C1612" t="s">
        <v>40</v>
      </c>
      <c r="D1612">
        <v>4.6886469999999996</v>
      </c>
      <c r="E1612">
        <v>0.68244700000000003</v>
      </c>
      <c r="F1612" t="s">
        <v>42</v>
      </c>
      <c r="G1612">
        <v>-177.69479999999999</v>
      </c>
      <c r="H1612">
        <v>7.9986299999999996E-2</v>
      </c>
      <c r="I1612">
        <v>322.48630000000003</v>
      </c>
      <c r="J1612">
        <v>-202.00810000000001</v>
      </c>
      <c r="K1612">
        <v>1.113747</v>
      </c>
      <c r="L1612">
        <v>365.63869999999997</v>
      </c>
      <c r="M1612">
        <v>0.95031520000000003</v>
      </c>
      <c r="N1612">
        <v>-1.4738619999999999E-2</v>
      </c>
      <c r="O1612">
        <v>-0.31093999999999999</v>
      </c>
      <c r="P1612">
        <v>0.81369250000000004</v>
      </c>
      <c r="Q1612">
        <v>-7.4470030000000006E-2</v>
      </c>
      <c r="R1612">
        <v>-0.57650539999999995</v>
      </c>
      <c r="S1612">
        <v>1.644836</v>
      </c>
      <c r="T1612">
        <v>-6.9593429999999998E-2</v>
      </c>
      <c r="U1612">
        <v>-2.9078369999999998</v>
      </c>
      <c r="V1612">
        <v>0.29374470000000003</v>
      </c>
      <c r="W1612">
        <v>-6.5739290000000006E-2</v>
      </c>
      <c r="X1612">
        <v>0.95362069999999999</v>
      </c>
      <c r="Y1612">
        <v>0.67387129999999995</v>
      </c>
      <c r="Z1612">
        <v>-1.1209240000000001E-2</v>
      </c>
      <c r="AA1612">
        <v>0.73876370000000002</v>
      </c>
      <c r="AB1612">
        <v>23</v>
      </c>
      <c r="AC1612">
        <v>24.313300000000002</v>
      </c>
      <c r="AD1612">
        <v>-1.0337607</v>
      </c>
      <c r="AE1612">
        <v>-43.152399999999901</v>
      </c>
      <c r="AF1612">
        <v>33.4374739008856</v>
      </c>
      <c r="AG1612">
        <v>-1.0337607</v>
      </c>
      <c r="AH1612">
        <v>36.5111708268537</v>
      </c>
      <c r="AI1612">
        <v>91.196179488600094</v>
      </c>
      <c r="AJ1612">
        <v>47.516083650313902</v>
      </c>
      <c r="AK1612">
        <v>49.519682119385301</v>
      </c>
      <c r="AL1612">
        <v>93.769302053504106</v>
      </c>
      <c r="AM1612">
        <v>72.879547481397097</v>
      </c>
      <c r="AN1612">
        <v>1.0000000212481399</v>
      </c>
    </row>
    <row r="1613" spans="1:40" x14ac:dyDescent="0.25">
      <c r="A1613" t="str">
        <f>"20190303153806191"</f>
        <v>20190303153806191</v>
      </c>
      <c r="B1613" t="str">
        <f>"1551598686179793"</f>
        <v>1551598686179793</v>
      </c>
      <c r="C1613" t="s">
        <v>40</v>
      </c>
      <c r="D1613">
        <v>4.6860939999999998</v>
      </c>
      <c r="E1613">
        <v>0.6814095</v>
      </c>
      <c r="F1613" t="s">
        <v>42</v>
      </c>
      <c r="G1613">
        <v>-178.08690000000001</v>
      </c>
      <c r="H1613">
        <v>7.9986210000000002E-2</v>
      </c>
      <c r="I1613">
        <v>322.22629999999998</v>
      </c>
      <c r="J1613">
        <v>-201.8929</v>
      </c>
      <c r="K1613">
        <v>1.1136250000000001</v>
      </c>
      <c r="L1613">
        <v>365.59390000000002</v>
      </c>
      <c r="M1613">
        <v>0.9483182</v>
      </c>
      <c r="N1613">
        <v>-1.4773130000000001E-2</v>
      </c>
      <c r="O1613">
        <v>-0.3169768</v>
      </c>
      <c r="P1613">
        <v>0.80767580000000005</v>
      </c>
      <c r="Q1613">
        <v>-7.3520779999999994E-2</v>
      </c>
      <c r="R1613">
        <v>-0.58502569999999998</v>
      </c>
      <c r="S1613">
        <v>1.610168</v>
      </c>
      <c r="T1613">
        <v>-6.9583889999999995E-2</v>
      </c>
      <c r="U1613">
        <v>-2.9221499999999998</v>
      </c>
      <c r="V1613">
        <v>0.29766559999999997</v>
      </c>
      <c r="W1613">
        <v>-6.4936530000000006E-2</v>
      </c>
      <c r="X1613">
        <v>0.95245919999999895</v>
      </c>
      <c r="Y1613">
        <v>0.67740469999999997</v>
      </c>
      <c r="Z1613">
        <v>-1.126308E-2</v>
      </c>
      <c r="AA1613">
        <v>0.73552439999999997</v>
      </c>
      <c r="AB1613">
        <v>23</v>
      </c>
      <c r="AC1613">
        <v>23.805999999999901</v>
      </c>
      <c r="AD1613">
        <v>-1.0336387899999999</v>
      </c>
      <c r="AE1613">
        <v>-43.367600000000003</v>
      </c>
      <c r="AF1613">
        <v>33.569346352765898</v>
      </c>
      <c r="AG1613">
        <v>-1.0336387899999999</v>
      </c>
      <c r="AH1613">
        <v>36.310300622452502</v>
      </c>
      <c r="AI1613">
        <v>91.197453508658796</v>
      </c>
      <c r="AJ1613">
        <v>47.246214079713297</v>
      </c>
      <c r="AK1613">
        <v>49.461170174117697</v>
      </c>
      <c r="AL1613">
        <v>93.723208712423101</v>
      </c>
      <c r="AM1613">
        <v>72.644764209923693</v>
      </c>
      <c r="AN1613">
        <v>1.00000004500821</v>
      </c>
    </row>
    <row r="1614" spans="1:40" x14ac:dyDescent="0.25">
      <c r="A1614" t="str">
        <f>"20190303153806203"</f>
        <v>20190303153806203</v>
      </c>
      <c r="B1614" t="str">
        <f>"1551598686200288"</f>
        <v>1551598686200288</v>
      </c>
      <c r="C1614" t="s">
        <v>40</v>
      </c>
      <c r="D1614">
        <v>4.8558199999999996</v>
      </c>
      <c r="E1614">
        <v>0.67801069999999997</v>
      </c>
      <c r="F1614" t="s">
        <v>42</v>
      </c>
      <c r="G1614">
        <v>-178.0676</v>
      </c>
      <c r="H1614">
        <v>7.9985979999999998E-2</v>
      </c>
      <c r="I1614">
        <v>321.49369999999999</v>
      </c>
      <c r="J1614">
        <v>-201.78219999999999</v>
      </c>
      <c r="K1614">
        <v>1.113515</v>
      </c>
      <c r="L1614">
        <v>365.54969999999997</v>
      </c>
      <c r="M1614">
        <v>0.94631160000000003</v>
      </c>
      <c r="N1614">
        <v>-1.480772E-2</v>
      </c>
      <c r="O1614">
        <v>-0.3229166</v>
      </c>
      <c r="P1614">
        <v>0.80177739999999997</v>
      </c>
      <c r="Q1614">
        <v>-7.2807159999999996E-2</v>
      </c>
      <c r="R1614">
        <v>-0.59317169999999997</v>
      </c>
      <c r="S1614">
        <v>1.584152</v>
      </c>
      <c r="T1614">
        <v>-6.8727250000000004E-2</v>
      </c>
      <c r="U1614">
        <v>-2.9322509999999999</v>
      </c>
      <c r="V1614">
        <v>0.30130289999999998</v>
      </c>
      <c r="W1614">
        <v>-6.4358899999999997E-2</v>
      </c>
      <c r="X1614">
        <v>0.95135400000000003</v>
      </c>
      <c r="Y1614">
        <v>0.67889840000000001</v>
      </c>
      <c r="Z1614">
        <v>-1.125138E-2</v>
      </c>
      <c r="AA1614">
        <v>0.73414609999999902</v>
      </c>
      <c r="AB1614">
        <v>23</v>
      </c>
      <c r="AC1614">
        <v>23.714599999999901</v>
      </c>
      <c r="AD1614">
        <v>-1.03352902</v>
      </c>
      <c r="AE1614">
        <v>-44.055999999999898</v>
      </c>
      <c r="AF1614">
        <v>34.022079419240498</v>
      </c>
      <c r="AG1614">
        <v>-1.03352902</v>
      </c>
      <c r="AH1614">
        <v>36.656193246252499</v>
      </c>
      <c r="AI1614">
        <v>91.183889477152505</v>
      </c>
      <c r="AJ1614">
        <v>47.134372851964599</v>
      </c>
      <c r="AK1614">
        <v>50.022460690682699</v>
      </c>
      <c r="AL1614">
        <v>93.690043855039903</v>
      </c>
      <c r="AM1614">
        <v>72.426507994292905</v>
      </c>
      <c r="AN1614">
        <v>0.99999996943680902</v>
      </c>
    </row>
    <row r="1615" spans="1:40" x14ac:dyDescent="0.25">
      <c r="A1615" t="str">
        <f>"20190303153806214"</f>
        <v>20190303153806214</v>
      </c>
      <c r="B1615" t="str">
        <f>"1551598686210049"</f>
        <v>1551598686210049</v>
      </c>
      <c r="C1615" t="s">
        <v>40</v>
      </c>
      <c r="D1615">
        <v>4.7357110000000002</v>
      </c>
      <c r="E1615">
        <v>0.6770079</v>
      </c>
      <c r="F1615" t="s">
        <v>42</v>
      </c>
      <c r="G1615">
        <v>-182.2243</v>
      </c>
      <c r="H1615" s="1">
        <v>-5.4326950000000002E-6</v>
      </c>
      <c r="I1615">
        <v>329.08139999999997</v>
      </c>
      <c r="J1615">
        <v>-201.67599999999999</v>
      </c>
      <c r="K1615">
        <v>1.1134170000000001</v>
      </c>
      <c r="L1615">
        <v>365.50659999999999</v>
      </c>
      <c r="M1615">
        <v>0.94432369999999999</v>
      </c>
      <c r="N1615">
        <v>-1.484068E-2</v>
      </c>
      <c r="O1615">
        <v>-0.32868309999999901</v>
      </c>
      <c r="P1615">
        <v>0.79590119999999998</v>
      </c>
      <c r="Q1615">
        <v>-7.2927679999999995E-2</v>
      </c>
      <c r="R1615">
        <v>-0.6010181</v>
      </c>
      <c r="S1615">
        <v>1.5690770000000001</v>
      </c>
      <c r="T1615">
        <v>-8.9334490000000003E-2</v>
      </c>
      <c r="U1615">
        <v>-2.925751</v>
      </c>
      <c r="V1615">
        <v>0.30482219999999999</v>
      </c>
      <c r="W1615">
        <v>-6.4610979999999998E-2</v>
      </c>
      <c r="X1615">
        <v>0.95021520000000004</v>
      </c>
      <c r="Y1615">
        <v>0.67656740000000004</v>
      </c>
      <c r="Z1615">
        <v>-1.139971E-2</v>
      </c>
      <c r="AA1615">
        <v>0.73629250000000002</v>
      </c>
      <c r="AB1615">
        <v>23</v>
      </c>
      <c r="AC1615">
        <v>19.451699999999899</v>
      </c>
      <c r="AD1615">
        <v>-1.113422432695</v>
      </c>
      <c r="AE1615">
        <v>-36.425199999999997</v>
      </c>
      <c r="AF1615">
        <v>27.9864707990175</v>
      </c>
      <c r="AG1615">
        <v>-1.113422432695</v>
      </c>
      <c r="AH1615">
        <v>30.3223442765733</v>
      </c>
      <c r="AI1615">
        <v>91.545645189853005</v>
      </c>
      <c r="AJ1615">
        <v>47.294064211794499</v>
      </c>
      <c r="AK1615">
        <v>41.278648472605397</v>
      </c>
      <c r="AL1615">
        <v>93.704516839786706</v>
      </c>
      <c r="AM1615">
        <v>72.2141328380022</v>
      </c>
      <c r="AN1615">
        <v>1.00000003933021</v>
      </c>
    </row>
    <row r="1616" spans="1:40" x14ac:dyDescent="0.25">
      <c r="A1616" t="str">
        <f>"20190303153806225"</f>
        <v>20190303153806225</v>
      </c>
      <c r="B1616" t="str">
        <f>"1551598686219808"</f>
        <v>1551598686219808</v>
      </c>
      <c r="C1616" t="s">
        <v>40</v>
      </c>
      <c r="D1616">
        <v>4.7408219999999996</v>
      </c>
      <c r="E1616">
        <v>0.67602600000000002</v>
      </c>
      <c r="F1616" t="s">
        <v>42</v>
      </c>
      <c r="G1616">
        <v>-182.75640000000001</v>
      </c>
      <c r="H1616" s="1">
        <v>-5.5508719999999997E-6</v>
      </c>
      <c r="I1616">
        <v>329.57690000000002</v>
      </c>
      <c r="J1616">
        <v>-201.56950000000001</v>
      </c>
      <c r="K1616">
        <v>1.1133230000000001</v>
      </c>
      <c r="L1616">
        <v>365.46249999999998</v>
      </c>
      <c r="M1616">
        <v>0.94225890000000001</v>
      </c>
      <c r="N1616">
        <v>-1.487399E-2</v>
      </c>
      <c r="O1616">
        <v>-0.33455550000000001</v>
      </c>
      <c r="P1616">
        <v>0.79022910000000002</v>
      </c>
      <c r="Q1616">
        <v>-7.2703499999999893E-2</v>
      </c>
      <c r="R1616">
        <v>-0.60848359999999901</v>
      </c>
      <c r="S1616">
        <v>1.5451349999999999</v>
      </c>
      <c r="T1616">
        <v>-9.0931529999999997E-2</v>
      </c>
      <c r="U1616">
        <v>-2.934326</v>
      </c>
      <c r="V1616">
        <v>0.30782789999999999</v>
      </c>
      <c r="W1616">
        <v>-6.4503550000000007E-2</v>
      </c>
      <c r="X1616">
        <v>0.94925300000000001</v>
      </c>
      <c r="Y1616">
        <v>0.67755810000000005</v>
      </c>
      <c r="Z1616">
        <v>-1.1366269999999999E-2</v>
      </c>
      <c r="AA1616">
        <v>0.73538139999999996</v>
      </c>
      <c r="AB1616">
        <v>23</v>
      </c>
      <c r="AC1616">
        <v>18.813099999999899</v>
      </c>
      <c r="AD1616">
        <v>-1.1133285508719999</v>
      </c>
      <c r="AE1616">
        <v>-35.885599999999897</v>
      </c>
      <c r="AF1616">
        <v>27.501774314226601</v>
      </c>
      <c r="AG1616">
        <v>-1.1133285508719999</v>
      </c>
      <c r="AH1616">
        <v>29.713384732859701</v>
      </c>
      <c r="AI1616">
        <v>91.575129374134704</v>
      </c>
      <c r="AJ1616">
        <v>47.213624685232503</v>
      </c>
      <c r="AK1616">
        <v>40.502744637564803</v>
      </c>
      <c r="AL1616">
        <v>93.698348866702801</v>
      </c>
      <c r="AM1616">
        <v>72.032932226886899</v>
      </c>
      <c r="AN1616">
        <v>0.99999999099500603</v>
      </c>
    </row>
    <row r="1617" spans="1:40" x14ac:dyDescent="0.25">
      <c r="A1617" t="str">
        <f>"20190303153806237"</f>
        <v>20190303153806237</v>
      </c>
      <c r="B1617" t="str">
        <f>"1551598686230544"</f>
        <v>1551598686230544</v>
      </c>
      <c r="C1617" t="s">
        <v>40</v>
      </c>
      <c r="D1617">
        <v>4.864725</v>
      </c>
      <c r="E1617">
        <v>0.67602600000000002</v>
      </c>
      <c r="F1617" t="s">
        <v>42</v>
      </c>
      <c r="G1617">
        <v>-183.02350000000001</v>
      </c>
      <c r="H1617" s="1">
        <v>-1.8458599999999999E-6</v>
      </c>
      <c r="I1617">
        <v>329.61750000000001</v>
      </c>
      <c r="J1617">
        <v>-201.458</v>
      </c>
      <c r="K1617">
        <v>1.113226</v>
      </c>
      <c r="L1617">
        <v>365.41520000000003</v>
      </c>
      <c r="M1617">
        <v>0.94001610000000002</v>
      </c>
      <c r="N1617">
        <v>-1.490874E-2</v>
      </c>
      <c r="O1617">
        <v>-0.3408042</v>
      </c>
      <c r="P1617">
        <v>0.78442209999999901</v>
      </c>
      <c r="Q1617">
        <v>-7.2326109999999999E-2</v>
      </c>
      <c r="R1617">
        <v>-0.61599569999999904</v>
      </c>
      <c r="S1617">
        <v>1.5223390000000001</v>
      </c>
      <c r="T1617">
        <v>-9.1386800000000004E-2</v>
      </c>
      <c r="U1617">
        <v>-2.9423219999999999</v>
      </c>
      <c r="V1617">
        <v>0.3105579</v>
      </c>
      <c r="W1617">
        <v>-6.4234910000000006E-2</v>
      </c>
      <c r="X1617">
        <v>0.94838160000000005</v>
      </c>
      <c r="Y1617">
        <v>0.67797719999999995</v>
      </c>
      <c r="Z1617">
        <v>-1.129295E-2</v>
      </c>
      <c r="AA1617">
        <v>0.73499619999999999</v>
      </c>
      <c r="AB1617">
        <v>23</v>
      </c>
      <c r="AC1617">
        <v>18.4344999999999</v>
      </c>
      <c r="AD1617">
        <v>-1.11322784586</v>
      </c>
      <c r="AE1617">
        <v>-35.797699999999999</v>
      </c>
      <c r="AF1617">
        <v>27.349995300766</v>
      </c>
      <c r="AG1617">
        <v>-1.11322784586</v>
      </c>
      <c r="AH1617">
        <v>29.509458805851601</v>
      </c>
      <c r="AI1617">
        <v>91.584875789831898</v>
      </c>
      <c r="AJ1617">
        <v>47.174989360107503</v>
      </c>
      <c r="AK1617">
        <v>40.250089170124497</v>
      </c>
      <c r="AL1617">
        <v>93.682924922706306</v>
      </c>
      <c r="AM1617">
        <v>71.868401429239199</v>
      </c>
      <c r="AN1617">
        <v>0.99999999606683898</v>
      </c>
    </row>
    <row r="1618" spans="1:40" x14ac:dyDescent="0.25">
      <c r="A1618" t="str">
        <f>"20190303153806247"</f>
        <v>20190303153806247</v>
      </c>
      <c r="B1618" t="str">
        <f>"1551598686240305"</f>
        <v>1551598686240305</v>
      </c>
      <c r="C1618" t="s">
        <v>40</v>
      </c>
      <c r="D1618">
        <v>4.5508550000000003</v>
      </c>
      <c r="E1618">
        <v>0.67550710000000003</v>
      </c>
      <c r="F1618" t="s">
        <v>42</v>
      </c>
      <c r="G1618">
        <v>-182.59950000000001</v>
      </c>
      <c r="H1618" s="1">
        <v>-4.9452380000000003E-6</v>
      </c>
      <c r="I1618">
        <v>328.1003</v>
      </c>
      <c r="J1618">
        <v>-201.3537</v>
      </c>
      <c r="K1618">
        <v>1.1131489999999999</v>
      </c>
      <c r="L1618">
        <v>365.37049999999999</v>
      </c>
      <c r="M1618">
        <v>0.93786000000000003</v>
      </c>
      <c r="N1618">
        <v>-1.494058E-2</v>
      </c>
      <c r="O1618">
        <v>-0.34669220000000001</v>
      </c>
      <c r="P1618">
        <v>0.77922639999999999</v>
      </c>
      <c r="Q1618">
        <v>-7.2889309999999999E-2</v>
      </c>
      <c r="R1618">
        <v>-0.62248979999999998</v>
      </c>
      <c r="S1618">
        <v>1.494354</v>
      </c>
      <c r="T1618">
        <v>-8.8212730000000003E-2</v>
      </c>
      <c r="U1618">
        <v>-2.9568479999999999</v>
      </c>
      <c r="V1618">
        <v>0.31247760000000002</v>
      </c>
      <c r="W1618">
        <v>-6.4884830000000004E-2</v>
      </c>
      <c r="X1618">
        <v>0.94770650000000001</v>
      </c>
      <c r="Y1618">
        <v>0.68037389999999998</v>
      </c>
      <c r="Z1618">
        <v>-1.125957E-2</v>
      </c>
      <c r="AA1618">
        <v>0.73277869999999901</v>
      </c>
      <c r="AB1618">
        <v>23</v>
      </c>
      <c r="AC1618">
        <v>18.754200000000001</v>
      </c>
      <c r="AD1618">
        <v>-1.1131539452379999</v>
      </c>
      <c r="AE1618">
        <v>-37.270199999999903</v>
      </c>
      <c r="AF1618">
        <v>28.435229346933699</v>
      </c>
      <c r="AG1618">
        <v>-1.1131539452379999</v>
      </c>
      <c r="AH1618">
        <v>30.491801812719501</v>
      </c>
      <c r="AI1618">
        <v>91.529363804097997</v>
      </c>
      <c r="AJ1618">
        <v>46.998829971924799</v>
      </c>
      <c r="AK1618">
        <v>41.707929192237401</v>
      </c>
      <c r="AL1618">
        <v>93.720240611105297</v>
      </c>
      <c r="AM1618">
        <v>71.751588796284594</v>
      </c>
      <c r="AN1618">
        <v>0.99999995090406801</v>
      </c>
    </row>
    <row r="1619" spans="1:40" x14ac:dyDescent="0.25">
      <c r="A1619" t="str">
        <f>"20190303153806258"</f>
        <v>20190303153806258</v>
      </c>
      <c r="B1619" t="str">
        <f>"1551598686250065"</f>
        <v>1551598686250065</v>
      </c>
      <c r="C1619" t="s">
        <v>40</v>
      </c>
      <c r="D1619">
        <v>4.7862410000000004</v>
      </c>
      <c r="E1619">
        <v>0.67430259999999997</v>
      </c>
      <c r="F1619" t="s">
        <v>42</v>
      </c>
      <c r="G1619">
        <v>-181.03550000000001</v>
      </c>
      <c r="H1619" s="1">
        <v>-4.0240599999999999E-6</v>
      </c>
      <c r="I1619">
        <v>324.46379999999999</v>
      </c>
      <c r="J1619">
        <v>-201.2465</v>
      </c>
      <c r="K1619">
        <v>1.1130739999999999</v>
      </c>
      <c r="L1619">
        <v>365.32310000000001</v>
      </c>
      <c r="M1619">
        <v>0.93555239999999995</v>
      </c>
      <c r="N1619">
        <v>-1.4973180000000001E-2</v>
      </c>
      <c r="O1619">
        <v>-0.35287079999999998</v>
      </c>
      <c r="P1619">
        <v>0.77407819999999905</v>
      </c>
      <c r="Q1619">
        <v>-7.2963249999999993E-2</v>
      </c>
      <c r="R1619">
        <v>-0.62887179999999998</v>
      </c>
      <c r="S1619">
        <v>1.4731289999999999</v>
      </c>
      <c r="T1619">
        <v>-8.0706829999999993E-2</v>
      </c>
      <c r="U1619">
        <v>-2.9658509999999998</v>
      </c>
      <c r="V1619">
        <v>0.31399969999999999</v>
      </c>
      <c r="W1619">
        <v>-6.5031050000000007E-2</v>
      </c>
      <c r="X1619">
        <v>0.94719330000000002</v>
      </c>
      <c r="Y1619">
        <v>0.68066759999999904</v>
      </c>
      <c r="Z1619">
        <v>-1.114886E-2</v>
      </c>
      <c r="AA1619">
        <v>0.73250760000000004</v>
      </c>
      <c r="AB1619">
        <v>23</v>
      </c>
      <c r="AC1619">
        <v>20.210999999999899</v>
      </c>
      <c r="AD1619">
        <v>-1.11307802406</v>
      </c>
      <c r="AE1619">
        <v>-40.859299999999998</v>
      </c>
      <c r="AF1619">
        <v>31.079095859465099</v>
      </c>
      <c r="AG1619">
        <v>-1.11307802406</v>
      </c>
      <c r="AH1619">
        <v>33.310374464880503</v>
      </c>
      <c r="AI1619">
        <v>91.399591815877599</v>
      </c>
      <c r="AJ1619">
        <v>46.984667852075503</v>
      </c>
      <c r="AK1619">
        <v>45.571155231352598</v>
      </c>
      <c r="AL1619">
        <v>93.7286359546965</v>
      </c>
      <c r="AM1619">
        <v>71.659362050797</v>
      </c>
      <c r="AN1619">
        <v>0.99999999831454101</v>
      </c>
    </row>
    <row r="1620" spans="1:40" x14ac:dyDescent="0.25">
      <c r="A1620" t="str">
        <f>"20190303153806270"</f>
        <v>20190303153806270</v>
      </c>
      <c r="B1620" t="str">
        <f>"1551598686259825"</f>
        <v>1551598686259825</v>
      </c>
      <c r="C1620" t="s">
        <v>40</v>
      </c>
      <c r="D1620">
        <v>4.8177500000000002</v>
      </c>
      <c r="E1620">
        <v>0.67346530000000004</v>
      </c>
      <c r="F1620" t="s">
        <v>42</v>
      </c>
      <c r="G1620">
        <v>-181.7758</v>
      </c>
      <c r="H1620" s="1">
        <v>-4.2015630000000002E-6</v>
      </c>
      <c r="I1620">
        <v>325.5643</v>
      </c>
      <c r="J1620">
        <v>-201.1397</v>
      </c>
      <c r="K1620">
        <v>1.113002</v>
      </c>
      <c r="L1620">
        <v>365.27550000000002</v>
      </c>
      <c r="M1620">
        <v>0.93319830000000004</v>
      </c>
      <c r="N1620">
        <v>-1.5004689999999999E-2</v>
      </c>
      <c r="O1620">
        <v>-0.35904849999999999</v>
      </c>
      <c r="P1620">
        <v>0.76878100000000005</v>
      </c>
      <c r="Q1620">
        <v>-7.2681519999999999E-2</v>
      </c>
      <c r="R1620">
        <v>-0.63536859999999995</v>
      </c>
      <c r="S1620">
        <v>1.45462</v>
      </c>
      <c r="T1620">
        <v>-8.3156110000000005E-2</v>
      </c>
      <c r="U1620">
        <v>-2.9703059999999999</v>
      </c>
      <c r="V1620">
        <v>0.3156948</v>
      </c>
      <c r="W1620">
        <v>-6.4825770000000005E-2</v>
      </c>
      <c r="X1620">
        <v>0.94664380000000004</v>
      </c>
      <c r="Y1620">
        <v>0.67992319999999995</v>
      </c>
      <c r="Z1620">
        <v>-1.106124E-2</v>
      </c>
      <c r="AA1620">
        <v>0.73319999999999996</v>
      </c>
      <c r="AB1620">
        <v>23</v>
      </c>
      <c r="AC1620">
        <v>19.363900000000001</v>
      </c>
      <c r="AD1620">
        <v>-1.113006201563</v>
      </c>
      <c r="AE1620">
        <v>-39.711199999999998</v>
      </c>
      <c r="AF1620">
        <v>30.090137719873301</v>
      </c>
      <c r="AG1620">
        <v>-1.113006201563</v>
      </c>
      <c r="AH1620">
        <v>32.311738294242303</v>
      </c>
      <c r="AI1620">
        <v>91.444011162174405</v>
      </c>
      <c r="AJ1620">
        <v>47.038954719627199</v>
      </c>
      <c r="AK1620">
        <v>44.166770341527901</v>
      </c>
      <c r="AL1620">
        <v>93.716849267600594</v>
      </c>
      <c r="AM1620">
        <v>71.557051332137704</v>
      </c>
      <c r="AN1620">
        <v>1.0000000356407801</v>
      </c>
    </row>
    <row r="1621" spans="1:40" x14ac:dyDescent="0.25">
      <c r="A1621" t="str">
        <f>"20190303153806283"</f>
        <v>20190303153806283</v>
      </c>
      <c r="B1621" t="str">
        <f>"1551598686280321"</f>
        <v>1551598686280321</v>
      </c>
      <c r="C1621" t="s">
        <v>40</v>
      </c>
      <c r="D1621">
        <v>4.8211069999999996</v>
      </c>
      <c r="E1621">
        <v>0.67135579999999995</v>
      </c>
      <c r="F1621" t="s">
        <v>42</v>
      </c>
      <c r="G1621">
        <v>-181.24469999999999</v>
      </c>
      <c r="H1621" s="1">
        <v>-3.7999459999999998E-6</v>
      </c>
      <c r="I1621">
        <v>323.96890000000002</v>
      </c>
      <c r="J1621">
        <v>-201.01419999999999</v>
      </c>
      <c r="K1621">
        <v>1.112919</v>
      </c>
      <c r="L1621">
        <v>365.21769999999998</v>
      </c>
      <c r="M1621">
        <v>0.93031019999999998</v>
      </c>
      <c r="N1621">
        <v>-1.5042120000000001E-2</v>
      </c>
      <c r="O1621">
        <v>-0.36646499999999999</v>
      </c>
      <c r="P1621">
        <v>0.76287709999999997</v>
      </c>
      <c r="Q1621">
        <v>-7.2632699999999994E-2</v>
      </c>
      <c r="R1621">
        <v>-0.64245099999999999</v>
      </c>
      <c r="S1621">
        <v>1.434021</v>
      </c>
      <c r="T1621">
        <v>-8.0224870000000004E-2</v>
      </c>
      <c r="U1621">
        <v>-2.9773559999999999</v>
      </c>
      <c r="V1621">
        <v>0.3168975</v>
      </c>
      <c r="W1621">
        <v>-6.4843769999999995E-2</v>
      </c>
      <c r="X1621">
        <v>0.94624059999999999</v>
      </c>
      <c r="Y1621">
        <v>0.67889370000000004</v>
      </c>
      <c r="Z1621">
        <v>-1.0939559999999999E-2</v>
      </c>
      <c r="AA1621">
        <v>0.734155</v>
      </c>
      <c r="AB1621">
        <v>23</v>
      </c>
      <c r="AC1621">
        <v>19.769499999999901</v>
      </c>
      <c r="AD1621">
        <v>-1.1129227999460001</v>
      </c>
      <c r="AE1621">
        <v>-41.248799999999903</v>
      </c>
      <c r="AF1621">
        <v>31.1144538721624</v>
      </c>
      <c r="AG1621">
        <v>-1.1129227999460001</v>
      </c>
      <c r="AH1621">
        <v>33.491975091774201</v>
      </c>
      <c r="AI1621">
        <v>91.394592368441195</v>
      </c>
      <c r="AJ1621">
        <v>47.1075377644543</v>
      </c>
      <c r="AK1621">
        <v>45.728112058881102</v>
      </c>
      <c r="AL1621">
        <v>93.717882874365998</v>
      </c>
      <c r="AM1621">
        <v>71.484219211197896</v>
      </c>
      <c r="AN1621">
        <v>1.00000000655121</v>
      </c>
    </row>
    <row r="1622" spans="1:40" x14ac:dyDescent="0.25">
      <c r="A1622" t="str">
        <f>"20190303153806295"</f>
        <v>20190303153806295</v>
      </c>
      <c r="B1622" t="str">
        <f>"1551598686290081"</f>
        <v>1551598686290081</v>
      </c>
      <c r="C1622" t="s">
        <v>40</v>
      </c>
      <c r="D1622">
        <v>4.825793</v>
      </c>
      <c r="E1622">
        <v>0.67033520000000002</v>
      </c>
      <c r="F1622" t="s">
        <v>42</v>
      </c>
      <c r="G1622">
        <v>-183.45849999999999</v>
      </c>
      <c r="H1622" s="1">
        <v>-4.8893790000000002E-6</v>
      </c>
      <c r="I1622">
        <v>328.32530000000003</v>
      </c>
      <c r="J1622">
        <v>-200.89879999999999</v>
      </c>
      <c r="K1622">
        <v>1.1128420000000001</v>
      </c>
      <c r="L1622">
        <v>365.16359999999997</v>
      </c>
      <c r="M1622">
        <v>0.92756719999999904</v>
      </c>
      <c r="N1622">
        <v>-1.507647E-2</v>
      </c>
      <c r="O1622">
        <v>-0.37335259999999998</v>
      </c>
      <c r="P1622">
        <v>0.75714869999999901</v>
      </c>
      <c r="Q1622">
        <v>-7.2312150000000006E-2</v>
      </c>
      <c r="R1622">
        <v>-0.64922800000000003</v>
      </c>
      <c r="S1622">
        <v>1.416733</v>
      </c>
      <c r="T1622">
        <v>-8.9812520000000007E-2</v>
      </c>
      <c r="U1622">
        <v>-2.9772029999999998</v>
      </c>
      <c r="V1622">
        <v>0.31829970000000002</v>
      </c>
      <c r="W1622">
        <v>-6.4590229999999998E-2</v>
      </c>
      <c r="X1622">
        <v>0.94578720000000005</v>
      </c>
      <c r="Y1622">
        <v>0.67685660000000003</v>
      </c>
      <c r="Z1622">
        <v>-1.0766299999999999E-2</v>
      </c>
      <c r="AA1622">
        <v>0.73603609999999997</v>
      </c>
      <c r="AB1622">
        <v>23</v>
      </c>
      <c r="AC1622">
        <v>17.440300000000001</v>
      </c>
      <c r="AD1622">
        <v>-1.112846889379</v>
      </c>
      <c r="AE1622">
        <v>-36.838299999999897</v>
      </c>
      <c r="AF1622">
        <v>27.641149957400302</v>
      </c>
      <c r="AG1622">
        <v>-1.112846889379</v>
      </c>
      <c r="AH1622">
        <v>29.911822922978502</v>
      </c>
      <c r="AI1622">
        <v>91.565162707736604</v>
      </c>
      <c r="AJ1622">
        <v>47.2593539487562</v>
      </c>
      <c r="AK1622">
        <v>40.7429595113354</v>
      </c>
      <c r="AL1622">
        <v>93.703325564260197</v>
      </c>
      <c r="AM1622">
        <v>71.399611380855504</v>
      </c>
      <c r="AN1622">
        <v>1.00000001225769</v>
      </c>
    </row>
    <row r="1623" spans="1:40" x14ac:dyDescent="0.25">
      <c r="A1623" t="str">
        <f>"20190303153806307"</f>
        <v>20190303153806307</v>
      </c>
      <c r="B1623" t="str">
        <f>"1551598686299840"</f>
        <v>1551598686299840</v>
      </c>
      <c r="C1623" t="s">
        <v>40</v>
      </c>
      <c r="D1623">
        <v>4.9533490000000002</v>
      </c>
      <c r="E1623">
        <v>0.66905509999999901</v>
      </c>
      <c r="F1623" t="s">
        <v>42</v>
      </c>
      <c r="G1623">
        <v>-184.6447</v>
      </c>
      <c r="H1623" s="1">
        <v>-1.679699E-6</v>
      </c>
      <c r="I1623">
        <v>330.39679999999998</v>
      </c>
      <c r="J1623">
        <v>-200.79060000000001</v>
      </c>
      <c r="K1623">
        <v>1.1127739999999999</v>
      </c>
      <c r="L1623">
        <v>365.11200000000002</v>
      </c>
      <c r="M1623">
        <v>0.92491719999999999</v>
      </c>
      <c r="N1623">
        <v>-1.51086E-2</v>
      </c>
      <c r="O1623">
        <v>-0.3798685</v>
      </c>
      <c r="P1623">
        <v>0.7515387</v>
      </c>
      <c r="Q1623">
        <v>-7.169035E-2</v>
      </c>
      <c r="R1623">
        <v>-0.65578219999999898</v>
      </c>
      <c r="S1623">
        <v>1.3948670000000001</v>
      </c>
      <c r="T1623">
        <v>-9.5499870000000001E-2</v>
      </c>
      <c r="U1623">
        <v>-2.9835509999999998</v>
      </c>
      <c r="V1623">
        <v>0.31984050000000003</v>
      </c>
      <c r="W1623">
        <v>-6.4035529999999993E-2</v>
      </c>
      <c r="X1623">
        <v>0.94530499999999995</v>
      </c>
      <c r="Y1623">
        <v>0.67667290000000002</v>
      </c>
      <c r="Z1623">
        <v>-1.0627589999999999E-2</v>
      </c>
      <c r="AA1623">
        <v>0.7362071</v>
      </c>
      <c r="AB1623">
        <v>23</v>
      </c>
      <c r="AC1623">
        <v>16.145900000000001</v>
      </c>
      <c r="AD1623">
        <v>-1.1127756796989901</v>
      </c>
      <c r="AE1623">
        <v>-34.715199999999903</v>
      </c>
      <c r="AF1623">
        <v>25.956402943343999</v>
      </c>
      <c r="AG1623">
        <v>-1.1127756796989901</v>
      </c>
      <c r="AH1623">
        <v>28.100301408242</v>
      </c>
      <c r="AI1623">
        <v>91.666218489624299</v>
      </c>
      <c r="AJ1623">
        <v>47.271170461207603</v>
      </c>
      <c r="AK1623">
        <v>38.270093581079898</v>
      </c>
      <c r="AL1623">
        <v>93.671477639308506</v>
      </c>
      <c r="AM1623">
        <v>71.3069386777901</v>
      </c>
      <c r="AN1623">
        <v>1.0000000187838101</v>
      </c>
    </row>
    <row r="1624" spans="1:40" x14ac:dyDescent="0.25">
      <c r="A1624" t="str">
        <f>"20190303153806320"</f>
        <v>20190303153806320</v>
      </c>
      <c r="B1624" t="str">
        <f>"1551598686310578"</f>
        <v>1551598686310578</v>
      </c>
      <c r="C1624" t="s">
        <v>40</v>
      </c>
      <c r="D1624">
        <v>4.9305309999999896</v>
      </c>
      <c r="E1624">
        <v>0.66792689999999999</v>
      </c>
      <c r="F1624" t="s">
        <v>42</v>
      </c>
      <c r="G1624">
        <v>-185.94159999999999</v>
      </c>
      <c r="H1624" s="1">
        <v>-2.1685489999999999E-6</v>
      </c>
      <c r="I1624">
        <v>332.84730000000002</v>
      </c>
      <c r="J1624">
        <v>-200.67850000000001</v>
      </c>
      <c r="K1624">
        <v>1.1127020000000001</v>
      </c>
      <c r="L1624">
        <v>365.05700000000002</v>
      </c>
      <c r="M1624">
        <v>0.92206259999999995</v>
      </c>
      <c r="N1624">
        <v>-1.5143129999999999E-2</v>
      </c>
      <c r="O1624">
        <v>-0.3867448</v>
      </c>
      <c r="P1624">
        <v>0.74565680000000001</v>
      </c>
      <c r="Q1624">
        <v>-7.1169410000000002E-2</v>
      </c>
      <c r="R1624">
        <v>-0.66251919999999898</v>
      </c>
      <c r="S1624">
        <v>1.3749849999999999</v>
      </c>
      <c r="T1624">
        <v>-0.1030407</v>
      </c>
      <c r="U1624">
        <v>-2.9876399999999999</v>
      </c>
      <c r="V1624">
        <v>0.32128640000000003</v>
      </c>
      <c r="W1624">
        <v>-6.3580670000000006E-2</v>
      </c>
      <c r="X1624">
        <v>0.9448453</v>
      </c>
      <c r="Y1624">
        <v>0.67557290000000003</v>
      </c>
      <c r="Z1624">
        <v>-1.0408260000000001E-2</v>
      </c>
      <c r="AA1624">
        <v>0.73721969999999903</v>
      </c>
      <c r="AB1624">
        <v>23</v>
      </c>
      <c r="AC1624">
        <v>14.7369</v>
      </c>
      <c r="AD1624">
        <v>-1.112704168549</v>
      </c>
      <c r="AE1624">
        <v>-32.209699999999899</v>
      </c>
      <c r="AF1624">
        <v>23.9790259136145</v>
      </c>
      <c r="AG1624">
        <v>-1.112704168549</v>
      </c>
      <c r="AH1624">
        <v>26.022581566357399</v>
      </c>
      <c r="AI1624">
        <v>91.801058806662795</v>
      </c>
      <c r="AJ1624">
        <v>47.340364509774702</v>
      </c>
      <c r="AK1624">
        <v>35.403482112784197</v>
      </c>
      <c r="AL1624">
        <v>93.645362762450802</v>
      </c>
      <c r="AM1624">
        <v>71.219846999989201</v>
      </c>
      <c r="AN1624">
        <v>1.00000004667734</v>
      </c>
    </row>
    <row r="1625" spans="1:40" x14ac:dyDescent="0.25">
      <c r="A1625" t="str">
        <f>"20190303153806334"</f>
        <v>20190303153806334</v>
      </c>
      <c r="B1625" t="str">
        <f>"1551598686330096"</f>
        <v>1551598686330096</v>
      </c>
      <c r="C1625" t="s">
        <v>40</v>
      </c>
      <c r="D1625">
        <v>4.8662609999999997</v>
      </c>
      <c r="E1625">
        <v>0.66605909999999902</v>
      </c>
      <c r="F1625" t="s">
        <v>42</v>
      </c>
      <c r="G1625">
        <v>-186.9573</v>
      </c>
      <c r="H1625" s="1">
        <v>-2.725877E-6</v>
      </c>
      <c r="I1625">
        <v>334.72879999999998</v>
      </c>
      <c r="J1625">
        <v>-200.54839999999999</v>
      </c>
      <c r="K1625">
        <v>1.112608</v>
      </c>
      <c r="L1625">
        <v>364.99220000000003</v>
      </c>
      <c r="M1625">
        <v>0.91864159999999995</v>
      </c>
      <c r="N1625">
        <v>-1.518342E-2</v>
      </c>
      <c r="O1625">
        <v>-0.39480019999999999</v>
      </c>
      <c r="P1625">
        <v>0.7390198</v>
      </c>
      <c r="Q1625">
        <v>-7.0001889999999997E-2</v>
      </c>
      <c r="R1625">
        <v>-0.67003749999999995</v>
      </c>
      <c r="S1625">
        <v>1.353912</v>
      </c>
      <c r="T1625">
        <v>-0.109794</v>
      </c>
      <c r="U1625">
        <v>-2.9925839999999999</v>
      </c>
      <c r="V1625">
        <v>0.32255089999999997</v>
      </c>
      <c r="W1625">
        <v>-6.2480960000000002E-2</v>
      </c>
      <c r="X1625">
        <v>0.94448779999999999</v>
      </c>
      <c r="Y1625">
        <v>0.67384699999999997</v>
      </c>
      <c r="Z1625">
        <v>-1.0107680000000001E-2</v>
      </c>
      <c r="AA1625">
        <v>0.73880179999999995</v>
      </c>
      <c r="AB1625">
        <v>23</v>
      </c>
      <c r="AC1625">
        <v>13.5910999999999</v>
      </c>
      <c r="AD1625">
        <v>-1.1126107258769999</v>
      </c>
      <c r="AE1625">
        <v>-30.263400000000001</v>
      </c>
      <c r="AF1625">
        <v>22.412825274378999</v>
      </c>
      <c r="AG1625">
        <v>-1.1126107258769999</v>
      </c>
      <c r="AH1625">
        <v>24.4087076166496</v>
      </c>
      <c r="AI1625">
        <v>91.922993923540403</v>
      </c>
      <c r="AJ1625">
        <v>47.440894985815603</v>
      </c>
      <c r="AK1625">
        <v>33.156562652396097</v>
      </c>
      <c r="AL1625">
        <v>93.582228367522902</v>
      </c>
      <c r="AM1625">
        <v>71.144512154604001</v>
      </c>
      <c r="AN1625">
        <v>1.0000000789010799</v>
      </c>
    </row>
    <row r="1626" spans="1:40" x14ac:dyDescent="0.25">
      <c r="A1626" t="str">
        <f>"20190303153806349"</f>
        <v>20190303153806349</v>
      </c>
      <c r="B1626" t="str">
        <f>"1551598686339857"</f>
        <v>1551598686339857</v>
      </c>
      <c r="C1626" t="s">
        <v>40</v>
      </c>
      <c r="D1626">
        <v>4.8544549999999997</v>
      </c>
      <c r="E1626">
        <v>0.66518869999999997</v>
      </c>
      <c r="F1626" t="s">
        <v>42</v>
      </c>
      <c r="G1626">
        <v>-187.56569999999999</v>
      </c>
      <c r="H1626" s="1">
        <v>-3.0870599999999998E-6</v>
      </c>
      <c r="I1626">
        <v>335.82220000000001</v>
      </c>
      <c r="J1626">
        <v>-200.40170000000001</v>
      </c>
      <c r="K1626">
        <v>1.11249</v>
      </c>
      <c r="L1626">
        <v>364.91730000000001</v>
      </c>
      <c r="M1626">
        <v>0.91462670000000001</v>
      </c>
      <c r="N1626">
        <v>-1.523011E-2</v>
      </c>
      <c r="O1626">
        <v>-0.4040125</v>
      </c>
      <c r="P1626">
        <v>0.73193619999999904</v>
      </c>
      <c r="Q1626">
        <v>-6.8183530000000006E-2</v>
      </c>
      <c r="R1626">
        <v>-0.67795340000000004</v>
      </c>
      <c r="S1626">
        <v>1.333054</v>
      </c>
      <c r="T1626">
        <v>-0.1142421</v>
      </c>
      <c r="U1626">
        <v>-2.9951479999999999</v>
      </c>
      <c r="V1626">
        <v>0.3231774</v>
      </c>
      <c r="W1626">
        <v>-6.0721740000000003E-2</v>
      </c>
      <c r="X1626">
        <v>0.94438829999999996</v>
      </c>
      <c r="Y1626">
        <v>0.67091909999999999</v>
      </c>
      <c r="Z1626">
        <v>-9.7249889999999999E-3</v>
      </c>
      <c r="AA1626">
        <v>0.74146679999999998</v>
      </c>
      <c r="AB1626">
        <v>23</v>
      </c>
      <c r="AC1626">
        <v>12.836</v>
      </c>
      <c r="AD1626">
        <v>-1.1124930870600001</v>
      </c>
      <c r="AE1626">
        <v>-29.095099999999999</v>
      </c>
      <c r="AF1626">
        <v>21.401543754496899</v>
      </c>
      <c r="AG1626">
        <v>-1.1124930870600001</v>
      </c>
      <c r="AH1626">
        <v>23.4689352073548</v>
      </c>
      <c r="AI1626">
        <v>92.006024587747802</v>
      </c>
      <c r="AJ1626">
        <v>47.638017112856701</v>
      </c>
      <c r="AK1626">
        <v>31.7813567317605</v>
      </c>
      <c r="AL1626">
        <v>93.481240924003401</v>
      </c>
      <c r="AM1626">
        <v>71.108633988883895</v>
      </c>
      <c r="AN1626">
        <v>1.00000001137813</v>
      </c>
    </row>
    <row r="1627" spans="1:40" x14ac:dyDescent="0.25">
      <c r="A1627" t="str">
        <f>"20190303153806363"</f>
        <v>20190303153806363</v>
      </c>
      <c r="B1627" t="str">
        <f>"1551598686360354"</f>
        <v>1551598686360354</v>
      </c>
      <c r="C1627" t="s">
        <v>40</v>
      </c>
      <c r="D1627">
        <v>4.9045079999999999</v>
      </c>
      <c r="E1627">
        <v>0.6634215</v>
      </c>
      <c r="F1627" t="s">
        <v>42</v>
      </c>
      <c r="G1627">
        <v>-187.29990000000001</v>
      </c>
      <c r="H1627" s="1">
        <v>-2.685419E-6</v>
      </c>
      <c r="I1627">
        <v>334.77609999999999</v>
      </c>
      <c r="J1627">
        <v>-200.2741</v>
      </c>
      <c r="K1627">
        <v>1.1123879999999999</v>
      </c>
      <c r="L1627">
        <v>364.85</v>
      </c>
      <c r="M1627">
        <v>0.91096319999999997</v>
      </c>
      <c r="N1627">
        <v>-1.527396E-2</v>
      </c>
      <c r="O1627">
        <v>-0.41220459999999898</v>
      </c>
      <c r="P1627">
        <v>0.7258945</v>
      </c>
      <c r="Q1627">
        <v>-6.7873439999999993E-2</v>
      </c>
      <c r="R1627">
        <v>-0.68444890000000003</v>
      </c>
      <c r="S1627">
        <v>1.305817</v>
      </c>
      <c r="T1627">
        <v>-0.1108792</v>
      </c>
      <c r="U1627">
        <v>-3.004089</v>
      </c>
      <c r="V1627">
        <v>0.3230982</v>
      </c>
      <c r="W1627">
        <v>-6.0448679999999998E-2</v>
      </c>
      <c r="X1627">
        <v>0.94443290000000002</v>
      </c>
      <c r="Y1627">
        <v>0.67073959999999999</v>
      </c>
      <c r="Z1627">
        <v>-9.5818280000000006E-3</v>
      </c>
      <c r="AA1627">
        <v>0.74163100000000004</v>
      </c>
      <c r="AB1627">
        <v>23</v>
      </c>
      <c r="AC1627">
        <v>12.9741999999999</v>
      </c>
      <c r="AD1627">
        <v>-1.112390685419</v>
      </c>
      <c r="AE1627">
        <v>-30.073899999999998</v>
      </c>
      <c r="AF1627">
        <v>22.0253591996631</v>
      </c>
      <c r="AG1627">
        <v>-1.112390685419</v>
      </c>
      <c r="AH1627">
        <v>24.190542125017899</v>
      </c>
      <c r="AI1627">
        <v>91.947422472646494</v>
      </c>
      <c r="AJ1627">
        <v>47.682306254948998</v>
      </c>
      <c r="AK1627">
        <v>32.734327382939398</v>
      </c>
      <c r="AL1627">
        <v>93.465566998670297</v>
      </c>
      <c r="AM1627">
        <v>71.113764133893596</v>
      </c>
      <c r="AN1627">
        <v>0.99999999617969604</v>
      </c>
    </row>
    <row r="1628" spans="1:40" x14ac:dyDescent="0.25">
      <c r="A1628" t="str">
        <f>"20190303153806377"</f>
        <v>20190303153806377</v>
      </c>
      <c r="B1628" t="str">
        <f>"1551598686370112"</f>
        <v>1551598686370112</v>
      </c>
      <c r="C1628" t="s">
        <v>40</v>
      </c>
      <c r="D1628">
        <v>4.8972069999999999</v>
      </c>
      <c r="E1628">
        <v>0.66261380000000003</v>
      </c>
      <c r="F1628" t="s">
        <v>42</v>
      </c>
      <c r="G1628">
        <v>-187.7353</v>
      </c>
      <c r="H1628" s="1">
        <v>-2.9675369999999999E-6</v>
      </c>
      <c r="I1628">
        <v>335.61380000000003</v>
      </c>
      <c r="J1628">
        <v>-200.15</v>
      </c>
      <c r="K1628">
        <v>1.112277</v>
      </c>
      <c r="L1628">
        <v>364.78309999999999</v>
      </c>
      <c r="M1628">
        <v>0.90727480000000005</v>
      </c>
      <c r="N1628">
        <v>-1.531712E-2</v>
      </c>
      <c r="O1628">
        <v>-0.42025940000000001</v>
      </c>
      <c r="P1628">
        <v>0.72015769999999901</v>
      </c>
      <c r="Q1628">
        <v>-6.8410360000000003E-2</v>
      </c>
      <c r="R1628">
        <v>-0.69042959999999998</v>
      </c>
      <c r="S1628">
        <v>1.2887569999999999</v>
      </c>
      <c r="T1628">
        <v>-0.1143334</v>
      </c>
      <c r="U1628">
        <v>-3.0049440000000001</v>
      </c>
      <c r="V1628">
        <v>0.3225384</v>
      </c>
      <c r="W1628">
        <v>-6.1008699999999999E-2</v>
      </c>
      <c r="X1628">
        <v>0.94458819999999999</v>
      </c>
      <c r="Y1628">
        <v>0.6677765</v>
      </c>
      <c r="Z1628">
        <v>-9.2120970000000007E-3</v>
      </c>
      <c r="AA1628">
        <v>0.74430479999999999</v>
      </c>
      <c r="AB1628">
        <v>23</v>
      </c>
      <c r="AC1628">
        <v>12.4147</v>
      </c>
      <c r="AD1628">
        <v>-1.1122799675370001</v>
      </c>
      <c r="AE1628">
        <v>-29.1692999999999</v>
      </c>
      <c r="AF1628">
        <v>21.223540711414898</v>
      </c>
      <c r="AG1628">
        <v>-1.1122799675370001</v>
      </c>
      <c r="AH1628">
        <v>23.496050441169999</v>
      </c>
      <c r="AI1628">
        <v>92.011941447187596</v>
      </c>
      <c r="AJ1628">
        <v>47.909089902818302</v>
      </c>
      <c r="AK1628">
        <v>31.681859689564899</v>
      </c>
      <c r="AL1628">
        <v>93.497713190177606</v>
      </c>
      <c r="AM1628">
        <v>71.147053757933307</v>
      </c>
      <c r="AN1628">
        <v>0.99999997426474396</v>
      </c>
    </row>
    <row r="1629" spans="1:40" x14ac:dyDescent="0.25">
      <c r="A1629" t="str">
        <f>"20190303153806390"</f>
        <v>20190303153806390</v>
      </c>
      <c r="B1629" t="str">
        <f>"1551598686379872"</f>
        <v>1551598686379872</v>
      </c>
      <c r="C1629" t="s">
        <v>40</v>
      </c>
      <c r="D1629">
        <v>4.9025040000000004</v>
      </c>
      <c r="E1629">
        <v>0.66184069999999995</v>
      </c>
      <c r="F1629" t="s">
        <v>42</v>
      </c>
      <c r="G1629">
        <v>-188.01990000000001</v>
      </c>
      <c r="H1629" s="1">
        <v>-3.0752689999999998E-6</v>
      </c>
      <c r="I1629">
        <v>335.98259999999999</v>
      </c>
      <c r="J1629">
        <v>-200.02879999999999</v>
      </c>
      <c r="K1629">
        <v>1.1121760000000001</v>
      </c>
      <c r="L1629">
        <v>364.7167</v>
      </c>
      <c r="M1629">
        <v>0.90355529999999995</v>
      </c>
      <c r="N1629">
        <v>-1.535945E-2</v>
      </c>
      <c r="O1629">
        <v>-0.42819609999999902</v>
      </c>
      <c r="P1629">
        <v>0.71444849999999904</v>
      </c>
      <c r="Q1629">
        <v>-6.9697259999999997E-2</v>
      </c>
      <c r="R1629">
        <v>-0.69620839999999995</v>
      </c>
      <c r="S1629">
        <v>1.2681119999999999</v>
      </c>
      <c r="T1629">
        <v>-0.116281</v>
      </c>
      <c r="U1629">
        <v>-3.0108950000000001</v>
      </c>
      <c r="V1629">
        <v>0.32187929999999998</v>
      </c>
      <c r="W1629">
        <v>-6.2315410000000002E-2</v>
      </c>
      <c r="X1629">
        <v>0.94472769999999995</v>
      </c>
      <c r="Y1629">
        <v>0.66610130000000001</v>
      </c>
      <c r="Z1629">
        <v>-8.9066919999999904E-3</v>
      </c>
      <c r="AA1629">
        <v>0.74580809999999997</v>
      </c>
      <c r="AB1629">
        <v>22</v>
      </c>
      <c r="AC1629">
        <v>12.008899999999899</v>
      </c>
      <c r="AD1629">
        <v>-1.112179075269</v>
      </c>
      <c r="AE1629">
        <v>-28.734100000000002</v>
      </c>
      <c r="AF1629">
        <v>20.796617062764501</v>
      </c>
      <c r="AG1629">
        <v>-1.112179075269</v>
      </c>
      <c r="AH1629">
        <v>23.1277699065636</v>
      </c>
      <c r="AI1629">
        <v>92.047910054581294</v>
      </c>
      <c r="AJ1629">
        <v>48.0379485909328</v>
      </c>
      <c r="AK1629">
        <v>31.122820636980901</v>
      </c>
      <c r="AL1629">
        <v>93.572724955305404</v>
      </c>
      <c r="AM1629">
        <v>71.185448834893407</v>
      </c>
      <c r="AN1629">
        <v>0.99999996061962304</v>
      </c>
    </row>
    <row r="1630" spans="1:40" x14ac:dyDescent="0.25">
      <c r="A1630" t="str">
        <f>"20190303153806403"</f>
        <v>20190303153806403</v>
      </c>
      <c r="B1630" t="str">
        <f>"1551598686400369"</f>
        <v>1551598686400369</v>
      </c>
      <c r="C1630" t="s">
        <v>40</v>
      </c>
      <c r="D1630">
        <v>4.89208</v>
      </c>
      <c r="E1630">
        <v>0.66038109999999905</v>
      </c>
      <c r="F1630" t="s">
        <v>42</v>
      </c>
      <c r="G1630">
        <v>-188.57239999999999</v>
      </c>
      <c r="H1630" s="1">
        <v>-3.41985E-6</v>
      </c>
      <c r="I1630">
        <v>337.01429999999999</v>
      </c>
      <c r="J1630">
        <v>-199.9109</v>
      </c>
      <c r="K1630">
        <v>1.1120620000000001</v>
      </c>
      <c r="L1630">
        <v>364.65010000000001</v>
      </c>
      <c r="M1630">
        <v>0.89977759999999996</v>
      </c>
      <c r="N1630">
        <v>-1.5401730000000001E-2</v>
      </c>
      <c r="O1630">
        <v>-0.43607679999999999</v>
      </c>
      <c r="P1630">
        <v>0.70810969999999995</v>
      </c>
      <c r="Q1630">
        <v>-7.2270329999999994E-2</v>
      </c>
      <c r="R1630">
        <v>-0.70239439999999997</v>
      </c>
      <c r="S1630">
        <v>1.247574</v>
      </c>
      <c r="T1630">
        <v>-0.1211132</v>
      </c>
      <c r="U1630">
        <v>-3.016724</v>
      </c>
      <c r="V1630">
        <v>0.32187840000000001</v>
      </c>
      <c r="W1630">
        <v>-6.4926789999999998E-2</v>
      </c>
      <c r="X1630">
        <v>0.94455219999999995</v>
      </c>
      <c r="Y1630">
        <v>0.66440180000000004</v>
      </c>
      <c r="Z1630">
        <v>-8.5054459999999998E-3</v>
      </c>
      <c r="AA1630">
        <v>0.74732719999999997</v>
      </c>
      <c r="AB1630">
        <v>22</v>
      </c>
      <c r="AC1630">
        <v>11.3385</v>
      </c>
      <c r="AD1630">
        <v>-1.11206541985</v>
      </c>
      <c r="AE1630">
        <v>-27.6358</v>
      </c>
      <c r="AF1630">
        <v>19.896405478371101</v>
      </c>
      <c r="AG1630">
        <v>-1.11206541985</v>
      </c>
      <c r="AH1630">
        <v>22.225296993511499</v>
      </c>
      <c r="AI1630">
        <v>92.135001496418397</v>
      </c>
      <c r="AJ1630">
        <v>48.164637884790601</v>
      </c>
      <c r="AK1630">
        <v>29.850753205029399</v>
      </c>
      <c r="AL1630">
        <v>93.722649544175397</v>
      </c>
      <c r="AM1630">
        <v>71.182247961258696</v>
      </c>
      <c r="AN1630">
        <v>1.0000000254855499</v>
      </c>
    </row>
    <row r="1631" spans="1:40" x14ac:dyDescent="0.25">
      <c r="A1631" t="str">
        <f>"20190303153806416"</f>
        <v>20190303153806416</v>
      </c>
      <c r="B1631" t="str">
        <f>"1551598686410129"</f>
        <v>1551598686410129</v>
      </c>
      <c r="C1631" t="s">
        <v>40</v>
      </c>
      <c r="D1631">
        <v>4.9285690000000004</v>
      </c>
      <c r="E1631">
        <v>0.65967469999999995</v>
      </c>
      <c r="F1631" t="s">
        <v>42</v>
      </c>
      <c r="G1631">
        <v>-189.7071</v>
      </c>
      <c r="H1631" s="1">
        <v>-4.3219269999999998E-6</v>
      </c>
      <c r="I1631">
        <v>339.58620000000002</v>
      </c>
      <c r="J1631">
        <v>-199.79339999999999</v>
      </c>
      <c r="K1631">
        <v>1.11196299999999</v>
      </c>
      <c r="L1631">
        <v>364.58229999999998</v>
      </c>
      <c r="M1631">
        <v>0.89588509999999999</v>
      </c>
      <c r="N1631">
        <v>-1.5443790000000001E-2</v>
      </c>
      <c r="O1631">
        <v>-0.44401770000000002</v>
      </c>
      <c r="P1631">
        <v>0.70158409999999904</v>
      </c>
      <c r="Q1631">
        <v>-7.3189149999999994E-2</v>
      </c>
      <c r="R1631">
        <v>-0.70881870000000002</v>
      </c>
      <c r="S1631">
        <v>1.228836</v>
      </c>
      <c r="T1631">
        <v>-0.13392409999999999</v>
      </c>
      <c r="U1631">
        <v>-3.018402</v>
      </c>
      <c r="V1631">
        <v>0.32213960000000003</v>
      </c>
      <c r="W1631">
        <v>-6.5887790000000002E-2</v>
      </c>
      <c r="X1631">
        <v>0.94439660000000003</v>
      </c>
      <c r="Y1631">
        <v>0.66184500000000002</v>
      </c>
      <c r="Z1631">
        <v>-7.7770690000000002E-3</v>
      </c>
      <c r="AA1631">
        <v>0.74960039999999994</v>
      </c>
      <c r="AB1631">
        <v>22</v>
      </c>
      <c r="AC1631">
        <v>10.0862999999999</v>
      </c>
      <c r="AD1631">
        <v>-1.1119673219270001</v>
      </c>
      <c r="AE1631">
        <v>-24.996099999999899</v>
      </c>
      <c r="AF1631">
        <v>17.886830628880201</v>
      </c>
      <c r="AG1631">
        <v>-1.1119673219270001</v>
      </c>
      <c r="AH1631">
        <v>20.103062178079099</v>
      </c>
      <c r="AI1631">
        <v>92.366338161489494</v>
      </c>
      <c r="AJ1631">
        <v>48.338702721149303</v>
      </c>
      <c r="AK1631">
        <v>26.931548232639699</v>
      </c>
      <c r="AL1631">
        <v>93.777828928730997</v>
      </c>
      <c r="AM1631">
        <v>71.165169431466595</v>
      </c>
      <c r="AN1631">
        <v>1.0000000304254</v>
      </c>
    </row>
    <row r="1632" spans="1:40" x14ac:dyDescent="0.25">
      <c r="A1632" t="str">
        <f>"20190303153806427"</f>
        <v>20190303153806427</v>
      </c>
      <c r="B1632" t="str">
        <f>"1551598686419889"</f>
        <v>1551598686419889</v>
      </c>
      <c r="C1632" t="s">
        <v>40</v>
      </c>
      <c r="D1632">
        <v>4.9195650000000004</v>
      </c>
      <c r="E1632">
        <v>0.65903619999999996</v>
      </c>
      <c r="F1632" t="s">
        <v>42</v>
      </c>
      <c r="G1632">
        <v>-190.24709999999999</v>
      </c>
      <c r="H1632" s="1">
        <v>-5.0180780000000003E-7</v>
      </c>
      <c r="I1632">
        <v>340.60559999999998</v>
      </c>
      <c r="J1632">
        <v>-199.69059999999999</v>
      </c>
      <c r="K1632">
        <v>1.11188</v>
      </c>
      <c r="L1632">
        <v>364.5222</v>
      </c>
      <c r="M1632">
        <v>0.89238300000000004</v>
      </c>
      <c r="N1632">
        <v>-1.5480249999999999E-2</v>
      </c>
      <c r="O1632">
        <v>-0.45101350000000001</v>
      </c>
      <c r="P1632">
        <v>0.69521840000000001</v>
      </c>
      <c r="Q1632">
        <v>-7.3827119999999996E-2</v>
      </c>
      <c r="R1632">
        <v>-0.71499690000000005</v>
      </c>
      <c r="S1632">
        <v>1.204636</v>
      </c>
      <c r="T1632">
        <v>-0.14031759999999999</v>
      </c>
      <c r="U1632">
        <v>-3.025604</v>
      </c>
      <c r="V1632">
        <v>0.32310699999999998</v>
      </c>
      <c r="W1632">
        <v>-6.6582840000000004E-2</v>
      </c>
      <c r="X1632">
        <v>0.9440172</v>
      </c>
      <c r="Y1632">
        <v>0.66173309999999996</v>
      </c>
      <c r="Z1632">
        <v>-7.3212249999999998E-3</v>
      </c>
      <c r="AA1632">
        <v>0.74970369999999997</v>
      </c>
      <c r="AB1632">
        <v>22</v>
      </c>
      <c r="AC1632">
        <v>9.4435000000000002</v>
      </c>
      <c r="AD1632">
        <v>-1.1118805018078</v>
      </c>
      <c r="AE1632">
        <v>-23.916599999999999</v>
      </c>
      <c r="AF1632">
        <v>17.053779491679201</v>
      </c>
      <c r="AG1632">
        <v>-1.1118805018078</v>
      </c>
      <c r="AH1632">
        <v>19.1803653217282</v>
      </c>
      <c r="AI1632">
        <v>92.4806161745026</v>
      </c>
      <c r="AJ1632">
        <v>48.358842413672001</v>
      </c>
      <c r="AK1632">
        <v>25.689571562719301</v>
      </c>
      <c r="AL1632">
        <v>93.817740345435794</v>
      </c>
      <c r="AM1632">
        <v>71.105559263003599</v>
      </c>
      <c r="AN1632">
        <v>0.99999994096365097</v>
      </c>
    </row>
    <row r="1633" spans="1:40" x14ac:dyDescent="0.25">
      <c r="A1633" t="str">
        <f>"20190303153806439"</f>
        <v>20190303153806439</v>
      </c>
      <c r="B1633" t="str">
        <f>"1551598686430626"</f>
        <v>1551598686430626</v>
      </c>
      <c r="C1633" t="s">
        <v>40</v>
      </c>
      <c r="D1633">
        <v>4.9542489999999999</v>
      </c>
      <c r="E1633">
        <v>0.65866029999999998</v>
      </c>
      <c r="F1633" t="s">
        <v>42</v>
      </c>
      <c r="G1633">
        <v>-190.721</v>
      </c>
      <c r="H1633" s="1">
        <v>-1.007574E-6</v>
      </c>
      <c r="I1633">
        <v>341.49059999999997</v>
      </c>
      <c r="J1633">
        <v>-199.59370000000001</v>
      </c>
      <c r="K1633">
        <v>1.1118049999999999</v>
      </c>
      <c r="L1633">
        <v>364.46370000000002</v>
      </c>
      <c r="M1633">
        <v>0.88894699999999904</v>
      </c>
      <c r="N1633">
        <v>-1.5516220000000001E-2</v>
      </c>
      <c r="O1633">
        <v>-0.45774730000000002</v>
      </c>
      <c r="P1633">
        <v>0.68925019999999904</v>
      </c>
      <c r="Q1633">
        <v>-7.36927E-2</v>
      </c>
      <c r="R1633">
        <v>-0.72076600000000002</v>
      </c>
      <c r="S1633">
        <v>1.180939</v>
      </c>
      <c r="T1633">
        <v>-0.14639059999999901</v>
      </c>
      <c r="U1633">
        <v>-3.032349</v>
      </c>
      <c r="V1633">
        <v>0.32382090000000002</v>
      </c>
      <c r="W1633">
        <v>-6.6493109999999994E-2</v>
      </c>
      <c r="X1633">
        <v>0.94377889999999998</v>
      </c>
      <c r="Y1633">
        <v>0.661682199999999</v>
      </c>
      <c r="Z1633">
        <v>-6.8552919999999998E-3</v>
      </c>
      <c r="AA1633">
        <v>0.74975309999999995</v>
      </c>
      <c r="AB1633">
        <v>22</v>
      </c>
      <c r="AC1633">
        <v>8.8727000000000302</v>
      </c>
      <c r="AD1633">
        <v>-1.1118060075739999</v>
      </c>
      <c r="AE1633">
        <v>-22.973099999999999</v>
      </c>
      <c r="AF1633">
        <v>16.329101575129901</v>
      </c>
      <c r="AG1633">
        <v>-1.1118060075739999</v>
      </c>
      <c r="AH1633">
        <v>18.368012497445299</v>
      </c>
      <c r="AI1633">
        <v>92.590172919190294</v>
      </c>
      <c r="AJ1633">
        <v>48.363011784286201</v>
      </c>
      <c r="AK1633">
        <v>24.602023371171999</v>
      </c>
      <c r="AL1633">
        <v>93.812587701521096</v>
      </c>
      <c r="AM1633">
        <v>71.062342786590094</v>
      </c>
      <c r="AN1633">
        <v>0.99999996051974505</v>
      </c>
    </row>
    <row r="1634" spans="1:40" x14ac:dyDescent="0.25">
      <c r="A1634" t="str">
        <f>"20190303153806452"</f>
        <v>20190303153806452</v>
      </c>
      <c r="B1634" t="str">
        <f>"1551598686440385"</f>
        <v>1551598686440385</v>
      </c>
      <c r="C1634" t="s">
        <v>40</v>
      </c>
      <c r="D1634">
        <v>5.1212039999999996</v>
      </c>
      <c r="E1634">
        <v>0.65866199999999997</v>
      </c>
      <c r="F1634" t="s">
        <v>42</v>
      </c>
      <c r="G1634">
        <v>-190.9384</v>
      </c>
      <c r="H1634" s="1">
        <v>-1.1663270000000001E-6</v>
      </c>
      <c r="I1634">
        <v>341.72579999999999</v>
      </c>
      <c r="J1634">
        <v>-199.48609999999999</v>
      </c>
      <c r="K1634">
        <v>1.1117250000000001</v>
      </c>
      <c r="L1634">
        <v>364.39819999999997</v>
      </c>
      <c r="M1634">
        <v>0.88504400000000005</v>
      </c>
      <c r="N1634">
        <v>-1.5555589999999999E-2</v>
      </c>
      <c r="O1634">
        <v>-0.46524759999999998</v>
      </c>
      <c r="P1634">
        <v>0.68273799999999996</v>
      </c>
      <c r="Q1634">
        <v>-7.3002739999999997E-2</v>
      </c>
      <c r="R1634">
        <v>-0.72700769999999904</v>
      </c>
      <c r="S1634">
        <v>1.157303</v>
      </c>
      <c r="T1634">
        <v>-0.14865970000000001</v>
      </c>
      <c r="U1634">
        <v>-3.0402830000000001</v>
      </c>
      <c r="V1634">
        <v>0.32439559999999901</v>
      </c>
      <c r="W1634">
        <v>-6.5846269999999998E-2</v>
      </c>
      <c r="X1634">
        <v>0.94362690000000005</v>
      </c>
      <c r="Y1634">
        <v>0.66107479999999996</v>
      </c>
      <c r="Z1634">
        <v>-6.4584959999999898E-3</v>
      </c>
      <c r="AA1634">
        <v>0.75029219999999996</v>
      </c>
      <c r="AB1634">
        <v>22</v>
      </c>
      <c r="AC1634">
        <v>8.5476999999999901</v>
      </c>
      <c r="AD1634">
        <v>-1.1117261663269999</v>
      </c>
      <c r="AE1634">
        <v>-22.6723999999999</v>
      </c>
      <c r="AF1634">
        <v>16.057416870144198</v>
      </c>
      <c r="AG1634">
        <v>-1.1117261663269999</v>
      </c>
      <c r="AH1634">
        <v>18.0775046398245</v>
      </c>
      <c r="AI1634">
        <v>92.632519675489803</v>
      </c>
      <c r="AJ1634">
        <v>48.386785825817903</v>
      </c>
      <c r="AK1634">
        <v>24.2048083159806</v>
      </c>
      <c r="AL1634">
        <v>93.7754450157816</v>
      </c>
      <c r="AM1634">
        <v>71.028296926310006</v>
      </c>
      <c r="AN1634">
        <v>0.999999981487941</v>
      </c>
    </row>
    <row r="1635" spans="1:40" x14ac:dyDescent="0.25">
      <c r="A1635" t="str">
        <f>"20190303153806462"</f>
        <v>20190303153806462</v>
      </c>
      <c r="B1635" t="str">
        <f>"1551598686459905"</f>
        <v>1551598686459905</v>
      </c>
      <c r="C1635" t="s">
        <v>40</v>
      </c>
      <c r="D1635">
        <v>5.0268940000000004</v>
      </c>
      <c r="E1635">
        <v>0.65928819999999999</v>
      </c>
      <c r="F1635" t="s">
        <v>42</v>
      </c>
      <c r="G1635">
        <v>-191.1079</v>
      </c>
      <c r="H1635" s="1">
        <v>-1.231248E-6</v>
      </c>
      <c r="I1635">
        <v>341.77210000000002</v>
      </c>
      <c r="J1635">
        <v>-199.3853</v>
      </c>
      <c r="K1635">
        <v>1.1116509999999999</v>
      </c>
      <c r="L1635">
        <v>364.33510000000001</v>
      </c>
      <c r="M1635">
        <v>0.88124729999999996</v>
      </c>
      <c r="N1635">
        <v>-1.5593879999999999E-2</v>
      </c>
      <c r="O1635">
        <v>-0.4723985</v>
      </c>
      <c r="P1635">
        <v>0.67665430000000004</v>
      </c>
      <c r="Q1635">
        <v>-7.2386119999999998E-2</v>
      </c>
      <c r="R1635">
        <v>-0.73273459999999901</v>
      </c>
      <c r="S1635">
        <v>1.1295930000000001</v>
      </c>
      <c r="T1635">
        <v>-0.1498884</v>
      </c>
      <c r="U1635">
        <v>-3.0505680000000002</v>
      </c>
      <c r="V1635">
        <v>0.32467699999999999</v>
      </c>
      <c r="W1635">
        <v>-6.5260609999999997E-2</v>
      </c>
      <c r="X1635">
        <v>0.94357080000000004</v>
      </c>
      <c r="Y1635">
        <v>0.66181239999999997</v>
      </c>
      <c r="Z1635">
        <v>-6.163679E-3</v>
      </c>
      <c r="AA1635">
        <v>0.74964410000000004</v>
      </c>
      <c r="AB1635">
        <v>22</v>
      </c>
      <c r="AC1635">
        <v>8.2774000000000001</v>
      </c>
      <c r="AD1635">
        <v>-1.1116522312479999</v>
      </c>
      <c r="AE1635">
        <v>-22.562999999999899</v>
      </c>
      <c r="AF1635">
        <v>15.941185644074199</v>
      </c>
      <c r="AG1635">
        <v>-1.1116522312479999</v>
      </c>
      <c r="AH1635">
        <v>17.917011128941098</v>
      </c>
      <c r="AI1635">
        <v>92.653956327069395</v>
      </c>
      <c r="AJ1635">
        <v>48.339759030520398</v>
      </c>
      <c r="AK1635">
        <v>24.007841598458501</v>
      </c>
      <c r="AL1635">
        <v>93.741816849014597</v>
      </c>
      <c r="AM1635">
        <v>71.011969933168501</v>
      </c>
      <c r="AN1635">
        <v>0.99999997807960495</v>
      </c>
    </row>
    <row r="1636" spans="1:40" x14ac:dyDescent="0.25">
      <c r="A1636" t="str">
        <f>"20190303153806475"</f>
        <v>20190303153806475</v>
      </c>
      <c r="B1636" t="str">
        <f>"1551598686470642"</f>
        <v>1551598686470642</v>
      </c>
      <c r="C1636" t="s">
        <v>40</v>
      </c>
      <c r="D1636">
        <v>5.0353760000000003</v>
      </c>
      <c r="E1636">
        <v>0.69346960000000002</v>
      </c>
      <c r="F1636" t="s">
        <v>42</v>
      </c>
      <c r="G1636">
        <v>-191.2123</v>
      </c>
      <c r="H1636" s="1">
        <v>-1.178038E-6</v>
      </c>
      <c r="I1636">
        <v>341.58319999999998</v>
      </c>
      <c r="J1636">
        <v>-199.28399999999999</v>
      </c>
      <c r="K1636">
        <v>1.1115809999999999</v>
      </c>
      <c r="L1636">
        <v>364.2706</v>
      </c>
      <c r="M1636">
        <v>0.87732489999999996</v>
      </c>
      <c r="N1636">
        <v>-1.563233E-2</v>
      </c>
      <c r="O1636">
        <v>-0.47964250000000003</v>
      </c>
      <c r="P1636">
        <v>0.67044230000000005</v>
      </c>
      <c r="Q1636">
        <v>-7.1718299999999999E-2</v>
      </c>
      <c r="R1636">
        <v>-0.73848780000000003</v>
      </c>
      <c r="S1636">
        <v>1.1003879999999999</v>
      </c>
      <c r="T1636">
        <v>-0.14967059999999999</v>
      </c>
      <c r="U1636">
        <v>-3.0632630000000001</v>
      </c>
      <c r="V1636">
        <v>0.32493329999999998</v>
      </c>
      <c r="W1636">
        <v>-6.4621769999999995E-2</v>
      </c>
      <c r="X1636">
        <v>0.94352659999999999</v>
      </c>
      <c r="Y1636">
        <v>0.66296259999999996</v>
      </c>
      <c r="Z1636">
        <v>-5.9439509999999899E-3</v>
      </c>
      <c r="AA1636">
        <v>0.74862899999999999</v>
      </c>
      <c r="AB1636">
        <v>22</v>
      </c>
      <c r="AC1636">
        <v>8.0717000000000194</v>
      </c>
      <c r="AD1636">
        <v>-1.111582178038</v>
      </c>
      <c r="AE1636">
        <v>-22.6874</v>
      </c>
      <c r="AF1636">
        <v>16.000552931135001</v>
      </c>
      <c r="AG1636">
        <v>-1.111582178038</v>
      </c>
      <c r="AH1636">
        <v>17.9273370026484</v>
      </c>
      <c r="AI1636">
        <v>92.648583350042102</v>
      </c>
      <c r="AJ1636">
        <v>48.250368417978201</v>
      </c>
      <c r="AK1636">
        <v>24.054993682125801</v>
      </c>
      <c r="AL1636">
        <v>93.705136376579105</v>
      </c>
      <c r="AM1636">
        <v>70.997229278497898</v>
      </c>
      <c r="AN1636">
        <v>1.0000000337571899</v>
      </c>
    </row>
    <row r="1637" spans="1:40" x14ac:dyDescent="0.25">
      <c r="A1637" t="str">
        <f>"20190303153806487"</f>
        <v>20190303153806487</v>
      </c>
      <c r="B1637" t="str">
        <f>"1551598686480401"</f>
        <v>1551598686480401</v>
      </c>
      <c r="C1637" t="s">
        <v>40</v>
      </c>
      <c r="D1637">
        <v>5.0075209999999997</v>
      </c>
      <c r="E1637">
        <v>0.69297519999999901</v>
      </c>
      <c r="F1637" t="s">
        <v>42</v>
      </c>
      <c r="G1637">
        <v>-193.04820000000001</v>
      </c>
      <c r="H1637" s="1">
        <v>-1.41296E-6</v>
      </c>
      <c r="I1637">
        <v>340.99220000000003</v>
      </c>
      <c r="J1637">
        <v>-199.1771</v>
      </c>
      <c r="K1637">
        <v>1.1115120000000001</v>
      </c>
      <c r="L1637">
        <v>364.20150000000001</v>
      </c>
      <c r="M1637">
        <v>0.87306489999999903</v>
      </c>
      <c r="N1637">
        <v>-1.5673039999999999E-2</v>
      </c>
      <c r="O1637">
        <v>-0.48735250000000002</v>
      </c>
      <c r="P1637">
        <v>0.66371910000000001</v>
      </c>
      <c r="Q1637">
        <v>-7.1583750000000002E-2</v>
      </c>
      <c r="R1637">
        <v>-0.74454919999999902</v>
      </c>
      <c r="S1637">
        <v>0.87208560000000002</v>
      </c>
      <c r="T1637">
        <v>-0.15545789999999901</v>
      </c>
      <c r="U1637">
        <v>-3.2555540000000001</v>
      </c>
      <c r="V1637">
        <v>0.3251791</v>
      </c>
      <c r="W1637">
        <v>-6.4516089999999998E-2</v>
      </c>
      <c r="X1637">
        <v>0.94344910000000004</v>
      </c>
      <c r="Y1637">
        <v>0.71662179999999998</v>
      </c>
      <c r="Z1637">
        <v>-7.9445109999999996E-3</v>
      </c>
      <c r="AA1637">
        <v>0.6974167</v>
      </c>
      <c r="AB1637">
        <v>22</v>
      </c>
      <c r="AC1637">
        <v>6.1288999999999803</v>
      </c>
      <c r="AD1637">
        <v>-1.1115134129599999</v>
      </c>
      <c r="AE1637">
        <v>-23.209299999999899</v>
      </c>
      <c r="AF1637">
        <v>17.241443013609398</v>
      </c>
      <c r="AG1637">
        <v>-1.1115134129599999</v>
      </c>
      <c r="AH1637">
        <v>16.628429399709901</v>
      </c>
      <c r="AI1637">
        <v>92.656783928242305</v>
      </c>
      <c r="AJ1637">
        <v>43.963112171915199</v>
      </c>
      <c r="AK1637">
        <v>23.979313659065902</v>
      </c>
      <c r="AL1637">
        <v>93.699068864272903</v>
      </c>
      <c r="AM1637">
        <v>70.982436794695005</v>
      </c>
      <c r="AN1637">
        <v>0.99999998861825401</v>
      </c>
    </row>
    <row r="1638" spans="1:40" x14ac:dyDescent="0.25">
      <c r="A1638" t="str">
        <f>"20190303153806498"</f>
        <v>20190303153806498</v>
      </c>
      <c r="B1638" t="str">
        <f>"1551598686490161"</f>
        <v>1551598686490161</v>
      </c>
      <c r="C1638" t="s">
        <v>40</v>
      </c>
      <c r="D1638">
        <v>4.9935450000000001</v>
      </c>
      <c r="E1638">
        <v>0.69204960000000004</v>
      </c>
      <c r="F1638" t="s">
        <v>42</v>
      </c>
      <c r="G1638">
        <v>-193.37430000000001</v>
      </c>
      <c r="H1638" s="1">
        <v>-1.855053E-6</v>
      </c>
      <c r="I1638">
        <v>341.82040000000001</v>
      </c>
      <c r="J1638">
        <v>-199.07480000000001</v>
      </c>
      <c r="K1638">
        <v>1.1114459999999999</v>
      </c>
      <c r="L1638">
        <v>364.13330000000002</v>
      </c>
      <c r="M1638">
        <v>0.86883169999999899</v>
      </c>
      <c r="N1638">
        <v>-1.5712609999999998E-2</v>
      </c>
      <c r="O1638">
        <v>-0.49485800000000002</v>
      </c>
      <c r="P1638">
        <v>0.65719430000000001</v>
      </c>
      <c r="Q1638">
        <v>-7.1278560000000005E-2</v>
      </c>
      <c r="R1638">
        <v>-0.75034330000000005</v>
      </c>
      <c r="S1638">
        <v>0.84527589999999997</v>
      </c>
      <c r="T1638">
        <v>-0.16191159999999999</v>
      </c>
      <c r="U1638">
        <v>-3.2601930000000001</v>
      </c>
      <c r="V1638">
        <v>0.32530609999999999</v>
      </c>
      <c r="W1638">
        <v>-6.4232609999999996E-2</v>
      </c>
      <c r="X1638">
        <v>0.94342459999999995</v>
      </c>
      <c r="Y1638">
        <v>0.71619149999999998</v>
      </c>
      <c r="Z1638">
        <v>-7.370293E-3</v>
      </c>
      <c r="AA1638">
        <v>0.69786479999999995</v>
      </c>
      <c r="AB1638">
        <v>22</v>
      </c>
      <c r="AC1638">
        <v>5.7004999999999999</v>
      </c>
      <c r="AD1638">
        <v>-1.111447855053</v>
      </c>
      <c r="AE1638">
        <v>-22.312899999999999</v>
      </c>
      <c r="AF1638">
        <v>16.5287645315486</v>
      </c>
      <c r="AG1638">
        <v>-1.111447855053</v>
      </c>
      <c r="AH1638">
        <v>15.9592957931039</v>
      </c>
      <c r="AI1638">
        <v>92.769477336866103</v>
      </c>
      <c r="AJ1638">
        <v>43.995790641298697</v>
      </c>
      <c r="AK1638">
        <v>23.002923629088301</v>
      </c>
      <c r="AL1638">
        <v>93.6827931082465</v>
      </c>
      <c r="AM1638">
        <v>70.975084790001205</v>
      </c>
      <c r="AN1638">
        <v>0.99999993138488796</v>
      </c>
    </row>
    <row r="1639" spans="1:40" x14ac:dyDescent="0.25">
      <c r="A1639" t="str">
        <f>"20190303153806512"</f>
        <v>20190303153806512</v>
      </c>
      <c r="B1639" t="str">
        <f>"1551598686510656"</f>
        <v>1551598686510656</v>
      </c>
      <c r="C1639" t="s">
        <v>40</v>
      </c>
      <c r="D1639">
        <v>5.0203749999999996</v>
      </c>
      <c r="E1639">
        <v>0.6908398</v>
      </c>
      <c r="F1639" t="s">
        <v>42</v>
      </c>
      <c r="G1639">
        <v>-193.3074</v>
      </c>
      <c r="H1639" s="1">
        <v>-1.5946729999999901E-6</v>
      </c>
      <c r="I1639">
        <v>341.255</v>
      </c>
      <c r="J1639">
        <v>-198.96600000000001</v>
      </c>
      <c r="K1639">
        <v>1.111375</v>
      </c>
      <c r="L1639">
        <v>364.06</v>
      </c>
      <c r="M1639">
        <v>0.86421759999999903</v>
      </c>
      <c r="N1639">
        <v>-1.575408E-2</v>
      </c>
      <c r="O1639">
        <v>-0.50287150000000003</v>
      </c>
      <c r="P1639">
        <v>0.64964560000000005</v>
      </c>
      <c r="Q1639">
        <v>-7.0932239999999994E-2</v>
      </c>
      <c r="R1639">
        <v>-0.75692090000000001</v>
      </c>
      <c r="S1639">
        <v>0.82249450000000002</v>
      </c>
      <c r="T1639">
        <v>-0.15850590000000001</v>
      </c>
      <c r="U1639">
        <v>-3.2627259999999998</v>
      </c>
      <c r="V1639">
        <v>0.32605590000000001</v>
      </c>
      <c r="W1639">
        <v>-6.3927579999999998E-2</v>
      </c>
      <c r="X1639">
        <v>0.94318650000000004</v>
      </c>
      <c r="Y1639">
        <v>0.71446869999999996</v>
      </c>
      <c r="Z1639">
        <v>-7.0774820000000004E-3</v>
      </c>
      <c r="AA1639">
        <v>0.69963160000000002</v>
      </c>
      <c r="AB1639">
        <v>22</v>
      </c>
      <c r="AC1639">
        <v>5.6585999999999697</v>
      </c>
      <c r="AD1639">
        <v>-1.1113765946729901</v>
      </c>
      <c r="AE1639">
        <v>-22.805</v>
      </c>
      <c r="AF1639">
        <v>16.827379688505498</v>
      </c>
      <c r="AG1639">
        <v>-1.1113765946729901</v>
      </c>
      <c r="AH1639">
        <v>16.3237563482326</v>
      </c>
      <c r="AI1639">
        <v>92.714096857968997</v>
      </c>
      <c r="AJ1639">
        <v>44.129644537818201</v>
      </c>
      <c r="AK1639">
        <v>23.470425782946101</v>
      </c>
      <c r="AL1639">
        <v>93.665280005111299</v>
      </c>
      <c r="AM1639">
        <v>70.929931628145397</v>
      </c>
      <c r="AN1639">
        <v>0.99999997959585796</v>
      </c>
    </row>
    <row r="1640" spans="1:40" x14ac:dyDescent="0.25">
      <c r="A1640" t="str">
        <f>"20190303153806529"</f>
        <v>20190303153806529</v>
      </c>
      <c r="B1640" t="str">
        <f>"1551598686520416"</f>
        <v>1551598686520416</v>
      </c>
      <c r="C1640" t="s">
        <v>40</v>
      </c>
      <c r="D1640">
        <v>4.9939640000000001</v>
      </c>
      <c r="E1640">
        <v>0.69024169999999996</v>
      </c>
      <c r="F1640" t="s">
        <v>42</v>
      </c>
      <c r="G1640">
        <v>-193.42740000000001</v>
      </c>
      <c r="H1640" s="1">
        <v>-1.67146899999999E-6</v>
      </c>
      <c r="I1640">
        <v>341.3596</v>
      </c>
      <c r="J1640">
        <v>-198.82470000000001</v>
      </c>
      <c r="K1640">
        <v>1.111283</v>
      </c>
      <c r="L1640">
        <v>363.96210000000002</v>
      </c>
      <c r="M1640">
        <v>0.85798099999999999</v>
      </c>
      <c r="N1640">
        <v>-1.580819E-2</v>
      </c>
      <c r="O1640">
        <v>-0.51343819999999996</v>
      </c>
      <c r="P1640">
        <v>0.6398355</v>
      </c>
      <c r="Q1640">
        <v>-7.0668419999999996E-2</v>
      </c>
      <c r="R1640">
        <v>-0.7652563</v>
      </c>
      <c r="S1640">
        <v>0.79656979999999999</v>
      </c>
      <c r="T1640">
        <v>-0.15983839999999999</v>
      </c>
      <c r="U1640">
        <v>-3.2647710000000001</v>
      </c>
      <c r="V1640">
        <v>0.32665169999999999</v>
      </c>
      <c r="W1640">
        <v>-6.3706520000000003E-2</v>
      </c>
      <c r="X1640">
        <v>0.94299529999999998</v>
      </c>
      <c r="Y1640">
        <v>0.71121889999999999</v>
      </c>
      <c r="Z1640">
        <v>-6.4109750000000002E-3</v>
      </c>
      <c r="AA1640">
        <v>0.70294140000000005</v>
      </c>
      <c r="AB1640">
        <v>22</v>
      </c>
      <c r="AC1640">
        <v>5.3973000000000004</v>
      </c>
      <c r="AD1640">
        <v>-1.1112846714689999</v>
      </c>
      <c r="AE1640">
        <v>-22.602499999999999</v>
      </c>
      <c r="AF1640">
        <v>16.585482185724899</v>
      </c>
      <c r="AG1640">
        <v>-1.1112846714689999</v>
      </c>
      <c r="AH1640">
        <v>16.200746093261799</v>
      </c>
      <c r="AI1640">
        <v>92.744159452656902</v>
      </c>
      <c r="AJ1640">
        <v>44.3276828797988</v>
      </c>
      <c r="AK1640">
        <v>23.211577863910499</v>
      </c>
      <c r="AL1640">
        <v>93.652588273622698</v>
      </c>
      <c r="AM1640">
        <v>70.894016034046899</v>
      </c>
      <c r="AN1640">
        <v>0.99999999481274504</v>
      </c>
    </row>
    <row r="1641" spans="1:40" x14ac:dyDescent="0.25">
      <c r="A1641" t="str">
        <f>"20190303153806542"</f>
        <v>20190303153806542</v>
      </c>
      <c r="B1641" t="str">
        <f>"1551598686539936"</f>
        <v>1551598686539936</v>
      </c>
      <c r="C1641" t="s">
        <v>40</v>
      </c>
      <c r="D1641">
        <v>5.0005040000000003</v>
      </c>
      <c r="E1641">
        <v>0.68903149999999902</v>
      </c>
      <c r="F1641" t="s">
        <v>42</v>
      </c>
      <c r="G1641">
        <v>-193.6215</v>
      </c>
      <c r="H1641" s="1">
        <v>-1.791057E-6</v>
      </c>
      <c r="I1641">
        <v>341.5179</v>
      </c>
      <c r="J1641">
        <v>-198.7098</v>
      </c>
      <c r="K1641">
        <v>1.111205</v>
      </c>
      <c r="L1641">
        <v>363.87990000000002</v>
      </c>
      <c r="M1641">
        <v>0.85268269999999902</v>
      </c>
      <c r="N1641">
        <v>-1.5853229999999999E-2</v>
      </c>
      <c r="O1641">
        <v>-0.5221884</v>
      </c>
      <c r="P1641">
        <v>0.63210869999999997</v>
      </c>
      <c r="Q1641">
        <v>-7.1163599999999994E-2</v>
      </c>
      <c r="R1641">
        <v>-0.7716054</v>
      </c>
      <c r="S1641">
        <v>0.75834659999999998</v>
      </c>
      <c r="T1641">
        <v>-0.161967</v>
      </c>
      <c r="U1641">
        <v>-3.2711790000000001</v>
      </c>
      <c r="V1641">
        <v>0.32642450000000001</v>
      </c>
      <c r="W1641">
        <v>-6.4213549999999994E-2</v>
      </c>
      <c r="X1641">
        <v>0.94303959999999998</v>
      </c>
      <c r="Y1641">
        <v>0.71211089999999999</v>
      </c>
      <c r="Z1641">
        <v>-5.961956E-3</v>
      </c>
      <c r="AA1641">
        <v>0.70204169999999999</v>
      </c>
      <c r="AB1641">
        <v>22</v>
      </c>
      <c r="AC1641">
        <v>5.0883000000000003</v>
      </c>
      <c r="AD1641">
        <v>-1.111206791057</v>
      </c>
      <c r="AE1641">
        <v>-22.361999999999998</v>
      </c>
      <c r="AF1641">
        <v>16.374261125879801</v>
      </c>
      <c r="AG1641">
        <v>-1.111206791057</v>
      </c>
      <c r="AH1641">
        <v>15.980379282189899</v>
      </c>
      <c r="AI1641">
        <v>92.780498366838202</v>
      </c>
      <c r="AJ1641">
        <v>44.302521919268898</v>
      </c>
      <c r="AK1641">
        <v>22.9068489747856</v>
      </c>
      <c r="AL1641">
        <v>93.681698499104698</v>
      </c>
      <c r="AM1641">
        <v>70.907174509762598</v>
      </c>
      <c r="AN1641">
        <v>1.0000000106860001</v>
      </c>
    </row>
    <row r="1642" spans="1:40" x14ac:dyDescent="0.25">
      <c r="A1642" t="str">
        <f>"20190303153806555"</f>
        <v>20190303153806555</v>
      </c>
      <c r="B1642" t="str">
        <f>"1551598686550673"</f>
        <v>1551598686550673</v>
      </c>
      <c r="C1642" t="s">
        <v>40</v>
      </c>
      <c r="D1642">
        <v>4.99458</v>
      </c>
      <c r="E1642">
        <v>0.68840610000000002</v>
      </c>
      <c r="F1642" t="s">
        <v>42</v>
      </c>
      <c r="G1642">
        <v>-193.73650000000001</v>
      </c>
      <c r="H1642" s="1">
        <v>-1.8866259999999999E-6</v>
      </c>
      <c r="I1642">
        <v>341.6694</v>
      </c>
      <c r="J1642">
        <v>-198.6052</v>
      </c>
      <c r="K1642">
        <v>1.1111390000000001</v>
      </c>
      <c r="L1642">
        <v>363.80380000000002</v>
      </c>
      <c r="M1642">
        <v>0.84771790000000002</v>
      </c>
      <c r="N1642">
        <v>-1.589428E-2</v>
      </c>
      <c r="O1642">
        <v>-0.53020919999999905</v>
      </c>
      <c r="P1642">
        <v>0.62518119999999999</v>
      </c>
      <c r="Q1642">
        <v>-7.1145700000000006E-2</v>
      </c>
      <c r="R1642">
        <v>-0.77723030000000004</v>
      </c>
      <c r="S1642">
        <v>0.7327728</v>
      </c>
      <c r="T1642">
        <v>-0.1637295</v>
      </c>
      <c r="U1642">
        <v>-3.272583</v>
      </c>
      <c r="V1642">
        <v>0.32595619999999997</v>
      </c>
      <c r="W1642">
        <v>-6.4198309999999995E-2</v>
      </c>
      <c r="X1642">
        <v>0.9432026</v>
      </c>
      <c r="Y1642">
        <v>0.71076649999999997</v>
      </c>
      <c r="Z1642">
        <v>-5.4408049999999999E-3</v>
      </c>
      <c r="AA1642">
        <v>0.703407</v>
      </c>
      <c r="AB1642">
        <v>22</v>
      </c>
      <c r="AC1642">
        <v>4.8686999999999898</v>
      </c>
      <c r="AD1642">
        <v>-1.111140886626</v>
      </c>
      <c r="AE1642">
        <v>-22.134399999999999</v>
      </c>
      <c r="AF1642">
        <v>16.145532242020501</v>
      </c>
      <c r="AG1642">
        <v>-1.111140886626</v>
      </c>
      <c r="AH1642">
        <v>15.827106438224</v>
      </c>
      <c r="AI1642">
        <v>92.813568278832506</v>
      </c>
      <c r="AJ1642">
        <v>44.429391747955002</v>
      </c>
      <c r="AK1642">
        <v>22.636478163683702</v>
      </c>
      <c r="AL1642">
        <v>93.680823523359095</v>
      </c>
      <c r="AM1642">
        <v>70.935643693593903</v>
      </c>
      <c r="AN1642">
        <v>1.0000000059860199</v>
      </c>
    </row>
    <row r="1643" spans="1:40" x14ac:dyDescent="0.25">
      <c r="A1643" t="str">
        <f>"20190303153806573"</f>
        <v>20190303153806573</v>
      </c>
      <c r="B1643" t="str">
        <f>"1551598686560432"</f>
        <v>1551598686560432</v>
      </c>
      <c r="C1643" t="s">
        <v>40</v>
      </c>
      <c r="D1643">
        <v>4.979031</v>
      </c>
      <c r="E1643">
        <v>0.68790439999999997</v>
      </c>
      <c r="F1643" t="s">
        <v>42</v>
      </c>
      <c r="G1643">
        <v>-193.8355</v>
      </c>
      <c r="H1643" s="1">
        <v>-1.9294230000000001E-6</v>
      </c>
      <c r="I1643">
        <v>341.70769999999999</v>
      </c>
      <c r="J1643">
        <v>-198.4658</v>
      </c>
      <c r="K1643">
        <v>1.111051</v>
      </c>
      <c r="L1643">
        <v>363.69990000000001</v>
      </c>
      <c r="M1643">
        <v>0.84085330000000003</v>
      </c>
      <c r="N1643">
        <v>-1.5949700000000001E-2</v>
      </c>
      <c r="O1643">
        <v>-0.54102810000000001</v>
      </c>
      <c r="P1643">
        <v>0.61659410000000003</v>
      </c>
      <c r="Q1643">
        <v>-7.1084629999999996E-2</v>
      </c>
      <c r="R1643">
        <v>-0.78406569999999998</v>
      </c>
      <c r="S1643">
        <v>0.70715329999999998</v>
      </c>
      <c r="T1643">
        <v>-0.16473840000000001</v>
      </c>
      <c r="U1643">
        <v>-3.27597</v>
      </c>
      <c r="V1643">
        <v>0.32423920000000001</v>
      </c>
      <c r="W1643">
        <v>-6.4107659999999997E-2</v>
      </c>
      <c r="X1643">
        <v>0.94380039999999998</v>
      </c>
      <c r="Y1643">
        <v>0.70715569999999905</v>
      </c>
      <c r="Z1643">
        <v>-4.7210830000000001E-3</v>
      </c>
      <c r="AA1643">
        <v>0.70704209999999901</v>
      </c>
      <c r="AB1643">
        <v>22</v>
      </c>
      <c r="AC1643">
        <v>4.6303000000000001</v>
      </c>
      <c r="AD1643">
        <v>-1.111052929423</v>
      </c>
      <c r="AE1643">
        <v>-21.9922</v>
      </c>
      <c r="AF1643">
        <v>15.950143259437899</v>
      </c>
      <c r="AG1643">
        <v>-1.111052929423</v>
      </c>
      <c r="AH1643">
        <v>15.7553042840524</v>
      </c>
      <c r="AI1643">
        <v>92.837103221262794</v>
      </c>
      <c r="AJ1643">
        <v>44.647905602509503</v>
      </c>
      <c r="AK1643">
        <v>22.4470737890633</v>
      </c>
      <c r="AL1643">
        <v>93.675618877437898</v>
      </c>
      <c r="AM1643">
        <v>71.040027114931704</v>
      </c>
      <c r="AN1643">
        <v>1.00000002296373</v>
      </c>
    </row>
    <row r="1644" spans="1:40" x14ac:dyDescent="0.25">
      <c r="A1644" t="str">
        <f>"20190303153806594"</f>
        <v>20190303153806594</v>
      </c>
      <c r="B1644" t="str">
        <f>"1551598686590689"</f>
        <v>1551598686590689</v>
      </c>
      <c r="C1644" t="s">
        <v>40</v>
      </c>
      <c r="D1644">
        <v>4.9688290000000004</v>
      </c>
      <c r="E1644">
        <v>0.68612830000000002</v>
      </c>
      <c r="F1644" t="s">
        <v>42</v>
      </c>
      <c r="G1644">
        <v>-193.92679999999999</v>
      </c>
      <c r="H1644" s="1">
        <v>-1.9161199999999999E-6</v>
      </c>
      <c r="I1644">
        <v>341.62009999999998</v>
      </c>
      <c r="J1644">
        <v>-198.2912</v>
      </c>
      <c r="K1644">
        <v>1.1109439999999999</v>
      </c>
      <c r="L1644">
        <v>363.5652</v>
      </c>
      <c r="M1644">
        <v>0.83181589999999905</v>
      </c>
      <c r="N1644">
        <v>-1.602085E-2</v>
      </c>
      <c r="O1644">
        <v>-0.55482019999999999</v>
      </c>
      <c r="P1644">
        <v>0.60551379999999999</v>
      </c>
      <c r="Q1644">
        <v>-7.0994039999999994E-2</v>
      </c>
      <c r="R1644">
        <v>-0.79266190000000003</v>
      </c>
      <c r="S1644">
        <v>0.67446899999999999</v>
      </c>
      <c r="T1644">
        <v>-0.16509579999999999</v>
      </c>
      <c r="U1644">
        <v>-3.2809140000000001</v>
      </c>
      <c r="V1644">
        <v>0.3219341</v>
      </c>
      <c r="W1644">
        <v>-6.3972139999999997E-2</v>
      </c>
      <c r="X1644">
        <v>0.9445983</v>
      </c>
      <c r="Y1644">
        <v>0.70246180000000003</v>
      </c>
      <c r="Z1644">
        <v>-3.8449349999999998E-3</v>
      </c>
      <c r="AA1644">
        <v>0.71171099999999998</v>
      </c>
      <c r="AB1644">
        <v>22</v>
      </c>
      <c r="AC1644">
        <v>4.3644000000000096</v>
      </c>
      <c r="AD1644">
        <v>-1.1109459161199999</v>
      </c>
      <c r="AE1644">
        <v>-21.9451</v>
      </c>
      <c r="AF1644">
        <v>15.7959183971602</v>
      </c>
      <c r="AG1644">
        <v>-1.1109459161199999</v>
      </c>
      <c r="AH1644">
        <v>15.7691172771979</v>
      </c>
      <c r="AI1644">
        <v>92.849481517991507</v>
      </c>
      <c r="AJ1644">
        <v>44.951351530000103</v>
      </c>
      <c r="AK1644">
        <v>22.347489759261801</v>
      </c>
      <c r="AL1644">
        <v>93.667838362641902</v>
      </c>
      <c r="AM1644">
        <v>71.180074702241896</v>
      </c>
      <c r="AN1644">
        <v>0.99999997390093898</v>
      </c>
    </row>
    <row r="1645" spans="1:40" x14ac:dyDescent="0.25">
      <c r="A1645" t="str">
        <f>"20190303153806606"</f>
        <v>20190303153806606</v>
      </c>
      <c r="B1645" t="str">
        <f>"1551598686600450"</f>
        <v>1551598686600450</v>
      </c>
      <c r="C1645" t="s">
        <v>40</v>
      </c>
      <c r="D1645">
        <v>4.9856099999999897</v>
      </c>
      <c r="E1645">
        <v>0.68558149999999995</v>
      </c>
      <c r="F1645" t="s">
        <v>42</v>
      </c>
      <c r="G1645">
        <v>-193.98929999999999</v>
      </c>
      <c r="H1645" s="1">
        <v>-1.874024E-6</v>
      </c>
      <c r="I1645">
        <v>341.48320000000001</v>
      </c>
      <c r="J1645">
        <v>-198.1901</v>
      </c>
      <c r="K1645">
        <v>1.1108819999999999</v>
      </c>
      <c r="L1645">
        <v>363.48509999999999</v>
      </c>
      <c r="M1645">
        <v>0.82637109999999903</v>
      </c>
      <c r="N1645">
        <v>-1.606223E-2</v>
      </c>
      <c r="O1645">
        <v>-0.56289679999999997</v>
      </c>
      <c r="P1645">
        <v>0.59897080000000003</v>
      </c>
      <c r="Q1645">
        <v>-7.1048130000000001E-2</v>
      </c>
      <c r="R1645">
        <v>-0.79761269999999995</v>
      </c>
      <c r="S1645">
        <v>0.63931269999999996</v>
      </c>
      <c r="T1645">
        <v>-0.16509879999999999</v>
      </c>
      <c r="U1645">
        <v>-3.2816160000000001</v>
      </c>
      <c r="V1645">
        <v>0.3204922</v>
      </c>
      <c r="W1645">
        <v>-6.3994510000000004E-2</v>
      </c>
      <c r="X1645">
        <v>0.94508700000000001</v>
      </c>
      <c r="Y1645">
        <v>0.70289259999999998</v>
      </c>
      <c r="Z1645">
        <v>-3.4661750000000002E-3</v>
      </c>
      <c r="AA1645">
        <v>0.71128749999999996</v>
      </c>
      <c r="AB1645">
        <v>22</v>
      </c>
      <c r="AC1645">
        <v>4.2008000000000099</v>
      </c>
      <c r="AD1645">
        <v>-1.1108838740239999</v>
      </c>
      <c r="AE1645">
        <v>-22.0018999999999</v>
      </c>
      <c r="AF1645">
        <v>15.780344653722601</v>
      </c>
      <c r="AG1645">
        <v>-1.1108838740239999</v>
      </c>
      <c r="AH1645">
        <v>15.819355141137301</v>
      </c>
      <c r="AI1645">
        <v>92.846201009518396</v>
      </c>
      <c r="AJ1645">
        <v>45.070732796977197</v>
      </c>
      <c r="AK1645">
        <v>22.371976610332499</v>
      </c>
      <c r="AL1645">
        <v>93.669122632320907</v>
      </c>
      <c r="AM1645">
        <v>71.267484667448997</v>
      </c>
      <c r="AN1645">
        <v>0.99999999256998995</v>
      </c>
    </row>
    <row r="1646" spans="1:40" x14ac:dyDescent="0.25">
      <c r="A1646" t="str">
        <f>"20190303153806618"</f>
        <v>20190303153806618</v>
      </c>
      <c r="B1646" t="str">
        <f>"1551598686610208"</f>
        <v>1551598686610208</v>
      </c>
      <c r="C1646" t="s">
        <v>40</v>
      </c>
      <c r="D1646">
        <v>5.007028</v>
      </c>
      <c r="E1646">
        <v>0.68558149999999995</v>
      </c>
      <c r="F1646" t="s">
        <v>42</v>
      </c>
      <c r="G1646">
        <v>-194.03110000000001</v>
      </c>
      <c r="H1646" s="1">
        <v>-1.8121829999999999E-6</v>
      </c>
      <c r="I1646">
        <v>341.31319999999999</v>
      </c>
      <c r="J1646">
        <v>-198.10319999999999</v>
      </c>
      <c r="K1646">
        <v>1.110833</v>
      </c>
      <c r="L1646">
        <v>363.4144</v>
      </c>
      <c r="M1646">
        <v>0.82153180000000003</v>
      </c>
      <c r="N1646">
        <v>-1.6097770000000001E-2</v>
      </c>
      <c r="O1646">
        <v>-0.56993539999999998</v>
      </c>
      <c r="P1646">
        <v>0.59340859999999995</v>
      </c>
      <c r="Q1646">
        <v>-7.0966589999999996E-2</v>
      </c>
      <c r="R1646">
        <v>-0.80176669999999906</v>
      </c>
      <c r="S1646">
        <v>0.61601260000000002</v>
      </c>
      <c r="T1646">
        <v>-0.16453870000000001</v>
      </c>
      <c r="U1646">
        <v>-3.2839969999999998</v>
      </c>
      <c r="V1646">
        <v>0.31899429999999901</v>
      </c>
      <c r="W1646">
        <v>-6.3875199999999993E-2</v>
      </c>
      <c r="X1646">
        <v>0.94560169999999999</v>
      </c>
      <c r="Y1646">
        <v>0.70179060000000004</v>
      </c>
      <c r="Z1646">
        <v>-3.11729E-3</v>
      </c>
      <c r="AA1646">
        <v>0.71237640000000002</v>
      </c>
      <c r="AB1646">
        <v>22</v>
      </c>
      <c r="AC1646">
        <v>4.0720999999999696</v>
      </c>
      <c r="AD1646">
        <v>-1.1108348121830001</v>
      </c>
      <c r="AE1646">
        <v>-22.101199999999999</v>
      </c>
      <c r="AF1646">
        <v>15.799454854924599</v>
      </c>
      <c r="AG1646">
        <v>-1.1108348121830001</v>
      </c>
      <c r="AH1646">
        <v>15.904822331498799</v>
      </c>
      <c r="AI1646">
        <v>92.836689536337005</v>
      </c>
      <c r="AJ1646">
        <v>45.1904187704096</v>
      </c>
      <c r="AK1646">
        <v>22.4459372958516</v>
      </c>
      <c r="AL1646">
        <v>93.662272668339696</v>
      </c>
      <c r="AM1646">
        <v>71.358418303429502</v>
      </c>
      <c r="AN1646">
        <v>0.99999998982520999</v>
      </c>
    </row>
    <row r="1647" spans="1:40" x14ac:dyDescent="0.25">
      <c r="A1647" t="str">
        <f>"20190303153806631"</f>
        <v>20190303153806631</v>
      </c>
      <c r="B1647" t="str">
        <f>"1551598686619969"</f>
        <v>1551598686619969</v>
      </c>
      <c r="C1647" t="s">
        <v>40</v>
      </c>
      <c r="D1647">
        <v>4.9496359999999999</v>
      </c>
      <c r="E1647">
        <v>0.67501319999999998</v>
      </c>
      <c r="F1647" t="s">
        <v>42</v>
      </c>
      <c r="G1647">
        <v>-194.0659</v>
      </c>
      <c r="H1647" s="1">
        <v>-1.7009119999999901E-6</v>
      </c>
      <c r="I1647">
        <v>341.03219999999999</v>
      </c>
      <c r="J1647">
        <v>-198.00059999999999</v>
      </c>
      <c r="K1647">
        <v>1.110773</v>
      </c>
      <c r="L1647">
        <v>363.33</v>
      </c>
      <c r="M1647">
        <v>0.81568739999999995</v>
      </c>
      <c r="N1647">
        <v>-1.6139029999999999E-2</v>
      </c>
      <c r="O1647">
        <v>-0.57826809999999995</v>
      </c>
      <c r="P1647">
        <v>0.58629849999999994</v>
      </c>
      <c r="Q1647">
        <v>-7.1004869999999998E-2</v>
      </c>
      <c r="R1647">
        <v>-0.80697769999999902</v>
      </c>
      <c r="S1647">
        <v>0.59313959999999999</v>
      </c>
      <c r="T1647">
        <v>-0.16319910000000001</v>
      </c>
      <c r="U1647">
        <v>-3.2883</v>
      </c>
      <c r="V1647">
        <v>0.31771650000000001</v>
      </c>
      <c r="W1647">
        <v>-6.3883990000000002E-2</v>
      </c>
      <c r="X1647">
        <v>0.94603119999999996</v>
      </c>
      <c r="Y1647">
        <v>0.69951459999999999</v>
      </c>
      <c r="Z1647">
        <v>-2.7216919999999999E-3</v>
      </c>
      <c r="AA1647">
        <v>0.71461319999999995</v>
      </c>
      <c r="AB1647">
        <v>22</v>
      </c>
      <c r="AC1647">
        <v>3.9346999999999901</v>
      </c>
      <c r="AD1647">
        <v>-1.1107747009119999</v>
      </c>
      <c r="AE1647">
        <v>-22.297799999999899</v>
      </c>
      <c r="AF1647">
        <v>15.876583430701</v>
      </c>
      <c r="AG1647">
        <v>-1.1107747009119999</v>
      </c>
      <c r="AH1647">
        <v>16.067018584863099</v>
      </c>
      <c r="AI1647">
        <v>92.815284549223605</v>
      </c>
      <c r="AJ1647">
        <v>45.341570788999597</v>
      </c>
      <c r="AK1647">
        <v>22.615233982307899</v>
      </c>
      <c r="AL1647">
        <v>93.662777346796204</v>
      </c>
      <c r="AM1647">
        <v>71.435814042174002</v>
      </c>
      <c r="AN1647">
        <v>0.99999998496200404</v>
      </c>
    </row>
    <row r="1648" spans="1:40" x14ac:dyDescent="0.25">
      <c r="A1648" t="str">
        <f>"20190303153806643"</f>
        <v>20190303153806643</v>
      </c>
      <c r="B1648" t="str">
        <f>"1551598686640464"</f>
        <v>1551598686640464</v>
      </c>
      <c r="C1648" t="s">
        <v>40</v>
      </c>
      <c r="D1648">
        <v>4.9957690000000001</v>
      </c>
      <c r="E1648">
        <v>0.67380249999999997</v>
      </c>
      <c r="F1648" t="s">
        <v>42</v>
      </c>
      <c r="G1648">
        <v>-194.15819999999999</v>
      </c>
      <c r="H1648" s="1">
        <v>-2.8240969999999999E-6</v>
      </c>
      <c r="I1648">
        <v>343.59309999999999</v>
      </c>
      <c r="J1648">
        <v>-197.90369999999999</v>
      </c>
      <c r="K1648">
        <v>1.1107119999999999</v>
      </c>
      <c r="L1648">
        <v>363.24779999999998</v>
      </c>
      <c r="M1648">
        <v>0.80995229999999996</v>
      </c>
      <c r="N1648">
        <v>-1.617859E-2</v>
      </c>
      <c r="O1648">
        <v>-0.58627249999999997</v>
      </c>
      <c r="P1648">
        <v>0.57972659999999998</v>
      </c>
      <c r="Q1648">
        <v>-7.1152199999999999E-2</v>
      </c>
      <c r="R1648">
        <v>-0.81169859999999905</v>
      </c>
      <c r="S1648">
        <v>0.63133240000000002</v>
      </c>
      <c r="T1648">
        <v>-0.18250730000000001</v>
      </c>
      <c r="U1648">
        <v>-3.2428889999999999</v>
      </c>
      <c r="V1648">
        <v>0.31606060000000002</v>
      </c>
      <c r="W1648">
        <v>-6.3990210000000006E-2</v>
      </c>
      <c r="X1648">
        <v>0.94657860000000005</v>
      </c>
      <c r="Y1648">
        <v>0.68234939999999999</v>
      </c>
      <c r="Z1648" s="1">
        <v>8.7747349999999996E-5</v>
      </c>
      <c r="AA1648">
        <v>0.73102619999999996</v>
      </c>
      <c r="AB1648">
        <v>22</v>
      </c>
      <c r="AC1648">
        <v>3.7454999999999901</v>
      </c>
      <c r="AD1648">
        <v>-1.110714824097</v>
      </c>
      <c r="AE1648">
        <v>-19.654699999999899</v>
      </c>
      <c r="AF1648">
        <v>13.6831164660084</v>
      </c>
      <c r="AG1648">
        <v>-1.110714824097</v>
      </c>
      <c r="AH1648">
        <v>14.5138661251355</v>
      </c>
      <c r="AI1648">
        <v>93.187138159410196</v>
      </c>
      <c r="AJ1648">
        <v>46.687580719315903</v>
      </c>
      <c r="AK1648">
        <v>19.9778295503083</v>
      </c>
      <c r="AL1648">
        <v>93.668875551138598</v>
      </c>
      <c r="AM1648">
        <v>71.535943917239095</v>
      </c>
      <c r="AN1648">
        <v>1.0000000479130799</v>
      </c>
    </row>
    <row r="1649" spans="1:40" x14ac:dyDescent="0.25">
      <c r="A1649" t="str">
        <f>"20190303153806655"</f>
        <v>20190303153806655</v>
      </c>
      <c r="B1649" t="str">
        <f>"1551598686650225"</f>
        <v>1551598686650225</v>
      </c>
      <c r="C1649" t="s">
        <v>40</v>
      </c>
      <c r="D1649">
        <v>4.9615130000000001</v>
      </c>
      <c r="E1649">
        <v>0.67345859999999902</v>
      </c>
      <c r="F1649" t="s">
        <v>42</v>
      </c>
      <c r="G1649">
        <v>-194.18279999999999</v>
      </c>
      <c r="H1649" s="1">
        <v>-2.817204E-6</v>
      </c>
      <c r="I1649">
        <v>343.56180000000001</v>
      </c>
      <c r="J1649">
        <v>-197.816</v>
      </c>
      <c r="K1649">
        <v>1.1106579999999999</v>
      </c>
      <c r="L1649">
        <v>363.1721</v>
      </c>
      <c r="M1649">
        <v>0.80461700000000003</v>
      </c>
      <c r="N1649">
        <v>-1.6214639999999999E-2</v>
      </c>
      <c r="O1649">
        <v>-0.59357309999999996</v>
      </c>
      <c r="P1649">
        <v>0.57323290000000005</v>
      </c>
      <c r="Q1649">
        <v>-7.1361969999999997E-2</v>
      </c>
      <c r="R1649">
        <v>-0.81627930000000004</v>
      </c>
      <c r="S1649">
        <v>0.61283869999999996</v>
      </c>
      <c r="T1649">
        <v>-0.18293300000000001</v>
      </c>
      <c r="U1649">
        <v>-3.2422490000000002</v>
      </c>
      <c r="V1649">
        <v>0.315025</v>
      </c>
      <c r="W1649">
        <v>-6.4176910000000004E-2</v>
      </c>
      <c r="X1649">
        <v>0.94691110000000001</v>
      </c>
      <c r="Y1649">
        <v>0.67973739999999905</v>
      </c>
      <c r="Z1649">
        <v>6.6336240000000005E-4</v>
      </c>
      <c r="AA1649">
        <v>0.73345519999999997</v>
      </c>
      <c r="AB1649">
        <v>22</v>
      </c>
      <c r="AC1649">
        <v>3.63319999999998</v>
      </c>
      <c r="AD1649">
        <v>-1.110660817204</v>
      </c>
      <c r="AE1649">
        <v>-19.610299999999899</v>
      </c>
      <c r="AF1649">
        <v>13.5818780895138</v>
      </c>
      <c r="AG1649">
        <v>-1.110660817204</v>
      </c>
      <c r="AH1649">
        <v>14.5203612398765</v>
      </c>
      <c r="AI1649">
        <v>93.197311746185207</v>
      </c>
      <c r="AJ1649">
        <v>46.9126998041626</v>
      </c>
      <c r="AK1649">
        <v>19.9133590944822</v>
      </c>
      <c r="AL1649">
        <v>93.679594775739702</v>
      </c>
      <c r="AM1649">
        <v>71.598387307063902</v>
      </c>
      <c r="AN1649">
        <v>1.00000002885267</v>
      </c>
    </row>
    <row r="1650" spans="1:40" x14ac:dyDescent="0.25">
      <c r="A1650" t="str">
        <f>"20190303153806667"</f>
        <v>20190303153806667</v>
      </c>
      <c r="B1650" t="str">
        <f>"1551598686659985"</f>
        <v>1551598686659985</v>
      </c>
      <c r="C1650" t="s">
        <v>40</v>
      </c>
      <c r="D1650">
        <v>4.9664169999999999</v>
      </c>
      <c r="E1650">
        <v>0.67303169999999901</v>
      </c>
      <c r="F1650" t="s">
        <v>42</v>
      </c>
      <c r="G1650">
        <v>-194.2629</v>
      </c>
      <c r="H1650" s="1">
        <v>-2.8525619999999998E-6</v>
      </c>
      <c r="I1650">
        <v>343.59449999999998</v>
      </c>
      <c r="J1650">
        <v>-197.7148</v>
      </c>
      <c r="K1650">
        <v>1.1105910000000001</v>
      </c>
      <c r="L1650">
        <v>363.08330000000001</v>
      </c>
      <c r="M1650">
        <v>0.79829830000000002</v>
      </c>
      <c r="N1650">
        <v>-1.6256409999999999E-2</v>
      </c>
      <c r="O1650">
        <v>-0.60204290000000005</v>
      </c>
      <c r="P1650">
        <v>0.56585719999999995</v>
      </c>
      <c r="Q1650">
        <v>-7.1592909999999996E-2</v>
      </c>
      <c r="R1650">
        <v>-0.82138909999999998</v>
      </c>
      <c r="S1650">
        <v>0.58900450000000004</v>
      </c>
      <c r="T1650">
        <v>-0.18412029999999999</v>
      </c>
      <c r="U1650">
        <v>-3.2454830000000001</v>
      </c>
      <c r="V1650">
        <v>0.3135175</v>
      </c>
      <c r="W1650">
        <v>-6.437097E-2</v>
      </c>
      <c r="X1650">
        <v>0.94739810000000002</v>
      </c>
      <c r="Y1650">
        <v>0.6773304</v>
      </c>
      <c r="Z1650">
        <v>1.3527529999999999E-3</v>
      </c>
      <c r="AA1650">
        <v>0.73567769999999899</v>
      </c>
      <c r="AB1650">
        <v>22</v>
      </c>
      <c r="AC1650">
        <v>3.45189999999999</v>
      </c>
      <c r="AD1650">
        <v>-1.1105938525619901</v>
      </c>
      <c r="AE1650">
        <v>-19.488800000000001</v>
      </c>
      <c r="AF1650">
        <v>13.4391496188279</v>
      </c>
      <c r="AG1650">
        <v>-1.1105938525619901</v>
      </c>
      <c r="AH1650">
        <v>14.4451708631559</v>
      </c>
      <c r="AI1650">
        <v>93.221753458342604</v>
      </c>
      <c r="AJ1650">
        <v>47.066242983560997</v>
      </c>
      <c r="AK1650">
        <v>19.761253058659001</v>
      </c>
      <c r="AL1650">
        <v>93.690736730884694</v>
      </c>
      <c r="AM1650">
        <v>71.689341162304501</v>
      </c>
      <c r="AN1650">
        <v>1.0000000022343001</v>
      </c>
    </row>
    <row r="1651" spans="1:40" x14ac:dyDescent="0.25">
      <c r="A1651" t="str">
        <f>"20190303153806684"</f>
        <v>20190303153806684</v>
      </c>
      <c r="B1651" t="str">
        <f>"1551598686680481"</f>
        <v>1551598686680481</v>
      </c>
      <c r="C1651" t="s">
        <v>40</v>
      </c>
      <c r="D1651">
        <v>4.9449180000000004</v>
      </c>
      <c r="E1651">
        <v>0.67210999999999999</v>
      </c>
      <c r="F1651" t="s">
        <v>42</v>
      </c>
      <c r="G1651">
        <v>-194.31030000000001</v>
      </c>
      <c r="H1651" s="1">
        <v>-2.7917220000000001E-6</v>
      </c>
      <c r="I1651">
        <v>343.42329999999998</v>
      </c>
      <c r="J1651">
        <v>-197.59889999999999</v>
      </c>
      <c r="K1651">
        <v>1.110509</v>
      </c>
      <c r="L1651">
        <v>362.97829999999999</v>
      </c>
      <c r="M1651">
        <v>0.79075240000000002</v>
      </c>
      <c r="N1651">
        <v>-1.6306939999999999E-2</v>
      </c>
      <c r="O1651">
        <v>-0.61191899999999999</v>
      </c>
      <c r="P1651">
        <v>0.5577278</v>
      </c>
      <c r="Q1651">
        <v>-7.2574589999999994E-2</v>
      </c>
      <c r="R1651">
        <v>-0.82684519999999995</v>
      </c>
      <c r="S1651">
        <v>0.56259159999999997</v>
      </c>
      <c r="T1651">
        <v>-0.18352679999999999</v>
      </c>
      <c r="U1651">
        <v>-3.24884</v>
      </c>
      <c r="V1651">
        <v>0.310984599999999</v>
      </c>
      <c r="W1651">
        <v>-6.5283480000000005E-2</v>
      </c>
      <c r="X1651">
        <v>0.94817019999999996</v>
      </c>
      <c r="Y1651">
        <v>0.67412899999999998</v>
      </c>
      <c r="Z1651">
        <v>2.0032489999999999E-3</v>
      </c>
      <c r="AA1651">
        <v>0.73861089999999996</v>
      </c>
      <c r="AB1651">
        <v>22</v>
      </c>
      <c r="AC1651">
        <v>3.28859999999997</v>
      </c>
      <c r="AD1651">
        <v>-1.110511791722</v>
      </c>
      <c r="AE1651">
        <v>-19.555</v>
      </c>
      <c r="AF1651">
        <v>13.410534633765099</v>
      </c>
      <c r="AG1651">
        <v>-1.110511791722</v>
      </c>
      <c r="AH1651">
        <v>14.5229321422671</v>
      </c>
      <c r="AI1651">
        <v>93.215404487713698</v>
      </c>
      <c r="AJ1651">
        <v>47.280491087240598</v>
      </c>
      <c r="AK1651">
        <v>19.798768487253501</v>
      </c>
      <c r="AL1651">
        <v>93.743129767274297</v>
      </c>
      <c r="AM1651">
        <v>71.841340217773606</v>
      </c>
      <c r="AN1651">
        <v>1.0000000411830501</v>
      </c>
    </row>
    <row r="1652" spans="1:40" x14ac:dyDescent="0.25">
      <c r="A1652" t="str">
        <f>"20190303153806696"</f>
        <v>20190303153806696</v>
      </c>
      <c r="B1652" t="str">
        <f>"1551598686690241"</f>
        <v>1551598686690241</v>
      </c>
      <c r="C1652" t="s">
        <v>40</v>
      </c>
      <c r="D1652">
        <v>4.975822</v>
      </c>
      <c r="E1652">
        <v>0.67152460000000003</v>
      </c>
      <c r="F1652" t="s">
        <v>42</v>
      </c>
      <c r="G1652">
        <v>-194.43469999999999</v>
      </c>
      <c r="H1652" s="1">
        <v>-2.9943420000000002E-6</v>
      </c>
      <c r="I1652">
        <v>343.81849999999997</v>
      </c>
      <c r="J1652">
        <v>-197.51259999999999</v>
      </c>
      <c r="K1652">
        <v>1.1104480000000001</v>
      </c>
      <c r="L1652">
        <v>362.89859999999999</v>
      </c>
      <c r="M1652">
        <v>0.78495959999999998</v>
      </c>
      <c r="N1652">
        <v>-1.6344979999999999E-2</v>
      </c>
      <c r="O1652">
        <v>-0.61933149999999904</v>
      </c>
      <c r="P1652">
        <v>0.55068019999999995</v>
      </c>
      <c r="Q1652">
        <v>-7.3281899999999997E-2</v>
      </c>
      <c r="R1652">
        <v>-0.83149340000000005</v>
      </c>
      <c r="S1652">
        <v>0.53668209999999905</v>
      </c>
      <c r="T1652">
        <v>-0.188357</v>
      </c>
      <c r="U1652">
        <v>-3.2497560000000001</v>
      </c>
      <c r="V1652">
        <v>0.3100483</v>
      </c>
      <c r="W1652">
        <v>-6.5968600000000002E-2</v>
      </c>
      <c r="X1652">
        <v>0.94842930000000003</v>
      </c>
      <c r="Y1652">
        <v>0.67292489999999905</v>
      </c>
      <c r="Z1652">
        <v>2.9543970000000001E-3</v>
      </c>
      <c r="AA1652">
        <v>0.73970480000000005</v>
      </c>
      <c r="AB1652">
        <v>22</v>
      </c>
      <c r="AC1652">
        <v>3.0779000000000001</v>
      </c>
      <c r="AD1652">
        <v>-1.11045099434199</v>
      </c>
      <c r="AE1652">
        <v>-19.080100000000002</v>
      </c>
      <c r="AF1652">
        <v>13.0295978426176</v>
      </c>
      <c r="AG1652">
        <v>-1.11045099434199</v>
      </c>
      <c r="AH1652">
        <v>14.1879956482494</v>
      </c>
      <c r="AI1652">
        <v>93.299240245919904</v>
      </c>
      <c r="AJ1652">
        <v>47.437073418547499</v>
      </c>
      <c r="AK1652">
        <v>19.295148143145401</v>
      </c>
      <c r="AL1652">
        <v>93.782469321647199</v>
      </c>
      <c r="AM1652">
        <v>71.897062461676398</v>
      </c>
      <c r="AN1652">
        <v>0.99999997080866898</v>
      </c>
    </row>
    <row r="1653" spans="1:40" x14ac:dyDescent="0.25">
      <c r="A1653" t="str">
        <f>"20190303153806706"</f>
        <v>20190303153806706</v>
      </c>
      <c r="B1653" t="str">
        <f>"1551598686700001"</f>
        <v>1551598686700001</v>
      </c>
      <c r="C1653" t="s">
        <v>40</v>
      </c>
      <c r="D1653">
        <v>4.4446120000000002</v>
      </c>
      <c r="E1653">
        <v>0.67152460000000003</v>
      </c>
      <c r="F1653" t="s">
        <v>42</v>
      </c>
      <c r="G1653">
        <v>-194.56970000000001</v>
      </c>
      <c r="H1653" s="1">
        <v>-3.2132669999999999E-6</v>
      </c>
      <c r="I1653">
        <v>344.24509999999998</v>
      </c>
      <c r="J1653">
        <v>-197.43</v>
      </c>
      <c r="K1653">
        <v>1.110387</v>
      </c>
      <c r="L1653">
        <v>362.82100000000003</v>
      </c>
      <c r="M1653">
        <v>0.77927760000000001</v>
      </c>
      <c r="N1653">
        <v>-1.6381639999999999E-2</v>
      </c>
      <c r="O1653">
        <v>-0.62646480000000004</v>
      </c>
      <c r="P1653">
        <v>0.544157</v>
      </c>
      <c r="Q1653">
        <v>-7.4299630000000005E-2</v>
      </c>
      <c r="R1653">
        <v>-0.83568699999999996</v>
      </c>
      <c r="S1653">
        <v>0.51292420000000005</v>
      </c>
      <c r="T1653">
        <v>-0.19354489999999999</v>
      </c>
      <c r="U1653">
        <v>-3.2511899999999998</v>
      </c>
      <c r="V1653">
        <v>0.3087162</v>
      </c>
      <c r="W1653">
        <v>-6.6951440000000001E-2</v>
      </c>
      <c r="X1653">
        <v>0.9487949</v>
      </c>
      <c r="Y1653">
        <v>0.67148319999999995</v>
      </c>
      <c r="Z1653">
        <v>3.9631390000000001E-3</v>
      </c>
      <c r="AA1653">
        <v>0.74100919999999904</v>
      </c>
      <c r="AB1653">
        <v>22</v>
      </c>
      <c r="AC1653">
        <v>2.8602999999999899</v>
      </c>
      <c r="AD1653">
        <v>-1.110390213267</v>
      </c>
      <c r="AE1653">
        <v>-18.575899999999901</v>
      </c>
      <c r="AF1653">
        <v>12.641483452148099</v>
      </c>
      <c r="AG1653">
        <v>-1.110390213267</v>
      </c>
      <c r="AH1653">
        <v>13.819739179140999</v>
      </c>
      <c r="AI1653">
        <v>93.392854129316504</v>
      </c>
      <c r="AJ1653">
        <v>47.549561571625098</v>
      </c>
      <c r="AK1653">
        <v>18.762336242486999</v>
      </c>
      <c r="AL1653">
        <v>93.838906671957304</v>
      </c>
      <c r="AM1653">
        <v>71.976294801532603</v>
      </c>
      <c r="AN1653">
        <v>0.99999997486326098</v>
      </c>
    </row>
    <row r="1654" spans="1:40" x14ac:dyDescent="0.25">
      <c r="A1654" t="str">
        <f>"20190303153806718"</f>
        <v>20190303153806718</v>
      </c>
      <c r="B1654" t="str">
        <f>"1551598686710737"</f>
        <v>1551598686710737</v>
      </c>
      <c r="C1654" t="s">
        <v>40</v>
      </c>
      <c r="D1654">
        <v>4.6294969999999998</v>
      </c>
      <c r="E1654">
        <v>0.7013971</v>
      </c>
      <c r="F1654" t="s">
        <v>42</v>
      </c>
      <c r="G1654">
        <v>-194.67910000000001</v>
      </c>
      <c r="H1654" s="1">
        <v>-3.3333829999999999E-6</v>
      </c>
      <c r="I1654">
        <v>344.4572</v>
      </c>
      <c r="J1654">
        <v>-197.34350000000001</v>
      </c>
      <c r="K1654">
        <v>1.11032999999999</v>
      </c>
      <c r="L1654">
        <v>362.73739999999998</v>
      </c>
      <c r="M1654">
        <v>0.77311439999999998</v>
      </c>
      <c r="N1654">
        <v>-1.642062E-2</v>
      </c>
      <c r="O1654">
        <v>-0.63405419999999901</v>
      </c>
      <c r="P1654">
        <v>0.53674630000000001</v>
      </c>
      <c r="Q1654">
        <v>-7.5114150000000005E-2</v>
      </c>
      <c r="R1654">
        <v>-0.84039370000000002</v>
      </c>
      <c r="S1654">
        <v>0.48759459999999999</v>
      </c>
      <c r="T1654">
        <v>-0.19681109999999999</v>
      </c>
      <c r="U1654">
        <v>-3.254883</v>
      </c>
      <c r="V1654">
        <v>0.30774449999999998</v>
      </c>
      <c r="W1654">
        <v>-6.7739930000000004E-2</v>
      </c>
      <c r="X1654">
        <v>0.94905459999999997</v>
      </c>
      <c r="Y1654">
        <v>0.66999439999999999</v>
      </c>
      <c r="Z1654">
        <v>4.8287319999999996E-3</v>
      </c>
      <c r="AA1654">
        <v>0.74235039999999997</v>
      </c>
      <c r="AB1654">
        <v>22</v>
      </c>
      <c r="AC1654">
        <v>2.6644000000000001</v>
      </c>
      <c r="AD1654">
        <v>-1.1103333333830001</v>
      </c>
      <c r="AE1654">
        <v>-18.280199999999901</v>
      </c>
      <c r="AF1654">
        <v>12.4001918075019</v>
      </c>
      <c r="AG1654">
        <v>-1.1103333333830001</v>
      </c>
      <c r="AH1654">
        <v>13.603220184270199</v>
      </c>
      <c r="AI1654">
        <v>93.451997413527906</v>
      </c>
      <c r="AJ1654">
        <v>47.648857541933801</v>
      </c>
      <c r="AK1654">
        <v>18.440314432129298</v>
      </c>
      <c r="AL1654">
        <v>93.884186506811503</v>
      </c>
      <c r="AM1654">
        <v>72.033973529084506</v>
      </c>
      <c r="AN1654">
        <v>1.0000000045888999</v>
      </c>
    </row>
    <row r="1655" spans="1:40" x14ac:dyDescent="0.25">
      <c r="A1655" t="str">
        <f>"20190303153806731"</f>
        <v>20190303153806731</v>
      </c>
      <c r="B1655" t="str">
        <f>"1551598686720497"</f>
        <v>1551598686720497</v>
      </c>
      <c r="C1655" t="s">
        <v>40</v>
      </c>
      <c r="D1655">
        <v>4.9465320000000004</v>
      </c>
      <c r="E1655">
        <v>0.68770710000000002</v>
      </c>
      <c r="F1655" t="s">
        <v>46</v>
      </c>
      <c r="G1655">
        <v>0</v>
      </c>
      <c r="H1655">
        <v>0</v>
      </c>
      <c r="I1655">
        <v>0</v>
      </c>
      <c r="J1655">
        <v>-197.25479999999999</v>
      </c>
      <c r="K1655">
        <v>1.1102700000000001</v>
      </c>
      <c r="L1655">
        <v>362.65069999999997</v>
      </c>
      <c r="M1655">
        <v>0.76666369999999995</v>
      </c>
      <c r="N1655">
        <v>-1.6459870000000001E-2</v>
      </c>
      <c r="O1655">
        <v>-0.64183819999999903</v>
      </c>
      <c r="P1655">
        <v>0.52884189999999998</v>
      </c>
      <c r="Q1655">
        <v>-7.6056849999999995E-2</v>
      </c>
      <c r="R1655">
        <v>-0.84530590000000005</v>
      </c>
      <c r="S1655">
        <v>0.2772675</v>
      </c>
      <c r="T1655">
        <v>0.1729628</v>
      </c>
      <c r="U1655">
        <v>-3.408112</v>
      </c>
      <c r="V1655">
        <v>0.306952</v>
      </c>
      <c r="W1655">
        <v>-6.8661910000000007E-2</v>
      </c>
      <c r="X1655">
        <v>0.94924500000000001</v>
      </c>
      <c r="Y1655">
        <v>0.71233489999999999</v>
      </c>
      <c r="Z1655">
        <v>-3.2050670000000003E-2</v>
      </c>
      <c r="AA1655">
        <v>0.70110749999999999</v>
      </c>
      <c r="AB1655">
        <v>22</v>
      </c>
      <c r="AC1655">
        <v>0.2772675</v>
      </c>
      <c r="AD1655">
        <v>0.1729628</v>
      </c>
      <c r="AE1655">
        <v>-3.408112</v>
      </c>
      <c r="AF1655">
        <v>2.4290292052878302</v>
      </c>
      <c r="AG1655">
        <v>0.1729628</v>
      </c>
      <c r="AH1655">
        <v>2.3942260514344</v>
      </c>
      <c r="AI1655">
        <v>87.096867232446201</v>
      </c>
      <c r="AJ1655">
        <v>44.586578126912698</v>
      </c>
      <c r="AK1655">
        <v>3.4150281690920501</v>
      </c>
      <c r="AL1655">
        <v>93.9371352603427</v>
      </c>
      <c r="AM1655">
        <v>72.0806414651762</v>
      </c>
      <c r="AN1655">
        <v>1.00000002910692</v>
      </c>
    </row>
    <row r="1656" spans="1:40" x14ac:dyDescent="0.25">
      <c r="A1656" t="str">
        <f>"20190303153806743"</f>
        <v>20190303153806743</v>
      </c>
      <c r="B1656" t="str">
        <f>"1551598686740017"</f>
        <v>1551598686740017</v>
      </c>
      <c r="C1656" t="s">
        <v>40</v>
      </c>
      <c r="D1656">
        <v>4.9233820000000001</v>
      </c>
      <c r="E1656">
        <v>0.68086530000000001</v>
      </c>
      <c r="F1656" t="s">
        <v>50</v>
      </c>
      <c r="G1656">
        <v>-168.8596</v>
      </c>
      <c r="H1656">
        <v>4.1650159999999996</v>
      </c>
      <c r="I1656">
        <v>75.830830000000006</v>
      </c>
      <c r="J1656">
        <v>-197.16069999999999</v>
      </c>
      <c r="K1656">
        <v>1.1102160000000001</v>
      </c>
      <c r="L1656">
        <v>362.55590000000001</v>
      </c>
      <c r="M1656">
        <v>0.75956299999999999</v>
      </c>
      <c r="N1656">
        <v>-1.6501020000000002E-2</v>
      </c>
      <c r="O1656">
        <v>-0.65022449999999998</v>
      </c>
      <c r="P1656">
        <v>0.52012069999999999</v>
      </c>
      <c r="Q1656">
        <v>-7.7458529999999998E-2</v>
      </c>
      <c r="R1656">
        <v>-0.85057320000000003</v>
      </c>
      <c r="S1656">
        <v>0.3311615</v>
      </c>
      <c r="T1656">
        <v>3.5626409999999997E-2</v>
      </c>
      <c r="U1656">
        <v>-3.345062</v>
      </c>
      <c r="V1656">
        <v>0.30614180000000002</v>
      </c>
      <c r="W1656">
        <v>-7.0038929999999999E-2</v>
      </c>
      <c r="X1656">
        <v>0.94940599999999997</v>
      </c>
      <c r="Y1656">
        <v>0.69190079999999998</v>
      </c>
      <c r="Z1656">
        <v>-1.9423340000000001E-2</v>
      </c>
      <c r="AA1656">
        <v>0.72173120000000002</v>
      </c>
      <c r="AB1656">
        <v>22</v>
      </c>
      <c r="AC1656">
        <v>28.301099999999899</v>
      </c>
      <c r="AD1656">
        <v>3.0548000000000002</v>
      </c>
      <c r="AE1656">
        <v>-286.72507000000002</v>
      </c>
      <c r="AF1656">
        <v>199.388408074214</v>
      </c>
      <c r="AG1656">
        <v>3.0548000000000002</v>
      </c>
      <c r="AH1656">
        <v>207.93705849100701</v>
      </c>
      <c r="AI1656">
        <v>89.392471092892904</v>
      </c>
      <c r="AJ1656">
        <v>46.202305613154003</v>
      </c>
      <c r="AK1656">
        <v>288.10222035121802</v>
      </c>
      <c r="AL1656">
        <v>94.016223218176904</v>
      </c>
      <c r="AM1656">
        <v>72.127764585599493</v>
      </c>
      <c r="AN1656">
        <v>1.0000000031293901</v>
      </c>
    </row>
    <row r="1657" spans="1:40" x14ac:dyDescent="0.25">
      <c r="A1657" t="str">
        <f>"20190303153806759"</f>
        <v>20190303153806759</v>
      </c>
      <c r="B1657" t="str">
        <f>"1551598686749776"</f>
        <v>1551598686749776</v>
      </c>
      <c r="C1657" t="s">
        <v>40</v>
      </c>
      <c r="D1657">
        <v>4.9555420000000003</v>
      </c>
      <c r="E1657">
        <v>0.67675030000000003</v>
      </c>
      <c r="F1657" t="s">
        <v>42</v>
      </c>
      <c r="G1657">
        <v>-184.1857</v>
      </c>
      <c r="H1657" s="1">
        <v>-4.0955970000000004E-6</v>
      </c>
      <c r="I1657">
        <v>236.11349999999999</v>
      </c>
      <c r="J1657">
        <v>-197.0514</v>
      </c>
      <c r="K1657">
        <v>1.110166</v>
      </c>
      <c r="L1657">
        <v>362.44310000000002</v>
      </c>
      <c r="M1657">
        <v>0.75104789999999999</v>
      </c>
      <c r="N1657">
        <v>-1.6546499999999999E-2</v>
      </c>
      <c r="O1657">
        <v>-0.66004039999999997</v>
      </c>
      <c r="P1657">
        <v>0.50959779999999999</v>
      </c>
      <c r="Q1657">
        <v>-7.8136650000000002E-2</v>
      </c>
      <c r="R1657">
        <v>-0.856857599999999</v>
      </c>
      <c r="S1657">
        <v>0.34030149999999998</v>
      </c>
      <c r="T1657">
        <v>-2.911818E-2</v>
      </c>
      <c r="U1657">
        <v>-3.3162539999999998</v>
      </c>
      <c r="V1657">
        <v>0.30543389999999998</v>
      </c>
      <c r="W1657">
        <v>-7.0689840000000004E-2</v>
      </c>
      <c r="X1657">
        <v>0.94958569999999998</v>
      </c>
      <c r="Y1657">
        <v>0.67969159999999995</v>
      </c>
      <c r="Z1657">
        <v>-1.2604519999999999E-2</v>
      </c>
      <c r="AA1657">
        <v>0.73338970000000003</v>
      </c>
      <c r="AB1657">
        <v>22</v>
      </c>
      <c r="AC1657">
        <v>12.8657</v>
      </c>
      <c r="AD1657">
        <v>-1.110170095597</v>
      </c>
      <c r="AE1657">
        <v>-126.3296</v>
      </c>
      <c r="AF1657">
        <v>86.392921188584296</v>
      </c>
      <c r="AG1657">
        <v>-1.110170095597</v>
      </c>
      <c r="AH1657">
        <v>93.051021318694694</v>
      </c>
      <c r="AI1657">
        <v>90.500943265623505</v>
      </c>
      <c r="AJ1657">
        <v>47.1249316807112</v>
      </c>
      <c r="AK1657">
        <v>126.978194496497</v>
      </c>
      <c r="AL1657">
        <v>94.053610454108096</v>
      </c>
      <c r="AM1657">
        <v>72.169631542235607</v>
      </c>
      <c r="AN1657">
        <v>0.99999996119646195</v>
      </c>
    </row>
    <row r="1658" spans="1:40" x14ac:dyDescent="0.25">
      <c r="A1658" t="str">
        <f>"20190303153806775"</f>
        <v>20190303153806775</v>
      </c>
      <c r="B1658" t="str">
        <f>"1551598686770273"</f>
        <v>1551598686770273</v>
      </c>
      <c r="C1658" t="s">
        <v>40</v>
      </c>
      <c r="D1658">
        <v>4.7123660000000003</v>
      </c>
      <c r="E1658">
        <v>0.67494399999999999</v>
      </c>
      <c r="F1658" t="s">
        <v>42</v>
      </c>
      <c r="G1658">
        <v>-191.6979</v>
      </c>
      <c r="H1658" s="1">
        <v>-4.1140099999999998E-6</v>
      </c>
      <c r="I1658">
        <v>308.19099999999997</v>
      </c>
      <c r="J1658">
        <v>-196.9485</v>
      </c>
      <c r="K1658">
        <v>1.1101350000000001</v>
      </c>
      <c r="L1658">
        <v>362.33440000000002</v>
      </c>
      <c r="M1658">
        <v>0.74277399999999905</v>
      </c>
      <c r="N1658">
        <v>-1.658662E-2</v>
      </c>
      <c r="O1658">
        <v>-0.66933669999999901</v>
      </c>
      <c r="P1658">
        <v>0.50047699999999995</v>
      </c>
      <c r="Q1658">
        <v>-7.881784E-2</v>
      </c>
      <c r="R1658">
        <v>-0.86215439999999999</v>
      </c>
      <c r="S1658">
        <v>0.32575989999999999</v>
      </c>
      <c r="T1658">
        <v>-6.7553760000000004E-2</v>
      </c>
      <c r="U1658">
        <v>-3.3012389999999998</v>
      </c>
      <c r="V1658">
        <v>0.30362339999999999</v>
      </c>
      <c r="W1658">
        <v>-7.130338E-2</v>
      </c>
      <c r="X1658">
        <v>0.95012030000000003</v>
      </c>
      <c r="Y1658">
        <v>0.67329240000000001</v>
      </c>
      <c r="Z1658">
        <v>-8.0994629999999995E-3</v>
      </c>
      <c r="AA1658">
        <v>0.73933199999999999</v>
      </c>
      <c r="AB1658">
        <v>22</v>
      </c>
      <c r="AC1658">
        <v>5.2505999999999897</v>
      </c>
      <c r="AD1658">
        <v>-1.1101391140100001</v>
      </c>
      <c r="AE1658">
        <v>-54.1434</v>
      </c>
      <c r="AF1658">
        <v>36.691659631493501</v>
      </c>
      <c r="AG1658">
        <v>-1.1101391140100001</v>
      </c>
      <c r="AH1658">
        <v>40.128984520964202</v>
      </c>
      <c r="AI1658">
        <v>91.1696136912322</v>
      </c>
      <c r="AJ1658">
        <v>47.561979725133398</v>
      </c>
      <c r="AK1658">
        <v>54.386079965829602</v>
      </c>
      <c r="AL1658">
        <v>94.088852633897901</v>
      </c>
      <c r="AM1658">
        <v>72.278037920109298</v>
      </c>
      <c r="AN1658">
        <v>0.99999996274953595</v>
      </c>
    </row>
    <row r="1659" spans="1:40" x14ac:dyDescent="0.25">
      <c r="A1659" t="str">
        <f>"20190303153806790"</f>
        <v>20190303153806790</v>
      </c>
      <c r="B1659" t="str">
        <f>"1551598686780033"</f>
        <v>1551598686780033</v>
      </c>
      <c r="C1659" t="s">
        <v>40</v>
      </c>
      <c r="D1659">
        <v>4.9622440000000001</v>
      </c>
      <c r="E1659">
        <v>0.67233779999999999</v>
      </c>
      <c r="F1659" t="s">
        <v>42</v>
      </c>
      <c r="G1659">
        <v>-192.6369</v>
      </c>
      <c r="H1659" s="1">
        <v>-3.4295599999999902E-6</v>
      </c>
      <c r="I1659">
        <v>315.36250000000001</v>
      </c>
      <c r="J1659">
        <v>-196.83949999999999</v>
      </c>
      <c r="K1659">
        <v>1.110112</v>
      </c>
      <c r="L1659">
        <v>362.21620000000001</v>
      </c>
      <c r="M1659">
        <v>0.73371430000000004</v>
      </c>
      <c r="N1659">
        <v>-1.6625770000000002E-2</v>
      </c>
      <c r="O1659">
        <v>-0.67925489999999999</v>
      </c>
      <c r="P1659">
        <v>0.49048039999999998</v>
      </c>
      <c r="Q1659">
        <v>-7.7383469999999996E-2</v>
      </c>
      <c r="R1659">
        <v>-0.86801019999999895</v>
      </c>
      <c r="S1659">
        <v>0.3026276</v>
      </c>
      <c r="T1659">
        <v>-7.7918769999999998E-2</v>
      </c>
      <c r="U1659">
        <v>-3.296875</v>
      </c>
      <c r="V1659">
        <v>0.3019712</v>
      </c>
      <c r="W1659">
        <v>-6.9795410000000002E-2</v>
      </c>
      <c r="X1659">
        <v>0.95075860000000001</v>
      </c>
      <c r="Y1659">
        <v>0.66836300000000004</v>
      </c>
      <c r="Z1659">
        <v>-6.6044950000000002E-3</v>
      </c>
      <c r="AA1659">
        <v>0.74380590000000002</v>
      </c>
      <c r="AB1659">
        <v>22</v>
      </c>
      <c r="AC1659">
        <v>4.2025999999999897</v>
      </c>
      <c r="AD1659">
        <v>-1.11011542956</v>
      </c>
      <c r="AE1659">
        <v>-46.853700000000003</v>
      </c>
      <c r="AF1659">
        <v>31.509398530147202</v>
      </c>
      <c r="AG1659">
        <v>-1.11011542956</v>
      </c>
      <c r="AH1659">
        <v>34.894500992456898</v>
      </c>
      <c r="AI1659">
        <v>91.3525954689364</v>
      </c>
      <c r="AJ1659">
        <v>47.918267440517702</v>
      </c>
      <c r="AK1659">
        <v>47.0287226225757</v>
      </c>
      <c r="AL1659">
        <v>94.002236493401099</v>
      </c>
      <c r="AM1659">
        <v>72.379589839185002</v>
      </c>
      <c r="AN1659">
        <v>0.99999996018023296</v>
      </c>
    </row>
    <row r="1660" spans="1:40" x14ac:dyDescent="0.25">
      <c r="A1660" t="str">
        <f>"20190303153806804"</f>
        <v>20190303153806804</v>
      </c>
      <c r="B1660" t="str">
        <f>"1551598686800529"</f>
        <v>1551598686800529</v>
      </c>
      <c r="C1660" t="s">
        <v>40</v>
      </c>
      <c r="D1660">
        <v>4.9660529999999996</v>
      </c>
      <c r="E1660">
        <v>0.67046549999999905</v>
      </c>
      <c r="F1660" t="s">
        <v>42</v>
      </c>
      <c r="G1660">
        <v>-193.47550000000001</v>
      </c>
      <c r="H1660" s="1">
        <v>-2.3591870000000001E-6</v>
      </c>
      <c r="I1660">
        <v>322.93290000000002</v>
      </c>
      <c r="J1660">
        <v>-196.7491</v>
      </c>
      <c r="K1660">
        <v>1.110109</v>
      </c>
      <c r="L1660">
        <v>362.11509999999998</v>
      </c>
      <c r="M1660">
        <v>0.72593149999999995</v>
      </c>
      <c r="N1660">
        <v>-1.66538E-2</v>
      </c>
      <c r="O1660">
        <v>-0.68756530000000005</v>
      </c>
      <c r="P1660">
        <v>0.48180600000000001</v>
      </c>
      <c r="Q1660">
        <v>-7.6189939999999998E-2</v>
      </c>
      <c r="R1660">
        <v>-0.87295959999999995</v>
      </c>
      <c r="S1660">
        <v>0.28163149999999998</v>
      </c>
      <c r="T1660">
        <v>-9.293759E-2</v>
      </c>
      <c r="U1660">
        <v>-3.2887569999999999</v>
      </c>
      <c r="V1660">
        <v>0.30072959999999999</v>
      </c>
      <c r="W1660">
        <v>-6.8537819999999999E-2</v>
      </c>
      <c r="X1660">
        <v>0.95124350000000002</v>
      </c>
      <c r="Y1660">
        <v>0.66438649999999999</v>
      </c>
      <c r="Z1660">
        <v>-4.4638530000000003E-3</v>
      </c>
      <c r="AA1660">
        <v>0.74737589999999998</v>
      </c>
      <c r="AB1660">
        <v>22</v>
      </c>
      <c r="AC1660">
        <v>3.2735999999999801</v>
      </c>
      <c r="AD1660">
        <v>-1.110111359187</v>
      </c>
      <c r="AE1660">
        <v>-39.182199999999902</v>
      </c>
      <c r="AF1660">
        <v>26.175547780717199</v>
      </c>
      <c r="AG1660">
        <v>-1.110111359187</v>
      </c>
      <c r="AH1660">
        <v>29.297443602636299</v>
      </c>
      <c r="AI1660">
        <v>91.618528645209096</v>
      </c>
      <c r="AJ1660">
        <v>48.221080538662598</v>
      </c>
      <c r="AK1660">
        <v>39.3030768579263</v>
      </c>
      <c r="AL1660">
        <v>93.930008908063499</v>
      </c>
      <c r="AM1660">
        <v>72.4559804181754</v>
      </c>
      <c r="AN1660">
        <v>0.99999996068938002</v>
      </c>
    </row>
    <row r="1661" spans="1:40" x14ac:dyDescent="0.25">
      <c r="A1661" t="str">
        <f>"20190303153806821"</f>
        <v>20190303153806821</v>
      </c>
      <c r="B1661" t="str">
        <f>"1551598686810292"</f>
        <v>1551598686810292</v>
      </c>
      <c r="C1661" t="s">
        <v>40</v>
      </c>
      <c r="D1661">
        <v>4.9936040000000004</v>
      </c>
      <c r="E1661">
        <v>0.66843649999999999</v>
      </c>
      <c r="F1661" t="s">
        <v>42</v>
      </c>
      <c r="G1661">
        <v>-193.60300000000001</v>
      </c>
      <c r="H1661" s="1">
        <v>-2.2521489999999999E-6</v>
      </c>
      <c r="I1661">
        <v>322.60419999999999</v>
      </c>
      <c r="J1661">
        <v>-196.6397</v>
      </c>
      <c r="K1661">
        <v>1.110117</v>
      </c>
      <c r="L1661">
        <v>361.98970000000003</v>
      </c>
      <c r="M1661">
        <v>0.71623740000000002</v>
      </c>
      <c r="N1661">
        <v>-1.6683079999999999E-2</v>
      </c>
      <c r="O1661">
        <v>-0.69765749999999904</v>
      </c>
      <c r="P1661">
        <v>0.47323009999999899</v>
      </c>
      <c r="Q1661">
        <v>-7.4510999999999994E-2</v>
      </c>
      <c r="R1661">
        <v>-0.87778199999999995</v>
      </c>
      <c r="S1661">
        <v>0.26150509999999999</v>
      </c>
      <c r="T1661">
        <v>-9.2273590000000003E-2</v>
      </c>
      <c r="U1661">
        <v>-3.2841800000000001</v>
      </c>
      <c r="V1661">
        <v>0.2968906</v>
      </c>
      <c r="W1661">
        <v>-6.66992E-2</v>
      </c>
      <c r="X1661">
        <v>0.95257930000000002</v>
      </c>
      <c r="Y1661">
        <v>0.65837419999999902</v>
      </c>
      <c r="Z1661">
        <v>-4.1274470000000002E-3</v>
      </c>
      <c r="AA1661">
        <v>0.75267949999999995</v>
      </c>
      <c r="AB1661">
        <v>22</v>
      </c>
      <c r="AC1661">
        <v>3.0367000000000202</v>
      </c>
      <c r="AD1661">
        <v>-1.110119252149</v>
      </c>
      <c r="AE1661">
        <v>-39.3855</v>
      </c>
      <c r="AF1661">
        <v>26.073827020349398</v>
      </c>
      <c r="AG1661">
        <v>-1.110119252149</v>
      </c>
      <c r="AH1661">
        <v>29.633307086323601</v>
      </c>
      <c r="AI1661">
        <v>91.611006258773699</v>
      </c>
      <c r="AJ1661">
        <v>48.656018522066901</v>
      </c>
      <c r="AK1661">
        <v>39.486829565229101</v>
      </c>
      <c r="AL1661">
        <v>93.824421652679405</v>
      </c>
      <c r="AM1661">
        <v>72.6892986872096</v>
      </c>
      <c r="AN1661">
        <v>1.0000000672187399</v>
      </c>
    </row>
    <row r="1662" spans="1:40" x14ac:dyDescent="0.25">
      <c r="A1662" t="str">
        <f>"20190303153806836"</f>
        <v>20190303153806836</v>
      </c>
      <c r="B1662" t="str">
        <f>"1551598686829809"</f>
        <v>1551598686829809</v>
      </c>
      <c r="C1662" t="s">
        <v>40</v>
      </c>
      <c r="D1662">
        <v>4.9628220000000001</v>
      </c>
      <c r="E1662">
        <v>0.66493919999999995</v>
      </c>
      <c r="F1662" t="s">
        <v>42</v>
      </c>
      <c r="G1662">
        <v>-193.9716</v>
      </c>
      <c r="H1662" s="1">
        <v>-3.7623189999999998E-6</v>
      </c>
      <c r="I1662">
        <v>325.97239999999999</v>
      </c>
      <c r="J1662">
        <v>-196.54300000000001</v>
      </c>
      <c r="K1662">
        <v>1.1101350000000001</v>
      </c>
      <c r="L1662">
        <v>361.87580000000003</v>
      </c>
      <c r="M1662">
        <v>0.70740289999999995</v>
      </c>
      <c r="N1662">
        <v>-1.6704429999999999E-2</v>
      </c>
      <c r="O1662">
        <v>-0.70661319999999905</v>
      </c>
      <c r="P1662">
        <v>0.46377010000000002</v>
      </c>
      <c r="Q1662">
        <v>-7.446113E-2</v>
      </c>
      <c r="R1662">
        <v>-0.88282139999999998</v>
      </c>
      <c r="S1662">
        <v>0.24284359999999999</v>
      </c>
      <c r="T1662">
        <v>-0.1010402</v>
      </c>
      <c r="U1662">
        <v>-3.2781980000000002</v>
      </c>
      <c r="V1662">
        <v>0.2951529</v>
      </c>
      <c r="W1662">
        <v>-6.6558160000000005E-2</v>
      </c>
      <c r="X1662">
        <v>0.95312889999999995</v>
      </c>
      <c r="Y1662">
        <v>0.65301880000000001</v>
      </c>
      <c r="Z1662">
        <v>-2.5596519999999999E-3</v>
      </c>
      <c r="AA1662">
        <v>0.75733739999999905</v>
      </c>
      <c r="AB1662">
        <v>22</v>
      </c>
      <c r="AC1662">
        <v>2.5714000000000099</v>
      </c>
      <c r="AD1662">
        <v>-1.110138762319</v>
      </c>
      <c r="AE1662">
        <v>-35.903399999999998</v>
      </c>
      <c r="AF1662">
        <v>23.562061754746299</v>
      </c>
      <c r="AG1662">
        <v>-1.110138762319</v>
      </c>
      <c r="AH1662">
        <v>27.166784342330001</v>
      </c>
      <c r="AI1662">
        <v>91.768187525254106</v>
      </c>
      <c r="AJ1662">
        <v>49.0645280556991</v>
      </c>
      <c r="AK1662">
        <v>35.978289755194702</v>
      </c>
      <c r="AL1662">
        <v>93.816323063167602</v>
      </c>
      <c r="AM1662">
        <v>72.793953895654795</v>
      </c>
      <c r="AN1662">
        <v>0.999999961528102</v>
      </c>
    </row>
    <row r="1663" spans="1:40" x14ac:dyDescent="0.25">
      <c r="A1663" t="str">
        <f>"20190303153806852"</f>
        <v>20190303153806852</v>
      </c>
      <c r="B1663" t="str">
        <f>"1551598686850305"</f>
        <v>1551598686850305</v>
      </c>
      <c r="C1663" t="s">
        <v>40</v>
      </c>
      <c r="D1663">
        <v>4.9258150000000001</v>
      </c>
      <c r="E1663">
        <v>0.66331399999999996</v>
      </c>
      <c r="F1663" t="s">
        <v>42</v>
      </c>
      <c r="G1663">
        <v>-194.40350000000001</v>
      </c>
      <c r="H1663" s="1">
        <v>-2.0623900000000001E-6</v>
      </c>
      <c r="I1663">
        <v>331.66539999999998</v>
      </c>
      <c r="J1663">
        <v>-196.43790000000001</v>
      </c>
      <c r="K1663">
        <v>1.11016</v>
      </c>
      <c r="L1663">
        <v>361.74900000000002</v>
      </c>
      <c r="M1663">
        <v>0.69753120000000002</v>
      </c>
      <c r="N1663">
        <v>-1.6722290000000001E-2</v>
      </c>
      <c r="O1663">
        <v>-0.71635899999999997</v>
      </c>
      <c r="P1663">
        <v>0.45469559999999998</v>
      </c>
      <c r="Q1663">
        <v>-7.6707739999999996E-2</v>
      </c>
      <c r="R1663">
        <v>-0.88733700000000004</v>
      </c>
      <c r="S1663">
        <v>0.2313385</v>
      </c>
      <c r="T1663">
        <v>-0.1200362</v>
      </c>
      <c r="U1663">
        <v>-3.2665709999999999</v>
      </c>
      <c r="V1663">
        <v>0.2915162</v>
      </c>
      <c r="W1663">
        <v>-6.8646860000000004E-2</v>
      </c>
      <c r="X1663">
        <v>0.95409949999999999</v>
      </c>
      <c r="Y1663">
        <v>0.64488199999999996</v>
      </c>
      <c r="Z1663">
        <v>6.6349189999999998E-4</v>
      </c>
      <c r="AA1663">
        <v>0.76428189999999996</v>
      </c>
      <c r="AB1663">
        <v>21</v>
      </c>
      <c r="AC1663">
        <v>2.0344000000000002</v>
      </c>
      <c r="AD1663">
        <v>-1.1101620623899999</v>
      </c>
      <c r="AE1663">
        <v>-30.083600000000001</v>
      </c>
      <c r="AF1663">
        <v>19.503184757411301</v>
      </c>
      <c r="AG1663">
        <v>-1.1101620623899999</v>
      </c>
      <c r="AH1663">
        <v>22.941831665163601</v>
      </c>
      <c r="AI1663">
        <v>92.111446600344493</v>
      </c>
      <c r="AJ1663">
        <v>49.631653558118899</v>
      </c>
      <c r="AK1663">
        <v>30.1319484208903</v>
      </c>
      <c r="AL1663">
        <v>93.936271148265902</v>
      </c>
      <c r="AM1663">
        <v>73.009956788140698</v>
      </c>
      <c r="AN1663">
        <v>0.99999997107527405</v>
      </c>
    </row>
    <row r="1664" spans="1:40" x14ac:dyDescent="0.25">
      <c r="A1664" t="str">
        <f>"20190303153806864"</f>
        <v>20190303153806864</v>
      </c>
      <c r="B1664" t="str">
        <f>"1551598686860065"</f>
        <v>1551598686860065</v>
      </c>
      <c r="C1664" t="s">
        <v>40</v>
      </c>
      <c r="D1664">
        <v>4.9408609999999999</v>
      </c>
      <c r="E1664">
        <v>0.66215119999999905</v>
      </c>
      <c r="F1664" t="s">
        <v>42</v>
      </c>
      <c r="G1664">
        <v>-194.4239</v>
      </c>
      <c r="H1664" s="1">
        <v>-1.5902E-6</v>
      </c>
      <c r="I1664">
        <v>330.5521</v>
      </c>
      <c r="J1664">
        <v>-196.35769999999999</v>
      </c>
      <c r="K1664">
        <v>1.110195</v>
      </c>
      <c r="L1664">
        <v>361.64929999999998</v>
      </c>
      <c r="M1664">
        <v>0.68977339999999998</v>
      </c>
      <c r="N1664">
        <v>-1.6730800000000001E-2</v>
      </c>
      <c r="O1664">
        <v>-0.72383209999999998</v>
      </c>
      <c r="P1664">
        <v>0.44668989999999997</v>
      </c>
      <c r="Q1664">
        <v>-7.8423439999999997E-2</v>
      </c>
      <c r="R1664">
        <v>-0.89124550000000002</v>
      </c>
      <c r="S1664">
        <v>0.21064759999999999</v>
      </c>
      <c r="T1664">
        <v>-0.1161116</v>
      </c>
      <c r="U1664">
        <v>-3.2628780000000002</v>
      </c>
      <c r="V1664">
        <v>0.28968680000000002</v>
      </c>
      <c r="W1664">
        <v>-7.0268209999999998E-2</v>
      </c>
      <c r="X1664">
        <v>0.95453860000000001</v>
      </c>
      <c r="Y1664">
        <v>0.64142270000000001</v>
      </c>
      <c r="Z1664">
        <v>5.0869489999999995E-4</v>
      </c>
      <c r="AA1664">
        <v>0.76718750000000002</v>
      </c>
      <c r="AB1664">
        <v>21</v>
      </c>
      <c r="AC1664">
        <v>1.93379999999999</v>
      </c>
      <c r="AD1664">
        <v>-1.1101965901999999</v>
      </c>
      <c r="AE1664">
        <v>-31.097199999999901</v>
      </c>
      <c r="AF1664">
        <v>20.027652024935801</v>
      </c>
      <c r="AG1664">
        <v>-1.1101965901999999</v>
      </c>
      <c r="AH1664">
        <v>23.816133154077399</v>
      </c>
      <c r="AI1664">
        <v>92.043290035439</v>
      </c>
      <c r="AJ1664">
        <v>49.938582593931898</v>
      </c>
      <c r="AK1664">
        <v>31.137559000563201</v>
      </c>
      <c r="AL1664">
        <v>94.029392448727705</v>
      </c>
      <c r="AM1664">
        <v>73.117817165899496</v>
      </c>
      <c r="AN1664">
        <v>1.0000000011604</v>
      </c>
    </row>
    <row r="1665" spans="1:40" x14ac:dyDescent="0.25">
      <c r="A1665" t="str">
        <f>"20190303153806877"</f>
        <v>20190303153806877</v>
      </c>
      <c r="B1665" t="str">
        <f>"1551598686870801"</f>
        <v>1551598686870801</v>
      </c>
      <c r="C1665" t="s">
        <v>40</v>
      </c>
      <c r="D1665">
        <v>4.9237780000000004</v>
      </c>
      <c r="E1665">
        <v>0.66115669999999904</v>
      </c>
      <c r="F1665" t="s">
        <v>42</v>
      </c>
      <c r="G1665">
        <v>-194.67740000000001</v>
      </c>
      <c r="H1665" s="1">
        <v>-2.5985230000000002E-6</v>
      </c>
      <c r="I1665">
        <v>332.74529999999999</v>
      </c>
      <c r="J1665">
        <v>-196.28</v>
      </c>
      <c r="K1665">
        <v>1.1102320000000001</v>
      </c>
      <c r="L1665">
        <v>361.55070000000001</v>
      </c>
      <c r="M1665">
        <v>0.68209889999999995</v>
      </c>
      <c r="N1665">
        <v>-1.673473E-2</v>
      </c>
      <c r="O1665">
        <v>-0.73106879999999996</v>
      </c>
      <c r="P1665">
        <v>0.43890940000000001</v>
      </c>
      <c r="Q1665">
        <v>-8.0455159999999998E-2</v>
      </c>
      <c r="R1665">
        <v>-0.89492260000000001</v>
      </c>
      <c r="S1665">
        <v>0.18951419999999999</v>
      </c>
      <c r="T1665">
        <v>-0.12521849999999901</v>
      </c>
      <c r="U1665">
        <v>-3.2600709999999999</v>
      </c>
      <c r="V1665">
        <v>0.28776570000000001</v>
      </c>
      <c r="W1665">
        <v>-7.2202269999999999E-2</v>
      </c>
      <c r="X1665">
        <v>0.95497520000000002</v>
      </c>
      <c r="Y1665">
        <v>0.63821439999999996</v>
      </c>
      <c r="Z1665">
        <v>2.2437400000000001E-3</v>
      </c>
      <c r="AA1665">
        <v>0.76985539999999997</v>
      </c>
      <c r="AB1665">
        <v>21</v>
      </c>
      <c r="AC1665">
        <v>1.60259999999999</v>
      </c>
      <c r="AD1665">
        <v>-1.110234598523</v>
      </c>
      <c r="AE1665">
        <v>-28.805399999999999</v>
      </c>
      <c r="AF1665">
        <v>18.4517773297936</v>
      </c>
      <c r="AG1665">
        <v>-1.110234598523</v>
      </c>
      <c r="AH1665">
        <v>22.122195485731499</v>
      </c>
      <c r="AI1665">
        <v>92.207090731962197</v>
      </c>
      <c r="AJ1665">
        <v>50.169043041973303</v>
      </c>
      <c r="AK1665">
        <v>28.828670461902401</v>
      </c>
      <c r="AL1665">
        <v>94.140488390727796</v>
      </c>
      <c r="AM1665">
        <v>73.230703746005901</v>
      </c>
      <c r="AN1665">
        <v>0.99999994925234004</v>
      </c>
    </row>
    <row r="1666" spans="1:40" x14ac:dyDescent="0.25">
      <c r="A1666" t="str">
        <f>"20190303153806890"</f>
        <v>20190303153806890</v>
      </c>
      <c r="B1666" t="str">
        <f>"1551598686880561"</f>
        <v>1551598686880561</v>
      </c>
      <c r="C1666" t="s">
        <v>40</v>
      </c>
      <c r="D1666">
        <v>4.9508890000000001</v>
      </c>
      <c r="E1666">
        <v>0.66040769999999904</v>
      </c>
      <c r="F1666" t="s">
        <v>42</v>
      </c>
      <c r="G1666">
        <v>-194.8912</v>
      </c>
      <c r="H1666" s="1">
        <v>-3.472287E-6</v>
      </c>
      <c r="I1666">
        <v>334.64949999999999</v>
      </c>
      <c r="J1666">
        <v>-196.2055</v>
      </c>
      <c r="K1666">
        <v>1.1102799999999999</v>
      </c>
      <c r="L1666">
        <v>361.4547</v>
      </c>
      <c r="M1666">
        <v>0.67461090000000001</v>
      </c>
      <c r="N1666">
        <v>-1.67367E-2</v>
      </c>
      <c r="O1666">
        <v>-0.73798379999999997</v>
      </c>
      <c r="P1666">
        <v>0.43133290000000002</v>
      </c>
      <c r="Q1666">
        <v>-8.211686E-2</v>
      </c>
      <c r="R1666">
        <v>-0.89844789999999997</v>
      </c>
      <c r="S1666">
        <v>0.16818239999999901</v>
      </c>
      <c r="T1666">
        <v>-0.13444639999999999</v>
      </c>
      <c r="U1666">
        <v>-3.25766</v>
      </c>
      <c r="V1666">
        <v>0.28596529999999998</v>
      </c>
      <c r="W1666">
        <v>-7.3769489999999993E-2</v>
      </c>
      <c r="X1666">
        <v>0.95539620000000003</v>
      </c>
      <c r="Y1666">
        <v>0.63533339999999905</v>
      </c>
      <c r="Z1666">
        <v>4.0412829999999997E-3</v>
      </c>
      <c r="AA1666">
        <v>0.77222729999999995</v>
      </c>
      <c r="AB1666">
        <v>21</v>
      </c>
      <c r="AC1666">
        <v>1.3143</v>
      </c>
      <c r="AD1666">
        <v>-1.1102834722870001</v>
      </c>
      <c r="AE1666">
        <v>-26.805199999999999</v>
      </c>
      <c r="AF1666">
        <v>17.0863008422339</v>
      </c>
      <c r="AG1666">
        <v>-1.1102834722870001</v>
      </c>
      <c r="AH1666">
        <v>20.636019758201702</v>
      </c>
      <c r="AI1666">
        <v>92.373068541082105</v>
      </c>
      <c r="AJ1666">
        <v>50.375776292936301</v>
      </c>
      <c r="AK1666">
        <v>26.814543019060601</v>
      </c>
      <c r="AL1666">
        <v>94.230523429867603</v>
      </c>
      <c r="AM1666">
        <v>73.336720744687497</v>
      </c>
      <c r="AN1666">
        <v>0.99999999471669498</v>
      </c>
    </row>
    <row r="1667" spans="1:40" x14ac:dyDescent="0.25">
      <c r="A1667" t="str">
        <f>"20190303153806902"</f>
        <v>20190303153806902</v>
      </c>
      <c r="B1667" t="str">
        <f>"1551598686890322"</f>
        <v>1551598686890322</v>
      </c>
      <c r="C1667" t="s">
        <v>40</v>
      </c>
      <c r="D1667">
        <v>4.9533889999999996</v>
      </c>
      <c r="E1667">
        <v>0.6594508</v>
      </c>
      <c r="F1667" t="s">
        <v>42</v>
      </c>
      <c r="G1667">
        <v>-195.06790000000001</v>
      </c>
      <c r="H1667" s="1">
        <v>-3.9962519999999997E-6</v>
      </c>
      <c r="I1667">
        <v>336.0883</v>
      </c>
      <c r="J1667">
        <v>-196.13380000000001</v>
      </c>
      <c r="K1667">
        <v>1.1103430000000001</v>
      </c>
      <c r="L1667">
        <v>361.35939999999999</v>
      </c>
      <c r="M1667">
        <v>0.6672302</v>
      </c>
      <c r="N1667">
        <v>-1.6731599999999899E-2</v>
      </c>
      <c r="O1667">
        <v>-0.74466359999999998</v>
      </c>
      <c r="P1667">
        <v>0.42421779999999998</v>
      </c>
      <c r="Q1667">
        <v>-8.3320279999999997E-2</v>
      </c>
      <c r="R1667">
        <v>-0.90171889999999999</v>
      </c>
      <c r="S1667">
        <v>0.14601140000000001</v>
      </c>
      <c r="T1667">
        <v>-0.14251269999999999</v>
      </c>
      <c r="U1667">
        <v>-3.255951</v>
      </c>
      <c r="V1667">
        <v>0.28391450000000001</v>
      </c>
      <c r="W1667">
        <v>-7.4868190000000001E-2</v>
      </c>
      <c r="X1667">
        <v>0.95592220000000006</v>
      </c>
      <c r="Y1667">
        <v>0.63284890000000005</v>
      </c>
      <c r="Z1667">
        <v>5.7033300000000004E-3</v>
      </c>
      <c r="AA1667">
        <v>0.77425429999999995</v>
      </c>
      <c r="AB1667">
        <v>21</v>
      </c>
      <c r="AC1667">
        <v>1.0658999999999901</v>
      </c>
      <c r="AD1667">
        <v>-1.1103469962520001</v>
      </c>
      <c r="AE1667">
        <v>-25.271099999999901</v>
      </c>
      <c r="AF1667">
        <v>16.039245290139199</v>
      </c>
      <c r="AG1667">
        <v>-1.1103469962520001</v>
      </c>
      <c r="AH1667">
        <v>19.494835645562301</v>
      </c>
      <c r="AI1667">
        <v>92.518416378702</v>
      </c>
      <c r="AJ1667">
        <v>50.554389516824898</v>
      </c>
      <c r="AK1667">
        <v>25.269326797064199</v>
      </c>
      <c r="AL1667">
        <v>94.293648980656201</v>
      </c>
      <c r="AM1667">
        <v>73.458271680499905</v>
      </c>
      <c r="AN1667">
        <v>0.99999997081848202</v>
      </c>
    </row>
    <row r="1668" spans="1:40" x14ac:dyDescent="0.25">
      <c r="A1668" t="str">
        <f>"20190303153806920"</f>
        <v>20190303153806920</v>
      </c>
      <c r="B1668" t="str">
        <f>"1551598686910818"</f>
        <v>1551598686910818</v>
      </c>
      <c r="C1668" t="s">
        <v>40</v>
      </c>
      <c r="D1668">
        <v>4.9975319999999996</v>
      </c>
      <c r="E1668">
        <v>0.65797600000000001</v>
      </c>
      <c r="F1668" t="s">
        <v>42</v>
      </c>
      <c r="G1668">
        <v>-195.19589999999999</v>
      </c>
      <c r="H1668" s="1">
        <v>-4.4466419999999998E-6</v>
      </c>
      <c r="I1668">
        <v>337.3451</v>
      </c>
      <c r="J1668">
        <v>-196.02619999999999</v>
      </c>
      <c r="K1668">
        <v>1.110447</v>
      </c>
      <c r="L1668">
        <v>361.21339999999998</v>
      </c>
      <c r="M1668">
        <v>0.655925599999999</v>
      </c>
      <c r="N1668">
        <v>-1.6718529999999999E-2</v>
      </c>
      <c r="O1668">
        <v>-0.75464049999999905</v>
      </c>
      <c r="P1668">
        <v>0.41455890000000001</v>
      </c>
      <c r="Q1668">
        <v>-8.3781729999999999E-2</v>
      </c>
      <c r="R1668">
        <v>-0.90615769999999995</v>
      </c>
      <c r="S1668">
        <v>0.1270599</v>
      </c>
      <c r="T1668">
        <v>-0.1504221</v>
      </c>
      <c r="U1668">
        <v>-3.2532960000000002</v>
      </c>
      <c r="V1668">
        <v>0.27969850000000002</v>
      </c>
      <c r="W1668">
        <v>-7.5132749999999998E-2</v>
      </c>
      <c r="X1668">
        <v>0.95714359999999998</v>
      </c>
      <c r="Y1668">
        <v>0.62561020000000001</v>
      </c>
      <c r="Z1668">
        <v>7.732465E-3</v>
      </c>
      <c r="AA1668">
        <v>0.78009740000000005</v>
      </c>
      <c r="AB1668">
        <v>21</v>
      </c>
      <c r="AC1668">
        <v>0.83029999999999404</v>
      </c>
      <c r="AD1668">
        <v>-1.1104514466419999</v>
      </c>
      <c r="AE1668">
        <v>-23.868299999999898</v>
      </c>
      <c r="AF1668">
        <v>14.998924611733999</v>
      </c>
      <c r="AG1668">
        <v>-1.1104514466419999</v>
      </c>
      <c r="AH1668">
        <v>18.519156921870302</v>
      </c>
      <c r="AI1668">
        <v>92.667853386363205</v>
      </c>
      <c r="AJ1668">
        <v>50.9955026138744</v>
      </c>
      <c r="AK1668">
        <v>23.857074737290901</v>
      </c>
      <c r="AL1668">
        <v>94.308849727857194</v>
      </c>
      <c r="AM1668">
        <v>73.710471392697798</v>
      </c>
      <c r="AN1668">
        <v>1.0000000260228801</v>
      </c>
    </row>
    <row r="1669" spans="1:40" x14ac:dyDescent="0.25">
      <c r="A1669" t="str">
        <f>"20190303153806933"</f>
        <v>20190303153806933</v>
      </c>
      <c r="B1669" t="str">
        <f>"1551598686930337"</f>
        <v>1551598686930337</v>
      </c>
      <c r="C1669" t="s">
        <v>40</v>
      </c>
      <c r="D1669">
        <v>4.9676809999999998</v>
      </c>
      <c r="E1669">
        <v>0.65629759999999904</v>
      </c>
      <c r="F1669" t="s">
        <v>42</v>
      </c>
      <c r="G1669">
        <v>-195.32589999999999</v>
      </c>
      <c r="H1669" s="1">
        <v>-5.0452679999999998E-6</v>
      </c>
      <c r="I1669">
        <v>339.03640000000001</v>
      </c>
      <c r="J1669">
        <v>-195.9556</v>
      </c>
      <c r="K1669">
        <v>1.1105240000000001</v>
      </c>
      <c r="L1669">
        <v>361.11559999999997</v>
      </c>
      <c r="M1669">
        <v>0.64836389999999999</v>
      </c>
      <c r="N1669">
        <v>-1.6705790000000002E-2</v>
      </c>
      <c r="O1669">
        <v>-0.76114729999999997</v>
      </c>
      <c r="P1669">
        <v>0.40763189999999999</v>
      </c>
      <c r="Q1669">
        <v>-8.3169069999999998E-2</v>
      </c>
      <c r="R1669">
        <v>-0.90935089999999996</v>
      </c>
      <c r="S1669">
        <v>0.1025848</v>
      </c>
      <c r="T1669">
        <v>-0.16266910000000001</v>
      </c>
      <c r="U1669">
        <v>-3.248688</v>
      </c>
      <c r="V1669">
        <v>0.27752339999999998</v>
      </c>
      <c r="W1669">
        <v>-7.4406620000000007E-2</v>
      </c>
      <c r="X1669">
        <v>0.95783320000000005</v>
      </c>
      <c r="Y1669">
        <v>0.62362039999999996</v>
      </c>
      <c r="Z1669">
        <v>1.0213119999999999E-2</v>
      </c>
      <c r="AA1669">
        <v>0.78166059999999904</v>
      </c>
      <c r="AB1669">
        <v>21</v>
      </c>
      <c r="AC1669">
        <v>0.62970000000001303</v>
      </c>
      <c r="AD1669">
        <v>-1.1105290452679999</v>
      </c>
      <c r="AE1669">
        <v>-22.079199999999901</v>
      </c>
      <c r="AF1669">
        <v>13.803101316308</v>
      </c>
      <c r="AG1669">
        <v>-1.1105290452679999</v>
      </c>
      <c r="AH1669">
        <v>17.172791275683601</v>
      </c>
      <c r="AI1669">
        <v>92.885504139690198</v>
      </c>
      <c r="AJ1669">
        <v>51.208466169076502</v>
      </c>
      <c r="AK1669">
        <v>22.060454231652599</v>
      </c>
      <c r="AL1669">
        <v>94.267128824456094</v>
      </c>
      <c r="AM1669">
        <v>73.841538577604595</v>
      </c>
      <c r="AN1669">
        <v>1.0000000108348099</v>
      </c>
    </row>
    <row r="1670" spans="1:40" x14ac:dyDescent="0.25">
      <c r="A1670" t="str">
        <f>"20190303153806947"</f>
        <v>20190303153806947</v>
      </c>
      <c r="B1670" t="str">
        <f>"1551598686940096"</f>
        <v>1551598686940096</v>
      </c>
      <c r="C1670" t="s">
        <v>40</v>
      </c>
      <c r="D1670">
        <v>4.9695999999999998</v>
      </c>
      <c r="E1670">
        <v>0.65551999999999999</v>
      </c>
      <c r="F1670" t="s">
        <v>42</v>
      </c>
      <c r="G1670">
        <v>-195.37110000000001</v>
      </c>
      <c r="H1670" s="1">
        <v>-1.5602269999999901E-6</v>
      </c>
      <c r="I1670">
        <v>339.8947</v>
      </c>
      <c r="J1670">
        <v>-195.87039999999999</v>
      </c>
      <c r="K1670">
        <v>1.1106320000000001</v>
      </c>
      <c r="L1670">
        <v>360.99450000000002</v>
      </c>
      <c r="M1670">
        <v>0.63905599999999996</v>
      </c>
      <c r="N1670">
        <v>-1.668383E-2</v>
      </c>
      <c r="O1670">
        <v>-0.76897939999999998</v>
      </c>
      <c r="P1670">
        <v>0.39864169999999999</v>
      </c>
      <c r="Q1670">
        <v>-8.2929219999999998E-2</v>
      </c>
      <c r="R1670">
        <v>-0.91334970000000004</v>
      </c>
      <c r="S1670">
        <v>8.9340210000000003E-2</v>
      </c>
      <c r="T1670">
        <v>-0.16973659999999999</v>
      </c>
      <c r="U1670">
        <v>-3.2434690000000002</v>
      </c>
      <c r="V1670">
        <v>0.2753622</v>
      </c>
      <c r="W1670">
        <v>-7.4043419999999999E-2</v>
      </c>
      <c r="X1670">
        <v>0.95848480000000003</v>
      </c>
      <c r="Y1670">
        <v>0.61723059999999996</v>
      </c>
      <c r="Z1670">
        <v>1.214669E-2</v>
      </c>
      <c r="AA1670">
        <v>0.78668859999999996</v>
      </c>
      <c r="AB1670">
        <v>21</v>
      </c>
      <c r="AC1670">
        <v>0.49929999999997599</v>
      </c>
      <c r="AD1670">
        <v>-1.1106335602269899</v>
      </c>
      <c r="AE1670">
        <v>-21.099799999999998</v>
      </c>
      <c r="AF1670">
        <v>13.0656440466036</v>
      </c>
      <c r="AG1670">
        <v>-1.1106335602269899</v>
      </c>
      <c r="AH1670">
        <v>16.5010000257437</v>
      </c>
      <c r="AI1670">
        <v>93.020590599511195</v>
      </c>
      <c r="AJ1670">
        <v>51.627493862401003</v>
      </c>
      <c r="AK1670">
        <v>21.076706647558701</v>
      </c>
      <c r="AL1670">
        <v>94.246261734210606</v>
      </c>
      <c r="AM1670">
        <v>73.971220424074403</v>
      </c>
      <c r="AN1670">
        <v>0.99999994053258601</v>
      </c>
    </row>
    <row r="1671" spans="1:40" x14ac:dyDescent="0.25">
      <c r="A1671" t="str">
        <f>"20190303153806966"</f>
        <v>20190303153806966</v>
      </c>
      <c r="B1671" t="str">
        <f>"1551598686960593"</f>
        <v>1551598686960593</v>
      </c>
      <c r="C1671" t="s">
        <v>40</v>
      </c>
      <c r="D1671">
        <v>4.9789029999999999</v>
      </c>
      <c r="E1671">
        <v>0.62960450000000001</v>
      </c>
      <c r="F1671" t="s">
        <v>42</v>
      </c>
      <c r="G1671">
        <v>-195.46379999999999</v>
      </c>
      <c r="H1671" s="1">
        <v>-1.6582550000000001E-6</v>
      </c>
      <c r="I1671">
        <v>340.06580000000002</v>
      </c>
      <c r="J1671">
        <v>-195.76949999999999</v>
      </c>
      <c r="K1671">
        <v>1.11077</v>
      </c>
      <c r="L1671">
        <v>360.84690000000001</v>
      </c>
      <c r="M1671">
        <v>0.62781299999999995</v>
      </c>
      <c r="N1671">
        <v>-1.6648360000000001E-2</v>
      </c>
      <c r="O1671">
        <v>-0.7781863</v>
      </c>
      <c r="P1671">
        <v>0.38967249999999998</v>
      </c>
      <c r="Q1671">
        <v>-8.3604390000000001E-2</v>
      </c>
      <c r="R1671">
        <v>-0.91715100000000005</v>
      </c>
      <c r="S1671">
        <v>6.2973020000000005E-2</v>
      </c>
      <c r="T1671">
        <v>-0.1720207</v>
      </c>
      <c r="U1671">
        <v>-3.2415470000000002</v>
      </c>
      <c r="V1671">
        <v>0.27080029999999999</v>
      </c>
      <c r="W1671">
        <v>-7.4512380000000003E-2</v>
      </c>
      <c r="X1671">
        <v>0.95974740000000003</v>
      </c>
      <c r="Y1671">
        <v>0.61217219999999894</v>
      </c>
      <c r="Z1671">
        <v>1.335163E-2</v>
      </c>
      <c r="AA1671">
        <v>0.79061179999999998</v>
      </c>
      <c r="AB1671">
        <v>21</v>
      </c>
      <c r="AC1671">
        <v>0.30570000000000103</v>
      </c>
      <c r="AD1671">
        <v>-1.110771658255</v>
      </c>
      <c r="AE1671">
        <v>-20.781099999999899</v>
      </c>
      <c r="AF1671">
        <v>12.774039322063199</v>
      </c>
      <c r="AG1671">
        <v>-1.110771658255</v>
      </c>
      <c r="AH1671">
        <v>16.319141962916799</v>
      </c>
      <c r="AI1671">
        <v>93.067999605417597</v>
      </c>
      <c r="AJ1671">
        <v>51.947434083069297</v>
      </c>
      <c r="AK1671">
        <v>20.753898156352001</v>
      </c>
      <c r="AL1671">
        <v>94.2732054066948</v>
      </c>
      <c r="AM1671">
        <v>74.243168497441999</v>
      </c>
      <c r="AN1671">
        <v>0.99999998453005701</v>
      </c>
    </row>
    <row r="1672" spans="1:40" x14ac:dyDescent="0.25">
      <c r="A1672" t="str">
        <f>"20190303153806988"</f>
        <v>20190303153806988</v>
      </c>
      <c r="B1672" t="str">
        <f>"1551598686980114"</f>
        <v>1551598686980114</v>
      </c>
      <c r="C1672" t="s">
        <v>40</v>
      </c>
      <c r="D1672">
        <v>5.0388549999999999</v>
      </c>
      <c r="E1672">
        <v>0.62755950000000005</v>
      </c>
      <c r="F1672" t="s">
        <v>42</v>
      </c>
      <c r="G1672">
        <v>-194.79669999999999</v>
      </c>
      <c r="H1672" s="1">
        <v>-4.1681099999999998E-6</v>
      </c>
      <c r="I1672">
        <v>346.73469999999998</v>
      </c>
      <c r="J1672">
        <v>-195.64519999999999</v>
      </c>
      <c r="K1672">
        <v>1.110973</v>
      </c>
      <c r="L1672">
        <v>360.6592</v>
      </c>
      <c r="M1672">
        <v>0.6136509</v>
      </c>
      <c r="N1672">
        <v>-1.6592340000000001E-2</v>
      </c>
      <c r="O1672">
        <v>-0.78940310000000002</v>
      </c>
      <c r="P1672">
        <v>0.37764950000000003</v>
      </c>
      <c r="Q1672">
        <v>-8.6242289999999999E-2</v>
      </c>
      <c r="R1672">
        <v>-0.92192359999999896</v>
      </c>
      <c r="S1672">
        <v>0.2175598</v>
      </c>
      <c r="T1672">
        <v>-0.2484035</v>
      </c>
      <c r="U1672">
        <v>-3.1559140000000001</v>
      </c>
      <c r="V1672">
        <v>0.26583469999999998</v>
      </c>
      <c r="W1672">
        <v>-7.6915910000000004E-2</v>
      </c>
      <c r="X1672">
        <v>0.9609453</v>
      </c>
      <c r="Y1672">
        <v>0.55735730000000006</v>
      </c>
      <c r="Z1672">
        <v>3.1028239999999999E-2</v>
      </c>
      <c r="AA1672">
        <v>0.82969280000000001</v>
      </c>
      <c r="AB1672">
        <v>21</v>
      </c>
      <c r="AC1672">
        <v>0.84850000000000103</v>
      </c>
      <c r="AD1672">
        <v>-1.11097716811</v>
      </c>
      <c r="AE1672">
        <v>-13.9245</v>
      </c>
      <c r="AF1672">
        <v>7.8264208172384198</v>
      </c>
      <c r="AG1672">
        <v>-1.11097716811</v>
      </c>
      <c r="AH1672">
        <v>11.4417453291555</v>
      </c>
      <c r="AI1672">
        <v>94.582070895022397</v>
      </c>
      <c r="AJ1672">
        <v>55.626961175783997</v>
      </c>
      <c r="AK1672">
        <v>13.9068569149832</v>
      </c>
      <c r="AL1672">
        <v>94.411313899021096</v>
      </c>
      <c r="AM1672">
        <v>74.536493741201198</v>
      </c>
      <c r="AN1672">
        <v>1.0000000072636499</v>
      </c>
    </row>
    <row r="1673" spans="1:40" x14ac:dyDescent="0.25">
      <c r="A1673" t="str">
        <f>"20190303153807004"</f>
        <v>20190303153807004</v>
      </c>
      <c r="B1673" t="str">
        <f>"1551598687000609"</f>
        <v>1551598687000609</v>
      </c>
      <c r="C1673" t="s">
        <v>40</v>
      </c>
      <c r="D1673">
        <v>5.2105839999999999</v>
      </c>
      <c r="E1673">
        <v>0.62740079999999998</v>
      </c>
      <c r="F1673" t="s">
        <v>42</v>
      </c>
      <c r="G1673">
        <v>-194.83799999999999</v>
      </c>
      <c r="H1673" s="1">
        <v>-4.379071E-6</v>
      </c>
      <c r="I1673">
        <v>347.3331</v>
      </c>
      <c r="J1673">
        <v>-195.56379999999999</v>
      </c>
      <c r="K1673">
        <v>1.1111310000000001</v>
      </c>
      <c r="L1673">
        <v>360.53210000000001</v>
      </c>
      <c r="M1673">
        <v>0.60420890000000005</v>
      </c>
      <c r="N1673">
        <v>-1.654475E-2</v>
      </c>
      <c r="O1673">
        <v>-0.79665430000000004</v>
      </c>
      <c r="P1673">
        <v>0.36893530000000002</v>
      </c>
      <c r="Q1673">
        <v>-8.8016860000000002E-2</v>
      </c>
      <c r="R1673">
        <v>-0.92527839999999995</v>
      </c>
      <c r="S1673">
        <v>0.19087219999999999</v>
      </c>
      <c r="T1673">
        <v>-0.26271949999999999</v>
      </c>
      <c r="U1673">
        <v>-3.1513059999999999</v>
      </c>
      <c r="V1673">
        <v>0.26334770000000002</v>
      </c>
      <c r="W1673">
        <v>-7.855906E-2</v>
      </c>
      <c r="X1673">
        <v>0.96149700000000005</v>
      </c>
      <c r="Y1673">
        <v>0.55435869999999998</v>
      </c>
      <c r="Z1673">
        <v>3.4769250000000002E-2</v>
      </c>
      <c r="AA1673">
        <v>0.83155129999999999</v>
      </c>
      <c r="AB1673">
        <v>21</v>
      </c>
      <c r="AC1673">
        <v>0.72579999999999201</v>
      </c>
      <c r="AD1673">
        <v>-1.1111353790709999</v>
      </c>
      <c r="AE1673">
        <v>-13.199</v>
      </c>
      <c r="AF1673">
        <v>7.34585156209718</v>
      </c>
      <c r="AG1673">
        <v>-1.1111353790709999</v>
      </c>
      <c r="AH1673">
        <v>10.8782136841895</v>
      </c>
      <c r="AI1673">
        <v>94.838564518691697</v>
      </c>
      <c r="AJ1673">
        <v>55.969588852469698</v>
      </c>
      <c r="AK1673">
        <v>13.173142751897799</v>
      </c>
      <c r="AL1673">
        <v>94.505745223575104</v>
      </c>
      <c r="AM1673">
        <v>74.6827101756205</v>
      </c>
      <c r="AN1673">
        <v>1.00000000900618</v>
      </c>
    </row>
    <row r="1674" spans="1:40" x14ac:dyDescent="0.25">
      <c r="A1674" t="str">
        <f>"20190303153807022"</f>
        <v>20190303153807022</v>
      </c>
      <c r="B1674" t="str">
        <f>"1551598687010369"</f>
        <v>1551598687010369</v>
      </c>
      <c r="C1674" t="s">
        <v>40</v>
      </c>
      <c r="D1674">
        <v>5.069617</v>
      </c>
      <c r="E1674">
        <v>0.6272721</v>
      </c>
      <c r="F1674" t="s">
        <v>42</v>
      </c>
      <c r="G1674">
        <v>-194.92169999999999</v>
      </c>
      <c r="H1674" s="1">
        <v>-4.6287280000000002E-6</v>
      </c>
      <c r="I1674">
        <v>348.0231</v>
      </c>
      <c r="J1674">
        <v>-195.4717</v>
      </c>
      <c r="K1674">
        <v>1.1113150000000001</v>
      </c>
      <c r="L1674">
        <v>360.38479999999998</v>
      </c>
      <c r="M1674">
        <v>0.5933792</v>
      </c>
      <c r="N1674">
        <v>-1.6484269999999999E-2</v>
      </c>
      <c r="O1674">
        <v>-0.80475430000000003</v>
      </c>
      <c r="P1674">
        <v>0.3613828</v>
      </c>
      <c r="Q1674">
        <v>-9.153886E-2</v>
      </c>
      <c r="R1674">
        <v>-0.92791369999999895</v>
      </c>
      <c r="S1674">
        <v>0.1617432</v>
      </c>
      <c r="T1674">
        <v>-0.27990479999999901</v>
      </c>
      <c r="U1674">
        <v>-3.1511230000000001</v>
      </c>
      <c r="V1674">
        <v>0.25793450000000001</v>
      </c>
      <c r="W1674">
        <v>-8.1861980000000001E-2</v>
      </c>
      <c r="X1674">
        <v>0.96268810000000005</v>
      </c>
      <c r="Y1674">
        <v>0.55073019999999995</v>
      </c>
      <c r="Z1674">
        <v>3.9249260000000001E-2</v>
      </c>
      <c r="AA1674">
        <v>0.83375999999999995</v>
      </c>
      <c r="AB1674">
        <v>21</v>
      </c>
      <c r="AC1674">
        <v>0.55000000000001104</v>
      </c>
      <c r="AD1674">
        <v>-1.1113196287279901</v>
      </c>
      <c r="AE1674">
        <v>-12.3616999999999</v>
      </c>
      <c r="AF1674">
        <v>6.8383385267877896</v>
      </c>
      <c r="AG1674">
        <v>-1.1113196287279901</v>
      </c>
      <c r="AH1674">
        <v>10.1936626313668</v>
      </c>
      <c r="AI1674">
        <v>95.173215673898198</v>
      </c>
      <c r="AJ1674">
        <v>56.144625605853598</v>
      </c>
      <c r="AK1674">
        <v>12.3251232434515</v>
      </c>
      <c r="AL1674">
        <v>94.695600527782105</v>
      </c>
      <c r="AM1674">
        <v>75.000943949594998</v>
      </c>
      <c r="AN1674">
        <v>0.99999998397069001</v>
      </c>
    </row>
    <row r="1675" spans="1:40" x14ac:dyDescent="0.25">
      <c r="A1675" t="str">
        <f>"20190303153807035"</f>
        <v>20190303153807035</v>
      </c>
      <c r="B1675" t="str">
        <f>"1551598687029889"</f>
        <v>1551598687029889</v>
      </c>
      <c r="C1675" t="s">
        <v>40</v>
      </c>
      <c r="D1675">
        <v>5.0760019999999999</v>
      </c>
      <c r="E1675">
        <v>0.62806739999999905</v>
      </c>
      <c r="F1675" t="s">
        <v>42</v>
      </c>
      <c r="G1675">
        <v>-194.95410000000001</v>
      </c>
      <c r="H1675" s="1">
        <v>-4.7889099999999999E-6</v>
      </c>
      <c r="I1675">
        <v>348.4769</v>
      </c>
      <c r="J1675">
        <v>-195.39789999999999</v>
      </c>
      <c r="K1675">
        <v>1.1114759999999999</v>
      </c>
      <c r="L1675">
        <v>360.26400000000001</v>
      </c>
      <c r="M1675">
        <v>0.58459589999999995</v>
      </c>
      <c r="N1675">
        <v>-1.6431129999999999E-2</v>
      </c>
      <c r="O1675">
        <v>-0.81115809999999999</v>
      </c>
      <c r="P1675">
        <v>0.35409109999999899</v>
      </c>
      <c r="Q1675">
        <v>-9.3184260000000005E-2</v>
      </c>
      <c r="R1675">
        <v>-0.93055690000000002</v>
      </c>
      <c r="S1675">
        <v>0.1369476</v>
      </c>
      <c r="T1675">
        <v>-0.29404560000000002</v>
      </c>
      <c r="U1675">
        <v>-3.1507260000000001</v>
      </c>
      <c r="V1675">
        <v>0.2549244</v>
      </c>
      <c r="W1675">
        <v>-8.3371109999999998E-2</v>
      </c>
      <c r="X1675">
        <v>0.9633602</v>
      </c>
      <c r="Y1675">
        <v>0.54817249999999995</v>
      </c>
      <c r="Z1675">
        <v>4.29982E-2</v>
      </c>
      <c r="AA1675">
        <v>0.83525930000000004</v>
      </c>
      <c r="AB1675">
        <v>21</v>
      </c>
      <c r="AC1675">
        <v>0.44379999999998099</v>
      </c>
      <c r="AD1675">
        <v>-1.11148078891</v>
      </c>
      <c r="AE1675">
        <v>-11.787100000000001</v>
      </c>
      <c r="AF1675">
        <v>6.4740958348266897</v>
      </c>
      <c r="AG1675">
        <v>-1.11148078891</v>
      </c>
      <c r="AH1675">
        <v>9.7355283086609905</v>
      </c>
      <c r="AI1675">
        <v>95.430576745099401</v>
      </c>
      <c r="AJ1675">
        <v>56.376218274004302</v>
      </c>
      <c r="AK1675">
        <v>11.744352594816601</v>
      </c>
      <c r="AL1675">
        <v>94.782363689281894</v>
      </c>
      <c r="AM1675">
        <v>75.178117284463895</v>
      </c>
      <c r="AN1675">
        <v>1.00000003332101</v>
      </c>
    </row>
    <row r="1676" spans="1:40" x14ac:dyDescent="0.25">
      <c r="A1676" t="str">
        <f>"20190303153807053"</f>
        <v>20190303153807053</v>
      </c>
      <c r="B1676" t="str">
        <f>"1551598687050384"</f>
        <v>1551598687050384</v>
      </c>
      <c r="C1676" t="s">
        <v>40</v>
      </c>
      <c r="D1676">
        <v>5.1109939999999998</v>
      </c>
      <c r="E1676">
        <v>0.6275811</v>
      </c>
      <c r="F1676" t="s">
        <v>42</v>
      </c>
      <c r="G1676">
        <v>-194.97989999999999</v>
      </c>
      <c r="H1676" s="1">
        <v>-4.616993E-6</v>
      </c>
      <c r="I1676">
        <v>347.95830000000001</v>
      </c>
      <c r="J1676">
        <v>-195.3099</v>
      </c>
      <c r="K1676">
        <v>1.1116710000000001</v>
      </c>
      <c r="L1676">
        <v>360.11630000000002</v>
      </c>
      <c r="M1676">
        <v>0.57397849999999995</v>
      </c>
      <c r="N1676">
        <v>-1.6363349999999999E-2</v>
      </c>
      <c r="O1676">
        <v>-0.81870679999999996</v>
      </c>
      <c r="P1676">
        <v>0.34756870000000001</v>
      </c>
      <c r="Q1676">
        <v>-9.4079189999999993E-2</v>
      </c>
      <c r="R1676">
        <v>-0.93292280000000005</v>
      </c>
      <c r="S1676">
        <v>0.1071777</v>
      </c>
      <c r="T1676">
        <v>-0.28493020000000002</v>
      </c>
      <c r="U1676">
        <v>-3.1546020000000001</v>
      </c>
      <c r="V1676">
        <v>0.24908959999999999</v>
      </c>
      <c r="W1676">
        <v>-8.4045819999999993E-2</v>
      </c>
      <c r="X1676">
        <v>0.96482679999999998</v>
      </c>
      <c r="Y1676">
        <v>0.54523149999999998</v>
      </c>
      <c r="Z1676">
        <v>4.2200269999999998E-2</v>
      </c>
      <c r="AA1676">
        <v>0.83722260000000004</v>
      </c>
      <c r="AB1676">
        <v>21</v>
      </c>
      <c r="AC1676">
        <v>0.33000000000001201</v>
      </c>
      <c r="AD1676">
        <v>-1.11167561699299</v>
      </c>
      <c r="AE1676">
        <v>-12.157999999999999</v>
      </c>
      <c r="AF1676">
        <v>6.6535697954931701</v>
      </c>
      <c r="AG1676">
        <v>-1.11167561699299</v>
      </c>
      <c r="AH1676">
        <v>10.060559607368299</v>
      </c>
      <c r="AI1676">
        <v>95.265827435850994</v>
      </c>
      <c r="AJ1676">
        <v>56.521268739436699</v>
      </c>
      <c r="AK1676">
        <v>12.112830937246899</v>
      </c>
      <c r="AL1676">
        <v>94.821157841829503</v>
      </c>
      <c r="AM1676">
        <v>75.524024875721295</v>
      </c>
      <c r="AN1676">
        <v>1.00000004134293</v>
      </c>
    </row>
    <row r="1677" spans="1:40" x14ac:dyDescent="0.25">
      <c r="A1677" t="str">
        <f>"20190303153807066"</f>
        <v>20190303153807066</v>
      </c>
      <c r="B1677" t="str">
        <f>"1551598687060145"</f>
        <v>1551598687060145</v>
      </c>
      <c r="C1677" t="s">
        <v>40</v>
      </c>
      <c r="D1677">
        <v>5.0848079999999998</v>
      </c>
      <c r="E1677">
        <v>0.62749279999999996</v>
      </c>
      <c r="F1677" t="s">
        <v>42</v>
      </c>
      <c r="G1677">
        <v>-194.9487</v>
      </c>
      <c r="H1677" s="1">
        <v>-4.407218E-6</v>
      </c>
      <c r="I1677">
        <v>347.35809999999998</v>
      </c>
      <c r="J1677">
        <v>-195.24180000000001</v>
      </c>
      <c r="K1677">
        <v>1.111831</v>
      </c>
      <c r="L1677">
        <v>359.99950000000001</v>
      </c>
      <c r="M1677">
        <v>0.56567119999999904</v>
      </c>
      <c r="N1677">
        <v>-1.6308779999999998E-2</v>
      </c>
      <c r="O1677">
        <v>-0.82446969999999997</v>
      </c>
      <c r="P1677">
        <v>0.34068209999999999</v>
      </c>
      <c r="Q1677">
        <v>-9.3548030000000004E-2</v>
      </c>
      <c r="R1677">
        <v>-0.93551289999999998</v>
      </c>
      <c r="S1677">
        <v>8.932495E-2</v>
      </c>
      <c r="T1677">
        <v>-0.2748815</v>
      </c>
      <c r="U1677">
        <v>-3.1546940000000001</v>
      </c>
      <c r="V1677">
        <v>0.24652260000000001</v>
      </c>
      <c r="W1677">
        <v>-8.3401840000000005E-2</v>
      </c>
      <c r="X1677">
        <v>0.96554169999999995</v>
      </c>
      <c r="Y1677">
        <v>0.54152709999999904</v>
      </c>
      <c r="Z1677">
        <v>4.1014870000000002E-2</v>
      </c>
      <c r="AA1677">
        <v>0.83968220000000005</v>
      </c>
      <c r="AB1677">
        <v>21</v>
      </c>
      <c r="AC1677">
        <v>0.29310000000000902</v>
      </c>
      <c r="AD1677">
        <v>-1.1118354072179999</v>
      </c>
      <c r="AE1677">
        <v>-12.641400000000001</v>
      </c>
      <c r="AF1677">
        <v>6.8571271985476603</v>
      </c>
      <c r="AG1677">
        <v>-1.1118354072179999</v>
      </c>
      <c r="AH1677">
        <v>10.508412419155301</v>
      </c>
      <c r="AI1677">
        <v>95.063645387138706</v>
      </c>
      <c r="AJ1677">
        <v>56.874067749255502</v>
      </c>
      <c r="AK1677">
        <v>12.5969481606007</v>
      </c>
      <c r="AL1677">
        <v>94.784130621041797</v>
      </c>
      <c r="AM1677">
        <v>75.677206770407807</v>
      </c>
      <c r="AN1677">
        <v>1.0000000168325101</v>
      </c>
    </row>
    <row r="1678" spans="1:40" x14ac:dyDescent="0.25">
      <c r="A1678" t="str">
        <f>"20190303153807080"</f>
        <v>20190303153807080</v>
      </c>
      <c r="B1678" t="str">
        <f>"1551598687069905"</f>
        <v>1551598687069905</v>
      </c>
      <c r="C1678" t="s">
        <v>40</v>
      </c>
      <c r="D1678">
        <v>5.1103889999999996</v>
      </c>
      <c r="E1678">
        <v>0.62684200000000001</v>
      </c>
      <c r="F1678" t="s">
        <v>42</v>
      </c>
      <c r="G1678">
        <v>-194.96600000000001</v>
      </c>
      <c r="H1678" s="1">
        <v>-4.2831609999999999E-6</v>
      </c>
      <c r="I1678">
        <v>346.9846</v>
      </c>
      <c r="J1678">
        <v>-195.179</v>
      </c>
      <c r="K1678">
        <v>1.11198</v>
      </c>
      <c r="L1678">
        <v>359.88869999999997</v>
      </c>
      <c r="M1678">
        <v>0.55790509999999904</v>
      </c>
      <c r="N1678">
        <v>-1.6256699999999999E-2</v>
      </c>
      <c r="O1678">
        <v>-0.82974579999999998</v>
      </c>
      <c r="P1678">
        <v>0.33455230000000002</v>
      </c>
      <c r="Q1678">
        <v>-9.2403079999999999E-2</v>
      </c>
      <c r="R1678">
        <v>-0.93783629999999996</v>
      </c>
      <c r="S1678">
        <v>6.6879270000000005E-2</v>
      </c>
      <c r="T1678">
        <v>-0.26956390000000002</v>
      </c>
      <c r="U1678">
        <v>-3.1554570000000002</v>
      </c>
      <c r="V1678">
        <v>0.24389430000000001</v>
      </c>
      <c r="W1678">
        <v>-8.2153569999999995E-2</v>
      </c>
      <c r="X1678">
        <v>0.96631590000000001</v>
      </c>
      <c r="Y1678">
        <v>0.53963190000000005</v>
      </c>
      <c r="Z1678">
        <v>4.0626540000000003E-2</v>
      </c>
      <c r="AA1678">
        <v>0.84092029999999995</v>
      </c>
      <c r="AB1678">
        <v>21</v>
      </c>
      <c r="AC1678">
        <v>0.21300000000002201</v>
      </c>
      <c r="AD1678">
        <v>-1.1119842831610001</v>
      </c>
      <c r="AE1678">
        <v>-12.9040999999999</v>
      </c>
      <c r="AF1678">
        <v>6.9716976587284103</v>
      </c>
      <c r="AG1678">
        <v>-1.1119842831610001</v>
      </c>
      <c r="AH1678">
        <v>10.747597313316099</v>
      </c>
      <c r="AI1678">
        <v>94.960888003363706</v>
      </c>
      <c r="AJ1678">
        <v>57.0295335194267</v>
      </c>
      <c r="AK1678">
        <v>12.858923955756</v>
      </c>
      <c r="AL1678">
        <v>94.712363657741307</v>
      </c>
      <c r="AM1678">
        <v>75.834622408432097</v>
      </c>
      <c r="AN1678">
        <v>1.0000000286145201</v>
      </c>
    </row>
    <row r="1679" spans="1:40" x14ac:dyDescent="0.25">
      <c r="A1679" t="str">
        <f>"20190303153807093"</f>
        <v>20190303153807093</v>
      </c>
      <c r="B1679" t="str">
        <f>"1551598687090401"</f>
        <v>1551598687090401</v>
      </c>
      <c r="C1679" t="s">
        <v>40</v>
      </c>
      <c r="D1679">
        <v>5.083469</v>
      </c>
      <c r="E1679">
        <v>0.62574359999999996</v>
      </c>
      <c r="F1679" t="s">
        <v>42</v>
      </c>
      <c r="G1679">
        <v>-194.96299999999999</v>
      </c>
      <c r="H1679" s="1">
        <v>-4.1593339999999998E-6</v>
      </c>
      <c r="I1679">
        <v>346.62220000000002</v>
      </c>
      <c r="J1679">
        <v>-195.1189</v>
      </c>
      <c r="K1679">
        <v>1.1121110000000001</v>
      </c>
      <c r="L1679">
        <v>359.78129999999999</v>
      </c>
      <c r="M1679">
        <v>0.55041260000000003</v>
      </c>
      <c r="N1679">
        <v>-1.6207539999999999E-2</v>
      </c>
      <c r="O1679">
        <v>-0.83473549999999996</v>
      </c>
      <c r="P1679">
        <v>0.32885789999999998</v>
      </c>
      <c r="Q1679">
        <v>-9.1565339999999995E-2</v>
      </c>
      <c r="R1679">
        <v>-0.93992980000000004</v>
      </c>
      <c r="S1679">
        <v>5.1345830000000002E-2</v>
      </c>
      <c r="T1679">
        <v>-0.26440859999999999</v>
      </c>
      <c r="U1679">
        <v>-3.1545100000000001</v>
      </c>
      <c r="V1679">
        <v>0.24114669999999999</v>
      </c>
      <c r="W1679">
        <v>-8.1215389999999998E-2</v>
      </c>
      <c r="X1679">
        <v>0.96708450000000001</v>
      </c>
      <c r="Y1679">
        <v>0.53620849999999998</v>
      </c>
      <c r="Z1679">
        <v>4.029253E-2</v>
      </c>
      <c r="AA1679">
        <v>0.84312339999999997</v>
      </c>
      <c r="AB1679">
        <v>21</v>
      </c>
      <c r="AC1679">
        <v>0.15590000000000201</v>
      </c>
      <c r="AD1679">
        <v>-1.112115159334</v>
      </c>
      <c r="AE1679">
        <v>-13.159099999999899</v>
      </c>
      <c r="AF1679">
        <v>7.0632912102695498</v>
      </c>
      <c r="AG1679">
        <v>-1.112115159334</v>
      </c>
      <c r="AH1679">
        <v>10.9931243145249</v>
      </c>
      <c r="AI1679">
        <v>94.864753354622295</v>
      </c>
      <c r="AJ1679">
        <v>57.278484742452797</v>
      </c>
      <c r="AK1679">
        <v>13.1139492542593</v>
      </c>
      <c r="AL1679">
        <v>94.658429567026204</v>
      </c>
      <c r="AM1679">
        <v>75.998580277947994</v>
      </c>
      <c r="AN1679">
        <v>1.0000000503169899</v>
      </c>
    </row>
    <row r="1680" spans="1:40" x14ac:dyDescent="0.25">
      <c r="A1680" t="str">
        <f>"20190303153807110"</f>
        <v>20190303153807110</v>
      </c>
      <c r="B1680" t="str">
        <f>"1551598687100165"</f>
        <v>1551598687100165</v>
      </c>
      <c r="C1680" t="s">
        <v>40</v>
      </c>
      <c r="D1680">
        <v>5.0799219999999998</v>
      </c>
      <c r="E1680">
        <v>0.6252664</v>
      </c>
      <c r="F1680" t="s">
        <v>42</v>
      </c>
      <c r="G1680">
        <v>-194.94149999999999</v>
      </c>
      <c r="H1680" s="1">
        <v>-3.9629289999999999E-6</v>
      </c>
      <c r="I1680">
        <v>346.05630000000002</v>
      </c>
      <c r="J1680">
        <v>-195.03469999999999</v>
      </c>
      <c r="K1680">
        <v>1.112285</v>
      </c>
      <c r="L1680">
        <v>359.62729999999999</v>
      </c>
      <c r="M1680">
        <v>0.53978709999999996</v>
      </c>
      <c r="N1680">
        <v>-1.6138019999999999E-2</v>
      </c>
      <c r="O1680">
        <v>-0.84164689999999998</v>
      </c>
      <c r="P1680">
        <v>0.32208130000000001</v>
      </c>
      <c r="Q1680">
        <v>-8.9273740000000004E-2</v>
      </c>
      <c r="R1680">
        <v>-0.94249369999999999</v>
      </c>
      <c r="S1680">
        <v>4.0756229999999997E-2</v>
      </c>
      <c r="T1680">
        <v>-0.25545119999999999</v>
      </c>
      <c r="U1680">
        <v>-3.1526179999999999</v>
      </c>
      <c r="V1680">
        <v>0.23605480000000001</v>
      </c>
      <c r="W1680">
        <v>-7.8760849999999993E-2</v>
      </c>
      <c r="X1680">
        <v>0.96854260000000003</v>
      </c>
      <c r="Y1680">
        <v>0.52835379999999998</v>
      </c>
      <c r="Z1680">
        <v>3.9503679999999999E-2</v>
      </c>
      <c r="AA1680">
        <v>0.84810479999999999</v>
      </c>
      <c r="AB1680">
        <v>21</v>
      </c>
      <c r="AC1680">
        <v>9.3199999999995897E-2</v>
      </c>
      <c r="AD1680">
        <v>-1.112288962929</v>
      </c>
      <c r="AE1680">
        <v>-13.5709999999999</v>
      </c>
      <c r="AF1680">
        <v>7.1995915169824496</v>
      </c>
      <c r="AG1680">
        <v>-1.112288962929</v>
      </c>
      <c r="AH1680">
        <v>11.3972341281907</v>
      </c>
      <c r="AI1680">
        <v>94.716752004654296</v>
      </c>
      <c r="AJ1680">
        <v>57.719546223418398</v>
      </c>
      <c r="AK1680">
        <v>13.5265757130641</v>
      </c>
      <c r="AL1680">
        <v>94.517343122843599</v>
      </c>
      <c r="AM1680">
        <v>76.302816273963003</v>
      </c>
      <c r="AN1680">
        <v>0.99999995405525999</v>
      </c>
    </row>
    <row r="1681" spans="1:40" x14ac:dyDescent="0.25">
      <c r="A1681" t="str">
        <f>"20190303153807122"</f>
        <v>20190303153807122</v>
      </c>
      <c r="B1681" t="str">
        <f>"1551598687120657"</f>
        <v>1551598687120657</v>
      </c>
      <c r="C1681" t="s">
        <v>40</v>
      </c>
      <c r="D1681">
        <v>5.1406280000000004</v>
      </c>
      <c r="E1681">
        <v>0.62412179999999995</v>
      </c>
      <c r="F1681" t="s">
        <v>42</v>
      </c>
      <c r="G1681">
        <v>-194.93620000000001</v>
      </c>
      <c r="H1681" s="1">
        <v>-3.7401489999999999E-6</v>
      </c>
      <c r="I1681">
        <v>345.40440000000001</v>
      </c>
      <c r="J1681">
        <v>-194.97909999999999</v>
      </c>
      <c r="K1681">
        <v>1.1123890000000001</v>
      </c>
      <c r="L1681">
        <v>359.52249999999998</v>
      </c>
      <c r="M1681">
        <v>0.53264719999999999</v>
      </c>
      <c r="N1681">
        <v>-1.6091769999999998E-2</v>
      </c>
      <c r="O1681">
        <v>-0.84618470000000001</v>
      </c>
      <c r="P1681">
        <v>0.31699300000000002</v>
      </c>
      <c r="Q1681">
        <v>-8.8608999999999993E-2</v>
      </c>
      <c r="R1681">
        <v>-0.9442798</v>
      </c>
      <c r="S1681">
        <v>2.183533E-2</v>
      </c>
      <c r="T1681">
        <v>-0.24651129999999999</v>
      </c>
      <c r="U1681">
        <v>-3.152161</v>
      </c>
      <c r="V1681">
        <v>0.23315269999999999</v>
      </c>
      <c r="W1681">
        <v>-7.8011650000000002E-2</v>
      </c>
      <c r="X1681">
        <v>0.96930590000000005</v>
      </c>
      <c r="Y1681">
        <v>0.52628809999999904</v>
      </c>
      <c r="Z1681">
        <v>3.8163120000000002E-2</v>
      </c>
      <c r="AA1681">
        <v>0.84944949999999997</v>
      </c>
      <c r="AB1681">
        <v>21</v>
      </c>
      <c r="AC1681">
        <v>4.2899999999974597E-2</v>
      </c>
      <c r="AD1681">
        <v>-1.1123927401489999</v>
      </c>
      <c r="AE1681">
        <v>-14.118099999999901</v>
      </c>
      <c r="AF1681">
        <v>7.43845346262066</v>
      </c>
      <c r="AG1681">
        <v>-1.1123927401489999</v>
      </c>
      <c r="AH1681">
        <v>11.897059287360801</v>
      </c>
      <c r="AI1681">
        <v>94.532970512979702</v>
      </c>
      <c r="AJ1681">
        <v>57.984950709426599</v>
      </c>
      <c r="AK1681">
        <v>14.0750853358296</v>
      </c>
      <c r="AL1681">
        <v>94.4742845916509</v>
      </c>
      <c r="AM1681">
        <v>76.475247050942102</v>
      </c>
      <c r="AN1681">
        <v>0.99999996341390995</v>
      </c>
    </row>
    <row r="1682" spans="1:40" x14ac:dyDescent="0.25">
      <c r="A1682" t="str">
        <f>"20190303153807136"</f>
        <v>20190303153807136</v>
      </c>
      <c r="B1682" t="str">
        <f>"1551598687130417"</f>
        <v>1551598687130417</v>
      </c>
      <c r="C1682" t="s">
        <v>40</v>
      </c>
      <c r="D1682">
        <v>5.1127260000000003</v>
      </c>
      <c r="E1682">
        <v>0.62362289999999998</v>
      </c>
      <c r="F1682" t="s">
        <v>42</v>
      </c>
      <c r="G1682">
        <v>-194.9187</v>
      </c>
      <c r="H1682" s="1">
        <v>-3.6875229999999998E-6</v>
      </c>
      <c r="I1682">
        <v>345.25889999999998</v>
      </c>
      <c r="J1682">
        <v>-194.92189999999999</v>
      </c>
      <c r="K1682">
        <v>1.1124849999999999</v>
      </c>
      <c r="L1682">
        <v>359.41300000000001</v>
      </c>
      <c r="M1682">
        <v>0.52521899999999999</v>
      </c>
      <c r="N1682">
        <v>-1.6045239999999999E-2</v>
      </c>
      <c r="O1682">
        <v>-0.85081600000000002</v>
      </c>
      <c r="P1682">
        <v>0.31126399999999999</v>
      </c>
      <c r="Q1682">
        <v>-8.7932629999999998E-2</v>
      </c>
      <c r="R1682">
        <v>-0.9462469</v>
      </c>
      <c r="S1682">
        <v>1.332092E-2</v>
      </c>
      <c r="T1682">
        <v>-0.2456208</v>
      </c>
      <c r="U1682">
        <v>-3.1494749999999998</v>
      </c>
      <c r="V1682">
        <v>0.23060839999999999</v>
      </c>
      <c r="W1682">
        <v>-7.7264470000000002E-2</v>
      </c>
      <c r="X1682">
        <v>0.96997420000000001</v>
      </c>
      <c r="Y1682">
        <v>0.52114090000000002</v>
      </c>
      <c r="Z1682">
        <v>3.8705709999999997E-2</v>
      </c>
      <c r="AA1682">
        <v>0.85259259999999903</v>
      </c>
      <c r="AB1682">
        <v>21</v>
      </c>
      <c r="AC1682">
        <v>3.19999999999254E-3</v>
      </c>
      <c r="AD1682">
        <v>-1.112488687523</v>
      </c>
      <c r="AE1682">
        <v>-14.1541</v>
      </c>
      <c r="AF1682">
        <v>7.3866030444419</v>
      </c>
      <c r="AG1682">
        <v>-1.112488687523</v>
      </c>
      <c r="AH1682">
        <v>11.9718060460175</v>
      </c>
      <c r="AI1682">
        <v>94.521761995879302</v>
      </c>
      <c r="AJ1682">
        <v>58.325418646356901</v>
      </c>
      <c r="AK1682">
        <v>14.111118864905301</v>
      </c>
      <c r="AL1682">
        <v>94.431344598677896</v>
      </c>
      <c r="AM1682">
        <v>76.626389021429901</v>
      </c>
      <c r="AN1682">
        <v>0.99999999057028999</v>
      </c>
    </row>
    <row r="1683" spans="1:40" x14ac:dyDescent="0.25">
      <c r="A1683" t="str">
        <f>"20190303153807155"</f>
        <v>20190303153807155</v>
      </c>
      <c r="B1683" t="str">
        <f>"1551598687149937"</f>
        <v>1551598687149937</v>
      </c>
      <c r="C1683" t="s">
        <v>40</v>
      </c>
      <c r="D1683">
        <v>5.0690799999999996</v>
      </c>
      <c r="E1683">
        <v>0.62314019999999903</v>
      </c>
      <c r="F1683" t="s">
        <v>42</v>
      </c>
      <c r="G1683">
        <v>-194.93109999999999</v>
      </c>
      <c r="H1683" s="1">
        <v>-3.6165859999999999E-6</v>
      </c>
      <c r="I1683">
        <v>345.04390000000001</v>
      </c>
      <c r="J1683">
        <v>-194.8365</v>
      </c>
      <c r="K1683">
        <v>1.1126240000000001</v>
      </c>
      <c r="L1683">
        <v>359.24549999999999</v>
      </c>
      <c r="M1683">
        <v>0.51395029999999997</v>
      </c>
      <c r="N1683">
        <v>-1.5977129999999999E-2</v>
      </c>
      <c r="O1683">
        <v>-0.85767130000000003</v>
      </c>
      <c r="P1683">
        <v>0.30387769999999997</v>
      </c>
      <c r="Q1683">
        <v>-8.6561070000000004E-2</v>
      </c>
      <c r="R1683">
        <v>-0.94877069999999997</v>
      </c>
      <c r="S1683">
        <v>-2.0294190000000002E-3</v>
      </c>
      <c r="T1683">
        <v>-0.24376030000000001</v>
      </c>
      <c r="U1683">
        <v>-3.1484380000000001</v>
      </c>
      <c r="V1683">
        <v>0.2254941</v>
      </c>
      <c r="W1683">
        <v>-7.5762880000000005E-2</v>
      </c>
      <c r="X1683">
        <v>0.9712942</v>
      </c>
      <c r="Y1683">
        <v>0.51404280000000002</v>
      </c>
      <c r="Z1683">
        <v>3.9307960000000003E-2</v>
      </c>
      <c r="AA1683">
        <v>0.85686340000000005</v>
      </c>
      <c r="AB1683">
        <v>21</v>
      </c>
      <c r="AC1683">
        <v>-9.4599999999985501E-2</v>
      </c>
      <c r="AD1683">
        <v>-1.1126276165860001</v>
      </c>
      <c r="AE1683">
        <v>-14.2015999999999</v>
      </c>
      <c r="AF1683">
        <v>7.3359675460873603</v>
      </c>
      <c r="AG1683">
        <v>-1.1126276165860001</v>
      </c>
      <c r="AH1683">
        <v>12.059216419996099</v>
      </c>
      <c r="AI1683">
        <v>94.506983090607406</v>
      </c>
      <c r="AJ1683">
        <v>58.686650153569097</v>
      </c>
      <c r="AK1683">
        <v>14.1590628473335</v>
      </c>
      <c r="AL1683">
        <v>94.345056772508201</v>
      </c>
      <c r="AM1683">
        <v>76.9298375182141</v>
      </c>
      <c r="AN1683">
        <v>1.00000001303717</v>
      </c>
    </row>
    <row r="1684" spans="1:40" x14ac:dyDescent="0.25">
      <c r="A1684" t="str">
        <f>"20190303153807179"</f>
        <v>20190303153807179</v>
      </c>
      <c r="B1684" t="str">
        <f>"1551598687170434"</f>
        <v>1551598687170434</v>
      </c>
      <c r="C1684" t="s">
        <v>40</v>
      </c>
      <c r="D1684">
        <v>5.0752769999999998</v>
      </c>
      <c r="E1684">
        <v>0.61775159999999996</v>
      </c>
      <c r="F1684" t="s">
        <v>42</v>
      </c>
      <c r="G1684">
        <v>-194.94309999999999</v>
      </c>
      <c r="H1684" s="1">
        <v>-3.4815649999999999E-6</v>
      </c>
      <c r="I1684">
        <v>344.64100000000002</v>
      </c>
      <c r="J1684">
        <v>-194.73410000000001</v>
      </c>
      <c r="K1684">
        <v>1.112778</v>
      </c>
      <c r="L1684">
        <v>359.03739999999999</v>
      </c>
      <c r="M1684">
        <v>0.50010969999999999</v>
      </c>
      <c r="N1684">
        <v>-1.5897000000000001E-2</v>
      </c>
      <c r="O1684">
        <v>-0.86581620000000004</v>
      </c>
      <c r="P1684">
        <v>0.29369889999999998</v>
      </c>
      <c r="Q1684">
        <v>-8.4501510000000002E-2</v>
      </c>
      <c r="R1684">
        <v>-0.9521558</v>
      </c>
      <c r="S1684">
        <v>-2.2964479999999999E-2</v>
      </c>
      <c r="T1684">
        <v>-0.23978099999999999</v>
      </c>
      <c r="U1684">
        <v>-3.1474000000000002</v>
      </c>
      <c r="V1684">
        <v>0.22046009999999999</v>
      </c>
      <c r="W1684">
        <v>-7.3580129999999994E-2</v>
      </c>
      <c r="X1684">
        <v>0.9726167</v>
      </c>
      <c r="Y1684">
        <v>0.50597239999999999</v>
      </c>
      <c r="Z1684">
        <v>3.957836E-2</v>
      </c>
      <c r="AA1684">
        <v>0.86164110000000005</v>
      </c>
      <c r="AB1684">
        <v>21</v>
      </c>
      <c r="AC1684">
        <v>-0.20899999999997401</v>
      </c>
      <c r="AD1684">
        <v>-1.1127814815649999</v>
      </c>
      <c r="AE1684">
        <v>-14.3964</v>
      </c>
      <c r="AF1684">
        <v>7.3378355081636801</v>
      </c>
      <c r="AG1684">
        <v>-1.1127814815649999</v>
      </c>
      <c r="AH1684">
        <v>12.288272195605099</v>
      </c>
      <c r="AI1684">
        <v>94.445765313643506</v>
      </c>
      <c r="AJ1684">
        <v>59.156827940666098</v>
      </c>
      <c r="AK1684">
        <v>14.3556172324238</v>
      </c>
      <c r="AL1684">
        <v>94.219644447284793</v>
      </c>
      <c r="AM1684">
        <v>77.2287398042657</v>
      </c>
      <c r="AN1684">
        <v>0.99999996817085701</v>
      </c>
    </row>
    <row r="1685" spans="1:40" x14ac:dyDescent="0.25">
      <c r="A1685" t="str">
        <f>"20190303153807200"</f>
        <v>20190303153807200</v>
      </c>
      <c r="B1685" t="str">
        <f>"1551598687189953"</f>
        <v>1551598687189953</v>
      </c>
      <c r="C1685" t="s">
        <v>40</v>
      </c>
      <c r="D1685">
        <v>5.1274790000000001</v>
      </c>
      <c r="E1685">
        <v>0.61727259999999995</v>
      </c>
      <c r="F1685" t="s">
        <v>42</v>
      </c>
      <c r="G1685">
        <v>-194.83449999999999</v>
      </c>
      <c r="H1685" s="1">
        <v>-4.8048610000000003E-6</v>
      </c>
      <c r="I1685">
        <v>328.58620000000002</v>
      </c>
      <c r="J1685">
        <v>-194.64590000000001</v>
      </c>
      <c r="K1685">
        <v>1.1129199999999999</v>
      </c>
      <c r="L1685">
        <v>358.85160000000002</v>
      </c>
      <c r="M1685">
        <v>0.48788880000000001</v>
      </c>
      <c r="N1685">
        <v>-1.5827299999999999E-2</v>
      </c>
      <c r="O1685">
        <v>-0.87276239999999905</v>
      </c>
      <c r="P1685">
        <v>0.28688570000000002</v>
      </c>
      <c r="Q1685">
        <v>-8.1808220000000001E-2</v>
      </c>
      <c r="R1685">
        <v>-0.95446540000000002</v>
      </c>
      <c r="S1685">
        <v>-1.036072E-2</v>
      </c>
      <c r="T1685">
        <v>-0.1148841</v>
      </c>
      <c r="U1685">
        <v>-3.143799</v>
      </c>
      <c r="V1685">
        <v>0.21393309999999999</v>
      </c>
      <c r="W1685">
        <v>-7.0727849999999995E-2</v>
      </c>
      <c r="X1685">
        <v>0.9742845</v>
      </c>
      <c r="Y1685">
        <v>0.49058839999999998</v>
      </c>
      <c r="Z1685">
        <v>1.137178E-2</v>
      </c>
      <c r="AA1685">
        <v>0.87131719999999901</v>
      </c>
      <c r="AB1685">
        <v>21</v>
      </c>
      <c r="AC1685">
        <v>-0.18859999999997901</v>
      </c>
      <c r="AD1685">
        <v>-1.1129248048610001</v>
      </c>
      <c r="AE1685">
        <v>-30.2654</v>
      </c>
      <c r="AF1685">
        <v>14.912457956139599</v>
      </c>
      <c r="AG1685">
        <v>-1.1129248048610001</v>
      </c>
      <c r="AH1685">
        <v>26.290234248342099</v>
      </c>
      <c r="AI1685">
        <v>92.108746030180001</v>
      </c>
      <c r="AJ1685">
        <v>60.437042214625997</v>
      </c>
      <c r="AK1685">
        <v>30.2456016760719</v>
      </c>
      <c r="AL1685">
        <v>94.055793397194904</v>
      </c>
      <c r="AM1685">
        <v>77.615553081257801</v>
      </c>
      <c r="AN1685">
        <v>1.0000000434907399</v>
      </c>
    </row>
    <row r="1686" spans="1:40" x14ac:dyDescent="0.25">
      <c r="A1686" t="str">
        <f>"20190303153807214"</f>
        <v>20190303153807214</v>
      </c>
      <c r="B1686" t="str">
        <f>"1551598687210451"</f>
        <v>1551598687210451</v>
      </c>
      <c r="C1686" t="s">
        <v>40</v>
      </c>
      <c r="D1686">
        <v>5.1527180000000001</v>
      </c>
      <c r="E1686">
        <v>0.61373449999999996</v>
      </c>
      <c r="F1686" t="s">
        <v>42</v>
      </c>
      <c r="G1686">
        <v>-194.95570000000001</v>
      </c>
      <c r="H1686" s="1">
        <v>-3.8032599999999998E-6</v>
      </c>
      <c r="I1686">
        <v>325.5797</v>
      </c>
      <c r="J1686">
        <v>-194.5916</v>
      </c>
      <c r="K1686">
        <v>1.1130100000000001</v>
      </c>
      <c r="L1686">
        <v>358.73410000000001</v>
      </c>
      <c r="M1686">
        <v>0.48023470000000001</v>
      </c>
      <c r="N1686">
        <v>-1.578303E-2</v>
      </c>
      <c r="O1686">
        <v>-0.8769981</v>
      </c>
      <c r="P1686">
        <v>0.28202159999999998</v>
      </c>
      <c r="Q1686">
        <v>-8.0323149999999996E-2</v>
      </c>
      <c r="R1686">
        <v>-0.9560398</v>
      </c>
      <c r="S1686">
        <v>-2.9266360000000002E-2</v>
      </c>
      <c r="T1686">
        <v>-0.1051285</v>
      </c>
      <c r="U1686">
        <v>-3.1429140000000002</v>
      </c>
      <c r="V1686">
        <v>0.21047859999999999</v>
      </c>
      <c r="W1686">
        <v>-6.9156789999999996E-2</v>
      </c>
      <c r="X1686">
        <v>0.9751493</v>
      </c>
      <c r="Y1686">
        <v>0.4882242</v>
      </c>
      <c r="Z1686">
        <v>9.3208500000000003E-3</v>
      </c>
      <c r="AA1686">
        <v>0.87266840000000001</v>
      </c>
      <c r="AB1686">
        <v>21</v>
      </c>
      <c r="AC1686">
        <v>-0.36410000000000697</v>
      </c>
      <c r="AD1686">
        <v>-1.1130138032600001</v>
      </c>
      <c r="AE1686">
        <v>-33.154400000000003</v>
      </c>
      <c r="AF1686">
        <v>16.2249473804555</v>
      </c>
      <c r="AG1686">
        <v>-1.1130138032600001</v>
      </c>
      <c r="AH1686">
        <v>28.872555701959701</v>
      </c>
      <c r="AI1686">
        <v>91.924781856026399</v>
      </c>
      <c r="AJ1686">
        <v>60.666168321926897</v>
      </c>
      <c r="AK1686">
        <v>33.137775875691503</v>
      </c>
      <c r="AL1686">
        <v>93.965557353163106</v>
      </c>
      <c r="AM1686">
        <v>77.819992428431107</v>
      </c>
      <c r="AN1686">
        <v>1.0000000299757701</v>
      </c>
    </row>
    <row r="1687" spans="1:40" x14ac:dyDescent="0.25">
      <c r="A1687" t="str">
        <f>"20190303153807232"</f>
        <v>20190303153807232</v>
      </c>
      <c r="B1687" t="str">
        <f>"1551598687220210"</f>
        <v>1551598687220210</v>
      </c>
      <c r="C1687" t="s">
        <v>40</v>
      </c>
      <c r="D1687">
        <v>5.1140530000000002</v>
      </c>
      <c r="E1687">
        <v>0.61373449999999996</v>
      </c>
      <c r="F1687" t="s">
        <v>42</v>
      </c>
      <c r="G1687">
        <v>-194.71080000000001</v>
      </c>
      <c r="H1687" s="1">
        <v>-2.539164E-6</v>
      </c>
      <c r="I1687">
        <v>342.58620000000002</v>
      </c>
      <c r="J1687">
        <v>-194.51820000000001</v>
      </c>
      <c r="K1687">
        <v>1.113156</v>
      </c>
      <c r="L1687">
        <v>358.57119999999998</v>
      </c>
      <c r="M1687">
        <v>0.46974080000000001</v>
      </c>
      <c r="N1687">
        <v>-1.571987E-2</v>
      </c>
      <c r="O1687">
        <v>-0.88266440000000002</v>
      </c>
      <c r="P1687">
        <v>0.27761859999999999</v>
      </c>
      <c r="Q1687">
        <v>-8.0138290000000001E-2</v>
      </c>
      <c r="R1687">
        <v>-0.95734319999999895</v>
      </c>
      <c r="S1687">
        <v>-2.3086550000000001E-2</v>
      </c>
      <c r="T1687">
        <v>-0.2155079</v>
      </c>
      <c r="U1687">
        <v>-3.1266479999999999</v>
      </c>
      <c r="V1687">
        <v>0.20337369999999999</v>
      </c>
      <c r="W1687">
        <v>-6.8796759999999998E-2</v>
      </c>
      <c r="X1687">
        <v>0.97668120000000003</v>
      </c>
      <c r="Y1687">
        <v>0.47589500000000001</v>
      </c>
      <c r="Z1687">
        <v>3.6810639999999999E-2</v>
      </c>
      <c r="AA1687">
        <v>0.87873140000000005</v>
      </c>
      <c r="AB1687">
        <v>21</v>
      </c>
      <c r="AC1687">
        <v>-0.192599999999998</v>
      </c>
      <c r="AD1687">
        <v>-1.113158539164</v>
      </c>
      <c r="AE1687">
        <v>-15.9849999999999</v>
      </c>
      <c r="AF1687">
        <v>7.6426996965247502</v>
      </c>
      <c r="AG1687">
        <v>-1.113158539164</v>
      </c>
      <c r="AH1687">
        <v>13.9529970194921</v>
      </c>
      <c r="AI1687">
        <v>94.002477720428601</v>
      </c>
      <c r="AJ1687">
        <v>61.288447615701202</v>
      </c>
      <c r="AK1687">
        <v>15.947918560443201</v>
      </c>
      <c r="AL1687">
        <v>93.944879980036205</v>
      </c>
      <c r="AM1687">
        <v>78.237420682104798</v>
      </c>
      <c r="AN1687">
        <v>1.0000000112358101</v>
      </c>
    </row>
    <row r="1688" spans="1:40" x14ac:dyDescent="0.25">
      <c r="A1688" t="str">
        <f>"20190303153807245"</f>
        <v>20190303153807245</v>
      </c>
      <c r="B1688" t="str">
        <f>"1551598687240705"</f>
        <v>1551598687240705</v>
      </c>
      <c r="C1688" t="s">
        <v>40</v>
      </c>
      <c r="D1688">
        <v>5.1193949999999999</v>
      </c>
      <c r="E1688">
        <v>0.60441650000000002</v>
      </c>
      <c r="F1688" t="s">
        <v>42</v>
      </c>
      <c r="G1688">
        <v>-194.71360000000001</v>
      </c>
      <c r="H1688" s="1">
        <v>-2.4061780000000002E-6</v>
      </c>
      <c r="I1688">
        <v>342.27449999999999</v>
      </c>
      <c r="J1688">
        <v>-194.4657</v>
      </c>
      <c r="K1688">
        <v>1.1132770000000001</v>
      </c>
      <c r="L1688">
        <v>358.45170000000002</v>
      </c>
      <c r="M1688">
        <v>0.46214929999999899</v>
      </c>
      <c r="N1688">
        <v>-1.5671190000000002E-2</v>
      </c>
      <c r="O1688">
        <v>-0.88666369999999906</v>
      </c>
      <c r="P1688">
        <v>0.2725225</v>
      </c>
      <c r="Q1688">
        <v>-8.074771E-2</v>
      </c>
      <c r="R1688">
        <v>-0.95875529999999998</v>
      </c>
      <c r="S1688">
        <v>-3.7490839999999998E-2</v>
      </c>
      <c r="T1688">
        <v>-0.2135677</v>
      </c>
      <c r="U1688">
        <v>-3.1266479999999999</v>
      </c>
      <c r="V1688">
        <v>0.20017489999999999</v>
      </c>
      <c r="W1688">
        <v>-6.9321060000000004E-2</v>
      </c>
      <c r="X1688">
        <v>0.97730479999999997</v>
      </c>
      <c r="Y1688">
        <v>0.47240290000000001</v>
      </c>
      <c r="Z1688">
        <v>3.6838139999999998E-2</v>
      </c>
      <c r="AA1688">
        <v>0.88061259999999997</v>
      </c>
      <c r="AB1688">
        <v>21</v>
      </c>
      <c r="AC1688">
        <v>-0.247900000000015</v>
      </c>
      <c r="AD1688">
        <v>-1.113279406178</v>
      </c>
      <c r="AE1688">
        <v>-16.177199999999999</v>
      </c>
      <c r="AF1688">
        <v>7.6607584901504504</v>
      </c>
      <c r="AG1688">
        <v>-1.113279406178</v>
      </c>
      <c r="AH1688">
        <v>14.1638534931037</v>
      </c>
      <c r="AI1688">
        <v>93.954880779733401</v>
      </c>
      <c r="AJ1688">
        <v>61.592514947644098</v>
      </c>
      <c r="AK1688">
        <v>16.141293549611799</v>
      </c>
      <c r="AL1688">
        <v>93.974991948589405</v>
      </c>
      <c r="AM1688">
        <v>78.424584017658702</v>
      </c>
      <c r="AN1688">
        <v>1.00000003602628</v>
      </c>
    </row>
    <row r="1689" spans="1:40" x14ac:dyDescent="0.25">
      <c r="A1689" t="str">
        <f>"20190303153807259"</f>
        <v>20190303153807259</v>
      </c>
      <c r="B1689" t="str">
        <f>"1551598687250465"</f>
        <v>1551598687250465</v>
      </c>
      <c r="C1689" t="s">
        <v>40</v>
      </c>
      <c r="D1689">
        <v>5.1897510000000002</v>
      </c>
      <c r="E1689">
        <v>0.60441650000000002</v>
      </c>
      <c r="F1689" t="s">
        <v>42</v>
      </c>
      <c r="G1689">
        <v>-194.4126</v>
      </c>
      <c r="H1689" s="1">
        <v>-4.1396610000000003E-6</v>
      </c>
      <c r="I1689">
        <v>346.85129999999998</v>
      </c>
      <c r="J1689">
        <v>-194.4145</v>
      </c>
      <c r="K1689">
        <v>1.1134120000000001</v>
      </c>
      <c r="L1689">
        <v>358.33229999999998</v>
      </c>
      <c r="M1689">
        <v>0.45466580000000001</v>
      </c>
      <c r="N1689">
        <v>-1.56199999999999E-2</v>
      </c>
      <c r="O1689">
        <v>-0.89052529999999996</v>
      </c>
      <c r="P1689">
        <v>0.2671366</v>
      </c>
      <c r="Q1689">
        <v>-8.1942009999999996E-2</v>
      </c>
      <c r="R1689">
        <v>-0.96016860000000004</v>
      </c>
      <c r="S1689">
        <v>1.4190670000000001E-2</v>
      </c>
      <c r="T1689">
        <v>-0.29750199999999999</v>
      </c>
      <c r="U1689">
        <v>-3.0999759999999998</v>
      </c>
      <c r="V1689">
        <v>0.19738610000000001</v>
      </c>
      <c r="W1689">
        <v>-7.0438100000000003E-2</v>
      </c>
      <c r="X1689">
        <v>0.97779199999999999</v>
      </c>
      <c r="Y1689">
        <v>0.45011889999999999</v>
      </c>
      <c r="Z1689">
        <v>5.923225E-2</v>
      </c>
      <c r="AA1689">
        <v>0.89100199999999996</v>
      </c>
      <c r="AB1689">
        <v>21</v>
      </c>
      <c r="AC1689">
        <v>1.90000000000623E-3</v>
      </c>
      <c r="AD1689">
        <v>-1.1134161396610001</v>
      </c>
      <c r="AE1689">
        <v>-11.4809999999999</v>
      </c>
      <c r="AF1689">
        <v>5.1703353783694102</v>
      </c>
      <c r="AG1689">
        <v>-1.1134161396610001</v>
      </c>
      <c r="AH1689">
        <v>10.1309500993424</v>
      </c>
      <c r="AI1689">
        <v>95.590933635248106</v>
      </c>
      <c r="AJ1689">
        <v>62.962484019255001</v>
      </c>
      <c r="AK1689">
        <v>11.428395046560199</v>
      </c>
      <c r="AL1689">
        <v>94.0391506254972</v>
      </c>
      <c r="AM1689">
        <v>78.587125864639702</v>
      </c>
      <c r="AN1689">
        <v>0.99999999683440999</v>
      </c>
    </row>
    <row r="1690" spans="1:40" x14ac:dyDescent="0.25">
      <c r="A1690" t="str">
        <f>"20190303153807278"</f>
        <v>20190303153807278</v>
      </c>
      <c r="B1690" t="str">
        <f>"1551598687269985"</f>
        <v>1551598687269985</v>
      </c>
      <c r="C1690" t="s">
        <v>40</v>
      </c>
      <c r="D1690">
        <v>4.9349949999999998</v>
      </c>
      <c r="E1690">
        <v>0.587433599999999</v>
      </c>
      <c r="F1690" t="s">
        <v>42</v>
      </c>
      <c r="G1690">
        <v>-194.42689999999999</v>
      </c>
      <c r="H1690" s="1">
        <v>-4.1570470000000004E-6</v>
      </c>
      <c r="I1690">
        <v>346.89499999999998</v>
      </c>
      <c r="J1690">
        <v>-194.34540000000001</v>
      </c>
      <c r="K1690">
        <v>1.113618</v>
      </c>
      <c r="L1690">
        <v>358.1678</v>
      </c>
      <c r="M1690">
        <v>0.44452570000000002</v>
      </c>
      <c r="N1690">
        <v>-1.554642E-2</v>
      </c>
      <c r="O1690">
        <v>-0.89563119999999996</v>
      </c>
      <c r="P1690">
        <v>0.26097799999999999</v>
      </c>
      <c r="Q1690">
        <v>-8.4427580000000002E-2</v>
      </c>
      <c r="R1690">
        <v>-0.961646</v>
      </c>
      <c r="S1690">
        <v>-3.3569339999999998E-3</v>
      </c>
      <c r="T1690">
        <v>-0.30175150000000001</v>
      </c>
      <c r="U1690">
        <v>-3.0996700000000001</v>
      </c>
      <c r="V1690">
        <v>0.19244820000000001</v>
      </c>
      <c r="W1690">
        <v>-7.2788720000000001E-2</v>
      </c>
      <c r="X1690">
        <v>0.97860380000000002</v>
      </c>
      <c r="Y1690">
        <v>0.4450228</v>
      </c>
      <c r="Z1690">
        <v>6.1210349999999997E-2</v>
      </c>
      <c r="AA1690">
        <v>0.89342489999999997</v>
      </c>
      <c r="AB1690">
        <v>21</v>
      </c>
      <c r="AC1690">
        <v>-8.1499999999976994E-2</v>
      </c>
      <c r="AD1690">
        <v>-1.113622157047</v>
      </c>
      <c r="AE1690">
        <v>-11.2728</v>
      </c>
      <c r="AF1690">
        <v>5.0355178389137798</v>
      </c>
      <c r="AG1690">
        <v>-1.113622157047</v>
      </c>
      <c r="AH1690">
        <v>9.9640229589370399</v>
      </c>
      <c r="AI1690">
        <v>95.696402664292293</v>
      </c>
      <c r="AJ1690">
        <v>63.189337272844703</v>
      </c>
      <c r="AK1690">
        <v>11.219552029421999</v>
      </c>
      <c r="AL1690">
        <v>94.174178136151397</v>
      </c>
      <c r="AM1690">
        <v>78.874419544954904</v>
      </c>
      <c r="AN1690">
        <v>0.99999995240845796</v>
      </c>
    </row>
    <row r="1691" spans="1:40" x14ac:dyDescent="0.25">
      <c r="A1691" t="str">
        <f>"20190303153807301"</f>
        <v>20190303153807301</v>
      </c>
      <c r="B1691" t="str">
        <f>"1551598687290714"</f>
        <v>1551598687290714</v>
      </c>
      <c r="C1691" t="s">
        <v>40</v>
      </c>
      <c r="D1691">
        <v>5.0791579999999996</v>
      </c>
      <c r="E1691">
        <v>0.58627499999999999</v>
      </c>
      <c r="F1691" t="s">
        <v>42</v>
      </c>
      <c r="G1691">
        <v>-193.70869999999999</v>
      </c>
      <c r="H1691" s="1">
        <v>-1.474813E-6</v>
      </c>
      <c r="I1691">
        <v>340.72669999999999</v>
      </c>
      <c r="J1691">
        <v>-194.26140000000001</v>
      </c>
      <c r="K1691">
        <v>1.113928</v>
      </c>
      <c r="L1691">
        <v>357.96159999999998</v>
      </c>
      <c r="M1691">
        <v>0.43217179999999999</v>
      </c>
      <c r="N1691">
        <v>-1.5446909999999999E-2</v>
      </c>
      <c r="O1691">
        <v>-0.90165899999999999</v>
      </c>
      <c r="P1691">
        <v>0.25160900000000003</v>
      </c>
      <c r="Q1691">
        <v>-8.6806040000000001E-2</v>
      </c>
      <c r="R1691">
        <v>-0.96392820000000001</v>
      </c>
      <c r="S1691">
        <v>0.1121521</v>
      </c>
      <c r="T1691">
        <v>-0.19614789999999999</v>
      </c>
      <c r="U1691">
        <v>-3.0719910000000001</v>
      </c>
      <c r="V1691">
        <v>0.18844150000000001</v>
      </c>
      <c r="W1691">
        <v>-7.5035030000000003E-2</v>
      </c>
      <c r="X1691">
        <v>0.97921380000000002</v>
      </c>
      <c r="Y1691">
        <v>0.3987696</v>
      </c>
      <c r="Z1691">
        <v>3.6408500000000003E-2</v>
      </c>
      <c r="AA1691">
        <v>0.91632809999999998</v>
      </c>
      <c r="AB1691">
        <v>21</v>
      </c>
      <c r="AC1691">
        <v>0.55270000000001496</v>
      </c>
      <c r="AD1691">
        <v>-1.113929474813</v>
      </c>
      <c r="AE1691">
        <v>-17.2348999999999</v>
      </c>
      <c r="AF1691">
        <v>6.9220342085674798</v>
      </c>
      <c r="AG1691">
        <v>-1.113929474813</v>
      </c>
      <c r="AH1691">
        <v>15.7151668191383</v>
      </c>
      <c r="AI1691">
        <v>93.711494841890399</v>
      </c>
      <c r="AJ1691">
        <v>66.228025558084695</v>
      </c>
      <c r="AK1691">
        <v>17.2081917880055</v>
      </c>
      <c r="AL1691">
        <v>94.303234786981704</v>
      </c>
      <c r="AM1691">
        <v>79.107072735641907</v>
      </c>
      <c r="AN1691">
        <v>1.00000006037989</v>
      </c>
    </row>
    <row r="1692" spans="1:40" x14ac:dyDescent="0.25">
      <c r="A1692" t="str">
        <f>"20190303153807315"</f>
        <v>20190303153807315</v>
      </c>
      <c r="B1692" t="str">
        <f>"1551598687310164"</f>
        <v>1551598687310164</v>
      </c>
      <c r="C1692" t="s">
        <v>40</v>
      </c>
      <c r="D1692">
        <v>5.1364869999999998</v>
      </c>
      <c r="E1692">
        <v>0.58404500000000004</v>
      </c>
      <c r="F1692" t="s">
        <v>42</v>
      </c>
      <c r="G1692">
        <v>-193.6138</v>
      </c>
      <c r="H1692" s="1">
        <v>-3.8920740000000001E-6</v>
      </c>
      <c r="I1692">
        <v>336.5401</v>
      </c>
      <c r="J1692">
        <v>-194.21559999999999</v>
      </c>
      <c r="K1692">
        <v>1.114117</v>
      </c>
      <c r="L1692">
        <v>357.84649999999999</v>
      </c>
      <c r="M1692">
        <v>0.42546210000000001</v>
      </c>
      <c r="N1692">
        <v>-1.538835E-2</v>
      </c>
      <c r="O1692">
        <v>-0.90484580000000003</v>
      </c>
      <c r="P1692">
        <v>0.24623700000000001</v>
      </c>
      <c r="Q1692">
        <v>-8.7492429999999996E-2</v>
      </c>
      <c r="R1692">
        <v>-0.96525280000000002</v>
      </c>
      <c r="S1692">
        <v>9.2910770000000004E-2</v>
      </c>
      <c r="T1692">
        <v>-0.15982829999999901</v>
      </c>
      <c r="U1692">
        <v>-3.0735779999999999</v>
      </c>
      <c r="V1692">
        <v>0.1866188</v>
      </c>
      <c r="W1692">
        <v>-7.5653349999999994E-2</v>
      </c>
      <c r="X1692">
        <v>0.97951520000000003</v>
      </c>
      <c r="Y1692">
        <v>0.39774779999999998</v>
      </c>
      <c r="Z1692">
        <v>2.7125E-2</v>
      </c>
      <c r="AA1692">
        <v>0.91709379999999996</v>
      </c>
      <c r="AB1692">
        <v>21</v>
      </c>
      <c r="AC1692">
        <v>0.601799999999997</v>
      </c>
      <c r="AD1692">
        <v>-1.114120892074</v>
      </c>
      <c r="AE1692">
        <v>-21.3064</v>
      </c>
      <c r="AF1692">
        <v>8.4983170896185598</v>
      </c>
      <c r="AG1692">
        <v>-1.114120892074</v>
      </c>
      <c r="AH1692">
        <v>19.484123203383302</v>
      </c>
      <c r="AI1692">
        <v>93.000263681303196</v>
      </c>
      <c r="AJ1692">
        <v>66.434794549015805</v>
      </c>
      <c r="AK1692">
        <v>21.285998114311699</v>
      </c>
      <c r="AL1692">
        <v>94.338763088307303</v>
      </c>
      <c r="AM1692">
        <v>79.213191646466996</v>
      </c>
      <c r="AN1692">
        <v>1.00000001645535</v>
      </c>
    </row>
    <row r="1693" spans="1:40" x14ac:dyDescent="0.25">
      <c r="A1693" t="str">
        <f>"20190303153807334"</f>
        <v>20190303153807334</v>
      </c>
      <c r="B1693" t="str">
        <f>"1551598687330661"</f>
        <v>1551598687330661</v>
      </c>
      <c r="C1693" t="s">
        <v>40</v>
      </c>
      <c r="D1693">
        <v>5.106312</v>
      </c>
      <c r="E1693">
        <v>0.58151640000000004</v>
      </c>
      <c r="F1693" t="s">
        <v>42</v>
      </c>
      <c r="G1693">
        <v>-193.5609</v>
      </c>
      <c r="H1693" s="1">
        <v>-3.8012079999999999E-6</v>
      </c>
      <c r="I1693">
        <v>336.30070000000001</v>
      </c>
      <c r="J1693">
        <v>-194.14959999999999</v>
      </c>
      <c r="K1693">
        <v>1.1144259999999999</v>
      </c>
      <c r="L1693">
        <v>357.67680000000001</v>
      </c>
      <c r="M1693">
        <v>0.41585159999999999</v>
      </c>
      <c r="N1693">
        <v>-1.5298010000000001E-2</v>
      </c>
      <c r="O1693">
        <v>-0.90930370000000005</v>
      </c>
      <c r="P1693">
        <v>0.23983670000000001</v>
      </c>
      <c r="Q1693">
        <v>-8.7250259999999996E-2</v>
      </c>
      <c r="R1693">
        <v>-0.96688439999999998</v>
      </c>
      <c r="S1693">
        <v>9.3292239999999999E-2</v>
      </c>
      <c r="T1693">
        <v>-0.1587356</v>
      </c>
      <c r="U1693">
        <v>-3.069763</v>
      </c>
      <c r="V1693">
        <v>0.1828014</v>
      </c>
      <c r="W1693">
        <v>-7.52863E-2</v>
      </c>
      <c r="X1693">
        <v>0.98026310000000005</v>
      </c>
      <c r="Y1693">
        <v>0.38786710000000002</v>
      </c>
      <c r="Z1693">
        <v>2.7428350000000001E-2</v>
      </c>
      <c r="AA1693">
        <v>0.92130710000000005</v>
      </c>
      <c r="AB1693">
        <v>21</v>
      </c>
      <c r="AC1693">
        <v>0.58869999999998801</v>
      </c>
      <c r="AD1693">
        <v>-1.1144298012079901</v>
      </c>
      <c r="AE1693">
        <v>-21.376100000000001</v>
      </c>
      <c r="AF1693">
        <v>8.3323267879930594</v>
      </c>
      <c r="AG1693">
        <v>-1.1144298012079901</v>
      </c>
      <c r="AH1693">
        <v>19.6311671662199</v>
      </c>
      <c r="AI1693">
        <v>92.991336812615501</v>
      </c>
      <c r="AJ1693">
        <v>67.001506799066505</v>
      </c>
      <c r="AK1693">
        <v>21.3553821738642</v>
      </c>
      <c r="AL1693">
        <v>94.317672327102699</v>
      </c>
      <c r="AM1693">
        <v>79.436702602997002</v>
      </c>
      <c r="AN1693">
        <v>1.00000006201562</v>
      </c>
    </row>
    <row r="1694" spans="1:40" x14ac:dyDescent="0.25">
      <c r="A1694" t="str">
        <f>"20190303153807347"</f>
        <v>20190303153807347</v>
      </c>
      <c r="B1694" t="str">
        <f>"1551598687340421"</f>
        <v>1551598687340421</v>
      </c>
      <c r="C1694" t="s">
        <v>40</v>
      </c>
      <c r="D1694">
        <v>5.1071109999999997</v>
      </c>
      <c r="E1694">
        <v>0.58061269999999998</v>
      </c>
      <c r="F1694" t="s">
        <v>42</v>
      </c>
      <c r="G1694">
        <v>-193.55260000000001</v>
      </c>
      <c r="H1694" s="1">
        <v>-4.312982E-6</v>
      </c>
      <c r="I1694">
        <v>337.80889999999999</v>
      </c>
      <c r="J1694">
        <v>-194.1011</v>
      </c>
      <c r="K1694">
        <v>1.1146670000000001</v>
      </c>
      <c r="L1694">
        <v>357.54969999999997</v>
      </c>
      <c r="M1694">
        <v>0.40886909999999999</v>
      </c>
      <c r="N1694">
        <v>-1.5228510000000001E-2</v>
      </c>
      <c r="O1694">
        <v>-0.91246620000000001</v>
      </c>
      <c r="P1694">
        <v>0.23414389999999999</v>
      </c>
      <c r="Q1694">
        <v>-8.6934579999999997E-2</v>
      </c>
      <c r="R1694">
        <v>-0.96830749999999999</v>
      </c>
      <c r="S1694">
        <v>9.2086790000000002E-2</v>
      </c>
      <c r="T1694">
        <v>-0.17188970000000001</v>
      </c>
      <c r="U1694">
        <v>-3.0644230000000001</v>
      </c>
      <c r="V1694">
        <v>0.18111540000000001</v>
      </c>
      <c r="W1694">
        <v>-7.4899530000000006E-2</v>
      </c>
      <c r="X1694">
        <v>0.98060550000000002</v>
      </c>
      <c r="Y1694">
        <v>0.38109759999999998</v>
      </c>
      <c r="Z1694">
        <v>3.1442169999999998E-2</v>
      </c>
      <c r="AA1694">
        <v>0.92400000000000004</v>
      </c>
      <c r="AB1694">
        <v>21</v>
      </c>
      <c r="AC1694">
        <v>0.54849999999999</v>
      </c>
      <c r="AD1694">
        <v>-1.1146713129820001</v>
      </c>
      <c r="AE1694">
        <v>-19.740799999999901</v>
      </c>
      <c r="AF1694">
        <v>7.54774568825583</v>
      </c>
      <c r="AG1694">
        <v>-1.1146713129820001</v>
      </c>
      <c r="AH1694">
        <v>18.1812654312224</v>
      </c>
      <c r="AI1694">
        <v>93.240820963573697</v>
      </c>
      <c r="AJ1694">
        <v>67.454774186285206</v>
      </c>
      <c r="AK1694">
        <v>19.717235348576001</v>
      </c>
      <c r="AL1694">
        <v>94.295449831151799</v>
      </c>
      <c r="AM1694">
        <v>79.535540293719706</v>
      </c>
      <c r="AN1694">
        <v>0.99999993717081304</v>
      </c>
    </row>
    <row r="1695" spans="1:40" x14ac:dyDescent="0.25">
      <c r="A1695" t="str">
        <f>"20190303153807368"</f>
        <v>20190303153807368</v>
      </c>
      <c r="B1695" t="str">
        <f>"1551598687359941"</f>
        <v>1551598687359941</v>
      </c>
      <c r="C1695" t="s">
        <v>40</v>
      </c>
      <c r="D1695">
        <v>4.9749720000000002</v>
      </c>
      <c r="E1695">
        <v>0.58037700000000003</v>
      </c>
      <c r="F1695" t="s">
        <v>42</v>
      </c>
      <c r="G1695">
        <v>-193.59299999999999</v>
      </c>
      <c r="H1695" s="1">
        <v>-4.491528E-6</v>
      </c>
      <c r="I1695">
        <v>338.3125</v>
      </c>
      <c r="J1695">
        <v>-194.03200000000001</v>
      </c>
      <c r="K1695">
        <v>1.1150169999999999</v>
      </c>
      <c r="L1695">
        <v>357.3646</v>
      </c>
      <c r="M1695">
        <v>0.39907880000000001</v>
      </c>
      <c r="N1695">
        <v>-1.512609E-2</v>
      </c>
      <c r="O1695">
        <v>-0.91679189999999999</v>
      </c>
      <c r="P1695">
        <v>0.2267788</v>
      </c>
      <c r="Q1695">
        <v>-8.5128090000000003E-2</v>
      </c>
      <c r="R1695">
        <v>-0.9702189</v>
      </c>
      <c r="S1695">
        <v>8.0902100000000005E-2</v>
      </c>
      <c r="T1695">
        <v>-0.1774664</v>
      </c>
      <c r="U1695">
        <v>-3.0627439999999999</v>
      </c>
      <c r="V1695">
        <v>0.1782261</v>
      </c>
      <c r="W1695">
        <v>-7.298636E-2</v>
      </c>
      <c r="X1695">
        <v>0.98127900000000001</v>
      </c>
      <c r="Y1695">
        <v>0.37455050000000001</v>
      </c>
      <c r="Z1695">
        <v>3.351502E-2</v>
      </c>
      <c r="AA1695">
        <v>0.9266006</v>
      </c>
      <c r="AB1695">
        <v>21</v>
      </c>
      <c r="AC1695">
        <v>0.43900000000002098</v>
      </c>
      <c r="AD1695">
        <v>-1.1150214915279999</v>
      </c>
      <c r="AE1695">
        <v>-19.052099999999999</v>
      </c>
      <c r="AF1695">
        <v>7.1770716321373502</v>
      </c>
      <c r="AG1695">
        <v>-1.1150214915279999</v>
      </c>
      <c r="AH1695">
        <v>17.583829012918599</v>
      </c>
      <c r="AI1695">
        <v>93.359957020751196</v>
      </c>
      <c r="AJ1695">
        <v>67.796525474269799</v>
      </c>
      <c r="AK1695">
        <v>19.024843570840599</v>
      </c>
      <c r="AL1695">
        <v>94.185532017897202</v>
      </c>
      <c r="AM1695">
        <v>79.705794632784304</v>
      </c>
      <c r="AN1695">
        <v>1.0000000136541201</v>
      </c>
    </row>
    <row r="1696" spans="1:40" x14ac:dyDescent="0.25">
      <c r="A1696" t="str">
        <f>"20190303153807392"</f>
        <v>20190303153807392</v>
      </c>
      <c r="B1696" t="str">
        <f>"1551598687380435"</f>
        <v>1551598687380435</v>
      </c>
      <c r="C1696" t="s">
        <v>40</v>
      </c>
      <c r="D1696">
        <v>4.9647170000000003</v>
      </c>
      <c r="E1696">
        <v>0.57987140000000004</v>
      </c>
      <c r="F1696" t="s">
        <v>42</v>
      </c>
      <c r="G1696">
        <v>-193.63579999999999</v>
      </c>
      <c r="H1696" s="1">
        <v>-4.0356939999999996E-6</v>
      </c>
      <c r="I1696">
        <v>336.95069999999998</v>
      </c>
      <c r="J1696">
        <v>-193.95750000000001</v>
      </c>
      <c r="K1696">
        <v>1.1154280000000001</v>
      </c>
      <c r="L1696">
        <v>357.15940000000001</v>
      </c>
      <c r="M1696">
        <v>0.38882640000000002</v>
      </c>
      <c r="N1696">
        <v>-1.500929E-2</v>
      </c>
      <c r="O1696">
        <v>-0.92118900000000004</v>
      </c>
      <c r="P1696">
        <v>0.21932589999999999</v>
      </c>
      <c r="Q1696">
        <v>-8.3740319999999993E-2</v>
      </c>
      <c r="R1696">
        <v>-0.97205129999999995</v>
      </c>
      <c r="S1696">
        <v>5.9463500000000002E-2</v>
      </c>
      <c r="T1696">
        <v>-0.16733290000000001</v>
      </c>
      <c r="U1696">
        <v>-3.0635379999999999</v>
      </c>
      <c r="V1696">
        <v>0.17494870000000001</v>
      </c>
      <c r="W1696">
        <v>-7.1481210000000003E-2</v>
      </c>
      <c r="X1696">
        <v>0.9819793</v>
      </c>
      <c r="Y1696">
        <v>0.3707066</v>
      </c>
      <c r="Z1696">
        <v>3.123099E-2</v>
      </c>
      <c r="AA1696">
        <v>0.92822479999999996</v>
      </c>
      <c r="AB1696">
        <v>21</v>
      </c>
      <c r="AC1696">
        <v>0.32170000000002102</v>
      </c>
      <c r="AD1696">
        <v>-1.115432035694</v>
      </c>
      <c r="AE1696">
        <v>-20.2087</v>
      </c>
      <c r="AF1696">
        <v>7.53921697653373</v>
      </c>
      <c r="AG1696">
        <v>-1.115432035694</v>
      </c>
      <c r="AH1696">
        <v>18.686310478878699</v>
      </c>
      <c r="AI1696">
        <v>93.168473517761001</v>
      </c>
      <c r="AJ1696">
        <v>68.027794594761502</v>
      </c>
      <c r="AK1696">
        <v>20.180737859616499</v>
      </c>
      <c r="AL1696">
        <v>94.099067544224894</v>
      </c>
      <c r="AM1696">
        <v>79.898216027147598</v>
      </c>
      <c r="AN1696">
        <v>0.99999997832162102</v>
      </c>
    </row>
    <row r="1697" spans="1:40" x14ac:dyDescent="0.25">
      <c r="A1697" t="str">
        <f>"20190303153807406"</f>
        <v>20190303153807406</v>
      </c>
      <c r="B1697" t="str">
        <f>"1551598687399957"</f>
        <v>1551598687399957</v>
      </c>
      <c r="C1697" t="s">
        <v>40</v>
      </c>
      <c r="D1697">
        <v>5.044028</v>
      </c>
      <c r="E1697">
        <v>0.57912419999999998</v>
      </c>
      <c r="F1697" t="s">
        <v>42</v>
      </c>
      <c r="G1697">
        <v>-193.67750000000001</v>
      </c>
      <c r="H1697" s="1">
        <v>-3.6180509999999998E-6</v>
      </c>
      <c r="I1697">
        <v>335.74200000000002</v>
      </c>
      <c r="J1697">
        <v>-193.90860000000001</v>
      </c>
      <c r="K1697">
        <v>1.1157109999999999</v>
      </c>
      <c r="L1697">
        <v>357.0224</v>
      </c>
      <c r="M1697">
        <v>0.38233299999999998</v>
      </c>
      <c r="N1697">
        <v>-1.4929619999999999E-2</v>
      </c>
      <c r="O1697">
        <v>-0.92390410000000001</v>
      </c>
      <c r="P1697">
        <v>0.21460370000000001</v>
      </c>
      <c r="Q1697">
        <v>-8.2647129999999999E-2</v>
      </c>
      <c r="R1697">
        <v>-0.97319860000000002</v>
      </c>
      <c r="S1697">
        <v>4.0039060000000001E-2</v>
      </c>
      <c r="T1697">
        <v>-0.1595492</v>
      </c>
      <c r="U1697">
        <v>-3.063507</v>
      </c>
      <c r="V1697">
        <v>0.17290449999999999</v>
      </c>
      <c r="W1697">
        <v>-7.0312550000000001E-2</v>
      </c>
      <c r="X1697">
        <v>0.98242560000000001</v>
      </c>
      <c r="Y1697">
        <v>0.37006359999999999</v>
      </c>
      <c r="Z1697">
        <v>2.9365169999999999E-2</v>
      </c>
      <c r="AA1697">
        <v>0.92854219999999998</v>
      </c>
      <c r="AB1697">
        <v>21</v>
      </c>
      <c r="AC1697">
        <v>0.231099999999997</v>
      </c>
      <c r="AD1697">
        <v>-1.115714618051</v>
      </c>
      <c r="AE1697">
        <v>-21.2804</v>
      </c>
      <c r="AF1697">
        <v>7.9018490209905101</v>
      </c>
      <c r="AG1697">
        <v>-1.115714618051</v>
      </c>
      <c r="AH1697">
        <v>19.6974668895521</v>
      </c>
      <c r="AI1697">
        <v>93.0092812801972</v>
      </c>
      <c r="AJ1697">
        <v>68.141284579884001</v>
      </c>
      <c r="AK1697">
        <v>21.252628988538401</v>
      </c>
      <c r="AL1697">
        <v>94.031939489209805</v>
      </c>
      <c r="AM1697">
        <v>80.018306793426802</v>
      </c>
      <c r="AN1697">
        <v>0.99999994017155402</v>
      </c>
    </row>
    <row r="1698" spans="1:40" x14ac:dyDescent="0.25">
      <c r="A1698" t="str">
        <f>"20190303153807424"</f>
        <v>20190303153807424</v>
      </c>
      <c r="B1698" t="str">
        <f>"1551598687420452"</f>
        <v>1551598687420452</v>
      </c>
      <c r="C1698" t="s">
        <v>40</v>
      </c>
      <c r="D1698">
        <v>4.9605290000000002</v>
      </c>
      <c r="E1698">
        <v>0.57827720000000005</v>
      </c>
      <c r="F1698" t="s">
        <v>42</v>
      </c>
      <c r="G1698">
        <v>-193.6865</v>
      </c>
      <c r="H1698" s="1">
        <v>-3.3066140000000002E-6</v>
      </c>
      <c r="I1698">
        <v>335.01049999999998</v>
      </c>
      <c r="J1698">
        <v>-193.857</v>
      </c>
      <c r="K1698">
        <v>1.116001</v>
      </c>
      <c r="L1698">
        <v>356.87509999999997</v>
      </c>
      <c r="M1698">
        <v>0.37562489999999998</v>
      </c>
      <c r="N1698">
        <v>-1.484516E-2</v>
      </c>
      <c r="O1698">
        <v>-0.92665280000000005</v>
      </c>
      <c r="P1698">
        <v>0.2123786</v>
      </c>
      <c r="Q1698">
        <v>-8.20684E-2</v>
      </c>
      <c r="R1698">
        <v>-0.97373529999999997</v>
      </c>
      <c r="S1698">
        <v>3.091431E-2</v>
      </c>
      <c r="T1698">
        <v>-0.15523429999999999</v>
      </c>
      <c r="U1698">
        <v>-3.0626220000000002</v>
      </c>
      <c r="V1698">
        <v>0.16810349999999999</v>
      </c>
      <c r="W1698">
        <v>-6.9625119999999999E-2</v>
      </c>
      <c r="X1698">
        <v>0.9833075</v>
      </c>
      <c r="Y1698">
        <v>0.3660967</v>
      </c>
      <c r="Z1698">
        <v>2.8505719999999998E-2</v>
      </c>
      <c r="AA1698">
        <v>0.93014010000000003</v>
      </c>
      <c r="AB1698">
        <v>21</v>
      </c>
      <c r="AC1698">
        <v>0.17050000000000401</v>
      </c>
      <c r="AD1698">
        <v>-1.116004306614</v>
      </c>
      <c r="AE1698">
        <v>-21.864599999999999</v>
      </c>
      <c r="AF1698">
        <v>8.0348506903066692</v>
      </c>
      <c r="AG1698">
        <v>-1.116004306614</v>
      </c>
      <c r="AH1698">
        <v>20.274361802769999</v>
      </c>
      <c r="AI1698">
        <v>92.929442670434796</v>
      </c>
      <c r="AJ1698">
        <v>68.381281340715702</v>
      </c>
      <c r="AK1698">
        <v>21.8369878357232</v>
      </c>
      <c r="AL1698">
        <v>93.992455474624705</v>
      </c>
      <c r="AM1698">
        <v>80.298659893035193</v>
      </c>
      <c r="AN1698">
        <v>1.0000000418017501</v>
      </c>
    </row>
    <row r="1699" spans="1:40" x14ac:dyDescent="0.25">
      <c r="A1699" t="str">
        <f>"20190303153807445"</f>
        <v>20190303153807445</v>
      </c>
      <c r="B1699" t="str">
        <f>"1551598687439973"</f>
        <v>1551598687439973</v>
      </c>
      <c r="C1699" t="s">
        <v>40</v>
      </c>
      <c r="D1699">
        <v>4.9274950000000004</v>
      </c>
      <c r="E1699">
        <v>0.57740049999999998</v>
      </c>
      <c r="F1699" t="s">
        <v>42</v>
      </c>
      <c r="G1699">
        <v>-193.63380000000001</v>
      </c>
      <c r="H1699" s="1">
        <v>-3.031604E-6</v>
      </c>
      <c r="I1699">
        <v>334.40210000000002</v>
      </c>
      <c r="J1699">
        <v>-193.78960000000001</v>
      </c>
      <c r="K1699">
        <v>1.1163639999999999</v>
      </c>
      <c r="L1699">
        <v>356.67939999999999</v>
      </c>
      <c r="M1699">
        <v>0.36713259999999998</v>
      </c>
      <c r="N1699">
        <v>-1.473668E-2</v>
      </c>
      <c r="O1699">
        <v>-0.93005190000000004</v>
      </c>
      <c r="P1699">
        <v>0.20863029999999999</v>
      </c>
      <c r="Q1699">
        <v>-8.2273620000000006E-2</v>
      </c>
      <c r="R1699">
        <v>-0.9745277</v>
      </c>
      <c r="S1699">
        <v>3.041077E-2</v>
      </c>
      <c r="T1699">
        <v>-0.15203169999999999</v>
      </c>
      <c r="U1699">
        <v>-3.0614620000000001</v>
      </c>
      <c r="V1699">
        <v>0.16294600000000001</v>
      </c>
      <c r="W1699">
        <v>-6.9715659999999999E-2</v>
      </c>
      <c r="X1699">
        <v>0.98416879999999995</v>
      </c>
      <c r="Y1699">
        <v>0.35772939999999998</v>
      </c>
      <c r="Z1699">
        <v>2.8069759999999999E-2</v>
      </c>
      <c r="AA1699">
        <v>0.93340330000000005</v>
      </c>
      <c r="AB1699">
        <v>21</v>
      </c>
      <c r="AC1699">
        <v>0.15579999999999899</v>
      </c>
      <c r="AD1699">
        <v>-1.116367031604</v>
      </c>
      <c r="AE1699">
        <v>-22.277299999999901</v>
      </c>
      <c r="AF1699">
        <v>8.0145677167794105</v>
      </c>
      <c r="AG1699">
        <v>-1.116367031604</v>
      </c>
      <c r="AH1699">
        <v>20.7264536246144</v>
      </c>
      <c r="AI1699">
        <v>92.875945877591903</v>
      </c>
      <c r="AJ1699">
        <v>68.859360001767897</v>
      </c>
      <c r="AK1699">
        <v>22.250066312022199</v>
      </c>
      <c r="AL1699">
        <v>93.997656039890998</v>
      </c>
      <c r="AM1699">
        <v>80.598985046606202</v>
      </c>
      <c r="AN1699">
        <v>0.99999994952933602</v>
      </c>
    </row>
    <row r="1700" spans="1:40" x14ac:dyDescent="0.25">
      <c r="A1700" t="str">
        <f>"20190303153807468"</f>
        <v>20190303153807468</v>
      </c>
      <c r="B1700" t="str">
        <f>"1551598687460468"</f>
        <v>1551598687460468</v>
      </c>
      <c r="C1700" t="s">
        <v>40</v>
      </c>
      <c r="D1700">
        <v>4.8747749999999996</v>
      </c>
      <c r="E1700">
        <v>0.57657409999999998</v>
      </c>
      <c r="F1700" t="s">
        <v>42</v>
      </c>
      <c r="G1700">
        <v>-193.6044</v>
      </c>
      <c r="H1700" s="1">
        <v>-3.0849349999999998E-6</v>
      </c>
      <c r="I1700">
        <v>334.5446</v>
      </c>
      <c r="J1700">
        <v>-193.71979999999999</v>
      </c>
      <c r="K1700">
        <v>1.116738</v>
      </c>
      <c r="L1700">
        <v>356.47280000000001</v>
      </c>
      <c r="M1700">
        <v>0.35872310000000002</v>
      </c>
      <c r="N1700">
        <v>-1.4627029999999999E-2</v>
      </c>
      <c r="O1700">
        <v>-0.93332950000000003</v>
      </c>
      <c r="P1700">
        <v>0.20496710000000001</v>
      </c>
      <c r="Q1700">
        <v>-8.3820549999999994E-2</v>
      </c>
      <c r="R1700">
        <v>-0.97517330000000002</v>
      </c>
      <c r="S1700">
        <v>2.5604249999999999E-2</v>
      </c>
      <c r="T1700">
        <v>-0.15432750000000001</v>
      </c>
      <c r="U1700">
        <v>-3.0599370000000001</v>
      </c>
      <c r="V1700">
        <v>0.15776180000000001</v>
      </c>
      <c r="W1700">
        <v>-7.1155289999999996E-2</v>
      </c>
      <c r="X1700">
        <v>0.98491019999999896</v>
      </c>
      <c r="Y1700">
        <v>0.35075610000000002</v>
      </c>
      <c r="Z1700">
        <v>2.9154099999999999E-2</v>
      </c>
      <c r="AA1700">
        <v>0.93601290000000004</v>
      </c>
      <c r="AB1700">
        <v>21</v>
      </c>
      <c r="AC1700">
        <v>0.11539999999999299</v>
      </c>
      <c r="AD1700">
        <v>-1.1167410849349999</v>
      </c>
      <c r="AE1700">
        <v>-21.9282</v>
      </c>
      <c r="AF1700">
        <v>7.7392034395898701</v>
      </c>
      <c r="AG1700">
        <v>-1.1167410849349999</v>
      </c>
      <c r="AH1700">
        <v>20.456770295794499</v>
      </c>
      <c r="AI1700">
        <v>92.922900577823199</v>
      </c>
      <c r="AJ1700">
        <v>69.277371771979602</v>
      </c>
      <c r="AK1700">
        <v>21.900270123106701</v>
      </c>
      <c r="AL1700">
        <v>94.080346018247099</v>
      </c>
      <c r="AM1700">
        <v>80.899730838501398</v>
      </c>
      <c r="AN1700">
        <v>0.99999998144913105</v>
      </c>
    </row>
    <row r="1701" spans="1:40" x14ac:dyDescent="0.25">
      <c r="A1701" t="str">
        <f>"20190303153807481"</f>
        <v>20190303153807481</v>
      </c>
      <c r="B1701" t="str">
        <f>"1551598687470229"</f>
        <v>1551598687470229</v>
      </c>
      <c r="C1701" t="s">
        <v>40</v>
      </c>
      <c r="D1701">
        <v>4.8353210000000004</v>
      </c>
      <c r="E1701">
        <v>0.57621679999999997</v>
      </c>
      <c r="F1701" t="s">
        <v>42</v>
      </c>
      <c r="G1701">
        <v>-193.57859999999999</v>
      </c>
      <c r="H1701" s="1">
        <v>-3.3982619999999902E-6</v>
      </c>
      <c r="I1701">
        <v>335.291</v>
      </c>
      <c r="J1701">
        <v>-193.6798</v>
      </c>
      <c r="K1701">
        <v>1.1169480000000001</v>
      </c>
      <c r="L1701">
        <v>356.35199999999998</v>
      </c>
      <c r="M1701">
        <v>0.35413850000000002</v>
      </c>
      <c r="N1701">
        <v>-1.4564280000000001E-2</v>
      </c>
      <c r="O1701">
        <v>-0.93507960000000001</v>
      </c>
      <c r="P1701">
        <v>0.2026723</v>
      </c>
      <c r="Q1701">
        <v>-8.480654E-2</v>
      </c>
      <c r="R1701">
        <v>-0.97556779999999998</v>
      </c>
      <c r="S1701">
        <v>2.0400999999999999E-2</v>
      </c>
      <c r="T1701">
        <v>-0.16123709999999999</v>
      </c>
      <c r="U1701">
        <v>-3.0582579999999999</v>
      </c>
      <c r="V1701">
        <v>0.15524309999999999</v>
      </c>
      <c r="W1701">
        <v>-7.2090630000000003E-2</v>
      </c>
      <c r="X1701">
        <v>0.98524239999999996</v>
      </c>
      <c r="Y1701">
        <v>0.34774270000000002</v>
      </c>
      <c r="Z1701">
        <v>3.1359150000000002E-2</v>
      </c>
      <c r="AA1701">
        <v>0.93706540000000005</v>
      </c>
      <c r="AB1701">
        <v>21</v>
      </c>
      <c r="AC1701">
        <v>0.10120000000000499</v>
      </c>
      <c r="AD1701">
        <v>-1.1169513982619901</v>
      </c>
      <c r="AE1701">
        <v>-21.0609999999999</v>
      </c>
      <c r="AF1701">
        <v>7.3440064265840004</v>
      </c>
      <c r="AG1701">
        <v>-1.1169513982619901</v>
      </c>
      <c r="AH1701">
        <v>19.6763019521186</v>
      </c>
      <c r="AI1701">
        <v>93.044273848207595</v>
      </c>
      <c r="AJ1701">
        <v>69.532354041077198</v>
      </c>
      <c r="AK1701">
        <v>21.031853682705499</v>
      </c>
      <c r="AL1701">
        <v>94.134074830670599</v>
      </c>
      <c r="AM1701">
        <v>81.045615433001004</v>
      </c>
      <c r="AN1701">
        <v>1.0000000328945799</v>
      </c>
    </row>
    <row r="1702" spans="1:40" x14ac:dyDescent="0.25">
      <c r="A1702" t="str">
        <f>"20190303153807501"</f>
        <v>20190303153807501</v>
      </c>
      <c r="B1702" t="str">
        <f>"1551598687490724"</f>
        <v>1551598687490724</v>
      </c>
      <c r="C1702" t="s">
        <v>40</v>
      </c>
      <c r="D1702">
        <v>4.854177</v>
      </c>
      <c r="E1702">
        <v>0.57557609999999904</v>
      </c>
      <c r="F1702" t="s">
        <v>42</v>
      </c>
      <c r="G1702">
        <v>-193.57259999999999</v>
      </c>
      <c r="H1702" s="1">
        <v>-3.5724260000000002E-6</v>
      </c>
      <c r="I1702">
        <v>335.70069999999998</v>
      </c>
      <c r="J1702">
        <v>-193.62209999999999</v>
      </c>
      <c r="K1702">
        <v>1.1172489999999999</v>
      </c>
      <c r="L1702">
        <v>356.17599999999999</v>
      </c>
      <c r="M1702">
        <v>0.34773120000000002</v>
      </c>
      <c r="N1702">
        <v>-1.447583E-2</v>
      </c>
      <c r="O1702">
        <v>-0.9374825</v>
      </c>
      <c r="P1702">
        <v>0.20084969999999999</v>
      </c>
      <c r="Q1702">
        <v>-8.6173449999999999E-2</v>
      </c>
      <c r="R1702">
        <v>-0.97582460000000004</v>
      </c>
      <c r="S1702">
        <v>1.586914E-2</v>
      </c>
      <c r="T1702">
        <v>-0.16536819999999999</v>
      </c>
      <c r="U1702">
        <v>-3.0574949999999999</v>
      </c>
      <c r="V1702">
        <v>0.15034169999999999</v>
      </c>
      <c r="W1702">
        <v>-7.3373060000000004E-2</v>
      </c>
      <c r="X1702">
        <v>0.9859076</v>
      </c>
      <c r="Y1702">
        <v>0.3427095</v>
      </c>
      <c r="Z1702">
        <v>3.2872510000000001E-2</v>
      </c>
      <c r="AA1702">
        <v>0.93886610000000004</v>
      </c>
      <c r="AB1702">
        <v>21</v>
      </c>
      <c r="AC1702">
        <v>4.9499999999994701E-2</v>
      </c>
      <c r="AD1702">
        <v>-1.1172525724259901</v>
      </c>
      <c r="AE1702">
        <v>-20.475300000000001</v>
      </c>
      <c r="AF1702">
        <v>7.05323616094977</v>
      </c>
      <c r="AG1702">
        <v>-1.1172525724259901</v>
      </c>
      <c r="AH1702">
        <v>19.157422034005901</v>
      </c>
      <c r="AI1702">
        <v>93.132568477560596</v>
      </c>
      <c r="AJ1702">
        <v>69.787680102103494</v>
      </c>
      <c r="AK1702">
        <v>20.445126867831799</v>
      </c>
      <c r="AL1702">
        <v>94.207747859081195</v>
      </c>
      <c r="AM1702">
        <v>81.329721562546993</v>
      </c>
      <c r="AN1702">
        <v>1.0000000142151999</v>
      </c>
    </row>
    <row r="1703" spans="1:40" x14ac:dyDescent="0.25">
      <c r="A1703" t="str">
        <f>"20190303153807515"</f>
        <v>20190303153807515</v>
      </c>
      <c r="B1703" t="str">
        <f>"1551598687510245"</f>
        <v>1551598687510245</v>
      </c>
      <c r="C1703" t="s">
        <v>40</v>
      </c>
      <c r="D1703">
        <v>4.8545249999999998</v>
      </c>
      <c r="E1703">
        <v>0.57469179999999997</v>
      </c>
      <c r="F1703" t="s">
        <v>42</v>
      </c>
      <c r="G1703">
        <v>-193.52340000000001</v>
      </c>
      <c r="H1703" s="1">
        <v>-3.7859349999999999E-6</v>
      </c>
      <c r="I1703">
        <v>336.27539999999999</v>
      </c>
      <c r="J1703">
        <v>-193.58330000000001</v>
      </c>
      <c r="K1703">
        <v>1.1174459999999999</v>
      </c>
      <c r="L1703">
        <v>356.0564</v>
      </c>
      <c r="M1703">
        <v>0.34358300000000003</v>
      </c>
      <c r="N1703">
        <v>-1.441832E-2</v>
      </c>
      <c r="O1703">
        <v>-0.93901179999999995</v>
      </c>
      <c r="P1703">
        <v>0.1987585</v>
      </c>
      <c r="Q1703">
        <v>-8.6486259999999995E-2</v>
      </c>
      <c r="R1703">
        <v>-0.97622500000000001</v>
      </c>
      <c r="S1703">
        <v>1.5151980000000001E-2</v>
      </c>
      <c r="T1703">
        <v>-0.17157049999999999</v>
      </c>
      <c r="U1703">
        <v>-3.0560299999999998</v>
      </c>
      <c r="V1703">
        <v>0.14811920000000001</v>
      </c>
      <c r="W1703">
        <v>-7.3645669999999996E-2</v>
      </c>
      <c r="X1703">
        <v>0.98622359999999998</v>
      </c>
      <c r="Y1703">
        <v>0.33876859999999998</v>
      </c>
      <c r="Z1703">
        <v>3.4891890000000002E-2</v>
      </c>
      <c r="AA1703">
        <v>0.94022260000000002</v>
      </c>
      <c r="AB1703">
        <v>21</v>
      </c>
      <c r="AC1703">
        <v>5.9899999999998899E-2</v>
      </c>
      <c r="AD1703">
        <v>-1.1174497859350001</v>
      </c>
      <c r="AE1703">
        <v>-19.780999999999999</v>
      </c>
      <c r="AF1703">
        <v>6.7194250198297203</v>
      </c>
      <c r="AG1703">
        <v>-1.1174497859350001</v>
      </c>
      <c r="AH1703">
        <v>18.537944660626302</v>
      </c>
      <c r="AI1703">
        <v>93.243544428769496</v>
      </c>
      <c r="AJ1703">
        <v>70.076003558756</v>
      </c>
      <c r="AK1703">
        <v>19.749804020841399</v>
      </c>
      <c r="AL1703">
        <v>94.223409754700896</v>
      </c>
      <c r="AM1703">
        <v>81.458685900610305</v>
      </c>
      <c r="AN1703">
        <v>0.99999998565767401</v>
      </c>
    </row>
    <row r="1704" spans="1:40" x14ac:dyDescent="0.25">
      <c r="A1704" t="str">
        <f>"20190303153807534"</f>
        <v>20190303153807534</v>
      </c>
      <c r="B1704" t="str">
        <f>"1551598687530740"</f>
        <v>1551598687530740</v>
      </c>
      <c r="C1704" t="s">
        <v>40</v>
      </c>
      <c r="D1704">
        <v>4.8097050000000001</v>
      </c>
      <c r="E1704">
        <v>0.57388059999999996</v>
      </c>
      <c r="F1704" t="s">
        <v>42</v>
      </c>
      <c r="G1704">
        <v>-193.48609999999999</v>
      </c>
      <c r="H1704" s="1">
        <v>-3.89071199999999E-6</v>
      </c>
      <c r="I1704">
        <v>336.60270000000003</v>
      </c>
      <c r="J1704">
        <v>-193.52799999999999</v>
      </c>
      <c r="K1704">
        <v>1.1177140000000001</v>
      </c>
      <c r="L1704">
        <v>355.88409999999999</v>
      </c>
      <c r="M1704">
        <v>0.33788820000000003</v>
      </c>
      <c r="N1704">
        <v>-1.434034E-2</v>
      </c>
      <c r="O1704">
        <v>-0.9410771</v>
      </c>
      <c r="P1704">
        <v>0.19758580000000001</v>
      </c>
      <c r="Q1704">
        <v>-8.5632719999999996E-2</v>
      </c>
      <c r="R1704">
        <v>-0.97653820000000002</v>
      </c>
      <c r="S1704">
        <v>1.525879E-2</v>
      </c>
      <c r="T1704">
        <v>-0.1754502</v>
      </c>
      <c r="U1704">
        <v>-3.0544129999999998</v>
      </c>
      <c r="V1704">
        <v>0.14341139999999999</v>
      </c>
      <c r="W1704">
        <v>-7.2723549999999998E-2</v>
      </c>
      <c r="X1704">
        <v>0.98698759999999996</v>
      </c>
      <c r="Y1704">
        <v>0.33302859999999901</v>
      </c>
      <c r="Z1704">
        <v>3.6344109999999999E-2</v>
      </c>
      <c r="AA1704">
        <v>0.94221600000000005</v>
      </c>
      <c r="AB1704">
        <v>21</v>
      </c>
      <c r="AC1704">
        <v>4.1899999999998203E-2</v>
      </c>
      <c r="AD1704">
        <v>-1.11771789071199</v>
      </c>
      <c r="AE1704">
        <v>-19.281399999999898</v>
      </c>
      <c r="AF1704">
        <v>6.4545023075348702</v>
      </c>
      <c r="AG1704">
        <v>-1.11771789071199</v>
      </c>
      <c r="AH1704">
        <v>18.1004832251053</v>
      </c>
      <c r="AI1704">
        <v>93.328765201694694</v>
      </c>
      <c r="AJ1704">
        <v>70.3741307312456</v>
      </c>
      <c r="AK1704">
        <v>19.249347685142698</v>
      </c>
      <c r="AL1704">
        <v>94.170433909184794</v>
      </c>
      <c r="AM1704">
        <v>81.732659221545703</v>
      </c>
      <c r="AN1704">
        <v>1.0000000334641601</v>
      </c>
    </row>
    <row r="1705" spans="1:40" x14ac:dyDescent="0.25">
      <c r="A1705" t="str">
        <f>"20190303153807549"</f>
        <v>20190303153807549</v>
      </c>
      <c r="B1705" t="str">
        <f>"1551598687540501"</f>
        <v>1551598687540501</v>
      </c>
      <c r="C1705" t="s">
        <v>40</v>
      </c>
      <c r="D1705">
        <v>4.8008139999999999</v>
      </c>
      <c r="E1705">
        <v>0.57388059999999996</v>
      </c>
      <c r="F1705" t="s">
        <v>42</v>
      </c>
      <c r="G1705">
        <v>-193.41399999999999</v>
      </c>
      <c r="H1705" s="1">
        <v>-3.8008040000000002E-6</v>
      </c>
      <c r="I1705">
        <v>336.37610000000001</v>
      </c>
      <c r="J1705">
        <v>-193.4854</v>
      </c>
      <c r="K1705">
        <v>1.1179030000000001</v>
      </c>
      <c r="L1705">
        <v>355.74959999999999</v>
      </c>
      <c r="M1705">
        <v>0.33362649999999999</v>
      </c>
      <c r="N1705">
        <v>-1.4283840000000001E-2</v>
      </c>
      <c r="O1705">
        <v>-0.94259729999999997</v>
      </c>
      <c r="P1705">
        <v>0.1956936</v>
      </c>
      <c r="Q1705">
        <v>-8.5027370000000005E-2</v>
      </c>
      <c r="R1705">
        <v>-0.97697230000000002</v>
      </c>
      <c r="S1705">
        <v>1.7852779999999999E-2</v>
      </c>
      <c r="T1705">
        <v>-0.1749338</v>
      </c>
      <c r="U1705">
        <v>-3.0531920000000001</v>
      </c>
      <c r="V1705">
        <v>0.14091429999999999</v>
      </c>
      <c r="W1705">
        <v>-7.2083320000000006E-2</v>
      </c>
      <c r="X1705">
        <v>0.98739410000000005</v>
      </c>
      <c r="Y1705">
        <v>0.32795970000000002</v>
      </c>
      <c r="Z1705">
        <v>3.6454960000000002E-2</v>
      </c>
      <c r="AA1705">
        <v>0.9439881</v>
      </c>
      <c r="AB1705">
        <v>21</v>
      </c>
      <c r="AC1705">
        <v>7.1399999999982797E-2</v>
      </c>
      <c r="AD1705">
        <v>-1.1179068008040001</v>
      </c>
      <c r="AE1705">
        <v>-19.3734999999999</v>
      </c>
      <c r="AF1705">
        <v>6.3756348972506904</v>
      </c>
      <c r="AG1705">
        <v>-1.1179068008040001</v>
      </c>
      <c r="AH1705">
        <v>18.226406023216601</v>
      </c>
      <c r="AI1705">
        <v>93.313418492768704</v>
      </c>
      <c r="AJ1705">
        <v>70.720056390398696</v>
      </c>
      <c r="AK1705">
        <v>19.341672949397999</v>
      </c>
      <c r="AL1705">
        <v>94.133655138149194</v>
      </c>
      <c r="AM1705">
        <v>81.877972882631397</v>
      </c>
      <c r="AN1705">
        <v>0.99999997684076003</v>
      </c>
    </row>
    <row r="1706" spans="1:40" x14ac:dyDescent="0.25">
      <c r="A1706" t="str">
        <f>"20190303153807571"</f>
        <v>20190303153807571</v>
      </c>
      <c r="B1706" t="str">
        <f>"1551598687560020"</f>
        <v>1551598687560020</v>
      </c>
      <c r="C1706" t="s">
        <v>40</v>
      </c>
      <c r="D1706">
        <v>4.7704610000000001</v>
      </c>
      <c r="E1706">
        <v>0.56329940000000001</v>
      </c>
      <c r="F1706" t="s">
        <v>42</v>
      </c>
      <c r="G1706">
        <v>-193.40969999999999</v>
      </c>
      <c r="H1706" s="1">
        <v>-3.6852150000000001E-6</v>
      </c>
      <c r="I1706">
        <v>336.06470000000002</v>
      </c>
      <c r="J1706">
        <v>-193.42689999999999</v>
      </c>
      <c r="K1706">
        <v>1.1181239999999999</v>
      </c>
      <c r="L1706">
        <v>355.56240000000003</v>
      </c>
      <c r="M1706">
        <v>0.32801010000000003</v>
      </c>
      <c r="N1706">
        <v>-1.4212580000000001E-2</v>
      </c>
      <c r="O1706">
        <v>-0.94456759999999995</v>
      </c>
      <c r="P1706">
        <v>0.194579</v>
      </c>
      <c r="Q1706">
        <v>-8.3676790000000001E-2</v>
      </c>
      <c r="R1706">
        <v>-0.97731159999999995</v>
      </c>
      <c r="S1706">
        <v>1.1749269999999999E-2</v>
      </c>
      <c r="T1706">
        <v>-0.1733925</v>
      </c>
      <c r="U1706">
        <v>-3.053223</v>
      </c>
      <c r="V1706">
        <v>0.13625190000000001</v>
      </c>
      <c r="W1706">
        <v>-7.0684339999999998E-2</v>
      </c>
      <c r="X1706">
        <v>0.98814930000000001</v>
      </c>
      <c r="Y1706">
        <v>0.32422630000000002</v>
      </c>
      <c r="Z1706">
        <v>3.6278369999999997E-2</v>
      </c>
      <c r="AA1706">
        <v>0.94528369999999995</v>
      </c>
      <c r="AB1706">
        <v>21</v>
      </c>
      <c r="AC1706">
        <v>1.7200000000002501E-2</v>
      </c>
      <c r="AD1706">
        <v>-1.1181276852149999</v>
      </c>
      <c r="AE1706">
        <v>-19.497699999999998</v>
      </c>
      <c r="AF1706">
        <v>6.3589263318288296</v>
      </c>
      <c r="AG1706">
        <v>-1.1181276852149999</v>
      </c>
      <c r="AH1706">
        <v>18.364000614823599</v>
      </c>
      <c r="AI1706">
        <v>93.292894707570596</v>
      </c>
      <c r="AJ1706">
        <v>70.900498780633797</v>
      </c>
      <c r="AK1706">
        <v>19.465936201357302</v>
      </c>
      <c r="AL1706">
        <v>94.053294592124203</v>
      </c>
      <c r="AM1706">
        <v>82.149221920155597</v>
      </c>
      <c r="AN1706">
        <v>0.99999994763266598</v>
      </c>
    </row>
    <row r="1707" spans="1:40" x14ac:dyDescent="0.25">
      <c r="A1707" t="str">
        <f>"20190303153807593"</f>
        <v>20190303153807593</v>
      </c>
      <c r="B1707" t="str">
        <f>"1551598687590276"</f>
        <v>1551598687590276</v>
      </c>
      <c r="C1707" t="s">
        <v>40</v>
      </c>
      <c r="D1707">
        <v>4.7625060000000001</v>
      </c>
      <c r="E1707">
        <v>0.56428159999999905</v>
      </c>
      <c r="F1707" t="s">
        <v>42</v>
      </c>
      <c r="G1707">
        <v>-192.86330000000001</v>
      </c>
      <c r="H1707" s="1">
        <v>-3.8193180000000001E-6</v>
      </c>
      <c r="I1707">
        <v>336.7176</v>
      </c>
      <c r="J1707">
        <v>-193.36660000000001</v>
      </c>
      <c r="K1707">
        <v>1.1182989999999999</v>
      </c>
      <c r="L1707">
        <v>355.36700000000002</v>
      </c>
      <c r="M1707">
        <v>0.32244349999999999</v>
      </c>
      <c r="N1707">
        <v>-1.414559E-2</v>
      </c>
      <c r="O1707">
        <v>-0.94648330000000003</v>
      </c>
      <c r="P1707">
        <v>0.19307050000000001</v>
      </c>
      <c r="Q1707">
        <v>-8.3873379999999997E-2</v>
      </c>
      <c r="R1707">
        <v>-0.97759399999999996</v>
      </c>
      <c r="S1707">
        <v>9.0805049999999998E-2</v>
      </c>
      <c r="T1707">
        <v>-0.18014549999999999</v>
      </c>
      <c r="U1707">
        <v>-3.0361630000000002</v>
      </c>
      <c r="V1707">
        <v>0.13198489999999999</v>
      </c>
      <c r="W1707">
        <v>-7.0851070000000002E-2</v>
      </c>
      <c r="X1707">
        <v>0.98871640000000005</v>
      </c>
      <c r="Y1707">
        <v>0.29388940000000002</v>
      </c>
      <c r="Z1707">
        <v>3.9117329999999999E-2</v>
      </c>
      <c r="AA1707">
        <v>0.95503870000000002</v>
      </c>
      <c r="AB1707">
        <v>21</v>
      </c>
      <c r="AC1707">
        <v>0.50329999999999497</v>
      </c>
      <c r="AD1707">
        <v>-1.118302819318</v>
      </c>
      <c r="AE1707">
        <v>-18.649399999999901</v>
      </c>
      <c r="AF1707">
        <v>5.5177393537169896</v>
      </c>
      <c r="AG1707">
        <v>-1.118302819318</v>
      </c>
      <c r="AH1707">
        <v>17.751625213078999</v>
      </c>
      <c r="AI1707">
        <v>93.442656471002095</v>
      </c>
      <c r="AJ1707">
        <v>72.733182935450898</v>
      </c>
      <c r="AK1707">
        <v>18.623003154079999</v>
      </c>
      <c r="AL1707">
        <v>94.062871300495203</v>
      </c>
      <c r="AM1707">
        <v>82.396471917591597</v>
      </c>
      <c r="AN1707">
        <v>1.0000000037885499</v>
      </c>
    </row>
    <row r="1708" spans="1:40" x14ac:dyDescent="0.25">
      <c r="A1708" t="str">
        <f>"20190303153807613"</f>
        <v>20190303153807613</v>
      </c>
      <c r="B1708" t="str">
        <f>"1551598687610773"</f>
        <v>1551598687610773</v>
      </c>
      <c r="C1708" t="s">
        <v>40</v>
      </c>
      <c r="D1708">
        <v>4.7884789999999997</v>
      </c>
      <c r="E1708">
        <v>0.56289469999999997</v>
      </c>
      <c r="F1708" t="s">
        <v>42</v>
      </c>
      <c r="G1708">
        <v>-192.86009999999999</v>
      </c>
      <c r="H1708" s="1">
        <v>-3.3990439999999999E-6</v>
      </c>
      <c r="I1708">
        <v>335.73849999999999</v>
      </c>
      <c r="J1708">
        <v>-193.31020000000001</v>
      </c>
      <c r="K1708">
        <v>1.1184149999999999</v>
      </c>
      <c r="L1708">
        <v>355.18130000000002</v>
      </c>
      <c r="M1708">
        <v>0.31738559999999999</v>
      </c>
      <c r="N1708">
        <v>-1.4088140000000001E-2</v>
      </c>
      <c r="O1708">
        <v>-0.94819200000000003</v>
      </c>
      <c r="P1708">
        <v>0.19112589999999999</v>
      </c>
      <c r="Q1708">
        <v>-8.5668209999999995E-2</v>
      </c>
      <c r="R1708">
        <v>-0.97782009999999997</v>
      </c>
      <c r="S1708">
        <v>7.8414919999999999E-2</v>
      </c>
      <c r="T1708">
        <v>-0.17311219999999999</v>
      </c>
      <c r="U1708">
        <v>-3.0384829999999998</v>
      </c>
      <c r="V1708">
        <v>0.128635</v>
      </c>
      <c r="W1708">
        <v>-7.2633879999999998E-2</v>
      </c>
      <c r="X1708">
        <v>0.98902849999999998</v>
      </c>
      <c r="Y1708">
        <v>0.29270459999999998</v>
      </c>
      <c r="Z1708">
        <v>3.7211519999999998E-2</v>
      </c>
      <c r="AA1708">
        <v>0.95547859999999996</v>
      </c>
      <c r="AB1708">
        <v>21</v>
      </c>
      <c r="AC1708">
        <v>0.45010000000001998</v>
      </c>
      <c r="AD1708">
        <v>-1.118418399044</v>
      </c>
      <c r="AE1708">
        <v>-19.442799999999998</v>
      </c>
      <c r="AF1708">
        <v>5.7257171718596203</v>
      </c>
      <c r="AG1708">
        <v>-1.118418399044</v>
      </c>
      <c r="AH1708">
        <v>18.518959507914801</v>
      </c>
      <c r="AI1708">
        <v>93.302208294410505</v>
      </c>
      <c r="AJ1708">
        <v>72.819365748553395</v>
      </c>
      <c r="AK1708">
        <v>19.416141689409699</v>
      </c>
      <c r="AL1708">
        <v>94.165282676607703</v>
      </c>
      <c r="AM1708">
        <v>82.589596008582106</v>
      </c>
      <c r="AN1708">
        <v>1.0000000087805501</v>
      </c>
    </row>
    <row r="1709" spans="1:40" x14ac:dyDescent="0.25">
      <c r="A1709" t="str">
        <f>"20190303153807636"</f>
        <v>20190303153807636</v>
      </c>
      <c r="B1709" t="str">
        <f>"1551598687630293"</f>
        <v>1551598687630293</v>
      </c>
      <c r="C1709" t="s">
        <v>40</v>
      </c>
      <c r="D1709">
        <v>4.7357139999999998</v>
      </c>
      <c r="E1709">
        <v>0.56340029999999997</v>
      </c>
      <c r="F1709" t="s">
        <v>42</v>
      </c>
      <c r="G1709">
        <v>-192.8049</v>
      </c>
      <c r="H1709" s="1">
        <v>-3.8020059999999999E-6</v>
      </c>
      <c r="I1709">
        <v>336.71199999999999</v>
      </c>
      <c r="J1709">
        <v>-193.25219999999999</v>
      </c>
      <c r="K1709">
        <v>1.11852</v>
      </c>
      <c r="L1709">
        <v>354.98750000000001</v>
      </c>
      <c r="M1709">
        <v>0.31231779999999998</v>
      </c>
      <c r="N1709">
        <v>-1.402081E-2</v>
      </c>
      <c r="O1709">
        <v>-0.94987429999999995</v>
      </c>
      <c r="P1709">
        <v>0.18862509999999999</v>
      </c>
      <c r="Q1709">
        <v>-8.6131330000000006E-2</v>
      </c>
      <c r="R1709">
        <v>-0.97826480000000005</v>
      </c>
      <c r="S1709">
        <v>8.306885E-2</v>
      </c>
      <c r="T1709">
        <v>-0.1838275</v>
      </c>
      <c r="U1709">
        <v>-3.0356749999999999</v>
      </c>
      <c r="V1709">
        <v>0.12588830000000001</v>
      </c>
      <c r="W1709">
        <v>-7.3105909999999996E-2</v>
      </c>
      <c r="X1709">
        <v>0.98934710000000003</v>
      </c>
      <c r="Y1709">
        <v>0.2861052</v>
      </c>
      <c r="Z1709">
        <v>4.0704990000000003E-2</v>
      </c>
      <c r="AA1709">
        <v>0.9573332</v>
      </c>
      <c r="AB1709">
        <v>21</v>
      </c>
      <c r="AC1709">
        <v>0.44729999999998399</v>
      </c>
      <c r="AD1709">
        <v>-1.118523802006</v>
      </c>
      <c r="AE1709">
        <v>-18.275500000000001</v>
      </c>
      <c r="AF1709">
        <v>5.2636987594339102</v>
      </c>
      <c r="AG1709">
        <v>-1.118523802006</v>
      </c>
      <c r="AH1709">
        <v>17.435574065441301</v>
      </c>
      <c r="AI1709">
        <v>93.514359874013095</v>
      </c>
      <c r="AJ1709">
        <v>73.201239020411606</v>
      </c>
      <c r="AK1709">
        <v>18.247105609307098</v>
      </c>
      <c r="AL1709">
        <v>94.192400086072993</v>
      </c>
      <c r="AM1709">
        <v>82.748435502425195</v>
      </c>
      <c r="AN1709">
        <v>1.00000001121611</v>
      </c>
    </row>
    <row r="1710" spans="1:40" x14ac:dyDescent="0.25">
      <c r="A1710" t="str">
        <f>"20190303153807649"</f>
        <v>20190303153807649</v>
      </c>
      <c r="B1710" t="str">
        <f>"1551598687640052"</f>
        <v>1551598687640052</v>
      </c>
      <c r="C1710" t="s">
        <v>40</v>
      </c>
      <c r="D1710">
        <v>4.717492</v>
      </c>
      <c r="E1710">
        <v>0.56406299999999998</v>
      </c>
      <c r="F1710" t="s">
        <v>42</v>
      </c>
      <c r="G1710">
        <v>-192.82050000000001</v>
      </c>
      <c r="H1710" s="1">
        <v>-3.7521340000000001E-6</v>
      </c>
      <c r="I1710">
        <v>336.58609999999999</v>
      </c>
      <c r="J1710">
        <v>-193.21289999999999</v>
      </c>
      <c r="K1710">
        <v>1.118581</v>
      </c>
      <c r="L1710">
        <v>354.8546</v>
      </c>
      <c r="M1710">
        <v>0.30893169999999998</v>
      </c>
      <c r="N1710">
        <v>-1.394742E-2</v>
      </c>
      <c r="O1710">
        <v>-0.95098190000000005</v>
      </c>
      <c r="P1710">
        <v>0.18650069999999999</v>
      </c>
      <c r="Q1710">
        <v>-8.5397130000000002E-2</v>
      </c>
      <c r="R1710">
        <v>-0.97873650000000001</v>
      </c>
      <c r="S1710">
        <v>7.1243290000000001E-2</v>
      </c>
      <c r="T1710">
        <v>-0.18457979999999999</v>
      </c>
      <c r="U1710">
        <v>-3.0366209999999998</v>
      </c>
      <c r="V1710">
        <v>0.1245489</v>
      </c>
      <c r="W1710">
        <v>-7.2411719999999999E-2</v>
      </c>
      <c r="X1710">
        <v>0.98956759999999999</v>
      </c>
      <c r="Y1710">
        <v>0.28642570000000001</v>
      </c>
      <c r="Z1710">
        <v>4.1074029999999997E-2</v>
      </c>
      <c r="AA1710">
        <v>0.95722160000000001</v>
      </c>
      <c r="AB1710">
        <v>20</v>
      </c>
      <c r="AC1710">
        <v>0.39239999999997999</v>
      </c>
      <c r="AD1710">
        <v>-1.118584752134</v>
      </c>
      <c r="AE1710">
        <v>-18.2685</v>
      </c>
      <c r="AF1710">
        <v>5.2513873214431603</v>
      </c>
      <c r="AG1710">
        <v>-1.118584752134</v>
      </c>
      <c r="AH1710">
        <v>17.430620591629602</v>
      </c>
      <c r="AI1710">
        <v>93.516148749085502</v>
      </c>
      <c r="AJ1710">
        <v>73.233828016440597</v>
      </c>
      <c r="AK1710">
        <v>18.238827672217901</v>
      </c>
      <c r="AL1710">
        <v>94.152520441247006</v>
      </c>
      <c r="AM1710">
        <v>82.826362953925695</v>
      </c>
      <c r="AN1710">
        <v>0.99999996032716298</v>
      </c>
    </row>
    <row r="1711" spans="1:40" x14ac:dyDescent="0.25">
      <c r="A1711" t="str">
        <f>"20190303153807670"</f>
        <v>20190303153807670</v>
      </c>
      <c r="B1711" t="str">
        <f>"1551598687660552"</f>
        <v>1551598687660552</v>
      </c>
      <c r="C1711" t="s">
        <v>40</v>
      </c>
      <c r="D1711">
        <v>4.7306910000000002</v>
      </c>
      <c r="E1711">
        <v>0.56368289999999999</v>
      </c>
      <c r="F1711" t="s">
        <v>42</v>
      </c>
      <c r="G1711">
        <v>-192.8356</v>
      </c>
      <c r="H1711" s="1">
        <v>-3.348747E-6</v>
      </c>
      <c r="I1711">
        <v>335.63639999999998</v>
      </c>
      <c r="J1711">
        <v>-193.16239999999999</v>
      </c>
      <c r="K1711">
        <v>1.118625</v>
      </c>
      <c r="L1711">
        <v>354.68189999999998</v>
      </c>
      <c r="M1711">
        <v>0.30465490000000001</v>
      </c>
      <c r="N1711">
        <v>-1.375054E-2</v>
      </c>
      <c r="O1711">
        <v>-0.95236379999999998</v>
      </c>
      <c r="P1711">
        <v>0.18519959999999999</v>
      </c>
      <c r="Q1711">
        <v>-8.3048880000000005E-2</v>
      </c>
      <c r="R1711">
        <v>-0.97918559999999999</v>
      </c>
      <c r="S1711">
        <v>5.9646610000000003E-2</v>
      </c>
      <c r="T1711">
        <v>-0.17684730000000001</v>
      </c>
      <c r="U1711">
        <v>-3.0383909999999998</v>
      </c>
      <c r="V1711">
        <v>0.1215077</v>
      </c>
      <c r="W1711">
        <v>-7.0208229999999996E-2</v>
      </c>
      <c r="X1711">
        <v>0.9901044</v>
      </c>
      <c r="Y1711">
        <v>0.28579149999999998</v>
      </c>
      <c r="Z1711">
        <v>3.9061100000000001E-2</v>
      </c>
      <c r="AA1711">
        <v>0.9574954</v>
      </c>
      <c r="AB1711">
        <v>20</v>
      </c>
      <c r="AC1711">
        <v>0.32679999999999099</v>
      </c>
      <c r="AD1711">
        <v>-1.1186283487469999</v>
      </c>
      <c r="AE1711">
        <v>-19.045500000000001</v>
      </c>
      <c r="AF1711">
        <v>5.4727163324635901</v>
      </c>
      <c r="AG1711">
        <v>-1.1186283487469999</v>
      </c>
      <c r="AH1711">
        <v>18.176838913287899</v>
      </c>
      <c r="AI1711">
        <v>93.372448977907993</v>
      </c>
      <c r="AJ1711">
        <v>73.243905206064895</v>
      </c>
      <c r="AK1711">
        <v>19.015767834033198</v>
      </c>
      <c r="AL1711">
        <v>94.025947264101703</v>
      </c>
      <c r="AM1711">
        <v>83.003525118312794</v>
      </c>
      <c r="AN1711">
        <v>1.0000000198091901</v>
      </c>
    </row>
    <row r="1712" spans="1:40" x14ac:dyDescent="0.25">
      <c r="A1712" t="str">
        <f>"20190303153807682"</f>
        <v>20190303153807682</v>
      </c>
      <c r="B1712" t="str">
        <f>"1551598687680069"</f>
        <v>1551598687680069</v>
      </c>
      <c r="C1712" t="s">
        <v>40</v>
      </c>
      <c r="D1712">
        <v>4.8435110000000003</v>
      </c>
      <c r="E1712">
        <v>0.56333509999999998</v>
      </c>
      <c r="F1712" t="s">
        <v>42</v>
      </c>
      <c r="G1712">
        <v>-192.774</v>
      </c>
      <c r="H1712" s="1">
        <v>-2.8497259999999999E-6</v>
      </c>
      <c r="I1712">
        <v>334.51139999999998</v>
      </c>
      <c r="J1712">
        <v>-193.1275</v>
      </c>
      <c r="K1712">
        <v>1.1186290000000001</v>
      </c>
      <c r="L1712">
        <v>354.56110000000001</v>
      </c>
      <c r="M1712">
        <v>0.3017514</v>
      </c>
      <c r="N1712">
        <v>-1.353684E-2</v>
      </c>
      <c r="O1712">
        <v>-0.95329079999999999</v>
      </c>
      <c r="P1712">
        <v>0.18364159999999999</v>
      </c>
      <c r="Q1712">
        <v>-8.203676E-2</v>
      </c>
      <c r="R1712">
        <v>-0.97956449999999995</v>
      </c>
      <c r="S1712">
        <v>5.85021999999999E-2</v>
      </c>
      <c r="T1712">
        <v>-0.16850589999999999</v>
      </c>
      <c r="U1712">
        <v>-3.0384220000000002</v>
      </c>
      <c r="V1712">
        <v>0.1201053</v>
      </c>
      <c r="W1712">
        <v>-6.9381129999999999E-2</v>
      </c>
      <c r="X1712">
        <v>0.99033380000000004</v>
      </c>
      <c r="Y1712">
        <v>0.28323920000000002</v>
      </c>
      <c r="Z1712">
        <v>3.688752E-2</v>
      </c>
      <c r="AA1712">
        <v>0.95833959999999996</v>
      </c>
      <c r="AB1712">
        <v>21</v>
      </c>
      <c r="AC1712">
        <v>0.35349999999999598</v>
      </c>
      <c r="AD1712">
        <v>-1.1186318497259999</v>
      </c>
      <c r="AE1712">
        <v>-20.049700000000001</v>
      </c>
      <c r="AF1712">
        <v>5.6958340439151103</v>
      </c>
      <c r="AG1712">
        <v>-1.1186318497259999</v>
      </c>
      <c r="AH1712">
        <v>19.161990142605902</v>
      </c>
      <c r="AI1712">
        <v>93.202809683756399</v>
      </c>
      <c r="AJ1712">
        <v>73.445604039598294</v>
      </c>
      <c r="AK1712">
        <v>20.021881252678799</v>
      </c>
      <c r="AL1712">
        <v>93.978442037200793</v>
      </c>
      <c r="AM1712">
        <v>83.085075942850096</v>
      </c>
      <c r="AN1712">
        <v>1.0000000298553</v>
      </c>
    </row>
    <row r="1713" spans="1:40" x14ac:dyDescent="0.25">
      <c r="A1713" t="str">
        <f>"20190303153807703"</f>
        <v>20190303153807703</v>
      </c>
      <c r="B1713" t="str">
        <f>"1551598687700504"</f>
        <v>1551598687700504</v>
      </c>
      <c r="C1713" t="s">
        <v>40</v>
      </c>
      <c r="D1713">
        <v>4.8091369999999998</v>
      </c>
      <c r="E1713">
        <v>0.56342590000000004</v>
      </c>
      <c r="F1713" t="s">
        <v>42</v>
      </c>
      <c r="G1713">
        <v>-192.751</v>
      </c>
      <c r="H1713" s="1">
        <v>-2.7214209999999998E-6</v>
      </c>
      <c r="I1713">
        <v>334.22660000000002</v>
      </c>
      <c r="J1713">
        <v>-193.07749999999999</v>
      </c>
      <c r="K1713">
        <v>1.1186320000000001</v>
      </c>
      <c r="L1713">
        <v>354.3861</v>
      </c>
      <c r="M1713">
        <v>0.29763119999999998</v>
      </c>
      <c r="N1713">
        <v>-1.318971E-2</v>
      </c>
      <c r="O1713">
        <v>-0.95458980000000004</v>
      </c>
      <c r="P1713">
        <v>0.18377850000000001</v>
      </c>
      <c r="Q1713">
        <v>-8.0724749999999998E-2</v>
      </c>
      <c r="R1713">
        <v>-0.97964720000000005</v>
      </c>
      <c r="S1713">
        <v>5.6259160000000002E-2</v>
      </c>
      <c r="T1713">
        <v>-0.16712630000000001</v>
      </c>
      <c r="U1713">
        <v>-3.0380250000000002</v>
      </c>
      <c r="V1713">
        <v>0.1157416</v>
      </c>
      <c r="W1713">
        <v>-6.8357940000000006E-2</v>
      </c>
      <c r="X1713">
        <v>0.99092440000000004</v>
      </c>
      <c r="Y1713">
        <v>0.279806099999999</v>
      </c>
      <c r="Z1713">
        <v>3.6960699999999999E-2</v>
      </c>
      <c r="AA1713">
        <v>0.9593448</v>
      </c>
      <c r="AB1713">
        <v>21</v>
      </c>
      <c r="AC1713">
        <v>0.32650000000001</v>
      </c>
      <c r="AD1713">
        <v>-1.118634721421</v>
      </c>
      <c r="AE1713">
        <v>-20.159499999999898</v>
      </c>
      <c r="AF1713">
        <v>5.6714593731898599</v>
      </c>
      <c r="AG1713">
        <v>-1.118634721421</v>
      </c>
      <c r="AH1713">
        <v>19.283552898207301</v>
      </c>
      <c r="AI1713">
        <v>93.185380100612704</v>
      </c>
      <c r="AJ1713">
        <v>73.610935039470704</v>
      </c>
      <c r="AK1713">
        <v>20.131373709701698</v>
      </c>
      <c r="AL1713">
        <v>93.919677978626197</v>
      </c>
      <c r="AM1713">
        <v>83.337945233790293</v>
      </c>
      <c r="AN1713">
        <v>1.0000000462234799</v>
      </c>
    </row>
    <row r="1714" spans="1:40" x14ac:dyDescent="0.25">
      <c r="A1714" t="str">
        <f>"20190303153807717"</f>
        <v>20190303153807717</v>
      </c>
      <c r="B1714" t="str">
        <f>"1551598687710265"</f>
        <v>1551598687710265</v>
      </c>
      <c r="C1714" t="s">
        <v>40</v>
      </c>
      <c r="D1714">
        <v>4.7873210000000004</v>
      </c>
      <c r="E1714">
        <v>0.56335100000000005</v>
      </c>
      <c r="F1714" t="s">
        <v>42</v>
      </c>
      <c r="G1714">
        <v>-192.68770000000001</v>
      </c>
      <c r="H1714" s="1">
        <v>-2.3190729999999998E-6</v>
      </c>
      <c r="I1714">
        <v>333.32799999999997</v>
      </c>
      <c r="J1714">
        <v>-193.0412</v>
      </c>
      <c r="K1714">
        <v>1.1186259999999999</v>
      </c>
      <c r="L1714">
        <v>354.25779999999997</v>
      </c>
      <c r="M1714">
        <v>0.29469289999999998</v>
      </c>
      <c r="N1714">
        <v>-1.288458E-2</v>
      </c>
      <c r="O1714">
        <v>-0.9555053</v>
      </c>
      <c r="P1714">
        <v>0.18342549999999999</v>
      </c>
      <c r="Q1714">
        <v>-8.1403299999999998E-2</v>
      </c>
      <c r="R1714">
        <v>-0.97965780000000002</v>
      </c>
      <c r="S1714">
        <v>5.6243899999999999E-2</v>
      </c>
      <c r="T1714">
        <v>-0.16140969999999999</v>
      </c>
      <c r="U1714">
        <v>-3.038513</v>
      </c>
      <c r="V1714">
        <v>0.113038</v>
      </c>
      <c r="W1714">
        <v>-6.9304110000000002E-2</v>
      </c>
      <c r="X1714">
        <v>0.99117069999999996</v>
      </c>
      <c r="Y1714">
        <v>0.2768659</v>
      </c>
      <c r="Z1714">
        <v>3.5641590000000001E-2</v>
      </c>
      <c r="AA1714">
        <v>0.96024730000000003</v>
      </c>
      <c r="AB1714">
        <v>21</v>
      </c>
      <c r="AC1714">
        <v>0.35349999999999598</v>
      </c>
      <c r="AD1714">
        <v>-1.118628319073</v>
      </c>
      <c r="AE1714">
        <v>-20.929799999999901</v>
      </c>
      <c r="AF1714">
        <v>5.8139723135049204</v>
      </c>
      <c r="AG1714">
        <v>-1.118628319073</v>
      </c>
      <c r="AH1714">
        <v>20.047125412591601</v>
      </c>
      <c r="AI1714">
        <v>93.067641694195103</v>
      </c>
      <c r="AJ1714">
        <v>73.827034415934506</v>
      </c>
      <c r="AK1714">
        <v>20.9031299256023</v>
      </c>
      <c r="AL1714">
        <v>93.974018576037693</v>
      </c>
      <c r="AM1714">
        <v>83.493816279115094</v>
      </c>
      <c r="AN1714">
        <v>1.0000000028226901</v>
      </c>
    </row>
    <row r="1715" spans="1:40" x14ac:dyDescent="0.25">
      <c r="A1715" t="str">
        <f>"20190303153807736"</f>
        <v>20190303153807736</v>
      </c>
      <c r="B1715" t="str">
        <f>"1551598687730762"</f>
        <v>1551598687730762</v>
      </c>
      <c r="C1715" t="s">
        <v>40</v>
      </c>
      <c r="D1715">
        <v>4.8502669999999997</v>
      </c>
      <c r="E1715">
        <v>0.56249150000000003</v>
      </c>
      <c r="F1715" t="s">
        <v>42</v>
      </c>
      <c r="G1715">
        <v>-192.65870000000001</v>
      </c>
      <c r="H1715" s="1">
        <v>-2.3564910000000002E-6</v>
      </c>
      <c r="I1715">
        <v>333.4332</v>
      </c>
      <c r="J1715">
        <v>-192.99430000000001</v>
      </c>
      <c r="K1715">
        <v>1.1185879999999999</v>
      </c>
      <c r="L1715">
        <v>354.09050000000002</v>
      </c>
      <c r="M1715">
        <v>0.29095910000000003</v>
      </c>
      <c r="N1715">
        <v>-1.2399169999999999E-2</v>
      </c>
      <c r="O1715">
        <v>-0.95665509999999998</v>
      </c>
      <c r="P1715">
        <v>0.18192729999999999</v>
      </c>
      <c r="Q1715">
        <v>-8.4067939999999994E-2</v>
      </c>
      <c r="R1715">
        <v>-0.97971189999999997</v>
      </c>
      <c r="S1715">
        <v>5.5801389999999999E-2</v>
      </c>
      <c r="T1715">
        <v>-0.16320499999999999</v>
      </c>
      <c r="U1715">
        <v>-3.0382690000000001</v>
      </c>
      <c r="V1715">
        <v>0.1106125</v>
      </c>
      <c r="W1715">
        <v>-7.2414060000000002E-2</v>
      </c>
      <c r="X1715">
        <v>0.99122200000000005</v>
      </c>
      <c r="Y1715">
        <v>0.27325480000000002</v>
      </c>
      <c r="Z1715">
        <v>3.6786119999999999E-2</v>
      </c>
      <c r="AA1715">
        <v>0.96123809999999998</v>
      </c>
      <c r="AB1715">
        <v>21</v>
      </c>
      <c r="AC1715">
        <v>0.33559999999999901</v>
      </c>
      <c r="AD1715">
        <v>-1.118590356491</v>
      </c>
      <c r="AE1715">
        <v>-20.657299999999999</v>
      </c>
      <c r="AF1715">
        <v>5.6731830173280704</v>
      </c>
      <c r="AG1715">
        <v>-1.118590356491</v>
      </c>
      <c r="AH1715">
        <v>19.803033537992501</v>
      </c>
      <c r="AI1715">
        <v>93.108191507549293</v>
      </c>
      <c r="AJ1715">
        <v>74.0140245640887</v>
      </c>
      <c r="AK1715">
        <v>20.629987572477798</v>
      </c>
      <c r="AL1715">
        <v>94.152654754225594</v>
      </c>
      <c r="AM1715">
        <v>83.632589683990204</v>
      </c>
      <c r="AN1715">
        <v>0.99999998726296602</v>
      </c>
    </row>
    <row r="1716" spans="1:40" x14ac:dyDescent="0.25">
      <c r="A1716" t="str">
        <f>"20190303153807760"</f>
        <v>20190303153807760</v>
      </c>
      <c r="B1716" t="str">
        <f>"1551598687750284"</f>
        <v>1551598687750284</v>
      </c>
      <c r="C1716" t="s">
        <v>40</v>
      </c>
      <c r="D1716">
        <v>4.8804249999999998</v>
      </c>
      <c r="E1716">
        <v>0.56160069999999995</v>
      </c>
      <c r="F1716" t="s">
        <v>42</v>
      </c>
      <c r="G1716">
        <v>-192.6216</v>
      </c>
      <c r="H1716" s="1">
        <v>-2.8264359999999999E-6</v>
      </c>
      <c r="I1716">
        <v>334.55160000000001</v>
      </c>
      <c r="J1716">
        <v>-192.93389999999999</v>
      </c>
      <c r="K1716">
        <v>1.118527</v>
      </c>
      <c r="L1716">
        <v>353.8725</v>
      </c>
      <c r="M1716">
        <v>0.28628490000000001</v>
      </c>
      <c r="N1716">
        <v>-1.1595009999999999E-2</v>
      </c>
      <c r="O1716">
        <v>-0.9580746</v>
      </c>
      <c r="P1716">
        <v>0.1797455</v>
      </c>
      <c r="Q1716">
        <v>-8.4490250000000003E-2</v>
      </c>
      <c r="R1716">
        <v>-0.98007849999999996</v>
      </c>
      <c r="S1716">
        <v>5.7922359999999999E-2</v>
      </c>
      <c r="T1716">
        <v>-0.1738364</v>
      </c>
      <c r="U1716">
        <v>-3.0364689999999999</v>
      </c>
      <c r="V1716">
        <v>0.1079801</v>
      </c>
      <c r="W1716">
        <v>-7.358874E-2</v>
      </c>
      <c r="X1716">
        <v>0.99142580000000002</v>
      </c>
      <c r="Y1716">
        <v>0.26787749999999999</v>
      </c>
      <c r="Z1716">
        <v>4.0975659999999997E-2</v>
      </c>
      <c r="AA1716">
        <v>0.96258120000000003</v>
      </c>
      <c r="AB1716">
        <v>21</v>
      </c>
      <c r="AC1716">
        <v>0.31229999999999303</v>
      </c>
      <c r="AD1716">
        <v>-1.118529826436</v>
      </c>
      <c r="AE1716">
        <v>-19.320899999999899</v>
      </c>
      <c r="AF1716">
        <v>5.2149524586645297</v>
      </c>
      <c r="AG1716">
        <v>-1.118529826436</v>
      </c>
      <c r="AH1716">
        <v>18.539398077712999</v>
      </c>
      <c r="AI1716">
        <v>93.323925293382203</v>
      </c>
      <c r="AJ1716">
        <v>74.289223544451502</v>
      </c>
      <c r="AK1716">
        <v>19.291348299241999</v>
      </c>
      <c r="AL1716">
        <v>94.220138713459605</v>
      </c>
      <c r="AM1716">
        <v>83.784190892759199</v>
      </c>
      <c r="AN1716">
        <v>1.00000006077821</v>
      </c>
    </row>
    <row r="1717" spans="1:40" x14ac:dyDescent="0.25">
      <c r="A1717" t="str">
        <f>"20190303153807784"</f>
        <v>20190303153807784</v>
      </c>
      <c r="B1717" t="str">
        <f>"1551598687780537"</f>
        <v>1551598687780537</v>
      </c>
      <c r="C1717" t="s">
        <v>40</v>
      </c>
      <c r="D1717">
        <v>4.8216799999999997</v>
      </c>
      <c r="E1717">
        <v>0.56128509999999998</v>
      </c>
      <c r="F1717" t="s">
        <v>42</v>
      </c>
      <c r="G1717">
        <v>-192.56970000000001</v>
      </c>
      <c r="H1717" s="1">
        <v>-2.9408260000000002E-6</v>
      </c>
      <c r="I1717">
        <v>334.85050000000001</v>
      </c>
      <c r="J1717">
        <v>-192.8742</v>
      </c>
      <c r="K1717">
        <v>1.1184559999999999</v>
      </c>
      <c r="L1717">
        <v>353.65429999999998</v>
      </c>
      <c r="M1717">
        <v>0.28181460000000003</v>
      </c>
      <c r="N1717">
        <v>-1.066395E-2</v>
      </c>
      <c r="O1717">
        <v>-0.95940979999999998</v>
      </c>
      <c r="P1717">
        <v>0.1769723</v>
      </c>
      <c r="Q1717">
        <v>-8.3001290000000005E-2</v>
      </c>
      <c r="R1717">
        <v>-0.98070999999999997</v>
      </c>
      <c r="S1717">
        <v>5.8120730000000002E-2</v>
      </c>
      <c r="T1717">
        <v>-0.17846010000000001</v>
      </c>
      <c r="U1717">
        <v>-3.0349430000000002</v>
      </c>
      <c r="V1717">
        <v>0.1062162</v>
      </c>
      <c r="W1717">
        <v>-7.2985480000000005E-2</v>
      </c>
      <c r="X1717">
        <v>0.99166080000000001</v>
      </c>
      <c r="Y1717">
        <v>0.26331890000000002</v>
      </c>
      <c r="Z1717">
        <v>4.347637E-2</v>
      </c>
      <c r="AA1717">
        <v>0.96372869999999999</v>
      </c>
      <c r="AB1717">
        <v>21</v>
      </c>
      <c r="AC1717">
        <v>0.30449999999999</v>
      </c>
      <c r="AD1717">
        <v>-1.1184589408259999</v>
      </c>
      <c r="AE1717">
        <v>-18.803799999999899</v>
      </c>
      <c r="AF1717">
        <v>4.9896804358617404</v>
      </c>
      <c r="AG1717">
        <v>-1.1184589408259999</v>
      </c>
      <c r="AH1717">
        <v>18.063499509831001</v>
      </c>
      <c r="AI1717">
        <v>93.415534222261797</v>
      </c>
      <c r="AJ1717">
        <v>74.558250537253002</v>
      </c>
      <c r="AK1717">
        <v>18.773328841630601</v>
      </c>
      <c r="AL1717">
        <v>94.185481721942296</v>
      </c>
      <c r="AM1717">
        <v>83.886391254219205</v>
      </c>
      <c r="AN1717">
        <v>0.99999995184495405</v>
      </c>
    </row>
    <row r="1718" spans="1:40" x14ac:dyDescent="0.25">
      <c r="A1718" t="str">
        <f>"20190303153807802"</f>
        <v>20190303153807802</v>
      </c>
      <c r="B1718" t="str">
        <f>"1551598687800059"</f>
        <v>1551598687800059</v>
      </c>
      <c r="C1718" t="s">
        <v>40</v>
      </c>
      <c r="D1718">
        <v>4.7897259999999999</v>
      </c>
      <c r="E1718">
        <v>0.56117139999999999</v>
      </c>
      <c r="F1718" t="s">
        <v>42</v>
      </c>
      <c r="G1718">
        <v>-192.5411</v>
      </c>
      <c r="H1718" s="1">
        <v>-2.6664969999999999E-6</v>
      </c>
      <c r="I1718">
        <v>334.22879999999998</v>
      </c>
      <c r="J1718">
        <v>-192.82589999999999</v>
      </c>
      <c r="K1718">
        <v>1.118395</v>
      </c>
      <c r="L1718">
        <v>353.47539999999998</v>
      </c>
      <c r="M1718">
        <v>0.27832119999999999</v>
      </c>
      <c r="N1718">
        <v>-9.8439140000000005E-3</v>
      </c>
      <c r="O1718">
        <v>-0.96043769999999995</v>
      </c>
      <c r="P1718">
        <v>0.174372</v>
      </c>
      <c r="Q1718">
        <v>-8.2346799999999998E-2</v>
      </c>
      <c r="R1718">
        <v>-0.98123079999999996</v>
      </c>
      <c r="S1718">
        <v>5.204773E-2</v>
      </c>
      <c r="T1718">
        <v>-0.17473659999999999</v>
      </c>
      <c r="U1718">
        <v>-3.0348510000000002</v>
      </c>
      <c r="V1718">
        <v>0.10526149999999999</v>
      </c>
      <c r="W1718">
        <v>-7.3119470000000006E-2</v>
      </c>
      <c r="X1718">
        <v>0.99175270000000004</v>
      </c>
      <c r="Y1718">
        <v>0.26174409999999998</v>
      </c>
      <c r="Z1718">
        <v>4.3266730000000003E-2</v>
      </c>
      <c r="AA1718">
        <v>0.964167</v>
      </c>
      <c r="AB1718">
        <v>21</v>
      </c>
      <c r="AC1718">
        <v>0.28479999999998901</v>
      </c>
      <c r="AD1718">
        <v>-1.1183976664969999</v>
      </c>
      <c r="AE1718">
        <v>-19.246600000000001</v>
      </c>
      <c r="AF1718">
        <v>5.0663465565733699</v>
      </c>
      <c r="AG1718">
        <v>-1.1183976664969999</v>
      </c>
      <c r="AH1718">
        <v>18.502860307627</v>
      </c>
      <c r="AI1718">
        <v>93.336488969615004</v>
      </c>
      <c r="AJ1718">
        <v>74.6869304875014</v>
      </c>
      <c r="AK1718">
        <v>19.216516862722202</v>
      </c>
      <c r="AL1718">
        <v>94.193179446600197</v>
      </c>
      <c r="AM1718">
        <v>83.941488709711393</v>
      </c>
      <c r="AN1718">
        <v>0.99999992911630797</v>
      </c>
    </row>
    <row r="1719" spans="1:40" x14ac:dyDescent="0.25">
      <c r="A1719" t="str">
        <f>"20190303153807825"</f>
        <v>20190303153807825</v>
      </c>
      <c r="B1719" t="str">
        <f>"1551598687820556"</f>
        <v>1551598687820556</v>
      </c>
      <c r="C1719" t="s">
        <v>40</v>
      </c>
      <c r="D1719">
        <v>4.8469220000000002</v>
      </c>
      <c r="E1719">
        <v>0.56103669999999894</v>
      </c>
      <c r="F1719" t="s">
        <v>42</v>
      </c>
      <c r="G1719">
        <v>-192.53299999999999</v>
      </c>
      <c r="H1719" s="1">
        <v>-2.432854E-6</v>
      </c>
      <c r="I1719">
        <v>333.6891</v>
      </c>
      <c r="J1719">
        <v>-192.7696</v>
      </c>
      <c r="K1719">
        <v>1.118306</v>
      </c>
      <c r="L1719">
        <v>353.26530000000002</v>
      </c>
      <c r="M1719">
        <v>0.27441270000000001</v>
      </c>
      <c r="N1719">
        <v>-8.8527220000000004E-3</v>
      </c>
      <c r="O1719">
        <v>-0.96157119999999996</v>
      </c>
      <c r="P1719">
        <v>0.17076910000000001</v>
      </c>
      <c r="Q1719">
        <v>-8.3332299999999998E-2</v>
      </c>
      <c r="R1719">
        <v>-0.9817806</v>
      </c>
      <c r="S1719">
        <v>4.4921879999999997E-2</v>
      </c>
      <c r="T1719">
        <v>-0.17155029999999999</v>
      </c>
      <c r="U1719">
        <v>-3.0350039999999998</v>
      </c>
      <c r="V1719">
        <v>0.1048472</v>
      </c>
      <c r="W1719">
        <v>-7.5066629999999995E-2</v>
      </c>
      <c r="X1719">
        <v>0.99165119999999896</v>
      </c>
      <c r="Y1719">
        <v>0.2600923</v>
      </c>
      <c r="Z1719">
        <v>4.3391569999999997E-2</v>
      </c>
      <c r="AA1719">
        <v>0.96460829999999997</v>
      </c>
      <c r="AB1719">
        <v>21</v>
      </c>
      <c r="AC1719">
        <v>0.236600000000009</v>
      </c>
      <c r="AD1719">
        <v>-1.1183084328540001</v>
      </c>
      <c r="AE1719">
        <v>-19.5762</v>
      </c>
      <c r="AF1719">
        <v>5.12792021609941</v>
      </c>
      <c r="AG1719">
        <v>-1.1183084328540001</v>
      </c>
      <c r="AH1719">
        <v>18.8281433384672</v>
      </c>
      <c r="AI1719">
        <v>93.279926465910293</v>
      </c>
      <c r="AJ1719">
        <v>74.764789314293395</v>
      </c>
      <c r="AK1719">
        <v>19.545975572161598</v>
      </c>
      <c r="AL1719">
        <v>94.305050635390401</v>
      </c>
      <c r="AM1719">
        <v>83.964545027221007</v>
      </c>
      <c r="AN1719">
        <v>1.00000001837441</v>
      </c>
    </row>
    <row r="1720" spans="1:40" x14ac:dyDescent="0.25">
      <c r="A1720" t="str">
        <f>"20190303153807848"</f>
        <v>20190303153807848</v>
      </c>
      <c r="B1720" t="str">
        <f>"1551598687840076"</f>
        <v>1551598687840076</v>
      </c>
      <c r="C1720" t="s">
        <v>40</v>
      </c>
      <c r="D1720">
        <v>4.8299909999999997</v>
      </c>
      <c r="E1720">
        <v>0.56083619999999901</v>
      </c>
      <c r="F1720" t="s">
        <v>42</v>
      </c>
      <c r="G1720">
        <v>-192.5454</v>
      </c>
      <c r="H1720" s="1">
        <v>-2.49993E-6</v>
      </c>
      <c r="I1720">
        <v>333.83780000000002</v>
      </c>
      <c r="J1720">
        <v>-192.71090000000001</v>
      </c>
      <c r="K1720">
        <v>1.1182049999999999</v>
      </c>
      <c r="L1720">
        <v>353.04329999999999</v>
      </c>
      <c r="M1720">
        <v>0.27050629999999998</v>
      </c>
      <c r="N1720">
        <v>-7.8168330000000005E-3</v>
      </c>
      <c r="O1720">
        <v>-0.9626865</v>
      </c>
      <c r="P1720">
        <v>0.16649800000000001</v>
      </c>
      <c r="Q1720">
        <v>-8.4005990000000003E-2</v>
      </c>
      <c r="R1720">
        <v>-0.98245700000000002</v>
      </c>
      <c r="S1720">
        <v>3.5034179999999998E-2</v>
      </c>
      <c r="T1720">
        <v>-0.1746924</v>
      </c>
      <c r="U1720">
        <v>-3.0347900000000001</v>
      </c>
      <c r="V1720">
        <v>0.1051195</v>
      </c>
      <c r="W1720">
        <v>-7.6752280000000006E-2</v>
      </c>
      <c r="X1720">
        <v>0.99149330000000002</v>
      </c>
      <c r="Y1720">
        <v>0.25932070000000002</v>
      </c>
      <c r="Z1720">
        <v>4.5479730000000003E-2</v>
      </c>
      <c r="AA1720">
        <v>0.96471980000000002</v>
      </c>
      <c r="AB1720">
        <v>21</v>
      </c>
      <c r="AC1720">
        <v>0.165500000000008</v>
      </c>
      <c r="AD1720">
        <v>-1.11820749992999</v>
      </c>
      <c r="AE1720">
        <v>-19.205499999999901</v>
      </c>
      <c r="AF1720">
        <v>5.0190248515239997</v>
      </c>
      <c r="AG1720">
        <v>-1.11820749992999</v>
      </c>
      <c r="AH1720">
        <v>18.4715969020173</v>
      </c>
      <c r="AI1720">
        <v>93.343332859646907</v>
      </c>
      <c r="AJ1720">
        <v>74.798835761306606</v>
      </c>
      <c r="AK1720">
        <v>19.173963872494699</v>
      </c>
      <c r="AL1720">
        <v>94.40191085763</v>
      </c>
      <c r="AM1720">
        <v>83.948029912390396</v>
      </c>
      <c r="AN1720">
        <v>0.99999999285516905</v>
      </c>
    </row>
    <row r="1721" spans="1:40" x14ac:dyDescent="0.25">
      <c r="A1721" t="str">
        <f>"20190303153807871"</f>
        <v>20190303153807871</v>
      </c>
      <c r="B1721" t="str">
        <f>"1551598687860572"</f>
        <v>1551598687860572</v>
      </c>
      <c r="C1721" t="s">
        <v>40</v>
      </c>
      <c r="D1721">
        <v>4.8327869999999997</v>
      </c>
      <c r="E1721">
        <v>0.56057170000000001</v>
      </c>
      <c r="F1721" t="s">
        <v>42</v>
      </c>
      <c r="G1721">
        <v>-192.56370000000001</v>
      </c>
      <c r="H1721" s="1">
        <v>-2.5223899999999999E-6</v>
      </c>
      <c r="I1721">
        <v>333.87880000000001</v>
      </c>
      <c r="J1721">
        <v>-192.65450000000001</v>
      </c>
      <c r="K1721">
        <v>1.1181140000000001</v>
      </c>
      <c r="L1721">
        <v>352.82780000000002</v>
      </c>
      <c r="M1721">
        <v>0.26692070000000001</v>
      </c>
      <c r="N1721">
        <v>-6.8703729999999999E-3</v>
      </c>
      <c r="O1721">
        <v>-0.96369389999999999</v>
      </c>
      <c r="P1721">
        <v>0.16277</v>
      </c>
      <c r="Q1721">
        <v>-8.3132380000000006E-2</v>
      </c>
      <c r="R1721">
        <v>-0.98315580000000002</v>
      </c>
      <c r="S1721">
        <v>2.3300169999999999E-2</v>
      </c>
      <c r="T1721">
        <v>-0.17705360000000001</v>
      </c>
      <c r="U1721">
        <v>-3.0344540000000002</v>
      </c>
      <c r="V1721">
        <v>0.10521369999999999</v>
      </c>
      <c r="W1721">
        <v>-7.680824E-2</v>
      </c>
      <c r="X1721">
        <v>0.991479</v>
      </c>
      <c r="Y1721">
        <v>0.25946130000000001</v>
      </c>
      <c r="Z1721">
        <v>4.7230319999999999E-2</v>
      </c>
      <c r="AA1721">
        <v>0.96459790000000001</v>
      </c>
      <c r="AB1721">
        <v>22</v>
      </c>
      <c r="AC1721">
        <v>9.0800000000001505E-2</v>
      </c>
      <c r="AD1721">
        <v>-1.11811652239</v>
      </c>
      <c r="AE1721">
        <v>-18.949000000000002</v>
      </c>
      <c r="AF1721">
        <v>4.9532490219107803</v>
      </c>
      <c r="AG1721">
        <v>-1.11811652239</v>
      </c>
      <c r="AH1721">
        <v>18.2222610727515</v>
      </c>
      <c r="AI1721">
        <v>93.388606183635304</v>
      </c>
      <c r="AJ1721">
        <v>74.793059795906501</v>
      </c>
      <c r="AK1721">
        <v>18.9165445849451</v>
      </c>
      <c r="AL1721">
        <v>94.405126511654402</v>
      </c>
      <c r="AM1721">
        <v>83.942560190224398</v>
      </c>
      <c r="AN1721">
        <v>1.0000000179202899</v>
      </c>
    </row>
    <row r="1722" spans="1:40" x14ac:dyDescent="0.25">
      <c r="A1722" t="str">
        <f>"20190303153807892"</f>
        <v>20190303153807892</v>
      </c>
      <c r="B1722" t="str">
        <f>"1551598687880095"</f>
        <v>1551598687880095</v>
      </c>
      <c r="C1722" t="s">
        <v>40</v>
      </c>
      <c r="D1722">
        <v>4.8558879999999904</v>
      </c>
      <c r="E1722">
        <v>0.56023829999999997</v>
      </c>
      <c r="F1722" t="s">
        <v>42</v>
      </c>
      <c r="G1722">
        <v>-192.566</v>
      </c>
      <c r="H1722" s="1">
        <v>-2.309597E-6</v>
      </c>
      <c r="I1722">
        <v>333.38130000000001</v>
      </c>
      <c r="J1722">
        <v>-192.6018</v>
      </c>
      <c r="K1722">
        <v>1.1180380000000001</v>
      </c>
      <c r="L1722">
        <v>352.62380000000002</v>
      </c>
      <c r="M1722">
        <v>0.26365569999999999</v>
      </c>
      <c r="N1722">
        <v>-6.04982E-3</v>
      </c>
      <c r="O1722">
        <v>-0.96459799999999996</v>
      </c>
      <c r="P1722">
        <v>0.15846930000000001</v>
      </c>
      <c r="Q1722">
        <v>-8.1670339999999994E-2</v>
      </c>
      <c r="R1722">
        <v>-0.98398050000000004</v>
      </c>
      <c r="S1722">
        <v>1.3809200000000001E-2</v>
      </c>
      <c r="T1722">
        <v>-0.17446579999999901</v>
      </c>
      <c r="U1722">
        <v>-3.034332</v>
      </c>
      <c r="V1722">
        <v>0.1062241</v>
      </c>
      <c r="W1722">
        <v>-7.6165419999999998E-2</v>
      </c>
      <c r="X1722">
        <v>0.99142079999999999</v>
      </c>
      <c r="Y1722">
        <v>0.25921499999999997</v>
      </c>
      <c r="Z1722">
        <v>4.7339550000000001E-2</v>
      </c>
      <c r="AA1722">
        <v>0.96465880000000004</v>
      </c>
      <c r="AB1722">
        <v>22</v>
      </c>
      <c r="AC1722">
        <v>3.5800000000023098E-2</v>
      </c>
      <c r="AD1722">
        <v>-1.118040309597</v>
      </c>
      <c r="AE1722">
        <v>-19.2425</v>
      </c>
      <c r="AF1722">
        <v>5.02200003036672</v>
      </c>
      <c r="AG1722">
        <v>-1.118040309597</v>
      </c>
      <c r="AH1722">
        <v>18.508570403071602</v>
      </c>
      <c r="AI1722">
        <v>93.336493023527893</v>
      </c>
      <c r="AJ1722">
        <v>74.819222311391101</v>
      </c>
      <c r="AK1722">
        <v>19.210353375311598</v>
      </c>
      <c r="AL1722">
        <v>94.368187653426602</v>
      </c>
      <c r="AM1722">
        <v>83.884471130766997</v>
      </c>
      <c r="AN1722">
        <v>0.99999996664861202</v>
      </c>
    </row>
    <row r="1723" spans="1:40" x14ac:dyDescent="0.25">
      <c r="A1723" t="str">
        <f>"20190303153807914"</f>
        <v>20190303153807914</v>
      </c>
      <c r="B1723" t="str">
        <f>"1551598687910348"</f>
        <v>1551598687910348</v>
      </c>
      <c r="C1723" t="s">
        <v>40</v>
      </c>
      <c r="D1723">
        <v>4.8759230000000002</v>
      </c>
      <c r="E1723">
        <v>0.55074809999999996</v>
      </c>
      <c r="F1723" t="s">
        <v>42</v>
      </c>
      <c r="G1723">
        <v>-192.58150000000001</v>
      </c>
      <c r="H1723" s="1">
        <v>-1.9521969999999998E-6</v>
      </c>
      <c r="I1723">
        <v>332.53859999999997</v>
      </c>
      <c r="J1723">
        <v>-192.54650000000001</v>
      </c>
      <c r="K1723">
        <v>1.117936</v>
      </c>
      <c r="L1723">
        <v>352.40679999999998</v>
      </c>
      <c r="M1723">
        <v>0.26026729999999998</v>
      </c>
      <c r="N1723">
        <v>-5.2630730000000001E-3</v>
      </c>
      <c r="O1723">
        <v>-0.96552229999999994</v>
      </c>
      <c r="P1723">
        <v>0.15354409999999999</v>
      </c>
      <c r="Q1723">
        <v>-8.101245E-2</v>
      </c>
      <c r="R1723">
        <v>-0.98481560000000001</v>
      </c>
      <c r="S1723">
        <v>3.067017E-3</v>
      </c>
      <c r="T1723">
        <v>-0.1689059</v>
      </c>
      <c r="U1723">
        <v>-3.034332</v>
      </c>
      <c r="V1723">
        <v>0.107708</v>
      </c>
      <c r="W1723">
        <v>-7.6305079999999997E-2</v>
      </c>
      <c r="X1723">
        <v>0.99124999999999996</v>
      </c>
      <c r="Y1723">
        <v>0.2592468</v>
      </c>
      <c r="Z1723">
        <v>4.6502149999999999E-2</v>
      </c>
      <c r="AA1723">
        <v>0.96469099999999997</v>
      </c>
      <c r="AB1723">
        <v>22</v>
      </c>
      <c r="AC1723">
        <v>-3.4999999999996499E-2</v>
      </c>
      <c r="AD1723">
        <v>-1.1179379521969901</v>
      </c>
      <c r="AE1723">
        <v>-19.868200000000002</v>
      </c>
      <c r="AF1723">
        <v>5.1884809712811997</v>
      </c>
      <c r="AG1723">
        <v>-1.1179379521969901</v>
      </c>
      <c r="AH1723">
        <v>19.1138303757978</v>
      </c>
      <c r="AI1723">
        <v>93.230675631771604</v>
      </c>
      <c r="AJ1723">
        <v>74.812930677509101</v>
      </c>
      <c r="AK1723">
        <v>19.837051990885101</v>
      </c>
      <c r="AL1723">
        <v>94.376212700856598</v>
      </c>
      <c r="AM1723">
        <v>83.798640953378893</v>
      </c>
      <c r="AN1723">
        <v>1.0000000204988999</v>
      </c>
    </row>
    <row r="1724" spans="1:40" x14ac:dyDescent="0.25">
      <c r="A1724" t="str">
        <f>"20190303153807937"</f>
        <v>20190303153807937</v>
      </c>
      <c r="B1724" t="str">
        <f>"1551598687930844"</f>
        <v>1551598687930844</v>
      </c>
      <c r="C1724" t="s">
        <v>40</v>
      </c>
      <c r="D1724">
        <v>4.9616600000000002</v>
      </c>
      <c r="E1724">
        <v>0.54951049999999901</v>
      </c>
      <c r="F1724" t="s">
        <v>42</v>
      </c>
      <c r="G1724">
        <v>-192.14580000000001</v>
      </c>
      <c r="H1724" s="1">
        <v>-2.0525299999999998E-6</v>
      </c>
      <c r="I1724">
        <v>333.0428</v>
      </c>
      <c r="J1724">
        <v>-192.48929999999999</v>
      </c>
      <c r="K1724">
        <v>1.1178140000000001</v>
      </c>
      <c r="L1724">
        <v>352.17919999999998</v>
      </c>
      <c r="M1724">
        <v>0.25672650000000002</v>
      </c>
      <c r="N1724">
        <v>-4.5322069999999999E-3</v>
      </c>
      <c r="O1724">
        <v>-0.96647360000000004</v>
      </c>
      <c r="P1724">
        <v>0.14851500000000001</v>
      </c>
      <c r="Q1724">
        <v>-8.1113779999999996E-2</v>
      </c>
      <c r="R1724">
        <v>-0.98557810000000001</v>
      </c>
      <c r="S1724">
        <v>6.2545779999999995E-2</v>
      </c>
      <c r="T1724">
        <v>-0.17447670000000001</v>
      </c>
      <c r="U1724">
        <v>-3.0221559999999998</v>
      </c>
      <c r="V1724">
        <v>0.1091128</v>
      </c>
      <c r="W1724">
        <v>-7.7158210000000005E-2</v>
      </c>
      <c r="X1724">
        <v>0.99103030000000003</v>
      </c>
      <c r="Y1724">
        <v>0.23666239999999999</v>
      </c>
      <c r="Z1724">
        <v>4.9405709999999999E-2</v>
      </c>
      <c r="AA1724">
        <v>0.97033499999999995</v>
      </c>
      <c r="AB1724">
        <v>22</v>
      </c>
      <c r="AC1724">
        <v>0.34349999999997699</v>
      </c>
      <c r="AD1724">
        <v>-1.1178160525299901</v>
      </c>
      <c r="AE1724">
        <v>-19.136399999999899</v>
      </c>
      <c r="AF1724">
        <v>4.5653115475843302</v>
      </c>
      <c r="AG1724">
        <v>-1.1178160525299901</v>
      </c>
      <c r="AH1724">
        <v>18.520027822496999</v>
      </c>
      <c r="AI1724">
        <v>93.353862124623703</v>
      </c>
      <c r="AJ1724">
        <v>76.1522867896675</v>
      </c>
      <c r="AK1724">
        <v>19.107145595296601</v>
      </c>
      <c r="AL1724">
        <v>94.425237971454806</v>
      </c>
      <c r="AM1724">
        <v>83.717019702384903</v>
      </c>
      <c r="AN1724">
        <v>1.0000000240061599</v>
      </c>
    </row>
    <row r="1725" spans="1:40" x14ac:dyDescent="0.25">
      <c r="A1725" t="str">
        <f>"20190303153807963"</f>
        <v>20190303153807963</v>
      </c>
      <c r="B1725" t="str">
        <f>"1551598687950365"</f>
        <v>1551598687950365</v>
      </c>
      <c r="C1725" t="s">
        <v>40</v>
      </c>
      <c r="D1725">
        <v>4.9362360000000001</v>
      </c>
      <c r="E1725">
        <v>0.54861289999999996</v>
      </c>
      <c r="F1725" t="s">
        <v>42</v>
      </c>
      <c r="G1725">
        <v>-192.1437</v>
      </c>
      <c r="H1725" s="1">
        <v>-2.3531559999999998E-6</v>
      </c>
      <c r="I1725">
        <v>333.7448</v>
      </c>
      <c r="J1725">
        <v>-192.42840000000001</v>
      </c>
      <c r="K1725">
        <v>1.1176699999999999</v>
      </c>
      <c r="L1725">
        <v>351.93270000000001</v>
      </c>
      <c r="M1725">
        <v>0.25282929999999998</v>
      </c>
      <c r="N1725">
        <v>-3.844259E-3</v>
      </c>
      <c r="O1725">
        <v>-0.96750340000000001</v>
      </c>
      <c r="P1725">
        <v>0.1422254</v>
      </c>
      <c r="Q1725">
        <v>-8.0298510000000003E-2</v>
      </c>
      <c r="R1725">
        <v>-0.9865718</v>
      </c>
      <c r="S1725">
        <v>5.6625370000000001E-2</v>
      </c>
      <c r="T1725">
        <v>-0.1831412</v>
      </c>
      <c r="U1725">
        <v>-3.0202640000000001</v>
      </c>
      <c r="V1725">
        <v>0.1114344</v>
      </c>
      <c r="W1725">
        <v>-7.7067590000000005E-2</v>
      </c>
      <c r="X1725">
        <v>0.99077899999999997</v>
      </c>
      <c r="Y1725">
        <v>0.23464160000000001</v>
      </c>
      <c r="Z1725">
        <v>5.2902589999999999E-2</v>
      </c>
      <c r="AA1725">
        <v>0.97064139999999999</v>
      </c>
      <c r="AB1725">
        <v>23</v>
      </c>
      <c r="AC1725">
        <v>0.284700000000015</v>
      </c>
      <c r="AD1725">
        <v>-1.117672353156</v>
      </c>
      <c r="AE1725">
        <v>-18.187899999999999</v>
      </c>
      <c r="AF1725">
        <v>4.3067576561124197</v>
      </c>
      <c r="AG1725">
        <v>-1.117672353156</v>
      </c>
      <c r="AH1725">
        <v>17.602508160548702</v>
      </c>
      <c r="AI1725">
        <v>93.529296482997907</v>
      </c>
      <c r="AJ1725">
        <v>76.251685081171701</v>
      </c>
      <c r="AK1725">
        <v>18.156146246923601</v>
      </c>
      <c r="AL1725">
        <v>94.420030282240802</v>
      </c>
      <c r="AM1725">
        <v>83.582825813156802</v>
      </c>
      <c r="AN1725">
        <v>1.0000000328863801</v>
      </c>
    </row>
    <row r="1726" spans="1:40" x14ac:dyDescent="0.25">
      <c r="A1726" t="str">
        <f>"20190303153807984"</f>
        <v>20190303153807984</v>
      </c>
      <c r="B1726" t="str">
        <f>"1551598687980620"</f>
        <v>1551598687980620</v>
      </c>
      <c r="C1726" t="s">
        <v>40</v>
      </c>
      <c r="D1726">
        <v>4.9647519999999998</v>
      </c>
      <c r="E1726">
        <v>0.54736430000000003</v>
      </c>
      <c r="F1726" t="s">
        <v>42</v>
      </c>
      <c r="G1726">
        <v>-192.16309999999999</v>
      </c>
      <c r="H1726" s="1">
        <v>-2.3927640000000001E-6</v>
      </c>
      <c r="I1726">
        <v>333.82510000000002</v>
      </c>
      <c r="J1726">
        <v>-192.374</v>
      </c>
      <c r="K1726">
        <v>1.1175280000000001</v>
      </c>
      <c r="L1726">
        <v>351.70859999999999</v>
      </c>
      <c r="M1726">
        <v>0.24917710000000001</v>
      </c>
      <c r="N1726">
        <v>-3.3043130000000001E-3</v>
      </c>
      <c r="O1726">
        <v>-0.96845250000000005</v>
      </c>
      <c r="P1726">
        <v>0.13646220000000001</v>
      </c>
      <c r="Q1726">
        <v>-7.616299E-2</v>
      </c>
      <c r="R1726">
        <v>-0.98771359999999997</v>
      </c>
      <c r="S1726">
        <v>4.423523E-2</v>
      </c>
      <c r="T1726">
        <v>-0.18636159999999999</v>
      </c>
      <c r="U1726">
        <v>-3.0192869999999998</v>
      </c>
      <c r="V1726">
        <v>0.1135587</v>
      </c>
      <c r="W1726">
        <v>-7.3511469999999995E-2</v>
      </c>
      <c r="X1726">
        <v>0.99080800000000002</v>
      </c>
      <c r="Y1726">
        <v>0.23495460000000001</v>
      </c>
      <c r="Z1726">
        <v>5.4537700000000001E-2</v>
      </c>
      <c r="AA1726">
        <v>0.97047510000000003</v>
      </c>
      <c r="AB1726">
        <v>23</v>
      </c>
      <c r="AC1726">
        <v>0.210900000000037</v>
      </c>
      <c r="AD1726">
        <v>-1.1175303927639999</v>
      </c>
      <c r="AE1726">
        <v>-17.883499999999898</v>
      </c>
      <c r="AF1726">
        <v>4.2353977709711197</v>
      </c>
      <c r="AG1726">
        <v>-1.1175303927639999</v>
      </c>
      <c r="AH1726">
        <v>17.304400045047199</v>
      </c>
      <c r="AI1726">
        <v>93.5894089458221</v>
      </c>
      <c r="AJ1726">
        <v>76.246757277802004</v>
      </c>
      <c r="AK1726">
        <v>17.850202502384299</v>
      </c>
      <c r="AL1726">
        <v>94.215699686184294</v>
      </c>
      <c r="AM1726">
        <v>83.461732976364303</v>
      </c>
      <c r="AN1726">
        <v>1.00000000371562</v>
      </c>
    </row>
    <row r="1727" spans="1:40" x14ac:dyDescent="0.25">
      <c r="A1727" t="str">
        <f>"20190303153808006"</f>
        <v>20190303153808006</v>
      </c>
      <c r="B1727" t="str">
        <f>"1551598688000647"</f>
        <v>1551598688000647</v>
      </c>
      <c r="C1727" t="s">
        <v>40</v>
      </c>
      <c r="D1727">
        <v>4.9722780000000002</v>
      </c>
      <c r="E1727">
        <v>0.54627689999999995</v>
      </c>
      <c r="F1727" t="s">
        <v>42</v>
      </c>
      <c r="G1727">
        <v>-192.14109999999999</v>
      </c>
      <c r="H1727" s="1">
        <v>-1.80162E-6</v>
      </c>
      <c r="I1727">
        <v>332.46080000000001</v>
      </c>
      <c r="J1727">
        <v>-192.3218</v>
      </c>
      <c r="K1727">
        <v>1.1173919999999999</v>
      </c>
      <c r="L1727">
        <v>351.49</v>
      </c>
      <c r="M1727">
        <v>0.24549840000000001</v>
      </c>
      <c r="N1727">
        <v>-2.8481909999999999E-3</v>
      </c>
      <c r="O1727">
        <v>-0.96939280000000005</v>
      </c>
      <c r="P1727">
        <v>0.13149829999999901</v>
      </c>
      <c r="Q1727">
        <v>-7.0867609999999998E-2</v>
      </c>
      <c r="R1727">
        <v>-0.98878010000000005</v>
      </c>
      <c r="S1727">
        <v>3.6529539999999999E-2</v>
      </c>
      <c r="T1727">
        <v>-0.17527039999999999</v>
      </c>
      <c r="U1727">
        <v>-3.0187680000000001</v>
      </c>
      <c r="V1727">
        <v>0.1148759</v>
      </c>
      <c r="W1727">
        <v>-6.8709999999999993E-2</v>
      </c>
      <c r="X1727">
        <v>0.99100069999999996</v>
      </c>
      <c r="Y1727">
        <v>0.23374210000000001</v>
      </c>
      <c r="Z1727">
        <v>5.1660579999999998E-2</v>
      </c>
      <c r="AA1727">
        <v>0.97092529999999999</v>
      </c>
      <c r="AB1727">
        <v>23</v>
      </c>
      <c r="AC1727">
        <v>0.180700000000001</v>
      </c>
      <c r="AD1727">
        <v>-1.11739380162</v>
      </c>
      <c r="AE1727">
        <v>-19.029199999999999</v>
      </c>
      <c r="AF1727">
        <v>4.4810377890931399</v>
      </c>
      <c r="AG1727">
        <v>-1.11739380162</v>
      </c>
      <c r="AH1727">
        <v>18.4276727421807</v>
      </c>
      <c r="AI1727">
        <v>93.371954682860505</v>
      </c>
      <c r="AJ1727">
        <v>76.332711963142401</v>
      </c>
      <c r="AK1727">
        <v>18.997562771789699</v>
      </c>
      <c r="AL1727">
        <v>93.939897401943995</v>
      </c>
      <c r="AM1727">
        <v>83.387836356817303</v>
      </c>
      <c r="AN1727">
        <v>0.999999961950649</v>
      </c>
    </row>
    <row r="1728" spans="1:40" x14ac:dyDescent="0.25">
      <c r="A1728" t="str">
        <f>"20190303153808028"</f>
        <v>20190303153808028</v>
      </c>
      <c r="B1728" t="str">
        <f>"1551598688020168"</f>
        <v>1551598688020168</v>
      </c>
      <c r="C1728" t="s">
        <v>40</v>
      </c>
      <c r="D1728">
        <v>4.953881</v>
      </c>
      <c r="E1728">
        <v>0.54542049999999997</v>
      </c>
      <c r="F1728" t="s">
        <v>42</v>
      </c>
      <c r="G1728">
        <v>-192.11609999999999</v>
      </c>
      <c r="H1728" s="1">
        <v>-9.6596360000000004E-7</v>
      </c>
      <c r="I1728">
        <v>330.5283</v>
      </c>
      <c r="J1728">
        <v>-192.26599999999999</v>
      </c>
      <c r="K1728">
        <v>1.1172310000000001</v>
      </c>
      <c r="L1728">
        <v>351.2516</v>
      </c>
      <c r="M1728">
        <v>0.24135519999999999</v>
      </c>
      <c r="N1728">
        <v>-2.4178540000000001E-3</v>
      </c>
      <c r="O1728">
        <v>-0.97043380000000001</v>
      </c>
      <c r="P1728">
        <v>0.1263997</v>
      </c>
      <c r="Q1728">
        <v>-6.841622E-2</v>
      </c>
      <c r="R1728">
        <v>-0.98961730000000003</v>
      </c>
      <c r="S1728">
        <v>2.9617310000000001E-2</v>
      </c>
      <c r="T1728">
        <v>-0.16090679999999999</v>
      </c>
      <c r="U1728">
        <v>-3.0185240000000002</v>
      </c>
      <c r="V1728">
        <v>0.115781</v>
      </c>
      <c r="W1728">
        <v>-6.6729739999999996E-2</v>
      </c>
      <c r="X1728">
        <v>0.99103079999999999</v>
      </c>
      <c r="Y1728">
        <v>0.23181389999999999</v>
      </c>
      <c r="Z1728">
        <v>4.7734539999999999E-2</v>
      </c>
      <c r="AA1728">
        <v>0.97158829999999996</v>
      </c>
      <c r="AB1728">
        <v>23</v>
      </c>
      <c r="AC1728">
        <v>0.149900000000002</v>
      </c>
      <c r="AD1728">
        <v>-1.1172319659636001</v>
      </c>
      <c r="AE1728">
        <v>-20.723299999999899</v>
      </c>
      <c r="AF1728">
        <v>4.8421496084738003</v>
      </c>
      <c r="AG1728">
        <v>-1.1172319659636001</v>
      </c>
      <c r="AH1728">
        <v>20.0884456007518</v>
      </c>
      <c r="AI1728">
        <v>93.094806045489307</v>
      </c>
      <c r="AJ1728">
        <v>76.447855034626301</v>
      </c>
      <c r="AK1728">
        <v>20.693966916736301</v>
      </c>
      <c r="AL1728">
        <v>93.826175353084906</v>
      </c>
      <c r="AM1728">
        <v>83.336406840719107</v>
      </c>
      <c r="AN1728">
        <v>1.00000007235505</v>
      </c>
    </row>
    <row r="1729" spans="1:40" x14ac:dyDescent="0.25">
      <c r="A1729" t="str">
        <f>"20190303153808050"</f>
        <v>20190303153808050</v>
      </c>
      <c r="B1729" t="str">
        <f>"1551598688040663"</f>
        <v>1551598688040663</v>
      </c>
      <c r="C1729" t="s">
        <v>40</v>
      </c>
      <c r="D1729">
        <v>4.8718089999999998</v>
      </c>
      <c r="E1729">
        <v>0.5450914</v>
      </c>
      <c r="F1729" t="s">
        <v>42</v>
      </c>
      <c r="G1729">
        <v>-192.11429999999999</v>
      </c>
      <c r="H1729" s="1">
        <v>-4.6148890000000004E-6</v>
      </c>
      <c r="I1729">
        <v>329.44580000000002</v>
      </c>
      <c r="J1729">
        <v>-192.2133</v>
      </c>
      <c r="K1729">
        <v>1.117065</v>
      </c>
      <c r="L1729">
        <v>351.02140000000003</v>
      </c>
      <c r="M1729">
        <v>0.2372155</v>
      </c>
      <c r="N1729">
        <v>-2.0646480000000001E-3</v>
      </c>
      <c r="O1729">
        <v>-0.97145499999999996</v>
      </c>
      <c r="P1729">
        <v>0.1218016</v>
      </c>
      <c r="Q1729">
        <v>-6.9748619999999997E-2</v>
      </c>
      <c r="R1729">
        <v>-0.99010100000000001</v>
      </c>
      <c r="S1729">
        <v>2.0996089999999999E-2</v>
      </c>
      <c r="T1729">
        <v>-0.154632399999999</v>
      </c>
      <c r="U1729">
        <v>-3.0180660000000001</v>
      </c>
      <c r="V1729">
        <v>0.11610379999999999</v>
      </c>
      <c r="W1729">
        <v>-6.8452970000000002E-2</v>
      </c>
      <c r="X1729">
        <v>0.99087539999999996</v>
      </c>
      <c r="Y1729">
        <v>0.2304428</v>
      </c>
      <c r="Z1729">
        <v>4.622983E-2</v>
      </c>
      <c r="AA1729">
        <v>0.97198709999999999</v>
      </c>
      <c r="AB1729">
        <v>23</v>
      </c>
      <c r="AC1729">
        <v>9.9000000000017893E-2</v>
      </c>
      <c r="AD1729">
        <v>-1.117069614889</v>
      </c>
      <c r="AE1729">
        <v>-21.575600000000001</v>
      </c>
      <c r="AF1729">
        <v>5.0084771895655296</v>
      </c>
      <c r="AG1729">
        <v>-1.117069614889</v>
      </c>
      <c r="AH1729">
        <v>20.927154191970999</v>
      </c>
      <c r="AI1729">
        <v>92.971723052950793</v>
      </c>
      <c r="AJ1729">
        <v>76.540617899238597</v>
      </c>
      <c r="AK1729">
        <v>21.547122101511299</v>
      </c>
      <c r="AL1729">
        <v>93.925135840903394</v>
      </c>
      <c r="AM1729">
        <v>83.316957894213104</v>
      </c>
      <c r="AN1729">
        <v>0.99999997990070999</v>
      </c>
    </row>
    <row r="1730" spans="1:40" x14ac:dyDescent="0.25">
      <c r="A1730" t="str">
        <f>"20190303153808071"</f>
        <v>20190303153808071</v>
      </c>
      <c r="B1730" t="str">
        <f>"1551598688060187"</f>
        <v>1551598688060187</v>
      </c>
      <c r="C1730" t="s">
        <v>40</v>
      </c>
      <c r="D1730">
        <v>4.9796940000000003</v>
      </c>
      <c r="E1730">
        <v>0.54401239999999995</v>
      </c>
      <c r="F1730" t="s">
        <v>42</v>
      </c>
      <c r="G1730">
        <v>-192.1465</v>
      </c>
      <c r="H1730" s="1">
        <v>-6.885292E-7</v>
      </c>
      <c r="I1730">
        <v>329.86279999999999</v>
      </c>
      <c r="J1730">
        <v>-192.1626</v>
      </c>
      <c r="K1730">
        <v>1.116897</v>
      </c>
      <c r="L1730">
        <v>350.7953</v>
      </c>
      <c r="M1730">
        <v>0.23303219999999999</v>
      </c>
      <c r="N1730">
        <v>-1.7685960000000001E-3</v>
      </c>
      <c r="O1730">
        <v>-0.97246739999999998</v>
      </c>
      <c r="P1730">
        <v>0.1170166</v>
      </c>
      <c r="Q1730">
        <v>-7.2364520000000002E-2</v>
      </c>
      <c r="R1730">
        <v>-0.99049010000000004</v>
      </c>
      <c r="S1730">
        <v>9.5214840000000002E-3</v>
      </c>
      <c r="T1730">
        <v>-0.1593127</v>
      </c>
      <c r="U1730">
        <v>-3.0175779999999999</v>
      </c>
      <c r="V1730">
        <v>0.11654050000000001</v>
      </c>
      <c r="W1730">
        <v>-7.1403540000000001E-2</v>
      </c>
      <c r="X1730">
        <v>0.99061589999999999</v>
      </c>
      <c r="Y1730">
        <v>0.22995099999999999</v>
      </c>
      <c r="Z1730">
        <v>4.8073449999999997E-2</v>
      </c>
      <c r="AA1730">
        <v>0.97201409999999999</v>
      </c>
      <c r="AB1730">
        <v>24</v>
      </c>
      <c r="AC1730">
        <v>1.60999999999944E-2</v>
      </c>
      <c r="AD1730">
        <v>-1.1168976885291999</v>
      </c>
      <c r="AE1730">
        <v>-20.932500000000001</v>
      </c>
      <c r="AF1730">
        <v>4.8484938964198996</v>
      </c>
      <c r="AG1730">
        <v>-1.1168976885291999</v>
      </c>
      <c r="AH1730">
        <v>20.302157907105901</v>
      </c>
      <c r="AI1730">
        <v>93.062918830033993</v>
      </c>
      <c r="AJ1730">
        <v>76.568390745986804</v>
      </c>
      <c r="AK1730">
        <v>20.902941639762702</v>
      </c>
      <c r="AL1730">
        <v>94.094605860753802</v>
      </c>
      <c r="AM1730">
        <v>83.290308499285999</v>
      </c>
      <c r="AN1730">
        <v>1.00000000749879</v>
      </c>
    </row>
    <row r="1731" spans="1:40" x14ac:dyDescent="0.25">
      <c r="A1731" t="str">
        <f>"20190303153808093"</f>
        <v>20190303153808093</v>
      </c>
      <c r="B1731" t="str">
        <f>"1551598688090439"</f>
        <v>1551598688090439</v>
      </c>
      <c r="C1731" t="s">
        <v>40</v>
      </c>
      <c r="D1731">
        <v>4.980626</v>
      </c>
      <c r="E1731">
        <v>0.54303800000000002</v>
      </c>
      <c r="F1731" t="s">
        <v>42</v>
      </c>
      <c r="G1731">
        <v>-192.1395</v>
      </c>
      <c r="H1731" s="1">
        <v>-1.115945E-6</v>
      </c>
      <c r="I1731">
        <v>330.86340000000001</v>
      </c>
      <c r="J1731">
        <v>-192.11250000000001</v>
      </c>
      <c r="K1731">
        <v>1.1167419999999999</v>
      </c>
      <c r="L1731">
        <v>350.56670000000003</v>
      </c>
      <c r="M1731">
        <v>0.2287035</v>
      </c>
      <c r="N1731">
        <v>-1.5099860000000001E-3</v>
      </c>
      <c r="O1731">
        <v>-0.97349490000000005</v>
      </c>
      <c r="P1731">
        <v>0.1137953</v>
      </c>
      <c r="Q1731">
        <v>-7.3536389999999993E-2</v>
      </c>
      <c r="R1731">
        <v>-0.99077899999999997</v>
      </c>
      <c r="S1731">
        <v>3.4942630000000001E-3</v>
      </c>
      <c r="T1731">
        <v>-0.1690063</v>
      </c>
      <c r="U1731">
        <v>-3.0160520000000002</v>
      </c>
      <c r="V1731">
        <v>0.1153025</v>
      </c>
      <c r="W1731">
        <v>-7.2859160000000006E-2</v>
      </c>
      <c r="X1731">
        <v>0.99065479999999995</v>
      </c>
      <c r="Y1731">
        <v>0.2275626</v>
      </c>
      <c r="Z1731">
        <v>5.148341E-2</v>
      </c>
      <c r="AA1731">
        <v>0.97240150000000003</v>
      </c>
      <c r="AB1731">
        <v>24</v>
      </c>
      <c r="AC1731">
        <v>-2.6999999999986798E-2</v>
      </c>
      <c r="AD1731">
        <v>-1.1167431159450001</v>
      </c>
      <c r="AE1731">
        <v>-19.703299999999999</v>
      </c>
      <c r="AF1731">
        <v>4.5179899168867896</v>
      </c>
      <c r="AG1731">
        <v>-1.1167431159450001</v>
      </c>
      <c r="AH1731">
        <v>19.113509986480299</v>
      </c>
      <c r="AI1731">
        <v>93.254333416684901</v>
      </c>
      <c r="AJ1731">
        <v>76.700716523297004</v>
      </c>
      <c r="AK1731">
        <v>19.671949879953001</v>
      </c>
      <c r="AL1731">
        <v>94.1782244783236</v>
      </c>
      <c r="AM1731">
        <v>83.361203702149197</v>
      </c>
      <c r="AN1731">
        <v>1.00000002823259</v>
      </c>
    </row>
    <row r="1732" spans="1:40" x14ac:dyDescent="0.25">
      <c r="A1732" t="str">
        <f>"20190303153808115"</f>
        <v>20190303153808115</v>
      </c>
      <c r="B1732" t="str">
        <f>"1551598688110467"</f>
        <v>1551598688110467</v>
      </c>
      <c r="C1732" t="s">
        <v>40</v>
      </c>
      <c r="D1732">
        <v>4.9655060000000004</v>
      </c>
      <c r="E1732">
        <v>0.54253459999999998</v>
      </c>
      <c r="F1732" t="s">
        <v>42</v>
      </c>
      <c r="G1732">
        <v>-192.10390000000001</v>
      </c>
      <c r="H1732" s="1">
        <v>-1.248939E-6</v>
      </c>
      <c r="I1732">
        <v>331.19549999999998</v>
      </c>
      <c r="J1732">
        <v>-192.06110000000001</v>
      </c>
      <c r="K1732">
        <v>1.1165879999999999</v>
      </c>
      <c r="L1732">
        <v>350.32670000000002</v>
      </c>
      <c r="M1732">
        <v>0.22406980000000001</v>
      </c>
      <c r="N1732">
        <v>-1.277589E-3</v>
      </c>
      <c r="O1732">
        <v>-0.97457240000000001</v>
      </c>
      <c r="P1732">
        <v>0.1115792</v>
      </c>
      <c r="Q1732">
        <v>-7.1916250000000001E-2</v>
      </c>
      <c r="R1732">
        <v>-0.99114979999999997</v>
      </c>
      <c r="S1732">
        <v>1.327515E-3</v>
      </c>
      <c r="T1732">
        <v>-0.17380799999999999</v>
      </c>
      <c r="U1732">
        <v>-3.0148929999999998</v>
      </c>
      <c r="V1732">
        <v>0.112819</v>
      </c>
      <c r="W1732">
        <v>-7.1486670000000002E-2</v>
      </c>
      <c r="X1732">
        <v>0.99104060000000005</v>
      </c>
      <c r="Y1732">
        <v>0.2236281</v>
      </c>
      <c r="Z1732">
        <v>5.3356099999999997E-2</v>
      </c>
      <c r="AA1732">
        <v>0.97321299999999999</v>
      </c>
      <c r="AB1732">
        <v>24</v>
      </c>
      <c r="AC1732">
        <v>-4.2799999999999699E-2</v>
      </c>
      <c r="AD1732">
        <v>-1.1165892489389999</v>
      </c>
      <c r="AE1732">
        <v>-19.1312</v>
      </c>
      <c r="AF1732">
        <v>4.31374430821558</v>
      </c>
      <c r="AG1732">
        <v>-1.1165892489389999</v>
      </c>
      <c r="AH1732">
        <v>18.571898011293399</v>
      </c>
      <c r="AI1732">
        <v>93.351613236717697</v>
      </c>
      <c r="AJ1732">
        <v>76.923624989659899</v>
      </c>
      <c r="AK1732">
        <v>19.098967439351</v>
      </c>
      <c r="AL1732">
        <v>94.099381212443106</v>
      </c>
      <c r="AM1732">
        <v>83.505468417752496</v>
      </c>
      <c r="AN1732">
        <v>0.99999997079852398</v>
      </c>
    </row>
    <row r="1733" spans="1:40" x14ac:dyDescent="0.25">
      <c r="A1733" t="str">
        <f>"20190303153808139"</f>
        <v>20190303153808139</v>
      </c>
      <c r="B1733" t="str">
        <f>"1551598688129987"</f>
        <v>1551598688129987</v>
      </c>
      <c r="C1733" t="s">
        <v>40</v>
      </c>
      <c r="D1733">
        <v>4.9379489999999997</v>
      </c>
      <c r="E1733">
        <v>0.55626690000000001</v>
      </c>
      <c r="F1733" t="s">
        <v>42</v>
      </c>
      <c r="G1733">
        <v>-192.0694</v>
      </c>
      <c r="H1733" s="1">
        <v>-8.517898E-7</v>
      </c>
      <c r="I1733">
        <v>330.2912</v>
      </c>
      <c r="J1733">
        <v>-192.00649999999999</v>
      </c>
      <c r="K1733">
        <v>1.1164190000000001</v>
      </c>
      <c r="L1733">
        <v>350.06509999999997</v>
      </c>
      <c r="M1733">
        <v>0.2189141</v>
      </c>
      <c r="N1733">
        <v>-1.063587E-3</v>
      </c>
      <c r="O1733">
        <v>-0.97574369999999999</v>
      </c>
      <c r="P1733">
        <v>0.10895630000000001</v>
      </c>
      <c r="Q1733">
        <v>-7.0048550000000001E-2</v>
      </c>
      <c r="R1733">
        <v>-0.99157580000000001</v>
      </c>
      <c r="S1733">
        <v>-1.2512210000000001E-3</v>
      </c>
      <c r="T1733">
        <v>-0.16801289999999999</v>
      </c>
      <c r="U1733">
        <v>-3.0147400000000002</v>
      </c>
      <c r="V1733">
        <v>0.1102196</v>
      </c>
      <c r="W1733">
        <v>-6.9848519999999997E-2</v>
      </c>
      <c r="X1733">
        <v>0.99144980000000005</v>
      </c>
      <c r="Y1733">
        <v>0.21930769999999999</v>
      </c>
      <c r="Z1733">
        <v>5.1881249999999997E-2</v>
      </c>
      <c r="AA1733">
        <v>0.97427540000000001</v>
      </c>
      <c r="AB1733">
        <v>25</v>
      </c>
      <c r="AC1733">
        <v>-6.2900000000013195E-2</v>
      </c>
      <c r="AD1733">
        <v>-1.1164198517898001</v>
      </c>
      <c r="AE1733">
        <v>-19.773899999999902</v>
      </c>
      <c r="AF1733">
        <v>4.3762119791069498</v>
      </c>
      <c r="AG1733">
        <v>-1.1164198517898001</v>
      </c>
      <c r="AH1733">
        <v>19.219233293157799</v>
      </c>
      <c r="AI1733">
        <v>93.2417092295412</v>
      </c>
      <c r="AJ1733">
        <v>77.1724786558175</v>
      </c>
      <c r="AK1733">
        <v>19.742759506927499</v>
      </c>
      <c r="AL1733">
        <v>94.0052869941957</v>
      </c>
      <c r="AM1733">
        <v>83.656468160767702</v>
      </c>
      <c r="AN1733">
        <v>0.99999994094519296</v>
      </c>
    </row>
    <row r="1734" spans="1:40" x14ac:dyDescent="0.25">
      <c r="A1734" t="str">
        <f>"20190303153808162"</f>
        <v>20190303153808162</v>
      </c>
      <c r="B1734" t="str">
        <f>"1551598688150487"</f>
        <v>1551598688150487</v>
      </c>
      <c r="C1734" t="s">
        <v>40</v>
      </c>
      <c r="D1734">
        <v>4.9360379999999999</v>
      </c>
      <c r="E1734">
        <v>0.5551104</v>
      </c>
      <c r="F1734" t="s">
        <v>42</v>
      </c>
      <c r="G1734">
        <v>-193.90199999999999</v>
      </c>
      <c r="H1734" s="1">
        <v>-1.385725E-6</v>
      </c>
      <c r="I1734">
        <v>300.39909999999998</v>
      </c>
      <c r="J1734">
        <v>-191.9564</v>
      </c>
      <c r="K1734">
        <v>1.1162650000000001</v>
      </c>
      <c r="L1734">
        <v>349.81849999999997</v>
      </c>
      <c r="M1734">
        <v>0.21395929999999999</v>
      </c>
      <c r="N1734">
        <v>-8.9430800000000002E-4</v>
      </c>
      <c r="O1734">
        <v>-0.97684219999999999</v>
      </c>
      <c r="P1734">
        <v>0.1053188</v>
      </c>
      <c r="Q1734">
        <v>-7.0598069999999999E-2</v>
      </c>
      <c r="R1734">
        <v>-0.99192939999999996</v>
      </c>
      <c r="S1734">
        <v>-0.11576839999999999</v>
      </c>
      <c r="T1734">
        <v>-6.8185570000000001E-2</v>
      </c>
      <c r="U1734">
        <v>-3.0333559999999999</v>
      </c>
      <c r="V1734">
        <v>0.1087881</v>
      </c>
      <c r="W1734">
        <v>-7.0589230000000003E-2</v>
      </c>
      <c r="X1734">
        <v>0.99155550000000003</v>
      </c>
      <c r="Y1734">
        <v>0.2510462</v>
      </c>
      <c r="Z1734">
        <v>2.0425869999999999E-2</v>
      </c>
      <c r="AA1734">
        <v>0.96775949999999999</v>
      </c>
      <c r="AB1734">
        <v>25</v>
      </c>
      <c r="AC1734">
        <v>-1.94560000000001</v>
      </c>
      <c r="AD1734">
        <v>-1.1162663857249999</v>
      </c>
      <c r="AE1734">
        <v>-49.419400000000003</v>
      </c>
      <c r="AF1734">
        <v>12.467937692145799</v>
      </c>
      <c r="AG1734">
        <v>-1.1162663857249999</v>
      </c>
      <c r="AH1734">
        <v>47.8343264518209</v>
      </c>
      <c r="AI1734">
        <v>91.293612140821196</v>
      </c>
      <c r="AJ1734">
        <v>75.390994399652598</v>
      </c>
      <c r="AK1734">
        <v>49.445103984504897</v>
      </c>
      <c r="AL1734">
        <v>94.047831332445895</v>
      </c>
      <c r="AM1734">
        <v>83.738859590210396</v>
      </c>
      <c r="AN1734">
        <v>0.999999999836926</v>
      </c>
    </row>
    <row r="1735" spans="1:40" x14ac:dyDescent="0.25">
      <c r="A1735" t="str">
        <f>"20190303153808184"</f>
        <v>20190303153808184</v>
      </c>
      <c r="B1735" t="str">
        <f>"1551598688180739"</f>
        <v>1551598688180739</v>
      </c>
      <c r="C1735" t="s">
        <v>40</v>
      </c>
      <c r="D1735">
        <v>4.9105059999999998</v>
      </c>
      <c r="E1735">
        <v>0.55349950000000003</v>
      </c>
      <c r="F1735" t="s">
        <v>42</v>
      </c>
      <c r="G1735">
        <v>-193.76580000000001</v>
      </c>
      <c r="H1735" s="1">
        <v>-2.611226E-6</v>
      </c>
      <c r="I1735">
        <v>303.34030000000001</v>
      </c>
      <c r="J1735">
        <v>-191.90559999999999</v>
      </c>
      <c r="K1735">
        <v>1.116109</v>
      </c>
      <c r="L1735">
        <v>349.56079999999997</v>
      </c>
      <c r="M1735">
        <v>0.20868030000000001</v>
      </c>
      <c r="N1735">
        <v>-7.4653770000000005E-4</v>
      </c>
      <c r="O1735">
        <v>-0.97798370000000001</v>
      </c>
      <c r="P1735">
        <v>0.1007238</v>
      </c>
      <c r="Q1735">
        <v>-7.1298899999999998E-2</v>
      </c>
      <c r="R1735">
        <v>-0.99235640000000003</v>
      </c>
      <c r="S1735">
        <v>-0.1180267</v>
      </c>
      <c r="T1735">
        <v>-7.2814699999999996E-2</v>
      </c>
      <c r="U1735">
        <v>-3.0317989999999999</v>
      </c>
      <c r="V1735">
        <v>0.10798430000000001</v>
      </c>
      <c r="W1735">
        <v>-7.1465580000000001E-2</v>
      </c>
      <c r="X1735">
        <v>0.99158060000000003</v>
      </c>
      <c r="Y1735">
        <v>0.2465532</v>
      </c>
      <c r="Z1735">
        <v>2.2087490000000001E-2</v>
      </c>
      <c r="AA1735">
        <v>0.96887760000000001</v>
      </c>
      <c r="AB1735">
        <v>25</v>
      </c>
      <c r="AC1735">
        <v>-1.8602000000000201</v>
      </c>
      <c r="AD1735">
        <v>-1.1161116112260001</v>
      </c>
      <c r="AE1735">
        <v>-46.220499999999902</v>
      </c>
      <c r="AF1735">
        <v>11.4578851297518</v>
      </c>
      <c r="AG1735">
        <v>-1.1161116112260001</v>
      </c>
      <c r="AH1735">
        <v>44.788643608633798</v>
      </c>
      <c r="AI1735">
        <v>91.382969430747707</v>
      </c>
      <c r="AJ1735">
        <v>75.650277574105999</v>
      </c>
      <c r="AK1735">
        <v>46.244474622126702</v>
      </c>
      <c r="AL1735">
        <v>94.098169575763805</v>
      </c>
      <c r="AM1735">
        <v>83.784913834641102</v>
      </c>
      <c r="AN1735">
        <v>1.00000001223379</v>
      </c>
    </row>
    <row r="1736" spans="1:40" x14ac:dyDescent="0.25">
      <c r="A1736" t="str">
        <f>"20190303153808207"</f>
        <v>20190303153808207</v>
      </c>
      <c r="B1736" t="str">
        <f>"1551598688200259"</f>
        <v>1551598688200259</v>
      </c>
      <c r="C1736" t="s">
        <v>40</v>
      </c>
      <c r="D1736">
        <v>4.892023</v>
      </c>
      <c r="E1736">
        <v>0.55270949999999996</v>
      </c>
      <c r="F1736" t="s">
        <v>42</v>
      </c>
      <c r="G1736">
        <v>-193.54509999999999</v>
      </c>
      <c r="H1736" s="1">
        <v>-4.3530170000000003E-6</v>
      </c>
      <c r="I1736">
        <v>307.93049999999999</v>
      </c>
      <c r="J1736">
        <v>-191.85839999999999</v>
      </c>
      <c r="K1736">
        <v>1.1159760000000001</v>
      </c>
      <c r="L1736">
        <v>349.31450000000001</v>
      </c>
      <c r="M1736">
        <v>0.20355129999999999</v>
      </c>
      <c r="N1736">
        <v>-6.2930259999999997E-4</v>
      </c>
      <c r="O1736">
        <v>-0.97906409999999999</v>
      </c>
      <c r="P1736">
        <v>9.5860529999999999E-2</v>
      </c>
      <c r="Q1736">
        <v>-7.058818E-2</v>
      </c>
      <c r="R1736">
        <v>-0.99288889999999996</v>
      </c>
      <c r="S1736">
        <v>-0.1193085</v>
      </c>
      <c r="T1736">
        <v>-8.1218239999999997E-2</v>
      </c>
      <c r="U1736">
        <v>-3.029388</v>
      </c>
      <c r="V1736">
        <v>0.1076391</v>
      </c>
      <c r="W1736">
        <v>-7.090072E-2</v>
      </c>
      <c r="X1736">
        <v>0.9916587</v>
      </c>
      <c r="Y1736">
        <v>0.24190729999999999</v>
      </c>
      <c r="Z1736">
        <v>2.4918269999999999E-2</v>
      </c>
      <c r="AA1736">
        <v>0.96997929999999999</v>
      </c>
      <c r="AB1736">
        <v>25</v>
      </c>
      <c r="AC1736">
        <v>-1.6867000000000001</v>
      </c>
      <c r="AD1736">
        <v>-1.115980353017</v>
      </c>
      <c r="AE1736">
        <v>-41.384</v>
      </c>
      <c r="AF1736">
        <v>10.0678471111514</v>
      </c>
      <c r="AG1736">
        <v>-1.115980353017</v>
      </c>
      <c r="AH1736">
        <v>40.145121160189298</v>
      </c>
      <c r="AI1736">
        <v>91.544529684746806</v>
      </c>
      <c r="AJ1736">
        <v>75.921361853537405</v>
      </c>
      <c r="AK1736">
        <v>41.403353856518898</v>
      </c>
      <c r="AL1736">
        <v>94.065723090681999</v>
      </c>
      <c r="AM1736">
        <v>83.805111365639206</v>
      </c>
      <c r="AN1736">
        <v>1.0000000326155001</v>
      </c>
    </row>
    <row r="1737" spans="1:40" x14ac:dyDescent="0.25">
      <c r="A1737" t="str">
        <f>"20190303153808228"</f>
        <v>20190303153808228</v>
      </c>
      <c r="B1737" t="str">
        <f>"1551598688220755"</f>
        <v>1551598688220755</v>
      </c>
      <c r="C1737" t="s">
        <v>40</v>
      </c>
      <c r="D1737">
        <v>4.8744230000000002</v>
      </c>
      <c r="E1737">
        <v>0.55220619999999998</v>
      </c>
      <c r="F1737" t="s">
        <v>42</v>
      </c>
      <c r="G1737">
        <v>-193.62029999999999</v>
      </c>
      <c r="H1737" s="1">
        <v>-4.2491009999999999E-6</v>
      </c>
      <c r="I1737">
        <v>307.58589999999998</v>
      </c>
      <c r="J1737">
        <v>-191.81190000000001</v>
      </c>
      <c r="K1737">
        <v>1.115848</v>
      </c>
      <c r="L1737">
        <v>349.0643</v>
      </c>
      <c r="M1737">
        <v>0.19826450000000001</v>
      </c>
      <c r="N1737">
        <v>-5.3014079999999996E-4</v>
      </c>
      <c r="O1737">
        <v>-0.98014860000000004</v>
      </c>
      <c r="P1737">
        <v>9.1071910000000006E-2</v>
      </c>
      <c r="Q1737">
        <v>-6.8832840000000006E-2</v>
      </c>
      <c r="R1737">
        <v>-0.99346290000000004</v>
      </c>
      <c r="S1737">
        <v>-0.12785339999999901</v>
      </c>
      <c r="T1737">
        <v>-8.0982209999999999E-2</v>
      </c>
      <c r="U1737">
        <v>-3.028076</v>
      </c>
      <c r="V1737">
        <v>0.10708769999999999</v>
      </c>
      <c r="W1737">
        <v>-6.9269769999999994E-2</v>
      </c>
      <c r="X1737">
        <v>0.99183359999999998</v>
      </c>
      <c r="Y1737">
        <v>0.2394194</v>
      </c>
      <c r="Z1737">
        <v>2.5004780000000001E-2</v>
      </c>
      <c r="AA1737">
        <v>0.97059419999999996</v>
      </c>
      <c r="AB1737">
        <v>25</v>
      </c>
      <c r="AC1737">
        <v>-1.80839999999997</v>
      </c>
      <c r="AD1737">
        <v>-1.1158522491009999</v>
      </c>
      <c r="AE1737">
        <v>-41.478400000000001</v>
      </c>
      <c r="AF1737">
        <v>9.9889790261994609</v>
      </c>
      <c r="AG1737">
        <v>-1.1158522491009999</v>
      </c>
      <c r="AH1737">
        <v>40.267365425194598</v>
      </c>
      <c r="AI1737">
        <v>91.540649576847699</v>
      </c>
      <c r="AJ1737">
        <v>76.068075920211399</v>
      </c>
      <c r="AK1737">
        <v>41.5028378127789</v>
      </c>
      <c r="AL1737">
        <v>93.972046376781606</v>
      </c>
      <c r="AM1737">
        <v>83.837679382809</v>
      </c>
      <c r="AN1737">
        <v>0.99999998330805095</v>
      </c>
    </row>
    <row r="1738" spans="1:40" x14ac:dyDescent="0.25">
      <c r="A1738" t="str">
        <f>"20190303153808251"</f>
        <v>20190303153808251</v>
      </c>
      <c r="B1738" t="str">
        <f>"1551598688240276"</f>
        <v>1551598688240276</v>
      </c>
      <c r="C1738" t="s">
        <v>40</v>
      </c>
      <c r="D1738">
        <v>4.8547750000000001</v>
      </c>
      <c r="E1738">
        <v>0.55215190000000003</v>
      </c>
      <c r="F1738" t="s">
        <v>42</v>
      </c>
      <c r="G1738">
        <v>-193.8749</v>
      </c>
      <c r="H1738" s="1">
        <v>-2.9266609999999998E-6</v>
      </c>
      <c r="I1738">
        <v>304.00790000000001</v>
      </c>
      <c r="J1738">
        <v>-191.76589999999999</v>
      </c>
      <c r="K1738">
        <v>1.115726</v>
      </c>
      <c r="L1738">
        <v>348.80860000000001</v>
      </c>
      <c r="M1738">
        <v>0.19279070000000001</v>
      </c>
      <c r="N1738">
        <v>-4.4707729999999998E-4</v>
      </c>
      <c r="O1738">
        <v>-0.98123970000000005</v>
      </c>
      <c r="P1738">
        <v>8.5660040000000007E-2</v>
      </c>
      <c r="Q1738">
        <v>-6.6893320000000006E-2</v>
      </c>
      <c r="R1738">
        <v>-0.99407639999999997</v>
      </c>
      <c r="S1738">
        <v>-0.13861080000000001</v>
      </c>
      <c r="T1738">
        <v>-7.4971079999999996E-2</v>
      </c>
      <c r="U1738">
        <v>-3.0272220000000001</v>
      </c>
      <c r="V1738">
        <v>0.10697760000000001</v>
      </c>
      <c r="W1738">
        <v>-6.7440349999999996E-2</v>
      </c>
      <c r="X1738">
        <v>0.99197159999999995</v>
      </c>
      <c r="Y1738">
        <v>0.23745630000000001</v>
      </c>
      <c r="Z1738">
        <v>2.324497E-2</v>
      </c>
      <c r="AA1738">
        <v>0.97112010000000004</v>
      </c>
      <c r="AB1738">
        <v>26</v>
      </c>
      <c r="AC1738">
        <v>-2.109</v>
      </c>
      <c r="AD1738">
        <v>-1.115728926661</v>
      </c>
      <c r="AE1738">
        <v>-44.800699999999999</v>
      </c>
      <c r="AF1738">
        <v>10.6999732726437</v>
      </c>
      <c r="AG1738">
        <v>-1.115728926661</v>
      </c>
      <c r="AH1738">
        <v>43.5267019266022</v>
      </c>
      <c r="AI1738">
        <v>91.425918981163804</v>
      </c>
      <c r="AJ1738">
        <v>76.189088437653297</v>
      </c>
      <c r="AK1738">
        <v>44.836459044848198</v>
      </c>
      <c r="AL1738">
        <v>93.866982390515403</v>
      </c>
      <c r="AM1738">
        <v>83.844816207364602</v>
      </c>
      <c r="AN1738">
        <v>1.00000003145822</v>
      </c>
    </row>
    <row r="1739" spans="1:40" x14ac:dyDescent="0.25">
      <c r="A1739" t="str">
        <f>"20190303153808272"</f>
        <v>20190303153808272</v>
      </c>
      <c r="B1739" t="str">
        <f>"1551598688270531"</f>
        <v>1551598688270531</v>
      </c>
      <c r="C1739" t="s">
        <v>40</v>
      </c>
      <c r="D1739">
        <v>4.876722</v>
      </c>
      <c r="E1739">
        <v>0.55176539999999996</v>
      </c>
      <c r="F1739" t="s">
        <v>51</v>
      </c>
      <c r="G1739">
        <v>-194.3331</v>
      </c>
      <c r="H1739" s="1">
        <v>1.8613990000000001E-7</v>
      </c>
      <c r="I1739">
        <v>298.55939999999998</v>
      </c>
      <c r="J1739">
        <v>-191.721</v>
      </c>
      <c r="K1739">
        <v>1.1156079999999999</v>
      </c>
      <c r="L1739">
        <v>348.55029999999999</v>
      </c>
      <c r="M1739">
        <v>0.18721270000000001</v>
      </c>
      <c r="N1739">
        <v>-3.7854479999999997E-4</v>
      </c>
      <c r="O1739">
        <v>-0.98231939999999995</v>
      </c>
      <c r="P1739">
        <v>8.0041719999999997E-2</v>
      </c>
      <c r="Q1739">
        <v>-6.5615640000000003E-2</v>
      </c>
      <c r="R1739">
        <v>-0.99462989999999996</v>
      </c>
      <c r="S1739">
        <v>-0.15463260000000001</v>
      </c>
      <c r="T1739">
        <v>-6.7202449999999997E-2</v>
      </c>
      <c r="U1739">
        <v>-3.0266109999999999</v>
      </c>
      <c r="V1739">
        <v>0.1069581</v>
      </c>
      <c r="W1739">
        <v>-6.6256060000000006E-2</v>
      </c>
      <c r="X1739">
        <v>0.99205339999999997</v>
      </c>
      <c r="Y1739">
        <v>0.23707810000000001</v>
      </c>
      <c r="Z1739">
        <v>2.0898170000000001E-2</v>
      </c>
      <c r="AA1739">
        <v>0.97126579999999996</v>
      </c>
      <c r="AB1739">
        <v>26</v>
      </c>
      <c r="AC1739">
        <v>-2.6121000000000199</v>
      </c>
      <c r="AD1739">
        <v>-1.1156078138601</v>
      </c>
      <c r="AE1739">
        <v>-49.990900000000003</v>
      </c>
      <c r="AF1739">
        <v>11.918928250950801</v>
      </c>
      <c r="AG1739">
        <v>-1.1156078138601</v>
      </c>
      <c r="AH1739">
        <v>48.593878113855702</v>
      </c>
      <c r="AI1739">
        <v>91.277305728715902</v>
      </c>
      <c r="AJ1739">
        <v>76.218764074492299</v>
      </c>
      <c r="AK1739">
        <v>50.046682423412697</v>
      </c>
      <c r="AL1739">
        <v>93.798975855802595</v>
      </c>
      <c r="AM1739">
        <v>83.8464331133315</v>
      </c>
      <c r="AN1739">
        <v>0.99999992454694298</v>
      </c>
    </row>
    <row r="1740" spans="1:40" x14ac:dyDescent="0.25">
      <c r="A1740" t="str">
        <f>"20190303153808294"</f>
        <v>20190303153808294</v>
      </c>
      <c r="B1740" t="str">
        <f>"1551598688290052"</f>
        <v>1551598688290052</v>
      </c>
      <c r="C1740" t="s">
        <v>40</v>
      </c>
      <c r="D1740">
        <v>4.8949239999999996</v>
      </c>
      <c r="E1740">
        <v>0.55139450000000001</v>
      </c>
      <c r="F1740" t="s">
        <v>51</v>
      </c>
      <c r="G1740">
        <v>-194.6397</v>
      </c>
      <c r="H1740" s="1">
        <v>7.6695490000000001E-7</v>
      </c>
      <c r="I1740">
        <v>296.27199999999999</v>
      </c>
      <c r="J1740">
        <v>-191.6781</v>
      </c>
      <c r="K1740">
        <v>1.1154999999999999</v>
      </c>
      <c r="L1740">
        <v>348.29520000000002</v>
      </c>
      <c r="M1740">
        <v>0.18167159999999999</v>
      </c>
      <c r="N1740">
        <v>-3.225468E-4</v>
      </c>
      <c r="O1740">
        <v>-0.98335919999999999</v>
      </c>
      <c r="P1740">
        <v>7.4236220000000006E-2</v>
      </c>
      <c r="Q1740">
        <v>-6.6136760000000003E-2</v>
      </c>
      <c r="R1740">
        <v>-0.99504550000000003</v>
      </c>
      <c r="S1740">
        <v>-0.1689148</v>
      </c>
      <c r="T1740">
        <v>-6.4564469999999999E-2</v>
      </c>
      <c r="U1740">
        <v>-3.0255429999999999</v>
      </c>
      <c r="V1740">
        <v>0.1071286</v>
      </c>
      <c r="W1740">
        <v>-6.6856680000000002E-2</v>
      </c>
      <c r="X1740">
        <v>0.99199479999999995</v>
      </c>
      <c r="Y1740">
        <v>0.2361914</v>
      </c>
      <c r="Z1740">
        <v>2.0159630000000001E-2</v>
      </c>
      <c r="AA1740">
        <v>0.97149739999999996</v>
      </c>
      <c r="AB1740">
        <v>26</v>
      </c>
      <c r="AC1740">
        <v>-2.9615999999999998</v>
      </c>
      <c r="AD1740">
        <v>-1.1154992330450999</v>
      </c>
      <c r="AE1740">
        <v>-52.023200000000003</v>
      </c>
      <c r="AF1740">
        <v>12.3577918523522</v>
      </c>
      <c r="AG1740">
        <v>-1.1154992330450999</v>
      </c>
      <c r="AH1740">
        <v>50.596268894163103</v>
      </c>
      <c r="AI1740">
        <v>91.226944272137402</v>
      </c>
      <c r="AJ1740">
        <v>76.274615484320606</v>
      </c>
      <c r="AK1740">
        <v>52.095506370659699</v>
      </c>
      <c r="AL1740">
        <v>93.833464966232498</v>
      </c>
      <c r="AM1740">
        <v>83.8363379769049</v>
      </c>
      <c r="AN1740">
        <v>1.0000000179128099</v>
      </c>
    </row>
    <row r="1741" spans="1:40" x14ac:dyDescent="0.25">
      <c r="A1741" t="str">
        <f>"20190303153808317"</f>
        <v>20190303153808317</v>
      </c>
      <c r="B1741" t="str">
        <f>"1551598688310547"</f>
        <v>1551598688310547</v>
      </c>
      <c r="C1741" t="s">
        <v>40</v>
      </c>
      <c r="D1741">
        <v>4.8464340000000004</v>
      </c>
      <c r="E1741">
        <v>0.55116619999999905</v>
      </c>
      <c r="F1741" t="s">
        <v>51</v>
      </c>
      <c r="G1741">
        <v>-194.684</v>
      </c>
      <c r="H1741" s="1">
        <v>1.553875E-7</v>
      </c>
      <c r="I1741">
        <v>298.73399999999998</v>
      </c>
      <c r="J1741">
        <v>-191.63390000000001</v>
      </c>
      <c r="K1741">
        <v>1.1153869999999999</v>
      </c>
      <c r="L1741">
        <v>348.0222</v>
      </c>
      <c r="M1741">
        <v>0.17572679999999999</v>
      </c>
      <c r="N1741">
        <v>-2.7384149999999999E-4</v>
      </c>
      <c r="O1741">
        <v>-0.98443910000000001</v>
      </c>
      <c r="P1741">
        <v>6.7613969999999995E-2</v>
      </c>
      <c r="Q1741">
        <v>-6.8259059999999996E-2</v>
      </c>
      <c r="R1741">
        <v>-0.99537430000000005</v>
      </c>
      <c r="S1741">
        <v>-0.18341060000000001</v>
      </c>
      <c r="T1741">
        <v>-6.8064570000000005E-2</v>
      </c>
      <c r="U1741">
        <v>-3.0240779999999998</v>
      </c>
      <c r="V1741">
        <v>0.1076757</v>
      </c>
      <c r="W1741">
        <v>-6.9053580000000003E-2</v>
      </c>
      <c r="X1741">
        <v>0.99178500000000003</v>
      </c>
      <c r="Y1741">
        <v>0.2349859</v>
      </c>
      <c r="Z1741">
        <v>2.1365550000000001E-2</v>
      </c>
      <c r="AA1741">
        <v>0.97176390000000001</v>
      </c>
      <c r="AB1741">
        <v>26</v>
      </c>
      <c r="AC1741">
        <v>-3.0501000000000098</v>
      </c>
      <c r="AD1741">
        <v>-1.1153868446124999</v>
      </c>
      <c r="AE1741">
        <v>-49.288199999999897</v>
      </c>
      <c r="AF1741">
        <v>11.6579465045572</v>
      </c>
      <c r="AG1741">
        <v>-1.1153868446124999</v>
      </c>
      <c r="AH1741">
        <v>47.960773343143302</v>
      </c>
      <c r="AI1741">
        <v>91.294561852485899</v>
      </c>
      <c r="AJ1741">
        <v>76.337927997294798</v>
      </c>
      <c r="AK1741">
        <v>49.369905653025199</v>
      </c>
      <c r="AL1741">
        <v>93.959629923967995</v>
      </c>
      <c r="AM1741">
        <v>83.803804356454194</v>
      </c>
      <c r="AN1741">
        <v>0.99999996975315197</v>
      </c>
    </row>
    <row r="1742" spans="1:40" x14ac:dyDescent="0.25">
      <c r="A1742" t="str">
        <f>"20190303153808331"</f>
        <v>20190303153808331</v>
      </c>
      <c r="B1742" t="str">
        <f>"1551598688320308"</f>
        <v>1551598688320308</v>
      </c>
      <c r="C1742" t="s">
        <v>40</v>
      </c>
      <c r="D1742">
        <v>4.8763379999999996</v>
      </c>
      <c r="E1742">
        <v>0.55099849999999995</v>
      </c>
      <c r="F1742" t="s">
        <v>42</v>
      </c>
      <c r="G1742">
        <v>-194.60740000000001</v>
      </c>
      <c r="H1742" s="1">
        <v>-2.9118330000000001E-6</v>
      </c>
      <c r="I1742">
        <v>303.51900000000001</v>
      </c>
      <c r="J1742">
        <v>-191.6078</v>
      </c>
      <c r="K1742">
        <v>1.115326</v>
      </c>
      <c r="L1742">
        <v>347.8571</v>
      </c>
      <c r="M1742">
        <v>0.1721287</v>
      </c>
      <c r="N1742">
        <v>-2.4858809999999998E-4</v>
      </c>
      <c r="O1742">
        <v>-0.98507449999999996</v>
      </c>
      <c r="P1742">
        <v>6.3897529999999994E-2</v>
      </c>
      <c r="Q1742">
        <v>-6.9220729999999994E-2</v>
      </c>
      <c r="R1742">
        <v>-0.99555300000000002</v>
      </c>
      <c r="S1742">
        <v>-0.20195009999999999</v>
      </c>
      <c r="T1742">
        <v>-7.5753210000000001E-2</v>
      </c>
      <c r="U1742">
        <v>-3.022491</v>
      </c>
      <c r="V1742">
        <v>0.1077259</v>
      </c>
      <c r="W1742">
        <v>-7.0052420000000004E-2</v>
      </c>
      <c r="X1742">
        <v>0.99170950000000002</v>
      </c>
      <c r="Y1742">
        <v>0.237397</v>
      </c>
      <c r="Z1742">
        <v>2.3858359999999999E-2</v>
      </c>
      <c r="AA1742">
        <v>0.97111970000000003</v>
      </c>
      <c r="AB1742">
        <v>27</v>
      </c>
      <c r="AC1742">
        <v>-2.9996000000000098</v>
      </c>
      <c r="AD1742">
        <v>-1.1153289118330001</v>
      </c>
      <c r="AE1742">
        <v>-44.338099999999997</v>
      </c>
      <c r="AF1742">
        <v>10.580024355794</v>
      </c>
      <c r="AG1742">
        <v>-1.1153289118330001</v>
      </c>
      <c r="AH1742">
        <v>43.132843958601299</v>
      </c>
      <c r="AI1742">
        <v>91.438596883730696</v>
      </c>
      <c r="AJ1742">
        <v>76.218064240113705</v>
      </c>
      <c r="AK1742">
        <v>44.425478071798103</v>
      </c>
      <c r="AL1742">
        <v>94.016998167692805</v>
      </c>
      <c r="AM1742">
        <v>83.800469817513601</v>
      </c>
      <c r="AN1742">
        <v>0.99999997173445698</v>
      </c>
    </row>
    <row r="1743" spans="1:40" x14ac:dyDescent="0.25">
      <c r="A1743" t="str">
        <f>"20190303153808351"</f>
        <v>20190303153808351</v>
      </c>
      <c r="B1743" t="str">
        <f>"1551598688340803"</f>
        <v>1551598688340803</v>
      </c>
      <c r="C1743" t="s">
        <v>40</v>
      </c>
      <c r="D1743">
        <v>4.8543229999999999</v>
      </c>
      <c r="E1743">
        <v>0.5505681</v>
      </c>
      <c r="F1743" t="s">
        <v>42</v>
      </c>
      <c r="G1743">
        <v>-194.59399999999999</v>
      </c>
      <c r="H1743" s="1">
        <v>-3.637886E-6</v>
      </c>
      <c r="I1743">
        <v>305.28230000000002</v>
      </c>
      <c r="J1743">
        <v>-191.57050000000001</v>
      </c>
      <c r="K1743">
        <v>1.1152359999999999</v>
      </c>
      <c r="L1743">
        <v>347.61259999999999</v>
      </c>
      <c r="M1743">
        <v>0.1667997</v>
      </c>
      <c r="N1743">
        <v>-2.1854369999999999E-4</v>
      </c>
      <c r="O1743">
        <v>-0.98599079999999995</v>
      </c>
      <c r="P1743">
        <v>5.7922790000000002E-2</v>
      </c>
      <c r="Q1743">
        <v>-7.0075589999999993E-2</v>
      </c>
      <c r="R1743">
        <v>-0.99585860000000004</v>
      </c>
      <c r="S1743">
        <v>-0.21192929999999999</v>
      </c>
      <c r="T1743">
        <v>-7.9154370000000002E-2</v>
      </c>
      <c r="U1743">
        <v>-3.021515</v>
      </c>
      <c r="V1743">
        <v>0.1082849</v>
      </c>
      <c r="W1743">
        <v>-7.095862E-2</v>
      </c>
      <c r="X1743">
        <v>0.99158420000000003</v>
      </c>
      <c r="Y1743">
        <v>0.23535519999999999</v>
      </c>
      <c r="Z1743">
        <v>2.5018019999999998E-2</v>
      </c>
      <c r="AA1743">
        <v>0.97158739999999999</v>
      </c>
      <c r="AB1743">
        <v>27</v>
      </c>
      <c r="AC1743">
        <v>-3.0235000000000101</v>
      </c>
      <c r="AD1743">
        <v>-1.1152396378859999</v>
      </c>
      <c r="AE1743">
        <v>-42.330299999999902</v>
      </c>
      <c r="AF1743">
        <v>10.034894484764401</v>
      </c>
      <c r="AG1743">
        <v>-1.1152396378859999</v>
      </c>
      <c r="AH1743">
        <v>41.204511871308704</v>
      </c>
      <c r="AI1743">
        <v>91.506378849390899</v>
      </c>
      <c r="AJ1743">
        <v>76.312709570379496</v>
      </c>
      <c r="AK1743">
        <v>42.423515475772199</v>
      </c>
      <c r="AL1743">
        <v>94.069049084859898</v>
      </c>
      <c r="AM1743">
        <v>83.767771069779698</v>
      </c>
      <c r="AN1743">
        <v>0.99999998550497704</v>
      </c>
    </row>
    <row r="1744" spans="1:40" x14ac:dyDescent="0.25">
      <c r="A1744" t="str">
        <f>"20190303153808366"</f>
        <v>20190303153808366</v>
      </c>
      <c r="B1744" t="str">
        <f>"1551598688360323"</f>
        <v>1551598688360323</v>
      </c>
      <c r="C1744" t="s">
        <v>40</v>
      </c>
      <c r="D1744">
        <v>4.836608</v>
      </c>
      <c r="E1744">
        <v>0.55005499999999996</v>
      </c>
      <c r="F1744" t="s">
        <v>42</v>
      </c>
      <c r="G1744">
        <v>-194.63480000000001</v>
      </c>
      <c r="H1744" s="1">
        <v>-4.146737E-6</v>
      </c>
      <c r="I1744">
        <v>306.75630000000001</v>
      </c>
      <c r="J1744">
        <v>-191.54499999999999</v>
      </c>
      <c r="K1744">
        <v>1.1151819999999999</v>
      </c>
      <c r="L1744">
        <v>347.4402</v>
      </c>
      <c r="M1744">
        <v>0.1630461</v>
      </c>
      <c r="N1744">
        <v>-2.014656E-4</v>
      </c>
      <c r="O1744">
        <v>-0.98661829999999995</v>
      </c>
      <c r="P1744">
        <v>5.385682E-2</v>
      </c>
      <c r="Q1744">
        <v>-6.992698E-2</v>
      </c>
      <c r="R1744">
        <v>-0.99609709999999996</v>
      </c>
      <c r="S1744">
        <v>-0.2264862</v>
      </c>
      <c r="T1744">
        <v>-8.2430600000000007E-2</v>
      </c>
      <c r="U1744">
        <v>-3.019806</v>
      </c>
      <c r="V1744">
        <v>0.108555399999999</v>
      </c>
      <c r="W1744">
        <v>-7.0840360000000005E-2</v>
      </c>
      <c r="X1744">
        <v>0.99156310000000003</v>
      </c>
      <c r="Y1744">
        <v>0.23635149999999999</v>
      </c>
      <c r="Z1744">
        <v>2.6111599999999999E-2</v>
      </c>
      <c r="AA1744">
        <v>0.97131670000000003</v>
      </c>
      <c r="AB1744">
        <v>27</v>
      </c>
      <c r="AC1744">
        <v>-3.0898000000000199</v>
      </c>
      <c r="AD1744">
        <v>-1.1151861467369999</v>
      </c>
      <c r="AE1744">
        <v>-40.683900000000001</v>
      </c>
      <c r="AF1744">
        <v>9.6745784708241995</v>
      </c>
      <c r="AG1744">
        <v>-1.1151861467369999</v>
      </c>
      <c r="AH1744">
        <v>39.6061184516021</v>
      </c>
      <c r="AI1744">
        <v>91.566803696290194</v>
      </c>
      <c r="AJ1744">
        <v>76.273174485614803</v>
      </c>
      <c r="AK1744">
        <v>40.7858520510771</v>
      </c>
      <c r="AL1744">
        <v>94.062256106382193</v>
      </c>
      <c r="AM1744">
        <v>83.7521937803985</v>
      </c>
      <c r="AN1744">
        <v>1.00000000637784</v>
      </c>
    </row>
    <row r="1745" spans="1:40" x14ac:dyDescent="0.25">
      <c r="A1745" t="str">
        <f>"20190303153808385"</f>
        <v>20190303153808385</v>
      </c>
      <c r="B1745" t="str">
        <f>"1551598688380819"</f>
        <v>1551598688380819</v>
      </c>
      <c r="C1745" t="s">
        <v>40</v>
      </c>
      <c r="D1745">
        <v>4.8426549999999997</v>
      </c>
      <c r="E1745">
        <v>0.54947789999999996</v>
      </c>
      <c r="F1745" t="s">
        <v>42</v>
      </c>
      <c r="G1745">
        <v>-194.70849999999999</v>
      </c>
      <c r="H1745" s="1">
        <v>-4.1629520000000002E-6</v>
      </c>
      <c r="I1745">
        <v>306.76549999999997</v>
      </c>
      <c r="J1745">
        <v>-191.511</v>
      </c>
      <c r="K1745">
        <v>1.115111</v>
      </c>
      <c r="L1745">
        <v>347.20319999999998</v>
      </c>
      <c r="M1745">
        <v>0.15789120000000001</v>
      </c>
      <c r="N1745">
        <v>-1.829782E-4</v>
      </c>
      <c r="O1745">
        <v>-0.98745640000000001</v>
      </c>
      <c r="P1745">
        <v>4.8516040000000003E-2</v>
      </c>
      <c r="Q1745">
        <v>-6.9434709999999997E-2</v>
      </c>
      <c r="R1745">
        <v>-0.99640620000000002</v>
      </c>
      <c r="S1745">
        <v>-0.2347717</v>
      </c>
      <c r="T1745">
        <v>-8.2762840000000004E-2</v>
      </c>
      <c r="U1745">
        <v>-3.0186459999999999</v>
      </c>
      <c r="V1745">
        <v>0.1086937</v>
      </c>
      <c r="W1745">
        <v>-7.0382050000000002E-2</v>
      </c>
      <c r="X1745">
        <v>0.99158060000000003</v>
      </c>
      <c r="Y1745">
        <v>0.23395440000000001</v>
      </c>
      <c r="Z1745">
        <v>2.6285920000000001E-2</v>
      </c>
      <c r="AA1745">
        <v>0.97189219999999998</v>
      </c>
      <c r="AB1745">
        <v>27</v>
      </c>
      <c r="AC1745">
        <v>-3.19749999999999</v>
      </c>
      <c r="AD1745">
        <v>-1.115115162952</v>
      </c>
      <c r="AE1745">
        <v>-40.4377</v>
      </c>
      <c r="AF1745">
        <v>9.5349441741868297</v>
      </c>
      <c r="AG1745">
        <v>-1.115115162952</v>
      </c>
      <c r="AH1745">
        <v>39.395840894790702</v>
      </c>
      <c r="AI1745">
        <v>91.575872176701296</v>
      </c>
      <c r="AJ1745">
        <v>76.394384529713093</v>
      </c>
      <c r="AK1745">
        <v>40.5486241694977</v>
      </c>
      <c r="AL1745">
        <v>94.035931113869694</v>
      </c>
      <c r="AM1745">
        <v>83.744406647622995</v>
      </c>
      <c r="AN1745">
        <v>1.0000000198391199</v>
      </c>
    </row>
    <row r="1746" spans="1:40" x14ac:dyDescent="0.25">
      <c r="A1746" t="str">
        <f>"20190303153808409"</f>
        <v>20190303153808409</v>
      </c>
      <c r="B1746" t="str">
        <f>"1551598688400339"</f>
        <v>1551598688400339</v>
      </c>
      <c r="C1746" t="s">
        <v>40</v>
      </c>
      <c r="D1746">
        <v>4.8196899999999996</v>
      </c>
      <c r="E1746">
        <v>0.54102759999999905</v>
      </c>
      <c r="F1746" t="s">
        <v>42</v>
      </c>
      <c r="G1746">
        <v>-194.9118</v>
      </c>
      <c r="H1746" s="1">
        <v>-3.782041E-6</v>
      </c>
      <c r="I1746">
        <v>305.5403</v>
      </c>
      <c r="J1746">
        <v>-191.4716</v>
      </c>
      <c r="K1746">
        <v>1.115027</v>
      </c>
      <c r="L1746">
        <v>346.91750000000002</v>
      </c>
      <c r="M1746">
        <v>0.15168719999999999</v>
      </c>
      <c r="N1746">
        <v>-1.7133599999999999E-4</v>
      </c>
      <c r="O1746">
        <v>-0.98842850000000004</v>
      </c>
      <c r="P1746">
        <v>4.1875870000000003E-2</v>
      </c>
      <c r="Q1746">
        <v>-7.0118260000000002E-2</v>
      </c>
      <c r="R1746">
        <v>-0.99665959999999998</v>
      </c>
      <c r="S1746">
        <v>-0.24627689999999999</v>
      </c>
      <c r="T1746">
        <v>-8.0755229999999997E-2</v>
      </c>
      <c r="U1746">
        <v>-3.0171809999999999</v>
      </c>
      <c r="V1746">
        <v>0.1090484</v>
      </c>
      <c r="W1746">
        <v>-7.1097839999999995E-2</v>
      </c>
      <c r="X1746">
        <v>0.99149050000000005</v>
      </c>
      <c r="Y1746">
        <v>0.23156879999999999</v>
      </c>
      <c r="Z1746">
        <v>2.5711230000000002E-2</v>
      </c>
      <c r="AA1746">
        <v>0.97247870000000003</v>
      </c>
      <c r="AB1746">
        <v>27</v>
      </c>
      <c r="AC1746">
        <v>-3.4401999999999999</v>
      </c>
      <c r="AD1746">
        <v>-1.1150307820409999</v>
      </c>
      <c r="AE1746">
        <v>-41.377200000000002</v>
      </c>
      <c r="AF1746">
        <v>9.6698098600495204</v>
      </c>
      <c r="AG1746">
        <v>-1.1150307820409999</v>
      </c>
      <c r="AH1746">
        <v>40.347472452325498</v>
      </c>
      <c r="AI1746">
        <v>91.539433985123196</v>
      </c>
      <c r="AJ1746">
        <v>76.522506962264899</v>
      </c>
      <c r="AK1746">
        <v>41.505024390615397</v>
      </c>
      <c r="AL1746">
        <v>94.077046211545394</v>
      </c>
      <c r="AM1746">
        <v>83.723589650353105</v>
      </c>
      <c r="AN1746">
        <v>0.99999993399273501</v>
      </c>
    </row>
    <row r="1747" spans="1:40" x14ac:dyDescent="0.25">
      <c r="A1747" t="str">
        <f>"20190303153808430"</f>
        <v>20190303153808430</v>
      </c>
      <c r="B1747" t="str">
        <f>"1551598688420836"</f>
        <v>1551598688420836</v>
      </c>
      <c r="C1747" t="s">
        <v>40</v>
      </c>
      <c r="D1747">
        <v>4.8044880000000001</v>
      </c>
      <c r="E1747">
        <v>0.54020789999999996</v>
      </c>
      <c r="F1747" t="s">
        <v>42</v>
      </c>
      <c r="G1747">
        <v>-194.33349999999999</v>
      </c>
      <c r="H1747" s="1">
        <v>-2.859642E-6</v>
      </c>
      <c r="I1747">
        <v>303.56729999999999</v>
      </c>
      <c r="J1747">
        <v>-191.43610000000001</v>
      </c>
      <c r="K1747">
        <v>1.1149500000000001</v>
      </c>
      <c r="L1747">
        <v>346.64830000000001</v>
      </c>
      <c r="M1747">
        <v>0.14585780000000001</v>
      </c>
      <c r="N1747">
        <v>-1.72849199999999E-4</v>
      </c>
      <c r="O1747">
        <v>-0.98930560000000001</v>
      </c>
      <c r="P1747">
        <v>3.5231030000000003E-2</v>
      </c>
      <c r="Q1747">
        <v>-7.1308559999999993E-2</v>
      </c>
      <c r="R1747">
        <v>-0.99683189999999999</v>
      </c>
      <c r="S1747">
        <v>-0.1989136</v>
      </c>
      <c r="T1747">
        <v>-7.7498670000000006E-2</v>
      </c>
      <c r="U1747">
        <v>-3.0129999999999999</v>
      </c>
      <c r="V1747">
        <v>0.1097776</v>
      </c>
      <c r="W1747">
        <v>-7.231042E-2</v>
      </c>
      <c r="X1747">
        <v>0.99132240000000005</v>
      </c>
      <c r="Y1747">
        <v>0.21068990000000001</v>
      </c>
      <c r="Z1747">
        <v>2.4810410000000001E-2</v>
      </c>
      <c r="AA1747">
        <v>0.9772381</v>
      </c>
      <c r="AB1747">
        <v>27</v>
      </c>
      <c r="AC1747">
        <v>-2.89739999999997</v>
      </c>
      <c r="AD1747">
        <v>-1.114952859642</v>
      </c>
      <c r="AE1747">
        <v>-43.081000000000003</v>
      </c>
      <c r="AF1747">
        <v>9.1440165837806795</v>
      </c>
      <c r="AG1747">
        <v>-1.114952859642</v>
      </c>
      <c r="AH1747">
        <v>42.169546987897199</v>
      </c>
      <c r="AI1747">
        <v>91.480151714521</v>
      </c>
      <c r="AJ1747">
        <v>77.7654280248628</v>
      </c>
      <c r="AK1747">
        <v>43.163953159183102</v>
      </c>
      <c r="AL1747">
        <v>94.146700918862294</v>
      </c>
      <c r="AM1747">
        <v>83.680895269946703</v>
      </c>
      <c r="AN1747">
        <v>1.00000000952204</v>
      </c>
    </row>
    <row r="1748" spans="1:40" x14ac:dyDescent="0.25">
      <c r="A1748" t="str">
        <f>"20190303153808445"</f>
        <v>20190303153808445</v>
      </c>
      <c r="B1748" t="str">
        <f>"1551598688440356"</f>
        <v>1551598688440356</v>
      </c>
      <c r="C1748" t="s">
        <v>40</v>
      </c>
      <c r="D1748">
        <v>4.7917069999999997</v>
      </c>
      <c r="E1748">
        <v>0.53932740000000001</v>
      </c>
      <c r="F1748" t="s">
        <v>42</v>
      </c>
      <c r="G1748">
        <v>-194.327</v>
      </c>
      <c r="H1748" s="1">
        <v>-3.7444169999999999E-6</v>
      </c>
      <c r="I1748">
        <v>305.73450000000003</v>
      </c>
      <c r="J1748">
        <v>-191.41249999999999</v>
      </c>
      <c r="K1748">
        <v>1.1148940000000001</v>
      </c>
      <c r="L1748">
        <v>346.46159999999998</v>
      </c>
      <c r="M1748">
        <v>0.14182510000000001</v>
      </c>
      <c r="N1748">
        <v>-1.7979080000000001E-4</v>
      </c>
      <c r="O1748">
        <v>-0.98989179999999999</v>
      </c>
      <c r="P1748">
        <v>3.0934489999999999E-2</v>
      </c>
      <c r="Q1748">
        <v>-7.1824789999999999E-2</v>
      </c>
      <c r="R1748">
        <v>-0.99693750000000003</v>
      </c>
      <c r="S1748">
        <v>-0.2127686</v>
      </c>
      <c r="T1748">
        <v>-8.2058309999999995E-2</v>
      </c>
      <c r="U1748">
        <v>-3.0111690000000002</v>
      </c>
      <c r="V1748">
        <v>0.1099924</v>
      </c>
      <c r="W1748">
        <v>-7.2833149999999999E-2</v>
      </c>
      <c r="X1748">
        <v>0.99126029999999998</v>
      </c>
      <c r="Y1748">
        <v>0.21121819999999999</v>
      </c>
      <c r="Z1748">
        <v>2.6306570000000001E-2</v>
      </c>
      <c r="AA1748">
        <v>0.97708490000000003</v>
      </c>
      <c r="AB1748">
        <v>28</v>
      </c>
      <c r="AC1748">
        <v>-2.9144999999999999</v>
      </c>
      <c r="AD1748">
        <v>-1.1148977444170001</v>
      </c>
      <c r="AE1748">
        <v>-40.727099999999901</v>
      </c>
      <c r="AF1748">
        <v>8.6547114598060801</v>
      </c>
      <c r="AG1748">
        <v>-1.1148977444170001</v>
      </c>
      <c r="AH1748">
        <v>39.872343017251502</v>
      </c>
      <c r="AI1748">
        <v>91.565238813883695</v>
      </c>
      <c r="AJ1748">
        <v>77.753324869381601</v>
      </c>
      <c r="AK1748">
        <v>40.816060137136802</v>
      </c>
      <c r="AL1748">
        <v>94.176730409081799</v>
      </c>
      <c r="AM1748">
        <v>83.668237672426002</v>
      </c>
      <c r="AN1748">
        <v>0.99999998907638599</v>
      </c>
    </row>
    <row r="1749" spans="1:40" x14ac:dyDescent="0.25">
      <c r="A1749" t="str">
        <f>"20190303153808462"</f>
        <v>20190303153808462</v>
      </c>
      <c r="B1749" t="str">
        <f>"1551598688450119"</f>
        <v>1551598688450119</v>
      </c>
      <c r="C1749" t="s">
        <v>40</v>
      </c>
      <c r="D1749">
        <v>4.8233389999999998</v>
      </c>
      <c r="E1749">
        <v>0.5393097</v>
      </c>
      <c r="F1749" t="s">
        <v>42</v>
      </c>
      <c r="G1749">
        <v>-194.24979999999999</v>
      </c>
      <c r="H1749" s="1">
        <v>-4.3051429999999998E-6</v>
      </c>
      <c r="I1749">
        <v>307.42239999999998</v>
      </c>
      <c r="J1749">
        <v>-191.38630000000001</v>
      </c>
      <c r="K1749">
        <v>1.1148370000000001</v>
      </c>
      <c r="L1749">
        <v>346.24759999999998</v>
      </c>
      <c r="M1749">
        <v>0.13720499999999999</v>
      </c>
      <c r="N1749">
        <v>-1.911029E-4</v>
      </c>
      <c r="O1749">
        <v>-0.99054279999999995</v>
      </c>
      <c r="P1749">
        <v>2.596362E-2</v>
      </c>
      <c r="Q1749">
        <v>-7.2486549999999997E-2</v>
      </c>
      <c r="R1749">
        <v>-0.99703169999999997</v>
      </c>
      <c r="S1749">
        <v>-0.21875</v>
      </c>
      <c r="T1749">
        <v>-8.5955139999999999E-2</v>
      </c>
      <c r="U1749">
        <v>-3.0097960000000001</v>
      </c>
      <c r="V1749">
        <v>0.1102876</v>
      </c>
      <c r="W1749">
        <v>-7.349957E-2</v>
      </c>
      <c r="X1749">
        <v>0.99117829999999996</v>
      </c>
      <c r="Y1749">
        <v>0.20861759999999999</v>
      </c>
      <c r="Z1749">
        <v>2.7598549999999999E-2</v>
      </c>
      <c r="AA1749">
        <v>0.97760780000000003</v>
      </c>
      <c r="AB1749">
        <v>28</v>
      </c>
      <c r="AC1749">
        <v>-2.8634999999999802</v>
      </c>
      <c r="AD1749">
        <v>-1.1148413051429999</v>
      </c>
      <c r="AE1749">
        <v>-38.825200000000002</v>
      </c>
      <c r="AF1749">
        <v>8.1567408786806403</v>
      </c>
      <c r="AG1749">
        <v>-1.1148413051429999</v>
      </c>
      <c r="AH1749">
        <v>38.033941126092699</v>
      </c>
      <c r="AI1749">
        <v>91.641652076724398</v>
      </c>
      <c r="AJ1749">
        <v>77.895721948998002</v>
      </c>
      <c r="AK1749">
        <v>38.914726910010202</v>
      </c>
      <c r="AL1749">
        <v>94.215016108874906</v>
      </c>
      <c r="AM1749">
        <v>83.650861986617102</v>
      </c>
      <c r="AN1749">
        <v>0.99999998194741702</v>
      </c>
    </row>
    <row r="1750" spans="1:40" x14ac:dyDescent="0.25">
      <c r="A1750" t="str">
        <f>"20190303153808485"</f>
        <v>20190303153808485</v>
      </c>
      <c r="B1750" t="str">
        <f>"1551598688480371"</f>
        <v>1551598688480371</v>
      </c>
      <c r="C1750" t="s">
        <v>40</v>
      </c>
      <c r="D1750">
        <v>4.793539</v>
      </c>
      <c r="E1750">
        <v>0.53803230000000002</v>
      </c>
      <c r="F1750" t="s">
        <v>42</v>
      </c>
      <c r="G1750">
        <v>-194.47829999999999</v>
      </c>
      <c r="H1750" s="1">
        <v>-4.0076140000000004E-6</v>
      </c>
      <c r="I1750">
        <v>306.42899999999997</v>
      </c>
      <c r="J1750">
        <v>-191.35290000000001</v>
      </c>
      <c r="K1750">
        <v>1.1147800000000001</v>
      </c>
      <c r="L1750">
        <v>345.96260000000001</v>
      </c>
      <c r="M1750">
        <v>0.1310645</v>
      </c>
      <c r="N1750">
        <v>-2.1204359999999999E-4</v>
      </c>
      <c r="O1750">
        <v>-0.99137390000000003</v>
      </c>
      <c r="P1750">
        <v>2.036031E-2</v>
      </c>
      <c r="Q1750">
        <v>-7.2277019999999997E-2</v>
      </c>
      <c r="R1750">
        <v>-0.99717710000000004</v>
      </c>
      <c r="S1750">
        <v>-0.23364260000000001</v>
      </c>
      <c r="T1750">
        <v>-8.4241990000000003E-2</v>
      </c>
      <c r="U1750">
        <v>-3.0088499999999998</v>
      </c>
      <c r="V1750">
        <v>0.1097095</v>
      </c>
      <c r="W1750">
        <v>-7.3279490000000003E-2</v>
      </c>
      <c r="X1750">
        <v>0.9912588</v>
      </c>
      <c r="Y1750">
        <v>0.2073922</v>
      </c>
      <c r="Z1750">
        <v>2.7066050000000001E-2</v>
      </c>
      <c r="AA1750">
        <v>0.97788339999999996</v>
      </c>
      <c r="AB1750">
        <v>28</v>
      </c>
      <c r="AC1750">
        <v>-3.12539999999998</v>
      </c>
      <c r="AD1750">
        <v>-1.1147840076140001</v>
      </c>
      <c r="AE1750">
        <v>-39.5335999999999</v>
      </c>
      <c r="AF1750">
        <v>8.2733533459652708</v>
      </c>
      <c r="AG1750">
        <v>-1.1147840076140001</v>
      </c>
      <c r="AH1750">
        <v>38.7523255399147</v>
      </c>
      <c r="AI1750">
        <v>91.611471276219902</v>
      </c>
      <c r="AJ1750">
        <v>77.948670741526797</v>
      </c>
      <c r="AK1750">
        <v>39.641314984777601</v>
      </c>
      <c r="AL1750">
        <v>94.202372141487203</v>
      </c>
      <c r="AM1750">
        <v>83.6843816986907</v>
      </c>
      <c r="AN1750">
        <v>1.00000003331117</v>
      </c>
    </row>
    <row r="1751" spans="1:40" x14ac:dyDescent="0.25">
      <c r="A1751" t="str">
        <f>"20190303153808507"</f>
        <v>20190303153808507</v>
      </c>
      <c r="B1751" t="str">
        <f>"1551598688500868"</f>
        <v>1551598688500868</v>
      </c>
      <c r="C1751" t="s">
        <v>40</v>
      </c>
      <c r="D1751">
        <v>4.7427049999999999</v>
      </c>
      <c r="E1751">
        <v>0.53712159999999998</v>
      </c>
      <c r="F1751" t="s">
        <v>42</v>
      </c>
      <c r="G1751">
        <v>-194.4898</v>
      </c>
      <c r="H1751" s="1">
        <v>-4.1197800000000002E-6</v>
      </c>
      <c r="I1751">
        <v>306.7527</v>
      </c>
      <c r="J1751">
        <v>-191.3203</v>
      </c>
      <c r="K1751">
        <v>1.114716</v>
      </c>
      <c r="L1751">
        <v>345.66910000000001</v>
      </c>
      <c r="M1751">
        <v>0.124753</v>
      </c>
      <c r="N1751">
        <v>-2.4076889999999999E-4</v>
      </c>
      <c r="O1751">
        <v>-0.99218790000000001</v>
      </c>
      <c r="P1751">
        <v>1.5156620000000001E-2</v>
      </c>
      <c r="Q1751">
        <v>-7.1224010000000004E-2</v>
      </c>
      <c r="R1751">
        <v>-0.9973455</v>
      </c>
      <c r="S1751">
        <v>-0.2405853</v>
      </c>
      <c r="T1751">
        <v>-8.5499049999999993E-2</v>
      </c>
      <c r="U1751">
        <v>-3.0072329999999998</v>
      </c>
      <c r="V1751">
        <v>0.1085844</v>
      </c>
      <c r="W1751">
        <v>-7.2201849999999998E-2</v>
      </c>
      <c r="X1751">
        <v>0.9914617</v>
      </c>
      <c r="Y1751">
        <v>0.2034485</v>
      </c>
      <c r="Z1751">
        <v>2.750273E-2</v>
      </c>
      <c r="AA1751">
        <v>0.97869930000000005</v>
      </c>
      <c r="AB1751">
        <v>28</v>
      </c>
      <c r="AC1751">
        <v>-3.1695000000000002</v>
      </c>
      <c r="AD1751">
        <v>-1.1147201197799901</v>
      </c>
      <c r="AE1751">
        <v>-38.916400000000003</v>
      </c>
      <c r="AF1751">
        <v>7.9931616486022801</v>
      </c>
      <c r="AG1751">
        <v>-1.1147201197799901</v>
      </c>
      <c r="AH1751">
        <v>38.185849726066799</v>
      </c>
      <c r="AI1751">
        <v>91.636650334905994</v>
      </c>
      <c r="AJ1751">
        <v>78.177398345716199</v>
      </c>
      <c r="AK1751">
        <v>39.029378080977402</v>
      </c>
      <c r="AL1751">
        <v>94.140464091131307</v>
      </c>
      <c r="AM1751">
        <v>83.749903822227694</v>
      </c>
      <c r="AN1751">
        <v>0.99999999081683599</v>
      </c>
    </row>
    <row r="1752" spans="1:40" x14ac:dyDescent="0.25">
      <c r="A1752" t="str">
        <f>"20190303153808531"</f>
        <v>20190303153808531</v>
      </c>
      <c r="B1752" t="str">
        <f>"1551598688520391"</f>
        <v>1551598688520391</v>
      </c>
      <c r="C1752" t="s">
        <v>40</v>
      </c>
      <c r="D1752">
        <v>4.6915820000000004</v>
      </c>
      <c r="E1752">
        <v>0.53672200000000003</v>
      </c>
      <c r="F1752" t="s">
        <v>42</v>
      </c>
      <c r="G1752">
        <v>-194.73589999999999</v>
      </c>
      <c r="H1752" s="1">
        <v>-3.340753E-6</v>
      </c>
      <c r="I1752">
        <v>304.4391</v>
      </c>
      <c r="J1752">
        <v>-191.28909999999999</v>
      </c>
      <c r="K1752">
        <v>1.11466</v>
      </c>
      <c r="L1752">
        <v>345.37079999999997</v>
      </c>
      <c r="M1752">
        <v>0.1183607</v>
      </c>
      <c r="N1752">
        <v>-2.7475919999999998E-4</v>
      </c>
      <c r="O1752">
        <v>-0.99297069999999998</v>
      </c>
      <c r="P1752">
        <v>1.018078E-2</v>
      </c>
      <c r="Q1752">
        <v>-7.0035699999999895E-2</v>
      </c>
      <c r="R1752">
        <v>-0.99749290000000002</v>
      </c>
      <c r="S1752">
        <v>-0.24902340000000001</v>
      </c>
      <c r="T1752">
        <v>-8.1270690000000007E-2</v>
      </c>
      <c r="U1752">
        <v>-3.005951</v>
      </c>
      <c r="V1752">
        <v>0.1071595</v>
      </c>
      <c r="W1752">
        <v>-7.0978559999999996E-2</v>
      </c>
      <c r="X1752">
        <v>0.99170510000000001</v>
      </c>
      <c r="Y1752">
        <v>0.19990730000000001</v>
      </c>
      <c r="Z1752">
        <v>2.614729E-2</v>
      </c>
      <c r="AA1752">
        <v>0.97946580000000005</v>
      </c>
      <c r="AB1752">
        <v>28</v>
      </c>
      <c r="AC1752">
        <v>-3.4467999999999899</v>
      </c>
      <c r="AD1752">
        <v>-1.114663340753</v>
      </c>
      <c r="AE1752">
        <v>-40.9316999999999</v>
      </c>
      <c r="AF1752">
        <v>8.2611924618400394</v>
      </c>
      <c r="AG1752">
        <v>-1.114663340753</v>
      </c>
      <c r="AH1752">
        <v>40.2064048082052</v>
      </c>
      <c r="AI1752">
        <v>91.555554224305894</v>
      </c>
      <c r="AJ1752">
        <v>78.389057175146704</v>
      </c>
      <c r="AK1752">
        <v>41.061475410122</v>
      </c>
      <c r="AL1752">
        <v>94.070194147417993</v>
      </c>
      <c r="AM1752">
        <v>83.8327866441184</v>
      </c>
      <c r="AN1752">
        <v>1.0000000598929599</v>
      </c>
    </row>
    <row r="1753" spans="1:40" x14ac:dyDescent="0.25">
      <c r="A1753" t="str">
        <f>"20190303153808543"</f>
        <v>20190303153808543</v>
      </c>
      <c r="B1753" t="str">
        <f>"1551598688540884"</f>
        <v>1551598688540884</v>
      </c>
      <c r="C1753" t="s">
        <v>40</v>
      </c>
      <c r="D1753">
        <v>4.672199</v>
      </c>
      <c r="E1753">
        <v>0.53658969999999995</v>
      </c>
      <c r="F1753" t="s">
        <v>42</v>
      </c>
      <c r="G1753">
        <v>-195.07140000000001</v>
      </c>
      <c r="H1753" s="1">
        <v>-2.286491E-6</v>
      </c>
      <c r="I1753">
        <v>301.77359999999999</v>
      </c>
      <c r="J1753">
        <v>-191.2713</v>
      </c>
      <c r="K1753">
        <v>1.1146370000000001</v>
      </c>
      <c r="L1753">
        <v>345.19139999999999</v>
      </c>
      <c r="M1753">
        <v>0.11453729999999999</v>
      </c>
      <c r="N1753">
        <v>-2.9747999999999998E-4</v>
      </c>
      <c r="O1753">
        <v>-0.99341889999999999</v>
      </c>
      <c r="P1753">
        <v>7.3125899999999999E-3</v>
      </c>
      <c r="Q1753">
        <v>-6.9388229999999995E-2</v>
      </c>
      <c r="R1753">
        <v>-0.99756319999999998</v>
      </c>
      <c r="S1753">
        <v>-0.2606812</v>
      </c>
      <c r="T1753">
        <v>-7.6824310000000007E-2</v>
      </c>
      <c r="U1753">
        <v>-3.004791</v>
      </c>
      <c r="V1753">
        <v>0.1062014</v>
      </c>
      <c r="W1753">
        <v>-7.0304900000000004E-2</v>
      </c>
      <c r="X1753">
        <v>0.99185610000000002</v>
      </c>
      <c r="Y1753">
        <v>0.1999427</v>
      </c>
      <c r="Z1753">
        <v>2.470236E-2</v>
      </c>
      <c r="AA1753">
        <v>0.97949609999999998</v>
      </c>
      <c r="AB1753">
        <v>29</v>
      </c>
      <c r="AC1753">
        <v>-3.8001000000000098</v>
      </c>
      <c r="AD1753">
        <v>-1.114639286491</v>
      </c>
      <c r="AE1753">
        <v>-43.4178</v>
      </c>
      <c r="AF1753">
        <v>8.7423311401735404</v>
      </c>
      <c r="AG1753">
        <v>-1.114639286491</v>
      </c>
      <c r="AH1753">
        <v>42.668903868549201</v>
      </c>
      <c r="AI1753">
        <v>91.465957021906405</v>
      </c>
      <c r="AJ1753">
        <v>78.421051868758894</v>
      </c>
      <c r="AK1753">
        <v>43.569555102696803</v>
      </c>
      <c r="AL1753">
        <v>94.031499767861604</v>
      </c>
      <c r="AM1753">
        <v>83.888431180087096</v>
      </c>
      <c r="AN1753">
        <v>1.0000000197165899</v>
      </c>
    </row>
    <row r="1754" spans="1:40" x14ac:dyDescent="0.25">
      <c r="A1754" t="str">
        <f>"20190303153808565"</f>
        <v>20190303153808565</v>
      </c>
      <c r="B1754" t="str">
        <f>"1551598688560403"</f>
        <v>1551598688560403</v>
      </c>
      <c r="C1754" t="s">
        <v>40</v>
      </c>
      <c r="D1754">
        <v>4.6774500000000003</v>
      </c>
      <c r="E1754">
        <v>0.53684290000000001</v>
      </c>
      <c r="F1754" t="s">
        <v>51</v>
      </c>
      <c r="G1754">
        <v>-195.64189999999999</v>
      </c>
      <c r="H1754" s="1">
        <v>6.7818999999999996E-7</v>
      </c>
      <c r="I1754">
        <v>296.27170000000001</v>
      </c>
      <c r="J1754">
        <v>-191.24690000000001</v>
      </c>
      <c r="K1754">
        <v>1.1146020000000001</v>
      </c>
      <c r="L1754">
        <v>344.935</v>
      </c>
      <c r="M1754">
        <v>0.10909870000000001</v>
      </c>
      <c r="N1754">
        <v>-3.3196970000000001E-4</v>
      </c>
      <c r="O1754">
        <v>-0.994031</v>
      </c>
      <c r="P1754">
        <v>4.121357E-3</v>
      </c>
      <c r="Q1754">
        <v>-6.8386660000000002E-2</v>
      </c>
      <c r="R1754">
        <v>-0.9976507</v>
      </c>
      <c r="S1754">
        <v>-0.26843260000000002</v>
      </c>
      <c r="T1754">
        <v>-6.8458679999999994E-2</v>
      </c>
      <c r="U1754">
        <v>-3.0045470000000001</v>
      </c>
      <c r="V1754">
        <v>0.1039592</v>
      </c>
      <c r="W1754">
        <v>-6.9252530000000007E-2</v>
      </c>
      <c r="X1754">
        <v>0.99216760000000004</v>
      </c>
      <c r="Y1754">
        <v>0.19709969999999999</v>
      </c>
      <c r="Z1754">
        <v>2.1973489999999998E-2</v>
      </c>
      <c r="AA1754">
        <v>0.98013720000000004</v>
      </c>
      <c r="AB1754">
        <v>29</v>
      </c>
      <c r="AC1754">
        <v>-4.39499999999998</v>
      </c>
      <c r="AD1754">
        <v>-1.1146013218099999</v>
      </c>
      <c r="AE1754">
        <v>-48.6632999999999</v>
      </c>
      <c r="AF1754">
        <v>9.6728348579508197</v>
      </c>
      <c r="AG1754">
        <v>-1.1146013218099999</v>
      </c>
      <c r="AH1754">
        <v>47.868427209874497</v>
      </c>
      <c r="AI1754">
        <v>91.307456202531696</v>
      </c>
      <c r="AJ1754">
        <v>78.576001380664295</v>
      </c>
      <c r="AK1754">
        <v>48.848668291395803</v>
      </c>
      <c r="AL1754">
        <v>93.971056203717893</v>
      </c>
      <c r="AM1754">
        <v>84.018381870536899</v>
      </c>
      <c r="AN1754">
        <v>0.99999998733289996</v>
      </c>
    </row>
    <row r="1755" spans="1:40" x14ac:dyDescent="0.25">
      <c r="A1755" t="str">
        <f>"20190303153808586"</f>
        <v>20190303153808586</v>
      </c>
      <c r="B1755" t="str">
        <f>"1551598688580899"</f>
        <v>1551598688580899</v>
      </c>
      <c r="C1755" t="s">
        <v>40</v>
      </c>
      <c r="D1755">
        <v>4.6519599999999999</v>
      </c>
      <c r="E1755">
        <v>0.53684089999999995</v>
      </c>
      <c r="F1755" t="s">
        <v>51</v>
      </c>
      <c r="G1755">
        <v>-196.49760000000001</v>
      </c>
      <c r="H1755" s="1">
        <v>2.4631569999999999E-6</v>
      </c>
      <c r="I1755">
        <v>288.6071</v>
      </c>
      <c r="J1755">
        <v>-191.22069999999999</v>
      </c>
      <c r="K1755">
        <v>1.114574</v>
      </c>
      <c r="L1755">
        <v>344.64150000000001</v>
      </c>
      <c r="M1755">
        <v>0.1029323</v>
      </c>
      <c r="N1755">
        <v>-3.7257119999999999E-4</v>
      </c>
      <c r="O1755">
        <v>-0.99468840000000003</v>
      </c>
      <c r="P1755">
        <v>5.8699100000000003E-4</v>
      </c>
      <c r="Q1755">
        <v>-6.6089980000000006E-2</v>
      </c>
      <c r="R1755">
        <v>-0.99781379999999997</v>
      </c>
      <c r="S1755">
        <v>-0.28002929999999998</v>
      </c>
      <c r="T1755">
        <v>-5.9444669999999998E-2</v>
      </c>
      <c r="U1755">
        <v>-3.0041199999999999</v>
      </c>
      <c r="V1755">
        <v>0.10135950000000001</v>
      </c>
      <c r="W1755">
        <v>-6.6892149999999997E-2</v>
      </c>
      <c r="X1755">
        <v>0.99259850000000005</v>
      </c>
      <c r="Y1755">
        <v>0.19478989999999999</v>
      </c>
      <c r="Z1755">
        <v>1.9020169999999999E-2</v>
      </c>
      <c r="AA1755">
        <v>0.98066059999999999</v>
      </c>
      <c r="AB1755">
        <v>29</v>
      </c>
      <c r="AC1755">
        <v>-5.2769000000000101</v>
      </c>
      <c r="AD1755">
        <v>-1.114571536843</v>
      </c>
      <c r="AE1755">
        <v>-56.034399999999998</v>
      </c>
      <c r="AF1755">
        <v>11.0123018255075</v>
      </c>
      <c r="AG1755">
        <v>-1.114571536843</v>
      </c>
      <c r="AH1755">
        <v>55.171965587814803</v>
      </c>
      <c r="AI1755">
        <v>91.134937791991007</v>
      </c>
      <c r="AJ1755">
        <v>78.712128535134894</v>
      </c>
      <c r="AK1755">
        <v>56.271296839772901</v>
      </c>
      <c r="AL1755">
        <v>93.835501702783304</v>
      </c>
      <c r="AM1755">
        <v>84.169434014619895</v>
      </c>
      <c r="AN1755">
        <v>1.0000000450870601</v>
      </c>
    </row>
    <row r="1756" spans="1:40" x14ac:dyDescent="0.25">
      <c r="A1756" t="str">
        <f>"20190303153808610"</f>
        <v>20190303153808610</v>
      </c>
      <c r="B1756" t="str">
        <f>"1551598688600420"</f>
        <v>1551598688600420</v>
      </c>
      <c r="C1756" t="s">
        <v>40</v>
      </c>
      <c r="D1756">
        <v>4.6887319999999999</v>
      </c>
      <c r="E1756">
        <v>0.53674509999999998</v>
      </c>
      <c r="F1756" t="s">
        <v>51</v>
      </c>
      <c r="G1756">
        <v>-197.803</v>
      </c>
      <c r="H1756" s="1">
        <v>3.8078589999999999E-6</v>
      </c>
      <c r="I1756">
        <v>276.63200000000001</v>
      </c>
      <c r="J1756">
        <v>-191.1951</v>
      </c>
      <c r="K1756">
        <v>1.1145670000000001</v>
      </c>
      <c r="L1756">
        <v>344.33530000000002</v>
      </c>
      <c r="M1756">
        <v>9.6598980000000001E-2</v>
      </c>
      <c r="N1756">
        <v>-4.1344379999999999E-4</v>
      </c>
      <c r="O1756">
        <v>-0.99532319999999996</v>
      </c>
      <c r="P1756">
        <v>-3.5806890000000002E-3</v>
      </c>
      <c r="Q1756">
        <v>-6.5035750000000003E-2</v>
      </c>
      <c r="R1756">
        <v>-0.99787650000000006</v>
      </c>
      <c r="S1756">
        <v>-0.29069519999999999</v>
      </c>
      <c r="T1756">
        <v>-4.9222349999999998E-2</v>
      </c>
      <c r="U1756">
        <v>-3.003479</v>
      </c>
      <c r="V1756">
        <v>9.9206080000000002E-2</v>
      </c>
      <c r="W1756">
        <v>-6.5773449999999997E-2</v>
      </c>
      <c r="X1756">
        <v>0.99289070000000001</v>
      </c>
      <c r="Y1756">
        <v>0.19202250000000001</v>
      </c>
      <c r="Z1756">
        <v>1.5665760000000001E-2</v>
      </c>
      <c r="AA1756">
        <v>0.98126550000000001</v>
      </c>
      <c r="AB1756">
        <v>29</v>
      </c>
      <c r="AC1756">
        <v>-6.6078999999999999</v>
      </c>
      <c r="AD1756">
        <v>-1.114563192141</v>
      </c>
      <c r="AE1756">
        <v>-67.703299999999999</v>
      </c>
      <c r="AF1756">
        <v>13.113547883661001</v>
      </c>
      <c r="AG1756">
        <v>-1.114563192141</v>
      </c>
      <c r="AH1756">
        <v>66.730446822223996</v>
      </c>
      <c r="AI1756">
        <v>90.938936985612997</v>
      </c>
      <c r="AJ1756">
        <v>78.882179841723897</v>
      </c>
      <c r="AK1756">
        <v>68.015879927411106</v>
      </c>
      <c r="AL1756">
        <v>93.771263725133693</v>
      </c>
      <c r="AM1756">
        <v>84.294148509002497</v>
      </c>
      <c r="AN1756">
        <v>0.99999996759017895</v>
      </c>
    </row>
    <row r="1757" spans="1:40" x14ac:dyDescent="0.25">
      <c r="A1757" t="str">
        <f>"20190303153808631"</f>
        <v>20190303153808631</v>
      </c>
      <c r="B1757" t="str">
        <f>"1551598688620915"</f>
        <v>1551598688620915</v>
      </c>
      <c r="C1757" t="s">
        <v>40</v>
      </c>
      <c r="D1757">
        <v>4.6749390000000002</v>
      </c>
      <c r="E1757">
        <v>0.5366689</v>
      </c>
      <c r="F1757" t="s">
        <v>42</v>
      </c>
      <c r="G1757">
        <v>-198.89080000000001</v>
      </c>
      <c r="H1757" s="1">
        <v>-5.3258139999999999E-6</v>
      </c>
      <c r="I1757">
        <v>268.00259999999997</v>
      </c>
      <c r="J1757">
        <v>-191.1729</v>
      </c>
      <c r="K1757">
        <v>1.1145719999999999</v>
      </c>
      <c r="L1757">
        <v>344.04910000000001</v>
      </c>
      <c r="M1757">
        <v>9.0818670000000004E-2</v>
      </c>
      <c r="N1757">
        <v>-4.5067060000000001E-4</v>
      </c>
      <c r="O1757">
        <v>-0.99586750000000002</v>
      </c>
      <c r="P1757">
        <v>-7.1937279999999999E-3</v>
      </c>
      <c r="Q1757">
        <v>-6.5568219999999997E-2</v>
      </c>
      <c r="R1757">
        <v>-0.99782219999999999</v>
      </c>
      <c r="S1757">
        <v>-0.30270390000000003</v>
      </c>
      <c r="T1757">
        <v>-4.3840650000000002E-2</v>
      </c>
      <c r="U1757">
        <v>-3.002472</v>
      </c>
      <c r="V1757">
        <v>9.7031179999999995E-2</v>
      </c>
      <c r="W1757">
        <v>-6.6238480000000002E-2</v>
      </c>
      <c r="X1757">
        <v>0.99307469999999998</v>
      </c>
      <c r="Y1757">
        <v>0.19024530000000001</v>
      </c>
      <c r="Z1757">
        <v>1.388697E-2</v>
      </c>
      <c r="AA1757">
        <v>0.98163840000000002</v>
      </c>
      <c r="AB1757">
        <v>29</v>
      </c>
      <c r="AC1757">
        <v>-7.71790000000001</v>
      </c>
      <c r="AD1757">
        <v>-1.1145773258139999</v>
      </c>
      <c r="AE1757">
        <v>-76.046499999999995</v>
      </c>
      <c r="AF1757">
        <v>14.5893449359097</v>
      </c>
      <c r="AG1757">
        <v>-1.1145773258139999</v>
      </c>
      <c r="AH1757">
        <v>75.015354321378794</v>
      </c>
      <c r="AI1757">
        <v>90.8355836943892</v>
      </c>
      <c r="AJ1757">
        <v>78.994232115627199</v>
      </c>
      <c r="AK1757">
        <v>76.429017082755806</v>
      </c>
      <c r="AL1757">
        <v>93.797966194226902</v>
      </c>
      <c r="AM1757">
        <v>84.419467164586806</v>
      </c>
      <c r="AN1757">
        <v>0.99999997295249599</v>
      </c>
    </row>
    <row r="1758" spans="1:40" x14ac:dyDescent="0.25">
      <c r="A1758" t="str">
        <f>"20190303153808653"</f>
        <v>20190303153808653</v>
      </c>
      <c r="B1758" t="str">
        <f>"1551598688650196"</f>
        <v>1551598688650196</v>
      </c>
      <c r="C1758" t="s">
        <v>40</v>
      </c>
      <c r="D1758">
        <v>4.6881559999999904</v>
      </c>
      <c r="E1758">
        <v>0.53619550000000005</v>
      </c>
      <c r="F1758" t="s">
        <v>42</v>
      </c>
      <c r="G1758">
        <v>-199.31200000000001</v>
      </c>
      <c r="H1758" s="1">
        <v>-4.7068039999999997E-6</v>
      </c>
      <c r="I1758">
        <v>265.96409999999997</v>
      </c>
      <c r="J1758">
        <v>-191.15170000000001</v>
      </c>
      <c r="K1758">
        <v>1.1145780000000001</v>
      </c>
      <c r="L1758">
        <v>343.75569999999999</v>
      </c>
      <c r="M1758">
        <v>8.5022329999999993E-2</v>
      </c>
      <c r="N1758">
        <v>-4.9047960000000003E-4</v>
      </c>
      <c r="O1758">
        <v>-0.99637909999999996</v>
      </c>
      <c r="P1758">
        <v>-1.0720159999999999E-2</v>
      </c>
      <c r="Q1758">
        <v>-6.815367E-2</v>
      </c>
      <c r="R1758">
        <v>-0.99761750000000005</v>
      </c>
      <c r="S1758">
        <v>-0.31285099999999999</v>
      </c>
      <c r="T1758">
        <v>-4.2842150000000002E-2</v>
      </c>
      <c r="U1758">
        <v>-3.0014340000000002</v>
      </c>
      <c r="V1758">
        <v>9.4723859999999993E-2</v>
      </c>
      <c r="W1758">
        <v>-6.8750370000000005E-2</v>
      </c>
      <c r="X1758">
        <v>0.99312670000000003</v>
      </c>
      <c r="Y1758">
        <v>0.18785070000000001</v>
      </c>
      <c r="Z1758">
        <v>1.3537159999999999E-2</v>
      </c>
      <c r="AA1758">
        <v>0.98210430000000004</v>
      </c>
      <c r="AB1758">
        <v>30</v>
      </c>
      <c r="AC1758">
        <v>-8.1602999999999994</v>
      </c>
      <c r="AD1758">
        <v>-1.114582706804</v>
      </c>
      <c r="AE1758">
        <v>-77.791600000000003</v>
      </c>
      <c r="AF1758">
        <v>14.741781321615701</v>
      </c>
      <c r="AG1758">
        <v>-1.114582706804</v>
      </c>
      <c r="AH1758">
        <v>76.800518080543199</v>
      </c>
      <c r="AI1758">
        <v>90.816553384891606</v>
      </c>
      <c r="AJ1758">
        <v>79.134293833501403</v>
      </c>
      <c r="AK1758">
        <v>78.210497943591207</v>
      </c>
      <c r="AL1758">
        <v>93.942216031003994</v>
      </c>
      <c r="AM1758">
        <v>84.551642898609202</v>
      </c>
      <c r="AN1758">
        <v>0.999999932640661</v>
      </c>
    </row>
    <row r="1759" spans="1:40" x14ac:dyDescent="0.25">
      <c r="A1759" t="str">
        <f>"20190303153808667"</f>
        <v>20190303153808667</v>
      </c>
      <c r="B1759" t="str">
        <f>"1551598688660932"</f>
        <v>1551598688660932</v>
      </c>
      <c r="C1759" t="s">
        <v>40</v>
      </c>
      <c r="D1759">
        <v>4.6776879999999998</v>
      </c>
      <c r="E1759">
        <v>0.5360743</v>
      </c>
      <c r="F1759" t="s">
        <v>51</v>
      </c>
      <c r="G1759">
        <v>-198.51859999999999</v>
      </c>
      <c r="H1759" s="1">
        <v>4.2853329999999997E-6</v>
      </c>
      <c r="I1759">
        <v>274.59050000000002</v>
      </c>
      <c r="J1759">
        <v>-191.1377</v>
      </c>
      <c r="K1759">
        <v>1.114603</v>
      </c>
      <c r="L1759">
        <v>343.54930000000002</v>
      </c>
      <c r="M1759">
        <v>8.1025570000000005E-2</v>
      </c>
      <c r="N1759">
        <v>-5.202354E-4</v>
      </c>
      <c r="O1759">
        <v>-0.99671200000000004</v>
      </c>
      <c r="P1759">
        <v>-1.3730910000000001E-2</v>
      </c>
      <c r="Q1759">
        <v>-6.9940970000000005E-2</v>
      </c>
      <c r="R1759">
        <v>-0.99745680000000003</v>
      </c>
      <c r="S1759">
        <v>-0.31958009999999998</v>
      </c>
      <c r="T1759">
        <v>-4.835093E-2</v>
      </c>
      <c r="U1759">
        <v>-3.0004270000000002</v>
      </c>
      <c r="V1759">
        <v>9.3713389999999994E-2</v>
      </c>
      <c r="W1759">
        <v>-7.0489620000000003E-2</v>
      </c>
      <c r="X1759">
        <v>0.99310069999999995</v>
      </c>
      <c r="Y1759">
        <v>0.1861207</v>
      </c>
      <c r="Z1759">
        <v>1.532502E-2</v>
      </c>
      <c r="AA1759">
        <v>0.98240740000000004</v>
      </c>
      <c r="AB1759">
        <v>30</v>
      </c>
      <c r="AC1759">
        <v>-7.3808999999999898</v>
      </c>
      <c r="AD1759">
        <v>-1.114598714667</v>
      </c>
      <c r="AE1759">
        <v>-68.958799999999997</v>
      </c>
      <c r="AF1759">
        <v>12.9407154947303</v>
      </c>
      <c r="AG1759">
        <v>-1.114598714667</v>
      </c>
      <c r="AH1759">
        <v>68.116429489989599</v>
      </c>
      <c r="AI1759">
        <v>90.920985293914001</v>
      </c>
      <c r="AJ1759">
        <v>79.243174447368304</v>
      </c>
      <c r="AK1759">
        <v>69.343726567549098</v>
      </c>
      <c r="AL1759">
        <v>94.042109874588206</v>
      </c>
      <c r="AM1759">
        <v>84.609278938037306</v>
      </c>
      <c r="AN1759">
        <v>0.99999999316676302</v>
      </c>
    </row>
    <row r="1760" spans="1:40" x14ac:dyDescent="0.25">
      <c r="A1760" t="str">
        <f>"20190303153808686"</f>
        <v>20190303153808686</v>
      </c>
      <c r="B1760" t="str">
        <f>"1551598688680452"</f>
        <v>1551598688680452</v>
      </c>
      <c r="C1760" t="s">
        <v>40</v>
      </c>
      <c r="D1760">
        <v>4.6848809999999999</v>
      </c>
      <c r="E1760">
        <v>0.53578919999999997</v>
      </c>
      <c r="F1760" t="s">
        <v>51</v>
      </c>
      <c r="G1760">
        <v>-198.0189</v>
      </c>
      <c r="H1760" s="1">
        <v>2.8970509999999999E-6</v>
      </c>
      <c r="I1760">
        <v>280.55709999999999</v>
      </c>
      <c r="J1760">
        <v>-191.1223</v>
      </c>
      <c r="K1760">
        <v>1.1146499999999999</v>
      </c>
      <c r="L1760">
        <v>343.30650000000003</v>
      </c>
      <c r="M1760">
        <v>7.6454850000000005E-2</v>
      </c>
      <c r="N1760">
        <v>-5.5785379999999905E-4</v>
      </c>
      <c r="O1760">
        <v>-0.99707290000000004</v>
      </c>
      <c r="P1760">
        <v>-1.691635E-2</v>
      </c>
      <c r="Q1760">
        <v>-7.0490899999999995E-2</v>
      </c>
      <c r="R1760">
        <v>-0.9973689</v>
      </c>
      <c r="S1760">
        <v>-0.327652</v>
      </c>
      <c r="T1760">
        <v>-5.3071979999999998E-2</v>
      </c>
      <c r="U1760">
        <v>-2.99939</v>
      </c>
      <c r="V1760">
        <v>9.2331650000000001E-2</v>
      </c>
      <c r="W1760">
        <v>-7.0975090000000005E-2</v>
      </c>
      <c r="X1760">
        <v>0.99319550000000001</v>
      </c>
      <c r="Y1760">
        <v>0.18426190000000001</v>
      </c>
      <c r="Z1760">
        <v>1.685037E-2</v>
      </c>
      <c r="AA1760">
        <v>0.98273270000000001</v>
      </c>
      <c r="AB1760">
        <v>30</v>
      </c>
      <c r="AC1760">
        <v>-6.8966000000000003</v>
      </c>
      <c r="AD1760">
        <v>-1.1146471029489999</v>
      </c>
      <c r="AE1760">
        <v>-62.749400000000001</v>
      </c>
      <c r="AF1760">
        <v>11.670272111276899</v>
      </c>
      <c r="AG1760">
        <v>-1.1146471029489999</v>
      </c>
      <c r="AH1760">
        <v>62.0191206487183</v>
      </c>
      <c r="AI1760">
        <v>91.011890096868797</v>
      </c>
      <c r="AJ1760">
        <v>79.343145085246306</v>
      </c>
      <c r="AK1760">
        <v>63.117422439098704</v>
      </c>
      <c r="AL1760">
        <v>94.069995280046797</v>
      </c>
      <c r="AM1760">
        <v>84.688807544525801</v>
      </c>
      <c r="AN1760">
        <v>0.99999994910623802</v>
      </c>
    </row>
    <row r="1761" spans="1:40" x14ac:dyDescent="0.25">
      <c r="A1761" t="str">
        <f>"20190303153808710"</f>
        <v>20190303153808710</v>
      </c>
      <c r="B1761" t="str">
        <f>"1551598688699972"</f>
        <v>1551598688699972</v>
      </c>
      <c r="C1761" t="s">
        <v>40</v>
      </c>
      <c r="D1761">
        <v>4.7021949999999997</v>
      </c>
      <c r="E1761">
        <v>0.53528069999999905</v>
      </c>
      <c r="F1761" t="s">
        <v>51</v>
      </c>
      <c r="G1761">
        <v>-197.97479999999999</v>
      </c>
      <c r="H1761" s="1">
        <v>2.7787050000000001E-6</v>
      </c>
      <c r="I1761">
        <v>282.00020000000001</v>
      </c>
      <c r="J1761">
        <v>-191.1027</v>
      </c>
      <c r="K1761">
        <v>1.1147579999999999</v>
      </c>
      <c r="L1761">
        <v>342.97710000000001</v>
      </c>
      <c r="M1761">
        <v>7.0489880000000005E-2</v>
      </c>
      <c r="N1761">
        <v>-6.271928E-4</v>
      </c>
      <c r="O1761">
        <v>-0.99751250000000002</v>
      </c>
      <c r="P1761">
        <v>-2.137994E-2</v>
      </c>
      <c r="Q1761">
        <v>-7.1167919999999996E-2</v>
      </c>
      <c r="R1761">
        <v>-0.99723550000000005</v>
      </c>
      <c r="S1761">
        <v>-0.335144</v>
      </c>
      <c r="T1761">
        <v>-5.4514880000000002E-2</v>
      </c>
      <c r="U1761">
        <v>-2.9983520000000001</v>
      </c>
      <c r="V1761">
        <v>9.0843590000000002E-2</v>
      </c>
      <c r="W1761">
        <v>-7.1544300000000005E-2</v>
      </c>
      <c r="X1761">
        <v>0.99329190000000001</v>
      </c>
      <c r="Y1761">
        <v>0.1808438</v>
      </c>
      <c r="Z1761">
        <v>1.7275530000000001E-2</v>
      </c>
      <c r="AA1761">
        <v>0.98336009999999996</v>
      </c>
      <c r="AB1761">
        <v>30</v>
      </c>
      <c r="AC1761">
        <v>-6.8720999999999801</v>
      </c>
      <c r="AD1761">
        <v>-1.1147552212949901</v>
      </c>
      <c r="AE1761">
        <v>-60.976900000000001</v>
      </c>
      <c r="AF1761">
        <v>11.1495803131579</v>
      </c>
      <c r="AG1761">
        <v>-1.1147552212949901</v>
      </c>
      <c r="AH1761">
        <v>60.320898718922201</v>
      </c>
      <c r="AI1761">
        <v>91.041098031940706</v>
      </c>
      <c r="AJ1761">
        <v>79.527769696902098</v>
      </c>
      <c r="AK1761">
        <v>61.352804684231302</v>
      </c>
      <c r="AL1761">
        <v>94.1026916411857</v>
      </c>
      <c r="AM1761">
        <v>84.774431770680707</v>
      </c>
      <c r="AN1761">
        <v>0.999999971656093</v>
      </c>
    </row>
    <row r="1762" spans="1:40" x14ac:dyDescent="0.25">
      <c r="A1762" t="str">
        <f>"20190303153808731"</f>
        <v>20190303153808731</v>
      </c>
      <c r="B1762" t="str">
        <f>"1551598688720467"</f>
        <v>1551598688720467</v>
      </c>
      <c r="C1762" t="s">
        <v>40</v>
      </c>
      <c r="D1762">
        <v>4.6356729999999997</v>
      </c>
      <c r="E1762">
        <v>0.5349564</v>
      </c>
      <c r="F1762" t="s">
        <v>51</v>
      </c>
      <c r="G1762">
        <v>-197.84700000000001</v>
      </c>
      <c r="H1762" s="1">
        <v>2.5937630000000001E-6</v>
      </c>
      <c r="I1762">
        <v>284.37509999999997</v>
      </c>
      <c r="J1762">
        <v>-191.08699999999999</v>
      </c>
      <c r="K1762">
        <v>1.114889</v>
      </c>
      <c r="L1762">
        <v>342.68680000000001</v>
      </c>
      <c r="M1762">
        <v>6.5510260000000001E-2</v>
      </c>
      <c r="N1762">
        <v>-7.3715110000000005E-4</v>
      </c>
      <c r="O1762">
        <v>-0.99785179999999996</v>
      </c>
      <c r="P1762">
        <v>-2.509041E-2</v>
      </c>
      <c r="Q1762">
        <v>-7.1951379999999995E-2</v>
      </c>
      <c r="R1762">
        <v>-0.99709250000000005</v>
      </c>
      <c r="S1762">
        <v>-0.34489439999999999</v>
      </c>
      <c r="T1762">
        <v>-5.700707E-2</v>
      </c>
      <c r="U1762">
        <v>-2.996826</v>
      </c>
      <c r="V1762">
        <v>8.9590080000000002E-2</v>
      </c>
      <c r="W1762">
        <v>-7.2180670000000002E-2</v>
      </c>
      <c r="X1762">
        <v>0.99335969999999996</v>
      </c>
      <c r="Y1762">
        <v>0.179147</v>
      </c>
      <c r="Z1762">
        <v>1.8002199999999999E-2</v>
      </c>
      <c r="AA1762">
        <v>0.98365760000000002</v>
      </c>
      <c r="AB1762">
        <v>30</v>
      </c>
      <c r="AC1762">
        <v>-6.75999999999999</v>
      </c>
      <c r="AD1762">
        <v>-1.1148864062369901</v>
      </c>
      <c r="AE1762">
        <v>-58.311700000000002</v>
      </c>
      <c r="AF1762">
        <v>10.5616841543729</v>
      </c>
      <c r="AG1762">
        <v>-1.1148864062369901</v>
      </c>
      <c r="AH1762">
        <v>57.722770079986098</v>
      </c>
      <c r="AI1762">
        <v>91.088436307805395</v>
      </c>
      <c r="AJ1762">
        <v>79.631140979906803</v>
      </c>
      <c r="AK1762">
        <v>58.691654684311601</v>
      </c>
      <c r="AL1762">
        <v>94.139247509031193</v>
      </c>
      <c r="AM1762">
        <v>84.846495903649298</v>
      </c>
      <c r="AN1762">
        <v>0.99999996257007195</v>
      </c>
    </row>
    <row r="1763" spans="1:40" x14ac:dyDescent="0.25">
      <c r="A1763" t="str">
        <f>"20190303153808752"</f>
        <v>20190303153808752</v>
      </c>
      <c r="B1763" t="str">
        <f>"1551598688750724"</f>
        <v>1551598688750724</v>
      </c>
      <c r="C1763" t="s">
        <v>40</v>
      </c>
      <c r="D1763">
        <v>4.6289160000000003</v>
      </c>
      <c r="E1763">
        <v>0.5345628</v>
      </c>
      <c r="F1763" t="s">
        <v>51</v>
      </c>
      <c r="G1763">
        <v>-197.8212</v>
      </c>
      <c r="H1763" s="1">
        <v>2.4945340000000001E-6</v>
      </c>
      <c r="I1763">
        <v>285.5625</v>
      </c>
      <c r="J1763">
        <v>-191.072</v>
      </c>
      <c r="K1763">
        <v>1.11502099999999</v>
      </c>
      <c r="L1763">
        <v>342.3854</v>
      </c>
      <c r="M1763">
        <v>6.0550619999999999E-2</v>
      </c>
      <c r="N1763">
        <v>-9.0494519999999995E-4</v>
      </c>
      <c r="O1763">
        <v>-0.99816490000000002</v>
      </c>
      <c r="P1763">
        <v>-2.7901470000000001E-2</v>
      </c>
      <c r="Q1763">
        <v>-7.3606530000000003E-2</v>
      </c>
      <c r="R1763">
        <v>-0.99689720000000004</v>
      </c>
      <c r="S1763">
        <v>-0.3531494</v>
      </c>
      <c r="T1763">
        <v>-5.8465959999999997E-2</v>
      </c>
      <c r="U1763">
        <v>-2.9956670000000001</v>
      </c>
      <c r="V1763">
        <v>8.7450189999999997E-2</v>
      </c>
      <c r="W1763">
        <v>-7.3623309999999997E-2</v>
      </c>
      <c r="X1763">
        <v>0.99344460000000001</v>
      </c>
      <c r="Y1763">
        <v>0.1769741</v>
      </c>
      <c r="Z1763">
        <v>1.8330760000000001E-2</v>
      </c>
      <c r="AA1763">
        <v>0.98404480000000005</v>
      </c>
      <c r="AB1763">
        <v>31</v>
      </c>
      <c r="AC1763">
        <v>-6.7492000000000001</v>
      </c>
      <c r="AD1763">
        <v>-1.11501850546599</v>
      </c>
      <c r="AE1763">
        <v>-56.822899999999997</v>
      </c>
      <c r="AF1763">
        <v>10.1736158261075</v>
      </c>
      <c r="AG1763">
        <v>-1.11501850546599</v>
      </c>
      <c r="AH1763">
        <v>56.288596438370803</v>
      </c>
      <c r="AI1763">
        <v>91.116732435743003</v>
      </c>
      <c r="AJ1763">
        <v>79.754948625594096</v>
      </c>
      <c r="AK1763">
        <v>57.2114657585918</v>
      </c>
      <c r="AL1763">
        <v>94.222124859892503</v>
      </c>
      <c r="AM1763">
        <v>84.969377462628302</v>
      </c>
      <c r="AN1763">
        <v>1.00000005038777</v>
      </c>
    </row>
    <row r="1764" spans="1:40" x14ac:dyDescent="0.25">
      <c r="A1764" t="str">
        <f>"20190303153808777"</f>
        <v>20190303153808777</v>
      </c>
      <c r="B1764" t="str">
        <f>"1551598688770244"</f>
        <v>1551598688770244</v>
      </c>
      <c r="C1764" t="s">
        <v>40</v>
      </c>
      <c r="D1764">
        <v>4.6671829999999996</v>
      </c>
      <c r="E1764">
        <v>0.50627879999999903</v>
      </c>
      <c r="F1764" t="s">
        <v>51</v>
      </c>
      <c r="G1764">
        <v>-197.44829999999999</v>
      </c>
      <c r="H1764" s="1">
        <v>2.2518070000000002E-6</v>
      </c>
      <c r="I1764">
        <v>289.09559999999999</v>
      </c>
      <c r="J1764">
        <v>-191.0573</v>
      </c>
      <c r="K1764">
        <v>1.1151850000000001</v>
      </c>
      <c r="L1764">
        <v>342.05790000000002</v>
      </c>
      <c r="M1764">
        <v>5.5393249999999998E-2</v>
      </c>
      <c r="N1764">
        <v>-1.2327389999999901E-3</v>
      </c>
      <c r="O1764">
        <v>-0.99846400000000002</v>
      </c>
      <c r="P1764">
        <v>-3.0779040000000001E-2</v>
      </c>
      <c r="Q1764">
        <v>-7.6539899999999994E-2</v>
      </c>
      <c r="R1764">
        <v>-0.99659129999999996</v>
      </c>
      <c r="S1764">
        <v>-0.35832209999999998</v>
      </c>
      <c r="T1764">
        <v>-6.2659859999999998E-2</v>
      </c>
      <c r="U1764">
        <v>-2.9946899999999999</v>
      </c>
      <c r="V1764">
        <v>8.5164530000000002E-2</v>
      </c>
      <c r="W1764">
        <v>-7.6186879999999998E-2</v>
      </c>
      <c r="X1764">
        <v>0.99344980000000005</v>
      </c>
      <c r="Y1764">
        <v>0.173598799999999</v>
      </c>
      <c r="Z1764">
        <v>1.9401890000000001E-2</v>
      </c>
      <c r="AA1764">
        <v>0.98462530000000004</v>
      </c>
      <c r="AB1764">
        <v>31</v>
      </c>
      <c r="AC1764">
        <v>-6.3909999999999902</v>
      </c>
      <c r="AD1764">
        <v>-1.1151827481929999</v>
      </c>
      <c r="AE1764">
        <v>-52.962299999999999</v>
      </c>
      <c r="AF1764">
        <v>9.3108742312808292</v>
      </c>
      <c r="AG1764">
        <v>-1.1151827481929999</v>
      </c>
      <c r="AH1764">
        <v>52.504019728618999</v>
      </c>
      <c r="AI1764">
        <v>91.198089062593496</v>
      </c>
      <c r="AJ1764">
        <v>79.943917776779003</v>
      </c>
      <c r="AK1764">
        <v>53.334867574372097</v>
      </c>
      <c r="AL1764">
        <v>94.369420782785696</v>
      </c>
      <c r="AM1764">
        <v>85.100238260257697</v>
      </c>
      <c r="AN1764">
        <v>0.99999997148714703</v>
      </c>
    </row>
    <row r="1765" spans="1:40" x14ac:dyDescent="0.25">
      <c r="A1765" t="str">
        <f>"20190303153808800"</f>
        <v>20190303153808800</v>
      </c>
      <c r="B1765" t="str">
        <f>"1551598688790740"</f>
        <v>1551598688790740</v>
      </c>
      <c r="C1765" t="s">
        <v>40</v>
      </c>
      <c r="D1765">
        <v>4.6572659999999999</v>
      </c>
      <c r="E1765">
        <v>0.50103359999999997</v>
      </c>
      <c r="F1765" t="s">
        <v>42</v>
      </c>
      <c r="G1765">
        <v>-194.51859999999999</v>
      </c>
      <c r="H1765" s="1">
        <v>-4.7767980000000001E-6</v>
      </c>
      <c r="I1765">
        <v>268.66829999999999</v>
      </c>
      <c r="J1765">
        <v>-191.04419999999999</v>
      </c>
      <c r="K1765">
        <v>1.1153740000000001</v>
      </c>
      <c r="L1765">
        <v>341.73129999999998</v>
      </c>
      <c r="M1765">
        <v>5.0453310000000001E-2</v>
      </c>
      <c r="N1765">
        <v>-1.8073710000000001E-3</v>
      </c>
      <c r="O1765">
        <v>-0.99872479999999997</v>
      </c>
      <c r="P1765">
        <v>-3.2434909999999997E-2</v>
      </c>
      <c r="Q1765">
        <v>-7.9913170000000006E-2</v>
      </c>
      <c r="R1765">
        <v>-0.9962742</v>
      </c>
      <c r="S1765">
        <v>-0.14160159999999999</v>
      </c>
      <c r="T1765">
        <v>-4.5622589999999998E-2</v>
      </c>
      <c r="U1765">
        <v>-3.00238</v>
      </c>
      <c r="V1765">
        <v>8.1873860000000007E-2</v>
      </c>
      <c r="W1765">
        <v>-7.8940209999999997E-2</v>
      </c>
      <c r="X1765">
        <v>0.99351149999999999</v>
      </c>
      <c r="Y1765">
        <v>9.7442420000000002E-2</v>
      </c>
      <c r="Z1765">
        <v>1.3310789999999999E-2</v>
      </c>
      <c r="AA1765">
        <v>0.99515220000000004</v>
      </c>
      <c r="AB1765">
        <v>31</v>
      </c>
      <c r="AC1765">
        <v>-3.4744000000000002</v>
      </c>
      <c r="AD1765">
        <v>-1.1153787767979999</v>
      </c>
      <c r="AE1765">
        <v>-73.062999999999903</v>
      </c>
      <c r="AF1765">
        <v>7.1545876002715296</v>
      </c>
      <c r="AG1765">
        <v>-1.1153787767979999</v>
      </c>
      <c r="AH1765">
        <v>72.7777303064601</v>
      </c>
      <c r="AI1765">
        <v>90.873824705280995</v>
      </c>
      <c r="AJ1765">
        <v>84.385442954250706</v>
      </c>
      <c r="AK1765">
        <v>73.137064625985204</v>
      </c>
      <c r="AL1765">
        <v>94.5276516134373</v>
      </c>
      <c r="AM1765">
        <v>85.288982058076598</v>
      </c>
      <c r="AN1765">
        <v>0.99999999316919597</v>
      </c>
    </row>
    <row r="1766" spans="1:40" x14ac:dyDescent="0.25">
      <c r="A1766" t="str">
        <f>"20190303153808823"</f>
        <v>20190303153808823</v>
      </c>
      <c r="B1766" t="str">
        <f>"1551598688820996"</f>
        <v>1551598688820996</v>
      </c>
      <c r="C1766" t="s">
        <v>40</v>
      </c>
      <c r="D1766">
        <v>4.6722720000000004</v>
      </c>
      <c r="E1766">
        <v>0.4980154</v>
      </c>
      <c r="F1766" t="s">
        <v>51</v>
      </c>
      <c r="G1766">
        <v>-192.9383</v>
      </c>
      <c r="H1766" s="1">
        <v>3.2034210000000001E-6</v>
      </c>
      <c r="I1766">
        <v>287.36130000000003</v>
      </c>
      <c r="J1766">
        <v>-191.03280000000001</v>
      </c>
      <c r="K1766">
        <v>1.1155980000000001</v>
      </c>
      <c r="L1766">
        <v>341.41140000000001</v>
      </c>
      <c r="M1766">
        <v>4.5742600000000001E-2</v>
      </c>
      <c r="N1766">
        <v>-2.6359769999999999E-3</v>
      </c>
      <c r="O1766">
        <v>-0.9989498</v>
      </c>
      <c r="P1766">
        <v>-3.3697020000000001E-2</v>
      </c>
      <c r="Q1766">
        <v>-8.2813940000000003E-2</v>
      </c>
      <c r="R1766">
        <v>-0.99599499999999996</v>
      </c>
      <c r="S1766">
        <v>-0.10461429999999999</v>
      </c>
      <c r="T1766">
        <v>-6.1602120000000003E-2</v>
      </c>
      <c r="U1766">
        <v>-3.002869</v>
      </c>
      <c r="V1766">
        <v>7.842797E-2</v>
      </c>
      <c r="W1766">
        <v>-8.0971100000000004E-2</v>
      </c>
      <c r="X1766">
        <v>0.99362609999999996</v>
      </c>
      <c r="Y1766">
        <v>8.0487569999999994E-2</v>
      </c>
      <c r="Z1766">
        <v>1.780083E-2</v>
      </c>
      <c r="AA1766">
        <v>0.99659660000000005</v>
      </c>
      <c r="AB1766">
        <v>31</v>
      </c>
      <c r="AC1766">
        <v>-1.90549999999998</v>
      </c>
      <c r="AD1766">
        <v>-1.1155947965789901</v>
      </c>
      <c r="AE1766">
        <v>-54.050099999999901</v>
      </c>
      <c r="AF1766">
        <v>4.3740449959605101</v>
      </c>
      <c r="AG1766">
        <v>-1.1155947965789901</v>
      </c>
      <c r="AH1766">
        <v>53.883433955464497</v>
      </c>
      <c r="AI1766">
        <v>91.182186517266601</v>
      </c>
      <c r="AJ1766">
        <v>85.359130129972499</v>
      </c>
      <c r="AK1766">
        <v>54.0721857909382</v>
      </c>
      <c r="AL1766">
        <v>94.644386551081695</v>
      </c>
      <c r="AM1766">
        <v>85.486939661501594</v>
      </c>
      <c r="AN1766">
        <v>1.0000000460573599</v>
      </c>
    </row>
    <row r="1767" spans="1:40" x14ac:dyDescent="0.25">
      <c r="A1767" t="str">
        <f>"20190303153808843"</f>
        <v>20190303153808843</v>
      </c>
      <c r="B1767" t="str">
        <f>"1551598688840516"</f>
        <v>1551598688840516</v>
      </c>
      <c r="C1767" t="s">
        <v>40</v>
      </c>
      <c r="D1767">
        <v>4.6471879999999999</v>
      </c>
      <c r="E1767">
        <v>0.49663049999999997</v>
      </c>
      <c r="F1767" t="s">
        <v>51</v>
      </c>
      <c r="G1767">
        <v>-192.34800000000001</v>
      </c>
      <c r="H1767" s="1">
        <v>1.5638970000000001E-6</v>
      </c>
      <c r="I1767">
        <v>294.5686</v>
      </c>
      <c r="J1767">
        <v>-191.02379999999999</v>
      </c>
      <c r="K1767">
        <v>1.115826</v>
      </c>
      <c r="L1767">
        <v>341.1234</v>
      </c>
      <c r="M1767">
        <v>4.1560300000000001E-2</v>
      </c>
      <c r="N1767">
        <v>-3.5653899999999999E-3</v>
      </c>
      <c r="O1767">
        <v>-0.99912970000000001</v>
      </c>
      <c r="P1767">
        <v>-3.4409149999999999E-2</v>
      </c>
      <c r="Q1767">
        <v>-8.4331530000000002E-2</v>
      </c>
      <c r="R1767">
        <v>-0.99584360000000005</v>
      </c>
      <c r="S1767">
        <v>-8.4320069999999997E-2</v>
      </c>
      <c r="T1767">
        <v>-7.1525099999999994E-2</v>
      </c>
      <c r="U1767">
        <v>-3.0032649999999999</v>
      </c>
      <c r="V1767">
        <v>7.4978299999999998E-2</v>
      </c>
      <c r="W1767">
        <v>-8.152131E-2</v>
      </c>
      <c r="X1767">
        <v>0.99384729999999999</v>
      </c>
      <c r="Y1767">
        <v>6.9575899999999996E-2</v>
      </c>
      <c r="Z1767">
        <v>2.017803E-2</v>
      </c>
      <c r="AA1767">
        <v>0.99737260000000005</v>
      </c>
      <c r="AB1767">
        <v>31</v>
      </c>
      <c r="AC1767">
        <v>-1.3241999999999901</v>
      </c>
      <c r="AD1767">
        <v>-1.1158244361030001</v>
      </c>
      <c r="AE1767">
        <v>-46.5548</v>
      </c>
      <c r="AF1767">
        <v>3.2560305418322999</v>
      </c>
      <c r="AG1767">
        <v>-1.1158244361030001</v>
      </c>
      <c r="AH1767">
        <v>46.432889074507401</v>
      </c>
      <c r="AI1767">
        <v>91.373233741214605</v>
      </c>
      <c r="AJ1767">
        <v>85.988793152619806</v>
      </c>
      <c r="AK1767">
        <v>46.560283363259899</v>
      </c>
      <c r="AL1767">
        <v>94.676016216460297</v>
      </c>
      <c r="AM1767">
        <v>85.685637366548306</v>
      </c>
      <c r="AN1767">
        <v>0.99999996258614698</v>
      </c>
    </row>
    <row r="1768" spans="1:40" x14ac:dyDescent="0.25">
      <c r="A1768" t="str">
        <f>"20190303153808864"</f>
        <v>20190303153808864</v>
      </c>
      <c r="B1768" t="str">
        <f>"1551598688861011"</f>
        <v>1551598688861011</v>
      </c>
      <c r="C1768" t="s">
        <v>40</v>
      </c>
      <c r="D1768">
        <v>4.6464509999999999</v>
      </c>
      <c r="E1768">
        <v>0.49593809999999999</v>
      </c>
      <c r="F1768" t="s">
        <v>51</v>
      </c>
      <c r="G1768">
        <v>-192.12459999999999</v>
      </c>
      <c r="H1768" s="1">
        <v>6.2317019999999897E-7</v>
      </c>
      <c r="I1768">
        <v>297.3098</v>
      </c>
      <c r="J1768">
        <v>-191.01599999999999</v>
      </c>
      <c r="K1768">
        <v>1.116052</v>
      </c>
      <c r="L1768">
        <v>340.83409999999998</v>
      </c>
      <c r="M1768">
        <v>3.7394360000000001E-2</v>
      </c>
      <c r="N1768">
        <v>-4.5759679999999997E-3</v>
      </c>
      <c r="O1768">
        <v>-0.99929009999999996</v>
      </c>
      <c r="P1768">
        <v>-3.487519E-2</v>
      </c>
      <c r="Q1768">
        <v>-8.5104730000000003E-2</v>
      </c>
      <c r="R1768">
        <v>-0.99576160000000002</v>
      </c>
      <c r="S1768">
        <v>-7.5454709999999994E-2</v>
      </c>
      <c r="T1768">
        <v>-7.6491359999999994E-2</v>
      </c>
      <c r="U1768">
        <v>-3.003479</v>
      </c>
      <c r="V1768">
        <v>7.1309990000000004E-2</v>
      </c>
      <c r="W1768">
        <v>-8.1245100000000001E-2</v>
      </c>
      <c r="X1768">
        <v>0.99413989999999997</v>
      </c>
      <c r="Y1768">
        <v>6.2470150000000002E-2</v>
      </c>
      <c r="Z1768">
        <v>2.0826850000000001E-2</v>
      </c>
      <c r="AA1768">
        <v>0.99782950000000004</v>
      </c>
      <c r="AB1768">
        <v>31</v>
      </c>
      <c r="AC1768">
        <v>-1.10859999999999</v>
      </c>
      <c r="AD1768">
        <v>-1.1160513768297999</v>
      </c>
      <c r="AE1768">
        <v>-43.524299999999897</v>
      </c>
      <c r="AF1768">
        <v>2.7336087922840999</v>
      </c>
      <c r="AG1768">
        <v>-1.1160513768297999</v>
      </c>
      <c r="AH1768">
        <v>43.423868773592503</v>
      </c>
      <c r="AI1768">
        <v>91.469346585565503</v>
      </c>
      <c r="AJ1768">
        <v>86.397883353645597</v>
      </c>
      <c r="AK1768">
        <v>43.524137751036001</v>
      </c>
      <c r="AL1768">
        <v>94.660137652825298</v>
      </c>
      <c r="AM1768">
        <v>85.897181464740598</v>
      </c>
      <c r="AN1768">
        <v>1.0000000108599101</v>
      </c>
    </row>
    <row r="1769" spans="1:40" x14ac:dyDescent="0.25">
      <c r="A1769" t="str">
        <f>"20190303153808887"</f>
        <v>20190303153808887</v>
      </c>
      <c r="B1769" t="str">
        <f>"1551598688880532"</f>
        <v>1551598688880532</v>
      </c>
      <c r="C1769" t="s">
        <v>40</v>
      </c>
      <c r="D1769">
        <v>4.6985970000000004</v>
      </c>
      <c r="E1769">
        <v>0.49528070000000002</v>
      </c>
      <c r="F1769" t="s">
        <v>51</v>
      </c>
      <c r="G1769">
        <v>-192.03210000000001</v>
      </c>
      <c r="H1769" s="1">
        <v>3.4660770000000003E-7</v>
      </c>
      <c r="I1769">
        <v>298.11540000000002</v>
      </c>
      <c r="J1769">
        <v>-191.00880000000001</v>
      </c>
      <c r="K1769">
        <v>1.116268</v>
      </c>
      <c r="L1769">
        <v>340.51569999999998</v>
      </c>
      <c r="M1769">
        <v>3.2859840000000001E-2</v>
      </c>
      <c r="N1769">
        <v>-5.6762699999999998E-3</v>
      </c>
      <c r="O1769">
        <v>-0.99944390000000005</v>
      </c>
      <c r="P1769">
        <v>-3.582138E-2</v>
      </c>
      <c r="Q1769">
        <v>-8.7184529999999996E-2</v>
      </c>
      <c r="R1769">
        <v>-0.9955484</v>
      </c>
      <c r="S1769">
        <v>-7.1441649999999995E-2</v>
      </c>
      <c r="T1769">
        <v>-7.8469990000000003E-2</v>
      </c>
      <c r="U1769">
        <v>-3.003571</v>
      </c>
      <c r="V1769">
        <v>6.7739460000000001E-2</v>
      </c>
      <c r="W1769">
        <v>-8.218818E-2</v>
      </c>
      <c r="X1769">
        <v>0.99431199999999997</v>
      </c>
      <c r="Y1769">
        <v>5.6607030000000003E-2</v>
      </c>
      <c r="Z1769">
        <v>2.0393910000000001E-2</v>
      </c>
      <c r="AA1769">
        <v>0.99818819999999997</v>
      </c>
      <c r="AB1769">
        <v>31</v>
      </c>
      <c r="AC1769">
        <v>-1.0233000000000001</v>
      </c>
      <c r="AD1769">
        <v>-1.1162676533922999</v>
      </c>
      <c r="AE1769">
        <v>-42.400299999999902</v>
      </c>
      <c r="AF1769">
        <v>2.4143643876112399</v>
      </c>
      <c r="AG1769">
        <v>-1.1162676533922999</v>
      </c>
      <c r="AH1769">
        <v>42.314464520710303</v>
      </c>
      <c r="AI1769">
        <v>91.508675870643799</v>
      </c>
      <c r="AJ1769">
        <v>86.734377571466197</v>
      </c>
      <c r="AK1769">
        <v>42.397984817024401</v>
      </c>
      <c r="AL1769">
        <v>94.714353800952694</v>
      </c>
      <c r="AM1769">
        <v>86.102634514789301</v>
      </c>
      <c r="AN1769">
        <v>0.99999994235839995</v>
      </c>
    </row>
    <row r="1770" spans="1:40" x14ac:dyDescent="0.25">
      <c r="A1770" t="str">
        <f>"20190303153808910"</f>
        <v>20190303153808910</v>
      </c>
      <c r="B1770" t="str">
        <f>"1551598688900055"</f>
        <v>1551598688900055</v>
      </c>
      <c r="C1770" t="s">
        <v>40</v>
      </c>
      <c r="D1770">
        <v>4.7018120000000003</v>
      </c>
      <c r="E1770">
        <v>0.4947645</v>
      </c>
      <c r="F1770" t="s">
        <v>42</v>
      </c>
      <c r="G1770">
        <v>-191.9186</v>
      </c>
      <c r="H1770" s="1">
        <v>-1.0751099999999999E-6</v>
      </c>
      <c r="I1770">
        <v>300.90519999999998</v>
      </c>
      <c r="J1770">
        <v>-191.00309999999999</v>
      </c>
      <c r="K1770">
        <v>1.11646</v>
      </c>
      <c r="L1770">
        <v>340.19740000000002</v>
      </c>
      <c r="M1770">
        <v>2.842078E-2</v>
      </c>
      <c r="N1770">
        <v>-6.7092990000000002E-3</v>
      </c>
      <c r="O1770">
        <v>-0.99957370000000001</v>
      </c>
      <c r="P1770">
        <v>-3.5693370000000002E-2</v>
      </c>
      <c r="Q1770">
        <v>-8.7573490000000004E-2</v>
      </c>
      <c r="R1770">
        <v>-0.99551860000000003</v>
      </c>
      <c r="S1770">
        <v>-6.8984989999999996E-2</v>
      </c>
      <c r="T1770">
        <v>-8.4641460000000002E-2</v>
      </c>
      <c r="U1770">
        <v>-3.003479</v>
      </c>
      <c r="V1770">
        <v>6.3213640000000001E-2</v>
      </c>
      <c r="W1770">
        <v>-8.1496479999999996E-2</v>
      </c>
      <c r="X1770">
        <v>0.99466690000000002</v>
      </c>
      <c r="Y1770">
        <v>5.1355659999999997E-2</v>
      </c>
      <c r="Z1770">
        <v>2.142113E-2</v>
      </c>
      <c r="AA1770">
        <v>0.99845059999999997</v>
      </c>
      <c r="AB1770">
        <v>31</v>
      </c>
      <c r="AC1770">
        <v>-0.91550000000000797</v>
      </c>
      <c r="AD1770">
        <v>-1.1164610751099999</v>
      </c>
      <c r="AE1770">
        <v>-39.292200000000001</v>
      </c>
      <c r="AF1770">
        <v>2.0302318182956598</v>
      </c>
      <c r="AG1770">
        <v>-1.1164610751099999</v>
      </c>
      <c r="AH1770">
        <v>39.218660398408197</v>
      </c>
      <c r="AI1770">
        <v>91.628453501978797</v>
      </c>
      <c r="AJ1770">
        <v>87.036615445458196</v>
      </c>
      <c r="AK1770">
        <v>39.287041756970297</v>
      </c>
      <c r="AL1770">
        <v>94.674588912661406</v>
      </c>
      <c r="AM1770">
        <v>86.363596298605202</v>
      </c>
      <c r="AN1770">
        <v>0.99999994124502301</v>
      </c>
    </row>
    <row r="1771" spans="1:40" x14ac:dyDescent="0.25">
      <c r="A1771" t="str">
        <f>"20190303153808932"</f>
        <v>20190303153808932</v>
      </c>
      <c r="B1771" t="str">
        <f>"1551598688920551"</f>
        <v>1551598688920551</v>
      </c>
      <c r="C1771" t="s">
        <v>40</v>
      </c>
      <c r="D1771">
        <v>4.7018899999999997</v>
      </c>
      <c r="E1771">
        <v>0.49449500000000002</v>
      </c>
      <c r="F1771" t="s">
        <v>42</v>
      </c>
      <c r="G1771">
        <v>-191.83439999999999</v>
      </c>
      <c r="H1771" s="1">
        <v>-1.253555E-6</v>
      </c>
      <c r="I1771">
        <v>301.3734</v>
      </c>
      <c r="J1771">
        <v>-190.99889999999999</v>
      </c>
      <c r="K1771">
        <v>1.116633</v>
      </c>
      <c r="L1771">
        <v>339.89260000000002</v>
      </c>
      <c r="M1771">
        <v>2.428715E-2</v>
      </c>
      <c r="N1771">
        <v>-7.6184390000000003E-3</v>
      </c>
      <c r="O1771">
        <v>-0.99967609999999996</v>
      </c>
      <c r="P1771">
        <v>-3.5053670000000002E-2</v>
      </c>
      <c r="Q1771">
        <v>-8.9043579999999997E-2</v>
      </c>
      <c r="R1771">
        <v>-0.99541109999999999</v>
      </c>
      <c r="S1771">
        <v>-6.4315800000000006E-2</v>
      </c>
      <c r="T1771">
        <v>-8.6374519999999996E-2</v>
      </c>
      <c r="U1771">
        <v>-3.0036010000000002</v>
      </c>
      <c r="V1771">
        <v>5.8471080000000002E-2</v>
      </c>
      <c r="W1771">
        <v>-8.2005229999999998E-2</v>
      </c>
      <c r="X1771">
        <v>0.9949152</v>
      </c>
      <c r="Y1771">
        <v>4.5672860000000003E-2</v>
      </c>
      <c r="Z1771">
        <v>2.1095989999999998E-2</v>
      </c>
      <c r="AA1771">
        <v>0.99873369999999995</v>
      </c>
      <c r="AB1771">
        <v>31</v>
      </c>
      <c r="AC1771">
        <v>-0.83549999999999602</v>
      </c>
      <c r="AD1771">
        <v>-1.116634253555</v>
      </c>
      <c r="AE1771">
        <v>-38.519199999999998</v>
      </c>
      <c r="AF1771">
        <v>1.76931600277177</v>
      </c>
      <c r="AG1771">
        <v>-1.116634253555</v>
      </c>
      <c r="AH1771">
        <v>38.455243389492999</v>
      </c>
      <c r="AI1771">
        <v>91.661487444156407</v>
      </c>
      <c r="AJ1771">
        <v>87.365693508345899</v>
      </c>
      <c r="AK1771">
        <v>38.512116214498299</v>
      </c>
      <c r="AL1771">
        <v>94.703835808434604</v>
      </c>
      <c r="AM1771">
        <v>86.636600732657499</v>
      </c>
      <c r="AN1771">
        <v>0.99999999006737905</v>
      </c>
    </row>
    <row r="1772" spans="1:40" x14ac:dyDescent="0.25">
      <c r="A1772" t="str">
        <f>"20190303153808955"</f>
        <v>20190303153808955</v>
      </c>
      <c r="B1772" t="str">
        <f>"1551598688950804"</f>
        <v>1551598688950804</v>
      </c>
      <c r="C1772" t="s">
        <v>40</v>
      </c>
      <c r="D1772">
        <v>4.7256130000000001</v>
      </c>
      <c r="E1772">
        <v>0.49408150000000001</v>
      </c>
      <c r="F1772" t="s">
        <v>42</v>
      </c>
      <c r="G1772">
        <v>-191.7354</v>
      </c>
      <c r="H1772" s="1">
        <v>-1.8984919999999999E-6</v>
      </c>
      <c r="I1772">
        <v>302.93819999999999</v>
      </c>
      <c r="J1772">
        <v>-190.99590000000001</v>
      </c>
      <c r="K1772">
        <v>1.1167990000000001</v>
      </c>
      <c r="L1772">
        <v>339.57740000000001</v>
      </c>
      <c r="M1772">
        <v>2.010433E-2</v>
      </c>
      <c r="N1772">
        <v>-8.473642E-3</v>
      </c>
      <c r="O1772">
        <v>-0.99976200000000004</v>
      </c>
      <c r="P1772">
        <v>-3.5047080000000001E-2</v>
      </c>
      <c r="Q1772">
        <v>-9.2558089999999996E-2</v>
      </c>
      <c r="R1772">
        <v>-0.99509020000000004</v>
      </c>
      <c r="S1772">
        <v>-5.986023E-2</v>
      </c>
      <c r="T1772">
        <v>-9.0759400000000004E-2</v>
      </c>
      <c r="U1772">
        <v>-3.0036320000000001</v>
      </c>
      <c r="V1772">
        <v>5.4294549999999997E-2</v>
      </c>
      <c r="W1772">
        <v>-8.4617529999999996E-2</v>
      </c>
      <c r="X1772">
        <v>0.99493310000000001</v>
      </c>
      <c r="Y1772">
        <v>4.0011110000000003E-2</v>
      </c>
      <c r="Z1772">
        <v>2.1705970000000002E-2</v>
      </c>
      <c r="AA1772">
        <v>0.99896339999999995</v>
      </c>
      <c r="AB1772">
        <v>31</v>
      </c>
      <c r="AC1772">
        <v>-0.73949999999999205</v>
      </c>
      <c r="AD1772">
        <v>-1.1168008984919999</v>
      </c>
      <c r="AE1772">
        <v>-36.639200000000002</v>
      </c>
      <c r="AF1772">
        <v>1.4746140286271301</v>
      </c>
      <c r="AG1772">
        <v>-1.1168008984919999</v>
      </c>
      <c r="AH1772">
        <v>36.582951392277202</v>
      </c>
      <c r="AI1772">
        <v>91.747159171048807</v>
      </c>
      <c r="AJ1772">
        <v>87.691726819828304</v>
      </c>
      <c r="AK1772">
        <v>36.629688278089603</v>
      </c>
      <c r="AL1772">
        <v>94.854031964887099</v>
      </c>
      <c r="AM1772">
        <v>86.876407031075004</v>
      </c>
      <c r="AN1772">
        <v>0.999999949009305</v>
      </c>
    </row>
    <row r="1773" spans="1:40" x14ac:dyDescent="0.25">
      <c r="A1773" t="str">
        <f>"20190303153808980"</f>
        <v>20190303153808980</v>
      </c>
      <c r="B1773" t="str">
        <f>"1551598688970324"</f>
        <v>1551598688970324</v>
      </c>
      <c r="C1773" t="s">
        <v>40</v>
      </c>
      <c r="D1773">
        <v>4.7153859999999996</v>
      </c>
      <c r="E1773">
        <v>0.49386849999999999</v>
      </c>
      <c r="F1773" t="s">
        <v>42</v>
      </c>
      <c r="G1773">
        <v>-191.6224</v>
      </c>
      <c r="H1773" s="1">
        <v>-3.2386210000000002E-6</v>
      </c>
      <c r="I1773">
        <v>306.13220000000001</v>
      </c>
      <c r="J1773">
        <v>-190.994</v>
      </c>
      <c r="K1773">
        <v>1.116976</v>
      </c>
      <c r="L1773">
        <v>339.24529999999999</v>
      </c>
      <c r="M1773">
        <v>1.5815369999999999E-2</v>
      </c>
      <c r="N1773">
        <v>-9.2803729999999997E-3</v>
      </c>
      <c r="O1773">
        <v>-0.99983180000000005</v>
      </c>
      <c r="P1773">
        <v>-3.5330439999999998E-2</v>
      </c>
      <c r="Q1773">
        <v>-9.6717890000000001E-2</v>
      </c>
      <c r="R1773">
        <v>-0.99468460000000003</v>
      </c>
      <c r="S1773">
        <v>-5.6259160000000002E-2</v>
      </c>
      <c r="T1773">
        <v>-0.1002913</v>
      </c>
      <c r="U1773">
        <v>-3.0034480000000001</v>
      </c>
      <c r="V1773">
        <v>5.0304330000000001E-2</v>
      </c>
      <c r="W1773">
        <v>-8.7924530000000001E-2</v>
      </c>
      <c r="X1773">
        <v>0.99485610000000002</v>
      </c>
      <c r="Y1773">
        <v>3.4526899999999999E-2</v>
      </c>
      <c r="Z1773">
        <v>2.4076279999999999E-2</v>
      </c>
      <c r="AA1773">
        <v>0.99911369999999999</v>
      </c>
      <c r="AB1773">
        <v>31</v>
      </c>
      <c r="AC1773">
        <v>-0.62839999999996998</v>
      </c>
      <c r="AD1773">
        <v>-1.116979238621</v>
      </c>
      <c r="AE1773">
        <v>-33.113099999999903</v>
      </c>
      <c r="AF1773">
        <v>1.1507310073402299</v>
      </c>
      <c r="AG1773">
        <v>-1.116979238621</v>
      </c>
      <c r="AH1773">
        <v>33.0614134913084</v>
      </c>
      <c r="AI1773">
        <v>91.933830724275893</v>
      </c>
      <c r="AJ1773">
        <v>88.006575701349604</v>
      </c>
      <c r="AK1773">
        <v>33.100285293544403</v>
      </c>
      <c r="AL1773">
        <v>95.044218251172097</v>
      </c>
      <c r="AM1773">
        <v>87.105336969137397</v>
      </c>
      <c r="AN1773">
        <v>0.999999954149838</v>
      </c>
    </row>
    <row r="1774" spans="1:40" x14ac:dyDescent="0.25">
      <c r="A1774" t="str">
        <f>"20190303153809001"</f>
        <v>20190303153809001</v>
      </c>
      <c r="B1774" t="str">
        <f>"1551598688990821"</f>
        <v>1551598688990821</v>
      </c>
      <c r="C1774" t="s">
        <v>40</v>
      </c>
      <c r="D1774">
        <v>4.7517620000000003</v>
      </c>
      <c r="E1774">
        <v>0.49365120000000001</v>
      </c>
      <c r="F1774" t="s">
        <v>42</v>
      </c>
      <c r="G1774">
        <v>-191.5454</v>
      </c>
      <c r="H1774" s="1">
        <v>-4.5549990000000002E-6</v>
      </c>
      <c r="I1774">
        <v>309.56630000000001</v>
      </c>
      <c r="J1774">
        <v>-190.99340000000001</v>
      </c>
      <c r="K1774">
        <v>1.117156</v>
      </c>
      <c r="L1774">
        <v>338.93680000000001</v>
      </c>
      <c r="M1774">
        <v>1.197466E-2</v>
      </c>
      <c r="N1774">
        <v>-9.945377E-3</v>
      </c>
      <c r="O1774">
        <v>-0.99987879999999996</v>
      </c>
      <c r="P1774">
        <v>-3.5164800000000003E-2</v>
      </c>
      <c r="Q1774">
        <v>-9.8002409999999998E-2</v>
      </c>
      <c r="R1774">
        <v>-0.99456480000000003</v>
      </c>
      <c r="S1774">
        <v>-5.5786130000000003E-2</v>
      </c>
      <c r="T1774">
        <v>-0.1130188</v>
      </c>
      <c r="U1774">
        <v>-3.0029910000000002</v>
      </c>
      <c r="V1774">
        <v>4.6344429999999999E-2</v>
      </c>
      <c r="W1774">
        <v>-8.8496249999999999E-2</v>
      </c>
      <c r="X1774">
        <v>0.99499780000000004</v>
      </c>
      <c r="Y1774">
        <v>3.0531180000000002E-2</v>
      </c>
      <c r="Z1774">
        <v>2.7651410000000001E-2</v>
      </c>
      <c r="AA1774">
        <v>0.99915129999999996</v>
      </c>
      <c r="AB1774">
        <v>31</v>
      </c>
      <c r="AC1774">
        <v>-0.55199999999999205</v>
      </c>
      <c r="AD1774">
        <v>-1.117160554999</v>
      </c>
      <c r="AE1774">
        <v>-29.3705</v>
      </c>
      <c r="AF1774">
        <v>0.90237448470890202</v>
      </c>
      <c r="AG1774">
        <v>-1.117160554999</v>
      </c>
      <c r="AH1774">
        <v>29.319379321841701</v>
      </c>
      <c r="AI1774">
        <v>92.181062004709403</v>
      </c>
      <c r="AJ1774">
        <v>88.2371409280546</v>
      </c>
      <c r="AK1774">
        <v>29.3545282918043</v>
      </c>
      <c r="AL1774">
        <v>95.077103317459901</v>
      </c>
      <c r="AM1774">
        <v>87.3332377981679</v>
      </c>
      <c r="AN1774">
        <v>1.00000000723046</v>
      </c>
    </row>
    <row r="1775" spans="1:40" x14ac:dyDescent="0.25">
      <c r="A1775" t="str">
        <f>"20190303153809024"</f>
        <v>20190303153809024</v>
      </c>
      <c r="B1775" t="str">
        <f>"1551598689020101"</f>
        <v>1551598689020101</v>
      </c>
      <c r="C1775" t="s">
        <v>40</v>
      </c>
      <c r="D1775">
        <v>4.7637460000000003</v>
      </c>
      <c r="E1775">
        <v>0.49337259999999999</v>
      </c>
      <c r="F1775" t="s">
        <v>42</v>
      </c>
      <c r="G1775">
        <v>-191.50630000000001</v>
      </c>
      <c r="H1775" s="1">
        <v>-6.6180119999999997E-7</v>
      </c>
      <c r="I1775">
        <v>310.1438</v>
      </c>
      <c r="J1775">
        <v>-190.99369999999999</v>
      </c>
      <c r="K1775">
        <v>1.117351</v>
      </c>
      <c r="L1775">
        <v>338.63420000000002</v>
      </c>
      <c r="M1775">
        <v>8.38315699999999E-3</v>
      </c>
      <c r="N1775">
        <v>-1.052113E-2</v>
      </c>
      <c r="O1775">
        <v>-0.99990950000000001</v>
      </c>
      <c r="P1775">
        <v>-3.4707670000000003E-2</v>
      </c>
      <c r="Q1775">
        <v>-9.8209539999999998E-2</v>
      </c>
      <c r="R1775">
        <v>-0.99456040000000001</v>
      </c>
      <c r="S1775">
        <v>-5.3497309999999999E-2</v>
      </c>
      <c r="T1775">
        <v>-0.1165149</v>
      </c>
      <c r="U1775">
        <v>-3.0029910000000002</v>
      </c>
      <c r="V1775">
        <v>4.235469E-2</v>
      </c>
      <c r="W1775">
        <v>-8.8078680000000006E-2</v>
      </c>
      <c r="X1775">
        <v>0.99521269999999995</v>
      </c>
      <c r="Y1775">
        <v>2.6179620000000001E-2</v>
      </c>
      <c r="Z1775">
        <v>2.824254E-2</v>
      </c>
      <c r="AA1775">
        <v>0.99925819999999999</v>
      </c>
      <c r="AB1775">
        <v>31</v>
      </c>
      <c r="AC1775">
        <v>-0.51260000000002004</v>
      </c>
      <c r="AD1775">
        <v>-1.1173516618011901</v>
      </c>
      <c r="AE1775">
        <v>-28.490400000000001</v>
      </c>
      <c r="AF1775">
        <v>0.75028107558840496</v>
      </c>
      <c r="AG1775">
        <v>-1.1173516618011901</v>
      </c>
      <c r="AH1775">
        <v>28.4413699901896</v>
      </c>
      <c r="AI1775">
        <v>92.2489914979665</v>
      </c>
      <c r="AJ1775">
        <v>88.488892360517795</v>
      </c>
      <c r="AK1775">
        <v>28.473196577612701</v>
      </c>
      <c r="AL1775">
        <v>95.053084330219207</v>
      </c>
      <c r="AM1775">
        <v>87.563052152830195</v>
      </c>
      <c r="AN1775">
        <v>1.00000004593841</v>
      </c>
    </row>
    <row r="1776" spans="1:40" x14ac:dyDescent="0.25">
      <c r="A1776" t="str">
        <f>"20190303153809043"</f>
        <v>20190303153809043</v>
      </c>
      <c r="B1776" t="str">
        <f>"1551598689040597"</f>
        <v>1551598689040597</v>
      </c>
      <c r="C1776" t="s">
        <v>40</v>
      </c>
      <c r="D1776">
        <v>4.752135</v>
      </c>
      <c r="E1776">
        <v>0.49323929999999999</v>
      </c>
      <c r="F1776" t="s">
        <v>42</v>
      </c>
      <c r="G1776">
        <v>-191.482</v>
      </c>
      <c r="H1776" s="1">
        <v>-4.4497050000000003E-6</v>
      </c>
      <c r="I1776">
        <v>309.29000000000002</v>
      </c>
      <c r="J1776">
        <v>-190.9948</v>
      </c>
      <c r="K1776">
        <v>1.1175269999999999</v>
      </c>
      <c r="L1776">
        <v>338.36329999999998</v>
      </c>
      <c r="M1776">
        <v>5.3408750000000001E-3</v>
      </c>
      <c r="N1776">
        <v>-1.097562E-2</v>
      </c>
      <c r="O1776">
        <v>-0.99992570000000003</v>
      </c>
      <c r="P1776">
        <v>-3.3400890000000003E-2</v>
      </c>
      <c r="Q1776">
        <v>-9.8347870000000004E-2</v>
      </c>
      <c r="R1776">
        <v>-0.99459140000000001</v>
      </c>
      <c r="S1776">
        <v>-4.9972530000000001E-2</v>
      </c>
      <c r="T1776">
        <v>-0.11436060000000001</v>
      </c>
      <c r="U1776">
        <v>-3.0033569999999998</v>
      </c>
      <c r="V1776">
        <v>3.8060650000000001E-2</v>
      </c>
      <c r="W1776">
        <v>-8.7713659999999999E-2</v>
      </c>
      <c r="X1776">
        <v>0.99541840000000004</v>
      </c>
      <c r="Y1776">
        <v>2.19648E-2</v>
      </c>
      <c r="Z1776">
        <v>2.7071520000000002E-2</v>
      </c>
      <c r="AA1776">
        <v>0.99939219999999895</v>
      </c>
      <c r="AB1776">
        <v>31</v>
      </c>
      <c r="AC1776">
        <v>-0.48720000000000102</v>
      </c>
      <c r="AD1776">
        <v>-1.117531449705</v>
      </c>
      <c r="AE1776">
        <v>-29.0732999999999</v>
      </c>
      <c r="AF1776">
        <v>0.64153163021661896</v>
      </c>
      <c r="AG1776">
        <v>-1.117531449705</v>
      </c>
      <c r="AH1776">
        <v>29.027406774806501</v>
      </c>
      <c r="AI1776">
        <v>92.204214127501601</v>
      </c>
      <c r="AJ1776">
        <v>88.733918182255806</v>
      </c>
      <c r="AK1776">
        <v>29.055993933158302</v>
      </c>
      <c r="AL1776">
        <v>95.032088970059206</v>
      </c>
      <c r="AM1776">
        <v>87.810314916570903</v>
      </c>
      <c r="AN1776">
        <v>1.00000004514378</v>
      </c>
    </row>
    <row r="1777" spans="1:40" x14ac:dyDescent="0.25">
      <c r="A1777" t="str">
        <f>"20190303153809065"</f>
        <v>20190303153809065</v>
      </c>
      <c r="B1777" t="str">
        <f>"1551598689060116"</f>
        <v>1551598689060116</v>
      </c>
      <c r="C1777" t="s">
        <v>40</v>
      </c>
      <c r="D1777">
        <v>4.8420019999999999</v>
      </c>
      <c r="E1777">
        <v>0.49332759999999998</v>
      </c>
      <c r="F1777" t="s">
        <v>42</v>
      </c>
      <c r="G1777">
        <v>-191.43870000000001</v>
      </c>
      <c r="H1777" s="1">
        <v>-4.2448539999999998E-6</v>
      </c>
      <c r="I1777">
        <v>308.7106</v>
      </c>
      <c r="J1777">
        <v>-190.99680000000001</v>
      </c>
      <c r="K1777">
        <v>1.117737</v>
      </c>
      <c r="L1777">
        <v>338.05560000000003</v>
      </c>
      <c r="M1777">
        <v>2.0911229999999999E-3</v>
      </c>
      <c r="N1777">
        <v>-1.143137E-2</v>
      </c>
      <c r="O1777">
        <v>-0.9999325</v>
      </c>
      <c r="P1777">
        <v>-3.342229E-2</v>
      </c>
      <c r="Q1777">
        <v>-9.9800910000000007E-2</v>
      </c>
      <c r="R1777">
        <v>-0.99444600000000005</v>
      </c>
      <c r="S1777">
        <v>-4.4967649999999998E-2</v>
      </c>
      <c r="T1777">
        <v>-0.1131988</v>
      </c>
      <c r="U1777">
        <v>-3.0036320000000001</v>
      </c>
      <c r="V1777">
        <v>3.4885600000000003E-2</v>
      </c>
      <c r="W1777">
        <v>-8.8672269999999997E-2</v>
      </c>
      <c r="X1777">
        <v>0.99544980000000005</v>
      </c>
      <c r="Y1777">
        <v>1.7050470000000002E-2</v>
      </c>
      <c r="Z1777">
        <v>2.6229700000000002E-2</v>
      </c>
      <c r="AA1777">
        <v>0.99951049999999997</v>
      </c>
      <c r="AB1777">
        <v>31</v>
      </c>
      <c r="AC1777">
        <v>-0.44190000000000401</v>
      </c>
      <c r="AD1777">
        <v>-1.1177412448540001</v>
      </c>
      <c r="AE1777">
        <v>-29.344999999999999</v>
      </c>
      <c r="AF1777">
        <v>0.50253811791065806</v>
      </c>
      <c r="AG1777">
        <v>-1.1177412448540001</v>
      </c>
      <c r="AH1777">
        <v>29.301510047733</v>
      </c>
      <c r="AI1777">
        <v>92.1842361302797</v>
      </c>
      <c r="AJ1777">
        <v>89.017440038480402</v>
      </c>
      <c r="AK1777">
        <v>29.327127052062199</v>
      </c>
      <c r="AL1777">
        <v>95.087228155710093</v>
      </c>
      <c r="AM1777">
        <v>87.992887266089795</v>
      </c>
      <c r="AN1777">
        <v>1.0000000404371701</v>
      </c>
    </row>
    <row r="1778" spans="1:40" x14ac:dyDescent="0.25">
      <c r="A1778" t="str">
        <f>"20190303153809089"</f>
        <v>20190303153809089</v>
      </c>
      <c r="B1778" t="str">
        <f>"1551598689080612"</f>
        <v>1551598689080612</v>
      </c>
      <c r="C1778" t="s">
        <v>40</v>
      </c>
      <c r="D1778">
        <v>5.0463550000000001</v>
      </c>
      <c r="E1778">
        <v>0.51699419999999996</v>
      </c>
      <c r="F1778" t="s">
        <v>42</v>
      </c>
      <c r="G1778">
        <v>-191.43690000000001</v>
      </c>
      <c r="H1778" s="1">
        <v>-4.3935770000000002E-6</v>
      </c>
      <c r="I1778">
        <v>309.14850000000001</v>
      </c>
      <c r="J1778">
        <v>-190.99959999999999</v>
      </c>
      <c r="K1778">
        <v>1.1179570000000001</v>
      </c>
      <c r="L1778">
        <v>337.7405</v>
      </c>
      <c r="M1778">
        <v>-1.0000969999999999E-3</v>
      </c>
      <c r="N1778">
        <v>-1.183763E-2</v>
      </c>
      <c r="O1778">
        <v>-0.99992970000000003</v>
      </c>
      <c r="P1778">
        <v>-3.3628699999999997E-2</v>
      </c>
      <c r="Q1778">
        <v>-0.1016783</v>
      </c>
      <c r="R1778">
        <v>-0.99424900000000005</v>
      </c>
      <c r="S1778">
        <v>-4.5730590000000002E-2</v>
      </c>
      <c r="T1778">
        <v>-0.11613809999999999</v>
      </c>
      <c r="U1778">
        <v>-3.003571</v>
      </c>
      <c r="V1778">
        <v>3.205413E-2</v>
      </c>
      <c r="W1778">
        <v>-9.0109679999999998E-2</v>
      </c>
      <c r="X1778">
        <v>0.99541590000000002</v>
      </c>
      <c r="Y1778">
        <v>1.421387E-2</v>
      </c>
      <c r="Z1778">
        <v>2.680219E-2</v>
      </c>
      <c r="AA1778">
        <v>0.99953970000000003</v>
      </c>
      <c r="AB1778">
        <v>31</v>
      </c>
      <c r="AC1778">
        <v>-0.43730000000002101</v>
      </c>
      <c r="AD1778">
        <v>-1.1179613935770001</v>
      </c>
      <c r="AE1778">
        <v>-28.591999999999899</v>
      </c>
      <c r="AF1778">
        <v>0.40807926620504897</v>
      </c>
      <c r="AG1778">
        <v>-1.1179613935770001</v>
      </c>
      <c r="AH1778">
        <v>28.548786501141301</v>
      </c>
      <c r="AI1778">
        <v>92.242309832512504</v>
      </c>
      <c r="AJ1778">
        <v>89.181064055835407</v>
      </c>
      <c r="AK1778">
        <v>28.573581803000899</v>
      </c>
      <c r="AL1778">
        <v>95.169916837622495</v>
      </c>
      <c r="AM1778">
        <v>88.155613197488194</v>
      </c>
      <c r="AN1778">
        <v>1.00000001782628</v>
      </c>
    </row>
    <row r="1779" spans="1:40" x14ac:dyDescent="0.25">
      <c r="A1779" t="str">
        <f>"20190303153809111"</f>
        <v>20190303153809111</v>
      </c>
      <c r="B1779" t="str">
        <f>"1551598689100147"</f>
        <v>1551598689100147</v>
      </c>
      <c r="C1779" t="s">
        <v>40</v>
      </c>
      <c r="D1779">
        <v>4.8699669999999999</v>
      </c>
      <c r="E1779">
        <v>0.51799189999999995</v>
      </c>
      <c r="F1779" t="s">
        <v>51</v>
      </c>
      <c r="G1779">
        <v>-194.77719999999999</v>
      </c>
      <c r="H1779" s="1">
        <v>2.6948960000000001E-6</v>
      </c>
      <c r="I1779">
        <v>289.447</v>
      </c>
      <c r="J1779">
        <v>-191.00299999999999</v>
      </c>
      <c r="K1779">
        <v>1.1181719999999999</v>
      </c>
      <c r="L1779">
        <v>337.43239999999997</v>
      </c>
      <c r="M1779">
        <v>-3.7501040000000002E-3</v>
      </c>
      <c r="N1779">
        <v>-1.217711E-2</v>
      </c>
      <c r="O1779">
        <v>-0.9999188</v>
      </c>
      <c r="P1779">
        <v>-3.3995959999999999E-2</v>
      </c>
      <c r="Q1779">
        <v>-0.1031873</v>
      </c>
      <c r="R1779">
        <v>-0.99408070000000004</v>
      </c>
      <c r="S1779">
        <v>-0.234848</v>
      </c>
      <c r="T1779">
        <v>-6.9501279999999999E-2</v>
      </c>
      <c r="U1779">
        <v>-3.002319</v>
      </c>
      <c r="V1779">
        <v>2.972617E-2</v>
      </c>
      <c r="W1779">
        <v>-9.1251330000000005E-2</v>
      </c>
      <c r="X1779">
        <v>0.99538409999999999</v>
      </c>
      <c r="Y1779">
        <v>7.4223940000000002E-2</v>
      </c>
      <c r="Z1779">
        <v>1.090183E-2</v>
      </c>
      <c r="AA1779">
        <v>0.99718200000000001</v>
      </c>
      <c r="AB1779">
        <v>30</v>
      </c>
      <c r="AC1779">
        <v>-3.7742</v>
      </c>
      <c r="AD1779">
        <v>-1.118169305104</v>
      </c>
      <c r="AE1779">
        <v>-47.985399999999899</v>
      </c>
      <c r="AF1779">
        <v>3.5922712718133401</v>
      </c>
      <c r="AG1779">
        <v>-1.118169305104</v>
      </c>
      <c r="AH1779">
        <v>47.973328042478101</v>
      </c>
      <c r="AI1779">
        <v>91.331490264163705</v>
      </c>
      <c r="AJ1779">
        <v>85.717649957078294</v>
      </c>
      <c r="AK1779">
        <v>48.120628829602602</v>
      </c>
      <c r="AL1779">
        <v>95.235599382292705</v>
      </c>
      <c r="AM1779">
        <v>88.289426142990294</v>
      </c>
      <c r="AN1779">
        <v>0.99999997847122302</v>
      </c>
    </row>
    <row r="1780" spans="1:40" x14ac:dyDescent="0.25">
      <c r="A1780" t="str">
        <f>"20190303153809133"</f>
        <v>20190303153809133</v>
      </c>
      <c r="B1780" t="str">
        <f>"1551598689130391"</f>
        <v>1551598689130391</v>
      </c>
      <c r="C1780" t="s">
        <v>40</v>
      </c>
      <c r="D1780">
        <v>4.8694949999999997</v>
      </c>
      <c r="E1780">
        <v>0.51900349999999995</v>
      </c>
      <c r="F1780" t="s">
        <v>51</v>
      </c>
      <c r="G1780">
        <v>-194.87180000000001</v>
      </c>
      <c r="H1780" s="1">
        <v>2.5724900000000001E-6</v>
      </c>
      <c r="I1780">
        <v>289.87329999999997</v>
      </c>
      <c r="J1780">
        <v>-191.0068</v>
      </c>
      <c r="K1780">
        <v>1.118382</v>
      </c>
      <c r="L1780">
        <v>337.13819999999998</v>
      </c>
      <c r="M1780">
        <v>-6.1384250000000003E-3</v>
      </c>
      <c r="N1780">
        <v>-1.245837E-2</v>
      </c>
      <c r="O1780">
        <v>-0.9999036</v>
      </c>
      <c r="P1780">
        <v>-3.4021929999999999E-2</v>
      </c>
      <c r="Q1780">
        <v>-0.1030432</v>
      </c>
      <c r="R1780">
        <v>-0.99409499999999995</v>
      </c>
      <c r="S1780">
        <v>-0.24421689999999999</v>
      </c>
      <c r="T1780">
        <v>-7.0584300000000003E-2</v>
      </c>
      <c r="U1780">
        <v>-3.002167</v>
      </c>
      <c r="V1780">
        <v>2.7423900000000001E-2</v>
      </c>
      <c r="W1780">
        <v>-9.0798900000000002E-2</v>
      </c>
      <c r="X1780">
        <v>0.99549160000000003</v>
      </c>
      <c r="Y1780">
        <v>7.4937249999999997E-2</v>
      </c>
      <c r="Z1780">
        <v>1.097858E-2</v>
      </c>
      <c r="AA1780">
        <v>0.99712780000000001</v>
      </c>
      <c r="AB1780">
        <v>30</v>
      </c>
      <c r="AC1780">
        <v>-3.8650000000000002</v>
      </c>
      <c r="AD1780">
        <v>-1.1183794275100001</v>
      </c>
      <c r="AE1780">
        <v>-47.264899999999997</v>
      </c>
      <c r="AF1780">
        <v>3.5727855521566201</v>
      </c>
      <c r="AG1780">
        <v>-1.1183794275100001</v>
      </c>
      <c r="AH1780">
        <v>47.261450894944502</v>
      </c>
      <c r="AI1780">
        <v>91.351720035780204</v>
      </c>
      <c r="AJ1780">
        <v>85.676880168855504</v>
      </c>
      <c r="AK1780">
        <v>47.409495988048903</v>
      </c>
      <c r="AL1780">
        <v>95.209568782301304</v>
      </c>
      <c r="AM1780">
        <v>88.422009356976801</v>
      </c>
      <c r="AN1780">
        <v>1.0000000181014801</v>
      </c>
    </row>
    <row r="1781" spans="1:40" x14ac:dyDescent="0.25">
      <c r="A1781" t="str">
        <f>"20190303153809154"</f>
        <v>20190303153809154</v>
      </c>
      <c r="B1781" t="str">
        <f>"1551598689149912"</f>
        <v>1551598689149912</v>
      </c>
      <c r="C1781" t="s">
        <v>40</v>
      </c>
      <c r="D1781">
        <v>4.876455</v>
      </c>
      <c r="E1781">
        <v>0.51942809999999995</v>
      </c>
      <c r="F1781" t="s">
        <v>51</v>
      </c>
      <c r="G1781">
        <v>-195.2919</v>
      </c>
      <c r="H1781" s="1">
        <v>2.888845E-6</v>
      </c>
      <c r="I1781">
        <v>286.1841</v>
      </c>
      <c r="J1781">
        <v>-191.011</v>
      </c>
      <c r="K1781">
        <v>1.118576</v>
      </c>
      <c r="L1781">
        <v>336.84829999999999</v>
      </c>
      <c r="M1781">
        <v>-8.3043170000000003E-3</v>
      </c>
      <c r="N1781">
        <v>-1.269959E-2</v>
      </c>
      <c r="O1781">
        <v>-0.99988500000000002</v>
      </c>
      <c r="P1781">
        <v>-3.450052E-2</v>
      </c>
      <c r="Q1781">
        <v>-0.1029944</v>
      </c>
      <c r="R1781">
        <v>-0.99408359999999996</v>
      </c>
      <c r="S1781">
        <v>-0.25248720000000002</v>
      </c>
      <c r="T1781">
        <v>-6.5897230000000001E-2</v>
      </c>
      <c r="U1781">
        <v>-3.002319</v>
      </c>
      <c r="V1781">
        <v>2.5789889999999999E-2</v>
      </c>
      <c r="W1781">
        <v>-9.0489E-2</v>
      </c>
      <c r="X1781">
        <v>0.99556339999999999</v>
      </c>
      <c r="Y1781">
        <v>7.5502830000000007E-2</v>
      </c>
      <c r="Z1781">
        <v>9.1785760000000008E-3</v>
      </c>
      <c r="AA1781">
        <v>0.99710330000000003</v>
      </c>
      <c r="AB1781">
        <v>30</v>
      </c>
      <c r="AC1781">
        <v>-4.2808999999999999</v>
      </c>
      <c r="AD1781">
        <v>-1.1185731111549999</v>
      </c>
      <c r="AE1781">
        <v>-50.664200000000001</v>
      </c>
      <c r="AF1781">
        <v>3.8581196162029401</v>
      </c>
      <c r="AG1781">
        <v>-1.1185731111549999</v>
      </c>
      <c r="AH1781">
        <v>50.673480079921397</v>
      </c>
      <c r="AI1781">
        <v>91.260901116492093</v>
      </c>
      <c r="AJ1781">
        <v>85.646079305701903</v>
      </c>
      <c r="AK1781">
        <v>50.832449047710803</v>
      </c>
      <c r="AL1781">
        <v>95.191739879636799</v>
      </c>
      <c r="AM1781">
        <v>88.516095054041898</v>
      </c>
      <c r="AN1781">
        <v>0.99999993048338298</v>
      </c>
    </row>
    <row r="1782" spans="1:40" x14ac:dyDescent="0.25">
      <c r="A1782" t="str">
        <f>"20190303153809178"</f>
        <v>20190303153809178</v>
      </c>
      <c r="B1782" t="str">
        <f>"1551598689170407"</f>
        <v>1551598689170407</v>
      </c>
      <c r="C1782" t="s">
        <v>40</v>
      </c>
      <c r="D1782">
        <v>4.8685479999999997</v>
      </c>
      <c r="E1782">
        <v>0.51973309999999995</v>
      </c>
      <c r="F1782" t="s">
        <v>51</v>
      </c>
      <c r="G1782">
        <v>-195.41589999999999</v>
      </c>
      <c r="H1782" s="1">
        <v>2.9279240000000002E-6</v>
      </c>
      <c r="I1782">
        <v>285.48540000000003</v>
      </c>
      <c r="J1782">
        <v>-191.0162</v>
      </c>
      <c r="K1782">
        <v>1.1187780000000001</v>
      </c>
      <c r="L1782">
        <v>336.52690000000001</v>
      </c>
      <c r="M1782">
        <v>-1.048404E-2</v>
      </c>
      <c r="N1782">
        <v>-1.292987E-2</v>
      </c>
      <c r="O1782">
        <v>-0.99986160000000002</v>
      </c>
      <c r="P1782">
        <v>-3.4987079999999997E-2</v>
      </c>
      <c r="Q1782">
        <v>-0.1030552</v>
      </c>
      <c r="R1782">
        <v>-0.99406039999999996</v>
      </c>
      <c r="S1782">
        <v>-0.25746149999999901</v>
      </c>
      <c r="T1782">
        <v>-6.5379380000000001E-2</v>
      </c>
      <c r="U1782">
        <v>-3.0021059999999999</v>
      </c>
      <c r="V1782">
        <v>2.415047E-2</v>
      </c>
      <c r="W1782">
        <v>-9.0300660000000005E-2</v>
      </c>
      <c r="X1782">
        <v>0.99562169999999905</v>
      </c>
      <c r="Y1782">
        <v>7.4975360000000005E-2</v>
      </c>
      <c r="Z1782">
        <v>8.7776119999999902E-3</v>
      </c>
      <c r="AA1782">
        <v>0.99714669999999905</v>
      </c>
      <c r="AB1782">
        <v>30</v>
      </c>
      <c r="AC1782">
        <v>-4.3996999999999904</v>
      </c>
      <c r="AD1782">
        <v>-1.1187750720759999</v>
      </c>
      <c r="AE1782">
        <v>-51.0414999999999</v>
      </c>
      <c r="AF1782">
        <v>3.8624503889056498</v>
      </c>
      <c r="AG1782">
        <v>-1.1187750720759999</v>
      </c>
      <c r="AH1782">
        <v>51.060474279067698</v>
      </c>
      <c r="AI1782">
        <v>91.251619961665597</v>
      </c>
      <c r="AJ1782">
        <v>85.674120788214395</v>
      </c>
      <c r="AK1782">
        <v>51.218572942556598</v>
      </c>
      <c r="AL1782">
        <v>95.180904008254203</v>
      </c>
      <c r="AM1782">
        <v>88.610467497061606</v>
      </c>
      <c r="AN1782">
        <v>1.00000001195427</v>
      </c>
    </row>
    <row r="1783" spans="1:40" x14ac:dyDescent="0.25">
      <c r="A1783" t="str">
        <f>"20190303153809201"</f>
        <v>20190303153809201</v>
      </c>
      <c r="B1783" t="str">
        <f>"1551598689190903"</f>
        <v>1551598689190903</v>
      </c>
      <c r="C1783" t="s">
        <v>40</v>
      </c>
      <c r="D1783">
        <v>4.8662989999999997</v>
      </c>
      <c r="E1783">
        <v>0.51987609999999995</v>
      </c>
      <c r="F1783" t="s">
        <v>51</v>
      </c>
      <c r="G1783">
        <v>-195.5804</v>
      </c>
      <c r="H1783" s="1">
        <v>3.023164E-6</v>
      </c>
      <c r="I1783">
        <v>284.06240000000003</v>
      </c>
      <c r="J1783">
        <v>-191.02170000000001</v>
      </c>
      <c r="K1783">
        <v>1.118976</v>
      </c>
      <c r="L1783">
        <v>336.21370000000002</v>
      </c>
      <c r="M1783">
        <v>-1.2381090000000001E-2</v>
      </c>
      <c r="N1783">
        <v>-1.3122139999999999E-2</v>
      </c>
      <c r="O1783">
        <v>-0.99983730000000004</v>
      </c>
      <c r="P1783">
        <v>-3.5261720000000003E-2</v>
      </c>
      <c r="Q1783">
        <v>-0.102713</v>
      </c>
      <c r="R1783">
        <v>-0.99408620000000003</v>
      </c>
      <c r="S1783">
        <v>-0.2611694</v>
      </c>
      <c r="T1783">
        <v>-6.4018850000000002E-2</v>
      </c>
      <c r="U1783">
        <v>-3.0021360000000001</v>
      </c>
      <c r="V1783">
        <v>2.2579439999999999E-2</v>
      </c>
      <c r="W1783">
        <v>-8.9748969999999997E-2</v>
      </c>
      <c r="X1783">
        <v>0.9957085</v>
      </c>
      <c r="Y1783">
        <v>7.4305410000000002E-2</v>
      </c>
      <c r="Z1783">
        <v>8.1336169999999992E-3</v>
      </c>
      <c r="AA1783">
        <v>0.99720229999999999</v>
      </c>
      <c r="AB1783">
        <v>30</v>
      </c>
      <c r="AC1783">
        <v>-4.5586999999999804</v>
      </c>
      <c r="AD1783">
        <v>-1.1189729768359999</v>
      </c>
      <c r="AE1783">
        <v>-52.1512999999999</v>
      </c>
      <c r="AF1783">
        <v>3.9108182413321799</v>
      </c>
      <c r="AG1783">
        <v>-1.1189729768359999</v>
      </c>
      <c r="AH1783">
        <v>52.1799085104157</v>
      </c>
      <c r="AI1783">
        <v>91.225057177257995</v>
      </c>
      <c r="AJ1783">
        <v>85.713767404957807</v>
      </c>
      <c r="AK1783">
        <v>52.338221712196002</v>
      </c>
      <c r="AL1783">
        <v>95.149165363864597</v>
      </c>
      <c r="AM1783">
        <v>88.700940157065205</v>
      </c>
      <c r="AN1783">
        <v>1.00000006284951</v>
      </c>
    </row>
    <row r="1784" spans="1:40" x14ac:dyDescent="0.25">
      <c r="A1784" t="str">
        <f>"20190303153809222"</f>
        <v>20190303153809222</v>
      </c>
      <c r="B1784" t="str">
        <f>"1551598689210423"</f>
        <v>1551598689210423</v>
      </c>
      <c r="C1784" t="s">
        <v>40</v>
      </c>
      <c r="D1784">
        <v>4.8435610000000002</v>
      </c>
      <c r="E1784">
        <v>0.5199859</v>
      </c>
      <c r="F1784" t="s">
        <v>51</v>
      </c>
      <c r="G1784">
        <v>-195.72579999999999</v>
      </c>
      <c r="H1784" s="1">
        <v>3.1323219999999998E-6</v>
      </c>
      <c r="I1784">
        <v>282.51859999999999</v>
      </c>
      <c r="J1784">
        <v>-191.02699999999999</v>
      </c>
      <c r="K1784">
        <v>1.119164</v>
      </c>
      <c r="L1784">
        <v>335.93239999999997</v>
      </c>
      <c r="M1784">
        <v>-1.3888589999999999E-2</v>
      </c>
      <c r="N1784">
        <v>-1.327068E-2</v>
      </c>
      <c r="O1784">
        <v>-0.99981540000000002</v>
      </c>
      <c r="P1784">
        <v>-3.6206820000000001E-2</v>
      </c>
      <c r="Q1784">
        <v>-0.1017145</v>
      </c>
      <c r="R1784">
        <v>-0.99415450000000005</v>
      </c>
      <c r="S1784">
        <v>-0.26300050000000003</v>
      </c>
      <c r="T1784">
        <v>-6.25608E-2</v>
      </c>
      <c r="U1784">
        <v>-3.0020449999999999</v>
      </c>
      <c r="V1784">
        <v>2.2064690000000001E-2</v>
      </c>
      <c r="W1784">
        <v>-8.8589860000000006E-2</v>
      </c>
      <c r="X1784">
        <v>0.99582380000000004</v>
      </c>
      <c r="Y1784">
        <v>7.3408609999999999E-2</v>
      </c>
      <c r="Z1784">
        <v>7.5024230000000003E-3</v>
      </c>
      <c r="AA1784">
        <v>0.99727370000000004</v>
      </c>
      <c r="AB1784">
        <v>30</v>
      </c>
      <c r="AC1784">
        <v>-4.6987999999999701</v>
      </c>
      <c r="AD1784">
        <v>-1.119160867678</v>
      </c>
      <c r="AE1784">
        <v>-53.413799999999902</v>
      </c>
      <c r="AF1784">
        <v>3.9547161129520698</v>
      </c>
      <c r="AG1784">
        <v>-1.119160867678</v>
      </c>
      <c r="AH1784">
        <v>53.450627370069398</v>
      </c>
      <c r="AI1784">
        <v>91.196227426405898</v>
      </c>
      <c r="AJ1784">
        <v>85.768498172382095</v>
      </c>
      <c r="AK1784">
        <v>53.6084122767667</v>
      </c>
      <c r="AL1784">
        <v>95.082487822209799</v>
      </c>
      <c r="AM1784">
        <v>88.730692328528207</v>
      </c>
      <c r="AN1784">
        <v>1.0000000272430201</v>
      </c>
    </row>
    <row r="1785" spans="1:40" x14ac:dyDescent="0.25">
      <c r="A1785" t="str">
        <f>"20190303153809245"</f>
        <v>20190303153809245</v>
      </c>
      <c r="B1785" t="str">
        <f>"1551598689240680"</f>
        <v>1551598689240680</v>
      </c>
      <c r="C1785" t="s">
        <v>40</v>
      </c>
      <c r="D1785">
        <v>4.8428440000000004</v>
      </c>
      <c r="E1785">
        <v>0.51998359999999899</v>
      </c>
      <c r="F1785" t="s">
        <v>51</v>
      </c>
      <c r="G1785">
        <v>-196.0975</v>
      </c>
      <c r="H1785" s="1">
        <v>3.52044E-6</v>
      </c>
      <c r="I1785">
        <v>278.85989999999998</v>
      </c>
      <c r="J1785">
        <v>-191.03299999999999</v>
      </c>
      <c r="K1785">
        <v>1.1193770000000001</v>
      </c>
      <c r="L1785">
        <v>335.6241</v>
      </c>
      <c r="M1785">
        <v>-1.5325180000000001E-2</v>
      </c>
      <c r="N1785">
        <v>-1.3411080000000001E-2</v>
      </c>
      <c r="O1785">
        <v>-0.99979280000000004</v>
      </c>
      <c r="P1785">
        <v>-3.629143E-2</v>
      </c>
      <c r="Q1785">
        <v>-0.1004294</v>
      </c>
      <c r="R1785">
        <v>-0.99428249999999996</v>
      </c>
      <c r="S1785">
        <v>-0.26669310000000002</v>
      </c>
      <c r="T1785">
        <v>-5.886483E-2</v>
      </c>
      <c r="U1785">
        <v>-3.001862</v>
      </c>
      <c r="V1785">
        <v>2.076447E-2</v>
      </c>
      <c r="W1785">
        <v>-8.7148210000000004E-2</v>
      </c>
      <c r="X1785">
        <v>0.99597899999999995</v>
      </c>
      <c r="Y1785">
        <v>7.3199410000000006E-2</v>
      </c>
      <c r="Z1785">
        <v>6.1363019999999997E-3</v>
      </c>
      <c r="AA1785">
        <v>0.99729840000000003</v>
      </c>
      <c r="AB1785">
        <v>30</v>
      </c>
      <c r="AC1785">
        <v>-5.0644999999999998</v>
      </c>
      <c r="AD1785">
        <v>-1.1193734795600001</v>
      </c>
      <c r="AE1785">
        <v>-56.764200000000002</v>
      </c>
      <c r="AF1785">
        <v>4.1922880968844698</v>
      </c>
      <c r="AG1785">
        <v>-1.1193734795600001</v>
      </c>
      <c r="AH1785">
        <v>56.813235587201703</v>
      </c>
      <c r="AI1785">
        <v>91.125675113839407</v>
      </c>
      <c r="AJ1785">
        <v>85.779753402407593</v>
      </c>
      <c r="AK1785">
        <v>56.978697899837201</v>
      </c>
      <c r="AL1785">
        <v>94.999566400595</v>
      </c>
      <c r="AM1785">
        <v>88.805653363156395</v>
      </c>
      <c r="AN1785">
        <v>1.0000000710807899</v>
      </c>
    </row>
    <row r="1786" spans="1:40" x14ac:dyDescent="0.25">
      <c r="A1786" t="str">
        <f>"20190303153809267"</f>
        <v>20190303153809267</v>
      </c>
      <c r="B1786" t="str">
        <f>"1551598689260200"</f>
        <v>1551598689260200</v>
      </c>
      <c r="C1786" t="s">
        <v>40</v>
      </c>
      <c r="D1786">
        <v>4.7867649999999999</v>
      </c>
      <c r="E1786">
        <v>0.52002979999999999</v>
      </c>
      <c r="F1786" t="s">
        <v>51</v>
      </c>
      <c r="G1786">
        <v>-196.4128</v>
      </c>
      <c r="H1786" s="1">
        <v>4.5672899999999996E-6</v>
      </c>
      <c r="I1786">
        <v>275.12020000000001</v>
      </c>
      <c r="J1786">
        <v>-191.03890000000001</v>
      </c>
      <c r="K1786">
        <v>1.119588</v>
      </c>
      <c r="L1786">
        <v>335.33010000000002</v>
      </c>
      <c r="M1786">
        <v>-1.64802E-2</v>
      </c>
      <c r="N1786">
        <v>-1.352598E-2</v>
      </c>
      <c r="O1786">
        <v>-0.99977300000000002</v>
      </c>
      <c r="P1786">
        <v>-3.6324009999999997E-2</v>
      </c>
      <c r="Q1786">
        <v>-9.9671200000000001E-2</v>
      </c>
      <c r="R1786">
        <v>-0.99435779999999996</v>
      </c>
      <c r="S1786">
        <v>-0.26692199999999999</v>
      </c>
      <c r="T1786">
        <v>-5.553806E-2</v>
      </c>
      <c r="U1786">
        <v>-3.0019230000000001</v>
      </c>
      <c r="V1786">
        <v>1.9689470000000001E-2</v>
      </c>
      <c r="W1786">
        <v>-8.6261470000000007E-2</v>
      </c>
      <c r="X1786">
        <v>0.99607800000000002</v>
      </c>
      <c r="Y1786">
        <v>7.2121989999999997E-2</v>
      </c>
      <c r="Z1786">
        <v>4.9179860000000001E-3</v>
      </c>
      <c r="AA1786">
        <v>0.99738369999999998</v>
      </c>
      <c r="AB1786">
        <v>30</v>
      </c>
      <c r="AC1786">
        <v>-5.3738999999999901</v>
      </c>
      <c r="AD1786">
        <v>-1.11958343271</v>
      </c>
      <c r="AE1786">
        <v>-60.209899999999998</v>
      </c>
      <c r="AF1786">
        <v>4.3793061420857704</v>
      </c>
      <c r="AG1786">
        <v>-1.11958343271</v>
      </c>
      <c r="AH1786">
        <v>60.269618317576303</v>
      </c>
      <c r="AI1786">
        <v>91.061420573095205</v>
      </c>
      <c r="AJ1786">
        <v>85.844082498495695</v>
      </c>
      <c r="AK1786">
        <v>60.438883853817401</v>
      </c>
      <c r="AL1786">
        <v>94.948567993086499</v>
      </c>
      <c r="AM1786">
        <v>88.867582022530598</v>
      </c>
      <c r="AN1786">
        <v>1.0000000492597101</v>
      </c>
    </row>
    <row r="1787" spans="1:40" x14ac:dyDescent="0.25">
      <c r="A1787" t="str">
        <f>"20190303153809291"</f>
        <v>20190303153809291</v>
      </c>
      <c r="B1787" t="str">
        <f>"1551598689280696"</f>
        <v>1551598689280696</v>
      </c>
      <c r="C1787" t="s">
        <v>40</v>
      </c>
      <c r="D1787">
        <v>4.7505829999999998</v>
      </c>
      <c r="E1787">
        <v>0.52001430000000004</v>
      </c>
      <c r="F1787" t="s">
        <v>51</v>
      </c>
      <c r="G1787">
        <v>-196.8366</v>
      </c>
      <c r="H1787" s="1">
        <v>5.9028719999999999E-6</v>
      </c>
      <c r="I1787">
        <v>270.2133</v>
      </c>
      <c r="J1787">
        <v>-191.0455</v>
      </c>
      <c r="K1787">
        <v>1.119821</v>
      </c>
      <c r="L1787">
        <v>335.00549999999998</v>
      </c>
      <c r="M1787">
        <v>-1.7501269999999999E-2</v>
      </c>
      <c r="N1787">
        <v>-1.3634210000000001E-2</v>
      </c>
      <c r="O1787">
        <v>-0.99975389999999997</v>
      </c>
      <c r="P1787">
        <v>-3.5718479999999997E-2</v>
      </c>
      <c r="Q1787">
        <v>-9.9665019999999993E-2</v>
      </c>
      <c r="R1787">
        <v>-0.99437960000000003</v>
      </c>
      <c r="S1787">
        <v>-0.26728819999999998</v>
      </c>
      <c r="T1787">
        <v>-5.1615479999999998E-2</v>
      </c>
      <c r="U1787">
        <v>-3.0020449999999999</v>
      </c>
      <c r="V1787">
        <v>1.811231E-2</v>
      </c>
      <c r="W1787">
        <v>-8.6133230000000005E-2</v>
      </c>
      <c r="X1787">
        <v>0.99611899999999998</v>
      </c>
      <c r="Y1787">
        <v>7.1221599999999996E-2</v>
      </c>
      <c r="Z1787">
        <v>3.5080559999999998E-3</v>
      </c>
      <c r="AA1787">
        <v>0.99745430000000002</v>
      </c>
      <c r="AB1787">
        <v>30</v>
      </c>
      <c r="AC1787">
        <v>-5.7911000000000001</v>
      </c>
      <c r="AD1787">
        <v>-1.1198150971280001</v>
      </c>
      <c r="AE1787">
        <v>-64.792199999999895</v>
      </c>
      <c r="AF1787">
        <v>4.6547823043236596</v>
      </c>
      <c r="AG1787">
        <v>-1.1198150971280001</v>
      </c>
      <c r="AH1787">
        <v>64.864413698323006</v>
      </c>
      <c r="AI1787">
        <v>90.986516039316896</v>
      </c>
      <c r="AJ1787">
        <v>85.895392195898907</v>
      </c>
      <c r="AK1787">
        <v>65.040857532627896</v>
      </c>
      <c r="AL1787">
        <v>94.941193050401196</v>
      </c>
      <c r="AM1787">
        <v>88.958312635352101</v>
      </c>
      <c r="AN1787">
        <v>1.00000002562238</v>
      </c>
    </row>
    <row r="1788" spans="1:40" x14ac:dyDescent="0.25">
      <c r="A1788" t="str">
        <f>"20190303153809311"</f>
        <v>20190303153809311</v>
      </c>
      <c r="B1788" t="str">
        <f>"1551598689300218"</f>
        <v>1551598689300218</v>
      </c>
      <c r="C1788" t="s">
        <v>40</v>
      </c>
      <c r="D1788">
        <v>4.7023099999999998</v>
      </c>
      <c r="E1788">
        <v>0.52002190000000004</v>
      </c>
      <c r="F1788" t="s">
        <v>42</v>
      </c>
      <c r="G1788">
        <v>-196.85679999999999</v>
      </c>
      <c r="H1788" s="1">
        <v>-5.4180210000000004E-6</v>
      </c>
      <c r="I1788">
        <v>269.3338</v>
      </c>
      <c r="J1788">
        <v>-191.0515</v>
      </c>
      <c r="K1788">
        <v>1.1200159999999999</v>
      </c>
      <c r="L1788">
        <v>334.71870000000001</v>
      </c>
      <c r="M1788">
        <v>-1.8174559999999999E-2</v>
      </c>
      <c r="N1788">
        <v>-1.3715369999999999E-2</v>
      </c>
      <c r="O1788">
        <v>-0.99974070000000004</v>
      </c>
      <c r="P1788">
        <v>-3.475019E-2</v>
      </c>
      <c r="Q1788">
        <v>-9.9610030000000002E-2</v>
      </c>
      <c r="R1788">
        <v>-0.99441950000000001</v>
      </c>
      <c r="S1788">
        <v>-0.26567079999999998</v>
      </c>
      <c r="T1788">
        <v>-5.1194669999999998E-2</v>
      </c>
      <c r="U1788">
        <v>-3.0022890000000002</v>
      </c>
      <c r="V1788">
        <v>1.6511649999999999E-2</v>
      </c>
      <c r="W1788">
        <v>-8.5985899999999907E-2</v>
      </c>
      <c r="X1788">
        <v>0.99615949999999998</v>
      </c>
      <c r="Y1788">
        <v>7.0009710000000003E-2</v>
      </c>
      <c r="Z1788">
        <v>3.2870970000000001E-3</v>
      </c>
      <c r="AA1788">
        <v>0.99754089999999995</v>
      </c>
      <c r="AB1788">
        <v>30</v>
      </c>
      <c r="AC1788">
        <v>-5.8052999999999804</v>
      </c>
      <c r="AD1788">
        <v>-1.120021418021</v>
      </c>
      <c r="AE1788">
        <v>-65.384900000000002</v>
      </c>
      <c r="AF1788">
        <v>4.6145438807602801</v>
      </c>
      <c r="AG1788">
        <v>-1.120021418021</v>
      </c>
      <c r="AH1788">
        <v>65.460559424111494</v>
      </c>
      <c r="AI1788">
        <v>90.977801452927693</v>
      </c>
      <c r="AJ1788">
        <v>85.967690492422705</v>
      </c>
      <c r="AK1788">
        <v>65.632562827623303</v>
      </c>
      <c r="AL1788">
        <v>94.932720457205704</v>
      </c>
      <c r="AM1788">
        <v>89.050391796940403</v>
      </c>
      <c r="AN1788">
        <v>0.99999997951239095</v>
      </c>
    </row>
    <row r="1789" spans="1:40" x14ac:dyDescent="0.25">
      <c r="A1789" t="str">
        <f>"20190303153809326"</f>
        <v>20190303153809326</v>
      </c>
      <c r="B1789" t="str">
        <f>"1551598689320711"</f>
        <v>1551598689320711</v>
      </c>
      <c r="C1789" t="s">
        <v>40</v>
      </c>
      <c r="D1789">
        <v>4.7156599999999997</v>
      </c>
      <c r="E1789">
        <v>0.52006790000000003</v>
      </c>
      <c r="F1789" t="s">
        <v>42</v>
      </c>
      <c r="G1789">
        <v>-196.80420000000001</v>
      </c>
      <c r="H1789" s="1">
        <v>-5.3109820000000004E-6</v>
      </c>
      <c r="I1789">
        <v>269.04669999999999</v>
      </c>
      <c r="J1789">
        <v>-191.0557</v>
      </c>
      <c r="K1789">
        <v>1.120142</v>
      </c>
      <c r="L1789">
        <v>334.5136</v>
      </c>
      <c r="M1789">
        <v>-1.8557629999999999E-2</v>
      </c>
      <c r="N1789">
        <v>-1.376671E-2</v>
      </c>
      <c r="O1789">
        <v>-0.99973299999999998</v>
      </c>
      <c r="P1789">
        <v>-3.4249300000000003E-2</v>
      </c>
      <c r="Q1789">
        <v>-9.9497879999999997E-2</v>
      </c>
      <c r="R1789">
        <v>-0.99444840000000001</v>
      </c>
      <c r="S1789">
        <v>-0.26301570000000002</v>
      </c>
      <c r="T1789">
        <v>-5.1206950000000001E-2</v>
      </c>
      <c r="U1789">
        <v>-3.0025019999999998</v>
      </c>
      <c r="V1789">
        <v>1.56536E-2</v>
      </c>
      <c r="W1789">
        <v>-8.5816260000000005E-2</v>
      </c>
      <c r="X1789">
        <v>0.99618799999999996</v>
      </c>
      <c r="Y1789">
        <v>6.8746070000000006E-2</v>
      </c>
      <c r="Z1789">
        <v>3.240012E-3</v>
      </c>
      <c r="AA1789">
        <v>0.99762890000000004</v>
      </c>
      <c r="AB1789">
        <v>30</v>
      </c>
      <c r="AC1789">
        <v>-5.7484999999999999</v>
      </c>
      <c r="AD1789">
        <v>-1.1201473109819999</v>
      </c>
      <c r="AE1789">
        <v>-65.466899999999995</v>
      </c>
      <c r="AF1789">
        <v>4.5311678340759904</v>
      </c>
      <c r="AG1789">
        <v>-1.1201473109819999</v>
      </c>
      <c r="AH1789">
        <v>65.543271195900601</v>
      </c>
      <c r="AI1789">
        <v>90.976769849207798</v>
      </c>
      <c r="AJ1789">
        <v>86.045293817221193</v>
      </c>
      <c r="AK1789">
        <v>65.709258183289805</v>
      </c>
      <c r="AL1789">
        <v>94.922964646867598</v>
      </c>
      <c r="AM1789">
        <v>89.0997568659146</v>
      </c>
      <c r="AN1789">
        <v>0.99999999850867305</v>
      </c>
    </row>
    <row r="1790" spans="1:40" x14ac:dyDescent="0.25">
      <c r="A1790" t="str">
        <f>"20190303153809345"</f>
        <v>20190303153809345</v>
      </c>
      <c r="B1790" t="str">
        <f>"1551598689340231"</f>
        <v>1551598689340231</v>
      </c>
      <c r="C1790" t="s">
        <v>40</v>
      </c>
      <c r="D1790">
        <v>4.7004599999999996</v>
      </c>
      <c r="E1790">
        <v>0.52006830000000004</v>
      </c>
      <c r="F1790" t="s">
        <v>42</v>
      </c>
      <c r="G1790">
        <v>-196.8656</v>
      </c>
      <c r="H1790" s="1">
        <v>-4.9272010000000003E-6</v>
      </c>
      <c r="I1790">
        <v>267.88690000000003</v>
      </c>
      <c r="J1790">
        <v>-191.06049999999999</v>
      </c>
      <c r="K1790">
        <v>1.120277</v>
      </c>
      <c r="L1790">
        <v>334.2783</v>
      </c>
      <c r="M1790">
        <v>-1.8884499999999999E-2</v>
      </c>
      <c r="N1790">
        <v>-1.3818749999999999E-2</v>
      </c>
      <c r="O1790">
        <v>-0.99972620000000001</v>
      </c>
      <c r="P1790">
        <v>-3.3367870000000001E-2</v>
      </c>
      <c r="Q1790">
        <v>-9.8431610000000003E-2</v>
      </c>
      <c r="R1790">
        <v>-0.99458440000000004</v>
      </c>
      <c r="S1790">
        <v>-0.26184079999999998</v>
      </c>
      <c r="T1790">
        <v>-5.0482510000000001E-2</v>
      </c>
      <c r="U1790">
        <v>-3.0027159999999999</v>
      </c>
      <c r="V1790">
        <v>1.447097E-2</v>
      </c>
      <c r="W1790">
        <v>-8.4690409999999994E-2</v>
      </c>
      <c r="X1790">
        <v>0.99630220000000003</v>
      </c>
      <c r="Y1790">
        <v>6.8026550000000005E-2</v>
      </c>
      <c r="Z1790">
        <v>2.9471129999999999E-3</v>
      </c>
      <c r="AA1790">
        <v>0.99767919999999999</v>
      </c>
      <c r="AB1790">
        <v>30</v>
      </c>
      <c r="AC1790">
        <v>-5.8051000000000004</v>
      </c>
      <c r="AD1790">
        <v>-1.1202819272010001</v>
      </c>
      <c r="AE1790">
        <v>-66.391399999999905</v>
      </c>
      <c r="AF1790">
        <v>4.5488911349111598</v>
      </c>
      <c r="AG1790">
        <v>-1.1202819272010001</v>
      </c>
      <c r="AH1790">
        <v>66.470412739167898</v>
      </c>
      <c r="AI1790">
        <v>90.963309993018001</v>
      </c>
      <c r="AJ1790">
        <v>86.085077299162194</v>
      </c>
      <c r="AK1790">
        <v>66.635300043363003</v>
      </c>
      <c r="AL1790">
        <v>94.858222602327004</v>
      </c>
      <c r="AM1790">
        <v>89.167855688775902</v>
      </c>
      <c r="AN1790">
        <v>0.99999997412177399</v>
      </c>
    </row>
    <row r="1791" spans="1:40" x14ac:dyDescent="0.25">
      <c r="A1791" t="str">
        <f>"20190303153809367"</f>
        <v>20190303153809367</v>
      </c>
      <c r="B1791" t="str">
        <f>"1551598689360728"</f>
        <v>1551598689360728</v>
      </c>
      <c r="C1791" t="s">
        <v>40</v>
      </c>
      <c r="D1791">
        <v>4.6820440000000003</v>
      </c>
      <c r="E1791">
        <v>0.52011419999999997</v>
      </c>
      <c r="F1791" t="s">
        <v>42</v>
      </c>
      <c r="G1791">
        <v>-197.23390000000001</v>
      </c>
      <c r="H1791" s="1">
        <v>-3.2493209999999999E-6</v>
      </c>
      <c r="I1791">
        <v>262.76440000000002</v>
      </c>
      <c r="J1791">
        <v>-191.0668</v>
      </c>
      <c r="K1791">
        <v>1.120447</v>
      </c>
      <c r="L1791">
        <v>333.9699</v>
      </c>
      <c r="M1791">
        <v>-1.9154540000000001E-2</v>
      </c>
      <c r="N1791">
        <v>-1.387859E-2</v>
      </c>
      <c r="O1791">
        <v>-0.99972039999999995</v>
      </c>
      <c r="P1791">
        <v>-3.2985970000000003E-2</v>
      </c>
      <c r="Q1791">
        <v>-9.7543469999999993E-2</v>
      </c>
      <c r="R1791">
        <v>-0.99468489999999998</v>
      </c>
      <c r="S1791">
        <v>-0.25923160000000001</v>
      </c>
      <c r="T1791">
        <v>-4.7042489999999999E-2</v>
      </c>
      <c r="U1791">
        <v>-3.0029910000000002</v>
      </c>
      <c r="V1791">
        <v>1.3850060000000001E-2</v>
      </c>
      <c r="W1791">
        <v>-8.3735519999999994E-2</v>
      </c>
      <c r="X1791">
        <v>0.99639180000000005</v>
      </c>
      <c r="Y1791">
        <v>6.688964E-2</v>
      </c>
      <c r="Z1791">
        <v>1.7454720000000001E-3</v>
      </c>
      <c r="AA1791">
        <v>0.9977589</v>
      </c>
      <c r="AB1791">
        <v>30</v>
      </c>
      <c r="AC1791">
        <v>-6.1670999999999996</v>
      </c>
      <c r="AD1791">
        <v>-1.120450249321</v>
      </c>
      <c r="AE1791">
        <v>-71.205499999999901</v>
      </c>
      <c r="AF1791">
        <v>4.8007487939461102</v>
      </c>
      <c r="AG1791">
        <v>-1.120450249321</v>
      </c>
      <c r="AH1791">
        <v>71.293052055879102</v>
      </c>
      <c r="AI1791">
        <v>90.898359151572805</v>
      </c>
      <c r="AJ1791">
        <v>86.147618703847201</v>
      </c>
      <c r="AK1791">
        <v>71.463290360758407</v>
      </c>
      <c r="AL1791">
        <v>94.803316074309294</v>
      </c>
      <c r="AM1791">
        <v>89.203627648196402</v>
      </c>
      <c r="AN1791">
        <v>1.00000004028945</v>
      </c>
    </row>
    <row r="1792" spans="1:40" x14ac:dyDescent="0.25">
      <c r="A1792" t="str">
        <f>"20190303153809383"</f>
        <v>20190303153809383</v>
      </c>
      <c r="B1792" t="str">
        <f>"1551598689370487"</f>
        <v>1551598689370487</v>
      </c>
      <c r="C1792" t="s">
        <v>40</v>
      </c>
      <c r="D1792">
        <v>4.6852739999999997</v>
      </c>
      <c r="E1792">
        <v>0.5201036</v>
      </c>
      <c r="F1792" t="s">
        <v>42</v>
      </c>
      <c r="G1792">
        <v>-197.54060000000001</v>
      </c>
      <c r="H1792" s="1">
        <v>-5.3426110000000004E-6</v>
      </c>
      <c r="I1792">
        <v>258.75569999999999</v>
      </c>
      <c r="J1792">
        <v>-191.07079999999999</v>
      </c>
      <c r="K1792">
        <v>1.1205590000000001</v>
      </c>
      <c r="L1792">
        <v>333.76819999999998</v>
      </c>
      <c r="M1792">
        <v>-1.921488E-2</v>
      </c>
      <c r="N1792">
        <v>-1.391208E-2</v>
      </c>
      <c r="O1792">
        <v>-0.99971880000000002</v>
      </c>
      <c r="P1792">
        <v>-3.2698779999999997E-2</v>
      </c>
      <c r="Q1792">
        <v>-9.6802260000000001E-2</v>
      </c>
      <c r="R1792">
        <v>-0.9947667</v>
      </c>
      <c r="S1792">
        <v>-0.25848389999999999</v>
      </c>
      <c r="T1792">
        <v>-4.4736390000000001E-2</v>
      </c>
      <c r="U1792">
        <v>-3.003082</v>
      </c>
      <c r="V1792">
        <v>1.352129E-2</v>
      </c>
      <c r="W1792">
        <v>-8.2956440000000006E-2</v>
      </c>
      <c r="X1792">
        <v>0.9964615</v>
      </c>
      <c r="Y1792">
        <v>6.6580680000000003E-2</v>
      </c>
      <c r="Z1792">
        <v>9.4658250000000002E-4</v>
      </c>
      <c r="AA1792">
        <v>0.99778060000000002</v>
      </c>
      <c r="AB1792">
        <v>30</v>
      </c>
      <c r="AC1792">
        <v>-6.4698000000000198</v>
      </c>
      <c r="AD1792">
        <v>-1.1205643426109999</v>
      </c>
      <c r="AE1792">
        <v>-75.012499999999903</v>
      </c>
      <c r="AF1792">
        <v>5.0259966268453899</v>
      </c>
      <c r="AG1792">
        <v>-1.1205643426109999</v>
      </c>
      <c r="AH1792">
        <v>75.106340154971505</v>
      </c>
      <c r="AI1792">
        <v>90.852865453870507</v>
      </c>
      <c r="AJ1792">
        <v>86.171565577858701</v>
      </c>
      <c r="AK1792">
        <v>75.282658282059103</v>
      </c>
      <c r="AL1792">
        <v>94.758522139181295</v>
      </c>
      <c r="AM1792">
        <v>89.222583805239296</v>
      </c>
      <c r="AN1792">
        <v>1.0000000586014901</v>
      </c>
    </row>
    <row r="1793" spans="1:40" x14ac:dyDescent="0.25">
      <c r="A1793" t="str">
        <f>"20190303153809403"</f>
        <v>20190303153809403</v>
      </c>
      <c r="B1793" t="str">
        <f>"1551598689400743"</f>
        <v>1551598689400743</v>
      </c>
      <c r="C1793" t="s">
        <v>40</v>
      </c>
      <c r="D1793">
        <v>4.6931570000000002</v>
      </c>
      <c r="E1793">
        <v>0.52004529999999904</v>
      </c>
      <c r="F1793" t="s">
        <v>42</v>
      </c>
      <c r="G1793">
        <v>-197.77869999999999</v>
      </c>
      <c r="H1793" s="1">
        <v>-4.3041900000000004E-6</v>
      </c>
      <c r="I1793">
        <v>255.58019999999999</v>
      </c>
      <c r="J1793">
        <v>-191.07599999999999</v>
      </c>
      <c r="K1793">
        <v>1.120703</v>
      </c>
      <c r="L1793">
        <v>333.50259999999997</v>
      </c>
      <c r="M1793">
        <v>-1.919442E-2</v>
      </c>
      <c r="N1793">
        <v>-1.3951689999999999E-2</v>
      </c>
      <c r="O1793">
        <v>-0.99971869999999996</v>
      </c>
      <c r="P1793">
        <v>-3.2662919999999998E-2</v>
      </c>
      <c r="Q1793">
        <v>-9.5374550000000002E-2</v>
      </c>
      <c r="R1793">
        <v>-0.99490590000000001</v>
      </c>
      <c r="S1793">
        <v>-0.2576447</v>
      </c>
      <c r="T1793">
        <v>-4.3039559999999998E-2</v>
      </c>
      <c r="U1793">
        <v>-3.0031129999999999</v>
      </c>
      <c r="V1793">
        <v>1.352911E-2</v>
      </c>
      <c r="W1793">
        <v>-8.1483319999999998E-2</v>
      </c>
      <c r="X1793">
        <v>0.99658290000000005</v>
      </c>
      <c r="Y1793">
        <v>6.6323729999999997E-2</v>
      </c>
      <c r="Z1793">
        <v>3.440246E-4</v>
      </c>
      <c r="AA1793">
        <v>0.99779810000000002</v>
      </c>
      <c r="AB1793">
        <v>30</v>
      </c>
      <c r="AC1793">
        <v>-6.7026999999999903</v>
      </c>
      <c r="AD1793">
        <v>-1.12070730419</v>
      </c>
      <c r="AE1793">
        <v>-77.922399999999897</v>
      </c>
      <c r="AF1793">
        <v>5.2045758071791504</v>
      </c>
      <c r="AG1793">
        <v>-1.12070730419</v>
      </c>
      <c r="AH1793">
        <v>78.020688304235804</v>
      </c>
      <c r="AI1793">
        <v>90.821128604133506</v>
      </c>
      <c r="AJ1793">
        <v>86.183588092765604</v>
      </c>
      <c r="AK1793">
        <v>78.202118882170097</v>
      </c>
      <c r="AL1793">
        <v>94.673832003857001</v>
      </c>
      <c r="AM1793">
        <v>89.222228989056802</v>
      </c>
      <c r="AN1793">
        <v>1.00000002241401</v>
      </c>
    </row>
    <row r="1794" spans="1:40" x14ac:dyDescent="0.25">
      <c r="A1794" t="str">
        <f>"20190303153809425"</f>
        <v>20190303153809425</v>
      </c>
      <c r="B1794" t="str">
        <f>"1551598689420264"</f>
        <v>1551598689420264</v>
      </c>
      <c r="C1794" t="s">
        <v>40</v>
      </c>
      <c r="D1794">
        <v>4.5491469999999996</v>
      </c>
      <c r="E1794">
        <v>0.52003809999999995</v>
      </c>
      <c r="F1794" t="s">
        <v>42</v>
      </c>
      <c r="G1794">
        <v>-198.4367</v>
      </c>
      <c r="H1794" s="1">
        <v>-5.4467769999999997E-6</v>
      </c>
      <c r="I1794">
        <v>247.5728</v>
      </c>
      <c r="J1794">
        <v>-191.08160000000001</v>
      </c>
      <c r="K1794">
        <v>1.120854</v>
      </c>
      <c r="L1794">
        <v>333.21179999999998</v>
      </c>
      <c r="M1794">
        <v>-1.9039879999999999E-2</v>
      </c>
      <c r="N1794">
        <v>-1.3989410000000001E-2</v>
      </c>
      <c r="O1794">
        <v>-0.99972079999999997</v>
      </c>
      <c r="P1794">
        <v>-3.2770939999999998E-2</v>
      </c>
      <c r="Q1794">
        <v>-9.5718339999999999E-2</v>
      </c>
      <c r="R1794">
        <v>-0.994869</v>
      </c>
      <c r="S1794">
        <v>-0.25724789999999997</v>
      </c>
      <c r="T1794">
        <v>-3.9167399999999998E-2</v>
      </c>
      <c r="U1794">
        <v>-3.0031430000000001</v>
      </c>
      <c r="V1794">
        <v>1.3818520000000001E-2</v>
      </c>
      <c r="W1794">
        <v>-8.1785570000000002E-2</v>
      </c>
      <c r="X1794">
        <v>0.9965541</v>
      </c>
      <c r="Y1794">
        <v>6.6346740000000001E-2</v>
      </c>
      <c r="Z1794">
        <v>-9.7879580000000002E-4</v>
      </c>
      <c r="AA1794">
        <v>0.99779609999999996</v>
      </c>
      <c r="AB1794">
        <v>30</v>
      </c>
      <c r="AC1794">
        <v>-7.3550999999999904</v>
      </c>
      <c r="AD1794">
        <v>-1.1208594467769999</v>
      </c>
      <c r="AE1794">
        <v>-85.638999999999896</v>
      </c>
      <c r="AF1794">
        <v>5.72207748251307</v>
      </c>
      <c r="AG1794">
        <v>-1.1208594467769999</v>
      </c>
      <c r="AH1794">
        <v>85.748945388564707</v>
      </c>
      <c r="AI1794">
        <v>90.747232192865297</v>
      </c>
      <c r="AJ1794">
        <v>86.182279006311106</v>
      </c>
      <c r="AK1794">
        <v>85.946961155507793</v>
      </c>
      <c r="AL1794">
        <v>94.691207975191205</v>
      </c>
      <c r="AM1794">
        <v>89.205570337799699</v>
      </c>
      <c r="AN1794">
        <v>0.99999995259101104</v>
      </c>
    </row>
    <row r="1795" spans="1:40" x14ac:dyDescent="0.25">
      <c r="A1795" t="str">
        <f>"20190303153809446"</f>
        <v>20190303153809446</v>
      </c>
      <c r="B1795" t="str">
        <f>"1551598689440760"</f>
        <v>1551598689440760</v>
      </c>
      <c r="C1795" t="s">
        <v>40</v>
      </c>
      <c r="D1795">
        <v>4.5515080000000001</v>
      </c>
      <c r="E1795">
        <v>0.51034380000000001</v>
      </c>
      <c r="F1795" t="s">
        <v>42</v>
      </c>
      <c r="G1795">
        <v>-198.1824</v>
      </c>
      <c r="H1795" s="1">
        <v>-2.5235059999999998E-6</v>
      </c>
      <c r="I1795">
        <v>250.3965</v>
      </c>
      <c r="J1795">
        <v>-191.08699999999999</v>
      </c>
      <c r="K1795">
        <v>1.1209960000000001</v>
      </c>
      <c r="L1795">
        <v>332.91500000000002</v>
      </c>
      <c r="M1795">
        <v>-1.8749809999999999E-2</v>
      </c>
      <c r="N1795">
        <v>-1.4022349999999999E-2</v>
      </c>
      <c r="O1795">
        <v>-0.99972589999999995</v>
      </c>
      <c r="P1795">
        <v>-3.2372280000000003E-2</v>
      </c>
      <c r="Q1795">
        <v>-9.6106419999999998E-2</v>
      </c>
      <c r="R1795">
        <v>-0.99484490000000003</v>
      </c>
      <c r="S1795">
        <v>-0.2574921</v>
      </c>
      <c r="T1795">
        <v>-4.0644529999999998E-2</v>
      </c>
      <c r="U1795">
        <v>-3.0030519999999998</v>
      </c>
      <c r="V1795">
        <v>1.373513E-2</v>
      </c>
      <c r="W1795">
        <v>-8.2136929999999997E-2</v>
      </c>
      <c r="X1795">
        <v>0.99652640000000003</v>
      </c>
      <c r="Y1795">
        <v>6.6719039999999993E-2</v>
      </c>
      <c r="Z1795">
        <v>-5.2136700000000001E-4</v>
      </c>
      <c r="AA1795">
        <v>0.99777170000000004</v>
      </c>
      <c r="AB1795">
        <v>30</v>
      </c>
      <c r="AC1795">
        <v>-7.0953999999999802</v>
      </c>
      <c r="AD1795">
        <v>-1.1209985235059901</v>
      </c>
      <c r="AE1795">
        <v>-82.518500000000003</v>
      </c>
      <c r="AF1795">
        <v>5.5457782000750404</v>
      </c>
      <c r="AG1795">
        <v>-1.1209985235059901</v>
      </c>
      <c r="AH1795">
        <v>82.621905706890203</v>
      </c>
      <c r="AI1795">
        <v>90.775585706889402</v>
      </c>
      <c r="AJ1795">
        <v>86.159931554556906</v>
      </c>
      <c r="AK1795">
        <v>82.815406756064306</v>
      </c>
      <c r="AL1795">
        <v>94.711407169936095</v>
      </c>
      <c r="AM1795">
        <v>89.210341891430602</v>
      </c>
      <c r="AN1795">
        <v>0.99999999748145096</v>
      </c>
    </row>
    <row r="1796" spans="1:40" x14ac:dyDescent="0.25">
      <c r="A1796" t="str">
        <f>"20190303153809470"</f>
        <v>20190303153809470</v>
      </c>
      <c r="B1796" t="str">
        <f>"1551598689460280"</f>
        <v>1551598689460280</v>
      </c>
      <c r="C1796" t="s">
        <v>40</v>
      </c>
      <c r="D1796">
        <v>4.5649959999999998</v>
      </c>
      <c r="E1796">
        <v>0.5093934</v>
      </c>
      <c r="F1796" t="s">
        <v>52</v>
      </c>
      <c r="G1796">
        <v>-211.07</v>
      </c>
      <c r="H1796">
        <v>3.2662460000000002</v>
      </c>
      <c r="I1796">
        <v>-4.1795980000000004</v>
      </c>
      <c r="J1796">
        <v>-191.0924</v>
      </c>
      <c r="K1796">
        <v>1.1211249999999999</v>
      </c>
      <c r="L1796">
        <v>332.60449999999997</v>
      </c>
      <c r="M1796">
        <v>-1.8309039999999999E-2</v>
      </c>
      <c r="N1796">
        <v>-1.405153E-2</v>
      </c>
      <c r="O1796">
        <v>-0.99973389999999995</v>
      </c>
      <c r="P1796">
        <v>-3.1824989999999997E-2</v>
      </c>
      <c r="Q1796">
        <v>-9.639855E-2</v>
      </c>
      <c r="R1796">
        <v>-0.99483429999999995</v>
      </c>
      <c r="S1796">
        <v>-0.17852779999999999</v>
      </c>
      <c r="T1796">
        <v>1.9165519999999998E-2</v>
      </c>
      <c r="U1796">
        <v>-3.0115970000000001</v>
      </c>
      <c r="V1796">
        <v>1.365165E-2</v>
      </c>
      <c r="W1796">
        <v>-8.2396269999999994E-2</v>
      </c>
      <c r="X1796">
        <v>0.99650620000000001</v>
      </c>
      <c r="Y1796">
        <v>4.0873050000000001E-2</v>
      </c>
      <c r="Z1796">
        <v>-2.0396939999999999E-2</v>
      </c>
      <c r="AA1796">
        <v>0.99895610000000001</v>
      </c>
      <c r="AB1796">
        <v>30</v>
      </c>
      <c r="AC1796">
        <v>-19.977599999999899</v>
      </c>
      <c r="AD1796">
        <v>2.1451210000000001</v>
      </c>
      <c r="AE1796">
        <v>-336.78409799999997</v>
      </c>
      <c r="AF1796">
        <v>13.8068917306437</v>
      </c>
      <c r="AG1796">
        <v>2.1451210000000001</v>
      </c>
      <c r="AH1796">
        <v>337.07981306808699</v>
      </c>
      <c r="AI1796">
        <v>89.635689392252303</v>
      </c>
      <c r="AJ1796">
        <v>87.654458588626795</v>
      </c>
      <c r="AK1796">
        <v>337.36928162087099</v>
      </c>
      <c r="AL1796">
        <v>94.726316500802099</v>
      </c>
      <c r="AM1796">
        <v>89.215124801564798</v>
      </c>
      <c r="AN1796">
        <v>1.0000000597480301</v>
      </c>
    </row>
    <row r="1797" spans="1:40" x14ac:dyDescent="0.25">
      <c r="A1797" t="str">
        <f>"20190303153809491"</f>
        <v>20190303153809491</v>
      </c>
      <c r="B1797" t="str">
        <f>"1551598689480780"</f>
        <v>1551598689480780</v>
      </c>
      <c r="C1797" t="s">
        <v>40</v>
      </c>
      <c r="D1797">
        <v>4.5532170000000001</v>
      </c>
      <c r="E1797">
        <v>0.50881309999999902</v>
      </c>
      <c r="F1797" t="s">
        <v>53</v>
      </c>
      <c r="G1797">
        <v>-210.94300000000001</v>
      </c>
      <c r="H1797">
        <v>2.7152859999999999</v>
      </c>
      <c r="I1797">
        <v>-20.632449999999999</v>
      </c>
      <c r="J1797">
        <v>-191.09700000000001</v>
      </c>
      <c r="K1797">
        <v>1.121227</v>
      </c>
      <c r="L1797">
        <v>332.32760000000002</v>
      </c>
      <c r="M1797">
        <v>-1.7801210000000001E-2</v>
      </c>
      <c r="N1797">
        <v>-1.407345E-2</v>
      </c>
      <c r="O1797">
        <v>-0.99974240000000003</v>
      </c>
      <c r="P1797">
        <v>-3.134348E-2</v>
      </c>
      <c r="Q1797">
        <v>-9.6664139999999996E-2</v>
      </c>
      <c r="R1797">
        <v>-0.99482349999999997</v>
      </c>
      <c r="S1797">
        <v>-0.1692352</v>
      </c>
      <c r="T1797">
        <v>1.3590929999999999E-2</v>
      </c>
      <c r="U1797">
        <v>-3.0115050000000001</v>
      </c>
      <c r="V1797">
        <v>1.369547E-2</v>
      </c>
      <c r="W1797">
        <v>-8.2637130000000003E-2</v>
      </c>
      <c r="X1797">
        <v>0.99648559999999997</v>
      </c>
      <c r="Y1797">
        <v>3.8311629999999999E-2</v>
      </c>
      <c r="Z1797">
        <v>-1.8572499999999999E-2</v>
      </c>
      <c r="AA1797">
        <v>0.99909320000000001</v>
      </c>
      <c r="AB1797">
        <v>30</v>
      </c>
      <c r="AC1797">
        <v>-19.845999999999901</v>
      </c>
      <c r="AD1797">
        <v>1.5940589999999999</v>
      </c>
      <c r="AE1797">
        <v>-352.96005000000002</v>
      </c>
      <c r="AF1797">
        <v>13.5588401339441</v>
      </c>
      <c r="AG1797">
        <v>1.5940589999999999</v>
      </c>
      <c r="AH1797">
        <v>353.25024638777501</v>
      </c>
      <c r="AI1797">
        <v>89.7416419918234</v>
      </c>
      <c r="AJ1797">
        <v>87.801889308678099</v>
      </c>
      <c r="AK1797">
        <v>353.51395975675001</v>
      </c>
      <c r="AL1797">
        <v>94.740164240763406</v>
      </c>
      <c r="AM1797">
        <v>89.212589496669295</v>
      </c>
      <c r="AN1797">
        <v>1.0000000060802501</v>
      </c>
    </row>
    <row r="1798" spans="1:40" x14ac:dyDescent="0.25">
      <c r="A1798" t="str">
        <f>"20190303153809511"</f>
        <v>20190303153809511</v>
      </c>
      <c r="B1798" t="str">
        <f>"1551598689500299"</f>
        <v>1551598689500299</v>
      </c>
      <c r="C1798" t="s">
        <v>40</v>
      </c>
      <c r="D1798">
        <v>4.5261909999999999</v>
      </c>
      <c r="E1798">
        <v>0.50859709999999902</v>
      </c>
      <c r="F1798" t="s">
        <v>53</v>
      </c>
      <c r="G1798">
        <v>-210.73390000000001</v>
      </c>
      <c r="H1798">
        <v>2.7332890000000001</v>
      </c>
      <c r="I1798">
        <v>-30.58756</v>
      </c>
      <c r="J1798">
        <v>-191.10140000000001</v>
      </c>
      <c r="K1798">
        <v>1.1213150000000001</v>
      </c>
      <c r="L1798">
        <v>332.0478</v>
      </c>
      <c r="M1798">
        <v>-1.7208439999999998E-2</v>
      </c>
      <c r="N1798">
        <v>-1.40927E-2</v>
      </c>
      <c r="O1798">
        <v>-0.99975290000000006</v>
      </c>
      <c r="P1798">
        <v>-3.0816260000000002E-2</v>
      </c>
      <c r="Q1798">
        <v>-9.6203140000000006E-2</v>
      </c>
      <c r="R1798">
        <v>-0.99488509999999997</v>
      </c>
      <c r="S1798">
        <v>-0.16296389999999999</v>
      </c>
      <c r="T1798">
        <v>1.3378259999999999E-2</v>
      </c>
      <c r="U1798">
        <v>-3.0117799999999999</v>
      </c>
      <c r="V1798">
        <v>1.37728999999999E-2</v>
      </c>
      <c r="W1798">
        <v>-8.2153660000000003E-2</v>
      </c>
      <c r="X1798">
        <v>0.99652450000000004</v>
      </c>
      <c r="Y1798">
        <v>3.6825009999999998E-2</v>
      </c>
      <c r="Z1798">
        <v>-1.852175E-2</v>
      </c>
      <c r="AA1798">
        <v>0.99915010000000004</v>
      </c>
      <c r="AB1798">
        <v>30</v>
      </c>
      <c r="AC1798">
        <v>-19.6325</v>
      </c>
      <c r="AD1798">
        <v>1.611974</v>
      </c>
      <c r="AE1798">
        <v>-362.63535999999999</v>
      </c>
      <c r="AF1798">
        <v>13.388321794215599</v>
      </c>
      <c r="AG1798">
        <v>1.611974</v>
      </c>
      <c r="AH1798">
        <v>362.91237985406201</v>
      </c>
      <c r="AI1798">
        <v>89.745679891925207</v>
      </c>
      <c r="AJ1798">
        <v>87.887240385182196</v>
      </c>
      <c r="AK1798">
        <v>363.16282997022302</v>
      </c>
      <c r="AL1798">
        <v>94.712368977091501</v>
      </c>
      <c r="AM1798">
        <v>89.208169190620495</v>
      </c>
      <c r="AN1798">
        <v>0.99999999786302696</v>
      </c>
    </row>
    <row r="1799" spans="1:40" x14ac:dyDescent="0.25">
      <c r="A1799" t="str">
        <f>"20190303153809534"</f>
        <v>20190303153809534</v>
      </c>
      <c r="B1799" t="str">
        <f>"1551598689530458"</f>
        <v>1551598689530458</v>
      </c>
      <c r="C1799" t="s">
        <v>40</v>
      </c>
      <c r="D1799">
        <v>4.6123710000000004</v>
      </c>
      <c r="E1799">
        <v>0.50876270000000001</v>
      </c>
      <c r="F1799" t="s">
        <v>53</v>
      </c>
      <c r="G1799">
        <v>-210.7131</v>
      </c>
      <c r="H1799">
        <v>2.5534599999999998</v>
      </c>
      <c r="I1799">
        <v>-37.96696</v>
      </c>
      <c r="J1799">
        <v>-191.10570000000001</v>
      </c>
      <c r="K1799">
        <v>1.121399</v>
      </c>
      <c r="L1799">
        <v>331.75670000000002</v>
      </c>
      <c r="M1799">
        <v>-1.6519099999999998E-2</v>
      </c>
      <c r="N1799">
        <v>-1.410953E-2</v>
      </c>
      <c r="O1799">
        <v>-0.99976410000000004</v>
      </c>
      <c r="P1799">
        <v>-2.9509819999999999E-2</v>
      </c>
      <c r="Q1799">
        <v>-9.5113219999999998E-2</v>
      </c>
      <c r="R1799">
        <v>-0.99502939999999995</v>
      </c>
      <c r="S1799">
        <v>-0.15962219999999999</v>
      </c>
      <c r="T1799">
        <v>1.1656400000000001E-2</v>
      </c>
      <c r="U1799">
        <v>-3.0115970000000001</v>
      </c>
      <c r="V1799">
        <v>1.3162510000000001E-2</v>
      </c>
      <c r="W1799">
        <v>-8.1044000000000005E-2</v>
      </c>
      <c r="X1799">
        <v>0.99662360000000005</v>
      </c>
      <c r="Y1799">
        <v>3.6412229999999997E-2</v>
      </c>
      <c r="Z1799">
        <v>-1.7968560000000001E-2</v>
      </c>
      <c r="AA1799">
        <v>0.99917529999999999</v>
      </c>
      <c r="AB1799">
        <v>30</v>
      </c>
      <c r="AC1799">
        <v>-19.607399999999899</v>
      </c>
      <c r="AD1799">
        <v>1.43206099999999</v>
      </c>
      <c r="AE1799">
        <v>-369.72366</v>
      </c>
      <c r="AF1799">
        <v>13.4964126480756</v>
      </c>
      <c r="AG1799">
        <v>1.43206099999999</v>
      </c>
      <c r="AH1799">
        <v>369.99159482184803</v>
      </c>
      <c r="AI1799">
        <v>89.778383864104896</v>
      </c>
      <c r="AJ1799">
        <v>87.910912613694407</v>
      </c>
      <c r="AK1799">
        <v>370.24044105403902</v>
      </c>
      <c r="AL1799">
        <v>94.6485774430286</v>
      </c>
      <c r="AM1799">
        <v>89.243332761894905</v>
      </c>
      <c r="AN1799">
        <v>0.99999999084123004</v>
      </c>
    </row>
    <row r="1800" spans="1:40" x14ac:dyDescent="0.25">
      <c r="A1800" t="str">
        <f>"20190303153809549"</f>
        <v>20190303153809549</v>
      </c>
      <c r="B1800" t="str">
        <f>"1551598689540218"</f>
        <v>1551598689540218</v>
      </c>
      <c r="C1800" t="s">
        <v>40</v>
      </c>
      <c r="D1800">
        <v>4.6356760000000001</v>
      </c>
      <c r="E1800">
        <v>0.50892399999999904</v>
      </c>
      <c r="F1800" t="s">
        <v>54</v>
      </c>
      <c r="G1800">
        <v>-212.59469999999999</v>
      </c>
      <c r="H1800">
        <v>3.6402619999999999</v>
      </c>
      <c r="I1800">
        <v>-81.816379999999995</v>
      </c>
      <c r="J1800">
        <v>-191.1086</v>
      </c>
      <c r="K1800">
        <v>1.1214489999999999</v>
      </c>
      <c r="L1800">
        <v>331.55349999999999</v>
      </c>
      <c r="M1800">
        <v>-1.600499E-2</v>
      </c>
      <c r="N1800">
        <v>-1.411989E-2</v>
      </c>
      <c r="O1800">
        <v>-0.99977229999999995</v>
      </c>
      <c r="P1800">
        <v>-2.847276E-2</v>
      </c>
      <c r="Q1800">
        <v>-9.4469730000000002E-2</v>
      </c>
      <c r="R1800">
        <v>-0.99512049999999996</v>
      </c>
      <c r="S1800">
        <v>-0.15650939999999999</v>
      </c>
      <c r="T1800">
        <v>1.8345480000000001E-2</v>
      </c>
      <c r="U1800">
        <v>-3.012146</v>
      </c>
      <c r="V1800">
        <v>1.2643049999999999E-2</v>
      </c>
      <c r="W1800">
        <v>-8.0388650000000006E-2</v>
      </c>
      <c r="X1800">
        <v>0.9966834</v>
      </c>
      <c r="Y1800">
        <v>3.5885149999999998E-2</v>
      </c>
      <c r="Z1800">
        <v>-2.0196309999999999E-2</v>
      </c>
      <c r="AA1800">
        <v>0.99915180000000003</v>
      </c>
      <c r="AB1800">
        <v>30</v>
      </c>
      <c r="AC1800">
        <v>-21.4861</v>
      </c>
      <c r="AD1800">
        <v>2.5188130000000002</v>
      </c>
      <c r="AE1800">
        <v>-413.36988000000002</v>
      </c>
      <c r="AF1800">
        <v>14.866157051755501</v>
      </c>
      <c r="AG1800">
        <v>2.5188130000000002</v>
      </c>
      <c r="AH1800">
        <v>413.64552387984003</v>
      </c>
      <c r="AI1800">
        <v>89.651338034590495</v>
      </c>
      <c r="AJ1800">
        <v>87.941712006683503</v>
      </c>
      <c r="AK1800">
        <v>413.920241677359</v>
      </c>
      <c r="AL1800">
        <v>94.610905734602596</v>
      </c>
      <c r="AM1800">
        <v>89.273235057071105</v>
      </c>
      <c r="AN1800">
        <v>0.99999999079884205</v>
      </c>
    </row>
    <row r="1801" spans="1:40" x14ac:dyDescent="0.25">
      <c r="A1801" t="str">
        <f>"20190303153809568"</f>
        <v>20190303153809568</v>
      </c>
      <c r="B1801" t="str">
        <f>"1551598689560714"</f>
        <v>1551598689560714</v>
      </c>
      <c r="C1801" t="s">
        <v>40</v>
      </c>
      <c r="D1801">
        <v>4.5204170000000001</v>
      </c>
      <c r="E1801">
        <v>0.50902519999999996</v>
      </c>
      <c r="F1801" t="s">
        <v>54</v>
      </c>
      <c r="G1801">
        <v>-212.27600000000001</v>
      </c>
      <c r="H1801">
        <v>4.0476559999999999</v>
      </c>
      <c r="I1801">
        <v>-81.816509999999994</v>
      </c>
      <c r="J1801">
        <v>-191.11199999999999</v>
      </c>
      <c r="K1801">
        <v>1.1214999999999999</v>
      </c>
      <c r="L1801">
        <v>331.29329999999999</v>
      </c>
      <c r="M1801">
        <v>-1.5305640000000001E-2</v>
      </c>
      <c r="N1801">
        <v>-1.413112E-2</v>
      </c>
      <c r="O1801">
        <v>-0.99978319999999998</v>
      </c>
      <c r="P1801">
        <v>-2.7234230000000002E-2</v>
      </c>
      <c r="Q1801">
        <v>-9.4562450000000006E-2</v>
      </c>
      <c r="R1801">
        <v>-0.99514659999999999</v>
      </c>
      <c r="S1801">
        <v>-0.1542511</v>
      </c>
      <c r="T1801">
        <v>2.13238E-2</v>
      </c>
      <c r="U1801">
        <v>-3.0122990000000001</v>
      </c>
      <c r="V1801">
        <v>1.2109079999999999E-2</v>
      </c>
      <c r="W1801">
        <v>-8.0469609999999997E-2</v>
      </c>
      <c r="X1801">
        <v>0.99668350000000006</v>
      </c>
      <c r="Y1801">
        <v>3.5833690000000001E-2</v>
      </c>
      <c r="Z1801">
        <v>-2.119511E-2</v>
      </c>
      <c r="AA1801">
        <v>0.99913300000000005</v>
      </c>
      <c r="AB1801">
        <v>30</v>
      </c>
      <c r="AC1801">
        <v>-21.163999999999898</v>
      </c>
      <c r="AD1801">
        <v>2.9261560000000002</v>
      </c>
      <c r="AE1801">
        <v>-413.10980999999998</v>
      </c>
      <c r="AF1801">
        <v>14.837237749993401</v>
      </c>
      <c r="AG1801">
        <v>2.9261560000000002</v>
      </c>
      <c r="AH1801">
        <v>413.36468511187297</v>
      </c>
      <c r="AI1801">
        <v>89.594678251683106</v>
      </c>
      <c r="AJ1801">
        <v>87.944318103536403</v>
      </c>
      <c r="AK1801">
        <v>413.64123212105397</v>
      </c>
      <c r="AL1801">
        <v>94.615559464766903</v>
      </c>
      <c r="AM1801">
        <v>89.303926427790202</v>
      </c>
      <c r="AN1801">
        <v>0.99999999356212399</v>
      </c>
    </row>
    <row r="1802" spans="1:40" x14ac:dyDescent="0.25">
      <c r="A1802" t="str">
        <f>"20190303153809592"</f>
        <v>20190303153809592</v>
      </c>
      <c r="B1802" t="str">
        <f>"1551598689589994"</f>
        <v>1551598689589994</v>
      </c>
      <c r="C1802" t="s">
        <v>40</v>
      </c>
      <c r="D1802">
        <v>4.5024490000000004</v>
      </c>
      <c r="E1802">
        <v>0.50862050000000003</v>
      </c>
      <c r="F1802" t="s">
        <v>54</v>
      </c>
      <c r="G1802">
        <v>-211.82169999999999</v>
      </c>
      <c r="H1802">
        <v>4.3115019999999999</v>
      </c>
      <c r="I1802">
        <v>-81.816590000000005</v>
      </c>
      <c r="J1802">
        <v>-191.11580000000001</v>
      </c>
      <c r="K1802">
        <v>1.1215440000000001</v>
      </c>
      <c r="L1802">
        <v>330.983</v>
      </c>
      <c r="M1802">
        <v>-1.443095E-2</v>
      </c>
      <c r="N1802">
        <v>-1.414257E-2</v>
      </c>
      <c r="O1802">
        <v>-0.99979569999999995</v>
      </c>
      <c r="P1802">
        <v>-2.6109630000000002E-2</v>
      </c>
      <c r="Q1802">
        <v>-9.5580100000000001E-2</v>
      </c>
      <c r="R1802">
        <v>-0.99507920000000005</v>
      </c>
      <c r="S1802">
        <v>-0.15103150000000001</v>
      </c>
      <c r="T1802">
        <v>2.3264050000000001E-2</v>
      </c>
      <c r="U1802">
        <v>-3.0127259999999998</v>
      </c>
      <c r="V1802">
        <v>1.186605E-2</v>
      </c>
      <c r="W1802">
        <v>-8.1476229999999997E-2</v>
      </c>
      <c r="X1802">
        <v>0.99660459999999995</v>
      </c>
      <c r="Y1802">
        <v>3.5635220000000002E-2</v>
      </c>
      <c r="Z1802">
        <v>-2.1849460000000001E-2</v>
      </c>
      <c r="AA1802">
        <v>0.99912599999999996</v>
      </c>
      <c r="AB1802">
        <v>30</v>
      </c>
      <c r="AC1802">
        <v>-20.7058999999999</v>
      </c>
      <c r="AD1802">
        <v>3.1899579999999998</v>
      </c>
      <c r="AE1802">
        <v>-412.799589999999</v>
      </c>
      <c r="AF1802">
        <v>14.7451781620055</v>
      </c>
      <c r="AG1802">
        <v>3.1899579999999998</v>
      </c>
      <c r="AH1802">
        <v>413.03082896332103</v>
      </c>
      <c r="AI1802">
        <v>89.557778422324304</v>
      </c>
      <c r="AJ1802">
        <v>87.955412087787593</v>
      </c>
      <c r="AK1802">
        <v>413.30625664898798</v>
      </c>
      <c r="AL1802">
        <v>94.673424742158502</v>
      </c>
      <c r="AM1802">
        <v>89.317841338549599</v>
      </c>
      <c r="AN1802">
        <v>0.99999995396938601</v>
      </c>
    </row>
    <row r="1803" spans="1:40" x14ac:dyDescent="0.25">
      <c r="A1803" t="str">
        <f>"20190303153809616"</f>
        <v>20190303153809616</v>
      </c>
      <c r="B1803" t="str">
        <f>"1551598689610490"</f>
        <v>1551598689610490</v>
      </c>
      <c r="C1803" t="s">
        <v>40</v>
      </c>
      <c r="D1803">
        <v>4.4663620000000002</v>
      </c>
      <c r="E1803">
        <v>0.50842349999999903</v>
      </c>
      <c r="F1803" t="s">
        <v>49</v>
      </c>
      <c r="G1803">
        <v>-203.33670000000001</v>
      </c>
      <c r="H1803">
        <v>2.7331989999999999</v>
      </c>
      <c r="I1803">
        <v>76.233519999999999</v>
      </c>
      <c r="J1803">
        <v>-191.1191</v>
      </c>
      <c r="K1803">
        <v>1.1215729999999999</v>
      </c>
      <c r="L1803">
        <v>330.6909</v>
      </c>
      <c r="M1803">
        <v>-1.3581889999999999E-2</v>
      </c>
      <c r="N1803">
        <v>-1.415132E-2</v>
      </c>
      <c r="O1803">
        <v>-0.99980749999999996</v>
      </c>
      <c r="P1803">
        <v>-2.4732520000000001E-2</v>
      </c>
      <c r="Q1803">
        <v>-9.6049599999999999E-2</v>
      </c>
      <c r="R1803">
        <v>-0.99506939999999999</v>
      </c>
      <c r="S1803">
        <v>-0.144531299999999</v>
      </c>
      <c r="T1803">
        <v>1.906037E-2</v>
      </c>
      <c r="U1803">
        <v>-3.0128170000000001</v>
      </c>
      <c r="V1803">
        <v>1.134112E-2</v>
      </c>
      <c r="W1803">
        <v>-8.1937490000000002E-2</v>
      </c>
      <c r="X1803">
        <v>0.99657289999999998</v>
      </c>
      <c r="Y1803">
        <v>3.4333009999999997E-2</v>
      </c>
      <c r="Z1803">
        <v>-2.046572E-2</v>
      </c>
      <c r="AA1803">
        <v>0.99920089999999995</v>
      </c>
      <c r="AB1803">
        <v>30</v>
      </c>
      <c r="AC1803">
        <v>-12.217599999999999</v>
      </c>
      <c r="AD1803">
        <v>1.611626</v>
      </c>
      <c r="AE1803">
        <v>-254.45737999999901</v>
      </c>
      <c r="AF1803">
        <v>8.7597636087108093</v>
      </c>
      <c r="AG1803">
        <v>1.611626</v>
      </c>
      <c r="AH1803">
        <v>254.589670180962</v>
      </c>
      <c r="AI1803">
        <v>89.637520538988895</v>
      </c>
      <c r="AJ1803">
        <v>88.029379729238499</v>
      </c>
      <c r="AK1803">
        <v>254.745423824836</v>
      </c>
      <c r="AL1803">
        <v>94.699941632345499</v>
      </c>
      <c r="AM1803">
        <v>89.347995252574904</v>
      </c>
      <c r="AN1803">
        <v>0.99999995914238105</v>
      </c>
    </row>
    <row r="1804" spans="1:40" x14ac:dyDescent="0.25">
      <c r="A1804" t="str">
        <f>"20190303153809635"</f>
        <v>20190303153809635</v>
      </c>
      <c r="B1804" t="str">
        <f>"1551598689630010"</f>
        <v>1551598689630010</v>
      </c>
      <c r="C1804" t="s">
        <v>40</v>
      </c>
      <c r="D1804">
        <v>4.501004</v>
      </c>
      <c r="E1804">
        <v>0.50842749999999903</v>
      </c>
      <c r="F1804" t="s">
        <v>54</v>
      </c>
      <c r="G1804">
        <v>-210.07910000000001</v>
      </c>
      <c r="H1804">
        <v>3.46149</v>
      </c>
      <c r="I1804">
        <v>-81.816310000000001</v>
      </c>
      <c r="J1804">
        <v>-191.12200000000001</v>
      </c>
      <c r="K1804">
        <v>1.121599</v>
      </c>
      <c r="L1804">
        <v>330.41570000000002</v>
      </c>
      <c r="M1804">
        <v>-1.276739E-2</v>
      </c>
      <c r="N1804">
        <v>-1.4158179999999999E-2</v>
      </c>
      <c r="O1804">
        <v>-0.99981830000000005</v>
      </c>
      <c r="P1804">
        <v>-2.311115E-2</v>
      </c>
      <c r="Q1804">
        <v>-9.5804920000000002E-2</v>
      </c>
      <c r="R1804">
        <v>-0.99513200000000002</v>
      </c>
      <c r="S1804">
        <v>-0.1384888</v>
      </c>
      <c r="T1804">
        <v>1.7091390000000001E-2</v>
      </c>
      <c r="U1804">
        <v>-3.0130620000000001</v>
      </c>
      <c r="V1804">
        <v>1.053345E-2</v>
      </c>
      <c r="W1804">
        <v>-8.1686320000000007E-2</v>
      </c>
      <c r="X1804">
        <v>0.9966024</v>
      </c>
      <c r="Y1804">
        <v>3.3144380000000001E-2</v>
      </c>
      <c r="Z1804">
        <v>-1.9820330000000001E-2</v>
      </c>
      <c r="AA1804">
        <v>0.99925399999999998</v>
      </c>
      <c r="AB1804">
        <v>30</v>
      </c>
      <c r="AC1804">
        <v>-18.957100000000001</v>
      </c>
      <c r="AD1804">
        <v>2.3398910000000002</v>
      </c>
      <c r="AE1804">
        <v>-412.23201</v>
      </c>
      <c r="AF1804">
        <v>13.691460191151901</v>
      </c>
      <c r="AG1804">
        <v>2.3398910000000002</v>
      </c>
      <c r="AH1804">
        <v>412.42720081871602</v>
      </c>
      <c r="AI1804">
        <v>89.675116895186207</v>
      </c>
      <c r="AJ1804">
        <v>88.098634381252893</v>
      </c>
      <c r="AK1804">
        <v>412.661031776953</v>
      </c>
      <c r="AL1804">
        <v>94.685502167417297</v>
      </c>
      <c r="AM1804">
        <v>89.394442802079794</v>
      </c>
      <c r="AN1804">
        <v>0.99999997606490199</v>
      </c>
    </row>
    <row r="1805" spans="1:40" x14ac:dyDescent="0.25">
      <c r="A1805" t="str">
        <f>"20190303153809650"</f>
        <v>20190303153809650</v>
      </c>
      <c r="B1805" t="str">
        <f>"1551598689640746"</f>
        <v>1551598689640746</v>
      </c>
      <c r="C1805" t="s">
        <v>40</v>
      </c>
      <c r="D1805">
        <v>4.4775269999999896</v>
      </c>
      <c r="E1805">
        <v>0.50835059999999999</v>
      </c>
      <c r="F1805" t="s">
        <v>54</v>
      </c>
      <c r="G1805">
        <v>-209.37950000000001</v>
      </c>
      <c r="H1805">
        <v>3.4354379999999902</v>
      </c>
      <c r="I1805">
        <v>-81.816299999999998</v>
      </c>
      <c r="J1805">
        <v>-191.12389999999999</v>
      </c>
      <c r="K1805">
        <v>1.1216120000000001</v>
      </c>
      <c r="L1805">
        <v>330.21969999999999</v>
      </c>
      <c r="M1805">
        <v>-1.2181910000000001E-2</v>
      </c>
      <c r="N1805">
        <v>-1.416245E-2</v>
      </c>
      <c r="O1805">
        <v>-0.99982579999999999</v>
      </c>
      <c r="P1805">
        <v>-2.202952E-2</v>
      </c>
      <c r="Q1805">
        <v>-9.5776570000000005E-2</v>
      </c>
      <c r="R1805">
        <v>-0.99515929999999997</v>
      </c>
      <c r="S1805">
        <v>-0.1334534</v>
      </c>
      <c r="T1805">
        <v>1.6913060000000001E-2</v>
      </c>
      <c r="U1805">
        <v>-3.0132140000000001</v>
      </c>
      <c r="V1805">
        <v>1.003629E-2</v>
      </c>
      <c r="W1805">
        <v>-8.1654119999999997E-2</v>
      </c>
      <c r="X1805">
        <v>0.9966102</v>
      </c>
      <c r="Y1805">
        <v>3.2060940000000003E-2</v>
      </c>
      <c r="Z1805">
        <v>-1.9765899999999999E-2</v>
      </c>
      <c r="AA1805">
        <v>0.99929049999999997</v>
      </c>
      <c r="AB1805">
        <v>29</v>
      </c>
      <c r="AC1805">
        <v>-18.255600000000001</v>
      </c>
      <c r="AD1805">
        <v>2.3138260000000002</v>
      </c>
      <c r="AE1805">
        <v>-412.036</v>
      </c>
      <c r="AF1805">
        <v>13.2339412008998</v>
      </c>
      <c r="AG1805">
        <v>2.3138260000000002</v>
      </c>
      <c r="AH1805">
        <v>412.21485653917699</v>
      </c>
      <c r="AI1805">
        <v>89.678558878241503</v>
      </c>
      <c r="AJ1805">
        <v>88.161180710216499</v>
      </c>
      <c r="AK1805">
        <v>412.433726727193</v>
      </c>
      <c r="AL1805">
        <v>94.6836509162016</v>
      </c>
      <c r="AM1805">
        <v>89.423026554100204</v>
      </c>
      <c r="AN1805">
        <v>1.0000000065869801</v>
      </c>
    </row>
    <row r="1806" spans="1:40" x14ac:dyDescent="0.25">
      <c r="A1806" t="str">
        <f>"20190303153809670"</f>
        <v>20190303153809670</v>
      </c>
      <c r="B1806" t="str">
        <f>"1551598689660270"</f>
        <v>1551598689660270</v>
      </c>
      <c r="C1806" t="s">
        <v>40</v>
      </c>
      <c r="D1806">
        <v>4.4825169999999996</v>
      </c>
      <c r="E1806">
        <v>0.50829399999999902</v>
      </c>
      <c r="F1806" t="s">
        <v>54</v>
      </c>
      <c r="G1806">
        <v>-208.8357</v>
      </c>
      <c r="H1806">
        <v>3.4203220000000001</v>
      </c>
      <c r="I1806">
        <v>-81.816299999999998</v>
      </c>
      <c r="J1806">
        <v>-191.12620000000001</v>
      </c>
      <c r="K1806">
        <v>1.121623</v>
      </c>
      <c r="L1806">
        <v>329.96300000000002</v>
      </c>
      <c r="M1806">
        <v>-1.141151E-2</v>
      </c>
      <c r="N1806">
        <v>-1.4167020000000001E-2</v>
      </c>
      <c r="O1806">
        <v>-0.99983460000000002</v>
      </c>
      <c r="P1806">
        <v>-2.0352550000000001E-2</v>
      </c>
      <c r="Q1806">
        <v>-9.5962660000000005E-2</v>
      </c>
      <c r="R1806">
        <v>-0.99517699999999998</v>
      </c>
      <c r="S1806">
        <v>-0.12953190000000001</v>
      </c>
      <c r="T1806">
        <v>1.6811130000000001E-2</v>
      </c>
      <c r="U1806">
        <v>-3.0133359999999998</v>
      </c>
      <c r="V1806">
        <v>9.1278479999999992E-3</v>
      </c>
      <c r="W1806">
        <v>-8.1837140000000003E-2</v>
      </c>
      <c r="X1806">
        <v>0.99660389999999999</v>
      </c>
      <c r="Y1806">
        <v>3.1531330000000003E-2</v>
      </c>
      <c r="Z1806">
        <v>-1.9737080000000001E-2</v>
      </c>
      <c r="AA1806">
        <v>0.99930790000000003</v>
      </c>
      <c r="AB1806">
        <v>29</v>
      </c>
      <c r="AC1806">
        <v>-17.709499999999899</v>
      </c>
      <c r="AD1806">
        <v>2.298699</v>
      </c>
      <c r="AE1806">
        <v>-411.77929999999998</v>
      </c>
      <c r="AF1806">
        <v>13.008447147486001</v>
      </c>
      <c r="AG1806">
        <v>2.298699</v>
      </c>
      <c r="AH1806">
        <v>411.94178115411597</v>
      </c>
      <c r="AI1806">
        <v>89.680443273341695</v>
      </c>
      <c r="AJ1806">
        <v>88.191294119419794</v>
      </c>
      <c r="AK1806">
        <v>412.153533012526</v>
      </c>
      <c r="AL1806">
        <v>94.694172507638697</v>
      </c>
      <c r="AM1806">
        <v>89.475245337356696</v>
      </c>
      <c r="AN1806">
        <v>0.99999998429384995</v>
      </c>
    </row>
    <row r="1807" spans="1:40" x14ac:dyDescent="0.25">
      <c r="A1807" t="str">
        <f>"20190303153809692"</f>
        <v>20190303153809692</v>
      </c>
      <c r="B1807" t="str">
        <f>"1551598689690522"</f>
        <v>1551598689690522</v>
      </c>
      <c r="C1807" t="s">
        <v>40</v>
      </c>
      <c r="D1807">
        <v>4.4447900000000002</v>
      </c>
      <c r="E1807">
        <v>0.50827670000000003</v>
      </c>
      <c r="F1807" t="s">
        <v>54</v>
      </c>
      <c r="G1807">
        <v>-208.0444</v>
      </c>
      <c r="H1807">
        <v>3.220154</v>
      </c>
      <c r="I1807">
        <v>-81.816230000000004</v>
      </c>
      <c r="J1807">
        <v>-191.1285</v>
      </c>
      <c r="K1807">
        <v>1.121634</v>
      </c>
      <c r="L1807">
        <v>329.6703</v>
      </c>
      <c r="M1807">
        <v>-1.0530940000000001E-2</v>
      </c>
      <c r="N1807">
        <v>-1.4171420000000001E-2</v>
      </c>
      <c r="O1807">
        <v>-0.99984410000000001</v>
      </c>
      <c r="P1807">
        <v>-1.7898069999999999E-2</v>
      </c>
      <c r="Q1807">
        <v>-9.5778379999999996E-2</v>
      </c>
      <c r="R1807">
        <v>-0.99524219999999997</v>
      </c>
      <c r="S1807">
        <v>-0.1238098</v>
      </c>
      <c r="T1807">
        <v>1.535738E-2</v>
      </c>
      <c r="U1807">
        <v>-3.013458</v>
      </c>
      <c r="V1807">
        <v>7.5496919999999898E-3</v>
      </c>
      <c r="W1807">
        <v>-8.1650539999999994E-2</v>
      </c>
      <c r="X1807">
        <v>0.99663239999999997</v>
      </c>
      <c r="Y1807">
        <v>3.0516020000000001E-2</v>
      </c>
      <c r="Z1807">
        <v>-1.9260099999999999E-2</v>
      </c>
      <c r="AA1807">
        <v>0.99934869999999998</v>
      </c>
      <c r="AB1807">
        <v>29</v>
      </c>
      <c r="AC1807">
        <v>-16.915899999999901</v>
      </c>
      <c r="AD1807">
        <v>2.0985200000000002</v>
      </c>
      <c r="AE1807">
        <v>-411.48652999999899</v>
      </c>
      <c r="AF1807">
        <v>12.580859882318</v>
      </c>
      <c r="AG1807">
        <v>2.0985200000000002</v>
      </c>
      <c r="AH1807">
        <v>411.63117809455002</v>
      </c>
      <c r="AI1807">
        <v>89.708041598941307</v>
      </c>
      <c r="AJ1807">
        <v>88.249389526554495</v>
      </c>
      <c r="AK1807">
        <v>411.82873697821998</v>
      </c>
      <c r="AL1807">
        <v>94.683445260099603</v>
      </c>
      <c r="AM1807">
        <v>89.565981183793795</v>
      </c>
      <c r="AN1807">
        <v>0.99999997463067203</v>
      </c>
    </row>
    <row r="1808" spans="1:40" x14ac:dyDescent="0.25">
      <c r="A1808" t="str">
        <f>"20190303153809724"</f>
        <v>20190303153809724</v>
      </c>
      <c r="B1808" t="str">
        <f>"1551598689720778"</f>
        <v>1551598689720778</v>
      </c>
      <c r="C1808" t="s">
        <v>40</v>
      </c>
      <c r="D1808">
        <v>4.425745</v>
      </c>
      <c r="E1808">
        <v>0.50836689999999995</v>
      </c>
      <c r="F1808" t="s">
        <v>54</v>
      </c>
      <c r="G1808">
        <v>-206.86869999999999</v>
      </c>
      <c r="H1808">
        <v>3.1332620000000002</v>
      </c>
      <c r="I1808">
        <v>-80.949669999999998</v>
      </c>
      <c r="J1808">
        <v>-191.13140000000001</v>
      </c>
      <c r="K1808">
        <v>1.121648</v>
      </c>
      <c r="L1808">
        <v>329.25779999999997</v>
      </c>
      <c r="M1808">
        <v>-9.2938080000000006E-3</v>
      </c>
      <c r="N1808">
        <v>-1.417585E-2</v>
      </c>
      <c r="O1808">
        <v>-0.99985630000000003</v>
      </c>
      <c r="P1808">
        <v>-1.481329E-2</v>
      </c>
      <c r="Q1808">
        <v>-9.5009510000000005E-2</v>
      </c>
      <c r="R1808">
        <v>-0.99536639999999998</v>
      </c>
      <c r="S1808">
        <v>-0.1155243</v>
      </c>
      <c r="T1808">
        <v>1.4764309999999999E-2</v>
      </c>
      <c r="U1808">
        <v>-3.0137330000000002</v>
      </c>
      <c r="V1808">
        <v>5.6941930000000002E-3</v>
      </c>
      <c r="W1808">
        <v>-8.0879199999999998E-2</v>
      </c>
      <c r="X1808">
        <v>0.99670760000000003</v>
      </c>
      <c r="Y1808">
        <v>2.9006049999999999E-2</v>
      </c>
      <c r="Z1808">
        <v>-1.9068470000000001E-2</v>
      </c>
      <c r="AA1808">
        <v>0.99939730000000004</v>
      </c>
      <c r="AB1808">
        <v>29</v>
      </c>
      <c r="AC1808">
        <v>-15.7372999999999</v>
      </c>
      <c r="AD1808">
        <v>2.0116139999999998</v>
      </c>
      <c r="AE1808">
        <v>-410.20747</v>
      </c>
      <c r="AF1808">
        <v>11.923561198765</v>
      </c>
      <c r="AG1808">
        <v>2.0116139999999998</v>
      </c>
      <c r="AH1808">
        <v>410.32617129932203</v>
      </c>
      <c r="AI1808">
        <v>89.719229611035601</v>
      </c>
      <c r="AJ1808">
        <v>88.335525280293297</v>
      </c>
      <c r="AK1808">
        <v>410.504305404592</v>
      </c>
      <c r="AL1808">
        <v>94.639104168848704</v>
      </c>
      <c r="AM1808">
        <v>89.672672630125803</v>
      </c>
      <c r="AN1808">
        <v>0.99999995436215905</v>
      </c>
    </row>
    <row r="1809" spans="1:40" x14ac:dyDescent="0.25">
      <c r="A1809" t="str">
        <f>"20190303153809747"</f>
        <v>20190303153809747</v>
      </c>
      <c r="B1809" t="str">
        <f>"1551598689740298"</f>
        <v>1551598689740298</v>
      </c>
      <c r="C1809" t="s">
        <v>40</v>
      </c>
      <c r="D1809">
        <v>4.4650080000000001</v>
      </c>
      <c r="E1809">
        <v>0.50851800000000003</v>
      </c>
      <c r="F1809" t="s">
        <v>49</v>
      </c>
      <c r="G1809">
        <v>-203.2176</v>
      </c>
      <c r="H1809">
        <v>2.9124690000000002</v>
      </c>
      <c r="I1809">
        <v>-10.657769999999999</v>
      </c>
      <c r="J1809">
        <v>-191.13319999999999</v>
      </c>
      <c r="K1809">
        <v>1.121651</v>
      </c>
      <c r="L1809">
        <v>328.9563</v>
      </c>
      <c r="M1809">
        <v>-8.3936989999999993E-3</v>
      </c>
      <c r="N1809">
        <v>-1.417816E-2</v>
      </c>
      <c r="O1809">
        <v>-0.99986430000000004</v>
      </c>
      <c r="P1809">
        <v>-1.290964E-2</v>
      </c>
      <c r="Q1809">
        <v>-9.4742569999999998E-2</v>
      </c>
      <c r="R1809">
        <v>-0.99541829999999998</v>
      </c>
      <c r="S1809">
        <v>-0.10716249999999999</v>
      </c>
      <c r="T1809">
        <v>1.5878440000000001E-2</v>
      </c>
      <c r="U1809">
        <v>-3.0138850000000001</v>
      </c>
      <c r="V1809">
        <v>4.6856149999999997E-3</v>
      </c>
      <c r="W1809">
        <v>-8.0611219999999997E-2</v>
      </c>
      <c r="X1809">
        <v>0.99673460000000003</v>
      </c>
      <c r="Y1809">
        <v>2.713488E-2</v>
      </c>
      <c r="Z1809">
        <v>-1.9440760000000001E-2</v>
      </c>
      <c r="AA1809">
        <v>0.99944270000000002</v>
      </c>
      <c r="AB1809">
        <v>29</v>
      </c>
      <c r="AC1809">
        <v>-12.0844</v>
      </c>
      <c r="AD1809">
        <v>1.79081799999999</v>
      </c>
      <c r="AE1809">
        <v>-339.61407000000003</v>
      </c>
      <c r="AF1809">
        <v>9.2328131032618899</v>
      </c>
      <c r="AG1809">
        <v>1.79081799999999</v>
      </c>
      <c r="AH1809">
        <v>339.694113337982</v>
      </c>
      <c r="AI1809">
        <v>89.698059280362401</v>
      </c>
      <c r="AJ1809">
        <v>88.443096315551998</v>
      </c>
      <c r="AK1809">
        <v>339.82428180367998</v>
      </c>
      <c r="AL1809">
        <v>94.623699565728103</v>
      </c>
      <c r="AM1809">
        <v>89.730656499400396</v>
      </c>
      <c r="AN1809">
        <v>0.99999999330748801</v>
      </c>
    </row>
    <row r="1810" spans="1:40" x14ac:dyDescent="0.25">
      <c r="A1810" t="str">
        <f>"20190303153809770"</f>
        <v>20190303153809770</v>
      </c>
      <c r="B1810" t="str">
        <f>"1551598689760797"</f>
        <v>1551598689760797</v>
      </c>
      <c r="C1810" t="s">
        <v>40</v>
      </c>
      <c r="D1810">
        <v>4.431171</v>
      </c>
      <c r="E1810">
        <v>0.50854909999999998</v>
      </c>
      <c r="F1810" t="s">
        <v>54</v>
      </c>
      <c r="G1810">
        <v>-205.0805</v>
      </c>
      <c r="H1810">
        <v>3.3755039999999998</v>
      </c>
      <c r="I1810">
        <v>-80.949749999999995</v>
      </c>
      <c r="J1810">
        <v>-191.13480000000001</v>
      </c>
      <c r="K1810">
        <v>1.1216539999999999</v>
      </c>
      <c r="L1810">
        <v>328.65640000000002</v>
      </c>
      <c r="M1810">
        <v>-7.5016229999999998E-3</v>
      </c>
      <c r="N1810">
        <v>-1.417971E-2</v>
      </c>
      <c r="O1810">
        <v>-0.99987130000000002</v>
      </c>
      <c r="P1810">
        <v>-1.2526600000000001E-2</v>
      </c>
      <c r="Q1810">
        <v>-9.5305699999999993E-2</v>
      </c>
      <c r="R1810">
        <v>-0.99536930000000001</v>
      </c>
      <c r="S1810">
        <v>-0.1025543</v>
      </c>
      <c r="T1810">
        <v>1.6572590000000002E-2</v>
      </c>
      <c r="U1810">
        <v>-3.0140380000000002</v>
      </c>
      <c r="V1810">
        <v>5.1917129999999997E-3</v>
      </c>
      <c r="W1810">
        <v>-8.1172729999999998E-2</v>
      </c>
      <c r="X1810">
        <v>0.99668650000000003</v>
      </c>
      <c r="Y1810">
        <v>2.6498669999999998E-2</v>
      </c>
      <c r="Z1810">
        <v>-1.9672740000000001E-2</v>
      </c>
      <c r="AA1810">
        <v>0.99945530000000005</v>
      </c>
      <c r="AB1810">
        <v>29</v>
      </c>
      <c r="AC1810">
        <v>-13.945699999999899</v>
      </c>
      <c r="AD1810">
        <v>2.2538499999999999</v>
      </c>
      <c r="AE1810">
        <v>-409.60615000000001</v>
      </c>
      <c r="AF1810">
        <v>10.871958793140699</v>
      </c>
      <c r="AG1810">
        <v>2.2538499999999999</v>
      </c>
      <c r="AH1810">
        <v>409.68685841692098</v>
      </c>
      <c r="AI1810">
        <v>89.684907284238193</v>
      </c>
      <c r="AJ1810">
        <v>88.479884872657806</v>
      </c>
      <c r="AK1810">
        <v>409.83728635563199</v>
      </c>
      <c r="AL1810">
        <v>94.655977594854207</v>
      </c>
      <c r="AM1810">
        <v>89.701550534706001</v>
      </c>
      <c r="AN1810">
        <v>0.99999997263088802</v>
      </c>
    </row>
    <row r="1811" spans="1:40" x14ac:dyDescent="0.25">
      <c r="A1811" t="str">
        <f>"20190303153809793"</f>
        <v>20190303153809793</v>
      </c>
      <c r="B1811" t="str">
        <f>"1551598689780318"</f>
        <v>1551598689780318</v>
      </c>
      <c r="C1811" t="s">
        <v>40</v>
      </c>
      <c r="D1811">
        <v>4.4156319999999996</v>
      </c>
      <c r="E1811">
        <v>0.50872890000000004</v>
      </c>
      <c r="F1811" t="s">
        <v>54</v>
      </c>
      <c r="G1811">
        <v>-204.9641</v>
      </c>
      <c r="H1811">
        <v>3.0162659999999999</v>
      </c>
      <c r="I1811">
        <v>-80.949629999999999</v>
      </c>
      <c r="J1811">
        <v>-191.136</v>
      </c>
      <c r="K1811">
        <v>1.121653</v>
      </c>
      <c r="L1811">
        <v>328.36540000000002</v>
      </c>
      <c r="M1811">
        <v>-6.6379710000000003E-3</v>
      </c>
      <c r="N1811">
        <v>-1.4180440000000001E-2</v>
      </c>
      <c r="O1811">
        <v>-0.99987749999999997</v>
      </c>
      <c r="P1811">
        <v>-1.275519E-2</v>
      </c>
      <c r="Q1811">
        <v>-9.5381850000000004E-2</v>
      </c>
      <c r="R1811">
        <v>-0.99535910000000005</v>
      </c>
      <c r="S1811">
        <v>-0.1017609</v>
      </c>
      <c r="T1811">
        <v>1.3941169999999999E-2</v>
      </c>
      <c r="U1811">
        <v>-3.014008</v>
      </c>
      <c r="V1811">
        <v>6.2799500000000003E-3</v>
      </c>
      <c r="W1811">
        <v>-8.1246600000000002E-2</v>
      </c>
      <c r="X1811">
        <v>0.99667419999999995</v>
      </c>
      <c r="Y1811">
        <v>2.7100019999999999E-2</v>
      </c>
      <c r="Z1811">
        <v>-1.8801330000000002E-2</v>
      </c>
      <c r="AA1811">
        <v>0.99945589999999995</v>
      </c>
      <c r="AB1811">
        <v>29</v>
      </c>
      <c r="AC1811">
        <v>-13.828099999999999</v>
      </c>
      <c r="AD1811">
        <v>1.8946130000000001</v>
      </c>
      <c r="AE1811">
        <v>-409.31502999999998</v>
      </c>
      <c r="AF1811">
        <v>11.1102632200621</v>
      </c>
      <c r="AG1811">
        <v>1.8946130000000001</v>
      </c>
      <c r="AH1811">
        <v>409.38904882556801</v>
      </c>
      <c r="AI1811">
        <v>89.734940145835793</v>
      </c>
      <c r="AJ1811">
        <v>88.445451867482205</v>
      </c>
      <c r="AK1811">
        <v>409.544162216411</v>
      </c>
      <c r="AL1811">
        <v>94.660224145420898</v>
      </c>
      <c r="AM1811">
        <v>89.638989482269594</v>
      </c>
      <c r="AN1811">
        <v>0.99999995436459999</v>
      </c>
    </row>
    <row r="1812" spans="1:40" x14ac:dyDescent="0.25">
      <c r="A1812" t="str">
        <f>"20190303153809816"</f>
        <v>20190303153809816</v>
      </c>
      <c r="B1812" t="str">
        <f>"1551598689810570"</f>
        <v>1551598689810570</v>
      </c>
      <c r="C1812" t="s">
        <v>40</v>
      </c>
      <c r="D1812">
        <v>4.4397289999999998</v>
      </c>
      <c r="E1812">
        <v>0.50898509999999997</v>
      </c>
      <c r="F1812" t="s">
        <v>54</v>
      </c>
      <c r="G1812">
        <v>-205.26249999999999</v>
      </c>
      <c r="H1812">
        <v>2.9555419999999999</v>
      </c>
      <c r="I1812">
        <v>-80.949619999999996</v>
      </c>
      <c r="J1812">
        <v>-191.1369</v>
      </c>
      <c r="K1812">
        <v>1.1216469999999901</v>
      </c>
      <c r="L1812">
        <v>328.06790000000001</v>
      </c>
      <c r="M1812">
        <v>-5.7556200000000004E-3</v>
      </c>
      <c r="N1812">
        <v>-1.4178710000000001E-2</v>
      </c>
      <c r="O1812">
        <v>-0.99988290000000002</v>
      </c>
      <c r="P1812">
        <v>-1.3864710000000001E-2</v>
      </c>
      <c r="Q1812">
        <v>-9.6527470000000004E-2</v>
      </c>
      <c r="R1812">
        <v>-0.99523379999999995</v>
      </c>
      <c r="S1812">
        <v>-0.10401920000000001</v>
      </c>
      <c r="T1812">
        <v>1.3503670000000001E-2</v>
      </c>
      <c r="U1812">
        <v>-3.0139469999999999</v>
      </c>
      <c r="V1812">
        <v>8.2700900000000008E-3</v>
      </c>
      <c r="W1812">
        <v>-8.2392380000000001E-2</v>
      </c>
      <c r="X1812">
        <v>0.99656560000000005</v>
      </c>
      <c r="Y1812">
        <v>2.8730760000000001E-2</v>
      </c>
      <c r="Z1812">
        <v>-1.8654690000000002E-2</v>
      </c>
      <c r="AA1812">
        <v>0.99941310000000005</v>
      </c>
      <c r="AB1812">
        <v>29</v>
      </c>
      <c r="AC1812">
        <v>-14.125599999999899</v>
      </c>
      <c r="AD1812">
        <v>1.8338950000000001</v>
      </c>
      <c r="AE1812">
        <v>-409.01751999999999</v>
      </c>
      <c r="AF1812">
        <v>11.7707435170504</v>
      </c>
      <c r="AG1812">
        <v>1.8338950000000001</v>
      </c>
      <c r="AH1812">
        <v>409.08383945128901</v>
      </c>
      <c r="AI1812">
        <v>89.743254899517197</v>
      </c>
      <c r="AJ1812">
        <v>88.351858874351194</v>
      </c>
      <c r="AK1812">
        <v>409.25725561561302</v>
      </c>
      <c r="AL1812">
        <v>94.726093394415301</v>
      </c>
      <c r="AM1812">
        <v>89.524536692453594</v>
      </c>
      <c r="AN1812">
        <v>0.99999994688701399</v>
      </c>
    </row>
    <row r="1813" spans="1:40" x14ac:dyDescent="0.25">
      <c r="A1813" t="str">
        <f>"20190303153809836"</f>
        <v>20190303153809836</v>
      </c>
      <c r="B1813" t="str">
        <f>"1551598689830090"</f>
        <v>1551598689830090</v>
      </c>
      <c r="C1813" t="s">
        <v>40</v>
      </c>
      <c r="D1813">
        <v>4.4504020000000004</v>
      </c>
      <c r="E1813">
        <v>0.50912740000000001</v>
      </c>
      <c r="F1813" t="s">
        <v>54</v>
      </c>
      <c r="G1813">
        <v>-205.9787</v>
      </c>
      <c r="H1813">
        <v>2.4632619999999998</v>
      </c>
      <c r="I1813">
        <v>-80.949449999999999</v>
      </c>
      <c r="J1813">
        <v>-191.13759999999999</v>
      </c>
      <c r="K1813">
        <v>1.1216390000000001</v>
      </c>
      <c r="L1813">
        <v>327.78449999999998</v>
      </c>
      <c r="M1813">
        <v>-4.912993E-3</v>
      </c>
      <c r="N1813">
        <v>-1.415462E-2</v>
      </c>
      <c r="O1813">
        <v>-0.99988790000000005</v>
      </c>
      <c r="P1813">
        <v>-1.5981430000000001E-2</v>
      </c>
      <c r="Q1813">
        <v>-9.6585770000000001E-2</v>
      </c>
      <c r="R1813">
        <v>-0.99519639999999998</v>
      </c>
      <c r="S1813">
        <v>-0.1093597</v>
      </c>
      <c r="T1813">
        <v>9.8855499999999999E-3</v>
      </c>
      <c r="U1813">
        <v>-3.0137939999999999</v>
      </c>
      <c r="V1813">
        <v>1.122564E-2</v>
      </c>
      <c r="W1813">
        <v>-8.2470390000000005E-2</v>
      </c>
      <c r="X1813">
        <v>0.99653029999999998</v>
      </c>
      <c r="Y1813">
        <v>3.1343919999999997E-2</v>
      </c>
      <c r="Z1813">
        <v>-1.743109E-2</v>
      </c>
      <c r="AA1813">
        <v>0.99935660000000004</v>
      </c>
      <c r="AB1813">
        <v>29</v>
      </c>
      <c r="AC1813">
        <v>-14.841100000000001</v>
      </c>
      <c r="AD1813">
        <v>1.34162299999999</v>
      </c>
      <c r="AE1813">
        <v>-408.73394999999999</v>
      </c>
      <c r="AF1813">
        <v>12.8324748474902</v>
      </c>
      <c r="AG1813">
        <v>1.34162299999999</v>
      </c>
      <c r="AH1813">
        <v>408.79753897822502</v>
      </c>
      <c r="AI1813">
        <v>89.812055582856999</v>
      </c>
      <c r="AJ1813">
        <v>88.202031023562299</v>
      </c>
      <c r="AK1813">
        <v>409.00110053353001</v>
      </c>
      <c r="AL1813">
        <v>94.730578004749404</v>
      </c>
      <c r="AM1813">
        <v>89.354606085641805</v>
      </c>
      <c r="AN1813">
        <v>1.0000000095191199</v>
      </c>
    </row>
    <row r="1814" spans="1:40" x14ac:dyDescent="0.25">
      <c r="A1814" t="str">
        <f>"20190303153809859"</f>
        <v>20190303153809859</v>
      </c>
      <c r="B1814" t="str">
        <f>"1551598689850587"</f>
        <v>1551598689850587</v>
      </c>
      <c r="C1814" t="s">
        <v>40</v>
      </c>
      <c r="D1814">
        <v>4.4504089999999996</v>
      </c>
      <c r="E1814">
        <v>0.509250599999999</v>
      </c>
      <c r="F1814" t="s">
        <v>54</v>
      </c>
      <c r="G1814">
        <v>-207.04910000000001</v>
      </c>
      <c r="H1814">
        <v>2.4632830000000001</v>
      </c>
      <c r="I1814">
        <v>-81.815979999999996</v>
      </c>
      <c r="J1814">
        <v>-191.13810000000001</v>
      </c>
      <c r="K1814">
        <v>1.121621</v>
      </c>
      <c r="L1814">
        <v>327.49630000000002</v>
      </c>
      <c r="M1814">
        <v>-4.0526390000000002E-3</v>
      </c>
      <c r="N1814">
        <v>-1.40815E-2</v>
      </c>
      <c r="O1814">
        <v>-0.99989289999999997</v>
      </c>
      <c r="P1814">
        <v>-1.7558890000000001E-2</v>
      </c>
      <c r="Q1814">
        <v>-9.6194450000000001E-2</v>
      </c>
      <c r="R1814">
        <v>-0.99520799999999998</v>
      </c>
      <c r="S1814">
        <v>-0.1170654</v>
      </c>
      <c r="T1814">
        <v>9.8708870000000001E-3</v>
      </c>
      <c r="U1814">
        <v>-3.01355</v>
      </c>
      <c r="V1814">
        <v>1.3659309999999999E-2</v>
      </c>
      <c r="W1814">
        <v>-8.2147810000000002E-2</v>
      </c>
      <c r="X1814">
        <v>0.99652649999999998</v>
      </c>
      <c r="Y1814">
        <v>3.4758280000000003E-2</v>
      </c>
      <c r="Z1814">
        <v>-1.7353210000000001E-2</v>
      </c>
      <c r="AA1814">
        <v>0.9992451</v>
      </c>
      <c r="AB1814">
        <v>29</v>
      </c>
      <c r="AC1814">
        <v>-15.911</v>
      </c>
      <c r="AD1814">
        <v>1.3416619999999999</v>
      </c>
      <c r="AE1814">
        <v>-409.31227999999999</v>
      </c>
      <c r="AF1814">
        <v>14.251757460865701</v>
      </c>
      <c r="AG1814">
        <v>1.3416619999999999</v>
      </c>
      <c r="AH1814">
        <v>409.36901425628503</v>
      </c>
      <c r="AI1814">
        <v>89.812333737051006</v>
      </c>
      <c r="AJ1814">
        <v>88.006112166094596</v>
      </c>
      <c r="AK1814">
        <v>409.619216444747</v>
      </c>
      <c r="AL1814">
        <v>94.712032875086607</v>
      </c>
      <c r="AM1814">
        <v>89.214700455296395</v>
      </c>
      <c r="AN1814">
        <v>0.99999995231985905</v>
      </c>
    </row>
    <row r="1815" spans="1:40" x14ac:dyDescent="0.25">
      <c r="A1815" t="str">
        <f>"20190303153809880"</f>
        <v>20190303153809880</v>
      </c>
      <c r="B1815" t="str">
        <f>"1551598689870110"</f>
        <v>1551598689870110</v>
      </c>
      <c r="C1815" t="s">
        <v>40</v>
      </c>
      <c r="D1815">
        <v>4.458602</v>
      </c>
      <c r="E1815">
        <v>0.50941289999999995</v>
      </c>
      <c r="F1815" t="s">
        <v>54</v>
      </c>
      <c r="G1815">
        <v>-207.81450000000001</v>
      </c>
      <c r="H1815">
        <v>2.6635620000000002</v>
      </c>
      <c r="I1815">
        <v>-81.816050000000004</v>
      </c>
      <c r="J1815">
        <v>-191.13829999999999</v>
      </c>
      <c r="K1815">
        <v>1.1216090000000001</v>
      </c>
      <c r="L1815">
        <v>327.21190000000001</v>
      </c>
      <c r="M1815">
        <v>-3.2061860000000002E-3</v>
      </c>
      <c r="N1815">
        <v>-1.398393E-2</v>
      </c>
      <c r="O1815">
        <v>-0.99989720000000004</v>
      </c>
      <c r="P1815">
        <v>-1.9563359999999998E-2</v>
      </c>
      <c r="Q1815">
        <v>-9.6721719999999997E-2</v>
      </c>
      <c r="R1815">
        <v>-0.99511959999999999</v>
      </c>
      <c r="S1815">
        <v>-0.1227722</v>
      </c>
      <c r="T1815">
        <v>1.135182E-2</v>
      </c>
      <c r="U1815">
        <v>-3.0133670000000001</v>
      </c>
      <c r="V1815">
        <v>1.6508479999999999E-2</v>
      </c>
      <c r="W1815">
        <v>-8.2768750000000002E-2</v>
      </c>
      <c r="X1815">
        <v>0.99643210000000004</v>
      </c>
      <c r="Y1815">
        <v>3.7495630000000002E-2</v>
      </c>
      <c r="Z1815">
        <v>-1.774676E-2</v>
      </c>
      <c r="AA1815">
        <v>0.99913920000000001</v>
      </c>
      <c r="AB1815">
        <v>29</v>
      </c>
      <c r="AC1815">
        <v>-16.676200000000001</v>
      </c>
      <c r="AD1815">
        <v>1.5419529999999899</v>
      </c>
      <c r="AE1815">
        <v>-409.02794999999998</v>
      </c>
      <c r="AF1815">
        <v>15.3643485119632</v>
      </c>
      <c r="AG1815">
        <v>1.5419529999999899</v>
      </c>
      <c r="AH1815">
        <v>409.07351562467898</v>
      </c>
      <c r="AI1815">
        <v>89.784183699209194</v>
      </c>
      <c r="AJ1815">
        <v>87.849044981955501</v>
      </c>
      <c r="AK1815">
        <v>409.36485194724003</v>
      </c>
      <c r="AL1815">
        <v>94.747731164200999</v>
      </c>
      <c r="AM1815">
        <v>89.050833767431399</v>
      </c>
      <c r="AN1815">
        <v>1.0000000628994301</v>
      </c>
    </row>
    <row r="1816" spans="1:40" x14ac:dyDescent="0.25">
      <c r="A1816" t="str">
        <f>"20190303153809903"</f>
        <v>20190303153809903</v>
      </c>
      <c r="B1816" t="str">
        <f>"1551598689900363"</f>
        <v>1551598689900363</v>
      </c>
      <c r="C1816" t="s">
        <v>40</v>
      </c>
      <c r="D1816">
        <v>4.465973</v>
      </c>
      <c r="E1816">
        <v>0.50946349999999996</v>
      </c>
      <c r="F1816" t="s">
        <v>54</v>
      </c>
      <c r="G1816">
        <v>-208.78649999999999</v>
      </c>
      <c r="H1816">
        <v>2.4509639999999999</v>
      </c>
      <c r="I1816">
        <v>-81.815979999999996</v>
      </c>
      <c r="J1816">
        <v>-191.13829999999999</v>
      </c>
      <c r="K1816">
        <v>1.1215919999999999</v>
      </c>
      <c r="L1816">
        <v>326.92660000000001</v>
      </c>
      <c r="M1816">
        <v>-2.3601220000000001E-3</v>
      </c>
      <c r="N1816">
        <v>-1.38855E-2</v>
      </c>
      <c r="O1816">
        <v>-0.99990080000000003</v>
      </c>
      <c r="P1816">
        <v>-2.080166E-2</v>
      </c>
      <c r="Q1816">
        <v>-9.7632960000000005E-2</v>
      </c>
      <c r="R1816">
        <v>-0.99500509999999998</v>
      </c>
      <c r="S1816">
        <v>-0.13000490000000001</v>
      </c>
      <c r="T1816">
        <v>9.7926860000000001E-3</v>
      </c>
      <c r="U1816">
        <v>-3.0130919999999999</v>
      </c>
      <c r="V1816">
        <v>1.859125E-2</v>
      </c>
      <c r="W1816">
        <v>-8.3776210000000004E-2</v>
      </c>
      <c r="X1816">
        <v>0.99631110000000001</v>
      </c>
      <c r="Y1816">
        <v>4.0738959999999998E-2</v>
      </c>
      <c r="Z1816">
        <v>-1.7131569999999999E-2</v>
      </c>
      <c r="AA1816">
        <v>0.99902299999999999</v>
      </c>
      <c r="AB1816">
        <v>29</v>
      </c>
      <c r="AC1816">
        <v>-17.648199999999999</v>
      </c>
      <c r="AD1816">
        <v>1.329372</v>
      </c>
      <c r="AE1816">
        <v>-408.74257999999998</v>
      </c>
      <c r="AF1816">
        <v>16.683199322461299</v>
      </c>
      <c r="AG1816">
        <v>1.329372</v>
      </c>
      <c r="AH1816">
        <v>408.778781402373</v>
      </c>
      <c r="AI1816">
        <v>89.813826485384993</v>
      </c>
      <c r="AJ1816">
        <v>87.662924871500493</v>
      </c>
      <c r="AK1816">
        <v>409.12123935864901</v>
      </c>
      <c r="AL1816">
        <v>94.805656104817999</v>
      </c>
      <c r="AM1816">
        <v>88.930979938999798</v>
      </c>
      <c r="AN1816">
        <v>0.999999947960867</v>
      </c>
    </row>
    <row r="1817" spans="1:40" x14ac:dyDescent="0.25">
      <c r="A1817" t="str">
        <f>"20190303153809925"</f>
        <v>20190303153809925</v>
      </c>
      <c r="B1817" t="str">
        <f>"1551598689920858"</f>
        <v>1551598689920858</v>
      </c>
      <c r="C1817" t="s">
        <v>40</v>
      </c>
      <c r="D1817">
        <v>4.4899019999999998</v>
      </c>
      <c r="E1817">
        <v>0.50953879999999996</v>
      </c>
      <c r="F1817" t="s">
        <v>54</v>
      </c>
      <c r="G1817">
        <v>-209.37180000000001</v>
      </c>
      <c r="H1817">
        <v>1.956326</v>
      </c>
      <c r="I1817">
        <v>-81.815809999999999</v>
      </c>
      <c r="J1817">
        <v>-191.13800000000001</v>
      </c>
      <c r="K1817">
        <v>1.1215809999999999</v>
      </c>
      <c r="L1817">
        <v>326.63650000000001</v>
      </c>
      <c r="M1817">
        <v>-1.497726E-3</v>
      </c>
      <c r="N1817">
        <v>-1.379112E-2</v>
      </c>
      <c r="O1817">
        <v>-0.9999036</v>
      </c>
      <c r="P1817">
        <v>-2.190019E-2</v>
      </c>
      <c r="Q1817">
        <v>-9.7598900000000002E-2</v>
      </c>
      <c r="R1817">
        <v>-0.9949846</v>
      </c>
      <c r="S1817">
        <v>-0.1343994</v>
      </c>
      <c r="T1817">
        <v>6.1528679999999997E-3</v>
      </c>
      <c r="U1817">
        <v>-3.012848</v>
      </c>
      <c r="V1817">
        <v>2.0547780000000002E-2</v>
      </c>
      <c r="W1817">
        <v>-8.3833530000000003E-2</v>
      </c>
      <c r="X1817">
        <v>0.99626789999999998</v>
      </c>
      <c r="Y1817">
        <v>4.3058939999999997E-2</v>
      </c>
      <c r="Z1817">
        <v>-1.583068E-2</v>
      </c>
      <c r="AA1817">
        <v>0.99894709999999998</v>
      </c>
      <c r="AB1817">
        <v>29</v>
      </c>
      <c r="AC1817">
        <v>-18.233799999999999</v>
      </c>
      <c r="AD1817">
        <v>0.83474499999999896</v>
      </c>
      <c r="AE1817">
        <v>-408.45231000000001</v>
      </c>
      <c r="AF1817">
        <v>17.6218981551593</v>
      </c>
      <c r="AG1817">
        <v>0.83474499999999896</v>
      </c>
      <c r="AH1817">
        <v>408.47746097241202</v>
      </c>
      <c r="AI1817">
        <v>89.883022051474896</v>
      </c>
      <c r="AJ1817">
        <v>87.529766444118493</v>
      </c>
      <c r="AK1817">
        <v>408.85824464754802</v>
      </c>
      <c r="AL1817">
        <v>94.808951640793296</v>
      </c>
      <c r="AM1817">
        <v>88.818456178974003</v>
      </c>
      <c r="AN1817">
        <v>1.00000000029279</v>
      </c>
    </row>
    <row r="1818" spans="1:40" x14ac:dyDescent="0.25">
      <c r="A1818" t="str">
        <f>"20190303153809949"</f>
        <v>20190303153809949</v>
      </c>
      <c r="B1818" t="str">
        <f>"1551598689940378"</f>
        <v>1551598689940378</v>
      </c>
      <c r="C1818" t="s">
        <v>40</v>
      </c>
      <c r="D1818">
        <v>4.4742449999999998</v>
      </c>
      <c r="E1818">
        <v>0.50953950000000003</v>
      </c>
      <c r="F1818" t="s">
        <v>54</v>
      </c>
      <c r="G1818">
        <v>-209.89169999999999</v>
      </c>
      <c r="H1818">
        <v>1.911279</v>
      </c>
      <c r="I1818">
        <v>-81.815799999999996</v>
      </c>
      <c r="J1818">
        <v>-191.13740000000001</v>
      </c>
      <c r="K1818">
        <v>1.1215660000000001</v>
      </c>
      <c r="L1818">
        <v>326.32909999999998</v>
      </c>
      <c r="M1818">
        <v>-5.7942819999999996E-4</v>
      </c>
      <c r="N1818">
        <v>-1.3695870000000001E-2</v>
      </c>
      <c r="O1818">
        <v>-0.99990619999999997</v>
      </c>
      <c r="P1818">
        <v>-2.1124850000000001E-2</v>
      </c>
      <c r="Q1818">
        <v>-9.6657270000000003E-2</v>
      </c>
      <c r="R1818">
        <v>-0.99509360000000002</v>
      </c>
      <c r="S1818">
        <v>-0.1383209</v>
      </c>
      <c r="T1818">
        <v>5.8245659999999998E-3</v>
      </c>
      <c r="U1818">
        <v>-3.0126040000000001</v>
      </c>
      <c r="V1818">
        <v>2.0683799999999999E-2</v>
      </c>
      <c r="W1818">
        <v>-8.2985690000000001E-2</v>
      </c>
      <c r="X1818">
        <v>0.996336</v>
      </c>
      <c r="Y1818">
        <v>4.5277640000000001E-2</v>
      </c>
      <c r="Z1818">
        <v>-1.5626870000000001E-2</v>
      </c>
      <c r="AA1818">
        <v>0.99885219999999997</v>
      </c>
      <c r="AB1818">
        <v>29</v>
      </c>
      <c r="AC1818">
        <v>-18.754299999999901</v>
      </c>
      <c r="AD1818">
        <v>0.789713</v>
      </c>
      <c r="AE1818">
        <v>-408.14490000000001</v>
      </c>
      <c r="AF1818">
        <v>18.517714861108399</v>
      </c>
      <c r="AG1818">
        <v>0.789713</v>
      </c>
      <c r="AH1818">
        <v>408.154174442167</v>
      </c>
      <c r="AI1818">
        <v>89.889255893561298</v>
      </c>
      <c r="AJ1818">
        <v>87.402305552051502</v>
      </c>
      <c r="AK1818">
        <v>408.57479061350199</v>
      </c>
      <c r="AL1818">
        <v>94.7602044307867</v>
      </c>
      <c r="AM1818">
        <v>88.810718230786804</v>
      </c>
      <c r="AN1818">
        <v>0.99999993461160497</v>
      </c>
    </row>
    <row r="1819" spans="1:40" x14ac:dyDescent="0.25">
      <c r="A1819" t="str">
        <f>"20190303153809971"</f>
        <v>20190303153809971</v>
      </c>
      <c r="B1819" t="str">
        <f>"1551598689960874"</f>
        <v>1551598689960874</v>
      </c>
      <c r="C1819" t="s">
        <v>40</v>
      </c>
      <c r="D1819">
        <v>4.513833</v>
      </c>
      <c r="E1819">
        <v>0.50957920000000001</v>
      </c>
      <c r="F1819" t="s">
        <v>54</v>
      </c>
      <c r="G1819">
        <v>-209.5455</v>
      </c>
      <c r="H1819">
        <v>2.2613120000000002</v>
      </c>
      <c r="I1819">
        <v>-81.815919999999906</v>
      </c>
      <c r="J1819">
        <v>-191.13659999999999</v>
      </c>
      <c r="K1819">
        <v>1.1215580000000001</v>
      </c>
      <c r="L1819">
        <v>326.04129999999998</v>
      </c>
      <c r="M1819">
        <v>2.747893E-4</v>
      </c>
      <c r="N1819">
        <v>-1.362611E-2</v>
      </c>
      <c r="O1819">
        <v>-0.9999074</v>
      </c>
      <c r="P1819">
        <v>-2.0155159999999998E-2</v>
      </c>
      <c r="Q1819">
        <v>-9.6026230000000004E-2</v>
      </c>
      <c r="R1819">
        <v>-0.99517480000000003</v>
      </c>
      <c r="S1819">
        <v>-0.13587949999999999</v>
      </c>
      <c r="T1819">
        <v>8.4130760000000002E-3</v>
      </c>
      <c r="U1819">
        <v>-3.0127259999999998</v>
      </c>
      <c r="V1819">
        <v>2.056156E-2</v>
      </c>
      <c r="W1819">
        <v>-8.2424010000000006E-2</v>
      </c>
      <c r="X1819">
        <v>0.99638519999999997</v>
      </c>
      <c r="Y1819">
        <v>4.5321170000000001E-2</v>
      </c>
      <c r="Z1819">
        <v>-1.6415519999999999E-2</v>
      </c>
      <c r="AA1819">
        <v>0.99883759999999999</v>
      </c>
      <c r="AB1819">
        <v>29</v>
      </c>
      <c r="AC1819">
        <v>-18.408899999999999</v>
      </c>
      <c r="AD1819">
        <v>1.1397539999999899</v>
      </c>
      <c r="AE1819">
        <v>-407.85721999999998</v>
      </c>
      <c r="AF1819">
        <v>18.520840140997102</v>
      </c>
      <c r="AG1819">
        <v>1.1397539999999899</v>
      </c>
      <c r="AH1819">
        <v>407.84896706724601</v>
      </c>
      <c r="AI1819">
        <v>89.840049378853095</v>
      </c>
      <c r="AJ1819">
        <v>87.399926129186099</v>
      </c>
      <c r="AK1819">
        <v>408.27086657821701</v>
      </c>
      <c r="AL1819">
        <v>94.727911683648202</v>
      </c>
      <c r="AM1819">
        <v>88.817803174315301</v>
      </c>
      <c r="AN1819">
        <v>0.99999998097657605</v>
      </c>
    </row>
    <row r="1820" spans="1:40" x14ac:dyDescent="0.25">
      <c r="A1820" t="str">
        <f>"20190303153809993"</f>
        <v>20190303153809993</v>
      </c>
      <c r="B1820" t="str">
        <f>"1551598689990155"</f>
        <v>1551598689990155</v>
      </c>
      <c r="C1820" t="s">
        <v>40</v>
      </c>
      <c r="D1820">
        <v>4.4865269999999997</v>
      </c>
      <c r="E1820">
        <v>0.50960699999999903</v>
      </c>
      <c r="F1820" t="s">
        <v>54</v>
      </c>
      <c r="G1820">
        <v>-209.13890000000001</v>
      </c>
      <c r="H1820">
        <v>2.4777770000000001</v>
      </c>
      <c r="I1820">
        <v>-81.815989999999999</v>
      </c>
      <c r="J1820">
        <v>-191.13560000000001</v>
      </c>
      <c r="K1820">
        <v>1.121559</v>
      </c>
      <c r="L1820">
        <v>325.75920000000002</v>
      </c>
      <c r="M1820">
        <v>1.09498E-3</v>
      </c>
      <c r="N1820">
        <v>-1.359953E-2</v>
      </c>
      <c r="O1820">
        <v>-0.99990710000000005</v>
      </c>
      <c r="P1820">
        <v>-1.8770350000000002E-2</v>
      </c>
      <c r="Q1820">
        <v>-9.5378119999999997E-2</v>
      </c>
      <c r="R1820">
        <v>-0.99526440000000005</v>
      </c>
      <c r="S1820">
        <v>-0.1329803</v>
      </c>
      <c r="T1820">
        <v>1.0018229999999999E-2</v>
      </c>
      <c r="U1820">
        <v>-3.0127869999999999</v>
      </c>
      <c r="V1820">
        <v>1.9989340000000001E-2</v>
      </c>
      <c r="W1820">
        <v>-8.1803020000000004E-2</v>
      </c>
      <c r="X1820">
        <v>0.996448</v>
      </c>
      <c r="Y1820">
        <v>4.5180240000000003E-2</v>
      </c>
      <c r="Z1820">
        <v>-1.6921370000000002E-2</v>
      </c>
      <c r="AA1820">
        <v>0.99883549999999999</v>
      </c>
      <c r="AB1820">
        <v>29</v>
      </c>
      <c r="AC1820">
        <v>-18.0032999999999</v>
      </c>
      <c r="AD1820">
        <v>1.3562179999999999</v>
      </c>
      <c r="AE1820">
        <v>-407.575189999999</v>
      </c>
      <c r="AF1820">
        <v>18.449413200698501</v>
      </c>
      <c r="AG1820">
        <v>1.3562179999999999</v>
      </c>
      <c r="AH1820">
        <v>407.55072674873998</v>
      </c>
      <c r="AI1820">
        <v>89.8095309901299</v>
      </c>
      <c r="AJ1820">
        <v>87.408047029577205</v>
      </c>
      <c r="AK1820">
        <v>407.97036050201001</v>
      </c>
      <c r="AL1820">
        <v>94.692211102569303</v>
      </c>
      <c r="AM1820">
        <v>88.850766703036101</v>
      </c>
      <c r="AN1820">
        <v>0.99999996224937704</v>
      </c>
    </row>
    <row r="1821" spans="1:40" x14ac:dyDescent="0.25">
      <c r="A1821" t="str">
        <f>"20190303153810017"</f>
        <v>20190303153810017</v>
      </c>
      <c r="B1821" t="str">
        <f>"1551598690010650"</f>
        <v>1551598690010650</v>
      </c>
      <c r="C1821" t="s">
        <v>40</v>
      </c>
      <c r="D1821">
        <v>4.51288</v>
      </c>
      <c r="E1821">
        <v>0.5096387</v>
      </c>
      <c r="F1821" t="s">
        <v>54</v>
      </c>
      <c r="G1821">
        <v>-208.57339999999999</v>
      </c>
      <c r="H1821">
        <v>2.66588</v>
      </c>
      <c r="I1821">
        <v>-81.816050000000004</v>
      </c>
      <c r="J1821">
        <v>-191.13419999999999</v>
      </c>
      <c r="K1821">
        <v>1.121551</v>
      </c>
      <c r="L1821">
        <v>325.45030000000003</v>
      </c>
      <c r="M1821">
        <v>1.9777000000000002E-3</v>
      </c>
      <c r="N1821">
        <v>-1.3604649999999999E-2</v>
      </c>
      <c r="O1821">
        <v>-0.9999055</v>
      </c>
      <c r="P1821">
        <v>-1.807725E-2</v>
      </c>
      <c r="Q1821">
        <v>-9.4957630000000001E-2</v>
      </c>
      <c r="R1821">
        <v>-0.99531720000000001</v>
      </c>
      <c r="S1821">
        <v>-0.1289063</v>
      </c>
      <c r="T1821">
        <v>1.14162E-2</v>
      </c>
      <c r="U1821">
        <v>-3.0129389999999998</v>
      </c>
      <c r="V1821">
        <v>2.017037E-2</v>
      </c>
      <c r="W1821">
        <v>-8.1377649999999996E-2</v>
      </c>
      <c r="X1821">
        <v>0.99647920000000001</v>
      </c>
      <c r="Y1821">
        <v>4.471166E-2</v>
      </c>
      <c r="Z1821">
        <v>-1.739017E-2</v>
      </c>
      <c r="AA1821">
        <v>0.99884859999999998</v>
      </c>
      <c r="AB1821">
        <v>29</v>
      </c>
      <c r="AC1821">
        <v>-17.4392</v>
      </c>
      <c r="AD1821">
        <v>1.5443290000000001</v>
      </c>
      <c r="AE1821">
        <v>-407.26634999999999</v>
      </c>
      <c r="AF1821">
        <v>18.244429242913402</v>
      </c>
      <c r="AG1821">
        <v>1.5443290000000001</v>
      </c>
      <c r="AH1821">
        <v>407.22521599126202</v>
      </c>
      <c r="AI1821">
        <v>89.782934752639704</v>
      </c>
      <c r="AJ1821">
        <v>87.434760423197403</v>
      </c>
      <c r="AK1821">
        <v>407.63662824823501</v>
      </c>
      <c r="AL1821">
        <v>94.6677575795633</v>
      </c>
      <c r="AM1821">
        <v>88.840397998421693</v>
      </c>
      <c r="AN1821">
        <v>0.99999998088904896</v>
      </c>
    </row>
    <row r="1822" spans="1:40" x14ac:dyDescent="0.25">
      <c r="A1822" t="str">
        <f>"20190303153810039"</f>
        <v>20190303153810039</v>
      </c>
      <c r="B1822" t="str">
        <f>"1551598690030170"</f>
        <v>1551598690030170</v>
      </c>
      <c r="C1822" t="s">
        <v>40</v>
      </c>
      <c r="D1822">
        <v>4.4925680000000003</v>
      </c>
      <c r="E1822">
        <v>0.53085569999999904</v>
      </c>
      <c r="F1822" t="s">
        <v>54</v>
      </c>
      <c r="G1822">
        <v>-208.30269999999999</v>
      </c>
      <c r="H1822">
        <v>2.8112879999999998</v>
      </c>
      <c r="I1822">
        <v>-81.816100000000006</v>
      </c>
      <c r="J1822">
        <v>-191.1327</v>
      </c>
      <c r="K1822">
        <v>1.121551</v>
      </c>
      <c r="L1822">
        <v>325.16289999999998</v>
      </c>
      <c r="M1822">
        <v>2.7750510000000002E-3</v>
      </c>
      <c r="N1822">
        <v>-1.3634439999999999E-2</v>
      </c>
      <c r="O1822">
        <v>-0.99990330000000005</v>
      </c>
      <c r="P1822">
        <v>-1.7343799999999999E-2</v>
      </c>
      <c r="Q1822">
        <v>-9.5530829999999997E-2</v>
      </c>
      <c r="R1822">
        <v>-0.99527549999999998</v>
      </c>
      <c r="S1822">
        <v>-0.12701419999999999</v>
      </c>
      <c r="T1822">
        <v>1.2500880000000001E-2</v>
      </c>
      <c r="U1822">
        <v>-3.0129999999999999</v>
      </c>
      <c r="V1822">
        <v>2.0227080000000001E-2</v>
      </c>
      <c r="W1822">
        <v>-8.1922809999999999E-2</v>
      </c>
      <c r="X1822">
        <v>0.99643340000000002</v>
      </c>
      <c r="Y1822">
        <v>4.4881089999999998E-2</v>
      </c>
      <c r="Z1822">
        <v>-1.7779719999999999E-2</v>
      </c>
      <c r="AA1822">
        <v>0.99883409999999995</v>
      </c>
      <c r="AB1822">
        <v>29</v>
      </c>
      <c r="AC1822">
        <v>-17.169999999999899</v>
      </c>
      <c r="AD1822">
        <v>1.689737</v>
      </c>
      <c r="AE1822">
        <v>-406.97899999999998</v>
      </c>
      <c r="AF1822">
        <v>18.2991113437119</v>
      </c>
      <c r="AG1822">
        <v>1.689737</v>
      </c>
      <c r="AH1822">
        <v>406.92277841153498</v>
      </c>
      <c r="AI1822">
        <v>89.7623222266092</v>
      </c>
      <c r="AJ1822">
        <v>87.425172518741405</v>
      </c>
      <c r="AK1822">
        <v>407.33752623255998</v>
      </c>
      <c r="AL1822">
        <v>94.699097495401702</v>
      </c>
      <c r="AM1822">
        <v>88.837085178606898</v>
      </c>
      <c r="AN1822">
        <v>1.00000000109959</v>
      </c>
    </row>
    <row r="1823" spans="1:40" x14ac:dyDescent="0.25">
      <c r="A1823" t="str">
        <f>"20190303153810062"</f>
        <v>20190303153810062</v>
      </c>
      <c r="B1823" t="str">
        <f>"1551598690050667"</f>
        <v>1551598690050667</v>
      </c>
      <c r="C1823" t="s">
        <v>40</v>
      </c>
      <c r="D1823">
        <v>4.5930059999999999</v>
      </c>
      <c r="E1823">
        <v>0.53090859999999995</v>
      </c>
      <c r="F1823" t="s">
        <v>42</v>
      </c>
      <c r="G1823">
        <v>-193.0754</v>
      </c>
      <c r="H1823" s="1">
        <v>-3.3769959999999999E-6</v>
      </c>
      <c r="I1823">
        <v>305.55349999999999</v>
      </c>
      <c r="J1823">
        <v>-191.1311</v>
      </c>
      <c r="K1823">
        <v>1.121537</v>
      </c>
      <c r="L1823">
        <v>324.87349999999998</v>
      </c>
      <c r="M1823">
        <v>3.5411430000000001E-3</v>
      </c>
      <c r="N1823">
        <v>-1.367575E-2</v>
      </c>
      <c r="O1823">
        <v>-0.99990029999999996</v>
      </c>
      <c r="P1823">
        <v>-1.6593610000000002E-2</v>
      </c>
      <c r="Q1823">
        <v>-9.5766509999999999E-2</v>
      </c>
      <c r="R1823">
        <v>-0.99526550000000003</v>
      </c>
      <c r="S1823">
        <v>-0.29647829999999997</v>
      </c>
      <c r="T1823">
        <v>-0.1711617</v>
      </c>
      <c r="U1823">
        <v>-2.9926149999999998</v>
      </c>
      <c r="V1823">
        <v>2.0234579999999999E-2</v>
      </c>
      <c r="W1823">
        <v>-8.2118860000000002E-2</v>
      </c>
      <c r="X1823">
        <v>0.99641709999999994</v>
      </c>
      <c r="Y1823">
        <v>0.10197000000000001</v>
      </c>
      <c r="Z1823">
        <v>4.3152169999999997E-2</v>
      </c>
      <c r="AA1823">
        <v>0.99385109999999999</v>
      </c>
      <c r="AB1823">
        <v>29</v>
      </c>
      <c r="AC1823">
        <v>-1.9442999999999899</v>
      </c>
      <c r="AD1823">
        <v>-1.121540376996</v>
      </c>
      <c r="AE1823">
        <v>-19.32</v>
      </c>
      <c r="AF1823">
        <v>2.0060168063833701</v>
      </c>
      <c r="AG1823">
        <v>-1.121540376996</v>
      </c>
      <c r="AH1823">
        <v>19.2487772764425</v>
      </c>
      <c r="AI1823">
        <v>93.316677490741895</v>
      </c>
      <c r="AJ1823">
        <v>84.050381246005102</v>
      </c>
      <c r="AK1823">
        <v>19.3854941356369</v>
      </c>
      <c r="AL1823">
        <v>94.710368355030994</v>
      </c>
      <c r="AM1823">
        <v>88.836635074348095</v>
      </c>
      <c r="AN1823">
        <v>0.99999999128394201</v>
      </c>
    </row>
    <row r="1824" spans="1:40" x14ac:dyDescent="0.25">
      <c r="A1824" t="str">
        <f>"20190303153810082"</f>
        <v>20190303153810082</v>
      </c>
      <c r="B1824" t="str">
        <f>"1551598690070190"</f>
        <v>1551598690070190</v>
      </c>
      <c r="C1824" t="s">
        <v>40</v>
      </c>
      <c r="D1824">
        <v>4.6204479999999997</v>
      </c>
      <c r="E1824">
        <v>0.530228699999999</v>
      </c>
      <c r="F1824" t="s">
        <v>42</v>
      </c>
      <c r="G1824">
        <v>-192.68010000000001</v>
      </c>
      <c r="H1824" s="1">
        <v>-4.629113E-6</v>
      </c>
      <c r="I1824">
        <v>309.1927</v>
      </c>
      <c r="J1824">
        <v>-191.1294</v>
      </c>
      <c r="K1824">
        <v>1.121524</v>
      </c>
      <c r="L1824">
        <v>324.6071</v>
      </c>
      <c r="M1824">
        <v>4.20112E-3</v>
      </c>
      <c r="N1824">
        <v>-1.3715939999999999E-2</v>
      </c>
      <c r="O1824">
        <v>-0.99989740000000005</v>
      </c>
      <c r="P1824">
        <v>-1.5770030000000001E-2</v>
      </c>
      <c r="Q1824">
        <v>-9.6636849999999996E-2</v>
      </c>
      <c r="R1824">
        <v>-0.9951951</v>
      </c>
      <c r="S1824">
        <v>-0.29524230000000001</v>
      </c>
      <c r="T1824">
        <v>-0.21376870000000001</v>
      </c>
      <c r="U1824">
        <v>-2.9887999999999999</v>
      </c>
      <c r="V1824">
        <v>2.006295E-2</v>
      </c>
      <c r="W1824">
        <v>-8.2951810000000001E-2</v>
      </c>
      <c r="X1824">
        <v>0.9963516</v>
      </c>
      <c r="Y1824">
        <v>0.1022638</v>
      </c>
      <c r="Z1824">
        <v>5.7290580000000001E-2</v>
      </c>
      <c r="AA1824">
        <v>0.99310620000000005</v>
      </c>
      <c r="AB1824">
        <v>29</v>
      </c>
      <c r="AC1824">
        <v>-1.5507</v>
      </c>
      <c r="AD1824">
        <v>-1.121528629113</v>
      </c>
      <c r="AE1824">
        <v>-15.414400000000001</v>
      </c>
      <c r="AF1824">
        <v>1.60702808136659</v>
      </c>
      <c r="AG1824">
        <v>-1.121528629113</v>
      </c>
      <c r="AH1824">
        <v>15.3274213185564</v>
      </c>
      <c r="AI1824">
        <v>94.162219414465099</v>
      </c>
      <c r="AJ1824">
        <v>84.014600261538405</v>
      </c>
      <c r="AK1824">
        <v>15.4521911066605</v>
      </c>
      <c r="AL1824">
        <v>94.758256136923606</v>
      </c>
      <c r="AM1824">
        <v>88.846424264534093</v>
      </c>
      <c r="AN1824">
        <v>1.00000001778376</v>
      </c>
    </row>
    <row r="1825" spans="1:40" x14ac:dyDescent="0.25">
      <c r="A1825" t="str">
        <f>"20190303153810104"</f>
        <v>20190303153810104</v>
      </c>
      <c r="B1825" t="str">
        <f>"1551598690100442"</f>
        <v>1551598690100442</v>
      </c>
      <c r="C1825" t="s">
        <v>40</v>
      </c>
      <c r="D1825">
        <v>4.6227140000000002</v>
      </c>
      <c r="E1825">
        <v>0.52968380000000004</v>
      </c>
      <c r="F1825" t="s">
        <v>44</v>
      </c>
      <c r="G1825">
        <v>-191.2089</v>
      </c>
      <c r="H1825">
        <v>1.04901</v>
      </c>
      <c r="I1825">
        <v>323.78379999999999</v>
      </c>
      <c r="J1825">
        <v>-191.1275</v>
      </c>
      <c r="K1825">
        <v>1.121494</v>
      </c>
      <c r="L1825">
        <v>324.32929999999999</v>
      </c>
      <c r="M1825">
        <v>4.8366190000000003E-3</v>
      </c>
      <c r="N1825">
        <v>-1.375767E-2</v>
      </c>
      <c r="O1825">
        <v>-0.9998937</v>
      </c>
      <c r="P1825">
        <v>-1.5473509999999999E-2</v>
      </c>
      <c r="Q1825">
        <v>-9.7681080000000003E-2</v>
      </c>
      <c r="R1825">
        <v>-0.99509760000000003</v>
      </c>
      <c r="S1825">
        <v>-0.28808590000000001</v>
      </c>
      <c r="T1825">
        <v>-0.26292059999999901</v>
      </c>
      <c r="U1825">
        <v>-2.9844360000000001</v>
      </c>
      <c r="V1825">
        <v>2.0392259999999999E-2</v>
      </c>
      <c r="W1825">
        <v>-8.3957249999999997E-2</v>
      </c>
      <c r="X1825">
        <v>0.9962607</v>
      </c>
      <c r="Y1825">
        <v>0.1005656</v>
      </c>
      <c r="Z1825">
        <v>7.3615739999999999E-2</v>
      </c>
      <c r="AA1825">
        <v>0.99220319999999995</v>
      </c>
      <c r="AB1825">
        <v>29</v>
      </c>
      <c r="AC1825">
        <v>-8.1400000000002096E-2</v>
      </c>
      <c r="AD1825">
        <v>-7.2483999999999896E-2</v>
      </c>
      <c r="AE1825">
        <v>-0.54550000000000398</v>
      </c>
      <c r="AF1825">
        <v>8.26108581023864E-2</v>
      </c>
      <c r="AG1825">
        <v>-7.2483999999999896E-2</v>
      </c>
      <c r="AH1825">
        <v>0.53584502345013396</v>
      </c>
      <c r="AI1825">
        <v>97.614776664295704</v>
      </c>
      <c r="AJ1825">
        <v>81.235751176832594</v>
      </c>
      <c r="AK1825">
        <v>0.54699942713743999</v>
      </c>
      <c r="AL1825">
        <v>94.816065242823996</v>
      </c>
      <c r="AM1825">
        <v>88.827387952216895</v>
      </c>
      <c r="AN1825">
        <v>1.0000000232299699</v>
      </c>
    </row>
    <row r="1826" spans="1:40" x14ac:dyDescent="0.25">
      <c r="A1826" t="str">
        <f>"20190303153810127"</f>
        <v>20190303153810127</v>
      </c>
      <c r="B1826" t="str">
        <f>"1551598690120940"</f>
        <v>1551598690120940</v>
      </c>
      <c r="C1826" t="s">
        <v>40</v>
      </c>
      <c r="D1826">
        <v>4.6431310000000003</v>
      </c>
      <c r="E1826">
        <v>0.52948850000000003</v>
      </c>
      <c r="F1826" t="s">
        <v>44</v>
      </c>
      <c r="G1826">
        <v>-191.20330000000001</v>
      </c>
      <c r="H1826">
        <v>1.0404960000000001</v>
      </c>
      <c r="I1826">
        <v>323.53280000000001</v>
      </c>
      <c r="J1826">
        <v>-191.12530000000001</v>
      </c>
      <c r="K1826">
        <v>1.121453</v>
      </c>
      <c r="L1826">
        <v>324.0351</v>
      </c>
      <c r="M1826">
        <v>5.4460219999999896E-3</v>
      </c>
      <c r="N1826">
        <v>-1.3800669999999999E-2</v>
      </c>
      <c r="O1826">
        <v>-0.99988999999999995</v>
      </c>
      <c r="P1826">
        <v>-1.606262E-2</v>
      </c>
      <c r="Q1826">
        <v>-9.9075140000000006E-2</v>
      </c>
      <c r="R1826">
        <v>-0.99495020000000001</v>
      </c>
      <c r="S1826">
        <v>-0.2833405</v>
      </c>
      <c r="T1826">
        <v>-0.30326180000000003</v>
      </c>
      <c r="U1826">
        <v>-2.9806520000000001</v>
      </c>
      <c r="V1826">
        <v>2.1579060000000001E-2</v>
      </c>
      <c r="W1826">
        <v>-8.5311520000000002E-2</v>
      </c>
      <c r="X1826">
        <v>0.99612060000000002</v>
      </c>
      <c r="Y1826">
        <v>9.961602E-2</v>
      </c>
      <c r="Z1826">
        <v>8.6998969999999995E-2</v>
      </c>
      <c r="AA1826">
        <v>0.99121530000000002</v>
      </c>
      <c r="AB1826">
        <v>29</v>
      </c>
      <c r="AC1826">
        <v>-7.80000000000029E-2</v>
      </c>
      <c r="AD1826">
        <v>-8.0957000000000098E-2</v>
      </c>
      <c r="AE1826">
        <v>-0.50229999999999098</v>
      </c>
      <c r="AF1826">
        <v>7.8737467014421594E-2</v>
      </c>
      <c r="AG1826">
        <v>-8.0957000000000098E-2</v>
      </c>
      <c r="AH1826">
        <v>0.48945276615529398</v>
      </c>
      <c r="AI1826">
        <v>99.274736112886302</v>
      </c>
      <c r="AJ1826">
        <v>80.861217824162495</v>
      </c>
      <c r="AK1826">
        <v>0.50231228818128304</v>
      </c>
      <c r="AL1826">
        <v>94.893938815890095</v>
      </c>
      <c r="AM1826">
        <v>88.758989915475695</v>
      </c>
      <c r="AN1826">
        <v>0.99999998050977601</v>
      </c>
    </row>
    <row r="1827" spans="1:40" x14ac:dyDescent="0.25">
      <c r="A1827" t="str">
        <f>"20190303153810150"</f>
        <v>20190303153810150</v>
      </c>
      <c r="B1827" t="str">
        <f>"1551598690140468"</f>
        <v>1551598690140468</v>
      </c>
      <c r="C1827" t="s">
        <v>40</v>
      </c>
      <c r="D1827">
        <v>4.6798799999999998</v>
      </c>
      <c r="E1827">
        <v>0.52931329999999999</v>
      </c>
      <c r="F1827" t="s">
        <v>44</v>
      </c>
      <c r="G1827">
        <v>-191.19759999999999</v>
      </c>
      <c r="H1827">
        <v>1.039569</v>
      </c>
      <c r="I1827">
        <v>323.27629999999999</v>
      </c>
      <c r="J1827">
        <v>-191.12309999999999</v>
      </c>
      <c r="K1827">
        <v>1.121408</v>
      </c>
      <c r="L1827">
        <v>323.74110000000002</v>
      </c>
      <c r="M1827">
        <v>5.9824279999999997E-3</v>
      </c>
      <c r="N1827">
        <v>-1.384116E-2</v>
      </c>
      <c r="O1827">
        <v>-0.99988630000000001</v>
      </c>
      <c r="P1827">
        <v>-1.670773E-2</v>
      </c>
      <c r="Q1827">
        <v>-0.10009940000000001</v>
      </c>
      <c r="R1827">
        <v>-0.99483690000000002</v>
      </c>
      <c r="S1827">
        <v>-0.28366089999999999</v>
      </c>
      <c r="T1827">
        <v>-0.32152269999999999</v>
      </c>
      <c r="U1827">
        <v>-2.9786380000000001</v>
      </c>
      <c r="V1827">
        <v>2.2747090000000001E-2</v>
      </c>
      <c r="W1827">
        <v>-8.6298730000000004E-2</v>
      </c>
      <c r="X1827">
        <v>0.99600960000000005</v>
      </c>
      <c r="Y1827">
        <v>0.1002618</v>
      </c>
      <c r="Z1827">
        <v>9.3031710000000004E-2</v>
      </c>
      <c r="AA1827">
        <v>0.99060219999999999</v>
      </c>
      <c r="AB1827">
        <v>29</v>
      </c>
      <c r="AC1827">
        <v>-7.4500000000000399E-2</v>
      </c>
      <c r="AD1827">
        <v>-8.1838999999999995E-2</v>
      </c>
      <c r="AE1827">
        <v>-0.46480000000002503</v>
      </c>
      <c r="AF1827">
        <v>7.5012290074573704E-2</v>
      </c>
      <c r="AG1827">
        <v>-8.1838999999999995E-2</v>
      </c>
      <c r="AH1827">
        <v>0.450722680093251</v>
      </c>
      <c r="AI1827">
        <v>100.154535253902</v>
      </c>
      <c r="AJ1827">
        <v>80.551055568787305</v>
      </c>
      <c r="AK1827">
        <v>0.46419327863905502</v>
      </c>
      <c r="AL1827">
        <v>94.950711008955096</v>
      </c>
      <c r="AM1827">
        <v>88.691693605879394</v>
      </c>
      <c r="AN1827">
        <v>1.00000001209762</v>
      </c>
    </row>
    <row r="1828" spans="1:40" x14ac:dyDescent="0.25">
      <c r="A1828" t="str">
        <f>"20190303153810171"</f>
        <v>20190303153810171</v>
      </c>
      <c r="B1828" t="str">
        <f>"1551598690160954"</f>
        <v>1551598690160954</v>
      </c>
      <c r="C1828" t="s">
        <v>40</v>
      </c>
      <c r="D1828">
        <v>4.6504799999999999</v>
      </c>
      <c r="E1828">
        <v>0.52907399999999905</v>
      </c>
      <c r="F1828" t="s">
        <v>44</v>
      </c>
      <c r="G1828">
        <v>-191.21530000000001</v>
      </c>
      <c r="H1828">
        <v>1.0130729999999999</v>
      </c>
      <c r="I1828">
        <v>322.77589999999998</v>
      </c>
      <c r="J1828">
        <v>-191.12090000000001</v>
      </c>
      <c r="K1828">
        <v>1.1213569999999999</v>
      </c>
      <c r="L1828">
        <v>323.45690000000002</v>
      </c>
      <c r="M1828">
        <v>6.4189140000000004E-3</v>
      </c>
      <c r="N1828">
        <v>-1.3876690000000001E-2</v>
      </c>
      <c r="O1828">
        <v>-0.99988330000000003</v>
      </c>
      <c r="P1828">
        <v>-1.707113E-2</v>
      </c>
      <c r="Q1828">
        <v>-9.9332119999999996E-2</v>
      </c>
      <c r="R1828">
        <v>-0.99490820000000002</v>
      </c>
      <c r="S1828">
        <v>-0.28433229999999998</v>
      </c>
      <c r="T1828">
        <v>-0.33420630000000001</v>
      </c>
      <c r="U1828">
        <v>-2.9771730000000001</v>
      </c>
      <c r="V1828">
        <v>2.353251E-2</v>
      </c>
      <c r="W1828">
        <v>-8.5497749999999997E-2</v>
      </c>
      <c r="X1828">
        <v>0.99606039999999996</v>
      </c>
      <c r="Y1828">
        <v>0.1009217</v>
      </c>
      <c r="Z1828">
        <v>9.7212660000000006E-2</v>
      </c>
      <c r="AA1828">
        <v>0.99013359999999995</v>
      </c>
      <c r="AB1828">
        <v>29</v>
      </c>
      <c r="AC1828">
        <v>-9.4400000000007298E-2</v>
      </c>
      <c r="AD1828">
        <v>-0.10828400000000001</v>
      </c>
      <c r="AE1828">
        <v>-0.68100000000004002</v>
      </c>
      <c r="AF1828">
        <v>9.63789159560271E-2</v>
      </c>
      <c r="AG1828">
        <v>-0.10828400000000001</v>
      </c>
      <c r="AH1828">
        <v>0.66391055754239303</v>
      </c>
      <c r="AI1828">
        <v>99.168940625114104</v>
      </c>
      <c r="AJ1828">
        <v>81.740156093428197</v>
      </c>
      <c r="AK1828">
        <v>0.67955246192851804</v>
      </c>
      <c r="AL1828">
        <v>94.904648128128798</v>
      </c>
      <c r="AM1828">
        <v>88.646605440407896</v>
      </c>
      <c r="AN1828">
        <v>0.99999998236506105</v>
      </c>
    </row>
    <row r="1829" spans="1:40" x14ac:dyDescent="0.25">
      <c r="A1829" t="str">
        <f>"20190303153810193"</f>
        <v>20190303153810193</v>
      </c>
      <c r="B1829" t="str">
        <f>"1551598690190235"</f>
        <v>1551598690190235</v>
      </c>
      <c r="C1829" t="s">
        <v>40</v>
      </c>
      <c r="D1829">
        <v>4.6664000000000003</v>
      </c>
      <c r="E1829">
        <v>0.52911209999999997</v>
      </c>
      <c r="F1829" t="s">
        <v>44</v>
      </c>
      <c r="G1829">
        <v>-191.2105</v>
      </c>
      <c r="H1829">
        <v>1.0137769999999999</v>
      </c>
      <c r="I1829">
        <v>322.51940000000002</v>
      </c>
      <c r="J1829">
        <v>-191.11869999999999</v>
      </c>
      <c r="K1829">
        <v>1.1213040000000001</v>
      </c>
      <c r="L1829">
        <v>323.18900000000002</v>
      </c>
      <c r="M1829">
        <v>6.7729969999999898E-3</v>
      </c>
      <c r="N1829">
        <v>-1.3906899999999899E-2</v>
      </c>
      <c r="O1829">
        <v>-0.99988060000000001</v>
      </c>
      <c r="P1829">
        <v>-1.7450810000000001E-2</v>
      </c>
      <c r="Q1829">
        <v>-9.8754900000000007E-2</v>
      </c>
      <c r="R1829">
        <v>-0.99495929999999999</v>
      </c>
      <c r="S1829">
        <v>-0.28382869999999999</v>
      </c>
      <c r="T1829">
        <v>-0.34176240000000002</v>
      </c>
      <c r="U1829">
        <v>-2.9763790000000001</v>
      </c>
      <c r="V1829">
        <v>2.425368E-2</v>
      </c>
      <c r="W1829">
        <v>-8.4892300000000004E-2</v>
      </c>
      <c r="X1829">
        <v>0.99609490000000001</v>
      </c>
      <c r="Y1829">
        <v>0.1011075</v>
      </c>
      <c r="Z1829">
        <v>9.9693069999999995E-2</v>
      </c>
      <c r="AA1829">
        <v>0.98986799999999997</v>
      </c>
      <c r="AB1829">
        <v>29</v>
      </c>
      <c r="AC1829">
        <v>-9.1800000000006293E-2</v>
      </c>
      <c r="AD1829">
        <v>-0.107526999999999</v>
      </c>
      <c r="AE1829">
        <v>-0.66960000000000197</v>
      </c>
      <c r="AF1829">
        <v>9.3955382680896399E-2</v>
      </c>
      <c r="AG1829">
        <v>-0.107526999999999</v>
      </c>
      <c r="AH1829">
        <v>0.65244839795532195</v>
      </c>
      <c r="AI1829">
        <v>99.264642560360898</v>
      </c>
      <c r="AJ1829">
        <v>81.805494623531899</v>
      </c>
      <c r="AK1829">
        <v>0.66789114506645397</v>
      </c>
      <c r="AL1829">
        <v>94.869831745433103</v>
      </c>
      <c r="AM1829">
        <v>88.605194164876394</v>
      </c>
      <c r="AN1829">
        <v>0.99999999669942097</v>
      </c>
    </row>
    <row r="1830" spans="1:40" x14ac:dyDescent="0.25">
      <c r="A1830" t="str">
        <f>"20190303153810217"</f>
        <v>20190303153810217</v>
      </c>
      <c r="B1830" t="str">
        <f>"1551598690210731"</f>
        <v>1551598690210731</v>
      </c>
      <c r="C1830" t="s">
        <v>40</v>
      </c>
      <c r="D1830">
        <v>4.6812899999999997</v>
      </c>
      <c r="E1830">
        <v>0.52919969999999905</v>
      </c>
      <c r="F1830" t="s">
        <v>44</v>
      </c>
      <c r="G1830">
        <v>-191.20740000000001</v>
      </c>
      <c r="H1830">
        <v>1.0127790000000001</v>
      </c>
      <c r="I1830">
        <v>322.26400000000001</v>
      </c>
      <c r="J1830">
        <v>-191.11619999999999</v>
      </c>
      <c r="K1830">
        <v>1.1212610000000001</v>
      </c>
      <c r="L1830">
        <v>322.88209999999998</v>
      </c>
      <c r="M1830">
        <v>7.1036490000000001E-3</v>
      </c>
      <c r="N1830">
        <v>-1.3937379999999999E-2</v>
      </c>
      <c r="O1830">
        <v>-0.99987789999999999</v>
      </c>
      <c r="P1830">
        <v>-1.803832E-2</v>
      </c>
      <c r="Q1830">
        <v>-9.8899189999999998E-2</v>
      </c>
      <c r="R1830">
        <v>-0.99493430000000005</v>
      </c>
      <c r="S1830">
        <v>-0.28536990000000001</v>
      </c>
      <c r="T1830">
        <v>-0.34911490000000001</v>
      </c>
      <c r="U1830">
        <v>-2.9755250000000002</v>
      </c>
      <c r="V1830">
        <v>2.5158449999999999E-2</v>
      </c>
      <c r="W1830">
        <v>-8.5009489999999993E-2</v>
      </c>
      <c r="X1830">
        <v>0.99606249999999996</v>
      </c>
      <c r="Y1830">
        <v>0.1019452</v>
      </c>
      <c r="Z1830">
        <v>0.10210039999999999</v>
      </c>
      <c r="AA1830">
        <v>0.98953659999999999</v>
      </c>
      <c r="AB1830">
        <v>29</v>
      </c>
      <c r="AC1830">
        <v>-9.1200000000014797E-2</v>
      </c>
      <c r="AD1830">
        <v>-0.108481999999999</v>
      </c>
      <c r="AE1830">
        <v>-0.61809999999996901</v>
      </c>
      <c r="AF1830">
        <v>9.2791501691847703E-2</v>
      </c>
      <c r="AG1830">
        <v>-0.108481999999999</v>
      </c>
      <c r="AH1830">
        <v>0.59936734459868302</v>
      </c>
      <c r="AI1830">
        <v>100.140881456267</v>
      </c>
      <c r="AJ1830">
        <v>81.199576680268805</v>
      </c>
      <c r="AK1830">
        <v>0.61613295714602401</v>
      </c>
      <c r="AL1830">
        <v>94.876570423105605</v>
      </c>
      <c r="AM1830">
        <v>88.5531363879943</v>
      </c>
      <c r="AN1830">
        <v>1.0000000324513501</v>
      </c>
    </row>
    <row r="1831" spans="1:40" x14ac:dyDescent="0.25">
      <c r="A1831" t="str">
        <f>"20190303153810240"</f>
        <v>20190303153810240</v>
      </c>
      <c r="B1831" t="str">
        <f>"1551598690230251"</f>
        <v>1551598690230251</v>
      </c>
      <c r="C1831" t="s">
        <v>40</v>
      </c>
      <c r="D1831">
        <v>4.6277039999999996</v>
      </c>
      <c r="E1831">
        <v>0.52929839999999995</v>
      </c>
      <c r="F1831" t="s">
        <v>44</v>
      </c>
      <c r="G1831">
        <v>-191.20099999999999</v>
      </c>
      <c r="H1831">
        <v>1.0175730000000001</v>
      </c>
      <c r="I1831">
        <v>322.0061</v>
      </c>
      <c r="J1831">
        <v>-191.11369999999999</v>
      </c>
      <c r="K1831">
        <v>1.1212139999999999</v>
      </c>
      <c r="L1831">
        <v>322.58030000000002</v>
      </c>
      <c r="M1831">
        <v>7.3511729999999999E-3</v>
      </c>
      <c r="N1831">
        <v>-1.3963410000000001E-2</v>
      </c>
      <c r="O1831">
        <v>-0.99987570000000003</v>
      </c>
      <c r="P1831">
        <v>-1.916841E-2</v>
      </c>
      <c r="Q1831">
        <v>-9.9375870000000005E-2</v>
      </c>
      <c r="R1831">
        <v>-0.99486549999999996</v>
      </c>
      <c r="S1831">
        <v>-0.28771970000000002</v>
      </c>
      <c r="T1831">
        <v>-0.352249599999999</v>
      </c>
      <c r="U1831">
        <v>-2.9750369999999999</v>
      </c>
      <c r="V1831">
        <v>2.6523080000000001E-2</v>
      </c>
      <c r="W1831">
        <v>-8.5464100000000001E-2</v>
      </c>
      <c r="X1831">
        <v>0.99598819999999999</v>
      </c>
      <c r="Y1831">
        <v>0.1029694</v>
      </c>
      <c r="Z1831">
        <v>0.1031108</v>
      </c>
      <c r="AA1831">
        <v>0.98932580000000003</v>
      </c>
      <c r="AB1831">
        <v>29</v>
      </c>
      <c r="AC1831">
        <v>-8.7299999999999003E-2</v>
      </c>
      <c r="AD1831">
        <v>-0.103640999999999</v>
      </c>
      <c r="AE1831">
        <v>-0.57420000000001803</v>
      </c>
      <c r="AF1831">
        <v>8.8694798119315105E-2</v>
      </c>
      <c r="AG1831">
        <v>-0.103640999999999</v>
      </c>
      <c r="AH1831">
        <v>0.55584302605535596</v>
      </c>
      <c r="AI1831">
        <v>100.43289779782999</v>
      </c>
      <c r="AJ1831">
        <v>80.933854818459295</v>
      </c>
      <c r="AK1831">
        <v>0.57233704554991105</v>
      </c>
      <c r="AL1831">
        <v>94.902712757345597</v>
      </c>
      <c r="AM1831">
        <v>88.474578842540296</v>
      </c>
      <c r="AN1831">
        <v>1.0000000403503599</v>
      </c>
    </row>
    <row r="1832" spans="1:40" x14ac:dyDescent="0.25">
      <c r="A1832" t="str">
        <f>"20190303153810261"</f>
        <v>20190303153810261</v>
      </c>
      <c r="B1832" t="str">
        <f>"1551598690250746"</f>
        <v>1551598690250746</v>
      </c>
      <c r="C1832" t="s">
        <v>40</v>
      </c>
      <c r="D1832">
        <v>4.6991259999999997</v>
      </c>
      <c r="E1832">
        <v>0.53256059999999905</v>
      </c>
      <c r="F1832" t="s">
        <v>44</v>
      </c>
      <c r="G1832">
        <v>-191.19540000000001</v>
      </c>
      <c r="H1832">
        <v>1.0226770000000001</v>
      </c>
      <c r="I1832">
        <v>321.74829999999997</v>
      </c>
      <c r="J1832">
        <v>-191.11150000000001</v>
      </c>
      <c r="K1832">
        <v>1.121173</v>
      </c>
      <c r="L1832">
        <v>322.31299999999999</v>
      </c>
      <c r="M1832">
        <v>7.5067919999999896E-3</v>
      </c>
      <c r="N1832">
        <v>-1.3983529999999999E-2</v>
      </c>
      <c r="O1832">
        <v>-0.99987440000000005</v>
      </c>
      <c r="P1832">
        <v>-2.0356889999999999E-2</v>
      </c>
      <c r="Q1832">
        <v>-9.9239709999999995E-2</v>
      </c>
      <c r="R1832">
        <v>-0.99485610000000002</v>
      </c>
      <c r="S1832">
        <v>-0.29187010000000002</v>
      </c>
      <c r="T1832">
        <v>-0.35235119999999998</v>
      </c>
      <c r="U1832">
        <v>-2.97464</v>
      </c>
      <c r="V1832">
        <v>2.7855870000000001E-2</v>
      </c>
      <c r="W1832">
        <v>-8.5310919999999998E-2</v>
      </c>
      <c r="X1832">
        <v>0.99596490000000004</v>
      </c>
      <c r="Y1832">
        <v>0.10450230000000001</v>
      </c>
      <c r="Z1832">
        <v>0.1031219</v>
      </c>
      <c r="AA1832">
        <v>0.98916389999999998</v>
      </c>
      <c r="AB1832">
        <v>29</v>
      </c>
      <c r="AC1832">
        <v>-8.3899999999999794E-2</v>
      </c>
      <c r="AD1832">
        <v>-9.8495999999999903E-2</v>
      </c>
      <c r="AE1832">
        <v>-0.56470000000001597</v>
      </c>
      <c r="AF1832">
        <v>8.5589485378991206E-2</v>
      </c>
      <c r="AG1832">
        <v>-9.8495999999999903E-2</v>
      </c>
      <c r="AH1832">
        <v>0.547749931240604</v>
      </c>
      <c r="AI1832">
        <v>100.07424747284</v>
      </c>
      <c r="AJ1832">
        <v>81.118977481815605</v>
      </c>
      <c r="AK1832">
        <v>0.56307815549666496</v>
      </c>
      <c r="AL1832">
        <v>94.893904254802095</v>
      </c>
      <c r="AM1832">
        <v>88.397927660044502</v>
      </c>
      <c r="AN1832">
        <v>0.99999999229835601</v>
      </c>
    </row>
    <row r="1833" spans="1:40" x14ac:dyDescent="0.25">
      <c r="A1833" t="str">
        <f>"20190303153810283"</f>
        <v>20190303153810283</v>
      </c>
      <c r="B1833" t="str">
        <f>"1551598690270266"</f>
        <v>1551598690270266</v>
      </c>
      <c r="C1833" t="s">
        <v>40</v>
      </c>
      <c r="D1833">
        <v>4.7177110000000004</v>
      </c>
      <c r="E1833">
        <v>0.53022400000000003</v>
      </c>
      <c r="F1833" t="s">
        <v>42</v>
      </c>
      <c r="G1833">
        <v>-192.98589999999999</v>
      </c>
      <c r="H1833" s="1">
        <v>-3.0142319999999999E-6</v>
      </c>
      <c r="I1833">
        <v>304.76339999999999</v>
      </c>
      <c r="J1833">
        <v>-191.10929999999999</v>
      </c>
      <c r="K1833">
        <v>1.1211249999999999</v>
      </c>
      <c r="L1833">
        <v>322.03840000000002</v>
      </c>
      <c r="M1833">
        <v>7.6088950000000001E-3</v>
      </c>
      <c r="N1833">
        <v>-1.400146E-2</v>
      </c>
      <c r="O1833">
        <v>-0.99987340000000002</v>
      </c>
      <c r="P1833">
        <v>-2.14938E-2</v>
      </c>
      <c r="Q1833">
        <v>-9.8309110000000005E-2</v>
      </c>
      <c r="R1833">
        <v>-0.99492440000000004</v>
      </c>
      <c r="S1833">
        <v>-0.3193512</v>
      </c>
      <c r="T1833">
        <v>-0.19101879999999999</v>
      </c>
      <c r="U1833">
        <v>-2.9899900000000001</v>
      </c>
      <c r="V1833">
        <v>2.908405E-2</v>
      </c>
      <c r="W1833">
        <v>-8.4364889999999998E-2</v>
      </c>
      <c r="X1833">
        <v>0.99601039999999996</v>
      </c>
      <c r="Y1833">
        <v>0.1135751</v>
      </c>
      <c r="Z1833">
        <v>4.938265E-2</v>
      </c>
      <c r="AA1833">
        <v>0.9923014</v>
      </c>
      <c r="AB1833">
        <v>29</v>
      </c>
      <c r="AC1833">
        <v>-1.8765999999999901</v>
      </c>
      <c r="AD1833">
        <v>-1.1211280142319999</v>
      </c>
      <c r="AE1833">
        <v>-17.274999999999999</v>
      </c>
      <c r="AF1833">
        <v>1.99967802271888</v>
      </c>
      <c r="AG1833">
        <v>-1.1211280142319999</v>
      </c>
      <c r="AH1833">
        <v>17.188667616801101</v>
      </c>
      <c r="AI1833">
        <v>93.706891335165807</v>
      </c>
      <c r="AJ1833">
        <v>83.364210533827404</v>
      </c>
      <c r="AK1833">
        <v>17.340874679776299</v>
      </c>
      <c r="AL1833">
        <v>94.839504483830694</v>
      </c>
      <c r="AM1833">
        <v>88.327407094024494</v>
      </c>
      <c r="AN1833">
        <v>1.00000001676863</v>
      </c>
    </row>
    <row r="1834" spans="1:40" x14ac:dyDescent="0.25">
      <c r="A1834" t="str">
        <f>"20190303153810306"</f>
        <v>20190303153810306</v>
      </c>
      <c r="B1834" t="str">
        <f>"1551598690300522"</f>
        <v>1551598690300522</v>
      </c>
      <c r="C1834" t="s">
        <v>40</v>
      </c>
      <c r="D1834">
        <v>4.658684</v>
      </c>
      <c r="E1834">
        <v>0.52965459999999998</v>
      </c>
      <c r="F1834" t="s">
        <v>42</v>
      </c>
      <c r="G1834">
        <v>-192.9348</v>
      </c>
      <c r="H1834" s="1">
        <v>-2.7125240000000001E-6</v>
      </c>
      <c r="I1834">
        <v>304.09190000000001</v>
      </c>
      <c r="J1834">
        <v>-191.107</v>
      </c>
      <c r="K1834">
        <v>1.1210800000000001</v>
      </c>
      <c r="L1834">
        <v>321.75069999999999</v>
      </c>
      <c r="M1834">
        <v>7.6650449999999997E-3</v>
      </c>
      <c r="N1834">
        <v>-1.401756E-2</v>
      </c>
      <c r="O1834">
        <v>-0.99987239999999999</v>
      </c>
      <c r="P1834">
        <v>-2.2339359999999999E-2</v>
      </c>
      <c r="Q1834">
        <v>-9.6840200000000001E-2</v>
      </c>
      <c r="R1834">
        <v>-0.99504950000000003</v>
      </c>
      <c r="S1834">
        <v>-0.30416870000000001</v>
      </c>
      <c r="T1834">
        <v>-0.18680550000000001</v>
      </c>
      <c r="U1834">
        <v>-2.9902950000000001</v>
      </c>
      <c r="V1834">
        <v>2.9976349999999999E-2</v>
      </c>
      <c r="W1834">
        <v>-8.2881780000000002E-2</v>
      </c>
      <c r="X1834">
        <v>0.99610849999999995</v>
      </c>
      <c r="Y1834">
        <v>0.1086453</v>
      </c>
      <c r="Z1834">
        <v>4.8000479999999998E-2</v>
      </c>
      <c r="AA1834">
        <v>0.99292100000000005</v>
      </c>
      <c r="AB1834">
        <v>29</v>
      </c>
      <c r="AC1834">
        <v>-1.8277999999999901</v>
      </c>
      <c r="AD1834">
        <v>-1.1210827125239999</v>
      </c>
      <c r="AE1834">
        <v>-17.6587999999999</v>
      </c>
      <c r="AF1834">
        <v>1.95531782384797</v>
      </c>
      <c r="AG1834">
        <v>-1.1210827125239999</v>
      </c>
      <c r="AH1834">
        <v>17.574188620411299</v>
      </c>
      <c r="AI1834">
        <v>93.627710027160802</v>
      </c>
      <c r="AJ1834">
        <v>83.651337929639794</v>
      </c>
      <c r="AK1834">
        <v>17.7181319530692</v>
      </c>
      <c r="AL1834">
        <v>94.754229660177899</v>
      </c>
      <c r="AM1834">
        <v>88.276292039568801</v>
      </c>
      <c r="AN1834">
        <v>1.00000005739376</v>
      </c>
    </row>
    <row r="1835" spans="1:40" x14ac:dyDescent="0.25">
      <c r="A1835" t="str">
        <f>"20190303153810328"</f>
        <v>20190303153810328</v>
      </c>
      <c r="B1835" t="str">
        <f>"1551598690321019"</f>
        <v>1551598690321019</v>
      </c>
      <c r="C1835" t="s">
        <v>40</v>
      </c>
      <c r="D1835">
        <v>4.6515339999999998</v>
      </c>
      <c r="E1835">
        <v>0.52954749999999995</v>
      </c>
      <c r="F1835" t="s">
        <v>42</v>
      </c>
      <c r="G1835">
        <v>-193.01910000000001</v>
      </c>
      <c r="H1835" s="1">
        <v>-2.192616E-6</v>
      </c>
      <c r="I1835">
        <v>302.82760000000002</v>
      </c>
      <c r="J1835">
        <v>-191.10470000000001</v>
      </c>
      <c r="K1835">
        <v>1.121049</v>
      </c>
      <c r="L1835">
        <v>321.46069999999997</v>
      </c>
      <c r="M1835">
        <v>7.6835459999999899E-3</v>
      </c>
      <c r="N1835">
        <v>-1.4031299999999899E-2</v>
      </c>
      <c r="O1835">
        <v>-0.99987199999999998</v>
      </c>
      <c r="P1835">
        <v>-2.2598340000000001E-2</v>
      </c>
      <c r="Q1835">
        <v>-9.6579719999999994E-2</v>
      </c>
      <c r="R1835">
        <v>-0.99506870000000003</v>
      </c>
      <c r="S1835">
        <v>-0.30223080000000002</v>
      </c>
      <c r="T1835">
        <v>-0.17719579999999999</v>
      </c>
      <c r="U1835">
        <v>-2.990936</v>
      </c>
      <c r="V1835">
        <v>3.0246450000000001E-2</v>
      </c>
      <c r="W1835">
        <v>-8.2610080000000002E-2</v>
      </c>
      <c r="X1835">
        <v>0.99612279999999997</v>
      </c>
      <c r="Y1835">
        <v>0.1080232</v>
      </c>
      <c r="Z1835">
        <v>4.4797620000000003E-2</v>
      </c>
      <c r="AA1835">
        <v>0.99313859999999998</v>
      </c>
      <c r="AB1835">
        <v>28</v>
      </c>
      <c r="AC1835">
        <v>-1.9144000000000001</v>
      </c>
      <c r="AD1835">
        <v>-1.1210511926160001</v>
      </c>
      <c r="AE1835">
        <v>-18.633099999999899</v>
      </c>
      <c r="AF1835">
        <v>2.05018219559802</v>
      </c>
      <c r="AG1835">
        <v>-1.1210511926160001</v>
      </c>
      <c r="AH1835">
        <v>18.551388764851101</v>
      </c>
      <c r="AI1835">
        <v>93.437274283202399</v>
      </c>
      <c r="AJ1835">
        <v>83.693623446338506</v>
      </c>
      <c r="AK1835">
        <v>18.697968550520599</v>
      </c>
      <c r="AL1835">
        <v>94.738609325274894</v>
      </c>
      <c r="AM1835">
        <v>88.260795127337801</v>
      </c>
      <c r="AN1835">
        <v>0.99999995286752297</v>
      </c>
    </row>
    <row r="1836" spans="1:40" x14ac:dyDescent="0.25">
      <c r="A1836" t="str">
        <f>"20190303153810343"</f>
        <v>20190303153810343</v>
      </c>
      <c r="B1836" t="str">
        <f>"1551598690340540"</f>
        <v>1551598690340540</v>
      </c>
      <c r="C1836" t="s">
        <v>40</v>
      </c>
      <c r="D1836">
        <v>4.6942059999999897</v>
      </c>
      <c r="E1836">
        <v>0.52973599999999998</v>
      </c>
      <c r="F1836" t="s">
        <v>42</v>
      </c>
      <c r="G1836">
        <v>-193.0652</v>
      </c>
      <c r="H1836" s="1">
        <v>-1.8701469999999999E-6</v>
      </c>
      <c r="I1836">
        <v>302.04730000000001</v>
      </c>
      <c r="J1836">
        <v>-191.10329999999999</v>
      </c>
      <c r="K1836">
        <v>1.121038</v>
      </c>
      <c r="L1836">
        <v>321.27569999999997</v>
      </c>
      <c r="M1836">
        <v>7.6784519999999997E-3</v>
      </c>
      <c r="N1836">
        <v>-1.4038699999999999E-2</v>
      </c>
      <c r="O1836">
        <v>-0.99987219999999999</v>
      </c>
      <c r="P1836">
        <v>-2.2807029999999999E-2</v>
      </c>
      <c r="Q1836">
        <v>-9.5968239999999996E-2</v>
      </c>
      <c r="R1836">
        <v>-0.99512339999999999</v>
      </c>
      <c r="S1836">
        <v>-0.30207820000000002</v>
      </c>
      <c r="T1836">
        <v>-0.17273139999999901</v>
      </c>
      <c r="U1836">
        <v>-2.9912109999999998</v>
      </c>
      <c r="V1836">
        <v>3.0447519999999999E-2</v>
      </c>
      <c r="W1836">
        <v>-8.1991620000000001E-2</v>
      </c>
      <c r="X1836">
        <v>0.99616780000000005</v>
      </c>
      <c r="Y1836">
        <v>0.1079666</v>
      </c>
      <c r="Z1836">
        <v>4.3307390000000001E-2</v>
      </c>
      <c r="AA1836">
        <v>0.99321079999999995</v>
      </c>
      <c r="AB1836">
        <v>28</v>
      </c>
      <c r="AC1836">
        <v>-1.96190000000001</v>
      </c>
      <c r="AD1836">
        <v>-1.1210398701469999</v>
      </c>
      <c r="AE1836">
        <v>-19.228399999999901</v>
      </c>
      <c r="AF1836">
        <v>2.1024284139908702</v>
      </c>
      <c r="AG1836">
        <v>-1.1210398701469999</v>
      </c>
      <c r="AH1836">
        <v>19.1483518477696</v>
      </c>
      <c r="AI1836">
        <v>93.330585642794901</v>
      </c>
      <c r="AJ1836">
        <v>83.734203137612596</v>
      </c>
      <c r="AK1836">
        <v>19.296018089554099</v>
      </c>
      <c r="AL1836">
        <v>94.703053418428894</v>
      </c>
      <c r="AM1836">
        <v>88.249319586098693</v>
      </c>
      <c r="AN1836">
        <v>0.99999998149060698</v>
      </c>
    </row>
    <row r="1837" spans="1:40" x14ac:dyDescent="0.25">
      <c r="A1837" t="str">
        <f>"20190303153810362"</f>
        <v>20190303153810362</v>
      </c>
      <c r="B1837" t="str">
        <f>"1551598690350304"</f>
        <v>1551598690350304</v>
      </c>
      <c r="C1837" t="s">
        <v>40</v>
      </c>
      <c r="D1837">
        <v>4.6890070000000001</v>
      </c>
      <c r="E1837">
        <v>0.52981069999999997</v>
      </c>
      <c r="F1837" t="s">
        <v>42</v>
      </c>
      <c r="G1837">
        <v>-193.14439999999999</v>
      </c>
      <c r="H1837" s="1">
        <v>-1.521156E-6</v>
      </c>
      <c r="I1837">
        <v>301.18470000000002</v>
      </c>
      <c r="J1837">
        <v>-191.10140000000001</v>
      </c>
      <c r="K1837">
        <v>1.1210340000000001</v>
      </c>
      <c r="L1837">
        <v>321.03109999999998</v>
      </c>
      <c r="M1837">
        <v>7.6595509999999997E-3</v>
      </c>
      <c r="N1837">
        <v>-1.404739E-2</v>
      </c>
      <c r="O1837">
        <v>-0.99987219999999999</v>
      </c>
      <c r="P1837">
        <v>-2.2793089999999998E-2</v>
      </c>
      <c r="Q1837">
        <v>-9.5418669999999997E-2</v>
      </c>
      <c r="R1837">
        <v>-0.99517659999999997</v>
      </c>
      <c r="S1837">
        <v>-0.30393979999999998</v>
      </c>
      <c r="T1837">
        <v>-0.16692960000000001</v>
      </c>
      <c r="U1837">
        <v>-2.9916689999999999</v>
      </c>
      <c r="V1837">
        <v>3.04123E-2</v>
      </c>
      <c r="W1837">
        <v>-8.1433800000000001E-2</v>
      </c>
      <c r="X1837">
        <v>0.99621459999999995</v>
      </c>
      <c r="Y1837">
        <v>0.10855380000000001</v>
      </c>
      <c r="Z1837">
        <v>4.1365720000000002E-2</v>
      </c>
      <c r="AA1837">
        <v>0.99322960000000005</v>
      </c>
      <c r="AB1837">
        <v>28</v>
      </c>
      <c r="AC1837">
        <v>-2.04299999999997</v>
      </c>
      <c r="AD1837">
        <v>-1.1210355211559999</v>
      </c>
      <c r="AE1837">
        <v>-19.8463999999999</v>
      </c>
      <c r="AF1837">
        <v>2.18806146693422</v>
      </c>
      <c r="AG1837">
        <v>-1.1210355211559999</v>
      </c>
      <c r="AH1837">
        <v>19.7677576071153</v>
      </c>
      <c r="AI1837">
        <v>93.226123503206196</v>
      </c>
      <c r="AJ1837">
        <v>83.683733548167496</v>
      </c>
      <c r="AK1837">
        <v>19.920054579153199</v>
      </c>
      <c r="AL1837">
        <v>94.670985592999799</v>
      </c>
      <c r="AM1837">
        <v>88.251425515038207</v>
      </c>
      <c r="AN1837">
        <v>0.99999995051344304</v>
      </c>
    </row>
    <row r="1838" spans="1:40" x14ac:dyDescent="0.25">
      <c r="A1838" t="str">
        <f>"20190303153810383"</f>
        <v>20190303153810383</v>
      </c>
      <c r="B1838" t="str">
        <f>"1551598690380555"</f>
        <v>1551598690380555</v>
      </c>
      <c r="C1838" t="s">
        <v>40</v>
      </c>
      <c r="D1838">
        <v>4.6510280000000002</v>
      </c>
      <c r="E1838">
        <v>0.52982309999999999</v>
      </c>
      <c r="F1838" t="s">
        <v>42</v>
      </c>
      <c r="G1838">
        <v>-193.16560000000001</v>
      </c>
      <c r="H1838" s="1">
        <v>-1.3425859999999999E-6</v>
      </c>
      <c r="I1838">
        <v>300.75529999999998</v>
      </c>
      <c r="J1838">
        <v>-191.0994</v>
      </c>
      <c r="K1838">
        <v>1.1210370000000001</v>
      </c>
      <c r="L1838">
        <v>320.76530000000002</v>
      </c>
      <c r="M1838">
        <v>7.6237579999999996E-3</v>
      </c>
      <c r="N1838">
        <v>-1.405521E-2</v>
      </c>
      <c r="O1838">
        <v>-0.99987239999999999</v>
      </c>
      <c r="P1838">
        <v>-2.3030660000000001E-2</v>
      </c>
      <c r="Q1838">
        <v>-9.4804520000000003E-2</v>
      </c>
      <c r="R1838">
        <v>-0.99523010000000001</v>
      </c>
      <c r="S1838">
        <v>-0.30458069999999998</v>
      </c>
      <c r="T1838">
        <v>-0.16541139999999999</v>
      </c>
      <c r="U1838">
        <v>-2.99173</v>
      </c>
      <c r="V1838">
        <v>3.061231E-2</v>
      </c>
      <c r="W1838">
        <v>-8.081207E-2</v>
      </c>
      <c r="X1838">
        <v>0.99625920000000001</v>
      </c>
      <c r="Y1838">
        <v>0.1087291</v>
      </c>
      <c r="Z1838">
        <v>4.0853010000000002E-2</v>
      </c>
      <c r="AA1838">
        <v>0.99323159999999999</v>
      </c>
      <c r="AB1838">
        <v>28</v>
      </c>
      <c r="AC1838">
        <v>-2.0661999999999998</v>
      </c>
      <c r="AD1838">
        <v>-1.121038342586</v>
      </c>
      <c r="AE1838">
        <v>-20.010000000000002</v>
      </c>
      <c r="AF1838">
        <v>2.2118373667895699</v>
      </c>
      <c r="AG1838">
        <v>-1.121038342586</v>
      </c>
      <c r="AH1838">
        <v>19.931765205842499</v>
      </c>
      <c r="AI1838">
        <v>93.199542311102206</v>
      </c>
      <c r="AJ1838">
        <v>83.667768209315497</v>
      </c>
      <c r="AK1838">
        <v>20.085422966009698</v>
      </c>
      <c r="AL1838">
        <v>94.635244832324403</v>
      </c>
      <c r="AM1838">
        <v>88.240011766892707</v>
      </c>
      <c r="AN1838">
        <v>1.0000000488829199</v>
      </c>
    </row>
    <row r="1839" spans="1:40" x14ac:dyDescent="0.25">
      <c r="A1839" t="str">
        <f>"20190303153810399"</f>
        <v>20190303153810399</v>
      </c>
      <c r="B1839" t="str">
        <f>"1551598690390315"</f>
        <v>1551598690390315</v>
      </c>
      <c r="C1839" t="s">
        <v>40</v>
      </c>
      <c r="D1839">
        <v>4.7128579999999998</v>
      </c>
      <c r="E1839">
        <v>0.52986929999999999</v>
      </c>
      <c r="F1839" t="s">
        <v>42</v>
      </c>
      <c r="G1839">
        <v>-193.1523</v>
      </c>
      <c r="H1839" s="1">
        <v>-1.295458E-6</v>
      </c>
      <c r="I1839">
        <v>300.65370000000001</v>
      </c>
      <c r="J1839">
        <v>-191.09780000000001</v>
      </c>
      <c r="K1839">
        <v>1.121035</v>
      </c>
      <c r="L1839">
        <v>320.5625</v>
      </c>
      <c r="M1839">
        <v>7.5884079999999996E-3</v>
      </c>
      <c r="N1839">
        <v>-1.4060339999999999E-2</v>
      </c>
      <c r="O1839">
        <v>-0.99987239999999999</v>
      </c>
      <c r="P1839">
        <v>-2.3352009999999999E-2</v>
      </c>
      <c r="Q1839">
        <v>-9.4194630000000001E-2</v>
      </c>
      <c r="R1839">
        <v>-0.9952801</v>
      </c>
      <c r="S1839">
        <v>-0.30535889999999999</v>
      </c>
      <c r="T1839">
        <v>-0.16674459999999999</v>
      </c>
      <c r="U1839">
        <v>-2.991425</v>
      </c>
      <c r="V1839">
        <v>3.0897230000000001E-2</v>
      </c>
      <c r="W1839">
        <v>-8.0197099999999993E-2</v>
      </c>
      <c r="X1839">
        <v>0.99629999999999996</v>
      </c>
      <c r="Y1839">
        <v>0.1089576</v>
      </c>
      <c r="Z1839">
        <v>4.129352E-2</v>
      </c>
      <c r="AA1839">
        <v>0.99318830000000002</v>
      </c>
      <c r="AB1839">
        <v>28</v>
      </c>
      <c r="AC1839">
        <v>-2.0544999999999898</v>
      </c>
      <c r="AD1839">
        <v>-1.121036295458</v>
      </c>
      <c r="AE1839">
        <v>-19.9087999999999</v>
      </c>
      <c r="AF1839">
        <v>2.1986342018792602</v>
      </c>
      <c r="AG1839">
        <v>-1.121036295458</v>
      </c>
      <c r="AH1839">
        <v>19.830421812124499</v>
      </c>
      <c r="AI1839">
        <v>93.215888185796203</v>
      </c>
      <c r="AJ1839">
        <v>83.673353937840602</v>
      </c>
      <c r="AK1839">
        <v>19.983401711825501</v>
      </c>
      <c r="AL1839">
        <v>94.599895357914505</v>
      </c>
      <c r="AM1839">
        <v>88.223714055249005</v>
      </c>
      <c r="AN1839">
        <v>0.99999995183503998</v>
      </c>
    </row>
    <row r="1840" spans="1:40" x14ac:dyDescent="0.25">
      <c r="A1840" t="str">
        <f>"20190303153810418"</f>
        <v>20190303153810418</v>
      </c>
      <c r="B1840" t="str">
        <f>"1551598690410811"</f>
        <v>1551598690410811</v>
      </c>
      <c r="C1840" t="s">
        <v>40</v>
      </c>
      <c r="D1840">
        <v>4.7054320000000001</v>
      </c>
      <c r="E1840">
        <v>0.52992220000000001</v>
      </c>
      <c r="F1840" t="s">
        <v>42</v>
      </c>
      <c r="G1840">
        <v>-193.17269999999999</v>
      </c>
      <c r="H1840" s="1">
        <v>-1.162028E-6</v>
      </c>
      <c r="I1840">
        <v>300.33</v>
      </c>
      <c r="J1840">
        <v>-191.096</v>
      </c>
      <c r="K1840">
        <v>1.121035</v>
      </c>
      <c r="L1840">
        <v>320.32010000000002</v>
      </c>
      <c r="M1840">
        <v>7.5391800000000004E-3</v>
      </c>
      <c r="N1840">
        <v>-1.406578E-2</v>
      </c>
      <c r="O1840">
        <v>-0.99987269999999995</v>
      </c>
      <c r="P1840">
        <v>-2.3850819999999998E-2</v>
      </c>
      <c r="Q1840">
        <v>-9.2843270000000006E-2</v>
      </c>
      <c r="R1840">
        <v>-0.99539480000000002</v>
      </c>
      <c r="S1840">
        <v>-0.3067627</v>
      </c>
      <c r="T1840">
        <v>-0.16574349999999999</v>
      </c>
      <c r="U1840">
        <v>-2.991333</v>
      </c>
      <c r="V1840">
        <v>3.1345949999999997E-2</v>
      </c>
      <c r="W1840">
        <v>-7.8839770000000003E-2</v>
      </c>
      <c r="X1840">
        <v>0.99639429999999996</v>
      </c>
      <c r="Y1840">
        <v>0.1093744</v>
      </c>
      <c r="Z1840">
        <v>4.0955739999999997E-2</v>
      </c>
      <c r="AA1840">
        <v>0.9931565</v>
      </c>
      <c r="AB1840">
        <v>28</v>
      </c>
      <c r="AC1840">
        <v>-2.07670000000001</v>
      </c>
      <c r="AD1840">
        <v>-1.121036162028</v>
      </c>
      <c r="AE1840">
        <v>-19.990100000000002</v>
      </c>
      <c r="AF1840">
        <v>2.22045624139498</v>
      </c>
      <c r="AG1840">
        <v>-1.121036162028</v>
      </c>
      <c r="AH1840">
        <v>19.911920867124799</v>
      </c>
      <c r="AI1840">
        <v>93.202527296233995</v>
      </c>
      <c r="AJ1840">
        <v>83.637011778570198</v>
      </c>
      <c r="AK1840">
        <v>20.066682351977501</v>
      </c>
      <c r="AL1840">
        <v>94.521879076657697</v>
      </c>
      <c r="AM1840">
        <v>88.198104406640397</v>
      </c>
      <c r="AN1840">
        <v>0.99999993949377097</v>
      </c>
    </row>
    <row r="1841" spans="1:40" x14ac:dyDescent="0.25">
      <c r="A1841" t="str">
        <f>"20190303153810442"</f>
        <v>20190303153810442</v>
      </c>
      <c r="B1841" t="str">
        <f>"1551598690430331"</f>
        <v>1551598690430331</v>
      </c>
      <c r="C1841" t="s">
        <v>40</v>
      </c>
      <c r="D1841">
        <v>4.7239209999999998</v>
      </c>
      <c r="E1841">
        <v>0.52996759999999998</v>
      </c>
      <c r="F1841" t="s">
        <v>42</v>
      </c>
      <c r="G1841">
        <v>-193.19980000000001</v>
      </c>
      <c r="H1841" s="1">
        <v>-9.98099E-7</v>
      </c>
      <c r="I1841">
        <v>299.93119999999999</v>
      </c>
      <c r="J1841">
        <v>-191.09379999999999</v>
      </c>
      <c r="K1841">
        <v>1.1210340000000001</v>
      </c>
      <c r="L1841">
        <v>320.02109999999999</v>
      </c>
      <c r="M1841">
        <v>7.4668729999999997E-3</v>
      </c>
      <c r="N1841">
        <v>-1.40713E-2</v>
      </c>
      <c r="O1841">
        <v>-0.99987340000000002</v>
      </c>
      <c r="P1841">
        <v>-2.4527859999999999E-2</v>
      </c>
      <c r="Q1841">
        <v>-9.1537939999999998E-2</v>
      </c>
      <c r="R1841">
        <v>-0.99549969999999999</v>
      </c>
      <c r="S1841">
        <v>-0.30862430000000002</v>
      </c>
      <c r="T1841">
        <v>-0.16445899999999999</v>
      </c>
      <c r="U1841">
        <v>-2.9911189999999999</v>
      </c>
      <c r="V1841">
        <v>3.1949159999999997E-2</v>
      </c>
      <c r="W1841">
        <v>-7.7528819999999998E-2</v>
      </c>
      <c r="X1841">
        <v>0.99647810000000003</v>
      </c>
      <c r="Y1841">
        <v>0.1099232</v>
      </c>
      <c r="Z1841">
        <v>4.0525440000000003E-2</v>
      </c>
      <c r="AA1841">
        <v>0.99311360000000004</v>
      </c>
      <c r="AB1841">
        <v>28</v>
      </c>
      <c r="AC1841">
        <v>-2.1060000000000199</v>
      </c>
      <c r="AD1841">
        <v>-1.121034998099</v>
      </c>
      <c r="AE1841">
        <v>-20.0899</v>
      </c>
      <c r="AF1841">
        <v>2.2490380129854999</v>
      </c>
      <c r="AG1841">
        <v>-1.121034998099</v>
      </c>
      <c r="AH1841">
        <v>20.0119781954335</v>
      </c>
      <c r="AI1841">
        <v>93.1862387420407</v>
      </c>
      <c r="AJ1841">
        <v>83.587743078946801</v>
      </c>
      <c r="AK1841">
        <v>20.169138869702</v>
      </c>
      <c r="AL1841">
        <v>94.446536108374801</v>
      </c>
      <c r="AM1841">
        <v>88.163607249875795</v>
      </c>
      <c r="AN1841">
        <v>1.0000000352674501</v>
      </c>
    </row>
    <row r="1842" spans="1:40" x14ac:dyDescent="0.25">
      <c r="A1842" t="str">
        <f>"20190303153810463"</f>
        <v>20190303153810463</v>
      </c>
      <c r="B1842" t="str">
        <f>"1551598690460587"</f>
        <v>1551598690460587</v>
      </c>
      <c r="C1842" t="s">
        <v>40</v>
      </c>
      <c r="D1842">
        <v>4.7236940000000001</v>
      </c>
      <c r="E1842">
        <v>0.5300087</v>
      </c>
      <c r="F1842" t="s">
        <v>51</v>
      </c>
      <c r="G1842">
        <v>-193.24850000000001</v>
      </c>
      <c r="H1842" s="1">
        <v>5.6051700000000002E-8</v>
      </c>
      <c r="I1842">
        <v>299.29809999999998</v>
      </c>
      <c r="J1842">
        <v>-191.09190000000001</v>
      </c>
      <c r="K1842">
        <v>1.1210340000000001</v>
      </c>
      <c r="L1842">
        <v>319.75369999999998</v>
      </c>
      <c r="M1842">
        <v>7.3879799999999997E-3</v>
      </c>
      <c r="N1842">
        <v>-1.407516E-2</v>
      </c>
      <c r="O1842">
        <v>-0.99987389999999998</v>
      </c>
      <c r="P1842">
        <v>-2.5691329999999998E-2</v>
      </c>
      <c r="Q1842">
        <v>-9.0062359999999994E-2</v>
      </c>
      <c r="R1842">
        <v>-0.99560499999999996</v>
      </c>
      <c r="S1842">
        <v>-0.31098940000000003</v>
      </c>
      <c r="T1842">
        <v>-0.161802799999999</v>
      </c>
      <c r="U1842">
        <v>-2.991028</v>
      </c>
      <c r="V1842">
        <v>3.3032539999999999E-2</v>
      </c>
      <c r="W1842">
        <v>-7.6049420000000006E-2</v>
      </c>
      <c r="X1842">
        <v>0.99655680000000002</v>
      </c>
      <c r="Y1842">
        <v>0.1106288</v>
      </c>
      <c r="Z1842">
        <v>3.9639349999999997E-2</v>
      </c>
      <c r="AA1842">
        <v>0.99307100000000004</v>
      </c>
      <c r="AB1842">
        <v>28</v>
      </c>
      <c r="AC1842">
        <v>-2.1565999999999899</v>
      </c>
      <c r="AD1842">
        <v>-1.1210339439482999</v>
      </c>
      <c r="AE1842">
        <v>-20.4556</v>
      </c>
      <c r="AF1842">
        <v>2.3008472309837402</v>
      </c>
      <c r="AG1842">
        <v>-1.1210339439482999</v>
      </c>
      <c r="AH1842">
        <v>20.378574958462799</v>
      </c>
      <c r="AI1842">
        <v>93.128851630433402</v>
      </c>
      <c r="AJ1842">
        <v>83.558287796178803</v>
      </c>
      <c r="AK1842">
        <v>20.538669197917802</v>
      </c>
      <c r="AL1842">
        <v>94.361521605005706</v>
      </c>
      <c r="AM1842">
        <v>88.101530749029493</v>
      </c>
      <c r="AN1842">
        <v>1.0000000593037099</v>
      </c>
    </row>
    <row r="1843" spans="1:40" x14ac:dyDescent="0.25">
      <c r="A1843" t="str">
        <f>"20190303153810484"</f>
        <v>20190303153810484</v>
      </c>
      <c r="B1843" t="str">
        <f>"1551598690480106"</f>
        <v>1551598690480106</v>
      </c>
      <c r="C1843" t="s">
        <v>40</v>
      </c>
      <c r="D1843">
        <v>4.7156440000000002</v>
      </c>
      <c r="E1843">
        <v>0.53010259999999998</v>
      </c>
      <c r="F1843" t="s">
        <v>51</v>
      </c>
      <c r="G1843">
        <v>-193.26249999999999</v>
      </c>
      <c r="H1843" s="1">
        <v>8.3323140000000003E-8</v>
      </c>
      <c r="I1843">
        <v>299.14319999999998</v>
      </c>
      <c r="J1843">
        <v>-191.09010000000001</v>
      </c>
      <c r="K1843">
        <v>1.1210230000000001</v>
      </c>
      <c r="L1843">
        <v>319.4923</v>
      </c>
      <c r="M1843">
        <v>7.2935300000000003E-3</v>
      </c>
      <c r="N1843">
        <v>-1.407808E-2</v>
      </c>
      <c r="O1843">
        <v>-0.99987470000000001</v>
      </c>
      <c r="P1843">
        <v>-2.6574299999999999E-2</v>
      </c>
      <c r="Q1843">
        <v>-8.8473159999999995E-2</v>
      </c>
      <c r="R1843">
        <v>-0.99572450000000001</v>
      </c>
      <c r="S1843">
        <v>-0.31494139999999998</v>
      </c>
      <c r="T1843">
        <v>-0.162653399999999</v>
      </c>
      <c r="U1843">
        <v>-2.9904169999999999</v>
      </c>
      <c r="V1843">
        <v>3.3820120000000002E-2</v>
      </c>
      <c r="W1843">
        <v>-7.4457129999999996E-2</v>
      </c>
      <c r="X1843">
        <v>0.99665060000000005</v>
      </c>
      <c r="Y1843">
        <v>0.1118519</v>
      </c>
      <c r="Z1843">
        <v>3.9921720000000001E-2</v>
      </c>
      <c r="AA1843">
        <v>0.99292270000000005</v>
      </c>
      <c r="AB1843">
        <v>28</v>
      </c>
      <c r="AC1843">
        <v>-2.1723999999999801</v>
      </c>
      <c r="AD1843">
        <v>-1.1210229166768599</v>
      </c>
      <c r="AE1843">
        <v>-20.3491</v>
      </c>
      <c r="AF1843">
        <v>2.31383060706764</v>
      </c>
      <c r="AG1843">
        <v>-1.1210229166768599</v>
      </c>
      <c r="AH1843">
        <v>20.2718835672427</v>
      </c>
      <c r="AI1843">
        <v>93.144820654664301</v>
      </c>
      <c r="AJ1843">
        <v>83.488445648965893</v>
      </c>
      <c r="AK1843">
        <v>20.434279234212401</v>
      </c>
      <c r="AL1843">
        <v>94.270030752646903</v>
      </c>
      <c r="AM1843">
        <v>88.056483507701699</v>
      </c>
      <c r="AN1843">
        <v>1.0000000416024999</v>
      </c>
    </row>
    <row r="1844" spans="1:40" x14ac:dyDescent="0.25">
      <c r="A1844" t="str">
        <f>"20190303153810507"</f>
        <v>20190303153810507</v>
      </c>
      <c r="B1844" t="str">
        <f>"1551598690500603"</f>
        <v>1551598690500603</v>
      </c>
      <c r="C1844" t="s">
        <v>40</v>
      </c>
      <c r="D1844">
        <v>4.7150730000000003</v>
      </c>
      <c r="E1844">
        <v>0.53023319999999996</v>
      </c>
      <c r="F1844" t="s">
        <v>51</v>
      </c>
      <c r="G1844">
        <v>-193.32230000000001</v>
      </c>
      <c r="H1844" s="1">
        <v>1.9216900000000001E-7</v>
      </c>
      <c r="I1844">
        <v>298.52519999999998</v>
      </c>
      <c r="J1844">
        <v>-191.0881</v>
      </c>
      <c r="K1844">
        <v>1.1210119999999999</v>
      </c>
      <c r="L1844">
        <v>319.20710000000003</v>
      </c>
      <c r="M1844">
        <v>7.1659940000000002E-3</v>
      </c>
      <c r="N1844">
        <v>-1.4080479999999999E-2</v>
      </c>
      <c r="O1844">
        <v>-0.99987539999999997</v>
      </c>
      <c r="P1844">
        <v>-2.7428350000000001E-2</v>
      </c>
      <c r="Q1844">
        <v>-8.7946800000000006E-2</v>
      </c>
      <c r="R1844">
        <v>-0.99574770000000001</v>
      </c>
      <c r="S1844">
        <v>-0.31834410000000002</v>
      </c>
      <c r="T1844">
        <v>-0.15987179999999901</v>
      </c>
      <c r="U1844">
        <v>-2.990173</v>
      </c>
      <c r="V1844">
        <v>3.4544419999999999E-2</v>
      </c>
      <c r="W1844">
        <v>-7.3929729999999999E-2</v>
      </c>
      <c r="X1844">
        <v>0.99666500000000002</v>
      </c>
      <c r="Y1844">
        <v>0.112855</v>
      </c>
      <c r="Z1844">
        <v>3.8996280000000001E-2</v>
      </c>
      <c r="AA1844">
        <v>0.99284600000000001</v>
      </c>
      <c r="AB1844">
        <v>28</v>
      </c>
      <c r="AC1844">
        <v>-2.2342000000000102</v>
      </c>
      <c r="AD1844">
        <v>-1.1210118078309901</v>
      </c>
      <c r="AE1844">
        <v>-20.681899999999999</v>
      </c>
      <c r="AF1844">
        <v>2.3754652403717098</v>
      </c>
      <c r="AG1844">
        <v>-1.1210118078309901</v>
      </c>
      <c r="AH1844">
        <v>20.6055180266695</v>
      </c>
      <c r="AI1844">
        <v>93.093570780841603</v>
      </c>
      <c r="AJ1844">
        <v>83.423802954026698</v>
      </c>
      <c r="AK1844">
        <v>20.772262171677699</v>
      </c>
      <c r="AL1844">
        <v>94.2397295280051</v>
      </c>
      <c r="AM1844">
        <v>88.014922291594601</v>
      </c>
      <c r="AN1844">
        <v>1.0000000220780001</v>
      </c>
    </row>
    <row r="1845" spans="1:40" x14ac:dyDescent="0.25">
      <c r="A1845" t="str">
        <f>"20190303153810530"</f>
        <v>20190303153810530</v>
      </c>
      <c r="B1845" t="str">
        <f>"1551598690520123"</f>
        <v>1551598690520123</v>
      </c>
      <c r="C1845" t="s">
        <v>40</v>
      </c>
      <c r="D1845">
        <v>4.7387439999999996</v>
      </c>
      <c r="E1845">
        <v>0.5303348</v>
      </c>
      <c r="F1845" t="s">
        <v>51</v>
      </c>
      <c r="G1845">
        <v>-193.3835</v>
      </c>
      <c r="H1845" s="1">
        <v>3.0492039999999998E-7</v>
      </c>
      <c r="I1845">
        <v>297.89429999999999</v>
      </c>
      <c r="J1845">
        <v>-191.08619999999999</v>
      </c>
      <c r="K1845">
        <v>1.120984</v>
      </c>
      <c r="L1845">
        <v>318.91199999999998</v>
      </c>
      <c r="M1845">
        <v>7.0011229999999997E-3</v>
      </c>
      <c r="N1845">
        <v>-1.408221E-2</v>
      </c>
      <c r="O1845">
        <v>-0.99987630000000005</v>
      </c>
      <c r="P1845">
        <v>-2.817646E-2</v>
      </c>
      <c r="Q1845">
        <v>-8.9000780000000002E-2</v>
      </c>
      <c r="R1845">
        <v>-0.99563299999999999</v>
      </c>
      <c r="S1845">
        <v>-0.32202150000000002</v>
      </c>
      <c r="T1845">
        <v>-0.1572703</v>
      </c>
      <c r="U1845">
        <v>-2.9900509999999998</v>
      </c>
      <c r="V1845">
        <v>3.5123450000000001E-2</v>
      </c>
      <c r="W1845">
        <v>-7.4985399999999994E-2</v>
      </c>
      <c r="X1845">
        <v>0.9965659</v>
      </c>
      <c r="Y1845">
        <v>0.1139064</v>
      </c>
      <c r="Z1845">
        <v>3.8128570000000001E-2</v>
      </c>
      <c r="AA1845">
        <v>0.99275959999999996</v>
      </c>
      <c r="AB1845">
        <v>28</v>
      </c>
      <c r="AC1845">
        <v>-2.2972999999999999</v>
      </c>
      <c r="AD1845">
        <v>-1.1209836950795999</v>
      </c>
      <c r="AE1845">
        <v>-21.017700000000001</v>
      </c>
      <c r="AF1845">
        <v>2.43755367232523</v>
      </c>
      <c r="AG1845">
        <v>-1.1209836950795999</v>
      </c>
      <c r="AH1845">
        <v>20.942229618238901</v>
      </c>
      <c r="AI1845">
        <v>93.043464228512704</v>
      </c>
      <c r="AJ1845">
        <v>83.3609780479525</v>
      </c>
      <c r="AK1845">
        <v>21.1133903893511</v>
      </c>
      <c r="AL1845">
        <v>94.300383294825707</v>
      </c>
      <c r="AM1845">
        <v>87.981475377752901</v>
      </c>
      <c r="AN1845">
        <v>1.0000000299979299</v>
      </c>
    </row>
    <row r="1846" spans="1:40" x14ac:dyDescent="0.25">
      <c r="A1846" t="str">
        <f>"20190303153810552"</f>
        <v>20190303153810552</v>
      </c>
      <c r="B1846" t="str">
        <f>"1551598690540622"</f>
        <v>1551598690540622</v>
      </c>
      <c r="C1846" t="s">
        <v>40</v>
      </c>
      <c r="D1846">
        <v>4.7019029999999997</v>
      </c>
      <c r="E1846">
        <v>0.55383870000000002</v>
      </c>
      <c r="F1846" t="s">
        <v>51</v>
      </c>
      <c r="G1846">
        <v>-193.37569999999999</v>
      </c>
      <c r="H1846" s="1">
        <v>3.216483E-7</v>
      </c>
      <c r="I1846">
        <v>297.84890000000001</v>
      </c>
      <c r="J1846">
        <v>-191.08449999999999</v>
      </c>
      <c r="K1846">
        <v>1.12096</v>
      </c>
      <c r="L1846">
        <v>318.6429</v>
      </c>
      <c r="M1846">
        <v>6.8162709999999996E-3</v>
      </c>
      <c r="N1846">
        <v>-1.4086380000000001E-2</v>
      </c>
      <c r="O1846">
        <v>-0.99987749999999997</v>
      </c>
      <c r="P1846">
        <v>-2.8743109999999999E-2</v>
      </c>
      <c r="Q1846">
        <v>-9.0341889999999994E-2</v>
      </c>
      <c r="R1846">
        <v>-0.99549589999999999</v>
      </c>
      <c r="S1846">
        <v>-0.32498169999999998</v>
      </c>
      <c r="T1846">
        <v>-0.15911629999999999</v>
      </c>
      <c r="U1846">
        <v>-2.9897770000000001</v>
      </c>
      <c r="V1846">
        <v>3.5500440000000001E-2</v>
      </c>
      <c r="W1846">
        <v>-7.632622E-2</v>
      </c>
      <c r="X1846">
        <v>0.99645070000000002</v>
      </c>
      <c r="Y1846">
        <v>0.1147006</v>
      </c>
      <c r="Z1846">
        <v>3.8735579999999999E-2</v>
      </c>
      <c r="AA1846">
        <v>0.99264459999999999</v>
      </c>
      <c r="AB1846">
        <v>28</v>
      </c>
      <c r="AC1846">
        <v>-2.2911999999999999</v>
      </c>
      <c r="AD1846">
        <v>-1.1209596783517</v>
      </c>
      <c r="AE1846">
        <v>-20.793999999999901</v>
      </c>
      <c r="AF1846">
        <v>2.4259330420043601</v>
      </c>
      <c r="AG1846">
        <v>-1.1209596783517</v>
      </c>
      <c r="AH1846">
        <v>20.718411214176498</v>
      </c>
      <c r="AI1846">
        <v>93.075967510549205</v>
      </c>
      <c r="AJ1846">
        <v>83.321607677859205</v>
      </c>
      <c r="AK1846">
        <v>20.890051818138101</v>
      </c>
      <c r="AL1846">
        <v>94.377427630564796</v>
      </c>
      <c r="AM1846">
        <v>87.959592523504398</v>
      </c>
      <c r="AN1846">
        <v>0.99999998531508505</v>
      </c>
    </row>
    <row r="1847" spans="1:40" x14ac:dyDescent="0.25">
      <c r="A1847" t="str">
        <f>"20190303153810565"</f>
        <v>20190303153810565</v>
      </c>
      <c r="B1847" t="str">
        <f>"1551598690561115"</f>
        <v>1551598690561115</v>
      </c>
      <c r="C1847" t="s">
        <v>40</v>
      </c>
      <c r="D1847">
        <v>4.8023850000000001</v>
      </c>
      <c r="E1847">
        <v>0.56655349999999904</v>
      </c>
      <c r="F1847" t="s">
        <v>51</v>
      </c>
      <c r="G1847">
        <v>-196.04259999999999</v>
      </c>
      <c r="H1847" s="1">
        <v>2.396366E-6</v>
      </c>
      <c r="I1847">
        <v>289.78399999999999</v>
      </c>
      <c r="J1847">
        <v>-191.08330000000001</v>
      </c>
      <c r="K1847">
        <v>1.1209480000000001</v>
      </c>
      <c r="L1847">
        <v>318.45819999999998</v>
      </c>
      <c r="M1847">
        <v>6.6752799999999996E-3</v>
      </c>
      <c r="N1847">
        <v>-1.4106540000000001E-2</v>
      </c>
      <c r="O1847">
        <v>-0.9998783</v>
      </c>
      <c r="P1847">
        <v>-2.8651159999999998E-2</v>
      </c>
      <c r="Q1847">
        <v>-9.0635460000000001E-2</v>
      </c>
      <c r="R1847">
        <v>-0.99547209999999997</v>
      </c>
      <c r="S1847">
        <v>-0.5133972</v>
      </c>
      <c r="T1847">
        <v>-0.11607149999999999</v>
      </c>
      <c r="U1847">
        <v>-2.988251</v>
      </c>
      <c r="V1847">
        <v>3.5264869999999997E-2</v>
      </c>
      <c r="W1847">
        <v>-7.6601240000000001E-2</v>
      </c>
      <c r="X1847">
        <v>0.99643800000000005</v>
      </c>
      <c r="Y1847">
        <v>0.17578650000000001</v>
      </c>
      <c r="Z1847">
        <v>2.4122350000000001E-2</v>
      </c>
      <c r="AA1847">
        <v>0.98413269999999997</v>
      </c>
      <c r="AB1847">
        <v>28</v>
      </c>
      <c r="AC1847">
        <v>-4.9592999999999803</v>
      </c>
      <c r="AD1847">
        <v>-1.120945603634</v>
      </c>
      <c r="AE1847">
        <v>-28.6741999999999</v>
      </c>
      <c r="AF1847">
        <v>5.1429854820865097</v>
      </c>
      <c r="AG1847">
        <v>-1.120945603634</v>
      </c>
      <c r="AH1847">
        <v>28.598018230781101</v>
      </c>
      <c r="AI1847">
        <v>92.209246902262706</v>
      </c>
      <c r="AJ1847">
        <v>79.805065516086799</v>
      </c>
      <c r="AK1847">
        <v>29.078402044186401</v>
      </c>
      <c r="AL1847">
        <v>94.393231211575596</v>
      </c>
      <c r="AM1847">
        <v>87.973094897274606</v>
      </c>
      <c r="AN1847">
        <v>1.0000000244348199</v>
      </c>
    </row>
    <row r="1848" spans="1:40" x14ac:dyDescent="0.25">
      <c r="A1848" t="str">
        <f>"20190303153810584"</f>
        <v>20190303153810584</v>
      </c>
      <c r="B1848" t="str">
        <f>"1551598690580635"</f>
        <v>1551598690580635</v>
      </c>
      <c r="C1848" t="s">
        <v>40</v>
      </c>
      <c r="D1848">
        <v>4.8012430000000004</v>
      </c>
      <c r="E1848">
        <v>0.5725382</v>
      </c>
      <c r="F1848" t="s">
        <v>51</v>
      </c>
      <c r="G1848">
        <v>-196.37090000000001</v>
      </c>
      <c r="H1848" s="1">
        <v>1.522208E-6</v>
      </c>
      <c r="I1848">
        <v>292.77940000000001</v>
      </c>
      <c r="J1848">
        <v>-191.08199999999999</v>
      </c>
      <c r="K1848">
        <v>1.120938</v>
      </c>
      <c r="L1848">
        <v>318.23289999999997</v>
      </c>
      <c r="M1848">
        <v>6.4854730000000003E-3</v>
      </c>
      <c r="N1848">
        <v>-1.4148350000000001E-2</v>
      </c>
      <c r="O1848">
        <v>-0.99987919999999997</v>
      </c>
      <c r="P1848">
        <v>-2.848322E-2</v>
      </c>
      <c r="Q1848">
        <v>-9.0240200000000007E-2</v>
      </c>
      <c r="R1848">
        <v>-0.99551299999999998</v>
      </c>
      <c r="S1848">
        <v>-0.61445620000000001</v>
      </c>
      <c r="T1848">
        <v>-0.1302623</v>
      </c>
      <c r="U1848">
        <v>-2.98407</v>
      </c>
      <c r="V1848">
        <v>3.4904850000000001E-2</v>
      </c>
      <c r="W1848">
        <v>-7.6165170000000004E-2</v>
      </c>
      <c r="X1848">
        <v>0.99648409999999998</v>
      </c>
      <c r="Y1848">
        <v>0.20786450000000001</v>
      </c>
      <c r="Z1848">
        <v>2.8537710000000001E-2</v>
      </c>
      <c r="AA1848">
        <v>0.97774119999999998</v>
      </c>
      <c r="AB1848">
        <v>28</v>
      </c>
      <c r="AC1848">
        <v>-5.2889000000000097</v>
      </c>
      <c r="AD1848">
        <v>-1.1209364777919999</v>
      </c>
      <c r="AE1848">
        <v>-25.453499999999899</v>
      </c>
      <c r="AF1848">
        <v>5.4437625450768801</v>
      </c>
      <c r="AG1848">
        <v>-1.1209364777919999</v>
      </c>
      <c r="AH1848">
        <v>25.371491250777801</v>
      </c>
      <c r="AI1848">
        <v>92.473513081676401</v>
      </c>
      <c r="AJ1848">
        <v>77.890098734707493</v>
      </c>
      <c r="AK1848">
        <v>25.973132608961901</v>
      </c>
      <c r="AL1848">
        <v>94.368173047188506</v>
      </c>
      <c r="AM1848">
        <v>87.993863366486906</v>
      </c>
      <c r="AN1848">
        <v>1.0000000216137299</v>
      </c>
    </row>
    <row r="1849" spans="1:40" x14ac:dyDescent="0.25">
      <c r="A1849" t="str">
        <f>"20190303153810607"</f>
        <v>20190303153810607</v>
      </c>
      <c r="B1849" t="str">
        <f>"1551598690601131"</f>
        <v>1551598690601131</v>
      </c>
      <c r="C1849" t="s">
        <v>40</v>
      </c>
      <c r="D1849">
        <v>4.7949489999999999</v>
      </c>
      <c r="E1849">
        <v>0.5758392</v>
      </c>
      <c r="F1849" t="s">
        <v>51</v>
      </c>
      <c r="G1849">
        <v>-196.4881</v>
      </c>
      <c r="H1849" s="1">
        <v>1.3206319999999999E-6</v>
      </c>
      <c r="I1849">
        <v>293.86500000000001</v>
      </c>
      <c r="J1849">
        <v>-191.0805</v>
      </c>
      <c r="K1849">
        <v>1.120932</v>
      </c>
      <c r="L1849">
        <v>317.9504</v>
      </c>
      <c r="M1849">
        <v>6.219764E-3</v>
      </c>
      <c r="N1849">
        <v>-1.4238260000000001E-2</v>
      </c>
      <c r="O1849">
        <v>-0.99987930000000003</v>
      </c>
      <c r="P1849">
        <v>-2.783482E-2</v>
      </c>
      <c r="Q1849">
        <v>-8.9807410000000004E-2</v>
      </c>
      <c r="R1849">
        <v>-0.99556990000000001</v>
      </c>
      <c r="S1849">
        <v>-0.66159060000000003</v>
      </c>
      <c r="T1849">
        <v>-0.1371802</v>
      </c>
      <c r="U1849">
        <v>-2.9821469999999999</v>
      </c>
      <c r="V1849">
        <v>3.3987280000000002E-2</v>
      </c>
      <c r="W1849">
        <v>-7.5643790000000002E-2</v>
      </c>
      <c r="X1849">
        <v>0.99655550000000004</v>
      </c>
      <c r="Y1849">
        <v>0.22245909999999999</v>
      </c>
      <c r="Z1849">
        <v>3.0593229999999999E-2</v>
      </c>
      <c r="AA1849">
        <v>0.97446189999999999</v>
      </c>
      <c r="AB1849">
        <v>28</v>
      </c>
      <c r="AC1849">
        <v>-5.4076000000000004</v>
      </c>
      <c r="AD1849">
        <v>-1.1209306793680001</v>
      </c>
      <c r="AE1849">
        <v>-24.0854</v>
      </c>
      <c r="AF1849">
        <v>5.5458803843290196</v>
      </c>
      <c r="AG1849">
        <v>-1.1209306793680001</v>
      </c>
      <c r="AH1849">
        <v>24.001804554359602</v>
      </c>
      <c r="AI1849">
        <v>92.605335138302095</v>
      </c>
      <c r="AJ1849">
        <v>76.989513635880897</v>
      </c>
      <c r="AK1849">
        <v>24.659681601572</v>
      </c>
      <c r="AL1849">
        <v>94.338213875623197</v>
      </c>
      <c r="AM1849">
        <v>88.046698626999003</v>
      </c>
      <c r="AN1849">
        <v>0.99999999137380602</v>
      </c>
    </row>
    <row r="1850" spans="1:40" x14ac:dyDescent="0.25">
      <c r="A1850" t="str">
        <f>"20190303153810632"</f>
        <v>20190303153810632</v>
      </c>
      <c r="B1850" t="str">
        <f>"1551598690620651"</f>
        <v>1551598690620651</v>
      </c>
      <c r="C1850" t="s">
        <v>40</v>
      </c>
      <c r="D1850">
        <v>4.797466</v>
      </c>
      <c r="E1850">
        <v>0.57842990000000005</v>
      </c>
      <c r="F1850" t="s">
        <v>51</v>
      </c>
      <c r="G1850">
        <v>-196.55760000000001</v>
      </c>
      <c r="H1850" s="1">
        <v>1.2659499999999999E-6</v>
      </c>
      <c r="I1850">
        <v>294.1404</v>
      </c>
      <c r="J1850">
        <v>-191.07900000000001</v>
      </c>
      <c r="K1850">
        <v>1.1209439999999999</v>
      </c>
      <c r="L1850">
        <v>317.65159999999997</v>
      </c>
      <c r="M1850">
        <v>5.8896410000000001E-3</v>
      </c>
      <c r="N1850">
        <v>-1.4447359999999999E-2</v>
      </c>
      <c r="O1850">
        <v>-0.99987859999999995</v>
      </c>
      <c r="P1850">
        <v>-2.7770469999999998E-2</v>
      </c>
      <c r="Q1850">
        <v>-8.9722659999999996E-2</v>
      </c>
      <c r="R1850">
        <v>-0.99558000000000002</v>
      </c>
      <c r="S1850">
        <v>-0.68585209999999996</v>
      </c>
      <c r="T1850">
        <v>-0.14036419999999999</v>
      </c>
      <c r="U1850">
        <v>-2.981506</v>
      </c>
      <c r="V1850">
        <v>3.3589300000000002E-2</v>
      </c>
      <c r="W1850">
        <v>-7.5352420000000003E-2</v>
      </c>
      <c r="X1850">
        <v>0.99659109999999995</v>
      </c>
      <c r="Y1850">
        <v>0.22970779999999999</v>
      </c>
      <c r="Z1850">
        <v>3.1353319999999997E-2</v>
      </c>
      <c r="AA1850">
        <v>0.97275449999999997</v>
      </c>
      <c r="AB1850">
        <v>28</v>
      </c>
      <c r="AC1850">
        <v>-5.4786000000000001</v>
      </c>
      <c r="AD1850">
        <v>-1.12094273405</v>
      </c>
      <c r="AE1850">
        <v>-23.511199999999899</v>
      </c>
      <c r="AF1850">
        <v>5.6049075815304699</v>
      </c>
      <c r="AG1850">
        <v>-1.12094273405</v>
      </c>
      <c r="AH1850">
        <v>23.428010438145201</v>
      </c>
      <c r="AI1850">
        <v>92.664229264750503</v>
      </c>
      <c r="AJ1850">
        <v>76.545469318944498</v>
      </c>
      <c r="AK1850">
        <v>24.115206296035701</v>
      </c>
      <c r="AL1850">
        <v>94.321471678249694</v>
      </c>
      <c r="AM1850">
        <v>88.069622649566398</v>
      </c>
      <c r="AN1850">
        <v>1.0000000244367699</v>
      </c>
    </row>
    <row r="1851" spans="1:40" x14ac:dyDescent="0.25">
      <c r="A1851" t="str">
        <f>"20190303153810652"</f>
        <v>20190303153810652</v>
      </c>
      <c r="B1851" t="str">
        <f>"1551598690640171"</f>
        <v>1551598690640171</v>
      </c>
      <c r="C1851" t="s">
        <v>40</v>
      </c>
      <c r="D1851">
        <v>4.799957</v>
      </c>
      <c r="E1851">
        <v>0.58017379999999996</v>
      </c>
      <c r="F1851" t="s">
        <v>51</v>
      </c>
      <c r="G1851">
        <v>-196.63589999999999</v>
      </c>
      <c r="H1851" s="1">
        <v>1.2489039999999999E-6</v>
      </c>
      <c r="I1851">
        <v>294.19779999999997</v>
      </c>
      <c r="J1851">
        <v>-191.0778</v>
      </c>
      <c r="K1851">
        <v>1.120984</v>
      </c>
      <c r="L1851">
        <v>317.38850000000002</v>
      </c>
      <c r="M1851">
        <v>5.5597349999999997E-3</v>
      </c>
      <c r="N1851">
        <v>-1.473497E-2</v>
      </c>
      <c r="O1851">
        <v>-0.99987599999999999</v>
      </c>
      <c r="P1851">
        <v>-2.851882E-2</v>
      </c>
      <c r="Q1851">
        <v>-8.9977959999999996E-2</v>
      </c>
      <c r="R1851">
        <v>-0.99553530000000001</v>
      </c>
      <c r="S1851">
        <v>-0.70622249999999998</v>
      </c>
      <c r="T1851">
        <v>-0.1424607</v>
      </c>
      <c r="U1851">
        <v>-2.9807429999999999</v>
      </c>
      <c r="V1851">
        <v>3.4005050000000002E-2</v>
      </c>
      <c r="W1851">
        <v>-7.5323639999999997E-2</v>
      </c>
      <c r="X1851">
        <v>0.9965792</v>
      </c>
      <c r="Y1851">
        <v>0.235732</v>
      </c>
      <c r="Z1851">
        <v>3.16911E-2</v>
      </c>
      <c r="AA1851">
        <v>0.97130130000000003</v>
      </c>
      <c r="AB1851">
        <v>28</v>
      </c>
      <c r="AC1851">
        <v>-5.5580999999999898</v>
      </c>
      <c r="AD1851">
        <v>-1.120982751096</v>
      </c>
      <c r="AE1851">
        <v>-23.1907</v>
      </c>
      <c r="AF1851">
        <v>5.6744240089651798</v>
      </c>
      <c r="AG1851">
        <v>-1.120982751096</v>
      </c>
      <c r="AH1851">
        <v>23.108376293149998</v>
      </c>
      <c r="AI1851">
        <v>92.697224712954494</v>
      </c>
      <c r="AJ1851">
        <v>76.203595536244293</v>
      </c>
      <c r="AK1851">
        <v>23.821266655398301</v>
      </c>
      <c r="AL1851">
        <v>94.319817904035105</v>
      </c>
      <c r="AM1851">
        <v>88.045724589819997</v>
      </c>
      <c r="AN1851">
        <v>1.00000004802049</v>
      </c>
    </row>
    <row r="1852" spans="1:40" x14ac:dyDescent="0.25">
      <c r="A1852" t="str">
        <f>"20190303153810674"</f>
        <v>20190303153810674</v>
      </c>
      <c r="B1852" t="str">
        <f>"1551598690670427"</f>
        <v>1551598690670427</v>
      </c>
      <c r="C1852" t="s">
        <v>40</v>
      </c>
      <c r="D1852">
        <v>4.845834</v>
      </c>
      <c r="E1852">
        <v>0.58216599999999996</v>
      </c>
      <c r="F1852" t="s">
        <v>51</v>
      </c>
      <c r="G1852">
        <v>-196.51689999999999</v>
      </c>
      <c r="H1852" s="1">
        <v>1.060835E-6</v>
      </c>
      <c r="I1852">
        <v>294.96969999999999</v>
      </c>
      <c r="J1852">
        <v>-191.07669999999999</v>
      </c>
      <c r="K1852">
        <v>1.121041</v>
      </c>
      <c r="L1852">
        <v>317.12630000000001</v>
      </c>
      <c r="M1852">
        <v>5.206029E-3</v>
      </c>
      <c r="N1852">
        <v>-1.510297E-2</v>
      </c>
      <c r="O1852">
        <v>-0.99987219999999999</v>
      </c>
      <c r="P1852">
        <v>-3.0024100000000001E-2</v>
      </c>
      <c r="Q1852">
        <v>-9.1594239999999993E-2</v>
      </c>
      <c r="R1852">
        <v>-0.9953436</v>
      </c>
      <c r="S1852">
        <v>-0.72280880000000003</v>
      </c>
      <c r="T1852">
        <v>-0.14896770000000001</v>
      </c>
      <c r="U1852">
        <v>-2.9792480000000001</v>
      </c>
      <c r="V1852">
        <v>3.5153169999999997E-2</v>
      </c>
      <c r="W1852">
        <v>-7.657804E-2</v>
      </c>
      <c r="X1852">
        <v>0.99644370000000004</v>
      </c>
      <c r="Y1852">
        <v>0.24058560000000001</v>
      </c>
      <c r="Z1852">
        <v>3.3403699999999897E-2</v>
      </c>
      <c r="AA1852">
        <v>0.97005300000000005</v>
      </c>
      <c r="AB1852">
        <v>28</v>
      </c>
      <c r="AC1852">
        <v>-5.4401999999999999</v>
      </c>
      <c r="AD1852">
        <v>-1.1210399391650001</v>
      </c>
      <c r="AE1852">
        <v>-22.156600000000001</v>
      </c>
      <c r="AF1852">
        <v>5.5421063793708996</v>
      </c>
      <c r="AG1852">
        <v>-1.1210399391650001</v>
      </c>
      <c r="AH1852">
        <v>22.0746770982744</v>
      </c>
      <c r="AI1852">
        <v>92.819845721185303</v>
      </c>
      <c r="AJ1852">
        <v>75.906517184964301</v>
      </c>
      <c r="AK1852">
        <v>22.787343914079699</v>
      </c>
      <c r="AL1852">
        <v>94.391898165658105</v>
      </c>
      <c r="AM1852">
        <v>87.979521252997799</v>
      </c>
      <c r="AN1852">
        <v>0.99999999442049003</v>
      </c>
    </row>
    <row r="1853" spans="1:40" x14ac:dyDescent="0.25">
      <c r="A1853" t="str">
        <f>"20190303153810696"</f>
        <v>20190303153810696</v>
      </c>
      <c r="B1853" t="str">
        <f>"1551598690690923"</f>
        <v>1551598690690923</v>
      </c>
      <c r="C1853" t="s">
        <v>40</v>
      </c>
      <c r="D1853">
        <v>4.8528820000000001</v>
      </c>
      <c r="E1853">
        <v>0.58303389999999999</v>
      </c>
      <c r="F1853" t="s">
        <v>51</v>
      </c>
      <c r="G1853">
        <v>-196.2706</v>
      </c>
      <c r="H1853" s="1">
        <v>6.0113349999999897E-7</v>
      </c>
      <c r="I1853">
        <v>296.33190000000002</v>
      </c>
      <c r="J1853">
        <v>-191.07570000000001</v>
      </c>
      <c r="K1853">
        <v>1.1211150000000001</v>
      </c>
      <c r="L1853">
        <v>316.84379999999999</v>
      </c>
      <c r="M1853">
        <v>4.8093820000000001E-3</v>
      </c>
      <c r="N1853">
        <v>-1.5557130000000001E-2</v>
      </c>
      <c r="O1853">
        <v>-0.99986750000000002</v>
      </c>
      <c r="P1853">
        <v>-3.0981749999999999E-2</v>
      </c>
      <c r="Q1853">
        <v>-9.3191769999999993E-2</v>
      </c>
      <c r="R1853">
        <v>-0.99516640000000001</v>
      </c>
      <c r="S1853">
        <v>-0.74353029999999998</v>
      </c>
      <c r="T1853">
        <v>-0.16048399999999999</v>
      </c>
      <c r="U1853">
        <v>-2.9768370000000002</v>
      </c>
      <c r="V1853">
        <v>3.5711909999999999E-2</v>
      </c>
      <c r="W1853">
        <v>-7.7726899999999904E-2</v>
      </c>
      <c r="X1853">
        <v>0.99633490000000002</v>
      </c>
      <c r="Y1853">
        <v>0.2466999</v>
      </c>
      <c r="Z1853">
        <v>3.6649729999999998E-2</v>
      </c>
      <c r="AA1853">
        <v>0.9683986</v>
      </c>
      <c r="AB1853">
        <v>28</v>
      </c>
      <c r="AC1853">
        <v>-5.1948999999999899</v>
      </c>
      <c r="AD1853">
        <v>-1.12111439886649</v>
      </c>
      <c r="AE1853">
        <v>-20.511899999999901</v>
      </c>
      <c r="AF1853">
        <v>5.2786825657429999</v>
      </c>
      <c r="AG1853">
        <v>-1.12111439886649</v>
      </c>
      <c r="AH1853">
        <v>20.429324241706201</v>
      </c>
      <c r="AI1853">
        <v>93.041418468712706</v>
      </c>
      <c r="AJ1853">
        <v>75.512355674598396</v>
      </c>
      <c r="AK1853">
        <v>21.130042027832999</v>
      </c>
      <c r="AL1853">
        <v>94.457919665031199</v>
      </c>
      <c r="AM1853">
        <v>87.9472101776595</v>
      </c>
      <c r="AN1853">
        <v>1.00000002222873</v>
      </c>
    </row>
    <row r="1854" spans="1:40" x14ac:dyDescent="0.25">
      <c r="A1854" t="str">
        <f>"20190303153810711"</f>
        <v>20190303153810711</v>
      </c>
      <c r="B1854" t="str">
        <f>"1551598690700683"</f>
        <v>1551598690700683</v>
      </c>
      <c r="C1854" t="s">
        <v>40</v>
      </c>
      <c r="D1854">
        <v>4.8426140000000002</v>
      </c>
      <c r="E1854">
        <v>0.58336030000000005</v>
      </c>
      <c r="F1854" t="s">
        <v>51</v>
      </c>
      <c r="G1854">
        <v>-196.0838</v>
      </c>
      <c r="H1854" s="1">
        <v>4.4875289999999998E-7</v>
      </c>
      <c r="I1854">
        <v>297.06830000000002</v>
      </c>
      <c r="J1854">
        <v>-191.07509999999999</v>
      </c>
      <c r="K1854">
        <v>1.121178</v>
      </c>
      <c r="L1854">
        <v>316.66449999999998</v>
      </c>
      <c r="M1854">
        <v>4.5557080000000003E-3</v>
      </c>
      <c r="N1854">
        <v>-1.588212E-2</v>
      </c>
      <c r="O1854">
        <v>-0.99986370000000002</v>
      </c>
      <c r="P1854">
        <v>-3.1106000000000002E-2</v>
      </c>
      <c r="Q1854">
        <v>-9.3351870000000003E-2</v>
      </c>
      <c r="R1854">
        <v>-0.99514749999999996</v>
      </c>
      <c r="S1854">
        <v>-0.75349429999999995</v>
      </c>
      <c r="T1854">
        <v>-0.1686761</v>
      </c>
      <c r="U1854">
        <v>-2.975311</v>
      </c>
      <c r="V1854">
        <v>3.5582860000000001E-2</v>
      </c>
      <c r="W1854">
        <v>-7.7563640000000003E-2</v>
      </c>
      <c r="X1854">
        <v>0.99635220000000002</v>
      </c>
      <c r="Y1854">
        <v>0.24958820000000001</v>
      </c>
      <c r="Z1854">
        <v>3.8968419999999997E-2</v>
      </c>
      <c r="AA1854">
        <v>0.96756770000000003</v>
      </c>
      <c r="AB1854">
        <v>27</v>
      </c>
      <c r="AC1854">
        <v>-5.0087000000000002</v>
      </c>
      <c r="AD1854">
        <v>-1.1211775512471001</v>
      </c>
      <c r="AE1854">
        <v>-19.5961999999999</v>
      </c>
      <c r="AF1854">
        <v>5.0823173410666502</v>
      </c>
      <c r="AG1854">
        <v>-1.1211775512471001</v>
      </c>
      <c r="AH1854">
        <v>19.5132171264083</v>
      </c>
      <c r="AI1854">
        <v>93.182502353054602</v>
      </c>
      <c r="AJ1854">
        <v>75.401361115571504</v>
      </c>
      <c r="AK1854">
        <v>20.195361627836299</v>
      </c>
      <c r="AL1854">
        <v>94.448537409094399</v>
      </c>
      <c r="AM1854">
        <v>87.954657394159895</v>
      </c>
      <c r="AN1854">
        <v>0.99999998231033405</v>
      </c>
    </row>
    <row r="1855" spans="1:40" x14ac:dyDescent="0.25">
      <c r="A1855" t="str">
        <f>"20190303153810730"</f>
        <v>20190303153810730</v>
      </c>
      <c r="B1855" t="str">
        <f>"1551598690720207"</f>
        <v>1551598690720207</v>
      </c>
      <c r="C1855" t="s">
        <v>40</v>
      </c>
      <c r="D1855">
        <v>4.8404170000000004</v>
      </c>
      <c r="E1855">
        <v>0.58420309999999998</v>
      </c>
      <c r="F1855" t="s">
        <v>51</v>
      </c>
      <c r="G1855">
        <v>-196.0849</v>
      </c>
      <c r="H1855" s="1">
        <v>4.6872280000000002E-7</v>
      </c>
      <c r="I1855">
        <v>296.95490000000001</v>
      </c>
      <c r="J1855">
        <v>-191.0744</v>
      </c>
      <c r="K1855">
        <v>1.121289</v>
      </c>
      <c r="L1855">
        <v>316.42959999999999</v>
      </c>
      <c r="M1855">
        <v>4.2247760000000004E-3</v>
      </c>
      <c r="N1855">
        <v>-1.635491E-2</v>
      </c>
      <c r="O1855">
        <v>-0.99985749999999995</v>
      </c>
      <c r="P1855">
        <v>-3.0045329999999999E-2</v>
      </c>
      <c r="Q1855">
        <v>-9.1147439999999996E-2</v>
      </c>
      <c r="R1855">
        <v>-0.99538459999999995</v>
      </c>
      <c r="S1855">
        <v>-0.75622559999999905</v>
      </c>
      <c r="T1855">
        <v>-0.1692398</v>
      </c>
      <c r="U1855">
        <v>-2.9751280000000002</v>
      </c>
      <c r="V1855">
        <v>3.4195650000000001E-2</v>
      </c>
      <c r="W1855">
        <v>-7.48833E-2</v>
      </c>
      <c r="X1855">
        <v>0.99660579999999999</v>
      </c>
      <c r="Y1855">
        <v>0.25011349999999999</v>
      </c>
      <c r="Z1855">
        <v>3.8672650000000003E-2</v>
      </c>
      <c r="AA1855">
        <v>0.96744390000000002</v>
      </c>
      <c r="AB1855">
        <v>27</v>
      </c>
      <c r="AC1855">
        <v>-5.0105000000000004</v>
      </c>
      <c r="AD1855">
        <v>-1.1212885312772001</v>
      </c>
      <c r="AE1855">
        <v>-19.474699999999899</v>
      </c>
      <c r="AF1855">
        <v>5.0769569366451703</v>
      </c>
      <c r="AG1855">
        <v>-1.1212885312772001</v>
      </c>
      <c r="AH1855">
        <v>19.393057054838099</v>
      </c>
      <c r="AI1855">
        <v>93.201452006602096</v>
      </c>
      <c r="AJ1855">
        <v>75.329626144883306</v>
      </c>
      <c r="AK1855">
        <v>20.0779341974998</v>
      </c>
      <c r="AL1855">
        <v>94.294517092336704</v>
      </c>
      <c r="AM1855">
        <v>88.034831755748399</v>
      </c>
      <c r="AN1855">
        <v>0.99999998584572602</v>
      </c>
    </row>
    <row r="1856" spans="1:40" x14ac:dyDescent="0.25">
      <c r="A1856" t="str">
        <f>"20190303153810752"</f>
        <v>20190303153810752</v>
      </c>
      <c r="B1856" t="str">
        <f>"1551598690740699"</f>
        <v>1551598690740699</v>
      </c>
      <c r="C1856" t="s">
        <v>40</v>
      </c>
      <c r="D1856">
        <v>4.825196</v>
      </c>
      <c r="E1856">
        <v>0.58474969999999904</v>
      </c>
      <c r="F1856" t="s">
        <v>51</v>
      </c>
      <c r="G1856">
        <v>-196.3038</v>
      </c>
      <c r="H1856" s="1">
        <v>7.3405100000000001E-7</v>
      </c>
      <c r="I1856">
        <v>295.94760000000002</v>
      </c>
      <c r="J1856">
        <v>-191.0737</v>
      </c>
      <c r="K1856">
        <v>1.12141</v>
      </c>
      <c r="L1856">
        <v>316.17360000000002</v>
      </c>
      <c r="M1856">
        <v>3.8668629999999999E-3</v>
      </c>
      <c r="N1856">
        <v>-1.6889520000000002E-2</v>
      </c>
      <c r="O1856">
        <v>-0.99985009999999996</v>
      </c>
      <c r="P1856">
        <v>-2.9446409999999999E-2</v>
      </c>
      <c r="Q1856">
        <v>-8.6063710000000002E-2</v>
      </c>
      <c r="R1856">
        <v>-0.99585449999999998</v>
      </c>
      <c r="S1856">
        <v>-0.75984189999999996</v>
      </c>
      <c r="T1856">
        <v>-0.16292509999999999</v>
      </c>
      <c r="U1856">
        <v>-2.9760740000000001</v>
      </c>
      <c r="V1856">
        <v>3.3246940000000003E-2</v>
      </c>
      <c r="W1856">
        <v>-6.925829E-2</v>
      </c>
      <c r="X1856">
        <v>0.99704459999999995</v>
      </c>
      <c r="Y1856">
        <v>0.25081969999999998</v>
      </c>
      <c r="Z1856">
        <v>3.6061540000000003E-2</v>
      </c>
      <c r="AA1856">
        <v>0.9673619</v>
      </c>
      <c r="AB1856">
        <v>27</v>
      </c>
      <c r="AC1856">
        <v>-5.2300999999999904</v>
      </c>
      <c r="AD1856">
        <v>-1.121409265949</v>
      </c>
      <c r="AE1856">
        <v>-20.225999999999999</v>
      </c>
      <c r="AF1856">
        <v>5.2930320251402101</v>
      </c>
      <c r="AG1856">
        <v>-1.121409265949</v>
      </c>
      <c r="AH1856">
        <v>20.147569217241401</v>
      </c>
      <c r="AI1856">
        <v>93.081431808280996</v>
      </c>
      <c r="AJ1856">
        <v>75.280269646593297</v>
      </c>
      <c r="AK1856">
        <v>20.8614067628348</v>
      </c>
      <c r="AL1856">
        <v>93.971386963093707</v>
      </c>
      <c r="AM1856">
        <v>88.090151857062295</v>
      </c>
      <c r="AN1856">
        <v>1.0000000020711199</v>
      </c>
    </row>
    <row r="1857" spans="1:40" x14ac:dyDescent="0.25">
      <c r="A1857" t="str">
        <f>"20190303153810773"</f>
        <v>20190303153810773</v>
      </c>
      <c r="B1857" t="str">
        <f>"1551598690770955"</f>
        <v>1551598690770955</v>
      </c>
      <c r="C1857" t="s">
        <v>40</v>
      </c>
      <c r="D1857">
        <v>4.8173859999999999</v>
      </c>
      <c r="E1857">
        <v>0.58543279999999998</v>
      </c>
      <c r="F1857" t="s">
        <v>51</v>
      </c>
      <c r="G1857">
        <v>-196.7619</v>
      </c>
      <c r="H1857" s="1">
        <v>1.2797020000000001E-6</v>
      </c>
      <c r="I1857">
        <v>293.95949999999999</v>
      </c>
      <c r="J1857">
        <v>-191.07310000000001</v>
      </c>
      <c r="K1857">
        <v>1.1215189999999999</v>
      </c>
      <c r="L1857">
        <v>315.91559999999998</v>
      </c>
      <c r="M1857">
        <v>3.5117410000000001E-3</v>
      </c>
      <c r="N1857">
        <v>-1.7419069999999998E-2</v>
      </c>
      <c r="O1857">
        <v>-0.99984200000000001</v>
      </c>
      <c r="P1857">
        <v>-2.9209450000000001E-2</v>
      </c>
      <c r="Q1857">
        <v>-8.0781530000000004E-2</v>
      </c>
      <c r="R1857">
        <v>-0.99630350000000001</v>
      </c>
      <c r="S1857">
        <v>-0.7622833</v>
      </c>
      <c r="T1857">
        <v>-0.15028239999999901</v>
      </c>
      <c r="U1857">
        <v>-2.9769589999999999</v>
      </c>
      <c r="V1857">
        <v>3.2662879999999998E-2</v>
      </c>
      <c r="W1857">
        <v>-6.3440049999999998E-2</v>
      </c>
      <c r="X1857">
        <v>0.99745099999999998</v>
      </c>
      <c r="Y1857">
        <v>0.25119360000000002</v>
      </c>
      <c r="Z1857">
        <v>3.1410710000000001E-2</v>
      </c>
      <c r="AA1857">
        <v>0.96742709999999998</v>
      </c>
      <c r="AB1857">
        <v>27</v>
      </c>
      <c r="AC1857">
        <v>-5.6887999999999801</v>
      </c>
      <c r="AD1857">
        <v>-1.121517720298</v>
      </c>
      <c r="AE1857">
        <v>-21.9560999999999</v>
      </c>
      <c r="AF1857">
        <v>5.7518174078469704</v>
      </c>
      <c r="AG1857">
        <v>-1.121517720298</v>
      </c>
      <c r="AH1857">
        <v>21.882480692475799</v>
      </c>
      <c r="AI1857">
        <v>92.837721138046007</v>
      </c>
      <c r="AJ1857">
        <v>75.272918905778099</v>
      </c>
      <c r="AK1857">
        <v>22.653568521244701</v>
      </c>
      <c r="AL1857">
        <v>93.637289699951296</v>
      </c>
      <c r="AM1857">
        <v>88.124442534746507</v>
      </c>
      <c r="AN1857">
        <v>1.0000000005374401</v>
      </c>
    </row>
    <row r="1858" spans="1:40" x14ac:dyDescent="0.25">
      <c r="A1858" t="str">
        <f>"20190303153810797"</f>
        <v>20190303153810797</v>
      </c>
      <c r="B1858" t="str">
        <f>"1551598690790476"</f>
        <v>1551598690790476</v>
      </c>
      <c r="C1858" t="s">
        <v>40</v>
      </c>
      <c r="D1858">
        <v>4.8149509999999998</v>
      </c>
      <c r="E1858">
        <v>0.58616190000000001</v>
      </c>
      <c r="F1858" t="s">
        <v>51</v>
      </c>
      <c r="G1858">
        <v>-197.35120000000001</v>
      </c>
      <c r="H1858" s="1">
        <v>1.6521400000000001E-6</v>
      </c>
      <c r="I1858">
        <v>291.548</v>
      </c>
      <c r="J1858">
        <v>-191.07259999999999</v>
      </c>
      <c r="K1858">
        <v>1.1215980000000001</v>
      </c>
      <c r="L1858">
        <v>315.6431</v>
      </c>
      <c r="M1858">
        <v>3.1418309999999999E-3</v>
      </c>
      <c r="N1858">
        <v>-1.7959920000000001E-2</v>
      </c>
      <c r="O1858">
        <v>-0.99983409999999995</v>
      </c>
      <c r="P1858">
        <v>-2.923953E-2</v>
      </c>
      <c r="Q1858">
        <v>-7.622901E-2</v>
      </c>
      <c r="R1858">
        <v>-0.99666180000000004</v>
      </c>
      <c r="S1858">
        <v>-0.76713560000000003</v>
      </c>
      <c r="T1858">
        <v>-0.137042</v>
      </c>
      <c r="U1858">
        <v>-2.9775700000000001</v>
      </c>
      <c r="V1858">
        <v>3.2329879999999998E-2</v>
      </c>
      <c r="W1858">
        <v>-5.8341419999999998E-2</v>
      </c>
      <c r="X1858">
        <v>0.99777309999999997</v>
      </c>
      <c r="Y1858">
        <v>0.25230520000000001</v>
      </c>
      <c r="Z1858">
        <v>2.6551140000000001E-2</v>
      </c>
      <c r="AA1858">
        <v>0.96728340000000002</v>
      </c>
      <c r="AB1858">
        <v>27</v>
      </c>
      <c r="AC1858">
        <v>-6.2786000000000097</v>
      </c>
      <c r="AD1858">
        <v>-1.12159634786</v>
      </c>
      <c r="AE1858">
        <v>-24.095099999999999</v>
      </c>
      <c r="AF1858">
        <v>6.3414170917098502</v>
      </c>
      <c r="AG1858">
        <v>-1.12159634786</v>
      </c>
      <c r="AH1858">
        <v>24.026501435097401</v>
      </c>
      <c r="AI1858">
        <v>92.584347308665599</v>
      </c>
      <c r="AJ1858">
        <v>75.214843173808703</v>
      </c>
      <c r="AK1858">
        <v>24.874571761324901</v>
      </c>
      <c r="AL1858">
        <v>93.344616156808598</v>
      </c>
      <c r="AM1858">
        <v>88.144149383306996</v>
      </c>
      <c r="AN1858">
        <v>1.0000000507560101</v>
      </c>
    </row>
    <row r="1859" spans="1:40" x14ac:dyDescent="0.25">
      <c r="A1859" t="str">
        <f>"20190303153810820"</f>
        <v>20190303153810820</v>
      </c>
      <c r="B1859" t="str">
        <f>"1551598690810971"</f>
        <v>1551598690810971</v>
      </c>
      <c r="C1859" t="s">
        <v>40</v>
      </c>
      <c r="D1859">
        <v>4.780818</v>
      </c>
      <c r="E1859">
        <v>0.58701380000000003</v>
      </c>
      <c r="F1859" t="s">
        <v>51</v>
      </c>
      <c r="G1859">
        <v>-198.0307</v>
      </c>
      <c r="H1859" s="1">
        <v>2.170731E-6</v>
      </c>
      <c r="I1859">
        <v>288.84129999999999</v>
      </c>
      <c r="J1859">
        <v>-191.07220000000001</v>
      </c>
      <c r="K1859">
        <v>1.1216569999999999</v>
      </c>
      <c r="L1859">
        <v>315.36180000000002</v>
      </c>
      <c r="M1859">
        <v>2.7559709999999999E-3</v>
      </c>
      <c r="N1859">
        <v>-1.849344E-2</v>
      </c>
      <c r="O1859">
        <v>-0.99982519999999997</v>
      </c>
      <c r="P1859">
        <v>-2.8864910000000001E-2</v>
      </c>
      <c r="Q1859">
        <v>-7.5850349999999997E-2</v>
      </c>
      <c r="R1859">
        <v>-0.99670130000000001</v>
      </c>
      <c r="S1859">
        <v>-0.77308650000000001</v>
      </c>
      <c r="T1859">
        <v>-0.1246163</v>
      </c>
      <c r="U1859">
        <v>-2.9778440000000002</v>
      </c>
      <c r="V1859">
        <v>3.1571660000000001E-2</v>
      </c>
      <c r="W1859">
        <v>-5.7428760000000002E-2</v>
      </c>
      <c r="X1859">
        <v>0.99785029999999997</v>
      </c>
      <c r="Y1859">
        <v>0.25375300000000001</v>
      </c>
      <c r="Z1859">
        <v>2.1966159999999998E-2</v>
      </c>
      <c r="AA1859">
        <v>0.96701959999999998</v>
      </c>
      <c r="AB1859">
        <v>27</v>
      </c>
      <c r="AC1859">
        <v>-6.9584999999999804</v>
      </c>
      <c r="AD1859">
        <v>-1.1216548292689901</v>
      </c>
      <c r="AE1859">
        <v>-26.520499999999998</v>
      </c>
      <c r="AF1859">
        <v>7.0198277096841402</v>
      </c>
      <c r="AG1859">
        <v>-1.1216548292689901</v>
      </c>
      <c r="AH1859">
        <v>26.456941335017</v>
      </c>
      <c r="AI1859">
        <v>92.346530692181204</v>
      </c>
      <c r="AJ1859">
        <v>75.140092336514797</v>
      </c>
      <c r="AK1859">
        <v>27.395361567867699</v>
      </c>
      <c r="AL1859">
        <v>93.292236843768194</v>
      </c>
      <c r="AM1859">
        <v>88.187784667098398</v>
      </c>
      <c r="AN1859">
        <v>1.0000000267001901</v>
      </c>
    </row>
    <row r="1860" spans="1:40" x14ac:dyDescent="0.25">
      <c r="A1860" t="str">
        <f>"20190303153810844"</f>
        <v>20190303153810844</v>
      </c>
      <c r="B1860" t="str">
        <f>"1551598690840252"</f>
        <v>1551598690840252</v>
      </c>
      <c r="C1860" t="s">
        <v>40</v>
      </c>
      <c r="D1860">
        <v>4.7557470000000004</v>
      </c>
      <c r="E1860">
        <v>0.58825209999999895</v>
      </c>
      <c r="F1860" t="s">
        <v>51</v>
      </c>
      <c r="G1860">
        <v>-198.17080000000001</v>
      </c>
      <c r="H1860" s="1">
        <v>2.2000589999999998E-6</v>
      </c>
      <c r="I1860">
        <v>288.22149999999999</v>
      </c>
      <c r="J1860">
        <v>-191.0719</v>
      </c>
      <c r="K1860">
        <v>1.1216740000000001</v>
      </c>
      <c r="L1860">
        <v>315.09100000000001</v>
      </c>
      <c r="M1860">
        <v>2.3636389999999998E-3</v>
      </c>
      <c r="N1860">
        <v>-1.8969750000000001E-2</v>
      </c>
      <c r="O1860">
        <v>-0.99981770000000003</v>
      </c>
      <c r="P1860">
        <v>-2.879456E-2</v>
      </c>
      <c r="Q1860">
        <v>-7.9193399999999997E-2</v>
      </c>
      <c r="R1860">
        <v>-0.99644350000000004</v>
      </c>
      <c r="S1860">
        <v>-0.77891540000000004</v>
      </c>
      <c r="T1860">
        <v>-0.123076</v>
      </c>
      <c r="U1860">
        <v>-2.978027</v>
      </c>
      <c r="V1860">
        <v>3.1106620000000001E-2</v>
      </c>
      <c r="W1860">
        <v>-6.0300680000000002E-2</v>
      </c>
      <c r="X1860">
        <v>0.99769540000000001</v>
      </c>
      <c r="Y1860">
        <v>0.25513229999999998</v>
      </c>
      <c r="Z1860">
        <v>2.0971730000000001E-2</v>
      </c>
      <c r="AA1860">
        <v>0.9666787</v>
      </c>
      <c r="AB1860">
        <v>26</v>
      </c>
      <c r="AC1860">
        <v>-7.0989000000000102</v>
      </c>
      <c r="AD1860">
        <v>-1.121671799941</v>
      </c>
      <c r="AE1860">
        <v>-26.869499999999999</v>
      </c>
      <c r="AF1860">
        <v>7.1507531013493599</v>
      </c>
      <c r="AG1860">
        <v>-1.121671799941</v>
      </c>
      <c r="AH1860">
        <v>26.808972031102702</v>
      </c>
      <c r="AI1860">
        <v>92.314982756984705</v>
      </c>
      <c r="AJ1860">
        <v>75.065203052212297</v>
      </c>
      <c r="AK1860">
        <v>27.768910653961299</v>
      </c>
      <c r="AL1860">
        <v>93.457071877251096</v>
      </c>
      <c r="AM1860">
        <v>88.214183545727096</v>
      </c>
      <c r="AN1860">
        <v>0.99999995249872198</v>
      </c>
    </row>
    <row r="1861" spans="1:40" x14ac:dyDescent="0.25">
      <c r="A1861" t="str">
        <f>"20190303153810865"</f>
        <v>20190303153810865</v>
      </c>
      <c r="B1861" t="str">
        <f>"1551598690860747"</f>
        <v>1551598690860747</v>
      </c>
      <c r="C1861" t="s">
        <v>40</v>
      </c>
      <c r="D1861">
        <v>4.6840109999999999</v>
      </c>
      <c r="E1861">
        <v>0.58806569999999903</v>
      </c>
      <c r="F1861" t="s">
        <v>51</v>
      </c>
      <c r="G1861">
        <v>-197.6987</v>
      </c>
      <c r="H1861" s="1">
        <v>2.0014980000000002E-6</v>
      </c>
      <c r="I1861">
        <v>290.07</v>
      </c>
      <c r="J1861">
        <v>-191.0718</v>
      </c>
      <c r="K1861">
        <v>1.1216630000000001</v>
      </c>
      <c r="L1861">
        <v>314.83920000000001</v>
      </c>
      <c r="M1861">
        <v>1.9568699999999999E-3</v>
      </c>
      <c r="N1861">
        <v>-1.9364820000000001E-2</v>
      </c>
      <c r="O1861">
        <v>-0.99981050000000005</v>
      </c>
      <c r="P1861">
        <v>-2.8930359999999999E-2</v>
      </c>
      <c r="Q1861">
        <v>-8.3763539999999997E-2</v>
      </c>
      <c r="R1861">
        <v>-0.9960658</v>
      </c>
      <c r="S1861">
        <v>-0.78854369999999996</v>
      </c>
      <c r="T1861">
        <v>-0.13347129999999999</v>
      </c>
      <c r="U1861">
        <v>-2.977325</v>
      </c>
      <c r="V1861">
        <v>3.0830099999999999E-2</v>
      </c>
      <c r="W1861">
        <v>-6.4484120000000006E-2</v>
      </c>
      <c r="X1861">
        <v>0.99744239999999995</v>
      </c>
      <c r="Y1861">
        <v>0.2576869</v>
      </c>
      <c r="Z1861">
        <v>2.3924239999999999E-2</v>
      </c>
      <c r="AA1861">
        <v>0.96593229999999997</v>
      </c>
      <c r="AB1861">
        <v>26</v>
      </c>
      <c r="AC1861">
        <v>-6.6269</v>
      </c>
      <c r="AD1861">
        <v>-1.1216609985020001</v>
      </c>
      <c r="AE1861">
        <v>-24.769200000000001</v>
      </c>
      <c r="AF1861">
        <v>6.6626162425830797</v>
      </c>
      <c r="AG1861">
        <v>-1.1216609985020001</v>
      </c>
      <c r="AH1861">
        <v>24.708896675019801</v>
      </c>
      <c r="AI1861">
        <v>92.509644740914695</v>
      </c>
      <c r="AJ1861">
        <v>74.9094152352924</v>
      </c>
      <c r="AK1861">
        <v>25.615974576195502</v>
      </c>
      <c r="AL1861">
        <v>93.6972331832783</v>
      </c>
      <c r="AM1861">
        <v>88.229599626063901</v>
      </c>
      <c r="AN1861">
        <v>1.0000000190579701</v>
      </c>
    </row>
    <row r="1862" spans="1:40" x14ac:dyDescent="0.25">
      <c r="A1862" t="str">
        <f>"20190303153810886"</f>
        <v>20190303153810886</v>
      </c>
      <c r="B1862" t="str">
        <f>"1551598690880267"</f>
        <v>1551598690880267</v>
      </c>
      <c r="C1862" t="s">
        <v>40</v>
      </c>
      <c r="D1862">
        <v>4.7109319999999997</v>
      </c>
      <c r="E1862">
        <v>0.54281089999999999</v>
      </c>
      <c r="F1862" t="s">
        <v>51</v>
      </c>
      <c r="G1862">
        <v>-196.9632</v>
      </c>
      <c r="H1862" s="1">
        <v>1.504189E-6</v>
      </c>
      <c r="I1862">
        <v>292.58339999999998</v>
      </c>
      <c r="J1862">
        <v>-191.0719</v>
      </c>
      <c r="K1862">
        <v>1.121632</v>
      </c>
      <c r="L1862">
        <v>314.59690000000001</v>
      </c>
      <c r="M1862">
        <v>1.4966230000000001E-3</v>
      </c>
      <c r="N1862">
        <v>-1.9678459999999998E-2</v>
      </c>
      <c r="O1862">
        <v>-0.99980539999999996</v>
      </c>
      <c r="P1862">
        <v>-2.943202E-2</v>
      </c>
      <c r="Q1862">
        <v>-8.7234480000000003E-2</v>
      </c>
      <c r="R1862">
        <v>-0.99575309999999995</v>
      </c>
      <c r="S1862">
        <v>-0.78787229999999997</v>
      </c>
      <c r="T1862">
        <v>-0.150004</v>
      </c>
      <c r="U1862">
        <v>-2.9763489999999999</v>
      </c>
      <c r="V1862">
        <v>3.086376E-2</v>
      </c>
      <c r="W1862">
        <v>-6.7650450000000001E-2</v>
      </c>
      <c r="X1862">
        <v>0.9972316</v>
      </c>
      <c r="Y1862">
        <v>0.25706620000000002</v>
      </c>
      <c r="Z1862">
        <v>2.8985690000000001E-2</v>
      </c>
      <c r="AA1862">
        <v>0.96595900000000001</v>
      </c>
      <c r="AB1862">
        <v>26</v>
      </c>
      <c r="AC1862">
        <v>-5.8913000000000002</v>
      </c>
      <c r="AD1862">
        <v>-1.1216304958109999</v>
      </c>
      <c r="AE1862">
        <v>-22.013500000000001</v>
      </c>
      <c r="AF1862">
        <v>5.9099283509655596</v>
      </c>
      <c r="AG1862">
        <v>-1.1216304958109999</v>
      </c>
      <c r="AH1862">
        <v>21.951477141607501</v>
      </c>
      <c r="AI1862">
        <v>92.824629047323498</v>
      </c>
      <c r="AJ1862">
        <v>74.931718037703206</v>
      </c>
      <c r="AK1862">
        <v>22.760770127155102</v>
      </c>
      <c r="AL1862">
        <v>93.8790478734727</v>
      </c>
      <c r="AM1862">
        <v>88.227293546695904</v>
      </c>
      <c r="AN1862">
        <v>1.0000000095525401</v>
      </c>
    </row>
    <row r="1863" spans="1:40" x14ac:dyDescent="0.25">
      <c r="A1863" t="str">
        <f>"20190303153810909"</f>
        <v>20190303153810909</v>
      </c>
      <c r="B1863" t="str">
        <f>"1551598690900763"</f>
        <v>1551598690900763</v>
      </c>
      <c r="C1863" t="s">
        <v>40</v>
      </c>
      <c r="D1863">
        <v>4.6548350000000003</v>
      </c>
      <c r="E1863">
        <v>0.53565130000000005</v>
      </c>
      <c r="F1863" t="s">
        <v>51</v>
      </c>
      <c r="G1863">
        <v>-195.1165</v>
      </c>
      <c r="H1863" s="1">
        <v>2.9047290000000001E-6</v>
      </c>
      <c r="I1863">
        <v>286.35840000000002</v>
      </c>
      <c r="J1863">
        <v>-191.07210000000001</v>
      </c>
      <c r="K1863">
        <v>1.1215520000000001</v>
      </c>
      <c r="L1863">
        <v>314.32870000000003</v>
      </c>
      <c r="M1863">
        <v>8.7153830000000004E-4</v>
      </c>
      <c r="N1863">
        <v>-1.9906190000000001E-2</v>
      </c>
      <c r="O1863">
        <v>-0.99980150000000001</v>
      </c>
      <c r="P1863">
        <v>-2.9011039999999998E-2</v>
      </c>
      <c r="Q1863">
        <v>-8.7295670000000006E-2</v>
      </c>
      <c r="R1863">
        <v>-0.99575999999999998</v>
      </c>
      <c r="S1863">
        <v>-0.42822270000000001</v>
      </c>
      <c r="T1863">
        <v>-0.1187522</v>
      </c>
      <c r="U1863">
        <v>-2.9897459999999998</v>
      </c>
      <c r="V1863">
        <v>2.9808279999999999E-2</v>
      </c>
      <c r="W1863">
        <v>-6.7488399999999907E-2</v>
      </c>
      <c r="X1863">
        <v>0.99727469999999996</v>
      </c>
      <c r="Y1863">
        <v>0.142536</v>
      </c>
      <c r="Z1863">
        <v>1.93861E-2</v>
      </c>
      <c r="AA1863">
        <v>0.98959980000000003</v>
      </c>
      <c r="AB1863">
        <v>26</v>
      </c>
      <c r="AC1863">
        <v>-4.0443999999999898</v>
      </c>
      <c r="AD1863">
        <v>-1.1215490952709899</v>
      </c>
      <c r="AE1863">
        <v>-27.970300000000002</v>
      </c>
      <c r="AF1863">
        <v>4.0623825953828403</v>
      </c>
      <c r="AG1863">
        <v>-1.1215490952709899</v>
      </c>
      <c r="AH1863">
        <v>27.9227879518489</v>
      </c>
      <c r="AI1863">
        <v>92.276173493450301</v>
      </c>
      <c r="AJ1863">
        <v>81.722326498767302</v>
      </c>
      <c r="AK1863">
        <v>28.239031706634201</v>
      </c>
      <c r="AL1863">
        <v>93.869741774117003</v>
      </c>
      <c r="AM1863">
        <v>88.287953856868697</v>
      </c>
      <c r="AN1863">
        <v>1.0000000224756</v>
      </c>
    </row>
    <row r="1864" spans="1:40" x14ac:dyDescent="0.25">
      <c r="A1864" t="str">
        <f>"20190303153810931"</f>
        <v>20190303153810931</v>
      </c>
      <c r="B1864" t="str">
        <f>"1551598690920287"</f>
        <v>1551598690920287</v>
      </c>
      <c r="C1864" t="s">
        <v>40</v>
      </c>
      <c r="D1864">
        <v>4.5345170000000001</v>
      </c>
      <c r="E1864">
        <v>0.53298630000000002</v>
      </c>
      <c r="F1864" t="s">
        <v>51</v>
      </c>
      <c r="G1864">
        <v>-194.31219999999999</v>
      </c>
      <c r="H1864" s="1">
        <v>2.8917849999999998E-6</v>
      </c>
      <c r="I1864">
        <v>288.13839999999999</v>
      </c>
      <c r="J1864">
        <v>-191.0727</v>
      </c>
      <c r="K1864">
        <v>1.121407</v>
      </c>
      <c r="L1864">
        <v>314.0788</v>
      </c>
      <c r="M1864">
        <v>1.18163E-4</v>
      </c>
      <c r="N1864">
        <v>-1.9911100000000001E-2</v>
      </c>
      <c r="O1864">
        <v>-0.99980179999999996</v>
      </c>
      <c r="P1864">
        <v>-2.8649939999999999E-2</v>
      </c>
      <c r="Q1864">
        <v>-8.5260740000000002E-2</v>
      </c>
      <c r="R1864">
        <v>-0.99594680000000002</v>
      </c>
      <c r="S1864">
        <v>-0.36999510000000002</v>
      </c>
      <c r="T1864">
        <v>-0.1280742</v>
      </c>
      <c r="U1864">
        <v>-2.9907840000000001</v>
      </c>
      <c r="V1864">
        <v>2.86825E-2</v>
      </c>
      <c r="W1864">
        <v>-6.5450910000000001E-2</v>
      </c>
      <c r="X1864">
        <v>0.99744350000000004</v>
      </c>
      <c r="Y1864">
        <v>0.1227858</v>
      </c>
      <c r="Z1864">
        <v>2.2558769999999999E-2</v>
      </c>
      <c r="AA1864">
        <v>0.99217679999999997</v>
      </c>
      <c r="AB1864">
        <v>26</v>
      </c>
      <c r="AC1864">
        <v>-3.2394999999999898</v>
      </c>
      <c r="AD1864">
        <v>-1.1214041082149999</v>
      </c>
      <c r="AE1864">
        <v>-25.9404</v>
      </c>
      <c r="AF1864">
        <v>3.2366099751023798</v>
      </c>
      <c r="AG1864">
        <v>-1.1214041082149999</v>
      </c>
      <c r="AH1864">
        <v>25.8923714463232</v>
      </c>
      <c r="AI1864">
        <v>92.460815022512804</v>
      </c>
      <c r="AJ1864">
        <v>82.874845200775695</v>
      </c>
      <c r="AK1864">
        <v>26.117964898116099</v>
      </c>
      <c r="AL1864">
        <v>93.752743433805605</v>
      </c>
      <c r="AM1864">
        <v>88.352855631536599</v>
      </c>
      <c r="AN1864">
        <v>1.00000002155916</v>
      </c>
    </row>
    <row r="1865" spans="1:40" x14ac:dyDescent="0.25">
      <c r="A1865" t="str">
        <f>"20190303153810954"</f>
        <v>20190303153810954</v>
      </c>
      <c r="B1865" t="str">
        <f>"1551598690950541"</f>
        <v>1551598690950541</v>
      </c>
      <c r="C1865" t="s">
        <v>40</v>
      </c>
      <c r="D1865">
        <v>4.6651829999999999</v>
      </c>
      <c r="E1865">
        <v>0.52902099999999996</v>
      </c>
      <c r="F1865" t="s">
        <v>51</v>
      </c>
      <c r="G1865">
        <v>-194.62</v>
      </c>
      <c r="H1865" s="1">
        <v>3.2385469999999998E-6</v>
      </c>
      <c r="I1865">
        <v>283.54730000000001</v>
      </c>
      <c r="J1865">
        <v>-191.07380000000001</v>
      </c>
      <c r="K1865">
        <v>1.121175</v>
      </c>
      <c r="L1865">
        <v>313.8177</v>
      </c>
      <c r="M1865">
        <v>-8.6855859999999995E-4</v>
      </c>
      <c r="N1865">
        <v>-1.9674899999999999E-2</v>
      </c>
      <c r="O1865">
        <v>-0.99980599999999997</v>
      </c>
      <c r="P1865">
        <v>-2.7881550000000001E-2</v>
      </c>
      <c r="Q1865">
        <v>-8.2934270000000004E-2</v>
      </c>
      <c r="R1865">
        <v>-0.99616490000000002</v>
      </c>
      <c r="S1865">
        <v>-0.34771729999999901</v>
      </c>
      <c r="T1865">
        <v>-0.1099247</v>
      </c>
      <c r="U1865">
        <v>-2.9928279999999998</v>
      </c>
      <c r="V1865">
        <v>2.691238E-2</v>
      </c>
      <c r="W1865">
        <v>-6.3362489999999994E-2</v>
      </c>
      <c r="X1865">
        <v>0.99762770000000001</v>
      </c>
      <c r="Y1865">
        <v>0.11446489999999999</v>
      </c>
      <c r="Z1865">
        <v>1.679371E-2</v>
      </c>
      <c r="AA1865">
        <v>0.99328539999999998</v>
      </c>
      <c r="AB1865">
        <v>26</v>
      </c>
      <c r="AC1865">
        <v>-3.54619999999999</v>
      </c>
      <c r="AD1865">
        <v>-1.1211717614529999</v>
      </c>
      <c r="AE1865">
        <v>-30.270399999999899</v>
      </c>
      <c r="AF1865">
        <v>3.5151449735262501</v>
      </c>
      <c r="AG1865">
        <v>-1.1211717614529999</v>
      </c>
      <c r="AH1865">
        <v>30.232556099597499</v>
      </c>
      <c r="AI1865">
        <v>92.109636825825802</v>
      </c>
      <c r="AJ1865">
        <v>83.367987499132795</v>
      </c>
      <c r="AK1865">
        <v>30.456866526596201</v>
      </c>
      <c r="AL1865">
        <v>93.632836684174904</v>
      </c>
      <c r="AM1865">
        <v>88.454742273490396</v>
      </c>
      <c r="AN1865">
        <v>1.00000005457177</v>
      </c>
    </row>
    <row r="1866" spans="1:40" x14ac:dyDescent="0.25">
      <c r="A1866" t="str">
        <f>"20190303153810976"</f>
        <v>20190303153810976</v>
      </c>
      <c r="B1866" t="str">
        <f>"1551598690971036"</f>
        <v>1551598690971036</v>
      </c>
      <c r="C1866" t="s">
        <v>40</v>
      </c>
      <c r="D1866">
        <v>4.6849369999999997</v>
      </c>
      <c r="E1866">
        <v>0.52778340000000001</v>
      </c>
      <c r="F1866" t="s">
        <v>51</v>
      </c>
      <c r="G1866">
        <v>-193.99549999999999</v>
      </c>
      <c r="H1866" s="1">
        <v>3.1372229999999998E-6</v>
      </c>
      <c r="I1866">
        <v>285.9735</v>
      </c>
      <c r="J1866">
        <v>-191.0753</v>
      </c>
      <c r="K1866">
        <v>1.1209279999999999</v>
      </c>
      <c r="L1866">
        <v>313.56180000000001</v>
      </c>
      <c r="M1866">
        <v>-2.0196390000000002E-3</v>
      </c>
      <c r="N1866">
        <v>-1.925632E-2</v>
      </c>
      <c r="O1866">
        <v>-0.99981260000000005</v>
      </c>
      <c r="P1866">
        <v>-2.7299480000000001E-2</v>
      </c>
      <c r="Q1866">
        <v>-8.1622529999999999E-2</v>
      </c>
      <c r="R1866">
        <v>-0.99628930000000004</v>
      </c>
      <c r="S1866">
        <v>-0.31402590000000002</v>
      </c>
      <c r="T1866">
        <v>-0.1205055</v>
      </c>
      <c r="U1866">
        <v>-2.992737</v>
      </c>
      <c r="V1866">
        <v>2.5164389999999998E-2</v>
      </c>
      <c r="W1866">
        <v>-6.2470989999999997E-2</v>
      </c>
      <c r="X1866">
        <v>0.99772950000000005</v>
      </c>
      <c r="Y1866">
        <v>0.1022665</v>
      </c>
      <c r="Z1866">
        <v>2.0771919999999999E-2</v>
      </c>
      <c r="AA1866">
        <v>0.99454019999999999</v>
      </c>
      <c r="AB1866">
        <v>26</v>
      </c>
      <c r="AC1866">
        <v>-2.9201999999999901</v>
      </c>
      <c r="AD1866">
        <v>-1.1209248627770001</v>
      </c>
      <c r="AE1866">
        <v>-27.5883</v>
      </c>
      <c r="AF1866">
        <v>2.85979656805458</v>
      </c>
      <c r="AG1866">
        <v>-1.1209248627770001</v>
      </c>
      <c r="AH1866">
        <v>27.549167388284101</v>
      </c>
      <c r="AI1866">
        <v>92.317534884012801</v>
      </c>
      <c r="AJ1866">
        <v>84.073523572076297</v>
      </c>
      <c r="AK1866">
        <v>27.719876131511601</v>
      </c>
      <c r="AL1866">
        <v>93.581656246359003</v>
      </c>
      <c r="AM1866">
        <v>88.555211878742</v>
      </c>
      <c r="AN1866">
        <v>1.0000000131429501</v>
      </c>
    </row>
    <row r="1867" spans="1:40" x14ac:dyDescent="0.25">
      <c r="A1867" t="str">
        <f>"20190303153810999"</f>
        <v>20190303153810999</v>
      </c>
      <c r="B1867" t="str">
        <f>"1551598690990556"</f>
        <v>1551598690990556</v>
      </c>
      <c r="C1867" t="s">
        <v>40</v>
      </c>
      <c r="D1867">
        <v>4.6812809999999896</v>
      </c>
      <c r="E1867">
        <v>0.52716629999999998</v>
      </c>
      <c r="F1867" t="s">
        <v>51</v>
      </c>
      <c r="G1867">
        <v>-193.79849999999999</v>
      </c>
      <c r="H1867" s="1">
        <v>3.1180519999999998E-6</v>
      </c>
      <c r="I1867">
        <v>286.59249999999997</v>
      </c>
      <c r="J1867">
        <v>-191.07730000000001</v>
      </c>
      <c r="K1867">
        <v>1.120692</v>
      </c>
      <c r="L1867">
        <v>313.303</v>
      </c>
      <c r="M1867">
        <v>-3.3730320000000002E-3</v>
      </c>
      <c r="N1867">
        <v>-1.8761219999999999E-2</v>
      </c>
      <c r="O1867">
        <v>-0.9998184</v>
      </c>
      <c r="P1867">
        <v>-2.7323400000000001E-2</v>
      </c>
      <c r="Q1867">
        <v>-8.1199270000000004E-2</v>
      </c>
      <c r="R1867">
        <v>-0.99632350000000003</v>
      </c>
      <c r="S1867">
        <v>-0.30218509999999998</v>
      </c>
      <c r="T1867">
        <v>-0.12438440000000001</v>
      </c>
      <c r="U1867">
        <v>-2.9926759999999999</v>
      </c>
      <c r="V1867">
        <v>2.3820500000000001E-2</v>
      </c>
      <c r="W1867">
        <v>-6.2545199999999995E-2</v>
      </c>
      <c r="X1867">
        <v>0.99775789999999998</v>
      </c>
      <c r="Y1867">
        <v>9.7026689999999999E-2</v>
      </c>
      <c r="Z1867">
        <v>2.2574690000000001E-2</v>
      </c>
      <c r="AA1867">
        <v>0.99502579999999996</v>
      </c>
      <c r="AB1867">
        <v>25</v>
      </c>
      <c r="AC1867">
        <v>-2.7211999999999801</v>
      </c>
      <c r="AD1867">
        <v>-1.1206888819480001</v>
      </c>
      <c r="AE1867">
        <v>-26.7105</v>
      </c>
      <c r="AF1867">
        <v>2.6264971580991698</v>
      </c>
      <c r="AG1867">
        <v>-1.1206888819480001</v>
      </c>
      <c r="AH1867">
        <v>26.673055968242799</v>
      </c>
      <c r="AI1867">
        <v>92.394344378282497</v>
      </c>
      <c r="AJ1867">
        <v>84.376211698652</v>
      </c>
      <c r="AK1867">
        <v>26.825479410005698</v>
      </c>
      <c r="AL1867">
        <v>93.585916283582705</v>
      </c>
      <c r="AM1867">
        <v>88.632378752544597</v>
      </c>
      <c r="AN1867">
        <v>1.00000007263784</v>
      </c>
    </row>
    <row r="1868" spans="1:40" x14ac:dyDescent="0.25">
      <c r="A1868" t="str">
        <f>"20190303153811021"</f>
        <v>20190303153811021</v>
      </c>
      <c r="B1868" t="str">
        <f>"1551598691011051"</f>
        <v>1551598691011051</v>
      </c>
      <c r="C1868" t="s">
        <v>40</v>
      </c>
      <c r="D1868">
        <v>4.6591129999999996</v>
      </c>
      <c r="E1868">
        <v>0.52672649999999999</v>
      </c>
      <c r="F1868" t="s">
        <v>51</v>
      </c>
      <c r="G1868">
        <v>-193.68029999999999</v>
      </c>
      <c r="H1868" s="1">
        <v>3.0938529999999999E-6</v>
      </c>
      <c r="I1868">
        <v>287.10910000000001</v>
      </c>
      <c r="J1868">
        <v>-191.07980000000001</v>
      </c>
      <c r="K1868">
        <v>1.1204959999999999</v>
      </c>
      <c r="L1868">
        <v>313.04610000000002</v>
      </c>
      <c r="M1868">
        <v>-4.905871E-3</v>
      </c>
      <c r="N1868">
        <v>-1.8269000000000001E-2</v>
      </c>
      <c r="O1868">
        <v>-0.99982119999999997</v>
      </c>
      <c r="P1868">
        <v>-2.831506E-2</v>
      </c>
      <c r="Q1868">
        <v>-8.0827250000000003E-2</v>
      </c>
      <c r="R1868">
        <v>-0.99632589999999999</v>
      </c>
      <c r="S1868">
        <v>-0.29737849999999999</v>
      </c>
      <c r="T1868">
        <v>-0.1280318</v>
      </c>
      <c r="U1868">
        <v>-2.9924930000000001</v>
      </c>
      <c r="V1868">
        <v>2.326686E-2</v>
      </c>
      <c r="W1868">
        <v>-6.2668920000000003E-2</v>
      </c>
      <c r="X1868">
        <v>0.99776319999999996</v>
      </c>
      <c r="Y1868">
        <v>9.3922679999999995E-2</v>
      </c>
      <c r="Z1868">
        <v>2.429038E-2</v>
      </c>
      <c r="AA1868">
        <v>0.99528309999999998</v>
      </c>
      <c r="AB1868">
        <v>25</v>
      </c>
      <c r="AC1868">
        <v>-2.6004999999999798</v>
      </c>
      <c r="AD1868">
        <v>-1.1204929061469999</v>
      </c>
      <c r="AE1868">
        <v>-25.937000000000001</v>
      </c>
      <c r="AF1868">
        <v>2.4686425503627998</v>
      </c>
      <c r="AG1868">
        <v>-1.1204929061469999</v>
      </c>
      <c r="AH1868">
        <v>25.901588886335499</v>
      </c>
      <c r="AI1868">
        <v>92.465888758574394</v>
      </c>
      <c r="AJ1868">
        <v>84.555668241999001</v>
      </c>
      <c r="AK1868">
        <v>26.043079833823899</v>
      </c>
      <c r="AL1868">
        <v>93.593018853391101</v>
      </c>
      <c r="AM1868">
        <v>88.664160670204694</v>
      </c>
      <c r="AN1868">
        <v>1.0000000717912301</v>
      </c>
    </row>
    <row r="1869" spans="1:40" x14ac:dyDescent="0.25">
      <c r="A1869" t="str">
        <f>"20190303153811043"</f>
        <v>20190303153811043</v>
      </c>
      <c r="B1869" t="str">
        <f>"1551598691030571"</f>
        <v>1551598691030571</v>
      </c>
      <c r="C1869" t="s">
        <v>40</v>
      </c>
      <c r="D1869">
        <v>4.6633339999999999</v>
      </c>
      <c r="E1869">
        <v>0.52682240000000002</v>
      </c>
      <c r="F1869" t="s">
        <v>51</v>
      </c>
      <c r="G1869">
        <v>-193.5838</v>
      </c>
      <c r="H1869" s="1">
        <v>3.046111E-6</v>
      </c>
      <c r="I1869">
        <v>287.851</v>
      </c>
      <c r="J1869">
        <v>-191.08269999999999</v>
      </c>
      <c r="K1869">
        <v>1.120331</v>
      </c>
      <c r="L1869">
        <v>312.80259999999998</v>
      </c>
      <c r="M1869">
        <v>-6.5148749999999998E-3</v>
      </c>
      <c r="N1869">
        <v>-1.781779E-2</v>
      </c>
      <c r="O1869">
        <v>-0.99982009999999999</v>
      </c>
      <c r="P1869">
        <v>-3.0795070000000001E-2</v>
      </c>
      <c r="Q1869">
        <v>-7.8936030000000004E-2</v>
      </c>
      <c r="R1869">
        <v>-0.99640390000000001</v>
      </c>
      <c r="S1869">
        <v>-0.29733280000000001</v>
      </c>
      <c r="T1869">
        <v>-0.1330519</v>
      </c>
      <c r="U1869">
        <v>-2.9917600000000002</v>
      </c>
      <c r="V1869">
        <v>2.413156E-2</v>
      </c>
      <c r="W1869">
        <v>-6.123402E-2</v>
      </c>
      <c r="X1869">
        <v>0.99783169999999999</v>
      </c>
      <c r="Y1869">
        <v>9.2325169999999998E-2</v>
      </c>
      <c r="Z1869">
        <v>2.6422319999999999E-2</v>
      </c>
      <c r="AA1869">
        <v>0.99537830000000005</v>
      </c>
      <c r="AB1869">
        <v>25</v>
      </c>
      <c r="AC1869">
        <v>-2.5011000000000001</v>
      </c>
      <c r="AD1869">
        <v>-1.1203279538890001</v>
      </c>
      <c r="AE1869">
        <v>-24.9515999999999</v>
      </c>
      <c r="AF1869">
        <v>2.3338063695475499</v>
      </c>
      <c r="AG1869">
        <v>-1.1203279538890001</v>
      </c>
      <c r="AH1869">
        <v>24.9176326683131</v>
      </c>
      <c r="AI1869">
        <v>92.563153362694905</v>
      </c>
      <c r="AJ1869">
        <v>84.649239067409297</v>
      </c>
      <c r="AK1869">
        <v>25.051750531405801</v>
      </c>
      <c r="AL1869">
        <v>93.510647099003194</v>
      </c>
      <c r="AM1869">
        <v>88.614629016739002</v>
      </c>
      <c r="AN1869">
        <v>1.0000000194591401</v>
      </c>
    </row>
    <row r="1870" spans="1:40" x14ac:dyDescent="0.25">
      <c r="A1870" t="str">
        <f>"20190303153811066"</f>
        <v>20190303153811066</v>
      </c>
      <c r="B1870" t="str">
        <f>"1551598691060827"</f>
        <v>1551598691060827</v>
      </c>
      <c r="C1870" t="s">
        <v>40</v>
      </c>
      <c r="D1870">
        <v>4.7009629999999998</v>
      </c>
      <c r="E1870">
        <v>0.52682209999999996</v>
      </c>
      <c r="F1870" t="s">
        <v>51</v>
      </c>
      <c r="G1870">
        <v>-193.90860000000001</v>
      </c>
      <c r="H1870" s="1">
        <v>3.2260140000000001E-6</v>
      </c>
      <c r="I1870">
        <v>285.13409999999999</v>
      </c>
      <c r="J1870">
        <v>-191.0865</v>
      </c>
      <c r="K1870">
        <v>1.1201890000000001</v>
      </c>
      <c r="L1870">
        <v>312.54050000000001</v>
      </c>
      <c r="M1870">
        <v>-8.3727809999999993E-3</v>
      </c>
      <c r="N1870">
        <v>-1.7353170000000001E-2</v>
      </c>
      <c r="O1870">
        <v>-0.99981450000000005</v>
      </c>
      <c r="P1870">
        <v>-3.3947070000000003E-2</v>
      </c>
      <c r="Q1870">
        <v>-7.7852589999999999E-2</v>
      </c>
      <c r="R1870">
        <v>-0.99638689999999996</v>
      </c>
      <c r="S1870">
        <v>-0.30555729999999998</v>
      </c>
      <c r="T1870">
        <v>-0.12113980000000001</v>
      </c>
      <c r="U1870">
        <v>-2.9917600000000002</v>
      </c>
      <c r="V1870">
        <v>2.5420089999999999E-2</v>
      </c>
      <c r="W1870">
        <v>-6.0622719999999998E-2</v>
      </c>
      <c r="X1870">
        <v>0.99783699999999997</v>
      </c>
      <c r="Y1870">
        <v>9.3196929999999997E-2</v>
      </c>
      <c r="Z1870">
        <v>2.2925580000000001E-2</v>
      </c>
      <c r="AA1870">
        <v>0.99538369999999998</v>
      </c>
      <c r="AB1870">
        <v>25</v>
      </c>
      <c r="AC1870">
        <v>-2.8220999999999998</v>
      </c>
      <c r="AD1870">
        <v>-1.1201857739859999</v>
      </c>
      <c r="AE1870">
        <v>-27.406400000000001</v>
      </c>
      <c r="AF1870">
        <v>2.58822018672759</v>
      </c>
      <c r="AG1870">
        <v>-1.1201857739859999</v>
      </c>
      <c r="AH1870">
        <v>27.383803654118701</v>
      </c>
      <c r="AI1870">
        <v>92.332103086534602</v>
      </c>
      <c r="AJ1870">
        <v>84.600645742852507</v>
      </c>
      <c r="AK1870">
        <v>27.528646942240901</v>
      </c>
      <c r="AL1870">
        <v>93.475557110087493</v>
      </c>
      <c r="AM1870">
        <v>88.5406946025727</v>
      </c>
      <c r="AN1870">
        <v>0.99999998686240299</v>
      </c>
    </row>
    <row r="1871" spans="1:40" x14ac:dyDescent="0.25">
      <c r="A1871" t="str">
        <f>"20190303153811087"</f>
        <v>20190303153811087</v>
      </c>
      <c r="B1871" t="str">
        <f>"1551598691080348"</f>
        <v>1551598691080348</v>
      </c>
      <c r="C1871" t="s">
        <v>40</v>
      </c>
      <c r="D1871">
        <v>4.7143870000000003</v>
      </c>
      <c r="E1871">
        <v>0.52701750000000003</v>
      </c>
      <c r="F1871" t="s">
        <v>51</v>
      </c>
      <c r="G1871">
        <v>-194.2465</v>
      </c>
      <c r="H1871" s="1">
        <v>3.3950230000000001E-6</v>
      </c>
      <c r="I1871">
        <v>282.51530000000002</v>
      </c>
      <c r="J1871">
        <v>-191.09039999999999</v>
      </c>
      <c r="K1871">
        <v>1.1200939999999999</v>
      </c>
      <c r="L1871">
        <v>312.30309999999997</v>
      </c>
      <c r="M1871">
        <v>-1.0127570000000001E-2</v>
      </c>
      <c r="N1871">
        <v>-1.6961270000000001E-2</v>
      </c>
      <c r="O1871">
        <v>-0.9998049</v>
      </c>
      <c r="P1871">
        <v>-3.8021569999999998E-2</v>
      </c>
      <c r="Q1871">
        <v>-7.7923069999999997E-2</v>
      </c>
      <c r="R1871">
        <v>-0.99623419999999896</v>
      </c>
      <c r="S1871">
        <v>-0.31483460000000002</v>
      </c>
      <c r="T1871">
        <v>-0.1116047</v>
      </c>
      <c r="U1871">
        <v>-2.991425</v>
      </c>
      <c r="V1871">
        <v>2.773666E-2</v>
      </c>
      <c r="W1871">
        <v>-6.1096379999999999E-2</v>
      </c>
      <c r="X1871">
        <v>0.99774640000000003</v>
      </c>
      <c r="Y1871">
        <v>9.4524410000000003E-2</v>
      </c>
      <c r="Z1871">
        <v>2.0147780000000001E-2</v>
      </c>
      <c r="AA1871">
        <v>0.9953187</v>
      </c>
      <c r="AB1871">
        <v>25</v>
      </c>
      <c r="AC1871">
        <v>-3.1560999999999999</v>
      </c>
      <c r="AD1871">
        <v>-1.1200906049770001</v>
      </c>
      <c r="AE1871">
        <v>-29.787799999999901</v>
      </c>
      <c r="AF1871">
        <v>2.8502313699542698</v>
      </c>
      <c r="AG1871">
        <v>-1.1200906049770001</v>
      </c>
      <c r="AH1871">
        <v>29.7766053164044</v>
      </c>
      <c r="AI1871">
        <v>92.144456347707305</v>
      </c>
      <c r="AJ1871">
        <v>84.532278250288201</v>
      </c>
      <c r="AK1871">
        <v>29.933670773805101</v>
      </c>
      <c r="AL1871">
        <v>93.502746237885106</v>
      </c>
      <c r="AM1871">
        <v>88.4076270599206</v>
      </c>
      <c r="AN1871">
        <v>0.99999998433500903</v>
      </c>
    </row>
    <row r="1872" spans="1:40" x14ac:dyDescent="0.25">
      <c r="A1872" t="str">
        <f>"20190303153811111"</f>
        <v>20190303153811111</v>
      </c>
      <c r="B1872" t="str">
        <f>"1551598691100843"</f>
        <v>1551598691100843</v>
      </c>
      <c r="C1872" t="s">
        <v>40</v>
      </c>
      <c r="D1872">
        <v>4.7033529999999999</v>
      </c>
      <c r="E1872">
        <v>0.52706589999999998</v>
      </c>
      <c r="F1872" t="s">
        <v>51</v>
      </c>
      <c r="G1872">
        <v>-194.45650000000001</v>
      </c>
      <c r="H1872" s="1">
        <v>3.4287260000000002E-6</v>
      </c>
      <c r="I1872">
        <v>281.70359999999999</v>
      </c>
      <c r="J1872">
        <v>-191.09530000000001</v>
      </c>
      <c r="K1872">
        <v>1.1200380000000001</v>
      </c>
      <c r="L1872">
        <v>312.03629999999998</v>
      </c>
      <c r="M1872">
        <v>-1.213386E-2</v>
      </c>
      <c r="N1872">
        <v>-1.6560789999999999E-2</v>
      </c>
      <c r="O1872">
        <v>-0.99978940000000005</v>
      </c>
      <c r="P1872">
        <v>-4.3384140000000002E-2</v>
      </c>
      <c r="Q1872">
        <v>-7.8052789999999997E-2</v>
      </c>
      <c r="R1872">
        <v>-0.99600529999999998</v>
      </c>
      <c r="S1872">
        <v>-0.32894899999999999</v>
      </c>
      <c r="T1872">
        <v>-0.109458399999999</v>
      </c>
      <c r="U1872">
        <v>-2.990265</v>
      </c>
      <c r="V1872">
        <v>3.1095370000000001E-2</v>
      </c>
      <c r="W1872">
        <v>-6.1640500000000001E-2</v>
      </c>
      <c r="X1872">
        <v>0.99761390000000005</v>
      </c>
      <c r="Y1872">
        <v>9.7212170000000001E-2</v>
      </c>
      <c r="Z1872">
        <v>1.983644E-2</v>
      </c>
      <c r="AA1872">
        <v>0.99506600000000001</v>
      </c>
      <c r="AB1872">
        <v>25</v>
      </c>
      <c r="AC1872">
        <v>-3.36119999999999</v>
      </c>
      <c r="AD1872">
        <v>-1.1200345712740001</v>
      </c>
      <c r="AE1872">
        <v>-30.3326999999999</v>
      </c>
      <c r="AF1872">
        <v>2.98882363862861</v>
      </c>
      <c r="AG1872">
        <v>-1.1200345712740001</v>
      </c>
      <c r="AH1872">
        <v>30.330403773174702</v>
      </c>
      <c r="AI1872">
        <v>92.104660364279596</v>
      </c>
      <c r="AJ1872">
        <v>84.3721195558185</v>
      </c>
      <c r="AK1872">
        <v>30.497884143453</v>
      </c>
      <c r="AL1872">
        <v>93.533980893378597</v>
      </c>
      <c r="AM1872">
        <v>88.214683239920504</v>
      </c>
      <c r="AN1872">
        <v>0.99999998337444795</v>
      </c>
    </row>
    <row r="1873" spans="1:40" x14ac:dyDescent="0.25">
      <c r="A1873" t="str">
        <f>"20190303153811133"</f>
        <v>20190303153811133</v>
      </c>
      <c r="B1873" t="str">
        <f>"1551598691120367"</f>
        <v>1551598691120367</v>
      </c>
      <c r="C1873" t="s">
        <v>40</v>
      </c>
      <c r="D1873">
        <v>4.6939769999999896</v>
      </c>
      <c r="E1873">
        <v>0.52722329999999995</v>
      </c>
      <c r="F1873" t="s">
        <v>51</v>
      </c>
      <c r="G1873">
        <v>-194.6498</v>
      </c>
      <c r="H1873" s="1">
        <v>3.4284169999999999E-6</v>
      </c>
      <c r="I1873">
        <v>281.31490000000002</v>
      </c>
      <c r="J1873">
        <v>-191.10040000000001</v>
      </c>
      <c r="K1873">
        <v>1.120028</v>
      </c>
      <c r="L1873">
        <v>311.79020000000003</v>
      </c>
      <c r="M1873">
        <v>-1.3972780000000001E-2</v>
      </c>
      <c r="N1873">
        <v>-1.6231289999999999E-2</v>
      </c>
      <c r="O1873">
        <v>-0.99977059999999995</v>
      </c>
      <c r="P1873">
        <v>-4.9200099999999997E-2</v>
      </c>
      <c r="Q1873">
        <v>-7.8317590000000006E-2</v>
      </c>
      <c r="R1873">
        <v>-0.99571370000000003</v>
      </c>
      <c r="S1873">
        <v>-0.34576420000000002</v>
      </c>
      <c r="T1873">
        <v>-0.1089516</v>
      </c>
      <c r="U1873">
        <v>-2.9884339999999998</v>
      </c>
      <c r="V1873">
        <v>3.5081099999999997E-2</v>
      </c>
      <c r="W1873">
        <v>-6.2248810000000002E-2</v>
      </c>
      <c r="X1873">
        <v>0.99744390000000005</v>
      </c>
      <c r="Y1873">
        <v>0.100975</v>
      </c>
      <c r="Z1873">
        <v>2.000219E-2</v>
      </c>
      <c r="AA1873">
        <v>0.99468789999999996</v>
      </c>
      <c r="AB1873">
        <v>25</v>
      </c>
      <c r="AC1873">
        <v>-3.5493999999999901</v>
      </c>
      <c r="AD1873">
        <v>-1.120024571583</v>
      </c>
      <c r="AE1873">
        <v>-30.475300000000001</v>
      </c>
      <c r="AF1873">
        <v>3.1190161487027499</v>
      </c>
      <c r="AG1873">
        <v>-1.120024571583</v>
      </c>
      <c r="AH1873">
        <v>30.481305498391102</v>
      </c>
      <c r="AI1873">
        <v>92.093444619317907</v>
      </c>
      <c r="AJ1873">
        <v>84.157512888151999</v>
      </c>
      <c r="AK1873">
        <v>30.660931193671701</v>
      </c>
      <c r="AL1873">
        <v>93.568901615123394</v>
      </c>
      <c r="AM1873">
        <v>87.985680401509001</v>
      </c>
      <c r="AN1873">
        <v>0.99999996578541706</v>
      </c>
    </row>
    <row r="1874" spans="1:40" x14ac:dyDescent="0.25">
      <c r="A1874" t="str">
        <f>"20190303153811153"</f>
        <v>20190303153811153</v>
      </c>
      <c r="B1874" t="str">
        <f>"1551598691150619"</f>
        <v>1551598691150619</v>
      </c>
      <c r="C1874" t="s">
        <v>40</v>
      </c>
      <c r="D1874">
        <v>4.7112809999999996</v>
      </c>
      <c r="E1874">
        <v>0.52733469999999905</v>
      </c>
      <c r="F1874" t="s">
        <v>51</v>
      </c>
      <c r="G1874">
        <v>-194.8476</v>
      </c>
      <c r="H1874" s="1">
        <v>3.4129110000000001E-6</v>
      </c>
      <c r="I1874">
        <v>281.09109999999998</v>
      </c>
      <c r="J1874">
        <v>-191.10579999999999</v>
      </c>
      <c r="K1874">
        <v>1.1200479999999999</v>
      </c>
      <c r="L1874">
        <v>311.55110000000002</v>
      </c>
      <c r="M1874">
        <v>-1.572496E-2</v>
      </c>
      <c r="N1874">
        <v>-1.5944139999999999E-2</v>
      </c>
      <c r="O1874">
        <v>-0.9997492</v>
      </c>
      <c r="P1874">
        <v>-5.3582369999999997E-2</v>
      </c>
      <c r="Q1874">
        <v>-7.7227939999999995E-2</v>
      </c>
      <c r="R1874">
        <v>-0.99557269999999998</v>
      </c>
      <c r="S1874">
        <v>-0.36451719999999999</v>
      </c>
      <c r="T1874">
        <v>-0.1089541</v>
      </c>
      <c r="U1874">
        <v>-2.9863590000000002</v>
      </c>
      <c r="V1874">
        <v>3.7725809999999999E-2</v>
      </c>
      <c r="W1874">
        <v>-6.1451770000000003E-2</v>
      </c>
      <c r="X1874">
        <v>0.99739679999999997</v>
      </c>
      <c r="Y1874">
        <v>0.1054668</v>
      </c>
      <c r="Z1874">
        <v>2.0294039999999999E-2</v>
      </c>
      <c r="AA1874">
        <v>0.99421570000000004</v>
      </c>
      <c r="AB1874">
        <v>25</v>
      </c>
      <c r="AC1874">
        <v>-3.7418000000000098</v>
      </c>
      <c r="AD1874">
        <v>-1.1200445870889999</v>
      </c>
      <c r="AE1874">
        <v>-30.46</v>
      </c>
      <c r="AF1874">
        <v>3.2579544272330798</v>
      </c>
      <c r="AG1874">
        <v>-1.1200445870889999</v>
      </c>
      <c r="AH1874">
        <v>30.474487765189899</v>
      </c>
      <c r="AI1874">
        <v>92.092958168531894</v>
      </c>
      <c r="AJ1874">
        <v>83.897822880016705</v>
      </c>
      <c r="AK1874">
        <v>30.668602372421599</v>
      </c>
      <c r="AL1874">
        <v>93.523146980875396</v>
      </c>
      <c r="AM1874">
        <v>87.833861348206796</v>
      </c>
      <c r="AN1874">
        <v>0.99999996671326397</v>
      </c>
    </row>
    <row r="1875" spans="1:40" x14ac:dyDescent="0.25">
      <c r="A1875" t="str">
        <f>"20190303153811175"</f>
        <v>20190303153811175</v>
      </c>
      <c r="B1875" t="str">
        <f>"1551598691170140"</f>
        <v>1551598691170140</v>
      </c>
      <c r="C1875" t="s">
        <v>40</v>
      </c>
      <c r="D1875">
        <v>4.6799879999999998</v>
      </c>
      <c r="E1875">
        <v>0.52728819999999998</v>
      </c>
      <c r="F1875" t="s">
        <v>51</v>
      </c>
      <c r="G1875">
        <v>-195.16829999999999</v>
      </c>
      <c r="H1875" s="1">
        <v>3.5174870000000001E-6</v>
      </c>
      <c r="I1875">
        <v>279.49349999999998</v>
      </c>
      <c r="J1875">
        <v>-191.11189999999999</v>
      </c>
      <c r="K1875">
        <v>1.120115</v>
      </c>
      <c r="L1875">
        <v>311.29500000000002</v>
      </c>
      <c r="M1875">
        <v>-1.7521140000000001E-2</v>
      </c>
      <c r="N1875">
        <v>-1.5670460000000001E-2</v>
      </c>
      <c r="O1875">
        <v>-0.99972369999999999</v>
      </c>
      <c r="P1875">
        <v>-5.7256920000000003E-2</v>
      </c>
      <c r="Q1875">
        <v>-7.5261239999999993E-2</v>
      </c>
      <c r="R1875">
        <v>-0.99551860000000003</v>
      </c>
      <c r="S1875">
        <v>-0.37826539999999997</v>
      </c>
      <c r="T1875">
        <v>-0.10428850000000001</v>
      </c>
      <c r="U1875">
        <v>-2.9849239999999999</v>
      </c>
      <c r="V1875">
        <v>3.9624010000000001E-2</v>
      </c>
      <c r="W1875">
        <v>-5.9757739999999997E-2</v>
      </c>
      <c r="X1875">
        <v>0.99742620000000004</v>
      </c>
      <c r="Y1875">
        <v>0.108251</v>
      </c>
      <c r="Z1875">
        <v>1.902009E-2</v>
      </c>
      <c r="AA1875">
        <v>0.99394159999999998</v>
      </c>
      <c r="AB1875">
        <v>25</v>
      </c>
      <c r="AC1875">
        <v>-4.0563999999999902</v>
      </c>
      <c r="AD1875">
        <v>-1.1201114825130001</v>
      </c>
      <c r="AE1875">
        <v>-31.801500000000001</v>
      </c>
      <c r="AF1875">
        <v>3.4942446943110701</v>
      </c>
      <c r="AG1875">
        <v>-1.1201114825130001</v>
      </c>
      <c r="AH1875">
        <v>31.828844230403899</v>
      </c>
      <c r="AI1875">
        <v>92.003477681490594</v>
      </c>
      <c r="AJ1875">
        <v>83.735024248176899</v>
      </c>
      <c r="AK1875">
        <v>32.039658561855703</v>
      </c>
      <c r="AL1875">
        <v>93.425907213652295</v>
      </c>
      <c r="AM1875">
        <v>87.725049366662603</v>
      </c>
      <c r="AN1875">
        <v>1.00000003705241</v>
      </c>
    </row>
    <row r="1876" spans="1:40" x14ac:dyDescent="0.25">
      <c r="A1876" t="str">
        <f>"20190303153811199"</f>
        <v>20190303153811199</v>
      </c>
      <c r="B1876" t="str">
        <f>"1551598691190636"</f>
        <v>1551598691190636</v>
      </c>
      <c r="C1876" t="s">
        <v>40</v>
      </c>
      <c r="D1876">
        <v>4.6467369999999999</v>
      </c>
      <c r="E1876">
        <v>0.52713509999999997</v>
      </c>
      <c r="F1876" t="s">
        <v>51</v>
      </c>
      <c r="G1876">
        <v>-195.55410000000001</v>
      </c>
      <c r="H1876" s="1">
        <v>4.053039E-6</v>
      </c>
      <c r="I1876">
        <v>277.21260000000001</v>
      </c>
      <c r="J1876">
        <v>-191.11840000000001</v>
      </c>
      <c r="K1876">
        <v>1.120198</v>
      </c>
      <c r="L1876">
        <v>311.036</v>
      </c>
      <c r="M1876">
        <v>-1.9216540000000001E-2</v>
      </c>
      <c r="N1876">
        <v>-1.542637E-2</v>
      </c>
      <c r="O1876">
        <v>-0.99969629999999998</v>
      </c>
      <c r="P1876">
        <v>-5.9670580000000001E-2</v>
      </c>
      <c r="Q1876">
        <v>-7.4774300000000002E-2</v>
      </c>
      <c r="R1876">
        <v>-0.99541360000000001</v>
      </c>
      <c r="S1876">
        <v>-0.38890079999999999</v>
      </c>
      <c r="T1876">
        <v>-9.8060610000000006E-2</v>
      </c>
      <c r="U1876">
        <v>-2.983765</v>
      </c>
      <c r="V1876">
        <v>4.0361330000000001E-2</v>
      </c>
      <c r="W1876">
        <v>-5.950892E-2</v>
      </c>
      <c r="X1876">
        <v>0.99741150000000001</v>
      </c>
      <c r="Y1876">
        <v>0.11010449999999999</v>
      </c>
      <c r="Z1876">
        <v>1.7197549999999999E-2</v>
      </c>
      <c r="AA1876">
        <v>0.99377119999999997</v>
      </c>
      <c r="AB1876">
        <v>25</v>
      </c>
      <c r="AC1876">
        <v>-4.43569999999999</v>
      </c>
      <c r="AD1876">
        <v>-1.1201939469610001</v>
      </c>
      <c r="AE1876">
        <v>-33.8233999999999</v>
      </c>
      <c r="AF1876">
        <v>3.78075778900349</v>
      </c>
      <c r="AG1876">
        <v>-1.1201939469610001</v>
      </c>
      <c r="AH1876">
        <v>33.865883675621198</v>
      </c>
      <c r="AI1876">
        <v>91.882814056280495</v>
      </c>
      <c r="AJ1876">
        <v>83.629925678922305</v>
      </c>
      <c r="AK1876">
        <v>34.094677606169398</v>
      </c>
      <c r="AL1876">
        <v>93.411625504887297</v>
      </c>
      <c r="AM1876">
        <v>87.682728901145097</v>
      </c>
      <c r="AN1876">
        <v>1.00000002442559</v>
      </c>
    </row>
    <row r="1877" spans="1:40" x14ac:dyDescent="0.25">
      <c r="A1877" t="str">
        <f>"20190303153811221"</f>
        <v>20190303153811221</v>
      </c>
      <c r="B1877" t="str">
        <f>"1551598691210159"</f>
        <v>1551598691210159</v>
      </c>
      <c r="C1877" t="s">
        <v>40</v>
      </c>
      <c r="D1877">
        <v>4.6490530000000003</v>
      </c>
      <c r="E1877">
        <v>0.52689869999999905</v>
      </c>
      <c r="F1877" t="s">
        <v>51</v>
      </c>
      <c r="G1877">
        <v>-195.6677</v>
      </c>
      <c r="H1877" s="1">
        <v>4.1835919999999998E-6</v>
      </c>
      <c r="I1877">
        <v>276.673</v>
      </c>
      <c r="J1877">
        <v>-191.1249</v>
      </c>
      <c r="K1877">
        <v>1.1202810000000001</v>
      </c>
      <c r="L1877">
        <v>310.78829999999999</v>
      </c>
      <c r="M1877">
        <v>-2.0710010000000001E-2</v>
      </c>
      <c r="N1877">
        <v>-1.5220910000000001E-2</v>
      </c>
      <c r="O1877">
        <v>-0.9996699</v>
      </c>
      <c r="P1877">
        <v>-6.2386520000000001E-2</v>
      </c>
      <c r="Q1877">
        <v>-7.4648539999999999E-2</v>
      </c>
      <c r="R1877">
        <v>-0.99525710000000001</v>
      </c>
      <c r="S1877">
        <v>-0.39489750000000001</v>
      </c>
      <c r="T1877">
        <v>-9.7236509999999998E-2</v>
      </c>
      <c r="U1877">
        <v>-2.9828190000000001</v>
      </c>
      <c r="V1877">
        <v>4.1603769999999998E-2</v>
      </c>
      <c r="W1877">
        <v>-5.958343E-2</v>
      </c>
      <c r="X1877">
        <v>0.99735600000000002</v>
      </c>
      <c r="Y1877">
        <v>0.110625</v>
      </c>
      <c r="Z1877">
        <v>1.713431E-2</v>
      </c>
      <c r="AA1877">
        <v>0.99371449999999995</v>
      </c>
      <c r="AB1877">
        <v>25</v>
      </c>
      <c r="AC1877">
        <v>-4.5427999999999997</v>
      </c>
      <c r="AD1877">
        <v>-1.1202768164079999</v>
      </c>
      <c r="AE1877">
        <v>-34.115299999999898</v>
      </c>
      <c r="AF1877">
        <v>3.8311562892679301</v>
      </c>
      <c r="AG1877">
        <v>-1.1202768164079999</v>
      </c>
      <c r="AH1877">
        <v>34.165873481380601</v>
      </c>
      <c r="AI1877">
        <v>91.866329926011602</v>
      </c>
      <c r="AJ1877">
        <v>83.601921893713794</v>
      </c>
      <c r="AK1877">
        <v>34.398251255025798</v>
      </c>
      <c r="AL1877">
        <v>93.415902200905194</v>
      </c>
      <c r="AM1877">
        <v>87.611345129870003</v>
      </c>
      <c r="AN1877">
        <v>1.0000000247723799</v>
      </c>
    </row>
    <row r="1878" spans="1:40" x14ac:dyDescent="0.25">
      <c r="A1878" t="str">
        <f>"20190303153811245"</f>
        <v>20190303153811245</v>
      </c>
      <c r="B1878" t="str">
        <f>"1551598691240269"</f>
        <v>1551598691240269</v>
      </c>
      <c r="C1878" t="s">
        <v>40</v>
      </c>
      <c r="D1878">
        <v>4.632981</v>
      </c>
      <c r="E1878">
        <v>0.52657869999999996</v>
      </c>
      <c r="F1878" t="s">
        <v>51</v>
      </c>
      <c r="G1878">
        <v>-195.7311</v>
      </c>
      <c r="H1878" s="1">
        <v>4.2051130000000003E-6</v>
      </c>
      <c r="I1878">
        <v>276.57240000000002</v>
      </c>
      <c r="J1878">
        <v>-191.13220000000001</v>
      </c>
      <c r="K1878">
        <v>1.1203650000000001</v>
      </c>
      <c r="L1878">
        <v>310.52409999999998</v>
      </c>
      <c r="M1878">
        <v>-2.217533E-2</v>
      </c>
      <c r="N1878">
        <v>-1.502875E-2</v>
      </c>
      <c r="O1878">
        <v>-0.99964120000000001</v>
      </c>
      <c r="P1878">
        <v>-6.3476379999999999E-2</v>
      </c>
      <c r="Q1878">
        <v>-7.5277090000000005E-2</v>
      </c>
      <c r="R1878">
        <v>-0.99514029999999998</v>
      </c>
      <c r="S1878">
        <v>-0.40141300000000002</v>
      </c>
      <c r="T1878">
        <v>-9.762883E-2</v>
      </c>
      <c r="U1878">
        <v>-2.9818120000000001</v>
      </c>
      <c r="V1878">
        <v>4.124717E-2</v>
      </c>
      <c r="W1878">
        <v>-6.0393679999999998E-2</v>
      </c>
      <c r="X1878">
        <v>0.99732200000000004</v>
      </c>
      <c r="Y1878">
        <v>0.1113447</v>
      </c>
      <c r="Z1878">
        <v>1.746172E-2</v>
      </c>
      <c r="AA1878">
        <v>0.99362839999999997</v>
      </c>
      <c r="AB1878">
        <v>25</v>
      </c>
      <c r="AC1878">
        <v>-4.59889999999998</v>
      </c>
      <c r="AD1878">
        <v>-1.120360794887</v>
      </c>
      <c r="AE1878">
        <v>-33.951699999999903</v>
      </c>
      <c r="AF1878">
        <v>3.84068690401139</v>
      </c>
      <c r="AG1878">
        <v>-1.120360794887</v>
      </c>
      <c r="AH1878">
        <v>34.008977379600097</v>
      </c>
      <c r="AI1878">
        <v>91.874908260682602</v>
      </c>
      <c r="AJ1878">
        <v>83.556796852197195</v>
      </c>
      <c r="AK1878">
        <v>34.243490280803996</v>
      </c>
      <c r="AL1878">
        <v>93.462410127556197</v>
      </c>
      <c r="AM1878">
        <v>87.631715045058797</v>
      </c>
      <c r="AN1878">
        <v>0.99999994865047404</v>
      </c>
    </row>
    <row r="1879" spans="1:40" x14ac:dyDescent="0.25">
      <c r="A1879" t="str">
        <f>"20190303153811267"</f>
        <v>20190303153811267</v>
      </c>
      <c r="B1879" t="str">
        <f>"1551598691260765"</f>
        <v>1551598691260765</v>
      </c>
      <c r="C1879" t="s">
        <v>40</v>
      </c>
      <c r="D1879">
        <v>4.6959600000000004</v>
      </c>
      <c r="E1879">
        <v>0.52640690000000001</v>
      </c>
      <c r="F1879" t="s">
        <v>51</v>
      </c>
      <c r="G1879">
        <v>-195.6</v>
      </c>
      <c r="H1879" s="1">
        <v>3.9999919999999996E-6</v>
      </c>
      <c r="I1879">
        <v>277.38220000000001</v>
      </c>
      <c r="J1879">
        <v>-191.13929999999999</v>
      </c>
      <c r="K1879">
        <v>1.120433</v>
      </c>
      <c r="L1879">
        <v>310.27370000000002</v>
      </c>
      <c r="M1879">
        <v>-2.3466819999999999E-2</v>
      </c>
      <c r="N1879">
        <v>-1.4870400000000001E-2</v>
      </c>
      <c r="O1879">
        <v>-0.99961409999999995</v>
      </c>
      <c r="P1879">
        <v>-6.4425739999999995E-2</v>
      </c>
      <c r="Q1879">
        <v>-7.6384750000000001E-2</v>
      </c>
      <c r="R1879">
        <v>-0.99499510000000002</v>
      </c>
      <c r="S1879">
        <v>-0.40191650000000001</v>
      </c>
      <c r="T1879">
        <v>-0.1007856</v>
      </c>
      <c r="U1879">
        <v>-2.9813839999999998</v>
      </c>
      <c r="V1879">
        <v>4.0920579999999998E-2</v>
      </c>
      <c r="W1879">
        <v>-6.165205E-2</v>
      </c>
      <c r="X1879">
        <v>0.99725850000000005</v>
      </c>
      <c r="Y1879">
        <v>0.1102416</v>
      </c>
      <c r="Z1879">
        <v>1.867506E-2</v>
      </c>
      <c r="AA1879">
        <v>0.99372939999999998</v>
      </c>
      <c r="AB1879">
        <v>25</v>
      </c>
      <c r="AC1879">
        <v>-4.4607000000000001</v>
      </c>
      <c r="AD1879">
        <v>-1.1204290000079999</v>
      </c>
      <c r="AE1879">
        <v>-32.891500000000001</v>
      </c>
      <c r="AF1879">
        <v>3.6833302426499501</v>
      </c>
      <c r="AG1879">
        <v>-1.1204290000079999</v>
      </c>
      <c r="AH1879">
        <v>32.9495866049825</v>
      </c>
      <c r="AI1879">
        <v>91.9355083005632</v>
      </c>
      <c r="AJ1879">
        <v>83.621566702061102</v>
      </c>
      <c r="AK1879">
        <v>33.173747757220902</v>
      </c>
      <c r="AL1879">
        <v>93.534643888457396</v>
      </c>
      <c r="AM1879">
        <v>87.650296295008403</v>
      </c>
      <c r="AN1879">
        <v>0.999999992479494</v>
      </c>
    </row>
    <row r="1880" spans="1:40" x14ac:dyDescent="0.25">
      <c r="A1880" t="str">
        <f>"20190303153811291"</f>
        <v>20190303153811291</v>
      </c>
      <c r="B1880" t="str">
        <f>"1551598691280285"</f>
        <v>1551598691280285</v>
      </c>
      <c r="C1880" t="s">
        <v>40</v>
      </c>
      <c r="D1880">
        <v>4.681686</v>
      </c>
      <c r="E1880">
        <v>0.52617979999999998</v>
      </c>
      <c r="F1880" t="s">
        <v>51</v>
      </c>
      <c r="G1880">
        <v>-195.44659999999999</v>
      </c>
      <c r="H1880" s="1">
        <v>3.7510979999999999E-6</v>
      </c>
      <c r="I1880">
        <v>278.4248</v>
      </c>
      <c r="J1880">
        <v>-191.14680000000001</v>
      </c>
      <c r="K1880">
        <v>1.12049</v>
      </c>
      <c r="L1880">
        <v>310.01780000000002</v>
      </c>
      <c r="M1880">
        <v>-2.4717530000000001E-2</v>
      </c>
      <c r="N1880">
        <v>-1.473698E-2</v>
      </c>
      <c r="O1880">
        <v>-0.99958599999999997</v>
      </c>
      <c r="P1880">
        <v>-6.5590369999999995E-2</v>
      </c>
      <c r="Q1880">
        <v>-7.6731229999999997E-2</v>
      </c>
      <c r="R1880">
        <v>-0.99489240000000001</v>
      </c>
      <c r="S1880">
        <v>-0.40315250000000002</v>
      </c>
      <c r="T1880">
        <v>-0.1048687</v>
      </c>
      <c r="U1880">
        <v>-2.9809570000000001</v>
      </c>
      <c r="V1880">
        <v>4.0847590000000003E-2</v>
      </c>
      <c r="W1880">
        <v>-6.2126639999999997E-2</v>
      </c>
      <c r="X1880">
        <v>0.99723200000000001</v>
      </c>
      <c r="Y1880">
        <v>0.1094173</v>
      </c>
      <c r="Z1880">
        <v>2.0170339999999998E-2</v>
      </c>
      <c r="AA1880">
        <v>0.99379119999999999</v>
      </c>
      <c r="AB1880">
        <v>25</v>
      </c>
      <c r="AC1880">
        <v>-4.2997999999999701</v>
      </c>
      <c r="AD1880">
        <v>-1.120486248902</v>
      </c>
      <c r="AE1880">
        <v>-31.593</v>
      </c>
      <c r="AF1880">
        <v>3.5131617129779098</v>
      </c>
      <c r="AG1880">
        <v>-1.120486248902</v>
      </c>
      <c r="AH1880">
        <v>31.650549581662901</v>
      </c>
      <c r="AI1880">
        <v>92.015160915709899</v>
      </c>
      <c r="AJ1880">
        <v>83.666185034792505</v>
      </c>
      <c r="AK1880">
        <v>31.864636879726302</v>
      </c>
      <c r="AL1880">
        <v>93.561888258968906</v>
      </c>
      <c r="AM1880">
        <v>87.654420515096007</v>
      </c>
      <c r="AN1880">
        <v>0.99999995341524694</v>
      </c>
    </row>
    <row r="1881" spans="1:40" x14ac:dyDescent="0.25">
      <c r="A1881" t="str">
        <f>"20190303153811311"</f>
        <v>20190303153811311</v>
      </c>
      <c r="B1881" t="str">
        <f>"1551598691300781"</f>
        <v>1551598691300781</v>
      </c>
      <c r="C1881" t="s">
        <v>40</v>
      </c>
      <c r="D1881">
        <v>4.6746309999999998</v>
      </c>
      <c r="E1881">
        <v>0.52607910000000002</v>
      </c>
      <c r="F1881" t="s">
        <v>51</v>
      </c>
      <c r="G1881">
        <v>-195.37</v>
      </c>
      <c r="H1881" s="1">
        <v>3.6260679999999999E-6</v>
      </c>
      <c r="I1881">
        <v>278.94830000000002</v>
      </c>
      <c r="J1881">
        <v>-191.1541</v>
      </c>
      <c r="K1881">
        <v>1.120581</v>
      </c>
      <c r="L1881">
        <v>309.77609999999999</v>
      </c>
      <c r="M1881">
        <v>-2.5857999999999999E-2</v>
      </c>
      <c r="N1881">
        <v>-1.488065E-2</v>
      </c>
      <c r="O1881">
        <v>-0.99955510000000003</v>
      </c>
      <c r="P1881">
        <v>-6.7454520000000004E-2</v>
      </c>
      <c r="Q1881">
        <v>-7.667815E-2</v>
      </c>
      <c r="R1881">
        <v>-0.99477170000000004</v>
      </c>
      <c r="S1881">
        <v>-0.4051208</v>
      </c>
      <c r="T1881">
        <v>-0.1074851</v>
      </c>
      <c r="U1881">
        <v>-2.9804080000000002</v>
      </c>
      <c r="V1881">
        <v>4.158237E-2</v>
      </c>
      <c r="W1881">
        <v>-6.192922E-2</v>
      </c>
      <c r="X1881">
        <v>0.99721400000000004</v>
      </c>
      <c r="Y1881">
        <v>0.1089489</v>
      </c>
      <c r="Z1881">
        <v>2.0901940000000001E-2</v>
      </c>
      <c r="AA1881">
        <v>0.99382760000000003</v>
      </c>
      <c r="AB1881">
        <v>25</v>
      </c>
      <c r="AC1881">
        <v>-4.2159000000000004</v>
      </c>
      <c r="AD1881">
        <v>-1.120577373932</v>
      </c>
      <c r="AE1881">
        <v>-30.8277999999999</v>
      </c>
      <c r="AF1881">
        <v>3.41283010670606</v>
      </c>
      <c r="AG1881">
        <v>-1.120577373932</v>
      </c>
      <c r="AH1881">
        <v>30.886455714544301</v>
      </c>
      <c r="AI1881">
        <v>92.0652521556122</v>
      </c>
      <c r="AJ1881">
        <v>83.694623532311297</v>
      </c>
      <c r="AK1881">
        <v>31.094633774892898</v>
      </c>
      <c r="AL1881">
        <v>93.55055478848</v>
      </c>
      <c r="AM1881">
        <v>87.612232807245505</v>
      </c>
      <c r="AN1881">
        <v>1.0000000417903101</v>
      </c>
    </row>
    <row r="1882" spans="1:40" x14ac:dyDescent="0.25">
      <c r="A1882" t="str">
        <f>"20190303153811333"</f>
        <v>20190303153811333</v>
      </c>
      <c r="B1882" t="str">
        <f>"1551598691331037"</f>
        <v>1551598691331037</v>
      </c>
      <c r="C1882" t="s">
        <v>40</v>
      </c>
      <c r="D1882">
        <v>4.6604449999999904</v>
      </c>
      <c r="E1882">
        <v>0.52581140000000004</v>
      </c>
      <c r="F1882" t="s">
        <v>51</v>
      </c>
      <c r="G1882">
        <v>-195.39169999999999</v>
      </c>
      <c r="H1882" s="1">
        <v>3.6145019999999999E-6</v>
      </c>
      <c r="I1882">
        <v>278.97739999999999</v>
      </c>
      <c r="J1882">
        <v>-191.16159999999999</v>
      </c>
      <c r="K1882">
        <v>1.1207469999999999</v>
      </c>
      <c r="L1882">
        <v>309.53879999999998</v>
      </c>
      <c r="M1882">
        <v>-2.6968180000000001E-2</v>
      </c>
      <c r="N1882">
        <v>-1.5415430000000001E-2</v>
      </c>
      <c r="O1882">
        <v>-0.99951760000000001</v>
      </c>
      <c r="P1882">
        <v>-6.9053329999999996E-2</v>
      </c>
      <c r="Q1882">
        <v>-7.7757119999999999E-2</v>
      </c>
      <c r="R1882">
        <v>-0.99457819999999997</v>
      </c>
      <c r="S1882">
        <v>-0.40995789999999999</v>
      </c>
      <c r="T1882">
        <v>-0.10840900000000001</v>
      </c>
      <c r="U1882">
        <v>-2.979584</v>
      </c>
      <c r="V1882">
        <v>4.2081050000000002E-2</v>
      </c>
      <c r="W1882">
        <v>-6.2475269999999999E-2</v>
      </c>
      <c r="X1882">
        <v>0.99715900000000002</v>
      </c>
      <c r="Y1882">
        <v>0.1094633</v>
      </c>
      <c r="Z1882">
        <v>2.068002E-2</v>
      </c>
      <c r="AA1882">
        <v>0.99377570000000004</v>
      </c>
      <c r="AB1882">
        <v>25</v>
      </c>
      <c r="AC1882">
        <v>-4.2300999999999904</v>
      </c>
      <c r="AD1882">
        <v>-1.120743385498</v>
      </c>
      <c r="AE1882">
        <v>-30.5613999999999</v>
      </c>
      <c r="AF1882">
        <v>3.39979179978859</v>
      </c>
      <c r="AG1882">
        <v>-1.120743385498</v>
      </c>
      <c r="AH1882">
        <v>30.6239638810613</v>
      </c>
      <c r="AI1882">
        <v>92.083128421662593</v>
      </c>
      <c r="AJ1882">
        <v>83.665114017958103</v>
      </c>
      <c r="AK1882">
        <v>30.832479851717899</v>
      </c>
      <c r="AL1882">
        <v>93.581901917944606</v>
      </c>
      <c r="AM1882">
        <v>87.583497932884001</v>
      </c>
      <c r="AN1882">
        <v>1.0000000227058301</v>
      </c>
    </row>
    <row r="1883" spans="1:40" x14ac:dyDescent="0.25">
      <c r="A1883" t="str">
        <f>"20190303153811355"</f>
        <v>20190303153811355</v>
      </c>
      <c r="B1883" t="str">
        <f>"1551598691350558"</f>
        <v>1551598691350558</v>
      </c>
      <c r="C1883" t="s">
        <v>40</v>
      </c>
      <c r="D1883">
        <v>4.6791460000000002</v>
      </c>
      <c r="E1883">
        <v>0.52559060000000002</v>
      </c>
      <c r="F1883" t="s">
        <v>51</v>
      </c>
      <c r="G1883">
        <v>-195.24610000000001</v>
      </c>
      <c r="H1883" s="1">
        <v>3.4338320000000001E-6</v>
      </c>
      <c r="I1883">
        <v>280.04320000000001</v>
      </c>
      <c r="J1883">
        <v>-191.1695</v>
      </c>
      <c r="K1883">
        <v>1.1209279999999999</v>
      </c>
      <c r="L1883">
        <v>309.29759999999999</v>
      </c>
      <c r="M1883">
        <v>-2.8122359999999999E-2</v>
      </c>
      <c r="N1883">
        <v>-1.6218400000000001E-2</v>
      </c>
      <c r="O1883">
        <v>-0.9994729</v>
      </c>
      <c r="P1883">
        <v>-6.9864469999999998E-2</v>
      </c>
      <c r="Q1883">
        <v>-8.019018E-2</v>
      </c>
      <c r="R1883">
        <v>-0.9943284</v>
      </c>
      <c r="S1883">
        <v>-0.41250609999999999</v>
      </c>
      <c r="T1883">
        <v>-0.11318839999999999</v>
      </c>
      <c r="U1883">
        <v>-2.978882</v>
      </c>
      <c r="V1883">
        <v>4.1745480000000001E-2</v>
      </c>
      <c r="W1883">
        <v>-6.4109189999999996E-2</v>
      </c>
      <c r="X1883">
        <v>0.99706939999999999</v>
      </c>
      <c r="Y1883">
        <v>0.1091744</v>
      </c>
      <c r="Z1883">
        <v>2.147379E-2</v>
      </c>
      <c r="AA1883">
        <v>0.99379059999999997</v>
      </c>
      <c r="AB1883">
        <v>25</v>
      </c>
      <c r="AC1883">
        <v>-4.0766000000000098</v>
      </c>
      <c r="AD1883">
        <v>-1.1209245661679901</v>
      </c>
      <c r="AE1883">
        <v>-29.254399999999901</v>
      </c>
      <c r="AF1883">
        <v>3.2474992388954602</v>
      </c>
      <c r="AG1883">
        <v>-1.1209245661679901</v>
      </c>
      <c r="AH1883">
        <v>29.315265819925301</v>
      </c>
      <c r="AI1883">
        <v>92.176444728465896</v>
      </c>
      <c r="AJ1883">
        <v>83.678637485981199</v>
      </c>
      <c r="AK1883">
        <v>29.515886117183499</v>
      </c>
      <c r="AL1883">
        <v>93.675706691540995</v>
      </c>
      <c r="AM1883">
        <v>87.602530276790802</v>
      </c>
      <c r="AN1883">
        <v>1.00000003087962</v>
      </c>
    </row>
    <row r="1884" spans="1:40" x14ac:dyDescent="0.25">
      <c r="A1884" t="str">
        <f>"20190303153811378"</f>
        <v>20190303153811378</v>
      </c>
      <c r="B1884" t="str">
        <f>"1551598691371053"</f>
        <v>1551598691371053</v>
      </c>
      <c r="C1884" t="s">
        <v>40</v>
      </c>
      <c r="D1884">
        <v>4.7616630000000004</v>
      </c>
      <c r="E1884">
        <v>0.52564100000000002</v>
      </c>
      <c r="F1884" t="s">
        <v>51</v>
      </c>
      <c r="G1884">
        <v>-194.9743</v>
      </c>
      <c r="H1884" s="1">
        <v>3.3223590000000001E-6</v>
      </c>
      <c r="I1884">
        <v>281.86970000000002</v>
      </c>
      <c r="J1884">
        <v>-191.17789999999999</v>
      </c>
      <c r="K1884">
        <v>1.121095</v>
      </c>
      <c r="L1884">
        <v>309.0498</v>
      </c>
      <c r="M1884">
        <v>-2.9351769999999999E-2</v>
      </c>
      <c r="N1884">
        <v>-1.7201839999999999E-2</v>
      </c>
      <c r="O1884">
        <v>-0.99942149999999996</v>
      </c>
      <c r="P1884">
        <v>-7.1100620000000003E-2</v>
      </c>
      <c r="Q1884">
        <v>-8.3038089999999995E-2</v>
      </c>
      <c r="R1884">
        <v>-0.99400710000000003</v>
      </c>
      <c r="S1884">
        <v>-0.41314699999999999</v>
      </c>
      <c r="T1884">
        <v>-0.1217147</v>
      </c>
      <c r="U1884">
        <v>-2.9782410000000001</v>
      </c>
      <c r="V1884">
        <v>4.1757450000000002E-2</v>
      </c>
      <c r="W1884">
        <v>-6.5982460000000007E-2</v>
      </c>
      <c r="X1884">
        <v>0.99694660000000002</v>
      </c>
      <c r="Y1884">
        <v>0.10817830000000001</v>
      </c>
      <c r="Z1884">
        <v>2.3335359999999999E-2</v>
      </c>
      <c r="AA1884">
        <v>0.99385760000000001</v>
      </c>
      <c r="AB1884">
        <v>24</v>
      </c>
      <c r="AC1884">
        <v>-3.7964000000000002</v>
      </c>
      <c r="AD1884">
        <v>-1.121091677641</v>
      </c>
      <c r="AE1884">
        <v>-27.1800999999999</v>
      </c>
      <c r="AF1884">
        <v>2.99186936142473</v>
      </c>
      <c r="AG1884">
        <v>-1.121091677641</v>
      </c>
      <c r="AH1884">
        <v>27.234386199778601</v>
      </c>
      <c r="AI1884">
        <v>92.343144264043801</v>
      </c>
      <c r="AJ1884">
        <v>83.730835650016303</v>
      </c>
      <c r="AK1884">
        <v>27.421158263359299</v>
      </c>
      <c r="AL1884">
        <v>93.7832652674184</v>
      </c>
      <c r="AM1884">
        <v>87.601548583881595</v>
      </c>
      <c r="AN1884">
        <v>0.99999994645485502</v>
      </c>
    </row>
    <row r="1885" spans="1:40" x14ac:dyDescent="0.25">
      <c r="A1885" t="str">
        <f>"20190303153811400"</f>
        <v>20190303153811400</v>
      </c>
      <c r="B1885" t="str">
        <f>"1551598691390576"</f>
        <v>1551598691390576</v>
      </c>
      <c r="C1885" t="s">
        <v>40</v>
      </c>
      <c r="D1885">
        <v>4.873513</v>
      </c>
      <c r="E1885">
        <v>0.52606030000000004</v>
      </c>
      <c r="F1885" t="s">
        <v>51</v>
      </c>
      <c r="G1885">
        <v>-194.79140000000001</v>
      </c>
      <c r="H1885" s="1">
        <v>3.2321669999999999E-6</v>
      </c>
      <c r="I1885">
        <v>283.2724</v>
      </c>
      <c r="J1885">
        <v>-191.18639999999999</v>
      </c>
      <c r="K1885">
        <v>1.121227</v>
      </c>
      <c r="L1885">
        <v>308.81299999999999</v>
      </c>
      <c r="M1885">
        <v>-3.0578359999999999E-2</v>
      </c>
      <c r="N1885">
        <v>-1.823195E-2</v>
      </c>
      <c r="O1885">
        <v>-0.99936599999999998</v>
      </c>
      <c r="P1885">
        <v>-7.3564550000000006E-2</v>
      </c>
      <c r="Q1885">
        <v>-8.4653129999999993E-2</v>
      </c>
      <c r="R1885">
        <v>-0.9936914</v>
      </c>
      <c r="S1885">
        <v>-0.41738890000000001</v>
      </c>
      <c r="T1885">
        <v>-0.12949449999999901</v>
      </c>
      <c r="U1885">
        <v>-2.9774780000000001</v>
      </c>
      <c r="V1885">
        <v>4.2998950000000001E-2</v>
      </c>
      <c r="W1885">
        <v>-6.6580669999999995E-2</v>
      </c>
      <c r="X1885">
        <v>0.99685409999999997</v>
      </c>
      <c r="Y1885">
        <v>0.1083691</v>
      </c>
      <c r="Z1885">
        <v>2.4898449999999999E-2</v>
      </c>
      <c r="AA1885">
        <v>0.99379890000000004</v>
      </c>
      <c r="AB1885">
        <v>24</v>
      </c>
      <c r="AC1885">
        <v>-3.6050000000000102</v>
      </c>
      <c r="AD1885">
        <v>-1.1212237678329999</v>
      </c>
      <c r="AE1885">
        <v>-25.540599999999898</v>
      </c>
      <c r="AF1885">
        <v>2.8168715050525002</v>
      </c>
      <c r="AG1885">
        <v>-1.1212237678329999</v>
      </c>
      <c r="AH1885">
        <v>25.590551599102898</v>
      </c>
      <c r="AI1885">
        <v>92.493708553889405</v>
      </c>
      <c r="AJ1885">
        <v>83.718474455454199</v>
      </c>
      <c r="AK1885">
        <v>25.769521512047501</v>
      </c>
      <c r="AL1885">
        <v>93.817615526647799</v>
      </c>
      <c r="AM1885">
        <v>87.530097831892903</v>
      </c>
      <c r="AN1885">
        <v>0.99999999600278</v>
      </c>
    </row>
    <row r="1886" spans="1:40" x14ac:dyDescent="0.25">
      <c r="A1886" t="str">
        <f>"20190303153811421"</f>
        <v>20190303153811421</v>
      </c>
      <c r="B1886" t="str">
        <f>"1551598691411069"</f>
        <v>1551598691411069</v>
      </c>
      <c r="C1886" t="s">
        <v>40</v>
      </c>
      <c r="D1886">
        <v>5.0294600000000003</v>
      </c>
      <c r="E1886">
        <v>0.52760280000000004</v>
      </c>
      <c r="F1886" t="s">
        <v>51</v>
      </c>
      <c r="G1886">
        <v>-194.75550000000001</v>
      </c>
      <c r="H1886" s="1">
        <v>3.1741779999999999E-6</v>
      </c>
      <c r="I1886">
        <v>284.00869999999998</v>
      </c>
      <c r="J1886">
        <v>-191.19489999999999</v>
      </c>
      <c r="K1886">
        <v>1.121332</v>
      </c>
      <c r="L1886">
        <v>308.58460000000002</v>
      </c>
      <c r="M1886">
        <v>-3.1833599999999997E-2</v>
      </c>
      <c r="N1886">
        <v>-1.9259620000000002E-2</v>
      </c>
      <c r="O1886">
        <v>-0.99930790000000003</v>
      </c>
      <c r="P1886">
        <v>-7.7071790000000001E-2</v>
      </c>
      <c r="Q1886">
        <v>-8.5541809999999996E-2</v>
      </c>
      <c r="R1886">
        <v>-0.99334940000000005</v>
      </c>
      <c r="S1886">
        <v>-0.42820740000000002</v>
      </c>
      <c r="T1886">
        <v>-0.13452039999999901</v>
      </c>
      <c r="U1886">
        <v>-2.9759220000000002</v>
      </c>
      <c r="V1886">
        <v>4.5256190000000002E-2</v>
      </c>
      <c r="W1886">
        <v>-6.6458400000000001E-2</v>
      </c>
      <c r="X1886">
        <v>0.99676229999999999</v>
      </c>
      <c r="Y1886">
        <v>0.1107223</v>
      </c>
      <c r="Z1886">
        <v>2.5549079999999998E-2</v>
      </c>
      <c r="AA1886">
        <v>0.99352289999999999</v>
      </c>
      <c r="AB1886">
        <v>24</v>
      </c>
      <c r="AC1886">
        <v>-3.56060000000002</v>
      </c>
      <c r="AD1886">
        <v>-1.121328825822</v>
      </c>
      <c r="AE1886">
        <v>-24.575900000000001</v>
      </c>
      <c r="AF1886">
        <v>2.77066099658891</v>
      </c>
      <c r="AG1886">
        <v>-1.121328825822</v>
      </c>
      <c r="AH1886">
        <v>24.626593041046501</v>
      </c>
      <c r="AI1886">
        <v>92.590739857742903</v>
      </c>
      <c r="AJ1886">
        <v>83.5808243498183</v>
      </c>
      <c r="AK1886">
        <v>24.807317982864699</v>
      </c>
      <c r="AL1886">
        <v>93.810594549832899</v>
      </c>
      <c r="AM1886">
        <v>87.4003740787646</v>
      </c>
      <c r="AN1886">
        <v>0.99999996218258203</v>
      </c>
    </row>
    <row r="1887" spans="1:40" x14ac:dyDescent="0.25">
      <c r="A1887" t="str">
        <f>"20190303153811446"</f>
        <v>20190303153811446</v>
      </c>
      <c r="B1887" t="str">
        <f>"1551598691440349"</f>
        <v>1551598691440349</v>
      </c>
      <c r="C1887" t="s">
        <v>40</v>
      </c>
      <c r="D1887">
        <v>4.9486809999999997</v>
      </c>
      <c r="E1887">
        <v>0.59130749999999999</v>
      </c>
      <c r="F1887" t="s">
        <v>51</v>
      </c>
      <c r="G1887">
        <v>-194.7441</v>
      </c>
      <c r="H1887" s="1">
        <v>3.0728360000000002E-6</v>
      </c>
      <c r="I1887">
        <v>285.19110000000001</v>
      </c>
      <c r="J1887">
        <v>-191.2046</v>
      </c>
      <c r="K1887">
        <v>1.1214249999999999</v>
      </c>
      <c r="L1887">
        <v>308.33940000000001</v>
      </c>
      <c r="M1887">
        <v>-3.3291870000000001E-2</v>
      </c>
      <c r="N1887">
        <v>-2.03564E-2</v>
      </c>
      <c r="O1887">
        <v>-0.99923859999999998</v>
      </c>
      <c r="P1887">
        <v>-8.0778310000000006E-2</v>
      </c>
      <c r="Q1887">
        <v>-8.6791789999999994E-2</v>
      </c>
      <c r="R1887">
        <v>-0.99294640000000001</v>
      </c>
      <c r="S1887">
        <v>-0.45101930000000001</v>
      </c>
      <c r="T1887">
        <v>-0.1424965</v>
      </c>
      <c r="U1887">
        <v>-2.9728089999999998</v>
      </c>
      <c r="V1887">
        <v>4.7511539999999998E-2</v>
      </c>
      <c r="W1887">
        <v>-6.6630430000000004E-2</v>
      </c>
      <c r="X1887">
        <v>0.99664589999999997</v>
      </c>
      <c r="Y1887">
        <v>0.1168579</v>
      </c>
      <c r="Z1887">
        <v>2.7111840000000002E-2</v>
      </c>
      <c r="AA1887">
        <v>0.99277850000000001</v>
      </c>
      <c r="AB1887">
        <v>24</v>
      </c>
      <c r="AC1887">
        <v>-3.5394999999999999</v>
      </c>
      <c r="AD1887">
        <v>-1.12142192716399</v>
      </c>
      <c r="AE1887">
        <v>-23.148299999999999</v>
      </c>
      <c r="AF1887">
        <v>2.76039697624201</v>
      </c>
      <c r="AG1887">
        <v>-1.12142192716399</v>
      </c>
      <c r="AH1887">
        <v>23.2001188171648</v>
      </c>
      <c r="AI1887">
        <v>92.747993794428794</v>
      </c>
      <c r="AJ1887">
        <v>83.214731540173204</v>
      </c>
      <c r="AK1887">
        <v>23.390658215102299</v>
      </c>
      <c r="AL1887">
        <v>93.820472874182101</v>
      </c>
      <c r="AM1887">
        <v>87.270694242375995</v>
      </c>
      <c r="AN1887">
        <v>1.0000000053109801</v>
      </c>
    </row>
    <row r="1888" spans="1:40" x14ac:dyDescent="0.25">
      <c r="A1888" t="str">
        <f>"20190303153811468"</f>
        <v>20190303153811468</v>
      </c>
      <c r="B1888" t="str">
        <f>"1551598691460845"</f>
        <v>1551598691460845</v>
      </c>
      <c r="C1888" t="s">
        <v>40</v>
      </c>
      <c r="D1888">
        <v>4.9630539999999996</v>
      </c>
      <c r="E1888">
        <v>0.59089829999999999</v>
      </c>
      <c r="F1888" t="s">
        <v>51</v>
      </c>
      <c r="G1888">
        <v>-197.15430000000001</v>
      </c>
      <c r="H1888" s="1">
        <v>1.9951740000000001E-6</v>
      </c>
      <c r="I1888">
        <v>290.36099999999999</v>
      </c>
      <c r="J1888">
        <v>-191.2139</v>
      </c>
      <c r="K1888">
        <v>1.121489</v>
      </c>
      <c r="L1888">
        <v>308.11250000000001</v>
      </c>
      <c r="M1888">
        <v>-3.4764469999999999E-2</v>
      </c>
      <c r="N1888">
        <v>-2.133345E-2</v>
      </c>
      <c r="O1888">
        <v>-0.99916819999999895</v>
      </c>
      <c r="P1888">
        <v>-8.4698949999999995E-2</v>
      </c>
      <c r="Q1888">
        <v>-8.6864090000000005E-2</v>
      </c>
      <c r="R1888">
        <v>-0.99261330000000003</v>
      </c>
      <c r="S1888">
        <v>-0.96853639999999996</v>
      </c>
      <c r="T1888">
        <v>-0.18255080000000001</v>
      </c>
      <c r="U1888">
        <v>-2.9266049999999999</v>
      </c>
      <c r="V1888">
        <v>4.9968569999999997E-2</v>
      </c>
      <c r="W1888">
        <v>-6.5743129999999997E-2</v>
      </c>
      <c r="X1888">
        <v>0.99658469999999999</v>
      </c>
      <c r="Y1888">
        <v>0.28051890000000002</v>
      </c>
      <c r="Z1888">
        <v>3.8183620000000001E-2</v>
      </c>
      <c r="AA1888">
        <v>0.95908870000000002</v>
      </c>
      <c r="AB1888">
        <v>23</v>
      </c>
      <c r="AC1888">
        <v>-5.9404000000000101</v>
      </c>
      <c r="AD1888">
        <v>-1.1214870048259999</v>
      </c>
      <c r="AE1888">
        <v>-17.7515</v>
      </c>
      <c r="AF1888">
        <v>5.3005202881652203</v>
      </c>
      <c r="AG1888">
        <v>-1.1214870048259999</v>
      </c>
      <c r="AH1888">
        <v>17.883137358853201</v>
      </c>
      <c r="AI1888">
        <v>93.440850531549302</v>
      </c>
      <c r="AJ1888">
        <v>73.490299119046298</v>
      </c>
      <c r="AK1888">
        <v>18.685819495619</v>
      </c>
      <c r="AL1888">
        <v>93.769522472845296</v>
      </c>
      <c r="AM1888">
        <v>87.129604140117095</v>
      </c>
      <c r="AN1888">
        <v>1.0000000407020599</v>
      </c>
    </row>
    <row r="1889" spans="1:40" x14ac:dyDescent="0.25">
      <c r="A1889" t="str">
        <f>"20190303153811491"</f>
        <v>20190303153811491</v>
      </c>
      <c r="B1889" t="str">
        <f>"1551598691480368"</f>
        <v>1551598691480368</v>
      </c>
      <c r="C1889" t="s">
        <v>40</v>
      </c>
      <c r="D1889">
        <v>4.9350230000000002</v>
      </c>
      <c r="E1889">
        <v>0.59082480000000004</v>
      </c>
      <c r="F1889" t="s">
        <v>51</v>
      </c>
      <c r="G1889">
        <v>-197.04660000000001</v>
      </c>
      <c r="H1889" s="1">
        <v>1.9095399999999999E-6</v>
      </c>
      <c r="I1889">
        <v>290.65730000000002</v>
      </c>
      <c r="J1889">
        <v>-191.22380000000001</v>
      </c>
      <c r="K1889">
        <v>1.1215389999999901</v>
      </c>
      <c r="L1889">
        <v>307.8852</v>
      </c>
      <c r="M1889">
        <v>-3.6364979999999998E-2</v>
      </c>
      <c r="N1889">
        <v>-2.2271699999999998E-2</v>
      </c>
      <c r="O1889">
        <v>-0.99909060000000005</v>
      </c>
      <c r="P1889">
        <v>-8.8074269999999996E-2</v>
      </c>
      <c r="Q1889">
        <v>-8.677559E-2</v>
      </c>
      <c r="R1889">
        <v>-0.99232719999999996</v>
      </c>
      <c r="S1889">
        <v>-0.97659300000000004</v>
      </c>
      <c r="T1889">
        <v>-0.187776</v>
      </c>
      <c r="U1889">
        <v>-2.9226070000000002</v>
      </c>
      <c r="V1889">
        <v>5.1752840000000001E-2</v>
      </c>
      <c r="W1889">
        <v>-6.4731410000000003E-2</v>
      </c>
      <c r="X1889">
        <v>0.9965598</v>
      </c>
      <c r="Y1889">
        <v>0.2817228</v>
      </c>
      <c r="Z1889">
        <v>3.898981E-2</v>
      </c>
      <c r="AA1889">
        <v>0.95870330000000004</v>
      </c>
      <c r="AB1889">
        <v>23</v>
      </c>
      <c r="AC1889">
        <v>-5.8228</v>
      </c>
      <c r="AD1889">
        <v>-1.1215370904599999</v>
      </c>
      <c r="AE1889">
        <v>-17.227899999999899</v>
      </c>
      <c r="AF1889">
        <v>5.1726250295375502</v>
      </c>
      <c r="AG1889">
        <v>-1.1215370904599999</v>
      </c>
      <c r="AH1889">
        <v>17.362260162329601</v>
      </c>
      <c r="AI1889">
        <v>93.542504091456905</v>
      </c>
      <c r="AJ1889">
        <v>73.409970005641199</v>
      </c>
      <c r="AK1889">
        <v>18.1510873802616</v>
      </c>
      <c r="AL1889">
        <v>93.711431690010201</v>
      </c>
      <c r="AM1889">
        <v>87.027215023990607</v>
      </c>
      <c r="AN1889">
        <v>0.99999997343234603</v>
      </c>
    </row>
    <row r="1890" spans="1:40" x14ac:dyDescent="0.25">
      <c r="A1890" t="str">
        <f>"20190303153811512"</f>
        <v>20190303153811512</v>
      </c>
      <c r="B1890" t="str">
        <f>"1551598691500861"</f>
        <v>1551598691500861</v>
      </c>
      <c r="C1890" t="s">
        <v>40</v>
      </c>
      <c r="D1890">
        <v>4.9568329999999996</v>
      </c>
      <c r="E1890">
        <v>0.59097489999999997</v>
      </c>
      <c r="F1890" t="s">
        <v>51</v>
      </c>
      <c r="G1890">
        <v>-197.12219999999999</v>
      </c>
      <c r="H1890" s="1">
        <v>1.9814280000000001E-6</v>
      </c>
      <c r="I1890">
        <v>290.416</v>
      </c>
      <c r="J1890">
        <v>-191.23339999999999</v>
      </c>
      <c r="K1890">
        <v>1.1215619999999999</v>
      </c>
      <c r="L1890">
        <v>307.6748</v>
      </c>
      <c r="M1890">
        <v>-3.794956E-2</v>
      </c>
      <c r="N1890">
        <v>-2.3092600000000001E-2</v>
      </c>
      <c r="O1890">
        <v>-0.99901300000000004</v>
      </c>
      <c r="P1890">
        <v>-9.1104829999999998E-2</v>
      </c>
      <c r="Q1890">
        <v>-8.8064820000000002E-2</v>
      </c>
      <c r="R1890">
        <v>-0.99194009999999999</v>
      </c>
      <c r="S1890">
        <v>-0.98570250000000004</v>
      </c>
      <c r="T1890">
        <v>-0.1874228</v>
      </c>
      <c r="U1890">
        <v>-2.9193120000000001</v>
      </c>
      <c r="V1890">
        <v>5.3209380000000001E-2</v>
      </c>
      <c r="W1890">
        <v>-6.521557E-2</v>
      </c>
      <c r="X1890">
        <v>0.99645159999999999</v>
      </c>
      <c r="Y1890">
        <v>0.2832115</v>
      </c>
      <c r="Z1890">
        <v>3.8083430000000001E-2</v>
      </c>
      <c r="AA1890">
        <v>0.95830110000000002</v>
      </c>
      <c r="AB1890">
        <v>22</v>
      </c>
      <c r="AC1890">
        <v>-5.8887999999999998</v>
      </c>
      <c r="AD1890">
        <v>-1.1215600185720001</v>
      </c>
      <c r="AE1890">
        <v>-17.258800000000001</v>
      </c>
      <c r="AF1890">
        <v>5.2097108455169403</v>
      </c>
      <c r="AG1890">
        <v>-1.1215600185720001</v>
      </c>
      <c r="AH1890">
        <v>17.404064609089101</v>
      </c>
      <c r="AI1890">
        <v>93.532721062903306</v>
      </c>
      <c r="AJ1890">
        <v>73.335520952866304</v>
      </c>
      <c r="AK1890">
        <v>18.2016606079364</v>
      </c>
      <c r="AL1890">
        <v>93.739230468928497</v>
      </c>
      <c r="AM1890">
        <v>86.943373716191701</v>
      </c>
      <c r="AN1890">
        <v>1.0000000499164801</v>
      </c>
    </row>
    <row r="1891" spans="1:40" x14ac:dyDescent="0.25">
      <c r="A1891" t="str">
        <f>"20190303153811534"</f>
        <v>20190303153811534</v>
      </c>
      <c r="B1891" t="str">
        <f>"1551598691530142"</f>
        <v>1551598691530142</v>
      </c>
      <c r="C1891" t="s">
        <v>40</v>
      </c>
      <c r="D1891">
        <v>5.0013110000000003</v>
      </c>
      <c r="E1891">
        <v>0.59070809999999996</v>
      </c>
      <c r="F1891" t="s">
        <v>51</v>
      </c>
      <c r="G1891">
        <v>-197.14689999999999</v>
      </c>
      <c r="H1891" s="1">
        <v>1.9967209999999998E-6</v>
      </c>
      <c r="I1891">
        <v>290.36040000000003</v>
      </c>
      <c r="J1891">
        <v>-191.24359999999999</v>
      </c>
      <c r="K1891">
        <v>1.121561</v>
      </c>
      <c r="L1891">
        <v>307.46080000000001</v>
      </c>
      <c r="M1891">
        <v>-3.9647330000000001E-2</v>
      </c>
      <c r="N1891">
        <v>-2.3821700000000001E-2</v>
      </c>
      <c r="O1891">
        <v>-0.99892970000000003</v>
      </c>
      <c r="P1891">
        <v>-9.3500860000000005E-2</v>
      </c>
      <c r="Q1891">
        <v>-8.8059239999999997E-2</v>
      </c>
      <c r="R1891">
        <v>-0.99171750000000003</v>
      </c>
      <c r="S1891">
        <v>-0.99595639999999996</v>
      </c>
      <c r="T1891">
        <v>-0.18889220000000001</v>
      </c>
      <c r="U1891">
        <v>-2.916077</v>
      </c>
      <c r="V1891">
        <v>5.3917220000000002E-2</v>
      </c>
      <c r="W1891">
        <v>-6.4490999999999896E-2</v>
      </c>
      <c r="X1891">
        <v>0.99646069999999998</v>
      </c>
      <c r="Y1891">
        <v>0.28491250000000001</v>
      </c>
      <c r="Z1891">
        <v>3.7853169999999998E-2</v>
      </c>
      <c r="AA1891">
        <v>0.95780580000000004</v>
      </c>
      <c r="AB1891">
        <v>22</v>
      </c>
      <c r="AC1891">
        <v>-5.9032999999999998</v>
      </c>
      <c r="AD1891">
        <v>-1.1215590032789999</v>
      </c>
      <c r="AE1891">
        <v>-17.100399999999901</v>
      </c>
      <c r="AF1891">
        <v>5.2004896954674598</v>
      </c>
      <c r="AG1891">
        <v>-1.1215590032789999</v>
      </c>
      <c r="AH1891">
        <v>17.2547436728475</v>
      </c>
      <c r="AI1891">
        <v>93.561198608587802</v>
      </c>
      <c r="AJ1891">
        <v>73.227467352062106</v>
      </c>
      <c r="AK1891">
        <v>18.056277769412301</v>
      </c>
      <c r="AL1891">
        <v>93.697628118585598</v>
      </c>
      <c r="AM1891">
        <v>86.902818546317803</v>
      </c>
      <c r="AN1891">
        <v>1.000000041169</v>
      </c>
    </row>
    <row r="1892" spans="1:40" x14ac:dyDescent="0.25">
      <c r="A1892" t="str">
        <f>"20190303153811547"</f>
        <v>20190303153811547</v>
      </c>
      <c r="B1892" t="str">
        <f>"1551598691540879"</f>
        <v>1551598691540879</v>
      </c>
      <c r="C1892" t="s">
        <v>40</v>
      </c>
      <c r="D1892">
        <v>5.0042580000000001</v>
      </c>
      <c r="E1892">
        <v>0.59073500000000001</v>
      </c>
      <c r="F1892" t="s">
        <v>51</v>
      </c>
      <c r="G1892">
        <v>-197.13849999999999</v>
      </c>
      <c r="H1892" s="1">
        <v>2.0205770000000002E-6</v>
      </c>
      <c r="I1892">
        <v>290.2971</v>
      </c>
      <c r="J1892">
        <v>-191.2508</v>
      </c>
      <c r="K1892">
        <v>1.121561</v>
      </c>
      <c r="L1892">
        <v>307.31580000000002</v>
      </c>
      <c r="M1892">
        <v>-4.0838520000000003E-2</v>
      </c>
      <c r="N1892">
        <v>-2.4252929999999999E-2</v>
      </c>
      <c r="O1892">
        <v>-0.99887159999999997</v>
      </c>
      <c r="P1892">
        <v>-9.4795660000000004E-2</v>
      </c>
      <c r="Q1892">
        <v>-8.8348990000000002E-2</v>
      </c>
      <c r="R1892">
        <v>-0.99156889999999998</v>
      </c>
      <c r="S1892">
        <v>-1.0007629999999901</v>
      </c>
      <c r="T1892">
        <v>-0.19040360000000001</v>
      </c>
      <c r="U1892">
        <v>-2.913818</v>
      </c>
      <c r="V1892">
        <v>5.4027489999999997E-2</v>
      </c>
      <c r="W1892">
        <v>-6.4354739999999994E-2</v>
      </c>
      <c r="X1892">
        <v>0.99646349999999995</v>
      </c>
      <c r="Y1892">
        <v>0.2854004</v>
      </c>
      <c r="Z1892">
        <v>3.7941379999999997E-2</v>
      </c>
      <c r="AA1892">
        <v>0.95765710000000004</v>
      </c>
      <c r="AB1892">
        <v>22</v>
      </c>
      <c r="AC1892">
        <v>-5.8876999999999899</v>
      </c>
      <c r="AD1892">
        <v>-1.1215589794230001</v>
      </c>
      <c r="AE1892">
        <v>-17.018699999999999</v>
      </c>
      <c r="AF1892">
        <v>5.1675188017723999</v>
      </c>
      <c r="AG1892">
        <v>-1.1215589794230001</v>
      </c>
      <c r="AH1892">
        <v>17.178378366373099</v>
      </c>
      <c r="AI1892">
        <v>93.577559406312105</v>
      </c>
      <c r="AJ1892">
        <v>73.257909930875996</v>
      </c>
      <c r="AK1892">
        <v>17.973809512990599</v>
      </c>
      <c r="AL1892">
        <v>93.689804879769298</v>
      </c>
      <c r="AM1892">
        <v>86.896505350420099</v>
      </c>
      <c r="AN1892">
        <v>1.0000000045341999</v>
      </c>
    </row>
    <row r="1893" spans="1:40" x14ac:dyDescent="0.25">
      <c r="A1893" t="str">
        <f>"20190303153811568"</f>
        <v>20190303153811568</v>
      </c>
      <c r="B1893" t="str">
        <f>"1551598691560398"</f>
        <v>1551598691560398</v>
      </c>
      <c r="C1893" t="s">
        <v>40</v>
      </c>
      <c r="D1893">
        <v>5.0077639999999999</v>
      </c>
      <c r="E1893">
        <v>0.59073880000000001</v>
      </c>
      <c r="F1893" t="s">
        <v>51</v>
      </c>
      <c r="G1893">
        <v>-197.09780000000001</v>
      </c>
      <c r="H1893" s="1">
        <v>2.0023919999999999E-6</v>
      </c>
      <c r="I1893">
        <v>290.36900000000003</v>
      </c>
      <c r="J1893">
        <v>-191.26070000000001</v>
      </c>
      <c r="K1893">
        <v>1.121534</v>
      </c>
      <c r="L1893">
        <v>307.12270000000001</v>
      </c>
      <c r="M1893">
        <v>-4.2493120000000002E-2</v>
      </c>
      <c r="N1893">
        <v>-2.470938E-2</v>
      </c>
      <c r="O1893">
        <v>-0.99879119999999999</v>
      </c>
      <c r="P1893">
        <v>-9.7126190000000001E-2</v>
      </c>
      <c r="Q1893">
        <v>-8.9538950000000006E-2</v>
      </c>
      <c r="R1893">
        <v>-0.99123640000000002</v>
      </c>
      <c r="S1893">
        <v>-1.004807</v>
      </c>
      <c r="T1893">
        <v>-0.19273889999999999</v>
      </c>
      <c r="U1893">
        <v>-2.9122919999999999</v>
      </c>
      <c r="V1893">
        <v>5.4716019999999997E-2</v>
      </c>
      <c r="W1893">
        <v>-6.5098050000000005E-2</v>
      </c>
      <c r="X1893">
        <v>0.99637759999999997</v>
      </c>
      <c r="Y1893">
        <v>0.2851419</v>
      </c>
      <c r="Z1893">
        <v>3.826719E-2</v>
      </c>
      <c r="AA1893">
        <v>0.95772109999999999</v>
      </c>
      <c r="AB1893">
        <v>22</v>
      </c>
      <c r="AC1893">
        <v>-5.8370999999999897</v>
      </c>
      <c r="AD1893">
        <v>-1.121531997608</v>
      </c>
      <c r="AE1893">
        <v>-16.753699999999899</v>
      </c>
      <c r="AF1893">
        <v>5.0993122573123797</v>
      </c>
      <c r="AG1893">
        <v>-1.121531997608</v>
      </c>
      <c r="AH1893">
        <v>16.919058669057399</v>
      </c>
      <c r="AI1893">
        <v>93.631580825094304</v>
      </c>
      <c r="AJ1893">
        <v>73.227478931245599</v>
      </c>
      <c r="AK1893">
        <v>17.7063651200985</v>
      </c>
      <c r="AL1893">
        <v>93.732483065265399</v>
      </c>
      <c r="AM1893">
        <v>86.856762581611093</v>
      </c>
      <c r="AN1893">
        <v>0.99999996037009997</v>
      </c>
    </row>
    <row r="1894" spans="1:40" x14ac:dyDescent="0.25">
      <c r="A1894" t="str">
        <f>"20190303153811590"</f>
        <v>20190303153811590</v>
      </c>
      <c r="B1894" t="str">
        <f>"1551598691580893"</f>
        <v>1551598691580893</v>
      </c>
      <c r="C1894" t="s">
        <v>40</v>
      </c>
      <c r="D1894">
        <v>5.020276</v>
      </c>
      <c r="E1894">
        <v>0.59053149999999999</v>
      </c>
      <c r="F1894" t="s">
        <v>51</v>
      </c>
      <c r="G1894">
        <v>-196.98580000000001</v>
      </c>
      <c r="H1894" s="1">
        <v>1.9193310000000002E-6</v>
      </c>
      <c r="I1894">
        <v>290.66019999999997</v>
      </c>
      <c r="J1894">
        <v>-191.27189999999999</v>
      </c>
      <c r="K1894">
        <v>1.1214759999999999</v>
      </c>
      <c r="L1894">
        <v>306.91460000000001</v>
      </c>
      <c r="M1894">
        <v>-4.436905E-2</v>
      </c>
      <c r="N1894">
        <v>-2.5039140000000001E-2</v>
      </c>
      <c r="O1894">
        <v>-0.99870159999999997</v>
      </c>
      <c r="P1894">
        <v>-9.9458169999999999E-2</v>
      </c>
      <c r="Q1894">
        <v>-9.1563519999999995E-2</v>
      </c>
      <c r="R1894">
        <v>-0.99082020000000004</v>
      </c>
      <c r="S1894">
        <v>-1.0118100000000001</v>
      </c>
      <c r="T1894">
        <v>-0.19821050000000001</v>
      </c>
      <c r="U1894">
        <v>-2.9094540000000002</v>
      </c>
      <c r="V1894">
        <v>5.5186359999999997E-2</v>
      </c>
      <c r="W1894">
        <v>-6.6803730000000006E-2</v>
      </c>
      <c r="X1894">
        <v>0.99623879999999998</v>
      </c>
      <c r="Y1894">
        <v>0.28565699999999999</v>
      </c>
      <c r="Z1894">
        <v>3.9747440000000002E-2</v>
      </c>
      <c r="AA1894">
        <v>0.95750729999999995</v>
      </c>
      <c r="AB1894">
        <v>22</v>
      </c>
      <c r="AC1894">
        <v>-5.7139000000000202</v>
      </c>
      <c r="AD1894">
        <v>-1.121474080669</v>
      </c>
      <c r="AE1894">
        <v>-16.2544</v>
      </c>
      <c r="AF1894">
        <v>4.9658121406872704</v>
      </c>
      <c r="AG1894">
        <v>-1.121474080669</v>
      </c>
      <c r="AH1894">
        <v>16.422404517084701</v>
      </c>
      <c r="AI1894">
        <v>93.739891589819194</v>
      </c>
      <c r="AJ1894">
        <v>73.175715851479893</v>
      </c>
      <c r="AK1894">
        <v>17.193381414165501</v>
      </c>
      <c r="AL1894">
        <v>93.830424388764797</v>
      </c>
      <c r="AM1894">
        <v>86.829357343728006</v>
      </c>
      <c r="AN1894">
        <v>1.0000000096487001</v>
      </c>
    </row>
    <row r="1895" spans="1:40" x14ac:dyDescent="0.25">
      <c r="A1895" t="str">
        <f>"20190303153811612"</f>
        <v>20190303153811612</v>
      </c>
      <c r="B1895" t="str">
        <f>"1551598691600416"</f>
        <v>1551598691600416</v>
      </c>
      <c r="C1895" t="s">
        <v>40</v>
      </c>
      <c r="D1895">
        <v>5.0193469999999998</v>
      </c>
      <c r="E1895">
        <v>0.59032890000000005</v>
      </c>
      <c r="F1895" t="s">
        <v>51</v>
      </c>
      <c r="G1895">
        <v>-196.79079999999999</v>
      </c>
      <c r="H1895" s="1">
        <v>1.7842129999999999E-6</v>
      </c>
      <c r="I1895">
        <v>291.14030000000002</v>
      </c>
      <c r="J1895">
        <v>-191.2835</v>
      </c>
      <c r="K1895">
        <v>1.1213630000000001</v>
      </c>
      <c r="L1895">
        <v>306.70780000000002</v>
      </c>
      <c r="M1895">
        <v>-4.6338230000000001E-2</v>
      </c>
      <c r="N1895">
        <v>-2.5138259999999999E-2</v>
      </c>
      <c r="O1895">
        <v>-0.99860950000000004</v>
      </c>
      <c r="P1895">
        <v>-0.10158449999999999</v>
      </c>
      <c r="Q1895">
        <v>-9.16048E-2</v>
      </c>
      <c r="R1895">
        <v>-0.99060049999999999</v>
      </c>
      <c r="S1895">
        <v>-1.0169220000000001</v>
      </c>
      <c r="T1895">
        <v>-0.2066461</v>
      </c>
      <c r="U1895">
        <v>-2.9066160000000001</v>
      </c>
      <c r="V1895">
        <v>5.5354479999999998E-2</v>
      </c>
      <c r="W1895">
        <v>-6.6751699999999997E-2</v>
      </c>
      <c r="X1895">
        <v>0.99623289999999998</v>
      </c>
      <c r="Y1895">
        <v>0.28551110000000002</v>
      </c>
      <c r="Z1895">
        <v>4.24328E-2</v>
      </c>
      <c r="AA1895">
        <v>0.95743549999999999</v>
      </c>
      <c r="AB1895">
        <v>21</v>
      </c>
      <c r="AC1895">
        <v>-5.5072999999999803</v>
      </c>
      <c r="AD1895">
        <v>-1.1213612157870001</v>
      </c>
      <c r="AE1895">
        <v>-15.5674999999999</v>
      </c>
      <c r="AF1895">
        <v>4.7578411900864301</v>
      </c>
      <c r="AG1895">
        <v>-1.1213612157870001</v>
      </c>
      <c r="AH1895">
        <v>15.7334911777504</v>
      </c>
      <c r="AI1895">
        <v>93.902737387297805</v>
      </c>
      <c r="AJ1895">
        <v>73.174571768541895</v>
      </c>
      <c r="AK1895">
        <v>16.475352755152301</v>
      </c>
      <c r="AL1895">
        <v>93.827436850970898</v>
      </c>
      <c r="AM1895">
        <v>86.8196992835271</v>
      </c>
      <c r="AN1895">
        <v>0.99999994947568305</v>
      </c>
    </row>
    <row r="1896" spans="1:40" x14ac:dyDescent="0.25">
      <c r="A1896" t="str">
        <f>"20190303153811626"</f>
        <v>20190303153811626</v>
      </c>
      <c r="B1896" t="str">
        <f>"1551598691620909"</f>
        <v>1551598691620909</v>
      </c>
      <c r="C1896" t="s">
        <v>40</v>
      </c>
      <c r="D1896">
        <v>5.0189649999999997</v>
      </c>
      <c r="E1896">
        <v>0.59029960000000004</v>
      </c>
      <c r="F1896" t="s">
        <v>51</v>
      </c>
      <c r="G1896">
        <v>-196.81979999999999</v>
      </c>
      <c r="H1896" s="1">
        <v>1.84083E-6</v>
      </c>
      <c r="I1896">
        <v>290.96550000000002</v>
      </c>
      <c r="J1896">
        <v>-191.29159999999999</v>
      </c>
      <c r="K1896">
        <v>1.1212770000000001</v>
      </c>
      <c r="L1896">
        <v>306.56950000000001</v>
      </c>
      <c r="M1896">
        <v>-4.770638E-2</v>
      </c>
      <c r="N1896">
        <v>-2.5088019999999999E-2</v>
      </c>
      <c r="O1896">
        <v>-0.99854659999999995</v>
      </c>
      <c r="P1896">
        <v>-0.1026909</v>
      </c>
      <c r="Q1896">
        <v>-9.0751680000000001E-2</v>
      </c>
      <c r="R1896">
        <v>-0.99056540000000004</v>
      </c>
      <c r="S1896">
        <v>-1.0214840000000001</v>
      </c>
      <c r="T1896">
        <v>-0.20689959999999999</v>
      </c>
      <c r="U1896">
        <v>-2.9045719999999999</v>
      </c>
      <c r="V1896">
        <v>5.509849E-2</v>
      </c>
      <c r="W1896">
        <v>-6.5948350000000003E-2</v>
      </c>
      <c r="X1896">
        <v>0.99630059999999998</v>
      </c>
      <c r="Y1896">
        <v>0.28574549999999999</v>
      </c>
      <c r="Z1896">
        <v>4.2590379999999997E-2</v>
      </c>
      <c r="AA1896">
        <v>0.95735870000000001</v>
      </c>
      <c r="AB1896">
        <v>21</v>
      </c>
      <c r="AC1896">
        <v>-5.5281999999999902</v>
      </c>
      <c r="AD1896">
        <v>-1.1212751591700001</v>
      </c>
      <c r="AE1896">
        <v>-15.6039999999999</v>
      </c>
      <c r="AF1896">
        <v>4.75544029395747</v>
      </c>
      <c r="AG1896">
        <v>-1.1212751591700001</v>
      </c>
      <c r="AH1896">
        <v>15.777651335208301</v>
      </c>
      <c r="AI1896">
        <v>93.892621884157606</v>
      </c>
      <c r="AJ1896">
        <v>73.227006212052402</v>
      </c>
      <c r="AK1896">
        <v>16.516832384793599</v>
      </c>
      <c r="AL1896">
        <v>93.781306602227104</v>
      </c>
      <c r="AM1896">
        <v>86.834591457538394</v>
      </c>
      <c r="AN1896">
        <v>0.99999995701417999</v>
      </c>
    </row>
    <row r="1897" spans="1:40" x14ac:dyDescent="0.25">
      <c r="A1897" t="str">
        <f>"20190303153811648"</f>
        <v>20190303153811648</v>
      </c>
      <c r="B1897" t="str">
        <f>"1551598691640431"</f>
        <v>1551598691640431</v>
      </c>
      <c r="C1897" t="s">
        <v>40</v>
      </c>
      <c r="D1897">
        <v>5.0267099999999996</v>
      </c>
      <c r="E1897">
        <v>0.59040839999999895</v>
      </c>
      <c r="F1897" t="s">
        <v>51</v>
      </c>
      <c r="G1897">
        <v>-196.91800000000001</v>
      </c>
      <c r="H1897" s="1">
        <v>1.9443090000000002E-6</v>
      </c>
      <c r="I1897">
        <v>290.62349999999998</v>
      </c>
      <c r="J1897">
        <v>-191.30289999999999</v>
      </c>
      <c r="K1897">
        <v>1.121164</v>
      </c>
      <c r="L1897">
        <v>306.38139999999999</v>
      </c>
      <c r="M1897">
        <v>-4.9628369999999998E-2</v>
      </c>
      <c r="N1897">
        <v>-2.4930609999999999E-2</v>
      </c>
      <c r="O1897">
        <v>-0.99845669999999997</v>
      </c>
      <c r="P1897">
        <v>-0.1035012</v>
      </c>
      <c r="Q1897">
        <v>-8.9254539999999993E-2</v>
      </c>
      <c r="R1897">
        <v>-0.99061659999999996</v>
      </c>
      <c r="S1897">
        <v>-1.0245359999999999</v>
      </c>
      <c r="T1897">
        <v>-0.20417979999999999</v>
      </c>
      <c r="U1897">
        <v>-2.9036870000000001</v>
      </c>
      <c r="V1897">
        <v>5.3993359999999997E-2</v>
      </c>
      <c r="W1897">
        <v>-6.4602119999999999E-2</v>
      </c>
      <c r="X1897">
        <v>0.99644940000000004</v>
      </c>
      <c r="Y1897">
        <v>0.2849042</v>
      </c>
      <c r="Z1897">
        <v>4.1878329999999998E-2</v>
      </c>
      <c r="AA1897">
        <v>0.95764079999999996</v>
      </c>
      <c r="AB1897">
        <v>21</v>
      </c>
      <c r="AC1897">
        <v>-5.6151000000000098</v>
      </c>
      <c r="AD1897">
        <v>-1.121162055691</v>
      </c>
      <c r="AE1897">
        <v>-15.757899999999999</v>
      </c>
      <c r="AF1897">
        <v>4.8043142970771102</v>
      </c>
      <c r="AG1897">
        <v>-1.121162055691</v>
      </c>
      <c r="AH1897">
        <v>15.9455998259442</v>
      </c>
      <c r="AI1897">
        <v>93.851475369341898</v>
      </c>
      <c r="AJ1897">
        <v>73.2327585397815</v>
      </c>
      <c r="AK1897">
        <v>16.691332901520202</v>
      </c>
      <c r="AL1897">
        <v>93.704008053093304</v>
      </c>
      <c r="AM1897">
        <v>86.898418245218494</v>
      </c>
      <c r="AN1897">
        <v>1.0000000617964699</v>
      </c>
    </row>
    <row r="1898" spans="1:40" x14ac:dyDescent="0.25">
      <c r="A1898" t="str">
        <f>"20190303153811669"</f>
        <v>20190303153811669</v>
      </c>
      <c r="B1898" t="str">
        <f>"1551598691660925"</f>
        <v>1551598691660925</v>
      </c>
      <c r="C1898" t="s">
        <v>40</v>
      </c>
      <c r="D1898">
        <v>5.0002110000000002</v>
      </c>
      <c r="E1898">
        <v>0.59040249999999905</v>
      </c>
      <c r="F1898" t="s">
        <v>51</v>
      </c>
      <c r="G1898">
        <v>-197.07390000000001</v>
      </c>
      <c r="H1898" s="1">
        <v>2.1101439999999999E-6</v>
      </c>
      <c r="I1898">
        <v>290.07619999999997</v>
      </c>
      <c r="J1898">
        <v>-191.31549999999999</v>
      </c>
      <c r="K1898">
        <v>1.1210469999999999</v>
      </c>
      <c r="L1898">
        <v>306.18079999999998</v>
      </c>
      <c r="M1898">
        <v>-5.1775549999999997E-2</v>
      </c>
      <c r="N1898">
        <v>-2.4689260000000001E-2</v>
      </c>
      <c r="O1898">
        <v>-0.99835370000000001</v>
      </c>
      <c r="P1898">
        <v>-0.10487730000000001</v>
      </c>
      <c r="Q1898">
        <v>-9.1145959999999998E-2</v>
      </c>
      <c r="R1898">
        <v>-0.9902995</v>
      </c>
      <c r="S1898">
        <v>-1.027496</v>
      </c>
      <c r="T1898">
        <v>-0.1996175</v>
      </c>
      <c r="U1898">
        <v>-2.903076</v>
      </c>
      <c r="V1898">
        <v>5.3236480000000003E-2</v>
      </c>
      <c r="W1898">
        <v>-6.6736089999999998E-2</v>
      </c>
      <c r="X1898">
        <v>0.99634940000000005</v>
      </c>
      <c r="Y1898">
        <v>0.28380149999999998</v>
      </c>
      <c r="Z1898">
        <v>4.0646660000000001E-2</v>
      </c>
      <c r="AA1898">
        <v>0.95802120000000002</v>
      </c>
      <c r="AB1898">
        <v>21</v>
      </c>
      <c r="AC1898">
        <v>-5.7584000000000204</v>
      </c>
      <c r="AD1898">
        <v>-1.1210448898559999</v>
      </c>
      <c r="AE1898">
        <v>-16.104600000000001</v>
      </c>
      <c r="AF1898">
        <v>4.8955604138694797</v>
      </c>
      <c r="AG1898">
        <v>-1.1210448898559999</v>
      </c>
      <c r="AH1898">
        <v>16.311144116287402</v>
      </c>
      <c r="AI1898">
        <v>93.766219062594601</v>
      </c>
      <c r="AJ1898">
        <v>73.293610865048507</v>
      </c>
      <c r="AK1898">
        <v>17.066829693683999</v>
      </c>
      <c r="AL1898">
        <v>93.826540356845797</v>
      </c>
      <c r="AM1898">
        <v>86.941506808520202</v>
      </c>
      <c r="AN1898">
        <v>0.99999997769581905</v>
      </c>
    </row>
    <row r="1899" spans="1:40" x14ac:dyDescent="0.25">
      <c r="A1899" t="str">
        <f>"20190303153811692"</f>
        <v>20190303153811692</v>
      </c>
      <c r="B1899" t="str">
        <f>"1551598691680445"</f>
        <v>1551598691680445</v>
      </c>
      <c r="C1899" t="s">
        <v>40</v>
      </c>
      <c r="D1899">
        <v>5.0187290000000004</v>
      </c>
      <c r="E1899">
        <v>0.59062340000000002</v>
      </c>
      <c r="F1899" t="s">
        <v>51</v>
      </c>
      <c r="G1899">
        <v>-196.9408</v>
      </c>
      <c r="H1899" s="1">
        <v>2.0341729999999998E-6</v>
      </c>
      <c r="I1899">
        <v>290.35789999999997</v>
      </c>
      <c r="J1899">
        <v>-191.3288</v>
      </c>
      <c r="K1899">
        <v>1.1208629999999999</v>
      </c>
      <c r="L1899">
        <v>305.97559999999999</v>
      </c>
      <c r="M1899">
        <v>-5.4110419999999999E-2</v>
      </c>
      <c r="N1899">
        <v>-2.4208739999999999E-2</v>
      </c>
      <c r="O1899">
        <v>-0.99824139999999995</v>
      </c>
      <c r="P1899">
        <v>-0.1070697</v>
      </c>
      <c r="Q1899">
        <v>-9.5070509999999997E-2</v>
      </c>
      <c r="R1899">
        <v>-0.98969569999999996</v>
      </c>
      <c r="S1899">
        <v>-1.0314479999999999</v>
      </c>
      <c r="T1899">
        <v>-0.20555200000000001</v>
      </c>
      <c r="U1899">
        <v>-2.9012449999999999</v>
      </c>
      <c r="V1899">
        <v>5.3112590000000001E-2</v>
      </c>
      <c r="W1899">
        <v>-7.1151640000000002E-2</v>
      </c>
      <c r="X1899">
        <v>0.99605049999999995</v>
      </c>
      <c r="Y1899">
        <v>0.28287679999999998</v>
      </c>
      <c r="Z1899">
        <v>4.3083459999999997E-2</v>
      </c>
      <c r="AA1899">
        <v>0.95818820000000005</v>
      </c>
      <c r="AB1899">
        <v>21</v>
      </c>
      <c r="AC1899">
        <v>-5.6119999999999903</v>
      </c>
      <c r="AD1899">
        <v>-1.1208609658269999</v>
      </c>
      <c r="AE1899">
        <v>-15.617699999999999</v>
      </c>
      <c r="AF1899">
        <v>4.7368371514751901</v>
      </c>
      <c r="AG1899">
        <v>-1.1208609658269999</v>
      </c>
      <c r="AH1899">
        <v>15.8263672887376</v>
      </c>
      <c r="AI1899">
        <v>93.881488894652605</v>
      </c>
      <c r="AJ1899">
        <v>73.337540290920899</v>
      </c>
      <c r="AK1899">
        <v>16.558014888939201</v>
      </c>
      <c r="AL1899">
        <v>94.080136073711998</v>
      </c>
      <c r="AM1899">
        <v>86.947697010797199</v>
      </c>
      <c r="AN1899">
        <v>1.0000000508207201</v>
      </c>
    </row>
    <row r="1900" spans="1:40" x14ac:dyDescent="0.25">
      <c r="A1900" t="str">
        <f>"20190303153811724"</f>
        <v>20190303153811724</v>
      </c>
      <c r="B1900" t="str">
        <f>"1551598691720462"</f>
        <v>1551598691720462</v>
      </c>
      <c r="C1900" t="s">
        <v>40</v>
      </c>
      <c r="D1900">
        <v>5.0389850000000003</v>
      </c>
      <c r="E1900">
        <v>0.59097739999999999</v>
      </c>
      <c r="F1900" t="s">
        <v>51</v>
      </c>
      <c r="G1900">
        <v>-196.70670000000001</v>
      </c>
      <c r="H1900" s="1">
        <v>1.853796E-6</v>
      </c>
      <c r="I1900">
        <v>290.98559999999998</v>
      </c>
      <c r="J1900">
        <v>-191.34880000000001</v>
      </c>
      <c r="K1900">
        <v>1.120503</v>
      </c>
      <c r="L1900">
        <v>305.68639999999999</v>
      </c>
      <c r="M1900">
        <v>-5.7589500000000002E-2</v>
      </c>
      <c r="N1900">
        <v>-2.3036879999999999E-2</v>
      </c>
      <c r="O1900">
        <v>-0.99807449999999998</v>
      </c>
      <c r="P1900">
        <v>-0.10989160000000001</v>
      </c>
      <c r="Q1900">
        <v>-9.3709589999999995E-2</v>
      </c>
      <c r="R1900">
        <v>-0.98951619999999996</v>
      </c>
      <c r="S1900">
        <v>-1.0396879999999999</v>
      </c>
      <c r="T1900">
        <v>-0.21669359999999999</v>
      </c>
      <c r="U1900">
        <v>-2.89798</v>
      </c>
      <c r="V1900">
        <v>5.2460819999999998E-2</v>
      </c>
      <c r="W1900">
        <v>-7.0964979999999997E-2</v>
      </c>
      <c r="X1900">
        <v>0.99609829999999999</v>
      </c>
      <c r="Y1900">
        <v>0.28222580000000003</v>
      </c>
      <c r="Z1900">
        <v>4.7907119999999997E-2</v>
      </c>
      <c r="AA1900">
        <v>0.95815110000000003</v>
      </c>
      <c r="AB1900">
        <v>20</v>
      </c>
      <c r="AC1900">
        <v>-5.3578999999999999</v>
      </c>
      <c r="AD1900">
        <v>-1.120501146204</v>
      </c>
      <c r="AE1900">
        <v>-14.700799999999999</v>
      </c>
      <c r="AF1900">
        <v>4.4791957158504099</v>
      </c>
      <c r="AG1900">
        <v>-1.120501146204</v>
      </c>
      <c r="AH1900">
        <v>14.9085733103036</v>
      </c>
      <c r="AI1900">
        <v>94.117030703839603</v>
      </c>
      <c r="AJ1900">
        <v>73.277404573255893</v>
      </c>
      <c r="AK1900">
        <v>15.6071866532131</v>
      </c>
      <c r="AL1900">
        <v>94.069414369741907</v>
      </c>
      <c r="AM1900">
        <v>86.985228160372998</v>
      </c>
      <c r="AN1900">
        <v>0.99999999464218103</v>
      </c>
    </row>
    <row r="1901" spans="1:40" x14ac:dyDescent="0.25">
      <c r="A1901" t="str">
        <f>"20190303153811745"</f>
        <v>20190303153811745</v>
      </c>
      <c r="B1901" t="str">
        <f>"1551598691740957"</f>
        <v>1551598691740957</v>
      </c>
      <c r="C1901" t="s">
        <v>40</v>
      </c>
      <c r="D1901">
        <v>5.0466290000000003</v>
      </c>
      <c r="E1901">
        <v>0.59113909999999903</v>
      </c>
      <c r="F1901" t="s">
        <v>51</v>
      </c>
      <c r="G1901">
        <v>-196.8647</v>
      </c>
      <c r="H1901" s="1">
        <v>2.0019549999999999E-6</v>
      </c>
      <c r="I1901">
        <v>290.48719999999997</v>
      </c>
      <c r="J1901">
        <v>-191.36369999999999</v>
      </c>
      <c r="K1901">
        <v>1.120287</v>
      </c>
      <c r="L1901">
        <v>305.48149999999998</v>
      </c>
      <c r="M1901">
        <v>-6.0146640000000001E-2</v>
      </c>
      <c r="N1901">
        <v>-2.2066100000000002E-2</v>
      </c>
      <c r="O1901">
        <v>-0.99794570000000005</v>
      </c>
      <c r="P1901">
        <v>-0.11139930000000001</v>
      </c>
      <c r="Q1901">
        <v>-9.0801000000000007E-2</v>
      </c>
      <c r="R1901">
        <v>-0.98961909999999997</v>
      </c>
      <c r="S1901">
        <v>-1.0505679999999999</v>
      </c>
      <c r="T1901">
        <v>-0.2134105</v>
      </c>
      <c r="U1901">
        <v>-2.8948360000000002</v>
      </c>
      <c r="V1901">
        <v>5.1410400000000002E-2</v>
      </c>
      <c r="W1901">
        <v>-6.9020689999999996E-2</v>
      </c>
      <c r="X1901">
        <v>0.99628969999999994</v>
      </c>
      <c r="Y1901">
        <v>0.28330470000000002</v>
      </c>
      <c r="Z1901">
        <v>4.7813290000000001E-2</v>
      </c>
      <c r="AA1901">
        <v>0.9578373</v>
      </c>
      <c r="AB1901">
        <v>20</v>
      </c>
      <c r="AC1901">
        <v>-5.5010000000000003</v>
      </c>
      <c r="AD1901">
        <v>-1.120284998045</v>
      </c>
      <c r="AE1901">
        <v>-14.994300000000001</v>
      </c>
      <c r="AF1901">
        <v>4.5664924694071196</v>
      </c>
      <c r="AG1901">
        <v>-1.120284998045</v>
      </c>
      <c r="AH1901">
        <v>15.223189763935901</v>
      </c>
      <c r="AI1901">
        <v>94.031978124655794</v>
      </c>
      <c r="AJ1901">
        <v>73.302359536527106</v>
      </c>
      <c r="AK1901">
        <v>15.932777489778699</v>
      </c>
      <c r="AL1901">
        <v>93.957740737438698</v>
      </c>
      <c r="AM1901">
        <v>87.046051318334193</v>
      </c>
      <c r="AN1901">
        <v>1.0000000256011601</v>
      </c>
    </row>
    <row r="1902" spans="1:40" x14ac:dyDescent="0.25">
      <c r="A1902" t="str">
        <f>"20190303153811770"</f>
        <v>20190303153811770</v>
      </c>
      <c r="B1902" t="str">
        <f>"1551598691760477"</f>
        <v>1551598691760477</v>
      </c>
      <c r="C1902" t="s">
        <v>40</v>
      </c>
      <c r="D1902">
        <v>4.9954700000000001</v>
      </c>
      <c r="E1902">
        <v>0.59140519999999996</v>
      </c>
      <c r="F1902" t="s">
        <v>51</v>
      </c>
      <c r="G1902">
        <v>-197.19589999999999</v>
      </c>
      <c r="H1902" s="1">
        <v>2.261299E-6</v>
      </c>
      <c r="I1902">
        <v>289.49919999999997</v>
      </c>
      <c r="J1902">
        <v>-191.37989999999999</v>
      </c>
      <c r="K1902">
        <v>1.120106</v>
      </c>
      <c r="L1902">
        <v>305.26650000000001</v>
      </c>
      <c r="M1902">
        <v>-6.2944280000000005E-2</v>
      </c>
      <c r="N1902">
        <v>-2.1096899999999998E-2</v>
      </c>
      <c r="O1902">
        <v>-0.99779399999999996</v>
      </c>
      <c r="P1902">
        <v>-0.114552</v>
      </c>
      <c r="Q1902">
        <v>-8.9629970000000003E-2</v>
      </c>
      <c r="R1902">
        <v>-0.98936579999999996</v>
      </c>
      <c r="S1902">
        <v>-1.056076</v>
      </c>
      <c r="T1902">
        <v>-0.2028567</v>
      </c>
      <c r="U1902">
        <v>-2.894012</v>
      </c>
      <c r="V1902">
        <v>5.1778530000000003E-2</v>
      </c>
      <c r="W1902">
        <v>-6.8821149999999998E-2</v>
      </c>
      <c r="X1902">
        <v>0.99628439999999996</v>
      </c>
      <c r="Y1902">
        <v>0.28238000000000002</v>
      </c>
      <c r="Z1902">
        <v>4.5340859999999997E-2</v>
      </c>
      <c r="AA1902">
        <v>0.95823049999999999</v>
      </c>
      <c r="AB1902">
        <v>20</v>
      </c>
      <c r="AC1902">
        <v>-5.8159999999999998</v>
      </c>
      <c r="AD1902">
        <v>-1.120103738701</v>
      </c>
      <c r="AE1902">
        <v>-15.767300000000001</v>
      </c>
      <c r="AF1902">
        <v>4.7904992075015898</v>
      </c>
      <c r="AG1902">
        <v>-1.120103738701</v>
      </c>
      <c r="AH1902">
        <v>16.030972504446002</v>
      </c>
      <c r="AI1902">
        <v>93.830011756207696</v>
      </c>
      <c r="AJ1902">
        <v>73.362395650137103</v>
      </c>
      <c r="AK1902">
        <v>16.768887693607699</v>
      </c>
      <c r="AL1902">
        <v>93.946280842775494</v>
      </c>
      <c r="AM1902">
        <v>87.024921300096494</v>
      </c>
      <c r="AN1902">
        <v>0.99999998626982101</v>
      </c>
    </row>
    <row r="1903" spans="1:40" x14ac:dyDescent="0.25">
      <c r="A1903" t="str">
        <f>"20190303153811790"</f>
        <v>20190303153811790</v>
      </c>
      <c r="B1903" t="str">
        <f>"1551598691780973"</f>
        <v>1551598691780973</v>
      </c>
      <c r="C1903" t="s">
        <v>40</v>
      </c>
      <c r="D1903">
        <v>5.0217799999999997</v>
      </c>
      <c r="E1903">
        <v>0.59153639999999996</v>
      </c>
      <c r="F1903" t="s">
        <v>51</v>
      </c>
      <c r="G1903">
        <v>-197.40710000000001</v>
      </c>
      <c r="H1903" s="1">
        <v>2.2720419999999999E-6</v>
      </c>
      <c r="I1903">
        <v>288.9477</v>
      </c>
      <c r="J1903">
        <v>-191.3955</v>
      </c>
      <c r="K1903">
        <v>1.119977</v>
      </c>
      <c r="L1903">
        <v>305.07029999999997</v>
      </c>
      <c r="M1903">
        <v>-6.5659190000000006E-2</v>
      </c>
      <c r="N1903">
        <v>-2.0287320000000001E-2</v>
      </c>
      <c r="O1903">
        <v>-0.99763610000000003</v>
      </c>
      <c r="P1903">
        <v>-0.1188809</v>
      </c>
      <c r="Q1903">
        <v>-8.9944969999999999E-2</v>
      </c>
      <c r="R1903">
        <v>-0.98882669999999995</v>
      </c>
      <c r="S1903">
        <v>-1.067612</v>
      </c>
      <c r="T1903">
        <v>-0.1984069</v>
      </c>
      <c r="U1903">
        <v>-2.8905940000000001</v>
      </c>
      <c r="V1903">
        <v>5.3416060000000001E-2</v>
      </c>
      <c r="W1903">
        <v>-6.9957179999999994E-2</v>
      </c>
      <c r="X1903">
        <v>0.99611879999999997</v>
      </c>
      <c r="Y1903">
        <v>0.28353</v>
      </c>
      <c r="Z1903">
        <v>4.4706410000000002E-2</v>
      </c>
      <c r="AA1903">
        <v>0.95792069999999996</v>
      </c>
      <c r="AB1903">
        <v>20</v>
      </c>
      <c r="AC1903">
        <v>-6.0116000000000103</v>
      </c>
      <c r="AD1903">
        <v>-1.1199747279579999</v>
      </c>
      <c r="AE1903">
        <v>-16.122599999999899</v>
      </c>
      <c r="AF1903">
        <v>4.9189683725988704</v>
      </c>
      <c r="AG1903">
        <v>-1.1199747279579999</v>
      </c>
      <c r="AH1903">
        <v>16.413058256239299</v>
      </c>
      <c r="AI1903">
        <v>93.739786039309394</v>
      </c>
      <c r="AJ1903">
        <v>73.316607225694796</v>
      </c>
      <c r="AK1903">
        <v>17.170878677708799</v>
      </c>
      <c r="AL1903">
        <v>94.011527891518298</v>
      </c>
      <c r="AM1903">
        <v>86.930500368677599</v>
      </c>
      <c r="AN1903">
        <v>0.99999997310645705</v>
      </c>
    </row>
    <row r="1904" spans="1:40" x14ac:dyDescent="0.25">
      <c r="A1904" t="str">
        <f>"20190303153811815"</f>
        <v>20190303153811815</v>
      </c>
      <c r="B1904" t="str">
        <f>"1551598691810254"</f>
        <v>1551598691810254</v>
      </c>
      <c r="C1904" t="s">
        <v>40</v>
      </c>
      <c r="D1904">
        <v>5.0165059999999997</v>
      </c>
      <c r="E1904">
        <v>0.59184809999999999</v>
      </c>
      <c r="F1904" t="s">
        <v>51</v>
      </c>
      <c r="G1904">
        <v>-197.4228</v>
      </c>
      <c r="H1904" s="1">
        <v>2.2662629999999998E-6</v>
      </c>
      <c r="I1904">
        <v>288.98200000000003</v>
      </c>
      <c r="J1904">
        <v>-191.41300000000001</v>
      </c>
      <c r="K1904">
        <v>1.119848</v>
      </c>
      <c r="L1904">
        <v>304.858</v>
      </c>
      <c r="M1904">
        <v>-6.8739430000000004E-2</v>
      </c>
      <c r="N1904">
        <v>-1.9463569999999999E-2</v>
      </c>
      <c r="O1904">
        <v>-0.99744500000000003</v>
      </c>
      <c r="P1904">
        <v>-0.1236984</v>
      </c>
      <c r="Q1904">
        <v>-8.9371359999999997E-2</v>
      </c>
      <c r="R1904">
        <v>-0.98828740000000004</v>
      </c>
      <c r="S1904">
        <v>-1.0810850000000001</v>
      </c>
      <c r="T1904">
        <v>-0.20088259999999999</v>
      </c>
      <c r="U1904">
        <v>-2.8856510000000002</v>
      </c>
      <c r="V1904">
        <v>5.5178499999999998E-2</v>
      </c>
      <c r="W1904">
        <v>-7.0219740000000003E-2</v>
      </c>
      <c r="X1904">
        <v>0.99600429999999995</v>
      </c>
      <c r="Y1904">
        <v>0.28501359999999998</v>
      </c>
      <c r="Z1904">
        <v>4.6356439999999999E-2</v>
      </c>
      <c r="AA1904">
        <v>0.95740190000000003</v>
      </c>
      <c r="AB1904">
        <v>20</v>
      </c>
      <c r="AC1904">
        <v>-6.00980000000001</v>
      </c>
      <c r="AD1904">
        <v>-1.119845733737</v>
      </c>
      <c r="AE1904">
        <v>-15.8759999999999</v>
      </c>
      <c r="AF1904">
        <v>4.8828162760371896</v>
      </c>
      <c r="AG1904">
        <v>-1.119845733737</v>
      </c>
      <c r="AH1904">
        <v>16.181203485744199</v>
      </c>
      <c r="AI1904">
        <v>93.790633227128794</v>
      </c>
      <c r="AJ1904">
        <v>73.208363228320394</v>
      </c>
      <c r="AK1904">
        <v>16.938928404712101</v>
      </c>
      <c r="AL1904">
        <v>94.026608360576901</v>
      </c>
      <c r="AM1904">
        <v>86.829063136671707</v>
      </c>
      <c r="AN1904">
        <v>1.0000000221831999</v>
      </c>
    </row>
    <row r="1905" spans="1:40" x14ac:dyDescent="0.25">
      <c r="A1905" t="str">
        <f>"20190303153811835"</f>
        <v>20190303153811835</v>
      </c>
      <c r="B1905" t="str">
        <f>"1551598691830749"</f>
        <v>1551598691830749</v>
      </c>
      <c r="C1905" t="s">
        <v>40</v>
      </c>
      <c r="D1905">
        <v>5.0096720000000001</v>
      </c>
      <c r="E1905">
        <v>0.59197909999999998</v>
      </c>
      <c r="F1905" t="s">
        <v>51</v>
      </c>
      <c r="G1905">
        <v>-197.57929999999999</v>
      </c>
      <c r="H1905" s="1">
        <v>2.2651959999999998E-6</v>
      </c>
      <c r="I1905">
        <v>288.67669999999998</v>
      </c>
      <c r="J1905">
        <v>-191.42910000000001</v>
      </c>
      <c r="K1905">
        <v>1.119737</v>
      </c>
      <c r="L1905">
        <v>304.6703</v>
      </c>
      <c r="M1905">
        <v>-7.156129E-2</v>
      </c>
      <c r="N1905">
        <v>-1.878515E-2</v>
      </c>
      <c r="O1905">
        <v>-0.99725940000000002</v>
      </c>
      <c r="P1905">
        <v>-0.1274662</v>
      </c>
      <c r="Q1905">
        <v>-8.8173459999999995E-2</v>
      </c>
      <c r="R1905">
        <v>-0.98791609999999996</v>
      </c>
      <c r="S1905">
        <v>-1.0975649999999999</v>
      </c>
      <c r="T1905">
        <v>-0.1993268</v>
      </c>
      <c r="U1905">
        <v>-2.880188</v>
      </c>
      <c r="V1905">
        <v>5.6141730000000001E-2</v>
      </c>
      <c r="W1905">
        <v>-6.9709359999999998E-2</v>
      </c>
      <c r="X1905">
        <v>0.99598629999999999</v>
      </c>
      <c r="Y1905">
        <v>0.28769650000000002</v>
      </c>
      <c r="Z1905">
        <v>4.6538400000000001E-2</v>
      </c>
      <c r="AA1905">
        <v>0.95659019999999995</v>
      </c>
      <c r="AB1905">
        <v>20</v>
      </c>
      <c r="AC1905">
        <v>-6.1501999999999803</v>
      </c>
      <c r="AD1905">
        <v>-1.1197347348040001</v>
      </c>
      <c r="AE1905">
        <v>-15.993600000000001</v>
      </c>
      <c r="AF1905">
        <v>4.9684858128564597</v>
      </c>
      <c r="AG1905">
        <v>-1.1197347348040001</v>
      </c>
      <c r="AH1905">
        <v>16.3230728992644</v>
      </c>
      <c r="AI1905">
        <v>93.754681278446498</v>
      </c>
      <c r="AJ1905">
        <v>73.070578510767206</v>
      </c>
      <c r="AK1905">
        <v>17.099191969902598</v>
      </c>
      <c r="AL1905">
        <v>93.997293997056005</v>
      </c>
      <c r="AM1905">
        <v>86.773767047334601</v>
      </c>
      <c r="AN1905">
        <v>0.99999999925334604</v>
      </c>
    </row>
    <row r="1906" spans="1:40" x14ac:dyDescent="0.25">
      <c r="A1906" t="str">
        <f>"20190303153811860"</f>
        <v>20190303153811860</v>
      </c>
      <c r="B1906" t="str">
        <f>"1551598691850269"</f>
        <v>1551598691850269</v>
      </c>
      <c r="C1906" t="s">
        <v>40</v>
      </c>
      <c r="D1906">
        <v>5.0045109999999999</v>
      </c>
      <c r="E1906">
        <v>0.59212929999999997</v>
      </c>
      <c r="F1906" t="s">
        <v>51</v>
      </c>
      <c r="G1906">
        <v>-197.81549999999999</v>
      </c>
      <c r="H1906" s="1">
        <v>2.2726979999999998E-6</v>
      </c>
      <c r="I1906">
        <v>288.11160000000001</v>
      </c>
      <c r="J1906">
        <v>-191.44880000000001</v>
      </c>
      <c r="K1906">
        <v>1.1196109999999999</v>
      </c>
      <c r="L1906">
        <v>304.45170000000002</v>
      </c>
      <c r="M1906">
        <v>-7.4971389999999999E-2</v>
      </c>
      <c r="N1906">
        <v>-1.8075890000000001E-2</v>
      </c>
      <c r="O1906">
        <v>-0.99702190000000002</v>
      </c>
      <c r="P1906">
        <v>-0.13178589999999901</v>
      </c>
      <c r="Q1906">
        <v>-8.7529759999999998E-2</v>
      </c>
      <c r="R1906">
        <v>-0.98740629999999996</v>
      </c>
      <c r="S1906">
        <v>-1.109299</v>
      </c>
      <c r="T1906">
        <v>-0.19449530000000001</v>
      </c>
      <c r="U1906">
        <v>-2.8762210000000001</v>
      </c>
      <c r="V1906">
        <v>5.7071869999999997E-2</v>
      </c>
      <c r="W1906">
        <v>-6.9788310000000006E-2</v>
      </c>
      <c r="X1906">
        <v>0.99592789999999998</v>
      </c>
      <c r="Y1906">
        <v>0.28829120000000003</v>
      </c>
      <c r="Z1906">
        <v>4.5686820000000003E-2</v>
      </c>
      <c r="AA1906">
        <v>0.95645230000000003</v>
      </c>
      <c r="AB1906">
        <v>20</v>
      </c>
      <c r="AC1906">
        <v>-6.3666999999999803</v>
      </c>
      <c r="AD1906">
        <v>-1.1196087273019999</v>
      </c>
      <c r="AE1906">
        <v>-16.3401</v>
      </c>
      <c r="AF1906">
        <v>5.1027370930787699</v>
      </c>
      <c r="AG1906">
        <v>-1.1196087273019999</v>
      </c>
      <c r="AH1906">
        <v>16.703413096053399</v>
      </c>
      <c r="AI1906">
        <v>93.667881544310603</v>
      </c>
      <c r="AJ1906">
        <v>73.012576242689207</v>
      </c>
      <c r="AK1906">
        <v>17.501298768969701</v>
      </c>
      <c r="AL1906">
        <v>94.001828562297803</v>
      </c>
      <c r="AM1906">
        <v>86.720239585194193</v>
      </c>
      <c r="AN1906">
        <v>0.99999999427818098</v>
      </c>
    </row>
    <row r="1907" spans="1:40" x14ac:dyDescent="0.25">
      <c r="A1907" t="str">
        <f>"20190303153811882"</f>
        <v>20190303153811882</v>
      </c>
      <c r="B1907" t="str">
        <f>"1551598691870765"</f>
        <v>1551598691870765</v>
      </c>
      <c r="C1907" t="s">
        <v>40</v>
      </c>
      <c r="D1907">
        <v>5.0089750000000004</v>
      </c>
      <c r="E1907">
        <v>0.59227010000000002</v>
      </c>
      <c r="F1907" t="s">
        <v>51</v>
      </c>
      <c r="G1907">
        <v>-197.96260000000001</v>
      </c>
      <c r="H1907" s="1">
        <v>2.2741590000000001E-6</v>
      </c>
      <c r="I1907">
        <v>287.79640000000001</v>
      </c>
      <c r="J1907">
        <v>-191.46789999999999</v>
      </c>
      <c r="K1907">
        <v>1.1195219999999999</v>
      </c>
      <c r="L1907">
        <v>304.2484</v>
      </c>
      <c r="M1907">
        <v>-7.8266080000000002E-2</v>
      </c>
      <c r="N1907">
        <v>-1.7497599999999999E-2</v>
      </c>
      <c r="O1907">
        <v>-0.99677899999999997</v>
      </c>
      <c r="P1907">
        <v>-0.13549129999999901</v>
      </c>
      <c r="Q1907">
        <v>-8.7749510000000003E-2</v>
      </c>
      <c r="R1907">
        <v>-0.98688529999999997</v>
      </c>
      <c r="S1907">
        <v>-1.1229709999999999</v>
      </c>
      <c r="T1907">
        <v>-0.19301840000000001</v>
      </c>
      <c r="U1907">
        <v>-2.8713380000000002</v>
      </c>
      <c r="V1907">
        <v>5.7501959999999998E-2</v>
      </c>
      <c r="W1907">
        <v>-7.0598969999999997E-2</v>
      </c>
      <c r="X1907">
        <v>0.99584600000000001</v>
      </c>
      <c r="Y1907">
        <v>0.28963620000000001</v>
      </c>
      <c r="Z1907">
        <v>4.5799739999999999E-2</v>
      </c>
      <c r="AA1907">
        <v>0.95604040000000001</v>
      </c>
      <c r="AB1907">
        <v>20</v>
      </c>
      <c r="AC1907">
        <v>-6.4947000000000203</v>
      </c>
      <c r="AD1907">
        <v>-1.1195197258409999</v>
      </c>
      <c r="AE1907">
        <v>-16.451999999999899</v>
      </c>
      <c r="AF1907">
        <v>5.1662440123656399</v>
      </c>
      <c r="AG1907">
        <v>-1.1195197258409999</v>
      </c>
      <c r="AH1907">
        <v>16.842437147025301</v>
      </c>
      <c r="AI1907">
        <v>93.636130717095895</v>
      </c>
      <c r="AJ1907">
        <v>72.947144633335995</v>
      </c>
      <c r="AK1907">
        <v>17.6525094721217</v>
      </c>
      <c r="AL1907">
        <v>94.048390898579697</v>
      </c>
      <c r="AM1907">
        <v>86.695306925703903</v>
      </c>
      <c r="AN1907">
        <v>0.99999997284245001</v>
      </c>
    </row>
    <row r="1908" spans="1:40" x14ac:dyDescent="0.25">
      <c r="A1908" t="str">
        <f>"20190303153811902"</f>
        <v>20190303153811902</v>
      </c>
      <c r="B1908" t="str">
        <f>"1551598691901021"</f>
        <v>1551598691901021</v>
      </c>
      <c r="C1908" t="s">
        <v>40</v>
      </c>
      <c r="D1908">
        <v>5.0086149999999998</v>
      </c>
      <c r="E1908">
        <v>0.59251860000000001</v>
      </c>
      <c r="F1908" t="s">
        <v>51</v>
      </c>
      <c r="G1908">
        <v>-197.96299999999999</v>
      </c>
      <c r="H1908" s="1">
        <v>2.2697320000000001E-6</v>
      </c>
      <c r="I1908">
        <v>287.84620000000001</v>
      </c>
      <c r="J1908">
        <v>-191.48660000000001</v>
      </c>
      <c r="K1908">
        <v>1.1194309999999901</v>
      </c>
      <c r="L1908">
        <v>304.05790000000002</v>
      </c>
      <c r="M1908">
        <v>-8.1477560000000004E-2</v>
      </c>
      <c r="N1908">
        <v>-1.70189E-2</v>
      </c>
      <c r="O1908">
        <v>-0.99652989999999997</v>
      </c>
      <c r="P1908">
        <v>-0.13913200000000001</v>
      </c>
      <c r="Q1908">
        <v>-8.7829119999999997E-2</v>
      </c>
      <c r="R1908">
        <v>-0.98637140000000001</v>
      </c>
      <c r="S1908">
        <v>-1.135162</v>
      </c>
      <c r="T1908">
        <v>-0.1956599</v>
      </c>
      <c r="U1908">
        <v>-2.866638</v>
      </c>
      <c r="V1908">
        <v>5.795198E-2</v>
      </c>
      <c r="W1908">
        <v>-7.1169339999999998E-2</v>
      </c>
      <c r="X1908">
        <v>0.99577930000000003</v>
      </c>
      <c r="Y1908">
        <v>0.29058509999999999</v>
      </c>
      <c r="Z1908">
        <v>4.7158480000000003E-2</v>
      </c>
      <c r="AA1908">
        <v>0.95568629999999999</v>
      </c>
      <c r="AB1908">
        <v>20</v>
      </c>
      <c r="AC1908">
        <v>-6.4763999999999804</v>
      </c>
      <c r="AD1908">
        <v>-1.1194287302679999</v>
      </c>
      <c r="AE1908">
        <v>-16.2117</v>
      </c>
      <c r="AF1908">
        <v>5.1127572488441899</v>
      </c>
      <c r="AG1908">
        <v>-1.1194287302679999</v>
      </c>
      <c r="AH1908">
        <v>16.617214543585</v>
      </c>
      <c r="AI1908">
        <v>93.684011469082606</v>
      </c>
      <c r="AJ1908">
        <v>72.898001282087094</v>
      </c>
      <c r="AK1908">
        <v>17.421975391880501</v>
      </c>
      <c r="AL1908">
        <v>94.081153155172998</v>
      </c>
      <c r="AM1908">
        <v>86.669279253187298</v>
      </c>
      <c r="AN1908">
        <v>0.99999996062522201</v>
      </c>
    </row>
    <row r="1909" spans="1:40" x14ac:dyDescent="0.25">
      <c r="A1909" t="str">
        <f>"20190303153811925"</f>
        <v>20190303153811925</v>
      </c>
      <c r="B1909" t="str">
        <f>"1551598691920544"</f>
        <v>1551598691920544</v>
      </c>
      <c r="C1909" t="s">
        <v>40</v>
      </c>
      <c r="D1909">
        <v>5.0012059999999998</v>
      </c>
      <c r="E1909">
        <v>0.59268869999999996</v>
      </c>
      <c r="F1909" t="s">
        <v>51</v>
      </c>
      <c r="G1909">
        <v>-197.98439999999999</v>
      </c>
      <c r="H1909" s="1">
        <v>2.2654599999999999E-6</v>
      </c>
      <c r="I1909">
        <v>287.85169999999999</v>
      </c>
      <c r="J1909">
        <v>-191.5067</v>
      </c>
      <c r="K1909">
        <v>1.1193580000000001</v>
      </c>
      <c r="L1909">
        <v>303.86079999999998</v>
      </c>
      <c r="M1909">
        <v>-8.4927230000000006E-2</v>
      </c>
      <c r="N1909">
        <v>-1.657867E-2</v>
      </c>
      <c r="O1909">
        <v>-0.9962493</v>
      </c>
      <c r="P1909">
        <v>-0.14114350000000001</v>
      </c>
      <c r="Q1909">
        <v>-8.7292499999999995E-2</v>
      </c>
      <c r="R1909">
        <v>-0.98613329999999999</v>
      </c>
      <c r="S1909">
        <v>-1.1475070000000001</v>
      </c>
      <c r="T1909">
        <v>-0.19769</v>
      </c>
      <c r="U1909">
        <v>-2.8620000000000001</v>
      </c>
      <c r="V1909">
        <v>5.6521259999999997E-2</v>
      </c>
      <c r="W1909">
        <v>-7.1072709999999997E-2</v>
      </c>
      <c r="X1909">
        <v>0.99586839999999999</v>
      </c>
      <c r="Y1909">
        <v>0.29134409999999999</v>
      </c>
      <c r="Z1909">
        <v>4.8277309999999997E-2</v>
      </c>
      <c r="AA1909">
        <v>0.95539929999999995</v>
      </c>
      <c r="AB1909">
        <v>20</v>
      </c>
      <c r="AC1909">
        <v>-6.4776999999999898</v>
      </c>
      <c r="AD1909">
        <v>-1.11935573454</v>
      </c>
      <c r="AE1909">
        <v>-16.009099999999901</v>
      </c>
      <c r="AF1909">
        <v>5.07318288413241</v>
      </c>
      <c r="AG1909">
        <v>-1.11935573454</v>
      </c>
      <c r="AH1909">
        <v>16.4324217341462</v>
      </c>
      <c r="AI1909">
        <v>93.723982761232605</v>
      </c>
      <c r="AJ1909">
        <v>72.842969373698097</v>
      </c>
      <c r="AK1909">
        <v>17.234112274356999</v>
      </c>
      <c r="AL1909">
        <v>94.075602747290503</v>
      </c>
      <c r="AM1909">
        <v>86.751619863231895</v>
      </c>
      <c r="AN1909">
        <v>0.999999926528643</v>
      </c>
    </row>
    <row r="1910" spans="1:40" x14ac:dyDescent="0.25">
      <c r="A1910" t="str">
        <f>"20190303153811948"</f>
        <v>20190303153811948</v>
      </c>
      <c r="B1910" t="str">
        <f>"1551598691941041"</f>
        <v>1551598691941041</v>
      </c>
      <c r="C1910" t="s">
        <v>40</v>
      </c>
      <c r="D1910">
        <v>4.9899500000000003</v>
      </c>
      <c r="E1910">
        <v>0.59286450000000002</v>
      </c>
      <c r="F1910" t="s">
        <v>51</v>
      </c>
      <c r="G1910">
        <v>-198.09399999999999</v>
      </c>
      <c r="H1910" s="1">
        <v>2.2727919999999999E-6</v>
      </c>
      <c r="I1910">
        <v>287.5455</v>
      </c>
      <c r="J1910">
        <v>-191.529</v>
      </c>
      <c r="K1910">
        <v>1.1193059999999999</v>
      </c>
      <c r="L1910">
        <v>303.6508</v>
      </c>
      <c r="M1910">
        <v>-8.8727340000000002E-2</v>
      </c>
      <c r="N1910">
        <v>-1.6165820000000001E-2</v>
      </c>
      <c r="O1910">
        <v>-0.99592480000000005</v>
      </c>
      <c r="P1910">
        <v>-0.14339089999999999</v>
      </c>
      <c r="Q1910">
        <v>-8.6410459999999994E-2</v>
      </c>
      <c r="R1910">
        <v>-0.9858865</v>
      </c>
      <c r="S1910">
        <v>-1.154541</v>
      </c>
      <c r="T1910">
        <v>-0.19618730000000001</v>
      </c>
      <c r="U1910">
        <v>-2.8595579999999998</v>
      </c>
      <c r="V1910">
        <v>5.4978270000000003E-2</v>
      </c>
      <c r="W1910">
        <v>-7.0600889999999999E-2</v>
      </c>
      <c r="X1910">
        <v>0.9959884</v>
      </c>
      <c r="Y1910">
        <v>0.2900085</v>
      </c>
      <c r="Z1910">
        <v>4.8210669999999997E-2</v>
      </c>
      <c r="AA1910">
        <v>0.95580900000000002</v>
      </c>
      <c r="AB1910">
        <v>20</v>
      </c>
      <c r="AC1910">
        <v>-6.5649999999999897</v>
      </c>
      <c r="AD1910">
        <v>-1.119303727208</v>
      </c>
      <c r="AE1910">
        <v>-16.1053</v>
      </c>
      <c r="AF1910">
        <v>5.0888558964060602</v>
      </c>
      <c r="AG1910">
        <v>-1.119303727208</v>
      </c>
      <c r="AH1910">
        <v>16.555762107947</v>
      </c>
      <c r="AI1910">
        <v>93.697548794407595</v>
      </c>
      <c r="AJ1910">
        <v>72.913790369049593</v>
      </c>
      <c r="AK1910">
        <v>17.3563404594132</v>
      </c>
      <c r="AL1910">
        <v>94.048501094295702</v>
      </c>
      <c r="AM1910">
        <v>86.840496043050194</v>
      </c>
      <c r="AN1910">
        <v>0.99999999438777198</v>
      </c>
    </row>
    <row r="1911" spans="1:40" x14ac:dyDescent="0.25">
      <c r="A1911" t="str">
        <f>"20190303153811972"</f>
        <v>20190303153811972</v>
      </c>
      <c r="B1911" t="str">
        <f>"1551598691960560"</f>
        <v>1551598691960560</v>
      </c>
      <c r="C1911" t="s">
        <v>40</v>
      </c>
      <c r="D1911">
        <v>5.0317160000000003</v>
      </c>
      <c r="E1911">
        <v>0.59293059999999997</v>
      </c>
      <c r="F1911" t="s">
        <v>51</v>
      </c>
      <c r="G1911">
        <v>-198.29130000000001</v>
      </c>
      <c r="H1911" s="1">
        <v>2.2828789999999998E-6</v>
      </c>
      <c r="I1911">
        <v>287.02980000000002</v>
      </c>
      <c r="J1911">
        <v>-191.5522</v>
      </c>
      <c r="K1911">
        <v>1.1192709999999999</v>
      </c>
      <c r="L1911">
        <v>303.44229999999999</v>
      </c>
      <c r="M1911">
        <v>-9.2624789999999999E-2</v>
      </c>
      <c r="N1911">
        <v>-1.581314E-2</v>
      </c>
      <c r="O1911">
        <v>-0.99557569999999995</v>
      </c>
      <c r="P1911">
        <v>-0.1457128</v>
      </c>
      <c r="Q1911">
        <v>-8.4612300000000001E-2</v>
      </c>
      <c r="R1911">
        <v>-0.98570239999999998</v>
      </c>
      <c r="S1911">
        <v>-1.1623840000000001</v>
      </c>
      <c r="T1911">
        <v>-0.19239870000000001</v>
      </c>
      <c r="U1911">
        <v>-2.8570250000000001</v>
      </c>
      <c r="V1911">
        <v>5.3412359999999999E-2</v>
      </c>
      <c r="W1911">
        <v>-6.9149390000000005E-2</v>
      </c>
      <c r="X1911">
        <v>0.99617540000000004</v>
      </c>
      <c r="Y1911">
        <v>0.28883490000000001</v>
      </c>
      <c r="Z1911">
        <v>4.7335240000000001E-2</v>
      </c>
      <c r="AA1911">
        <v>0.95620810000000001</v>
      </c>
      <c r="AB1911">
        <v>20</v>
      </c>
      <c r="AC1911">
        <v>-6.7390999999999996</v>
      </c>
      <c r="AD1911">
        <v>-1.1192687171209901</v>
      </c>
      <c r="AE1911">
        <v>-16.412499999999898</v>
      </c>
      <c r="AF1911">
        <v>5.1691558883922601</v>
      </c>
      <c r="AG1911">
        <v>-1.1192687171209901</v>
      </c>
      <c r="AH1911">
        <v>16.898958711791501</v>
      </c>
      <c r="AI1911">
        <v>93.624055039093307</v>
      </c>
      <c r="AJ1911">
        <v>72.991858849746507</v>
      </c>
      <c r="AK1911">
        <v>17.707279311132499</v>
      </c>
      <c r="AL1911">
        <v>93.965132573437799</v>
      </c>
      <c r="AM1911">
        <v>86.930886634111801</v>
      </c>
      <c r="AN1911">
        <v>0.99999997295165</v>
      </c>
    </row>
    <row r="1912" spans="1:40" x14ac:dyDescent="0.25">
      <c r="A1912" t="str">
        <f>"20190303153811993"</f>
        <v>20190303153811993</v>
      </c>
      <c r="B1912" t="str">
        <f>"1551598691990816"</f>
        <v>1551598691990816</v>
      </c>
      <c r="C1912" t="s">
        <v>40</v>
      </c>
      <c r="D1912">
        <v>4.9924650000000002</v>
      </c>
      <c r="E1912">
        <v>0.59380169999999999</v>
      </c>
      <c r="F1912" t="s">
        <v>51</v>
      </c>
      <c r="G1912">
        <v>-198.43270000000001</v>
      </c>
      <c r="H1912" s="1">
        <v>2.290856E-6</v>
      </c>
      <c r="I1912">
        <v>286.6515</v>
      </c>
      <c r="J1912">
        <v>-191.57509999999999</v>
      </c>
      <c r="K1912">
        <v>1.1192420000000001</v>
      </c>
      <c r="L1912">
        <v>303.24419999999998</v>
      </c>
      <c r="M1912">
        <v>-9.6415979999999998E-2</v>
      </c>
      <c r="N1912">
        <v>-1.552308E-2</v>
      </c>
      <c r="O1912">
        <v>-0.9952202</v>
      </c>
      <c r="P1912">
        <v>-0.1484886</v>
      </c>
      <c r="Q1912">
        <v>-8.2530980000000004E-2</v>
      </c>
      <c r="R1912">
        <v>-0.98546420000000001</v>
      </c>
      <c r="S1912">
        <v>-1.1696470000000001</v>
      </c>
      <c r="T1912">
        <v>-0.19026789999999999</v>
      </c>
      <c r="U1912">
        <v>-2.8543090000000002</v>
      </c>
      <c r="V1912">
        <v>5.2411659999999999E-2</v>
      </c>
      <c r="W1912">
        <v>-6.7353549999999998E-2</v>
      </c>
      <c r="X1912">
        <v>0.9963516</v>
      </c>
      <c r="Y1912">
        <v>0.2876049</v>
      </c>
      <c r="Z1912">
        <v>4.6942959999999999E-2</v>
      </c>
      <c r="AA1912">
        <v>0.95659799999999995</v>
      </c>
      <c r="AB1912">
        <v>20</v>
      </c>
      <c r="AC1912">
        <v>-6.8576000000000104</v>
      </c>
      <c r="AD1912">
        <v>-1.1192397091440001</v>
      </c>
      <c r="AE1912">
        <v>-16.592699999999901</v>
      </c>
      <c r="AF1912">
        <v>5.2054202392629199</v>
      </c>
      <c r="AG1912">
        <v>-1.1192397091440001</v>
      </c>
      <c r="AH1912">
        <v>17.110146274999401</v>
      </c>
      <c r="AI1912">
        <v>93.580998816069297</v>
      </c>
      <c r="AJ1912">
        <v>73.078664422292505</v>
      </c>
      <c r="AK1912">
        <v>17.919436457258598</v>
      </c>
      <c r="AL1912">
        <v>93.861997917217806</v>
      </c>
      <c r="AM1912">
        <v>86.9888123511397</v>
      </c>
      <c r="AN1912">
        <v>0.99999999681205898</v>
      </c>
    </row>
    <row r="1913" spans="1:40" x14ac:dyDescent="0.25">
      <c r="A1913" t="str">
        <f>"20190303153812016"</f>
        <v>20190303153812016</v>
      </c>
      <c r="B1913" t="str">
        <f>"1551598692010337"</f>
        <v>1551598692010337</v>
      </c>
      <c r="C1913" t="s">
        <v>40</v>
      </c>
      <c r="D1913">
        <v>4.9808180000000002</v>
      </c>
      <c r="E1913">
        <v>0.59443959999999996</v>
      </c>
      <c r="F1913" t="s">
        <v>51</v>
      </c>
      <c r="G1913">
        <v>-195.90600000000001</v>
      </c>
      <c r="H1913" s="1">
        <v>1.5462520000000001E-6</v>
      </c>
      <c r="I1913">
        <v>292.87700000000001</v>
      </c>
      <c r="J1913">
        <v>-191.59870000000001</v>
      </c>
      <c r="K1913">
        <v>1.1192169999999999</v>
      </c>
      <c r="L1913">
        <v>303.0471</v>
      </c>
      <c r="M1913">
        <v>-0.1002527</v>
      </c>
      <c r="N1913">
        <v>-1.527094E-2</v>
      </c>
      <c r="O1913">
        <v>-0.99484490000000003</v>
      </c>
      <c r="P1913">
        <v>-0.151752</v>
      </c>
      <c r="Q1913">
        <v>-8.12808E-2</v>
      </c>
      <c r="R1913">
        <v>-0.98507089999999997</v>
      </c>
      <c r="S1913">
        <v>-1.18634</v>
      </c>
      <c r="T1913">
        <v>-0.30658659999999999</v>
      </c>
      <c r="U1913">
        <v>-2.8398129999999999</v>
      </c>
      <c r="V1913">
        <v>5.1861789999999998E-2</v>
      </c>
      <c r="W1913">
        <v>-6.6353209999999996E-2</v>
      </c>
      <c r="X1913">
        <v>0.99644750000000004</v>
      </c>
      <c r="Y1913">
        <v>0.28936709999999999</v>
      </c>
      <c r="Z1913">
        <v>8.5198769999999993E-2</v>
      </c>
      <c r="AA1913">
        <v>0.95341900000000002</v>
      </c>
      <c r="AB1913">
        <v>20</v>
      </c>
      <c r="AC1913">
        <v>-4.3072999999999597</v>
      </c>
      <c r="AD1913">
        <v>-1.1192154537479999</v>
      </c>
      <c r="AE1913">
        <v>-10.1700999999999</v>
      </c>
      <c r="AF1913">
        <v>3.2326996086864201</v>
      </c>
      <c r="AG1913">
        <v>-1.1192154537479999</v>
      </c>
      <c r="AH1913">
        <v>10.443476544580401</v>
      </c>
      <c r="AI1913">
        <v>95.845368390951606</v>
      </c>
      <c r="AJ1913">
        <v>72.800482675566997</v>
      </c>
      <c r="AK1913">
        <v>10.9895037344328</v>
      </c>
      <c r="AL1913">
        <v>93.804554103090695</v>
      </c>
      <c r="AM1913">
        <v>87.020632849526294</v>
      </c>
      <c r="AN1913">
        <v>1.0000000069977699</v>
      </c>
    </row>
    <row r="1914" spans="1:40" x14ac:dyDescent="0.25">
      <c r="A1914" t="str">
        <f>"20190303153812036"</f>
        <v>20190303153812036</v>
      </c>
      <c r="B1914" t="str">
        <f>"1551598692030832"</f>
        <v>1551598692030832</v>
      </c>
      <c r="C1914" t="s">
        <v>40</v>
      </c>
      <c r="D1914">
        <v>5.0038419999999997</v>
      </c>
      <c r="E1914">
        <v>0.59462139999999997</v>
      </c>
      <c r="F1914" t="s">
        <v>51</v>
      </c>
      <c r="G1914">
        <v>-196.04390000000001</v>
      </c>
      <c r="H1914" s="1">
        <v>1.591524E-6</v>
      </c>
      <c r="I1914">
        <v>292.5505</v>
      </c>
      <c r="J1914">
        <v>-191.6225</v>
      </c>
      <c r="K1914">
        <v>1.1191869999999999</v>
      </c>
      <c r="L1914">
        <v>302.85590000000002</v>
      </c>
      <c r="M1914">
        <v>-0.1040333</v>
      </c>
      <c r="N1914">
        <v>-1.505711E-2</v>
      </c>
      <c r="O1914">
        <v>-0.9944598</v>
      </c>
      <c r="P1914">
        <v>-0.15552289999999999</v>
      </c>
      <c r="Q1914">
        <v>-8.0850249999999999E-2</v>
      </c>
      <c r="R1914">
        <v>-0.98451809999999995</v>
      </c>
      <c r="S1914">
        <v>-1.2008209999999999</v>
      </c>
      <c r="T1914">
        <v>-0.30234369999999999</v>
      </c>
      <c r="U1914">
        <v>-2.8355410000000001</v>
      </c>
      <c r="V1914">
        <v>5.188417E-2</v>
      </c>
      <c r="W1914">
        <v>-6.6138150000000007E-2</v>
      </c>
      <c r="X1914">
        <v>0.99646060000000003</v>
      </c>
      <c r="Y1914">
        <v>0.29042249999999997</v>
      </c>
      <c r="Z1914">
        <v>8.4018090000000004E-2</v>
      </c>
      <c r="AA1914">
        <v>0.95320280000000002</v>
      </c>
      <c r="AB1914">
        <v>20</v>
      </c>
      <c r="AC1914">
        <v>-4.4214000000000002</v>
      </c>
      <c r="AD1914">
        <v>-1.119185408476</v>
      </c>
      <c r="AE1914">
        <v>-10.305400000000001</v>
      </c>
      <c r="AF1914">
        <v>3.2923819640788099</v>
      </c>
      <c r="AG1914">
        <v>-1.119185408476</v>
      </c>
      <c r="AH1914">
        <v>10.6038698262089</v>
      </c>
      <c r="AI1914">
        <v>95.755866532300004</v>
      </c>
      <c r="AJ1914">
        <v>72.751020799118194</v>
      </c>
      <c r="AK1914">
        <v>11.1594986566208</v>
      </c>
      <c r="AL1914">
        <v>93.792205068723305</v>
      </c>
      <c r="AM1914">
        <v>87.019388590973193</v>
      </c>
      <c r="AN1914">
        <v>0.99999997466718504</v>
      </c>
    </row>
    <row r="1915" spans="1:40" x14ac:dyDescent="0.25">
      <c r="A1915" t="str">
        <f>"20190303153812061"</f>
        <v>20190303153812061</v>
      </c>
      <c r="B1915" t="str">
        <f>"1551598692050352"</f>
        <v>1551598692050352</v>
      </c>
      <c r="C1915" t="s">
        <v>40</v>
      </c>
      <c r="D1915">
        <v>4.9838420000000001</v>
      </c>
      <c r="E1915">
        <v>0.59471399999999996</v>
      </c>
      <c r="F1915" t="s">
        <v>51</v>
      </c>
      <c r="G1915">
        <v>-196.0103</v>
      </c>
      <c r="H1915" s="1">
        <v>1.5821080000000001E-6</v>
      </c>
      <c r="I1915">
        <v>292.62079999999997</v>
      </c>
      <c r="J1915">
        <v>-191.6497</v>
      </c>
      <c r="K1915">
        <v>1.119148</v>
      </c>
      <c r="L1915">
        <v>302.64409999999998</v>
      </c>
      <c r="M1915">
        <v>-0.10829519999999999</v>
      </c>
      <c r="N1915">
        <v>-1.485202E-2</v>
      </c>
      <c r="O1915">
        <v>-0.99400790000000006</v>
      </c>
      <c r="P1915">
        <v>-0.16055849999999999</v>
      </c>
      <c r="Q1915">
        <v>-8.1787979999999996E-2</v>
      </c>
      <c r="R1915">
        <v>-0.98363199999999995</v>
      </c>
      <c r="S1915">
        <v>-1.213287</v>
      </c>
      <c r="T1915">
        <v>-0.30946360000000001</v>
      </c>
      <c r="U1915">
        <v>-2.8300779999999999</v>
      </c>
      <c r="V1915">
        <v>5.2708669999999999E-2</v>
      </c>
      <c r="W1915">
        <v>-6.7289959999999996E-2</v>
      </c>
      <c r="X1915">
        <v>0.99634020000000001</v>
      </c>
      <c r="Y1915">
        <v>0.29044880000000001</v>
      </c>
      <c r="Z1915">
        <v>8.656179E-2</v>
      </c>
      <c r="AA1915">
        <v>0.95296720000000001</v>
      </c>
      <c r="AB1915">
        <v>20</v>
      </c>
      <c r="AC1915">
        <v>-4.3605999999999998</v>
      </c>
      <c r="AD1915">
        <v>-1.1191464178919901</v>
      </c>
      <c r="AE1915">
        <v>-10.023300000000001</v>
      </c>
      <c r="AF1915">
        <v>3.2156450639362202</v>
      </c>
      <c r="AG1915">
        <v>-1.1191464178919901</v>
      </c>
      <c r="AH1915">
        <v>10.3283527093249</v>
      </c>
      <c r="AI1915">
        <v>95.906714124891494</v>
      </c>
      <c r="AJ1915">
        <v>72.706465803887696</v>
      </c>
      <c r="AK1915">
        <v>10.8750968533672</v>
      </c>
      <c r="AL1915">
        <v>93.858346303878406</v>
      </c>
      <c r="AM1915">
        <v>86.971745432325505</v>
      </c>
      <c r="AN1915">
        <v>0.99999996837300398</v>
      </c>
    </row>
    <row r="1916" spans="1:40" x14ac:dyDescent="0.25">
      <c r="A1916" t="str">
        <f>"20190303153812084"</f>
        <v>20190303153812084</v>
      </c>
      <c r="B1916" t="str">
        <f>"1551598692080609"</f>
        <v>1551598692080609</v>
      </c>
      <c r="C1916" t="s">
        <v>40</v>
      </c>
      <c r="D1916">
        <v>5.054494</v>
      </c>
      <c r="E1916">
        <v>0.57157630000000004</v>
      </c>
      <c r="F1916" t="s">
        <v>51</v>
      </c>
      <c r="G1916">
        <v>-196.01840000000001</v>
      </c>
      <c r="H1916" s="1">
        <v>1.5844560000000001E-6</v>
      </c>
      <c r="I1916">
        <v>292.6035</v>
      </c>
      <c r="J1916">
        <v>-191.67670000000001</v>
      </c>
      <c r="K1916">
        <v>1.1191059999999999</v>
      </c>
      <c r="L1916">
        <v>302.44099999999997</v>
      </c>
      <c r="M1916">
        <v>-0.1124603</v>
      </c>
      <c r="N1916">
        <v>-1.468321E-2</v>
      </c>
      <c r="O1916">
        <v>-0.99354790000000004</v>
      </c>
      <c r="P1916">
        <v>-0.1664592</v>
      </c>
      <c r="Q1916">
        <v>-8.3490469999999997E-2</v>
      </c>
      <c r="R1916">
        <v>-0.98250780000000004</v>
      </c>
      <c r="S1916">
        <v>-1.2284090000000001</v>
      </c>
      <c r="T1916">
        <v>-0.31468760000000001</v>
      </c>
      <c r="U1916">
        <v>-2.8232729999999999</v>
      </c>
      <c r="V1916">
        <v>5.4510830000000003E-2</v>
      </c>
      <c r="W1916">
        <v>-6.9178600000000007E-2</v>
      </c>
      <c r="X1916">
        <v>0.9961139</v>
      </c>
      <c r="Y1916">
        <v>0.29150389999999998</v>
      </c>
      <c r="Z1916">
        <v>8.8464470000000003E-2</v>
      </c>
      <c r="AA1916">
        <v>0.95247020000000004</v>
      </c>
      <c r="AB1916">
        <v>20</v>
      </c>
      <c r="AC1916">
        <v>-4.3417000000000003</v>
      </c>
      <c r="AD1916">
        <v>-1.119104415544</v>
      </c>
      <c r="AE1916">
        <v>-9.8374999999999702</v>
      </c>
      <c r="AF1916">
        <v>3.1733324713256899</v>
      </c>
      <c r="AG1916">
        <v>-1.119104415544</v>
      </c>
      <c r="AH1916">
        <v>10.1534256445814</v>
      </c>
      <c r="AI1916">
        <v>96.005487131159995</v>
      </c>
      <c r="AJ1916">
        <v>72.643986055311601</v>
      </c>
      <c r="AK1916">
        <v>10.6964707257348</v>
      </c>
      <c r="AL1916">
        <v>93.966810071174706</v>
      </c>
      <c r="AM1916">
        <v>86.867699160679507</v>
      </c>
      <c r="AN1916">
        <v>1.00000000552922</v>
      </c>
    </row>
    <row r="1917" spans="1:40" x14ac:dyDescent="0.25">
      <c r="A1917" t="str">
        <f>"20190303153812105"</f>
        <v>20190303153812105</v>
      </c>
      <c r="B1917" t="str">
        <f>"1551598692101104"</f>
        <v>1551598692101104</v>
      </c>
      <c r="C1917" t="s">
        <v>40</v>
      </c>
      <c r="D1917">
        <v>4.8795669999999998</v>
      </c>
      <c r="E1917">
        <v>0.56413419999999903</v>
      </c>
      <c r="F1917" t="s">
        <v>44</v>
      </c>
      <c r="G1917">
        <v>-191.95240000000001</v>
      </c>
      <c r="H1917">
        <v>0.99402889999999999</v>
      </c>
      <c r="I1917">
        <v>301.70800000000003</v>
      </c>
      <c r="J1917">
        <v>-191.7021</v>
      </c>
      <c r="K1917">
        <v>1.1190450000000001</v>
      </c>
      <c r="L1917">
        <v>302.2568</v>
      </c>
      <c r="M1917">
        <v>-0.116311999999999</v>
      </c>
      <c r="N1917">
        <v>-1.4551339999999999E-2</v>
      </c>
      <c r="O1917">
        <v>-0.99310620000000005</v>
      </c>
      <c r="P1917">
        <v>-0.17196239999999999</v>
      </c>
      <c r="Q1917">
        <v>-8.5387920000000006E-2</v>
      </c>
      <c r="R1917">
        <v>-0.98139620000000005</v>
      </c>
      <c r="S1917">
        <v>-1.065353</v>
      </c>
      <c r="T1917">
        <v>-0.4832959</v>
      </c>
      <c r="U1917">
        <v>-2.8318479999999999</v>
      </c>
      <c r="V1917">
        <v>5.622924E-2</v>
      </c>
      <c r="W1917">
        <v>-7.122618E-2</v>
      </c>
      <c r="X1917">
        <v>0.99587400000000004</v>
      </c>
      <c r="Y1917">
        <v>0.23683570000000001</v>
      </c>
      <c r="Z1917">
        <v>0.14481040000000001</v>
      </c>
      <c r="AA1917">
        <v>0.96069709999999997</v>
      </c>
      <c r="AB1917">
        <v>20</v>
      </c>
      <c r="AC1917">
        <v>-0.25030000000001001</v>
      </c>
      <c r="AD1917">
        <v>-0.12501609999999899</v>
      </c>
      <c r="AE1917">
        <v>-0.54880000000002804</v>
      </c>
      <c r="AF1917">
        <v>0.17715212260983801</v>
      </c>
      <c r="AG1917">
        <v>-0.12501609999999899</v>
      </c>
      <c r="AH1917">
        <v>0.55054087256852302</v>
      </c>
      <c r="AI1917">
        <v>102.19757559345</v>
      </c>
      <c r="AJ1917">
        <v>72.162949792060004</v>
      </c>
      <c r="AK1917">
        <v>0.59169853149462204</v>
      </c>
      <c r="AL1917">
        <v>94.084418135716106</v>
      </c>
      <c r="AM1917">
        <v>86.768385256795</v>
      </c>
      <c r="AN1917">
        <v>0.99999996001218405</v>
      </c>
    </row>
    <row r="1918" spans="1:40" x14ac:dyDescent="0.25">
      <c r="A1918" t="str">
        <f>"20190303153812126"</f>
        <v>20190303153812126</v>
      </c>
      <c r="B1918" t="str">
        <f>"1551598692120702"</f>
        <v>1551598692120702</v>
      </c>
      <c r="C1918" t="s">
        <v>40</v>
      </c>
      <c r="D1918">
        <v>4.897608</v>
      </c>
      <c r="E1918">
        <v>0.55888169999999904</v>
      </c>
      <c r="F1918" t="s">
        <v>44</v>
      </c>
      <c r="G1918">
        <v>-191.96459999999999</v>
      </c>
      <c r="H1918">
        <v>0.99478840000000002</v>
      </c>
      <c r="I1918">
        <v>301.52980000000002</v>
      </c>
      <c r="J1918">
        <v>-191.72989999999999</v>
      </c>
      <c r="K1918">
        <v>1.1189750000000001</v>
      </c>
      <c r="L1918">
        <v>302.06209999999999</v>
      </c>
      <c r="M1918">
        <v>-0.120464</v>
      </c>
      <c r="N1918">
        <v>-1.443066E-2</v>
      </c>
      <c r="O1918">
        <v>-0.99261290000000002</v>
      </c>
      <c r="P1918">
        <v>-0.1775283</v>
      </c>
      <c r="Q1918">
        <v>-8.7099319999999994E-2</v>
      </c>
      <c r="R1918">
        <v>-0.98025410000000002</v>
      </c>
      <c r="S1918">
        <v>-1.0224150000000001</v>
      </c>
      <c r="T1918">
        <v>-0.48447970000000001</v>
      </c>
      <c r="U1918">
        <v>-2.8355709999999998</v>
      </c>
      <c r="V1918">
        <v>5.7712850000000003E-2</v>
      </c>
      <c r="W1918">
        <v>-7.3076429999999998E-2</v>
      </c>
      <c r="X1918">
        <v>0.99565510000000002</v>
      </c>
      <c r="Y1918">
        <v>0.21948570000000001</v>
      </c>
      <c r="Z1918">
        <v>0.14572019999999999</v>
      </c>
      <c r="AA1918">
        <v>0.96467179999999997</v>
      </c>
      <c r="AB1918">
        <v>20</v>
      </c>
      <c r="AC1918">
        <v>-0.23470000000000299</v>
      </c>
      <c r="AD1918">
        <v>-0.12418659999999999</v>
      </c>
      <c r="AE1918">
        <v>-0.53229999999996302</v>
      </c>
      <c r="AF1918">
        <v>0.161501136800625</v>
      </c>
      <c r="AG1918">
        <v>-0.12418659999999999</v>
      </c>
      <c r="AH1918">
        <v>0.53243530880058698</v>
      </c>
      <c r="AI1918">
        <v>102.582214538706</v>
      </c>
      <c r="AJ1918">
        <v>73.126118307304395</v>
      </c>
      <c r="AK1918">
        <v>0.57008094764255202</v>
      </c>
      <c r="AL1918">
        <v>94.190706490405603</v>
      </c>
      <c r="AM1918">
        <v>86.682579366477398</v>
      </c>
      <c r="AN1918">
        <v>1.00000000791633</v>
      </c>
    </row>
    <row r="1919" spans="1:40" x14ac:dyDescent="0.25">
      <c r="A1919" t="str">
        <f>"20190303153812149"</f>
        <v>20190303153812149</v>
      </c>
      <c r="B1919" t="str">
        <f>"1551598692140222"</f>
        <v>1551598692140222</v>
      </c>
      <c r="C1919" t="s">
        <v>40</v>
      </c>
      <c r="D1919">
        <v>4.8981329999999996</v>
      </c>
      <c r="E1919">
        <v>0.55598000000000003</v>
      </c>
      <c r="F1919" t="s">
        <v>44</v>
      </c>
      <c r="G1919">
        <v>-191.97929999999999</v>
      </c>
      <c r="H1919">
        <v>0.99375100000000005</v>
      </c>
      <c r="I1919">
        <v>301.35300000000001</v>
      </c>
      <c r="J1919">
        <v>-191.7593</v>
      </c>
      <c r="K1919">
        <v>1.1189070000000001</v>
      </c>
      <c r="L1919">
        <v>301.86239999999998</v>
      </c>
      <c r="M1919">
        <v>-0.12482169999999999</v>
      </c>
      <c r="N1919">
        <v>-1.4324119999999999E-2</v>
      </c>
      <c r="O1919">
        <v>-0.99207579999999995</v>
      </c>
      <c r="P1919">
        <v>-0.18245720000000001</v>
      </c>
      <c r="Q1919">
        <v>-8.7761950000000005E-2</v>
      </c>
      <c r="R1919">
        <v>-0.97928919999999997</v>
      </c>
      <c r="S1919">
        <v>-0.99714659999999999</v>
      </c>
      <c r="T1919">
        <v>-0.50064409999999904</v>
      </c>
      <c r="U1919">
        <v>-2.8353579999999998</v>
      </c>
      <c r="V1919">
        <v>5.8342100000000001E-2</v>
      </c>
      <c r="W1919">
        <v>-7.3857679999999995E-2</v>
      </c>
      <c r="X1919">
        <v>0.99556080000000002</v>
      </c>
      <c r="Y1919">
        <v>0.20730609999999999</v>
      </c>
      <c r="Z1919">
        <v>0.15135379999999901</v>
      </c>
      <c r="AA1919">
        <v>0.96649689999999999</v>
      </c>
      <c r="AB1919">
        <v>20</v>
      </c>
      <c r="AC1919">
        <v>-0.219999999999998</v>
      </c>
      <c r="AD1919">
        <v>-0.12515599999999899</v>
      </c>
      <c r="AE1919">
        <v>-0.50939999999997099</v>
      </c>
      <c r="AF1919">
        <v>0.14719949801131699</v>
      </c>
      <c r="AG1919">
        <v>-0.12515599999999899</v>
      </c>
      <c r="AH1919">
        <v>0.50708077880504798</v>
      </c>
      <c r="AI1919">
        <v>103.33481511318401</v>
      </c>
      <c r="AJ1919">
        <v>73.812617638528707</v>
      </c>
      <c r="AK1919">
        <v>0.54264411245706701</v>
      </c>
      <c r="AL1919">
        <v>94.235590008206501</v>
      </c>
      <c r="AM1919">
        <v>86.646174323963706</v>
      </c>
      <c r="AN1919">
        <v>1.0000000320120099</v>
      </c>
    </row>
    <row r="1920" spans="1:40" x14ac:dyDescent="0.25">
      <c r="A1920" t="str">
        <f>"20190303153812172"</f>
        <v>20190303153812172</v>
      </c>
      <c r="B1920" t="str">
        <f>"1551598692160721"</f>
        <v>1551598692160721</v>
      </c>
      <c r="C1920" t="s">
        <v>40</v>
      </c>
      <c r="D1920">
        <v>4.909313</v>
      </c>
      <c r="E1920">
        <v>0.55377969999999999</v>
      </c>
      <c r="F1920" t="s">
        <v>44</v>
      </c>
      <c r="G1920">
        <v>-191.9991</v>
      </c>
      <c r="H1920">
        <v>0.99391969999999996</v>
      </c>
      <c r="I1920">
        <v>301.17599999999999</v>
      </c>
      <c r="J1920">
        <v>-191.79</v>
      </c>
      <c r="K1920">
        <v>1.1188480000000001</v>
      </c>
      <c r="L1920">
        <v>301.66160000000002</v>
      </c>
      <c r="M1920">
        <v>-0.12931589999999901</v>
      </c>
      <c r="N1920">
        <v>-1.4232649999999999E-2</v>
      </c>
      <c r="O1920">
        <v>-0.99150150000000004</v>
      </c>
      <c r="P1920">
        <v>-0.18668299999999999</v>
      </c>
      <c r="Q1920">
        <v>-8.7387930000000003E-2</v>
      </c>
      <c r="R1920">
        <v>-0.97852609999999995</v>
      </c>
      <c r="S1920">
        <v>-0.98913569999999995</v>
      </c>
      <c r="T1920">
        <v>-0.51570579999999999</v>
      </c>
      <c r="U1920">
        <v>-2.8329469999999999</v>
      </c>
      <c r="V1920">
        <v>5.8117170000000003E-2</v>
      </c>
      <c r="W1920">
        <v>-7.3580099999999996E-2</v>
      </c>
      <c r="X1920">
        <v>0.99559450000000005</v>
      </c>
      <c r="Y1920">
        <v>0.2004321</v>
      </c>
      <c r="Z1920">
        <v>0.1564709</v>
      </c>
      <c r="AA1920">
        <v>0.96713170000000004</v>
      </c>
      <c r="AB1920">
        <v>20</v>
      </c>
      <c r="AC1920">
        <v>-0.209100000000006</v>
      </c>
      <c r="AD1920">
        <v>-0.12492830000000001</v>
      </c>
      <c r="AE1920">
        <v>-0.48560000000003301</v>
      </c>
      <c r="AF1920">
        <v>0.136898296669623</v>
      </c>
      <c r="AG1920">
        <v>-0.12492830000000001</v>
      </c>
      <c r="AH1920">
        <v>0.48167122118833</v>
      </c>
      <c r="AI1920">
        <v>104.00838746142099</v>
      </c>
      <c r="AJ1920">
        <v>74.134042865362105</v>
      </c>
      <c r="AK1920">
        <v>0.51609629827483905</v>
      </c>
      <c r="AL1920">
        <v>94.219642494084894</v>
      </c>
      <c r="AM1920">
        <v>86.659188026456803</v>
      </c>
      <c r="AN1920">
        <v>1.0000000224975301</v>
      </c>
    </row>
    <row r="1921" spans="1:40" x14ac:dyDescent="0.25">
      <c r="A1921" t="str">
        <f>"20190303153812192"</f>
        <v>20190303153812192</v>
      </c>
      <c r="B1921" t="str">
        <f>"1551598692190974"</f>
        <v>1551598692190974</v>
      </c>
      <c r="C1921" t="s">
        <v>40</v>
      </c>
      <c r="D1921">
        <v>4.8635929999999998</v>
      </c>
      <c r="E1921">
        <v>0.55191080000000003</v>
      </c>
      <c r="F1921" t="s">
        <v>44</v>
      </c>
      <c r="G1921">
        <v>-192.07579999999999</v>
      </c>
      <c r="H1921">
        <v>0.9657848</v>
      </c>
      <c r="I1921">
        <v>300.84010000000001</v>
      </c>
      <c r="J1921">
        <v>-191.81970000000001</v>
      </c>
      <c r="K1921">
        <v>1.1188</v>
      </c>
      <c r="L1921">
        <v>301.4735</v>
      </c>
      <c r="M1921">
        <v>-0.13362839999999901</v>
      </c>
      <c r="N1921">
        <v>-1.4146229999999999E-2</v>
      </c>
      <c r="O1921">
        <v>-0.99093070000000005</v>
      </c>
      <c r="P1921">
        <v>-0.19130549999999999</v>
      </c>
      <c r="Q1921">
        <v>-8.5681439999999998E-2</v>
      </c>
      <c r="R1921">
        <v>-0.97778390000000004</v>
      </c>
      <c r="S1921">
        <v>-0.98390200000000005</v>
      </c>
      <c r="T1921">
        <v>-0.52724669999999996</v>
      </c>
      <c r="U1921">
        <v>-2.8310550000000001</v>
      </c>
      <c r="V1921">
        <v>5.847231E-2</v>
      </c>
      <c r="W1921">
        <v>-7.196669E-2</v>
      </c>
      <c r="X1921">
        <v>0.99569160000000001</v>
      </c>
      <c r="Y1921">
        <v>0.1945711</v>
      </c>
      <c r="Z1921">
        <v>0.1603752</v>
      </c>
      <c r="AA1921">
        <v>0.96768889999999996</v>
      </c>
      <c r="AB1921">
        <v>20</v>
      </c>
      <c r="AC1921">
        <v>-0.25609999999997501</v>
      </c>
      <c r="AD1921">
        <v>-0.15301519999999999</v>
      </c>
      <c r="AE1921">
        <v>-0.63339999999999397</v>
      </c>
      <c r="AF1921">
        <v>0.16107458137380601</v>
      </c>
      <c r="AG1921">
        <v>-0.15301519999999999</v>
      </c>
      <c r="AH1921">
        <v>0.63032690476436704</v>
      </c>
      <c r="AI1921">
        <v>103.23526807682801</v>
      </c>
      <c r="AJ1921">
        <v>75.665329185435198</v>
      </c>
      <c r="AK1921">
        <v>0.66833425698943105</v>
      </c>
      <c r="AL1921">
        <v>94.126955280774794</v>
      </c>
      <c r="AM1921">
        <v>86.639146825877106</v>
      </c>
      <c r="AN1921">
        <v>0.99999998890842601</v>
      </c>
    </row>
    <row r="1922" spans="1:40" x14ac:dyDescent="0.25">
      <c r="A1922" t="str">
        <f>"20190303153812215"</f>
        <v>20190303153812215</v>
      </c>
      <c r="B1922" t="str">
        <f>"1551598692210495"</f>
        <v>1551598692210495</v>
      </c>
      <c r="C1922" t="s">
        <v>40</v>
      </c>
      <c r="D1922">
        <v>4.8806039999999999</v>
      </c>
      <c r="E1922">
        <v>0.55096029999999996</v>
      </c>
      <c r="F1922" t="s">
        <v>44</v>
      </c>
      <c r="G1922">
        <v>-192.1009</v>
      </c>
      <c r="H1922">
        <v>0.96742799999999995</v>
      </c>
      <c r="I1922">
        <v>300.66370000000001</v>
      </c>
      <c r="J1922">
        <v>-191.85130000000001</v>
      </c>
      <c r="K1922">
        <v>1.1187530000000001</v>
      </c>
      <c r="L1922">
        <v>301.279</v>
      </c>
      <c r="M1922">
        <v>-0.1381744</v>
      </c>
      <c r="N1922">
        <v>-1.4046029999999999E-2</v>
      </c>
      <c r="O1922">
        <v>-0.99030830000000003</v>
      </c>
      <c r="P1922">
        <v>-0.1960054</v>
      </c>
      <c r="Q1922">
        <v>-8.4173349999999994E-2</v>
      </c>
      <c r="R1922">
        <v>-0.97698359999999995</v>
      </c>
      <c r="S1922">
        <v>-0.9827728</v>
      </c>
      <c r="T1922">
        <v>-0.52892740000000005</v>
      </c>
      <c r="U1922">
        <v>-2.829529</v>
      </c>
      <c r="V1922">
        <v>5.8675119999999997E-2</v>
      </c>
      <c r="W1922">
        <v>-7.0563760000000003E-2</v>
      </c>
      <c r="X1922">
        <v>0.99578009999999995</v>
      </c>
      <c r="Y1922">
        <v>0.18985759999999999</v>
      </c>
      <c r="Z1922">
        <v>0.16103679999999901</v>
      </c>
      <c r="AA1922">
        <v>0.96851500000000001</v>
      </c>
      <c r="AB1922">
        <v>20</v>
      </c>
      <c r="AC1922">
        <v>-0.249599999999986</v>
      </c>
      <c r="AD1922">
        <v>-0.15132499999999999</v>
      </c>
      <c r="AE1922">
        <v>-0.61529999999998997</v>
      </c>
      <c r="AF1922">
        <v>0.15417088462968401</v>
      </c>
      <c r="AG1922">
        <v>-0.15132499999999999</v>
      </c>
      <c r="AH1922">
        <v>0.61209731647847498</v>
      </c>
      <c r="AI1922">
        <v>103.481443260885</v>
      </c>
      <c r="AJ1922">
        <v>75.862790222124801</v>
      </c>
      <c r="AK1922">
        <v>0.64910017881113702</v>
      </c>
      <c r="AL1922">
        <v>94.046368316623301</v>
      </c>
      <c r="AM1922">
        <v>86.627815673687707</v>
      </c>
      <c r="AN1922">
        <v>1.00000001074418</v>
      </c>
    </row>
    <row r="1923" spans="1:40" x14ac:dyDescent="0.25">
      <c r="A1923" t="str">
        <f>"20190303153812238"</f>
        <v>20190303153812238</v>
      </c>
      <c r="B1923" t="str">
        <f>"1551598692230524"</f>
        <v>1551598692230524</v>
      </c>
      <c r="C1923" t="s">
        <v>40</v>
      </c>
      <c r="D1923">
        <v>4.8806479999999999</v>
      </c>
      <c r="E1923">
        <v>0.55024019999999996</v>
      </c>
      <c r="F1923" t="s">
        <v>44</v>
      </c>
      <c r="G1923">
        <v>-192.1285</v>
      </c>
      <c r="H1923">
        <v>0.97001809999999999</v>
      </c>
      <c r="I1923">
        <v>300.48719999999997</v>
      </c>
      <c r="J1923">
        <v>-191.88550000000001</v>
      </c>
      <c r="K1923">
        <v>1.1186940000000001</v>
      </c>
      <c r="L1923">
        <v>301.0761</v>
      </c>
      <c r="M1923">
        <v>-0.14300570000000001</v>
      </c>
      <c r="N1923">
        <v>-1.3888910000000001E-2</v>
      </c>
      <c r="O1923">
        <v>-0.98962439999999996</v>
      </c>
      <c r="P1923">
        <v>-0.20167550000000001</v>
      </c>
      <c r="Q1923">
        <v>-8.1866640000000004E-2</v>
      </c>
      <c r="R1923">
        <v>-0.97602489999999997</v>
      </c>
      <c r="S1923">
        <v>-0.98887630000000004</v>
      </c>
      <c r="T1923">
        <v>-0.53074790000000005</v>
      </c>
      <c r="U1923">
        <v>-2.8265989999999999</v>
      </c>
      <c r="V1923">
        <v>5.9576589999999999E-2</v>
      </c>
      <c r="W1923">
        <v>-6.8422869999999997E-2</v>
      </c>
      <c r="X1923">
        <v>0.99587599999999998</v>
      </c>
      <c r="Y1923">
        <v>0.18720909999999999</v>
      </c>
      <c r="Z1923">
        <v>0.16175780000000001</v>
      </c>
      <c r="AA1923">
        <v>0.9689103</v>
      </c>
      <c r="AB1923">
        <v>20</v>
      </c>
      <c r="AC1923">
        <v>-0.242999999999995</v>
      </c>
      <c r="AD1923">
        <v>-0.1486759</v>
      </c>
      <c r="AE1923">
        <v>-0.58890000000002296</v>
      </c>
      <c r="AF1923">
        <v>0.14820579807773099</v>
      </c>
      <c r="AG1923">
        <v>-0.1486759</v>
      </c>
      <c r="AH1923">
        <v>0.58569993645129503</v>
      </c>
      <c r="AI1923">
        <v>103.825036513858</v>
      </c>
      <c r="AJ1923">
        <v>75.799914510248996</v>
      </c>
      <c r="AK1923">
        <v>0.62218477752490797</v>
      </c>
      <c r="AL1923">
        <v>93.923406975040706</v>
      </c>
      <c r="AM1923">
        <v>86.576457518094202</v>
      </c>
      <c r="AN1923">
        <v>1.0000000332955301</v>
      </c>
    </row>
    <row r="1924" spans="1:40" x14ac:dyDescent="0.25">
      <c r="A1924" t="str">
        <f>"20190303153812262"</f>
        <v>20190303153812262</v>
      </c>
      <c r="B1924" t="str">
        <f>"1551598692251020"</f>
        <v>1551598692251020</v>
      </c>
      <c r="C1924" t="s">
        <v>40</v>
      </c>
      <c r="D1924">
        <v>4.8834439999999999</v>
      </c>
      <c r="E1924">
        <v>0.54957880000000003</v>
      </c>
      <c r="F1924" t="s">
        <v>44</v>
      </c>
      <c r="G1924">
        <v>-192.15690000000001</v>
      </c>
      <c r="H1924">
        <v>0.97444030000000004</v>
      </c>
      <c r="I1924">
        <v>300.3098</v>
      </c>
      <c r="J1924">
        <v>-191.92250000000001</v>
      </c>
      <c r="K1924">
        <v>1.118611</v>
      </c>
      <c r="L1924">
        <v>300.86320000000001</v>
      </c>
      <c r="M1924">
        <v>-0.14816570000000001</v>
      </c>
      <c r="N1924">
        <v>-1.3649710000000001E-2</v>
      </c>
      <c r="O1924">
        <v>-0.98886839999999998</v>
      </c>
      <c r="P1924">
        <v>-0.20779249999999999</v>
      </c>
      <c r="Q1924">
        <v>-8.0054920000000002E-2</v>
      </c>
      <c r="R1924">
        <v>-0.97489170000000003</v>
      </c>
      <c r="S1924">
        <v>-0.99931340000000002</v>
      </c>
      <c r="T1924">
        <v>-0.53116169999999996</v>
      </c>
      <c r="U1924">
        <v>-2.8226010000000001</v>
      </c>
      <c r="V1924">
        <v>6.0608200000000001E-2</v>
      </c>
      <c r="W1924">
        <v>-6.686069E-2</v>
      </c>
      <c r="X1924">
        <v>0.99591980000000002</v>
      </c>
      <c r="Y1924">
        <v>0.18568989999999999</v>
      </c>
      <c r="Z1924">
        <v>0.16208819999999999</v>
      </c>
      <c r="AA1924">
        <v>0.96914739999999999</v>
      </c>
      <c r="AB1924">
        <v>20</v>
      </c>
      <c r="AC1924">
        <v>-0.234399999999993</v>
      </c>
      <c r="AD1924">
        <v>-0.14417069999999901</v>
      </c>
      <c r="AE1924">
        <v>-0.55340000000001</v>
      </c>
      <c r="AF1924">
        <v>0.14165800381478599</v>
      </c>
      <c r="AG1924">
        <v>-0.14417069999999901</v>
      </c>
      <c r="AH1924">
        <v>0.55035356065227503</v>
      </c>
      <c r="AI1924">
        <v>104.235116513948</v>
      </c>
      <c r="AJ1924">
        <v>75.565701482055999</v>
      </c>
      <c r="AK1924">
        <v>0.586294484458039</v>
      </c>
      <c r="AL1924">
        <v>93.833695394999793</v>
      </c>
      <c r="AM1924">
        <v>86.517473966539598</v>
      </c>
      <c r="AN1924">
        <v>0.99999997690327702</v>
      </c>
    </row>
    <row r="1925" spans="1:40" x14ac:dyDescent="0.25">
      <c r="A1925" t="str">
        <f>"20190303153812286"</f>
        <v>20190303153812286</v>
      </c>
      <c r="B1925" t="str">
        <f>"1551598692280300"</f>
        <v>1551598692280300</v>
      </c>
      <c r="C1925" t="s">
        <v>40</v>
      </c>
      <c r="D1925">
        <v>5.0862470000000002</v>
      </c>
      <c r="E1925">
        <v>0.57763310000000001</v>
      </c>
      <c r="F1925" t="s">
        <v>44</v>
      </c>
      <c r="G1925">
        <v>-192.18549999999999</v>
      </c>
      <c r="H1925">
        <v>0.98078940000000003</v>
      </c>
      <c r="I1925">
        <v>300.13119999999998</v>
      </c>
      <c r="J1925">
        <v>-191.95869999999999</v>
      </c>
      <c r="K1925">
        <v>1.1185210000000001</v>
      </c>
      <c r="L1925">
        <v>300.66090000000003</v>
      </c>
      <c r="M1925">
        <v>-0.1531431</v>
      </c>
      <c r="N1925">
        <v>-1.3376799999999999E-2</v>
      </c>
      <c r="O1925">
        <v>-0.98811349999999998</v>
      </c>
      <c r="P1925">
        <v>-0.2140386</v>
      </c>
      <c r="Q1925">
        <v>-7.9455880000000007E-2</v>
      </c>
      <c r="R1925">
        <v>-0.97358849999999997</v>
      </c>
      <c r="S1925">
        <v>-1.0113369999999999</v>
      </c>
      <c r="T1925">
        <v>-0.53028390000000003</v>
      </c>
      <c r="U1925">
        <v>-2.8182070000000001</v>
      </c>
      <c r="V1925">
        <v>6.196662E-2</v>
      </c>
      <c r="W1925">
        <v>-6.654815E-2</v>
      </c>
      <c r="X1925">
        <v>0.9958572</v>
      </c>
      <c r="Y1925">
        <v>0.18489720000000001</v>
      </c>
      <c r="Z1925">
        <v>0.16203110000000001</v>
      </c>
      <c r="AA1925">
        <v>0.96930850000000002</v>
      </c>
      <c r="AB1925">
        <v>20</v>
      </c>
      <c r="AC1925">
        <v>-0.226799999999997</v>
      </c>
      <c r="AD1925">
        <v>-0.13773159999999901</v>
      </c>
      <c r="AE1925">
        <v>-0.52970000000004802</v>
      </c>
      <c r="AF1925">
        <v>0.13526846486920199</v>
      </c>
      <c r="AG1925">
        <v>-0.13773159999999901</v>
      </c>
      <c r="AH1925">
        <v>0.52801817118775596</v>
      </c>
      <c r="AI1925">
        <v>104.181012339624</v>
      </c>
      <c r="AJ1925">
        <v>75.630906567246399</v>
      </c>
      <c r="AK1925">
        <v>0.56220169008203202</v>
      </c>
      <c r="AL1925">
        <v>93.815747956093702</v>
      </c>
      <c r="AM1925">
        <v>86.439394982911296</v>
      </c>
      <c r="AN1925">
        <v>1.00000004052724</v>
      </c>
    </row>
    <row r="1926" spans="1:40" x14ac:dyDescent="0.25">
      <c r="A1926" t="str">
        <f>"20190303153812304"</f>
        <v>20190303153812304</v>
      </c>
      <c r="B1926" t="str">
        <f>"1551598692300796"</f>
        <v>1551598692300796</v>
      </c>
      <c r="C1926" t="s">
        <v>40</v>
      </c>
      <c r="D1926">
        <v>4.953424</v>
      </c>
      <c r="E1926">
        <v>0.62418909999999905</v>
      </c>
      <c r="F1926" t="s">
        <v>51</v>
      </c>
      <c r="G1926">
        <v>-195.2191</v>
      </c>
      <c r="H1926" s="1">
        <v>1.512112E-6</v>
      </c>
      <c r="I1926">
        <v>293.41680000000002</v>
      </c>
      <c r="J1926">
        <v>-191.99039999999999</v>
      </c>
      <c r="K1926">
        <v>1.1184449999999999</v>
      </c>
      <c r="L1926">
        <v>300.48950000000002</v>
      </c>
      <c r="M1926">
        <v>-0.157420899999999</v>
      </c>
      <c r="N1926">
        <v>-1.3118090000000001E-2</v>
      </c>
      <c r="O1926">
        <v>-0.9874444</v>
      </c>
      <c r="P1926">
        <v>-0.22038650000000001</v>
      </c>
      <c r="Q1926">
        <v>-7.9649719999999993E-2</v>
      </c>
      <c r="R1926">
        <v>-0.97215530000000006</v>
      </c>
      <c r="S1926">
        <v>-1.247665</v>
      </c>
      <c r="T1926">
        <v>-0.42803340000000001</v>
      </c>
      <c r="U1926">
        <v>-2.772186</v>
      </c>
      <c r="V1926">
        <v>6.4144759999999995E-2</v>
      </c>
      <c r="W1926">
        <v>-6.702052E-2</v>
      </c>
      <c r="X1926">
        <v>0.99568749999999995</v>
      </c>
      <c r="Y1926">
        <v>0.25808500000000001</v>
      </c>
      <c r="Z1926">
        <v>0.12802849999999999</v>
      </c>
      <c r="AA1926">
        <v>0.95760160000000005</v>
      </c>
      <c r="AB1926">
        <v>20</v>
      </c>
      <c r="AC1926">
        <v>-3.2286999999999999</v>
      </c>
      <c r="AD1926">
        <v>-1.1184434878880001</v>
      </c>
      <c r="AE1926">
        <v>-7.0726999999999904</v>
      </c>
      <c r="AF1926">
        <v>2.0328807280807601</v>
      </c>
      <c r="AG1926">
        <v>-1.1184434878880001</v>
      </c>
      <c r="AH1926">
        <v>7.3408939992265001</v>
      </c>
      <c r="AI1926">
        <v>98.353155219574205</v>
      </c>
      <c r="AJ1926">
        <v>74.521232985796701</v>
      </c>
      <c r="AK1926">
        <v>7.6988469654930096</v>
      </c>
      <c r="AL1926">
        <v>93.842873674052399</v>
      </c>
      <c r="AM1926">
        <v>86.313951656697398</v>
      </c>
      <c r="AN1926">
        <v>0.999999948996387</v>
      </c>
    </row>
    <row r="1927" spans="1:40" x14ac:dyDescent="0.25">
      <c r="A1927" t="str">
        <f>"20190303153812329"</f>
        <v>20190303153812329</v>
      </c>
      <c r="B1927" t="str">
        <f>"1551598692320317"</f>
        <v>1551598692320317</v>
      </c>
      <c r="C1927" t="s">
        <v>40</v>
      </c>
      <c r="D1927">
        <v>4.9371390000000002</v>
      </c>
      <c r="E1927">
        <v>0.62395669999999903</v>
      </c>
      <c r="F1927" t="s">
        <v>51</v>
      </c>
      <c r="G1927">
        <v>-198.66980000000001</v>
      </c>
      <c r="H1927" s="1">
        <v>2.0060739999999999E-6</v>
      </c>
      <c r="I1927">
        <v>289.42809999999997</v>
      </c>
      <c r="J1927">
        <v>-192.03039999999999</v>
      </c>
      <c r="K1927">
        <v>1.1183510000000001</v>
      </c>
      <c r="L1927">
        <v>300.27820000000003</v>
      </c>
      <c r="M1927">
        <v>-0.16275999999999999</v>
      </c>
      <c r="N1927">
        <v>-1.2757910000000001E-2</v>
      </c>
      <c r="O1927">
        <v>-0.98658319999999999</v>
      </c>
      <c r="P1927">
        <v>-0.22848740000000001</v>
      </c>
      <c r="Q1927">
        <v>-7.8639029999999999E-2</v>
      </c>
      <c r="R1927">
        <v>-0.9703659</v>
      </c>
      <c r="S1927">
        <v>-1.627197</v>
      </c>
      <c r="T1927">
        <v>-0.27247009999999899</v>
      </c>
      <c r="U1927">
        <v>-2.6947329999999998</v>
      </c>
      <c r="V1927">
        <v>6.7046090000000003E-2</v>
      </c>
      <c r="W1927">
        <v>-6.6395280000000001E-2</v>
      </c>
      <c r="X1927">
        <v>0.99553829999999999</v>
      </c>
      <c r="Y1927">
        <v>0.36898069999999999</v>
      </c>
      <c r="Z1927">
        <v>7.5626869999999999E-2</v>
      </c>
      <c r="AA1927">
        <v>0.92635509999999999</v>
      </c>
      <c r="AB1927">
        <v>20</v>
      </c>
      <c r="AC1927">
        <v>-6.6394000000000197</v>
      </c>
      <c r="AD1927">
        <v>-1.1183489939260001</v>
      </c>
      <c r="AE1927">
        <v>-10.850099999999999</v>
      </c>
      <c r="AF1927">
        <v>4.7480469552883102</v>
      </c>
      <c r="AG1927">
        <v>-1.1183489939260001</v>
      </c>
      <c r="AH1927">
        <v>11.695710751316801</v>
      </c>
      <c r="AI1927">
        <v>95.063068473770102</v>
      </c>
      <c r="AJ1927">
        <v>67.904578647562502</v>
      </c>
      <c r="AK1927">
        <v>12.6721862494324</v>
      </c>
      <c r="AL1927">
        <v>93.806969855823596</v>
      </c>
      <c r="AM1927">
        <v>86.147143689130402</v>
      </c>
      <c r="AN1927">
        <v>1.00000000907872</v>
      </c>
    </row>
    <row r="1928" spans="1:40" x14ac:dyDescent="0.25">
      <c r="A1928" t="str">
        <f>"20190303153812350"</f>
        <v>20190303153812350</v>
      </c>
      <c r="B1928" t="str">
        <f>"1551598692340812"</f>
        <v>1551598692340812</v>
      </c>
      <c r="C1928" t="s">
        <v>40</v>
      </c>
      <c r="D1928">
        <v>4.9190990000000001</v>
      </c>
      <c r="E1928">
        <v>0.62379859999999998</v>
      </c>
      <c r="F1928" t="s">
        <v>51</v>
      </c>
      <c r="G1928">
        <v>-198.25960000000001</v>
      </c>
      <c r="H1928" s="1">
        <v>1.8738299999999999E-6</v>
      </c>
      <c r="I1928">
        <v>290.1497</v>
      </c>
      <c r="J1928">
        <v>-192.06809999999999</v>
      </c>
      <c r="K1928">
        <v>1.11826</v>
      </c>
      <c r="L1928">
        <v>300.08539999999999</v>
      </c>
      <c r="M1928">
        <v>-0.16769770000000001</v>
      </c>
      <c r="N1928">
        <v>-1.239239E-2</v>
      </c>
      <c r="O1928">
        <v>-0.98576070000000005</v>
      </c>
      <c r="P1928">
        <v>-0.2359813</v>
      </c>
      <c r="Q1928">
        <v>-7.6064679999999996E-2</v>
      </c>
      <c r="R1928">
        <v>-0.96877619999999998</v>
      </c>
      <c r="S1928">
        <v>-1.647964</v>
      </c>
      <c r="T1928">
        <v>-0.29586639999999997</v>
      </c>
      <c r="U1928">
        <v>-2.6795650000000002</v>
      </c>
      <c r="V1928">
        <v>6.9729600000000003E-2</v>
      </c>
      <c r="W1928">
        <v>-6.4208920000000003E-2</v>
      </c>
      <c r="X1928">
        <v>0.99549730000000003</v>
      </c>
      <c r="Y1928">
        <v>0.37152859999999999</v>
      </c>
      <c r="Z1928">
        <v>8.3581660000000002E-2</v>
      </c>
      <c r="AA1928">
        <v>0.92465160000000002</v>
      </c>
      <c r="AB1928">
        <v>20</v>
      </c>
      <c r="AC1928">
        <v>-6.1915000000000102</v>
      </c>
      <c r="AD1928">
        <v>-1.11825812617</v>
      </c>
      <c r="AE1928">
        <v>-9.93569999999999</v>
      </c>
      <c r="AF1928">
        <v>4.3973610048272302</v>
      </c>
      <c r="AG1928">
        <v>-1.11825812617</v>
      </c>
      <c r="AH1928">
        <v>10.7354011715039</v>
      </c>
      <c r="AI1928">
        <v>95.505866359864001</v>
      </c>
      <c r="AJ1928">
        <v>67.725350785198401</v>
      </c>
      <c r="AK1928">
        <v>11.654875518710901</v>
      </c>
      <c r="AL1928">
        <v>93.681432937492602</v>
      </c>
      <c r="AM1928">
        <v>85.993261809242497</v>
      </c>
      <c r="AN1928">
        <v>0.99999993841550605</v>
      </c>
    </row>
    <row r="1929" spans="1:40" x14ac:dyDescent="0.25">
      <c r="A1929" t="str">
        <f>"20190303153812372"</f>
        <v>20190303153812372</v>
      </c>
      <c r="B1929" t="str">
        <f>"1551598692360336"</f>
        <v>1551598692360336</v>
      </c>
      <c r="C1929" t="s">
        <v>40</v>
      </c>
      <c r="D1929">
        <v>4.9697050000000003</v>
      </c>
      <c r="E1929">
        <v>0.62244679999999997</v>
      </c>
      <c r="F1929" t="s">
        <v>51</v>
      </c>
      <c r="G1929">
        <v>-198.36089999999999</v>
      </c>
      <c r="H1929" s="1">
        <v>1.9020590000000001E-6</v>
      </c>
      <c r="I1929">
        <v>290.01900000000001</v>
      </c>
      <c r="J1929">
        <v>-192.10679999999999</v>
      </c>
      <c r="K1929">
        <v>1.118166</v>
      </c>
      <c r="L1929">
        <v>299.89280000000002</v>
      </c>
      <c r="M1929">
        <v>-0.1726712</v>
      </c>
      <c r="N1929">
        <v>-1.2015059999999999E-2</v>
      </c>
      <c r="O1929">
        <v>-0.98490639999999996</v>
      </c>
      <c r="P1929">
        <v>-0.24202319999999999</v>
      </c>
      <c r="Q1929">
        <v>-7.3198730000000004E-2</v>
      </c>
      <c r="R1929">
        <v>-0.96750579999999997</v>
      </c>
      <c r="S1929">
        <v>-1.66741899999999</v>
      </c>
      <c r="T1929">
        <v>-0.29630640000000003</v>
      </c>
      <c r="U1929">
        <v>-2.667297</v>
      </c>
      <c r="V1929">
        <v>7.0891289999999996E-2</v>
      </c>
      <c r="W1929">
        <v>-6.1731250000000001E-2</v>
      </c>
      <c r="X1929">
        <v>0.99557200000000001</v>
      </c>
      <c r="Y1929">
        <v>0.37358720000000001</v>
      </c>
      <c r="Z1929">
        <v>8.4138889999999994E-2</v>
      </c>
      <c r="AA1929">
        <v>0.92377120000000001</v>
      </c>
      <c r="AB1929">
        <v>20</v>
      </c>
      <c r="AC1929">
        <v>-6.2540999999999896</v>
      </c>
      <c r="AD1929">
        <v>-1.1181640979409999</v>
      </c>
      <c r="AE1929">
        <v>-9.8738000000000099</v>
      </c>
      <c r="AF1929">
        <v>4.4146973349576699</v>
      </c>
      <c r="AG1929">
        <v>-1.1181640979409999</v>
      </c>
      <c r="AH1929">
        <v>10.7074494933883</v>
      </c>
      <c r="AI1929">
        <v>95.514506925965094</v>
      </c>
      <c r="AJ1929">
        <v>67.593573293679398</v>
      </c>
      <c r="AK1929">
        <v>11.635691563575801</v>
      </c>
      <c r="AL1929">
        <v>93.539190472548199</v>
      </c>
      <c r="AM1929">
        <v>85.927037297802002</v>
      </c>
      <c r="AN1929">
        <v>0.99999996470421204</v>
      </c>
    </row>
    <row r="1930" spans="1:40" x14ac:dyDescent="0.25">
      <c r="A1930" t="str">
        <f>"20190303153812394"</f>
        <v>20190303153812394</v>
      </c>
      <c r="B1930" t="str">
        <f>"1551598692390588"</f>
        <v>1551598692390588</v>
      </c>
      <c r="C1930" t="s">
        <v>40</v>
      </c>
      <c r="D1930">
        <v>4.9410790000000002</v>
      </c>
      <c r="E1930">
        <v>0.62112670000000003</v>
      </c>
      <c r="F1930" t="s">
        <v>51</v>
      </c>
      <c r="G1930">
        <v>-198.31469999999999</v>
      </c>
      <c r="H1930" s="1">
        <v>1.907025E-6</v>
      </c>
      <c r="I1930">
        <v>290.02809999999999</v>
      </c>
      <c r="J1930">
        <v>-192.14760000000001</v>
      </c>
      <c r="K1930">
        <v>1.118069</v>
      </c>
      <c r="L1930">
        <v>299.69510000000002</v>
      </c>
      <c r="M1930">
        <v>-0.1778102</v>
      </c>
      <c r="N1930">
        <v>-1.1639190000000001E-2</v>
      </c>
      <c r="O1930">
        <v>-0.98399590000000003</v>
      </c>
      <c r="P1930">
        <v>-0.24695059999999999</v>
      </c>
      <c r="Q1930">
        <v>-7.3390189999999994E-2</v>
      </c>
      <c r="R1930">
        <v>-0.96624509999999997</v>
      </c>
      <c r="S1930">
        <v>-1.6735529999999901</v>
      </c>
      <c r="T1930">
        <v>-0.30143520000000001</v>
      </c>
      <c r="U1930">
        <v>-2.659332</v>
      </c>
      <c r="V1930">
        <v>7.0762560000000002E-2</v>
      </c>
      <c r="W1930">
        <v>-6.2301660000000002E-2</v>
      </c>
      <c r="X1930">
        <v>0.99554569999999998</v>
      </c>
      <c r="Y1930">
        <v>0.37142700000000001</v>
      </c>
      <c r="Z1930">
        <v>8.6250489999999999E-2</v>
      </c>
      <c r="AA1930">
        <v>0.92444729999999997</v>
      </c>
      <c r="AB1930">
        <v>20</v>
      </c>
      <c r="AC1930">
        <v>-6.1670999999999703</v>
      </c>
      <c r="AD1930">
        <v>-1.1180670929750001</v>
      </c>
      <c r="AE1930">
        <v>-9.66700000000003</v>
      </c>
      <c r="AF1930">
        <v>4.3088388906192598</v>
      </c>
      <c r="AG1930">
        <v>-1.1180670929750001</v>
      </c>
      <c r="AH1930">
        <v>10.5096612243041</v>
      </c>
      <c r="AI1930">
        <v>95.621688277308294</v>
      </c>
      <c r="AJ1930">
        <v>67.706941224115496</v>
      </c>
      <c r="AK1930">
        <v>11.4135509662571</v>
      </c>
      <c r="AL1930">
        <v>93.571935325062995</v>
      </c>
      <c r="AM1930">
        <v>85.934301438135094</v>
      </c>
      <c r="AN1930">
        <v>1.0000000387624901</v>
      </c>
    </row>
    <row r="1931" spans="1:40" x14ac:dyDescent="0.25">
      <c r="A1931" t="str">
        <f>"20190303153812416"</f>
        <v>20190303153812416</v>
      </c>
      <c r="B1931" t="str">
        <f>"1551598692411084"</f>
        <v>1551598692411084</v>
      </c>
      <c r="C1931" t="s">
        <v>40</v>
      </c>
      <c r="D1931">
        <v>4.8937189999999999</v>
      </c>
      <c r="E1931">
        <v>0.62068210000000001</v>
      </c>
      <c r="F1931" t="s">
        <v>51</v>
      </c>
      <c r="G1931">
        <v>-198.1156</v>
      </c>
      <c r="H1931" s="1">
        <v>1.8615070000000001E-6</v>
      </c>
      <c r="I1931">
        <v>290.2568</v>
      </c>
      <c r="J1931">
        <v>-192.18989999999999</v>
      </c>
      <c r="K1931">
        <v>1.1179779999999999</v>
      </c>
      <c r="L1931">
        <v>299.495</v>
      </c>
      <c r="M1931">
        <v>-0.18303810000000001</v>
      </c>
      <c r="N1931">
        <v>-1.1271339999999999E-2</v>
      </c>
      <c r="O1931">
        <v>-0.98304130000000001</v>
      </c>
      <c r="P1931">
        <v>-0.25077949999999999</v>
      </c>
      <c r="Q1931">
        <v>-7.5645180000000006E-2</v>
      </c>
      <c r="R1931">
        <v>-0.96508430000000001</v>
      </c>
      <c r="S1931">
        <v>-1.6771240000000001</v>
      </c>
      <c r="T1931">
        <v>-0.31419609999999998</v>
      </c>
      <c r="U1931">
        <v>-2.6523129999999999</v>
      </c>
      <c r="V1931">
        <v>6.9428740000000003E-2</v>
      </c>
      <c r="W1931">
        <v>-6.4919199999999996E-2</v>
      </c>
      <c r="X1931">
        <v>0.99547229999999998</v>
      </c>
      <c r="Y1931">
        <v>0.36826900000000001</v>
      </c>
      <c r="Z1931">
        <v>9.0802229999999998E-2</v>
      </c>
      <c r="AA1931">
        <v>0.9252745</v>
      </c>
      <c r="AB1931">
        <v>20</v>
      </c>
      <c r="AC1931">
        <v>-5.9257</v>
      </c>
      <c r="AD1931">
        <v>-1.117976138493</v>
      </c>
      <c r="AE1931">
        <v>-9.2382000000000009</v>
      </c>
      <c r="AF1931">
        <v>4.0920683534029099</v>
      </c>
      <c r="AG1931">
        <v>-1.117976138493</v>
      </c>
      <c r="AH1931">
        <v>10.062398795378099</v>
      </c>
      <c r="AI1931">
        <v>95.876158024131797</v>
      </c>
      <c r="AJ1931">
        <v>67.869935369140805</v>
      </c>
      <c r="AK1931">
        <v>10.9200166470747</v>
      </c>
      <c r="AL1931">
        <v>93.722213933274901</v>
      </c>
      <c r="AM1931">
        <v>86.010393738238903</v>
      </c>
      <c r="AN1931">
        <v>0.99999997626695802</v>
      </c>
    </row>
    <row r="1932" spans="1:40" x14ac:dyDescent="0.25">
      <c r="A1932" t="str">
        <f>"20190303153812439"</f>
        <v>20190303153812439</v>
      </c>
      <c r="B1932" t="str">
        <f>"1551598692430604"</f>
        <v>1551598692430604</v>
      </c>
      <c r="C1932" t="s">
        <v>40</v>
      </c>
      <c r="D1932">
        <v>4.8951029999999998</v>
      </c>
      <c r="E1932">
        <v>0.62106530000000004</v>
      </c>
      <c r="F1932" t="s">
        <v>51</v>
      </c>
      <c r="G1932">
        <v>-197.93680000000001</v>
      </c>
      <c r="H1932" s="1">
        <v>1.81909E-6</v>
      </c>
      <c r="I1932">
        <v>290.4665</v>
      </c>
      <c r="J1932">
        <v>-192.23400000000001</v>
      </c>
      <c r="K1932">
        <v>1.1178900000000001</v>
      </c>
      <c r="L1932">
        <v>299.29230000000001</v>
      </c>
      <c r="M1932">
        <v>-0.1883599</v>
      </c>
      <c r="N1932">
        <v>-1.090762E-2</v>
      </c>
      <c r="O1932">
        <v>-0.98203960000000001</v>
      </c>
      <c r="P1932">
        <v>-0.25374790000000003</v>
      </c>
      <c r="Q1932">
        <v>-7.7441860000000001E-2</v>
      </c>
      <c r="R1932">
        <v>-0.96416539999999995</v>
      </c>
      <c r="S1932">
        <v>-1.6838229999999901</v>
      </c>
      <c r="T1932">
        <v>-0.32756449999999998</v>
      </c>
      <c r="U1932">
        <v>-2.6453250000000001</v>
      </c>
      <c r="V1932">
        <v>6.7109769999999999E-2</v>
      </c>
      <c r="W1932">
        <v>-6.7065739999999999E-2</v>
      </c>
      <c r="X1932">
        <v>0.99548910000000002</v>
      </c>
      <c r="Y1932">
        <v>0.36577280000000001</v>
      </c>
      <c r="Z1932">
        <v>9.5493090000000003E-2</v>
      </c>
      <c r="AA1932">
        <v>0.92579230000000001</v>
      </c>
      <c r="AB1932">
        <v>20</v>
      </c>
      <c r="AC1932">
        <v>-5.7027999999999901</v>
      </c>
      <c r="AD1932">
        <v>-1.1178881809100001</v>
      </c>
      <c r="AE1932">
        <v>-8.8258000000000099</v>
      </c>
      <c r="AF1932">
        <v>3.8941097446782602</v>
      </c>
      <c r="AG1932">
        <v>-1.1178881809100001</v>
      </c>
      <c r="AH1932">
        <v>9.6330179140969303</v>
      </c>
      <c r="AI1932">
        <v>96.140785809824806</v>
      </c>
      <c r="AJ1932">
        <v>67.9891717363287</v>
      </c>
      <c r="AK1932">
        <v>10.450301374693799</v>
      </c>
      <c r="AL1932">
        <v>93.845470075716506</v>
      </c>
      <c r="AM1932">
        <v>86.143305280567702</v>
      </c>
      <c r="AN1932">
        <v>1.0000000414650001</v>
      </c>
    </row>
    <row r="1933" spans="1:40" x14ac:dyDescent="0.25">
      <c r="A1933" t="str">
        <f>"20190303153812462"</f>
        <v>20190303153812462</v>
      </c>
      <c r="B1933" t="str">
        <f>"1551598692460860"</f>
        <v>1551598692460860</v>
      </c>
      <c r="C1933" t="s">
        <v>40</v>
      </c>
      <c r="D1933">
        <v>4.8557269999999999</v>
      </c>
      <c r="E1933">
        <v>0.62065760000000003</v>
      </c>
      <c r="F1933" t="s">
        <v>51</v>
      </c>
      <c r="G1933">
        <v>-198.4778</v>
      </c>
      <c r="H1933" s="1">
        <v>2.0283180000000002E-6</v>
      </c>
      <c r="I1933">
        <v>289.56310000000002</v>
      </c>
      <c r="J1933">
        <v>-192.2801</v>
      </c>
      <c r="K1933">
        <v>1.1178170000000001</v>
      </c>
      <c r="L1933">
        <v>299.08589999999998</v>
      </c>
      <c r="M1933">
        <v>-0.1937951</v>
      </c>
      <c r="N1933">
        <v>-1.055091E-2</v>
      </c>
      <c r="O1933">
        <v>-0.98098549999999995</v>
      </c>
      <c r="P1933">
        <v>-0.25701200000000002</v>
      </c>
      <c r="Q1933">
        <v>-7.7962699999999996E-2</v>
      </c>
      <c r="R1933">
        <v>-0.96325859999999996</v>
      </c>
      <c r="S1933">
        <v>-1.6949160000000001</v>
      </c>
      <c r="T1933">
        <v>-0.30345800000000001</v>
      </c>
      <c r="U1933">
        <v>-2.6410520000000002</v>
      </c>
      <c r="V1933">
        <v>6.4968769999999995E-2</v>
      </c>
      <c r="W1933">
        <v>-6.7929530000000002E-2</v>
      </c>
      <c r="X1933">
        <v>0.99557249999999997</v>
      </c>
      <c r="Y1933">
        <v>0.3644559</v>
      </c>
      <c r="Z1933">
        <v>8.8041549999999996E-2</v>
      </c>
      <c r="AA1933">
        <v>0.92704940000000002</v>
      </c>
      <c r="AB1933">
        <v>20</v>
      </c>
      <c r="AC1933">
        <v>-6.1976999999999904</v>
      </c>
      <c r="AD1933">
        <v>-1.1178149716820001</v>
      </c>
      <c r="AE1933">
        <v>-9.5227999999999593</v>
      </c>
      <c r="AF1933">
        <v>4.19402281203807</v>
      </c>
      <c r="AG1933">
        <v>-1.1178149716820001</v>
      </c>
      <c r="AH1933">
        <v>10.442326201461899</v>
      </c>
      <c r="AI1933">
        <v>95.672812827584295</v>
      </c>
      <c r="AJ1933">
        <v>68.117788283379497</v>
      </c>
      <c r="AK1933">
        <v>11.308470902670701</v>
      </c>
      <c r="AL1933">
        <v>93.895074953539293</v>
      </c>
      <c r="AM1933">
        <v>86.266303358076001</v>
      </c>
      <c r="AN1933">
        <v>0.99999998243879096</v>
      </c>
    </row>
    <row r="1934" spans="1:40" x14ac:dyDescent="0.25">
      <c r="A1934" t="str">
        <f>"20190303153812486"</f>
        <v>20190303153812486</v>
      </c>
      <c r="B1934" t="str">
        <f>"1551598692480381"</f>
        <v>1551598692480381</v>
      </c>
      <c r="C1934" t="s">
        <v>40</v>
      </c>
      <c r="D1934">
        <v>4.9056470000000001</v>
      </c>
      <c r="E1934">
        <v>0.62073719999999999</v>
      </c>
      <c r="F1934" t="s">
        <v>51</v>
      </c>
      <c r="G1934">
        <v>-198.46260000000001</v>
      </c>
      <c r="H1934" s="1">
        <v>2.0361170000000001E-6</v>
      </c>
      <c r="I1934">
        <v>289.50459999999998</v>
      </c>
      <c r="J1934">
        <v>-192.3252</v>
      </c>
      <c r="K1934">
        <v>1.1177589999999999</v>
      </c>
      <c r="L1934">
        <v>298.88869999999997</v>
      </c>
      <c r="M1934">
        <v>-0.19899549999999999</v>
      </c>
      <c r="N1934">
        <v>-1.022753E-2</v>
      </c>
      <c r="O1934">
        <v>-0.97994709999999996</v>
      </c>
      <c r="P1934">
        <v>-0.26082339999999998</v>
      </c>
      <c r="Q1934">
        <v>-7.7948379999999998E-2</v>
      </c>
      <c r="R1934">
        <v>-0.9622347</v>
      </c>
      <c r="S1934">
        <v>-1.70079</v>
      </c>
      <c r="T1934">
        <v>-0.30750359999999999</v>
      </c>
      <c r="U1934">
        <v>-2.635742</v>
      </c>
      <c r="V1934">
        <v>6.3625230000000005E-2</v>
      </c>
      <c r="W1934">
        <v>-6.8230170000000007E-2</v>
      </c>
      <c r="X1934">
        <v>0.99563869999999999</v>
      </c>
      <c r="Y1934">
        <v>0.36175370000000001</v>
      </c>
      <c r="Z1934">
        <v>8.9664640000000004E-2</v>
      </c>
      <c r="AA1934">
        <v>0.92795179999999999</v>
      </c>
      <c r="AB1934">
        <v>20</v>
      </c>
      <c r="AC1934">
        <v>-6.1374000000000102</v>
      </c>
      <c r="AD1934">
        <v>-1.1177569638830001</v>
      </c>
      <c r="AE1934">
        <v>-9.3840999999999894</v>
      </c>
      <c r="AF1934">
        <v>4.10634517089402</v>
      </c>
      <c r="AG1934">
        <v>-1.1177569638830001</v>
      </c>
      <c r="AH1934">
        <v>10.315276915680901</v>
      </c>
      <c r="AI1934">
        <v>95.748912782403593</v>
      </c>
      <c r="AJ1934">
        <v>68.2932971272608</v>
      </c>
      <c r="AK1934">
        <v>11.1586911929676</v>
      </c>
      <c r="AL1934">
        <v>93.912340450248195</v>
      </c>
      <c r="AM1934">
        <v>86.343546168215198</v>
      </c>
      <c r="AN1934">
        <v>0.99999997346423497</v>
      </c>
    </row>
    <row r="1935" spans="1:40" x14ac:dyDescent="0.25">
      <c r="A1935" t="str">
        <f>"20190303153812507"</f>
        <v>20190303153812507</v>
      </c>
      <c r="B1935" t="str">
        <f>"1551598692500876"</f>
        <v>1551598692500876</v>
      </c>
      <c r="C1935" t="s">
        <v>40</v>
      </c>
      <c r="D1935">
        <v>4.8659019999999904</v>
      </c>
      <c r="E1935">
        <v>0.62078599999999995</v>
      </c>
      <c r="F1935" t="s">
        <v>51</v>
      </c>
      <c r="G1935">
        <v>-198.57409999999999</v>
      </c>
      <c r="H1935" s="1">
        <v>2.0349120000000001E-6</v>
      </c>
      <c r="I1935">
        <v>289.29239999999999</v>
      </c>
      <c r="J1935">
        <v>-192.37309999999999</v>
      </c>
      <c r="K1935">
        <v>1.1176980000000001</v>
      </c>
      <c r="L1935">
        <v>298.68439999999998</v>
      </c>
      <c r="M1935">
        <v>-0.20437649999999999</v>
      </c>
      <c r="N1935">
        <v>-9.9175089999999997E-3</v>
      </c>
      <c r="O1935">
        <v>-0.97884210000000005</v>
      </c>
      <c r="P1935">
        <v>-0.26647470000000001</v>
      </c>
      <c r="Q1935">
        <v>-7.9426940000000001E-2</v>
      </c>
      <c r="R1935">
        <v>-0.96056350000000001</v>
      </c>
      <c r="S1935">
        <v>-1.7118990000000001</v>
      </c>
      <c r="T1935">
        <v>-0.30621369999999998</v>
      </c>
      <c r="U1935">
        <v>-2.6289370000000001</v>
      </c>
      <c r="V1935">
        <v>6.4015900000000001E-2</v>
      </c>
      <c r="W1935">
        <v>-7.0024740000000002E-2</v>
      </c>
      <c r="X1935">
        <v>0.99548910000000002</v>
      </c>
      <c r="Y1935">
        <v>0.36050120000000002</v>
      </c>
      <c r="Z1935">
        <v>8.9529040000000004E-2</v>
      </c>
      <c r="AA1935">
        <v>0.92845219999999995</v>
      </c>
      <c r="AB1935">
        <v>20</v>
      </c>
      <c r="AC1935">
        <v>-6.2009999999999899</v>
      </c>
      <c r="AD1935">
        <v>-1.1176959650879901</v>
      </c>
      <c r="AE1935">
        <v>-9.3919999999999906</v>
      </c>
      <c r="AF1935">
        <v>4.1099641537821796</v>
      </c>
      <c r="AG1935">
        <v>-1.1176959650879901</v>
      </c>
      <c r="AH1935">
        <v>10.358969743329901</v>
      </c>
      <c r="AI1935">
        <v>95.7271113885608</v>
      </c>
      <c r="AJ1935">
        <v>68.359092114517395</v>
      </c>
      <c r="AK1935">
        <v>11.2004153386816</v>
      </c>
      <c r="AL1935">
        <v>94.015408106268296</v>
      </c>
      <c r="AM1935">
        <v>86.320605041959396</v>
      </c>
      <c r="AN1935">
        <v>1.0000000239418401</v>
      </c>
    </row>
    <row r="1936" spans="1:40" x14ac:dyDescent="0.25">
      <c r="A1936" t="str">
        <f>"20190303153812529"</f>
        <v>20190303153812529</v>
      </c>
      <c r="B1936" t="str">
        <f>"1551598692520397"</f>
        <v>1551598692520397</v>
      </c>
      <c r="C1936" t="s">
        <v>40</v>
      </c>
      <c r="D1936">
        <v>4.8632220000000004</v>
      </c>
      <c r="E1936">
        <v>0.62063369999999995</v>
      </c>
      <c r="F1936" t="s">
        <v>51</v>
      </c>
      <c r="G1936">
        <v>-198.48</v>
      </c>
      <c r="H1936" s="1">
        <v>2.0396080000000001E-6</v>
      </c>
      <c r="I1936">
        <v>289.42959999999999</v>
      </c>
      <c r="J1936">
        <v>-192.4203</v>
      </c>
      <c r="K1936">
        <v>1.117651</v>
      </c>
      <c r="L1936">
        <v>298.48779999999999</v>
      </c>
      <c r="M1936">
        <v>-0.20954110000000001</v>
      </c>
      <c r="N1936">
        <v>-9.6486300000000001E-3</v>
      </c>
      <c r="O1936">
        <v>-0.97775230000000002</v>
      </c>
      <c r="P1936">
        <v>-0.27417059999999999</v>
      </c>
      <c r="Q1936">
        <v>-8.0644460000000001E-2</v>
      </c>
      <c r="R1936">
        <v>-0.95829410000000004</v>
      </c>
      <c r="S1936">
        <v>-1.7273860000000001</v>
      </c>
      <c r="T1936">
        <v>-0.31615130000000002</v>
      </c>
      <c r="U1936">
        <v>-2.6177980000000001</v>
      </c>
      <c r="V1936">
        <v>6.6751699999999997E-2</v>
      </c>
      <c r="W1936">
        <v>-7.1534639999999997E-2</v>
      </c>
      <c r="X1936">
        <v>0.99520200000000003</v>
      </c>
      <c r="Y1936">
        <v>0.3610449</v>
      </c>
      <c r="Z1936">
        <v>9.3001479999999997E-2</v>
      </c>
      <c r="AA1936">
        <v>0.92789940000000004</v>
      </c>
      <c r="AB1936">
        <v>20</v>
      </c>
      <c r="AC1936">
        <v>-6.0596999999999897</v>
      </c>
      <c r="AD1936">
        <v>-1.1176489603919999</v>
      </c>
      <c r="AE1936">
        <v>-9.0581999999999994</v>
      </c>
      <c r="AF1936">
        <v>3.9850955226588001</v>
      </c>
      <c r="AG1936">
        <v>-1.1176489603919999</v>
      </c>
      <c r="AH1936">
        <v>10.021504552124499</v>
      </c>
      <c r="AI1936">
        <v>95.916557918805395</v>
      </c>
      <c r="AJ1936">
        <v>68.314539450987297</v>
      </c>
      <c r="AK1936">
        <v>10.842540247176</v>
      </c>
      <c r="AL1936">
        <v>94.102136594919997</v>
      </c>
      <c r="AM1936">
        <v>86.162718032401202</v>
      </c>
      <c r="AN1936">
        <v>1.0000000074883999</v>
      </c>
    </row>
    <row r="1937" spans="1:40" x14ac:dyDescent="0.25">
      <c r="A1937" t="str">
        <f>"20190303153812551"</f>
        <v>20190303153812551</v>
      </c>
      <c r="B1937" t="str">
        <f>"1551598692540892"</f>
        <v>1551598692540892</v>
      </c>
      <c r="C1937" t="s">
        <v>40</v>
      </c>
      <c r="D1937">
        <v>4.887365</v>
      </c>
      <c r="E1937">
        <v>0.62056140000000004</v>
      </c>
      <c r="F1937" t="s">
        <v>51</v>
      </c>
      <c r="G1937">
        <v>-198.46960000000001</v>
      </c>
      <c r="H1937" s="1">
        <v>2.0377150000000002E-6</v>
      </c>
      <c r="I1937">
        <v>289.47219999999999</v>
      </c>
      <c r="J1937">
        <v>-192.4693</v>
      </c>
      <c r="K1937">
        <v>1.1176280000000001</v>
      </c>
      <c r="L1937">
        <v>298.28829999999999</v>
      </c>
      <c r="M1937">
        <v>-0.214754</v>
      </c>
      <c r="N1937">
        <v>-9.4071510000000007E-3</v>
      </c>
      <c r="O1937">
        <v>-0.97662289999999996</v>
      </c>
      <c r="P1937">
        <v>-0.28189130000000001</v>
      </c>
      <c r="Q1937">
        <v>-8.0761639999999996E-2</v>
      </c>
      <c r="R1937">
        <v>-0.95604149999999999</v>
      </c>
      <c r="S1937">
        <v>-1.7469939999999999</v>
      </c>
      <c r="T1937">
        <v>-0.32276640000000001</v>
      </c>
      <c r="U1937">
        <v>-2.6036069999999998</v>
      </c>
      <c r="V1937">
        <v>6.9467059999999997E-2</v>
      </c>
      <c r="W1937">
        <v>-7.1914489999999998E-2</v>
      </c>
      <c r="X1937">
        <v>0.99498869999999895</v>
      </c>
      <c r="Y1937">
        <v>0.36310189999999998</v>
      </c>
      <c r="Z1937">
        <v>9.5405760000000006E-2</v>
      </c>
      <c r="AA1937">
        <v>0.92685200000000001</v>
      </c>
      <c r="AB1937">
        <v>20</v>
      </c>
      <c r="AC1937">
        <v>-6.00030000000001</v>
      </c>
      <c r="AD1937">
        <v>-1.117625962285</v>
      </c>
      <c r="AE1937">
        <v>-8.8161000000000005</v>
      </c>
      <c r="AF1937">
        <v>3.92381701731248</v>
      </c>
      <c r="AG1937">
        <v>-1.117625962285</v>
      </c>
      <c r="AH1937">
        <v>9.7914894728129607</v>
      </c>
      <c r="AI1937">
        <v>96.048025207674499</v>
      </c>
      <c r="AJ1937">
        <v>68.162172482714396</v>
      </c>
      <c r="AK1937">
        <v>10.607482918823401</v>
      </c>
      <c r="AL1937">
        <v>94.123956874644094</v>
      </c>
      <c r="AM1937">
        <v>86.006264979253103</v>
      </c>
      <c r="AN1937">
        <v>0.99999993971234402</v>
      </c>
    </row>
    <row r="1938" spans="1:40" x14ac:dyDescent="0.25">
      <c r="A1938" t="str">
        <f>"20190303153812573"</f>
        <v>20190303153812573</v>
      </c>
      <c r="B1938" t="str">
        <f>"1551598692571149"</f>
        <v>1551598692571149</v>
      </c>
      <c r="C1938" t="s">
        <v>40</v>
      </c>
      <c r="D1938">
        <v>4.895054</v>
      </c>
      <c r="E1938">
        <v>0.62039569999999999</v>
      </c>
      <c r="F1938" t="s">
        <v>51</v>
      </c>
      <c r="G1938">
        <v>-198.52590000000001</v>
      </c>
      <c r="H1938" s="1">
        <v>2.032783E-6</v>
      </c>
      <c r="I1938">
        <v>289.4144</v>
      </c>
      <c r="J1938">
        <v>-192.5196</v>
      </c>
      <c r="K1938">
        <v>1.117612</v>
      </c>
      <c r="L1938">
        <v>298.08850000000001</v>
      </c>
      <c r="M1938">
        <v>-0.2199335</v>
      </c>
      <c r="N1938">
        <v>-9.1917309999999999E-3</v>
      </c>
      <c r="O1938">
        <v>-0.97547159999999999</v>
      </c>
      <c r="P1938">
        <v>-0.28908729999999999</v>
      </c>
      <c r="Q1938">
        <v>-7.9660759999999997E-2</v>
      </c>
      <c r="R1938">
        <v>-0.95398280000000002</v>
      </c>
      <c r="S1938">
        <v>-1.76724199999999</v>
      </c>
      <c r="T1938">
        <v>-0.32611000000000001</v>
      </c>
      <c r="U1938">
        <v>-2.5892940000000002</v>
      </c>
      <c r="V1938">
        <v>7.1670499999999998E-2</v>
      </c>
      <c r="W1938">
        <v>-7.1043609999999993E-2</v>
      </c>
      <c r="X1938">
        <v>0.99489499999999997</v>
      </c>
      <c r="Y1938">
        <v>0.36541859999999998</v>
      </c>
      <c r="Z1938">
        <v>9.6726290000000006E-2</v>
      </c>
      <c r="AA1938">
        <v>0.92580410000000002</v>
      </c>
      <c r="AB1938">
        <v>21</v>
      </c>
      <c r="AC1938">
        <v>-6.0063000000000004</v>
      </c>
      <c r="AD1938">
        <v>-1.1176099672169999</v>
      </c>
      <c r="AE1938">
        <v>-8.6741000000000099</v>
      </c>
      <c r="AF1938">
        <v>3.9075705615855898</v>
      </c>
      <c r="AG1938">
        <v>-1.1176099672169999</v>
      </c>
      <c r="AH1938">
        <v>9.6741854703527004</v>
      </c>
      <c r="AI1938">
        <v>96.114035385390096</v>
      </c>
      <c r="AJ1938">
        <v>68.005366990028193</v>
      </c>
      <c r="AK1938">
        <v>10.493237071913301</v>
      </c>
      <c r="AL1938">
        <v>94.073931085972205</v>
      </c>
      <c r="AM1938">
        <v>85.879629739176394</v>
      </c>
      <c r="AN1938">
        <v>0.99999995805854003</v>
      </c>
    </row>
    <row r="1939" spans="1:40" x14ac:dyDescent="0.25">
      <c r="A1939" t="str">
        <f>"20190303153812596"</f>
        <v>20190303153812596</v>
      </c>
      <c r="B1939" t="str">
        <f>"1551598692590669"</f>
        <v>1551598692590669</v>
      </c>
      <c r="C1939" t="s">
        <v>40</v>
      </c>
      <c r="D1939">
        <v>4.8578729999999997</v>
      </c>
      <c r="E1939">
        <v>0.62025010000000003</v>
      </c>
      <c r="F1939" t="s">
        <v>51</v>
      </c>
      <c r="G1939">
        <v>-198.6079</v>
      </c>
      <c r="H1939" s="1">
        <v>2.0279399999999999E-6</v>
      </c>
      <c r="I1939">
        <v>289.30340000000001</v>
      </c>
      <c r="J1939">
        <v>-192.57239999999999</v>
      </c>
      <c r="K1939">
        <v>1.11761</v>
      </c>
      <c r="L1939">
        <v>297.88279999999997</v>
      </c>
      <c r="M1939">
        <v>-0.2252199</v>
      </c>
      <c r="N1939">
        <v>-8.9973829999999994E-3</v>
      </c>
      <c r="O1939">
        <v>-0.97426639999999998</v>
      </c>
      <c r="P1939">
        <v>-0.29582700000000001</v>
      </c>
      <c r="Q1939">
        <v>-7.8948370000000004E-2</v>
      </c>
      <c r="R1939">
        <v>-0.95197370000000003</v>
      </c>
      <c r="S1939">
        <v>-1.785461</v>
      </c>
      <c r="T1939">
        <v>-0.32774829999999999</v>
      </c>
      <c r="U1939">
        <v>-2.5762939999999999</v>
      </c>
      <c r="V1939">
        <v>7.3303220000000002E-2</v>
      </c>
      <c r="W1939">
        <v>-7.0535039999999993E-2</v>
      </c>
      <c r="X1939">
        <v>0.99481229999999998</v>
      </c>
      <c r="Y1939">
        <v>0.36694480000000002</v>
      </c>
      <c r="Z1939">
        <v>9.7464759999999998E-2</v>
      </c>
      <c r="AA1939">
        <v>0.92512269999999996</v>
      </c>
      <c r="AB1939">
        <v>21</v>
      </c>
      <c r="AC1939">
        <v>-6.0355000000000096</v>
      </c>
      <c r="AD1939">
        <v>-1.1176079720600001</v>
      </c>
      <c r="AE1939">
        <v>-8.5793999999999606</v>
      </c>
      <c r="AF1939">
        <v>3.9037792195788699</v>
      </c>
      <c r="AG1939">
        <v>-1.1176079720600001</v>
      </c>
      <c r="AH1939">
        <v>9.6092496218177494</v>
      </c>
      <c r="AI1939">
        <v>96.150064054415495</v>
      </c>
      <c r="AJ1939">
        <v>67.890441310527095</v>
      </c>
      <c r="AK1939">
        <v>10.4319805439251</v>
      </c>
      <c r="AL1939">
        <v>94.044718580915102</v>
      </c>
      <c r="AM1939">
        <v>85.785749239701602</v>
      </c>
      <c r="AN1939">
        <v>1.0000000330807199</v>
      </c>
    </row>
    <row r="1940" spans="1:40" x14ac:dyDescent="0.25">
      <c r="A1940" t="str">
        <f>"20190303153812617"</f>
        <v>20190303153812617</v>
      </c>
      <c r="B1940" t="str">
        <f>"1551598692611165"</f>
        <v>1551598692611165</v>
      </c>
      <c r="C1940" t="s">
        <v>40</v>
      </c>
      <c r="D1940">
        <v>4.8944590000000003</v>
      </c>
      <c r="E1940">
        <v>0.62002959999999996</v>
      </c>
      <c r="F1940" t="s">
        <v>51</v>
      </c>
      <c r="G1940">
        <v>-198.74459999999999</v>
      </c>
      <c r="H1940" s="1">
        <v>2.0212619999999998E-6</v>
      </c>
      <c r="I1940">
        <v>289.10250000000002</v>
      </c>
      <c r="J1940">
        <v>-192.62559999999999</v>
      </c>
      <c r="K1940">
        <v>1.1176250000000001</v>
      </c>
      <c r="L1940">
        <v>297.67959999999999</v>
      </c>
      <c r="M1940">
        <v>-0.2303847</v>
      </c>
      <c r="N1940">
        <v>-8.8425380000000005E-3</v>
      </c>
      <c r="O1940">
        <v>-0.97305960000000002</v>
      </c>
      <c r="P1940">
        <v>-0.3020333</v>
      </c>
      <c r="Q1940">
        <v>-7.9163440000000002E-2</v>
      </c>
      <c r="R1940">
        <v>-0.95000479999999998</v>
      </c>
      <c r="S1940">
        <v>-1.802475</v>
      </c>
      <c r="T1940">
        <v>-0.32637500000000003</v>
      </c>
      <c r="U1940">
        <v>-2.564117</v>
      </c>
      <c r="V1940">
        <v>7.4522530000000003E-2</v>
      </c>
      <c r="W1940">
        <v>-7.0910719999999997E-2</v>
      </c>
      <c r="X1940">
        <v>0.99469490000000005</v>
      </c>
      <c r="Y1940">
        <v>0.36820779999999997</v>
      </c>
      <c r="Z1940">
        <v>9.7192500000000001E-2</v>
      </c>
      <c r="AA1940">
        <v>0.92464950000000001</v>
      </c>
      <c r="AB1940">
        <v>21</v>
      </c>
      <c r="AC1940">
        <v>-6.1189999999999998</v>
      </c>
      <c r="AD1940">
        <v>-1.1176229787379901</v>
      </c>
      <c r="AE1940">
        <v>-8.5770999999999695</v>
      </c>
      <c r="AF1940">
        <v>3.9340082319008798</v>
      </c>
      <c r="AG1940">
        <v>-1.1176229787379901</v>
      </c>
      <c r="AH1940">
        <v>9.6475780854042608</v>
      </c>
      <c r="AI1940">
        <v>96.122674197097496</v>
      </c>
      <c r="AJ1940">
        <v>67.815760804598796</v>
      </c>
      <c r="AK1940">
        <v>10.4786098698844</v>
      </c>
      <c r="AL1940">
        <v>94.0662978678413</v>
      </c>
      <c r="AM1940">
        <v>85.715405403934099</v>
      </c>
      <c r="AN1940">
        <v>0.99999994088726296</v>
      </c>
    </row>
    <row r="1941" spans="1:40" x14ac:dyDescent="0.25">
      <c r="A1941" t="str">
        <f>"20190303153812641"</f>
        <v>20190303153812641</v>
      </c>
      <c r="B1941" t="str">
        <f>"1551598692630688"</f>
        <v>1551598692630688</v>
      </c>
      <c r="C1941" t="s">
        <v>40</v>
      </c>
      <c r="D1941">
        <v>4.91988</v>
      </c>
      <c r="E1941">
        <v>0.6199479</v>
      </c>
      <c r="F1941" t="s">
        <v>51</v>
      </c>
      <c r="G1941">
        <v>-198.8091</v>
      </c>
      <c r="H1941" s="1">
        <v>2.0191880000000002E-6</v>
      </c>
      <c r="I1941">
        <v>288.99529999999999</v>
      </c>
      <c r="J1941">
        <v>-192.68190000000001</v>
      </c>
      <c r="K1941">
        <v>1.117653</v>
      </c>
      <c r="L1941">
        <v>297.46910000000003</v>
      </c>
      <c r="M1941">
        <v>-0.2356531</v>
      </c>
      <c r="N1941">
        <v>-8.7271150000000006E-3</v>
      </c>
      <c r="O1941">
        <v>-0.9717981</v>
      </c>
      <c r="P1941">
        <v>-0.30826940000000003</v>
      </c>
      <c r="Q1941">
        <v>-7.9080730000000002E-2</v>
      </c>
      <c r="R1941">
        <v>-0.94800660000000003</v>
      </c>
      <c r="S1941">
        <v>-1.8175509999999999</v>
      </c>
      <c r="T1941">
        <v>-0.32850960000000001</v>
      </c>
      <c r="U1941">
        <v>-2.5526430000000002</v>
      </c>
      <c r="V1941">
        <v>7.567219E-2</v>
      </c>
      <c r="W1941">
        <v>-7.0946599999999999E-2</v>
      </c>
      <c r="X1941">
        <v>0.99460559999999998</v>
      </c>
      <c r="Y1941">
        <v>0.36871510000000002</v>
      </c>
      <c r="Z1941">
        <v>9.8005439999999999E-2</v>
      </c>
      <c r="AA1941">
        <v>0.92436149999999995</v>
      </c>
      <c r="AB1941">
        <v>21</v>
      </c>
      <c r="AC1941">
        <v>-6.1271999999999798</v>
      </c>
      <c r="AD1941">
        <v>-1.1176509808120001</v>
      </c>
      <c r="AE1941">
        <v>-8.4738000000000397</v>
      </c>
      <c r="AF1941">
        <v>3.91297444823635</v>
      </c>
      <c r="AG1941">
        <v>-1.1176509808120001</v>
      </c>
      <c r="AH1941">
        <v>9.5697636347676998</v>
      </c>
      <c r="AI1941">
        <v>96.169834681591993</v>
      </c>
      <c r="AJ1941">
        <v>67.760869821323894</v>
      </c>
      <c r="AK1941">
        <v>10.399081150408501</v>
      </c>
      <c r="AL1941">
        <v>94.068358590514507</v>
      </c>
      <c r="AM1941">
        <v>85.649169650626405</v>
      </c>
      <c r="AN1941">
        <v>0.99999999997115796</v>
      </c>
    </row>
    <row r="1942" spans="1:40" x14ac:dyDescent="0.25">
      <c r="A1942" t="str">
        <f>"20190303153812663"</f>
        <v>20190303153812663</v>
      </c>
      <c r="B1942" t="str">
        <f>"1551598692660940"</f>
        <v>1551598692660940</v>
      </c>
      <c r="C1942" t="s">
        <v>40</v>
      </c>
      <c r="D1942">
        <v>4.9196299999999997</v>
      </c>
      <c r="E1942">
        <v>0.61990310000000004</v>
      </c>
      <c r="F1942" t="s">
        <v>51</v>
      </c>
      <c r="G1942">
        <v>-198.88499999999999</v>
      </c>
      <c r="H1942" s="1">
        <v>2.0165009999999999E-6</v>
      </c>
      <c r="I1942">
        <v>288.87209999999999</v>
      </c>
      <c r="J1942">
        <v>-192.73840000000001</v>
      </c>
      <c r="K1942">
        <v>1.117699</v>
      </c>
      <c r="L1942">
        <v>297.26190000000003</v>
      </c>
      <c r="M1942">
        <v>-0.24073939999999999</v>
      </c>
      <c r="N1942">
        <v>-8.6618040000000004E-3</v>
      </c>
      <c r="O1942">
        <v>-0.97055130000000001</v>
      </c>
      <c r="P1942">
        <v>-0.31455100000000003</v>
      </c>
      <c r="Q1942">
        <v>-7.9311480000000004E-2</v>
      </c>
      <c r="R1942">
        <v>-0.94592140000000002</v>
      </c>
      <c r="S1942">
        <v>-1.833313</v>
      </c>
      <c r="T1942">
        <v>-0.33032070000000002</v>
      </c>
      <c r="U1942">
        <v>-2.5408330000000001</v>
      </c>
      <c r="V1942">
        <v>7.7069070000000003E-2</v>
      </c>
      <c r="W1942">
        <v>-7.1246149999999994E-2</v>
      </c>
      <c r="X1942">
        <v>0.9944769</v>
      </c>
      <c r="Y1942">
        <v>0.36962099999999998</v>
      </c>
      <c r="Z1942">
        <v>9.8663929999999997E-2</v>
      </c>
      <c r="AA1942">
        <v>0.92392949999999996</v>
      </c>
      <c r="AB1942">
        <v>21</v>
      </c>
      <c r="AC1942">
        <v>-6.1465999999999701</v>
      </c>
      <c r="AD1942">
        <v>-1.117696983499</v>
      </c>
      <c r="AE1942">
        <v>-8.3898000000000295</v>
      </c>
      <c r="AF1942">
        <v>3.9009308492600101</v>
      </c>
      <c r="AG1942">
        <v>-1.117696983499</v>
      </c>
      <c r="AH1942">
        <v>9.5129546713703093</v>
      </c>
      <c r="AI1942">
        <v>96.204107535146093</v>
      </c>
      <c r="AJ1942">
        <v>67.703177006648801</v>
      </c>
      <c r="AK1942">
        <v>10.342282853276499</v>
      </c>
      <c r="AL1942">
        <v>94.085565164788804</v>
      </c>
      <c r="AM1942">
        <v>85.568600779610605</v>
      </c>
      <c r="AN1942">
        <v>0.99999998003704804</v>
      </c>
    </row>
    <row r="1943" spans="1:40" x14ac:dyDescent="0.25">
      <c r="A1943" t="str">
        <f>"20190303153812686"</f>
        <v>20190303153812686</v>
      </c>
      <c r="B1943" t="str">
        <f>"1551598692680461"</f>
        <v>1551598692680461</v>
      </c>
      <c r="C1943" t="s">
        <v>40</v>
      </c>
      <c r="D1943">
        <v>4.9303660000000002</v>
      </c>
      <c r="E1943">
        <v>0.61974750000000001</v>
      </c>
      <c r="F1943" t="s">
        <v>51</v>
      </c>
      <c r="G1943">
        <v>-199.01150000000001</v>
      </c>
      <c r="H1943" s="1">
        <v>2.0102260000000001E-6</v>
      </c>
      <c r="I1943">
        <v>288.68720000000002</v>
      </c>
      <c r="J1943">
        <v>-192.79499999999999</v>
      </c>
      <c r="K1943">
        <v>1.1177729999999999</v>
      </c>
      <c r="L1943">
        <v>297.05810000000002</v>
      </c>
      <c r="M1943">
        <v>-0.2456421</v>
      </c>
      <c r="N1943">
        <v>-8.6621900000000002E-3</v>
      </c>
      <c r="O1943">
        <v>-0.96932200000000002</v>
      </c>
      <c r="P1943">
        <v>-0.32106889999999999</v>
      </c>
      <c r="Q1943">
        <v>-7.8643770000000002E-2</v>
      </c>
      <c r="R1943">
        <v>-0.94378510000000004</v>
      </c>
      <c r="S1943">
        <v>-1.84996</v>
      </c>
      <c r="T1943">
        <v>-0.32961380000000001</v>
      </c>
      <c r="U1943">
        <v>-2.5287169999999999</v>
      </c>
      <c r="V1943">
        <v>7.8900380000000006E-2</v>
      </c>
      <c r="W1943">
        <v>-7.0582640000000002E-2</v>
      </c>
      <c r="X1943">
        <v>0.99438059999999995</v>
      </c>
      <c r="Y1943">
        <v>0.3710116</v>
      </c>
      <c r="Z1943">
        <v>9.8449159999999994E-2</v>
      </c>
      <c r="AA1943">
        <v>0.92339490000000002</v>
      </c>
      <c r="AB1943">
        <v>21</v>
      </c>
      <c r="AC1943">
        <v>-6.2165000000000203</v>
      </c>
      <c r="AD1943">
        <v>-1.11777098977399</v>
      </c>
      <c r="AE1943">
        <v>-8.3709000000000007</v>
      </c>
      <c r="AF1943">
        <v>3.9245904968488898</v>
      </c>
      <c r="AG1943">
        <v>-1.11777098977399</v>
      </c>
      <c r="AH1943">
        <v>9.5319478520486101</v>
      </c>
      <c r="AI1943">
        <v>96.188652881366906</v>
      </c>
      <c r="AJ1943">
        <v>67.621556932517706</v>
      </c>
      <c r="AK1943">
        <v>10.3686957910679</v>
      </c>
      <c r="AL1943">
        <v>94.047452896241694</v>
      </c>
      <c r="AM1943">
        <v>85.463299107698205</v>
      </c>
      <c r="AN1943">
        <v>0.99999997834493604</v>
      </c>
    </row>
    <row r="1944" spans="1:40" x14ac:dyDescent="0.25">
      <c r="A1944" t="str">
        <f>"20190303153812707"</f>
        <v>20190303153812707</v>
      </c>
      <c r="B1944" t="str">
        <f>"1551598692700957"</f>
        <v>1551598692700957</v>
      </c>
      <c r="C1944" t="s">
        <v>40</v>
      </c>
      <c r="D1944">
        <v>4.9285100000000002</v>
      </c>
      <c r="E1944">
        <v>0.61953769999999997</v>
      </c>
      <c r="F1944" t="s">
        <v>51</v>
      </c>
      <c r="G1944">
        <v>-199.12719999999999</v>
      </c>
      <c r="H1944" s="1">
        <v>2.0043960000000001E-6</v>
      </c>
      <c r="I1944">
        <v>288.51909999999998</v>
      </c>
      <c r="J1944">
        <v>-192.84989999999999</v>
      </c>
      <c r="K1944">
        <v>1.117858</v>
      </c>
      <c r="L1944">
        <v>296.86340000000001</v>
      </c>
      <c r="M1944">
        <v>-0.25023030000000002</v>
      </c>
      <c r="N1944">
        <v>-8.7474349999999996E-3</v>
      </c>
      <c r="O1944">
        <v>-0.96814690000000003</v>
      </c>
      <c r="P1944">
        <v>-0.32741930000000002</v>
      </c>
      <c r="Q1944">
        <v>-7.7952820000000006E-2</v>
      </c>
      <c r="R1944">
        <v>-0.941658</v>
      </c>
      <c r="S1944">
        <v>-1.866074</v>
      </c>
      <c r="T1944">
        <v>-0.32940029999999998</v>
      </c>
      <c r="U1944">
        <v>-2.5163880000000001</v>
      </c>
      <c r="V1944">
        <v>8.0886959999999994E-2</v>
      </c>
      <c r="W1944">
        <v>-6.9811949999999998E-2</v>
      </c>
      <c r="X1944">
        <v>0.99427540000000003</v>
      </c>
      <c r="Y1944">
        <v>0.37259999999999999</v>
      </c>
      <c r="Z1944">
        <v>9.8328730000000003E-2</v>
      </c>
      <c r="AA1944">
        <v>0.92276789999999997</v>
      </c>
      <c r="AB1944">
        <v>21</v>
      </c>
      <c r="AC1944">
        <v>-6.2772999999999897</v>
      </c>
      <c r="AD1944">
        <v>-1.117855995604</v>
      </c>
      <c r="AE1944">
        <v>-8.3443000000000307</v>
      </c>
      <c r="AF1944">
        <v>3.9442990173534702</v>
      </c>
      <c r="AG1944">
        <v>-1.117855995604</v>
      </c>
      <c r="AH1944">
        <v>9.5403069328789893</v>
      </c>
      <c r="AI1944">
        <v>96.180051616752905</v>
      </c>
      <c r="AJ1944">
        <v>67.538074687127306</v>
      </c>
      <c r="AK1944">
        <v>10.3838602233823</v>
      </c>
      <c r="AL1944">
        <v>94.003186363916498</v>
      </c>
      <c r="AM1944">
        <v>85.349077558698198</v>
      </c>
      <c r="AN1944">
        <v>0.99999998985300198</v>
      </c>
    </row>
    <row r="1945" spans="1:40" x14ac:dyDescent="0.25">
      <c r="A1945" t="str">
        <f>"20190303153812731"</f>
        <v>20190303153812731</v>
      </c>
      <c r="B1945" t="str">
        <f>"1551598692720480"</f>
        <v>1551598692720480</v>
      </c>
      <c r="C1945" t="s">
        <v>40</v>
      </c>
      <c r="D1945">
        <v>4.6518389999999998</v>
      </c>
      <c r="E1945">
        <v>0.61964149999999996</v>
      </c>
      <c r="F1945" t="s">
        <v>51</v>
      </c>
      <c r="G1945">
        <v>-199.2449</v>
      </c>
      <c r="H1945" s="1">
        <v>1.9982659999999999E-6</v>
      </c>
      <c r="I1945">
        <v>288.35050000000001</v>
      </c>
      <c r="J1945">
        <v>-192.91149999999999</v>
      </c>
      <c r="K1945">
        <v>1.1179559999999999</v>
      </c>
      <c r="L1945">
        <v>296.64929999999998</v>
      </c>
      <c r="M1945">
        <v>-0.255189</v>
      </c>
      <c r="N1945">
        <v>-8.9410029999999995E-3</v>
      </c>
      <c r="O1945">
        <v>-0.96684999999999999</v>
      </c>
      <c r="P1945">
        <v>-0.33417529999999901</v>
      </c>
      <c r="Q1945">
        <v>-7.8282870000000004E-2</v>
      </c>
      <c r="R1945">
        <v>-0.93925449999999999</v>
      </c>
      <c r="S1945">
        <v>-1.881348</v>
      </c>
      <c r="T1945">
        <v>-0.32886539999999997</v>
      </c>
      <c r="U1945">
        <v>-2.5044559999999998</v>
      </c>
      <c r="V1945">
        <v>8.2945669999999999E-2</v>
      </c>
      <c r="W1945">
        <v>-6.9955680000000006E-2</v>
      </c>
      <c r="X1945">
        <v>0.99409570000000003</v>
      </c>
      <c r="Y1945">
        <v>0.37357089999999998</v>
      </c>
      <c r="Z1945">
        <v>9.7996410000000006E-2</v>
      </c>
      <c r="AA1945">
        <v>0.92241070000000003</v>
      </c>
      <c r="AB1945">
        <v>21</v>
      </c>
      <c r="AC1945">
        <v>-6.3334000000000099</v>
      </c>
      <c r="AD1945">
        <v>-1.1179540017339999</v>
      </c>
      <c r="AE1945">
        <v>-8.2987999999999698</v>
      </c>
      <c r="AF1945">
        <v>3.9604261388098201</v>
      </c>
      <c r="AG1945">
        <v>-1.1179540017339999</v>
      </c>
      <c r="AH1945">
        <v>9.5309900150755098</v>
      </c>
      <c r="AI1945">
        <v>96.182034262234794</v>
      </c>
      <c r="AJ1945">
        <v>67.435578546047296</v>
      </c>
      <c r="AK1945">
        <v>10.3814530302087</v>
      </c>
      <c r="AL1945">
        <v>94.0114415441452</v>
      </c>
      <c r="AM1945">
        <v>85.230384846542194</v>
      </c>
      <c r="AN1945">
        <v>1.0000000210472499</v>
      </c>
    </row>
    <row r="1946" spans="1:40" x14ac:dyDescent="0.25">
      <c r="A1946" t="str">
        <f>"20190303153812764"</f>
        <v>20190303153812764</v>
      </c>
      <c r="B1946" t="str">
        <f>"1551598692761262"</f>
        <v>1551598692761262</v>
      </c>
      <c r="C1946" t="s">
        <v>40</v>
      </c>
      <c r="D1946">
        <v>4.9958410000000004</v>
      </c>
      <c r="E1946">
        <v>0.61935499999999999</v>
      </c>
      <c r="F1946" t="s">
        <v>51</v>
      </c>
      <c r="G1946">
        <v>-199.58330000000001</v>
      </c>
      <c r="H1946" s="1">
        <v>1.9773149999999999E-6</v>
      </c>
      <c r="I1946">
        <v>287.90339999999998</v>
      </c>
      <c r="J1946">
        <v>-193</v>
      </c>
      <c r="K1946">
        <v>1.1180479999999999</v>
      </c>
      <c r="L1946">
        <v>296.34789999999998</v>
      </c>
      <c r="M1946">
        <v>-0.26206940000000001</v>
      </c>
      <c r="N1946">
        <v>-9.3129049999999998E-3</v>
      </c>
      <c r="O1946">
        <v>-0.96500410000000003</v>
      </c>
      <c r="P1946">
        <v>-0.3413969</v>
      </c>
      <c r="Q1946">
        <v>-8.1053529999999999E-2</v>
      </c>
      <c r="R1946">
        <v>-0.93641799999999997</v>
      </c>
      <c r="S1946">
        <v>-1.900482</v>
      </c>
      <c r="T1946">
        <v>-0.31844899999999998</v>
      </c>
      <c r="U1946">
        <v>-2.4912719999999999</v>
      </c>
      <c r="V1946">
        <v>8.3568260000000005E-2</v>
      </c>
      <c r="W1946">
        <v>-7.2356939999999995E-2</v>
      </c>
      <c r="X1946">
        <v>0.99387159999999997</v>
      </c>
      <c r="Y1946">
        <v>0.37402190000000002</v>
      </c>
      <c r="Z1946">
        <v>9.4277159999999999E-2</v>
      </c>
      <c r="AA1946">
        <v>0.92261559999999998</v>
      </c>
      <c r="AB1946">
        <v>21</v>
      </c>
      <c r="AC1946">
        <v>-6.5833000000000004</v>
      </c>
      <c r="AD1946">
        <v>-1.118046022685</v>
      </c>
      <c r="AE1946">
        <v>-8.4444999999999997</v>
      </c>
      <c r="AF1946">
        <v>4.0953937213504501</v>
      </c>
      <c r="AG1946">
        <v>-1.118046022685</v>
      </c>
      <c r="AH1946">
        <v>9.7681838876160594</v>
      </c>
      <c r="AI1946">
        <v>96.025604718490399</v>
      </c>
      <c r="AJ1946">
        <v>67.253720103036699</v>
      </c>
      <c r="AK1946">
        <v>10.650807157394199</v>
      </c>
      <c r="AL1946">
        <v>94.149373487043704</v>
      </c>
      <c r="AM1946">
        <v>85.193672725084298</v>
      </c>
      <c r="AN1946">
        <v>0.99999996906607502</v>
      </c>
    </row>
    <row r="1947" spans="1:40" x14ac:dyDescent="0.25">
      <c r="A1947" t="str">
        <f>"20190303153812784"</f>
        <v>20190303153812784</v>
      </c>
      <c r="B1947" t="str">
        <f>"1551598692780781"</f>
        <v>1551598692780781</v>
      </c>
      <c r="C1947" t="s">
        <v>40</v>
      </c>
      <c r="D1947">
        <v>4.9920489999999997</v>
      </c>
      <c r="E1947">
        <v>0.61916110000000002</v>
      </c>
      <c r="F1947" t="s">
        <v>51</v>
      </c>
      <c r="G1947">
        <v>-199.6139</v>
      </c>
      <c r="H1947" s="1">
        <v>1.9803010000000002E-6</v>
      </c>
      <c r="I1947">
        <v>287.80709999999999</v>
      </c>
      <c r="J1947">
        <v>-193.05840000000001</v>
      </c>
      <c r="K1947">
        <v>1.1180730000000001</v>
      </c>
      <c r="L1947">
        <v>296.15300000000002</v>
      </c>
      <c r="M1947">
        <v>-0.2664916</v>
      </c>
      <c r="N1947">
        <v>-9.5489979999999995E-3</v>
      </c>
      <c r="O1947">
        <v>-0.96379009999999998</v>
      </c>
      <c r="P1947">
        <v>-0.34583399999999997</v>
      </c>
      <c r="Q1947">
        <v>-8.2553310000000005E-2</v>
      </c>
      <c r="R1947">
        <v>-0.93465739999999997</v>
      </c>
      <c r="S1947">
        <v>-1.91777</v>
      </c>
      <c r="T1947">
        <v>-0.32418720000000001</v>
      </c>
      <c r="U1947">
        <v>-2.4764710000000001</v>
      </c>
      <c r="V1947">
        <v>8.3749219999999999E-2</v>
      </c>
      <c r="W1947">
        <v>-7.3625650000000001E-2</v>
      </c>
      <c r="X1947">
        <v>0.99376319999999996</v>
      </c>
      <c r="Y1947">
        <v>0.37635449999999998</v>
      </c>
      <c r="Z1947">
        <v>9.5960240000000002E-2</v>
      </c>
      <c r="AA1947">
        <v>0.9214928</v>
      </c>
      <c r="AB1947">
        <v>21</v>
      </c>
      <c r="AC1947">
        <v>-6.5554999999999897</v>
      </c>
      <c r="AD1947">
        <v>-1.11807101969899</v>
      </c>
      <c r="AE1947">
        <v>-8.3459000000000199</v>
      </c>
      <c r="AF1947">
        <v>4.0492564481434803</v>
      </c>
      <c r="AG1947">
        <v>-1.11807101969899</v>
      </c>
      <c r="AH1947">
        <v>9.6836460436831899</v>
      </c>
      <c r="AI1947">
        <v>96.0803245945404</v>
      </c>
      <c r="AJ1947">
        <v>67.3075560493306</v>
      </c>
      <c r="AK1947">
        <v>10.5555464703284</v>
      </c>
      <c r="AL1947">
        <v>94.222259582202099</v>
      </c>
      <c r="AM1947">
        <v>85.1827910107598</v>
      </c>
      <c r="AN1947">
        <v>0.99999998293138503</v>
      </c>
    </row>
    <row r="1948" spans="1:40" x14ac:dyDescent="0.25">
      <c r="A1948" t="str">
        <f>"20190303153812808"</f>
        <v>20190303153812808</v>
      </c>
      <c r="B1948" t="str">
        <f>"1551598692800301"</f>
        <v>1551598692800301</v>
      </c>
      <c r="C1948" t="s">
        <v>40</v>
      </c>
      <c r="D1948">
        <v>4.9857659999999999</v>
      </c>
      <c r="E1948">
        <v>0.6189846</v>
      </c>
      <c r="F1948" t="s">
        <v>51</v>
      </c>
      <c r="G1948">
        <v>-199.6241</v>
      </c>
      <c r="H1948" s="1">
        <v>1.983363E-6</v>
      </c>
      <c r="I1948">
        <v>287.75150000000002</v>
      </c>
      <c r="J1948">
        <v>-193.1224</v>
      </c>
      <c r="K1948">
        <v>1.118074</v>
      </c>
      <c r="L1948">
        <v>295.9434</v>
      </c>
      <c r="M1948">
        <v>-0.27125139999999998</v>
      </c>
      <c r="N1948">
        <v>-9.7861240000000002E-3</v>
      </c>
      <c r="O1948">
        <v>-0.96245899999999995</v>
      </c>
      <c r="P1948">
        <v>-0.3516321</v>
      </c>
      <c r="Q1948">
        <v>-8.2331109999999999E-2</v>
      </c>
      <c r="R1948">
        <v>-0.93251110000000004</v>
      </c>
      <c r="S1948">
        <v>-1.9281459999999999</v>
      </c>
      <c r="T1948">
        <v>-0.328347</v>
      </c>
      <c r="U1948">
        <v>-2.467285</v>
      </c>
      <c r="V1948">
        <v>8.5001300000000002E-2</v>
      </c>
      <c r="W1948">
        <v>-7.3182479999999994E-2</v>
      </c>
      <c r="X1948">
        <v>0.99368970000000001</v>
      </c>
      <c r="Y1948">
        <v>0.37577260000000001</v>
      </c>
      <c r="Z1948">
        <v>9.7075800000000004E-2</v>
      </c>
      <c r="AA1948">
        <v>0.92161340000000003</v>
      </c>
      <c r="AB1948">
        <v>21</v>
      </c>
      <c r="AC1948">
        <v>-6.5016999999999996</v>
      </c>
      <c r="AD1948">
        <v>-1.118072016637</v>
      </c>
      <c r="AE1948">
        <v>-8.1918999999999702</v>
      </c>
      <c r="AF1948">
        <v>3.9901447959112</v>
      </c>
      <c r="AG1948">
        <v>-1.118072016637</v>
      </c>
      <c r="AH1948">
        <v>9.5393983184696403</v>
      </c>
      <c r="AI1948">
        <v>96.171292324120401</v>
      </c>
      <c r="AJ1948">
        <v>67.301390213853495</v>
      </c>
      <c r="AK1948">
        <v>10.400550985651901</v>
      </c>
      <c r="AL1948">
        <v>94.196798809662397</v>
      </c>
      <c r="AM1948">
        <v>85.110758703414305</v>
      </c>
      <c r="AN1948">
        <v>1.0000000581333599</v>
      </c>
    </row>
    <row r="1949" spans="1:40" x14ac:dyDescent="0.25">
      <c r="A1949" t="str">
        <f>"20190303153812831"</f>
        <v>20190303153812831</v>
      </c>
      <c r="B1949" t="str">
        <f>"1551598692820801"</f>
        <v>1551598692820801</v>
      </c>
      <c r="C1949" t="s">
        <v>40</v>
      </c>
      <c r="D1949">
        <v>4.9658340000000001</v>
      </c>
      <c r="E1949">
        <v>0.61882280000000001</v>
      </c>
      <c r="F1949" t="s">
        <v>51</v>
      </c>
      <c r="G1949">
        <v>-199.76169999999999</v>
      </c>
      <c r="H1949" s="1">
        <v>1.976857E-6</v>
      </c>
      <c r="I1949">
        <v>287.54660000000001</v>
      </c>
      <c r="J1949">
        <v>-193.18780000000001</v>
      </c>
      <c r="K1949">
        <v>1.118047</v>
      </c>
      <c r="L1949">
        <v>295.73320000000001</v>
      </c>
      <c r="M1949">
        <v>-0.2760765</v>
      </c>
      <c r="N1949">
        <v>-1.001257E-2</v>
      </c>
      <c r="O1949">
        <v>-0.96108360000000004</v>
      </c>
      <c r="P1949">
        <v>-0.357985</v>
      </c>
      <c r="Q1949">
        <v>-8.2349749999999999E-2</v>
      </c>
      <c r="R1949">
        <v>-0.93008900000000005</v>
      </c>
      <c r="S1949">
        <v>-1.94194</v>
      </c>
      <c r="T1949">
        <v>-0.32702389999999998</v>
      </c>
      <c r="U1949">
        <v>-2.4559630000000001</v>
      </c>
      <c r="V1949">
        <v>8.6786340000000003E-2</v>
      </c>
      <c r="W1949">
        <v>-7.2999049999999996E-2</v>
      </c>
      <c r="X1949">
        <v>0.99354880000000001</v>
      </c>
      <c r="Y1949">
        <v>0.37641180000000002</v>
      </c>
      <c r="Z1949">
        <v>9.6450850000000005E-2</v>
      </c>
      <c r="AA1949">
        <v>0.92141810000000002</v>
      </c>
      <c r="AB1949">
        <v>21</v>
      </c>
      <c r="AC1949">
        <v>-6.5738999999999796</v>
      </c>
      <c r="AD1949">
        <v>-1.1180450231429999</v>
      </c>
      <c r="AE1949">
        <v>-8.1865999999999897</v>
      </c>
      <c r="AF1949">
        <v>4.0126414404169504</v>
      </c>
      <c r="AG1949">
        <v>-1.1180450231429999</v>
      </c>
      <c r="AH1949">
        <v>9.5748174924705491</v>
      </c>
      <c r="AI1949">
        <v>96.146747854978003</v>
      </c>
      <c r="AJ1949">
        <v>67.262279917961393</v>
      </c>
      <c r="AK1949">
        <v>10.4416687371916</v>
      </c>
      <c r="AL1949">
        <v>94.186261212133999</v>
      </c>
      <c r="AM1949">
        <v>85.007893031630402</v>
      </c>
      <c r="AN1949">
        <v>0.99999997404646801</v>
      </c>
    </row>
    <row r="1950" spans="1:40" x14ac:dyDescent="0.25">
      <c r="A1950" t="str">
        <f>"20190303153812852"</f>
        <v>20190303153812852</v>
      </c>
      <c r="B1950" t="str">
        <f>"1551598692841029"</f>
        <v>1551598692841029</v>
      </c>
      <c r="C1950" t="s">
        <v>40</v>
      </c>
      <c r="D1950">
        <v>4.9771590000000003</v>
      </c>
      <c r="E1950">
        <v>0.61879969999999995</v>
      </c>
      <c r="F1950" t="s">
        <v>51</v>
      </c>
      <c r="G1950">
        <v>-199.8244</v>
      </c>
      <c r="H1950" s="1">
        <v>1.9740710000000001E-6</v>
      </c>
      <c r="I1950">
        <v>287.45139999999998</v>
      </c>
      <c r="J1950">
        <v>-193.249</v>
      </c>
      <c r="K1950">
        <v>1.118001</v>
      </c>
      <c r="L1950">
        <v>295.53989999999999</v>
      </c>
      <c r="M1950">
        <v>-0.28059590000000001</v>
      </c>
      <c r="N1950">
        <v>-1.020604E-2</v>
      </c>
      <c r="O1950">
        <v>-0.95977179999999995</v>
      </c>
      <c r="P1950">
        <v>-0.364033</v>
      </c>
      <c r="Q1950">
        <v>-8.2200330000000002E-2</v>
      </c>
      <c r="R1950">
        <v>-0.92775180000000002</v>
      </c>
      <c r="S1950">
        <v>-1.9575499999999999</v>
      </c>
      <c r="T1950">
        <v>-0.32978010000000002</v>
      </c>
      <c r="U1950">
        <v>-2.4428100000000001</v>
      </c>
      <c r="V1950">
        <v>8.8566679999999995E-2</v>
      </c>
      <c r="W1950">
        <v>-7.2682689999999994E-2</v>
      </c>
      <c r="X1950">
        <v>0.99341489999999999</v>
      </c>
      <c r="Y1950">
        <v>0.3780078</v>
      </c>
      <c r="Z1950">
        <v>9.7183649999999996E-2</v>
      </c>
      <c r="AA1950">
        <v>0.92068749999999999</v>
      </c>
      <c r="AB1950">
        <v>21</v>
      </c>
      <c r="AC1950">
        <v>-6.5753999999999699</v>
      </c>
      <c r="AD1950">
        <v>-1.117999025929</v>
      </c>
      <c r="AE1950">
        <v>-8.0884999999999998</v>
      </c>
      <c r="AF1950">
        <v>3.9955328374772199</v>
      </c>
      <c r="AG1950">
        <v>-1.117999025929</v>
      </c>
      <c r="AH1950">
        <v>9.4993722316940303</v>
      </c>
      <c r="AI1950">
        <v>96.191584966033503</v>
      </c>
      <c r="AJ1950">
        <v>67.187881446093897</v>
      </c>
      <c r="AK1950">
        <v>10.365919026966001</v>
      </c>
      <c r="AL1950">
        <v>94.168086744560696</v>
      </c>
      <c r="AM1950">
        <v>84.905335096732799</v>
      </c>
      <c r="AN1950">
        <v>0.99999999688693397</v>
      </c>
    </row>
    <row r="1951" spans="1:40" x14ac:dyDescent="0.25">
      <c r="A1951" t="str">
        <f>"20190303153812877"</f>
        <v>20190303153812877</v>
      </c>
      <c r="B1951" t="str">
        <f>"1551598692870309"</f>
        <v>1551598692870309</v>
      </c>
      <c r="C1951" t="s">
        <v>40</v>
      </c>
      <c r="D1951">
        <v>4.935263</v>
      </c>
      <c r="E1951">
        <v>0.61876869999999995</v>
      </c>
      <c r="F1951" t="s">
        <v>51</v>
      </c>
      <c r="G1951">
        <v>-199.93960000000001</v>
      </c>
      <c r="H1951" s="1">
        <v>1.966931E-6</v>
      </c>
      <c r="I1951">
        <v>287.29930000000002</v>
      </c>
      <c r="J1951">
        <v>-193.321</v>
      </c>
      <c r="K1951">
        <v>1.117939</v>
      </c>
      <c r="L1951">
        <v>295.31709999999998</v>
      </c>
      <c r="M1951">
        <v>-0.28591909999999998</v>
      </c>
      <c r="N1951">
        <v>-1.040464E-2</v>
      </c>
      <c r="O1951">
        <v>-0.95819730000000003</v>
      </c>
      <c r="P1951">
        <v>-0.3700986</v>
      </c>
      <c r="Q1951">
        <v>-8.1997280000000006E-2</v>
      </c>
      <c r="R1951">
        <v>-0.92536689999999999</v>
      </c>
      <c r="S1951">
        <v>-1.9730989999999999</v>
      </c>
      <c r="T1951">
        <v>-0.3297062</v>
      </c>
      <c r="U1951">
        <v>-2.4302060000000001</v>
      </c>
      <c r="V1951">
        <v>8.953991E-2</v>
      </c>
      <c r="W1951">
        <v>-7.2304789999999994E-2</v>
      </c>
      <c r="X1951">
        <v>0.99335519999999999</v>
      </c>
      <c r="Y1951">
        <v>0.37876759999999998</v>
      </c>
      <c r="Z1951">
        <v>9.6969879999999994E-2</v>
      </c>
      <c r="AA1951">
        <v>0.92039769999999999</v>
      </c>
      <c r="AB1951">
        <v>21</v>
      </c>
      <c r="AC1951">
        <v>-6.6186000000000096</v>
      </c>
      <c r="AD1951">
        <v>-1.1179370330689999</v>
      </c>
      <c r="AE1951">
        <v>-8.0177999999999603</v>
      </c>
      <c r="AF1951">
        <v>4.0034128244346299</v>
      </c>
      <c r="AG1951">
        <v>-1.1179370330689999</v>
      </c>
      <c r="AH1951">
        <v>9.4660865486739691</v>
      </c>
      <c r="AI1951">
        <v>96.207744853413601</v>
      </c>
      <c r="AJ1951">
        <v>67.075446420126397</v>
      </c>
      <c r="AK1951">
        <v>10.3384666174312</v>
      </c>
      <c r="AL1951">
        <v>94.146377678829793</v>
      </c>
      <c r="AM1951">
        <v>84.849343105869195</v>
      </c>
      <c r="AN1951">
        <v>0.999999965753395</v>
      </c>
    </row>
    <row r="1952" spans="1:40" x14ac:dyDescent="0.25">
      <c r="A1952" t="str">
        <f>"20190303153812899"</f>
        <v>20190303153812899</v>
      </c>
      <c r="B1952" t="str">
        <f>"1551598692890805"</f>
        <v>1551598692890805</v>
      </c>
      <c r="C1952" t="s">
        <v>40</v>
      </c>
      <c r="D1952">
        <v>4.9521860000000002</v>
      </c>
      <c r="E1952">
        <v>0.61864710000000001</v>
      </c>
      <c r="F1952" t="s">
        <v>51</v>
      </c>
      <c r="G1952">
        <v>-200.10830000000001</v>
      </c>
      <c r="H1952" s="1">
        <v>2.050834E-6</v>
      </c>
      <c r="I1952">
        <v>287.06639999999999</v>
      </c>
      <c r="J1952">
        <v>-193.3879</v>
      </c>
      <c r="K1952">
        <v>1.1178669999999999</v>
      </c>
      <c r="L1952">
        <v>295.11399999999998</v>
      </c>
      <c r="M1952">
        <v>-0.29089540000000003</v>
      </c>
      <c r="N1952">
        <v>-1.056313E-2</v>
      </c>
      <c r="O1952">
        <v>-0.95669669999999896</v>
      </c>
      <c r="P1952">
        <v>-0.37555880000000003</v>
      </c>
      <c r="Q1952">
        <v>-8.115791E-2</v>
      </c>
      <c r="R1952">
        <v>-0.92323849999999996</v>
      </c>
      <c r="S1952">
        <v>-1.988739</v>
      </c>
      <c r="T1952">
        <v>-0.32756249999999998</v>
      </c>
      <c r="U1952">
        <v>-2.4175110000000002</v>
      </c>
      <c r="V1952">
        <v>9.0217169999999999E-2</v>
      </c>
      <c r="W1952">
        <v>-7.1328710000000003E-2</v>
      </c>
      <c r="X1952">
        <v>0.99336449999999998</v>
      </c>
      <c r="Y1952">
        <v>0.37993310000000002</v>
      </c>
      <c r="Z1952">
        <v>9.6135289999999998E-2</v>
      </c>
      <c r="AA1952">
        <v>0.92000479999999996</v>
      </c>
      <c r="AB1952">
        <v>21</v>
      </c>
      <c r="AC1952">
        <v>-6.7204000000000104</v>
      </c>
      <c r="AD1952">
        <v>-1.117864949166</v>
      </c>
      <c r="AE1952">
        <v>-8.0476000000000401</v>
      </c>
      <c r="AF1952">
        <v>4.0426466930306102</v>
      </c>
      <c r="AG1952">
        <v>-1.117864949166</v>
      </c>
      <c r="AH1952">
        <v>9.5460664453552493</v>
      </c>
      <c r="AI1952">
        <v>96.154499490554798</v>
      </c>
      <c r="AJ1952">
        <v>67.047914614105494</v>
      </c>
      <c r="AK1952">
        <v>10.426888265843401</v>
      </c>
      <c r="AL1952">
        <v>94.090307585529402</v>
      </c>
      <c r="AM1952">
        <v>84.810644917366005</v>
      </c>
      <c r="AN1952">
        <v>0.99999997624666104</v>
      </c>
    </row>
    <row r="1953" spans="1:40" x14ac:dyDescent="0.25">
      <c r="A1953" t="str">
        <f>"20190303153812921"</f>
        <v>20190303153812921</v>
      </c>
      <c r="B1953" t="str">
        <f>"1551598692910325"</f>
        <v>1551598692910325</v>
      </c>
      <c r="C1953" t="s">
        <v>40</v>
      </c>
      <c r="D1953">
        <v>4.9636139999999997</v>
      </c>
      <c r="E1953">
        <v>0.61857320000000005</v>
      </c>
      <c r="F1953" t="s">
        <v>51</v>
      </c>
      <c r="G1953">
        <v>-200.2901</v>
      </c>
      <c r="H1953" s="1">
        <v>2.1531129999999999E-6</v>
      </c>
      <c r="I1953">
        <v>286.8186</v>
      </c>
      <c r="J1953">
        <v>-193.45359999999999</v>
      </c>
      <c r="K1953">
        <v>1.1177840000000001</v>
      </c>
      <c r="L1953">
        <v>294.91800000000001</v>
      </c>
      <c r="M1953">
        <v>-0.2958325</v>
      </c>
      <c r="N1953">
        <v>-1.0695629999999999E-2</v>
      </c>
      <c r="O1953">
        <v>-0.95518020000000003</v>
      </c>
      <c r="P1953">
        <v>-0.38079269999999998</v>
      </c>
      <c r="Q1953">
        <v>-8.1247269999999996E-2</v>
      </c>
      <c r="R1953">
        <v>-0.92108429999999997</v>
      </c>
      <c r="S1953">
        <v>-2.002243</v>
      </c>
      <c r="T1953">
        <v>-0.32427689999999998</v>
      </c>
      <c r="U1953">
        <v>-2.4063720000000002</v>
      </c>
      <c r="V1953">
        <v>9.0711680000000003E-2</v>
      </c>
      <c r="W1953">
        <v>-7.1309730000000002E-2</v>
      </c>
      <c r="X1953">
        <v>0.9933208</v>
      </c>
      <c r="Y1953">
        <v>0.38037729999999997</v>
      </c>
      <c r="Z1953">
        <v>9.4946420000000004E-2</v>
      </c>
      <c r="AA1953">
        <v>0.91994480000000001</v>
      </c>
      <c r="AB1953">
        <v>21</v>
      </c>
      <c r="AC1953">
        <v>-6.8365</v>
      </c>
      <c r="AD1953">
        <v>-1.117781846887</v>
      </c>
      <c r="AE1953">
        <v>-8.0993999999999993</v>
      </c>
      <c r="AF1953">
        <v>4.0887832594406097</v>
      </c>
      <c r="AG1953">
        <v>-1.117781846887</v>
      </c>
      <c r="AH1953">
        <v>9.6520500892992196</v>
      </c>
      <c r="AI1953">
        <v>96.0866996947654</v>
      </c>
      <c r="AJ1953">
        <v>67.041604299900897</v>
      </c>
      <c r="AK1953">
        <v>10.541805145526601</v>
      </c>
      <c r="AL1953">
        <v>94.089217446542506</v>
      </c>
      <c r="AM1953">
        <v>84.782128649899207</v>
      </c>
      <c r="AN1953">
        <v>0.99999994909686596</v>
      </c>
    </row>
    <row r="1954" spans="1:40" x14ac:dyDescent="0.25">
      <c r="A1954" t="str">
        <f>"20190303153812944"</f>
        <v>20190303153812944</v>
      </c>
      <c r="B1954" t="str">
        <f>"1551598692940393"</f>
        <v>1551598692940393</v>
      </c>
      <c r="C1954" t="s">
        <v>40</v>
      </c>
      <c r="D1954">
        <v>4.9461130000000004</v>
      </c>
      <c r="E1954">
        <v>0.61840949999999995</v>
      </c>
      <c r="F1954" t="s">
        <v>51</v>
      </c>
      <c r="G1954">
        <v>-200.41130000000001</v>
      </c>
      <c r="H1954" s="1">
        <v>2.2217459999999998E-6</v>
      </c>
      <c r="I1954">
        <v>286.64830000000001</v>
      </c>
      <c r="J1954">
        <v>-193.5256</v>
      </c>
      <c r="K1954">
        <v>1.117659</v>
      </c>
      <c r="L1954">
        <v>294.70760000000001</v>
      </c>
      <c r="M1954">
        <v>-0.30130949999999901</v>
      </c>
      <c r="N1954">
        <v>-1.08212E-2</v>
      </c>
      <c r="O1954">
        <v>-0.95346529999999996</v>
      </c>
      <c r="P1954">
        <v>-0.38689679999999999</v>
      </c>
      <c r="Q1954">
        <v>-8.1142400000000003E-2</v>
      </c>
      <c r="R1954">
        <v>-0.91854630000000004</v>
      </c>
      <c r="S1954">
        <v>-2.0152739999999998</v>
      </c>
      <c r="T1954">
        <v>-0.32376169999999999</v>
      </c>
      <c r="U1954">
        <v>-2.3952939999999998</v>
      </c>
      <c r="V1954">
        <v>9.1580430000000004E-2</v>
      </c>
      <c r="W1954">
        <v>-7.1113620000000002E-2</v>
      </c>
      <c r="X1954">
        <v>0.9932552</v>
      </c>
      <c r="Y1954">
        <v>0.38011600000000001</v>
      </c>
      <c r="Z1954">
        <v>9.4635440000000001E-2</v>
      </c>
      <c r="AA1954">
        <v>0.92008480000000004</v>
      </c>
      <c r="AB1954">
        <v>21</v>
      </c>
      <c r="AC1954">
        <v>-6.8857000000000097</v>
      </c>
      <c r="AD1954">
        <v>-1.1176567782539999</v>
      </c>
      <c r="AE1954">
        <v>-8.0593000000000004</v>
      </c>
      <c r="AF1954">
        <v>4.0916863537833796</v>
      </c>
      <c r="AG1954">
        <v>-1.1176567782539999</v>
      </c>
      <c r="AH1954">
        <v>9.6522547499095293</v>
      </c>
      <c r="AI1954">
        <v>96.085262557924594</v>
      </c>
      <c r="AJ1954">
        <v>67.027431301668202</v>
      </c>
      <c r="AK1954">
        <v>10.5431055979187</v>
      </c>
      <c r="AL1954">
        <v>94.077952334241999</v>
      </c>
      <c r="AM1954">
        <v>84.732090697560807</v>
      </c>
      <c r="AN1954">
        <v>1.0000000072177599</v>
      </c>
    </row>
    <row r="1955" spans="1:40" x14ac:dyDescent="0.25">
      <c r="A1955" t="str">
        <f>"20190303153812965"</f>
        <v>20190303153812965</v>
      </c>
      <c r="B1955" t="str">
        <f>"1551598692960887"</f>
        <v>1551598692960887</v>
      </c>
      <c r="C1955" t="s">
        <v>40</v>
      </c>
      <c r="D1955">
        <v>4.9370440000000002</v>
      </c>
      <c r="E1955">
        <v>0.61832469999999995</v>
      </c>
      <c r="F1955" t="s">
        <v>51</v>
      </c>
      <c r="G1955">
        <v>-200.54249999999999</v>
      </c>
      <c r="H1955" s="1">
        <v>2.295329E-6</v>
      </c>
      <c r="I1955">
        <v>286.47199999999998</v>
      </c>
      <c r="J1955">
        <v>-193.59219999999999</v>
      </c>
      <c r="K1955">
        <v>1.1175299999999999</v>
      </c>
      <c r="L1955">
        <v>294.5172</v>
      </c>
      <c r="M1955">
        <v>-0.30645139999999998</v>
      </c>
      <c r="N1955">
        <v>-1.0924440000000001E-2</v>
      </c>
      <c r="O1955">
        <v>-0.95182359999999999</v>
      </c>
      <c r="P1955">
        <v>-0.39304</v>
      </c>
      <c r="Q1955">
        <v>-8.0753829999999999E-2</v>
      </c>
      <c r="R1955">
        <v>-0.91596849999999996</v>
      </c>
      <c r="S1955">
        <v>-2.0298769999999999</v>
      </c>
      <c r="T1955">
        <v>-0.32332309999999997</v>
      </c>
      <c r="U1955">
        <v>-2.3824770000000002</v>
      </c>
      <c r="V1955">
        <v>9.2841160000000006E-2</v>
      </c>
      <c r="W1955">
        <v>-7.066248E-2</v>
      </c>
      <c r="X1955">
        <v>0.99317029999999995</v>
      </c>
      <c r="Y1955">
        <v>0.38084970000000001</v>
      </c>
      <c r="Z1955">
        <v>9.439517E-2</v>
      </c>
      <c r="AA1955">
        <v>0.91980600000000001</v>
      </c>
      <c r="AB1955">
        <v>21</v>
      </c>
      <c r="AC1955">
        <v>-6.9502999999999897</v>
      </c>
      <c r="AD1955">
        <v>-1.1175277046709999</v>
      </c>
      <c r="AE1955">
        <v>-8.0452000000000208</v>
      </c>
      <c r="AF1955">
        <v>4.1048903319220704</v>
      </c>
      <c r="AG1955">
        <v>-1.1175277046709999</v>
      </c>
      <c r="AH1955">
        <v>9.6811593395567002</v>
      </c>
      <c r="AI1955">
        <v>96.066321769121899</v>
      </c>
      <c r="AJ1955">
        <v>67.022660343128393</v>
      </c>
      <c r="AK1955">
        <v>10.574679142446801</v>
      </c>
      <c r="AL1955">
        <v>94.052038932935503</v>
      </c>
      <c r="AM1955">
        <v>84.659533276724204</v>
      </c>
      <c r="AN1955">
        <v>0.999999955935992</v>
      </c>
    </row>
    <row r="1956" spans="1:40" x14ac:dyDescent="0.25">
      <c r="A1956" t="str">
        <f>"20190303153812987"</f>
        <v>20190303153812987</v>
      </c>
      <c r="B1956" t="str">
        <f>"1551598692980407"</f>
        <v>1551598692980407</v>
      </c>
      <c r="C1956" t="s">
        <v>40</v>
      </c>
      <c r="D1956">
        <v>4.9070529999999897</v>
      </c>
      <c r="E1956">
        <v>0.6182069</v>
      </c>
      <c r="F1956" t="s">
        <v>51</v>
      </c>
      <c r="G1956">
        <v>-200.6369</v>
      </c>
      <c r="H1956" s="1">
        <v>2.3474129999999999E-6</v>
      </c>
      <c r="I1956">
        <v>286.3553</v>
      </c>
      <c r="J1956">
        <v>-193.66300000000001</v>
      </c>
      <c r="K1956">
        <v>1.1173839999999999</v>
      </c>
      <c r="L1956">
        <v>294.31880000000001</v>
      </c>
      <c r="M1956">
        <v>-0.31200739999999999</v>
      </c>
      <c r="N1956">
        <v>-1.1027540000000001E-2</v>
      </c>
      <c r="O1956">
        <v>-0.95001570000000002</v>
      </c>
      <c r="P1956">
        <v>-0.39983289999999999</v>
      </c>
      <c r="Q1956">
        <v>-8.0235879999999996E-2</v>
      </c>
      <c r="R1956">
        <v>-0.91306940000000003</v>
      </c>
      <c r="S1956">
        <v>-2.0448759999999999</v>
      </c>
      <c r="T1956">
        <v>-0.32438620000000001</v>
      </c>
      <c r="U1956">
        <v>-2.3691710000000001</v>
      </c>
      <c r="V1956">
        <v>9.4378480000000001E-2</v>
      </c>
      <c r="W1956">
        <v>-7.0091089999999995E-2</v>
      </c>
      <c r="X1956">
        <v>0.993066</v>
      </c>
      <c r="Y1956">
        <v>0.3813243</v>
      </c>
      <c r="Z1956">
        <v>9.4623739999999998E-2</v>
      </c>
      <c r="AA1956">
        <v>0.91958589999999996</v>
      </c>
      <c r="AB1956">
        <v>21</v>
      </c>
      <c r="AC1956">
        <v>-6.9739000000000102</v>
      </c>
      <c r="AD1956">
        <v>-1.117381652587</v>
      </c>
      <c r="AE1956">
        <v>-7.9635000000000096</v>
      </c>
      <c r="AF1956">
        <v>4.0952639210153299</v>
      </c>
      <c r="AG1956">
        <v>-1.117381652587</v>
      </c>
      <c r="AH1956">
        <v>9.6345974132777208</v>
      </c>
      <c r="AI1956">
        <v>96.092344076571806</v>
      </c>
      <c r="AJ1956">
        <v>66.971687194534198</v>
      </c>
      <c r="AK1956">
        <v>10.5283045005473</v>
      </c>
      <c r="AL1956">
        <v>94.019218862021006</v>
      </c>
      <c r="AM1956">
        <v>84.571059848768201</v>
      </c>
      <c r="AN1956">
        <v>1.00000006937024</v>
      </c>
    </row>
    <row r="1957" spans="1:40" x14ac:dyDescent="0.25">
      <c r="A1957" t="str">
        <f>"20190303153813011"</f>
        <v>20190303153813011</v>
      </c>
      <c r="B1957" t="str">
        <f>"1551598693000905"</f>
        <v>1551598693000905</v>
      </c>
      <c r="C1957" t="s">
        <v>40</v>
      </c>
      <c r="D1957">
        <v>4.9144589999999999</v>
      </c>
      <c r="E1957">
        <v>0.61809669999999906</v>
      </c>
      <c r="F1957" t="s">
        <v>51</v>
      </c>
      <c r="G1957">
        <v>-200.8099</v>
      </c>
      <c r="H1957" s="1">
        <v>2.4413170000000001E-6</v>
      </c>
      <c r="I1957">
        <v>286.15839999999997</v>
      </c>
      <c r="J1957">
        <v>-193.73990000000001</v>
      </c>
      <c r="K1957">
        <v>1.117216</v>
      </c>
      <c r="L1957">
        <v>294.10829999999999</v>
      </c>
      <c r="M1957">
        <v>-0.31815870000000002</v>
      </c>
      <c r="N1957">
        <v>-1.113375E-2</v>
      </c>
      <c r="O1957">
        <v>-0.94797229999999999</v>
      </c>
      <c r="P1957">
        <v>-0.40618339999999997</v>
      </c>
      <c r="Q1957">
        <v>-7.8745800000000005E-2</v>
      </c>
      <c r="R1957">
        <v>-0.91039250000000005</v>
      </c>
      <c r="S1957">
        <v>-2.0619200000000002</v>
      </c>
      <c r="T1957">
        <v>-0.32237399999999999</v>
      </c>
      <c r="U1957">
        <v>-2.3543699999999999</v>
      </c>
      <c r="V1957">
        <v>9.4800809999999999E-2</v>
      </c>
      <c r="W1957">
        <v>-6.8539399999999903E-2</v>
      </c>
      <c r="X1957">
        <v>0.99313399999999996</v>
      </c>
      <c r="Y1957">
        <v>0.38201649999999998</v>
      </c>
      <c r="Z1957">
        <v>9.3854750000000001E-2</v>
      </c>
      <c r="AA1957">
        <v>0.91937729999999995</v>
      </c>
      <c r="AB1957">
        <v>21</v>
      </c>
      <c r="AC1957">
        <v>-7.0699999999999896</v>
      </c>
      <c r="AD1957">
        <v>-1.1172135586830001</v>
      </c>
      <c r="AE1957">
        <v>-7.9499000000000102</v>
      </c>
      <c r="AF1957">
        <v>4.1275749501393202</v>
      </c>
      <c r="AG1957">
        <v>-1.1172135586830001</v>
      </c>
      <c r="AH1957">
        <v>9.6795297746131705</v>
      </c>
      <c r="AI1957">
        <v>96.060409218396202</v>
      </c>
      <c r="AJ1957">
        <v>66.905481001316105</v>
      </c>
      <c r="AK1957">
        <v>10.5819817502368</v>
      </c>
      <c r="AL1957">
        <v>93.930099523789593</v>
      </c>
      <c r="AM1957">
        <v>84.547283368252394</v>
      </c>
      <c r="AN1957">
        <v>0.99999999244250803</v>
      </c>
    </row>
    <row r="1958" spans="1:40" x14ac:dyDescent="0.25">
      <c r="A1958" t="str">
        <f>"20190303153813031"</f>
        <v>20190303153813031</v>
      </c>
      <c r="B1958" t="str">
        <f>"1551598693020427"</f>
        <v>1551598693020427</v>
      </c>
      <c r="C1958" t="s">
        <v>40</v>
      </c>
      <c r="D1958">
        <v>4.8971499999999999</v>
      </c>
      <c r="E1958">
        <v>0.61795800000000001</v>
      </c>
      <c r="F1958" t="s">
        <v>51</v>
      </c>
      <c r="G1958">
        <v>-201.06489999999999</v>
      </c>
      <c r="H1958" s="1">
        <v>2.5809869999999998E-6</v>
      </c>
      <c r="I1958">
        <v>285.8546</v>
      </c>
      <c r="J1958">
        <v>-193.81120000000001</v>
      </c>
      <c r="K1958">
        <v>1.117062</v>
      </c>
      <c r="L1958">
        <v>293.91800000000001</v>
      </c>
      <c r="M1958">
        <v>-0.32396540000000001</v>
      </c>
      <c r="N1958">
        <v>-1.123364E-2</v>
      </c>
      <c r="O1958">
        <v>-0.94600220000000002</v>
      </c>
      <c r="P1958">
        <v>-0.41225329999999899</v>
      </c>
      <c r="Q1958">
        <v>-7.6788869999999995E-2</v>
      </c>
      <c r="R1958">
        <v>-0.90782759999999996</v>
      </c>
      <c r="S1958">
        <v>-2.0775450000000002</v>
      </c>
      <c r="T1958">
        <v>-0.31686880000000001</v>
      </c>
      <c r="U1958">
        <v>-2.340973</v>
      </c>
      <c r="V1958">
        <v>9.527919E-2</v>
      </c>
      <c r="W1958">
        <v>-6.6524680000000003E-2</v>
      </c>
      <c r="X1958">
        <v>0.99322520000000003</v>
      </c>
      <c r="Y1958">
        <v>0.38252049999999999</v>
      </c>
      <c r="Z1958">
        <v>9.196646E-2</v>
      </c>
      <c r="AA1958">
        <v>0.91935860000000003</v>
      </c>
      <c r="AB1958">
        <v>21</v>
      </c>
      <c r="AC1958">
        <v>-7.2536999999999798</v>
      </c>
      <c r="AD1958">
        <v>-1.1170594190129901</v>
      </c>
      <c r="AE1958">
        <v>-8.0633999999999997</v>
      </c>
      <c r="AF1958">
        <v>4.2054124839437703</v>
      </c>
      <c r="AG1958">
        <v>-1.1170594190129901</v>
      </c>
      <c r="AH1958">
        <v>9.8738341359147999</v>
      </c>
      <c r="AI1958">
        <v>95.942277330632294</v>
      </c>
      <c r="AJ1958">
        <v>66.930125404972202</v>
      </c>
      <c r="AK1958">
        <v>10.7900841724831</v>
      </c>
      <c r="AL1958">
        <v>93.814400478401296</v>
      </c>
      <c r="AM1958">
        <v>84.520435302362898</v>
      </c>
      <c r="AN1958">
        <v>0.99999997750559899</v>
      </c>
    </row>
    <row r="1959" spans="1:40" x14ac:dyDescent="0.25">
      <c r="A1959" t="str">
        <f>"20190303153813054"</f>
        <v>20190303153813054</v>
      </c>
      <c r="B1959" t="str">
        <f>"1551598693050509"</f>
        <v>1551598693050509</v>
      </c>
      <c r="C1959" t="s">
        <v>40</v>
      </c>
      <c r="D1959">
        <v>4.8835870000000003</v>
      </c>
      <c r="E1959">
        <v>0.61780619999999997</v>
      </c>
      <c r="F1959" t="s">
        <v>51</v>
      </c>
      <c r="G1959">
        <v>-201.33160000000001</v>
      </c>
      <c r="H1959" s="1">
        <v>2.7259699999999998E-6</v>
      </c>
      <c r="I1959">
        <v>285.54899999999998</v>
      </c>
      <c r="J1959">
        <v>-193.8878</v>
      </c>
      <c r="K1959">
        <v>1.116919</v>
      </c>
      <c r="L1959">
        <v>293.71789999999999</v>
      </c>
      <c r="M1959">
        <v>-0.33028220000000003</v>
      </c>
      <c r="N1959">
        <v>-1.1343840000000001E-2</v>
      </c>
      <c r="O1959">
        <v>-0.94381400000000004</v>
      </c>
      <c r="P1959">
        <v>-0.41829820000000001</v>
      </c>
      <c r="Q1959">
        <v>-7.6248739999999995E-2</v>
      </c>
      <c r="R1959">
        <v>-0.90510360000000001</v>
      </c>
      <c r="S1959">
        <v>-2.0921630000000002</v>
      </c>
      <c r="T1959">
        <v>-0.31076179999999998</v>
      </c>
      <c r="U1959">
        <v>-2.328217</v>
      </c>
      <c r="V1959">
        <v>9.5229030000000006E-2</v>
      </c>
      <c r="W1959">
        <v>-6.5909789999999996E-2</v>
      </c>
      <c r="X1959">
        <v>0.99327109999999996</v>
      </c>
      <c r="Y1959">
        <v>0.38218020000000003</v>
      </c>
      <c r="Z1959">
        <v>8.9857099999999995E-2</v>
      </c>
      <c r="AA1959">
        <v>0.91970870000000005</v>
      </c>
      <c r="AB1959">
        <v>21</v>
      </c>
      <c r="AC1959">
        <v>-7.4438000000000004</v>
      </c>
      <c r="AD1959">
        <v>-1.11691627403</v>
      </c>
      <c r="AE1959">
        <v>-8.1688999999999492</v>
      </c>
      <c r="AF1959">
        <v>4.2840435434369297</v>
      </c>
      <c r="AG1959">
        <v>-1.11691627403</v>
      </c>
      <c r="AH1959">
        <v>10.066318253068401</v>
      </c>
      <c r="AI1959">
        <v>95.829394182491697</v>
      </c>
      <c r="AJ1959">
        <v>66.946270926516306</v>
      </c>
      <c r="AK1959">
        <v>10.996876566430799</v>
      </c>
      <c r="AL1959">
        <v>93.779092019368704</v>
      </c>
      <c r="AM1959">
        <v>84.523554035584993</v>
      </c>
      <c r="AN1959">
        <v>1.0000000733338901</v>
      </c>
    </row>
    <row r="1960" spans="1:40" x14ac:dyDescent="0.25">
      <c r="A1960" t="str">
        <f>"20190303153813078"</f>
        <v>20190303153813078</v>
      </c>
      <c r="B1960" t="str">
        <f>"1551598693071004"</f>
        <v>1551598693071004</v>
      </c>
      <c r="C1960" t="s">
        <v>40</v>
      </c>
      <c r="D1960">
        <v>4.8871919999999998</v>
      </c>
      <c r="E1960">
        <v>0.61769569999999996</v>
      </c>
      <c r="F1960" t="s">
        <v>51</v>
      </c>
      <c r="G1960">
        <v>-201.511</v>
      </c>
      <c r="H1960" s="1">
        <v>2.8236989999999999E-6</v>
      </c>
      <c r="I1960">
        <v>285.34109999999998</v>
      </c>
      <c r="J1960">
        <v>-193.97190000000001</v>
      </c>
      <c r="K1960">
        <v>1.116795</v>
      </c>
      <c r="L1960">
        <v>293.50360000000001</v>
      </c>
      <c r="M1960">
        <v>-0.33726919999999999</v>
      </c>
      <c r="N1960">
        <v>-1.1498410000000001E-2</v>
      </c>
      <c r="O1960">
        <v>-0.94133820000000001</v>
      </c>
      <c r="P1960">
        <v>-0.4252436</v>
      </c>
      <c r="Q1960">
        <v>-7.7270340000000007E-2</v>
      </c>
      <c r="R1960">
        <v>-0.90177459999999998</v>
      </c>
      <c r="S1960">
        <v>-2.1066739999999999</v>
      </c>
      <c r="T1960">
        <v>-0.30866120000000002</v>
      </c>
      <c r="U1960">
        <v>-2.3149410000000001</v>
      </c>
      <c r="V1960">
        <v>9.5499340000000002E-2</v>
      </c>
      <c r="W1960">
        <v>-6.6814239999999997E-2</v>
      </c>
      <c r="X1960">
        <v>0.99318459999999997</v>
      </c>
      <c r="Y1960">
        <v>0.38116559999999999</v>
      </c>
      <c r="Z1960">
        <v>8.8974040000000004E-2</v>
      </c>
      <c r="AA1960">
        <v>0.92021540000000002</v>
      </c>
      <c r="AB1960">
        <v>21</v>
      </c>
      <c r="AC1960">
        <v>-7.5390999999999897</v>
      </c>
      <c r="AD1960">
        <v>-1.116792176301</v>
      </c>
      <c r="AE1960">
        <v>-8.1625000000000192</v>
      </c>
      <c r="AF1960">
        <v>4.3007239802185797</v>
      </c>
      <c r="AG1960">
        <v>-1.116792176301</v>
      </c>
      <c r="AH1960">
        <v>10.124774270076401</v>
      </c>
      <c r="AI1960">
        <v>95.797006301884394</v>
      </c>
      <c r="AJ1960">
        <v>66.985557622063894</v>
      </c>
      <c r="AK1960">
        <v>11.0568759393907</v>
      </c>
      <c r="AL1960">
        <v>93.831028113428999</v>
      </c>
      <c r="AM1960">
        <v>84.507628527319497</v>
      </c>
      <c r="AN1960">
        <v>0.99999995814218501</v>
      </c>
    </row>
    <row r="1961" spans="1:40" x14ac:dyDescent="0.25">
      <c r="A1961" t="str">
        <f>"20190303153813101"</f>
        <v>20190303153813101</v>
      </c>
      <c r="B1961" t="str">
        <f>"1551598693090525"</f>
        <v>1551598693090525</v>
      </c>
      <c r="C1961" t="s">
        <v>40</v>
      </c>
      <c r="D1961">
        <v>4.8690699999999998</v>
      </c>
      <c r="E1961">
        <v>0.61757010000000001</v>
      </c>
      <c r="F1961" t="s">
        <v>51</v>
      </c>
      <c r="G1961">
        <v>-201.5855</v>
      </c>
      <c r="H1961" s="1">
        <v>2.8637359999999999E-6</v>
      </c>
      <c r="I1961">
        <v>285.26089999999999</v>
      </c>
      <c r="J1961">
        <v>-194.0547</v>
      </c>
      <c r="K1961">
        <v>1.116708</v>
      </c>
      <c r="L1961">
        <v>293.2978</v>
      </c>
      <c r="M1961">
        <v>-0.34420230000000002</v>
      </c>
      <c r="N1961">
        <v>-1.171E-2</v>
      </c>
      <c r="O1961">
        <v>-0.93882259999999995</v>
      </c>
      <c r="P1961">
        <v>-0.43294529999999998</v>
      </c>
      <c r="Q1961">
        <v>-7.8927419999999998E-2</v>
      </c>
      <c r="R1961">
        <v>-0.89795859999999905</v>
      </c>
      <c r="S1961">
        <v>-2.1233219999999999</v>
      </c>
      <c r="T1961">
        <v>-0.31145830000000002</v>
      </c>
      <c r="U1961">
        <v>-2.2987980000000001</v>
      </c>
      <c r="V1961">
        <v>9.6687869999999995E-2</v>
      </c>
      <c r="W1961">
        <v>-6.8303699999999995E-2</v>
      </c>
      <c r="X1961">
        <v>0.99296830000000003</v>
      </c>
      <c r="Y1961">
        <v>0.38111729999999999</v>
      </c>
      <c r="Z1961">
        <v>8.9632950000000003E-2</v>
      </c>
      <c r="AA1961">
        <v>0.92017150000000003</v>
      </c>
      <c r="AB1961">
        <v>21</v>
      </c>
      <c r="AC1961">
        <v>-7.5307999999999904</v>
      </c>
      <c r="AD1961">
        <v>-1.1167051362639999</v>
      </c>
      <c r="AE1961">
        <v>-8.0368999999999993</v>
      </c>
      <c r="AF1961">
        <v>4.2602642528241201</v>
      </c>
      <c r="AG1961">
        <v>-1.1167051362639999</v>
      </c>
      <c r="AH1961">
        <v>10.0348760098257</v>
      </c>
      <c r="AI1961">
        <v>95.848601564562102</v>
      </c>
      <c r="AJ1961">
        <v>66.996554958669904</v>
      </c>
      <c r="AK1961">
        <v>10.958814643830101</v>
      </c>
      <c r="AL1961">
        <v>93.916563186878605</v>
      </c>
      <c r="AM1961">
        <v>84.438495761644901</v>
      </c>
      <c r="AN1961">
        <v>0.99999999222185798</v>
      </c>
    </row>
    <row r="1962" spans="1:40" x14ac:dyDescent="0.25">
      <c r="A1962" t="str">
        <f>"20190303153813122"</f>
        <v>20190303153813122</v>
      </c>
      <c r="B1962" t="str">
        <f>"1551598693111022"</f>
        <v>1551598693111022</v>
      </c>
      <c r="C1962" t="s">
        <v>40</v>
      </c>
      <c r="D1962">
        <v>4.7995729999999996</v>
      </c>
      <c r="E1962">
        <v>0.61754889999999996</v>
      </c>
      <c r="F1962" t="s">
        <v>51</v>
      </c>
      <c r="G1962">
        <v>-201.60319999999999</v>
      </c>
      <c r="H1962" s="1">
        <v>2.8715369999999999E-6</v>
      </c>
      <c r="I1962">
        <v>285.26139999999998</v>
      </c>
      <c r="J1962">
        <v>-194.13120000000001</v>
      </c>
      <c r="K1962">
        <v>1.116644</v>
      </c>
      <c r="L1962">
        <v>293.11189999999999</v>
      </c>
      <c r="M1962">
        <v>-0.35066809999999998</v>
      </c>
      <c r="N1962">
        <v>-1.194017E-2</v>
      </c>
      <c r="O1962">
        <v>-0.93642400000000003</v>
      </c>
      <c r="P1962">
        <v>-0.4408146</v>
      </c>
      <c r="Q1962">
        <v>-7.9912860000000002E-2</v>
      </c>
      <c r="R1962">
        <v>-0.89403410000000005</v>
      </c>
      <c r="S1962">
        <v>-2.141953</v>
      </c>
      <c r="T1962">
        <v>-0.31687340000000003</v>
      </c>
      <c r="U1962">
        <v>-2.2803650000000002</v>
      </c>
      <c r="V1962">
        <v>9.8563220000000007E-2</v>
      </c>
      <c r="W1962">
        <v>-6.9108520000000007E-2</v>
      </c>
      <c r="X1962">
        <v>0.99272819999999995</v>
      </c>
      <c r="Y1962">
        <v>0.38234079999999998</v>
      </c>
      <c r="Z1962">
        <v>9.1139510000000007E-2</v>
      </c>
      <c r="AA1962">
        <v>0.91951570000000005</v>
      </c>
      <c r="AB1962">
        <v>21</v>
      </c>
      <c r="AC1962">
        <v>-7.47199999999998</v>
      </c>
      <c r="AD1962">
        <v>-1.116641128463</v>
      </c>
      <c r="AE1962">
        <v>-7.85050000000001</v>
      </c>
      <c r="AF1962">
        <v>4.19975972746062</v>
      </c>
      <c r="AG1962">
        <v>-1.116641128463</v>
      </c>
      <c r="AH1962">
        <v>9.8675494083674806</v>
      </c>
      <c r="AI1962">
        <v>95.944465840914603</v>
      </c>
      <c r="AJ1962">
        <v>66.944753740092693</v>
      </c>
      <c r="AK1962">
        <v>10.7820870199024</v>
      </c>
      <c r="AL1962">
        <v>93.962785221867804</v>
      </c>
      <c r="AM1962">
        <v>84.329959132619607</v>
      </c>
      <c r="AN1962">
        <v>0.99999998747429897</v>
      </c>
    </row>
    <row r="1963" spans="1:40" x14ac:dyDescent="0.25">
      <c r="A1963" t="str">
        <f>"20190303153813143"</f>
        <v>20190303153813143</v>
      </c>
      <c r="B1963" t="str">
        <f>"1551598693130541"</f>
        <v>1551598693130541</v>
      </c>
      <c r="C1963" t="s">
        <v>40</v>
      </c>
      <c r="D1963">
        <v>4.8550950000000004</v>
      </c>
      <c r="E1963">
        <v>0.61740890000000004</v>
      </c>
      <c r="F1963" t="s">
        <v>51</v>
      </c>
      <c r="G1963">
        <v>-201.69800000000001</v>
      </c>
      <c r="H1963" s="1">
        <v>2.919211E-6</v>
      </c>
      <c r="I1963">
        <v>285.197</v>
      </c>
      <c r="J1963">
        <v>-194.2081</v>
      </c>
      <c r="K1963">
        <v>1.116565</v>
      </c>
      <c r="L1963">
        <v>292.92919999999998</v>
      </c>
      <c r="M1963">
        <v>-0.35721999999999998</v>
      </c>
      <c r="N1963">
        <v>-1.216998E-2</v>
      </c>
      <c r="O1963">
        <v>-0.93394109999999997</v>
      </c>
      <c r="P1963">
        <v>-0.45020169999999998</v>
      </c>
      <c r="Q1963">
        <v>-7.9550339999999997E-2</v>
      </c>
      <c r="R1963">
        <v>-0.88937659999999996</v>
      </c>
      <c r="S1963">
        <v>-2.1617739999999999</v>
      </c>
      <c r="T1963">
        <v>-0.31901669999999999</v>
      </c>
      <c r="U1963">
        <v>-2.2612299999999999</v>
      </c>
      <c r="V1963">
        <v>0.10202899999999999</v>
      </c>
      <c r="W1963">
        <v>-6.8587560000000006E-2</v>
      </c>
      <c r="X1963">
        <v>0.99241420000000002</v>
      </c>
      <c r="Y1963">
        <v>0.38392870000000001</v>
      </c>
      <c r="Z1963">
        <v>9.1594049999999996E-2</v>
      </c>
      <c r="AA1963">
        <v>0.91880859999999998</v>
      </c>
      <c r="AB1963">
        <v>21</v>
      </c>
      <c r="AC1963">
        <v>-7.4898999999999702</v>
      </c>
      <c r="AD1963">
        <v>-1.116562080789</v>
      </c>
      <c r="AE1963">
        <v>-7.7321999999999704</v>
      </c>
      <c r="AF1963">
        <v>4.1882839325312204</v>
      </c>
      <c r="AG1963">
        <v>-1.116562080789</v>
      </c>
      <c r="AH1963">
        <v>9.7923460979931605</v>
      </c>
      <c r="AI1963">
        <v>95.984868369337505</v>
      </c>
      <c r="AJ1963">
        <v>66.843122048601202</v>
      </c>
      <c r="AK1963">
        <v>10.708803634516601</v>
      </c>
      <c r="AL1963">
        <v>93.932865141872</v>
      </c>
      <c r="AM1963">
        <v>84.130107607065796</v>
      </c>
      <c r="AN1963">
        <v>1.0000000572946901</v>
      </c>
    </row>
    <row r="1964" spans="1:40" x14ac:dyDescent="0.25">
      <c r="A1964" t="str">
        <f>"20190303153813165"</f>
        <v>20190303153813165</v>
      </c>
      <c r="B1964" t="str">
        <f>"1551598693160797"</f>
        <v>1551598693160797</v>
      </c>
      <c r="C1964" t="s">
        <v>40</v>
      </c>
      <c r="D1964">
        <v>4.8062800000000001</v>
      </c>
      <c r="E1964">
        <v>0.6174153</v>
      </c>
      <c r="F1964" t="s">
        <v>51</v>
      </c>
      <c r="G1964">
        <v>-201.85239999999999</v>
      </c>
      <c r="H1964" s="1">
        <v>2.9966569999999999E-6</v>
      </c>
      <c r="I1964">
        <v>285.09449999999998</v>
      </c>
      <c r="J1964">
        <v>-194.29220000000001</v>
      </c>
      <c r="K1964">
        <v>1.1164559999999999</v>
      </c>
      <c r="L1964">
        <v>292.73399999999998</v>
      </c>
      <c r="M1964">
        <v>-0.36442390000000002</v>
      </c>
      <c r="N1964">
        <v>-1.2399250000000001E-2</v>
      </c>
      <c r="O1964">
        <v>-0.9311507</v>
      </c>
      <c r="P1964">
        <v>-0.46025050000000001</v>
      </c>
      <c r="Q1964">
        <v>-7.8799599999999997E-2</v>
      </c>
      <c r="R1964">
        <v>-0.8842856</v>
      </c>
      <c r="S1964">
        <v>-2.1844480000000002</v>
      </c>
      <c r="T1964">
        <v>-0.31907010000000002</v>
      </c>
      <c r="U1964">
        <v>-2.238861</v>
      </c>
      <c r="V1964">
        <v>0.1055656</v>
      </c>
      <c r="W1964">
        <v>-6.7688139999999994E-2</v>
      </c>
      <c r="X1964">
        <v>0.99210600000000004</v>
      </c>
      <c r="Y1964">
        <v>0.3861598</v>
      </c>
      <c r="Z1964">
        <v>9.1394149999999993E-2</v>
      </c>
      <c r="AA1964">
        <v>0.91789310000000002</v>
      </c>
      <c r="AB1964">
        <v>21</v>
      </c>
      <c r="AC1964">
        <v>-7.5601999999999796</v>
      </c>
      <c r="AD1964">
        <v>-1.11645300334299</v>
      </c>
      <c r="AE1964">
        <v>-7.6395000000000497</v>
      </c>
      <c r="AF1964">
        <v>4.2105632292306696</v>
      </c>
      <c r="AG1964">
        <v>-1.11645300334299</v>
      </c>
      <c r="AH1964">
        <v>9.7640454244681099</v>
      </c>
      <c r="AI1964">
        <v>95.993904366154098</v>
      </c>
      <c r="AJ1964">
        <v>66.672776280861896</v>
      </c>
      <c r="AK1964">
        <v>10.691674006772701</v>
      </c>
      <c r="AL1964">
        <v>93.881212164340894</v>
      </c>
      <c r="AM1964">
        <v>83.926263949089204</v>
      </c>
      <c r="AN1964">
        <v>1.000000047718</v>
      </c>
    </row>
    <row r="1965" spans="1:40" x14ac:dyDescent="0.25">
      <c r="A1965" t="str">
        <f>"20190303153813188"</f>
        <v>20190303153813188</v>
      </c>
      <c r="B1965" t="str">
        <f>"1551598693180317"</f>
        <v>1551598693180317</v>
      </c>
      <c r="C1965" t="s">
        <v>40</v>
      </c>
      <c r="D1965">
        <v>4.7990259999999996</v>
      </c>
      <c r="E1965">
        <v>0.61745079999999997</v>
      </c>
      <c r="F1965" t="s">
        <v>51</v>
      </c>
      <c r="G1965">
        <v>-202.14609999999999</v>
      </c>
      <c r="H1965" s="1">
        <v>3.1470729999999998E-6</v>
      </c>
      <c r="I1965">
        <v>284.86349999999999</v>
      </c>
      <c r="J1965">
        <v>-194.38050000000001</v>
      </c>
      <c r="K1965">
        <v>1.1163379999999901</v>
      </c>
      <c r="L1965">
        <v>292.53410000000002</v>
      </c>
      <c r="M1965">
        <v>-0.37201469999999998</v>
      </c>
      <c r="N1965">
        <v>-1.2617700000000001E-2</v>
      </c>
      <c r="O1965">
        <v>-0.9281412</v>
      </c>
      <c r="P1965">
        <v>-0.4708309</v>
      </c>
      <c r="Q1965">
        <v>-7.687774E-2</v>
      </c>
      <c r="R1965">
        <v>-0.87886769999999903</v>
      </c>
      <c r="S1965">
        <v>-2.2097929999999999</v>
      </c>
      <c r="T1965">
        <v>-0.31412980000000001</v>
      </c>
      <c r="U1965">
        <v>-2.2144780000000002</v>
      </c>
      <c r="V1965">
        <v>0.1093032</v>
      </c>
      <c r="W1965">
        <v>-6.5635849999999996E-2</v>
      </c>
      <c r="X1965">
        <v>0.99183909999999997</v>
      </c>
      <c r="Y1965">
        <v>0.38906639999999998</v>
      </c>
      <c r="Z1965">
        <v>8.9606240000000004E-2</v>
      </c>
      <c r="AA1965">
        <v>0.91684129999999997</v>
      </c>
      <c r="AB1965">
        <v>21</v>
      </c>
      <c r="AC1965">
        <v>-7.7655999999999699</v>
      </c>
      <c r="AD1965">
        <v>-1.1163348529270001</v>
      </c>
      <c r="AE1965">
        <v>-7.6706000000000296</v>
      </c>
      <c r="AF1965">
        <v>4.3092695509919796</v>
      </c>
      <c r="AG1965">
        <v>-1.1163348529270001</v>
      </c>
      <c r="AH1965">
        <v>9.9055036867715902</v>
      </c>
      <c r="AI1965">
        <v>95.900157118352993</v>
      </c>
      <c r="AJ1965">
        <v>66.489133674194207</v>
      </c>
      <c r="AK1965">
        <v>10.8597887113705</v>
      </c>
      <c r="AL1965">
        <v>93.763362527435504</v>
      </c>
      <c r="AM1965">
        <v>83.711235134075807</v>
      </c>
      <c r="AN1965">
        <v>1.0000000273121299</v>
      </c>
    </row>
    <row r="1966" spans="1:40" x14ac:dyDescent="0.25">
      <c r="A1966" t="str">
        <f>"20190303153813210"</f>
        <v>20190303153813210</v>
      </c>
      <c r="B1966" t="str">
        <f>"1551598693200817"</f>
        <v>1551598693200817</v>
      </c>
      <c r="C1966" t="s">
        <v>40</v>
      </c>
      <c r="D1966">
        <v>4.850231</v>
      </c>
      <c r="E1966">
        <v>0.61762589999999995</v>
      </c>
      <c r="F1966" t="s">
        <v>51</v>
      </c>
      <c r="G1966">
        <v>-202.49700000000001</v>
      </c>
      <c r="H1966" s="1">
        <v>3.3264419999999999E-6</v>
      </c>
      <c r="I1966">
        <v>284.5917</v>
      </c>
      <c r="J1966">
        <v>-194.46899999999999</v>
      </c>
      <c r="K1966">
        <v>1.1162289999999999</v>
      </c>
      <c r="L1966">
        <v>292.33929999999998</v>
      </c>
      <c r="M1966">
        <v>-0.3796506</v>
      </c>
      <c r="N1966">
        <v>-1.281994E-2</v>
      </c>
      <c r="O1966">
        <v>-0.92504109999999995</v>
      </c>
      <c r="P1966">
        <v>-0.48285109999999998</v>
      </c>
      <c r="Q1966">
        <v>-7.305528E-2</v>
      </c>
      <c r="R1966">
        <v>-0.87265000000000004</v>
      </c>
      <c r="S1966">
        <v>-2.236389</v>
      </c>
      <c r="T1966">
        <v>-0.30759360000000002</v>
      </c>
      <c r="U1966">
        <v>-2.1884459999999999</v>
      </c>
      <c r="V1966">
        <v>0.1146374</v>
      </c>
      <c r="W1966">
        <v>-6.1719389999999999E-2</v>
      </c>
      <c r="X1966">
        <v>0.99148829999999999</v>
      </c>
      <c r="Y1966">
        <v>0.39253060000000001</v>
      </c>
      <c r="Z1966">
        <v>8.7336460000000005E-2</v>
      </c>
      <c r="AA1966">
        <v>0.91558300000000004</v>
      </c>
      <c r="AB1966">
        <v>21</v>
      </c>
      <c r="AC1966">
        <v>-8.0279999999999898</v>
      </c>
      <c r="AD1966">
        <v>-1.1162256735580001</v>
      </c>
      <c r="AE1966">
        <v>-7.7475999999999701</v>
      </c>
      <c r="AF1966">
        <v>4.4407664801422699</v>
      </c>
      <c r="AG1966">
        <v>-1.1162256735580001</v>
      </c>
      <c r="AH1966">
        <v>10.1142812660056</v>
      </c>
      <c r="AI1966">
        <v>95.770175519704495</v>
      </c>
      <c r="AJ1966">
        <v>66.295690277778107</v>
      </c>
      <c r="AK1966">
        <v>11.102479552484599</v>
      </c>
      <c r="AL1966">
        <v>93.538509405066705</v>
      </c>
      <c r="AM1966">
        <v>83.404659516694807</v>
      </c>
      <c r="AN1966">
        <v>1.0000000328088099</v>
      </c>
    </row>
    <row r="1967" spans="1:40" x14ac:dyDescent="0.25">
      <c r="A1967" t="str">
        <f>"20190303153813233"</f>
        <v>20190303153813233</v>
      </c>
      <c r="B1967" t="str">
        <f>"1551598693220336"</f>
        <v>1551598693220336</v>
      </c>
      <c r="C1967" t="s">
        <v>40</v>
      </c>
      <c r="D1967">
        <v>4.5362369999999999</v>
      </c>
      <c r="E1967">
        <v>0.62221400000000004</v>
      </c>
      <c r="F1967" t="s">
        <v>43</v>
      </c>
      <c r="G1967">
        <v>-215.3929</v>
      </c>
      <c r="H1967">
        <v>-0.05</v>
      </c>
      <c r="I1967">
        <v>272.34640000000002</v>
      </c>
      <c r="J1967">
        <v>-194.5592</v>
      </c>
      <c r="K1967">
        <v>1.1161399999999999</v>
      </c>
      <c r="L1967">
        <v>292.14569999999998</v>
      </c>
      <c r="M1967">
        <v>-0.3874977</v>
      </c>
      <c r="N1967">
        <v>-1.300953E-2</v>
      </c>
      <c r="O1967">
        <v>-0.92177920000000002</v>
      </c>
      <c r="P1967">
        <v>-0.4957801</v>
      </c>
      <c r="Q1967">
        <v>-6.8845760000000006E-2</v>
      </c>
      <c r="R1967">
        <v>-0.86571559999999903</v>
      </c>
      <c r="S1967">
        <v>-2.2714539999999999</v>
      </c>
      <c r="T1967">
        <v>-0.1266031</v>
      </c>
      <c r="U1967">
        <v>-2.1703800000000002</v>
      </c>
      <c r="V1967">
        <v>0.1208534</v>
      </c>
      <c r="W1967">
        <v>-5.7441010000000001E-2</v>
      </c>
      <c r="X1967">
        <v>0.99100699999999997</v>
      </c>
      <c r="Y1967">
        <v>0.3983429</v>
      </c>
      <c r="Z1967">
        <v>2.9425349999999999E-2</v>
      </c>
      <c r="AA1967">
        <v>0.91676440000000003</v>
      </c>
      <c r="AB1967">
        <v>21</v>
      </c>
      <c r="AC1967">
        <v>-20.8337</v>
      </c>
      <c r="AD1967">
        <v>-1.16614</v>
      </c>
      <c r="AE1967">
        <v>-19.799299999999899</v>
      </c>
      <c r="AF1967">
        <v>11.513905980099199</v>
      </c>
      <c r="AG1967">
        <v>-1.16614</v>
      </c>
      <c r="AH1967">
        <v>26.282546330516599</v>
      </c>
      <c r="AI1967">
        <v>92.327256148952799</v>
      </c>
      <c r="AJ1967">
        <v>66.342647554181298</v>
      </c>
      <c r="AK1967">
        <v>28.717627949291298</v>
      </c>
      <c r="AL1967">
        <v>93.292940150254097</v>
      </c>
      <c r="AM1967">
        <v>83.047105891895001</v>
      </c>
      <c r="AN1967">
        <v>0.99999994398518799</v>
      </c>
    </row>
    <row r="1968" spans="1:40" x14ac:dyDescent="0.25">
      <c r="A1968" t="str">
        <f>"20190303153813253"</f>
        <v>20190303153813253</v>
      </c>
      <c r="B1968" t="str">
        <f>"1551598693250589"</f>
        <v>1551598693250589</v>
      </c>
      <c r="C1968" t="s">
        <v>40</v>
      </c>
      <c r="D1968">
        <v>4.695665</v>
      </c>
      <c r="E1968">
        <v>0.62095359999999999</v>
      </c>
      <c r="F1968" t="s">
        <v>43</v>
      </c>
      <c r="G1968">
        <v>-223.9973</v>
      </c>
      <c r="H1968">
        <v>-0.05</v>
      </c>
      <c r="I1968">
        <v>265.42469999999997</v>
      </c>
      <c r="J1968">
        <v>-194.64429999999999</v>
      </c>
      <c r="K1968">
        <v>1.1160620000000001</v>
      </c>
      <c r="L1968">
        <v>291.96730000000002</v>
      </c>
      <c r="M1968">
        <v>-0.39491670000000001</v>
      </c>
      <c r="N1968">
        <v>-1.31702E-2</v>
      </c>
      <c r="O1968">
        <v>-0.91862259999999996</v>
      </c>
      <c r="P1968">
        <v>-0.50592859999999995</v>
      </c>
      <c r="Q1968">
        <v>-6.7107070000000005E-2</v>
      </c>
      <c r="R1968">
        <v>-0.85996139999999999</v>
      </c>
      <c r="S1968">
        <v>-2.3358759999999998</v>
      </c>
      <c r="T1968">
        <v>-9.2531680000000005E-2</v>
      </c>
      <c r="U1968">
        <v>-2.1202700000000001</v>
      </c>
      <c r="V1968">
        <v>0.12447080000000001</v>
      </c>
      <c r="W1968">
        <v>-5.5622249999999998E-2</v>
      </c>
      <c r="X1968">
        <v>0.99066299999999996</v>
      </c>
      <c r="Y1968">
        <v>0.41457490000000002</v>
      </c>
      <c r="Z1968">
        <v>1.8482709999999999E-2</v>
      </c>
      <c r="AA1968">
        <v>0.90982750000000001</v>
      </c>
      <c r="AB1968">
        <v>21</v>
      </c>
      <c r="AC1968">
        <v>-29.353000000000002</v>
      </c>
      <c r="AD1968">
        <v>-1.1660619999999999</v>
      </c>
      <c r="AE1968">
        <v>-26.5426</v>
      </c>
      <c r="AF1968">
        <v>16.469342960390598</v>
      </c>
      <c r="AG1968">
        <v>-1.1660619999999999</v>
      </c>
      <c r="AH1968">
        <v>35.946531159938502</v>
      </c>
      <c r="AI1968">
        <v>91.689213043274705</v>
      </c>
      <c r="AJ1968">
        <v>65.3845372292175</v>
      </c>
      <c r="AK1968">
        <v>39.556947058225298</v>
      </c>
      <c r="AL1968">
        <v>93.188565773858798</v>
      </c>
      <c r="AM1968">
        <v>82.838659250819106</v>
      </c>
      <c r="AN1968">
        <v>0.99999999715835097</v>
      </c>
    </row>
    <row r="1969" spans="1:40" x14ac:dyDescent="0.25">
      <c r="A1969" t="str">
        <f>"20190303153813277"</f>
        <v>20190303153813277</v>
      </c>
      <c r="B1969" t="str">
        <f>"1551598693271085"</f>
        <v>1551598693271085</v>
      </c>
      <c r="C1969" t="s">
        <v>40</v>
      </c>
      <c r="D1969">
        <v>4.7524170000000003</v>
      </c>
      <c r="E1969">
        <v>0.62149860000000001</v>
      </c>
      <c r="F1969" t="s">
        <v>43</v>
      </c>
      <c r="G1969">
        <v>-221.04429999999999</v>
      </c>
      <c r="H1969">
        <v>-0.05</v>
      </c>
      <c r="I1969">
        <v>268.42869999999999</v>
      </c>
      <c r="J1969">
        <v>-194.74299999999999</v>
      </c>
      <c r="K1969">
        <v>1.1160019999999999</v>
      </c>
      <c r="L1969">
        <v>291.76580000000001</v>
      </c>
      <c r="M1969">
        <v>-0.40352440000000001</v>
      </c>
      <c r="N1969">
        <v>-1.3333009999999999E-2</v>
      </c>
      <c r="O1969">
        <v>-0.91487169999999896</v>
      </c>
      <c r="P1969">
        <v>-0.51846649999999905</v>
      </c>
      <c r="Q1969">
        <v>-6.4103519999999997E-2</v>
      </c>
      <c r="R1969">
        <v>-0.85269200000000001</v>
      </c>
      <c r="S1969">
        <v>-2.3517299999999999</v>
      </c>
      <c r="T1969">
        <v>-0.1038738</v>
      </c>
      <c r="U1969">
        <v>-2.096832</v>
      </c>
      <c r="V1969">
        <v>0.1296022</v>
      </c>
      <c r="W1969">
        <v>-5.2558140000000003E-2</v>
      </c>
      <c r="X1969">
        <v>0.9901721</v>
      </c>
      <c r="Y1969">
        <v>0.41405219999999998</v>
      </c>
      <c r="Z1969">
        <v>2.2002859999999999E-2</v>
      </c>
      <c r="AA1969">
        <v>0.9099872</v>
      </c>
      <c r="AB1969">
        <v>21</v>
      </c>
      <c r="AC1969">
        <v>-26.301300000000001</v>
      </c>
      <c r="AD1969">
        <v>-1.166002</v>
      </c>
      <c r="AE1969">
        <v>-23.3371</v>
      </c>
      <c r="AF1969">
        <v>14.63044004006</v>
      </c>
      <c r="AG1969">
        <v>-1.166002</v>
      </c>
      <c r="AH1969">
        <v>31.9313983327675</v>
      </c>
      <c r="AI1969">
        <v>91.901358559853307</v>
      </c>
      <c r="AJ1969">
        <v>65.383529815059504</v>
      </c>
      <c r="AK1969">
        <v>35.142901643371196</v>
      </c>
      <c r="AL1969">
        <v>93.012747923256796</v>
      </c>
      <c r="AM1969">
        <v>82.543028943527005</v>
      </c>
      <c r="AN1969">
        <v>0.99999993797175202</v>
      </c>
    </row>
    <row r="1970" spans="1:40" x14ac:dyDescent="0.25">
      <c r="A1970" t="str">
        <f>"20190303153813303"</f>
        <v>20190303153813303</v>
      </c>
      <c r="B1970" t="str">
        <f>"1551598693290605"</f>
        <v>1551598693290605</v>
      </c>
      <c r="C1970" t="s">
        <v>40</v>
      </c>
      <c r="D1970">
        <v>4.9477379999999904</v>
      </c>
      <c r="E1970">
        <v>0.61817129999999998</v>
      </c>
      <c r="F1970" t="s">
        <v>43</v>
      </c>
      <c r="G1970">
        <v>-221.3612</v>
      </c>
      <c r="H1970">
        <v>-0.05</v>
      </c>
      <c r="I1970">
        <v>268.78390000000002</v>
      </c>
      <c r="J1970">
        <v>-194.8494</v>
      </c>
      <c r="K1970">
        <v>1.115934</v>
      </c>
      <c r="L1970">
        <v>291.55430000000001</v>
      </c>
      <c r="M1970">
        <v>-0.41280699999999998</v>
      </c>
      <c r="N1970">
        <v>-1.348684E-2</v>
      </c>
      <c r="O1970">
        <v>-0.91071869999999999</v>
      </c>
      <c r="P1970">
        <v>-0.53293590000000002</v>
      </c>
      <c r="Q1970">
        <v>-5.943938E-2</v>
      </c>
      <c r="R1970">
        <v>-0.84406539999999997</v>
      </c>
      <c r="S1970">
        <v>-2.3857270000000002</v>
      </c>
      <c r="T1970">
        <v>-0.1045063</v>
      </c>
      <c r="U1970">
        <v>-2.0598139999999998</v>
      </c>
      <c r="V1970">
        <v>0.1363221</v>
      </c>
      <c r="W1970">
        <v>-4.7868969999999997E-2</v>
      </c>
      <c r="X1970">
        <v>0.98950740000000004</v>
      </c>
      <c r="Y1970">
        <v>0.41929240000000001</v>
      </c>
      <c r="Z1970">
        <v>2.2134979999999999E-2</v>
      </c>
      <c r="AA1970">
        <v>0.90758130000000004</v>
      </c>
      <c r="AB1970">
        <v>21</v>
      </c>
      <c r="AC1970">
        <v>-26.511799999999901</v>
      </c>
      <c r="AD1970">
        <v>-1.165934</v>
      </c>
      <c r="AE1970">
        <v>-22.770399999999899</v>
      </c>
      <c r="AF1970">
        <v>14.729957548979201</v>
      </c>
      <c r="AG1970">
        <v>-1.165934</v>
      </c>
      <c r="AH1970">
        <v>31.6493401859736</v>
      </c>
      <c r="AI1970">
        <v>91.912913233809505</v>
      </c>
      <c r="AJ1970">
        <v>65.042203725562402</v>
      </c>
      <c r="AK1970">
        <v>34.928667104465497</v>
      </c>
      <c r="AL1970">
        <v>92.743738417232507</v>
      </c>
      <c r="AM1970">
        <v>82.155873890372902</v>
      </c>
      <c r="AN1970">
        <v>1.0000000239460101</v>
      </c>
    </row>
    <row r="1971" spans="1:40" x14ac:dyDescent="0.25">
      <c r="A1971" t="str">
        <f>"20190303153813323"</f>
        <v>20190303153813323</v>
      </c>
      <c r="B1971" t="str">
        <f>"1551598693311102"</f>
        <v>1551598693311102</v>
      </c>
      <c r="C1971" t="s">
        <v>40</v>
      </c>
      <c r="D1971">
        <v>4.9393409999999998</v>
      </c>
      <c r="E1971">
        <v>0.61570179999999997</v>
      </c>
      <c r="F1971" t="s">
        <v>55</v>
      </c>
      <c r="G1971">
        <v>-212.50360000000001</v>
      </c>
      <c r="H1971">
        <v>8.0000730000000006E-2</v>
      </c>
      <c r="I1971">
        <v>276.59429999999998</v>
      </c>
      <c r="J1971">
        <v>-194.9384</v>
      </c>
      <c r="K1971">
        <v>1.1158699999999999</v>
      </c>
      <c r="L1971">
        <v>291.38170000000002</v>
      </c>
      <c r="M1971">
        <v>-0.42057660000000002</v>
      </c>
      <c r="N1971">
        <v>-1.360254E-2</v>
      </c>
      <c r="O1971">
        <v>-0.9071553</v>
      </c>
      <c r="P1971">
        <v>-0.54697600000000002</v>
      </c>
      <c r="Q1971">
        <v>-5.4788259999999998E-2</v>
      </c>
      <c r="R1971">
        <v>-0.83535380000000004</v>
      </c>
      <c r="S1971">
        <v>-2.39682</v>
      </c>
      <c r="T1971">
        <v>-0.1406432</v>
      </c>
      <c r="U1971">
        <v>-2.0310359999999998</v>
      </c>
      <c r="V1971">
        <v>0.14431759999999999</v>
      </c>
      <c r="W1971">
        <v>-4.3251409999999997E-2</v>
      </c>
      <c r="X1971">
        <v>0.98858570000000001</v>
      </c>
      <c r="Y1971">
        <v>0.41962850000000002</v>
      </c>
      <c r="Z1971">
        <v>3.3643609999999997E-2</v>
      </c>
      <c r="AA1971">
        <v>0.9070722</v>
      </c>
      <c r="AB1971">
        <v>21</v>
      </c>
      <c r="AC1971">
        <v>-17.565200000000001</v>
      </c>
      <c r="AD1971">
        <v>-1.0358692700000001</v>
      </c>
      <c r="AE1971">
        <v>-14.7874</v>
      </c>
      <c r="AF1971">
        <v>9.6962916107589301</v>
      </c>
      <c r="AG1971">
        <v>-1.0358692700000001</v>
      </c>
      <c r="AH1971">
        <v>20.761644024690899</v>
      </c>
      <c r="AI1971">
        <v>92.588367314822705</v>
      </c>
      <c r="AJ1971">
        <v>64.9660573082448</v>
      </c>
      <c r="AK1971">
        <v>22.937675530737401</v>
      </c>
      <c r="AL1971">
        <v>92.478896607174804</v>
      </c>
      <c r="AM1971">
        <v>81.694407797959499</v>
      </c>
      <c r="AN1971">
        <v>0.99999997019061804</v>
      </c>
    </row>
    <row r="1972" spans="1:40" x14ac:dyDescent="0.25">
      <c r="A1972" t="str">
        <f>"20190303153813344"</f>
        <v>20190303153813344</v>
      </c>
      <c r="B1972" t="str">
        <f>"1551598693340381"</f>
        <v>1551598693340381</v>
      </c>
      <c r="C1972" t="s">
        <v>40</v>
      </c>
      <c r="D1972">
        <v>5.0017170000000002</v>
      </c>
      <c r="E1972">
        <v>0.61630479999999999</v>
      </c>
      <c r="F1972" t="s">
        <v>55</v>
      </c>
      <c r="G1972">
        <v>-211.13800000000001</v>
      </c>
      <c r="H1972">
        <v>8.0001130000000004E-2</v>
      </c>
      <c r="I1972">
        <v>277.94850000000002</v>
      </c>
      <c r="J1972">
        <v>-195.0316</v>
      </c>
      <c r="K1972">
        <v>1.1157919999999999</v>
      </c>
      <c r="L1972">
        <v>291.20549999999997</v>
      </c>
      <c r="M1972">
        <v>-0.42870409999999998</v>
      </c>
      <c r="N1972">
        <v>-1.3713339999999999E-2</v>
      </c>
      <c r="O1972">
        <v>-0.9033409</v>
      </c>
      <c r="P1972">
        <v>-0.56223330000000005</v>
      </c>
      <c r="Q1972">
        <v>-5.0730079999999997E-2</v>
      </c>
      <c r="R1972">
        <v>-0.82542150000000003</v>
      </c>
      <c r="S1972">
        <v>-2.4131619999999998</v>
      </c>
      <c r="T1972">
        <v>-0.154308</v>
      </c>
      <c r="U1972">
        <v>-2.0010680000000001</v>
      </c>
      <c r="V1972">
        <v>0.153527</v>
      </c>
      <c r="W1972">
        <v>-3.9262690000000003E-2</v>
      </c>
      <c r="X1972">
        <v>0.98736409999999997</v>
      </c>
      <c r="Y1972">
        <v>0.42101</v>
      </c>
      <c r="Z1972">
        <v>3.7995519999999998E-2</v>
      </c>
      <c r="AA1972">
        <v>0.90625990000000001</v>
      </c>
      <c r="AB1972">
        <v>21</v>
      </c>
      <c r="AC1972">
        <v>-16.106400000000001</v>
      </c>
      <c r="AD1972">
        <v>-1.03579087</v>
      </c>
      <c r="AE1972">
        <v>-13.2569999999999</v>
      </c>
      <c r="AF1972">
        <v>8.8452659187355298</v>
      </c>
      <c r="AG1972">
        <v>-1.03579087</v>
      </c>
      <c r="AH1972">
        <v>18.8358069777554</v>
      </c>
      <c r="AI1972">
        <v>92.849569562700097</v>
      </c>
      <c r="AJ1972">
        <v>64.845322389443893</v>
      </c>
      <c r="AK1972">
        <v>20.8350477897887</v>
      </c>
      <c r="AL1972">
        <v>92.250164848879805</v>
      </c>
      <c r="AM1972">
        <v>81.161753294332101</v>
      </c>
      <c r="AN1972">
        <v>0.99999998226192199</v>
      </c>
    </row>
    <row r="1973" spans="1:40" x14ac:dyDescent="0.25">
      <c r="A1973" t="str">
        <f>"20190303153813366"</f>
        <v>20190303153813366</v>
      </c>
      <c r="B1973" t="str">
        <f>"1551598693360877"</f>
        <v>1551598693360877</v>
      </c>
      <c r="C1973" t="s">
        <v>40</v>
      </c>
      <c r="D1973">
        <v>4.8748899999999997</v>
      </c>
      <c r="E1973">
        <v>0.65907930000000003</v>
      </c>
      <c r="F1973" t="s">
        <v>55</v>
      </c>
      <c r="G1973">
        <v>-212.87020000000001</v>
      </c>
      <c r="H1973">
        <v>8.0000619999999995E-2</v>
      </c>
      <c r="I1973">
        <v>276.99509999999998</v>
      </c>
      <c r="J1973">
        <v>-195.1326</v>
      </c>
      <c r="K1973">
        <v>1.115686</v>
      </c>
      <c r="L1973">
        <v>291.01900000000001</v>
      </c>
      <c r="M1973">
        <v>-0.43753880000000001</v>
      </c>
      <c r="N1973">
        <v>-1.3823759999999999E-2</v>
      </c>
      <c r="O1973">
        <v>-0.89909349999999999</v>
      </c>
      <c r="P1973">
        <v>-0.57785580000000003</v>
      </c>
      <c r="Q1973">
        <v>-4.8036299999999997E-2</v>
      </c>
      <c r="R1973">
        <v>-0.81472460000000002</v>
      </c>
      <c r="S1973">
        <v>-2.453522</v>
      </c>
      <c r="T1973">
        <v>-0.1424627</v>
      </c>
      <c r="U1973">
        <v>-1.9544980000000001</v>
      </c>
      <c r="V1973">
        <v>0.1625983</v>
      </c>
      <c r="W1973">
        <v>-3.6654689999999997E-2</v>
      </c>
      <c r="X1973">
        <v>0.98601130000000003</v>
      </c>
      <c r="Y1973">
        <v>0.43001889999999998</v>
      </c>
      <c r="Z1973">
        <v>3.4233199999999998E-2</v>
      </c>
      <c r="AA1973">
        <v>0.90217069999999999</v>
      </c>
      <c r="AB1973">
        <v>21</v>
      </c>
      <c r="AC1973">
        <v>-17.7376</v>
      </c>
      <c r="AD1973">
        <v>-1.0356853800000001</v>
      </c>
      <c r="AE1973">
        <v>-14.023899999999999</v>
      </c>
      <c r="AF1973">
        <v>9.7921530202182208</v>
      </c>
      <c r="AG1973">
        <v>-1.0356853800000001</v>
      </c>
      <c r="AH1973">
        <v>20.328979509044199</v>
      </c>
      <c r="AI1973">
        <v>92.627975659896606</v>
      </c>
      <c r="AJ1973">
        <v>64.280606976729999</v>
      </c>
      <c r="AK1973">
        <v>22.588189676396301</v>
      </c>
      <c r="AL1973">
        <v>92.100629544647106</v>
      </c>
      <c r="AM1973">
        <v>80.635907793646993</v>
      </c>
      <c r="AN1973">
        <v>1.0000000285947801</v>
      </c>
    </row>
    <row r="1974" spans="1:40" x14ac:dyDescent="0.25">
      <c r="A1974" t="str">
        <f>"20190303153813389"</f>
        <v>20190303153813389</v>
      </c>
      <c r="B1974" t="str">
        <f>"1551598693380397"</f>
        <v>1551598693380397</v>
      </c>
      <c r="C1974" t="s">
        <v>40</v>
      </c>
      <c r="D1974">
        <v>4.8674920000000004</v>
      </c>
      <c r="E1974">
        <v>0.71792819999999902</v>
      </c>
      <c r="F1974" t="s">
        <v>55</v>
      </c>
      <c r="G1974">
        <v>-211.649</v>
      </c>
      <c r="H1974" s="1">
        <v>-6.5929119999999898E-7</v>
      </c>
      <c r="I1974">
        <v>280.8218</v>
      </c>
      <c r="J1974">
        <v>-195.2364</v>
      </c>
      <c r="K1974">
        <v>1.1155389999999901</v>
      </c>
      <c r="L1974">
        <v>290.83260000000001</v>
      </c>
      <c r="M1974">
        <v>-0.44663170000000002</v>
      </c>
      <c r="N1974">
        <v>-1.39282E-2</v>
      </c>
      <c r="O1974">
        <v>-0.8946096</v>
      </c>
      <c r="P1974">
        <v>-0.59349890000000005</v>
      </c>
      <c r="Q1974">
        <v>-4.7775909999999998E-2</v>
      </c>
      <c r="R1974">
        <v>-0.80341600000000002</v>
      </c>
      <c r="S1974">
        <v>-2.767242</v>
      </c>
      <c r="T1974">
        <v>-0.1869287</v>
      </c>
      <c r="U1974">
        <v>-1.708496</v>
      </c>
      <c r="V1974">
        <v>0.1716356</v>
      </c>
      <c r="W1974">
        <v>-3.6502229999999997E-2</v>
      </c>
      <c r="X1974">
        <v>0.98448400000000003</v>
      </c>
      <c r="Y1974">
        <v>0.52538589999999996</v>
      </c>
      <c r="Z1974">
        <v>4.79529E-2</v>
      </c>
      <c r="AA1974">
        <v>0.84951169999999998</v>
      </c>
      <c r="AB1974">
        <v>21</v>
      </c>
      <c r="AC1974">
        <v>-16.412599999999902</v>
      </c>
      <c r="AD1974">
        <v>-1.1155396592911999</v>
      </c>
      <c r="AE1974">
        <v>-10.0108</v>
      </c>
      <c r="AF1974">
        <v>10.1784470970142</v>
      </c>
      <c r="AG1974">
        <v>-1.1155396592911999</v>
      </c>
      <c r="AH1974">
        <v>16.233065841607001</v>
      </c>
      <c r="AI1974">
        <v>93.332097034365205</v>
      </c>
      <c r="AJ1974">
        <v>57.911490340039599</v>
      </c>
      <c r="AK1974">
        <v>19.192645483521002</v>
      </c>
      <c r="AL1974">
        <v>92.091888505090793</v>
      </c>
      <c r="AM1974">
        <v>80.110412890398806</v>
      </c>
      <c r="AN1974">
        <v>0.999999969119165</v>
      </c>
    </row>
    <row r="1975" spans="1:40" x14ac:dyDescent="0.25">
      <c r="A1975" t="str">
        <f>"20190303153813412"</f>
        <v>20190303153813412</v>
      </c>
      <c r="B1975" t="str">
        <f>"1551598693400893"</f>
        <v>1551598693400893</v>
      </c>
      <c r="C1975" t="s">
        <v>40</v>
      </c>
      <c r="D1975">
        <v>4.8017940000000001</v>
      </c>
      <c r="E1975">
        <v>0.72010839999999998</v>
      </c>
      <c r="F1975" t="s">
        <v>56</v>
      </c>
      <c r="G1975">
        <v>-245.6515</v>
      </c>
      <c r="H1975">
        <v>0.40638829999999998</v>
      </c>
      <c r="I1975">
        <v>268.94150000000002</v>
      </c>
      <c r="J1975">
        <v>-195.34469999999999</v>
      </c>
      <c r="K1975">
        <v>1.1153649999999999</v>
      </c>
      <c r="L1975">
        <v>290.6438</v>
      </c>
      <c r="M1975">
        <v>-0.45617429999999898</v>
      </c>
      <c r="N1975">
        <v>-1.403006E-2</v>
      </c>
      <c r="O1975">
        <v>-0.88977989999999996</v>
      </c>
      <c r="P1975">
        <v>-0.60936999999999997</v>
      </c>
      <c r="Q1975">
        <v>-4.7720890000000002E-2</v>
      </c>
      <c r="R1975">
        <v>-0.7914485</v>
      </c>
      <c r="S1975">
        <v>-3.181244</v>
      </c>
      <c r="T1975">
        <v>-4.4747950000000002E-2</v>
      </c>
      <c r="U1975">
        <v>-1.381348</v>
      </c>
      <c r="V1975">
        <v>0.18066989999999999</v>
      </c>
      <c r="W1975">
        <v>-3.6575000000000003E-2</v>
      </c>
      <c r="X1975">
        <v>0.9828635</v>
      </c>
      <c r="Y1975">
        <v>0.63444049999999996</v>
      </c>
      <c r="Z1975">
        <v>3.393007E-3</v>
      </c>
      <c r="AA1975">
        <v>0.77296430000000005</v>
      </c>
      <c r="AB1975">
        <v>21</v>
      </c>
      <c r="AC1975">
        <v>-50.306800000000003</v>
      </c>
      <c r="AD1975">
        <v>-0.70897670000000002</v>
      </c>
      <c r="AE1975">
        <v>-21.702299999999902</v>
      </c>
      <c r="AF1975">
        <v>34.859540535969899</v>
      </c>
      <c r="AG1975">
        <v>-0.70897670000000002</v>
      </c>
      <c r="AH1975">
        <v>42.256021365941699</v>
      </c>
      <c r="AI1975">
        <v>90.7415062154016</v>
      </c>
      <c r="AJ1975">
        <v>50.478721823804399</v>
      </c>
      <c r="AK1975">
        <v>54.783770918210699</v>
      </c>
      <c r="AL1975">
        <v>92.096060637189495</v>
      </c>
      <c r="AM1975">
        <v>79.584171169676694</v>
      </c>
      <c r="AN1975">
        <v>1.0000000015116299</v>
      </c>
    </row>
    <row r="1976" spans="1:40" x14ac:dyDescent="0.25">
      <c r="A1976" t="str">
        <f>"20190303153813433"</f>
        <v>20190303153813433</v>
      </c>
      <c r="B1976" t="str">
        <f>"1551598693431149"</f>
        <v>1551598693431149</v>
      </c>
      <c r="C1976" t="s">
        <v>40</v>
      </c>
      <c r="D1976">
        <v>4.9371460000000003</v>
      </c>
      <c r="E1976">
        <v>0.71489399999999903</v>
      </c>
      <c r="F1976" t="s">
        <v>56</v>
      </c>
      <c r="G1976">
        <v>-249.03479999999999</v>
      </c>
      <c r="H1976">
        <v>0.5196326</v>
      </c>
      <c r="I1976">
        <v>268.85500000000002</v>
      </c>
      <c r="J1976">
        <v>-195.4444</v>
      </c>
      <c r="K1976">
        <v>1.115202</v>
      </c>
      <c r="L1976">
        <v>290.47449999999998</v>
      </c>
      <c r="M1976">
        <v>-0.46500750000000002</v>
      </c>
      <c r="N1976">
        <v>-1.411955E-2</v>
      </c>
      <c r="O1976">
        <v>-0.88519409999999898</v>
      </c>
      <c r="P1976">
        <v>-0.62348319999999902</v>
      </c>
      <c r="Q1976">
        <v>-4.7789350000000001E-2</v>
      </c>
      <c r="R1976">
        <v>-0.78037489999999998</v>
      </c>
      <c r="S1976">
        <v>-3.2220460000000002</v>
      </c>
      <c r="T1976">
        <v>-3.5750869999999997E-2</v>
      </c>
      <c r="U1976">
        <v>-1.3075870000000001</v>
      </c>
      <c r="V1976">
        <v>0.18851190000000001</v>
      </c>
      <c r="W1976">
        <v>-3.6768410000000001E-2</v>
      </c>
      <c r="X1976">
        <v>0.98138239999999999</v>
      </c>
      <c r="Y1976">
        <v>0.64534709999999995</v>
      </c>
      <c r="Z1976">
        <v>7.5389960000000003E-4</v>
      </c>
      <c r="AA1976">
        <v>0.76388909999999999</v>
      </c>
      <c r="AB1976">
        <v>21</v>
      </c>
      <c r="AC1976">
        <v>-53.590399999999903</v>
      </c>
      <c r="AD1976">
        <v>-0.59556940000000003</v>
      </c>
      <c r="AE1976">
        <v>-21.619499999999899</v>
      </c>
      <c r="AF1976">
        <v>37.384433664087503</v>
      </c>
      <c r="AG1976">
        <v>-0.59556940000000003</v>
      </c>
      <c r="AH1976">
        <v>44.057105887907198</v>
      </c>
      <c r="AI1976">
        <v>90.590548870818395</v>
      </c>
      <c r="AJ1976">
        <v>49.683898534662802</v>
      </c>
      <c r="AK1976">
        <v>57.783900547756701</v>
      </c>
      <c r="AL1976">
        <v>92.107149604855096</v>
      </c>
      <c r="AM1976">
        <v>79.126605352939904</v>
      </c>
      <c r="AN1976">
        <v>1.00000003372264</v>
      </c>
    </row>
    <row r="1977" spans="1:40" x14ac:dyDescent="0.25">
      <c r="A1977" t="str">
        <f>"20190303153813455"</f>
        <v>20190303153813455</v>
      </c>
      <c r="B1977" t="str">
        <f>"1551598693450669"</f>
        <v>1551598693450669</v>
      </c>
      <c r="C1977" t="s">
        <v>40</v>
      </c>
      <c r="D1977">
        <v>4.9522409999999999</v>
      </c>
      <c r="E1977">
        <v>0.71265049999999996</v>
      </c>
      <c r="F1977" t="s">
        <v>55</v>
      </c>
      <c r="G1977">
        <v>-234.4778</v>
      </c>
      <c r="H1977">
        <v>8.0000559999999998E-2</v>
      </c>
      <c r="I1977">
        <v>274.99259999999998</v>
      </c>
      <c r="J1977">
        <v>-195.5538</v>
      </c>
      <c r="K1977">
        <v>1.1150310000000001</v>
      </c>
      <c r="L1977">
        <v>290.29390000000001</v>
      </c>
      <c r="M1977">
        <v>-0.4747191</v>
      </c>
      <c r="N1977">
        <v>-1.421212E-2</v>
      </c>
      <c r="O1977">
        <v>-0.88002269999999905</v>
      </c>
      <c r="P1977">
        <v>-0.63699510000000004</v>
      </c>
      <c r="Q1977">
        <v>-4.8810430000000002E-2</v>
      </c>
      <c r="R1977">
        <v>-0.76932119999999904</v>
      </c>
      <c r="S1977">
        <v>-3.211014</v>
      </c>
      <c r="T1977">
        <v>-8.5158940000000002E-2</v>
      </c>
      <c r="U1977">
        <v>-1.27359</v>
      </c>
      <c r="V1977">
        <v>0.1948173</v>
      </c>
      <c r="W1977">
        <v>-3.78924E-2</v>
      </c>
      <c r="X1977">
        <v>0.98010739999999996</v>
      </c>
      <c r="Y1977">
        <v>0.6428218</v>
      </c>
      <c r="Z1977">
        <v>1.5901209999999999E-2</v>
      </c>
      <c r="AA1977">
        <v>0.76585080000000005</v>
      </c>
      <c r="AB1977">
        <v>21</v>
      </c>
      <c r="AC1977">
        <v>-38.923999999999999</v>
      </c>
      <c r="AD1977">
        <v>-1.0350304400000001</v>
      </c>
      <c r="AE1977">
        <v>-15.301299999999999</v>
      </c>
      <c r="AF1977">
        <v>26.9763867803544</v>
      </c>
      <c r="AG1977">
        <v>-1.0350304400000001</v>
      </c>
      <c r="AH1977">
        <v>31.927128036236098</v>
      </c>
      <c r="AI1977">
        <v>91.418509458435096</v>
      </c>
      <c r="AJ1977">
        <v>49.804322273465701</v>
      </c>
      <c r="AK1977">
        <v>41.810743073727103</v>
      </c>
      <c r="AL1977">
        <v>92.171594340945006</v>
      </c>
      <c r="AM1977">
        <v>78.757770766618094</v>
      </c>
      <c r="AN1977">
        <v>1.0000000649459</v>
      </c>
    </row>
    <row r="1978" spans="1:40" x14ac:dyDescent="0.25">
      <c r="A1978" t="str">
        <f>"20190303153813478"</f>
        <v>20190303153813478</v>
      </c>
      <c r="B1978" t="str">
        <f>"1551598693471166"</f>
        <v>1551598693471166</v>
      </c>
      <c r="C1978" t="s">
        <v>40</v>
      </c>
      <c r="D1978">
        <v>4.6213499999999996</v>
      </c>
      <c r="E1978">
        <v>0.71138040000000002</v>
      </c>
      <c r="F1978" t="s">
        <v>55</v>
      </c>
      <c r="G1978">
        <v>-226.82660000000001</v>
      </c>
      <c r="H1978">
        <v>8.0000920000000003E-2</v>
      </c>
      <c r="I1978">
        <v>278.36279999999999</v>
      </c>
      <c r="J1978">
        <v>-195.6678</v>
      </c>
      <c r="K1978">
        <v>1.114857</v>
      </c>
      <c r="L1978">
        <v>290.11099999999999</v>
      </c>
      <c r="M1978">
        <v>-0.48485600000000001</v>
      </c>
      <c r="N1978">
        <v>-1.430126E-2</v>
      </c>
      <c r="O1978">
        <v>-0.87447699999999995</v>
      </c>
      <c r="P1978">
        <v>-0.64958300000000002</v>
      </c>
      <c r="Q1978">
        <v>-5.175105E-2</v>
      </c>
      <c r="R1978">
        <v>-0.75852749999999902</v>
      </c>
      <c r="S1978">
        <v>-3.2184750000000002</v>
      </c>
      <c r="T1978">
        <v>-0.1065214</v>
      </c>
      <c r="U1978">
        <v>-1.227905</v>
      </c>
      <c r="V1978">
        <v>0.19966709999999999</v>
      </c>
      <c r="W1978">
        <v>-4.0917019999999998E-2</v>
      </c>
      <c r="X1978">
        <v>0.97900909999999997</v>
      </c>
      <c r="Y1978">
        <v>0.64387609999999995</v>
      </c>
      <c r="Z1978">
        <v>2.252788E-2</v>
      </c>
      <c r="AA1978">
        <v>0.76479799999999998</v>
      </c>
      <c r="AB1978">
        <v>21</v>
      </c>
      <c r="AC1978">
        <v>-31.158799999999999</v>
      </c>
      <c r="AD1978">
        <v>-1.03485608</v>
      </c>
      <c r="AE1978">
        <v>-11.748199999999899</v>
      </c>
      <c r="AF1978">
        <v>21.532878446860199</v>
      </c>
      <c r="AG1978">
        <v>-1.03485608</v>
      </c>
      <c r="AH1978">
        <v>25.359168185456799</v>
      </c>
      <c r="AI1978">
        <v>91.781711397138594</v>
      </c>
      <c r="AJ1978">
        <v>49.6648769529899</v>
      </c>
      <c r="AK1978">
        <v>33.283978013029802</v>
      </c>
      <c r="AL1978">
        <v>92.345027242408506</v>
      </c>
      <c r="AM1978">
        <v>78.472721440205305</v>
      </c>
      <c r="AN1978">
        <v>0.99999998561545</v>
      </c>
    </row>
    <row r="1979" spans="1:40" x14ac:dyDescent="0.25">
      <c r="A1979" t="str">
        <f>"20190303153813503"</f>
        <v>20190303153813503</v>
      </c>
      <c r="B1979" t="str">
        <f>"1551598693490685"</f>
        <v>1551598693490685</v>
      </c>
      <c r="C1979" t="s">
        <v>40</v>
      </c>
      <c r="D1979">
        <v>4.9590769999999997</v>
      </c>
      <c r="E1979">
        <v>0.70915229999999996</v>
      </c>
      <c r="F1979" t="s">
        <v>55</v>
      </c>
      <c r="G1979">
        <v>-224.38390000000001</v>
      </c>
      <c r="H1979">
        <v>3.0956109999999998E-2</v>
      </c>
      <c r="I1979">
        <v>279.61630000000002</v>
      </c>
      <c r="J1979">
        <v>-195.78809999999999</v>
      </c>
      <c r="K1979">
        <v>1.1146720000000001</v>
      </c>
      <c r="L1979">
        <v>289.92380000000003</v>
      </c>
      <c r="M1979">
        <v>-0.49557810000000002</v>
      </c>
      <c r="N1979">
        <v>-1.438974E-2</v>
      </c>
      <c r="O1979">
        <v>-0.86844409999999905</v>
      </c>
      <c r="P1979">
        <v>-0.662771</v>
      </c>
      <c r="Q1979">
        <v>-5.5078559999999999E-2</v>
      </c>
      <c r="R1979">
        <v>-0.7467937</v>
      </c>
      <c r="S1979">
        <v>-3.2301639999999998</v>
      </c>
      <c r="T1979">
        <v>-0.1219243</v>
      </c>
      <c r="U1979">
        <v>-1.1805110000000001</v>
      </c>
      <c r="V1979">
        <v>0.2048133</v>
      </c>
      <c r="W1979">
        <v>-4.4343809999999997E-2</v>
      </c>
      <c r="X1979">
        <v>0.97779609999999995</v>
      </c>
      <c r="Y1979">
        <v>0.64510149999999999</v>
      </c>
      <c r="Z1979">
        <v>2.7314629999999999E-2</v>
      </c>
      <c r="AA1979">
        <v>0.76360850000000002</v>
      </c>
      <c r="AB1979">
        <v>20</v>
      </c>
      <c r="AC1979">
        <v>-28.595800000000001</v>
      </c>
      <c r="AD1979">
        <v>-1.0837158899999999</v>
      </c>
      <c r="AE1979">
        <v>-10.307499999999999</v>
      </c>
      <c r="AF1979">
        <v>19.702682501640801</v>
      </c>
      <c r="AG1979">
        <v>-1.0837158899999999</v>
      </c>
      <c r="AH1979">
        <v>23.0959785837696</v>
      </c>
      <c r="AI1979">
        <v>92.044456012500703</v>
      </c>
      <c r="AJ1979">
        <v>49.533218626915499</v>
      </c>
      <c r="AK1979">
        <v>30.3775305881279</v>
      </c>
      <c r="AL1979">
        <v>92.541546468600899</v>
      </c>
      <c r="AM1979">
        <v>78.169625233428604</v>
      </c>
      <c r="AN1979">
        <v>1.0000000372586999</v>
      </c>
    </row>
    <row r="1980" spans="1:40" x14ac:dyDescent="0.25">
      <c r="A1980" t="str">
        <f>"20190303153813524"</f>
        <v>20190303153813524</v>
      </c>
      <c r="B1980" t="str">
        <f>"1551598693520943"</f>
        <v>1551598693520943</v>
      </c>
      <c r="C1980" t="s">
        <v>40</v>
      </c>
      <c r="D1980">
        <v>4.9374969999999996</v>
      </c>
      <c r="E1980">
        <v>0.70613729999999997</v>
      </c>
      <c r="F1980" t="s">
        <v>55</v>
      </c>
      <c r="G1980">
        <v>-221.3734</v>
      </c>
      <c r="H1980" s="1">
        <v>-8.0592080000000005E-7</v>
      </c>
      <c r="I1980">
        <v>280.95909999999998</v>
      </c>
      <c r="J1980">
        <v>-195.90360000000001</v>
      </c>
      <c r="K1980">
        <v>1.1144969999999901</v>
      </c>
      <c r="L1980">
        <v>289.74919999999997</v>
      </c>
      <c r="M1980">
        <v>-0.50591709999999901</v>
      </c>
      <c r="N1980">
        <v>-1.4474229999999999E-2</v>
      </c>
      <c r="O1980">
        <v>-0.86246069999999997</v>
      </c>
      <c r="P1980">
        <v>-0.67521169999999997</v>
      </c>
      <c r="Q1980">
        <v>-5.6858020000000002E-2</v>
      </c>
      <c r="R1980">
        <v>-0.73542949999999996</v>
      </c>
      <c r="S1980">
        <v>-3.2368009999999998</v>
      </c>
      <c r="T1980">
        <v>-0.14101720000000001</v>
      </c>
      <c r="U1980">
        <v>-1.134125</v>
      </c>
      <c r="V1980">
        <v>0.2095582</v>
      </c>
      <c r="W1980">
        <v>-4.6223809999999997E-2</v>
      </c>
      <c r="X1980">
        <v>0.97670299999999999</v>
      </c>
      <c r="Y1980">
        <v>0.64597969999999905</v>
      </c>
      <c r="Z1980">
        <v>3.3264309999999998E-2</v>
      </c>
      <c r="AA1980">
        <v>0.76262940000000001</v>
      </c>
      <c r="AB1980">
        <v>20</v>
      </c>
      <c r="AC1980">
        <v>-25.4697999999999</v>
      </c>
      <c r="AD1980">
        <v>-1.1144978059207999</v>
      </c>
      <c r="AE1980">
        <v>-8.79009999999999</v>
      </c>
      <c r="AF1980">
        <v>17.491547423048701</v>
      </c>
      <c r="AG1980">
        <v>-1.1144978059207999</v>
      </c>
      <c r="AH1980">
        <v>20.433905380125601</v>
      </c>
      <c r="AI1980">
        <v>92.372655136651701</v>
      </c>
      <c r="AJ1980">
        <v>49.436273150516499</v>
      </c>
      <c r="AK1980">
        <v>26.9210108594772</v>
      </c>
      <c r="AL1980">
        <v>92.649373217766595</v>
      </c>
      <c r="AM1980">
        <v>77.890397514944894</v>
      </c>
      <c r="AN1980">
        <v>1.0000000150035699</v>
      </c>
    </row>
    <row r="1981" spans="1:40" x14ac:dyDescent="0.25">
      <c r="A1981" t="str">
        <f>"20190303153813546"</f>
        <v>20190303153813546</v>
      </c>
      <c r="B1981" t="str">
        <f>"1551598693540461"</f>
        <v>1551598693540461</v>
      </c>
      <c r="C1981" t="s">
        <v>40</v>
      </c>
      <c r="D1981">
        <v>4.9618320000000002</v>
      </c>
      <c r="E1981">
        <v>0.70406279999999999</v>
      </c>
      <c r="F1981" t="s">
        <v>55</v>
      </c>
      <c r="G1981">
        <v>-218.88399999999999</v>
      </c>
      <c r="H1981" s="1">
        <v>3.1908469999999998E-6</v>
      </c>
      <c r="I1981">
        <v>281.97640000000001</v>
      </c>
      <c r="J1981">
        <v>-196.01220000000001</v>
      </c>
      <c r="K1981">
        <v>1.1143190000000001</v>
      </c>
      <c r="L1981">
        <v>289.5899</v>
      </c>
      <c r="M1981">
        <v>-0.51566869999999998</v>
      </c>
      <c r="N1981">
        <v>-1.45559E-2</v>
      </c>
      <c r="O1981">
        <v>-0.85666450000000005</v>
      </c>
      <c r="P1981">
        <v>-0.68713029999999997</v>
      </c>
      <c r="Q1981">
        <v>-5.6738919999999998E-2</v>
      </c>
      <c r="R1981">
        <v>-0.72431540000000005</v>
      </c>
      <c r="S1981">
        <v>-3.2372130000000001</v>
      </c>
      <c r="T1981">
        <v>-0.15699679999999999</v>
      </c>
      <c r="U1981">
        <v>-1.09494</v>
      </c>
      <c r="V1981">
        <v>0.214397</v>
      </c>
      <c r="W1981">
        <v>-4.6215329999999999E-2</v>
      </c>
      <c r="X1981">
        <v>0.97565259999999998</v>
      </c>
      <c r="Y1981">
        <v>0.64540430000000004</v>
      </c>
      <c r="Z1981">
        <v>3.8278E-2</v>
      </c>
      <c r="AA1981">
        <v>0.76288149999999999</v>
      </c>
      <c r="AB1981">
        <v>20</v>
      </c>
      <c r="AC1981">
        <v>-22.8718</v>
      </c>
      <c r="AD1981">
        <v>-1.1143158091529899</v>
      </c>
      <c r="AE1981">
        <v>-7.6134999999999797</v>
      </c>
      <c r="AF1981">
        <v>15.635663018628801</v>
      </c>
      <c r="AG1981">
        <v>-1.1143158091529899</v>
      </c>
      <c r="AH1981">
        <v>18.279365345386001</v>
      </c>
      <c r="AI1981">
        <v>92.652332066287002</v>
      </c>
      <c r="AJ1981">
        <v>49.457236425415097</v>
      </c>
      <c r="AK1981">
        <v>24.080092507811202</v>
      </c>
      <c r="AL1981">
        <v>92.648886967317594</v>
      </c>
      <c r="AM1981">
        <v>77.606393810548397</v>
      </c>
      <c r="AN1981">
        <v>0.99999996311138295</v>
      </c>
    </row>
    <row r="1982" spans="1:40" x14ac:dyDescent="0.25">
      <c r="A1982" t="str">
        <f>"20190303153813568"</f>
        <v>20190303153813568</v>
      </c>
      <c r="B1982" t="str">
        <f>"1551598693560957"</f>
        <v>1551598693560957</v>
      </c>
      <c r="C1982" t="s">
        <v>40</v>
      </c>
      <c r="D1982">
        <v>4.9066210000000003</v>
      </c>
      <c r="E1982">
        <v>0.70317959999999902</v>
      </c>
      <c r="F1982" t="s">
        <v>55</v>
      </c>
      <c r="G1982">
        <v>-218.21420000000001</v>
      </c>
      <c r="H1982" s="1">
        <v>2.8343929999999999E-6</v>
      </c>
      <c r="I1982">
        <v>282.37959999999998</v>
      </c>
      <c r="J1982">
        <v>-196.13829999999999</v>
      </c>
      <c r="K1982">
        <v>1.114096</v>
      </c>
      <c r="L1982">
        <v>289.41019999999997</v>
      </c>
      <c r="M1982">
        <v>-0.52702590000000005</v>
      </c>
      <c r="N1982">
        <v>-1.4652739999999999E-2</v>
      </c>
      <c r="O1982">
        <v>-0.84972300000000001</v>
      </c>
      <c r="P1982">
        <v>-0.70012459999999999</v>
      </c>
      <c r="Q1982">
        <v>-5.6836579999999998E-2</v>
      </c>
      <c r="R1982">
        <v>-0.71175519999999903</v>
      </c>
      <c r="S1982">
        <v>-3.2425229999999998</v>
      </c>
      <c r="T1982">
        <v>-0.16274169999999999</v>
      </c>
      <c r="U1982">
        <v>-1.05304</v>
      </c>
      <c r="V1982">
        <v>0.21903639999999999</v>
      </c>
      <c r="W1982">
        <v>-4.6434549999999998E-2</v>
      </c>
      <c r="X1982">
        <v>0.97461120000000001</v>
      </c>
      <c r="Y1982">
        <v>0.64442259999999996</v>
      </c>
      <c r="Z1982">
        <v>4.0092450000000002E-2</v>
      </c>
      <c r="AA1982">
        <v>0.76361780000000001</v>
      </c>
      <c r="AB1982">
        <v>20</v>
      </c>
      <c r="AC1982">
        <v>-22.075900000000001</v>
      </c>
      <c r="AD1982">
        <v>-1.1140931656069999</v>
      </c>
      <c r="AE1982">
        <v>-7.03059999999999</v>
      </c>
      <c r="AF1982">
        <v>15.019975334512999</v>
      </c>
      <c r="AG1982">
        <v>-1.1140931656069999</v>
      </c>
      <c r="AH1982">
        <v>17.569895125683502</v>
      </c>
      <c r="AI1982">
        <v>92.759403707591005</v>
      </c>
      <c r="AJ1982">
        <v>49.473862385815799</v>
      </c>
      <c r="AK1982">
        <v>23.141782069636498</v>
      </c>
      <c r="AL1982">
        <v>92.661460612034801</v>
      </c>
      <c r="AM1982">
        <v>77.333668851862598</v>
      </c>
      <c r="AN1982">
        <v>1.00000005156205</v>
      </c>
    </row>
    <row r="1983" spans="1:40" x14ac:dyDescent="0.25">
      <c r="A1983" t="str">
        <f>"20190303153813591"</f>
        <v>20190303153813591</v>
      </c>
      <c r="B1983" t="str">
        <f>"1551598693580477"</f>
        <v>1551598693580477</v>
      </c>
      <c r="C1983" t="s">
        <v>40</v>
      </c>
      <c r="D1983">
        <v>4.9183000000000003</v>
      </c>
      <c r="E1983">
        <v>0.68189</v>
      </c>
      <c r="F1983" t="s">
        <v>55</v>
      </c>
      <c r="G1983">
        <v>-218.4211</v>
      </c>
      <c r="H1983" s="1">
        <v>2.9445060000000001E-6</v>
      </c>
      <c r="I1983">
        <v>282.57229999999998</v>
      </c>
      <c r="J1983">
        <v>-196.2561</v>
      </c>
      <c r="K1983">
        <v>1.113882</v>
      </c>
      <c r="L1983">
        <v>289.24790000000002</v>
      </c>
      <c r="M1983">
        <v>-0.53767069999999995</v>
      </c>
      <c r="N1983">
        <v>-1.4744770000000001E-2</v>
      </c>
      <c r="O1983">
        <v>-0.84302589999999999</v>
      </c>
      <c r="P1983">
        <v>-0.71220859999999997</v>
      </c>
      <c r="Q1983">
        <v>-5.6921520000000003E-2</v>
      </c>
      <c r="R1983">
        <v>-0.69965650000000001</v>
      </c>
      <c r="S1983">
        <v>-3.2559360000000002</v>
      </c>
      <c r="T1983">
        <v>-0.16278960000000001</v>
      </c>
      <c r="U1983">
        <v>-0.99914550000000002</v>
      </c>
      <c r="V1983">
        <v>0.22343869999999999</v>
      </c>
      <c r="W1983">
        <v>-4.6641679999999998E-2</v>
      </c>
      <c r="X1983">
        <v>0.97360139999999995</v>
      </c>
      <c r="Y1983">
        <v>0.64722239999999998</v>
      </c>
      <c r="Z1983">
        <v>4.0189170000000003E-2</v>
      </c>
      <c r="AA1983">
        <v>0.7612411</v>
      </c>
      <c r="AB1983">
        <v>20</v>
      </c>
      <c r="AC1983">
        <v>-22.1649999999999</v>
      </c>
      <c r="AD1983">
        <v>-1.1138790554939999</v>
      </c>
      <c r="AE1983">
        <v>-6.6756000000000304</v>
      </c>
      <c r="AF1983">
        <v>15.0631591992179</v>
      </c>
      <c r="AG1983">
        <v>-1.1138790554939999</v>
      </c>
      <c r="AH1983">
        <v>17.5065483212455</v>
      </c>
      <c r="AI1983">
        <v>92.761256257513395</v>
      </c>
      <c r="AJ1983">
        <v>49.290309738225403</v>
      </c>
      <c r="AK1983">
        <v>23.1218235815291</v>
      </c>
      <c r="AL1983">
        <v>92.673341316584995</v>
      </c>
      <c r="AM1983">
        <v>77.074604738076999</v>
      </c>
      <c r="AN1983">
        <v>0.99999999252643601</v>
      </c>
    </row>
    <row r="1984" spans="1:40" x14ac:dyDescent="0.25">
      <c r="A1984" t="str">
        <f>"20190303153813612"</f>
        <v>20190303153813612</v>
      </c>
      <c r="B1984" t="str">
        <f>"1551598693600973"</f>
        <v>1551598693600973</v>
      </c>
      <c r="C1984" t="s">
        <v>40</v>
      </c>
      <c r="D1984">
        <v>4.9205540000000001</v>
      </c>
      <c r="E1984">
        <v>0.67983229999999994</v>
      </c>
      <c r="F1984" t="s">
        <v>55</v>
      </c>
      <c r="G1984">
        <v>-214.9332</v>
      </c>
      <c r="H1984" s="1">
        <v>1.088415E-6</v>
      </c>
      <c r="I1984">
        <v>282.94779999999997</v>
      </c>
      <c r="J1984">
        <v>-196.381</v>
      </c>
      <c r="K1984">
        <v>1.1136760000000001</v>
      </c>
      <c r="L1984">
        <v>289.08120000000002</v>
      </c>
      <c r="M1984">
        <v>-0.54897459999999998</v>
      </c>
      <c r="N1984">
        <v>-1.4841500000000001E-2</v>
      </c>
      <c r="O1984">
        <v>-0.83570719999999998</v>
      </c>
      <c r="P1984">
        <v>-0.72422739999999997</v>
      </c>
      <c r="Q1984">
        <v>-5.5114059999999999E-2</v>
      </c>
      <c r="R1984">
        <v>-0.68735500000000005</v>
      </c>
      <c r="S1984">
        <v>-3.1525569999999998</v>
      </c>
      <c r="T1984">
        <v>-0.1880145</v>
      </c>
      <c r="U1984">
        <v>-1.0634159999999999</v>
      </c>
      <c r="V1984">
        <v>0.22712499999999999</v>
      </c>
      <c r="W1984">
        <v>-4.494124E-2</v>
      </c>
      <c r="X1984">
        <v>0.97282809999999997</v>
      </c>
      <c r="Y1984">
        <v>0.61502040000000002</v>
      </c>
      <c r="Z1984">
        <v>4.8246589999999999E-2</v>
      </c>
      <c r="AA1984">
        <v>0.78703380000000001</v>
      </c>
      <c r="AB1984">
        <v>20</v>
      </c>
      <c r="AC1984">
        <v>-18.552199999999999</v>
      </c>
      <c r="AD1984">
        <v>-1.113674911585</v>
      </c>
      <c r="AE1984">
        <v>-6.1334000000000497</v>
      </c>
      <c r="AF1984">
        <v>12.099160152984901</v>
      </c>
      <c r="AG1984">
        <v>-1.113674911585</v>
      </c>
      <c r="AH1984">
        <v>15.262520603234099</v>
      </c>
      <c r="AI1984">
        <v>93.272633774391096</v>
      </c>
      <c r="AJ1984">
        <v>51.594846405429699</v>
      </c>
      <c r="AK1984">
        <v>19.508318312463999</v>
      </c>
      <c r="AL1984">
        <v>92.5758109513812</v>
      </c>
      <c r="AM1984">
        <v>76.858617515554101</v>
      </c>
      <c r="AN1984">
        <v>0.99999999641367299</v>
      </c>
    </row>
    <row r="1985" spans="1:40" x14ac:dyDescent="0.25">
      <c r="A1985" t="str">
        <f>"20190303153813635"</f>
        <v>20190303153813635</v>
      </c>
      <c r="B1985" t="str">
        <f>"1551598693631229"</f>
        <v>1551598693631229</v>
      </c>
      <c r="C1985" t="s">
        <v>40</v>
      </c>
      <c r="D1985">
        <v>4.9939519999999904</v>
      </c>
      <c r="E1985">
        <v>0.67806069999999996</v>
      </c>
      <c r="F1985" t="s">
        <v>55</v>
      </c>
      <c r="G1985">
        <v>-215.9967</v>
      </c>
      <c r="H1985" s="1">
        <v>1.654378E-6</v>
      </c>
      <c r="I1985">
        <v>282.74220000000003</v>
      </c>
      <c r="J1985">
        <v>-196.5059</v>
      </c>
      <c r="K1985">
        <v>1.1135139999999999</v>
      </c>
      <c r="L1985">
        <v>288.92</v>
      </c>
      <c r="M1985">
        <v>-0.56022019999999995</v>
      </c>
      <c r="N1985">
        <v>-1.493273E-2</v>
      </c>
      <c r="O1985">
        <v>-0.82820930000000004</v>
      </c>
      <c r="P1985">
        <v>-0.73511800000000005</v>
      </c>
      <c r="Q1985">
        <v>-5.3280979999999999E-2</v>
      </c>
      <c r="R1985">
        <v>-0.67584259999999996</v>
      </c>
      <c r="S1985">
        <v>-3.1596069999999998</v>
      </c>
      <c r="T1985">
        <v>-0.1793855</v>
      </c>
      <c r="U1985">
        <v>-1.0210570000000001</v>
      </c>
      <c r="V1985">
        <v>0.22945080000000001</v>
      </c>
      <c r="W1985">
        <v>-4.3173370000000003E-2</v>
      </c>
      <c r="X1985">
        <v>0.97236230000000001</v>
      </c>
      <c r="Y1985">
        <v>0.61455569999999904</v>
      </c>
      <c r="Z1985">
        <v>4.5608330000000002E-2</v>
      </c>
      <c r="AA1985">
        <v>0.78755399999999998</v>
      </c>
      <c r="AB1985">
        <v>20</v>
      </c>
      <c r="AC1985">
        <v>-19.4908</v>
      </c>
      <c r="AD1985">
        <v>-1.113512345622</v>
      </c>
      <c r="AE1985">
        <v>-6.1777999999999897</v>
      </c>
      <c r="AF1985">
        <v>12.6454406981935</v>
      </c>
      <c r="AG1985">
        <v>-1.113512345622</v>
      </c>
      <c r="AH1985">
        <v>15.9900123947289</v>
      </c>
      <c r="AI1985">
        <v>93.126475239853207</v>
      </c>
      <c r="AJ1985">
        <v>51.661864615990801</v>
      </c>
      <c r="AK1985">
        <v>20.4163556145303</v>
      </c>
      <c r="AL1985">
        <v>92.474420925708301</v>
      </c>
      <c r="AM1985">
        <v>76.722654139739902</v>
      </c>
      <c r="AN1985">
        <v>1.0000000259795401</v>
      </c>
    </row>
    <row r="1986" spans="1:40" x14ac:dyDescent="0.25">
      <c r="A1986" t="str">
        <f>"20190303153813657"</f>
        <v>20190303153813657</v>
      </c>
      <c r="B1986" t="str">
        <f>"1551598693650749"</f>
        <v>1551598693650749</v>
      </c>
      <c r="C1986" t="s">
        <v>40</v>
      </c>
      <c r="D1986">
        <v>4.9493669999999996</v>
      </c>
      <c r="E1986">
        <v>0.67676309999999995</v>
      </c>
      <c r="F1986" t="s">
        <v>55</v>
      </c>
      <c r="G1986">
        <v>-217.23580000000001</v>
      </c>
      <c r="H1986" s="1">
        <v>2.3137540000000002E-6</v>
      </c>
      <c r="I1986">
        <v>282.49189999999999</v>
      </c>
      <c r="J1986">
        <v>-196.63509999999999</v>
      </c>
      <c r="K1986">
        <v>1.1133690000000001</v>
      </c>
      <c r="L1986">
        <v>288.75830000000002</v>
      </c>
      <c r="M1986">
        <v>-0.57178569999999995</v>
      </c>
      <c r="N1986">
        <v>-1.501914E-2</v>
      </c>
      <c r="O1986">
        <v>-0.82026569999999899</v>
      </c>
      <c r="P1986">
        <v>-0.74616749999999998</v>
      </c>
      <c r="Q1986">
        <v>-5.1781359999999999E-2</v>
      </c>
      <c r="R1986">
        <v>-0.66374180000000005</v>
      </c>
      <c r="S1986">
        <v>-3.1660460000000001</v>
      </c>
      <c r="T1986">
        <v>-0.17006459999999901</v>
      </c>
      <c r="U1986">
        <v>-0.98175049999999997</v>
      </c>
      <c r="V1986">
        <v>0.23179230000000001</v>
      </c>
      <c r="W1986">
        <v>-4.1728250000000001E-2</v>
      </c>
      <c r="X1986">
        <v>0.97186989999999995</v>
      </c>
      <c r="Y1986">
        <v>0.61299369999999997</v>
      </c>
      <c r="Z1986">
        <v>4.2718890000000002E-2</v>
      </c>
      <c r="AA1986">
        <v>0.78893210000000003</v>
      </c>
      <c r="AB1986">
        <v>20</v>
      </c>
      <c r="AC1986">
        <v>-20.6007</v>
      </c>
      <c r="AD1986">
        <v>-1.1133666862459899</v>
      </c>
      <c r="AE1986">
        <v>-6.2664000000000302</v>
      </c>
      <c r="AF1986">
        <v>13.281003103867199</v>
      </c>
      <c r="AG1986">
        <v>-1.1133666862459899</v>
      </c>
      <c r="AH1986">
        <v>16.876086691434001</v>
      </c>
      <c r="AI1986">
        <v>92.967792379502797</v>
      </c>
      <c r="AJ1986">
        <v>51.798254744192697</v>
      </c>
      <c r="AK1986">
        <v>21.504114277034699</v>
      </c>
      <c r="AL1986">
        <v>92.391546976209398</v>
      </c>
      <c r="AM1986">
        <v>76.585483135405795</v>
      </c>
      <c r="AN1986">
        <v>1.0000000098566799</v>
      </c>
    </row>
    <row r="1987" spans="1:40" x14ac:dyDescent="0.25">
      <c r="A1987" t="str">
        <f>"20190303153813680"</f>
        <v>20190303153813680</v>
      </c>
      <c r="B1987" t="str">
        <f>"1551598693671245"</f>
        <v>1551598693671245</v>
      </c>
      <c r="C1987" t="s">
        <v>40</v>
      </c>
      <c r="D1987">
        <v>5.0925089999999997</v>
      </c>
      <c r="E1987">
        <v>0.70230950000000003</v>
      </c>
      <c r="F1987" t="s">
        <v>55</v>
      </c>
      <c r="G1987">
        <v>-217.74789999999999</v>
      </c>
      <c r="H1987" s="1">
        <v>2.58625E-6</v>
      </c>
      <c r="I1987">
        <v>282.52499999999998</v>
      </c>
      <c r="J1987">
        <v>-196.77199999999999</v>
      </c>
      <c r="K1987">
        <v>1.113248</v>
      </c>
      <c r="L1987">
        <v>288.59249999999997</v>
      </c>
      <c r="M1987">
        <v>-0.58395799999999998</v>
      </c>
      <c r="N1987">
        <v>-1.510332E-2</v>
      </c>
      <c r="O1987">
        <v>-0.81164340000000001</v>
      </c>
      <c r="P1987">
        <v>-0.75852569999999997</v>
      </c>
      <c r="Q1987">
        <v>-5.0619280000000003E-2</v>
      </c>
      <c r="R1987">
        <v>-0.64967439999999999</v>
      </c>
      <c r="S1987">
        <v>-3.1750949999999998</v>
      </c>
      <c r="T1987">
        <v>-0.1674358</v>
      </c>
      <c r="U1987">
        <v>-0.93740840000000003</v>
      </c>
      <c r="V1987">
        <v>0.23553560000000001</v>
      </c>
      <c r="W1987">
        <v>-4.0646149999999999E-2</v>
      </c>
      <c r="X1987">
        <v>0.97101539999999997</v>
      </c>
      <c r="Y1987">
        <v>0.61198439999999998</v>
      </c>
      <c r="Z1987">
        <v>4.1868269999999999E-2</v>
      </c>
      <c r="AA1987">
        <v>0.78976080000000004</v>
      </c>
      <c r="AB1987">
        <v>20</v>
      </c>
      <c r="AC1987">
        <v>-20.9758999999999</v>
      </c>
      <c r="AD1987">
        <v>-1.1132454137500001</v>
      </c>
      <c r="AE1987">
        <v>-6.0674999999999901</v>
      </c>
      <c r="AF1987">
        <v>13.448367866075399</v>
      </c>
      <c r="AG1987">
        <v>-1.1132454137500001</v>
      </c>
      <c r="AH1987">
        <v>17.131121926789699</v>
      </c>
      <c r="AI1987">
        <v>92.926130167327301</v>
      </c>
      <c r="AJ1987">
        <v>51.867181709723901</v>
      </c>
      <c r="AK1987">
        <v>21.8076420569272</v>
      </c>
      <c r="AL1987">
        <v>92.329494537715803</v>
      </c>
      <c r="AM1987">
        <v>76.365318596263194</v>
      </c>
      <c r="AN1987">
        <v>1.00000001770717</v>
      </c>
    </row>
    <row r="1988" spans="1:40" x14ac:dyDescent="0.25">
      <c r="A1988" t="str">
        <f>"20190303153813704"</f>
        <v>20190303153813704</v>
      </c>
      <c r="B1988" t="str">
        <f>"1551598693700525"</f>
        <v>1551598693700525</v>
      </c>
      <c r="C1988" t="s">
        <v>40</v>
      </c>
      <c r="D1988">
        <v>5.0632359999999998</v>
      </c>
      <c r="E1988">
        <v>0.719611</v>
      </c>
      <c r="F1988" t="s">
        <v>55</v>
      </c>
      <c r="G1988">
        <v>-223.47800000000001</v>
      </c>
      <c r="H1988" s="1">
        <v>3.1402860000000002E-7</v>
      </c>
      <c r="I1988">
        <v>282.77809999999999</v>
      </c>
      <c r="J1988">
        <v>-196.91540000000001</v>
      </c>
      <c r="K1988">
        <v>1.1131409999999999</v>
      </c>
      <c r="L1988">
        <v>288.4246</v>
      </c>
      <c r="M1988">
        <v>-0.59659329999999999</v>
      </c>
      <c r="N1988">
        <v>-1.5188E-2</v>
      </c>
      <c r="O1988">
        <v>-0.80240029999999996</v>
      </c>
      <c r="P1988">
        <v>-0.77073959999999997</v>
      </c>
      <c r="Q1988">
        <v>-4.9678420000000001E-2</v>
      </c>
      <c r="R1988">
        <v>-0.63521110000000003</v>
      </c>
      <c r="S1988">
        <v>-3.3256380000000001</v>
      </c>
      <c r="T1988">
        <v>-0.13863</v>
      </c>
      <c r="U1988">
        <v>-0.72406009999999998</v>
      </c>
      <c r="V1988">
        <v>0.2387531</v>
      </c>
      <c r="W1988">
        <v>-3.9768949999999997E-2</v>
      </c>
      <c r="X1988">
        <v>0.97026559999999995</v>
      </c>
      <c r="Y1988">
        <v>0.65641249999999995</v>
      </c>
      <c r="Z1988">
        <v>3.2965929999999997E-2</v>
      </c>
      <c r="AA1988">
        <v>0.75368159999999995</v>
      </c>
      <c r="AB1988">
        <v>20</v>
      </c>
      <c r="AC1988">
        <v>-26.5625999999999</v>
      </c>
      <c r="AD1988">
        <v>-1.1131406859713999</v>
      </c>
      <c r="AE1988">
        <v>-5.6464999999999996</v>
      </c>
      <c r="AF1988">
        <v>17.917135289434999</v>
      </c>
      <c r="AG1988">
        <v>-1.1131406859713999</v>
      </c>
      <c r="AH1988">
        <v>20.345982686167499</v>
      </c>
      <c r="AI1988">
        <v>92.351203613513505</v>
      </c>
      <c r="AJ1988">
        <v>48.632120147720101</v>
      </c>
      <c r="AK1988">
        <v>27.133408017285799</v>
      </c>
      <c r="AL1988">
        <v>92.279194104811296</v>
      </c>
      <c r="AM1988">
        <v>76.175887388620595</v>
      </c>
      <c r="AN1988">
        <v>0.99999997334353496</v>
      </c>
    </row>
    <row r="1989" spans="1:40" x14ac:dyDescent="0.25">
      <c r="A1989" t="str">
        <f>"20190303153813726"</f>
        <v>20190303153813726</v>
      </c>
      <c r="B1989" t="str">
        <f>"1551598693721022"</f>
        <v>1551598693721022</v>
      </c>
      <c r="C1989" t="s">
        <v>40</v>
      </c>
      <c r="D1989">
        <v>5.0111679999999996</v>
      </c>
      <c r="E1989">
        <v>0.72233130000000001</v>
      </c>
      <c r="F1989" t="s">
        <v>55</v>
      </c>
      <c r="G1989">
        <v>-236.35310000000001</v>
      </c>
      <c r="H1989" s="1">
        <v>1.9570320000000001E-6</v>
      </c>
      <c r="I1989">
        <v>282.03019999999998</v>
      </c>
      <c r="J1989">
        <v>-197.05340000000001</v>
      </c>
      <c r="K1989">
        <v>1.1130389999999999</v>
      </c>
      <c r="L1989">
        <v>288.26819999999998</v>
      </c>
      <c r="M1989">
        <v>-0.60862329999999998</v>
      </c>
      <c r="N1989">
        <v>-1.526838E-2</v>
      </c>
      <c r="O1989">
        <v>-0.79331269999999998</v>
      </c>
      <c r="P1989">
        <v>-0.78112419999999905</v>
      </c>
      <c r="Q1989">
        <v>-4.9843249999999999E-2</v>
      </c>
      <c r="R1989">
        <v>-0.62238369999999998</v>
      </c>
      <c r="S1989">
        <v>-3.4280550000000001</v>
      </c>
      <c r="T1989">
        <v>-9.6757770000000007E-2</v>
      </c>
      <c r="U1989">
        <v>-0.55581669999999905</v>
      </c>
      <c r="V1989">
        <v>0.2401402</v>
      </c>
      <c r="W1989">
        <v>-3.9954589999999998E-2</v>
      </c>
      <c r="X1989">
        <v>0.96991559999999999</v>
      </c>
      <c r="Y1989">
        <v>0.6853901</v>
      </c>
      <c r="Z1989">
        <v>2.0399190000000001E-2</v>
      </c>
      <c r="AA1989">
        <v>0.72789029999999999</v>
      </c>
      <c r="AB1989">
        <v>20</v>
      </c>
      <c r="AC1989">
        <v>-39.299700000000001</v>
      </c>
      <c r="AD1989">
        <v>-1.1130370429680001</v>
      </c>
      <c r="AE1989">
        <v>-6.2380000000000004</v>
      </c>
      <c r="AF1989">
        <v>27.362135986218</v>
      </c>
      <c r="AG1989">
        <v>-1.1130370429680001</v>
      </c>
      <c r="AH1989">
        <v>28.848185043119301</v>
      </c>
      <c r="AI1989">
        <v>91.6034892798762</v>
      </c>
      <c r="AJ1989">
        <v>46.514392894388898</v>
      </c>
      <c r="AK1989">
        <v>39.776162679038798</v>
      </c>
      <c r="AL1989">
        <v>92.289838943389498</v>
      </c>
      <c r="AM1989">
        <v>76.093857337630496</v>
      </c>
      <c r="AN1989">
        <v>0.99999997802073304</v>
      </c>
    </row>
    <row r="1990" spans="1:40" x14ac:dyDescent="0.25">
      <c r="A1990" t="str">
        <f>"20190303153813748"</f>
        <v>20190303153813748</v>
      </c>
      <c r="B1990" t="str">
        <f>"1551598693740542"</f>
        <v>1551598693740542</v>
      </c>
      <c r="C1990" t="s">
        <v>40</v>
      </c>
      <c r="D1990">
        <v>4.9814970000000001</v>
      </c>
      <c r="E1990">
        <v>0.72385840000000001</v>
      </c>
      <c r="F1990" t="s">
        <v>55</v>
      </c>
      <c r="G1990">
        <v>-244.4365</v>
      </c>
      <c r="H1990" s="1">
        <v>8.2411109999999905E-7</v>
      </c>
      <c r="I1990">
        <v>281.64</v>
      </c>
      <c r="J1990">
        <v>-197.18440000000001</v>
      </c>
      <c r="K1990">
        <v>1.1129249999999999</v>
      </c>
      <c r="L1990">
        <v>288.12479999999999</v>
      </c>
      <c r="M1990">
        <v>-0.61990859999999903</v>
      </c>
      <c r="N1990">
        <v>-1.534304E-2</v>
      </c>
      <c r="O1990">
        <v>-0.78452409999999995</v>
      </c>
      <c r="P1990">
        <v>-0.78983749999999997</v>
      </c>
      <c r="Q1990">
        <v>-5.1093439999999997E-2</v>
      </c>
      <c r="R1990">
        <v>-0.61118439999999996</v>
      </c>
      <c r="S1990">
        <v>-3.4508209999999999</v>
      </c>
      <c r="T1990">
        <v>-8.1060409999999999E-2</v>
      </c>
      <c r="U1990">
        <v>-0.48272710000000002</v>
      </c>
      <c r="V1990">
        <v>0.23999509999999999</v>
      </c>
      <c r="W1990">
        <v>-4.1193159999999999E-2</v>
      </c>
      <c r="X1990">
        <v>0.96989970000000003</v>
      </c>
      <c r="Y1990">
        <v>0.69089789999999995</v>
      </c>
      <c r="Z1990">
        <v>1.5810729999999999E-2</v>
      </c>
      <c r="AA1990">
        <v>0.72277950000000002</v>
      </c>
      <c r="AB1990">
        <v>20</v>
      </c>
      <c r="AC1990">
        <v>-47.252099999999899</v>
      </c>
      <c r="AD1990">
        <v>-1.1129241758888999</v>
      </c>
      <c r="AE1990">
        <v>-6.4847999999999999</v>
      </c>
      <c r="AF1990">
        <v>33.036328651738899</v>
      </c>
      <c r="AG1990">
        <v>-1.1129241758888999</v>
      </c>
      <c r="AH1990">
        <v>34.364798791044301</v>
      </c>
      <c r="AI1990">
        <v>91.337435403118107</v>
      </c>
      <c r="AJ1990">
        <v>46.129148441309297</v>
      </c>
      <c r="AK1990">
        <v>47.682040717191803</v>
      </c>
      <c r="AL1990">
        <v>92.360862272089705</v>
      </c>
      <c r="AM1990">
        <v>76.101715015649006</v>
      </c>
      <c r="AN1990">
        <v>0.99999997625744197</v>
      </c>
    </row>
    <row r="1991" spans="1:40" x14ac:dyDescent="0.25">
      <c r="A1991" t="str">
        <f>"20190303153813769"</f>
        <v>20190303153813769</v>
      </c>
      <c r="B1991" t="str">
        <f>"1551598693761038"</f>
        <v>1551598693761038</v>
      </c>
      <c r="C1991" t="s">
        <v>40</v>
      </c>
      <c r="D1991">
        <v>5.0202669999999996</v>
      </c>
      <c r="E1991">
        <v>0.72419719999999999</v>
      </c>
      <c r="F1991" t="s">
        <v>55</v>
      </c>
      <c r="G1991">
        <v>-251.6343</v>
      </c>
      <c r="H1991" s="1">
        <v>-6.6708419999999905E-7</v>
      </c>
      <c r="I1991">
        <v>281.45490000000001</v>
      </c>
      <c r="J1991">
        <v>-197.32230000000001</v>
      </c>
      <c r="K1991">
        <v>1.1128</v>
      </c>
      <c r="L1991">
        <v>287.9785</v>
      </c>
      <c r="M1991">
        <v>-0.63165629999999995</v>
      </c>
      <c r="N1991">
        <v>-1.541934E-2</v>
      </c>
      <c r="O1991">
        <v>-0.77509530000000004</v>
      </c>
      <c r="P1991">
        <v>-0.79920199999999997</v>
      </c>
      <c r="Q1991">
        <v>-5.3172820000000003E-2</v>
      </c>
      <c r="R1991">
        <v>-0.59870619999999997</v>
      </c>
      <c r="S1991">
        <v>-3.465195</v>
      </c>
      <c r="T1991">
        <v>-7.0826529999999999E-2</v>
      </c>
      <c r="U1991">
        <v>-0.42446899999999999</v>
      </c>
      <c r="V1991">
        <v>0.24045449999999999</v>
      </c>
      <c r="W1991">
        <v>-4.3281559999999997E-2</v>
      </c>
      <c r="X1991">
        <v>0.96969499999999997</v>
      </c>
      <c r="Y1991">
        <v>0.69242150000000002</v>
      </c>
      <c r="Z1991">
        <v>1.284594E-2</v>
      </c>
      <c r="AA1991">
        <v>0.72137890000000005</v>
      </c>
      <c r="AB1991">
        <v>20</v>
      </c>
      <c r="AC1991">
        <v>-54.311999999999898</v>
      </c>
      <c r="AD1991">
        <v>-1.1128006670841999</v>
      </c>
      <c r="AE1991">
        <v>-6.5235999999999796</v>
      </c>
      <c r="AF1991">
        <v>37.9651040714309</v>
      </c>
      <c r="AG1991">
        <v>-1.1128006670841999</v>
      </c>
      <c r="AH1991">
        <v>39.351320939426998</v>
      </c>
      <c r="AI1991">
        <v>91.165879065805896</v>
      </c>
      <c r="AJ1991">
        <v>46.027153896836602</v>
      </c>
      <c r="AK1991">
        <v>54.691077079876898</v>
      </c>
      <c r="AL1991">
        <v>92.480625554343902</v>
      </c>
      <c r="AM1991">
        <v>76.073320167043505</v>
      </c>
      <c r="AN1991">
        <v>1.0000000265156399</v>
      </c>
    </row>
    <row r="1992" spans="1:40" x14ac:dyDescent="0.25">
      <c r="A1992" t="str">
        <f>"20190303153813803"</f>
        <v>20190303153813803</v>
      </c>
      <c r="B1992" t="str">
        <f>"1551598693801053"</f>
        <v>1551598693801053</v>
      </c>
      <c r="C1992" t="s">
        <v>40</v>
      </c>
      <c r="D1992">
        <v>5.1089769999999897</v>
      </c>
      <c r="E1992">
        <v>0.72263820000000001</v>
      </c>
      <c r="F1992" t="s">
        <v>55</v>
      </c>
      <c r="G1992">
        <v>-249.76599999999999</v>
      </c>
      <c r="H1992" s="1">
        <v>3.6602050000000001E-6</v>
      </c>
      <c r="I1992">
        <v>282.41559999999998</v>
      </c>
      <c r="J1992">
        <v>-197.5393</v>
      </c>
      <c r="K1992">
        <v>1.112616</v>
      </c>
      <c r="L1992">
        <v>287.75839999999999</v>
      </c>
      <c r="M1992">
        <v>-0.64982649999999997</v>
      </c>
      <c r="N1992">
        <v>-1.553527E-2</v>
      </c>
      <c r="O1992">
        <v>-0.75992380000000004</v>
      </c>
      <c r="P1992">
        <v>-0.81283530000000004</v>
      </c>
      <c r="Q1992">
        <v>-5.6795539999999999E-2</v>
      </c>
      <c r="R1992">
        <v>-0.57971810000000001</v>
      </c>
      <c r="S1992">
        <v>-3.4728850000000002</v>
      </c>
      <c r="T1992">
        <v>-7.3690649999999996E-2</v>
      </c>
      <c r="U1992">
        <v>-0.36837769999999997</v>
      </c>
      <c r="V1992">
        <v>0.2400564</v>
      </c>
      <c r="W1992">
        <v>-4.6890380000000002E-2</v>
      </c>
      <c r="X1992">
        <v>0.96962579999999998</v>
      </c>
      <c r="Y1992">
        <v>0.6870018</v>
      </c>
      <c r="Z1992">
        <v>1.3701899999999999E-2</v>
      </c>
      <c r="AA1992">
        <v>0.72652649999999996</v>
      </c>
      <c r="AB1992">
        <v>20</v>
      </c>
      <c r="AC1992">
        <v>-52.226700000000001</v>
      </c>
      <c r="AD1992">
        <v>-1.1126123397949901</v>
      </c>
      <c r="AE1992">
        <v>-5.3428000000000102</v>
      </c>
      <c r="AF1992">
        <v>36.204529412385398</v>
      </c>
      <c r="AG1992">
        <v>-1.1126123397949901</v>
      </c>
      <c r="AH1992">
        <v>37.985939626386198</v>
      </c>
      <c r="AI1992">
        <v>91.214627646094797</v>
      </c>
      <c r="AJ1992">
        <v>46.375482316772803</v>
      </c>
      <c r="AK1992">
        <v>52.487498182809297</v>
      </c>
      <c r="AL1992">
        <v>92.687606398518994</v>
      </c>
      <c r="AM1992">
        <v>76.094528186159593</v>
      </c>
      <c r="AN1992">
        <v>0.99999998747157204</v>
      </c>
    </row>
    <row r="1993" spans="1:40" x14ac:dyDescent="0.25">
      <c r="A1993" t="str">
        <f>"20190303153813826"</f>
        <v>20190303153813826</v>
      </c>
      <c r="B1993" t="str">
        <f>"1551598693820573"</f>
        <v>1551598693820573</v>
      </c>
      <c r="C1993" t="s">
        <v>40</v>
      </c>
      <c r="D1993">
        <v>5.0856070000000004</v>
      </c>
      <c r="E1993">
        <v>0.72156580000000003</v>
      </c>
      <c r="F1993" t="s">
        <v>55</v>
      </c>
      <c r="G1993">
        <v>-239.60890000000001</v>
      </c>
      <c r="H1993" s="1">
        <v>3.5963429999999999E-6</v>
      </c>
      <c r="I1993">
        <v>284.16460000000001</v>
      </c>
      <c r="J1993">
        <v>-197.69280000000001</v>
      </c>
      <c r="K1993">
        <v>1.1125050000000001</v>
      </c>
      <c r="L1993">
        <v>287.60910000000001</v>
      </c>
      <c r="M1993">
        <v>-0.66242199999999996</v>
      </c>
      <c r="N1993">
        <v>-1.561096E-2</v>
      </c>
      <c r="O1993">
        <v>-0.74896830000000003</v>
      </c>
      <c r="P1993">
        <v>-0.82203090000000001</v>
      </c>
      <c r="Q1993">
        <v>-5.90561E-2</v>
      </c>
      <c r="R1993">
        <v>-0.56637289999999996</v>
      </c>
      <c r="S1993">
        <v>-3.472763</v>
      </c>
      <c r="T1993">
        <v>-9.1843960000000002E-2</v>
      </c>
      <c r="U1993">
        <v>-0.29666140000000002</v>
      </c>
      <c r="V1993">
        <v>0.23951829999999999</v>
      </c>
      <c r="W1993">
        <v>-4.9126019999999999E-2</v>
      </c>
      <c r="X1993">
        <v>0.96964819999999996</v>
      </c>
      <c r="Y1993">
        <v>0.68960859999999902</v>
      </c>
      <c r="Z1993">
        <v>1.9161190000000002E-2</v>
      </c>
      <c r="AA1993">
        <v>0.72392869999999998</v>
      </c>
      <c r="AB1993">
        <v>20</v>
      </c>
      <c r="AC1993">
        <v>-41.9161</v>
      </c>
      <c r="AD1993">
        <v>-1.11250140365699</v>
      </c>
      <c r="AE1993">
        <v>-3.4445000000000001</v>
      </c>
      <c r="AF1993">
        <v>29.0953055836106</v>
      </c>
      <c r="AG1993">
        <v>-1.11250140365699</v>
      </c>
      <c r="AH1993">
        <v>30.328443568486701</v>
      </c>
      <c r="AI1993">
        <v>91.516293437228597</v>
      </c>
      <c r="AJ1993">
        <v>46.1888085805545</v>
      </c>
      <c r="AK1993">
        <v>42.042703952810903</v>
      </c>
      <c r="AL1993">
        <v>92.815846977976804</v>
      </c>
      <c r="AM1993">
        <v>76.124800487729203</v>
      </c>
      <c r="AN1993">
        <v>1.00000000681958</v>
      </c>
    </row>
    <row r="1994" spans="1:40" x14ac:dyDescent="0.25">
      <c r="A1994" t="str">
        <f>"20190303153813847"</f>
        <v>20190303153813847</v>
      </c>
      <c r="B1994" t="str">
        <f>"1551598693841070"</f>
        <v>1551598693841070</v>
      </c>
      <c r="C1994" t="s">
        <v>40</v>
      </c>
      <c r="D1994">
        <v>5.0561590000000001</v>
      </c>
      <c r="E1994">
        <v>0.72057069999999901</v>
      </c>
      <c r="F1994" t="s">
        <v>55</v>
      </c>
      <c r="G1994">
        <v>-235.61170000000001</v>
      </c>
      <c r="H1994" s="1">
        <v>1.436604E-6</v>
      </c>
      <c r="I1994">
        <v>284.91079999999999</v>
      </c>
      <c r="J1994">
        <v>-197.83449999999999</v>
      </c>
      <c r="K1994">
        <v>1.112412</v>
      </c>
      <c r="L1994">
        <v>287.476</v>
      </c>
      <c r="M1994">
        <v>-0.67388419999999905</v>
      </c>
      <c r="N1994">
        <v>-1.5676789999999999E-2</v>
      </c>
      <c r="O1994">
        <v>-0.73867069999999901</v>
      </c>
      <c r="P1994">
        <v>-0.83066469999999903</v>
      </c>
      <c r="Q1994">
        <v>-6.0876609999999998E-2</v>
      </c>
      <c r="R1994">
        <v>-0.55343520000000002</v>
      </c>
      <c r="S1994">
        <v>-3.4719699999999998</v>
      </c>
      <c r="T1994">
        <v>-0.1018641</v>
      </c>
      <c r="U1994">
        <v>-0.24707029999999999</v>
      </c>
      <c r="V1994">
        <v>0.23960890000000001</v>
      </c>
      <c r="W1994">
        <v>-5.0937950000000003E-2</v>
      </c>
      <c r="X1994">
        <v>0.96953230000000001</v>
      </c>
      <c r="Y1994">
        <v>0.68863059999999998</v>
      </c>
      <c r="Z1994">
        <v>2.2125639999999999E-2</v>
      </c>
      <c r="AA1994">
        <v>0.72477480000000005</v>
      </c>
      <c r="AB1994">
        <v>20</v>
      </c>
      <c r="AC1994">
        <v>-37.777200000000001</v>
      </c>
      <c r="AD1994">
        <v>-1.112410563396</v>
      </c>
      <c r="AE1994">
        <v>-2.5651999999999999</v>
      </c>
      <c r="AF1994">
        <v>26.156902498384799</v>
      </c>
      <c r="AG1994">
        <v>-1.112410563396</v>
      </c>
      <c r="AH1994">
        <v>27.332065940898801</v>
      </c>
      <c r="AI1994">
        <v>91.684257941668093</v>
      </c>
      <c r="AJ1994">
        <v>46.258597372892602</v>
      </c>
      <c r="AK1994">
        <v>37.847890749276999</v>
      </c>
      <c r="AL1994">
        <v>92.919793162352207</v>
      </c>
      <c r="AM1994">
        <v>76.118159877306695</v>
      </c>
      <c r="AN1994">
        <v>0.999999990226351</v>
      </c>
    </row>
    <row r="1995" spans="1:40" x14ac:dyDescent="0.25">
      <c r="A1995" t="str">
        <f>"20190303153813870"</f>
        <v>20190303153813870</v>
      </c>
      <c r="B1995" t="str">
        <f>"1551598693860589"</f>
        <v>1551598693860589</v>
      </c>
      <c r="C1995" t="s">
        <v>40</v>
      </c>
      <c r="D1995">
        <v>5.0720859999999997</v>
      </c>
      <c r="E1995">
        <v>0.71949830000000004</v>
      </c>
      <c r="F1995" t="s">
        <v>55</v>
      </c>
      <c r="G1995">
        <v>-232.93559999999999</v>
      </c>
      <c r="H1995" s="1">
        <v>-1.1549039999999999E-8</v>
      </c>
      <c r="I1995">
        <v>285.46120000000002</v>
      </c>
      <c r="J1995">
        <v>-197.98349999999999</v>
      </c>
      <c r="K1995">
        <v>1.1123099999999999</v>
      </c>
      <c r="L1995">
        <v>287.3408</v>
      </c>
      <c r="M1995">
        <v>-0.68576680000000001</v>
      </c>
      <c r="N1995">
        <v>-1.5746240000000002E-2</v>
      </c>
      <c r="O1995">
        <v>-0.7276511</v>
      </c>
      <c r="P1995">
        <v>-0.83992</v>
      </c>
      <c r="Q1995">
        <v>-6.2575909999999998E-2</v>
      </c>
      <c r="R1995">
        <v>-0.53909059999999998</v>
      </c>
      <c r="S1995">
        <v>-3.4707789999999998</v>
      </c>
      <c r="T1995">
        <v>-0.10999489999999899</v>
      </c>
      <c r="U1995">
        <v>-0.1992188</v>
      </c>
      <c r="V1995">
        <v>0.2404028</v>
      </c>
      <c r="W1995">
        <v>-5.2648E-2</v>
      </c>
      <c r="X1995">
        <v>0.96924440000000001</v>
      </c>
      <c r="Y1995">
        <v>0.6867375</v>
      </c>
      <c r="Z1995">
        <v>2.4485759999999999E-2</v>
      </c>
      <c r="AA1995">
        <v>0.7264929</v>
      </c>
      <c r="AB1995">
        <v>20</v>
      </c>
      <c r="AC1995">
        <v>-34.952100000000002</v>
      </c>
      <c r="AD1995">
        <v>-1.1123100115490401</v>
      </c>
      <c r="AE1995">
        <v>-1.87959999999998</v>
      </c>
      <c r="AF1995">
        <v>24.122598520897</v>
      </c>
      <c r="AG1995">
        <v>-1.1123100115490401</v>
      </c>
      <c r="AH1995">
        <v>25.314258970312501</v>
      </c>
      <c r="AI1995">
        <v>91.8219651516997</v>
      </c>
      <c r="AJ1995">
        <v>46.380829984086297</v>
      </c>
      <c r="AK1995">
        <v>34.984978207485298</v>
      </c>
      <c r="AL1995">
        <v>93.017903435190505</v>
      </c>
      <c r="AM1995">
        <v>76.069976895664894</v>
      </c>
      <c r="AN1995">
        <v>1.0000000125416</v>
      </c>
    </row>
    <row r="1996" spans="1:40" x14ac:dyDescent="0.25">
      <c r="A1996" t="str">
        <f>"20190303153813893"</f>
        <v>20190303153813893</v>
      </c>
      <c r="B1996" t="str">
        <f>"1551598693890846"</f>
        <v>1551598693890846</v>
      </c>
      <c r="C1996" t="s">
        <v>40</v>
      </c>
      <c r="D1996">
        <v>5.0830570000000002</v>
      </c>
      <c r="E1996">
        <v>0.71846809999999905</v>
      </c>
      <c r="F1996" t="s">
        <v>55</v>
      </c>
      <c r="G1996">
        <v>-231.0478</v>
      </c>
      <c r="H1996" s="1">
        <v>-1.037086E-6</v>
      </c>
      <c r="I1996">
        <v>285.94069999999999</v>
      </c>
      <c r="J1996">
        <v>-198.14709999999999</v>
      </c>
      <c r="K1996">
        <v>1.112198</v>
      </c>
      <c r="L1996">
        <v>287.19810000000001</v>
      </c>
      <c r="M1996">
        <v>-0.69861879999999998</v>
      </c>
      <c r="N1996">
        <v>-1.5826949999999999E-2</v>
      </c>
      <c r="O1996">
        <v>-0.71531919999999904</v>
      </c>
      <c r="P1996">
        <v>-0.8505239</v>
      </c>
      <c r="Q1996">
        <v>-6.3626859999999993E-2</v>
      </c>
      <c r="R1996">
        <v>-0.52207360000000003</v>
      </c>
      <c r="S1996">
        <v>-3.4687809999999999</v>
      </c>
      <c r="T1996">
        <v>-0.1166927</v>
      </c>
      <c r="U1996">
        <v>-0.14688109999999999</v>
      </c>
      <c r="V1996">
        <v>0.2425543</v>
      </c>
      <c r="W1996">
        <v>-5.3742850000000002E-2</v>
      </c>
      <c r="X1996">
        <v>0.96864810000000001</v>
      </c>
      <c r="Y1996">
        <v>0.68463289999999999</v>
      </c>
      <c r="Z1996">
        <v>2.6395890000000002E-2</v>
      </c>
      <c r="AA1996">
        <v>0.72841</v>
      </c>
      <c r="AB1996">
        <v>20</v>
      </c>
      <c r="AC1996">
        <v>-32.900700000000001</v>
      </c>
      <c r="AD1996">
        <v>-1.112199037086</v>
      </c>
      <c r="AE1996">
        <v>-1.2574000000000101</v>
      </c>
      <c r="AF1996">
        <v>22.633067667082901</v>
      </c>
      <c r="AG1996">
        <v>-1.112199037086</v>
      </c>
      <c r="AH1996">
        <v>23.860251841641102</v>
      </c>
      <c r="AI1996">
        <v>91.936925307631498</v>
      </c>
      <c r="AJ1996">
        <v>46.5119624245267</v>
      </c>
      <c r="AK1996">
        <v>32.9059927166373</v>
      </c>
      <c r="AL1996">
        <v>93.080722667856193</v>
      </c>
      <c r="AM1996">
        <v>75.9419203406934</v>
      </c>
      <c r="AN1996">
        <v>1.0000000120041099</v>
      </c>
    </row>
    <row r="1997" spans="1:40" x14ac:dyDescent="0.25">
      <c r="A1997" t="str">
        <f>"20190303153813915"</f>
        <v>20190303153813915</v>
      </c>
      <c r="B1997" t="str">
        <f>"1551598693911341"</f>
        <v>1551598693911341</v>
      </c>
      <c r="C1997" t="s">
        <v>40</v>
      </c>
      <c r="D1997">
        <v>5.1030829999999998</v>
      </c>
      <c r="E1997">
        <v>0.70363869999999995</v>
      </c>
      <c r="F1997" t="s">
        <v>55</v>
      </c>
      <c r="G1997">
        <v>-229.2567</v>
      </c>
      <c r="H1997" s="1">
        <v>3.38915E-6</v>
      </c>
      <c r="I1997">
        <v>286.44439999999997</v>
      </c>
      <c r="J1997">
        <v>-198.29689999999999</v>
      </c>
      <c r="K1997">
        <v>1.112123</v>
      </c>
      <c r="L1997">
        <v>287.07209999999998</v>
      </c>
      <c r="M1997">
        <v>-0.71016569999999901</v>
      </c>
      <c r="N1997">
        <v>-1.5899839999999998E-2</v>
      </c>
      <c r="O1997">
        <v>-0.70385500000000001</v>
      </c>
      <c r="P1997">
        <v>-0.86007929999999999</v>
      </c>
      <c r="Q1997">
        <v>-6.290975E-2</v>
      </c>
      <c r="R1997">
        <v>-0.50626669999999996</v>
      </c>
      <c r="S1997">
        <v>-3.466415</v>
      </c>
      <c r="T1997">
        <v>-0.1239276</v>
      </c>
      <c r="U1997">
        <v>-8.3984379999999997E-2</v>
      </c>
      <c r="V1997">
        <v>0.24473239999999999</v>
      </c>
      <c r="W1997">
        <v>-5.3066219999999997E-2</v>
      </c>
      <c r="X1997">
        <v>0.96813740000000004</v>
      </c>
      <c r="Y1997">
        <v>0.68587379999999998</v>
      </c>
      <c r="Z1997">
        <v>2.8520810000000001E-2</v>
      </c>
      <c r="AA1997">
        <v>0.72716150000000002</v>
      </c>
      <c r="AB1997">
        <v>20</v>
      </c>
      <c r="AC1997">
        <v>-30.959800000000001</v>
      </c>
      <c r="AD1997">
        <v>-1.11211961085</v>
      </c>
      <c r="AE1997">
        <v>-0.62770000000000403</v>
      </c>
      <c r="AF1997">
        <v>21.3206380521105</v>
      </c>
      <c r="AG1997">
        <v>-1.11211961085</v>
      </c>
      <c r="AH1997">
        <v>22.4023385806763</v>
      </c>
      <c r="AI1997">
        <v>92.059488847383193</v>
      </c>
      <c r="AJ1997">
        <v>46.4172007456175</v>
      </c>
      <c r="AK1997">
        <v>30.946262954696099</v>
      </c>
      <c r="AL1997">
        <v>93.041899263392096</v>
      </c>
      <c r="AM1997">
        <v>75.813573451217195</v>
      </c>
      <c r="AN1997">
        <v>0.99999999829680397</v>
      </c>
    </row>
    <row r="1998" spans="1:40" x14ac:dyDescent="0.25">
      <c r="A1998" t="str">
        <f>"20190303153813936"</f>
        <v>20190303153813936</v>
      </c>
      <c r="B1998" t="str">
        <f>"1551598693930861"</f>
        <v>1551598693930861</v>
      </c>
      <c r="C1998" t="s">
        <v>40</v>
      </c>
      <c r="D1998">
        <v>5.0909750000000003</v>
      </c>
      <c r="E1998">
        <v>0.7023701</v>
      </c>
      <c r="F1998" t="s">
        <v>55</v>
      </c>
      <c r="G1998">
        <v>-222.8819</v>
      </c>
      <c r="H1998" s="1">
        <v>-3.2004620000000002E-9</v>
      </c>
      <c r="I1998">
        <v>286.20179999999999</v>
      </c>
      <c r="J1998">
        <v>-198.4503</v>
      </c>
      <c r="K1998">
        <v>1.1120479999999999</v>
      </c>
      <c r="L1998">
        <v>286.9477</v>
      </c>
      <c r="M1998">
        <v>-0.7217749</v>
      </c>
      <c r="N1998">
        <v>-1.5969250000000001E-2</v>
      </c>
      <c r="O1998">
        <v>-0.69194359999999999</v>
      </c>
      <c r="P1998">
        <v>-0.86981869999999994</v>
      </c>
      <c r="Q1998">
        <v>-6.2019190000000002E-2</v>
      </c>
      <c r="R1998">
        <v>-0.48945830000000001</v>
      </c>
      <c r="S1998">
        <v>-3.4057919999999999</v>
      </c>
      <c r="T1998">
        <v>-0.15406410000000001</v>
      </c>
      <c r="U1998">
        <v>-0.120575</v>
      </c>
      <c r="V1998">
        <v>0.24749209999999999</v>
      </c>
      <c r="W1998">
        <v>-5.2231489999999998E-2</v>
      </c>
      <c r="X1998">
        <v>0.96748100000000004</v>
      </c>
      <c r="Y1998">
        <v>0.66500119999999996</v>
      </c>
      <c r="Z1998">
        <v>3.7031199999999903E-2</v>
      </c>
      <c r="AA1998">
        <v>0.74592360000000002</v>
      </c>
      <c r="AB1998">
        <v>20</v>
      </c>
      <c r="AC1998">
        <v>-24.4316</v>
      </c>
      <c r="AD1998">
        <v>-1.11204800320046</v>
      </c>
      <c r="AE1998">
        <v>-0.745900000000006</v>
      </c>
      <c r="AF1998">
        <v>16.3351935531572</v>
      </c>
      <c r="AG1998">
        <v>-1.11204800320046</v>
      </c>
      <c r="AH1998">
        <v>18.115055984752001</v>
      </c>
      <c r="AI1998">
        <v>92.610293451586301</v>
      </c>
      <c r="AJ1998">
        <v>47.957540703520998</v>
      </c>
      <c r="AK1998">
        <v>24.417830626639098</v>
      </c>
      <c r="AL1998">
        <v>92.994006397171503</v>
      </c>
      <c r="AM1998">
        <v>75.650836907105798</v>
      </c>
      <c r="AN1998">
        <v>0.999999976735514</v>
      </c>
    </row>
    <row r="1999" spans="1:40" x14ac:dyDescent="0.25">
      <c r="A1999" t="str">
        <f>"20190303153813960"</f>
        <v>20190303153813960</v>
      </c>
      <c r="B1999" t="str">
        <f>"1551598693950382"</f>
        <v>1551598693950382</v>
      </c>
      <c r="C1999" t="s">
        <v>40</v>
      </c>
      <c r="D1999">
        <v>4.7887130000000004</v>
      </c>
      <c r="E1999">
        <v>0.7016464</v>
      </c>
      <c r="F1999" t="s">
        <v>55</v>
      </c>
      <c r="G1999">
        <v>-223.5335</v>
      </c>
      <c r="H1999" s="1">
        <v>3.4356129999999999E-7</v>
      </c>
      <c r="I1999">
        <v>286.48289999999997</v>
      </c>
      <c r="J1999">
        <v>-198.61879999999999</v>
      </c>
      <c r="K1999">
        <v>1.1119600000000001</v>
      </c>
      <c r="L1999">
        <v>286.81610000000001</v>
      </c>
      <c r="M1999">
        <v>-0.73428000000000004</v>
      </c>
      <c r="N1999">
        <v>-1.6039299999999999E-2</v>
      </c>
      <c r="O1999">
        <v>-0.67865719999999996</v>
      </c>
      <c r="P1999">
        <v>-0.87956089999999998</v>
      </c>
      <c r="Q1999">
        <v>-6.2516599999999894E-2</v>
      </c>
      <c r="R1999">
        <v>-0.47166150000000001</v>
      </c>
      <c r="S1999">
        <v>-3.4027560000000001</v>
      </c>
      <c r="T1999">
        <v>-0.15085889999999999</v>
      </c>
      <c r="U1999">
        <v>-6.3049320000000006E-2</v>
      </c>
      <c r="V1999">
        <v>0.24947330000000001</v>
      </c>
      <c r="W1999">
        <v>-5.276604E-2</v>
      </c>
      <c r="X1999">
        <v>0.966943</v>
      </c>
      <c r="Y1999">
        <v>0.66400429999999999</v>
      </c>
      <c r="Z1999">
        <v>3.6029650000000003E-2</v>
      </c>
      <c r="AA1999">
        <v>0.74686019999999997</v>
      </c>
      <c r="AB1999">
        <v>20</v>
      </c>
      <c r="AC1999">
        <v>-24.9147</v>
      </c>
      <c r="AD1999">
        <v>-1.1119596564387</v>
      </c>
      <c r="AE1999">
        <v>-0.33320000000003303</v>
      </c>
      <c r="AF1999">
        <v>16.632897470666499</v>
      </c>
      <c r="AG1999">
        <v>-1.1119596564387</v>
      </c>
      <c r="AH1999">
        <v>18.486061756975399</v>
      </c>
      <c r="AI1999">
        <v>92.560306846545402</v>
      </c>
      <c r="AJ1999">
        <v>48.020593669865399</v>
      </c>
      <c r="AK1999">
        <v>24.892252044159498</v>
      </c>
      <c r="AL1999">
        <v>93.024676159949394</v>
      </c>
      <c r="AM1999">
        <v>75.533060203688095</v>
      </c>
      <c r="AN1999">
        <v>0.99999997381958505</v>
      </c>
    </row>
    <row r="2000" spans="1:40" x14ac:dyDescent="0.25">
      <c r="A2000" t="str">
        <f>"20190303153813983"</f>
        <v>20190303153813983</v>
      </c>
      <c r="B2000" t="str">
        <f>"1551598693980637"</f>
        <v>1551598693980637</v>
      </c>
      <c r="C2000" t="s">
        <v>40</v>
      </c>
      <c r="D2000">
        <v>5.1561700000000004</v>
      </c>
      <c r="E2000">
        <v>0.69903090000000001</v>
      </c>
      <c r="F2000" t="s">
        <v>55</v>
      </c>
      <c r="G2000">
        <v>-224.43190000000001</v>
      </c>
      <c r="H2000" s="1">
        <v>8.2167269999999997E-7</v>
      </c>
      <c r="I2000">
        <v>286.82170000000002</v>
      </c>
      <c r="J2000">
        <v>-198.78399999999999</v>
      </c>
      <c r="K2000">
        <v>1.111888</v>
      </c>
      <c r="L2000">
        <v>286.69209999999998</v>
      </c>
      <c r="M2000">
        <v>-0.74629089999999998</v>
      </c>
      <c r="N2000">
        <v>-1.61058E-2</v>
      </c>
      <c r="O2000">
        <v>-0.66542500000000004</v>
      </c>
      <c r="P2000">
        <v>-0.8885383</v>
      </c>
      <c r="Q2000">
        <v>-6.1683450000000001E-2</v>
      </c>
      <c r="R2000">
        <v>-0.45463710000000002</v>
      </c>
      <c r="S2000">
        <v>-3.4007719999999999</v>
      </c>
      <c r="T2000">
        <v>-0.14649570000000001</v>
      </c>
      <c r="U2000">
        <v>7.3242190000000001E-4</v>
      </c>
      <c r="V2000">
        <v>0.25085980000000002</v>
      </c>
      <c r="W2000">
        <v>-5.1951480000000001E-2</v>
      </c>
      <c r="X2000">
        <v>0.96662840000000005</v>
      </c>
      <c r="Y2000">
        <v>0.66470620000000002</v>
      </c>
      <c r="Z2000">
        <v>3.4745129999999999E-2</v>
      </c>
      <c r="AA2000">
        <v>0.74629650000000003</v>
      </c>
      <c r="AB2000">
        <v>20</v>
      </c>
      <c r="AC2000">
        <v>-25.6479</v>
      </c>
      <c r="AD2000">
        <v>-1.1118871783273001</v>
      </c>
      <c r="AE2000">
        <v>0.12960000000003899</v>
      </c>
      <c r="AF2000">
        <v>17.133500450988699</v>
      </c>
      <c r="AG2000">
        <v>-1.1118871783273001</v>
      </c>
      <c r="AH2000">
        <v>19.021280175463101</v>
      </c>
      <c r="AI2000">
        <v>92.486958614902093</v>
      </c>
      <c r="AJ2000">
        <v>47.988918095311497</v>
      </c>
      <c r="AK2000">
        <v>25.6242508244597</v>
      </c>
      <c r="AL2000">
        <v>92.977941036474505</v>
      </c>
      <c r="AM2000">
        <v>75.451525290276606</v>
      </c>
      <c r="AN2000">
        <v>1.00000002960839</v>
      </c>
    </row>
    <row r="2001" spans="1:40" x14ac:dyDescent="0.25">
      <c r="A2001" t="str">
        <f>"20190303153814006"</f>
        <v>20190303153814006</v>
      </c>
      <c r="B2001" t="str">
        <f>"1551598694001134"</f>
        <v>1551598694001134</v>
      </c>
      <c r="C2001" t="s">
        <v>40</v>
      </c>
      <c r="D2001">
        <v>5.20139</v>
      </c>
      <c r="E2001">
        <v>0.68660980000000005</v>
      </c>
      <c r="F2001" t="s">
        <v>55</v>
      </c>
      <c r="G2001">
        <v>-224.37270000000001</v>
      </c>
      <c r="H2001" s="1">
        <v>7.9012460000000005E-7</v>
      </c>
      <c r="I2001">
        <v>287.053</v>
      </c>
      <c r="J2001">
        <v>-198.9486</v>
      </c>
      <c r="K2001">
        <v>1.111831</v>
      </c>
      <c r="L2001">
        <v>286.57330000000002</v>
      </c>
      <c r="M2001">
        <v>-0.75800449999999997</v>
      </c>
      <c r="N2001">
        <v>-1.6172260000000001E-2</v>
      </c>
      <c r="O2001">
        <v>-0.65204879999999998</v>
      </c>
      <c r="P2001">
        <v>-0.89649419999999902</v>
      </c>
      <c r="Q2001">
        <v>-5.9540469999999998E-2</v>
      </c>
      <c r="R2001">
        <v>-0.43903690000000001</v>
      </c>
      <c r="S2001">
        <v>-3.3905789999999998</v>
      </c>
      <c r="T2001">
        <v>-0.1473286</v>
      </c>
      <c r="U2001">
        <v>4.7821040000000002E-2</v>
      </c>
      <c r="V2001">
        <v>0.25070479999999901</v>
      </c>
      <c r="W2001">
        <v>-4.97803E-2</v>
      </c>
      <c r="X2001">
        <v>0.96678280000000005</v>
      </c>
      <c r="Y2001">
        <v>0.66177609999999998</v>
      </c>
      <c r="Z2001">
        <v>3.487175E-2</v>
      </c>
      <c r="AA2001">
        <v>0.7488901</v>
      </c>
      <c r="AB2001">
        <v>19</v>
      </c>
      <c r="AC2001">
        <v>-25.424099999999999</v>
      </c>
      <c r="AD2001">
        <v>-1.1118302098753901</v>
      </c>
      <c r="AE2001">
        <v>0.47969999999997898</v>
      </c>
      <c r="AF2001">
        <v>16.911254418603502</v>
      </c>
      <c r="AG2001">
        <v>-1.1118302098753901</v>
      </c>
      <c r="AH2001">
        <v>18.925094075176201</v>
      </c>
      <c r="AI2001">
        <v>92.508361414922803</v>
      </c>
      <c r="AJ2001">
        <v>48.216379143620003</v>
      </c>
      <c r="AK2001">
        <v>25.4044460317599</v>
      </c>
      <c r="AL2001">
        <v>92.853380465564399</v>
      </c>
      <c r="AM2001">
        <v>75.462357029534104</v>
      </c>
      <c r="AN2001">
        <v>0.999999978693484</v>
      </c>
    </row>
    <row r="2002" spans="1:40" x14ac:dyDescent="0.25">
      <c r="A2002" t="str">
        <f>"20190303153814026"</f>
        <v>20190303153814026</v>
      </c>
      <c r="B2002" t="str">
        <f>"1551598694020654"</f>
        <v>1551598694020654</v>
      </c>
      <c r="C2002" t="s">
        <v>40</v>
      </c>
      <c r="D2002">
        <v>5.1984320000000004</v>
      </c>
      <c r="E2002">
        <v>0.68467719999999999</v>
      </c>
      <c r="F2002" t="s">
        <v>55</v>
      </c>
      <c r="G2002">
        <v>-221.75200000000001</v>
      </c>
      <c r="H2002" s="1">
        <v>-6.044817E-7</v>
      </c>
      <c r="I2002">
        <v>286.70179999999999</v>
      </c>
      <c r="J2002">
        <v>-199.09819999999999</v>
      </c>
      <c r="K2002">
        <v>1.1117900000000001</v>
      </c>
      <c r="L2002">
        <v>286.46949999999998</v>
      </c>
      <c r="M2002">
        <v>-0.76842619999999995</v>
      </c>
      <c r="N2002">
        <v>-1.6231780000000001E-2</v>
      </c>
      <c r="O2002">
        <v>-0.63973279999999999</v>
      </c>
      <c r="P2002">
        <v>-0.90280249999999995</v>
      </c>
      <c r="Q2002">
        <v>-5.7564360000000002E-2</v>
      </c>
      <c r="R2002">
        <v>-0.4261858</v>
      </c>
      <c r="S2002">
        <v>-3.3447719999999999</v>
      </c>
      <c r="T2002">
        <v>-0.16308220000000001</v>
      </c>
      <c r="U2002">
        <v>1.8859859999999999E-2</v>
      </c>
      <c r="V2002">
        <v>0.24904009999999999</v>
      </c>
      <c r="W2002">
        <v>-4.7734520000000003E-2</v>
      </c>
      <c r="X2002">
        <v>0.96731619999999996</v>
      </c>
      <c r="Y2002">
        <v>0.64291569999999998</v>
      </c>
      <c r="Z2002">
        <v>3.8977049999999999E-2</v>
      </c>
      <c r="AA2002">
        <v>0.76494459999999997</v>
      </c>
      <c r="AB2002">
        <v>19</v>
      </c>
      <c r="AC2002">
        <v>-22.6538</v>
      </c>
      <c r="AD2002">
        <v>-1.1117906044816901</v>
      </c>
      <c r="AE2002">
        <v>0.232300000000009</v>
      </c>
      <c r="AF2002">
        <v>14.637562530856</v>
      </c>
      <c r="AG2002">
        <v>-1.1117906044816901</v>
      </c>
      <c r="AH2002">
        <v>17.219963016702899</v>
      </c>
      <c r="AI2002">
        <v>92.816284029084997</v>
      </c>
      <c r="AJ2002">
        <v>49.634316103473097</v>
      </c>
      <c r="AK2002">
        <v>22.627890787467301</v>
      </c>
      <c r="AL2002">
        <v>92.736025993678396</v>
      </c>
      <c r="AM2002">
        <v>75.562469123549306</v>
      </c>
      <c r="AN2002">
        <v>1.0000000932950299</v>
      </c>
    </row>
    <row r="2003" spans="1:40" x14ac:dyDescent="0.25">
      <c r="A2003" t="str">
        <f>"20190303153814048"</f>
        <v>20190303153814048</v>
      </c>
      <c r="B2003" t="str">
        <f>"1551598694041150"</f>
        <v>1551598694041150</v>
      </c>
      <c r="C2003" t="s">
        <v>40</v>
      </c>
      <c r="D2003">
        <v>4.968769</v>
      </c>
      <c r="E2003">
        <v>0.68382619999999905</v>
      </c>
      <c r="F2003" t="s">
        <v>55</v>
      </c>
      <c r="G2003">
        <v>-221.6198</v>
      </c>
      <c r="H2003" s="1">
        <v>-6.7481910000000002E-7</v>
      </c>
      <c r="I2003">
        <v>286.82799999999997</v>
      </c>
      <c r="J2003">
        <v>-199.2732</v>
      </c>
      <c r="K2003">
        <v>1.1117330000000001</v>
      </c>
      <c r="L2003">
        <v>286.3526</v>
      </c>
      <c r="M2003">
        <v>-0.78034239999999999</v>
      </c>
      <c r="N2003">
        <v>-1.6297869999999999E-2</v>
      </c>
      <c r="O2003">
        <v>-0.62514019999999904</v>
      </c>
      <c r="P2003">
        <v>-0.90986080000000003</v>
      </c>
      <c r="Q2003">
        <v>-5.7272770000000001E-2</v>
      </c>
      <c r="R2003">
        <v>-0.41094249999999999</v>
      </c>
      <c r="S2003">
        <v>-3.3375699999999999</v>
      </c>
      <c r="T2003">
        <v>-0.16476080000000001</v>
      </c>
      <c r="U2003">
        <v>5.3131100000000001E-2</v>
      </c>
      <c r="V2003">
        <v>0.2470965</v>
      </c>
      <c r="W2003">
        <v>-4.7362880000000003E-2</v>
      </c>
      <c r="X2003">
        <v>0.96783269999999999</v>
      </c>
      <c r="Y2003">
        <v>0.63631700000000002</v>
      </c>
      <c r="Z2003">
        <v>3.9061070000000003E-2</v>
      </c>
      <c r="AA2003">
        <v>0.77043809999999902</v>
      </c>
      <c r="AB2003">
        <v>19</v>
      </c>
      <c r="AC2003">
        <v>-22.346599999999899</v>
      </c>
      <c r="AD2003">
        <v>-1.1117336748191</v>
      </c>
      <c r="AE2003">
        <v>0.47539999999997901</v>
      </c>
      <c r="AF2003">
        <v>14.3072419772902</v>
      </c>
      <c r="AG2003">
        <v>-1.1117336748191</v>
      </c>
      <c r="AH2003">
        <v>17.1007778447212</v>
      </c>
      <c r="AI2003">
        <v>92.854481529703605</v>
      </c>
      <c r="AJ2003">
        <v>50.082706250526101</v>
      </c>
      <c r="AK2003">
        <v>22.324196013629901</v>
      </c>
      <c r="AL2003">
        <v>92.714708655057706</v>
      </c>
      <c r="AM2003">
        <v>75.677820303767206</v>
      </c>
      <c r="AN2003">
        <v>1.0000000289517099</v>
      </c>
    </row>
    <row r="2004" spans="1:40" x14ac:dyDescent="0.25">
      <c r="A2004" t="str">
        <f>"20190303153814071"</f>
        <v>20190303153814071</v>
      </c>
      <c r="B2004" t="str">
        <f>"1551598694060670"</f>
        <v>1551598694060670</v>
      </c>
      <c r="C2004" t="s">
        <v>40</v>
      </c>
      <c r="D2004">
        <v>5.1562669999999997</v>
      </c>
      <c r="E2004">
        <v>0.68119149999999995</v>
      </c>
      <c r="F2004" t="s">
        <v>55</v>
      </c>
      <c r="G2004">
        <v>-221.55070000000001</v>
      </c>
      <c r="H2004" s="1">
        <v>-7.1159819999999897E-7</v>
      </c>
      <c r="I2004">
        <v>287.04160000000002</v>
      </c>
      <c r="J2004">
        <v>-199.4417</v>
      </c>
      <c r="K2004">
        <v>1.111686</v>
      </c>
      <c r="L2004">
        <v>286.24509999999998</v>
      </c>
      <c r="M2004">
        <v>-0.79151530000000003</v>
      </c>
      <c r="N2004">
        <v>-1.6355910000000001E-2</v>
      </c>
      <c r="O2004">
        <v>-0.61093050000000004</v>
      </c>
      <c r="P2004">
        <v>-0.91649250000000004</v>
      </c>
      <c r="Q2004">
        <v>-5.7320650000000001E-2</v>
      </c>
      <c r="R2004">
        <v>-0.39592379999999999</v>
      </c>
      <c r="S2004">
        <v>-3.3332980000000001</v>
      </c>
      <c r="T2004">
        <v>-0.16634450000000001</v>
      </c>
      <c r="U2004">
        <v>0.1030884</v>
      </c>
      <c r="V2004">
        <v>0.2455106</v>
      </c>
      <c r="W2004">
        <v>-4.7339119999999998E-2</v>
      </c>
      <c r="X2004">
        <v>0.96823729999999997</v>
      </c>
      <c r="Y2004">
        <v>0.63391390000000003</v>
      </c>
      <c r="Z2004">
        <v>3.9210330000000002E-2</v>
      </c>
      <c r="AA2004">
        <v>0.77240900000000001</v>
      </c>
      <c r="AB2004">
        <v>19</v>
      </c>
      <c r="AC2004">
        <v>-22.109000000000002</v>
      </c>
      <c r="AD2004">
        <v>-1.1116867115982001</v>
      </c>
      <c r="AE2004">
        <v>0.79650000000003696</v>
      </c>
      <c r="AF2004">
        <v>14.103783094196601</v>
      </c>
      <c r="AG2004">
        <v>-1.1116867115982001</v>
      </c>
      <c r="AH2004">
        <v>16.972425612144299</v>
      </c>
      <c r="AI2004">
        <v>92.883915546383193</v>
      </c>
      <c r="AJ2004">
        <v>50.274022842391602</v>
      </c>
      <c r="AK2004">
        <v>22.0956053565559</v>
      </c>
      <c r="AL2004">
        <v>92.713345971170895</v>
      </c>
      <c r="AM2004">
        <v>75.771701481947602</v>
      </c>
      <c r="AN2004">
        <v>0.99999995805301101</v>
      </c>
    </row>
    <row r="2005" spans="1:40" x14ac:dyDescent="0.25">
      <c r="A2005" t="str">
        <f>"20190303153814093"</f>
        <v>20190303153814093</v>
      </c>
      <c r="B2005" t="str">
        <f>"1551598694090925"</f>
        <v>1551598694090925</v>
      </c>
      <c r="C2005" t="s">
        <v>40</v>
      </c>
      <c r="D2005">
        <v>5.1923909999999998</v>
      </c>
      <c r="E2005">
        <v>0.6800138</v>
      </c>
      <c r="F2005" t="s">
        <v>55</v>
      </c>
      <c r="G2005">
        <v>-220.80179999999999</v>
      </c>
      <c r="H2005" s="1">
        <v>-1.1100909999999999E-6</v>
      </c>
      <c r="I2005">
        <v>287.13920000000002</v>
      </c>
      <c r="J2005">
        <v>-199.61420000000001</v>
      </c>
      <c r="K2005">
        <v>1.1116740000000001</v>
      </c>
      <c r="L2005">
        <v>286.1397</v>
      </c>
      <c r="M2005">
        <v>-0.80264340000000001</v>
      </c>
      <c r="N2005">
        <v>-1.640877E-2</v>
      </c>
      <c r="O2005">
        <v>-0.59623369999999998</v>
      </c>
      <c r="P2005">
        <v>-0.92298829999999998</v>
      </c>
      <c r="Q2005">
        <v>-5.6151060000000003E-2</v>
      </c>
      <c r="R2005">
        <v>-0.3807101</v>
      </c>
      <c r="S2005">
        <v>-3.3226010000000001</v>
      </c>
      <c r="T2005">
        <v>-0.1729242</v>
      </c>
      <c r="U2005">
        <v>0.13906859999999999</v>
      </c>
      <c r="V2005">
        <v>0.24374560000000001</v>
      </c>
      <c r="W2005">
        <v>-4.6086179999999997E-2</v>
      </c>
      <c r="X2005">
        <v>0.96874360000000004</v>
      </c>
      <c r="Y2005">
        <v>0.62797769999999897</v>
      </c>
      <c r="Z2005">
        <v>4.059828E-2</v>
      </c>
      <c r="AA2005">
        <v>0.77717169999999902</v>
      </c>
      <c r="AB2005">
        <v>19</v>
      </c>
      <c r="AC2005">
        <v>-21.1875999999999</v>
      </c>
      <c r="AD2005">
        <v>-1.1116751100910001</v>
      </c>
      <c r="AE2005">
        <v>0.99950000000001105</v>
      </c>
      <c r="AF2005">
        <v>13.4000031277505</v>
      </c>
      <c r="AG2005">
        <v>-1.1116751100910001</v>
      </c>
      <c r="AH2005">
        <v>16.367400941376999</v>
      </c>
      <c r="AI2005">
        <v>93.008347409210998</v>
      </c>
      <c r="AJ2005">
        <v>50.692788168549299</v>
      </c>
      <c r="AK2005">
        <v>21.182250091760999</v>
      </c>
      <c r="AL2005">
        <v>92.641479205450096</v>
      </c>
      <c r="AM2005">
        <v>75.876968249345296</v>
      </c>
      <c r="AN2005">
        <v>1.00000000802365</v>
      </c>
    </row>
    <row r="2006" spans="1:40" x14ac:dyDescent="0.25">
      <c r="A2006" t="str">
        <f>"20190303153814116"</f>
        <v>20190303153814116</v>
      </c>
      <c r="B2006" t="str">
        <f>"1551598694110446"</f>
        <v>1551598694110446</v>
      </c>
      <c r="C2006" t="s">
        <v>40</v>
      </c>
      <c r="D2006">
        <v>5.1702709999999996</v>
      </c>
      <c r="E2006">
        <v>0.67764959999999996</v>
      </c>
      <c r="F2006" t="s">
        <v>55</v>
      </c>
      <c r="G2006">
        <v>-224.0907</v>
      </c>
      <c r="H2006" s="1">
        <v>6.4007969999999997E-7</v>
      </c>
      <c r="I2006">
        <v>287.50150000000002</v>
      </c>
      <c r="J2006">
        <v>-199.78729999999999</v>
      </c>
      <c r="K2006">
        <v>1.11168</v>
      </c>
      <c r="L2006">
        <v>286.03840000000002</v>
      </c>
      <c r="M2006">
        <v>-0.81347760000000002</v>
      </c>
      <c r="N2006">
        <v>-1.6453740000000001E-2</v>
      </c>
      <c r="O2006">
        <v>-0.58136339999999997</v>
      </c>
      <c r="P2006">
        <v>-0.92876040000000004</v>
      </c>
      <c r="Q2006">
        <v>-5.4515220000000003E-2</v>
      </c>
      <c r="R2006">
        <v>-0.36665009999999998</v>
      </c>
      <c r="S2006">
        <v>-3.3172609999999998</v>
      </c>
      <c r="T2006">
        <v>-0.150663299999999</v>
      </c>
      <c r="U2006">
        <v>0.18457029999999999</v>
      </c>
      <c r="V2006">
        <v>0.2407291</v>
      </c>
      <c r="W2006">
        <v>-4.432531E-2</v>
      </c>
      <c r="X2006">
        <v>0.96957969999999905</v>
      </c>
      <c r="Y2006">
        <v>0.62470199999999998</v>
      </c>
      <c r="Z2006">
        <v>3.4427340000000001E-2</v>
      </c>
      <c r="AA2006">
        <v>0.78010400000000002</v>
      </c>
      <c r="AB2006">
        <v>19</v>
      </c>
      <c r="AC2006">
        <v>-24.3034</v>
      </c>
      <c r="AD2006">
        <v>-1.1116793599203001</v>
      </c>
      <c r="AE2006">
        <v>1.4630999999999901</v>
      </c>
      <c r="AF2006">
        <v>15.289506131298801</v>
      </c>
      <c r="AG2006">
        <v>-1.1116793599203001</v>
      </c>
      <c r="AH2006">
        <v>18.882874812855398</v>
      </c>
      <c r="AI2006">
        <v>92.619698090926605</v>
      </c>
      <c r="AJ2006">
        <v>51.002830315800701</v>
      </c>
      <c r="AK2006">
        <v>24.322166637375599</v>
      </c>
      <c r="AL2006">
        <v>92.540485513424798</v>
      </c>
      <c r="AM2006">
        <v>76.056442668257006</v>
      </c>
      <c r="AN2006">
        <v>1.0000000136727401</v>
      </c>
    </row>
    <row r="2007" spans="1:40" x14ac:dyDescent="0.25">
      <c r="A2007" t="str">
        <f>"20190303153814139"</f>
        <v>20190303153814139</v>
      </c>
      <c r="B2007" t="str">
        <f>"1551598694130942"</f>
        <v>1551598694130942</v>
      </c>
      <c r="C2007" t="s">
        <v>40</v>
      </c>
      <c r="D2007">
        <v>5.0573220000000001</v>
      </c>
      <c r="E2007">
        <v>0.67602069999999903</v>
      </c>
      <c r="F2007" t="s">
        <v>55</v>
      </c>
      <c r="G2007">
        <v>-224.1995</v>
      </c>
      <c r="H2007" s="1">
        <v>6.9796789999999995E-7</v>
      </c>
      <c r="I2007">
        <v>287.64429999999999</v>
      </c>
      <c r="J2007">
        <v>-199.96680000000001</v>
      </c>
      <c r="K2007">
        <v>1.111685</v>
      </c>
      <c r="L2007">
        <v>285.93790000000001</v>
      </c>
      <c r="M2007">
        <v>-0.82435340000000001</v>
      </c>
      <c r="N2007">
        <v>-1.6491349999999998E-2</v>
      </c>
      <c r="O2007">
        <v>-0.56583519999999998</v>
      </c>
      <c r="P2007">
        <v>-0.93417169999999905</v>
      </c>
      <c r="Q2007">
        <v>-5.6824670000000001E-2</v>
      </c>
      <c r="R2007">
        <v>-0.35226980000000002</v>
      </c>
      <c r="S2007">
        <v>-3.3071440000000001</v>
      </c>
      <c r="T2007">
        <v>-0.1506004</v>
      </c>
      <c r="U2007">
        <v>0.2175598</v>
      </c>
      <c r="V2007">
        <v>0.23718410000000001</v>
      </c>
      <c r="W2007">
        <v>-4.6493649999999997E-2</v>
      </c>
      <c r="X2007">
        <v>0.97035150000000003</v>
      </c>
      <c r="Y2007">
        <v>0.61777559999999998</v>
      </c>
      <c r="Z2007">
        <v>3.4029839999999999E-2</v>
      </c>
      <c r="AA2007">
        <v>0.78561780000000003</v>
      </c>
      <c r="AB2007">
        <v>19</v>
      </c>
      <c r="AC2007">
        <v>-24.232699999999902</v>
      </c>
      <c r="AD2007">
        <v>-1.1116843020320999</v>
      </c>
      <c r="AE2007">
        <v>1.7063999999999699</v>
      </c>
      <c r="AF2007">
        <v>15.088849241342499</v>
      </c>
      <c r="AG2007">
        <v>-1.1116843020320999</v>
      </c>
      <c r="AH2007">
        <v>18.973619512379098</v>
      </c>
      <c r="AI2007">
        <v>92.625624371427605</v>
      </c>
      <c r="AJ2007">
        <v>51.506379938819798</v>
      </c>
      <c r="AK2007">
        <v>24.267415412768599</v>
      </c>
      <c r="AL2007">
        <v>92.664850603983396</v>
      </c>
      <c r="AM2007">
        <v>76.264452305011602</v>
      </c>
      <c r="AN2007">
        <v>0.999999995167691</v>
      </c>
    </row>
    <row r="2008" spans="1:40" x14ac:dyDescent="0.25">
      <c r="A2008" t="str">
        <f>"20190303153814160"</f>
        <v>20190303153814160</v>
      </c>
      <c r="B2008" t="str">
        <f>"1551598694150465"</f>
        <v>1551598694150465</v>
      </c>
      <c r="C2008" t="s">
        <v>40</v>
      </c>
      <c r="D2008">
        <v>5.1256050000000002</v>
      </c>
      <c r="E2008">
        <v>0.67591069999999998</v>
      </c>
      <c r="F2008" t="s">
        <v>55</v>
      </c>
      <c r="G2008">
        <v>-223.67339999999999</v>
      </c>
      <c r="H2008" s="1">
        <v>4.1803050000000001E-7</v>
      </c>
      <c r="I2008">
        <v>287.77940000000001</v>
      </c>
      <c r="J2008">
        <v>-200.13419999999999</v>
      </c>
      <c r="K2008">
        <v>1.111686</v>
      </c>
      <c r="L2008">
        <v>285.84809999999999</v>
      </c>
      <c r="M2008">
        <v>-0.83416769999999996</v>
      </c>
      <c r="N2008">
        <v>-1.6518399999999999E-2</v>
      </c>
      <c r="O2008">
        <v>-0.55126350000000002</v>
      </c>
      <c r="P2008">
        <v>-0.93831120000000001</v>
      </c>
      <c r="Q2008">
        <v>-6.3316239999999996E-2</v>
      </c>
      <c r="R2008">
        <v>-0.33994550000000001</v>
      </c>
      <c r="S2008">
        <v>-3.2985989999999998</v>
      </c>
      <c r="T2008">
        <v>-0.15468229999999999</v>
      </c>
      <c r="U2008">
        <v>0.2562256</v>
      </c>
      <c r="V2008">
        <v>0.23252790000000001</v>
      </c>
      <c r="W2008">
        <v>-5.2819789999999998E-2</v>
      </c>
      <c r="X2008">
        <v>0.97115439999999997</v>
      </c>
      <c r="Y2008">
        <v>0.61319880000000004</v>
      </c>
      <c r="Z2008">
        <v>3.4741649999999999E-2</v>
      </c>
      <c r="AA2008">
        <v>0.78916430000000004</v>
      </c>
      <c r="AB2008">
        <v>19</v>
      </c>
      <c r="AC2008">
        <v>-23.539199999999902</v>
      </c>
      <c r="AD2008">
        <v>-1.1116855819695</v>
      </c>
      <c r="AE2008">
        <v>1.93130000000002</v>
      </c>
      <c r="AF2008">
        <v>14.5570691671816</v>
      </c>
      <c r="AG2008">
        <v>-1.1116855819695</v>
      </c>
      <c r="AH2008">
        <v>18.5324605403334</v>
      </c>
      <c r="AI2008">
        <v>92.700818082673905</v>
      </c>
      <c r="AJ2008">
        <v>51.850706893533903</v>
      </c>
      <c r="AK2008">
        <v>23.592291140334002</v>
      </c>
      <c r="AL2008">
        <v>93.027759994406793</v>
      </c>
      <c r="AM2008">
        <v>76.534904995783293</v>
      </c>
      <c r="AN2008">
        <v>1.0000000115667</v>
      </c>
    </row>
    <row r="2009" spans="1:40" x14ac:dyDescent="0.25">
      <c r="A2009" t="str">
        <f>"20190303153814183"</f>
        <v>20190303153814183</v>
      </c>
      <c r="B2009" t="str">
        <f>"1551598694170958"</f>
        <v>1551598694170958</v>
      </c>
      <c r="C2009" t="s">
        <v>40</v>
      </c>
      <c r="D2009">
        <v>5.1135960000000003</v>
      </c>
      <c r="E2009">
        <v>0.67393169999999902</v>
      </c>
      <c r="F2009" t="s">
        <v>55</v>
      </c>
      <c r="G2009">
        <v>-223.84450000000001</v>
      </c>
      <c r="H2009" s="1">
        <v>5.0908380000000002E-7</v>
      </c>
      <c r="I2009">
        <v>287.99250000000001</v>
      </c>
      <c r="J2009">
        <v>-200.3158</v>
      </c>
      <c r="K2009">
        <v>1.11171</v>
      </c>
      <c r="L2009">
        <v>285.75510000000003</v>
      </c>
      <c r="M2009">
        <v>-0.84443939999999995</v>
      </c>
      <c r="N2009">
        <v>-1.653955E-2</v>
      </c>
      <c r="O2009">
        <v>-0.53539559999999997</v>
      </c>
      <c r="P2009">
        <v>-0.94276539999999998</v>
      </c>
      <c r="Q2009">
        <v>-6.8371130000000002E-2</v>
      </c>
      <c r="R2009">
        <v>-0.32637189999999999</v>
      </c>
      <c r="S2009">
        <v>-3.2947690000000001</v>
      </c>
      <c r="T2009">
        <v>-0.15447900000000001</v>
      </c>
      <c r="U2009">
        <v>0.29797360000000001</v>
      </c>
      <c r="V2009">
        <v>0.22788220000000001</v>
      </c>
      <c r="W2009">
        <v>-5.7704789999999999E-2</v>
      </c>
      <c r="X2009">
        <v>0.97197730000000004</v>
      </c>
      <c r="Y2009">
        <v>0.60827710000000002</v>
      </c>
      <c r="Z2009">
        <v>3.4247640000000003E-2</v>
      </c>
      <c r="AA2009">
        <v>0.79298550000000001</v>
      </c>
      <c r="AB2009">
        <v>19</v>
      </c>
      <c r="AC2009">
        <v>-23.528700000000001</v>
      </c>
      <c r="AD2009">
        <v>-1.1117094909162</v>
      </c>
      <c r="AE2009">
        <v>2.2373999999999801</v>
      </c>
      <c r="AF2009">
        <v>14.456509115580101</v>
      </c>
      <c r="AG2009">
        <v>-1.1117094909162</v>
      </c>
      <c r="AH2009">
        <v>18.631999615824299</v>
      </c>
      <c r="AI2009">
        <v>92.698980058735302</v>
      </c>
      <c r="AJ2009">
        <v>52.192227432701301</v>
      </c>
      <c r="AK2009">
        <v>23.608853497896099</v>
      </c>
      <c r="AL2009">
        <v>93.3080785374908</v>
      </c>
      <c r="AM2009">
        <v>76.805197361742501</v>
      </c>
      <c r="AN2009">
        <v>1.0000000057905301</v>
      </c>
    </row>
    <row r="2010" spans="1:40" x14ac:dyDescent="0.25">
      <c r="A2010" t="str">
        <f>"20190303153814205"</f>
        <v>20190303153814205</v>
      </c>
      <c r="B2010" t="str">
        <f>"1551598694201213"</f>
        <v>1551598694201213</v>
      </c>
      <c r="C2010" t="s">
        <v>40</v>
      </c>
      <c r="D2010">
        <v>5.1425349999999996</v>
      </c>
      <c r="E2010">
        <v>0.67097119999999999</v>
      </c>
      <c r="F2010" t="s">
        <v>55</v>
      </c>
      <c r="G2010">
        <v>-221.5284</v>
      </c>
      <c r="H2010" s="1">
        <v>-7.2345219999999997E-7</v>
      </c>
      <c r="I2010">
        <v>287.88940000000002</v>
      </c>
      <c r="J2010">
        <v>-200.4795</v>
      </c>
      <c r="K2010">
        <v>1.1117629999999901</v>
      </c>
      <c r="L2010">
        <v>285.67500000000001</v>
      </c>
      <c r="M2010">
        <v>-0.85336690000000004</v>
      </c>
      <c r="N2010">
        <v>-1.6551570000000002E-2</v>
      </c>
      <c r="O2010">
        <v>-0.52104790000000001</v>
      </c>
      <c r="P2010">
        <v>-0.94644300000000003</v>
      </c>
      <c r="Q2010">
        <v>-6.9935709999999998E-2</v>
      </c>
      <c r="R2010">
        <v>-0.31520589999999998</v>
      </c>
      <c r="S2010">
        <v>-3.284027</v>
      </c>
      <c r="T2010">
        <v>-0.1721094</v>
      </c>
      <c r="U2010">
        <v>0.33041379999999998</v>
      </c>
      <c r="V2010">
        <v>0.22285930000000001</v>
      </c>
      <c r="W2010">
        <v>-5.9091909999999997E-2</v>
      </c>
      <c r="X2010">
        <v>0.97305799999999998</v>
      </c>
      <c r="Y2010">
        <v>0.60259069999999904</v>
      </c>
      <c r="Z2010">
        <v>3.8182939999999999E-2</v>
      </c>
      <c r="AA2010">
        <v>0.79713639999999997</v>
      </c>
      <c r="AB2010">
        <v>19</v>
      </c>
      <c r="AC2010">
        <v>-21.0489</v>
      </c>
      <c r="AD2010">
        <v>-1.11176372345219</v>
      </c>
      <c r="AE2010">
        <v>2.2144000000000101</v>
      </c>
      <c r="AF2010">
        <v>12.823559734070701</v>
      </c>
      <c r="AG2010">
        <v>-1.11176372345219</v>
      </c>
      <c r="AH2010">
        <v>16.7646721108881</v>
      </c>
      <c r="AI2010">
        <v>93.015165328230594</v>
      </c>
      <c r="AJ2010">
        <v>52.587060933331301</v>
      </c>
      <c r="AK2010">
        <v>21.136081325914098</v>
      </c>
      <c r="AL2010">
        <v>93.387690566050296</v>
      </c>
      <c r="AM2010">
        <v>77.100040979694697</v>
      </c>
      <c r="AN2010">
        <v>0.99999999639396897</v>
      </c>
    </row>
    <row r="2011" spans="1:40" x14ac:dyDescent="0.25">
      <c r="A2011" t="str">
        <f>"20190303153814227"</f>
        <v>20190303153814227</v>
      </c>
      <c r="B2011" t="str">
        <f>"1551598694220734"</f>
        <v>1551598694220734</v>
      </c>
      <c r="C2011" t="s">
        <v>40</v>
      </c>
      <c r="D2011">
        <v>5.1700589999999904</v>
      </c>
      <c r="E2011">
        <v>0.66994409999999904</v>
      </c>
      <c r="F2011" t="s">
        <v>55</v>
      </c>
      <c r="G2011">
        <v>-220.19550000000001</v>
      </c>
      <c r="H2011" s="1">
        <v>-1.4327379999999901E-6</v>
      </c>
      <c r="I2011">
        <v>287.76760000000002</v>
      </c>
      <c r="J2011">
        <v>-200.66800000000001</v>
      </c>
      <c r="K2011">
        <v>1.111845</v>
      </c>
      <c r="L2011">
        <v>285.58679999999998</v>
      </c>
      <c r="M2011">
        <v>-0.86325509999999905</v>
      </c>
      <c r="N2011">
        <v>-1.655792E-2</v>
      </c>
      <c r="O2011">
        <v>-0.50449659999999996</v>
      </c>
      <c r="P2011">
        <v>-0.94986820000000005</v>
      </c>
      <c r="Q2011">
        <v>-6.7653249999999998E-2</v>
      </c>
      <c r="R2011">
        <v>-0.30524390000000001</v>
      </c>
      <c r="S2011">
        <v>-3.2717900000000002</v>
      </c>
      <c r="T2011">
        <v>-0.1844923</v>
      </c>
      <c r="U2011">
        <v>0.3472595</v>
      </c>
      <c r="V2011">
        <v>0.21447089999999999</v>
      </c>
      <c r="W2011">
        <v>-5.6533769999999997E-2</v>
      </c>
      <c r="X2011">
        <v>0.97509290000000004</v>
      </c>
      <c r="Y2011">
        <v>0.5913311</v>
      </c>
      <c r="Z2011">
        <v>4.044735E-2</v>
      </c>
      <c r="AA2011">
        <v>0.80541399999999996</v>
      </c>
      <c r="AB2011">
        <v>19</v>
      </c>
      <c r="AC2011">
        <v>-19.5275</v>
      </c>
      <c r="AD2011">
        <v>-1.111846432738</v>
      </c>
      <c r="AE2011">
        <v>2.1808000000000298</v>
      </c>
      <c r="AF2011">
        <v>11.6982936472292</v>
      </c>
      <c r="AG2011">
        <v>-1.111846432738</v>
      </c>
      <c r="AH2011">
        <v>15.7088666013781</v>
      </c>
      <c r="AI2011">
        <v>93.249015478169397</v>
      </c>
      <c r="AJ2011">
        <v>53.325177571544998</v>
      </c>
      <c r="AK2011">
        <v>19.6177156327308</v>
      </c>
      <c r="AL2011">
        <v>93.240874332512703</v>
      </c>
      <c r="AM2011">
        <v>77.595357940931294</v>
      </c>
      <c r="AN2011">
        <v>0.99999999886381596</v>
      </c>
    </row>
    <row r="2012" spans="1:40" x14ac:dyDescent="0.25">
      <c r="A2012" t="str">
        <f>"20190303153814249"</f>
        <v>20190303153814249</v>
      </c>
      <c r="B2012" t="str">
        <f>"1551598694240254"</f>
        <v>1551598694240254</v>
      </c>
      <c r="C2012" t="s">
        <v>40</v>
      </c>
      <c r="D2012">
        <v>5.1351009999999997</v>
      </c>
      <c r="E2012">
        <v>0.64468190000000003</v>
      </c>
      <c r="F2012" t="s">
        <v>55</v>
      </c>
      <c r="G2012">
        <v>-220.69040000000001</v>
      </c>
      <c r="H2012" s="1">
        <v>-1.169407E-6</v>
      </c>
      <c r="I2012">
        <v>287.8802</v>
      </c>
      <c r="J2012">
        <v>-200.84809999999999</v>
      </c>
      <c r="K2012">
        <v>1.111942</v>
      </c>
      <c r="L2012">
        <v>285.50650000000002</v>
      </c>
      <c r="M2012">
        <v>-0.87231340000000002</v>
      </c>
      <c r="N2012">
        <v>-1.65562E-2</v>
      </c>
      <c r="O2012">
        <v>-0.48866690000000002</v>
      </c>
      <c r="P2012">
        <v>-0.95230539999999997</v>
      </c>
      <c r="Q2012">
        <v>-6.3307080000000002E-2</v>
      </c>
      <c r="R2012">
        <v>-0.29850749999999998</v>
      </c>
      <c r="S2012">
        <v>-3.265625</v>
      </c>
      <c r="T2012">
        <v>-0.18134030000000001</v>
      </c>
      <c r="U2012">
        <v>0.374054</v>
      </c>
      <c r="V2012">
        <v>0.20385059999999999</v>
      </c>
      <c r="W2012">
        <v>-5.1859330000000002E-2</v>
      </c>
      <c r="X2012">
        <v>0.97762749999999998</v>
      </c>
      <c r="Y2012">
        <v>0.58336969999999899</v>
      </c>
      <c r="Z2012">
        <v>3.8998329999999998E-2</v>
      </c>
      <c r="AA2012">
        <v>0.81126999999999905</v>
      </c>
      <c r="AB2012">
        <v>19</v>
      </c>
      <c r="AC2012">
        <v>-19.842300000000002</v>
      </c>
      <c r="AD2012">
        <v>-1.1119431694070001</v>
      </c>
      <c r="AE2012">
        <v>2.3736999999999799</v>
      </c>
      <c r="AF2012">
        <v>11.732174327805399</v>
      </c>
      <c r="AG2012">
        <v>-1.1119431694070001</v>
      </c>
      <c r="AH2012">
        <v>16.1011182270374</v>
      </c>
      <c r="AI2012">
        <v>93.194624474323405</v>
      </c>
      <c r="AJ2012">
        <v>53.920828033466698</v>
      </c>
      <c r="AK2012">
        <v>19.953103523789</v>
      </c>
      <c r="AL2012">
        <v>92.972654212737993</v>
      </c>
      <c r="AM2012">
        <v>78.221701870036796</v>
      </c>
      <c r="AN2012">
        <v>0.999999992992329</v>
      </c>
    </row>
    <row r="2013" spans="1:40" x14ac:dyDescent="0.25">
      <c r="A2013" t="str">
        <f>"20190303153814271"</f>
        <v>20190303153814271</v>
      </c>
      <c r="B2013" t="str">
        <f>"1551598694260749"</f>
        <v>1551598694260749</v>
      </c>
      <c r="C2013" t="s">
        <v>40</v>
      </c>
      <c r="D2013">
        <v>5.2870010000000001</v>
      </c>
      <c r="E2013">
        <v>0.60891660000000003</v>
      </c>
      <c r="F2013" t="s">
        <v>55</v>
      </c>
      <c r="G2013">
        <v>-216.10319999999999</v>
      </c>
      <c r="H2013" s="1">
        <v>1.71102999999999E-6</v>
      </c>
      <c r="I2013">
        <v>286.49700000000001</v>
      </c>
      <c r="J2013">
        <v>-201.0273</v>
      </c>
      <c r="K2013">
        <v>1.11205</v>
      </c>
      <c r="L2013">
        <v>285.4307</v>
      </c>
      <c r="M2013">
        <v>-0.88092669999999995</v>
      </c>
      <c r="N2013">
        <v>-1.6544670000000001E-2</v>
      </c>
      <c r="O2013">
        <v>-0.47296369999999999</v>
      </c>
      <c r="P2013">
        <v>-0.95457380000000003</v>
      </c>
      <c r="Q2013">
        <v>-5.9016579999999999E-2</v>
      </c>
      <c r="R2013">
        <v>-0.29207270000000002</v>
      </c>
      <c r="S2013">
        <v>-3.1998440000000001</v>
      </c>
      <c r="T2013">
        <v>-0.23323640000000001</v>
      </c>
      <c r="U2013">
        <v>0.2077637</v>
      </c>
      <c r="V2013">
        <v>0.19317860000000001</v>
      </c>
      <c r="W2013">
        <v>-4.7247860000000003E-2</v>
      </c>
      <c r="X2013">
        <v>0.98002540000000005</v>
      </c>
      <c r="Y2013">
        <v>0.52674500000000002</v>
      </c>
      <c r="Z2013">
        <v>4.8930319999999999E-2</v>
      </c>
      <c r="AA2013">
        <v>0.84861390000000003</v>
      </c>
      <c r="AB2013">
        <v>19</v>
      </c>
      <c r="AC2013">
        <v>-15.075899999999899</v>
      </c>
      <c r="AD2013">
        <v>-1.1120482889700001</v>
      </c>
      <c r="AE2013">
        <v>1.06630000000001</v>
      </c>
      <c r="AF2013">
        <v>8.0273297905053607</v>
      </c>
      <c r="AG2013">
        <v>-1.1120482889700001</v>
      </c>
      <c r="AH2013">
        <v>12.7093812439737</v>
      </c>
      <c r="AI2013">
        <v>94.230911730713999</v>
      </c>
      <c r="AJ2013">
        <v>57.723220800018098</v>
      </c>
      <c r="AK2013">
        <v>15.0732560041687</v>
      </c>
      <c r="AL2013">
        <v>92.708111029272303</v>
      </c>
      <c r="AM2013">
        <v>78.849045773108799</v>
      </c>
      <c r="AN2013">
        <v>1.00000005820884</v>
      </c>
    </row>
    <row r="2014" spans="1:40" x14ac:dyDescent="0.25">
      <c r="A2014" t="str">
        <f>"20190303153814292"</f>
        <v>20190303153814292</v>
      </c>
      <c r="B2014" t="str">
        <f>"1551598694291005"</f>
        <v>1551598694291005</v>
      </c>
      <c r="C2014" t="s">
        <v>40</v>
      </c>
      <c r="D2014">
        <v>5.0991799999999996</v>
      </c>
      <c r="E2014">
        <v>0.601267</v>
      </c>
      <c r="F2014" t="s">
        <v>55</v>
      </c>
      <c r="G2014">
        <v>-217.09229999999999</v>
      </c>
      <c r="H2014" s="1">
        <v>2.237354E-6</v>
      </c>
      <c r="I2014">
        <v>285.2054</v>
      </c>
      <c r="J2014">
        <v>-201.2039</v>
      </c>
      <c r="K2014">
        <v>1.112155</v>
      </c>
      <c r="L2014">
        <v>285.3596</v>
      </c>
      <c r="M2014">
        <v>-0.88903080000000001</v>
      </c>
      <c r="N2014">
        <v>-1.6522740000000001E-2</v>
      </c>
      <c r="O2014">
        <v>-0.45754929999999999</v>
      </c>
      <c r="P2014">
        <v>-0.95826800000000001</v>
      </c>
      <c r="Q2014">
        <v>-5.8263469999999998E-2</v>
      </c>
      <c r="R2014">
        <v>-0.27987109999999998</v>
      </c>
      <c r="S2014">
        <v>-3.1160580000000002</v>
      </c>
      <c r="T2014">
        <v>-0.2156999</v>
      </c>
      <c r="U2014">
        <v>-4.3701169999999998E-2</v>
      </c>
      <c r="V2014">
        <v>0.18866569999999999</v>
      </c>
      <c r="W2014">
        <v>-4.6345079999999997E-2</v>
      </c>
      <c r="X2014">
        <v>0.98094720000000002</v>
      </c>
      <c r="Y2014">
        <v>0.4432316</v>
      </c>
      <c r="Z2014">
        <v>4.1887090000000002E-2</v>
      </c>
      <c r="AA2014">
        <v>0.89542790000000005</v>
      </c>
      <c r="AB2014">
        <v>19</v>
      </c>
      <c r="AC2014">
        <v>-15.888399999999899</v>
      </c>
      <c r="AD2014">
        <v>-1.1121527626459999</v>
      </c>
      <c r="AE2014">
        <v>-0.154200000000003</v>
      </c>
      <c r="AF2014">
        <v>7.0988323078686699</v>
      </c>
      <c r="AG2014">
        <v>-1.1121527626459999</v>
      </c>
      <c r="AH2014">
        <v>14.128549317848799</v>
      </c>
      <c r="AI2014">
        <v>94.023410094862598</v>
      </c>
      <c r="AJ2014">
        <v>63.3229447059649</v>
      </c>
      <c r="AK2014">
        <v>15.850747923350101</v>
      </c>
      <c r="AL2014">
        <v>92.656328941943499</v>
      </c>
      <c r="AM2014">
        <v>79.1132333544479</v>
      </c>
      <c r="AN2014">
        <v>1.00000001099226</v>
      </c>
    </row>
    <row r="2015" spans="1:40" x14ac:dyDescent="0.25">
      <c r="A2015" t="str">
        <f>"20190303153814318"</f>
        <v>20190303153814318</v>
      </c>
      <c r="B2015" t="str">
        <f>"1551598694310526"</f>
        <v>1551598694310526</v>
      </c>
      <c r="C2015" t="s">
        <v>40</v>
      </c>
      <c r="D2015">
        <v>5.103389</v>
      </c>
      <c r="E2015">
        <v>0.59937390000000001</v>
      </c>
      <c r="F2015" t="s">
        <v>55</v>
      </c>
      <c r="G2015">
        <v>-224.0949</v>
      </c>
      <c r="H2015" s="1">
        <v>6.423118E-7</v>
      </c>
      <c r="I2015">
        <v>284.87909999999999</v>
      </c>
      <c r="J2015">
        <v>-201.40880000000001</v>
      </c>
      <c r="K2015">
        <v>1.1122989999999999</v>
      </c>
      <c r="L2015">
        <v>285.28140000000002</v>
      </c>
      <c r="M2015">
        <v>-0.8979644</v>
      </c>
      <c r="N2015">
        <v>-1.6484829999999999E-2</v>
      </c>
      <c r="O2015">
        <v>-0.43975959999999997</v>
      </c>
      <c r="P2015">
        <v>-0.96166689999999999</v>
      </c>
      <c r="Q2015">
        <v>-6.0205460000000002E-2</v>
      </c>
      <c r="R2015">
        <v>-0.26753070000000001</v>
      </c>
      <c r="S2015">
        <v>-3.1024780000000001</v>
      </c>
      <c r="T2015">
        <v>-0.15073310000000001</v>
      </c>
      <c r="U2015">
        <v>-6.5124509999999997E-2</v>
      </c>
      <c r="V2015">
        <v>0.18166840000000001</v>
      </c>
      <c r="W2015">
        <v>-4.8078950000000002E-2</v>
      </c>
      <c r="X2015">
        <v>0.98218380000000005</v>
      </c>
      <c r="Y2015">
        <v>0.4200236</v>
      </c>
      <c r="Z2015">
        <v>2.6965179999999998E-2</v>
      </c>
      <c r="AA2015">
        <v>0.90711249999999999</v>
      </c>
      <c r="AB2015">
        <v>19</v>
      </c>
      <c r="AC2015">
        <v>-22.6860999999999</v>
      </c>
      <c r="AD2015">
        <v>-1.1122983576882</v>
      </c>
      <c r="AE2015">
        <v>-0.40230000000002503</v>
      </c>
      <c r="AF2015">
        <v>9.5934296346265704</v>
      </c>
      <c r="AG2015">
        <v>-1.1122983576882</v>
      </c>
      <c r="AH2015">
        <v>20.5017453470738</v>
      </c>
      <c r="AI2015">
        <v>92.813254625145404</v>
      </c>
      <c r="AJ2015">
        <v>64.923586263729305</v>
      </c>
      <c r="AK2015">
        <v>22.6625828639921</v>
      </c>
      <c r="AL2015">
        <v>92.755783305619701</v>
      </c>
      <c r="AM2015">
        <v>79.520790043298604</v>
      </c>
      <c r="AN2015">
        <v>1.0000000049870501</v>
      </c>
    </row>
    <row r="2016" spans="1:40" x14ac:dyDescent="0.25">
      <c r="A2016" t="str">
        <f>"20190303153814338"</f>
        <v>20190303153814338</v>
      </c>
      <c r="B2016" t="str">
        <f>"1551598694331022"</f>
        <v>1551598694331022</v>
      </c>
      <c r="C2016" t="s">
        <v>40</v>
      </c>
      <c r="D2016">
        <v>5.0453089999999996</v>
      </c>
      <c r="E2016">
        <v>0.59837280000000004</v>
      </c>
      <c r="F2016" t="s">
        <v>55</v>
      </c>
      <c r="G2016">
        <v>-222.32149999999999</v>
      </c>
      <c r="H2016" s="1">
        <v>-3.0140879999999999E-7</v>
      </c>
      <c r="I2016">
        <v>285.01459999999997</v>
      </c>
      <c r="J2016">
        <v>-201.58279999999999</v>
      </c>
      <c r="K2016">
        <v>1.1124480000000001</v>
      </c>
      <c r="L2016">
        <v>285.2183</v>
      </c>
      <c r="M2016">
        <v>-0.90515350000000006</v>
      </c>
      <c r="N2016">
        <v>-1.6442200000000001E-2</v>
      </c>
      <c r="O2016">
        <v>-0.42476700000000001</v>
      </c>
      <c r="P2016">
        <v>-0.96417560000000002</v>
      </c>
      <c r="Q2016">
        <v>-6.290142E-2</v>
      </c>
      <c r="R2016">
        <v>-0.25769920000000002</v>
      </c>
      <c r="S2016">
        <v>-3.0982820000000002</v>
      </c>
      <c r="T2016">
        <v>-0.16479050000000001</v>
      </c>
      <c r="U2016">
        <v>-3.9520260000000001E-2</v>
      </c>
      <c r="V2016">
        <v>0.1752504</v>
      </c>
      <c r="W2016">
        <v>-5.0591459999999998E-2</v>
      </c>
      <c r="X2016">
        <v>0.98322310000000002</v>
      </c>
      <c r="Y2016">
        <v>0.4122342</v>
      </c>
      <c r="Z2016">
        <v>2.9186839999999999E-2</v>
      </c>
      <c r="AA2016">
        <v>0.91061029999999998</v>
      </c>
      <c r="AB2016">
        <v>19</v>
      </c>
      <c r="AC2016">
        <v>-20.738699999999898</v>
      </c>
      <c r="AD2016">
        <v>-1.11244830140879</v>
      </c>
      <c r="AE2016">
        <v>-0.203700000000026</v>
      </c>
      <c r="AF2016">
        <v>8.6011544139638296</v>
      </c>
      <c r="AG2016">
        <v>-1.11244830140879</v>
      </c>
      <c r="AH2016">
        <v>18.806670955678001</v>
      </c>
      <c r="AI2016">
        <v>93.079139233675207</v>
      </c>
      <c r="AJ2016">
        <v>65.423205431282497</v>
      </c>
      <c r="AK2016">
        <v>20.710100697758499</v>
      </c>
      <c r="AL2016">
        <v>92.899915288074595</v>
      </c>
      <c r="AM2016">
        <v>79.8936916758677</v>
      </c>
      <c r="AN2016">
        <v>0.99999993144934796</v>
      </c>
    </row>
    <row r="2017" spans="1:40" x14ac:dyDescent="0.25">
      <c r="A2017" t="str">
        <f>"20190303153814361"</f>
        <v>20190303153814361</v>
      </c>
      <c r="B2017" t="str">
        <f>"1551598694350545"</f>
        <v>1551598694350545</v>
      </c>
      <c r="C2017" t="s">
        <v>40</v>
      </c>
      <c r="D2017">
        <v>4.9438969999999998</v>
      </c>
      <c r="E2017">
        <v>0.59806340000000002</v>
      </c>
      <c r="F2017" t="s">
        <v>55</v>
      </c>
      <c r="G2017">
        <v>-221.3484</v>
      </c>
      <c r="H2017" s="1">
        <v>-8.1922799999999996E-7</v>
      </c>
      <c r="I2017">
        <v>285.11939999999998</v>
      </c>
      <c r="J2017">
        <v>-201.7706</v>
      </c>
      <c r="K2017">
        <v>1.1126609999999999</v>
      </c>
      <c r="L2017">
        <v>285.15359999999998</v>
      </c>
      <c r="M2017">
        <v>-0.91247789999999995</v>
      </c>
      <c r="N2017">
        <v>-1.6381260000000002E-2</v>
      </c>
      <c r="O2017">
        <v>-0.40879799999999999</v>
      </c>
      <c r="P2017">
        <v>-0.96680529999999998</v>
      </c>
      <c r="Q2017">
        <v>-6.4068799999999995E-2</v>
      </c>
      <c r="R2017">
        <v>-0.24735190000000001</v>
      </c>
      <c r="S2017">
        <v>-3.0959469999999998</v>
      </c>
      <c r="T2017">
        <v>-0.17424619999999999</v>
      </c>
      <c r="U2017">
        <v>-1.550293E-2</v>
      </c>
      <c r="V2017">
        <v>0.16848350000000001</v>
      </c>
      <c r="W2017">
        <v>-5.1565159999999999E-2</v>
      </c>
      <c r="X2017">
        <v>0.98435479999999997</v>
      </c>
      <c r="Y2017">
        <v>0.40316750000000001</v>
      </c>
      <c r="Z2017">
        <v>3.0252520000000001E-2</v>
      </c>
      <c r="AA2017">
        <v>0.9146261</v>
      </c>
      <c r="AB2017">
        <v>19</v>
      </c>
      <c r="AC2017">
        <v>-19.5778</v>
      </c>
      <c r="AD2017">
        <v>-1.112661819228</v>
      </c>
      <c r="AE2017">
        <v>-3.4199999999998398E-2</v>
      </c>
      <c r="AF2017">
        <v>7.9475580276646296</v>
      </c>
      <c r="AG2017">
        <v>-1.112661819228</v>
      </c>
      <c r="AH2017">
        <v>17.823121387868898</v>
      </c>
      <c r="AI2017">
        <v>93.263261016774507</v>
      </c>
      <c r="AJ2017">
        <v>65.967295783120903</v>
      </c>
      <c r="AK2017">
        <v>19.546492036520899</v>
      </c>
      <c r="AL2017">
        <v>92.955776869923298</v>
      </c>
      <c r="AM2017">
        <v>80.287295468796003</v>
      </c>
      <c r="AN2017">
        <v>1.00000001389055</v>
      </c>
    </row>
    <row r="2018" spans="1:40" x14ac:dyDescent="0.25">
      <c r="A2018" t="str">
        <f>"20190303153814382"</f>
        <v>20190303153814382</v>
      </c>
      <c r="B2018" t="str">
        <f>"1551598694371038"</f>
        <v>1551598694371038</v>
      </c>
      <c r="C2018" t="s">
        <v>40</v>
      </c>
      <c r="D2018">
        <v>5.0370629999999998</v>
      </c>
      <c r="E2018">
        <v>0.59763140000000003</v>
      </c>
      <c r="F2018" t="s">
        <v>55</v>
      </c>
      <c r="G2018">
        <v>-222.11859999999999</v>
      </c>
      <c r="H2018" s="1">
        <v>-4.0938840000000001E-7</v>
      </c>
      <c r="I2018">
        <v>285.25130000000001</v>
      </c>
      <c r="J2018">
        <v>-201.9427</v>
      </c>
      <c r="K2018">
        <v>1.1129100000000001</v>
      </c>
      <c r="L2018">
        <v>285.09710000000001</v>
      </c>
      <c r="M2018">
        <v>-0.91876990000000003</v>
      </c>
      <c r="N2018">
        <v>-1.6305719999999999E-2</v>
      </c>
      <c r="O2018">
        <v>-0.3944569</v>
      </c>
      <c r="P2018">
        <v>-0.96904270000000003</v>
      </c>
      <c r="Q2018">
        <v>-6.3876749999999996E-2</v>
      </c>
      <c r="R2018">
        <v>-0.2384877</v>
      </c>
      <c r="S2018">
        <v>-3.095596</v>
      </c>
      <c r="T2018">
        <v>-0.16927239999999999</v>
      </c>
      <c r="U2018">
        <v>1.486206E-2</v>
      </c>
      <c r="V2018">
        <v>0.16212360000000001</v>
      </c>
      <c r="W2018">
        <v>-5.119307E-2</v>
      </c>
      <c r="X2018">
        <v>0.98544160000000003</v>
      </c>
      <c r="Y2018">
        <v>0.39788610000000002</v>
      </c>
      <c r="Z2018">
        <v>2.865699E-2</v>
      </c>
      <c r="AA2018">
        <v>0.91698710000000005</v>
      </c>
      <c r="AB2018">
        <v>19</v>
      </c>
      <c r="AC2018">
        <v>-20.175899999999899</v>
      </c>
      <c r="AD2018">
        <v>-1.1129104093883999</v>
      </c>
      <c r="AE2018">
        <v>0.154200000000003</v>
      </c>
      <c r="AF2018">
        <v>8.07670002686144</v>
      </c>
      <c r="AG2018">
        <v>-1.1129104093883999</v>
      </c>
      <c r="AH2018">
        <v>18.422588181052902</v>
      </c>
      <c r="AI2018">
        <v>93.166751786702406</v>
      </c>
      <c r="AJ2018">
        <v>66.3267355609741</v>
      </c>
      <c r="AK2018">
        <v>20.146051925672602</v>
      </c>
      <c r="AL2018">
        <v>92.934429618547398</v>
      </c>
      <c r="AM2018">
        <v>80.6574609206194</v>
      </c>
      <c r="AN2018">
        <v>0.99999996955177195</v>
      </c>
    </row>
    <row r="2019" spans="1:40" x14ac:dyDescent="0.25">
      <c r="A2019" t="str">
        <f>"20190303153814397"</f>
        <v>20190303153814397</v>
      </c>
      <c r="B2019" t="str">
        <f>"1551598694390559"</f>
        <v>1551598694390559</v>
      </c>
      <c r="C2019" t="s">
        <v>40</v>
      </c>
      <c r="D2019">
        <v>5.0214699999999999</v>
      </c>
      <c r="E2019">
        <v>0.5970974</v>
      </c>
      <c r="F2019" t="s">
        <v>55</v>
      </c>
      <c r="G2019">
        <v>-221.9622</v>
      </c>
      <c r="H2019" s="1">
        <v>-4.9259950000000004E-7</v>
      </c>
      <c r="I2019">
        <v>285.35599999999999</v>
      </c>
      <c r="J2019">
        <v>-202.06979999999999</v>
      </c>
      <c r="K2019">
        <v>1.113135</v>
      </c>
      <c r="L2019">
        <v>285.05700000000002</v>
      </c>
      <c r="M2019">
        <v>-0.92315369999999997</v>
      </c>
      <c r="N2019">
        <v>-1.6235329999999999E-2</v>
      </c>
      <c r="O2019">
        <v>-0.38408819999999999</v>
      </c>
      <c r="P2019">
        <v>-0.97093680000000004</v>
      </c>
      <c r="Q2019">
        <v>-6.3315289999999996E-2</v>
      </c>
      <c r="R2019">
        <v>-0.23080990000000001</v>
      </c>
      <c r="S2019">
        <v>-3.09436</v>
      </c>
      <c r="T2019">
        <v>-0.17201910000000001</v>
      </c>
      <c r="U2019">
        <v>4.0008540000000002E-2</v>
      </c>
      <c r="V2019">
        <v>0.15888459999999999</v>
      </c>
      <c r="W2019">
        <v>-5.0534910000000002E-2</v>
      </c>
      <c r="X2019">
        <v>0.98600299999999996</v>
      </c>
      <c r="Y2019">
        <v>0.39498749999999999</v>
      </c>
      <c r="Z2019">
        <v>2.874883E-2</v>
      </c>
      <c r="AA2019">
        <v>0.91823659999999996</v>
      </c>
      <c r="AB2019">
        <v>19</v>
      </c>
      <c r="AC2019">
        <v>-19.892399999999999</v>
      </c>
      <c r="AD2019">
        <v>-1.1131354925995001</v>
      </c>
      <c r="AE2019">
        <v>0.29899999999997801</v>
      </c>
      <c r="AF2019">
        <v>7.8927933172958298</v>
      </c>
      <c r="AG2019">
        <v>-1.1131354925995001</v>
      </c>
      <c r="AH2019">
        <v>18.1943463683799</v>
      </c>
      <c r="AI2019">
        <v>93.212450721837996</v>
      </c>
      <c r="AJ2019">
        <v>66.548572488176902</v>
      </c>
      <c r="AK2019">
        <v>19.8637734770364</v>
      </c>
      <c r="AL2019">
        <v>92.896670849559897</v>
      </c>
      <c r="AM2019">
        <v>80.846043286119595</v>
      </c>
      <c r="AN2019">
        <v>1.00000000462743</v>
      </c>
    </row>
    <row r="2020" spans="1:40" x14ac:dyDescent="0.25">
      <c r="A2020" t="str">
        <f>"20190303153814416"</f>
        <v>20190303153814416</v>
      </c>
      <c r="B2020" t="str">
        <f>"1551598694411055"</f>
        <v>1551598694411055</v>
      </c>
      <c r="C2020" t="s">
        <v>40</v>
      </c>
      <c r="D2020">
        <v>5.0062419999999896</v>
      </c>
      <c r="E2020">
        <v>0.59673140000000002</v>
      </c>
      <c r="F2020" t="s">
        <v>55</v>
      </c>
      <c r="G2020">
        <v>-222.6241</v>
      </c>
      <c r="H2020" s="1">
        <v>-1.403806E-7</v>
      </c>
      <c r="I2020">
        <v>285.45729999999998</v>
      </c>
      <c r="J2020">
        <v>-202.22839999999999</v>
      </c>
      <c r="K2020">
        <v>1.1134569999999999</v>
      </c>
      <c r="L2020">
        <v>285.00880000000001</v>
      </c>
      <c r="M2020">
        <v>-0.92830970000000002</v>
      </c>
      <c r="N2020">
        <v>-1.6131909999999999E-2</v>
      </c>
      <c r="O2020">
        <v>-0.3714578</v>
      </c>
      <c r="P2020">
        <v>-0.97266269999999999</v>
      </c>
      <c r="Q2020">
        <v>-6.23318E-2</v>
      </c>
      <c r="R2020">
        <v>-0.2237007</v>
      </c>
      <c r="S2020">
        <v>-3.0932010000000001</v>
      </c>
      <c r="T2020">
        <v>-0.16751469999999999</v>
      </c>
      <c r="U2020">
        <v>6.0241699999999898E-2</v>
      </c>
      <c r="V2020">
        <v>0.15273030000000001</v>
      </c>
      <c r="W2020">
        <v>-4.9387050000000002E-2</v>
      </c>
      <c r="X2020">
        <v>0.9870331</v>
      </c>
      <c r="Y2020">
        <v>0.38853159999999998</v>
      </c>
      <c r="Z2020">
        <v>2.7299360000000002E-2</v>
      </c>
      <c r="AA2020">
        <v>0.92103089999999999</v>
      </c>
      <c r="AB2020">
        <v>19</v>
      </c>
      <c r="AC2020">
        <v>-20.395700000000001</v>
      </c>
      <c r="AD2020">
        <v>-1.1134571403806</v>
      </c>
      <c r="AE2020">
        <v>0.44849999999996698</v>
      </c>
      <c r="AF2020">
        <v>7.9697873797106498</v>
      </c>
      <c r="AG2020">
        <v>-1.1134571403806</v>
      </c>
      <c r="AH2020">
        <v>18.713622901866401</v>
      </c>
      <c r="AI2020">
        <v>93.133365791805403</v>
      </c>
      <c r="AJ2020">
        <v>66.931738223731301</v>
      </c>
      <c r="AK2020">
        <v>20.370492870682298</v>
      </c>
      <c r="AL2020">
        <v>92.830821139244904</v>
      </c>
      <c r="AM2020">
        <v>81.203996506413006</v>
      </c>
      <c r="AN2020">
        <v>0.99999998287070102</v>
      </c>
    </row>
    <row r="2021" spans="1:40" x14ac:dyDescent="0.25">
      <c r="A2021" t="str">
        <f>"20190303153814430"</f>
        <v>20190303153814430</v>
      </c>
      <c r="B2021" t="str">
        <f>"1551598694420814"</f>
        <v>1551598694420814</v>
      </c>
      <c r="C2021" t="s">
        <v>40</v>
      </c>
      <c r="D2021">
        <v>5.0047519999999999</v>
      </c>
      <c r="E2021">
        <v>0.59636060000000002</v>
      </c>
      <c r="F2021" t="s">
        <v>55</v>
      </c>
      <c r="G2021">
        <v>-223.65969999999999</v>
      </c>
      <c r="H2021" s="1">
        <v>4.1074279999999998E-7</v>
      </c>
      <c r="I2021">
        <v>285.56229999999999</v>
      </c>
      <c r="J2021">
        <v>-202.34440000000001</v>
      </c>
      <c r="K2021">
        <v>1.113721</v>
      </c>
      <c r="L2021">
        <v>284.97449999999998</v>
      </c>
      <c r="M2021">
        <v>-0.93188040000000005</v>
      </c>
      <c r="N2021">
        <v>-1.6049230000000001E-2</v>
      </c>
      <c r="O2021">
        <v>-0.36241079999999998</v>
      </c>
      <c r="P2021">
        <v>-0.97408830000000002</v>
      </c>
      <c r="Q2021">
        <v>-6.274594E-2</v>
      </c>
      <c r="R2021">
        <v>-0.2172906</v>
      </c>
      <c r="S2021">
        <v>-3.0923769999999999</v>
      </c>
      <c r="T2021">
        <v>-0.16066320000000001</v>
      </c>
      <c r="U2021">
        <v>7.9864500000000005E-2</v>
      </c>
      <c r="V2021">
        <v>0.1496451</v>
      </c>
      <c r="W2021">
        <v>-4.9716870000000003E-2</v>
      </c>
      <c r="X2021">
        <v>0.98748899999999995</v>
      </c>
      <c r="Y2021">
        <v>0.38550590000000001</v>
      </c>
      <c r="Z2021">
        <v>2.5698160000000001E-2</v>
      </c>
      <c r="AA2021">
        <v>0.92234749999999999</v>
      </c>
      <c r="AB2021">
        <v>19</v>
      </c>
      <c r="AC2021">
        <v>-21.315299999999901</v>
      </c>
      <c r="AD2021">
        <v>-1.1137205892572</v>
      </c>
      <c r="AE2021">
        <v>0.58780000000001498</v>
      </c>
      <c r="AF2021">
        <v>8.2512097936899291</v>
      </c>
      <c r="AG2021">
        <v>-1.1137205892572</v>
      </c>
      <c r="AH2021">
        <v>19.5993476185836</v>
      </c>
      <c r="AI2021">
        <v>92.997981102529295</v>
      </c>
      <c r="AJ2021">
        <v>67.169194274914304</v>
      </c>
      <c r="AK2021">
        <v>21.294536005381801</v>
      </c>
      <c r="AL2021">
        <v>92.849741701605495</v>
      </c>
      <c r="AM2021">
        <v>81.382902378144806</v>
      </c>
      <c r="AN2021">
        <v>0.99999997411880304</v>
      </c>
    </row>
    <row r="2022" spans="1:40" x14ac:dyDescent="0.25">
      <c r="A2022" t="str">
        <f>"20190303153814450"</f>
        <v>20190303153814450</v>
      </c>
      <c r="B2022" t="str">
        <f>"1551598694440334"</f>
        <v>1551598694440334</v>
      </c>
      <c r="C2022" t="s">
        <v>40</v>
      </c>
      <c r="D2022">
        <v>5.0017930000000002</v>
      </c>
      <c r="E2022">
        <v>0.59557599999999999</v>
      </c>
      <c r="F2022" t="s">
        <v>55</v>
      </c>
      <c r="G2022">
        <v>-223.73609999999999</v>
      </c>
      <c r="H2022" s="1">
        <v>4.5136809999999999E-7</v>
      </c>
      <c r="I2022">
        <v>285.64819999999997</v>
      </c>
      <c r="J2022">
        <v>-202.51009999999999</v>
      </c>
      <c r="K2022">
        <v>1.1141239999999999</v>
      </c>
      <c r="L2022">
        <v>284.9273</v>
      </c>
      <c r="M2022">
        <v>-0.9366409</v>
      </c>
      <c r="N2022">
        <v>-1.5918979999999999E-2</v>
      </c>
      <c r="O2022">
        <v>-0.34992960000000001</v>
      </c>
      <c r="P2022">
        <v>-0.97531310000000004</v>
      </c>
      <c r="Q2022">
        <v>-6.3991370000000006E-2</v>
      </c>
      <c r="R2022">
        <v>-0.21135300000000001</v>
      </c>
      <c r="S2022">
        <v>-3.0911559999999998</v>
      </c>
      <c r="T2022">
        <v>-0.16093589999999999</v>
      </c>
      <c r="U2022">
        <v>9.7351069999999998E-2</v>
      </c>
      <c r="V2022">
        <v>0.14246909999999999</v>
      </c>
      <c r="W2022">
        <v>-5.0795899999999998E-2</v>
      </c>
      <c r="X2022">
        <v>0.98849500000000001</v>
      </c>
      <c r="Y2022">
        <v>0.378409</v>
      </c>
      <c r="Z2022">
        <v>2.513634E-2</v>
      </c>
      <c r="AA2022">
        <v>0.92529709999999998</v>
      </c>
      <c r="AB2022">
        <v>19</v>
      </c>
      <c r="AC2022">
        <v>-21.225999999999999</v>
      </c>
      <c r="AD2022">
        <v>-1.1141235486319001</v>
      </c>
      <c r="AE2022">
        <v>0.72089999999997101</v>
      </c>
      <c r="AF2022">
        <v>8.08161607075942</v>
      </c>
      <c r="AG2022">
        <v>-1.1141235486319001</v>
      </c>
      <c r="AH2022">
        <v>19.577485077377698</v>
      </c>
      <c r="AI2022">
        <v>93.011139578723203</v>
      </c>
      <c r="AJ2022">
        <v>67.5690892178051</v>
      </c>
      <c r="AK2022">
        <v>21.2092364679099</v>
      </c>
      <c r="AL2022">
        <v>92.911643670405596</v>
      </c>
      <c r="AM2022">
        <v>81.798592087012196</v>
      </c>
      <c r="AN2022">
        <v>1.0000000164683001</v>
      </c>
    </row>
    <row r="2023" spans="1:40" x14ac:dyDescent="0.25">
      <c r="A2023" t="str">
        <f>"20190303153814472"</f>
        <v>20190303153814472</v>
      </c>
      <c r="B2023" t="str">
        <f>"1551598694460838"</f>
        <v>1551598694460838</v>
      </c>
      <c r="C2023" t="s">
        <v>40</v>
      </c>
      <c r="D2023">
        <v>4.9046909999999997</v>
      </c>
      <c r="E2023">
        <v>0.59482089999999999</v>
      </c>
      <c r="F2023" t="s">
        <v>55</v>
      </c>
      <c r="G2023">
        <v>-223.6456</v>
      </c>
      <c r="H2023" s="1">
        <v>4.0320919999999998E-7</v>
      </c>
      <c r="I2023">
        <v>285.6798</v>
      </c>
      <c r="J2023">
        <v>-202.69489999999999</v>
      </c>
      <c r="K2023">
        <v>1.1145860000000001</v>
      </c>
      <c r="L2023">
        <v>284.87670000000003</v>
      </c>
      <c r="M2023">
        <v>-0.94151260000000003</v>
      </c>
      <c r="N2023">
        <v>-1.5765680000000001E-2</v>
      </c>
      <c r="O2023">
        <v>-0.33660859999999998</v>
      </c>
      <c r="P2023">
        <v>-0.97674609999999995</v>
      </c>
      <c r="Q2023">
        <v>-6.4646449999999994E-2</v>
      </c>
      <c r="R2023">
        <v>-0.2044204</v>
      </c>
      <c r="S2023">
        <v>-3.0890810000000002</v>
      </c>
      <c r="T2023">
        <v>-0.16283629999999999</v>
      </c>
      <c r="U2023">
        <v>0.1099854</v>
      </c>
      <c r="V2023">
        <v>0.1355015</v>
      </c>
      <c r="W2023">
        <v>-5.1307020000000002E-2</v>
      </c>
      <c r="X2023">
        <v>0.98944779999999999</v>
      </c>
      <c r="Y2023">
        <v>0.36906420000000001</v>
      </c>
      <c r="Z2023">
        <v>2.4741659999999999E-2</v>
      </c>
      <c r="AA2023">
        <v>0.92907450000000003</v>
      </c>
      <c r="AB2023">
        <v>19</v>
      </c>
      <c r="AC2023">
        <v>-20.950700000000001</v>
      </c>
      <c r="AD2023">
        <v>-1.1145855967908</v>
      </c>
      <c r="AE2023">
        <v>0.80309999999997195</v>
      </c>
      <c r="AF2023">
        <v>7.7872777533605797</v>
      </c>
      <c r="AG2023">
        <v>-1.1145855967908</v>
      </c>
      <c r="AH2023">
        <v>19.402602824086401</v>
      </c>
      <c r="AI2023">
        <v>93.051640603432304</v>
      </c>
      <c r="AJ2023">
        <v>68.131831495184699</v>
      </c>
      <c r="AK2023">
        <v>20.936690096808601</v>
      </c>
      <c r="AL2023">
        <v>92.940966951215799</v>
      </c>
      <c r="AM2023">
        <v>82.202045636286798</v>
      </c>
      <c r="AN2023">
        <v>1.00000000786418</v>
      </c>
    </row>
    <row r="2024" spans="1:40" x14ac:dyDescent="0.25">
      <c r="A2024" t="str">
        <f>"20190303153814487"</f>
        <v>20190303153814487</v>
      </c>
      <c r="B2024" t="str">
        <f>"1551598694480350"</f>
        <v>1551598694480350</v>
      </c>
      <c r="C2024" t="s">
        <v>40</v>
      </c>
      <c r="D2024">
        <v>5.002929</v>
      </c>
      <c r="E2024">
        <v>0.59389029999999998</v>
      </c>
      <c r="F2024" t="s">
        <v>55</v>
      </c>
      <c r="G2024">
        <v>-224.1739</v>
      </c>
      <c r="H2024" s="1">
        <v>6.8434129999999995E-7</v>
      </c>
      <c r="I2024">
        <v>285.75150000000002</v>
      </c>
      <c r="J2024">
        <v>-202.81710000000001</v>
      </c>
      <c r="K2024">
        <v>1.114881</v>
      </c>
      <c r="L2024">
        <v>284.84440000000001</v>
      </c>
      <c r="M2024">
        <v>-0.94450599999999996</v>
      </c>
      <c r="N2024">
        <v>-1.5662249999999999E-2</v>
      </c>
      <c r="O2024">
        <v>-0.328121</v>
      </c>
      <c r="P2024">
        <v>-0.97789760000000003</v>
      </c>
      <c r="Q2024">
        <v>-6.4063679999999998E-2</v>
      </c>
      <c r="R2024">
        <v>-0.19902790000000001</v>
      </c>
      <c r="S2024">
        <v>-3.0871430000000002</v>
      </c>
      <c r="T2024">
        <v>-0.1601976</v>
      </c>
      <c r="U2024">
        <v>0.12573239999999999</v>
      </c>
      <c r="V2024">
        <v>0.13211589999999901</v>
      </c>
      <c r="W2024">
        <v>-5.0664260000000003E-2</v>
      </c>
      <c r="X2024">
        <v>0.9899386</v>
      </c>
      <c r="Y2024">
        <v>0.36548969999999997</v>
      </c>
      <c r="Z2024">
        <v>2.3933719999999999E-2</v>
      </c>
      <c r="AA2024">
        <v>0.93050770000000005</v>
      </c>
      <c r="AB2024">
        <v>19</v>
      </c>
      <c r="AC2024">
        <v>-21.3568</v>
      </c>
      <c r="AD2024">
        <v>-1.1148803156586999</v>
      </c>
      <c r="AE2024">
        <v>0.90710000000001401</v>
      </c>
      <c r="AF2024">
        <v>7.84400234672166</v>
      </c>
      <c r="AG2024">
        <v>-1.1148803156586999</v>
      </c>
      <c r="AH2024">
        <v>19.8225012102459</v>
      </c>
      <c r="AI2024">
        <v>92.993695442746997</v>
      </c>
      <c r="AJ2024">
        <v>68.410698119233402</v>
      </c>
      <c r="AK2024">
        <v>21.347198531981199</v>
      </c>
      <c r="AL2024">
        <v>92.904091708576004</v>
      </c>
      <c r="AM2024">
        <v>82.398300293106502</v>
      </c>
      <c r="AN2024">
        <v>0.99999995502205696</v>
      </c>
    </row>
    <row r="2025" spans="1:40" x14ac:dyDescent="0.25">
      <c r="A2025" t="str">
        <f>"20190303153814509"</f>
        <v>20190303153814509</v>
      </c>
      <c r="B2025" t="str">
        <f>"1551598694500847"</f>
        <v>1551598694500847</v>
      </c>
      <c r="C2025" t="s">
        <v>40</v>
      </c>
      <c r="D2025">
        <v>4.9974600000000002</v>
      </c>
      <c r="E2025">
        <v>0.59292080000000003</v>
      </c>
      <c r="F2025" t="s">
        <v>55</v>
      </c>
      <c r="G2025">
        <v>-224.38030000000001</v>
      </c>
      <c r="H2025" s="1">
        <v>7.9416659999999897E-7</v>
      </c>
      <c r="I2025">
        <v>285.79230000000001</v>
      </c>
      <c r="J2025">
        <v>-202.99440000000001</v>
      </c>
      <c r="K2025">
        <v>1.115302</v>
      </c>
      <c r="L2025">
        <v>284.79880000000003</v>
      </c>
      <c r="M2025">
        <v>-0.94852919999999996</v>
      </c>
      <c r="N2025">
        <v>-1.550868E-2</v>
      </c>
      <c r="O2025">
        <v>-0.31630979999999997</v>
      </c>
      <c r="P2025">
        <v>-0.97894159999999997</v>
      </c>
      <c r="Q2025">
        <v>-6.2151499999999998E-2</v>
      </c>
      <c r="R2025">
        <v>-0.19444980000000001</v>
      </c>
      <c r="S2025">
        <v>-3.0849609999999998</v>
      </c>
      <c r="T2025">
        <v>-0.15950139999999999</v>
      </c>
      <c r="U2025">
        <v>0.13562009999999999</v>
      </c>
      <c r="V2025">
        <v>0.124516</v>
      </c>
      <c r="W2025">
        <v>-4.8636970000000002E-2</v>
      </c>
      <c r="X2025">
        <v>0.99102489999999999</v>
      </c>
      <c r="Y2025">
        <v>0.35689300000000002</v>
      </c>
      <c r="Z2025">
        <v>2.3178069999999999E-2</v>
      </c>
      <c r="AA2025">
        <v>0.93385770000000001</v>
      </c>
      <c r="AB2025">
        <v>19</v>
      </c>
      <c r="AC2025">
        <v>-21.3858999999999</v>
      </c>
      <c r="AD2025">
        <v>-1.1153012058334</v>
      </c>
      <c r="AE2025">
        <v>0.99349999999998295</v>
      </c>
      <c r="AF2025">
        <v>7.6869986053770001</v>
      </c>
      <c r="AG2025">
        <v>-1.1153012058334</v>
      </c>
      <c r="AH2025">
        <v>19.919239715267899</v>
      </c>
      <c r="AI2025">
        <v>92.990209587433895</v>
      </c>
      <c r="AJ2025">
        <v>68.897987891410594</v>
      </c>
      <c r="AK2025">
        <v>21.380129914785599</v>
      </c>
      <c r="AL2025">
        <v>92.787792762301706</v>
      </c>
      <c r="AM2025">
        <v>82.8386746489751</v>
      </c>
      <c r="AN2025">
        <v>1.00000007076339</v>
      </c>
    </row>
    <row r="2026" spans="1:40" x14ac:dyDescent="0.25">
      <c r="A2026" t="str">
        <f>"20190303153814530"</f>
        <v>20190303153814530</v>
      </c>
      <c r="B2026" t="str">
        <f>"1551598694520366"</f>
        <v>1551598694520366</v>
      </c>
      <c r="C2026" t="s">
        <v>40</v>
      </c>
      <c r="D2026">
        <v>5.0352579999999998</v>
      </c>
      <c r="E2026">
        <v>0.59233049999999998</v>
      </c>
      <c r="F2026" t="s">
        <v>55</v>
      </c>
      <c r="G2026">
        <v>-225.16810000000001</v>
      </c>
      <c r="H2026" s="1">
        <v>1.2133920000000001E-6</v>
      </c>
      <c r="I2026">
        <v>285.82420000000002</v>
      </c>
      <c r="J2026">
        <v>-203.17490000000001</v>
      </c>
      <c r="K2026">
        <v>1.1157509999999999</v>
      </c>
      <c r="L2026">
        <v>284.75380000000001</v>
      </c>
      <c r="M2026">
        <v>-0.95221120000000004</v>
      </c>
      <c r="N2026">
        <v>-1.534172E-2</v>
      </c>
      <c r="O2026">
        <v>-0.30505510000000002</v>
      </c>
      <c r="P2026">
        <v>-0.9796764</v>
      </c>
      <c r="Q2026">
        <v>-6.1848199999999999E-2</v>
      </c>
      <c r="R2026">
        <v>-0.19081129999999999</v>
      </c>
      <c r="S2026">
        <v>-3.0830229999999998</v>
      </c>
      <c r="T2026">
        <v>-0.1550715</v>
      </c>
      <c r="U2026">
        <v>0.14257810000000001</v>
      </c>
      <c r="V2026">
        <v>0.1165277</v>
      </c>
      <c r="W2026">
        <v>-4.8232499999999998E-2</v>
      </c>
      <c r="X2026">
        <v>0.9920156</v>
      </c>
      <c r="Y2026">
        <v>0.34801070000000001</v>
      </c>
      <c r="Z2026">
        <v>2.1856449999999999E-2</v>
      </c>
      <c r="AA2026">
        <v>0.93723579999999995</v>
      </c>
      <c r="AB2026">
        <v>19</v>
      </c>
      <c r="AC2026">
        <v>-21.993200000000002</v>
      </c>
      <c r="AD2026">
        <v>-1.1157497866079999</v>
      </c>
      <c r="AE2026">
        <v>1.0704</v>
      </c>
      <c r="AF2026">
        <v>7.7094987804734201</v>
      </c>
      <c r="AG2026">
        <v>-1.1157497866079999</v>
      </c>
      <c r="AH2026">
        <v>20.565261785273002</v>
      </c>
      <c r="AI2026">
        <v>92.908223255811706</v>
      </c>
      <c r="AJ2026">
        <v>69.449998866749695</v>
      </c>
      <c r="AK2026">
        <v>21.991163255481698</v>
      </c>
      <c r="AL2026">
        <v>92.764591264096396</v>
      </c>
      <c r="AM2026">
        <v>83.300418733229407</v>
      </c>
      <c r="AN2026">
        <v>1.00000001478344</v>
      </c>
    </row>
    <row r="2027" spans="1:40" x14ac:dyDescent="0.25">
      <c r="A2027" t="str">
        <f>"20190303153814550"</f>
        <v>20190303153814550</v>
      </c>
      <c r="B2027" t="str">
        <f>"1551598694540862"</f>
        <v>1551598694540862</v>
      </c>
      <c r="C2027" t="s">
        <v>40</v>
      </c>
      <c r="D2027">
        <v>5.0589199999999996</v>
      </c>
      <c r="E2027">
        <v>0.57326669999999902</v>
      </c>
      <c r="F2027" t="s">
        <v>55</v>
      </c>
      <c r="G2027">
        <v>-225.44659999999999</v>
      </c>
      <c r="H2027" s="1">
        <v>1.3616049999999999E-6</v>
      </c>
      <c r="I2027">
        <v>285.83330000000001</v>
      </c>
      <c r="J2027">
        <v>-203.34950000000001</v>
      </c>
      <c r="K2027">
        <v>1.116252</v>
      </c>
      <c r="L2027">
        <v>284.71170000000001</v>
      </c>
      <c r="M2027">
        <v>-0.9553798</v>
      </c>
      <c r="N2027">
        <v>-1.516962E-2</v>
      </c>
      <c r="O2027">
        <v>-0.2949909</v>
      </c>
      <c r="P2027">
        <v>-0.98011669999999995</v>
      </c>
      <c r="Q2027">
        <v>-6.055228E-2</v>
      </c>
      <c r="R2027">
        <v>-0.18895770000000001</v>
      </c>
      <c r="S2027">
        <v>-3.0815730000000001</v>
      </c>
      <c r="T2027">
        <v>-0.1543784</v>
      </c>
      <c r="U2027">
        <v>0.14935300000000001</v>
      </c>
      <c r="V2027">
        <v>0.1080366</v>
      </c>
      <c r="W2027">
        <v>-4.6842460000000002E-2</v>
      </c>
      <c r="X2027">
        <v>0.99304269999999994</v>
      </c>
      <c r="Y2027">
        <v>0.34020840000000002</v>
      </c>
      <c r="Z2027">
        <v>2.1200779999999999E-2</v>
      </c>
      <c r="AA2027">
        <v>0.94011100000000003</v>
      </c>
      <c r="AB2027">
        <v>19</v>
      </c>
      <c r="AC2027">
        <v>-22.097099999999902</v>
      </c>
      <c r="AD2027">
        <v>-1.1162506383949999</v>
      </c>
      <c r="AE2027">
        <v>1.1215999999999999</v>
      </c>
      <c r="AF2027">
        <v>7.57159783626284</v>
      </c>
      <c r="AG2027">
        <v>-1.1162506383949999</v>
      </c>
      <c r="AH2027">
        <v>20.7298859713616</v>
      </c>
      <c r="AI2027">
        <v>92.895505566774105</v>
      </c>
      <c r="AJ2027">
        <v>69.935261854574605</v>
      </c>
      <c r="AK2027">
        <v>22.0975854261834</v>
      </c>
      <c r="AL2027">
        <v>92.6848578288146</v>
      </c>
      <c r="AM2027">
        <v>83.791010838084603</v>
      </c>
      <c r="AN2027">
        <v>0.99999996351084997</v>
      </c>
    </row>
    <row r="2028" spans="1:40" x14ac:dyDescent="0.25">
      <c r="A2028" t="str">
        <f>"20190303153814565"</f>
        <v>20190303153814565</v>
      </c>
      <c r="B2028" t="str">
        <f>"1551598694560382"</f>
        <v>1551598694560382</v>
      </c>
      <c r="C2028" t="s">
        <v>40</v>
      </c>
      <c r="D2028">
        <v>4.9561859999999998</v>
      </c>
      <c r="E2028">
        <v>0.57360239999999996</v>
      </c>
      <c r="F2028" t="s">
        <v>55</v>
      </c>
      <c r="G2028">
        <v>-222.1378</v>
      </c>
      <c r="H2028" s="1">
        <v>-3.991733E-7</v>
      </c>
      <c r="I2028">
        <v>284.75400000000002</v>
      </c>
      <c r="J2028">
        <v>-203.47280000000001</v>
      </c>
      <c r="K2028">
        <v>1.1165959999999999</v>
      </c>
      <c r="L2028">
        <v>284.68259999999998</v>
      </c>
      <c r="M2028">
        <v>-0.95742269999999896</v>
      </c>
      <c r="N2028">
        <v>-1.5049420000000001E-2</v>
      </c>
      <c r="O2028">
        <v>-0.28829749999999998</v>
      </c>
      <c r="P2028">
        <v>-0.98066750000000003</v>
      </c>
      <c r="Q2028">
        <v>-5.9607010000000002E-2</v>
      </c>
      <c r="R2028">
        <v>-0.18638279999999999</v>
      </c>
      <c r="S2028">
        <v>-3.05098</v>
      </c>
      <c r="T2028">
        <v>-0.18126519999999999</v>
      </c>
      <c r="U2028">
        <v>6.8664549999999996E-3</v>
      </c>
      <c r="V2028">
        <v>0.1037628</v>
      </c>
      <c r="W2028">
        <v>-4.586813E-2</v>
      </c>
      <c r="X2028">
        <v>0.99354390000000004</v>
      </c>
      <c r="Y2028">
        <v>0.28957450000000001</v>
      </c>
      <c r="Z2028">
        <v>2.332209E-2</v>
      </c>
      <c r="AA2028">
        <v>0.95687129999999998</v>
      </c>
      <c r="AB2028">
        <v>19</v>
      </c>
      <c r="AC2028">
        <v>-18.6649999999999</v>
      </c>
      <c r="AD2028">
        <v>-1.1165963991732999</v>
      </c>
      <c r="AE2028">
        <v>7.1400000000039598E-2</v>
      </c>
      <c r="AF2028">
        <v>5.4306148379413699</v>
      </c>
      <c r="AG2028">
        <v>-1.1165963991732999</v>
      </c>
      <c r="AH2028">
        <v>17.788071638053701</v>
      </c>
      <c r="AI2028">
        <v>93.435723131209798</v>
      </c>
      <c r="AJ2028">
        <v>73.022815419742301</v>
      </c>
      <c r="AK2028">
        <v>18.632065307883799</v>
      </c>
      <c r="AL2028">
        <v>92.628972543979899</v>
      </c>
      <c r="AM2028">
        <v>84.037811497722799</v>
      </c>
      <c r="AN2028">
        <v>1.0000000426203699</v>
      </c>
    </row>
    <row r="2029" spans="1:40" x14ac:dyDescent="0.25">
      <c r="A2029" t="str">
        <f>"20190303153814583"</f>
        <v>20190303153814583</v>
      </c>
      <c r="B2029" t="str">
        <f>"1551598694580878"</f>
        <v>1551598694580878</v>
      </c>
      <c r="C2029" t="s">
        <v>40</v>
      </c>
      <c r="D2029">
        <v>4.983422</v>
      </c>
      <c r="E2029">
        <v>0.5731385</v>
      </c>
      <c r="F2029" t="s">
        <v>55</v>
      </c>
      <c r="G2029">
        <v>-222.3869</v>
      </c>
      <c r="H2029" s="1">
        <v>-2.6661900000000001E-7</v>
      </c>
      <c r="I2029">
        <v>284.79250000000002</v>
      </c>
      <c r="J2029">
        <v>-203.6259</v>
      </c>
      <c r="K2029">
        <v>1.1169880000000001</v>
      </c>
      <c r="L2029">
        <v>284.64710000000002</v>
      </c>
      <c r="M2029">
        <v>-0.95977500000000004</v>
      </c>
      <c r="N2029">
        <v>-1.4908960000000001E-2</v>
      </c>
      <c r="O2029">
        <v>-0.28037410000000001</v>
      </c>
      <c r="P2029">
        <v>-0.98063809999999996</v>
      </c>
      <c r="Q2029">
        <v>-5.9043909999999998E-2</v>
      </c>
      <c r="R2029">
        <v>-0.18671670000000001</v>
      </c>
      <c r="S2029">
        <v>-3.0515590000000001</v>
      </c>
      <c r="T2029">
        <v>-0.18014959999999999</v>
      </c>
      <c r="U2029">
        <v>1.773071E-2</v>
      </c>
      <c r="V2029">
        <v>9.5274369999999997E-2</v>
      </c>
      <c r="W2029">
        <v>-4.5239479999999999E-2</v>
      </c>
      <c r="X2029">
        <v>0.99442260000000005</v>
      </c>
      <c r="Y2029">
        <v>0.2850954</v>
      </c>
      <c r="Z2029">
        <v>2.2687539999999999E-2</v>
      </c>
      <c r="AA2029">
        <v>0.95823060000000004</v>
      </c>
      <c r="AB2029">
        <v>19</v>
      </c>
      <c r="AC2029">
        <v>-18.760999999999999</v>
      </c>
      <c r="AD2029">
        <v>-1.1169882666190001</v>
      </c>
      <c r="AE2029">
        <v>0.14539999999999501</v>
      </c>
      <c r="AF2029">
        <v>5.3811763190370501</v>
      </c>
      <c r="AG2029">
        <v>-1.1169882666190001</v>
      </c>
      <c r="AH2029">
        <v>17.904107984862701</v>
      </c>
      <c r="AI2029">
        <v>93.419187343758495</v>
      </c>
      <c r="AJ2029">
        <v>73.271565718336802</v>
      </c>
      <c r="AK2029">
        <v>18.728635937994898</v>
      </c>
      <c r="AL2029">
        <v>92.592916072812599</v>
      </c>
      <c r="AM2029">
        <v>84.527268435065807</v>
      </c>
      <c r="AN2029">
        <v>1.0000000617601601</v>
      </c>
    </row>
    <row r="2030" spans="1:40" x14ac:dyDescent="0.25">
      <c r="A2030" t="str">
        <f>"20190303153814605"</f>
        <v>20190303153814605</v>
      </c>
      <c r="B2030" t="str">
        <f>"1551598694600398"</f>
        <v>1551598694600398</v>
      </c>
      <c r="C2030" t="s">
        <v>40</v>
      </c>
      <c r="D2030">
        <v>4.9717250000000002</v>
      </c>
      <c r="E2030">
        <v>0.57227030000000001</v>
      </c>
      <c r="F2030" t="s">
        <v>55</v>
      </c>
      <c r="G2030">
        <v>-222.50489999999999</v>
      </c>
      <c r="H2030" s="1">
        <v>-2.037981E-7</v>
      </c>
      <c r="I2030">
        <v>284.7285</v>
      </c>
      <c r="J2030">
        <v>-203.80359999999999</v>
      </c>
      <c r="K2030">
        <v>1.1174109999999999</v>
      </c>
      <c r="L2030">
        <v>284.60660000000001</v>
      </c>
      <c r="M2030">
        <v>-0.96224390000000004</v>
      </c>
      <c r="N2030">
        <v>-1.4756750000000001E-2</v>
      </c>
      <c r="O2030">
        <v>-0.2717888</v>
      </c>
      <c r="P2030">
        <v>-0.98062199999999999</v>
      </c>
      <c r="Q2030">
        <v>-6.1061509999999999E-2</v>
      </c>
      <c r="R2030">
        <v>-0.18615190000000001</v>
      </c>
      <c r="S2030">
        <v>-3.0508730000000002</v>
      </c>
      <c r="T2030">
        <v>-0.18050720000000001</v>
      </c>
      <c r="U2030">
        <v>1.3153079999999999E-2</v>
      </c>
      <c r="V2030">
        <v>8.6959899999999896E-2</v>
      </c>
      <c r="W2030">
        <v>-4.7217229999999999E-2</v>
      </c>
      <c r="X2030">
        <v>0.99509219999999998</v>
      </c>
      <c r="Y2030">
        <v>0.27510689999999999</v>
      </c>
      <c r="Z2030">
        <v>2.2031869999999999E-2</v>
      </c>
      <c r="AA2030">
        <v>0.96116120000000005</v>
      </c>
      <c r="AB2030">
        <v>19</v>
      </c>
      <c r="AC2030">
        <v>-18.7013</v>
      </c>
      <c r="AD2030">
        <v>-1.1174112037981001</v>
      </c>
      <c r="AE2030">
        <v>0.12189999999998199</v>
      </c>
      <c r="AF2030">
        <v>5.1821669292328201</v>
      </c>
      <c r="AG2030">
        <v>-1.1174112037981001</v>
      </c>
      <c r="AH2030">
        <v>17.900131862949301</v>
      </c>
      <c r="AI2030">
        <v>93.431488861511298</v>
      </c>
      <c r="AJ2030">
        <v>73.854037432479998</v>
      </c>
      <c r="AK2030">
        <v>18.668641691129501</v>
      </c>
      <c r="AL2030">
        <v>92.706354286870294</v>
      </c>
      <c r="AM2030">
        <v>85.005679101574302</v>
      </c>
      <c r="AN2030">
        <v>0.99999998875886098</v>
      </c>
    </row>
    <row r="2031" spans="1:40" x14ac:dyDescent="0.25">
      <c r="A2031" t="str">
        <f>"20190303153814619"</f>
        <v>20190303153814619</v>
      </c>
      <c r="B2031" t="str">
        <f>"1551598694611135"</f>
        <v>1551598694611135</v>
      </c>
      <c r="C2031" t="s">
        <v>40</v>
      </c>
      <c r="D2031">
        <v>4.9588320000000001</v>
      </c>
      <c r="E2031">
        <v>0.57160440000000001</v>
      </c>
      <c r="F2031" t="s">
        <v>55</v>
      </c>
      <c r="G2031">
        <v>-221.66249999999999</v>
      </c>
      <c r="H2031" s="1">
        <v>-6.5209289999999899E-7</v>
      </c>
      <c r="I2031">
        <v>284.65539999999999</v>
      </c>
      <c r="J2031">
        <v>-203.9263</v>
      </c>
      <c r="K2031">
        <v>1.117683</v>
      </c>
      <c r="L2031">
        <v>284.57920000000001</v>
      </c>
      <c r="M2031">
        <v>-0.96377789999999997</v>
      </c>
      <c r="N2031">
        <v>-1.465643E-2</v>
      </c>
      <c r="O2031">
        <v>-0.26630320000000002</v>
      </c>
      <c r="P2031">
        <v>-0.98071629999999999</v>
      </c>
      <c r="Q2031">
        <v>-6.2151129999999999E-2</v>
      </c>
      <c r="R2031">
        <v>-0.1852916</v>
      </c>
      <c r="S2031">
        <v>-3.0489959999999998</v>
      </c>
      <c r="T2031">
        <v>-0.19077279999999999</v>
      </c>
      <c r="U2031">
        <v>8.3312990000000003E-3</v>
      </c>
      <c r="V2031">
        <v>8.2170510000000002E-2</v>
      </c>
      <c r="W2031">
        <v>-4.829949E-2</v>
      </c>
      <c r="X2031">
        <v>0.99544719999999998</v>
      </c>
      <c r="Y2031">
        <v>0.26802379999999998</v>
      </c>
      <c r="Z2031">
        <v>2.2901879999999999E-2</v>
      </c>
      <c r="AA2031">
        <v>0.96314</v>
      </c>
      <c r="AB2031">
        <v>19</v>
      </c>
      <c r="AC2031">
        <v>-17.736199999999901</v>
      </c>
      <c r="AD2031">
        <v>-1.1176836520929001</v>
      </c>
      <c r="AE2031">
        <v>7.6199999999971596E-2</v>
      </c>
      <c r="AF2031">
        <v>4.7781872875093399</v>
      </c>
      <c r="AG2031">
        <v>-1.1176836520929001</v>
      </c>
      <c r="AH2031">
        <v>17.007759800839601</v>
      </c>
      <c r="AI2031">
        <v>93.6200927989576</v>
      </c>
      <c r="AJ2031">
        <v>74.307738122499401</v>
      </c>
      <c r="AK2031">
        <v>17.701530553704298</v>
      </c>
      <c r="AL2031">
        <v>92.768434081317096</v>
      </c>
      <c r="AM2031">
        <v>85.281142382787905</v>
      </c>
      <c r="AN2031">
        <v>0.99999998071787899</v>
      </c>
    </row>
    <row r="2032" spans="1:40" x14ac:dyDescent="0.25">
      <c r="A2032" t="str">
        <f>"20190303153814639"</f>
        <v>20190303153814639</v>
      </c>
      <c r="B2032" t="str">
        <f>"1551598694630658"</f>
        <v>1551598694630658</v>
      </c>
      <c r="C2032" t="s">
        <v>40</v>
      </c>
      <c r="D2032">
        <v>4.9678339999999999</v>
      </c>
      <c r="E2032">
        <v>0.57079979999999997</v>
      </c>
      <c r="F2032" t="s">
        <v>55</v>
      </c>
      <c r="G2032">
        <v>-221.1516</v>
      </c>
      <c r="H2032" s="1">
        <v>-9.2399389999999996E-7</v>
      </c>
      <c r="I2032">
        <v>284.61250000000001</v>
      </c>
      <c r="J2032">
        <v>-204.08959999999999</v>
      </c>
      <c r="K2032">
        <v>1.1180049999999999</v>
      </c>
      <c r="L2032">
        <v>284.54320000000001</v>
      </c>
      <c r="M2032">
        <v>-0.96564629999999996</v>
      </c>
      <c r="N2032">
        <v>-1.4510540000000001E-2</v>
      </c>
      <c r="O2032">
        <v>-0.25945469999999998</v>
      </c>
      <c r="P2032">
        <v>-0.9801396</v>
      </c>
      <c r="Q2032">
        <v>-6.2243149999999997E-2</v>
      </c>
      <c r="R2032">
        <v>-0.1882876</v>
      </c>
      <c r="S2032">
        <v>-3.0475460000000001</v>
      </c>
      <c r="T2032">
        <v>-0.19774439999999999</v>
      </c>
      <c r="U2032">
        <v>5.8898930000000002E-3</v>
      </c>
      <c r="V2032">
        <v>7.210192E-2</v>
      </c>
      <c r="W2032">
        <v>-4.8376210000000003E-2</v>
      </c>
      <c r="X2032">
        <v>0.99622339999999998</v>
      </c>
      <c r="Y2032">
        <v>0.26036039999999999</v>
      </c>
      <c r="Z2032">
        <v>2.3206839999999999E-2</v>
      </c>
      <c r="AA2032">
        <v>0.9652326</v>
      </c>
      <c r="AB2032">
        <v>19</v>
      </c>
      <c r="AC2032">
        <v>-17.062000000000001</v>
      </c>
      <c r="AD2032">
        <v>-1.1180059239939</v>
      </c>
      <c r="AE2032">
        <v>6.9299999999998294E-2</v>
      </c>
      <c r="AF2032">
        <v>4.4749945613416804</v>
      </c>
      <c r="AG2032">
        <v>-1.1180059239939</v>
      </c>
      <c r="AH2032">
        <v>16.389240500160899</v>
      </c>
      <c r="AI2032">
        <v>93.765027679346005</v>
      </c>
      <c r="AJ2032">
        <v>74.727956793822401</v>
      </c>
      <c r="AK2032">
        <v>17.025942492039601</v>
      </c>
      <c r="AL2032">
        <v>92.772834894449502</v>
      </c>
      <c r="AM2032">
        <v>85.860421377533598</v>
      </c>
      <c r="AN2032">
        <v>1.0000000036346</v>
      </c>
    </row>
    <row r="2033" spans="1:40" x14ac:dyDescent="0.25">
      <c r="A2033" t="str">
        <f>"20190303153814653"</f>
        <v>20190303153814653</v>
      </c>
      <c r="B2033" t="str">
        <f>"1551598694651203"</f>
        <v>1551598694651203</v>
      </c>
      <c r="C2033" t="s">
        <v>40</v>
      </c>
      <c r="D2033">
        <v>5.0515169999999996</v>
      </c>
      <c r="E2033">
        <v>0.57036109999999995</v>
      </c>
      <c r="F2033" t="s">
        <v>55</v>
      </c>
      <c r="G2033">
        <v>-221.06129999999999</v>
      </c>
      <c r="H2033" s="1">
        <v>-9.7200440000000005E-7</v>
      </c>
      <c r="I2033">
        <v>284.48930000000001</v>
      </c>
      <c r="J2033">
        <v>-204.2002</v>
      </c>
      <c r="K2033">
        <v>1.1181939999999999</v>
      </c>
      <c r="L2033">
        <v>284.51920000000001</v>
      </c>
      <c r="M2033">
        <v>-0.96681640000000002</v>
      </c>
      <c r="N2033">
        <v>-1.438278E-2</v>
      </c>
      <c r="O2033">
        <v>-0.25506699999999999</v>
      </c>
      <c r="P2033">
        <v>-0.98008580000000001</v>
      </c>
      <c r="Q2033">
        <v>-6.2137169999999999E-2</v>
      </c>
      <c r="R2033">
        <v>-0.1886023</v>
      </c>
      <c r="S2033">
        <v>-3.0461879999999999</v>
      </c>
      <c r="T2033">
        <v>-0.20066609999999999</v>
      </c>
      <c r="U2033">
        <v>-9.6740720000000006E-3</v>
      </c>
      <c r="V2033">
        <v>6.7286059999999995E-2</v>
      </c>
      <c r="W2033">
        <v>-4.8320700000000001E-2</v>
      </c>
      <c r="X2033">
        <v>0.99656299999999998</v>
      </c>
      <c r="Y2033">
        <v>0.25103199999999998</v>
      </c>
      <c r="Z2033">
        <v>2.3011400000000001E-2</v>
      </c>
      <c r="AA2033">
        <v>0.96770520000000004</v>
      </c>
      <c r="AB2033">
        <v>19</v>
      </c>
      <c r="AC2033">
        <v>-16.861099999999901</v>
      </c>
      <c r="AD2033">
        <v>-1.1181949720044</v>
      </c>
      <c r="AE2033">
        <v>-2.98999999999978E-2</v>
      </c>
      <c r="AF2033">
        <v>4.2535369717979004</v>
      </c>
      <c r="AG2033">
        <v>-1.1181949720044</v>
      </c>
      <c r="AH2033">
        <v>16.2394794173991</v>
      </c>
      <c r="AI2033">
        <v>93.8108195312155</v>
      </c>
      <c r="AJ2033">
        <v>75.322484350926203</v>
      </c>
      <c r="AK2033">
        <v>16.824494896251601</v>
      </c>
      <c r="AL2033">
        <v>92.769650529976701</v>
      </c>
      <c r="AM2033">
        <v>86.137359113580899</v>
      </c>
      <c r="AN2033">
        <v>1.0000000584438999</v>
      </c>
    </row>
    <row r="2034" spans="1:40" x14ac:dyDescent="0.25">
      <c r="A2034" t="str">
        <f>"20190303153814673"</f>
        <v>20190303153814673</v>
      </c>
      <c r="B2034" t="str">
        <f>"1551598694670723"</f>
        <v>1551598694670723</v>
      </c>
      <c r="C2034" t="s">
        <v>40</v>
      </c>
      <c r="D2034">
        <v>5.0664930000000004</v>
      </c>
      <c r="E2034">
        <v>0.56934680000000004</v>
      </c>
      <c r="F2034" t="s">
        <v>55</v>
      </c>
      <c r="G2034">
        <v>-221.17320000000001</v>
      </c>
      <c r="H2034" s="1">
        <v>-9.1245569999999997E-7</v>
      </c>
      <c r="I2034">
        <v>284.44060000000002</v>
      </c>
      <c r="J2034">
        <v>-204.36750000000001</v>
      </c>
      <c r="K2034">
        <v>1.118384</v>
      </c>
      <c r="L2034">
        <v>284.48329999999999</v>
      </c>
      <c r="M2034">
        <v>-0.96844980000000003</v>
      </c>
      <c r="N2034">
        <v>-1.4074649999999999E-2</v>
      </c>
      <c r="O2034">
        <v>-0.2488109</v>
      </c>
      <c r="P2034">
        <v>-0.97967499999999996</v>
      </c>
      <c r="Q2034">
        <v>-6.1845129999999998E-2</v>
      </c>
      <c r="R2034">
        <v>-0.1908202</v>
      </c>
      <c r="S2034">
        <v>-3.0455320000000001</v>
      </c>
      <c r="T2034">
        <v>-0.2006414</v>
      </c>
      <c r="U2034">
        <v>-1.409912E-2</v>
      </c>
      <c r="V2034">
        <v>5.8622970000000003E-2</v>
      </c>
      <c r="W2034">
        <v>-4.8228340000000001E-2</v>
      </c>
      <c r="X2034">
        <v>0.99711450000000001</v>
      </c>
      <c r="Y2034">
        <v>0.24338570000000001</v>
      </c>
      <c r="Z2034">
        <v>2.24367E-2</v>
      </c>
      <c r="AA2034">
        <v>0.96967009999999998</v>
      </c>
      <c r="AB2034">
        <v>19</v>
      </c>
      <c r="AC2034">
        <v>-16.805700000000002</v>
      </c>
      <c r="AD2034">
        <v>-1.1183849124556999</v>
      </c>
      <c r="AE2034">
        <v>-4.2699999999967903E-2</v>
      </c>
      <c r="AF2034">
        <v>4.1222429452706999</v>
      </c>
      <c r="AG2034">
        <v>-1.1183849124556999</v>
      </c>
      <c r="AH2034">
        <v>16.2159008184329</v>
      </c>
      <c r="AI2034">
        <v>93.8241018139</v>
      </c>
      <c r="AJ2034">
        <v>75.736960271542699</v>
      </c>
      <c r="AK2034">
        <v>16.768992547720199</v>
      </c>
      <c r="AL2034">
        <v>92.764352743934893</v>
      </c>
      <c r="AM2034">
        <v>86.635304434826494</v>
      </c>
      <c r="AN2034">
        <v>0.99999997575051203</v>
      </c>
    </row>
    <row r="2035" spans="1:40" x14ac:dyDescent="0.25">
      <c r="A2035" t="str">
        <f>"20190303153814687"</f>
        <v>20190303153814687</v>
      </c>
      <c r="B2035" t="str">
        <f>"1551598694680483"</f>
        <v>1551598694680483</v>
      </c>
      <c r="C2035" t="s">
        <v>40</v>
      </c>
      <c r="D2035">
        <v>5.0131639999999997</v>
      </c>
      <c r="E2035">
        <v>0.56898179999999998</v>
      </c>
      <c r="F2035" t="s">
        <v>55</v>
      </c>
      <c r="G2035">
        <v>-221.56030000000001</v>
      </c>
      <c r="H2035" s="1">
        <v>-7.0646240000000001E-7</v>
      </c>
      <c r="I2035">
        <v>284.31970000000001</v>
      </c>
      <c r="J2035">
        <v>-204.49029999999999</v>
      </c>
      <c r="K2035">
        <v>1.118447</v>
      </c>
      <c r="L2035">
        <v>284.45740000000001</v>
      </c>
      <c r="M2035">
        <v>-0.96957040000000005</v>
      </c>
      <c r="N2035">
        <v>-1.374468E-2</v>
      </c>
      <c r="O2035">
        <v>-0.2444269</v>
      </c>
      <c r="P2035">
        <v>-0.9798036</v>
      </c>
      <c r="Q2035">
        <v>-6.1613500000000002E-2</v>
      </c>
      <c r="R2035">
        <v>-0.19023329999999999</v>
      </c>
      <c r="S2035">
        <v>-3.0441129999999998</v>
      </c>
      <c r="T2035">
        <v>-0.198018</v>
      </c>
      <c r="U2035">
        <v>-2.896118E-2</v>
      </c>
      <c r="V2035">
        <v>5.4728300000000001E-2</v>
      </c>
      <c r="W2035">
        <v>-4.8278250000000002E-2</v>
      </c>
      <c r="X2035">
        <v>0.99733349999999998</v>
      </c>
      <c r="Y2035">
        <v>0.23430300000000001</v>
      </c>
      <c r="Z2035">
        <v>2.1596770000000001E-2</v>
      </c>
      <c r="AA2035">
        <v>0.97192369999999995</v>
      </c>
      <c r="AB2035">
        <v>19</v>
      </c>
      <c r="AC2035">
        <v>-17.07</v>
      </c>
      <c r="AD2035">
        <v>-1.1184477064624001</v>
      </c>
      <c r="AE2035">
        <v>-0.13769999999999499</v>
      </c>
      <c r="AF2035">
        <v>4.0219731757142299</v>
      </c>
      <c r="AG2035">
        <v>-1.1184477064624001</v>
      </c>
      <c r="AH2035">
        <v>16.514895111707698</v>
      </c>
      <c r="AI2035">
        <v>93.764656711804093</v>
      </c>
      <c r="AJ2035">
        <v>76.312851719903506</v>
      </c>
      <c r="AK2035">
        <v>17.034346305302201</v>
      </c>
      <c r="AL2035">
        <v>92.7672155244572</v>
      </c>
      <c r="AM2035">
        <v>86.859065847376201</v>
      </c>
      <c r="AN2035">
        <v>1.0000000432331</v>
      </c>
    </row>
    <row r="2036" spans="1:40" x14ac:dyDescent="0.25">
      <c r="A2036" t="str">
        <f>"20190303153814708"</f>
        <v>20190303153814708</v>
      </c>
      <c r="B2036" t="str">
        <f>"1551598694700978"</f>
        <v>1551598694700978</v>
      </c>
      <c r="C2036" t="s">
        <v>40</v>
      </c>
      <c r="D2036">
        <v>5.0081389999999999</v>
      </c>
      <c r="E2036">
        <v>0.56846430000000003</v>
      </c>
      <c r="F2036" t="s">
        <v>55</v>
      </c>
      <c r="G2036">
        <v>-221.5804</v>
      </c>
      <c r="H2036" s="1">
        <v>-6.9579389999999997E-7</v>
      </c>
      <c r="I2036">
        <v>284.28910000000002</v>
      </c>
      <c r="J2036">
        <v>-204.6568</v>
      </c>
      <c r="K2036">
        <v>1.11846</v>
      </c>
      <c r="L2036">
        <v>284.4228</v>
      </c>
      <c r="M2036">
        <v>-0.97098969999999996</v>
      </c>
      <c r="N2036">
        <v>-1.3176520000000001E-2</v>
      </c>
      <c r="O2036">
        <v>-0.2387582</v>
      </c>
      <c r="P2036">
        <v>-0.97965749999999996</v>
      </c>
      <c r="Q2036">
        <v>-5.9990450000000001E-2</v>
      </c>
      <c r="R2036">
        <v>-0.1914999</v>
      </c>
      <c r="S2036">
        <v>-3.043488</v>
      </c>
      <c r="T2036">
        <v>-0.1991792</v>
      </c>
      <c r="U2036">
        <v>-2.996826E-2</v>
      </c>
      <c r="V2036">
        <v>4.7659310000000003E-2</v>
      </c>
      <c r="W2036">
        <v>-4.7154420000000002E-2</v>
      </c>
      <c r="X2036">
        <v>0.99775000000000003</v>
      </c>
      <c r="Y2036">
        <v>0.2283028</v>
      </c>
      <c r="Z2036">
        <v>2.129027E-2</v>
      </c>
      <c r="AA2036">
        <v>0.97335740000000004</v>
      </c>
      <c r="AB2036">
        <v>19</v>
      </c>
      <c r="AC2036">
        <v>-16.923599999999901</v>
      </c>
      <c r="AD2036">
        <v>-1.1184606957938901</v>
      </c>
      <c r="AE2036">
        <v>-0.133699999999976</v>
      </c>
      <c r="AF2036">
        <v>3.8941587278810901</v>
      </c>
      <c r="AG2036">
        <v>-1.1184606957938901</v>
      </c>
      <c r="AH2036">
        <v>16.394390118073201</v>
      </c>
      <c r="AI2036">
        <v>93.7974591740888</v>
      </c>
      <c r="AJ2036">
        <v>76.6381569750083</v>
      </c>
      <c r="AK2036">
        <v>16.8876124383983</v>
      </c>
      <c r="AL2036">
        <v>92.702751479738694</v>
      </c>
      <c r="AM2036">
        <v>87.265243472745397</v>
      </c>
      <c r="AN2036">
        <v>1.0000000058276</v>
      </c>
    </row>
    <row r="2037" spans="1:40" x14ac:dyDescent="0.25">
      <c r="A2037" t="str">
        <f>"20190303153814731"</f>
        <v>20190303153814731</v>
      </c>
      <c r="B2037" t="str">
        <f>"1551598694720499"</f>
        <v>1551598694720499</v>
      </c>
      <c r="C2037" t="s">
        <v>40</v>
      </c>
      <c r="D2037">
        <v>5.0074439999999996</v>
      </c>
      <c r="E2037">
        <v>0.56788179999999999</v>
      </c>
      <c r="F2037" t="s">
        <v>55</v>
      </c>
      <c r="G2037">
        <v>-223.36320000000001</v>
      </c>
      <c r="H2037" s="1">
        <v>2.529412E-7</v>
      </c>
      <c r="I2037">
        <v>284.18680000000001</v>
      </c>
      <c r="J2037">
        <v>-204.85220000000001</v>
      </c>
      <c r="K2037">
        <v>1.1184829999999999</v>
      </c>
      <c r="L2037">
        <v>284.38279999999997</v>
      </c>
      <c r="M2037">
        <v>-0.97251560000000004</v>
      </c>
      <c r="N2037">
        <v>-1.24133E-2</v>
      </c>
      <c r="O2037">
        <v>-0.23250699999999999</v>
      </c>
      <c r="P2037">
        <v>-0.9797401</v>
      </c>
      <c r="Q2037">
        <v>-5.8345939999999999E-2</v>
      </c>
      <c r="R2037">
        <v>-0.1915867</v>
      </c>
      <c r="S2037">
        <v>-3.043625</v>
      </c>
      <c r="T2037">
        <v>-0.18197869999999999</v>
      </c>
      <c r="U2037">
        <v>-3.8391109999999999E-2</v>
      </c>
      <c r="V2037">
        <v>4.1199880000000001E-2</v>
      </c>
      <c r="W2037">
        <v>-4.6210059999999997E-2</v>
      </c>
      <c r="X2037">
        <v>0.99808169999999996</v>
      </c>
      <c r="Y2037">
        <v>0.21951290000000001</v>
      </c>
      <c r="Z2037">
        <v>1.8802030000000001E-2</v>
      </c>
      <c r="AA2037">
        <v>0.97542839999999997</v>
      </c>
      <c r="AB2037">
        <v>19</v>
      </c>
      <c r="AC2037">
        <v>-18.510999999999999</v>
      </c>
      <c r="AD2037">
        <v>-1.1184827470587999</v>
      </c>
      <c r="AE2037">
        <v>-0.195999999999969</v>
      </c>
      <c r="AF2037">
        <v>4.0986784327464596</v>
      </c>
      <c r="AG2037">
        <v>-1.1184827470587999</v>
      </c>
      <c r="AH2037">
        <v>17.983548001153899</v>
      </c>
      <c r="AI2037">
        <v>93.470153727387</v>
      </c>
      <c r="AJ2037">
        <v>77.160873652712098</v>
      </c>
      <c r="AK2037">
        <v>18.4785867224833</v>
      </c>
      <c r="AL2037">
        <v>92.648584757351799</v>
      </c>
      <c r="AM2037">
        <v>87.636225740803695</v>
      </c>
      <c r="AN2037">
        <v>0.99999993981605195</v>
      </c>
    </row>
    <row r="2038" spans="1:40" x14ac:dyDescent="0.25">
      <c r="A2038" t="str">
        <f>"20190303153814751"</f>
        <v>20190303153814751</v>
      </c>
      <c r="B2038" t="str">
        <f>"1551598694740921"</f>
        <v>1551598694740921</v>
      </c>
      <c r="C2038" t="s">
        <v>40</v>
      </c>
      <c r="D2038">
        <v>5.0294790000000003</v>
      </c>
      <c r="E2038">
        <v>0.56726589999999999</v>
      </c>
      <c r="F2038" t="s">
        <v>55</v>
      </c>
      <c r="G2038">
        <v>-223.74709999999999</v>
      </c>
      <c r="H2038" s="1">
        <v>4.5722039999999998E-7</v>
      </c>
      <c r="I2038">
        <v>284.11489999999998</v>
      </c>
      <c r="J2038">
        <v>-205.02379999999999</v>
      </c>
      <c r="K2038">
        <v>1.1185309999999999</v>
      </c>
      <c r="L2038">
        <v>284.34829999999999</v>
      </c>
      <c r="M2038">
        <v>-0.97373189999999998</v>
      </c>
      <c r="N2038">
        <v>-1.171815E-2</v>
      </c>
      <c r="O2038">
        <v>-0.22739619999999999</v>
      </c>
      <c r="P2038">
        <v>-0.97988090000000005</v>
      </c>
      <c r="Q2038">
        <v>-5.8106810000000002E-2</v>
      </c>
      <c r="R2038">
        <v>-0.19093750000000001</v>
      </c>
      <c r="S2038">
        <v>-3.042862</v>
      </c>
      <c r="T2038">
        <v>-0.18012249999999999</v>
      </c>
      <c r="U2038">
        <v>-4.315186E-2</v>
      </c>
      <c r="V2038">
        <v>3.6639049999999999E-2</v>
      </c>
      <c r="W2038">
        <v>-4.6620160000000001E-2</v>
      </c>
      <c r="X2038">
        <v>0.99824049999999998</v>
      </c>
      <c r="Y2038">
        <v>0.21288489999999999</v>
      </c>
      <c r="Z2038">
        <v>1.8215809999999999E-2</v>
      </c>
      <c r="AA2038">
        <v>0.97690750000000004</v>
      </c>
      <c r="AB2038">
        <v>19</v>
      </c>
      <c r="AC2038">
        <v>-18.723299999999899</v>
      </c>
      <c r="AD2038">
        <v>-1.1185305427796</v>
      </c>
      <c r="AE2038">
        <v>-0.23340000000001701</v>
      </c>
      <c r="AF2038">
        <v>4.0162832935602104</v>
      </c>
      <c r="AG2038">
        <v>-1.1185305427796</v>
      </c>
      <c r="AH2038">
        <v>18.2207852587308</v>
      </c>
      <c r="AI2038">
        <v>93.430692819220695</v>
      </c>
      <c r="AJ2038">
        <v>77.569456855607598</v>
      </c>
      <c r="AK2038">
        <v>18.691673480832101</v>
      </c>
      <c r="AL2038">
        <v>92.6721070086503</v>
      </c>
      <c r="AM2038">
        <v>87.897980483601003</v>
      </c>
      <c r="AN2038">
        <v>0.99999997757178805</v>
      </c>
    </row>
    <row r="2039" spans="1:40" x14ac:dyDescent="0.25">
      <c r="A2039" t="str">
        <f>"20190303153814774"</f>
        <v>20190303153814774</v>
      </c>
      <c r="B2039" t="str">
        <f>"1551598694771178"</f>
        <v>1551598694771178</v>
      </c>
      <c r="C2039" t="s">
        <v>40</v>
      </c>
      <c r="D2039">
        <v>5.0970430000000002</v>
      </c>
      <c r="E2039">
        <v>0.56625879999999995</v>
      </c>
      <c r="F2039" t="s">
        <v>55</v>
      </c>
      <c r="G2039">
        <v>-223.6696</v>
      </c>
      <c r="H2039" s="1">
        <v>4.1596960000000002E-7</v>
      </c>
      <c r="I2039">
        <v>284.06709999999998</v>
      </c>
      <c r="J2039">
        <v>-205.21559999999999</v>
      </c>
      <c r="K2039">
        <v>1.118617</v>
      </c>
      <c r="L2039">
        <v>284.31029999999998</v>
      </c>
      <c r="M2039">
        <v>-0.97497579999999995</v>
      </c>
      <c r="N2039">
        <v>-1.0965620000000001E-2</v>
      </c>
      <c r="O2039">
        <v>-0.22204099999999999</v>
      </c>
      <c r="P2039">
        <v>-0.98022100000000001</v>
      </c>
      <c r="Q2039">
        <v>-6.0297990000000003E-2</v>
      </c>
      <c r="R2039">
        <v>-0.18849779999999999</v>
      </c>
      <c r="S2039">
        <v>-3.0418240000000001</v>
      </c>
      <c r="T2039">
        <v>-0.1824749</v>
      </c>
      <c r="U2039">
        <v>-4.586792E-2</v>
      </c>
      <c r="V2039">
        <v>3.3613150000000001E-2</v>
      </c>
      <c r="W2039">
        <v>-4.9530650000000002E-2</v>
      </c>
      <c r="X2039">
        <v>0.99820690000000001</v>
      </c>
      <c r="Y2039">
        <v>0.2066288</v>
      </c>
      <c r="Z2039">
        <v>1.809409E-2</v>
      </c>
      <c r="AA2039">
        <v>0.97825209999999996</v>
      </c>
      <c r="AB2039">
        <v>19</v>
      </c>
      <c r="AC2039">
        <v>-18.454000000000001</v>
      </c>
      <c r="AD2039">
        <v>-1.1186165840304001</v>
      </c>
      <c r="AE2039">
        <v>-0.243200000000001</v>
      </c>
      <c r="AF2039">
        <v>3.8465310366784902</v>
      </c>
      <c r="AG2039">
        <v>-1.1186165840304001</v>
      </c>
      <c r="AH2039">
        <v>17.9812285083202</v>
      </c>
      <c r="AI2039">
        <v>93.481234902865694</v>
      </c>
      <c r="AJ2039">
        <v>77.925319107263604</v>
      </c>
      <c r="AK2039">
        <v>18.422043392268598</v>
      </c>
      <c r="AL2039">
        <v>92.839058641260607</v>
      </c>
      <c r="AM2039">
        <v>88.071377588265193</v>
      </c>
      <c r="AN2039">
        <v>1.00000007217497</v>
      </c>
    </row>
    <row r="2040" spans="1:40" x14ac:dyDescent="0.25">
      <c r="A2040" t="str">
        <f>"20190303153814786"</f>
        <v>20190303153814786</v>
      </c>
      <c r="B2040" t="str">
        <f>"1551598694780938"</f>
        <v>1551598694780938</v>
      </c>
      <c r="C2040" t="s">
        <v>40</v>
      </c>
      <c r="D2040">
        <v>5.0722100000000001</v>
      </c>
      <c r="E2040">
        <v>0.56608890000000001</v>
      </c>
      <c r="F2040" t="s">
        <v>55</v>
      </c>
      <c r="G2040">
        <v>-222.7466</v>
      </c>
      <c r="H2040" s="1">
        <v>-7.5205550000000001E-8</v>
      </c>
      <c r="I2040">
        <v>284.04539999999997</v>
      </c>
      <c r="J2040">
        <v>-205.33029999999999</v>
      </c>
      <c r="K2040">
        <v>1.118668</v>
      </c>
      <c r="L2040">
        <v>284.2878</v>
      </c>
      <c r="M2040">
        <v>-0.97566810000000004</v>
      </c>
      <c r="N2040">
        <v>-1.053316E-2</v>
      </c>
      <c r="O2040">
        <v>-0.21899969999999999</v>
      </c>
      <c r="P2040">
        <v>-0.9805952</v>
      </c>
      <c r="Q2040">
        <v>-6.1072349999999997E-2</v>
      </c>
      <c r="R2040">
        <v>-0.18628829999999999</v>
      </c>
      <c r="S2040">
        <v>-3.0397639999999999</v>
      </c>
      <c r="T2040">
        <v>-0.19396189999999999</v>
      </c>
      <c r="U2040">
        <v>-4.5928959999999998E-2</v>
      </c>
      <c r="V2040">
        <v>3.27461E-2</v>
      </c>
      <c r="W2040">
        <v>-5.0723789999999998E-2</v>
      </c>
      <c r="X2040">
        <v>0.9981757</v>
      </c>
      <c r="Y2040">
        <v>0.20346049999999999</v>
      </c>
      <c r="Z2040">
        <v>1.9104679999999999E-2</v>
      </c>
      <c r="AA2040">
        <v>0.97889669999999895</v>
      </c>
      <c r="AB2040">
        <v>19</v>
      </c>
      <c r="AC2040">
        <v>-17.4163</v>
      </c>
      <c r="AD2040">
        <v>-1.11866807520555</v>
      </c>
      <c r="AE2040">
        <v>-0.24240000000003101</v>
      </c>
      <c r="AF2040">
        <v>3.5631634466302402</v>
      </c>
      <c r="AG2040">
        <v>-1.11866807520555</v>
      </c>
      <c r="AH2040">
        <v>16.976533631107099</v>
      </c>
      <c r="AI2040">
        <v>93.689883408093607</v>
      </c>
      <c r="AJ2040">
        <v>78.146390519787303</v>
      </c>
      <c r="AK2040">
        <v>17.382469506315701</v>
      </c>
      <c r="AL2040">
        <v>92.907506876966593</v>
      </c>
      <c r="AM2040">
        <v>88.121031517142498</v>
      </c>
      <c r="AN2040">
        <v>0.99999996900383104</v>
      </c>
    </row>
    <row r="2041" spans="1:40" x14ac:dyDescent="0.25">
      <c r="A2041" t="str">
        <f>"20190303153814807"</f>
        <v>20190303153814807</v>
      </c>
      <c r="B2041" t="str">
        <f>"1551598694800457"</f>
        <v>1551598694800457</v>
      </c>
      <c r="C2041" t="s">
        <v>40</v>
      </c>
      <c r="D2041">
        <v>5.0422129999999896</v>
      </c>
      <c r="E2041">
        <v>0.56557119999999905</v>
      </c>
      <c r="F2041" t="s">
        <v>55</v>
      </c>
      <c r="G2041">
        <v>-222.52799999999999</v>
      </c>
      <c r="H2041" s="1">
        <v>-1.915249E-7</v>
      </c>
      <c r="I2041">
        <v>284.06</v>
      </c>
      <c r="J2041">
        <v>-205.49940000000001</v>
      </c>
      <c r="K2041">
        <v>1.118765</v>
      </c>
      <c r="L2041">
        <v>284.25490000000002</v>
      </c>
      <c r="M2041">
        <v>-0.97660789999999997</v>
      </c>
      <c r="N2041">
        <v>-9.9159959999999998E-3</v>
      </c>
      <c r="O2041">
        <v>-0.21479960000000001</v>
      </c>
      <c r="P2041">
        <v>-0.98060729999999996</v>
      </c>
      <c r="Q2041">
        <v>-6.3207899999999997E-2</v>
      </c>
      <c r="R2041">
        <v>-0.18551039999999999</v>
      </c>
      <c r="S2041">
        <v>-3.0393829999999999</v>
      </c>
      <c r="T2041">
        <v>-0.1977043</v>
      </c>
      <c r="U2041">
        <v>-4.0252690000000001E-2</v>
      </c>
      <c r="V2041">
        <v>2.9220400000000001E-2</v>
      </c>
      <c r="W2041">
        <v>-5.3447160000000001E-2</v>
      </c>
      <c r="X2041">
        <v>0.99814309999999995</v>
      </c>
      <c r="Y2041">
        <v>0.2010489</v>
      </c>
      <c r="Z2041">
        <v>1.925779E-2</v>
      </c>
      <c r="AA2041">
        <v>0.97939189999999998</v>
      </c>
      <c r="AB2041">
        <v>19</v>
      </c>
      <c r="AC2041">
        <v>-17.028599999999901</v>
      </c>
      <c r="AD2041">
        <v>-1.1187651915248999</v>
      </c>
      <c r="AE2041">
        <v>-0.194900000000018</v>
      </c>
      <c r="AF2041">
        <v>3.45266467695616</v>
      </c>
      <c r="AG2041">
        <v>-1.1187651915248999</v>
      </c>
      <c r="AH2041">
        <v>16.601299715132601</v>
      </c>
      <c r="AI2041">
        <v>93.774813461834995</v>
      </c>
      <c r="AJ2041">
        <v>78.251358434916398</v>
      </c>
      <c r="AK2041">
        <v>16.993401106221501</v>
      </c>
      <c r="AL2041">
        <v>93.063756410441499</v>
      </c>
      <c r="AM2041">
        <v>88.323158703132094</v>
      </c>
      <c r="AN2041">
        <v>1.00000003938291</v>
      </c>
    </row>
    <row r="2042" spans="1:40" x14ac:dyDescent="0.25">
      <c r="A2042" t="str">
        <f>"20190303153814830"</f>
        <v>20190303153814830</v>
      </c>
      <c r="B2042" t="str">
        <f>"1551598694820954"</f>
        <v>1551598694820954</v>
      </c>
      <c r="C2042" t="s">
        <v>40</v>
      </c>
      <c r="D2042">
        <v>5.1617940000000004</v>
      </c>
      <c r="E2042">
        <v>0.56504799999999999</v>
      </c>
      <c r="F2042" t="s">
        <v>55</v>
      </c>
      <c r="G2042">
        <v>-222.00370000000001</v>
      </c>
      <c r="H2042" s="1">
        <v>-4.7054140000000003E-7</v>
      </c>
      <c r="I2042">
        <v>284.02769999999998</v>
      </c>
      <c r="J2042">
        <v>-205.7105</v>
      </c>
      <c r="K2042">
        <v>1.1188979999999999</v>
      </c>
      <c r="L2042">
        <v>284.21420000000001</v>
      </c>
      <c r="M2042">
        <v>-0.97764220000000002</v>
      </c>
      <c r="N2042">
        <v>-9.1240499999999999E-3</v>
      </c>
      <c r="O2042">
        <v>-0.21007799999999999</v>
      </c>
      <c r="P2042">
        <v>-0.98132200000000003</v>
      </c>
      <c r="Q2042">
        <v>-6.1021980000000003E-2</v>
      </c>
      <c r="R2042">
        <v>-0.18243870000000001</v>
      </c>
      <c r="S2042">
        <v>-3.038116</v>
      </c>
      <c r="T2042">
        <v>-0.20594270000000001</v>
      </c>
      <c r="U2042">
        <v>-4.1809079999999998E-2</v>
      </c>
      <c r="V2042">
        <v>2.7583659999999999E-2</v>
      </c>
      <c r="W2042">
        <v>-5.202876E-2</v>
      </c>
      <c r="X2042">
        <v>0.99826459999999995</v>
      </c>
      <c r="Y2042">
        <v>0.1957497</v>
      </c>
      <c r="Z2042">
        <v>1.9732530000000002E-2</v>
      </c>
      <c r="AA2042">
        <v>0.98045530000000003</v>
      </c>
      <c r="AB2042">
        <v>19</v>
      </c>
      <c r="AC2042">
        <v>-16.293199999999999</v>
      </c>
      <c r="AD2042">
        <v>-1.11889847054139</v>
      </c>
      <c r="AE2042">
        <v>-0.18650000000002301</v>
      </c>
      <c r="AF2042">
        <v>3.22543803800985</v>
      </c>
      <c r="AG2042">
        <v>-1.11889847054139</v>
      </c>
      <c r="AH2042">
        <v>15.893817336107499</v>
      </c>
      <c r="AI2042">
        <v>93.946697612004598</v>
      </c>
      <c r="AJ2042">
        <v>78.528373095400795</v>
      </c>
      <c r="AK2042">
        <v>16.256346878618601</v>
      </c>
      <c r="AL2042">
        <v>92.982374846653798</v>
      </c>
      <c r="AM2042">
        <v>88.417227993674004</v>
      </c>
      <c r="AN2042">
        <v>1.00000003088964</v>
      </c>
    </row>
    <row r="2043" spans="1:40" x14ac:dyDescent="0.25">
      <c r="A2043" t="str">
        <f>"20190303153814852"</f>
        <v>20190303153814852</v>
      </c>
      <c r="B2043" t="str">
        <f>"1551598694840982"</f>
        <v>1551598694840982</v>
      </c>
      <c r="C2043" t="s">
        <v>40</v>
      </c>
      <c r="D2043">
        <v>5.0518010000000002</v>
      </c>
      <c r="E2043">
        <v>0.56456240000000002</v>
      </c>
      <c r="F2043" t="s">
        <v>55</v>
      </c>
      <c r="G2043">
        <v>-222.55719999999999</v>
      </c>
      <c r="H2043" s="1">
        <v>-1.7596849999999999E-7</v>
      </c>
      <c r="I2043">
        <v>284.01260000000002</v>
      </c>
      <c r="J2043">
        <v>-205.89879999999999</v>
      </c>
      <c r="K2043">
        <v>1.119014</v>
      </c>
      <c r="L2043">
        <v>284.1782</v>
      </c>
      <c r="M2043">
        <v>-0.97843270000000004</v>
      </c>
      <c r="N2043">
        <v>-8.3801039999999993E-3</v>
      </c>
      <c r="O2043">
        <v>-0.2063961</v>
      </c>
      <c r="P2043">
        <v>-0.98191390000000001</v>
      </c>
      <c r="Q2043">
        <v>-5.6703589999999998E-2</v>
      </c>
      <c r="R2043">
        <v>-0.18063779999999999</v>
      </c>
      <c r="S2043">
        <v>-3.037811</v>
      </c>
      <c r="T2043">
        <v>-0.2017603</v>
      </c>
      <c r="U2043">
        <v>-3.6346440000000001E-2</v>
      </c>
      <c r="V2043">
        <v>2.5746669999999999E-2</v>
      </c>
      <c r="W2043">
        <v>-4.8431500000000002E-2</v>
      </c>
      <c r="X2043">
        <v>0.99849460000000001</v>
      </c>
      <c r="Y2043">
        <v>0.19386030000000001</v>
      </c>
      <c r="Z2043">
        <v>1.9119589999999999E-2</v>
      </c>
      <c r="AA2043">
        <v>0.98084280000000001</v>
      </c>
      <c r="AB2043">
        <v>20</v>
      </c>
      <c r="AC2043">
        <v>-16.6584</v>
      </c>
      <c r="AD2043">
        <v>-1.1190141759684999</v>
      </c>
      <c r="AE2043">
        <v>-0.16559999999998301</v>
      </c>
      <c r="AF2043">
        <v>3.26159909212355</v>
      </c>
      <c r="AG2043">
        <v>-1.1190141759684999</v>
      </c>
      <c r="AH2043">
        <v>16.260508842844999</v>
      </c>
      <c r="AI2043">
        <v>93.860119896585402</v>
      </c>
      <c r="AJ2043">
        <v>78.657893339742301</v>
      </c>
      <c r="AK2043">
        <v>16.622104836391799</v>
      </c>
      <c r="AL2043">
        <v>92.776006551021197</v>
      </c>
      <c r="AM2043">
        <v>88.522927701301001</v>
      </c>
      <c r="AN2043">
        <v>0.99999998371874899</v>
      </c>
    </row>
    <row r="2044" spans="1:40" x14ac:dyDescent="0.25">
      <c r="A2044" t="str">
        <f>"20190303153814874"</f>
        <v>20190303153814874</v>
      </c>
      <c r="B2044" t="str">
        <f>"1551598694871238"</f>
        <v>1551598694871238</v>
      </c>
      <c r="C2044" t="s">
        <v>40</v>
      </c>
      <c r="D2044">
        <v>5.0512249999999996</v>
      </c>
      <c r="E2044">
        <v>0.56367959999999995</v>
      </c>
      <c r="F2044" t="s">
        <v>55</v>
      </c>
      <c r="G2044">
        <v>-223.7801</v>
      </c>
      <c r="H2044" s="1">
        <v>4.7478249999999998E-7</v>
      </c>
      <c r="I2044">
        <v>283.97669999999999</v>
      </c>
      <c r="J2044">
        <v>-206.08750000000001</v>
      </c>
      <c r="K2044">
        <v>1.119097</v>
      </c>
      <c r="L2044">
        <v>284.14240000000001</v>
      </c>
      <c r="M2044">
        <v>-0.97912960000000004</v>
      </c>
      <c r="N2044">
        <v>-7.6389550000000002E-3</v>
      </c>
      <c r="O2044">
        <v>-0.203094</v>
      </c>
      <c r="P2044">
        <v>-0.98232790000000003</v>
      </c>
      <c r="Q2044">
        <v>-5.4849380000000003E-2</v>
      </c>
      <c r="R2044">
        <v>-0.17895139999999901</v>
      </c>
      <c r="S2044">
        <v>-3.037979</v>
      </c>
      <c r="T2044">
        <v>-0.19011690000000001</v>
      </c>
      <c r="U2044">
        <v>-3.4240720000000002E-2</v>
      </c>
      <c r="V2044">
        <v>2.4135440000000001E-2</v>
      </c>
      <c r="W2044">
        <v>-4.7301269999999999E-2</v>
      </c>
      <c r="X2044">
        <v>0.99858899999999995</v>
      </c>
      <c r="Y2044">
        <v>0.19133069999999999</v>
      </c>
      <c r="Z2044">
        <v>1.7779909999999999E-2</v>
      </c>
      <c r="AA2044">
        <v>0.98136460000000003</v>
      </c>
      <c r="AB2044">
        <v>20</v>
      </c>
      <c r="AC2044">
        <v>-17.692599999999999</v>
      </c>
      <c r="AD2044">
        <v>-1.1190965252175</v>
      </c>
      <c r="AE2044">
        <v>-0.165700000000015</v>
      </c>
      <c r="AF2044">
        <v>3.4174472463165899</v>
      </c>
      <c r="AG2044">
        <v>-1.1190965252175</v>
      </c>
      <c r="AH2044">
        <v>17.2883429545093</v>
      </c>
      <c r="AI2044">
        <v>93.633545857064902</v>
      </c>
      <c r="AJ2044">
        <v>78.818296489601494</v>
      </c>
      <c r="AK2044">
        <v>17.658372655112998</v>
      </c>
      <c r="AL2044">
        <v>92.711174887723899</v>
      </c>
      <c r="AM2044">
        <v>88.615456739846294</v>
      </c>
      <c r="AN2044">
        <v>0.99999996026430205</v>
      </c>
    </row>
    <row r="2045" spans="1:40" x14ac:dyDescent="0.25">
      <c r="A2045" t="str">
        <f>"20190303153814896"</f>
        <v>20190303153814896</v>
      </c>
      <c r="B2045" t="str">
        <f>"1551598694890758"</f>
        <v>1551598694890758</v>
      </c>
      <c r="C2045" t="s">
        <v>40</v>
      </c>
      <c r="D2045">
        <v>5.0308739999999998</v>
      </c>
      <c r="E2045">
        <v>0.56326160000000003</v>
      </c>
      <c r="F2045" t="s">
        <v>55</v>
      </c>
      <c r="G2045">
        <v>-224.01300000000001</v>
      </c>
      <c r="H2045" s="1">
        <v>5.9872149999999899E-7</v>
      </c>
      <c r="I2045">
        <v>283.93090000000001</v>
      </c>
      <c r="J2045">
        <v>-206.29130000000001</v>
      </c>
      <c r="K2045">
        <v>1.1191580000000001</v>
      </c>
      <c r="L2045">
        <v>284.10410000000002</v>
      </c>
      <c r="M2045">
        <v>-0.97978620000000005</v>
      </c>
      <c r="N2045">
        <v>-6.8602309999999996E-3</v>
      </c>
      <c r="O2045">
        <v>-0.19993050000000001</v>
      </c>
      <c r="P2045">
        <v>-0.98284609999999994</v>
      </c>
      <c r="Q2045">
        <v>-5.3830650000000001E-2</v>
      </c>
      <c r="R2045">
        <v>-0.176398</v>
      </c>
      <c r="S2045">
        <v>-3.0368650000000001</v>
      </c>
      <c r="T2045">
        <v>-0.18959309999999999</v>
      </c>
      <c r="U2045">
        <v>-3.5827640000000001E-2</v>
      </c>
      <c r="V2045">
        <v>2.353276E-2</v>
      </c>
      <c r="W2045">
        <v>-4.7049500000000001E-2</v>
      </c>
      <c r="X2045">
        <v>0.99861529999999998</v>
      </c>
      <c r="Y2045">
        <v>0.1876536</v>
      </c>
      <c r="Z2045">
        <v>1.7520290000000001E-2</v>
      </c>
      <c r="AA2045">
        <v>0.98207900000000004</v>
      </c>
      <c r="AB2045">
        <v>20</v>
      </c>
      <c r="AC2045">
        <v>-17.721699999999998</v>
      </c>
      <c r="AD2045">
        <v>-1.1191574012784999</v>
      </c>
      <c r="AE2045">
        <v>-0.17320000000000799</v>
      </c>
      <c r="AF2045">
        <v>3.36008904601688</v>
      </c>
      <c r="AG2045">
        <v>-1.1191574012784999</v>
      </c>
      <c r="AH2045">
        <v>17.3294064838847</v>
      </c>
      <c r="AI2045">
        <v>93.627732152110795</v>
      </c>
      <c r="AJ2045">
        <v>79.026784198703396</v>
      </c>
      <c r="AK2045">
        <v>17.687595675209899</v>
      </c>
      <c r="AL2045">
        <v>92.696733391750101</v>
      </c>
      <c r="AM2045">
        <v>88.650052404050101</v>
      </c>
      <c r="AN2045">
        <v>0.99999998181877803</v>
      </c>
    </row>
    <row r="2046" spans="1:40" x14ac:dyDescent="0.25">
      <c r="A2046" t="str">
        <f>"20190303153814920"</f>
        <v>20190303153814920</v>
      </c>
      <c r="B2046" t="str">
        <f>"1551598694911255"</f>
        <v>1551598694911255</v>
      </c>
      <c r="C2046" t="s">
        <v>40</v>
      </c>
      <c r="D2046">
        <v>4.9965169999999999</v>
      </c>
      <c r="E2046">
        <v>0.56286440000000004</v>
      </c>
      <c r="F2046" t="s">
        <v>55</v>
      </c>
      <c r="G2046">
        <v>-224.33500000000001</v>
      </c>
      <c r="H2046" s="1">
        <v>7.7009039999999995E-7</v>
      </c>
      <c r="I2046">
        <v>283.9178</v>
      </c>
      <c r="J2046">
        <v>-206.50649999999999</v>
      </c>
      <c r="K2046">
        <v>1.1192</v>
      </c>
      <c r="L2046">
        <v>284.06380000000001</v>
      </c>
      <c r="M2046">
        <v>-0.98038479999999995</v>
      </c>
      <c r="N2046">
        <v>-6.0606710000000001E-3</v>
      </c>
      <c r="O2046">
        <v>-0.19700039999999999</v>
      </c>
      <c r="P2046">
        <v>-0.98347289999999998</v>
      </c>
      <c r="Q2046">
        <v>-5.28596E-2</v>
      </c>
      <c r="R2046">
        <v>-0.17316870000000001</v>
      </c>
      <c r="S2046">
        <v>-3.0364070000000001</v>
      </c>
      <c r="T2046">
        <v>-0.18833259999999999</v>
      </c>
      <c r="U2046">
        <v>-3.1341550000000003E-2</v>
      </c>
      <c r="V2046">
        <v>2.385232E-2</v>
      </c>
      <c r="W2046">
        <v>-4.6869889999999997E-2</v>
      </c>
      <c r="X2046">
        <v>0.99861619999999995</v>
      </c>
      <c r="Y2046">
        <v>0.18617800000000001</v>
      </c>
      <c r="Z2046">
        <v>1.7277130000000002E-2</v>
      </c>
      <c r="AA2046">
        <v>0.98236409999999996</v>
      </c>
      <c r="AB2046">
        <v>20</v>
      </c>
      <c r="AC2046">
        <v>-17.828499999999998</v>
      </c>
      <c r="AD2046">
        <v>-1.1191992299096001</v>
      </c>
      <c r="AE2046">
        <v>-0.14600000000001501</v>
      </c>
      <c r="AF2046">
        <v>3.355922757134</v>
      </c>
      <c r="AG2046">
        <v>-1.1191992299096001</v>
      </c>
      <c r="AH2046">
        <v>17.439152138221601</v>
      </c>
      <c r="AI2046">
        <v>93.606074471681097</v>
      </c>
      <c r="AJ2046">
        <v>79.107377225552796</v>
      </c>
      <c r="AK2046">
        <v>17.794348871709801</v>
      </c>
      <c r="AL2046">
        <v>92.686431035512499</v>
      </c>
      <c r="AM2046">
        <v>88.631729124114599</v>
      </c>
      <c r="AN2046">
        <v>1.0000000173302099</v>
      </c>
    </row>
    <row r="2047" spans="1:40" x14ac:dyDescent="0.25">
      <c r="A2047" t="str">
        <f>"20190303153814942"</f>
        <v>20190303153814942</v>
      </c>
      <c r="B2047" t="str">
        <f>"1551598694930775"</f>
        <v>1551598694930775</v>
      </c>
      <c r="C2047" t="s">
        <v>40</v>
      </c>
      <c r="D2047">
        <v>4.9846849999999998</v>
      </c>
      <c r="E2047">
        <v>0.56245210000000001</v>
      </c>
      <c r="F2047" t="s">
        <v>55</v>
      </c>
      <c r="G2047">
        <v>-224.60169999999999</v>
      </c>
      <c r="H2047" s="1">
        <v>9.1199149999999999E-7</v>
      </c>
      <c r="I2047">
        <v>283.91840000000002</v>
      </c>
      <c r="J2047">
        <v>-206.71190000000001</v>
      </c>
      <c r="K2047">
        <v>1.1192310000000001</v>
      </c>
      <c r="L2047">
        <v>284.02550000000002</v>
      </c>
      <c r="M2047">
        <v>-0.98087579999999996</v>
      </c>
      <c r="N2047">
        <v>-5.3279979999999996E-3</v>
      </c>
      <c r="O2047">
        <v>-0.19456200000000001</v>
      </c>
      <c r="P2047">
        <v>-0.98432269999999999</v>
      </c>
      <c r="Q2047">
        <v>-5.2018759999999997E-2</v>
      </c>
      <c r="R2047">
        <v>-0.16853180000000001</v>
      </c>
      <c r="S2047">
        <v>-3.0360109999999998</v>
      </c>
      <c r="T2047">
        <v>-0.18777930000000001</v>
      </c>
      <c r="U2047">
        <v>-2.4383539999999999E-2</v>
      </c>
      <c r="V2047">
        <v>2.6095360000000001E-2</v>
      </c>
      <c r="W2047">
        <v>-4.6759519999999999E-2</v>
      </c>
      <c r="X2047">
        <v>0.99856529999999999</v>
      </c>
      <c r="Y2047">
        <v>0.1859885</v>
      </c>
      <c r="Z2047">
        <v>1.7162980000000001E-2</v>
      </c>
      <c r="AA2047">
        <v>0.982402</v>
      </c>
      <c r="AB2047">
        <v>20</v>
      </c>
      <c r="AC2047">
        <v>-17.889799999999902</v>
      </c>
      <c r="AD2047">
        <v>-1.11923008800849</v>
      </c>
      <c r="AE2047">
        <v>-0.107100000000002</v>
      </c>
      <c r="AF2047">
        <v>3.36251061807104</v>
      </c>
      <c r="AG2047">
        <v>-1.11923008800849</v>
      </c>
      <c r="AH2047">
        <v>17.5002633425756</v>
      </c>
      <c r="AI2047">
        <v>93.593810307505606</v>
      </c>
      <c r="AJ2047">
        <v>79.123707003710706</v>
      </c>
      <c r="AK2047">
        <v>17.855485731450699</v>
      </c>
      <c r="AL2047">
        <v>92.680100300110993</v>
      </c>
      <c r="AM2047">
        <v>88.503038536961199</v>
      </c>
      <c r="AN2047">
        <v>1.00000003944412</v>
      </c>
    </row>
    <row r="2048" spans="1:40" x14ac:dyDescent="0.25">
      <c r="A2048" t="str">
        <f>"20190303153814965"</f>
        <v>20190303153814965</v>
      </c>
      <c r="B2048" t="str">
        <f>"1551598694961030"</f>
        <v>1551598694961030</v>
      </c>
      <c r="C2048" t="s">
        <v>40</v>
      </c>
      <c r="D2048">
        <v>4.9646109999999997</v>
      </c>
      <c r="E2048">
        <v>0.56174440000000003</v>
      </c>
      <c r="F2048" t="s">
        <v>55</v>
      </c>
      <c r="G2048">
        <v>-224.7337</v>
      </c>
      <c r="H2048" s="1">
        <v>9.8227349999999991E-7</v>
      </c>
      <c r="I2048">
        <v>283.94650000000001</v>
      </c>
      <c r="J2048">
        <v>-206.91990000000001</v>
      </c>
      <c r="K2048">
        <v>1.119245</v>
      </c>
      <c r="L2048">
        <v>283.98689999999999</v>
      </c>
      <c r="M2048">
        <v>-0.98130660000000003</v>
      </c>
      <c r="N2048">
        <v>-4.6342659999999997E-3</v>
      </c>
      <c r="O2048">
        <v>-0.19239590000000001</v>
      </c>
      <c r="P2048">
        <v>-0.98512920000000004</v>
      </c>
      <c r="Q2048">
        <v>-5.1338740000000001E-2</v>
      </c>
      <c r="R2048">
        <v>-0.16396559999999999</v>
      </c>
      <c r="S2048">
        <v>-3.0355379999999998</v>
      </c>
      <c r="T2048">
        <v>-0.18851899999999999</v>
      </c>
      <c r="U2048">
        <v>-1.330566E-2</v>
      </c>
      <c r="V2048">
        <v>2.8537219999999999E-2</v>
      </c>
      <c r="W2048">
        <v>-4.6771399999999998E-2</v>
      </c>
      <c r="X2048">
        <v>0.99849790000000005</v>
      </c>
      <c r="Y2048">
        <v>0.18739320000000001</v>
      </c>
      <c r="Z2048">
        <v>1.7232259999999999E-2</v>
      </c>
      <c r="AA2048">
        <v>0.98213379999999995</v>
      </c>
      <c r="AB2048">
        <v>21</v>
      </c>
      <c r="AC2048">
        <v>-17.813799999999901</v>
      </c>
      <c r="AD2048">
        <v>-1.1192440177265</v>
      </c>
      <c r="AE2048">
        <v>-4.0399999999976899E-2</v>
      </c>
      <c r="AF2048">
        <v>3.3743724584745798</v>
      </c>
      <c r="AG2048">
        <v>-1.1192440177265</v>
      </c>
      <c r="AH2048">
        <v>17.419990145287102</v>
      </c>
      <c r="AI2048">
        <v>93.609323175071793</v>
      </c>
      <c r="AJ2048">
        <v>79.037182898319998</v>
      </c>
      <c r="AK2048">
        <v>17.779065029456099</v>
      </c>
      <c r="AL2048">
        <v>92.680781834577701</v>
      </c>
      <c r="AM2048">
        <v>88.362923651095102</v>
      </c>
      <c r="AN2048">
        <v>0.99999999654384897</v>
      </c>
    </row>
    <row r="2049" spans="1:40" x14ac:dyDescent="0.25">
      <c r="A2049" t="str">
        <f>"20190303153814987"</f>
        <v>20190303153814987</v>
      </c>
      <c r="B2049" t="str">
        <f>"1551598694980551"</f>
        <v>1551598694980551</v>
      </c>
      <c r="C2049" t="s">
        <v>40</v>
      </c>
      <c r="D2049">
        <v>4.9425869999999996</v>
      </c>
      <c r="E2049">
        <v>0.56139839999999996</v>
      </c>
      <c r="F2049" t="s">
        <v>55</v>
      </c>
      <c r="G2049">
        <v>-224.72800000000001</v>
      </c>
      <c r="H2049" s="1">
        <v>9.7924080000000007E-7</v>
      </c>
      <c r="I2049">
        <v>283.9588</v>
      </c>
      <c r="J2049">
        <v>-207.12479999999999</v>
      </c>
      <c r="K2049">
        <v>1.1192329999999999</v>
      </c>
      <c r="L2049">
        <v>283.94909999999999</v>
      </c>
      <c r="M2049">
        <v>-0.98168120000000003</v>
      </c>
      <c r="N2049">
        <v>-4.0131580000000002E-3</v>
      </c>
      <c r="O2049">
        <v>-0.19048899999999999</v>
      </c>
      <c r="P2049">
        <v>-0.98589470000000001</v>
      </c>
      <c r="Q2049">
        <v>-5.0627749999999999E-2</v>
      </c>
      <c r="R2049">
        <v>-0.15952710000000001</v>
      </c>
      <c r="S2049">
        <v>-3.0345610000000001</v>
      </c>
      <c r="T2049">
        <v>-0.1907228</v>
      </c>
      <c r="U2049">
        <v>-4.7912600000000003E-3</v>
      </c>
      <c r="V2049">
        <v>3.110858E-2</v>
      </c>
      <c r="W2049">
        <v>-4.6680890000000003E-2</v>
      </c>
      <c r="X2049">
        <v>0.99842540000000002</v>
      </c>
      <c r="Y2049">
        <v>0.18821959999999999</v>
      </c>
      <c r="Z2049">
        <v>1.7424450000000001E-2</v>
      </c>
      <c r="AA2049">
        <v>0.98197239999999997</v>
      </c>
      <c r="AB2049">
        <v>21</v>
      </c>
      <c r="AC2049">
        <v>-17.603199999999902</v>
      </c>
      <c r="AD2049">
        <v>-1.1192320207591999</v>
      </c>
      <c r="AE2049">
        <v>9.7000000000093695E-3</v>
      </c>
      <c r="AF2049">
        <v>3.34922565338386</v>
      </c>
      <c r="AG2049">
        <v>-1.1192320207591999</v>
      </c>
      <c r="AH2049">
        <v>17.209450364992101</v>
      </c>
      <c r="AI2049">
        <v>93.652702239409905</v>
      </c>
      <c r="AJ2049">
        <v>78.987016173600594</v>
      </c>
      <c r="AK2049">
        <v>17.568015672201199</v>
      </c>
      <c r="AL2049">
        <v>92.675590141631602</v>
      </c>
      <c r="AM2049">
        <v>88.215376035401803</v>
      </c>
      <c r="AN2049">
        <v>1.0000000643029801</v>
      </c>
    </row>
    <row r="2050" spans="1:40" x14ac:dyDescent="0.25">
      <c r="A2050" t="str">
        <f>"20190303153815009"</f>
        <v>20190303153815009</v>
      </c>
      <c r="B2050" t="str">
        <f>"1551598695001046"</f>
        <v>1551598695001046</v>
      </c>
      <c r="C2050" t="s">
        <v>40</v>
      </c>
      <c r="D2050">
        <v>4.9232120000000004</v>
      </c>
      <c r="E2050">
        <v>0.56094960000000005</v>
      </c>
      <c r="F2050" t="s">
        <v>55</v>
      </c>
      <c r="G2050">
        <v>-225.34</v>
      </c>
      <c r="H2050" s="1">
        <v>1.304868E-6</v>
      </c>
      <c r="I2050">
        <v>283.98540000000003</v>
      </c>
      <c r="J2050">
        <v>-207.33619999999999</v>
      </c>
      <c r="K2050">
        <v>1.1191979999999999</v>
      </c>
      <c r="L2050">
        <v>283.91030000000001</v>
      </c>
      <c r="M2050">
        <v>-0.98203470000000004</v>
      </c>
      <c r="N2050">
        <v>-3.4402550000000001E-3</v>
      </c>
      <c r="O2050">
        <v>-0.18866920000000001</v>
      </c>
      <c r="P2050">
        <v>-0.98642600000000003</v>
      </c>
      <c r="Q2050">
        <v>-5.2737689999999997E-2</v>
      </c>
      <c r="R2050">
        <v>-0.15550820000000001</v>
      </c>
      <c r="S2050">
        <v>-3.0343019999999998</v>
      </c>
      <c r="T2050">
        <v>-0.1864431</v>
      </c>
      <c r="U2050">
        <v>6.0424800000000002E-3</v>
      </c>
      <c r="V2050">
        <v>3.3304140000000003E-2</v>
      </c>
      <c r="W2050">
        <v>-4.936463E-2</v>
      </c>
      <c r="X2050">
        <v>0.99822540000000004</v>
      </c>
      <c r="Y2050">
        <v>0.18993350000000001</v>
      </c>
      <c r="Z2050">
        <v>1.703526E-2</v>
      </c>
      <c r="AA2050">
        <v>0.9816492</v>
      </c>
      <c r="AB2050">
        <v>21</v>
      </c>
      <c r="AC2050">
        <v>-18.003799999999998</v>
      </c>
      <c r="AD2050">
        <v>-1.11919669513199</v>
      </c>
      <c r="AE2050">
        <v>7.5100000000020303E-2</v>
      </c>
      <c r="AF2050">
        <v>3.4571740472004402</v>
      </c>
      <c r="AG2050">
        <v>-1.11919669513199</v>
      </c>
      <c r="AH2050">
        <v>17.5982853311125</v>
      </c>
      <c r="AI2050">
        <v>93.570864092121894</v>
      </c>
      <c r="AJ2050">
        <v>78.885805860207</v>
      </c>
      <c r="AK2050">
        <v>17.969538119558798</v>
      </c>
      <c r="AL2050">
        <v>92.829534976588505</v>
      </c>
      <c r="AM2050">
        <v>88.089129844088305</v>
      </c>
      <c r="AN2050">
        <v>0.99999999082066804</v>
      </c>
    </row>
    <row r="2051" spans="1:40" x14ac:dyDescent="0.25">
      <c r="A2051" t="str">
        <f>"20190303153815030"</f>
        <v>20190303153815030</v>
      </c>
      <c r="B2051" t="str">
        <f>"1551598695020570"</f>
        <v>1551598695020570</v>
      </c>
      <c r="C2051" t="s">
        <v>40</v>
      </c>
      <c r="D2051">
        <v>4.9139569999999999</v>
      </c>
      <c r="E2051">
        <v>0.56042899999999995</v>
      </c>
      <c r="F2051" t="s">
        <v>55</v>
      </c>
      <c r="G2051">
        <v>-225.04339999999999</v>
      </c>
      <c r="H2051" s="1">
        <v>1.14703E-6</v>
      </c>
      <c r="I2051">
        <v>283.99689999999998</v>
      </c>
      <c r="J2051">
        <v>-207.53989999999999</v>
      </c>
      <c r="K2051">
        <v>1.119132</v>
      </c>
      <c r="L2051">
        <v>283.8732</v>
      </c>
      <c r="M2051">
        <v>-0.98235700000000004</v>
      </c>
      <c r="N2051">
        <v>-2.9559679999999998E-3</v>
      </c>
      <c r="O2051">
        <v>-0.18699199999999999</v>
      </c>
      <c r="P2051">
        <v>-0.98676699999999995</v>
      </c>
      <c r="Q2051">
        <v>-5.5781289999999997E-2</v>
      </c>
      <c r="R2051">
        <v>-0.15224799999999999</v>
      </c>
      <c r="S2051">
        <v>-3.0333860000000001</v>
      </c>
      <c r="T2051">
        <v>-0.19172790000000001</v>
      </c>
      <c r="U2051">
        <v>1.4831540000000001E-2</v>
      </c>
      <c r="V2051">
        <v>3.4859149999999998E-2</v>
      </c>
      <c r="W2051">
        <v>-5.2895360000000002E-2</v>
      </c>
      <c r="X2051">
        <v>0.99799139999999997</v>
      </c>
      <c r="Y2051">
        <v>0.1910589</v>
      </c>
      <c r="Z2051">
        <v>1.7515949999999999E-2</v>
      </c>
      <c r="AA2051">
        <v>0.98142229999999997</v>
      </c>
      <c r="AB2051">
        <v>21</v>
      </c>
      <c r="AC2051">
        <v>-17.503499999999999</v>
      </c>
      <c r="AD2051">
        <v>-1.1191308529699999</v>
      </c>
      <c r="AE2051">
        <v>0.123699999999985</v>
      </c>
      <c r="AF2051">
        <v>3.3807270716475801</v>
      </c>
      <c r="AG2051">
        <v>-1.1191308529699999</v>
      </c>
      <c r="AH2051">
        <v>17.101721163382798</v>
      </c>
      <c r="AI2051">
        <v>93.673194237937295</v>
      </c>
      <c r="AJ2051">
        <v>78.817748333791997</v>
      </c>
      <c r="AK2051">
        <v>17.468561364609702</v>
      </c>
      <c r="AL2051">
        <v>93.032096063466795</v>
      </c>
      <c r="AM2051">
        <v>87.999511317714905</v>
      </c>
      <c r="AN2051">
        <v>0.999999956961105</v>
      </c>
    </row>
    <row r="2052" spans="1:40" x14ac:dyDescent="0.25">
      <c r="A2052" t="str">
        <f>"20190303153815052"</f>
        <v>20190303153815052</v>
      </c>
      <c r="B2052" t="str">
        <f>"1551598695041062"</f>
        <v>1551598695041062</v>
      </c>
      <c r="C2052" t="s">
        <v>40</v>
      </c>
      <c r="D2052">
        <v>4.9329609999999997</v>
      </c>
      <c r="E2052">
        <v>0.56017479999999997</v>
      </c>
      <c r="F2052" t="s">
        <v>55</v>
      </c>
      <c r="G2052">
        <v>-224.44890000000001</v>
      </c>
      <c r="H2052" s="1">
        <v>8.3070379999999996E-7</v>
      </c>
      <c r="I2052">
        <v>283.9889</v>
      </c>
      <c r="J2052">
        <v>-207.7551</v>
      </c>
      <c r="K2052">
        <v>1.119038</v>
      </c>
      <c r="L2052">
        <v>283.83420000000001</v>
      </c>
      <c r="M2052">
        <v>-0.98269189999999995</v>
      </c>
      <c r="N2052">
        <v>-2.5093989999999998E-3</v>
      </c>
      <c r="O2052">
        <v>-0.18523000000000001</v>
      </c>
      <c r="P2052">
        <v>-0.98687510000000001</v>
      </c>
      <c r="Q2052">
        <v>-5.9295540000000001E-2</v>
      </c>
      <c r="R2052">
        <v>-0.1502049</v>
      </c>
      <c r="S2052">
        <v>-3.0320740000000002</v>
      </c>
      <c r="T2052">
        <v>-0.20067869999999999</v>
      </c>
      <c r="U2052">
        <v>2.0751950000000002E-2</v>
      </c>
      <c r="V2052">
        <v>3.5084299999999999E-2</v>
      </c>
      <c r="W2052">
        <v>-5.6859689999999997E-2</v>
      </c>
      <c r="X2052">
        <v>0.99776549999999997</v>
      </c>
      <c r="Y2052">
        <v>0.19114610000000001</v>
      </c>
      <c r="Z2052">
        <v>1.8286770000000001E-2</v>
      </c>
      <c r="AA2052">
        <v>0.98139129999999997</v>
      </c>
      <c r="AB2052">
        <v>22</v>
      </c>
      <c r="AC2052">
        <v>-16.6938</v>
      </c>
      <c r="AD2052">
        <v>-1.1190371692962</v>
      </c>
      <c r="AE2052">
        <v>0.15469999999999101</v>
      </c>
      <c r="AF2052">
        <v>3.2297142471847802</v>
      </c>
      <c r="AG2052">
        <v>-1.1190371692962</v>
      </c>
      <c r="AH2052">
        <v>16.303009742833801</v>
      </c>
      <c r="AI2052">
        <v>93.851990612126798</v>
      </c>
      <c r="AJ2052">
        <v>78.794483002938904</v>
      </c>
      <c r="AK2052">
        <v>16.657473547320102</v>
      </c>
      <c r="AL2052">
        <v>93.259578377275105</v>
      </c>
      <c r="AM2052">
        <v>87.986145592667896</v>
      </c>
      <c r="AN2052">
        <v>0.99999996272181702</v>
      </c>
    </row>
    <row r="2053" spans="1:40" x14ac:dyDescent="0.25">
      <c r="A2053" t="str">
        <f>"20190303153815075"</f>
        <v>20190303153815075</v>
      </c>
      <c r="B2053" t="str">
        <f>"1551598695071319"</f>
        <v>1551598695071319</v>
      </c>
      <c r="C2053" t="s">
        <v>40</v>
      </c>
      <c r="D2053">
        <v>4.9765280000000001</v>
      </c>
      <c r="E2053">
        <v>0.54726109999999994</v>
      </c>
      <c r="F2053" t="s">
        <v>55</v>
      </c>
      <c r="G2053">
        <v>-223.7526</v>
      </c>
      <c r="H2053" s="1">
        <v>4.6014990000000001E-7</v>
      </c>
      <c r="I2053">
        <v>283.96629999999999</v>
      </c>
      <c r="J2053">
        <v>-207.96520000000001</v>
      </c>
      <c r="K2053">
        <v>1.1189420000000001</v>
      </c>
      <c r="L2053">
        <v>283.79649999999998</v>
      </c>
      <c r="M2053">
        <v>-0.98302009999999995</v>
      </c>
      <c r="N2053">
        <v>-2.127898E-3</v>
      </c>
      <c r="O2053">
        <v>-0.1834858</v>
      </c>
      <c r="P2053">
        <v>-0.98701190000000005</v>
      </c>
      <c r="Q2053">
        <v>-6.0517689999999999E-2</v>
      </c>
      <c r="R2053">
        <v>-0.1488131</v>
      </c>
      <c r="S2053">
        <v>-3.0309599999999999</v>
      </c>
      <c r="T2053">
        <v>-0.21201790000000001</v>
      </c>
      <c r="U2053">
        <v>2.502441E-2</v>
      </c>
      <c r="V2053">
        <v>3.4694469999999998E-2</v>
      </c>
      <c r="W2053">
        <v>-5.8467430000000001E-2</v>
      </c>
      <c r="X2053">
        <v>0.99768630000000003</v>
      </c>
      <c r="Y2053">
        <v>0.1906978</v>
      </c>
      <c r="Z2053">
        <v>1.9239619999999999E-2</v>
      </c>
      <c r="AA2053">
        <v>0.9814602</v>
      </c>
      <c r="AB2053">
        <v>22</v>
      </c>
      <c r="AC2053">
        <v>-15.7873999999999</v>
      </c>
      <c r="AD2053">
        <v>-1.1189415398500999</v>
      </c>
      <c r="AE2053">
        <v>0.169800000000009</v>
      </c>
      <c r="AF2053">
        <v>3.0483760465107799</v>
      </c>
      <c r="AG2053">
        <v>-1.1189415398500999</v>
      </c>
      <c r="AH2053">
        <v>15.410805117283401</v>
      </c>
      <c r="AI2053">
        <v>94.074153304434006</v>
      </c>
      <c r="AJ2053">
        <v>78.810896220306901</v>
      </c>
      <c r="AK2053">
        <v>15.7492076325582</v>
      </c>
      <c r="AL2053">
        <v>93.351848345757304</v>
      </c>
      <c r="AM2053">
        <v>88.0083459237553</v>
      </c>
      <c r="AN2053">
        <v>1.00000004991353</v>
      </c>
    </row>
    <row r="2054" spans="1:40" x14ac:dyDescent="0.25">
      <c r="A2054" t="str">
        <f>"20190303153815097"</f>
        <v>20190303153815097</v>
      </c>
      <c r="B2054" t="str">
        <f>"1551598695090839"</f>
        <v>1551598695090839</v>
      </c>
      <c r="C2054" t="s">
        <v>40</v>
      </c>
      <c r="D2054">
        <v>4.9535460000000002</v>
      </c>
      <c r="E2054">
        <v>0.55165819999999999</v>
      </c>
      <c r="F2054" t="s">
        <v>55</v>
      </c>
      <c r="G2054">
        <v>-222.47829999999999</v>
      </c>
      <c r="H2054" s="1">
        <v>-2.1794330000000001E-7</v>
      </c>
      <c r="I2054">
        <v>283.44889999999998</v>
      </c>
      <c r="J2054">
        <v>-208.18940000000001</v>
      </c>
      <c r="K2054">
        <v>1.1188279999999999</v>
      </c>
      <c r="L2054">
        <v>283.7568</v>
      </c>
      <c r="M2054">
        <v>-0.98337889999999994</v>
      </c>
      <c r="N2054">
        <v>-1.775329E-3</v>
      </c>
      <c r="O2054">
        <v>-0.1815562</v>
      </c>
      <c r="P2054">
        <v>-0.98735669999999998</v>
      </c>
      <c r="Q2054">
        <v>-5.8930730000000001E-2</v>
      </c>
      <c r="R2054">
        <v>-0.14715259999999999</v>
      </c>
      <c r="S2054">
        <v>-3.0143589999999998</v>
      </c>
      <c r="T2054">
        <v>-0.23240230000000001</v>
      </c>
      <c r="U2054">
        <v>-7.2204589999999999E-2</v>
      </c>
      <c r="V2054">
        <v>3.4421269999999997E-2</v>
      </c>
      <c r="W2054">
        <v>-5.723951E-2</v>
      </c>
      <c r="X2054">
        <v>0.99776690000000001</v>
      </c>
      <c r="Y2054">
        <v>0.1569711</v>
      </c>
      <c r="Z2054">
        <v>1.9766269999999999E-2</v>
      </c>
      <c r="AA2054">
        <v>0.98740539999999999</v>
      </c>
      <c r="AB2054">
        <v>22</v>
      </c>
      <c r="AC2054">
        <v>-14.2888999999999</v>
      </c>
      <c r="AD2054">
        <v>-1.1188282179433</v>
      </c>
      <c r="AE2054">
        <v>-0.30790000000001699</v>
      </c>
      <c r="AF2054">
        <v>2.2775029638555901</v>
      </c>
      <c r="AG2054">
        <v>-1.1188282179433</v>
      </c>
      <c r="AH2054">
        <v>14.021402184907799</v>
      </c>
      <c r="AI2054">
        <v>94.503437027920498</v>
      </c>
      <c r="AJ2054">
        <v>80.773995017058496</v>
      </c>
      <c r="AK2054">
        <v>14.2491584159407</v>
      </c>
      <c r="AL2054">
        <v>93.2813758853531</v>
      </c>
      <c r="AM2054">
        <v>88.024176124036501</v>
      </c>
      <c r="AN2054">
        <v>0.999999986034531</v>
      </c>
    </row>
    <row r="2055" spans="1:40" x14ac:dyDescent="0.25">
      <c r="A2055" t="str">
        <f>"20190303153815122"</f>
        <v>20190303153815122</v>
      </c>
      <c r="B2055" t="str">
        <f>"1551598695110359"</f>
        <v>1551598695110359</v>
      </c>
      <c r="C2055" t="s">
        <v>40</v>
      </c>
      <c r="D2055">
        <v>4.9473659999999997</v>
      </c>
      <c r="E2055">
        <v>0.55070050000000004</v>
      </c>
      <c r="F2055" t="s">
        <v>55</v>
      </c>
      <c r="G2055">
        <v>-229.95240000000001</v>
      </c>
      <c r="H2055" s="1">
        <v>3.7593620000000002E-6</v>
      </c>
      <c r="I2055">
        <v>283.50779999999997</v>
      </c>
      <c r="J2055">
        <v>-208.43729999999999</v>
      </c>
      <c r="K2055">
        <v>1.118684</v>
      </c>
      <c r="L2055">
        <v>283.71339999999998</v>
      </c>
      <c r="M2055">
        <v>-0.98379329999999998</v>
      </c>
      <c r="N2055">
        <v>-1.442451E-3</v>
      </c>
      <c r="O2055">
        <v>-0.1793006</v>
      </c>
      <c r="P2055">
        <v>-0.98808640000000003</v>
      </c>
      <c r="Q2055">
        <v>-5.4922899999999997E-2</v>
      </c>
      <c r="R2055">
        <v>-0.143766899999999</v>
      </c>
      <c r="S2055">
        <v>-3.023987</v>
      </c>
      <c r="T2055">
        <v>-0.15546199999999999</v>
      </c>
      <c r="U2055">
        <v>-3.4606930000000001E-2</v>
      </c>
      <c r="V2055">
        <v>3.5586300000000001E-2</v>
      </c>
      <c r="W2055">
        <v>-5.3577619999999999E-2</v>
      </c>
      <c r="X2055">
        <v>0.99792939999999997</v>
      </c>
      <c r="Y2055">
        <v>0.16758219999999999</v>
      </c>
      <c r="Z2055">
        <v>1.3337440000000001E-2</v>
      </c>
      <c r="AA2055">
        <v>0.98576790000000003</v>
      </c>
      <c r="AB2055">
        <v>22</v>
      </c>
      <c r="AC2055">
        <v>-21.5151</v>
      </c>
      <c r="AD2055">
        <v>-1.1186802406380001</v>
      </c>
      <c r="AE2055">
        <v>-0.205600000000003</v>
      </c>
      <c r="AF2055">
        <v>3.6455513395248902</v>
      </c>
      <c r="AG2055">
        <v>-1.1186802406380001</v>
      </c>
      <c r="AH2055">
        <v>21.146133837579701</v>
      </c>
      <c r="AI2055">
        <v>92.984316167982499</v>
      </c>
      <c r="AJ2055">
        <v>80.218471310083203</v>
      </c>
      <c r="AK2055">
        <v>21.4872163466266</v>
      </c>
      <c r="AL2055">
        <v>93.071242012508307</v>
      </c>
      <c r="AM2055">
        <v>87.957690007226901</v>
      </c>
      <c r="AN2055">
        <v>1.00000001674845</v>
      </c>
    </row>
    <row r="2056" spans="1:40" x14ac:dyDescent="0.25">
      <c r="A2056" t="str">
        <f>"20190303153815145"</f>
        <v>20190303153815145</v>
      </c>
      <c r="B2056" t="str">
        <f>"1551598695140614"</f>
        <v>1551598695140614</v>
      </c>
      <c r="C2056" t="s">
        <v>40</v>
      </c>
      <c r="D2056">
        <v>4.954307</v>
      </c>
      <c r="E2056">
        <v>0.54991440000000003</v>
      </c>
      <c r="F2056" t="s">
        <v>55</v>
      </c>
      <c r="G2056">
        <v>-232.56829999999999</v>
      </c>
      <c r="H2056" s="1">
        <v>-1.1946739999999999E-7</v>
      </c>
      <c r="I2056">
        <v>283.45920000000001</v>
      </c>
      <c r="J2056">
        <v>-208.67</v>
      </c>
      <c r="K2056">
        <v>1.1185309999999999</v>
      </c>
      <c r="L2056">
        <v>283.67340000000002</v>
      </c>
      <c r="M2056">
        <v>-0.98420359999999996</v>
      </c>
      <c r="N2056">
        <v>-1.177083E-3</v>
      </c>
      <c r="O2056">
        <v>-0.17703659999999999</v>
      </c>
      <c r="P2056">
        <v>-0.98896770000000001</v>
      </c>
      <c r="Q2056">
        <v>-5.0616830000000002E-2</v>
      </c>
      <c r="R2056">
        <v>-0.13921700000000001</v>
      </c>
      <c r="S2056">
        <v>-3.0237430000000001</v>
      </c>
      <c r="T2056">
        <v>-0.14017689999999999</v>
      </c>
      <c r="U2056">
        <v>-3.1860350000000003E-2</v>
      </c>
      <c r="V2056">
        <v>3.7917930000000002E-2</v>
      </c>
      <c r="W2056">
        <v>-4.9555549999999997E-2</v>
      </c>
      <c r="X2056">
        <v>0.99805129999999997</v>
      </c>
      <c r="Y2056">
        <v>0.16629530000000001</v>
      </c>
      <c r="Z2056">
        <v>1.190921E-2</v>
      </c>
      <c r="AA2056">
        <v>0.98600410000000005</v>
      </c>
      <c r="AB2056">
        <v>23</v>
      </c>
      <c r="AC2056">
        <v>-23.898299999999999</v>
      </c>
      <c r="AD2056">
        <v>-1.1185311194673999</v>
      </c>
      <c r="AE2056">
        <v>-0.214200000000005</v>
      </c>
      <c r="AF2056">
        <v>4.0112736410678602</v>
      </c>
      <c r="AG2056">
        <v>-1.1185311194673999</v>
      </c>
      <c r="AH2056">
        <v>23.507238927805801</v>
      </c>
      <c r="AI2056">
        <v>92.685457693496204</v>
      </c>
      <c r="AJ2056">
        <v>80.3163229463932</v>
      </c>
      <c r="AK2056">
        <v>23.873242555164001</v>
      </c>
      <c r="AL2056">
        <v>92.840487379954695</v>
      </c>
      <c r="AM2056">
        <v>87.824267160698795</v>
      </c>
      <c r="AN2056">
        <v>0.99999995969148703</v>
      </c>
    </row>
    <row r="2057" spans="1:40" x14ac:dyDescent="0.25">
      <c r="A2057" t="str">
        <f>"20190303153815165"</f>
        <v>20190303153815165</v>
      </c>
      <c r="B2057" t="str">
        <f>"1551598695161110"</f>
        <v>1551598695161110</v>
      </c>
      <c r="C2057" t="s">
        <v>40</v>
      </c>
      <c r="D2057">
        <v>4.896414</v>
      </c>
      <c r="E2057">
        <v>0.54970259999999904</v>
      </c>
      <c r="F2057" t="s">
        <v>55</v>
      </c>
      <c r="G2057">
        <v>-238.18109999999999</v>
      </c>
      <c r="H2057" s="1">
        <v>2.8684630000000002E-6</v>
      </c>
      <c r="I2057">
        <v>283.43459999999999</v>
      </c>
      <c r="J2057">
        <v>-208.874</v>
      </c>
      <c r="K2057">
        <v>1.118387</v>
      </c>
      <c r="L2057">
        <v>283.63889999999998</v>
      </c>
      <c r="M2057">
        <v>-0.9845836</v>
      </c>
      <c r="N2057">
        <v>-9.7849390000000007E-4</v>
      </c>
      <c r="O2057">
        <v>-0.1749127</v>
      </c>
      <c r="P2057">
        <v>-0.98966010000000004</v>
      </c>
      <c r="Q2057">
        <v>-4.8194099999999997E-2</v>
      </c>
      <c r="R2057">
        <v>-0.13509360000000001</v>
      </c>
      <c r="S2057">
        <v>-3.0241389999999999</v>
      </c>
      <c r="T2057">
        <v>-0.11462070000000001</v>
      </c>
      <c r="U2057">
        <v>-2.44751E-2</v>
      </c>
      <c r="V2057">
        <v>3.9936230000000003E-2</v>
      </c>
      <c r="W2057">
        <v>-4.7350459999999997E-2</v>
      </c>
      <c r="X2057">
        <v>0.99807970000000001</v>
      </c>
      <c r="Y2057">
        <v>0.16669800000000001</v>
      </c>
      <c r="Z2057">
        <v>9.6678270000000004E-3</v>
      </c>
      <c r="AA2057">
        <v>0.98596059999999996</v>
      </c>
      <c r="AB2057">
        <v>23</v>
      </c>
      <c r="AC2057">
        <v>-29.307099999999899</v>
      </c>
      <c r="AD2057">
        <v>-1.118384131537</v>
      </c>
      <c r="AE2057">
        <v>-0.20429999999998899</v>
      </c>
      <c r="AF2057">
        <v>4.9178739282291399</v>
      </c>
      <c r="AG2057">
        <v>-1.118384131537</v>
      </c>
      <c r="AH2057">
        <v>28.8490251534183</v>
      </c>
      <c r="AI2057">
        <v>92.188521902131896</v>
      </c>
      <c r="AJ2057">
        <v>80.325821512093697</v>
      </c>
      <c r="AK2057">
        <v>29.286558680428701</v>
      </c>
      <c r="AL2057">
        <v>92.713996244675599</v>
      </c>
      <c r="AM2057">
        <v>87.708642464476398</v>
      </c>
      <c r="AN2057">
        <v>1.00000002804045</v>
      </c>
    </row>
    <row r="2058" spans="1:40" x14ac:dyDescent="0.25">
      <c r="A2058" t="str">
        <f>"20190303153815188"</f>
        <v>20190303153815188</v>
      </c>
      <c r="B2058" t="str">
        <f>"1551598695180631"</f>
        <v>1551598695180631</v>
      </c>
      <c r="C2058" t="s">
        <v>40</v>
      </c>
      <c r="D2058">
        <v>4.9248770000000004</v>
      </c>
      <c r="E2058">
        <v>0.54932460000000005</v>
      </c>
      <c r="F2058" t="s">
        <v>55</v>
      </c>
      <c r="G2058">
        <v>-240.8038</v>
      </c>
      <c r="H2058" s="1">
        <v>-1.1090450000000001E-6</v>
      </c>
      <c r="I2058">
        <v>283.49509999999998</v>
      </c>
      <c r="J2058">
        <v>-209.1069</v>
      </c>
      <c r="K2058">
        <v>1.118204</v>
      </c>
      <c r="L2058">
        <v>283.6001</v>
      </c>
      <c r="M2058">
        <v>-0.98503940000000001</v>
      </c>
      <c r="N2058">
        <v>-7.8376809999999896E-4</v>
      </c>
      <c r="O2058">
        <v>-0.1723277</v>
      </c>
      <c r="P2058">
        <v>-0.9902997</v>
      </c>
      <c r="Q2058">
        <v>-4.7680029999999998E-2</v>
      </c>
      <c r="R2058">
        <v>-0.13051219999999999</v>
      </c>
      <c r="S2058">
        <v>-3.0243069999999999</v>
      </c>
      <c r="T2058">
        <v>-0.1059307</v>
      </c>
      <c r="U2058">
        <v>-1.3610840000000001E-2</v>
      </c>
      <c r="V2058">
        <v>4.19215E-2</v>
      </c>
      <c r="W2058">
        <v>-4.7054440000000003E-2</v>
      </c>
      <c r="X2058">
        <v>0.99801220000000002</v>
      </c>
      <c r="Y2058">
        <v>0.16768759999999999</v>
      </c>
      <c r="Z2058">
        <v>8.8768349999999996E-3</v>
      </c>
      <c r="AA2058">
        <v>0.98580020000000002</v>
      </c>
      <c r="AB2058">
        <v>23</v>
      </c>
      <c r="AC2058">
        <v>-31.696899999999999</v>
      </c>
      <c r="AD2058">
        <v>-1.118205109045</v>
      </c>
      <c r="AE2058">
        <v>-0.105000000000018</v>
      </c>
      <c r="AF2058">
        <v>5.35216527699599</v>
      </c>
      <c r="AG2058">
        <v>-1.118205109045</v>
      </c>
      <c r="AH2058">
        <v>31.201966553396499</v>
      </c>
      <c r="AI2058">
        <v>92.022947316291393</v>
      </c>
      <c r="AJ2058">
        <v>80.266611996124198</v>
      </c>
      <c r="AK2058">
        <v>31.677417391849499</v>
      </c>
      <c r="AL2058">
        <v>92.697016854432206</v>
      </c>
      <c r="AM2058">
        <v>87.594704907952803</v>
      </c>
      <c r="AN2058">
        <v>0.99999994191740005</v>
      </c>
    </row>
    <row r="2059" spans="1:40" x14ac:dyDescent="0.25">
      <c r="A2059" t="str">
        <f>"20190303153815208"</f>
        <v>20190303153815208</v>
      </c>
      <c r="B2059" t="str">
        <f>"1551598695201127"</f>
        <v>1551598695201127</v>
      </c>
      <c r="C2059" t="s">
        <v>40</v>
      </c>
      <c r="D2059">
        <v>4.9486980000000003</v>
      </c>
      <c r="E2059">
        <v>0.54864250000000003</v>
      </c>
      <c r="F2059" t="s">
        <v>55</v>
      </c>
      <c r="G2059">
        <v>-241.46690000000001</v>
      </c>
      <c r="H2059" s="1">
        <v>-7.5620399999999996E-7</v>
      </c>
      <c r="I2059">
        <v>283.57170000000002</v>
      </c>
      <c r="J2059">
        <v>-209.33680000000001</v>
      </c>
      <c r="K2059">
        <v>1.1180110000000001</v>
      </c>
      <c r="L2059">
        <v>283.56270000000001</v>
      </c>
      <c r="M2059">
        <v>-0.98551169999999999</v>
      </c>
      <c r="N2059">
        <v>-6.2158379999999896E-4</v>
      </c>
      <c r="O2059">
        <v>-0.1696069</v>
      </c>
      <c r="P2059">
        <v>-0.99093260000000005</v>
      </c>
      <c r="Q2059">
        <v>-4.7967219999999998E-2</v>
      </c>
      <c r="R2059">
        <v>-0.12550649999999999</v>
      </c>
      <c r="S2059">
        <v>-3.0240019999999999</v>
      </c>
      <c r="T2059">
        <v>-0.1044949</v>
      </c>
      <c r="U2059">
        <v>-2.6550290000000002E-3</v>
      </c>
      <c r="V2059">
        <v>4.418499E-2</v>
      </c>
      <c r="W2059">
        <v>-4.7529929999999998E-2</v>
      </c>
      <c r="X2059">
        <v>0.99789209999999995</v>
      </c>
      <c r="Y2059">
        <v>0.16854229999999901</v>
      </c>
      <c r="Z2059">
        <v>8.6953080000000006E-3</v>
      </c>
      <c r="AA2059">
        <v>0.98565610000000003</v>
      </c>
      <c r="AB2059">
        <v>23</v>
      </c>
      <c r="AC2059">
        <v>-32.130099999999999</v>
      </c>
      <c r="AD2059">
        <v>-1.118011756204</v>
      </c>
      <c r="AE2059">
        <v>9.0000000000145502E-3</v>
      </c>
      <c r="AF2059">
        <v>5.4517558504985999</v>
      </c>
      <c r="AG2059">
        <v>-1.118011756204</v>
      </c>
      <c r="AH2059">
        <v>31.624775059167</v>
      </c>
      <c r="AI2059">
        <v>91.995293636051798</v>
      </c>
      <c r="AJ2059">
        <v>80.218985696348</v>
      </c>
      <c r="AK2059">
        <v>32.110714562017598</v>
      </c>
      <c r="AL2059">
        <v>92.724290715850202</v>
      </c>
      <c r="AM2059">
        <v>87.464694910532799</v>
      </c>
      <c r="AN2059">
        <v>1.0000000254147501</v>
      </c>
    </row>
    <row r="2060" spans="1:40" x14ac:dyDescent="0.25">
      <c r="A2060" t="str">
        <f>"20190303153815231"</f>
        <v>20190303153815231</v>
      </c>
      <c r="B2060" t="str">
        <f>"1551598695220647"</f>
        <v>1551598695220647</v>
      </c>
      <c r="C2060" t="s">
        <v>40</v>
      </c>
      <c r="D2060">
        <v>4.9269540000000003</v>
      </c>
      <c r="E2060">
        <v>0.54785699999999904</v>
      </c>
      <c r="F2060" t="s">
        <v>55</v>
      </c>
      <c r="G2060">
        <v>-240.32409999999999</v>
      </c>
      <c r="H2060" s="1">
        <v>-1.36433E-6</v>
      </c>
      <c r="I2060">
        <v>283.63709999999998</v>
      </c>
      <c r="J2060">
        <v>-209.56819999999999</v>
      </c>
      <c r="K2060">
        <v>1.117831</v>
      </c>
      <c r="L2060">
        <v>283.52589999999998</v>
      </c>
      <c r="M2060">
        <v>-0.98600750000000004</v>
      </c>
      <c r="N2060">
        <v>-4.856649E-4</v>
      </c>
      <c r="O2060">
        <v>-0.1667013</v>
      </c>
      <c r="P2060">
        <v>-0.99170309999999995</v>
      </c>
      <c r="Q2060">
        <v>-4.6747740000000003E-2</v>
      </c>
      <c r="R2060">
        <v>-0.11974890000000001</v>
      </c>
      <c r="S2060">
        <v>-3.0230709999999998</v>
      </c>
      <c r="T2060">
        <v>-0.10907169999999999</v>
      </c>
      <c r="U2060">
        <v>7.2631839999999998E-3</v>
      </c>
      <c r="V2060">
        <v>4.703533E-2</v>
      </c>
      <c r="W2060">
        <v>-4.6476120000000003E-2</v>
      </c>
      <c r="X2060">
        <v>0.99781140000000001</v>
      </c>
      <c r="Y2060">
        <v>0.1688537</v>
      </c>
      <c r="Z2060">
        <v>8.9966019999999994E-3</v>
      </c>
      <c r="AA2060">
        <v>0.98560009999999998</v>
      </c>
      <c r="AB2060">
        <v>23</v>
      </c>
      <c r="AC2060">
        <v>-30.7559</v>
      </c>
      <c r="AD2060">
        <v>-1.1178323643299899</v>
      </c>
      <c r="AE2060">
        <v>0.111199999999996</v>
      </c>
      <c r="AF2060">
        <v>5.2297838961634397</v>
      </c>
      <c r="AG2060">
        <v>-1.1178323643299899</v>
      </c>
      <c r="AH2060">
        <v>30.2670275279749</v>
      </c>
      <c r="AI2060">
        <v>92.084249553108407</v>
      </c>
      <c r="AJ2060">
        <v>80.196764029694094</v>
      </c>
      <c r="AK2060">
        <v>30.7358608822741</v>
      </c>
      <c r="AL2060">
        <v>92.663845186498605</v>
      </c>
      <c r="AM2060">
        <v>87.301160842470594</v>
      </c>
      <c r="AN2060">
        <v>0.99999997098421101</v>
      </c>
    </row>
    <row r="2061" spans="1:40" x14ac:dyDescent="0.25">
      <c r="A2061" t="str">
        <f>"20190303153815252"</f>
        <v>20190303153815252</v>
      </c>
      <c r="B2061" t="str">
        <f>"1551598695241142"</f>
        <v>1551598695241142</v>
      </c>
      <c r="C2061" t="s">
        <v>40</v>
      </c>
      <c r="D2061">
        <v>4.926609</v>
      </c>
      <c r="E2061">
        <v>0.54707130000000004</v>
      </c>
      <c r="F2061" t="s">
        <v>55</v>
      </c>
      <c r="G2061">
        <v>-240.32769999999999</v>
      </c>
      <c r="H2061" s="1">
        <v>-1.362404E-6</v>
      </c>
      <c r="I2061">
        <v>283.71910000000003</v>
      </c>
      <c r="J2061">
        <v>-209.79740000000001</v>
      </c>
      <c r="K2061">
        <v>1.117667</v>
      </c>
      <c r="L2061">
        <v>283.49029999999999</v>
      </c>
      <c r="M2061">
        <v>-0.98651180000000005</v>
      </c>
      <c r="N2061">
        <v>-3.7177260000000002E-4</v>
      </c>
      <c r="O2061">
        <v>-0.1636909</v>
      </c>
      <c r="P2061">
        <v>-0.99228349999999998</v>
      </c>
      <c r="Q2061">
        <v>-4.7097849999999997E-2</v>
      </c>
      <c r="R2061">
        <v>-0.114699</v>
      </c>
      <c r="S2061">
        <v>-3.0222319999999998</v>
      </c>
      <c r="T2061">
        <v>-0.109831</v>
      </c>
      <c r="U2061">
        <v>1.8981930000000001E-2</v>
      </c>
      <c r="V2061">
        <v>4.9048269999999998E-2</v>
      </c>
      <c r="W2061">
        <v>-4.6965989999999999E-2</v>
      </c>
      <c r="X2061">
        <v>0.99769160000000001</v>
      </c>
      <c r="Y2061">
        <v>0.16966519999999999</v>
      </c>
      <c r="Z2061">
        <v>8.9796100000000007E-3</v>
      </c>
      <c r="AA2061">
        <v>0.98546080000000003</v>
      </c>
      <c r="AB2061">
        <v>24</v>
      </c>
      <c r="AC2061">
        <v>-30.530299999999901</v>
      </c>
      <c r="AD2061">
        <v>-1.117668362404</v>
      </c>
      <c r="AE2061">
        <v>0.228800000000035</v>
      </c>
      <c r="AF2061">
        <v>5.2162552127606103</v>
      </c>
      <c r="AG2061">
        <v>-1.117668362404</v>
      </c>
      <c r="AH2061">
        <v>30.040787225104001</v>
      </c>
      <c r="AI2061">
        <v>92.0993242707994</v>
      </c>
      <c r="AJ2061">
        <v>80.149428853977497</v>
      </c>
      <c r="AK2061">
        <v>30.510775114981001</v>
      </c>
      <c r="AL2061">
        <v>92.691943188318305</v>
      </c>
      <c r="AM2061">
        <v>87.185504896380294</v>
      </c>
      <c r="AN2061">
        <v>1.0000000328586101</v>
      </c>
    </row>
    <row r="2062" spans="1:40" x14ac:dyDescent="0.25">
      <c r="A2062" t="str">
        <f>"20190303153815275"</f>
        <v>20190303153815275</v>
      </c>
      <c r="B2062" t="str">
        <f>"1551598695270422"</f>
        <v>1551598695270422</v>
      </c>
      <c r="C2062" t="s">
        <v>40</v>
      </c>
      <c r="D2062">
        <v>4.9560750000000002</v>
      </c>
      <c r="E2062">
        <v>0.54620979999999997</v>
      </c>
      <c r="F2062" t="s">
        <v>55</v>
      </c>
      <c r="G2062">
        <v>-239.58709999999999</v>
      </c>
      <c r="H2062" s="1">
        <v>3.60217E-6</v>
      </c>
      <c r="I2062">
        <v>283.76589999999999</v>
      </c>
      <c r="J2062">
        <v>-210.03229999999999</v>
      </c>
      <c r="K2062">
        <v>1.1175189999999999</v>
      </c>
      <c r="L2062">
        <v>283.45460000000003</v>
      </c>
      <c r="M2062">
        <v>-0.98703549999999995</v>
      </c>
      <c r="N2062">
        <v>-2.7204889999999998E-4</v>
      </c>
      <c r="O2062">
        <v>-0.1605019</v>
      </c>
      <c r="P2062">
        <v>-0.99266430000000005</v>
      </c>
      <c r="Q2062">
        <v>-4.9509749999999998E-2</v>
      </c>
      <c r="R2062">
        <v>-0.1103008</v>
      </c>
      <c r="S2062">
        <v>-3.0211640000000002</v>
      </c>
      <c r="T2062">
        <v>-0.1133492</v>
      </c>
      <c r="U2062">
        <v>2.7954099999999999E-2</v>
      </c>
      <c r="V2062">
        <v>5.0199090000000002E-2</v>
      </c>
      <c r="W2062">
        <v>-4.9497979999999997E-2</v>
      </c>
      <c r="X2062">
        <v>0.99751190000000001</v>
      </c>
      <c r="Y2062">
        <v>0.16939670000000001</v>
      </c>
      <c r="Z2062">
        <v>9.1568280000000005E-3</v>
      </c>
      <c r="AA2062">
        <v>0.98550539999999998</v>
      </c>
      <c r="AB2062">
        <v>24</v>
      </c>
      <c r="AC2062">
        <v>-29.5548</v>
      </c>
      <c r="AD2062">
        <v>-1.1175153978299901</v>
      </c>
      <c r="AE2062">
        <v>0.31129999999996</v>
      </c>
      <c r="AF2062">
        <v>5.0436556461818496</v>
      </c>
      <c r="AG2062">
        <v>-1.1175153978299901</v>
      </c>
      <c r="AH2062">
        <v>29.080101664480399</v>
      </c>
      <c r="AI2062">
        <v>92.168388161050004</v>
      </c>
      <c r="AJ2062">
        <v>80.160497473350503</v>
      </c>
      <c r="AK2062">
        <v>29.5353959810625</v>
      </c>
      <c r="AL2062">
        <v>92.837184709599995</v>
      </c>
      <c r="AM2062">
        <v>87.119060281403193</v>
      </c>
      <c r="AN2062">
        <v>0.99999999465125899</v>
      </c>
    </row>
    <row r="2063" spans="1:40" x14ac:dyDescent="0.25">
      <c r="A2063" t="str">
        <f>"20190303153815298"</f>
        <v>20190303153815298</v>
      </c>
      <c r="B2063" t="str">
        <f>"1551598695290919"</f>
        <v>1551598695290919</v>
      </c>
      <c r="C2063" t="s">
        <v>40</v>
      </c>
      <c r="D2063">
        <v>4.8967049999999999</v>
      </c>
      <c r="E2063">
        <v>0.54565830000000004</v>
      </c>
      <c r="F2063" t="s">
        <v>55</v>
      </c>
      <c r="G2063">
        <v>-237.20769999999999</v>
      </c>
      <c r="H2063" s="1">
        <v>2.3358850000000002E-6</v>
      </c>
      <c r="I2063">
        <v>283.7679</v>
      </c>
      <c r="J2063">
        <v>-210.29349999999999</v>
      </c>
      <c r="K2063">
        <v>1.1173770000000001</v>
      </c>
      <c r="L2063">
        <v>283.416</v>
      </c>
      <c r="M2063">
        <v>-0.98761920000000003</v>
      </c>
      <c r="N2063">
        <v>-1.781664E-4</v>
      </c>
      <c r="O2063">
        <v>-0.15687039999999999</v>
      </c>
      <c r="P2063">
        <v>-0.99293450000000005</v>
      </c>
      <c r="Q2063">
        <v>-5.2432189999999997E-2</v>
      </c>
      <c r="R2063">
        <v>-0.10645159999999999</v>
      </c>
      <c r="S2063">
        <v>-3.0198520000000002</v>
      </c>
      <c r="T2063">
        <v>-0.1241834</v>
      </c>
      <c r="U2063">
        <v>3.482056E-2</v>
      </c>
      <c r="V2063">
        <v>5.0344550000000002E-2</v>
      </c>
      <c r="W2063">
        <v>-5.252805E-2</v>
      </c>
      <c r="X2063">
        <v>0.99734959999999995</v>
      </c>
      <c r="Y2063">
        <v>0.16797379999999901</v>
      </c>
      <c r="Z2063">
        <v>9.8684280000000003E-3</v>
      </c>
      <c r="AA2063">
        <v>0.98574209999999995</v>
      </c>
      <c r="AB2063">
        <v>24</v>
      </c>
      <c r="AC2063">
        <v>-26.914199999999902</v>
      </c>
      <c r="AD2063">
        <v>-1.117374664115</v>
      </c>
      <c r="AE2063">
        <v>0.35189999999999999</v>
      </c>
      <c r="AF2063">
        <v>4.5617232912249097</v>
      </c>
      <c r="AG2063">
        <v>-1.117374664115</v>
      </c>
      <c r="AH2063">
        <v>26.4801447037906</v>
      </c>
      <c r="AI2063">
        <v>92.381225292037897</v>
      </c>
      <c r="AJ2063">
        <v>80.225617672684507</v>
      </c>
      <c r="AK2063">
        <v>26.893417578645501</v>
      </c>
      <c r="AL2063">
        <v>93.011021329914499</v>
      </c>
      <c r="AM2063">
        <v>87.110257037795506</v>
      </c>
      <c r="AN2063">
        <v>0.99999999718583199</v>
      </c>
    </row>
    <row r="2064" spans="1:40" x14ac:dyDescent="0.25">
      <c r="A2064" t="str">
        <f>"20190303153815322"</f>
        <v>20190303153815322</v>
      </c>
      <c r="B2064" t="str">
        <f>"1551598695310438"</f>
        <v>1551598695310438</v>
      </c>
      <c r="C2064" t="s">
        <v>40</v>
      </c>
      <c r="D2064">
        <v>4.8844329999999996</v>
      </c>
      <c r="E2064">
        <v>0.54517199999999999</v>
      </c>
      <c r="F2064" t="s">
        <v>55</v>
      </c>
      <c r="G2064">
        <v>-235.44280000000001</v>
      </c>
      <c r="H2064" s="1">
        <v>1.396712E-6</v>
      </c>
      <c r="I2064">
        <v>283.76710000000003</v>
      </c>
      <c r="J2064">
        <v>-210.55269999999999</v>
      </c>
      <c r="K2064">
        <v>1.1172690000000001</v>
      </c>
      <c r="L2064">
        <v>283.37860000000001</v>
      </c>
      <c r="M2064">
        <v>-0.98819290000000004</v>
      </c>
      <c r="N2064" s="1">
        <v>-9.9703669999999997E-5</v>
      </c>
      <c r="O2064">
        <v>-0.15321479999999901</v>
      </c>
      <c r="P2064">
        <v>-0.99314780000000003</v>
      </c>
      <c r="Q2064">
        <v>-5.3239460000000002E-2</v>
      </c>
      <c r="R2064">
        <v>-0.10403220000000001</v>
      </c>
      <c r="S2064">
        <v>-3.0187840000000001</v>
      </c>
      <c r="T2064">
        <v>-0.13412389999999999</v>
      </c>
      <c r="U2064">
        <v>4.214478E-2</v>
      </c>
      <c r="V2064">
        <v>4.906191E-2</v>
      </c>
      <c r="W2064">
        <v>-5.341622E-2</v>
      </c>
      <c r="X2064">
        <v>0.99736639999999999</v>
      </c>
      <c r="Y2064">
        <v>0.1666801</v>
      </c>
      <c r="Z2064">
        <v>1.0479E-2</v>
      </c>
      <c r="AA2064">
        <v>0.98595540000000004</v>
      </c>
      <c r="AB2064">
        <v>24</v>
      </c>
      <c r="AC2064">
        <v>-24.8901</v>
      </c>
      <c r="AD2064">
        <v>-1.117267603288</v>
      </c>
      <c r="AE2064">
        <v>0.388500000000021</v>
      </c>
      <c r="AF2064">
        <v>4.1890061507968399</v>
      </c>
      <c r="AG2064">
        <v>-1.117267603288</v>
      </c>
      <c r="AH2064">
        <v>24.487367917707299</v>
      </c>
      <c r="AI2064">
        <v>92.575026730735999</v>
      </c>
      <c r="AJ2064">
        <v>80.292489587493804</v>
      </c>
      <c r="AK2064">
        <v>24.868197501345598</v>
      </c>
      <c r="AL2064">
        <v>93.061981111483405</v>
      </c>
      <c r="AM2064">
        <v>87.183806994940198</v>
      </c>
      <c r="AN2064">
        <v>1.00000004971044</v>
      </c>
    </row>
    <row r="2065" spans="1:40" x14ac:dyDescent="0.25">
      <c r="A2065" t="str">
        <f>"20190303153815344"</f>
        <v>20190303153815344</v>
      </c>
      <c r="B2065" t="str">
        <f>"1551598695340695"</f>
        <v>1551598695340695</v>
      </c>
      <c r="C2065" t="s">
        <v>40</v>
      </c>
      <c r="D2065">
        <v>4.9165809999999999</v>
      </c>
      <c r="E2065">
        <v>0.53697790000000001</v>
      </c>
      <c r="F2065" t="s">
        <v>55</v>
      </c>
      <c r="G2065">
        <v>-235.25</v>
      </c>
      <c r="H2065" s="1">
        <v>1.2948089999999999E-6</v>
      </c>
      <c r="I2065">
        <v>283.75150000000002</v>
      </c>
      <c r="J2065">
        <v>-210.79310000000001</v>
      </c>
      <c r="K2065">
        <v>1.1171960000000001</v>
      </c>
      <c r="L2065">
        <v>283.3449</v>
      </c>
      <c r="M2065">
        <v>-0.98871609999999999</v>
      </c>
      <c r="N2065" s="1">
        <v>-3.8541390000000003E-5</v>
      </c>
      <c r="O2065">
        <v>-0.1498013</v>
      </c>
      <c r="P2065">
        <v>-0.99338499999999996</v>
      </c>
      <c r="Q2065">
        <v>-5.3390119999999999E-2</v>
      </c>
      <c r="R2065">
        <v>-0.1016671</v>
      </c>
      <c r="S2065">
        <v>-3.0181580000000001</v>
      </c>
      <c r="T2065">
        <v>-0.13653660000000001</v>
      </c>
      <c r="U2065">
        <v>4.5562739999999997E-2</v>
      </c>
      <c r="V2065">
        <v>4.7983310000000001E-2</v>
      </c>
      <c r="W2065">
        <v>-5.3628269999999999E-2</v>
      </c>
      <c r="X2065">
        <v>0.99740740000000006</v>
      </c>
      <c r="Y2065">
        <v>0.16438800000000001</v>
      </c>
      <c r="Z2065">
        <v>1.046921E-2</v>
      </c>
      <c r="AA2065">
        <v>0.9863402</v>
      </c>
      <c r="AB2065">
        <v>25</v>
      </c>
      <c r="AC2065">
        <v>-24.456899999999901</v>
      </c>
      <c r="AD2065">
        <v>-1.1171947051909901</v>
      </c>
      <c r="AE2065">
        <v>0.406600000000025</v>
      </c>
      <c r="AF2065">
        <v>4.0572236998815896</v>
      </c>
      <c r="AG2065">
        <v>-1.1171947051909901</v>
      </c>
      <c r="AH2065">
        <v>24.069810104384398</v>
      </c>
      <c r="AI2065">
        <v>92.620548129580001</v>
      </c>
      <c r="AJ2065">
        <v>80.432123978776701</v>
      </c>
      <c r="AK2065">
        <v>24.4349124537272</v>
      </c>
      <c r="AL2065">
        <v>93.074148410400696</v>
      </c>
      <c r="AM2065">
        <v>87.245736137458394</v>
      </c>
      <c r="AN2065">
        <v>0.99999995547825304</v>
      </c>
    </row>
    <row r="2066" spans="1:40" x14ac:dyDescent="0.25">
      <c r="A2066" t="str">
        <f>"20190303153815366"</f>
        <v>20190303153815366</v>
      </c>
      <c r="B2066" t="str">
        <f>"1551598695361191"</f>
        <v>1551598695361191</v>
      </c>
      <c r="C2066" t="s">
        <v>40</v>
      </c>
      <c r="D2066">
        <v>4.9075680000000004</v>
      </c>
      <c r="E2066">
        <v>0.53792430000000002</v>
      </c>
      <c r="F2066" t="s">
        <v>55</v>
      </c>
      <c r="G2066">
        <v>-235.5506</v>
      </c>
      <c r="H2066" s="1">
        <v>1.476883E-6</v>
      </c>
      <c r="I2066">
        <v>283.24579999999997</v>
      </c>
      <c r="J2066">
        <v>-211.03890000000001</v>
      </c>
      <c r="K2066">
        <v>1.117138</v>
      </c>
      <c r="L2066">
        <v>283.31130000000002</v>
      </c>
      <c r="M2066">
        <v>-0.98923930000000004</v>
      </c>
      <c r="N2066" s="1">
        <v>1.3804059999999999E-5</v>
      </c>
      <c r="O2066">
        <v>-0.1463072</v>
      </c>
      <c r="P2066">
        <v>-0.99357130000000005</v>
      </c>
      <c r="Q2066">
        <v>-5.2799270000000002E-2</v>
      </c>
      <c r="R2066">
        <v>-0.1001432</v>
      </c>
      <c r="S2066">
        <v>-3.0114589999999999</v>
      </c>
      <c r="T2066">
        <v>-0.13589370000000001</v>
      </c>
      <c r="U2066">
        <v>-1.205444E-2</v>
      </c>
      <c r="V2066">
        <v>4.5991320000000002E-2</v>
      </c>
      <c r="W2066">
        <v>-5.3082949999999997E-2</v>
      </c>
      <c r="X2066">
        <v>0.99753049999999999</v>
      </c>
      <c r="Y2066">
        <v>0.1420536</v>
      </c>
      <c r="Z2066">
        <v>9.7849879999999997E-3</v>
      </c>
      <c r="AA2066">
        <v>0.98981059999999998</v>
      </c>
      <c r="AB2066">
        <v>25</v>
      </c>
      <c r="AC2066">
        <v>-24.511699999999902</v>
      </c>
      <c r="AD2066">
        <v>-1.1171365231170001</v>
      </c>
      <c r="AE2066">
        <v>-6.5500000000042705E-2</v>
      </c>
      <c r="AF2066">
        <v>3.5141433731376299</v>
      </c>
      <c r="AG2066">
        <v>-1.1171365231170001</v>
      </c>
      <c r="AH2066">
        <v>24.207236329361599</v>
      </c>
      <c r="AI2066">
        <v>92.614889706965698</v>
      </c>
      <c r="AJ2066">
        <v>81.740122259407102</v>
      </c>
      <c r="AK2066">
        <v>24.486475621530602</v>
      </c>
      <c r="AL2066">
        <v>93.042859017978898</v>
      </c>
      <c r="AM2066">
        <v>87.360237337037105</v>
      </c>
      <c r="AN2066">
        <v>1.0000000497631401</v>
      </c>
    </row>
    <row r="2067" spans="1:40" x14ac:dyDescent="0.25">
      <c r="A2067" t="str">
        <f>"20190303153815387"</f>
        <v>20190303153815387</v>
      </c>
      <c r="B2067" t="str">
        <f>"1551598695380711"</f>
        <v>1551598695380711</v>
      </c>
      <c r="C2067" t="s">
        <v>40</v>
      </c>
      <c r="D2067">
        <v>4.8955449999999896</v>
      </c>
      <c r="E2067">
        <v>0.53803190000000001</v>
      </c>
      <c r="F2067" t="s">
        <v>55</v>
      </c>
      <c r="G2067">
        <v>-238.27600000000001</v>
      </c>
      <c r="H2067" s="1">
        <v>2.924487E-6</v>
      </c>
      <c r="I2067">
        <v>283.30770000000001</v>
      </c>
      <c r="J2067">
        <v>-211.27940000000001</v>
      </c>
      <c r="K2067">
        <v>1.1170880000000001</v>
      </c>
      <c r="L2067">
        <v>283.27929999999998</v>
      </c>
      <c r="M2067">
        <v>-0.9897378</v>
      </c>
      <c r="N2067" s="1">
        <v>5.6067950000000002E-5</v>
      </c>
      <c r="O2067">
        <v>-0.14289579999999999</v>
      </c>
      <c r="P2067">
        <v>-0.99379629999999997</v>
      </c>
      <c r="Q2067">
        <v>-5.096179E-2</v>
      </c>
      <c r="R2067">
        <v>-9.8852209999999996E-2</v>
      </c>
      <c r="S2067">
        <v>-3.0128020000000002</v>
      </c>
      <c r="T2067">
        <v>-0.123570899999999</v>
      </c>
      <c r="U2067">
        <v>-3.9672850000000001E-4</v>
      </c>
      <c r="V2067">
        <v>4.3868259999999999E-2</v>
      </c>
      <c r="W2067">
        <v>-5.1278730000000002E-2</v>
      </c>
      <c r="X2067">
        <v>0.99772039999999995</v>
      </c>
      <c r="Y2067">
        <v>0.14252600000000001</v>
      </c>
      <c r="Z2067">
        <v>8.7689949999999999E-3</v>
      </c>
      <c r="AA2067">
        <v>0.98975219999999997</v>
      </c>
      <c r="AB2067">
        <v>25</v>
      </c>
      <c r="AC2067">
        <v>-26.996599999999901</v>
      </c>
      <c r="AD2067">
        <v>-1.117085075513</v>
      </c>
      <c r="AE2067">
        <v>2.8400000000033201E-2</v>
      </c>
      <c r="AF2067">
        <v>3.8791671693956502</v>
      </c>
      <c r="AG2067">
        <v>-1.117085075513</v>
      </c>
      <c r="AH2067">
        <v>26.669831594978799</v>
      </c>
      <c r="AI2067">
        <v>92.373526043982693</v>
      </c>
      <c r="AJ2067">
        <v>81.724277714611304</v>
      </c>
      <c r="AK2067">
        <v>26.973611814115198</v>
      </c>
      <c r="AL2067">
        <v>92.939344044782004</v>
      </c>
      <c r="AM2067">
        <v>87.482412580158794</v>
      </c>
      <c r="AN2067">
        <v>0.99999996448099904</v>
      </c>
    </row>
    <row r="2068" spans="1:40" x14ac:dyDescent="0.25">
      <c r="A2068" t="str">
        <f>"20190303153815400"</f>
        <v>20190303153815400</v>
      </c>
      <c r="B2068" t="str">
        <f>"1551598695390472"</f>
        <v>1551598695390472</v>
      </c>
      <c r="C2068" t="s">
        <v>40</v>
      </c>
      <c r="D2068">
        <v>4.8765140000000002</v>
      </c>
      <c r="E2068">
        <v>0.53825630000000002</v>
      </c>
      <c r="F2068" t="s">
        <v>55</v>
      </c>
      <c r="G2068">
        <v>-241.19159999999999</v>
      </c>
      <c r="H2068" s="1">
        <v>-9.0266660000000002E-7</v>
      </c>
      <c r="I2068">
        <v>283.32260000000002</v>
      </c>
      <c r="J2068">
        <v>-211.43440000000001</v>
      </c>
      <c r="K2068">
        <v>1.1170610000000001</v>
      </c>
      <c r="L2068">
        <v>283.25920000000002</v>
      </c>
      <c r="M2068">
        <v>-0.99005140000000003</v>
      </c>
      <c r="N2068" s="1">
        <v>7.8442039999999995E-5</v>
      </c>
      <c r="O2068">
        <v>-0.14070489999999999</v>
      </c>
      <c r="P2068">
        <v>-0.99398620000000004</v>
      </c>
      <c r="Q2068">
        <v>-5.0352540000000001E-2</v>
      </c>
      <c r="R2068">
        <v>-9.724054E-2</v>
      </c>
      <c r="S2068">
        <v>-3.0133969999999999</v>
      </c>
      <c r="T2068">
        <v>-0.1125371</v>
      </c>
      <c r="U2068">
        <v>4.3640140000000003E-3</v>
      </c>
      <c r="V2068">
        <v>4.3283629999999997E-2</v>
      </c>
      <c r="W2068">
        <v>-5.0690180000000001E-2</v>
      </c>
      <c r="X2068">
        <v>0.997776</v>
      </c>
      <c r="Y2068">
        <v>0.14194179999999901</v>
      </c>
      <c r="Z2068">
        <v>7.8948939999999995E-3</v>
      </c>
      <c r="AA2068">
        <v>0.98984349999999999</v>
      </c>
      <c r="AB2068">
        <v>25</v>
      </c>
      <c r="AC2068">
        <v>-29.757199999999902</v>
      </c>
      <c r="AD2068">
        <v>-1.1170619026666</v>
      </c>
      <c r="AE2068">
        <v>6.34000000000014E-2</v>
      </c>
      <c r="AF2068">
        <v>4.2437735993089296</v>
      </c>
      <c r="AG2068">
        <v>-1.1170619026666</v>
      </c>
      <c r="AH2068">
        <v>29.410796789915398</v>
      </c>
      <c r="AI2068">
        <v>92.1528508530821</v>
      </c>
      <c r="AJ2068">
        <v>81.789287860497396</v>
      </c>
      <c r="AK2068">
        <v>29.7363819163374</v>
      </c>
      <c r="AL2068">
        <v>92.905578721423495</v>
      </c>
      <c r="AM2068">
        <v>87.516060272896098</v>
      </c>
      <c r="AN2068">
        <v>0.99999995657520302</v>
      </c>
    </row>
    <row r="2069" spans="1:40" x14ac:dyDescent="0.25">
      <c r="A2069" t="str">
        <f>"20190303153815413"</f>
        <v>20190303153815413</v>
      </c>
      <c r="B2069" t="str">
        <f>"1551598695410967"</f>
        <v>1551598695410967</v>
      </c>
      <c r="C2069" t="s">
        <v>40</v>
      </c>
      <c r="D2069">
        <v>4.8890129999999896</v>
      </c>
      <c r="E2069">
        <v>0.53869669999999903</v>
      </c>
      <c r="F2069" t="s">
        <v>55</v>
      </c>
      <c r="G2069">
        <v>-243.4494</v>
      </c>
      <c r="H2069" s="1">
        <v>2.9880590000000002E-7</v>
      </c>
      <c r="I2069">
        <v>283.37360000000001</v>
      </c>
      <c r="J2069">
        <v>-211.5831</v>
      </c>
      <c r="K2069">
        <v>1.1170279999999999</v>
      </c>
      <c r="L2069">
        <v>283.24009999999998</v>
      </c>
      <c r="M2069">
        <v>-0.99034710000000004</v>
      </c>
      <c r="N2069" s="1">
        <v>9.7790729999999994E-5</v>
      </c>
      <c r="O2069">
        <v>-0.13860919999999999</v>
      </c>
      <c r="P2069">
        <v>-0.99418700000000004</v>
      </c>
      <c r="Q2069">
        <v>-4.9780629999999999E-2</v>
      </c>
      <c r="R2069">
        <v>-9.546702E-2</v>
      </c>
      <c r="S2069">
        <v>-3.0138850000000001</v>
      </c>
      <c r="T2069">
        <v>-0.10516</v>
      </c>
      <c r="U2069">
        <v>1.077271E-2</v>
      </c>
      <c r="V2069">
        <v>4.2957540000000002E-2</v>
      </c>
      <c r="W2069">
        <v>-5.0137199999999903E-2</v>
      </c>
      <c r="X2069">
        <v>0.99781810000000004</v>
      </c>
      <c r="Y2069">
        <v>0.14197760000000001</v>
      </c>
      <c r="Z2069">
        <v>7.3062229999999997E-3</v>
      </c>
      <c r="AA2069">
        <v>0.98984289999999997</v>
      </c>
      <c r="AB2069">
        <v>25</v>
      </c>
      <c r="AC2069">
        <v>-31.866299999999899</v>
      </c>
      <c r="AD2069">
        <v>-1.1170277011941001</v>
      </c>
      <c r="AE2069">
        <v>0.13350000000002599</v>
      </c>
      <c r="AF2069">
        <v>4.5435910873535104</v>
      </c>
      <c r="AG2069">
        <v>-1.1170277011941001</v>
      </c>
      <c r="AH2069">
        <v>31.5014883478391</v>
      </c>
      <c r="AI2069">
        <v>92.010046982012796</v>
      </c>
      <c r="AJ2069">
        <v>81.792592599209101</v>
      </c>
      <c r="AK2069">
        <v>31.847067980951699</v>
      </c>
      <c r="AL2069">
        <v>92.873854763773096</v>
      </c>
      <c r="AM2069">
        <v>87.534854476413898</v>
      </c>
      <c r="AN2069">
        <v>1.0000000248771499</v>
      </c>
    </row>
    <row r="2070" spans="1:40" x14ac:dyDescent="0.25">
      <c r="A2070" t="str">
        <f>"20190303153815432"</f>
        <v>20190303153815432</v>
      </c>
      <c r="B2070" t="str">
        <f>"1551598695420729"</f>
        <v>1551598695420729</v>
      </c>
      <c r="C2070" t="s">
        <v>40</v>
      </c>
      <c r="D2070">
        <v>4.9074019999999896</v>
      </c>
      <c r="E2070">
        <v>0.5389448</v>
      </c>
      <c r="F2070" t="s">
        <v>55</v>
      </c>
      <c r="G2070">
        <v>-247.73779999999999</v>
      </c>
      <c r="H2070" s="1">
        <v>2.5808849999999999E-6</v>
      </c>
      <c r="I2070">
        <v>283.47210000000001</v>
      </c>
      <c r="J2070">
        <v>-211.79320000000001</v>
      </c>
      <c r="K2070">
        <v>1.116995</v>
      </c>
      <c r="L2070">
        <v>283.21370000000002</v>
      </c>
      <c r="M2070">
        <v>-0.9907551</v>
      </c>
      <c r="N2070">
        <v>1.205474E-4</v>
      </c>
      <c r="O2070">
        <v>-0.1356628</v>
      </c>
      <c r="P2070">
        <v>-0.99450850000000002</v>
      </c>
      <c r="Q2070">
        <v>-4.9717119999999997E-2</v>
      </c>
      <c r="R2070">
        <v>-9.2093579999999994E-2</v>
      </c>
      <c r="S2070">
        <v>-3.0147249999999999</v>
      </c>
      <c r="T2070">
        <v>-9.3142150000000007E-2</v>
      </c>
      <c r="U2070">
        <v>1.934814E-2</v>
      </c>
      <c r="V2070">
        <v>4.337328E-2</v>
      </c>
      <c r="W2070">
        <v>-5.0100720000000001E-2</v>
      </c>
      <c r="X2070">
        <v>0.99780190000000002</v>
      </c>
      <c r="Y2070">
        <v>0.14188599999999901</v>
      </c>
      <c r="Z2070">
        <v>6.3802080000000001E-3</v>
      </c>
      <c r="AA2070">
        <v>0.98986240000000003</v>
      </c>
      <c r="AB2070">
        <v>26</v>
      </c>
      <c r="AC2070">
        <v>-35.944599999999902</v>
      </c>
      <c r="AD2070">
        <v>-1.116992419115</v>
      </c>
      <c r="AE2070">
        <v>0.25839999999999402</v>
      </c>
      <c r="AF2070">
        <v>5.1274048604593396</v>
      </c>
      <c r="AG2070">
        <v>-1.116992419115</v>
      </c>
      <c r="AH2070">
        <v>35.542918066875004</v>
      </c>
      <c r="AI2070">
        <v>91.781587454985399</v>
      </c>
      <c r="AJ2070">
        <v>81.791168981023503</v>
      </c>
      <c r="AK2070">
        <v>35.928219791356398</v>
      </c>
      <c r="AL2070">
        <v>92.871762119571798</v>
      </c>
      <c r="AM2070">
        <v>87.510986474475999</v>
      </c>
      <c r="AN2070">
        <v>0.99999997760304304</v>
      </c>
    </row>
    <row r="2071" spans="1:40" x14ac:dyDescent="0.25">
      <c r="A2071" t="str">
        <f>"20190303153815446"</f>
        <v>20190303153815446</v>
      </c>
      <c r="B2071" t="str">
        <f>"1551598695441223"</f>
        <v>1551598695441223</v>
      </c>
      <c r="C2071" t="s">
        <v>40</v>
      </c>
      <c r="D2071">
        <v>4.9122409999999999</v>
      </c>
      <c r="E2071">
        <v>0.53911160000000002</v>
      </c>
      <c r="F2071" t="s">
        <v>55</v>
      </c>
      <c r="G2071">
        <v>-249.10470000000001</v>
      </c>
      <c r="H2071" s="1">
        <v>3.3082949999999998E-6</v>
      </c>
      <c r="I2071">
        <v>283.60599999999999</v>
      </c>
      <c r="J2071">
        <v>-211.9555</v>
      </c>
      <c r="K2071">
        <v>1.1169739999999999</v>
      </c>
      <c r="L2071">
        <v>283.19369999999998</v>
      </c>
      <c r="M2071">
        <v>-0.991062</v>
      </c>
      <c r="N2071">
        <v>1.3470929999999999E-4</v>
      </c>
      <c r="O2071">
        <v>-0.13340179999999999</v>
      </c>
      <c r="P2071">
        <v>-0.99473140000000004</v>
      </c>
      <c r="Q2071">
        <v>-5.0180860000000001E-2</v>
      </c>
      <c r="R2071">
        <v>-8.9395050000000004E-2</v>
      </c>
      <c r="S2071">
        <v>-3.0149840000000001</v>
      </c>
      <c r="T2071">
        <v>-9.0259309999999995E-2</v>
      </c>
      <c r="U2071">
        <v>3.1707760000000001E-2</v>
      </c>
      <c r="V2071">
        <v>4.3796380000000003E-2</v>
      </c>
      <c r="W2071">
        <v>-5.058232E-2</v>
      </c>
      <c r="X2071">
        <v>0.99775919999999896</v>
      </c>
      <c r="Y2071">
        <v>0.1436924</v>
      </c>
      <c r="Z2071">
        <v>6.1430039999999997E-3</v>
      </c>
      <c r="AA2071">
        <v>0.98960329999999996</v>
      </c>
      <c r="AB2071">
        <v>26</v>
      </c>
      <c r="AC2071">
        <v>-37.1492</v>
      </c>
      <c r="AD2071">
        <v>-1.116970691705</v>
      </c>
      <c r="AE2071">
        <v>0.41230000000001599</v>
      </c>
      <c r="AF2071">
        <v>5.3595405954274398</v>
      </c>
      <c r="AG2071">
        <v>-1.116970691705</v>
      </c>
      <c r="AH2071">
        <v>36.728960081591303</v>
      </c>
      <c r="AI2071">
        <v>91.7236518442717</v>
      </c>
      <c r="AJ2071">
        <v>81.697915360153999</v>
      </c>
      <c r="AK2071">
        <v>37.134738555634002</v>
      </c>
      <c r="AL2071">
        <v>92.8993905672164</v>
      </c>
      <c r="AM2071">
        <v>87.486630075187804</v>
      </c>
      <c r="AN2071">
        <v>1.0000000575911601</v>
      </c>
    </row>
    <row r="2072" spans="1:40" x14ac:dyDescent="0.25">
      <c r="A2072" t="str">
        <f>"20190303153815459"</f>
        <v>20190303153815459</v>
      </c>
      <c r="B2072" t="str">
        <f>"1551598695450984"</f>
        <v>1551598695450984</v>
      </c>
      <c r="C2072" t="s">
        <v>40</v>
      </c>
      <c r="D2072">
        <v>4.9275549999999999</v>
      </c>
      <c r="E2072">
        <v>0.53892899999999999</v>
      </c>
      <c r="F2072" t="s">
        <v>55</v>
      </c>
      <c r="G2072">
        <v>-248.43209999999999</v>
      </c>
      <c r="H2072" s="1">
        <v>2.950341E-6</v>
      </c>
      <c r="I2072">
        <v>283.69290000000001</v>
      </c>
      <c r="J2072">
        <v>-212.12219999999999</v>
      </c>
      <c r="K2072">
        <v>1.116951</v>
      </c>
      <c r="L2072">
        <v>283.17360000000002</v>
      </c>
      <c r="M2072">
        <v>-0.99137030000000004</v>
      </c>
      <c r="N2072">
        <v>1.4653919999999999E-4</v>
      </c>
      <c r="O2072">
        <v>-0.13109170000000001</v>
      </c>
      <c r="P2072">
        <v>-0.99499020000000005</v>
      </c>
      <c r="Q2072">
        <v>-5.0455079999999999E-2</v>
      </c>
      <c r="R2072">
        <v>-8.6309250000000004E-2</v>
      </c>
      <c r="S2072">
        <v>-3.0149379999999999</v>
      </c>
      <c r="T2072">
        <v>-9.2322109999999999E-2</v>
      </c>
      <c r="U2072">
        <v>4.1259770000000001E-2</v>
      </c>
      <c r="V2072">
        <v>4.456127E-2</v>
      </c>
      <c r="W2072">
        <v>-5.0874030000000001E-2</v>
      </c>
      <c r="X2072">
        <v>0.99771049999999994</v>
      </c>
      <c r="Y2072">
        <v>0.144515899999999</v>
      </c>
      <c r="Z2072">
        <v>6.2259860000000002E-3</v>
      </c>
      <c r="AA2072">
        <v>0.98948290000000005</v>
      </c>
      <c r="AB2072">
        <v>26</v>
      </c>
      <c r="AC2072">
        <v>-36.309899999999999</v>
      </c>
      <c r="AD2072">
        <v>-1.1169480496590001</v>
      </c>
      <c r="AE2072">
        <v>0.51929999999998699</v>
      </c>
      <c r="AF2072">
        <v>5.2697592321503599</v>
      </c>
      <c r="AG2072">
        <v>-1.1169480496590001</v>
      </c>
      <c r="AH2072">
        <v>35.894519619115997</v>
      </c>
      <c r="AI2072">
        <v>91.763435837851503</v>
      </c>
      <c r="AJ2072">
        <v>81.647936609262402</v>
      </c>
      <c r="AK2072">
        <v>36.2964801874448</v>
      </c>
      <c r="AL2072">
        <v>92.916125864397202</v>
      </c>
      <c r="AM2072">
        <v>87.442667974206998</v>
      </c>
      <c r="AN2072">
        <v>1.0000000577613499</v>
      </c>
    </row>
    <row r="2073" spans="1:40" x14ac:dyDescent="0.25">
      <c r="A2073" t="str">
        <f>"20190303153815477"</f>
        <v>20190303153815477</v>
      </c>
      <c r="B2073" t="str">
        <f>"1551598695470503"</f>
        <v>1551598695470503</v>
      </c>
      <c r="C2073" t="s">
        <v>40</v>
      </c>
      <c r="D2073">
        <v>4.8486909999999996</v>
      </c>
      <c r="E2073">
        <v>0.53871880000000005</v>
      </c>
      <c r="F2073" t="s">
        <v>55</v>
      </c>
      <c r="G2073">
        <v>-247.0035</v>
      </c>
      <c r="H2073" s="1">
        <v>2.1901430000000001E-6</v>
      </c>
      <c r="I2073">
        <v>283.7439</v>
      </c>
      <c r="J2073">
        <v>-212.31819999999999</v>
      </c>
      <c r="K2073">
        <v>1.11693</v>
      </c>
      <c r="L2073">
        <v>283.15039999999999</v>
      </c>
      <c r="M2073">
        <v>-0.99172340000000003</v>
      </c>
      <c r="N2073">
        <v>1.5773999999999999E-4</v>
      </c>
      <c r="O2073">
        <v>-0.12839239999999999</v>
      </c>
      <c r="P2073">
        <v>-0.99526780000000004</v>
      </c>
      <c r="Q2073">
        <v>-5.1129010000000003E-2</v>
      </c>
      <c r="R2073">
        <v>-8.2631019999999999E-2</v>
      </c>
      <c r="S2073">
        <v>-3.0144959999999998</v>
      </c>
      <c r="T2073">
        <v>-9.6528409999999995E-2</v>
      </c>
      <c r="U2073">
        <v>4.9285889999999999E-2</v>
      </c>
      <c r="V2073">
        <v>4.552295E-2</v>
      </c>
      <c r="W2073">
        <v>-5.1566069999999999E-2</v>
      </c>
      <c r="X2073">
        <v>0.9976315</v>
      </c>
      <c r="Y2073">
        <v>0.14444749999999901</v>
      </c>
      <c r="Z2073">
        <v>6.4233629999999996E-3</v>
      </c>
      <c r="AA2073">
        <v>0.98949160000000003</v>
      </c>
      <c r="AB2073">
        <v>26</v>
      </c>
      <c r="AC2073">
        <v>-34.685299999999998</v>
      </c>
      <c r="AD2073">
        <v>-1.1169278098569999</v>
      </c>
      <c r="AE2073">
        <v>0.59350000000000502</v>
      </c>
      <c r="AF2073">
        <v>5.0366956845858999</v>
      </c>
      <c r="AG2073">
        <v>-1.1169278098569999</v>
      </c>
      <c r="AH2073">
        <v>34.286481211248798</v>
      </c>
      <c r="AI2073">
        <v>91.846028396636797</v>
      </c>
      <c r="AJ2073">
        <v>81.643002399421903</v>
      </c>
      <c r="AK2073">
        <v>34.672447634986398</v>
      </c>
      <c r="AL2073">
        <v>92.955829107291393</v>
      </c>
      <c r="AM2073">
        <v>87.387347074413896</v>
      </c>
      <c r="AN2073">
        <v>1.00000000417209</v>
      </c>
    </row>
    <row r="2074" spans="1:40" x14ac:dyDescent="0.25">
      <c r="A2074" t="str">
        <f>"20190303153815491"</f>
        <v>20190303153815491</v>
      </c>
      <c r="B2074" t="str">
        <f>"1551598695481239"</f>
        <v>1551598695481239</v>
      </c>
      <c r="C2074" t="s">
        <v>40</v>
      </c>
      <c r="D2074">
        <v>4.8442819999999998</v>
      </c>
      <c r="E2074">
        <v>0.53842199999999996</v>
      </c>
      <c r="F2074" t="s">
        <v>55</v>
      </c>
      <c r="G2074">
        <v>-245.52269999999999</v>
      </c>
      <c r="H2074" s="1">
        <v>1.4021220000000001E-6</v>
      </c>
      <c r="I2074">
        <v>283.79930000000002</v>
      </c>
      <c r="J2074">
        <v>-212.488</v>
      </c>
      <c r="K2074">
        <v>1.116911</v>
      </c>
      <c r="L2074">
        <v>283.13069999999999</v>
      </c>
      <c r="M2074">
        <v>-0.99202129999999999</v>
      </c>
      <c r="N2074">
        <v>1.6531299999999999E-4</v>
      </c>
      <c r="O2074">
        <v>-0.12606980000000001</v>
      </c>
      <c r="P2074">
        <v>-0.99548530000000002</v>
      </c>
      <c r="Q2074">
        <v>-5.1133770000000002E-2</v>
      </c>
      <c r="R2074">
        <v>-7.9963179999999995E-2</v>
      </c>
      <c r="S2074">
        <v>-3.0139619999999998</v>
      </c>
      <c r="T2074">
        <v>-0.1013833</v>
      </c>
      <c r="U2074">
        <v>5.8898930000000002E-2</v>
      </c>
      <c r="V2074">
        <v>4.5859549999999999E-2</v>
      </c>
      <c r="W2074">
        <v>-5.1581219999999997E-2</v>
      </c>
      <c r="X2074">
        <v>0.99761529999999998</v>
      </c>
      <c r="Y2074">
        <v>0.14527470000000001</v>
      </c>
      <c r="Z2074">
        <v>6.6832360000000004E-3</v>
      </c>
      <c r="AA2074">
        <v>0.98936880000000005</v>
      </c>
      <c r="AB2074">
        <v>26</v>
      </c>
      <c r="AC2074">
        <v>-33.034699999999901</v>
      </c>
      <c r="AD2074">
        <v>-1.1169095978779999</v>
      </c>
      <c r="AE2074">
        <v>0.66860000000002595</v>
      </c>
      <c r="AF2074">
        <v>4.8224334082497</v>
      </c>
      <c r="AG2074">
        <v>-1.1169095978779999</v>
      </c>
      <c r="AH2074">
        <v>32.649530805697601</v>
      </c>
      <c r="AI2074">
        <v>91.938258116518995</v>
      </c>
      <c r="AJ2074">
        <v>81.597990349741494</v>
      </c>
      <c r="AK2074">
        <v>33.022646969300197</v>
      </c>
      <c r="AL2074">
        <v>92.9566982964988</v>
      </c>
      <c r="AM2074">
        <v>87.368013314389898</v>
      </c>
      <c r="AN2074">
        <v>1.00000000368849</v>
      </c>
    </row>
    <row r="2075" spans="1:40" x14ac:dyDescent="0.25">
      <c r="A2075" t="str">
        <f>"20190303153815510"</f>
        <v>20190303153815510</v>
      </c>
      <c r="B2075" t="str">
        <f>"1551598695500759"</f>
        <v>1551598695500759</v>
      </c>
      <c r="C2075" t="s">
        <v>40</v>
      </c>
      <c r="D2075">
        <v>4.8444919999999998</v>
      </c>
      <c r="E2075">
        <v>0.538018</v>
      </c>
      <c r="F2075" t="s">
        <v>55</v>
      </c>
      <c r="G2075">
        <v>-245.0198</v>
      </c>
      <c r="H2075" s="1">
        <v>1.134482E-6</v>
      </c>
      <c r="I2075">
        <v>283.82749999999999</v>
      </c>
      <c r="J2075">
        <v>-212.7201</v>
      </c>
      <c r="K2075">
        <v>1.116889</v>
      </c>
      <c r="L2075">
        <v>283.1044</v>
      </c>
      <c r="M2075">
        <v>-0.99241630000000003</v>
      </c>
      <c r="N2075">
        <v>1.7210749999999999E-4</v>
      </c>
      <c r="O2075">
        <v>-0.1229239</v>
      </c>
      <c r="P2075">
        <v>-0.99582820000000005</v>
      </c>
      <c r="Q2075">
        <v>-5.0798450000000002E-2</v>
      </c>
      <c r="R2075">
        <v>-7.5804540000000004E-2</v>
      </c>
      <c r="S2075">
        <v>-3.0134889999999999</v>
      </c>
      <c r="T2075">
        <v>-0.1034617</v>
      </c>
      <c r="U2075">
        <v>6.4544679999999993E-2</v>
      </c>
      <c r="V2075">
        <v>4.6866730000000002E-2</v>
      </c>
      <c r="W2075">
        <v>-5.1259779999999998E-2</v>
      </c>
      <c r="X2075">
        <v>0.9975851</v>
      </c>
      <c r="Y2075">
        <v>0.1439897</v>
      </c>
      <c r="Z2075">
        <v>6.6915280000000004E-3</v>
      </c>
      <c r="AA2075">
        <v>0.98955660000000001</v>
      </c>
      <c r="AB2075">
        <v>26</v>
      </c>
      <c r="AC2075">
        <v>-32.299700000000001</v>
      </c>
      <c r="AD2075">
        <v>-1.1168878655179999</v>
      </c>
      <c r="AE2075">
        <v>0.72309999999998797</v>
      </c>
      <c r="AF2075">
        <v>4.6824244176963301</v>
      </c>
      <c r="AG2075">
        <v>-1.1168878655179999</v>
      </c>
      <c r="AH2075">
        <v>31.927699315683601</v>
      </c>
      <c r="AI2075">
        <v>91.982304175097994</v>
      </c>
      <c r="AJ2075">
        <v>81.656643903332593</v>
      </c>
      <c r="AK2075">
        <v>32.288550920168099</v>
      </c>
      <c r="AL2075">
        <v>92.938256627299097</v>
      </c>
      <c r="AM2075">
        <v>87.310211572908599</v>
      </c>
      <c r="AN2075">
        <v>1.00000004358427</v>
      </c>
    </row>
    <row r="2076" spans="1:40" x14ac:dyDescent="0.25">
      <c r="A2076" t="str">
        <f>"20190303153815526"</f>
        <v>20190303153815526</v>
      </c>
      <c r="B2076" t="str">
        <f>"1551598695521255"</f>
        <v>1551598695521255</v>
      </c>
      <c r="C2076" t="s">
        <v>40</v>
      </c>
      <c r="D2076">
        <v>4.8236889999999999</v>
      </c>
      <c r="E2076">
        <v>0.5376225</v>
      </c>
      <c r="F2076" t="s">
        <v>55</v>
      </c>
      <c r="G2076">
        <v>-245.4323</v>
      </c>
      <c r="H2076" s="1">
        <v>1.3540369999999901E-6</v>
      </c>
      <c r="I2076">
        <v>283.90690000000001</v>
      </c>
      <c r="J2076">
        <v>-212.9058</v>
      </c>
      <c r="K2076">
        <v>1.1168720000000001</v>
      </c>
      <c r="L2076">
        <v>283.08390000000003</v>
      </c>
      <c r="M2076">
        <v>-0.99272190000000005</v>
      </c>
      <c r="N2076">
        <v>1.750221E-4</v>
      </c>
      <c r="O2076">
        <v>-0.1204302</v>
      </c>
      <c r="P2076">
        <v>-0.99606910000000004</v>
      </c>
      <c r="Q2076">
        <v>-5.0829539999999999E-2</v>
      </c>
      <c r="R2076">
        <v>-7.2546819999999998E-2</v>
      </c>
      <c r="S2076">
        <v>-3.0129549999999998</v>
      </c>
      <c r="T2076">
        <v>-0.10287060000000001</v>
      </c>
      <c r="U2076">
        <v>7.3913569999999998E-2</v>
      </c>
      <c r="V2076">
        <v>4.7622169999999998E-2</v>
      </c>
      <c r="W2076">
        <v>-5.1299169999999998E-2</v>
      </c>
      <c r="X2076">
        <v>0.99754730000000003</v>
      </c>
      <c r="Y2076">
        <v>0.14458560000000001</v>
      </c>
      <c r="Z2076">
        <v>6.5796409999999998E-3</v>
      </c>
      <c r="AA2076">
        <v>0.98947039999999997</v>
      </c>
      <c r="AB2076">
        <v>27</v>
      </c>
      <c r="AC2076">
        <v>-32.526499999999999</v>
      </c>
      <c r="AD2076">
        <v>-1.11687064596299</v>
      </c>
      <c r="AE2076">
        <v>0.82299999999997897</v>
      </c>
      <c r="AF2076">
        <v>4.7286108545915502</v>
      </c>
      <c r="AG2076">
        <v>-1.11687064596299</v>
      </c>
      <c r="AH2076">
        <v>32.152766180307303</v>
      </c>
      <c r="AI2076">
        <v>91.9682929363792</v>
      </c>
      <c r="AJ2076">
        <v>81.633655332342897</v>
      </c>
      <c r="AK2076">
        <v>32.517803334473399</v>
      </c>
      <c r="AL2076">
        <v>92.940516474547096</v>
      </c>
      <c r="AM2076">
        <v>87.2668169614915</v>
      </c>
      <c r="AN2076">
        <v>1.00000004582774</v>
      </c>
    </row>
    <row r="2077" spans="1:40" x14ac:dyDescent="0.25">
      <c r="A2077" t="str">
        <f>"20190303153815545"</f>
        <v>20190303153815545</v>
      </c>
      <c r="B2077" t="str">
        <f>"1551598695540775"</f>
        <v>1551598695540775</v>
      </c>
      <c r="C2077" t="s">
        <v>40</v>
      </c>
      <c r="D2077">
        <v>4.8692580000000003</v>
      </c>
      <c r="E2077">
        <v>0.53727329999999995</v>
      </c>
      <c r="F2077" t="s">
        <v>55</v>
      </c>
      <c r="G2077">
        <v>-246.2944</v>
      </c>
      <c r="H2077" s="1">
        <v>1.8127569999999999E-6</v>
      </c>
      <c r="I2077">
        <v>283.97680000000003</v>
      </c>
      <c r="J2077">
        <v>-213.12880000000001</v>
      </c>
      <c r="K2077">
        <v>1.116849</v>
      </c>
      <c r="L2077">
        <v>283.0598</v>
      </c>
      <c r="M2077">
        <v>-0.99307809999999996</v>
      </c>
      <c r="N2077">
        <v>1.75949399999999E-4</v>
      </c>
      <c r="O2077">
        <v>-0.117456</v>
      </c>
      <c r="P2077">
        <v>-0.99633340000000004</v>
      </c>
      <c r="Q2077">
        <v>-5.1284139999999999E-2</v>
      </c>
      <c r="R2077">
        <v>-6.8483390000000005E-2</v>
      </c>
      <c r="S2077">
        <v>-3.0125730000000002</v>
      </c>
      <c r="T2077">
        <v>-0.1007726</v>
      </c>
      <c r="U2077">
        <v>8.0566410000000005E-2</v>
      </c>
      <c r="V2077">
        <v>4.8696240000000002E-2</v>
      </c>
      <c r="W2077">
        <v>-5.176236E-2</v>
      </c>
      <c r="X2077">
        <v>0.99747149999999996</v>
      </c>
      <c r="Y2077">
        <v>0.14381659999999999</v>
      </c>
      <c r="Z2077">
        <v>6.3342119999999997E-3</v>
      </c>
      <c r="AA2077">
        <v>0.98958409999999997</v>
      </c>
      <c r="AB2077">
        <v>27</v>
      </c>
      <c r="AC2077">
        <v>-33.165599999999898</v>
      </c>
      <c r="AD2077">
        <v>-1.1168471872429999</v>
      </c>
      <c r="AE2077">
        <v>0.91700000000003001</v>
      </c>
      <c r="AF2077">
        <v>4.8007114397591799</v>
      </c>
      <c r="AG2077">
        <v>-1.1168471872429999</v>
      </c>
      <c r="AH2077">
        <v>32.7911668072122</v>
      </c>
      <c r="AI2077">
        <v>91.9301457004116</v>
      </c>
      <c r="AJ2077">
        <v>81.670921366373804</v>
      </c>
      <c r="AK2077">
        <v>33.159535559864203</v>
      </c>
      <c r="AL2077">
        <v>92.967090660345093</v>
      </c>
      <c r="AM2077">
        <v>87.205057389725496</v>
      </c>
      <c r="AN2077">
        <v>1.0000000295075699</v>
      </c>
    </row>
    <row r="2078" spans="1:40" x14ac:dyDescent="0.25">
      <c r="A2078" t="str">
        <f>"20190303153815566"</f>
        <v>20190303153815566</v>
      </c>
      <c r="B2078" t="str">
        <f>"1551598695561271"</f>
        <v>1551598695561271</v>
      </c>
      <c r="C2078" t="s">
        <v>40</v>
      </c>
      <c r="D2078">
        <v>4.862006</v>
      </c>
      <c r="E2078">
        <v>0.53696449999999996</v>
      </c>
      <c r="F2078" t="s">
        <v>55</v>
      </c>
      <c r="G2078">
        <v>-246.82249999999999</v>
      </c>
      <c r="H2078" s="1">
        <v>2.0937859999999998E-6</v>
      </c>
      <c r="I2078">
        <v>284.06720000000001</v>
      </c>
      <c r="J2078">
        <v>-213.3844</v>
      </c>
      <c r="K2078">
        <v>1.116814</v>
      </c>
      <c r="L2078">
        <v>283.03300000000002</v>
      </c>
      <c r="M2078">
        <v>-0.99347220000000003</v>
      </c>
      <c r="N2078">
        <v>1.737466E-4</v>
      </c>
      <c r="O2078">
        <v>-0.11407490000000001</v>
      </c>
      <c r="P2078">
        <v>-0.99652399999999997</v>
      </c>
      <c r="Q2078">
        <v>-5.1935820000000001E-2</v>
      </c>
      <c r="R2078">
        <v>-6.5135719999999994E-2</v>
      </c>
      <c r="S2078">
        <v>-3.0121150000000001</v>
      </c>
      <c r="T2078">
        <v>-9.9843029999999999E-2</v>
      </c>
      <c r="U2078">
        <v>9.0057369999999998E-2</v>
      </c>
      <c r="V2078">
        <v>4.864226E-2</v>
      </c>
      <c r="W2078">
        <v>-5.2413149999999999E-2</v>
      </c>
      <c r="X2078">
        <v>0.99744010000000005</v>
      </c>
      <c r="Y2078">
        <v>0.14357230000000001</v>
      </c>
      <c r="Z2078">
        <v>6.1604729999999996E-3</v>
      </c>
      <c r="AA2078">
        <v>0.98962070000000002</v>
      </c>
      <c r="AB2078">
        <v>27</v>
      </c>
      <c r="AC2078">
        <v>-33.438099999999899</v>
      </c>
      <c r="AD2078">
        <v>-1.1168119062140001</v>
      </c>
      <c r="AE2078">
        <v>1.03419999999999</v>
      </c>
      <c r="AF2078">
        <v>4.8365065751440497</v>
      </c>
      <c r="AG2078">
        <v>-1.1168119062140001</v>
      </c>
      <c r="AH2078">
        <v>33.0649955634264</v>
      </c>
      <c r="AI2078">
        <v>91.914148246341497</v>
      </c>
      <c r="AJ2078">
        <v>81.678206278659303</v>
      </c>
      <c r="AK2078">
        <v>33.435505025267403</v>
      </c>
      <c r="AL2078">
        <v>93.0044290140588</v>
      </c>
      <c r="AM2078">
        <v>87.208062941654404</v>
      </c>
      <c r="AN2078">
        <v>0.99999998041941995</v>
      </c>
    </row>
    <row r="2079" spans="1:40" x14ac:dyDescent="0.25">
      <c r="A2079" t="str">
        <f>"20190303153815579"</f>
        <v>20190303153815579</v>
      </c>
      <c r="B2079" t="str">
        <f>"1551598695571032"</f>
        <v>1551598695571032</v>
      </c>
      <c r="C2079" t="s">
        <v>40</v>
      </c>
      <c r="D2079">
        <v>4.855016</v>
      </c>
      <c r="E2079">
        <v>0.53676489999999999</v>
      </c>
      <c r="F2079" t="s">
        <v>55</v>
      </c>
      <c r="G2079">
        <v>-246.83090000000001</v>
      </c>
      <c r="H2079" s="1">
        <v>2.0983030000000002E-6</v>
      </c>
      <c r="I2079">
        <v>284.11689999999999</v>
      </c>
      <c r="J2079">
        <v>-213.55439999999999</v>
      </c>
      <c r="K2079">
        <v>1.116798</v>
      </c>
      <c r="L2079">
        <v>283.01560000000001</v>
      </c>
      <c r="M2079">
        <v>-0.99372640000000001</v>
      </c>
      <c r="N2079">
        <v>1.703377E-4</v>
      </c>
      <c r="O2079">
        <v>-0.1118393</v>
      </c>
      <c r="P2079">
        <v>-0.99662200000000001</v>
      </c>
      <c r="Q2079">
        <v>-5.2517290000000001E-2</v>
      </c>
      <c r="R2079">
        <v>-6.3140020000000005E-2</v>
      </c>
      <c r="S2079">
        <v>-3.0115970000000001</v>
      </c>
      <c r="T2079">
        <v>-0.1005601</v>
      </c>
      <c r="U2079">
        <v>9.7595210000000002E-2</v>
      </c>
      <c r="V2079">
        <v>4.838696E-2</v>
      </c>
      <c r="W2079">
        <v>-5.2991070000000001E-2</v>
      </c>
      <c r="X2079">
        <v>0.99742200000000003</v>
      </c>
      <c r="Y2079">
        <v>0.14382439999999999</v>
      </c>
      <c r="Z2079">
        <v>6.1349400000000002E-3</v>
      </c>
      <c r="AA2079">
        <v>0.98958420000000002</v>
      </c>
      <c r="AB2079">
        <v>27</v>
      </c>
      <c r="AC2079">
        <v>-33.276499999999999</v>
      </c>
      <c r="AD2079">
        <v>-1.1167959016969999</v>
      </c>
      <c r="AE2079">
        <v>1.10129999999998</v>
      </c>
      <c r="AF2079">
        <v>4.81059842382707</v>
      </c>
      <c r="AG2079">
        <v>-1.1167959016969999</v>
      </c>
      <c r="AH2079">
        <v>32.907540079866202</v>
      </c>
      <c r="AI2079">
        <v>91.9232966821791</v>
      </c>
      <c r="AJ2079">
        <v>81.683110101945502</v>
      </c>
      <c r="AK2079">
        <v>33.276046706142502</v>
      </c>
      <c r="AL2079">
        <v>93.037587417401298</v>
      </c>
      <c r="AM2079">
        <v>87.222643162737299</v>
      </c>
      <c r="AN2079">
        <v>0.99999999874089296</v>
      </c>
    </row>
    <row r="2080" spans="1:40" x14ac:dyDescent="0.25">
      <c r="A2080" t="str">
        <f>"20190303153815592"</f>
        <v>20190303153815592</v>
      </c>
      <c r="B2080" t="str">
        <f>"1551598695580791"</f>
        <v>1551598695580791</v>
      </c>
      <c r="C2080" t="s">
        <v>40</v>
      </c>
      <c r="D2080">
        <v>4.8202550000000004</v>
      </c>
      <c r="E2080">
        <v>0.53658019999999995</v>
      </c>
      <c r="F2080" t="s">
        <v>55</v>
      </c>
      <c r="G2080">
        <v>-246.7337</v>
      </c>
      <c r="H2080" s="1">
        <v>2.0465639999999999E-6</v>
      </c>
      <c r="I2080">
        <v>284.14240000000001</v>
      </c>
      <c r="J2080">
        <v>-213.7055</v>
      </c>
      <c r="K2080">
        <v>1.1167819999999999</v>
      </c>
      <c r="L2080">
        <v>283.00040000000001</v>
      </c>
      <c r="M2080">
        <v>-0.99394740000000004</v>
      </c>
      <c r="N2080">
        <v>1.6653999999999999E-4</v>
      </c>
      <c r="O2080">
        <v>-0.10985689999999999</v>
      </c>
      <c r="P2080">
        <v>-0.99669260000000004</v>
      </c>
      <c r="Q2080">
        <v>-5.3023859999999999E-2</v>
      </c>
      <c r="R2080">
        <v>-6.1580210000000003E-2</v>
      </c>
      <c r="S2080">
        <v>-3.0113219999999998</v>
      </c>
      <c r="T2080">
        <v>-0.1013592</v>
      </c>
      <c r="U2080">
        <v>0.10226440000000001</v>
      </c>
      <c r="V2080">
        <v>4.7950600000000003E-2</v>
      </c>
      <c r="W2080">
        <v>-5.3492579999999998E-2</v>
      </c>
      <c r="X2080">
        <v>0.99741630000000003</v>
      </c>
      <c r="Y2080">
        <v>0.14338519999999999</v>
      </c>
      <c r="Z2080">
        <v>6.109827E-3</v>
      </c>
      <c r="AA2080">
        <v>0.98964810000000003</v>
      </c>
      <c r="AB2080">
        <v>27</v>
      </c>
      <c r="AC2080">
        <v>-33.028199999999998</v>
      </c>
      <c r="AD2080">
        <v>-1.1167799534359999</v>
      </c>
      <c r="AE2080">
        <v>1.1419999999999899</v>
      </c>
      <c r="AF2080">
        <v>4.7580302357063804</v>
      </c>
      <c r="AG2080">
        <v>-1.1167799534359999</v>
      </c>
      <c r="AH2080">
        <v>32.665535030007398</v>
      </c>
      <c r="AI2080">
        <v>91.937652680494907</v>
      </c>
      <c r="AJ2080">
        <v>81.712633995440996</v>
      </c>
      <c r="AK2080">
        <v>33.029126963710901</v>
      </c>
      <c r="AL2080">
        <v>93.066362646444404</v>
      </c>
      <c r="AM2080">
        <v>87.247635340125001</v>
      </c>
      <c r="AN2080">
        <v>0.99999999583055299</v>
      </c>
    </row>
    <row r="2081" spans="1:40" x14ac:dyDescent="0.25">
      <c r="A2081" t="str">
        <f>"20190303153815612"</f>
        <v>20190303153815612</v>
      </c>
      <c r="B2081" t="str">
        <f>"1551598695601287"</f>
        <v>1551598695601287</v>
      </c>
      <c r="C2081" t="s">
        <v>40</v>
      </c>
      <c r="D2081">
        <v>4.8541530000000002</v>
      </c>
      <c r="E2081">
        <v>0.53617360000000003</v>
      </c>
      <c r="F2081" t="s">
        <v>55</v>
      </c>
      <c r="G2081">
        <v>-246.57660000000001</v>
      </c>
      <c r="H2081" s="1">
        <v>1.9629319999999999E-6</v>
      </c>
      <c r="I2081">
        <v>284.15010000000001</v>
      </c>
      <c r="J2081">
        <v>-213.95179999999999</v>
      </c>
      <c r="K2081">
        <v>1.1167480000000001</v>
      </c>
      <c r="L2081">
        <v>282.97640000000001</v>
      </c>
      <c r="M2081">
        <v>-0.99429789999999996</v>
      </c>
      <c r="N2081">
        <v>1.5796439999999999E-4</v>
      </c>
      <c r="O2081">
        <v>-0.1066394</v>
      </c>
      <c r="P2081">
        <v>-0.99675860000000005</v>
      </c>
      <c r="Q2081">
        <v>-5.3458989999999998E-2</v>
      </c>
      <c r="R2081">
        <v>-6.0123889999999999E-2</v>
      </c>
      <c r="S2081">
        <v>-3.0110320000000002</v>
      </c>
      <c r="T2081">
        <v>-0.1022984</v>
      </c>
      <c r="U2081">
        <v>0.1053162</v>
      </c>
      <c r="V2081">
        <v>4.6171459999999998E-2</v>
      </c>
      <c r="W2081">
        <v>-5.3910739999999999E-2</v>
      </c>
      <c r="X2081">
        <v>0.99747770000000002</v>
      </c>
      <c r="Y2081">
        <v>0.14118729999999999</v>
      </c>
      <c r="Z2081">
        <v>6.020035E-3</v>
      </c>
      <c r="AA2081">
        <v>0.98996459999999997</v>
      </c>
      <c r="AB2081">
        <v>27</v>
      </c>
      <c r="AC2081">
        <v>-32.6248</v>
      </c>
      <c r="AD2081">
        <v>-1.11674603706799</v>
      </c>
      <c r="AE2081">
        <v>1.17369999999999</v>
      </c>
      <c r="AF2081">
        <v>4.6406655040896299</v>
      </c>
      <c r="AG2081">
        <v>-1.11674603706799</v>
      </c>
      <c r="AH2081">
        <v>32.2758345860113</v>
      </c>
      <c r="AI2081">
        <v>91.961491933008404</v>
      </c>
      <c r="AJ2081">
        <v>81.818006033450004</v>
      </c>
      <c r="AK2081">
        <v>32.626866172768104</v>
      </c>
      <c r="AL2081">
        <v>93.090356161597896</v>
      </c>
      <c r="AM2081">
        <v>87.349772478745393</v>
      </c>
      <c r="AN2081">
        <v>0.99999996680158398</v>
      </c>
    </row>
    <row r="2082" spans="1:40" x14ac:dyDescent="0.25">
      <c r="A2082" t="str">
        <f>"20190303153815623"</f>
        <v>20190303153815623</v>
      </c>
      <c r="B2082" t="str">
        <f>"1551598695611047"</f>
        <v>1551598695611047</v>
      </c>
      <c r="C2082" t="s">
        <v>40</v>
      </c>
      <c r="D2082">
        <v>4.8155979999999996</v>
      </c>
      <c r="E2082">
        <v>0.53617360000000003</v>
      </c>
      <c r="F2082" t="s">
        <v>55</v>
      </c>
      <c r="G2082">
        <v>-246.84289999999999</v>
      </c>
      <c r="H2082" s="1">
        <v>2.104649E-6</v>
      </c>
      <c r="I2082">
        <v>284.13990000000001</v>
      </c>
      <c r="J2082">
        <v>-214.10990000000001</v>
      </c>
      <c r="K2082">
        <v>1.1167279999999999</v>
      </c>
      <c r="L2082">
        <v>282.96140000000003</v>
      </c>
      <c r="M2082">
        <v>-0.99451670000000003</v>
      </c>
      <c r="N2082">
        <v>1.5118489999999999E-4</v>
      </c>
      <c r="O2082">
        <v>-0.1045782</v>
      </c>
      <c r="P2082">
        <v>-0.99681750000000002</v>
      </c>
      <c r="Q2082">
        <v>-5.3619729999999997E-2</v>
      </c>
      <c r="R2082">
        <v>-5.8992599999999902E-2</v>
      </c>
      <c r="S2082">
        <v>-3.0106959999999998</v>
      </c>
      <c r="T2082">
        <v>-0.1022216</v>
      </c>
      <c r="U2082">
        <v>0.1065063</v>
      </c>
      <c r="V2082">
        <v>4.5231769999999998E-2</v>
      </c>
      <c r="W2082">
        <v>-5.4060730000000001E-2</v>
      </c>
      <c r="X2082">
        <v>0.99751270000000003</v>
      </c>
      <c r="Y2082">
        <v>0.1395322</v>
      </c>
      <c r="Z2082">
        <v>5.9179509999999899E-3</v>
      </c>
      <c r="AA2082">
        <v>0.99019990000000002</v>
      </c>
      <c r="AB2082">
        <v>28</v>
      </c>
      <c r="AC2082">
        <v>-32.732999999999898</v>
      </c>
      <c r="AD2082">
        <v>-1.116725895351</v>
      </c>
      <c r="AE2082">
        <v>1.1784999999999799</v>
      </c>
      <c r="AF2082">
        <v>4.5898607033709196</v>
      </c>
      <c r="AG2082">
        <v>-1.116725895351</v>
      </c>
      <c r="AH2082">
        <v>32.392615186677901</v>
      </c>
      <c r="AI2082">
        <v>91.954960861363602</v>
      </c>
      <c r="AJ2082">
        <v>81.935181309386294</v>
      </c>
      <c r="AK2082">
        <v>32.735232038797101</v>
      </c>
      <c r="AL2082">
        <v>93.098962306971302</v>
      </c>
      <c r="AM2082">
        <v>87.403726794565003</v>
      </c>
      <c r="AN2082">
        <v>1.0000000311033701</v>
      </c>
    </row>
    <row r="2083" spans="1:40" x14ac:dyDescent="0.25">
      <c r="A2083" t="str">
        <f>"20190303153815643"</f>
        <v>20190303153815643</v>
      </c>
      <c r="B2083" t="str">
        <f>"1551598695630567"</f>
        <v>1551598695630567</v>
      </c>
      <c r="C2083" t="s">
        <v>40</v>
      </c>
      <c r="D2083">
        <v>4.8008810000000004</v>
      </c>
      <c r="E2083">
        <v>0.5276014</v>
      </c>
      <c r="F2083" t="s">
        <v>55</v>
      </c>
      <c r="G2083">
        <v>-246.8561</v>
      </c>
      <c r="H2083" s="1">
        <v>2.1116810000000002E-6</v>
      </c>
      <c r="I2083">
        <v>284.15699999999998</v>
      </c>
      <c r="J2083">
        <v>-214.3492</v>
      </c>
      <c r="K2083">
        <v>1.1166990000000001</v>
      </c>
      <c r="L2083">
        <v>282.9393</v>
      </c>
      <c r="M2083">
        <v>-0.99483909999999998</v>
      </c>
      <c r="N2083">
        <v>1.3956959999999999E-4</v>
      </c>
      <c r="O2083">
        <v>-0.10146479999999999</v>
      </c>
      <c r="P2083">
        <v>-0.99690279999999998</v>
      </c>
      <c r="Q2083">
        <v>-5.2910329999999998E-2</v>
      </c>
      <c r="R2083">
        <v>-5.8184739999999999E-2</v>
      </c>
      <c r="S2083">
        <v>-3.0105590000000002</v>
      </c>
      <c r="T2083">
        <v>-0.10266749999999999</v>
      </c>
      <c r="U2083">
        <v>0.1099243</v>
      </c>
      <c r="V2083">
        <v>4.2922429999999998E-2</v>
      </c>
      <c r="W2083">
        <v>-5.3328019999999997E-2</v>
      </c>
      <c r="X2083">
        <v>0.99765409999999999</v>
      </c>
      <c r="Y2083">
        <v>0.1375586</v>
      </c>
      <c r="Z2083">
        <v>5.8038100000000004E-3</v>
      </c>
      <c r="AA2083">
        <v>0.99047660000000004</v>
      </c>
      <c r="AB2083">
        <v>28</v>
      </c>
      <c r="AC2083">
        <v>-32.506900000000002</v>
      </c>
      <c r="AD2083">
        <v>-1.1166968883189901</v>
      </c>
      <c r="AE2083">
        <v>1.21769999999997</v>
      </c>
      <c r="AF2083">
        <v>4.5044135950113304</v>
      </c>
      <c r="AG2083">
        <v>-1.1166968883189901</v>
      </c>
      <c r="AH2083">
        <v>32.177662700769297</v>
      </c>
      <c r="AI2083">
        <v>91.968423169458404</v>
      </c>
      <c r="AJ2083">
        <v>82.031191514616197</v>
      </c>
      <c r="AK2083">
        <v>32.510594129603099</v>
      </c>
      <c r="AL2083">
        <v>93.056920691604503</v>
      </c>
      <c r="AM2083">
        <v>87.536462398506302</v>
      </c>
      <c r="AN2083">
        <v>0.999999957980516</v>
      </c>
    </row>
    <row r="2084" spans="1:40" x14ac:dyDescent="0.25">
      <c r="A2084" t="str">
        <f>"20190303153815656"</f>
        <v>20190303153815656</v>
      </c>
      <c r="B2084" t="str">
        <f>"1551598695651063"</f>
        <v>1551598695651063</v>
      </c>
      <c r="C2084" t="s">
        <v>40</v>
      </c>
      <c r="D2084">
        <v>4.6560420000000002</v>
      </c>
      <c r="E2084">
        <v>0.53200599999999998</v>
      </c>
      <c r="F2084" t="s">
        <v>55</v>
      </c>
      <c r="G2084">
        <v>-255.39510000000001</v>
      </c>
      <c r="H2084" s="1">
        <v>1.334235E-6</v>
      </c>
      <c r="I2084">
        <v>283.53649999999999</v>
      </c>
      <c r="J2084">
        <v>-214.50649999999999</v>
      </c>
      <c r="K2084">
        <v>1.1166830000000001</v>
      </c>
      <c r="L2084">
        <v>282.92509999999999</v>
      </c>
      <c r="M2084">
        <v>-0.99504550000000003</v>
      </c>
      <c r="N2084">
        <v>1.31075E-4</v>
      </c>
      <c r="O2084">
        <v>-9.9420579999999995E-2</v>
      </c>
      <c r="P2084">
        <v>-0.99700120000000003</v>
      </c>
      <c r="Q2084">
        <v>-5.2379790000000002E-2</v>
      </c>
      <c r="R2084">
        <v>-5.6964840000000003E-2</v>
      </c>
      <c r="S2084">
        <v>-3.0075379999999998</v>
      </c>
      <c r="T2084">
        <v>-8.1823110000000004E-2</v>
      </c>
      <c r="U2084">
        <v>4.3762210000000003E-2</v>
      </c>
      <c r="V2084">
        <v>4.209715E-2</v>
      </c>
      <c r="W2084">
        <v>-5.2785690000000003E-2</v>
      </c>
      <c r="X2084">
        <v>0.9977182</v>
      </c>
      <c r="Y2084">
        <v>0.1138083</v>
      </c>
      <c r="Z2084">
        <v>4.254674E-3</v>
      </c>
      <c r="AA2084">
        <v>0.99349359999999998</v>
      </c>
      <c r="AB2084">
        <v>28</v>
      </c>
      <c r="AC2084">
        <v>-40.888599999999997</v>
      </c>
      <c r="AD2084">
        <v>-1.1166816657650001</v>
      </c>
      <c r="AE2084">
        <v>0.61140000000000305</v>
      </c>
      <c r="AF2084">
        <v>4.6700567432730899</v>
      </c>
      <c r="AG2084">
        <v>-1.1166816657650001</v>
      </c>
      <c r="AH2084">
        <v>40.5949605351218</v>
      </c>
      <c r="AI2084">
        <v>91.565369557000096</v>
      </c>
      <c r="AJ2084">
        <v>83.437524303539206</v>
      </c>
      <c r="AK2084">
        <v>40.877955291038496</v>
      </c>
      <c r="AL2084">
        <v>93.025803353876199</v>
      </c>
      <c r="AM2084">
        <v>87.583927797793194</v>
      </c>
      <c r="AN2084">
        <v>1.00000005285906</v>
      </c>
    </row>
    <row r="2085" spans="1:40" x14ac:dyDescent="0.25">
      <c r="A2085" t="str">
        <f>"20190303153815669"</f>
        <v>20190303153815669</v>
      </c>
      <c r="B2085" t="str">
        <f>"1551598695660823"</f>
        <v>1551598695660823</v>
      </c>
      <c r="C2085" t="s">
        <v>40</v>
      </c>
      <c r="D2085">
        <v>4.80985</v>
      </c>
      <c r="E2085">
        <v>0.53151530000000002</v>
      </c>
      <c r="F2085" t="s">
        <v>57</v>
      </c>
      <c r="G2085">
        <v>-298.88130000000001</v>
      </c>
      <c r="H2085" s="1">
        <v>3.7287500000000001E-6</v>
      </c>
      <c r="I2085">
        <v>285.21570000000003</v>
      </c>
      <c r="J2085">
        <v>-214.68109999999999</v>
      </c>
      <c r="K2085">
        <v>1.116665</v>
      </c>
      <c r="L2085">
        <v>282.90969999999999</v>
      </c>
      <c r="M2085">
        <v>-0.99526950000000003</v>
      </c>
      <c r="N2085">
        <v>1.2112079999999999E-4</v>
      </c>
      <c r="O2085">
        <v>-9.7154309999999994E-2</v>
      </c>
      <c r="P2085">
        <v>-0.99711559999999999</v>
      </c>
      <c r="Q2085">
        <v>-5.1734969999999998E-2</v>
      </c>
      <c r="R2085">
        <v>-5.5537599999999999E-2</v>
      </c>
      <c r="S2085">
        <v>-3.0115970000000001</v>
      </c>
      <c r="T2085">
        <v>-3.9857749999999997E-2</v>
      </c>
      <c r="U2085">
        <v>8.1756590000000004E-2</v>
      </c>
      <c r="V2085">
        <v>4.1258110000000001E-2</v>
      </c>
      <c r="W2085">
        <v>-5.2127720000000002E-2</v>
      </c>
      <c r="X2085">
        <v>0.9977878</v>
      </c>
      <c r="Y2085">
        <v>0.124108</v>
      </c>
      <c r="Z2085">
        <v>2.1097590000000001E-3</v>
      </c>
      <c r="AA2085">
        <v>0.99226650000000005</v>
      </c>
      <c r="AB2085">
        <v>28</v>
      </c>
      <c r="AC2085">
        <v>-84.200199999999995</v>
      </c>
      <c r="AD2085">
        <v>-1.1166612712499999</v>
      </c>
      <c r="AE2085">
        <v>2.30600000000004</v>
      </c>
      <c r="AF2085">
        <v>10.4736613039187</v>
      </c>
      <c r="AG2085">
        <v>-1.1166612712499999</v>
      </c>
      <c r="AH2085">
        <v>83.563152928943197</v>
      </c>
      <c r="AI2085">
        <v>90.759659586609203</v>
      </c>
      <c r="AJ2085">
        <v>82.855900989928998</v>
      </c>
      <c r="AK2085">
        <v>84.224373199982097</v>
      </c>
      <c r="AL2085">
        <v>92.988052596913505</v>
      </c>
      <c r="AM2085">
        <v>87.632192246438294</v>
      </c>
      <c r="AN2085">
        <v>1.000000012331</v>
      </c>
    </row>
    <row r="2086" spans="1:40" x14ac:dyDescent="0.25">
      <c r="A2086" t="str">
        <f>"20190303153815690"</f>
        <v>20190303153815690</v>
      </c>
      <c r="B2086" t="str">
        <f>"1551598695681319"</f>
        <v>1551598695681319</v>
      </c>
      <c r="C2086" t="s">
        <v>40</v>
      </c>
      <c r="D2086">
        <v>4.8166609999999999</v>
      </c>
      <c r="E2086">
        <v>0.53093059999999903</v>
      </c>
      <c r="F2086" t="s">
        <v>57</v>
      </c>
      <c r="G2086">
        <v>-290.39330000000001</v>
      </c>
      <c r="H2086" s="1">
        <v>2.2437120000000001E-6</v>
      </c>
      <c r="I2086">
        <v>284.98009999999999</v>
      </c>
      <c r="J2086">
        <v>-214.9365</v>
      </c>
      <c r="K2086">
        <v>1.1166469999999999</v>
      </c>
      <c r="L2086">
        <v>282.8879</v>
      </c>
      <c r="M2086">
        <v>-0.99558650000000004</v>
      </c>
      <c r="N2086">
        <v>1.053298E-4</v>
      </c>
      <c r="O2086">
        <v>-9.3848710000000002E-2</v>
      </c>
      <c r="P2086">
        <v>-0.99727089999999996</v>
      </c>
      <c r="Q2086">
        <v>-5.026299E-2</v>
      </c>
      <c r="R2086">
        <v>-5.407841E-2</v>
      </c>
      <c r="S2086">
        <v>-3.0109560000000002</v>
      </c>
      <c r="T2086">
        <v>-4.4407960000000003E-2</v>
      </c>
      <c r="U2086">
        <v>8.2336430000000002E-2</v>
      </c>
      <c r="V2086">
        <v>3.9417639999999997E-2</v>
      </c>
      <c r="W2086">
        <v>-5.063082E-2</v>
      </c>
      <c r="X2086">
        <v>0.99793929999999997</v>
      </c>
      <c r="Y2086">
        <v>0.121005</v>
      </c>
      <c r="Z2086">
        <v>2.278375E-3</v>
      </c>
      <c r="AA2086">
        <v>0.99264929999999996</v>
      </c>
      <c r="AB2086">
        <v>28</v>
      </c>
      <c r="AC2086">
        <v>-75.456800000000001</v>
      </c>
      <c r="AD2086">
        <v>-1.116644756288</v>
      </c>
      <c r="AE2086">
        <v>2.0921999999999898</v>
      </c>
      <c r="AF2086">
        <v>9.1624841514558497</v>
      </c>
      <c r="AG2086">
        <v>-1.116644756288</v>
      </c>
      <c r="AH2086">
        <v>74.911026415025802</v>
      </c>
      <c r="AI2086">
        <v>90.847687419675196</v>
      </c>
      <c r="AJ2086">
        <v>83.026700238219206</v>
      </c>
      <c r="AK2086">
        <v>75.4775456005965</v>
      </c>
      <c r="AL2086">
        <v>92.902173033357499</v>
      </c>
      <c r="AM2086">
        <v>87.738047818860807</v>
      </c>
      <c r="AN2086">
        <v>1.0000000383807599</v>
      </c>
    </row>
    <row r="2087" spans="1:40" x14ac:dyDescent="0.25">
      <c r="A2087" t="str">
        <f>"20190303153815711"</f>
        <v>20190303153815711</v>
      </c>
      <c r="B2087" t="str">
        <f>"1551598695700842"</f>
        <v>1551598695700842</v>
      </c>
      <c r="C2087" t="s">
        <v>40</v>
      </c>
      <c r="D2087">
        <v>4.7956479999999999</v>
      </c>
      <c r="E2087">
        <v>0.52994229999999998</v>
      </c>
      <c r="F2087" t="s">
        <v>57</v>
      </c>
      <c r="G2087">
        <v>-289.40129999999999</v>
      </c>
      <c r="H2087" s="1">
        <v>4.1707060000000003E-6</v>
      </c>
      <c r="I2087">
        <v>284.91849999999999</v>
      </c>
      <c r="J2087">
        <v>-215.21969999999999</v>
      </c>
      <c r="K2087">
        <v>1.116627</v>
      </c>
      <c r="L2087">
        <v>282.86470000000003</v>
      </c>
      <c r="M2087">
        <v>-0.99592340000000001</v>
      </c>
      <c r="N2087" s="1">
        <v>8.6702169999999901E-5</v>
      </c>
      <c r="O2087">
        <v>-9.0203809999999995E-2</v>
      </c>
      <c r="P2087">
        <v>-0.99740180000000001</v>
      </c>
      <c r="Q2087">
        <v>-4.808482E-2</v>
      </c>
      <c r="R2087">
        <v>-5.3645760000000001E-2</v>
      </c>
      <c r="S2087">
        <v>-3.0103909999999998</v>
      </c>
      <c r="T2087">
        <v>-4.514253E-2</v>
      </c>
      <c r="U2087">
        <v>8.2092289999999998E-2</v>
      </c>
      <c r="V2087">
        <v>3.6218439999999998E-2</v>
      </c>
      <c r="W2087">
        <v>-4.8415439999999997E-2</v>
      </c>
      <c r="X2087">
        <v>0.99817040000000001</v>
      </c>
      <c r="Y2087">
        <v>0.11729530000000001</v>
      </c>
      <c r="Z2087">
        <v>2.2333460000000002E-3</v>
      </c>
      <c r="AA2087">
        <v>0.99309460000000005</v>
      </c>
      <c r="AB2087">
        <v>28</v>
      </c>
      <c r="AC2087">
        <v>-74.181600000000003</v>
      </c>
      <c r="AD2087">
        <v>-1.1166228292939999</v>
      </c>
      <c r="AE2087">
        <v>2.0537999999999599</v>
      </c>
      <c r="AF2087">
        <v>8.7349121568717294</v>
      </c>
      <c r="AG2087">
        <v>-1.1166228292939999</v>
      </c>
      <c r="AH2087">
        <v>73.677244357744499</v>
      </c>
      <c r="AI2087">
        <v>90.862247776800999</v>
      </c>
      <c r="AJ2087">
        <v>83.238775965002404</v>
      </c>
      <c r="AK2087">
        <v>74.201629854619497</v>
      </c>
      <c r="AL2087">
        <v>92.775085285864805</v>
      </c>
      <c r="AM2087">
        <v>87.921944230219395</v>
      </c>
      <c r="AN2087">
        <v>0.99999998883129304</v>
      </c>
    </row>
    <row r="2088" spans="1:40" x14ac:dyDescent="0.25">
      <c r="A2088" t="str">
        <f>"20190303153815726"</f>
        <v>20190303153815726</v>
      </c>
      <c r="B2088" t="str">
        <f>"1551598695721335"</f>
        <v>1551598695721335</v>
      </c>
      <c r="C2088" t="s">
        <v>40</v>
      </c>
      <c r="D2088">
        <v>4.8229870000000004</v>
      </c>
      <c r="E2088">
        <v>0.52939340000000001</v>
      </c>
      <c r="F2088" t="s">
        <v>57</v>
      </c>
      <c r="G2088">
        <v>-289.23230000000001</v>
      </c>
      <c r="H2088" s="1">
        <v>4.285143E-6</v>
      </c>
      <c r="I2088">
        <v>284.72739999999999</v>
      </c>
      <c r="J2088">
        <v>-215.40309999999999</v>
      </c>
      <c r="K2088">
        <v>1.1166160000000001</v>
      </c>
      <c r="L2088">
        <v>282.8503</v>
      </c>
      <c r="M2088">
        <v>-0.99613300000000005</v>
      </c>
      <c r="N2088" s="1">
        <v>7.4255980000000001E-5</v>
      </c>
      <c r="O2088">
        <v>-8.7858199999999997E-2</v>
      </c>
      <c r="P2088">
        <v>-0.99745600000000001</v>
      </c>
      <c r="Q2088">
        <v>-4.7128839999999998E-2</v>
      </c>
      <c r="R2088">
        <v>-5.3484179999999999E-2</v>
      </c>
      <c r="S2088">
        <v>-3.0097049999999999</v>
      </c>
      <c r="T2088">
        <v>-4.5407179999999998E-2</v>
      </c>
      <c r="U2088">
        <v>7.5744629999999993E-2</v>
      </c>
      <c r="V2088">
        <v>3.4038220000000001E-2</v>
      </c>
      <c r="W2088">
        <v>-4.743373E-2</v>
      </c>
      <c r="X2088">
        <v>0.99829429999999997</v>
      </c>
      <c r="Y2088">
        <v>0.1128691</v>
      </c>
      <c r="Z2088">
        <v>2.1778829999999998E-3</v>
      </c>
      <c r="AA2088">
        <v>0.99360749999999998</v>
      </c>
      <c r="AB2088">
        <v>29</v>
      </c>
      <c r="AC2088">
        <v>-73.8292</v>
      </c>
      <c r="AD2088">
        <v>-1.1166117148570001</v>
      </c>
      <c r="AE2088">
        <v>1.87709999999998</v>
      </c>
      <c r="AF2088">
        <v>8.3544320184393808</v>
      </c>
      <c r="AG2088">
        <v>-1.1166117148570001</v>
      </c>
      <c r="AH2088">
        <v>73.362013017965594</v>
      </c>
      <c r="AI2088">
        <v>90.866408067570802</v>
      </c>
      <c r="AJ2088">
        <v>83.503171543224397</v>
      </c>
      <c r="AK2088">
        <v>73.844622756979604</v>
      </c>
      <c r="AL2088">
        <v>92.718772614028595</v>
      </c>
      <c r="AM2088">
        <v>88.047177957989206</v>
      </c>
      <c r="AN2088">
        <v>1.00000003428748</v>
      </c>
    </row>
    <row r="2089" spans="1:40" x14ac:dyDescent="0.25">
      <c r="A2089" t="str">
        <f>"20190303153815745"</f>
        <v>20190303153815745</v>
      </c>
      <c r="B2089" t="str">
        <f>"1551598695740855"</f>
        <v>1551598695740855</v>
      </c>
      <c r="C2089" t="s">
        <v>40</v>
      </c>
      <c r="D2089">
        <v>4.8342269999999896</v>
      </c>
      <c r="E2089">
        <v>0.52924589999999905</v>
      </c>
      <c r="F2089" t="s">
        <v>57</v>
      </c>
      <c r="G2089">
        <v>-286.4468</v>
      </c>
      <c r="H2089" s="1">
        <v>5.5572290000000001E-6</v>
      </c>
      <c r="I2089">
        <v>284.54919999999998</v>
      </c>
      <c r="J2089">
        <v>-215.65180000000001</v>
      </c>
      <c r="K2089">
        <v>1.1166</v>
      </c>
      <c r="L2089">
        <v>282.83139999999997</v>
      </c>
      <c r="M2089">
        <v>-0.99640609999999996</v>
      </c>
      <c r="N2089" s="1">
        <v>5.7201599999999998E-5</v>
      </c>
      <c r="O2089">
        <v>-8.4704440000000006E-2</v>
      </c>
      <c r="P2089">
        <v>-0.99748669999999995</v>
      </c>
      <c r="Q2089">
        <v>-4.439589E-2</v>
      </c>
      <c r="R2089">
        <v>-5.5218700000000003E-2</v>
      </c>
      <c r="S2089">
        <v>-3.009277</v>
      </c>
      <c r="T2089">
        <v>-4.7297480000000003E-2</v>
      </c>
      <c r="U2089">
        <v>7.1960449999999995E-2</v>
      </c>
      <c r="V2089">
        <v>2.9169009999999999E-2</v>
      </c>
      <c r="W2089">
        <v>-4.4651950000000003E-2</v>
      </c>
      <c r="X2089">
        <v>0.99857669999999998</v>
      </c>
      <c r="Y2089">
        <v>0.1084765</v>
      </c>
      <c r="Z2089">
        <v>2.1842290000000002E-3</v>
      </c>
      <c r="AA2089">
        <v>0.9940966</v>
      </c>
      <c r="AB2089">
        <v>29</v>
      </c>
      <c r="AC2089">
        <v>-70.794999999999902</v>
      </c>
      <c r="AD2089">
        <v>-1.116594442771</v>
      </c>
      <c r="AE2089">
        <v>1.71780000000001</v>
      </c>
      <c r="AF2089">
        <v>7.7063614597819203</v>
      </c>
      <c r="AG2089">
        <v>-1.116594442771</v>
      </c>
      <c r="AH2089">
        <v>70.377568998912906</v>
      </c>
      <c r="AI2089">
        <v>90.903565525006499</v>
      </c>
      <c r="AJ2089">
        <v>83.750994238343694</v>
      </c>
      <c r="AK2089">
        <v>70.807040668956006</v>
      </c>
      <c r="AL2089">
        <v>92.559219121449999</v>
      </c>
      <c r="AM2089">
        <v>88.326832511088298</v>
      </c>
      <c r="AN2089">
        <v>1.00000002678303</v>
      </c>
    </row>
    <row r="2090" spans="1:40" x14ac:dyDescent="0.25">
      <c r="A2090" t="str">
        <f>"20190303153815761"</f>
        <v>20190303153815761</v>
      </c>
      <c r="B2090" t="str">
        <f>"1551598695750615"</f>
        <v>1551598695750615</v>
      </c>
      <c r="C2090" t="s">
        <v>40</v>
      </c>
      <c r="D2090">
        <v>4.833774</v>
      </c>
      <c r="E2090">
        <v>0.52901180000000003</v>
      </c>
      <c r="F2090" t="s">
        <v>57</v>
      </c>
      <c r="G2090">
        <v>-296.85599999999999</v>
      </c>
      <c r="H2090" s="1">
        <v>3.4235220000000001E-6</v>
      </c>
      <c r="I2090">
        <v>284.59769999999997</v>
      </c>
      <c r="J2090">
        <v>-215.85900000000001</v>
      </c>
      <c r="K2090">
        <v>1.116598</v>
      </c>
      <c r="L2090">
        <v>282.81619999999998</v>
      </c>
      <c r="M2090">
        <v>-0.99662220000000001</v>
      </c>
      <c r="N2090" s="1">
        <v>4.0713700000000003E-5</v>
      </c>
      <c r="O2090">
        <v>-8.2123000000000002E-2</v>
      </c>
      <c r="P2090">
        <v>-0.99755020000000005</v>
      </c>
      <c r="Q2090">
        <v>-4.3530350000000002E-2</v>
      </c>
      <c r="R2090">
        <v>-5.4760280000000001E-2</v>
      </c>
      <c r="S2090">
        <v>-3.0093540000000001</v>
      </c>
      <c r="T2090">
        <v>-4.1380050000000002E-2</v>
      </c>
      <c r="U2090">
        <v>6.5460210000000005E-2</v>
      </c>
      <c r="V2090">
        <v>2.7050230000000001E-2</v>
      </c>
      <c r="W2090">
        <v>-4.3755559999999999E-2</v>
      </c>
      <c r="X2090">
        <v>0.99867600000000001</v>
      </c>
      <c r="Y2090">
        <v>0.10375959999999999</v>
      </c>
      <c r="Z2090">
        <v>1.8428279999999999E-3</v>
      </c>
      <c r="AA2090">
        <v>0.9946007</v>
      </c>
      <c r="AB2090">
        <v>29</v>
      </c>
      <c r="AC2090">
        <v>-80.9969999999999</v>
      </c>
      <c r="AD2090">
        <v>-1.1165945764780001</v>
      </c>
      <c r="AE2090">
        <v>1.7814999999999901</v>
      </c>
      <c r="AF2090">
        <v>8.4255986378355594</v>
      </c>
      <c r="AG2090">
        <v>-1.1165945764780001</v>
      </c>
      <c r="AH2090">
        <v>80.561803494295901</v>
      </c>
      <c r="AI2090">
        <v>90.789767341536106</v>
      </c>
      <c r="AJ2090">
        <v>84.0293966783928</v>
      </c>
      <c r="AK2090">
        <v>81.008898758763905</v>
      </c>
      <c r="AL2090">
        <v>92.507809552207505</v>
      </c>
      <c r="AM2090">
        <v>88.448460603765298</v>
      </c>
      <c r="AN2090">
        <v>1.0000000084749801</v>
      </c>
    </row>
    <row r="2091" spans="1:40" x14ac:dyDescent="0.25">
      <c r="A2091" t="str">
        <f>"20190303153815778"</f>
        <v>20190303153815778</v>
      </c>
      <c r="B2091" t="str">
        <f>"1551598695771111"</f>
        <v>1551598695771111</v>
      </c>
      <c r="C2091" t="s">
        <v>40</v>
      </c>
      <c r="D2091">
        <v>4.852182</v>
      </c>
      <c r="E2091">
        <v>0.52851619999999899</v>
      </c>
      <c r="F2091" t="s">
        <v>57</v>
      </c>
      <c r="G2091">
        <v>-294.37909999999999</v>
      </c>
      <c r="H2091" s="1">
        <v>2.9909859999999999E-6</v>
      </c>
      <c r="I2091">
        <v>284.51949999999999</v>
      </c>
      <c r="J2091">
        <v>-216.09630000000001</v>
      </c>
      <c r="K2091">
        <v>1.1166160000000001</v>
      </c>
      <c r="L2091">
        <v>282.79930000000002</v>
      </c>
      <c r="M2091">
        <v>-0.99685630000000003</v>
      </c>
      <c r="N2091" s="1">
        <v>1.78793E-5</v>
      </c>
      <c r="O2091">
        <v>-7.9232040000000004E-2</v>
      </c>
      <c r="P2091">
        <v>-0.99753060000000005</v>
      </c>
      <c r="Q2091">
        <v>-4.2907569999999999E-2</v>
      </c>
      <c r="R2091">
        <v>-5.5603119999999999E-2</v>
      </c>
      <c r="S2091">
        <v>-3.009064</v>
      </c>
      <c r="T2091">
        <v>-4.2790410000000001E-2</v>
      </c>
      <c r="U2091">
        <v>6.5277099999999894E-2</v>
      </c>
      <c r="V2091">
        <v>2.3317859999999999E-2</v>
      </c>
      <c r="W2091">
        <v>-4.308377E-2</v>
      </c>
      <c r="X2091">
        <v>0.99879929999999995</v>
      </c>
      <c r="Y2091">
        <v>0.1008154</v>
      </c>
      <c r="Z2091">
        <v>1.8431039999999999E-3</v>
      </c>
      <c r="AA2091">
        <v>0.99490339999999999</v>
      </c>
      <c r="AB2091">
        <v>29</v>
      </c>
      <c r="AC2091">
        <v>-78.282799999999895</v>
      </c>
      <c r="AD2091">
        <v>-1.1166130090140001</v>
      </c>
      <c r="AE2091">
        <v>1.72019999999997</v>
      </c>
      <c r="AF2091">
        <v>7.9156876354680596</v>
      </c>
      <c r="AG2091">
        <v>-1.1166130090140001</v>
      </c>
      <c r="AH2091">
        <v>77.884561142539894</v>
      </c>
      <c r="AI2091">
        <v>90.817171096874702</v>
      </c>
      <c r="AJ2091">
        <v>84.196750769215797</v>
      </c>
      <c r="AK2091">
        <v>78.293740488753201</v>
      </c>
      <c r="AL2091">
        <v>92.4692825372355</v>
      </c>
      <c r="AM2091">
        <v>88.662621888513698</v>
      </c>
      <c r="AN2091">
        <v>0.99999998775644094</v>
      </c>
    </row>
    <row r="2092" spans="1:40" x14ac:dyDescent="0.25">
      <c r="A2092" t="str">
        <f>"20190303153815801"</f>
        <v>20190303153815801</v>
      </c>
      <c r="B2092" t="str">
        <f>"1551598695790631"</f>
        <v>1551598695790631</v>
      </c>
      <c r="C2092" t="s">
        <v>40</v>
      </c>
      <c r="D2092">
        <v>4.8258239999999999</v>
      </c>
      <c r="E2092">
        <v>0.5280511</v>
      </c>
      <c r="F2092" t="s">
        <v>57</v>
      </c>
      <c r="G2092">
        <v>-282.41579999999999</v>
      </c>
      <c r="H2092" s="1">
        <v>7.4382479999999998E-6</v>
      </c>
      <c r="I2092">
        <v>284.09699999999998</v>
      </c>
      <c r="J2092">
        <v>-216.38849999999999</v>
      </c>
      <c r="K2092">
        <v>1.116652</v>
      </c>
      <c r="L2092">
        <v>282.77940000000001</v>
      </c>
      <c r="M2092">
        <v>-0.99712350000000005</v>
      </c>
      <c r="N2092" s="1">
        <v>-1.6248549999999999E-5</v>
      </c>
      <c r="O2092">
        <v>-7.5795429999999997E-2</v>
      </c>
      <c r="P2092">
        <v>-0.99762879999999998</v>
      </c>
      <c r="Q2092">
        <v>-4.3462979999999998E-2</v>
      </c>
      <c r="R2092">
        <v>-5.3366339999999998E-2</v>
      </c>
      <c r="S2092">
        <v>-3.0085299999999999</v>
      </c>
      <c r="T2092">
        <v>-5.0654049999999999E-2</v>
      </c>
      <c r="U2092">
        <v>5.8868410000000003E-2</v>
      </c>
      <c r="V2092">
        <v>2.2113649999999999E-2</v>
      </c>
      <c r="W2092">
        <v>-4.3594639999999997E-2</v>
      </c>
      <c r="X2092">
        <v>0.99880449999999998</v>
      </c>
      <c r="Y2092">
        <v>9.5263849999999997E-2</v>
      </c>
      <c r="Z2092">
        <v>2.0766370000000001E-3</v>
      </c>
      <c r="AA2092">
        <v>0.9954499</v>
      </c>
      <c r="AB2092">
        <v>29</v>
      </c>
      <c r="AC2092">
        <v>-66.027299999999997</v>
      </c>
      <c r="AD2092">
        <v>-1.116644561752</v>
      </c>
      <c r="AE2092">
        <v>1.3175999999999699</v>
      </c>
      <c r="AF2092">
        <v>6.3165709291660601</v>
      </c>
      <c r="AG2092">
        <v>-1.116644561752</v>
      </c>
      <c r="AH2092">
        <v>65.718708338160397</v>
      </c>
      <c r="AI2092">
        <v>90.968970006416598</v>
      </c>
      <c r="AJ2092">
        <v>84.509865857169899</v>
      </c>
      <c r="AK2092">
        <v>66.031012327668194</v>
      </c>
      <c r="AL2092">
        <v>92.498580811137302</v>
      </c>
      <c r="AM2092">
        <v>88.731671862690405</v>
      </c>
      <c r="AN2092">
        <v>0.99999996768665</v>
      </c>
    </row>
    <row r="2093" spans="1:40" x14ac:dyDescent="0.25">
      <c r="A2093" t="str">
        <f>"20190303153815816"</f>
        <v>20190303153815816</v>
      </c>
      <c r="B2093" t="str">
        <f>"1551598695811127"</f>
        <v>1551598695811127</v>
      </c>
      <c r="C2093" t="s">
        <v>40</v>
      </c>
      <c r="D2093">
        <v>4.8034280000000003</v>
      </c>
      <c r="E2093">
        <v>0.52784730000000002</v>
      </c>
      <c r="F2093" t="s">
        <v>55</v>
      </c>
      <c r="G2093">
        <v>-271.50040000000001</v>
      </c>
      <c r="H2093" s="1">
        <v>-7.0796009999999898E-7</v>
      </c>
      <c r="I2093">
        <v>283.92070000000001</v>
      </c>
      <c r="J2093">
        <v>-216.5812</v>
      </c>
      <c r="K2093">
        <v>1.116687</v>
      </c>
      <c r="L2093">
        <v>282.76679999999999</v>
      </c>
      <c r="M2093">
        <v>-0.99728720000000004</v>
      </c>
      <c r="N2093" s="1">
        <v>-4.1948630000000002E-5</v>
      </c>
      <c r="O2093">
        <v>-7.3610690000000006E-2</v>
      </c>
      <c r="P2093">
        <v>-0.99765400000000004</v>
      </c>
      <c r="Q2093">
        <v>-4.4118530000000003E-2</v>
      </c>
      <c r="R2093">
        <v>-5.2350699999999903E-2</v>
      </c>
      <c r="S2093">
        <v>-3.0078279999999999</v>
      </c>
      <c r="T2093">
        <v>-6.0943249999999997E-2</v>
      </c>
      <c r="U2093">
        <v>6.2286380000000002E-2</v>
      </c>
      <c r="V2093">
        <v>2.0940549999999999E-2</v>
      </c>
      <c r="W2093">
        <v>-4.4214599999999903E-2</v>
      </c>
      <c r="X2093">
        <v>0.99880250000000004</v>
      </c>
      <c r="Y2093">
        <v>9.4208020000000003E-2</v>
      </c>
      <c r="Z2093">
        <v>2.443513E-3</v>
      </c>
      <c r="AA2093">
        <v>0.99554960000000003</v>
      </c>
      <c r="AB2093">
        <v>29</v>
      </c>
      <c r="AC2093">
        <v>-54.919199999999996</v>
      </c>
      <c r="AD2093">
        <v>-1.1166877079601001</v>
      </c>
      <c r="AE2093">
        <v>1.1539000000000199</v>
      </c>
      <c r="AF2093">
        <v>5.1912638038256897</v>
      </c>
      <c r="AG2093">
        <v>-1.1166877079601001</v>
      </c>
      <c r="AH2093">
        <v>54.662677909507401</v>
      </c>
      <c r="AI2093">
        <v>91.165075047508793</v>
      </c>
      <c r="AJ2093">
        <v>84.574943690654194</v>
      </c>
      <c r="AK2093">
        <v>54.919983317154802</v>
      </c>
      <c r="AL2093">
        <v>92.534136270402101</v>
      </c>
      <c r="AM2093">
        <v>88.798932334386393</v>
      </c>
      <c r="AN2093">
        <v>0.99999993574685397</v>
      </c>
    </row>
    <row r="2094" spans="1:40" x14ac:dyDescent="0.25">
      <c r="A2094" t="str">
        <f>"20190303153815833"</f>
        <v>20190303153815833</v>
      </c>
      <c r="B2094" t="str">
        <f>"1551598695820887"</f>
        <v>1551598695820887</v>
      </c>
      <c r="C2094" t="s">
        <v>40</v>
      </c>
      <c r="D2094">
        <v>4.7978940000000003</v>
      </c>
      <c r="E2094">
        <v>0.52785249999999995</v>
      </c>
      <c r="F2094" t="s">
        <v>55</v>
      </c>
      <c r="G2094">
        <v>-266.26179999999999</v>
      </c>
      <c r="H2094" s="1">
        <v>1.7954209999999999E-6</v>
      </c>
      <c r="I2094">
        <v>283.81689999999998</v>
      </c>
      <c r="J2094">
        <v>-216.82040000000001</v>
      </c>
      <c r="K2094">
        <v>1.116743</v>
      </c>
      <c r="L2094">
        <v>282.7516</v>
      </c>
      <c r="M2094">
        <v>-0.99747629999999998</v>
      </c>
      <c r="N2094" s="1">
        <v>-7.762108E-5</v>
      </c>
      <c r="O2094">
        <v>-7.1001110000000006E-2</v>
      </c>
      <c r="P2094">
        <v>-0.99765000000000004</v>
      </c>
      <c r="Q2094">
        <v>-4.4967630000000001E-2</v>
      </c>
      <c r="R2094">
        <v>-5.1697489999999999E-2</v>
      </c>
      <c r="S2094">
        <v>-3.0074160000000001</v>
      </c>
      <c r="T2094">
        <v>-6.7598580000000005E-2</v>
      </c>
      <c r="U2094">
        <v>6.3568120000000006E-2</v>
      </c>
      <c r="V2094">
        <v>1.8980130000000001E-2</v>
      </c>
      <c r="W2094">
        <v>-4.5012219999999999E-2</v>
      </c>
      <c r="X2094">
        <v>0.99880610000000003</v>
      </c>
      <c r="Y2094">
        <v>9.2023220000000003E-2</v>
      </c>
      <c r="Z2094">
        <v>2.626855E-3</v>
      </c>
      <c r="AA2094">
        <v>0.99575340000000001</v>
      </c>
      <c r="AB2094">
        <v>30</v>
      </c>
      <c r="AC2094">
        <v>-49.441399999999902</v>
      </c>
      <c r="AD2094">
        <v>-1.1167412045789999</v>
      </c>
      <c r="AE2094">
        <v>1.0652999999999699</v>
      </c>
      <c r="AF2094">
        <v>4.5706747072448399</v>
      </c>
      <c r="AG2094">
        <v>-1.1167412045789999</v>
      </c>
      <c r="AH2094">
        <v>49.215886820275202</v>
      </c>
      <c r="AI2094">
        <v>91.294288677251501</v>
      </c>
      <c r="AJ2094">
        <v>84.694165458992302</v>
      </c>
      <c r="AK2094">
        <v>49.440284118354199</v>
      </c>
      <c r="AL2094">
        <v>92.579881954096805</v>
      </c>
      <c r="AM2094">
        <v>88.911349787615706</v>
      </c>
      <c r="AN2094">
        <v>0.99999998534067702</v>
      </c>
    </row>
    <row r="2095" spans="1:40" x14ac:dyDescent="0.25">
      <c r="A2095" t="str">
        <f>"20190303153815847"</f>
        <v>20190303153815847</v>
      </c>
      <c r="B2095" t="str">
        <f>"1551598695840408"</f>
        <v>1551598695840408</v>
      </c>
      <c r="C2095" t="s">
        <v>40</v>
      </c>
      <c r="D2095">
        <v>4.7565749999999998</v>
      </c>
      <c r="E2095">
        <v>0.52802629999999995</v>
      </c>
      <c r="F2095" t="s">
        <v>55</v>
      </c>
      <c r="G2095">
        <v>-265.29500000000002</v>
      </c>
      <c r="H2095" s="1">
        <v>1.280927E-6</v>
      </c>
      <c r="I2095">
        <v>283.8091</v>
      </c>
      <c r="J2095">
        <v>-217.00470000000001</v>
      </c>
      <c r="K2095">
        <v>1.1168</v>
      </c>
      <c r="L2095">
        <v>282.74020000000002</v>
      </c>
      <c r="M2095">
        <v>-0.99761160000000004</v>
      </c>
      <c r="N2095">
        <v>-1.08293E-4</v>
      </c>
      <c r="O2095">
        <v>-6.9074099999999999E-2</v>
      </c>
      <c r="P2095">
        <v>-0.99769280000000005</v>
      </c>
      <c r="Q2095">
        <v>-4.5315929999999997E-2</v>
      </c>
      <c r="R2095">
        <v>-5.0554769999999999E-2</v>
      </c>
      <c r="S2095">
        <v>-3.007339</v>
      </c>
      <c r="T2095">
        <v>-6.9282170000000004E-2</v>
      </c>
      <c r="U2095">
        <v>6.5612790000000004E-2</v>
      </c>
      <c r="V2095">
        <v>1.8198200000000001E-2</v>
      </c>
      <c r="W2095">
        <v>-4.532224E-2</v>
      </c>
      <c r="X2095">
        <v>0.99880670000000005</v>
      </c>
      <c r="Y2095">
        <v>9.0775599999999998E-2</v>
      </c>
      <c r="Z2095">
        <v>2.6330590000000001E-3</v>
      </c>
      <c r="AA2095">
        <v>0.99586790000000003</v>
      </c>
      <c r="AB2095">
        <v>30</v>
      </c>
      <c r="AC2095">
        <v>-48.290300000000002</v>
      </c>
      <c r="AD2095">
        <v>-1.116798719073</v>
      </c>
      <c r="AE2095">
        <v>1.06889999999998</v>
      </c>
      <c r="AF2095">
        <v>4.3996037867610598</v>
      </c>
      <c r="AG2095">
        <v>-1.116798719073</v>
      </c>
      <c r="AH2095">
        <v>48.0754264453847</v>
      </c>
      <c r="AI2095">
        <v>91.325213714860098</v>
      </c>
      <c r="AJ2095">
        <v>84.771163796964203</v>
      </c>
      <c r="AK2095">
        <v>48.289236696856101</v>
      </c>
      <c r="AL2095">
        <v>92.597662765427501</v>
      </c>
      <c r="AM2095">
        <v>88.956189721691104</v>
      </c>
      <c r="AN2095">
        <v>1.00000005194337</v>
      </c>
    </row>
    <row r="2096" spans="1:40" x14ac:dyDescent="0.25">
      <c r="A2096" t="str">
        <f>"20190303153815868"</f>
        <v>20190303153815868</v>
      </c>
      <c r="B2096" t="str">
        <f>"1551598695860904"</f>
        <v>1551598695860904</v>
      </c>
      <c r="C2096" t="s">
        <v>40</v>
      </c>
      <c r="D2096">
        <v>4.7786999999999997</v>
      </c>
      <c r="E2096">
        <v>0.52816399999999997</v>
      </c>
      <c r="F2096" t="s">
        <v>55</v>
      </c>
      <c r="G2096">
        <v>-267.25130000000001</v>
      </c>
      <c r="H2096" s="1">
        <v>2.321972E-6</v>
      </c>
      <c r="I2096">
        <v>283.91539999999998</v>
      </c>
      <c r="J2096">
        <v>-217.28989999999999</v>
      </c>
      <c r="K2096">
        <v>1.116903</v>
      </c>
      <c r="L2096">
        <v>282.72309999999999</v>
      </c>
      <c r="M2096">
        <v>-0.99780349999999995</v>
      </c>
      <c r="N2096">
        <v>-1.6253740000000001E-4</v>
      </c>
      <c r="O2096">
        <v>-6.6242389999999998E-2</v>
      </c>
      <c r="P2096">
        <v>-0.99776120000000001</v>
      </c>
      <c r="Q2096">
        <v>-4.568734E-2</v>
      </c>
      <c r="R2096">
        <v>-4.8839590000000002E-2</v>
      </c>
      <c r="S2096">
        <v>-3.0074619999999999</v>
      </c>
      <c r="T2096">
        <v>-6.6844940000000005E-2</v>
      </c>
      <c r="U2096">
        <v>7.0343020000000006E-2</v>
      </c>
      <c r="V2096">
        <v>1.7088349999999999E-2</v>
      </c>
      <c r="W2096">
        <v>-4.562832E-2</v>
      </c>
      <c r="X2096">
        <v>0.99881229999999999</v>
      </c>
      <c r="Y2096">
        <v>8.9517669999999994E-2</v>
      </c>
      <c r="Z2096">
        <v>2.4624970000000001E-3</v>
      </c>
      <c r="AA2096">
        <v>0.99598220000000004</v>
      </c>
      <c r="AB2096">
        <v>30</v>
      </c>
      <c r="AC2096">
        <v>-49.961399999999998</v>
      </c>
      <c r="AD2096">
        <v>-1.116900678028</v>
      </c>
      <c r="AE2096">
        <v>1.1922999999999799</v>
      </c>
      <c r="AF2096">
        <v>4.4969977971166104</v>
      </c>
      <c r="AG2096">
        <v>-1.116900678028</v>
      </c>
      <c r="AH2096">
        <v>49.747834262414401</v>
      </c>
      <c r="AI2096">
        <v>91.280924276819505</v>
      </c>
      <c r="AJ2096">
        <v>84.8347379021845</v>
      </c>
      <c r="AK2096">
        <v>49.963161130101597</v>
      </c>
      <c r="AL2096">
        <v>92.615218198840495</v>
      </c>
      <c r="AM2096">
        <v>89.019841043321406</v>
      </c>
      <c r="AN2096">
        <v>0.99999998296151704</v>
      </c>
    </row>
    <row r="2097" spans="1:40" x14ac:dyDescent="0.25">
      <c r="A2097" t="str">
        <f>"20190303153815881"</f>
        <v>20190303153815881</v>
      </c>
      <c r="B2097" t="str">
        <f>"1551598695870663"</f>
        <v>1551598695870663</v>
      </c>
      <c r="C2097" t="s">
        <v>40</v>
      </c>
      <c r="D2097">
        <v>4.7535129999999999</v>
      </c>
      <c r="E2097">
        <v>0.52825900000000003</v>
      </c>
      <c r="F2097" t="s">
        <v>55</v>
      </c>
      <c r="G2097">
        <v>-269.54140000000001</v>
      </c>
      <c r="H2097" s="1">
        <v>3.5406769999999998E-6</v>
      </c>
      <c r="I2097">
        <v>284.05290000000002</v>
      </c>
      <c r="J2097">
        <v>-217.46299999999999</v>
      </c>
      <c r="K2097">
        <v>1.116973</v>
      </c>
      <c r="L2097">
        <v>282.71319999999997</v>
      </c>
      <c r="M2097">
        <v>-0.99790889999999999</v>
      </c>
      <c r="N2097">
        <v>-2.0156920000000001E-4</v>
      </c>
      <c r="O2097">
        <v>-6.4635410000000004E-2</v>
      </c>
      <c r="P2097">
        <v>-0.99779779999999996</v>
      </c>
      <c r="Q2097">
        <v>-4.635098E-2</v>
      </c>
      <c r="R2097">
        <v>-4.7446719999999998E-2</v>
      </c>
      <c r="S2097">
        <v>-3.0075530000000001</v>
      </c>
      <c r="T2097">
        <v>-6.4287780000000003E-2</v>
      </c>
      <c r="U2097">
        <v>7.6538090000000003E-2</v>
      </c>
      <c r="V2097">
        <v>1.6876149999999999E-2</v>
      </c>
      <c r="W2097">
        <v>-4.6248879999999999E-2</v>
      </c>
      <c r="X2097">
        <v>0.99878739999999999</v>
      </c>
      <c r="Y2097">
        <v>8.9966480000000001E-2</v>
      </c>
      <c r="Z2097">
        <v>2.3381019999999999E-3</v>
      </c>
      <c r="AA2097">
        <v>0.99594210000000005</v>
      </c>
      <c r="AB2097">
        <v>30</v>
      </c>
      <c r="AC2097">
        <v>-52.078400000000002</v>
      </c>
      <c r="AD2097">
        <v>-1.116969459323</v>
      </c>
      <c r="AE2097">
        <v>1.3397000000000501</v>
      </c>
      <c r="AF2097">
        <v>4.70084649701427</v>
      </c>
      <c r="AG2097">
        <v>-1.116969459323</v>
      </c>
      <c r="AH2097">
        <v>51.859069244222397</v>
      </c>
      <c r="AI2097">
        <v>91.228840881268397</v>
      </c>
      <c r="AJ2097">
        <v>84.8204897731448</v>
      </c>
      <c r="AK2097">
        <v>52.0836696233916</v>
      </c>
      <c r="AL2097">
        <v>92.650811155827199</v>
      </c>
      <c r="AM2097">
        <v>89.031986019610997</v>
      </c>
      <c r="AN2097">
        <v>1.0000000168694101</v>
      </c>
    </row>
    <row r="2098" spans="1:40" x14ac:dyDescent="0.25">
      <c r="A2098" t="str">
        <f>"20190303153815894"</f>
        <v>20190303153815894</v>
      </c>
      <c r="B2098" t="str">
        <f>"1551598695891159"</f>
        <v>1551598695891159</v>
      </c>
      <c r="C2098" t="s">
        <v>40</v>
      </c>
      <c r="D2098">
        <v>4.7332939999999999</v>
      </c>
      <c r="E2098">
        <v>0.52842789999999995</v>
      </c>
      <c r="F2098" t="s">
        <v>55</v>
      </c>
      <c r="G2098">
        <v>-269.6918</v>
      </c>
      <c r="H2098" s="1">
        <v>3.620725E-6</v>
      </c>
      <c r="I2098">
        <v>284.12819999999999</v>
      </c>
      <c r="J2098">
        <v>-217.6405</v>
      </c>
      <c r="K2098">
        <v>1.117048</v>
      </c>
      <c r="L2098">
        <v>282.70310000000001</v>
      </c>
      <c r="M2098">
        <v>-0.99801119999999999</v>
      </c>
      <c r="N2098">
        <v>-2.4510150000000002E-4</v>
      </c>
      <c r="O2098">
        <v>-6.3037839999999998E-2</v>
      </c>
      <c r="P2098">
        <v>-0.99787550000000003</v>
      </c>
      <c r="Q2098">
        <v>-4.6341649999999998E-2</v>
      </c>
      <c r="R2098">
        <v>-4.579623E-2</v>
      </c>
      <c r="S2098">
        <v>-3.0075069999999999</v>
      </c>
      <c r="T2098">
        <v>-6.4318780000000006E-2</v>
      </c>
      <c r="U2098">
        <v>8.1481929999999994E-2</v>
      </c>
      <c r="V2098">
        <v>1.693762E-2</v>
      </c>
      <c r="W2098">
        <v>-4.6193419999999999E-2</v>
      </c>
      <c r="X2098">
        <v>0.99878889999999998</v>
      </c>
      <c r="Y2098">
        <v>9.0008879999999999E-2</v>
      </c>
      <c r="Z2098">
        <v>2.3051130000000001E-3</v>
      </c>
      <c r="AA2098">
        <v>0.99593830000000005</v>
      </c>
      <c r="AB2098">
        <v>30</v>
      </c>
      <c r="AC2098">
        <v>-52.051299999999998</v>
      </c>
      <c r="AD2098">
        <v>-1.117044379275</v>
      </c>
      <c r="AE2098">
        <v>1.42509999999998</v>
      </c>
      <c r="AF2098">
        <v>4.7013034212810298</v>
      </c>
      <c r="AG2098">
        <v>-1.117044379275</v>
      </c>
      <c r="AH2098">
        <v>51.834087560337998</v>
      </c>
      <c r="AI2098">
        <v>91.229509579604198</v>
      </c>
      <c r="AJ2098">
        <v>84.817506121888897</v>
      </c>
      <c r="AK2098">
        <v>52.058838588821899</v>
      </c>
      <c r="AL2098">
        <v>92.647630200996105</v>
      </c>
      <c r="AM2098">
        <v>89.028462241025807</v>
      </c>
      <c r="AN2098">
        <v>0.99999999089288505</v>
      </c>
    </row>
    <row r="2099" spans="1:40" x14ac:dyDescent="0.25">
      <c r="A2099" t="str">
        <f>"20190303153815911"</f>
        <v>20190303153815911</v>
      </c>
      <c r="B2099" t="str">
        <f>"1551598695900919"</f>
        <v>1551598695900919</v>
      </c>
      <c r="C2099" t="s">
        <v>40</v>
      </c>
      <c r="D2099">
        <v>4.767531</v>
      </c>
      <c r="E2099">
        <v>0.52848319999999904</v>
      </c>
      <c r="F2099" t="s">
        <v>55</v>
      </c>
      <c r="G2099">
        <v>-272.75240000000002</v>
      </c>
      <c r="H2099" s="1">
        <v>-5.8719570000000001E-8</v>
      </c>
      <c r="I2099">
        <v>284.3109</v>
      </c>
      <c r="J2099">
        <v>-217.8878</v>
      </c>
      <c r="K2099">
        <v>1.117159</v>
      </c>
      <c r="L2099">
        <v>282.68950000000001</v>
      </c>
      <c r="M2099">
        <v>-0.99814210000000003</v>
      </c>
      <c r="N2099">
        <v>-3.1494649999999998E-4</v>
      </c>
      <c r="O2099">
        <v>-6.0928860000000001E-2</v>
      </c>
      <c r="P2099">
        <v>-0.99794930000000004</v>
      </c>
      <c r="Q2099">
        <v>-4.6749319999999997E-2</v>
      </c>
      <c r="R2099">
        <v>-4.3727929999999998E-2</v>
      </c>
      <c r="S2099">
        <v>-3.007584</v>
      </c>
      <c r="T2099">
        <v>-6.0959819999999998E-2</v>
      </c>
      <c r="U2099">
        <v>8.7738040000000003E-2</v>
      </c>
      <c r="V2099">
        <v>1.6905719999999999E-2</v>
      </c>
      <c r="W2099">
        <v>-4.6526970000000001E-2</v>
      </c>
      <c r="X2099">
        <v>0.99877400000000005</v>
      </c>
      <c r="Y2099">
        <v>8.9977779999999993E-2</v>
      </c>
      <c r="Z2099">
        <v>2.1408239999999999E-3</v>
      </c>
      <c r="AA2099">
        <v>0.99594150000000004</v>
      </c>
      <c r="AB2099">
        <v>30</v>
      </c>
      <c r="AC2099">
        <v>-54.864600000000003</v>
      </c>
      <c r="AD2099">
        <v>-1.1171590587195701</v>
      </c>
      <c r="AE2099">
        <v>1.62139999999999</v>
      </c>
      <c r="AF2099">
        <v>4.9591708332808597</v>
      </c>
      <c r="AG2099">
        <v>-1.1171590587195701</v>
      </c>
      <c r="AH2099">
        <v>54.641242273637303</v>
      </c>
      <c r="AI2099">
        <v>91.166475772748996</v>
      </c>
      <c r="AJ2099">
        <v>84.814114516334101</v>
      </c>
      <c r="AK2099">
        <v>54.877197240042001</v>
      </c>
      <c r="AL2099">
        <v>92.666761667470197</v>
      </c>
      <c r="AM2099">
        <v>89.030277203904504</v>
      </c>
      <c r="AN2099">
        <v>1.0000000326910401</v>
      </c>
    </row>
    <row r="2100" spans="1:40" x14ac:dyDescent="0.25">
      <c r="A2100" t="str">
        <f>"20190303153815925"</f>
        <v>20190303153815925</v>
      </c>
      <c r="B2100" t="str">
        <f>"1551598695920439"</f>
        <v>1551598695920439</v>
      </c>
      <c r="C2100" t="s">
        <v>40</v>
      </c>
      <c r="D2100">
        <v>4.7363089999999897</v>
      </c>
      <c r="E2100">
        <v>0.52855739999999996</v>
      </c>
      <c r="F2100" t="s">
        <v>55</v>
      </c>
      <c r="G2100">
        <v>-273.64609999999999</v>
      </c>
      <c r="H2100" s="1">
        <v>4.111517E-7</v>
      </c>
      <c r="I2100">
        <v>284.44069999999999</v>
      </c>
      <c r="J2100">
        <v>-218.0745</v>
      </c>
      <c r="K2100">
        <v>1.1172420000000001</v>
      </c>
      <c r="L2100">
        <v>282.67950000000002</v>
      </c>
      <c r="M2100">
        <v>-0.99823280000000003</v>
      </c>
      <c r="N2100">
        <v>-3.7574700000000001E-4</v>
      </c>
      <c r="O2100">
        <v>-5.9422259999999998E-2</v>
      </c>
      <c r="P2100">
        <v>-0.99801479999999998</v>
      </c>
      <c r="Q2100">
        <v>-4.6680359999999997E-2</v>
      </c>
      <c r="R2100">
        <v>-4.2275670000000001E-2</v>
      </c>
      <c r="S2100">
        <v>-3.0074920000000001</v>
      </c>
      <c r="T2100">
        <v>-6.0257320000000003E-2</v>
      </c>
      <c r="U2100">
        <v>9.4451900000000005E-2</v>
      </c>
      <c r="V2100">
        <v>1.6860480000000001E-2</v>
      </c>
      <c r="W2100">
        <v>-4.6394070000000003E-2</v>
      </c>
      <c r="X2100">
        <v>0.99878089999999997</v>
      </c>
      <c r="Y2100">
        <v>9.0697570000000005E-2</v>
      </c>
      <c r="Z2100">
        <v>2.0929099999999999E-3</v>
      </c>
      <c r="AA2100">
        <v>0.99587630000000005</v>
      </c>
      <c r="AB2100">
        <v>31</v>
      </c>
      <c r="AC2100">
        <v>-55.571599999999897</v>
      </c>
      <c r="AD2100">
        <v>-1.1172415888483</v>
      </c>
      <c r="AE2100">
        <v>1.7611999999999699</v>
      </c>
      <c r="AF2100">
        <v>5.0582359092338898</v>
      </c>
      <c r="AG2100">
        <v>-1.1172415888483</v>
      </c>
      <c r="AH2100">
        <v>55.346398755411698</v>
      </c>
      <c r="AI2100">
        <v>91.151637148252703</v>
      </c>
      <c r="AJ2100">
        <v>84.778112119199903</v>
      </c>
      <c r="AK2100">
        <v>55.588288644950602</v>
      </c>
      <c r="AL2100">
        <v>92.659138951534203</v>
      </c>
      <c r="AM2100">
        <v>89.032878385447404</v>
      </c>
      <c r="AN2100">
        <v>0.999999985860902</v>
      </c>
    </row>
    <row r="2101" spans="1:40" x14ac:dyDescent="0.25">
      <c r="A2101" t="str">
        <f>"20190303153815942"</f>
        <v>20190303153815942</v>
      </c>
      <c r="B2101" t="str">
        <f>"1551598695931177"</f>
        <v>1551598695931177</v>
      </c>
      <c r="C2101" t="s">
        <v>40</v>
      </c>
      <c r="D2101">
        <v>4.6732670000000001</v>
      </c>
      <c r="E2101">
        <v>0.52862299999999995</v>
      </c>
      <c r="F2101" t="s">
        <v>55</v>
      </c>
      <c r="G2101">
        <v>-277.2989</v>
      </c>
      <c r="H2101" s="1">
        <v>2.3465209999999998E-6</v>
      </c>
      <c r="I2101">
        <v>284.63499999999999</v>
      </c>
      <c r="J2101">
        <v>-218.29470000000001</v>
      </c>
      <c r="K2101">
        <v>1.1173299999999999</v>
      </c>
      <c r="L2101">
        <v>282.66800000000001</v>
      </c>
      <c r="M2101">
        <v>-0.99833289999999997</v>
      </c>
      <c r="N2101">
        <v>-4.5630289999999999E-4</v>
      </c>
      <c r="O2101">
        <v>-5.7718459999999999E-2</v>
      </c>
      <c r="P2101">
        <v>-0.99810989999999999</v>
      </c>
      <c r="Q2101">
        <v>-4.6124850000000002E-2</v>
      </c>
      <c r="R2101">
        <v>-4.0611649999999999E-2</v>
      </c>
      <c r="S2101">
        <v>-3.0075229999999999</v>
      </c>
      <c r="T2101">
        <v>-5.6735399999999998E-2</v>
      </c>
      <c r="U2101">
        <v>9.9304199999999995E-2</v>
      </c>
      <c r="V2101">
        <v>1.6834040000000002E-2</v>
      </c>
      <c r="W2101">
        <v>-4.575485E-2</v>
      </c>
      <c r="X2101">
        <v>0.9988108</v>
      </c>
      <c r="Y2101">
        <v>9.060638E-2</v>
      </c>
      <c r="Z2101">
        <v>1.9369019999999999E-3</v>
      </c>
      <c r="AA2101">
        <v>0.99588489999999996</v>
      </c>
      <c r="AB2101">
        <v>31</v>
      </c>
      <c r="AC2101">
        <v>-59.004199999999997</v>
      </c>
      <c r="AD2101">
        <v>-1.117327653479</v>
      </c>
      <c r="AE2101">
        <v>1.9669999999999801</v>
      </c>
      <c r="AF2101">
        <v>5.36742981517326</v>
      </c>
      <c r="AG2101">
        <v>-1.117327653479</v>
      </c>
      <c r="AH2101">
        <v>58.771250646233</v>
      </c>
      <c r="AI2101">
        <v>91.084632753217093</v>
      </c>
      <c r="AJ2101">
        <v>84.781796942044906</v>
      </c>
      <c r="AK2101">
        <v>59.026414649954702</v>
      </c>
      <c r="AL2101">
        <v>92.622475492846704</v>
      </c>
      <c r="AM2101">
        <v>89.0344236039995</v>
      </c>
      <c r="AN2101">
        <v>0.99999995269894004</v>
      </c>
    </row>
    <row r="2102" spans="1:40" x14ac:dyDescent="0.25">
      <c r="A2102" t="str">
        <f>"20190303153815960"</f>
        <v>20190303153815960</v>
      </c>
      <c r="B2102" t="str">
        <f>"1551598695950695"</f>
        <v>1551598695950695</v>
      </c>
      <c r="C2102" t="s">
        <v>40</v>
      </c>
      <c r="D2102">
        <v>4.671138</v>
      </c>
      <c r="E2102">
        <v>0.52866049999999998</v>
      </c>
      <c r="F2102" t="s">
        <v>57</v>
      </c>
      <c r="G2102">
        <v>-281.4982</v>
      </c>
      <c r="H2102" s="1">
        <v>7.6851119999999998E-6</v>
      </c>
      <c r="I2102">
        <v>284.8716</v>
      </c>
      <c r="J2102">
        <v>-218.54060000000001</v>
      </c>
      <c r="K2102">
        <v>1.117424</v>
      </c>
      <c r="L2102">
        <v>282.65550000000002</v>
      </c>
      <c r="M2102">
        <v>-0.99843709999999997</v>
      </c>
      <c r="N2102">
        <v>-5.5790790000000005E-4</v>
      </c>
      <c r="O2102">
        <v>-5.5885209999999998E-2</v>
      </c>
      <c r="P2102">
        <v>-0.99824639999999998</v>
      </c>
      <c r="Q2102">
        <v>-4.4219830000000002E-2</v>
      </c>
      <c r="R2102">
        <v>-3.935893E-2</v>
      </c>
      <c r="S2102">
        <v>-3.0075229999999999</v>
      </c>
      <c r="T2102">
        <v>-5.316746E-2</v>
      </c>
      <c r="U2102">
        <v>0.10485839999999901</v>
      </c>
      <c r="V2102">
        <v>1.6276260000000001E-2</v>
      </c>
      <c r="W2102">
        <v>-4.3742650000000001E-2</v>
      </c>
      <c r="X2102">
        <v>0.99891019999999997</v>
      </c>
      <c r="Y2102">
        <v>9.0618279999999995E-2</v>
      </c>
      <c r="Z2102">
        <v>1.7822179999999999E-3</v>
      </c>
      <c r="AA2102">
        <v>0.99588410000000005</v>
      </c>
      <c r="AB2102">
        <v>31</v>
      </c>
      <c r="AC2102">
        <v>-62.9575999999999</v>
      </c>
      <c r="AD2102">
        <v>-1.1174163148880001</v>
      </c>
      <c r="AE2102">
        <v>2.21609999999998</v>
      </c>
      <c r="AF2102">
        <v>5.7292331582239404</v>
      </c>
      <c r="AG2102">
        <v>-1.1174163148880001</v>
      </c>
      <c r="AH2102">
        <v>62.715630619493098</v>
      </c>
      <c r="AI2102">
        <v>91.016509965326094</v>
      </c>
      <c r="AJ2102">
        <v>84.7803716912764</v>
      </c>
      <c r="AK2102">
        <v>62.986689512965903</v>
      </c>
      <c r="AL2102">
        <v>92.507069271732206</v>
      </c>
      <c r="AM2102">
        <v>89.066504188956898</v>
      </c>
      <c r="AN2102">
        <v>0.99999996186632401</v>
      </c>
    </row>
    <row r="2103" spans="1:40" x14ac:dyDescent="0.25">
      <c r="A2103" t="str">
        <f>"20190303153815981"</f>
        <v>20190303153815981</v>
      </c>
      <c r="B2103" t="str">
        <f>"1551598695971191"</f>
        <v>1551598695971191</v>
      </c>
      <c r="C2103" t="s">
        <v>40</v>
      </c>
      <c r="D2103">
        <v>4.6078340000000004</v>
      </c>
      <c r="E2103">
        <v>0.52867310000000001</v>
      </c>
      <c r="F2103" t="s">
        <v>57</v>
      </c>
      <c r="G2103">
        <v>-294.47160000000002</v>
      </c>
      <c r="H2103" s="1">
        <v>2.9300349999999998E-6</v>
      </c>
      <c r="I2103">
        <v>285.40460000000002</v>
      </c>
      <c r="J2103">
        <v>-218.85570000000001</v>
      </c>
      <c r="K2103">
        <v>1.117518</v>
      </c>
      <c r="L2103">
        <v>282.64010000000002</v>
      </c>
      <c r="M2103">
        <v>-0.99856120000000004</v>
      </c>
      <c r="N2103">
        <v>-7.0314619999999896E-4</v>
      </c>
      <c r="O2103">
        <v>-5.3621469999999997E-2</v>
      </c>
      <c r="P2103">
        <v>-0.99839219999999895</v>
      </c>
      <c r="Q2103">
        <v>-4.1502099999999903E-2</v>
      </c>
      <c r="R2103">
        <v>-3.8613740000000001E-2</v>
      </c>
      <c r="S2103">
        <v>-3.007584</v>
      </c>
      <c r="T2103">
        <v>-4.4260380000000002E-2</v>
      </c>
      <c r="U2103">
        <v>0.1088867</v>
      </c>
      <c r="V2103">
        <v>1.4783910000000001E-2</v>
      </c>
      <c r="W2103">
        <v>-4.0870049999999998E-2</v>
      </c>
      <c r="X2103">
        <v>0.99905509999999997</v>
      </c>
      <c r="Y2103">
        <v>8.9699249999999994E-2</v>
      </c>
      <c r="Z2103">
        <v>1.4423350000000001E-3</v>
      </c>
      <c r="AA2103">
        <v>0.99596790000000002</v>
      </c>
      <c r="AB2103">
        <v>31</v>
      </c>
      <c r="AC2103">
        <v>-75.615899999999996</v>
      </c>
      <c r="AD2103">
        <v>-1.1175150699650001</v>
      </c>
      <c r="AE2103">
        <v>2.7644999999999902</v>
      </c>
      <c r="AF2103">
        <v>6.8136728481325797</v>
      </c>
      <c r="AG2103">
        <v>-1.1175150699650001</v>
      </c>
      <c r="AH2103">
        <v>75.3424434995176</v>
      </c>
      <c r="AI2103">
        <v>90.8463226776054</v>
      </c>
      <c r="AJ2103">
        <v>84.832453431796907</v>
      </c>
      <c r="AK2103">
        <v>75.658170544171796</v>
      </c>
      <c r="AL2103">
        <v>92.342333751980803</v>
      </c>
      <c r="AM2103">
        <v>89.152205091511703</v>
      </c>
      <c r="AN2103">
        <v>1.00000000890895</v>
      </c>
    </row>
    <row r="2104" spans="1:40" x14ac:dyDescent="0.25">
      <c r="A2104" t="str">
        <f>"20190303153816003"</f>
        <v>20190303153816003</v>
      </c>
      <c r="B2104" t="str">
        <f>"1551598695990712"</f>
        <v>1551598695990712</v>
      </c>
      <c r="C2104" t="s">
        <v>40</v>
      </c>
      <c r="D2104">
        <v>4.6809969999999996</v>
      </c>
      <c r="E2104">
        <v>0.52871290000000004</v>
      </c>
      <c r="F2104" t="s">
        <v>55</v>
      </c>
      <c r="G2104">
        <v>-321.93369999999999</v>
      </c>
      <c r="H2104" s="1">
        <v>-5.8803719999999997E-7</v>
      </c>
      <c r="I2104">
        <v>286.4522</v>
      </c>
      <c r="J2104">
        <v>-219.15129999999999</v>
      </c>
      <c r="K2104">
        <v>1.1175820000000001</v>
      </c>
      <c r="L2104">
        <v>282.62619999999998</v>
      </c>
      <c r="M2104">
        <v>-0.99866999999999995</v>
      </c>
      <c r="N2104">
        <v>-8.4577950000000002E-4</v>
      </c>
      <c r="O2104">
        <v>-5.1552840000000003E-2</v>
      </c>
      <c r="P2104">
        <v>-0.99845729999999999</v>
      </c>
      <c r="Q2104">
        <v>-3.9680069999999998E-2</v>
      </c>
      <c r="R2104">
        <v>-3.8843519999999999E-2</v>
      </c>
      <c r="S2104">
        <v>-3.0077970000000001</v>
      </c>
      <c r="T2104">
        <v>-3.2608989999999997E-2</v>
      </c>
      <c r="U2104">
        <v>0.1112366</v>
      </c>
      <c r="V2104">
        <v>1.250099E-2</v>
      </c>
      <c r="W2104">
        <v>-3.8893469999999999E-2</v>
      </c>
      <c r="X2104">
        <v>0.99916519999999998</v>
      </c>
      <c r="Y2104">
        <v>8.8417780000000001E-2</v>
      </c>
      <c r="Z2104">
        <v>1.031576E-3</v>
      </c>
      <c r="AA2104">
        <v>0.99608300000000005</v>
      </c>
      <c r="AB2104">
        <v>31</v>
      </c>
      <c r="AC2104">
        <v>-102.7824</v>
      </c>
      <c r="AD2104">
        <v>-1.1175825880371999</v>
      </c>
      <c r="AE2104">
        <v>3.8260000000000201</v>
      </c>
      <c r="AF2104">
        <v>9.1185619040560795</v>
      </c>
      <c r="AG2104">
        <v>-1.1175825880371999</v>
      </c>
      <c r="AH2104">
        <v>102.436391556885</v>
      </c>
      <c r="AI2104">
        <v>90.622611303342197</v>
      </c>
      <c r="AJ2104">
        <v>84.913119728849395</v>
      </c>
      <c r="AK2104">
        <v>102.847515659031</v>
      </c>
      <c r="AL2104">
        <v>92.228993807795504</v>
      </c>
      <c r="AM2104">
        <v>89.283185005773404</v>
      </c>
      <c r="AN2104">
        <v>1.0000000368253299</v>
      </c>
    </row>
    <row r="2105" spans="1:40" x14ac:dyDescent="0.25">
      <c r="A2105" t="str">
        <f>"20190303153816024"</f>
        <v>20190303153816024</v>
      </c>
      <c r="B2105" t="str">
        <f>"1551598696020967"</f>
        <v>1551598696020967</v>
      </c>
      <c r="C2105" t="s">
        <v>40</v>
      </c>
      <c r="D2105">
        <v>4.6014589999999904</v>
      </c>
      <c r="E2105">
        <v>0.52869109999999997</v>
      </c>
      <c r="F2105" t="s">
        <v>55</v>
      </c>
      <c r="G2105">
        <v>-357.76729999999998</v>
      </c>
      <c r="H2105" s="1">
        <v>2.596569E-6</v>
      </c>
      <c r="I2105">
        <v>287.72559999999999</v>
      </c>
      <c r="J2105">
        <v>-219.45079999999999</v>
      </c>
      <c r="K2105">
        <v>1.117618</v>
      </c>
      <c r="L2105">
        <v>282.61270000000002</v>
      </c>
      <c r="M2105">
        <v>-0.99877479999999996</v>
      </c>
      <c r="N2105">
        <v>-9.8900300000000002E-4</v>
      </c>
      <c r="O2105">
        <v>-4.9477529999999999E-2</v>
      </c>
      <c r="P2105">
        <v>-0.998498</v>
      </c>
      <c r="Q2105">
        <v>-3.8279680000000003E-2</v>
      </c>
      <c r="R2105">
        <v>-3.919711E-2</v>
      </c>
      <c r="S2105">
        <v>-3.0079799999999999</v>
      </c>
      <c r="T2105">
        <v>-2.4251579999999998E-2</v>
      </c>
      <c r="U2105">
        <v>0.1106567</v>
      </c>
      <c r="V2105">
        <v>1.0082229999999999E-2</v>
      </c>
      <c r="W2105">
        <v>-3.7338290000000003E-2</v>
      </c>
      <c r="X2105">
        <v>0.99925180000000002</v>
      </c>
      <c r="Y2105">
        <v>8.6157559999999994E-2</v>
      </c>
      <c r="Z2105">
        <v>7.3963160000000002E-4</v>
      </c>
      <c r="AA2105">
        <v>0.99628130000000004</v>
      </c>
      <c r="AB2105">
        <v>31</v>
      </c>
      <c r="AC2105">
        <v>-138.31649999999999</v>
      </c>
      <c r="AD2105">
        <v>-1.117615403431</v>
      </c>
      <c r="AE2105">
        <v>5.1128999999999598</v>
      </c>
      <c r="AF2105">
        <v>11.949420573570499</v>
      </c>
      <c r="AG2105">
        <v>-1.117615403431</v>
      </c>
      <c r="AH2105">
        <v>137.885131114741</v>
      </c>
      <c r="AI2105">
        <v>90.462661521927302</v>
      </c>
      <c r="AJ2105">
        <v>85.046999932348498</v>
      </c>
      <c r="AK2105">
        <v>138.406456131076</v>
      </c>
      <c r="AL2105">
        <v>92.139823876744302</v>
      </c>
      <c r="AM2105">
        <v>89.421917853604597</v>
      </c>
      <c r="AN2105">
        <v>0.99999997953256803</v>
      </c>
    </row>
    <row r="2106" spans="1:40" x14ac:dyDescent="0.25">
      <c r="A2106" t="str">
        <f>"20190303153816040"</f>
        <v>20190303153816040</v>
      </c>
      <c r="B2106" t="str">
        <f>"1551598696030727"</f>
        <v>1551598696030727</v>
      </c>
      <c r="C2106" t="s">
        <v>40</v>
      </c>
      <c r="D2106">
        <v>4.6560249999999996</v>
      </c>
      <c r="E2106">
        <v>0.52869670000000002</v>
      </c>
      <c r="F2106" t="s">
        <v>57</v>
      </c>
      <c r="G2106">
        <v>-403.39</v>
      </c>
      <c r="H2106" s="1">
        <v>5.9298469999999998E-6</v>
      </c>
      <c r="I2106">
        <v>289.30630000000002</v>
      </c>
      <c r="J2106">
        <v>-219.68270000000001</v>
      </c>
      <c r="K2106">
        <v>1.1176269999999999</v>
      </c>
      <c r="L2106">
        <v>282.60270000000003</v>
      </c>
      <c r="M2106">
        <v>-0.9988532</v>
      </c>
      <c r="N2106">
        <v>-1.0961639999999999E-3</v>
      </c>
      <c r="O2106">
        <v>-4.786671E-2</v>
      </c>
      <c r="P2106">
        <v>-0.99852609999999997</v>
      </c>
      <c r="Q2106">
        <v>-3.8013320000000003E-2</v>
      </c>
      <c r="R2106">
        <v>-3.873907E-2</v>
      </c>
      <c r="S2106">
        <v>-3.0081180000000001</v>
      </c>
      <c r="T2106">
        <v>-1.8277290000000002E-2</v>
      </c>
      <c r="U2106">
        <v>0.1094666</v>
      </c>
      <c r="V2106">
        <v>8.9308919999999993E-3</v>
      </c>
      <c r="W2106">
        <v>-3.6959600000000002E-2</v>
      </c>
      <c r="X2106">
        <v>0.99927690000000002</v>
      </c>
      <c r="Y2106">
        <v>8.4157280000000001E-2</v>
      </c>
      <c r="Z2106">
        <v>5.3998619999999996E-4</v>
      </c>
      <c r="AA2106">
        <v>0.99645229999999996</v>
      </c>
      <c r="AB2106">
        <v>31</v>
      </c>
      <c r="AC2106">
        <v>-183.7073</v>
      </c>
      <c r="AD2106">
        <v>-1.1176210701530001</v>
      </c>
      <c r="AE2106">
        <v>6.70359999999999</v>
      </c>
      <c r="AF2106">
        <v>15.488812096143</v>
      </c>
      <c r="AG2106">
        <v>-1.1176210701530001</v>
      </c>
      <c r="AH2106">
        <v>183.169072200758</v>
      </c>
      <c r="AI2106">
        <v>90.348347378049098</v>
      </c>
      <c r="AJ2106">
        <v>85.166556335703802</v>
      </c>
      <c r="AK2106">
        <v>183.82617166196101</v>
      </c>
      <c r="AL2106">
        <v>92.118111405458905</v>
      </c>
      <c r="AM2106">
        <v>89.487940934849803</v>
      </c>
      <c r="AN2106">
        <v>1.00000004786884</v>
      </c>
    </row>
    <row r="2107" spans="1:40" x14ac:dyDescent="0.25">
      <c r="A2107" t="str">
        <f>"20190303153816058"</f>
        <v>20190303153816058</v>
      </c>
      <c r="B2107" t="str">
        <f>"1551598696051223"</f>
        <v>1551598696051223</v>
      </c>
      <c r="C2107" t="s">
        <v>40</v>
      </c>
      <c r="D2107">
        <v>4.5841909999999997</v>
      </c>
      <c r="E2107">
        <v>0.52859149999999999</v>
      </c>
      <c r="F2107" t="s">
        <v>57</v>
      </c>
      <c r="G2107">
        <v>-411.41579999999999</v>
      </c>
      <c r="H2107" s="1">
        <v>2.0073319999999999E-6</v>
      </c>
      <c r="I2107">
        <v>289.68700000000001</v>
      </c>
      <c r="J2107">
        <v>-219.92850000000001</v>
      </c>
      <c r="K2107">
        <v>1.1176269999999999</v>
      </c>
      <c r="L2107">
        <v>282.5924</v>
      </c>
      <c r="M2107">
        <v>-0.99893410000000005</v>
      </c>
      <c r="N2107">
        <v>-1.20538E-3</v>
      </c>
      <c r="O2107">
        <v>-4.6145070000000003E-2</v>
      </c>
      <c r="P2107">
        <v>-0.99854050000000005</v>
      </c>
      <c r="Q2107">
        <v>-3.7180680000000001E-2</v>
      </c>
      <c r="R2107">
        <v>-3.9171810000000001E-2</v>
      </c>
      <c r="S2107">
        <v>-3.0080719999999999</v>
      </c>
      <c r="T2107">
        <v>-1.7534259999999999E-2</v>
      </c>
      <c r="U2107">
        <v>0.11114499999999999</v>
      </c>
      <c r="V2107">
        <v>6.780248E-3</v>
      </c>
      <c r="W2107">
        <v>-3.6008060000000001E-2</v>
      </c>
      <c r="X2107">
        <v>0.99932849999999995</v>
      </c>
      <c r="Y2107">
        <v>8.2995840000000001E-2</v>
      </c>
      <c r="Z2107">
        <v>5.0511649999999996E-4</v>
      </c>
      <c r="AA2107">
        <v>0.99654980000000004</v>
      </c>
      <c r="AB2107">
        <v>32</v>
      </c>
      <c r="AC2107">
        <v>-191.4873</v>
      </c>
      <c r="AD2107">
        <v>-1.117624992668</v>
      </c>
      <c r="AE2107">
        <v>7.0946000000000096</v>
      </c>
      <c r="AF2107">
        <v>15.922701381594299</v>
      </c>
      <c r="AG2107">
        <v>-1.117624992668</v>
      </c>
      <c r="AH2107">
        <v>190.94944081453801</v>
      </c>
      <c r="AI2107">
        <v>90.334187912083806</v>
      </c>
      <c r="AJ2107">
        <v>85.233304547971102</v>
      </c>
      <c r="AK2107">
        <v>191.61542331528599</v>
      </c>
      <c r="AL2107">
        <v>92.063555954918698</v>
      </c>
      <c r="AM2107">
        <v>89.611265331086699</v>
      </c>
      <c r="AN2107">
        <v>1.0000000015300701</v>
      </c>
    </row>
    <row r="2108" spans="1:40" x14ac:dyDescent="0.25">
      <c r="A2108" t="str">
        <f>"20190303153816071"</f>
        <v>20190303153816071</v>
      </c>
      <c r="B2108" t="str">
        <f>"1551598696060984"</f>
        <v>1551598696060984</v>
      </c>
      <c r="C2108" t="s">
        <v>40</v>
      </c>
      <c r="D2108">
        <v>4.5930210000000002</v>
      </c>
      <c r="E2108">
        <v>0.52853689999999998</v>
      </c>
      <c r="F2108" t="s">
        <v>57</v>
      </c>
      <c r="G2108">
        <v>-431.32380000000001</v>
      </c>
      <c r="H2108">
        <v>5.8732239999999998E-2</v>
      </c>
      <c r="I2108">
        <v>290.2466</v>
      </c>
      <c r="J2108">
        <v>-220.1275</v>
      </c>
      <c r="K2108">
        <v>1.1176189999999999</v>
      </c>
      <c r="L2108">
        <v>282.58440000000002</v>
      </c>
      <c r="M2108">
        <v>-0.99899800000000005</v>
      </c>
      <c r="N2108">
        <v>-1.2904399999999999E-3</v>
      </c>
      <c r="O2108">
        <v>-4.4738800000000002E-2</v>
      </c>
      <c r="P2108">
        <v>-0.99855020000000005</v>
      </c>
      <c r="Q2108">
        <v>-3.7091739999999998E-2</v>
      </c>
      <c r="R2108">
        <v>-3.9017219999999998E-2</v>
      </c>
      <c r="S2108">
        <v>-3.0081020000000001</v>
      </c>
      <c r="T2108">
        <v>-1.5067820000000001E-2</v>
      </c>
      <c r="U2108">
        <v>0.10891720000000001</v>
      </c>
      <c r="V2108">
        <v>5.5278439999999996E-3</v>
      </c>
      <c r="W2108">
        <v>-3.5828520000000003E-2</v>
      </c>
      <c r="X2108">
        <v>0.99934270000000003</v>
      </c>
      <c r="Y2108">
        <v>8.0855979999999994E-2</v>
      </c>
      <c r="Z2108">
        <v>4.2092490000000002E-4</v>
      </c>
      <c r="AA2108">
        <v>0.99672570000000005</v>
      </c>
      <c r="AB2108">
        <v>32</v>
      </c>
      <c r="AC2108">
        <v>-211.19630000000001</v>
      </c>
      <c r="AD2108">
        <v>-1.05888676</v>
      </c>
      <c r="AE2108">
        <v>7.6621999999999799</v>
      </c>
      <c r="AF2108">
        <v>17.102774420032699</v>
      </c>
      <c r="AG2108">
        <v>-1.05888676</v>
      </c>
      <c r="AH2108">
        <v>210.63674691698199</v>
      </c>
      <c r="AI2108">
        <v>90.287083005234507</v>
      </c>
      <c r="AJ2108">
        <v>85.358018746855905</v>
      </c>
      <c r="AK2108">
        <v>211.332593997712</v>
      </c>
      <c r="AL2108">
        <v>92.053262357810695</v>
      </c>
      <c r="AM2108">
        <v>89.683072782951598</v>
      </c>
      <c r="AN2108">
        <v>1.00000003597398</v>
      </c>
    </row>
    <row r="2109" spans="1:40" x14ac:dyDescent="0.25">
      <c r="A2109" t="str">
        <f>"20190303153816083"</f>
        <v>20190303153816083</v>
      </c>
      <c r="B2109" t="str">
        <f>"1551598696070743"</f>
        <v>1551598696070743</v>
      </c>
      <c r="C2109" t="s">
        <v>40</v>
      </c>
      <c r="D2109">
        <v>4.584498</v>
      </c>
      <c r="E2109">
        <v>0.52850810000000004</v>
      </c>
      <c r="F2109" t="s">
        <v>57</v>
      </c>
      <c r="G2109">
        <v>-431.36099999999999</v>
      </c>
      <c r="H2109">
        <v>6.6658239999999994E-2</v>
      </c>
      <c r="I2109">
        <v>290.23500000000001</v>
      </c>
      <c r="J2109">
        <v>-220.30609999999999</v>
      </c>
      <c r="K2109">
        <v>1.1176029999999999</v>
      </c>
      <c r="L2109">
        <v>282.57749999999999</v>
      </c>
      <c r="M2109">
        <v>-0.9990542</v>
      </c>
      <c r="N2109">
        <v>-1.362615E-3</v>
      </c>
      <c r="O2109">
        <v>-4.346071E-2</v>
      </c>
      <c r="P2109">
        <v>-0.99855260000000001</v>
      </c>
      <c r="Q2109">
        <v>-3.6688220000000001E-2</v>
      </c>
      <c r="R2109">
        <v>-3.933263E-2</v>
      </c>
      <c r="S2109">
        <v>-3.008057</v>
      </c>
      <c r="T2109">
        <v>-1.4966129999999999E-2</v>
      </c>
      <c r="U2109">
        <v>0.1089478</v>
      </c>
      <c r="V2109">
        <v>3.93487E-3</v>
      </c>
      <c r="W2109">
        <v>-3.5345550000000003E-2</v>
      </c>
      <c r="X2109">
        <v>0.99936740000000002</v>
      </c>
      <c r="Y2109">
        <v>7.9591449999999994E-2</v>
      </c>
      <c r="Z2109">
        <v>4.0912449999999998E-4</v>
      </c>
      <c r="AA2109">
        <v>0.99682749999999998</v>
      </c>
      <c r="AB2109">
        <v>32</v>
      </c>
      <c r="AC2109">
        <v>-211.0549</v>
      </c>
      <c r="AD2109">
        <v>-1.0509447599999999</v>
      </c>
      <c r="AE2109">
        <v>7.6575000000000202</v>
      </c>
      <c r="AF2109">
        <v>16.822452518000102</v>
      </c>
      <c r="AG2109">
        <v>-1.0509447599999999</v>
      </c>
      <c r="AH2109">
        <v>210.517467977861</v>
      </c>
      <c r="AI2109">
        <v>90.285120595738604</v>
      </c>
      <c r="AJ2109">
        <v>85.431202157665794</v>
      </c>
      <c r="AK2109">
        <v>211.19115444880401</v>
      </c>
      <c r="AL2109">
        <v>92.025572758455596</v>
      </c>
      <c r="AM2109">
        <v>89.774407010975196</v>
      </c>
      <c r="AN2109">
        <v>0.99999999564473896</v>
      </c>
    </row>
    <row r="2110" spans="1:40" x14ac:dyDescent="0.25">
      <c r="A2110" t="str">
        <f>"20190303153816101"</f>
        <v>20190303153816101</v>
      </c>
      <c r="B2110" t="str">
        <f>"1551598696091239"</f>
        <v>1551598696091239</v>
      </c>
      <c r="C2110" t="s">
        <v>40</v>
      </c>
      <c r="D2110">
        <v>4.5853159999999997</v>
      </c>
      <c r="E2110">
        <v>0.52844269999999904</v>
      </c>
      <c r="F2110" t="s">
        <v>55</v>
      </c>
      <c r="G2110">
        <v>-445.0326</v>
      </c>
      <c r="H2110">
        <v>7.9999769999999998E-2</v>
      </c>
      <c r="I2110">
        <v>290.64370000000002</v>
      </c>
      <c r="J2110">
        <v>-220.5669</v>
      </c>
      <c r="K2110">
        <v>1.11758</v>
      </c>
      <c r="L2110">
        <v>282.56790000000001</v>
      </c>
      <c r="M2110">
        <v>-0.99913430000000003</v>
      </c>
      <c r="N2110">
        <v>-1.462571E-3</v>
      </c>
      <c r="O2110">
        <v>-4.1576670000000003E-2</v>
      </c>
      <c r="P2110">
        <v>-0.99852759999999996</v>
      </c>
      <c r="Q2110">
        <v>-3.6123490000000001E-2</v>
      </c>
      <c r="R2110">
        <v>-4.0469140000000001E-2</v>
      </c>
      <c r="S2110">
        <v>-3.0081020000000001</v>
      </c>
      <c r="T2110">
        <v>-1.3888960000000001E-2</v>
      </c>
      <c r="U2110">
        <v>0.1079712</v>
      </c>
      <c r="V2110">
        <v>9.1444880000000005E-4</v>
      </c>
      <c r="W2110">
        <v>-3.4666639999999999E-2</v>
      </c>
      <c r="X2110">
        <v>0.99939849999999997</v>
      </c>
      <c r="Y2110">
        <v>7.7387999999999998E-2</v>
      </c>
      <c r="Z2110">
        <v>3.6631780000000001E-4</v>
      </c>
      <c r="AA2110">
        <v>0.99700100000000003</v>
      </c>
      <c r="AB2110">
        <v>32</v>
      </c>
      <c r="AC2110">
        <v>-224.4657</v>
      </c>
      <c r="AD2110">
        <v>-1.0375802300000001</v>
      </c>
      <c r="AE2110">
        <v>8.0758000000000099</v>
      </c>
      <c r="AF2110">
        <v>17.400991460695899</v>
      </c>
      <c r="AG2110">
        <v>-1.0375802300000001</v>
      </c>
      <c r="AH2110">
        <v>223.931064039283</v>
      </c>
      <c r="AI2110">
        <v>90.264679079963003</v>
      </c>
      <c r="AJ2110">
        <v>85.5566510741006</v>
      </c>
      <c r="AK2110">
        <v>224.60853171309901</v>
      </c>
      <c r="AL2110">
        <v>91.986650241432301</v>
      </c>
      <c r="AM2110">
        <v>89.947574423816903</v>
      </c>
      <c r="AN2110">
        <v>0.99999998697387305</v>
      </c>
    </row>
    <row r="2111" spans="1:40" x14ac:dyDescent="0.25">
      <c r="A2111" t="str">
        <f>"20190303153816114"</f>
        <v>20190303153816114</v>
      </c>
      <c r="B2111" t="str">
        <f>"1551598696110760"</f>
        <v>1551598696110760</v>
      </c>
      <c r="C2111" t="s">
        <v>40</v>
      </c>
      <c r="D2111">
        <v>4.5491799999999998</v>
      </c>
      <c r="E2111">
        <v>0.52844880000000005</v>
      </c>
      <c r="F2111" t="s">
        <v>55</v>
      </c>
      <c r="G2111">
        <v>-461.83</v>
      </c>
      <c r="H2111">
        <v>8.0000280000000007E-2</v>
      </c>
      <c r="I2111">
        <v>290.88479999999998</v>
      </c>
      <c r="J2111">
        <v>-220.75210000000001</v>
      </c>
      <c r="K2111">
        <v>1.117556</v>
      </c>
      <c r="L2111">
        <v>282.56130000000002</v>
      </c>
      <c r="M2111">
        <v>-0.99918929999999995</v>
      </c>
      <c r="N2111">
        <v>-1.529617E-3</v>
      </c>
      <c r="O2111">
        <v>-4.022767E-2</v>
      </c>
      <c r="P2111">
        <v>-0.99852160000000001</v>
      </c>
      <c r="Q2111">
        <v>-3.6366629999999997E-2</v>
      </c>
      <c r="R2111">
        <v>-4.0402929999999997E-2</v>
      </c>
      <c r="S2111">
        <v>-3.0081630000000001</v>
      </c>
      <c r="T2111">
        <v>-1.2936949999999999E-2</v>
      </c>
      <c r="U2111">
        <v>0.1036987</v>
      </c>
      <c r="V2111">
        <v>-3.715325E-4</v>
      </c>
      <c r="W2111">
        <v>-3.4836590000000001E-2</v>
      </c>
      <c r="X2111">
        <v>0.99939290000000003</v>
      </c>
      <c r="Y2111">
        <v>7.4626830000000005E-2</v>
      </c>
      <c r="Z2111">
        <v>3.2894499999999998E-4</v>
      </c>
      <c r="AA2111">
        <v>0.99721150000000003</v>
      </c>
      <c r="AB2111">
        <v>32</v>
      </c>
      <c r="AC2111">
        <v>-241.0779</v>
      </c>
      <c r="AD2111">
        <v>-1.0375557200000001</v>
      </c>
      <c r="AE2111">
        <v>8.3234999999999602</v>
      </c>
      <c r="AF2111">
        <v>18.014443376614398</v>
      </c>
      <c r="AG2111">
        <v>-1.0375557200000001</v>
      </c>
      <c r="AH2111">
        <v>240.54347084569599</v>
      </c>
      <c r="AI2111">
        <v>90.246446877643606</v>
      </c>
      <c r="AJ2111">
        <v>85.717080169941397</v>
      </c>
      <c r="AK2111">
        <v>241.219315268359</v>
      </c>
      <c r="AL2111">
        <v>91.996393623674294</v>
      </c>
      <c r="AM2111">
        <v>90.021300174557197</v>
      </c>
      <c r="AN2111">
        <v>0.99999994730481601</v>
      </c>
    </row>
    <row r="2112" spans="1:40" x14ac:dyDescent="0.25">
      <c r="A2112" t="str">
        <f>"20190303153816128"</f>
        <v>20190303153816128</v>
      </c>
      <c r="B2112" t="str">
        <f>"1551598696121496"</f>
        <v>1551598696121496</v>
      </c>
      <c r="C2112" t="s">
        <v>40</v>
      </c>
      <c r="D2112">
        <v>4.5240799999999997</v>
      </c>
      <c r="E2112">
        <v>0.52841349999999998</v>
      </c>
      <c r="F2112" t="s">
        <v>55</v>
      </c>
      <c r="G2112">
        <v>-454.10270000000003</v>
      </c>
      <c r="H2112">
        <v>8.0000959999999996E-2</v>
      </c>
      <c r="I2112">
        <v>290.64339999999999</v>
      </c>
      <c r="J2112">
        <v>-220.94880000000001</v>
      </c>
      <c r="K2112">
        <v>1.1175360000000001</v>
      </c>
      <c r="L2112">
        <v>282.55450000000002</v>
      </c>
      <c r="M2112">
        <v>-0.99924630000000003</v>
      </c>
      <c r="N2112">
        <v>-1.5976300000000001E-3</v>
      </c>
      <c r="O2112">
        <v>-3.8785439999999997E-2</v>
      </c>
      <c r="P2112">
        <v>-0.99854929999999997</v>
      </c>
      <c r="Q2112">
        <v>-3.6210319999999997E-2</v>
      </c>
      <c r="R2112">
        <v>-3.9857959999999998E-2</v>
      </c>
      <c r="S2112">
        <v>-3.0081329999999999</v>
      </c>
      <c r="T2112">
        <v>-1.3375160000000001E-2</v>
      </c>
      <c r="U2112">
        <v>0.104187</v>
      </c>
      <c r="V2112">
        <v>-1.268405E-3</v>
      </c>
      <c r="W2112">
        <v>-3.4607880000000001E-2</v>
      </c>
      <c r="X2112">
        <v>0.99940010000000001</v>
      </c>
      <c r="Y2112">
        <v>7.3349419999999999E-2</v>
      </c>
      <c r="Z2112">
        <v>3.3207860000000002E-4</v>
      </c>
      <c r="AA2112">
        <v>0.99730620000000003</v>
      </c>
      <c r="AB2112">
        <v>32</v>
      </c>
      <c r="AC2112">
        <v>-233.15389999999999</v>
      </c>
      <c r="AD2112">
        <v>-1.0375350400000001</v>
      </c>
      <c r="AE2112">
        <v>8.0888999999999598</v>
      </c>
      <c r="AF2112">
        <v>17.1254628679356</v>
      </c>
      <c r="AG2112">
        <v>-1.0375350400000001</v>
      </c>
      <c r="AH2112">
        <v>232.660131986408</v>
      </c>
      <c r="AI2112">
        <v>90.254816319785903</v>
      </c>
      <c r="AJ2112">
        <v>85.790209563059193</v>
      </c>
      <c r="AK2112">
        <v>233.291866496312</v>
      </c>
      <c r="AL2112">
        <v>91.983281619045897</v>
      </c>
      <c r="AM2112">
        <v>90.072717837623301</v>
      </c>
      <c r="AN2112">
        <v>0.99999993704467205</v>
      </c>
    </row>
    <row r="2113" spans="1:40" x14ac:dyDescent="0.25">
      <c r="A2113" t="str">
        <f>"20190303153816148"</f>
        <v>20190303153816148</v>
      </c>
      <c r="B2113" t="str">
        <f>"1551598696141017"</f>
        <v>1551598696141017</v>
      </c>
      <c r="C2113" t="s">
        <v>40</v>
      </c>
      <c r="D2113">
        <v>4.5470160000000002</v>
      </c>
      <c r="E2113">
        <v>0.528398699999999</v>
      </c>
      <c r="F2113" t="s">
        <v>55</v>
      </c>
      <c r="G2113">
        <v>-461.26240000000001</v>
      </c>
      <c r="H2113">
        <v>8.0000109999999999E-2</v>
      </c>
      <c r="I2113">
        <v>290.98509999999999</v>
      </c>
      <c r="J2113">
        <v>-221.23949999999999</v>
      </c>
      <c r="K2113">
        <v>1.1174980000000001</v>
      </c>
      <c r="L2113">
        <v>282.54520000000002</v>
      </c>
      <c r="M2113">
        <v>-0.99932719999999997</v>
      </c>
      <c r="N2113">
        <v>-1.6902639999999999E-3</v>
      </c>
      <c r="O2113">
        <v>-3.6639030000000003E-2</v>
      </c>
      <c r="P2113">
        <v>-0.9985619</v>
      </c>
      <c r="Q2113">
        <v>-3.6595570000000001E-2</v>
      </c>
      <c r="R2113">
        <v>-3.9181319999999999E-2</v>
      </c>
      <c r="S2113">
        <v>-3.0081020000000001</v>
      </c>
      <c r="T2113">
        <v>-1.298726E-2</v>
      </c>
      <c r="U2113">
        <v>0.10552980000000001</v>
      </c>
      <c r="V2113">
        <v>-2.7423489999999998E-3</v>
      </c>
      <c r="W2113">
        <v>-3.4893149999999998E-2</v>
      </c>
      <c r="X2113">
        <v>0.99938729999999998</v>
      </c>
      <c r="Y2113">
        <v>7.1652240000000006E-2</v>
      </c>
      <c r="Z2113">
        <v>3.1142779999999997E-4</v>
      </c>
      <c r="AA2113">
        <v>0.99742960000000003</v>
      </c>
      <c r="AB2113">
        <v>32</v>
      </c>
      <c r="AC2113">
        <v>-240.02289999999999</v>
      </c>
      <c r="AD2113">
        <v>-1.03749788999999</v>
      </c>
      <c r="AE2113">
        <v>8.4398999999999607</v>
      </c>
      <c r="AF2113">
        <v>17.228129883457001</v>
      </c>
      <c r="AG2113">
        <v>-1.03749788999999</v>
      </c>
      <c r="AH2113">
        <v>239.548039511187</v>
      </c>
      <c r="AI2113">
        <v>90.247510858921899</v>
      </c>
      <c r="AJ2113">
        <v>85.886409635543103</v>
      </c>
      <c r="AK2113">
        <v>240.16899902944701</v>
      </c>
      <c r="AL2113">
        <v>91.999636111316406</v>
      </c>
      <c r="AM2113">
        <v>90.157220958566796</v>
      </c>
      <c r="AN2113">
        <v>1.00000001389812</v>
      </c>
    </row>
    <row r="2114" spans="1:40" x14ac:dyDescent="0.25">
      <c r="A2114" t="str">
        <f>"20190303153816171"</f>
        <v>20190303153816171</v>
      </c>
      <c r="B2114" t="str">
        <f>"1551598696160536"</f>
        <v>1551598696160536</v>
      </c>
      <c r="C2114" t="s">
        <v>40</v>
      </c>
      <c r="D2114">
        <v>4.5272350000000001</v>
      </c>
      <c r="E2114">
        <v>0.52839230000000004</v>
      </c>
      <c r="F2114" t="s">
        <v>55</v>
      </c>
      <c r="G2114">
        <v>-442.28519999999997</v>
      </c>
      <c r="H2114">
        <v>8.0000440000000006E-2</v>
      </c>
      <c r="I2114">
        <v>290.44810000000001</v>
      </c>
      <c r="J2114">
        <v>-221.5703</v>
      </c>
      <c r="K2114">
        <v>1.1174660000000001</v>
      </c>
      <c r="L2114">
        <v>282.53519999999997</v>
      </c>
      <c r="M2114">
        <v>-0.99941389999999997</v>
      </c>
      <c r="N2114">
        <v>-1.7899599999999999E-3</v>
      </c>
      <c r="O2114">
        <v>-3.4184340000000001E-2</v>
      </c>
      <c r="P2114">
        <v>-0.99861169999999999</v>
      </c>
      <c r="Q2114">
        <v>-3.7026650000000001E-2</v>
      </c>
      <c r="R2114">
        <v>-3.7468710000000002E-2</v>
      </c>
      <c r="S2114">
        <v>-3.0080260000000001</v>
      </c>
      <c r="T2114">
        <v>-1.411843E-2</v>
      </c>
      <c r="U2114">
        <v>0.107543899999999</v>
      </c>
      <c r="V2114">
        <v>-3.4876249999999998E-3</v>
      </c>
      <c r="W2114">
        <v>-3.5220679999999997E-2</v>
      </c>
      <c r="X2114">
        <v>0.99937350000000003</v>
      </c>
      <c r="Y2114">
        <v>6.9869979999999998E-2</v>
      </c>
      <c r="Z2114">
        <v>3.2569750000000002E-4</v>
      </c>
      <c r="AA2114">
        <v>0.997556</v>
      </c>
      <c r="AB2114">
        <v>32</v>
      </c>
      <c r="AC2114">
        <v>-220.7149</v>
      </c>
      <c r="AD2114">
        <v>-1.03746556</v>
      </c>
      <c r="AE2114">
        <v>7.9129000000000298</v>
      </c>
      <c r="AF2114">
        <v>15.452939847820099</v>
      </c>
      <c r="AG2114">
        <v>-1.03746556</v>
      </c>
      <c r="AH2114">
        <v>220.31054246257199</v>
      </c>
      <c r="AI2114">
        <v>90.269148605976397</v>
      </c>
      <c r="AJ2114">
        <v>85.987752089286502</v>
      </c>
      <c r="AK2114">
        <v>220.85426145963601</v>
      </c>
      <c r="AL2114">
        <v>92.018413715314594</v>
      </c>
      <c r="AM2114">
        <v>90.199950650899694</v>
      </c>
      <c r="AN2114">
        <v>1.0000000261650199</v>
      </c>
    </row>
    <row r="2115" spans="1:40" x14ac:dyDescent="0.25">
      <c r="A2115" t="str">
        <f>"20190303153816191"</f>
        <v>20190303153816191</v>
      </c>
      <c r="B2115" t="str">
        <f>"1551598696181031"</f>
        <v>1551598696181031</v>
      </c>
      <c r="C2115" t="s">
        <v>40</v>
      </c>
      <c r="D2115">
        <v>4.486809</v>
      </c>
      <c r="E2115">
        <v>0.52839309999999995</v>
      </c>
      <c r="F2115" t="s">
        <v>57</v>
      </c>
      <c r="G2115">
        <v>-431.11450000000002</v>
      </c>
      <c r="H2115">
        <v>3.4359399999999998E-2</v>
      </c>
      <c r="I2115">
        <v>290.38670000000002</v>
      </c>
      <c r="J2115">
        <v>-221.87700000000001</v>
      </c>
      <c r="K2115">
        <v>1.1174519999999999</v>
      </c>
      <c r="L2115">
        <v>282.52679999999998</v>
      </c>
      <c r="M2115">
        <v>-0.99948910000000002</v>
      </c>
      <c r="N2115">
        <v>-1.883577E-3</v>
      </c>
      <c r="O2115">
        <v>-3.190701E-2</v>
      </c>
      <c r="P2115">
        <v>-0.99865420000000005</v>
      </c>
      <c r="Q2115">
        <v>-3.7483330000000002E-2</v>
      </c>
      <c r="R2115">
        <v>-3.584557E-2</v>
      </c>
      <c r="S2115">
        <v>-3.0078429999999998</v>
      </c>
      <c r="T2115">
        <v>-1.5547160000000001E-2</v>
      </c>
      <c r="U2115">
        <v>0.11270139999999999</v>
      </c>
      <c r="V2115">
        <v>-4.1451939999999996E-3</v>
      </c>
      <c r="W2115">
        <v>-3.5580309999999997E-2</v>
      </c>
      <c r="X2115">
        <v>0.99935819999999997</v>
      </c>
      <c r="Y2115">
        <v>6.9307099999999996E-2</v>
      </c>
      <c r="Z2115">
        <v>3.4914320000000002E-4</v>
      </c>
      <c r="AA2115">
        <v>0.99759529999999996</v>
      </c>
      <c r="AB2115">
        <v>33</v>
      </c>
      <c r="AC2115">
        <v>-209.23750000000001</v>
      </c>
      <c r="AD2115">
        <v>-1.0830926000000001</v>
      </c>
      <c r="AE2115">
        <v>7.8599000000000396</v>
      </c>
      <c r="AF2115">
        <v>14.5316638542637</v>
      </c>
      <c r="AG2115">
        <v>-1.0830926000000001</v>
      </c>
      <c r="AH2115">
        <v>208.87458939490099</v>
      </c>
      <c r="AI2115">
        <v>90.296380923420401</v>
      </c>
      <c r="AJ2115">
        <v>86.020274230561796</v>
      </c>
      <c r="AK2115">
        <v>209.382273458958</v>
      </c>
      <c r="AL2115">
        <v>92.039032020749502</v>
      </c>
      <c r="AM2115">
        <v>90.237653285303793</v>
      </c>
      <c r="AN2115">
        <v>0.99999997650011596</v>
      </c>
    </row>
    <row r="2116" spans="1:40" x14ac:dyDescent="0.25">
      <c r="A2116" t="str">
        <f>"20190303153816213"</f>
        <v>20190303153816213</v>
      </c>
      <c r="B2116" t="str">
        <f>"1551598696200552"</f>
        <v>1551598696200552</v>
      </c>
      <c r="C2116" t="s">
        <v>40</v>
      </c>
      <c r="D2116">
        <v>4.4637549999999999</v>
      </c>
      <c r="E2116">
        <v>0.52840450000000005</v>
      </c>
      <c r="F2116" t="s">
        <v>57</v>
      </c>
      <c r="G2116">
        <v>-405.60789999999997</v>
      </c>
      <c r="H2116">
        <v>8.0000619999999995E-2</v>
      </c>
      <c r="I2116">
        <v>289.70420000000001</v>
      </c>
      <c r="J2116">
        <v>-222.19290000000001</v>
      </c>
      <c r="K2116">
        <v>1.1174389999999901</v>
      </c>
      <c r="L2116">
        <v>282.5188</v>
      </c>
      <c r="M2116">
        <v>-0.99956100000000003</v>
      </c>
      <c r="N2116">
        <v>-1.984085E-3</v>
      </c>
      <c r="O2116">
        <v>-2.9565290000000001E-2</v>
      </c>
      <c r="P2116">
        <v>-0.99874660000000004</v>
      </c>
      <c r="Q2116">
        <v>-3.7538429999999998E-2</v>
      </c>
      <c r="R2116">
        <v>-3.3112330000000002E-2</v>
      </c>
      <c r="S2116">
        <v>-3.0076450000000001</v>
      </c>
      <c r="T2116">
        <v>-1.698291E-2</v>
      </c>
      <c r="U2116">
        <v>0.11749270000000001</v>
      </c>
      <c r="V2116">
        <v>-3.7525380000000001E-3</v>
      </c>
      <c r="W2116">
        <v>-3.5536770000000002E-2</v>
      </c>
      <c r="X2116">
        <v>0.99936130000000001</v>
      </c>
      <c r="Y2116">
        <v>6.855899E-2</v>
      </c>
      <c r="Z2116">
        <v>3.6977519999999999E-4</v>
      </c>
      <c r="AA2116">
        <v>0.99764699999999995</v>
      </c>
      <c r="AB2116">
        <v>33</v>
      </c>
      <c r="AC2116">
        <v>-183.41499999999999</v>
      </c>
      <c r="AD2116">
        <v>-1.03743837999999</v>
      </c>
      <c r="AE2116">
        <v>7.1854000000000102</v>
      </c>
      <c r="AF2116">
        <v>12.604583959239999</v>
      </c>
      <c r="AG2116">
        <v>-1.03743837999999</v>
      </c>
      <c r="AH2116">
        <v>183.116531770693</v>
      </c>
      <c r="AI2116">
        <v>90.323836900489198</v>
      </c>
      <c r="AJ2116">
        <v>86.062332045669393</v>
      </c>
      <c r="AK2116">
        <v>183.552760869743</v>
      </c>
      <c r="AL2116">
        <v>92.036535785345393</v>
      </c>
      <c r="AM2116">
        <v>90.215140989932195</v>
      </c>
      <c r="AN2116">
        <v>0.99999997575058097</v>
      </c>
    </row>
    <row r="2117" spans="1:40" x14ac:dyDescent="0.25">
      <c r="A2117" t="str">
        <f>"20190303153816225"</f>
        <v>20190303153816225</v>
      </c>
      <c r="B2117" t="str">
        <f>"1551598696221048"</f>
        <v>1551598696221048</v>
      </c>
      <c r="C2117" t="s">
        <v>40</v>
      </c>
      <c r="D2117">
        <v>4.4639949999999997</v>
      </c>
      <c r="E2117">
        <v>0.52840290000000001</v>
      </c>
      <c r="F2117" t="s">
        <v>57</v>
      </c>
      <c r="G2117">
        <v>-426.15260000000001</v>
      </c>
      <c r="H2117" s="1">
        <v>1.9248440000000001E-6</v>
      </c>
      <c r="I2117">
        <v>291.06270000000001</v>
      </c>
      <c r="J2117">
        <v>-222.3792</v>
      </c>
      <c r="K2117">
        <v>1.11744</v>
      </c>
      <c r="L2117">
        <v>282.51440000000002</v>
      </c>
      <c r="M2117">
        <v>-0.9996005</v>
      </c>
      <c r="N2117">
        <v>-2.0528199999999999E-3</v>
      </c>
      <c r="O2117">
        <v>-2.8190260000000002E-2</v>
      </c>
      <c r="P2117">
        <v>-0.99879459999999998</v>
      </c>
      <c r="Q2117">
        <v>-3.7763690000000003E-2</v>
      </c>
      <c r="R2117">
        <v>-3.1358749999999998E-2</v>
      </c>
      <c r="S2117">
        <v>-3.0073240000000001</v>
      </c>
      <c r="T2117">
        <v>-1.6476270000000001E-2</v>
      </c>
      <c r="U2117">
        <v>0.12597659999999999</v>
      </c>
      <c r="V2117">
        <v>-3.3751039999999999E-3</v>
      </c>
      <c r="W2117">
        <v>-3.5695230000000001E-2</v>
      </c>
      <c r="X2117">
        <v>0.99935700000000005</v>
      </c>
      <c r="Y2117">
        <v>7.0000590000000001E-2</v>
      </c>
      <c r="Z2117">
        <v>3.600966E-4</v>
      </c>
      <c r="AA2117">
        <v>0.99754690000000001</v>
      </c>
      <c r="AB2117">
        <v>33</v>
      </c>
      <c r="AC2117">
        <v>-203.77340000000001</v>
      </c>
      <c r="AD2117">
        <v>-1.117438075156</v>
      </c>
      <c r="AE2117">
        <v>8.5482999999999798</v>
      </c>
      <c r="AF2117">
        <v>14.288910798044199</v>
      </c>
      <c r="AG2117">
        <v>-1.117438075156</v>
      </c>
      <c r="AH2117">
        <v>203.44532873820501</v>
      </c>
      <c r="AI2117">
        <v>90.313924705689303</v>
      </c>
      <c r="AJ2117">
        <v>85.982448565118304</v>
      </c>
      <c r="AK2117">
        <v>203.94956098271601</v>
      </c>
      <c r="AL2117">
        <v>92.045620635908406</v>
      </c>
      <c r="AM2117">
        <v>90.193502901761406</v>
      </c>
      <c r="AN2117">
        <v>0.99999997711038102</v>
      </c>
    </row>
    <row r="2118" spans="1:40" x14ac:dyDescent="0.25">
      <c r="A2118" t="str">
        <f>"20190303153816238"</f>
        <v>20190303153816238</v>
      </c>
      <c r="B2118" t="str">
        <f>"1551598696230808"</f>
        <v>1551598696230808</v>
      </c>
      <c r="C2118" t="s">
        <v>40</v>
      </c>
      <c r="D2118">
        <v>4.454008</v>
      </c>
      <c r="E2118">
        <v>0.52838989999999997</v>
      </c>
      <c r="F2118" t="s">
        <v>57</v>
      </c>
      <c r="G2118">
        <v>-426.5102</v>
      </c>
      <c r="H2118" s="1">
        <v>1.7499420000000001E-6</v>
      </c>
      <c r="I2118">
        <v>291.41609999999997</v>
      </c>
      <c r="J2118">
        <v>-222.5779</v>
      </c>
      <c r="K2118">
        <v>1.117443</v>
      </c>
      <c r="L2118">
        <v>282.51010000000002</v>
      </c>
      <c r="M2118">
        <v>-0.99964030000000004</v>
      </c>
      <c r="N2118">
        <v>-2.1422239999999999E-3</v>
      </c>
      <c r="O2118">
        <v>-2.6731979999999999E-2</v>
      </c>
      <c r="P2118">
        <v>-0.99885729999999995</v>
      </c>
      <c r="Q2118">
        <v>-3.7673600000000002E-2</v>
      </c>
      <c r="R2118">
        <v>-2.9405219999999999E-2</v>
      </c>
      <c r="S2118">
        <v>-3.007126</v>
      </c>
      <c r="T2118">
        <v>-1.6461369999999999E-2</v>
      </c>
      <c r="U2118">
        <v>0.131134</v>
      </c>
      <c r="V2118">
        <v>-2.8785769999999998E-3</v>
      </c>
      <c r="W2118">
        <v>-3.5518290000000001E-2</v>
      </c>
      <c r="X2118">
        <v>0.9993649</v>
      </c>
      <c r="Y2118">
        <v>7.0255849999999995E-2</v>
      </c>
      <c r="Z2118">
        <v>3.5652680000000002E-4</v>
      </c>
      <c r="AA2118">
        <v>0.997529</v>
      </c>
      <c r="AB2118">
        <v>33</v>
      </c>
      <c r="AC2118">
        <v>-203.9323</v>
      </c>
      <c r="AD2118">
        <v>-1.117441250058</v>
      </c>
      <c r="AE2118">
        <v>8.9059999999999402</v>
      </c>
      <c r="AF2118">
        <v>14.3539140572616</v>
      </c>
      <c r="AG2118">
        <v>-1.117441250058</v>
      </c>
      <c r="AH2118">
        <v>203.615244352888</v>
      </c>
      <c r="AI2118">
        <v>90.313657909991605</v>
      </c>
      <c r="AJ2118">
        <v>85.967588843217996</v>
      </c>
      <c r="AK2118">
        <v>204.123617586493</v>
      </c>
      <c r="AL2118">
        <v>92.035476201891996</v>
      </c>
      <c r="AM2118">
        <v>90.165034670496894</v>
      </c>
      <c r="AN2118">
        <v>1.0000000192410301</v>
      </c>
    </row>
    <row r="2119" spans="1:40" x14ac:dyDescent="0.25">
      <c r="A2119" t="str">
        <f>"20190303153816251"</f>
        <v>20190303153816251</v>
      </c>
      <c r="B2119" t="str">
        <f>"1551598696240568"</f>
        <v>1551598696240568</v>
      </c>
      <c r="C2119" t="s">
        <v>40</v>
      </c>
      <c r="D2119">
        <v>4.4403499999999996</v>
      </c>
      <c r="E2119">
        <v>0.52837900000000004</v>
      </c>
      <c r="F2119" t="s">
        <v>57</v>
      </c>
      <c r="G2119">
        <v>-430.14769999999999</v>
      </c>
      <c r="H2119">
        <v>1.9475289999999999E-2</v>
      </c>
      <c r="I2119">
        <v>291.9776</v>
      </c>
      <c r="J2119">
        <v>-222.7672</v>
      </c>
      <c r="K2119">
        <v>1.117453</v>
      </c>
      <c r="L2119">
        <v>282.5061</v>
      </c>
      <c r="M2119">
        <v>-0.99967620000000001</v>
      </c>
      <c r="N2119">
        <v>-2.2412E-3</v>
      </c>
      <c r="O2119">
        <v>-2.534927E-2</v>
      </c>
      <c r="P2119">
        <v>-0.99892239999999999</v>
      </c>
      <c r="Q2119">
        <v>-3.7310700000000002E-2</v>
      </c>
      <c r="R2119">
        <v>-2.7604610000000002E-2</v>
      </c>
      <c r="S2119">
        <v>-3.0068510000000002</v>
      </c>
      <c r="T2119">
        <v>-1.5905140000000002E-2</v>
      </c>
      <c r="U2119">
        <v>0.13714599999999999</v>
      </c>
      <c r="V2119">
        <v>-2.457837E-3</v>
      </c>
      <c r="W2119">
        <v>-3.5058569999999997E-2</v>
      </c>
      <c r="X2119">
        <v>0.99938229999999995</v>
      </c>
      <c r="Y2119">
        <v>7.0870639999999999E-2</v>
      </c>
      <c r="Z2119">
        <v>3.440478E-4</v>
      </c>
      <c r="AA2119">
        <v>0.99748550000000002</v>
      </c>
      <c r="AB2119">
        <v>33</v>
      </c>
      <c r="AC2119">
        <v>-207.38050000000001</v>
      </c>
      <c r="AD2119">
        <v>-1.0979777100000001</v>
      </c>
      <c r="AE2119">
        <v>9.47149999999999</v>
      </c>
      <c r="AF2119">
        <v>14.725001654696801</v>
      </c>
      <c r="AG2119">
        <v>-1.0979777100000001</v>
      </c>
      <c r="AH2119">
        <v>207.067970506867</v>
      </c>
      <c r="AI2119">
        <v>90.303042718565294</v>
      </c>
      <c r="AJ2119">
        <v>85.932434127570502</v>
      </c>
      <c r="AK2119">
        <v>207.59377552955399</v>
      </c>
      <c r="AL2119">
        <v>92.0091196830179</v>
      </c>
      <c r="AM2119">
        <v>90.140910443292</v>
      </c>
      <c r="AN2119">
        <v>1.00000006292322</v>
      </c>
    </row>
    <row r="2120" spans="1:40" x14ac:dyDescent="0.25">
      <c r="A2120" t="str">
        <f>"20190303153816270"</f>
        <v>20190303153816270</v>
      </c>
      <c r="B2120" t="str">
        <f>"1551598696261063"</f>
        <v>1551598696261063</v>
      </c>
      <c r="C2120" t="s">
        <v>40</v>
      </c>
      <c r="D2120">
        <v>4.471978</v>
      </c>
      <c r="E2120">
        <v>0.52832880000000004</v>
      </c>
      <c r="F2120" t="s">
        <v>57</v>
      </c>
      <c r="G2120">
        <v>-438.2645</v>
      </c>
      <c r="H2120">
        <v>8.0000349999999998E-2</v>
      </c>
      <c r="I2120">
        <v>292.71210000000002</v>
      </c>
      <c r="J2120">
        <v>-223.05279999999999</v>
      </c>
      <c r="K2120">
        <v>1.1174820000000001</v>
      </c>
      <c r="L2120">
        <v>282.50069999999999</v>
      </c>
      <c r="M2120">
        <v>-0.99972589999999995</v>
      </c>
      <c r="N2120">
        <v>-2.451679E-3</v>
      </c>
      <c r="O2120">
        <v>-2.3285489999999999E-2</v>
      </c>
      <c r="P2120">
        <v>-0.99900480000000003</v>
      </c>
      <c r="Q2120">
        <v>-3.6677210000000002E-2</v>
      </c>
      <c r="R2120">
        <v>-2.538257E-2</v>
      </c>
      <c r="S2120">
        <v>-3.0066380000000001</v>
      </c>
      <c r="T2120">
        <v>-1.447463E-2</v>
      </c>
      <c r="U2120">
        <v>0.14239499999999999</v>
      </c>
      <c r="V2120">
        <v>-2.2939729999999999E-3</v>
      </c>
      <c r="W2120">
        <v>-3.4215450000000001E-2</v>
      </c>
      <c r="X2120">
        <v>0.99941179999999996</v>
      </c>
      <c r="Y2120">
        <v>7.0552569999999995E-2</v>
      </c>
      <c r="Z2120">
        <v>3.112608E-4</v>
      </c>
      <c r="AA2120">
        <v>0.99750799999999995</v>
      </c>
      <c r="AB2120">
        <v>33</v>
      </c>
      <c r="AC2120">
        <v>-215.21170000000001</v>
      </c>
      <c r="AD2120">
        <v>-1.0374816499999999</v>
      </c>
      <c r="AE2120">
        <v>10.211399999999999</v>
      </c>
      <c r="AF2120">
        <v>15.219603021458701</v>
      </c>
      <c r="AG2120">
        <v>-1.0374816499999999</v>
      </c>
      <c r="AH2120">
        <v>214.910584963243</v>
      </c>
      <c r="AI2120">
        <v>90.275902459109403</v>
      </c>
      <c r="AJ2120">
        <v>85.949173012593405</v>
      </c>
      <c r="AK2120">
        <v>215.45132214388499</v>
      </c>
      <c r="AL2120">
        <v>91.960783679570994</v>
      </c>
      <c r="AM2120">
        <v>90.131512095810294</v>
      </c>
      <c r="AN2120">
        <v>0.99999995265503205</v>
      </c>
    </row>
    <row r="2121" spans="1:40" x14ac:dyDescent="0.25">
      <c r="A2121" t="str">
        <f>"20190303153816284"</f>
        <v>20190303153816284</v>
      </c>
      <c r="B2121" t="str">
        <f>"1551598696280584"</f>
        <v>1551598696280584</v>
      </c>
      <c r="C2121" t="s">
        <v>40</v>
      </c>
      <c r="D2121">
        <v>4.4501089999999897</v>
      </c>
      <c r="E2121">
        <v>0.52825749999999905</v>
      </c>
      <c r="F2121" t="s">
        <v>51</v>
      </c>
      <c r="G2121">
        <v>-499.95780000000002</v>
      </c>
      <c r="H2121">
        <v>4.9563610000000001E-2</v>
      </c>
      <c r="I2121">
        <v>296.1728</v>
      </c>
      <c r="J2121">
        <v>-223.26509999999999</v>
      </c>
      <c r="K2121">
        <v>1.11751</v>
      </c>
      <c r="L2121">
        <v>282.49709999999999</v>
      </c>
      <c r="M2121">
        <v>-0.99975959999999997</v>
      </c>
      <c r="N2121">
        <v>-2.654675E-3</v>
      </c>
      <c r="O2121">
        <v>-2.176471E-2</v>
      </c>
      <c r="P2121">
        <v>-0.99905120000000003</v>
      </c>
      <c r="Q2121">
        <v>-3.6115550000000003E-2</v>
      </c>
      <c r="R2121">
        <v>-2.4343900000000002E-2</v>
      </c>
      <c r="S2121">
        <v>-3.006332</v>
      </c>
      <c r="T2121">
        <v>-1.15943E-2</v>
      </c>
      <c r="U2121">
        <v>0.1484375</v>
      </c>
      <c r="V2121">
        <v>-2.7710780000000002E-3</v>
      </c>
      <c r="W2121">
        <v>-3.3448279999999997E-2</v>
      </c>
      <c r="X2121">
        <v>0.99943660000000001</v>
      </c>
      <c r="Y2121">
        <v>7.1040590000000001E-2</v>
      </c>
      <c r="Z2121">
        <v>2.5741199999999999E-4</v>
      </c>
      <c r="AA2121">
        <v>0.99747339999999995</v>
      </c>
      <c r="AB2121">
        <v>33</v>
      </c>
      <c r="AC2121">
        <v>-276.6927</v>
      </c>
      <c r="AD2121">
        <v>-1.0679463899999999</v>
      </c>
      <c r="AE2121">
        <v>13.675700000000001</v>
      </c>
      <c r="AF2121">
        <v>19.694325383081299</v>
      </c>
      <c r="AG2121">
        <v>-1.0679463899999999</v>
      </c>
      <c r="AH2121">
        <v>276.32540162523401</v>
      </c>
      <c r="AI2121">
        <v>90.220876171520004</v>
      </c>
      <c r="AJ2121">
        <v>85.923296005533999</v>
      </c>
      <c r="AK2121">
        <v>277.02840025010698</v>
      </c>
      <c r="AL2121">
        <v>91.916802820750902</v>
      </c>
      <c r="AM2121">
        <v>90.158860169069996</v>
      </c>
      <c r="AN2121">
        <v>0.99999999186389998</v>
      </c>
    </row>
    <row r="2122" spans="1:40" x14ac:dyDescent="0.25">
      <c r="A2122" t="str">
        <f>"20190303153816313"</f>
        <v>20190303153816313</v>
      </c>
      <c r="B2122" t="str">
        <f>"1551598696301083"</f>
        <v>1551598696301083</v>
      </c>
      <c r="C2122" t="s">
        <v>40</v>
      </c>
      <c r="D2122">
        <v>4.4421019999999896</v>
      </c>
      <c r="E2122">
        <v>0.5281981</v>
      </c>
      <c r="F2122" t="s">
        <v>58</v>
      </c>
      <c r="G2122">
        <v>-510.95370000000003</v>
      </c>
      <c r="H2122">
        <v>0.20614540000000001</v>
      </c>
      <c r="I2122">
        <v>296.9477</v>
      </c>
      <c r="J2122">
        <v>-223.69309999999999</v>
      </c>
      <c r="K2122">
        <v>1.1175900000000001</v>
      </c>
      <c r="L2122">
        <v>282.4907</v>
      </c>
      <c r="M2122">
        <v>-0.99982009999999999</v>
      </c>
      <c r="N2122">
        <v>-3.1259999999999999E-3</v>
      </c>
      <c r="O2122">
        <v>-1.8716569999999998E-2</v>
      </c>
      <c r="P2122">
        <v>-0.99905619999999995</v>
      </c>
      <c r="Q2122">
        <v>-3.5725519999999997E-2</v>
      </c>
      <c r="R2122">
        <v>-2.47128E-2</v>
      </c>
      <c r="S2122">
        <v>-3.0061800000000001</v>
      </c>
      <c r="T2122">
        <v>-9.5223189999999996E-3</v>
      </c>
      <c r="U2122">
        <v>0.151001</v>
      </c>
      <c r="V2122">
        <v>-6.1834660000000003E-3</v>
      </c>
      <c r="W2122">
        <v>-3.2568880000000001E-2</v>
      </c>
      <c r="X2122">
        <v>0.99945039999999996</v>
      </c>
      <c r="Y2122">
        <v>6.8850549999999996E-2</v>
      </c>
      <c r="Z2122">
        <v>2.1744409999999999E-4</v>
      </c>
      <c r="AA2122">
        <v>0.99762700000000004</v>
      </c>
      <c r="AB2122">
        <v>33</v>
      </c>
      <c r="AC2122">
        <v>-287.26060000000001</v>
      </c>
      <c r="AD2122">
        <v>-0.91144459999999905</v>
      </c>
      <c r="AE2122">
        <v>14.456999999999899</v>
      </c>
      <c r="AF2122">
        <v>19.830826955050298</v>
      </c>
      <c r="AG2122">
        <v>-0.91144459999999905</v>
      </c>
      <c r="AH2122">
        <v>286.93681190489798</v>
      </c>
      <c r="AI2122">
        <v>90.181564297366705</v>
      </c>
      <c r="AJ2122">
        <v>86.046450801902793</v>
      </c>
      <c r="AK2122">
        <v>287.622715471373</v>
      </c>
      <c r="AL2122">
        <v>91.866389358515207</v>
      </c>
      <c r="AM2122">
        <v>90.354476804739605</v>
      </c>
      <c r="AN2122">
        <v>1.0000000346281901</v>
      </c>
    </row>
    <row r="2123" spans="1:40" x14ac:dyDescent="0.25">
      <c r="A2123" t="str">
        <f>"20190303153816336"</f>
        <v>20190303153816336</v>
      </c>
      <c r="B2123" t="str">
        <f>"1551598696330360"</f>
        <v>1551598696330360</v>
      </c>
      <c r="C2123" t="s">
        <v>40</v>
      </c>
      <c r="D2123">
        <v>4.4341910000000002</v>
      </c>
      <c r="E2123">
        <v>0.52810429999999997</v>
      </c>
      <c r="F2123" t="s">
        <v>58</v>
      </c>
      <c r="G2123">
        <v>-510.95370000000003</v>
      </c>
      <c r="H2123">
        <v>0.40445130000000001</v>
      </c>
      <c r="I2123">
        <v>296.75900000000001</v>
      </c>
      <c r="J2123">
        <v>-224.042</v>
      </c>
      <c r="K2123">
        <v>1.11765</v>
      </c>
      <c r="L2123">
        <v>282.48649999999998</v>
      </c>
      <c r="M2123">
        <v>-0.99986180000000002</v>
      </c>
      <c r="N2123">
        <v>-3.5632260000000001E-3</v>
      </c>
      <c r="O2123">
        <v>-1.6245760000000001E-2</v>
      </c>
      <c r="P2123">
        <v>-0.99901680000000004</v>
      </c>
      <c r="Q2123">
        <v>-3.6497370000000001E-2</v>
      </c>
      <c r="R2123">
        <v>-2.5167680000000001E-2</v>
      </c>
      <c r="S2123">
        <v>-3.006256</v>
      </c>
      <c r="T2123">
        <v>-7.4622630000000002E-3</v>
      </c>
      <c r="U2123">
        <v>0.1493225</v>
      </c>
      <c r="V2123">
        <v>-9.1109390000000002E-3</v>
      </c>
      <c r="W2123">
        <v>-3.2888109999999998E-2</v>
      </c>
      <c r="X2123">
        <v>0.99941749999999996</v>
      </c>
      <c r="Y2123">
        <v>6.5828230000000001E-2</v>
      </c>
      <c r="Z2123">
        <v>1.814598E-4</v>
      </c>
      <c r="AA2123">
        <v>0.99783089999999997</v>
      </c>
      <c r="AB2123">
        <v>34</v>
      </c>
      <c r="AC2123">
        <v>-286.9117</v>
      </c>
      <c r="AD2123">
        <v>-0.71319869999999996</v>
      </c>
      <c r="AE2123">
        <v>14.272500000000001</v>
      </c>
      <c r="AF2123">
        <v>18.931627377413001</v>
      </c>
      <c r="AG2123">
        <v>-0.71319869999999996</v>
      </c>
      <c r="AH2123">
        <v>286.64019962771602</v>
      </c>
      <c r="AI2123">
        <v>90.142249259441996</v>
      </c>
      <c r="AJ2123">
        <v>86.221293282635898</v>
      </c>
      <c r="AK2123">
        <v>287.26559002108098</v>
      </c>
      <c r="AL2123">
        <v>91.884689781154506</v>
      </c>
      <c r="AM2123">
        <v>90.5223081363592</v>
      </c>
      <c r="AN2123">
        <v>0.99999998814754099</v>
      </c>
    </row>
    <row r="2124" spans="1:40" x14ac:dyDescent="0.25">
      <c r="A2124" t="str">
        <f>"20190303153816360"</f>
        <v>20190303153816360</v>
      </c>
      <c r="B2124" t="str">
        <f>"1551598696350855"</f>
        <v>1551598696350855</v>
      </c>
      <c r="C2124" t="s">
        <v>40</v>
      </c>
      <c r="D2124">
        <v>4.3195560000000004</v>
      </c>
      <c r="E2124">
        <v>0.52812859999999995</v>
      </c>
      <c r="F2124" t="s">
        <v>58</v>
      </c>
      <c r="G2124">
        <v>-510.95370000000003</v>
      </c>
      <c r="H2124">
        <v>0.23306009999999999</v>
      </c>
      <c r="I2124">
        <v>296.55369999999999</v>
      </c>
      <c r="J2124">
        <v>-224.40770000000001</v>
      </c>
      <c r="K2124">
        <v>1.117715</v>
      </c>
      <c r="L2124">
        <v>282.483</v>
      </c>
      <c r="M2124">
        <v>-0.99989850000000002</v>
      </c>
      <c r="N2124">
        <v>-4.042871E-3</v>
      </c>
      <c r="O2124">
        <v>-1.366271E-2</v>
      </c>
      <c r="P2124">
        <v>-0.99900809999999995</v>
      </c>
      <c r="Q2124">
        <v>-3.7143740000000001E-2</v>
      </c>
      <c r="R2124">
        <v>-2.4563729999999999E-2</v>
      </c>
      <c r="S2124">
        <v>-3.006332</v>
      </c>
      <c r="T2124">
        <v>-9.2680450000000008E-3</v>
      </c>
      <c r="U2124">
        <v>0.1473999</v>
      </c>
      <c r="V2124">
        <v>-1.1090020000000001E-2</v>
      </c>
      <c r="W2124">
        <v>-3.3044450000000003E-2</v>
      </c>
      <c r="X2124">
        <v>0.99939230000000001</v>
      </c>
      <c r="Y2124">
        <v>6.2612150000000005E-2</v>
      </c>
      <c r="Z2124">
        <v>2.0999389999999999E-4</v>
      </c>
      <c r="AA2124">
        <v>0.99803790000000003</v>
      </c>
      <c r="AB2124">
        <v>34</v>
      </c>
      <c r="AC2124">
        <v>-286.54599999999999</v>
      </c>
      <c r="AD2124">
        <v>-0.88465490000000002</v>
      </c>
      <c r="AE2124">
        <v>14.070699999999899</v>
      </c>
      <c r="AF2124">
        <v>17.984242473886599</v>
      </c>
      <c r="AG2124">
        <v>-0.88465490000000002</v>
      </c>
      <c r="AH2124">
        <v>286.32428561138602</v>
      </c>
      <c r="AI2124">
        <v>90.176677789017702</v>
      </c>
      <c r="AJ2124">
        <v>86.405930713314802</v>
      </c>
      <c r="AK2124">
        <v>286.88989546953701</v>
      </c>
      <c r="AL2124">
        <v>91.893652353276096</v>
      </c>
      <c r="AM2124">
        <v>90.635771619927993</v>
      </c>
      <c r="AN2124">
        <v>0.999999946759345</v>
      </c>
    </row>
    <row r="2125" spans="1:40" x14ac:dyDescent="0.25">
      <c r="A2125" t="str">
        <f>"20190303153816382"</f>
        <v>20190303153816382</v>
      </c>
      <c r="B2125" t="str">
        <f>"1551598696370376"</f>
        <v>1551598696370376</v>
      </c>
      <c r="C2125" t="s">
        <v>40</v>
      </c>
      <c r="D2125">
        <v>4.413481</v>
      </c>
      <c r="E2125">
        <v>0.52804119999999999</v>
      </c>
      <c r="F2125" t="s">
        <v>58</v>
      </c>
      <c r="G2125">
        <v>-510.95370000000003</v>
      </c>
      <c r="H2125">
        <v>0.15397359999999999</v>
      </c>
      <c r="I2125">
        <v>296.72449999999998</v>
      </c>
      <c r="J2125">
        <v>-224.72980000000001</v>
      </c>
      <c r="K2125">
        <v>1.117774</v>
      </c>
      <c r="L2125">
        <v>282.48070000000001</v>
      </c>
      <c r="M2125">
        <v>-0.99992510000000001</v>
      </c>
      <c r="N2125">
        <v>-4.4930839999999996E-3</v>
      </c>
      <c r="O2125">
        <v>-1.1393179999999999E-2</v>
      </c>
      <c r="P2125">
        <v>-0.99901399999999996</v>
      </c>
      <c r="Q2125">
        <v>-3.740433E-2</v>
      </c>
      <c r="R2125">
        <v>-2.392128E-2</v>
      </c>
      <c r="S2125">
        <v>-3.0062869999999999</v>
      </c>
      <c r="T2125">
        <v>-1.011014E-2</v>
      </c>
      <c r="U2125">
        <v>0.14941409999999999</v>
      </c>
      <c r="V2125">
        <v>-1.2714629999999999E-2</v>
      </c>
      <c r="W2125">
        <v>-3.2846260000000002E-2</v>
      </c>
      <c r="X2125">
        <v>0.99937949999999998</v>
      </c>
      <c r="Y2125">
        <v>6.1014489999999998E-2</v>
      </c>
      <c r="Z2125">
        <v>2.2682710000000001E-4</v>
      </c>
      <c r="AA2125">
        <v>0.99813689999999999</v>
      </c>
      <c r="AB2125">
        <v>34</v>
      </c>
      <c r="AC2125">
        <v>-286.22390000000001</v>
      </c>
      <c r="AD2125">
        <v>-0.9638004</v>
      </c>
      <c r="AE2125">
        <v>14.243799999999901</v>
      </c>
      <c r="AF2125">
        <v>17.503710524778899</v>
      </c>
      <c r="AG2125">
        <v>-0.9638004</v>
      </c>
      <c r="AH2125">
        <v>286.03980334319198</v>
      </c>
      <c r="AI2125">
        <v>90.192694807507195</v>
      </c>
      <c r="AJ2125">
        <v>86.498250519342903</v>
      </c>
      <c r="AK2125">
        <v>286.57647825660399</v>
      </c>
      <c r="AL2125">
        <v>91.882290706154905</v>
      </c>
      <c r="AM2125">
        <v>90.728907622715596</v>
      </c>
      <c r="AN2125">
        <v>0.99999996181613604</v>
      </c>
    </row>
    <row r="2126" spans="1:40" x14ac:dyDescent="0.25">
      <c r="A2126" t="str">
        <f>"20190303153816402"</f>
        <v>20190303153816402</v>
      </c>
      <c r="B2126" t="str">
        <f>"1551598696390872"</f>
        <v>1551598696390872</v>
      </c>
      <c r="C2126" t="s">
        <v>40</v>
      </c>
      <c r="D2126">
        <v>4.4022610000000002</v>
      </c>
      <c r="E2126">
        <v>0.52796129999999997</v>
      </c>
      <c r="F2126" t="s">
        <v>58</v>
      </c>
      <c r="G2126">
        <v>-510.95359999999999</v>
      </c>
      <c r="H2126">
        <v>0.13111610000000001</v>
      </c>
      <c r="I2126">
        <v>296.8374</v>
      </c>
      <c r="J2126">
        <v>-225.0521</v>
      </c>
      <c r="K2126">
        <v>1.1178380000000001</v>
      </c>
      <c r="L2126">
        <v>282.47919999999999</v>
      </c>
      <c r="M2126">
        <v>-0.99994590000000005</v>
      </c>
      <c r="N2126">
        <v>-4.9903259999999998E-3</v>
      </c>
      <c r="O2126">
        <v>-9.1269569999999998E-3</v>
      </c>
      <c r="P2126">
        <v>-0.99904230000000005</v>
      </c>
      <c r="Q2126">
        <v>-3.7230119999999998E-2</v>
      </c>
      <c r="R2126">
        <v>-2.298619E-2</v>
      </c>
      <c r="S2126">
        <v>-3.006195</v>
      </c>
      <c r="T2126">
        <v>-1.036191E-2</v>
      </c>
      <c r="U2126">
        <v>0.15078739999999999</v>
      </c>
      <c r="V2126">
        <v>-1.4041150000000001E-2</v>
      </c>
      <c r="W2126">
        <v>-3.2167769999999998E-2</v>
      </c>
      <c r="X2126">
        <v>0.99938389999999999</v>
      </c>
      <c r="Y2126">
        <v>5.9208549999999999E-2</v>
      </c>
      <c r="Z2126">
        <v>2.357317E-4</v>
      </c>
      <c r="AA2126">
        <v>0.99824559999999996</v>
      </c>
      <c r="AB2126">
        <v>34</v>
      </c>
      <c r="AC2126">
        <v>-285.9015</v>
      </c>
      <c r="AD2126">
        <v>-0.98672189999999904</v>
      </c>
      <c r="AE2126">
        <v>14.3582</v>
      </c>
      <c r="AF2126">
        <v>16.9668435353374</v>
      </c>
      <c r="AG2126">
        <v>-0.98672189999999904</v>
      </c>
      <c r="AH2126">
        <v>285.75514802786</v>
      </c>
      <c r="AI2126">
        <v>90.197495598940293</v>
      </c>
      <c r="AJ2126">
        <v>86.602026077164396</v>
      </c>
      <c r="AK2126">
        <v>286.260112527199</v>
      </c>
      <c r="AL2126">
        <v>91.8433953730665</v>
      </c>
      <c r="AM2126">
        <v>90.804941630097701</v>
      </c>
      <c r="AN2126">
        <v>1.0000000494496499</v>
      </c>
    </row>
    <row r="2127" spans="1:40" x14ac:dyDescent="0.25">
      <c r="A2127" t="str">
        <f>"20190303153816426"</f>
        <v>20190303153816426</v>
      </c>
      <c r="B2127" t="str">
        <f>"1551598696421127"</f>
        <v>1551598696421127</v>
      </c>
      <c r="C2127" t="s">
        <v>40</v>
      </c>
      <c r="D2127">
        <v>4.3495080000000002</v>
      </c>
      <c r="E2127">
        <v>0.52779600000000004</v>
      </c>
      <c r="F2127" t="s">
        <v>58</v>
      </c>
      <c r="G2127">
        <v>-510.95370000000003</v>
      </c>
      <c r="H2127">
        <v>0.26425850000000001</v>
      </c>
      <c r="I2127">
        <v>297.012</v>
      </c>
      <c r="J2127">
        <v>-225.3938</v>
      </c>
      <c r="K2127">
        <v>1.1179209999999999</v>
      </c>
      <c r="L2127">
        <v>282.47829999999999</v>
      </c>
      <c r="M2127">
        <v>-0.99996169999999995</v>
      </c>
      <c r="N2127">
        <v>-5.5912469999999997E-3</v>
      </c>
      <c r="O2127">
        <v>-6.7296069999999899E-3</v>
      </c>
      <c r="P2127">
        <v>-0.99907630000000003</v>
      </c>
      <c r="Q2127">
        <v>-3.7019169999999997E-2</v>
      </c>
      <c r="R2127">
        <v>-2.1825520000000001E-2</v>
      </c>
      <c r="S2127">
        <v>-3.0060419999999999</v>
      </c>
      <c r="T2127">
        <v>-8.9738370000000001E-3</v>
      </c>
      <c r="U2127">
        <v>0.15280150000000001</v>
      </c>
      <c r="V2127">
        <v>-1.5271969999999999E-2</v>
      </c>
      <c r="W2127">
        <v>-3.134932E-2</v>
      </c>
      <c r="X2127">
        <v>0.99939180000000005</v>
      </c>
      <c r="Y2127">
        <v>5.7485040000000001E-2</v>
      </c>
      <c r="Z2127">
        <v>2.2903689999999999E-4</v>
      </c>
      <c r="AA2127">
        <v>0.99834630000000002</v>
      </c>
      <c r="AB2127">
        <v>34</v>
      </c>
      <c r="AC2127">
        <v>-285.55990000000003</v>
      </c>
      <c r="AD2127">
        <v>-0.85366249999999999</v>
      </c>
      <c r="AE2127">
        <v>14.5337</v>
      </c>
      <c r="AF2127">
        <v>16.454960202181599</v>
      </c>
      <c r="AG2127">
        <v>-0.85366249999999999</v>
      </c>
      <c r="AH2127">
        <v>285.45308151884302</v>
      </c>
      <c r="AI2127">
        <v>90.171061563237501</v>
      </c>
      <c r="AJ2127">
        <v>86.700832407669694</v>
      </c>
      <c r="AK2127">
        <v>285.92823610745899</v>
      </c>
      <c r="AL2127">
        <v>91.796478081081304</v>
      </c>
      <c r="AM2127">
        <v>90.875483793989005</v>
      </c>
      <c r="AN2127">
        <v>0.99999999141969098</v>
      </c>
    </row>
    <row r="2128" spans="1:40" x14ac:dyDescent="0.25">
      <c r="A2128" t="str">
        <f>"20190303153816448"</f>
        <v>20190303153816448</v>
      </c>
      <c r="B2128" t="str">
        <f>"1551598696441284"</f>
        <v>1551598696441284</v>
      </c>
      <c r="C2128" t="s">
        <v>40</v>
      </c>
      <c r="D2128">
        <v>4.3287050000000002</v>
      </c>
      <c r="E2128">
        <v>0.52771400000000002</v>
      </c>
      <c r="F2128" t="s">
        <v>58</v>
      </c>
      <c r="G2128">
        <v>-510.95370000000003</v>
      </c>
      <c r="H2128">
        <v>0.4077055</v>
      </c>
      <c r="I2128">
        <v>297.19740000000002</v>
      </c>
      <c r="J2128">
        <v>-225.74590000000001</v>
      </c>
      <c r="K2128">
        <v>1.118025</v>
      </c>
      <c r="L2128">
        <v>282.47840000000002</v>
      </c>
      <c r="M2128">
        <v>-0.99997100000000005</v>
      </c>
      <c r="N2128">
        <v>-6.3020209999999997E-3</v>
      </c>
      <c r="O2128">
        <v>-4.2685789999999998E-3</v>
      </c>
      <c r="P2128">
        <v>-0.99908450000000004</v>
      </c>
      <c r="Q2128">
        <v>-3.7273729999999998E-2</v>
      </c>
      <c r="R2128">
        <v>-2.10025E-2</v>
      </c>
      <c r="S2128">
        <v>-3.00589</v>
      </c>
      <c r="T2128">
        <v>-7.4750190000000003E-3</v>
      </c>
      <c r="U2128">
        <v>0.15493770000000001</v>
      </c>
      <c r="V2128">
        <v>-1.6905799999999999E-2</v>
      </c>
      <c r="W2128">
        <v>-3.0884579999999998E-2</v>
      </c>
      <c r="X2128">
        <v>0.99938000000000005</v>
      </c>
      <c r="Y2128">
        <v>5.5738269999999999E-2</v>
      </c>
      <c r="Z2128">
        <v>2.2873549999999999E-4</v>
      </c>
      <c r="AA2128">
        <v>0.99844540000000004</v>
      </c>
      <c r="AB2128">
        <v>34</v>
      </c>
      <c r="AC2128">
        <v>-285.20780000000002</v>
      </c>
      <c r="AD2128">
        <v>-0.71031949999999999</v>
      </c>
      <c r="AE2128">
        <v>14.7189999999999</v>
      </c>
      <c r="AF2128">
        <v>15.9362235525759</v>
      </c>
      <c r="AG2128">
        <v>-0.71031949999999999</v>
      </c>
      <c r="AH2128">
        <v>285.14060710902203</v>
      </c>
      <c r="AI2128">
        <v>90.142507980092205</v>
      </c>
      <c r="AJ2128">
        <v>86.801124025268606</v>
      </c>
      <c r="AK2128">
        <v>285.58647306448398</v>
      </c>
      <c r="AL2128">
        <v>91.769837481907402</v>
      </c>
      <c r="AM2128">
        <v>90.969139476887904</v>
      </c>
      <c r="AN2128">
        <v>1.0000000238777</v>
      </c>
    </row>
    <row r="2129" spans="1:40" x14ac:dyDescent="0.25">
      <c r="A2129" t="str">
        <f>"20190303153816470"</f>
        <v>20190303153816470</v>
      </c>
      <c r="B2129" t="str">
        <f>"1551598696460786"</f>
        <v>1551598696460786</v>
      </c>
      <c r="C2129" t="s">
        <v>40</v>
      </c>
      <c r="D2129">
        <v>4.3190910000000002</v>
      </c>
      <c r="E2129">
        <v>0.52758879999999997</v>
      </c>
      <c r="F2129" t="s">
        <v>58</v>
      </c>
      <c r="G2129">
        <v>-510.95370000000003</v>
      </c>
      <c r="H2129">
        <v>0.39575050000000001</v>
      </c>
      <c r="I2129">
        <v>297.35079999999999</v>
      </c>
      <c r="J2129">
        <v>-226.07849999999999</v>
      </c>
      <c r="K2129">
        <v>1.1181319999999999</v>
      </c>
      <c r="L2129">
        <v>282.47919999999999</v>
      </c>
      <c r="M2129">
        <v>-0.99997320000000001</v>
      </c>
      <c r="N2129">
        <v>-7.0584559999999899E-3</v>
      </c>
      <c r="O2129">
        <v>-1.9604409999999998E-3</v>
      </c>
      <c r="P2129">
        <v>-0.99911240000000001</v>
      </c>
      <c r="Q2129">
        <v>-3.683413E-2</v>
      </c>
      <c r="R2129">
        <v>-2.043965E-2</v>
      </c>
      <c r="S2129">
        <v>-3.0057680000000002</v>
      </c>
      <c r="T2129">
        <v>-7.6110359999999998E-3</v>
      </c>
      <c r="U2129">
        <v>0.156738299999999</v>
      </c>
      <c r="V2129">
        <v>-1.8642969999999998E-2</v>
      </c>
      <c r="W2129">
        <v>-2.967966E-2</v>
      </c>
      <c r="X2129">
        <v>0.99938559999999999</v>
      </c>
      <c r="Y2129">
        <v>5.4032139999999999E-2</v>
      </c>
      <c r="Z2129">
        <v>2.503192E-4</v>
      </c>
      <c r="AA2129">
        <v>0.99853910000000001</v>
      </c>
      <c r="AB2129">
        <v>34</v>
      </c>
      <c r="AC2129">
        <v>-284.87520000000001</v>
      </c>
      <c r="AD2129">
        <v>-0.72238149999999901</v>
      </c>
      <c r="AE2129">
        <v>14.871600000000001</v>
      </c>
      <c r="AF2129">
        <v>15.429967388688899</v>
      </c>
      <c r="AG2129">
        <v>-0.72238149999999901</v>
      </c>
      <c r="AH2129">
        <v>284.84367029646199</v>
      </c>
      <c r="AI2129">
        <v>90.145092674442793</v>
      </c>
      <c r="AJ2129">
        <v>86.899320977231895</v>
      </c>
      <c r="AK2129">
        <v>285.26219910217202</v>
      </c>
      <c r="AL2129">
        <v>91.700768996885401</v>
      </c>
      <c r="AM2129">
        <v>91.068696228791197</v>
      </c>
      <c r="AN2129">
        <v>1.00000001001774</v>
      </c>
    </row>
    <row r="2130" spans="1:40" x14ac:dyDescent="0.25">
      <c r="A2130" t="str">
        <f>"20190303153816492"</f>
        <v>20190303153816492</v>
      </c>
      <c r="B2130" t="str">
        <f>"1551598696481280"</f>
        <v>1551598696481280</v>
      </c>
      <c r="C2130" t="s">
        <v>40</v>
      </c>
      <c r="D2130">
        <v>4.2014399999999998</v>
      </c>
      <c r="E2130">
        <v>0.52759999999999996</v>
      </c>
      <c r="F2130" t="s">
        <v>58</v>
      </c>
      <c r="G2130">
        <v>-510.9538</v>
      </c>
      <c r="H2130">
        <v>0.61461279999999996</v>
      </c>
      <c r="I2130">
        <v>297.36369999999999</v>
      </c>
      <c r="J2130">
        <v>-226.4118</v>
      </c>
      <c r="K2130">
        <v>1.1182589999999999</v>
      </c>
      <c r="L2130">
        <v>282.48090000000002</v>
      </c>
      <c r="M2130">
        <v>-0.99996929999999995</v>
      </c>
      <c r="N2130">
        <v>-7.8449100000000001E-3</v>
      </c>
      <c r="O2130">
        <v>3.4023890000000001E-4</v>
      </c>
      <c r="P2130">
        <v>-0.99904199999999999</v>
      </c>
      <c r="Q2130">
        <v>-3.8753830000000003E-2</v>
      </c>
      <c r="R2130">
        <v>-2.0328510000000001E-2</v>
      </c>
      <c r="S2130">
        <v>-3.0056609999999999</v>
      </c>
      <c r="T2130">
        <v>-5.3116079999999998E-3</v>
      </c>
      <c r="U2130">
        <v>0.1570435</v>
      </c>
      <c r="V2130">
        <v>-2.0835739999999998E-2</v>
      </c>
      <c r="W2130">
        <v>-3.0802840000000001E-2</v>
      </c>
      <c r="X2130">
        <v>0.99930830000000004</v>
      </c>
      <c r="Y2130">
        <v>5.1837830000000001E-2</v>
      </c>
      <c r="Z2130">
        <v>2.513134E-4</v>
      </c>
      <c r="AA2130">
        <v>0.99865550000000003</v>
      </c>
      <c r="AB2130">
        <v>34</v>
      </c>
      <c r="AC2130">
        <v>-284.54199999999997</v>
      </c>
      <c r="AD2130">
        <v>-0.50364620000000004</v>
      </c>
      <c r="AE2130">
        <v>14.8827999999999</v>
      </c>
      <c r="AF2130">
        <v>14.785937717064099</v>
      </c>
      <c r="AG2130">
        <v>-0.50364620000000004</v>
      </c>
      <c r="AH2130">
        <v>284.54615834527601</v>
      </c>
      <c r="AI2130">
        <v>90.101276683056497</v>
      </c>
      <c r="AJ2130">
        <v>87.025401571103401</v>
      </c>
      <c r="AK2130">
        <v>284.93050704114302</v>
      </c>
      <c r="AL2130">
        <v>91.765151918903598</v>
      </c>
      <c r="AM2130">
        <v>91.194453220175802</v>
      </c>
      <c r="AN2130">
        <v>1.00000001073115</v>
      </c>
    </row>
    <row r="2131" spans="1:40" x14ac:dyDescent="0.25">
      <c r="A2131" t="str">
        <f>"20190303153816514"</f>
        <v>20190303153816514</v>
      </c>
      <c r="B2131" t="str">
        <f>"1551598696510558"</f>
        <v>1551598696510558</v>
      </c>
      <c r="C2131" t="s">
        <v>40</v>
      </c>
      <c r="D2131">
        <v>4.2971450000000004</v>
      </c>
      <c r="E2131">
        <v>0.52753619999999901</v>
      </c>
      <c r="F2131" t="s">
        <v>58</v>
      </c>
      <c r="G2131">
        <v>-510.95370000000003</v>
      </c>
      <c r="H2131">
        <v>0.2242854</v>
      </c>
      <c r="I2131">
        <v>297.3766</v>
      </c>
      <c r="J2131">
        <v>-226.74109999999999</v>
      </c>
      <c r="K2131">
        <v>1.1183639999999999</v>
      </c>
      <c r="L2131">
        <v>282.48329999999999</v>
      </c>
      <c r="M2131">
        <v>-0.99995970000000001</v>
      </c>
      <c r="N2131">
        <v>-8.5921890000000001E-3</v>
      </c>
      <c r="O2131">
        <v>2.603251E-3</v>
      </c>
      <c r="P2131">
        <v>-0.99901289999999998</v>
      </c>
      <c r="Q2131">
        <v>-3.9534399999999997E-2</v>
      </c>
      <c r="R2131">
        <v>-2.026275E-2</v>
      </c>
      <c r="S2131">
        <v>-3.005722</v>
      </c>
      <c r="T2131">
        <v>-9.4424490000000003E-3</v>
      </c>
      <c r="U2131">
        <v>0.15734860000000001</v>
      </c>
      <c r="V2131">
        <v>-2.302999E-2</v>
      </c>
      <c r="W2131">
        <v>-3.082619E-2</v>
      </c>
      <c r="X2131">
        <v>0.99925940000000002</v>
      </c>
      <c r="Y2131">
        <v>4.9677270000000003E-2</v>
      </c>
      <c r="Z2131">
        <v>3.0572789999999998E-4</v>
      </c>
      <c r="AA2131">
        <v>0.99876529999999997</v>
      </c>
      <c r="AB2131">
        <v>34</v>
      </c>
      <c r="AC2131">
        <v>-284.21260000000001</v>
      </c>
      <c r="AD2131">
        <v>-0.89407859999999995</v>
      </c>
      <c r="AE2131">
        <v>14.8933</v>
      </c>
      <c r="AF2131">
        <v>14.1532058065995</v>
      </c>
      <c r="AG2131">
        <v>-0.89407859999999995</v>
      </c>
      <c r="AH2131">
        <v>284.247604070161</v>
      </c>
      <c r="AI2131">
        <v>90.179995811978898</v>
      </c>
      <c r="AJ2131">
        <v>87.149492933260603</v>
      </c>
      <c r="AK2131">
        <v>284.60114727592702</v>
      </c>
      <c r="AL2131">
        <v>91.766490445019002</v>
      </c>
      <c r="AM2131">
        <v>91.320265463587603</v>
      </c>
      <c r="AN2131">
        <v>0.999999991458838</v>
      </c>
    </row>
    <row r="2132" spans="1:40" x14ac:dyDescent="0.25">
      <c r="A2132" t="str">
        <f>"20190303153816537"</f>
        <v>20190303153816537</v>
      </c>
      <c r="B2132" t="str">
        <f>"1551598696531055"</f>
        <v>1551598696531055</v>
      </c>
      <c r="C2132" t="s">
        <v>40</v>
      </c>
      <c r="D2132">
        <v>4.2964190000000002</v>
      </c>
      <c r="E2132">
        <v>0.52755240000000003</v>
      </c>
      <c r="F2132" t="s">
        <v>58</v>
      </c>
      <c r="G2132">
        <v>-510.95359999999999</v>
      </c>
      <c r="H2132">
        <v>0.12488349999999999</v>
      </c>
      <c r="I2132">
        <v>297.34730000000002</v>
      </c>
      <c r="J2132">
        <v>-227.0915</v>
      </c>
      <c r="K2132">
        <v>1.1184689999999999</v>
      </c>
      <c r="L2132">
        <v>282.48669999999998</v>
      </c>
      <c r="M2132">
        <v>-0.99994400000000006</v>
      </c>
      <c r="N2132">
        <v>-9.326338E-3</v>
      </c>
      <c r="O2132">
        <v>4.9831169999999996E-3</v>
      </c>
      <c r="P2132">
        <v>-0.99891839999999998</v>
      </c>
      <c r="Q2132">
        <v>-4.1634600000000001E-2</v>
      </c>
      <c r="R2132">
        <v>-2.0699990000000001E-2</v>
      </c>
      <c r="S2132">
        <v>-3.0057369999999999</v>
      </c>
      <c r="T2132">
        <v>-1.0505799999999999E-2</v>
      </c>
      <c r="U2132">
        <v>0.157196</v>
      </c>
      <c r="V2132">
        <v>-2.5850060000000001E-2</v>
      </c>
      <c r="W2132">
        <v>-3.2180260000000002E-2</v>
      </c>
      <c r="X2132">
        <v>0.99914769999999997</v>
      </c>
      <c r="Y2132">
        <v>4.724913E-2</v>
      </c>
      <c r="Z2132">
        <v>3.3204629999999898E-4</v>
      </c>
      <c r="AA2132">
        <v>0.99888310000000002</v>
      </c>
      <c r="AB2132">
        <v>34</v>
      </c>
      <c r="AC2132">
        <v>-283.8621</v>
      </c>
      <c r="AD2132">
        <v>-0.99358550000000001</v>
      </c>
      <c r="AE2132">
        <v>14.8606</v>
      </c>
      <c r="AF2132">
        <v>13.4456714870621</v>
      </c>
      <c r="AG2132">
        <v>-0.99358550000000001</v>
      </c>
      <c r="AH2132">
        <v>283.92916155077398</v>
      </c>
      <c r="AI2132">
        <v>90.200276358857806</v>
      </c>
      <c r="AJ2132">
        <v>87.288742295796297</v>
      </c>
      <c r="AK2132">
        <v>284.24908455931597</v>
      </c>
      <c r="AL2132">
        <v>91.844111531950901</v>
      </c>
      <c r="AM2132">
        <v>91.482032140907407</v>
      </c>
      <c r="AN2132">
        <v>0.99999996057547902</v>
      </c>
    </row>
    <row r="2133" spans="1:40" x14ac:dyDescent="0.25">
      <c r="A2133" t="str">
        <f>"20190303153816561"</f>
        <v>20190303153816561</v>
      </c>
      <c r="B2133" t="str">
        <f>"1551598696551030"</f>
        <v>1551598696551030</v>
      </c>
      <c r="C2133" t="s">
        <v>40</v>
      </c>
      <c r="D2133">
        <v>4.2929060000000003</v>
      </c>
      <c r="E2133">
        <v>0.52745450000000005</v>
      </c>
      <c r="F2133" t="s">
        <v>57</v>
      </c>
      <c r="G2133">
        <v>-429.99900000000002</v>
      </c>
      <c r="H2133">
        <v>6.219819E-2</v>
      </c>
      <c r="I2133">
        <v>293.01990000000001</v>
      </c>
      <c r="J2133">
        <v>-227.4522</v>
      </c>
      <c r="K2133">
        <v>1.1185639999999999</v>
      </c>
      <c r="L2133">
        <v>282.49099999999999</v>
      </c>
      <c r="M2133">
        <v>-0.99992259999999999</v>
      </c>
      <c r="N2133">
        <v>-1.001172E-2</v>
      </c>
      <c r="O2133">
        <v>7.3832050000000003E-3</v>
      </c>
      <c r="P2133">
        <v>-0.99882040000000005</v>
      </c>
      <c r="Q2133">
        <v>-4.3916669999999998E-2</v>
      </c>
      <c r="R2133">
        <v>-2.0724260000000001E-2</v>
      </c>
      <c r="S2133">
        <v>-3.005814</v>
      </c>
      <c r="T2133">
        <v>-1.5647290000000001E-2</v>
      </c>
      <c r="U2133">
        <v>0.15603639999999999</v>
      </c>
      <c r="V2133">
        <v>-2.8276389999999998E-2</v>
      </c>
      <c r="W2133">
        <v>-3.3768390000000002E-2</v>
      </c>
      <c r="X2133">
        <v>0.99902959999999996</v>
      </c>
      <c r="Y2133">
        <v>4.4464999999999998E-2</v>
      </c>
      <c r="Z2133">
        <v>3.7387070000000002E-4</v>
      </c>
      <c r="AA2133">
        <v>0.99901090000000003</v>
      </c>
      <c r="AB2133">
        <v>34</v>
      </c>
      <c r="AC2133">
        <v>-202.54679999999999</v>
      </c>
      <c r="AD2133">
        <v>-1.05636581</v>
      </c>
      <c r="AE2133">
        <v>10.5289</v>
      </c>
      <c r="AF2133">
        <v>9.0328484212322309</v>
      </c>
      <c r="AG2133">
        <v>-1.05636581</v>
      </c>
      <c r="AH2133">
        <v>202.61352335964901</v>
      </c>
      <c r="AI2133">
        <v>90.298423799635302</v>
      </c>
      <c r="AJ2133">
        <v>87.447348952896704</v>
      </c>
      <c r="AK2133">
        <v>202.817524162821</v>
      </c>
      <c r="AL2133">
        <v>91.935154124160704</v>
      </c>
      <c r="AM2133">
        <v>91.621258654171598</v>
      </c>
      <c r="AN2133">
        <v>1.0000000000353899</v>
      </c>
    </row>
    <row r="2134" spans="1:40" x14ac:dyDescent="0.25">
      <c r="A2134" t="str">
        <f>"20190303153816584"</f>
        <v>20190303153816584</v>
      </c>
      <c r="B2134" t="str">
        <f>"1551598696581286"</f>
        <v>1551598696581286</v>
      </c>
      <c r="C2134" t="s">
        <v>40</v>
      </c>
      <c r="D2134">
        <v>4.2811469999999998</v>
      </c>
      <c r="E2134">
        <v>0.52731839999999996</v>
      </c>
      <c r="F2134" t="s">
        <v>55</v>
      </c>
      <c r="G2134">
        <v>-370.13330000000002</v>
      </c>
      <c r="H2134">
        <v>8.0000059999999998E-2</v>
      </c>
      <c r="I2134">
        <v>289.8501</v>
      </c>
      <c r="J2134">
        <v>-227.7961</v>
      </c>
      <c r="K2134">
        <v>1.1186590000000001</v>
      </c>
      <c r="L2134">
        <v>282.49590000000001</v>
      </c>
      <c r="M2134">
        <v>-0.99989779999999995</v>
      </c>
      <c r="N2134">
        <v>-1.0598689999999999E-2</v>
      </c>
      <c r="O2134">
        <v>9.6117879999999996E-3</v>
      </c>
      <c r="P2134">
        <v>-0.99873869999999998</v>
      </c>
      <c r="Q2134">
        <v>-4.5751649999999998E-2</v>
      </c>
      <c r="R2134">
        <v>-2.0694049999999999E-2</v>
      </c>
      <c r="S2134">
        <v>-3.005798</v>
      </c>
      <c r="T2134">
        <v>-2.1878959999999999E-2</v>
      </c>
      <c r="U2134">
        <v>0.15502929999999901</v>
      </c>
      <c r="V2134">
        <v>-3.0473480000000001E-2</v>
      </c>
      <c r="W2134">
        <v>-3.5010520000000003E-2</v>
      </c>
      <c r="X2134">
        <v>0.99892219999999998</v>
      </c>
      <c r="Y2134">
        <v>4.1903669999999997E-2</v>
      </c>
      <c r="Z2134">
        <v>4.0653089999999998E-4</v>
      </c>
      <c r="AA2134">
        <v>0.9991215</v>
      </c>
      <c r="AB2134">
        <v>34</v>
      </c>
      <c r="AC2134">
        <v>-142.3372</v>
      </c>
      <c r="AD2134">
        <v>-1.0386589399999999</v>
      </c>
      <c r="AE2134">
        <v>7.3541999999999899</v>
      </c>
      <c r="AF2134">
        <v>5.98535076225222</v>
      </c>
      <c r="AG2134">
        <v>-1.0386589399999999</v>
      </c>
      <c r="AH2134">
        <v>142.39375296975101</v>
      </c>
      <c r="AI2134">
        <v>90.417554957926001</v>
      </c>
      <c r="AJ2134">
        <v>87.593057464979594</v>
      </c>
      <c r="AK2134">
        <v>142.52327571646401</v>
      </c>
      <c r="AL2134">
        <v>92.006365125246901</v>
      </c>
      <c r="AM2134">
        <v>91.747343748542306</v>
      </c>
      <c r="AN2134">
        <v>0.99999996557340898</v>
      </c>
    </row>
    <row r="2135" spans="1:40" x14ac:dyDescent="0.25">
      <c r="A2135" t="str">
        <f>"20190303153816603"</f>
        <v>20190303153816603</v>
      </c>
      <c r="B2135" t="str">
        <f>"1551598696600807"</f>
        <v>1551598696600807</v>
      </c>
      <c r="C2135" t="s">
        <v>40</v>
      </c>
      <c r="D2135">
        <v>4.3099400000000001</v>
      </c>
      <c r="E2135">
        <v>0.5272346</v>
      </c>
      <c r="F2135" t="s">
        <v>55</v>
      </c>
      <c r="G2135">
        <v>-351.53680000000003</v>
      </c>
      <c r="H2135" s="1">
        <v>-7.1897909999999896E-7</v>
      </c>
      <c r="I2135">
        <v>288.83679999999998</v>
      </c>
      <c r="J2135">
        <v>-228.0882</v>
      </c>
      <c r="K2135">
        <v>1.1187469999999999</v>
      </c>
      <c r="L2135">
        <v>282.50069999999999</v>
      </c>
      <c r="M2135">
        <v>-0.99987349999999997</v>
      </c>
      <c r="N2135">
        <v>-1.1045050000000001E-2</v>
      </c>
      <c r="O2135">
        <v>1.144513E-2</v>
      </c>
      <c r="P2135">
        <v>-0.9986836</v>
      </c>
      <c r="Q2135">
        <v>-4.7167489999999999E-2</v>
      </c>
      <c r="R2135">
        <v>-2.0153730000000002E-2</v>
      </c>
      <c r="S2135">
        <v>-3.0057369999999999</v>
      </c>
      <c r="T2135">
        <v>-2.717292E-2</v>
      </c>
      <c r="U2135">
        <v>0.1540222</v>
      </c>
      <c r="V2135">
        <v>-3.1763199999999998E-2</v>
      </c>
      <c r="W2135">
        <v>-3.597943E-2</v>
      </c>
      <c r="X2135">
        <v>0.99884759999999995</v>
      </c>
      <c r="Y2135">
        <v>3.9737840000000003E-2</v>
      </c>
      <c r="Z2135">
        <v>4.220704E-4</v>
      </c>
      <c r="AA2135">
        <v>0.99921009999999999</v>
      </c>
      <c r="AB2135">
        <v>34</v>
      </c>
      <c r="AC2135">
        <v>-123.4486</v>
      </c>
      <c r="AD2135">
        <v>-1.1187477189791</v>
      </c>
      <c r="AE2135">
        <v>6.3360999999999796</v>
      </c>
      <c r="AF2135">
        <v>4.92231028744773</v>
      </c>
      <c r="AG2135">
        <v>-1.1187477189791</v>
      </c>
      <c r="AH2135">
        <v>123.5029189178</v>
      </c>
      <c r="AI2135">
        <v>90.518586314923695</v>
      </c>
      <c r="AJ2135">
        <v>87.717637629842599</v>
      </c>
      <c r="AK2135">
        <v>123.606034303513</v>
      </c>
      <c r="AL2135">
        <v>92.061914569621507</v>
      </c>
      <c r="AM2135">
        <v>91.821383192705994</v>
      </c>
      <c r="AN2135">
        <v>0.99999997414156205</v>
      </c>
    </row>
    <row r="2136" spans="1:40" x14ac:dyDescent="0.25">
      <c r="A2136" t="str">
        <f>"20190303153816627"</f>
        <v>20190303153816627</v>
      </c>
      <c r="B2136" t="str">
        <f>"1551598696621303"</f>
        <v>1551598696621303</v>
      </c>
      <c r="C2136" t="s">
        <v>40</v>
      </c>
      <c r="D2136">
        <v>4.3125229999999997</v>
      </c>
      <c r="E2136">
        <v>0.5271574</v>
      </c>
      <c r="F2136" t="s">
        <v>55</v>
      </c>
      <c r="G2136">
        <v>-335.5231</v>
      </c>
      <c r="H2136" s="1">
        <v>1.252397E-6</v>
      </c>
      <c r="I2136">
        <v>288.04649999999998</v>
      </c>
      <c r="J2136">
        <v>-228.43369999999999</v>
      </c>
      <c r="K2136">
        <v>1.1188739999999999</v>
      </c>
      <c r="L2136">
        <v>282.5068</v>
      </c>
      <c r="M2136">
        <v>-0.99984229999999996</v>
      </c>
      <c r="N2136">
        <v>-1.151742E-2</v>
      </c>
      <c r="O2136">
        <v>1.352505E-2</v>
      </c>
      <c r="P2136">
        <v>-0.99872620000000001</v>
      </c>
      <c r="Q2136">
        <v>-4.6753240000000001E-2</v>
      </c>
      <c r="R2136">
        <v>-1.8982389999999998E-2</v>
      </c>
      <c r="S2136">
        <v>-3.0055999999999998</v>
      </c>
      <c r="T2136">
        <v>-3.1298039999999999E-2</v>
      </c>
      <c r="U2136">
        <v>0.15515139999999999</v>
      </c>
      <c r="V2136">
        <v>-3.2657249999999999E-2</v>
      </c>
      <c r="W2136">
        <v>-3.509603E-2</v>
      </c>
      <c r="X2136">
        <v>0.99885020000000002</v>
      </c>
      <c r="Y2136">
        <v>3.8035109999999997E-2</v>
      </c>
      <c r="Z2136">
        <v>4.3206229999999998E-4</v>
      </c>
      <c r="AA2136">
        <v>0.99927630000000001</v>
      </c>
      <c r="AB2136">
        <v>34</v>
      </c>
      <c r="AC2136">
        <v>-107.0894</v>
      </c>
      <c r="AD2136">
        <v>-1.11887274760299</v>
      </c>
      <c r="AE2136">
        <v>5.5396999999999803</v>
      </c>
      <c r="AF2136">
        <v>4.0902625056935502</v>
      </c>
      <c r="AG2136">
        <v>-1.11887274760299</v>
      </c>
      <c r="AH2136">
        <v>107.142868532858</v>
      </c>
      <c r="AI2136">
        <v>90.597871783811001</v>
      </c>
      <c r="AJ2136">
        <v>87.813750625180404</v>
      </c>
      <c r="AK2136">
        <v>107.22675226379</v>
      </c>
      <c r="AL2136">
        <v>92.011267481999397</v>
      </c>
      <c r="AM2136">
        <v>91.8726094352497</v>
      </c>
      <c r="AN2136">
        <v>0.99999997466968105</v>
      </c>
    </row>
    <row r="2137" spans="1:40" x14ac:dyDescent="0.25">
      <c r="A2137" t="str">
        <f>"20190303153816649"</f>
        <v>20190303153816649</v>
      </c>
      <c r="B2137" t="str">
        <f>"1551598696640823"</f>
        <v>1551598696640823</v>
      </c>
      <c r="C2137" t="s">
        <v>40</v>
      </c>
      <c r="D2137">
        <v>4.2862819999999999</v>
      </c>
      <c r="E2137">
        <v>0.52706469999999905</v>
      </c>
      <c r="F2137" t="s">
        <v>55</v>
      </c>
      <c r="G2137">
        <v>-341.07830000000001</v>
      </c>
      <c r="H2137" s="1">
        <v>-9.6296969999999992E-7</v>
      </c>
      <c r="I2137">
        <v>288.4375</v>
      </c>
      <c r="J2137">
        <v>-228.77590000000001</v>
      </c>
      <c r="K2137">
        <v>1.119019</v>
      </c>
      <c r="L2137">
        <v>282.51350000000002</v>
      </c>
      <c r="M2137">
        <v>-0.99980919999999895</v>
      </c>
      <c r="N2137">
        <v>-1.1928289999999999E-2</v>
      </c>
      <c r="O2137">
        <v>1.5465130000000001E-2</v>
      </c>
      <c r="P2137">
        <v>-0.99886520000000001</v>
      </c>
      <c r="Q2137">
        <v>-4.4050249999999999E-2</v>
      </c>
      <c r="R2137">
        <v>-1.8111189999999999E-2</v>
      </c>
      <c r="S2137">
        <v>-3.005417</v>
      </c>
      <c r="T2137">
        <v>-2.9852150000000001E-2</v>
      </c>
      <c r="U2137">
        <v>0.1582336</v>
      </c>
      <c r="V2137">
        <v>-3.3701920000000003E-2</v>
      </c>
      <c r="W2137">
        <v>-3.1985649999999997E-2</v>
      </c>
      <c r="X2137">
        <v>0.99892000000000003</v>
      </c>
      <c r="Y2137">
        <v>3.712153E-2</v>
      </c>
      <c r="Z2137">
        <v>4.3669439999999998E-4</v>
      </c>
      <c r="AA2137">
        <v>0.9993107</v>
      </c>
      <c r="AB2137">
        <v>34</v>
      </c>
      <c r="AC2137">
        <v>-112.30240000000001</v>
      </c>
      <c r="AD2137">
        <v>-1.1190199629697</v>
      </c>
      <c r="AE2137">
        <v>5.9239999999999702</v>
      </c>
      <c r="AF2137">
        <v>4.1859820883226</v>
      </c>
      <c r="AG2137">
        <v>-1.1190199629697</v>
      </c>
      <c r="AH2137">
        <v>112.369463539988</v>
      </c>
      <c r="AI2137">
        <v>90.570159933721698</v>
      </c>
      <c r="AJ2137">
        <v>87.866606733841195</v>
      </c>
      <c r="AK2137">
        <v>112.45297233948899</v>
      </c>
      <c r="AL2137">
        <v>91.8329553225213</v>
      </c>
      <c r="AM2137">
        <v>91.932332534224301</v>
      </c>
      <c r="AN2137">
        <v>1.0000000338088</v>
      </c>
    </row>
    <row r="2138" spans="1:40" x14ac:dyDescent="0.25">
      <c r="A2138" t="str">
        <f>"20190303153816671"</f>
        <v>20190303153816671</v>
      </c>
      <c r="B2138" t="str">
        <f>"1551598696661321"</f>
        <v>1551598696661321</v>
      </c>
      <c r="C2138" t="s">
        <v>40</v>
      </c>
      <c r="D2138">
        <v>4.3213309999999998</v>
      </c>
      <c r="E2138">
        <v>0.52697830000000001</v>
      </c>
      <c r="F2138" t="s">
        <v>55</v>
      </c>
      <c r="G2138">
        <v>-376.1069</v>
      </c>
      <c r="H2138">
        <v>8.0000340000000003E-2</v>
      </c>
      <c r="I2138">
        <v>290.36779999999999</v>
      </c>
      <c r="J2138">
        <v>-229.10059999999999</v>
      </c>
      <c r="K2138">
        <v>1.1191759999999999</v>
      </c>
      <c r="L2138">
        <v>282.5204</v>
      </c>
      <c r="M2138">
        <v>-0.99977769999999999</v>
      </c>
      <c r="N2138">
        <v>-1.2262840000000001E-2</v>
      </c>
      <c r="O2138">
        <v>1.715417E-2</v>
      </c>
      <c r="P2138">
        <v>-0.99900809999999995</v>
      </c>
      <c r="Q2138">
        <v>-4.0981900000000002E-2</v>
      </c>
      <c r="R2138">
        <v>-1.7422630000000001E-2</v>
      </c>
      <c r="S2138">
        <v>-3.0053860000000001</v>
      </c>
      <c r="T2138">
        <v>-2.119482E-2</v>
      </c>
      <c r="U2138">
        <v>0.16021729999999901</v>
      </c>
      <c r="V2138">
        <v>-3.4679550000000003E-2</v>
      </c>
      <c r="W2138">
        <v>-2.8587930000000001E-2</v>
      </c>
      <c r="X2138">
        <v>0.99898949999999997</v>
      </c>
      <c r="Y2138">
        <v>3.6093260000000002E-2</v>
      </c>
      <c r="Z2138">
        <v>4.3803469999999998E-4</v>
      </c>
      <c r="AA2138">
        <v>0.99934829999999997</v>
      </c>
      <c r="AB2138">
        <v>33</v>
      </c>
      <c r="AC2138">
        <v>-147.00630000000001</v>
      </c>
      <c r="AD2138">
        <v>-1.0391756599999999</v>
      </c>
      <c r="AE2138">
        <v>7.8473999999999897</v>
      </c>
      <c r="AF2138">
        <v>5.3240192736146197</v>
      </c>
      <c r="AG2138">
        <v>-1.0391756599999999</v>
      </c>
      <c r="AH2138">
        <v>147.11196122183</v>
      </c>
      <c r="AI2138">
        <v>90.404456835939698</v>
      </c>
      <c r="AJ2138">
        <v>87.927355729806294</v>
      </c>
      <c r="AK2138">
        <v>147.21193634285001</v>
      </c>
      <c r="AL2138">
        <v>91.638190957454597</v>
      </c>
      <c r="AM2138">
        <v>91.988203328259999</v>
      </c>
      <c r="AN2138">
        <v>0.99999998102006804</v>
      </c>
    </row>
    <row r="2139" spans="1:40" x14ac:dyDescent="0.25">
      <c r="A2139" t="str">
        <f>"20190303153816692"</f>
        <v>20190303153816692</v>
      </c>
      <c r="B2139" t="str">
        <f>"1551598696680838"</f>
        <v>1551598696680838</v>
      </c>
      <c r="C2139" t="s">
        <v>40</v>
      </c>
      <c r="D2139">
        <v>4.307525</v>
      </c>
      <c r="E2139">
        <v>0.52688590000000002</v>
      </c>
      <c r="F2139" t="s">
        <v>51</v>
      </c>
      <c r="G2139">
        <v>-499.95780000000002</v>
      </c>
      <c r="H2139">
        <v>3.3233060000000002E-2</v>
      </c>
      <c r="I2139">
        <v>297.12509999999997</v>
      </c>
      <c r="J2139">
        <v>-229.4272</v>
      </c>
      <c r="K2139">
        <v>1.1193200000000001</v>
      </c>
      <c r="L2139">
        <v>282.52769999999998</v>
      </c>
      <c r="M2139">
        <v>-0.99974700000000005</v>
      </c>
      <c r="N2139">
        <v>-1.251469E-2</v>
      </c>
      <c r="O2139">
        <v>1.8694019999999999E-2</v>
      </c>
      <c r="P2139">
        <v>-0.99908350000000001</v>
      </c>
      <c r="Q2139">
        <v>-3.9177480000000001E-2</v>
      </c>
      <c r="R2139">
        <v>-1.7256069999999998E-2</v>
      </c>
      <c r="S2139">
        <v>-3.005325</v>
      </c>
      <c r="T2139">
        <v>-1.2049199999999999E-2</v>
      </c>
      <c r="U2139">
        <v>0.16204830000000001</v>
      </c>
      <c r="V2139">
        <v>-3.6034410000000003E-2</v>
      </c>
      <c r="W2139">
        <v>-2.6537999999999999E-2</v>
      </c>
      <c r="X2139">
        <v>0.9989981</v>
      </c>
      <c r="Y2139">
        <v>3.5163920000000001E-2</v>
      </c>
      <c r="Z2139">
        <v>4.4959310000000001E-4</v>
      </c>
      <c r="AA2139">
        <v>0.99938150000000003</v>
      </c>
      <c r="AB2139">
        <v>33</v>
      </c>
      <c r="AC2139">
        <v>-270.53059999999999</v>
      </c>
      <c r="AD2139">
        <v>-1.0860869399999999</v>
      </c>
      <c r="AE2139">
        <v>14.597399999999899</v>
      </c>
      <c r="AF2139">
        <v>9.5369953110919194</v>
      </c>
      <c r="AG2139">
        <v>-1.0860869399999999</v>
      </c>
      <c r="AH2139">
        <v>270.75187207246103</v>
      </c>
      <c r="AI2139">
        <v>90.229691102967905</v>
      </c>
      <c r="AJ2139">
        <v>87.982640886555103</v>
      </c>
      <c r="AK2139">
        <v>270.92196310957797</v>
      </c>
      <c r="AL2139">
        <v>91.520693967296495</v>
      </c>
      <c r="AM2139">
        <v>92.065794613358904</v>
      </c>
      <c r="AN2139">
        <v>0.99999997397582796</v>
      </c>
    </row>
    <row r="2140" spans="1:40" x14ac:dyDescent="0.25">
      <c r="A2140" t="str">
        <f>"20190303153816715"</f>
        <v>20190303153816715</v>
      </c>
      <c r="B2140" t="str">
        <f>"1551598696711094"</f>
        <v>1551598696711094</v>
      </c>
      <c r="C2140" t="s">
        <v>40</v>
      </c>
      <c r="D2140">
        <v>4.3026839999999904</v>
      </c>
      <c r="E2140">
        <v>0.52673510000000001</v>
      </c>
      <c r="F2140" t="s">
        <v>58</v>
      </c>
      <c r="G2140">
        <v>-511.82029999999997</v>
      </c>
      <c r="H2140">
        <v>0.48271730000000002</v>
      </c>
      <c r="I2140">
        <v>297.74889999999999</v>
      </c>
      <c r="J2140">
        <v>-229.76140000000001</v>
      </c>
      <c r="K2140">
        <v>1.1194440000000001</v>
      </c>
      <c r="L2140">
        <v>282.53550000000001</v>
      </c>
      <c r="M2140">
        <v>-0.99971710000000003</v>
      </c>
      <c r="N2140">
        <v>-1.2687459999999999E-2</v>
      </c>
      <c r="O2140">
        <v>2.0121549999999998E-2</v>
      </c>
      <c r="P2140">
        <v>-0.99905350000000004</v>
      </c>
      <c r="Q2140">
        <v>-4.010876E-2</v>
      </c>
      <c r="R2140">
        <v>-1.6842599999999999E-2</v>
      </c>
      <c r="S2140">
        <v>-3.0052949999999998</v>
      </c>
      <c r="T2140">
        <v>-6.7739489999999996E-3</v>
      </c>
      <c r="U2140">
        <v>0.161987299999999</v>
      </c>
      <c r="V2140">
        <v>-3.7040650000000001E-2</v>
      </c>
      <c r="W2140">
        <v>-2.7305889999999999E-2</v>
      </c>
      <c r="X2140">
        <v>0.99894059999999996</v>
      </c>
      <c r="Y2140">
        <v>3.3718140000000001E-2</v>
      </c>
      <c r="Z2140">
        <v>4.618898E-4</v>
      </c>
      <c r="AA2140">
        <v>0.99943130000000002</v>
      </c>
      <c r="AB2140">
        <v>33</v>
      </c>
      <c r="AC2140">
        <v>-282.05889999999999</v>
      </c>
      <c r="AD2140">
        <v>-0.63672669999999998</v>
      </c>
      <c r="AE2140">
        <v>15.213399999999901</v>
      </c>
      <c r="AF2140">
        <v>9.5343522266097196</v>
      </c>
      <c r="AG2140">
        <v>-0.63672669999999998</v>
      </c>
      <c r="AH2140">
        <v>282.30649284206601</v>
      </c>
      <c r="AI2140">
        <v>90.129153610248906</v>
      </c>
      <c r="AJ2140">
        <v>88.065681801815799</v>
      </c>
      <c r="AK2140">
        <v>282.468166691504</v>
      </c>
      <c r="AL2140">
        <v>91.564706781915007</v>
      </c>
      <c r="AM2140">
        <v>92.123550753884501</v>
      </c>
      <c r="AN2140">
        <v>0.99999997185473599</v>
      </c>
    </row>
    <row r="2141" spans="1:40" x14ac:dyDescent="0.25">
      <c r="A2141" t="str">
        <f>"20190303153816738"</f>
        <v>20190303153816738</v>
      </c>
      <c r="B2141" t="str">
        <f>"1551598696730618"</f>
        <v>1551598696730618</v>
      </c>
      <c r="C2141" t="s">
        <v>40</v>
      </c>
      <c r="D2141">
        <v>4.3223890000000003</v>
      </c>
      <c r="E2141">
        <v>0.52662219999999904</v>
      </c>
      <c r="F2141" t="s">
        <v>58</v>
      </c>
      <c r="G2141">
        <v>-511.82029999999997</v>
      </c>
      <c r="H2141">
        <v>0.27627069999999998</v>
      </c>
      <c r="I2141">
        <v>297.74180000000001</v>
      </c>
      <c r="J2141">
        <v>-230.11170000000001</v>
      </c>
      <c r="K2141">
        <v>1.119553</v>
      </c>
      <c r="L2141">
        <v>282.54399999999998</v>
      </c>
      <c r="M2141">
        <v>-0.99968900000000005</v>
      </c>
      <c r="N2141">
        <v>-1.2733950000000001E-2</v>
      </c>
      <c r="O2141">
        <v>2.1446389999999999E-2</v>
      </c>
      <c r="P2141">
        <v>-0.99902559999999996</v>
      </c>
      <c r="Q2141">
        <v>-4.0775899999999997E-2</v>
      </c>
      <c r="R2141">
        <v>-1.6899109999999998E-2</v>
      </c>
      <c r="S2141">
        <v>-3.0052340000000002</v>
      </c>
      <c r="T2141">
        <v>-8.9827780000000003E-3</v>
      </c>
      <c r="U2141">
        <v>0.16201779999999999</v>
      </c>
      <c r="V2141">
        <v>-3.8411769999999998E-2</v>
      </c>
      <c r="W2141">
        <v>-2.793592E-2</v>
      </c>
      <c r="X2141">
        <v>0.99887139999999996</v>
      </c>
      <c r="Y2141">
        <v>3.2404549999999997E-2</v>
      </c>
      <c r="Z2141">
        <v>4.637962E-4</v>
      </c>
      <c r="AA2141">
        <v>0.99947470000000005</v>
      </c>
      <c r="AB2141">
        <v>33</v>
      </c>
      <c r="AC2141">
        <v>-281.70859999999902</v>
      </c>
      <c r="AD2141">
        <v>-0.84328230000000004</v>
      </c>
      <c r="AE2141">
        <v>15.1977999999999</v>
      </c>
      <c r="AF2141">
        <v>9.1521003640367198</v>
      </c>
      <c r="AG2141">
        <v>-0.84328230000000004</v>
      </c>
      <c r="AH2141">
        <v>281.96724147799898</v>
      </c>
      <c r="AI2141">
        <v>90.171264369041197</v>
      </c>
      <c r="AJ2141">
        <v>88.140944705602806</v>
      </c>
      <c r="AK2141">
        <v>282.11699227948498</v>
      </c>
      <c r="AL2141">
        <v>91.600818613457093</v>
      </c>
      <c r="AM2141">
        <v>92.2022338435997</v>
      </c>
      <c r="AN2141">
        <v>0.99999997671936902</v>
      </c>
    </row>
    <row r="2142" spans="1:40" x14ac:dyDescent="0.25">
      <c r="A2142" t="str">
        <f>"20190303153816762"</f>
        <v>20190303153816762</v>
      </c>
      <c r="B2142" t="str">
        <f>"1551598696751110"</f>
        <v>1551598696751110</v>
      </c>
      <c r="C2142" t="s">
        <v>40</v>
      </c>
      <c r="D2142">
        <v>4.2999210000000003</v>
      </c>
      <c r="E2142">
        <v>0.52651199999999998</v>
      </c>
      <c r="F2142" t="s">
        <v>58</v>
      </c>
      <c r="G2142">
        <v>-511.8202</v>
      </c>
      <c r="H2142">
        <v>0.1343799</v>
      </c>
      <c r="I2142">
        <v>297.63420000000002</v>
      </c>
      <c r="J2142">
        <v>-230.46199999999999</v>
      </c>
      <c r="K2142">
        <v>1.119651</v>
      </c>
      <c r="L2142">
        <v>282.55279999999999</v>
      </c>
      <c r="M2142">
        <v>-0.99966549999999998</v>
      </c>
      <c r="N2142">
        <v>-1.26321E-2</v>
      </c>
      <c r="O2142">
        <v>2.2571750000000002E-2</v>
      </c>
      <c r="P2142">
        <v>-0.99904919999999997</v>
      </c>
      <c r="Q2142">
        <v>-4.0598059999999998E-2</v>
      </c>
      <c r="R2142">
        <v>-1.588875E-2</v>
      </c>
      <c r="S2142">
        <v>-3.0052340000000002</v>
      </c>
      <c r="T2142">
        <v>-1.0508780000000001E-2</v>
      </c>
      <c r="U2142">
        <v>0.16098019999999999</v>
      </c>
      <c r="V2142">
        <v>-3.8515679999999997E-2</v>
      </c>
      <c r="W2142">
        <v>-2.7873789999999999E-2</v>
      </c>
      <c r="X2142">
        <v>0.99886920000000001</v>
      </c>
      <c r="Y2142">
        <v>3.093514E-2</v>
      </c>
      <c r="Z2142">
        <v>4.5573050000000001E-4</v>
      </c>
      <c r="AA2142">
        <v>0.99952129999999995</v>
      </c>
      <c r="AB2142">
        <v>33</v>
      </c>
      <c r="AC2142">
        <v>-281.35820000000001</v>
      </c>
      <c r="AD2142">
        <v>-0.98527109999999996</v>
      </c>
      <c r="AE2142">
        <v>15.0814</v>
      </c>
      <c r="AF2142">
        <v>8.7261971516632002</v>
      </c>
      <c r="AG2142">
        <v>-0.98527109999999996</v>
      </c>
      <c r="AH2142">
        <v>281.62350280791401</v>
      </c>
      <c r="AI2142">
        <v>90.200354605333999</v>
      </c>
      <c r="AJ2142">
        <v>88.225239199716299</v>
      </c>
      <c r="AK2142">
        <v>281.76038509639602</v>
      </c>
      <c r="AL2142">
        <v>91.597257335130294</v>
      </c>
      <c r="AM2142">
        <v>92.208190208653505</v>
      </c>
      <c r="AN2142">
        <v>1.0000000422417299</v>
      </c>
    </row>
    <row r="2143" spans="1:40" x14ac:dyDescent="0.25">
      <c r="A2143" t="str">
        <f>"20190303153816783"</f>
        <v>20190303153816783</v>
      </c>
      <c r="B2143" t="str">
        <f>"1551598696770630"</f>
        <v>1551598696770630</v>
      </c>
      <c r="C2143" t="s">
        <v>40</v>
      </c>
      <c r="D2143">
        <v>4.3224679999999998</v>
      </c>
      <c r="E2143">
        <v>0.52640039999999999</v>
      </c>
      <c r="F2143" t="s">
        <v>58</v>
      </c>
      <c r="G2143">
        <v>-511.8202</v>
      </c>
      <c r="H2143">
        <v>0.20900730000000001</v>
      </c>
      <c r="I2143">
        <v>297.80509999999998</v>
      </c>
      <c r="J2143">
        <v>-230.78149999999999</v>
      </c>
      <c r="K2143">
        <v>1.119748</v>
      </c>
      <c r="L2143">
        <v>282.56099999999998</v>
      </c>
      <c r="M2143">
        <v>-0.99964839999999999</v>
      </c>
      <c r="N2143">
        <v>-1.242907E-2</v>
      </c>
      <c r="O2143">
        <v>2.3420730000000001E-2</v>
      </c>
      <c r="P2143">
        <v>-0.99908439999999998</v>
      </c>
      <c r="Q2143">
        <v>-4.0193399999999997E-2</v>
      </c>
      <c r="R2143">
        <v>-1.4655049999999999E-2</v>
      </c>
      <c r="S2143">
        <v>-3.0050509999999999</v>
      </c>
      <c r="T2143">
        <v>-9.7252129999999999E-3</v>
      </c>
      <c r="U2143">
        <v>0.16290279999999999</v>
      </c>
      <c r="V2143">
        <v>-3.8120069999999999E-2</v>
      </c>
      <c r="W2143">
        <v>-2.7686970000000002E-2</v>
      </c>
      <c r="X2143">
        <v>0.99888949999999999</v>
      </c>
      <c r="Y2143">
        <v>3.072737E-2</v>
      </c>
      <c r="Z2143">
        <v>4.560314E-4</v>
      </c>
      <c r="AA2143">
        <v>0.99952770000000002</v>
      </c>
      <c r="AB2143">
        <v>33</v>
      </c>
      <c r="AC2143">
        <v>-281.03870000000001</v>
      </c>
      <c r="AD2143">
        <v>-0.91074069999999996</v>
      </c>
      <c r="AE2143">
        <v>15.2441</v>
      </c>
      <c r="AF2143">
        <v>8.6571870129380706</v>
      </c>
      <c r="AG2143">
        <v>-0.91074069999999996</v>
      </c>
      <c r="AH2143">
        <v>281.31570827867398</v>
      </c>
      <c r="AI2143">
        <v>90.185402817617401</v>
      </c>
      <c r="AJ2143">
        <v>88.237340575352405</v>
      </c>
      <c r="AK2143">
        <v>281.450358073909</v>
      </c>
      <c r="AL2143">
        <v>91.586549318892693</v>
      </c>
      <c r="AM2143">
        <v>92.1854867372721</v>
      </c>
      <c r="AN2143">
        <v>0.99999997062741697</v>
      </c>
    </row>
    <row r="2144" spans="1:40" x14ac:dyDescent="0.25">
      <c r="A2144" t="str">
        <f>"20190303153816805"</f>
        <v>20190303153816805</v>
      </c>
      <c r="B2144" t="str">
        <f>"1551598696800886"</f>
        <v>1551598696800886</v>
      </c>
      <c r="C2144" t="s">
        <v>40</v>
      </c>
      <c r="D2144">
        <v>4.1828059999999896</v>
      </c>
      <c r="E2144">
        <v>0.52649369999999995</v>
      </c>
      <c r="F2144" t="s">
        <v>58</v>
      </c>
      <c r="G2144">
        <v>-511.82029999999997</v>
      </c>
      <c r="H2144">
        <v>0.35377540000000002</v>
      </c>
      <c r="I2144">
        <v>298.0652</v>
      </c>
      <c r="J2144">
        <v>-231.1062</v>
      </c>
      <c r="K2144">
        <v>1.119848</v>
      </c>
      <c r="L2144">
        <v>282.56939999999997</v>
      </c>
      <c r="M2144">
        <v>-0.99963579999999996</v>
      </c>
      <c r="N2144">
        <v>-1.2133440000000001E-2</v>
      </c>
      <c r="O2144">
        <v>2.4107110000000001E-2</v>
      </c>
      <c r="P2144">
        <v>-0.999135</v>
      </c>
      <c r="Q2144">
        <v>-3.9369849999999998E-2</v>
      </c>
      <c r="R2144">
        <v>-1.340274E-2</v>
      </c>
      <c r="S2144">
        <v>-3.0048680000000001</v>
      </c>
      <c r="T2144">
        <v>-8.1888440000000007E-3</v>
      </c>
      <c r="U2144">
        <v>0.16577149999999999</v>
      </c>
      <c r="V2144">
        <v>-3.7542350000000002E-2</v>
      </c>
      <c r="W2144">
        <v>-2.7174940000000002E-2</v>
      </c>
      <c r="X2144">
        <v>0.99892539999999996</v>
      </c>
      <c r="Y2144">
        <v>3.0996050000000001E-2</v>
      </c>
      <c r="Z2144">
        <v>4.5713040000000001E-4</v>
      </c>
      <c r="AA2144">
        <v>0.99951939999999995</v>
      </c>
      <c r="AB2144">
        <v>33</v>
      </c>
      <c r="AC2144">
        <v>-280.71409999999997</v>
      </c>
      <c r="AD2144">
        <v>-0.76607259999999999</v>
      </c>
      <c r="AE2144">
        <v>15.495799999999999</v>
      </c>
      <c r="AF2144">
        <v>8.7235276786877396</v>
      </c>
      <c r="AG2144">
        <v>-0.76607259999999999</v>
      </c>
      <c r="AH2144">
        <v>281.00400726663003</v>
      </c>
      <c r="AI2144">
        <v>90.1561240472804</v>
      </c>
      <c r="AJ2144">
        <v>88.221872882187</v>
      </c>
      <c r="AK2144">
        <v>281.14042559243097</v>
      </c>
      <c r="AL2144">
        <v>91.557201179158398</v>
      </c>
      <c r="AM2144">
        <v>92.152319203750594</v>
      </c>
      <c r="AN2144">
        <v>0.99999993008634003</v>
      </c>
    </row>
    <row r="2145" spans="1:40" x14ac:dyDescent="0.25">
      <c r="A2145" t="str">
        <f>"20190303153816828"</f>
        <v>20190303153816828</v>
      </c>
      <c r="B2145" t="str">
        <f>"1551598696820406"</f>
        <v>1551598696820406</v>
      </c>
      <c r="C2145" t="s">
        <v>40</v>
      </c>
      <c r="D2145">
        <v>4.1660029999999999</v>
      </c>
      <c r="E2145">
        <v>0.52650269999999899</v>
      </c>
      <c r="F2145" t="s">
        <v>58</v>
      </c>
      <c r="G2145">
        <v>-511.82040000000001</v>
      </c>
      <c r="H2145">
        <v>0.73950769999999899</v>
      </c>
      <c r="I2145">
        <v>298.45</v>
      </c>
      <c r="J2145">
        <v>-231.4513</v>
      </c>
      <c r="K2145">
        <v>1.11995</v>
      </c>
      <c r="L2145">
        <v>282.57830000000001</v>
      </c>
      <c r="M2145">
        <v>-0.99962779999999996</v>
      </c>
      <c r="N2145">
        <v>-1.173139E-2</v>
      </c>
      <c r="O2145">
        <v>2.463624E-2</v>
      </c>
      <c r="P2145">
        <v>-0.99916090000000002</v>
      </c>
      <c r="Q2145">
        <v>-3.9024009999999998E-2</v>
      </c>
      <c r="R2145">
        <v>-1.245456E-2</v>
      </c>
      <c r="S2145">
        <v>-3.004715</v>
      </c>
      <c r="T2145">
        <v>-4.0701629999999999E-3</v>
      </c>
      <c r="U2145">
        <v>0.16998289999999999</v>
      </c>
      <c r="V2145">
        <v>-3.7111209999999999E-2</v>
      </c>
      <c r="W2145">
        <v>-2.7247960000000002E-2</v>
      </c>
      <c r="X2145">
        <v>0.99893960000000004</v>
      </c>
      <c r="Y2145">
        <v>3.1867039999999999E-2</v>
      </c>
      <c r="Z2145">
        <v>4.6417769999999999E-4</v>
      </c>
      <c r="AA2145">
        <v>0.99949200000000005</v>
      </c>
      <c r="AB2145">
        <v>34</v>
      </c>
      <c r="AC2145">
        <v>-280.3691</v>
      </c>
      <c r="AD2145">
        <v>-0.38044230000000001</v>
      </c>
      <c r="AE2145">
        <v>15.871699999999899</v>
      </c>
      <c r="AF2145">
        <v>8.9591508183202997</v>
      </c>
      <c r="AG2145">
        <v>-0.38044230000000001</v>
      </c>
      <c r="AH2145">
        <v>280.674521893997</v>
      </c>
      <c r="AI2145">
        <v>90.077622394728493</v>
      </c>
      <c r="AJ2145">
        <v>88.171735384480797</v>
      </c>
      <c r="AK2145">
        <v>280.81773156293599</v>
      </c>
      <c r="AL2145">
        <v>91.5613863440892</v>
      </c>
      <c r="AM2145">
        <v>92.127594392103404</v>
      </c>
      <c r="AN2145">
        <v>1.0000000088399901</v>
      </c>
    </row>
    <row r="2146" spans="1:40" x14ac:dyDescent="0.25">
      <c r="A2146" t="str">
        <f>"20190303153816850"</f>
        <v>20190303153816850</v>
      </c>
      <c r="B2146" t="str">
        <f>"1551598696840903"</f>
        <v>1551598696840903</v>
      </c>
      <c r="C2146" t="s">
        <v>40</v>
      </c>
      <c r="D2146">
        <v>4.1909999999999998</v>
      </c>
      <c r="E2146">
        <v>0.52650359999999996</v>
      </c>
      <c r="F2146" t="s">
        <v>58</v>
      </c>
      <c r="G2146">
        <v>-511.82049999999998</v>
      </c>
      <c r="H2146">
        <v>0.92831059999999999</v>
      </c>
      <c r="I2146">
        <v>298.71620000000001</v>
      </c>
      <c r="J2146">
        <v>-231.78729999999999</v>
      </c>
      <c r="K2146">
        <v>1.1200289999999999</v>
      </c>
      <c r="L2146">
        <v>282.58699999999999</v>
      </c>
      <c r="M2146">
        <v>-0.99962499999999999</v>
      </c>
      <c r="N2146">
        <v>-1.125025E-2</v>
      </c>
      <c r="O2146">
        <v>2.496218E-2</v>
      </c>
      <c r="P2146">
        <v>-0.9991717</v>
      </c>
      <c r="Q2146">
        <v>-3.8804249999999998E-2</v>
      </c>
      <c r="R2146">
        <v>-1.2256009999999999E-2</v>
      </c>
      <c r="S2146">
        <v>-3.0045929999999998</v>
      </c>
      <c r="T2146">
        <v>-2.0527840000000002E-3</v>
      </c>
      <c r="U2146">
        <v>0.17294309999999999</v>
      </c>
      <c r="V2146">
        <v>-3.72281E-2</v>
      </c>
      <c r="W2146">
        <v>-2.7523720000000002E-2</v>
      </c>
      <c r="X2146">
        <v>0.99892769999999997</v>
      </c>
      <c r="Y2146">
        <v>3.2525310000000002E-2</v>
      </c>
      <c r="Z2146">
        <v>4.5786239999999999E-4</v>
      </c>
      <c r="AA2146">
        <v>0.99947079999999999</v>
      </c>
      <c r="AB2146">
        <v>34</v>
      </c>
      <c r="AC2146">
        <v>-280.03320000000002</v>
      </c>
      <c r="AD2146">
        <v>-0.19171840000000001</v>
      </c>
      <c r="AE2146">
        <v>16.129200000000001</v>
      </c>
      <c r="AF2146">
        <v>9.1334869873111995</v>
      </c>
      <c r="AG2146">
        <v>-0.19171840000000001</v>
      </c>
      <c r="AH2146">
        <v>280.348444080744</v>
      </c>
      <c r="AI2146">
        <v>90.039161367954904</v>
      </c>
      <c r="AJ2146">
        <v>88.134017722501</v>
      </c>
      <c r="AK2146">
        <v>280.497250323397</v>
      </c>
      <c r="AL2146">
        <v>91.577192141543193</v>
      </c>
      <c r="AM2146">
        <v>92.1343149373714</v>
      </c>
      <c r="AN2146">
        <v>1.0000000182097599</v>
      </c>
    </row>
    <row r="2147" spans="1:40" x14ac:dyDescent="0.25">
      <c r="A2147" t="str">
        <f>"20190303153816862"</f>
        <v>20190303153816862</v>
      </c>
      <c r="B2147" t="str">
        <f>"1551598696850663"</f>
        <v>1551598696850663</v>
      </c>
      <c r="C2147" t="s">
        <v>40</v>
      </c>
      <c r="D2147">
        <v>4.1879850000000003</v>
      </c>
      <c r="E2147">
        <v>0.526478</v>
      </c>
      <c r="F2147" t="s">
        <v>58</v>
      </c>
      <c r="G2147">
        <v>-511.82049999999998</v>
      </c>
      <c r="H2147">
        <v>1.0748660000000001</v>
      </c>
      <c r="I2147">
        <v>298.75110000000001</v>
      </c>
      <c r="J2147">
        <v>-231.97370000000001</v>
      </c>
      <c r="K2147">
        <v>1.1200589999999999</v>
      </c>
      <c r="L2147">
        <v>282.5917</v>
      </c>
      <c r="M2147">
        <v>-0.99962640000000003</v>
      </c>
      <c r="N2147">
        <v>-1.0941650000000001E-2</v>
      </c>
      <c r="O2147">
        <v>2.5053470000000001E-2</v>
      </c>
      <c r="P2147">
        <v>-0.9991892</v>
      </c>
      <c r="Q2147">
        <v>-3.8313809999999997E-2</v>
      </c>
      <c r="R2147">
        <v>-1.2386960000000001E-2</v>
      </c>
      <c r="S2147">
        <v>-3.004578</v>
      </c>
      <c r="T2147">
        <v>-4.8363209999999999E-4</v>
      </c>
      <c r="U2147">
        <v>0.17343140000000001</v>
      </c>
      <c r="V2147">
        <v>-3.7444529999999997E-2</v>
      </c>
      <c r="W2147">
        <v>-2.734876E-2</v>
      </c>
      <c r="X2147">
        <v>0.99892440000000005</v>
      </c>
      <c r="Y2147">
        <v>3.2596470000000002E-2</v>
      </c>
      <c r="Z2147">
        <v>4.510537E-4</v>
      </c>
      <c r="AA2147">
        <v>0.99946849999999998</v>
      </c>
      <c r="AB2147">
        <v>34</v>
      </c>
      <c r="AC2147">
        <v>-279.84679999999997</v>
      </c>
      <c r="AD2147">
        <v>-4.5192999999999997E-2</v>
      </c>
      <c r="AE2147">
        <v>16.159400000000002</v>
      </c>
      <c r="AF2147">
        <v>9.1427749692357594</v>
      </c>
      <c r="AG2147">
        <v>-4.5192999999999997E-2</v>
      </c>
      <c r="AH2147">
        <v>280.16381504335499</v>
      </c>
      <c r="AI2147">
        <v>90.009237418680996</v>
      </c>
      <c r="AJ2147">
        <v>88.130891453929493</v>
      </c>
      <c r="AK2147">
        <v>280.31296016451398</v>
      </c>
      <c r="AL2147">
        <v>91.567163922135805</v>
      </c>
      <c r="AM2147">
        <v>92.146718541508505</v>
      </c>
      <c r="AN2147">
        <v>1.0000000022079001</v>
      </c>
    </row>
    <row r="2148" spans="1:40" x14ac:dyDescent="0.25">
      <c r="A2148" t="str">
        <f>"20190303153816875"</f>
        <v>20190303153816875</v>
      </c>
      <c r="B2148" t="str">
        <f>"1551598696871159"</f>
        <v>1551598696871159</v>
      </c>
      <c r="C2148" t="s">
        <v>40</v>
      </c>
      <c r="D2148">
        <v>4.1943739999999998</v>
      </c>
      <c r="E2148">
        <v>0.52646850000000001</v>
      </c>
      <c r="F2148" t="s">
        <v>58</v>
      </c>
      <c r="G2148">
        <v>-511.82060000000001</v>
      </c>
      <c r="H2148">
        <v>1.2435149999999999</v>
      </c>
      <c r="I2148">
        <v>298.6909</v>
      </c>
      <c r="J2148">
        <v>-232.15389999999999</v>
      </c>
      <c r="K2148">
        <v>1.1200859999999999</v>
      </c>
      <c r="L2148">
        <v>282.59629999999999</v>
      </c>
      <c r="M2148">
        <v>-0.99962810000000002</v>
      </c>
      <c r="N2148">
        <v>-1.063744E-2</v>
      </c>
      <c r="O2148">
        <v>2.5113719999999999E-2</v>
      </c>
      <c r="P2148">
        <v>-0.99919519999999995</v>
      </c>
      <c r="Q2148">
        <v>-3.7996479999999999E-2</v>
      </c>
      <c r="R2148">
        <v>-1.287085E-2</v>
      </c>
      <c r="S2148">
        <v>-3.004623</v>
      </c>
      <c r="T2148">
        <v>1.3264419999999999E-3</v>
      </c>
      <c r="U2148">
        <v>0.17285159999999999</v>
      </c>
      <c r="V2148">
        <v>-3.798373E-2</v>
      </c>
      <c r="W2148">
        <v>-2.7341790000000001E-2</v>
      </c>
      <c r="X2148">
        <v>0.99890420000000002</v>
      </c>
      <c r="Y2148">
        <v>3.2343379999999998E-2</v>
      </c>
      <c r="Z2148">
        <v>4.4311520000000002E-4</v>
      </c>
      <c r="AA2148">
        <v>0.9994767</v>
      </c>
      <c r="AB2148">
        <v>34</v>
      </c>
      <c r="AC2148">
        <v>-279.66669999999999</v>
      </c>
      <c r="AD2148">
        <v>0.123428999999999</v>
      </c>
      <c r="AE2148">
        <v>16.0946</v>
      </c>
      <c r="AF2148">
        <v>9.0656535162957201</v>
      </c>
      <c r="AG2148">
        <v>0.123428999999999</v>
      </c>
      <c r="AH2148">
        <v>279.98264713182698</v>
      </c>
      <c r="AI2148">
        <v>89.974754663910602</v>
      </c>
      <c r="AJ2148">
        <v>88.145448371844395</v>
      </c>
      <c r="AK2148">
        <v>280.12940581691998</v>
      </c>
      <c r="AL2148">
        <v>91.5667644731991</v>
      </c>
      <c r="AM2148">
        <v>92.177645662294395</v>
      </c>
      <c r="AN2148">
        <v>0.999999969001378</v>
      </c>
    </row>
    <row r="2149" spans="1:40" x14ac:dyDescent="0.25">
      <c r="A2149" t="str">
        <f>"20190303153816894"</f>
        <v>20190303153816894</v>
      </c>
      <c r="B2149" t="str">
        <f>"1551598696890679"</f>
        <v>1551598696890679</v>
      </c>
      <c r="C2149" t="s">
        <v>40</v>
      </c>
      <c r="D2149">
        <v>4.2182789999999999</v>
      </c>
      <c r="E2149">
        <v>0.52641169999999904</v>
      </c>
      <c r="F2149" t="s">
        <v>58</v>
      </c>
      <c r="G2149">
        <v>-511.82060000000001</v>
      </c>
      <c r="H2149">
        <v>1.3976949999999999</v>
      </c>
      <c r="I2149">
        <v>298.53960000000001</v>
      </c>
      <c r="J2149">
        <v>-232.4529</v>
      </c>
      <c r="K2149">
        <v>1.1201190000000001</v>
      </c>
      <c r="L2149">
        <v>282.60390000000001</v>
      </c>
      <c r="M2149">
        <v>-0.99963329999999995</v>
      </c>
      <c r="N2149">
        <v>-1.011244E-2</v>
      </c>
      <c r="O2149">
        <v>2.512149E-2</v>
      </c>
      <c r="P2149">
        <v>-0.99921179999999998</v>
      </c>
      <c r="Q2149">
        <v>-3.708471E-2</v>
      </c>
      <c r="R2149">
        <v>-1.4176859999999999E-2</v>
      </c>
      <c r="S2149">
        <v>-3.0047450000000002</v>
      </c>
      <c r="T2149">
        <v>2.9835700000000001E-3</v>
      </c>
      <c r="U2149">
        <v>0.17129520000000001</v>
      </c>
      <c r="V2149">
        <v>-3.928968E-2</v>
      </c>
      <c r="W2149">
        <v>-2.696405E-2</v>
      </c>
      <c r="X2149">
        <v>0.99886399999999997</v>
      </c>
      <c r="Y2149">
        <v>3.1817480000000002E-2</v>
      </c>
      <c r="Z2149">
        <v>4.2404930000000001E-4</v>
      </c>
      <c r="AA2149">
        <v>0.99949359999999998</v>
      </c>
      <c r="AB2149">
        <v>34</v>
      </c>
      <c r="AC2149">
        <v>-279.36770000000001</v>
      </c>
      <c r="AD2149">
        <v>0.27757599999999999</v>
      </c>
      <c r="AE2149">
        <v>15.935699999999899</v>
      </c>
      <c r="AF2149">
        <v>8.9121700454811297</v>
      </c>
      <c r="AG2149">
        <v>0.27757599999999999</v>
      </c>
      <c r="AH2149">
        <v>279.67959787266602</v>
      </c>
      <c r="AI2149">
        <v>89.943164035682599</v>
      </c>
      <c r="AJ2149">
        <v>88.174850777065899</v>
      </c>
      <c r="AK2149">
        <v>279.82169553051398</v>
      </c>
      <c r="AL2149">
        <v>91.545113511117805</v>
      </c>
      <c r="AM2149">
        <v>92.252531816752196</v>
      </c>
      <c r="AN2149">
        <v>1.0000000147214501</v>
      </c>
    </row>
    <row r="2150" spans="1:40" x14ac:dyDescent="0.25">
      <c r="A2150" t="str">
        <f>"20190303153816906"</f>
        <v>20190303153816906</v>
      </c>
      <c r="B2150" t="str">
        <f>"1551598696900439"</f>
        <v>1551598696900439</v>
      </c>
      <c r="C2150" t="s">
        <v>40</v>
      </c>
      <c r="D2150">
        <v>4.2098399999999998</v>
      </c>
      <c r="E2150">
        <v>0.52638379999999996</v>
      </c>
      <c r="F2150" t="s">
        <v>58</v>
      </c>
      <c r="G2150">
        <v>-511.82069999999999</v>
      </c>
      <c r="H2150">
        <v>1.6905650000000001</v>
      </c>
      <c r="I2150">
        <v>298.1234</v>
      </c>
      <c r="J2150">
        <v>-232.64930000000001</v>
      </c>
      <c r="K2150">
        <v>1.120142</v>
      </c>
      <c r="L2150">
        <v>282.60879999999997</v>
      </c>
      <c r="M2150">
        <v>-0.99963820000000003</v>
      </c>
      <c r="N2150">
        <v>-9.7537100000000005E-3</v>
      </c>
      <c r="O2150">
        <v>2.5068690000000001E-2</v>
      </c>
      <c r="P2150">
        <v>-0.99920759999999997</v>
      </c>
      <c r="Q2150">
        <v>-3.6928919999999997E-2</v>
      </c>
      <c r="R2150">
        <v>-1.4850779999999999E-2</v>
      </c>
      <c r="S2150">
        <v>-3.0049440000000001</v>
      </c>
      <c r="T2150">
        <v>6.1367749999999997E-3</v>
      </c>
      <c r="U2150">
        <v>0.1669312</v>
      </c>
      <c r="V2150">
        <v>-3.9906249999999997E-2</v>
      </c>
      <c r="W2150">
        <v>-2.7172999999999999E-2</v>
      </c>
      <c r="X2150">
        <v>0.99883390000000005</v>
      </c>
      <c r="Y2150">
        <v>3.04199E-2</v>
      </c>
      <c r="Z2150">
        <v>4.129666E-4</v>
      </c>
      <c r="AA2150">
        <v>0.99953709999999996</v>
      </c>
      <c r="AB2150">
        <v>34</v>
      </c>
      <c r="AC2150">
        <v>-279.17139999999898</v>
      </c>
      <c r="AD2150">
        <v>0.57042300000000001</v>
      </c>
      <c r="AE2150">
        <v>15.5146</v>
      </c>
      <c r="AF2150">
        <v>8.5108945169652603</v>
      </c>
      <c r="AG2150">
        <v>0.57042300000000001</v>
      </c>
      <c r="AH2150">
        <v>279.47144273593602</v>
      </c>
      <c r="AI2150">
        <v>89.883109200693198</v>
      </c>
      <c r="AJ2150">
        <v>88.255679841339699</v>
      </c>
      <c r="AK2150">
        <v>279.60158800118398</v>
      </c>
      <c r="AL2150">
        <v>91.557089843843102</v>
      </c>
      <c r="AM2150">
        <v>92.287912228115701</v>
      </c>
      <c r="AN2150">
        <v>1.0000000202536301</v>
      </c>
    </row>
    <row r="2151" spans="1:40" x14ac:dyDescent="0.25">
      <c r="A2151" t="str">
        <f>"20190303153816918"</f>
        <v>20190303153816918</v>
      </c>
      <c r="B2151" t="str">
        <f>"1551598696911175"</f>
        <v>1551598696911175</v>
      </c>
      <c r="C2151" t="s">
        <v>40</v>
      </c>
      <c r="D2151">
        <v>4.2172190000000001</v>
      </c>
      <c r="E2151">
        <v>0.5263641</v>
      </c>
      <c r="F2151" t="s">
        <v>58</v>
      </c>
      <c r="G2151">
        <v>-511.82069999999999</v>
      </c>
      <c r="H2151">
        <v>1.755755</v>
      </c>
      <c r="I2151">
        <v>297.90969999999999</v>
      </c>
      <c r="J2151">
        <v>-232.83940000000001</v>
      </c>
      <c r="K2151">
        <v>1.1201589999999999</v>
      </c>
      <c r="L2151">
        <v>282.61349999999999</v>
      </c>
      <c r="M2151">
        <v>-0.99964430000000004</v>
      </c>
      <c r="N2151">
        <v>-9.3989680000000006E-3</v>
      </c>
      <c r="O2151">
        <v>2.496437E-2</v>
      </c>
      <c r="P2151">
        <v>-0.9991989</v>
      </c>
      <c r="Q2151">
        <v>-3.6812480000000002E-2</v>
      </c>
      <c r="R2151">
        <v>-1.5709839999999999E-2</v>
      </c>
      <c r="S2151">
        <v>-3.0050810000000001</v>
      </c>
      <c r="T2151">
        <v>6.842852E-3</v>
      </c>
      <c r="U2151">
        <v>0.1647034</v>
      </c>
      <c r="V2151">
        <v>-4.0656589999999999E-2</v>
      </c>
      <c r="W2151">
        <v>-2.7416980000000001E-2</v>
      </c>
      <c r="X2151">
        <v>0.99879689999999999</v>
      </c>
      <c r="Y2151">
        <v>2.9782989999999999E-2</v>
      </c>
      <c r="Z2151">
        <v>3.9750290000000003E-4</v>
      </c>
      <c r="AA2151">
        <v>0.99955629999999995</v>
      </c>
      <c r="AB2151">
        <v>34</v>
      </c>
      <c r="AC2151">
        <v>-278.98129999999998</v>
      </c>
      <c r="AD2151">
        <v>0.63559600000000005</v>
      </c>
      <c r="AE2151">
        <v>15.296200000000001</v>
      </c>
      <c r="AF2151">
        <v>8.3264902551132494</v>
      </c>
      <c r="AG2151">
        <v>0.63559600000000005</v>
      </c>
      <c r="AH2151">
        <v>279.2747770313</v>
      </c>
      <c r="AI2151">
        <v>89.869659799398903</v>
      </c>
      <c r="AJ2151">
        <v>88.292250123502896</v>
      </c>
      <c r="AK2151">
        <v>279.399598260495</v>
      </c>
      <c r="AL2151">
        <v>91.571074191203493</v>
      </c>
      <c r="AM2151">
        <v>92.330970095018799</v>
      </c>
      <c r="AN2151">
        <v>0.999999948276177</v>
      </c>
    </row>
    <row r="2152" spans="1:40" x14ac:dyDescent="0.25">
      <c r="A2152" t="str">
        <f>"20190303153816931"</f>
        <v>20190303153816931</v>
      </c>
      <c r="B2152" t="str">
        <f>"1551598696920935"</f>
        <v>1551598696920935</v>
      </c>
      <c r="C2152" t="s">
        <v>40</v>
      </c>
      <c r="D2152">
        <v>4.2160979999999997</v>
      </c>
      <c r="E2152">
        <v>0.52633129999999995</v>
      </c>
      <c r="F2152" t="s">
        <v>58</v>
      </c>
      <c r="G2152">
        <v>-511.82069999999999</v>
      </c>
      <c r="H2152">
        <v>1.8144089999999999</v>
      </c>
      <c r="I2152">
        <v>297.6456</v>
      </c>
      <c r="J2152">
        <v>-233.0307</v>
      </c>
      <c r="K2152">
        <v>1.120174</v>
      </c>
      <c r="L2152">
        <v>282.6182</v>
      </c>
      <c r="M2152">
        <v>-0.99965079999999995</v>
      </c>
      <c r="N2152">
        <v>-9.0384019999999992E-3</v>
      </c>
      <c r="O2152">
        <v>2.4832980000000001E-2</v>
      </c>
      <c r="P2152">
        <v>-0.99919800000000003</v>
      </c>
      <c r="Q2152">
        <v>-3.6489899999999999E-2</v>
      </c>
      <c r="R2152">
        <v>-1.649101E-2</v>
      </c>
      <c r="S2152">
        <v>-3.0052029999999998</v>
      </c>
      <c r="T2152">
        <v>7.4794290000000001E-3</v>
      </c>
      <c r="U2152">
        <v>0.1619263</v>
      </c>
      <c r="V2152">
        <v>-4.1301869999999997E-2</v>
      </c>
      <c r="W2152">
        <v>-2.7460740000000001E-2</v>
      </c>
      <c r="X2152">
        <v>0.99876929999999997</v>
      </c>
      <c r="Y2152">
        <v>2.899119E-2</v>
      </c>
      <c r="Z2152">
        <v>3.8115399999999998E-4</v>
      </c>
      <c r="AA2152">
        <v>0.99957960000000001</v>
      </c>
      <c r="AB2152">
        <v>34</v>
      </c>
      <c r="AC2152">
        <v>-278.79000000000002</v>
      </c>
      <c r="AD2152">
        <v>0.69423499999999905</v>
      </c>
      <c r="AE2152">
        <v>15.0274</v>
      </c>
      <c r="AF2152">
        <v>8.0992463228977893</v>
      </c>
      <c r="AG2152">
        <v>0.69423499999999905</v>
      </c>
      <c r="AH2152">
        <v>279.07548287914898</v>
      </c>
      <c r="AI2152">
        <v>89.857529896411904</v>
      </c>
      <c r="AJ2152">
        <v>88.337645398552596</v>
      </c>
      <c r="AK2152">
        <v>279.19384824430603</v>
      </c>
      <c r="AL2152">
        <v>91.573582277218605</v>
      </c>
      <c r="AM2152">
        <v>92.367989602885601</v>
      </c>
      <c r="AN2152">
        <v>1.00000002566466</v>
      </c>
    </row>
    <row r="2153" spans="1:40" x14ac:dyDescent="0.25">
      <c r="A2153" t="str">
        <f>"20190303153816945"</f>
        <v>20190303153816945</v>
      </c>
      <c r="B2153" t="str">
        <f>"1551598696940454"</f>
        <v>1551598696940454</v>
      </c>
      <c r="C2153" t="s">
        <v>40</v>
      </c>
      <c r="D2153">
        <v>4.2002030000000001</v>
      </c>
      <c r="E2153">
        <v>0.52626660000000003</v>
      </c>
      <c r="F2153" t="s">
        <v>58</v>
      </c>
      <c r="G2153">
        <v>-510.95429999999999</v>
      </c>
      <c r="H2153">
        <v>1.9225589999999999</v>
      </c>
      <c r="I2153">
        <v>297.35820000000001</v>
      </c>
      <c r="J2153">
        <v>-233.23490000000001</v>
      </c>
      <c r="K2153">
        <v>1.1201939999999999</v>
      </c>
      <c r="L2153">
        <v>282.6232</v>
      </c>
      <c r="M2153">
        <v>-0.99965919999999997</v>
      </c>
      <c r="N2153">
        <v>-8.6468969999999902E-3</v>
      </c>
      <c r="O2153">
        <v>2.4635799999999999E-2</v>
      </c>
      <c r="P2153">
        <v>-0.99918859999999998</v>
      </c>
      <c r="Q2153">
        <v>-3.6414549999999997E-2</v>
      </c>
      <c r="R2153">
        <v>-1.7220909999999999E-2</v>
      </c>
      <c r="S2153">
        <v>-3.0053559999999999</v>
      </c>
      <c r="T2153">
        <v>8.6776019999999995E-3</v>
      </c>
      <c r="U2153">
        <v>0.15939329999999999</v>
      </c>
      <c r="V2153">
        <v>-4.1829650000000003E-2</v>
      </c>
      <c r="W2153">
        <v>-2.778332E-2</v>
      </c>
      <c r="X2153">
        <v>0.99873840000000003</v>
      </c>
      <c r="Y2153">
        <v>2.8345639999999998E-2</v>
      </c>
      <c r="Z2153">
        <v>3.6573790000000002E-4</v>
      </c>
      <c r="AA2153">
        <v>0.99959810000000004</v>
      </c>
      <c r="AB2153">
        <v>34</v>
      </c>
      <c r="AC2153">
        <v>-277.71939999999898</v>
      </c>
      <c r="AD2153">
        <v>0.802364999999999</v>
      </c>
      <c r="AE2153">
        <v>14.734999999999999</v>
      </c>
      <c r="AF2153">
        <v>7.8883671489922698</v>
      </c>
      <c r="AG2153">
        <v>0.802364999999999</v>
      </c>
      <c r="AH2153">
        <v>277.99581195041702</v>
      </c>
      <c r="AI2153">
        <v>89.8346971367896</v>
      </c>
      <c r="AJ2153">
        <v>88.374619771468303</v>
      </c>
      <c r="AK2153">
        <v>278.10886643155101</v>
      </c>
      <c r="AL2153">
        <v>91.592071825925302</v>
      </c>
      <c r="AM2153">
        <v>92.398288194200006</v>
      </c>
      <c r="AN2153">
        <v>1.0000000120619501</v>
      </c>
    </row>
    <row r="2154" spans="1:40" x14ac:dyDescent="0.25">
      <c r="A2154" t="str">
        <f>"20190303153816963"</f>
        <v>20190303153816963</v>
      </c>
      <c r="B2154" t="str">
        <f>"1551598696960952"</f>
        <v>1551598696960952</v>
      </c>
      <c r="C2154" t="s">
        <v>40</v>
      </c>
      <c r="D2154">
        <v>4.2266529999999998</v>
      </c>
      <c r="E2154">
        <v>0.52620049999999996</v>
      </c>
      <c r="F2154" t="s">
        <v>58</v>
      </c>
      <c r="G2154">
        <v>-510.95429999999999</v>
      </c>
      <c r="H2154">
        <v>1.9738070000000001</v>
      </c>
      <c r="I2154">
        <v>297.08109999999999</v>
      </c>
      <c r="J2154">
        <v>-233.5162</v>
      </c>
      <c r="K2154">
        <v>1.120223</v>
      </c>
      <c r="L2154">
        <v>282.62990000000002</v>
      </c>
      <c r="M2154">
        <v>-0.99967200000000001</v>
      </c>
      <c r="N2154">
        <v>-8.1060990000000003E-3</v>
      </c>
      <c r="O2154">
        <v>2.4296709999999999E-2</v>
      </c>
      <c r="P2154">
        <v>-0.99918830000000003</v>
      </c>
      <c r="Q2154">
        <v>-3.5830710000000002E-2</v>
      </c>
      <c r="R2154">
        <v>-1.8413559999999999E-2</v>
      </c>
      <c r="S2154">
        <v>-3.0054780000000001</v>
      </c>
      <c r="T2154">
        <v>9.2387200000000006E-3</v>
      </c>
      <c r="U2154">
        <v>0.15646360000000001</v>
      </c>
      <c r="V2154">
        <v>-4.2676899999999997E-2</v>
      </c>
      <c r="W2154">
        <v>-2.7749320000000001E-2</v>
      </c>
      <c r="X2154">
        <v>0.99870349999999997</v>
      </c>
      <c r="Y2154">
        <v>2.7710809999999999E-2</v>
      </c>
      <c r="Z2154">
        <v>3.4131329999999998E-4</v>
      </c>
      <c r="AA2154">
        <v>0.9996159</v>
      </c>
      <c r="AB2154">
        <v>34</v>
      </c>
      <c r="AC2154">
        <v>-277.43810000000002</v>
      </c>
      <c r="AD2154">
        <v>0.85358399999999901</v>
      </c>
      <c r="AE2154">
        <v>14.451199999999901</v>
      </c>
      <c r="AF2154">
        <v>7.70580681471756</v>
      </c>
      <c r="AG2154">
        <v>0.85358399999999901</v>
      </c>
      <c r="AH2154">
        <v>277.70469903069397</v>
      </c>
      <c r="AI2154">
        <v>89.823957643995698</v>
      </c>
      <c r="AJ2154">
        <v>88.410552840481103</v>
      </c>
      <c r="AK2154">
        <v>277.81290093881398</v>
      </c>
      <c r="AL2154">
        <v>91.590123018588599</v>
      </c>
      <c r="AM2154">
        <v>92.446891920615798</v>
      </c>
      <c r="AN2154">
        <v>1.00000001173316</v>
      </c>
    </row>
    <row r="2155" spans="1:40" x14ac:dyDescent="0.25">
      <c r="A2155" t="str">
        <f>"20190303153816986"</f>
        <v>20190303153816986</v>
      </c>
      <c r="B2155" t="str">
        <f>"1551598696980473"</f>
        <v>1551598696980473</v>
      </c>
      <c r="C2155" t="s">
        <v>40</v>
      </c>
      <c r="D2155">
        <v>4.2021620000000004</v>
      </c>
      <c r="E2155">
        <v>0.52616470000000004</v>
      </c>
      <c r="F2155" t="s">
        <v>58</v>
      </c>
      <c r="G2155">
        <v>-510.95429999999999</v>
      </c>
      <c r="H2155">
        <v>2.1843210000000002</v>
      </c>
      <c r="I2155">
        <v>296.68049999999999</v>
      </c>
      <c r="J2155">
        <v>-233.8597</v>
      </c>
      <c r="K2155">
        <v>1.120258</v>
      </c>
      <c r="L2155">
        <v>282.63780000000003</v>
      </c>
      <c r="M2155">
        <v>-0.99968950000000001</v>
      </c>
      <c r="N2155">
        <v>-7.4434030000000003E-3</v>
      </c>
      <c r="O2155">
        <v>2.3785569999999999E-2</v>
      </c>
      <c r="P2155">
        <v>-0.99919460000000004</v>
      </c>
      <c r="Q2155">
        <v>-3.4833709999999997E-2</v>
      </c>
      <c r="R2155">
        <v>-1.9922390000000002E-2</v>
      </c>
      <c r="S2155">
        <v>-3.0056919999999998</v>
      </c>
      <c r="T2155">
        <v>1.1529090000000001E-2</v>
      </c>
      <c r="U2155">
        <v>0.15222169999999999</v>
      </c>
      <c r="V2155">
        <v>-4.3668279999999997E-2</v>
      </c>
      <c r="W2155">
        <v>-2.742619E-2</v>
      </c>
      <c r="X2155">
        <v>0.99866960000000005</v>
      </c>
      <c r="Y2155">
        <v>2.681126E-2</v>
      </c>
      <c r="Z2155">
        <v>3.1658940000000002E-4</v>
      </c>
      <c r="AA2155">
        <v>0.99964050000000004</v>
      </c>
      <c r="AB2155">
        <v>34</v>
      </c>
      <c r="AC2155">
        <v>-277.09460000000001</v>
      </c>
      <c r="AD2155">
        <v>1.06406299999999</v>
      </c>
      <c r="AE2155">
        <v>14.0426999999999</v>
      </c>
      <c r="AF2155">
        <v>7.44758256878713</v>
      </c>
      <c r="AG2155">
        <v>1.06406299999999</v>
      </c>
      <c r="AH2155">
        <v>277.34614451287001</v>
      </c>
      <c r="AI2155">
        <v>89.780259966206998</v>
      </c>
      <c r="AJ2155">
        <v>88.461804731608794</v>
      </c>
      <c r="AK2155">
        <v>277.44816199128201</v>
      </c>
      <c r="AL2155">
        <v>91.571601936112003</v>
      </c>
      <c r="AM2155">
        <v>92.503746338090707</v>
      </c>
      <c r="AN2155">
        <v>1.0000000422701101</v>
      </c>
    </row>
    <row r="2156" spans="1:40" x14ac:dyDescent="0.25">
      <c r="A2156" t="str">
        <f>"20190303153817007"</f>
        <v>20190303153817007</v>
      </c>
      <c r="B2156" t="str">
        <f>"1551598697000966"</f>
        <v>1551598697000966</v>
      </c>
      <c r="C2156" t="s">
        <v>40</v>
      </c>
      <c r="D2156">
        <v>4.2269430000000003</v>
      </c>
      <c r="E2156">
        <v>0.52612329999999996</v>
      </c>
      <c r="F2156" t="s">
        <v>58</v>
      </c>
      <c r="G2156">
        <v>-510.9545</v>
      </c>
      <c r="H2156">
        <v>2.5220030000000002</v>
      </c>
      <c r="I2156">
        <v>296.22859999999997</v>
      </c>
      <c r="J2156">
        <v>-234.19829999999999</v>
      </c>
      <c r="K2156">
        <v>1.1202939999999999</v>
      </c>
      <c r="L2156">
        <v>282.64550000000003</v>
      </c>
      <c r="M2156">
        <v>-0.99970820000000005</v>
      </c>
      <c r="N2156">
        <v>-6.8015159999999996E-3</v>
      </c>
      <c r="O2156">
        <v>2.318081E-2</v>
      </c>
      <c r="P2156">
        <v>-0.99919329999999995</v>
      </c>
      <c r="Q2156">
        <v>-3.3874929999999998E-2</v>
      </c>
      <c r="R2156">
        <v>-2.157945E-2</v>
      </c>
      <c r="S2156">
        <v>-3.0058750000000001</v>
      </c>
      <c r="T2156">
        <v>1.5206809999999999E-2</v>
      </c>
      <c r="U2156">
        <v>0.14743039999999999</v>
      </c>
      <c r="V2156">
        <v>-4.4713889999999999E-2</v>
      </c>
      <c r="W2156">
        <v>-2.7120390000000001E-2</v>
      </c>
      <c r="X2156">
        <v>0.99863170000000001</v>
      </c>
      <c r="Y2156">
        <v>2.582361E-2</v>
      </c>
      <c r="Z2156">
        <v>2.9737090000000002E-4</v>
      </c>
      <c r="AA2156">
        <v>0.99966650000000001</v>
      </c>
      <c r="AB2156">
        <v>35</v>
      </c>
      <c r="AC2156">
        <v>-276.75619999999998</v>
      </c>
      <c r="AD2156">
        <v>1.4017089999999901</v>
      </c>
      <c r="AE2156">
        <v>13.5830999999999</v>
      </c>
      <c r="AF2156">
        <v>7.1636856032731897</v>
      </c>
      <c r="AG2156">
        <v>1.4017089999999901</v>
      </c>
      <c r="AH2156">
        <v>276.98961537794099</v>
      </c>
      <c r="AI2156">
        <v>89.710153469541098</v>
      </c>
      <c r="AJ2156">
        <v>88.518509534264197</v>
      </c>
      <c r="AK2156">
        <v>277.085781314673</v>
      </c>
      <c r="AL2156">
        <v>91.554074340038795</v>
      </c>
      <c r="AM2156">
        <v>92.563715114163998</v>
      </c>
      <c r="AN2156">
        <v>1.0000000598787799</v>
      </c>
    </row>
    <row r="2157" spans="1:40" x14ac:dyDescent="0.25">
      <c r="A2157" t="str">
        <f>"20190303153817030"</f>
        <v>20190303153817030</v>
      </c>
      <c r="B2157" t="str">
        <f>"1551598697020490"</f>
        <v>1551598697020490</v>
      </c>
      <c r="C2157" t="s">
        <v>40</v>
      </c>
      <c r="D2157">
        <v>4.196739</v>
      </c>
      <c r="E2157">
        <v>0.526092</v>
      </c>
      <c r="F2157" t="s">
        <v>58</v>
      </c>
      <c r="G2157">
        <v>-510.95460000000003</v>
      </c>
      <c r="H2157">
        <v>2.8531819999999999</v>
      </c>
      <c r="I2157">
        <v>295.70440000000002</v>
      </c>
      <c r="J2157">
        <v>-234.5521</v>
      </c>
      <c r="K2157">
        <v>1.1203350000000001</v>
      </c>
      <c r="L2157">
        <v>282.65309999999999</v>
      </c>
      <c r="M2157">
        <v>-0.99972910000000004</v>
      </c>
      <c r="N2157">
        <v>-6.1655529999999998E-3</v>
      </c>
      <c r="O2157">
        <v>2.2450000000000001E-2</v>
      </c>
      <c r="P2157">
        <v>-0.99916919999999998</v>
      </c>
      <c r="Q2157">
        <v>-3.3659219999999997E-2</v>
      </c>
      <c r="R2157">
        <v>-2.2987730000000001E-2</v>
      </c>
      <c r="S2157">
        <v>-3.006119</v>
      </c>
      <c r="T2157">
        <v>1.88235E-2</v>
      </c>
      <c r="U2157">
        <v>0.14184569999999999</v>
      </c>
      <c r="V2157">
        <v>-4.5383809999999997E-2</v>
      </c>
      <c r="W2157">
        <v>-2.7551840000000001E-2</v>
      </c>
      <c r="X2157">
        <v>0.99858959999999997</v>
      </c>
      <c r="Y2157">
        <v>2.46976E-2</v>
      </c>
      <c r="Z2157">
        <v>2.777333E-4</v>
      </c>
      <c r="AA2157">
        <v>0.99969490000000005</v>
      </c>
      <c r="AB2157">
        <v>35</v>
      </c>
      <c r="AC2157">
        <v>-276.40249999999997</v>
      </c>
      <c r="AD2157">
        <v>1.73284699999999</v>
      </c>
      <c r="AE2157">
        <v>13.051299999999999</v>
      </c>
      <c r="AF2157">
        <v>6.8423890108074801</v>
      </c>
      <c r="AG2157">
        <v>1.73284699999999</v>
      </c>
      <c r="AH2157">
        <v>276.61499414595801</v>
      </c>
      <c r="AI2157">
        <v>89.641186620084497</v>
      </c>
      <c r="AJ2157">
        <v>88.583012166142794</v>
      </c>
      <c r="AK2157">
        <v>276.70503434608702</v>
      </c>
      <c r="AL2157">
        <v>91.578803951998395</v>
      </c>
      <c r="AM2157">
        <v>92.602182787398405</v>
      </c>
      <c r="AN2157">
        <v>0.99999999166283005</v>
      </c>
    </row>
    <row r="2158" spans="1:40" x14ac:dyDescent="0.25">
      <c r="A2158" t="str">
        <f>"20190303153817041"</f>
        <v>20190303153817041</v>
      </c>
      <c r="B2158" t="str">
        <f>"1551598697031223"</f>
        <v>1551598697031223</v>
      </c>
      <c r="C2158" t="s">
        <v>40</v>
      </c>
      <c r="D2158">
        <v>4.189279</v>
      </c>
      <c r="E2158">
        <v>0.52606030000000004</v>
      </c>
      <c r="F2158" t="s">
        <v>49</v>
      </c>
      <c r="G2158">
        <v>-476.36489999999998</v>
      </c>
      <c r="H2158">
        <v>2.743741</v>
      </c>
      <c r="I2158">
        <v>293.66969999999998</v>
      </c>
      <c r="J2158">
        <v>-234.7567</v>
      </c>
      <c r="K2158">
        <v>1.1203590000000001</v>
      </c>
      <c r="L2158">
        <v>282.6574</v>
      </c>
      <c r="M2158">
        <v>-0.99974160000000001</v>
      </c>
      <c r="N2158">
        <v>-5.826716E-3</v>
      </c>
      <c r="O2158">
        <v>2.1974500000000001E-2</v>
      </c>
      <c r="P2158">
        <v>-0.99914400000000003</v>
      </c>
      <c r="Q2158">
        <v>-3.3728689999999999E-2</v>
      </c>
      <c r="R2158">
        <v>-2.3951320000000002E-2</v>
      </c>
      <c r="S2158">
        <v>-3.0063170000000001</v>
      </c>
      <c r="T2158">
        <v>2.0182849999999999E-2</v>
      </c>
      <c r="U2158">
        <v>0.1369629</v>
      </c>
      <c r="V2158">
        <v>-4.5867539999999998E-2</v>
      </c>
      <c r="W2158">
        <v>-2.7966729999999999E-2</v>
      </c>
      <c r="X2158">
        <v>0.998556</v>
      </c>
      <c r="Y2158">
        <v>2.3549730000000001E-2</v>
      </c>
      <c r="Z2158">
        <v>2.6505140000000001E-4</v>
      </c>
      <c r="AA2158">
        <v>0.99972269999999996</v>
      </c>
      <c r="AB2158">
        <v>35</v>
      </c>
      <c r="AC2158">
        <v>-241.60820000000001</v>
      </c>
      <c r="AD2158">
        <v>1.6233820000000001</v>
      </c>
      <c r="AE2158">
        <v>11.0122999999999</v>
      </c>
      <c r="AF2158">
        <v>5.7000747213704299</v>
      </c>
      <c r="AG2158">
        <v>1.6233820000000001</v>
      </c>
      <c r="AH2158">
        <v>241.78095835824499</v>
      </c>
      <c r="AI2158">
        <v>89.615413455941393</v>
      </c>
      <c r="AJ2158">
        <v>88.649481163546298</v>
      </c>
      <c r="AK2158">
        <v>241.85358803536201</v>
      </c>
      <c r="AL2158">
        <v>91.602584505577198</v>
      </c>
      <c r="AM2158">
        <v>92.629968167284801</v>
      </c>
      <c r="AN2158">
        <v>1.0000000271742699</v>
      </c>
    </row>
    <row r="2159" spans="1:40" x14ac:dyDescent="0.25">
      <c r="A2159" t="str">
        <f>"20190303153817055"</f>
        <v>20190303153817055</v>
      </c>
      <c r="B2159" t="str">
        <f>"1551598697050742"</f>
        <v>1551598697050742</v>
      </c>
      <c r="C2159" t="s">
        <v>40</v>
      </c>
      <c r="D2159">
        <v>4.2231759999999996</v>
      </c>
      <c r="E2159">
        <v>0.52601180000000003</v>
      </c>
      <c r="F2159" t="s">
        <v>58</v>
      </c>
      <c r="G2159">
        <v>-510.95460000000003</v>
      </c>
      <c r="H2159">
        <v>2.9624679999999999</v>
      </c>
      <c r="I2159">
        <v>294.97359999999998</v>
      </c>
      <c r="J2159">
        <v>-234.9539</v>
      </c>
      <c r="K2159">
        <v>1.120385</v>
      </c>
      <c r="L2159">
        <v>282.66140000000001</v>
      </c>
      <c r="M2159">
        <v>-0.99975369999999997</v>
      </c>
      <c r="N2159">
        <v>-5.5132469999999998E-3</v>
      </c>
      <c r="O2159">
        <v>2.149856E-2</v>
      </c>
      <c r="P2159">
        <v>-0.99912489999999998</v>
      </c>
      <c r="Q2159">
        <v>-3.3901580000000001E-2</v>
      </c>
      <c r="R2159">
        <v>-2.448877E-2</v>
      </c>
      <c r="S2159">
        <v>-3.0064540000000002</v>
      </c>
      <c r="T2159">
        <v>2.0052549999999999E-2</v>
      </c>
      <c r="U2159">
        <v>0.13406370000000001</v>
      </c>
      <c r="V2159">
        <v>-4.5924989999999999E-2</v>
      </c>
      <c r="W2159">
        <v>-2.8458689999999998E-2</v>
      </c>
      <c r="X2159">
        <v>0.99853939999999997</v>
      </c>
      <c r="Y2159">
        <v>2.3061359999999999E-2</v>
      </c>
      <c r="Z2159">
        <v>2.4851620000000002E-4</v>
      </c>
      <c r="AA2159">
        <v>0.99973400000000001</v>
      </c>
      <c r="AB2159">
        <v>35</v>
      </c>
      <c r="AC2159">
        <v>-276.00069999999999</v>
      </c>
      <c r="AD2159">
        <v>1.8420829999999999</v>
      </c>
      <c r="AE2159">
        <v>12.312199999999899</v>
      </c>
      <c r="AF2159">
        <v>6.37536322539371</v>
      </c>
      <c r="AG2159">
        <v>1.8420829999999999</v>
      </c>
      <c r="AH2159">
        <v>276.18932876932001</v>
      </c>
      <c r="AI2159">
        <v>89.617965290219701</v>
      </c>
      <c r="AJ2159">
        <v>88.677658730327096</v>
      </c>
      <c r="AK2159">
        <v>276.26904251486798</v>
      </c>
      <c r="AL2159">
        <v>91.630783058662601</v>
      </c>
      <c r="AM2159">
        <v>92.633301335038894</v>
      </c>
      <c r="AN2159">
        <v>0.99999996754768705</v>
      </c>
    </row>
    <row r="2160" spans="1:40" x14ac:dyDescent="0.25">
      <c r="A2160" t="str">
        <f>"20190303153817073"</f>
        <v>20190303153817073</v>
      </c>
      <c r="B2160" t="str">
        <f>"1551598697061482"</f>
        <v>1551598697061482</v>
      </c>
      <c r="C2160" t="s">
        <v>40</v>
      </c>
      <c r="D2160">
        <v>4.2481210000000003</v>
      </c>
      <c r="E2160">
        <v>0.52601180000000003</v>
      </c>
      <c r="F2160" t="s">
        <v>58</v>
      </c>
      <c r="G2160">
        <v>-510.95460000000003</v>
      </c>
      <c r="H2160">
        <v>2.930491</v>
      </c>
      <c r="I2160">
        <v>294.77800000000002</v>
      </c>
      <c r="J2160">
        <v>-235.23509999999999</v>
      </c>
      <c r="K2160">
        <v>1.120431</v>
      </c>
      <c r="L2160">
        <v>282.66699999999997</v>
      </c>
      <c r="M2160">
        <v>-0.99977110000000002</v>
      </c>
      <c r="N2160">
        <v>-5.0948879999999997E-3</v>
      </c>
      <c r="O2160">
        <v>2.0779869999999999E-2</v>
      </c>
      <c r="P2160">
        <v>-0.99910770000000004</v>
      </c>
      <c r="Q2160">
        <v>-3.4291229999999999E-2</v>
      </c>
      <c r="R2160">
        <v>-2.4658960000000001E-2</v>
      </c>
      <c r="S2160">
        <v>-3.0065309999999998</v>
      </c>
      <c r="T2160">
        <v>1.971877E-2</v>
      </c>
      <c r="U2160">
        <v>0.13198850000000001</v>
      </c>
      <c r="V2160">
        <v>-4.5370639999999997E-2</v>
      </c>
      <c r="W2160">
        <v>-2.9273199999999999E-2</v>
      </c>
      <c r="X2160">
        <v>0.99854120000000002</v>
      </c>
      <c r="Y2160">
        <v>2.3090050000000001E-2</v>
      </c>
      <c r="Z2160">
        <v>2.252015E-4</v>
      </c>
      <c r="AA2160">
        <v>0.99973339999999999</v>
      </c>
      <c r="AB2160">
        <v>35</v>
      </c>
      <c r="AC2160">
        <v>-275.71949999999998</v>
      </c>
      <c r="AD2160">
        <v>1.81005999999999</v>
      </c>
      <c r="AE2160">
        <v>12.110999999999899</v>
      </c>
      <c r="AF2160">
        <v>6.3786208026021098</v>
      </c>
      <c r="AG2160">
        <v>1.81005999999999</v>
      </c>
      <c r="AH2160">
        <v>275.89976438239501</v>
      </c>
      <c r="AI2160">
        <v>89.624212775462297</v>
      </c>
      <c r="AJ2160">
        <v>88.675595254343506</v>
      </c>
      <c r="AK2160">
        <v>275.97942515123901</v>
      </c>
      <c r="AL2160">
        <v>91.677470494993301</v>
      </c>
      <c r="AM2160">
        <v>92.601554613210695</v>
      </c>
      <c r="AN2160">
        <v>0.999999971654844</v>
      </c>
    </row>
    <row r="2161" spans="1:40" x14ac:dyDescent="0.25">
      <c r="A2161" t="str">
        <f>"20190303153817085"</f>
        <v>20190303153817085</v>
      </c>
      <c r="B2161" t="str">
        <f>"1551598697080999"</f>
        <v>1551598697080999</v>
      </c>
      <c r="C2161" t="s">
        <v>40</v>
      </c>
      <c r="D2161">
        <v>4.2466390000000001</v>
      </c>
      <c r="E2161">
        <v>0.52845730000000002</v>
      </c>
      <c r="F2161" t="s">
        <v>58</v>
      </c>
      <c r="G2161">
        <v>-510.95460000000003</v>
      </c>
      <c r="H2161">
        <v>2.830238</v>
      </c>
      <c r="I2161">
        <v>294.70400000000001</v>
      </c>
      <c r="J2161">
        <v>-235.45189999999999</v>
      </c>
      <c r="K2161">
        <v>1.1204639999999999</v>
      </c>
      <c r="L2161">
        <v>282.67110000000002</v>
      </c>
      <c r="M2161">
        <v>-0.99978460000000002</v>
      </c>
      <c r="N2161">
        <v>-4.7972839999999997E-3</v>
      </c>
      <c r="O2161">
        <v>2.0192789999999999E-2</v>
      </c>
      <c r="P2161">
        <v>-0.99911260000000002</v>
      </c>
      <c r="Q2161">
        <v>-3.3897740000000003E-2</v>
      </c>
      <c r="R2161">
        <v>-2.500337E-2</v>
      </c>
      <c r="S2161">
        <v>-3.0065460000000002</v>
      </c>
      <c r="T2161">
        <v>1.8645289999999998E-2</v>
      </c>
      <c r="U2161">
        <v>0.13125609999999999</v>
      </c>
      <c r="V2161">
        <v>-4.5125070000000003E-2</v>
      </c>
      <c r="W2161">
        <v>-2.9182320000000001E-2</v>
      </c>
      <c r="X2161">
        <v>0.99855499999999997</v>
      </c>
      <c r="Y2161">
        <v>2.343365E-2</v>
      </c>
      <c r="Z2161">
        <v>2.055937E-4</v>
      </c>
      <c r="AA2161">
        <v>0.99972539999999999</v>
      </c>
      <c r="AB2161">
        <v>36</v>
      </c>
      <c r="AC2161">
        <v>-275.5027</v>
      </c>
      <c r="AD2161">
        <v>1.7097739999999999</v>
      </c>
      <c r="AE2161">
        <v>12.0328999999999</v>
      </c>
      <c r="AF2161">
        <v>6.4669657382875396</v>
      </c>
      <c r="AG2161">
        <v>1.7097739999999999</v>
      </c>
      <c r="AH2161">
        <v>275.67890820062701</v>
      </c>
      <c r="AI2161">
        <v>89.644751073810397</v>
      </c>
      <c r="AJ2161">
        <v>88.656183379272406</v>
      </c>
      <c r="AK2161">
        <v>275.76005040556697</v>
      </c>
      <c r="AL2161">
        <v>91.672261208431095</v>
      </c>
      <c r="AM2161">
        <v>92.587457096625897</v>
      </c>
      <c r="AN2161">
        <v>0.99999998388404299</v>
      </c>
    </row>
    <row r="2162" spans="1:40" x14ac:dyDescent="0.25">
      <c r="A2162" t="str">
        <f>"20190303153817099"</f>
        <v>20190303153817099</v>
      </c>
      <c r="B2162" t="str">
        <f>"1551598697090759"</f>
        <v>1551598697090759</v>
      </c>
      <c r="C2162" t="s">
        <v>40</v>
      </c>
      <c r="D2162">
        <v>4.2306949999999999</v>
      </c>
      <c r="E2162">
        <v>0.52662469999999995</v>
      </c>
      <c r="F2162" t="s">
        <v>58</v>
      </c>
      <c r="G2162">
        <v>-510.0711</v>
      </c>
      <c r="H2162">
        <v>7.3459250000000003</v>
      </c>
      <c r="I2162">
        <v>296.2697</v>
      </c>
      <c r="J2162">
        <v>-235.65639999999999</v>
      </c>
      <c r="K2162">
        <v>1.1204959999999999</v>
      </c>
      <c r="L2162">
        <v>282.6748</v>
      </c>
      <c r="M2162">
        <v>-0.99979739999999995</v>
      </c>
      <c r="N2162">
        <v>-4.539253E-3</v>
      </c>
      <c r="O2162">
        <v>1.9611090000000001E-2</v>
      </c>
      <c r="P2162">
        <v>-0.99913320000000005</v>
      </c>
      <c r="Q2162">
        <v>-3.3236549999999997E-2</v>
      </c>
      <c r="R2162">
        <v>-2.5066339999999999E-2</v>
      </c>
      <c r="S2162">
        <v>-3.0087280000000001</v>
      </c>
      <c r="T2162">
        <v>6.8207030000000002E-2</v>
      </c>
      <c r="U2162">
        <v>0.1489868</v>
      </c>
      <c r="V2162">
        <v>-4.4605150000000003E-2</v>
      </c>
      <c r="W2162">
        <v>-2.8783019999999999E-2</v>
      </c>
      <c r="X2162">
        <v>0.99858999999999998</v>
      </c>
      <c r="Y2162">
        <v>2.986192E-2</v>
      </c>
      <c r="Z2162">
        <v>2.6273479999999998E-4</v>
      </c>
      <c r="AA2162">
        <v>0.99955400000000005</v>
      </c>
      <c r="AB2162">
        <v>36</v>
      </c>
      <c r="AC2162">
        <v>-274.41469999999998</v>
      </c>
      <c r="AD2162">
        <v>6.2254290000000001</v>
      </c>
      <c r="AE2162">
        <v>13.5948999999999</v>
      </c>
      <c r="AF2162">
        <v>8.2064454954335702</v>
      </c>
      <c r="AG2162">
        <v>6.2254290000000001</v>
      </c>
      <c r="AH2162">
        <v>274.48761511865501</v>
      </c>
      <c r="AI2162">
        <v>88.701324133658602</v>
      </c>
      <c r="AJ2162">
        <v>88.2875195587295</v>
      </c>
      <c r="AK2162">
        <v>274.68081943854497</v>
      </c>
      <c r="AL2162">
        <v>91.649373304177701</v>
      </c>
      <c r="AM2162">
        <v>92.557595342993196</v>
      </c>
      <c r="AN2162">
        <v>1.0000000348734199</v>
      </c>
    </row>
    <row r="2163" spans="1:40" x14ac:dyDescent="0.25">
      <c r="A2163" t="str">
        <f>"20190303153817111"</f>
        <v>20190303153817111</v>
      </c>
      <c r="B2163" t="str">
        <f>"1551598697100519"</f>
        <v>1551598697100519</v>
      </c>
      <c r="C2163" t="s">
        <v>40</v>
      </c>
      <c r="D2163">
        <v>4.2195600000000004</v>
      </c>
      <c r="E2163">
        <v>0.52575609999999995</v>
      </c>
      <c r="F2163" t="s">
        <v>58</v>
      </c>
      <c r="G2163">
        <v>-510.07080000000002</v>
      </c>
      <c r="H2163">
        <v>6.3642120000000002</v>
      </c>
      <c r="I2163">
        <v>294.9418</v>
      </c>
      <c r="J2163">
        <v>-235.85220000000001</v>
      </c>
      <c r="K2163">
        <v>1.120525</v>
      </c>
      <c r="L2163">
        <v>282.67829999999998</v>
      </c>
      <c r="M2163">
        <v>-0.99980950000000002</v>
      </c>
      <c r="N2163">
        <v>-4.3031659999999998E-3</v>
      </c>
      <c r="O2163">
        <v>1.904204E-2</v>
      </c>
      <c r="P2163">
        <v>-0.99916389999999999</v>
      </c>
      <c r="Q2163">
        <v>-3.2413379999999999E-2</v>
      </c>
      <c r="R2163">
        <v>-2.4920020000000001E-2</v>
      </c>
      <c r="S2163">
        <v>-3.0079039999999999</v>
      </c>
      <c r="T2163">
        <v>5.7478189999999998E-2</v>
      </c>
      <c r="U2163">
        <v>0.13446040000000001</v>
      </c>
      <c r="V2163">
        <v>-4.3888770000000001E-2</v>
      </c>
      <c r="W2163">
        <v>-2.8198979999999998E-2</v>
      </c>
      <c r="X2163">
        <v>0.99863840000000004</v>
      </c>
      <c r="Y2163">
        <v>2.5628060000000001E-2</v>
      </c>
      <c r="Z2163">
        <v>2.5596229999999998E-4</v>
      </c>
      <c r="AA2163">
        <v>0.99967150000000005</v>
      </c>
      <c r="AB2163">
        <v>36</v>
      </c>
      <c r="AC2163">
        <v>-274.21859999999998</v>
      </c>
      <c r="AD2163">
        <v>5.2436870000000004</v>
      </c>
      <c r="AE2163">
        <v>12.263500000000001</v>
      </c>
      <c r="AF2163">
        <v>7.0369788732965297</v>
      </c>
      <c r="AG2163">
        <v>5.2436870000000004</v>
      </c>
      <c r="AH2163">
        <v>274.30230135379401</v>
      </c>
      <c r="AI2163">
        <v>88.905201440602795</v>
      </c>
      <c r="AJ2163">
        <v>88.530450629849398</v>
      </c>
      <c r="AK2163">
        <v>274.44264947891202</v>
      </c>
      <c r="AL2163">
        <v>91.615896695362594</v>
      </c>
      <c r="AM2163">
        <v>92.516450568342506</v>
      </c>
      <c r="AN2163">
        <v>1.00000003027985</v>
      </c>
    </row>
    <row r="2164" spans="1:40" x14ac:dyDescent="0.25">
      <c r="A2164" t="str">
        <f>"20190303153817129"</f>
        <v>20190303153817129</v>
      </c>
      <c r="B2164" t="str">
        <f>"1551598697121014"</f>
        <v>1551598697121014</v>
      </c>
      <c r="C2164" t="s">
        <v>40</v>
      </c>
      <c r="D2164">
        <v>4.231236</v>
      </c>
      <c r="E2164">
        <v>0.52634119999999995</v>
      </c>
      <c r="F2164" t="s">
        <v>58</v>
      </c>
      <c r="G2164">
        <v>-510.07069999999999</v>
      </c>
      <c r="H2164">
        <v>6.0637990000000004</v>
      </c>
      <c r="I2164">
        <v>294.34559999999999</v>
      </c>
      <c r="J2164">
        <v>-236.15119999999999</v>
      </c>
      <c r="K2164">
        <v>1.120568</v>
      </c>
      <c r="L2164">
        <v>282.68329999999997</v>
      </c>
      <c r="M2164">
        <v>-0.99982769999999999</v>
      </c>
      <c r="N2164">
        <v>-3.9775879999999998E-3</v>
      </c>
      <c r="O2164">
        <v>1.813567E-2</v>
      </c>
      <c r="P2164">
        <v>-0.99922</v>
      </c>
      <c r="Q2164">
        <v>-3.059601E-2</v>
      </c>
      <c r="R2164">
        <v>-2.4969649999999999E-2</v>
      </c>
      <c r="S2164">
        <v>-3.0074459999999998</v>
      </c>
      <c r="T2164">
        <v>5.4215430000000002E-2</v>
      </c>
      <c r="U2164">
        <v>0.1279602</v>
      </c>
      <c r="V2164">
        <v>-4.3032420000000002E-2</v>
      </c>
      <c r="W2164">
        <v>-2.671169E-2</v>
      </c>
      <c r="X2164">
        <v>0.99871650000000001</v>
      </c>
      <c r="Y2164">
        <v>2.4384220000000002E-2</v>
      </c>
      <c r="Z2164">
        <v>2.276701E-4</v>
      </c>
      <c r="AA2164">
        <v>0.9997026</v>
      </c>
      <c r="AB2164">
        <v>36</v>
      </c>
      <c r="AC2164">
        <v>-273.91950000000003</v>
      </c>
      <c r="AD2164">
        <v>4.9432309999999902</v>
      </c>
      <c r="AE2164">
        <v>11.6623</v>
      </c>
      <c r="AF2164">
        <v>6.6904544281094296</v>
      </c>
      <c r="AG2164">
        <v>4.9432309999999902</v>
      </c>
      <c r="AH2164">
        <v>273.99688373370799</v>
      </c>
      <c r="AI2164">
        <v>88.966735763604504</v>
      </c>
      <c r="AJ2164">
        <v>88.601229921089299</v>
      </c>
      <c r="AK2164">
        <v>274.12312928492003</v>
      </c>
      <c r="AL2164">
        <v>91.5306491984052</v>
      </c>
      <c r="AM2164">
        <v>92.467218597431895</v>
      </c>
      <c r="AN2164">
        <v>0.99999997546298103</v>
      </c>
    </row>
    <row r="2165" spans="1:40" x14ac:dyDescent="0.25">
      <c r="A2165" t="str">
        <f>"20190303153817141"</f>
        <v>20190303153817141</v>
      </c>
      <c r="B2165" t="str">
        <f>"1551598697130775"</f>
        <v>1551598697130775</v>
      </c>
      <c r="C2165" t="s">
        <v>40</v>
      </c>
      <c r="D2165">
        <v>4.2557179999999999</v>
      </c>
      <c r="E2165">
        <v>0.52578059999999904</v>
      </c>
      <c r="F2165" t="s">
        <v>58</v>
      </c>
      <c r="G2165">
        <v>-510.07100000000003</v>
      </c>
      <c r="H2165">
        <v>6.8057420000000004</v>
      </c>
      <c r="I2165">
        <v>294.74610000000001</v>
      </c>
      <c r="J2165">
        <v>-236.3466</v>
      </c>
      <c r="K2165">
        <v>1.1205959999999999</v>
      </c>
      <c r="L2165">
        <v>282.68650000000002</v>
      </c>
      <c r="M2165">
        <v>-0.99983920000000004</v>
      </c>
      <c r="N2165">
        <v>-3.7888879999999998E-3</v>
      </c>
      <c r="O2165">
        <v>1.7521979999999999E-2</v>
      </c>
      <c r="P2165">
        <v>-0.99920580000000003</v>
      </c>
      <c r="Q2165">
        <v>-3.0448260000000001E-2</v>
      </c>
      <c r="R2165">
        <v>-2.5708040000000001E-2</v>
      </c>
      <c r="S2165">
        <v>-3.007568</v>
      </c>
      <c r="T2165">
        <v>6.242263E-2</v>
      </c>
      <c r="U2165">
        <v>0.13244629999999999</v>
      </c>
      <c r="V2165">
        <v>-4.3155230000000003E-2</v>
      </c>
      <c r="W2165">
        <v>-2.6756740000000001E-2</v>
      </c>
      <c r="X2165">
        <v>0.99870999999999999</v>
      </c>
      <c r="Y2165">
        <v>2.648375E-2</v>
      </c>
      <c r="Z2165">
        <v>2.052911E-4</v>
      </c>
      <c r="AA2165">
        <v>0.99964920000000002</v>
      </c>
      <c r="AB2165">
        <v>36</v>
      </c>
      <c r="AC2165">
        <v>-273.72439999999898</v>
      </c>
      <c r="AD2165">
        <v>5.6851459999999996</v>
      </c>
      <c r="AE2165">
        <v>12.0595999999999</v>
      </c>
      <c r="AF2165">
        <v>7.2583951642589701</v>
      </c>
      <c r="AG2165">
        <v>5.6851459999999996</v>
      </c>
      <c r="AH2165">
        <v>273.77581478187199</v>
      </c>
      <c r="AI2165">
        <v>88.810801844089099</v>
      </c>
      <c r="AJ2165">
        <v>88.481319428072396</v>
      </c>
      <c r="AK2165">
        <v>273.93101676312602</v>
      </c>
      <c r="AL2165">
        <v>91.533231288426606</v>
      </c>
      <c r="AM2165">
        <v>92.474267125059995</v>
      </c>
      <c r="AN2165">
        <v>0.99999998055589001</v>
      </c>
    </row>
    <row r="2166" spans="1:40" x14ac:dyDescent="0.25">
      <c r="A2166" t="str">
        <f>"20190303153817154"</f>
        <v>20190303153817154</v>
      </c>
      <c r="B2166" t="str">
        <f>"1551598697151271"</f>
        <v>1551598697151271</v>
      </c>
      <c r="C2166" t="s">
        <v>40</v>
      </c>
      <c r="D2166">
        <v>4.2368560000000004</v>
      </c>
      <c r="E2166">
        <v>0.52514459999999996</v>
      </c>
      <c r="F2166" t="s">
        <v>58</v>
      </c>
      <c r="G2166">
        <v>-510.07080000000002</v>
      </c>
      <c r="H2166">
        <v>6.4134989999999998</v>
      </c>
      <c r="I2166">
        <v>294.11649999999997</v>
      </c>
      <c r="J2166">
        <v>-236.53739999999999</v>
      </c>
      <c r="K2166">
        <v>1.120619</v>
      </c>
      <c r="L2166">
        <v>282.68939999999998</v>
      </c>
      <c r="M2166">
        <v>-0.99985049999999998</v>
      </c>
      <c r="N2166">
        <v>-3.6135049999999999E-3</v>
      </c>
      <c r="O2166">
        <v>1.6916540000000001E-2</v>
      </c>
      <c r="P2166">
        <v>-0.99918620000000002</v>
      </c>
      <c r="Q2166">
        <v>-3.0526640000000001E-2</v>
      </c>
      <c r="R2166">
        <v>-2.6366489999999999E-2</v>
      </c>
      <c r="S2166">
        <v>-3.0073699999999999</v>
      </c>
      <c r="T2166">
        <v>5.815327E-2</v>
      </c>
      <c r="U2166">
        <v>0.12557979999999999</v>
      </c>
      <c r="V2166">
        <v>-4.320541E-2</v>
      </c>
      <c r="W2166">
        <v>-2.701419E-2</v>
      </c>
      <c r="X2166">
        <v>0.9987009</v>
      </c>
      <c r="Y2166">
        <v>2.4813789999999999E-2</v>
      </c>
      <c r="Z2166">
        <v>1.9307389999999999E-4</v>
      </c>
      <c r="AA2166">
        <v>0.99969209999999997</v>
      </c>
      <c r="AB2166">
        <v>36</v>
      </c>
      <c r="AC2166">
        <v>-273.53339999999997</v>
      </c>
      <c r="AD2166">
        <v>5.2928800000000003</v>
      </c>
      <c r="AE2166">
        <v>11.4270999999999</v>
      </c>
      <c r="AF2166">
        <v>6.7956564608591998</v>
      </c>
      <c r="AG2166">
        <v>5.2928800000000003</v>
      </c>
      <c r="AH2166">
        <v>273.58530812773103</v>
      </c>
      <c r="AI2166">
        <v>88.8920151249377</v>
      </c>
      <c r="AJ2166">
        <v>88.577107853118093</v>
      </c>
      <c r="AK2166">
        <v>273.72087306008302</v>
      </c>
      <c r="AL2166">
        <v>91.547987420869902</v>
      </c>
      <c r="AM2166">
        <v>92.477163112631004</v>
      </c>
      <c r="AN2166">
        <v>0.99999998078771701</v>
      </c>
    </row>
    <row r="2167" spans="1:40" x14ac:dyDescent="0.25">
      <c r="A2167" t="str">
        <f>"20190303153817166"</f>
        <v>20190303153817166</v>
      </c>
      <c r="B2167" t="str">
        <f>"1551598697161031"</f>
        <v>1551598697161031</v>
      </c>
      <c r="C2167" t="s">
        <v>40</v>
      </c>
      <c r="D2167">
        <v>4.2579399999999996</v>
      </c>
      <c r="E2167">
        <v>0.52488509999999999</v>
      </c>
      <c r="F2167" t="s">
        <v>58</v>
      </c>
      <c r="G2167">
        <v>-510.07060000000001</v>
      </c>
      <c r="H2167">
        <v>5.756208</v>
      </c>
      <c r="I2167">
        <v>293.47930000000002</v>
      </c>
      <c r="J2167">
        <v>-236.7499</v>
      </c>
      <c r="K2167">
        <v>1.1206430000000001</v>
      </c>
      <c r="L2167">
        <v>282.69260000000003</v>
      </c>
      <c r="M2167">
        <v>-0.99986240000000004</v>
      </c>
      <c r="N2167">
        <v>-3.433415E-3</v>
      </c>
      <c r="O2167">
        <v>1.6231539999999999E-2</v>
      </c>
      <c r="P2167">
        <v>-0.99914440000000004</v>
      </c>
      <c r="Q2167">
        <v>-3.0945230000000001E-2</v>
      </c>
      <c r="R2167">
        <v>-2.7440659999999999E-2</v>
      </c>
      <c r="S2167">
        <v>-3.0071409999999998</v>
      </c>
      <c r="T2167">
        <v>5.096316E-2</v>
      </c>
      <c r="U2167">
        <v>0.1186218</v>
      </c>
      <c r="V2167">
        <v>-4.3590909999999997E-2</v>
      </c>
      <c r="W2167">
        <v>-2.761748E-2</v>
      </c>
      <c r="X2167">
        <v>0.99866770000000005</v>
      </c>
      <c r="Y2167">
        <v>2.3192549999999999E-2</v>
      </c>
      <c r="Z2167">
        <v>1.7403070000000001E-4</v>
      </c>
      <c r="AA2167">
        <v>0.99973100000000004</v>
      </c>
      <c r="AB2167">
        <v>36</v>
      </c>
      <c r="AC2167">
        <v>-273.32069999999999</v>
      </c>
      <c r="AD2167">
        <v>4.6355649999999997</v>
      </c>
      <c r="AE2167">
        <v>10.7866999999999</v>
      </c>
      <c r="AF2167">
        <v>6.3470142113393404</v>
      </c>
      <c r="AG2167">
        <v>4.6355649999999997</v>
      </c>
      <c r="AH2167">
        <v>273.38126296001599</v>
      </c>
      <c r="AI2167">
        <v>89.028823975007796</v>
      </c>
      <c r="AJ2167">
        <v>88.670019279911799</v>
      </c>
      <c r="AK2167">
        <v>273.49421929883903</v>
      </c>
      <c r="AL2167">
        <v>91.582566211923705</v>
      </c>
      <c r="AM2167">
        <v>92.499320663132707</v>
      </c>
      <c r="AN2167">
        <v>1.0000000338297299</v>
      </c>
    </row>
    <row r="2168" spans="1:40" x14ac:dyDescent="0.25">
      <c r="A2168" t="str">
        <f>"20190303153817185"</f>
        <v>20190303153817185</v>
      </c>
      <c r="B2168" t="str">
        <f>"1551598697180550"</f>
        <v>1551598697180550</v>
      </c>
      <c r="C2168" t="s">
        <v>40</v>
      </c>
      <c r="D2168">
        <v>4.2723630000000004</v>
      </c>
      <c r="E2168">
        <v>0.52539539999999996</v>
      </c>
      <c r="F2168" t="s">
        <v>58</v>
      </c>
      <c r="G2168">
        <v>-524.62159999999994</v>
      </c>
      <c r="H2168">
        <v>5.5208250000000003</v>
      </c>
      <c r="I2168">
        <v>293.56330000000003</v>
      </c>
      <c r="J2168">
        <v>-237.04839999999999</v>
      </c>
      <c r="K2168">
        <v>1.120673</v>
      </c>
      <c r="L2168">
        <v>282.69670000000002</v>
      </c>
      <c r="M2168">
        <v>-0.99987859999999995</v>
      </c>
      <c r="N2168">
        <v>-3.2088070000000002E-3</v>
      </c>
      <c r="O2168">
        <v>1.52543E-2</v>
      </c>
      <c r="P2168">
        <v>-0.99906269999999997</v>
      </c>
      <c r="Q2168">
        <v>-3.1420820000000002E-2</v>
      </c>
      <c r="R2168">
        <v>-2.978099E-2</v>
      </c>
      <c r="S2168">
        <v>-3.0071110000000001</v>
      </c>
      <c r="T2168">
        <v>4.5965190000000003E-2</v>
      </c>
      <c r="U2168">
        <v>0.1135559</v>
      </c>
      <c r="V2168">
        <v>-4.4949049999999997E-2</v>
      </c>
      <c r="W2168">
        <v>-2.8325619999999999E-2</v>
      </c>
      <c r="X2168">
        <v>0.99858760000000002</v>
      </c>
      <c r="Y2168">
        <v>2.24882E-2</v>
      </c>
      <c r="Z2168">
        <v>1.4627600000000001E-4</v>
      </c>
      <c r="AA2168">
        <v>0.9997471</v>
      </c>
      <c r="AB2168">
        <v>36</v>
      </c>
      <c r="AC2168">
        <v>-287.57319999999902</v>
      </c>
      <c r="AD2168">
        <v>4.4001519999999896</v>
      </c>
      <c r="AE2168">
        <v>10.8666</v>
      </c>
      <c r="AF2168">
        <v>6.4770713698421396</v>
      </c>
      <c r="AG2168">
        <v>4.4001519999999896</v>
      </c>
      <c r="AH2168">
        <v>287.63825684361302</v>
      </c>
      <c r="AI2168">
        <v>89.123807105390199</v>
      </c>
      <c r="AJ2168">
        <v>88.7100250476215</v>
      </c>
      <c r="AK2168">
        <v>287.74481853056102</v>
      </c>
      <c r="AL2168">
        <v>91.623155619815094</v>
      </c>
      <c r="AM2168">
        <v>92.577293774848798</v>
      </c>
      <c r="AN2168">
        <v>0.99999997635902305</v>
      </c>
    </row>
    <row r="2169" spans="1:40" x14ac:dyDescent="0.25">
      <c r="A2169" t="str">
        <f>"20190303153817209"</f>
        <v>20190303153817209</v>
      </c>
      <c r="B2169" t="str">
        <f>"1551598697201048"</f>
        <v>1551598697201048</v>
      </c>
      <c r="C2169" t="s">
        <v>40</v>
      </c>
      <c r="D2169">
        <v>4.2447910000000002</v>
      </c>
      <c r="E2169">
        <v>0.52546969999999904</v>
      </c>
      <c r="F2169" t="s">
        <v>58</v>
      </c>
      <c r="G2169">
        <v>-518.93910000000005</v>
      </c>
      <c r="H2169">
        <v>5.5227089999999999</v>
      </c>
      <c r="I2169">
        <v>293.01960000000003</v>
      </c>
      <c r="J2169">
        <v>-237.43960000000001</v>
      </c>
      <c r="K2169">
        <v>1.1207100000000001</v>
      </c>
      <c r="L2169">
        <v>282.70170000000002</v>
      </c>
      <c r="M2169">
        <v>-0.99989839999999997</v>
      </c>
      <c r="N2169">
        <v>-2.951693E-3</v>
      </c>
      <c r="O2169">
        <v>1.395805E-2</v>
      </c>
      <c r="P2169">
        <v>-0.99897829999999999</v>
      </c>
      <c r="Q2169">
        <v>-3.1453769999999999E-2</v>
      </c>
      <c r="R2169">
        <v>-3.2456449999999998E-2</v>
      </c>
      <c r="S2169">
        <v>-3.007568</v>
      </c>
      <c r="T2169">
        <v>4.6967389999999998E-2</v>
      </c>
      <c r="U2169">
        <v>0.1101379</v>
      </c>
      <c r="V2169">
        <v>-4.6324730000000001E-2</v>
      </c>
      <c r="W2169">
        <v>-2.8624420000000001E-2</v>
      </c>
      <c r="X2169">
        <v>0.99851619999999996</v>
      </c>
      <c r="Y2169">
        <v>2.264358E-2</v>
      </c>
      <c r="Z2169">
        <v>1.157516E-4</v>
      </c>
      <c r="AA2169">
        <v>0.99974359999999995</v>
      </c>
      <c r="AB2169">
        <v>36</v>
      </c>
      <c r="AC2169">
        <v>-281.49950000000001</v>
      </c>
      <c r="AD2169">
        <v>4.401999</v>
      </c>
      <c r="AE2169">
        <v>10.3179</v>
      </c>
      <c r="AF2169">
        <v>6.38613476285812</v>
      </c>
      <c r="AG2169">
        <v>4.401999</v>
      </c>
      <c r="AH2169">
        <v>281.547338550701</v>
      </c>
      <c r="AI2169">
        <v>89.104482475940799</v>
      </c>
      <c r="AJ2169">
        <v>88.700624055976206</v>
      </c>
      <c r="AK2169">
        <v>281.65415700356402</v>
      </c>
      <c r="AL2169">
        <v>91.640282554780796</v>
      </c>
      <c r="AM2169">
        <v>92.656251041067193</v>
      </c>
      <c r="AN2169">
        <v>0.99999996984617401</v>
      </c>
    </row>
    <row r="2170" spans="1:40" x14ac:dyDescent="0.25">
      <c r="A2170" t="str">
        <f>"20190303153817222"</f>
        <v>20190303153817222</v>
      </c>
      <c r="B2170" t="str">
        <f>"1551598697210807"</f>
        <v>1551598697210807</v>
      </c>
      <c r="C2170" t="s">
        <v>40</v>
      </c>
      <c r="D2170">
        <v>4.2188850000000002</v>
      </c>
      <c r="E2170">
        <v>0.52563230000000005</v>
      </c>
      <c r="F2170" t="s">
        <v>58</v>
      </c>
      <c r="G2170">
        <v>-532.8854</v>
      </c>
      <c r="H2170">
        <v>5.518084</v>
      </c>
      <c r="I2170">
        <v>292.78269999999998</v>
      </c>
      <c r="J2170">
        <v>-237.6524</v>
      </c>
      <c r="K2170">
        <v>1.1207260000000001</v>
      </c>
      <c r="L2170">
        <v>282.70420000000001</v>
      </c>
      <c r="M2170">
        <v>-0.99990829999999997</v>
      </c>
      <c r="N2170">
        <v>-2.8340449999999999E-3</v>
      </c>
      <c r="O2170">
        <v>1.3247800000000001E-2</v>
      </c>
      <c r="P2170">
        <v>-0.99895480000000003</v>
      </c>
      <c r="Q2170">
        <v>-3.089532E-2</v>
      </c>
      <c r="R2170">
        <v>-3.3694549999999997E-2</v>
      </c>
      <c r="S2170">
        <v>-3.0078130000000001</v>
      </c>
      <c r="T2170">
        <v>4.476869E-2</v>
      </c>
      <c r="U2170">
        <v>0.1026306</v>
      </c>
      <c r="V2170">
        <v>-4.6852390000000001E-2</v>
      </c>
      <c r="W2170">
        <v>-2.818733E-2</v>
      </c>
      <c r="X2170">
        <v>0.99850399999999995</v>
      </c>
      <c r="Y2170">
        <v>2.085857E-2</v>
      </c>
      <c r="Z2170">
        <v>1.090228E-4</v>
      </c>
      <c r="AA2170">
        <v>0.99978239999999996</v>
      </c>
      <c r="AB2170">
        <v>37</v>
      </c>
      <c r="AC2170">
        <v>-295.233</v>
      </c>
      <c r="AD2170">
        <v>4.3973579999999997</v>
      </c>
      <c r="AE2170">
        <v>10.078499999999901</v>
      </c>
      <c r="AF2170">
        <v>6.1650462767176899</v>
      </c>
      <c r="AG2170">
        <v>4.3973579999999997</v>
      </c>
      <c r="AH2170">
        <v>295.27518011429902</v>
      </c>
      <c r="AI2170">
        <v>89.1469769175594</v>
      </c>
      <c r="AJ2170">
        <v>88.803896022731806</v>
      </c>
      <c r="AK2170">
        <v>295.37226773091999</v>
      </c>
      <c r="AL2170">
        <v>91.615229055708696</v>
      </c>
      <c r="AM2170">
        <v>92.686495663517803</v>
      </c>
      <c r="AN2170">
        <v>0.99999995501861905</v>
      </c>
    </row>
    <row r="2171" spans="1:40" x14ac:dyDescent="0.25">
      <c r="A2171" t="str">
        <f>"20190303153817236"</f>
        <v>20190303153817236</v>
      </c>
      <c r="B2171" t="str">
        <f>"1551598697231304"</f>
        <v>1551598697231304</v>
      </c>
      <c r="C2171" t="s">
        <v>40</v>
      </c>
      <c r="D2171">
        <v>4.2086990000000002</v>
      </c>
      <c r="E2171">
        <v>0.5259334</v>
      </c>
      <c r="F2171" t="s">
        <v>58</v>
      </c>
      <c r="G2171">
        <v>-539.50400000000002</v>
      </c>
      <c r="H2171">
        <v>5.8088309999999996</v>
      </c>
      <c r="I2171">
        <v>292.75510000000003</v>
      </c>
      <c r="J2171">
        <v>-237.87549999999999</v>
      </c>
      <c r="K2171">
        <v>1.1207400000000001</v>
      </c>
      <c r="L2171">
        <v>282.70659999999998</v>
      </c>
      <c r="M2171">
        <v>-0.99991819999999998</v>
      </c>
      <c r="N2171">
        <v>-2.7190769999999999E-3</v>
      </c>
      <c r="O2171">
        <v>1.2502620000000001E-2</v>
      </c>
      <c r="P2171">
        <v>-0.99893180000000004</v>
      </c>
      <c r="Q2171">
        <v>-3.022093E-2</v>
      </c>
      <c r="R2171">
        <v>-3.4957920000000003E-2</v>
      </c>
      <c r="S2171">
        <v>-3.0079799999999999</v>
      </c>
      <c r="T2171">
        <v>4.6718240000000001E-2</v>
      </c>
      <c r="U2171">
        <v>0.1001587</v>
      </c>
      <c r="V2171">
        <v>-4.7371610000000001E-2</v>
      </c>
      <c r="W2171">
        <v>-2.7631510000000001E-2</v>
      </c>
      <c r="X2171">
        <v>0.99849509999999997</v>
      </c>
      <c r="Y2171">
        <v>2.0780880000000002E-2</v>
      </c>
      <c r="Z2171" s="1">
        <v>9.5028240000000002E-5</v>
      </c>
      <c r="AA2171">
        <v>0.99978409999999995</v>
      </c>
      <c r="AB2171">
        <v>37</v>
      </c>
      <c r="AC2171">
        <v>-301.62849999999997</v>
      </c>
      <c r="AD2171">
        <v>4.688091</v>
      </c>
      <c r="AE2171">
        <v>10.048500000000001</v>
      </c>
      <c r="AF2171">
        <v>6.2750401598123897</v>
      </c>
      <c r="AG2171">
        <v>4.688091</v>
      </c>
      <c r="AH2171">
        <v>301.65776593061003</v>
      </c>
      <c r="AI2171">
        <v>89.109825259598196</v>
      </c>
      <c r="AJ2171">
        <v>88.808313550117902</v>
      </c>
      <c r="AK2171">
        <v>301.75944404852999</v>
      </c>
      <c r="AL2171">
        <v>91.583370404832806</v>
      </c>
      <c r="AM2171">
        <v>92.716247344143895</v>
      </c>
      <c r="AN2171">
        <v>1.0000000172514401</v>
      </c>
    </row>
    <row r="2172" spans="1:40" x14ac:dyDescent="0.25">
      <c r="A2172" t="str">
        <f>"20190303153817252"</f>
        <v>20190303153817252</v>
      </c>
      <c r="B2172" t="str">
        <f>"1551598697241063"</f>
        <v>1551598697241063</v>
      </c>
      <c r="C2172" t="s">
        <v>40</v>
      </c>
      <c r="D2172">
        <v>4.2063410000000001</v>
      </c>
      <c r="E2172">
        <v>0.52610970000000001</v>
      </c>
      <c r="F2172" t="s">
        <v>58</v>
      </c>
      <c r="G2172">
        <v>-544.05840000000001</v>
      </c>
      <c r="H2172">
        <v>6.1798099999999998</v>
      </c>
      <c r="I2172">
        <v>292.75510000000003</v>
      </c>
      <c r="J2172">
        <v>-238.15700000000001</v>
      </c>
      <c r="K2172">
        <v>1.1207530000000001</v>
      </c>
      <c r="L2172">
        <v>282.70949999999999</v>
      </c>
      <c r="M2172">
        <v>-0.99992979999999998</v>
      </c>
      <c r="N2172">
        <v>-2.5904230000000001E-3</v>
      </c>
      <c r="O2172">
        <v>1.15634E-2</v>
      </c>
      <c r="P2172">
        <v>-0.9988901</v>
      </c>
      <c r="Q2172">
        <v>-3.0118039999999999E-2</v>
      </c>
      <c r="R2172">
        <v>-3.6214000000000003E-2</v>
      </c>
      <c r="S2172">
        <v>-3.0081790000000002</v>
      </c>
      <c r="T2172">
        <v>4.9705029999999997E-2</v>
      </c>
      <c r="U2172">
        <v>9.8724370000000006E-2</v>
      </c>
      <c r="V2172">
        <v>-4.7687710000000001E-2</v>
      </c>
      <c r="W2172">
        <v>-2.7660500000000001E-2</v>
      </c>
      <c r="X2172">
        <v>0.99847920000000001</v>
      </c>
      <c r="Y2172">
        <v>2.1241260000000001E-2</v>
      </c>
      <c r="Z2172" s="1">
        <v>7.3026780000000002E-5</v>
      </c>
      <c r="AA2172">
        <v>0.99977439999999995</v>
      </c>
      <c r="AB2172">
        <v>37</v>
      </c>
      <c r="AC2172">
        <v>-305.90140000000002</v>
      </c>
      <c r="AD2172">
        <v>5.0590569999999904</v>
      </c>
      <c r="AE2172">
        <v>10.0456</v>
      </c>
      <c r="AF2172">
        <v>6.5058787767022404</v>
      </c>
      <c r="AG2172">
        <v>5.0590569999999904</v>
      </c>
      <c r="AH2172">
        <v>305.91352862823601</v>
      </c>
      <c r="AI2172">
        <v>89.052769308004102</v>
      </c>
      <c r="AJ2172">
        <v>88.781671360826294</v>
      </c>
      <c r="AK2172">
        <v>306.02452109947899</v>
      </c>
      <c r="AL2172">
        <v>91.585032124417097</v>
      </c>
      <c r="AM2172">
        <v>92.734388305943497</v>
      </c>
      <c r="AN2172">
        <v>0.99999996688896597</v>
      </c>
    </row>
    <row r="2173" spans="1:40" x14ac:dyDescent="0.25">
      <c r="A2173" t="str">
        <f>"20190303153817265"</f>
        <v>20190303153817265</v>
      </c>
      <c r="B2173" t="str">
        <f>"1551598697260583"</f>
        <v>1551598697260583</v>
      </c>
      <c r="C2173" t="s">
        <v>40</v>
      </c>
      <c r="D2173">
        <v>4.2242319999999998</v>
      </c>
      <c r="E2173">
        <v>0.5264778</v>
      </c>
      <c r="F2173" t="s">
        <v>58</v>
      </c>
      <c r="G2173">
        <v>-550.64390000000003</v>
      </c>
      <c r="H2173">
        <v>6.3364479999999999</v>
      </c>
      <c r="I2173">
        <v>292.75510000000003</v>
      </c>
      <c r="J2173">
        <v>-238.374</v>
      </c>
      <c r="K2173">
        <v>1.1207609999999999</v>
      </c>
      <c r="L2173">
        <v>282.7115</v>
      </c>
      <c r="M2173">
        <v>-0.9999382</v>
      </c>
      <c r="N2173">
        <v>-2.5060199999999999E-3</v>
      </c>
      <c r="O2173">
        <v>1.0842549999999999E-2</v>
      </c>
      <c r="P2173">
        <v>-0.99885760000000001</v>
      </c>
      <c r="Q2173">
        <v>-3.0157300000000001E-2</v>
      </c>
      <c r="R2173">
        <v>-3.706951E-2</v>
      </c>
      <c r="S2173">
        <v>-3.0083470000000001</v>
      </c>
      <c r="T2173">
        <v>5.0212859999999998E-2</v>
      </c>
      <c r="U2173">
        <v>9.6710210000000005E-2</v>
      </c>
      <c r="V2173">
        <v>-4.7821809999999999E-2</v>
      </c>
      <c r="W2173">
        <v>-2.7786089999999999E-2</v>
      </c>
      <c r="X2173">
        <v>0.99846939999999995</v>
      </c>
      <c r="Y2173">
        <v>2.1291299999999999E-2</v>
      </c>
      <c r="Z2173" s="1">
        <v>5.7125769999999897E-5</v>
      </c>
      <c r="AA2173">
        <v>0.99977329999999998</v>
      </c>
      <c r="AB2173">
        <v>37</v>
      </c>
      <c r="AC2173">
        <v>-312.26990000000001</v>
      </c>
      <c r="AD2173">
        <v>5.215687</v>
      </c>
      <c r="AE2173">
        <v>10.0436</v>
      </c>
      <c r="AF2173">
        <v>6.6553426454877203</v>
      </c>
      <c r="AG2173">
        <v>5.215687</v>
      </c>
      <c r="AH2173">
        <v>312.27341659925003</v>
      </c>
      <c r="AI2173">
        <v>89.043334382435106</v>
      </c>
      <c r="AJ2173">
        <v>88.779065700741</v>
      </c>
      <c r="AK2173">
        <v>312.38787379022801</v>
      </c>
      <c r="AL2173">
        <v>91.592230508200004</v>
      </c>
      <c r="AM2173">
        <v>92.742092682927293</v>
      </c>
      <c r="AN2173">
        <v>1.0000000675227501</v>
      </c>
    </row>
    <row r="2174" spans="1:40" x14ac:dyDescent="0.25">
      <c r="A2174" t="str">
        <f>"20190303153817279"</f>
        <v>20190303153817279</v>
      </c>
      <c r="B2174" t="str">
        <f>"1551598697271319"</f>
        <v>1551598697271319</v>
      </c>
      <c r="C2174" t="s">
        <v>40</v>
      </c>
      <c r="D2174">
        <v>4.2232690000000002</v>
      </c>
      <c r="E2174">
        <v>0.52644119999999905</v>
      </c>
      <c r="F2174" t="s">
        <v>58</v>
      </c>
      <c r="G2174">
        <v>-549.54470000000003</v>
      </c>
      <c r="H2174">
        <v>6.3905219999999998</v>
      </c>
      <c r="I2174">
        <v>292.75510000000003</v>
      </c>
      <c r="J2174">
        <v>-238.5909</v>
      </c>
      <c r="K2174">
        <v>1.1207579999999999</v>
      </c>
      <c r="L2174">
        <v>282.71339999999998</v>
      </c>
      <c r="M2174">
        <v>-0.99994590000000005</v>
      </c>
      <c r="N2174">
        <v>-2.4343619999999998E-3</v>
      </c>
      <c r="O2174">
        <v>1.0125200000000001E-2</v>
      </c>
      <c r="P2174">
        <v>-0.99883310000000003</v>
      </c>
      <c r="Q2174">
        <v>-3.0220219999999999E-2</v>
      </c>
      <c r="R2174">
        <v>-3.7673959999999999E-2</v>
      </c>
      <c r="S2174">
        <v>-3.008575</v>
      </c>
      <c r="T2174">
        <v>5.0951839999999998E-2</v>
      </c>
      <c r="U2174">
        <v>9.7106929999999994E-2</v>
      </c>
      <c r="V2174">
        <v>-4.7708309999999997E-2</v>
      </c>
      <c r="W2174">
        <v>-2.7921709999999999E-2</v>
      </c>
      <c r="X2174">
        <v>0.998471</v>
      </c>
      <c r="Y2174">
        <v>2.2137489999999999E-2</v>
      </c>
      <c r="Z2174" s="1">
        <v>3.5612009999999998E-5</v>
      </c>
      <c r="AA2174">
        <v>0.9997549</v>
      </c>
      <c r="AB2174">
        <v>37</v>
      </c>
      <c r="AC2174">
        <v>-310.9538</v>
      </c>
      <c r="AD2174">
        <v>5.2697640000000003</v>
      </c>
      <c r="AE2174">
        <v>10.041700000000001</v>
      </c>
      <c r="AF2174">
        <v>6.8907299106193403</v>
      </c>
      <c r="AG2174">
        <v>5.2697640000000003</v>
      </c>
      <c r="AH2174">
        <v>310.95032140626103</v>
      </c>
      <c r="AI2174">
        <v>89.029323251501495</v>
      </c>
      <c r="AJ2174">
        <v>88.730520258870001</v>
      </c>
      <c r="AK2174">
        <v>311.07130204178901</v>
      </c>
      <c r="AL2174">
        <v>91.600004051363896</v>
      </c>
      <c r="AM2174">
        <v>92.735590137172593</v>
      </c>
      <c r="AN2174">
        <v>1.00000002128668</v>
      </c>
    </row>
    <row r="2175" spans="1:40" x14ac:dyDescent="0.25">
      <c r="A2175" t="str">
        <f>"20190303153817297"</f>
        <v>20190303153817297</v>
      </c>
      <c r="B2175" t="str">
        <f>"1551598697290839"</f>
        <v>1551598697290839</v>
      </c>
      <c r="C2175" t="s">
        <v>40</v>
      </c>
      <c r="D2175">
        <v>4.2509860000000002</v>
      </c>
      <c r="E2175">
        <v>0.52639209999999903</v>
      </c>
      <c r="F2175" t="s">
        <v>46</v>
      </c>
      <c r="G2175">
        <v>0</v>
      </c>
      <c r="H2175">
        <v>0</v>
      </c>
      <c r="I2175">
        <v>0</v>
      </c>
      <c r="J2175">
        <v>-238.9034</v>
      </c>
      <c r="K2175">
        <v>1.12076</v>
      </c>
      <c r="L2175">
        <v>282.7158</v>
      </c>
      <c r="M2175">
        <v>-0.99995579999999995</v>
      </c>
      <c r="N2175">
        <v>-2.3498770000000002E-3</v>
      </c>
      <c r="O2175">
        <v>9.0988690000000007E-3</v>
      </c>
      <c r="P2175">
        <v>-0.99880020000000003</v>
      </c>
      <c r="Q2175">
        <v>-3.0393380000000001E-2</v>
      </c>
      <c r="R2175">
        <v>-3.8397010000000002E-2</v>
      </c>
      <c r="S2175">
        <v>-3.0085600000000001</v>
      </c>
      <c r="T2175">
        <v>4.8712249999999999E-2</v>
      </c>
      <c r="U2175">
        <v>9.5092769999999993E-2</v>
      </c>
      <c r="V2175">
        <v>-4.7405160000000002E-2</v>
      </c>
      <c r="W2175">
        <v>-2.8180179999999999E-2</v>
      </c>
      <c r="X2175">
        <v>0.99847819999999998</v>
      </c>
      <c r="Y2175">
        <v>2.2495009999999999E-2</v>
      </c>
      <c r="Z2175" s="1">
        <v>1.3028769999999999E-5</v>
      </c>
      <c r="AA2175">
        <v>0.99974700000000005</v>
      </c>
      <c r="AB2175">
        <v>37</v>
      </c>
      <c r="AC2175">
        <v>-3.0085600000000001</v>
      </c>
      <c r="AD2175">
        <v>4.8712249999999999E-2</v>
      </c>
      <c r="AE2175">
        <v>9.5092769999999993E-2</v>
      </c>
      <c r="AF2175">
        <v>6.7696534164477795E-2</v>
      </c>
      <c r="AG2175">
        <v>4.8712249999999999E-2</v>
      </c>
      <c r="AH2175">
        <v>3.00851278621986</v>
      </c>
      <c r="AI2175">
        <v>89.072612766683704</v>
      </c>
      <c r="AJ2175">
        <v>88.7109673323436</v>
      </c>
      <c r="AK2175">
        <v>3.0096685679466999</v>
      </c>
      <c r="AL2175">
        <v>91.614819084650705</v>
      </c>
      <c r="AM2175">
        <v>92.718214126217305</v>
      </c>
      <c r="AN2175">
        <v>1.00000004380734</v>
      </c>
    </row>
    <row r="2176" spans="1:40" x14ac:dyDescent="0.25">
      <c r="A2176" t="str">
        <f>"20190303153817310"</f>
        <v>20190303153817310</v>
      </c>
      <c r="B2176" t="str">
        <f>"1551598697300599"</f>
        <v>1551598697300599</v>
      </c>
      <c r="C2176" t="s">
        <v>40</v>
      </c>
      <c r="D2176">
        <v>4.2350120000000002</v>
      </c>
      <c r="E2176">
        <v>0.52637769999999995</v>
      </c>
      <c r="F2176" t="s">
        <v>46</v>
      </c>
      <c r="G2176">
        <v>0</v>
      </c>
      <c r="H2176">
        <v>0</v>
      </c>
      <c r="I2176">
        <v>0</v>
      </c>
      <c r="J2176">
        <v>-239.11699999999999</v>
      </c>
      <c r="K2176">
        <v>1.120768</v>
      </c>
      <c r="L2176">
        <v>282.71730000000002</v>
      </c>
      <c r="M2176">
        <v>-0.99996209999999996</v>
      </c>
      <c r="N2176">
        <v>-2.3031140000000002E-3</v>
      </c>
      <c r="O2176">
        <v>8.4008429999999999E-3</v>
      </c>
      <c r="P2176">
        <v>-0.99876969999999998</v>
      </c>
      <c r="Q2176">
        <v>-3.0824299999999999E-2</v>
      </c>
      <c r="R2176">
        <v>-3.8847850000000003E-2</v>
      </c>
      <c r="S2176">
        <v>-3.0084689999999998</v>
      </c>
      <c r="T2176">
        <v>4.3809059999999997E-2</v>
      </c>
      <c r="U2176">
        <v>9.2559810000000006E-2</v>
      </c>
      <c r="V2176">
        <v>-4.715598E-2</v>
      </c>
      <c r="W2176">
        <v>-2.865817E-2</v>
      </c>
      <c r="X2176">
        <v>0.99847629999999998</v>
      </c>
      <c r="Y2176">
        <v>2.2353100000000001E-2</v>
      </c>
      <c r="Z2176" s="1">
        <v>4.6783389999999998E-6</v>
      </c>
      <c r="AA2176">
        <v>0.99975009999999997</v>
      </c>
      <c r="AB2176">
        <v>38</v>
      </c>
      <c r="AC2176">
        <v>-3.0084689999999998</v>
      </c>
      <c r="AD2176">
        <v>4.3809059999999997E-2</v>
      </c>
      <c r="AE2176">
        <v>9.2559810000000006E-2</v>
      </c>
      <c r="AF2176">
        <v>6.7268551242199895E-2</v>
      </c>
      <c r="AG2176">
        <v>4.3809059999999997E-2</v>
      </c>
      <c r="AH2176">
        <v>3.0085030723506199</v>
      </c>
      <c r="AI2176">
        <v>89.165940766554201</v>
      </c>
      <c r="AJ2176">
        <v>88.719109842370798</v>
      </c>
      <c r="AK2176">
        <v>3.00957389476774</v>
      </c>
      <c r="AL2176">
        <v>91.642217114600001</v>
      </c>
      <c r="AM2176">
        <v>92.703952531749593</v>
      </c>
      <c r="AN2176">
        <v>0.99999994940959802</v>
      </c>
    </row>
    <row r="2177" spans="1:40" x14ac:dyDescent="0.25">
      <c r="A2177" t="str">
        <f>"20190303153817322"</f>
        <v>20190303153817322</v>
      </c>
      <c r="B2177" t="str">
        <f>"1551598697311335"</f>
        <v>1551598697311335</v>
      </c>
      <c r="C2177" t="s">
        <v>40</v>
      </c>
      <c r="D2177">
        <v>4.2664589999999896</v>
      </c>
      <c r="E2177">
        <v>0.52630929999999998</v>
      </c>
      <c r="F2177" t="s">
        <v>46</v>
      </c>
      <c r="G2177">
        <v>0</v>
      </c>
      <c r="H2177">
        <v>0</v>
      </c>
      <c r="I2177">
        <v>0</v>
      </c>
      <c r="J2177">
        <v>-239.33709999999999</v>
      </c>
      <c r="K2177">
        <v>1.1207670000000001</v>
      </c>
      <c r="L2177">
        <v>282.71870000000001</v>
      </c>
      <c r="M2177">
        <v>-0.99996779999999996</v>
      </c>
      <c r="N2177">
        <v>-2.2704270000000002E-3</v>
      </c>
      <c r="O2177">
        <v>7.6899769999999998E-3</v>
      </c>
      <c r="P2177">
        <v>-0.99876549999999997</v>
      </c>
      <c r="Q2177">
        <v>-3.0723899999999998E-2</v>
      </c>
      <c r="R2177">
        <v>-3.9033579999999998E-2</v>
      </c>
      <c r="S2177">
        <v>-3.0084529999999998</v>
      </c>
      <c r="T2177">
        <v>4.0927289999999998E-2</v>
      </c>
      <c r="U2177">
        <v>9.0789789999999995E-2</v>
      </c>
      <c r="V2177">
        <v>-4.6631880000000001E-2</v>
      </c>
      <c r="W2177">
        <v>-2.8589670000000001E-2</v>
      </c>
      <c r="X2177">
        <v>0.99850289999999997</v>
      </c>
      <c r="Y2177">
        <v>2.2476349999999999E-2</v>
      </c>
      <c r="Z2177" s="1">
        <v>-5.2830439999999996E-6</v>
      </c>
      <c r="AA2177">
        <v>0.99974739999999995</v>
      </c>
      <c r="AB2177">
        <v>38</v>
      </c>
      <c r="AC2177">
        <v>-3.0084529999999998</v>
      </c>
      <c r="AD2177">
        <v>4.0927289999999998E-2</v>
      </c>
      <c r="AE2177">
        <v>9.0789789999999995E-2</v>
      </c>
      <c r="AF2177">
        <v>6.7639603455495495E-2</v>
      </c>
      <c r="AG2177">
        <v>4.0927289999999998E-2</v>
      </c>
      <c r="AH2177">
        <v>3.00850593584607</v>
      </c>
      <c r="AI2177">
        <v>89.220801265838702</v>
      </c>
      <c r="AJ2177">
        <v>88.712048072313095</v>
      </c>
      <c r="AK2177">
        <v>3.0095445045792899</v>
      </c>
      <c r="AL2177">
        <v>91.638290708667199</v>
      </c>
      <c r="AM2177">
        <v>92.673873050773594</v>
      </c>
      <c r="AN2177">
        <v>0.99999997138572605</v>
      </c>
    </row>
    <row r="2178" spans="1:40" x14ac:dyDescent="0.25">
      <c r="A2178" t="str">
        <f>"20190303153817341"</f>
        <v>20190303153817341</v>
      </c>
      <c r="B2178" t="str">
        <f>"1551598697330854"</f>
        <v>1551598697330854</v>
      </c>
      <c r="C2178" t="s">
        <v>40</v>
      </c>
      <c r="D2178">
        <v>4.2355669999999996</v>
      </c>
      <c r="E2178">
        <v>0.52616969999999996</v>
      </c>
      <c r="F2178" t="s">
        <v>46</v>
      </c>
      <c r="G2178">
        <v>0</v>
      </c>
      <c r="H2178">
        <v>0</v>
      </c>
      <c r="I2178">
        <v>0</v>
      </c>
      <c r="J2178">
        <v>-239.64830000000001</v>
      </c>
      <c r="K2178">
        <v>1.12077</v>
      </c>
      <c r="L2178">
        <v>282.72039999999998</v>
      </c>
      <c r="M2178">
        <v>-0.99997510000000001</v>
      </c>
      <c r="N2178">
        <v>-2.2379570000000001E-3</v>
      </c>
      <c r="O2178">
        <v>6.6944359999999998E-3</v>
      </c>
      <c r="P2178">
        <v>-0.99875800000000003</v>
      </c>
      <c r="Q2178">
        <v>-3.134779E-2</v>
      </c>
      <c r="R2178">
        <v>-3.8726959999999998E-2</v>
      </c>
      <c r="S2178">
        <v>-3.0084230000000001</v>
      </c>
      <c r="T2178">
        <v>3.9243939999999998E-2</v>
      </c>
      <c r="U2178">
        <v>8.9935299999999996E-2</v>
      </c>
      <c r="V2178">
        <v>-4.5328779999999999E-2</v>
      </c>
      <c r="W2178">
        <v>-2.9243020000000002E-2</v>
      </c>
      <c r="X2178">
        <v>0.99854399999999999</v>
      </c>
      <c r="Y2178">
        <v>2.3188170000000001E-2</v>
      </c>
      <c r="Z2178" s="1">
        <v>-2.2968059999999998E-5</v>
      </c>
      <c r="AA2178">
        <v>0.99973109999999998</v>
      </c>
      <c r="AB2178">
        <v>38</v>
      </c>
      <c r="AC2178">
        <v>-3.0084230000000001</v>
      </c>
      <c r="AD2178">
        <v>3.9243939999999998E-2</v>
      </c>
      <c r="AE2178">
        <v>8.9935299999999996E-2</v>
      </c>
      <c r="AF2178">
        <v>6.9781675580063304E-2</v>
      </c>
      <c r="AG2178">
        <v>3.9243939999999998E-2</v>
      </c>
      <c r="AH2178">
        <v>3.00844618275553</v>
      </c>
      <c r="AI2178">
        <v>89.252843511862395</v>
      </c>
      <c r="AJ2178">
        <v>88.671248062800402</v>
      </c>
      <c r="AK2178">
        <v>3.00951125660128</v>
      </c>
      <c r="AL2178">
        <v>91.675740543295504</v>
      </c>
      <c r="AM2178">
        <v>92.599150373718302</v>
      </c>
      <c r="AN2178">
        <v>0.99999998622550401</v>
      </c>
    </row>
    <row r="2179" spans="1:40" x14ac:dyDescent="0.25">
      <c r="A2179" t="str">
        <f>"20190303153817354"</f>
        <v>20190303153817354</v>
      </c>
      <c r="B2179" t="str">
        <f>"1551598697351352"</f>
        <v>1551598697351352</v>
      </c>
      <c r="C2179" t="s">
        <v>40</v>
      </c>
      <c r="D2179">
        <v>4.2306080000000001</v>
      </c>
      <c r="E2179">
        <v>0.52609030000000001</v>
      </c>
      <c r="F2179" t="s">
        <v>46</v>
      </c>
      <c r="G2179">
        <v>0</v>
      </c>
      <c r="H2179">
        <v>0</v>
      </c>
      <c r="I2179">
        <v>0</v>
      </c>
      <c r="J2179">
        <v>-239.86840000000001</v>
      </c>
      <c r="K2179">
        <v>1.120768</v>
      </c>
      <c r="L2179">
        <v>282.72140000000002</v>
      </c>
      <c r="M2179">
        <v>-0.99997959999999997</v>
      </c>
      <c r="N2179">
        <v>-2.2254430000000001E-3</v>
      </c>
      <c r="O2179">
        <v>5.9992209999999999E-3</v>
      </c>
      <c r="P2179">
        <v>-0.99875650000000005</v>
      </c>
      <c r="Q2179">
        <v>-3.168323E-2</v>
      </c>
      <c r="R2179">
        <v>-3.849557E-2</v>
      </c>
      <c r="S2179">
        <v>-3.0082550000000001</v>
      </c>
      <c r="T2179">
        <v>3.3430340000000003E-2</v>
      </c>
      <c r="U2179">
        <v>8.984375E-2</v>
      </c>
      <c r="V2179">
        <v>-4.4401740000000002E-2</v>
      </c>
      <c r="W2179">
        <v>-2.9588550000000002E-2</v>
      </c>
      <c r="X2179">
        <v>0.99857549999999995</v>
      </c>
      <c r="Y2179">
        <v>2.385468E-2</v>
      </c>
      <c r="Z2179" s="1">
        <v>-2.5965429999999999E-5</v>
      </c>
      <c r="AA2179">
        <v>0.99971540000000003</v>
      </c>
      <c r="AB2179">
        <v>38</v>
      </c>
      <c r="AC2179">
        <v>-3.0082550000000001</v>
      </c>
      <c r="AD2179">
        <v>3.3430340000000003E-2</v>
      </c>
      <c r="AE2179">
        <v>8.984375E-2</v>
      </c>
      <c r="AF2179">
        <v>7.1786045869869405E-2</v>
      </c>
      <c r="AG2179">
        <v>3.3430340000000003E-2</v>
      </c>
      <c r="AH2179">
        <v>3.00836866863215</v>
      </c>
      <c r="AI2179">
        <v>89.363511010842899</v>
      </c>
      <c r="AJ2179">
        <v>88.633060797912293</v>
      </c>
      <c r="AK2179">
        <v>3.0094107181343199</v>
      </c>
      <c r="AL2179">
        <v>91.695546479744095</v>
      </c>
      <c r="AM2179">
        <v>92.545984407113195</v>
      </c>
      <c r="AN2179">
        <v>1.0000000130031901</v>
      </c>
    </row>
    <row r="2180" spans="1:40" x14ac:dyDescent="0.25">
      <c r="A2180" t="str">
        <f>"20190303153817368"</f>
        <v>20190303153817368</v>
      </c>
      <c r="B2180" t="str">
        <f>"1551598697361111"</f>
        <v>1551598697361111</v>
      </c>
      <c r="C2180" t="s">
        <v>40</v>
      </c>
      <c r="D2180">
        <v>4.2536199999999997</v>
      </c>
      <c r="E2180">
        <v>0.52611289999999999</v>
      </c>
      <c r="F2180" t="s">
        <v>46</v>
      </c>
      <c r="G2180">
        <v>0</v>
      </c>
      <c r="H2180">
        <v>0</v>
      </c>
      <c r="I2180">
        <v>0</v>
      </c>
      <c r="J2180">
        <v>-240.12540000000001</v>
      </c>
      <c r="K2180">
        <v>1.1207640000000001</v>
      </c>
      <c r="L2180">
        <v>282.72239999999999</v>
      </c>
      <c r="M2180">
        <v>-0.99998399999999998</v>
      </c>
      <c r="N2180">
        <v>-2.2210060000000002E-3</v>
      </c>
      <c r="O2180">
        <v>5.198144E-3</v>
      </c>
      <c r="P2180">
        <v>-0.99875040000000004</v>
      </c>
      <c r="Q2180">
        <v>-3.1832159999999998E-2</v>
      </c>
      <c r="R2180">
        <v>-3.852966E-2</v>
      </c>
      <c r="S2180">
        <v>-3.0081479999999998</v>
      </c>
      <c r="T2180">
        <v>2.9724480000000001E-2</v>
      </c>
      <c r="U2180">
        <v>9.002686E-2</v>
      </c>
      <c r="V2180">
        <v>-4.3635390000000003E-2</v>
      </c>
      <c r="W2180">
        <v>-2.9739669999999999E-2</v>
      </c>
      <c r="X2180">
        <v>0.99860479999999996</v>
      </c>
      <c r="Y2180">
        <v>2.4717490000000002E-2</v>
      </c>
      <c r="Z2180" s="1">
        <v>-3.1741820000000003E-5</v>
      </c>
      <c r="AA2180">
        <v>0.99969450000000004</v>
      </c>
      <c r="AB2180">
        <v>38</v>
      </c>
      <c r="AC2180">
        <v>-3.0081479999999998</v>
      </c>
      <c r="AD2180">
        <v>2.9724480000000001E-2</v>
      </c>
      <c r="AE2180">
        <v>9.002686E-2</v>
      </c>
      <c r="AF2180">
        <v>7.4381562129587395E-2</v>
      </c>
      <c r="AG2180">
        <v>2.9724480000000001E-2</v>
      </c>
      <c r="AH2180">
        <v>3.0082818647464098</v>
      </c>
      <c r="AI2180">
        <v>89.434058508924096</v>
      </c>
      <c r="AJ2180">
        <v>88.583616292342896</v>
      </c>
      <c r="AK2180">
        <v>3.0093480920721398</v>
      </c>
      <c r="AL2180">
        <v>91.704208816462099</v>
      </c>
      <c r="AM2180">
        <v>92.502025108698305</v>
      </c>
      <c r="AN2180">
        <v>1.0000000209076001</v>
      </c>
    </row>
    <row r="2181" spans="1:40" x14ac:dyDescent="0.25">
      <c r="A2181" t="str">
        <f>"20190303153817387"</f>
        <v>20190303153817387</v>
      </c>
      <c r="B2181" t="str">
        <f>"1551598697380630"</f>
        <v>1551598697380630</v>
      </c>
      <c r="C2181" t="s">
        <v>40</v>
      </c>
      <c r="D2181">
        <v>4.2454429999999999</v>
      </c>
      <c r="E2181">
        <v>0.52603339999999998</v>
      </c>
      <c r="F2181" t="s">
        <v>46</v>
      </c>
      <c r="G2181">
        <v>0</v>
      </c>
      <c r="H2181">
        <v>0</v>
      </c>
      <c r="I2181">
        <v>0</v>
      </c>
      <c r="J2181">
        <v>-240.429</v>
      </c>
      <c r="K2181">
        <v>1.1207480000000001</v>
      </c>
      <c r="L2181">
        <v>282.72329999999999</v>
      </c>
      <c r="M2181">
        <v>-0.9999884</v>
      </c>
      <c r="N2181">
        <v>-2.2341800000000001E-3</v>
      </c>
      <c r="O2181">
        <v>4.2774919999999999E-3</v>
      </c>
      <c r="P2181">
        <v>-0.99874419999999997</v>
      </c>
      <c r="Q2181">
        <v>-3.2256359999999998E-2</v>
      </c>
      <c r="R2181">
        <v>-3.8337540000000003E-2</v>
      </c>
      <c r="S2181">
        <v>-3.0081479999999998</v>
      </c>
      <c r="T2181">
        <v>2.8301119999999999E-2</v>
      </c>
      <c r="U2181">
        <v>8.9965820000000002E-2</v>
      </c>
      <c r="V2181">
        <v>-4.2522980000000002E-2</v>
      </c>
      <c r="W2181">
        <v>-3.0146849999999999E-2</v>
      </c>
      <c r="X2181">
        <v>0.99864050000000004</v>
      </c>
      <c r="Y2181">
        <v>2.5617569999999999E-2</v>
      </c>
      <c r="Z2181" s="1">
        <v>-4.2066249999999997E-5</v>
      </c>
      <c r="AA2181">
        <v>0.9996718</v>
      </c>
      <c r="AB2181">
        <v>38</v>
      </c>
      <c r="AC2181">
        <v>-3.0081479999999998</v>
      </c>
      <c r="AD2181">
        <v>2.8301119999999999E-2</v>
      </c>
      <c r="AE2181">
        <v>8.9965820000000002E-2</v>
      </c>
      <c r="AF2181">
        <v>7.7090818924151594E-2</v>
      </c>
      <c r="AG2181">
        <v>2.8301119999999999E-2</v>
      </c>
      <c r="AH2181">
        <v>3.00823927738361</v>
      </c>
      <c r="AI2181">
        <v>89.461161627574199</v>
      </c>
      <c r="AJ2181">
        <v>88.532027664552203</v>
      </c>
      <c r="AK2181">
        <v>3.00935998141617</v>
      </c>
      <c r="AL2181">
        <v>91.727549113175399</v>
      </c>
      <c r="AM2181">
        <v>92.438231165478996</v>
      </c>
      <c r="AN2181">
        <v>0.99999994231662404</v>
      </c>
    </row>
    <row r="2182" spans="1:40" x14ac:dyDescent="0.25">
      <c r="A2182" t="str">
        <f>"20190303153817410"</f>
        <v>20190303153817410</v>
      </c>
      <c r="B2182" t="str">
        <f>"1551598697401127"</f>
        <v>1551598697401127</v>
      </c>
      <c r="C2182" t="s">
        <v>40</v>
      </c>
      <c r="D2182">
        <v>4.2444550000000003</v>
      </c>
      <c r="E2182">
        <v>0.5259722</v>
      </c>
      <c r="F2182" t="s">
        <v>46</v>
      </c>
      <c r="G2182">
        <v>0</v>
      </c>
      <c r="H2182">
        <v>0</v>
      </c>
      <c r="I2182">
        <v>0</v>
      </c>
      <c r="J2182">
        <v>-240.8356</v>
      </c>
      <c r="K2182">
        <v>1.1207240000000001</v>
      </c>
      <c r="L2182">
        <v>282.7242</v>
      </c>
      <c r="M2182">
        <v>-0.99999269999999996</v>
      </c>
      <c r="N2182">
        <v>-2.2811659999999998E-3</v>
      </c>
      <c r="O2182">
        <v>3.0948820000000002E-3</v>
      </c>
      <c r="P2182">
        <v>-0.99870369999999997</v>
      </c>
      <c r="Q2182">
        <v>-3.2792830000000002E-2</v>
      </c>
      <c r="R2182">
        <v>-3.8934440000000001E-2</v>
      </c>
      <c r="S2182">
        <v>-3.0080110000000002</v>
      </c>
      <c r="T2182">
        <v>2.470493E-2</v>
      </c>
      <c r="U2182">
        <v>8.9874270000000006E-2</v>
      </c>
      <c r="V2182">
        <v>-4.1939499999999998E-2</v>
      </c>
      <c r="W2182">
        <v>-3.0632619999999999E-2</v>
      </c>
      <c r="X2182">
        <v>0.99865040000000005</v>
      </c>
      <c r="Y2182">
        <v>2.6770840000000001E-2</v>
      </c>
      <c r="Z2182" s="1">
        <v>-4.6896820000000003E-5</v>
      </c>
      <c r="AA2182">
        <v>0.99964160000000002</v>
      </c>
      <c r="AB2182">
        <v>38</v>
      </c>
      <c r="AC2182">
        <v>-3.0080110000000002</v>
      </c>
      <c r="AD2182">
        <v>2.470493E-2</v>
      </c>
      <c r="AE2182">
        <v>8.9874270000000006E-2</v>
      </c>
      <c r="AF2182">
        <v>8.0558947916105905E-2</v>
      </c>
      <c r="AG2182">
        <v>2.470493E-2</v>
      </c>
      <c r="AH2182">
        <v>3.0080720192000601</v>
      </c>
      <c r="AI2182">
        <v>89.529615950270795</v>
      </c>
      <c r="AJ2182">
        <v>88.465932770832396</v>
      </c>
      <c r="AK2182">
        <v>3.0092519586019999</v>
      </c>
      <c r="AL2182">
        <v>91.755394533051003</v>
      </c>
      <c r="AM2182">
        <v>92.404790662205002</v>
      </c>
      <c r="AN2182">
        <v>0.99999995024423605</v>
      </c>
    </row>
    <row r="2183" spans="1:40" x14ac:dyDescent="0.25">
      <c r="A2183" t="str">
        <f>"20190303153817431"</f>
        <v>20190303153817431</v>
      </c>
      <c r="B2183" t="str">
        <f>"1551598697420650"</f>
        <v>1551598697420650</v>
      </c>
      <c r="C2183" t="s">
        <v>40</v>
      </c>
      <c r="D2183">
        <v>4.2449469999999998</v>
      </c>
      <c r="E2183">
        <v>0.52593889999999999</v>
      </c>
      <c r="F2183" t="s">
        <v>46</v>
      </c>
      <c r="G2183">
        <v>0</v>
      </c>
      <c r="H2183">
        <v>0</v>
      </c>
      <c r="I2183">
        <v>0</v>
      </c>
      <c r="J2183">
        <v>-241.1901</v>
      </c>
      <c r="K2183">
        <v>1.1206959999999999</v>
      </c>
      <c r="L2183">
        <v>282.72449999999998</v>
      </c>
      <c r="M2183">
        <v>-0.99999490000000002</v>
      </c>
      <c r="N2183">
        <v>-2.36141E-3</v>
      </c>
      <c r="O2183">
        <v>2.1289170000000001E-3</v>
      </c>
      <c r="P2183">
        <v>-0.99867450000000002</v>
      </c>
      <c r="Q2183">
        <v>-3.3217070000000001E-2</v>
      </c>
      <c r="R2183">
        <v>-3.9323579999999997E-2</v>
      </c>
      <c r="S2183">
        <v>-3.0080110000000002</v>
      </c>
      <c r="T2183">
        <v>2.0977260000000001E-2</v>
      </c>
      <c r="U2183">
        <v>8.7554930000000003E-2</v>
      </c>
      <c r="V2183">
        <v>-4.1365249999999999E-2</v>
      </c>
      <c r="W2183">
        <v>-3.097192E-2</v>
      </c>
      <c r="X2183">
        <v>0.998664</v>
      </c>
      <c r="Y2183">
        <v>2.6966500000000001E-2</v>
      </c>
      <c r="Z2183" s="1">
        <v>-4.2292549999999999E-5</v>
      </c>
      <c r="AA2183">
        <v>0.99963639999999998</v>
      </c>
      <c r="AB2183">
        <v>38</v>
      </c>
      <c r="AC2183">
        <v>-3.0080110000000002</v>
      </c>
      <c r="AD2183">
        <v>2.0977260000000001E-2</v>
      </c>
      <c r="AE2183">
        <v>8.7554930000000003E-2</v>
      </c>
      <c r="AF2183">
        <v>8.1146964536223304E-2</v>
      </c>
      <c r="AG2183">
        <v>2.0977260000000001E-2</v>
      </c>
      <c r="AH2183">
        <v>3.0080444121231702</v>
      </c>
      <c r="AI2183">
        <v>89.600587046860497</v>
      </c>
      <c r="AJ2183">
        <v>88.454726527340299</v>
      </c>
      <c r="AK2183">
        <v>3.0092118670170098</v>
      </c>
      <c r="AL2183">
        <v>91.774844018502606</v>
      </c>
      <c r="AM2183">
        <v>92.371869047645504</v>
      </c>
      <c r="AN2183">
        <v>1.0000000643160201</v>
      </c>
    </row>
    <row r="2184" spans="1:40" x14ac:dyDescent="0.25">
      <c r="A2184" t="str">
        <f>"20190303153817445"</f>
        <v>20190303153817445</v>
      </c>
      <c r="B2184" t="str">
        <f>"1551598697441143"</f>
        <v>1551598697441143</v>
      </c>
      <c r="C2184" t="s">
        <v>40</v>
      </c>
      <c r="D2184">
        <v>4.2466599999999897</v>
      </c>
      <c r="E2184">
        <v>0.5259083</v>
      </c>
      <c r="F2184" t="s">
        <v>46</v>
      </c>
      <c r="G2184">
        <v>0</v>
      </c>
      <c r="H2184">
        <v>0</v>
      </c>
      <c r="I2184">
        <v>0</v>
      </c>
      <c r="J2184">
        <v>-241.4281</v>
      </c>
      <c r="K2184">
        <v>1.1206769999999999</v>
      </c>
      <c r="L2184">
        <v>282.72460000000001</v>
      </c>
      <c r="M2184">
        <v>-0.99999590000000005</v>
      </c>
      <c r="N2184">
        <v>-2.4327110000000002E-3</v>
      </c>
      <c r="O2184">
        <v>1.5119179999999999E-3</v>
      </c>
      <c r="P2184">
        <v>-0.99864390000000003</v>
      </c>
      <c r="Q2184">
        <v>-3.3290390000000003E-2</v>
      </c>
      <c r="R2184">
        <v>-4.0025739999999997E-2</v>
      </c>
      <c r="S2184">
        <v>-3.007965</v>
      </c>
      <c r="T2184">
        <v>1.824009E-2</v>
      </c>
      <c r="U2184">
        <v>8.5876460000000002E-2</v>
      </c>
      <c r="V2184">
        <v>-4.1452870000000003E-2</v>
      </c>
      <c r="W2184">
        <v>-3.0971849999999999E-2</v>
      </c>
      <c r="X2184">
        <v>0.99866029999999995</v>
      </c>
      <c r="Y2184">
        <v>2.7026479999999999E-2</v>
      </c>
      <c r="Z2184" s="1">
        <v>-3.6201719999999997E-5</v>
      </c>
      <c r="AA2184">
        <v>0.99963469999999999</v>
      </c>
      <c r="AB2184">
        <v>39</v>
      </c>
      <c r="AC2184">
        <v>-3.007965</v>
      </c>
      <c r="AD2184">
        <v>1.824009E-2</v>
      </c>
      <c r="AE2184">
        <v>8.5876460000000002E-2</v>
      </c>
      <c r="AF2184">
        <v>8.13255639648853E-2</v>
      </c>
      <c r="AG2184">
        <v>1.824009E-2</v>
      </c>
      <c r="AH2184">
        <v>3.00798088344263</v>
      </c>
      <c r="AI2184">
        <v>89.652695391209704</v>
      </c>
      <c r="AJ2184">
        <v>88.451294438760598</v>
      </c>
      <c r="AK2184">
        <v>3.0091353481346901</v>
      </c>
      <c r="AL2184">
        <v>91.774840128298493</v>
      </c>
      <c r="AM2184">
        <v>92.3768961880143</v>
      </c>
      <c r="AN2184">
        <v>0.99999999535987405</v>
      </c>
    </row>
    <row r="2185" spans="1:40" x14ac:dyDescent="0.25">
      <c r="A2185" t="str">
        <f>"20190303153817458"</f>
        <v>20190303153817458</v>
      </c>
      <c r="B2185" t="str">
        <f>"1551598697450903"</f>
        <v>1551598697450903</v>
      </c>
      <c r="C2185" t="s">
        <v>40</v>
      </c>
      <c r="D2185">
        <v>4.2564380000000002</v>
      </c>
      <c r="E2185">
        <v>0.52589010000000003</v>
      </c>
      <c r="F2185" t="s">
        <v>46</v>
      </c>
      <c r="G2185">
        <v>0</v>
      </c>
      <c r="H2185">
        <v>0</v>
      </c>
      <c r="I2185">
        <v>0</v>
      </c>
      <c r="J2185">
        <v>-241.661</v>
      </c>
      <c r="K2185">
        <v>1.12066</v>
      </c>
      <c r="L2185">
        <v>282.72460000000001</v>
      </c>
      <c r="M2185">
        <v>-0.99999649999999995</v>
      </c>
      <c r="N2185">
        <v>-2.5182910000000002E-3</v>
      </c>
      <c r="O2185">
        <v>9.3566890000000005E-4</v>
      </c>
      <c r="P2185">
        <v>-0.99861960000000005</v>
      </c>
      <c r="Q2185">
        <v>-3.3519309999999997E-2</v>
      </c>
      <c r="R2185">
        <v>-4.0445149999999999E-2</v>
      </c>
      <c r="S2185">
        <v>-3.0079500000000001</v>
      </c>
      <c r="T2185">
        <v>1.6063810000000001E-2</v>
      </c>
      <c r="U2185">
        <v>8.3435060000000005E-2</v>
      </c>
      <c r="V2185">
        <v>-4.1298389999999997E-2</v>
      </c>
      <c r="W2185">
        <v>-3.111216E-2</v>
      </c>
      <c r="X2185">
        <v>0.99866239999999995</v>
      </c>
      <c r="Y2185">
        <v>2.679202E-2</v>
      </c>
      <c r="Z2185" s="1">
        <v>-3.043308E-5</v>
      </c>
      <c r="AA2185">
        <v>0.999641</v>
      </c>
      <c r="AB2185">
        <v>39</v>
      </c>
      <c r="AC2185">
        <v>-3.0079500000000001</v>
      </c>
      <c r="AD2185">
        <v>1.6063810000000001E-2</v>
      </c>
      <c r="AE2185">
        <v>8.3435060000000005E-2</v>
      </c>
      <c r="AF2185">
        <v>8.0618272091578097E-2</v>
      </c>
      <c r="AG2185">
        <v>1.6063810000000001E-2</v>
      </c>
      <c r="AH2185">
        <v>3.0079410293454298</v>
      </c>
      <c r="AI2185">
        <v>89.694126523811704</v>
      </c>
      <c r="AJ2185">
        <v>88.464736790606096</v>
      </c>
      <c r="AK2185">
        <v>3.0090640717350001</v>
      </c>
      <c r="AL2185">
        <v>91.782883066499807</v>
      </c>
      <c r="AM2185">
        <v>92.368043475944802</v>
      </c>
      <c r="AN2185">
        <v>1.0000000563450999</v>
      </c>
    </row>
    <row r="2186" spans="1:40" x14ac:dyDescent="0.25">
      <c r="A2186" t="str">
        <f>"20190303153817475"</f>
        <v>20190303153817475</v>
      </c>
      <c r="B2186" t="str">
        <f>"1551598697471400"</f>
        <v>1551598697471400</v>
      </c>
      <c r="C2186" t="s">
        <v>40</v>
      </c>
      <c r="D2186">
        <v>4.2687850000000003</v>
      </c>
      <c r="E2186">
        <v>0.52583049999999998</v>
      </c>
      <c r="F2186" t="s">
        <v>46</v>
      </c>
      <c r="G2186">
        <v>0</v>
      </c>
      <c r="H2186">
        <v>0</v>
      </c>
      <c r="I2186">
        <v>0</v>
      </c>
      <c r="J2186">
        <v>-241.9443</v>
      </c>
      <c r="K2186">
        <v>1.120644</v>
      </c>
      <c r="L2186">
        <v>282.7244</v>
      </c>
      <c r="M2186">
        <v>-0.99999649999999995</v>
      </c>
      <c r="N2186">
        <v>-2.6488359999999999E-3</v>
      </c>
      <c r="O2186">
        <v>2.7707019999999999E-4</v>
      </c>
      <c r="P2186">
        <v>-0.9985887</v>
      </c>
      <c r="Q2186">
        <v>-3.4504100000000003E-2</v>
      </c>
      <c r="R2186">
        <v>-4.0374430000000003E-2</v>
      </c>
      <c r="S2186">
        <v>-3.0079799999999999</v>
      </c>
      <c r="T2186">
        <v>1.448667E-2</v>
      </c>
      <c r="U2186">
        <v>8.2092289999999998E-2</v>
      </c>
      <c r="V2186">
        <v>-4.0571089999999997E-2</v>
      </c>
      <c r="W2186">
        <v>-3.1960759999999998E-2</v>
      </c>
      <c r="X2186">
        <v>0.99866529999999998</v>
      </c>
      <c r="Y2186">
        <v>2.7004239999999999E-2</v>
      </c>
      <c r="Z2186" s="1">
        <v>-2.7175170000000002E-5</v>
      </c>
      <c r="AA2186">
        <v>0.9996353</v>
      </c>
      <c r="AB2186">
        <v>39</v>
      </c>
      <c r="AC2186">
        <v>-3.0079799999999999</v>
      </c>
      <c r="AD2186">
        <v>1.448667E-2</v>
      </c>
      <c r="AE2186">
        <v>8.2092289999999998E-2</v>
      </c>
      <c r="AF2186">
        <v>8.1256979021826506E-2</v>
      </c>
      <c r="AG2186">
        <v>1.448667E-2</v>
      </c>
      <c r="AH2186">
        <v>3.0079329140148898</v>
      </c>
      <c r="AI2186">
        <v>89.724157431002794</v>
      </c>
      <c r="AJ2186">
        <v>88.452575220447699</v>
      </c>
      <c r="AK2186">
        <v>3.0090651331371201</v>
      </c>
      <c r="AL2186">
        <v>91.831528668461004</v>
      </c>
      <c r="AM2186">
        <v>92.326379684995302</v>
      </c>
      <c r="AN2186">
        <v>0.99999994247382595</v>
      </c>
    </row>
    <row r="2187" spans="1:40" x14ac:dyDescent="0.25">
      <c r="A2187" t="str">
        <f>"20190303153817487"</f>
        <v>20190303153817487</v>
      </c>
      <c r="B2187" t="str">
        <f>"1551598697481159"</f>
        <v>1551598697481159</v>
      </c>
      <c r="C2187" t="s">
        <v>40</v>
      </c>
      <c r="D2187">
        <v>4.2402810000000004</v>
      </c>
      <c r="E2187">
        <v>0.52579770000000003</v>
      </c>
      <c r="F2187" t="s">
        <v>46</v>
      </c>
      <c r="G2187">
        <v>0</v>
      </c>
      <c r="H2187">
        <v>0</v>
      </c>
      <c r="I2187">
        <v>0</v>
      </c>
      <c r="J2187">
        <v>-242.16329999999999</v>
      </c>
      <c r="K2187">
        <v>1.1206240000000001</v>
      </c>
      <c r="L2187">
        <v>282.72410000000002</v>
      </c>
      <c r="M2187">
        <v>-0.9999962</v>
      </c>
      <c r="N2187">
        <v>-2.7772840000000001E-3</v>
      </c>
      <c r="O2187">
        <v>-1.9043759999999999E-4</v>
      </c>
      <c r="P2187">
        <v>-0.99858409999999997</v>
      </c>
      <c r="Q2187">
        <v>-3.471685E-2</v>
      </c>
      <c r="R2187">
        <v>-4.0308209999999997E-2</v>
      </c>
      <c r="S2187">
        <v>-3.007889</v>
      </c>
      <c r="T2187">
        <v>9.6609590000000002E-3</v>
      </c>
      <c r="U2187">
        <v>8.2061770000000006E-2</v>
      </c>
      <c r="V2187">
        <v>-4.0040970000000002E-2</v>
      </c>
      <c r="W2187">
        <v>-3.204009E-2</v>
      </c>
      <c r="X2187">
        <v>0.99868420000000002</v>
      </c>
      <c r="Y2187">
        <v>2.7462380000000002E-2</v>
      </c>
      <c r="Z2187" s="1">
        <v>-7.0923050000000002E-6</v>
      </c>
      <c r="AA2187">
        <v>0.99962280000000003</v>
      </c>
      <c r="AB2187">
        <v>39</v>
      </c>
      <c r="AC2187">
        <v>-3.007889</v>
      </c>
      <c r="AD2187">
        <v>9.6609590000000002E-3</v>
      </c>
      <c r="AE2187">
        <v>8.2061770000000006E-2</v>
      </c>
      <c r="AF2187">
        <v>8.2633734014055604E-2</v>
      </c>
      <c r="AG2187">
        <v>9.6609590000000002E-3</v>
      </c>
      <c r="AH2187">
        <v>3.007842311533</v>
      </c>
      <c r="AI2187">
        <v>89.816040388308394</v>
      </c>
      <c r="AJ2187">
        <v>88.426322555604401</v>
      </c>
      <c r="AK2187">
        <v>3.00899269510148</v>
      </c>
      <c r="AL2187">
        <v>91.836076186511605</v>
      </c>
      <c r="AM2187">
        <v>92.295971509661499</v>
      </c>
      <c r="AN2187">
        <v>0.99999998898769404</v>
      </c>
    </row>
    <row r="2188" spans="1:40" x14ac:dyDescent="0.25">
      <c r="A2188" t="str">
        <f>"20190303153817499"</f>
        <v>20190303153817499</v>
      </c>
      <c r="B2188" t="str">
        <f>"1551598697490919"</f>
        <v>1551598697490919</v>
      </c>
      <c r="C2188" t="s">
        <v>40</v>
      </c>
      <c r="D2188">
        <v>4.2497959999999999</v>
      </c>
      <c r="E2188">
        <v>0.52580079999999996</v>
      </c>
      <c r="F2188" t="s">
        <v>46</v>
      </c>
      <c r="G2188">
        <v>0</v>
      </c>
      <c r="H2188">
        <v>0</v>
      </c>
      <c r="I2188">
        <v>0</v>
      </c>
      <c r="J2188">
        <v>-242.37970000000001</v>
      </c>
      <c r="K2188">
        <v>1.120601</v>
      </c>
      <c r="L2188">
        <v>282.72379999999998</v>
      </c>
      <c r="M2188">
        <v>-0.99999559999999998</v>
      </c>
      <c r="N2188">
        <v>-2.9348019999999998E-3</v>
      </c>
      <c r="O2188">
        <v>-5.9848159999999998E-4</v>
      </c>
      <c r="P2188">
        <v>-0.99855280000000002</v>
      </c>
      <c r="Q2188">
        <v>-3.5247500000000001E-2</v>
      </c>
      <c r="R2188">
        <v>-4.0619849999999999E-2</v>
      </c>
      <c r="S2188">
        <v>-3.0078429999999998</v>
      </c>
      <c r="T2188">
        <v>8.1900359999999995E-3</v>
      </c>
      <c r="U2188">
        <v>8.1970210000000002E-2</v>
      </c>
      <c r="V2188">
        <v>-3.994764E-2</v>
      </c>
      <c r="W2188">
        <v>-3.2408630000000001E-2</v>
      </c>
      <c r="X2188">
        <v>0.99867609999999996</v>
      </c>
      <c r="Y2188">
        <v>2.7840299999999998E-2</v>
      </c>
      <c r="Z2188" s="1">
        <v>-4.2081960000000001E-7</v>
      </c>
      <c r="AA2188">
        <v>0.99961239999999996</v>
      </c>
      <c r="AB2188">
        <v>39</v>
      </c>
      <c r="AC2188">
        <v>-3.0078429999999998</v>
      </c>
      <c r="AD2188">
        <v>8.1900359999999995E-3</v>
      </c>
      <c r="AE2188">
        <v>8.1970210000000002E-2</v>
      </c>
      <c r="AF2188">
        <v>8.3769720989014695E-2</v>
      </c>
      <c r="AG2188">
        <v>8.1900359999999995E-3</v>
      </c>
      <c r="AH2188">
        <v>3.0077711199380399</v>
      </c>
      <c r="AI2188">
        <v>89.844046827679094</v>
      </c>
      <c r="AJ2188">
        <v>88.404662174730106</v>
      </c>
      <c r="AK2188">
        <v>3.00894857928439</v>
      </c>
      <c r="AL2188">
        <v>91.857202845105903</v>
      </c>
      <c r="AM2188">
        <v>92.290644181568794</v>
      </c>
      <c r="AN2188">
        <v>1.00000004297562</v>
      </c>
    </row>
    <row r="2189" spans="1:40" x14ac:dyDescent="0.25">
      <c r="A2189" t="str">
        <f>"20190303153817512"</f>
        <v>20190303153817512</v>
      </c>
      <c r="B2189" t="str">
        <f>"1551598697500679"</f>
        <v>1551598697500679</v>
      </c>
      <c r="C2189" t="s">
        <v>40</v>
      </c>
      <c r="D2189">
        <v>4.2244950000000001</v>
      </c>
      <c r="E2189">
        <v>0.52579589999999998</v>
      </c>
      <c r="F2189" t="s">
        <v>46</v>
      </c>
      <c r="G2189">
        <v>0</v>
      </c>
      <c r="H2189">
        <v>0</v>
      </c>
      <c r="I2189">
        <v>0</v>
      </c>
      <c r="J2189">
        <v>-242.60810000000001</v>
      </c>
      <c r="K2189">
        <v>1.120568</v>
      </c>
      <c r="L2189">
        <v>282.72340000000003</v>
      </c>
      <c r="M2189">
        <v>-0.99999470000000001</v>
      </c>
      <c r="N2189">
        <v>-3.1163749999999998E-3</v>
      </c>
      <c r="O2189">
        <v>-9.9628330000000004E-4</v>
      </c>
      <c r="P2189">
        <v>-0.99852220000000003</v>
      </c>
      <c r="Q2189">
        <v>-3.5732600000000003E-2</v>
      </c>
      <c r="R2189">
        <v>-4.0948249999999999E-2</v>
      </c>
      <c r="S2189">
        <v>-3.0078740000000002</v>
      </c>
      <c r="T2189">
        <v>6.1701539999999997E-3</v>
      </c>
      <c r="U2189">
        <v>8.1054689999999999E-2</v>
      </c>
      <c r="V2189">
        <v>-3.9882960000000002E-2</v>
      </c>
      <c r="W2189">
        <v>-3.2706850000000003E-2</v>
      </c>
      <c r="X2189">
        <v>0.99866889999999997</v>
      </c>
      <c r="Y2189">
        <v>2.7933659999999999E-2</v>
      </c>
      <c r="Z2189" s="1">
        <v>9.7408990000000008E-6</v>
      </c>
      <c r="AA2189">
        <v>0.99960979999999999</v>
      </c>
      <c r="AB2189">
        <v>39</v>
      </c>
      <c r="AC2189">
        <v>-3.0078740000000002</v>
      </c>
      <c r="AD2189">
        <v>6.1701539999999997E-3</v>
      </c>
      <c r="AE2189">
        <v>8.1054689999999999E-2</v>
      </c>
      <c r="AF2189">
        <v>8.4051005375434695E-2</v>
      </c>
      <c r="AG2189">
        <v>6.1701539999999997E-3</v>
      </c>
      <c r="AH2189">
        <v>3.0077791059221499</v>
      </c>
      <c r="AI2189">
        <v>89.882509544991294</v>
      </c>
      <c r="AJ2189">
        <v>88.399312333393894</v>
      </c>
      <c r="AK2189">
        <v>3.0089595863565299</v>
      </c>
      <c r="AL2189">
        <v>91.874298772774793</v>
      </c>
      <c r="AM2189">
        <v>92.286955766620594</v>
      </c>
      <c r="AN2189">
        <v>0.99999998018124603</v>
      </c>
    </row>
    <row r="2190" spans="1:40" x14ac:dyDescent="0.25">
      <c r="A2190" t="str">
        <f>"20190303153817531"</f>
        <v>20190303153817531</v>
      </c>
      <c r="B2190" t="str">
        <f>"1551598697521175"</f>
        <v>1551598697521175</v>
      </c>
      <c r="C2190" t="s">
        <v>40</v>
      </c>
      <c r="D2190">
        <v>4.2529370000000002</v>
      </c>
      <c r="E2190">
        <v>0.5257887</v>
      </c>
      <c r="F2190" t="s">
        <v>46</v>
      </c>
      <c r="G2190">
        <v>0</v>
      </c>
      <c r="H2190">
        <v>0</v>
      </c>
      <c r="I2190">
        <v>0</v>
      </c>
      <c r="J2190">
        <v>-242.94479999999999</v>
      </c>
      <c r="K2190">
        <v>1.1205099999999999</v>
      </c>
      <c r="L2190">
        <v>282.72269999999997</v>
      </c>
      <c r="M2190">
        <v>-0.99999300000000002</v>
      </c>
      <c r="N2190">
        <v>-3.4234109999999999E-3</v>
      </c>
      <c r="O2190">
        <v>-1.4728059999999999E-3</v>
      </c>
      <c r="P2190">
        <v>-0.99846599999999996</v>
      </c>
      <c r="Q2190">
        <v>-3.635741E-2</v>
      </c>
      <c r="R2190">
        <v>-4.1762069999999998E-2</v>
      </c>
      <c r="S2190">
        <v>-3.0078429999999998</v>
      </c>
      <c r="T2190">
        <v>4.4369700000000001E-3</v>
      </c>
      <c r="U2190">
        <v>7.9925540000000003E-2</v>
      </c>
      <c r="V2190">
        <v>-4.0227800000000001E-2</v>
      </c>
      <c r="W2190">
        <v>-3.3016030000000002E-2</v>
      </c>
      <c r="X2190">
        <v>0.99864489999999995</v>
      </c>
      <c r="Y2190">
        <v>2.8035290000000001E-2</v>
      </c>
      <c r="Z2190" s="1">
        <v>2.0109169999999998E-5</v>
      </c>
      <c r="AA2190">
        <v>0.99960689999999996</v>
      </c>
      <c r="AB2190">
        <v>39</v>
      </c>
      <c r="AC2190">
        <v>-3.0078429999999998</v>
      </c>
      <c r="AD2190">
        <v>4.4369700000000001E-3</v>
      </c>
      <c r="AE2190">
        <v>7.9925540000000003E-2</v>
      </c>
      <c r="AF2190">
        <v>8.4355265306969199E-2</v>
      </c>
      <c r="AG2190">
        <v>4.4369700000000001E-3</v>
      </c>
      <c r="AH2190">
        <v>3.0077154819781602</v>
      </c>
      <c r="AI2190">
        <v>89.915510776463194</v>
      </c>
      <c r="AJ2190">
        <v>88.393486999620393</v>
      </c>
      <c r="AK2190">
        <v>3.00890144704324</v>
      </c>
      <c r="AL2190">
        <v>91.8920230453664</v>
      </c>
      <c r="AM2190">
        <v>92.306763578024402</v>
      </c>
      <c r="AN2190">
        <v>0.99999998521290501</v>
      </c>
    </row>
    <row r="2191" spans="1:40" x14ac:dyDescent="0.25">
      <c r="A2191" t="str">
        <f>"20190303153817544"</f>
        <v>20190303153817544</v>
      </c>
      <c r="B2191" t="str">
        <f>"1551598697540504"</f>
        <v>1551598697540504</v>
      </c>
      <c r="C2191" t="s">
        <v>40</v>
      </c>
      <c r="D2191">
        <v>4.2231860000000001</v>
      </c>
      <c r="E2191">
        <v>0.52575620000000001</v>
      </c>
      <c r="F2191" t="s">
        <v>46</v>
      </c>
      <c r="G2191">
        <v>0</v>
      </c>
      <c r="H2191">
        <v>0</v>
      </c>
      <c r="I2191">
        <v>0</v>
      </c>
      <c r="J2191">
        <v>-243.16319999999999</v>
      </c>
      <c r="K2191">
        <v>1.120471</v>
      </c>
      <c r="L2191">
        <v>282.72210000000001</v>
      </c>
      <c r="M2191">
        <v>-0.99999199999999999</v>
      </c>
      <c r="N2191">
        <v>-3.635592E-3</v>
      </c>
      <c r="O2191">
        <v>-1.712028E-3</v>
      </c>
      <c r="P2191">
        <v>-0.99842200000000003</v>
      </c>
      <c r="Q2191">
        <v>-3.6714789999999997E-2</v>
      </c>
      <c r="R2191">
        <v>-4.2495930000000001E-2</v>
      </c>
      <c r="S2191">
        <v>-3.0079039999999999</v>
      </c>
      <c r="T2191">
        <v>1.7266269999999999E-3</v>
      </c>
      <c r="U2191">
        <v>7.7453610000000006E-2</v>
      </c>
      <c r="V2191">
        <v>-4.0729029999999999E-2</v>
      </c>
      <c r="W2191">
        <v>-3.3155299999999999E-2</v>
      </c>
      <c r="X2191">
        <v>0.99861999999999995</v>
      </c>
      <c r="Y2191">
        <v>2.7452939999999999E-2</v>
      </c>
      <c r="Z2191" s="1">
        <v>3.4828349999999997E-5</v>
      </c>
      <c r="AA2191">
        <v>0.99962309999999999</v>
      </c>
      <c r="AB2191">
        <v>39</v>
      </c>
      <c r="AC2191">
        <v>-3.0079039999999999</v>
      </c>
      <c r="AD2191">
        <v>1.7266269999999999E-3</v>
      </c>
      <c r="AE2191">
        <v>7.7453610000000006E-2</v>
      </c>
      <c r="AF2191">
        <v>8.2603118807612799E-2</v>
      </c>
      <c r="AG2191">
        <v>1.7266269999999999E-3</v>
      </c>
      <c r="AH2191">
        <v>3.00776599774693</v>
      </c>
      <c r="AI2191">
        <v>89.967121397502595</v>
      </c>
      <c r="AJ2191">
        <v>88.426865405918605</v>
      </c>
      <c r="AK2191">
        <v>3.0089005556316</v>
      </c>
      <c r="AL2191">
        <v>91.900006941052993</v>
      </c>
      <c r="AM2191">
        <v>92.335531909812801</v>
      </c>
      <c r="AN2191">
        <v>1.00000001610141</v>
      </c>
    </row>
    <row r="2192" spans="1:40" x14ac:dyDescent="0.25">
      <c r="A2192" t="str">
        <f>"20190303153817556"</f>
        <v>20190303153817556</v>
      </c>
      <c r="B2192" t="str">
        <f>"1551598697551241"</f>
        <v>1551598697551241</v>
      </c>
      <c r="C2192" t="s">
        <v>40</v>
      </c>
      <c r="D2192">
        <v>4.2362279999999997</v>
      </c>
      <c r="E2192">
        <v>0.52575419999999995</v>
      </c>
      <c r="F2192" t="s">
        <v>46</v>
      </c>
      <c r="G2192">
        <v>0</v>
      </c>
      <c r="H2192">
        <v>0</v>
      </c>
      <c r="I2192">
        <v>0</v>
      </c>
      <c r="J2192">
        <v>-243.37309999999999</v>
      </c>
      <c r="K2192">
        <v>1.1204270000000001</v>
      </c>
      <c r="L2192">
        <v>282.72160000000002</v>
      </c>
      <c r="M2192">
        <v>-0.99999090000000002</v>
      </c>
      <c r="N2192">
        <v>-3.8401440000000002E-3</v>
      </c>
      <c r="O2192">
        <v>-1.9042810000000001E-3</v>
      </c>
      <c r="P2192">
        <v>-0.99839440000000002</v>
      </c>
      <c r="Q2192">
        <v>-3.6961689999999998E-2</v>
      </c>
      <c r="R2192">
        <v>-4.292779E-2</v>
      </c>
      <c r="S2192">
        <v>-3.0079189999999998</v>
      </c>
      <c r="T2192">
        <v>-2.0086769999999999E-4</v>
      </c>
      <c r="U2192">
        <v>7.4768070000000006E-2</v>
      </c>
      <c r="V2192">
        <v>-4.0974219999999999E-2</v>
      </c>
      <c r="W2192">
        <v>-3.3191379999999999E-2</v>
      </c>
      <c r="X2192">
        <v>0.99860879999999996</v>
      </c>
      <c r="Y2192">
        <v>2.6753039999999999E-2</v>
      </c>
      <c r="Z2192" s="1">
        <v>4.5084599999999999E-5</v>
      </c>
      <c r="AA2192">
        <v>0.99964209999999998</v>
      </c>
      <c r="AB2192">
        <v>39</v>
      </c>
      <c r="AC2192">
        <v>-3.0079189999999998</v>
      </c>
      <c r="AD2192">
        <v>-2.0086769999999999E-4</v>
      </c>
      <c r="AE2192">
        <v>7.4768070000000006E-2</v>
      </c>
      <c r="AF2192">
        <v>8.0495898813956093E-2</v>
      </c>
      <c r="AG2192">
        <v>-2.0086769999999999E-4</v>
      </c>
      <c r="AH2192">
        <v>3.0077711522705601</v>
      </c>
      <c r="AI2192">
        <v>90.003825009122195</v>
      </c>
      <c r="AJ2192">
        <v>88.466979569353597</v>
      </c>
      <c r="AK2192">
        <v>3.0088481075828102</v>
      </c>
      <c r="AL2192">
        <v>91.902075256304897</v>
      </c>
      <c r="AM2192">
        <v>92.349602495153704</v>
      </c>
      <c r="AN2192">
        <v>1.0000000449241699</v>
      </c>
    </row>
    <row r="2193" spans="1:40" x14ac:dyDescent="0.25">
      <c r="A2193" t="str">
        <f>"20190303153817569"</f>
        <v>20190303153817569</v>
      </c>
      <c r="B2193" t="str">
        <f>"1551598697561001"</f>
        <v>1551598697561001</v>
      </c>
      <c r="C2193" t="s">
        <v>40</v>
      </c>
      <c r="D2193">
        <v>4.2236599999999997</v>
      </c>
      <c r="E2193">
        <v>0.52577109999999905</v>
      </c>
      <c r="F2193" t="s">
        <v>46</v>
      </c>
      <c r="G2193">
        <v>0</v>
      </c>
      <c r="H2193">
        <v>0</v>
      </c>
      <c r="I2193">
        <v>0</v>
      </c>
      <c r="J2193">
        <v>-243.61109999999999</v>
      </c>
      <c r="K2193">
        <v>1.120377</v>
      </c>
      <c r="L2193">
        <v>282.721</v>
      </c>
      <c r="M2193">
        <v>-0.99998960000000003</v>
      </c>
      <c r="N2193">
        <v>-4.0724089999999999E-3</v>
      </c>
      <c r="O2193">
        <v>-2.0884419999999998E-3</v>
      </c>
      <c r="P2193">
        <v>-0.99835680000000004</v>
      </c>
      <c r="Q2193">
        <v>-3.7293399999999997E-2</v>
      </c>
      <c r="R2193">
        <v>-4.3511420000000002E-2</v>
      </c>
      <c r="S2193">
        <v>-3.0079349999999998</v>
      </c>
      <c r="T2193">
        <v>-1.30868E-3</v>
      </c>
      <c r="U2193">
        <v>7.3516849999999995E-2</v>
      </c>
      <c r="V2193">
        <v>-4.1380739999999999E-2</v>
      </c>
      <c r="W2193">
        <v>-3.3283859999999998E-2</v>
      </c>
      <c r="X2193">
        <v>0.9985889</v>
      </c>
      <c r="Y2193">
        <v>2.6521409999999999E-2</v>
      </c>
      <c r="Z2193" s="1">
        <v>5.2184690000000001E-5</v>
      </c>
      <c r="AA2193">
        <v>0.99964830000000005</v>
      </c>
      <c r="AB2193">
        <v>39</v>
      </c>
      <c r="AC2193">
        <v>-3.0079349999999998</v>
      </c>
      <c r="AD2193">
        <v>-1.30868E-3</v>
      </c>
      <c r="AE2193">
        <v>7.3516849999999995E-2</v>
      </c>
      <c r="AF2193">
        <v>7.9798623995637794E-2</v>
      </c>
      <c r="AG2193">
        <v>-1.30868E-3</v>
      </c>
      <c r="AH2193">
        <v>3.0077743342514198</v>
      </c>
      <c r="AI2193">
        <v>90.024920573283893</v>
      </c>
      <c r="AJ2193">
        <v>88.480254312891901</v>
      </c>
      <c r="AK2193">
        <v>3.0088329928423301</v>
      </c>
      <c r="AL2193">
        <v>91.9073770112917</v>
      </c>
      <c r="AM2193">
        <v>92.372934465727297</v>
      </c>
      <c r="AN2193">
        <v>0.99999998609132801</v>
      </c>
    </row>
    <row r="2194" spans="1:40" x14ac:dyDescent="0.25">
      <c r="A2194" t="str">
        <f>"20190303153817590"</f>
        <v>20190303153817590</v>
      </c>
      <c r="B2194" t="str">
        <f>"1551598697580520"</f>
        <v>1551598697580520</v>
      </c>
      <c r="C2194" t="s">
        <v>40</v>
      </c>
      <c r="D2194">
        <v>4.2500260000000001</v>
      </c>
      <c r="E2194">
        <v>0.52581199999999995</v>
      </c>
      <c r="F2194" t="s">
        <v>46</v>
      </c>
      <c r="G2194">
        <v>0</v>
      </c>
      <c r="H2194">
        <v>0</v>
      </c>
      <c r="I2194">
        <v>0</v>
      </c>
      <c r="J2194">
        <v>-243.96430000000001</v>
      </c>
      <c r="K2194">
        <v>1.1202970000000001</v>
      </c>
      <c r="L2194">
        <v>282.72019999999998</v>
      </c>
      <c r="M2194">
        <v>-0.99998779999999998</v>
      </c>
      <c r="N2194">
        <v>-4.4046830000000004E-3</v>
      </c>
      <c r="O2194">
        <v>-2.2443659999999998E-3</v>
      </c>
      <c r="P2194">
        <v>-0.99833669999999997</v>
      </c>
      <c r="Q2194">
        <v>-3.7882979999999997E-2</v>
      </c>
      <c r="R2194">
        <v>-4.3462649999999999E-2</v>
      </c>
      <c r="S2194">
        <v>-3.0079799999999999</v>
      </c>
      <c r="T2194">
        <v>-2.4675130000000002E-3</v>
      </c>
      <c r="U2194">
        <v>7.2021479999999999E-2</v>
      </c>
      <c r="V2194">
        <v>-4.1185649999999997E-2</v>
      </c>
      <c r="W2194">
        <v>-3.3529530000000002E-2</v>
      </c>
      <c r="X2194">
        <v>0.9985887</v>
      </c>
      <c r="Y2194">
        <v>2.6180220000000001E-2</v>
      </c>
      <c r="Z2194" s="1">
        <v>6.0359509999999998E-5</v>
      </c>
      <c r="AA2194">
        <v>0.99965720000000002</v>
      </c>
      <c r="AB2194">
        <v>39</v>
      </c>
      <c r="AC2194">
        <v>-3.0079799999999999</v>
      </c>
      <c r="AD2194">
        <v>-2.4675130000000002E-3</v>
      </c>
      <c r="AE2194">
        <v>7.2021479999999999E-2</v>
      </c>
      <c r="AF2194">
        <v>7.87723190263553E-2</v>
      </c>
      <c r="AG2194">
        <v>-2.4675130000000002E-3</v>
      </c>
      <c r="AH2194">
        <v>3.0078087569704399</v>
      </c>
      <c r="AI2194">
        <v>90.046987558519703</v>
      </c>
      <c r="AJ2194">
        <v>88.499808216152005</v>
      </c>
      <c r="AK2194">
        <v>3.00884108675969</v>
      </c>
      <c r="AL2194">
        <v>91.9214608162725</v>
      </c>
      <c r="AM2194">
        <v>92.361760407930106</v>
      </c>
      <c r="AN2194">
        <v>0.99999993945781396</v>
      </c>
    </row>
    <row r="2195" spans="1:40" x14ac:dyDescent="0.25">
      <c r="A2195" t="str">
        <f>"20190303153817611"</f>
        <v>20190303153817611</v>
      </c>
      <c r="B2195" t="str">
        <f>"1551598697601016"</f>
        <v>1551598697601016</v>
      </c>
      <c r="C2195" t="s">
        <v>40</v>
      </c>
      <c r="D2195">
        <v>4.2004000000000001</v>
      </c>
      <c r="E2195">
        <v>0.53219649999999996</v>
      </c>
      <c r="F2195" t="s">
        <v>46</v>
      </c>
      <c r="G2195">
        <v>0</v>
      </c>
      <c r="H2195">
        <v>0</v>
      </c>
      <c r="I2195">
        <v>0</v>
      </c>
      <c r="J2195">
        <v>-244.34309999999999</v>
      </c>
      <c r="K2195">
        <v>1.1202030000000001</v>
      </c>
      <c r="L2195">
        <v>282.71940000000001</v>
      </c>
      <c r="M2195">
        <v>-0.99998609999999999</v>
      </c>
      <c r="N2195">
        <v>-4.7387310000000004E-3</v>
      </c>
      <c r="O2195">
        <v>-2.2797329999999999E-3</v>
      </c>
      <c r="P2195">
        <v>-0.99833269999999996</v>
      </c>
      <c r="Q2195">
        <v>-3.7432670000000001E-2</v>
      </c>
      <c r="R2195">
        <v>-4.3937579999999997E-2</v>
      </c>
      <c r="S2195">
        <v>-3.0079799999999999</v>
      </c>
      <c r="T2195">
        <v>-4.8258299999999997E-3</v>
      </c>
      <c r="U2195">
        <v>7.2692870000000007E-2</v>
      </c>
      <c r="V2195">
        <v>-4.1636239999999998E-2</v>
      </c>
      <c r="W2195">
        <v>-3.2733480000000002E-2</v>
      </c>
      <c r="X2195">
        <v>0.9985965</v>
      </c>
      <c r="Y2195">
        <v>2.6438509999999998E-2</v>
      </c>
      <c r="Z2195" s="1">
        <v>7.6712730000000004E-5</v>
      </c>
      <c r="AA2195">
        <v>0.99965040000000005</v>
      </c>
      <c r="AB2195">
        <v>39</v>
      </c>
      <c r="AC2195">
        <v>-3.0079799999999999</v>
      </c>
      <c r="AD2195">
        <v>-4.8258299999999997E-3</v>
      </c>
      <c r="AE2195">
        <v>7.2692870000000007E-2</v>
      </c>
      <c r="AF2195">
        <v>7.9549945229339697E-2</v>
      </c>
      <c r="AG2195">
        <v>-4.8258299999999997E-3</v>
      </c>
      <c r="AH2195">
        <v>3.00779872379655</v>
      </c>
      <c r="AI2195">
        <v>90.091895378042096</v>
      </c>
      <c r="AJ2195">
        <v>88.485000408923995</v>
      </c>
      <c r="AK2195">
        <v>3.00885437422507</v>
      </c>
      <c r="AL2195">
        <v>91.875825314302006</v>
      </c>
      <c r="AM2195">
        <v>92.387550787854806</v>
      </c>
      <c r="AN2195">
        <v>1.0000000135032401</v>
      </c>
    </row>
    <row r="2196" spans="1:40" x14ac:dyDescent="0.25">
      <c r="A2196" t="str">
        <f>"20190303153817631"</f>
        <v>20190303153817631</v>
      </c>
      <c r="B2196" t="str">
        <f>"1551598697620539"</f>
        <v>1551598697620539</v>
      </c>
      <c r="C2196" t="s">
        <v>40</v>
      </c>
      <c r="D2196">
        <v>4.2328400000000004</v>
      </c>
      <c r="E2196">
        <v>0.53257940000000004</v>
      </c>
      <c r="F2196" t="s">
        <v>58</v>
      </c>
      <c r="G2196">
        <v>-538.18870000000004</v>
      </c>
      <c r="H2196">
        <v>4.0030469999999996</v>
      </c>
      <c r="I2196">
        <v>294.55</v>
      </c>
      <c r="J2196">
        <v>-244.70429999999999</v>
      </c>
      <c r="K2196">
        <v>1.1201099999999999</v>
      </c>
      <c r="L2196">
        <v>282.71859999999998</v>
      </c>
      <c r="M2196">
        <v>-0.99998489999999995</v>
      </c>
      <c r="N2196">
        <v>-5.0336419999999996E-3</v>
      </c>
      <c r="O2196">
        <v>-2.1994150000000001E-3</v>
      </c>
      <c r="P2196">
        <v>-0.99831749999999997</v>
      </c>
      <c r="Q2196">
        <v>-3.651153E-2</v>
      </c>
      <c r="R2196">
        <v>-4.5043699999999902E-2</v>
      </c>
      <c r="S2196">
        <v>-3.0114749999999999</v>
      </c>
      <c r="T2196">
        <v>2.9545660000000001E-2</v>
      </c>
      <c r="U2196">
        <v>0.1212463</v>
      </c>
      <c r="V2196">
        <v>-4.283261E-2</v>
      </c>
      <c r="W2196">
        <v>-3.150671E-2</v>
      </c>
      <c r="X2196">
        <v>0.99858530000000001</v>
      </c>
      <c r="Y2196">
        <v>4.2425200000000003E-2</v>
      </c>
      <c r="Z2196">
        <v>-1.3384200000000001E-4</v>
      </c>
      <c r="AA2196">
        <v>0.99909959999999998</v>
      </c>
      <c r="AB2196">
        <v>40</v>
      </c>
      <c r="AC2196">
        <v>-293.48439999999999</v>
      </c>
      <c r="AD2196">
        <v>2.8829370000000001</v>
      </c>
      <c r="AE2196">
        <v>11.8314</v>
      </c>
      <c r="AF2196">
        <v>12.4756716858159</v>
      </c>
      <c r="AG2196">
        <v>2.8829370000000001</v>
      </c>
      <c r="AH2196">
        <v>293.42939940568698</v>
      </c>
      <c r="AI2196">
        <v>89.437596475374704</v>
      </c>
      <c r="AJ2196">
        <v>87.565434509263099</v>
      </c>
      <c r="AK2196">
        <v>293.70864159118702</v>
      </c>
      <c r="AL2196">
        <v>91.805500389550602</v>
      </c>
      <c r="AM2196">
        <v>92.456099018147199</v>
      </c>
      <c r="AN2196">
        <v>0.99999995331526204</v>
      </c>
    </row>
    <row r="2197" spans="1:40" x14ac:dyDescent="0.25">
      <c r="A2197" t="str">
        <f>"20190303153817643"</f>
        <v>20190303153817643</v>
      </c>
      <c r="B2197" t="str">
        <f>"1551598697641033"</f>
        <v>1551598697641033</v>
      </c>
      <c r="C2197" t="s">
        <v>40</v>
      </c>
      <c r="D2197">
        <v>4.2180160000000004</v>
      </c>
      <c r="E2197">
        <v>0.53189240000000004</v>
      </c>
      <c r="F2197" t="s">
        <v>58</v>
      </c>
      <c r="G2197">
        <v>-539.26369999999997</v>
      </c>
      <c r="H2197">
        <v>4.4817809999999998</v>
      </c>
      <c r="I2197">
        <v>294.55</v>
      </c>
      <c r="J2197">
        <v>-244.92609999999999</v>
      </c>
      <c r="K2197">
        <v>1.12005</v>
      </c>
      <c r="L2197">
        <v>282.71809999999999</v>
      </c>
      <c r="M2197">
        <v>-0.99998430000000005</v>
      </c>
      <c r="N2197">
        <v>-5.2015519999999999E-3</v>
      </c>
      <c r="O2197">
        <v>-2.0917510000000002E-3</v>
      </c>
      <c r="P2197">
        <v>-0.99830010000000002</v>
      </c>
      <c r="Q2197">
        <v>-3.6518269999999999E-2</v>
      </c>
      <c r="R2197">
        <v>-4.5425279999999998E-2</v>
      </c>
      <c r="S2197">
        <v>-3.011749</v>
      </c>
      <c r="T2197">
        <v>3.4372569999999998E-2</v>
      </c>
      <c r="U2197">
        <v>0.1209717</v>
      </c>
      <c r="V2197">
        <v>-4.3326620000000003E-2</v>
      </c>
      <c r="W2197">
        <v>-3.1338560000000001E-2</v>
      </c>
      <c r="X2197">
        <v>0.99856929999999999</v>
      </c>
      <c r="Y2197">
        <v>4.2222450000000002E-2</v>
      </c>
      <c r="Z2197">
        <v>-1.657137E-4</v>
      </c>
      <c r="AA2197">
        <v>0.9991082</v>
      </c>
      <c r="AB2197">
        <v>40</v>
      </c>
      <c r="AC2197">
        <v>-294.33759999999899</v>
      </c>
      <c r="AD2197">
        <v>3.3617309999999998</v>
      </c>
      <c r="AE2197">
        <v>11.831899999999999</v>
      </c>
      <c r="AF2197">
        <v>12.445942485135401</v>
      </c>
      <c r="AG2197">
        <v>3.3617309999999998</v>
      </c>
      <c r="AH2197">
        <v>294.27388108891398</v>
      </c>
      <c r="AI2197">
        <v>89.346076508181596</v>
      </c>
      <c r="AJ2197">
        <v>87.578190625446098</v>
      </c>
      <c r="AK2197">
        <v>294.55614033795302</v>
      </c>
      <c r="AL2197">
        <v>91.795861306498594</v>
      </c>
      <c r="AM2197">
        <v>92.4844309073939</v>
      </c>
      <c r="AN2197">
        <v>0.99999997412299302</v>
      </c>
    </row>
    <row r="2198" spans="1:40" x14ac:dyDescent="0.25">
      <c r="A2198" t="str">
        <f>"20190303153817657"</f>
        <v>20190303153817657</v>
      </c>
      <c r="B2198" t="str">
        <f>"1551598697650793"</f>
        <v>1551598697650793</v>
      </c>
      <c r="C2198" t="s">
        <v>40</v>
      </c>
      <c r="D2198">
        <v>4.2203189999999999</v>
      </c>
      <c r="E2198">
        <v>0.53136450000000002</v>
      </c>
      <c r="F2198" t="s">
        <v>58</v>
      </c>
      <c r="G2198">
        <v>-550.05820000000006</v>
      </c>
      <c r="H2198">
        <v>4.1660059999999897</v>
      </c>
      <c r="I2198">
        <v>294.28899999999999</v>
      </c>
      <c r="J2198">
        <v>-245.1542</v>
      </c>
      <c r="K2198">
        <v>1.119983</v>
      </c>
      <c r="L2198">
        <v>282.71780000000001</v>
      </c>
      <c r="M2198">
        <v>-0.99998370000000003</v>
      </c>
      <c r="N2198">
        <v>-5.3653859999999998E-3</v>
      </c>
      <c r="O2198">
        <v>-1.9414980000000001E-3</v>
      </c>
      <c r="P2198">
        <v>-0.99827619999999895</v>
      </c>
      <c r="Q2198">
        <v>-3.7113500000000001E-2</v>
      </c>
      <c r="R2198">
        <v>-4.5465940000000003E-2</v>
      </c>
      <c r="S2198">
        <v>-3.011444</v>
      </c>
      <c r="T2198">
        <v>3.006232E-2</v>
      </c>
      <c r="U2198">
        <v>0.1141968</v>
      </c>
      <c r="V2198">
        <v>-4.3523630000000001E-2</v>
      </c>
      <c r="W2198">
        <v>-3.1762510000000001E-2</v>
      </c>
      <c r="X2198">
        <v>0.99854739999999997</v>
      </c>
      <c r="Y2198">
        <v>3.9832630000000001E-2</v>
      </c>
      <c r="Z2198">
        <v>-1.216298E-4</v>
      </c>
      <c r="AA2198">
        <v>0.99920640000000005</v>
      </c>
      <c r="AB2198">
        <v>40</v>
      </c>
      <c r="AC2198">
        <v>-304.904</v>
      </c>
      <c r="AD2198">
        <v>3.0460229999999902</v>
      </c>
      <c r="AE2198">
        <v>11.5711999999999</v>
      </c>
      <c r="AF2198">
        <v>12.1619451874875</v>
      </c>
      <c r="AG2198">
        <v>3.0460229999999902</v>
      </c>
      <c r="AH2198">
        <v>304.85057853983301</v>
      </c>
      <c r="AI2198">
        <v>89.427982885969698</v>
      </c>
      <c r="AJ2198">
        <v>87.715409309879306</v>
      </c>
      <c r="AK2198">
        <v>305.10828635573102</v>
      </c>
      <c r="AL2198">
        <v>91.820163837923502</v>
      </c>
      <c r="AM2198">
        <v>92.495768250735907</v>
      </c>
      <c r="AN2198">
        <v>1.0000000367283099</v>
      </c>
    </row>
    <row r="2199" spans="1:40" x14ac:dyDescent="0.25">
      <c r="A2199" t="str">
        <f>"20190303153817670"</f>
        <v>20190303153817670</v>
      </c>
      <c r="B2199" t="str">
        <f>"1551598697660552"</f>
        <v>1551598697660552</v>
      </c>
      <c r="C2199" t="s">
        <v>40</v>
      </c>
      <c r="D2199">
        <v>4.1995680000000002</v>
      </c>
      <c r="E2199">
        <v>0.53108299999999997</v>
      </c>
      <c r="F2199" t="s">
        <v>58</v>
      </c>
      <c r="G2199">
        <v>-550.05790000000002</v>
      </c>
      <c r="H2199">
        <v>3.2950620000000002</v>
      </c>
      <c r="I2199">
        <v>293.86770000000001</v>
      </c>
      <c r="J2199">
        <v>-245.38570000000001</v>
      </c>
      <c r="K2199">
        <v>1.1199129999999999</v>
      </c>
      <c r="L2199">
        <v>282.7174</v>
      </c>
      <c r="M2199">
        <v>-0.99998319999999996</v>
      </c>
      <c r="N2199">
        <v>-5.5245619999999898E-3</v>
      </c>
      <c r="O2199">
        <v>-1.7578439999999999E-3</v>
      </c>
      <c r="P2199">
        <v>-0.99824449999999998</v>
      </c>
      <c r="Q2199">
        <v>-3.7662639999999997E-2</v>
      </c>
      <c r="R2199">
        <v>-4.5714890000000001E-2</v>
      </c>
      <c r="S2199">
        <v>-3.0109710000000001</v>
      </c>
      <c r="T2199">
        <v>2.1480079999999999E-2</v>
      </c>
      <c r="U2199">
        <v>0.11010739999999899</v>
      </c>
      <c r="V2199">
        <v>-4.3961140000000003E-2</v>
      </c>
      <c r="W2199">
        <v>-3.2144800000000001E-2</v>
      </c>
      <c r="X2199">
        <v>0.99851599999999996</v>
      </c>
      <c r="Y2199">
        <v>3.8300599999999997E-2</v>
      </c>
      <c r="Z2199" s="1">
        <v>-5.2980160000000002E-5</v>
      </c>
      <c r="AA2199">
        <v>0.99926630000000005</v>
      </c>
      <c r="AB2199">
        <v>40</v>
      </c>
      <c r="AC2199">
        <v>-304.67219999999998</v>
      </c>
      <c r="AD2199">
        <v>2.1751490000000002</v>
      </c>
      <c r="AE2199">
        <v>11.1503</v>
      </c>
      <c r="AF2199">
        <v>11.685262343021799</v>
      </c>
      <c r="AG2199">
        <v>2.1751490000000002</v>
      </c>
      <c r="AH2199">
        <v>304.63662199906099</v>
      </c>
      <c r="AI2199">
        <v>89.591207516645397</v>
      </c>
      <c r="AJ2199">
        <v>87.803323388386204</v>
      </c>
      <c r="AK2199">
        <v>304.86841110911399</v>
      </c>
      <c r="AL2199">
        <v>91.842078632665704</v>
      </c>
      <c r="AM2199">
        <v>92.520903280698505</v>
      </c>
      <c r="AN2199">
        <v>1.00000003612656</v>
      </c>
    </row>
    <row r="2200" spans="1:40" x14ac:dyDescent="0.25">
      <c r="A2200" t="str">
        <f>"20190303153817687"</f>
        <v>20190303153817687</v>
      </c>
      <c r="B2200" t="str">
        <f>"1551598697681048"</f>
        <v>1551598697681048</v>
      </c>
      <c r="C2200" t="s">
        <v>40</v>
      </c>
      <c r="D2200">
        <v>4.3264300000000002</v>
      </c>
      <c r="E2200">
        <v>0.5292829</v>
      </c>
      <c r="F2200" t="s">
        <v>58</v>
      </c>
      <c r="G2200">
        <v>-553.44280000000003</v>
      </c>
      <c r="H2200">
        <v>2.5725669999999998</v>
      </c>
      <c r="I2200">
        <v>293.69319999999999</v>
      </c>
      <c r="J2200">
        <v>-245.70820000000001</v>
      </c>
      <c r="K2200">
        <v>1.1197979999999901</v>
      </c>
      <c r="L2200">
        <v>282.71699999999998</v>
      </c>
      <c r="M2200">
        <v>-0.9999827</v>
      </c>
      <c r="N2200">
        <v>-5.7212640000000002E-3</v>
      </c>
      <c r="O2200">
        <v>-1.4111130000000001E-3</v>
      </c>
      <c r="P2200">
        <v>-0.99819190000000002</v>
      </c>
      <c r="Q2200">
        <v>-3.8921280000000003E-2</v>
      </c>
      <c r="R2200">
        <v>-4.5805909999999998E-2</v>
      </c>
      <c r="S2200">
        <v>-3.0107119999999998</v>
      </c>
      <c r="T2200">
        <v>1.4197950000000001E-2</v>
      </c>
      <c r="U2200">
        <v>0.1072693</v>
      </c>
      <c r="V2200">
        <v>-4.4408129999999997E-2</v>
      </c>
      <c r="W2200">
        <v>-3.3195530000000001E-2</v>
      </c>
      <c r="X2200">
        <v>0.99846179999999995</v>
      </c>
      <c r="Y2200">
        <v>3.7016840000000002E-2</v>
      </c>
      <c r="Z2200" s="1">
        <v>3.9486770000000004E-6</v>
      </c>
      <c r="AA2200">
        <v>0.9993147</v>
      </c>
      <c r="AB2200">
        <v>40</v>
      </c>
      <c r="AC2200">
        <v>-307.7346</v>
      </c>
      <c r="AD2200">
        <v>1.452769</v>
      </c>
      <c r="AE2200">
        <v>10.9762</v>
      </c>
      <c r="AF2200">
        <v>11.4101904770875</v>
      </c>
      <c r="AG2200">
        <v>1.452769</v>
      </c>
      <c r="AH2200">
        <v>307.71195560502201</v>
      </c>
      <c r="AI2200">
        <v>89.729683076938699</v>
      </c>
      <c r="AJ2200">
        <v>87.876402399485599</v>
      </c>
      <c r="AK2200">
        <v>307.92685918373201</v>
      </c>
      <c r="AL2200">
        <v>91.902313258666894</v>
      </c>
      <c r="AM2200">
        <v>92.546639910182094</v>
      </c>
      <c r="AN2200">
        <v>0.999999995640658</v>
      </c>
    </row>
    <row r="2201" spans="1:40" x14ac:dyDescent="0.25">
      <c r="A2201" t="str">
        <f>"20190303153817699"</f>
        <v>20190303153817699</v>
      </c>
      <c r="B2201" t="str">
        <f>"1551598697690808"</f>
        <v>1551598697690808</v>
      </c>
      <c r="C2201" t="s">
        <v>40</v>
      </c>
      <c r="D2201">
        <v>4.1840950000000001</v>
      </c>
      <c r="E2201">
        <v>0.52962010000000004</v>
      </c>
      <c r="F2201" t="s">
        <v>46</v>
      </c>
      <c r="G2201">
        <v>0</v>
      </c>
      <c r="H2201">
        <v>0</v>
      </c>
      <c r="I2201">
        <v>0</v>
      </c>
      <c r="J2201">
        <v>-245.922</v>
      </c>
      <c r="K2201">
        <v>1.1197239999999999</v>
      </c>
      <c r="L2201">
        <v>282.71690000000001</v>
      </c>
      <c r="M2201">
        <v>-0.99998220000000004</v>
      </c>
      <c r="N2201">
        <v>-5.8354969999999898E-3</v>
      </c>
      <c r="O2201">
        <v>-1.132124E-3</v>
      </c>
      <c r="P2201">
        <v>-0.99817339999999999</v>
      </c>
      <c r="Q2201">
        <v>-3.9506340000000001E-2</v>
      </c>
      <c r="R2201">
        <v>-4.5706419999999998E-2</v>
      </c>
      <c r="S2201">
        <v>-3.00943</v>
      </c>
      <c r="T2201">
        <v>-7.6466800000000003E-3</v>
      </c>
      <c r="U2201">
        <v>9.3078610000000006E-2</v>
      </c>
      <c r="V2201">
        <v>-4.459312E-2</v>
      </c>
      <c r="W2201">
        <v>-3.3658880000000002E-2</v>
      </c>
      <c r="X2201">
        <v>0.9984381</v>
      </c>
      <c r="Y2201">
        <v>3.2045440000000001E-2</v>
      </c>
      <c r="Z2201">
        <v>1.304976E-4</v>
      </c>
      <c r="AA2201">
        <v>0.9994864</v>
      </c>
      <c r="AB2201">
        <v>40</v>
      </c>
      <c r="AC2201">
        <v>-3.00943</v>
      </c>
      <c r="AD2201">
        <v>-7.6466800000000003E-3</v>
      </c>
      <c r="AE2201">
        <v>9.3078610000000006E-2</v>
      </c>
      <c r="AF2201">
        <v>9.6485034408730394E-2</v>
      </c>
      <c r="AG2201">
        <v>-7.6466800000000003E-3</v>
      </c>
      <c r="AH2201">
        <v>3.0093032828839399</v>
      </c>
      <c r="AI2201">
        <v>90.145514256888504</v>
      </c>
      <c r="AJ2201">
        <v>88.163597483084999</v>
      </c>
      <c r="AK2201">
        <v>3.0108593593783</v>
      </c>
      <c r="AL2201">
        <v>91.928875992212298</v>
      </c>
      <c r="AM2201">
        <v>92.557294960905594</v>
      </c>
      <c r="AN2201">
        <v>1.0000000530428901</v>
      </c>
    </row>
    <row r="2202" spans="1:40" x14ac:dyDescent="0.25">
      <c r="A2202" t="str">
        <f>"20190303153817711"</f>
        <v>20190303153817711</v>
      </c>
      <c r="B2202" t="str">
        <f>"1551598697700569"</f>
        <v>1551598697700569</v>
      </c>
      <c r="C2202" t="s">
        <v>40</v>
      </c>
      <c r="D2202">
        <v>4.1921900000000001</v>
      </c>
      <c r="E2202">
        <v>0.53014039999999996</v>
      </c>
      <c r="F2202" t="s">
        <v>46</v>
      </c>
      <c r="G2202">
        <v>0</v>
      </c>
      <c r="H2202">
        <v>0</v>
      </c>
      <c r="I2202">
        <v>0</v>
      </c>
      <c r="J2202">
        <v>-246.13079999999999</v>
      </c>
      <c r="K2202">
        <v>1.119653</v>
      </c>
      <c r="L2202">
        <v>282.71690000000001</v>
      </c>
      <c r="M2202">
        <v>-0.99998209999999998</v>
      </c>
      <c r="N2202">
        <v>-5.9417159999999997E-3</v>
      </c>
      <c r="O2202">
        <v>-8.4478859999999995E-4</v>
      </c>
      <c r="P2202">
        <v>-0.99815169999999998</v>
      </c>
      <c r="Q2202">
        <v>-4.0209580000000002E-2</v>
      </c>
      <c r="R2202">
        <v>-4.556847E-2</v>
      </c>
      <c r="S2202">
        <v>-3.0096889999999998</v>
      </c>
      <c r="T2202">
        <v>-4.9784180000000001E-3</v>
      </c>
      <c r="U2202">
        <v>9.5947270000000001E-2</v>
      </c>
      <c r="V2202">
        <v>-4.4747429999999998E-2</v>
      </c>
      <c r="W2202">
        <v>-3.4248689999999998E-2</v>
      </c>
      <c r="X2202">
        <v>0.9984111</v>
      </c>
      <c r="Y2202">
        <v>3.2707430000000003E-2</v>
      </c>
      <c r="Z2202">
        <v>1.20618E-4</v>
      </c>
      <c r="AA2202">
        <v>0.99946500000000005</v>
      </c>
      <c r="AB2202">
        <v>40</v>
      </c>
      <c r="AC2202">
        <v>-3.0096889999999998</v>
      </c>
      <c r="AD2202">
        <v>-4.9784180000000001E-3</v>
      </c>
      <c r="AE2202">
        <v>9.5947270000000001E-2</v>
      </c>
      <c r="AF2202">
        <v>9.8489562115107301E-2</v>
      </c>
      <c r="AG2202">
        <v>-4.9784180000000001E-3</v>
      </c>
      <c r="AH2202">
        <v>3.0095986430764299</v>
      </c>
      <c r="AI2202">
        <v>90.094726738887402</v>
      </c>
      <c r="AJ2202">
        <v>88.125656024142501</v>
      </c>
      <c r="AK2202">
        <v>3.0112138700030702</v>
      </c>
      <c r="AL2202">
        <v>91.962689185964706</v>
      </c>
      <c r="AM2202">
        <v>92.566201716777002</v>
      </c>
      <c r="AN2202">
        <v>1.00000001493076</v>
      </c>
    </row>
    <row r="2203" spans="1:40" x14ac:dyDescent="0.25">
      <c r="A2203" t="str">
        <f>"20190303153817723"</f>
        <v>20190303153817723</v>
      </c>
      <c r="B2203" t="str">
        <f>"1551598697711305"</f>
        <v>1551598697711305</v>
      </c>
      <c r="C2203" t="s">
        <v>40</v>
      </c>
      <c r="D2203">
        <v>4.1894400000000003</v>
      </c>
      <c r="E2203">
        <v>0.53042539999999905</v>
      </c>
      <c r="F2203" t="s">
        <v>46</v>
      </c>
      <c r="G2203">
        <v>0</v>
      </c>
      <c r="H2203">
        <v>0</v>
      </c>
      <c r="I2203">
        <v>0</v>
      </c>
      <c r="J2203">
        <v>-246.34729999999999</v>
      </c>
      <c r="K2203">
        <v>1.1195809999999999</v>
      </c>
      <c r="L2203">
        <v>282.71690000000001</v>
      </c>
      <c r="M2203">
        <v>-0.99998169999999997</v>
      </c>
      <c r="N2203">
        <v>-6.0378410000000004E-3</v>
      </c>
      <c r="O2203">
        <v>-5.0903989999999996E-4</v>
      </c>
      <c r="P2203">
        <v>-0.99813859999999999</v>
      </c>
      <c r="Q2203">
        <v>-4.0789680000000002E-2</v>
      </c>
      <c r="R2203">
        <v>-4.5341850000000003E-2</v>
      </c>
      <c r="S2203">
        <v>-3.009995</v>
      </c>
      <c r="T2203">
        <v>-3.1259059999999999E-3</v>
      </c>
      <c r="U2203">
        <v>0.10034179999999999</v>
      </c>
      <c r="V2203">
        <v>-4.4861890000000001E-2</v>
      </c>
      <c r="W2203">
        <v>-3.4725569999999997E-2</v>
      </c>
      <c r="X2203">
        <v>0.99838950000000004</v>
      </c>
      <c r="Y2203">
        <v>3.3826340000000003E-2</v>
      </c>
      <c r="Z2203">
        <v>1.171639E-4</v>
      </c>
      <c r="AA2203">
        <v>0.99942770000000003</v>
      </c>
      <c r="AB2203">
        <v>40</v>
      </c>
      <c r="AC2203">
        <v>-3.009995</v>
      </c>
      <c r="AD2203">
        <v>-3.1259059999999999E-3</v>
      </c>
      <c r="AE2203">
        <v>0.10034179999999999</v>
      </c>
      <c r="AF2203">
        <v>0.10187391264526501</v>
      </c>
      <c r="AG2203">
        <v>-3.1259059999999999E-3</v>
      </c>
      <c r="AH2203">
        <v>3.0099402884824</v>
      </c>
      <c r="AI2203">
        <v>90.059469173397403</v>
      </c>
      <c r="AJ2203">
        <v>88.061517043309294</v>
      </c>
      <c r="AK2203">
        <v>3.0116654205929798</v>
      </c>
      <c r="AL2203">
        <v>91.990028642104207</v>
      </c>
      <c r="AM2203">
        <v>92.572812613378503</v>
      </c>
      <c r="AN2203">
        <v>1.0000000240482201</v>
      </c>
    </row>
    <row r="2204" spans="1:40" x14ac:dyDescent="0.25">
      <c r="A2204" t="str">
        <f>"20190303153817742"</f>
        <v>20190303153817742</v>
      </c>
      <c r="B2204" t="str">
        <f>"1551598697730825"</f>
        <v>1551598697730825</v>
      </c>
      <c r="C2204" t="s">
        <v>40</v>
      </c>
      <c r="D2204">
        <v>4.1649430000000001</v>
      </c>
      <c r="E2204">
        <v>0.53092280000000003</v>
      </c>
      <c r="F2204" t="s">
        <v>46</v>
      </c>
      <c r="G2204">
        <v>0</v>
      </c>
      <c r="H2204">
        <v>0</v>
      </c>
      <c r="I2204">
        <v>0</v>
      </c>
      <c r="J2204">
        <v>-246.69040000000001</v>
      </c>
      <c r="K2204">
        <v>1.1194809999999999</v>
      </c>
      <c r="L2204">
        <v>282.71719999999999</v>
      </c>
      <c r="M2204">
        <v>-0.99998089999999995</v>
      </c>
      <c r="N2204">
        <v>-6.174382E-3</v>
      </c>
      <c r="O2204" s="1">
        <v>6.4612349999999995E-5</v>
      </c>
      <c r="P2204">
        <v>-0.99814150000000001</v>
      </c>
      <c r="Q2204">
        <v>-4.1831960000000001E-2</v>
      </c>
      <c r="R2204">
        <v>-4.431156E-2</v>
      </c>
      <c r="S2204">
        <v>-3.0102229999999999</v>
      </c>
      <c r="T2204">
        <v>-1.7828939999999999E-3</v>
      </c>
      <c r="U2204">
        <v>0.10305789999999999</v>
      </c>
      <c r="V2204">
        <v>-4.4413939999999999E-2</v>
      </c>
      <c r="W2204">
        <v>-3.5621489999999999E-2</v>
      </c>
      <c r="X2204">
        <v>0.99837790000000004</v>
      </c>
      <c r="Y2204">
        <v>3.4151269999999997E-2</v>
      </c>
      <c r="Z2204">
        <v>1.1593460000000001E-4</v>
      </c>
      <c r="AA2204">
        <v>0.99941659999999999</v>
      </c>
      <c r="AB2204">
        <v>40</v>
      </c>
      <c r="AC2204">
        <v>-3.0102229999999999</v>
      </c>
      <c r="AD2204">
        <v>-1.7828939999999999E-3</v>
      </c>
      <c r="AE2204">
        <v>0.10305789999999999</v>
      </c>
      <c r="AF2204">
        <v>0.10286336244651299</v>
      </c>
      <c r="AG2204">
        <v>-1.7828939999999999E-3</v>
      </c>
      <c r="AH2204">
        <v>3.0102285979189198</v>
      </c>
      <c r="AI2204">
        <v>90.0339152652503</v>
      </c>
      <c r="AJ2204">
        <v>88.042891429807895</v>
      </c>
      <c r="AK2204">
        <v>3.0119860991999499</v>
      </c>
      <c r="AL2204">
        <v>92.041392991510705</v>
      </c>
      <c r="AM2204">
        <v>92.547186409495595</v>
      </c>
      <c r="AN2204">
        <v>0.99999995991227597</v>
      </c>
    </row>
    <row r="2205" spans="1:40" x14ac:dyDescent="0.25">
      <c r="A2205" t="str">
        <f>"20190303153817756"</f>
        <v>20190303153817756</v>
      </c>
      <c r="B2205" t="str">
        <f>"1551598697751321"</f>
        <v>1551598697751321</v>
      </c>
      <c r="C2205" t="s">
        <v>40</v>
      </c>
      <c r="D2205">
        <v>4.1800269999999999</v>
      </c>
      <c r="E2205">
        <v>0.53134139999999996</v>
      </c>
      <c r="F2205" t="s">
        <v>58</v>
      </c>
      <c r="G2205">
        <v>-550.05730000000005</v>
      </c>
      <c r="H2205">
        <v>1.2892110000000001</v>
      </c>
      <c r="I2205">
        <v>293.83089999999999</v>
      </c>
      <c r="J2205">
        <v>-246.9042</v>
      </c>
      <c r="K2205">
        <v>1.119424</v>
      </c>
      <c r="L2205">
        <v>282.7174</v>
      </c>
      <c r="M2205">
        <v>-0.99998039999999999</v>
      </c>
      <c r="N2205">
        <v>-6.2504319999999898E-3</v>
      </c>
      <c r="O2205">
        <v>4.4520680000000002E-4</v>
      </c>
      <c r="P2205">
        <v>-0.99818620000000002</v>
      </c>
      <c r="Q2205">
        <v>-4.1802520000000003E-2</v>
      </c>
      <c r="R2205">
        <v>-4.3325469999999998E-2</v>
      </c>
      <c r="S2205">
        <v>-3.0105439999999999</v>
      </c>
      <c r="T2205">
        <v>1.6851429999999901E-3</v>
      </c>
      <c r="U2205">
        <v>0.1102905</v>
      </c>
      <c r="V2205">
        <v>-4.3811879999999997E-2</v>
      </c>
      <c r="W2205">
        <v>-3.5510819999999998E-2</v>
      </c>
      <c r="X2205">
        <v>0.99840850000000003</v>
      </c>
      <c r="Y2205">
        <v>3.6165339999999997E-2</v>
      </c>
      <c r="Z2205">
        <v>1.05976E-4</v>
      </c>
      <c r="AA2205">
        <v>0.99934579999999995</v>
      </c>
      <c r="AB2205">
        <v>40</v>
      </c>
      <c r="AC2205">
        <v>-303.15309999999999</v>
      </c>
      <c r="AD2205">
        <v>0.16978699999999999</v>
      </c>
      <c r="AE2205">
        <v>11.113499999999901</v>
      </c>
      <c r="AF2205">
        <v>10.9785270058854</v>
      </c>
      <c r="AG2205">
        <v>0.16978699999999999</v>
      </c>
      <c r="AH2205">
        <v>303.15792289072198</v>
      </c>
      <c r="AI2205">
        <v>89.967931879356797</v>
      </c>
      <c r="AJ2205">
        <v>87.926003396947095</v>
      </c>
      <c r="AK2205">
        <v>303.35669284566899</v>
      </c>
      <c r="AL2205">
        <v>92.035047938816604</v>
      </c>
      <c r="AM2205">
        <v>92.512625277666899</v>
      </c>
      <c r="AN2205">
        <v>1.00000001601922</v>
      </c>
    </row>
    <row r="2206" spans="1:40" x14ac:dyDescent="0.25">
      <c r="A2206" t="str">
        <f>"20190303153817767"</f>
        <v>20190303153817767</v>
      </c>
      <c r="B2206" t="str">
        <f>"1551598697761080"</f>
        <v>1551598697761080</v>
      </c>
      <c r="C2206" t="s">
        <v>40</v>
      </c>
      <c r="D2206">
        <v>4.1722729999999997</v>
      </c>
      <c r="E2206">
        <v>0.53153249999999996</v>
      </c>
      <c r="F2206" t="s">
        <v>58</v>
      </c>
      <c r="G2206">
        <v>-550.05740000000003</v>
      </c>
      <c r="H2206">
        <v>1.634944</v>
      </c>
      <c r="I2206">
        <v>294.44959999999998</v>
      </c>
      <c r="J2206">
        <v>-247.15690000000001</v>
      </c>
      <c r="K2206">
        <v>1.1193649999999999</v>
      </c>
      <c r="L2206">
        <v>282.71780000000001</v>
      </c>
      <c r="M2206">
        <v>-0.99997959999999997</v>
      </c>
      <c r="N2206">
        <v>-6.3333929999999997E-3</v>
      </c>
      <c r="O2206">
        <v>9.1336360000000003E-4</v>
      </c>
      <c r="P2206">
        <v>-0.99823399999999995</v>
      </c>
      <c r="Q2206">
        <v>-4.1618179999999998E-2</v>
      </c>
      <c r="R2206">
        <v>-4.239325E-2</v>
      </c>
      <c r="S2206">
        <v>-3.0107119999999998</v>
      </c>
      <c r="T2206">
        <v>5.1206350000000001E-3</v>
      </c>
      <c r="U2206">
        <v>0.1165161</v>
      </c>
      <c r="V2206">
        <v>-4.3351929999999997E-2</v>
      </c>
      <c r="W2206">
        <v>-3.5237909999999997E-2</v>
      </c>
      <c r="X2206">
        <v>0.99843820000000005</v>
      </c>
      <c r="Y2206">
        <v>3.7759040000000001E-2</v>
      </c>
      <c r="Z2206" s="1">
        <v>9.4854209999999998E-5</v>
      </c>
      <c r="AA2206">
        <v>0.99928689999999998</v>
      </c>
      <c r="AB2206">
        <v>40</v>
      </c>
      <c r="AC2206">
        <v>-302.90050000000002</v>
      </c>
      <c r="AD2206">
        <v>0.51557900000000001</v>
      </c>
      <c r="AE2206">
        <v>11.7317999999999</v>
      </c>
      <c r="AF2206">
        <v>11.4550981477019</v>
      </c>
      <c r="AG2206">
        <v>0.51557900000000001</v>
      </c>
      <c r="AH2206">
        <v>302.91021296221197</v>
      </c>
      <c r="AI2206">
        <v>89.9025474529886</v>
      </c>
      <c r="AJ2206">
        <v>87.834288368230403</v>
      </c>
      <c r="AK2206">
        <v>303.127171682268</v>
      </c>
      <c r="AL2206">
        <v>92.019401648871096</v>
      </c>
      <c r="AM2206">
        <v>92.486206410041603</v>
      </c>
      <c r="AN2206">
        <v>0.99999996967756599</v>
      </c>
    </row>
    <row r="2207" spans="1:40" x14ac:dyDescent="0.25">
      <c r="A2207" t="str">
        <f>"20190303153817789"</f>
        <v>20190303153817789</v>
      </c>
      <c r="B2207" t="str">
        <f>"1551598697780600"</f>
        <v>1551598697780600</v>
      </c>
      <c r="C2207" t="s">
        <v>40</v>
      </c>
      <c r="D2207">
        <v>4.1695320000000002</v>
      </c>
      <c r="E2207">
        <v>0.53192200000000001</v>
      </c>
      <c r="F2207" t="s">
        <v>58</v>
      </c>
      <c r="G2207">
        <v>-542.08249999999998</v>
      </c>
      <c r="H2207">
        <v>1.8371409999999999</v>
      </c>
      <c r="I2207">
        <v>294.55</v>
      </c>
      <c r="J2207">
        <v>-247.52369999999999</v>
      </c>
      <c r="K2207">
        <v>1.1192959999999901</v>
      </c>
      <c r="L2207">
        <v>282.71870000000001</v>
      </c>
      <c r="M2207">
        <v>-0.99997809999999998</v>
      </c>
      <c r="N2207">
        <v>-6.4394419999999897E-3</v>
      </c>
      <c r="O2207">
        <v>1.6264999999999999E-3</v>
      </c>
      <c r="P2207">
        <v>-0.99832609999999999</v>
      </c>
      <c r="Q2207">
        <v>-4.1441289999999999E-2</v>
      </c>
      <c r="R2207">
        <v>-4.034741E-2</v>
      </c>
      <c r="S2207">
        <v>-3.010742</v>
      </c>
      <c r="T2207">
        <v>7.3282719999999898E-3</v>
      </c>
      <c r="U2207">
        <v>0.1207886</v>
      </c>
      <c r="V2207">
        <v>-4.2023539999999998E-2</v>
      </c>
      <c r="W2207">
        <v>-3.4949460000000002E-2</v>
      </c>
      <c r="X2207">
        <v>0.99850519999999998</v>
      </c>
      <c r="Y2207">
        <v>3.8461929999999998E-2</v>
      </c>
      <c r="Z2207" s="1">
        <v>9.152439E-5</v>
      </c>
      <c r="AA2207">
        <v>0.99926009999999998</v>
      </c>
      <c r="AB2207">
        <v>40</v>
      </c>
      <c r="AC2207">
        <v>-294.55880000000002</v>
      </c>
      <c r="AD2207">
        <v>0.71784499999999996</v>
      </c>
      <c r="AE2207">
        <v>11.831300000000001</v>
      </c>
      <c r="AF2207">
        <v>11.352107290338401</v>
      </c>
      <c r="AG2207">
        <v>0.71784499999999996</v>
      </c>
      <c r="AH2207">
        <v>294.575907676572</v>
      </c>
      <c r="AI2207">
        <v>89.860481120093198</v>
      </c>
      <c r="AJ2207">
        <v>87.793077707901304</v>
      </c>
      <c r="AK2207">
        <v>294.79543928774098</v>
      </c>
      <c r="AL2207">
        <v>92.002864356275396</v>
      </c>
      <c r="AM2207">
        <v>92.409953786098598</v>
      </c>
      <c r="AN2207">
        <v>1.0000000385477299</v>
      </c>
    </row>
    <row r="2208" spans="1:40" x14ac:dyDescent="0.25">
      <c r="A2208" t="str">
        <f>"20190303153817812"</f>
        <v>20190303153817812</v>
      </c>
      <c r="B2208" t="str">
        <f>"1551598697801096"</f>
        <v>1551598697801096</v>
      </c>
      <c r="C2208" t="s">
        <v>40</v>
      </c>
      <c r="D2208">
        <v>4.1748849999999997</v>
      </c>
      <c r="E2208">
        <v>0.53224050000000001</v>
      </c>
      <c r="F2208" t="s">
        <v>58</v>
      </c>
      <c r="G2208">
        <v>-510.95429999999999</v>
      </c>
      <c r="H2208">
        <v>1.9949440000000001</v>
      </c>
      <c r="I2208">
        <v>294.09649999999999</v>
      </c>
      <c r="J2208">
        <v>-247.9419</v>
      </c>
      <c r="K2208">
        <v>1.119229</v>
      </c>
      <c r="L2208">
        <v>282.72000000000003</v>
      </c>
      <c r="M2208">
        <v>-0.99997550000000002</v>
      </c>
      <c r="N2208">
        <v>-6.5523319999999897E-3</v>
      </c>
      <c r="O2208">
        <v>2.4689759999999999E-3</v>
      </c>
      <c r="P2208">
        <v>-0.99841060000000004</v>
      </c>
      <c r="Q2208">
        <v>-4.1373739999999999E-2</v>
      </c>
      <c r="R2208">
        <v>-3.8268959999999998E-2</v>
      </c>
      <c r="S2208">
        <v>-3.0106959999999998</v>
      </c>
      <c r="T2208">
        <v>1.000857E-2</v>
      </c>
      <c r="U2208">
        <v>0.1300354</v>
      </c>
      <c r="V2208">
        <v>-4.0791559999999998E-2</v>
      </c>
      <c r="W2208">
        <v>-3.4764539999999997E-2</v>
      </c>
      <c r="X2208">
        <v>0.99856270000000003</v>
      </c>
      <c r="Y2208">
        <v>4.0684379999999999E-2</v>
      </c>
      <c r="Z2208" s="1">
        <v>9.0133410000000001E-5</v>
      </c>
      <c r="AA2208">
        <v>0.99917199999999995</v>
      </c>
      <c r="AB2208">
        <v>40</v>
      </c>
      <c r="AC2208">
        <v>-263.01240000000001</v>
      </c>
      <c r="AD2208">
        <v>0.87571499999999902</v>
      </c>
      <c r="AE2208">
        <v>11.376499999999901</v>
      </c>
      <c r="AF2208">
        <v>10.726961393323799</v>
      </c>
      <c r="AG2208">
        <v>0.87571499999999902</v>
      </c>
      <c r="AH2208">
        <v>263.036776662904</v>
      </c>
      <c r="AI2208">
        <v>89.809407193126802</v>
      </c>
      <c r="AJ2208">
        <v>87.664702094244902</v>
      </c>
      <c r="AK2208">
        <v>263.25687161915698</v>
      </c>
      <c r="AL2208">
        <v>91.992262865005401</v>
      </c>
      <c r="AM2208">
        <v>92.339247673813702</v>
      </c>
      <c r="AN2208">
        <v>0.99999999521996696</v>
      </c>
    </row>
    <row r="2209" spans="1:40" x14ac:dyDescent="0.25">
      <c r="A2209" t="str">
        <f>"20190303153817833"</f>
        <v>20190303153817833</v>
      </c>
      <c r="B2209" t="str">
        <f>"1551598697820617"</f>
        <v>1551598697820617</v>
      </c>
      <c r="C2209" t="s">
        <v>40</v>
      </c>
      <c r="D2209">
        <v>4.1406470000000004</v>
      </c>
      <c r="E2209">
        <v>0.53260509999999905</v>
      </c>
      <c r="F2209" t="s">
        <v>58</v>
      </c>
      <c r="G2209">
        <v>-510.95429999999999</v>
      </c>
      <c r="H2209">
        <v>2.2237589999999998</v>
      </c>
      <c r="I2209">
        <v>294.85059999999999</v>
      </c>
      <c r="J2209">
        <v>-248.31620000000001</v>
      </c>
      <c r="K2209">
        <v>1.1191879999999901</v>
      </c>
      <c r="L2209">
        <v>282.72140000000002</v>
      </c>
      <c r="M2209">
        <v>-0.99997259999999999</v>
      </c>
      <c r="N2209">
        <v>-6.6511219999999998E-3</v>
      </c>
      <c r="O2209">
        <v>3.232286E-3</v>
      </c>
      <c r="P2209">
        <v>-0.99849900000000003</v>
      </c>
      <c r="Q2209">
        <v>-4.0917429999999998E-2</v>
      </c>
      <c r="R2209">
        <v>-3.6406290000000001E-2</v>
      </c>
      <c r="S2209">
        <v>-3.0106199999999999</v>
      </c>
      <c r="T2209">
        <v>1.264417E-2</v>
      </c>
      <c r="U2209">
        <v>0.13885500000000001</v>
      </c>
      <c r="V2209">
        <v>-3.9693819999999998E-2</v>
      </c>
      <c r="W2209">
        <v>-3.4206729999999998E-2</v>
      </c>
      <c r="X2209">
        <v>0.99862620000000002</v>
      </c>
      <c r="Y2209">
        <v>4.2843989999999998E-2</v>
      </c>
      <c r="Z2209" s="1">
        <v>8.7691050000000001E-5</v>
      </c>
      <c r="AA2209">
        <v>0.99908180000000002</v>
      </c>
      <c r="AB2209">
        <v>40</v>
      </c>
      <c r="AC2209">
        <v>-262.63810000000001</v>
      </c>
      <c r="AD2209">
        <v>1.104571</v>
      </c>
      <c r="AE2209">
        <v>12.1291999999999</v>
      </c>
      <c r="AF2209">
        <v>11.279997263450101</v>
      </c>
      <c r="AG2209">
        <v>1.104571</v>
      </c>
      <c r="AH2209">
        <v>262.67129770190002</v>
      </c>
      <c r="AI2209">
        <v>89.759286185900606</v>
      </c>
      <c r="AJ2209">
        <v>87.541035526511905</v>
      </c>
      <c r="AK2209">
        <v>262.91570712256402</v>
      </c>
      <c r="AL2209">
        <v>91.960283687568307</v>
      </c>
      <c r="AM2209">
        <v>92.276218817888505</v>
      </c>
      <c r="AN2209">
        <v>0.99999999352496205</v>
      </c>
    </row>
    <row r="2210" spans="1:40" x14ac:dyDescent="0.25">
      <c r="A2210" t="str">
        <f>"20190303153817845"</f>
        <v>20190303153817845</v>
      </c>
      <c r="B2210" t="str">
        <f>"1551598697841113"</f>
        <v>1551598697841113</v>
      </c>
      <c r="C2210" t="s">
        <v>40</v>
      </c>
      <c r="D2210">
        <v>4.277183</v>
      </c>
      <c r="E2210">
        <v>0.53189030000000004</v>
      </c>
      <c r="F2210" t="s">
        <v>58</v>
      </c>
      <c r="G2210">
        <v>-510.95440000000002</v>
      </c>
      <c r="H2210">
        <v>2.531085</v>
      </c>
      <c r="I2210">
        <v>295.5779</v>
      </c>
      <c r="J2210">
        <v>-248.56540000000001</v>
      </c>
      <c r="K2210">
        <v>1.1191690000000001</v>
      </c>
      <c r="L2210">
        <v>282.7226</v>
      </c>
      <c r="M2210">
        <v>-0.99997049999999998</v>
      </c>
      <c r="N2210">
        <v>-6.7151279999999999E-3</v>
      </c>
      <c r="O2210">
        <v>3.742544E-3</v>
      </c>
      <c r="P2210">
        <v>-0.99852540000000001</v>
      </c>
      <c r="Q2210">
        <v>-4.0954949999999997E-2</v>
      </c>
      <c r="R2210">
        <v>-3.5634930000000002E-2</v>
      </c>
      <c r="S2210">
        <v>-3.010529</v>
      </c>
      <c r="T2210">
        <v>1.6185049999999999E-2</v>
      </c>
      <c r="U2210">
        <v>0.14736939999999901</v>
      </c>
      <c r="V2210">
        <v>-3.9433860000000001E-2</v>
      </c>
      <c r="W2210">
        <v>-3.4178380000000001E-2</v>
      </c>
      <c r="X2210">
        <v>0.99863749999999996</v>
      </c>
      <c r="Y2210">
        <v>4.5154739999999999E-2</v>
      </c>
      <c r="Z2210" s="1">
        <v>7.5621210000000001E-5</v>
      </c>
      <c r="AA2210">
        <v>0.99897999999999998</v>
      </c>
      <c r="AB2210">
        <v>40</v>
      </c>
      <c r="AC2210">
        <v>-262.38900000000001</v>
      </c>
      <c r="AD2210">
        <v>1.4119159999999999</v>
      </c>
      <c r="AE2210">
        <v>12.8553</v>
      </c>
      <c r="AF2210">
        <v>11.8728425389153</v>
      </c>
      <c r="AG2210">
        <v>1.4119159999999999</v>
      </c>
      <c r="AH2210">
        <v>262.42769447659202</v>
      </c>
      <c r="AI2210">
        <v>89.692054666337498</v>
      </c>
      <c r="AJ2210">
        <v>87.409571417895606</v>
      </c>
      <c r="AK2210">
        <v>262.69992905412897</v>
      </c>
      <c r="AL2210">
        <v>91.958658342738602</v>
      </c>
      <c r="AM2210">
        <v>92.261301529628298</v>
      </c>
      <c r="AN2210">
        <v>1.0000000236900799</v>
      </c>
    </row>
    <row r="2211" spans="1:40" x14ac:dyDescent="0.25">
      <c r="A2211" t="str">
        <f>"20190303153817858"</f>
        <v>20190303153817858</v>
      </c>
      <c r="B2211" t="str">
        <f>"1551598697850872"</f>
        <v>1551598697850872</v>
      </c>
      <c r="C2211" t="s">
        <v>40</v>
      </c>
      <c r="D2211">
        <v>4.1759060000000003</v>
      </c>
      <c r="E2211">
        <v>0.53199160000000001</v>
      </c>
      <c r="F2211" t="s">
        <v>49</v>
      </c>
      <c r="G2211">
        <v>-476.43799999999999</v>
      </c>
      <c r="H2211">
        <v>1.8521160000000001</v>
      </c>
      <c r="I2211">
        <v>293.6345</v>
      </c>
      <c r="J2211">
        <v>-248.78919999999999</v>
      </c>
      <c r="K2211">
        <v>1.119156</v>
      </c>
      <c r="L2211">
        <v>282.72379999999998</v>
      </c>
      <c r="M2211">
        <v>-0.99996830000000003</v>
      </c>
      <c r="N2211">
        <v>-6.7739260000000004E-3</v>
      </c>
      <c r="O2211">
        <v>4.1984830000000002E-3</v>
      </c>
      <c r="P2211">
        <v>-0.99855899999999997</v>
      </c>
      <c r="Q2211">
        <v>-4.0775369999999998E-2</v>
      </c>
      <c r="R2211">
        <v>-3.4891909999999998E-2</v>
      </c>
      <c r="S2211">
        <v>-3.0099640000000001</v>
      </c>
      <c r="T2211">
        <v>9.6814629999999995E-3</v>
      </c>
      <c r="U2211">
        <v>0.1441345</v>
      </c>
      <c r="V2211">
        <v>-3.9147519999999998E-2</v>
      </c>
      <c r="W2211">
        <v>-3.3938679999999999E-2</v>
      </c>
      <c r="X2211">
        <v>0.99865689999999996</v>
      </c>
      <c r="Y2211">
        <v>4.3637259999999997E-2</v>
      </c>
      <c r="Z2211">
        <v>1.19666E-4</v>
      </c>
      <c r="AA2211">
        <v>0.99904749999999998</v>
      </c>
      <c r="AB2211">
        <v>40</v>
      </c>
      <c r="AC2211">
        <v>-227.64879999999999</v>
      </c>
      <c r="AD2211">
        <v>0.73295999999999994</v>
      </c>
      <c r="AE2211">
        <v>10.9107</v>
      </c>
      <c r="AF2211">
        <v>9.9546993826031098</v>
      </c>
      <c r="AG2211">
        <v>0.73295999999999994</v>
      </c>
      <c r="AH2211">
        <v>227.69024799511601</v>
      </c>
      <c r="AI2211">
        <v>89.815735231767903</v>
      </c>
      <c r="AJ2211">
        <v>87.496602194838502</v>
      </c>
      <c r="AK2211">
        <v>227.90893423084</v>
      </c>
      <c r="AL2211">
        <v>91.944916651192003</v>
      </c>
      <c r="AM2211">
        <v>92.244854898988905</v>
      </c>
      <c r="AN2211">
        <v>0.99999998311995097</v>
      </c>
    </row>
    <row r="2212" spans="1:40" x14ac:dyDescent="0.25">
      <c r="A2212" t="str">
        <f>"20190303153817878"</f>
        <v>20190303153817878</v>
      </c>
      <c r="B2212" t="str">
        <f>"1551598697871368"</f>
        <v>1551598697871368</v>
      </c>
      <c r="C2212" t="s">
        <v>40</v>
      </c>
      <c r="D2212">
        <v>4.182607</v>
      </c>
      <c r="E2212">
        <v>0.53196529999999997</v>
      </c>
      <c r="F2212" t="s">
        <v>49</v>
      </c>
      <c r="G2212">
        <v>-476.37950000000001</v>
      </c>
      <c r="H2212">
        <v>1.9757</v>
      </c>
      <c r="I2212">
        <v>293.84370000000001</v>
      </c>
      <c r="J2212">
        <v>-249.12700000000001</v>
      </c>
      <c r="K2212">
        <v>1.1191519999999999</v>
      </c>
      <c r="L2212">
        <v>282.72559999999999</v>
      </c>
      <c r="M2212">
        <v>-0.99996450000000003</v>
      </c>
      <c r="N2212">
        <v>-6.8828200000000004E-3</v>
      </c>
      <c r="O2212">
        <v>4.8783780000000001E-3</v>
      </c>
      <c r="P2212">
        <v>-0.99860130000000003</v>
      </c>
      <c r="Q2212">
        <v>-4.0320620000000001E-2</v>
      </c>
      <c r="R2212">
        <v>-3.4202040000000003E-2</v>
      </c>
      <c r="S2212">
        <v>-3.0099330000000002</v>
      </c>
      <c r="T2212">
        <v>1.132798E-2</v>
      </c>
      <c r="U2212">
        <v>0.14706420000000001</v>
      </c>
      <c r="V2212">
        <v>-3.9137310000000002E-2</v>
      </c>
      <c r="W2212">
        <v>-3.3372829999999999E-2</v>
      </c>
      <c r="X2212">
        <v>0.99867640000000002</v>
      </c>
      <c r="Y2212">
        <v>4.3928689999999999E-2</v>
      </c>
      <c r="Z2212">
        <v>1.2056050000000001E-4</v>
      </c>
      <c r="AA2212">
        <v>0.99903459999999999</v>
      </c>
      <c r="AB2212">
        <v>41</v>
      </c>
      <c r="AC2212">
        <v>-227.2525</v>
      </c>
      <c r="AD2212">
        <v>0.85654799999999898</v>
      </c>
      <c r="AE2212">
        <v>11.1181</v>
      </c>
      <c r="AF2212">
        <v>10.009176079050301</v>
      </c>
      <c r="AG2212">
        <v>0.85654799999999898</v>
      </c>
      <c r="AH2212">
        <v>227.300813857582</v>
      </c>
      <c r="AI2212">
        <v>89.784299755110695</v>
      </c>
      <c r="AJ2212">
        <v>87.478613073386995</v>
      </c>
      <c r="AK2212">
        <v>227.52269614387299</v>
      </c>
      <c r="AL2212">
        <v>91.912477398201304</v>
      </c>
      <c r="AM2212">
        <v>92.244226244384507</v>
      </c>
      <c r="AN2212">
        <v>1.0000000133666</v>
      </c>
    </row>
    <row r="2213" spans="1:40" x14ac:dyDescent="0.25">
      <c r="A2213" t="str">
        <f>"20190303153817890"</f>
        <v>20190303153817890</v>
      </c>
      <c r="B2213" t="str">
        <f>"1551598697881129"</f>
        <v>1551598697881129</v>
      </c>
      <c r="C2213" t="s">
        <v>40</v>
      </c>
      <c r="D2213">
        <v>4.207808</v>
      </c>
      <c r="E2213">
        <v>0.53181809999999996</v>
      </c>
      <c r="F2213" t="s">
        <v>58</v>
      </c>
      <c r="G2213">
        <v>-510.95429999999999</v>
      </c>
      <c r="H2213">
        <v>2.2136439999999999</v>
      </c>
      <c r="I2213">
        <v>295.66500000000002</v>
      </c>
      <c r="J2213">
        <v>-249.3672</v>
      </c>
      <c r="K2213">
        <v>1.119157</v>
      </c>
      <c r="L2213">
        <v>282.72710000000001</v>
      </c>
      <c r="M2213">
        <v>-0.9999614</v>
      </c>
      <c r="N2213">
        <v>-6.9824379999999997E-3</v>
      </c>
      <c r="O2213">
        <v>5.3547400000000002E-3</v>
      </c>
      <c r="P2213">
        <v>-0.9985984</v>
      </c>
      <c r="Q2213">
        <v>-4.0328089999999997E-2</v>
      </c>
      <c r="R2213">
        <v>-3.4279499999999997E-2</v>
      </c>
      <c r="S2213">
        <v>-3.0097960000000001</v>
      </c>
      <c r="T2213">
        <v>1.258254E-2</v>
      </c>
      <c r="U2213">
        <v>0.14874270000000001</v>
      </c>
      <c r="V2213">
        <v>-3.9691249999999997E-2</v>
      </c>
      <c r="W2213">
        <v>-3.3278639999999998E-2</v>
      </c>
      <c r="X2213">
        <v>0.99865760000000003</v>
      </c>
      <c r="Y2213">
        <v>4.4010830000000001E-2</v>
      </c>
      <c r="Z2213">
        <v>1.215475E-4</v>
      </c>
      <c r="AA2213">
        <v>0.99903109999999995</v>
      </c>
      <c r="AB2213">
        <v>41</v>
      </c>
      <c r="AC2213">
        <v>-261.58710000000002</v>
      </c>
      <c r="AD2213">
        <v>1.094487</v>
      </c>
      <c r="AE2213">
        <v>12.937900000000001</v>
      </c>
      <c r="AF2213">
        <v>11.536748139158901</v>
      </c>
      <c r="AG2213">
        <v>1.094487</v>
      </c>
      <c r="AH2213">
        <v>261.64806103688898</v>
      </c>
      <c r="AI2213">
        <v>89.760562906427793</v>
      </c>
      <c r="AJ2213">
        <v>87.475314334450402</v>
      </c>
      <c r="AK2213">
        <v>261.90456716862201</v>
      </c>
      <c r="AL2213">
        <v>91.907077863549105</v>
      </c>
      <c r="AM2213">
        <v>92.276000108293701</v>
      </c>
      <c r="AN2213">
        <v>0.99999993262228304</v>
      </c>
    </row>
    <row r="2214" spans="1:40" x14ac:dyDescent="0.25">
      <c r="A2214" t="str">
        <f>"20190303153817903"</f>
        <v>20190303153817903</v>
      </c>
      <c r="B2214" t="str">
        <f>"1551598697890889"</f>
        <v>1551598697890889</v>
      </c>
      <c r="C2214" t="s">
        <v>40</v>
      </c>
      <c r="D2214">
        <v>4.2156580000000003</v>
      </c>
      <c r="E2214">
        <v>0.53165680000000004</v>
      </c>
      <c r="F2214" t="s">
        <v>49</v>
      </c>
      <c r="G2214">
        <v>-476.37860000000001</v>
      </c>
      <c r="H2214">
        <v>1.9831909999999999</v>
      </c>
      <c r="I2214">
        <v>293.8426</v>
      </c>
      <c r="J2214">
        <v>-249.60210000000001</v>
      </c>
      <c r="K2214">
        <v>1.1191759999999999</v>
      </c>
      <c r="L2214">
        <v>282.7287</v>
      </c>
      <c r="M2214">
        <v>-0.99995780000000001</v>
      </c>
      <c r="N2214">
        <v>-7.1166099999999998E-3</v>
      </c>
      <c r="O2214">
        <v>5.8088669999999997E-3</v>
      </c>
      <c r="P2214">
        <v>-0.99857770000000001</v>
      </c>
      <c r="Q2214">
        <v>-4.0619250000000003E-2</v>
      </c>
      <c r="R2214">
        <v>-3.4537039999999998E-2</v>
      </c>
      <c r="S2214">
        <v>-3.009735</v>
      </c>
      <c r="T2214">
        <v>1.1455419999999999E-2</v>
      </c>
      <c r="U2214">
        <v>0.14736939999999901</v>
      </c>
      <c r="V2214">
        <v>-4.0402960000000002E-2</v>
      </c>
      <c r="W2214">
        <v>-3.3433879999999999E-2</v>
      </c>
      <c r="X2214">
        <v>0.99862399999999996</v>
      </c>
      <c r="Y2214">
        <v>4.3103379999999997E-2</v>
      </c>
      <c r="Z2214">
        <v>1.349008E-4</v>
      </c>
      <c r="AA2214">
        <v>0.99907060000000003</v>
      </c>
      <c r="AB2214">
        <v>41</v>
      </c>
      <c r="AC2214">
        <v>-226.7765</v>
      </c>
      <c r="AD2214">
        <v>0.86401499999999998</v>
      </c>
      <c r="AE2214">
        <v>11.113899999999999</v>
      </c>
      <c r="AF2214">
        <v>9.7962227270624602</v>
      </c>
      <c r="AG2214">
        <v>0.86401499999999998</v>
      </c>
      <c r="AH2214">
        <v>226.833949695217</v>
      </c>
      <c r="AI2214">
        <v>89.781963531057002</v>
      </c>
      <c r="AJ2214">
        <v>87.5271177010695</v>
      </c>
      <c r="AK2214">
        <v>227.04702868782601</v>
      </c>
      <c r="AL2214">
        <v>91.915977172187297</v>
      </c>
      <c r="AM2214">
        <v>92.316845208275495</v>
      </c>
      <c r="AN2214">
        <v>1.0000000584423001</v>
      </c>
    </row>
    <row r="2215" spans="1:40" x14ac:dyDescent="0.25">
      <c r="A2215" t="str">
        <f>"20190303153817922"</f>
        <v>20190303153817922</v>
      </c>
      <c r="B2215" t="str">
        <f>"1551598697911387"</f>
        <v>1551598697911387</v>
      </c>
      <c r="C2215" t="s">
        <v>40</v>
      </c>
      <c r="D2215">
        <v>4.210013</v>
      </c>
      <c r="E2215">
        <v>0.53128909999999996</v>
      </c>
      <c r="F2215" t="s">
        <v>49</v>
      </c>
      <c r="G2215">
        <v>-476.34769999999997</v>
      </c>
      <c r="H2215">
        <v>1.826962</v>
      </c>
      <c r="I2215">
        <v>293.68419999999998</v>
      </c>
      <c r="J2215">
        <v>-249.9299</v>
      </c>
      <c r="K2215">
        <v>1.119216</v>
      </c>
      <c r="L2215">
        <v>282.73099999999999</v>
      </c>
      <c r="M2215">
        <v>-0.99995239999999996</v>
      </c>
      <c r="N2215">
        <v>-7.3505089999999999E-3</v>
      </c>
      <c r="O2215">
        <v>6.4264459999999997E-3</v>
      </c>
      <c r="P2215">
        <v>-0.99851939999999995</v>
      </c>
      <c r="Q2215">
        <v>-4.0660210000000002E-2</v>
      </c>
      <c r="R2215">
        <v>-3.6143099999999997E-2</v>
      </c>
      <c r="S2215">
        <v>-3.0096590000000001</v>
      </c>
      <c r="T2215">
        <v>9.3946459999999996E-3</v>
      </c>
      <c r="U2215">
        <v>0.145416299999999</v>
      </c>
      <c r="V2215">
        <v>-4.2625469999999999E-2</v>
      </c>
      <c r="W2215">
        <v>-3.323682E-2</v>
      </c>
      <c r="X2215">
        <v>0.99853809999999998</v>
      </c>
      <c r="Y2215">
        <v>4.1840719999999998E-2</v>
      </c>
      <c r="Z2215">
        <v>1.5586190000000001E-4</v>
      </c>
      <c r="AA2215">
        <v>0.99912429999999997</v>
      </c>
      <c r="AB2215">
        <v>41</v>
      </c>
      <c r="AC2215">
        <v>-226.4178</v>
      </c>
      <c r="AD2215">
        <v>0.70774599999999999</v>
      </c>
      <c r="AE2215">
        <v>10.953199999999899</v>
      </c>
      <c r="AF2215">
        <v>9.4977802416561303</v>
      </c>
      <c r="AG2215">
        <v>0.70774599999999999</v>
      </c>
      <c r="AH2215">
        <v>226.48130855196001</v>
      </c>
      <c r="AI2215">
        <v>89.821110550146699</v>
      </c>
      <c r="AJ2215">
        <v>87.598636049857106</v>
      </c>
      <c r="AK2215">
        <v>226.68147665243299</v>
      </c>
      <c r="AL2215">
        <v>91.904680343045101</v>
      </c>
      <c r="AM2215">
        <v>92.444351074473502</v>
      </c>
      <c r="AN2215">
        <v>0.99999997702402099</v>
      </c>
    </row>
    <row r="2216" spans="1:40" x14ac:dyDescent="0.25">
      <c r="A2216" t="str">
        <f>"20190303153817933"</f>
        <v>20190303153817933</v>
      </c>
      <c r="B2216" t="str">
        <f>"1551598697930905"</f>
        <v>1551598697930905</v>
      </c>
      <c r="C2216" t="s">
        <v>40</v>
      </c>
      <c r="D2216">
        <v>4.2177309999999997</v>
      </c>
      <c r="E2216">
        <v>0.53116919999999901</v>
      </c>
      <c r="F2216" t="s">
        <v>58</v>
      </c>
      <c r="G2216">
        <v>-510.95420000000001</v>
      </c>
      <c r="H2216">
        <v>1.616762</v>
      </c>
      <c r="I2216">
        <v>294.68369999999999</v>
      </c>
      <c r="J2216">
        <v>-250.1473</v>
      </c>
      <c r="K2216">
        <v>1.1192530000000001</v>
      </c>
      <c r="L2216">
        <v>282.73270000000002</v>
      </c>
      <c r="M2216">
        <v>-0.99994830000000001</v>
      </c>
      <c r="N2216">
        <v>-7.5401039999999997E-3</v>
      </c>
      <c r="O2216">
        <v>6.8249869999999898E-3</v>
      </c>
      <c r="P2216">
        <v>-0.99846679999999999</v>
      </c>
      <c r="Q2216">
        <v>-4.1185510000000002E-2</v>
      </c>
      <c r="R2216">
        <v>-3.6990019999999998E-2</v>
      </c>
      <c r="S2216">
        <v>-3.0096590000000001</v>
      </c>
      <c r="T2216">
        <v>5.7377819999999899E-3</v>
      </c>
      <c r="U2216">
        <v>0.13781740000000001</v>
      </c>
      <c r="V2216">
        <v>-4.3871E-2</v>
      </c>
      <c r="W2216">
        <v>-3.357065E-2</v>
      </c>
      <c r="X2216">
        <v>0.99847300000000005</v>
      </c>
      <c r="Y2216">
        <v>3.8925170000000002E-2</v>
      </c>
      <c r="Z2216">
        <v>1.7418450000000001E-4</v>
      </c>
      <c r="AA2216">
        <v>0.99924210000000002</v>
      </c>
      <c r="AB2216">
        <v>41</v>
      </c>
      <c r="AC2216">
        <v>-260.80689999999998</v>
      </c>
      <c r="AD2216">
        <v>0.49750899999999998</v>
      </c>
      <c r="AE2216">
        <v>11.950999999999899</v>
      </c>
      <c r="AF2216">
        <v>10.170630436370899</v>
      </c>
      <c r="AG2216">
        <v>0.49750899999999998</v>
      </c>
      <c r="AH2216">
        <v>260.88144575155701</v>
      </c>
      <c r="AI2216">
        <v>89.890818245606994</v>
      </c>
      <c r="AJ2216">
        <v>87.767417926094296</v>
      </c>
      <c r="AK2216">
        <v>261.080098774497</v>
      </c>
      <c r="AL2216">
        <v>91.923818043961205</v>
      </c>
      <c r="AM2216">
        <v>92.515849152310494</v>
      </c>
      <c r="AN2216">
        <v>0.99999999245571103</v>
      </c>
    </row>
    <row r="2217" spans="1:40" x14ac:dyDescent="0.25">
      <c r="A2217" t="str">
        <f>"20190303153817948"</f>
        <v>20190303153817948</v>
      </c>
      <c r="B2217" t="str">
        <f>"1551598697940665"</f>
        <v>1551598697940665</v>
      </c>
      <c r="C2217" t="s">
        <v>40</v>
      </c>
      <c r="D2217">
        <v>4.2082240000000004</v>
      </c>
      <c r="E2217">
        <v>0.5310956</v>
      </c>
      <c r="F2217" t="s">
        <v>58</v>
      </c>
      <c r="G2217">
        <v>-510.95400000000001</v>
      </c>
      <c r="H2217">
        <v>1.327817</v>
      </c>
      <c r="I2217">
        <v>294.3501</v>
      </c>
      <c r="J2217">
        <v>-250.41589999999999</v>
      </c>
      <c r="K2217">
        <v>1.1193120000000001</v>
      </c>
      <c r="L2217">
        <v>282.73480000000001</v>
      </c>
      <c r="M2217">
        <v>-0.99994280000000002</v>
      </c>
      <c r="N2217">
        <v>-7.8189319999999903E-3</v>
      </c>
      <c r="O2217">
        <v>7.3041740000000001E-3</v>
      </c>
      <c r="P2217">
        <v>-0.99842180000000003</v>
      </c>
      <c r="Q2217">
        <v>-4.1506330000000001E-2</v>
      </c>
      <c r="R2217">
        <v>-3.7835359999999998E-2</v>
      </c>
      <c r="S2217">
        <v>-3.009674</v>
      </c>
      <c r="T2217">
        <v>2.407789E-3</v>
      </c>
      <c r="U2217">
        <v>0.13406370000000001</v>
      </c>
      <c r="V2217">
        <v>-4.519401E-2</v>
      </c>
      <c r="W2217">
        <v>-3.3610979999999999E-2</v>
      </c>
      <c r="X2217">
        <v>0.99841270000000004</v>
      </c>
      <c r="Y2217">
        <v>3.720217E-2</v>
      </c>
      <c r="Z2217">
        <v>1.935672E-4</v>
      </c>
      <c r="AA2217">
        <v>0.99930779999999997</v>
      </c>
      <c r="AB2217">
        <v>41</v>
      </c>
      <c r="AC2217">
        <v>-260.53809999999999</v>
      </c>
      <c r="AD2217">
        <v>0.208504999999999</v>
      </c>
      <c r="AE2217">
        <v>11.6152999999999</v>
      </c>
      <c r="AF2217">
        <v>9.7119102213150104</v>
      </c>
      <c r="AG2217">
        <v>0.208504999999999</v>
      </c>
      <c r="AH2217">
        <v>260.61582568402503</v>
      </c>
      <c r="AI2217">
        <v>89.954192468730696</v>
      </c>
      <c r="AJ2217">
        <v>87.865846793213194</v>
      </c>
      <c r="AK2217">
        <v>260.79680456525602</v>
      </c>
      <c r="AL2217">
        <v>91.926129961192899</v>
      </c>
      <c r="AM2217">
        <v>92.591773549172004</v>
      </c>
      <c r="AN2217">
        <v>1.0000000580188599</v>
      </c>
    </row>
    <row r="2218" spans="1:40" x14ac:dyDescent="0.25">
      <c r="A2218" t="str">
        <f>"20190303153817968"</f>
        <v>20190303153817968</v>
      </c>
      <c r="B2218" t="str">
        <f>"1551598697961242"</f>
        <v>1551598697961242</v>
      </c>
      <c r="C2218" t="s">
        <v>40</v>
      </c>
      <c r="D2218">
        <v>4.2295230000000004</v>
      </c>
      <c r="E2218">
        <v>0.53096030000000005</v>
      </c>
      <c r="F2218" t="s">
        <v>58</v>
      </c>
      <c r="G2218">
        <v>-510.95400000000001</v>
      </c>
      <c r="H2218">
        <v>1.165251</v>
      </c>
      <c r="I2218">
        <v>294.08109999999999</v>
      </c>
      <c r="J2218">
        <v>-250.76259999999999</v>
      </c>
      <c r="K2218">
        <v>1.11941</v>
      </c>
      <c r="L2218">
        <v>282.73779999999999</v>
      </c>
      <c r="M2218">
        <v>-0.99993500000000002</v>
      </c>
      <c r="N2218">
        <v>-8.2573270000000001E-3</v>
      </c>
      <c r="O2218">
        <v>7.878955E-3</v>
      </c>
      <c r="P2218">
        <v>-0.99836029999999998</v>
      </c>
      <c r="Q2218">
        <v>-4.2130519999999998E-2</v>
      </c>
      <c r="R2218">
        <v>-3.8759200000000001E-2</v>
      </c>
      <c r="S2218">
        <v>-3.0097499999999999</v>
      </c>
      <c r="T2218">
        <v>5.316734E-4</v>
      </c>
      <c r="U2218">
        <v>0.131073</v>
      </c>
      <c r="V2218">
        <v>-4.669094E-2</v>
      </c>
      <c r="W2218">
        <v>-3.3796300000000001E-2</v>
      </c>
      <c r="X2218">
        <v>0.99833749999999999</v>
      </c>
      <c r="Y2218">
        <v>3.5635409999999999E-2</v>
      </c>
      <c r="Z2218">
        <v>2.104765E-4</v>
      </c>
      <c r="AA2218">
        <v>0.9993649</v>
      </c>
      <c r="AB2218">
        <v>41</v>
      </c>
      <c r="AC2218">
        <v>-260.19139999999999</v>
      </c>
      <c r="AD2218">
        <v>4.5841E-2</v>
      </c>
      <c r="AE2218">
        <v>11.343299999999999</v>
      </c>
      <c r="AF2218">
        <v>9.2928416458587098</v>
      </c>
      <c r="AG2218">
        <v>4.5841E-2</v>
      </c>
      <c r="AH2218">
        <v>260.27269157597101</v>
      </c>
      <c r="AI2218">
        <v>89.989915103022994</v>
      </c>
      <c r="AJ2218">
        <v>87.955165695474193</v>
      </c>
      <c r="AK2218">
        <v>260.43853975065298</v>
      </c>
      <c r="AL2218">
        <v>91.936754164964995</v>
      </c>
      <c r="AM2218">
        <v>92.677697538173504</v>
      </c>
      <c r="AN2218">
        <v>0.99999999883901103</v>
      </c>
    </row>
    <row r="2219" spans="1:40" x14ac:dyDescent="0.25">
      <c r="A2219" t="str">
        <f>"20190303153817981"</f>
        <v>20190303153817981</v>
      </c>
      <c r="B2219" t="str">
        <f>"1551598697971003"</f>
        <v>1551598697971003</v>
      </c>
      <c r="C2219" t="s">
        <v>40</v>
      </c>
      <c r="D2219">
        <v>4.2065939999999999</v>
      </c>
      <c r="E2219">
        <v>0.53083809999999998</v>
      </c>
      <c r="F2219" t="s">
        <v>58</v>
      </c>
      <c r="G2219">
        <v>-510.95389999999998</v>
      </c>
      <c r="H2219">
        <v>0.86777380000000004</v>
      </c>
      <c r="I2219">
        <v>293.74970000000002</v>
      </c>
      <c r="J2219">
        <v>-251.01310000000001</v>
      </c>
      <c r="K2219">
        <v>1.1194919999999999</v>
      </c>
      <c r="L2219">
        <v>282.74009999999998</v>
      </c>
      <c r="M2219">
        <v>-0.99992879999999995</v>
      </c>
      <c r="N2219">
        <v>-8.619224E-3</v>
      </c>
      <c r="O2219">
        <v>8.2626260000000003E-3</v>
      </c>
      <c r="P2219">
        <v>-0.99833510000000003</v>
      </c>
      <c r="Q2219">
        <v>-4.2591940000000002E-2</v>
      </c>
      <c r="R2219">
        <v>-3.8902979999999997E-2</v>
      </c>
      <c r="S2219">
        <v>-3.0097659999999999</v>
      </c>
      <c r="T2219">
        <v>-2.9097799999999998E-3</v>
      </c>
      <c r="U2219">
        <v>0.12738039999999901</v>
      </c>
      <c r="V2219">
        <v>-4.7216330000000001E-2</v>
      </c>
      <c r="W2219">
        <v>-3.3897480000000001E-2</v>
      </c>
      <c r="X2219">
        <v>0.99830940000000001</v>
      </c>
      <c r="Y2219">
        <v>3.4027599999999998E-2</v>
      </c>
      <c r="Z2219">
        <v>2.2636220000000001E-4</v>
      </c>
      <c r="AA2219">
        <v>0.99942089999999995</v>
      </c>
      <c r="AB2219">
        <v>41</v>
      </c>
      <c r="AC2219">
        <v>-259.94080000000002</v>
      </c>
      <c r="AD2219">
        <v>-0.251718199999999</v>
      </c>
      <c r="AE2219">
        <v>11.009600000000001</v>
      </c>
      <c r="AF2219">
        <v>8.86134263444184</v>
      </c>
      <c r="AG2219">
        <v>-0.251718199999999</v>
      </c>
      <c r="AH2219">
        <v>260.02265416610999</v>
      </c>
      <c r="AI2219">
        <v>90.055433701883402</v>
      </c>
      <c r="AJ2219">
        <v>88.048165763885805</v>
      </c>
      <c r="AK2219">
        <v>260.17372548919201</v>
      </c>
      <c r="AL2219">
        <v>91.942554596353503</v>
      </c>
      <c r="AM2219">
        <v>92.707859849711994</v>
      </c>
      <c r="AN2219">
        <v>1.0000000395486801</v>
      </c>
    </row>
    <row r="2220" spans="1:40" x14ac:dyDescent="0.25">
      <c r="A2220" t="str">
        <f>"20190303153818002"</f>
        <v>20190303153818002</v>
      </c>
      <c r="B2220" t="str">
        <f>"1551598697990522"</f>
        <v>1551598697990522</v>
      </c>
      <c r="C2220" t="s">
        <v>40</v>
      </c>
      <c r="D2220">
        <v>4.2232960000000004</v>
      </c>
      <c r="E2220">
        <v>0.53072790000000003</v>
      </c>
      <c r="F2220" t="s">
        <v>58</v>
      </c>
      <c r="G2220">
        <v>-512.37549999999999</v>
      </c>
      <c r="H2220">
        <v>0.65468470000000001</v>
      </c>
      <c r="I2220">
        <v>293.69319999999999</v>
      </c>
      <c r="J2220">
        <v>-251.39009999999999</v>
      </c>
      <c r="K2220">
        <v>1.1196299999999999</v>
      </c>
      <c r="L2220">
        <v>282.74369999999999</v>
      </c>
      <c r="M2220">
        <v>-0.999919</v>
      </c>
      <c r="N2220">
        <v>-9.1948020000000002E-3</v>
      </c>
      <c r="O2220">
        <v>8.8073979999999993E-3</v>
      </c>
      <c r="P2220">
        <v>-0.99838059999999995</v>
      </c>
      <c r="Q2220">
        <v>-4.2373710000000002E-2</v>
      </c>
      <c r="R2220">
        <v>-3.7961210000000002E-2</v>
      </c>
      <c r="S2220">
        <v>-3.009674</v>
      </c>
      <c r="T2220">
        <v>-5.3514239999999996E-3</v>
      </c>
      <c r="U2220">
        <v>0.1261292</v>
      </c>
      <c r="V2220">
        <v>-4.6814359999999999E-2</v>
      </c>
      <c r="W2220">
        <v>-3.3108980000000003E-2</v>
      </c>
      <c r="X2220">
        <v>0.99835469999999904</v>
      </c>
      <c r="Y2220">
        <v>3.306941E-2</v>
      </c>
      <c r="Z2220">
        <v>2.467918E-4</v>
      </c>
      <c r="AA2220">
        <v>0.99945300000000004</v>
      </c>
      <c r="AB2220">
        <v>41</v>
      </c>
      <c r="AC2220">
        <v>-260.98540000000003</v>
      </c>
      <c r="AD2220">
        <v>-0.46494529999999901</v>
      </c>
      <c r="AE2220">
        <v>10.9495</v>
      </c>
      <c r="AF2220">
        <v>8.6503485486233291</v>
      </c>
      <c r="AG2220">
        <v>-0.46494529999999901</v>
      </c>
      <c r="AH2220">
        <v>261.070890156654</v>
      </c>
      <c r="AI2220">
        <v>90.101982890587195</v>
      </c>
      <c r="AJ2220">
        <v>88.102250297028306</v>
      </c>
      <c r="AK2220">
        <v>261.21457538072502</v>
      </c>
      <c r="AL2220">
        <v>91.897351672103596</v>
      </c>
      <c r="AM2220">
        <v>92.684719072544993</v>
      </c>
      <c r="AN2220">
        <v>0.99999994793546798</v>
      </c>
    </row>
    <row r="2221" spans="1:40" x14ac:dyDescent="0.25">
      <c r="A2221" t="str">
        <f>"20190303153818024"</f>
        <v>20190303153818024</v>
      </c>
      <c r="B2221" t="str">
        <f>"1551598698020778"</f>
        <v>1551598698020778</v>
      </c>
      <c r="C2221" t="s">
        <v>40</v>
      </c>
      <c r="D2221">
        <v>4.4736070000000003</v>
      </c>
      <c r="E2221">
        <v>0.52302040000000005</v>
      </c>
      <c r="F2221" t="s">
        <v>58</v>
      </c>
      <c r="G2221">
        <v>-510.9538</v>
      </c>
      <c r="H2221">
        <v>0.56152679999999999</v>
      </c>
      <c r="I2221">
        <v>293.80110000000002</v>
      </c>
      <c r="J2221">
        <v>-251.79810000000001</v>
      </c>
      <c r="K2221">
        <v>1.119772</v>
      </c>
      <c r="L2221">
        <v>282.74779999999998</v>
      </c>
      <c r="M2221">
        <v>-0.99990809999999997</v>
      </c>
      <c r="N2221">
        <v>-9.8304680000000002E-3</v>
      </c>
      <c r="O2221">
        <v>9.3520489999999994E-3</v>
      </c>
      <c r="P2221">
        <v>-0.99847010000000003</v>
      </c>
      <c r="Q2221">
        <v>-4.1593720000000001E-2</v>
      </c>
      <c r="R2221">
        <v>-3.6439930000000002E-2</v>
      </c>
      <c r="S2221">
        <v>-3.0094759999999998</v>
      </c>
      <c r="T2221">
        <v>-6.4698459999999996E-3</v>
      </c>
      <c r="U2221">
        <v>0.12820429999999999</v>
      </c>
      <c r="V2221">
        <v>-4.5831959999999998E-2</v>
      </c>
      <c r="W2221">
        <v>-3.1700649999999997E-2</v>
      </c>
      <c r="X2221">
        <v>0.99844599999999994</v>
      </c>
      <c r="Y2221">
        <v>3.3215580000000001E-2</v>
      </c>
      <c r="Z2221">
        <v>2.7083560000000002E-4</v>
      </c>
      <c r="AA2221">
        <v>0.99944820000000001</v>
      </c>
      <c r="AB2221">
        <v>41</v>
      </c>
      <c r="AC2221">
        <v>-259.15570000000002</v>
      </c>
      <c r="AD2221">
        <v>-0.558245199999999</v>
      </c>
      <c r="AE2221">
        <v>11.0533</v>
      </c>
      <c r="AF2221">
        <v>8.6290230617689492</v>
      </c>
      <c r="AG2221">
        <v>-0.558245199999999</v>
      </c>
      <c r="AH2221">
        <v>259.24654090903999</v>
      </c>
      <c r="AI2221">
        <v>90.123308651004294</v>
      </c>
      <c r="AJ2221">
        <v>88.093613363919502</v>
      </c>
      <c r="AK2221">
        <v>259.390710415787</v>
      </c>
      <c r="AL2221">
        <v>91.816617879672805</v>
      </c>
      <c r="AM2221">
        <v>92.628220046931006</v>
      </c>
      <c r="AN2221">
        <v>0.99999995734193103</v>
      </c>
    </row>
    <row r="2222" spans="1:40" x14ac:dyDescent="0.25">
      <c r="A2222" t="str">
        <f>"20190303153818044"</f>
        <v>20190303153818044</v>
      </c>
      <c r="B2222" t="str">
        <f>"1551598698041274"</f>
        <v>1551598698041274</v>
      </c>
      <c r="C2222" t="s">
        <v>40</v>
      </c>
      <c r="D2222">
        <v>4.3620299999999999</v>
      </c>
      <c r="E2222">
        <v>0.52299019999999996</v>
      </c>
      <c r="F2222" t="s">
        <v>57</v>
      </c>
      <c r="G2222">
        <v>-284.08199999999999</v>
      </c>
      <c r="H2222" s="1">
        <v>6.8147719999999996E-6</v>
      </c>
      <c r="I2222">
        <v>283.5385</v>
      </c>
      <c r="J2222">
        <v>-252.1532</v>
      </c>
      <c r="K2222">
        <v>1.1198969999999999</v>
      </c>
      <c r="L2222">
        <v>282.75150000000002</v>
      </c>
      <c r="M2222">
        <v>-0.99989830000000002</v>
      </c>
      <c r="N2222">
        <v>-1.0363519999999999E-2</v>
      </c>
      <c r="O2222">
        <v>9.7895599999999992E-3</v>
      </c>
      <c r="P2222">
        <v>-0.99853389999999997</v>
      </c>
      <c r="Q2222">
        <v>-4.126287E-2</v>
      </c>
      <c r="R2222">
        <v>-3.5035030000000002E-2</v>
      </c>
      <c r="S2222">
        <v>-3.0029300000000001</v>
      </c>
      <c r="T2222">
        <v>-0.1041565</v>
      </c>
      <c r="U2222">
        <v>7.3547360000000006E-2</v>
      </c>
      <c r="V2222">
        <v>-4.4859040000000003E-2</v>
      </c>
      <c r="W2222">
        <v>-3.084342E-2</v>
      </c>
      <c r="X2222">
        <v>0.99851710000000005</v>
      </c>
      <c r="Y2222">
        <v>1.468763E-2</v>
      </c>
      <c r="Z2222" s="1">
        <v>9.2797470000000005E-5</v>
      </c>
      <c r="AA2222">
        <v>0.99989209999999995</v>
      </c>
      <c r="AB2222">
        <v>41</v>
      </c>
      <c r="AC2222">
        <v>-31.928799999999899</v>
      </c>
      <c r="AD2222">
        <v>-1.1198901852280001</v>
      </c>
      <c r="AE2222">
        <v>0.78699999999997705</v>
      </c>
      <c r="AF2222">
        <v>0.47379404915161499</v>
      </c>
      <c r="AG2222">
        <v>-1.1198901852280001</v>
      </c>
      <c r="AH2222">
        <v>31.895759402936299</v>
      </c>
      <c r="AI2222">
        <v>92.010661150041798</v>
      </c>
      <c r="AJ2222">
        <v>89.148965145008702</v>
      </c>
      <c r="AK2222">
        <v>31.918930162491002</v>
      </c>
      <c r="AL2222">
        <v>91.767478062518705</v>
      </c>
      <c r="AM2222">
        <v>92.572321070584593</v>
      </c>
      <c r="AN2222">
        <v>1.00000002450971</v>
      </c>
    </row>
    <row r="2223" spans="1:40" x14ac:dyDescent="0.25">
      <c r="A2223" t="str">
        <f>"20190303153818057"</f>
        <v>20190303153818057</v>
      </c>
      <c r="B2223" t="str">
        <f>"1551598698051035"</f>
        <v>1551598698051035</v>
      </c>
      <c r="C2223" t="s">
        <v>40</v>
      </c>
      <c r="D2223">
        <v>4.3861629999999998</v>
      </c>
      <c r="E2223">
        <v>0.52297199999999999</v>
      </c>
      <c r="F2223" t="s">
        <v>57</v>
      </c>
      <c r="G2223">
        <v>-282.8809</v>
      </c>
      <c r="H2223" s="1">
        <v>7.3455659999999999E-6</v>
      </c>
      <c r="I2223">
        <v>283.54750000000001</v>
      </c>
      <c r="J2223">
        <v>-252.3939</v>
      </c>
      <c r="K2223">
        <v>1.119964</v>
      </c>
      <c r="L2223">
        <v>282.75409999999999</v>
      </c>
      <c r="M2223">
        <v>-0.99989220000000001</v>
      </c>
      <c r="N2223">
        <v>-1.0705310000000001E-2</v>
      </c>
      <c r="O2223">
        <v>1.006599E-2</v>
      </c>
      <c r="P2223">
        <v>-0.99855139999999998</v>
      </c>
      <c r="Q2223">
        <v>-4.1628459999999999E-2</v>
      </c>
      <c r="R2223">
        <v>-3.4095540000000001E-2</v>
      </c>
      <c r="S2223">
        <v>-3.0026250000000001</v>
      </c>
      <c r="T2223">
        <v>-0.1094326</v>
      </c>
      <c r="U2223">
        <v>7.778931E-2</v>
      </c>
      <c r="V2223">
        <v>-4.4193839999999998E-2</v>
      </c>
      <c r="W2223">
        <v>-3.0871659999999999E-2</v>
      </c>
      <c r="X2223">
        <v>0.99854589999999999</v>
      </c>
      <c r="Y2223">
        <v>1.582366E-2</v>
      </c>
      <c r="Z2223">
        <v>1.1402170000000001E-4</v>
      </c>
      <c r="AA2223">
        <v>0.99987479999999995</v>
      </c>
      <c r="AB2223">
        <v>41</v>
      </c>
      <c r="AC2223">
        <v>-30.486999999999899</v>
      </c>
      <c r="AD2223">
        <v>-1.1199566544340001</v>
      </c>
      <c r="AE2223">
        <v>0.79340000000001898</v>
      </c>
      <c r="AF2223">
        <v>0.48580527690202202</v>
      </c>
      <c r="AG2223">
        <v>-1.1199566544340001</v>
      </c>
      <c r="AH2223">
        <v>30.452374381618899</v>
      </c>
      <c r="AI2223">
        <v>92.105968107788996</v>
      </c>
      <c r="AJ2223">
        <v>89.086040688555599</v>
      </c>
      <c r="AK2223">
        <v>30.476834073655901</v>
      </c>
      <c r="AL2223">
        <v>91.769096848240906</v>
      </c>
      <c r="AM2223">
        <v>92.534154070596202</v>
      </c>
      <c r="AN2223">
        <v>1.0000000346459501</v>
      </c>
    </row>
    <row r="2224" spans="1:40" x14ac:dyDescent="0.25">
      <c r="A2224" t="str">
        <f>"20190303153818070"</f>
        <v>20190303153818070</v>
      </c>
      <c r="B2224" t="str">
        <f>"1551598698060795"</f>
        <v>1551598698060795</v>
      </c>
      <c r="C2224" t="s">
        <v>40</v>
      </c>
      <c r="D2224">
        <v>4.3669149999999997</v>
      </c>
      <c r="E2224">
        <v>0.52290219999999998</v>
      </c>
      <c r="F2224" t="s">
        <v>57</v>
      </c>
      <c r="G2224">
        <v>-282.83</v>
      </c>
      <c r="H2224" s="1">
        <v>7.3634539999999999E-6</v>
      </c>
      <c r="I2224">
        <v>283.5702</v>
      </c>
      <c r="J2224">
        <v>-252.63339999999999</v>
      </c>
      <c r="K2224">
        <v>1.120026</v>
      </c>
      <c r="L2224">
        <v>282.75670000000002</v>
      </c>
      <c r="M2224">
        <v>-0.99988580000000005</v>
      </c>
      <c r="N2224">
        <v>-1.103289E-2</v>
      </c>
      <c r="O2224">
        <v>1.033062E-2</v>
      </c>
      <c r="P2224">
        <v>-0.99854739999999997</v>
      </c>
      <c r="Q2224">
        <v>-4.2460940000000003E-2</v>
      </c>
      <c r="R2224">
        <v>-3.3172260000000002E-2</v>
      </c>
      <c r="S2224">
        <v>-3.0025019999999998</v>
      </c>
      <c r="T2224">
        <v>-0.1104831</v>
      </c>
      <c r="U2224">
        <v>8.0505370000000007E-2</v>
      </c>
      <c r="V2224">
        <v>-4.353369E-2</v>
      </c>
      <c r="W2224">
        <v>-3.1380909999999998E-2</v>
      </c>
      <c r="X2224">
        <v>0.99855899999999997</v>
      </c>
      <c r="Y2224">
        <v>1.646311E-2</v>
      </c>
      <c r="Z2224">
        <v>1.2763370000000001E-4</v>
      </c>
      <c r="AA2224">
        <v>0.99986450000000004</v>
      </c>
      <c r="AB2224">
        <v>40</v>
      </c>
      <c r="AC2224">
        <v>-30.196599999999901</v>
      </c>
      <c r="AD2224">
        <v>-1.1200186365460001</v>
      </c>
      <c r="AE2224">
        <v>0.81349999999997602</v>
      </c>
      <c r="AF2224">
        <v>0.50079953898565299</v>
      </c>
      <c r="AG2224">
        <v>-1.1200186365460001</v>
      </c>
      <c r="AH2224">
        <v>30.1619282250225</v>
      </c>
      <c r="AI2224">
        <v>92.1263242003686</v>
      </c>
      <c r="AJ2224">
        <v>89.048765602726604</v>
      </c>
      <c r="AK2224">
        <v>30.1868705926247</v>
      </c>
      <c r="AL2224">
        <v>91.798288912162207</v>
      </c>
      <c r="AM2224">
        <v>92.496315427255098</v>
      </c>
      <c r="AN2224">
        <v>1.0000000100792199</v>
      </c>
    </row>
    <row r="2225" spans="1:40" x14ac:dyDescent="0.25">
      <c r="A2225" t="str">
        <f>"20190303153818082"</f>
        <v>20190303153818082</v>
      </c>
      <c r="B2225" t="str">
        <f>"1551598698070555"</f>
        <v>1551598698070555</v>
      </c>
      <c r="C2225" t="s">
        <v>40</v>
      </c>
      <c r="D2225">
        <v>4.3776380000000001</v>
      </c>
      <c r="E2225">
        <v>0.52293149999999999</v>
      </c>
      <c r="F2225" t="s">
        <v>57</v>
      </c>
      <c r="G2225">
        <v>-282.53919999999999</v>
      </c>
      <c r="H2225" s="1">
        <v>7.490381E-6</v>
      </c>
      <c r="I2225">
        <v>283.57990000000001</v>
      </c>
      <c r="J2225">
        <v>-252.8535</v>
      </c>
      <c r="K2225">
        <v>1.120077</v>
      </c>
      <c r="L2225">
        <v>282.75920000000002</v>
      </c>
      <c r="M2225">
        <v>-0.99988030000000006</v>
      </c>
      <c r="N2225">
        <v>-1.1311099999999999E-2</v>
      </c>
      <c r="O2225">
        <v>1.05571E-2</v>
      </c>
      <c r="P2225">
        <v>-0.99853860000000005</v>
      </c>
      <c r="Q2225">
        <v>-4.3296109999999999E-2</v>
      </c>
      <c r="R2225">
        <v>-3.2347569999999999E-2</v>
      </c>
      <c r="S2225">
        <v>-3.002319</v>
      </c>
      <c r="T2225">
        <v>-0.11244170000000001</v>
      </c>
      <c r="U2225">
        <v>8.2641599999999996E-2</v>
      </c>
      <c r="V2225">
        <v>-4.293392E-2</v>
      </c>
      <c r="W2225">
        <v>-3.1941499999999998E-2</v>
      </c>
      <c r="X2225">
        <v>0.99856719999999999</v>
      </c>
      <c r="Y2225">
        <v>1.6948330000000001E-2</v>
      </c>
      <c r="Z2225">
        <v>1.3734040000000001E-4</v>
      </c>
      <c r="AA2225">
        <v>0.99985639999999998</v>
      </c>
      <c r="AB2225">
        <v>40</v>
      </c>
      <c r="AC2225">
        <v>-29.685700000000001</v>
      </c>
      <c r="AD2225">
        <v>-1.1200695096189901</v>
      </c>
      <c r="AE2225">
        <v>0.820699999999987</v>
      </c>
      <c r="AF2225">
        <v>0.50651876453238798</v>
      </c>
      <c r="AG2225">
        <v>-1.1200695096189901</v>
      </c>
      <c r="AH2225">
        <v>29.6505312621372</v>
      </c>
      <c r="AI2225">
        <v>92.163044110113503</v>
      </c>
      <c r="AJ2225">
        <v>89.021313830416204</v>
      </c>
      <c r="AK2225">
        <v>29.676002444604599</v>
      </c>
      <c r="AL2225">
        <v>91.830424451675697</v>
      </c>
      <c r="AM2225">
        <v>92.461945746183105</v>
      </c>
      <c r="AN2225">
        <v>1.00000001691232</v>
      </c>
    </row>
    <row r="2226" spans="1:40" x14ac:dyDescent="0.25">
      <c r="A2226" t="str">
        <f>"20190303153818101"</f>
        <v>20190303153818101</v>
      </c>
      <c r="B2226" t="str">
        <f>"1551598698091051"</f>
        <v>1551598698091051</v>
      </c>
      <c r="C2226" t="s">
        <v>40</v>
      </c>
      <c r="D2226">
        <v>4.3045869999999997</v>
      </c>
      <c r="E2226">
        <v>0.52903469999999997</v>
      </c>
      <c r="F2226" t="s">
        <v>57</v>
      </c>
      <c r="G2226">
        <v>-282.03129999999999</v>
      </c>
      <c r="H2226" s="1">
        <v>7.7136289999999995E-6</v>
      </c>
      <c r="I2226">
        <v>283.58940000000001</v>
      </c>
      <c r="J2226">
        <v>-253.19489999999999</v>
      </c>
      <c r="K2226">
        <v>1.1201369999999999</v>
      </c>
      <c r="L2226">
        <v>282.76310000000001</v>
      </c>
      <c r="M2226">
        <v>-0.99987199999999998</v>
      </c>
      <c r="N2226">
        <v>-1.1717119999999999E-2</v>
      </c>
      <c r="O2226">
        <v>1.089349E-2</v>
      </c>
      <c r="P2226">
        <v>-0.99850510000000003</v>
      </c>
      <c r="Q2226">
        <v>-4.4592300000000001E-2</v>
      </c>
      <c r="R2226">
        <v>-3.1609930000000001E-2</v>
      </c>
      <c r="S2226">
        <v>-3.002151</v>
      </c>
      <c r="T2226">
        <v>-0.11524570000000001</v>
      </c>
      <c r="U2226">
        <v>8.54187E-2</v>
      </c>
      <c r="V2226">
        <v>-4.2530800000000001E-2</v>
      </c>
      <c r="W2226">
        <v>-3.2836299999999999E-2</v>
      </c>
      <c r="X2226">
        <v>0.99855539999999998</v>
      </c>
      <c r="Y2226">
        <v>1.7536489999999998E-2</v>
      </c>
      <c r="Z2226">
        <v>1.488909E-4</v>
      </c>
      <c r="AA2226">
        <v>0.99984620000000002</v>
      </c>
      <c r="AB2226">
        <v>40</v>
      </c>
      <c r="AC2226">
        <v>-28.836400000000001</v>
      </c>
      <c r="AD2226">
        <v>-1.120129286371</v>
      </c>
      <c r="AE2226">
        <v>0.82630000000000303</v>
      </c>
      <c r="AF2226">
        <v>0.51132945846954803</v>
      </c>
      <c r="AG2226">
        <v>-1.120129286371</v>
      </c>
      <c r="AH2226">
        <v>28.8002701910032</v>
      </c>
      <c r="AI2226">
        <v>92.2269323100614</v>
      </c>
      <c r="AJ2226">
        <v>88.982858771790703</v>
      </c>
      <c r="AK2226">
        <v>28.826579930822</v>
      </c>
      <c r="AL2226">
        <v>91.881719680612306</v>
      </c>
      <c r="AM2226">
        <v>92.438886597141504</v>
      </c>
      <c r="AN2226">
        <v>0.99999998920774402</v>
      </c>
    </row>
    <row r="2227" spans="1:40" x14ac:dyDescent="0.25">
      <c r="A2227" t="str">
        <f>"20190303153818116"</f>
        <v>20190303153818116</v>
      </c>
      <c r="B2227" t="str">
        <f>"1551598698110571"</f>
        <v>1551598698110571</v>
      </c>
      <c r="C2227" t="s">
        <v>40</v>
      </c>
      <c r="D2227">
        <v>4.3274790000000003</v>
      </c>
      <c r="E2227">
        <v>0.52806759999999997</v>
      </c>
      <c r="F2227" t="s">
        <v>55</v>
      </c>
      <c r="G2227">
        <v>-326.26830000000001</v>
      </c>
      <c r="H2227" s="1">
        <v>1.7369999999999901E-6</v>
      </c>
      <c r="I2227">
        <v>286.03250000000003</v>
      </c>
      <c r="J2227">
        <v>-253.4469</v>
      </c>
      <c r="K2227">
        <v>1.12018</v>
      </c>
      <c r="L2227">
        <v>282.76609999999999</v>
      </c>
      <c r="M2227">
        <v>-0.99986620000000004</v>
      </c>
      <c r="N2227">
        <v>-1.1994110000000001E-2</v>
      </c>
      <c r="O2227">
        <v>1.113101E-2</v>
      </c>
      <c r="P2227">
        <v>-0.99848760000000003</v>
      </c>
      <c r="Q2227">
        <v>-4.5228589999999999E-2</v>
      </c>
      <c r="R2227">
        <v>-3.1259839999999997E-2</v>
      </c>
      <c r="S2227">
        <v>-3.0066830000000002</v>
      </c>
      <c r="T2227">
        <v>-4.6089169999999999E-2</v>
      </c>
      <c r="U2227">
        <v>0.13452149999999999</v>
      </c>
      <c r="V2227">
        <v>-4.2416969999999998E-2</v>
      </c>
      <c r="W2227">
        <v>-3.319838E-2</v>
      </c>
      <c r="X2227">
        <v>0.99854830000000006</v>
      </c>
      <c r="Y2227">
        <v>3.3565709999999999E-2</v>
      </c>
      <c r="Z2227">
        <v>4.2147899999999999E-4</v>
      </c>
      <c r="AA2227">
        <v>0.9994364</v>
      </c>
      <c r="AB2227">
        <v>40</v>
      </c>
      <c r="AC2227">
        <v>-72.821399999999997</v>
      </c>
      <c r="AD2227">
        <v>-1.1201782629999999</v>
      </c>
      <c r="AE2227">
        <v>3.2664000000000302</v>
      </c>
      <c r="AF2227">
        <v>2.45498390315139</v>
      </c>
      <c r="AG2227">
        <v>-1.1201782629999999</v>
      </c>
      <c r="AH2227">
        <v>72.836048842223605</v>
      </c>
      <c r="AI2227">
        <v>90.8806080318829</v>
      </c>
      <c r="AJ2227">
        <v>88.069541272658199</v>
      </c>
      <c r="AK2227">
        <v>72.886018935406298</v>
      </c>
      <c r="AL2227">
        <v>91.902476596081399</v>
      </c>
      <c r="AM2227">
        <v>92.432384253074304</v>
      </c>
      <c r="AN2227">
        <v>1.0000000196057399</v>
      </c>
    </row>
    <row r="2228" spans="1:40" x14ac:dyDescent="0.25">
      <c r="A2228" t="str">
        <f>"20190303153818133"</f>
        <v>20190303153818133</v>
      </c>
      <c r="B2228" t="str">
        <f>"1551598698121307"</f>
        <v>1551598698121307</v>
      </c>
      <c r="C2228" t="s">
        <v>40</v>
      </c>
      <c r="D2228">
        <v>4.3120940000000001</v>
      </c>
      <c r="E2228">
        <v>0.52796730000000003</v>
      </c>
      <c r="F2228" t="s">
        <v>57</v>
      </c>
      <c r="G2228">
        <v>-317.09480000000002</v>
      </c>
      <c r="H2228" s="1">
        <v>5.2881960000000004E-6</v>
      </c>
      <c r="I2228">
        <v>285.47469999999998</v>
      </c>
      <c r="J2228">
        <v>-253.7647</v>
      </c>
      <c r="K2228">
        <v>1.120228</v>
      </c>
      <c r="L2228">
        <v>282.76990000000001</v>
      </c>
      <c r="M2228">
        <v>-0.99985900000000005</v>
      </c>
      <c r="N2228">
        <v>-1.2316560000000001E-2</v>
      </c>
      <c r="O2228">
        <v>1.1422130000000001E-2</v>
      </c>
      <c r="P2228">
        <v>-0.9984809</v>
      </c>
      <c r="Q2228">
        <v>-4.542769E-2</v>
      </c>
      <c r="R2228">
        <v>-3.1185629999999999E-2</v>
      </c>
      <c r="S2228">
        <v>-3.0061339999999999</v>
      </c>
      <c r="T2228">
        <v>-5.2906630000000003E-2</v>
      </c>
      <c r="U2228">
        <v>0.12792970000000001</v>
      </c>
      <c r="V2228">
        <v>-4.2630920000000003E-2</v>
      </c>
      <c r="W2228">
        <v>-3.307765E-2</v>
      </c>
      <c r="X2228">
        <v>0.99854319999999996</v>
      </c>
      <c r="Y2228">
        <v>3.1094279999999998E-2</v>
      </c>
      <c r="Z2228">
        <v>4.0481229999999999E-4</v>
      </c>
      <c r="AA2228">
        <v>0.99951639999999997</v>
      </c>
      <c r="AB2228">
        <v>40</v>
      </c>
      <c r="AC2228">
        <v>-63.330100000000002</v>
      </c>
      <c r="AD2228">
        <v>-1.120222711804</v>
      </c>
      <c r="AE2228">
        <v>2.7047999999999699</v>
      </c>
      <c r="AF2228">
        <v>1.98058551253196</v>
      </c>
      <c r="AG2228">
        <v>-1.120222711804</v>
      </c>
      <c r="AH2228">
        <v>63.337083667645601</v>
      </c>
      <c r="AI2228">
        <v>91.012771509068799</v>
      </c>
      <c r="AJ2228">
        <v>88.208913048922</v>
      </c>
      <c r="AK2228">
        <v>63.377943998041097</v>
      </c>
      <c r="AL2228">
        <v>91.895555466729704</v>
      </c>
      <c r="AM2228">
        <v>92.444650753922204</v>
      </c>
      <c r="AN2228">
        <v>1.0000000242678999</v>
      </c>
    </row>
    <row r="2229" spans="1:40" x14ac:dyDescent="0.25">
      <c r="A2229" t="str">
        <f>"20190303153818146"</f>
        <v>20190303153818146</v>
      </c>
      <c r="B2229" t="str">
        <f>"1551598698140827"</f>
        <v>1551598698140827</v>
      </c>
      <c r="C2229" t="s">
        <v>40</v>
      </c>
      <c r="D2229">
        <v>4.3178530000000004</v>
      </c>
      <c r="E2229">
        <v>0.527752</v>
      </c>
      <c r="F2229" t="s">
        <v>57</v>
      </c>
      <c r="G2229">
        <v>-315.75689999999997</v>
      </c>
      <c r="H2229" s="1">
        <v>4.7019919999999998E-6</v>
      </c>
      <c r="I2229">
        <v>285.39359999999999</v>
      </c>
      <c r="J2229">
        <v>-254.0137</v>
      </c>
      <c r="K2229">
        <v>1.1202529999999999</v>
      </c>
      <c r="L2229">
        <v>282.77289999999999</v>
      </c>
      <c r="M2229">
        <v>-0.99985349999999995</v>
      </c>
      <c r="N2229">
        <v>-1.2548709999999999E-2</v>
      </c>
      <c r="O2229">
        <v>1.1645849999999999E-2</v>
      </c>
      <c r="P2229">
        <v>-0.99848939999999997</v>
      </c>
      <c r="Q2229">
        <v>-4.5197510000000003E-2</v>
      </c>
      <c r="R2229">
        <v>-3.1249599999999999E-2</v>
      </c>
      <c r="S2229">
        <v>-3.0060730000000002</v>
      </c>
      <c r="T2229">
        <v>-5.4320930000000003E-2</v>
      </c>
      <c r="U2229">
        <v>0.1272278</v>
      </c>
      <c r="V2229">
        <v>-4.2916309999999999E-2</v>
      </c>
      <c r="W2229">
        <v>-3.2616909999999999E-2</v>
      </c>
      <c r="X2229">
        <v>0.99854609999999999</v>
      </c>
      <c r="Y2229">
        <v>3.0638229999999999E-2</v>
      </c>
      <c r="Z2229">
        <v>4.0480280000000001E-4</v>
      </c>
      <c r="AA2229">
        <v>0.99953040000000004</v>
      </c>
      <c r="AB2229">
        <v>40</v>
      </c>
      <c r="AC2229">
        <v>-61.743199999999902</v>
      </c>
      <c r="AD2229">
        <v>-1.120248298008</v>
      </c>
      <c r="AE2229">
        <v>2.6206999999999998</v>
      </c>
      <c r="AF2229">
        <v>1.9007890231439899</v>
      </c>
      <c r="AG2229">
        <v>-1.120248298008</v>
      </c>
      <c r="AH2229">
        <v>61.749244043292798</v>
      </c>
      <c r="AI2229">
        <v>91.038848038466895</v>
      </c>
      <c r="AJ2229">
        <v>88.236855989490607</v>
      </c>
      <c r="AK2229">
        <v>61.788648594040502</v>
      </c>
      <c r="AL2229">
        <v>91.869142815101</v>
      </c>
      <c r="AM2229">
        <v>92.460989120891796</v>
      </c>
      <c r="AN2229">
        <v>0.99999999315358701</v>
      </c>
    </row>
    <row r="2230" spans="1:40" x14ac:dyDescent="0.25">
      <c r="A2230" t="str">
        <f>"20190303153818160"</f>
        <v>20190303153818160</v>
      </c>
      <c r="B2230" t="str">
        <f>"1551598698150587"</f>
        <v>1551598698150587</v>
      </c>
      <c r="C2230" t="s">
        <v>40</v>
      </c>
      <c r="D2230">
        <v>4.318365</v>
      </c>
      <c r="E2230">
        <v>0.52756709999999996</v>
      </c>
      <c r="F2230" t="s">
        <v>57</v>
      </c>
      <c r="G2230">
        <v>-318.26369999999997</v>
      </c>
      <c r="H2230" s="1">
        <v>5.8085149999999997E-6</v>
      </c>
      <c r="I2230">
        <v>285.45249999999999</v>
      </c>
      <c r="J2230">
        <v>-254.2569</v>
      </c>
      <c r="K2230">
        <v>1.1202799999999999</v>
      </c>
      <c r="L2230">
        <v>282.77600000000001</v>
      </c>
      <c r="M2230">
        <v>-0.99984839999999997</v>
      </c>
      <c r="N2230">
        <v>-1.27552E-2</v>
      </c>
      <c r="O2230">
        <v>1.186219E-2</v>
      </c>
      <c r="P2230">
        <v>-0.99850360000000005</v>
      </c>
      <c r="Q2230">
        <v>-4.4887429999999999E-2</v>
      </c>
      <c r="R2230">
        <v>-3.123749E-2</v>
      </c>
      <c r="S2230">
        <v>-3.0060730000000002</v>
      </c>
      <c r="T2230">
        <v>-5.2413109999999999E-2</v>
      </c>
      <c r="U2230">
        <v>0.12536620000000001</v>
      </c>
      <c r="V2230">
        <v>-4.311939E-2</v>
      </c>
      <c r="W2230">
        <v>-3.2101739999999997E-2</v>
      </c>
      <c r="X2230">
        <v>0.9985541</v>
      </c>
      <c r="Y2230">
        <v>2.9804600000000001E-2</v>
      </c>
      <c r="Z2230">
        <v>3.9444700000000003E-4</v>
      </c>
      <c r="AA2230">
        <v>0.99955559999999999</v>
      </c>
      <c r="AB2230">
        <v>40</v>
      </c>
      <c r="AC2230">
        <v>-64.006799999999899</v>
      </c>
      <c r="AD2230">
        <v>-1.1202741914849901</v>
      </c>
      <c r="AE2230">
        <v>2.6764999999999701</v>
      </c>
      <c r="AF2230">
        <v>1.9164031119318801</v>
      </c>
      <c r="AG2230">
        <v>-1.1202741914849901</v>
      </c>
      <c r="AH2230">
        <v>64.014471957173598</v>
      </c>
      <c r="AI2230">
        <v>91.002143652040203</v>
      </c>
      <c r="AJ2230">
        <v>88.285246725791595</v>
      </c>
      <c r="AK2230">
        <v>64.052948683938794</v>
      </c>
      <c r="AL2230">
        <v>91.839610182437099</v>
      </c>
      <c r="AM2230">
        <v>92.472600318139797</v>
      </c>
      <c r="AN2230">
        <v>1.0000000470659001</v>
      </c>
    </row>
    <row r="2231" spans="1:40" x14ac:dyDescent="0.25">
      <c r="A2231" t="str">
        <f>"20190303153818174"</f>
        <v>20190303153818174</v>
      </c>
      <c r="B2231" t="str">
        <f>"1551598698170524"</f>
        <v>1551598698170524</v>
      </c>
      <c r="C2231" t="s">
        <v>40</v>
      </c>
      <c r="D2231">
        <v>4.3301540000000003</v>
      </c>
      <c r="E2231">
        <v>0.52738030000000002</v>
      </c>
      <c r="F2231" t="s">
        <v>57</v>
      </c>
      <c r="G2231">
        <v>-319.0324</v>
      </c>
      <c r="H2231" s="1">
        <v>6.1499570000000003E-6</v>
      </c>
      <c r="I2231">
        <v>285.44589999999999</v>
      </c>
      <c r="J2231">
        <v>-254.49369999999999</v>
      </c>
      <c r="K2231">
        <v>1.120306</v>
      </c>
      <c r="L2231">
        <v>282.779</v>
      </c>
      <c r="M2231">
        <v>-0.99984340000000005</v>
      </c>
      <c r="N2231">
        <v>-1.294492E-2</v>
      </c>
      <c r="O2231">
        <v>1.2072370000000001E-2</v>
      </c>
      <c r="P2231">
        <v>-0.9984923</v>
      </c>
      <c r="Q2231">
        <v>-4.4976660000000002E-2</v>
      </c>
      <c r="R2231">
        <v>-3.1474580000000002E-2</v>
      </c>
      <c r="S2231">
        <v>-3.0060120000000001</v>
      </c>
      <c r="T2231">
        <v>-5.1988119999999999E-2</v>
      </c>
      <c r="U2231">
        <v>0.12390139999999999</v>
      </c>
      <c r="V2231">
        <v>-4.3564730000000003E-2</v>
      </c>
      <c r="W2231">
        <v>-3.2002530000000001E-2</v>
      </c>
      <c r="X2231">
        <v>0.99853789999999998</v>
      </c>
      <c r="Y2231">
        <v>2.9109260000000001E-2</v>
      </c>
      <c r="Z2231">
        <v>3.8767210000000002E-4</v>
      </c>
      <c r="AA2231">
        <v>0.99957620000000003</v>
      </c>
      <c r="AB2231">
        <v>40</v>
      </c>
      <c r="AC2231">
        <v>-64.538700000000006</v>
      </c>
      <c r="AD2231">
        <v>-1.1202998500429999</v>
      </c>
      <c r="AE2231">
        <v>2.6668999999999898</v>
      </c>
      <c r="AF2231">
        <v>1.88693771694739</v>
      </c>
      <c r="AG2231">
        <v>-1.1202998500429999</v>
      </c>
      <c r="AH2231">
        <v>64.546778447815598</v>
      </c>
      <c r="AI2231">
        <v>90.993924225561102</v>
      </c>
      <c r="AJ2231">
        <v>88.325512324620604</v>
      </c>
      <c r="AK2231">
        <v>64.584070897497895</v>
      </c>
      <c r="AL2231">
        <v>91.833923046076706</v>
      </c>
      <c r="AM2231">
        <v>92.498145793678006</v>
      </c>
      <c r="AN2231">
        <v>0.99999999268139095</v>
      </c>
    </row>
    <row r="2232" spans="1:40" x14ac:dyDescent="0.25">
      <c r="A2232" t="str">
        <f>"20190303153818191"</f>
        <v>20190303153818191</v>
      </c>
      <c r="B2232" t="str">
        <f>"1551598698181260"</f>
        <v>1551598698181260</v>
      </c>
      <c r="C2232" t="s">
        <v>40</v>
      </c>
      <c r="D2232">
        <v>4.3454569999999997</v>
      </c>
      <c r="E2232">
        <v>0.52720290000000003</v>
      </c>
      <c r="F2232" t="s">
        <v>57</v>
      </c>
      <c r="G2232">
        <v>-318.60759999999999</v>
      </c>
      <c r="H2232" s="1">
        <v>5.9676439999999998E-6</v>
      </c>
      <c r="I2232">
        <v>285.37670000000003</v>
      </c>
      <c r="J2232">
        <v>-254.8023</v>
      </c>
      <c r="K2232">
        <v>1.1203399999999999</v>
      </c>
      <c r="L2232">
        <v>282.78300000000002</v>
      </c>
      <c r="M2232">
        <v>-0.99983710000000003</v>
      </c>
      <c r="N2232">
        <v>-1.3170960000000001E-2</v>
      </c>
      <c r="O2232">
        <v>1.2345210000000001E-2</v>
      </c>
      <c r="P2232">
        <v>-0.99849560000000004</v>
      </c>
      <c r="Q2232">
        <v>-4.4277869999999997E-2</v>
      </c>
      <c r="R2232">
        <v>-3.2342839999999998E-2</v>
      </c>
      <c r="S2232">
        <v>-3.0060120000000001</v>
      </c>
      <c r="T2232">
        <v>-5.2525759999999998E-2</v>
      </c>
      <c r="U2232">
        <v>0.12179570000000001</v>
      </c>
      <c r="V2232">
        <v>-4.47035E-2</v>
      </c>
      <c r="W2232">
        <v>-3.1078519999999998E-2</v>
      </c>
      <c r="X2232">
        <v>0.99851670000000003</v>
      </c>
      <c r="Y2232">
        <v>2.8137490000000001E-2</v>
      </c>
      <c r="Z2232">
        <v>3.780759E-4</v>
      </c>
      <c r="AA2232">
        <v>0.99960400000000005</v>
      </c>
      <c r="AB2232">
        <v>40</v>
      </c>
      <c r="AC2232">
        <v>-63.805299999999903</v>
      </c>
      <c r="AD2232">
        <v>-1.1203340323559901</v>
      </c>
      <c r="AE2232">
        <v>2.5937000000000099</v>
      </c>
      <c r="AF2232">
        <v>1.8051885639370899</v>
      </c>
      <c r="AG2232">
        <v>-1.1203340323559901</v>
      </c>
      <c r="AH2232">
        <v>63.812818021601501</v>
      </c>
      <c r="AI2232">
        <v>91.005411743511402</v>
      </c>
      <c r="AJ2232">
        <v>88.379602840211206</v>
      </c>
      <c r="AK2232">
        <v>63.8481761521302</v>
      </c>
      <c r="AL2232">
        <v>91.780954913575997</v>
      </c>
      <c r="AM2232">
        <v>92.563414990728205</v>
      </c>
      <c r="AN2232">
        <v>0.99999993874826298</v>
      </c>
    </row>
    <row r="2233" spans="1:40" x14ac:dyDescent="0.25">
      <c r="A2233" t="str">
        <f>"20190303153818214"</f>
        <v>20190303153818214</v>
      </c>
      <c r="B2233" t="str">
        <f>"1551598698210540"</f>
        <v>1551598698210540</v>
      </c>
      <c r="C2233" t="s">
        <v>40</v>
      </c>
      <c r="D2233">
        <v>4.345135</v>
      </c>
      <c r="E2233">
        <v>0.52683369999999996</v>
      </c>
      <c r="F2233" t="s">
        <v>55</v>
      </c>
      <c r="G2233">
        <v>-321.40069999999997</v>
      </c>
      <c r="H2233" s="1">
        <v>-8.2507869999999997E-7</v>
      </c>
      <c r="I2233">
        <v>285.38659999999999</v>
      </c>
      <c r="J2233">
        <v>-255.2106</v>
      </c>
      <c r="K2233">
        <v>1.1203689999999999</v>
      </c>
      <c r="L2233">
        <v>282.78829999999999</v>
      </c>
      <c r="M2233">
        <v>-0.99982910000000003</v>
      </c>
      <c r="N2233">
        <v>-1.3432889999999999E-2</v>
      </c>
      <c r="O2233">
        <v>1.2704170000000001E-2</v>
      </c>
      <c r="P2233">
        <v>-0.99848590000000004</v>
      </c>
      <c r="Q2233">
        <v>-4.3935120000000001E-2</v>
      </c>
      <c r="R2233">
        <v>-3.3102270000000003E-2</v>
      </c>
      <c r="S2233">
        <v>-3.0060880000000001</v>
      </c>
      <c r="T2233">
        <v>-5.0569419999999997E-2</v>
      </c>
      <c r="U2233">
        <v>0.11752319999999999</v>
      </c>
      <c r="V2233">
        <v>-4.5818949999999997E-2</v>
      </c>
      <c r="W2233">
        <v>-3.0475329999999998E-2</v>
      </c>
      <c r="X2233">
        <v>0.99848479999999995</v>
      </c>
      <c r="Y2233">
        <v>2.6359819999999999E-2</v>
      </c>
      <c r="Z2233">
        <v>3.5576720000000001E-4</v>
      </c>
      <c r="AA2233">
        <v>0.9996524</v>
      </c>
      <c r="AB2233">
        <v>40</v>
      </c>
      <c r="AC2233">
        <v>-66.190099999999902</v>
      </c>
      <c r="AD2233">
        <v>-1.1203698250787</v>
      </c>
      <c r="AE2233">
        <v>2.5982999999999898</v>
      </c>
      <c r="AF2233">
        <v>1.7566216336939899</v>
      </c>
      <c r="AG2233">
        <v>-1.1203698250787</v>
      </c>
      <c r="AH2233">
        <v>66.198832324100806</v>
      </c>
      <c r="AI2233">
        <v>90.969258076898697</v>
      </c>
      <c r="AJ2233">
        <v>88.479982361688997</v>
      </c>
      <c r="AK2233">
        <v>66.231611404097094</v>
      </c>
      <c r="AL2233">
        <v>91.746378167483002</v>
      </c>
      <c r="AM2233">
        <v>92.627373080368599</v>
      </c>
      <c r="AN2233">
        <v>1.0000000088743699</v>
      </c>
    </row>
    <row r="2234" spans="1:40" x14ac:dyDescent="0.25">
      <c r="A2234" t="str">
        <f>"20190303153818234"</f>
        <v>20190303153818234</v>
      </c>
      <c r="B2234" t="str">
        <f>"1551598698231036"</f>
        <v>1551598698231036</v>
      </c>
      <c r="C2234" t="s">
        <v>40</v>
      </c>
      <c r="D2234">
        <v>4.3360370000000001</v>
      </c>
      <c r="E2234">
        <v>0.52646949999999904</v>
      </c>
      <c r="F2234" t="s">
        <v>55</v>
      </c>
      <c r="G2234">
        <v>-323.08499999999998</v>
      </c>
      <c r="H2234" s="1">
        <v>7.3794000000000006E-8</v>
      </c>
      <c r="I2234">
        <v>285.32749999999999</v>
      </c>
      <c r="J2234">
        <v>-255.58959999999999</v>
      </c>
      <c r="K2234">
        <v>1.1203970000000001</v>
      </c>
      <c r="L2234">
        <v>282.79349999999999</v>
      </c>
      <c r="M2234">
        <v>-0.99982210000000005</v>
      </c>
      <c r="N2234">
        <v>-1.3645869999999999E-2</v>
      </c>
      <c r="O2234">
        <v>1.3033029999999999E-2</v>
      </c>
      <c r="P2234">
        <v>-0.99846550000000001</v>
      </c>
      <c r="Q2234">
        <v>-4.359002E-2</v>
      </c>
      <c r="R2234">
        <v>-3.4157029999999998E-2</v>
      </c>
      <c r="S2234">
        <v>-3.0060880000000001</v>
      </c>
      <c r="T2234">
        <v>-4.9620030000000002E-2</v>
      </c>
      <c r="U2234">
        <v>0.1124573</v>
      </c>
      <c r="V2234">
        <v>-4.7199949999999997E-2</v>
      </c>
      <c r="W2234">
        <v>-2.9918449999999999E-2</v>
      </c>
      <c r="X2234">
        <v>0.99843729999999997</v>
      </c>
      <c r="Y2234">
        <v>2.434938E-2</v>
      </c>
      <c r="Z2234">
        <v>3.2988169999999999E-4</v>
      </c>
      <c r="AA2234">
        <v>0.99970349999999997</v>
      </c>
      <c r="AB2234">
        <v>40</v>
      </c>
      <c r="AC2234">
        <v>-67.495399999999904</v>
      </c>
      <c r="AD2234">
        <v>-1.1203969262059901</v>
      </c>
      <c r="AE2234">
        <v>2.53399999999999</v>
      </c>
      <c r="AF2234">
        <v>1.6535783878865999</v>
      </c>
      <c r="AG2234">
        <v>-1.1203969262059901</v>
      </c>
      <c r="AH2234">
        <v>67.504120710983898</v>
      </c>
      <c r="AI2234">
        <v>90.950591978744399</v>
      </c>
      <c r="AJ2234">
        <v>88.596765378437198</v>
      </c>
      <c r="AK2234">
        <v>67.533665113928393</v>
      </c>
      <c r="AL2234">
        <v>91.714456759494595</v>
      </c>
      <c r="AM2234">
        <v>92.706575611511099</v>
      </c>
      <c r="AN2234">
        <v>0.99999999548084695</v>
      </c>
    </row>
    <row r="2235" spans="1:40" x14ac:dyDescent="0.25">
      <c r="A2235" t="str">
        <f>"20190303153818256"</f>
        <v>20190303153818256</v>
      </c>
      <c r="B2235" t="str">
        <f>"1551598698251533"</f>
        <v>1551598698251533</v>
      </c>
      <c r="C2235" t="s">
        <v>40</v>
      </c>
      <c r="D2235">
        <v>4.348287</v>
      </c>
      <c r="E2235">
        <v>0.52623989999999998</v>
      </c>
      <c r="F2235" t="s">
        <v>55</v>
      </c>
      <c r="G2235">
        <v>-324.59129999999999</v>
      </c>
      <c r="H2235" s="1">
        <v>8.7927380000000003E-7</v>
      </c>
      <c r="I2235">
        <v>285.23820000000001</v>
      </c>
      <c r="J2235">
        <v>-255.9778</v>
      </c>
      <c r="K2235">
        <v>1.1204240000000001</v>
      </c>
      <c r="L2235">
        <v>282.7989</v>
      </c>
      <c r="M2235">
        <v>-0.99981520000000002</v>
      </c>
      <c r="N2235">
        <v>-1.383626E-2</v>
      </c>
      <c r="O2235">
        <v>1.336014E-2</v>
      </c>
      <c r="P2235">
        <v>-0.99845720000000004</v>
      </c>
      <c r="Q2235">
        <v>-4.3112240000000003E-2</v>
      </c>
      <c r="R2235">
        <v>-3.5001520000000001E-2</v>
      </c>
      <c r="S2235">
        <v>-3.0061490000000002</v>
      </c>
      <c r="T2235">
        <v>-4.8811550000000002E-2</v>
      </c>
      <c r="U2235">
        <v>0.1065063</v>
      </c>
      <c r="V2235">
        <v>-4.8368729999999999E-2</v>
      </c>
      <c r="W2235">
        <v>-2.9251739999999998E-2</v>
      </c>
      <c r="X2235">
        <v>0.99840110000000004</v>
      </c>
      <c r="Y2235">
        <v>2.2045740000000001E-2</v>
      </c>
      <c r="Z2235">
        <v>2.9948870000000001E-4</v>
      </c>
      <c r="AA2235">
        <v>0.99975689999999995</v>
      </c>
      <c r="AB2235">
        <v>40</v>
      </c>
      <c r="AC2235">
        <v>-68.613499999999902</v>
      </c>
      <c r="AD2235">
        <v>-1.1204231207261901</v>
      </c>
      <c r="AE2235">
        <v>2.4392999999999998</v>
      </c>
      <c r="AF2235">
        <v>1.5219033876475001</v>
      </c>
      <c r="AG2235">
        <v>-1.1204231207261901</v>
      </c>
      <c r="AH2235">
        <v>68.621692513953207</v>
      </c>
      <c r="AI2235">
        <v>90.935185830037398</v>
      </c>
      <c r="AJ2235">
        <v>88.7294928887369</v>
      </c>
      <c r="AK2235">
        <v>68.647710969633394</v>
      </c>
      <c r="AL2235">
        <v>91.676240391110795</v>
      </c>
      <c r="AM2235">
        <v>92.773593706427107</v>
      </c>
      <c r="AN2235">
        <v>0.99999997740802404</v>
      </c>
    </row>
    <row r="2236" spans="1:40" x14ac:dyDescent="0.25">
      <c r="A2236" t="str">
        <f>"20190303153818270"</f>
        <v>20190303153818270</v>
      </c>
      <c r="B2236" t="str">
        <f>"1551598698261293"</f>
        <v>1551598698261293</v>
      </c>
      <c r="C2236" t="s">
        <v>40</v>
      </c>
      <c r="D2236">
        <v>4.3289400000000002</v>
      </c>
      <c r="E2236">
        <v>0.52617159999999996</v>
      </c>
      <c r="F2236" t="s">
        <v>55</v>
      </c>
      <c r="G2236">
        <v>-326.75200000000001</v>
      </c>
      <c r="H2236" s="1">
        <v>2.0308460000000001E-6</v>
      </c>
      <c r="I2236">
        <v>285.1986</v>
      </c>
      <c r="J2236">
        <v>-256.21039999999999</v>
      </c>
      <c r="K2236">
        <v>1.1204419999999999</v>
      </c>
      <c r="L2236">
        <v>282.80220000000003</v>
      </c>
      <c r="M2236">
        <v>-0.99981109999999895</v>
      </c>
      <c r="N2236">
        <v>-1.394051E-2</v>
      </c>
      <c r="O2236">
        <v>1.35505E-2</v>
      </c>
      <c r="P2236">
        <v>-0.99846259999999998</v>
      </c>
      <c r="Q2236">
        <v>-4.2702509999999999E-2</v>
      </c>
      <c r="R2236">
        <v>-3.5344760000000003E-2</v>
      </c>
      <c r="S2236">
        <v>-3.0061650000000002</v>
      </c>
      <c r="T2236">
        <v>-4.759037E-2</v>
      </c>
      <c r="U2236">
        <v>0.1019287</v>
      </c>
      <c r="V2236">
        <v>-4.8901220000000002E-2</v>
      </c>
      <c r="W2236">
        <v>-2.873879E-2</v>
      </c>
      <c r="X2236">
        <v>0.99839009999999995</v>
      </c>
      <c r="Y2236">
        <v>2.0335180000000001E-2</v>
      </c>
      <c r="Z2236">
        <v>2.7715679999999998E-4</v>
      </c>
      <c r="AA2236">
        <v>0.99979320000000005</v>
      </c>
      <c r="AB2236">
        <v>40</v>
      </c>
      <c r="AC2236">
        <v>-70.541600000000003</v>
      </c>
      <c r="AD2236">
        <v>-1.1204399691539999</v>
      </c>
      <c r="AE2236">
        <v>2.3963999999999701</v>
      </c>
      <c r="AF2236">
        <v>1.439850353615</v>
      </c>
      <c r="AG2236">
        <v>-1.1204399691539999</v>
      </c>
      <c r="AH2236">
        <v>70.549819785386902</v>
      </c>
      <c r="AI2236">
        <v>90.909679470850705</v>
      </c>
      <c r="AJ2236">
        <v>88.830813496225204</v>
      </c>
      <c r="AK2236">
        <v>70.573405943852805</v>
      </c>
      <c r="AL2236">
        <v>91.646838088362699</v>
      </c>
      <c r="AM2236">
        <v>92.804110498884796</v>
      </c>
      <c r="AN2236">
        <v>1.00000001957308</v>
      </c>
    </row>
    <row r="2237" spans="1:40" x14ac:dyDescent="0.25">
      <c r="A2237" t="str">
        <f>"20190303153818282"</f>
        <v>20190303153818282</v>
      </c>
      <c r="B2237" t="str">
        <f>"1551598698271053"</f>
        <v>1551598698271053</v>
      </c>
      <c r="C2237" t="s">
        <v>40</v>
      </c>
      <c r="D2237">
        <v>4.3394560000000002</v>
      </c>
      <c r="E2237">
        <v>0.52614589999999894</v>
      </c>
      <c r="F2237" t="s">
        <v>55</v>
      </c>
      <c r="G2237">
        <v>-328.3741</v>
      </c>
      <c r="H2237" s="1">
        <v>2.8933439999999998E-6</v>
      </c>
      <c r="I2237">
        <v>285.21449999999999</v>
      </c>
      <c r="J2237">
        <v>-256.4443</v>
      </c>
      <c r="K2237">
        <v>1.1204689999999999</v>
      </c>
      <c r="L2237">
        <v>282.80549999999999</v>
      </c>
      <c r="M2237">
        <v>-0.99980740000000001</v>
      </c>
      <c r="N2237">
        <v>-1.4032920000000001E-2</v>
      </c>
      <c r="O2237">
        <v>1.3728829999999999E-2</v>
      </c>
      <c r="P2237">
        <v>-0.99846690000000005</v>
      </c>
      <c r="Q2237">
        <v>-4.2480509999999999E-2</v>
      </c>
      <c r="R2237">
        <v>-3.5491420000000003E-2</v>
      </c>
      <c r="S2237">
        <v>-3.006195</v>
      </c>
      <c r="T2237">
        <v>-4.6675210000000002E-2</v>
      </c>
      <c r="U2237">
        <v>0.1004944</v>
      </c>
      <c r="V2237">
        <v>-4.922443E-2</v>
      </c>
      <c r="W2237">
        <v>-2.8425949999999998E-2</v>
      </c>
      <c r="X2237">
        <v>0.99838320000000003</v>
      </c>
      <c r="Y2237">
        <v>1.968027E-2</v>
      </c>
      <c r="Z2237">
        <v>2.7043329999999998E-4</v>
      </c>
      <c r="AA2237">
        <v>0.99980630000000004</v>
      </c>
      <c r="AB2237">
        <v>40</v>
      </c>
      <c r="AC2237">
        <v>-71.9298</v>
      </c>
      <c r="AD2237">
        <v>-1.120466106656</v>
      </c>
      <c r="AE2237">
        <v>2.40899999999999</v>
      </c>
      <c r="AF2237">
        <v>1.4208194209751399</v>
      </c>
      <c r="AG2237">
        <v>-1.120466106656</v>
      </c>
      <c r="AH2237">
        <v>71.938659323074006</v>
      </c>
      <c r="AI2237">
        <v>90.892152767896505</v>
      </c>
      <c r="AJ2237">
        <v>88.868530850393199</v>
      </c>
      <c r="AK2237">
        <v>71.961412418910299</v>
      </c>
      <c r="AL2237">
        <v>91.628906306774198</v>
      </c>
      <c r="AM2237">
        <v>92.822633719519004</v>
      </c>
      <c r="AN2237">
        <v>1.0000000465922301</v>
      </c>
    </row>
    <row r="2238" spans="1:40" x14ac:dyDescent="0.25">
      <c r="A2238" t="str">
        <f>"20190303153818298"</f>
        <v>20190303153818298</v>
      </c>
      <c r="B2238" t="str">
        <f>"1551598698290573"</f>
        <v>1551598698290573</v>
      </c>
      <c r="C2238" t="s">
        <v>40</v>
      </c>
      <c r="D2238">
        <v>4.3247790000000004</v>
      </c>
      <c r="E2238">
        <v>0.52604319999999904</v>
      </c>
      <c r="F2238" t="s">
        <v>55</v>
      </c>
      <c r="G2238">
        <v>-329.3571</v>
      </c>
      <c r="H2238" s="1">
        <v>3.4157249999999998E-6</v>
      </c>
      <c r="I2238">
        <v>285.23110000000003</v>
      </c>
      <c r="J2238">
        <v>-256.71660000000003</v>
      </c>
      <c r="K2238">
        <v>1.1204959999999999</v>
      </c>
      <c r="L2238">
        <v>282.80939999999998</v>
      </c>
      <c r="M2238">
        <v>-0.9998032</v>
      </c>
      <c r="N2238">
        <v>-1.4132860000000001E-2</v>
      </c>
      <c r="O2238">
        <v>1.3925099999999999E-2</v>
      </c>
      <c r="P2238">
        <v>-0.99846480000000004</v>
      </c>
      <c r="Q2238">
        <v>-4.2303430000000003E-2</v>
      </c>
      <c r="R2238">
        <v>-3.5756660000000003E-2</v>
      </c>
      <c r="S2238">
        <v>-3.006195</v>
      </c>
      <c r="T2238">
        <v>-4.619682E-2</v>
      </c>
      <c r="U2238">
        <v>0.1000061</v>
      </c>
      <c r="V2238">
        <v>-4.9684220000000001E-2</v>
      </c>
      <c r="W2238">
        <v>-2.815107E-2</v>
      </c>
      <c r="X2238">
        <v>0.99836809999999998</v>
      </c>
      <c r="Y2238">
        <v>1.9321899999999999E-2</v>
      </c>
      <c r="Z2238">
        <v>2.678806E-4</v>
      </c>
      <c r="AA2238">
        <v>0.99981330000000002</v>
      </c>
      <c r="AB2238">
        <v>40</v>
      </c>
      <c r="AC2238">
        <v>-72.640499999999903</v>
      </c>
      <c r="AD2238">
        <v>-1.120492584275</v>
      </c>
      <c r="AE2238">
        <v>2.4217000000000399</v>
      </c>
      <c r="AF2238">
        <v>1.40950292971349</v>
      </c>
      <c r="AG2238">
        <v>-1.120492584275</v>
      </c>
      <c r="AH2238">
        <v>72.649914385900203</v>
      </c>
      <c r="AI2238">
        <v>90.883446738375795</v>
      </c>
      <c r="AJ2238">
        <v>88.888526720744906</v>
      </c>
      <c r="AK2238">
        <v>72.672224834656802</v>
      </c>
      <c r="AL2238">
        <v>91.613150720161798</v>
      </c>
      <c r="AM2238">
        <v>92.848998840641102</v>
      </c>
      <c r="AN2238">
        <v>0.99999993377837904</v>
      </c>
    </row>
    <row r="2239" spans="1:40" x14ac:dyDescent="0.25">
      <c r="A2239" t="str">
        <f>"20190303153818313"</f>
        <v>20190303153818313</v>
      </c>
      <c r="B2239" t="str">
        <f>"1551598698301308"</f>
        <v>1551598698301308</v>
      </c>
      <c r="C2239" t="s">
        <v>40</v>
      </c>
      <c r="D2239">
        <v>4.3760009999999996</v>
      </c>
      <c r="E2239">
        <v>0.52495519999999996</v>
      </c>
      <c r="F2239" t="s">
        <v>55</v>
      </c>
      <c r="G2239">
        <v>-329.20839999999998</v>
      </c>
      <c r="H2239" s="1">
        <v>3.3389060000000001E-6</v>
      </c>
      <c r="I2239">
        <v>285.17829999999998</v>
      </c>
      <c r="J2239">
        <v>-256.98200000000003</v>
      </c>
      <c r="K2239">
        <v>1.120528</v>
      </c>
      <c r="L2239">
        <v>282.8134</v>
      </c>
      <c r="M2239">
        <v>-0.99979949999999995</v>
      </c>
      <c r="N2239">
        <v>-1.4221839999999999E-2</v>
      </c>
      <c r="O2239">
        <v>1.4100039999999999E-2</v>
      </c>
      <c r="P2239">
        <v>-0.9984847</v>
      </c>
      <c r="Q2239">
        <v>-4.1767249999999999E-2</v>
      </c>
      <c r="R2239">
        <v>-3.5836010000000001E-2</v>
      </c>
      <c r="S2239">
        <v>-3.0061650000000002</v>
      </c>
      <c r="T2239">
        <v>-4.646575E-2</v>
      </c>
      <c r="U2239">
        <v>9.8236080000000003E-2</v>
      </c>
      <c r="V2239">
        <v>-4.9935979999999998E-2</v>
      </c>
      <c r="W2239">
        <v>-2.7528299999999999E-2</v>
      </c>
      <c r="X2239">
        <v>0.99837299999999995</v>
      </c>
      <c r="Y2239">
        <v>1.8559349999999999E-2</v>
      </c>
      <c r="Z2239">
        <v>2.580665E-4</v>
      </c>
      <c r="AA2239">
        <v>0.99982769999999999</v>
      </c>
      <c r="AB2239">
        <v>40</v>
      </c>
      <c r="AC2239">
        <v>-72.226399999999899</v>
      </c>
      <c r="AD2239">
        <v>-1.1205246610940001</v>
      </c>
      <c r="AE2239">
        <v>2.3648999999999698</v>
      </c>
      <c r="AF2239">
        <v>1.3458431995218301</v>
      </c>
      <c r="AG2239">
        <v>-1.1205246610940001</v>
      </c>
      <c r="AH2239">
        <v>72.235199656105294</v>
      </c>
      <c r="AI2239">
        <v>90.888556381608197</v>
      </c>
      <c r="AJ2239">
        <v>88.932622669633105</v>
      </c>
      <c r="AK2239">
        <v>72.2564248962763</v>
      </c>
      <c r="AL2239">
        <v>91.577454639813993</v>
      </c>
      <c r="AM2239">
        <v>92.863397299066506</v>
      </c>
      <c r="AN2239">
        <v>1.0000000282642201</v>
      </c>
    </row>
    <row r="2240" spans="1:40" x14ac:dyDescent="0.25">
      <c r="A2240" t="str">
        <f>"20190303153818325"</f>
        <v>20190303153818325</v>
      </c>
      <c r="B2240" t="str">
        <f>"1551598698320829"</f>
        <v>1551598698320829</v>
      </c>
      <c r="C2240" t="s">
        <v>40</v>
      </c>
      <c r="D2240">
        <v>4.366911</v>
      </c>
      <c r="E2240">
        <v>0.52327599999999996</v>
      </c>
      <c r="F2240" t="s">
        <v>55</v>
      </c>
      <c r="G2240">
        <v>-334.91489999999999</v>
      </c>
      <c r="H2240" s="1">
        <v>1.0562670000000001E-6</v>
      </c>
      <c r="I2240">
        <v>285.1284</v>
      </c>
      <c r="J2240">
        <v>-257.22320000000002</v>
      </c>
      <c r="K2240">
        <v>1.1205590000000001</v>
      </c>
      <c r="L2240">
        <v>282.81689999999998</v>
      </c>
      <c r="M2240">
        <v>-0.99979649999999998</v>
      </c>
      <c r="N2240">
        <v>-1.429472E-2</v>
      </c>
      <c r="O2240">
        <v>1.423891E-2</v>
      </c>
      <c r="P2240">
        <v>-0.99850150000000004</v>
      </c>
      <c r="Q2240">
        <v>-4.161144E-2</v>
      </c>
      <c r="R2240">
        <v>-3.5541969999999999E-2</v>
      </c>
      <c r="S2240">
        <v>-3.0059200000000001</v>
      </c>
      <c r="T2240">
        <v>-4.321945E-2</v>
      </c>
      <c r="U2240">
        <v>8.9294429999999994E-2</v>
      </c>
      <c r="V2240">
        <v>-4.9779660000000003E-2</v>
      </c>
      <c r="W2240">
        <v>-2.7302610000000001E-2</v>
      </c>
      <c r="X2240">
        <v>0.99838700000000002</v>
      </c>
      <c r="Y2240">
        <v>1.5452799999999999E-2</v>
      </c>
      <c r="Z2240">
        <v>2.2041469999999999E-4</v>
      </c>
      <c r="AA2240">
        <v>0.99988060000000001</v>
      </c>
      <c r="AB2240">
        <v>40</v>
      </c>
      <c r="AC2240">
        <v>-77.691699999999898</v>
      </c>
      <c r="AD2240">
        <v>-1.120557943733</v>
      </c>
      <c r="AE2240">
        <v>2.3115000000000201</v>
      </c>
      <c r="AF2240">
        <v>1.2046571408964699</v>
      </c>
      <c r="AG2240">
        <v>-1.120557943733</v>
      </c>
      <c r="AH2240">
        <v>77.700589217966595</v>
      </c>
      <c r="AI2240">
        <v>90.826133725107397</v>
      </c>
      <c r="AJ2240">
        <v>89.111766832188394</v>
      </c>
      <c r="AK2240">
        <v>77.718005724230807</v>
      </c>
      <c r="AL2240">
        <v>91.5645186994075</v>
      </c>
      <c r="AM2240">
        <v>92.854408583646304</v>
      </c>
      <c r="AN2240">
        <v>1.0000000244157601</v>
      </c>
    </row>
    <row r="2241" spans="1:40" x14ac:dyDescent="0.25">
      <c r="A2241" t="str">
        <f>"20190303153818346"</f>
        <v>20190303153818346</v>
      </c>
      <c r="B2241" t="str">
        <f>"1551598698341324"</f>
        <v>1551598698341324</v>
      </c>
      <c r="C2241" t="s">
        <v>40</v>
      </c>
      <c r="D2241">
        <v>4.392455</v>
      </c>
      <c r="E2241">
        <v>0.5217811</v>
      </c>
      <c r="F2241" t="s">
        <v>55</v>
      </c>
      <c r="G2241">
        <v>-348.69799999999998</v>
      </c>
      <c r="H2241" s="1">
        <v>3.09187E-6</v>
      </c>
      <c r="I2241">
        <v>285.15179999999998</v>
      </c>
      <c r="J2241">
        <v>-257.57499999999999</v>
      </c>
      <c r="K2241">
        <v>1.1206149999999999</v>
      </c>
      <c r="L2241">
        <v>282.82209999999998</v>
      </c>
      <c r="M2241">
        <v>-0.99979289999999998</v>
      </c>
      <c r="N2241">
        <v>-1.438963E-2</v>
      </c>
      <c r="O2241">
        <v>1.4400929999999999E-2</v>
      </c>
      <c r="P2241">
        <v>-0.99857859999999998</v>
      </c>
      <c r="Q2241">
        <v>-4.0666040000000001E-2</v>
      </c>
      <c r="R2241">
        <v>-3.4459789999999997E-2</v>
      </c>
      <c r="S2241">
        <v>-3.0057070000000001</v>
      </c>
      <c r="T2241">
        <v>-3.6819579999999998E-2</v>
      </c>
      <c r="U2241">
        <v>7.6721189999999995E-2</v>
      </c>
      <c r="V2241">
        <v>-4.8856459999999997E-2</v>
      </c>
      <c r="W2241">
        <v>-2.626703E-2</v>
      </c>
      <c r="X2241">
        <v>0.99846040000000003</v>
      </c>
      <c r="Y2241">
        <v>1.11147E-2</v>
      </c>
      <c r="Z2241">
        <v>1.789107E-4</v>
      </c>
      <c r="AA2241">
        <v>0.9999382</v>
      </c>
      <c r="AB2241">
        <v>40</v>
      </c>
      <c r="AC2241">
        <v>-91.123000000000005</v>
      </c>
      <c r="AD2241">
        <v>-1.1206119081299999</v>
      </c>
      <c r="AE2241">
        <v>2.3296999999999999</v>
      </c>
      <c r="AF2241">
        <v>1.0169130366464101</v>
      </c>
      <c r="AG2241">
        <v>-1.1206119081299999</v>
      </c>
      <c r="AH2241">
        <v>91.133328404783498</v>
      </c>
      <c r="AI2241">
        <v>90.704452497507503</v>
      </c>
      <c r="AJ2241">
        <v>89.360690451035197</v>
      </c>
      <c r="AK2241">
        <v>91.145890907417595</v>
      </c>
      <c r="AL2241">
        <v>91.505163015213398</v>
      </c>
      <c r="AM2241">
        <v>92.801351008217907</v>
      </c>
      <c r="AN2241">
        <v>1.0000000404584499</v>
      </c>
    </row>
    <row r="2242" spans="1:40" x14ac:dyDescent="0.25">
      <c r="A2242" t="str">
        <f>"20190303153818358"</f>
        <v>20190303153818358</v>
      </c>
      <c r="B2242" t="str">
        <f>"1551598698351085"</f>
        <v>1551598698351085</v>
      </c>
      <c r="C2242" t="s">
        <v>40</v>
      </c>
      <c r="D2242">
        <v>4.3963260000000002</v>
      </c>
      <c r="E2242">
        <v>0.52112360000000002</v>
      </c>
      <c r="F2242" t="s">
        <v>55</v>
      </c>
      <c r="G2242">
        <v>-372.99509999999998</v>
      </c>
      <c r="H2242" s="1">
        <v>5.7086179999999997E-8</v>
      </c>
      <c r="I2242">
        <v>285.43329999999997</v>
      </c>
      <c r="J2242">
        <v>-257.79579999999999</v>
      </c>
      <c r="K2242">
        <v>1.1206499999999999</v>
      </c>
      <c r="L2242">
        <v>282.82530000000003</v>
      </c>
      <c r="M2242">
        <v>-0.99979099999999999</v>
      </c>
      <c r="N2242">
        <v>-1.4442460000000001E-2</v>
      </c>
      <c r="O2242">
        <v>1.447906E-2</v>
      </c>
      <c r="P2242">
        <v>-0.99862099999999998</v>
      </c>
      <c r="Q2242">
        <v>-4.0302440000000002E-2</v>
      </c>
      <c r="R2242">
        <v>-3.3642360000000003E-2</v>
      </c>
      <c r="S2242">
        <v>-3.0054020000000001</v>
      </c>
      <c r="T2242">
        <v>-2.9179449999999999E-2</v>
      </c>
      <c r="U2242">
        <v>6.7993159999999997E-2</v>
      </c>
      <c r="V2242">
        <v>-4.8115669999999999E-2</v>
      </c>
      <c r="W2242">
        <v>-2.5853839999999999E-2</v>
      </c>
      <c r="X2242">
        <v>0.99850709999999998</v>
      </c>
      <c r="Y2242">
        <v>8.1378389999999991E-3</v>
      </c>
      <c r="Z2242">
        <v>1.6684579999999999E-4</v>
      </c>
      <c r="AA2242">
        <v>0.99996689999999999</v>
      </c>
      <c r="AB2242">
        <v>40</v>
      </c>
      <c r="AC2242">
        <v>-115.19929999999999</v>
      </c>
      <c r="AD2242">
        <v>-1.1206499429138199</v>
      </c>
      <c r="AE2242">
        <v>2.6079999999999401</v>
      </c>
      <c r="AF2242">
        <v>0.93948635898133703</v>
      </c>
      <c r="AG2242">
        <v>-1.1206499429138199</v>
      </c>
      <c r="AH2242">
        <v>115.21408938835999</v>
      </c>
      <c r="AI2242">
        <v>90.557261297145104</v>
      </c>
      <c r="AJ2242">
        <v>89.532805314394295</v>
      </c>
      <c r="AK2242">
        <v>115.22336952416499</v>
      </c>
      <c r="AL2242">
        <v>91.481481013736698</v>
      </c>
      <c r="AM2242">
        <v>92.758812594351795</v>
      </c>
      <c r="AN2242">
        <v>0.99999998374635202</v>
      </c>
    </row>
    <row r="2243" spans="1:40" x14ac:dyDescent="0.25">
      <c r="A2243" t="str">
        <f>"20190303153818370"</f>
        <v>20190303153818370</v>
      </c>
      <c r="B2243" t="str">
        <f>"1551598698360845"</f>
        <v>1551598698360845</v>
      </c>
      <c r="C2243" t="s">
        <v>40</v>
      </c>
      <c r="D2243">
        <v>4.3731999999999998</v>
      </c>
      <c r="E2243">
        <v>0.52051749999999997</v>
      </c>
      <c r="F2243" t="s">
        <v>55</v>
      </c>
      <c r="G2243">
        <v>-385.6343</v>
      </c>
      <c r="H2243" s="1">
        <v>1.4615159999999999E-6</v>
      </c>
      <c r="I2243">
        <v>285.60730000000001</v>
      </c>
      <c r="J2243">
        <v>-258.01170000000002</v>
      </c>
      <c r="K2243">
        <v>1.1206849999999999</v>
      </c>
      <c r="L2243">
        <v>282.82850000000002</v>
      </c>
      <c r="M2243">
        <v>-0.99978940000000005</v>
      </c>
      <c r="N2243">
        <v>-1.4491530000000001E-2</v>
      </c>
      <c r="O2243">
        <v>1.4546190000000001E-2</v>
      </c>
      <c r="P2243">
        <v>-0.99866429999999995</v>
      </c>
      <c r="Q2243">
        <v>-3.9922979999999997E-2</v>
      </c>
      <c r="R2243">
        <v>-3.2809129999999999E-2</v>
      </c>
      <c r="S2243">
        <v>-3.00528</v>
      </c>
      <c r="T2243">
        <v>-2.6344659999999999E-2</v>
      </c>
      <c r="U2243">
        <v>6.5399170000000006E-2</v>
      </c>
      <c r="V2243">
        <v>-4.7348189999999998E-2</v>
      </c>
      <c r="W2243">
        <v>-2.542838E-2</v>
      </c>
      <c r="X2243">
        <v>0.99855470000000002</v>
      </c>
      <c r="Y2243">
        <v>7.2092110000000001E-3</v>
      </c>
      <c r="Z2243">
        <v>1.6715330000000001E-4</v>
      </c>
      <c r="AA2243">
        <v>0.99997400000000003</v>
      </c>
      <c r="AB2243">
        <v>40</v>
      </c>
      <c r="AC2243">
        <v>-127.622599999999</v>
      </c>
      <c r="AD2243">
        <v>-1.1206835384839999</v>
      </c>
      <c r="AE2243">
        <v>2.77879999999998</v>
      </c>
      <c r="AF2243">
        <v>0.92181775154011703</v>
      </c>
      <c r="AG2243">
        <v>-1.1206835384839999</v>
      </c>
      <c r="AH2243">
        <v>127.63968207188999</v>
      </c>
      <c r="AI2243">
        <v>90.503034100659093</v>
      </c>
      <c r="AJ2243">
        <v>89.586215293269305</v>
      </c>
      <c r="AK2243">
        <v>127.647930335645</v>
      </c>
      <c r="AL2243">
        <v>91.457095951513097</v>
      </c>
      <c r="AM2243">
        <v>92.714744670959703</v>
      </c>
      <c r="AN2243">
        <v>0.99999997124889395</v>
      </c>
    </row>
    <row r="2244" spans="1:40" x14ac:dyDescent="0.25">
      <c r="A2244" t="str">
        <f>"20190303153818383"</f>
        <v>20190303153818383</v>
      </c>
      <c r="B2244" t="str">
        <f>"1551598698381340"</f>
        <v>1551598698381340</v>
      </c>
      <c r="C2244" t="s">
        <v>40</v>
      </c>
      <c r="D2244">
        <v>4.388871</v>
      </c>
      <c r="E2244">
        <v>0.51937959999999905</v>
      </c>
      <c r="F2244" t="s">
        <v>57</v>
      </c>
      <c r="G2244">
        <v>-401.77960000000002</v>
      </c>
      <c r="H2244" s="1">
        <v>7.3592089999999901E-6</v>
      </c>
      <c r="I2244">
        <v>285.84480000000002</v>
      </c>
      <c r="J2244">
        <v>-258.24919999999997</v>
      </c>
      <c r="K2244">
        <v>1.1207199999999999</v>
      </c>
      <c r="L2244">
        <v>282.83199999999999</v>
      </c>
      <c r="M2244">
        <v>-0.99978789999999995</v>
      </c>
      <c r="N2244">
        <v>-1.453924E-2</v>
      </c>
      <c r="O2244">
        <v>1.459822E-2</v>
      </c>
      <c r="P2244">
        <v>-0.99869739999999996</v>
      </c>
      <c r="Q2244">
        <v>-3.9651699999999998E-2</v>
      </c>
      <c r="R2244">
        <v>-3.2120839999999998E-2</v>
      </c>
      <c r="S2244">
        <v>-3.0051570000000001</v>
      </c>
      <c r="T2244">
        <v>-2.3425339999999999E-2</v>
      </c>
      <c r="U2244">
        <v>6.3049320000000006E-2</v>
      </c>
      <c r="V2244">
        <v>-4.6710519999999998E-2</v>
      </c>
      <c r="W2244">
        <v>-2.5112579999999999E-2</v>
      </c>
      <c r="X2244">
        <v>0.9985927</v>
      </c>
      <c r="Y2244">
        <v>6.3767540000000001E-3</v>
      </c>
      <c r="Z2244">
        <v>1.6969580000000001E-4</v>
      </c>
      <c r="AA2244">
        <v>0.99997970000000003</v>
      </c>
      <c r="AB2244">
        <v>40</v>
      </c>
      <c r="AC2244">
        <v>-143.53039999999999</v>
      </c>
      <c r="AD2244">
        <v>-1.120712640791</v>
      </c>
      <c r="AE2244">
        <v>3.0128000000000199</v>
      </c>
      <c r="AF2244">
        <v>0.91691351854269199</v>
      </c>
      <c r="AG2244">
        <v>-1.120712640791</v>
      </c>
      <c r="AH2244">
        <v>143.55034027670999</v>
      </c>
      <c r="AI2244">
        <v>90.447295979388798</v>
      </c>
      <c r="AJ2244">
        <v>89.634033884928499</v>
      </c>
      <c r="AK2244">
        <v>143.55764319876201</v>
      </c>
      <c r="AL2244">
        <v>91.438996197879902</v>
      </c>
      <c r="AM2244">
        <v>92.678135202990603</v>
      </c>
      <c r="AN2244">
        <v>0.99999994742310705</v>
      </c>
    </row>
    <row r="2245" spans="1:40" x14ac:dyDescent="0.25">
      <c r="A2245" t="str">
        <f>"20190303153818402"</f>
        <v>20190303153818402</v>
      </c>
      <c r="B2245" t="str">
        <f>"1551598698391100"</f>
        <v>1551598698391100</v>
      </c>
      <c r="C2245" t="s">
        <v>40</v>
      </c>
      <c r="D2245">
        <v>4.3752610000000001</v>
      </c>
      <c r="E2245">
        <v>0.51888849999999997</v>
      </c>
      <c r="F2245" t="s">
        <v>57</v>
      </c>
      <c r="G2245">
        <v>-431.43189999999998</v>
      </c>
      <c r="H2245" s="1">
        <v>2.7265679999999998E-6</v>
      </c>
      <c r="I2245">
        <v>286.05059999999997</v>
      </c>
      <c r="J2245">
        <v>-258.57650000000001</v>
      </c>
      <c r="K2245">
        <v>1.1207659999999999</v>
      </c>
      <c r="L2245">
        <v>282.83690000000001</v>
      </c>
      <c r="M2245">
        <v>-0.99978619999999996</v>
      </c>
      <c r="N2245">
        <v>-1.4598939999999999E-2</v>
      </c>
      <c r="O2245">
        <v>1.4646859999999999E-2</v>
      </c>
      <c r="P2245">
        <v>-0.99874890000000005</v>
      </c>
      <c r="Q2245">
        <v>-3.9637369999999998E-2</v>
      </c>
      <c r="R2245">
        <v>-3.0490110000000001E-2</v>
      </c>
      <c r="S2245">
        <v>-3.0049440000000001</v>
      </c>
      <c r="T2245">
        <v>-1.9445899999999999E-2</v>
      </c>
      <c r="U2245">
        <v>5.5847170000000002E-2</v>
      </c>
      <c r="V2245">
        <v>-4.5127279999999999E-2</v>
      </c>
      <c r="W2245">
        <v>-2.5042430000000001E-2</v>
      </c>
      <c r="X2245">
        <v>0.99866730000000004</v>
      </c>
      <c r="Y2245">
        <v>3.9342220000000002E-3</v>
      </c>
      <c r="Z2245">
        <v>1.6051929999999999E-4</v>
      </c>
      <c r="AA2245">
        <v>0.99999229999999995</v>
      </c>
      <c r="AB2245">
        <v>40</v>
      </c>
      <c r="AC2245">
        <v>-172.85539999999901</v>
      </c>
      <c r="AD2245">
        <v>-1.1207632734320001</v>
      </c>
      <c r="AE2245">
        <v>3.2136999999999598</v>
      </c>
      <c r="AF2245">
        <v>0.68126800639795304</v>
      </c>
      <c r="AG2245">
        <v>-1.1207632734320001</v>
      </c>
      <c r="AH2245">
        <v>172.876664094608</v>
      </c>
      <c r="AI2245">
        <v>90.371441729994999</v>
      </c>
      <c r="AJ2245">
        <v>89.774211403088103</v>
      </c>
      <c r="AK2245">
        <v>172.88163935158499</v>
      </c>
      <c r="AL2245">
        <v>91.4349755798074</v>
      </c>
      <c r="AM2245">
        <v>92.587293067081902</v>
      </c>
      <c r="AN2245">
        <v>0.99999998539489598</v>
      </c>
    </row>
    <row r="2246" spans="1:40" x14ac:dyDescent="0.25">
      <c r="A2246" t="str">
        <f>"20190303153818417"</f>
        <v>20190303153818417</v>
      </c>
      <c r="B2246" t="str">
        <f>"1551598698410621"</f>
        <v>1551598698410621</v>
      </c>
      <c r="C2246" t="s">
        <v>40</v>
      </c>
      <c r="D2246">
        <v>4.3612270000000004</v>
      </c>
      <c r="E2246">
        <v>0.51797629999999995</v>
      </c>
      <c r="F2246" t="s">
        <v>55</v>
      </c>
      <c r="G2246">
        <v>-446.96809999999999</v>
      </c>
      <c r="H2246" s="1">
        <v>2.0929170000000002E-6</v>
      </c>
      <c r="I2246">
        <v>286.40910000000002</v>
      </c>
      <c r="J2246">
        <v>-258.83049999999997</v>
      </c>
      <c r="K2246">
        <v>1.1207929999999999</v>
      </c>
      <c r="L2246">
        <v>282.84059999999999</v>
      </c>
      <c r="M2246">
        <v>-0.99978529999999999</v>
      </c>
      <c r="N2246">
        <v>-1.464028E-2</v>
      </c>
      <c r="O2246">
        <v>1.466433E-2</v>
      </c>
      <c r="P2246">
        <v>-0.99878180000000005</v>
      </c>
      <c r="Q2246">
        <v>-3.9541979999999997E-2</v>
      </c>
      <c r="R2246">
        <v>-2.9518550000000001E-2</v>
      </c>
      <c r="S2246">
        <v>-3.0047609999999998</v>
      </c>
      <c r="T2246">
        <v>-1.787567E-2</v>
      </c>
      <c r="U2246">
        <v>5.6976319999999997E-2</v>
      </c>
      <c r="V2246">
        <v>-4.4171670000000003E-2</v>
      </c>
      <c r="W2246">
        <v>-2.4908320000000001E-2</v>
      </c>
      <c r="X2246">
        <v>0.99871339999999997</v>
      </c>
      <c r="Y2246">
        <v>4.2935909999999898E-3</v>
      </c>
      <c r="Z2246">
        <v>1.7167779999999999E-4</v>
      </c>
      <c r="AA2246">
        <v>0.99999079999999996</v>
      </c>
      <c r="AB2246">
        <v>40</v>
      </c>
      <c r="AC2246">
        <v>-188.13759999999999</v>
      </c>
      <c r="AD2246">
        <v>-1.120790907083</v>
      </c>
      <c r="AE2246">
        <v>3.5685000000000202</v>
      </c>
      <c r="AF2246">
        <v>0.80887997873578699</v>
      </c>
      <c r="AG2246">
        <v>-1.120790907083</v>
      </c>
      <c r="AH2246">
        <v>188.16302566753899</v>
      </c>
      <c r="AI2246">
        <v>90.341274464997099</v>
      </c>
      <c r="AJ2246">
        <v>89.753696969599702</v>
      </c>
      <c r="AK2246">
        <v>188.16810220502401</v>
      </c>
      <c r="AL2246">
        <v>91.427289212679</v>
      </c>
      <c r="AM2246">
        <v>92.532460207461</v>
      </c>
      <c r="AN2246">
        <v>1.0000000080876801</v>
      </c>
    </row>
    <row r="2247" spans="1:40" x14ac:dyDescent="0.25">
      <c r="A2247" t="str">
        <f>"20190303153818435"</f>
        <v>20190303153818435</v>
      </c>
      <c r="B2247" t="str">
        <f>"1551598698431117"</f>
        <v>1551598698431117</v>
      </c>
      <c r="C2247" t="s">
        <v>40</v>
      </c>
      <c r="D2247">
        <v>4.3502789999999996</v>
      </c>
      <c r="E2247">
        <v>0.50164600000000004</v>
      </c>
      <c r="F2247" t="s">
        <v>51</v>
      </c>
      <c r="G2247">
        <v>-483.67790000000002</v>
      </c>
      <c r="H2247" s="1">
        <v>3.0463130000000001E-6</v>
      </c>
      <c r="I2247">
        <v>286.76870000000002</v>
      </c>
      <c r="J2247">
        <v>-259.15879999999999</v>
      </c>
      <c r="K2247">
        <v>1.1208340000000001</v>
      </c>
      <c r="L2247">
        <v>282.84550000000002</v>
      </c>
      <c r="M2247">
        <v>-0.99978469999999997</v>
      </c>
      <c r="N2247">
        <v>-1.46879E-2</v>
      </c>
      <c r="O2247">
        <v>1.46626E-2</v>
      </c>
      <c r="P2247">
        <v>-0.99884300000000004</v>
      </c>
      <c r="Q2247">
        <v>-3.8955499999999997E-2</v>
      </c>
      <c r="R2247">
        <v>-2.8209089999999999E-2</v>
      </c>
      <c r="S2247">
        <v>-3.0046080000000002</v>
      </c>
      <c r="T2247">
        <v>-1.4976980000000001E-2</v>
      </c>
      <c r="U2247">
        <v>5.2490229999999999E-2</v>
      </c>
      <c r="V2247">
        <v>-4.2859830000000002E-2</v>
      </c>
      <c r="W2247">
        <v>-2.4276929999999999E-2</v>
      </c>
      <c r="X2247">
        <v>0.99878610000000001</v>
      </c>
      <c r="Y2247">
        <v>2.803982E-3</v>
      </c>
      <c r="Z2247">
        <v>1.6987869999999901E-4</v>
      </c>
      <c r="AA2247">
        <v>0.99999610000000005</v>
      </c>
      <c r="AB2247">
        <v>40</v>
      </c>
      <c r="AC2247">
        <v>-224.51910000000001</v>
      </c>
      <c r="AD2247">
        <v>-1.120830953687</v>
      </c>
      <c r="AE2247">
        <v>3.9232</v>
      </c>
      <c r="AF2247">
        <v>0.63037382194804803</v>
      </c>
      <c r="AG2247">
        <v>-1.120830953687</v>
      </c>
      <c r="AH2247">
        <v>224.54689479423399</v>
      </c>
      <c r="AI2247">
        <v>90.285989689900703</v>
      </c>
      <c r="AJ2247">
        <v>89.839153132510901</v>
      </c>
      <c r="AK2247">
        <v>224.550576919577</v>
      </c>
      <c r="AL2247">
        <v>91.391102291360795</v>
      </c>
      <c r="AM2247">
        <v>92.4571644569059</v>
      </c>
      <c r="AN2247">
        <v>1.0000000039555299</v>
      </c>
    </row>
    <row r="2248" spans="1:40" x14ac:dyDescent="0.25">
      <c r="A2248" t="str">
        <f>"20190303153818449"</f>
        <v>20190303153818449</v>
      </c>
      <c r="B2248" t="str">
        <f>"1551598698440877"</f>
        <v>1551598698440877</v>
      </c>
      <c r="C2248" t="s">
        <v>40</v>
      </c>
      <c r="D2248">
        <v>4.3562070000000004</v>
      </c>
      <c r="E2248">
        <v>0.50174799999999997</v>
      </c>
      <c r="F2248" t="s">
        <v>59</v>
      </c>
      <c r="G2248">
        <v>-511.95940000000002</v>
      </c>
      <c r="H2248">
        <v>2.5139</v>
      </c>
      <c r="I2248">
        <v>276.60059999999999</v>
      </c>
      <c r="J2248">
        <v>-259.41399999999999</v>
      </c>
      <c r="K2248">
        <v>1.1208640000000001</v>
      </c>
      <c r="L2248">
        <v>282.8492</v>
      </c>
      <c r="M2248">
        <v>-0.99978449999999996</v>
      </c>
      <c r="N2248">
        <v>-1.47213E-2</v>
      </c>
      <c r="O2248">
        <v>1.4646569999999999E-2</v>
      </c>
      <c r="P2248">
        <v>-0.99886730000000001</v>
      </c>
      <c r="Q2248">
        <v>-3.8580469999999999E-2</v>
      </c>
      <c r="R2248">
        <v>-2.7850739999999999E-2</v>
      </c>
      <c r="S2248">
        <v>-3.002014</v>
      </c>
      <c r="T2248">
        <v>1.654363E-2</v>
      </c>
      <c r="U2248">
        <v>-7.4157710000000002E-2</v>
      </c>
      <c r="V2248">
        <v>-4.2484470000000003E-2</v>
      </c>
      <c r="W2248">
        <v>-2.387061E-2</v>
      </c>
      <c r="X2248">
        <v>0.99881189999999997</v>
      </c>
      <c r="Y2248">
        <v>-3.9334170000000002E-2</v>
      </c>
      <c r="Z2248">
        <v>1.1507250000000001E-4</v>
      </c>
      <c r="AA2248">
        <v>0.99922610000000001</v>
      </c>
      <c r="AB2248">
        <v>40</v>
      </c>
      <c r="AC2248">
        <v>-252.5454</v>
      </c>
      <c r="AD2248">
        <v>1.3930359999999999</v>
      </c>
      <c r="AE2248">
        <v>-6.2485999999999997</v>
      </c>
      <c r="AF2248">
        <v>-9.9469513525933699</v>
      </c>
      <c r="AG2248">
        <v>1.3930359999999999</v>
      </c>
      <c r="AH2248">
        <v>252.41909852530699</v>
      </c>
      <c r="AI2248">
        <v>89.684047774638302</v>
      </c>
      <c r="AJ2248">
        <v>92.256658097853006</v>
      </c>
      <c r="AK2248">
        <v>252.61885062448701</v>
      </c>
      <c r="AL2248">
        <v>91.367815162306798</v>
      </c>
      <c r="AM2248">
        <v>92.435608168421396</v>
      </c>
      <c r="AN2248">
        <v>0.99999997389728101</v>
      </c>
    </row>
    <row r="2249" spans="1:40" x14ac:dyDescent="0.25">
      <c r="A2249" t="str">
        <f>"20190303153818470"</f>
        <v>20190303153818470</v>
      </c>
      <c r="B2249" t="str">
        <f>"1551598698460776"</f>
        <v>1551598698460776</v>
      </c>
      <c r="C2249" t="s">
        <v>40</v>
      </c>
      <c r="D2249">
        <v>4.3693299999999997</v>
      </c>
      <c r="E2249">
        <v>0.50232860000000001</v>
      </c>
      <c r="F2249" t="s">
        <v>59</v>
      </c>
      <c r="G2249">
        <v>-511.95960000000002</v>
      </c>
      <c r="H2249">
        <v>2.8604449999999999</v>
      </c>
      <c r="I2249">
        <v>276.74189999999999</v>
      </c>
      <c r="J2249">
        <v>-259.77</v>
      </c>
      <c r="K2249">
        <v>1.120906</v>
      </c>
      <c r="L2249">
        <v>282.8544</v>
      </c>
      <c r="M2249">
        <v>-0.99978449999999996</v>
      </c>
      <c r="N2249">
        <v>-1.4761929999999999E-2</v>
      </c>
      <c r="O2249">
        <v>1.4603379999999999E-2</v>
      </c>
      <c r="P2249">
        <v>-0.99889799999999995</v>
      </c>
      <c r="Q2249">
        <v>-3.8066280000000001E-2</v>
      </c>
      <c r="R2249">
        <v>-2.7462480000000001E-2</v>
      </c>
      <c r="S2249">
        <v>-3.002167</v>
      </c>
      <c r="T2249">
        <v>2.068043E-2</v>
      </c>
      <c r="U2249">
        <v>-7.2601319999999997E-2</v>
      </c>
      <c r="V2249">
        <v>-4.2051610000000003E-2</v>
      </c>
      <c r="W2249">
        <v>-2.3318330000000002E-2</v>
      </c>
      <c r="X2249">
        <v>0.99884329999999999</v>
      </c>
      <c r="Y2249">
        <v>-3.8771659999999999E-2</v>
      </c>
      <c r="Z2249">
        <v>1.6341620000000001E-4</v>
      </c>
      <c r="AA2249">
        <v>0.99924809999999997</v>
      </c>
      <c r="AB2249">
        <v>40</v>
      </c>
      <c r="AC2249">
        <v>-252.18960000000001</v>
      </c>
      <c r="AD2249">
        <v>1.7395389999999999</v>
      </c>
      <c r="AE2249">
        <v>-6.1125000000000096</v>
      </c>
      <c r="AF2249">
        <v>-9.7946038008038006</v>
      </c>
      <c r="AG2249">
        <v>1.7395389999999999</v>
      </c>
      <c r="AH2249">
        <v>252.06144326447301</v>
      </c>
      <c r="AI2249">
        <v>89.604891960528704</v>
      </c>
      <c r="AJ2249">
        <v>92.225279888955697</v>
      </c>
      <c r="AK2249">
        <v>252.257668743919</v>
      </c>
      <c r="AL2249">
        <v>91.336162987890901</v>
      </c>
      <c r="AM2249">
        <v>92.410746306504805</v>
      </c>
      <c r="AN2249">
        <v>1.0000000101862301</v>
      </c>
    </row>
    <row r="2250" spans="1:40" x14ac:dyDescent="0.25">
      <c r="A2250" t="str">
        <f>"20190303153818482"</f>
        <v>20190303153818482</v>
      </c>
      <c r="B2250" t="str">
        <f>"1551598698470536"</f>
        <v>1551598698470536</v>
      </c>
      <c r="C2250" t="s">
        <v>40</v>
      </c>
      <c r="D2250">
        <v>4.3369169999999997</v>
      </c>
      <c r="E2250">
        <v>0.50240609999999997</v>
      </c>
      <c r="F2250" t="s">
        <v>59</v>
      </c>
      <c r="G2250">
        <v>-511.9597</v>
      </c>
      <c r="H2250">
        <v>3.0770110000000002</v>
      </c>
      <c r="I2250">
        <v>277.24059999999997</v>
      </c>
      <c r="J2250">
        <v>-259.99579999999997</v>
      </c>
      <c r="K2250">
        <v>1.1209290000000001</v>
      </c>
      <c r="L2250">
        <v>282.85770000000002</v>
      </c>
      <c r="M2250">
        <v>-0.99978469999999997</v>
      </c>
      <c r="N2250">
        <v>-1.4784439999999999E-2</v>
      </c>
      <c r="O2250">
        <v>1.456783E-2</v>
      </c>
      <c r="P2250">
        <v>-0.99890330000000005</v>
      </c>
      <c r="Q2250">
        <v>-3.7846850000000001E-2</v>
      </c>
      <c r="R2250">
        <v>-2.7567390000000001E-2</v>
      </c>
      <c r="S2250">
        <v>-3.0023499999999999</v>
      </c>
      <c r="T2250">
        <v>2.3288610000000001E-2</v>
      </c>
      <c r="U2250">
        <v>-6.6833500000000004E-2</v>
      </c>
      <c r="V2250">
        <v>-4.212043E-2</v>
      </c>
      <c r="W2250">
        <v>-2.307797E-2</v>
      </c>
      <c r="X2250">
        <v>0.99884600000000001</v>
      </c>
      <c r="Y2250">
        <v>-3.6815639999999997E-2</v>
      </c>
      <c r="Z2250">
        <v>1.9890700000000001E-4</v>
      </c>
      <c r="AA2250">
        <v>0.99932209999999999</v>
      </c>
      <c r="AB2250">
        <v>40</v>
      </c>
      <c r="AC2250">
        <v>-251.9639</v>
      </c>
      <c r="AD2250">
        <v>1.9560819999999901</v>
      </c>
      <c r="AE2250">
        <v>-5.6171000000000504</v>
      </c>
      <c r="AF2250">
        <v>-9.2869123917100609</v>
      </c>
      <c r="AG2250">
        <v>1.9560819999999901</v>
      </c>
      <c r="AH2250">
        <v>251.84014801394801</v>
      </c>
      <c r="AI2250">
        <v>89.555285885462197</v>
      </c>
      <c r="AJ2250">
        <v>92.111894755895705</v>
      </c>
      <c r="AK2250">
        <v>252.01891427083299</v>
      </c>
      <c r="AL2250">
        <v>91.322387644387206</v>
      </c>
      <c r="AM2250">
        <v>92.414680452835796</v>
      </c>
      <c r="AN2250">
        <v>1.0000000275193499</v>
      </c>
    </row>
    <row r="2251" spans="1:40" x14ac:dyDescent="0.25">
      <c r="A2251" t="str">
        <f>"20190303153818494"</f>
        <v>20190303153818494</v>
      </c>
      <c r="B2251" t="str">
        <f>"1551598698491032"</f>
        <v>1551598698491032</v>
      </c>
      <c r="C2251" t="s">
        <v>40</v>
      </c>
      <c r="D2251">
        <v>4.3058239999999897</v>
      </c>
      <c r="E2251">
        <v>0.50244560000000005</v>
      </c>
      <c r="F2251" t="s">
        <v>59</v>
      </c>
      <c r="G2251">
        <v>-511.95960000000002</v>
      </c>
      <c r="H2251">
        <v>3.0305710000000001</v>
      </c>
      <c r="I2251">
        <v>277.27190000000002</v>
      </c>
      <c r="J2251">
        <v>-260.20229999999998</v>
      </c>
      <c r="K2251">
        <v>1.1209499999999999</v>
      </c>
      <c r="L2251">
        <v>282.86070000000001</v>
      </c>
      <c r="M2251">
        <v>-0.99978489999999998</v>
      </c>
      <c r="N2251">
        <v>-1.4803770000000001E-2</v>
      </c>
      <c r="O2251">
        <v>1.453311E-2</v>
      </c>
      <c r="P2251">
        <v>-0.9989209</v>
      </c>
      <c r="Q2251">
        <v>-3.7300239999999998E-2</v>
      </c>
      <c r="R2251">
        <v>-2.7675350000000001E-2</v>
      </c>
      <c r="S2251">
        <v>-3.002319</v>
      </c>
      <c r="T2251">
        <v>2.2755620000000001E-2</v>
      </c>
      <c r="U2251">
        <v>-6.6558839999999994E-2</v>
      </c>
      <c r="V2251">
        <v>-4.2192889999999997E-2</v>
      </c>
      <c r="W2251">
        <v>-2.2513229999999999E-2</v>
      </c>
      <c r="X2251">
        <v>0.99885579999999996</v>
      </c>
      <c r="Y2251">
        <v>-3.6689850000000003E-2</v>
      </c>
      <c r="Z2251">
        <v>1.926609E-4</v>
      </c>
      <c r="AA2251">
        <v>0.99932670000000001</v>
      </c>
      <c r="AB2251">
        <v>40</v>
      </c>
      <c r="AC2251">
        <v>-251.75729999999999</v>
      </c>
      <c r="AD2251">
        <v>1.909621</v>
      </c>
      <c r="AE2251">
        <v>-5.5887999999999902</v>
      </c>
      <c r="AF2251">
        <v>-9.2468950101272007</v>
      </c>
      <c r="AG2251">
        <v>1.909621</v>
      </c>
      <c r="AH2251">
        <v>251.63500361782701</v>
      </c>
      <c r="AI2251">
        <v>89.565492371074797</v>
      </c>
      <c r="AJ2251">
        <v>92.104515531609195</v>
      </c>
      <c r="AK2251">
        <v>251.812086217949</v>
      </c>
      <c r="AL2251">
        <v>91.290022054939996</v>
      </c>
      <c r="AM2251">
        <v>92.418805807375506</v>
      </c>
      <c r="AN2251">
        <v>0.99999999734261202</v>
      </c>
    </row>
    <row r="2252" spans="1:40" x14ac:dyDescent="0.25">
      <c r="A2252" t="str">
        <f>"20190303153818506"</f>
        <v>20190303153818506</v>
      </c>
      <c r="B2252" t="str">
        <f>"1551598698500793"</f>
        <v>1551598698500793</v>
      </c>
      <c r="C2252" t="s">
        <v>40</v>
      </c>
      <c r="D2252">
        <v>4.2889869999999997</v>
      </c>
      <c r="E2252">
        <v>0.50249029999999995</v>
      </c>
      <c r="F2252" t="s">
        <v>59</v>
      </c>
      <c r="G2252">
        <v>-511.95940000000002</v>
      </c>
      <c r="H2252">
        <v>2.2161499999999998</v>
      </c>
      <c r="I2252">
        <v>277.30930000000001</v>
      </c>
      <c r="J2252">
        <v>-260.42149999999998</v>
      </c>
      <c r="K2252">
        <v>1.1209709999999999</v>
      </c>
      <c r="L2252">
        <v>282.8639</v>
      </c>
      <c r="M2252">
        <v>-0.99978509999999998</v>
      </c>
      <c r="N2252">
        <v>-1.482264E-2</v>
      </c>
      <c r="O2252">
        <v>1.4493280000000001E-2</v>
      </c>
      <c r="P2252">
        <v>-0.99892840000000005</v>
      </c>
      <c r="Q2252">
        <v>-3.665011E-2</v>
      </c>
      <c r="R2252">
        <v>-2.826242E-2</v>
      </c>
      <c r="S2252">
        <v>-3.0018919999999998</v>
      </c>
      <c r="T2252">
        <v>1.305985E-2</v>
      </c>
      <c r="U2252">
        <v>-6.6192630000000002E-2</v>
      </c>
      <c r="V2252">
        <v>-4.2739829999999999E-2</v>
      </c>
      <c r="W2252">
        <v>-2.184562E-2</v>
      </c>
      <c r="X2252">
        <v>0.99884740000000005</v>
      </c>
      <c r="Y2252">
        <v>-3.6532149999999999E-2</v>
      </c>
      <c r="Z2252" s="1">
        <v>8.651469E-5</v>
      </c>
      <c r="AA2252">
        <v>0.99933249999999996</v>
      </c>
      <c r="AB2252">
        <v>39</v>
      </c>
      <c r="AC2252">
        <v>-251.53790000000001</v>
      </c>
      <c r="AD2252">
        <v>1.0951789999999999</v>
      </c>
      <c r="AE2252">
        <v>-5.55459999999999</v>
      </c>
      <c r="AF2252">
        <v>-9.1998518898899295</v>
      </c>
      <c r="AG2252">
        <v>1.0951789999999999</v>
      </c>
      <c r="AH2252">
        <v>251.42619727638899</v>
      </c>
      <c r="AI2252">
        <v>89.750595703286393</v>
      </c>
      <c r="AJ2252">
        <v>92.095555807734897</v>
      </c>
      <c r="AK2252">
        <v>251.59683894815501</v>
      </c>
      <c r="AL2252">
        <v>91.251761370590998</v>
      </c>
      <c r="AM2252">
        <v>92.450143031546503</v>
      </c>
      <c r="AN2252">
        <v>1.0000000263341799</v>
      </c>
    </row>
    <row r="2253" spans="1:40" x14ac:dyDescent="0.25">
      <c r="A2253" t="str">
        <f>"20190303153818524"</f>
        <v>20190303153818524</v>
      </c>
      <c r="B2253" t="str">
        <f>"1551598698521288"</f>
        <v>1551598698521288</v>
      </c>
      <c r="C2253" t="s">
        <v>40</v>
      </c>
      <c r="D2253">
        <v>4.3025120000000001</v>
      </c>
      <c r="E2253">
        <v>0.50249220000000006</v>
      </c>
      <c r="F2253" t="s">
        <v>59</v>
      </c>
      <c r="G2253">
        <v>-511.95929999999998</v>
      </c>
      <c r="H2253">
        <v>2.138544</v>
      </c>
      <c r="I2253">
        <v>277.1893</v>
      </c>
      <c r="J2253">
        <v>-260.72199999999998</v>
      </c>
      <c r="K2253">
        <v>1.1210020000000001</v>
      </c>
      <c r="L2253">
        <v>282.86810000000003</v>
      </c>
      <c r="M2253">
        <v>-0.9997857</v>
      </c>
      <c r="N2253">
        <v>-1.484532E-2</v>
      </c>
      <c r="O2253">
        <v>1.4435089999999999E-2</v>
      </c>
      <c r="P2253">
        <v>-0.9989479</v>
      </c>
      <c r="Q2253">
        <v>-3.5314520000000002E-2</v>
      </c>
      <c r="R2253">
        <v>-2.9264390000000001E-2</v>
      </c>
      <c r="S2253">
        <v>-3.00177</v>
      </c>
      <c r="T2253">
        <v>1.214433E-2</v>
      </c>
      <c r="U2253">
        <v>-6.7718509999999996E-2</v>
      </c>
      <c r="V2253">
        <v>-4.3682680000000002E-2</v>
      </c>
      <c r="W2253">
        <v>-2.0488949999999999E-2</v>
      </c>
      <c r="X2253">
        <v>0.99883529999999998</v>
      </c>
      <c r="Y2253">
        <v>-3.6982679999999997E-2</v>
      </c>
      <c r="Z2253" s="1">
        <v>7.2908469999999898E-5</v>
      </c>
      <c r="AA2253">
        <v>0.99931590000000003</v>
      </c>
      <c r="AB2253">
        <v>39</v>
      </c>
      <c r="AC2253">
        <v>-251.2373</v>
      </c>
      <c r="AD2253">
        <v>1.0175419999999999</v>
      </c>
      <c r="AE2253">
        <v>-5.6788000000000203</v>
      </c>
      <c r="AF2253">
        <v>-9.3050879927811998</v>
      </c>
      <c r="AG2253">
        <v>1.0175419999999999</v>
      </c>
      <c r="AH2253">
        <v>251.12501724371799</v>
      </c>
      <c r="AI2253">
        <v>89.768001759390799</v>
      </c>
      <c r="AJ2253">
        <v>92.122044551925498</v>
      </c>
      <c r="AK2253">
        <v>251.299411738136</v>
      </c>
      <c r="AL2253">
        <v>91.174012553615697</v>
      </c>
      <c r="AM2253">
        <v>92.504155956945596</v>
      </c>
      <c r="AN2253">
        <v>0.99999996506508604</v>
      </c>
    </row>
    <row r="2254" spans="1:40" x14ac:dyDescent="0.25">
      <c r="A2254" t="str">
        <f>"20190303153818535"</f>
        <v>20190303153818535</v>
      </c>
      <c r="B2254" t="str">
        <f>"1551598698531048"</f>
        <v>1551598698531048</v>
      </c>
      <c r="C2254" t="s">
        <v>40</v>
      </c>
      <c r="D2254">
        <v>4.289199</v>
      </c>
      <c r="E2254">
        <v>0.50246069999999998</v>
      </c>
      <c r="F2254" t="s">
        <v>59</v>
      </c>
      <c r="G2254">
        <v>-511.95929999999998</v>
      </c>
      <c r="H2254">
        <v>1.986548</v>
      </c>
      <c r="I2254">
        <v>276.95960000000002</v>
      </c>
      <c r="J2254">
        <v>-260.93439999999998</v>
      </c>
      <c r="K2254">
        <v>1.121016</v>
      </c>
      <c r="L2254">
        <v>282.87119999999999</v>
      </c>
      <c r="M2254">
        <v>-0.99978599999999995</v>
      </c>
      <c r="N2254">
        <v>-1.485974E-2</v>
      </c>
      <c r="O2254">
        <v>1.439346E-2</v>
      </c>
      <c r="P2254">
        <v>-0.99895109999999998</v>
      </c>
      <c r="Q2254">
        <v>-3.4871199999999998E-2</v>
      </c>
      <c r="R2254">
        <v>-2.9683149999999998E-2</v>
      </c>
      <c r="S2254">
        <v>-3.0014340000000002</v>
      </c>
      <c r="T2254">
        <v>1.034129E-2</v>
      </c>
      <c r="U2254">
        <v>-7.0587159999999996E-2</v>
      </c>
      <c r="V2254">
        <v>-4.4059830000000001E-2</v>
      </c>
      <c r="W2254">
        <v>-2.003222E-2</v>
      </c>
      <c r="X2254">
        <v>0.9988281</v>
      </c>
      <c r="Y2254">
        <v>-3.7898279999999999E-2</v>
      </c>
      <c r="Z2254" s="1">
        <v>4.7092239999999999E-5</v>
      </c>
      <c r="AA2254">
        <v>0.99928159999999999</v>
      </c>
      <c r="AB2254">
        <v>39</v>
      </c>
      <c r="AC2254">
        <v>-251.0249</v>
      </c>
      <c r="AD2254">
        <v>0.86553199999999997</v>
      </c>
      <c r="AE2254">
        <v>-5.91159999999996</v>
      </c>
      <c r="AF2254">
        <v>-9.5243900852713299</v>
      </c>
      <c r="AG2254">
        <v>0.86553199999999997</v>
      </c>
      <c r="AH2254">
        <v>250.91081117299601</v>
      </c>
      <c r="AI2254">
        <v>89.802497770144598</v>
      </c>
      <c r="AJ2254">
        <v>92.173861994373894</v>
      </c>
      <c r="AK2254">
        <v>251.09300730133899</v>
      </c>
      <c r="AL2254">
        <v>91.147838362667798</v>
      </c>
      <c r="AM2254">
        <v>92.525766784493101</v>
      </c>
      <c r="AN2254">
        <v>1.0000000659036801</v>
      </c>
    </row>
    <row r="2255" spans="1:40" x14ac:dyDescent="0.25">
      <c r="A2255" t="str">
        <f>"20190303153818547"</f>
        <v>20190303153818547</v>
      </c>
      <c r="B2255" t="str">
        <f>"1551598698540808"</f>
        <v>1551598698540808</v>
      </c>
      <c r="C2255" t="s">
        <v>40</v>
      </c>
      <c r="D2255">
        <v>4.3113599999999996</v>
      </c>
      <c r="E2255">
        <v>0.50243590000000005</v>
      </c>
      <c r="F2255" t="s">
        <v>59</v>
      </c>
      <c r="G2255">
        <v>-511.95929999999998</v>
      </c>
      <c r="H2255">
        <v>1.8842859999999999</v>
      </c>
      <c r="I2255">
        <v>276.86020000000002</v>
      </c>
      <c r="J2255">
        <v>-261.13440000000003</v>
      </c>
      <c r="K2255">
        <v>1.1210290000000001</v>
      </c>
      <c r="L2255">
        <v>282.87400000000002</v>
      </c>
      <c r="M2255">
        <v>-0.99978639999999996</v>
      </c>
      <c r="N2255">
        <v>-1.4872379999999999E-2</v>
      </c>
      <c r="O2255">
        <v>1.4353960000000001E-2</v>
      </c>
      <c r="P2255">
        <v>-0.99894579999999999</v>
      </c>
      <c r="Q2255">
        <v>-3.450889E-2</v>
      </c>
      <c r="R2255">
        <v>-3.028111E-2</v>
      </c>
      <c r="S2255">
        <v>-3.001312</v>
      </c>
      <c r="T2255">
        <v>9.126782E-3</v>
      </c>
      <c r="U2255">
        <v>-7.1868899999999999E-2</v>
      </c>
      <c r="V2255">
        <v>-4.4617400000000002E-2</v>
      </c>
      <c r="W2255">
        <v>-1.9658289999999998E-2</v>
      </c>
      <c r="X2255">
        <v>0.99881070000000005</v>
      </c>
      <c r="Y2255">
        <v>-3.8286319999999999E-2</v>
      </c>
      <c r="Z2255" s="1">
        <v>3.0542169999999998E-5</v>
      </c>
      <c r="AA2255">
        <v>0.99926680000000001</v>
      </c>
      <c r="AB2255">
        <v>39</v>
      </c>
      <c r="AC2255">
        <v>-250.82490000000001</v>
      </c>
      <c r="AD2255">
        <v>0.76325699999999996</v>
      </c>
      <c r="AE2255">
        <v>-6.0137999999999998</v>
      </c>
      <c r="AF2255">
        <v>-9.6138200272119505</v>
      </c>
      <c r="AG2255">
        <v>0.76325699999999996</v>
      </c>
      <c r="AH2255">
        <v>250.71040187557401</v>
      </c>
      <c r="AI2255">
        <v>89.825698683160695</v>
      </c>
      <c r="AJ2255">
        <v>92.196006062301393</v>
      </c>
      <c r="AK2255">
        <v>250.895822415152</v>
      </c>
      <c r="AL2255">
        <v>91.126409621226998</v>
      </c>
      <c r="AM2255">
        <v>92.557732269742502</v>
      </c>
      <c r="AN2255">
        <v>0.99999998759148701</v>
      </c>
    </row>
    <row r="2256" spans="1:40" x14ac:dyDescent="0.25">
      <c r="A2256" t="str">
        <f>"20190303153818570"</f>
        <v>20190303153818570</v>
      </c>
      <c r="B2256" t="str">
        <f>"1551598698561307"</f>
        <v>1551598698561307</v>
      </c>
      <c r="C2256" t="s">
        <v>40</v>
      </c>
      <c r="D2256">
        <v>4.295725</v>
      </c>
      <c r="E2256">
        <v>0.50224250000000004</v>
      </c>
      <c r="F2256" t="s">
        <v>59</v>
      </c>
      <c r="G2256">
        <v>-511.95920000000001</v>
      </c>
      <c r="H2256">
        <v>1.7911490000000001</v>
      </c>
      <c r="I2256">
        <v>276.70690000000002</v>
      </c>
      <c r="J2256">
        <v>-261.52890000000002</v>
      </c>
      <c r="K2256">
        <v>1.121048</v>
      </c>
      <c r="L2256">
        <v>282.87959999999998</v>
      </c>
      <c r="M2256">
        <v>-0.99978719999999999</v>
      </c>
      <c r="N2256">
        <v>-1.489354E-2</v>
      </c>
      <c r="O2256">
        <v>1.427961E-2</v>
      </c>
      <c r="P2256">
        <v>-0.99894700000000003</v>
      </c>
      <c r="Q2256">
        <v>-3.3851720000000002E-2</v>
      </c>
      <c r="R2256">
        <v>-3.0972940000000001E-2</v>
      </c>
      <c r="S2256">
        <v>-3.0012210000000001</v>
      </c>
      <c r="T2256">
        <v>8.0192089999999994E-3</v>
      </c>
      <c r="U2256">
        <v>-7.3791499999999996E-2</v>
      </c>
      <c r="V2256">
        <v>-4.5234749999999997E-2</v>
      </c>
      <c r="W2256">
        <v>-1.898118E-2</v>
      </c>
      <c r="X2256">
        <v>0.99879600000000002</v>
      </c>
      <c r="Y2256">
        <v>-3.8852539999999998E-2</v>
      </c>
      <c r="Z2256" s="1">
        <v>1.3312319999999999E-5</v>
      </c>
      <c r="AA2256">
        <v>0.99924489999999999</v>
      </c>
      <c r="AB2256">
        <v>39</v>
      </c>
      <c r="AC2256">
        <v>-250.43029999999999</v>
      </c>
      <c r="AD2256">
        <v>0.67010099999999995</v>
      </c>
      <c r="AE2256">
        <v>-6.1726999999999599</v>
      </c>
      <c r="AF2256">
        <v>-9.7484441366608507</v>
      </c>
      <c r="AG2256">
        <v>0.67010099999999995</v>
      </c>
      <c r="AH2256">
        <v>250.31481610011201</v>
      </c>
      <c r="AI2256">
        <v>89.846733863369806</v>
      </c>
      <c r="AJ2256">
        <v>92.230241865323606</v>
      </c>
      <c r="AK2256">
        <v>250.505465724141</v>
      </c>
      <c r="AL2256">
        <v>91.087606863865602</v>
      </c>
      <c r="AM2256">
        <v>92.593112544725102</v>
      </c>
      <c r="AN2256">
        <v>0.99999995870887604</v>
      </c>
    </row>
    <row r="2257" spans="1:40" x14ac:dyDescent="0.25">
      <c r="A2257" t="str">
        <f>"20190303153818582"</f>
        <v>20190303153818582</v>
      </c>
      <c r="B2257" t="str">
        <f>"1551598698571064"</f>
        <v>1551598698571064</v>
      </c>
      <c r="C2257" t="s">
        <v>40</v>
      </c>
      <c r="D2257">
        <v>4.3002200000000004</v>
      </c>
      <c r="E2257">
        <v>0.50209529999999902</v>
      </c>
      <c r="F2257" t="s">
        <v>59</v>
      </c>
      <c r="G2257">
        <v>-511.95920000000001</v>
      </c>
      <c r="H2257">
        <v>1.70203699999999</v>
      </c>
      <c r="I2257">
        <v>276.43150000000003</v>
      </c>
      <c r="J2257">
        <v>-261.75220000000002</v>
      </c>
      <c r="K2257">
        <v>1.1210610000000001</v>
      </c>
      <c r="L2257">
        <v>282.88279999999997</v>
      </c>
      <c r="M2257">
        <v>-0.99978750000000005</v>
      </c>
      <c r="N2257">
        <v>-1.4903680000000001E-2</v>
      </c>
      <c r="O2257">
        <v>1.424273E-2</v>
      </c>
      <c r="P2257">
        <v>-0.99893929999999997</v>
      </c>
      <c r="Q2257">
        <v>-3.3907189999999997E-2</v>
      </c>
      <c r="R2257">
        <v>-3.1156630000000001E-2</v>
      </c>
      <c r="S2257">
        <v>-3.0010379999999999</v>
      </c>
      <c r="T2257">
        <v>6.963253E-3</v>
      </c>
      <c r="U2257">
        <v>-7.7270510000000001E-2</v>
      </c>
      <c r="V2257">
        <v>-4.5380919999999998E-2</v>
      </c>
      <c r="W2257">
        <v>-1.9026830000000002E-2</v>
      </c>
      <c r="X2257">
        <v>0.99878849999999997</v>
      </c>
      <c r="Y2257">
        <v>-3.9974849999999999E-2</v>
      </c>
      <c r="Z2257" s="1">
        <v>-6.2996989999999998E-6</v>
      </c>
      <c r="AA2257">
        <v>0.99920070000000005</v>
      </c>
      <c r="AB2257">
        <v>39</v>
      </c>
      <c r="AC2257">
        <v>-250.20699999999999</v>
      </c>
      <c r="AD2257">
        <v>0.58097599999999905</v>
      </c>
      <c r="AE2257">
        <v>-6.4512999999999403</v>
      </c>
      <c r="AF2257">
        <v>-10.0146180734537</v>
      </c>
      <c r="AG2257">
        <v>0.58097599999999905</v>
      </c>
      <c r="AH2257">
        <v>250.088373349829</v>
      </c>
      <c r="AI2257">
        <v>89.867003988822006</v>
      </c>
      <c r="AJ2257">
        <v>92.293145152845796</v>
      </c>
      <c r="AK2257">
        <v>250.289481586888</v>
      </c>
      <c r="AL2257">
        <v>91.090222889574605</v>
      </c>
      <c r="AM2257">
        <v>92.601499853438298</v>
      </c>
      <c r="AN2257">
        <v>0.99999995794607099</v>
      </c>
    </row>
    <row r="2258" spans="1:40" x14ac:dyDescent="0.25">
      <c r="A2258" t="str">
        <f>"20190303153818595"</f>
        <v>20190303153818595</v>
      </c>
      <c r="B2258" t="str">
        <f>"1551598698590584"</f>
        <v>1551598698590584</v>
      </c>
      <c r="C2258" t="s">
        <v>40</v>
      </c>
      <c r="D2258">
        <v>4.3304450000000001</v>
      </c>
      <c r="E2258">
        <v>0.50184119999999999</v>
      </c>
      <c r="F2258" t="s">
        <v>59</v>
      </c>
      <c r="G2258">
        <v>-511.95920000000001</v>
      </c>
      <c r="H2258">
        <v>1.6870189999999901</v>
      </c>
      <c r="I2258">
        <v>276.30040000000002</v>
      </c>
      <c r="J2258">
        <v>-261.96809999999999</v>
      </c>
      <c r="K2258">
        <v>1.1210659999999999</v>
      </c>
      <c r="L2258">
        <v>282.88589999999999</v>
      </c>
      <c r="M2258">
        <v>-0.9997878</v>
      </c>
      <c r="N2258">
        <v>-1.491281E-2</v>
      </c>
      <c r="O2258">
        <v>1.4209329999999999E-2</v>
      </c>
      <c r="P2258">
        <v>-0.99894360000000004</v>
      </c>
      <c r="Q2258">
        <v>-3.3891060000000001E-2</v>
      </c>
      <c r="R2258">
        <v>-3.1033689999999999E-2</v>
      </c>
      <c r="S2258">
        <v>-3.0009459999999999</v>
      </c>
      <c r="T2258">
        <v>6.7889689999999997E-3</v>
      </c>
      <c r="U2258">
        <v>-7.8948969999999993E-2</v>
      </c>
      <c r="V2258">
        <v>-4.5225210000000002E-2</v>
      </c>
      <c r="W2258">
        <v>-1.9001540000000001E-2</v>
      </c>
      <c r="X2258">
        <v>0.99879609999999996</v>
      </c>
      <c r="Y2258">
        <v>-4.0500759999999997E-2</v>
      </c>
      <c r="Z2258" s="1">
        <v>-1.224282E-5</v>
      </c>
      <c r="AA2258">
        <v>0.9991795</v>
      </c>
      <c r="AB2258">
        <v>39</v>
      </c>
      <c r="AC2258">
        <v>-249.99109999999999</v>
      </c>
      <c r="AD2258">
        <v>0.56595299999999904</v>
      </c>
      <c r="AE2258">
        <v>-6.5854999999999597</v>
      </c>
      <c r="AF2258">
        <v>-10.13738427228</v>
      </c>
      <c r="AG2258">
        <v>0.56595299999999904</v>
      </c>
      <c r="AH2258">
        <v>249.87099017073001</v>
      </c>
      <c r="AI2258">
        <v>89.870333049582399</v>
      </c>
      <c r="AJ2258">
        <v>92.323242780075404</v>
      </c>
      <c r="AK2258">
        <v>250.07718526803501</v>
      </c>
      <c r="AL2258">
        <v>91.088773556467203</v>
      </c>
      <c r="AM2258">
        <v>92.592566144834905</v>
      </c>
      <c r="AN2258">
        <v>1.0000000137585601</v>
      </c>
    </row>
    <row r="2259" spans="1:40" x14ac:dyDescent="0.25">
      <c r="A2259" t="str">
        <f>"20190303153818614"</f>
        <v>20190303153818614</v>
      </c>
      <c r="B2259" t="str">
        <f>"1551598698601321"</f>
        <v>1551598698601321</v>
      </c>
      <c r="C2259" t="s">
        <v>40</v>
      </c>
      <c r="D2259">
        <v>4.3183759999999998</v>
      </c>
      <c r="E2259">
        <v>0.50174859999999999</v>
      </c>
      <c r="F2259" t="s">
        <v>59</v>
      </c>
      <c r="G2259">
        <v>-511.95920000000001</v>
      </c>
      <c r="H2259">
        <v>1.6195489999999999</v>
      </c>
      <c r="I2259">
        <v>276.16140000000001</v>
      </c>
      <c r="J2259">
        <v>-262.31569999999999</v>
      </c>
      <c r="K2259">
        <v>1.1210639999999901</v>
      </c>
      <c r="L2259">
        <v>282.89080000000001</v>
      </c>
      <c r="M2259">
        <v>-0.99978829999999996</v>
      </c>
      <c r="N2259">
        <v>-1.492565E-2</v>
      </c>
      <c r="O2259">
        <v>1.416272E-2</v>
      </c>
      <c r="P2259">
        <v>-0.9989536</v>
      </c>
      <c r="Q2259">
        <v>-3.4187120000000001E-2</v>
      </c>
      <c r="R2259">
        <v>-3.0383279999999999E-2</v>
      </c>
      <c r="S2259">
        <v>-3.0008539999999999</v>
      </c>
      <c r="T2259">
        <v>5.9846639999999998E-3</v>
      </c>
      <c r="U2259">
        <v>-8.0718990000000004E-2</v>
      </c>
      <c r="V2259">
        <v>-4.4528659999999998E-2</v>
      </c>
      <c r="W2259">
        <v>-1.928417E-2</v>
      </c>
      <c r="X2259">
        <v>0.99882199999999999</v>
      </c>
      <c r="Y2259">
        <v>-4.1043919999999998E-2</v>
      </c>
      <c r="Z2259" s="1">
        <v>-2.5858929999999999E-5</v>
      </c>
      <c r="AA2259">
        <v>0.99915739999999997</v>
      </c>
      <c r="AB2259">
        <v>39</v>
      </c>
      <c r="AC2259">
        <v>-249.64349999999999</v>
      </c>
      <c r="AD2259">
        <v>0.49848500000000001</v>
      </c>
      <c r="AE2259">
        <v>-6.7293999999999903</v>
      </c>
      <c r="AF2259">
        <v>-10.264708894923499</v>
      </c>
      <c r="AG2259">
        <v>0.49848500000000001</v>
      </c>
      <c r="AH2259">
        <v>249.522144701211</v>
      </c>
      <c r="AI2259">
        <v>89.885633747747903</v>
      </c>
      <c r="AJ2259">
        <v>92.355674986165496</v>
      </c>
      <c r="AK2259">
        <v>249.73368501722899</v>
      </c>
      <c r="AL2259">
        <v>91.104970007701894</v>
      </c>
      <c r="AM2259">
        <v>92.552623064864704</v>
      </c>
      <c r="AN2259">
        <v>1.0000000342289901</v>
      </c>
    </row>
    <row r="2260" spans="1:40" x14ac:dyDescent="0.25">
      <c r="A2260" t="str">
        <f>"20190303153818638"</f>
        <v>20190303153818638</v>
      </c>
      <c r="B2260" t="str">
        <f>"1551598698630601"</f>
        <v>1551598698630601</v>
      </c>
      <c r="C2260" t="s">
        <v>40</v>
      </c>
      <c r="D2260">
        <v>4.3119990000000001</v>
      </c>
      <c r="E2260">
        <v>0.50146880000000005</v>
      </c>
      <c r="F2260" t="s">
        <v>59</v>
      </c>
      <c r="G2260">
        <v>-511.95909999999998</v>
      </c>
      <c r="H2260">
        <v>1.4965550000000001</v>
      </c>
      <c r="I2260">
        <v>276.29500000000002</v>
      </c>
      <c r="J2260">
        <v>-262.72280000000001</v>
      </c>
      <c r="K2260">
        <v>1.1210580000000001</v>
      </c>
      <c r="L2260">
        <v>282.8965</v>
      </c>
      <c r="M2260">
        <v>-0.99978869999999997</v>
      </c>
      <c r="N2260">
        <v>-1.4938079999999999E-2</v>
      </c>
      <c r="O2260">
        <v>1.4122559999999999E-2</v>
      </c>
      <c r="P2260">
        <v>-0.99897769999999997</v>
      </c>
      <c r="Q2260">
        <v>-3.476663E-2</v>
      </c>
      <c r="R2260">
        <v>-2.8894670000000001E-2</v>
      </c>
      <c r="S2260">
        <v>-3.0008539999999999</v>
      </c>
      <c r="T2260">
        <v>4.5145749999999998E-3</v>
      </c>
      <c r="U2260">
        <v>-7.9284670000000002E-2</v>
      </c>
      <c r="V2260">
        <v>-4.3000709999999998E-2</v>
      </c>
      <c r="W2260">
        <v>-1.9849740000000001E-2</v>
      </c>
      <c r="X2260">
        <v>0.99887780000000004</v>
      </c>
      <c r="Y2260">
        <v>-4.0526560000000003E-2</v>
      </c>
      <c r="Z2260" s="1">
        <v>-4.0107120000000002E-5</v>
      </c>
      <c r="AA2260">
        <v>0.99917849999999997</v>
      </c>
      <c r="AB2260">
        <v>39</v>
      </c>
      <c r="AC2260">
        <v>-249.2363</v>
      </c>
      <c r="AD2260">
        <v>0.37549700000000003</v>
      </c>
      <c r="AE2260">
        <v>-6.6014999999999802</v>
      </c>
      <c r="AF2260">
        <v>-10.1210658613627</v>
      </c>
      <c r="AG2260">
        <v>0.37549700000000003</v>
      </c>
      <c r="AH2260">
        <v>249.117632998419</v>
      </c>
      <c r="AI2260">
        <v>89.913708865729404</v>
      </c>
      <c r="AJ2260">
        <v>92.326513814075199</v>
      </c>
      <c r="AK2260">
        <v>249.32342858805299</v>
      </c>
      <c r="AL2260">
        <v>91.137381063451997</v>
      </c>
      <c r="AM2260">
        <v>92.465005156893</v>
      </c>
      <c r="AN2260">
        <v>0.99999996628570498</v>
      </c>
    </row>
    <row r="2261" spans="1:40" x14ac:dyDescent="0.25">
      <c r="A2261" t="str">
        <f>"20190303153818651"</f>
        <v>20190303153818651</v>
      </c>
      <c r="B2261" t="str">
        <f>"1551598698641336"</f>
        <v>1551598698641336</v>
      </c>
      <c r="C2261" t="s">
        <v>40</v>
      </c>
      <c r="D2261">
        <v>4.3168439999999997</v>
      </c>
      <c r="E2261">
        <v>0.50137109999999996</v>
      </c>
      <c r="F2261" t="s">
        <v>59</v>
      </c>
      <c r="G2261">
        <v>-511.959</v>
      </c>
      <c r="H2261">
        <v>1.3160149999999999</v>
      </c>
      <c r="I2261">
        <v>276.50670000000002</v>
      </c>
      <c r="J2261">
        <v>-262.9477</v>
      </c>
      <c r="K2261">
        <v>1.1210549999999999</v>
      </c>
      <c r="L2261">
        <v>282.8997</v>
      </c>
      <c r="M2261">
        <v>-0.99978880000000003</v>
      </c>
      <c r="N2261">
        <v>-1.494408E-2</v>
      </c>
      <c r="O2261">
        <v>1.410584E-2</v>
      </c>
      <c r="P2261">
        <v>-0.99898730000000002</v>
      </c>
      <c r="Q2261">
        <v>-3.513844E-2</v>
      </c>
      <c r="R2261">
        <v>-2.809998E-2</v>
      </c>
      <c r="S2261">
        <v>-3.0008849999999998</v>
      </c>
      <c r="T2261">
        <v>2.3483039999999998E-3</v>
      </c>
      <c r="U2261">
        <v>-7.6934810000000006E-2</v>
      </c>
      <c r="V2261">
        <v>-4.2189259999999999E-2</v>
      </c>
      <c r="W2261">
        <v>-2.021475E-2</v>
      </c>
      <c r="X2261">
        <v>0.99890509999999999</v>
      </c>
      <c r="Y2261">
        <v>-3.9727650000000003E-2</v>
      </c>
      <c r="Z2261" s="1">
        <v>-5.9561890000000002E-5</v>
      </c>
      <c r="AA2261">
        <v>0.9992105</v>
      </c>
      <c r="AB2261">
        <v>39</v>
      </c>
      <c r="AC2261">
        <v>-249.01130000000001</v>
      </c>
      <c r="AD2261">
        <v>0.19495999999999999</v>
      </c>
      <c r="AE2261">
        <v>-6.3929999999999696</v>
      </c>
      <c r="AF2261">
        <v>-9.90526367126769</v>
      </c>
      <c r="AG2261">
        <v>0.19495999999999999</v>
      </c>
      <c r="AH2261">
        <v>248.896178575644</v>
      </c>
      <c r="AI2261">
        <v>89.955155809462099</v>
      </c>
      <c r="AJ2261">
        <v>92.278984258893999</v>
      </c>
      <c r="AK2261">
        <v>249.09327563657399</v>
      </c>
      <c r="AL2261">
        <v>91.158298773362901</v>
      </c>
      <c r="AM2261">
        <v>92.418478730453899</v>
      </c>
      <c r="AN2261">
        <v>0.99999998429145898</v>
      </c>
    </row>
    <row r="2262" spans="1:40" x14ac:dyDescent="0.25">
      <c r="A2262" t="str">
        <f>"20190303153818662"</f>
        <v>20190303153818662</v>
      </c>
      <c r="B2262" t="str">
        <f>"1551598698651095"</f>
        <v>1551598698651095</v>
      </c>
      <c r="C2262" t="s">
        <v>40</v>
      </c>
      <c r="D2262">
        <v>4.3057089999999896</v>
      </c>
      <c r="E2262">
        <v>0.50123890000000004</v>
      </c>
      <c r="F2262" t="s">
        <v>59</v>
      </c>
      <c r="G2262">
        <v>-511.959</v>
      </c>
      <c r="H2262">
        <v>1.212601</v>
      </c>
      <c r="I2262">
        <v>276.63990000000001</v>
      </c>
      <c r="J2262">
        <v>-263.16449999999998</v>
      </c>
      <c r="K2262">
        <v>1.1210519999999999</v>
      </c>
      <c r="L2262">
        <v>282.90269999999998</v>
      </c>
      <c r="M2262">
        <v>-0.99978889999999998</v>
      </c>
      <c r="N2262">
        <v>-1.4948960000000001E-2</v>
      </c>
      <c r="O2262">
        <v>1.4094489999999999E-2</v>
      </c>
      <c r="P2262">
        <v>-0.99900599999999995</v>
      </c>
      <c r="Q2262">
        <v>-3.516217E-2</v>
      </c>
      <c r="R2262">
        <v>-2.739144E-2</v>
      </c>
      <c r="S2262">
        <v>-3.0009459999999999</v>
      </c>
      <c r="T2262">
        <v>1.104236E-3</v>
      </c>
      <c r="U2262">
        <v>-7.5439450000000005E-2</v>
      </c>
      <c r="V2262">
        <v>-4.1469979999999997E-2</v>
      </c>
      <c r="W2262">
        <v>-2.0232739999999999E-2</v>
      </c>
      <c r="X2262">
        <v>0.99893489999999996</v>
      </c>
      <c r="Y2262">
        <v>-3.921819E-2</v>
      </c>
      <c r="Z2262" s="1">
        <v>-7.0125969999999997E-5</v>
      </c>
      <c r="AA2262">
        <v>0.99923070000000003</v>
      </c>
      <c r="AB2262">
        <v>39</v>
      </c>
      <c r="AC2262">
        <v>-248.7945</v>
      </c>
      <c r="AD2262">
        <v>9.1549000000000103E-2</v>
      </c>
      <c r="AE2262">
        <v>-6.2627999999999702</v>
      </c>
      <c r="AF2262">
        <v>-9.7691999663932201</v>
      </c>
      <c r="AG2262">
        <v>9.1549000000000103E-2</v>
      </c>
      <c r="AH2262">
        <v>248.681466667042</v>
      </c>
      <c r="AI2262">
        <v>89.978923526472698</v>
      </c>
      <c r="AJ2262">
        <v>92.249649996217201</v>
      </c>
      <c r="AK2262">
        <v>248.87329610240201</v>
      </c>
      <c r="AL2262">
        <v>91.159329683787305</v>
      </c>
      <c r="AM2262">
        <v>92.377223233799995</v>
      </c>
      <c r="AN2262">
        <v>1.00000002872355</v>
      </c>
    </row>
    <row r="2263" spans="1:40" x14ac:dyDescent="0.25">
      <c r="A2263" t="str">
        <f>"20190303153818681"</f>
        <v>20190303153818681</v>
      </c>
      <c r="B2263" t="str">
        <f>"1551598698670620"</f>
        <v>1551598698670620</v>
      </c>
      <c r="C2263" t="s">
        <v>40</v>
      </c>
      <c r="D2263">
        <v>4.2888859999999998</v>
      </c>
      <c r="E2263">
        <v>0.50102120000000006</v>
      </c>
      <c r="F2263" t="s">
        <v>59</v>
      </c>
      <c r="G2263">
        <v>-511.959</v>
      </c>
      <c r="H2263">
        <v>1.1870590000000001</v>
      </c>
      <c r="I2263">
        <v>276.7294</v>
      </c>
      <c r="J2263">
        <v>-263.47430000000003</v>
      </c>
      <c r="K2263">
        <v>1.121048</v>
      </c>
      <c r="L2263">
        <v>282.90710000000001</v>
      </c>
      <c r="M2263">
        <v>-0.99978909999999999</v>
      </c>
      <c r="N2263">
        <v>-1.4955059999999999E-2</v>
      </c>
      <c r="O2263">
        <v>1.4082030000000001E-2</v>
      </c>
      <c r="P2263">
        <v>-0.99902389999999996</v>
      </c>
      <c r="Q2263">
        <v>-3.5561429999999998E-2</v>
      </c>
      <c r="R2263">
        <v>-2.6206980000000001E-2</v>
      </c>
      <c r="S2263">
        <v>-3.0009769999999998</v>
      </c>
      <c r="T2263">
        <v>7.9715250000000004E-4</v>
      </c>
      <c r="U2263">
        <v>-7.4462890000000004E-2</v>
      </c>
      <c r="V2263">
        <v>-4.0273570000000002E-2</v>
      </c>
      <c r="W2263">
        <v>-2.0624779999999999E-2</v>
      </c>
      <c r="X2263">
        <v>0.99897579999999997</v>
      </c>
      <c r="Y2263">
        <v>-3.8880499999999998E-2</v>
      </c>
      <c r="Z2263" s="1">
        <v>-7.1314919999999999E-5</v>
      </c>
      <c r="AA2263">
        <v>0.99924389999999996</v>
      </c>
      <c r="AB2263">
        <v>39</v>
      </c>
      <c r="AC2263">
        <v>-248.4847</v>
      </c>
      <c r="AD2263">
        <v>6.6011E-2</v>
      </c>
      <c r="AE2263">
        <v>-6.1777000000000104</v>
      </c>
      <c r="AF2263">
        <v>-9.6766466338003294</v>
      </c>
      <c r="AG2263">
        <v>6.6011E-2</v>
      </c>
      <c r="AH2263">
        <v>248.37303377460501</v>
      </c>
      <c r="AI2263">
        <v>89.984783837561395</v>
      </c>
      <c r="AJ2263">
        <v>92.231122826023906</v>
      </c>
      <c r="AK2263">
        <v>248.56147278677099</v>
      </c>
      <c r="AL2263">
        <v>91.181796648567101</v>
      </c>
      <c r="AM2263">
        <v>92.3086211740397</v>
      </c>
      <c r="AN2263">
        <v>0.99999999548811602</v>
      </c>
    </row>
    <row r="2264" spans="1:40" x14ac:dyDescent="0.25">
      <c r="A2264" t="str">
        <f>"20190303153818694"</f>
        <v>20190303153818694</v>
      </c>
      <c r="B2264" t="str">
        <f>"1551598698681352"</f>
        <v>1551598698681352</v>
      </c>
      <c r="C2264" t="s">
        <v>40</v>
      </c>
      <c r="D2264">
        <v>4.2806160000000002</v>
      </c>
      <c r="E2264">
        <v>0.50091549999999996</v>
      </c>
      <c r="F2264" t="s">
        <v>59</v>
      </c>
      <c r="G2264">
        <v>-511.959</v>
      </c>
      <c r="H2264">
        <v>0.9750972</v>
      </c>
      <c r="I2264">
        <v>276.89049999999997</v>
      </c>
      <c r="J2264">
        <v>-263.6943</v>
      </c>
      <c r="K2264">
        <v>1.121048</v>
      </c>
      <c r="L2264">
        <v>282.91019999999997</v>
      </c>
      <c r="M2264">
        <v>-0.99978909999999999</v>
      </c>
      <c r="N2264">
        <v>-1.4958829999999999E-2</v>
      </c>
      <c r="O2264">
        <v>1.407604E-2</v>
      </c>
      <c r="P2264">
        <v>-0.99902679999999999</v>
      </c>
      <c r="Q2264">
        <v>-3.567145E-2</v>
      </c>
      <c r="R2264">
        <v>-2.5948820000000001E-2</v>
      </c>
      <c r="S2264">
        <v>-3.0009459999999999</v>
      </c>
      <c r="T2264">
        <v>-1.7616750000000001E-3</v>
      </c>
      <c r="U2264">
        <v>-7.2662350000000001E-2</v>
      </c>
      <c r="V2264">
        <v>-4.0009580000000003E-2</v>
      </c>
      <c r="W2264">
        <v>-2.0730599999999998E-2</v>
      </c>
      <c r="X2264">
        <v>0.99898419999999999</v>
      </c>
      <c r="Y2264">
        <v>-3.827552E-2</v>
      </c>
      <c r="Z2264" s="1">
        <v>-9.5293539999999994E-5</v>
      </c>
      <c r="AA2264">
        <v>0.99926720000000002</v>
      </c>
      <c r="AB2264">
        <v>39</v>
      </c>
      <c r="AC2264">
        <v>-248.2647</v>
      </c>
      <c r="AD2264">
        <v>-0.14595079999999999</v>
      </c>
      <c r="AE2264">
        <v>-6.0197000000000003</v>
      </c>
      <c r="AF2264">
        <v>-9.5140748383527196</v>
      </c>
      <c r="AG2264">
        <v>-0.14595079999999999</v>
      </c>
      <c r="AH2264">
        <v>248.155269601312</v>
      </c>
      <c r="AI2264">
        <v>90.033673372233807</v>
      </c>
      <c r="AJ2264">
        <v>92.195599080302202</v>
      </c>
      <c r="AK2264">
        <v>248.337626534051</v>
      </c>
      <c r="AL2264">
        <v>91.1878610052851</v>
      </c>
      <c r="AM2264">
        <v>92.293485297491301</v>
      </c>
      <c r="AN2264">
        <v>0.99999997805888796</v>
      </c>
    </row>
    <row r="2265" spans="1:40" x14ac:dyDescent="0.25">
      <c r="A2265" t="str">
        <f>"20190303153818705"</f>
        <v>20190303153818705</v>
      </c>
      <c r="B2265" t="str">
        <f>"1551598698700872"</f>
        <v>1551598698700872</v>
      </c>
      <c r="C2265" t="s">
        <v>40</v>
      </c>
      <c r="D2265">
        <v>4.3262739999999997</v>
      </c>
      <c r="E2265">
        <v>0.50072329999999998</v>
      </c>
      <c r="F2265" t="s">
        <v>59</v>
      </c>
      <c r="G2265">
        <v>-511.95890000000003</v>
      </c>
      <c r="H2265">
        <v>0.89374379999999998</v>
      </c>
      <c r="I2265">
        <v>276.8963</v>
      </c>
      <c r="J2265">
        <v>-263.91199999999998</v>
      </c>
      <c r="K2265">
        <v>1.121048</v>
      </c>
      <c r="L2265">
        <v>282.91329999999999</v>
      </c>
      <c r="M2265">
        <v>-0.99978920000000004</v>
      </c>
      <c r="N2265">
        <v>-1.4962110000000001E-2</v>
      </c>
      <c r="O2265">
        <v>1.4072370000000001E-2</v>
      </c>
      <c r="P2265">
        <v>-0.99904320000000002</v>
      </c>
      <c r="Q2265">
        <v>-3.5580929999999997E-2</v>
      </c>
      <c r="R2265">
        <v>-2.543422E-2</v>
      </c>
      <c r="S2265">
        <v>-3.0009160000000001</v>
      </c>
      <c r="T2265">
        <v>-2.746582E-3</v>
      </c>
      <c r="U2265">
        <v>-7.2692870000000007E-2</v>
      </c>
      <c r="V2265">
        <v>-3.9491869999999998E-2</v>
      </c>
      <c r="W2265">
        <v>-2.0636189999999999E-2</v>
      </c>
      <c r="X2265">
        <v>0.99900670000000003</v>
      </c>
      <c r="Y2265">
        <v>-3.8282200000000002E-2</v>
      </c>
      <c r="Z2265">
        <v>-1.063146E-4</v>
      </c>
      <c r="AA2265">
        <v>0.99926700000000002</v>
      </c>
      <c r="AB2265">
        <v>39</v>
      </c>
      <c r="AC2265">
        <v>-248.04689999999999</v>
      </c>
      <c r="AD2265">
        <v>-0.22730420000000001</v>
      </c>
      <c r="AE2265">
        <v>-6.0169999999999897</v>
      </c>
      <c r="AF2265">
        <v>-9.50739401694746</v>
      </c>
      <c r="AG2265">
        <v>-0.22730420000000001</v>
      </c>
      <c r="AH2265">
        <v>247.93744173349</v>
      </c>
      <c r="AI2265">
        <v>90.052489059896999</v>
      </c>
      <c r="AJ2265">
        <v>92.195984554669295</v>
      </c>
      <c r="AK2265">
        <v>248.11976386725101</v>
      </c>
      <c r="AL2265">
        <v>91.182450617846499</v>
      </c>
      <c r="AM2265">
        <v>92.263788543517705</v>
      </c>
      <c r="AN2265">
        <v>0.99999992338934796</v>
      </c>
    </row>
    <row r="2266" spans="1:40" x14ac:dyDescent="0.25">
      <c r="A2266" t="str">
        <f>"20190303153818717"</f>
        <v>20190303153818717</v>
      </c>
      <c r="B2266" t="str">
        <f>"1551598698710632"</f>
        <v>1551598698710632</v>
      </c>
      <c r="C2266" t="s">
        <v>40</v>
      </c>
      <c r="D2266">
        <v>4.2995449999999904</v>
      </c>
      <c r="E2266">
        <v>0.50063849999999999</v>
      </c>
      <c r="F2266" t="s">
        <v>59</v>
      </c>
      <c r="G2266">
        <v>-511.95890000000003</v>
      </c>
      <c r="H2266">
        <v>0.86011579999999999</v>
      </c>
      <c r="I2266">
        <v>276.89960000000002</v>
      </c>
      <c r="J2266">
        <v>-264.11489999999998</v>
      </c>
      <c r="K2266">
        <v>1.1210519999999999</v>
      </c>
      <c r="L2266">
        <v>282.91609999999997</v>
      </c>
      <c r="M2266">
        <v>-0.99978909999999999</v>
      </c>
      <c r="N2266">
        <v>-1.496463E-2</v>
      </c>
      <c r="O2266">
        <v>1.4070890000000001E-2</v>
      </c>
      <c r="P2266">
        <v>-0.99904099999999996</v>
      </c>
      <c r="Q2266">
        <v>-3.5808149999999997E-2</v>
      </c>
      <c r="R2266">
        <v>-2.5204859999999999E-2</v>
      </c>
      <c r="S2266">
        <v>-3.0009160000000001</v>
      </c>
      <c r="T2266">
        <v>-3.1558279999999998E-3</v>
      </c>
      <c r="U2266">
        <v>-7.2753910000000005E-2</v>
      </c>
      <c r="V2266">
        <v>-3.9261119999999997E-2</v>
      </c>
      <c r="W2266">
        <v>-2.0860670000000001E-2</v>
      </c>
      <c r="X2266">
        <v>0.99901119999999999</v>
      </c>
      <c r="Y2266">
        <v>-3.830103E-2</v>
      </c>
      <c r="Z2266">
        <v>-1.1102759999999999E-4</v>
      </c>
      <c r="AA2266">
        <v>0.99926630000000005</v>
      </c>
      <c r="AB2266">
        <v>39</v>
      </c>
      <c r="AC2266">
        <v>-247.84399999999999</v>
      </c>
      <c r="AD2266">
        <v>-0.26093619999999901</v>
      </c>
      <c r="AE2266">
        <v>-6.01649999999995</v>
      </c>
      <c r="AF2266">
        <v>-9.5036696109930894</v>
      </c>
      <c r="AG2266">
        <v>-0.26093619999999901</v>
      </c>
      <c r="AH2266">
        <v>247.73451656359899</v>
      </c>
      <c r="AI2266">
        <v>90.060304670856198</v>
      </c>
      <c r="AJ2266">
        <v>92.196921463640095</v>
      </c>
      <c r="AK2266">
        <v>247.916878249093</v>
      </c>
      <c r="AL2266">
        <v>91.1953150646913</v>
      </c>
      <c r="AM2266">
        <v>92.250564798375606</v>
      </c>
      <c r="AN2266">
        <v>0.99999999041097098</v>
      </c>
    </row>
    <row r="2267" spans="1:40" x14ac:dyDescent="0.25">
      <c r="A2267" t="str">
        <f>"20190303153818730"</f>
        <v>20190303153818730</v>
      </c>
      <c r="B2267" t="str">
        <f>"1551598698721368"</f>
        <v>1551598698721368</v>
      </c>
      <c r="C2267" t="s">
        <v>40</v>
      </c>
      <c r="D2267">
        <v>4.2842070000000003</v>
      </c>
      <c r="E2267">
        <v>0.50055919999999998</v>
      </c>
      <c r="F2267" t="s">
        <v>59</v>
      </c>
      <c r="G2267">
        <v>-511.95890000000003</v>
      </c>
      <c r="H2267">
        <v>0.75551080000000004</v>
      </c>
      <c r="I2267">
        <v>276.9375</v>
      </c>
      <c r="J2267">
        <v>-264.33449999999999</v>
      </c>
      <c r="K2267">
        <v>1.1210530000000001</v>
      </c>
      <c r="L2267">
        <v>282.91919999999999</v>
      </c>
      <c r="M2267">
        <v>-0.99978900000000004</v>
      </c>
      <c r="N2267">
        <v>-1.4967100000000001E-2</v>
      </c>
      <c r="O2267">
        <v>1.406954E-2</v>
      </c>
      <c r="P2267">
        <v>-0.99903909999999996</v>
      </c>
      <c r="Q2267">
        <v>-3.6018330000000001E-2</v>
      </c>
      <c r="R2267">
        <v>-2.4978400000000001E-2</v>
      </c>
      <c r="S2267">
        <v>-3.0008539999999999</v>
      </c>
      <c r="T2267">
        <v>-4.4249299999999997E-3</v>
      </c>
      <c r="U2267">
        <v>-7.2387699999999999E-2</v>
      </c>
      <c r="V2267">
        <v>-3.9033730000000003E-2</v>
      </c>
      <c r="W2267">
        <v>-2.1068150000000001E-2</v>
      </c>
      <c r="X2267">
        <v>0.99901569999999995</v>
      </c>
      <c r="Y2267">
        <v>-3.817823E-2</v>
      </c>
      <c r="Z2267">
        <v>-1.2409690000000001E-4</v>
      </c>
      <c r="AA2267">
        <v>0.99927089999999996</v>
      </c>
      <c r="AB2267">
        <v>39</v>
      </c>
      <c r="AC2267">
        <v>-247.62440000000001</v>
      </c>
      <c r="AD2267">
        <v>-0.36554219999999998</v>
      </c>
      <c r="AE2267">
        <v>-5.9816999999999796</v>
      </c>
      <c r="AF2267">
        <v>-9.4654388549553001</v>
      </c>
      <c r="AG2267">
        <v>-0.36554219999999998</v>
      </c>
      <c r="AH2267">
        <v>247.51517617351499</v>
      </c>
      <c r="AI2267">
        <v>90.084555268563605</v>
      </c>
      <c r="AJ2267">
        <v>92.190029569072294</v>
      </c>
      <c r="AK2267">
        <v>247.696367736838</v>
      </c>
      <c r="AL2267">
        <v>91.207205474577407</v>
      </c>
      <c r="AM2267">
        <v>92.237533342258203</v>
      </c>
      <c r="AN2267">
        <v>0.99999993393430997</v>
      </c>
    </row>
    <row r="2268" spans="1:40" x14ac:dyDescent="0.25">
      <c r="A2268" t="str">
        <f>"20190303153818741"</f>
        <v>20190303153818741</v>
      </c>
      <c r="B2268" t="str">
        <f>"1551598698731128"</f>
        <v>1551598698731128</v>
      </c>
      <c r="C2268" t="s">
        <v>40</v>
      </c>
      <c r="D2268">
        <v>4.2979849999999997</v>
      </c>
      <c r="E2268">
        <v>0.50047189999999997</v>
      </c>
      <c r="F2268" t="s">
        <v>59</v>
      </c>
      <c r="G2268">
        <v>-511.9588</v>
      </c>
      <c r="H2268">
        <v>0.66488329999999995</v>
      </c>
      <c r="I2268">
        <v>276.9511</v>
      </c>
      <c r="J2268">
        <v>-264.53719999999998</v>
      </c>
      <c r="K2268">
        <v>1.1210599999999999</v>
      </c>
      <c r="L2268">
        <v>282.9221</v>
      </c>
      <c r="M2268">
        <v>-0.99978900000000004</v>
      </c>
      <c r="N2268">
        <v>-1.496888E-2</v>
      </c>
      <c r="O2268">
        <v>1.4069730000000001E-2</v>
      </c>
      <c r="P2268">
        <v>-0.99903200000000003</v>
      </c>
      <c r="Q2268">
        <v>-3.6343760000000003E-2</v>
      </c>
      <c r="R2268">
        <v>-2.4784540000000001E-2</v>
      </c>
      <c r="S2268">
        <v>-3.0009160000000001</v>
      </c>
      <c r="T2268">
        <v>-5.5272580000000002E-3</v>
      </c>
      <c r="U2268">
        <v>-7.2326660000000001E-2</v>
      </c>
      <c r="V2268">
        <v>-3.8840050000000001E-2</v>
      </c>
      <c r="W2268">
        <v>-2.13917E-2</v>
      </c>
      <c r="X2268">
        <v>0.99901649999999997</v>
      </c>
      <c r="Y2268">
        <v>-3.8157570000000002E-2</v>
      </c>
      <c r="Z2268">
        <v>-1.3610709999999901E-4</v>
      </c>
      <c r="AA2268">
        <v>0.99927180000000004</v>
      </c>
      <c r="AB2268">
        <v>39</v>
      </c>
      <c r="AC2268">
        <v>-247.42160000000001</v>
      </c>
      <c r="AD2268">
        <v>-0.45617669999999899</v>
      </c>
      <c r="AE2268">
        <v>-5.9710000000000001</v>
      </c>
      <c r="AF2268">
        <v>-9.4519217853501694</v>
      </c>
      <c r="AG2268">
        <v>-0.45617669999999899</v>
      </c>
      <c r="AH2268">
        <v>247.31224387377401</v>
      </c>
      <c r="AI2268">
        <v>90.105606992572902</v>
      </c>
      <c r="AJ2268">
        <v>92.1886978704147</v>
      </c>
      <c r="AK2268">
        <v>247.49321787172099</v>
      </c>
      <c r="AL2268">
        <v>91.225747548877706</v>
      </c>
      <c r="AM2268">
        <v>92.226440429228703</v>
      </c>
      <c r="AN2268">
        <v>1.0000000607925601</v>
      </c>
    </row>
    <row r="2269" spans="1:40" x14ac:dyDescent="0.25">
      <c r="A2269" t="str">
        <f>"20190303153818759"</f>
        <v>20190303153818759</v>
      </c>
      <c r="B2269" t="str">
        <f>"1551598698750651"</f>
        <v>1551598698750651</v>
      </c>
      <c r="C2269" t="s">
        <v>40</v>
      </c>
      <c r="D2269">
        <v>4.3056359999999998</v>
      </c>
      <c r="E2269">
        <v>0.50038209999999905</v>
      </c>
      <c r="F2269" t="s">
        <v>59</v>
      </c>
      <c r="G2269">
        <v>-511.9588</v>
      </c>
      <c r="H2269">
        <v>0.54532669999999905</v>
      </c>
      <c r="I2269">
        <v>276.9511</v>
      </c>
      <c r="J2269">
        <v>-264.84660000000002</v>
      </c>
      <c r="K2269">
        <v>1.1210599999999999</v>
      </c>
      <c r="L2269">
        <v>282.9264</v>
      </c>
      <c r="M2269">
        <v>-0.99978900000000004</v>
      </c>
      <c r="N2269">
        <v>-1.4971140000000001E-2</v>
      </c>
      <c r="O2269">
        <v>1.40704E-2</v>
      </c>
      <c r="P2269">
        <v>-0.9990059</v>
      </c>
      <c r="Q2269">
        <v>-3.7172730000000001E-2</v>
      </c>
      <c r="R2269">
        <v>-2.461317E-2</v>
      </c>
      <c r="S2269">
        <v>-3.0008240000000002</v>
      </c>
      <c r="T2269">
        <v>-6.9817300000000002E-3</v>
      </c>
      <c r="U2269">
        <v>-7.2418209999999997E-2</v>
      </c>
      <c r="V2269">
        <v>-3.8669290000000002E-2</v>
      </c>
      <c r="W2269">
        <v>-2.2218499999999999E-2</v>
      </c>
      <c r="X2269">
        <v>0.99900500000000003</v>
      </c>
      <c r="Y2269">
        <v>-3.8189359999999999E-2</v>
      </c>
      <c r="Z2269">
        <v>-1.5245189999999999E-4</v>
      </c>
      <c r="AA2269">
        <v>0.99927049999999995</v>
      </c>
      <c r="AB2269">
        <v>39</v>
      </c>
      <c r="AC2269">
        <v>-247.1122</v>
      </c>
      <c r="AD2269">
        <v>-0.5757333</v>
      </c>
      <c r="AE2269">
        <v>-5.9752999999999998</v>
      </c>
      <c r="AF2269">
        <v>-9.4520140261903496</v>
      </c>
      <c r="AG2269">
        <v>-0.5757333</v>
      </c>
      <c r="AH2269">
        <v>247.00230787890999</v>
      </c>
      <c r="AI2269">
        <v>90.133451800356099</v>
      </c>
      <c r="AJ2269">
        <v>92.191462915689499</v>
      </c>
      <c r="AK2269">
        <v>247.18376187664799</v>
      </c>
      <c r="AL2269">
        <v>91.273131062916406</v>
      </c>
      <c r="AM2269">
        <v>92.216687177485099</v>
      </c>
      <c r="AN2269">
        <v>0.99999998287817604</v>
      </c>
    </row>
    <row r="2270" spans="1:40" x14ac:dyDescent="0.25">
      <c r="A2270" t="str">
        <f>"20190303153818773"</f>
        <v>20190303153818773</v>
      </c>
      <c r="B2270" t="str">
        <f>"1551598698761384"</f>
        <v>1551598698761384</v>
      </c>
      <c r="C2270" t="s">
        <v>40</v>
      </c>
      <c r="D2270">
        <v>4.3144739999999997</v>
      </c>
      <c r="E2270">
        <v>0.5003031</v>
      </c>
      <c r="F2270" t="s">
        <v>59</v>
      </c>
      <c r="G2270">
        <v>-511.95870000000002</v>
      </c>
      <c r="H2270">
        <v>0.27768730000000003</v>
      </c>
      <c r="I2270">
        <v>276.94029999999998</v>
      </c>
      <c r="J2270">
        <v>-265.07100000000003</v>
      </c>
      <c r="K2270">
        <v>1.1210599999999999</v>
      </c>
      <c r="L2270">
        <v>282.92959999999999</v>
      </c>
      <c r="M2270">
        <v>-0.99978889999999998</v>
      </c>
      <c r="N2270">
        <v>-1.497243E-2</v>
      </c>
      <c r="O2270">
        <v>1.407107E-2</v>
      </c>
      <c r="P2270">
        <v>-0.99899890000000002</v>
      </c>
      <c r="Q2270">
        <v>-3.7438270000000003E-2</v>
      </c>
      <c r="R2270">
        <v>-2.448813E-2</v>
      </c>
      <c r="S2270">
        <v>-3.0008539999999999</v>
      </c>
      <c r="T2270">
        <v>-1.024067E-2</v>
      </c>
      <c r="U2270">
        <v>-7.2692870000000007E-2</v>
      </c>
      <c r="V2270">
        <v>-3.8544250000000002E-2</v>
      </c>
      <c r="W2270">
        <v>-2.248267E-2</v>
      </c>
      <c r="X2270">
        <v>0.99900389999999994</v>
      </c>
      <c r="Y2270">
        <v>-3.8280929999999998E-2</v>
      </c>
      <c r="Z2270">
        <v>-1.8930570000000001E-4</v>
      </c>
      <c r="AA2270">
        <v>0.99926700000000002</v>
      </c>
      <c r="AB2270">
        <v>39</v>
      </c>
      <c r="AC2270">
        <v>-246.8877</v>
      </c>
      <c r="AD2270">
        <v>-0.84337269999999898</v>
      </c>
      <c r="AE2270">
        <v>-5.9893000000000098</v>
      </c>
      <c r="AF2270">
        <v>-9.4629600900102702</v>
      </c>
      <c r="AG2270">
        <v>-0.84337269999999898</v>
      </c>
      <c r="AH2270">
        <v>246.776088756544</v>
      </c>
      <c r="AI2270">
        <v>90.195667338787501</v>
      </c>
      <c r="AJ2270">
        <v>92.196007562909102</v>
      </c>
      <c r="AK2270">
        <v>246.95889713301199</v>
      </c>
      <c r="AL2270">
        <v>91.288270699522798</v>
      </c>
      <c r="AM2270">
        <v>92.209528902350996</v>
      </c>
      <c r="AN2270">
        <v>0.99999996093679899</v>
      </c>
    </row>
    <row r="2271" spans="1:40" x14ac:dyDescent="0.25">
      <c r="A2271" t="str">
        <f>"20190303153818784"</f>
        <v>20190303153818784</v>
      </c>
      <c r="B2271" t="str">
        <f>"1551598698780905"</f>
        <v>1551598698780905</v>
      </c>
      <c r="C2271" t="s">
        <v>40</v>
      </c>
      <c r="D2271">
        <v>4.2959870000000002</v>
      </c>
      <c r="E2271">
        <v>0.52017720000000001</v>
      </c>
      <c r="F2271" t="s">
        <v>59</v>
      </c>
      <c r="G2271">
        <v>-511.95870000000002</v>
      </c>
      <c r="H2271">
        <v>0.215224</v>
      </c>
      <c r="I2271">
        <v>276.92869999999999</v>
      </c>
      <c r="J2271">
        <v>-265.28140000000002</v>
      </c>
      <c r="K2271">
        <v>1.121059</v>
      </c>
      <c r="L2271">
        <v>282.9325</v>
      </c>
      <c r="M2271">
        <v>-0.99978900000000004</v>
      </c>
      <c r="N2271">
        <v>-1.497332E-2</v>
      </c>
      <c r="O2271">
        <v>1.407162E-2</v>
      </c>
      <c r="P2271">
        <v>-0.9989825</v>
      </c>
      <c r="Q2271">
        <v>-3.766071E-2</v>
      </c>
      <c r="R2271">
        <v>-2.482183E-2</v>
      </c>
      <c r="S2271">
        <v>-3.0007929999999998</v>
      </c>
      <c r="T2271">
        <v>-1.100898E-2</v>
      </c>
      <c r="U2271">
        <v>-7.2937009999999997E-2</v>
      </c>
      <c r="V2271">
        <v>-3.8878459999999997E-2</v>
      </c>
      <c r="W2271">
        <v>-2.2704410000000001E-2</v>
      </c>
      <c r="X2271">
        <v>0.99898589999999998</v>
      </c>
      <c r="Y2271">
        <v>-3.836316E-2</v>
      </c>
      <c r="Z2271">
        <v>-1.985755E-4</v>
      </c>
      <c r="AA2271">
        <v>0.99926380000000004</v>
      </c>
      <c r="AB2271">
        <v>39</v>
      </c>
      <c r="AC2271">
        <v>-246.6773</v>
      </c>
      <c r="AD2271">
        <v>-0.90583499999999995</v>
      </c>
      <c r="AE2271">
        <v>-6.0038000000000098</v>
      </c>
      <c r="AF2271">
        <v>-9.4746157102034996</v>
      </c>
      <c r="AG2271">
        <v>-0.90583499999999995</v>
      </c>
      <c r="AH2271">
        <v>246.565055443696</v>
      </c>
      <c r="AI2271">
        <v>90.210338053892798</v>
      </c>
      <c r="AJ2271">
        <v>92.200589764796803</v>
      </c>
      <c r="AK2271">
        <v>246.74868884323601</v>
      </c>
      <c r="AL2271">
        <v>91.300978754749707</v>
      </c>
      <c r="AM2271">
        <v>92.228708195457799</v>
      </c>
      <c r="AN2271">
        <v>0.99999992664211201</v>
      </c>
    </row>
    <row r="2272" spans="1:40" x14ac:dyDescent="0.25">
      <c r="A2272" t="str">
        <f>"20190303153818797"</f>
        <v>20190303153818797</v>
      </c>
      <c r="B2272" t="str">
        <f>"1551598698790664"</f>
        <v>1551598698790664</v>
      </c>
      <c r="C2272" t="s">
        <v>40</v>
      </c>
      <c r="D2272">
        <v>4.2344339999999896</v>
      </c>
      <c r="E2272">
        <v>0.52615710000000004</v>
      </c>
      <c r="F2272" t="s">
        <v>46</v>
      </c>
      <c r="G2272">
        <v>0</v>
      </c>
      <c r="H2272">
        <v>0</v>
      </c>
      <c r="I2272">
        <v>0</v>
      </c>
      <c r="J2272">
        <v>-265.50299999999999</v>
      </c>
      <c r="K2272">
        <v>1.1210560000000001</v>
      </c>
      <c r="L2272">
        <v>282.93560000000002</v>
      </c>
      <c r="M2272">
        <v>-0.99978889999999998</v>
      </c>
      <c r="N2272">
        <v>-1.497396E-2</v>
      </c>
      <c r="O2272">
        <v>1.4072110000000001E-2</v>
      </c>
      <c r="P2272">
        <v>-0.99897899999999995</v>
      </c>
      <c r="Q2272">
        <v>-3.7733540000000003E-2</v>
      </c>
      <c r="R2272">
        <v>-2.4846610000000002E-2</v>
      </c>
      <c r="S2272">
        <v>-3.004791</v>
      </c>
      <c r="T2272">
        <v>-9.4519849999999996E-3</v>
      </c>
      <c r="U2272">
        <v>8.4503170000000002E-2</v>
      </c>
      <c r="V2272">
        <v>-3.8903640000000003E-2</v>
      </c>
      <c r="W2272">
        <v>-2.277653E-2</v>
      </c>
      <c r="X2272">
        <v>0.99898330000000002</v>
      </c>
      <c r="Y2272">
        <v>1.4041369999999999E-2</v>
      </c>
      <c r="Z2272">
        <v>2.9368519999999998E-4</v>
      </c>
      <c r="AA2272">
        <v>0.99990140000000005</v>
      </c>
      <c r="AB2272">
        <v>39</v>
      </c>
      <c r="AC2272">
        <v>-3.004791</v>
      </c>
      <c r="AD2272">
        <v>-9.4519849999999996E-3</v>
      </c>
      <c r="AE2272">
        <v>8.4503170000000002E-2</v>
      </c>
      <c r="AF2272">
        <v>4.2205894742701103E-2</v>
      </c>
      <c r="AG2272">
        <v>-9.4519849999999996E-3</v>
      </c>
      <c r="AH2272">
        <v>3.0056529614177099</v>
      </c>
      <c r="AI2272">
        <v>90.180161743785604</v>
      </c>
      <c r="AJ2272">
        <v>89.195495705734302</v>
      </c>
      <c r="AK2272">
        <v>3.0059641385170401</v>
      </c>
      <c r="AL2272">
        <v>91.305111966855407</v>
      </c>
      <c r="AM2272">
        <v>92.230155980696793</v>
      </c>
      <c r="AN2272">
        <v>0.999999948601489</v>
      </c>
    </row>
    <row r="2273" spans="1:40" x14ac:dyDescent="0.25">
      <c r="A2273" t="str">
        <f>"20190303153818817"</f>
        <v>20190303153818817</v>
      </c>
      <c r="B2273" t="str">
        <f>"1551598698811160"</f>
        <v>1551598698811160</v>
      </c>
      <c r="C2273" t="s">
        <v>40</v>
      </c>
      <c r="D2273">
        <v>4.2252229999999997</v>
      </c>
      <c r="E2273">
        <v>0.52801929999999997</v>
      </c>
      <c r="F2273" t="s">
        <v>58</v>
      </c>
      <c r="G2273">
        <v>-510.96699999999998</v>
      </c>
      <c r="H2273">
        <v>2.1196380000000001</v>
      </c>
      <c r="I2273">
        <v>293.69319999999999</v>
      </c>
      <c r="J2273">
        <v>-265.8426</v>
      </c>
      <c r="K2273">
        <v>1.121059</v>
      </c>
      <c r="L2273">
        <v>282.94040000000001</v>
      </c>
      <c r="M2273">
        <v>-0.99978900000000004</v>
      </c>
      <c r="N2273">
        <v>-1.497451E-2</v>
      </c>
      <c r="O2273">
        <v>1.4072319999999999E-2</v>
      </c>
      <c r="P2273">
        <v>-0.99896379999999996</v>
      </c>
      <c r="Q2273">
        <v>-3.799193E-2</v>
      </c>
      <c r="R2273">
        <v>-2.5064449999999999E-2</v>
      </c>
      <c r="S2273">
        <v>-3.0068049999999999</v>
      </c>
      <c r="T2273">
        <v>1.223314E-2</v>
      </c>
      <c r="U2273">
        <v>0.1317749</v>
      </c>
      <c r="V2273">
        <v>-3.9121580000000003E-2</v>
      </c>
      <c r="W2273">
        <v>-2.3034470000000001E-2</v>
      </c>
      <c r="X2273">
        <v>0.99896890000000005</v>
      </c>
      <c r="Y2273">
        <v>2.9721999999999998E-2</v>
      </c>
      <c r="Z2273">
        <v>4.3009409999999999E-4</v>
      </c>
      <c r="AA2273">
        <v>0.9995581</v>
      </c>
      <c r="AB2273">
        <v>39</v>
      </c>
      <c r="AC2273">
        <v>-245.12440000000001</v>
      </c>
      <c r="AD2273">
        <v>0.99857899999999999</v>
      </c>
      <c r="AE2273">
        <v>10.752799999999899</v>
      </c>
      <c r="AF2273">
        <v>7.3017588021238202</v>
      </c>
      <c r="AG2273">
        <v>0.99857899999999999</v>
      </c>
      <c r="AH2273">
        <v>245.24739393336199</v>
      </c>
      <c r="AI2273">
        <v>89.766812180896693</v>
      </c>
      <c r="AJ2273">
        <v>88.294634632869403</v>
      </c>
      <c r="AK2273">
        <v>245.35809966807599</v>
      </c>
      <c r="AL2273">
        <v>91.319894685979307</v>
      </c>
      <c r="AM2273">
        <v>92.242668991491797</v>
      </c>
      <c r="AN2273">
        <v>0.99999997399854301</v>
      </c>
    </row>
    <row r="2274" spans="1:40" x14ac:dyDescent="0.25">
      <c r="A2274" t="str">
        <f>"20190303153818838"</f>
        <v>20190303153818838</v>
      </c>
      <c r="B2274" t="str">
        <f>"1551598698830681"</f>
        <v>1551598698830681</v>
      </c>
      <c r="C2274" t="s">
        <v>40</v>
      </c>
      <c r="D2274">
        <v>4.3459349999999999</v>
      </c>
      <c r="E2274">
        <v>0.52696659999999995</v>
      </c>
      <c r="F2274" t="s">
        <v>58</v>
      </c>
      <c r="G2274">
        <v>-510.9538</v>
      </c>
      <c r="H2274">
        <v>0.5228064</v>
      </c>
      <c r="I2274">
        <v>294.86279999999999</v>
      </c>
      <c r="J2274">
        <v>-266.2115</v>
      </c>
      <c r="K2274">
        <v>1.1210560000000001</v>
      </c>
      <c r="L2274">
        <v>282.94560000000001</v>
      </c>
      <c r="M2274">
        <v>-0.99978889999999998</v>
      </c>
      <c r="N2274">
        <v>-1.497452E-2</v>
      </c>
      <c r="O2274">
        <v>1.407252E-2</v>
      </c>
      <c r="P2274">
        <v>-0.99894119999999997</v>
      </c>
      <c r="Q2274">
        <v>-3.8468309999999999E-2</v>
      </c>
      <c r="R2274">
        <v>-2.524177E-2</v>
      </c>
      <c r="S2274">
        <v>-3.0065309999999998</v>
      </c>
      <c r="T2274">
        <v>-7.3370930000000003E-3</v>
      </c>
      <c r="U2274">
        <v>0.14624019999999999</v>
      </c>
      <c r="V2274">
        <v>-3.9298819999999998E-2</v>
      </c>
      <c r="W2274">
        <v>-2.3511029999999999E-2</v>
      </c>
      <c r="X2274">
        <v>0.99895080000000003</v>
      </c>
      <c r="Y2274">
        <v>3.4521499999999997E-2</v>
      </c>
      <c r="Z2274">
        <v>4.770625E-4</v>
      </c>
      <c r="AA2274">
        <v>0.99940379999999995</v>
      </c>
      <c r="AB2274">
        <v>39</v>
      </c>
      <c r="AC2274">
        <v>-244.7423</v>
      </c>
      <c r="AD2274">
        <v>-0.59824960000000005</v>
      </c>
      <c r="AE2274">
        <v>11.9171999999999</v>
      </c>
      <c r="AF2274">
        <v>8.4714422363681408</v>
      </c>
      <c r="AG2274">
        <v>-0.59824960000000005</v>
      </c>
      <c r="AH2274">
        <v>244.884323575026</v>
      </c>
      <c r="AI2274">
        <v>90.139888976543702</v>
      </c>
      <c r="AJ2274">
        <v>88.018720031575299</v>
      </c>
      <c r="AK2274">
        <v>245.03153913108</v>
      </c>
      <c r="AL2274">
        <v>91.347207015920105</v>
      </c>
      <c r="AM2274">
        <v>92.252859716788095</v>
      </c>
      <c r="AN2274">
        <v>0.99999993330284398</v>
      </c>
    </row>
    <row r="2275" spans="1:40" x14ac:dyDescent="0.25">
      <c r="A2275" t="str">
        <f>"20190303153818859"</f>
        <v>20190303153818859</v>
      </c>
      <c r="B2275" t="str">
        <f>"1551598698851180"</f>
        <v>1551598698851180</v>
      </c>
      <c r="C2275" t="s">
        <v>40</v>
      </c>
      <c r="D2275">
        <v>4.3681140000000003</v>
      </c>
      <c r="E2275">
        <v>0.52661449999999999</v>
      </c>
      <c r="F2275" t="s">
        <v>55</v>
      </c>
      <c r="G2275">
        <v>-364.52269999999999</v>
      </c>
      <c r="H2275" s="1">
        <v>8.6998339999999996E-7</v>
      </c>
      <c r="I2275">
        <v>287.45589999999999</v>
      </c>
      <c r="J2275">
        <v>-266.589</v>
      </c>
      <c r="K2275">
        <v>1.1210519999999999</v>
      </c>
      <c r="L2275">
        <v>282.95100000000002</v>
      </c>
      <c r="M2275">
        <v>-0.99978889999999998</v>
      </c>
      <c r="N2275">
        <v>-1.497396E-2</v>
      </c>
      <c r="O2275">
        <v>1.407219E-2</v>
      </c>
      <c r="P2275">
        <v>-0.9989228</v>
      </c>
      <c r="Q2275">
        <v>-3.8907900000000002E-2</v>
      </c>
      <c r="R2275">
        <v>-2.5281350000000001E-2</v>
      </c>
      <c r="S2275">
        <v>-3.005341</v>
      </c>
      <c r="T2275">
        <v>-3.4270290000000002E-2</v>
      </c>
      <c r="U2275">
        <v>0.13787839999999901</v>
      </c>
      <c r="V2275">
        <v>-3.9338419999999999E-2</v>
      </c>
      <c r="W2275">
        <v>-2.3951299999999998E-2</v>
      </c>
      <c r="X2275">
        <v>0.99893889999999996</v>
      </c>
      <c r="Y2275">
        <v>3.1761400000000002E-2</v>
      </c>
      <c r="Z2275">
        <v>4.6922309999999998E-4</v>
      </c>
      <c r="AA2275">
        <v>0.99949540000000003</v>
      </c>
      <c r="AB2275">
        <v>39</v>
      </c>
      <c r="AC2275">
        <v>-97.933700000000002</v>
      </c>
      <c r="AD2275">
        <v>-1.1210511300166</v>
      </c>
      <c r="AE2275">
        <v>4.5049000000000197</v>
      </c>
      <c r="AF2275">
        <v>3.12574901564953</v>
      </c>
      <c r="AG2275">
        <v>-1.1210511300166</v>
      </c>
      <c r="AH2275">
        <v>97.974590555030503</v>
      </c>
      <c r="AI2275">
        <v>90.655231478134397</v>
      </c>
      <c r="AJ2275">
        <v>88.172674161518998</v>
      </c>
      <c r="AK2275">
        <v>98.030849516725198</v>
      </c>
      <c r="AL2275">
        <v>91.372439575229194</v>
      </c>
      <c r="AM2275">
        <v>92.255154336230703</v>
      </c>
      <c r="AN2275">
        <v>1.0000000509964899</v>
      </c>
    </row>
    <row r="2276" spans="1:40" x14ac:dyDescent="0.25">
      <c r="A2276" t="str">
        <f>"20190303153818872"</f>
        <v>20190303153818872</v>
      </c>
      <c r="B2276" t="str">
        <f>"1551598698860937"</f>
        <v>1551598698860937</v>
      </c>
      <c r="C2276" t="s">
        <v>40</v>
      </c>
      <c r="D2276">
        <v>4.3229730000000002</v>
      </c>
      <c r="E2276">
        <v>0.52636989999999995</v>
      </c>
      <c r="F2276" t="s">
        <v>55</v>
      </c>
      <c r="G2276">
        <v>-335.49149999999997</v>
      </c>
      <c r="H2276" s="1">
        <v>1.3229069999999901E-6</v>
      </c>
      <c r="I2276">
        <v>286.04829999999998</v>
      </c>
      <c r="J2276">
        <v>-266.79079999999999</v>
      </c>
      <c r="K2276">
        <v>1.1210560000000001</v>
      </c>
      <c r="L2276">
        <v>282.9538</v>
      </c>
      <c r="M2276">
        <v>-0.99978889999999998</v>
      </c>
      <c r="N2276">
        <v>-1.4973480000000001E-2</v>
      </c>
      <c r="O2276">
        <v>1.4072019999999999E-2</v>
      </c>
      <c r="P2276">
        <v>-0.99890279999999998</v>
      </c>
      <c r="Q2276">
        <v>-3.9425099999999998E-2</v>
      </c>
      <c r="R2276">
        <v>-2.5273609999999998E-2</v>
      </c>
      <c r="S2276">
        <v>-3.0047609999999998</v>
      </c>
      <c r="T2276">
        <v>-4.8887729999999997E-2</v>
      </c>
      <c r="U2276">
        <v>0.13507079999999999</v>
      </c>
      <c r="V2276">
        <v>-3.9329820000000001E-2</v>
      </c>
      <c r="W2276">
        <v>-2.4469169999999998E-2</v>
      </c>
      <c r="X2276">
        <v>0.9989266</v>
      </c>
      <c r="Y2276">
        <v>3.0835250000000002E-2</v>
      </c>
      <c r="Z2276">
        <v>4.63552E-4</v>
      </c>
      <c r="AA2276">
        <v>0.99952439999999998</v>
      </c>
      <c r="AB2276">
        <v>39</v>
      </c>
      <c r="AC2276">
        <v>-68.700699999999898</v>
      </c>
      <c r="AD2276">
        <v>-1.1210546770929899</v>
      </c>
      <c r="AE2276">
        <v>3.09449999999998</v>
      </c>
      <c r="AF2276">
        <v>2.1267623847347799</v>
      </c>
      <c r="AG2276">
        <v>-1.1210546770929899</v>
      </c>
      <c r="AH2276">
        <v>68.719185580661303</v>
      </c>
      <c r="AI2276">
        <v>90.934168138261896</v>
      </c>
      <c r="AJ2276">
        <v>88.227341822125297</v>
      </c>
      <c r="AK2276">
        <v>68.761227073835201</v>
      </c>
      <c r="AL2276">
        <v>91.402120161603705</v>
      </c>
      <c r="AM2276">
        <v>92.254689566217493</v>
      </c>
      <c r="AN2276">
        <v>0.99999996360464005</v>
      </c>
    </row>
    <row r="2277" spans="1:40" x14ac:dyDescent="0.25">
      <c r="A2277" t="str">
        <f>"20190303153818884"</f>
        <v>20190303153818884</v>
      </c>
      <c r="B2277" t="str">
        <f>"1551598698881433"</f>
        <v>1551598698881433</v>
      </c>
      <c r="C2277" t="s">
        <v>40</v>
      </c>
      <c r="D2277">
        <v>4.3201489999999998</v>
      </c>
      <c r="E2277">
        <v>0.5260049</v>
      </c>
      <c r="F2277" t="s">
        <v>55</v>
      </c>
      <c r="G2277">
        <v>-326.839</v>
      </c>
      <c r="H2277" s="1">
        <v>2.058842E-6</v>
      </c>
      <c r="I2277">
        <v>285.61669999999998</v>
      </c>
      <c r="J2277">
        <v>-267.00850000000003</v>
      </c>
      <c r="K2277">
        <v>1.1210549999999999</v>
      </c>
      <c r="L2277">
        <v>282.95679999999999</v>
      </c>
      <c r="M2277">
        <v>-0.99978900000000004</v>
      </c>
      <c r="N2277">
        <v>-1.497277E-2</v>
      </c>
      <c r="O2277">
        <v>1.4071739999999999E-2</v>
      </c>
      <c r="P2277">
        <v>-0.99888560000000004</v>
      </c>
      <c r="Q2277">
        <v>-3.9818060000000002E-2</v>
      </c>
      <c r="R2277">
        <v>-2.5342139999999999E-2</v>
      </c>
      <c r="S2277">
        <v>-3.0044559999999998</v>
      </c>
      <c r="T2277">
        <v>-5.6090950000000001E-2</v>
      </c>
      <c r="U2277">
        <v>0.13323969999999999</v>
      </c>
      <c r="V2277">
        <v>-3.9398519999999999E-2</v>
      </c>
      <c r="W2277">
        <v>-2.486302E-2</v>
      </c>
      <c r="X2277">
        <v>0.99891419999999997</v>
      </c>
      <c r="Y2277">
        <v>3.0230569999999998E-2</v>
      </c>
      <c r="Z2277">
        <v>4.5659420000000001E-4</v>
      </c>
      <c r="AA2277">
        <v>0.99954279999999995</v>
      </c>
      <c r="AB2277">
        <v>39</v>
      </c>
      <c r="AC2277">
        <v>-59.830499999999901</v>
      </c>
      <c r="AD2277">
        <v>-1.1210529411579999</v>
      </c>
      <c r="AE2277">
        <v>2.6598999999999902</v>
      </c>
      <c r="AF2277">
        <v>1.8169864025562401</v>
      </c>
      <c r="AG2277">
        <v>-1.1210529411579999</v>
      </c>
      <c r="AH2277">
        <v>59.841040764040301</v>
      </c>
      <c r="AI2277">
        <v>91.072750583052695</v>
      </c>
      <c r="AJ2277">
        <v>88.260831104823893</v>
      </c>
      <c r="AK2277">
        <v>59.879114547624098</v>
      </c>
      <c r="AL2277">
        <v>91.424692926973705</v>
      </c>
      <c r="AM2277">
        <v>92.258651914770994</v>
      </c>
      <c r="AN2277">
        <v>0.999999996051675</v>
      </c>
    </row>
    <row r="2278" spans="1:40" x14ac:dyDescent="0.25">
      <c r="A2278" t="str">
        <f>"20190303153818898"</f>
        <v>20190303153818898</v>
      </c>
      <c r="B2278" t="str">
        <f>"1551598698891193"</f>
        <v>1551598698891193</v>
      </c>
      <c r="C2278" t="s">
        <v>40</v>
      </c>
      <c r="D2278">
        <v>4.3432029999999999</v>
      </c>
      <c r="E2278">
        <v>0.52585179999999998</v>
      </c>
      <c r="F2278" t="s">
        <v>57</v>
      </c>
      <c r="G2278">
        <v>-318.60829999999999</v>
      </c>
      <c r="H2278" s="1">
        <v>5.9836690000000002E-6</v>
      </c>
      <c r="I2278">
        <v>285.19670000000002</v>
      </c>
      <c r="J2278">
        <v>-267.22199999999998</v>
      </c>
      <c r="K2278">
        <v>1.1210530000000001</v>
      </c>
      <c r="L2278">
        <v>282.95979999999997</v>
      </c>
      <c r="M2278">
        <v>-0.99978900000000004</v>
      </c>
      <c r="N2278">
        <v>-1.4971959999999999E-2</v>
      </c>
      <c r="O2278">
        <v>1.407157E-2</v>
      </c>
      <c r="P2278">
        <v>-0.99888949999999999</v>
      </c>
      <c r="Q2278">
        <v>-3.9781650000000002E-2</v>
      </c>
      <c r="R2278">
        <v>-2.5243069999999999E-2</v>
      </c>
      <c r="S2278">
        <v>-3.0040589999999998</v>
      </c>
      <c r="T2278">
        <v>-6.5265770000000001E-2</v>
      </c>
      <c r="U2278">
        <v>0.13040160000000001</v>
      </c>
      <c r="V2278">
        <v>-3.9299000000000001E-2</v>
      </c>
      <c r="W2278">
        <v>-2.4827309999999998E-2</v>
      </c>
      <c r="X2278">
        <v>0.998919</v>
      </c>
      <c r="Y2278">
        <v>2.929209E-2</v>
      </c>
      <c r="Z2278">
        <v>4.425489E-4</v>
      </c>
      <c r="AA2278">
        <v>0.99957079999999998</v>
      </c>
      <c r="AB2278">
        <v>39</v>
      </c>
      <c r="AC2278">
        <v>-51.386299999999999</v>
      </c>
      <c r="AD2278">
        <v>-1.121047016331</v>
      </c>
      <c r="AE2278">
        <v>2.2369000000000399</v>
      </c>
      <c r="AF2278">
        <v>1.51279294069723</v>
      </c>
      <c r="AG2278">
        <v>-1.121047016331</v>
      </c>
      <c r="AH2278">
        <v>51.388279829899602</v>
      </c>
      <c r="AI2278">
        <v>91.249181245265007</v>
      </c>
      <c r="AJ2278">
        <v>88.313786229414603</v>
      </c>
      <c r="AK2278">
        <v>51.422763371587799</v>
      </c>
      <c r="AL2278">
        <v>91.422646274863496</v>
      </c>
      <c r="AM2278">
        <v>92.252941669799995</v>
      </c>
      <c r="AN2278">
        <v>0.999999987641918</v>
      </c>
    </row>
    <row r="2279" spans="1:40" x14ac:dyDescent="0.25">
      <c r="A2279" t="str">
        <f>"20190303153818908"</f>
        <v>20190303153818908</v>
      </c>
      <c r="B2279" t="str">
        <f>"1551598698900952"</f>
        <v>1551598698900952</v>
      </c>
      <c r="C2279" t="s">
        <v>40</v>
      </c>
      <c r="D2279">
        <v>4.3311190000000002</v>
      </c>
      <c r="E2279">
        <v>0.52582419999999996</v>
      </c>
      <c r="F2279" t="s">
        <v>57</v>
      </c>
      <c r="G2279">
        <v>-316.69349999999997</v>
      </c>
      <c r="H2279" s="1">
        <v>5.1437559999999901E-6</v>
      </c>
      <c r="I2279">
        <v>285.09140000000002</v>
      </c>
      <c r="J2279">
        <v>-267.43150000000003</v>
      </c>
      <c r="K2279">
        <v>1.1210500000000001</v>
      </c>
      <c r="L2279">
        <v>282.96280000000002</v>
      </c>
      <c r="M2279">
        <v>-0.99978900000000004</v>
      </c>
      <c r="N2279">
        <v>-1.4971099999999999E-2</v>
      </c>
      <c r="O2279">
        <v>1.4071409999999999E-2</v>
      </c>
      <c r="P2279">
        <v>-0.99887979999999998</v>
      </c>
      <c r="Q2279">
        <v>-3.9903800000000003E-2</v>
      </c>
      <c r="R2279">
        <v>-2.5438829999999999E-2</v>
      </c>
      <c r="S2279">
        <v>-3.003876</v>
      </c>
      <c r="T2279">
        <v>-6.806922E-2</v>
      </c>
      <c r="U2279">
        <v>0.12942500000000001</v>
      </c>
      <c r="V2279">
        <v>-3.9494649999999999E-2</v>
      </c>
      <c r="W2279">
        <v>-2.4950449999999999E-2</v>
      </c>
      <c r="X2279">
        <v>0.99890820000000002</v>
      </c>
      <c r="Y2279">
        <v>2.8969959999999999E-2</v>
      </c>
      <c r="Z2279">
        <v>4.3700359999999998E-4</v>
      </c>
      <c r="AA2279">
        <v>0.99958020000000003</v>
      </c>
      <c r="AB2279">
        <v>39</v>
      </c>
      <c r="AC2279">
        <v>-49.261999999999901</v>
      </c>
      <c r="AD2279">
        <v>-1.1210448562440001</v>
      </c>
      <c r="AE2279">
        <v>2.1286</v>
      </c>
      <c r="AF2279">
        <v>1.4343843315910301</v>
      </c>
      <c r="AG2279">
        <v>-1.1210448562440001</v>
      </c>
      <c r="AH2279">
        <v>49.2616137364613</v>
      </c>
      <c r="AI2279">
        <v>91.303100974766906</v>
      </c>
      <c r="AJ2279">
        <v>88.332150580541693</v>
      </c>
      <c r="AK2279">
        <v>49.295241026905799</v>
      </c>
      <c r="AL2279">
        <v>91.429703885626907</v>
      </c>
      <c r="AM2279">
        <v>92.264170745628803</v>
      </c>
      <c r="AN2279">
        <v>0.99999997218053205</v>
      </c>
    </row>
    <row r="2280" spans="1:40" x14ac:dyDescent="0.25">
      <c r="A2280" t="str">
        <f>"20190303153818927"</f>
        <v>20190303153818927</v>
      </c>
      <c r="B2280" t="str">
        <f>"1551598698921448"</f>
        <v>1551598698921448</v>
      </c>
      <c r="C2280" t="s">
        <v>40</v>
      </c>
      <c r="D2280">
        <v>4.3143779999999996</v>
      </c>
      <c r="E2280">
        <v>0.52558079999999996</v>
      </c>
      <c r="F2280" t="s">
        <v>57</v>
      </c>
      <c r="G2280">
        <v>-315.64350000000002</v>
      </c>
      <c r="H2280" s="1">
        <v>4.6835400000000004E-6</v>
      </c>
      <c r="I2280">
        <v>285.02929999999998</v>
      </c>
      <c r="J2280">
        <v>-267.72890000000001</v>
      </c>
      <c r="K2280">
        <v>1.1210519999999999</v>
      </c>
      <c r="L2280">
        <v>282.96699999999998</v>
      </c>
      <c r="M2280">
        <v>-0.99978900000000004</v>
      </c>
      <c r="N2280">
        <v>-1.496961E-2</v>
      </c>
      <c r="O2280">
        <v>1.407125E-2</v>
      </c>
      <c r="P2280">
        <v>-0.99889839999999996</v>
      </c>
      <c r="Q2280">
        <v>-3.9398019999999999E-2</v>
      </c>
      <c r="R2280">
        <v>-2.549411E-2</v>
      </c>
      <c r="S2280">
        <v>-3.003876</v>
      </c>
      <c r="T2280">
        <v>-6.9847350000000002E-2</v>
      </c>
      <c r="U2280">
        <v>0.1287537</v>
      </c>
      <c r="V2280">
        <v>-3.9549920000000002E-2</v>
      </c>
      <c r="W2280">
        <v>-2.4445919999999999E-2</v>
      </c>
      <c r="X2280">
        <v>0.99891850000000004</v>
      </c>
      <c r="Y2280">
        <v>2.8746770000000001E-2</v>
      </c>
      <c r="Z2280">
        <v>4.3294360000000002E-4</v>
      </c>
      <c r="AA2280">
        <v>0.99958659999999999</v>
      </c>
      <c r="AB2280">
        <v>39</v>
      </c>
      <c r="AC2280">
        <v>-47.9146</v>
      </c>
      <c r="AD2280">
        <v>-1.1210473164600001</v>
      </c>
      <c r="AE2280">
        <v>2.0622999999999898</v>
      </c>
      <c r="AF2280">
        <v>1.38704407422876</v>
      </c>
      <c r="AG2280">
        <v>-1.1210473164600001</v>
      </c>
      <c r="AH2280">
        <v>47.912698187052598</v>
      </c>
      <c r="AI2280">
        <v>91.339784263357501</v>
      </c>
      <c r="AJ2280">
        <v>88.341784439229897</v>
      </c>
      <c r="AK2280">
        <v>47.945878716665398</v>
      </c>
      <c r="AL2280">
        <v>91.400787606933505</v>
      </c>
      <c r="AM2280">
        <v>92.267312635179493</v>
      </c>
      <c r="AN2280">
        <v>0.99999998440945104</v>
      </c>
    </row>
    <row r="2281" spans="1:40" x14ac:dyDescent="0.25">
      <c r="A2281" t="str">
        <f>"20190303153818939"</f>
        <v>20190303153818939</v>
      </c>
      <c r="B2281" t="str">
        <f>"1551598698931208"</f>
        <v>1551598698931208</v>
      </c>
      <c r="C2281" t="s">
        <v>40</v>
      </c>
      <c r="D2281">
        <v>4.3074729999999999</v>
      </c>
      <c r="E2281">
        <v>0.52551219999999998</v>
      </c>
      <c r="F2281" t="s">
        <v>57</v>
      </c>
      <c r="G2281">
        <v>-314.26799999999997</v>
      </c>
      <c r="H2281" s="1">
        <v>4.0821740000000002E-6</v>
      </c>
      <c r="I2281">
        <v>284.9307</v>
      </c>
      <c r="J2281">
        <v>-267.93959999999998</v>
      </c>
      <c r="K2281">
        <v>1.121059</v>
      </c>
      <c r="L2281">
        <v>282.9699</v>
      </c>
      <c r="M2281">
        <v>-0.99978900000000004</v>
      </c>
      <c r="N2281">
        <v>-1.496843E-2</v>
      </c>
      <c r="O2281">
        <v>1.4071139999999999E-2</v>
      </c>
      <c r="P2281">
        <v>-0.99891920000000001</v>
      </c>
      <c r="Q2281">
        <v>-3.8688399999999998E-2</v>
      </c>
      <c r="R2281">
        <v>-2.5763769999999998E-2</v>
      </c>
      <c r="S2281">
        <v>-3.0036930000000002</v>
      </c>
      <c r="T2281">
        <v>-7.2353840000000003E-2</v>
      </c>
      <c r="U2281">
        <v>0.1267395</v>
      </c>
      <c r="V2281">
        <v>-3.9819720000000003E-2</v>
      </c>
      <c r="W2281">
        <v>-2.3737270000000001E-2</v>
      </c>
      <c r="X2281">
        <v>0.9989249</v>
      </c>
      <c r="Y2281">
        <v>2.808006E-2</v>
      </c>
      <c r="Z2281">
        <v>4.2014679999999999E-4</v>
      </c>
      <c r="AA2281">
        <v>0.99960559999999998</v>
      </c>
      <c r="AB2281">
        <v>39</v>
      </c>
      <c r="AC2281">
        <v>-46.328399999999903</v>
      </c>
      <c r="AD2281">
        <v>-1.1210549178260001</v>
      </c>
      <c r="AE2281">
        <v>1.9608000000000001</v>
      </c>
      <c r="AF2281">
        <v>1.3078749691543801</v>
      </c>
      <c r="AG2281">
        <v>-1.1210549178260001</v>
      </c>
      <c r="AH2281">
        <v>46.324329676898699</v>
      </c>
      <c r="AI2281">
        <v>91.385742909902305</v>
      </c>
      <c r="AJ2281">
        <v>88.3827976482157</v>
      </c>
      <c r="AK2281">
        <v>46.356346071252503</v>
      </c>
      <c r="AL2281">
        <v>91.360173125687894</v>
      </c>
      <c r="AM2281">
        <v>92.282748776948594</v>
      </c>
      <c r="AN2281">
        <v>1.00000001196397</v>
      </c>
    </row>
    <row r="2282" spans="1:40" x14ac:dyDescent="0.25">
      <c r="A2282" t="str">
        <f>"20190303153818951"</f>
        <v>20190303153818951</v>
      </c>
      <c r="B2282" t="str">
        <f>"1551598698940969"</f>
        <v>1551598698940969</v>
      </c>
      <c r="C2282" t="s">
        <v>40</v>
      </c>
      <c r="D2282">
        <v>4.332446</v>
      </c>
      <c r="E2282">
        <v>0.5254934</v>
      </c>
      <c r="F2282" t="s">
        <v>57</v>
      </c>
      <c r="G2282">
        <v>-314.58390000000003</v>
      </c>
      <c r="H2282" s="1">
        <v>4.2237169999999997E-6</v>
      </c>
      <c r="I2282">
        <v>284.9144</v>
      </c>
      <c r="J2282">
        <v>-268.15460000000002</v>
      </c>
      <c r="K2282">
        <v>1.121062</v>
      </c>
      <c r="L2282">
        <v>282.97300000000001</v>
      </c>
      <c r="M2282">
        <v>-0.99978909999999999</v>
      </c>
      <c r="N2282">
        <v>-1.496717E-2</v>
      </c>
      <c r="O2282">
        <v>1.407079E-2</v>
      </c>
      <c r="P2282">
        <v>-0.99893670000000001</v>
      </c>
      <c r="Q2282">
        <v>-3.8201279999999997E-2</v>
      </c>
      <c r="R2282">
        <v>-2.5814090000000001E-2</v>
      </c>
      <c r="S2282">
        <v>-3.0036930000000002</v>
      </c>
      <c r="T2282">
        <v>-7.2191119999999998E-2</v>
      </c>
      <c r="U2282">
        <v>0.12521360000000001</v>
      </c>
      <c r="V2282">
        <v>-3.9869700000000001E-2</v>
      </c>
      <c r="W2282">
        <v>-2.3251190000000001E-2</v>
      </c>
      <c r="X2282">
        <v>0.99893430000000005</v>
      </c>
      <c r="Y2282">
        <v>2.7573779999999999E-2</v>
      </c>
      <c r="Z2282">
        <v>4.102434E-4</v>
      </c>
      <c r="AA2282">
        <v>0.9996197</v>
      </c>
      <c r="AB2282">
        <v>39</v>
      </c>
      <c r="AC2282">
        <v>-46.429299999999998</v>
      </c>
      <c r="AD2282">
        <v>-1.1210577762829901</v>
      </c>
      <c r="AE2282">
        <v>1.94139999999998</v>
      </c>
      <c r="AF2282">
        <v>1.2870886568737201</v>
      </c>
      <c r="AG2282">
        <v>-1.1210577762829901</v>
      </c>
      <c r="AH2282">
        <v>46.425003895891201</v>
      </c>
      <c r="AI2282">
        <v>91.382762238381602</v>
      </c>
      <c r="AJ2282">
        <v>88.411936317392303</v>
      </c>
      <c r="AK2282">
        <v>46.456370440252101</v>
      </c>
      <c r="AL2282">
        <v>91.332315155227903</v>
      </c>
      <c r="AM2282">
        <v>92.285589463398097</v>
      </c>
      <c r="AN2282">
        <v>0.99999997326549706</v>
      </c>
    </row>
    <row r="2283" spans="1:40" x14ac:dyDescent="0.25">
      <c r="A2283" t="str">
        <f>"20190303153818965"</f>
        <v>20190303153818965</v>
      </c>
      <c r="B2283" t="str">
        <f>"1551598698960489"</f>
        <v>1551598698960489</v>
      </c>
      <c r="C2283" t="s">
        <v>40</v>
      </c>
      <c r="D2283">
        <v>4.2881400000000003</v>
      </c>
      <c r="E2283">
        <v>0.52538039999999997</v>
      </c>
      <c r="F2283" t="s">
        <v>57</v>
      </c>
      <c r="G2283">
        <v>-314.62889999999999</v>
      </c>
      <c r="H2283" s="1">
        <v>4.2439969999999996E-6</v>
      </c>
      <c r="I2283">
        <v>284.91039999999998</v>
      </c>
      <c r="J2283">
        <v>-268.39159999999998</v>
      </c>
      <c r="K2283">
        <v>1.121067</v>
      </c>
      <c r="L2283">
        <v>282.97629999999998</v>
      </c>
      <c r="M2283">
        <v>-0.99978909999999999</v>
      </c>
      <c r="N2283">
        <v>-1.496567E-2</v>
      </c>
      <c r="O2283">
        <v>1.407081E-2</v>
      </c>
      <c r="P2283">
        <v>-0.99894210000000006</v>
      </c>
      <c r="Q2283">
        <v>-3.8097859999999997E-2</v>
      </c>
      <c r="R2283">
        <v>-2.57567E-2</v>
      </c>
      <c r="S2283">
        <v>-3.0036619999999998</v>
      </c>
      <c r="T2283">
        <v>-7.2454690000000002E-2</v>
      </c>
      <c r="U2283">
        <v>0.12521360000000001</v>
      </c>
      <c r="V2283">
        <v>-3.9812649999999998E-2</v>
      </c>
      <c r="W2283">
        <v>-2.3149179999999998E-2</v>
      </c>
      <c r="X2283">
        <v>0.99893900000000002</v>
      </c>
      <c r="Y2283">
        <v>2.7574120000000001E-2</v>
      </c>
      <c r="Z2283">
        <v>4.1018329999999999E-4</v>
      </c>
      <c r="AA2283">
        <v>0.9996197</v>
      </c>
      <c r="AB2283">
        <v>38</v>
      </c>
      <c r="AC2283">
        <v>-46.237299999999998</v>
      </c>
      <c r="AD2283">
        <v>-1.121062756003</v>
      </c>
      <c r="AE2283">
        <v>1.9340999999999999</v>
      </c>
      <c r="AF2283">
        <v>1.28248680939881</v>
      </c>
      <c r="AG2283">
        <v>-1.121062756003</v>
      </c>
      <c r="AH2283">
        <v>46.232807930264997</v>
      </c>
      <c r="AI2283">
        <v>91.388513881084904</v>
      </c>
      <c r="AJ2283">
        <v>88.411036541068498</v>
      </c>
      <c r="AK2283">
        <v>46.2641771053582</v>
      </c>
      <c r="AL2283">
        <v>91.326468765487604</v>
      </c>
      <c r="AM2283">
        <v>92.282311721894601</v>
      </c>
      <c r="AN2283">
        <v>1.0000000286778401</v>
      </c>
    </row>
    <row r="2284" spans="1:40" x14ac:dyDescent="0.25">
      <c r="A2284" t="str">
        <f>"20190303153818982"</f>
        <v>20190303153818982</v>
      </c>
      <c r="B2284" t="str">
        <f>"1551598698971224"</f>
        <v>1551598698971224</v>
      </c>
      <c r="C2284" t="s">
        <v>40</v>
      </c>
      <c r="D2284">
        <v>4.2909259999999998</v>
      </c>
      <c r="E2284">
        <v>0.52535449999999995</v>
      </c>
      <c r="F2284" t="s">
        <v>57</v>
      </c>
      <c r="G2284">
        <v>-313.40140000000002</v>
      </c>
      <c r="H2284" s="1">
        <v>3.705803E-6</v>
      </c>
      <c r="I2284">
        <v>284.8399</v>
      </c>
      <c r="J2284">
        <v>-268.69130000000001</v>
      </c>
      <c r="K2284">
        <v>1.12107</v>
      </c>
      <c r="L2284">
        <v>282.98050000000001</v>
      </c>
      <c r="M2284">
        <v>-0.99978909999999999</v>
      </c>
      <c r="N2284">
        <v>-1.496361E-2</v>
      </c>
      <c r="O2284">
        <v>1.407047E-2</v>
      </c>
      <c r="P2284">
        <v>-0.99896010000000002</v>
      </c>
      <c r="Q2284">
        <v>-3.803198E-2</v>
      </c>
      <c r="R2284">
        <v>-2.5142999999999999E-2</v>
      </c>
      <c r="S2284">
        <v>-3.003571</v>
      </c>
      <c r="T2284">
        <v>-7.4810269999999998E-2</v>
      </c>
      <c r="U2284">
        <v>0.1243591</v>
      </c>
      <c r="V2284">
        <v>-3.9198700000000003E-2</v>
      </c>
      <c r="W2284">
        <v>-2.308497E-2</v>
      </c>
      <c r="X2284">
        <v>0.99896470000000004</v>
      </c>
      <c r="Y2284">
        <v>2.7291389999999999E-2</v>
      </c>
      <c r="Z2284">
        <v>4.042731E-4</v>
      </c>
      <c r="AA2284">
        <v>0.99962740000000005</v>
      </c>
      <c r="AB2284">
        <v>38</v>
      </c>
      <c r="AC2284">
        <v>-44.710099999999997</v>
      </c>
      <c r="AD2284">
        <v>-1.121066294197</v>
      </c>
      <c r="AE2284">
        <v>1.8593999999999899</v>
      </c>
      <c r="AF2284">
        <v>1.22928183950639</v>
      </c>
      <c r="AG2284">
        <v>-1.121066294197</v>
      </c>
      <c r="AH2284">
        <v>44.7037812903937</v>
      </c>
      <c r="AI2284">
        <v>91.436000477467601</v>
      </c>
      <c r="AJ2284">
        <v>88.424855472241106</v>
      </c>
      <c r="AK2284">
        <v>44.7347290718998</v>
      </c>
      <c r="AL2284">
        <v>91.322788907225799</v>
      </c>
      <c r="AM2284">
        <v>92.247094853985203</v>
      </c>
      <c r="AN2284">
        <v>0.99999996288383897</v>
      </c>
    </row>
    <row r="2285" spans="1:40" x14ac:dyDescent="0.25">
      <c r="A2285" t="str">
        <f>"20190303153818997"</f>
        <v>20190303153818997</v>
      </c>
      <c r="B2285" t="str">
        <f>"1551598698990745"</f>
        <v>1551598698990745</v>
      </c>
      <c r="C2285" t="s">
        <v>40</v>
      </c>
      <c r="D2285">
        <v>4.2854830000000002</v>
      </c>
      <c r="E2285">
        <v>0.52535359999999998</v>
      </c>
      <c r="F2285" t="s">
        <v>57</v>
      </c>
      <c r="G2285">
        <v>-312.9735</v>
      </c>
      <c r="H2285" s="1">
        <v>3.516096E-6</v>
      </c>
      <c r="I2285">
        <v>284.83980000000003</v>
      </c>
      <c r="J2285">
        <v>-268.93990000000002</v>
      </c>
      <c r="K2285">
        <v>1.12107</v>
      </c>
      <c r="L2285">
        <v>282.98399999999998</v>
      </c>
      <c r="M2285">
        <v>-0.99978920000000004</v>
      </c>
      <c r="N2285">
        <v>-1.496169E-2</v>
      </c>
      <c r="O2285">
        <v>1.407019E-2</v>
      </c>
      <c r="P2285">
        <v>-0.99897259999999999</v>
      </c>
      <c r="Q2285">
        <v>-3.8060669999999998E-2</v>
      </c>
      <c r="R2285">
        <v>-2.460969E-2</v>
      </c>
      <c r="S2285">
        <v>-3.003387</v>
      </c>
      <c r="T2285">
        <v>-7.6034899999999905E-2</v>
      </c>
      <c r="U2285">
        <v>0.12609860000000001</v>
      </c>
      <c r="V2285">
        <v>-3.8665640000000001E-2</v>
      </c>
      <c r="W2285">
        <v>-2.3115279999999998E-2</v>
      </c>
      <c r="X2285">
        <v>0.99898480000000001</v>
      </c>
      <c r="Y2285">
        <v>2.787154E-2</v>
      </c>
      <c r="Z2285">
        <v>4.1573329999999999E-4</v>
      </c>
      <c r="AA2285">
        <v>0.99961140000000004</v>
      </c>
      <c r="AB2285">
        <v>38</v>
      </c>
      <c r="AC2285">
        <v>-44.0335999999999</v>
      </c>
      <c r="AD2285">
        <v>-1.1210664839040001</v>
      </c>
      <c r="AE2285">
        <v>1.8557999999999799</v>
      </c>
      <c r="AF2285">
        <v>1.23518665945483</v>
      </c>
      <c r="AG2285">
        <v>-1.1210664839040001</v>
      </c>
      <c r="AH2285">
        <v>44.026867863033097</v>
      </c>
      <c r="AI2285">
        <v>91.458047255811294</v>
      </c>
      <c r="AJ2285">
        <v>88.392971683834404</v>
      </c>
      <c r="AK2285">
        <v>44.058456282239398</v>
      </c>
      <c r="AL2285">
        <v>91.324525970960593</v>
      </c>
      <c r="AM2285">
        <v>92.216522926405602</v>
      </c>
      <c r="AN2285">
        <v>0.99999998925856304</v>
      </c>
    </row>
    <row r="2286" spans="1:40" x14ac:dyDescent="0.25">
      <c r="A2286" t="str">
        <f>"20190303153819012"</f>
        <v>20190303153819012</v>
      </c>
      <c r="B2286" t="str">
        <f>"1551598699001481"</f>
        <v>1551598699001481</v>
      </c>
      <c r="C2286" t="s">
        <v>40</v>
      </c>
      <c r="D2286">
        <v>4.2861799999999999</v>
      </c>
      <c r="E2286">
        <v>0.5253409</v>
      </c>
      <c r="F2286" t="s">
        <v>57</v>
      </c>
      <c r="G2286">
        <v>-312.44080000000002</v>
      </c>
      <c r="H2286" s="1">
        <v>3.2804240000000002E-6</v>
      </c>
      <c r="I2286">
        <v>284.83300000000003</v>
      </c>
      <c r="J2286">
        <v>-269.18680000000001</v>
      </c>
      <c r="K2286">
        <v>1.1210709999999999</v>
      </c>
      <c r="L2286">
        <v>282.98750000000001</v>
      </c>
      <c r="M2286">
        <v>-0.99978920000000004</v>
      </c>
      <c r="N2286">
        <v>-1.495963E-2</v>
      </c>
      <c r="O2286">
        <v>1.4070030000000001E-2</v>
      </c>
      <c r="P2286">
        <v>-0.99898589999999998</v>
      </c>
      <c r="Q2286">
        <v>-3.8086849999999998E-2</v>
      </c>
      <c r="R2286">
        <v>-2.4014560000000001E-2</v>
      </c>
      <c r="S2286">
        <v>-3.0032960000000002</v>
      </c>
      <c r="T2286">
        <v>-7.7398300000000003E-2</v>
      </c>
      <c r="U2286">
        <v>0.12765499999999999</v>
      </c>
      <c r="V2286">
        <v>-3.807017E-2</v>
      </c>
      <c r="W2286">
        <v>-2.3143199999999999E-2</v>
      </c>
      <c r="X2286">
        <v>0.99900699999999998</v>
      </c>
      <c r="Y2286">
        <v>2.838947E-2</v>
      </c>
      <c r="Z2286">
        <v>4.261647E-4</v>
      </c>
      <c r="AA2286">
        <v>0.99959679999999995</v>
      </c>
      <c r="AB2286">
        <v>38</v>
      </c>
      <c r="AC2286">
        <v>-43.253999999999998</v>
      </c>
      <c r="AD2286">
        <v>-1.1210677195759999</v>
      </c>
      <c r="AE2286">
        <v>1.84549999999995</v>
      </c>
      <c r="AF2286">
        <v>1.23583548089421</v>
      </c>
      <c r="AG2286">
        <v>-1.1210677195759999</v>
      </c>
      <c r="AH2286">
        <v>43.246688164085</v>
      </c>
      <c r="AI2286">
        <v>91.4843188431078</v>
      </c>
      <c r="AJ2286">
        <v>88.363137261740206</v>
      </c>
      <c r="AK2286">
        <v>43.278864579946202</v>
      </c>
      <c r="AL2286">
        <v>91.326126128317497</v>
      </c>
      <c r="AM2286">
        <v>92.182372190798404</v>
      </c>
      <c r="AN2286">
        <v>0.99999996579953299</v>
      </c>
    </row>
    <row r="2287" spans="1:40" x14ac:dyDescent="0.25">
      <c r="A2287" t="str">
        <f>"20190303153819030"</f>
        <v>20190303153819030</v>
      </c>
      <c r="B2287" t="str">
        <f>"1551598699021000"</f>
        <v>1551598699021000</v>
      </c>
      <c r="C2287" t="s">
        <v>40</v>
      </c>
      <c r="D2287">
        <v>4.2653840000000001</v>
      </c>
      <c r="E2287">
        <v>0.52529910000000002</v>
      </c>
      <c r="F2287" t="s">
        <v>57</v>
      </c>
      <c r="G2287">
        <v>-312.2722</v>
      </c>
      <c r="H2287" s="1">
        <v>3.2048359999999999E-6</v>
      </c>
      <c r="I2287">
        <v>284.8426</v>
      </c>
      <c r="J2287">
        <v>-269.4973</v>
      </c>
      <c r="K2287">
        <v>1.1210739999999999</v>
      </c>
      <c r="L2287">
        <v>282.99189999999999</v>
      </c>
      <c r="M2287">
        <v>-0.99978920000000004</v>
      </c>
      <c r="N2287">
        <v>-1.4957059999999999E-2</v>
      </c>
      <c r="O2287">
        <v>1.406987E-2</v>
      </c>
      <c r="P2287">
        <v>-0.99901039999999997</v>
      </c>
      <c r="Q2287">
        <v>-3.8162700000000001E-2</v>
      </c>
      <c r="R2287">
        <v>-2.2848739999999999E-2</v>
      </c>
      <c r="S2287">
        <v>-3.003174</v>
      </c>
      <c r="T2287">
        <v>-7.8141569999999994E-2</v>
      </c>
      <c r="U2287">
        <v>0.129303</v>
      </c>
      <c r="V2287">
        <v>-3.6904899999999997E-2</v>
      </c>
      <c r="W2287">
        <v>-2.322103E-2</v>
      </c>
      <c r="X2287">
        <v>0.99904890000000002</v>
      </c>
      <c r="Y2287">
        <v>2.8938370000000001E-2</v>
      </c>
      <c r="Z2287">
        <v>4.3737069999999999E-4</v>
      </c>
      <c r="AA2287">
        <v>0.9995811</v>
      </c>
      <c r="AB2287">
        <v>38</v>
      </c>
      <c r="AC2287">
        <v>-42.774900000000002</v>
      </c>
      <c r="AD2287">
        <v>-1.121070795164</v>
      </c>
      <c r="AE2287">
        <v>1.85070000000001</v>
      </c>
      <c r="AF2287">
        <v>1.24775671733353</v>
      </c>
      <c r="AG2287">
        <v>-1.121070795164</v>
      </c>
      <c r="AH2287">
        <v>42.767385317242201</v>
      </c>
      <c r="AI2287">
        <v>91.500924528801903</v>
      </c>
      <c r="AJ2287">
        <v>88.328845239911999</v>
      </c>
      <c r="AK2287">
        <v>42.800268029848702</v>
      </c>
      <c r="AL2287">
        <v>91.330586683756707</v>
      </c>
      <c r="AM2287">
        <v>92.115546106547001</v>
      </c>
      <c r="AN2287">
        <v>0.99999994623473898</v>
      </c>
    </row>
    <row r="2288" spans="1:40" x14ac:dyDescent="0.25">
      <c r="A2288" t="str">
        <f>"20190303153819052"</f>
        <v>20190303153819052</v>
      </c>
      <c r="B2288" t="str">
        <f>"1551598699040521"</f>
        <v>1551598699040521</v>
      </c>
      <c r="C2288" t="s">
        <v>40</v>
      </c>
      <c r="D2288">
        <v>4.2975589999999997</v>
      </c>
      <c r="E2288">
        <v>0.52533390000000002</v>
      </c>
      <c r="F2288" t="s">
        <v>57</v>
      </c>
      <c r="G2288">
        <v>-311.7174</v>
      </c>
      <c r="H2288" s="1">
        <v>2.957675E-6</v>
      </c>
      <c r="I2288">
        <v>284.85570000000001</v>
      </c>
      <c r="J2288">
        <v>-269.87369999999999</v>
      </c>
      <c r="K2288">
        <v>1.121076</v>
      </c>
      <c r="L2288">
        <v>282.99720000000002</v>
      </c>
      <c r="M2288">
        <v>-0.99978929999999999</v>
      </c>
      <c r="N2288">
        <v>-1.495405E-2</v>
      </c>
      <c r="O2288">
        <v>1.406954E-2</v>
      </c>
      <c r="P2288">
        <v>-0.99904990000000005</v>
      </c>
      <c r="Q2288">
        <v>-3.770304E-2</v>
      </c>
      <c r="R2288">
        <v>-2.1861450000000001E-2</v>
      </c>
      <c r="S2288">
        <v>-3.0029300000000001</v>
      </c>
      <c r="T2288">
        <v>-7.9736710000000002E-2</v>
      </c>
      <c r="U2288">
        <v>0.1325684</v>
      </c>
      <c r="V2288">
        <v>-3.5918190000000003E-2</v>
      </c>
      <c r="W2288">
        <v>-2.276367E-2</v>
      </c>
      <c r="X2288">
        <v>0.99909539999999997</v>
      </c>
      <c r="Y2288">
        <v>3.002602E-2</v>
      </c>
      <c r="Z2288">
        <v>4.6007399999999999E-4</v>
      </c>
      <c r="AA2288">
        <v>0.99954900000000002</v>
      </c>
      <c r="AB2288">
        <v>38</v>
      </c>
      <c r="AC2288">
        <v>-41.843699999999998</v>
      </c>
      <c r="AD2288">
        <v>-1.1210730423249999</v>
      </c>
      <c r="AE2288">
        <v>1.85849999999999</v>
      </c>
      <c r="AF2288">
        <v>1.26861978850185</v>
      </c>
      <c r="AG2288">
        <v>-1.1210730423249999</v>
      </c>
      <c r="AH2288">
        <v>41.835737650519398</v>
      </c>
      <c r="AI2288">
        <v>91.534283813716101</v>
      </c>
      <c r="AJ2288">
        <v>88.263104781164898</v>
      </c>
      <c r="AK2288">
        <v>41.869979050592903</v>
      </c>
      <c r="AL2288">
        <v>91.304374937561604</v>
      </c>
      <c r="AM2288">
        <v>92.058937290074397</v>
      </c>
      <c r="AN2288">
        <v>0.99999995967295097</v>
      </c>
    </row>
    <row r="2289" spans="1:40" x14ac:dyDescent="0.25">
      <c r="A2289" t="str">
        <f>"20190303153819071"</f>
        <v>20190303153819071</v>
      </c>
      <c r="B2289" t="str">
        <f>"1551598699061018"</f>
        <v>1551598699061018</v>
      </c>
      <c r="C2289" t="s">
        <v>40</v>
      </c>
      <c r="D2289">
        <v>4.2892060000000001</v>
      </c>
      <c r="E2289">
        <v>0.52537460000000002</v>
      </c>
      <c r="F2289" t="s">
        <v>57</v>
      </c>
      <c r="G2289">
        <v>-312.74930000000001</v>
      </c>
      <c r="H2289" s="1">
        <v>3.4081509999999898E-6</v>
      </c>
      <c r="I2289">
        <v>284.93709999999999</v>
      </c>
      <c r="J2289">
        <v>-270.21440000000001</v>
      </c>
      <c r="K2289">
        <v>1.1210770000000001</v>
      </c>
      <c r="L2289">
        <v>283.00200000000001</v>
      </c>
      <c r="M2289">
        <v>-0.99978929999999999</v>
      </c>
      <c r="N2289">
        <v>-1.4951320000000001E-2</v>
      </c>
      <c r="O2289">
        <v>1.406926E-2</v>
      </c>
      <c r="P2289">
        <v>-0.99910180000000004</v>
      </c>
      <c r="Q2289">
        <v>-3.6870760000000002E-2</v>
      </c>
      <c r="R2289">
        <v>-2.0889350000000001E-2</v>
      </c>
      <c r="S2289">
        <v>-3.002869</v>
      </c>
      <c r="T2289">
        <v>-7.8516240000000001E-2</v>
      </c>
      <c r="U2289">
        <v>0.13586429999999999</v>
      </c>
      <c r="V2289">
        <v>-3.4946480000000002E-2</v>
      </c>
      <c r="W2289">
        <v>-2.193326E-2</v>
      </c>
      <c r="X2289">
        <v>0.99914849999999999</v>
      </c>
      <c r="Y2289">
        <v>3.1121840000000001E-2</v>
      </c>
      <c r="Z2289">
        <v>4.821297E-4</v>
      </c>
      <c r="AA2289">
        <v>0.9995155</v>
      </c>
      <c r="AB2289">
        <v>38</v>
      </c>
      <c r="AC2289">
        <v>-42.534899999999901</v>
      </c>
      <c r="AD2289">
        <v>-1.121073591849</v>
      </c>
      <c r="AE2289">
        <v>1.9350999999999701</v>
      </c>
      <c r="AF2289">
        <v>1.3354811998181699</v>
      </c>
      <c r="AG2289">
        <v>-1.121073591849</v>
      </c>
      <c r="AH2289">
        <v>42.528435420950899</v>
      </c>
      <c r="AI2289">
        <v>91.509255832891299</v>
      </c>
      <c r="AJ2289">
        <v>88.201384569067301</v>
      </c>
      <c r="AK2289">
        <v>42.564164920592503</v>
      </c>
      <c r="AL2289">
        <v>91.256783978052994</v>
      </c>
      <c r="AM2289">
        <v>92.003175624276295</v>
      </c>
      <c r="AN2289">
        <v>1.0000000247054299</v>
      </c>
    </row>
    <row r="2290" spans="1:40" x14ac:dyDescent="0.25">
      <c r="A2290" t="str">
        <f>"20190303153819083"</f>
        <v>20190303153819083</v>
      </c>
      <c r="B2290" t="str">
        <f>"1551598699070778"</f>
        <v>1551598699070778</v>
      </c>
      <c r="C2290" t="s">
        <v>40</v>
      </c>
      <c r="D2290">
        <v>4.3073459999999999</v>
      </c>
      <c r="E2290">
        <v>0.52532460000000003</v>
      </c>
      <c r="F2290" t="s">
        <v>57</v>
      </c>
      <c r="G2290">
        <v>-314.23469999999998</v>
      </c>
      <c r="H2290" s="1">
        <v>4.0579569999999998E-6</v>
      </c>
      <c r="I2290">
        <v>285.03890000000001</v>
      </c>
      <c r="J2290">
        <v>-270.42099999999999</v>
      </c>
      <c r="K2290">
        <v>1.121078</v>
      </c>
      <c r="L2290">
        <v>283.00490000000002</v>
      </c>
      <c r="M2290">
        <v>-0.99978940000000005</v>
      </c>
      <c r="N2290">
        <v>-1.494961E-2</v>
      </c>
      <c r="O2290">
        <v>1.406928E-2</v>
      </c>
      <c r="P2290">
        <v>-0.99912100000000004</v>
      </c>
      <c r="Q2290">
        <v>-3.6628809999999998E-2</v>
      </c>
      <c r="R2290">
        <v>-2.039173E-2</v>
      </c>
      <c r="S2290">
        <v>-3.0028079999999999</v>
      </c>
      <c r="T2290">
        <v>-7.6473120000000006E-2</v>
      </c>
      <c r="U2290">
        <v>0.1389465</v>
      </c>
      <c r="V2290">
        <v>-3.4449260000000002E-2</v>
      </c>
      <c r="W2290">
        <v>-2.1692670000000001E-2</v>
      </c>
      <c r="X2290">
        <v>0.99917100000000003</v>
      </c>
      <c r="Y2290">
        <v>3.2146630000000002E-2</v>
      </c>
      <c r="Z2290">
        <v>5.0177070000000004E-4</v>
      </c>
      <c r="AA2290">
        <v>0.99948300000000001</v>
      </c>
      <c r="AB2290">
        <v>38</v>
      </c>
      <c r="AC2290">
        <v>-43.813699999999898</v>
      </c>
      <c r="AD2290">
        <v>-1.121073942043</v>
      </c>
      <c r="AE2290">
        <v>2.03399999999999</v>
      </c>
      <c r="AF2290">
        <v>1.41637729259496</v>
      </c>
      <c r="AG2290">
        <v>-1.121073942043</v>
      </c>
      <c r="AH2290">
        <v>43.8093618598297</v>
      </c>
      <c r="AI2290">
        <v>91.465103935032005</v>
      </c>
      <c r="AJ2290">
        <v>88.148245483980403</v>
      </c>
      <c r="AK2290">
        <v>43.846586161114203</v>
      </c>
      <c r="AL2290">
        <v>91.242995930227593</v>
      </c>
      <c r="AM2290">
        <v>91.974652651285894</v>
      </c>
      <c r="AN2290">
        <v>1.00000000534363</v>
      </c>
    </row>
    <row r="2291" spans="1:40" x14ac:dyDescent="0.25">
      <c r="A2291" t="str">
        <f>"20190303153819096"</f>
        <v>20190303153819096</v>
      </c>
      <c r="B2291" t="str">
        <f>"1551598699091273"</f>
        <v>1551598699091273</v>
      </c>
      <c r="C2291" t="s">
        <v>40</v>
      </c>
      <c r="D2291">
        <v>4.3164509999999998</v>
      </c>
      <c r="E2291">
        <v>0.52527500000000005</v>
      </c>
      <c r="F2291" t="s">
        <v>57</v>
      </c>
      <c r="G2291">
        <v>-314.56830000000002</v>
      </c>
      <c r="H2291" s="1">
        <v>4.2036559999999997E-6</v>
      </c>
      <c r="I2291">
        <v>285.0643</v>
      </c>
      <c r="J2291">
        <v>-270.62060000000002</v>
      </c>
      <c r="K2291">
        <v>1.121075</v>
      </c>
      <c r="L2291">
        <v>283.0077</v>
      </c>
      <c r="M2291">
        <v>-0.99978940000000005</v>
      </c>
      <c r="N2291">
        <v>-1.494791E-2</v>
      </c>
      <c r="O2291">
        <v>1.406929E-2</v>
      </c>
      <c r="P2291">
        <v>-0.99914899999999995</v>
      </c>
      <c r="Q2291">
        <v>-3.6058760000000002E-2</v>
      </c>
      <c r="R2291">
        <v>-2.0026660000000002E-2</v>
      </c>
      <c r="S2291">
        <v>-3.0027469999999998</v>
      </c>
      <c r="T2291">
        <v>-7.6251630000000001E-2</v>
      </c>
      <c r="U2291">
        <v>0.1400757</v>
      </c>
      <c r="V2291">
        <v>-3.408423E-2</v>
      </c>
      <c r="W2291">
        <v>-2.1123900000000001E-2</v>
      </c>
      <c r="X2291">
        <v>0.99919570000000002</v>
      </c>
      <c r="Y2291">
        <v>3.2522460000000003E-2</v>
      </c>
      <c r="Z2291">
        <v>5.0915279999999997E-4</v>
      </c>
      <c r="AA2291">
        <v>0.99947090000000005</v>
      </c>
      <c r="AB2291">
        <v>38</v>
      </c>
      <c r="AC2291">
        <v>-43.947699999999998</v>
      </c>
      <c r="AD2291">
        <v>-1.1210707963439901</v>
      </c>
      <c r="AE2291">
        <v>2.0566</v>
      </c>
      <c r="AF2291">
        <v>1.4370813496232</v>
      </c>
      <c r="AG2291">
        <v>-1.1210707963439901</v>
      </c>
      <c r="AH2291">
        <v>43.943754761933</v>
      </c>
      <c r="AI2291">
        <v>91.460603409954103</v>
      </c>
      <c r="AJ2291">
        <v>88.126938344013894</v>
      </c>
      <c r="AK2291">
        <v>43.981536866198297</v>
      </c>
      <c r="AL2291">
        <v>91.210400345067399</v>
      </c>
      <c r="AM2291">
        <v>91.953696952020195</v>
      </c>
      <c r="AN2291">
        <v>1.0000000003921901</v>
      </c>
    </row>
    <row r="2292" spans="1:40" x14ac:dyDescent="0.25">
      <c r="A2292" t="str">
        <f>"20190303153819117"</f>
        <v>20190303153819117</v>
      </c>
      <c r="B2292" t="str">
        <f>"1551598699110793"</f>
        <v>1551598699110793</v>
      </c>
      <c r="C2292" t="s">
        <v>40</v>
      </c>
      <c r="D2292">
        <v>4.1856669999999996</v>
      </c>
      <c r="E2292">
        <v>0.52557559999999903</v>
      </c>
      <c r="F2292" t="s">
        <v>57</v>
      </c>
      <c r="G2292">
        <v>-314.88569999999999</v>
      </c>
      <c r="H2292" s="1">
        <v>4.3428540000000004E-6</v>
      </c>
      <c r="I2292">
        <v>285.08260000000001</v>
      </c>
      <c r="J2292">
        <v>-270.99860000000001</v>
      </c>
      <c r="K2292">
        <v>1.1210800000000001</v>
      </c>
      <c r="L2292">
        <v>283.01299999999998</v>
      </c>
      <c r="M2292">
        <v>-0.99978929999999999</v>
      </c>
      <c r="N2292">
        <v>-1.4944600000000001E-2</v>
      </c>
      <c r="O2292">
        <v>1.407184E-2</v>
      </c>
      <c r="P2292">
        <v>-0.99913580000000002</v>
      </c>
      <c r="Q2292">
        <v>-3.6303009999999997E-2</v>
      </c>
      <c r="R2292">
        <v>-2.0245610000000001E-2</v>
      </c>
      <c r="S2292">
        <v>-3.0026549999999999</v>
      </c>
      <c r="T2292">
        <v>-7.6045989999999994E-2</v>
      </c>
      <c r="U2292">
        <v>0.14074710000000001</v>
      </c>
      <c r="V2292">
        <v>-3.430561E-2</v>
      </c>
      <c r="W2292">
        <v>-2.1371560000000001E-2</v>
      </c>
      <c r="X2292">
        <v>0.99918289999999998</v>
      </c>
      <c r="Y2292">
        <v>3.2744269999999999E-2</v>
      </c>
      <c r="Z2292">
        <v>5.1334310000000001E-4</v>
      </c>
      <c r="AA2292">
        <v>0.99946360000000001</v>
      </c>
      <c r="AB2292">
        <v>38</v>
      </c>
      <c r="AC2292">
        <v>-43.887099999999897</v>
      </c>
      <c r="AD2292">
        <v>-1.1210756571460001</v>
      </c>
      <c r="AE2292">
        <v>2.0696000000000301</v>
      </c>
      <c r="AF2292">
        <v>1.4508092252853799</v>
      </c>
      <c r="AG2292">
        <v>-1.1210756571460001</v>
      </c>
      <c r="AH2292">
        <v>43.883308610567099</v>
      </c>
      <c r="AI2292">
        <v>91.462603568224594</v>
      </c>
      <c r="AJ2292">
        <v>88.106455904396995</v>
      </c>
      <c r="AK2292">
        <v>43.9215941496605</v>
      </c>
      <c r="AL2292">
        <v>91.224593369809597</v>
      </c>
      <c r="AM2292">
        <v>91.966401622205694</v>
      </c>
      <c r="AN2292">
        <v>1.00000004305335</v>
      </c>
    </row>
    <row r="2293" spans="1:40" x14ac:dyDescent="0.25">
      <c r="A2293" t="str">
        <f>"20190303153819130"</f>
        <v>20190303153819130</v>
      </c>
      <c r="B2293" t="str">
        <f>"1551598699120553"</f>
        <v>1551598699120553</v>
      </c>
      <c r="C2293" t="s">
        <v>40</v>
      </c>
      <c r="D2293">
        <v>4.1995480000000001</v>
      </c>
      <c r="E2293">
        <v>0.52590499999999996</v>
      </c>
      <c r="F2293" t="s">
        <v>57</v>
      </c>
      <c r="G2293">
        <v>-316.94619999999998</v>
      </c>
      <c r="H2293" s="1">
        <v>5.2466930000000001E-6</v>
      </c>
      <c r="I2293">
        <v>285.19560000000001</v>
      </c>
      <c r="J2293">
        <v>-271.2054</v>
      </c>
      <c r="K2293">
        <v>1.1210789999999999</v>
      </c>
      <c r="L2293">
        <v>283.01589999999999</v>
      </c>
      <c r="M2293">
        <v>-0.99978929999999999</v>
      </c>
      <c r="N2293">
        <v>-1.4942739999999999E-2</v>
      </c>
      <c r="O2293">
        <v>1.4075880000000001E-2</v>
      </c>
      <c r="P2293">
        <v>-0.9991333</v>
      </c>
      <c r="Q2293">
        <v>-3.634395E-2</v>
      </c>
      <c r="R2293">
        <v>-2.0293539999999999E-2</v>
      </c>
      <c r="S2293">
        <v>-3.002869</v>
      </c>
      <c r="T2293">
        <v>-7.3266979999999995E-2</v>
      </c>
      <c r="U2293">
        <v>0.14263919999999999</v>
      </c>
      <c r="V2293">
        <v>-3.4357989999999998E-2</v>
      </c>
      <c r="W2293">
        <v>-2.1414249999999999E-2</v>
      </c>
      <c r="X2293">
        <v>0.99918010000000002</v>
      </c>
      <c r="Y2293">
        <v>3.3365800000000001E-2</v>
      </c>
      <c r="Z2293">
        <v>5.2333930000000005E-4</v>
      </c>
      <c r="AA2293">
        <v>0.99944310000000003</v>
      </c>
      <c r="AB2293">
        <v>38</v>
      </c>
      <c r="AC2293">
        <v>-45.740799999999901</v>
      </c>
      <c r="AD2293">
        <v>-1.1210737533069901</v>
      </c>
      <c r="AE2293">
        <v>2.17970000000002</v>
      </c>
      <c r="AF2293">
        <v>1.53465034122069</v>
      </c>
      <c r="AG2293">
        <v>-1.1210737533069901</v>
      </c>
      <c r="AH2293">
        <v>45.7395383701122</v>
      </c>
      <c r="AI2293">
        <v>91.403246225193698</v>
      </c>
      <c r="AJ2293">
        <v>88.078336202516496</v>
      </c>
      <c r="AK2293">
        <v>45.779005322758302</v>
      </c>
      <c r="AL2293">
        <v>91.227039992147894</v>
      </c>
      <c r="AM2293">
        <v>91.969407202006806</v>
      </c>
      <c r="AN2293">
        <v>0.99999995690795496</v>
      </c>
    </row>
    <row r="2294" spans="1:40" x14ac:dyDescent="0.25">
      <c r="A2294" t="str">
        <f>"20190303153819142"</f>
        <v>20190303153819142</v>
      </c>
      <c r="B2294" t="str">
        <f>"1551598699131289"</f>
        <v>1551598699131289</v>
      </c>
      <c r="C2294" t="s">
        <v>40</v>
      </c>
      <c r="D2294">
        <v>4.253304</v>
      </c>
      <c r="E2294">
        <v>0.52580550000000004</v>
      </c>
      <c r="F2294" t="s">
        <v>57</v>
      </c>
      <c r="G2294">
        <v>-319.45530000000002</v>
      </c>
      <c r="H2294" s="1">
        <v>6.3461549999999997E-6</v>
      </c>
      <c r="I2294">
        <v>285.34699999999998</v>
      </c>
      <c r="J2294">
        <v>-271.41669999999999</v>
      </c>
      <c r="K2294">
        <v>1.121078</v>
      </c>
      <c r="L2294">
        <v>283.01889999999997</v>
      </c>
      <c r="M2294">
        <v>-0.99978929999999999</v>
      </c>
      <c r="N2294">
        <v>-1.494068E-2</v>
      </c>
      <c r="O2294">
        <v>1.408688E-2</v>
      </c>
      <c r="P2294">
        <v>-0.99912299999999998</v>
      </c>
      <c r="Q2294">
        <v>-3.6459730000000003E-2</v>
      </c>
      <c r="R2294">
        <v>-2.059677E-2</v>
      </c>
      <c r="S2294">
        <v>-3.0030519999999998</v>
      </c>
      <c r="T2294">
        <v>-6.9774989999999995E-2</v>
      </c>
      <c r="U2294">
        <v>0.1450806</v>
      </c>
      <c r="V2294">
        <v>-3.4672349999999998E-2</v>
      </c>
      <c r="W2294">
        <v>-2.15319E-2</v>
      </c>
      <c r="X2294">
        <v>0.99916669999999996</v>
      </c>
      <c r="Y2294">
        <v>3.4163300000000001E-2</v>
      </c>
      <c r="Z2294">
        <v>5.3536899999999995E-4</v>
      </c>
      <c r="AA2294">
        <v>0.99941610000000003</v>
      </c>
      <c r="AB2294">
        <v>38</v>
      </c>
      <c r="AC2294">
        <v>-48.038600000000002</v>
      </c>
      <c r="AD2294">
        <v>-1.1210716538450001</v>
      </c>
      <c r="AE2294">
        <v>2.3281000000000001</v>
      </c>
      <c r="AF2294">
        <v>1.6501829103404</v>
      </c>
      <c r="AG2294">
        <v>-1.1210716538450001</v>
      </c>
      <c r="AH2294">
        <v>48.040529553015098</v>
      </c>
      <c r="AI2294">
        <v>91.336021454682395</v>
      </c>
      <c r="AJ2294">
        <v>88.032674553177401</v>
      </c>
      <c r="AK2294">
        <v>48.081934081573202</v>
      </c>
      <c r="AL2294">
        <v>91.233782410853806</v>
      </c>
      <c r="AM2294">
        <v>91.987438630736193</v>
      </c>
      <c r="AN2294">
        <v>0.999999944480509</v>
      </c>
    </row>
    <row r="2295" spans="1:40" x14ac:dyDescent="0.25">
      <c r="A2295" t="str">
        <f>"20190303153819153"</f>
        <v>20190303153819153</v>
      </c>
      <c r="B2295" t="str">
        <f>"1551598699150808"</f>
        <v>1551598699150808</v>
      </c>
      <c r="C2295" t="s">
        <v>40</v>
      </c>
      <c r="D2295">
        <v>4.2644029999999997</v>
      </c>
      <c r="E2295">
        <v>0.52537999999999996</v>
      </c>
      <c r="F2295" t="s">
        <v>55</v>
      </c>
      <c r="G2295">
        <v>-320.44850000000002</v>
      </c>
      <c r="H2295" s="1">
        <v>-1.3306170000000001E-6</v>
      </c>
      <c r="I2295">
        <v>285.35980000000001</v>
      </c>
      <c r="J2295">
        <v>-271.61180000000002</v>
      </c>
      <c r="K2295">
        <v>1.121073</v>
      </c>
      <c r="L2295">
        <v>283.02159999999998</v>
      </c>
      <c r="M2295">
        <v>-0.99978909999999999</v>
      </c>
      <c r="N2295">
        <v>-1.4938750000000001E-2</v>
      </c>
      <c r="O2295">
        <v>1.4100710000000001E-2</v>
      </c>
      <c r="P2295">
        <v>-0.9991196</v>
      </c>
      <c r="Q2295">
        <v>-3.6568629999999998E-2</v>
      </c>
      <c r="R2295">
        <v>-2.0567249999999999E-2</v>
      </c>
      <c r="S2295">
        <v>-3.0030519999999998</v>
      </c>
      <c r="T2295">
        <v>-6.8662760000000003E-2</v>
      </c>
      <c r="U2295">
        <v>0.14337159999999999</v>
      </c>
      <c r="V2295">
        <v>-3.4656550000000001E-2</v>
      </c>
      <c r="W2295">
        <v>-2.1642310000000001E-2</v>
      </c>
      <c r="X2295">
        <v>0.99916490000000002</v>
      </c>
      <c r="Y2295">
        <v>3.3582620000000001E-2</v>
      </c>
      <c r="Z2295">
        <v>5.2311540000000002E-4</v>
      </c>
      <c r="AA2295">
        <v>0.99943579999999999</v>
      </c>
      <c r="AB2295">
        <v>38</v>
      </c>
      <c r="AC2295">
        <v>-48.8367</v>
      </c>
      <c r="AD2295">
        <v>-1.1210743306169999</v>
      </c>
      <c r="AE2295">
        <v>2.33820000000002</v>
      </c>
      <c r="AF2295">
        <v>1.64839192361447</v>
      </c>
      <c r="AG2295">
        <v>-1.1210743306169999</v>
      </c>
      <c r="AH2295">
        <v>48.839140203420001</v>
      </c>
      <c r="AI2295">
        <v>91.314212619915097</v>
      </c>
      <c r="AJ2295">
        <v>88.066918023308602</v>
      </c>
      <c r="AK2295">
        <v>48.879807890354101</v>
      </c>
      <c r="AL2295">
        <v>91.240109866530702</v>
      </c>
      <c r="AM2295">
        <v>91.986537267519594</v>
      </c>
      <c r="AN2295">
        <v>0.999999981716024</v>
      </c>
    </row>
    <row r="2296" spans="1:40" x14ac:dyDescent="0.25">
      <c r="A2296" t="str">
        <f>"20190303153819166"</f>
        <v>20190303153819166</v>
      </c>
      <c r="B2296" t="str">
        <f>"1551598699160568"</f>
        <v>1551598699160568</v>
      </c>
      <c r="C2296" t="s">
        <v>40</v>
      </c>
      <c r="D2296">
        <v>4.2807050000000002</v>
      </c>
      <c r="E2296">
        <v>0.52516809999999903</v>
      </c>
      <c r="F2296" t="s">
        <v>55</v>
      </c>
      <c r="G2296">
        <v>-321.6918</v>
      </c>
      <c r="H2296" s="1">
        <v>-6.6878099999999996E-7</v>
      </c>
      <c r="I2296">
        <v>285.35509999999999</v>
      </c>
      <c r="J2296">
        <v>-271.83499999999998</v>
      </c>
      <c r="K2296">
        <v>1.121065</v>
      </c>
      <c r="L2296">
        <v>283.02480000000003</v>
      </c>
      <c r="M2296">
        <v>-0.99978880000000003</v>
      </c>
      <c r="N2296">
        <v>-1.493654E-2</v>
      </c>
      <c r="O2296">
        <v>1.4124009999999999E-2</v>
      </c>
      <c r="P2296">
        <v>-0.99912199999999995</v>
      </c>
      <c r="Q2296">
        <v>-3.6388740000000003E-2</v>
      </c>
      <c r="R2296">
        <v>-2.0768539999999999E-2</v>
      </c>
      <c r="S2296">
        <v>-3.0030209999999999</v>
      </c>
      <c r="T2296">
        <v>-6.7224619999999999E-2</v>
      </c>
      <c r="U2296">
        <v>0.13992309999999999</v>
      </c>
      <c r="V2296">
        <v>-3.4881559999999999E-2</v>
      </c>
      <c r="W2296">
        <v>-2.1463920000000001E-2</v>
      </c>
      <c r="X2296">
        <v>0.99916090000000002</v>
      </c>
      <c r="Y2296">
        <v>3.2415569999999998E-2</v>
      </c>
      <c r="Z2296">
        <v>4.9980789999999999E-4</v>
      </c>
      <c r="AA2296">
        <v>0.99947430000000004</v>
      </c>
      <c r="AB2296">
        <v>38</v>
      </c>
      <c r="AC2296">
        <v>-49.8568</v>
      </c>
      <c r="AD2296">
        <v>-1.1210656687809999</v>
      </c>
      <c r="AE2296">
        <v>2.3302999999999598</v>
      </c>
      <c r="AF2296">
        <v>1.6249912629801</v>
      </c>
      <c r="AG2296">
        <v>-1.1210656687809999</v>
      </c>
      <c r="AH2296">
        <v>49.859588166644002</v>
      </c>
      <c r="AI2296">
        <v>91.287364045496005</v>
      </c>
      <c r="AJ2296">
        <v>88.133313967775905</v>
      </c>
      <c r="AK2296">
        <v>49.898656464736902</v>
      </c>
      <c r="AL2296">
        <v>91.2298865196788</v>
      </c>
      <c r="AM2296">
        <v>91.999432558605406</v>
      </c>
      <c r="AN2296">
        <v>0.99999996358930399</v>
      </c>
    </row>
    <row r="2297" spans="1:40" x14ac:dyDescent="0.25">
      <c r="A2297" t="str">
        <f>"20190303153819183"</f>
        <v>20190303153819183</v>
      </c>
      <c r="B2297" t="str">
        <f>"1551598699171304"</f>
        <v>1551598699171304</v>
      </c>
      <c r="C2297" t="s">
        <v>40</v>
      </c>
      <c r="D2297">
        <v>4.279909</v>
      </c>
      <c r="E2297">
        <v>0.52497260000000001</v>
      </c>
      <c r="F2297" t="s">
        <v>55</v>
      </c>
      <c r="G2297">
        <v>-322.98779999999999</v>
      </c>
      <c r="H2297" s="1">
        <v>2.0279360000000001E-8</v>
      </c>
      <c r="I2297">
        <v>285.36919999999998</v>
      </c>
      <c r="J2297">
        <v>-272.1035</v>
      </c>
      <c r="K2297">
        <v>1.1210450000000001</v>
      </c>
      <c r="L2297">
        <v>283.02870000000001</v>
      </c>
      <c r="M2297">
        <v>-0.99978800000000001</v>
      </c>
      <c r="N2297">
        <v>-1.493388E-2</v>
      </c>
      <c r="O2297">
        <v>1.417031E-2</v>
      </c>
      <c r="P2297">
        <v>-0.99910770000000004</v>
      </c>
      <c r="Q2297">
        <v>-3.6481399999999997E-2</v>
      </c>
      <c r="R2297">
        <v>-2.1287319999999998E-2</v>
      </c>
      <c r="S2297">
        <v>-3.003082</v>
      </c>
      <c r="T2297">
        <v>-6.5815449999999998E-2</v>
      </c>
      <c r="U2297">
        <v>0.13763429999999999</v>
      </c>
      <c r="V2297">
        <v>-3.5447010000000001E-2</v>
      </c>
      <c r="W2297">
        <v>-2.1558210000000001E-2</v>
      </c>
      <c r="X2297">
        <v>0.999139</v>
      </c>
      <c r="Y2297">
        <v>3.1608919999999999E-2</v>
      </c>
      <c r="Z2297">
        <v>4.8356320000000002E-4</v>
      </c>
      <c r="AA2297">
        <v>0.99950019999999995</v>
      </c>
      <c r="AB2297">
        <v>38</v>
      </c>
      <c r="AC2297">
        <v>-50.884300000000003</v>
      </c>
      <c r="AD2297">
        <v>-1.1210449797206301</v>
      </c>
      <c r="AE2297">
        <v>2.3404999999999601</v>
      </c>
      <c r="AF2297">
        <v>1.6183543279796999</v>
      </c>
      <c r="AG2297">
        <v>-1.1210449797206301</v>
      </c>
      <c r="AH2297">
        <v>50.8877116527323</v>
      </c>
      <c r="AI2297">
        <v>91.261371655488404</v>
      </c>
      <c r="AJ2297">
        <v>88.178467292729493</v>
      </c>
      <c r="AK2297">
        <v>50.925779422892298</v>
      </c>
      <c r="AL2297">
        <v>91.2352901515507</v>
      </c>
      <c r="AM2297">
        <v>92.031862049793702</v>
      </c>
      <c r="AN2297">
        <v>0.99999999412867202</v>
      </c>
    </row>
    <row r="2298" spans="1:40" x14ac:dyDescent="0.25">
      <c r="A2298" t="str">
        <f>"20190303153819194"</f>
        <v>20190303153819194</v>
      </c>
      <c r="B2298" t="str">
        <f>"1551598699190825"</f>
        <v>1551598699190825</v>
      </c>
      <c r="C2298" t="s">
        <v>40</v>
      </c>
      <c r="D2298">
        <v>4.2571779999999997</v>
      </c>
      <c r="E2298">
        <v>0.52461150000000001</v>
      </c>
      <c r="F2298" t="s">
        <v>55</v>
      </c>
      <c r="G2298">
        <v>-323.62139999999999</v>
      </c>
      <c r="H2298" s="1">
        <v>3.5898839999999998E-7</v>
      </c>
      <c r="I2298">
        <v>285.33370000000002</v>
      </c>
      <c r="J2298">
        <v>-272.30549999999999</v>
      </c>
      <c r="K2298">
        <v>1.12103</v>
      </c>
      <c r="L2298">
        <v>283.03160000000003</v>
      </c>
      <c r="M2298">
        <v>-0.99978750000000005</v>
      </c>
      <c r="N2298">
        <v>-1.493189E-2</v>
      </c>
      <c r="O2298">
        <v>1.4216589999999999E-2</v>
      </c>
      <c r="P2298">
        <v>-0.99910060000000001</v>
      </c>
      <c r="Q2298">
        <v>-3.6454449999999999E-2</v>
      </c>
      <c r="R2298">
        <v>-2.166506E-2</v>
      </c>
      <c r="S2298">
        <v>-3.0031430000000001</v>
      </c>
      <c r="T2298">
        <v>-6.534922E-2</v>
      </c>
      <c r="U2298">
        <v>0.13436890000000001</v>
      </c>
      <c r="V2298">
        <v>-3.5871519999999997E-2</v>
      </c>
      <c r="W2298">
        <v>-2.153219E-2</v>
      </c>
      <c r="X2298">
        <v>0.99912440000000002</v>
      </c>
      <c r="Y2298">
        <v>3.0477730000000001E-2</v>
      </c>
      <c r="Z2298">
        <v>4.6218110000000002E-4</v>
      </c>
      <c r="AA2298">
        <v>0.99953530000000002</v>
      </c>
      <c r="AB2298">
        <v>38</v>
      </c>
      <c r="AC2298">
        <v>-51.315899999999999</v>
      </c>
      <c r="AD2298">
        <v>-1.1210296410116001</v>
      </c>
      <c r="AE2298">
        <v>2.30209999999999</v>
      </c>
      <c r="AF2298">
        <v>1.5715004201421501</v>
      </c>
      <c r="AG2298">
        <v>-1.1210296410116001</v>
      </c>
      <c r="AH2298">
        <v>51.319002554708597</v>
      </c>
      <c r="AI2298">
        <v>91.250803231811702</v>
      </c>
      <c r="AJ2298">
        <v>88.246025667901193</v>
      </c>
      <c r="AK2298">
        <v>51.355295191798099</v>
      </c>
      <c r="AL2298">
        <v>91.233798981823</v>
      </c>
      <c r="AM2298">
        <v>92.056204692463893</v>
      </c>
      <c r="AN2298">
        <v>0.99999998391433298</v>
      </c>
    </row>
    <row r="2299" spans="1:40" x14ac:dyDescent="0.25">
      <c r="A2299" t="str">
        <f>"20190303153819206"</f>
        <v>20190303153819206</v>
      </c>
      <c r="B2299" t="str">
        <f>"1551598699200585"</f>
        <v>1551598699200585</v>
      </c>
      <c r="C2299" t="s">
        <v>40</v>
      </c>
      <c r="D2299">
        <v>4.2630439999999998</v>
      </c>
      <c r="E2299">
        <v>0.52445600000000003</v>
      </c>
      <c r="F2299" t="s">
        <v>55</v>
      </c>
      <c r="G2299">
        <v>-324.56779999999998</v>
      </c>
      <c r="H2299" s="1">
        <v>8.6403459999999899E-7</v>
      </c>
      <c r="I2299">
        <v>285.3014</v>
      </c>
      <c r="J2299">
        <v>-272.50569999999999</v>
      </c>
      <c r="K2299">
        <v>1.121014</v>
      </c>
      <c r="L2299">
        <v>283.03440000000001</v>
      </c>
      <c r="M2299">
        <v>-0.99978670000000003</v>
      </c>
      <c r="N2299">
        <v>-1.4929899999999999E-2</v>
      </c>
      <c r="O2299">
        <v>1.4273650000000001E-2</v>
      </c>
      <c r="P2299">
        <v>-0.99908730000000001</v>
      </c>
      <c r="Q2299">
        <v>-3.6500989999999997E-2</v>
      </c>
      <c r="R2299">
        <v>-2.219345E-2</v>
      </c>
      <c r="S2299">
        <v>-3.003174</v>
      </c>
      <c r="T2299">
        <v>-6.4418199999999995E-2</v>
      </c>
      <c r="U2299">
        <v>0.1304321</v>
      </c>
      <c r="V2299">
        <v>-3.645748E-2</v>
      </c>
      <c r="W2299">
        <v>-2.157947E-2</v>
      </c>
      <c r="X2299">
        <v>0.99910220000000005</v>
      </c>
      <c r="Y2299">
        <v>2.911327E-2</v>
      </c>
      <c r="Z2299">
        <v>4.366142E-4</v>
      </c>
      <c r="AA2299">
        <v>0.99957600000000002</v>
      </c>
      <c r="AB2299">
        <v>38</v>
      </c>
      <c r="AC2299">
        <v>-52.062100000000001</v>
      </c>
      <c r="AD2299">
        <v>-1.1210131359654001</v>
      </c>
      <c r="AE2299">
        <v>2.2669999999999901</v>
      </c>
      <c r="AF2299">
        <v>1.52286528326086</v>
      </c>
      <c r="AG2299">
        <v>-1.1210131359654001</v>
      </c>
      <c r="AH2299">
        <v>52.065063424237003</v>
      </c>
      <c r="AI2299">
        <v>91.232918014005094</v>
      </c>
      <c r="AJ2299">
        <v>88.324617736313996</v>
      </c>
      <c r="AK2299">
        <v>52.099391728615998</v>
      </c>
      <c r="AL2299">
        <v>91.236508519055107</v>
      </c>
      <c r="AM2299">
        <v>92.089809574903697</v>
      </c>
      <c r="AN2299">
        <v>1.0000000137091301</v>
      </c>
    </row>
    <row r="2300" spans="1:40" x14ac:dyDescent="0.25">
      <c r="A2300" t="str">
        <f>"20190303153819218"</f>
        <v>20190303153819218</v>
      </c>
      <c r="B2300" t="str">
        <f>"1551598699211320"</f>
        <v>1551598699211320</v>
      </c>
      <c r="C2300" t="s">
        <v>40</v>
      </c>
      <c r="D2300">
        <v>4.2667979999999996</v>
      </c>
      <c r="E2300">
        <v>0.52430399999999999</v>
      </c>
      <c r="F2300" t="s">
        <v>55</v>
      </c>
      <c r="G2300">
        <v>-324.97329999999999</v>
      </c>
      <c r="H2300" s="1">
        <v>1.0814590000000001E-6</v>
      </c>
      <c r="I2300">
        <v>285.26409999999998</v>
      </c>
      <c r="J2300">
        <v>-272.70319999999998</v>
      </c>
      <c r="K2300">
        <v>1.120995</v>
      </c>
      <c r="L2300">
        <v>283.03730000000002</v>
      </c>
      <c r="M2300">
        <v>-0.9997857</v>
      </c>
      <c r="N2300">
        <v>-1.4927940000000001E-2</v>
      </c>
      <c r="O2300">
        <v>1.4345449999999999E-2</v>
      </c>
      <c r="P2300">
        <v>-0.99907520000000005</v>
      </c>
      <c r="Q2300">
        <v>-3.668474E-2</v>
      </c>
      <c r="R2300">
        <v>-2.243123E-2</v>
      </c>
      <c r="S2300">
        <v>-3.0032350000000001</v>
      </c>
      <c r="T2300">
        <v>-6.4166550000000003E-2</v>
      </c>
      <c r="U2300">
        <v>0.1276245</v>
      </c>
      <c r="V2300">
        <v>-3.6768429999999998E-2</v>
      </c>
      <c r="W2300">
        <v>-2.1763709999999999E-2</v>
      </c>
      <c r="X2300">
        <v>0.99908680000000005</v>
      </c>
      <c r="Y2300">
        <v>2.8108290000000001E-2</v>
      </c>
      <c r="Z2300">
        <v>4.1783510000000001E-4</v>
      </c>
      <c r="AA2300">
        <v>0.99960479999999996</v>
      </c>
      <c r="AB2300">
        <v>38</v>
      </c>
      <c r="AC2300">
        <v>-52.270099999999999</v>
      </c>
      <c r="AD2300">
        <v>-1.1209939185410001</v>
      </c>
      <c r="AE2300">
        <v>2.2267999999999599</v>
      </c>
      <c r="AF2300">
        <v>1.4759715441993799</v>
      </c>
      <c r="AG2300">
        <v>-1.1209939185410001</v>
      </c>
      <c r="AH2300">
        <v>52.2726694863969</v>
      </c>
      <c r="AI2300">
        <v>91.228037539796802</v>
      </c>
      <c r="AJ2300">
        <v>88.382625615835593</v>
      </c>
      <c r="AK2300">
        <v>52.305516865802801</v>
      </c>
      <c r="AL2300">
        <v>91.247067183691897</v>
      </c>
      <c r="AM2300">
        <v>92.107650249782594</v>
      </c>
      <c r="AN2300">
        <v>1.0000000052259299</v>
      </c>
    </row>
    <row r="2301" spans="1:40" x14ac:dyDescent="0.25">
      <c r="A2301" t="str">
        <f>"20190303153819231"</f>
        <v>20190303153819231</v>
      </c>
      <c r="B2301" t="str">
        <f>"1551598699221083"</f>
        <v>1551598699221083</v>
      </c>
      <c r="C2301" t="s">
        <v>40</v>
      </c>
      <c r="D2301">
        <v>4.2819830000000003</v>
      </c>
      <c r="E2301">
        <v>0.52414729999999998</v>
      </c>
      <c r="F2301" t="s">
        <v>55</v>
      </c>
      <c r="G2301">
        <v>-325.08460000000002</v>
      </c>
      <c r="H2301" s="1">
        <v>1.142207E-6</v>
      </c>
      <c r="I2301">
        <v>285.22919999999999</v>
      </c>
      <c r="J2301">
        <v>-272.93090000000001</v>
      </c>
      <c r="K2301">
        <v>1.1209720000000001</v>
      </c>
      <c r="L2301">
        <v>283.04070000000002</v>
      </c>
      <c r="M2301">
        <v>-0.99978440000000002</v>
      </c>
      <c r="N2301">
        <v>-1.492567E-2</v>
      </c>
      <c r="O2301">
        <v>1.443825E-2</v>
      </c>
      <c r="P2301">
        <v>-0.99905960000000005</v>
      </c>
      <c r="Q2301">
        <v>-3.6949549999999998E-2</v>
      </c>
      <c r="R2301">
        <v>-2.268912E-2</v>
      </c>
      <c r="S2301">
        <v>-3.0032350000000001</v>
      </c>
      <c r="T2301">
        <v>-6.4270969999999997E-2</v>
      </c>
      <c r="U2301">
        <v>0.12567139999999999</v>
      </c>
      <c r="V2301">
        <v>-3.711979E-2</v>
      </c>
      <c r="W2301">
        <v>-2.202898E-2</v>
      </c>
      <c r="X2301">
        <v>0.99906799999999996</v>
      </c>
      <c r="Y2301">
        <v>2.736684E-2</v>
      </c>
      <c r="Z2301">
        <v>4.0369389999999998E-4</v>
      </c>
      <c r="AA2301">
        <v>0.9996254</v>
      </c>
      <c r="AB2301">
        <v>38</v>
      </c>
      <c r="AC2301">
        <v>-52.153700000000001</v>
      </c>
      <c r="AD2301">
        <v>-1.12097085779299</v>
      </c>
      <c r="AE2301">
        <v>2.1884999999999701</v>
      </c>
      <c r="AF2301">
        <v>1.4345182631248401</v>
      </c>
      <c r="AG2301">
        <v>-1.12097085779299</v>
      </c>
      <c r="AH2301">
        <v>52.155811750509002</v>
      </c>
      <c r="AI2301">
        <v>91.230787928877007</v>
      </c>
      <c r="AJ2301">
        <v>88.424506822586395</v>
      </c>
      <c r="AK2301">
        <v>52.187576276981702</v>
      </c>
      <c r="AL2301">
        <v>91.262269671774106</v>
      </c>
      <c r="AM2301">
        <v>92.127812583601994</v>
      </c>
      <c r="AN2301">
        <v>1.00000001169674</v>
      </c>
    </row>
    <row r="2302" spans="1:40" x14ac:dyDescent="0.25">
      <c r="A2302" t="str">
        <f>"20190303153819244"</f>
        <v>20190303153819244</v>
      </c>
      <c r="B2302" t="str">
        <f>"1551598699240601"</f>
        <v>1551598699240601</v>
      </c>
      <c r="C2302" t="s">
        <v>40</v>
      </c>
      <c r="D2302">
        <v>4.2712669999999999</v>
      </c>
      <c r="E2302">
        <v>0.52386860000000002</v>
      </c>
      <c r="F2302" t="s">
        <v>55</v>
      </c>
      <c r="G2302">
        <v>-324.98410000000001</v>
      </c>
      <c r="H2302" s="1">
        <v>1.0906829999999999E-6</v>
      </c>
      <c r="I2302">
        <v>285.18400000000003</v>
      </c>
      <c r="J2302">
        <v>-273.15140000000002</v>
      </c>
      <c r="K2302">
        <v>1.1209530000000001</v>
      </c>
      <c r="L2302">
        <v>283.04390000000001</v>
      </c>
      <c r="M2302">
        <v>-0.99978290000000003</v>
      </c>
      <c r="N2302">
        <v>-1.492345E-2</v>
      </c>
      <c r="O2302">
        <v>1.454798E-2</v>
      </c>
      <c r="P2302">
        <v>-0.99904380000000004</v>
      </c>
      <c r="Q2302">
        <v>-3.7269289999999997E-2</v>
      </c>
      <c r="R2302">
        <v>-2.286968E-2</v>
      </c>
      <c r="S2302">
        <v>-3.0032040000000002</v>
      </c>
      <c r="T2302">
        <v>-6.4674380000000004E-2</v>
      </c>
      <c r="U2302">
        <v>0.12365719999999999</v>
      </c>
      <c r="V2302">
        <v>-3.7411079999999999E-2</v>
      </c>
      <c r="W2302">
        <v>-2.234908E-2</v>
      </c>
      <c r="X2302">
        <v>0.99904999999999999</v>
      </c>
      <c r="Y2302">
        <v>2.6588489999999999E-2</v>
      </c>
      <c r="Z2302">
        <v>3.8861750000000002E-4</v>
      </c>
      <c r="AA2302">
        <v>0.99964640000000005</v>
      </c>
      <c r="AB2302">
        <v>38</v>
      </c>
      <c r="AC2302">
        <v>-51.832699999999903</v>
      </c>
      <c r="AD2302">
        <v>-1.120951909317</v>
      </c>
      <c r="AE2302">
        <v>2.1401000000000101</v>
      </c>
      <c r="AF2302">
        <v>1.38508177986045</v>
      </c>
      <c r="AG2302">
        <v>-1.120951909317</v>
      </c>
      <c r="AH2302">
        <v>51.834149538108299</v>
      </c>
      <c r="AI2302">
        <v>91.238428678325207</v>
      </c>
      <c r="AJ2302">
        <v>88.469339988410198</v>
      </c>
      <c r="AK2302">
        <v>51.864766875586</v>
      </c>
      <c r="AL2302">
        <v>91.280614599710006</v>
      </c>
      <c r="AM2302">
        <v>92.144533232119102</v>
      </c>
      <c r="AN2302">
        <v>0.99999998639180598</v>
      </c>
    </row>
    <row r="2303" spans="1:40" x14ac:dyDescent="0.25">
      <c r="A2303" t="str">
        <f>"20190303153819262"</f>
        <v>20190303153819262</v>
      </c>
      <c r="B2303" t="str">
        <f>"1551598699251336"</f>
        <v>1551598699251336</v>
      </c>
      <c r="C2303" t="s">
        <v>40</v>
      </c>
      <c r="D2303">
        <v>4.2844280000000001</v>
      </c>
      <c r="E2303">
        <v>0.52373800000000004</v>
      </c>
      <c r="F2303" t="s">
        <v>55</v>
      </c>
      <c r="G2303">
        <v>-324.96449999999999</v>
      </c>
      <c r="H2303" s="1">
        <v>1.0827E-6</v>
      </c>
      <c r="I2303">
        <v>285.1284</v>
      </c>
      <c r="J2303">
        <v>-273.44670000000002</v>
      </c>
      <c r="K2303">
        <v>1.1209229999999999</v>
      </c>
      <c r="L2303">
        <v>283.04840000000002</v>
      </c>
      <c r="M2303">
        <v>-0.99978049999999996</v>
      </c>
      <c r="N2303">
        <v>-1.492044E-2</v>
      </c>
      <c r="O2303">
        <v>1.471564E-2</v>
      </c>
      <c r="P2303">
        <v>-0.99902690000000005</v>
      </c>
      <c r="Q2303">
        <v>-3.7541869999999998E-2</v>
      </c>
      <c r="R2303">
        <v>-2.3158890000000001E-2</v>
      </c>
      <c r="S2303">
        <v>-3.0032040000000002</v>
      </c>
      <c r="T2303">
        <v>-6.4972879999999997E-2</v>
      </c>
      <c r="U2303">
        <v>0.1208191</v>
      </c>
      <c r="V2303">
        <v>-3.7869130000000001E-2</v>
      </c>
      <c r="W2303">
        <v>-2.2622179999999999E-2</v>
      </c>
      <c r="X2303">
        <v>0.99902659999999999</v>
      </c>
      <c r="Y2303">
        <v>2.5478069999999998E-2</v>
      </c>
      <c r="Z2303">
        <v>3.6698980000000002E-4</v>
      </c>
      <c r="AA2303">
        <v>0.99967530000000004</v>
      </c>
      <c r="AB2303">
        <v>38</v>
      </c>
      <c r="AC2303">
        <v>-51.517799999999902</v>
      </c>
      <c r="AD2303">
        <v>-1.12092191729999</v>
      </c>
      <c r="AE2303">
        <v>2.0799999999999801</v>
      </c>
      <c r="AF2303">
        <v>1.3209486791682199</v>
      </c>
      <c r="AG2303">
        <v>-1.12092191729999</v>
      </c>
      <c r="AH2303">
        <v>51.518482702586098</v>
      </c>
      <c r="AI2303">
        <v>91.246016365431302</v>
      </c>
      <c r="AJ2303">
        <v>88.531241582301504</v>
      </c>
      <c r="AK2303">
        <v>51.547603545987897</v>
      </c>
      <c r="AL2303">
        <v>91.296266028889704</v>
      </c>
      <c r="AM2303">
        <v>92.170816080353106</v>
      </c>
      <c r="AN2303">
        <v>0.99999999077123403</v>
      </c>
    </row>
    <row r="2304" spans="1:40" x14ac:dyDescent="0.25">
      <c r="A2304" t="str">
        <f>"20190303153819274"</f>
        <v>20190303153819274</v>
      </c>
      <c r="B2304" t="str">
        <f>"1551598699270857"</f>
        <v>1551598699270857</v>
      </c>
      <c r="C2304" t="s">
        <v>40</v>
      </c>
      <c r="D2304">
        <v>4.2972890000000001</v>
      </c>
      <c r="E2304">
        <v>0.52347569999999999</v>
      </c>
      <c r="F2304" t="s">
        <v>55</v>
      </c>
      <c r="G2304">
        <v>-324.97320000000002</v>
      </c>
      <c r="H2304" s="1">
        <v>1.0890840000000001E-6</v>
      </c>
      <c r="I2304">
        <v>285.08769999999998</v>
      </c>
      <c r="J2304">
        <v>-273.6506</v>
      </c>
      <c r="K2304">
        <v>1.120906</v>
      </c>
      <c r="L2304">
        <v>283.05149999999998</v>
      </c>
      <c r="M2304">
        <v>-0.99977870000000002</v>
      </c>
      <c r="N2304">
        <v>-1.491834E-2</v>
      </c>
      <c r="O2304">
        <v>1.4843540000000001E-2</v>
      </c>
      <c r="P2304">
        <v>-0.99902369999999996</v>
      </c>
      <c r="Q2304">
        <v>-3.7530830000000001E-2</v>
      </c>
      <c r="R2304">
        <v>-2.3317330000000001E-2</v>
      </c>
      <c r="S2304">
        <v>-3.0032350000000001</v>
      </c>
      <c r="T2304">
        <v>-6.5333249999999995E-2</v>
      </c>
      <c r="U2304">
        <v>0.118866</v>
      </c>
      <c r="V2304">
        <v>-3.8156389999999998E-2</v>
      </c>
      <c r="W2304">
        <v>-2.2611510000000001E-2</v>
      </c>
      <c r="X2304">
        <v>0.99901589999999996</v>
      </c>
      <c r="Y2304">
        <v>2.4700920000000001E-2</v>
      </c>
      <c r="Z2304">
        <v>3.5157310000000002E-4</v>
      </c>
      <c r="AA2304">
        <v>0.99969479999999999</v>
      </c>
      <c r="AB2304">
        <v>38</v>
      </c>
      <c r="AC2304">
        <v>-51.322600000000001</v>
      </c>
      <c r="AD2304">
        <v>-1.1209049109160001</v>
      </c>
      <c r="AE2304">
        <v>2.0362</v>
      </c>
      <c r="AF2304">
        <v>1.2734753985526599</v>
      </c>
      <c r="AG2304">
        <v>-1.1209049109160001</v>
      </c>
      <c r="AH2304">
        <v>51.322729662028799</v>
      </c>
      <c r="AI2304">
        <v>91.250774467872006</v>
      </c>
      <c r="AJ2304">
        <v>88.578606455306002</v>
      </c>
      <c r="AK2304">
        <v>51.3507618967014</v>
      </c>
      <c r="AL2304">
        <v>91.295654541146504</v>
      </c>
      <c r="AM2304">
        <v>92.187290488961096</v>
      </c>
      <c r="AN2304">
        <v>0.99999997946756003</v>
      </c>
    </row>
    <row r="2305" spans="1:40" x14ac:dyDescent="0.25">
      <c r="A2305" t="str">
        <f>"20190303153819286"</f>
        <v>20190303153819286</v>
      </c>
      <c r="B2305" t="str">
        <f>"1551598699280617"</f>
        <v>1551598699280617</v>
      </c>
      <c r="C2305" t="s">
        <v>40</v>
      </c>
      <c r="D2305">
        <v>4.2662000000000004</v>
      </c>
      <c r="E2305">
        <v>0.52336510000000003</v>
      </c>
      <c r="F2305" t="s">
        <v>55</v>
      </c>
      <c r="G2305">
        <v>-325.6225</v>
      </c>
      <c r="H2305" s="1">
        <v>1.4356390000000001E-6</v>
      </c>
      <c r="I2305">
        <v>285.06470000000002</v>
      </c>
      <c r="J2305">
        <v>-273.86270000000002</v>
      </c>
      <c r="K2305">
        <v>1.120887</v>
      </c>
      <c r="L2305">
        <v>283.0548</v>
      </c>
      <c r="M2305">
        <v>-0.99977640000000001</v>
      </c>
      <c r="N2305">
        <v>-1.491614E-2</v>
      </c>
      <c r="O2305">
        <v>1.49871E-2</v>
      </c>
      <c r="P2305">
        <v>-0.99901879999999998</v>
      </c>
      <c r="Q2305">
        <v>-3.7600069999999999E-2</v>
      </c>
      <c r="R2305">
        <v>-2.340967E-2</v>
      </c>
      <c r="S2305">
        <v>-3.0032350000000001</v>
      </c>
      <c r="T2305">
        <v>-6.4772250000000003E-2</v>
      </c>
      <c r="U2305">
        <v>0.11633300000000001</v>
      </c>
      <c r="V2305">
        <v>-3.8393070000000001E-2</v>
      </c>
      <c r="W2305">
        <v>-2.2681300000000001E-2</v>
      </c>
      <c r="X2305">
        <v>0.99900529999999998</v>
      </c>
      <c r="Y2305">
        <v>2.3716009999999999E-2</v>
      </c>
      <c r="Z2305">
        <v>3.3305809999999999E-4</v>
      </c>
      <c r="AA2305">
        <v>0.99971869999999996</v>
      </c>
      <c r="AB2305">
        <v>38</v>
      </c>
      <c r="AC2305">
        <v>-51.759799999999899</v>
      </c>
      <c r="AD2305">
        <v>-1.1208855643610001</v>
      </c>
      <c r="AE2305">
        <v>2.0099000000000098</v>
      </c>
      <c r="AF2305">
        <v>1.23328109409759</v>
      </c>
      <c r="AG2305">
        <v>-1.1208855643610001</v>
      </c>
      <c r="AH2305">
        <v>51.759874485185399</v>
      </c>
      <c r="AI2305">
        <v>91.240222518204604</v>
      </c>
      <c r="AJ2305">
        <v>88.635073312038401</v>
      </c>
      <c r="AK2305">
        <v>51.786696876974098</v>
      </c>
      <c r="AL2305">
        <v>91.299654174664894</v>
      </c>
      <c r="AM2305">
        <v>92.200868046034103</v>
      </c>
      <c r="AN2305">
        <v>1.0000000293108999</v>
      </c>
    </row>
    <row r="2306" spans="1:40" x14ac:dyDescent="0.25">
      <c r="A2306" t="str">
        <f>"20190303153819305"</f>
        <v>20190303153819305</v>
      </c>
      <c r="B2306" t="str">
        <f>"1551598699301113"</f>
        <v>1551598699301113</v>
      </c>
      <c r="C2306" t="s">
        <v>40</v>
      </c>
      <c r="D2306">
        <v>4.2851629999999998</v>
      </c>
      <c r="E2306">
        <v>0.52313799999999999</v>
      </c>
      <c r="F2306" t="s">
        <v>55</v>
      </c>
      <c r="G2306">
        <v>-325.89479999999998</v>
      </c>
      <c r="H2306" s="1">
        <v>1.5810429999999999E-6</v>
      </c>
      <c r="I2306">
        <v>285.05340000000001</v>
      </c>
      <c r="J2306">
        <v>-274.18720000000002</v>
      </c>
      <c r="K2306">
        <v>1.1208640000000001</v>
      </c>
      <c r="L2306">
        <v>283.05990000000003</v>
      </c>
      <c r="M2306">
        <v>-0.99977300000000002</v>
      </c>
      <c r="N2306">
        <v>-1.4912730000000001E-2</v>
      </c>
      <c r="O2306">
        <v>1.5224400000000001E-2</v>
      </c>
      <c r="P2306">
        <v>-0.99902279999999999</v>
      </c>
      <c r="Q2306">
        <v>-3.7960800000000003E-2</v>
      </c>
      <c r="R2306">
        <v>-2.264559E-2</v>
      </c>
      <c r="S2306">
        <v>-3.0032350000000001</v>
      </c>
      <c r="T2306">
        <v>-6.4696190000000001E-2</v>
      </c>
      <c r="U2306">
        <v>0.115356399999999</v>
      </c>
      <c r="V2306">
        <v>-3.78678E-2</v>
      </c>
      <c r="W2306">
        <v>-2.3043379999999999E-2</v>
      </c>
      <c r="X2306">
        <v>0.99901709999999999</v>
      </c>
      <c r="Y2306">
        <v>2.3154359999999999E-2</v>
      </c>
      <c r="Z2306">
        <v>3.212383E-4</v>
      </c>
      <c r="AA2306">
        <v>0.99973179999999995</v>
      </c>
      <c r="AB2306">
        <v>38</v>
      </c>
      <c r="AC2306">
        <v>-51.7075999999999</v>
      </c>
      <c r="AD2306">
        <v>-1.12086241895699</v>
      </c>
      <c r="AE2306">
        <v>1.9934999999999801</v>
      </c>
      <c r="AF2306">
        <v>1.2053986959895699</v>
      </c>
      <c r="AG2306">
        <v>-1.12086241895699</v>
      </c>
      <c r="AH2306">
        <v>51.707698229065102</v>
      </c>
      <c r="AI2306">
        <v>91.241463021801394</v>
      </c>
      <c r="AJ2306">
        <v>88.664575032152101</v>
      </c>
      <c r="AK2306">
        <v>51.733890001879601</v>
      </c>
      <c r="AL2306">
        <v>91.320405204284299</v>
      </c>
      <c r="AM2306">
        <v>92.170760534728103</v>
      </c>
      <c r="AN2306">
        <v>1.00000006686553</v>
      </c>
    </row>
    <row r="2307" spans="1:40" x14ac:dyDescent="0.25">
      <c r="A2307" t="str">
        <f>"20190303153819318"</f>
        <v>20190303153819318</v>
      </c>
      <c r="B2307" t="str">
        <f>"1551598699310873"</f>
        <v>1551598699310873</v>
      </c>
      <c r="C2307" t="s">
        <v>40</v>
      </c>
      <c r="D2307">
        <v>4.2901689999999997</v>
      </c>
      <c r="E2307">
        <v>0.52302369999999998</v>
      </c>
      <c r="F2307" t="s">
        <v>55</v>
      </c>
      <c r="G2307">
        <v>-325.55450000000002</v>
      </c>
      <c r="H2307" s="1">
        <v>1.40051E-6</v>
      </c>
      <c r="I2307">
        <v>285.03989999999999</v>
      </c>
      <c r="J2307">
        <v>-274.40660000000003</v>
      </c>
      <c r="K2307">
        <v>1.1208499999999999</v>
      </c>
      <c r="L2307">
        <v>283.0634</v>
      </c>
      <c r="M2307">
        <v>-0.9997703</v>
      </c>
      <c r="N2307">
        <v>-1.4910390000000001E-2</v>
      </c>
      <c r="O2307">
        <v>1.5394919999999999E-2</v>
      </c>
      <c r="P2307">
        <v>-0.99903960000000003</v>
      </c>
      <c r="Q2307">
        <v>-3.7804119999999997E-2</v>
      </c>
      <c r="R2307">
        <v>-2.2157670000000001E-2</v>
      </c>
      <c r="S2307">
        <v>-3.003082</v>
      </c>
      <c r="T2307">
        <v>-6.5528870000000003E-2</v>
      </c>
      <c r="U2307">
        <v>0.1157532</v>
      </c>
      <c r="V2307">
        <v>-3.7550670000000001E-2</v>
      </c>
      <c r="W2307">
        <v>-2.288778E-2</v>
      </c>
      <c r="X2307">
        <v>0.99903260000000005</v>
      </c>
      <c r="Y2307">
        <v>2.3117519999999999E-2</v>
      </c>
      <c r="Z2307">
        <v>3.1830939999999999E-4</v>
      </c>
      <c r="AA2307">
        <v>0.99973270000000003</v>
      </c>
      <c r="AB2307">
        <v>38</v>
      </c>
      <c r="AC2307">
        <v>-51.1478999999999</v>
      </c>
      <c r="AD2307">
        <v>-1.1208485994899999</v>
      </c>
      <c r="AE2307">
        <v>1.9764999999999799</v>
      </c>
      <c r="AF2307">
        <v>1.1881905937511299</v>
      </c>
      <c r="AG2307">
        <v>-1.1208485994899999</v>
      </c>
      <c r="AH2307">
        <v>51.147743182362603</v>
      </c>
      <c r="AI2307">
        <v>91.2550368831171</v>
      </c>
      <c r="AJ2307">
        <v>88.669226447632497</v>
      </c>
      <c r="AK2307">
        <v>51.173818805312699</v>
      </c>
      <c r="AL2307">
        <v>91.311487691654705</v>
      </c>
      <c r="AM2307">
        <v>92.152564958346701</v>
      </c>
      <c r="AN2307">
        <v>1.00000001957676</v>
      </c>
    </row>
    <row r="2308" spans="1:40" x14ac:dyDescent="0.25">
      <c r="A2308" t="str">
        <f>"20190303153819331"</f>
        <v>20190303153819331</v>
      </c>
      <c r="B2308" t="str">
        <f>"1551598699320632"</f>
        <v>1551598699320632</v>
      </c>
      <c r="C2308" t="s">
        <v>40</v>
      </c>
      <c r="D2308">
        <v>4.2783689999999996</v>
      </c>
      <c r="E2308">
        <v>0.52292479999999997</v>
      </c>
      <c r="F2308" t="s">
        <v>55</v>
      </c>
      <c r="G2308">
        <v>-326.41629999999998</v>
      </c>
      <c r="H2308" s="1">
        <v>1.8573960000000001E-6</v>
      </c>
      <c r="I2308">
        <v>285.07979999999998</v>
      </c>
      <c r="J2308">
        <v>-274.61989999999997</v>
      </c>
      <c r="K2308">
        <v>1.120838</v>
      </c>
      <c r="L2308">
        <v>283.0668</v>
      </c>
      <c r="M2308">
        <v>-0.99976790000000004</v>
      </c>
      <c r="N2308">
        <v>-1.4908080000000001E-2</v>
      </c>
      <c r="O2308">
        <v>1.556429E-2</v>
      </c>
      <c r="P2308">
        <v>-0.99905999999999995</v>
      </c>
      <c r="Q2308">
        <v>-3.7603930000000001E-2</v>
      </c>
      <c r="R2308">
        <v>-2.1577220000000001E-2</v>
      </c>
      <c r="S2308">
        <v>-3.0030519999999998</v>
      </c>
      <c r="T2308">
        <v>-6.4718010000000006E-2</v>
      </c>
      <c r="U2308">
        <v>0.1164246</v>
      </c>
      <c r="V2308">
        <v>-3.7140680000000002E-2</v>
      </c>
      <c r="W2308">
        <v>-2.2688799999999999E-2</v>
      </c>
      <c r="X2308">
        <v>0.99905250000000001</v>
      </c>
      <c r="Y2308">
        <v>2.3171879999999999E-2</v>
      </c>
      <c r="Z2308">
        <v>3.191491E-4</v>
      </c>
      <c r="AA2308">
        <v>0.99973140000000005</v>
      </c>
      <c r="AB2308">
        <v>38</v>
      </c>
      <c r="AC2308">
        <v>-51.796399999999998</v>
      </c>
      <c r="AD2308">
        <v>-1.1208361426039899</v>
      </c>
      <c r="AE2308">
        <v>2.0129999999999701</v>
      </c>
      <c r="AF2308">
        <v>1.2059286253268999</v>
      </c>
      <c r="AG2308">
        <v>-1.1208361426039899</v>
      </c>
      <c r="AH2308">
        <v>51.797240967200899</v>
      </c>
      <c r="AI2308">
        <v>91.239289377424697</v>
      </c>
      <c r="AJ2308">
        <v>88.666296902740697</v>
      </c>
      <c r="AK2308">
        <v>51.8233992451501</v>
      </c>
      <c r="AL2308">
        <v>91.300083970523502</v>
      </c>
      <c r="AM2308">
        <v>92.129041957070797</v>
      </c>
      <c r="AN2308">
        <v>1.00000005475627</v>
      </c>
    </row>
    <row r="2309" spans="1:40" x14ac:dyDescent="0.25">
      <c r="A2309" t="str">
        <f>"20190303153819343"</f>
        <v>20190303153819343</v>
      </c>
      <c r="B2309" t="str">
        <f>"1551598699331369"</f>
        <v>1551598699331369</v>
      </c>
      <c r="C2309" t="s">
        <v>40</v>
      </c>
      <c r="D2309">
        <v>4.2830019999999998</v>
      </c>
      <c r="E2309">
        <v>0.52283869999999999</v>
      </c>
      <c r="F2309" t="s">
        <v>55</v>
      </c>
      <c r="G2309">
        <v>-327.25880000000001</v>
      </c>
      <c r="H2309" s="1">
        <v>2.3037999999999999E-6</v>
      </c>
      <c r="I2309">
        <v>285.1232</v>
      </c>
      <c r="J2309">
        <v>-274.81720000000001</v>
      </c>
      <c r="K2309">
        <v>1.120825</v>
      </c>
      <c r="L2309">
        <v>283.07010000000002</v>
      </c>
      <c r="M2309">
        <v>-0.99976529999999997</v>
      </c>
      <c r="N2309">
        <v>-1.490584E-2</v>
      </c>
      <c r="O2309">
        <v>1.5725670000000001E-2</v>
      </c>
      <c r="P2309">
        <v>-0.99907230000000002</v>
      </c>
      <c r="Q2309">
        <v>-3.769463E-2</v>
      </c>
      <c r="R2309">
        <v>-2.0832690000000001E-2</v>
      </c>
      <c r="S2309">
        <v>-3.0028990000000002</v>
      </c>
      <c r="T2309">
        <v>-6.3940529999999995E-2</v>
      </c>
      <c r="U2309">
        <v>0.1173096</v>
      </c>
      <c r="V2309">
        <v>-3.65575E-2</v>
      </c>
      <c r="W2309">
        <v>-2.278107E-2</v>
      </c>
      <c r="X2309">
        <v>0.99907179999999995</v>
      </c>
      <c r="Y2309">
        <v>2.3306759999999999E-2</v>
      </c>
      <c r="Z2309">
        <v>3.215259E-4</v>
      </c>
      <c r="AA2309">
        <v>0.99972830000000001</v>
      </c>
      <c r="AB2309">
        <v>38</v>
      </c>
      <c r="AC2309">
        <v>-52.441600000000001</v>
      </c>
      <c r="AD2309">
        <v>-1.1208226962000001</v>
      </c>
      <c r="AE2309">
        <v>2.0530999999999699</v>
      </c>
      <c r="AF2309">
        <v>1.22751532953925</v>
      </c>
      <c r="AG2309">
        <v>-1.1208226962000001</v>
      </c>
      <c r="AH2309">
        <v>52.443484505832501</v>
      </c>
      <c r="AI2309">
        <v>91.224004462803194</v>
      </c>
      <c r="AJ2309">
        <v>88.659154543420698</v>
      </c>
      <c r="AK2309">
        <v>52.469820892719603</v>
      </c>
      <c r="AL2309">
        <v>91.305372162240303</v>
      </c>
      <c r="AM2309">
        <v>92.095601506829993</v>
      </c>
      <c r="AN2309">
        <v>0.99999994475591503</v>
      </c>
    </row>
    <row r="2310" spans="1:40" x14ac:dyDescent="0.25">
      <c r="A2310" t="str">
        <f>"20190303153819354"</f>
        <v>20190303153819354</v>
      </c>
      <c r="B2310" t="str">
        <f>"1551598699350889"</f>
        <v>1551598699350889</v>
      </c>
      <c r="C2310" t="s">
        <v>40</v>
      </c>
      <c r="D2310">
        <v>4.2935759999999998</v>
      </c>
      <c r="E2310">
        <v>0.52265519999999999</v>
      </c>
      <c r="F2310" t="s">
        <v>55</v>
      </c>
      <c r="G2310">
        <v>-327.65960000000001</v>
      </c>
      <c r="H2310" s="1">
        <v>2.5153860000000001E-6</v>
      </c>
      <c r="I2310">
        <v>285.16239999999999</v>
      </c>
      <c r="J2310">
        <v>-275.0136</v>
      </c>
      <c r="K2310">
        <v>1.120817</v>
      </c>
      <c r="L2310">
        <v>283.07330000000002</v>
      </c>
      <c r="M2310">
        <v>-0.9997627</v>
      </c>
      <c r="N2310">
        <v>-1.4903700000000001E-2</v>
      </c>
      <c r="O2310">
        <v>1.5887700000000001E-2</v>
      </c>
      <c r="P2310">
        <v>-0.99909250000000005</v>
      </c>
      <c r="Q2310">
        <v>-3.757974E-2</v>
      </c>
      <c r="R2310">
        <v>-2.0054869999999999E-2</v>
      </c>
      <c r="S2310">
        <v>-3.0028380000000001</v>
      </c>
      <c r="T2310">
        <v>-6.3692209999999999E-2</v>
      </c>
      <c r="U2310">
        <v>0.1188965</v>
      </c>
      <c r="V2310">
        <v>-3.594257E-2</v>
      </c>
      <c r="W2310">
        <v>-2.2667670000000001E-2</v>
      </c>
      <c r="X2310">
        <v>0.99909680000000001</v>
      </c>
      <c r="Y2310">
        <v>2.3672950000000002E-2</v>
      </c>
      <c r="Z2310">
        <v>3.2739530000000001E-4</v>
      </c>
      <c r="AA2310">
        <v>0.99971969999999999</v>
      </c>
      <c r="AB2310">
        <v>38</v>
      </c>
      <c r="AC2310">
        <v>-52.646000000000001</v>
      </c>
      <c r="AD2310">
        <v>-1.120814484614</v>
      </c>
      <c r="AE2310">
        <v>2.08909999999997</v>
      </c>
      <c r="AF2310">
        <v>1.25175303199375</v>
      </c>
      <c r="AG2310">
        <v>-1.120814484614</v>
      </c>
      <c r="AH2310">
        <v>52.648722903531201</v>
      </c>
      <c r="AI2310">
        <v>91.219214880877701</v>
      </c>
      <c r="AJ2310">
        <v>88.638017174521593</v>
      </c>
      <c r="AK2310">
        <v>52.675526899451498</v>
      </c>
      <c r="AL2310">
        <v>91.298873000716597</v>
      </c>
      <c r="AM2310">
        <v>92.060330735429204</v>
      </c>
      <c r="AN2310">
        <v>1.00000005368583</v>
      </c>
    </row>
    <row r="2311" spans="1:40" x14ac:dyDescent="0.25">
      <c r="A2311" t="str">
        <f>"20190303153819372"</f>
        <v>20190303153819372</v>
      </c>
      <c r="B2311" t="str">
        <f>"1551598699360649"</f>
        <v>1551598699360649</v>
      </c>
      <c r="C2311" t="s">
        <v>40</v>
      </c>
      <c r="D2311">
        <v>4.2937450000000004</v>
      </c>
      <c r="E2311">
        <v>0.52255980000000002</v>
      </c>
      <c r="F2311" t="s">
        <v>55</v>
      </c>
      <c r="G2311">
        <v>-328.72460000000001</v>
      </c>
      <c r="H2311" s="1">
        <v>3.079812E-6</v>
      </c>
      <c r="I2311">
        <v>285.21530000000001</v>
      </c>
      <c r="J2311">
        <v>-275.30520000000001</v>
      </c>
      <c r="K2311">
        <v>1.120814</v>
      </c>
      <c r="L2311">
        <v>283.07819999999998</v>
      </c>
      <c r="M2311">
        <v>-0.99975890000000001</v>
      </c>
      <c r="N2311">
        <v>-1.490061E-2</v>
      </c>
      <c r="O2311">
        <v>1.6131E-2</v>
      </c>
      <c r="P2311">
        <v>-0.99910589999999999</v>
      </c>
      <c r="Q2311">
        <v>-3.7636219999999998E-2</v>
      </c>
      <c r="R2311">
        <v>-1.926518E-2</v>
      </c>
      <c r="S2311">
        <v>-3.002777</v>
      </c>
      <c r="T2311">
        <v>-6.2660460000000001E-2</v>
      </c>
      <c r="U2311">
        <v>0.119751</v>
      </c>
      <c r="V2311">
        <v>-3.5397020000000001E-2</v>
      </c>
      <c r="W2311">
        <v>-2.2726530000000002E-2</v>
      </c>
      <c r="X2311">
        <v>0.99911490000000003</v>
      </c>
      <c r="Y2311">
        <v>2.371469E-2</v>
      </c>
      <c r="Z2311">
        <v>3.2799640000000002E-4</v>
      </c>
      <c r="AA2311">
        <v>0.99971869999999996</v>
      </c>
      <c r="AB2311">
        <v>38</v>
      </c>
      <c r="AC2311">
        <v>-53.419400000000003</v>
      </c>
      <c r="AD2311">
        <v>-1.1208109201880001</v>
      </c>
      <c r="AE2311">
        <v>2.13710000000003</v>
      </c>
      <c r="AF2311">
        <v>1.2744577544051501</v>
      </c>
      <c r="AG2311">
        <v>-1.1208109201880001</v>
      </c>
      <c r="AH2311">
        <v>53.42344495975</v>
      </c>
      <c r="AI2311">
        <v>91.201533499247901</v>
      </c>
      <c r="AJ2311">
        <v>88.633423897842107</v>
      </c>
      <c r="AK2311">
        <v>53.450396921388801</v>
      </c>
      <c r="AL2311">
        <v>91.302246351076306</v>
      </c>
      <c r="AM2311">
        <v>92.0290478654087</v>
      </c>
      <c r="AN2311">
        <v>1.0000000137963601</v>
      </c>
    </row>
    <row r="2312" spans="1:40" x14ac:dyDescent="0.25">
      <c r="A2312" t="str">
        <f>"20190303153819385"</f>
        <v>20190303153819385</v>
      </c>
      <c r="B2312" t="str">
        <f>"1551598699381145"</f>
        <v>1551598699381145</v>
      </c>
      <c r="C2312" t="s">
        <v>40</v>
      </c>
      <c r="D2312">
        <v>4.2638439999999997</v>
      </c>
      <c r="E2312">
        <v>0.52241859999999996</v>
      </c>
      <c r="F2312" t="s">
        <v>55</v>
      </c>
      <c r="G2312">
        <v>-329.07870000000003</v>
      </c>
      <c r="H2312" s="1">
        <v>3.2667029999999999E-6</v>
      </c>
      <c r="I2312">
        <v>285.25060000000002</v>
      </c>
      <c r="J2312">
        <v>-275.524</v>
      </c>
      <c r="K2312">
        <v>1.1208070000000001</v>
      </c>
      <c r="L2312">
        <v>283.08179999999999</v>
      </c>
      <c r="M2312">
        <v>-0.99975619999999998</v>
      </c>
      <c r="N2312">
        <v>-1.489821E-2</v>
      </c>
      <c r="O2312">
        <v>1.6314209999999999E-2</v>
      </c>
      <c r="P2312">
        <v>-0.99911669999999997</v>
      </c>
      <c r="Q2312">
        <v>-3.7552960000000003E-2</v>
      </c>
      <c r="R2312">
        <v>-1.8873259999999999E-2</v>
      </c>
      <c r="S2312">
        <v>-3.0026549999999999</v>
      </c>
      <c r="T2312">
        <v>-6.2584879999999996E-2</v>
      </c>
      <c r="U2312">
        <v>0.121307399999999</v>
      </c>
      <c r="V2312">
        <v>-3.5188419999999998E-2</v>
      </c>
      <c r="W2312">
        <v>-2.2645149999999999E-2</v>
      </c>
      <c r="X2312">
        <v>0.99912409999999996</v>
      </c>
      <c r="Y2312">
        <v>2.4050350000000002E-2</v>
      </c>
      <c r="Z2312">
        <v>3.3294559999999898E-4</v>
      </c>
      <c r="AA2312">
        <v>0.99971069999999995</v>
      </c>
      <c r="AB2312">
        <v>38</v>
      </c>
      <c r="AC2312">
        <v>-53.554699999999997</v>
      </c>
      <c r="AD2312">
        <v>-1.12080373329699</v>
      </c>
      <c r="AE2312">
        <v>2.1688000000000298</v>
      </c>
      <c r="AF2312">
        <v>1.29414605382554</v>
      </c>
      <c r="AG2312">
        <v>-1.12080373329699</v>
      </c>
      <c r="AH2312">
        <v>53.559537119461098</v>
      </c>
      <c r="AI2312">
        <v>91.198464844914199</v>
      </c>
      <c r="AJ2312">
        <v>88.615845363450205</v>
      </c>
      <c r="AK2312">
        <v>53.586892347552102</v>
      </c>
      <c r="AL2312">
        <v>91.297582441508894</v>
      </c>
      <c r="AM2312">
        <v>92.017081727596903</v>
      </c>
      <c r="AN2312">
        <v>0.999999997460714</v>
      </c>
    </row>
    <row r="2313" spans="1:40" x14ac:dyDescent="0.25">
      <c r="A2313" t="str">
        <f>"20190303153819396"</f>
        <v>20190303153819396</v>
      </c>
      <c r="B2313" t="str">
        <f>"1551598699390905"</f>
        <v>1551598699390905</v>
      </c>
      <c r="C2313" t="s">
        <v>40</v>
      </c>
      <c r="D2313">
        <v>4.2517370000000003</v>
      </c>
      <c r="E2313">
        <v>0.52234910000000001</v>
      </c>
      <c r="F2313" t="s">
        <v>55</v>
      </c>
      <c r="G2313">
        <v>-330.33760000000001</v>
      </c>
      <c r="H2313" s="1">
        <v>-1.3868359999999999E-6</v>
      </c>
      <c r="I2313">
        <v>285.29629999999997</v>
      </c>
      <c r="J2313">
        <v>-275.71679999999998</v>
      </c>
      <c r="K2313">
        <v>1.1208</v>
      </c>
      <c r="L2313">
        <v>283.08510000000001</v>
      </c>
      <c r="M2313">
        <v>-0.99975349999999996</v>
      </c>
      <c r="N2313">
        <v>-1.4896090000000001E-2</v>
      </c>
      <c r="O2313">
        <v>1.6475650000000001E-2</v>
      </c>
      <c r="P2313">
        <v>-0.99911479999999997</v>
      </c>
      <c r="Q2313">
        <v>-3.7585859999999999E-2</v>
      </c>
      <c r="R2313">
        <v>-1.8901709999999999E-2</v>
      </c>
      <c r="S2313">
        <v>-3.0026250000000001</v>
      </c>
      <c r="T2313">
        <v>-6.1396480000000003E-2</v>
      </c>
      <c r="U2313">
        <v>0.121307399999999</v>
      </c>
      <c r="V2313">
        <v>-3.5378479999999997E-2</v>
      </c>
      <c r="W2313">
        <v>-2.2679729999999999E-2</v>
      </c>
      <c r="X2313">
        <v>0.99911660000000002</v>
      </c>
      <c r="Y2313">
        <v>2.388962E-2</v>
      </c>
      <c r="Z2313">
        <v>3.3084569999999999E-4</v>
      </c>
      <c r="AA2313">
        <v>0.99971460000000001</v>
      </c>
      <c r="AB2313">
        <v>38</v>
      </c>
      <c r="AC2313">
        <v>-54.620800000000003</v>
      </c>
      <c r="AD2313">
        <v>-1.1208013868359901</v>
      </c>
      <c r="AE2313">
        <v>2.2111999999999599</v>
      </c>
      <c r="AF2313">
        <v>1.31033611545882</v>
      </c>
      <c r="AG2313">
        <v>-1.1208013868359901</v>
      </c>
      <c r="AH2313">
        <v>54.626856116332704</v>
      </c>
      <c r="AI2313">
        <v>91.175057949600003</v>
      </c>
      <c r="AJ2313">
        <v>88.625907835325194</v>
      </c>
      <c r="AK2313">
        <v>54.654062846587401</v>
      </c>
      <c r="AL2313">
        <v>91.2995642434377</v>
      </c>
      <c r="AM2313">
        <v>92.027982545003397</v>
      </c>
      <c r="AN2313">
        <v>0.99999999369777104</v>
      </c>
    </row>
    <row r="2314" spans="1:40" x14ac:dyDescent="0.25">
      <c r="A2314" t="str">
        <f>"20190303153819408"</f>
        <v>20190303153819408</v>
      </c>
      <c r="B2314" t="str">
        <f>"1551598699400665"</f>
        <v>1551598699400665</v>
      </c>
      <c r="C2314" t="s">
        <v>40</v>
      </c>
      <c r="D2314">
        <v>4.2607889999999999</v>
      </c>
      <c r="E2314">
        <v>0.5222888</v>
      </c>
      <c r="F2314" t="s">
        <v>55</v>
      </c>
      <c r="G2314">
        <v>-330.64760000000001</v>
      </c>
      <c r="H2314" s="1">
        <v>-1.2218220000000001E-6</v>
      </c>
      <c r="I2314">
        <v>285.29430000000002</v>
      </c>
      <c r="J2314">
        <v>-275.91210000000001</v>
      </c>
      <c r="K2314">
        <v>1.120798</v>
      </c>
      <c r="L2314">
        <v>283.08839999999998</v>
      </c>
      <c r="M2314">
        <v>-0.99975060000000004</v>
      </c>
      <c r="N2314">
        <v>-1.489394E-2</v>
      </c>
      <c r="O2314">
        <v>1.6639049999999999E-2</v>
      </c>
      <c r="P2314">
        <v>-0.99910900000000002</v>
      </c>
      <c r="Q2314">
        <v>-3.778372E-2</v>
      </c>
      <c r="R2314">
        <v>-1.8810360000000002E-2</v>
      </c>
      <c r="S2314">
        <v>-3.0026250000000001</v>
      </c>
      <c r="T2314">
        <v>-6.1265229999999997E-2</v>
      </c>
      <c r="U2314">
        <v>0.12075809999999999</v>
      </c>
      <c r="V2314">
        <v>-3.5450740000000001E-2</v>
      </c>
      <c r="W2314">
        <v>-2.2879429999999999E-2</v>
      </c>
      <c r="X2314">
        <v>0.99910949999999998</v>
      </c>
      <c r="Y2314">
        <v>2.3543769999999999E-2</v>
      </c>
      <c r="Z2314">
        <v>3.239804E-4</v>
      </c>
      <c r="AA2314">
        <v>0.99972280000000002</v>
      </c>
      <c r="AB2314">
        <v>38</v>
      </c>
      <c r="AC2314">
        <v>-54.735500000000002</v>
      </c>
      <c r="AD2314">
        <v>-1.120799221822</v>
      </c>
      <c r="AE2314">
        <v>2.2059000000000402</v>
      </c>
      <c r="AF2314">
        <v>1.2942050033417001</v>
      </c>
      <c r="AG2314">
        <v>-1.120799221822</v>
      </c>
      <c r="AH2314">
        <v>54.741713376284899</v>
      </c>
      <c r="AI2314">
        <v>91.172600532447106</v>
      </c>
      <c r="AJ2314">
        <v>88.645663994687894</v>
      </c>
      <c r="AK2314">
        <v>54.768479446280402</v>
      </c>
      <c r="AL2314">
        <v>91.311009161591699</v>
      </c>
      <c r="AM2314">
        <v>92.032135627661901</v>
      </c>
      <c r="AN2314">
        <v>1.00000000813696</v>
      </c>
    </row>
    <row r="2315" spans="1:40" x14ac:dyDescent="0.25">
      <c r="A2315" t="str">
        <f>"20190303153819420"</f>
        <v>20190303153819420</v>
      </c>
      <c r="B2315" t="str">
        <f>"1551598699411400"</f>
        <v>1551598699411400</v>
      </c>
      <c r="C2315" t="s">
        <v>40</v>
      </c>
      <c r="D2315">
        <v>4.2878109999999996</v>
      </c>
      <c r="E2315">
        <v>0.52221930000000005</v>
      </c>
      <c r="F2315" t="s">
        <v>55</v>
      </c>
      <c r="G2315">
        <v>-330.12349999999998</v>
      </c>
      <c r="H2315" s="1">
        <v>-1.4993289999999999E-6</v>
      </c>
      <c r="I2315">
        <v>285.26260000000002</v>
      </c>
      <c r="J2315">
        <v>-276.10300000000001</v>
      </c>
      <c r="K2315">
        <v>1.1207959999999999</v>
      </c>
      <c r="L2315">
        <v>283.0917</v>
      </c>
      <c r="M2315">
        <v>-0.99974819999999998</v>
      </c>
      <c r="N2315">
        <v>-1.489177E-2</v>
      </c>
      <c r="O2315">
        <v>1.6798270000000001E-2</v>
      </c>
      <c r="P2315">
        <v>-0.99910770000000004</v>
      </c>
      <c r="Q2315">
        <v>-3.8026770000000001E-2</v>
      </c>
      <c r="R2315">
        <v>-1.839764E-2</v>
      </c>
      <c r="S2315">
        <v>-3.0026250000000001</v>
      </c>
      <c r="T2315">
        <v>-6.2078120000000001E-2</v>
      </c>
      <c r="U2315">
        <v>0.1204224</v>
      </c>
      <c r="V2315">
        <v>-3.519709E-2</v>
      </c>
      <c r="W2315">
        <v>-2.3124499999999999E-2</v>
      </c>
      <c r="X2315">
        <v>0.99911280000000002</v>
      </c>
      <c r="Y2315">
        <v>2.3272930000000001E-2</v>
      </c>
      <c r="Z2315">
        <v>3.1686790000000001E-4</v>
      </c>
      <c r="AA2315">
        <v>0.99972910000000004</v>
      </c>
      <c r="AB2315">
        <v>38</v>
      </c>
      <c r="AC2315">
        <v>-54.020499999999899</v>
      </c>
      <c r="AD2315">
        <v>-1.120797499329</v>
      </c>
      <c r="AE2315">
        <v>2.1709000000000098</v>
      </c>
      <c r="AF2315">
        <v>1.2624996360335601</v>
      </c>
      <c r="AG2315">
        <v>-1.120797499329</v>
      </c>
      <c r="AH2315">
        <v>54.026128552282003</v>
      </c>
      <c r="AI2315">
        <v>91.188133205578495</v>
      </c>
      <c r="AJ2315">
        <v>88.661337763544495</v>
      </c>
      <c r="AK2315">
        <v>54.052499097758499</v>
      </c>
      <c r="AL2315">
        <v>91.325054388407594</v>
      </c>
      <c r="AM2315">
        <v>92.0176011014143</v>
      </c>
      <c r="AN2315">
        <v>0.99999998238427801</v>
      </c>
    </row>
    <row r="2316" spans="1:40" x14ac:dyDescent="0.25">
      <c r="A2316" t="str">
        <f>"20190303153819433"</f>
        <v>20190303153819433</v>
      </c>
      <c r="B2316" t="str">
        <f>"1551598699421161"</f>
        <v>1551598699421161</v>
      </c>
      <c r="C2316" t="s">
        <v>40</v>
      </c>
      <c r="D2316">
        <v>4.2656700000000001</v>
      </c>
      <c r="E2316">
        <v>0.52212899999999995</v>
      </c>
      <c r="F2316" t="s">
        <v>55</v>
      </c>
      <c r="G2316">
        <v>-329.8664</v>
      </c>
      <c r="H2316" s="1">
        <v>3.6853800000000002E-6</v>
      </c>
      <c r="I2316">
        <v>285.26280000000003</v>
      </c>
      <c r="J2316">
        <v>-276.3288</v>
      </c>
      <c r="K2316">
        <v>1.120792</v>
      </c>
      <c r="L2316">
        <v>283.09570000000002</v>
      </c>
      <c r="M2316">
        <v>-0.99974499999999999</v>
      </c>
      <c r="N2316">
        <v>-1.488923E-2</v>
      </c>
      <c r="O2316">
        <v>1.6986569999999999E-2</v>
      </c>
      <c r="P2316">
        <v>-0.99912650000000003</v>
      </c>
      <c r="Q2316">
        <v>-3.7594830000000003E-2</v>
      </c>
      <c r="R2316">
        <v>-1.8257789999999999E-2</v>
      </c>
      <c r="S2316">
        <v>-3.0025330000000001</v>
      </c>
      <c r="T2316">
        <v>-6.2592980000000006E-2</v>
      </c>
      <c r="U2316">
        <v>0.1212463</v>
      </c>
      <c r="V2316">
        <v>-3.5246029999999998E-2</v>
      </c>
      <c r="W2316">
        <v>-2.2694579999999999E-2</v>
      </c>
      <c r="X2316">
        <v>0.99912100000000004</v>
      </c>
      <c r="Y2316">
        <v>2.3359640000000001E-2</v>
      </c>
      <c r="Z2316">
        <v>3.1633909999999999E-4</v>
      </c>
      <c r="AA2316">
        <v>0.99972709999999998</v>
      </c>
      <c r="AB2316">
        <v>37</v>
      </c>
      <c r="AC2316">
        <v>-53.537599999999998</v>
      </c>
      <c r="AD2316">
        <v>-1.1207883146199999</v>
      </c>
      <c r="AE2316">
        <v>2.1671</v>
      </c>
      <c r="AF2316">
        <v>1.25671651662061</v>
      </c>
      <c r="AG2316">
        <v>-1.1207883146199999</v>
      </c>
      <c r="AH2316">
        <v>53.543262085762599</v>
      </c>
      <c r="AI2316">
        <v>91.198832270124498</v>
      </c>
      <c r="AJ2316">
        <v>88.655454826398397</v>
      </c>
      <c r="AK2316">
        <v>53.569734156835203</v>
      </c>
      <c r="AL2316">
        <v>91.300415232090501</v>
      </c>
      <c r="AM2316">
        <v>92.020387595142793</v>
      </c>
      <c r="AN2316">
        <v>1.00000004961656</v>
      </c>
    </row>
    <row r="2317" spans="1:40" x14ac:dyDescent="0.25">
      <c r="A2317" t="str">
        <f>"20190303153819447"</f>
        <v>20190303153819447</v>
      </c>
      <c r="B2317" t="str">
        <f>"1551598699440681"</f>
        <v>1551598699440681</v>
      </c>
      <c r="C2317" t="s">
        <v>40</v>
      </c>
      <c r="D2317">
        <v>4.2610710000000003</v>
      </c>
      <c r="E2317">
        <v>0.52194209999999996</v>
      </c>
      <c r="F2317" t="s">
        <v>55</v>
      </c>
      <c r="G2317">
        <v>-331.13850000000002</v>
      </c>
      <c r="H2317" s="1">
        <v>-9.6109150000000008E-7</v>
      </c>
      <c r="I2317">
        <v>285.3057</v>
      </c>
      <c r="J2317">
        <v>-276.56259999999997</v>
      </c>
      <c r="K2317">
        <v>1.120787</v>
      </c>
      <c r="L2317">
        <v>283.09989999999999</v>
      </c>
      <c r="M2317">
        <v>-0.99974160000000001</v>
      </c>
      <c r="N2317">
        <v>-1.488664E-2</v>
      </c>
      <c r="O2317">
        <v>1.718101E-2</v>
      </c>
      <c r="P2317">
        <v>-0.99912849999999997</v>
      </c>
      <c r="Q2317">
        <v>-3.7561749999999998E-2</v>
      </c>
      <c r="R2317">
        <v>-1.8206699999999999E-2</v>
      </c>
      <c r="S2317">
        <v>-3.0025629999999999</v>
      </c>
      <c r="T2317">
        <v>-6.139886E-2</v>
      </c>
      <c r="U2317">
        <v>0.1210632</v>
      </c>
      <c r="V2317">
        <v>-3.5389459999999998E-2</v>
      </c>
      <c r="W2317">
        <v>-2.266373E-2</v>
      </c>
      <c r="X2317">
        <v>0.99911660000000002</v>
      </c>
      <c r="Y2317">
        <v>2.310425E-2</v>
      </c>
      <c r="Z2317">
        <v>3.1278289999999998E-4</v>
      </c>
      <c r="AA2317">
        <v>0.99973299999999998</v>
      </c>
      <c r="AB2317">
        <v>37</v>
      </c>
      <c r="AC2317">
        <v>-54.575899999999997</v>
      </c>
      <c r="AD2317">
        <v>-1.1207879610914999</v>
      </c>
      <c r="AE2317">
        <v>2.2058</v>
      </c>
      <c r="AF2317">
        <v>1.2671678283905901</v>
      </c>
      <c r="AG2317">
        <v>-1.1207879610914999</v>
      </c>
      <c r="AH2317">
        <v>54.582762431759903</v>
      </c>
      <c r="AI2317">
        <v>91.176014244284204</v>
      </c>
      <c r="AJ2317">
        <v>88.670086928087201</v>
      </c>
      <c r="AK2317">
        <v>54.608972107529901</v>
      </c>
      <c r="AL2317">
        <v>91.298647241795607</v>
      </c>
      <c r="AM2317">
        <v>92.028611420146902</v>
      </c>
      <c r="AN2317">
        <v>1.0000000194660801</v>
      </c>
    </row>
    <row r="2318" spans="1:40" x14ac:dyDescent="0.25">
      <c r="A2318" t="str">
        <f>"20190303153819464"</f>
        <v>20190303153819464</v>
      </c>
      <c r="B2318" t="str">
        <f>"1551598699451416"</f>
        <v>1551598699451416</v>
      </c>
      <c r="C2318" t="s">
        <v>40</v>
      </c>
      <c r="D2318">
        <v>4.2547280000000001</v>
      </c>
      <c r="E2318">
        <v>0.521845</v>
      </c>
      <c r="F2318" t="s">
        <v>55</v>
      </c>
      <c r="G2318">
        <v>-331.4151</v>
      </c>
      <c r="H2318" s="1">
        <v>-8.1294249999999999E-7</v>
      </c>
      <c r="I2318">
        <v>285.28480000000002</v>
      </c>
      <c r="J2318">
        <v>-276.82839999999999</v>
      </c>
      <c r="K2318">
        <v>1.120789</v>
      </c>
      <c r="L2318">
        <v>283.1046</v>
      </c>
      <c r="M2318">
        <v>-0.99973780000000001</v>
      </c>
      <c r="N2318">
        <v>-1.488358E-2</v>
      </c>
      <c r="O2318">
        <v>1.7402319999999999E-2</v>
      </c>
      <c r="P2318">
        <v>-0.99912540000000005</v>
      </c>
      <c r="Q2318">
        <v>-3.7570520000000003E-2</v>
      </c>
      <c r="R2318">
        <v>-1.836167E-2</v>
      </c>
      <c r="S2318">
        <v>-3.0025019999999998</v>
      </c>
      <c r="T2318">
        <v>-6.1349389999999997E-2</v>
      </c>
      <c r="U2318">
        <v>0.11959839999999999</v>
      </c>
      <c r="V2318">
        <v>-3.5765329999999998E-2</v>
      </c>
      <c r="W2318">
        <v>-2.2675230000000001E-2</v>
      </c>
      <c r="X2318">
        <v>0.99910299999999996</v>
      </c>
      <c r="Y2318">
        <v>2.2397050000000002E-2</v>
      </c>
      <c r="Z2318">
        <v>2.9907209999999998E-4</v>
      </c>
      <c r="AA2318">
        <v>0.99974909999999995</v>
      </c>
      <c r="AB2318">
        <v>37</v>
      </c>
      <c r="AC2318">
        <v>-54.5867</v>
      </c>
      <c r="AD2318">
        <v>-1.1207898129425</v>
      </c>
      <c r="AE2318">
        <v>2.1802000000000099</v>
      </c>
      <c r="AF2318">
        <v>1.2293119141634501</v>
      </c>
      <c r="AG2318">
        <v>-1.1207898129425</v>
      </c>
      <c r="AH2318">
        <v>54.593398198196098</v>
      </c>
      <c r="AI2318">
        <v>91.175805892254104</v>
      </c>
      <c r="AJ2318">
        <v>88.710054952897707</v>
      </c>
      <c r="AK2318">
        <v>54.618737667707997</v>
      </c>
      <c r="AL2318">
        <v>91.299306253774702</v>
      </c>
      <c r="AM2318">
        <v>92.050166812489707</v>
      </c>
      <c r="AN2318">
        <v>1.00000006474727</v>
      </c>
    </row>
    <row r="2319" spans="1:40" x14ac:dyDescent="0.25">
      <c r="A2319" t="str">
        <f>"20190303153819476"</f>
        <v>20190303153819476</v>
      </c>
      <c r="B2319" t="str">
        <f>"1551598699470934"</f>
        <v>1551598699470934</v>
      </c>
      <c r="C2319" t="s">
        <v>40</v>
      </c>
      <c r="D2319">
        <v>4.279954</v>
      </c>
      <c r="E2319">
        <v>0.52166319999999999</v>
      </c>
      <c r="F2319" t="s">
        <v>55</v>
      </c>
      <c r="G2319">
        <v>-331.71199999999999</v>
      </c>
      <c r="H2319" s="1">
        <v>-6.5423649999999997E-7</v>
      </c>
      <c r="I2319">
        <v>285.26850000000002</v>
      </c>
      <c r="J2319">
        <v>-277.04910000000001</v>
      </c>
      <c r="K2319">
        <v>1.12079</v>
      </c>
      <c r="L2319">
        <v>283.1087</v>
      </c>
      <c r="M2319">
        <v>-0.99973469999999998</v>
      </c>
      <c r="N2319">
        <v>-1.488108E-2</v>
      </c>
      <c r="O2319">
        <v>1.7585880000000002E-2</v>
      </c>
      <c r="P2319">
        <v>-0.99913359999999996</v>
      </c>
      <c r="Q2319">
        <v>-3.731251E-2</v>
      </c>
      <c r="R2319">
        <v>-1.8442480000000001E-2</v>
      </c>
      <c r="S2319">
        <v>-3.0025019999999998</v>
      </c>
      <c r="T2319">
        <v>-6.1314699999999903E-2</v>
      </c>
      <c r="U2319">
        <v>0.1183777</v>
      </c>
      <c r="V2319">
        <v>-3.6029470000000001E-2</v>
      </c>
      <c r="W2319">
        <v>-2.2419399999999999E-2</v>
      </c>
      <c r="X2319">
        <v>0.99909919999999997</v>
      </c>
      <c r="Y2319">
        <v>2.180789E-2</v>
      </c>
      <c r="Z2319">
        <v>2.8765779999999998E-4</v>
      </c>
      <c r="AA2319">
        <v>0.99976209999999999</v>
      </c>
      <c r="AB2319">
        <v>37</v>
      </c>
      <c r="AC2319">
        <v>-54.662899999999901</v>
      </c>
      <c r="AD2319">
        <v>-1.1207906542365</v>
      </c>
      <c r="AE2319">
        <v>2.1598000000000099</v>
      </c>
      <c r="AF2319">
        <v>1.19756168695543</v>
      </c>
      <c r="AG2319">
        <v>-1.1207906542365</v>
      </c>
      <c r="AH2319">
        <v>54.669483773012303</v>
      </c>
      <c r="AI2319">
        <v>91.174186770135904</v>
      </c>
      <c r="AJ2319">
        <v>88.745108719190299</v>
      </c>
      <c r="AK2319">
        <v>54.6940836077573</v>
      </c>
      <c r="AL2319">
        <v>91.284644654614596</v>
      </c>
      <c r="AM2319">
        <v>92.065302825952401</v>
      </c>
      <c r="AN2319">
        <v>0.99999998182273997</v>
      </c>
    </row>
    <row r="2320" spans="1:40" x14ac:dyDescent="0.25">
      <c r="A2320" t="str">
        <f>"20190303153819488"</f>
        <v>20190303153819488</v>
      </c>
      <c r="B2320" t="str">
        <f>"1551598699480694"</f>
        <v>1551598699480694</v>
      </c>
      <c r="C2320" t="s">
        <v>40</v>
      </c>
      <c r="D2320">
        <v>4.2699049999999996</v>
      </c>
      <c r="E2320">
        <v>0.52157469999999995</v>
      </c>
      <c r="F2320" t="s">
        <v>55</v>
      </c>
      <c r="G2320">
        <v>-332.7747</v>
      </c>
      <c r="H2320" s="1">
        <v>-8.9004130000000003E-8</v>
      </c>
      <c r="I2320">
        <v>285.27460000000002</v>
      </c>
      <c r="J2320">
        <v>-277.2466</v>
      </c>
      <c r="K2320">
        <v>1.120789</v>
      </c>
      <c r="L2320">
        <v>283.1123</v>
      </c>
      <c r="M2320">
        <v>-0.9997317</v>
      </c>
      <c r="N2320">
        <v>-1.4878870000000001E-2</v>
      </c>
      <c r="O2320">
        <v>1.7750120000000001E-2</v>
      </c>
      <c r="P2320">
        <v>-0.99912880000000004</v>
      </c>
      <c r="Q2320">
        <v>-3.7370830000000001E-2</v>
      </c>
      <c r="R2320">
        <v>-1.8578999999999998E-2</v>
      </c>
      <c r="S2320">
        <v>-3.002472</v>
      </c>
      <c r="T2320">
        <v>-6.0387730000000001E-2</v>
      </c>
      <c r="U2320">
        <v>0.1166992</v>
      </c>
      <c r="V2320">
        <v>-3.6330040000000001E-2</v>
      </c>
      <c r="W2320">
        <v>-2.247975E-2</v>
      </c>
      <c r="X2320">
        <v>0.99908699999999995</v>
      </c>
      <c r="Y2320">
        <v>2.1086400000000002E-2</v>
      </c>
      <c r="Z2320">
        <v>2.7617309999999998E-4</v>
      </c>
      <c r="AA2320">
        <v>0.99977760000000004</v>
      </c>
      <c r="AB2320">
        <v>37</v>
      </c>
      <c r="AC2320">
        <v>-55.528100000000002</v>
      </c>
      <c r="AD2320">
        <v>-1.1207890890041201</v>
      </c>
      <c r="AE2320">
        <v>2.1623000000000099</v>
      </c>
      <c r="AF2320">
        <v>1.1757413942342401</v>
      </c>
      <c r="AG2320">
        <v>-1.1207890890041201</v>
      </c>
      <c r="AH2320">
        <v>55.535144357847898</v>
      </c>
      <c r="AI2320">
        <v>91.155905656433703</v>
      </c>
      <c r="AJ2320">
        <v>88.787165164160001</v>
      </c>
      <c r="AK2320">
        <v>55.5588948311173</v>
      </c>
      <c r="AL2320">
        <v>91.288103274532105</v>
      </c>
      <c r="AM2320">
        <v>92.082542579031298</v>
      </c>
      <c r="AN2320">
        <v>1.0000000222677301</v>
      </c>
    </row>
    <row r="2321" spans="1:40" x14ac:dyDescent="0.25">
      <c r="A2321" t="str">
        <f>"20190303153819500"</f>
        <v>20190303153819500</v>
      </c>
      <c r="B2321" t="str">
        <f>"1551598699491430"</f>
        <v>1551598699491430</v>
      </c>
      <c r="C2321" t="s">
        <v>40</v>
      </c>
      <c r="D2321">
        <v>4.2607299999999997</v>
      </c>
      <c r="E2321">
        <v>0.52148139999999998</v>
      </c>
      <c r="F2321" t="s">
        <v>55</v>
      </c>
      <c r="G2321">
        <v>-333.02190000000002</v>
      </c>
      <c r="H2321" s="1">
        <v>4.3277789999999998E-8</v>
      </c>
      <c r="I2321">
        <v>285.25749999999999</v>
      </c>
      <c r="J2321">
        <v>-277.44580000000002</v>
      </c>
      <c r="K2321">
        <v>1.120787</v>
      </c>
      <c r="L2321">
        <v>283.11599999999999</v>
      </c>
      <c r="M2321">
        <v>-0.99972890000000003</v>
      </c>
      <c r="N2321">
        <v>-1.487665E-2</v>
      </c>
      <c r="O2321">
        <v>1.7916089999999999E-2</v>
      </c>
      <c r="P2321">
        <v>-0.99912369999999995</v>
      </c>
      <c r="Q2321">
        <v>-3.7384229999999997E-2</v>
      </c>
      <c r="R2321">
        <v>-1.8832600000000001E-2</v>
      </c>
      <c r="S2321">
        <v>-3.002472</v>
      </c>
      <c r="T2321">
        <v>-6.0333850000000001E-2</v>
      </c>
      <c r="U2321">
        <v>0.1154785</v>
      </c>
      <c r="V2321">
        <v>-3.674972E-2</v>
      </c>
      <c r="W2321">
        <v>-2.2495169999999998E-2</v>
      </c>
      <c r="X2321">
        <v>0.9990713</v>
      </c>
      <c r="Y2321">
        <v>2.051478E-2</v>
      </c>
      <c r="Z2321">
        <v>2.6537989999999998E-4</v>
      </c>
      <c r="AA2321">
        <v>0.9997895</v>
      </c>
      <c r="AB2321">
        <v>37</v>
      </c>
      <c r="AC2321">
        <v>-55.576099999999997</v>
      </c>
      <c r="AD2321">
        <v>-1.12078695672221</v>
      </c>
      <c r="AE2321">
        <v>2.1415000000000002</v>
      </c>
      <c r="AF2321">
        <v>1.1448747514587201</v>
      </c>
      <c r="AG2321">
        <v>-1.12078695672221</v>
      </c>
      <c r="AH2321">
        <v>55.582977412050901</v>
      </c>
      <c r="AI2321">
        <v>91.154922815333407</v>
      </c>
      <c r="AJ2321">
        <v>88.820012527523502</v>
      </c>
      <c r="AK2321">
        <v>55.606063334742998</v>
      </c>
      <c r="AL2321">
        <v>91.288987003711895</v>
      </c>
      <c r="AM2321">
        <v>92.106611369310897</v>
      </c>
      <c r="AN2321">
        <v>1.00000001853854</v>
      </c>
    </row>
    <row r="2322" spans="1:40" x14ac:dyDescent="0.25">
      <c r="A2322" t="str">
        <f>"20190303153819511"</f>
        <v>20190303153819511</v>
      </c>
      <c r="B2322" t="str">
        <f>"1551598699501191"</f>
        <v>1551598699501191</v>
      </c>
      <c r="C2322" t="s">
        <v>40</v>
      </c>
      <c r="D2322">
        <v>4.27867</v>
      </c>
      <c r="E2322">
        <v>0.52141389999999999</v>
      </c>
      <c r="F2322" t="s">
        <v>55</v>
      </c>
      <c r="G2322">
        <v>-333.16140000000001</v>
      </c>
      <c r="H2322" s="1">
        <v>1.1846640000000001E-7</v>
      </c>
      <c r="I2322">
        <v>285.23559999999998</v>
      </c>
      <c r="J2322">
        <v>-277.6447</v>
      </c>
      <c r="K2322">
        <v>1.1207849999999999</v>
      </c>
      <c r="L2322">
        <v>283.11970000000002</v>
      </c>
      <c r="M2322">
        <v>-0.99972589999999995</v>
      </c>
      <c r="N2322">
        <v>-1.4874439999999999E-2</v>
      </c>
      <c r="O2322">
        <v>1.8081630000000001E-2</v>
      </c>
      <c r="P2322">
        <v>-0.99910949999999998</v>
      </c>
      <c r="Q2322">
        <v>-3.7751220000000002E-2</v>
      </c>
      <c r="R2322">
        <v>-1.8846229999999999E-2</v>
      </c>
      <c r="S2322">
        <v>-3.0025019999999998</v>
      </c>
      <c r="T2322">
        <v>-6.0399059999999997E-2</v>
      </c>
      <c r="U2322">
        <v>0.1142273</v>
      </c>
      <c r="V2322">
        <v>-3.6928549999999997E-2</v>
      </c>
      <c r="W2322">
        <v>-2.28644E-2</v>
      </c>
      <c r="X2322">
        <v>0.99905630000000001</v>
      </c>
      <c r="Y2322">
        <v>1.9932990000000001E-2</v>
      </c>
      <c r="Z2322">
        <v>2.5410830000000001E-4</v>
      </c>
      <c r="AA2322">
        <v>0.9998013</v>
      </c>
      <c r="AB2322">
        <v>37</v>
      </c>
      <c r="AC2322">
        <v>-55.5167</v>
      </c>
      <c r="AD2322">
        <v>-1.1207848815335999</v>
      </c>
      <c r="AE2322">
        <v>2.1158999999999502</v>
      </c>
      <c r="AF2322">
        <v>1.1111583303924599</v>
      </c>
      <c r="AG2322">
        <v>-1.1207848815335999</v>
      </c>
      <c r="AH2322">
        <v>55.523288395088301</v>
      </c>
      <c r="AI2322">
        <v>91.1561756378144</v>
      </c>
      <c r="AJ2322">
        <v>88.853522776329996</v>
      </c>
      <c r="AK2322">
        <v>55.545714378249102</v>
      </c>
      <c r="AL2322">
        <v>91.310147798461799</v>
      </c>
      <c r="AM2322">
        <v>92.116884926676804</v>
      </c>
      <c r="AN2322">
        <v>0.99999999458107602</v>
      </c>
    </row>
    <row r="2323" spans="1:40" x14ac:dyDescent="0.25">
      <c r="A2323" t="str">
        <f>"20190303153819530"</f>
        <v>20190303153819530</v>
      </c>
      <c r="B2323" t="str">
        <f>"1551598699520711"</f>
        <v>1551598699520711</v>
      </c>
      <c r="C2323" t="s">
        <v>40</v>
      </c>
      <c r="D2323">
        <v>4.3007939999999998</v>
      </c>
      <c r="E2323">
        <v>0.52131939999999999</v>
      </c>
      <c r="F2323" t="s">
        <v>55</v>
      </c>
      <c r="G2323">
        <v>-332.34030000000001</v>
      </c>
      <c r="H2323" s="1">
        <v>-3.1649450000000002E-7</v>
      </c>
      <c r="I2323">
        <v>285.19049999999999</v>
      </c>
      <c r="J2323">
        <v>-277.95240000000001</v>
      </c>
      <c r="K2323">
        <v>1.1207819999999999</v>
      </c>
      <c r="L2323">
        <v>283.12549999999999</v>
      </c>
      <c r="M2323">
        <v>-0.99972130000000003</v>
      </c>
      <c r="N2323">
        <v>-1.487102E-2</v>
      </c>
      <c r="O2323">
        <v>1.8337610000000001E-2</v>
      </c>
      <c r="P2323">
        <v>-0.99909599999999998</v>
      </c>
      <c r="Q2323">
        <v>-3.8114019999999998E-2</v>
      </c>
      <c r="R2323">
        <v>-1.8829519999999999E-2</v>
      </c>
      <c r="S2323">
        <v>-3.0025019999999998</v>
      </c>
      <c r="T2323">
        <v>-6.152523E-2</v>
      </c>
      <c r="U2323">
        <v>0.113678</v>
      </c>
      <c r="V2323">
        <v>-3.7167850000000002E-2</v>
      </c>
      <c r="W2323">
        <v>-2.3230629999999999E-2</v>
      </c>
      <c r="X2323">
        <v>0.99903900000000001</v>
      </c>
      <c r="Y2323">
        <v>1.9494339999999999E-2</v>
      </c>
      <c r="Z2323">
        <v>2.417807E-4</v>
      </c>
      <c r="AA2323">
        <v>0.99980990000000003</v>
      </c>
      <c r="AB2323">
        <v>37</v>
      </c>
      <c r="AC2323">
        <v>-54.387900000000002</v>
      </c>
      <c r="AD2323">
        <v>-1.1207823164945001</v>
      </c>
      <c r="AE2323">
        <v>2.0649999999999902</v>
      </c>
      <c r="AF2323">
        <v>1.06674599781663</v>
      </c>
      <c r="AG2323">
        <v>-1.1207823164945001</v>
      </c>
      <c r="AH2323">
        <v>54.393558768284798</v>
      </c>
      <c r="AI2323">
        <v>91.180188826644596</v>
      </c>
      <c r="AJ2323">
        <v>88.876480767797005</v>
      </c>
      <c r="AK2323">
        <v>54.415561519694698</v>
      </c>
      <c r="AL2323">
        <v>91.331136776961699</v>
      </c>
      <c r="AM2323">
        <v>92.130626771893901</v>
      </c>
      <c r="AN2323">
        <v>1.0000000173824</v>
      </c>
    </row>
    <row r="2324" spans="1:40" x14ac:dyDescent="0.25">
      <c r="A2324" t="str">
        <f>"20190303153819542"</f>
        <v>20190303153819542</v>
      </c>
      <c r="B2324" t="str">
        <f>"1551598699531446"</f>
        <v>1551598699531446</v>
      </c>
      <c r="C2324" t="s">
        <v>40</v>
      </c>
      <c r="D2324">
        <v>4.2860149999999999</v>
      </c>
      <c r="E2324">
        <v>0.52125459999999901</v>
      </c>
      <c r="F2324" t="s">
        <v>55</v>
      </c>
      <c r="G2324">
        <v>-331.7516</v>
      </c>
      <c r="H2324" s="1">
        <v>-6.2794999999999996E-7</v>
      </c>
      <c r="I2324">
        <v>285.14819999999997</v>
      </c>
      <c r="J2324">
        <v>-278.14960000000002</v>
      </c>
      <c r="K2324">
        <v>1.1207800000000001</v>
      </c>
      <c r="L2324">
        <v>283.12920000000003</v>
      </c>
      <c r="M2324">
        <v>-0.99971840000000001</v>
      </c>
      <c r="N2324">
        <v>-1.4868849999999999E-2</v>
      </c>
      <c r="O2324">
        <v>1.8501299999999998E-2</v>
      </c>
      <c r="P2324">
        <v>-0.99909460000000005</v>
      </c>
      <c r="Q2324">
        <v>-3.8239189999999999E-2</v>
      </c>
      <c r="R2324">
        <v>-1.865584E-2</v>
      </c>
      <c r="S2324">
        <v>-3.0024410000000001</v>
      </c>
      <c r="T2324">
        <v>-6.2548999999999993E-2</v>
      </c>
      <c r="U2324">
        <v>0.1128845</v>
      </c>
      <c r="V2324">
        <v>-3.7157259999999998E-2</v>
      </c>
      <c r="W2324">
        <v>-2.3357969999999999E-2</v>
      </c>
      <c r="X2324">
        <v>0.99903640000000005</v>
      </c>
      <c r="Y2324">
        <v>1.9067569999999999E-2</v>
      </c>
      <c r="Z2324">
        <v>2.3019739999999999E-4</v>
      </c>
      <c r="AA2324">
        <v>0.99981810000000004</v>
      </c>
      <c r="AB2324">
        <v>37</v>
      </c>
      <c r="AC2324">
        <v>-53.601999999999897</v>
      </c>
      <c r="AD2324">
        <v>-1.1207806279500001</v>
      </c>
      <c r="AE2324">
        <v>2.0189999999999402</v>
      </c>
      <c r="AF2324">
        <v>1.0263900467568501</v>
      </c>
      <c r="AG2324">
        <v>-1.1207806279500001</v>
      </c>
      <c r="AH2324">
        <v>53.606777876593398</v>
      </c>
      <c r="AI2324">
        <v>91.197514302978405</v>
      </c>
      <c r="AJ2324">
        <v>88.903111965998406</v>
      </c>
      <c r="AK2324">
        <v>53.628315842048302</v>
      </c>
      <c r="AL2324">
        <v>91.338434834851597</v>
      </c>
      <c r="AM2324">
        <v>92.1300258034493</v>
      </c>
      <c r="AN2324">
        <v>0.999999992629094</v>
      </c>
    </row>
    <row r="2325" spans="1:40" x14ac:dyDescent="0.25">
      <c r="A2325" t="str">
        <f>"20190303153819562"</f>
        <v>20190303153819562</v>
      </c>
      <c r="B2325" t="str">
        <f>"1551598699550966"</f>
        <v>1551598699550966</v>
      </c>
      <c r="C2325" t="s">
        <v>40</v>
      </c>
      <c r="D2325">
        <v>4.288043</v>
      </c>
      <c r="E2325">
        <v>0.52112449999999999</v>
      </c>
      <c r="F2325" t="s">
        <v>55</v>
      </c>
      <c r="G2325">
        <v>-331.58100000000002</v>
      </c>
      <c r="H2325" s="1">
        <v>-7.1840409999999897E-7</v>
      </c>
      <c r="I2325">
        <v>285.14139999999998</v>
      </c>
      <c r="J2325">
        <v>-278.48390000000001</v>
      </c>
      <c r="K2325">
        <v>1.1207780000000001</v>
      </c>
      <c r="L2325">
        <v>283.13569999999999</v>
      </c>
      <c r="M2325">
        <v>-0.99971319999999997</v>
      </c>
      <c r="N2325">
        <v>-1.486525E-2</v>
      </c>
      <c r="O2325">
        <v>1.8777510000000001E-2</v>
      </c>
      <c r="P2325">
        <v>-0.99909689999999995</v>
      </c>
      <c r="Q2325">
        <v>-3.8163879999999997E-2</v>
      </c>
      <c r="R2325">
        <v>-1.867655E-2</v>
      </c>
      <c r="S2325">
        <v>-3.0024109999999999</v>
      </c>
      <c r="T2325">
        <v>-6.2978740000000005E-2</v>
      </c>
      <c r="U2325">
        <v>0.1130676</v>
      </c>
      <c r="V2325">
        <v>-3.7454580000000001E-2</v>
      </c>
      <c r="W2325">
        <v>-2.3286169999999998E-2</v>
      </c>
      <c r="X2325">
        <v>0.999027</v>
      </c>
      <c r="Y2325">
        <v>1.885262E-2</v>
      </c>
      <c r="Z2325">
        <v>2.232771E-4</v>
      </c>
      <c r="AA2325">
        <v>0.99982230000000005</v>
      </c>
      <c r="AB2325">
        <v>37</v>
      </c>
      <c r="AC2325">
        <v>-53.097099999999898</v>
      </c>
      <c r="AD2325">
        <v>-1.1207787184041</v>
      </c>
      <c r="AE2325">
        <v>2.0056999999999898</v>
      </c>
      <c r="AF2325">
        <v>1.0077564450477401</v>
      </c>
      <c r="AG2325">
        <v>-1.1207787184041</v>
      </c>
      <c r="AH2325">
        <v>53.101776558063001</v>
      </c>
      <c r="AI2325">
        <v>91.208901206138293</v>
      </c>
      <c r="AJ2325">
        <v>88.912780994269596</v>
      </c>
      <c r="AK2325">
        <v>53.123162477497601</v>
      </c>
      <c r="AL2325">
        <v>91.334319843400706</v>
      </c>
      <c r="AM2325">
        <v>92.147073854515995</v>
      </c>
      <c r="AN2325">
        <v>1.0000000190026199</v>
      </c>
    </row>
    <row r="2326" spans="1:40" x14ac:dyDescent="0.25">
      <c r="A2326" t="str">
        <f>"20190303153819574"</f>
        <v>20190303153819574</v>
      </c>
      <c r="B2326" t="str">
        <f>"1551598699571462"</f>
        <v>1551598699571462</v>
      </c>
      <c r="C2326" t="s">
        <v>40</v>
      </c>
      <c r="D2326">
        <v>4.2809379999999999</v>
      </c>
      <c r="E2326">
        <v>0.52101249999999999</v>
      </c>
      <c r="F2326" t="s">
        <v>55</v>
      </c>
      <c r="G2326">
        <v>-332.10840000000002</v>
      </c>
      <c r="H2326" s="1">
        <v>-4.3736829999999998E-7</v>
      </c>
      <c r="I2326">
        <v>285.13229999999999</v>
      </c>
      <c r="J2326">
        <v>-278.67840000000001</v>
      </c>
      <c r="K2326">
        <v>1.1207750000000001</v>
      </c>
      <c r="L2326">
        <v>283.1395</v>
      </c>
      <c r="M2326">
        <v>-0.9997104</v>
      </c>
      <c r="N2326">
        <v>-1.486323E-2</v>
      </c>
      <c r="O2326">
        <v>1.8935270000000001E-2</v>
      </c>
      <c r="P2326">
        <v>-0.99910010000000005</v>
      </c>
      <c r="Q2326">
        <v>-3.8050430000000003E-2</v>
      </c>
      <c r="R2326">
        <v>-1.8746410000000002E-2</v>
      </c>
      <c r="S2326">
        <v>-3.0024109999999999</v>
      </c>
      <c r="T2326">
        <v>-6.2751890000000005E-2</v>
      </c>
      <c r="U2326">
        <v>0.11178589999999999</v>
      </c>
      <c r="V2326">
        <v>-3.7681899999999997E-2</v>
      </c>
      <c r="W2326">
        <v>-2.3174770000000001E-2</v>
      </c>
      <c r="X2326">
        <v>0.99902100000000005</v>
      </c>
      <c r="Y2326">
        <v>1.826887E-2</v>
      </c>
      <c r="Z2326">
        <v>2.1253649999999999E-4</v>
      </c>
      <c r="AA2326">
        <v>0.99983310000000003</v>
      </c>
      <c r="AB2326">
        <v>37</v>
      </c>
      <c r="AC2326">
        <v>-53.43</v>
      </c>
      <c r="AD2326">
        <v>-1.1207754373683001</v>
      </c>
      <c r="AE2326">
        <v>1.9927999999999799</v>
      </c>
      <c r="AF2326">
        <v>0.98018886539296801</v>
      </c>
      <c r="AG2326">
        <v>-1.1207754373683001</v>
      </c>
      <c r="AH2326">
        <v>53.434677517028803</v>
      </c>
      <c r="AI2326">
        <v>91.201382591397206</v>
      </c>
      <c r="AJ2326">
        <v>88.9491021596899</v>
      </c>
      <c r="AK2326">
        <v>53.455417584579003</v>
      </c>
      <c r="AL2326">
        <v>91.327935426534296</v>
      </c>
      <c r="AM2326">
        <v>92.1601055670656</v>
      </c>
      <c r="AN2326">
        <v>0.99999997699658105</v>
      </c>
    </row>
    <row r="2327" spans="1:40" x14ac:dyDescent="0.25">
      <c r="A2327" t="str">
        <f>"20190303153819587"</f>
        <v>20190303153819587</v>
      </c>
      <c r="B2327" t="str">
        <f>"1551598699581222"</f>
        <v>1551598699581222</v>
      </c>
      <c r="C2327" t="s">
        <v>40</v>
      </c>
      <c r="D2327">
        <v>4.2716620000000001</v>
      </c>
      <c r="E2327">
        <v>0.52096179999999903</v>
      </c>
      <c r="F2327" t="s">
        <v>55</v>
      </c>
      <c r="G2327">
        <v>-332.36619999999999</v>
      </c>
      <c r="H2327" s="1">
        <v>-2.9961010000000001E-7</v>
      </c>
      <c r="I2327">
        <v>285.11989999999997</v>
      </c>
      <c r="J2327">
        <v>-278.88709999999998</v>
      </c>
      <c r="K2327">
        <v>1.120779</v>
      </c>
      <c r="L2327">
        <v>283.14359999999999</v>
      </c>
      <c r="M2327">
        <v>-0.99970720000000002</v>
      </c>
      <c r="N2327">
        <v>-1.486109E-2</v>
      </c>
      <c r="O2327">
        <v>1.910104E-2</v>
      </c>
      <c r="P2327">
        <v>-0.99908859999999999</v>
      </c>
      <c r="Q2327">
        <v>-3.836693E-2</v>
      </c>
      <c r="R2327">
        <v>-1.8712989999999999E-2</v>
      </c>
      <c r="S2327">
        <v>-3.0023499999999999</v>
      </c>
      <c r="T2327">
        <v>-6.2676430000000005E-2</v>
      </c>
      <c r="U2327">
        <v>0.11074829999999999</v>
      </c>
      <c r="V2327">
        <v>-3.7813579999999999E-2</v>
      </c>
      <c r="W2327">
        <v>-2.349381E-2</v>
      </c>
      <c r="X2327">
        <v>0.99900860000000002</v>
      </c>
      <c r="Y2327">
        <v>1.7758969999999999E-2</v>
      </c>
      <c r="Z2327">
        <v>2.026121E-4</v>
      </c>
      <c r="AA2327">
        <v>0.99984229999999996</v>
      </c>
      <c r="AB2327">
        <v>37</v>
      </c>
      <c r="AC2327">
        <v>-53.479100000000003</v>
      </c>
      <c r="AD2327">
        <v>-1.1207792996101</v>
      </c>
      <c r="AE2327">
        <v>1.97629999999998</v>
      </c>
      <c r="AF2327">
        <v>0.95390181756688897</v>
      </c>
      <c r="AG2327">
        <v>-1.1207792996101</v>
      </c>
      <c r="AH2327">
        <v>53.483636088596697</v>
      </c>
      <c r="AI2327">
        <v>91.200298340004295</v>
      </c>
      <c r="AJ2327">
        <v>88.978215430167197</v>
      </c>
      <c r="AK2327">
        <v>53.503882141144103</v>
      </c>
      <c r="AL2327">
        <v>91.346220014187907</v>
      </c>
      <c r="AM2327">
        <v>92.167673781980099</v>
      </c>
      <c r="AN2327">
        <v>1.00000000440734</v>
      </c>
    </row>
    <row r="2328" spans="1:40" x14ac:dyDescent="0.25">
      <c r="A2328" t="str">
        <f>"20190303153819598"</f>
        <v>20190303153819598</v>
      </c>
      <c r="B2328" t="str">
        <f>"1551598699590982"</f>
        <v>1551598699590982</v>
      </c>
      <c r="C2328" t="s">
        <v>40</v>
      </c>
      <c r="D2328">
        <v>4.2990719999999998</v>
      </c>
      <c r="E2328">
        <v>0.5208893</v>
      </c>
      <c r="F2328" t="s">
        <v>55</v>
      </c>
      <c r="G2328">
        <v>-331.70249999999999</v>
      </c>
      <c r="H2328" s="1">
        <v>-6.5123699999999997E-7</v>
      </c>
      <c r="I2328">
        <v>285.08440000000002</v>
      </c>
      <c r="J2328">
        <v>-279.07830000000001</v>
      </c>
      <c r="K2328">
        <v>1.1207830000000001</v>
      </c>
      <c r="L2328">
        <v>283.1474</v>
      </c>
      <c r="M2328">
        <v>-0.9997045</v>
      </c>
      <c r="N2328">
        <v>-1.485905E-2</v>
      </c>
      <c r="O2328">
        <v>1.924621E-2</v>
      </c>
      <c r="P2328">
        <v>-0.99908640000000004</v>
      </c>
      <c r="Q2328">
        <v>-3.8397969999999997E-2</v>
      </c>
      <c r="R2328">
        <v>-1.87709E-2</v>
      </c>
      <c r="S2328">
        <v>-3.0023499999999999</v>
      </c>
      <c r="T2328">
        <v>-6.3711879999999999E-2</v>
      </c>
      <c r="U2328">
        <v>0.110321</v>
      </c>
      <c r="V2328">
        <v>-3.8016000000000001E-2</v>
      </c>
      <c r="W2328">
        <v>-2.3527349999999999E-2</v>
      </c>
      <c r="X2328">
        <v>0.99900009999999995</v>
      </c>
      <c r="Y2328">
        <v>1.747168E-2</v>
      </c>
      <c r="Z2328">
        <v>1.929287E-4</v>
      </c>
      <c r="AA2328">
        <v>0.99984740000000005</v>
      </c>
      <c r="AB2328">
        <v>37</v>
      </c>
      <c r="AC2328">
        <v>-52.624199999999902</v>
      </c>
      <c r="AD2328">
        <v>-1.120783651237</v>
      </c>
      <c r="AE2328">
        <v>1.93700000000001</v>
      </c>
      <c r="AF2328">
        <v>0.92329481597299101</v>
      </c>
      <c r="AG2328">
        <v>-1.120783651237</v>
      </c>
      <c r="AH2328">
        <v>52.6278948407492</v>
      </c>
      <c r="AI2328">
        <v>91.219820629876907</v>
      </c>
      <c r="AJ2328">
        <v>88.994915719517095</v>
      </c>
      <c r="AK2328">
        <v>52.647924409980597</v>
      </c>
      <c r="AL2328">
        <v>91.3481422840851</v>
      </c>
      <c r="AM2328">
        <v>92.179284929686304</v>
      </c>
      <c r="AN2328">
        <v>0.99999997612701497</v>
      </c>
    </row>
    <row r="2329" spans="1:40" x14ac:dyDescent="0.25">
      <c r="A2329" t="str">
        <f>"20190303153819610"</f>
        <v>20190303153819610</v>
      </c>
      <c r="B2329" t="str">
        <f>"1551598699600742"</f>
        <v>1551598699600742</v>
      </c>
      <c r="C2329" t="s">
        <v>40</v>
      </c>
      <c r="D2329">
        <v>4.3033650000000003</v>
      </c>
      <c r="E2329">
        <v>0.5208372</v>
      </c>
      <c r="F2329" t="s">
        <v>55</v>
      </c>
      <c r="G2329">
        <v>-331.72289999999998</v>
      </c>
      <c r="H2329" s="1">
        <v>-6.3973269999999897E-7</v>
      </c>
      <c r="I2329">
        <v>285.0684</v>
      </c>
      <c r="J2329">
        <v>-279.27569999999997</v>
      </c>
      <c r="K2329">
        <v>1.1207910000000001</v>
      </c>
      <c r="L2329">
        <v>283.15129999999999</v>
      </c>
      <c r="M2329">
        <v>-0.99970159999999997</v>
      </c>
      <c r="N2329">
        <v>-1.4856909999999999E-2</v>
      </c>
      <c r="O2329">
        <v>1.9393029999999999E-2</v>
      </c>
      <c r="P2329">
        <v>-0.99907429999999997</v>
      </c>
      <c r="Q2329">
        <v>-3.8726740000000003E-2</v>
      </c>
      <c r="R2329">
        <v>-1.8737420000000001E-2</v>
      </c>
      <c r="S2329">
        <v>-3.00238</v>
      </c>
      <c r="T2329">
        <v>-6.3919660000000003E-2</v>
      </c>
      <c r="U2329">
        <v>0.10955810000000001</v>
      </c>
      <c r="V2329">
        <v>-3.8129080000000003E-2</v>
      </c>
      <c r="W2329">
        <v>-2.3859000000000002E-2</v>
      </c>
      <c r="X2329">
        <v>0.99898799999999999</v>
      </c>
      <c r="Y2329">
        <v>1.707086E-2</v>
      </c>
      <c r="Z2329">
        <v>1.839577E-4</v>
      </c>
      <c r="AA2329">
        <v>0.99985429999999997</v>
      </c>
      <c r="AB2329">
        <v>37</v>
      </c>
      <c r="AC2329">
        <v>-52.447200000000002</v>
      </c>
      <c r="AD2329">
        <v>-1.1207916397327</v>
      </c>
      <c r="AE2329">
        <v>1.9171</v>
      </c>
      <c r="AF2329">
        <v>0.89910699630820301</v>
      </c>
      <c r="AG2329">
        <v>-1.1207916397327</v>
      </c>
      <c r="AH2329">
        <v>52.450596152000898</v>
      </c>
      <c r="AI2329">
        <v>91.223959981975597</v>
      </c>
      <c r="AJ2329">
        <v>89.017933159317295</v>
      </c>
      <c r="AK2329">
        <v>52.470273526929503</v>
      </c>
      <c r="AL2329">
        <v>91.367149662826705</v>
      </c>
      <c r="AM2329">
        <v>92.185787464086005</v>
      </c>
      <c r="AN2329">
        <v>1.00000005138332</v>
      </c>
    </row>
    <row r="2330" spans="1:40" x14ac:dyDescent="0.25">
      <c r="A2330" t="str">
        <f>"20190303153819622"</f>
        <v>20190303153819622</v>
      </c>
      <c r="B2330" t="str">
        <f>"1551598699611478"</f>
        <v>1551598699611478</v>
      </c>
      <c r="C2330" t="s">
        <v>40</v>
      </c>
      <c r="D2330">
        <v>4.3048840000000004</v>
      </c>
      <c r="E2330">
        <v>0.52078519999999995</v>
      </c>
      <c r="F2330" t="s">
        <v>55</v>
      </c>
      <c r="G2330">
        <v>-331.0761</v>
      </c>
      <c r="H2330" s="1">
        <v>-9.824657E-7</v>
      </c>
      <c r="I2330">
        <v>285.03579999999999</v>
      </c>
      <c r="J2330">
        <v>-279.47809999999998</v>
      </c>
      <c r="K2330">
        <v>1.1208</v>
      </c>
      <c r="L2330">
        <v>283.15539999999999</v>
      </c>
      <c r="M2330">
        <v>-0.99969889999999995</v>
      </c>
      <c r="N2330">
        <v>-1.4854600000000001E-2</v>
      </c>
      <c r="O2330">
        <v>1.95309E-2</v>
      </c>
      <c r="P2330">
        <v>-0.99908209999999997</v>
      </c>
      <c r="Q2330">
        <v>-3.8605750000000001E-2</v>
      </c>
      <c r="R2330">
        <v>-1.856961E-2</v>
      </c>
      <c r="S2330">
        <v>-3.002319</v>
      </c>
      <c r="T2330">
        <v>-6.4960359999999995E-2</v>
      </c>
      <c r="U2330">
        <v>0.1092224</v>
      </c>
      <c r="V2330">
        <v>-3.8098220000000002E-2</v>
      </c>
      <c r="W2330">
        <v>-2.374126E-2</v>
      </c>
      <c r="X2330">
        <v>0.99899190000000004</v>
      </c>
      <c r="Y2330">
        <v>1.682204E-2</v>
      </c>
      <c r="Z2330">
        <v>1.7465529999999901E-4</v>
      </c>
      <c r="AA2330">
        <v>0.99985849999999998</v>
      </c>
      <c r="AB2330">
        <v>37</v>
      </c>
      <c r="AC2330">
        <v>-51.597999999999999</v>
      </c>
      <c r="AD2330">
        <v>-1.1208009824656999</v>
      </c>
      <c r="AE2330">
        <v>1.8804000000000001</v>
      </c>
      <c r="AF2330">
        <v>0.87176387857075899</v>
      </c>
      <c r="AG2330">
        <v>-1.1208009824656999</v>
      </c>
      <c r="AH2330">
        <v>51.600570935761702</v>
      </c>
      <c r="AI2330">
        <v>91.244131807712193</v>
      </c>
      <c r="AJ2330">
        <v>89.032110716126496</v>
      </c>
      <c r="AK2330">
        <v>51.6201035256503</v>
      </c>
      <c r="AL2330">
        <v>91.360401858708599</v>
      </c>
      <c r="AM2330">
        <v>92.184011579704702</v>
      </c>
      <c r="AN2330">
        <v>0.99999996902958199</v>
      </c>
    </row>
    <row r="2331" spans="1:40" x14ac:dyDescent="0.25">
      <c r="A2331" t="str">
        <f>"20190303153819634"</f>
        <v>20190303153819634</v>
      </c>
      <c r="B2331" t="str">
        <f>"1551598699630998"</f>
        <v>1551598699630998</v>
      </c>
      <c r="C2331" t="s">
        <v>40</v>
      </c>
      <c r="D2331">
        <v>4.3206360000000004</v>
      </c>
      <c r="E2331">
        <v>0.52069849999999995</v>
      </c>
      <c r="F2331" t="s">
        <v>55</v>
      </c>
      <c r="G2331">
        <v>-331.44310000000002</v>
      </c>
      <c r="H2331" s="1">
        <v>-7.8781740000000001E-7</v>
      </c>
      <c r="I2331">
        <v>285.05059999999997</v>
      </c>
      <c r="J2331">
        <v>-279.67430000000002</v>
      </c>
      <c r="K2331">
        <v>1.1208129999999901</v>
      </c>
      <c r="L2331">
        <v>283.15940000000001</v>
      </c>
      <c r="M2331">
        <v>-0.99969660000000005</v>
      </c>
      <c r="N2331">
        <v>-1.485232E-2</v>
      </c>
      <c r="O2331">
        <v>1.9657899999999999E-2</v>
      </c>
      <c r="P2331">
        <v>-0.99907140000000005</v>
      </c>
      <c r="Q2331">
        <v>-3.8869760000000003E-2</v>
      </c>
      <c r="R2331">
        <v>-1.8600559999999999E-2</v>
      </c>
      <c r="S2331">
        <v>-3.0022890000000002</v>
      </c>
      <c r="T2331">
        <v>-6.4754489999999998E-2</v>
      </c>
      <c r="U2331">
        <v>0.1094971</v>
      </c>
      <c r="V2331">
        <v>-3.8255169999999998E-2</v>
      </c>
      <c r="W2331">
        <v>-2.4008729999999999E-2</v>
      </c>
      <c r="X2331">
        <v>0.99897959999999997</v>
      </c>
      <c r="Y2331">
        <v>1.6786769999999999E-2</v>
      </c>
      <c r="Z2331">
        <v>1.7385839999999999E-4</v>
      </c>
      <c r="AA2331">
        <v>0.9998591</v>
      </c>
      <c r="AB2331">
        <v>37</v>
      </c>
      <c r="AC2331">
        <v>-51.768799999999999</v>
      </c>
      <c r="AD2331">
        <v>-1.1208137878173901</v>
      </c>
      <c r="AE2331">
        <v>1.89119999999996</v>
      </c>
      <c r="AF2331">
        <v>0.87264797927763105</v>
      </c>
      <c r="AG2331">
        <v>-1.1208137878173901</v>
      </c>
      <c r="AH2331">
        <v>51.7717402871194</v>
      </c>
      <c r="AI2331">
        <v>91.240034680618606</v>
      </c>
      <c r="AJ2331">
        <v>89.034332019749499</v>
      </c>
      <c r="AK2331">
        <v>51.791223488151303</v>
      </c>
      <c r="AL2331">
        <v>91.375731006909504</v>
      </c>
      <c r="AM2331">
        <v>92.193027075068898</v>
      </c>
      <c r="AN2331">
        <v>1.0000000591820399</v>
      </c>
    </row>
    <row r="2332" spans="1:40" x14ac:dyDescent="0.25">
      <c r="A2332" t="str">
        <f>"20190303153819648"</f>
        <v>20190303153819648</v>
      </c>
      <c r="B2332" t="str">
        <f>"1551598699640758"</f>
        <v>1551598699640758</v>
      </c>
      <c r="C2332" t="s">
        <v>40</v>
      </c>
      <c r="D2332">
        <v>4.3018340000000004</v>
      </c>
      <c r="E2332">
        <v>0.52064480000000002</v>
      </c>
      <c r="F2332" t="s">
        <v>55</v>
      </c>
      <c r="G2332">
        <v>-331.0829</v>
      </c>
      <c r="H2332" s="1">
        <v>-9.7820690000000005E-7</v>
      </c>
      <c r="I2332">
        <v>285.02120000000002</v>
      </c>
      <c r="J2332">
        <v>-279.90390000000002</v>
      </c>
      <c r="K2332">
        <v>1.1208400000000001</v>
      </c>
      <c r="L2332">
        <v>283.16399999999999</v>
      </c>
      <c r="M2332">
        <v>-0.99969370000000002</v>
      </c>
      <c r="N2332">
        <v>-1.4849619999999999E-2</v>
      </c>
      <c r="O2332">
        <v>1.9796879999999999E-2</v>
      </c>
      <c r="P2332">
        <v>-0.9990696</v>
      </c>
      <c r="Q2332">
        <v>-3.8992449999999998E-2</v>
      </c>
      <c r="R2332">
        <v>-1.8434209999999999E-2</v>
      </c>
      <c r="S2332">
        <v>-3.0022890000000002</v>
      </c>
      <c r="T2332">
        <v>-6.5456150000000005E-2</v>
      </c>
      <c r="U2332">
        <v>0.1087341</v>
      </c>
      <c r="V2332">
        <v>-3.8226950000000003E-2</v>
      </c>
      <c r="W2332">
        <v>-2.413564E-2</v>
      </c>
      <c r="X2332">
        <v>0.99897749999999996</v>
      </c>
      <c r="Y2332">
        <v>1.6394099999999901E-2</v>
      </c>
      <c r="Z2332">
        <v>1.629918E-4</v>
      </c>
      <c r="AA2332">
        <v>0.99986560000000002</v>
      </c>
      <c r="AB2332">
        <v>37</v>
      </c>
      <c r="AC2332">
        <v>-51.178999999999903</v>
      </c>
      <c r="AD2332">
        <v>-1.1208409782069</v>
      </c>
      <c r="AE2332">
        <v>1.8572000000000299</v>
      </c>
      <c r="AF2332">
        <v>0.84313580173360703</v>
      </c>
      <c r="AG2332">
        <v>-1.1208409782069</v>
      </c>
      <c r="AH2332">
        <v>51.181223021539999</v>
      </c>
      <c r="AI2332">
        <v>91.254375776056094</v>
      </c>
      <c r="AJ2332">
        <v>89.056221189259404</v>
      </c>
      <c r="AK2332">
        <v>51.2004370338692</v>
      </c>
      <c r="AL2332">
        <v>91.383004690341707</v>
      </c>
      <c r="AM2332">
        <v>92.191415507079896</v>
      </c>
      <c r="AN2332">
        <v>0.99999993716537905</v>
      </c>
    </row>
    <row r="2333" spans="1:40" x14ac:dyDescent="0.25">
      <c r="A2333" t="str">
        <f>"20190303153819664"</f>
        <v>20190303153819664</v>
      </c>
      <c r="B2333" t="str">
        <f>"1551598699661254"</f>
        <v>1551598699661254</v>
      </c>
      <c r="C2333" t="s">
        <v>40</v>
      </c>
      <c r="D2333">
        <v>4.331747</v>
      </c>
      <c r="E2333">
        <v>0.52056550000000001</v>
      </c>
      <c r="F2333" t="s">
        <v>55</v>
      </c>
      <c r="G2333">
        <v>-331.10149999999999</v>
      </c>
      <c r="H2333" s="1">
        <v>-9.6822030000000005E-7</v>
      </c>
      <c r="I2333">
        <v>285.01830000000001</v>
      </c>
      <c r="J2333">
        <v>-280.16219999999998</v>
      </c>
      <c r="K2333">
        <v>1.120862</v>
      </c>
      <c r="L2333">
        <v>283.16930000000002</v>
      </c>
      <c r="M2333">
        <v>-0.9996912</v>
      </c>
      <c r="N2333">
        <v>-1.48466E-2</v>
      </c>
      <c r="O2333">
        <v>1.9929499999999999E-2</v>
      </c>
      <c r="P2333">
        <v>-0.9990888</v>
      </c>
      <c r="Q2333">
        <v>-3.8440009999999997E-2</v>
      </c>
      <c r="R2333">
        <v>-1.8550549999999999E-2</v>
      </c>
      <c r="S2333">
        <v>-3.0021969999999998</v>
      </c>
      <c r="T2333">
        <v>-6.5725560000000002E-2</v>
      </c>
      <c r="U2333">
        <v>0.1087341</v>
      </c>
      <c r="V2333">
        <v>-3.8474679999999997E-2</v>
      </c>
      <c r="W2333">
        <v>-2.358797E-2</v>
      </c>
      <c r="X2333">
        <v>0.99898109999999996</v>
      </c>
      <c r="Y2333">
        <v>1.626259E-2</v>
      </c>
      <c r="Z2333">
        <v>1.5851170000000001E-4</v>
      </c>
      <c r="AA2333">
        <v>0.99986770000000003</v>
      </c>
      <c r="AB2333">
        <v>37</v>
      </c>
      <c r="AC2333">
        <v>-50.939300000000003</v>
      </c>
      <c r="AD2333">
        <v>-1.1208629682203</v>
      </c>
      <c r="AE2333">
        <v>1.84899999999998</v>
      </c>
      <c r="AF2333">
        <v>0.83292330659818004</v>
      </c>
      <c r="AG2333">
        <v>-1.1208629682203</v>
      </c>
      <c r="AH2333">
        <v>50.941402394667001</v>
      </c>
      <c r="AI2333">
        <v>91.260306452768006</v>
      </c>
      <c r="AJ2333">
        <v>89.063262184229899</v>
      </c>
      <c r="AK2333">
        <v>50.960539370807197</v>
      </c>
      <c r="AL2333">
        <v>91.351616532530002</v>
      </c>
      <c r="AM2333">
        <v>92.205595068644399</v>
      </c>
      <c r="AN2333">
        <v>0.99999996574351602</v>
      </c>
    </row>
    <row r="2334" spans="1:40" x14ac:dyDescent="0.25">
      <c r="A2334" t="str">
        <f>"20190303153819677"</f>
        <v>20190303153819677</v>
      </c>
      <c r="B2334" t="str">
        <f>"1551598699671014"</f>
        <v>1551598699671014</v>
      </c>
      <c r="C2334" t="s">
        <v>40</v>
      </c>
      <c r="D2334">
        <v>4.3065340000000001</v>
      </c>
      <c r="E2334">
        <v>0.52051970000000003</v>
      </c>
      <c r="F2334" t="s">
        <v>55</v>
      </c>
      <c r="G2334">
        <v>-332.76190000000003</v>
      </c>
      <c r="H2334" s="1">
        <v>-8.6355280000000005E-8</v>
      </c>
      <c r="I2334">
        <v>285.05770000000001</v>
      </c>
      <c r="J2334">
        <v>-280.38139999999999</v>
      </c>
      <c r="K2334">
        <v>1.1208880000000001</v>
      </c>
      <c r="L2334">
        <v>283.1737</v>
      </c>
      <c r="M2334">
        <v>-0.9996893</v>
      </c>
      <c r="N2334">
        <v>-1.4844069999999999E-2</v>
      </c>
      <c r="O2334">
        <v>2.002547E-2</v>
      </c>
      <c r="P2334">
        <v>-0.99910310000000002</v>
      </c>
      <c r="Q2334">
        <v>-3.8086410000000001E-2</v>
      </c>
      <c r="R2334">
        <v>-1.8505810000000001E-2</v>
      </c>
      <c r="S2334">
        <v>-3.0022890000000002</v>
      </c>
      <c r="T2334">
        <v>-6.3976649999999996E-2</v>
      </c>
      <c r="U2334">
        <v>0.1077881</v>
      </c>
      <c r="V2334">
        <v>-3.8524530000000001E-2</v>
      </c>
      <c r="W2334">
        <v>-2.3238669999999999E-2</v>
      </c>
      <c r="X2334">
        <v>0.99898739999999997</v>
      </c>
      <c r="Y2334">
        <v>1.5851190000000001E-2</v>
      </c>
      <c r="Z2334">
        <v>1.5725870000000001E-4</v>
      </c>
      <c r="AA2334">
        <v>0.99987440000000005</v>
      </c>
      <c r="AB2334">
        <v>37</v>
      </c>
      <c r="AC2334">
        <v>-52.380499999999998</v>
      </c>
      <c r="AD2334">
        <v>-1.1208880863552799</v>
      </c>
      <c r="AE2334">
        <v>1.8840000000000101</v>
      </c>
      <c r="AF2334">
        <v>0.83418094455129999</v>
      </c>
      <c r="AG2334">
        <v>-1.1208880863552799</v>
      </c>
      <c r="AH2334">
        <v>52.3837696321877</v>
      </c>
      <c r="AI2334">
        <v>91.225651009287205</v>
      </c>
      <c r="AJ2334">
        <v>89.087675278904698</v>
      </c>
      <c r="AK2334">
        <v>52.402400410940103</v>
      </c>
      <c r="AL2334">
        <v>91.331597582195997</v>
      </c>
      <c r="AM2334">
        <v>92.208436022673496</v>
      </c>
      <c r="AN2334">
        <v>1.00000000027692</v>
      </c>
    </row>
    <row r="2335" spans="1:40" x14ac:dyDescent="0.25">
      <c r="A2335" t="str">
        <f>"20190303153819690"</f>
        <v>20190303153819690</v>
      </c>
      <c r="B2335" t="str">
        <f>"1551598699680775"</f>
        <v>1551598699680775</v>
      </c>
      <c r="C2335" t="s">
        <v>40</v>
      </c>
      <c r="D2335">
        <v>4.3185979999999997</v>
      </c>
      <c r="E2335">
        <v>0.52047310000000002</v>
      </c>
      <c r="F2335" t="s">
        <v>55</v>
      </c>
      <c r="G2335">
        <v>-333.73700000000002</v>
      </c>
      <c r="H2335" s="1">
        <v>4.3133409999999998E-7</v>
      </c>
      <c r="I2335">
        <v>285.08550000000002</v>
      </c>
      <c r="J2335">
        <v>-280.5985</v>
      </c>
      <c r="K2335">
        <v>1.120911</v>
      </c>
      <c r="L2335">
        <v>283.17809999999997</v>
      </c>
      <c r="M2335">
        <v>-0.99968769999999996</v>
      </c>
      <c r="N2335">
        <v>-1.484156E-2</v>
      </c>
      <c r="O2335">
        <v>2.01082E-2</v>
      </c>
      <c r="P2335">
        <v>-0.99912230000000002</v>
      </c>
      <c r="Q2335">
        <v>-3.7562110000000003E-2</v>
      </c>
      <c r="R2335">
        <v>-1.8543819999999999E-2</v>
      </c>
      <c r="S2335">
        <v>-3.0022890000000002</v>
      </c>
      <c r="T2335">
        <v>-6.3071730000000006E-2</v>
      </c>
      <c r="U2335">
        <v>0.1075745</v>
      </c>
      <c r="V2335">
        <v>-3.8644089999999999E-2</v>
      </c>
      <c r="W2335">
        <v>-2.271871E-2</v>
      </c>
      <c r="X2335">
        <v>0.99899479999999996</v>
      </c>
      <c r="Y2335">
        <v>1.5697559999999999E-2</v>
      </c>
      <c r="Z2335">
        <v>1.5756989999999999E-4</v>
      </c>
      <c r="AA2335">
        <v>0.99987680000000001</v>
      </c>
      <c r="AB2335">
        <v>37</v>
      </c>
      <c r="AC2335">
        <v>-53.138499999999901</v>
      </c>
      <c r="AD2335">
        <v>-1.1209105686659</v>
      </c>
      <c r="AE2335">
        <v>1.9074000000000499</v>
      </c>
      <c r="AF2335">
        <v>0.83800462730025205</v>
      </c>
      <c r="AG2335">
        <v>-1.1209105686659</v>
      </c>
      <c r="AH2335">
        <v>53.142496161782198</v>
      </c>
      <c r="AI2335">
        <v>91.208184556929993</v>
      </c>
      <c r="AJ2335">
        <v>89.096577077492597</v>
      </c>
      <c r="AK2335">
        <v>53.160921648927101</v>
      </c>
      <c r="AL2335">
        <v>91.301798124882097</v>
      </c>
      <c r="AM2335">
        <v>92.215266642292704</v>
      </c>
      <c r="AN2335">
        <v>1.00000005795151</v>
      </c>
    </row>
    <row r="2336" spans="1:40" x14ac:dyDescent="0.25">
      <c r="A2336" t="str">
        <f>"20190303153819702"</f>
        <v>20190303153819702</v>
      </c>
      <c r="B2336" t="str">
        <f>"1551598699691511"</f>
        <v>1551598699691511</v>
      </c>
      <c r="C2336" t="s">
        <v>40</v>
      </c>
      <c r="D2336">
        <v>4.3168139999999999</v>
      </c>
      <c r="E2336">
        <v>0.52043059999999997</v>
      </c>
      <c r="F2336" t="s">
        <v>55</v>
      </c>
      <c r="G2336">
        <v>-335.2287</v>
      </c>
      <c r="H2336" s="1">
        <v>1.2232420000000001E-6</v>
      </c>
      <c r="I2336">
        <v>285.12939999999998</v>
      </c>
      <c r="J2336">
        <v>-280.79809999999998</v>
      </c>
      <c r="K2336">
        <v>1.120935</v>
      </c>
      <c r="L2336">
        <v>283.1823</v>
      </c>
      <c r="M2336">
        <v>-0.99968670000000004</v>
      </c>
      <c r="N2336">
        <v>-1.483928E-2</v>
      </c>
      <c r="O2336">
        <v>2.0163090000000002E-2</v>
      </c>
      <c r="P2336">
        <v>-0.99914239999999999</v>
      </c>
      <c r="Q2336">
        <v>-3.7058210000000001E-2</v>
      </c>
      <c r="R2336">
        <v>-1.8481020000000001E-2</v>
      </c>
      <c r="S2336">
        <v>-3.0023499999999999</v>
      </c>
      <c r="T2336">
        <v>-6.1602589999999999E-2</v>
      </c>
      <c r="U2336">
        <v>0.1072388</v>
      </c>
      <c r="V2336">
        <v>-3.8634990000000001E-2</v>
      </c>
      <c r="W2336">
        <v>-2.221888E-2</v>
      </c>
      <c r="X2336">
        <v>0.99900630000000001</v>
      </c>
      <c r="Y2336">
        <v>1.5530499999999999E-2</v>
      </c>
      <c r="Z2336">
        <v>1.6024060000000001E-4</v>
      </c>
      <c r="AA2336">
        <v>0.99987939999999997</v>
      </c>
      <c r="AB2336">
        <v>37</v>
      </c>
      <c r="AC2336">
        <v>-54.430599999999998</v>
      </c>
      <c r="AD2336">
        <v>-1.1209337767579901</v>
      </c>
      <c r="AE2336">
        <v>1.9470999999999701</v>
      </c>
      <c r="AF2336">
        <v>0.84873477912419604</v>
      </c>
      <c r="AG2336">
        <v>-1.1209337767579901</v>
      </c>
      <c r="AH2336">
        <v>54.435738946871503</v>
      </c>
      <c r="AI2336">
        <v>91.1795173319356</v>
      </c>
      <c r="AJ2336">
        <v>89.106745277916104</v>
      </c>
      <c r="AK2336">
        <v>54.453893505874497</v>
      </c>
      <c r="AL2336">
        <v>91.273152864396593</v>
      </c>
      <c r="AM2336">
        <v>92.214720036180196</v>
      </c>
      <c r="AN2336">
        <v>0.99999996426022097</v>
      </c>
    </row>
    <row r="2337" spans="1:40" x14ac:dyDescent="0.25">
      <c r="A2337" t="str">
        <f>"20190303153819719"</f>
        <v>20190303153819719</v>
      </c>
      <c r="B2337" t="str">
        <f>"1551598699711030"</f>
        <v>1551598699711030</v>
      </c>
      <c r="C2337" t="s">
        <v>40</v>
      </c>
      <c r="D2337">
        <v>4.3028409999999999</v>
      </c>
      <c r="E2337">
        <v>0.52035050000000005</v>
      </c>
      <c r="F2337" t="s">
        <v>55</v>
      </c>
      <c r="G2337">
        <v>-336.80290000000002</v>
      </c>
      <c r="H2337" s="1">
        <v>2.0587680000000001E-6</v>
      </c>
      <c r="I2337">
        <v>285.17930000000001</v>
      </c>
      <c r="J2337">
        <v>-281.08319999999998</v>
      </c>
      <c r="K2337">
        <v>1.1209629999999999</v>
      </c>
      <c r="L2337">
        <v>283.18799999999999</v>
      </c>
      <c r="M2337">
        <v>-0.99968539999999995</v>
      </c>
      <c r="N2337">
        <v>-1.483604E-2</v>
      </c>
      <c r="O2337">
        <v>2.022535E-2</v>
      </c>
      <c r="P2337">
        <v>-0.99916839999999996</v>
      </c>
      <c r="Q2337">
        <v>-3.632084E-2</v>
      </c>
      <c r="R2337">
        <v>-1.8531039999999999E-2</v>
      </c>
      <c r="S2337">
        <v>-3.002319</v>
      </c>
      <c r="T2337">
        <v>-6.0091260000000001E-2</v>
      </c>
      <c r="U2337">
        <v>0.1070557</v>
      </c>
      <c r="V2337">
        <v>-3.874565E-2</v>
      </c>
      <c r="W2337">
        <v>-2.1487220000000001E-2</v>
      </c>
      <c r="X2337">
        <v>0.99901810000000002</v>
      </c>
      <c r="Y2337">
        <v>1.540789E-2</v>
      </c>
      <c r="Z2337">
        <v>1.6392509999999999E-4</v>
      </c>
      <c r="AA2337">
        <v>0.99988129999999997</v>
      </c>
      <c r="AB2337">
        <v>37</v>
      </c>
      <c r="AC2337">
        <v>-55.719700000000003</v>
      </c>
      <c r="AD2337">
        <v>-1.1209609412320001</v>
      </c>
      <c r="AE2337">
        <v>1.9913000000000201</v>
      </c>
      <c r="AF2337">
        <v>0.863469119007367</v>
      </c>
      <c r="AG2337">
        <v>-1.1209609412320001</v>
      </c>
      <c r="AH2337">
        <v>55.726053878933001</v>
      </c>
      <c r="AI2337">
        <v>91.152243164707599</v>
      </c>
      <c r="AJ2337">
        <v>89.112279193954805</v>
      </c>
      <c r="AK2337">
        <v>55.744015044388298</v>
      </c>
      <c r="AL2337">
        <v>91.231221719006498</v>
      </c>
      <c r="AM2337">
        <v>92.221030980623595</v>
      </c>
      <c r="AN2337">
        <v>1.00000004507242</v>
      </c>
    </row>
    <row r="2338" spans="1:40" x14ac:dyDescent="0.25">
      <c r="A2338" t="str">
        <f>"20190303153819732"</f>
        <v>20190303153819732</v>
      </c>
      <c r="B2338" t="str">
        <f>"1551598699720791"</f>
        <v>1551598699720791</v>
      </c>
      <c r="C2338" t="s">
        <v>40</v>
      </c>
      <c r="D2338">
        <v>4.3023059999999997</v>
      </c>
      <c r="E2338">
        <v>0.52033419999999997</v>
      </c>
      <c r="F2338" t="s">
        <v>55</v>
      </c>
      <c r="G2338">
        <v>-339.05630000000002</v>
      </c>
      <c r="H2338" s="1">
        <v>3.2555340000000001E-6</v>
      </c>
      <c r="I2338">
        <v>285.23340000000002</v>
      </c>
      <c r="J2338">
        <v>-281.28230000000002</v>
      </c>
      <c r="K2338">
        <v>1.1209849999999999</v>
      </c>
      <c r="L2338">
        <v>283.19209999999998</v>
      </c>
      <c r="M2338">
        <v>-0.99968480000000004</v>
      </c>
      <c r="N2338">
        <v>-1.4833799999999999E-2</v>
      </c>
      <c r="O2338">
        <v>2.0258229999999999E-2</v>
      </c>
      <c r="P2338">
        <v>-0.99917219999999995</v>
      </c>
      <c r="Q2338">
        <v>-3.6205080000000001E-2</v>
      </c>
      <c r="R2338">
        <v>-1.855619E-2</v>
      </c>
      <c r="S2338">
        <v>-3.0023499999999999</v>
      </c>
      <c r="T2338">
        <v>-5.8053019999999997E-2</v>
      </c>
      <c r="U2338">
        <v>0.10592650000000001</v>
      </c>
      <c r="V2338">
        <v>-3.8802910000000003E-2</v>
      </c>
      <c r="W2338">
        <v>-2.1375479999999999E-2</v>
      </c>
      <c r="X2338">
        <v>0.99901830000000003</v>
      </c>
      <c r="Y2338">
        <v>1.4999429999999999E-2</v>
      </c>
      <c r="Z2338">
        <v>1.65231699999999E-4</v>
      </c>
      <c r="AA2338">
        <v>0.99988750000000004</v>
      </c>
      <c r="AB2338">
        <v>37</v>
      </c>
      <c r="AC2338">
        <v>-57.773999999999901</v>
      </c>
      <c r="AD2338">
        <v>-1.120981744466</v>
      </c>
      <c r="AE2338">
        <v>2.0413000000000299</v>
      </c>
      <c r="AF2338">
        <v>0.87002617315334696</v>
      </c>
      <c r="AG2338">
        <v>-1.120981744466</v>
      </c>
      <c r="AH2338">
        <v>57.781772668792598</v>
      </c>
      <c r="AI2338">
        <v>91.111287992823506</v>
      </c>
      <c r="AJ2338">
        <v>89.137356664295595</v>
      </c>
      <c r="AK2338">
        <v>57.799193751828597</v>
      </c>
      <c r="AL2338">
        <v>91.224817987133505</v>
      </c>
      <c r="AM2338">
        <v>92.224309577093507</v>
      </c>
      <c r="AN2338">
        <v>1.00000007035229</v>
      </c>
    </row>
    <row r="2339" spans="1:40" x14ac:dyDescent="0.25">
      <c r="A2339" t="str">
        <f>"20190303153819745"</f>
        <v>20190303153819745</v>
      </c>
      <c r="B2339" t="str">
        <f>"1551598699741287"</f>
        <v>1551598699741287</v>
      </c>
      <c r="C2339" t="s">
        <v>40</v>
      </c>
      <c r="D2339">
        <v>4.3018049999999999</v>
      </c>
      <c r="E2339">
        <v>0.52032440000000002</v>
      </c>
      <c r="F2339" t="s">
        <v>55</v>
      </c>
      <c r="G2339">
        <v>-339.84230000000002</v>
      </c>
      <c r="H2339" s="1">
        <v>3.6728109999999999E-6</v>
      </c>
      <c r="I2339">
        <v>285.25630000000001</v>
      </c>
      <c r="J2339">
        <v>-281.49529999999999</v>
      </c>
      <c r="K2339">
        <v>1.121011</v>
      </c>
      <c r="L2339">
        <v>283.19639999999998</v>
      </c>
      <c r="M2339">
        <v>-0.99968429999999997</v>
      </c>
      <c r="N2339">
        <v>-1.4831469999999999E-2</v>
      </c>
      <c r="O2339">
        <v>2.0280929999999999E-2</v>
      </c>
      <c r="P2339">
        <v>-0.99917389999999995</v>
      </c>
      <c r="Q2339">
        <v>-3.6215190000000001E-2</v>
      </c>
      <c r="R2339">
        <v>-1.8445920000000001E-2</v>
      </c>
      <c r="S2339">
        <v>-3.00238</v>
      </c>
      <c r="T2339">
        <v>-5.747294E-2</v>
      </c>
      <c r="U2339">
        <v>0.105834999999999</v>
      </c>
      <c r="V2339">
        <v>-3.8714289999999998E-2</v>
      </c>
      <c r="W2339">
        <v>-2.1389600000000002E-2</v>
      </c>
      <c r="X2339">
        <v>0.99902139999999995</v>
      </c>
      <c r="Y2339">
        <v>1.4945979999999999E-2</v>
      </c>
      <c r="Z2339">
        <v>1.666269E-4</v>
      </c>
      <c r="AA2339">
        <v>0.99988829999999995</v>
      </c>
      <c r="AB2339">
        <v>37</v>
      </c>
      <c r="AC2339">
        <v>-58.347000000000001</v>
      </c>
      <c r="AD2339">
        <v>-1.121007327189</v>
      </c>
      <c r="AE2339">
        <v>2.0599000000000198</v>
      </c>
      <c r="AF2339">
        <v>0.87569178476269605</v>
      </c>
      <c r="AG2339">
        <v>-1.121007327189</v>
      </c>
      <c r="AH2339">
        <v>58.355263989199003</v>
      </c>
      <c r="AI2339">
        <v>91.100395361550994</v>
      </c>
      <c r="AJ2339">
        <v>89.140271598963395</v>
      </c>
      <c r="AK2339">
        <v>58.3725991264619</v>
      </c>
      <c r="AL2339">
        <v>91.225627232504905</v>
      </c>
      <c r="AM2339">
        <v>92.219227794761196</v>
      </c>
      <c r="AN2339">
        <v>1.0000000344481601</v>
      </c>
    </row>
    <row r="2340" spans="1:40" x14ac:dyDescent="0.25">
      <c r="A2340" t="str">
        <f>"20190303153819757"</f>
        <v>20190303153819757</v>
      </c>
      <c r="B2340" t="str">
        <f>"1551598699751047"</f>
        <v>1551598699751047</v>
      </c>
      <c r="C2340" t="s">
        <v>40</v>
      </c>
      <c r="D2340">
        <v>4.3012309999999996</v>
      </c>
      <c r="E2340">
        <v>0.52032299999999998</v>
      </c>
      <c r="F2340" t="s">
        <v>55</v>
      </c>
      <c r="G2340">
        <v>-340.53699999999998</v>
      </c>
      <c r="H2340" s="1">
        <v>-1.2509979999999999E-6</v>
      </c>
      <c r="I2340">
        <v>285.2824</v>
      </c>
      <c r="J2340">
        <v>-281.69299999999998</v>
      </c>
      <c r="K2340">
        <v>1.121027</v>
      </c>
      <c r="L2340">
        <v>283.20049999999998</v>
      </c>
      <c r="M2340">
        <v>-0.99968409999999996</v>
      </c>
      <c r="N2340">
        <v>-1.482927E-2</v>
      </c>
      <c r="O2340">
        <v>2.0292000000000001E-2</v>
      </c>
      <c r="P2340">
        <v>-0.99917610000000001</v>
      </c>
      <c r="Q2340">
        <v>-3.614444E-2</v>
      </c>
      <c r="R2340">
        <v>-1.8464000000000001E-2</v>
      </c>
      <c r="S2340">
        <v>-3.00238</v>
      </c>
      <c r="T2340">
        <v>-5.7005519999999997E-2</v>
      </c>
      <c r="U2340">
        <v>0.1060791</v>
      </c>
      <c r="V2340">
        <v>-3.8742930000000002E-2</v>
      </c>
      <c r="W2340">
        <v>-2.1322509999999999E-2</v>
      </c>
      <c r="X2340">
        <v>0.99902170000000001</v>
      </c>
      <c r="Y2340">
        <v>1.5016150000000001E-2</v>
      </c>
      <c r="Z2340">
        <v>1.696991E-4</v>
      </c>
      <c r="AA2340">
        <v>0.99988719999999998</v>
      </c>
      <c r="AB2340">
        <v>37</v>
      </c>
      <c r="AC2340">
        <v>-58.844000000000001</v>
      </c>
      <c r="AD2340">
        <v>-1.1210282509980001</v>
      </c>
      <c r="AE2340">
        <v>2.0819000000000099</v>
      </c>
      <c r="AF2340">
        <v>0.88695595197922095</v>
      </c>
      <c r="AG2340">
        <v>-1.1210282509980001</v>
      </c>
      <c r="AH2340">
        <v>58.852798659069599</v>
      </c>
      <c r="AI2340">
        <v>91.091114308559895</v>
      </c>
      <c r="AJ2340">
        <v>89.136574863189296</v>
      </c>
      <c r="AK2340">
        <v>58.870156320543799</v>
      </c>
      <c r="AL2340">
        <v>91.221782411092605</v>
      </c>
      <c r="AM2340">
        <v>92.220867222242205</v>
      </c>
      <c r="AN2340">
        <v>1.0000000105642799</v>
      </c>
    </row>
    <row r="2341" spans="1:40" x14ac:dyDescent="0.25">
      <c r="A2341" t="str">
        <f>"20190303153819769"</f>
        <v>20190303153819769</v>
      </c>
      <c r="B2341" t="str">
        <f>"1551598699760806"</f>
        <v>1551598699760806</v>
      </c>
      <c r="C2341" t="s">
        <v>40</v>
      </c>
      <c r="D2341">
        <v>4.2788349999999999</v>
      </c>
      <c r="E2341">
        <v>0.52031139999999998</v>
      </c>
      <c r="F2341" t="s">
        <v>55</v>
      </c>
      <c r="G2341">
        <v>-341.30279999999999</v>
      </c>
      <c r="H2341" s="1">
        <v>-8.4351669999999997E-7</v>
      </c>
      <c r="I2341">
        <v>285.3066</v>
      </c>
      <c r="J2341">
        <v>-281.90230000000003</v>
      </c>
      <c r="K2341">
        <v>1.121046</v>
      </c>
      <c r="L2341">
        <v>283.2047</v>
      </c>
      <c r="M2341">
        <v>-0.99968400000000002</v>
      </c>
      <c r="N2341">
        <v>-1.482693E-2</v>
      </c>
      <c r="O2341">
        <v>2.029709E-2</v>
      </c>
      <c r="P2341">
        <v>-0.99917259999999997</v>
      </c>
      <c r="Q2341">
        <v>-3.6316439999999998E-2</v>
      </c>
      <c r="R2341">
        <v>-1.8317360000000001E-2</v>
      </c>
      <c r="S2341">
        <v>-3.00238</v>
      </c>
      <c r="T2341">
        <v>-5.6463119999999999E-2</v>
      </c>
      <c r="U2341">
        <v>0.1060791</v>
      </c>
      <c r="V2341">
        <v>-3.8600349999999999E-2</v>
      </c>
      <c r="W2341">
        <v>-2.1498400000000001E-2</v>
      </c>
      <c r="X2341">
        <v>0.99902340000000001</v>
      </c>
      <c r="Y2341">
        <v>1.5011109999999999E-2</v>
      </c>
      <c r="Z2341">
        <v>1.718368E-4</v>
      </c>
      <c r="AA2341">
        <v>0.99988730000000003</v>
      </c>
      <c r="AB2341">
        <v>37</v>
      </c>
      <c r="AC2341">
        <v>-59.400499999999901</v>
      </c>
      <c r="AD2341">
        <v>-1.1210468435167</v>
      </c>
      <c r="AE2341">
        <v>2.1019000000000001</v>
      </c>
      <c r="AF2341">
        <v>0.89535849446634996</v>
      </c>
      <c r="AG2341">
        <v>-1.1210468435167</v>
      </c>
      <c r="AH2341">
        <v>59.409793515354302</v>
      </c>
      <c r="AI2341">
        <v>91.080904955568997</v>
      </c>
      <c r="AJ2341">
        <v>89.136566946198997</v>
      </c>
      <c r="AK2341">
        <v>59.427114841593998</v>
      </c>
      <c r="AL2341">
        <v>91.231862537395799</v>
      </c>
      <c r="AM2341">
        <v>92.212698463343997</v>
      </c>
      <c r="AN2341">
        <v>0.99999996098512001</v>
      </c>
    </row>
    <row r="2342" spans="1:40" x14ac:dyDescent="0.25">
      <c r="A2342" t="str">
        <f>"20190303153819786"</f>
        <v>20190303153819786</v>
      </c>
      <c r="B2342" t="str">
        <f>"1551598699781206"</f>
        <v>1551598699781206</v>
      </c>
      <c r="C2342" t="s">
        <v>40</v>
      </c>
      <c r="D2342">
        <v>4.2987250000000001</v>
      </c>
      <c r="E2342">
        <v>0.52030650000000001</v>
      </c>
      <c r="F2342" t="s">
        <v>55</v>
      </c>
      <c r="G2342">
        <v>-341.2097</v>
      </c>
      <c r="H2342" s="1">
        <v>-8.9305069999999996E-7</v>
      </c>
      <c r="I2342">
        <v>285.30669999999998</v>
      </c>
      <c r="J2342">
        <v>-282.16969999999998</v>
      </c>
      <c r="K2342">
        <v>1.1210659999999999</v>
      </c>
      <c r="L2342">
        <v>283.21019999999999</v>
      </c>
      <c r="M2342">
        <v>-0.99968460000000003</v>
      </c>
      <c r="N2342">
        <v>-1.4823869999999999E-2</v>
      </c>
      <c r="O2342">
        <v>2.0276499999999999E-2</v>
      </c>
      <c r="P2342">
        <v>-0.99919020000000003</v>
      </c>
      <c r="Q2342">
        <v>-3.591018E-2</v>
      </c>
      <c r="R2342">
        <v>-1.8157139999999999E-2</v>
      </c>
      <c r="S2342">
        <v>-3.0024109999999999</v>
      </c>
      <c r="T2342">
        <v>-5.6752560000000001E-2</v>
      </c>
      <c r="U2342">
        <v>0.1064148</v>
      </c>
      <c r="V2342">
        <v>-3.8418699999999903E-2</v>
      </c>
      <c r="W2342">
        <v>-2.1097080000000001E-2</v>
      </c>
      <c r="X2342">
        <v>0.99903900000000001</v>
      </c>
      <c r="Y2342">
        <v>1.5142930000000001E-2</v>
      </c>
      <c r="Z2342">
        <v>1.7282899999999999E-4</v>
      </c>
      <c r="AA2342">
        <v>0.99988529999999998</v>
      </c>
      <c r="AB2342">
        <v>37</v>
      </c>
      <c r="AC2342">
        <v>-59.04</v>
      </c>
      <c r="AD2342">
        <v>-1.1210668930507</v>
      </c>
      <c r="AE2342">
        <v>2.09649999999999</v>
      </c>
      <c r="AF2342">
        <v>0.89848933684555699</v>
      </c>
      <c r="AG2342">
        <v>-1.1210668930507</v>
      </c>
      <c r="AH2342">
        <v>59.0491101056041</v>
      </c>
      <c r="AI2342">
        <v>91.0875228086135</v>
      </c>
      <c r="AJ2342">
        <v>89.128256557205603</v>
      </c>
      <c r="AK2342">
        <v>59.066585125016999</v>
      </c>
      <c r="AL2342">
        <v>91.208863326089897</v>
      </c>
      <c r="AM2342">
        <v>92.202261612752395</v>
      </c>
      <c r="AN2342">
        <v>1.0000000034076</v>
      </c>
    </row>
    <row r="2343" spans="1:40" x14ac:dyDescent="0.25">
      <c r="A2343" t="str">
        <f>"20190303153819797"</f>
        <v>20190303153819797</v>
      </c>
      <c r="B2343" t="str">
        <f>"1551598699790965"</f>
        <v>1551598699790965</v>
      </c>
      <c r="C2343" t="s">
        <v>40</v>
      </c>
      <c r="D2343">
        <v>4.2873130000000002</v>
      </c>
      <c r="E2343">
        <v>0.52030609999999999</v>
      </c>
      <c r="F2343" t="s">
        <v>55</v>
      </c>
      <c r="G2343">
        <v>-343.46300000000002</v>
      </c>
      <c r="H2343" s="1">
        <v>3.0602090000000002E-7</v>
      </c>
      <c r="I2343">
        <v>285.39190000000002</v>
      </c>
      <c r="J2343">
        <v>-282.358</v>
      </c>
      <c r="K2343">
        <v>1.121086</v>
      </c>
      <c r="L2343">
        <v>283.214</v>
      </c>
      <c r="M2343">
        <v>-0.99968520000000005</v>
      </c>
      <c r="N2343">
        <v>-1.482172E-2</v>
      </c>
      <c r="O2343">
        <v>2.024867E-2</v>
      </c>
      <c r="P2343">
        <v>-0.99920059999999999</v>
      </c>
      <c r="Q2343">
        <v>-3.5585350000000002E-2</v>
      </c>
      <c r="R2343">
        <v>-1.8227799999999999E-2</v>
      </c>
      <c r="S2343">
        <v>-3.0024109999999999</v>
      </c>
      <c r="T2343">
        <v>-5.4914709999999999E-2</v>
      </c>
      <c r="U2343">
        <v>0.1068726</v>
      </c>
      <c r="V2343">
        <v>-3.8461349999999998E-2</v>
      </c>
      <c r="W2343">
        <v>-2.0775930000000001E-2</v>
      </c>
      <c r="X2343">
        <v>0.99904409999999999</v>
      </c>
      <c r="Y2343">
        <v>1.5323170000000001E-2</v>
      </c>
      <c r="Z2343">
        <v>1.8362049999999999E-4</v>
      </c>
      <c r="AA2343">
        <v>0.99988259999999995</v>
      </c>
      <c r="AB2343">
        <v>37</v>
      </c>
      <c r="AC2343">
        <v>-61.104999999999997</v>
      </c>
      <c r="AD2343">
        <v>-1.1210856939791001</v>
      </c>
      <c r="AE2343">
        <v>2.1779000000000202</v>
      </c>
      <c r="AF2343">
        <v>0.93970667499201299</v>
      </c>
      <c r="AG2343">
        <v>-1.1210856939791001</v>
      </c>
      <c r="AH2343">
        <v>61.116027566503803</v>
      </c>
      <c r="AI2343">
        <v>91.050766700953403</v>
      </c>
      <c r="AJ2343">
        <v>89.119102038349993</v>
      </c>
      <c r="AK2343">
        <v>61.133531774942703</v>
      </c>
      <c r="AL2343">
        <v>91.190458739452595</v>
      </c>
      <c r="AM2343">
        <v>92.204692768803696</v>
      </c>
      <c r="AN2343">
        <v>1.0000000142279899</v>
      </c>
    </row>
    <row r="2344" spans="1:40" x14ac:dyDescent="0.25">
      <c r="A2344" t="str">
        <f>"20190303153819810"</f>
        <v>20190303153819810</v>
      </c>
      <c r="B2344" t="str">
        <f>"1551598699800725"</f>
        <v>1551598699800725</v>
      </c>
      <c r="C2344" t="s">
        <v>40</v>
      </c>
      <c r="D2344">
        <v>4.2811459999999997</v>
      </c>
      <c r="E2344">
        <v>0.5203004</v>
      </c>
      <c r="F2344" t="s">
        <v>55</v>
      </c>
      <c r="G2344">
        <v>-345.00450000000001</v>
      </c>
      <c r="H2344" s="1">
        <v>1.1263759999999999E-6</v>
      </c>
      <c r="I2344">
        <v>285.44009999999997</v>
      </c>
      <c r="J2344">
        <v>-282.56</v>
      </c>
      <c r="K2344">
        <v>1.1211139999999999</v>
      </c>
      <c r="L2344">
        <v>283.21800000000002</v>
      </c>
      <c r="M2344">
        <v>-0.99968590000000002</v>
      </c>
      <c r="N2344">
        <v>-1.481939E-2</v>
      </c>
      <c r="O2344">
        <v>2.0212330000000001E-2</v>
      </c>
      <c r="P2344">
        <v>-0.99921360000000004</v>
      </c>
      <c r="Q2344">
        <v>-3.517899E-2</v>
      </c>
      <c r="R2344">
        <v>-1.8298040000000002E-2</v>
      </c>
      <c r="S2344">
        <v>-3.0024410000000001</v>
      </c>
      <c r="T2344">
        <v>-5.3729890000000002E-2</v>
      </c>
      <c r="U2344">
        <v>0.10668950000000001</v>
      </c>
      <c r="V2344">
        <v>-3.8494069999999998E-2</v>
      </c>
      <c r="W2344">
        <v>-2.037359E-2</v>
      </c>
      <c r="X2344">
        <v>0.99905109999999997</v>
      </c>
      <c r="Y2344">
        <v>1.529839E-2</v>
      </c>
      <c r="Z2344">
        <v>1.8822700000000001E-4</v>
      </c>
      <c r="AA2344">
        <v>0.99988290000000002</v>
      </c>
      <c r="AB2344">
        <v>37</v>
      </c>
      <c r="AC2344">
        <v>-62.444499999999998</v>
      </c>
      <c r="AD2344">
        <v>-1.1211128736239999</v>
      </c>
      <c r="AE2344">
        <v>2.22209999999995</v>
      </c>
      <c r="AF2344">
        <v>0.95904977697563198</v>
      </c>
      <c r="AG2344">
        <v>-1.1211128736239999</v>
      </c>
      <c r="AH2344">
        <v>62.456552557816103</v>
      </c>
      <c r="AI2344">
        <v>91.028243897194102</v>
      </c>
      <c r="AJ2344">
        <v>89.120265463469394</v>
      </c>
      <c r="AK2344">
        <v>62.473975605505998</v>
      </c>
      <c r="AL2344">
        <v>91.167401504905399</v>
      </c>
      <c r="AM2344">
        <v>92.206551055677195</v>
      </c>
      <c r="AN2344">
        <v>0.99999998850293104</v>
      </c>
    </row>
    <row r="2345" spans="1:40" x14ac:dyDescent="0.25">
      <c r="A2345" t="str">
        <f>"20190303153819824"</f>
        <v>20190303153819824</v>
      </c>
      <c r="B2345" t="str">
        <f>"1551598699811461"</f>
        <v>1551598699811461</v>
      </c>
      <c r="C2345" t="s">
        <v>40</v>
      </c>
      <c r="D2345">
        <v>4.3055019999999997</v>
      </c>
      <c r="E2345">
        <v>0.52029840000000005</v>
      </c>
      <c r="F2345" t="s">
        <v>55</v>
      </c>
      <c r="G2345">
        <v>-346.93599999999998</v>
      </c>
      <c r="H2345" s="1">
        <v>2.1542059999999998E-6</v>
      </c>
      <c r="I2345">
        <v>285.49770000000001</v>
      </c>
      <c r="J2345">
        <v>-282.7912</v>
      </c>
      <c r="K2345">
        <v>1.1211409999999999</v>
      </c>
      <c r="L2345">
        <v>283.22269999999997</v>
      </c>
      <c r="M2345">
        <v>-0.99968729999999995</v>
      </c>
      <c r="N2345">
        <v>-1.481677E-2</v>
      </c>
      <c r="O2345">
        <v>2.0146250000000001E-2</v>
      </c>
      <c r="P2345">
        <v>-0.99923059999999997</v>
      </c>
      <c r="Q2345">
        <v>-3.4678359999999998E-2</v>
      </c>
      <c r="R2345">
        <v>-1.8318810000000001E-2</v>
      </c>
      <c r="S2345">
        <v>-3.002472</v>
      </c>
      <c r="T2345">
        <v>-5.2288170000000002E-2</v>
      </c>
      <c r="U2345">
        <v>0.10632320000000001</v>
      </c>
      <c r="V2345">
        <v>-3.8448250000000003E-2</v>
      </c>
      <c r="W2345">
        <v>-1.9877849999999999E-2</v>
      </c>
      <c r="X2345">
        <v>0.99906280000000003</v>
      </c>
      <c r="Y2345">
        <v>1.5242489999999999E-2</v>
      </c>
      <c r="Z2345">
        <v>1.934537E-4</v>
      </c>
      <c r="AA2345">
        <v>0.99988379999999999</v>
      </c>
      <c r="AB2345">
        <v>37</v>
      </c>
      <c r="AC2345">
        <v>-64.144799999999904</v>
      </c>
      <c r="AD2345">
        <v>-1.1211388457939999</v>
      </c>
      <c r="AE2345">
        <v>2.2750000000000301</v>
      </c>
      <c r="AF2345">
        <v>0.98181963152153096</v>
      </c>
      <c r="AG2345">
        <v>-1.1211388457939999</v>
      </c>
      <c r="AH2345">
        <v>64.158041332861302</v>
      </c>
      <c r="AI2345">
        <v>91.001004199171902</v>
      </c>
      <c r="AJ2345">
        <v>89.123262972724902</v>
      </c>
      <c r="AK2345">
        <v>64.175347211912495</v>
      </c>
      <c r="AL2345">
        <v>91.138991998388406</v>
      </c>
      <c r="AM2345">
        <v>92.203901375693107</v>
      </c>
      <c r="AN2345">
        <v>0.99999993759626005</v>
      </c>
    </row>
    <row r="2346" spans="1:40" x14ac:dyDescent="0.25">
      <c r="A2346" t="str">
        <f>"20190303153819836"</f>
        <v>20190303153819836</v>
      </c>
      <c r="B2346" t="str">
        <f>"1551598699830982"</f>
        <v>1551598699830982</v>
      </c>
      <c r="C2346" t="s">
        <v>40</v>
      </c>
      <c r="D2346">
        <v>4.269889</v>
      </c>
      <c r="E2346">
        <v>0.52028790000000003</v>
      </c>
      <c r="F2346" t="s">
        <v>55</v>
      </c>
      <c r="G2346">
        <v>-349.32549999999998</v>
      </c>
      <c r="H2346" s="1">
        <v>3.4257850000000001E-6</v>
      </c>
      <c r="I2346">
        <v>285.57670000000002</v>
      </c>
      <c r="J2346">
        <v>-282.99680000000001</v>
      </c>
      <c r="K2346">
        <v>1.1211679999999999</v>
      </c>
      <c r="L2346">
        <v>283.22669999999999</v>
      </c>
      <c r="M2346">
        <v>-0.99968880000000004</v>
      </c>
      <c r="N2346">
        <v>-1.481446E-2</v>
      </c>
      <c r="O2346">
        <v>2.007459E-2</v>
      </c>
      <c r="P2346">
        <v>-0.99924109999999999</v>
      </c>
      <c r="Q2346">
        <v>-3.4298530000000001E-2</v>
      </c>
      <c r="R2346">
        <v>-1.8467190000000001E-2</v>
      </c>
      <c r="S2346">
        <v>-3.0025019999999998</v>
      </c>
      <c r="T2346">
        <v>-5.0593730000000003E-2</v>
      </c>
      <c r="U2346">
        <v>0.1062317</v>
      </c>
      <c r="V2346">
        <v>-3.8523799999999997E-2</v>
      </c>
      <c r="W2346">
        <v>-1.950255E-2</v>
      </c>
      <c r="X2346">
        <v>0.99906740000000005</v>
      </c>
      <c r="Y2346">
        <v>1.528353E-2</v>
      </c>
      <c r="Z2346">
        <v>2.012495E-4</v>
      </c>
      <c r="AA2346">
        <v>0.99988319999999997</v>
      </c>
      <c r="AB2346">
        <v>37</v>
      </c>
      <c r="AC2346">
        <v>-66.328699999999898</v>
      </c>
      <c r="AD2346">
        <v>-1.121164574215</v>
      </c>
      <c r="AE2346">
        <v>2.3500000000000201</v>
      </c>
      <c r="AF2346">
        <v>1.01756847182384</v>
      </c>
      <c r="AG2346">
        <v>-1.121164574215</v>
      </c>
      <c r="AH2346">
        <v>66.343579597250596</v>
      </c>
      <c r="AI2346">
        <v>90.968056471522502</v>
      </c>
      <c r="AJ2346">
        <v>89.121274312848996</v>
      </c>
      <c r="AK2346">
        <v>66.360854495508505</v>
      </c>
      <c r="AL2346">
        <v>91.117484594288399</v>
      </c>
      <c r="AM2346">
        <v>92.208217555142596</v>
      </c>
      <c r="AN2346">
        <v>1.00000005118285</v>
      </c>
    </row>
    <row r="2347" spans="1:40" x14ac:dyDescent="0.25">
      <c r="A2347" t="str">
        <f>"20190303153819855"</f>
        <v>20190303153819855</v>
      </c>
      <c r="B2347" t="str">
        <f>"1551598699851477"</f>
        <v>1551598699851477</v>
      </c>
      <c r="C2347" t="s">
        <v>40</v>
      </c>
      <c r="D2347">
        <v>4.2668949999999999</v>
      </c>
      <c r="E2347">
        <v>0.52028869999999905</v>
      </c>
      <c r="F2347" t="s">
        <v>55</v>
      </c>
      <c r="G2347">
        <v>-351.67320000000001</v>
      </c>
      <c r="H2347" s="1">
        <v>-6.4638700000000003E-7</v>
      </c>
      <c r="I2347">
        <v>285.6447</v>
      </c>
      <c r="J2347">
        <v>-283.28500000000003</v>
      </c>
      <c r="K2347">
        <v>1.1212120000000001</v>
      </c>
      <c r="L2347">
        <v>283.23239999999998</v>
      </c>
      <c r="M2347">
        <v>-0.99969110000000005</v>
      </c>
      <c r="N2347">
        <v>-1.481126E-2</v>
      </c>
      <c r="O2347">
        <v>1.99516E-2</v>
      </c>
      <c r="P2347">
        <v>-0.99926729999999997</v>
      </c>
      <c r="Q2347">
        <v>-3.3676320000000003E-2</v>
      </c>
      <c r="R2347">
        <v>-1.8185380000000001E-2</v>
      </c>
      <c r="S2347">
        <v>-3.0025629999999999</v>
      </c>
      <c r="T2347">
        <v>-4.9018029999999997E-2</v>
      </c>
      <c r="U2347">
        <v>0.105712899999999</v>
      </c>
      <c r="V2347">
        <v>-3.8118359999999997E-2</v>
      </c>
      <c r="W2347">
        <v>-1.8886409999999999E-2</v>
      </c>
      <c r="X2347">
        <v>0.9990947</v>
      </c>
      <c r="Y2347">
        <v>1.5233460000000001E-2</v>
      </c>
      <c r="Z2347">
        <v>2.0708989999999999E-4</v>
      </c>
      <c r="AA2347">
        <v>0.99988390000000005</v>
      </c>
      <c r="AB2347">
        <v>37</v>
      </c>
      <c r="AC2347">
        <v>-68.388199999999898</v>
      </c>
      <c r="AD2347">
        <v>-1.121212646387</v>
      </c>
      <c r="AE2347">
        <v>2.4123000000000099</v>
      </c>
      <c r="AF2347">
        <v>1.0469347838063301</v>
      </c>
      <c r="AG2347">
        <v>-1.121212646387</v>
      </c>
      <c r="AH2347">
        <v>68.404355084840404</v>
      </c>
      <c r="AI2347">
        <v>90.9389384587584</v>
      </c>
      <c r="AJ2347">
        <v>89.123151422427199</v>
      </c>
      <c r="AK2347">
        <v>68.421553510665703</v>
      </c>
      <c r="AL2347">
        <v>91.082175964740301</v>
      </c>
      <c r="AM2347">
        <v>92.184940382148</v>
      </c>
      <c r="AN2347">
        <v>0.99999996270993297</v>
      </c>
    </row>
    <row r="2348" spans="1:40" x14ac:dyDescent="0.25">
      <c r="A2348" t="str">
        <f>"20190303153819870"</f>
        <v>20190303153819870</v>
      </c>
      <c r="B2348" t="str">
        <f>"1551598699861237"</f>
        <v>1551598699861237</v>
      </c>
      <c r="C2348" t="s">
        <v>40</v>
      </c>
      <c r="D2348">
        <v>4.300154</v>
      </c>
      <c r="E2348">
        <v>0.52029009999999998</v>
      </c>
      <c r="F2348" t="s">
        <v>55</v>
      </c>
      <c r="G2348">
        <v>-355.4828</v>
      </c>
      <c r="H2348" s="1">
        <v>1.3808660000000001E-6</v>
      </c>
      <c r="I2348">
        <v>285.79640000000001</v>
      </c>
      <c r="J2348">
        <v>-283.54660000000001</v>
      </c>
      <c r="K2348">
        <v>1.121248</v>
      </c>
      <c r="L2348">
        <v>283.23750000000001</v>
      </c>
      <c r="M2348">
        <v>-0.99969399999999997</v>
      </c>
      <c r="N2348">
        <v>-1.480837E-2</v>
      </c>
      <c r="O2348">
        <v>1.981666E-2</v>
      </c>
      <c r="P2348">
        <v>-0.99926689999999996</v>
      </c>
      <c r="Q2348">
        <v>-3.3657079999999999E-2</v>
      </c>
      <c r="R2348">
        <v>-1.8253430000000001E-2</v>
      </c>
      <c r="S2348">
        <v>-3.0025629999999999</v>
      </c>
      <c r="T2348">
        <v>-4.6628950000000002E-2</v>
      </c>
      <c r="U2348">
        <v>0.106628399999999</v>
      </c>
      <c r="V2348">
        <v>-3.8049760000000002E-2</v>
      </c>
      <c r="W2348">
        <v>-1.8873150000000002E-2</v>
      </c>
      <c r="X2348">
        <v>0.99909760000000003</v>
      </c>
      <c r="Y2348">
        <v>1.5673090000000001E-2</v>
      </c>
      <c r="Z2348">
        <v>2.235827E-4</v>
      </c>
      <c r="AA2348">
        <v>0.99987720000000002</v>
      </c>
      <c r="AB2348">
        <v>37</v>
      </c>
      <c r="AC2348">
        <v>-71.9361999999999</v>
      </c>
      <c r="AD2348">
        <v>-1.121246619134</v>
      </c>
      <c r="AE2348">
        <v>2.5588999999999902</v>
      </c>
      <c r="AF2348">
        <v>1.1324311440908501</v>
      </c>
      <c r="AG2348">
        <v>-1.121246619134</v>
      </c>
      <c r="AH2348">
        <v>71.955326183846196</v>
      </c>
      <c r="AI2348">
        <v>90.892630900229804</v>
      </c>
      <c r="AJ2348">
        <v>89.098354874963405</v>
      </c>
      <c r="AK2348">
        <v>71.972971041223005</v>
      </c>
      <c r="AL2348">
        <v>91.081416049958804</v>
      </c>
      <c r="AM2348">
        <v>92.181005713626703</v>
      </c>
      <c r="AN2348">
        <v>0.99999999717637</v>
      </c>
    </row>
    <row r="2349" spans="1:40" x14ac:dyDescent="0.25">
      <c r="A2349" t="str">
        <f>"20190303153819887"</f>
        <v>20190303153819887</v>
      </c>
      <c r="B2349" t="str">
        <f>"1551598699880757"</f>
        <v>1551598699880757</v>
      </c>
      <c r="C2349" t="s">
        <v>40</v>
      </c>
      <c r="D2349">
        <v>4.2513829999999997</v>
      </c>
      <c r="E2349">
        <v>0.52027520000000005</v>
      </c>
      <c r="F2349" t="s">
        <v>55</v>
      </c>
      <c r="G2349">
        <v>-356.06569999999999</v>
      </c>
      <c r="H2349" s="1">
        <v>1.6910790000000001E-6</v>
      </c>
      <c r="I2349">
        <v>285.80990000000003</v>
      </c>
      <c r="J2349">
        <v>-283.834</v>
      </c>
      <c r="K2349">
        <v>1.121286</v>
      </c>
      <c r="L2349">
        <v>283.24310000000003</v>
      </c>
      <c r="M2349">
        <v>-0.99969759999999996</v>
      </c>
      <c r="N2349">
        <v>-1.4805209999999999E-2</v>
      </c>
      <c r="O2349">
        <v>1.9639119999999999E-2</v>
      </c>
      <c r="P2349">
        <v>-0.99926649999999995</v>
      </c>
      <c r="Q2349">
        <v>-3.3686130000000002E-2</v>
      </c>
      <c r="R2349">
        <v>-1.8222519999999999E-2</v>
      </c>
      <c r="S2349">
        <v>-3.0026250000000001</v>
      </c>
      <c r="T2349">
        <v>-4.6424750000000001E-2</v>
      </c>
      <c r="U2349">
        <v>0.1065063</v>
      </c>
      <c r="V2349">
        <v>-3.7840119999999998E-2</v>
      </c>
      <c r="W2349">
        <v>-1.8908540000000001E-2</v>
      </c>
      <c r="X2349">
        <v>0.99910489999999996</v>
      </c>
      <c r="Y2349">
        <v>1.580933E-2</v>
      </c>
      <c r="Z2349">
        <v>2.2648939999999999E-4</v>
      </c>
      <c r="AA2349">
        <v>0.99987499999999996</v>
      </c>
      <c r="AB2349">
        <v>37</v>
      </c>
      <c r="AC2349">
        <v>-72.231699999999904</v>
      </c>
      <c r="AD2349">
        <v>-1.1212843089210001</v>
      </c>
      <c r="AE2349">
        <v>2.5668000000000002</v>
      </c>
      <c r="AF2349">
        <v>1.1473063246017201</v>
      </c>
      <c r="AG2349">
        <v>-1.1212843089210001</v>
      </c>
      <c r="AH2349">
        <v>72.250792285020495</v>
      </c>
      <c r="AI2349">
        <v>90.889009006010795</v>
      </c>
      <c r="AJ2349">
        <v>89.090248235554697</v>
      </c>
      <c r="AK2349">
        <v>72.268600208645793</v>
      </c>
      <c r="AL2349">
        <v>91.083444101693303</v>
      </c>
      <c r="AM2349">
        <v>92.168984861030907</v>
      </c>
      <c r="AN2349">
        <v>1.0000000043852699</v>
      </c>
    </row>
    <row r="2350" spans="1:40" x14ac:dyDescent="0.25">
      <c r="A2350" t="str">
        <f>"20190303153819900"</f>
        <v>20190303153819900</v>
      </c>
      <c r="B2350" t="str">
        <f>"1551598699891494"</f>
        <v>1551598699891494</v>
      </c>
      <c r="C2350" t="s">
        <v>40</v>
      </c>
      <c r="D2350">
        <v>4.2884190000000002</v>
      </c>
      <c r="E2350">
        <v>0.52026329999999998</v>
      </c>
      <c r="F2350" t="s">
        <v>55</v>
      </c>
      <c r="G2350">
        <v>-356.7466</v>
      </c>
      <c r="H2350" s="1">
        <v>2.0533880000000002E-6</v>
      </c>
      <c r="I2350">
        <v>285.82709999999997</v>
      </c>
      <c r="J2350">
        <v>-284.02730000000003</v>
      </c>
      <c r="K2350">
        <v>1.12131</v>
      </c>
      <c r="L2350">
        <v>283.24680000000001</v>
      </c>
      <c r="M2350">
        <v>-0.99970040000000004</v>
      </c>
      <c r="N2350">
        <v>-1.4803129999999999E-2</v>
      </c>
      <c r="O2350">
        <v>1.9501999999999999E-2</v>
      </c>
      <c r="P2350">
        <v>-0.99926289999999995</v>
      </c>
      <c r="Q2350">
        <v>-3.3767360000000003E-2</v>
      </c>
      <c r="R2350">
        <v>-1.8273520000000001E-2</v>
      </c>
      <c r="S2350">
        <v>-3.0026250000000001</v>
      </c>
      <c r="T2350">
        <v>-4.6175840000000003E-2</v>
      </c>
      <c r="U2350">
        <v>0.1064148</v>
      </c>
      <c r="V2350">
        <v>-3.7752870000000001E-2</v>
      </c>
      <c r="W2350">
        <v>-1.899383E-2</v>
      </c>
      <c r="X2350">
        <v>0.99910659999999896</v>
      </c>
      <c r="Y2350">
        <v>1.5916030000000001E-2</v>
      </c>
      <c r="Z2350">
        <v>2.2909180000000001E-4</v>
      </c>
      <c r="AA2350">
        <v>0.99987329999999996</v>
      </c>
      <c r="AB2350">
        <v>37</v>
      </c>
      <c r="AC2350">
        <v>-72.719299999999905</v>
      </c>
      <c r="AD2350">
        <v>-1.121307946612</v>
      </c>
      <c r="AE2350">
        <v>2.5802999999999598</v>
      </c>
      <c r="AF2350">
        <v>1.1612064676457201</v>
      </c>
      <c r="AG2350">
        <v>-1.121307946612</v>
      </c>
      <c r="AH2350">
        <v>72.738520555063303</v>
      </c>
      <c r="AI2350">
        <v>90.883066369417904</v>
      </c>
      <c r="AJ2350">
        <v>89.085400993674398</v>
      </c>
      <c r="AK2350">
        <v>72.756429987396999</v>
      </c>
      <c r="AL2350">
        <v>91.088331717884202</v>
      </c>
      <c r="AM2350">
        <v>92.163984797543407</v>
      </c>
      <c r="AN2350">
        <v>1.0000000214674301</v>
      </c>
    </row>
    <row r="2351" spans="1:40" x14ac:dyDescent="0.25">
      <c r="A2351" t="str">
        <f>"20190303153819911"</f>
        <v>20190303153819911</v>
      </c>
      <c r="B2351" t="str">
        <f>"1551598699901254"</f>
        <v>1551598699901254</v>
      </c>
      <c r="C2351" t="s">
        <v>40</v>
      </c>
      <c r="D2351">
        <v>4.2687549999999996</v>
      </c>
      <c r="E2351">
        <v>0.52025600000000005</v>
      </c>
      <c r="F2351" t="s">
        <v>55</v>
      </c>
      <c r="G2351">
        <v>-356.6379</v>
      </c>
      <c r="H2351" s="1">
        <v>1.995591E-6</v>
      </c>
      <c r="I2351">
        <v>285.81049999999999</v>
      </c>
      <c r="J2351">
        <v>-284.22800000000001</v>
      </c>
      <c r="K2351">
        <v>1.1213340000000001</v>
      </c>
      <c r="L2351">
        <v>283.25060000000002</v>
      </c>
      <c r="M2351">
        <v>-0.99970329999999996</v>
      </c>
      <c r="N2351">
        <v>-1.4801E-2</v>
      </c>
      <c r="O2351">
        <v>1.9353260000000001E-2</v>
      </c>
      <c r="P2351">
        <v>-0.99926389999999998</v>
      </c>
      <c r="Q2351">
        <v>-3.3722380000000003E-2</v>
      </c>
      <c r="R2351">
        <v>-1.829892E-2</v>
      </c>
      <c r="S2351">
        <v>-3.0025940000000002</v>
      </c>
      <c r="T2351">
        <v>-4.6368359999999997E-2</v>
      </c>
      <c r="U2351">
        <v>0.1060181</v>
      </c>
      <c r="V2351">
        <v>-3.7628080000000001E-2</v>
      </c>
      <c r="W2351">
        <v>-1.895289E-2</v>
      </c>
      <c r="X2351">
        <v>0.99911209999999995</v>
      </c>
      <c r="Y2351">
        <v>1.593319E-2</v>
      </c>
      <c r="Z2351">
        <v>2.2864479999999999E-4</v>
      </c>
      <c r="AA2351">
        <v>0.99987300000000001</v>
      </c>
      <c r="AB2351">
        <v>36</v>
      </c>
      <c r="AC2351">
        <v>-72.409899999999993</v>
      </c>
      <c r="AD2351">
        <v>-1.121332004409</v>
      </c>
      <c r="AE2351">
        <v>2.5598999999999701</v>
      </c>
      <c r="AF2351">
        <v>1.15762225006773</v>
      </c>
      <c r="AG2351">
        <v>-1.121332004409</v>
      </c>
      <c r="AH2351">
        <v>72.428535460908193</v>
      </c>
      <c r="AI2351">
        <v>90.886863938530695</v>
      </c>
      <c r="AJ2351">
        <v>89.084321920905694</v>
      </c>
      <c r="AK2351">
        <v>72.4464645358903</v>
      </c>
      <c r="AL2351">
        <v>91.085985590172697</v>
      </c>
      <c r="AM2351">
        <v>92.156826771620402</v>
      </c>
      <c r="AN2351">
        <v>1.00000003640512</v>
      </c>
    </row>
    <row r="2352" spans="1:40" x14ac:dyDescent="0.25">
      <c r="A2352" t="str">
        <f>"20190303153819924"</f>
        <v>20190303153819924</v>
      </c>
      <c r="B2352" t="str">
        <f>"1551598699920773"</f>
        <v>1551598699920773</v>
      </c>
      <c r="C2352" t="s">
        <v>40</v>
      </c>
      <c r="D2352">
        <v>4.2666500000000003</v>
      </c>
      <c r="E2352">
        <v>0.52037820000000001</v>
      </c>
      <c r="F2352" t="s">
        <v>55</v>
      </c>
      <c r="G2352">
        <v>-357.2473</v>
      </c>
      <c r="H2352" s="1">
        <v>2.319877E-6</v>
      </c>
      <c r="I2352">
        <v>285.82510000000002</v>
      </c>
      <c r="J2352">
        <v>-284.43009999999998</v>
      </c>
      <c r="K2352">
        <v>1.121356</v>
      </c>
      <c r="L2352">
        <v>283.2543</v>
      </c>
      <c r="M2352">
        <v>-0.99970630000000005</v>
      </c>
      <c r="N2352">
        <v>-1.479889E-2</v>
      </c>
      <c r="O2352">
        <v>1.9188920000000002E-2</v>
      </c>
      <c r="P2352">
        <v>-0.99926729999999997</v>
      </c>
      <c r="Q2352">
        <v>-3.3523160000000003E-2</v>
      </c>
      <c r="R2352">
        <v>-1.8466860000000002E-2</v>
      </c>
      <c r="S2352">
        <v>-3.0025940000000002</v>
      </c>
      <c r="T2352">
        <v>-4.6109799999999999E-2</v>
      </c>
      <c r="U2352">
        <v>0.1058655</v>
      </c>
      <c r="V2352">
        <v>-3.7631560000000001E-2</v>
      </c>
      <c r="W2352">
        <v>-1.8757610000000001E-2</v>
      </c>
      <c r="X2352">
        <v>0.99911559999999999</v>
      </c>
      <c r="Y2352">
        <v>1.6046810000000002E-2</v>
      </c>
      <c r="Z2352">
        <v>2.3137010000000001E-4</v>
      </c>
      <c r="AA2352">
        <v>0.99987119999999996</v>
      </c>
      <c r="AB2352">
        <v>36</v>
      </c>
      <c r="AC2352">
        <v>-72.8172</v>
      </c>
      <c r="AD2352">
        <v>-1.121353680123</v>
      </c>
      <c r="AE2352">
        <v>2.5708000000000202</v>
      </c>
      <c r="AF2352">
        <v>1.1726122921445901</v>
      </c>
      <c r="AG2352">
        <v>-1.121353680123</v>
      </c>
      <c r="AH2352">
        <v>72.835874635608903</v>
      </c>
      <c r="AI2352">
        <v>90.8819202806541</v>
      </c>
      <c r="AJ2352">
        <v>89.0776532586369</v>
      </c>
      <c r="AK2352">
        <v>72.853943528114897</v>
      </c>
      <c r="AL2352">
        <v>91.074794939563205</v>
      </c>
      <c r="AM2352">
        <v>92.157018506303601</v>
      </c>
      <c r="AN2352">
        <v>0.99999998220215203</v>
      </c>
    </row>
    <row r="2353" spans="1:40" x14ac:dyDescent="0.25">
      <c r="A2353" t="str">
        <f>"20190303153819937"</f>
        <v>20190303153819937</v>
      </c>
      <c r="B2353" t="str">
        <f>"1551598699931510"</f>
        <v>1551598699931510</v>
      </c>
      <c r="C2353" t="s">
        <v>40</v>
      </c>
      <c r="D2353">
        <v>4.2395860000000001</v>
      </c>
      <c r="E2353">
        <v>0.5204394</v>
      </c>
      <c r="F2353" t="s">
        <v>55</v>
      </c>
      <c r="G2353">
        <v>-359.99630000000002</v>
      </c>
      <c r="H2353" s="1">
        <v>-1.538753E-6</v>
      </c>
      <c r="I2353">
        <v>285.9332</v>
      </c>
      <c r="J2353">
        <v>-284.637</v>
      </c>
      <c r="K2353">
        <v>1.121378</v>
      </c>
      <c r="L2353">
        <v>283.25810000000001</v>
      </c>
      <c r="M2353">
        <v>-0.99970979999999998</v>
      </c>
      <c r="N2353">
        <v>-1.4796749999999999E-2</v>
      </c>
      <c r="O2353">
        <v>1.9010610000000001E-2</v>
      </c>
      <c r="P2353">
        <v>-0.99927650000000001</v>
      </c>
      <c r="Q2353">
        <v>-3.3124859999999999E-2</v>
      </c>
      <c r="R2353">
        <v>-1.8698220000000002E-2</v>
      </c>
      <c r="S2353">
        <v>-3.0026860000000002</v>
      </c>
      <c r="T2353">
        <v>-4.4558050000000002E-2</v>
      </c>
      <c r="U2353">
        <v>0.10644530000000001</v>
      </c>
      <c r="V2353">
        <v>-3.7683769999999998E-2</v>
      </c>
      <c r="W2353">
        <v>-1.8363129999999998E-2</v>
      </c>
      <c r="X2353">
        <v>0.99912100000000004</v>
      </c>
      <c r="Y2353">
        <v>1.6417009999999999E-2</v>
      </c>
      <c r="Z2353">
        <v>2.4257479999999999E-4</v>
      </c>
      <c r="AA2353">
        <v>0.99986520000000001</v>
      </c>
      <c r="AB2353">
        <v>36</v>
      </c>
      <c r="AC2353">
        <v>-75.359300000000005</v>
      </c>
      <c r="AD2353">
        <v>-1.1213795387529999</v>
      </c>
      <c r="AE2353">
        <v>2.67509999999998</v>
      </c>
      <c r="AF2353">
        <v>1.2415587883994099</v>
      </c>
      <c r="AG2353">
        <v>-1.1213795387529999</v>
      </c>
      <c r="AH2353">
        <v>75.379868918483893</v>
      </c>
      <c r="AI2353">
        <v>90.852175326725998</v>
      </c>
      <c r="AJ2353">
        <v>89.056384045607203</v>
      </c>
      <c r="AK2353">
        <v>75.398432334252206</v>
      </c>
      <c r="AL2353">
        <v>91.052188964122607</v>
      </c>
      <c r="AM2353">
        <v>92.159996656287205</v>
      </c>
      <c r="AN2353">
        <v>1.0000000218528999</v>
      </c>
    </row>
    <row r="2354" spans="1:40" x14ac:dyDescent="0.25">
      <c r="A2354" t="str">
        <f>"20190303153819953"</f>
        <v>20190303153819953</v>
      </c>
      <c r="B2354" t="str">
        <f>"1551598699941270"</f>
        <v>1551598699941270</v>
      </c>
      <c r="C2354" t="s">
        <v>40</v>
      </c>
      <c r="D2354">
        <v>4.2113230000000001</v>
      </c>
      <c r="E2354">
        <v>0.52050129999999994</v>
      </c>
      <c r="F2354" t="s">
        <v>55</v>
      </c>
      <c r="G2354">
        <v>-363.24279999999999</v>
      </c>
      <c r="H2354" s="1">
        <v>1.888676E-7</v>
      </c>
      <c r="I2354">
        <v>286.0351</v>
      </c>
      <c r="J2354">
        <v>-284.90629999999999</v>
      </c>
      <c r="K2354">
        <v>1.1213959999999901</v>
      </c>
      <c r="L2354">
        <v>283.26299999999998</v>
      </c>
      <c r="M2354">
        <v>-0.99971449999999995</v>
      </c>
      <c r="N2354">
        <v>-1.479395E-2</v>
      </c>
      <c r="O2354">
        <v>1.8767289999999999E-2</v>
      </c>
      <c r="P2354">
        <v>-0.99929829999999997</v>
      </c>
      <c r="Q2354">
        <v>-3.2269600000000002E-2</v>
      </c>
      <c r="R2354">
        <v>-1.9016930000000001E-2</v>
      </c>
      <c r="S2354">
        <v>-3.002777</v>
      </c>
      <c r="T2354">
        <v>-4.2837140000000003E-2</v>
      </c>
      <c r="U2354">
        <v>0.1060791</v>
      </c>
      <c r="V2354">
        <v>-3.7759609999999999E-2</v>
      </c>
      <c r="W2354">
        <v>-1.7512440000000001E-2</v>
      </c>
      <c r="X2354">
        <v>0.99913339999999995</v>
      </c>
      <c r="Y2354">
        <v>1.6537699999999999E-2</v>
      </c>
      <c r="Z2354">
        <v>2.5031240000000001E-4</v>
      </c>
      <c r="AA2354">
        <v>0.99986319999999995</v>
      </c>
      <c r="AB2354">
        <v>36</v>
      </c>
      <c r="AC2354">
        <v>-78.336500000000001</v>
      </c>
      <c r="AD2354">
        <v>-1.1213958111323901</v>
      </c>
      <c r="AE2354">
        <v>2.77210000000002</v>
      </c>
      <c r="AF2354">
        <v>1.3010207857261</v>
      </c>
      <c r="AG2354">
        <v>-1.1213958111323901</v>
      </c>
      <c r="AH2354">
        <v>78.358693393615297</v>
      </c>
      <c r="AI2354">
        <v>90.819794282195801</v>
      </c>
      <c r="AJ2354">
        <v>89.048782615471396</v>
      </c>
      <c r="AK2354">
        <v>78.377515997923297</v>
      </c>
      <c r="AL2354">
        <v>91.003440183143198</v>
      </c>
      <c r="AM2354">
        <v>92.164312764982895</v>
      </c>
      <c r="AN2354">
        <v>1.00000001234883</v>
      </c>
    </row>
    <row r="2355" spans="1:40" x14ac:dyDescent="0.25">
      <c r="A2355" t="str">
        <f>"20190303153819966"</f>
        <v>20190303153819966</v>
      </c>
      <c r="B2355" t="str">
        <f>"1551598699960790"</f>
        <v>1551598699960790</v>
      </c>
      <c r="C2355" t="s">
        <v>40</v>
      </c>
      <c r="D2355">
        <v>4.1972709999999998</v>
      </c>
      <c r="E2355">
        <v>0.52062540000000002</v>
      </c>
      <c r="F2355" t="s">
        <v>55</v>
      </c>
      <c r="G2355">
        <v>-369.91770000000002</v>
      </c>
      <c r="H2355" s="1">
        <v>3.7409029999999999E-6</v>
      </c>
      <c r="I2355">
        <v>286.24979999999999</v>
      </c>
      <c r="J2355">
        <v>-285.1114</v>
      </c>
      <c r="K2355">
        <v>1.1214109999999999</v>
      </c>
      <c r="L2355">
        <v>283.26670000000001</v>
      </c>
      <c r="M2355">
        <v>-0.999718</v>
      </c>
      <c r="N2355">
        <v>-1.4791820000000001E-2</v>
      </c>
      <c r="O2355">
        <v>1.857381E-2</v>
      </c>
      <c r="P2355">
        <v>-0.99931300000000001</v>
      </c>
      <c r="Q2355">
        <v>-3.1610369999999999E-2</v>
      </c>
      <c r="R2355">
        <v>-1.934961E-2</v>
      </c>
      <c r="S2355">
        <v>-3.0028079999999999</v>
      </c>
      <c r="T2355">
        <v>-3.9610270000000003E-2</v>
      </c>
      <c r="U2355">
        <v>0.1054993</v>
      </c>
      <c r="V2355">
        <v>-3.7898679999999997E-2</v>
      </c>
      <c r="W2355">
        <v>-1.6856599999999899E-2</v>
      </c>
      <c r="X2355">
        <v>0.99913940000000001</v>
      </c>
      <c r="Y2355">
        <v>1.653841E-2</v>
      </c>
      <c r="Z2355">
        <v>2.6122819999999997E-4</v>
      </c>
      <c r="AA2355">
        <v>0.99986319999999995</v>
      </c>
      <c r="AB2355">
        <v>36</v>
      </c>
      <c r="AC2355">
        <v>-84.806299999999993</v>
      </c>
      <c r="AD2355">
        <v>-1.1214072590969999</v>
      </c>
      <c r="AE2355">
        <v>2.9830999999999701</v>
      </c>
      <c r="AF2355">
        <v>1.4069910061442199</v>
      </c>
      <c r="AG2355">
        <v>-1.1214072590969999</v>
      </c>
      <c r="AH2355">
        <v>84.832265865153005</v>
      </c>
      <c r="AI2355">
        <v>90.757251104436506</v>
      </c>
      <c r="AJ2355">
        <v>89.049804281288601</v>
      </c>
      <c r="AK2355">
        <v>84.851343594242095</v>
      </c>
      <c r="AL2355">
        <v>90.9658577833805</v>
      </c>
      <c r="AM2355">
        <v>92.172263351736007</v>
      </c>
      <c r="AN2355">
        <v>0.99999999777083104</v>
      </c>
    </row>
    <row r="2356" spans="1:40" x14ac:dyDescent="0.25">
      <c r="A2356" t="str">
        <f>"20190303153819979"</f>
        <v>20190303153819979</v>
      </c>
      <c r="B2356" t="str">
        <f>"1551598699971526"</f>
        <v>1551598699971526</v>
      </c>
      <c r="C2356" t="s">
        <v>40</v>
      </c>
      <c r="D2356">
        <v>4.1994790000000002</v>
      </c>
      <c r="E2356">
        <v>0.52068300000000001</v>
      </c>
      <c r="F2356" t="s">
        <v>55</v>
      </c>
      <c r="G2356">
        <v>-377.60489999999999</v>
      </c>
      <c r="H2356" s="1">
        <v>2.5101820000000001E-6</v>
      </c>
      <c r="I2356">
        <v>286.51519999999999</v>
      </c>
      <c r="J2356">
        <v>-285.32400000000001</v>
      </c>
      <c r="K2356">
        <v>1.1214299999999999</v>
      </c>
      <c r="L2356">
        <v>283.27050000000003</v>
      </c>
      <c r="M2356">
        <v>-0.99972190000000005</v>
      </c>
      <c r="N2356">
        <v>-1.4789679999999999E-2</v>
      </c>
      <c r="O2356">
        <v>1.8367660000000001E-2</v>
      </c>
      <c r="P2356">
        <v>-0.99931170000000002</v>
      </c>
      <c r="Q2356">
        <v>-3.1407690000000002E-2</v>
      </c>
      <c r="R2356">
        <v>-1.9734160000000001E-2</v>
      </c>
      <c r="S2356">
        <v>-3.0029599999999999</v>
      </c>
      <c r="T2356">
        <v>-3.6408419999999997E-2</v>
      </c>
      <c r="U2356">
        <v>0.1054688</v>
      </c>
      <c r="V2356">
        <v>-3.807746E-2</v>
      </c>
      <c r="W2356">
        <v>-1.665736E-2</v>
      </c>
      <c r="X2356">
        <v>0.99913600000000002</v>
      </c>
      <c r="Y2356">
        <v>1.673301E-2</v>
      </c>
      <c r="Z2356">
        <v>2.7422500000000001E-4</v>
      </c>
      <c r="AA2356">
        <v>0.99985990000000002</v>
      </c>
      <c r="AB2356">
        <v>36</v>
      </c>
      <c r="AC2356">
        <v>-92.280899999999903</v>
      </c>
      <c r="AD2356">
        <v>-1.1214274898179999</v>
      </c>
      <c r="AE2356">
        <v>3.2446999999999599</v>
      </c>
      <c r="AF2356">
        <v>1.5487544477456501</v>
      </c>
      <c r="AG2356">
        <v>-1.1214274898179999</v>
      </c>
      <c r="AH2356">
        <v>92.311317289358001</v>
      </c>
      <c r="AI2356">
        <v>90.695915339641402</v>
      </c>
      <c r="AJ2356">
        <v>89.038809418865199</v>
      </c>
      <c r="AK2356">
        <v>92.331119020895898</v>
      </c>
      <c r="AL2356">
        <v>90.954440515915195</v>
      </c>
      <c r="AM2356">
        <v>92.182508134985</v>
      </c>
      <c r="AN2356">
        <v>1.0000000535491</v>
      </c>
    </row>
    <row r="2357" spans="1:40" x14ac:dyDescent="0.25">
      <c r="A2357" t="str">
        <f>"20190303153819992"</f>
        <v>20190303153819992</v>
      </c>
      <c r="B2357" t="str">
        <f>"1551598699981286"</f>
        <v>1551598699981286</v>
      </c>
      <c r="C2357" t="s">
        <v>40</v>
      </c>
      <c r="D2357">
        <v>4.2014930000000001</v>
      </c>
      <c r="E2357">
        <v>0.52067629999999998</v>
      </c>
      <c r="F2357" t="s">
        <v>55</v>
      </c>
      <c r="G2357">
        <v>-380.82510000000002</v>
      </c>
      <c r="H2357" s="1">
        <v>-1.097734E-6</v>
      </c>
      <c r="I2357">
        <v>286.6062</v>
      </c>
      <c r="J2357">
        <v>-285.5394</v>
      </c>
      <c r="K2357">
        <v>1.1214459999999999</v>
      </c>
      <c r="L2357">
        <v>283.27429999999998</v>
      </c>
      <c r="M2357">
        <v>-0.99972589999999995</v>
      </c>
      <c r="N2357">
        <v>-1.478752E-2</v>
      </c>
      <c r="O2357">
        <v>1.8156180000000001E-2</v>
      </c>
      <c r="P2357">
        <v>-0.99930779999999997</v>
      </c>
      <c r="Q2357">
        <v>-3.1235010000000001E-2</v>
      </c>
      <c r="R2357">
        <v>-2.0214659999999999E-2</v>
      </c>
      <c r="S2357">
        <v>-3.0029599999999999</v>
      </c>
      <c r="T2357">
        <v>-3.5262580000000002E-2</v>
      </c>
      <c r="U2357">
        <v>0.10488889999999999</v>
      </c>
      <c r="V2357">
        <v>-3.8345810000000001E-2</v>
      </c>
      <c r="W2357">
        <v>-1.6488180000000002E-2</v>
      </c>
      <c r="X2357">
        <v>0.99912849999999997</v>
      </c>
      <c r="Y2357">
        <v>1.6751849999999999E-2</v>
      </c>
      <c r="Z2357">
        <v>2.7758459999999998E-4</v>
      </c>
      <c r="AA2357">
        <v>0.99985959999999996</v>
      </c>
      <c r="AB2357">
        <v>36</v>
      </c>
      <c r="AC2357">
        <v>-95.285700000000006</v>
      </c>
      <c r="AD2357">
        <v>-1.1214470977340001</v>
      </c>
      <c r="AE2357">
        <v>3.3319000000000099</v>
      </c>
      <c r="AF2357">
        <v>1.60091583901496</v>
      </c>
      <c r="AG2357">
        <v>-1.1214470977340001</v>
      </c>
      <c r="AH2357">
        <v>95.317304227877599</v>
      </c>
      <c r="AI2357">
        <v>90.673982147731394</v>
      </c>
      <c r="AJ2357">
        <v>89.037770758953002</v>
      </c>
      <c r="AK2357">
        <v>95.337343472463004</v>
      </c>
      <c r="AL2357">
        <v>90.944745925804298</v>
      </c>
      <c r="AM2357">
        <v>92.197890759974598</v>
      </c>
      <c r="AN2357">
        <v>1.00000001036825</v>
      </c>
    </row>
    <row r="2358" spans="1:40" x14ac:dyDescent="0.25">
      <c r="A2358" t="str">
        <f>"20190303153820011"</f>
        <v>20190303153820011</v>
      </c>
      <c r="B2358" t="str">
        <f>"1551598700000806"</f>
        <v>1551598700000806</v>
      </c>
      <c r="C2358" t="s">
        <v>40</v>
      </c>
      <c r="D2358">
        <v>4.1847909999999997</v>
      </c>
      <c r="E2358">
        <v>0.5207697</v>
      </c>
      <c r="F2358" t="s">
        <v>55</v>
      </c>
      <c r="G2358">
        <v>-382.97649999999999</v>
      </c>
      <c r="H2358" s="1">
        <v>4.71633799999999E-8</v>
      </c>
      <c r="I2358">
        <v>286.62889999999999</v>
      </c>
      <c r="J2358">
        <v>-285.83870000000002</v>
      </c>
      <c r="K2358">
        <v>1.1214630000000001</v>
      </c>
      <c r="L2358">
        <v>283.27940000000001</v>
      </c>
      <c r="M2358">
        <v>-0.99973129999999999</v>
      </c>
      <c r="N2358">
        <v>-1.478438E-2</v>
      </c>
      <c r="O2358">
        <v>1.7857959999999999E-2</v>
      </c>
      <c r="P2358">
        <v>-0.99929489999999999</v>
      </c>
      <c r="Q2358">
        <v>-3.1029009999999999E-2</v>
      </c>
      <c r="R2358">
        <v>-2.1146160000000001E-2</v>
      </c>
      <c r="S2358">
        <v>-3.003082</v>
      </c>
      <c r="T2358">
        <v>-3.4563780000000002E-2</v>
      </c>
      <c r="U2358">
        <v>0.1033936</v>
      </c>
      <c r="V2358">
        <v>-3.8978609999999997E-2</v>
      </c>
      <c r="W2358">
        <v>-1.6287220000000002E-2</v>
      </c>
      <c r="X2358">
        <v>0.99910730000000003</v>
      </c>
      <c r="Y2358">
        <v>1.6551529999999998E-2</v>
      </c>
      <c r="Z2358">
        <v>2.7616730000000001E-4</v>
      </c>
      <c r="AA2358">
        <v>0.99986299999999995</v>
      </c>
      <c r="AB2358">
        <v>36</v>
      </c>
      <c r="AC2358">
        <v>-97.137799999999899</v>
      </c>
      <c r="AD2358">
        <v>-1.12146295283661</v>
      </c>
      <c r="AE2358">
        <v>3.3494999999999702</v>
      </c>
      <c r="AF2358">
        <v>1.6138784717800401</v>
      </c>
      <c r="AG2358">
        <v>-1.12146295283661</v>
      </c>
      <c r="AH2358">
        <v>97.169192027494006</v>
      </c>
      <c r="AI2358">
        <v>90.661149695480006</v>
      </c>
      <c r="AJ2358">
        <v>89.0484646227751</v>
      </c>
      <c r="AK2358">
        <v>97.189064004919203</v>
      </c>
      <c r="AL2358">
        <v>90.933230228156106</v>
      </c>
      <c r="AM2358">
        <v>92.234172255009597</v>
      </c>
      <c r="AN2358">
        <v>1.0000000012430701</v>
      </c>
    </row>
    <row r="2359" spans="1:40" x14ac:dyDescent="0.25">
      <c r="A2359" t="str">
        <f>"20190303153820025"</f>
        <v>20190303153820025</v>
      </c>
      <c r="B2359" t="str">
        <f>"1551598700011542"</f>
        <v>1551598700011542</v>
      </c>
      <c r="C2359" t="s">
        <v>40</v>
      </c>
      <c r="D2359">
        <v>4.2123540000000004</v>
      </c>
      <c r="E2359">
        <v>0.52076639999999996</v>
      </c>
      <c r="F2359" t="s">
        <v>55</v>
      </c>
      <c r="G2359">
        <v>-387.87349999999998</v>
      </c>
      <c r="H2359" s="1">
        <v>2.6530770000000001E-6</v>
      </c>
      <c r="I2359">
        <v>286.7176</v>
      </c>
      <c r="J2359">
        <v>-286.06619999999998</v>
      </c>
      <c r="K2359">
        <v>1.121472</v>
      </c>
      <c r="L2359">
        <v>283.28320000000002</v>
      </c>
      <c r="M2359">
        <v>-0.99973540000000005</v>
      </c>
      <c r="N2359">
        <v>-1.478198E-2</v>
      </c>
      <c r="O2359">
        <v>1.7629269999999999E-2</v>
      </c>
      <c r="P2359">
        <v>-0.99929400000000002</v>
      </c>
      <c r="Q2359">
        <v>-3.080399E-2</v>
      </c>
      <c r="R2359">
        <v>-2.1521809999999999E-2</v>
      </c>
      <c r="S2359">
        <v>-3.0032040000000002</v>
      </c>
      <c r="T2359">
        <v>-3.3008099999999999E-2</v>
      </c>
      <c r="U2359">
        <v>0.1011963</v>
      </c>
      <c r="V2359">
        <v>-3.9125489999999999E-2</v>
      </c>
      <c r="W2359">
        <v>-1.606542E-2</v>
      </c>
      <c r="X2359">
        <v>0.99910520000000003</v>
      </c>
      <c r="Y2359">
        <v>1.6048429999999999E-2</v>
      </c>
      <c r="Z2359">
        <v>2.7371649999999997E-4</v>
      </c>
      <c r="AA2359">
        <v>0.99987119999999996</v>
      </c>
      <c r="AB2359">
        <v>36</v>
      </c>
      <c r="AC2359">
        <v>-101.8073</v>
      </c>
      <c r="AD2359">
        <v>-1.1214693469229999</v>
      </c>
      <c r="AE2359">
        <v>3.4343999999999801</v>
      </c>
      <c r="AF2359">
        <v>1.6386831858856601</v>
      </c>
      <c r="AG2359">
        <v>-1.1214693469229999</v>
      </c>
      <c r="AH2359">
        <v>101.839683936661</v>
      </c>
      <c r="AI2359">
        <v>90.630840013344496</v>
      </c>
      <c r="AJ2359">
        <v>89.078143951163398</v>
      </c>
      <c r="AK2359">
        <v>101.85904083781099</v>
      </c>
      <c r="AL2359">
        <v>90.920520315255004</v>
      </c>
      <c r="AM2359">
        <v>92.242587238114595</v>
      </c>
      <c r="AN2359">
        <v>1.00000005117727</v>
      </c>
    </row>
    <row r="2360" spans="1:40" x14ac:dyDescent="0.25">
      <c r="A2360" t="str">
        <f>"20190303153820042"</f>
        <v>20190303153820042</v>
      </c>
      <c r="B2360" t="str">
        <f>"1551598700031062"</f>
        <v>1551598700031062</v>
      </c>
      <c r="C2360" t="s">
        <v>40</v>
      </c>
      <c r="D2360">
        <v>4.2011469999999997</v>
      </c>
      <c r="E2360">
        <v>0.5207638</v>
      </c>
      <c r="F2360" t="s">
        <v>55</v>
      </c>
      <c r="G2360">
        <v>-390.35070000000002</v>
      </c>
      <c r="H2360" s="1">
        <v>-1.3501420000000001E-6</v>
      </c>
      <c r="I2360">
        <v>286.75580000000002</v>
      </c>
      <c r="J2360">
        <v>-286.3415</v>
      </c>
      <c r="K2360">
        <v>1.1214789999999999</v>
      </c>
      <c r="L2360">
        <v>283.2878</v>
      </c>
      <c r="M2360">
        <v>-0.99974039999999997</v>
      </c>
      <c r="N2360">
        <v>-1.477907E-2</v>
      </c>
      <c r="O2360">
        <v>1.735194E-2</v>
      </c>
      <c r="P2360">
        <v>-0.99929480000000004</v>
      </c>
      <c r="Q2360">
        <v>-3.0486070000000001E-2</v>
      </c>
      <c r="R2360">
        <v>-2.1929170000000001E-2</v>
      </c>
      <c r="S2360">
        <v>-3.0032649999999999</v>
      </c>
      <c r="T2360">
        <v>-3.2297020000000003E-2</v>
      </c>
      <c r="U2360">
        <v>0.1000061</v>
      </c>
      <c r="V2360">
        <v>-3.9255739999999997E-2</v>
      </c>
      <c r="W2360">
        <v>-1.57512E-2</v>
      </c>
      <c r="X2360">
        <v>0.99910500000000002</v>
      </c>
      <c r="Y2360">
        <v>1.59294E-2</v>
      </c>
      <c r="Z2360">
        <v>2.7327869999999998E-4</v>
      </c>
      <c r="AA2360">
        <v>0.99987309999999996</v>
      </c>
      <c r="AB2360">
        <v>36</v>
      </c>
      <c r="AC2360">
        <v>-104.00920000000001</v>
      </c>
      <c r="AD2360">
        <v>-1.1214803501420001</v>
      </c>
      <c r="AE2360">
        <v>3.4680000000000102</v>
      </c>
      <c r="AF2360">
        <v>1.6623265177500499</v>
      </c>
      <c r="AG2360">
        <v>-1.1214803501420001</v>
      </c>
      <c r="AH2360">
        <v>104.041637727202</v>
      </c>
      <c r="AI2360">
        <v>90.617497039201595</v>
      </c>
      <c r="AJ2360">
        <v>89.084633880447697</v>
      </c>
      <c r="AK2360">
        <v>104.060960155986</v>
      </c>
      <c r="AL2360">
        <v>90.902514642522803</v>
      </c>
      <c r="AM2360">
        <v>92.250045671730604</v>
      </c>
      <c r="AN2360">
        <v>0.99999995722469204</v>
      </c>
    </row>
    <row r="2361" spans="1:40" x14ac:dyDescent="0.25">
      <c r="A2361" t="str">
        <f>"20190303153820057"</f>
        <v>20190303153820057</v>
      </c>
      <c r="B2361" t="str">
        <f>"1551598700051557"</f>
        <v>1551598700051557</v>
      </c>
      <c r="C2361" t="s">
        <v>40</v>
      </c>
      <c r="D2361">
        <v>4.1894179999999999</v>
      </c>
      <c r="E2361">
        <v>0.5207579</v>
      </c>
      <c r="F2361" t="s">
        <v>55</v>
      </c>
      <c r="G2361">
        <v>-393.9513</v>
      </c>
      <c r="H2361" s="1">
        <v>5.6588680000000003E-7</v>
      </c>
      <c r="I2361">
        <v>286.83609999999999</v>
      </c>
      <c r="J2361">
        <v>-286.56490000000002</v>
      </c>
      <c r="K2361">
        <v>1.121486</v>
      </c>
      <c r="L2361">
        <v>283.29149999999998</v>
      </c>
      <c r="M2361">
        <v>-0.99974419999999997</v>
      </c>
      <c r="N2361">
        <v>-1.477671E-2</v>
      </c>
      <c r="O2361">
        <v>1.7126929999999999E-2</v>
      </c>
      <c r="P2361">
        <v>-0.9992991</v>
      </c>
      <c r="Q2361">
        <v>-3.0174119999999999E-2</v>
      </c>
      <c r="R2361">
        <v>-2.2155339999999999E-2</v>
      </c>
      <c r="S2361">
        <v>-3.0032960000000002</v>
      </c>
      <c r="T2361">
        <v>-3.1299470000000003E-2</v>
      </c>
      <c r="U2361">
        <v>9.9029539999999999E-2</v>
      </c>
      <c r="V2361">
        <v>-3.9257359999999998E-2</v>
      </c>
      <c r="W2361">
        <v>-1.5442000000000001E-2</v>
      </c>
      <c r="X2361">
        <v>0.99910980000000005</v>
      </c>
      <c r="Y2361">
        <v>1.5829470000000002E-2</v>
      </c>
      <c r="Z2361">
        <v>2.7409530000000002E-4</v>
      </c>
      <c r="AA2361">
        <v>0.99987470000000001</v>
      </c>
      <c r="AB2361">
        <v>36</v>
      </c>
      <c r="AC2361">
        <v>-107.386399999999</v>
      </c>
      <c r="AD2361">
        <v>-1.1214854341131999</v>
      </c>
      <c r="AE2361">
        <v>3.5446</v>
      </c>
      <c r="AF2361">
        <v>1.70449422895783</v>
      </c>
      <c r="AG2361">
        <v>-1.1214854341131999</v>
      </c>
      <c r="AH2361">
        <v>107.419657164803</v>
      </c>
      <c r="AI2361">
        <v>90.598083837964197</v>
      </c>
      <c r="AJ2361">
        <v>89.090928671811497</v>
      </c>
      <c r="AK2361">
        <v>107.43903283052801</v>
      </c>
      <c r="AL2361">
        <v>90.884796598949194</v>
      </c>
      <c r="AM2361">
        <v>92.250127631659893</v>
      </c>
      <c r="AN2361">
        <v>0.99999999406710405</v>
      </c>
    </row>
    <row r="2362" spans="1:40" x14ac:dyDescent="0.25">
      <c r="A2362" t="str">
        <f>"20190303153820078"</f>
        <v>20190303153820078</v>
      </c>
      <c r="B2362" t="str">
        <f>"1551598700071078"</f>
        <v>1551598700071078</v>
      </c>
      <c r="C2362" t="s">
        <v>40</v>
      </c>
      <c r="D2362">
        <v>4.16317</v>
      </c>
      <c r="E2362">
        <v>0.52074900000000002</v>
      </c>
      <c r="F2362" t="s">
        <v>55</v>
      </c>
      <c r="G2362">
        <v>-397.20800000000003</v>
      </c>
      <c r="H2362" s="1">
        <v>2.2989440000000001E-6</v>
      </c>
      <c r="I2362">
        <v>286.90600000000001</v>
      </c>
      <c r="J2362">
        <v>-286.91629999999998</v>
      </c>
      <c r="K2362">
        <v>1.1214930000000001</v>
      </c>
      <c r="L2362">
        <v>283.29719999999998</v>
      </c>
      <c r="M2362">
        <v>-0.99975029999999998</v>
      </c>
      <c r="N2362">
        <v>-1.477299E-2</v>
      </c>
      <c r="O2362">
        <v>1.6773340000000001E-2</v>
      </c>
      <c r="P2362">
        <v>-0.99930859999999999</v>
      </c>
      <c r="Q2362">
        <v>-2.977695E-2</v>
      </c>
      <c r="R2362">
        <v>-2.2268240000000002E-2</v>
      </c>
      <c r="S2362">
        <v>-3.003387</v>
      </c>
      <c r="T2362">
        <v>-3.0442480000000001E-2</v>
      </c>
      <c r="U2362">
        <v>9.8114010000000001E-2</v>
      </c>
      <c r="V2362">
        <v>-3.9017000000000003E-2</v>
      </c>
      <c r="W2362">
        <v>-1.504868E-2</v>
      </c>
      <c r="X2362">
        <v>0.99912520000000005</v>
      </c>
      <c r="Y2362">
        <v>1.5877720000000001E-2</v>
      </c>
      <c r="Z2362">
        <v>2.7559140000000003E-4</v>
      </c>
      <c r="AA2362">
        <v>0.99987389999999998</v>
      </c>
      <c r="AB2362">
        <v>36</v>
      </c>
      <c r="AC2362">
        <v>-110.29170000000001</v>
      </c>
      <c r="AD2362">
        <v>-1.121490701056</v>
      </c>
      <c r="AE2362">
        <v>3.6088000000000302</v>
      </c>
      <c r="AF2362">
        <v>1.7579487683169399</v>
      </c>
      <c r="AG2362">
        <v>-1.121490701056</v>
      </c>
      <c r="AH2362">
        <v>110.32532369923</v>
      </c>
      <c r="AI2362">
        <v>90.582335167040497</v>
      </c>
      <c r="AJ2362">
        <v>89.087113289743897</v>
      </c>
      <c r="AK2362">
        <v>110.345027865348</v>
      </c>
      <c r="AL2362">
        <v>90.862258417925105</v>
      </c>
      <c r="AM2362">
        <v>92.236330430843594</v>
      </c>
      <c r="AN2362">
        <v>0.99999997716689004</v>
      </c>
    </row>
    <row r="2363" spans="1:40" x14ac:dyDescent="0.25">
      <c r="A2363" t="str">
        <f>"20190303153820092"</f>
        <v>20190303153820092</v>
      </c>
      <c r="B2363" t="str">
        <f>"1551598700080838"</f>
        <v>1551598700080838</v>
      </c>
      <c r="C2363" t="s">
        <v>40</v>
      </c>
      <c r="D2363">
        <v>4.1881389999999996</v>
      </c>
      <c r="E2363">
        <v>0.52074779999999998</v>
      </c>
      <c r="F2363" t="s">
        <v>57</v>
      </c>
      <c r="G2363">
        <v>-402.0147</v>
      </c>
      <c r="H2363" s="1">
        <v>7.0080669999999996E-6</v>
      </c>
      <c r="I2363">
        <v>287.03969999999998</v>
      </c>
      <c r="J2363">
        <v>-287.13839999999999</v>
      </c>
      <c r="K2363">
        <v>1.1214980000000001</v>
      </c>
      <c r="L2363">
        <v>283.30070000000001</v>
      </c>
      <c r="M2363">
        <v>-0.99975389999999997</v>
      </c>
      <c r="N2363">
        <v>-1.477063E-2</v>
      </c>
      <c r="O2363">
        <v>1.6549970000000001E-2</v>
      </c>
      <c r="P2363">
        <v>-0.99931550000000002</v>
      </c>
      <c r="Q2363">
        <v>-2.9585899999999998E-2</v>
      </c>
      <c r="R2363">
        <v>-2.2208459999999999E-2</v>
      </c>
      <c r="S2363">
        <v>-3.0033569999999998</v>
      </c>
      <c r="T2363">
        <v>-2.9263850000000001E-2</v>
      </c>
      <c r="U2363">
        <v>9.765625E-2</v>
      </c>
      <c r="V2363">
        <v>-3.8734600000000001E-2</v>
      </c>
      <c r="W2363">
        <v>-1.4859850000000001E-2</v>
      </c>
      <c r="X2363">
        <v>0.999139</v>
      </c>
      <c r="Y2363">
        <v>1.5949339999999999E-2</v>
      </c>
      <c r="Z2363">
        <v>2.7875069999999999E-4</v>
      </c>
      <c r="AA2363">
        <v>0.99987269999999995</v>
      </c>
      <c r="AB2363">
        <v>36</v>
      </c>
      <c r="AC2363">
        <v>-114.8763</v>
      </c>
      <c r="AD2363">
        <v>-1.1214909919329901</v>
      </c>
      <c r="AE2363">
        <v>3.7389999999999701</v>
      </c>
      <c r="AF2363">
        <v>1.8369060975835501</v>
      </c>
      <c r="AG2363">
        <v>-1.1214909919329901</v>
      </c>
      <c r="AH2363">
        <v>114.911509753297</v>
      </c>
      <c r="AI2363">
        <v>90.559095021985897</v>
      </c>
      <c r="AJ2363">
        <v>89.084182222777798</v>
      </c>
      <c r="AK2363">
        <v>114.93166247748501</v>
      </c>
      <c r="AL2363">
        <v>90.851438057859397</v>
      </c>
      <c r="AM2363">
        <v>92.220129782946401</v>
      </c>
      <c r="AN2363">
        <v>0.99999996285008996</v>
      </c>
    </row>
    <row r="2364" spans="1:40" x14ac:dyDescent="0.25">
      <c r="A2364" t="str">
        <f>"20190303153820104"</f>
        <v>20190303153820104</v>
      </c>
      <c r="B2364" t="str">
        <f>"1551598700091574"</f>
        <v>1551598700091574</v>
      </c>
      <c r="C2364" t="s">
        <v>40</v>
      </c>
      <c r="D2364">
        <v>4.1837070000000001</v>
      </c>
      <c r="E2364">
        <v>0.52073400000000003</v>
      </c>
      <c r="F2364" t="s">
        <v>57</v>
      </c>
      <c r="G2364">
        <v>-404.72879999999998</v>
      </c>
      <c r="H2364" s="1">
        <v>5.7843090000000003E-6</v>
      </c>
      <c r="I2364">
        <v>287.13740000000001</v>
      </c>
      <c r="J2364">
        <v>-287.34379999999999</v>
      </c>
      <c r="K2364">
        <v>1.1215010000000001</v>
      </c>
      <c r="L2364">
        <v>283.3039</v>
      </c>
      <c r="M2364">
        <v>-0.99975749999999997</v>
      </c>
      <c r="N2364">
        <v>-1.4768430000000001E-2</v>
      </c>
      <c r="O2364">
        <v>1.6343489999999999E-2</v>
      </c>
      <c r="P2364">
        <v>-0.99932730000000003</v>
      </c>
      <c r="Q2364">
        <v>-2.928656E-2</v>
      </c>
      <c r="R2364">
        <v>-2.2087039999999999E-2</v>
      </c>
      <c r="S2364">
        <v>-3.0033569999999998</v>
      </c>
      <c r="T2364">
        <v>-2.8643849999999998E-2</v>
      </c>
      <c r="U2364">
        <v>9.799194E-2</v>
      </c>
      <c r="V2364">
        <v>-3.840698E-2</v>
      </c>
      <c r="W2364">
        <v>-1.456236E-2</v>
      </c>
      <c r="X2364">
        <v>0.99915609999999999</v>
      </c>
      <c r="Y2364">
        <v>1.6267520000000001E-2</v>
      </c>
      <c r="Z2364">
        <v>2.8325190000000002E-4</v>
      </c>
      <c r="AA2364">
        <v>0.99986759999999997</v>
      </c>
      <c r="AB2364">
        <v>36</v>
      </c>
      <c r="AC2364">
        <v>-117.38500000000001</v>
      </c>
      <c r="AD2364">
        <v>-1.1214952156910001</v>
      </c>
      <c r="AE2364">
        <v>3.8335000000000101</v>
      </c>
      <c r="AF2364">
        <v>1.9141237785513201</v>
      </c>
      <c r="AG2364">
        <v>-1.1214952156910001</v>
      </c>
      <c r="AH2364">
        <v>117.421271149574</v>
      </c>
      <c r="AI2364">
        <v>90.547144934272296</v>
      </c>
      <c r="AJ2364">
        <v>89.066084875344998</v>
      </c>
      <c r="AK2364">
        <v>117.442226391278</v>
      </c>
      <c r="AL2364">
        <v>90.8343912305548</v>
      </c>
      <c r="AM2364">
        <v>92.2013326823824</v>
      </c>
      <c r="AN2364">
        <v>1.0000000353043399</v>
      </c>
    </row>
    <row r="2365" spans="1:40" x14ac:dyDescent="0.25">
      <c r="A2365" t="str">
        <f>"20190303153820121"</f>
        <v>20190303153820121</v>
      </c>
      <c r="B2365" t="str">
        <f>"1551598700111094"</f>
        <v>1551598700111094</v>
      </c>
      <c r="C2365" t="s">
        <v>40</v>
      </c>
      <c r="D2365">
        <v>4.1786250000000003</v>
      </c>
      <c r="E2365">
        <v>0.52071880000000004</v>
      </c>
      <c r="F2365" t="s">
        <v>57</v>
      </c>
      <c r="G2365">
        <v>-409.1601</v>
      </c>
      <c r="H2365" s="1">
        <v>3.7872509999999999E-6</v>
      </c>
      <c r="I2365">
        <v>287.2921</v>
      </c>
      <c r="J2365">
        <v>-287.61110000000002</v>
      </c>
      <c r="K2365">
        <v>1.1215090000000001</v>
      </c>
      <c r="L2365">
        <v>283.30799999999999</v>
      </c>
      <c r="M2365">
        <v>-0.99976189999999998</v>
      </c>
      <c r="N2365">
        <v>-1.4765479999999999E-2</v>
      </c>
      <c r="O2365">
        <v>1.607515E-2</v>
      </c>
      <c r="P2365">
        <v>-0.99935640000000003</v>
      </c>
      <c r="Q2365">
        <v>-2.8513699999999999E-2</v>
      </c>
      <c r="R2365">
        <v>-2.1776790000000001E-2</v>
      </c>
      <c r="S2365">
        <v>-3.003387</v>
      </c>
      <c r="T2365">
        <v>-2.7650589999999999E-2</v>
      </c>
      <c r="U2365">
        <v>9.8327639999999994E-2</v>
      </c>
      <c r="V2365">
        <v>-3.7829469999999997E-2</v>
      </c>
      <c r="W2365">
        <v>-1.3791640000000001E-2</v>
      </c>
      <c r="X2365">
        <v>0.99918899999999999</v>
      </c>
      <c r="Y2365">
        <v>1.664728E-2</v>
      </c>
      <c r="Z2365">
        <v>2.8895290000000002E-4</v>
      </c>
      <c r="AA2365">
        <v>0.99986140000000001</v>
      </c>
      <c r="AB2365">
        <v>36</v>
      </c>
      <c r="AC2365">
        <v>-121.548999999999</v>
      </c>
      <c r="AD2365">
        <v>-1.1215052127489999</v>
      </c>
      <c r="AE2365">
        <v>3.98410000000001</v>
      </c>
      <c r="AF2365">
        <v>2.0292813557274698</v>
      </c>
      <c r="AG2365">
        <v>-1.1215052127489999</v>
      </c>
      <c r="AH2365">
        <v>121.587002775622</v>
      </c>
      <c r="AI2365">
        <v>90.528401430183294</v>
      </c>
      <c r="AJ2365">
        <v>89.0438249113664</v>
      </c>
      <c r="AK2365">
        <v>121.60910739217699</v>
      </c>
      <c r="AL2365">
        <v>90.790227842711104</v>
      </c>
      <c r="AM2365">
        <v>92.168192654723597</v>
      </c>
      <c r="AN2365">
        <v>0.99999996792768397</v>
      </c>
    </row>
    <row r="2366" spans="1:40" x14ac:dyDescent="0.25">
      <c r="A2366" t="str">
        <f>"20190303153820133"</f>
        <v>20190303153820133</v>
      </c>
      <c r="B2366" t="str">
        <f>"1551598700120853"</f>
        <v>1551598700120853</v>
      </c>
      <c r="C2366" t="s">
        <v>40</v>
      </c>
      <c r="D2366">
        <v>4.1605179999999997</v>
      </c>
      <c r="E2366">
        <v>0.52070870000000002</v>
      </c>
      <c r="F2366" t="s">
        <v>57</v>
      </c>
      <c r="G2366">
        <v>-422.37849999999997</v>
      </c>
      <c r="H2366" s="1">
        <v>3.2691939999999998E-6</v>
      </c>
      <c r="I2366">
        <v>287.7448</v>
      </c>
      <c r="J2366">
        <v>-287.80900000000003</v>
      </c>
      <c r="K2366">
        <v>1.1215120000000001</v>
      </c>
      <c r="L2366">
        <v>283.31099999999998</v>
      </c>
      <c r="M2366">
        <v>-0.99976500000000001</v>
      </c>
      <c r="N2366">
        <v>-1.4763299999999899E-2</v>
      </c>
      <c r="O2366">
        <v>1.5876599999999901E-2</v>
      </c>
      <c r="P2366">
        <v>-0.99935669999999999</v>
      </c>
      <c r="Q2366">
        <v>-2.8510899999999999E-2</v>
      </c>
      <c r="R2366">
        <v>-2.1763270000000001E-2</v>
      </c>
      <c r="S2366">
        <v>-3.003387</v>
      </c>
      <c r="T2366">
        <v>-2.4993540000000002E-2</v>
      </c>
      <c r="U2366">
        <v>9.8876950000000005E-2</v>
      </c>
      <c r="V2366">
        <v>-3.7617459999999998E-2</v>
      </c>
      <c r="W2366">
        <v>-1.379087E-2</v>
      </c>
      <c r="X2366">
        <v>0.99919709999999995</v>
      </c>
      <c r="Y2366">
        <v>1.7028789999999999E-2</v>
      </c>
      <c r="Z2366">
        <v>2.9887750000000003E-4</v>
      </c>
      <c r="AA2366">
        <v>0.99985500000000005</v>
      </c>
      <c r="AB2366">
        <v>36</v>
      </c>
      <c r="AC2366">
        <v>-134.56949999999901</v>
      </c>
      <c r="AD2366">
        <v>-1.1215087308059899</v>
      </c>
      <c r="AE2366">
        <v>4.4338000000000104</v>
      </c>
      <c r="AF2366">
        <v>2.2963428033090101</v>
      </c>
      <c r="AG2366">
        <v>-1.1215087308059899</v>
      </c>
      <c r="AH2366">
        <v>134.61359671492099</v>
      </c>
      <c r="AI2366">
        <v>90.477268901501205</v>
      </c>
      <c r="AJ2366">
        <v>89.022699088769002</v>
      </c>
      <c r="AK2366">
        <v>134.63785274814401</v>
      </c>
      <c r="AL2366">
        <v>90.790183653520302</v>
      </c>
      <c r="AM2366">
        <v>92.156035359314501</v>
      </c>
      <c r="AN2366">
        <v>1.0000000530202999</v>
      </c>
    </row>
    <row r="2367" spans="1:40" x14ac:dyDescent="0.25">
      <c r="A2367" t="str">
        <f>"20190303153820155"</f>
        <v>20190303153820155</v>
      </c>
      <c r="B2367" t="str">
        <f>"1551598700141349"</f>
        <v>1551598700141349</v>
      </c>
      <c r="C2367" t="s">
        <v>40</v>
      </c>
      <c r="D2367">
        <v>4.1480079999999999</v>
      </c>
      <c r="E2367">
        <v>0.52068040000000004</v>
      </c>
      <c r="F2367" t="s">
        <v>57</v>
      </c>
      <c r="G2367">
        <v>-423.75319999999999</v>
      </c>
      <c r="H2367" s="1">
        <v>3.0223010000000001E-6</v>
      </c>
      <c r="I2367">
        <v>287.77960000000002</v>
      </c>
      <c r="J2367">
        <v>-288.14359999999999</v>
      </c>
      <c r="K2367">
        <v>1.121518</v>
      </c>
      <c r="L2367">
        <v>283.31599999999997</v>
      </c>
      <c r="M2367">
        <v>-0.9997703</v>
      </c>
      <c r="N2367">
        <v>-1.475973E-2</v>
      </c>
      <c r="O2367">
        <v>1.554146E-2</v>
      </c>
      <c r="P2367">
        <v>-0.99935220000000002</v>
      </c>
      <c r="Q2367">
        <v>-2.8703409999999999E-2</v>
      </c>
      <c r="R2367">
        <v>-2.1710509999999999E-2</v>
      </c>
      <c r="S2367">
        <v>-3.0034179999999999</v>
      </c>
      <c r="T2367">
        <v>-2.4777529999999999E-2</v>
      </c>
      <c r="U2367">
        <v>9.8724370000000006E-2</v>
      </c>
      <c r="V2367">
        <v>-3.7229989999999998E-2</v>
      </c>
      <c r="W2367">
        <v>-1.398667E-2</v>
      </c>
      <c r="X2367">
        <v>0.99920880000000001</v>
      </c>
      <c r="Y2367">
        <v>1.7312890000000001E-2</v>
      </c>
      <c r="Z2367">
        <v>3.0040569999999998E-4</v>
      </c>
      <c r="AA2367">
        <v>0.99985009999999996</v>
      </c>
      <c r="AB2367">
        <v>36</v>
      </c>
      <c r="AC2367">
        <v>-135.6096</v>
      </c>
      <c r="AD2367">
        <v>-1.1215149776989899</v>
      </c>
      <c r="AE2367">
        <v>4.4636000000000404</v>
      </c>
      <c r="AF2367">
        <v>2.3550991464223601</v>
      </c>
      <c r="AG2367">
        <v>-1.1215149776989899</v>
      </c>
      <c r="AH2367">
        <v>135.65332841924999</v>
      </c>
      <c r="AI2367">
        <v>90.473611156343907</v>
      </c>
      <c r="AJ2367">
        <v>89.005378723034895</v>
      </c>
      <c r="AK2367">
        <v>135.67840579493699</v>
      </c>
      <c r="AL2367">
        <v>90.801403321254199</v>
      </c>
      <c r="AM2367">
        <v>92.133823285973904</v>
      </c>
      <c r="AN2367">
        <v>0.99999996254526302</v>
      </c>
    </row>
    <row r="2368" spans="1:40" x14ac:dyDescent="0.25">
      <c r="A2368" t="str">
        <f>"20190303153820165"</f>
        <v>20190303153820165</v>
      </c>
      <c r="B2368" t="str">
        <f>"1551598700160870"</f>
        <v>1551598700160870</v>
      </c>
      <c r="C2368" t="s">
        <v>40</v>
      </c>
      <c r="D2368">
        <v>4.1615190000000002</v>
      </c>
      <c r="E2368">
        <v>0.52065879999999998</v>
      </c>
      <c r="F2368" t="s">
        <v>57</v>
      </c>
      <c r="G2368">
        <v>-421.22919999999999</v>
      </c>
      <c r="H2368" s="1">
        <v>3.4778980000000001E-6</v>
      </c>
      <c r="I2368">
        <v>287.68939999999998</v>
      </c>
      <c r="J2368">
        <v>-288.33179999999999</v>
      </c>
      <c r="K2368">
        <v>1.1215189999999999</v>
      </c>
      <c r="L2368">
        <v>283.31880000000001</v>
      </c>
      <c r="M2368">
        <v>-0.99977329999999998</v>
      </c>
      <c r="N2368">
        <v>-1.475772E-2</v>
      </c>
      <c r="O2368">
        <v>1.5352579999999999E-2</v>
      </c>
      <c r="P2368">
        <v>-0.99935309999999999</v>
      </c>
      <c r="Q2368">
        <v>-2.85849E-2</v>
      </c>
      <c r="R2368">
        <v>-2.18339E-2</v>
      </c>
      <c r="S2368">
        <v>-3.0033569999999998</v>
      </c>
      <c r="T2368">
        <v>-2.530932E-2</v>
      </c>
      <c r="U2368">
        <v>9.869385E-2</v>
      </c>
      <c r="V2368">
        <v>-3.716477E-2</v>
      </c>
      <c r="W2368">
        <v>-1.387009E-2</v>
      </c>
      <c r="X2368">
        <v>0.99921289999999996</v>
      </c>
      <c r="Y2368">
        <v>1.7492210000000001E-2</v>
      </c>
      <c r="Z2368">
        <v>3.000201E-4</v>
      </c>
      <c r="AA2368">
        <v>0.99984689999999998</v>
      </c>
      <c r="AB2368">
        <v>36</v>
      </c>
      <c r="AC2368">
        <v>-132.8974</v>
      </c>
      <c r="AD2368">
        <v>-1.1215155221019999</v>
      </c>
      <c r="AE2368">
        <v>4.3705999999999596</v>
      </c>
      <c r="AF2368">
        <v>2.3293790327280002</v>
      </c>
      <c r="AG2368">
        <v>-1.1215155221019999</v>
      </c>
      <c r="AH2368">
        <v>132.93938370069</v>
      </c>
      <c r="AI2368">
        <v>90.483278306847893</v>
      </c>
      <c r="AJ2368">
        <v>88.996159547309901</v>
      </c>
      <c r="AK2368">
        <v>132.96451986324601</v>
      </c>
      <c r="AL2368">
        <v>90.794723093676296</v>
      </c>
      <c r="AM2368">
        <v>92.130079939688997</v>
      </c>
      <c r="AN2368">
        <v>1.0000000095260799</v>
      </c>
    </row>
    <row r="2369" spans="1:40" x14ac:dyDescent="0.25">
      <c r="A2369" t="str">
        <f>"20190303153820178"</f>
        <v>20190303153820178</v>
      </c>
      <c r="B2369" t="str">
        <f>"1551598700170629"</f>
        <v>1551598700170629</v>
      </c>
      <c r="C2369" t="s">
        <v>40</v>
      </c>
      <c r="D2369">
        <v>4.3297040000000004</v>
      </c>
      <c r="E2369">
        <v>0.52069869999999996</v>
      </c>
      <c r="F2369" t="s">
        <v>57</v>
      </c>
      <c r="G2369">
        <v>-422.05439999999999</v>
      </c>
      <c r="H2369" s="1">
        <v>3.331115E-6</v>
      </c>
      <c r="I2369">
        <v>287.69409999999999</v>
      </c>
      <c r="J2369">
        <v>-288.5127</v>
      </c>
      <c r="K2369">
        <v>1.1215219999999999</v>
      </c>
      <c r="L2369">
        <v>283.32139999999998</v>
      </c>
      <c r="M2369">
        <v>-0.9997762</v>
      </c>
      <c r="N2369">
        <v>-1.475577E-2</v>
      </c>
      <c r="O2369">
        <v>1.51711E-2</v>
      </c>
      <c r="P2369">
        <v>-0.99935850000000004</v>
      </c>
      <c r="Q2369">
        <v>-2.843176E-2</v>
      </c>
      <c r="R2369">
        <v>-2.1784580000000001E-2</v>
      </c>
      <c r="S2369">
        <v>-3.0033569999999998</v>
      </c>
      <c r="T2369">
        <v>-2.5188800000000001E-2</v>
      </c>
      <c r="U2369">
        <v>9.8266599999999996E-2</v>
      </c>
      <c r="V2369">
        <v>-3.6934250000000002E-2</v>
      </c>
      <c r="W2369">
        <v>-1.3718569999999999E-2</v>
      </c>
      <c r="X2369">
        <v>0.99922350000000004</v>
      </c>
      <c r="Y2369">
        <v>1.7531620000000001E-2</v>
      </c>
      <c r="Z2369">
        <v>2.9953759999999999E-4</v>
      </c>
      <c r="AA2369">
        <v>0.99984629999999997</v>
      </c>
      <c r="AB2369">
        <v>36</v>
      </c>
      <c r="AC2369">
        <v>-133.54169999999999</v>
      </c>
      <c r="AD2369">
        <v>-1.1215186688849901</v>
      </c>
      <c r="AE2369">
        <v>4.3727</v>
      </c>
      <c r="AF2369">
        <v>2.3458366379546298</v>
      </c>
      <c r="AG2369">
        <v>-1.1215186688849901</v>
      </c>
      <c r="AH2369">
        <v>133.583261871503</v>
      </c>
      <c r="AI2369">
        <v>90.480950012969402</v>
      </c>
      <c r="AJ2369">
        <v>88.993940384504697</v>
      </c>
      <c r="AK2369">
        <v>133.60856486725399</v>
      </c>
      <c r="AL2369">
        <v>90.786040841854202</v>
      </c>
      <c r="AM2369">
        <v>92.116857424513</v>
      </c>
      <c r="AN2369">
        <v>0.99999997046907796</v>
      </c>
    </row>
    <row r="2370" spans="1:40" x14ac:dyDescent="0.25">
      <c r="A2370" t="str">
        <f>"20190303153820190"</f>
        <v>20190303153820190</v>
      </c>
      <c r="B2370" t="str">
        <f>"1551598700181366"</f>
        <v>1551598700181366</v>
      </c>
      <c r="C2370" t="s">
        <v>40</v>
      </c>
      <c r="D2370">
        <v>4.1477779999999997</v>
      </c>
      <c r="E2370">
        <v>0.52068409999999998</v>
      </c>
      <c r="F2370" t="s">
        <v>57</v>
      </c>
      <c r="G2370">
        <v>-425.839</v>
      </c>
      <c r="H2370" s="1">
        <v>2.647567E-6</v>
      </c>
      <c r="I2370">
        <v>287.834</v>
      </c>
      <c r="J2370">
        <v>-288.71379999999999</v>
      </c>
      <c r="K2370">
        <v>1.1215250000000001</v>
      </c>
      <c r="L2370">
        <v>283.32420000000002</v>
      </c>
      <c r="M2370">
        <v>-0.99977910000000003</v>
      </c>
      <c r="N2370">
        <v>-1.475359E-2</v>
      </c>
      <c r="O2370">
        <v>1.4969720000000001E-2</v>
      </c>
      <c r="P2370">
        <v>-0.99935469999999904</v>
      </c>
      <c r="Q2370">
        <v>-2.8578679999999999E-2</v>
      </c>
      <c r="R2370">
        <v>-2.1762190000000001E-2</v>
      </c>
      <c r="S2370">
        <v>-3.003387</v>
      </c>
      <c r="T2370">
        <v>-2.4528149999999999E-2</v>
      </c>
      <c r="U2370">
        <v>9.869385E-2</v>
      </c>
      <c r="V2370">
        <v>-3.6710699999999999E-2</v>
      </c>
      <c r="W2370">
        <v>-1.386747E-2</v>
      </c>
      <c r="X2370">
        <v>0.9992297</v>
      </c>
      <c r="Y2370">
        <v>1.787482E-2</v>
      </c>
      <c r="Z2370">
        <v>3.0350009999999998E-4</v>
      </c>
      <c r="AA2370">
        <v>0.99984019999999996</v>
      </c>
      <c r="AB2370">
        <v>36</v>
      </c>
      <c r="AC2370">
        <v>-137.12520000000001</v>
      </c>
      <c r="AD2370">
        <v>-1.121522352433</v>
      </c>
      <c r="AE2370">
        <v>4.5097999999999798</v>
      </c>
      <c r="AF2370">
        <v>2.4561811491785499</v>
      </c>
      <c r="AG2370">
        <v>-1.121522352433</v>
      </c>
      <c r="AH2370">
        <v>137.16818352879801</v>
      </c>
      <c r="AI2370">
        <v>90.468379512216202</v>
      </c>
      <c r="AJ2370">
        <v>88.974151498747204</v>
      </c>
      <c r="AK2370">
        <v>137.19475649898101</v>
      </c>
      <c r="AL2370">
        <v>90.794572981568294</v>
      </c>
      <c r="AM2370">
        <v>92.104043339926804</v>
      </c>
      <c r="AN2370">
        <v>0.99999998779039001</v>
      </c>
    </row>
    <row r="2371" spans="1:40" x14ac:dyDescent="0.25">
      <c r="A2371" t="str">
        <f>"20190303153820201"</f>
        <v>20190303153820201</v>
      </c>
      <c r="B2371" t="str">
        <f>"1551598700191126"</f>
        <v>1551598700191126</v>
      </c>
      <c r="C2371" t="s">
        <v>40</v>
      </c>
      <c r="D2371">
        <v>4.19238</v>
      </c>
      <c r="E2371">
        <v>0.52066869999999998</v>
      </c>
      <c r="F2371" t="s">
        <v>57</v>
      </c>
      <c r="G2371">
        <v>-424.39060000000001</v>
      </c>
      <c r="H2371" s="1">
        <v>2.9089790000000001E-6</v>
      </c>
      <c r="I2371">
        <v>287.78269999999998</v>
      </c>
      <c r="J2371">
        <v>-288.91039999999998</v>
      </c>
      <c r="K2371">
        <v>1.1215269999999999</v>
      </c>
      <c r="L2371">
        <v>283.327</v>
      </c>
      <c r="M2371">
        <v>-0.99978210000000001</v>
      </c>
      <c r="N2371">
        <v>-1.475137E-2</v>
      </c>
      <c r="O2371">
        <v>1.477263E-2</v>
      </c>
      <c r="P2371">
        <v>-0.99935289999999999</v>
      </c>
      <c r="Q2371">
        <v>-2.845725E-2</v>
      </c>
      <c r="R2371">
        <v>-2.1995230000000001E-2</v>
      </c>
      <c r="S2371">
        <v>-3.003387</v>
      </c>
      <c r="T2371">
        <v>-2.482641E-2</v>
      </c>
      <c r="U2371">
        <v>9.869385E-2</v>
      </c>
      <c r="V2371">
        <v>-3.6746500000000001E-2</v>
      </c>
      <c r="W2371">
        <v>-1.374829E-2</v>
      </c>
      <c r="X2371">
        <v>0.99922999999999995</v>
      </c>
      <c r="Y2371">
        <v>1.8071859999999999E-2</v>
      </c>
      <c r="Z2371">
        <v>3.0383740000000003E-4</v>
      </c>
      <c r="AA2371">
        <v>0.99983659999999996</v>
      </c>
      <c r="AB2371">
        <v>36</v>
      </c>
      <c r="AC2371">
        <v>-135.4802</v>
      </c>
      <c r="AD2371">
        <v>-1.121524091021</v>
      </c>
      <c r="AE2371">
        <v>4.45569999999997</v>
      </c>
      <c r="AF2371">
        <v>2.4534291601679299</v>
      </c>
      <c r="AG2371">
        <v>-1.121524091021</v>
      </c>
      <c r="AH2371">
        <v>135.52196562031901</v>
      </c>
      <c r="AI2371">
        <v>90.474067824907493</v>
      </c>
      <c r="AJ2371">
        <v>88.962856082238204</v>
      </c>
      <c r="AK2371">
        <v>135.54881149064201</v>
      </c>
      <c r="AL2371">
        <v>90.78774384383</v>
      </c>
      <c r="AM2371">
        <v>92.106092708641</v>
      </c>
      <c r="AN2371">
        <v>0.99999995682008602</v>
      </c>
    </row>
    <row r="2372" spans="1:40" x14ac:dyDescent="0.25">
      <c r="A2372" t="str">
        <f>"20190303153820213"</f>
        <v>20190303153820213</v>
      </c>
      <c r="B2372" t="str">
        <f>"1551598700200886"</f>
        <v>1551598700200886</v>
      </c>
      <c r="C2372" t="s">
        <v>40</v>
      </c>
      <c r="D2372">
        <v>4.1990170000000004</v>
      </c>
      <c r="E2372">
        <v>0.52063009999999998</v>
      </c>
      <c r="F2372" t="s">
        <v>57</v>
      </c>
      <c r="G2372">
        <v>-428.07369999999997</v>
      </c>
      <c r="H2372" s="1">
        <v>2.249239E-6</v>
      </c>
      <c r="I2372">
        <v>287.85610000000003</v>
      </c>
      <c r="J2372">
        <v>-289.08800000000002</v>
      </c>
      <c r="K2372">
        <v>1.121529</v>
      </c>
      <c r="L2372">
        <v>283.3295</v>
      </c>
      <c r="M2372">
        <v>-0.99978480000000003</v>
      </c>
      <c r="N2372">
        <v>-1.4749369999999999E-2</v>
      </c>
      <c r="O2372">
        <v>1.459426E-2</v>
      </c>
      <c r="P2372">
        <v>-0.99934719999999999</v>
      </c>
      <c r="Q2372">
        <v>-2.8552319999999999E-2</v>
      </c>
      <c r="R2372">
        <v>-2.2137230000000001E-2</v>
      </c>
      <c r="S2372">
        <v>-3.0034480000000001</v>
      </c>
      <c r="T2372">
        <v>-2.4204969999999999E-2</v>
      </c>
      <c r="U2372">
        <v>9.7747799999999996E-2</v>
      </c>
      <c r="V2372">
        <v>-3.6710239999999998E-2</v>
      </c>
      <c r="W2372">
        <v>-1.3845349999999999E-2</v>
      </c>
      <c r="X2372">
        <v>0.99922999999999995</v>
      </c>
      <c r="Y2372">
        <v>1.7935070000000001E-2</v>
      </c>
      <c r="Z2372">
        <v>3.0222259999999998E-4</v>
      </c>
      <c r="AA2372">
        <v>0.99983909999999998</v>
      </c>
      <c r="AB2372">
        <v>36</v>
      </c>
      <c r="AC2372">
        <v>-138.98570000000001</v>
      </c>
      <c r="AD2372">
        <v>-1.1215267507610001</v>
      </c>
      <c r="AE2372">
        <v>4.5266000000000304</v>
      </c>
      <c r="AF2372">
        <v>2.4973414373196601</v>
      </c>
      <c r="AG2372">
        <v>-1.1215267507610001</v>
      </c>
      <c r="AH2372">
        <v>139.02792093215101</v>
      </c>
      <c r="AI2372">
        <v>90.462115748620704</v>
      </c>
      <c r="AJ2372">
        <v>88.970913636283797</v>
      </c>
      <c r="AK2372">
        <v>139.05487167022801</v>
      </c>
      <c r="AL2372">
        <v>90.793305495964006</v>
      </c>
      <c r="AM2372">
        <v>92.104016367979895</v>
      </c>
      <c r="AN2372">
        <v>0.99999996416873904</v>
      </c>
    </row>
    <row r="2373" spans="1:40" x14ac:dyDescent="0.25">
      <c r="A2373" t="str">
        <f>"20190303153820225"</f>
        <v>20190303153820225</v>
      </c>
      <c r="B2373" t="str">
        <f>"1551598700221382"</f>
        <v>1551598700221382</v>
      </c>
      <c r="C2373" t="s">
        <v>40</v>
      </c>
      <c r="D2373">
        <v>4.2008539999999996</v>
      </c>
      <c r="E2373">
        <v>0.52054409999999995</v>
      </c>
      <c r="F2373" t="s">
        <v>57</v>
      </c>
      <c r="G2373">
        <v>-428.76049999999998</v>
      </c>
      <c r="H2373" s="1">
        <v>2.1289550000000001E-6</v>
      </c>
      <c r="I2373">
        <v>287.8383</v>
      </c>
      <c r="J2373">
        <v>-289.2799</v>
      </c>
      <c r="K2373">
        <v>1.1215269999999999</v>
      </c>
      <c r="L2373">
        <v>283.33199999999999</v>
      </c>
      <c r="M2373">
        <v>-0.99978739999999999</v>
      </c>
      <c r="N2373">
        <v>-1.474723E-2</v>
      </c>
      <c r="O2373">
        <v>1.4402E-2</v>
      </c>
      <c r="P2373">
        <v>-0.99936250000000004</v>
      </c>
      <c r="Q2373">
        <v>-2.7795469999999999E-2</v>
      </c>
      <c r="R2373">
        <v>-2.2398109999999999E-2</v>
      </c>
      <c r="S2373">
        <v>-3.0034179999999999</v>
      </c>
      <c r="T2373">
        <v>-2.4116519999999999E-2</v>
      </c>
      <c r="U2373">
        <v>9.6954349999999995E-2</v>
      </c>
      <c r="V2373">
        <v>-3.677971E-2</v>
      </c>
      <c r="W2373">
        <v>-1.309052E-2</v>
      </c>
      <c r="X2373">
        <v>0.99923770000000001</v>
      </c>
      <c r="Y2373">
        <v>1.7863810000000001E-2</v>
      </c>
      <c r="Z2373">
        <v>3.0023350000000002E-4</v>
      </c>
      <c r="AA2373">
        <v>0.99984039999999996</v>
      </c>
      <c r="AB2373">
        <v>36</v>
      </c>
      <c r="AC2373">
        <v>-139.48059999999899</v>
      </c>
      <c r="AD2373">
        <v>-1.1215248710450001</v>
      </c>
      <c r="AE2373">
        <v>4.5063000000000004</v>
      </c>
      <c r="AF2373">
        <v>2.4966529505211601</v>
      </c>
      <c r="AG2373">
        <v>-1.1215248710450001</v>
      </c>
      <c r="AH2373">
        <v>139.52202638906999</v>
      </c>
      <c r="AI2373">
        <v>90.460479069342199</v>
      </c>
      <c r="AJ2373">
        <v>88.974839920837297</v>
      </c>
      <c r="AK2373">
        <v>139.548869367344</v>
      </c>
      <c r="AL2373">
        <v>90.750052936688405</v>
      </c>
      <c r="AM2373">
        <v>92.107978164333701</v>
      </c>
      <c r="AN2373">
        <v>1.0000000449414199</v>
      </c>
    </row>
    <row r="2374" spans="1:40" x14ac:dyDescent="0.25">
      <c r="A2374" t="str">
        <f>"20190303153820237"</f>
        <v>20190303153820237</v>
      </c>
      <c r="B2374" t="str">
        <f>"1551598700231142"</f>
        <v>1551598700231142</v>
      </c>
      <c r="C2374" t="s">
        <v>40</v>
      </c>
      <c r="D2374">
        <v>4.1613810000000004</v>
      </c>
      <c r="E2374">
        <v>0.52050390000000002</v>
      </c>
      <c r="F2374" t="s">
        <v>55</v>
      </c>
      <c r="G2374">
        <v>-447.81540000000001</v>
      </c>
      <c r="H2374" s="1">
        <v>2.4577939999999998E-6</v>
      </c>
      <c r="I2374">
        <v>288.37729999999999</v>
      </c>
      <c r="J2374">
        <v>-289.4699</v>
      </c>
      <c r="K2374">
        <v>1.1215280000000001</v>
      </c>
      <c r="L2374">
        <v>283.33460000000002</v>
      </c>
      <c r="M2374">
        <v>-0.99979039999999997</v>
      </c>
      <c r="N2374">
        <v>-1.474515E-2</v>
      </c>
      <c r="O2374">
        <v>1.421123E-2</v>
      </c>
      <c r="P2374">
        <v>-0.9993609</v>
      </c>
      <c r="Q2374">
        <v>-2.770591E-2</v>
      </c>
      <c r="R2374">
        <v>-2.2591739999999999E-2</v>
      </c>
      <c r="S2374">
        <v>-3.0034179999999999</v>
      </c>
      <c r="T2374">
        <v>-2.124703E-2</v>
      </c>
      <c r="U2374">
        <v>9.5581050000000001E-2</v>
      </c>
      <c r="V2374">
        <v>-3.6783080000000003E-2</v>
      </c>
      <c r="W2374">
        <v>-1.3003010000000001E-2</v>
      </c>
      <c r="X2374">
        <v>0.99923870000000004</v>
      </c>
      <c r="Y2374">
        <v>1.7598260000000001E-2</v>
      </c>
      <c r="Z2374">
        <v>3.0104600000000002E-4</v>
      </c>
      <c r="AA2374">
        <v>0.99984510000000004</v>
      </c>
      <c r="AB2374">
        <v>36</v>
      </c>
      <c r="AC2374">
        <v>-158.34549999999999</v>
      </c>
      <c r="AD2374">
        <v>-1.121525542206</v>
      </c>
      <c r="AE2374">
        <v>5.04269999999996</v>
      </c>
      <c r="AF2374">
        <v>2.7915220201100599</v>
      </c>
      <c r="AG2374">
        <v>-1.121525542206</v>
      </c>
      <c r="AH2374">
        <v>158.393238960384</v>
      </c>
      <c r="AI2374">
        <v>90.405621035597406</v>
      </c>
      <c r="AJ2374">
        <v>88.990323863248705</v>
      </c>
      <c r="AK2374">
        <v>158.421805832063</v>
      </c>
      <c r="AL2374">
        <v>90.7450385702668</v>
      </c>
      <c r="AM2374">
        <v>92.108169029073807</v>
      </c>
      <c r="AN2374">
        <v>1.00000002641051</v>
      </c>
    </row>
    <row r="2375" spans="1:40" x14ac:dyDescent="0.25">
      <c r="A2375" t="str">
        <f>"20190303153820250"</f>
        <v>20190303153820250</v>
      </c>
      <c r="B2375" t="str">
        <f>"1551598700240902"</f>
        <v>1551598700240902</v>
      </c>
      <c r="C2375" t="s">
        <v>40</v>
      </c>
      <c r="D2375">
        <v>4.1872069999999999</v>
      </c>
      <c r="E2375">
        <v>0.52046809999999999</v>
      </c>
      <c r="F2375" t="s">
        <v>55</v>
      </c>
      <c r="G2375">
        <v>-451.78250000000003</v>
      </c>
      <c r="H2375" s="1">
        <v>-7.5544969999999902E-7</v>
      </c>
      <c r="I2375">
        <v>288.44229999999999</v>
      </c>
      <c r="J2375">
        <v>-289.67720000000003</v>
      </c>
      <c r="K2375">
        <v>1.1215269999999999</v>
      </c>
      <c r="L2375">
        <v>283.3374</v>
      </c>
      <c r="M2375">
        <v>-0.99979340000000005</v>
      </c>
      <c r="N2375">
        <v>-1.47429E-2</v>
      </c>
      <c r="O2375">
        <v>1.4003E-2</v>
      </c>
      <c r="P2375">
        <v>-0.9993512</v>
      </c>
      <c r="Q2375">
        <v>-2.7800999999999999E-2</v>
      </c>
      <c r="R2375">
        <v>-2.2901020000000001E-2</v>
      </c>
      <c r="S2375">
        <v>-3.0034179999999999</v>
      </c>
      <c r="T2375">
        <v>-2.0752670000000001E-2</v>
      </c>
      <c r="U2375">
        <v>9.4512940000000004E-2</v>
      </c>
      <c r="V2375">
        <v>-3.688404E-2</v>
      </c>
      <c r="W2375">
        <v>-1.3100499999999999E-2</v>
      </c>
      <c r="X2375">
        <v>0.9992337</v>
      </c>
      <c r="Y2375">
        <v>1.7451339999999999E-2</v>
      </c>
      <c r="Z2375">
        <v>2.9866190000000001E-4</v>
      </c>
      <c r="AA2375">
        <v>0.99984770000000001</v>
      </c>
      <c r="AB2375">
        <v>36</v>
      </c>
      <c r="AC2375">
        <v>-162.1053</v>
      </c>
      <c r="AD2375">
        <v>-1.1215277554496901</v>
      </c>
      <c r="AE2375">
        <v>5.1048999999999802</v>
      </c>
      <c r="AF2375">
        <v>2.8340569221183598</v>
      </c>
      <c r="AG2375">
        <v>-1.1215277554496901</v>
      </c>
      <c r="AH2375">
        <v>162.15314041016799</v>
      </c>
      <c r="AI2375">
        <v>90.396217861681706</v>
      </c>
      <c r="AJ2375">
        <v>88.998705981171398</v>
      </c>
      <c r="AK2375">
        <v>162.18178272550699</v>
      </c>
      <c r="AL2375">
        <v>90.750624815280105</v>
      </c>
      <c r="AM2375">
        <v>92.113960731101102</v>
      </c>
      <c r="AN2375">
        <v>1.00000002136133</v>
      </c>
    </row>
    <row r="2376" spans="1:40" x14ac:dyDescent="0.25">
      <c r="A2376" t="str">
        <f>"20190303153820265"</f>
        <v>20190303153820265</v>
      </c>
      <c r="B2376" t="str">
        <f>"1551598700250663"</f>
        <v>1551598700250663</v>
      </c>
      <c r="C2376" t="s">
        <v>40</v>
      </c>
      <c r="D2376">
        <v>4.1953230000000001</v>
      </c>
      <c r="E2376">
        <v>0.52043329999999999</v>
      </c>
      <c r="F2376" t="s">
        <v>55</v>
      </c>
      <c r="G2376">
        <v>-451.2011</v>
      </c>
      <c r="H2376" s="1">
        <v>-1.0613619999999999E-6</v>
      </c>
      <c r="I2376">
        <v>288.36270000000002</v>
      </c>
      <c r="J2376">
        <v>-289.89109999999999</v>
      </c>
      <c r="K2376">
        <v>1.121524</v>
      </c>
      <c r="L2376">
        <v>283.34010000000001</v>
      </c>
      <c r="M2376">
        <v>-0.99979640000000003</v>
      </c>
      <c r="N2376">
        <v>-1.47406E-2</v>
      </c>
      <c r="O2376">
        <v>1.378858E-2</v>
      </c>
      <c r="P2376">
        <v>-0.99935019999999997</v>
      </c>
      <c r="Q2376">
        <v>-2.7467040000000002E-2</v>
      </c>
      <c r="R2376">
        <v>-2.334516E-2</v>
      </c>
      <c r="S2376">
        <v>-3.0035400000000001</v>
      </c>
      <c r="T2376">
        <v>-2.0854830000000001E-2</v>
      </c>
      <c r="U2376">
        <v>9.3444819999999998E-2</v>
      </c>
      <c r="V2376">
        <v>-3.7113859999999999E-2</v>
      </c>
      <c r="W2376">
        <v>-1.2769040000000001E-2</v>
      </c>
      <c r="X2376">
        <v>0.99922940000000005</v>
      </c>
      <c r="Y2376">
        <v>1.7309270000000002E-2</v>
      </c>
      <c r="Z2376">
        <v>2.952187E-4</v>
      </c>
      <c r="AA2376">
        <v>0.99985020000000002</v>
      </c>
      <c r="AB2376">
        <v>36</v>
      </c>
      <c r="AC2376">
        <v>-161.31</v>
      </c>
      <c r="AD2376">
        <v>-1.121525061362</v>
      </c>
      <c r="AE2376">
        <v>5.0226000000000104</v>
      </c>
      <c r="AF2376">
        <v>2.7975100696703201</v>
      </c>
      <c r="AG2376">
        <v>-1.121525061362</v>
      </c>
      <c r="AH2376">
        <v>161.35613125462299</v>
      </c>
      <c r="AI2376">
        <v>90.398174908503194</v>
      </c>
      <c r="AJ2376">
        <v>89.006734595134006</v>
      </c>
      <c r="AK2376">
        <v>161.38427734606699</v>
      </c>
      <c r="AL2376">
        <v>90.731632026857795</v>
      </c>
      <c r="AM2376">
        <v>92.127129648167298</v>
      </c>
      <c r="AN2376">
        <v>0.99999994040548801</v>
      </c>
    </row>
    <row r="2377" spans="1:40" x14ac:dyDescent="0.25">
      <c r="A2377" t="str">
        <f>"20190303153820280"</f>
        <v>20190303153820280</v>
      </c>
      <c r="B2377" t="str">
        <f>"1551598700271158"</f>
        <v>1551598700271158</v>
      </c>
      <c r="C2377" t="s">
        <v>40</v>
      </c>
      <c r="D2377">
        <v>4.1775699999999896</v>
      </c>
      <c r="E2377">
        <v>0.52036320000000003</v>
      </c>
      <c r="F2377" t="s">
        <v>55</v>
      </c>
      <c r="G2377">
        <v>-460.99079999999998</v>
      </c>
      <c r="H2377" s="1">
        <v>-1.181966E-6</v>
      </c>
      <c r="I2377">
        <v>288.56079999999997</v>
      </c>
      <c r="J2377">
        <v>-290.14940000000001</v>
      </c>
      <c r="K2377">
        <v>1.1215219999999999</v>
      </c>
      <c r="L2377">
        <v>283.34339999999997</v>
      </c>
      <c r="M2377">
        <v>-0.99979980000000002</v>
      </c>
      <c r="N2377">
        <v>-1.473781E-2</v>
      </c>
      <c r="O2377">
        <v>1.353095E-2</v>
      </c>
      <c r="P2377">
        <v>-0.99933329999999998</v>
      </c>
      <c r="Q2377">
        <v>-2.7450889999999999E-2</v>
      </c>
      <c r="R2377">
        <v>-2.4079219999999998E-2</v>
      </c>
      <c r="S2377">
        <v>-3.0035099999999999</v>
      </c>
      <c r="T2377">
        <v>-1.9687409999999999E-2</v>
      </c>
      <c r="U2377">
        <v>9.1644290000000003E-2</v>
      </c>
      <c r="V2377">
        <v>-3.7590329999999998E-2</v>
      </c>
      <c r="W2377">
        <v>-1.275625E-2</v>
      </c>
      <c r="X2377">
        <v>0.99921179999999998</v>
      </c>
      <c r="Y2377">
        <v>1.6968560000000001E-2</v>
      </c>
      <c r="Z2377">
        <v>2.914131E-4</v>
      </c>
      <c r="AA2377">
        <v>0.99985599999999997</v>
      </c>
      <c r="AB2377">
        <v>36</v>
      </c>
      <c r="AC2377">
        <v>-170.841399999999</v>
      </c>
      <c r="AD2377">
        <v>-1.1215231819660001</v>
      </c>
      <c r="AE2377">
        <v>5.2173999999999898</v>
      </c>
      <c r="AF2377">
        <v>2.9048995735238798</v>
      </c>
      <c r="AG2377">
        <v>-1.1215231819660001</v>
      </c>
      <c r="AH2377">
        <v>170.88900289120201</v>
      </c>
      <c r="AI2377">
        <v>90.375965332693497</v>
      </c>
      <c r="AJ2377">
        <v>89.026137116972606</v>
      </c>
      <c r="AK2377">
        <v>170.91737057692299</v>
      </c>
      <c r="AL2377">
        <v>90.730899119285695</v>
      </c>
      <c r="AM2377">
        <v>92.154450209999993</v>
      </c>
      <c r="AN2377">
        <v>0.999999988041405</v>
      </c>
    </row>
    <row r="2378" spans="1:40" x14ac:dyDescent="0.25">
      <c r="A2378" t="str">
        <f>"20190303153820301"</f>
        <v>20190303153820301</v>
      </c>
      <c r="B2378" t="str">
        <f>"1551598700290678"</f>
        <v>1551598700290678</v>
      </c>
      <c r="C2378" t="s">
        <v>40</v>
      </c>
      <c r="D2378">
        <v>4.1748609999999999</v>
      </c>
      <c r="E2378">
        <v>0.52029629999999905</v>
      </c>
      <c r="F2378" t="s">
        <v>55</v>
      </c>
      <c r="G2378">
        <v>-465.97710000000001</v>
      </c>
      <c r="H2378" s="1">
        <v>1.472113E-6</v>
      </c>
      <c r="I2378">
        <v>288.54739999999998</v>
      </c>
      <c r="J2378">
        <v>-290.4812</v>
      </c>
      <c r="K2378">
        <v>1.121515</v>
      </c>
      <c r="L2378">
        <v>283.3476</v>
      </c>
      <c r="M2378">
        <v>-0.99980429999999998</v>
      </c>
      <c r="N2378">
        <v>-1.4734219999999999E-2</v>
      </c>
      <c r="O2378">
        <v>1.3203879999999999E-2</v>
      </c>
      <c r="P2378">
        <v>-0.99929489999999999</v>
      </c>
      <c r="Q2378">
        <v>-2.781875E-2</v>
      </c>
      <c r="R2378">
        <v>-2.52135E-2</v>
      </c>
      <c r="S2378">
        <v>-3.0036320000000001</v>
      </c>
      <c r="T2378">
        <v>-1.9158720000000001E-2</v>
      </c>
      <c r="U2378">
        <v>8.8897710000000005E-2</v>
      </c>
      <c r="V2378">
        <v>-3.839679E-2</v>
      </c>
      <c r="W2378">
        <v>-1.312868E-2</v>
      </c>
      <c r="X2378">
        <v>0.99917630000000002</v>
      </c>
      <c r="Y2378">
        <v>1.6381039999999999E-2</v>
      </c>
      <c r="Z2378">
        <v>2.8328640000000003E-4</v>
      </c>
      <c r="AA2378">
        <v>0.99986580000000003</v>
      </c>
      <c r="AB2378">
        <v>36</v>
      </c>
      <c r="AC2378">
        <v>-175.49590000000001</v>
      </c>
      <c r="AD2378">
        <v>-1.1215135278870001</v>
      </c>
      <c r="AE2378">
        <v>5.1997999999999802</v>
      </c>
      <c r="AF2378">
        <v>2.88175073788531</v>
      </c>
      <c r="AG2378">
        <v>-1.1215135278870001</v>
      </c>
      <c r="AH2378">
        <v>175.542100130725</v>
      </c>
      <c r="AI2378">
        <v>90.366000298578996</v>
      </c>
      <c r="AJ2378">
        <v>89.059500114899393</v>
      </c>
      <c r="AK2378">
        <v>175.56933444714701</v>
      </c>
      <c r="AL2378">
        <v>90.752239582475397</v>
      </c>
      <c r="AM2378">
        <v>92.200704759139498</v>
      </c>
      <c r="AN2378">
        <v>0.99999997710126798</v>
      </c>
    </row>
    <row r="2379" spans="1:40" x14ac:dyDescent="0.25">
      <c r="A2379" t="str">
        <f>"20190303153820314"</f>
        <v>20190303153820314</v>
      </c>
      <c r="B2379" t="str">
        <f>"1551598700311174"</f>
        <v>1551598700311174</v>
      </c>
      <c r="C2379" t="s">
        <v>40</v>
      </c>
      <c r="D2379">
        <v>4.140682</v>
      </c>
      <c r="E2379">
        <v>0.52023050000000004</v>
      </c>
      <c r="F2379" t="s">
        <v>55</v>
      </c>
      <c r="G2379">
        <v>-459.71</v>
      </c>
      <c r="H2379" s="1">
        <v>3.4769839999999999E-6</v>
      </c>
      <c r="I2379">
        <v>288.12569999999999</v>
      </c>
      <c r="J2379">
        <v>-290.69009999999997</v>
      </c>
      <c r="K2379">
        <v>1.1215139999999999</v>
      </c>
      <c r="L2379">
        <v>283.35019999999997</v>
      </c>
      <c r="M2379">
        <v>-0.999807</v>
      </c>
      <c r="N2379">
        <v>-1.4731930000000001E-2</v>
      </c>
      <c r="O2379">
        <v>1.3000650000000001E-2</v>
      </c>
      <c r="P2379">
        <v>-0.99926219999999999</v>
      </c>
      <c r="Q2379">
        <v>-2.8610300000000002E-2</v>
      </c>
      <c r="R2379">
        <v>-2.5622909999999999E-2</v>
      </c>
      <c r="S2379">
        <v>-3.0036930000000002</v>
      </c>
      <c r="T2379">
        <v>-1.990604E-2</v>
      </c>
      <c r="U2379">
        <v>8.4808350000000005E-2</v>
      </c>
      <c r="V2379">
        <v>-3.8602669999999999E-2</v>
      </c>
      <c r="W2379">
        <v>-1.3922779999999999E-2</v>
      </c>
      <c r="X2379">
        <v>0.99915770000000004</v>
      </c>
      <c r="Y2379">
        <v>1.5223540000000001E-2</v>
      </c>
      <c r="Z2379">
        <v>2.679809E-4</v>
      </c>
      <c r="AA2379">
        <v>0.99988410000000005</v>
      </c>
      <c r="AB2379">
        <v>36</v>
      </c>
      <c r="AC2379">
        <v>-169.01990000000001</v>
      </c>
      <c r="AD2379">
        <v>-1.1215105230159901</v>
      </c>
      <c r="AE2379">
        <v>4.7755000000000196</v>
      </c>
      <c r="AF2379">
        <v>2.5773759818081499</v>
      </c>
      <c r="AG2379">
        <v>-1.1215105230159901</v>
      </c>
      <c r="AH2379">
        <v>169.06026654300999</v>
      </c>
      <c r="AI2379">
        <v>90.380038507164699</v>
      </c>
      <c r="AJ2379">
        <v>89.126575806861197</v>
      </c>
      <c r="AK2379">
        <v>169.08363130829201</v>
      </c>
      <c r="AL2379">
        <v>90.797742259775603</v>
      </c>
      <c r="AM2379">
        <v>92.212534182984299</v>
      </c>
      <c r="AN2379">
        <v>1.0000000597016701</v>
      </c>
    </row>
    <row r="2380" spans="1:40" x14ac:dyDescent="0.25">
      <c r="A2380" t="str">
        <f>"20190303153820333"</f>
        <v>20190303153820333</v>
      </c>
      <c r="B2380" t="str">
        <f>"1551598700320934"</f>
        <v>1551598700320934</v>
      </c>
      <c r="C2380" t="s">
        <v>40</v>
      </c>
      <c r="D2380">
        <v>4.1560230000000002</v>
      </c>
      <c r="E2380">
        <v>0.52020290000000002</v>
      </c>
      <c r="F2380" t="s">
        <v>55</v>
      </c>
      <c r="G2380">
        <v>-443.44889999999998</v>
      </c>
      <c r="H2380" s="1">
        <v>1.6900979999999999E-7</v>
      </c>
      <c r="I2380">
        <v>287.57940000000002</v>
      </c>
      <c r="J2380">
        <v>-291.00450000000001</v>
      </c>
      <c r="K2380">
        <v>1.1215059999999999</v>
      </c>
      <c r="L2380">
        <v>283.35390000000001</v>
      </c>
      <c r="M2380">
        <v>-0.99981100000000001</v>
      </c>
      <c r="N2380">
        <v>-1.472847E-2</v>
      </c>
      <c r="O2380">
        <v>1.270046E-2</v>
      </c>
      <c r="P2380">
        <v>-0.99923770000000001</v>
      </c>
      <c r="Q2380">
        <v>-2.9101350000000002E-2</v>
      </c>
      <c r="R2380">
        <v>-2.6033549999999999E-2</v>
      </c>
      <c r="S2380">
        <v>-3.0037229999999999</v>
      </c>
      <c r="T2380">
        <v>-2.2052530000000001E-2</v>
      </c>
      <c r="U2380">
        <v>8.3160399999999995E-2</v>
      </c>
      <c r="V2380">
        <v>-3.8712450000000002E-2</v>
      </c>
      <c r="W2380">
        <v>-1.4417009999999999E-2</v>
      </c>
      <c r="X2380">
        <v>0.99914639999999999</v>
      </c>
      <c r="Y2380">
        <v>1.49751E-2</v>
      </c>
      <c r="Z2380">
        <v>2.5910100000000003E-4</v>
      </c>
      <c r="AA2380">
        <v>0.99988779999999999</v>
      </c>
      <c r="AB2380">
        <v>36</v>
      </c>
      <c r="AC2380">
        <v>-152.44439999999901</v>
      </c>
      <c r="AD2380">
        <v>-1.1215058309902</v>
      </c>
      <c r="AE2380">
        <v>4.22550000000001</v>
      </c>
      <c r="AF2380">
        <v>2.2887115656682102</v>
      </c>
      <c r="AG2380">
        <v>-1.1215058309902</v>
      </c>
      <c r="AH2380">
        <v>152.477527506097</v>
      </c>
      <c r="AI2380">
        <v>90.421368027068894</v>
      </c>
      <c r="AJ2380">
        <v>89.140045957101904</v>
      </c>
      <c r="AK2380">
        <v>152.498827439205</v>
      </c>
      <c r="AL2380">
        <v>90.826062430623693</v>
      </c>
      <c r="AM2380">
        <v>92.218845075709595</v>
      </c>
      <c r="AN2380">
        <v>1.0000000162976499</v>
      </c>
    </row>
    <row r="2381" spans="1:40" x14ac:dyDescent="0.25">
      <c r="A2381" t="str">
        <f>"20190303153820345"</f>
        <v>20190303153820345</v>
      </c>
      <c r="B2381" t="str">
        <f>"1551598700341430"</f>
        <v>1551598700341430</v>
      </c>
      <c r="C2381" t="s">
        <v>40</v>
      </c>
      <c r="D2381">
        <v>4.163036</v>
      </c>
      <c r="E2381">
        <v>0.52016059999999997</v>
      </c>
      <c r="F2381" t="s">
        <v>57</v>
      </c>
      <c r="G2381">
        <v>-434.6114</v>
      </c>
      <c r="H2381" s="1">
        <v>4.030869E-6</v>
      </c>
      <c r="I2381">
        <v>287.25970000000001</v>
      </c>
      <c r="J2381">
        <v>-291.19639999999998</v>
      </c>
      <c r="K2381">
        <v>1.1215059999999999</v>
      </c>
      <c r="L2381">
        <v>283.35629999999998</v>
      </c>
      <c r="M2381">
        <v>-0.99981310000000001</v>
      </c>
      <c r="N2381">
        <v>-1.4726349999999999E-2</v>
      </c>
      <c r="O2381">
        <v>1.252117E-2</v>
      </c>
      <c r="P2381">
        <v>-0.99922789999999995</v>
      </c>
      <c r="Q2381">
        <v>-2.9348220000000001E-2</v>
      </c>
      <c r="R2381">
        <v>-2.6127290000000001E-2</v>
      </c>
      <c r="S2381">
        <v>-3.0037539999999998</v>
      </c>
      <c r="T2381">
        <v>-2.345788E-2</v>
      </c>
      <c r="U2381">
        <v>8.169556E-2</v>
      </c>
      <c r="V2381">
        <v>-3.862703E-2</v>
      </c>
      <c r="W2381">
        <v>-1.466551E-2</v>
      </c>
      <c r="X2381">
        <v>0.99914599999999998</v>
      </c>
      <c r="Y2381">
        <v>1.4666749999999999E-2</v>
      </c>
      <c r="Z2381">
        <v>2.5190530000000002E-4</v>
      </c>
      <c r="AA2381">
        <v>0.99989240000000001</v>
      </c>
      <c r="AB2381">
        <v>36</v>
      </c>
      <c r="AC2381">
        <v>-143.41499999999999</v>
      </c>
      <c r="AD2381">
        <v>-1.121501969131</v>
      </c>
      <c r="AE2381">
        <v>3.9034000000000302</v>
      </c>
      <c r="AF2381">
        <v>2.1070467297007398</v>
      </c>
      <c r="AG2381">
        <v>-1.121501969131</v>
      </c>
      <c r="AH2381">
        <v>143.44386988596099</v>
      </c>
      <c r="AI2381">
        <v>90.447904044984895</v>
      </c>
      <c r="AJ2381">
        <v>89.158442927769201</v>
      </c>
      <c r="AK2381">
        <v>143.46372789122901</v>
      </c>
      <c r="AL2381">
        <v>90.840302012241196</v>
      </c>
      <c r="AM2381">
        <v>92.213954900763596</v>
      </c>
      <c r="AN2381">
        <v>0.99999992697308704</v>
      </c>
    </row>
    <row r="2382" spans="1:40" x14ac:dyDescent="0.25">
      <c r="A2382" t="str">
        <f>"20190303153820358"</f>
        <v>20190303153820358</v>
      </c>
      <c r="B2382" t="str">
        <f>"1551598700351190"</f>
        <v>1551598700351190</v>
      </c>
      <c r="C2382" t="s">
        <v>40</v>
      </c>
      <c r="D2382">
        <v>4.1607510000000003</v>
      </c>
      <c r="E2382">
        <v>0.52014799999999894</v>
      </c>
      <c r="F2382" t="s">
        <v>57</v>
      </c>
      <c r="G2382">
        <v>-432.93360000000001</v>
      </c>
      <c r="H2382" s="1">
        <v>3.2935689999999999E-6</v>
      </c>
      <c r="I2382">
        <v>287.18239999999997</v>
      </c>
      <c r="J2382">
        <v>-291.38130000000001</v>
      </c>
      <c r="K2382">
        <v>1.1214999999999999</v>
      </c>
      <c r="L2382">
        <v>283.35840000000002</v>
      </c>
      <c r="M2382">
        <v>-0.99981540000000002</v>
      </c>
      <c r="N2382">
        <v>-1.4724269999999999E-2</v>
      </c>
      <c r="O2382">
        <v>1.235141E-2</v>
      </c>
      <c r="P2382">
        <v>-0.99924380000000002</v>
      </c>
      <c r="Q2382">
        <v>-2.8721480000000001E-2</v>
      </c>
      <c r="R2382">
        <v>-2.621646E-2</v>
      </c>
      <c r="S2382">
        <v>-3.003784</v>
      </c>
      <c r="T2382">
        <v>-2.3767590000000002E-2</v>
      </c>
      <c r="U2382">
        <v>8.1085210000000005E-2</v>
      </c>
      <c r="V2382">
        <v>-3.8547339999999999E-2</v>
      </c>
      <c r="W2382">
        <v>-1.404007E-2</v>
      </c>
      <c r="X2382">
        <v>0.99915810000000005</v>
      </c>
      <c r="Y2382">
        <v>1.4633190000000001E-2</v>
      </c>
      <c r="Z2382">
        <v>2.4979309999999998E-4</v>
      </c>
      <c r="AA2382">
        <v>0.99989289999999997</v>
      </c>
      <c r="AB2382">
        <v>36</v>
      </c>
      <c r="AC2382">
        <v>-141.5523</v>
      </c>
      <c r="AD2382">
        <v>-1.121496706431</v>
      </c>
      <c r="AE2382">
        <v>3.8239999999999501</v>
      </c>
      <c r="AF2382">
        <v>2.0750181986044298</v>
      </c>
      <c r="AG2382">
        <v>-1.121496706431</v>
      </c>
      <c r="AH2382">
        <v>141.57985604492299</v>
      </c>
      <c r="AI2382">
        <v>90.453798909798905</v>
      </c>
      <c r="AJ2382">
        <v>89.160323530672798</v>
      </c>
      <c r="AK2382">
        <v>141.59950244647101</v>
      </c>
      <c r="AL2382">
        <v>90.804463214565402</v>
      </c>
      <c r="AM2382">
        <v>92.209365173621293</v>
      </c>
      <c r="AN2382">
        <v>0.99999996489114396</v>
      </c>
    </row>
    <row r="2383" spans="1:40" x14ac:dyDescent="0.25">
      <c r="A2383" t="str">
        <f>"20190303153820369"</f>
        <v>20190303153820369</v>
      </c>
      <c r="B2383" t="str">
        <f>"1551598700360950"</f>
        <v>1551598700360950</v>
      </c>
      <c r="C2383" t="s">
        <v>40</v>
      </c>
      <c r="D2383">
        <v>4.1676469999999997</v>
      </c>
      <c r="E2383">
        <v>0.52012530000000001</v>
      </c>
      <c r="F2383" t="s">
        <v>55</v>
      </c>
      <c r="G2383">
        <v>-446.43110000000001</v>
      </c>
      <c r="H2383" s="1">
        <v>1.7584979999999999E-6</v>
      </c>
      <c r="I2383">
        <v>287.52190000000002</v>
      </c>
      <c r="J2383">
        <v>-291.57690000000002</v>
      </c>
      <c r="K2383">
        <v>1.1214980000000001</v>
      </c>
      <c r="L2383">
        <v>283.36070000000001</v>
      </c>
      <c r="M2383">
        <v>-0.99981750000000003</v>
      </c>
      <c r="N2383">
        <v>-1.472206E-2</v>
      </c>
      <c r="O2383">
        <v>1.21741E-2</v>
      </c>
      <c r="P2383">
        <v>-0.99925520000000001</v>
      </c>
      <c r="Q2383">
        <v>-2.822156E-2</v>
      </c>
      <c r="R2383">
        <v>-2.6315700000000001E-2</v>
      </c>
      <c r="S2383">
        <v>-3.0037539999999998</v>
      </c>
      <c r="T2383">
        <v>-2.172661E-2</v>
      </c>
      <c r="U2383">
        <v>8.0657960000000001E-2</v>
      </c>
      <c r="V2383">
        <v>-3.8470419999999998E-2</v>
      </c>
      <c r="W2383">
        <v>-1.3541600000000001E-2</v>
      </c>
      <c r="X2383">
        <v>0.99916799999999995</v>
      </c>
      <c r="Y2383">
        <v>1.4668870000000001E-2</v>
      </c>
      <c r="Z2383">
        <v>2.5223189999999999E-4</v>
      </c>
      <c r="AA2383">
        <v>0.99989240000000001</v>
      </c>
      <c r="AB2383">
        <v>36</v>
      </c>
      <c r="AC2383">
        <v>-154.85419999999999</v>
      </c>
      <c r="AD2383">
        <v>-1.12149624150199</v>
      </c>
      <c r="AE2383">
        <v>4.1612</v>
      </c>
      <c r="AF2383">
        <v>2.2753574344843699</v>
      </c>
      <c r="AG2383">
        <v>-1.12149624150199</v>
      </c>
      <c r="AH2383">
        <v>154.885268123662</v>
      </c>
      <c r="AI2383">
        <v>90.414816379371004</v>
      </c>
      <c r="AJ2383">
        <v>89.158351196048301</v>
      </c>
      <c r="AK2383">
        <v>154.906040188925</v>
      </c>
      <c r="AL2383">
        <v>90.775900226866398</v>
      </c>
      <c r="AM2383">
        <v>92.204938985387102</v>
      </c>
      <c r="AN2383">
        <v>1.0000000201847601</v>
      </c>
    </row>
    <row r="2384" spans="1:40" x14ac:dyDescent="0.25">
      <c r="A2384" t="str">
        <f>"20190303153820381"</f>
        <v>20190303153820381</v>
      </c>
      <c r="B2384" t="str">
        <f>"1551598700370710"</f>
        <v>1551598700370710</v>
      </c>
      <c r="C2384" t="s">
        <v>40</v>
      </c>
      <c r="D2384">
        <v>4.1345640000000001</v>
      </c>
      <c r="E2384">
        <v>0.52011200000000002</v>
      </c>
      <c r="F2384" t="s">
        <v>55</v>
      </c>
      <c r="G2384">
        <v>-459.60989999999998</v>
      </c>
      <c r="H2384" s="1">
        <v>3.4360359999999902E-6</v>
      </c>
      <c r="I2384">
        <v>287.84370000000001</v>
      </c>
      <c r="J2384">
        <v>-291.76769999999999</v>
      </c>
      <c r="K2384">
        <v>1.1214959999999901</v>
      </c>
      <c r="L2384">
        <v>283.36279999999999</v>
      </c>
      <c r="M2384">
        <v>-0.99981960000000003</v>
      </c>
      <c r="N2384">
        <v>-1.4719909999999999E-2</v>
      </c>
      <c r="O2384">
        <v>1.200734E-2</v>
      </c>
      <c r="P2384">
        <v>-0.99926789999999999</v>
      </c>
      <c r="Q2384">
        <v>-2.7853030000000001E-2</v>
      </c>
      <c r="R2384">
        <v>-2.6239490000000001E-2</v>
      </c>
      <c r="S2384">
        <v>-3.003784</v>
      </c>
      <c r="T2384">
        <v>-2.004802E-2</v>
      </c>
      <c r="U2384">
        <v>8.0139160000000001E-2</v>
      </c>
      <c r="V2384">
        <v>-3.8227629999999999E-2</v>
      </c>
      <c r="W2384">
        <v>-1.317423E-2</v>
      </c>
      <c r="X2384">
        <v>0.99918220000000002</v>
      </c>
      <c r="Y2384">
        <v>1.4662959999999999E-2</v>
      </c>
      <c r="Z2384">
        <v>2.5348820000000002E-4</v>
      </c>
      <c r="AA2384">
        <v>0.99989249999999996</v>
      </c>
      <c r="AB2384">
        <v>35</v>
      </c>
      <c r="AC2384">
        <v>-167.84219999999999</v>
      </c>
      <c r="AD2384">
        <v>-1.1214925639640001</v>
      </c>
      <c r="AE2384">
        <v>4.4809000000000196</v>
      </c>
      <c r="AF2384">
        <v>2.46491027723807</v>
      </c>
      <c r="AG2384">
        <v>-1.1214925639640001</v>
      </c>
      <c r="AH2384">
        <v>167.87641722459401</v>
      </c>
      <c r="AI2384">
        <v>90.382715516693693</v>
      </c>
      <c r="AJ2384">
        <v>89.158793055256496</v>
      </c>
      <c r="AK2384">
        <v>167.89825784805399</v>
      </c>
      <c r="AL2384">
        <v>90.754849620970205</v>
      </c>
      <c r="AM2384">
        <v>92.191005930774494</v>
      </c>
      <c r="AN2384">
        <v>0.99999999041417498</v>
      </c>
    </row>
    <row r="2385" spans="1:40" x14ac:dyDescent="0.25">
      <c r="A2385" t="str">
        <f>"20190303153820394"</f>
        <v>20190303153820394</v>
      </c>
      <c r="B2385" t="str">
        <f>"1551598700391207"</f>
        <v>1551598700391207</v>
      </c>
      <c r="C2385" t="s">
        <v>40</v>
      </c>
      <c r="D2385">
        <v>4.1270769999999999</v>
      </c>
      <c r="E2385">
        <v>0.52008889999999997</v>
      </c>
      <c r="F2385" t="s">
        <v>51</v>
      </c>
      <c r="G2385">
        <v>-471.9633</v>
      </c>
      <c r="H2385" s="1">
        <v>6.0548029999999999E-6</v>
      </c>
      <c r="I2385">
        <v>288.17759999999998</v>
      </c>
      <c r="J2385">
        <v>-291.95670000000001</v>
      </c>
      <c r="K2385">
        <v>1.1214930000000001</v>
      </c>
      <c r="L2385">
        <v>283.36489999999998</v>
      </c>
      <c r="M2385">
        <v>-0.99982170000000004</v>
      </c>
      <c r="N2385">
        <v>-1.471746E-2</v>
      </c>
      <c r="O2385">
        <v>1.1844820000000001E-2</v>
      </c>
      <c r="P2385">
        <v>-0.9992934</v>
      </c>
      <c r="Q2385">
        <v>-2.6974069999999999E-2</v>
      </c>
      <c r="R2385">
        <v>-2.6183479999999999E-2</v>
      </c>
      <c r="S2385">
        <v>-3.003784</v>
      </c>
      <c r="T2385">
        <v>-1.8694760000000001E-2</v>
      </c>
      <c r="U2385">
        <v>8.0261230000000003E-2</v>
      </c>
      <c r="V2385">
        <v>-3.8010309999999999E-2</v>
      </c>
      <c r="W2385">
        <v>-1.2296639999999999E-2</v>
      </c>
      <c r="X2385">
        <v>0.99920169999999997</v>
      </c>
      <c r="Y2385">
        <v>1.4866219999999999E-2</v>
      </c>
      <c r="Z2385">
        <v>2.562938E-4</v>
      </c>
      <c r="AA2385">
        <v>0.99988940000000004</v>
      </c>
      <c r="AB2385">
        <v>35</v>
      </c>
      <c r="AC2385">
        <v>-180.00659999999999</v>
      </c>
      <c r="AD2385">
        <v>-1.121486945197</v>
      </c>
      <c r="AE2385">
        <v>4.8127000000000004</v>
      </c>
      <c r="AF2385">
        <v>2.6798819854601601</v>
      </c>
      <c r="AG2385">
        <v>-1.121486945197</v>
      </c>
      <c r="AH2385">
        <v>180.04399750562601</v>
      </c>
      <c r="AI2385">
        <v>90.356849003631297</v>
      </c>
      <c r="AJ2385">
        <v>89.147238499657306</v>
      </c>
      <c r="AK2385">
        <v>180.06743330827501</v>
      </c>
      <c r="AL2385">
        <v>90.704563320840506</v>
      </c>
      <c r="AM2385">
        <v>92.178519856747201</v>
      </c>
      <c r="AN2385">
        <v>1.0000000141522301</v>
      </c>
    </row>
    <row r="2386" spans="1:40" x14ac:dyDescent="0.25">
      <c r="A2386" t="str">
        <f>"20190303153820406"</f>
        <v>20190303153820406</v>
      </c>
      <c r="B2386" t="str">
        <f>"1551598700400967"</f>
        <v>1551598700400967</v>
      </c>
      <c r="C2386" t="s">
        <v>40</v>
      </c>
      <c r="D2386">
        <v>4.1330489999999998</v>
      </c>
      <c r="E2386">
        <v>0.52007209999999904</v>
      </c>
      <c r="F2386" t="s">
        <v>51</v>
      </c>
      <c r="G2386">
        <v>-499.95780000000002</v>
      </c>
      <c r="H2386">
        <v>3.9727329999999998E-2</v>
      </c>
      <c r="I2386">
        <v>288.92270000000002</v>
      </c>
      <c r="J2386">
        <v>-292.16199999999998</v>
      </c>
      <c r="K2386">
        <v>1.1214900000000001</v>
      </c>
      <c r="L2386">
        <v>283.36720000000003</v>
      </c>
      <c r="M2386">
        <v>-0.99982369999999998</v>
      </c>
      <c r="N2386">
        <v>-1.471419E-2</v>
      </c>
      <c r="O2386">
        <v>1.167236E-2</v>
      </c>
      <c r="P2386">
        <v>-0.99930640000000004</v>
      </c>
      <c r="Q2386">
        <v>-2.6516479999999999E-2</v>
      </c>
      <c r="R2386">
        <v>-2.6146099999999999E-2</v>
      </c>
      <c r="S2386">
        <v>-3.0038149999999999</v>
      </c>
      <c r="T2386">
        <v>-1.562214E-2</v>
      </c>
      <c r="U2386">
        <v>8.0261230000000003E-2</v>
      </c>
      <c r="V2386">
        <v>-3.7801349999999997E-2</v>
      </c>
      <c r="W2386">
        <v>-1.1841320000000001E-2</v>
      </c>
      <c r="X2386">
        <v>0.99921510000000002</v>
      </c>
      <c r="Y2386">
        <v>1.503871E-2</v>
      </c>
      <c r="Z2386">
        <v>2.6081809999999999E-4</v>
      </c>
      <c r="AA2386">
        <v>0.99988690000000002</v>
      </c>
      <c r="AB2386">
        <v>35</v>
      </c>
      <c r="AC2386">
        <v>-207.79580000000001</v>
      </c>
      <c r="AD2386">
        <v>-1.08176266999999</v>
      </c>
      <c r="AE2386">
        <v>5.5554999999999897</v>
      </c>
      <c r="AF2386">
        <v>3.1293069345146001</v>
      </c>
      <c r="AG2386">
        <v>-1.08176266999999</v>
      </c>
      <c r="AH2386">
        <v>207.840865062967</v>
      </c>
      <c r="AI2386">
        <v>90.298174528478896</v>
      </c>
      <c r="AJ2386">
        <v>89.137404794468495</v>
      </c>
      <c r="AK2386">
        <v>207.86723638536</v>
      </c>
      <c r="AL2386">
        <v>90.678473524549702</v>
      </c>
      <c r="AM2386">
        <v>92.166525957676896</v>
      </c>
      <c r="AN2386">
        <v>0.99999998749458696</v>
      </c>
    </row>
    <row r="2387" spans="1:40" x14ac:dyDescent="0.25">
      <c r="A2387" t="str">
        <f>"20190303153820422"</f>
        <v>20190303153820422</v>
      </c>
      <c r="B2387" t="str">
        <f>"1551598700410726"</f>
        <v>1551598700410726</v>
      </c>
      <c r="C2387" t="s">
        <v>40</v>
      </c>
      <c r="D2387">
        <v>4.1560930000000003</v>
      </c>
      <c r="E2387">
        <v>0.52005179999999995</v>
      </c>
      <c r="F2387" t="s">
        <v>43</v>
      </c>
      <c r="G2387">
        <v>-540.3818</v>
      </c>
      <c r="H2387">
        <v>-0.05</v>
      </c>
      <c r="I2387">
        <v>289.98939999999999</v>
      </c>
      <c r="J2387">
        <v>-292.40660000000003</v>
      </c>
      <c r="K2387">
        <v>1.121483</v>
      </c>
      <c r="L2387">
        <v>283.36989999999997</v>
      </c>
      <c r="M2387">
        <v>-0.99982610000000005</v>
      </c>
      <c r="N2387">
        <v>-1.470164E-2</v>
      </c>
      <c r="O2387">
        <v>1.1476170000000001E-2</v>
      </c>
      <c r="P2387">
        <v>-0.9993303</v>
      </c>
      <c r="Q2387">
        <v>-2.5749709999999999E-2</v>
      </c>
      <c r="R2387">
        <v>-2.6002029999999999E-2</v>
      </c>
      <c r="S2387">
        <v>-3.0038450000000001</v>
      </c>
      <c r="T2387">
        <v>-1.417685E-2</v>
      </c>
      <c r="U2387">
        <v>8.0139160000000001E-2</v>
      </c>
      <c r="V2387">
        <v>-3.746244E-2</v>
      </c>
      <c r="W2387">
        <v>-1.1085670000000001E-2</v>
      </c>
      <c r="X2387">
        <v>0.99923649999999997</v>
      </c>
      <c r="Y2387">
        <v>1.519416E-2</v>
      </c>
      <c r="Z2387">
        <v>2.6212559999999998E-4</v>
      </c>
      <c r="AA2387">
        <v>0.99988449999999995</v>
      </c>
      <c r="AB2387">
        <v>35</v>
      </c>
      <c r="AC2387">
        <v>-247.9752</v>
      </c>
      <c r="AD2387">
        <v>-1.1714830000000001</v>
      </c>
      <c r="AE2387">
        <v>6.6195000000000102</v>
      </c>
      <c r="AF2387">
        <v>3.7728668026885099</v>
      </c>
      <c r="AG2387">
        <v>-1.1714830000000001</v>
      </c>
      <c r="AH2387">
        <v>248.029309595374</v>
      </c>
      <c r="AI2387">
        <v>90.270584023956204</v>
      </c>
      <c r="AJ2387">
        <v>89.128519632304204</v>
      </c>
      <c r="AK2387">
        <v>248.06076939872599</v>
      </c>
      <c r="AL2387">
        <v>90.635175142960406</v>
      </c>
      <c r="AM2387">
        <v>92.147074176494201</v>
      </c>
      <c r="AN2387">
        <v>0.99999995471117498</v>
      </c>
    </row>
    <row r="2388" spans="1:40" x14ac:dyDescent="0.25">
      <c r="A2388" t="str">
        <f>"20190303153820435"</f>
        <v>20190303153820435</v>
      </c>
      <c r="B2388" t="str">
        <f>"1551598700431222"</f>
        <v>1551598700431222</v>
      </c>
      <c r="C2388" t="s">
        <v>40</v>
      </c>
      <c r="D2388">
        <v>4.10989</v>
      </c>
      <c r="E2388">
        <v>0.52001830000000004</v>
      </c>
      <c r="F2388" t="s">
        <v>46</v>
      </c>
      <c r="G2388">
        <v>0</v>
      </c>
      <c r="H2388">
        <v>0</v>
      </c>
      <c r="I2388">
        <v>0</v>
      </c>
      <c r="J2388">
        <v>-292.60300000000001</v>
      </c>
      <c r="K2388">
        <v>1.1214740000000001</v>
      </c>
      <c r="L2388">
        <v>283.37189999999998</v>
      </c>
      <c r="M2388">
        <v>-0.99982800000000005</v>
      </c>
      <c r="N2388">
        <v>-1.468732E-2</v>
      </c>
      <c r="O2388">
        <v>1.1323730000000001E-2</v>
      </c>
      <c r="P2388">
        <v>-0.99933930000000004</v>
      </c>
      <c r="Q2388">
        <v>-2.562762E-2</v>
      </c>
      <c r="R2388">
        <v>-2.5770769999999998E-2</v>
      </c>
      <c r="S2388">
        <v>-3.0038149999999999</v>
      </c>
      <c r="T2388">
        <v>-1.1845110000000001E-2</v>
      </c>
      <c r="U2388">
        <v>8.0444340000000003E-2</v>
      </c>
      <c r="V2388">
        <v>-3.7079870000000001E-2</v>
      </c>
      <c r="W2388">
        <v>-1.0976710000000001E-2</v>
      </c>
      <c r="X2388">
        <v>0.99925200000000003</v>
      </c>
      <c r="Y2388">
        <v>1.544861E-2</v>
      </c>
      <c r="Z2388">
        <v>2.655941E-4</v>
      </c>
      <c r="AA2388">
        <v>0.99988060000000001</v>
      </c>
      <c r="AB2388">
        <v>35</v>
      </c>
      <c r="AC2388">
        <v>-3.0038149999999999</v>
      </c>
      <c r="AD2388">
        <v>-1.1845110000000001E-2</v>
      </c>
      <c r="AE2388">
        <v>8.0444340000000003E-2</v>
      </c>
      <c r="AF2388">
        <v>4.6420400020279202E-2</v>
      </c>
      <c r="AG2388">
        <v>-1.1845110000000001E-2</v>
      </c>
      <c r="AH2388">
        <v>3.0044867092073502</v>
      </c>
      <c r="AI2388">
        <v>90.225858980798805</v>
      </c>
      <c r="AJ2388">
        <v>89.114830033478299</v>
      </c>
      <c r="AK2388">
        <v>3.0048686403855598</v>
      </c>
      <c r="AL2388">
        <v>90.628931797363407</v>
      </c>
      <c r="AM2388">
        <v>92.125135324298995</v>
      </c>
      <c r="AN2388">
        <v>0.99999998221282005</v>
      </c>
    </row>
    <row r="2389" spans="1:40" x14ac:dyDescent="0.25">
      <c r="A2389" t="str">
        <f>"20190303153820445"</f>
        <v>20190303153820445</v>
      </c>
      <c r="B2389" t="str">
        <f>"1551598700440982"</f>
        <v>1551598700440982</v>
      </c>
      <c r="C2389" t="s">
        <v>40</v>
      </c>
      <c r="D2389">
        <v>4.1428419999999999</v>
      </c>
      <c r="E2389">
        <v>0.52000119999999905</v>
      </c>
      <c r="F2389" t="s">
        <v>46</v>
      </c>
      <c r="G2389">
        <v>0</v>
      </c>
      <c r="H2389">
        <v>0</v>
      </c>
      <c r="I2389">
        <v>0</v>
      </c>
      <c r="J2389">
        <v>-292.7894</v>
      </c>
      <c r="K2389">
        <v>1.1214599999999999</v>
      </c>
      <c r="L2389">
        <v>283.37389999999999</v>
      </c>
      <c r="M2389">
        <v>-0.99982990000000005</v>
      </c>
      <c r="N2389">
        <v>-1.467007E-2</v>
      </c>
      <c r="O2389">
        <v>1.118425E-2</v>
      </c>
      <c r="P2389">
        <v>-0.99934639999999997</v>
      </c>
      <c r="Q2389">
        <v>-2.550767E-2</v>
      </c>
      <c r="R2389">
        <v>-2.5617060000000001E-2</v>
      </c>
      <c r="S2389">
        <v>-3.0038149999999999</v>
      </c>
      <c r="T2389">
        <v>-1.120377E-2</v>
      </c>
      <c r="U2389">
        <v>8.0963129999999994E-2</v>
      </c>
      <c r="V2389">
        <v>-3.6786399999999997E-2</v>
      </c>
      <c r="W2389">
        <v>-1.08729E-2</v>
      </c>
      <c r="X2389">
        <v>0.99926400000000004</v>
      </c>
      <c r="Y2389">
        <v>1.5760710000000001E-2</v>
      </c>
      <c r="Z2389">
        <v>2.6737910000000002E-4</v>
      </c>
      <c r="AA2389">
        <v>0.99987579999999998</v>
      </c>
      <c r="AB2389">
        <v>35</v>
      </c>
      <c r="AC2389">
        <v>-3.0038149999999999</v>
      </c>
      <c r="AD2389">
        <v>-1.120377E-2</v>
      </c>
      <c r="AE2389">
        <v>8.0963129999999994E-2</v>
      </c>
      <c r="AF2389">
        <v>4.7358375247917903E-2</v>
      </c>
      <c r="AG2389">
        <v>-1.120377E-2</v>
      </c>
      <c r="AH2389">
        <v>3.00449092580569</v>
      </c>
      <c r="AI2389">
        <v>90.213628879594793</v>
      </c>
      <c r="AJ2389">
        <v>89.0969484007327</v>
      </c>
      <c r="AK2389">
        <v>3.0048850333110999</v>
      </c>
      <c r="AL2389">
        <v>90.622983556054194</v>
      </c>
      <c r="AM2389">
        <v>92.108305805754497</v>
      </c>
      <c r="AN2389">
        <v>1.0000000004376799</v>
      </c>
    </row>
    <row r="2390" spans="1:40" x14ac:dyDescent="0.25">
      <c r="A2390" t="str">
        <f>"20190303153820457"</f>
        <v>20190303153820457</v>
      </c>
      <c r="B2390" t="str">
        <f>"1551598700451719"</f>
        <v>1551598700451719</v>
      </c>
      <c r="C2390" t="s">
        <v>40</v>
      </c>
      <c r="D2390">
        <v>4.1181970000000003</v>
      </c>
      <c r="E2390">
        <v>0.51997879999999996</v>
      </c>
      <c r="F2390" t="s">
        <v>46</v>
      </c>
      <c r="G2390">
        <v>0</v>
      </c>
      <c r="H2390">
        <v>0</v>
      </c>
      <c r="I2390">
        <v>0</v>
      </c>
      <c r="J2390">
        <v>-292.96100000000001</v>
      </c>
      <c r="K2390">
        <v>1.121451</v>
      </c>
      <c r="L2390">
        <v>283.37569999999999</v>
      </c>
      <c r="M2390">
        <v>-0.99983160000000004</v>
      </c>
      <c r="N2390">
        <v>-1.46529E-2</v>
      </c>
      <c r="O2390">
        <v>1.1061619999999999E-2</v>
      </c>
      <c r="P2390">
        <v>-0.99935359999999995</v>
      </c>
      <c r="Q2390">
        <v>-2.5410410000000001E-2</v>
      </c>
      <c r="R2390">
        <v>-2.542902E-2</v>
      </c>
      <c r="S2390">
        <v>-3.0037539999999998</v>
      </c>
      <c r="T2390">
        <v>-1.056314E-2</v>
      </c>
      <c r="U2390">
        <v>8.1207280000000007E-2</v>
      </c>
      <c r="V2390">
        <v>-3.6476710000000002E-2</v>
      </c>
      <c r="W2390">
        <v>-1.0791749999999999E-2</v>
      </c>
      <c r="X2390">
        <v>0.99927619999999895</v>
      </c>
      <c r="Y2390">
        <v>1.5965150000000001E-2</v>
      </c>
      <c r="Z2390">
        <v>2.6824740000000002E-4</v>
      </c>
      <c r="AA2390">
        <v>0.99987250000000005</v>
      </c>
      <c r="AB2390">
        <v>35</v>
      </c>
      <c r="AC2390">
        <v>-3.0037539999999998</v>
      </c>
      <c r="AD2390">
        <v>-1.056314E-2</v>
      </c>
      <c r="AE2390">
        <v>8.1207280000000007E-2</v>
      </c>
      <c r="AF2390">
        <v>4.7971769754282398E-2</v>
      </c>
      <c r="AG2390">
        <v>-1.056314E-2</v>
      </c>
      <c r="AH2390">
        <v>3.0044314384640001</v>
      </c>
      <c r="AI2390">
        <v>90.201417048567194</v>
      </c>
      <c r="AJ2390">
        <v>89.0852357740239</v>
      </c>
      <c r="AK2390">
        <v>3.0048329635856401</v>
      </c>
      <c r="AL2390">
        <v>90.6183337507548</v>
      </c>
      <c r="AM2390">
        <v>92.090547136660703</v>
      </c>
      <c r="AN2390">
        <v>0.99999996806346203</v>
      </c>
    </row>
    <row r="2391" spans="1:40" x14ac:dyDescent="0.25">
      <c r="A2391" t="str">
        <f>"20190303153820470"</f>
        <v>20190303153820470</v>
      </c>
      <c r="B2391" t="str">
        <f>"1551598700461478"</f>
        <v>1551598700461478</v>
      </c>
      <c r="C2391" t="s">
        <v>40</v>
      </c>
      <c r="D2391">
        <v>4.0913510000000004</v>
      </c>
      <c r="E2391">
        <v>0.51995959999999997</v>
      </c>
      <c r="F2391" t="s">
        <v>46</v>
      </c>
      <c r="G2391">
        <v>0</v>
      </c>
      <c r="H2391">
        <v>0</v>
      </c>
      <c r="I2391">
        <v>0</v>
      </c>
      <c r="J2391">
        <v>-293.16879999999998</v>
      </c>
      <c r="K2391">
        <v>1.1214379999999999</v>
      </c>
      <c r="L2391">
        <v>283.37790000000001</v>
      </c>
      <c r="M2391">
        <v>-0.99983350000000004</v>
      </c>
      <c r="N2391">
        <v>-1.463184E-2</v>
      </c>
      <c r="O2391">
        <v>1.091628E-2</v>
      </c>
      <c r="P2391">
        <v>-0.99935810000000003</v>
      </c>
      <c r="Q2391">
        <v>-2.532922E-2</v>
      </c>
      <c r="R2391">
        <v>-2.5342650000000001E-2</v>
      </c>
      <c r="S2391">
        <v>-3.0037539999999998</v>
      </c>
      <c r="T2391">
        <v>-1.0037539999999999E-2</v>
      </c>
      <c r="U2391">
        <v>8.1542970000000006E-2</v>
      </c>
      <c r="V2391">
        <v>-3.6245159999999998E-2</v>
      </c>
      <c r="W2391">
        <v>-1.073052E-2</v>
      </c>
      <c r="X2391">
        <v>0.99928530000000004</v>
      </c>
      <c r="Y2391">
        <v>1.6222190000000001E-2</v>
      </c>
      <c r="Z2391">
        <v>2.6905400000000002E-4</v>
      </c>
      <c r="AA2391">
        <v>0.99986839999999999</v>
      </c>
      <c r="AB2391">
        <v>35</v>
      </c>
      <c r="AC2391">
        <v>-3.0037539999999998</v>
      </c>
      <c r="AD2391">
        <v>-1.0037539999999999E-2</v>
      </c>
      <c r="AE2391">
        <v>8.1542970000000006E-2</v>
      </c>
      <c r="AF2391">
        <v>4.8744240736946602E-2</v>
      </c>
      <c r="AG2391">
        <v>-1.0037539999999999E-2</v>
      </c>
      <c r="AH2391">
        <v>3.0044317010745201</v>
      </c>
      <c r="AI2391">
        <v>90.191394220734296</v>
      </c>
      <c r="AJ2391">
        <v>89.070508322074502</v>
      </c>
      <c r="AK2391">
        <v>3.0048438561156199</v>
      </c>
      <c r="AL2391">
        <v>90.614825317584405</v>
      </c>
      <c r="AM2391">
        <v>92.077269344428601</v>
      </c>
      <c r="AN2391">
        <v>0.99999998323949202</v>
      </c>
    </row>
    <row r="2392" spans="1:40" x14ac:dyDescent="0.25">
      <c r="A2392" t="str">
        <f>"20190303153820483"</f>
        <v>20190303153820483</v>
      </c>
      <c r="B2392" t="str">
        <f>"1551598700480998"</f>
        <v>1551598700480998</v>
      </c>
      <c r="C2392" t="s">
        <v>40</v>
      </c>
      <c r="D2392">
        <v>4.126741</v>
      </c>
      <c r="E2392">
        <v>0.5199317</v>
      </c>
      <c r="F2392" t="s">
        <v>46</v>
      </c>
      <c r="G2392">
        <v>0</v>
      </c>
      <c r="H2392">
        <v>0</v>
      </c>
      <c r="I2392">
        <v>0</v>
      </c>
      <c r="J2392">
        <v>-293.38529999999997</v>
      </c>
      <c r="K2392">
        <v>1.121424</v>
      </c>
      <c r="L2392">
        <v>283.38010000000003</v>
      </c>
      <c r="M2392">
        <v>-0.99983520000000004</v>
      </c>
      <c r="N2392">
        <v>-1.4613009999999999E-2</v>
      </c>
      <c r="O2392">
        <v>1.077326E-2</v>
      </c>
      <c r="P2392">
        <v>-0.99935560000000001</v>
      </c>
      <c r="Q2392">
        <v>-2.5401509999999999E-2</v>
      </c>
      <c r="R2392">
        <v>-2.5363210000000001E-2</v>
      </c>
      <c r="S2392">
        <v>-3.0037229999999999</v>
      </c>
      <c r="T2392">
        <v>-9.5611810000000002E-3</v>
      </c>
      <c r="U2392">
        <v>8.169556E-2</v>
      </c>
      <c r="V2392">
        <v>-3.6122660000000001E-2</v>
      </c>
      <c r="W2392">
        <v>-1.0820679999999999E-2</v>
      </c>
      <c r="X2392">
        <v>0.99928879999999998</v>
      </c>
      <c r="Y2392">
        <v>1.6416279999999998E-2</v>
      </c>
      <c r="Z2392">
        <v>2.6923259999999999E-4</v>
      </c>
      <c r="AA2392">
        <v>0.99986520000000001</v>
      </c>
      <c r="AB2392">
        <v>35</v>
      </c>
      <c r="AC2392">
        <v>-3.0037229999999999</v>
      </c>
      <c r="AD2392">
        <v>-9.5611810000000002E-3</v>
      </c>
      <c r="AE2392">
        <v>8.169556E-2</v>
      </c>
      <c r="AF2392">
        <v>4.9326974532340702E-2</v>
      </c>
      <c r="AG2392">
        <v>-9.5611810000000002E-3</v>
      </c>
      <c r="AH2392">
        <v>3.0043984498146399</v>
      </c>
      <c r="AI2392">
        <v>90.182312585913394</v>
      </c>
      <c r="AJ2392">
        <v>89.059387894092893</v>
      </c>
      <c r="AK2392">
        <v>3.0048185655455502</v>
      </c>
      <c r="AL2392">
        <v>90.619991382455893</v>
      </c>
      <c r="AM2392">
        <v>92.070247543958104</v>
      </c>
      <c r="AN2392">
        <v>1.0000000197432799</v>
      </c>
    </row>
    <row r="2393" spans="1:40" x14ac:dyDescent="0.25">
      <c r="A2393" t="str">
        <f>"20190303153820502"</f>
        <v>20190303153820502</v>
      </c>
      <c r="B2393" t="str">
        <f>"1551598700490758"</f>
        <v>1551598700490758</v>
      </c>
      <c r="C2393" t="s">
        <v>40</v>
      </c>
      <c r="D2393">
        <v>4.1246010000000002</v>
      </c>
      <c r="E2393">
        <v>0.51991769999999904</v>
      </c>
      <c r="F2393" t="s">
        <v>46</v>
      </c>
      <c r="G2393">
        <v>0</v>
      </c>
      <c r="H2393">
        <v>0</v>
      </c>
      <c r="I2393">
        <v>0</v>
      </c>
      <c r="J2393">
        <v>-293.6617</v>
      </c>
      <c r="K2393">
        <v>1.121407</v>
      </c>
      <c r="L2393">
        <v>283.38290000000001</v>
      </c>
      <c r="M2393">
        <v>-0.99983739999999999</v>
      </c>
      <c r="N2393">
        <v>-1.4594620000000001E-2</v>
      </c>
      <c r="O2393">
        <v>1.0597850000000001E-2</v>
      </c>
      <c r="P2393">
        <v>-0.99934670000000003</v>
      </c>
      <c r="Q2393">
        <v>-2.5588E-2</v>
      </c>
      <c r="R2393">
        <v>-2.553105E-2</v>
      </c>
      <c r="S2393">
        <v>-3.0037539999999998</v>
      </c>
      <c r="T2393">
        <v>-9.5134969999999992E-3</v>
      </c>
      <c r="U2393">
        <v>8.1359860000000006E-2</v>
      </c>
      <c r="V2393">
        <v>-3.6115910000000001E-2</v>
      </c>
      <c r="W2393">
        <v>-1.1024529999999999E-2</v>
      </c>
      <c r="X2393">
        <v>0.99928680000000003</v>
      </c>
      <c r="Y2393">
        <v>1.647974E-2</v>
      </c>
      <c r="Z2393">
        <v>2.6748350000000001E-4</v>
      </c>
      <c r="AA2393">
        <v>0.99986419999999998</v>
      </c>
      <c r="AB2393">
        <v>35</v>
      </c>
      <c r="AC2393">
        <v>-3.0037539999999998</v>
      </c>
      <c r="AD2393">
        <v>-9.5134969999999992E-3</v>
      </c>
      <c r="AE2393">
        <v>8.1359860000000006E-2</v>
      </c>
      <c r="AF2393">
        <v>4.9518070717972901E-2</v>
      </c>
      <c r="AG2393">
        <v>-9.5134969999999992E-3</v>
      </c>
      <c r="AH2393">
        <v>3.00441749253975</v>
      </c>
      <c r="AI2393">
        <v>90.181402014350297</v>
      </c>
      <c r="AJ2393">
        <v>89.055750538654607</v>
      </c>
      <c r="AK2393">
        <v>3.0048405973415102</v>
      </c>
      <c r="AL2393">
        <v>90.631671833663304</v>
      </c>
      <c r="AM2393">
        <v>92.0698651662386</v>
      </c>
      <c r="AN2393">
        <v>1.0000000039355399</v>
      </c>
    </row>
    <row r="2394" spans="1:40" x14ac:dyDescent="0.25">
      <c r="A2394" t="str">
        <f>"20190303153820516"</f>
        <v>20190303153820516</v>
      </c>
      <c r="B2394" t="str">
        <f>"1551598700511254"</f>
        <v>1551598700511254</v>
      </c>
      <c r="C2394" t="s">
        <v>40</v>
      </c>
      <c r="D2394">
        <v>4.1282969999999999</v>
      </c>
      <c r="E2394">
        <v>0.51988610000000002</v>
      </c>
      <c r="F2394" t="s">
        <v>46</v>
      </c>
      <c r="G2394">
        <v>0</v>
      </c>
      <c r="H2394">
        <v>0</v>
      </c>
      <c r="I2394">
        <v>0</v>
      </c>
      <c r="J2394">
        <v>-293.87799999999999</v>
      </c>
      <c r="K2394">
        <v>1.1213919999999999</v>
      </c>
      <c r="L2394">
        <v>283.38499999999999</v>
      </c>
      <c r="M2394">
        <v>-0.99983889999999997</v>
      </c>
      <c r="N2394">
        <v>-1.458565E-2</v>
      </c>
      <c r="O2394">
        <v>1.0466670000000001E-2</v>
      </c>
      <c r="P2394">
        <v>-0.99933209999999995</v>
      </c>
      <c r="Q2394">
        <v>-2.58567E-2</v>
      </c>
      <c r="R2394">
        <v>-2.582547E-2</v>
      </c>
      <c r="S2394">
        <v>-3.003784</v>
      </c>
      <c r="T2394">
        <v>-9.9353789999999994E-3</v>
      </c>
      <c r="U2394">
        <v>8.0688480000000007E-2</v>
      </c>
      <c r="V2394">
        <v>-3.6279239999999997E-2</v>
      </c>
      <c r="W2394">
        <v>-1.130165E-2</v>
      </c>
      <c r="X2394">
        <v>0.99927779999999999</v>
      </c>
      <c r="Y2394">
        <v>1.6387289999999999E-2</v>
      </c>
      <c r="Z2394">
        <v>2.6467660000000003E-4</v>
      </c>
      <c r="AA2394">
        <v>0.99986569999999997</v>
      </c>
      <c r="AB2394">
        <v>35</v>
      </c>
      <c r="AC2394">
        <v>-3.003784</v>
      </c>
      <c r="AD2394">
        <v>-9.9353789999999994E-3</v>
      </c>
      <c r="AE2394">
        <v>8.0688480000000007E-2</v>
      </c>
      <c r="AF2394">
        <v>4.9240562055961799E-2</v>
      </c>
      <c r="AG2394">
        <v>-9.9353789999999994E-3</v>
      </c>
      <c r="AH2394">
        <v>3.0044312101019699</v>
      </c>
      <c r="AI2394">
        <v>90.189445766017997</v>
      </c>
      <c r="AJ2394">
        <v>89.061045628003399</v>
      </c>
      <c r="AK2394">
        <v>3.0048511179328399</v>
      </c>
      <c r="AL2394">
        <v>90.647550621614101</v>
      </c>
      <c r="AM2394">
        <v>92.079236403125606</v>
      </c>
      <c r="AN2394">
        <v>1.00000001606027</v>
      </c>
    </row>
    <row r="2395" spans="1:40" x14ac:dyDescent="0.25">
      <c r="A2395" t="str">
        <f>"20190303153820529"</f>
        <v>20190303153820529</v>
      </c>
      <c r="B2395" t="str">
        <f>"1551598700521014"</f>
        <v>1551598700521014</v>
      </c>
      <c r="C2395" t="s">
        <v>40</v>
      </c>
      <c r="D2395">
        <v>4.0970610000000001</v>
      </c>
      <c r="E2395">
        <v>0.51987090000000002</v>
      </c>
      <c r="F2395" t="s">
        <v>46</v>
      </c>
      <c r="G2395">
        <v>0</v>
      </c>
      <c r="H2395">
        <v>0</v>
      </c>
      <c r="I2395">
        <v>0</v>
      </c>
      <c r="J2395">
        <v>-294.10219999999998</v>
      </c>
      <c r="K2395">
        <v>1.121383</v>
      </c>
      <c r="L2395">
        <v>283.38729999999998</v>
      </c>
      <c r="M2395">
        <v>-0.99984030000000002</v>
      </c>
      <c r="N2395">
        <v>-1.458108E-2</v>
      </c>
      <c r="O2395">
        <v>1.03354E-2</v>
      </c>
      <c r="P2395">
        <v>-0.99932350000000003</v>
      </c>
      <c r="Q2395">
        <v>-2.5946319999999998E-2</v>
      </c>
      <c r="R2395">
        <v>-2.6065789999999998E-2</v>
      </c>
      <c r="S2395">
        <v>-3.003784</v>
      </c>
      <c r="T2395">
        <v>-1.032662E-2</v>
      </c>
      <c r="U2395">
        <v>7.9498289999999999E-2</v>
      </c>
      <c r="V2395">
        <v>-3.6388320000000002E-2</v>
      </c>
      <c r="W2395">
        <v>-1.139513E-2</v>
      </c>
      <c r="X2395">
        <v>0.99927279999999996</v>
      </c>
      <c r="Y2395">
        <v>1.6122629999999999E-2</v>
      </c>
      <c r="Z2395">
        <v>2.6044799999999998E-4</v>
      </c>
      <c r="AA2395">
        <v>0.99987000000000004</v>
      </c>
      <c r="AB2395">
        <v>35</v>
      </c>
      <c r="AC2395">
        <v>-3.003784</v>
      </c>
      <c r="AD2395">
        <v>-1.032662E-2</v>
      </c>
      <c r="AE2395">
        <v>7.9498289999999999E-2</v>
      </c>
      <c r="AF2395">
        <v>4.8444861711798001E-2</v>
      </c>
      <c r="AG2395">
        <v>-1.032662E-2</v>
      </c>
      <c r="AH2395">
        <v>3.0044097786020698</v>
      </c>
      <c r="AI2395">
        <v>90.196908063197</v>
      </c>
      <c r="AJ2395">
        <v>89.076209373660205</v>
      </c>
      <c r="AK2395">
        <v>3.0048180746039601</v>
      </c>
      <c r="AL2395">
        <v>90.652906957796304</v>
      </c>
      <c r="AM2395">
        <v>92.0854929117708</v>
      </c>
      <c r="AN2395">
        <v>1.0000000438199801</v>
      </c>
    </row>
    <row r="2396" spans="1:40" x14ac:dyDescent="0.25">
      <c r="A2396" t="str">
        <f>"20190303153820545"</f>
        <v>20190303153820545</v>
      </c>
      <c r="B2396" t="str">
        <f>"1551598700541510"</f>
        <v>1551598700541510</v>
      </c>
      <c r="C2396" t="s">
        <v>40</v>
      </c>
      <c r="D2396">
        <v>4.1061809999999896</v>
      </c>
      <c r="E2396">
        <v>0.5198294</v>
      </c>
      <c r="F2396" t="s">
        <v>46</v>
      </c>
      <c r="G2396">
        <v>0</v>
      </c>
      <c r="H2396">
        <v>0</v>
      </c>
      <c r="I2396">
        <v>0</v>
      </c>
      <c r="J2396">
        <v>-294.34769999999997</v>
      </c>
      <c r="K2396">
        <v>1.1213709999999999</v>
      </c>
      <c r="L2396">
        <v>283.38959999999997</v>
      </c>
      <c r="M2396">
        <v>-0.9998416</v>
      </c>
      <c r="N2396">
        <v>-1.458156E-2</v>
      </c>
      <c r="O2396">
        <v>1.0200580000000001E-2</v>
      </c>
      <c r="P2396">
        <v>-0.99930160000000001</v>
      </c>
      <c r="Q2396">
        <v>-2.601009E-2</v>
      </c>
      <c r="R2396">
        <v>-2.68341E-2</v>
      </c>
      <c r="S2396">
        <v>-3.003784</v>
      </c>
      <c r="T2396">
        <v>-1.040876E-2</v>
      </c>
      <c r="U2396">
        <v>7.8613279999999994E-2</v>
      </c>
      <c r="V2396">
        <v>-3.7021539999999999E-2</v>
      </c>
      <c r="W2396">
        <v>-1.145819E-2</v>
      </c>
      <c r="X2396">
        <v>0.99924880000000005</v>
      </c>
      <c r="Y2396">
        <v>1.5963049999999999E-2</v>
      </c>
      <c r="Z2396">
        <v>2.5745569999999999E-4</v>
      </c>
      <c r="AA2396">
        <v>0.9998726</v>
      </c>
      <c r="AB2396">
        <v>35</v>
      </c>
      <c r="AC2396">
        <v>-3.003784</v>
      </c>
      <c r="AD2396">
        <v>-1.040876E-2</v>
      </c>
      <c r="AE2396">
        <v>7.8613279999999994E-2</v>
      </c>
      <c r="AF2396">
        <v>4.7965015070787299E-2</v>
      </c>
      <c r="AG2396">
        <v>-1.040876E-2</v>
      </c>
      <c r="AH2396">
        <v>3.0043936231972301</v>
      </c>
      <c r="AI2396">
        <v>90.198475872257902</v>
      </c>
      <c r="AJ2396">
        <v>89.085353045624899</v>
      </c>
      <c r="AK2396">
        <v>3.0047945067947102</v>
      </c>
      <c r="AL2396">
        <v>90.6565202781305</v>
      </c>
      <c r="AM2396">
        <v>92.121802140215706</v>
      </c>
      <c r="AN2396">
        <v>1.00000002442174</v>
      </c>
    </row>
    <row r="2397" spans="1:40" x14ac:dyDescent="0.25">
      <c r="A2397" t="str">
        <f>"20190303153820559"</f>
        <v>20190303153820559</v>
      </c>
      <c r="B2397" t="str">
        <f>"1551598700551271"</f>
        <v>1551598700551271</v>
      </c>
      <c r="C2397" t="s">
        <v>40</v>
      </c>
      <c r="D2397">
        <v>4.106611</v>
      </c>
      <c r="E2397">
        <v>0.51981460000000002</v>
      </c>
      <c r="F2397" t="s">
        <v>46</v>
      </c>
      <c r="G2397">
        <v>0</v>
      </c>
      <c r="H2397">
        <v>0</v>
      </c>
      <c r="I2397">
        <v>0</v>
      </c>
      <c r="J2397">
        <v>-294.55840000000001</v>
      </c>
      <c r="K2397">
        <v>1.1213630000000001</v>
      </c>
      <c r="L2397">
        <v>283.39170000000001</v>
      </c>
      <c r="M2397">
        <v>-0.99984280000000003</v>
      </c>
      <c r="N2397">
        <v>-1.4583199999999999E-2</v>
      </c>
      <c r="O2397">
        <v>1.0090699999999999E-2</v>
      </c>
      <c r="P2397">
        <v>-0.99929000000000001</v>
      </c>
      <c r="Q2397">
        <v>-2.5981210000000001E-2</v>
      </c>
      <c r="R2397">
        <v>-2.7288739999999999E-2</v>
      </c>
      <c r="S2397">
        <v>-3.0039060000000002</v>
      </c>
      <c r="T2397">
        <v>-1.0245799999999999E-2</v>
      </c>
      <c r="U2397">
        <v>7.5897220000000001E-2</v>
      </c>
      <c r="V2397">
        <v>-3.7366999999999997E-2</v>
      </c>
      <c r="W2397">
        <v>-1.142722E-2</v>
      </c>
      <c r="X2397">
        <v>0.99923629999999997</v>
      </c>
      <c r="Y2397">
        <v>1.516844E-2</v>
      </c>
      <c r="Z2397">
        <v>2.4922820000000001E-4</v>
      </c>
      <c r="AA2397">
        <v>0.99988489999999997</v>
      </c>
      <c r="AB2397">
        <v>35</v>
      </c>
      <c r="AC2397">
        <v>-3.0039060000000002</v>
      </c>
      <c r="AD2397">
        <v>-1.0245799999999999E-2</v>
      </c>
      <c r="AE2397">
        <v>7.5897220000000001E-2</v>
      </c>
      <c r="AF2397">
        <v>4.5578088972724501E-2</v>
      </c>
      <c r="AG2397">
        <v>-1.0245799999999999E-2</v>
      </c>
      <c r="AH2397">
        <v>3.0044840378127202</v>
      </c>
      <c r="AI2397">
        <v>90.195365087459606</v>
      </c>
      <c r="AJ2397">
        <v>89.130888429221699</v>
      </c>
      <c r="AK2397">
        <v>3.0048471961288601</v>
      </c>
      <c r="AL2397">
        <v>90.654745708938407</v>
      </c>
      <c r="AM2397">
        <v>92.141609779000305</v>
      </c>
      <c r="AN2397">
        <v>1.0000000286418</v>
      </c>
    </row>
    <row r="2398" spans="1:40" x14ac:dyDescent="0.25">
      <c r="A2398" t="str">
        <f>"20190303153820570"</f>
        <v>20190303153820570</v>
      </c>
      <c r="B2398" t="str">
        <f>"1551598700561031"</f>
        <v>1551598700561031</v>
      </c>
      <c r="C2398" t="s">
        <v>40</v>
      </c>
      <c r="D2398">
        <v>4.106306</v>
      </c>
      <c r="E2398">
        <v>0.51979229999999998</v>
      </c>
      <c r="F2398" t="s">
        <v>46</v>
      </c>
      <c r="G2398">
        <v>0</v>
      </c>
      <c r="H2398">
        <v>0</v>
      </c>
      <c r="I2398">
        <v>0</v>
      </c>
      <c r="J2398">
        <v>-294.74299999999999</v>
      </c>
      <c r="K2398">
        <v>1.1213569999999999</v>
      </c>
      <c r="L2398">
        <v>283.39339999999999</v>
      </c>
      <c r="M2398">
        <v>-0.9998437</v>
      </c>
      <c r="N2398">
        <v>-1.458514E-2</v>
      </c>
      <c r="O2398">
        <v>9.9975540000000005E-3</v>
      </c>
      <c r="P2398">
        <v>-0.99928870000000003</v>
      </c>
      <c r="Q2398">
        <v>-2.583649E-2</v>
      </c>
      <c r="R2398">
        <v>-2.7472079999999999E-2</v>
      </c>
      <c r="S2398">
        <v>-3.0039370000000001</v>
      </c>
      <c r="T2398">
        <v>-1.0073540000000001E-2</v>
      </c>
      <c r="U2398">
        <v>7.440186E-2</v>
      </c>
      <c r="V2398">
        <v>-3.7457589999999999E-2</v>
      </c>
      <c r="W2398">
        <v>-1.1279920000000001E-2</v>
      </c>
      <c r="X2398">
        <v>0.99923459999999997</v>
      </c>
      <c r="Y2398">
        <v>1.476392E-2</v>
      </c>
      <c r="Z2398">
        <v>2.4473110000000002E-4</v>
      </c>
      <c r="AA2398">
        <v>0.99989099999999997</v>
      </c>
      <c r="AB2398">
        <v>35</v>
      </c>
      <c r="AC2398">
        <v>-3.0039370000000001</v>
      </c>
      <c r="AD2398">
        <v>-1.0073540000000001E-2</v>
      </c>
      <c r="AE2398">
        <v>7.440186E-2</v>
      </c>
      <c r="AF2398">
        <v>4.4362426615757601E-2</v>
      </c>
      <c r="AG2398">
        <v>-1.0073540000000001E-2</v>
      </c>
      <c r="AH2398">
        <v>3.0044969899885499</v>
      </c>
      <c r="AI2398">
        <v>90.192080824459893</v>
      </c>
      <c r="AJ2398">
        <v>89.154069672557199</v>
      </c>
      <c r="AK2398">
        <v>3.0048413708469899</v>
      </c>
      <c r="AL2398">
        <v>90.646305485148304</v>
      </c>
      <c r="AM2398">
        <v>92.146800548143005</v>
      </c>
      <c r="AN2398">
        <v>1.0000000467404799</v>
      </c>
    </row>
    <row r="2399" spans="1:40" x14ac:dyDescent="0.25">
      <c r="A2399" t="str">
        <f>"20190303153820590"</f>
        <v>20190303153820590</v>
      </c>
      <c r="B2399" t="str">
        <f>"1551598700581529"</f>
        <v>1551598700581529</v>
      </c>
      <c r="C2399" t="s">
        <v>40</v>
      </c>
      <c r="D2399">
        <v>4.1189830000000001</v>
      </c>
      <c r="E2399">
        <v>0.51975830000000001</v>
      </c>
      <c r="F2399" t="s">
        <v>46</v>
      </c>
      <c r="G2399">
        <v>0</v>
      </c>
      <c r="H2399">
        <v>0</v>
      </c>
      <c r="I2399">
        <v>0</v>
      </c>
      <c r="J2399">
        <v>-295.05419999999998</v>
      </c>
      <c r="K2399">
        <v>1.121346</v>
      </c>
      <c r="L2399">
        <v>283.39640000000003</v>
      </c>
      <c r="M2399">
        <v>-0.99984510000000004</v>
      </c>
      <c r="N2399">
        <v>-1.4589059999999999E-2</v>
      </c>
      <c r="O2399">
        <v>9.8565470000000002E-3</v>
      </c>
      <c r="P2399">
        <v>-0.99928059999999996</v>
      </c>
      <c r="Q2399">
        <v>-2.6103749999999998E-2</v>
      </c>
      <c r="R2399">
        <v>-2.7518870000000001E-2</v>
      </c>
      <c r="S2399">
        <v>-3.0039060000000002</v>
      </c>
      <c r="T2399">
        <v>-9.4972849999999994E-3</v>
      </c>
      <c r="U2399">
        <v>7.3822020000000002E-2</v>
      </c>
      <c r="V2399">
        <v>-3.7363609999999998E-2</v>
      </c>
      <c r="W2399">
        <v>-1.1541839999999999E-2</v>
      </c>
      <c r="X2399">
        <v>0.99923510000000004</v>
      </c>
      <c r="Y2399">
        <v>1.4712340000000001E-2</v>
      </c>
      <c r="Z2399">
        <v>2.432314E-4</v>
      </c>
      <c r="AA2399">
        <v>0.9998918</v>
      </c>
      <c r="AB2399">
        <v>35</v>
      </c>
      <c r="AC2399">
        <v>-3.0039060000000002</v>
      </c>
      <c r="AD2399">
        <v>-9.4972849999999994E-3</v>
      </c>
      <c r="AE2399">
        <v>7.3822020000000002E-2</v>
      </c>
      <c r="AF2399">
        <v>4.4206702683562298E-2</v>
      </c>
      <c r="AG2399">
        <v>-9.4972849999999994E-3</v>
      </c>
      <c r="AH2399">
        <v>3.0044577415515699</v>
      </c>
      <c r="AI2399">
        <v>90.181095455157902</v>
      </c>
      <c r="AJ2399">
        <v>89.157027673706594</v>
      </c>
      <c r="AK2399">
        <v>3.00479795522988</v>
      </c>
      <c r="AL2399">
        <v>90.661313390348695</v>
      </c>
      <c r="AM2399">
        <v>92.141418238554394</v>
      </c>
      <c r="AN2399">
        <v>1.0000000192474101</v>
      </c>
    </row>
    <row r="2400" spans="1:40" x14ac:dyDescent="0.25">
      <c r="A2400" t="str">
        <f>"20190303153820602"</f>
        <v>20190303153820602</v>
      </c>
      <c r="B2400" t="str">
        <f>"1551598700591287"</f>
        <v>1551598700591287</v>
      </c>
      <c r="C2400" t="s">
        <v>40</v>
      </c>
      <c r="D2400">
        <v>4.1125480000000003</v>
      </c>
      <c r="E2400">
        <v>0.51973849999999999</v>
      </c>
      <c r="F2400" t="s">
        <v>46</v>
      </c>
      <c r="G2400">
        <v>0</v>
      </c>
      <c r="H2400">
        <v>0</v>
      </c>
      <c r="I2400">
        <v>0</v>
      </c>
      <c r="J2400">
        <v>-295.25049999999999</v>
      </c>
      <c r="K2400">
        <v>1.1213360000000001</v>
      </c>
      <c r="L2400">
        <v>283.39830000000001</v>
      </c>
      <c r="M2400">
        <v>-0.99984569999999995</v>
      </c>
      <c r="N2400">
        <v>-1.4591700000000001E-2</v>
      </c>
      <c r="O2400">
        <v>9.7796110000000006E-3</v>
      </c>
      <c r="P2400">
        <v>-0.99927429999999995</v>
      </c>
      <c r="Q2400">
        <v>-2.6603430000000001E-2</v>
      </c>
      <c r="R2400">
        <v>-2.7262129999999999E-2</v>
      </c>
      <c r="S2400">
        <v>-3.0038450000000001</v>
      </c>
      <c r="T2400">
        <v>-1.016951E-2</v>
      </c>
      <c r="U2400">
        <v>7.3333739999999994E-2</v>
      </c>
      <c r="V2400">
        <v>-3.7030340000000002E-2</v>
      </c>
      <c r="W2400">
        <v>-1.203767E-2</v>
      </c>
      <c r="X2400">
        <v>0.99924170000000001</v>
      </c>
      <c r="Y2400">
        <v>1.4627279999999999E-2</v>
      </c>
      <c r="Z2400">
        <v>2.410906E-4</v>
      </c>
      <c r="AA2400">
        <v>0.99989300000000003</v>
      </c>
      <c r="AB2400">
        <v>35</v>
      </c>
      <c r="AC2400">
        <v>-3.0038450000000001</v>
      </c>
      <c r="AD2400">
        <v>-1.016951E-2</v>
      </c>
      <c r="AE2400">
        <v>7.3333739999999994E-2</v>
      </c>
      <c r="AF2400">
        <v>4.3950165136457803E-2</v>
      </c>
      <c r="AG2400">
        <v>-1.016951E-2</v>
      </c>
      <c r="AH2400">
        <v>3.0043841582125301</v>
      </c>
      <c r="AI2400">
        <v>90.193918424641197</v>
      </c>
      <c r="AJ2400">
        <v>89.161898334389903</v>
      </c>
      <c r="AK2400">
        <v>3.0047228168447702</v>
      </c>
      <c r="AL2400">
        <v>90.689724300669099</v>
      </c>
      <c r="AM2400">
        <v>92.122321096303196</v>
      </c>
      <c r="AN2400">
        <v>1.0000000632992101</v>
      </c>
    </row>
    <row r="2401" spans="1:40" x14ac:dyDescent="0.25">
      <c r="A2401" t="str">
        <f>"20190303153820614"</f>
        <v>20190303153820614</v>
      </c>
      <c r="B2401" t="str">
        <f>"1551598700610806"</f>
        <v>1551598700610806</v>
      </c>
      <c r="C2401" t="s">
        <v>40</v>
      </c>
      <c r="D2401">
        <v>4.0975250000000001</v>
      </c>
      <c r="E2401">
        <v>0.51971750000000005</v>
      </c>
      <c r="F2401" t="s">
        <v>46</v>
      </c>
      <c r="G2401">
        <v>0</v>
      </c>
      <c r="H2401">
        <v>0</v>
      </c>
      <c r="I2401">
        <v>0</v>
      </c>
      <c r="J2401">
        <v>-295.42849999999999</v>
      </c>
      <c r="K2401">
        <v>1.121332</v>
      </c>
      <c r="L2401">
        <v>283.39999999999998</v>
      </c>
      <c r="M2401">
        <v>-0.99984649999999997</v>
      </c>
      <c r="N2401">
        <v>-1.459415E-2</v>
      </c>
      <c r="O2401">
        <v>9.7138699999999994E-3</v>
      </c>
      <c r="P2401">
        <v>-0.99926950000000003</v>
      </c>
      <c r="Q2401">
        <v>-2.7074270000000001E-2</v>
      </c>
      <c r="R2401">
        <v>-2.6978080000000002E-2</v>
      </c>
      <c r="S2401">
        <v>-3.0039060000000002</v>
      </c>
      <c r="T2401">
        <v>-1.1663079999999999E-2</v>
      </c>
      <c r="U2401">
        <v>7.4005130000000002E-2</v>
      </c>
      <c r="V2401">
        <v>-3.668039E-2</v>
      </c>
      <c r="W2401">
        <v>-1.2504929999999999E-2</v>
      </c>
      <c r="X2401">
        <v>0.99924880000000005</v>
      </c>
      <c r="Y2401">
        <v>1.491573E-2</v>
      </c>
      <c r="Z2401">
        <v>2.4186809999999999E-4</v>
      </c>
      <c r="AA2401">
        <v>0.99988869999999996</v>
      </c>
      <c r="AB2401">
        <v>35</v>
      </c>
      <c r="AC2401">
        <v>-3.0039060000000002</v>
      </c>
      <c r="AD2401">
        <v>-1.1663079999999999E-2</v>
      </c>
      <c r="AE2401">
        <v>7.4005130000000002E-2</v>
      </c>
      <c r="AF2401">
        <v>4.4818307511454103E-2</v>
      </c>
      <c r="AG2401">
        <v>-1.1663079999999999E-2</v>
      </c>
      <c r="AH2401">
        <v>3.00443793190871</v>
      </c>
      <c r="AI2401">
        <v>90.2223935326694</v>
      </c>
      <c r="AJ2401">
        <v>89.145361138253094</v>
      </c>
      <c r="AK2401">
        <v>3.0047948340635702</v>
      </c>
      <c r="AL2401">
        <v>90.716498390556197</v>
      </c>
      <c r="AM2401">
        <v>92.102267558625599</v>
      </c>
      <c r="AN2401">
        <v>0.99999999429314801</v>
      </c>
    </row>
    <row r="2402" spans="1:40" x14ac:dyDescent="0.25">
      <c r="A2402" t="str">
        <f>"20190303153820626"</f>
        <v>20190303153820626</v>
      </c>
      <c r="B2402" t="str">
        <f>"1551598700621543"</f>
        <v>1551598700621543</v>
      </c>
      <c r="C2402" t="s">
        <v>40</v>
      </c>
      <c r="D2402">
        <v>4.0963620000000001</v>
      </c>
      <c r="E2402">
        <v>0.51970459999999996</v>
      </c>
      <c r="F2402" t="s">
        <v>46</v>
      </c>
      <c r="G2402">
        <v>0</v>
      </c>
      <c r="H2402">
        <v>0</v>
      </c>
      <c r="I2402">
        <v>0</v>
      </c>
      <c r="J2402">
        <v>-295.62169999999998</v>
      </c>
      <c r="K2402">
        <v>1.121318</v>
      </c>
      <c r="L2402">
        <v>283.40170000000001</v>
      </c>
      <c r="M2402">
        <v>-0.99984709999999999</v>
      </c>
      <c r="N2402">
        <v>-1.459686E-2</v>
      </c>
      <c r="O2402">
        <v>9.6489929999999998E-3</v>
      </c>
      <c r="P2402">
        <v>-0.99926680000000001</v>
      </c>
      <c r="Q2402">
        <v>-2.7405590000000001E-2</v>
      </c>
      <c r="R2402">
        <v>-2.674731E-2</v>
      </c>
      <c r="S2402">
        <v>-3.0038450000000001</v>
      </c>
      <c r="T2402">
        <v>-1.303315E-2</v>
      </c>
      <c r="U2402">
        <v>7.473755E-2</v>
      </c>
      <c r="V2402">
        <v>-3.6384819999999998E-2</v>
      </c>
      <c r="W2402">
        <v>-1.283225E-2</v>
      </c>
      <c r="X2402">
        <v>0.99925549999999996</v>
      </c>
      <c r="Y2402">
        <v>1.5224619999999999E-2</v>
      </c>
      <c r="Z2402">
        <v>2.431457E-4</v>
      </c>
      <c r="AA2402">
        <v>0.99988410000000005</v>
      </c>
      <c r="AB2402">
        <v>35</v>
      </c>
      <c r="AC2402">
        <v>-3.0038450000000001</v>
      </c>
      <c r="AD2402">
        <v>-1.303315E-2</v>
      </c>
      <c r="AE2402">
        <v>7.473755E-2</v>
      </c>
      <c r="AF2402">
        <v>4.5746047434053597E-2</v>
      </c>
      <c r="AG2402">
        <v>-1.303315E-2</v>
      </c>
      <c r="AH2402">
        <v>3.0043698287891099</v>
      </c>
      <c r="AI2402">
        <v>90.248522418593296</v>
      </c>
      <c r="AJ2402">
        <v>89.127653030704195</v>
      </c>
      <c r="AK2402">
        <v>3.0047463506913701</v>
      </c>
      <c r="AL2402">
        <v>90.735253918272704</v>
      </c>
      <c r="AM2402">
        <v>92.085328566904906</v>
      </c>
      <c r="AN2402">
        <v>1.00000003802337</v>
      </c>
    </row>
    <row r="2403" spans="1:40" x14ac:dyDescent="0.25">
      <c r="A2403" t="str">
        <f>"20190303153820638"</f>
        <v>20190303153820638</v>
      </c>
      <c r="B2403" t="str">
        <f>"1551598700631303"</f>
        <v>1551598700631303</v>
      </c>
      <c r="C2403" t="s">
        <v>40</v>
      </c>
      <c r="D2403">
        <v>4.109674</v>
      </c>
      <c r="E2403">
        <v>0.5196887</v>
      </c>
      <c r="F2403" t="s">
        <v>43</v>
      </c>
      <c r="G2403">
        <v>-547.86490000000003</v>
      </c>
      <c r="H2403">
        <v>-0.05</v>
      </c>
      <c r="I2403">
        <v>289.71609999999998</v>
      </c>
      <c r="J2403">
        <v>-295.80380000000002</v>
      </c>
      <c r="K2403">
        <v>1.121302</v>
      </c>
      <c r="L2403">
        <v>283.40339999999998</v>
      </c>
      <c r="M2403">
        <v>-0.9998475</v>
      </c>
      <c r="N2403">
        <v>-1.459939E-2</v>
      </c>
      <c r="O2403">
        <v>9.5992040000000001E-3</v>
      </c>
      <c r="P2403">
        <v>-0.99925229999999998</v>
      </c>
      <c r="Q2403">
        <v>-2.8024130000000001E-2</v>
      </c>
      <c r="R2403">
        <v>-2.664888E-2</v>
      </c>
      <c r="S2403">
        <v>-3.0038450000000001</v>
      </c>
      <c r="T2403">
        <v>-1.394868E-2</v>
      </c>
      <c r="U2403">
        <v>7.5195310000000001E-2</v>
      </c>
      <c r="V2403">
        <v>-3.62373E-2</v>
      </c>
      <c r="W2403">
        <v>-1.344718E-2</v>
      </c>
      <c r="X2403">
        <v>0.99925269999999999</v>
      </c>
      <c r="Y2403">
        <v>1.542659E-2</v>
      </c>
      <c r="Z2403">
        <v>2.440168E-4</v>
      </c>
      <c r="AA2403">
        <v>0.99988100000000002</v>
      </c>
      <c r="AB2403">
        <v>35</v>
      </c>
      <c r="AC2403">
        <v>-252.06110000000001</v>
      </c>
      <c r="AD2403">
        <v>-1.1713020000000001</v>
      </c>
      <c r="AE2403">
        <v>6.3127000000000004</v>
      </c>
      <c r="AF2403">
        <v>3.89248164703453</v>
      </c>
      <c r="AG2403">
        <v>-1.1713020000000001</v>
      </c>
      <c r="AH2403">
        <v>252.104647107495</v>
      </c>
      <c r="AI2403">
        <v>90.266167963613299</v>
      </c>
      <c r="AJ2403">
        <v>89.115426657031506</v>
      </c>
      <c r="AK2403">
        <v>252.13741581713401</v>
      </c>
      <c r="AL2403">
        <v>90.770489910510705</v>
      </c>
      <c r="AM2403">
        <v>92.076886965103</v>
      </c>
      <c r="AN2403">
        <v>0.99999996350926501</v>
      </c>
    </row>
    <row r="2404" spans="1:40" x14ac:dyDescent="0.25">
      <c r="A2404" t="str">
        <f>"20190303153820651"</f>
        <v>20190303153820651</v>
      </c>
      <c r="B2404" t="str">
        <f>"1551598700641062"</f>
        <v>1551598700641062</v>
      </c>
      <c r="C2404" t="s">
        <v>40</v>
      </c>
      <c r="D2404">
        <v>4.1425349999999996</v>
      </c>
      <c r="E2404">
        <v>0.51968769999999997</v>
      </c>
      <c r="F2404" t="s">
        <v>51</v>
      </c>
      <c r="G2404">
        <v>-499.96109999999999</v>
      </c>
      <c r="H2404">
        <v>5.3259229999999998E-2</v>
      </c>
      <c r="I2404">
        <v>288.53280000000001</v>
      </c>
      <c r="J2404">
        <v>-296.00689999999997</v>
      </c>
      <c r="K2404">
        <v>1.121286</v>
      </c>
      <c r="L2404">
        <v>283.40530000000001</v>
      </c>
      <c r="M2404">
        <v>-0.99984790000000001</v>
      </c>
      <c r="N2404">
        <v>-1.4602159999999999E-2</v>
      </c>
      <c r="O2404">
        <v>9.5499260000000002E-3</v>
      </c>
      <c r="P2404">
        <v>-0.9992413</v>
      </c>
      <c r="Q2404">
        <v>-2.8582670000000001E-2</v>
      </c>
      <c r="R2404">
        <v>-2.6463500000000001E-2</v>
      </c>
      <c r="S2404">
        <v>-3.0038450000000001</v>
      </c>
      <c r="T2404">
        <v>-1.5714530000000001E-2</v>
      </c>
      <c r="U2404">
        <v>7.5469969999999997E-2</v>
      </c>
      <c r="V2404">
        <v>-3.6002590000000001E-2</v>
      </c>
      <c r="W2404">
        <v>-1.4001609999999999E-2</v>
      </c>
      <c r="X2404">
        <v>0.99925359999999996</v>
      </c>
      <c r="Y2404">
        <v>1.5567070000000001E-2</v>
      </c>
      <c r="Z2404">
        <v>2.4388860000000001E-4</v>
      </c>
      <c r="AA2404">
        <v>0.99987879999999996</v>
      </c>
      <c r="AB2404">
        <v>35</v>
      </c>
      <c r="AC2404">
        <v>-203.95419999999999</v>
      </c>
      <c r="AD2404">
        <v>-1.0680267699999999</v>
      </c>
      <c r="AE2404">
        <v>5.1274999999999897</v>
      </c>
      <c r="AF2404">
        <v>3.1792240404416998</v>
      </c>
      <c r="AG2404">
        <v>-1.0680267699999999</v>
      </c>
      <c r="AH2404">
        <v>203.98827961381599</v>
      </c>
      <c r="AI2404">
        <v>90.299945844109899</v>
      </c>
      <c r="AJ2404">
        <v>89.107098832260405</v>
      </c>
      <c r="AK2404">
        <v>204.01584832185199</v>
      </c>
      <c r="AL2404">
        <v>90.802259378551994</v>
      </c>
      <c r="AM2404">
        <v>92.063444719992205</v>
      </c>
      <c r="AN2404">
        <v>0.99999999434112996</v>
      </c>
    </row>
    <row r="2405" spans="1:40" x14ac:dyDescent="0.25">
      <c r="A2405" t="str">
        <f>"20190303153820662"</f>
        <v>20190303153820662</v>
      </c>
      <c r="B2405" t="str">
        <f>"1551598700650822"</f>
        <v>1551598700650822</v>
      </c>
      <c r="C2405" t="s">
        <v>40</v>
      </c>
      <c r="D2405">
        <v>4.1248370000000003</v>
      </c>
      <c r="E2405">
        <v>0.51967089999999905</v>
      </c>
      <c r="F2405" t="s">
        <v>51</v>
      </c>
      <c r="G2405">
        <v>-491.68700000000001</v>
      </c>
      <c r="H2405" s="1">
        <v>3.9922380000000003E-6</v>
      </c>
      <c r="I2405">
        <v>288.35550000000001</v>
      </c>
      <c r="J2405">
        <v>-296.19420000000002</v>
      </c>
      <c r="K2405">
        <v>1.1212690000000001</v>
      </c>
      <c r="L2405">
        <v>283.40710000000001</v>
      </c>
      <c r="M2405">
        <v>-0.99984819999999996</v>
      </c>
      <c r="N2405">
        <v>-1.4604550000000001E-2</v>
      </c>
      <c r="O2405">
        <v>9.5175060000000002E-3</v>
      </c>
      <c r="P2405">
        <v>-0.99922909999999998</v>
      </c>
      <c r="Q2405">
        <v>-2.8744889999999999E-2</v>
      </c>
      <c r="R2405">
        <v>-2.674522E-2</v>
      </c>
      <c r="S2405">
        <v>-3.0038149999999999</v>
      </c>
      <c r="T2405">
        <v>-1.7212390000000001E-2</v>
      </c>
      <c r="U2405">
        <v>7.5988769999999997E-2</v>
      </c>
      <c r="V2405">
        <v>-3.6252189999999997E-2</v>
      </c>
      <c r="W2405">
        <v>-1.416043E-2</v>
      </c>
      <c r="X2405">
        <v>0.99924239999999998</v>
      </c>
      <c r="Y2405">
        <v>1.5772169999999999E-2</v>
      </c>
      <c r="Z2405">
        <v>2.4484760000000001E-4</v>
      </c>
      <c r="AA2405">
        <v>0.99987559999999998</v>
      </c>
      <c r="AB2405">
        <v>35</v>
      </c>
      <c r="AC2405">
        <v>-195.49279999999999</v>
      </c>
      <c r="AD2405">
        <v>-1.1212650077619899</v>
      </c>
      <c r="AE2405">
        <v>4.9483999999999897</v>
      </c>
      <c r="AF2405">
        <v>3.0872722528686598</v>
      </c>
      <c r="AG2405">
        <v>-1.1212650077619899</v>
      </c>
      <c r="AH2405">
        <v>195.52461716621201</v>
      </c>
      <c r="AI2405">
        <v>90.3285266207521</v>
      </c>
      <c r="AJ2405">
        <v>89.095392821333206</v>
      </c>
      <c r="AK2405">
        <v>195.55220377989801</v>
      </c>
      <c r="AL2405">
        <v>90.811359946130395</v>
      </c>
      <c r="AM2405">
        <v>92.077761013669004</v>
      </c>
      <c r="AN2405">
        <v>1.0000000565076601</v>
      </c>
    </row>
    <row r="2406" spans="1:40" x14ac:dyDescent="0.25">
      <c r="A2406" t="str">
        <f>"20190303153820681"</f>
        <v>20190303153820681</v>
      </c>
      <c r="B2406" t="str">
        <f>"1551598700671318"</f>
        <v>1551598700671318</v>
      </c>
      <c r="C2406" t="s">
        <v>40</v>
      </c>
      <c r="D2406">
        <v>4.073143</v>
      </c>
      <c r="E2406">
        <v>0.51963909999999902</v>
      </c>
      <c r="F2406" t="s">
        <v>51</v>
      </c>
      <c r="G2406">
        <v>-488.43700000000001</v>
      </c>
      <c r="H2406" s="1">
        <v>4.0158120000000001E-6</v>
      </c>
      <c r="I2406">
        <v>288.202</v>
      </c>
      <c r="J2406">
        <v>-296.47129999999999</v>
      </c>
      <c r="K2406">
        <v>1.1212549999999999</v>
      </c>
      <c r="L2406">
        <v>283.40969999999999</v>
      </c>
      <c r="M2406">
        <v>-0.99984839999999997</v>
      </c>
      <c r="N2406">
        <v>-1.4607790000000001E-2</v>
      </c>
      <c r="O2406">
        <v>9.4804139999999995E-3</v>
      </c>
      <c r="P2406">
        <v>-0.99921789999999999</v>
      </c>
      <c r="Q2406">
        <v>-2.9045120000000001E-2</v>
      </c>
      <c r="R2406">
        <v>-2.6838830000000001E-2</v>
      </c>
      <c r="S2406">
        <v>-3.003784</v>
      </c>
      <c r="T2406">
        <v>-1.7519710000000001E-2</v>
      </c>
      <c r="U2406">
        <v>7.4920650000000005E-2</v>
      </c>
      <c r="V2406">
        <v>-3.6309689999999999E-2</v>
      </c>
      <c r="W2406">
        <v>-1.445578E-2</v>
      </c>
      <c r="X2406">
        <v>0.99923600000000001</v>
      </c>
      <c r="Y2406">
        <v>1.545418E-2</v>
      </c>
      <c r="Z2406">
        <v>2.411615E-4</v>
      </c>
      <c r="AA2406">
        <v>0.99988060000000001</v>
      </c>
      <c r="AB2406">
        <v>35</v>
      </c>
      <c r="AC2406">
        <v>-191.9657</v>
      </c>
      <c r="AD2406">
        <v>-1.1212509841879901</v>
      </c>
      <c r="AE2406">
        <v>4.7923000000000098</v>
      </c>
      <c r="AF2406">
        <v>2.9718748284469898</v>
      </c>
      <c r="AG2406">
        <v>-1.1212509841879901</v>
      </c>
      <c r="AH2406">
        <v>191.99596297014</v>
      </c>
      <c r="AI2406">
        <v>90.334561848935394</v>
      </c>
      <c r="AJ2406">
        <v>89.113198604923397</v>
      </c>
      <c r="AK2406">
        <v>192.02223579730699</v>
      </c>
      <c r="AL2406">
        <v>90.828284054980898</v>
      </c>
      <c r="AM2406">
        <v>92.081066995277894</v>
      </c>
      <c r="AN2406">
        <v>0.99999997342965197</v>
      </c>
    </row>
    <row r="2407" spans="1:40" x14ac:dyDescent="0.25">
      <c r="A2407" t="str">
        <f>"20190303153820694"</f>
        <v>20190303153820694</v>
      </c>
      <c r="B2407" t="str">
        <f>"1551598700690840"</f>
        <v>1551598700690840</v>
      </c>
      <c r="C2407" t="s">
        <v>40</v>
      </c>
      <c r="D2407">
        <v>4.1109039999999997</v>
      </c>
      <c r="E2407">
        <v>0.51964860000000002</v>
      </c>
      <c r="F2407" t="s">
        <v>51</v>
      </c>
      <c r="G2407">
        <v>-481.71100000000001</v>
      </c>
      <c r="H2407" s="1">
        <v>2.8043840000000002E-6</v>
      </c>
      <c r="I2407">
        <v>287.9923</v>
      </c>
      <c r="J2407">
        <v>-296.68169999999998</v>
      </c>
      <c r="K2407">
        <v>1.1212409999999999</v>
      </c>
      <c r="L2407">
        <v>283.4117</v>
      </c>
      <c r="M2407">
        <v>-0.99984850000000003</v>
      </c>
      <c r="N2407">
        <v>-1.461001E-2</v>
      </c>
      <c r="O2407">
        <v>9.4606800000000008E-3</v>
      </c>
      <c r="P2407">
        <v>-0.99921700000000002</v>
      </c>
      <c r="Q2407">
        <v>-2.891034E-2</v>
      </c>
      <c r="R2407">
        <v>-2.7013300000000001E-2</v>
      </c>
      <c r="S2407">
        <v>-3.0038149999999999</v>
      </c>
      <c r="T2407">
        <v>-1.818204E-2</v>
      </c>
      <c r="U2407">
        <v>7.4310299999999996E-2</v>
      </c>
      <c r="V2407">
        <v>-3.6464610000000001E-2</v>
      </c>
      <c r="W2407">
        <v>-1.431761E-2</v>
      </c>
      <c r="X2407">
        <v>0.99923240000000002</v>
      </c>
      <c r="Y2407">
        <v>1.5270570000000001E-2</v>
      </c>
      <c r="Z2407">
        <v>2.3874749999999999E-4</v>
      </c>
      <c r="AA2407">
        <v>0.99988339999999998</v>
      </c>
      <c r="AB2407">
        <v>35</v>
      </c>
      <c r="AC2407">
        <v>-185.02930000000001</v>
      </c>
      <c r="AD2407">
        <v>-1.121238195616</v>
      </c>
      <c r="AE2407">
        <v>4.5805999999999996</v>
      </c>
      <c r="AF2407">
        <v>2.8296012473143901</v>
      </c>
      <c r="AG2407">
        <v>-1.121238195616</v>
      </c>
      <c r="AH2407">
        <v>185.05756644852701</v>
      </c>
      <c r="AI2407">
        <v>90.347102382204099</v>
      </c>
      <c r="AJ2407">
        <v>89.123993796071503</v>
      </c>
      <c r="AK2407">
        <v>185.08259431443301</v>
      </c>
      <c r="AL2407">
        <v>90.820366634810497</v>
      </c>
      <c r="AM2407">
        <v>92.089945803183497</v>
      </c>
      <c r="AN2407">
        <v>1.0000000254741599</v>
      </c>
    </row>
    <row r="2408" spans="1:40" x14ac:dyDescent="0.25">
      <c r="A2408" t="str">
        <f>"20190303153820713"</f>
        <v>20190303153820713</v>
      </c>
      <c r="B2408" t="str">
        <f>"1551598700701574"</f>
        <v>1551598700701574</v>
      </c>
      <c r="C2408" t="s">
        <v>40</v>
      </c>
      <c r="D2408">
        <v>4.0973569999999997</v>
      </c>
      <c r="E2408">
        <v>0.5196537</v>
      </c>
      <c r="F2408" t="s">
        <v>51</v>
      </c>
      <c r="G2408">
        <v>-488.7439</v>
      </c>
      <c r="H2408" s="1">
        <v>4.0647740000000002E-6</v>
      </c>
      <c r="I2408">
        <v>288.1395</v>
      </c>
      <c r="J2408">
        <v>-296.97070000000002</v>
      </c>
      <c r="K2408">
        <v>1.121227</v>
      </c>
      <c r="L2408">
        <v>283.4144</v>
      </c>
      <c r="M2408">
        <v>-0.99984870000000003</v>
      </c>
      <c r="N2408">
        <v>-1.461265E-2</v>
      </c>
      <c r="O2408">
        <v>9.4444999999999998E-3</v>
      </c>
      <c r="P2408">
        <v>-0.99922429999999995</v>
      </c>
      <c r="Q2408">
        <v>-2.8482009999999999E-2</v>
      </c>
      <c r="R2408">
        <v>-2.719659E-2</v>
      </c>
      <c r="S2408">
        <v>-3.003876</v>
      </c>
      <c r="T2408">
        <v>-1.7536280000000001E-2</v>
      </c>
      <c r="U2408">
        <v>7.3944090000000004E-2</v>
      </c>
      <c r="V2408">
        <v>-3.6632560000000002E-2</v>
      </c>
      <c r="W2408">
        <v>-1.388518E-2</v>
      </c>
      <c r="X2408">
        <v>0.99923240000000002</v>
      </c>
      <c r="Y2408">
        <v>1.5164489999999999E-2</v>
      </c>
      <c r="Z2408">
        <v>2.3795789999999999E-4</v>
      </c>
      <c r="AA2408">
        <v>0.99988500000000002</v>
      </c>
      <c r="AB2408">
        <v>35</v>
      </c>
      <c r="AC2408">
        <v>-191.7732</v>
      </c>
      <c r="AD2408">
        <v>-1.1212229352259999</v>
      </c>
      <c r="AE2408">
        <v>4.7250999999999896</v>
      </c>
      <c r="AF2408">
        <v>2.9133944324113399</v>
      </c>
      <c r="AG2408">
        <v>-1.1212229352259999</v>
      </c>
      <c r="AH2408">
        <v>191.80272362045301</v>
      </c>
      <c r="AI2408">
        <v>90.334892016730706</v>
      </c>
      <c r="AJ2408">
        <v>89.129770600295799</v>
      </c>
      <c r="AK2408">
        <v>191.828125665172</v>
      </c>
      <c r="AL2408">
        <v>90.795587725361102</v>
      </c>
      <c r="AM2408">
        <v>92.0995631548912</v>
      </c>
      <c r="AN2408">
        <v>1.0000000659427699</v>
      </c>
    </row>
    <row r="2409" spans="1:40" x14ac:dyDescent="0.25">
      <c r="A2409" t="str">
        <f>"20190303153820725"</f>
        <v>20190303153820725</v>
      </c>
      <c r="B2409" t="str">
        <f>"1551598700721095"</f>
        <v>1551598700721095</v>
      </c>
      <c r="C2409" t="s">
        <v>40</v>
      </c>
      <c r="D2409">
        <v>4.0927119999999997</v>
      </c>
      <c r="E2409">
        <v>0.5196577</v>
      </c>
      <c r="F2409" t="s">
        <v>51</v>
      </c>
      <c r="G2409">
        <v>-499.95780000000002</v>
      </c>
      <c r="H2409">
        <v>3.1610779999999998E-2</v>
      </c>
      <c r="I2409">
        <v>288.37619999999998</v>
      </c>
      <c r="J2409">
        <v>-297.17070000000001</v>
      </c>
      <c r="K2409">
        <v>1.121219</v>
      </c>
      <c r="L2409">
        <v>283.41629999999998</v>
      </c>
      <c r="M2409">
        <v>-0.99984870000000003</v>
      </c>
      <c r="N2409">
        <v>-1.4614169999999999E-2</v>
      </c>
      <c r="O2409">
        <v>9.4399540000000004E-3</v>
      </c>
      <c r="P2409">
        <v>-0.9992181</v>
      </c>
      <c r="Q2409">
        <v>-2.839183E-2</v>
      </c>
      <c r="R2409">
        <v>-2.7516280000000001E-2</v>
      </c>
      <c r="S2409">
        <v>-3.0038450000000001</v>
      </c>
      <c r="T2409">
        <v>-1.6124369999999999E-2</v>
      </c>
      <c r="U2409">
        <v>7.3425290000000004E-2</v>
      </c>
      <c r="V2409">
        <v>-3.694803E-2</v>
      </c>
      <c r="W2409">
        <v>-1.3792779999999999E-2</v>
      </c>
      <c r="X2409">
        <v>0.99922200000000005</v>
      </c>
      <c r="Y2409">
        <v>1.4996840000000001E-2</v>
      </c>
      <c r="Z2409">
        <v>2.3714100000000001E-4</v>
      </c>
      <c r="AA2409">
        <v>0.99988750000000004</v>
      </c>
      <c r="AB2409">
        <v>35</v>
      </c>
      <c r="AC2409">
        <v>-202.78710000000001</v>
      </c>
      <c r="AD2409">
        <v>-1.0896082199999999</v>
      </c>
      <c r="AE2409">
        <v>4.9599000000000002</v>
      </c>
      <c r="AF2409">
        <v>3.0450858449759202</v>
      </c>
      <c r="AG2409">
        <v>-1.0896082199999999</v>
      </c>
      <c r="AH2409">
        <v>202.81903657506001</v>
      </c>
      <c r="AI2409">
        <v>90.307773460850299</v>
      </c>
      <c r="AJ2409">
        <v>89.139836859013101</v>
      </c>
      <c r="AK2409">
        <v>202.84482096201501</v>
      </c>
      <c r="AL2409">
        <v>90.790293139587504</v>
      </c>
      <c r="AM2409">
        <v>92.1176496714763</v>
      </c>
      <c r="AN2409">
        <v>1.0000000014924999</v>
      </c>
    </row>
    <row r="2410" spans="1:40" x14ac:dyDescent="0.25">
      <c r="A2410" t="str">
        <f>"20190303153820738"</f>
        <v>20190303153820738</v>
      </c>
      <c r="B2410" t="str">
        <f>"1551598700730854"</f>
        <v>1551598700730854</v>
      </c>
      <c r="C2410" t="s">
        <v>40</v>
      </c>
      <c r="D2410">
        <v>4.0692079999999997</v>
      </c>
      <c r="E2410">
        <v>0.51965929999999905</v>
      </c>
      <c r="F2410" t="s">
        <v>51</v>
      </c>
      <c r="G2410">
        <v>-499.97910000000002</v>
      </c>
      <c r="H2410">
        <v>7.1321029999999994E-2</v>
      </c>
      <c r="I2410">
        <v>288.32</v>
      </c>
      <c r="J2410">
        <v>-297.35559999999998</v>
      </c>
      <c r="K2410">
        <v>1.121211</v>
      </c>
      <c r="L2410">
        <v>283.41800000000001</v>
      </c>
      <c r="M2410">
        <v>-0.99984870000000003</v>
      </c>
      <c r="N2410">
        <v>-1.4615339999999999E-2</v>
      </c>
      <c r="O2410">
        <v>9.4414619999999994E-3</v>
      </c>
      <c r="P2410">
        <v>-0.99921179999999998</v>
      </c>
      <c r="Q2410">
        <v>-2.8576859999999999E-2</v>
      </c>
      <c r="R2410">
        <v>-2.7557089999999999E-2</v>
      </c>
      <c r="S2410">
        <v>-3.0039060000000002</v>
      </c>
      <c r="T2410">
        <v>-1.5550609999999999E-2</v>
      </c>
      <c r="U2410">
        <v>7.2631840000000003E-2</v>
      </c>
      <c r="V2410">
        <v>-3.6990330000000002E-2</v>
      </c>
      <c r="W2410">
        <v>-1.3975990000000001E-2</v>
      </c>
      <c r="X2410">
        <v>0.99921789999999999</v>
      </c>
      <c r="Y2410">
        <v>1.473094E-2</v>
      </c>
      <c r="Z2410">
        <v>2.349141E-4</v>
      </c>
      <c r="AA2410">
        <v>0.99989150000000004</v>
      </c>
      <c r="AB2410">
        <v>35</v>
      </c>
      <c r="AC2410">
        <v>-202.62350000000001</v>
      </c>
      <c r="AD2410">
        <v>-1.04988997</v>
      </c>
      <c r="AE2410">
        <v>4.9019999999999797</v>
      </c>
      <c r="AF2410">
        <v>2.9884350112489599</v>
      </c>
      <c r="AG2410">
        <v>-1.04988997</v>
      </c>
      <c r="AH2410">
        <v>202.65531614852901</v>
      </c>
      <c r="AI2410">
        <v>90.296795504825099</v>
      </c>
      <c r="AJ2410">
        <v>89.155155131976997</v>
      </c>
      <c r="AK2410">
        <v>202.68006852185999</v>
      </c>
      <c r="AL2410">
        <v>90.800791302687301</v>
      </c>
      <c r="AM2410">
        <v>92.120080545543601</v>
      </c>
      <c r="AN2410">
        <v>1.00000001224519</v>
      </c>
    </row>
    <row r="2411" spans="1:40" x14ac:dyDescent="0.25">
      <c r="A2411" t="str">
        <f>"20190303153820749"</f>
        <v>20190303153820749</v>
      </c>
      <c r="B2411" t="str">
        <f>"1551598700741591"</f>
        <v>1551598700741591</v>
      </c>
      <c r="C2411" t="s">
        <v>40</v>
      </c>
      <c r="D2411">
        <v>4.1039459999999996</v>
      </c>
      <c r="E2411">
        <v>0.5196634</v>
      </c>
      <c r="F2411" t="s">
        <v>51</v>
      </c>
      <c r="G2411">
        <v>-499.95780000000002</v>
      </c>
      <c r="H2411">
        <v>3.8386969999999999E-2</v>
      </c>
      <c r="I2411">
        <v>288.30239999999998</v>
      </c>
      <c r="J2411">
        <v>-297.54219999999998</v>
      </c>
      <c r="K2411">
        <v>1.1212029999999999</v>
      </c>
      <c r="L2411">
        <v>283.41980000000001</v>
      </c>
      <c r="M2411">
        <v>-0.99984870000000003</v>
      </c>
      <c r="N2411">
        <v>-1.461639E-2</v>
      </c>
      <c r="O2411">
        <v>9.4455900000000002E-3</v>
      </c>
      <c r="P2411">
        <v>-0.99921179999999998</v>
      </c>
      <c r="Q2411">
        <v>-2.8598459999999999E-2</v>
      </c>
      <c r="R2411">
        <v>-2.7536519999999998E-2</v>
      </c>
      <c r="S2411">
        <v>-3.0039060000000002</v>
      </c>
      <c r="T2411">
        <v>-1.605463E-2</v>
      </c>
      <c r="U2411">
        <v>7.2418209999999997E-2</v>
      </c>
      <c r="V2411">
        <v>-3.6974119999999999E-2</v>
      </c>
      <c r="W2411">
        <v>-1.3995799999999999E-2</v>
      </c>
      <c r="X2411">
        <v>0.99921819999999895</v>
      </c>
      <c r="Y2411">
        <v>1.4655710000000001E-2</v>
      </c>
      <c r="Z2411">
        <v>2.3387120000000001E-4</v>
      </c>
      <c r="AA2411">
        <v>0.99989260000000002</v>
      </c>
      <c r="AB2411">
        <v>35</v>
      </c>
      <c r="AC2411">
        <v>-202.41560000000001</v>
      </c>
      <c r="AD2411">
        <v>-1.08281603</v>
      </c>
      <c r="AE2411">
        <v>4.8825999999999601</v>
      </c>
      <c r="AF2411">
        <v>2.9701584277534199</v>
      </c>
      <c r="AG2411">
        <v>-1.08281603</v>
      </c>
      <c r="AH2411">
        <v>202.446902136142</v>
      </c>
      <c r="AI2411">
        <v>90.306418722477204</v>
      </c>
      <c r="AJ2411">
        <v>89.159456963221899</v>
      </c>
      <c r="AK2411">
        <v>202.471584465973</v>
      </c>
      <c r="AL2411">
        <v>90.801926461260194</v>
      </c>
      <c r="AM2411">
        <v>92.119151689839995</v>
      </c>
      <c r="AN2411">
        <v>0.99999998958932601</v>
      </c>
    </row>
    <row r="2412" spans="1:40" x14ac:dyDescent="0.25">
      <c r="A2412" t="str">
        <f>"20190303153820761"</f>
        <v>20190303153820761</v>
      </c>
      <c r="B2412" t="str">
        <f>"1551598700751350"</f>
        <v>1551598700751350</v>
      </c>
      <c r="C2412" t="s">
        <v>40</v>
      </c>
      <c r="D2412">
        <v>4.0927769999999999</v>
      </c>
      <c r="E2412">
        <v>0.51966729999999905</v>
      </c>
      <c r="F2412" t="s">
        <v>51</v>
      </c>
      <c r="G2412">
        <v>-499.95780000000002</v>
      </c>
      <c r="H2412">
        <v>3.6752060000000003E-2</v>
      </c>
      <c r="I2412">
        <v>288.3057</v>
      </c>
      <c r="J2412">
        <v>-297.72980000000001</v>
      </c>
      <c r="K2412">
        <v>1.121194</v>
      </c>
      <c r="L2412">
        <v>283.42149999999998</v>
      </c>
      <c r="M2412">
        <v>-0.99984859999999998</v>
      </c>
      <c r="N2412">
        <v>-1.4617170000000001E-2</v>
      </c>
      <c r="O2412">
        <v>9.4595110000000003E-3</v>
      </c>
      <c r="P2412">
        <v>-0.99920120000000001</v>
      </c>
      <c r="Q2412">
        <v>-2.903669E-2</v>
      </c>
      <c r="R2412">
        <v>-2.746262E-2</v>
      </c>
      <c r="S2412">
        <v>-3.0039370000000001</v>
      </c>
      <c r="T2412">
        <v>-1.6093730000000001E-2</v>
      </c>
      <c r="U2412">
        <v>7.2509770000000001E-2</v>
      </c>
      <c r="V2412">
        <v>-3.6914339999999997E-2</v>
      </c>
      <c r="W2412">
        <v>-1.4432560000000001E-2</v>
      </c>
      <c r="X2412">
        <v>0.99921420000000005</v>
      </c>
      <c r="Y2412">
        <v>1.4671989999999999E-2</v>
      </c>
      <c r="Z2412">
        <v>2.3414829999999999E-4</v>
      </c>
      <c r="AA2412">
        <v>0.99989240000000001</v>
      </c>
      <c r="AB2412">
        <v>35</v>
      </c>
      <c r="AC2412">
        <v>-202.22799999999901</v>
      </c>
      <c r="AD2412">
        <v>-1.08444194</v>
      </c>
      <c r="AE2412">
        <v>4.8842000000000203</v>
      </c>
      <c r="AF2412">
        <v>2.97071401007641</v>
      </c>
      <c r="AG2412">
        <v>-1.08444194</v>
      </c>
      <c r="AH2412">
        <v>202.259344220873</v>
      </c>
      <c r="AI2412">
        <v>90.307163312717805</v>
      </c>
      <c r="AJ2412">
        <v>89.158520277164001</v>
      </c>
      <c r="AK2412">
        <v>202.284066304562</v>
      </c>
      <c r="AL2412">
        <v>90.826953492464099</v>
      </c>
      <c r="AM2412">
        <v>92.115737009622194</v>
      </c>
      <c r="AN2412">
        <v>0.99999999238371395</v>
      </c>
    </row>
    <row r="2413" spans="1:40" x14ac:dyDescent="0.25">
      <c r="A2413" t="str">
        <f>"20190303153820773"</f>
        <v>20190303153820773</v>
      </c>
      <c r="B2413" t="str">
        <f>"1551598700761110"</f>
        <v>1551598700761110</v>
      </c>
      <c r="C2413" t="s">
        <v>40</v>
      </c>
      <c r="D2413">
        <v>4.0836360000000003</v>
      </c>
      <c r="E2413">
        <v>0.51967140000000001</v>
      </c>
      <c r="F2413" t="s">
        <v>51</v>
      </c>
      <c r="G2413">
        <v>-492.12099999999998</v>
      </c>
      <c r="H2413" s="1">
        <v>3.8958680000000002E-6</v>
      </c>
      <c r="I2413">
        <v>288.1336</v>
      </c>
      <c r="J2413">
        <v>-297.90589999999997</v>
      </c>
      <c r="K2413">
        <v>1.1211850000000001</v>
      </c>
      <c r="L2413">
        <v>283.42320000000001</v>
      </c>
      <c r="M2413">
        <v>-0.99984839999999997</v>
      </c>
      <c r="N2413">
        <v>-1.46178E-2</v>
      </c>
      <c r="O2413">
        <v>9.4756340000000001E-3</v>
      </c>
      <c r="P2413">
        <v>-0.99919840000000004</v>
      </c>
      <c r="Q2413">
        <v>-2.9357500000000002E-2</v>
      </c>
      <c r="R2413">
        <v>-2.722308E-2</v>
      </c>
      <c r="S2413">
        <v>-3.0039060000000002</v>
      </c>
      <c r="T2413">
        <v>-1.732564E-2</v>
      </c>
      <c r="U2413">
        <v>7.2814939999999995E-2</v>
      </c>
      <c r="V2413">
        <v>-3.6691189999999999E-2</v>
      </c>
      <c r="W2413">
        <v>-1.475195E-2</v>
      </c>
      <c r="X2413">
        <v>0.99921769999999999</v>
      </c>
      <c r="Y2413">
        <v>1.475752E-2</v>
      </c>
      <c r="Z2413">
        <v>2.343031E-4</v>
      </c>
      <c r="AA2413">
        <v>0.99989110000000003</v>
      </c>
      <c r="AB2413">
        <v>35</v>
      </c>
      <c r="AC2413">
        <v>-194.21510000000001</v>
      </c>
      <c r="AD2413">
        <v>-1.1211811041319999</v>
      </c>
      <c r="AE2413">
        <v>4.7103999999999902</v>
      </c>
      <c r="AF2413">
        <v>2.8695853184325801</v>
      </c>
      <c r="AG2413">
        <v>-1.1211811041319999</v>
      </c>
      <c r="AH2413">
        <v>194.244548051501</v>
      </c>
      <c r="AI2413">
        <v>90.330671949995903</v>
      </c>
      <c r="AJ2413">
        <v>89.153627887684394</v>
      </c>
      <c r="AK2413">
        <v>194.268978518702</v>
      </c>
      <c r="AL2413">
        <v>90.845255186530196</v>
      </c>
      <c r="AM2413">
        <v>92.102951376865306</v>
      </c>
      <c r="AN2413">
        <v>0.99999993772285201</v>
      </c>
    </row>
    <row r="2414" spans="1:40" x14ac:dyDescent="0.25">
      <c r="A2414" t="str">
        <f>"20190303153820784"</f>
        <v>20190303153820784</v>
      </c>
      <c r="B2414" t="str">
        <f>"1551598700780630"</f>
        <v>1551598700780630</v>
      </c>
      <c r="C2414" t="s">
        <v>40</v>
      </c>
      <c r="D2414">
        <v>4.0843829999999999</v>
      </c>
      <c r="E2414">
        <v>0.51968459999999905</v>
      </c>
      <c r="F2414" t="s">
        <v>51</v>
      </c>
      <c r="G2414">
        <v>-482.27710000000002</v>
      </c>
      <c r="H2414" s="1">
        <v>2.900659E-6</v>
      </c>
      <c r="I2414">
        <v>287.94490000000002</v>
      </c>
      <c r="J2414">
        <v>-298.08960000000002</v>
      </c>
      <c r="K2414">
        <v>1.1211770000000001</v>
      </c>
      <c r="L2414">
        <v>283.42500000000001</v>
      </c>
      <c r="M2414">
        <v>-0.99984810000000002</v>
      </c>
      <c r="N2414">
        <v>-1.4618269999999999E-2</v>
      </c>
      <c r="O2414">
        <v>9.4977359999999997E-3</v>
      </c>
      <c r="P2414">
        <v>-0.99919340000000001</v>
      </c>
      <c r="Q2414">
        <v>-2.9725600000000001E-2</v>
      </c>
      <c r="R2414">
        <v>-2.700375E-2</v>
      </c>
      <c r="S2414">
        <v>-3.003876</v>
      </c>
      <c r="T2414">
        <v>-1.8266919999999999E-2</v>
      </c>
      <c r="U2414">
        <v>7.3669429999999994E-2</v>
      </c>
      <c r="V2414">
        <v>-3.6494199999999997E-2</v>
      </c>
      <c r="W2414">
        <v>-1.511875E-2</v>
      </c>
      <c r="X2414">
        <v>0.99921950000000004</v>
      </c>
      <c r="Y2414">
        <v>1.501982E-2</v>
      </c>
      <c r="Z2414">
        <v>2.3655820000000001E-4</v>
      </c>
      <c r="AA2414">
        <v>0.99988719999999998</v>
      </c>
      <c r="AB2414">
        <v>35</v>
      </c>
      <c r="AC2414">
        <v>-184.1875</v>
      </c>
      <c r="AD2414">
        <v>-1.121174099341</v>
      </c>
      <c r="AE2414">
        <v>4.5198999999999998</v>
      </c>
      <c r="AF2414">
        <v>2.7700424261481902</v>
      </c>
      <c r="AG2414">
        <v>-1.121174099341</v>
      </c>
      <c r="AH2414">
        <v>184.21530228006401</v>
      </c>
      <c r="AI2414">
        <v>90.348670761999003</v>
      </c>
      <c r="AJ2414">
        <v>89.138509246522403</v>
      </c>
      <c r="AK2414">
        <v>184.23953908034801</v>
      </c>
      <c r="AL2414">
        <v>90.866273564917705</v>
      </c>
      <c r="AM2414">
        <v>92.091667208605699</v>
      </c>
      <c r="AN2414">
        <v>1.0000000062077199</v>
      </c>
    </row>
    <row r="2415" spans="1:40" x14ac:dyDescent="0.25">
      <c r="A2415" t="str">
        <f>"20190303153820802"</f>
        <v>20190303153820802</v>
      </c>
      <c r="B2415" t="str">
        <f>"1551598700791366"</f>
        <v>1551598700791366</v>
      </c>
      <c r="C2415" t="s">
        <v>40</v>
      </c>
      <c r="D2415">
        <v>4.0661719999999999</v>
      </c>
      <c r="E2415">
        <v>0.51968709999999996</v>
      </c>
      <c r="F2415" t="s">
        <v>51</v>
      </c>
      <c r="G2415">
        <v>-473.63670000000002</v>
      </c>
      <c r="H2415" s="1">
        <v>5.2778300000000001E-6</v>
      </c>
      <c r="I2415">
        <v>287.77850000000001</v>
      </c>
      <c r="J2415">
        <v>-298.34480000000002</v>
      </c>
      <c r="K2415">
        <v>1.1211629999999999</v>
      </c>
      <c r="L2415">
        <v>283.42750000000001</v>
      </c>
      <c r="M2415">
        <v>-0.99984779999999995</v>
      </c>
      <c r="N2415">
        <v>-1.4618630000000001E-2</v>
      </c>
      <c r="O2415">
        <v>9.5360570000000006E-3</v>
      </c>
      <c r="P2415">
        <v>-0.99919400000000003</v>
      </c>
      <c r="Q2415">
        <v>-3.0411009999999999E-2</v>
      </c>
      <c r="R2415">
        <v>-2.6212220000000001E-2</v>
      </c>
      <c r="S2415">
        <v>-3.003876</v>
      </c>
      <c r="T2415">
        <v>-1.9184949999999999E-2</v>
      </c>
      <c r="U2415">
        <v>7.4493409999999996E-2</v>
      </c>
      <c r="V2415">
        <v>-3.5741479999999999E-2</v>
      </c>
      <c r="W2415">
        <v>-1.5802469999999999E-2</v>
      </c>
      <c r="X2415">
        <v>0.99923609999999896</v>
      </c>
      <c r="Y2415">
        <v>1.52555E-2</v>
      </c>
      <c r="Z2415">
        <v>2.3874850000000001E-4</v>
      </c>
      <c r="AA2415">
        <v>0.99988359999999998</v>
      </c>
      <c r="AB2415">
        <v>35</v>
      </c>
      <c r="AC2415">
        <v>-175.2919</v>
      </c>
      <c r="AD2415">
        <v>-1.12115772217</v>
      </c>
      <c r="AE2415">
        <v>4.3509999999999902</v>
      </c>
      <c r="AF2415">
        <v>2.6789206275408199</v>
      </c>
      <c r="AG2415">
        <v>-1.12115772217</v>
      </c>
      <c r="AH2415">
        <v>175.318256196455</v>
      </c>
      <c r="AI2415">
        <v>90.366357923185902</v>
      </c>
      <c r="AJ2415">
        <v>89.124569771007998</v>
      </c>
      <c r="AK2415">
        <v>175.34230683475201</v>
      </c>
      <c r="AL2415">
        <v>90.905452544566899</v>
      </c>
      <c r="AM2415">
        <v>92.048528159239098</v>
      </c>
      <c r="AN2415">
        <v>0.99999997749695002</v>
      </c>
    </row>
    <row r="2416" spans="1:40" x14ac:dyDescent="0.25">
      <c r="A2416" t="str">
        <f>"20190303153820816"</f>
        <v>20190303153820816</v>
      </c>
      <c r="B2416" t="str">
        <f>"1551598700810887"</f>
        <v>1551598700810887</v>
      </c>
      <c r="C2416" t="s">
        <v>40</v>
      </c>
      <c r="D2416">
        <v>4.08277</v>
      </c>
      <c r="E2416">
        <v>0.51970280000000002</v>
      </c>
      <c r="F2416" t="s">
        <v>55</v>
      </c>
      <c r="G2416">
        <v>-457.00389999999999</v>
      </c>
      <c r="H2416" s="1">
        <v>2.0651759999999999E-6</v>
      </c>
      <c r="I2416">
        <v>287.47989999999999</v>
      </c>
      <c r="J2416">
        <v>-298.5641</v>
      </c>
      <c r="K2416">
        <v>1.1211519999999999</v>
      </c>
      <c r="L2416">
        <v>283.42959999999999</v>
      </c>
      <c r="M2416">
        <v>-0.99984740000000005</v>
      </c>
      <c r="N2416">
        <v>-1.461873E-2</v>
      </c>
      <c r="O2416">
        <v>9.5743400000000006E-3</v>
      </c>
      <c r="P2416">
        <v>-0.99920200000000003</v>
      </c>
      <c r="Q2416">
        <v>-3.0356459999999998E-2</v>
      </c>
      <c r="R2416">
        <v>-2.5964729999999998E-2</v>
      </c>
      <c r="S2416">
        <v>-3.003784</v>
      </c>
      <c r="T2416">
        <v>-2.1226169999999999E-2</v>
      </c>
      <c r="U2416">
        <v>7.6721189999999995E-2</v>
      </c>
      <c r="V2416">
        <v>-3.5532809999999998E-2</v>
      </c>
      <c r="W2416">
        <v>-1.5746759999999999E-2</v>
      </c>
      <c r="X2416">
        <v>0.99924449999999998</v>
      </c>
      <c r="Y2416">
        <v>1.595883E-2</v>
      </c>
      <c r="Z2416">
        <v>2.4537000000000002E-4</v>
      </c>
      <c r="AA2416">
        <v>0.9998726</v>
      </c>
      <c r="AB2416">
        <v>35</v>
      </c>
      <c r="AC2416">
        <v>-158.43979999999999</v>
      </c>
      <c r="AD2416">
        <v>-1.1211499348239999</v>
      </c>
      <c r="AE2416">
        <v>4.0502999999999902</v>
      </c>
      <c r="AF2416">
        <v>2.5328690881533</v>
      </c>
      <c r="AG2416">
        <v>-1.1211499348239999</v>
      </c>
      <c r="AH2416">
        <v>158.46338997586599</v>
      </c>
      <c r="AI2416">
        <v>90.405316860778697</v>
      </c>
      <c r="AJ2416">
        <v>89.084265761496198</v>
      </c>
      <c r="AK2416">
        <v>158.48759688265</v>
      </c>
      <c r="AL2416">
        <v>90.902260128650497</v>
      </c>
      <c r="AM2416">
        <v>92.036561202690194</v>
      </c>
      <c r="AN2416">
        <v>1.00000005590862</v>
      </c>
    </row>
    <row r="2417" spans="1:40" x14ac:dyDescent="0.25">
      <c r="A2417" t="str">
        <f>"20190303153820830"</f>
        <v>20190303153820830</v>
      </c>
      <c r="B2417" t="str">
        <f>"1551598700820646"</f>
        <v>1551598700820646</v>
      </c>
      <c r="C2417" t="s">
        <v>40</v>
      </c>
      <c r="D2417">
        <v>4.0848909999999998</v>
      </c>
      <c r="E2417">
        <v>0.51970499999999997</v>
      </c>
      <c r="F2417" t="s">
        <v>55</v>
      </c>
      <c r="G2417">
        <v>-459.4984</v>
      </c>
      <c r="H2417" s="1">
        <v>3.3877740000000001E-6</v>
      </c>
      <c r="I2417">
        <v>287.59089999999998</v>
      </c>
      <c r="J2417">
        <v>-298.78109999999998</v>
      </c>
      <c r="K2417">
        <v>1.1211439999999999</v>
      </c>
      <c r="L2417">
        <v>283.43169999999998</v>
      </c>
      <c r="M2417">
        <v>-0.99984689999999998</v>
      </c>
      <c r="N2417">
        <v>-1.461868E-2</v>
      </c>
      <c r="O2417">
        <v>9.6164849999999993E-3</v>
      </c>
      <c r="P2417">
        <v>-0.9992065</v>
      </c>
      <c r="Q2417">
        <v>-3.0707020000000002E-2</v>
      </c>
      <c r="R2417">
        <v>-2.5369699999999999E-2</v>
      </c>
      <c r="S2417">
        <v>-3.0037539999999998</v>
      </c>
      <c r="T2417">
        <v>-2.0925639999999999E-2</v>
      </c>
      <c r="U2417">
        <v>7.7667239999999999E-2</v>
      </c>
      <c r="V2417">
        <v>-3.4980850000000001E-2</v>
      </c>
      <c r="W2417">
        <v>-1.6096360000000001E-2</v>
      </c>
      <c r="X2417">
        <v>0.99925830000000004</v>
      </c>
      <c r="Y2417">
        <v>1.623165E-2</v>
      </c>
      <c r="Z2417">
        <v>2.4879600000000002E-4</v>
      </c>
      <c r="AA2417">
        <v>0.99986819999999998</v>
      </c>
      <c r="AB2417">
        <v>35</v>
      </c>
      <c r="AC2417">
        <v>-160.71729999999999</v>
      </c>
      <c r="AD2417">
        <v>-1.1211406122259999</v>
      </c>
      <c r="AE2417">
        <v>4.1591999999999896</v>
      </c>
      <c r="AF2417">
        <v>2.6131798893622702</v>
      </c>
      <c r="AG2417">
        <v>-1.1211406122259999</v>
      </c>
      <c r="AH2417">
        <v>160.74205120507901</v>
      </c>
      <c r="AI2417">
        <v>90.3995662416052</v>
      </c>
      <c r="AJ2417">
        <v>89.068625853838697</v>
      </c>
      <c r="AK2417">
        <v>160.767200296027</v>
      </c>
      <c r="AL2417">
        <v>90.922293367872797</v>
      </c>
      <c r="AM2417">
        <v>92.004923999506602</v>
      </c>
      <c r="AN2417">
        <v>0.99999995139542897</v>
      </c>
    </row>
    <row r="2418" spans="1:40" x14ac:dyDescent="0.25">
      <c r="A2418" t="str">
        <f>"20190303153820842"</f>
        <v>20190303153820842</v>
      </c>
      <c r="B2418" t="str">
        <f>"1551598700831382"</f>
        <v>1551598700831382</v>
      </c>
      <c r="C2418" t="s">
        <v>40</v>
      </c>
      <c r="D2418">
        <v>4.0981360000000002</v>
      </c>
      <c r="E2418">
        <v>0.51971080000000003</v>
      </c>
      <c r="F2418" t="s">
        <v>55</v>
      </c>
      <c r="G2418">
        <v>-452.17779999999999</v>
      </c>
      <c r="H2418" s="1">
        <v>-5.0408409999999999E-7</v>
      </c>
      <c r="I2418">
        <v>287.50409999999999</v>
      </c>
      <c r="J2418">
        <v>-298.96899999999999</v>
      </c>
      <c r="K2418">
        <v>1.1211390000000001</v>
      </c>
      <c r="L2418">
        <v>283.43360000000001</v>
      </c>
      <c r="M2418">
        <v>-0.99984649999999997</v>
      </c>
      <c r="N2418">
        <v>-1.461842E-2</v>
      </c>
      <c r="O2418">
        <v>9.6573849999999992E-3</v>
      </c>
      <c r="P2418">
        <v>-0.99921749999999998</v>
      </c>
      <c r="Q2418">
        <v>-3.048257E-2</v>
      </c>
      <c r="R2418">
        <v>-2.5205430000000001E-2</v>
      </c>
      <c r="S2418">
        <v>-3.0037229999999999</v>
      </c>
      <c r="T2418">
        <v>-2.195358E-2</v>
      </c>
      <c r="U2418">
        <v>7.9742430000000003E-2</v>
      </c>
      <c r="V2418">
        <v>-3.4857560000000003E-2</v>
      </c>
      <c r="W2418">
        <v>-1.5871420000000001E-2</v>
      </c>
      <c r="X2418">
        <v>0.99926630000000005</v>
      </c>
      <c r="Y2418">
        <v>1.6881170000000001E-2</v>
      </c>
      <c r="Z2418">
        <v>2.556991E-4</v>
      </c>
      <c r="AA2418">
        <v>0.99985749999999995</v>
      </c>
      <c r="AB2418">
        <v>35</v>
      </c>
      <c r="AC2418">
        <v>-153.2088</v>
      </c>
      <c r="AD2418">
        <v>-1.1211395040840999</v>
      </c>
      <c r="AE2418">
        <v>4.0704999999999796</v>
      </c>
      <c r="AF2418">
        <v>2.59041702506584</v>
      </c>
      <c r="AG2418">
        <v>-1.1211395040840999</v>
      </c>
      <c r="AH2418">
        <v>153.232768693645</v>
      </c>
      <c r="AI2418">
        <v>90.419141674303305</v>
      </c>
      <c r="AJ2418">
        <v>89.031500717631005</v>
      </c>
      <c r="AK2418">
        <v>153.25876358522399</v>
      </c>
      <c r="AL2418">
        <v>90.909403522871301</v>
      </c>
      <c r="AM2418">
        <v>91.997847400079195</v>
      </c>
      <c r="AN2418">
        <v>1.00000004488882</v>
      </c>
    </row>
    <row r="2419" spans="1:40" x14ac:dyDescent="0.25">
      <c r="A2419" t="str">
        <f>"20190303153820859"</f>
        <v>20190303153820859</v>
      </c>
      <c r="B2419" t="str">
        <f>"1551598700850902"</f>
        <v>1551598700850902</v>
      </c>
      <c r="C2419" t="s">
        <v>40</v>
      </c>
      <c r="D2419">
        <v>4.0882560000000003</v>
      </c>
      <c r="E2419">
        <v>0.51970019999999995</v>
      </c>
      <c r="F2419" t="s">
        <v>55</v>
      </c>
      <c r="G2419">
        <v>-457.76400000000001</v>
      </c>
      <c r="H2419" s="1">
        <v>2.4609710000000001E-6</v>
      </c>
      <c r="I2419">
        <v>287.6782</v>
      </c>
      <c r="J2419">
        <v>-299.2439</v>
      </c>
      <c r="K2419">
        <v>1.121129</v>
      </c>
      <c r="L2419">
        <v>283.43630000000002</v>
      </c>
      <c r="M2419">
        <v>-0.99984600000000001</v>
      </c>
      <c r="N2419">
        <v>-1.461786E-2</v>
      </c>
      <c r="O2419">
        <v>9.7204319999999993E-3</v>
      </c>
      <c r="P2419">
        <v>-0.99921740000000003</v>
      </c>
      <c r="Q2419">
        <v>-3.0962460000000001E-2</v>
      </c>
      <c r="R2419">
        <v>-2.4624750000000001E-2</v>
      </c>
      <c r="S2419">
        <v>-3.0037539999999998</v>
      </c>
      <c r="T2419">
        <v>-2.120733E-2</v>
      </c>
      <c r="U2419">
        <v>8.0291749999999995E-2</v>
      </c>
      <c r="V2419">
        <v>-3.4340309999999999E-2</v>
      </c>
      <c r="W2419">
        <v>-1.6351069999999999E-2</v>
      </c>
      <c r="X2419">
        <v>0.99927650000000001</v>
      </c>
      <c r="Y2419">
        <v>1.7000640000000001E-2</v>
      </c>
      <c r="Z2419">
        <v>2.5776260000000002E-4</v>
      </c>
      <c r="AA2419">
        <v>0.99985550000000001</v>
      </c>
      <c r="AB2419">
        <v>35</v>
      </c>
      <c r="AC2419">
        <v>-158.52010000000001</v>
      </c>
      <c r="AD2419">
        <v>-1.1211265390289999</v>
      </c>
      <c r="AE2419">
        <v>4.2418999999999798</v>
      </c>
      <c r="AF2419">
        <v>2.7005162082197902</v>
      </c>
      <c r="AG2419">
        <v>-1.1211265390289999</v>
      </c>
      <c r="AH2419">
        <v>158.545921962254</v>
      </c>
      <c r="AI2419">
        <v>90.4050904108814</v>
      </c>
      <c r="AJ2419">
        <v>89.024174078512402</v>
      </c>
      <c r="AK2419">
        <v>158.57288255994001</v>
      </c>
      <c r="AL2419">
        <v>90.936888987496999</v>
      </c>
      <c r="AM2419">
        <v>91.968204836847704</v>
      </c>
      <c r="AN2419">
        <v>1.00000006891664</v>
      </c>
    </row>
    <row r="2420" spans="1:40" x14ac:dyDescent="0.25">
      <c r="A2420" t="str">
        <f>"20190303153820872"</f>
        <v>20190303153820872</v>
      </c>
      <c r="B2420" t="str">
        <f>"1551598700860662"</f>
        <v>1551598700860662</v>
      </c>
      <c r="C2420" t="s">
        <v>40</v>
      </c>
      <c r="D2420">
        <v>4.0780510000000003</v>
      </c>
      <c r="E2420">
        <v>0.53318719999999997</v>
      </c>
      <c r="F2420" t="s">
        <v>55</v>
      </c>
      <c r="G2420">
        <v>-447.26600000000002</v>
      </c>
      <c r="H2420" s="1">
        <v>2.2052009999999999E-6</v>
      </c>
      <c r="I2420">
        <v>287.46679999999998</v>
      </c>
      <c r="J2420">
        <v>-299.42680000000001</v>
      </c>
      <c r="K2420">
        <v>1.1211199999999999</v>
      </c>
      <c r="L2420">
        <v>283.43810000000002</v>
      </c>
      <c r="M2420">
        <v>-0.99984550000000005</v>
      </c>
      <c r="N2420">
        <v>-1.4617359999999999E-2</v>
      </c>
      <c r="O2420">
        <v>9.764689E-3</v>
      </c>
      <c r="P2420">
        <v>-0.9992067</v>
      </c>
      <c r="Q2420">
        <v>-3.1563290000000001E-2</v>
      </c>
      <c r="R2420">
        <v>-2.4284119999999999E-2</v>
      </c>
      <c r="S2420">
        <v>-3.0036320000000001</v>
      </c>
      <c r="T2420">
        <v>-2.2749660000000001E-2</v>
      </c>
      <c r="U2420">
        <v>8.1787109999999996E-2</v>
      </c>
      <c r="V2420">
        <v>-3.4044060000000001E-2</v>
      </c>
      <c r="W2420">
        <v>-1.695209E-2</v>
      </c>
      <c r="X2420">
        <v>0.99927659999999996</v>
      </c>
      <c r="Y2420">
        <v>1.745468E-2</v>
      </c>
      <c r="Z2420">
        <v>2.6247800000000002E-4</v>
      </c>
      <c r="AA2420">
        <v>0.99984770000000001</v>
      </c>
      <c r="AB2420">
        <v>35</v>
      </c>
      <c r="AC2420">
        <v>-147.83919999999901</v>
      </c>
      <c r="AD2420">
        <v>-1.1211177947990001</v>
      </c>
      <c r="AE2420">
        <v>4.02869999999995</v>
      </c>
      <c r="AF2420">
        <v>2.5846013334817202</v>
      </c>
      <c r="AG2420">
        <v>-1.1211177947990001</v>
      </c>
      <c r="AH2420">
        <v>147.862996462007</v>
      </c>
      <c r="AI2420">
        <v>90.434349892818702</v>
      </c>
      <c r="AJ2420">
        <v>88.998588745687897</v>
      </c>
      <c r="AK2420">
        <v>147.88983329453799</v>
      </c>
      <c r="AL2420">
        <v>90.971329691106206</v>
      </c>
      <c r="AM2420">
        <v>91.951238341814502</v>
      </c>
      <c r="AN2420">
        <v>1.0000000473421</v>
      </c>
    </row>
    <row r="2421" spans="1:40" x14ac:dyDescent="0.25">
      <c r="A2421" t="str">
        <f>"20190303153820886"</f>
        <v>20190303153820886</v>
      </c>
      <c r="B2421" t="str">
        <f>"1551598700881160"</f>
        <v>1551598700881160</v>
      </c>
      <c r="C2421" t="s">
        <v>40</v>
      </c>
      <c r="D2421">
        <v>4.1798760000000001</v>
      </c>
      <c r="E2421">
        <v>0.53086540000000004</v>
      </c>
      <c r="F2421" t="s">
        <v>55</v>
      </c>
      <c r="G2421">
        <v>-386.78210000000001</v>
      </c>
      <c r="H2421" s="1">
        <v>2.0723289999999998E-6</v>
      </c>
      <c r="I2421">
        <v>288.97320000000002</v>
      </c>
      <c r="J2421">
        <v>-299.65089999999998</v>
      </c>
      <c r="K2421">
        <v>1.1211150000000001</v>
      </c>
      <c r="L2421">
        <v>283.44029999999998</v>
      </c>
      <c r="M2421">
        <v>-0.99984499999999998</v>
      </c>
      <c r="N2421">
        <v>-1.4616580000000001E-2</v>
      </c>
      <c r="O2421">
        <v>9.8216329999999998E-3</v>
      </c>
      <c r="P2421">
        <v>-0.99920249999999999</v>
      </c>
      <c r="Q2421">
        <v>-3.1948629999999999E-2</v>
      </c>
      <c r="R2421">
        <v>-2.3956000000000002E-2</v>
      </c>
      <c r="S2421">
        <v>-3.0058590000000001</v>
      </c>
      <c r="T2421">
        <v>-3.8577199999999999E-2</v>
      </c>
      <c r="U2421">
        <v>0.1904602</v>
      </c>
      <c r="V2421">
        <v>-3.3772719999999999E-2</v>
      </c>
      <c r="W2421">
        <v>-1.73379E-2</v>
      </c>
      <c r="X2421">
        <v>0.99927909999999998</v>
      </c>
      <c r="Y2421">
        <v>5.3420710000000003E-2</v>
      </c>
      <c r="Z2421">
        <v>7.508317E-4</v>
      </c>
      <c r="AA2421">
        <v>0.99857180000000001</v>
      </c>
      <c r="AB2421">
        <v>35</v>
      </c>
      <c r="AC2421">
        <v>-87.131200000000007</v>
      </c>
      <c r="AD2421">
        <v>-1.1211129276709999</v>
      </c>
      <c r="AE2421">
        <v>5.5329000000000397</v>
      </c>
      <c r="AF2421">
        <v>4.6759999879428404</v>
      </c>
      <c r="AG2421">
        <v>-1.1211129276709999</v>
      </c>
      <c r="AH2421">
        <v>87.166971114029593</v>
      </c>
      <c r="AI2421">
        <v>90.735820992810403</v>
      </c>
      <c r="AJ2421">
        <v>86.929358552888104</v>
      </c>
      <c r="AK2421">
        <v>87.299500131890298</v>
      </c>
      <c r="AL2421">
        <v>90.993438311770603</v>
      </c>
      <c r="AM2421">
        <v>91.935693504905601</v>
      </c>
      <c r="AN2421">
        <v>0.99999995954470799</v>
      </c>
    </row>
    <row r="2422" spans="1:40" x14ac:dyDescent="0.25">
      <c r="A2422" t="str">
        <f>"20190303153820903"</f>
        <v>20190303153820903</v>
      </c>
      <c r="B2422" t="str">
        <f>"1551598700890919"</f>
        <v>1551598700890919</v>
      </c>
      <c r="C2422" t="s">
        <v>40</v>
      </c>
      <c r="D2422">
        <v>4.17415</v>
      </c>
      <c r="E2422">
        <v>0.52946689999999996</v>
      </c>
      <c r="F2422" t="s">
        <v>55</v>
      </c>
      <c r="G2422">
        <v>-345.86709999999999</v>
      </c>
      <c r="H2422" s="1">
        <v>1.5854060000000001E-6</v>
      </c>
      <c r="I2422">
        <v>286.11309999999997</v>
      </c>
      <c r="J2422">
        <v>-299.91570000000002</v>
      </c>
      <c r="K2422">
        <v>1.1211089999999999</v>
      </c>
      <c r="L2422">
        <v>283.44299999999998</v>
      </c>
      <c r="M2422">
        <v>-0.99984430000000002</v>
      </c>
      <c r="N2422">
        <v>-1.461549E-2</v>
      </c>
      <c r="O2422">
        <v>9.8906080000000004E-3</v>
      </c>
      <c r="P2422">
        <v>-0.99920580000000003</v>
      </c>
      <c r="Q2422">
        <v>-3.2123209999999999E-2</v>
      </c>
      <c r="R2422">
        <v>-2.3586679999999999E-2</v>
      </c>
      <c r="S2422">
        <v>-3.0042110000000002</v>
      </c>
      <c r="T2422">
        <v>-7.2876209999999997E-2</v>
      </c>
      <c r="U2422">
        <v>0.17373659999999999</v>
      </c>
      <c r="V2422">
        <v>-3.3472420000000003E-2</v>
      </c>
      <c r="W2422">
        <v>-1.7513219999999999E-2</v>
      </c>
      <c r="X2422">
        <v>0.99928620000000001</v>
      </c>
      <c r="Y2422">
        <v>4.7834519999999998E-2</v>
      </c>
      <c r="Z2422">
        <v>8.3434679999999997E-4</v>
      </c>
      <c r="AA2422">
        <v>0.99885489999999999</v>
      </c>
      <c r="AB2422">
        <v>35</v>
      </c>
      <c r="AC2422">
        <v>-45.9513999999999</v>
      </c>
      <c r="AD2422">
        <v>-1.1211074145940001</v>
      </c>
      <c r="AE2422">
        <v>2.6700999999999899</v>
      </c>
      <c r="AF2422">
        <v>2.2141200357963902</v>
      </c>
      <c r="AG2422">
        <v>-1.1211074145940001</v>
      </c>
      <c r="AH2422">
        <v>45.948305082018003</v>
      </c>
      <c r="AI2422">
        <v>91.396081486599599</v>
      </c>
      <c r="AJ2422">
        <v>87.241210964236998</v>
      </c>
      <c r="AK2422">
        <v>46.015279519722299</v>
      </c>
      <c r="AL2422">
        <v>91.003484880410397</v>
      </c>
      <c r="AM2422">
        <v>91.918481019880304</v>
      </c>
      <c r="AN2422">
        <v>1.00000001264293</v>
      </c>
    </row>
    <row r="2423" spans="1:40" x14ac:dyDescent="0.25">
      <c r="A2423" t="str">
        <f>"20190303153820925"</f>
        <v>20190303153820925</v>
      </c>
      <c r="B2423" t="str">
        <f>"1551598700921174"</f>
        <v>1551598700921174</v>
      </c>
      <c r="C2423" t="s">
        <v>40</v>
      </c>
      <c r="D2423">
        <v>4.169009</v>
      </c>
      <c r="E2423">
        <v>0.52861519999999995</v>
      </c>
      <c r="F2423" t="s">
        <v>55</v>
      </c>
      <c r="G2423">
        <v>-337.12459999999999</v>
      </c>
      <c r="H2423" s="1">
        <v>2.2168889999999998E-6</v>
      </c>
      <c r="I2423">
        <v>285.4778</v>
      </c>
      <c r="J2423">
        <v>-300.24680000000001</v>
      </c>
      <c r="K2423">
        <v>1.1211059999999999</v>
      </c>
      <c r="L2423">
        <v>283.44639999999998</v>
      </c>
      <c r="M2423">
        <v>-0.9998435</v>
      </c>
      <c r="N2423">
        <v>-1.461377E-2</v>
      </c>
      <c r="O2423">
        <v>9.9784179999999993E-3</v>
      </c>
      <c r="P2423">
        <v>-0.99922370000000005</v>
      </c>
      <c r="Q2423">
        <v>-3.2056179999999997E-2</v>
      </c>
      <c r="R2423">
        <v>-2.2903E-2</v>
      </c>
      <c r="S2423">
        <v>-3.003387</v>
      </c>
      <c r="T2423">
        <v>-9.0492489999999995E-2</v>
      </c>
      <c r="U2423">
        <v>0.16424559999999999</v>
      </c>
      <c r="V2423">
        <v>-3.2877780000000002E-2</v>
      </c>
      <c r="W2423">
        <v>-1.744743E-2</v>
      </c>
      <c r="X2423">
        <v>0.9993071</v>
      </c>
      <c r="Y2423">
        <v>4.4609080000000002E-2</v>
      </c>
      <c r="Z2423">
        <v>8.4309059999999999E-4</v>
      </c>
      <c r="AA2423">
        <v>0.99900420000000001</v>
      </c>
      <c r="AB2423">
        <v>34</v>
      </c>
      <c r="AC2423">
        <v>-36.877799999999901</v>
      </c>
      <c r="AD2423">
        <v>-1.121103783111</v>
      </c>
      <c r="AE2423">
        <v>2.0314000000000099</v>
      </c>
      <c r="AF2423">
        <v>1.6617463445957601</v>
      </c>
      <c r="AG2423">
        <v>-1.121103783111</v>
      </c>
      <c r="AH2423">
        <v>36.862271233189198</v>
      </c>
      <c r="AI2423">
        <v>91.740251210052705</v>
      </c>
      <c r="AJ2423">
        <v>87.418861298653695</v>
      </c>
      <c r="AK2423">
        <v>36.916734891854901</v>
      </c>
      <c r="AL2423">
        <v>90.999714807058794</v>
      </c>
      <c r="AM2423">
        <v>91.884384474848602</v>
      </c>
      <c r="AN2423">
        <v>1.0000000206708699</v>
      </c>
    </row>
    <row r="2424" spans="1:40" x14ac:dyDescent="0.25">
      <c r="A2424" t="str">
        <f>"20190303153820937"</f>
        <v>20190303153820937</v>
      </c>
      <c r="B2424" t="str">
        <f>"1551598700930935"</f>
        <v>1551598700930935</v>
      </c>
      <c r="C2424" t="s">
        <v>40</v>
      </c>
      <c r="D2424">
        <v>4.0549379999999999</v>
      </c>
      <c r="E2424">
        <v>0.52929289999999996</v>
      </c>
      <c r="F2424" t="s">
        <v>55</v>
      </c>
      <c r="G2424">
        <v>-334.4117</v>
      </c>
      <c r="H2424" s="1">
        <v>7.8270309999999996E-7</v>
      </c>
      <c r="I2424">
        <v>285.26060000000001</v>
      </c>
      <c r="J2424">
        <v>-300.43549999999999</v>
      </c>
      <c r="K2424">
        <v>1.121105</v>
      </c>
      <c r="L2424">
        <v>283.44830000000002</v>
      </c>
      <c r="M2424">
        <v>-0.99984300000000004</v>
      </c>
      <c r="N2424">
        <v>-1.4612709999999999E-2</v>
      </c>
      <c r="O2424">
        <v>1.002864E-2</v>
      </c>
      <c r="P2424">
        <v>-0.9992219</v>
      </c>
      <c r="Q2424">
        <v>-3.2150129999999999E-2</v>
      </c>
      <c r="R2424">
        <v>-2.28522E-2</v>
      </c>
      <c r="S2424">
        <v>-3.0028079999999999</v>
      </c>
      <c r="T2424">
        <v>-9.8536009999999993E-2</v>
      </c>
      <c r="U2424">
        <v>0.15945429999999999</v>
      </c>
      <c r="V2424">
        <v>-3.2876299999999997E-2</v>
      </c>
      <c r="W2424">
        <v>-1.7542329999999998E-2</v>
      </c>
      <c r="X2424">
        <v>0.99930549999999996</v>
      </c>
      <c r="Y2424">
        <v>4.2977059999999997E-2</v>
      </c>
      <c r="Z2424">
        <v>8.3651799999999996E-4</v>
      </c>
      <c r="AA2424">
        <v>0.99907570000000001</v>
      </c>
      <c r="AB2424">
        <v>34</v>
      </c>
      <c r="AC2424">
        <v>-33.976199999999999</v>
      </c>
      <c r="AD2424">
        <v>-1.1211042172968999</v>
      </c>
      <c r="AE2424">
        <v>1.81229999999999</v>
      </c>
      <c r="AF2424">
        <v>1.4698416005543</v>
      </c>
      <c r="AG2424">
        <v>-1.1211042172968999</v>
      </c>
      <c r="AH2424">
        <v>33.955802183171997</v>
      </c>
      <c r="AI2424">
        <v>91.889255458415093</v>
      </c>
      <c r="AJ2424">
        <v>87.521390336823401</v>
      </c>
      <c r="AK2424">
        <v>34.0060849099021</v>
      </c>
      <c r="AL2424">
        <v>91.005152995942495</v>
      </c>
      <c r="AM2424">
        <v>91.884302724847004</v>
      </c>
      <c r="AN2424">
        <v>1.0000000333868799</v>
      </c>
    </row>
    <row r="2425" spans="1:40" x14ac:dyDescent="0.25">
      <c r="A2425" t="str">
        <f>"20190303153820950"</f>
        <v>20190303153820950</v>
      </c>
      <c r="B2425" t="str">
        <f>"1551598700940695"</f>
        <v>1551598700940695</v>
      </c>
      <c r="C2425" t="s">
        <v>40</v>
      </c>
      <c r="D2425">
        <v>4.0735109999999999</v>
      </c>
      <c r="E2425">
        <v>0.52972259999999904</v>
      </c>
      <c r="F2425" t="s">
        <v>55</v>
      </c>
      <c r="G2425">
        <v>-336.5573</v>
      </c>
      <c r="H2425" s="1">
        <v>1.9170009999999998E-6</v>
      </c>
      <c r="I2425">
        <v>285.43299999999999</v>
      </c>
      <c r="J2425">
        <v>-300.63189999999997</v>
      </c>
      <c r="K2425">
        <v>1.121105</v>
      </c>
      <c r="L2425">
        <v>283.45030000000003</v>
      </c>
      <c r="M2425">
        <v>-0.99984249999999997</v>
      </c>
      <c r="N2425">
        <v>-1.4611590000000001E-2</v>
      </c>
      <c r="O2425">
        <v>1.0080179999999999E-2</v>
      </c>
      <c r="P2425">
        <v>-0.99922580000000005</v>
      </c>
      <c r="Q2425">
        <v>-3.2161200000000001E-2</v>
      </c>
      <c r="R2425">
        <v>-2.2670429999999998E-2</v>
      </c>
      <c r="S2425">
        <v>-3.0031129999999999</v>
      </c>
      <c r="T2425">
        <v>-9.320676E-2</v>
      </c>
      <c r="U2425">
        <v>0.1650085</v>
      </c>
      <c r="V2425">
        <v>-3.274668E-2</v>
      </c>
      <c r="W2425">
        <v>-1.755435E-2</v>
      </c>
      <c r="X2425">
        <v>0.99930949999999996</v>
      </c>
      <c r="Y2425">
        <v>4.4763949999999997E-2</v>
      </c>
      <c r="Z2425">
        <v>8.5604690000000005E-4</v>
      </c>
      <c r="AA2425">
        <v>0.99899720000000003</v>
      </c>
      <c r="AB2425">
        <v>34</v>
      </c>
      <c r="AC2425">
        <v>-35.925400000000003</v>
      </c>
      <c r="AD2425">
        <v>-1.1211030829989901</v>
      </c>
      <c r="AE2425">
        <v>1.9826999999999599</v>
      </c>
      <c r="AF2425">
        <v>1.6188543877859101</v>
      </c>
      <c r="AG2425">
        <v>-1.1211030829989901</v>
      </c>
      <c r="AH2425">
        <v>35.908699318846601</v>
      </c>
      <c r="AI2425">
        <v>91.786433490966999</v>
      </c>
      <c r="AJ2425">
        <v>87.418710120295103</v>
      </c>
      <c r="AK2425">
        <v>35.962650742442499</v>
      </c>
      <c r="AL2425">
        <v>91.005841842384598</v>
      </c>
      <c r="AM2425">
        <v>91.876871380744305</v>
      </c>
      <c r="AN2425">
        <v>0.99999998852259697</v>
      </c>
    </row>
    <row r="2426" spans="1:40" x14ac:dyDescent="0.25">
      <c r="A2426" t="str">
        <f>"20190303153820970"</f>
        <v>20190303153820970</v>
      </c>
      <c r="B2426" t="str">
        <f>"1551598700961190"</f>
        <v>1551598700961190</v>
      </c>
      <c r="C2426" t="s">
        <v>40</v>
      </c>
      <c r="D2426">
        <v>4.2360899999999999</v>
      </c>
      <c r="E2426">
        <v>0.53077919999999901</v>
      </c>
      <c r="F2426" t="s">
        <v>55</v>
      </c>
      <c r="G2426">
        <v>-338.68470000000002</v>
      </c>
      <c r="H2426" s="1">
        <v>3.042243E-6</v>
      </c>
      <c r="I2426">
        <v>285.58940000000001</v>
      </c>
      <c r="J2426">
        <v>-300.94839999999999</v>
      </c>
      <c r="K2426">
        <v>1.121102</v>
      </c>
      <c r="L2426">
        <v>283.45359999999999</v>
      </c>
      <c r="M2426">
        <v>-0.9998416</v>
      </c>
      <c r="N2426">
        <v>-1.460959E-2</v>
      </c>
      <c r="O2426">
        <v>1.0162249999999999E-2</v>
      </c>
      <c r="P2426">
        <v>-0.9992337</v>
      </c>
      <c r="Q2426">
        <v>-3.1874769999999997E-2</v>
      </c>
      <c r="R2426">
        <v>-2.2713730000000001E-2</v>
      </c>
      <c r="S2426">
        <v>-3.0032960000000002</v>
      </c>
      <c r="T2426">
        <v>-8.8482379999999999E-2</v>
      </c>
      <c r="U2426">
        <v>0.16882320000000001</v>
      </c>
      <c r="V2426">
        <v>-3.2872169999999999E-2</v>
      </c>
      <c r="W2426">
        <v>-1.7269639999999999E-2</v>
      </c>
      <c r="X2426">
        <v>0.99931040000000004</v>
      </c>
      <c r="Y2426">
        <v>4.5945199999999999E-2</v>
      </c>
      <c r="Z2426">
        <v>8.6142629999999998E-4</v>
      </c>
      <c r="AA2426">
        <v>0.99894360000000004</v>
      </c>
      <c r="AB2426">
        <v>34</v>
      </c>
      <c r="AC2426">
        <v>-37.7363</v>
      </c>
      <c r="AD2426">
        <v>-1.1210989577570001</v>
      </c>
      <c r="AE2426">
        <v>2.1358000000000099</v>
      </c>
      <c r="AF2426">
        <v>1.7506228461316999</v>
      </c>
      <c r="AG2426">
        <v>-1.1210989577570001</v>
      </c>
      <c r="AH2426">
        <v>37.722869544656902</v>
      </c>
      <c r="AI2426">
        <v>91.700462911472997</v>
      </c>
      <c r="AJ2426">
        <v>87.342954325968194</v>
      </c>
      <c r="AK2426">
        <v>37.780106271762698</v>
      </c>
      <c r="AL2426">
        <v>90.989526628725201</v>
      </c>
      <c r="AM2426">
        <v>91.884056953173797</v>
      </c>
      <c r="AN2426">
        <v>1.00000004778719</v>
      </c>
    </row>
    <row r="2427" spans="1:40" x14ac:dyDescent="0.25">
      <c r="A2427" t="str">
        <f>"20190303153820983"</f>
        <v>20190303153820983</v>
      </c>
      <c r="B2427" t="str">
        <f>"1551598700970955"</f>
        <v>1551598700970955</v>
      </c>
      <c r="C2427" t="s">
        <v>40</v>
      </c>
      <c r="D2427">
        <v>4.050764</v>
      </c>
      <c r="E2427">
        <v>0.53115480000000004</v>
      </c>
      <c r="F2427" t="s">
        <v>55</v>
      </c>
      <c r="G2427">
        <v>-342.36649999999997</v>
      </c>
      <c r="H2427" s="1">
        <v>-2.7744609999999997E-7</v>
      </c>
      <c r="I2427">
        <v>285.8947</v>
      </c>
      <c r="J2427">
        <v>-301.15809999999999</v>
      </c>
      <c r="K2427">
        <v>1.121103</v>
      </c>
      <c r="L2427">
        <v>283.45580000000001</v>
      </c>
      <c r="M2427">
        <v>-0.99984130000000004</v>
      </c>
      <c r="N2427">
        <v>-1.460818E-2</v>
      </c>
      <c r="O2427">
        <v>1.0216279999999999E-2</v>
      </c>
      <c r="P2427">
        <v>-0.99922469999999997</v>
      </c>
      <c r="Q2427">
        <v>-3.2008880000000003E-2</v>
      </c>
      <c r="R2427">
        <v>-2.293297E-2</v>
      </c>
      <c r="S2427">
        <v>-3.0037229999999999</v>
      </c>
      <c r="T2427">
        <v>-8.1304550000000003E-2</v>
      </c>
      <c r="U2427">
        <v>0.17703250000000001</v>
      </c>
      <c r="V2427">
        <v>-3.3145130000000002E-2</v>
      </c>
      <c r="W2427">
        <v>-1.7405179999999999E-2</v>
      </c>
      <c r="X2427">
        <v>0.99929900000000005</v>
      </c>
      <c r="Y2427">
        <v>4.8606280000000002E-2</v>
      </c>
      <c r="Z2427">
        <v>8.8549799999999997E-4</v>
      </c>
      <c r="AA2427">
        <v>0.99881759999999997</v>
      </c>
      <c r="AB2427">
        <v>34</v>
      </c>
      <c r="AC2427">
        <v>-41.208399999999898</v>
      </c>
      <c r="AD2427">
        <v>-1.1211032774461001</v>
      </c>
      <c r="AE2427">
        <v>2.4388999999999799</v>
      </c>
      <c r="AF2427">
        <v>2.01624418206353</v>
      </c>
      <c r="AG2427">
        <v>-1.1211032774461001</v>
      </c>
      <c r="AH2427">
        <v>41.200779803293599</v>
      </c>
      <c r="AI2427">
        <v>91.556813223278795</v>
      </c>
      <c r="AJ2427">
        <v>87.198349253463206</v>
      </c>
      <c r="AK2427">
        <v>41.265316787344403</v>
      </c>
      <c r="AL2427">
        <v>90.997293697769607</v>
      </c>
      <c r="AM2427">
        <v>91.899711800255901</v>
      </c>
      <c r="AN2427">
        <v>1.0000000156672699</v>
      </c>
    </row>
    <row r="2428" spans="1:40" x14ac:dyDescent="0.25">
      <c r="A2428" t="str">
        <f>"20190303153821004"</f>
        <v>20190303153821004</v>
      </c>
      <c r="B2428" t="str">
        <f>"1551598701001211"</f>
        <v>1551598701001211</v>
      </c>
      <c r="C2428" t="s">
        <v>40</v>
      </c>
      <c r="D2428">
        <v>4.0913469999999998</v>
      </c>
      <c r="E2428">
        <v>0.53210150000000001</v>
      </c>
      <c r="F2428" t="s">
        <v>55</v>
      </c>
      <c r="G2428">
        <v>-343.17290000000003</v>
      </c>
      <c r="H2428" s="1">
        <v>1.51645299999999E-7</v>
      </c>
      <c r="I2428">
        <v>285.96440000000001</v>
      </c>
      <c r="J2428">
        <v>-301.4563</v>
      </c>
      <c r="K2428">
        <v>1.1211070000000001</v>
      </c>
      <c r="L2428">
        <v>283.45890000000003</v>
      </c>
      <c r="M2428">
        <v>-0.99984039999999996</v>
      </c>
      <c r="N2428">
        <v>-1.4606040000000001E-2</v>
      </c>
      <c r="O2428">
        <v>1.029297E-2</v>
      </c>
      <c r="P2428">
        <v>-0.99922500000000003</v>
      </c>
      <c r="Q2428">
        <v>-3.1797730000000003E-2</v>
      </c>
      <c r="R2428">
        <v>-2.3203359999999999E-2</v>
      </c>
      <c r="S2428">
        <v>-3.003876</v>
      </c>
      <c r="T2428">
        <v>-8.0154059999999999E-2</v>
      </c>
      <c r="U2428">
        <v>0.17935179999999901</v>
      </c>
      <c r="V2428">
        <v>-3.3492620000000001E-2</v>
      </c>
      <c r="W2428">
        <v>-1.7196050000000001E-2</v>
      </c>
      <c r="X2428">
        <v>0.99929100000000004</v>
      </c>
      <c r="Y2428">
        <v>4.9295390000000001E-2</v>
      </c>
      <c r="Z2428">
        <v>8.9331019999999998E-4</v>
      </c>
      <c r="AA2428">
        <v>0.9987838</v>
      </c>
      <c r="AB2428">
        <v>34</v>
      </c>
      <c r="AC2428">
        <v>-41.7166</v>
      </c>
      <c r="AD2428">
        <v>-1.1211068483547</v>
      </c>
      <c r="AE2428">
        <v>2.5054999999999801</v>
      </c>
      <c r="AF2428">
        <v>2.07444090583969</v>
      </c>
      <c r="AG2428">
        <v>-1.1211068483547</v>
      </c>
      <c r="AH2428">
        <v>41.7101653136585</v>
      </c>
      <c r="AI2428">
        <v>91.537754381273203</v>
      </c>
      <c r="AJ2428">
        <v>87.152759902858804</v>
      </c>
      <c r="AK2428">
        <v>41.776764787737797</v>
      </c>
      <c r="AL2428">
        <v>90.985309671908396</v>
      </c>
      <c r="AM2428">
        <v>91.919628708616898</v>
      </c>
      <c r="AN2428">
        <v>0.99999998120553302</v>
      </c>
    </row>
    <row r="2429" spans="1:40" x14ac:dyDescent="0.25">
      <c r="A2429" t="str">
        <f>"20190303153821017"</f>
        <v>20190303153821017</v>
      </c>
      <c r="B2429" t="str">
        <f>"1551598701010971"</f>
        <v>1551598701010971</v>
      </c>
      <c r="C2429" t="s">
        <v>40</v>
      </c>
      <c r="D2429">
        <v>4.090446</v>
      </c>
      <c r="E2429">
        <v>0.53231470000000003</v>
      </c>
      <c r="F2429" t="s">
        <v>55</v>
      </c>
      <c r="G2429">
        <v>-346.61619999999999</v>
      </c>
      <c r="H2429" s="1">
        <v>1.984039E-6</v>
      </c>
      <c r="I2429">
        <v>286.25400000000002</v>
      </c>
      <c r="J2429">
        <v>-301.67320000000001</v>
      </c>
      <c r="K2429">
        <v>1.1211059999999999</v>
      </c>
      <c r="L2429">
        <v>283.46120000000002</v>
      </c>
      <c r="M2429">
        <v>-0.99983979999999995</v>
      </c>
      <c r="N2429">
        <v>-1.460437E-2</v>
      </c>
      <c r="O2429">
        <v>1.0348130000000001E-2</v>
      </c>
      <c r="P2429">
        <v>-0.99921479999999996</v>
      </c>
      <c r="Q2429">
        <v>-3.1847399999999998E-2</v>
      </c>
      <c r="R2429">
        <v>-2.357041E-2</v>
      </c>
      <c r="S2429">
        <v>-3.0042719999999998</v>
      </c>
      <c r="T2429">
        <v>-7.4581739999999994E-2</v>
      </c>
      <c r="U2429">
        <v>0.18594359999999999</v>
      </c>
      <c r="V2429">
        <v>-3.3914279999999998E-2</v>
      </c>
      <c r="W2429">
        <v>-1.7247439999999999E-2</v>
      </c>
      <c r="X2429">
        <v>0.99927589999999999</v>
      </c>
      <c r="Y2429">
        <v>5.141751E-2</v>
      </c>
      <c r="Z2429">
        <v>9.0785880000000005E-4</v>
      </c>
      <c r="AA2429">
        <v>0.99867680000000003</v>
      </c>
      <c r="AB2429">
        <v>34</v>
      </c>
      <c r="AC2429">
        <v>-44.942999999999898</v>
      </c>
      <c r="AD2429">
        <v>-1.121104015961</v>
      </c>
      <c r="AE2429">
        <v>2.7928000000000002</v>
      </c>
      <c r="AF2429">
        <v>2.3260829728456698</v>
      </c>
      <c r="AG2429">
        <v>-1.121104015961</v>
      </c>
      <c r="AH2429">
        <v>44.941638885823203</v>
      </c>
      <c r="AI2429">
        <v>91.427081844617504</v>
      </c>
      <c r="AJ2429">
        <v>87.037136995075898</v>
      </c>
      <c r="AK2429">
        <v>45.015757707217404</v>
      </c>
      <c r="AL2429">
        <v>90.988254531654803</v>
      </c>
      <c r="AM2429">
        <v>91.943807067210798</v>
      </c>
      <c r="AN2429">
        <v>0.99999998844764004</v>
      </c>
    </row>
    <row r="2430" spans="1:40" x14ac:dyDescent="0.25">
      <c r="A2430" t="str">
        <f>"20190303153821031"</f>
        <v>20190303153821031</v>
      </c>
      <c r="B2430" t="str">
        <f>"1551598701020732"</f>
        <v>1551598701020732</v>
      </c>
      <c r="C2430" t="s">
        <v>40</v>
      </c>
      <c r="D2430">
        <v>4.0754000000000001</v>
      </c>
      <c r="E2430">
        <v>0.53242780000000001</v>
      </c>
      <c r="F2430" t="s">
        <v>55</v>
      </c>
      <c r="G2430">
        <v>-347.49040000000002</v>
      </c>
      <c r="H2430" s="1">
        <v>2.449222E-6</v>
      </c>
      <c r="I2430">
        <v>286.30520000000001</v>
      </c>
      <c r="J2430">
        <v>-301.88010000000003</v>
      </c>
      <c r="K2430">
        <v>1.1211040000000001</v>
      </c>
      <c r="L2430">
        <v>283.46339999999998</v>
      </c>
      <c r="M2430">
        <v>-0.99983949999999999</v>
      </c>
      <c r="N2430">
        <v>-1.460273E-2</v>
      </c>
      <c r="O2430">
        <v>1.040084E-2</v>
      </c>
      <c r="P2430">
        <v>-0.99921119999999997</v>
      </c>
      <c r="Q2430">
        <v>-3.1898540000000003E-2</v>
      </c>
      <c r="R2430">
        <v>-2.3665309999999998E-2</v>
      </c>
      <c r="S2430">
        <v>-3.0044249999999999</v>
      </c>
      <c r="T2430">
        <v>-7.3515419999999998E-2</v>
      </c>
      <c r="U2430">
        <v>0.18649289999999999</v>
      </c>
      <c r="V2430">
        <v>-3.4061960000000002E-2</v>
      </c>
      <c r="W2430">
        <v>-1.7300220000000002E-2</v>
      </c>
      <c r="X2430">
        <v>0.99926999999999999</v>
      </c>
      <c r="Y2430">
        <v>5.1544119999999999E-2</v>
      </c>
      <c r="Z2430">
        <v>9.0428709999999996E-4</v>
      </c>
      <c r="AA2430">
        <v>0.99867030000000001</v>
      </c>
      <c r="AB2430">
        <v>34</v>
      </c>
      <c r="AC2430">
        <v>-45.610300000000002</v>
      </c>
      <c r="AD2430">
        <v>-1.121101550778</v>
      </c>
      <c r="AE2430">
        <v>2.8418000000000299</v>
      </c>
      <c r="AF2430">
        <v>2.3657865132267699</v>
      </c>
      <c r="AG2430">
        <v>-1.121101550778</v>
      </c>
      <c r="AH2430">
        <v>45.609942749504199</v>
      </c>
      <c r="AI2430">
        <v>91.406168620969694</v>
      </c>
      <c r="AJ2430">
        <v>87.030730471911298</v>
      </c>
      <c r="AK2430">
        <v>45.685016056978398</v>
      </c>
      <c r="AL2430">
        <v>90.991279019139796</v>
      </c>
      <c r="AM2430">
        <v>91.952276372604501</v>
      </c>
      <c r="AN2430">
        <v>1.00000002381554</v>
      </c>
    </row>
    <row r="2431" spans="1:40" x14ac:dyDescent="0.25">
      <c r="A2431" t="str">
        <f>"20190303153821043"</f>
        <v>20190303153821043</v>
      </c>
      <c r="B2431" t="str">
        <f>"1551598701031467"</f>
        <v>1551598701031467</v>
      </c>
      <c r="C2431" t="s">
        <v>40</v>
      </c>
      <c r="D2431">
        <v>4.0850589999999896</v>
      </c>
      <c r="E2431">
        <v>0.53252379999999999</v>
      </c>
      <c r="F2431" t="s">
        <v>55</v>
      </c>
      <c r="G2431">
        <v>-348.30020000000002</v>
      </c>
      <c r="H2431" s="1">
        <v>2.8801460000000002E-6</v>
      </c>
      <c r="I2431">
        <v>286.35559999999998</v>
      </c>
      <c r="J2431">
        <v>-302.0566</v>
      </c>
      <c r="K2431">
        <v>1.1211</v>
      </c>
      <c r="L2431">
        <v>283.46530000000001</v>
      </c>
      <c r="M2431">
        <v>-0.99983900000000003</v>
      </c>
      <c r="N2431">
        <v>-1.460126E-2</v>
      </c>
      <c r="O2431">
        <v>1.0446270000000001E-2</v>
      </c>
      <c r="P2431">
        <v>-0.99919990000000003</v>
      </c>
      <c r="Q2431">
        <v>-3.2126809999999999E-2</v>
      </c>
      <c r="R2431">
        <v>-2.3831000000000001E-2</v>
      </c>
      <c r="S2431">
        <v>-3.004486</v>
      </c>
      <c r="T2431">
        <v>-7.2561979999999998E-2</v>
      </c>
      <c r="U2431">
        <v>0.18719479999999999</v>
      </c>
      <c r="V2431">
        <v>-3.4272909999999997E-2</v>
      </c>
      <c r="W2431">
        <v>-1.7530069999999998E-2</v>
      </c>
      <c r="X2431">
        <v>0.9992588</v>
      </c>
      <c r="Y2431">
        <v>5.17303E-2</v>
      </c>
      <c r="Z2431">
        <v>9.0252669999999998E-4</v>
      </c>
      <c r="AA2431">
        <v>0.99866069999999996</v>
      </c>
      <c r="AB2431">
        <v>34</v>
      </c>
      <c r="AC2431">
        <v>-46.243600000000001</v>
      </c>
      <c r="AD2431">
        <v>-1.1210971198540001</v>
      </c>
      <c r="AE2431">
        <v>2.8902999999999599</v>
      </c>
      <c r="AF2431">
        <v>2.40560934578117</v>
      </c>
      <c r="AG2431">
        <v>-1.1210971198540001</v>
      </c>
      <c r="AH2431">
        <v>46.244198630573202</v>
      </c>
      <c r="AI2431">
        <v>91.386873862970901</v>
      </c>
      <c r="AJ2431">
        <v>87.022174842271099</v>
      </c>
      <c r="AK2431">
        <v>46.3202949263124</v>
      </c>
      <c r="AL2431">
        <v>91.004450432476105</v>
      </c>
      <c r="AM2431">
        <v>91.964379622316898</v>
      </c>
      <c r="AN2431">
        <v>1.00000004254575</v>
      </c>
    </row>
    <row r="2432" spans="1:40" x14ac:dyDescent="0.25">
      <c r="A2432" t="str">
        <f>"20190303153821059"</f>
        <v>20190303153821059</v>
      </c>
      <c r="B2432" t="str">
        <f>"1551598701050986"</f>
        <v>1551598701050986</v>
      </c>
      <c r="C2432" t="s">
        <v>40</v>
      </c>
      <c r="D2432">
        <v>4.0590469999999996</v>
      </c>
      <c r="E2432">
        <v>0.53261599999999998</v>
      </c>
      <c r="F2432" t="s">
        <v>55</v>
      </c>
      <c r="G2432">
        <v>-348.46039999999999</v>
      </c>
      <c r="H2432" s="1">
        <v>2.9653990000000002E-6</v>
      </c>
      <c r="I2432">
        <v>286.35739999999998</v>
      </c>
      <c r="J2432">
        <v>-302.31279999999998</v>
      </c>
      <c r="K2432">
        <v>1.121097</v>
      </c>
      <c r="L2432">
        <v>283.46800000000002</v>
      </c>
      <c r="M2432">
        <v>-0.99983809999999995</v>
      </c>
      <c r="N2432">
        <v>-1.459907E-2</v>
      </c>
      <c r="O2432">
        <v>1.051239E-2</v>
      </c>
      <c r="P2432">
        <v>-0.99918790000000002</v>
      </c>
      <c r="Q2432">
        <v>-3.2604899999999999E-2</v>
      </c>
      <c r="R2432">
        <v>-2.3675160000000001E-2</v>
      </c>
      <c r="S2432">
        <v>-3.004486</v>
      </c>
      <c r="T2432">
        <v>-7.2587250000000006E-2</v>
      </c>
      <c r="U2432">
        <v>0.1872559</v>
      </c>
      <c r="V2432">
        <v>-3.4183520000000002E-2</v>
      </c>
      <c r="W2432">
        <v>-1.8010470000000001E-2</v>
      </c>
      <c r="X2432">
        <v>0.99925330000000001</v>
      </c>
      <c r="Y2432">
        <v>5.1684479999999998E-2</v>
      </c>
      <c r="Z2432">
        <v>9.0105809999999997E-4</v>
      </c>
      <c r="AA2432">
        <v>0.99866310000000003</v>
      </c>
      <c r="AB2432">
        <v>34</v>
      </c>
      <c r="AC2432">
        <v>-46.147599999999997</v>
      </c>
      <c r="AD2432">
        <v>-1.1210940346009901</v>
      </c>
      <c r="AE2432">
        <v>2.8893999999999598</v>
      </c>
      <c r="AF2432">
        <v>2.4026545350303898</v>
      </c>
      <c r="AG2432">
        <v>-1.1210940346009901</v>
      </c>
      <c r="AH2432">
        <v>46.148297699090399</v>
      </c>
      <c r="AI2432">
        <v>91.389747800177105</v>
      </c>
      <c r="AJ2432">
        <v>87.019656425116693</v>
      </c>
      <c r="AK2432">
        <v>46.224398115854299</v>
      </c>
      <c r="AL2432">
        <v>91.031979690348507</v>
      </c>
      <c r="AM2432">
        <v>91.959270935883396</v>
      </c>
      <c r="AN2432">
        <v>1.0000000238150499</v>
      </c>
    </row>
    <row r="2433" spans="1:40" x14ac:dyDescent="0.25">
      <c r="A2433" t="str">
        <f>"20190303153821074"</f>
        <v>20190303153821074</v>
      </c>
      <c r="B2433" t="str">
        <f>"1551598701060747"</f>
        <v>1551598701060747</v>
      </c>
      <c r="C2433" t="s">
        <v>40</v>
      </c>
      <c r="D2433">
        <v>4.1692629999999999</v>
      </c>
      <c r="E2433">
        <v>0.53231580000000001</v>
      </c>
      <c r="F2433" t="s">
        <v>55</v>
      </c>
      <c r="G2433">
        <v>-347.99790000000002</v>
      </c>
      <c r="H2433" s="1">
        <v>2.719277E-6</v>
      </c>
      <c r="I2433">
        <v>286.33440000000002</v>
      </c>
      <c r="J2433">
        <v>-302.52120000000002</v>
      </c>
      <c r="K2433">
        <v>1.1210960000000001</v>
      </c>
      <c r="L2433">
        <v>283.47030000000001</v>
      </c>
      <c r="M2433">
        <v>-0.9998378</v>
      </c>
      <c r="N2433">
        <v>-1.4596029999999999E-2</v>
      </c>
      <c r="O2433">
        <v>1.056576E-2</v>
      </c>
      <c r="P2433">
        <v>-0.99919020000000003</v>
      </c>
      <c r="Q2433">
        <v>-3.2731679999999999E-2</v>
      </c>
      <c r="R2433">
        <v>-2.341213E-2</v>
      </c>
      <c r="S2433">
        <v>-3.004486</v>
      </c>
      <c r="T2433">
        <v>-7.3729039999999996E-2</v>
      </c>
      <c r="U2433">
        <v>0.18850710000000001</v>
      </c>
      <c r="V2433">
        <v>-3.3973789999999997E-2</v>
      </c>
      <c r="W2433">
        <v>-1.8140259999999998E-2</v>
      </c>
      <c r="X2433">
        <v>0.99925810000000004</v>
      </c>
      <c r="Y2433">
        <v>5.2044710000000001E-2</v>
      </c>
      <c r="Z2433">
        <v>9.1328290000000005E-4</v>
      </c>
      <c r="AA2433">
        <v>0.99864439999999999</v>
      </c>
      <c r="AB2433">
        <v>34</v>
      </c>
      <c r="AC2433">
        <v>-45.476700000000001</v>
      </c>
      <c r="AD2433">
        <v>-1.1210932807230001</v>
      </c>
      <c r="AE2433">
        <v>2.8641000000000001</v>
      </c>
      <c r="AF2433">
        <v>2.3819512309147801</v>
      </c>
      <c r="AG2433">
        <v>-1.1210932807230001</v>
      </c>
      <c r="AH2433">
        <v>45.476897434869301</v>
      </c>
      <c r="AI2433">
        <v>91.410233224518194</v>
      </c>
      <c r="AJ2433">
        <v>87.001748927930606</v>
      </c>
      <c r="AK2433">
        <v>45.553032194489099</v>
      </c>
      <c r="AL2433">
        <v>91.039417329586996</v>
      </c>
      <c r="AM2433">
        <v>91.947249936619599</v>
      </c>
      <c r="AN2433">
        <v>1.0000000189277201</v>
      </c>
    </row>
    <row r="2434" spans="1:40" x14ac:dyDescent="0.25">
      <c r="A2434" t="str">
        <f>"20190303153821089"</f>
        <v>20190303153821089</v>
      </c>
      <c r="B2434" t="str">
        <f>"1551598701081243"</f>
        <v>1551598701081243</v>
      </c>
      <c r="C2434" t="s">
        <v>40</v>
      </c>
      <c r="D2434">
        <v>4.1842969999999999</v>
      </c>
      <c r="E2434">
        <v>0.53212729999999997</v>
      </c>
      <c r="F2434" t="s">
        <v>55</v>
      </c>
      <c r="G2434">
        <v>-345.88170000000002</v>
      </c>
      <c r="H2434" s="1">
        <v>1.5931329999999999E-6</v>
      </c>
      <c r="I2434">
        <v>286.17070000000001</v>
      </c>
      <c r="J2434">
        <v>-302.755</v>
      </c>
      <c r="K2434">
        <v>1.1210960000000001</v>
      </c>
      <c r="L2434">
        <v>283.47280000000001</v>
      </c>
      <c r="M2434">
        <v>-0.99983719999999998</v>
      </c>
      <c r="N2434">
        <v>-1.458948E-2</v>
      </c>
      <c r="O2434">
        <v>1.0625829999999999E-2</v>
      </c>
      <c r="P2434">
        <v>-0.99920450000000005</v>
      </c>
      <c r="Q2434">
        <v>-3.2403960000000002E-2</v>
      </c>
      <c r="R2434">
        <v>-2.324787E-2</v>
      </c>
      <c r="S2434">
        <v>-3.0042420000000001</v>
      </c>
      <c r="T2434">
        <v>-7.7675460000000002E-2</v>
      </c>
      <c r="U2434">
        <v>0.1871033</v>
      </c>
      <c r="V2434">
        <v>-3.3869629999999998E-2</v>
      </c>
      <c r="W2434">
        <v>-1.7818919999999999E-2</v>
      </c>
      <c r="X2434">
        <v>0.99926740000000003</v>
      </c>
      <c r="Y2434">
        <v>5.1523149999999997E-2</v>
      </c>
      <c r="Z2434">
        <v>9.221384E-4</v>
      </c>
      <c r="AA2434">
        <v>0.99867139999999999</v>
      </c>
      <c r="AB2434">
        <v>34</v>
      </c>
      <c r="AC2434">
        <v>-43.1267</v>
      </c>
      <c r="AD2434">
        <v>-1.1210944068669999</v>
      </c>
      <c r="AE2434">
        <v>2.6979000000000002</v>
      </c>
      <c r="AF2434">
        <v>2.2379355275095598</v>
      </c>
      <c r="AG2434">
        <v>-1.1210944068669999</v>
      </c>
      <c r="AH2434">
        <v>43.123907433312702</v>
      </c>
      <c r="AI2434">
        <v>91.487185504523396</v>
      </c>
      <c r="AJ2434">
        <v>87.029273431140197</v>
      </c>
      <c r="AK2434">
        <v>43.196488287953699</v>
      </c>
      <c r="AL2434">
        <v>91.021002945531905</v>
      </c>
      <c r="AM2434">
        <v>91.941266398554902</v>
      </c>
      <c r="AN2434">
        <v>1.00000000122453</v>
      </c>
    </row>
    <row r="2435" spans="1:40" x14ac:dyDescent="0.25">
      <c r="A2435" t="str">
        <f>"20190303153821106"</f>
        <v>20190303153821106</v>
      </c>
      <c r="B2435" t="str">
        <f>"1551598701100763"</f>
        <v>1551598701100763</v>
      </c>
      <c r="C2435" t="s">
        <v>40</v>
      </c>
      <c r="D2435">
        <v>4.1811259999999999</v>
      </c>
      <c r="E2435">
        <v>0.53148099999999998</v>
      </c>
      <c r="F2435" t="s">
        <v>55</v>
      </c>
      <c r="G2435">
        <v>-345.02359999999999</v>
      </c>
      <c r="H2435" s="1">
        <v>1.136505E-6</v>
      </c>
      <c r="I2435">
        <v>286.09039999999999</v>
      </c>
      <c r="J2435">
        <v>-302.98860000000002</v>
      </c>
      <c r="K2435">
        <v>1.1210910000000001</v>
      </c>
      <c r="L2435">
        <v>283.4753</v>
      </c>
      <c r="M2435">
        <v>-0.99983690000000003</v>
      </c>
      <c r="N2435">
        <v>-1.456343E-2</v>
      </c>
      <c r="O2435">
        <v>1.0686040000000001E-2</v>
      </c>
      <c r="P2435">
        <v>-0.99922719999999998</v>
      </c>
      <c r="Q2435">
        <v>-3.1905309999999999E-2</v>
      </c>
      <c r="R2435">
        <v>-2.296517E-2</v>
      </c>
      <c r="S2435">
        <v>-3.0040589999999998</v>
      </c>
      <c r="T2435">
        <v>-7.9677100000000001E-2</v>
      </c>
      <c r="U2435">
        <v>0.18603520000000001</v>
      </c>
      <c r="V2435">
        <v>-3.3646910000000002E-2</v>
      </c>
      <c r="W2435">
        <v>-1.734604E-2</v>
      </c>
      <c r="X2435">
        <v>0.99928329999999999</v>
      </c>
      <c r="Y2435">
        <v>5.1112249999999998E-2</v>
      </c>
      <c r="Z2435">
        <v>9.2213189999999995E-4</v>
      </c>
      <c r="AA2435">
        <v>0.99869249999999998</v>
      </c>
      <c r="AB2435">
        <v>34</v>
      </c>
      <c r="AC2435">
        <v>-42.034999999999897</v>
      </c>
      <c r="AD2435">
        <v>-1.1210898634949999</v>
      </c>
      <c r="AE2435">
        <v>2.61509999999998</v>
      </c>
      <c r="AF2435">
        <v>2.1641818757311699</v>
      </c>
      <c r="AG2435">
        <v>-1.1210898634949999</v>
      </c>
      <c r="AH2435">
        <v>42.030765803221897</v>
      </c>
      <c r="AI2435">
        <v>91.525872032983699</v>
      </c>
      <c r="AJ2435">
        <v>87.052419222477695</v>
      </c>
      <c r="AK2435">
        <v>42.101375270631699</v>
      </c>
      <c r="AL2435">
        <v>90.993904673051503</v>
      </c>
      <c r="AM2435">
        <v>91.928480022950396</v>
      </c>
      <c r="AN2435">
        <v>1.00000005665755</v>
      </c>
    </row>
    <row r="2436" spans="1:40" x14ac:dyDescent="0.25">
      <c r="A2436" t="str">
        <f>"20190303153821127"</f>
        <v>20190303153821127</v>
      </c>
      <c r="B2436" t="str">
        <f>"1551598701121259"</f>
        <v>1551598701121259</v>
      </c>
      <c r="C2436" t="s">
        <v>40</v>
      </c>
      <c r="D2436">
        <v>4.1529350000000003</v>
      </c>
      <c r="E2436">
        <v>0.53084690000000001</v>
      </c>
      <c r="F2436" t="s">
        <v>55</v>
      </c>
      <c r="G2436">
        <v>-342.95460000000003</v>
      </c>
      <c r="H2436" s="1">
        <v>3.5513790000000002E-8</v>
      </c>
      <c r="I2436">
        <v>285.89530000000002</v>
      </c>
      <c r="J2436">
        <v>-303.32569999999998</v>
      </c>
      <c r="K2436">
        <v>1.1210770000000001</v>
      </c>
      <c r="L2436">
        <v>283.47899999999998</v>
      </c>
      <c r="M2436">
        <v>-0.99983710000000003</v>
      </c>
      <c r="N2436">
        <v>-1.4490799999999899E-2</v>
      </c>
      <c r="O2436">
        <v>1.0772769999999999E-2</v>
      </c>
      <c r="P2436">
        <v>-0.99925909999999996</v>
      </c>
      <c r="Q2436">
        <v>-3.101423E-2</v>
      </c>
      <c r="R2436">
        <v>-2.2802380000000001E-2</v>
      </c>
      <c r="S2436">
        <v>-3.0038149999999999</v>
      </c>
      <c r="T2436">
        <v>-8.4260340000000003E-2</v>
      </c>
      <c r="U2436">
        <v>0.18188480000000001</v>
      </c>
      <c r="V2436">
        <v>-3.3571139999999999E-2</v>
      </c>
      <c r="W2436">
        <v>-1.6527150000000001E-2</v>
      </c>
      <c r="X2436">
        <v>0.99929959999999995</v>
      </c>
      <c r="Y2436">
        <v>4.9654289999999997E-2</v>
      </c>
      <c r="Z2436">
        <v>9.1002390000000002E-4</v>
      </c>
      <c r="AA2436">
        <v>0.99876609999999999</v>
      </c>
      <c r="AB2436">
        <v>34</v>
      </c>
      <c r="AC2436">
        <v>-39.628900000000002</v>
      </c>
      <c r="AD2436">
        <v>-1.12107696448621</v>
      </c>
      <c r="AE2436">
        <v>2.4162999999999699</v>
      </c>
      <c r="AF2436">
        <v>1.9876171829085201</v>
      </c>
      <c r="AG2436">
        <v>-1.12107696448621</v>
      </c>
      <c r="AH2436">
        <v>39.621042070929597</v>
      </c>
      <c r="AI2436">
        <v>91.618716573181899</v>
      </c>
      <c r="AJ2436">
        <v>87.128124800800293</v>
      </c>
      <c r="AK2436">
        <v>39.6867031940481</v>
      </c>
      <c r="AL2436">
        <v>90.946979123330905</v>
      </c>
      <c r="AM2436">
        <v>91.924109155010001</v>
      </c>
      <c r="AN2436">
        <v>0.99999992934408799</v>
      </c>
    </row>
    <row r="2437" spans="1:40" x14ac:dyDescent="0.25">
      <c r="A2437" t="str">
        <f>"20190303153821138"</f>
        <v>20190303153821138</v>
      </c>
      <c r="B2437" t="str">
        <f>"1551598701131019"</f>
        <v>1551598701131019</v>
      </c>
      <c r="C2437" t="s">
        <v>40</v>
      </c>
      <c r="D2437">
        <v>4.0847759999999997</v>
      </c>
      <c r="E2437">
        <v>0.53066259999999998</v>
      </c>
      <c r="F2437" t="s">
        <v>55</v>
      </c>
      <c r="G2437">
        <v>-342.36939999999998</v>
      </c>
      <c r="H2437" s="1">
        <v>-2.7590469999999998E-7</v>
      </c>
      <c r="I2437">
        <v>285.78620000000001</v>
      </c>
      <c r="J2437">
        <v>-303.51769999999999</v>
      </c>
      <c r="K2437">
        <v>1.1210599999999999</v>
      </c>
      <c r="L2437">
        <v>283.48110000000003</v>
      </c>
      <c r="M2437">
        <v>-0.99983739999999999</v>
      </c>
      <c r="N2437">
        <v>-1.4433369999999999E-2</v>
      </c>
      <c r="O2437">
        <v>1.082165E-2</v>
      </c>
      <c r="P2437">
        <v>-0.99927359999999998</v>
      </c>
      <c r="Q2437">
        <v>-3.0793899999999999E-2</v>
      </c>
      <c r="R2437">
        <v>-2.2458570000000001E-2</v>
      </c>
      <c r="S2437">
        <v>-3.003571</v>
      </c>
      <c r="T2437">
        <v>-8.6242559999999996E-2</v>
      </c>
      <c r="U2437">
        <v>0.17749019999999999</v>
      </c>
      <c r="V2437">
        <v>-3.3276279999999998E-2</v>
      </c>
      <c r="W2437">
        <v>-1.636402E-2</v>
      </c>
      <c r="X2437">
        <v>0.99931219999999998</v>
      </c>
      <c r="Y2437">
        <v>4.815415E-2</v>
      </c>
      <c r="Z2437">
        <v>8.8423259999999997E-4</v>
      </c>
      <c r="AA2437">
        <v>0.99883949999999999</v>
      </c>
      <c r="AB2437">
        <v>34</v>
      </c>
      <c r="AC2437">
        <v>-38.851700000000001</v>
      </c>
      <c r="AD2437">
        <v>-1.1210602759046999</v>
      </c>
      <c r="AE2437">
        <v>2.3050999999999799</v>
      </c>
      <c r="AF2437">
        <v>1.88291952455683</v>
      </c>
      <c r="AG2437">
        <v>-1.1210602759046999</v>
      </c>
      <c r="AH2437">
        <v>38.842145478811297</v>
      </c>
      <c r="AI2437">
        <v>91.651271313132497</v>
      </c>
      <c r="AJ2437">
        <v>87.224691040629395</v>
      </c>
      <c r="AK2437">
        <v>38.9039127527722</v>
      </c>
      <c r="AL2437">
        <v>90.937631148096202</v>
      </c>
      <c r="AM2437">
        <v>91.907197942668702</v>
      </c>
      <c r="AN2437">
        <v>0.99999998251501898</v>
      </c>
    </row>
    <row r="2438" spans="1:40" x14ac:dyDescent="0.25">
      <c r="A2438" t="str">
        <f>"20190303153821151"</f>
        <v>20190303153821151</v>
      </c>
      <c r="B2438" t="str">
        <f>"1551598701140779"</f>
        <v>1551598701140779</v>
      </c>
      <c r="C2438" t="s">
        <v>40</v>
      </c>
      <c r="D2438">
        <v>4.0929489999999999</v>
      </c>
      <c r="E2438">
        <v>0.53020429999999996</v>
      </c>
      <c r="F2438" t="s">
        <v>55</v>
      </c>
      <c r="G2438">
        <v>-343.97590000000002</v>
      </c>
      <c r="H2438" s="1">
        <v>5.7898719999999897E-7</v>
      </c>
      <c r="I2438">
        <v>285.86489999999998</v>
      </c>
      <c r="J2438">
        <v>-303.70139999999998</v>
      </c>
      <c r="K2438">
        <v>1.121049</v>
      </c>
      <c r="L2438">
        <v>283.48320000000001</v>
      </c>
      <c r="M2438">
        <v>-0.99983759999999999</v>
      </c>
      <c r="N2438">
        <v>-1.4375239999999999E-2</v>
      </c>
      <c r="O2438">
        <v>1.086815E-2</v>
      </c>
      <c r="P2438">
        <v>-0.99927650000000001</v>
      </c>
      <c r="Q2438">
        <v>-3.0477509999999999E-2</v>
      </c>
      <c r="R2438">
        <v>-2.2751560000000001E-2</v>
      </c>
      <c r="S2438">
        <v>-3.0036010000000002</v>
      </c>
      <c r="T2438">
        <v>-8.3227040000000002E-2</v>
      </c>
      <c r="U2438">
        <v>0.1769714</v>
      </c>
      <c r="V2438">
        <v>-3.3615689999999997E-2</v>
      </c>
      <c r="W2438">
        <v>-1.6105629999999999E-2</v>
      </c>
      <c r="X2438">
        <v>0.99930509999999995</v>
      </c>
      <c r="Y2438">
        <v>4.7936909999999999E-2</v>
      </c>
      <c r="Z2438">
        <v>8.6371630000000004E-4</v>
      </c>
      <c r="AA2438">
        <v>0.99885000000000002</v>
      </c>
      <c r="AB2438">
        <v>34</v>
      </c>
      <c r="AC2438">
        <v>-40.274500000000003</v>
      </c>
      <c r="AD2438">
        <v>-1.1210484210128</v>
      </c>
      <c r="AE2438">
        <v>2.38169999999996</v>
      </c>
      <c r="AF2438">
        <v>1.9423051160901801</v>
      </c>
      <c r="AG2438">
        <v>-1.1210484210128</v>
      </c>
      <c r="AH2438">
        <v>40.266918243865398</v>
      </c>
      <c r="AI2438">
        <v>91.592876320056504</v>
      </c>
      <c r="AJ2438">
        <v>87.238435379602905</v>
      </c>
      <c r="AK2438">
        <v>40.329319403932303</v>
      </c>
      <c r="AL2438">
        <v>90.922824482791398</v>
      </c>
      <c r="AM2438">
        <v>91.926649991645604</v>
      </c>
      <c r="AN2438">
        <v>1.0000000444089401</v>
      </c>
    </row>
    <row r="2439" spans="1:40" x14ac:dyDescent="0.25">
      <c r="A2439" t="str">
        <f>"20190303153821163"</f>
        <v>20190303153821163</v>
      </c>
      <c r="B2439" t="str">
        <f>"1551598701151516"</f>
        <v>1551598701151516</v>
      </c>
      <c r="C2439" t="s">
        <v>40</v>
      </c>
      <c r="D2439">
        <v>4.1044049999999999</v>
      </c>
      <c r="E2439">
        <v>0.52978930000000002</v>
      </c>
      <c r="F2439" t="s">
        <v>55</v>
      </c>
      <c r="G2439">
        <v>-345.58859999999999</v>
      </c>
      <c r="H2439" s="1">
        <v>1.4371960000000001E-6</v>
      </c>
      <c r="I2439">
        <v>285.88729999999998</v>
      </c>
      <c r="J2439">
        <v>-303.89249999999998</v>
      </c>
      <c r="K2439">
        <v>1.1210370000000001</v>
      </c>
      <c r="L2439">
        <v>283.4853</v>
      </c>
      <c r="M2439">
        <v>-0.99983809999999995</v>
      </c>
      <c r="N2439">
        <v>-1.431353E-2</v>
      </c>
      <c r="O2439">
        <v>1.091374E-2</v>
      </c>
      <c r="P2439">
        <v>-0.99927969999999999</v>
      </c>
      <c r="Q2439">
        <v>-3.0460210000000001E-2</v>
      </c>
      <c r="R2439">
        <v>-2.263894E-2</v>
      </c>
      <c r="S2439">
        <v>-3.0036010000000002</v>
      </c>
      <c r="T2439">
        <v>-8.0386879999999994E-2</v>
      </c>
      <c r="U2439">
        <v>0.17239380000000001</v>
      </c>
      <c r="V2439">
        <v>-3.3548469999999997E-2</v>
      </c>
      <c r="W2439">
        <v>-1.614985E-2</v>
      </c>
      <c r="X2439">
        <v>0.99930660000000004</v>
      </c>
      <c r="Y2439">
        <v>4.6376489999999999E-2</v>
      </c>
      <c r="Z2439">
        <v>8.1658899999999897E-4</v>
      </c>
      <c r="AA2439">
        <v>0.99892369999999997</v>
      </c>
      <c r="AB2439">
        <v>34</v>
      </c>
      <c r="AC2439">
        <v>-41.696100000000001</v>
      </c>
      <c r="AD2439">
        <v>-1.1210355628039901</v>
      </c>
      <c r="AE2439">
        <v>2.4019999999999802</v>
      </c>
      <c r="AF2439">
        <v>1.9453484038262601</v>
      </c>
      <c r="AG2439">
        <v>-1.1210355628039901</v>
      </c>
      <c r="AH2439">
        <v>41.689797924318903</v>
      </c>
      <c r="AI2439">
        <v>91.538634685341407</v>
      </c>
      <c r="AJ2439">
        <v>87.328376077620106</v>
      </c>
      <c r="AK2439">
        <v>41.750213797247703</v>
      </c>
      <c r="AL2439">
        <v>90.925358473501007</v>
      </c>
      <c r="AM2439">
        <v>91.922797354721098</v>
      </c>
      <c r="AN2439">
        <v>0.99999999914896098</v>
      </c>
    </row>
    <row r="2440" spans="1:40" x14ac:dyDescent="0.25">
      <c r="A2440" t="str">
        <f>"20190303153821175"</f>
        <v>20190303153821175</v>
      </c>
      <c r="B2440" t="str">
        <f>"1551598701171035"</f>
        <v>1551598701171035</v>
      </c>
      <c r="C2440" t="s">
        <v>40</v>
      </c>
      <c r="D2440">
        <v>4.1048580000000001</v>
      </c>
      <c r="E2440">
        <v>0.52894719999999995</v>
      </c>
      <c r="F2440" t="s">
        <v>55</v>
      </c>
      <c r="G2440">
        <v>-347.41460000000001</v>
      </c>
      <c r="H2440" s="1">
        <v>2.4089100000000002E-6</v>
      </c>
      <c r="I2440">
        <v>285.94130000000001</v>
      </c>
      <c r="J2440">
        <v>-304.07319999999999</v>
      </c>
      <c r="K2440">
        <v>1.1210340000000001</v>
      </c>
      <c r="L2440">
        <v>283.4873</v>
      </c>
      <c r="M2440">
        <v>-0.99983840000000002</v>
      </c>
      <c r="N2440">
        <v>-1.425643E-2</v>
      </c>
      <c r="O2440">
        <v>1.095689E-2</v>
      </c>
      <c r="P2440">
        <v>-0.99928170000000005</v>
      </c>
      <c r="Q2440">
        <v>-3.027498E-2</v>
      </c>
      <c r="R2440">
        <v>-2.2794149999999999E-2</v>
      </c>
      <c r="S2440">
        <v>-3.0036320000000001</v>
      </c>
      <c r="T2440">
        <v>-7.7366950000000004E-2</v>
      </c>
      <c r="U2440">
        <v>0.1694946</v>
      </c>
      <c r="V2440">
        <v>-3.3746770000000002E-2</v>
      </c>
      <c r="W2440">
        <v>-1.60216E-2</v>
      </c>
      <c r="X2440">
        <v>0.99930200000000002</v>
      </c>
      <c r="Y2440">
        <v>4.537368E-2</v>
      </c>
      <c r="Z2440">
        <v>7.8175640000000002E-4</v>
      </c>
      <c r="AA2440">
        <v>0.99896980000000002</v>
      </c>
      <c r="AB2440">
        <v>34</v>
      </c>
      <c r="AC2440">
        <v>-43.3414</v>
      </c>
      <c r="AD2440">
        <v>-1.1210315910899999</v>
      </c>
      <c r="AE2440">
        <v>2.4540000000000002</v>
      </c>
      <c r="AF2440">
        <v>1.9775986739011899</v>
      </c>
      <c r="AG2440">
        <v>-1.1210315910899999</v>
      </c>
      <c r="AH2440">
        <v>43.336788779707902</v>
      </c>
      <c r="AI2440">
        <v>91.480251127937194</v>
      </c>
      <c r="AJ2440">
        <v>87.387219768014603</v>
      </c>
      <c r="AK2440">
        <v>43.3963693191061</v>
      </c>
      <c r="AL2440">
        <v>90.918009327406594</v>
      </c>
      <c r="AM2440">
        <v>91.934163012481804</v>
      </c>
      <c r="AN2440">
        <v>1.0000000116779899</v>
      </c>
    </row>
    <row r="2441" spans="1:40" x14ac:dyDescent="0.25">
      <c r="A2441" t="str">
        <f>"20190303153821188"</f>
        <v>20190303153821188</v>
      </c>
      <c r="B2441" t="str">
        <f>"1551598701180795"</f>
        <v>1551598701180795</v>
      </c>
      <c r="C2441" t="s">
        <v>40</v>
      </c>
      <c r="D2441">
        <v>4.1154699999999904</v>
      </c>
      <c r="E2441">
        <v>0.52855450000000004</v>
      </c>
      <c r="F2441" t="s">
        <v>55</v>
      </c>
      <c r="G2441">
        <v>-350.87889999999999</v>
      </c>
      <c r="H2441" s="1">
        <v>-1.0690850000000001E-6</v>
      </c>
      <c r="I2441">
        <v>286.01249999999999</v>
      </c>
      <c r="J2441">
        <v>-304.26920000000001</v>
      </c>
      <c r="K2441">
        <v>1.1210260000000001</v>
      </c>
      <c r="L2441">
        <v>283.48950000000002</v>
      </c>
      <c r="M2441">
        <v>-0.99983880000000003</v>
      </c>
      <c r="N2441">
        <v>-1.419571E-2</v>
      </c>
      <c r="O2441">
        <v>1.100364E-2</v>
      </c>
      <c r="P2441">
        <v>-0.99928050000000002</v>
      </c>
      <c r="Q2441">
        <v>-3.025891E-2</v>
      </c>
      <c r="R2441">
        <v>-2.2874430000000001E-2</v>
      </c>
      <c r="S2441">
        <v>-3.0036619999999998</v>
      </c>
      <c r="T2441">
        <v>-7.1940180000000006E-2</v>
      </c>
      <c r="U2441">
        <v>0.16204830000000001</v>
      </c>
      <c r="V2441">
        <v>-3.3873970000000003E-2</v>
      </c>
      <c r="W2441">
        <v>-1.6066170000000001E-2</v>
      </c>
      <c r="X2441">
        <v>0.99929699999999999</v>
      </c>
      <c r="Y2441">
        <v>4.2860860000000001E-2</v>
      </c>
      <c r="Z2441">
        <v>7.1016619999999999E-4</v>
      </c>
      <c r="AA2441">
        <v>0.99908079999999999</v>
      </c>
      <c r="AB2441">
        <v>34</v>
      </c>
      <c r="AC2441">
        <v>-46.609699999999897</v>
      </c>
      <c r="AD2441">
        <v>-1.1210270690849999</v>
      </c>
      <c r="AE2441">
        <v>2.5229999999999602</v>
      </c>
      <c r="AF2441">
        <v>2.0087606259773501</v>
      </c>
      <c r="AG2441">
        <v>-1.1210270690849999</v>
      </c>
      <c r="AH2441">
        <v>46.607760226190102</v>
      </c>
      <c r="AI2441">
        <v>91.3765561754077</v>
      </c>
      <c r="AJ2441">
        <v>87.532120814188701</v>
      </c>
      <c r="AK2441">
        <v>46.6644954354392</v>
      </c>
      <c r="AL2441">
        <v>90.920563311269703</v>
      </c>
      <c r="AM2441">
        <v>91.941457493690606</v>
      </c>
      <c r="AN2441">
        <v>1.0000000309355099</v>
      </c>
    </row>
    <row r="2442" spans="1:40" x14ac:dyDescent="0.25">
      <c r="A2442" t="str">
        <f>"20190303153821204"</f>
        <v>20190303153821204</v>
      </c>
      <c r="B2442" t="str">
        <f>"1551598701201291"</f>
        <v>1551598701201291</v>
      </c>
      <c r="C2442" t="s">
        <v>40</v>
      </c>
      <c r="D2442">
        <v>4.0992800000000003</v>
      </c>
      <c r="E2442">
        <v>0.52801290000000001</v>
      </c>
      <c r="F2442" t="s">
        <v>55</v>
      </c>
      <c r="G2442">
        <v>-352.69380000000001</v>
      </c>
      <c r="H2442" s="1">
        <v>-1.032656E-7</v>
      </c>
      <c r="I2442">
        <v>286.0498</v>
      </c>
      <c r="J2442">
        <v>-304.50369999999998</v>
      </c>
      <c r="K2442">
        <v>1.1210209999999901</v>
      </c>
      <c r="L2442">
        <v>283.49220000000003</v>
      </c>
      <c r="M2442">
        <v>-0.99983909999999998</v>
      </c>
      <c r="N2442">
        <v>-1.4123749999999999E-2</v>
      </c>
      <c r="O2442">
        <v>1.106242E-2</v>
      </c>
      <c r="P2442">
        <v>-0.99928589999999995</v>
      </c>
      <c r="Q2442">
        <v>-2.990027E-2</v>
      </c>
      <c r="R2442">
        <v>-2.3106290000000002E-2</v>
      </c>
      <c r="S2442">
        <v>-3.0037229999999999</v>
      </c>
      <c r="T2442">
        <v>-6.9535970000000002E-2</v>
      </c>
      <c r="U2442">
        <v>0.1588135</v>
      </c>
      <c r="V2442">
        <v>-3.4164319999999998E-2</v>
      </c>
      <c r="W2442">
        <v>-1.5779519999999998E-2</v>
      </c>
      <c r="X2442">
        <v>0.9992917</v>
      </c>
      <c r="Y2442">
        <v>4.1729620000000002E-2</v>
      </c>
      <c r="Z2442">
        <v>6.7787899999999896E-4</v>
      </c>
      <c r="AA2442">
        <v>0.99912869999999998</v>
      </c>
      <c r="AB2442">
        <v>34</v>
      </c>
      <c r="AC2442">
        <v>-48.190100000000001</v>
      </c>
      <c r="AD2442">
        <v>-1.1210211032655999</v>
      </c>
      <c r="AE2442">
        <v>2.5575999999999701</v>
      </c>
      <c r="AF2442">
        <v>2.0231994202933001</v>
      </c>
      <c r="AG2442">
        <v>-1.1210211032655999</v>
      </c>
      <c r="AH2442">
        <v>48.189442580281501</v>
      </c>
      <c r="AI2442">
        <v>91.331447079156405</v>
      </c>
      <c r="AJ2442">
        <v>87.595889406426394</v>
      </c>
      <c r="AK2442">
        <v>48.244920980415003</v>
      </c>
      <c r="AL2442">
        <v>90.9041373788085</v>
      </c>
      <c r="AM2442">
        <v>91.958096132487597</v>
      </c>
      <c r="AN2442">
        <v>1.0000000478506901</v>
      </c>
    </row>
    <row r="2443" spans="1:40" x14ac:dyDescent="0.25">
      <c r="A2443" t="str">
        <f>"20190303153821216"</f>
        <v>20190303153821216</v>
      </c>
      <c r="B2443" t="str">
        <f>"1551598701211051"</f>
        <v>1551598701211051</v>
      </c>
      <c r="C2443" t="s">
        <v>40</v>
      </c>
      <c r="D2443">
        <v>4.1117309999999998</v>
      </c>
      <c r="E2443">
        <v>0.52776040000000002</v>
      </c>
      <c r="F2443" t="s">
        <v>55</v>
      </c>
      <c r="G2443">
        <v>-357.01280000000003</v>
      </c>
      <c r="H2443" s="1">
        <v>2.1950959999999998E-6</v>
      </c>
      <c r="I2443">
        <v>286.1755</v>
      </c>
      <c r="J2443">
        <v>-304.70330000000001</v>
      </c>
      <c r="K2443">
        <v>1.1210169999999999</v>
      </c>
      <c r="L2443">
        <v>283.49439999999998</v>
      </c>
      <c r="M2443">
        <v>-0.99983929999999999</v>
      </c>
      <c r="N2443">
        <v>-1.406317E-2</v>
      </c>
      <c r="O2443">
        <v>1.1113649999999999E-2</v>
      </c>
      <c r="P2443">
        <v>-0.99927809999999995</v>
      </c>
      <c r="Q2443">
        <v>-2.9936500000000001E-2</v>
      </c>
      <c r="R2443">
        <v>-2.3392059999999999E-2</v>
      </c>
      <c r="S2443">
        <v>-3.003784</v>
      </c>
      <c r="T2443">
        <v>-6.4127799999999999E-2</v>
      </c>
      <c r="U2443">
        <v>0.15350339999999901</v>
      </c>
      <c r="V2443">
        <v>-3.4501150000000001E-2</v>
      </c>
      <c r="W2443">
        <v>-1.587649E-2</v>
      </c>
      <c r="X2443">
        <v>0.99927849999999996</v>
      </c>
      <c r="Y2443">
        <v>3.9918559999999999E-2</v>
      </c>
      <c r="Z2443">
        <v>6.2586839999999896E-4</v>
      </c>
      <c r="AA2443">
        <v>0.9992027</v>
      </c>
      <c r="AB2443">
        <v>34</v>
      </c>
      <c r="AC2443">
        <v>-52.3095</v>
      </c>
      <c r="AD2443">
        <v>-1.1210148049040001</v>
      </c>
      <c r="AE2443">
        <v>2.68110000000001</v>
      </c>
      <c r="AF2443">
        <v>2.0985661213674902</v>
      </c>
      <c r="AG2443">
        <v>-1.1210148049040001</v>
      </c>
      <c r="AH2443">
        <v>52.312106487410702</v>
      </c>
      <c r="AI2443">
        <v>91.226637496826598</v>
      </c>
      <c r="AJ2443">
        <v>87.702739360207602</v>
      </c>
      <c r="AK2443">
        <v>52.3661831634574</v>
      </c>
      <c r="AL2443">
        <v>90.909694129548996</v>
      </c>
      <c r="AM2443">
        <v>91.977412078555801</v>
      </c>
      <c r="AN2443">
        <v>0.99999995642414496</v>
      </c>
    </row>
    <row r="2444" spans="1:40" x14ac:dyDescent="0.25">
      <c r="A2444" t="str">
        <f>"20190303153821228"</f>
        <v>20190303153821228</v>
      </c>
      <c r="B2444" t="str">
        <f>"1551598701220811"</f>
        <v>1551598701220811</v>
      </c>
      <c r="C2444" t="s">
        <v>40</v>
      </c>
      <c r="D2444">
        <v>4.1429869999999998</v>
      </c>
      <c r="E2444">
        <v>0.52753689999999998</v>
      </c>
      <c r="F2444" t="s">
        <v>55</v>
      </c>
      <c r="G2444">
        <v>-358.7373</v>
      </c>
      <c r="H2444" s="1">
        <v>3.1127490000000002E-6</v>
      </c>
      <c r="I2444">
        <v>286.20299999999997</v>
      </c>
      <c r="J2444">
        <v>-304.88560000000001</v>
      </c>
      <c r="K2444">
        <v>1.1210089999999999</v>
      </c>
      <c r="L2444">
        <v>283.49650000000003</v>
      </c>
      <c r="M2444">
        <v>-0.99983960000000005</v>
      </c>
      <c r="N2444">
        <v>-1.40083E-2</v>
      </c>
      <c r="O2444">
        <v>1.116092E-2</v>
      </c>
      <c r="P2444">
        <v>-0.99929420000000002</v>
      </c>
      <c r="Q2444">
        <v>-2.9565959999999999E-2</v>
      </c>
      <c r="R2444">
        <v>-2.317522E-2</v>
      </c>
      <c r="S2444">
        <v>-3.0038450000000001</v>
      </c>
      <c r="T2444">
        <v>-6.2319159999999998E-2</v>
      </c>
      <c r="U2444">
        <v>0.1505737</v>
      </c>
      <c r="V2444">
        <v>-3.4331689999999998E-2</v>
      </c>
      <c r="W2444">
        <v>-1.556075E-2</v>
      </c>
      <c r="X2444">
        <v>0.99928930000000005</v>
      </c>
      <c r="Y2444">
        <v>3.8899250000000003E-2</v>
      </c>
      <c r="Z2444">
        <v>6.0080729999999996E-4</v>
      </c>
      <c r="AA2444">
        <v>0.99924299999999999</v>
      </c>
      <c r="AB2444">
        <v>34</v>
      </c>
      <c r="AC2444">
        <v>-53.851700000000001</v>
      </c>
      <c r="AD2444">
        <v>-1.121005887251</v>
      </c>
      <c r="AE2444">
        <v>2.7064999999999402</v>
      </c>
      <c r="AF2444">
        <v>2.1043283370453398</v>
      </c>
      <c r="AG2444">
        <v>-1.121005887251</v>
      </c>
      <c r="AH2444">
        <v>53.855276970487203</v>
      </c>
      <c r="AI2444">
        <v>91.191539292718005</v>
      </c>
      <c r="AJ2444">
        <v>87.762376588739997</v>
      </c>
      <c r="AK2444">
        <v>53.908030102362602</v>
      </c>
      <c r="AL2444">
        <v>90.891601326602895</v>
      </c>
      <c r="AM2444">
        <v>91.967685987691794</v>
      </c>
      <c r="AN2444">
        <v>0.99999995348665305</v>
      </c>
    </row>
    <row r="2445" spans="1:40" x14ac:dyDescent="0.25">
      <c r="A2445" t="str">
        <f>"20190303153821240"</f>
        <v>20190303153821240</v>
      </c>
      <c r="B2445" t="str">
        <f>"1551598701230573"</f>
        <v>1551598701230573</v>
      </c>
      <c r="C2445" t="s">
        <v>40</v>
      </c>
      <c r="D2445">
        <v>4.1209040000000003</v>
      </c>
      <c r="E2445">
        <v>0.52734519999999996</v>
      </c>
      <c r="F2445" t="s">
        <v>55</v>
      </c>
      <c r="G2445">
        <v>-361.76330000000002</v>
      </c>
      <c r="H2445" s="1">
        <v>-5.9843300000000002E-7</v>
      </c>
      <c r="I2445">
        <v>286.32859999999999</v>
      </c>
      <c r="J2445">
        <v>-305.05759999999998</v>
      </c>
      <c r="K2445">
        <v>1.1209979999999999</v>
      </c>
      <c r="L2445">
        <v>283.49849999999998</v>
      </c>
      <c r="M2445">
        <v>-0.9998399</v>
      </c>
      <c r="N2445">
        <v>-1.395476E-2</v>
      </c>
      <c r="O2445">
        <v>1.1206219999999999E-2</v>
      </c>
      <c r="P2445">
        <v>-0.99929769999999896</v>
      </c>
      <c r="Q2445">
        <v>-2.9282289999999999E-2</v>
      </c>
      <c r="R2445">
        <v>-2.3379230000000001E-2</v>
      </c>
      <c r="S2445">
        <v>-3.0038149999999999</v>
      </c>
      <c r="T2445">
        <v>-5.920255E-2</v>
      </c>
      <c r="U2445">
        <v>0.1495667</v>
      </c>
      <c r="V2445">
        <v>-3.4581019999999997E-2</v>
      </c>
      <c r="W2445">
        <v>-1.5330649999999999E-2</v>
      </c>
      <c r="X2445">
        <v>0.99928430000000001</v>
      </c>
      <c r="Y2445">
        <v>3.8521489999999999E-2</v>
      </c>
      <c r="Z2445">
        <v>5.8395569999999996E-4</v>
      </c>
      <c r="AA2445">
        <v>0.99925759999999997</v>
      </c>
      <c r="AB2445">
        <v>34</v>
      </c>
      <c r="AC2445">
        <v>-56.7057</v>
      </c>
      <c r="AD2445">
        <v>-1.120998598433</v>
      </c>
      <c r="AE2445">
        <v>2.8301000000000101</v>
      </c>
      <c r="AF2445">
        <v>2.1935487588039599</v>
      </c>
      <c r="AG2445">
        <v>-1.120998598433</v>
      </c>
      <c r="AH2445">
        <v>56.711748478536201</v>
      </c>
      <c r="AI2445">
        <v>91.131549545101706</v>
      </c>
      <c r="AJ2445">
        <v>87.784965722346001</v>
      </c>
      <c r="AK2445">
        <v>56.765224473331301</v>
      </c>
      <c r="AL2445">
        <v>90.8784159586002</v>
      </c>
      <c r="AM2445">
        <v>91.981974636882995</v>
      </c>
      <c r="AN2445">
        <v>0.999999994000076</v>
      </c>
    </row>
    <row r="2446" spans="1:40" x14ac:dyDescent="0.25">
      <c r="A2446" t="str">
        <f>"20190303153821253"</f>
        <v>20190303153821253</v>
      </c>
      <c r="B2446" t="str">
        <f>"1551598701241308"</f>
        <v>1551598701241308</v>
      </c>
      <c r="C2446" t="s">
        <v>40</v>
      </c>
      <c r="D2446">
        <v>4.1262109999999996</v>
      </c>
      <c r="E2446">
        <v>0.52713659999999996</v>
      </c>
      <c r="F2446" t="s">
        <v>55</v>
      </c>
      <c r="G2446">
        <v>-364.5598</v>
      </c>
      <c r="H2446" s="1">
        <v>8.8973269999999996E-7</v>
      </c>
      <c r="I2446">
        <v>286.41879999999998</v>
      </c>
      <c r="J2446">
        <v>-305.24669999999998</v>
      </c>
      <c r="K2446">
        <v>1.1209899999999999</v>
      </c>
      <c r="L2446">
        <v>283.50060000000002</v>
      </c>
      <c r="M2446">
        <v>-0.99984010000000001</v>
      </c>
      <c r="N2446">
        <v>-1.3892109999999999E-2</v>
      </c>
      <c r="O2446">
        <v>1.1256769999999999E-2</v>
      </c>
      <c r="P2446">
        <v>-0.99930969999999997</v>
      </c>
      <c r="Q2446">
        <v>-2.902414E-2</v>
      </c>
      <c r="R2446">
        <v>-2.319071E-2</v>
      </c>
      <c r="S2446">
        <v>-3.0039370000000001</v>
      </c>
      <c r="T2446">
        <v>-5.6592940000000001E-2</v>
      </c>
      <c r="U2446">
        <v>0.14743039999999999</v>
      </c>
      <c r="V2446">
        <v>-3.4442929999999997E-2</v>
      </c>
      <c r="W2446">
        <v>-1.5135010000000001E-2</v>
      </c>
      <c r="X2446">
        <v>0.99929210000000002</v>
      </c>
      <c r="Y2446">
        <v>3.776115E-2</v>
      </c>
      <c r="Z2446">
        <v>5.6235339999999995E-4</v>
      </c>
      <c r="AA2446">
        <v>0.99928669999999997</v>
      </c>
      <c r="AB2446">
        <v>34</v>
      </c>
      <c r="AC2446">
        <v>-59.313099999999999</v>
      </c>
      <c r="AD2446">
        <v>-1.1209891102673</v>
      </c>
      <c r="AE2446">
        <v>2.9181999999999499</v>
      </c>
      <c r="AF2446">
        <v>2.2494751304162</v>
      </c>
      <c r="AG2446">
        <v>-1.1209891102673</v>
      </c>
      <c r="AH2446">
        <v>59.321056076126901</v>
      </c>
      <c r="AI2446">
        <v>91.081811306440798</v>
      </c>
      <c r="AJ2446">
        <v>87.828364567303197</v>
      </c>
      <c r="AK2446">
        <v>59.374274302383597</v>
      </c>
      <c r="AL2446">
        <v>90.867205269385295</v>
      </c>
      <c r="AM2446">
        <v>91.974051032389596</v>
      </c>
      <c r="AN2446">
        <v>1.00000004253854</v>
      </c>
    </row>
    <row r="2447" spans="1:40" x14ac:dyDescent="0.25">
      <c r="A2447" t="str">
        <f>"20190303153821264"</f>
        <v>20190303153821264</v>
      </c>
      <c r="B2447" t="str">
        <f>"1551598701260827"</f>
        <v>1551598701260827</v>
      </c>
      <c r="C2447" t="s">
        <v>40</v>
      </c>
      <c r="D2447">
        <v>4.1215619999999999</v>
      </c>
      <c r="E2447">
        <v>0.52676829999999997</v>
      </c>
      <c r="F2447" t="s">
        <v>55</v>
      </c>
      <c r="G2447">
        <v>-367.24549999999999</v>
      </c>
      <c r="H2447" s="1">
        <v>2.3188979999999999E-6</v>
      </c>
      <c r="I2447">
        <v>286.51769999999999</v>
      </c>
      <c r="J2447">
        <v>-305.43279999999999</v>
      </c>
      <c r="K2447">
        <v>1.1209800000000001</v>
      </c>
      <c r="L2447">
        <v>283.50279999999998</v>
      </c>
      <c r="M2447">
        <v>-0.99984070000000003</v>
      </c>
      <c r="N2447">
        <v>-1.3821E-2</v>
      </c>
      <c r="O2447">
        <v>1.130856E-2</v>
      </c>
      <c r="P2447">
        <v>-0.99931309999999995</v>
      </c>
      <c r="Q2447">
        <v>-2.883871E-2</v>
      </c>
      <c r="R2447">
        <v>-2.328208E-2</v>
      </c>
      <c r="S2447">
        <v>-3.003876</v>
      </c>
      <c r="T2447">
        <v>-5.4312470000000002E-2</v>
      </c>
      <c r="U2447">
        <v>0.14617920000000001</v>
      </c>
      <c r="V2447">
        <v>-3.458642E-2</v>
      </c>
      <c r="W2447">
        <v>-1.502043E-2</v>
      </c>
      <c r="X2447">
        <v>0.99928890000000004</v>
      </c>
      <c r="Y2447">
        <v>3.7296000000000003E-2</v>
      </c>
      <c r="Z2447">
        <v>5.4678769999999999E-4</v>
      </c>
      <c r="AA2447">
        <v>0.99930410000000003</v>
      </c>
      <c r="AB2447">
        <v>34</v>
      </c>
      <c r="AC2447">
        <v>-61.8127</v>
      </c>
      <c r="AD2447">
        <v>-1.12097768110199</v>
      </c>
      <c r="AE2447">
        <v>3.0149000000000101</v>
      </c>
      <c r="AF2447">
        <v>2.31486838617068</v>
      </c>
      <c r="AG2447">
        <v>-1.12097768110199</v>
      </c>
      <c r="AH2447">
        <v>61.8225601383037</v>
      </c>
      <c r="AI2447">
        <v>91.038056174558804</v>
      </c>
      <c r="AJ2447">
        <v>87.855633032808996</v>
      </c>
      <c r="AK2447">
        <v>61.8760385663223</v>
      </c>
      <c r="AL2447">
        <v>90.860639549496597</v>
      </c>
      <c r="AM2447">
        <v>91.982274767570203</v>
      </c>
      <c r="AN2447">
        <v>1.0000000697145</v>
      </c>
    </row>
    <row r="2448" spans="1:40" x14ac:dyDescent="0.25">
      <c r="A2448" t="str">
        <f>"20190303153821278"</f>
        <v>20190303153821278</v>
      </c>
      <c r="B2448" t="str">
        <f>"1551598701270588"</f>
        <v>1551598701270588</v>
      </c>
      <c r="C2448" t="s">
        <v>40</v>
      </c>
      <c r="D2448">
        <v>4.123354</v>
      </c>
      <c r="E2448">
        <v>0.52660609999999997</v>
      </c>
      <c r="F2448" t="s">
        <v>55</v>
      </c>
      <c r="G2448">
        <v>-371.91039999999998</v>
      </c>
      <c r="H2448" s="1">
        <v>-5.2016539999999997E-7</v>
      </c>
      <c r="I2448">
        <v>286.6696</v>
      </c>
      <c r="J2448">
        <v>-305.62810000000002</v>
      </c>
      <c r="K2448">
        <v>1.120968</v>
      </c>
      <c r="L2448">
        <v>283.50510000000003</v>
      </c>
      <c r="M2448">
        <v>-0.99984119999999999</v>
      </c>
      <c r="N2448">
        <v>-1.3735839999999999E-2</v>
      </c>
      <c r="O2448">
        <v>1.1360479999999999E-2</v>
      </c>
      <c r="P2448">
        <v>-0.99932799999999999</v>
      </c>
      <c r="Q2448">
        <v>-2.8570020000000002E-2</v>
      </c>
      <c r="R2448">
        <v>-2.2967609999999999E-2</v>
      </c>
      <c r="S2448">
        <v>-3.0039370000000001</v>
      </c>
      <c r="T2448">
        <v>-5.065393E-2</v>
      </c>
      <c r="U2448">
        <v>0.1430969</v>
      </c>
      <c r="V2448">
        <v>-3.4323960000000001E-2</v>
      </c>
      <c r="W2448">
        <v>-1.48366E-2</v>
      </c>
      <c r="X2448">
        <v>0.99930059999999998</v>
      </c>
      <c r="Y2448">
        <v>3.622148E-2</v>
      </c>
      <c r="Z2448">
        <v>5.1869639999999897E-4</v>
      </c>
      <c r="AA2448">
        <v>0.9993436</v>
      </c>
      <c r="AB2448">
        <v>34</v>
      </c>
      <c r="AC2448">
        <v>-66.282299999999907</v>
      </c>
      <c r="AD2448">
        <v>-1.1209685201653901</v>
      </c>
      <c r="AE2448">
        <v>3.1644999999999701</v>
      </c>
      <c r="AF2448">
        <v>2.4105381331810598</v>
      </c>
      <c r="AG2448">
        <v>-1.1209685201653901</v>
      </c>
      <c r="AH2448">
        <v>66.295057085291006</v>
      </c>
      <c r="AI2448">
        <v>90.968069793054099</v>
      </c>
      <c r="AJ2448">
        <v>87.917599760736195</v>
      </c>
      <c r="AK2448">
        <v>66.348337269721497</v>
      </c>
      <c r="AL2448">
        <v>90.850105774547501</v>
      </c>
      <c r="AM2448">
        <v>91.967221070803603</v>
      </c>
      <c r="AN2448">
        <v>0.99999997404499996</v>
      </c>
    </row>
    <row r="2449" spans="1:40" x14ac:dyDescent="0.25">
      <c r="A2449" t="str">
        <f>"20190303153821294"</f>
        <v>20190303153821294</v>
      </c>
      <c r="B2449" t="str">
        <f>"1551598701281323"</f>
        <v>1551598701281323</v>
      </c>
      <c r="C2449" t="s">
        <v>40</v>
      </c>
      <c r="D2449">
        <v>4.119332</v>
      </c>
      <c r="E2449">
        <v>0.5264335</v>
      </c>
      <c r="F2449" t="s">
        <v>55</v>
      </c>
      <c r="G2449">
        <v>-375.12430000000001</v>
      </c>
      <c r="H2449" s="1">
        <v>1.1900930000000001E-6</v>
      </c>
      <c r="I2449">
        <v>286.80160000000001</v>
      </c>
      <c r="J2449">
        <v>-305.87349999999998</v>
      </c>
      <c r="K2449">
        <v>1.120949</v>
      </c>
      <c r="L2449">
        <v>283.50790000000001</v>
      </c>
      <c r="M2449">
        <v>-0.99984220000000001</v>
      </c>
      <c r="N2449">
        <v>-1.3612559999999999E-2</v>
      </c>
      <c r="O2449">
        <v>1.1423839999999999E-2</v>
      </c>
      <c r="P2449">
        <v>-0.99935010000000002</v>
      </c>
      <c r="Q2449">
        <v>-2.8062750000000001E-2</v>
      </c>
      <c r="R2449">
        <v>-2.263155E-2</v>
      </c>
      <c r="S2449">
        <v>-3.003876</v>
      </c>
      <c r="T2449">
        <v>-4.8452259999999997E-2</v>
      </c>
      <c r="U2449">
        <v>0.14248659999999999</v>
      </c>
      <c r="V2449">
        <v>-3.4051119999999997E-2</v>
      </c>
      <c r="W2449">
        <v>-1.44523E-2</v>
      </c>
      <c r="X2449">
        <v>0.99931559999999997</v>
      </c>
      <c r="Y2449">
        <v>3.5957219999999998E-2</v>
      </c>
      <c r="Z2449">
        <v>5.060291E-4</v>
      </c>
      <c r="AA2449">
        <v>0.99935320000000005</v>
      </c>
      <c r="AB2449">
        <v>34</v>
      </c>
      <c r="AC2449">
        <v>-69.250799999999998</v>
      </c>
      <c r="AD2449">
        <v>-1.120947809907</v>
      </c>
      <c r="AE2449">
        <v>3.2936999999999999</v>
      </c>
      <c r="AF2449">
        <v>2.5016477751388599</v>
      </c>
      <c r="AG2449">
        <v>-1.120947809907</v>
      </c>
      <c r="AH2449">
        <v>69.265802932288395</v>
      </c>
      <c r="AI2449">
        <v>90.926548649723401</v>
      </c>
      <c r="AJ2449">
        <v>87.931568250079806</v>
      </c>
      <c r="AK2449">
        <v>69.3200275637424</v>
      </c>
      <c r="AL2449">
        <v>90.828084616139407</v>
      </c>
      <c r="AM2449">
        <v>91.951566566160807</v>
      </c>
      <c r="AN2449">
        <v>1.0000000080759499</v>
      </c>
    </row>
    <row r="2450" spans="1:40" x14ac:dyDescent="0.25">
      <c r="A2450" t="str">
        <f>"20190303153821317"</f>
        <v>20190303153821317</v>
      </c>
      <c r="B2450" t="str">
        <f>"1551598701311579"</f>
        <v>1551598701311579</v>
      </c>
      <c r="C2450" t="s">
        <v>40</v>
      </c>
      <c r="D2450">
        <v>4.0893459999999999</v>
      </c>
      <c r="E2450">
        <v>0.52594799999999997</v>
      </c>
      <c r="F2450" t="s">
        <v>55</v>
      </c>
      <c r="G2450">
        <v>-379.4572</v>
      </c>
      <c r="H2450" s="1">
        <v>3.4958820000000002E-6</v>
      </c>
      <c r="I2450">
        <v>286.99079999999998</v>
      </c>
      <c r="J2450">
        <v>-306.22469999999998</v>
      </c>
      <c r="K2450">
        <v>1.1209209999999901</v>
      </c>
      <c r="L2450">
        <v>283.51209999999998</v>
      </c>
      <c r="M2450">
        <v>-0.99984399999999996</v>
      </c>
      <c r="N2450">
        <v>-1.338803E-2</v>
      </c>
      <c r="O2450">
        <v>1.1515650000000001E-2</v>
      </c>
      <c r="P2450">
        <v>-0.99936219999999998</v>
      </c>
      <c r="Q2450">
        <v>-2.79797E-2</v>
      </c>
      <c r="R2450">
        <v>-2.2185670000000001E-2</v>
      </c>
      <c r="S2450">
        <v>-3.0039370000000001</v>
      </c>
      <c r="T2450">
        <v>-4.5760750000000003E-2</v>
      </c>
      <c r="U2450">
        <v>0.14218140000000001</v>
      </c>
      <c r="V2450">
        <v>-3.3696999999999998E-2</v>
      </c>
      <c r="W2450">
        <v>-1.4593800000000001E-2</v>
      </c>
      <c r="X2450">
        <v>0.99932549999999998</v>
      </c>
      <c r="Y2450">
        <v>3.5764039999999997E-2</v>
      </c>
      <c r="Z2450">
        <v>4.9061809999999999E-4</v>
      </c>
      <c r="AA2450">
        <v>0.99936009999999997</v>
      </c>
      <c r="AB2450">
        <v>34</v>
      </c>
      <c r="AC2450">
        <v>-73.232500000000002</v>
      </c>
      <c r="AD2450">
        <v>-1.12091750411799</v>
      </c>
      <c r="AE2450">
        <v>3.4786999999999999</v>
      </c>
      <c r="AF2450">
        <v>2.6344579979363099</v>
      </c>
      <c r="AG2450">
        <v>-1.12091750411799</v>
      </c>
      <c r="AH2450">
        <v>73.250583681829895</v>
      </c>
      <c r="AI2450">
        <v>90.876134228389702</v>
      </c>
      <c r="AJ2450">
        <v>87.940244478041393</v>
      </c>
      <c r="AK2450">
        <v>73.306512907944906</v>
      </c>
      <c r="AL2450">
        <v>90.836192863483106</v>
      </c>
      <c r="AM2450">
        <v>91.931267273490505</v>
      </c>
      <c r="AN2450">
        <v>0.99999996087884402</v>
      </c>
    </row>
    <row r="2451" spans="1:40" x14ac:dyDescent="0.25">
      <c r="A2451" t="str">
        <f>"20190303153821331"</f>
        <v>20190303153821331</v>
      </c>
      <c r="B2451" t="str">
        <f>"1551598701321339"</f>
        <v>1551598701321339</v>
      </c>
      <c r="C2451" t="s">
        <v>40</v>
      </c>
      <c r="D2451">
        <v>4.1240839999999999</v>
      </c>
      <c r="E2451">
        <v>0.52579639999999905</v>
      </c>
      <c r="F2451" t="s">
        <v>55</v>
      </c>
      <c r="G2451">
        <v>-386.13029999999998</v>
      </c>
      <c r="H2451" s="1">
        <v>1.7254400000000001E-6</v>
      </c>
      <c r="I2451">
        <v>287.22199999999998</v>
      </c>
      <c r="J2451">
        <v>-306.42669999999998</v>
      </c>
      <c r="K2451">
        <v>1.1208979999999999</v>
      </c>
      <c r="L2451">
        <v>283.51440000000002</v>
      </c>
      <c r="M2451">
        <v>-0.9998454</v>
      </c>
      <c r="N2451">
        <v>-1.324086E-2</v>
      </c>
      <c r="O2451">
        <v>1.156922E-2</v>
      </c>
      <c r="P2451">
        <v>-0.99937310000000001</v>
      </c>
      <c r="Q2451">
        <v>-2.77174E-2</v>
      </c>
      <c r="R2451">
        <v>-2.2029119999999999E-2</v>
      </c>
      <c r="S2451">
        <v>-3.0038450000000001</v>
      </c>
      <c r="T2451">
        <v>-4.2138099999999998E-2</v>
      </c>
      <c r="U2451">
        <v>0.13946529999999999</v>
      </c>
      <c r="V2451">
        <v>-3.359413E-2</v>
      </c>
      <c r="W2451">
        <v>-1.4478680000000001E-2</v>
      </c>
      <c r="X2451">
        <v>0.99933070000000002</v>
      </c>
      <c r="Y2451">
        <v>3.4811429999999997E-2</v>
      </c>
      <c r="Z2451">
        <v>4.6558610000000002E-4</v>
      </c>
      <c r="AA2451">
        <v>0.9993938</v>
      </c>
      <c r="AB2451">
        <v>34</v>
      </c>
      <c r="AC2451">
        <v>-79.703599999999994</v>
      </c>
      <c r="AD2451">
        <v>-1.12089627456</v>
      </c>
      <c r="AE2451">
        <v>3.70759999999995</v>
      </c>
      <c r="AF2451">
        <v>2.7846129505377499</v>
      </c>
      <c r="AG2451">
        <v>-1.12089627456</v>
      </c>
      <c r="AH2451">
        <v>79.725428867949404</v>
      </c>
      <c r="AI2451">
        <v>90.805003692197403</v>
      </c>
      <c r="AJ2451">
        <v>87.999612662469303</v>
      </c>
      <c r="AK2451">
        <v>79.781918289303405</v>
      </c>
      <c r="AL2451">
        <v>90.829596224692295</v>
      </c>
      <c r="AM2451">
        <v>91.925365945457798</v>
      </c>
      <c r="AN2451">
        <v>1.00000002285374</v>
      </c>
    </row>
    <row r="2452" spans="1:40" x14ac:dyDescent="0.25">
      <c r="A2452" t="str">
        <f>"20190303153821343"</f>
        <v>20190303153821343</v>
      </c>
      <c r="B2452" t="str">
        <f>"1551598701331099"</f>
        <v>1551598701331099</v>
      </c>
      <c r="C2452" t="s">
        <v>40</v>
      </c>
      <c r="D2452">
        <v>4.1309079999999998</v>
      </c>
      <c r="E2452">
        <v>0.52563990000000005</v>
      </c>
      <c r="F2452" t="s">
        <v>55</v>
      </c>
      <c r="G2452">
        <v>-390.01569999999998</v>
      </c>
      <c r="H2452" s="1">
        <v>-1.5284289999999901E-6</v>
      </c>
      <c r="I2452">
        <v>287.3793</v>
      </c>
      <c r="J2452">
        <v>-306.63260000000002</v>
      </c>
      <c r="K2452">
        <v>1.12087</v>
      </c>
      <c r="L2452">
        <v>283.51690000000002</v>
      </c>
      <c r="M2452">
        <v>-0.99984709999999999</v>
      </c>
      <c r="N2452">
        <v>-1.3071960000000001E-2</v>
      </c>
      <c r="O2452">
        <v>1.162524E-2</v>
      </c>
      <c r="P2452">
        <v>-0.99939080000000002</v>
      </c>
      <c r="Q2452">
        <v>-2.716677E-2</v>
      </c>
      <c r="R2452">
        <v>-2.1912629999999999E-2</v>
      </c>
      <c r="S2452">
        <v>-3.0038149999999999</v>
      </c>
      <c r="T2452">
        <v>-4.0280099999999999E-2</v>
      </c>
      <c r="U2452">
        <v>0.1388855</v>
      </c>
      <c r="V2452">
        <v>-3.3533319999999998E-2</v>
      </c>
      <c r="W2452">
        <v>-1.4096869999999999E-2</v>
      </c>
      <c r="X2452">
        <v>0.99933819999999995</v>
      </c>
      <c r="Y2452">
        <v>3.4563959999999998E-2</v>
      </c>
      <c r="Z2452">
        <v>4.5378630000000002E-4</v>
      </c>
      <c r="AA2452">
        <v>0.99940240000000002</v>
      </c>
      <c r="AB2452">
        <v>34</v>
      </c>
      <c r="AC2452">
        <v>-83.383099999999899</v>
      </c>
      <c r="AD2452">
        <v>-1.1208715284289901</v>
      </c>
      <c r="AE2452">
        <v>3.8623999999999801</v>
      </c>
      <c r="AF2452">
        <v>2.8921861960553299</v>
      </c>
      <c r="AG2452">
        <v>-1.1208715284289901</v>
      </c>
      <c r="AH2452">
        <v>83.4073302045704</v>
      </c>
      <c r="AI2452">
        <v>90.769462043912398</v>
      </c>
      <c r="AJ2452">
        <v>88.014039123122203</v>
      </c>
      <c r="AK2452">
        <v>83.464985627687895</v>
      </c>
      <c r="AL2452">
        <v>90.807717891225394</v>
      </c>
      <c r="AM2452">
        <v>91.921868971189198</v>
      </c>
      <c r="AN2452">
        <v>1.0000000216366201</v>
      </c>
    </row>
    <row r="2453" spans="1:40" x14ac:dyDescent="0.25">
      <c r="A2453" t="str">
        <f>"20190303153821361"</f>
        <v>20190303153821361</v>
      </c>
      <c r="B2453" t="str">
        <f>"1551598701351599"</f>
        <v>1551598701351599</v>
      </c>
      <c r="C2453" t="s">
        <v>40</v>
      </c>
      <c r="D2453">
        <v>4.1906600000000003</v>
      </c>
      <c r="E2453">
        <v>0.52535159999999903</v>
      </c>
      <c r="F2453" t="s">
        <v>55</v>
      </c>
      <c r="G2453">
        <v>-395.95119999999997</v>
      </c>
      <c r="H2453" s="1">
        <v>1.6301549999999999E-6</v>
      </c>
      <c r="I2453">
        <v>287.61399999999998</v>
      </c>
      <c r="J2453">
        <v>-306.8904</v>
      </c>
      <c r="K2453">
        <v>1.1208340000000001</v>
      </c>
      <c r="L2453">
        <v>283.52</v>
      </c>
      <c r="M2453">
        <v>-0.99984919999999999</v>
      </c>
      <c r="N2453">
        <v>-1.283693E-2</v>
      </c>
      <c r="O2453">
        <v>1.169574E-2</v>
      </c>
      <c r="P2453">
        <v>-0.99940759999999995</v>
      </c>
      <c r="Q2453">
        <v>-2.662024E-2</v>
      </c>
      <c r="R2453">
        <v>-2.1820249999999999E-2</v>
      </c>
      <c r="S2453">
        <v>-3.0038149999999999</v>
      </c>
      <c r="T2453">
        <v>-3.769517E-2</v>
      </c>
      <c r="U2453">
        <v>0.13778689999999999</v>
      </c>
      <c r="V2453">
        <v>-3.3512019999999997E-2</v>
      </c>
      <c r="W2453">
        <v>-1.3785240000000001E-2</v>
      </c>
      <c r="X2453">
        <v>0.99934319999999999</v>
      </c>
      <c r="Y2453">
        <v>3.412946E-2</v>
      </c>
      <c r="Z2453">
        <v>4.3662820000000001E-4</v>
      </c>
      <c r="AA2453">
        <v>0.99941729999999995</v>
      </c>
      <c r="AB2453">
        <v>34</v>
      </c>
      <c r="AC2453">
        <v>-89.060799999999901</v>
      </c>
      <c r="AD2453">
        <v>-1.120832369845</v>
      </c>
      <c r="AE2453">
        <v>4.09400000000005</v>
      </c>
      <c r="AF2453">
        <v>3.05151984992141</v>
      </c>
      <c r="AG2453">
        <v>-1.120832369845</v>
      </c>
      <c r="AH2453">
        <v>89.088513425532796</v>
      </c>
      <c r="AI2453">
        <v>90.720384038980697</v>
      </c>
      <c r="AJ2453">
        <v>88.038233287058503</v>
      </c>
      <c r="AK2453">
        <v>89.147805710331994</v>
      </c>
      <c r="AL2453">
        <v>90.789861121223197</v>
      </c>
      <c r="AM2453">
        <v>91.920639533160099</v>
      </c>
      <c r="AN2453">
        <v>0.99999995985628798</v>
      </c>
    </row>
    <row r="2454" spans="1:40" x14ac:dyDescent="0.25">
      <c r="A2454" t="str">
        <f>"20190303153821374"</f>
        <v>20190303153821374</v>
      </c>
      <c r="B2454" t="str">
        <f>"1551598701361355"</f>
        <v>1551598701361355</v>
      </c>
      <c r="C2454" t="s">
        <v>40</v>
      </c>
      <c r="D2454">
        <v>4.101057</v>
      </c>
      <c r="E2454">
        <v>0.52518679999999995</v>
      </c>
      <c r="F2454" t="s">
        <v>57</v>
      </c>
      <c r="G2454">
        <v>-405.23480000000001</v>
      </c>
      <c r="H2454" s="1">
        <v>5.3880499999999899E-6</v>
      </c>
      <c r="I2454">
        <v>287.96910000000003</v>
      </c>
      <c r="J2454">
        <v>-307.0763</v>
      </c>
      <c r="K2454">
        <v>1.120803</v>
      </c>
      <c r="L2454">
        <v>283.5222</v>
      </c>
      <c r="M2454">
        <v>-0.99985100000000005</v>
      </c>
      <c r="N2454">
        <v>-1.265142E-2</v>
      </c>
      <c r="O2454">
        <v>1.1746019999999999E-2</v>
      </c>
      <c r="P2454">
        <v>-0.99940689999999999</v>
      </c>
      <c r="Q2454">
        <v>-2.6611639999999999E-2</v>
      </c>
      <c r="R2454">
        <v>-2.185482E-2</v>
      </c>
      <c r="S2454">
        <v>-3.0038450000000001</v>
      </c>
      <c r="T2454">
        <v>-3.4234760000000003E-2</v>
      </c>
      <c r="U2454">
        <v>0.13589479999999901</v>
      </c>
      <c r="V2454">
        <v>-3.3596269999999998E-2</v>
      </c>
      <c r="W2454">
        <v>-1.396212E-2</v>
      </c>
      <c r="X2454">
        <v>0.99933799999999995</v>
      </c>
      <c r="Y2454">
        <v>3.3451399999999999E-2</v>
      </c>
      <c r="Z2454">
        <v>4.1701530000000001E-4</v>
      </c>
      <c r="AA2454">
        <v>0.99944029999999995</v>
      </c>
      <c r="AB2454">
        <v>34</v>
      </c>
      <c r="AC2454">
        <v>-98.158500000000004</v>
      </c>
      <c r="AD2454">
        <v>-1.1207976119499901</v>
      </c>
      <c r="AE2454">
        <v>4.4469000000000198</v>
      </c>
      <c r="AF2454">
        <v>3.2931007522842601</v>
      </c>
      <c r="AG2454">
        <v>-1.1207976119499901</v>
      </c>
      <c r="AH2454">
        <v>98.191189243032696</v>
      </c>
      <c r="AI2454">
        <v>90.653603495395899</v>
      </c>
      <c r="AJ2454">
        <v>88.079154731281093</v>
      </c>
      <c r="AK2454">
        <v>98.252787974757794</v>
      </c>
      <c r="AL2454">
        <v>90.799996507123694</v>
      </c>
      <c r="AM2454">
        <v>91.925474447248604</v>
      </c>
      <c r="AN2454">
        <v>1.0000000441984001</v>
      </c>
    </row>
    <row r="2455" spans="1:40" x14ac:dyDescent="0.25">
      <c r="A2455" t="str">
        <f>"20190303153821385"</f>
        <v>20190303153821385</v>
      </c>
      <c r="B2455" t="str">
        <f>"1551598701380875"</f>
        <v>1551598701380875</v>
      </c>
      <c r="C2455" t="s">
        <v>40</v>
      </c>
      <c r="D2455">
        <v>4.0977899999999998</v>
      </c>
      <c r="E2455">
        <v>0.524879599999999</v>
      </c>
      <c r="F2455" t="s">
        <v>57</v>
      </c>
      <c r="G2455">
        <v>-407.64670000000001</v>
      </c>
      <c r="H2455" s="1">
        <v>4.3073269999999999E-6</v>
      </c>
      <c r="I2455">
        <v>288.02300000000002</v>
      </c>
      <c r="J2455">
        <v>-307.26130000000001</v>
      </c>
      <c r="K2455">
        <v>1.12077</v>
      </c>
      <c r="L2455">
        <v>283.52440000000001</v>
      </c>
      <c r="M2455">
        <v>-0.99985310000000005</v>
      </c>
      <c r="N2455">
        <v>-1.244872E-2</v>
      </c>
      <c r="O2455">
        <v>1.179473E-2</v>
      </c>
      <c r="P2455">
        <v>-0.99940560000000001</v>
      </c>
      <c r="Q2455">
        <v>-2.6395620000000002E-2</v>
      </c>
      <c r="R2455">
        <v>-2.2182150000000001E-2</v>
      </c>
      <c r="S2455">
        <v>-3.0038149999999999</v>
      </c>
      <c r="T2455">
        <v>-3.347576E-2</v>
      </c>
      <c r="U2455">
        <v>0.13442989999999999</v>
      </c>
      <c r="V2455">
        <v>-3.3972259999999997E-2</v>
      </c>
      <c r="W2455">
        <v>-1.394868E-2</v>
      </c>
      <c r="X2455">
        <v>0.99932549999999998</v>
      </c>
      <c r="Y2455">
        <v>3.2917050000000003E-2</v>
      </c>
      <c r="Z2455">
        <v>4.0374429999999998E-4</v>
      </c>
      <c r="AA2455">
        <v>0.99945799999999996</v>
      </c>
      <c r="AB2455">
        <v>34</v>
      </c>
      <c r="AC2455">
        <v>-100.3854</v>
      </c>
      <c r="AD2455">
        <v>-1.1207656926729901</v>
      </c>
      <c r="AE2455">
        <v>4.49859999999995</v>
      </c>
      <c r="AF2455">
        <v>3.3137645371521098</v>
      </c>
      <c r="AG2455">
        <v>-1.1207656926729901</v>
      </c>
      <c r="AH2455">
        <v>100.41898793026</v>
      </c>
      <c r="AI2455">
        <v>90.639097726892899</v>
      </c>
      <c r="AJ2455">
        <v>88.109960547573706</v>
      </c>
      <c r="AK2455">
        <v>100.479899920747</v>
      </c>
      <c r="AL2455">
        <v>90.799226358230996</v>
      </c>
      <c r="AM2455">
        <v>91.947031084040503</v>
      </c>
      <c r="AN2455">
        <v>1.00000006753674</v>
      </c>
    </row>
    <row r="2456" spans="1:40" x14ac:dyDescent="0.25">
      <c r="A2456" t="str">
        <f>"20190303153821398"</f>
        <v>20190303153821398</v>
      </c>
      <c r="B2456" t="str">
        <f>"1551598701390635"</f>
        <v>1551598701390635</v>
      </c>
      <c r="C2456" t="s">
        <v>40</v>
      </c>
      <c r="D2456">
        <v>4.0607389999999999</v>
      </c>
      <c r="E2456">
        <v>0.52473899999999996</v>
      </c>
      <c r="F2456" t="s">
        <v>57</v>
      </c>
      <c r="G2456">
        <v>-413.5127</v>
      </c>
      <c r="H2456" s="1">
        <v>2.519648E-6</v>
      </c>
      <c r="I2456">
        <v>288.15320000000003</v>
      </c>
      <c r="J2456">
        <v>-307.45530000000002</v>
      </c>
      <c r="K2456">
        <v>1.120733</v>
      </c>
      <c r="L2456">
        <v>283.52670000000001</v>
      </c>
      <c r="M2456">
        <v>-0.99985520000000006</v>
      </c>
      <c r="N2456">
        <v>-1.222373E-2</v>
      </c>
      <c r="O2456">
        <v>1.184553E-2</v>
      </c>
      <c r="P2456">
        <v>-0.99940739999999995</v>
      </c>
      <c r="Q2456">
        <v>-2.6083559999999999E-2</v>
      </c>
      <c r="R2456">
        <v>-2.2468720000000001E-2</v>
      </c>
      <c r="S2456">
        <v>-3.0038149999999999</v>
      </c>
      <c r="T2456">
        <v>-3.1684990000000003E-2</v>
      </c>
      <c r="U2456">
        <v>0.13085939999999999</v>
      </c>
      <c r="V2456">
        <v>-3.430967E-2</v>
      </c>
      <c r="W2456">
        <v>-1.3861429999999999E-2</v>
      </c>
      <c r="X2456">
        <v>0.99931510000000001</v>
      </c>
      <c r="Y2456">
        <v>3.1681099999999997E-2</v>
      </c>
      <c r="Z2456">
        <v>3.8061639999999999E-4</v>
      </c>
      <c r="AA2456">
        <v>0.999498</v>
      </c>
      <c r="AB2456">
        <v>34</v>
      </c>
      <c r="AC2456">
        <v>-106.05739999999901</v>
      </c>
      <c r="AD2456">
        <v>-1.120730480352</v>
      </c>
      <c r="AE2456">
        <v>4.6265000000000196</v>
      </c>
      <c r="AF2456">
        <v>3.3693999369087599</v>
      </c>
      <c r="AG2456">
        <v>-1.120730480352</v>
      </c>
      <c r="AH2456">
        <v>106.092940798922</v>
      </c>
      <c r="AI2456">
        <v>90.604926039924393</v>
      </c>
      <c r="AJ2456">
        <v>88.180957870632497</v>
      </c>
      <c r="AK2456">
        <v>106.152347972657</v>
      </c>
      <c r="AL2456">
        <v>90.794226887268806</v>
      </c>
      <c r="AM2456">
        <v>91.966374196185001</v>
      </c>
      <c r="AN2456">
        <v>0.99999998089258102</v>
      </c>
    </row>
    <row r="2457" spans="1:40" x14ac:dyDescent="0.25">
      <c r="A2457" t="str">
        <f>"20190303153821411"</f>
        <v>20190303153821411</v>
      </c>
      <c r="B2457" t="str">
        <f>"1551598701401372"</f>
        <v>1551598701401372</v>
      </c>
      <c r="C2457" t="s">
        <v>40</v>
      </c>
      <c r="D2457">
        <v>4.0836410000000001</v>
      </c>
      <c r="E2457">
        <v>0.52461049999999998</v>
      </c>
      <c r="F2457" t="s">
        <v>57</v>
      </c>
      <c r="G2457">
        <v>-419.25900000000001</v>
      </c>
      <c r="H2457" s="1">
        <v>3.523768E-6</v>
      </c>
      <c r="I2457">
        <v>288.32679999999999</v>
      </c>
      <c r="J2457">
        <v>-307.65820000000002</v>
      </c>
      <c r="K2457">
        <v>1.1206910000000001</v>
      </c>
      <c r="L2457">
        <v>283.52910000000003</v>
      </c>
      <c r="M2457">
        <v>-0.99985749999999995</v>
      </c>
      <c r="N2457">
        <v>-1.198099E-2</v>
      </c>
      <c r="O2457">
        <v>1.1898489999999999E-2</v>
      </c>
      <c r="P2457">
        <v>-0.99940249999999997</v>
      </c>
      <c r="Q2457">
        <v>-2.5817159999999999E-2</v>
      </c>
      <c r="R2457">
        <v>-2.2982019999999999E-2</v>
      </c>
      <c r="S2457">
        <v>-3.003876</v>
      </c>
      <c r="T2457">
        <v>-3.011107E-2</v>
      </c>
      <c r="U2457">
        <v>0.12896730000000001</v>
      </c>
      <c r="V2457">
        <v>-3.487577E-2</v>
      </c>
      <c r="W2457">
        <v>-1.38376E-2</v>
      </c>
      <c r="X2457">
        <v>0.99929579999999996</v>
      </c>
      <c r="Y2457">
        <v>3.0999289999999999E-2</v>
      </c>
      <c r="Z2457">
        <v>3.6440140000000001E-4</v>
      </c>
      <c r="AA2457">
        <v>0.9995193</v>
      </c>
      <c r="AB2457">
        <v>34</v>
      </c>
      <c r="AC2457">
        <v>-111.60080000000001</v>
      </c>
      <c r="AD2457">
        <v>-1.1206874762319901</v>
      </c>
      <c r="AE2457">
        <v>4.7976999999999599</v>
      </c>
      <c r="AF2457">
        <v>3.4690349250405799</v>
      </c>
      <c r="AG2457">
        <v>-1.1206874762319901</v>
      </c>
      <c r="AH2457">
        <v>111.638751251421</v>
      </c>
      <c r="AI2457">
        <v>90.574867870020498</v>
      </c>
      <c r="AJ2457">
        <v>88.220177833507407</v>
      </c>
      <c r="AK2457">
        <v>111.698258378129</v>
      </c>
      <c r="AL2457">
        <v>90.792861424567405</v>
      </c>
      <c r="AM2457">
        <v>91.998831291704903</v>
      </c>
      <c r="AN2457">
        <v>0.99999994720224405</v>
      </c>
    </row>
    <row r="2458" spans="1:40" x14ac:dyDescent="0.25">
      <c r="A2458" t="str">
        <f>"20190303153821422"</f>
        <v>20190303153821422</v>
      </c>
      <c r="B2458" t="str">
        <f>"1551598701411132"</f>
        <v>1551598701411132</v>
      </c>
      <c r="C2458" t="s">
        <v>40</v>
      </c>
      <c r="D2458">
        <v>4.067628</v>
      </c>
      <c r="E2458">
        <v>0.52448809999999901</v>
      </c>
      <c r="F2458" t="s">
        <v>57</v>
      </c>
      <c r="G2458">
        <v>-424.22840000000002</v>
      </c>
      <c r="H2458" s="1">
        <v>2.8810890000000002E-6</v>
      </c>
      <c r="I2458">
        <v>288.43079999999998</v>
      </c>
      <c r="J2458">
        <v>-307.84629999999999</v>
      </c>
      <c r="K2458">
        <v>1.120654</v>
      </c>
      <c r="L2458">
        <v>283.53140000000002</v>
      </c>
      <c r="M2458">
        <v>-0.99985959999999996</v>
      </c>
      <c r="N2458">
        <v>-1.174823E-2</v>
      </c>
      <c r="O2458">
        <v>1.194696E-2</v>
      </c>
      <c r="P2458">
        <v>-0.99940070000000003</v>
      </c>
      <c r="Q2458">
        <v>-2.5486370000000001E-2</v>
      </c>
      <c r="R2458">
        <v>-2.3427670000000001E-2</v>
      </c>
      <c r="S2458">
        <v>-3.0039370000000001</v>
      </c>
      <c r="T2458">
        <v>-2.88794E-2</v>
      </c>
      <c r="U2458">
        <v>0.12631229999999999</v>
      </c>
      <c r="V2458">
        <v>-3.5369949999999997E-2</v>
      </c>
      <c r="W2458">
        <v>-1.3739360000000001E-2</v>
      </c>
      <c r="X2458">
        <v>0.9992799</v>
      </c>
      <c r="Y2458">
        <v>3.006849E-2</v>
      </c>
      <c r="Z2458">
        <v>3.4670570000000002E-4</v>
      </c>
      <c r="AA2458">
        <v>0.99954779999999999</v>
      </c>
      <c r="AB2458">
        <v>34</v>
      </c>
      <c r="AC2458">
        <v>-116.38209999999999</v>
      </c>
      <c r="AD2458">
        <v>-1.120651118911</v>
      </c>
      <c r="AE2458">
        <v>4.8993999999999502</v>
      </c>
      <c r="AF2458">
        <v>3.50821731429021</v>
      </c>
      <c r="AG2458">
        <v>-1.120651118911</v>
      </c>
      <c r="AH2458">
        <v>116.421554545753</v>
      </c>
      <c r="AI2458">
        <v>90.551250729738996</v>
      </c>
      <c r="AJ2458">
        <v>88.273985955997404</v>
      </c>
      <c r="AK2458">
        <v>116.47979142539801</v>
      </c>
      <c r="AL2458">
        <v>90.787232062178802</v>
      </c>
      <c r="AM2458">
        <v>92.027162940397901</v>
      </c>
      <c r="AN2458">
        <v>1.0000000609601001</v>
      </c>
    </row>
    <row r="2459" spans="1:40" x14ac:dyDescent="0.25">
      <c r="A2459" t="str">
        <f>"20190303153821439"</f>
        <v>20190303153821439</v>
      </c>
      <c r="B2459" t="str">
        <f>"1551598701431627"</f>
        <v>1551598701431627</v>
      </c>
      <c r="C2459" t="s">
        <v>40</v>
      </c>
      <c r="D2459">
        <v>4.0762919999999996</v>
      </c>
      <c r="E2459">
        <v>0.52423980000000003</v>
      </c>
      <c r="F2459" t="s">
        <v>57</v>
      </c>
      <c r="G2459">
        <v>-430.36829999999998</v>
      </c>
      <c r="H2459" s="1">
        <v>2.0329329999999999E-6</v>
      </c>
      <c r="I2459">
        <v>288.5899</v>
      </c>
      <c r="J2459">
        <v>-308.08629999999999</v>
      </c>
      <c r="K2459">
        <v>1.1206149999999999</v>
      </c>
      <c r="L2459">
        <v>283.53440000000001</v>
      </c>
      <c r="M2459">
        <v>-0.99986240000000004</v>
      </c>
      <c r="N2459">
        <v>-1.1452499999999999E-2</v>
      </c>
      <c r="O2459">
        <v>1.2008639999999999E-2</v>
      </c>
      <c r="P2459">
        <v>-0.9993881</v>
      </c>
      <c r="Q2459">
        <v>-2.5110509999999999E-2</v>
      </c>
      <c r="R2459">
        <v>-2.4349570000000001E-2</v>
      </c>
      <c r="S2459">
        <v>-3.0039980000000002</v>
      </c>
      <c r="T2459">
        <v>-2.7476190000000001E-2</v>
      </c>
      <c r="U2459">
        <v>0.12402340000000001</v>
      </c>
      <c r="V2459">
        <v>-3.635298E-2</v>
      </c>
      <c r="W2459">
        <v>-1.3659019999999999E-2</v>
      </c>
      <c r="X2459">
        <v>0.99924559999999996</v>
      </c>
      <c r="Y2459">
        <v>2.9246089999999999E-2</v>
      </c>
      <c r="Z2459">
        <v>3.2895260000000002E-4</v>
      </c>
      <c r="AA2459">
        <v>0.99957220000000002</v>
      </c>
      <c r="AB2459">
        <v>34</v>
      </c>
      <c r="AC2459">
        <v>-122.281999999999</v>
      </c>
      <c r="AD2459">
        <v>-1.120612967067</v>
      </c>
      <c r="AE2459">
        <v>5.0554999999999897</v>
      </c>
      <c r="AF2459">
        <v>3.5862980587708901</v>
      </c>
      <c r="AG2459">
        <v>-1.120612967067</v>
      </c>
      <c r="AH2459">
        <v>122.32363974085899</v>
      </c>
      <c r="AI2459">
        <v>90.524649391326307</v>
      </c>
      <c r="AJ2459">
        <v>88.320677015989702</v>
      </c>
      <c r="AK2459">
        <v>122.38133087460599</v>
      </c>
      <c r="AL2459">
        <v>90.782628583347503</v>
      </c>
      <c r="AM2459">
        <v>92.083525949357195</v>
      </c>
      <c r="AN2459">
        <v>0.99999993855079805</v>
      </c>
    </row>
    <row r="2460" spans="1:40" x14ac:dyDescent="0.25">
      <c r="A2460" t="str">
        <f>"20190303153821460"</f>
        <v>20190303153821460</v>
      </c>
      <c r="B2460" t="str">
        <f>"1551598701451151"</f>
        <v>1551598701451151</v>
      </c>
      <c r="C2460" t="s">
        <v>40</v>
      </c>
      <c r="D2460">
        <v>4.0755239999999997</v>
      </c>
      <c r="E2460">
        <v>0.52413399999999999</v>
      </c>
      <c r="F2460" t="s">
        <v>55</v>
      </c>
      <c r="G2460">
        <v>-440.649</v>
      </c>
      <c r="H2460" s="1">
        <v>-1.3742820000000001E-6</v>
      </c>
      <c r="I2460">
        <v>288.79969999999997</v>
      </c>
      <c r="J2460">
        <v>-308.41910000000001</v>
      </c>
      <c r="K2460">
        <v>1.1205590000000001</v>
      </c>
      <c r="L2460">
        <v>283.5385</v>
      </c>
      <c r="M2460">
        <v>-0.99986580000000003</v>
      </c>
      <c r="N2460">
        <v>-1.104729E-2</v>
      </c>
      <c r="O2460">
        <v>1.2094540000000001E-2</v>
      </c>
      <c r="P2460">
        <v>-0.99938530000000003</v>
      </c>
      <c r="Q2460">
        <v>-2.4615359999999999E-2</v>
      </c>
      <c r="R2460">
        <v>-2.4961549999999999E-2</v>
      </c>
      <c r="S2460">
        <v>-3.0041199999999999</v>
      </c>
      <c r="T2460">
        <v>-2.5395270000000001E-2</v>
      </c>
      <c r="U2460">
        <v>0.1193237</v>
      </c>
      <c r="V2460">
        <v>-3.7051059999999997E-2</v>
      </c>
      <c r="W2460">
        <v>-1.3568719999999999E-2</v>
      </c>
      <c r="X2460">
        <v>0.99922129999999998</v>
      </c>
      <c r="Y2460">
        <v>2.7597859999999998E-2</v>
      </c>
      <c r="Z2460">
        <v>3.0049619999999999E-4</v>
      </c>
      <c r="AA2460">
        <v>0.99961909999999998</v>
      </c>
      <c r="AB2460">
        <v>34</v>
      </c>
      <c r="AC2460">
        <v>-132.22989999999999</v>
      </c>
      <c r="AD2460">
        <v>-1.1205603742820001</v>
      </c>
      <c r="AE2460">
        <v>5.2611999999999703</v>
      </c>
      <c r="AF2460">
        <v>3.6611951677843999</v>
      </c>
      <c r="AG2460">
        <v>-1.1205603742820001</v>
      </c>
      <c r="AH2460">
        <v>132.274378805411</v>
      </c>
      <c r="AI2460">
        <v>90.485182899268906</v>
      </c>
      <c r="AJ2460">
        <v>88.414526774016693</v>
      </c>
      <c r="AK2460">
        <v>132.32978233929899</v>
      </c>
      <c r="AL2460">
        <v>90.777454208908296</v>
      </c>
      <c r="AM2460">
        <v>92.123550849108</v>
      </c>
      <c r="AN2460">
        <v>1.0000000487916201</v>
      </c>
    </row>
    <row r="2461" spans="1:40" x14ac:dyDescent="0.25">
      <c r="A2461" t="str">
        <f>"20190303153821474"</f>
        <v>20190303153821474</v>
      </c>
      <c r="B2461" t="str">
        <f>"1551598701470667"</f>
        <v>1551598701470667</v>
      </c>
      <c r="C2461" t="s">
        <v>40</v>
      </c>
      <c r="D2461">
        <v>4.06189</v>
      </c>
      <c r="E2461">
        <v>0.51535180000000003</v>
      </c>
      <c r="F2461" t="s">
        <v>55</v>
      </c>
      <c r="G2461">
        <v>-451.57740000000001</v>
      </c>
      <c r="H2461" s="1">
        <v>-8.9319769999999905E-7</v>
      </c>
      <c r="I2461">
        <v>289.09660000000002</v>
      </c>
      <c r="J2461">
        <v>-308.61799999999999</v>
      </c>
      <c r="K2461">
        <v>1.1205229999999999</v>
      </c>
      <c r="L2461">
        <v>283.54090000000002</v>
      </c>
      <c r="M2461">
        <v>-0.99986790000000003</v>
      </c>
      <c r="N2461">
        <v>-1.0809869999999999E-2</v>
      </c>
      <c r="O2461">
        <v>1.2146250000000001E-2</v>
      </c>
      <c r="P2461">
        <v>-0.9993805</v>
      </c>
      <c r="Q2461">
        <v>-2.4408849999999999E-2</v>
      </c>
      <c r="R2461">
        <v>-2.5355840000000001E-2</v>
      </c>
      <c r="S2461">
        <v>-3.0042110000000002</v>
      </c>
      <c r="T2461">
        <v>-2.351522E-2</v>
      </c>
      <c r="U2461">
        <v>0.1166382</v>
      </c>
      <c r="V2461">
        <v>-3.7497009999999997E-2</v>
      </c>
      <c r="W2461">
        <v>-1.3599450000000001E-2</v>
      </c>
      <c r="X2461">
        <v>0.99920419999999999</v>
      </c>
      <c r="Y2461">
        <v>2.6653110000000001E-2</v>
      </c>
      <c r="Z2461">
        <v>2.84629E-4</v>
      </c>
      <c r="AA2461">
        <v>0.99964470000000005</v>
      </c>
      <c r="AB2461">
        <v>34</v>
      </c>
      <c r="AC2461">
        <v>-142.95939999999999</v>
      </c>
      <c r="AD2461">
        <v>-1.1205238931977</v>
      </c>
      <c r="AE2461">
        <v>5.5556999999999999</v>
      </c>
      <c r="AF2461">
        <v>3.8185339797627398</v>
      </c>
      <c r="AG2461">
        <v>-1.1205238931977</v>
      </c>
      <c r="AH2461">
        <v>143.00756529829499</v>
      </c>
      <c r="AI2461">
        <v>90.448767186623002</v>
      </c>
      <c r="AJ2461">
        <v>88.470473178555807</v>
      </c>
      <c r="AK2461">
        <v>143.062924994898</v>
      </c>
      <c r="AL2461">
        <v>90.779215107023205</v>
      </c>
      <c r="AM2461">
        <v>92.149123024764094</v>
      </c>
      <c r="AN2461">
        <v>1.0000000020484401</v>
      </c>
    </row>
    <row r="2462" spans="1:40" x14ac:dyDescent="0.25">
      <c r="A2462" t="str">
        <f>"20190303153821486"</f>
        <v>20190303153821486</v>
      </c>
      <c r="B2462" t="str">
        <f>"1551598701481404"</f>
        <v>1551598701481404</v>
      </c>
      <c r="C2462" t="s">
        <v>40</v>
      </c>
      <c r="D2462">
        <v>4.0921149999999997</v>
      </c>
      <c r="E2462">
        <v>0.51617279999999999</v>
      </c>
      <c r="F2462" t="s">
        <v>46</v>
      </c>
      <c r="G2462">
        <v>0</v>
      </c>
      <c r="H2462">
        <v>0</v>
      </c>
      <c r="I2462">
        <v>0</v>
      </c>
      <c r="J2462">
        <v>-308.80990000000003</v>
      </c>
      <c r="K2462">
        <v>1.1204970000000001</v>
      </c>
      <c r="L2462">
        <v>283.54329999999999</v>
      </c>
      <c r="M2462">
        <v>-0.99986969999999997</v>
      </c>
      <c r="N2462">
        <v>-1.058606E-2</v>
      </c>
      <c r="O2462">
        <v>1.219637E-2</v>
      </c>
      <c r="P2462">
        <v>-0.99938119999999997</v>
      </c>
      <c r="Q2462">
        <v>-2.438825E-2</v>
      </c>
      <c r="R2462">
        <v>-2.5350089999999999E-2</v>
      </c>
      <c r="S2462">
        <v>-3.0031129999999999</v>
      </c>
      <c r="T2462">
        <v>4.650235E-3</v>
      </c>
      <c r="U2462">
        <v>4.4921879999999997E-2</v>
      </c>
      <c r="V2462">
        <v>-3.7540730000000001E-2</v>
      </c>
      <c r="W2462">
        <v>-1.3802460000000001E-2</v>
      </c>
      <c r="X2462">
        <v>0.99919970000000002</v>
      </c>
      <c r="Y2462">
        <v>2.760878E-3</v>
      </c>
      <c r="Z2462">
        <v>1.604737E-4</v>
      </c>
      <c r="AA2462">
        <v>0.9999962</v>
      </c>
      <c r="AB2462">
        <v>34</v>
      </c>
      <c r="AC2462">
        <v>-3.0031129999999999</v>
      </c>
      <c r="AD2462">
        <v>4.650235E-3</v>
      </c>
      <c r="AE2462">
        <v>4.4921879999999997E-2</v>
      </c>
      <c r="AF2462">
        <v>8.2893930296968604E-3</v>
      </c>
      <c r="AG2462">
        <v>4.650235E-3</v>
      </c>
      <c r="AH2462">
        <v>3.0034303226176799</v>
      </c>
      <c r="AI2462">
        <v>89.911288898715299</v>
      </c>
      <c r="AJ2462">
        <v>89.841865474357306</v>
      </c>
      <c r="AK2462">
        <v>3.0034453618372501</v>
      </c>
      <c r="AL2462">
        <v>90.790847874136105</v>
      </c>
      <c r="AM2462">
        <v>92.151636142636903</v>
      </c>
      <c r="AN2462">
        <v>0.99999992739553401</v>
      </c>
    </row>
    <row r="2463" spans="1:40" x14ac:dyDescent="0.25">
      <c r="A2463" t="str">
        <f>"20190303153821500"</f>
        <v>20190303153821500</v>
      </c>
      <c r="B2463" t="str">
        <f>"1551598701491164"</f>
        <v>1551598701491164</v>
      </c>
      <c r="C2463" t="s">
        <v>40</v>
      </c>
      <c r="D2463">
        <v>4.0312530000000004</v>
      </c>
      <c r="E2463">
        <v>0.51683409999999996</v>
      </c>
      <c r="F2463" t="s">
        <v>46</v>
      </c>
      <c r="G2463">
        <v>0</v>
      </c>
      <c r="H2463">
        <v>0</v>
      </c>
      <c r="I2463">
        <v>0</v>
      </c>
      <c r="J2463">
        <v>-309.0206</v>
      </c>
      <c r="K2463">
        <v>1.1204689999999999</v>
      </c>
      <c r="L2463">
        <v>283.54590000000002</v>
      </c>
      <c r="M2463">
        <v>-0.99987159999999997</v>
      </c>
      <c r="N2463">
        <v>-1.034798E-2</v>
      </c>
      <c r="O2463">
        <v>1.2251730000000001E-2</v>
      </c>
      <c r="P2463">
        <v>-0.99939149999999999</v>
      </c>
      <c r="Q2463">
        <v>-2.4223560000000002E-2</v>
      </c>
      <c r="R2463">
        <v>-2.5105430000000001E-2</v>
      </c>
      <c r="S2463">
        <v>-3.003479</v>
      </c>
      <c r="T2463">
        <v>1.412308E-2</v>
      </c>
      <c r="U2463">
        <v>5.1177979999999998E-2</v>
      </c>
      <c r="V2463">
        <v>-3.7352009999999998E-2</v>
      </c>
      <c r="W2463">
        <v>-1.387558E-2</v>
      </c>
      <c r="X2463">
        <v>0.99920580000000003</v>
      </c>
      <c r="Y2463">
        <v>4.7866590000000004E-3</v>
      </c>
      <c r="Z2463">
        <v>1.978971E-4</v>
      </c>
      <c r="AA2463">
        <v>0.99998849999999995</v>
      </c>
      <c r="AB2463">
        <v>34</v>
      </c>
      <c r="AC2463">
        <v>-3.003479</v>
      </c>
      <c r="AD2463">
        <v>1.412308E-2</v>
      </c>
      <c r="AE2463">
        <v>5.1177979999999998E-2</v>
      </c>
      <c r="AF2463">
        <v>1.43740439845704E-2</v>
      </c>
      <c r="AG2463">
        <v>1.412308E-2</v>
      </c>
      <c r="AH2463">
        <v>3.0038142030403101</v>
      </c>
      <c r="AI2463">
        <v>89.730616610744804</v>
      </c>
      <c r="AJ2463">
        <v>89.725826661367094</v>
      </c>
      <c r="AK2463">
        <v>3.0038817954300101</v>
      </c>
      <c r="AL2463">
        <v>90.795037711140793</v>
      </c>
      <c r="AM2463">
        <v>92.140816742683597</v>
      </c>
      <c r="AN2463">
        <v>0.99999996756250698</v>
      </c>
    </row>
    <row r="2464" spans="1:40" x14ac:dyDescent="0.25">
      <c r="A2464" t="str">
        <f>"20190303153821517"</f>
        <v>20190303153821517</v>
      </c>
      <c r="B2464" t="str">
        <f>"1551598701510683"</f>
        <v>1551598701510683</v>
      </c>
      <c r="C2464" t="s">
        <v>40</v>
      </c>
      <c r="D2464">
        <v>4.0556580000000002</v>
      </c>
      <c r="E2464">
        <v>0.51748430000000001</v>
      </c>
      <c r="F2464" t="s">
        <v>46</v>
      </c>
      <c r="G2464">
        <v>0</v>
      </c>
      <c r="H2464">
        <v>0</v>
      </c>
      <c r="I2464">
        <v>0</v>
      </c>
      <c r="J2464">
        <v>-309.24610000000001</v>
      </c>
      <c r="K2464">
        <v>1.120447</v>
      </c>
      <c r="L2464">
        <v>283.5487</v>
      </c>
      <c r="M2464">
        <v>-0.99987329999999996</v>
      </c>
      <c r="N2464">
        <v>-1.01011E-2</v>
      </c>
      <c r="O2464">
        <v>1.23107999999999E-2</v>
      </c>
      <c r="P2464">
        <v>-0.9994035</v>
      </c>
      <c r="Q2464">
        <v>-2.4022430000000001E-2</v>
      </c>
      <c r="R2464">
        <v>-2.482552E-2</v>
      </c>
      <c r="S2464">
        <v>-3.0036010000000002</v>
      </c>
      <c r="T2464">
        <v>1.3263820000000001E-2</v>
      </c>
      <c r="U2464">
        <v>5.7189940000000002E-2</v>
      </c>
      <c r="V2464">
        <v>-3.7130919999999998E-2</v>
      </c>
      <c r="W2464">
        <v>-1.3921040000000001E-2</v>
      </c>
      <c r="X2464">
        <v>0.99921349999999998</v>
      </c>
      <c r="Y2464">
        <v>6.7277539999999999E-3</v>
      </c>
      <c r="Z2464">
        <v>1.97834E-4</v>
      </c>
      <c r="AA2464">
        <v>0.99997740000000002</v>
      </c>
      <c r="AB2464">
        <v>35</v>
      </c>
      <c r="AC2464">
        <v>-3.0036010000000002</v>
      </c>
      <c r="AD2464">
        <v>1.3263820000000001E-2</v>
      </c>
      <c r="AE2464">
        <v>5.7189940000000002E-2</v>
      </c>
      <c r="AF2464">
        <v>2.0206597787972298E-2</v>
      </c>
      <c r="AG2464">
        <v>1.3263820000000001E-2</v>
      </c>
      <c r="AH2464">
        <v>3.0040188917998298</v>
      </c>
      <c r="AI2464">
        <v>89.747025966426605</v>
      </c>
      <c r="AJ2464">
        <v>89.614604517321496</v>
      </c>
      <c r="AK2464">
        <v>3.0041161325430599</v>
      </c>
      <c r="AL2464">
        <v>90.7976425555606</v>
      </c>
      <c r="AM2464">
        <v>92.128140352096196</v>
      </c>
      <c r="AN2464">
        <v>1.0000000595784799</v>
      </c>
    </row>
    <row r="2465" spans="1:40" x14ac:dyDescent="0.25">
      <c r="A2465" t="str">
        <f>"20190303153821531"</f>
        <v>20190303153821531</v>
      </c>
      <c r="B2465" t="str">
        <f>"1551598701521419"</f>
        <v>1551598701521419</v>
      </c>
      <c r="C2465" t="s">
        <v>40</v>
      </c>
      <c r="D2465">
        <v>4.0531949999999997</v>
      </c>
      <c r="E2465">
        <v>0.51770899999999997</v>
      </c>
      <c r="F2465" t="s">
        <v>46</v>
      </c>
      <c r="G2465">
        <v>0</v>
      </c>
      <c r="H2465">
        <v>0</v>
      </c>
      <c r="I2465">
        <v>0</v>
      </c>
      <c r="J2465">
        <v>-309.50209999999998</v>
      </c>
      <c r="K2465">
        <v>1.1204179999999999</v>
      </c>
      <c r="L2465">
        <v>283.55189999999999</v>
      </c>
      <c r="M2465">
        <v>-0.99987499999999996</v>
      </c>
      <c r="N2465">
        <v>-9.8346409999999999E-3</v>
      </c>
      <c r="O2465">
        <v>1.237745E-2</v>
      </c>
      <c r="P2465">
        <v>-0.99943649999999995</v>
      </c>
      <c r="Q2465">
        <v>-2.346579E-2</v>
      </c>
      <c r="R2465">
        <v>-2.4004080000000001E-2</v>
      </c>
      <c r="S2465">
        <v>-3.0036320000000001</v>
      </c>
      <c r="T2465">
        <v>1.110125E-2</v>
      </c>
      <c r="U2465">
        <v>6.3354489999999999E-2</v>
      </c>
      <c r="V2465">
        <v>-3.637634E-2</v>
      </c>
      <c r="W2465">
        <v>-1.3630400000000001E-2</v>
      </c>
      <c r="X2465">
        <v>0.99924519999999994</v>
      </c>
      <c r="Y2465">
        <v>8.7122659999999998E-3</v>
      </c>
      <c r="Z2465">
        <v>1.9420900000000001E-4</v>
      </c>
      <c r="AA2465">
        <v>0.99996200000000002</v>
      </c>
      <c r="AB2465">
        <v>35</v>
      </c>
      <c r="AC2465">
        <v>-3.0036320000000001</v>
      </c>
      <c r="AD2465">
        <v>1.110125E-2</v>
      </c>
      <c r="AE2465">
        <v>6.3354489999999999E-2</v>
      </c>
      <c r="AF2465">
        <v>2.61701749283944E-2</v>
      </c>
      <c r="AG2465">
        <v>1.110125E-2</v>
      </c>
      <c r="AH2465">
        <v>3.0041450754442902</v>
      </c>
      <c r="AI2465">
        <v>89.788283279094102</v>
      </c>
      <c r="AJ2465">
        <v>89.500888736434405</v>
      </c>
      <c r="AK2465">
        <v>3.0042795725636999</v>
      </c>
      <c r="AL2465">
        <v>90.780988579076705</v>
      </c>
      <c r="AM2465">
        <v>92.084864451489693</v>
      </c>
      <c r="AN2465">
        <v>0.999999997819497</v>
      </c>
    </row>
    <row r="2466" spans="1:40" x14ac:dyDescent="0.25">
      <c r="A2466" t="str">
        <f>"20190303153821550"</f>
        <v>20190303153821550</v>
      </c>
      <c r="B2466" t="str">
        <f>"1551598701540939"</f>
        <v>1551598701540939</v>
      </c>
      <c r="C2466" t="s">
        <v>40</v>
      </c>
      <c r="D2466">
        <v>4.0426900000000003</v>
      </c>
      <c r="E2466">
        <v>0.51810690000000004</v>
      </c>
      <c r="F2466" t="s">
        <v>46</v>
      </c>
      <c r="G2466">
        <v>0</v>
      </c>
      <c r="H2466">
        <v>0</v>
      </c>
      <c r="I2466">
        <v>0</v>
      </c>
      <c r="J2466">
        <v>-309.80489999999998</v>
      </c>
      <c r="K2466">
        <v>1.1203959999999999</v>
      </c>
      <c r="L2466">
        <v>283.55579999999998</v>
      </c>
      <c r="M2466">
        <v>-0.99987700000000002</v>
      </c>
      <c r="N2466">
        <v>-9.5446409999999995E-3</v>
      </c>
      <c r="O2466">
        <v>1.245609E-2</v>
      </c>
      <c r="P2466">
        <v>-0.99947140000000001</v>
      </c>
      <c r="Q2466">
        <v>-2.310328E-2</v>
      </c>
      <c r="R2466">
        <v>-2.2882929999999999E-2</v>
      </c>
      <c r="S2466">
        <v>-3.0036010000000002</v>
      </c>
      <c r="T2466">
        <v>1.215744E-2</v>
      </c>
      <c r="U2466">
        <v>6.7565920000000002E-2</v>
      </c>
      <c r="V2466">
        <v>-3.5334299999999999E-2</v>
      </c>
      <c r="W2466">
        <v>-1.355745E-2</v>
      </c>
      <c r="X2466">
        <v>0.99928360000000005</v>
      </c>
      <c r="Y2466">
        <v>1.00353E-2</v>
      </c>
      <c r="Z2466">
        <v>1.968812E-4</v>
      </c>
      <c r="AA2466">
        <v>0.99994959999999999</v>
      </c>
      <c r="AB2466">
        <v>35</v>
      </c>
      <c r="AC2466">
        <v>-3.0036010000000002</v>
      </c>
      <c r="AD2466">
        <v>1.215744E-2</v>
      </c>
      <c r="AE2466">
        <v>6.7565920000000002E-2</v>
      </c>
      <c r="AF2466">
        <v>3.0145360498366101E-2</v>
      </c>
      <c r="AG2466">
        <v>1.215744E-2</v>
      </c>
      <c r="AH2466">
        <v>3.0041604115880398</v>
      </c>
      <c r="AI2466">
        <v>89.768144493831002</v>
      </c>
      <c r="AJ2466">
        <v>89.425082644214498</v>
      </c>
      <c r="AK2466">
        <v>3.0043362535940799</v>
      </c>
      <c r="AL2466">
        <v>90.776808452185605</v>
      </c>
      <c r="AM2466">
        <v>92.025113936952295</v>
      </c>
      <c r="AN2466">
        <v>1.00000001521797</v>
      </c>
    </row>
    <row r="2467" spans="1:40" x14ac:dyDescent="0.25">
      <c r="A2467" t="str">
        <f>"20190303153821562"</f>
        <v>20190303153821562</v>
      </c>
      <c r="B2467" t="str">
        <f>"1551598701550700"</f>
        <v>1551598701550700</v>
      </c>
      <c r="C2467" t="s">
        <v>40</v>
      </c>
      <c r="D2467">
        <v>4.0301229999999997</v>
      </c>
      <c r="E2467">
        <v>0.51825980000000005</v>
      </c>
      <c r="F2467" t="s">
        <v>46</v>
      </c>
      <c r="G2467">
        <v>0</v>
      </c>
      <c r="H2467">
        <v>0</v>
      </c>
      <c r="I2467">
        <v>0</v>
      </c>
      <c r="J2467">
        <v>-309.99930000000001</v>
      </c>
      <c r="K2467">
        <v>1.1203809999999901</v>
      </c>
      <c r="L2467">
        <v>283.5582</v>
      </c>
      <c r="M2467">
        <v>-0.99987789999999999</v>
      </c>
      <c r="N2467">
        <v>-9.3751129999999992E-3</v>
      </c>
      <c r="O2467">
        <v>1.250647E-2</v>
      </c>
      <c r="P2467">
        <v>-0.99949529999999998</v>
      </c>
      <c r="Q2467">
        <v>-2.282909E-2</v>
      </c>
      <c r="R2467">
        <v>-2.2093950000000001E-2</v>
      </c>
      <c r="S2467">
        <v>-3.003571</v>
      </c>
      <c r="T2467">
        <v>1.2267709999999999E-2</v>
      </c>
      <c r="U2467">
        <v>7.421875E-2</v>
      </c>
      <c r="V2467">
        <v>-3.4596250000000002E-2</v>
      </c>
      <c r="W2467">
        <v>-1.3452520000000001E-2</v>
      </c>
      <c r="X2467">
        <v>0.9993109</v>
      </c>
      <c r="Y2467">
        <v>1.2198759999999999E-2</v>
      </c>
      <c r="Z2467">
        <v>2.005935E-4</v>
      </c>
      <c r="AA2467">
        <v>0.99992559999999997</v>
      </c>
      <c r="AB2467">
        <v>35</v>
      </c>
      <c r="AC2467">
        <v>-3.003571</v>
      </c>
      <c r="AD2467">
        <v>1.2267709999999999E-2</v>
      </c>
      <c r="AE2467">
        <v>7.421875E-2</v>
      </c>
      <c r="AF2467">
        <v>3.6646614675400799E-2</v>
      </c>
      <c r="AG2467">
        <v>1.2267709999999999E-2</v>
      </c>
      <c r="AH2467">
        <v>3.0042142424659302</v>
      </c>
      <c r="AI2467">
        <v>89.766051368110098</v>
      </c>
      <c r="AJ2467">
        <v>89.301117680521997</v>
      </c>
      <c r="AK2467">
        <v>3.0044627948621598</v>
      </c>
      <c r="AL2467">
        <v>90.770795813390194</v>
      </c>
      <c r="AM2467">
        <v>91.98279409365</v>
      </c>
      <c r="AN2467">
        <v>1.0000000728336</v>
      </c>
    </row>
    <row r="2468" spans="1:40" x14ac:dyDescent="0.25">
      <c r="A2468" t="str">
        <f>"20190303153821576"</f>
        <v>20190303153821576</v>
      </c>
      <c r="B2468" t="str">
        <f>"1551598701571195"</f>
        <v>1551598701571195</v>
      </c>
      <c r="C2468" t="s">
        <v>40</v>
      </c>
      <c r="D2468">
        <v>4.039479</v>
      </c>
      <c r="E2468">
        <v>0.51845259999999904</v>
      </c>
      <c r="F2468" t="s">
        <v>46</v>
      </c>
      <c r="G2468">
        <v>0</v>
      </c>
      <c r="H2468">
        <v>0</v>
      </c>
      <c r="I2468">
        <v>0</v>
      </c>
      <c r="J2468">
        <v>-310.17720000000003</v>
      </c>
      <c r="K2468">
        <v>1.1203719999999999</v>
      </c>
      <c r="L2468">
        <v>283.56049999999999</v>
      </c>
      <c r="M2468">
        <v>-0.99987870000000001</v>
      </c>
      <c r="N2468">
        <v>-9.2270600000000005E-3</v>
      </c>
      <c r="O2468">
        <v>1.2552219999999999E-2</v>
      </c>
      <c r="P2468">
        <v>-0.99951060000000003</v>
      </c>
      <c r="Q2468">
        <v>-2.2718909999999998E-2</v>
      </c>
      <c r="R2468">
        <v>-2.150873E-2</v>
      </c>
      <c r="S2468">
        <v>-3.0035400000000001</v>
      </c>
      <c r="T2468">
        <v>1.2100929999999999E-2</v>
      </c>
      <c r="U2468">
        <v>7.76062E-2</v>
      </c>
      <c r="V2468">
        <v>-3.4056820000000002E-2</v>
      </c>
      <c r="W2468">
        <v>-1.3490200000000001E-2</v>
      </c>
      <c r="X2468">
        <v>0.99932889999999996</v>
      </c>
      <c r="Y2468">
        <v>1.328027E-2</v>
      </c>
      <c r="Z2468">
        <v>2.0090080000000001E-4</v>
      </c>
      <c r="AA2468">
        <v>0.99991180000000002</v>
      </c>
      <c r="AB2468">
        <v>35</v>
      </c>
      <c r="AC2468">
        <v>-3.0035400000000001</v>
      </c>
      <c r="AD2468">
        <v>1.2100929999999999E-2</v>
      </c>
      <c r="AE2468">
        <v>7.76062E-2</v>
      </c>
      <c r="AF2468">
        <v>3.9896740554194898E-2</v>
      </c>
      <c r="AG2468">
        <v>1.2100929999999999E-2</v>
      </c>
      <c r="AH2468">
        <v>3.00422879389762</v>
      </c>
      <c r="AI2468">
        <v>89.769236171764405</v>
      </c>
      <c r="AJ2468">
        <v>89.239145671951306</v>
      </c>
      <c r="AK2468">
        <v>3.0045180692579101</v>
      </c>
      <c r="AL2468">
        <v>90.772954930673194</v>
      </c>
      <c r="AM2468">
        <v>91.951867039184705</v>
      </c>
      <c r="AN2468">
        <v>1.0000000514298799</v>
      </c>
    </row>
    <row r="2469" spans="1:40" x14ac:dyDescent="0.25">
      <c r="A2469" t="str">
        <f>"20190303153821588"</f>
        <v>20190303153821588</v>
      </c>
      <c r="B2469" t="str">
        <f>"1551598701580897"</f>
        <v>1551598701580897</v>
      </c>
      <c r="C2469" t="s">
        <v>40</v>
      </c>
      <c r="D2469">
        <v>4.0437589999999997</v>
      </c>
      <c r="E2469">
        <v>0.51852219999999904</v>
      </c>
      <c r="F2469" t="s">
        <v>46</v>
      </c>
      <c r="G2469">
        <v>0</v>
      </c>
      <c r="H2469">
        <v>0</v>
      </c>
      <c r="I2469">
        <v>0</v>
      </c>
      <c r="J2469">
        <v>-310.4101</v>
      </c>
      <c r="K2469">
        <v>1.120358</v>
      </c>
      <c r="L2469">
        <v>283.5634</v>
      </c>
      <c r="M2469">
        <v>-0.99987969999999904</v>
      </c>
      <c r="N2469">
        <v>-9.0448669999999998E-3</v>
      </c>
      <c r="O2469">
        <v>1.2612170000000001E-2</v>
      </c>
      <c r="P2469">
        <v>-0.99954779999999999</v>
      </c>
      <c r="Q2469">
        <v>-2.2082500000000001E-2</v>
      </c>
      <c r="R2469">
        <v>-2.0419570000000001E-2</v>
      </c>
      <c r="S2469">
        <v>-3.003479</v>
      </c>
      <c r="T2469">
        <v>1.1958E-2</v>
      </c>
      <c r="U2469">
        <v>8.1024170000000006E-2</v>
      </c>
      <c r="V2469">
        <v>-3.3027729999999998E-2</v>
      </c>
      <c r="W2469">
        <v>-1.3035639999999999E-2</v>
      </c>
      <c r="X2469">
        <v>0.99936939999999996</v>
      </c>
      <c r="Y2469">
        <v>1.435793E-2</v>
      </c>
      <c r="Z2469">
        <v>2.0063279999999999E-4</v>
      </c>
      <c r="AA2469">
        <v>0.99989689999999998</v>
      </c>
      <c r="AB2469">
        <v>35</v>
      </c>
      <c r="AC2469">
        <v>-3.003479</v>
      </c>
      <c r="AD2469">
        <v>1.1958E-2</v>
      </c>
      <c r="AE2469">
        <v>8.1024170000000006E-2</v>
      </c>
      <c r="AF2469">
        <v>4.3135110020479699E-2</v>
      </c>
      <c r="AG2469">
        <v>1.1958E-2</v>
      </c>
      <c r="AH2469">
        <v>3.0042144399352599</v>
      </c>
      <c r="AI2469">
        <v>89.771964114084994</v>
      </c>
      <c r="AJ2469">
        <v>89.177392297905399</v>
      </c>
      <c r="AK2469">
        <v>3.0045478915464199</v>
      </c>
      <c r="AL2469">
        <v>90.746908325938804</v>
      </c>
      <c r="AM2469">
        <v>91.892854674748605</v>
      </c>
      <c r="AN2469">
        <v>0.99999997825775999</v>
      </c>
    </row>
    <row r="2470" spans="1:40" x14ac:dyDescent="0.25">
      <c r="A2470" t="str">
        <f>"20190303153821600"</f>
        <v>20190303153821600</v>
      </c>
      <c r="B2470" t="str">
        <f>"1551598701590657"</f>
        <v>1551598701590657</v>
      </c>
      <c r="C2470" t="s">
        <v>40</v>
      </c>
      <c r="D2470">
        <v>4.0648960000000001</v>
      </c>
      <c r="E2470">
        <v>0.51853870000000002</v>
      </c>
      <c r="F2470" t="s">
        <v>46</v>
      </c>
      <c r="G2470">
        <v>0</v>
      </c>
      <c r="H2470">
        <v>0</v>
      </c>
      <c r="I2470">
        <v>0</v>
      </c>
      <c r="J2470">
        <v>-310.58269999999999</v>
      </c>
      <c r="K2470">
        <v>1.120349</v>
      </c>
      <c r="L2470">
        <v>283.56560000000002</v>
      </c>
      <c r="M2470">
        <v>-0.9998802</v>
      </c>
      <c r="N2470">
        <v>-8.9242890000000002E-3</v>
      </c>
      <c r="O2470">
        <v>1.2656580000000001E-2</v>
      </c>
      <c r="P2470">
        <v>-0.99955780000000005</v>
      </c>
      <c r="Q2470">
        <v>-2.193235E-2</v>
      </c>
      <c r="R2470">
        <v>-2.008482E-2</v>
      </c>
      <c r="S2470">
        <v>-3.0034179999999999</v>
      </c>
      <c r="T2470">
        <v>1.477242E-2</v>
      </c>
      <c r="U2470">
        <v>8.4777829999999998E-2</v>
      </c>
      <c r="V2470">
        <v>-3.2737990000000002E-2</v>
      </c>
      <c r="W2470">
        <v>-1.3005940000000001E-2</v>
      </c>
      <c r="X2470">
        <v>0.99937929999999997</v>
      </c>
      <c r="Y2470">
        <v>1.5562940000000001E-2</v>
      </c>
      <c r="Z2470">
        <v>2.0636450000000001E-4</v>
      </c>
      <c r="AA2470">
        <v>0.99987890000000001</v>
      </c>
      <c r="AB2470">
        <v>35</v>
      </c>
      <c r="AC2470">
        <v>-3.0034179999999999</v>
      </c>
      <c r="AD2470">
        <v>1.477242E-2</v>
      </c>
      <c r="AE2470">
        <v>8.4777829999999998E-2</v>
      </c>
      <c r="AF2470">
        <v>4.6755399411819998E-2</v>
      </c>
      <c r="AG2470">
        <v>1.477242E-2</v>
      </c>
      <c r="AH2470">
        <v>3.0041778347575798</v>
      </c>
      <c r="AI2470">
        <v>89.718296300242699</v>
      </c>
      <c r="AJ2470">
        <v>89.108351455858198</v>
      </c>
      <c r="AK2470">
        <v>3.0045779661402601</v>
      </c>
      <c r="AL2470">
        <v>90.745206512175798</v>
      </c>
      <c r="AM2470">
        <v>91.876242712140694</v>
      </c>
      <c r="AN2470">
        <v>0.99999995786650597</v>
      </c>
    </row>
    <row r="2471" spans="1:40" x14ac:dyDescent="0.25">
      <c r="A2471" t="str">
        <f>"20190303153821612"</f>
        <v>20190303153821612</v>
      </c>
      <c r="B2471" t="str">
        <f>"1551598701601393"</f>
        <v>1551598701601393</v>
      </c>
      <c r="C2471" t="s">
        <v>40</v>
      </c>
      <c r="D2471">
        <v>4.0521250000000002</v>
      </c>
      <c r="E2471">
        <v>0.51844789999999996</v>
      </c>
      <c r="F2471" t="s">
        <v>46</v>
      </c>
      <c r="G2471">
        <v>0</v>
      </c>
      <c r="H2471">
        <v>0</v>
      </c>
      <c r="I2471">
        <v>0</v>
      </c>
      <c r="J2471">
        <v>-310.76429999999999</v>
      </c>
      <c r="K2471">
        <v>1.1203399999999999</v>
      </c>
      <c r="L2471">
        <v>283.56799999999998</v>
      </c>
      <c r="M2471">
        <v>-0.99988060000000001</v>
      </c>
      <c r="N2471">
        <v>-8.8016409999999903E-3</v>
      </c>
      <c r="O2471">
        <v>1.2703549999999999E-2</v>
      </c>
      <c r="P2471">
        <v>-0.99955930000000004</v>
      </c>
      <c r="Q2471">
        <v>-2.229894E-2</v>
      </c>
      <c r="R2471">
        <v>-1.9601650000000002E-2</v>
      </c>
      <c r="S2471">
        <v>-3.003387</v>
      </c>
      <c r="T2471">
        <v>1.5018460000000001E-2</v>
      </c>
      <c r="U2471">
        <v>8.5876460000000002E-2</v>
      </c>
      <c r="V2471">
        <v>-3.230127E-2</v>
      </c>
      <c r="W2471">
        <v>-1.3495109999999999E-2</v>
      </c>
      <c r="X2471">
        <v>0.99938709999999997</v>
      </c>
      <c r="Y2471">
        <v>1.5881719999999998E-2</v>
      </c>
      <c r="Z2471">
        <v>2.0551139999999999E-4</v>
      </c>
      <c r="AA2471">
        <v>0.99987389999999998</v>
      </c>
      <c r="AB2471">
        <v>35</v>
      </c>
      <c r="AC2471">
        <v>-3.003387</v>
      </c>
      <c r="AD2471">
        <v>1.5018460000000001E-2</v>
      </c>
      <c r="AE2471">
        <v>8.5876460000000002E-2</v>
      </c>
      <c r="AF2471">
        <v>4.7713184044333203E-2</v>
      </c>
      <c r="AG2471">
        <v>1.5018460000000001E-2</v>
      </c>
      <c r="AH2471">
        <v>3.0041605481138198</v>
      </c>
      <c r="AI2471">
        <v>89.713604288414601</v>
      </c>
      <c r="AJ2471">
        <v>89.090083835325899</v>
      </c>
      <c r="AK2471">
        <v>3.0045769587274598</v>
      </c>
      <c r="AL2471">
        <v>90.773236292920998</v>
      </c>
      <c r="AM2471">
        <v>91.851217003309898</v>
      </c>
      <c r="AN2471">
        <v>1.00000003284196</v>
      </c>
    </row>
    <row r="2472" spans="1:40" x14ac:dyDescent="0.25">
      <c r="A2472" t="str">
        <f>"20190303153821624"</f>
        <v>20190303153821624</v>
      </c>
      <c r="B2472" t="str">
        <f>"1551598701620913"</f>
        <v>1551598701620913</v>
      </c>
      <c r="C2472" t="s">
        <v>40</v>
      </c>
      <c r="D2472">
        <v>4.0519410000000002</v>
      </c>
      <c r="E2472">
        <v>0.5184472</v>
      </c>
      <c r="F2472" t="s">
        <v>46</v>
      </c>
      <c r="G2472">
        <v>0</v>
      </c>
      <c r="H2472">
        <v>0</v>
      </c>
      <c r="I2472">
        <v>0</v>
      </c>
      <c r="J2472">
        <v>-310.96109999999999</v>
      </c>
      <c r="K2472">
        <v>1.120333</v>
      </c>
      <c r="L2472">
        <v>283.57060000000001</v>
      </c>
      <c r="M2472">
        <v>-0.99988100000000002</v>
      </c>
      <c r="N2472">
        <v>-8.6843149999999997E-3</v>
      </c>
      <c r="O2472">
        <v>1.27546E-2</v>
      </c>
      <c r="P2472">
        <v>-0.9995638</v>
      </c>
      <c r="Q2472">
        <v>-2.2142990000000001E-2</v>
      </c>
      <c r="R2472">
        <v>-1.9543830000000002E-2</v>
      </c>
      <c r="S2472">
        <v>-3.0033259999999999</v>
      </c>
      <c r="T2472">
        <v>1.3284560000000001E-2</v>
      </c>
      <c r="U2472">
        <v>8.6700440000000004E-2</v>
      </c>
      <c r="V2472">
        <v>-3.2295089999999999E-2</v>
      </c>
      <c r="W2472">
        <v>-1.345639E-2</v>
      </c>
      <c r="X2472">
        <v>0.99938780000000005</v>
      </c>
      <c r="Y2472">
        <v>1.6105250000000002E-2</v>
      </c>
      <c r="Z2472">
        <v>2.0148679999999999E-4</v>
      </c>
      <c r="AA2472">
        <v>0.99987029999999999</v>
      </c>
      <c r="AB2472">
        <v>35</v>
      </c>
      <c r="AC2472">
        <v>-3.0033259999999999</v>
      </c>
      <c r="AD2472">
        <v>1.3284560000000001E-2</v>
      </c>
      <c r="AE2472">
        <v>8.6700440000000004E-2</v>
      </c>
      <c r="AF2472">
        <v>4.8384776869693003E-2</v>
      </c>
      <c r="AG2472">
        <v>1.3284560000000001E-2</v>
      </c>
      <c r="AH2472">
        <v>3.0041288243383399</v>
      </c>
      <c r="AI2472">
        <v>89.746666803741604</v>
      </c>
      <c r="AJ2472">
        <v>89.077268654473002</v>
      </c>
      <c r="AK2472">
        <v>3.0045478127977199</v>
      </c>
      <c r="AL2472">
        <v>90.771017615767903</v>
      </c>
      <c r="AM2472">
        <v>91.850861772411406</v>
      </c>
      <c r="AN2472">
        <v>1.0000000110293901</v>
      </c>
    </row>
    <row r="2473" spans="1:40" x14ac:dyDescent="0.25">
      <c r="A2473" t="str">
        <f>"20190303153821640"</f>
        <v>20190303153821640</v>
      </c>
      <c r="B2473" t="str">
        <f>"1551598701631652"</f>
        <v>1551598701631652</v>
      </c>
      <c r="C2473" t="s">
        <v>40</v>
      </c>
      <c r="D2473">
        <v>4.1352399999999996</v>
      </c>
      <c r="E2473">
        <v>0.51704359999999905</v>
      </c>
      <c r="F2473" t="s">
        <v>46</v>
      </c>
      <c r="G2473">
        <v>0</v>
      </c>
      <c r="H2473">
        <v>0</v>
      </c>
      <c r="I2473">
        <v>0</v>
      </c>
      <c r="J2473">
        <v>-311.2122</v>
      </c>
      <c r="K2473">
        <v>1.1203209999999999</v>
      </c>
      <c r="L2473">
        <v>283.57380000000001</v>
      </c>
      <c r="M2473">
        <v>-0.99988129999999997</v>
      </c>
      <c r="N2473">
        <v>-8.5526249999999995E-3</v>
      </c>
      <c r="O2473">
        <v>1.282001E-2</v>
      </c>
      <c r="P2473">
        <v>-0.99955660000000002</v>
      </c>
      <c r="Q2473">
        <v>-2.2415939999999999E-2</v>
      </c>
      <c r="R2473">
        <v>-1.960042E-2</v>
      </c>
      <c r="S2473">
        <v>-3.0033259999999999</v>
      </c>
      <c r="T2473">
        <v>1.4393090000000001E-2</v>
      </c>
      <c r="U2473">
        <v>8.6730959999999996E-2</v>
      </c>
      <c r="V2473">
        <v>-3.2417389999999997E-2</v>
      </c>
      <c r="W2473">
        <v>-1.386097E-2</v>
      </c>
      <c r="X2473">
        <v>0.99937830000000005</v>
      </c>
      <c r="Y2473">
        <v>1.6050040000000002E-2</v>
      </c>
      <c r="Z2473">
        <v>2.0125009999999999E-4</v>
      </c>
      <c r="AA2473">
        <v>0.99987119999999996</v>
      </c>
      <c r="AB2473">
        <v>35</v>
      </c>
      <c r="AC2473">
        <v>-3.0033259999999999</v>
      </c>
      <c r="AD2473">
        <v>1.4393090000000001E-2</v>
      </c>
      <c r="AE2473">
        <v>8.6730959999999996E-2</v>
      </c>
      <c r="AF2473">
        <v>4.82186500247547E-2</v>
      </c>
      <c r="AG2473">
        <v>1.4393090000000001E-2</v>
      </c>
      <c r="AH2473">
        <v>3.00412216390579</v>
      </c>
      <c r="AI2473">
        <v>89.725526875875204</v>
      </c>
      <c r="AJ2473">
        <v>89.080434225578998</v>
      </c>
      <c r="AK2473">
        <v>3.0045435884539899</v>
      </c>
      <c r="AL2473">
        <v>90.794200513432003</v>
      </c>
      <c r="AM2473">
        <v>91.857883645154502</v>
      </c>
      <c r="AN2473">
        <v>1.0000000000873199</v>
      </c>
    </row>
    <row r="2474" spans="1:40" x14ac:dyDescent="0.25">
      <c r="A2474" t="str">
        <f>"20190303153821653"</f>
        <v>20190303153821653</v>
      </c>
      <c r="B2474" t="str">
        <f>"1551598701641410"</f>
        <v>1551598701641410</v>
      </c>
      <c r="C2474" t="s">
        <v>40</v>
      </c>
      <c r="D2474">
        <v>4.0134299999999996</v>
      </c>
      <c r="E2474">
        <v>0.51704359999999905</v>
      </c>
      <c r="F2474" t="s">
        <v>46</v>
      </c>
      <c r="G2474">
        <v>0</v>
      </c>
      <c r="H2474">
        <v>0</v>
      </c>
      <c r="I2474">
        <v>0</v>
      </c>
      <c r="J2474">
        <v>-311.40789999999998</v>
      </c>
      <c r="K2474">
        <v>1.1203160000000001</v>
      </c>
      <c r="L2474">
        <v>283.57639999999998</v>
      </c>
      <c r="M2474">
        <v>-0.99988140000000003</v>
      </c>
      <c r="N2474">
        <v>-8.4621049999999993E-3</v>
      </c>
      <c r="O2474">
        <v>1.287082E-2</v>
      </c>
      <c r="P2474">
        <v>-0.99954509999999996</v>
      </c>
      <c r="Q2474">
        <v>-2.2807830000000001E-2</v>
      </c>
      <c r="R2474">
        <v>-1.9732840000000001E-2</v>
      </c>
      <c r="S2474">
        <v>-3.0044559999999998</v>
      </c>
      <c r="T2474">
        <v>7.3739529999999998E-2</v>
      </c>
      <c r="U2474">
        <v>7.4584960000000006E-2</v>
      </c>
      <c r="V2474">
        <v>-3.2600160000000003E-2</v>
      </c>
      <c r="W2474">
        <v>-1.4343369999999999E-2</v>
      </c>
      <c r="X2474">
        <v>0.99936559999999997</v>
      </c>
      <c r="Y2474">
        <v>1.195242E-2</v>
      </c>
      <c r="Z2474">
        <v>3.2861529999999998E-4</v>
      </c>
      <c r="AA2474">
        <v>0.9999285</v>
      </c>
      <c r="AB2474">
        <v>35</v>
      </c>
      <c r="AC2474">
        <v>-3.0044559999999998</v>
      </c>
      <c r="AD2474">
        <v>7.3739529999999998E-2</v>
      </c>
      <c r="AE2474">
        <v>7.4584960000000006E-2</v>
      </c>
      <c r="AF2474">
        <v>3.5885982461082398E-2</v>
      </c>
      <c r="AG2474">
        <v>7.3739529999999998E-2</v>
      </c>
      <c r="AH2474">
        <v>3.00335907681414</v>
      </c>
      <c r="AI2474">
        <v>88.593636756072996</v>
      </c>
      <c r="AJ2474">
        <v>89.315427345058396</v>
      </c>
      <c r="AK2474">
        <v>3.0044785015545799</v>
      </c>
      <c r="AL2474">
        <v>90.821842703350598</v>
      </c>
      <c r="AM2474">
        <v>91.868374759583503</v>
      </c>
      <c r="AN2474">
        <v>1.0000000525791699</v>
      </c>
    </row>
    <row r="2475" spans="1:40" x14ac:dyDescent="0.25">
      <c r="A2475" t="str">
        <f>"20190303153821664"</f>
        <v>20190303153821664</v>
      </c>
      <c r="B2475" t="str">
        <f>"1551598701660929"</f>
        <v>1551598701660929</v>
      </c>
      <c r="C2475" t="s">
        <v>40</v>
      </c>
      <c r="D2475">
        <v>4.0280670000000001</v>
      </c>
      <c r="E2475">
        <v>0.52157159999999902</v>
      </c>
      <c r="F2475" t="s">
        <v>46</v>
      </c>
      <c r="G2475">
        <v>0</v>
      </c>
      <c r="H2475">
        <v>0</v>
      </c>
      <c r="I2475">
        <v>0</v>
      </c>
      <c r="J2475">
        <v>-311.601</v>
      </c>
      <c r="K2475">
        <v>1.120312</v>
      </c>
      <c r="L2475">
        <v>283.57889999999998</v>
      </c>
      <c r="M2475">
        <v>-0.99988140000000003</v>
      </c>
      <c r="N2475">
        <v>-8.3874759999999996E-3</v>
      </c>
      <c r="O2475">
        <v>1.2920839999999999E-2</v>
      </c>
      <c r="P2475">
        <v>-0.99953429999999999</v>
      </c>
      <c r="Q2475">
        <v>-2.3157210000000001E-2</v>
      </c>
      <c r="R2475">
        <v>-1.9876979999999999E-2</v>
      </c>
      <c r="S2475">
        <v>-3.004486</v>
      </c>
      <c r="T2475">
        <v>7.2433590000000006E-2</v>
      </c>
      <c r="U2475">
        <v>7.4493409999999996E-2</v>
      </c>
      <c r="V2475">
        <v>-3.2794379999999998E-2</v>
      </c>
      <c r="W2475">
        <v>-1.476736E-2</v>
      </c>
      <c r="X2475">
        <v>0.99935300000000005</v>
      </c>
      <c r="Y2475">
        <v>1.1871619999999999E-2</v>
      </c>
      <c r="Z2475">
        <v>3.2647269999999998E-4</v>
      </c>
      <c r="AA2475">
        <v>0.99992950000000003</v>
      </c>
      <c r="AB2475">
        <v>35</v>
      </c>
      <c r="AC2475">
        <v>-3.004486</v>
      </c>
      <c r="AD2475">
        <v>7.2433590000000006E-2</v>
      </c>
      <c r="AE2475">
        <v>7.4493409999999996E-2</v>
      </c>
      <c r="AF2475">
        <v>3.5644640136680103E-2</v>
      </c>
      <c r="AG2475">
        <v>7.2433590000000006E-2</v>
      </c>
      <c r="AH2475">
        <v>3.0034531355846599</v>
      </c>
      <c r="AI2475">
        <v>88.618575875846204</v>
      </c>
      <c r="AJ2475">
        <v>89.320052128386493</v>
      </c>
      <c r="AK2475">
        <v>3.00453788509716</v>
      </c>
      <c r="AL2475">
        <v>90.846138172891102</v>
      </c>
      <c r="AM2475">
        <v>91.879521582948001</v>
      </c>
      <c r="AN2475">
        <v>0.99999998244497601</v>
      </c>
    </row>
    <row r="2476" spans="1:40" x14ac:dyDescent="0.25">
      <c r="A2476" t="str">
        <f>"20190303153821676"</f>
        <v>20190303153821676</v>
      </c>
      <c r="B2476" t="str">
        <f>"1551598701671666"</f>
        <v>1551598701671666</v>
      </c>
      <c r="C2476" t="s">
        <v>40</v>
      </c>
      <c r="D2476">
        <v>4.0341250000000004</v>
      </c>
      <c r="E2476">
        <v>0.52154609999999901</v>
      </c>
      <c r="F2476" t="s">
        <v>46</v>
      </c>
      <c r="G2476">
        <v>0</v>
      </c>
      <c r="H2476">
        <v>0</v>
      </c>
      <c r="I2476">
        <v>0</v>
      </c>
      <c r="J2476">
        <v>-311.77999999999997</v>
      </c>
      <c r="K2476">
        <v>1.1203110000000001</v>
      </c>
      <c r="L2476">
        <v>283.58120000000002</v>
      </c>
      <c r="M2476">
        <v>-0.99988129999999997</v>
      </c>
      <c r="N2476">
        <v>-8.3317889999999992E-3</v>
      </c>
      <c r="O2476">
        <v>1.296714E-2</v>
      </c>
      <c r="P2476">
        <v>-0.99952649999999998</v>
      </c>
      <c r="Q2476">
        <v>-2.3147529999999999E-2</v>
      </c>
      <c r="R2476">
        <v>-2.027969E-2</v>
      </c>
      <c r="S2476">
        <v>-3.0064700000000002</v>
      </c>
      <c r="T2476">
        <v>0.1248387</v>
      </c>
      <c r="U2476">
        <v>0.1091309</v>
      </c>
      <c r="V2476">
        <v>-3.324324E-2</v>
      </c>
      <c r="W2476">
        <v>-1.481332E-2</v>
      </c>
      <c r="X2476">
        <v>0.99933749999999999</v>
      </c>
      <c r="Y2476">
        <v>2.3312739999999998E-2</v>
      </c>
      <c r="Z2476">
        <v>2.5948760000000002E-4</v>
      </c>
      <c r="AA2476">
        <v>0.99972819999999996</v>
      </c>
      <c r="AB2476">
        <v>35</v>
      </c>
      <c r="AC2476">
        <v>-3.0064700000000002</v>
      </c>
      <c r="AD2476">
        <v>0.1248387</v>
      </c>
      <c r="AE2476">
        <v>0.1091309</v>
      </c>
      <c r="AF2476">
        <v>7.0014497517613503E-2</v>
      </c>
      <c r="AG2476">
        <v>0.1248387</v>
      </c>
      <c r="AH2476">
        <v>3.00246237357055</v>
      </c>
      <c r="AI2476">
        <v>87.619729559966501</v>
      </c>
      <c r="AJ2476">
        <v>88.664160337819297</v>
      </c>
      <c r="AK2476">
        <v>3.0058720923530999</v>
      </c>
      <c r="AL2476">
        <v>90.848771765922606</v>
      </c>
      <c r="AM2476">
        <v>91.905257482658698</v>
      </c>
      <c r="AN2476">
        <v>0.999999993180684</v>
      </c>
    </row>
    <row r="2477" spans="1:40" x14ac:dyDescent="0.25">
      <c r="A2477" t="str">
        <f>"20190303153821697"</f>
        <v>20190303153821697</v>
      </c>
      <c r="B2477" t="str">
        <f>"1551598701691185"</f>
        <v>1551598701691185</v>
      </c>
      <c r="C2477" t="s">
        <v>40</v>
      </c>
      <c r="D2477">
        <v>4.030481</v>
      </c>
      <c r="E2477">
        <v>0.52156449999999999</v>
      </c>
      <c r="F2477" t="s">
        <v>46</v>
      </c>
      <c r="G2477">
        <v>0</v>
      </c>
      <c r="H2477">
        <v>0</v>
      </c>
      <c r="I2477">
        <v>0</v>
      </c>
      <c r="J2477">
        <v>-312.08980000000003</v>
      </c>
      <c r="K2477">
        <v>1.120312</v>
      </c>
      <c r="L2477">
        <v>283.58539999999999</v>
      </c>
      <c r="M2477">
        <v>-0.99988069999999896</v>
      </c>
      <c r="N2477">
        <v>-8.2721800000000005E-3</v>
      </c>
      <c r="O2477">
        <v>1.304714E-2</v>
      </c>
      <c r="P2477">
        <v>-0.99950289999999997</v>
      </c>
      <c r="Q2477">
        <v>-2.3681790000000001E-2</v>
      </c>
      <c r="R2477">
        <v>-2.0807229999999999E-2</v>
      </c>
      <c r="S2477">
        <v>-3.0065</v>
      </c>
      <c r="T2477">
        <v>0.1243016</v>
      </c>
      <c r="U2477">
        <v>0.1074524</v>
      </c>
      <c r="V2477">
        <v>-3.3850489999999997E-2</v>
      </c>
      <c r="W2477">
        <v>-1.5407189999999999E-2</v>
      </c>
      <c r="X2477">
        <v>0.99930819999999998</v>
      </c>
      <c r="Y2477">
        <v>2.2675480000000001E-2</v>
      </c>
      <c r="Z2477">
        <v>2.7227879999999999E-4</v>
      </c>
      <c r="AA2477">
        <v>0.99974289999999999</v>
      </c>
      <c r="AB2477">
        <v>35</v>
      </c>
      <c r="AC2477">
        <v>-3.0065</v>
      </c>
      <c r="AD2477">
        <v>0.1243016</v>
      </c>
      <c r="AE2477">
        <v>0.1074524</v>
      </c>
      <c r="AF2477">
        <v>6.8099428835015199E-2</v>
      </c>
      <c r="AG2477">
        <v>0.1243016</v>
      </c>
      <c r="AH2477">
        <v>3.0025202601556402</v>
      </c>
      <c r="AI2477">
        <v>87.6299695243831</v>
      </c>
      <c r="AJ2477">
        <v>88.700711177318496</v>
      </c>
      <c r="AK2477">
        <v>3.0058636583543299</v>
      </c>
      <c r="AL2477">
        <v>90.882801839209804</v>
      </c>
      <c r="AM2477">
        <v>91.940091058763898</v>
      </c>
      <c r="AN2477">
        <v>1.00000005788208</v>
      </c>
    </row>
    <row r="2478" spans="1:40" x14ac:dyDescent="0.25">
      <c r="A2478" t="str">
        <f>"20190303153821719"</f>
        <v>20190303153821719</v>
      </c>
      <c r="B2478" t="str">
        <f>"1551598701711681"</f>
        <v>1551598701711681</v>
      </c>
      <c r="C2478" t="s">
        <v>40</v>
      </c>
      <c r="D2478">
        <v>4.0413379999999997</v>
      </c>
      <c r="E2478">
        <v>0.51900579999999996</v>
      </c>
      <c r="F2478" t="s">
        <v>46</v>
      </c>
      <c r="G2478">
        <v>0</v>
      </c>
      <c r="H2478">
        <v>0</v>
      </c>
      <c r="I2478">
        <v>0</v>
      </c>
      <c r="J2478">
        <v>-312.45780000000002</v>
      </c>
      <c r="K2478">
        <v>1.1203350000000001</v>
      </c>
      <c r="L2478">
        <v>283.59019999999998</v>
      </c>
      <c r="M2478">
        <v>-0.99987930000000003</v>
      </c>
      <c r="N2478">
        <v>-8.2916350000000003E-3</v>
      </c>
      <c r="O2478">
        <v>1.3141659999999999E-2</v>
      </c>
      <c r="P2478">
        <v>-0.99948809999999999</v>
      </c>
      <c r="Q2478">
        <v>-2.4016039999999999E-2</v>
      </c>
      <c r="R2478">
        <v>-2.1142419999999999E-2</v>
      </c>
      <c r="S2478">
        <v>-3.0065919999999999</v>
      </c>
      <c r="T2478">
        <v>0.1223885</v>
      </c>
      <c r="U2478">
        <v>0.1060181</v>
      </c>
      <c r="V2478">
        <v>-3.4280140000000001E-2</v>
      </c>
      <c r="W2478">
        <v>-1.5721990000000002E-2</v>
      </c>
      <c r="X2478">
        <v>0.99928859999999997</v>
      </c>
      <c r="Y2478">
        <v>2.2104180000000001E-2</v>
      </c>
      <c r="Z2478">
        <v>2.8554410000000002E-4</v>
      </c>
      <c r="AA2478">
        <v>0.99975559999999997</v>
      </c>
      <c r="AB2478">
        <v>35</v>
      </c>
      <c r="AC2478">
        <v>-3.0065919999999999</v>
      </c>
      <c r="AD2478">
        <v>0.1223885</v>
      </c>
      <c r="AE2478">
        <v>0.1060181</v>
      </c>
      <c r="AF2478">
        <v>6.6386109740440596E-2</v>
      </c>
      <c r="AG2478">
        <v>0.1223885</v>
      </c>
      <c r="AH2478">
        <v>3.0027561493274</v>
      </c>
      <c r="AI2478">
        <v>87.666558785882302</v>
      </c>
      <c r="AJ2478">
        <v>88.733488774081707</v>
      </c>
      <c r="AK2478">
        <v>3.0059824604981</v>
      </c>
      <c r="AL2478">
        <v>90.900840780146495</v>
      </c>
      <c r="AM2478">
        <v>91.964735144255599</v>
      </c>
      <c r="AN2478">
        <v>1.0000000075289599</v>
      </c>
    </row>
    <row r="2479" spans="1:40" x14ac:dyDescent="0.25">
      <c r="A2479" t="str">
        <f>"20190303153821734"</f>
        <v>20190303153821734</v>
      </c>
      <c r="B2479" t="str">
        <f>"1551598701731201"</f>
        <v>1551598701731201</v>
      </c>
      <c r="C2479" t="s">
        <v>40</v>
      </c>
      <c r="D2479">
        <v>4.0436329999999998</v>
      </c>
      <c r="E2479">
        <v>0.51914919999999998</v>
      </c>
      <c r="F2479" t="s">
        <v>46</v>
      </c>
      <c r="G2479">
        <v>0</v>
      </c>
      <c r="H2479">
        <v>0</v>
      </c>
      <c r="I2479">
        <v>0</v>
      </c>
      <c r="J2479">
        <v>-312.68819999999999</v>
      </c>
      <c r="K2479">
        <v>1.120358</v>
      </c>
      <c r="L2479">
        <v>283.5933</v>
      </c>
      <c r="M2479">
        <v>-0.99987789999999999</v>
      </c>
      <c r="N2479">
        <v>-8.3602669999999994E-3</v>
      </c>
      <c r="O2479">
        <v>1.320087E-2</v>
      </c>
      <c r="P2479">
        <v>-0.99947609999999998</v>
      </c>
      <c r="Q2479">
        <v>-2.4308429999999999E-2</v>
      </c>
      <c r="R2479">
        <v>-2.1371569999999999E-2</v>
      </c>
      <c r="S2479">
        <v>-3.006195</v>
      </c>
      <c r="T2479">
        <v>0.11972140000000001</v>
      </c>
      <c r="U2479">
        <v>8.4686280000000003E-2</v>
      </c>
      <c r="V2479">
        <v>-3.4568290000000002E-2</v>
      </c>
      <c r="W2479">
        <v>-1.5945810000000001E-2</v>
      </c>
      <c r="X2479">
        <v>0.99927509999999997</v>
      </c>
      <c r="Y2479">
        <v>1.4966810000000001E-2</v>
      </c>
      <c r="Z2479">
        <v>4.0042030000000001E-4</v>
      </c>
      <c r="AA2479">
        <v>0.99988790000000005</v>
      </c>
      <c r="AB2479">
        <v>35</v>
      </c>
      <c r="AC2479">
        <v>-3.006195</v>
      </c>
      <c r="AD2479">
        <v>0.11972140000000001</v>
      </c>
      <c r="AE2479">
        <v>8.4686280000000003E-2</v>
      </c>
      <c r="AF2479">
        <v>4.4921932760929997E-2</v>
      </c>
      <c r="AG2479">
        <v>0.11972140000000001</v>
      </c>
      <c r="AH2479">
        <v>3.0022930798591299</v>
      </c>
      <c r="AI2479">
        <v>87.716701257556906</v>
      </c>
      <c r="AJ2479">
        <v>89.142773527680703</v>
      </c>
      <c r="AK2479">
        <v>3.0050149635286298</v>
      </c>
      <c r="AL2479">
        <v>90.913666354003098</v>
      </c>
      <c r="AM2479">
        <v>91.981263838097206</v>
      </c>
      <c r="AN2479">
        <v>0.99999998050504402</v>
      </c>
    </row>
    <row r="2480" spans="1:40" x14ac:dyDescent="0.25">
      <c r="A2480" t="str">
        <f>"20190303153821751"</f>
        <v>20190303153821751</v>
      </c>
      <c r="B2480" t="str">
        <f>"1551598701740962"</f>
        <v>1551598701740962</v>
      </c>
      <c r="C2480" t="s">
        <v>40</v>
      </c>
      <c r="D2480">
        <v>4.0180819999999997</v>
      </c>
      <c r="E2480">
        <v>0.51934499999999995</v>
      </c>
      <c r="F2480" t="s">
        <v>46</v>
      </c>
      <c r="G2480">
        <v>0</v>
      </c>
      <c r="H2480">
        <v>0</v>
      </c>
      <c r="I2480">
        <v>0</v>
      </c>
      <c r="J2480">
        <v>-312.9622</v>
      </c>
      <c r="K2480">
        <v>1.1203959999999999</v>
      </c>
      <c r="L2480">
        <v>283.59699999999998</v>
      </c>
      <c r="M2480">
        <v>-0.99987570000000003</v>
      </c>
      <c r="N2480">
        <v>-8.521697E-3</v>
      </c>
      <c r="O2480">
        <v>1.32712E-2</v>
      </c>
      <c r="P2480">
        <v>-0.99945859999999997</v>
      </c>
      <c r="Q2480">
        <v>-2.4834680000000001E-2</v>
      </c>
      <c r="R2480">
        <v>-2.1581949999999999E-2</v>
      </c>
      <c r="S2480">
        <v>-3.006348</v>
      </c>
      <c r="T2480">
        <v>0.1220707</v>
      </c>
      <c r="U2480">
        <v>8.4960939999999999E-2</v>
      </c>
      <c r="V2480">
        <v>-3.484922E-2</v>
      </c>
      <c r="W2480">
        <v>-1.631078E-2</v>
      </c>
      <c r="X2480">
        <v>0.99925949999999997</v>
      </c>
      <c r="Y2480">
        <v>1.4986620000000001E-2</v>
      </c>
      <c r="Z2480">
        <v>4.1134119999999998E-4</v>
      </c>
      <c r="AA2480">
        <v>0.99988759999999999</v>
      </c>
      <c r="AB2480">
        <v>35</v>
      </c>
      <c r="AC2480">
        <v>-3.006348</v>
      </c>
      <c r="AD2480">
        <v>0.1220707</v>
      </c>
      <c r="AE2480">
        <v>8.4960939999999999E-2</v>
      </c>
      <c r="AF2480">
        <v>4.4980066194130801E-2</v>
      </c>
      <c r="AG2480">
        <v>0.1220707</v>
      </c>
      <c r="AH2480">
        <v>3.00226488235056</v>
      </c>
      <c r="AI2480">
        <v>87.671923616358498</v>
      </c>
      <c r="AJ2480">
        <v>89.141656297175601</v>
      </c>
      <c r="AK2480">
        <v>3.0050821762389099</v>
      </c>
      <c r="AL2480">
        <v>90.934580270107205</v>
      </c>
      <c r="AM2480">
        <v>91.997383364635695</v>
      </c>
      <c r="AN2480">
        <v>1.0000000290095299</v>
      </c>
    </row>
    <row r="2481" spans="1:40" x14ac:dyDescent="0.25">
      <c r="A2481" t="str">
        <f>"20190303153821765"</f>
        <v>20190303153821765</v>
      </c>
      <c r="B2481" t="str">
        <f>"1551598701761457"</f>
        <v>1551598701761457</v>
      </c>
      <c r="C2481" t="s">
        <v>40</v>
      </c>
      <c r="D2481">
        <v>4.1187860000000001</v>
      </c>
      <c r="E2481">
        <v>0.51868130000000001</v>
      </c>
      <c r="F2481" t="s">
        <v>46</v>
      </c>
      <c r="G2481">
        <v>0</v>
      </c>
      <c r="H2481">
        <v>0</v>
      </c>
      <c r="I2481">
        <v>0</v>
      </c>
      <c r="J2481">
        <v>-313.18020000000001</v>
      </c>
      <c r="K2481">
        <v>1.1204480000000001</v>
      </c>
      <c r="L2481">
        <v>283.59989999999999</v>
      </c>
      <c r="M2481">
        <v>-0.99987300000000001</v>
      </c>
      <c r="N2481">
        <v>-8.7466799999999997E-3</v>
      </c>
      <c r="O2481">
        <v>1.3326040000000001E-2</v>
      </c>
      <c r="P2481">
        <v>-0.99943720000000003</v>
      </c>
      <c r="Q2481">
        <v>-2.5551649999999999E-2</v>
      </c>
      <c r="R2481">
        <v>-2.1744260000000001E-2</v>
      </c>
      <c r="S2481">
        <v>-3.0064090000000001</v>
      </c>
      <c r="T2481">
        <v>0.1186212</v>
      </c>
      <c r="U2481">
        <v>8.59375E-2</v>
      </c>
      <c r="V2481">
        <v>-3.5065260000000001E-2</v>
      </c>
      <c r="W2481">
        <v>-1.6802979999999999E-2</v>
      </c>
      <c r="X2481">
        <v>0.99924369999999996</v>
      </c>
      <c r="Y2481">
        <v>1.5255690000000001E-2</v>
      </c>
      <c r="Z2481">
        <v>4.0790210000000001E-4</v>
      </c>
      <c r="AA2481">
        <v>0.99988350000000004</v>
      </c>
      <c r="AB2481">
        <v>35</v>
      </c>
      <c r="AC2481">
        <v>-3.0064090000000001</v>
      </c>
      <c r="AD2481">
        <v>0.1186212</v>
      </c>
      <c r="AE2481">
        <v>8.59375E-2</v>
      </c>
      <c r="AF2481">
        <v>4.57935788977454E-2</v>
      </c>
      <c r="AG2481">
        <v>0.1186212</v>
      </c>
      <c r="AH2481">
        <v>3.0026166631888702</v>
      </c>
      <c r="AI2481">
        <v>87.737915518133207</v>
      </c>
      <c r="AJ2481">
        <v>89.126236981888695</v>
      </c>
      <c r="AK2481">
        <v>3.0053077824105099</v>
      </c>
      <c r="AL2481">
        <v>90.962785201914102</v>
      </c>
      <c r="AM2481">
        <v>92.009787328374699</v>
      </c>
      <c r="AN2481">
        <v>0.99999994229271705</v>
      </c>
    </row>
    <row r="2482" spans="1:40" x14ac:dyDescent="0.25">
      <c r="A2482" t="str">
        <f>"20190303153821777"</f>
        <v>20190303153821777</v>
      </c>
      <c r="B2482" t="str">
        <f>"1551598701771217"</f>
        <v>1551598701771217</v>
      </c>
      <c r="C2482" t="s">
        <v>40</v>
      </c>
      <c r="D2482">
        <v>4.0264319999999998</v>
      </c>
      <c r="E2482">
        <v>0.51872240000000003</v>
      </c>
      <c r="F2482" t="s">
        <v>46</v>
      </c>
      <c r="G2482">
        <v>0</v>
      </c>
      <c r="H2482">
        <v>0</v>
      </c>
      <c r="I2482">
        <v>0</v>
      </c>
      <c r="J2482">
        <v>-313.3682</v>
      </c>
      <c r="K2482">
        <v>1.1205020000000001</v>
      </c>
      <c r="L2482">
        <v>283.60250000000002</v>
      </c>
      <c r="M2482">
        <v>-0.99987020000000004</v>
      </c>
      <c r="N2482">
        <v>-8.9856569999999993E-3</v>
      </c>
      <c r="O2482">
        <v>1.337322E-2</v>
      </c>
      <c r="P2482">
        <v>-0.99941049999999998</v>
      </c>
      <c r="Q2482">
        <v>-2.63883E-2</v>
      </c>
      <c r="R2482">
        <v>-2.1962639999999999E-2</v>
      </c>
      <c r="S2482">
        <v>-3.0063170000000001</v>
      </c>
      <c r="T2482">
        <v>0.1131264</v>
      </c>
      <c r="U2482">
        <v>8.0139160000000001E-2</v>
      </c>
      <c r="V2482">
        <v>-3.533124E-2</v>
      </c>
      <c r="W2482">
        <v>-1.7400970000000002E-2</v>
      </c>
      <c r="X2482">
        <v>0.99922409999999995</v>
      </c>
      <c r="Y2482">
        <v>1.3283430000000001E-2</v>
      </c>
      <c r="Z2482">
        <v>4.3294740000000001E-4</v>
      </c>
      <c r="AA2482">
        <v>0.99991169999999996</v>
      </c>
      <c r="AB2482">
        <v>35</v>
      </c>
      <c r="AC2482">
        <v>-3.0063170000000001</v>
      </c>
      <c r="AD2482">
        <v>0.1131264</v>
      </c>
      <c r="AE2482">
        <v>8.0139160000000001E-2</v>
      </c>
      <c r="AF2482">
        <v>3.9869816224170303E-2</v>
      </c>
      <c r="AG2482">
        <v>0.1131264</v>
      </c>
      <c r="AH2482">
        <v>3.0028709004987899</v>
      </c>
      <c r="AI2482">
        <v>87.842720738838395</v>
      </c>
      <c r="AJ2482">
        <v>89.239315289920398</v>
      </c>
      <c r="AK2482">
        <v>3.0052655173353902</v>
      </c>
      <c r="AL2482">
        <v>90.997052515325805</v>
      </c>
      <c r="AM2482">
        <v>92.025059182268507</v>
      </c>
      <c r="AN2482">
        <v>0.99999994614884202</v>
      </c>
    </row>
    <row r="2483" spans="1:40" x14ac:dyDescent="0.25">
      <c r="A2483" t="str">
        <f>"20190303153821787"</f>
        <v>20190303153821787</v>
      </c>
      <c r="B2483" t="str">
        <f>"1551598701780977"</f>
        <v>1551598701780977</v>
      </c>
      <c r="C2483" t="s">
        <v>40</v>
      </c>
      <c r="D2483">
        <v>4.0305609999999996</v>
      </c>
      <c r="E2483">
        <v>0.51885779999999904</v>
      </c>
      <c r="F2483" t="s">
        <v>46</v>
      </c>
      <c r="G2483">
        <v>0</v>
      </c>
      <c r="H2483">
        <v>0</v>
      </c>
      <c r="I2483">
        <v>0</v>
      </c>
      <c r="J2483">
        <v>-313.55250000000001</v>
      </c>
      <c r="K2483">
        <v>1.1205560000000001</v>
      </c>
      <c r="L2483">
        <v>283.60500000000002</v>
      </c>
      <c r="M2483">
        <v>-0.99986739999999996</v>
      </c>
      <c r="N2483">
        <v>-9.2449000000000003E-3</v>
      </c>
      <c r="O2483">
        <v>1.3419449999999999E-2</v>
      </c>
      <c r="P2483">
        <v>-0.99939180000000005</v>
      </c>
      <c r="Q2483">
        <v>-2.6970640000000001E-2</v>
      </c>
      <c r="R2483">
        <v>-2.211111E-2</v>
      </c>
      <c r="S2483">
        <v>-3.0064389999999999</v>
      </c>
      <c r="T2483">
        <v>0.11145869999999999</v>
      </c>
      <c r="U2483">
        <v>7.9742430000000003E-2</v>
      </c>
      <c r="V2483">
        <v>-3.5525910000000001E-2</v>
      </c>
      <c r="W2483">
        <v>-1.772437E-2</v>
      </c>
      <c r="X2483">
        <v>0.99921150000000003</v>
      </c>
      <c r="Y2483">
        <v>1.3104499999999899E-2</v>
      </c>
      <c r="Z2483">
        <v>4.390242E-4</v>
      </c>
      <c r="AA2483">
        <v>0.99991410000000003</v>
      </c>
      <c r="AB2483">
        <v>35</v>
      </c>
      <c r="AC2483">
        <v>-3.0064389999999999</v>
      </c>
      <c r="AD2483">
        <v>0.11145869999999999</v>
      </c>
      <c r="AE2483">
        <v>7.9742430000000003E-2</v>
      </c>
      <c r="AF2483">
        <v>3.93347494406363E-2</v>
      </c>
      <c r="AG2483">
        <v>0.11145869999999999</v>
      </c>
      <c r="AH2483">
        <v>3.0031137347783101</v>
      </c>
      <c r="AI2483">
        <v>87.874660477445701</v>
      </c>
      <c r="AJ2483">
        <v>89.249583444713394</v>
      </c>
      <c r="AK2483">
        <v>3.0054387979683401</v>
      </c>
      <c r="AL2483">
        <v>91.015584843549505</v>
      </c>
      <c r="AM2483">
        <v>92.036233252356496</v>
      </c>
      <c r="AN2483">
        <v>0.99999993265273501</v>
      </c>
    </row>
    <row r="2484" spans="1:40" x14ac:dyDescent="0.25">
      <c r="A2484" t="str">
        <f>"20190303153821799"</f>
        <v>20190303153821799</v>
      </c>
      <c r="B2484" t="str">
        <f>"1551598701791714"</f>
        <v>1551598701791714</v>
      </c>
      <c r="C2484" t="s">
        <v>40</v>
      </c>
      <c r="D2484">
        <v>4.1385670000000001</v>
      </c>
      <c r="E2484">
        <v>0.51849630000000002</v>
      </c>
      <c r="F2484" t="s">
        <v>46</v>
      </c>
      <c r="G2484">
        <v>0</v>
      </c>
      <c r="H2484">
        <v>0</v>
      </c>
      <c r="I2484">
        <v>0</v>
      </c>
      <c r="J2484">
        <v>-313.7278</v>
      </c>
      <c r="K2484">
        <v>1.120606</v>
      </c>
      <c r="L2484">
        <v>283.60739999999998</v>
      </c>
      <c r="M2484">
        <v>-0.99986419999999998</v>
      </c>
      <c r="N2484">
        <v>-9.5124110000000001E-3</v>
      </c>
      <c r="O2484">
        <v>1.3462729999999999E-2</v>
      </c>
      <c r="P2484">
        <v>-0.99936999999999998</v>
      </c>
      <c r="Q2484">
        <v>-2.7509840000000001E-2</v>
      </c>
      <c r="R2484">
        <v>-2.242624E-2</v>
      </c>
      <c r="S2484">
        <v>-3.0065919999999999</v>
      </c>
      <c r="T2484">
        <v>0.11048470000000001</v>
      </c>
      <c r="U2484">
        <v>8.0352779999999999E-2</v>
      </c>
      <c r="V2484">
        <v>-3.5884039999999999E-2</v>
      </c>
      <c r="W2484">
        <v>-1.7996459999999999E-2</v>
      </c>
      <c r="X2484">
        <v>0.99919389999999997</v>
      </c>
      <c r="Y2484">
        <v>1.326281E-2</v>
      </c>
      <c r="Z2484">
        <v>4.4197760000000002E-4</v>
      </c>
      <c r="AA2484">
        <v>0.99991200000000002</v>
      </c>
      <c r="AB2484">
        <v>35</v>
      </c>
      <c r="AC2484">
        <v>-3.0065919999999999</v>
      </c>
      <c r="AD2484">
        <v>0.11048470000000001</v>
      </c>
      <c r="AE2484">
        <v>8.0352779999999999E-2</v>
      </c>
      <c r="AF2484">
        <v>3.9813008297307703E-2</v>
      </c>
      <c r="AG2484">
        <v>0.11048470000000001</v>
      </c>
      <c r="AH2484">
        <v>3.0033485541670002</v>
      </c>
      <c r="AI2484">
        <v>87.893385252543098</v>
      </c>
      <c r="AJ2484">
        <v>89.240519806433497</v>
      </c>
      <c r="AK2484">
        <v>3.0056437717036202</v>
      </c>
      <c r="AL2484">
        <v>91.031176877795403</v>
      </c>
      <c r="AM2484">
        <v>92.056778791160099</v>
      </c>
      <c r="AN2484">
        <v>0.99999999334823098</v>
      </c>
    </row>
    <row r="2485" spans="1:40" x14ac:dyDescent="0.25">
      <c r="A2485" t="str">
        <f>"20190303153821811"</f>
        <v>20190303153821811</v>
      </c>
      <c r="B2485" t="str">
        <f>"1551598701801474"</f>
        <v>1551598701801474</v>
      </c>
      <c r="C2485" t="s">
        <v>40</v>
      </c>
      <c r="D2485">
        <v>4.1333970000000004</v>
      </c>
      <c r="E2485">
        <v>0.51813779999999998</v>
      </c>
      <c r="F2485" t="s">
        <v>46</v>
      </c>
      <c r="G2485">
        <v>0</v>
      </c>
      <c r="H2485">
        <v>0</v>
      </c>
      <c r="I2485">
        <v>0</v>
      </c>
      <c r="J2485">
        <v>-313.90410000000003</v>
      </c>
      <c r="K2485">
        <v>1.120655</v>
      </c>
      <c r="L2485">
        <v>283.60980000000001</v>
      </c>
      <c r="M2485">
        <v>-0.999861</v>
      </c>
      <c r="N2485">
        <v>-9.7825629999999993E-3</v>
      </c>
      <c r="O2485">
        <v>1.350632E-2</v>
      </c>
      <c r="P2485">
        <v>-0.99935940000000001</v>
      </c>
      <c r="Q2485">
        <v>-2.7933429999999999E-2</v>
      </c>
      <c r="R2485">
        <v>-2.2379280000000001E-2</v>
      </c>
      <c r="S2485">
        <v>-3.0065</v>
      </c>
      <c r="T2485">
        <v>0.1059933</v>
      </c>
      <c r="U2485">
        <v>7.6538090000000003E-2</v>
      </c>
      <c r="V2485">
        <v>-3.5880130000000003E-2</v>
      </c>
      <c r="W2485">
        <v>-1.815025E-2</v>
      </c>
      <c r="X2485">
        <v>0.9991913</v>
      </c>
      <c r="Y2485">
        <v>1.195271E-2</v>
      </c>
      <c r="Z2485">
        <v>4.5586249999999997E-4</v>
      </c>
      <c r="AA2485">
        <v>0.9999285</v>
      </c>
      <c r="AB2485">
        <v>35</v>
      </c>
      <c r="AC2485">
        <v>-3.0065</v>
      </c>
      <c r="AD2485">
        <v>0.1059933</v>
      </c>
      <c r="AE2485">
        <v>7.6538090000000003E-2</v>
      </c>
      <c r="AF2485">
        <v>3.5877853019484401E-2</v>
      </c>
      <c r="AG2485">
        <v>0.1059933</v>
      </c>
      <c r="AH2485">
        <v>3.0035288817399102</v>
      </c>
      <c r="AI2485">
        <v>87.979038264544798</v>
      </c>
      <c r="AJ2485">
        <v>89.315621100136497</v>
      </c>
      <c r="AK2485">
        <v>3.0056126735539301</v>
      </c>
      <c r="AL2485">
        <v>91.039989792313094</v>
      </c>
      <c r="AM2485">
        <v>92.056560219469702</v>
      </c>
      <c r="AN2485">
        <v>1.0000000346497799</v>
      </c>
    </row>
    <row r="2486" spans="1:40" x14ac:dyDescent="0.25">
      <c r="A2486" t="str">
        <f>"20190303153821830"</f>
        <v>20190303153821830</v>
      </c>
      <c r="B2486" t="str">
        <f>"1551598701820993"</f>
        <v>1551598701820993</v>
      </c>
      <c r="C2486" t="s">
        <v>40</v>
      </c>
      <c r="D2486">
        <v>4.1657849999999996</v>
      </c>
      <c r="E2486">
        <v>0.51791480000000001</v>
      </c>
      <c r="F2486" t="s">
        <v>46</v>
      </c>
      <c r="G2486">
        <v>0</v>
      </c>
      <c r="H2486">
        <v>0</v>
      </c>
      <c r="I2486">
        <v>0</v>
      </c>
      <c r="J2486">
        <v>-314.21359999999999</v>
      </c>
      <c r="K2486">
        <v>1.12073</v>
      </c>
      <c r="L2486">
        <v>283.61410000000001</v>
      </c>
      <c r="M2486">
        <v>-0.99985539999999995</v>
      </c>
      <c r="N2486">
        <v>-1.0247610000000001E-2</v>
      </c>
      <c r="O2486">
        <v>1.358154E-2</v>
      </c>
      <c r="P2486">
        <v>-0.99933590000000005</v>
      </c>
      <c r="Q2486">
        <v>-2.855092E-2</v>
      </c>
      <c r="R2486">
        <v>-2.264594E-2</v>
      </c>
      <c r="S2486">
        <v>-3.0064090000000001</v>
      </c>
      <c r="T2486">
        <v>0.1025249</v>
      </c>
      <c r="U2486">
        <v>7.3822020000000002E-2</v>
      </c>
      <c r="V2486">
        <v>-3.6222119999999997E-2</v>
      </c>
      <c r="W2486">
        <v>-1.8303380000000001E-2</v>
      </c>
      <c r="X2486">
        <v>0.99917610000000001</v>
      </c>
      <c r="Y2486">
        <v>1.097595E-2</v>
      </c>
      <c r="Z2486">
        <v>4.7123329999999999E-4</v>
      </c>
      <c r="AA2486">
        <v>0.99993969999999999</v>
      </c>
      <c r="AB2486">
        <v>35</v>
      </c>
      <c r="AC2486">
        <v>-3.0064090000000001</v>
      </c>
      <c r="AD2486">
        <v>0.1025249</v>
      </c>
      <c r="AE2486">
        <v>7.3822020000000002E-2</v>
      </c>
      <c r="AF2486">
        <v>3.2943119960410397E-2</v>
      </c>
      <c r="AG2486">
        <v>0.1025249</v>
      </c>
      <c r="AH2486">
        <v>3.0036433543921901</v>
      </c>
      <c r="AI2486">
        <v>88.045170233118199</v>
      </c>
      <c r="AJ2486">
        <v>89.371621115622602</v>
      </c>
      <c r="AK2486">
        <v>3.00557315742889</v>
      </c>
      <c r="AL2486">
        <v>91.048765023173502</v>
      </c>
      <c r="AM2486">
        <v>92.0761767222141</v>
      </c>
      <c r="AN2486">
        <v>0.99999996725396301</v>
      </c>
    </row>
    <row r="2487" spans="1:40" x14ac:dyDescent="0.25">
      <c r="A2487" t="str">
        <f>"20190303153821842"</f>
        <v>20190303153821842</v>
      </c>
      <c r="B2487" t="str">
        <f>"1551598701831729"</f>
        <v>1551598701831729</v>
      </c>
      <c r="C2487" t="s">
        <v>40</v>
      </c>
      <c r="D2487">
        <v>4.1098410000000003</v>
      </c>
      <c r="E2487">
        <v>0.51763809999999999</v>
      </c>
      <c r="F2487" t="s">
        <v>46</v>
      </c>
      <c r="G2487">
        <v>0</v>
      </c>
      <c r="H2487">
        <v>0</v>
      </c>
      <c r="I2487">
        <v>0</v>
      </c>
      <c r="J2487">
        <v>-314.4119</v>
      </c>
      <c r="K2487">
        <v>1.1207640000000001</v>
      </c>
      <c r="L2487">
        <v>283.61680000000001</v>
      </c>
      <c r="M2487">
        <v>-0.99985170000000001</v>
      </c>
      <c r="N2487">
        <v>-1.0530660000000001E-2</v>
      </c>
      <c r="O2487">
        <v>1.36296E-2</v>
      </c>
      <c r="P2487">
        <v>-0.99933799999999995</v>
      </c>
      <c r="Q2487">
        <v>-2.8582409999999999E-2</v>
      </c>
      <c r="R2487">
        <v>-2.25139E-2</v>
      </c>
      <c r="S2487">
        <v>-3.0064700000000002</v>
      </c>
      <c r="T2487">
        <v>9.9814410000000006E-2</v>
      </c>
      <c r="U2487">
        <v>7.1441649999999995E-2</v>
      </c>
      <c r="V2487">
        <v>-3.613748E-2</v>
      </c>
      <c r="W2487">
        <v>-1.8052180000000001E-2</v>
      </c>
      <c r="X2487">
        <v>0.99918379999999996</v>
      </c>
      <c r="Y2487">
        <v>1.013643E-2</v>
      </c>
      <c r="Z2487">
        <v>4.8094970000000001E-4</v>
      </c>
      <c r="AA2487">
        <v>0.99994850000000002</v>
      </c>
      <c r="AB2487">
        <v>35</v>
      </c>
      <c r="AC2487">
        <v>-3.0064700000000002</v>
      </c>
      <c r="AD2487">
        <v>9.9814410000000006E-2</v>
      </c>
      <c r="AE2487">
        <v>7.1441649999999995E-2</v>
      </c>
      <c r="AF2487">
        <v>3.0422245742380501E-2</v>
      </c>
      <c r="AG2487">
        <v>9.9814410000000006E-2</v>
      </c>
      <c r="AH2487">
        <v>3.0038554062669598</v>
      </c>
      <c r="AI2487">
        <v>88.096929700111005</v>
      </c>
      <c r="AJ2487">
        <v>89.419743477540493</v>
      </c>
      <c r="AK2487">
        <v>3.00566726888372</v>
      </c>
      <c r="AL2487">
        <v>91.034369876942705</v>
      </c>
      <c r="AM2487">
        <v>92.071313615558196</v>
      </c>
      <c r="AN2487">
        <v>1.0000000324229701</v>
      </c>
    </row>
    <row r="2488" spans="1:40" x14ac:dyDescent="0.25">
      <c r="A2488" t="str">
        <f>"20190303153821855"</f>
        <v>20190303153821855</v>
      </c>
      <c r="B2488" t="str">
        <f>"1551598701851250"</f>
        <v>1551598701851250</v>
      </c>
      <c r="C2488" t="s">
        <v>40</v>
      </c>
      <c r="D2488">
        <v>4.0512350000000001</v>
      </c>
      <c r="E2488">
        <v>0.51763679999999901</v>
      </c>
      <c r="F2488" t="s">
        <v>46</v>
      </c>
      <c r="G2488">
        <v>0</v>
      </c>
      <c r="H2488">
        <v>0</v>
      </c>
      <c r="I2488">
        <v>0</v>
      </c>
      <c r="J2488">
        <v>-314.58789999999999</v>
      </c>
      <c r="K2488">
        <v>1.120795</v>
      </c>
      <c r="L2488">
        <v>283.61919999999998</v>
      </c>
      <c r="M2488">
        <v>-0.99984839999999997</v>
      </c>
      <c r="N2488">
        <v>-1.0774840000000001E-2</v>
      </c>
      <c r="O2488">
        <v>1.36718E-2</v>
      </c>
      <c r="P2488">
        <v>-0.99934860000000003</v>
      </c>
      <c r="Q2488">
        <v>-2.832579E-2</v>
      </c>
      <c r="R2488">
        <v>-2.236484E-2</v>
      </c>
      <c r="S2488">
        <v>-3.006348</v>
      </c>
      <c r="T2488">
        <v>9.7357869999999999E-2</v>
      </c>
      <c r="U2488">
        <v>6.9458010000000001E-2</v>
      </c>
      <c r="V2488">
        <v>-3.6031069999999998E-2</v>
      </c>
      <c r="W2488">
        <v>-1.7551589999999999E-2</v>
      </c>
      <c r="X2488">
        <v>0.99919650000000004</v>
      </c>
      <c r="Y2488">
        <v>9.4359379999999996E-3</v>
      </c>
      <c r="Z2488">
        <v>4.8792600000000002E-4</v>
      </c>
      <c r="AA2488">
        <v>0.99995540000000005</v>
      </c>
      <c r="AB2488">
        <v>35</v>
      </c>
      <c r="AC2488">
        <v>-3.006348</v>
      </c>
      <c r="AD2488">
        <v>9.7357869999999999E-2</v>
      </c>
      <c r="AE2488">
        <v>6.9458010000000001E-2</v>
      </c>
      <c r="AF2488">
        <v>2.8317258109048199E-2</v>
      </c>
      <c r="AG2488">
        <v>9.7357869999999999E-2</v>
      </c>
      <c r="AH2488">
        <v>3.0038680895252998</v>
      </c>
      <c r="AI2488">
        <v>88.143728250541599</v>
      </c>
      <c r="AJ2488">
        <v>89.459892621716506</v>
      </c>
      <c r="AK2488">
        <v>3.0055787997033301</v>
      </c>
      <c r="AL2488">
        <v>91.005683699323896</v>
      </c>
      <c r="AM2488">
        <v>92.065193512356899</v>
      </c>
      <c r="AN2488">
        <v>0.99999997096456095</v>
      </c>
    </row>
    <row r="2489" spans="1:40" x14ac:dyDescent="0.25">
      <c r="A2489" t="str">
        <f>"20190303153821866"</f>
        <v>20190303153821866</v>
      </c>
      <c r="B2489" t="str">
        <f>"1551598701861009"</f>
        <v>1551598701861009</v>
      </c>
      <c r="C2489" t="s">
        <v>40</v>
      </c>
      <c r="D2489">
        <v>4.1669799999999997</v>
      </c>
      <c r="E2489">
        <v>0.51741190000000004</v>
      </c>
      <c r="F2489" t="s">
        <v>46</v>
      </c>
      <c r="G2489">
        <v>0</v>
      </c>
      <c r="H2489">
        <v>0</v>
      </c>
      <c r="I2489">
        <v>0</v>
      </c>
      <c r="J2489">
        <v>-314.78960000000001</v>
      </c>
      <c r="K2489">
        <v>1.1208260000000001</v>
      </c>
      <c r="L2489">
        <v>283.62209999999999</v>
      </c>
      <c r="M2489">
        <v>-0.99984479999999998</v>
      </c>
      <c r="N2489">
        <v>-1.1044460000000001E-2</v>
      </c>
      <c r="O2489">
        <v>1.371926E-2</v>
      </c>
      <c r="P2489">
        <v>-0.99936100000000005</v>
      </c>
      <c r="Q2489">
        <v>-2.7808670000000001E-2</v>
      </c>
      <c r="R2489">
        <v>-2.2456299999999998E-2</v>
      </c>
      <c r="S2489">
        <v>-3.0062869999999999</v>
      </c>
      <c r="T2489">
        <v>9.8073359999999998E-2</v>
      </c>
      <c r="U2489">
        <v>6.9946289999999994E-2</v>
      </c>
      <c r="V2489">
        <v>-3.6169729999999997E-2</v>
      </c>
      <c r="W2489">
        <v>-1.676505E-2</v>
      </c>
      <c r="X2489">
        <v>0.99920509999999996</v>
      </c>
      <c r="Y2489">
        <v>9.5515129999999993E-3</v>
      </c>
      <c r="Z2489">
        <v>4.9584199999999905E-4</v>
      </c>
      <c r="AA2489">
        <v>0.99995429999999996</v>
      </c>
      <c r="AB2489">
        <v>35</v>
      </c>
      <c r="AC2489">
        <v>-3.0062869999999999</v>
      </c>
      <c r="AD2489">
        <v>9.8073359999999998E-2</v>
      </c>
      <c r="AE2489">
        <v>6.9946289999999994E-2</v>
      </c>
      <c r="AF2489">
        <v>2.8662666380124401E-2</v>
      </c>
      <c r="AG2489">
        <v>9.8073359999999998E-2</v>
      </c>
      <c r="AH2489">
        <v>3.0037686898901401</v>
      </c>
      <c r="AI2489">
        <v>88.130036234200304</v>
      </c>
      <c r="AJ2489">
        <v>89.4532868070646</v>
      </c>
      <c r="AK2489">
        <v>3.0055059931316102</v>
      </c>
      <c r="AL2489">
        <v>90.960611540107493</v>
      </c>
      <c r="AM2489">
        <v>92.073116340987099</v>
      </c>
      <c r="AN2489">
        <v>1.0000000740678801</v>
      </c>
    </row>
    <row r="2490" spans="1:40" x14ac:dyDescent="0.25">
      <c r="A2490" t="str">
        <f>"20190303153821878"</f>
        <v>20190303153821878</v>
      </c>
      <c r="B2490" t="str">
        <f>"1551598701870770"</f>
        <v>1551598701870770</v>
      </c>
      <c r="C2490" t="s">
        <v>40</v>
      </c>
      <c r="D2490">
        <v>4.1293819999999997</v>
      </c>
      <c r="E2490">
        <v>0.51724579999999998</v>
      </c>
      <c r="F2490" t="s">
        <v>46</v>
      </c>
      <c r="G2490">
        <v>0</v>
      </c>
      <c r="H2490">
        <v>0</v>
      </c>
      <c r="I2490">
        <v>0</v>
      </c>
      <c r="J2490">
        <v>-314.96929999999998</v>
      </c>
      <c r="K2490">
        <v>1.1208530000000001</v>
      </c>
      <c r="L2490">
        <v>283.62450000000001</v>
      </c>
      <c r="M2490">
        <v>-0.9998418</v>
      </c>
      <c r="N2490">
        <v>-1.1270840000000001E-2</v>
      </c>
      <c r="O2490">
        <v>1.3760970000000001E-2</v>
      </c>
      <c r="P2490">
        <v>-0.99936630000000004</v>
      </c>
      <c r="Q2490">
        <v>-2.774737E-2</v>
      </c>
      <c r="R2490">
        <v>-2.2299599999999999E-2</v>
      </c>
      <c r="S2490">
        <v>-3.006195</v>
      </c>
      <c r="T2490">
        <v>9.8610639999999999E-2</v>
      </c>
      <c r="U2490">
        <v>6.7993159999999997E-2</v>
      </c>
      <c r="V2490">
        <v>-3.6054599999999999E-2</v>
      </c>
      <c r="W2490">
        <v>-1.6477579999999999E-2</v>
      </c>
      <c r="X2490">
        <v>0.99921400000000005</v>
      </c>
      <c r="Y2490">
        <v>8.8616600000000004E-3</v>
      </c>
      <c r="Z2490">
        <v>5.1089449999999997E-4</v>
      </c>
      <c r="AA2490">
        <v>0.99996059999999998</v>
      </c>
      <c r="AB2490">
        <v>35</v>
      </c>
      <c r="AC2490">
        <v>-3.006195</v>
      </c>
      <c r="AD2490">
        <v>9.8610639999999999E-2</v>
      </c>
      <c r="AE2490">
        <v>6.7993159999999997E-2</v>
      </c>
      <c r="AF2490">
        <v>2.6587341163657099E-2</v>
      </c>
      <c r="AG2490">
        <v>9.8610639999999999E-2</v>
      </c>
      <c r="AH2490">
        <v>3.0036157831577999</v>
      </c>
      <c r="AI2490">
        <v>88.119691676491399</v>
      </c>
      <c r="AJ2490">
        <v>89.492843704938394</v>
      </c>
      <c r="AK2490">
        <v>3.0053516795653001</v>
      </c>
      <c r="AL2490">
        <v>90.944138488255305</v>
      </c>
      <c r="AM2490">
        <v>92.066504851303307</v>
      </c>
      <c r="AN2490">
        <v>1.0000000313099</v>
      </c>
    </row>
    <row r="2491" spans="1:40" x14ac:dyDescent="0.25">
      <c r="A2491" t="str">
        <f>"20190303153821889"</f>
        <v>20190303153821889</v>
      </c>
      <c r="B2491" t="str">
        <f>"1551598701881505"</f>
        <v>1551598701881505</v>
      </c>
      <c r="C2491" t="s">
        <v>40</v>
      </c>
      <c r="D2491">
        <v>4.151643</v>
      </c>
      <c r="E2491">
        <v>0.51708290000000001</v>
      </c>
      <c r="F2491" t="s">
        <v>46</v>
      </c>
      <c r="G2491">
        <v>0</v>
      </c>
      <c r="H2491">
        <v>0</v>
      </c>
      <c r="I2491">
        <v>0</v>
      </c>
      <c r="J2491">
        <v>-315.14490000000001</v>
      </c>
      <c r="K2491">
        <v>1.1208720000000001</v>
      </c>
      <c r="L2491">
        <v>283.62700000000001</v>
      </c>
      <c r="M2491">
        <v>-0.99983880000000003</v>
      </c>
      <c r="N2491">
        <v>-1.148801E-2</v>
      </c>
      <c r="O2491">
        <v>1.380163E-2</v>
      </c>
      <c r="P2491">
        <v>-0.99938360000000004</v>
      </c>
      <c r="Q2491">
        <v>-2.7301579999999999E-2</v>
      </c>
      <c r="R2491">
        <v>-2.2072729999999999E-2</v>
      </c>
      <c r="S2491">
        <v>-3.0060730000000002</v>
      </c>
      <c r="T2491">
        <v>9.7306249999999997E-2</v>
      </c>
      <c r="U2491">
        <v>6.7230219999999993E-2</v>
      </c>
      <c r="V2491">
        <v>-3.5868690000000002E-2</v>
      </c>
      <c r="W2491">
        <v>-1.5814720000000001E-2</v>
      </c>
      <c r="X2491">
        <v>0.99923139999999999</v>
      </c>
      <c r="Y2491">
        <v>8.5683600000000006E-3</v>
      </c>
      <c r="Z2491">
        <v>5.1565729999999998E-4</v>
      </c>
      <c r="AA2491">
        <v>0.99996320000000005</v>
      </c>
      <c r="AB2491">
        <v>35</v>
      </c>
      <c r="AC2491">
        <v>-3.0060730000000002</v>
      </c>
      <c r="AD2491">
        <v>9.7306249999999997E-2</v>
      </c>
      <c r="AE2491">
        <v>6.7230219999999993E-2</v>
      </c>
      <c r="AF2491">
        <v>2.570545119783E-2</v>
      </c>
      <c r="AG2491">
        <v>9.7306249999999997E-2</v>
      </c>
      <c r="AH2491">
        <v>3.00356899508298</v>
      </c>
      <c r="AI2491">
        <v>88.144512671966993</v>
      </c>
      <c r="AJ2491">
        <v>89.509657374415795</v>
      </c>
      <c r="AK2491">
        <v>3.0052547287599598</v>
      </c>
      <c r="AL2491">
        <v>90.906154458457806</v>
      </c>
      <c r="AM2491">
        <v>92.055822635365004</v>
      </c>
      <c r="AN2491">
        <v>1.0000000295184699</v>
      </c>
    </row>
    <row r="2492" spans="1:40" x14ac:dyDescent="0.25">
      <c r="A2492" t="str">
        <f>"20190303153821902"</f>
        <v>20190303153821902</v>
      </c>
      <c r="B2492" t="str">
        <f>"1551598701891266"</f>
        <v>1551598701891266</v>
      </c>
      <c r="C2492" t="s">
        <v>40</v>
      </c>
      <c r="D2492">
        <v>4.1112299999999999</v>
      </c>
      <c r="E2492">
        <v>0.51692959999999999</v>
      </c>
      <c r="F2492" t="s">
        <v>46</v>
      </c>
      <c r="G2492">
        <v>0</v>
      </c>
      <c r="H2492">
        <v>0</v>
      </c>
      <c r="I2492">
        <v>0</v>
      </c>
      <c r="J2492">
        <v>-315.33449999999999</v>
      </c>
      <c r="K2492">
        <v>1.120889</v>
      </c>
      <c r="L2492">
        <v>283.62970000000001</v>
      </c>
      <c r="M2492">
        <v>-0.99983569999999999</v>
      </c>
      <c r="N2492">
        <v>-1.170355E-2</v>
      </c>
      <c r="O2492">
        <v>1.384408E-2</v>
      </c>
      <c r="P2492">
        <v>-0.99936899999999995</v>
      </c>
      <c r="Q2492">
        <v>-2.7813839999999999E-2</v>
      </c>
      <c r="R2492">
        <v>-2.2098199999999998E-2</v>
      </c>
      <c r="S2492">
        <v>-3.0059809999999998</v>
      </c>
      <c r="T2492">
        <v>9.7769620000000002E-2</v>
      </c>
      <c r="U2492">
        <v>6.674194E-2</v>
      </c>
      <c r="V2492">
        <v>-3.5936170000000003E-2</v>
      </c>
      <c r="W2492">
        <v>-1.6111759999999999E-2</v>
      </c>
      <c r="X2492">
        <v>0.99922420000000001</v>
      </c>
      <c r="Y2492">
        <v>8.3645360000000005E-3</v>
      </c>
      <c r="Z2492">
        <v>5.2502650000000001E-4</v>
      </c>
      <c r="AA2492">
        <v>0.99996490000000005</v>
      </c>
      <c r="AB2492">
        <v>35</v>
      </c>
      <c r="AC2492">
        <v>-3.0059809999999998</v>
      </c>
      <c r="AD2492">
        <v>9.7769620000000002E-2</v>
      </c>
      <c r="AE2492">
        <v>6.674194E-2</v>
      </c>
      <c r="AF2492">
        <v>2.5091122144947599E-2</v>
      </c>
      <c r="AG2492">
        <v>9.7769620000000002E-2</v>
      </c>
      <c r="AH2492">
        <v>3.0034412223495899</v>
      </c>
      <c r="AI2492">
        <v>88.135600634367606</v>
      </c>
      <c r="AJ2492">
        <v>89.521355054841905</v>
      </c>
      <c r="AK2492">
        <v>3.0051368752711198</v>
      </c>
      <c r="AL2492">
        <v>90.923175792949493</v>
      </c>
      <c r="AM2492">
        <v>92.059701768286502</v>
      </c>
      <c r="AN2492">
        <v>0.99999999949510299</v>
      </c>
    </row>
    <row r="2493" spans="1:40" x14ac:dyDescent="0.25">
      <c r="A2493" t="str">
        <f>"20190303153821920"</f>
        <v>20190303153821920</v>
      </c>
      <c r="B2493" t="str">
        <f>"1551598701910785"</f>
        <v>1551598701910785</v>
      </c>
      <c r="C2493" t="s">
        <v>40</v>
      </c>
      <c r="D2493">
        <v>4.0433250000000003</v>
      </c>
      <c r="E2493">
        <v>0.51686699999999997</v>
      </c>
      <c r="F2493" t="s">
        <v>46</v>
      </c>
      <c r="G2493">
        <v>0</v>
      </c>
      <c r="H2493">
        <v>0</v>
      </c>
      <c r="I2493">
        <v>0</v>
      </c>
      <c r="J2493">
        <v>-315.61430000000001</v>
      </c>
      <c r="K2493">
        <v>1.1209100000000001</v>
      </c>
      <c r="L2493">
        <v>283.6336</v>
      </c>
      <c r="M2493">
        <v>-0.99983129999999998</v>
      </c>
      <c r="N2493">
        <v>-1.2004799999999999E-2</v>
      </c>
      <c r="O2493">
        <v>1.3906719999999999E-2</v>
      </c>
      <c r="P2493">
        <v>-0.99936979999999997</v>
      </c>
      <c r="Q2493">
        <v>-2.7925249999999999E-2</v>
      </c>
      <c r="R2493">
        <v>-2.1920439999999999E-2</v>
      </c>
      <c r="S2493">
        <v>-3.0060120000000001</v>
      </c>
      <c r="T2493">
        <v>9.4923729999999998E-2</v>
      </c>
      <c r="U2493">
        <v>6.5399170000000006E-2</v>
      </c>
      <c r="V2493">
        <v>-3.5820980000000002E-2</v>
      </c>
      <c r="W2493">
        <v>-1.5922209999999999E-2</v>
      </c>
      <c r="X2493">
        <v>0.99923139999999999</v>
      </c>
      <c r="Y2493">
        <v>7.8552129999999998E-3</v>
      </c>
      <c r="Z2493">
        <v>5.2902859999999995E-4</v>
      </c>
      <c r="AA2493">
        <v>0.999969</v>
      </c>
      <c r="AB2493">
        <v>35</v>
      </c>
      <c r="AC2493">
        <v>-3.0060120000000001</v>
      </c>
      <c r="AD2493">
        <v>9.4923729999999998E-2</v>
      </c>
      <c r="AE2493">
        <v>6.5399170000000006E-2</v>
      </c>
      <c r="AF2493">
        <v>2.3562583189611699E-2</v>
      </c>
      <c r="AG2493">
        <v>9.4923729999999998E-2</v>
      </c>
      <c r="AH2493">
        <v>3.0036371081886299</v>
      </c>
      <c r="AI2493">
        <v>88.189943663005593</v>
      </c>
      <c r="AJ2493">
        <v>89.550541949557001</v>
      </c>
      <c r="AK2493">
        <v>3.0052290407773299</v>
      </c>
      <c r="AL2493">
        <v>90.912313961239093</v>
      </c>
      <c r="AM2493">
        <v>92.053090466913105</v>
      </c>
      <c r="AN2493">
        <v>1.0000000250626999</v>
      </c>
    </row>
    <row r="2494" spans="1:40" x14ac:dyDescent="0.25">
      <c r="A2494" t="str">
        <f>"20190303153821942"</f>
        <v>20190303153821942</v>
      </c>
      <c r="B2494" t="str">
        <f>"1551598701931281"</f>
        <v>1551598701931281</v>
      </c>
      <c r="C2494" t="s">
        <v>40</v>
      </c>
      <c r="D2494">
        <v>4.0512319999999997</v>
      </c>
      <c r="E2494">
        <v>0.51702539999999997</v>
      </c>
      <c r="F2494" t="s">
        <v>46</v>
      </c>
      <c r="G2494">
        <v>0</v>
      </c>
      <c r="H2494">
        <v>0</v>
      </c>
      <c r="I2494">
        <v>0</v>
      </c>
      <c r="J2494">
        <v>-315.96879999999999</v>
      </c>
      <c r="K2494">
        <v>1.1209309999999999</v>
      </c>
      <c r="L2494">
        <v>283.6386</v>
      </c>
      <c r="M2494">
        <v>-0.99982599999999999</v>
      </c>
      <c r="N2494">
        <v>-1.234963E-2</v>
      </c>
      <c r="O2494">
        <v>1.39858E-2</v>
      </c>
      <c r="P2494">
        <v>-0.99937299999999996</v>
      </c>
      <c r="Q2494">
        <v>-2.8023180000000002E-2</v>
      </c>
      <c r="R2494">
        <v>-2.164029E-2</v>
      </c>
      <c r="S2494">
        <v>-3.0059809999999998</v>
      </c>
      <c r="T2494">
        <v>9.4489809999999994E-2</v>
      </c>
      <c r="U2494">
        <v>6.5399170000000006E-2</v>
      </c>
      <c r="V2494">
        <v>-3.5620039999999999E-2</v>
      </c>
      <c r="W2494">
        <v>-1.5675620000000001E-2</v>
      </c>
      <c r="X2494">
        <v>0.99924250000000003</v>
      </c>
      <c r="Y2494">
        <v>7.7765819999999998E-3</v>
      </c>
      <c r="Z2494">
        <v>5.3795160000000004E-4</v>
      </c>
      <c r="AA2494">
        <v>0.99996960000000001</v>
      </c>
      <c r="AB2494">
        <v>35</v>
      </c>
      <c r="AC2494">
        <v>-3.0059809999999998</v>
      </c>
      <c r="AD2494">
        <v>9.4489809999999994E-2</v>
      </c>
      <c r="AE2494">
        <v>6.5399170000000006E-2</v>
      </c>
      <c r="AF2494">
        <v>2.3325483490772899E-2</v>
      </c>
      <c r="AG2494">
        <v>9.4489809999999994E-2</v>
      </c>
      <c r="AH2494">
        <v>3.00363521685642</v>
      </c>
      <c r="AI2494">
        <v>88.198210171585501</v>
      </c>
      <c r="AJ2494">
        <v>89.555064181280798</v>
      </c>
      <c r="AK2494">
        <v>3.0052116262110502</v>
      </c>
      <c r="AL2494">
        <v>90.898183615506397</v>
      </c>
      <c r="AM2494">
        <v>92.041560642962693</v>
      </c>
      <c r="AN2494">
        <v>1.0000000430591101</v>
      </c>
    </row>
    <row r="2495" spans="1:40" x14ac:dyDescent="0.25">
      <c r="A2495" t="str">
        <f>"20190303153821956"</f>
        <v>20190303153821956</v>
      </c>
      <c r="B2495" t="str">
        <f>"1551598701950801"</f>
        <v>1551598701950801</v>
      </c>
      <c r="C2495" t="s">
        <v>40</v>
      </c>
      <c r="D2495">
        <v>4.0856110000000001</v>
      </c>
      <c r="E2495">
        <v>0.51718940000000002</v>
      </c>
      <c r="F2495" t="s">
        <v>46</v>
      </c>
      <c r="G2495">
        <v>0</v>
      </c>
      <c r="H2495">
        <v>0</v>
      </c>
      <c r="I2495">
        <v>0</v>
      </c>
      <c r="J2495">
        <v>-316.19060000000002</v>
      </c>
      <c r="K2495">
        <v>1.120938</v>
      </c>
      <c r="L2495">
        <v>283.64179999999999</v>
      </c>
      <c r="M2495">
        <v>-0.99982300000000002</v>
      </c>
      <c r="N2495">
        <v>-1.2544680000000001E-2</v>
      </c>
      <c r="O2495">
        <v>1.403531E-2</v>
      </c>
      <c r="P2495">
        <v>-0.99935779999999996</v>
      </c>
      <c r="Q2495">
        <v>-2.855825E-2</v>
      </c>
      <c r="R2495">
        <v>-2.164978E-2</v>
      </c>
      <c r="S2495">
        <v>-3.0060419999999999</v>
      </c>
      <c r="T2495">
        <v>9.5908999999999994E-2</v>
      </c>
      <c r="U2495">
        <v>6.7749019999999993E-2</v>
      </c>
      <c r="V2495">
        <v>-3.5678939999999999E-2</v>
      </c>
      <c r="W2495">
        <v>-1.6015979999999999E-2</v>
      </c>
      <c r="X2495">
        <v>0.99923499999999998</v>
      </c>
      <c r="Y2495">
        <v>8.5080580000000006E-3</v>
      </c>
      <c r="Z2495">
        <v>5.4131220000000002E-4</v>
      </c>
      <c r="AA2495">
        <v>0.99996359999999995</v>
      </c>
      <c r="AB2495">
        <v>35</v>
      </c>
      <c r="AC2495">
        <v>-3.0060419999999999</v>
      </c>
      <c r="AD2495">
        <v>9.5908999999999994E-2</v>
      </c>
      <c r="AE2495">
        <v>6.7749019999999993E-2</v>
      </c>
      <c r="AF2495">
        <v>2.55223350273629E-2</v>
      </c>
      <c r="AG2495">
        <v>9.5908999999999994E-2</v>
      </c>
      <c r="AH2495">
        <v>3.0036407927909301</v>
      </c>
      <c r="AI2495">
        <v>88.171180686083403</v>
      </c>
      <c r="AJ2495">
        <v>89.513161862901498</v>
      </c>
      <c r="AK2495">
        <v>3.00528000991322</v>
      </c>
      <c r="AL2495">
        <v>90.917687256163504</v>
      </c>
      <c r="AM2495">
        <v>92.044948965193598</v>
      </c>
      <c r="AN2495">
        <v>1.00000004179994</v>
      </c>
    </row>
    <row r="2496" spans="1:40" x14ac:dyDescent="0.25">
      <c r="A2496" t="str">
        <f>"20190303153821975"</f>
        <v>20190303153821975</v>
      </c>
      <c r="B2496" t="str">
        <f>"1551598701971298"</f>
        <v>1551598701971298</v>
      </c>
      <c r="C2496" t="s">
        <v>40</v>
      </c>
      <c r="D2496">
        <v>4.0294970000000001</v>
      </c>
      <c r="E2496">
        <v>0.51741029999999999</v>
      </c>
      <c r="F2496" t="s">
        <v>46</v>
      </c>
      <c r="G2496">
        <v>0</v>
      </c>
      <c r="H2496">
        <v>0</v>
      </c>
      <c r="I2496">
        <v>0</v>
      </c>
      <c r="J2496">
        <v>-316.47919999999999</v>
      </c>
      <c r="K2496">
        <v>1.1209420000000001</v>
      </c>
      <c r="L2496">
        <v>283.64589999999998</v>
      </c>
      <c r="M2496">
        <v>-0.99981889999999995</v>
      </c>
      <c r="N2496">
        <v>-1.277651E-2</v>
      </c>
      <c r="O2496">
        <v>1.410029E-2</v>
      </c>
      <c r="P2496">
        <v>-0.99935510000000005</v>
      </c>
      <c r="Q2496">
        <v>-2.8661300000000001E-2</v>
      </c>
      <c r="R2496">
        <v>-2.1633969999999999E-2</v>
      </c>
      <c r="S2496">
        <v>-3.0061650000000002</v>
      </c>
      <c r="T2496">
        <v>9.5800040000000003E-2</v>
      </c>
      <c r="U2496">
        <v>6.8908689999999995E-2</v>
      </c>
      <c r="V2496">
        <v>-3.572761E-2</v>
      </c>
      <c r="W2496">
        <v>-1.5887479999999999E-2</v>
      </c>
      <c r="X2496">
        <v>0.99923530000000005</v>
      </c>
      <c r="Y2496">
        <v>8.8277900000000003E-3</v>
      </c>
      <c r="Z2496">
        <v>5.4503289999999996E-4</v>
      </c>
      <c r="AA2496">
        <v>0.99996090000000004</v>
      </c>
      <c r="AB2496">
        <v>35</v>
      </c>
      <c r="AC2496">
        <v>-3.0061650000000002</v>
      </c>
      <c r="AD2496">
        <v>9.5800040000000003E-2</v>
      </c>
      <c r="AE2496">
        <v>6.8908689999999995E-2</v>
      </c>
      <c r="AF2496">
        <v>2.64836960074257E-2</v>
      </c>
      <c r="AG2496">
        <v>9.5800040000000003E-2</v>
      </c>
      <c r="AH2496">
        <v>3.003788881098</v>
      </c>
      <c r="AI2496">
        <v>88.173352005901407</v>
      </c>
      <c r="AJ2496">
        <v>89.494849754625704</v>
      </c>
      <c r="AK2496">
        <v>3.0054328600097202</v>
      </c>
      <c r="AL2496">
        <v>90.910323823138697</v>
      </c>
      <c r="AM2496">
        <v>92.047735513111306</v>
      </c>
      <c r="AN2496">
        <v>1.0000000294515701</v>
      </c>
    </row>
    <row r="2497" spans="1:40" x14ac:dyDescent="0.25">
      <c r="A2497" t="str">
        <f>"20190303153821988"</f>
        <v>20190303153821988</v>
      </c>
      <c r="B2497" t="str">
        <f>"1551598701981058"</f>
        <v>1551598701981058</v>
      </c>
      <c r="C2497" t="s">
        <v>40</v>
      </c>
      <c r="D2497">
        <v>4.0971299999999999</v>
      </c>
      <c r="E2497">
        <v>0.51747010000000004</v>
      </c>
      <c r="F2497" t="s">
        <v>46</v>
      </c>
      <c r="G2497">
        <v>0</v>
      </c>
      <c r="H2497">
        <v>0</v>
      </c>
      <c r="I2497">
        <v>0</v>
      </c>
      <c r="J2497">
        <v>-316.70159999999998</v>
      </c>
      <c r="K2497">
        <v>1.120943</v>
      </c>
      <c r="L2497">
        <v>283.64909999999998</v>
      </c>
      <c r="M2497">
        <v>-0.99981609999999999</v>
      </c>
      <c r="N2497">
        <v>-1.2941050000000001E-2</v>
      </c>
      <c r="O2497">
        <v>1.415012E-2</v>
      </c>
      <c r="P2497">
        <v>-0.99935879999999999</v>
      </c>
      <c r="Q2497">
        <v>-2.8559640000000001E-2</v>
      </c>
      <c r="R2497">
        <v>-2.1590189999999999E-2</v>
      </c>
      <c r="S2497">
        <v>-3.0062259999999998</v>
      </c>
      <c r="T2497">
        <v>9.6005679999999996E-2</v>
      </c>
      <c r="U2497">
        <v>7.08313E-2</v>
      </c>
      <c r="V2497">
        <v>-3.573395E-2</v>
      </c>
      <c r="W2497">
        <v>-1.562145E-2</v>
      </c>
      <c r="X2497">
        <v>0.99923930000000005</v>
      </c>
      <c r="Y2497">
        <v>9.4166489999999992E-3</v>
      </c>
      <c r="Z2497">
        <v>5.4537809999999896E-4</v>
      </c>
      <c r="AA2497">
        <v>0.9999555</v>
      </c>
      <c r="AB2497">
        <v>35</v>
      </c>
      <c r="AC2497">
        <v>-3.0062259999999998</v>
      </c>
      <c r="AD2497">
        <v>9.6005679999999996E-2</v>
      </c>
      <c r="AE2497">
        <v>7.08313E-2</v>
      </c>
      <c r="AF2497">
        <v>2.8253385602178702E-2</v>
      </c>
      <c r="AG2497">
        <v>9.6005679999999996E-2</v>
      </c>
      <c r="AH2497">
        <v>3.00386543445717</v>
      </c>
      <c r="AI2497">
        <v>88.169490106113898</v>
      </c>
      <c r="AJ2497">
        <v>89.461110341602605</v>
      </c>
      <c r="AK2497">
        <v>3.0055320481932699</v>
      </c>
      <c r="AL2497">
        <v>90.895079506428004</v>
      </c>
      <c r="AM2497">
        <v>92.048090390462704</v>
      </c>
      <c r="AN2497">
        <v>1.00000006177359</v>
      </c>
    </row>
    <row r="2498" spans="1:40" x14ac:dyDescent="0.25">
      <c r="A2498" t="str">
        <f>"20190303153822002"</f>
        <v>20190303153822002</v>
      </c>
      <c r="B2498" t="str">
        <f>"1551598701990817"</f>
        <v>1551598701990817</v>
      </c>
      <c r="C2498" t="s">
        <v>40</v>
      </c>
      <c r="D2498">
        <v>4.0832629999999996</v>
      </c>
      <c r="E2498">
        <v>0.51752469999999995</v>
      </c>
      <c r="F2498" t="s">
        <v>46</v>
      </c>
      <c r="G2498">
        <v>0</v>
      </c>
      <c r="H2498">
        <v>0</v>
      </c>
      <c r="I2498">
        <v>0</v>
      </c>
      <c r="J2498">
        <v>-316.89940000000001</v>
      </c>
      <c r="K2498">
        <v>1.1209450000000001</v>
      </c>
      <c r="L2498">
        <v>283.65199999999999</v>
      </c>
      <c r="M2498">
        <v>-0.99981390000000003</v>
      </c>
      <c r="N2498">
        <v>-1.307121E-2</v>
      </c>
      <c r="O2498">
        <v>1.4193610000000001E-2</v>
      </c>
      <c r="P2498">
        <v>-0.99935010000000002</v>
      </c>
      <c r="Q2498">
        <v>-2.872618E-2</v>
      </c>
      <c r="R2498">
        <v>-2.177958E-2</v>
      </c>
      <c r="S2498">
        <v>-3.0062259999999998</v>
      </c>
      <c r="T2498">
        <v>9.6642370000000005E-2</v>
      </c>
      <c r="U2498">
        <v>7.1685789999999999E-2</v>
      </c>
      <c r="V2498">
        <v>-3.5966449999999997E-2</v>
      </c>
      <c r="W2498">
        <v>-1.565807E-2</v>
      </c>
      <c r="X2498">
        <v>0.99923030000000002</v>
      </c>
      <c r="Y2498">
        <v>9.6573579999999996E-3</v>
      </c>
      <c r="Z2498">
        <v>5.4949920000000002E-4</v>
      </c>
      <c r="AA2498">
        <v>0.99995319999999999</v>
      </c>
      <c r="AB2498">
        <v>35</v>
      </c>
      <c r="AC2498">
        <v>-3.0062259999999998</v>
      </c>
      <c r="AD2498">
        <v>9.6642370000000005E-2</v>
      </c>
      <c r="AE2498">
        <v>7.1685789999999999E-2</v>
      </c>
      <c r="AF2498">
        <v>2.8975797514557599E-2</v>
      </c>
      <c r="AG2498">
        <v>9.6642370000000005E-2</v>
      </c>
      <c r="AH2498">
        <v>3.0038381154370102</v>
      </c>
      <c r="AI2498">
        <v>88.157346353638204</v>
      </c>
      <c r="AJ2498">
        <v>89.447327269002102</v>
      </c>
      <c r="AK2498">
        <v>3.0055320274908</v>
      </c>
      <c r="AL2498">
        <v>90.897178010857999</v>
      </c>
      <c r="AM2498">
        <v>92.061423213201095</v>
      </c>
      <c r="AN2498">
        <v>0.99999997655990802</v>
      </c>
    </row>
    <row r="2499" spans="1:40" x14ac:dyDescent="0.25">
      <c r="A2499" t="str">
        <f>"20190303153822015"</f>
        <v>20190303153822015</v>
      </c>
      <c r="B2499" t="str">
        <f>"1551598702011314"</f>
        <v>1551598702011314</v>
      </c>
      <c r="C2499" t="s">
        <v>40</v>
      </c>
      <c r="D2499">
        <v>4.0728669999999996</v>
      </c>
      <c r="E2499">
        <v>0.51764359999999998</v>
      </c>
      <c r="F2499" t="s">
        <v>46</v>
      </c>
      <c r="G2499">
        <v>0</v>
      </c>
      <c r="H2499">
        <v>0</v>
      </c>
      <c r="I2499">
        <v>0</v>
      </c>
      <c r="J2499">
        <v>-317.09620000000001</v>
      </c>
      <c r="K2499">
        <v>1.1209480000000001</v>
      </c>
      <c r="L2499">
        <v>283.65480000000002</v>
      </c>
      <c r="M2499">
        <v>-0.99981169999999997</v>
      </c>
      <c r="N2499">
        <v>-1.319447E-2</v>
      </c>
      <c r="O2499">
        <v>1.423582E-2</v>
      </c>
      <c r="P2499">
        <v>-0.99934579999999995</v>
      </c>
      <c r="Q2499">
        <v>-2.881995E-2</v>
      </c>
      <c r="R2499">
        <v>-2.1852219999999999E-2</v>
      </c>
      <c r="S2499">
        <v>-3.006256</v>
      </c>
      <c r="T2499">
        <v>9.6614720000000001E-2</v>
      </c>
      <c r="U2499">
        <v>7.1380620000000006E-2</v>
      </c>
      <c r="V2499">
        <v>-3.6081769999999999E-2</v>
      </c>
      <c r="W2499">
        <v>-1.5628840000000001E-2</v>
      </c>
      <c r="X2499">
        <v>0.99922659999999996</v>
      </c>
      <c r="Y2499">
        <v>9.5136079999999998E-3</v>
      </c>
      <c r="Z2499">
        <v>5.5502760000000003E-4</v>
      </c>
      <c r="AA2499">
        <v>0.99995460000000003</v>
      </c>
      <c r="AB2499">
        <v>35</v>
      </c>
      <c r="AC2499">
        <v>-3.006256</v>
      </c>
      <c r="AD2499">
        <v>9.6614720000000001E-2</v>
      </c>
      <c r="AE2499">
        <v>7.1380620000000006E-2</v>
      </c>
      <c r="AF2499">
        <v>2.8543679814223299E-2</v>
      </c>
      <c r="AG2499">
        <v>9.6614720000000001E-2</v>
      </c>
      <c r="AH2499">
        <v>3.0038667825760701</v>
      </c>
      <c r="AI2499">
        <v>88.157888216631903</v>
      </c>
      <c r="AJ2499">
        <v>89.455574004123207</v>
      </c>
      <c r="AK2499">
        <v>3.00555565465721</v>
      </c>
      <c r="AL2499">
        <v>90.895503050317004</v>
      </c>
      <c r="AM2499">
        <v>92.068034719782503</v>
      </c>
      <c r="AN2499">
        <v>0.99999997645681904</v>
      </c>
    </row>
    <row r="2500" spans="1:40" x14ac:dyDescent="0.25">
      <c r="A2500" t="str">
        <f>"20190303153822031"</f>
        <v>20190303153822031</v>
      </c>
      <c r="B2500" t="str">
        <f>"1551598702021073"</f>
        <v>1551598702021073</v>
      </c>
      <c r="C2500" t="s">
        <v>40</v>
      </c>
      <c r="D2500">
        <v>4.0460419999999999</v>
      </c>
      <c r="E2500">
        <v>0.51772339999999994</v>
      </c>
      <c r="F2500" t="s">
        <v>46</v>
      </c>
      <c r="G2500">
        <v>0</v>
      </c>
      <c r="H2500">
        <v>0</v>
      </c>
      <c r="I2500">
        <v>0</v>
      </c>
      <c r="J2500">
        <v>-317.35919999999999</v>
      </c>
      <c r="K2500">
        <v>1.1209530000000001</v>
      </c>
      <c r="L2500">
        <v>283.65859999999998</v>
      </c>
      <c r="M2500">
        <v>-0.99980899999999995</v>
      </c>
      <c r="N2500">
        <v>-1.334524E-2</v>
      </c>
      <c r="O2500">
        <v>1.42893E-2</v>
      </c>
      <c r="P2500">
        <v>-0.99933249999999996</v>
      </c>
      <c r="Q2500">
        <v>-2.9333089999999999E-2</v>
      </c>
      <c r="R2500">
        <v>-2.1776500000000001E-2</v>
      </c>
      <c r="S2500">
        <v>-3.006348</v>
      </c>
      <c r="T2500">
        <v>9.7041849999999999E-2</v>
      </c>
      <c r="U2500">
        <v>7.2235110000000005E-2</v>
      </c>
      <c r="V2500">
        <v>-3.6059170000000001E-2</v>
      </c>
      <c r="W2500">
        <v>-1.5991729999999999E-2</v>
      </c>
      <c r="X2500">
        <v>0.99922169999999999</v>
      </c>
      <c r="Y2500">
        <v>9.7435799999999999E-3</v>
      </c>
      <c r="Z2500">
        <v>5.5948849999999997E-4</v>
      </c>
      <c r="AA2500">
        <v>0.99995239999999996</v>
      </c>
      <c r="AB2500">
        <v>35</v>
      </c>
      <c r="AC2500">
        <v>-3.006348</v>
      </c>
      <c r="AD2500">
        <v>9.7041849999999999E-2</v>
      </c>
      <c r="AE2500">
        <v>7.2235110000000005E-2</v>
      </c>
      <c r="AF2500">
        <v>2.9234862936190899E-2</v>
      </c>
      <c r="AG2500">
        <v>9.7041849999999999E-2</v>
      </c>
      <c r="AH2500">
        <v>3.0039451839114202</v>
      </c>
      <c r="AI2500">
        <v>88.149802302286304</v>
      </c>
      <c r="AJ2500">
        <v>89.442406143321506</v>
      </c>
      <c r="AK2500">
        <v>3.0056544155652598</v>
      </c>
      <c r="AL2500">
        <v>90.916297691652403</v>
      </c>
      <c r="AM2500">
        <v>92.066750645518397</v>
      </c>
      <c r="AN2500">
        <v>1.0000000024601801</v>
      </c>
    </row>
    <row r="2501" spans="1:40" x14ac:dyDescent="0.25">
      <c r="A2501" t="str">
        <f>"20190303153822045"</f>
        <v>20190303153822045</v>
      </c>
      <c r="B2501" t="str">
        <f>"1551598702041570"</f>
        <v>1551598702041570</v>
      </c>
      <c r="C2501" t="s">
        <v>40</v>
      </c>
      <c r="D2501">
        <v>4.0731359999999999</v>
      </c>
      <c r="E2501">
        <v>0.51787030000000001</v>
      </c>
      <c r="F2501" t="s">
        <v>46</v>
      </c>
      <c r="G2501">
        <v>0</v>
      </c>
      <c r="H2501">
        <v>0</v>
      </c>
      <c r="I2501">
        <v>0</v>
      </c>
      <c r="J2501">
        <v>-317.57549999999998</v>
      </c>
      <c r="K2501">
        <v>1.12096</v>
      </c>
      <c r="L2501">
        <v>283.6617</v>
      </c>
      <c r="M2501">
        <v>-0.9998068</v>
      </c>
      <c r="N2501">
        <v>-1.3456310000000001E-2</v>
      </c>
      <c r="O2501">
        <v>1.432867E-2</v>
      </c>
      <c r="P2501">
        <v>-0.9993263</v>
      </c>
      <c r="Q2501">
        <v>-2.9502899999999999E-2</v>
      </c>
      <c r="R2501">
        <v>-2.1823599999999999E-2</v>
      </c>
      <c r="S2501">
        <v>-3.0063780000000002</v>
      </c>
      <c r="T2501">
        <v>9.5821859999999995E-2</v>
      </c>
      <c r="U2501">
        <v>7.3272710000000005E-2</v>
      </c>
      <c r="V2501">
        <v>-3.6145379999999998E-2</v>
      </c>
      <c r="W2501">
        <v>-1.6050979999999999E-2</v>
      </c>
      <c r="X2501">
        <v>0.99921760000000004</v>
      </c>
      <c r="Y2501">
        <v>1.0048730000000001E-2</v>
      </c>
      <c r="Z2501">
        <v>5.5677089999999895E-4</v>
      </c>
      <c r="AA2501">
        <v>0.99994930000000004</v>
      </c>
      <c r="AB2501">
        <v>35</v>
      </c>
      <c r="AC2501">
        <v>-3.0063780000000002</v>
      </c>
      <c r="AD2501">
        <v>9.5821859999999995E-2</v>
      </c>
      <c r="AE2501">
        <v>7.3272710000000005E-2</v>
      </c>
      <c r="AF2501">
        <v>3.0153274108094201E-2</v>
      </c>
      <c r="AG2501">
        <v>9.5821859999999995E-2</v>
      </c>
      <c r="AH2501">
        <v>3.0040693433622998</v>
      </c>
      <c r="AI2501">
        <v>88.173127707188499</v>
      </c>
      <c r="AJ2501">
        <v>89.424914297913602</v>
      </c>
      <c r="AK2501">
        <v>3.00574843733179</v>
      </c>
      <c r="AL2501">
        <v>90.919692934693899</v>
      </c>
      <c r="AM2501">
        <v>92.071696010593399</v>
      </c>
      <c r="AN2501">
        <v>0.999999967302031</v>
      </c>
    </row>
    <row r="2502" spans="1:40" x14ac:dyDescent="0.25">
      <c r="A2502" t="str">
        <f>"20190303153822058"</f>
        <v>20190303153822058</v>
      </c>
      <c r="B2502" t="str">
        <f>"1551598702051330"</f>
        <v>1551598702051330</v>
      </c>
      <c r="C2502" t="s">
        <v>40</v>
      </c>
      <c r="D2502">
        <v>4.054926</v>
      </c>
      <c r="E2502">
        <v>0.51794609999999996</v>
      </c>
      <c r="F2502" t="s">
        <v>46</v>
      </c>
      <c r="G2502">
        <v>0</v>
      </c>
      <c r="H2502">
        <v>0</v>
      </c>
      <c r="I2502">
        <v>0</v>
      </c>
      <c r="J2502">
        <v>-317.7654</v>
      </c>
      <c r="K2502">
        <v>1.1209690000000001</v>
      </c>
      <c r="L2502">
        <v>283.66449999999998</v>
      </c>
      <c r="M2502">
        <v>-0.99980530000000001</v>
      </c>
      <c r="N2502">
        <v>-1.3545979999999999E-2</v>
      </c>
      <c r="O2502">
        <v>1.435928E-2</v>
      </c>
      <c r="P2502">
        <v>-0.99932270000000001</v>
      </c>
      <c r="Q2502">
        <v>-2.9938240000000001E-2</v>
      </c>
      <c r="R2502">
        <v>-2.1402270000000001E-2</v>
      </c>
      <c r="S2502">
        <v>-3.0064700000000002</v>
      </c>
      <c r="T2502">
        <v>9.5992450000000007E-2</v>
      </c>
      <c r="U2502">
        <v>7.4310299999999996E-2</v>
      </c>
      <c r="V2502">
        <v>-3.5754469999999997E-2</v>
      </c>
      <c r="W2502">
        <v>-1.6397149999999999E-2</v>
      </c>
      <c r="X2502">
        <v>0.99922610000000001</v>
      </c>
      <c r="Y2502">
        <v>1.036229E-2</v>
      </c>
      <c r="Z2502">
        <v>5.5753430000000004E-4</v>
      </c>
      <c r="AA2502">
        <v>0.99994620000000001</v>
      </c>
      <c r="AB2502">
        <v>35</v>
      </c>
      <c r="AC2502">
        <v>-3.0064700000000002</v>
      </c>
      <c r="AD2502">
        <v>9.5992450000000007E-2</v>
      </c>
      <c r="AE2502">
        <v>7.4310299999999996E-2</v>
      </c>
      <c r="AF2502">
        <v>3.1096256954145599E-2</v>
      </c>
      <c r="AG2502">
        <v>9.5992450000000007E-2</v>
      </c>
      <c r="AH2502">
        <v>3.0041664283161702</v>
      </c>
      <c r="AI2502">
        <v>88.169942516598894</v>
      </c>
      <c r="AJ2502">
        <v>89.406950082024196</v>
      </c>
      <c r="AK2502">
        <v>3.00586051849973</v>
      </c>
      <c r="AL2502">
        <v>90.939529573243206</v>
      </c>
      <c r="AM2502">
        <v>92.049292539421998</v>
      </c>
      <c r="AN2502">
        <v>1.00000002378715</v>
      </c>
    </row>
    <row r="2503" spans="1:40" x14ac:dyDescent="0.25">
      <c r="A2503" t="str">
        <f>"20190303153822069"</f>
        <v>20190303153822069</v>
      </c>
      <c r="B2503" t="str">
        <f>"1551598702061090"</f>
        <v>1551598702061090</v>
      </c>
      <c r="C2503" t="s">
        <v>40</v>
      </c>
      <c r="D2503">
        <v>4.0421820000000004</v>
      </c>
      <c r="E2503">
        <v>0.51800649999999904</v>
      </c>
      <c r="F2503" t="s">
        <v>46</v>
      </c>
      <c r="G2503">
        <v>0</v>
      </c>
      <c r="H2503">
        <v>0</v>
      </c>
      <c r="I2503">
        <v>0</v>
      </c>
      <c r="J2503">
        <v>-317.96170000000001</v>
      </c>
      <c r="K2503">
        <v>1.120976</v>
      </c>
      <c r="L2503">
        <v>283.66739999999999</v>
      </c>
      <c r="M2503">
        <v>-0.99980349999999996</v>
      </c>
      <c r="N2503">
        <v>-1.363397E-2</v>
      </c>
      <c r="O2503">
        <v>1.438875E-2</v>
      </c>
      <c r="P2503">
        <v>-0.99932339999999997</v>
      </c>
      <c r="Q2503">
        <v>-3.0117910000000001E-2</v>
      </c>
      <c r="R2503">
        <v>-2.1114109999999998E-2</v>
      </c>
      <c r="S2503">
        <v>-3.0065</v>
      </c>
      <c r="T2503">
        <v>9.4811679999999995E-2</v>
      </c>
      <c r="U2503">
        <v>7.6171879999999997E-2</v>
      </c>
      <c r="V2503">
        <v>-3.5495220000000001E-2</v>
      </c>
      <c r="W2503">
        <v>-1.648933E-2</v>
      </c>
      <c r="X2503">
        <v>0.99923379999999995</v>
      </c>
      <c r="Y2503">
        <v>1.095109E-2</v>
      </c>
      <c r="Z2503">
        <v>5.5171279999999896E-4</v>
      </c>
      <c r="AA2503">
        <v>0.99993989999999999</v>
      </c>
      <c r="AB2503">
        <v>35</v>
      </c>
      <c r="AC2503">
        <v>-3.0065</v>
      </c>
      <c r="AD2503">
        <v>9.4811679999999995E-2</v>
      </c>
      <c r="AE2503">
        <v>7.6171879999999997E-2</v>
      </c>
      <c r="AF2503">
        <v>3.28675284571701E-2</v>
      </c>
      <c r="AG2503">
        <v>9.4811679999999995E-2</v>
      </c>
      <c r="AH2503">
        <v>3.0042989844711498</v>
      </c>
      <c r="AI2503">
        <v>88.192529423449599</v>
      </c>
      <c r="AJ2503">
        <v>89.373199688759101</v>
      </c>
      <c r="AK2503">
        <v>3.0059743706801099</v>
      </c>
      <c r="AL2503">
        <v>90.944811836733095</v>
      </c>
      <c r="AM2503">
        <v>92.034430311644698</v>
      </c>
      <c r="AN2503">
        <v>0.99999999785456795</v>
      </c>
    </row>
    <row r="2504" spans="1:40" x14ac:dyDescent="0.25">
      <c r="A2504" t="str">
        <f>"20190303153822080"</f>
        <v>20190303153822080</v>
      </c>
      <c r="B2504" t="str">
        <f>"1551598702070850"</f>
        <v>1551598702070850</v>
      </c>
      <c r="C2504" t="s">
        <v>40</v>
      </c>
      <c r="D2504">
        <v>4.052937</v>
      </c>
      <c r="E2504">
        <v>0.51809589999999905</v>
      </c>
      <c r="F2504" t="s">
        <v>46</v>
      </c>
      <c r="G2504">
        <v>0</v>
      </c>
      <c r="H2504">
        <v>0</v>
      </c>
      <c r="I2504">
        <v>0</v>
      </c>
      <c r="J2504">
        <v>-318.1413</v>
      </c>
      <c r="K2504">
        <v>1.1209849999999999</v>
      </c>
      <c r="L2504">
        <v>283.67</v>
      </c>
      <c r="M2504">
        <v>-0.99980230000000003</v>
      </c>
      <c r="N2504">
        <v>-1.3705129999999999E-2</v>
      </c>
      <c r="O2504">
        <v>1.44092E-2</v>
      </c>
      <c r="P2504">
        <v>-0.99933369999999999</v>
      </c>
      <c r="Q2504">
        <v>-3.021751E-2</v>
      </c>
      <c r="R2504">
        <v>-2.0473459999999999E-2</v>
      </c>
      <c r="S2504">
        <v>-3.0065309999999998</v>
      </c>
      <c r="T2504">
        <v>9.4381450000000006E-2</v>
      </c>
      <c r="U2504">
        <v>7.7667239999999999E-2</v>
      </c>
      <c r="V2504">
        <v>-3.487531E-2</v>
      </c>
      <c r="W2504">
        <v>-1.6518209999999998E-2</v>
      </c>
      <c r="X2504">
        <v>0.99925520000000001</v>
      </c>
      <c r="Y2504">
        <v>1.142727E-2</v>
      </c>
      <c r="Z2504">
        <v>5.4856129999999905E-4</v>
      </c>
      <c r="AA2504">
        <v>0.99993460000000001</v>
      </c>
      <c r="AB2504">
        <v>35</v>
      </c>
      <c r="AC2504">
        <v>-3.0065309999999998</v>
      </c>
      <c r="AD2504">
        <v>9.4381450000000006E-2</v>
      </c>
      <c r="AE2504">
        <v>7.7667239999999999E-2</v>
      </c>
      <c r="AF2504">
        <v>3.4299623066310798E-2</v>
      </c>
      <c r="AG2504">
        <v>9.4381450000000006E-2</v>
      </c>
      <c r="AH2504">
        <v>3.00437929644254</v>
      </c>
      <c r="AI2504">
        <v>88.200783476670196</v>
      </c>
      <c r="AJ2504">
        <v>89.345908731012898</v>
      </c>
      <c r="AK2504">
        <v>3.00605709844959</v>
      </c>
      <c r="AL2504">
        <v>90.946466718087095</v>
      </c>
      <c r="AM2504">
        <v>91.998886095247897</v>
      </c>
      <c r="AN2504">
        <v>1.00000004661811</v>
      </c>
    </row>
    <row r="2505" spans="1:40" x14ac:dyDescent="0.25">
      <c r="A2505" t="str">
        <f>"20190303153822099"</f>
        <v>20190303153822099</v>
      </c>
      <c r="B2505" t="str">
        <f>"1551598702091345"</f>
        <v>1551598702091345</v>
      </c>
      <c r="C2505" t="s">
        <v>40</v>
      </c>
      <c r="D2505">
        <v>4.1053699999999997</v>
      </c>
      <c r="E2505">
        <v>0.51807029999999998</v>
      </c>
      <c r="F2505" t="s">
        <v>46</v>
      </c>
      <c r="G2505">
        <v>0</v>
      </c>
      <c r="H2505">
        <v>0</v>
      </c>
      <c r="I2505">
        <v>0</v>
      </c>
      <c r="J2505">
        <v>-318.40679999999998</v>
      </c>
      <c r="K2505">
        <v>1.1210009999999999</v>
      </c>
      <c r="L2505">
        <v>283.67380000000003</v>
      </c>
      <c r="M2505">
        <v>-0.99980060000000004</v>
      </c>
      <c r="N2505">
        <v>-1.3803299999999999E-2</v>
      </c>
      <c r="O2505">
        <v>1.4434819999999999E-2</v>
      </c>
      <c r="P2505">
        <v>-0.99938210000000005</v>
      </c>
      <c r="Q2505">
        <v>-2.9236720000000001E-2</v>
      </c>
      <c r="R2505">
        <v>-1.9515250000000001E-2</v>
      </c>
      <c r="S2505">
        <v>-3.0065</v>
      </c>
      <c r="T2505">
        <v>9.4056730000000005E-2</v>
      </c>
      <c r="U2505">
        <v>8.0230709999999997E-2</v>
      </c>
      <c r="V2505">
        <v>-3.3942439999999997E-2</v>
      </c>
      <c r="W2505">
        <v>-1.543953E-2</v>
      </c>
      <c r="X2505">
        <v>0.99930450000000004</v>
      </c>
      <c r="Y2505">
        <v>1.2253729999999999E-2</v>
      </c>
      <c r="Z2505">
        <v>5.4353500000000005E-4</v>
      </c>
      <c r="AA2505">
        <v>0.99992479999999995</v>
      </c>
      <c r="AB2505">
        <v>35</v>
      </c>
      <c r="AC2505">
        <v>-3.0065</v>
      </c>
      <c r="AD2505">
        <v>9.4056730000000005E-2</v>
      </c>
      <c r="AE2505">
        <v>8.0230709999999997E-2</v>
      </c>
      <c r="AF2505">
        <v>3.6783955540679897E-2</v>
      </c>
      <c r="AG2505">
        <v>9.4056730000000005E-2</v>
      </c>
      <c r="AH2505">
        <v>3.0044065542799698</v>
      </c>
      <c r="AI2505">
        <v>88.207003425445507</v>
      </c>
      <c r="AJ2505">
        <v>89.298543632433606</v>
      </c>
      <c r="AK2505">
        <v>3.0061035363480002</v>
      </c>
      <c r="AL2505">
        <v>90.884655077466206</v>
      </c>
      <c r="AM2505">
        <v>91.945364191364504</v>
      </c>
      <c r="AN2505">
        <v>0.999999976020012</v>
      </c>
    </row>
    <row r="2506" spans="1:40" x14ac:dyDescent="0.25">
      <c r="A2506" t="str">
        <f>"20190303153822113"</f>
        <v>20190303153822113</v>
      </c>
      <c r="B2506" t="str">
        <f>"1551598702110865"</f>
        <v>1551598702110865</v>
      </c>
      <c r="C2506" t="s">
        <v>40</v>
      </c>
      <c r="D2506">
        <v>4.0798690000000004</v>
      </c>
      <c r="E2506">
        <v>0.49514029999999998</v>
      </c>
      <c r="F2506" t="s">
        <v>46</v>
      </c>
      <c r="G2506">
        <v>0</v>
      </c>
      <c r="H2506">
        <v>0</v>
      </c>
      <c r="I2506">
        <v>0</v>
      </c>
      <c r="J2506">
        <v>-318.62959999999998</v>
      </c>
      <c r="K2506">
        <v>1.1210199999999999</v>
      </c>
      <c r="L2506">
        <v>283.6771</v>
      </c>
      <c r="M2506">
        <v>-0.9997994</v>
      </c>
      <c r="N2506">
        <v>-1.387822E-2</v>
      </c>
      <c r="O2506">
        <v>1.445109E-2</v>
      </c>
      <c r="P2506">
        <v>-0.99940090000000004</v>
      </c>
      <c r="Q2506">
        <v>-2.903509E-2</v>
      </c>
      <c r="R2506">
        <v>-1.884272E-2</v>
      </c>
      <c r="S2506">
        <v>-3.0063170000000001</v>
      </c>
      <c r="T2506">
        <v>9.7058889999999995E-2</v>
      </c>
      <c r="U2506">
        <v>8.2977289999999995E-2</v>
      </c>
      <c r="V2506">
        <v>-3.3286429999999999E-2</v>
      </c>
      <c r="W2506">
        <v>-1.516341E-2</v>
      </c>
      <c r="X2506">
        <v>0.99933079999999996</v>
      </c>
      <c r="Y2506">
        <v>1.315209E-2</v>
      </c>
      <c r="Z2506">
        <v>5.4586239999999996E-4</v>
      </c>
      <c r="AA2506">
        <v>0.9999133</v>
      </c>
      <c r="AB2506">
        <v>35</v>
      </c>
      <c r="AC2506">
        <v>-3.0063170000000001</v>
      </c>
      <c r="AD2506">
        <v>9.7058889999999995E-2</v>
      </c>
      <c r="AE2506">
        <v>8.2977289999999995E-2</v>
      </c>
      <c r="AF2506">
        <v>3.9478769560055797E-2</v>
      </c>
      <c r="AG2506">
        <v>9.7058889999999995E-2</v>
      </c>
      <c r="AH2506">
        <v>3.00407341782774</v>
      </c>
      <c r="AI2506">
        <v>88.149628679047495</v>
      </c>
      <c r="AJ2506">
        <v>89.247076766432997</v>
      </c>
      <c r="AK2506">
        <v>3.0059002147565099</v>
      </c>
      <c r="AL2506">
        <v>90.868832709132604</v>
      </c>
      <c r="AM2506">
        <v>91.907743768108801</v>
      </c>
      <c r="AN2506">
        <v>0.99999998162680603</v>
      </c>
    </row>
    <row r="2507" spans="1:40" x14ac:dyDescent="0.25">
      <c r="A2507" t="str">
        <f>"20190303153822132"</f>
        <v>20190303153822132</v>
      </c>
      <c r="B2507" t="str">
        <f>"1551598702121601"</f>
        <v>1551598702121601</v>
      </c>
      <c r="C2507" t="s">
        <v>40</v>
      </c>
      <c r="D2507">
        <v>4.1625990000000002</v>
      </c>
      <c r="E2507">
        <v>0.49443530000000002</v>
      </c>
      <c r="F2507" t="s">
        <v>59</v>
      </c>
      <c r="G2507">
        <v>-511.96039999999999</v>
      </c>
      <c r="H2507">
        <v>5.4790929999999998</v>
      </c>
      <c r="I2507">
        <v>277.40949999999998</v>
      </c>
      <c r="J2507">
        <v>-318.91329999999999</v>
      </c>
      <c r="K2507">
        <v>1.1210389999999999</v>
      </c>
      <c r="L2507">
        <v>283.68119999999999</v>
      </c>
      <c r="M2507">
        <v>-0.99979790000000002</v>
      </c>
      <c r="N2507">
        <v>-1.396297E-2</v>
      </c>
      <c r="O2507">
        <v>1.446442E-2</v>
      </c>
      <c r="P2507">
        <v>-0.99942989999999998</v>
      </c>
      <c r="Q2507">
        <v>-2.8639270000000001E-2</v>
      </c>
      <c r="R2507">
        <v>-1.7882640000000002E-2</v>
      </c>
      <c r="S2507">
        <v>-3.0019840000000002</v>
      </c>
      <c r="T2507">
        <v>6.7672010000000005E-2</v>
      </c>
      <c r="U2507">
        <v>-9.732056E-2</v>
      </c>
      <c r="V2507">
        <v>-3.2339809999999997E-2</v>
      </c>
      <c r="W2507">
        <v>-1.4683140000000001E-2</v>
      </c>
      <c r="X2507">
        <v>0.99936910000000001</v>
      </c>
      <c r="Y2507">
        <v>-4.6842420000000003E-2</v>
      </c>
      <c r="Z2507">
        <v>7.2844000000000001E-4</v>
      </c>
      <c r="AA2507">
        <v>0.99890199999999996</v>
      </c>
      <c r="AB2507">
        <v>35</v>
      </c>
      <c r="AC2507">
        <v>-193.0471</v>
      </c>
      <c r="AD2507">
        <v>4.3580540000000001</v>
      </c>
      <c r="AE2507">
        <v>-6.2717000000000098</v>
      </c>
      <c r="AF2507">
        <v>-9.0590183786205998</v>
      </c>
      <c r="AG2507">
        <v>4.3580540000000001</v>
      </c>
      <c r="AH2507">
        <v>192.838001813912</v>
      </c>
      <c r="AI2507">
        <v>88.706786675103302</v>
      </c>
      <c r="AJ2507">
        <v>92.689626519435507</v>
      </c>
      <c r="AK2507">
        <v>193.09985342364601</v>
      </c>
      <c r="AL2507">
        <v>90.841312160704803</v>
      </c>
      <c r="AM2507">
        <v>91.853457587754093</v>
      </c>
      <c r="AN2507">
        <v>1.00000002797295</v>
      </c>
    </row>
    <row r="2508" spans="1:40" x14ac:dyDescent="0.25">
      <c r="A2508" t="str">
        <f>"20190303153822153"</f>
        <v>20190303153822153</v>
      </c>
      <c r="B2508" t="str">
        <f>"1551598702141122"</f>
        <v>1551598702141122</v>
      </c>
      <c r="C2508" t="s">
        <v>40</v>
      </c>
      <c r="D2508">
        <v>4.0501329999999998</v>
      </c>
      <c r="E2508">
        <v>0.49258429999999997</v>
      </c>
      <c r="F2508" t="s">
        <v>59</v>
      </c>
      <c r="G2508">
        <v>-511.96019999999999</v>
      </c>
      <c r="H2508">
        <v>4.6714789999999997</v>
      </c>
      <c r="I2508">
        <v>277.25700000000001</v>
      </c>
      <c r="J2508">
        <v>-319.2491</v>
      </c>
      <c r="K2508">
        <v>1.121051</v>
      </c>
      <c r="L2508">
        <v>283.68610000000001</v>
      </c>
      <c r="M2508">
        <v>-0.99979660000000004</v>
      </c>
      <c r="N2508">
        <v>-1.405027E-2</v>
      </c>
      <c r="O2508">
        <v>1.447237E-2</v>
      </c>
      <c r="P2508">
        <v>-0.99945260000000002</v>
      </c>
      <c r="Q2508">
        <v>-2.845984E-2</v>
      </c>
      <c r="R2508">
        <v>-1.6877989999999999E-2</v>
      </c>
      <c r="S2508">
        <v>-3.0015260000000001</v>
      </c>
      <c r="T2508">
        <v>5.5204030000000001E-2</v>
      </c>
      <c r="U2508">
        <v>-9.9884029999999999E-2</v>
      </c>
      <c r="V2508">
        <v>-3.134348E-2</v>
      </c>
      <c r="W2508">
        <v>-1.4416679999999999E-2</v>
      </c>
      <c r="X2508">
        <v>0.99940469999999904</v>
      </c>
      <c r="Y2508">
        <v>-4.771214E-2</v>
      </c>
      <c r="Z2508">
        <v>5.7264769999999896E-4</v>
      </c>
      <c r="AA2508">
        <v>0.998861</v>
      </c>
      <c r="AB2508">
        <v>35</v>
      </c>
      <c r="AC2508">
        <v>-192.71109999999999</v>
      </c>
      <c r="AD2508">
        <v>3.5504280000000001</v>
      </c>
      <c r="AE2508">
        <v>-6.4291</v>
      </c>
      <c r="AF2508">
        <v>-9.2145638693319292</v>
      </c>
      <c r="AG2508">
        <v>3.5504280000000001</v>
      </c>
      <c r="AH2508">
        <v>192.53258150431199</v>
      </c>
      <c r="AI2508">
        <v>88.944755298215298</v>
      </c>
      <c r="AJ2508">
        <v>92.740071652261307</v>
      </c>
      <c r="AK2508">
        <v>192.78565472306201</v>
      </c>
      <c r="AL2508">
        <v>90.826043530887304</v>
      </c>
      <c r="AM2508">
        <v>91.796330031997996</v>
      </c>
      <c r="AN2508">
        <v>1.0000000043914099</v>
      </c>
    </row>
    <row r="2509" spans="1:40" x14ac:dyDescent="0.25">
      <c r="A2509" t="str">
        <f>"20190303153822167"</f>
        <v>20190303153822167</v>
      </c>
      <c r="B2509" t="str">
        <f>"1551598702161618"</f>
        <v>1551598702161618</v>
      </c>
      <c r="C2509" t="s">
        <v>40</v>
      </c>
      <c r="D2509">
        <v>4.0762830000000001</v>
      </c>
      <c r="E2509">
        <v>0.49165409999999998</v>
      </c>
      <c r="F2509" t="s">
        <v>59</v>
      </c>
      <c r="G2509">
        <v>-511.96010000000001</v>
      </c>
      <c r="H2509">
        <v>4.5324619999999998</v>
      </c>
      <c r="I2509">
        <v>276.5181</v>
      </c>
      <c r="J2509">
        <v>-319.46600000000001</v>
      </c>
      <c r="K2509">
        <v>1.121059</v>
      </c>
      <c r="L2509">
        <v>283.68920000000003</v>
      </c>
      <c r="M2509">
        <v>-0.99979589999999996</v>
      </c>
      <c r="N2509">
        <v>-1.410084E-2</v>
      </c>
      <c r="O2509">
        <v>1.4474269999999999E-2</v>
      </c>
      <c r="P2509">
        <v>-0.99946360000000001</v>
      </c>
      <c r="Q2509">
        <v>-2.8004970000000001E-2</v>
      </c>
      <c r="R2509">
        <v>-1.6989609999999999E-2</v>
      </c>
      <c r="S2509">
        <v>-3.0012819999999998</v>
      </c>
      <c r="T2509">
        <v>5.3130509999999999E-2</v>
      </c>
      <c r="U2509">
        <v>-0.1116333</v>
      </c>
      <c r="V2509">
        <v>-3.1456650000000003E-2</v>
      </c>
      <c r="W2509">
        <v>-1.391146E-2</v>
      </c>
      <c r="X2509">
        <v>0.99940830000000003</v>
      </c>
      <c r="Y2509">
        <v>-5.1622359999999999E-2</v>
      </c>
      <c r="Z2509">
        <v>5.5275859999999997E-4</v>
      </c>
      <c r="AA2509">
        <v>0.99866650000000001</v>
      </c>
      <c r="AB2509">
        <v>35</v>
      </c>
      <c r="AC2509">
        <v>-192.4941</v>
      </c>
      <c r="AD2509">
        <v>3.411403</v>
      </c>
      <c r="AE2509">
        <v>-7.1711000000000196</v>
      </c>
      <c r="AF2509">
        <v>-9.9537151215180302</v>
      </c>
      <c r="AG2509">
        <v>3.411403</v>
      </c>
      <c r="AH2509">
        <v>192.30980830399201</v>
      </c>
      <c r="AI2509">
        <v>88.9850892661307</v>
      </c>
      <c r="AJ2509">
        <v>92.962913914405902</v>
      </c>
      <c r="AK2509">
        <v>192.597446725201</v>
      </c>
      <c r="AL2509">
        <v>90.797093656497196</v>
      </c>
      <c r="AM2509">
        <v>91.802805169733901</v>
      </c>
      <c r="AN2509">
        <v>0.99999999982872201</v>
      </c>
    </row>
    <row r="2510" spans="1:40" x14ac:dyDescent="0.25">
      <c r="A2510" t="str">
        <f>"20190303153822180"</f>
        <v>20190303153822180</v>
      </c>
      <c r="B2510" t="str">
        <f>"1551598702171378"</f>
        <v>1551598702171378</v>
      </c>
      <c r="C2510" t="s">
        <v>40</v>
      </c>
      <c r="D2510">
        <v>4.0638040000000002</v>
      </c>
      <c r="E2510">
        <v>0.49116929999999998</v>
      </c>
      <c r="F2510" t="s">
        <v>59</v>
      </c>
      <c r="G2510">
        <v>-511.96010000000001</v>
      </c>
      <c r="H2510">
        <v>4.5120740000000001</v>
      </c>
      <c r="I2510">
        <v>276.03160000000003</v>
      </c>
      <c r="J2510">
        <v>-319.6592</v>
      </c>
      <c r="K2510">
        <v>1.1210659999999999</v>
      </c>
      <c r="L2510">
        <v>283.69200000000001</v>
      </c>
      <c r="M2510">
        <v>-0.99979530000000005</v>
      </c>
      <c r="N2510">
        <v>-1.414114E-2</v>
      </c>
      <c r="O2510">
        <v>1.447441E-2</v>
      </c>
      <c r="P2510">
        <v>-0.99946190000000001</v>
      </c>
      <c r="Q2510">
        <v>-2.8205009999999999E-2</v>
      </c>
      <c r="R2510">
        <v>-1.674695E-2</v>
      </c>
      <c r="S2510">
        <v>-3.0010680000000001</v>
      </c>
      <c r="T2510">
        <v>5.2868600000000002E-2</v>
      </c>
      <c r="U2510">
        <v>-0.1193848</v>
      </c>
      <c r="V2510">
        <v>-3.1214479999999999E-2</v>
      </c>
      <c r="W2510">
        <v>-1.40714E-2</v>
      </c>
      <c r="X2510">
        <v>0.99941369999999896</v>
      </c>
      <c r="Y2510">
        <v>-5.4200650000000003E-2</v>
      </c>
      <c r="Z2510">
        <v>5.5324110000000003E-4</v>
      </c>
      <c r="AA2510">
        <v>0.99852989999999997</v>
      </c>
      <c r="AB2510">
        <v>35</v>
      </c>
      <c r="AC2510">
        <v>-192.30090000000001</v>
      </c>
      <c r="AD2510">
        <v>3.3910079999999998</v>
      </c>
      <c r="AE2510">
        <v>-7.6603999999999797</v>
      </c>
      <c r="AF2510">
        <v>-10.4400763529225</v>
      </c>
      <c r="AG2510">
        <v>3.3910079999999998</v>
      </c>
      <c r="AH2510">
        <v>192.11021708817901</v>
      </c>
      <c r="AI2510">
        <v>88.9902458093691</v>
      </c>
      <c r="AJ2510">
        <v>93.1106335930792</v>
      </c>
      <c r="AK2510">
        <v>192.42356830486801</v>
      </c>
      <c r="AL2510">
        <v>90.806258403426597</v>
      </c>
      <c r="AM2510">
        <v>91.788925611582002</v>
      </c>
      <c r="AN2510">
        <v>1.00000004590365</v>
      </c>
    </row>
    <row r="2511" spans="1:40" x14ac:dyDescent="0.25">
      <c r="A2511" t="str">
        <f>"20190303153822191"</f>
        <v>20190303153822191</v>
      </c>
      <c r="B2511" t="str">
        <f>"1551598702181138"</f>
        <v>1551598702181138</v>
      </c>
      <c r="C2511" t="s">
        <v>40</v>
      </c>
      <c r="D2511">
        <v>4.0589309999999896</v>
      </c>
      <c r="E2511">
        <v>0.49069000000000002</v>
      </c>
      <c r="F2511" t="s">
        <v>59</v>
      </c>
      <c r="G2511">
        <v>-511.96010000000001</v>
      </c>
      <c r="H2511">
        <v>4.4685119999999996</v>
      </c>
      <c r="I2511">
        <v>275.84449999999998</v>
      </c>
      <c r="J2511">
        <v>-319.83929999999998</v>
      </c>
      <c r="K2511">
        <v>1.12107</v>
      </c>
      <c r="L2511">
        <v>283.69459999999998</v>
      </c>
      <c r="M2511">
        <v>-0.99979479999999998</v>
      </c>
      <c r="N2511">
        <v>-1.417448E-2</v>
      </c>
      <c r="O2511">
        <v>1.4474010000000001E-2</v>
      </c>
      <c r="P2511">
        <v>-0.99946610000000002</v>
      </c>
      <c r="Q2511">
        <v>-2.7840460000000001E-2</v>
      </c>
      <c r="R2511">
        <v>-1.710422E-2</v>
      </c>
      <c r="S2511">
        <v>-3.001007</v>
      </c>
      <c r="T2511">
        <v>5.2240729999999999E-2</v>
      </c>
      <c r="U2511">
        <v>-0.12246700000000001</v>
      </c>
      <c r="V2511">
        <v>-3.1571120000000001E-2</v>
      </c>
      <c r="W2511">
        <v>-1.367372E-2</v>
      </c>
      <c r="X2511">
        <v>0.99940790000000002</v>
      </c>
      <c r="Y2511">
        <v>-5.5225129999999997E-2</v>
      </c>
      <c r="Z2511">
        <v>5.4575100000000003E-4</v>
      </c>
      <c r="AA2511">
        <v>0.99847379999999997</v>
      </c>
      <c r="AB2511">
        <v>35</v>
      </c>
      <c r="AC2511">
        <v>-192.1208</v>
      </c>
      <c r="AD2511">
        <v>3.347442</v>
      </c>
      <c r="AE2511">
        <v>-7.8500999999999896</v>
      </c>
      <c r="AF2511">
        <v>-10.6270943738946</v>
      </c>
      <c r="AG2511">
        <v>3.347442</v>
      </c>
      <c r="AH2511">
        <v>191.92886749022799</v>
      </c>
      <c r="AI2511">
        <v>89.002330310042495</v>
      </c>
      <c r="AJ2511">
        <v>93.169229084362001</v>
      </c>
      <c r="AK2511">
        <v>192.251997854005</v>
      </c>
      <c r="AL2511">
        <v>90.783470917968202</v>
      </c>
      <c r="AM2511">
        <v>91.809361905697799</v>
      </c>
      <c r="AN2511">
        <v>0.99999992840954799</v>
      </c>
    </row>
    <row r="2512" spans="1:40" x14ac:dyDescent="0.25">
      <c r="A2512" t="str">
        <f>"20190303153822203"</f>
        <v>20190303153822203</v>
      </c>
      <c r="B2512" t="str">
        <f>"1551598702190898"</f>
        <v>1551598702190898</v>
      </c>
      <c r="C2512" t="s">
        <v>40</v>
      </c>
      <c r="D2512">
        <v>4.0484749999999998</v>
      </c>
      <c r="E2512">
        <v>0.49027179999999998</v>
      </c>
      <c r="F2512" t="s">
        <v>59</v>
      </c>
      <c r="G2512">
        <v>-511.96010000000001</v>
      </c>
      <c r="H2512">
        <v>4.5180059999999997</v>
      </c>
      <c r="I2512">
        <v>275.53750000000002</v>
      </c>
      <c r="J2512">
        <v>-320.02859999999998</v>
      </c>
      <c r="K2512">
        <v>1.1210719999999901</v>
      </c>
      <c r="L2512">
        <v>283.69740000000002</v>
      </c>
      <c r="M2512">
        <v>-0.99979450000000003</v>
      </c>
      <c r="N2512">
        <v>-1.4194190000000001E-2</v>
      </c>
      <c r="O2512">
        <v>1.4472469999999999E-2</v>
      </c>
      <c r="P2512">
        <v>-0.99945899999999999</v>
      </c>
      <c r="Q2512">
        <v>-2.7845140000000001E-2</v>
      </c>
      <c r="R2512">
        <v>-1.7502190000000001E-2</v>
      </c>
      <c r="S2512">
        <v>-3.0008539999999999</v>
      </c>
      <c r="T2512">
        <v>5.3060049999999997E-2</v>
      </c>
      <c r="U2512">
        <v>-0.12741089999999999</v>
      </c>
      <c r="V2512">
        <v>-3.1967139999999998E-2</v>
      </c>
      <c r="W2512">
        <v>-1.3658979999999999E-2</v>
      </c>
      <c r="X2512">
        <v>0.99939560000000005</v>
      </c>
      <c r="Y2512">
        <v>-5.6867359999999999E-2</v>
      </c>
      <c r="Z2512">
        <v>5.5976609999999999E-4</v>
      </c>
      <c r="AA2512">
        <v>0.99838159999999998</v>
      </c>
      <c r="AB2512">
        <v>35</v>
      </c>
      <c r="AC2512">
        <v>-191.9315</v>
      </c>
      <c r="AD2512">
        <v>3.3969339999999901</v>
      </c>
      <c r="AE2512">
        <v>-8.1598999999999897</v>
      </c>
      <c r="AF2512">
        <v>-10.9336293027522</v>
      </c>
      <c r="AG2512">
        <v>3.3969339999999901</v>
      </c>
      <c r="AH2512">
        <v>191.733338021706</v>
      </c>
      <c r="AI2512">
        <v>88.986644493550898</v>
      </c>
      <c r="AJ2512">
        <v>93.263767773370603</v>
      </c>
      <c r="AK2512">
        <v>192.07487164977101</v>
      </c>
      <c r="AL2512">
        <v>90.782626231047303</v>
      </c>
      <c r="AM2512">
        <v>91.832065236908804</v>
      </c>
      <c r="AN2512">
        <v>1.00000001553688</v>
      </c>
    </row>
    <row r="2513" spans="1:40" x14ac:dyDescent="0.25">
      <c r="A2513" t="str">
        <f>"20190303153822215"</f>
        <v>20190303153822215</v>
      </c>
      <c r="B2513" t="str">
        <f>"1551598702211394"</f>
        <v>1551598702211394</v>
      </c>
      <c r="C2513" t="s">
        <v>40</v>
      </c>
      <c r="D2513">
        <v>4.0426640000000003</v>
      </c>
      <c r="E2513">
        <v>0.48983270000000001</v>
      </c>
      <c r="F2513" t="s">
        <v>59</v>
      </c>
      <c r="G2513">
        <v>-512.82669999999996</v>
      </c>
      <c r="H2513">
        <v>4.4537430000000002</v>
      </c>
      <c r="I2513">
        <v>275.2131</v>
      </c>
      <c r="J2513">
        <v>-320.2081</v>
      </c>
      <c r="K2513">
        <v>1.121067</v>
      </c>
      <c r="L2513">
        <v>283.69990000000001</v>
      </c>
      <c r="M2513">
        <v>-0.99979450000000003</v>
      </c>
      <c r="N2513">
        <v>-1.419076E-2</v>
      </c>
      <c r="O2513">
        <v>1.447116E-2</v>
      </c>
      <c r="P2513">
        <v>-0.99945260000000002</v>
      </c>
      <c r="Q2513">
        <v>-2.7695640000000001E-2</v>
      </c>
      <c r="R2513">
        <v>-1.8091840000000001E-2</v>
      </c>
      <c r="S2513">
        <v>-3.0007320000000002</v>
      </c>
      <c r="T2513">
        <v>5.1871300000000002E-2</v>
      </c>
      <c r="U2513">
        <v>-0.13204959999999999</v>
      </c>
      <c r="V2513">
        <v>-3.2555260000000003E-2</v>
      </c>
      <c r="W2513">
        <v>-1.3513219999999999E-2</v>
      </c>
      <c r="X2513">
        <v>0.99937860000000001</v>
      </c>
      <c r="Y2513">
        <v>-5.8408540000000002E-2</v>
      </c>
      <c r="Z2513">
        <v>5.451462E-4</v>
      </c>
      <c r="AA2513">
        <v>0.99829259999999997</v>
      </c>
      <c r="AB2513">
        <v>35</v>
      </c>
      <c r="AC2513">
        <v>-192.61859999999999</v>
      </c>
      <c r="AD2513">
        <v>3.3326760000000002</v>
      </c>
      <c r="AE2513">
        <v>-8.4868000000000094</v>
      </c>
      <c r="AF2513">
        <v>-11.2702393686804</v>
      </c>
      <c r="AG2513">
        <v>3.3326760000000002</v>
      </c>
      <c r="AH2513">
        <v>192.41810995194501</v>
      </c>
      <c r="AI2513">
        <v>89.009435336107401</v>
      </c>
      <c r="AJ2513">
        <v>93.352076564216105</v>
      </c>
      <c r="AK2513">
        <v>192.77669481093201</v>
      </c>
      <c r="AL2513">
        <v>90.774274024717101</v>
      </c>
      <c r="AM2513">
        <v>91.865779025229998</v>
      </c>
      <c r="AN2513">
        <v>1.0000000191031899</v>
      </c>
    </row>
    <row r="2514" spans="1:40" x14ac:dyDescent="0.25">
      <c r="A2514" t="str">
        <f>"20190303153822231"</f>
        <v>20190303153822231</v>
      </c>
      <c r="B2514" t="str">
        <f>"1551598702221154"</f>
        <v>1551598702221154</v>
      </c>
      <c r="C2514" t="s">
        <v>40</v>
      </c>
      <c r="D2514">
        <v>4.0545439999999999</v>
      </c>
      <c r="E2514">
        <v>0.48971189999999998</v>
      </c>
      <c r="F2514" t="s">
        <v>59</v>
      </c>
      <c r="G2514">
        <v>-512.82669999999996</v>
      </c>
      <c r="H2514">
        <v>4.5212219999999999</v>
      </c>
      <c r="I2514">
        <v>274.88029999999998</v>
      </c>
      <c r="J2514">
        <v>-320.45280000000002</v>
      </c>
      <c r="K2514">
        <v>1.121054</v>
      </c>
      <c r="L2514">
        <v>283.70350000000002</v>
      </c>
      <c r="M2514">
        <v>-0.99979530000000005</v>
      </c>
      <c r="N2514">
        <v>-1.414725E-2</v>
      </c>
      <c r="O2514">
        <v>1.446924E-2</v>
      </c>
      <c r="P2514">
        <v>-0.99943879999999996</v>
      </c>
      <c r="Q2514">
        <v>-2.766793E-2</v>
      </c>
      <c r="R2514">
        <v>-1.8895889999999999E-2</v>
      </c>
      <c r="S2514">
        <v>-3.0005799999999998</v>
      </c>
      <c r="T2514">
        <v>5.2968260000000003E-2</v>
      </c>
      <c r="U2514">
        <v>-0.13739009999999999</v>
      </c>
      <c r="V2514">
        <v>-3.3356789999999997E-2</v>
      </c>
      <c r="W2514">
        <v>-1.352945E-2</v>
      </c>
      <c r="X2514">
        <v>0.99935189999999996</v>
      </c>
      <c r="Y2514">
        <v>-6.018155E-2</v>
      </c>
      <c r="Z2514">
        <v>5.6475540000000004E-4</v>
      </c>
      <c r="AA2514">
        <v>0.9981873</v>
      </c>
      <c r="AB2514">
        <v>34</v>
      </c>
      <c r="AC2514">
        <v>-192.37389999999999</v>
      </c>
      <c r="AD2514">
        <v>3.4001679999999999</v>
      </c>
      <c r="AE2514">
        <v>-8.8232000000000408</v>
      </c>
      <c r="AF2514">
        <v>-11.6024417062995</v>
      </c>
      <c r="AG2514">
        <v>3.4001679999999999</v>
      </c>
      <c r="AH2514">
        <v>192.16617321695</v>
      </c>
      <c r="AI2514">
        <v>88.988162510487498</v>
      </c>
      <c r="AJ2514">
        <v>93.455160229961507</v>
      </c>
      <c r="AK2514">
        <v>192.54613972973601</v>
      </c>
      <c r="AL2514">
        <v>90.775204057708393</v>
      </c>
      <c r="AM2514">
        <v>91.911732983977998</v>
      </c>
      <c r="AN2514">
        <v>0.99999997074500702</v>
      </c>
    </row>
    <row r="2515" spans="1:40" x14ac:dyDescent="0.25">
      <c r="A2515" t="str">
        <f>"20190303153822244"</f>
        <v>20190303153822244</v>
      </c>
      <c r="B2515" t="str">
        <f>"1551598702241650"</f>
        <v>1551598702241650</v>
      </c>
      <c r="C2515" t="s">
        <v>40</v>
      </c>
      <c r="D2515">
        <v>4.0375389999999998</v>
      </c>
      <c r="E2515">
        <v>0.48934800000000001</v>
      </c>
      <c r="F2515" t="s">
        <v>59</v>
      </c>
      <c r="G2515">
        <v>-512.82669999999996</v>
      </c>
      <c r="H2515">
        <v>4.5017480000000001</v>
      </c>
      <c r="I2515">
        <v>274.6737</v>
      </c>
      <c r="J2515">
        <v>-320.65960000000001</v>
      </c>
      <c r="K2515">
        <v>1.1210310000000001</v>
      </c>
      <c r="L2515">
        <v>283.70650000000001</v>
      </c>
      <c r="M2515">
        <v>-0.99979669999999998</v>
      </c>
      <c r="N2515">
        <v>-1.404239E-2</v>
      </c>
      <c r="O2515">
        <v>1.4468119999999999E-2</v>
      </c>
      <c r="P2515">
        <v>-0.99943760000000004</v>
      </c>
      <c r="Q2515">
        <v>-2.7416699999999999E-2</v>
      </c>
      <c r="R2515">
        <v>-1.9309570000000002E-2</v>
      </c>
      <c r="S2515">
        <v>-3.0004879999999998</v>
      </c>
      <c r="T2515">
        <v>5.2730440000000003E-2</v>
      </c>
      <c r="U2515">
        <v>-0.14083860000000001</v>
      </c>
      <c r="V2515">
        <v>-3.3769529999999999E-2</v>
      </c>
      <c r="W2515">
        <v>-1.3383219999999999E-2</v>
      </c>
      <c r="X2515">
        <v>0.99934009999999995</v>
      </c>
      <c r="Y2515">
        <v>-6.1326569999999997E-2</v>
      </c>
      <c r="Z2515">
        <v>5.6482910000000002E-4</v>
      </c>
      <c r="AA2515">
        <v>0.99811760000000005</v>
      </c>
      <c r="AB2515">
        <v>34</v>
      </c>
      <c r="AC2515">
        <v>-192.16709999999901</v>
      </c>
      <c r="AD2515">
        <v>3.38071699999999</v>
      </c>
      <c r="AE2515">
        <v>-9.0327999999999999</v>
      </c>
      <c r="AF2515">
        <v>-11.808778496800301</v>
      </c>
      <c r="AG2515">
        <v>3.38071699999999</v>
      </c>
      <c r="AH2515">
        <v>191.95700205533299</v>
      </c>
      <c r="AI2515">
        <v>88.992923334073595</v>
      </c>
      <c r="AJ2515">
        <v>93.520275817440293</v>
      </c>
      <c r="AK2515">
        <v>192.34959613966399</v>
      </c>
      <c r="AL2515">
        <v>90.766824865758593</v>
      </c>
      <c r="AM2515">
        <v>91.9353927539062</v>
      </c>
      <c r="AN2515">
        <v>1.00000006360099</v>
      </c>
    </row>
    <row r="2516" spans="1:40" x14ac:dyDescent="0.25">
      <c r="A2516" t="str">
        <f>"20190303153822256"</f>
        <v>20190303153822256</v>
      </c>
      <c r="B2516" t="str">
        <f>"1551598702251410"</f>
        <v>1551598702251410</v>
      </c>
      <c r="C2516" t="s">
        <v>40</v>
      </c>
      <c r="D2516">
        <v>4.036187</v>
      </c>
      <c r="E2516">
        <v>0.4892186</v>
      </c>
      <c r="F2516" t="s">
        <v>59</v>
      </c>
      <c r="G2516">
        <v>-512.82669999999996</v>
      </c>
      <c r="H2516">
        <v>4.5272439999999996</v>
      </c>
      <c r="I2516">
        <v>274.43770000000001</v>
      </c>
      <c r="J2516">
        <v>-320.82909999999998</v>
      </c>
      <c r="K2516">
        <v>1.1210039999999999</v>
      </c>
      <c r="L2516">
        <v>283.70890000000003</v>
      </c>
      <c r="M2516">
        <v>-0.99979839999999998</v>
      </c>
      <c r="N2516">
        <v>-1.3929779999999999E-2</v>
      </c>
      <c r="O2516">
        <v>1.4467229999999999E-2</v>
      </c>
      <c r="P2516">
        <v>-0.99942549999999997</v>
      </c>
      <c r="Q2516">
        <v>-2.7405539999999999E-2</v>
      </c>
      <c r="R2516">
        <v>-1.994746E-2</v>
      </c>
      <c r="S2516">
        <v>-3.0003359999999999</v>
      </c>
      <c r="T2516">
        <v>5.3182960000000001E-2</v>
      </c>
      <c r="U2516">
        <v>-0.14471439999999999</v>
      </c>
      <c r="V2516">
        <v>-3.4406099999999898E-2</v>
      </c>
      <c r="W2516">
        <v>-1.3484929999999999E-2</v>
      </c>
      <c r="X2516">
        <v>0.99931689999999995</v>
      </c>
      <c r="Y2516">
        <v>-6.261419E-2</v>
      </c>
      <c r="Z2516">
        <v>5.7585639999999897E-4</v>
      </c>
      <c r="AA2516">
        <v>0.99803759999999997</v>
      </c>
      <c r="AB2516">
        <v>34</v>
      </c>
      <c r="AC2516">
        <v>-191.99760000000001</v>
      </c>
      <c r="AD2516">
        <v>3.4062399999999999</v>
      </c>
      <c r="AE2516">
        <v>-9.2712000000000199</v>
      </c>
      <c r="AF2516">
        <v>-12.0443901491661</v>
      </c>
      <c r="AG2516">
        <v>3.4062399999999999</v>
      </c>
      <c r="AH2516">
        <v>191.78313847848901</v>
      </c>
      <c r="AI2516">
        <v>88.984482977557903</v>
      </c>
      <c r="AJ2516">
        <v>93.593577631954801</v>
      </c>
      <c r="AK2516">
        <v>192.19116007158701</v>
      </c>
      <c r="AL2516">
        <v>90.772653036824593</v>
      </c>
      <c r="AM2516">
        <v>91.9718929380454</v>
      </c>
      <c r="AN2516">
        <v>0.99999994483996002</v>
      </c>
    </row>
    <row r="2517" spans="1:40" x14ac:dyDescent="0.25">
      <c r="A2517" t="str">
        <f>"20190303153822268"</f>
        <v>20190303153822268</v>
      </c>
      <c r="B2517" t="str">
        <f>"1551598702261170"</f>
        <v>1551598702261170</v>
      </c>
      <c r="C2517" t="s">
        <v>40</v>
      </c>
      <c r="D2517">
        <v>4.0433209999999997</v>
      </c>
      <c r="E2517">
        <v>0.48904449999999999</v>
      </c>
      <c r="F2517" t="s">
        <v>49</v>
      </c>
      <c r="G2517">
        <v>-455.36649999999997</v>
      </c>
      <c r="H2517">
        <v>3.5211039999999998</v>
      </c>
      <c r="I2517">
        <v>277.08150000000001</v>
      </c>
      <c r="J2517">
        <v>-321.02030000000002</v>
      </c>
      <c r="K2517">
        <v>1.1209709999999999</v>
      </c>
      <c r="L2517">
        <v>283.71170000000001</v>
      </c>
      <c r="M2517">
        <v>-0.99980049999999998</v>
      </c>
      <c r="N2517">
        <v>-1.3781E-2</v>
      </c>
      <c r="O2517">
        <v>1.4466420000000001E-2</v>
      </c>
      <c r="P2517">
        <v>-0.99942059999999999</v>
      </c>
      <c r="Q2517">
        <v>-2.7319630000000001E-2</v>
      </c>
      <c r="R2517">
        <v>-2.030622E-2</v>
      </c>
      <c r="S2517">
        <v>-3.000305</v>
      </c>
      <c r="T2517">
        <v>5.352581E-2</v>
      </c>
      <c r="U2517">
        <v>-0.1477966</v>
      </c>
      <c r="V2517">
        <v>-3.4763929999999998E-2</v>
      </c>
      <c r="W2517">
        <v>-1.354791E-2</v>
      </c>
      <c r="X2517">
        <v>0.99930370000000002</v>
      </c>
      <c r="Y2517">
        <v>-6.3636490000000004E-2</v>
      </c>
      <c r="Z2517">
        <v>5.8560239999999998E-4</v>
      </c>
      <c r="AA2517">
        <v>0.997973</v>
      </c>
      <c r="AB2517">
        <v>34</v>
      </c>
      <c r="AC2517">
        <v>-134.34619999999899</v>
      </c>
      <c r="AD2517">
        <v>2.4001329999999998</v>
      </c>
      <c r="AE2517">
        <v>-6.6302000000000003</v>
      </c>
      <c r="AF2517">
        <v>-8.5704701860273094</v>
      </c>
      <c r="AG2517">
        <v>2.4001329999999998</v>
      </c>
      <c r="AH2517">
        <v>134.193488182322</v>
      </c>
      <c r="AI2517">
        <v>88.977421973164894</v>
      </c>
      <c r="AJ2517">
        <v>93.654318480566999</v>
      </c>
      <c r="AK2517">
        <v>134.48831126966499</v>
      </c>
      <c r="AL2517">
        <v>90.776261826998805</v>
      </c>
      <c r="AM2517">
        <v>91.992410853769101</v>
      </c>
      <c r="AN2517">
        <v>0.99999998076405106</v>
      </c>
    </row>
    <row r="2518" spans="1:40" x14ac:dyDescent="0.25">
      <c r="A2518" t="str">
        <f>"20190303153822280"</f>
        <v>20190303153822280</v>
      </c>
      <c r="B2518" t="str">
        <f>"1551598702270930"</f>
        <v>1551598702270930</v>
      </c>
      <c r="C2518" t="s">
        <v>40</v>
      </c>
      <c r="D2518">
        <v>4.0248799999999996</v>
      </c>
      <c r="E2518">
        <v>0.48893049999999999</v>
      </c>
      <c r="F2518" t="s">
        <v>49</v>
      </c>
      <c r="G2518">
        <v>-455.29300000000001</v>
      </c>
      <c r="H2518">
        <v>3.5410080000000002</v>
      </c>
      <c r="I2518">
        <v>276.98779999999999</v>
      </c>
      <c r="J2518">
        <v>-321.20940000000002</v>
      </c>
      <c r="K2518">
        <v>1.120935</v>
      </c>
      <c r="L2518">
        <v>283.71440000000001</v>
      </c>
      <c r="M2518">
        <v>-0.99980270000000004</v>
      </c>
      <c r="N2518">
        <v>-1.3615250000000001E-2</v>
      </c>
      <c r="O2518">
        <v>1.4466059999999999E-2</v>
      </c>
      <c r="P2518">
        <v>-0.99941670000000005</v>
      </c>
      <c r="Q2518">
        <v>-2.734816E-2</v>
      </c>
      <c r="R2518">
        <v>-2.0456579999999999E-2</v>
      </c>
      <c r="S2518">
        <v>-3.0001829999999998</v>
      </c>
      <c r="T2518">
        <v>5.4074650000000002E-2</v>
      </c>
      <c r="U2518">
        <v>-0.15023800000000001</v>
      </c>
      <c r="V2518">
        <v>-3.491441E-2</v>
      </c>
      <c r="W2518">
        <v>-1.37422E-2</v>
      </c>
      <c r="X2518">
        <v>0.99929579999999996</v>
      </c>
      <c r="Y2518">
        <v>-6.444793E-2</v>
      </c>
      <c r="Z2518">
        <v>5.9871610000000004E-4</v>
      </c>
      <c r="AA2518">
        <v>0.9979209</v>
      </c>
      <c r="AB2518">
        <v>34</v>
      </c>
      <c r="AC2518">
        <v>-134.08359999999999</v>
      </c>
      <c r="AD2518">
        <v>2.4200729999999999</v>
      </c>
      <c r="AE2518">
        <v>-6.7266000000000101</v>
      </c>
      <c r="AF2518">
        <v>-8.6629221370663299</v>
      </c>
      <c r="AG2518">
        <v>2.4200729999999999</v>
      </c>
      <c r="AH2518">
        <v>133.928730737157</v>
      </c>
      <c r="AI2518">
        <v>88.966944501161606</v>
      </c>
      <c r="AJ2518">
        <v>93.700911535552606</v>
      </c>
      <c r="AK2518">
        <v>134.230428331821</v>
      </c>
      <c r="AL2518">
        <v>90.787394861304307</v>
      </c>
      <c r="AM2518">
        <v>92.0010440625407</v>
      </c>
      <c r="AN2518">
        <v>0.99999997999206303</v>
      </c>
    </row>
    <row r="2519" spans="1:40" x14ac:dyDescent="0.25">
      <c r="A2519" t="str">
        <f>"20190303153822293"</f>
        <v>20190303153822293</v>
      </c>
      <c r="B2519" t="str">
        <f>"1551598702281667"</f>
        <v>1551598702281667</v>
      </c>
      <c r="C2519" t="s">
        <v>40</v>
      </c>
      <c r="D2519">
        <v>4.0329240000000004</v>
      </c>
      <c r="E2519">
        <v>0.48882399999999998</v>
      </c>
      <c r="F2519" t="s">
        <v>49</v>
      </c>
      <c r="G2519">
        <v>-455.29300000000001</v>
      </c>
      <c r="H2519">
        <v>3.5358960000000002</v>
      </c>
      <c r="I2519">
        <v>276.93180000000001</v>
      </c>
      <c r="J2519">
        <v>-321.39980000000003</v>
      </c>
      <c r="K2519">
        <v>1.1209020000000001</v>
      </c>
      <c r="L2519">
        <v>283.71719999999999</v>
      </c>
      <c r="M2519">
        <v>-0.99980500000000005</v>
      </c>
      <c r="N2519">
        <v>-1.3445779999999999E-2</v>
      </c>
      <c r="O2519">
        <v>1.446573E-2</v>
      </c>
      <c r="P2519">
        <v>-0.99941749999999996</v>
      </c>
      <c r="Q2519">
        <v>-2.7263320000000001E-2</v>
      </c>
      <c r="R2519">
        <v>-2.0530739999999999E-2</v>
      </c>
      <c r="S2519">
        <v>-3.0001829999999998</v>
      </c>
      <c r="T2519">
        <v>5.4037330000000001E-2</v>
      </c>
      <c r="U2519">
        <v>-0.15176389999999901</v>
      </c>
      <c r="V2519">
        <v>-3.498776E-2</v>
      </c>
      <c r="W2519">
        <v>-1.382678E-2</v>
      </c>
      <c r="X2519">
        <v>0.99929210000000002</v>
      </c>
      <c r="Y2519">
        <v>-6.4953769999999994E-2</v>
      </c>
      <c r="Z2519">
        <v>6.0227060000000001E-4</v>
      </c>
      <c r="AA2519">
        <v>0.99788809999999994</v>
      </c>
      <c r="AB2519">
        <v>35</v>
      </c>
      <c r="AC2519">
        <v>-133.89319999999901</v>
      </c>
      <c r="AD2519">
        <v>2.4149940000000001</v>
      </c>
      <c r="AE2519">
        <v>-6.7853999999999797</v>
      </c>
      <c r="AF2519">
        <v>-8.7188985967429495</v>
      </c>
      <c r="AG2519">
        <v>2.4149940000000001</v>
      </c>
      <c r="AH2519">
        <v>133.737626529072</v>
      </c>
      <c r="AI2519">
        <v>88.967673440464793</v>
      </c>
      <c r="AJ2519">
        <v>93.730065766282394</v>
      </c>
      <c r="AK2519">
        <v>134.04329203056</v>
      </c>
      <c r="AL2519">
        <v>90.792241373421007</v>
      </c>
      <c r="AM2519">
        <v>92.005251949718101</v>
      </c>
      <c r="AN2519">
        <v>1.0000000121586901</v>
      </c>
    </row>
    <row r="2520" spans="1:40" x14ac:dyDescent="0.25">
      <c r="A2520" t="str">
        <f>"20190303153822306"</f>
        <v>20190303153822306</v>
      </c>
      <c r="B2520" t="str">
        <f>"1551598702301186"</f>
        <v>1551598702301186</v>
      </c>
      <c r="C2520" t="s">
        <v>40</v>
      </c>
      <c r="D2520">
        <v>3.983215</v>
      </c>
      <c r="E2520">
        <v>0.4886414</v>
      </c>
      <c r="F2520" t="s">
        <v>49</v>
      </c>
      <c r="G2520">
        <v>-455.33260000000001</v>
      </c>
      <c r="H2520">
        <v>3.5675400000000002</v>
      </c>
      <c r="I2520">
        <v>276.8888</v>
      </c>
      <c r="J2520">
        <v>-321.60160000000002</v>
      </c>
      <c r="K2520">
        <v>1.1208689999999999</v>
      </c>
      <c r="L2520">
        <v>283.7201</v>
      </c>
      <c r="M2520">
        <v>-0.99980729999999995</v>
      </c>
      <c r="N2520">
        <v>-1.326477E-2</v>
      </c>
      <c r="O2520">
        <v>1.446539E-2</v>
      </c>
      <c r="P2520">
        <v>-0.9993997</v>
      </c>
      <c r="Q2520">
        <v>-2.7560640000000001E-2</v>
      </c>
      <c r="R2520">
        <v>-2.0982460000000001E-2</v>
      </c>
      <c r="S2520">
        <v>-3.0000610000000001</v>
      </c>
      <c r="T2520">
        <v>5.4805520000000003E-2</v>
      </c>
      <c r="U2520">
        <v>-0.15295410000000001</v>
      </c>
      <c r="V2520">
        <v>-3.543876E-2</v>
      </c>
      <c r="W2520">
        <v>-1.430533E-2</v>
      </c>
      <c r="X2520">
        <v>0.99926950000000003</v>
      </c>
      <c r="Y2520">
        <v>-6.5349969999999993E-2</v>
      </c>
      <c r="Z2520">
        <v>6.1854130000000001E-4</v>
      </c>
      <c r="AA2520">
        <v>0.99786220000000003</v>
      </c>
      <c r="AB2520">
        <v>35</v>
      </c>
      <c r="AC2520">
        <v>-133.73099999999999</v>
      </c>
      <c r="AD2520">
        <v>2.4466709999999998</v>
      </c>
      <c r="AE2520">
        <v>-6.8312999999999899</v>
      </c>
      <c r="AF2520">
        <v>-8.76230123816541</v>
      </c>
      <c r="AG2520">
        <v>2.4466709999999998</v>
      </c>
      <c r="AH2520">
        <v>133.57358531011801</v>
      </c>
      <c r="AI2520">
        <v>88.952879078139603</v>
      </c>
      <c r="AJ2520">
        <v>93.753171675979402</v>
      </c>
      <c r="AK2520">
        <v>133.88303408038701</v>
      </c>
      <c r="AL2520">
        <v>90.819662957942995</v>
      </c>
      <c r="AM2520">
        <v>92.0311244789429</v>
      </c>
      <c r="AN2520">
        <v>1.0000000409034899</v>
      </c>
    </row>
    <row r="2521" spans="1:40" x14ac:dyDescent="0.25">
      <c r="A2521" t="str">
        <f>"20190303153822322"</f>
        <v>20190303153822322</v>
      </c>
      <c r="B2521" t="str">
        <f>"1551598702310946"</f>
        <v>1551598702310946</v>
      </c>
      <c r="C2521" t="s">
        <v>40</v>
      </c>
      <c r="D2521">
        <v>3.992407</v>
      </c>
      <c r="E2521">
        <v>0.48857220000000001</v>
      </c>
      <c r="F2521" t="s">
        <v>59</v>
      </c>
      <c r="G2521">
        <v>-512.82669999999996</v>
      </c>
      <c r="H2521">
        <v>4.5671210000000002</v>
      </c>
      <c r="I2521">
        <v>273.78969999999998</v>
      </c>
      <c r="J2521">
        <v>-321.85469999999998</v>
      </c>
      <c r="K2521">
        <v>1.1208309999999999</v>
      </c>
      <c r="L2521">
        <v>283.72379999999998</v>
      </c>
      <c r="M2521">
        <v>-0.99981030000000004</v>
      </c>
      <c r="N2521">
        <v>-1.304379E-2</v>
      </c>
      <c r="O2521">
        <v>1.4464889999999999E-2</v>
      </c>
      <c r="P2521">
        <v>-0.99936309999999995</v>
      </c>
      <c r="Q2521">
        <v>-2.8939079999999999E-2</v>
      </c>
      <c r="R2521">
        <v>-2.0881460000000001E-2</v>
      </c>
      <c r="S2521">
        <v>-3.0000309999999999</v>
      </c>
      <c r="T2521">
        <v>5.4067610000000002E-2</v>
      </c>
      <c r="U2521">
        <v>-0.15579219999999999</v>
      </c>
      <c r="V2521">
        <v>-3.5336890000000003E-2</v>
      </c>
      <c r="W2521">
        <v>-1.5904990000000001E-2</v>
      </c>
      <c r="X2521">
        <v>0.9992489</v>
      </c>
      <c r="Y2521">
        <v>-6.6291649999999994E-2</v>
      </c>
      <c r="Z2521">
        <v>6.1328019999999997E-4</v>
      </c>
      <c r="AA2521">
        <v>0.99780009999999997</v>
      </c>
      <c r="AB2521">
        <v>35</v>
      </c>
      <c r="AC2521">
        <v>-190.97200000000001</v>
      </c>
      <c r="AD2521">
        <v>3.4462899999999999</v>
      </c>
      <c r="AE2521">
        <v>-9.9341000000000008</v>
      </c>
      <c r="AF2521">
        <v>-12.6915625060149</v>
      </c>
      <c r="AG2521">
        <v>3.4462899999999999</v>
      </c>
      <c r="AH2521">
        <v>190.746358040248</v>
      </c>
      <c r="AI2521">
        <v>88.967210177343702</v>
      </c>
      <c r="AJ2521">
        <v>93.8066400366598</v>
      </c>
      <c r="AK2521">
        <v>191.199178291191</v>
      </c>
      <c r="AL2521">
        <v>90.911327212773102</v>
      </c>
      <c r="AM2521">
        <v>92.025332524807894</v>
      </c>
      <c r="AN2521">
        <v>1.00000001432649</v>
      </c>
    </row>
    <row r="2522" spans="1:40" x14ac:dyDescent="0.25">
      <c r="A2522" t="str">
        <f>"20190303153822337"</f>
        <v>20190303153822337</v>
      </c>
      <c r="B2522" t="str">
        <f>"1551598702331442"</f>
        <v>1551598702331442</v>
      </c>
      <c r="C2522" t="s">
        <v>40</v>
      </c>
      <c r="D2522">
        <v>3.979813</v>
      </c>
      <c r="E2522">
        <v>0.4885063</v>
      </c>
      <c r="F2522" t="s">
        <v>59</v>
      </c>
      <c r="G2522">
        <v>-512.82659999999998</v>
      </c>
      <c r="H2522">
        <v>4.3173529999999998</v>
      </c>
      <c r="I2522">
        <v>273.80290000000002</v>
      </c>
      <c r="J2522">
        <v>-322.08640000000003</v>
      </c>
      <c r="K2522">
        <v>1.120806</v>
      </c>
      <c r="L2522">
        <v>283.72710000000001</v>
      </c>
      <c r="M2522">
        <v>-0.9998129</v>
      </c>
      <c r="N2522">
        <v>-1.2848450000000001E-2</v>
      </c>
      <c r="O2522">
        <v>1.4464609999999999E-2</v>
      </c>
      <c r="P2522">
        <v>-0.99936179999999997</v>
      </c>
      <c r="Q2522">
        <v>-2.8980559999999999E-2</v>
      </c>
      <c r="R2522">
        <v>-2.0896870000000001E-2</v>
      </c>
      <c r="S2522">
        <v>-3.0001220000000002</v>
      </c>
      <c r="T2522">
        <v>5.0217749999999999E-2</v>
      </c>
      <c r="U2522">
        <v>-0.1558533</v>
      </c>
      <c r="V2522">
        <v>-3.5351519999999997E-2</v>
      </c>
      <c r="W2522">
        <v>-1.614171E-2</v>
      </c>
      <c r="X2522">
        <v>0.99924460000000004</v>
      </c>
      <c r="Y2522">
        <v>-6.6311460000000003E-2</v>
      </c>
      <c r="Z2522">
        <v>5.5590350000000001E-4</v>
      </c>
      <c r="AA2522">
        <v>0.99779879999999999</v>
      </c>
      <c r="AB2522">
        <v>35</v>
      </c>
      <c r="AC2522">
        <v>-190.74019999999999</v>
      </c>
      <c r="AD2522">
        <v>3.1965469999999998</v>
      </c>
      <c r="AE2522">
        <v>-9.9241999999999795</v>
      </c>
      <c r="AF2522">
        <v>-12.6788204850867</v>
      </c>
      <c r="AG2522">
        <v>3.1965469999999998</v>
      </c>
      <c r="AH2522">
        <v>190.52331592238099</v>
      </c>
      <c r="AI2522">
        <v>89.040918517965196</v>
      </c>
      <c r="AJ2522">
        <v>93.807268298245702</v>
      </c>
      <c r="AK2522">
        <v>190.971475125674</v>
      </c>
      <c r="AL2522">
        <v>90.924891998645407</v>
      </c>
      <c r="AM2522">
        <v>92.026179055798494</v>
      </c>
      <c r="AN2522">
        <v>1.0000000276985901</v>
      </c>
    </row>
    <row r="2523" spans="1:40" x14ac:dyDescent="0.25">
      <c r="A2523" t="str">
        <f>"20190303153822353"</f>
        <v>20190303153822353</v>
      </c>
      <c r="B2523" t="str">
        <f>"1551598702341202"</f>
        <v>1551598702341202</v>
      </c>
      <c r="C2523" t="s">
        <v>40</v>
      </c>
      <c r="D2523">
        <v>3.9802729999999999</v>
      </c>
      <c r="E2523">
        <v>0.48845070000000002</v>
      </c>
      <c r="F2523" t="s">
        <v>59</v>
      </c>
      <c r="G2523">
        <v>-512.82659999999998</v>
      </c>
      <c r="H2523">
        <v>4.3572350000000002</v>
      </c>
      <c r="I2523">
        <v>273.77940000000001</v>
      </c>
      <c r="J2523">
        <v>-322.33879999999999</v>
      </c>
      <c r="K2523">
        <v>1.1207849999999999</v>
      </c>
      <c r="L2523">
        <v>283.73070000000001</v>
      </c>
      <c r="M2523">
        <v>-0.99981549999999997</v>
      </c>
      <c r="N2523">
        <v>-1.2644610000000001E-2</v>
      </c>
      <c r="O2523">
        <v>1.4464609999999999E-2</v>
      </c>
      <c r="P2523">
        <v>-0.9993725</v>
      </c>
      <c r="Q2523">
        <v>-2.872951E-2</v>
      </c>
      <c r="R2523">
        <v>-2.071951E-2</v>
      </c>
      <c r="S2523">
        <v>-3.000092</v>
      </c>
      <c r="T2523">
        <v>5.0905939999999997E-2</v>
      </c>
      <c r="U2523">
        <v>-0.15646360000000001</v>
      </c>
      <c r="V2523">
        <v>-3.5174780000000003E-2</v>
      </c>
      <c r="W2523">
        <v>-1.6094270000000001E-2</v>
      </c>
      <c r="X2523">
        <v>0.99925160000000002</v>
      </c>
      <c r="Y2523">
        <v>-6.6514100000000007E-2</v>
      </c>
      <c r="Z2523">
        <v>5.7107060000000001E-4</v>
      </c>
      <c r="AA2523">
        <v>0.99778529999999999</v>
      </c>
      <c r="AB2523">
        <v>35</v>
      </c>
      <c r="AC2523">
        <v>-190.48779999999999</v>
      </c>
      <c r="AD2523">
        <v>3.23645</v>
      </c>
      <c r="AE2523">
        <v>-9.9512999999999998</v>
      </c>
      <c r="AF2523">
        <v>-12.7021538157023</v>
      </c>
      <c r="AG2523">
        <v>3.23645</v>
      </c>
      <c r="AH2523">
        <v>190.26913947027899</v>
      </c>
      <c r="AI2523">
        <v>89.027665119058398</v>
      </c>
      <c r="AJ2523">
        <v>93.819334608869497</v>
      </c>
      <c r="AK2523">
        <v>190.72012152607499</v>
      </c>
      <c r="AL2523">
        <v>90.922173535933297</v>
      </c>
      <c r="AM2523">
        <v>92.016043438153403</v>
      </c>
      <c r="AN2523">
        <v>1.00000002538872</v>
      </c>
    </row>
    <row r="2524" spans="1:40" x14ac:dyDescent="0.25">
      <c r="A2524" t="str">
        <f>"20190303153822366"</f>
        <v>20190303153822366</v>
      </c>
      <c r="B2524" t="str">
        <f>"1551598702361698"</f>
        <v>1551598702361698</v>
      </c>
      <c r="C2524" t="s">
        <v>40</v>
      </c>
      <c r="D2524">
        <v>3.9683899999999999</v>
      </c>
      <c r="E2524">
        <v>0.48840280000000003</v>
      </c>
      <c r="F2524" t="s">
        <v>59</v>
      </c>
      <c r="G2524">
        <v>-512.82659999999998</v>
      </c>
      <c r="H2524">
        <v>4.4281870000000003</v>
      </c>
      <c r="I2524">
        <v>273.79239999999999</v>
      </c>
      <c r="J2524">
        <v>-322.54079999999999</v>
      </c>
      <c r="K2524">
        <v>1.1207739999999999</v>
      </c>
      <c r="L2524">
        <v>283.7337</v>
      </c>
      <c r="M2524">
        <v>-0.99981750000000003</v>
      </c>
      <c r="N2524">
        <v>-1.248965E-2</v>
      </c>
      <c r="O2524">
        <v>1.4464400000000001E-2</v>
      </c>
      <c r="P2524">
        <v>-0.99938660000000001</v>
      </c>
      <c r="Q2524">
        <v>-2.8667990000000001E-2</v>
      </c>
      <c r="R2524">
        <v>-2.0122850000000001E-2</v>
      </c>
      <c r="S2524">
        <v>-3.0001220000000002</v>
      </c>
      <c r="T2524">
        <v>5.2091720000000001E-2</v>
      </c>
      <c r="U2524">
        <v>-0.15652469999999999</v>
      </c>
      <c r="V2524">
        <v>-3.4578169999999998E-2</v>
      </c>
      <c r="W2524">
        <v>-1.618735E-2</v>
      </c>
      <c r="X2524">
        <v>0.99927089999999996</v>
      </c>
      <c r="Y2524">
        <v>-6.6533099999999998E-2</v>
      </c>
      <c r="Z2524">
        <v>5.9286250000000005E-4</v>
      </c>
      <c r="AA2524">
        <v>0.997784</v>
      </c>
      <c r="AB2524">
        <v>35</v>
      </c>
      <c r="AC2524">
        <v>-190.28579999999999</v>
      </c>
      <c r="AD2524">
        <v>3.3074129999999999</v>
      </c>
      <c r="AE2524">
        <v>-9.9413000000000107</v>
      </c>
      <c r="AF2524">
        <v>-12.689021081650701</v>
      </c>
      <c r="AG2524">
        <v>3.3074129999999999</v>
      </c>
      <c r="AH2524">
        <v>190.064819977713</v>
      </c>
      <c r="AI2524">
        <v>89.005281971594201</v>
      </c>
      <c r="AJ2524">
        <v>93.819486889539803</v>
      </c>
      <c r="AK2524">
        <v>190.51662927399201</v>
      </c>
      <c r="AL2524">
        <v>90.927507339907606</v>
      </c>
      <c r="AM2524">
        <v>91.981837976859097</v>
      </c>
      <c r="AN2524">
        <v>1.00000000586369</v>
      </c>
    </row>
    <row r="2525" spans="1:40" x14ac:dyDescent="0.25">
      <c r="A2525" t="str">
        <f>"20190303153822380"</f>
        <v>20190303153822380</v>
      </c>
      <c r="B2525" t="str">
        <f>"1551598702371458"</f>
        <v>1551598702371458</v>
      </c>
      <c r="C2525" t="s">
        <v>40</v>
      </c>
      <c r="D2525">
        <v>3.9506380000000001</v>
      </c>
      <c r="E2525">
        <v>0.48836449999999998</v>
      </c>
      <c r="F2525" t="s">
        <v>49</v>
      </c>
      <c r="G2525">
        <v>-455.34780000000001</v>
      </c>
      <c r="H2525">
        <v>3.4688059999999998</v>
      </c>
      <c r="I2525">
        <v>276.87670000000003</v>
      </c>
      <c r="J2525">
        <v>-322.75420000000003</v>
      </c>
      <c r="K2525">
        <v>1.1207609999999999</v>
      </c>
      <c r="L2525">
        <v>283.73680000000002</v>
      </c>
      <c r="M2525">
        <v>-0.99981929999999997</v>
      </c>
      <c r="N2525">
        <v>-1.2331750000000001E-2</v>
      </c>
      <c r="O2525">
        <v>1.446443E-2</v>
      </c>
      <c r="P2525">
        <v>-0.99939489999999997</v>
      </c>
      <c r="Q2525">
        <v>-2.8461790000000001E-2</v>
      </c>
      <c r="R2525">
        <v>-1.9999840000000001E-2</v>
      </c>
      <c r="S2525">
        <v>-3.0002439999999999</v>
      </c>
      <c r="T2525">
        <v>5.3045870000000002E-2</v>
      </c>
      <c r="U2525">
        <v>-0.15490719999999999</v>
      </c>
      <c r="V2525">
        <v>-3.445525E-2</v>
      </c>
      <c r="W2525">
        <v>-1.613887E-2</v>
      </c>
      <c r="X2525">
        <v>0.99927589999999999</v>
      </c>
      <c r="Y2525">
        <v>-6.5994159999999996E-2</v>
      </c>
      <c r="Z2525">
        <v>6.09554E-4</v>
      </c>
      <c r="AA2525">
        <v>0.99781980000000003</v>
      </c>
      <c r="AB2525">
        <v>35</v>
      </c>
      <c r="AC2525">
        <v>-132.59359999999899</v>
      </c>
      <c r="AD2525">
        <v>2.3480449999999999</v>
      </c>
      <c r="AE2525">
        <v>-6.8600999999999797</v>
      </c>
      <c r="AF2525">
        <v>-8.7746746436086998</v>
      </c>
      <c r="AG2525">
        <v>2.3480449999999999</v>
      </c>
      <c r="AH2525">
        <v>132.43907036085901</v>
      </c>
      <c r="AI2525">
        <v>88.986516897759998</v>
      </c>
      <c r="AJ2525">
        <v>93.790559078074693</v>
      </c>
      <c r="AK2525">
        <v>132.75019995642899</v>
      </c>
      <c r="AL2525">
        <v>90.924729305387899</v>
      </c>
      <c r="AM2525">
        <v>91.974788566846897</v>
      </c>
      <c r="AN2525">
        <v>0.99999997584912403</v>
      </c>
    </row>
    <row r="2526" spans="1:40" x14ac:dyDescent="0.25">
      <c r="A2526" t="str">
        <f>"20190303153822393"</f>
        <v>20190303153822393</v>
      </c>
      <c r="B2526" t="str">
        <f>"1551598702390978"</f>
        <v>1551598702390978</v>
      </c>
      <c r="C2526" t="s">
        <v>40</v>
      </c>
      <c r="D2526">
        <v>3.9455260000000001</v>
      </c>
      <c r="E2526">
        <v>0.48828100000000002</v>
      </c>
      <c r="F2526" t="s">
        <v>49</v>
      </c>
      <c r="G2526">
        <v>-455.33260000000001</v>
      </c>
      <c r="H2526">
        <v>3.4988239999999999</v>
      </c>
      <c r="I2526">
        <v>276.8888</v>
      </c>
      <c r="J2526">
        <v>-322.9658</v>
      </c>
      <c r="K2526">
        <v>1.1207499999999999</v>
      </c>
      <c r="L2526">
        <v>283.7398</v>
      </c>
      <c r="M2526">
        <v>-0.99982130000000002</v>
      </c>
      <c r="N2526">
        <v>-1.2174269999999999E-2</v>
      </c>
      <c r="O2526">
        <v>1.4464390000000001E-2</v>
      </c>
      <c r="P2526">
        <v>-0.99940079999999998</v>
      </c>
      <c r="Q2526">
        <v>-2.8403270000000001E-2</v>
      </c>
      <c r="R2526">
        <v>-1.9787450000000002E-2</v>
      </c>
      <c r="S2526">
        <v>-3.0002140000000002</v>
      </c>
      <c r="T2526">
        <v>5.3816320000000001E-2</v>
      </c>
      <c r="U2526">
        <v>-0.1549683</v>
      </c>
      <c r="V2526">
        <v>-3.4243170000000003E-2</v>
      </c>
      <c r="W2526">
        <v>-1.6237640000000001E-2</v>
      </c>
      <c r="X2526">
        <v>0.99928159999999999</v>
      </c>
      <c r="Y2526">
        <v>-6.6014530000000002E-2</v>
      </c>
      <c r="Z2526">
        <v>6.2471949999999999E-4</v>
      </c>
      <c r="AA2526">
        <v>0.99781850000000005</v>
      </c>
      <c r="AB2526">
        <v>35</v>
      </c>
      <c r="AC2526">
        <v>-132.36680000000001</v>
      </c>
      <c r="AD2526">
        <v>2.3780739999999998</v>
      </c>
      <c r="AE2526">
        <v>-6.8509999999999902</v>
      </c>
      <c r="AF2526">
        <v>-8.7622094173906309</v>
      </c>
      <c r="AG2526">
        <v>2.3780739999999998</v>
      </c>
      <c r="AH2526">
        <v>132.21128778023299</v>
      </c>
      <c r="AI2526">
        <v>88.971791584694103</v>
      </c>
      <c r="AJ2526">
        <v>93.791692283208405</v>
      </c>
      <c r="AK2526">
        <v>132.522662840479</v>
      </c>
      <c r="AL2526">
        <v>90.930389142000905</v>
      </c>
      <c r="AM2526">
        <v>91.962631637649594</v>
      </c>
      <c r="AN2526">
        <v>0.99999998587148897</v>
      </c>
    </row>
    <row r="2527" spans="1:40" x14ac:dyDescent="0.25">
      <c r="A2527" t="str">
        <f>"20190303153822407"</f>
        <v>20190303153822407</v>
      </c>
      <c r="B2527" t="str">
        <f>"1551598702401714"</f>
        <v>1551598702401714</v>
      </c>
      <c r="C2527" t="s">
        <v>40</v>
      </c>
      <c r="D2527">
        <v>4.0038960000000001</v>
      </c>
      <c r="E2527">
        <v>0.4884211</v>
      </c>
      <c r="F2527" t="s">
        <v>49</v>
      </c>
      <c r="G2527">
        <v>-455.32990000000001</v>
      </c>
      <c r="H2527">
        <v>3.5355310000000002</v>
      </c>
      <c r="I2527">
        <v>276.89100000000002</v>
      </c>
      <c r="J2527">
        <v>-323.17520000000002</v>
      </c>
      <c r="K2527">
        <v>1.120736</v>
      </c>
      <c r="L2527">
        <v>283.74279999999999</v>
      </c>
      <c r="M2527">
        <v>-0.99982329999999997</v>
      </c>
      <c r="N2527">
        <v>-1.2013569999999999E-2</v>
      </c>
      <c r="O2527">
        <v>1.446418E-2</v>
      </c>
      <c r="P2527">
        <v>-0.99941380000000002</v>
      </c>
      <c r="Q2527">
        <v>-2.8012329999999998E-2</v>
      </c>
      <c r="R2527">
        <v>-1.9684529999999999E-2</v>
      </c>
      <c r="S2527">
        <v>-3.000305</v>
      </c>
      <c r="T2527">
        <v>5.473745E-2</v>
      </c>
      <c r="U2527">
        <v>-0.15524289999999999</v>
      </c>
      <c r="V2527">
        <v>-3.4139889999999999E-2</v>
      </c>
      <c r="W2527">
        <v>-1.6007170000000001E-2</v>
      </c>
      <c r="X2527">
        <v>0.99928890000000004</v>
      </c>
      <c r="Y2527">
        <v>-6.6103419999999996E-2</v>
      </c>
      <c r="Z2527">
        <v>6.4250549999999998E-4</v>
      </c>
      <c r="AA2527">
        <v>0.99781260000000005</v>
      </c>
      <c r="AB2527">
        <v>35</v>
      </c>
      <c r="AC2527">
        <v>-132.15469999999999</v>
      </c>
      <c r="AD2527">
        <v>2.4147949999999998</v>
      </c>
      <c r="AE2527">
        <v>-6.8518000000000203</v>
      </c>
      <c r="AF2527">
        <v>-8.7598133610533502</v>
      </c>
      <c r="AG2527">
        <v>2.4147949999999998</v>
      </c>
      <c r="AH2527">
        <v>131.99780648952299</v>
      </c>
      <c r="AI2527">
        <v>88.954235922693698</v>
      </c>
      <c r="AJ2527">
        <v>93.796771205550399</v>
      </c>
      <c r="AK2527">
        <v>132.31019039763299</v>
      </c>
      <c r="AL2527">
        <v>90.917182423151203</v>
      </c>
      <c r="AM2527">
        <v>91.956702517017106</v>
      </c>
      <c r="AN2527">
        <v>1.0000000336219099</v>
      </c>
    </row>
    <row r="2528" spans="1:40" x14ac:dyDescent="0.25">
      <c r="A2528" t="str">
        <f>"20190303153822421"</f>
        <v>20190303153822421</v>
      </c>
      <c r="B2528" t="str">
        <f>"1551598702411474"</f>
        <v>1551598702411474</v>
      </c>
      <c r="C2528" t="s">
        <v>40</v>
      </c>
      <c r="D2528">
        <v>3.9215939999999998</v>
      </c>
      <c r="E2528">
        <v>0.4884289</v>
      </c>
      <c r="F2528" t="s">
        <v>49</v>
      </c>
      <c r="G2528">
        <v>-455.29300000000001</v>
      </c>
      <c r="H2528">
        <v>3.5292210000000002</v>
      </c>
      <c r="I2528">
        <v>276.97250000000003</v>
      </c>
      <c r="J2528">
        <v>-323.39210000000003</v>
      </c>
      <c r="K2528">
        <v>1.1207119999999999</v>
      </c>
      <c r="L2528">
        <v>283.74599999999998</v>
      </c>
      <c r="M2528">
        <v>-0.99982539999999998</v>
      </c>
      <c r="N2528">
        <v>-1.1836849999999999E-2</v>
      </c>
      <c r="O2528">
        <v>1.4464050000000001E-2</v>
      </c>
      <c r="P2528">
        <v>-0.99943009999999999</v>
      </c>
      <c r="Q2528">
        <v>-2.760953E-2</v>
      </c>
      <c r="R2528">
        <v>-1.9427989999999999E-2</v>
      </c>
      <c r="S2528">
        <v>-3.0002749999999998</v>
      </c>
      <c r="T2528">
        <v>5.4695960000000002E-2</v>
      </c>
      <c r="U2528">
        <v>-0.15374760000000001</v>
      </c>
      <c r="V2528">
        <v>-3.3883179999999999E-2</v>
      </c>
      <c r="W2528">
        <v>-1.578077E-2</v>
      </c>
      <c r="X2528">
        <v>0.9993012</v>
      </c>
      <c r="Y2528">
        <v>-6.5607789999999999E-2</v>
      </c>
      <c r="Z2528">
        <v>6.4358480000000005E-4</v>
      </c>
      <c r="AA2528">
        <v>0.99784530000000005</v>
      </c>
      <c r="AB2528">
        <v>35</v>
      </c>
      <c r="AC2528">
        <v>-131.90089999999901</v>
      </c>
      <c r="AD2528">
        <v>2.408509</v>
      </c>
      <c r="AE2528">
        <v>-6.7734999999999497</v>
      </c>
      <c r="AF2528">
        <v>-8.6778602383777894</v>
      </c>
      <c r="AG2528">
        <v>2.408509</v>
      </c>
      <c r="AH2528">
        <v>131.74530890418501</v>
      </c>
      <c r="AI2528">
        <v>88.954924923994298</v>
      </c>
      <c r="AJ2528">
        <v>93.768540759848804</v>
      </c>
      <c r="AK2528">
        <v>132.05276442460101</v>
      </c>
      <c r="AL2528">
        <v>90.904209054828698</v>
      </c>
      <c r="AM2528">
        <v>91.941976797011606</v>
      </c>
      <c r="AN2528">
        <v>0.99999999545507201</v>
      </c>
    </row>
    <row r="2529" spans="1:40" x14ac:dyDescent="0.25">
      <c r="A2529" t="str">
        <f>"20190303153822432"</f>
        <v>20190303153822432</v>
      </c>
      <c r="B2529" t="str">
        <f>"1551598702421234"</f>
        <v>1551598702421234</v>
      </c>
      <c r="C2529" t="s">
        <v>40</v>
      </c>
      <c r="D2529">
        <v>3.9308580000000002</v>
      </c>
      <c r="E2529">
        <v>0.48842039999999998</v>
      </c>
      <c r="F2529" t="s">
        <v>49</v>
      </c>
      <c r="G2529">
        <v>-455.29300000000001</v>
      </c>
      <c r="H2529">
        <v>3.5994440000000001</v>
      </c>
      <c r="I2529">
        <v>277.01639999999998</v>
      </c>
      <c r="J2529">
        <v>-323.56729999999999</v>
      </c>
      <c r="K2529">
        <v>1.1206959999999999</v>
      </c>
      <c r="L2529">
        <v>283.74849999999998</v>
      </c>
      <c r="M2529">
        <v>-0.99982720000000003</v>
      </c>
      <c r="N2529">
        <v>-1.1687289999999999E-2</v>
      </c>
      <c r="O2529">
        <v>1.446393E-2</v>
      </c>
      <c r="P2529">
        <v>-0.99944560000000005</v>
      </c>
      <c r="Q2529">
        <v>-2.7168379999999999E-2</v>
      </c>
      <c r="R2529">
        <v>-1.9255629999999999E-2</v>
      </c>
      <c r="S2529">
        <v>-3.0003359999999999</v>
      </c>
      <c r="T2529">
        <v>5.6384919999999998E-2</v>
      </c>
      <c r="U2529">
        <v>-0.1530762</v>
      </c>
      <c r="V2529">
        <v>-3.3711320000000003E-2</v>
      </c>
      <c r="W2529">
        <v>-1.548893E-2</v>
      </c>
      <c r="X2529">
        <v>0.99931159999999997</v>
      </c>
      <c r="Y2529">
        <v>-6.5383170000000004E-2</v>
      </c>
      <c r="Z2529">
        <v>6.721063E-4</v>
      </c>
      <c r="AA2529">
        <v>0.99785999999999997</v>
      </c>
      <c r="AB2529">
        <v>35</v>
      </c>
      <c r="AC2529">
        <v>-131.72569999999999</v>
      </c>
      <c r="AD2529">
        <v>2.478748</v>
      </c>
      <c r="AE2529">
        <v>-6.7321</v>
      </c>
      <c r="AF2529">
        <v>-8.6337476648489702</v>
      </c>
      <c r="AG2529">
        <v>2.478748</v>
      </c>
      <c r="AH2529">
        <v>131.56807263063001</v>
      </c>
      <c r="AI2529">
        <v>88.922988696174002</v>
      </c>
      <c r="AJ2529">
        <v>93.754475202146295</v>
      </c>
      <c r="AK2529">
        <v>131.87434749080799</v>
      </c>
      <c r="AL2529">
        <v>90.887485791191807</v>
      </c>
      <c r="AM2529">
        <v>91.932114224119999</v>
      </c>
      <c r="AN2529">
        <v>1.0000000169716201</v>
      </c>
    </row>
    <row r="2530" spans="1:40" x14ac:dyDescent="0.25">
      <c r="A2530" t="str">
        <f>"20190303153822444"</f>
        <v>20190303153822444</v>
      </c>
      <c r="B2530" t="str">
        <f>"1551598702441730"</f>
        <v>1551598702441730</v>
      </c>
      <c r="C2530" t="s">
        <v>40</v>
      </c>
      <c r="D2530">
        <v>3.9178250000000001</v>
      </c>
      <c r="E2530">
        <v>0.48844029999999999</v>
      </c>
      <c r="F2530" t="s">
        <v>49</v>
      </c>
      <c r="G2530">
        <v>-455.32400000000001</v>
      </c>
      <c r="H2530">
        <v>3.6655440000000001</v>
      </c>
      <c r="I2530">
        <v>277.04770000000002</v>
      </c>
      <c r="J2530">
        <v>-323.75990000000002</v>
      </c>
      <c r="K2530">
        <v>1.120681</v>
      </c>
      <c r="L2530">
        <v>283.75130000000001</v>
      </c>
      <c r="M2530">
        <v>-0.99982930000000003</v>
      </c>
      <c r="N2530">
        <v>-1.150787E-2</v>
      </c>
      <c r="O2530">
        <v>1.446385E-2</v>
      </c>
      <c r="P2530">
        <v>-0.99945349999999999</v>
      </c>
      <c r="Q2530">
        <v>-2.673822E-2</v>
      </c>
      <c r="R2530">
        <v>-1.9443930000000002E-2</v>
      </c>
      <c r="S2530">
        <v>-3.000305</v>
      </c>
      <c r="T2530">
        <v>5.7951570000000001E-2</v>
      </c>
      <c r="U2530">
        <v>-0.1525879</v>
      </c>
      <c r="V2530">
        <v>-3.3899190000000003E-2</v>
      </c>
      <c r="W2530">
        <v>-1.523803E-2</v>
      </c>
      <c r="X2530">
        <v>0.99930909999999995</v>
      </c>
      <c r="Y2530">
        <v>-6.5220910000000007E-2</v>
      </c>
      <c r="Z2530">
        <v>6.9936239999999995E-4</v>
      </c>
      <c r="AA2530">
        <v>0.99787060000000005</v>
      </c>
      <c r="AB2530">
        <v>35</v>
      </c>
      <c r="AC2530">
        <v>-131.5641</v>
      </c>
      <c r="AD2530">
        <v>2.5448629999999999</v>
      </c>
      <c r="AE2530">
        <v>-6.70359999999999</v>
      </c>
      <c r="AF2530">
        <v>-8.6027373966437697</v>
      </c>
      <c r="AG2530">
        <v>2.5448629999999999</v>
      </c>
      <c r="AH2530">
        <v>131.404330837072</v>
      </c>
      <c r="AI2530">
        <v>88.892880253962502</v>
      </c>
      <c r="AJ2530">
        <v>93.745676826846406</v>
      </c>
      <c r="AK2530">
        <v>131.71021821082499</v>
      </c>
      <c r="AL2530">
        <v>90.873108585173796</v>
      </c>
      <c r="AM2530">
        <v>91.942878341575096</v>
      </c>
      <c r="AN2530">
        <v>1.00000001499187</v>
      </c>
    </row>
    <row r="2531" spans="1:40" x14ac:dyDescent="0.25">
      <c r="A2531" t="str">
        <f>"20190303153822455"</f>
        <v>20190303153822455</v>
      </c>
      <c r="B2531" t="str">
        <f>"1551598702451491"</f>
        <v>1551598702451491</v>
      </c>
      <c r="C2531" t="s">
        <v>40</v>
      </c>
      <c r="D2531">
        <v>3.9124889999999999</v>
      </c>
      <c r="E2531">
        <v>0.48846119999999998</v>
      </c>
      <c r="F2531" t="s">
        <v>49</v>
      </c>
      <c r="G2531">
        <v>-455.3229</v>
      </c>
      <c r="H2531">
        <v>3.7324410000000001</v>
      </c>
      <c r="I2531">
        <v>277.04680000000002</v>
      </c>
      <c r="J2531">
        <v>-323.92290000000003</v>
      </c>
      <c r="K2531">
        <v>1.1206609999999999</v>
      </c>
      <c r="L2531">
        <v>283.75369999999998</v>
      </c>
      <c r="M2531">
        <v>-0.99983109999999997</v>
      </c>
      <c r="N2531">
        <v>-1.134776E-2</v>
      </c>
      <c r="O2531">
        <v>1.446358E-2</v>
      </c>
      <c r="P2531">
        <v>-0.99945249999999997</v>
      </c>
      <c r="Q2531">
        <v>-2.6619339999999998E-2</v>
      </c>
      <c r="R2531">
        <v>-1.965298E-2</v>
      </c>
      <c r="S2531">
        <v>-3.0002749999999998</v>
      </c>
      <c r="T2531">
        <v>5.9562209999999997E-2</v>
      </c>
      <c r="U2531">
        <v>-0.1528931</v>
      </c>
      <c r="V2531">
        <v>-3.4108359999999997E-2</v>
      </c>
      <c r="W2531">
        <v>-1.527921E-2</v>
      </c>
      <c r="X2531">
        <v>0.99930129999999995</v>
      </c>
      <c r="Y2531">
        <v>-6.5321589999999999E-2</v>
      </c>
      <c r="Z2531">
        <v>7.279427E-4</v>
      </c>
      <c r="AA2531">
        <v>0.99786399999999997</v>
      </c>
      <c r="AB2531">
        <v>35</v>
      </c>
      <c r="AC2531">
        <v>-131.39999999999901</v>
      </c>
      <c r="AD2531">
        <v>2.61178</v>
      </c>
      <c r="AE2531">
        <v>-6.7068999999999601</v>
      </c>
      <c r="AF2531">
        <v>-8.6034447556979998</v>
      </c>
      <c r="AG2531">
        <v>2.61178</v>
      </c>
      <c r="AH2531">
        <v>131.237527087746</v>
      </c>
      <c r="AI2531">
        <v>88.862338954206393</v>
      </c>
      <c r="AJ2531">
        <v>93.750731525753096</v>
      </c>
      <c r="AK2531">
        <v>131.54516020188501</v>
      </c>
      <c r="AL2531">
        <v>90.875468347037994</v>
      </c>
      <c r="AM2531">
        <v>91.954872562369601</v>
      </c>
      <c r="AN2531">
        <v>0.99999996133090097</v>
      </c>
    </row>
    <row r="2532" spans="1:40" x14ac:dyDescent="0.25">
      <c r="A2532" t="str">
        <f>"20190303153822466"</f>
        <v>20190303153822466</v>
      </c>
      <c r="B2532" t="str">
        <f>"1551598702461250"</f>
        <v>1551598702461250</v>
      </c>
      <c r="C2532" t="s">
        <v>40</v>
      </c>
      <c r="D2532">
        <v>3.899184</v>
      </c>
      <c r="E2532">
        <v>0.48846210000000001</v>
      </c>
      <c r="F2532" t="s">
        <v>49</v>
      </c>
      <c r="G2532">
        <v>-455.30869999999999</v>
      </c>
      <c r="H2532">
        <v>3.756751</v>
      </c>
      <c r="I2532">
        <v>277.03550000000001</v>
      </c>
      <c r="J2532">
        <v>-324.09930000000003</v>
      </c>
      <c r="K2532">
        <v>1.1206370000000001</v>
      </c>
      <c r="L2532">
        <v>283.75619999999998</v>
      </c>
      <c r="M2532">
        <v>-0.99983299999999997</v>
      </c>
      <c r="N2532">
        <v>-1.1168000000000001E-2</v>
      </c>
      <c r="O2532">
        <v>1.4463470000000001E-2</v>
      </c>
      <c r="P2532">
        <v>-0.99945740000000005</v>
      </c>
      <c r="Q2532">
        <v>-2.621778E-2</v>
      </c>
      <c r="R2532">
        <v>-1.9941270000000001E-2</v>
      </c>
      <c r="S2532">
        <v>-3.0002439999999999</v>
      </c>
      <c r="T2532">
        <v>6.0197590000000002E-2</v>
      </c>
      <c r="U2532">
        <v>-0.15341189999999999</v>
      </c>
      <c r="V2532">
        <v>-3.4396280000000001E-2</v>
      </c>
      <c r="W2532">
        <v>-1.5057310000000001E-2</v>
      </c>
      <c r="X2532">
        <v>0.99929480000000004</v>
      </c>
      <c r="Y2532">
        <v>-6.549373E-2</v>
      </c>
      <c r="Z2532">
        <v>7.4195339999999998E-4</v>
      </c>
      <c r="AA2532">
        <v>0.99785270000000004</v>
      </c>
      <c r="AB2532">
        <v>35</v>
      </c>
      <c r="AC2532">
        <v>-131.20939999999899</v>
      </c>
      <c r="AD2532">
        <v>2.6361140000000001</v>
      </c>
      <c r="AE2532">
        <v>-6.7206999999999599</v>
      </c>
      <c r="AF2532">
        <v>-8.6143905012819602</v>
      </c>
      <c r="AG2532">
        <v>2.6361140000000001</v>
      </c>
      <c r="AH2532">
        <v>131.04570549033701</v>
      </c>
      <c r="AI2532">
        <v>88.850075316881401</v>
      </c>
      <c r="AJ2532">
        <v>93.760971183722603</v>
      </c>
      <c r="AK2532">
        <v>131.354991333371</v>
      </c>
      <c r="AL2532">
        <v>90.862752949643394</v>
      </c>
      <c r="AM2532">
        <v>91.971374138070104</v>
      </c>
      <c r="AN2532">
        <v>0.99999996198465602</v>
      </c>
    </row>
    <row r="2533" spans="1:40" x14ac:dyDescent="0.25">
      <c r="A2533" t="str">
        <f>"20190303153822477"</f>
        <v>20190303153822477</v>
      </c>
      <c r="B2533" t="str">
        <f>"1551598702471010"</f>
        <v>1551598702471010</v>
      </c>
      <c r="C2533" t="s">
        <v>40</v>
      </c>
      <c r="D2533">
        <v>3.899419</v>
      </c>
      <c r="E2533">
        <v>0.48846580000000001</v>
      </c>
      <c r="F2533" t="s">
        <v>49</v>
      </c>
      <c r="G2533">
        <v>-455.29300000000001</v>
      </c>
      <c r="H2533">
        <v>3.8221620000000001</v>
      </c>
      <c r="I2533">
        <v>277.0009</v>
      </c>
      <c r="J2533">
        <v>-324.27030000000002</v>
      </c>
      <c r="K2533">
        <v>1.1206149999999999</v>
      </c>
      <c r="L2533">
        <v>283.7586</v>
      </c>
      <c r="M2533">
        <v>-0.99983509999999998</v>
      </c>
      <c r="N2533">
        <v>-1.098852E-2</v>
      </c>
      <c r="O2533">
        <v>1.446311E-2</v>
      </c>
      <c r="P2533">
        <v>-0.99946389999999996</v>
      </c>
      <c r="Q2533">
        <v>-2.5843979999999999E-2</v>
      </c>
      <c r="R2533">
        <v>-2.0109209999999999E-2</v>
      </c>
      <c r="S2533">
        <v>-3.0001530000000001</v>
      </c>
      <c r="T2533">
        <v>6.1780210000000002E-2</v>
      </c>
      <c r="U2533">
        <v>-0.15448000000000001</v>
      </c>
      <c r="V2533">
        <v>-3.4564099999999903E-2</v>
      </c>
      <c r="W2533">
        <v>-1.486284E-2</v>
      </c>
      <c r="X2533">
        <v>0.99929199999999996</v>
      </c>
      <c r="Y2533">
        <v>-6.5848390000000007E-2</v>
      </c>
      <c r="Z2533">
        <v>7.7182209999999995E-4</v>
      </c>
      <c r="AA2533">
        <v>0.99782930000000003</v>
      </c>
      <c r="AB2533">
        <v>35</v>
      </c>
      <c r="AC2533">
        <v>-131.02269999999999</v>
      </c>
      <c r="AD2533">
        <v>2.7015470000000001</v>
      </c>
      <c r="AE2533">
        <v>-6.7576999999999998</v>
      </c>
      <c r="AF2533">
        <v>-8.6484360363626802</v>
      </c>
      <c r="AG2533">
        <v>2.7015470000000001</v>
      </c>
      <c r="AH2533">
        <v>130.85576618875399</v>
      </c>
      <c r="AI2533">
        <v>88.819857572444604</v>
      </c>
      <c r="AJ2533">
        <v>93.781257004715798</v>
      </c>
      <c r="AK2533">
        <v>131.169071609561</v>
      </c>
      <c r="AL2533">
        <v>90.851609324488095</v>
      </c>
      <c r="AM2533">
        <v>91.980990405419902</v>
      </c>
      <c r="AN2533">
        <v>1.00000004114283</v>
      </c>
    </row>
    <row r="2534" spans="1:40" x14ac:dyDescent="0.25">
      <c r="A2534" t="str">
        <f>"20190303153822489"</f>
        <v>20190303153822489</v>
      </c>
      <c r="B2534" t="str">
        <f>"1551598702480951"</f>
        <v>1551598702480951</v>
      </c>
      <c r="C2534" t="s">
        <v>40</v>
      </c>
      <c r="D2534">
        <v>3.8964270000000001</v>
      </c>
      <c r="E2534">
        <v>0.48847380000000001</v>
      </c>
      <c r="F2534" t="s">
        <v>49</v>
      </c>
      <c r="G2534">
        <v>-455.29300000000001</v>
      </c>
      <c r="H2534">
        <v>3.8842840000000001</v>
      </c>
      <c r="I2534">
        <v>276.97750000000002</v>
      </c>
      <c r="J2534">
        <v>-324.46469999999999</v>
      </c>
      <c r="K2534">
        <v>1.120592</v>
      </c>
      <c r="L2534">
        <v>283.76150000000001</v>
      </c>
      <c r="M2534">
        <v>-0.99983730000000004</v>
      </c>
      <c r="N2534">
        <v>-1.0782740000000001E-2</v>
      </c>
      <c r="O2534">
        <v>1.4462930000000001E-2</v>
      </c>
      <c r="P2534">
        <v>-0.99945709999999999</v>
      </c>
      <c r="Q2534">
        <v>-2.582593E-2</v>
      </c>
      <c r="R2534">
        <v>-2.0468009999999998E-2</v>
      </c>
      <c r="S2534">
        <v>-3.0001220000000002</v>
      </c>
      <c r="T2534">
        <v>6.3283210000000006E-2</v>
      </c>
      <c r="U2534">
        <v>-0.15527340000000001</v>
      </c>
      <c r="V2534">
        <v>-3.4922330000000001E-2</v>
      </c>
      <c r="W2534">
        <v>-1.5050569999999999E-2</v>
      </c>
      <c r="X2534">
        <v>0.99927670000000002</v>
      </c>
      <c r="Y2534">
        <v>-6.6111069999999994E-2</v>
      </c>
      <c r="Z2534">
        <v>8.0068789999999902E-4</v>
      </c>
      <c r="AA2534">
        <v>0.99781200000000003</v>
      </c>
      <c r="AB2534">
        <v>35</v>
      </c>
      <c r="AC2534">
        <v>-130.82830000000001</v>
      </c>
      <c r="AD2534">
        <v>2.7636919999999998</v>
      </c>
      <c r="AE2534">
        <v>-6.78399999999999</v>
      </c>
      <c r="AF2534">
        <v>-8.67170149196712</v>
      </c>
      <c r="AG2534">
        <v>2.7636919999999998</v>
      </c>
      <c r="AH2534">
        <v>130.658342768544</v>
      </c>
      <c r="AI2534">
        <v>88.790916629228406</v>
      </c>
      <c r="AJ2534">
        <v>93.797111485082397</v>
      </c>
      <c r="AK2534">
        <v>130.97495537414301</v>
      </c>
      <c r="AL2534">
        <v>90.862366694369896</v>
      </c>
      <c r="AM2534">
        <v>92.001535836264495</v>
      </c>
      <c r="AN2534">
        <v>1.00000000597642</v>
      </c>
    </row>
    <row r="2535" spans="1:40" x14ac:dyDescent="0.25">
      <c r="A2535" t="str">
        <f>"20190303153822501"</f>
        <v>20190303153822501</v>
      </c>
      <c r="B2535" t="str">
        <f>"1551598702491687"</f>
        <v>1551598702491687</v>
      </c>
      <c r="C2535" t="s">
        <v>40</v>
      </c>
      <c r="D2535">
        <v>3.8959959999999998</v>
      </c>
      <c r="E2535">
        <v>0.48846650000000003</v>
      </c>
      <c r="F2535" t="s">
        <v>49</v>
      </c>
      <c r="G2535">
        <v>-455.29300000000001</v>
      </c>
      <c r="H2535">
        <v>3.896379</v>
      </c>
      <c r="I2535">
        <v>276.95960000000002</v>
      </c>
      <c r="J2535">
        <v>-324.65159999999997</v>
      </c>
      <c r="K2535">
        <v>1.120568</v>
      </c>
      <c r="L2535">
        <v>283.76420000000002</v>
      </c>
      <c r="M2535">
        <v>-0.99983940000000004</v>
      </c>
      <c r="N2535">
        <v>-1.058506E-2</v>
      </c>
      <c r="O2535">
        <v>1.446245E-2</v>
      </c>
      <c r="P2535">
        <v>-0.99946000000000002</v>
      </c>
      <c r="Q2535">
        <v>-2.5514820000000001E-2</v>
      </c>
      <c r="R2535">
        <v>-2.0704839999999999E-2</v>
      </c>
      <c r="S2535">
        <v>-3.0000610000000001</v>
      </c>
      <c r="T2535">
        <v>6.3653829999999995E-2</v>
      </c>
      <c r="U2535">
        <v>-0.15597529999999901</v>
      </c>
      <c r="V2535">
        <v>-3.5158740000000001E-2</v>
      </c>
      <c r="W2535">
        <v>-1.4937010000000001E-2</v>
      </c>
      <c r="X2535">
        <v>0.99927010000000005</v>
      </c>
      <c r="Y2535">
        <v>-6.6344169999999994E-2</v>
      </c>
      <c r="Z2535">
        <v>8.1146720000000003E-4</v>
      </c>
      <c r="AA2535">
        <v>0.99779649999999998</v>
      </c>
      <c r="AB2535">
        <v>35</v>
      </c>
      <c r="AC2535">
        <v>-130.6414</v>
      </c>
      <c r="AD2535">
        <v>2.775811</v>
      </c>
      <c r="AE2535">
        <v>-6.80459999999999</v>
      </c>
      <c r="AF2535">
        <v>-8.6894764644189095</v>
      </c>
      <c r="AG2535">
        <v>2.775811</v>
      </c>
      <c r="AH2535">
        <v>130.470575692919</v>
      </c>
      <c r="AI2535">
        <v>88.783887781805007</v>
      </c>
      <c r="AJ2535">
        <v>93.8103315144064</v>
      </c>
      <c r="AK2535">
        <v>130.789079244313</v>
      </c>
      <c r="AL2535">
        <v>90.855859466138298</v>
      </c>
      <c r="AM2535">
        <v>92.015087586958202</v>
      </c>
      <c r="AN2535">
        <v>0.99999999201006895</v>
      </c>
    </row>
    <row r="2536" spans="1:40" x14ac:dyDescent="0.25">
      <c r="A2536" t="str">
        <f>"20190303153822514"</f>
        <v>20190303153822514</v>
      </c>
      <c r="B2536" t="str">
        <f>"1551598702501447"</f>
        <v>1551598702501447</v>
      </c>
      <c r="C2536" t="s">
        <v>40</v>
      </c>
      <c r="D2536">
        <v>3.876865</v>
      </c>
      <c r="E2536">
        <v>0.48847669999999999</v>
      </c>
      <c r="F2536" t="s">
        <v>49</v>
      </c>
      <c r="G2536">
        <v>-455.29300000000001</v>
      </c>
      <c r="H2536">
        <v>3.939381</v>
      </c>
      <c r="I2536">
        <v>276.92939999999999</v>
      </c>
      <c r="J2536">
        <v>-324.84199999999998</v>
      </c>
      <c r="K2536">
        <v>1.120544</v>
      </c>
      <c r="L2536">
        <v>283.76690000000002</v>
      </c>
      <c r="M2536">
        <v>-0.9998416</v>
      </c>
      <c r="N2536">
        <v>-1.038592E-2</v>
      </c>
      <c r="O2536">
        <v>1.4462010000000001E-2</v>
      </c>
      <c r="P2536">
        <v>-0.99945550000000005</v>
      </c>
      <c r="Q2536">
        <v>-2.538236E-2</v>
      </c>
      <c r="R2536">
        <v>-2.108428E-2</v>
      </c>
      <c r="S2536">
        <v>-3.0000309999999999</v>
      </c>
      <c r="T2536">
        <v>6.4732310000000001E-2</v>
      </c>
      <c r="U2536">
        <v>-0.15695190000000001</v>
      </c>
      <c r="V2536">
        <v>-3.55375E-2</v>
      </c>
      <c r="W2536">
        <v>-1.500364E-2</v>
      </c>
      <c r="X2536">
        <v>0.99925569999999997</v>
      </c>
      <c r="Y2536">
        <v>-6.6667509999999999E-2</v>
      </c>
      <c r="Z2536">
        <v>8.3409479999999904E-4</v>
      </c>
      <c r="AA2536">
        <v>0.99777490000000002</v>
      </c>
      <c r="AB2536">
        <v>35</v>
      </c>
      <c r="AC2536">
        <v>-130.45099999999999</v>
      </c>
      <c r="AD2536">
        <v>2.8188369999999998</v>
      </c>
      <c r="AE2536">
        <v>-6.8375000000000297</v>
      </c>
      <c r="AF2536">
        <v>-8.7194099144145802</v>
      </c>
      <c r="AG2536">
        <v>2.8188369999999998</v>
      </c>
      <c r="AH2536">
        <v>130.27780358461999</v>
      </c>
      <c r="AI2536">
        <v>88.763243611290306</v>
      </c>
      <c r="AJ2536">
        <v>93.829059149149003</v>
      </c>
      <c r="AK2536">
        <v>130.59969394344299</v>
      </c>
      <c r="AL2536">
        <v>90.8596775147887</v>
      </c>
      <c r="AM2536">
        <v>92.036806973146099</v>
      </c>
      <c r="AN2536">
        <v>0.99999998855099403</v>
      </c>
    </row>
    <row r="2537" spans="1:40" x14ac:dyDescent="0.25">
      <c r="A2537" t="str">
        <f>"20190303153822528"</f>
        <v>20190303153822528</v>
      </c>
      <c r="B2537" t="str">
        <f>"1551598702520967"</f>
        <v>1551598702520967</v>
      </c>
      <c r="C2537" t="s">
        <v>40</v>
      </c>
      <c r="D2537">
        <v>3.8945630000000002</v>
      </c>
      <c r="E2537">
        <v>0.48847010000000002</v>
      </c>
      <c r="F2537" t="s">
        <v>49</v>
      </c>
      <c r="G2537">
        <v>-455.32279999999997</v>
      </c>
      <c r="H2537">
        <v>3.9630260000000002</v>
      </c>
      <c r="I2537">
        <v>276.89659999999998</v>
      </c>
      <c r="J2537">
        <v>-325.07389999999998</v>
      </c>
      <c r="K2537">
        <v>1.1205160000000001</v>
      </c>
      <c r="L2537">
        <v>283.77019999999999</v>
      </c>
      <c r="M2537">
        <v>-0.99984399999999996</v>
      </c>
      <c r="N2537">
        <v>-1.014782E-2</v>
      </c>
      <c r="O2537">
        <v>1.4461760000000001E-2</v>
      </c>
      <c r="P2537">
        <v>-0.99945859999999997</v>
      </c>
      <c r="Q2537">
        <v>-2.4920620000000001E-2</v>
      </c>
      <c r="R2537">
        <v>-2.1487610000000001E-2</v>
      </c>
      <c r="S2537">
        <v>-2.9999690000000001</v>
      </c>
      <c r="T2537">
        <v>6.5354819999999994E-2</v>
      </c>
      <c r="U2537">
        <v>-0.15795899999999999</v>
      </c>
      <c r="V2537">
        <v>-3.5940720000000002E-2</v>
      </c>
      <c r="W2537">
        <v>-1.4779870000000001E-2</v>
      </c>
      <c r="X2537">
        <v>0.99924460000000004</v>
      </c>
      <c r="Y2537">
        <v>-6.7001889999999995E-2</v>
      </c>
      <c r="Z2537">
        <v>8.5044500000000002E-4</v>
      </c>
      <c r="AA2537">
        <v>0.99775250000000004</v>
      </c>
      <c r="AB2537">
        <v>35</v>
      </c>
      <c r="AC2537">
        <v>-130.24889999999999</v>
      </c>
      <c r="AD2537">
        <v>2.8425099999999999</v>
      </c>
      <c r="AE2537">
        <v>-6.8735999999999997</v>
      </c>
      <c r="AF2537">
        <v>-8.7524493193982504</v>
      </c>
      <c r="AG2537">
        <v>2.8425099999999999</v>
      </c>
      <c r="AH2537">
        <v>130.07408941903901</v>
      </c>
      <c r="AI2537">
        <v>88.750937776959404</v>
      </c>
      <c r="AJ2537">
        <v>93.849526144633103</v>
      </c>
      <c r="AK2537">
        <v>130.39921000673601</v>
      </c>
      <c r="AL2537">
        <v>90.8468550274156</v>
      </c>
      <c r="AM2537">
        <v>92.059920310662505</v>
      </c>
      <c r="AN2537">
        <v>0.99999997527024698</v>
      </c>
    </row>
    <row r="2538" spans="1:40" x14ac:dyDescent="0.25">
      <c r="A2538" t="str">
        <f>"20190303153822543"</f>
        <v>20190303153822543</v>
      </c>
      <c r="B2538" t="str">
        <f>"1551598702531703"</f>
        <v>1551598702531703</v>
      </c>
      <c r="C2538" t="s">
        <v>40</v>
      </c>
      <c r="D2538">
        <v>3.9006409999999998</v>
      </c>
      <c r="E2538">
        <v>0.48851749999999999</v>
      </c>
      <c r="F2538" t="s">
        <v>59</v>
      </c>
      <c r="G2538">
        <v>-512.82690000000002</v>
      </c>
      <c r="H2538">
        <v>5.3249700000000004</v>
      </c>
      <c r="I2538">
        <v>273.79989999999998</v>
      </c>
      <c r="J2538">
        <v>-325.29349999999999</v>
      </c>
      <c r="K2538">
        <v>1.120492</v>
      </c>
      <c r="L2538">
        <v>283.77339999999998</v>
      </c>
      <c r="M2538">
        <v>-0.99984609999999996</v>
      </c>
      <c r="N2538">
        <v>-9.9280759999999992E-3</v>
      </c>
      <c r="O2538">
        <v>1.446185E-2</v>
      </c>
      <c r="P2538">
        <v>-0.99944230000000001</v>
      </c>
      <c r="Q2538">
        <v>-2.508136E-2</v>
      </c>
      <c r="R2538">
        <v>-2.2041399999999999E-2</v>
      </c>
      <c r="S2538">
        <v>-2.9998469999999999</v>
      </c>
      <c r="T2538">
        <v>6.7178370000000001E-2</v>
      </c>
      <c r="U2538">
        <v>-0.15930179999999999</v>
      </c>
      <c r="V2538">
        <v>-3.6494180000000001E-2</v>
      </c>
      <c r="W2538">
        <v>-1.5160450000000001E-2</v>
      </c>
      <c r="X2538">
        <v>0.99921890000000002</v>
      </c>
      <c r="Y2538">
        <v>-6.7448350000000004E-2</v>
      </c>
      <c r="Z2538">
        <v>8.8656429999999897E-4</v>
      </c>
      <c r="AA2538">
        <v>0.99772240000000001</v>
      </c>
      <c r="AB2538">
        <v>35</v>
      </c>
      <c r="AC2538">
        <v>-187.5334</v>
      </c>
      <c r="AD2538">
        <v>4.2044779999999999</v>
      </c>
      <c r="AE2538">
        <v>-9.9734999999999996</v>
      </c>
      <c r="AF2538">
        <v>-12.678315747146</v>
      </c>
      <c r="AG2538">
        <v>4.2044779999999999</v>
      </c>
      <c r="AH2538">
        <v>187.27567493203301</v>
      </c>
      <c r="AI2538">
        <v>88.716819380661605</v>
      </c>
      <c r="AJ2538">
        <v>93.872939079118495</v>
      </c>
      <c r="AK2538">
        <v>187.75142009232599</v>
      </c>
      <c r="AL2538">
        <v>90.868663045788296</v>
      </c>
      <c r="AM2538">
        <v>92.091667318187802</v>
      </c>
      <c r="AN2538">
        <v>1.0000000372676401</v>
      </c>
    </row>
    <row r="2539" spans="1:40" x14ac:dyDescent="0.25">
      <c r="A2539" t="str">
        <f>"20190303153822557"</f>
        <v>20190303153822557</v>
      </c>
      <c r="B2539" t="str">
        <f>"1551598702551223"</f>
        <v>1551598702551223</v>
      </c>
      <c r="C2539" t="s">
        <v>40</v>
      </c>
      <c r="D2539">
        <v>3.9191150000000001</v>
      </c>
      <c r="E2539">
        <v>0.51502919999999996</v>
      </c>
      <c r="F2539" t="s">
        <v>59</v>
      </c>
      <c r="G2539">
        <v>-512.82690000000002</v>
      </c>
      <c r="H2539">
        <v>5.3168839999999999</v>
      </c>
      <c r="I2539">
        <v>273.73079999999999</v>
      </c>
      <c r="J2539">
        <v>-325.50819999999999</v>
      </c>
      <c r="K2539">
        <v>1.120468</v>
      </c>
      <c r="L2539">
        <v>283.7765</v>
      </c>
      <c r="M2539">
        <v>-0.99984830000000002</v>
      </c>
      <c r="N2539">
        <v>-9.7135550000000005E-3</v>
      </c>
      <c r="O2539">
        <v>1.4461430000000001E-2</v>
      </c>
      <c r="P2539">
        <v>-0.99942059999999999</v>
      </c>
      <c r="Q2539">
        <v>-2.5146849999999998E-2</v>
      </c>
      <c r="R2539">
        <v>-2.294262E-2</v>
      </c>
      <c r="S2539">
        <v>-2.9998469999999999</v>
      </c>
      <c r="T2539">
        <v>6.7128060000000003E-2</v>
      </c>
      <c r="U2539">
        <v>-0.1606445</v>
      </c>
      <c r="V2539">
        <v>-3.7394520000000001E-2</v>
      </c>
      <c r="W2539">
        <v>-1.5440600000000001E-2</v>
      </c>
      <c r="X2539">
        <v>0.99918130000000005</v>
      </c>
      <c r="Y2539">
        <v>-6.7893120000000001E-2</v>
      </c>
      <c r="Z2539">
        <v>8.926766E-4</v>
      </c>
      <c r="AA2539">
        <v>0.99769220000000003</v>
      </c>
      <c r="AB2539">
        <v>35</v>
      </c>
      <c r="AC2539">
        <v>-187.31870000000001</v>
      </c>
      <c r="AD2539">
        <v>4.1964160000000001</v>
      </c>
      <c r="AE2539">
        <v>-10.0457</v>
      </c>
      <c r="AF2539">
        <v>-12.7472941379496</v>
      </c>
      <c r="AG2539">
        <v>4.1964160000000001</v>
      </c>
      <c r="AH2539">
        <v>187.060216390482</v>
      </c>
      <c r="AI2539">
        <v>88.717843085756598</v>
      </c>
      <c r="AJ2539">
        <v>93.898417049005502</v>
      </c>
      <c r="AK2539">
        <v>187.54100343961699</v>
      </c>
      <c r="AL2539">
        <v>90.884716355655002</v>
      </c>
      <c r="AM2539">
        <v>92.143303420490398</v>
      </c>
      <c r="AN2539">
        <v>1.0000000162620399</v>
      </c>
    </row>
    <row r="2540" spans="1:40" x14ac:dyDescent="0.25">
      <c r="A2540" t="str">
        <f>"20190303153822579"</f>
        <v>20190303153822579</v>
      </c>
      <c r="B2540" t="str">
        <f>"1551598702571718"</f>
        <v>1551598702571718</v>
      </c>
      <c r="C2540" t="s">
        <v>40</v>
      </c>
      <c r="D2540">
        <v>3.8950330000000002</v>
      </c>
      <c r="E2540">
        <v>0.52262109999999995</v>
      </c>
      <c r="F2540" t="s">
        <v>46</v>
      </c>
      <c r="G2540">
        <v>0</v>
      </c>
      <c r="H2540">
        <v>0</v>
      </c>
      <c r="I2540">
        <v>0</v>
      </c>
      <c r="J2540">
        <v>-325.87139999999999</v>
      </c>
      <c r="K2540">
        <v>1.120417</v>
      </c>
      <c r="L2540">
        <v>283.7817</v>
      </c>
      <c r="M2540">
        <v>-0.99985159999999995</v>
      </c>
      <c r="N2540">
        <v>-9.3529430000000007E-3</v>
      </c>
      <c r="O2540">
        <v>1.4460779999999999E-2</v>
      </c>
      <c r="P2540">
        <v>-0.99940689999999999</v>
      </c>
      <c r="Q2540">
        <v>-2.508521E-2</v>
      </c>
      <c r="R2540">
        <v>-2.358478E-2</v>
      </c>
      <c r="S2540">
        <v>-3.005951</v>
      </c>
      <c r="T2540">
        <v>0.12505749999999999</v>
      </c>
      <c r="U2540">
        <v>4.6447750000000003E-2</v>
      </c>
      <c r="V2540">
        <v>-3.8035630000000001E-2</v>
      </c>
      <c r="W2540">
        <v>-1.573948E-2</v>
      </c>
      <c r="X2540">
        <v>0.99915240000000005</v>
      </c>
      <c r="Y2540">
        <v>1.006868E-3</v>
      </c>
      <c r="Z2540">
        <v>7.2024559999999999E-4</v>
      </c>
      <c r="AA2540">
        <v>0.99999919999999998</v>
      </c>
      <c r="AB2540">
        <v>35</v>
      </c>
      <c r="AC2540">
        <v>-3.005951</v>
      </c>
      <c r="AD2540">
        <v>0.12505749999999999</v>
      </c>
      <c r="AE2540">
        <v>4.6447750000000003E-2</v>
      </c>
      <c r="AF2540">
        <v>2.9674563977014801E-3</v>
      </c>
      <c r="AG2540">
        <v>0.12505749999999999</v>
      </c>
      <c r="AH2540">
        <v>3.0011151671879102</v>
      </c>
      <c r="AI2540">
        <v>87.613846830925198</v>
      </c>
      <c r="AJ2540">
        <v>89.9433468352277</v>
      </c>
      <c r="AK2540">
        <v>3.0037210973772202</v>
      </c>
      <c r="AL2540">
        <v>90.901843032701294</v>
      </c>
      <c r="AM2540">
        <v>92.180077105438599</v>
      </c>
      <c r="AN2540">
        <v>0.99999997940296304</v>
      </c>
    </row>
    <row r="2541" spans="1:40" x14ac:dyDescent="0.25">
      <c r="A2541" t="str">
        <f>"20190303153822593"</f>
        <v>20190303153822593</v>
      </c>
      <c r="B2541" t="str">
        <f>"1551598702581479"</f>
        <v>1551598702581479</v>
      </c>
      <c r="C2541" t="s">
        <v>40</v>
      </c>
      <c r="D2541">
        <v>3.8918680000000001</v>
      </c>
      <c r="E2541">
        <v>0.52421689999999999</v>
      </c>
      <c r="F2541" t="s">
        <v>46</v>
      </c>
      <c r="G2541">
        <v>0</v>
      </c>
      <c r="H2541">
        <v>0</v>
      </c>
      <c r="I2541">
        <v>0</v>
      </c>
      <c r="J2541">
        <v>-326.06950000000001</v>
      </c>
      <c r="K2541">
        <v>1.1203939999999999</v>
      </c>
      <c r="L2541">
        <v>283.78460000000001</v>
      </c>
      <c r="M2541">
        <v>-0.99985360000000001</v>
      </c>
      <c r="N2541">
        <v>-9.1582829999999997E-3</v>
      </c>
      <c r="O2541">
        <v>1.446038E-2</v>
      </c>
      <c r="P2541">
        <v>-0.99940680000000004</v>
      </c>
      <c r="Q2541">
        <v>-2.491784E-2</v>
      </c>
      <c r="R2541">
        <v>-2.3777220000000002E-2</v>
      </c>
      <c r="S2541">
        <v>-3.00705</v>
      </c>
      <c r="T2541">
        <v>0.1107287</v>
      </c>
      <c r="U2541">
        <v>0.105682399999999</v>
      </c>
      <c r="V2541">
        <v>-3.8228089999999999E-2</v>
      </c>
      <c r="W2541">
        <v>-1.576663E-2</v>
      </c>
      <c r="X2541">
        <v>0.9991447</v>
      </c>
      <c r="Y2541">
        <v>2.067221E-2</v>
      </c>
      <c r="Z2541">
        <v>3.7878880000000002E-4</v>
      </c>
      <c r="AA2541">
        <v>0.99978630000000002</v>
      </c>
      <c r="AB2541">
        <v>35</v>
      </c>
      <c r="AC2541">
        <v>-3.00705</v>
      </c>
      <c r="AD2541">
        <v>0.1107287</v>
      </c>
      <c r="AE2541">
        <v>0.105682399999999</v>
      </c>
      <c r="AF2541">
        <v>6.2102341325315003E-2</v>
      </c>
      <c r="AG2541">
        <v>0.1107287</v>
      </c>
      <c r="AH2541">
        <v>3.0041953672814299</v>
      </c>
      <c r="AI2541">
        <v>87.889596865907393</v>
      </c>
      <c r="AJ2541">
        <v>88.815757661193203</v>
      </c>
      <c r="AK2541">
        <v>3.0068766769851099</v>
      </c>
      <c r="AL2541">
        <v>90.903398740146102</v>
      </c>
      <c r="AM2541">
        <v>92.191114423744196</v>
      </c>
      <c r="AN2541">
        <v>1.00000005251234</v>
      </c>
    </row>
    <row r="2542" spans="1:40" x14ac:dyDescent="0.25">
      <c r="A2542" t="str">
        <f>"20190303153822605"</f>
        <v>20190303153822605</v>
      </c>
      <c r="B2542" t="str">
        <f>"1551598702600999"</f>
        <v>1551598702600999</v>
      </c>
      <c r="C2542" t="s">
        <v>40</v>
      </c>
      <c r="D2542">
        <v>3.8952640000000001</v>
      </c>
      <c r="E2542">
        <v>0.52576210000000001</v>
      </c>
      <c r="F2542" t="s">
        <v>46</v>
      </c>
      <c r="G2542">
        <v>0</v>
      </c>
      <c r="H2542">
        <v>0</v>
      </c>
      <c r="I2542">
        <v>0</v>
      </c>
      <c r="J2542">
        <v>-326.2989</v>
      </c>
      <c r="K2542">
        <v>1.1203700000000001</v>
      </c>
      <c r="L2542">
        <v>283.78789999999998</v>
      </c>
      <c r="M2542">
        <v>-0.99985559999999996</v>
      </c>
      <c r="N2542">
        <v>-8.937614E-3</v>
      </c>
      <c r="O2542">
        <v>1.4459899999999999E-2</v>
      </c>
      <c r="P2542">
        <v>-0.99941000000000002</v>
      </c>
      <c r="Q2542">
        <v>-2.4868640000000001E-2</v>
      </c>
      <c r="R2542">
        <v>-2.3695520000000001E-2</v>
      </c>
      <c r="S2542">
        <v>-3.0072939999999999</v>
      </c>
      <c r="T2542">
        <v>0.108595</v>
      </c>
      <c r="U2542">
        <v>0.11788940000000001</v>
      </c>
      <c r="V2542">
        <v>-3.8146050000000001E-2</v>
      </c>
      <c r="W2542">
        <v>-1.593789E-2</v>
      </c>
      <c r="X2542">
        <v>0.99914510000000001</v>
      </c>
      <c r="Y2542">
        <v>2.472015E-2</v>
      </c>
      <c r="Z2542">
        <v>3.1541270000000002E-4</v>
      </c>
      <c r="AA2542">
        <v>0.99969430000000004</v>
      </c>
      <c r="AB2542">
        <v>35</v>
      </c>
      <c r="AC2542">
        <v>-3.0072939999999999</v>
      </c>
      <c r="AD2542">
        <v>0.108595</v>
      </c>
      <c r="AE2542">
        <v>0.11788940000000001</v>
      </c>
      <c r="AF2542">
        <v>7.4293442572826301E-2</v>
      </c>
      <c r="AG2542">
        <v>0.108595</v>
      </c>
      <c r="AH2542">
        <v>3.0047721763029802</v>
      </c>
      <c r="AI2542">
        <v>87.930814909444805</v>
      </c>
      <c r="AJ2542">
        <v>88.583641836169093</v>
      </c>
      <c r="AK2542">
        <v>3.00765161232462</v>
      </c>
      <c r="AL2542">
        <v>90.913212464743197</v>
      </c>
      <c r="AM2542">
        <v>92.186415841887893</v>
      </c>
      <c r="AN2542">
        <v>1.0000000341611299</v>
      </c>
    </row>
    <row r="2543" spans="1:40" x14ac:dyDescent="0.25">
      <c r="A2543" t="str">
        <f>"20190303153822618"</f>
        <v>20190303153822618</v>
      </c>
      <c r="B2543" t="str">
        <f>"1551598702611735"</f>
        <v>1551598702611735</v>
      </c>
      <c r="C2543" t="s">
        <v>40</v>
      </c>
      <c r="D2543">
        <v>3.9007879999999999</v>
      </c>
      <c r="E2543">
        <v>0.52621809999999902</v>
      </c>
      <c r="F2543" t="s">
        <v>46</v>
      </c>
      <c r="G2543">
        <v>0</v>
      </c>
      <c r="H2543">
        <v>0</v>
      </c>
      <c r="I2543">
        <v>0</v>
      </c>
      <c r="J2543">
        <v>-326.48989999999998</v>
      </c>
      <c r="K2543">
        <v>1.120355</v>
      </c>
      <c r="L2543">
        <v>283.79070000000002</v>
      </c>
      <c r="M2543">
        <v>-0.99985710000000005</v>
      </c>
      <c r="N2543">
        <v>-8.7542160000000004E-3</v>
      </c>
      <c r="O2543">
        <v>1.4459710000000001E-2</v>
      </c>
      <c r="P2543">
        <v>-0.99942089999999995</v>
      </c>
      <c r="Q2543">
        <v>-2.439858E-2</v>
      </c>
      <c r="R2543">
        <v>-2.3715460000000001E-2</v>
      </c>
      <c r="S2543">
        <v>-3.0075989999999999</v>
      </c>
      <c r="T2543">
        <v>0.1096628</v>
      </c>
      <c r="U2543">
        <v>0.1303406</v>
      </c>
      <c r="V2543">
        <v>-3.816576E-2</v>
      </c>
      <c r="W2543">
        <v>-1.5650999999999901E-2</v>
      </c>
      <c r="X2543">
        <v>0.99914879999999995</v>
      </c>
      <c r="Y2543">
        <v>2.884544E-2</v>
      </c>
      <c r="Z2543">
        <v>2.5413310000000001E-4</v>
      </c>
      <c r="AA2543">
        <v>0.99958380000000002</v>
      </c>
      <c r="AB2543">
        <v>35</v>
      </c>
      <c r="AC2543">
        <v>-3.0075989999999999</v>
      </c>
      <c r="AD2543">
        <v>0.1096628</v>
      </c>
      <c r="AE2543">
        <v>0.1303406</v>
      </c>
      <c r="AF2543">
        <v>8.6721217871494893E-2</v>
      </c>
      <c r="AG2543">
        <v>0.1096628</v>
      </c>
      <c r="AH2543">
        <v>3.0051814883067598</v>
      </c>
      <c r="AI2543">
        <v>87.911002082807798</v>
      </c>
      <c r="AJ2543">
        <v>88.3470611481238</v>
      </c>
      <c r="AK2543">
        <v>3.00843186344557</v>
      </c>
      <c r="AL2543">
        <v>90.896772902257993</v>
      </c>
      <c r="AM2543">
        <v>92.187536369085905</v>
      </c>
      <c r="AN2543">
        <v>0.99999995178940704</v>
      </c>
    </row>
    <row r="2544" spans="1:40" x14ac:dyDescent="0.25">
      <c r="A2544" t="str">
        <f>"20190303153822630"</f>
        <v>20190303153822630</v>
      </c>
      <c r="B2544" t="str">
        <f>"1551598702621495"</f>
        <v>1551598702621495</v>
      </c>
      <c r="C2544" t="s">
        <v>40</v>
      </c>
      <c r="D2544">
        <v>3.8968340000000001</v>
      </c>
      <c r="E2544">
        <v>0.52649250000000003</v>
      </c>
      <c r="F2544" t="s">
        <v>58</v>
      </c>
      <c r="G2544">
        <v>-550.05989999999997</v>
      </c>
      <c r="H2544">
        <v>9.2624309999999994</v>
      </c>
      <c r="I2544">
        <v>293.74950000000001</v>
      </c>
      <c r="J2544">
        <v>-326.68599999999998</v>
      </c>
      <c r="K2544">
        <v>1.120331</v>
      </c>
      <c r="L2544">
        <v>283.79349999999999</v>
      </c>
      <c r="M2544">
        <v>-0.99985889999999999</v>
      </c>
      <c r="N2544">
        <v>-8.5657589999999992E-3</v>
      </c>
      <c r="O2544">
        <v>1.445916E-2</v>
      </c>
      <c r="P2544">
        <v>-0.99944339999999998</v>
      </c>
      <c r="Q2544">
        <v>-2.3628840000000002E-2</v>
      </c>
      <c r="R2544">
        <v>-2.355382E-2</v>
      </c>
      <c r="S2544">
        <v>-3.0075989999999999</v>
      </c>
      <c r="T2544">
        <v>0.109533199999999</v>
      </c>
      <c r="U2544">
        <v>0.13397220000000001</v>
      </c>
      <c r="V2544">
        <v>-3.8003629999999997E-2</v>
      </c>
      <c r="W2544">
        <v>-1.506939E-2</v>
      </c>
      <c r="X2544">
        <v>0.99916400000000005</v>
      </c>
      <c r="Y2544">
        <v>3.0049820000000001E-2</v>
      </c>
      <c r="Z2544">
        <v>2.3191269999999999E-4</v>
      </c>
      <c r="AA2544">
        <v>0.9995484</v>
      </c>
      <c r="AB2544">
        <v>36</v>
      </c>
      <c r="AC2544">
        <v>-223.37389999999999</v>
      </c>
      <c r="AD2544">
        <v>8.1420999999999992</v>
      </c>
      <c r="AE2544">
        <v>9.9560000000000102</v>
      </c>
      <c r="AF2544">
        <v>6.7161364463334898</v>
      </c>
      <c r="AG2544">
        <v>8.1420999999999992</v>
      </c>
      <c r="AH2544">
        <v>223.198544610878</v>
      </c>
      <c r="AI2544">
        <v>87.911767624090203</v>
      </c>
      <c r="AJ2544">
        <v>88.276466372260302</v>
      </c>
      <c r="AK2544">
        <v>223.447959484059</v>
      </c>
      <c r="AL2544">
        <v>90.863445101928605</v>
      </c>
      <c r="AM2544">
        <v>92.178219473878698</v>
      </c>
      <c r="AN2544">
        <v>1.00000003065207</v>
      </c>
    </row>
    <row r="2545" spans="1:40" x14ac:dyDescent="0.25">
      <c r="A2545" t="str">
        <f>"20190303153822644"</f>
        <v>20190303153822644</v>
      </c>
      <c r="B2545" t="str">
        <f>"1551598702641016"</f>
        <v>1551598702641016</v>
      </c>
      <c r="C2545" t="s">
        <v>40</v>
      </c>
      <c r="D2545">
        <v>3.8806639999999999</v>
      </c>
      <c r="E2545">
        <v>0.52702769999999899</v>
      </c>
      <c r="F2545" t="s">
        <v>58</v>
      </c>
      <c r="G2545">
        <v>-550.05989999999997</v>
      </c>
      <c r="H2545">
        <v>9.3252089999999992</v>
      </c>
      <c r="I2545">
        <v>293.93200000000002</v>
      </c>
      <c r="J2545">
        <v>-326.91379999999998</v>
      </c>
      <c r="K2545">
        <v>1.1203080000000001</v>
      </c>
      <c r="L2545">
        <v>283.79680000000002</v>
      </c>
      <c r="M2545">
        <v>-0.99986079999999999</v>
      </c>
      <c r="N2545">
        <v>-8.3439320000000001E-3</v>
      </c>
      <c r="O2545">
        <v>1.4458800000000001E-2</v>
      </c>
      <c r="P2545">
        <v>-0.99946369999999896</v>
      </c>
      <c r="Q2545">
        <v>-2.3039520000000001E-2</v>
      </c>
      <c r="R2545">
        <v>-2.3279910000000001E-2</v>
      </c>
      <c r="S2545">
        <v>-3.0075069999999999</v>
      </c>
      <c r="T2545">
        <v>0.1104715</v>
      </c>
      <c r="U2545">
        <v>0.13650509999999999</v>
      </c>
      <c r="V2545">
        <v>-3.772988E-2</v>
      </c>
      <c r="W2545">
        <v>-1.4701550000000001E-2</v>
      </c>
      <c r="X2545">
        <v>0.99917979999999995</v>
      </c>
      <c r="Y2545">
        <v>3.0890879999999999E-2</v>
      </c>
      <c r="Z2545">
        <v>2.1325630000000001E-4</v>
      </c>
      <c r="AA2545">
        <v>0.99952269999999999</v>
      </c>
      <c r="AB2545">
        <v>36</v>
      </c>
      <c r="AC2545">
        <v>-223.14609999999999</v>
      </c>
      <c r="AD2545">
        <v>8.2049009999999996</v>
      </c>
      <c r="AE2545">
        <v>10.1351999999999</v>
      </c>
      <c r="AF2545">
        <v>6.8982966716830099</v>
      </c>
      <c r="AG2545">
        <v>8.2049009999999996</v>
      </c>
      <c r="AH2545">
        <v>222.968493113054</v>
      </c>
      <c r="AI2545">
        <v>87.893560452447502</v>
      </c>
      <c r="AJ2545">
        <v>88.227923395157106</v>
      </c>
      <c r="AK2545">
        <v>223.22601958216299</v>
      </c>
      <c r="AL2545">
        <v>90.842367133565702</v>
      </c>
      <c r="AM2545">
        <v>92.162509981501998</v>
      </c>
      <c r="AN2545">
        <v>0.99999997607262803</v>
      </c>
    </row>
    <row r="2546" spans="1:40" x14ac:dyDescent="0.25">
      <c r="A2546" t="str">
        <f>"20190303153822657"</f>
        <v>20190303153822657</v>
      </c>
      <c r="B2546" t="str">
        <f>"1551598702650775"</f>
        <v>1551598702650775</v>
      </c>
      <c r="C2546" t="s">
        <v>40</v>
      </c>
      <c r="D2546">
        <v>3.8671519999999999</v>
      </c>
      <c r="E2546">
        <v>0.52733839999999998</v>
      </c>
      <c r="F2546" t="s">
        <v>58</v>
      </c>
      <c r="G2546">
        <v>-550.05989999999997</v>
      </c>
      <c r="H2546">
        <v>9.3498129999999993</v>
      </c>
      <c r="I2546">
        <v>294.28969999999998</v>
      </c>
      <c r="J2546">
        <v>-327.10890000000001</v>
      </c>
      <c r="K2546">
        <v>1.120287</v>
      </c>
      <c r="L2546">
        <v>283.7996</v>
      </c>
      <c r="M2546">
        <v>-0.99986229999999998</v>
      </c>
      <c r="N2546">
        <v>-8.1533290000000008E-3</v>
      </c>
      <c r="O2546">
        <v>1.445858E-2</v>
      </c>
      <c r="P2546">
        <v>-0.9994693</v>
      </c>
      <c r="Q2546">
        <v>-2.2810509999999999E-2</v>
      </c>
      <c r="R2546">
        <v>-2.3261190000000001E-2</v>
      </c>
      <c r="S2546">
        <v>-3.0074459999999998</v>
      </c>
      <c r="T2546">
        <v>0.110914</v>
      </c>
      <c r="U2546">
        <v>0.1414185</v>
      </c>
      <c r="V2546">
        <v>-3.7710849999999997E-2</v>
      </c>
      <c r="W2546">
        <v>-1.4662949999999999E-2</v>
      </c>
      <c r="X2546">
        <v>0.99918110000000004</v>
      </c>
      <c r="Y2546">
        <v>3.2520319999999998E-2</v>
      </c>
      <c r="Z2546">
        <v>1.8402960000000001E-4</v>
      </c>
      <c r="AA2546">
        <v>0.99947109999999995</v>
      </c>
      <c r="AB2546">
        <v>36</v>
      </c>
      <c r="AC2546">
        <v>-222.95099999999999</v>
      </c>
      <c r="AD2546">
        <v>8.2295259999999999</v>
      </c>
      <c r="AE2546">
        <v>10.490099999999901</v>
      </c>
      <c r="AF2546">
        <v>7.2554779820952398</v>
      </c>
      <c r="AG2546">
        <v>8.2295259999999999</v>
      </c>
      <c r="AH2546">
        <v>222.77651167321901</v>
      </c>
      <c r="AI2546">
        <v>87.885534392411898</v>
      </c>
      <c r="AJ2546">
        <v>88.134626598404395</v>
      </c>
      <c r="AK2546">
        <v>223.04650011202</v>
      </c>
      <c r="AL2546">
        <v>90.840155265924196</v>
      </c>
      <c r="AM2546">
        <v>92.161417491278499</v>
      </c>
      <c r="AN2546">
        <v>0.99999999045381704</v>
      </c>
    </row>
    <row r="2547" spans="1:40" x14ac:dyDescent="0.25">
      <c r="A2547" t="str">
        <f>"20190303153822668"</f>
        <v>20190303153822668</v>
      </c>
      <c r="B2547" t="str">
        <f>"1551598702661511"</f>
        <v>1551598702661511</v>
      </c>
      <c r="C2547" t="s">
        <v>40</v>
      </c>
      <c r="D2547">
        <v>3.8805429999999999</v>
      </c>
      <c r="E2547">
        <v>0.52750430000000004</v>
      </c>
      <c r="F2547" t="s">
        <v>58</v>
      </c>
      <c r="G2547">
        <v>-550.05999999999995</v>
      </c>
      <c r="H2547">
        <v>9.4556470000000008</v>
      </c>
      <c r="I2547">
        <v>294.48</v>
      </c>
      <c r="J2547">
        <v>-327.29899999999998</v>
      </c>
      <c r="K2547">
        <v>1.1202639999999999</v>
      </c>
      <c r="L2547">
        <v>283.80239999999998</v>
      </c>
      <c r="M2547">
        <v>-0.99986370000000002</v>
      </c>
      <c r="N2547">
        <v>-7.9670820000000003E-3</v>
      </c>
      <c r="O2547">
        <v>1.445832E-2</v>
      </c>
      <c r="P2547">
        <v>-0.9994923</v>
      </c>
      <c r="Q2547">
        <v>-2.242388E-2</v>
      </c>
      <c r="R2547">
        <v>-2.263153E-2</v>
      </c>
      <c r="S2547">
        <v>-3.0075069999999999</v>
      </c>
      <c r="T2547">
        <v>0.11244120000000001</v>
      </c>
      <c r="U2547">
        <v>0.14407349999999999</v>
      </c>
      <c r="V2547">
        <v>-3.7081080000000002E-2</v>
      </c>
      <c r="W2547">
        <v>-1.44622E-2</v>
      </c>
      <c r="X2547">
        <v>0.99920759999999997</v>
      </c>
      <c r="Y2547">
        <v>3.339905E-2</v>
      </c>
      <c r="Z2547">
        <v>1.64477E-4</v>
      </c>
      <c r="AA2547">
        <v>0.9994421</v>
      </c>
      <c r="AB2547">
        <v>36</v>
      </c>
      <c r="AC2547">
        <v>-222.760999999999</v>
      </c>
      <c r="AD2547">
        <v>8.3353830000000002</v>
      </c>
      <c r="AE2547">
        <v>10.6776</v>
      </c>
      <c r="AF2547">
        <v>7.4452311825975803</v>
      </c>
      <c r="AG2547">
        <v>8.3353830000000002</v>
      </c>
      <c r="AH2547">
        <v>222.58116767991601</v>
      </c>
      <c r="AI2547">
        <v>87.856545431920296</v>
      </c>
      <c r="AJ2547">
        <v>88.084198499440802</v>
      </c>
      <c r="AK2547">
        <v>222.86158548048201</v>
      </c>
      <c r="AL2547">
        <v>90.828651914633497</v>
      </c>
      <c r="AM2547">
        <v>92.125298955999398</v>
      </c>
      <c r="AN2547">
        <v>0.99999999481028301</v>
      </c>
    </row>
    <row r="2548" spans="1:40" x14ac:dyDescent="0.25">
      <c r="A2548" t="str">
        <f>"20190303153822680"</f>
        <v>20190303153822680</v>
      </c>
      <c r="B2548" t="str">
        <f>"1551598702671271"</f>
        <v>1551598702671271</v>
      </c>
      <c r="C2548" t="s">
        <v>40</v>
      </c>
      <c r="D2548">
        <v>4.1707710000000002</v>
      </c>
      <c r="E2548">
        <v>0.52761420000000003</v>
      </c>
      <c r="F2548" t="s">
        <v>58</v>
      </c>
      <c r="G2548">
        <v>-546.53880000000004</v>
      </c>
      <c r="H2548">
        <v>9.3844960000000004</v>
      </c>
      <c r="I2548">
        <v>294.55</v>
      </c>
      <c r="J2548">
        <v>-327.4787</v>
      </c>
      <c r="K2548">
        <v>1.1202379999999901</v>
      </c>
      <c r="L2548">
        <v>283.80500000000001</v>
      </c>
      <c r="M2548">
        <v>-0.99986529999999996</v>
      </c>
      <c r="N2548">
        <v>-7.7887390000000003E-3</v>
      </c>
      <c r="O2548">
        <v>1.4457899999999999E-2</v>
      </c>
      <c r="P2548">
        <v>-0.99950260000000002</v>
      </c>
      <c r="Q2548">
        <v>-2.2117930000000001E-2</v>
      </c>
      <c r="R2548">
        <v>-2.2487679999999999E-2</v>
      </c>
      <c r="S2548">
        <v>-3.0074160000000001</v>
      </c>
      <c r="T2548">
        <v>0.11336540000000001</v>
      </c>
      <c r="U2548">
        <v>0.14743039999999999</v>
      </c>
      <c r="V2548">
        <v>-3.693726E-2</v>
      </c>
      <c r="W2548">
        <v>-1.4334380000000001E-2</v>
      </c>
      <c r="X2548">
        <v>0.99921479999999996</v>
      </c>
      <c r="Y2548">
        <v>3.4512910000000001E-2</v>
      </c>
      <c r="Z2548">
        <v>1.415798E-4</v>
      </c>
      <c r="AA2548">
        <v>0.99940430000000002</v>
      </c>
      <c r="AB2548">
        <v>36</v>
      </c>
      <c r="AC2548">
        <v>-219.06010000000001</v>
      </c>
      <c r="AD2548">
        <v>8.2642579999999999</v>
      </c>
      <c r="AE2548">
        <v>10.744999999999999</v>
      </c>
      <c r="AF2548">
        <v>7.5658899538649198</v>
      </c>
      <c r="AG2548">
        <v>8.2642579999999999</v>
      </c>
      <c r="AH2548">
        <v>218.88178131390799</v>
      </c>
      <c r="AI2548">
        <v>87.839015808699799</v>
      </c>
      <c r="AJ2548">
        <v>88.020296456751794</v>
      </c>
      <c r="AK2548">
        <v>219.168370989598</v>
      </c>
      <c r="AL2548">
        <v>90.821327583123406</v>
      </c>
      <c r="AM2548">
        <v>92.117048199182904</v>
      </c>
      <c r="AN2548">
        <v>1.00000002608266</v>
      </c>
    </row>
    <row r="2549" spans="1:40" x14ac:dyDescent="0.25">
      <c r="A2549" t="str">
        <f>"20190303153822691"</f>
        <v>20190303153822691</v>
      </c>
      <c r="B2549" t="str">
        <f>"1551598702681031"</f>
        <v>1551598702681031</v>
      </c>
      <c r="C2549" t="s">
        <v>40</v>
      </c>
      <c r="D2549">
        <v>3.8822199999999998</v>
      </c>
      <c r="E2549">
        <v>0.52770069999999902</v>
      </c>
      <c r="F2549" t="s">
        <v>58</v>
      </c>
      <c r="G2549">
        <v>-544.81600000000003</v>
      </c>
      <c r="H2549">
        <v>9.3739399999999993</v>
      </c>
      <c r="I2549">
        <v>294.55</v>
      </c>
      <c r="J2549">
        <v>-327.66750000000002</v>
      </c>
      <c r="K2549">
        <v>1.120215</v>
      </c>
      <c r="L2549">
        <v>283.80770000000001</v>
      </c>
      <c r="M2549">
        <v>-0.99986660000000005</v>
      </c>
      <c r="N2549">
        <v>-7.60072099999999E-3</v>
      </c>
      <c r="O2549">
        <v>1.4457619999999999E-2</v>
      </c>
      <c r="P2549">
        <v>-0.99951619999999997</v>
      </c>
      <c r="Q2549">
        <v>-2.1943460000000001E-2</v>
      </c>
      <c r="R2549">
        <v>-2.2040540000000001E-2</v>
      </c>
      <c r="S2549">
        <v>-3.007355</v>
      </c>
      <c r="T2549">
        <v>0.1142098</v>
      </c>
      <c r="U2549">
        <v>0.1486816</v>
      </c>
      <c r="V2549">
        <v>-3.6489849999999997E-2</v>
      </c>
      <c r="W2549">
        <v>-1.434766E-2</v>
      </c>
      <c r="X2549">
        <v>0.99923099999999998</v>
      </c>
      <c r="Y2549">
        <v>3.492837E-2</v>
      </c>
      <c r="Z2549">
        <v>1.285169E-4</v>
      </c>
      <c r="AA2549">
        <v>0.99938979999999999</v>
      </c>
      <c r="AB2549">
        <v>36</v>
      </c>
      <c r="AC2549">
        <v>-217.14850000000001</v>
      </c>
      <c r="AD2549">
        <v>8.2537249999999993</v>
      </c>
      <c r="AE2549">
        <v>10.7423</v>
      </c>
      <c r="AF2549">
        <v>7.5906962919146599</v>
      </c>
      <c r="AG2549">
        <v>8.2537249999999993</v>
      </c>
      <c r="AH2549">
        <v>216.968420316888</v>
      </c>
      <c r="AI2549">
        <v>87.822784711970698</v>
      </c>
      <c r="AJ2549">
        <v>87.996309555177902</v>
      </c>
      <c r="AK2549">
        <v>217.25799884325801</v>
      </c>
      <c r="AL2549">
        <v>90.822088588899405</v>
      </c>
      <c r="AM2549">
        <v>92.091394061075803</v>
      </c>
      <c r="AN2549">
        <v>0.99999997793074802</v>
      </c>
    </row>
    <row r="2550" spans="1:40" x14ac:dyDescent="0.25">
      <c r="A2550" t="str">
        <f>"20190303153822702"</f>
        <v>20190303153822702</v>
      </c>
      <c r="B2550" t="str">
        <f>"1551598702691768"</f>
        <v>1551598702691768</v>
      </c>
      <c r="C2550" t="s">
        <v>40</v>
      </c>
      <c r="D2550">
        <v>3.9175499999999999</v>
      </c>
      <c r="E2550">
        <v>0.52773990000000004</v>
      </c>
      <c r="F2550" t="s">
        <v>58</v>
      </c>
      <c r="G2550">
        <v>-542.04</v>
      </c>
      <c r="H2550">
        <v>9.2904529999999994</v>
      </c>
      <c r="I2550">
        <v>294.55</v>
      </c>
      <c r="J2550">
        <v>-327.85359999999997</v>
      </c>
      <c r="K2550">
        <v>1.12019</v>
      </c>
      <c r="L2550">
        <v>283.81040000000002</v>
      </c>
      <c r="M2550">
        <v>-0.99986819999999998</v>
      </c>
      <c r="N2550">
        <v>-7.4130480000000002E-3</v>
      </c>
      <c r="O2550">
        <v>1.445713E-2</v>
      </c>
      <c r="P2550">
        <v>-0.99952039999999998</v>
      </c>
      <c r="Q2550">
        <v>-2.1890989999999999E-2</v>
      </c>
      <c r="R2550">
        <v>-2.191684E-2</v>
      </c>
      <c r="S2550">
        <v>-3.007263</v>
      </c>
      <c r="T2550">
        <v>0.11461499999999999</v>
      </c>
      <c r="U2550">
        <v>0.15069579999999999</v>
      </c>
      <c r="V2550">
        <v>-3.6365420000000002E-2</v>
      </c>
      <c r="W2550">
        <v>-1.448268E-2</v>
      </c>
      <c r="X2550">
        <v>0.99923360000000006</v>
      </c>
      <c r="Y2550">
        <v>3.559735E-2</v>
      </c>
      <c r="Z2550">
        <v>1.118437E-4</v>
      </c>
      <c r="AA2550">
        <v>0.99936619999999998</v>
      </c>
      <c r="AB2550">
        <v>36</v>
      </c>
      <c r="AC2550">
        <v>-214.18639999999999</v>
      </c>
      <c r="AD2550">
        <v>8.1702629999999896</v>
      </c>
      <c r="AE2550">
        <v>10.7395999999999</v>
      </c>
      <c r="AF2550">
        <v>7.6307968081079798</v>
      </c>
      <c r="AG2550">
        <v>8.1702629999999896</v>
      </c>
      <c r="AH2550">
        <v>214.008662442977</v>
      </c>
      <c r="AI2550">
        <v>87.815053438728199</v>
      </c>
      <c r="AJ2550">
        <v>87.957898997140703</v>
      </c>
      <c r="AK2550">
        <v>214.30046630385101</v>
      </c>
      <c r="AL2550">
        <v>90.829825459450603</v>
      </c>
      <c r="AM2550">
        <v>92.084263311784099</v>
      </c>
      <c r="AN2550">
        <v>0.99999998958035896</v>
      </c>
    </row>
    <row r="2551" spans="1:40" x14ac:dyDescent="0.25">
      <c r="A2551" t="str">
        <f>"20190303153822717"</f>
        <v>20190303153822717</v>
      </c>
      <c r="B2551" t="str">
        <f>"1551598702711287"</f>
        <v>1551598702711287</v>
      </c>
      <c r="C2551" t="s">
        <v>40</v>
      </c>
      <c r="D2551">
        <v>3.8835350000000002</v>
      </c>
      <c r="E2551">
        <v>0.52778019999999903</v>
      </c>
      <c r="F2551" t="s">
        <v>58</v>
      </c>
      <c r="G2551">
        <v>-541.00890000000004</v>
      </c>
      <c r="H2551">
        <v>9.2045150000000007</v>
      </c>
      <c r="I2551">
        <v>294.55</v>
      </c>
      <c r="J2551">
        <v>-328.0761</v>
      </c>
      <c r="K2551">
        <v>1.1201650000000001</v>
      </c>
      <c r="L2551">
        <v>283.81360000000001</v>
      </c>
      <c r="M2551">
        <v>-0.99986960000000003</v>
      </c>
      <c r="N2551">
        <v>-7.1892500000000003E-3</v>
      </c>
      <c r="O2551">
        <v>1.4456770000000001E-2</v>
      </c>
      <c r="P2551">
        <v>-0.99952600000000003</v>
      </c>
      <c r="Q2551">
        <v>-2.1823430000000001E-2</v>
      </c>
      <c r="R2551">
        <v>-2.1715829999999998E-2</v>
      </c>
      <c r="S2551">
        <v>-3.0072939999999999</v>
      </c>
      <c r="T2551">
        <v>0.11405849999999999</v>
      </c>
      <c r="U2551">
        <v>0.15151979999999901</v>
      </c>
      <c r="V2551">
        <v>-3.6164750000000002E-2</v>
      </c>
      <c r="W2551">
        <v>-1.4638709999999999E-2</v>
      </c>
      <c r="X2551">
        <v>0.99923859999999998</v>
      </c>
      <c r="Y2551">
        <v>3.5870020000000002E-2</v>
      </c>
      <c r="Z2551">
        <v>1.01043E-4</v>
      </c>
      <c r="AA2551">
        <v>0.99935640000000003</v>
      </c>
      <c r="AB2551">
        <v>36</v>
      </c>
      <c r="AC2551">
        <v>-212.93279999999999</v>
      </c>
      <c r="AD2551">
        <v>8.0843499999999899</v>
      </c>
      <c r="AE2551">
        <v>10.7364</v>
      </c>
      <c r="AF2551">
        <v>7.6458843649730097</v>
      </c>
      <c r="AG2551">
        <v>8.0843499999999899</v>
      </c>
      <c r="AH2551">
        <v>212.75985522633101</v>
      </c>
      <c r="AI2551">
        <v>87.825350910425399</v>
      </c>
      <c r="AJ2551">
        <v>87.941865178757098</v>
      </c>
      <c r="AK2551">
        <v>213.050633086537</v>
      </c>
      <c r="AL2551">
        <v>90.838766275609501</v>
      </c>
      <c r="AM2551">
        <v>92.072761722512396</v>
      </c>
      <c r="AN2551">
        <v>0.99999998035149296</v>
      </c>
    </row>
    <row r="2552" spans="1:40" x14ac:dyDescent="0.25">
      <c r="A2552" t="str">
        <f>"20190303153822735"</f>
        <v>20190303153822735</v>
      </c>
      <c r="B2552" t="str">
        <f>"1551598702730807"</f>
        <v>1551598702730807</v>
      </c>
      <c r="C2552" t="s">
        <v>40</v>
      </c>
      <c r="D2552">
        <v>3.8906390000000002</v>
      </c>
      <c r="E2552">
        <v>0.5275379</v>
      </c>
      <c r="F2552" t="s">
        <v>58</v>
      </c>
      <c r="G2552">
        <v>-539.84010000000001</v>
      </c>
      <c r="H2552">
        <v>9.0554849999999991</v>
      </c>
      <c r="I2552">
        <v>294.55</v>
      </c>
      <c r="J2552">
        <v>-328.37509999999997</v>
      </c>
      <c r="K2552">
        <v>1.1201289999999999</v>
      </c>
      <c r="L2552">
        <v>283.81799999999998</v>
      </c>
      <c r="M2552">
        <v>-0.99987190000000004</v>
      </c>
      <c r="N2552">
        <v>-6.8897730000000001E-3</v>
      </c>
      <c r="O2552">
        <v>1.4456159999999999E-2</v>
      </c>
      <c r="P2552">
        <v>-0.99954169999999998</v>
      </c>
      <c r="Q2552">
        <v>-2.1757350000000002E-2</v>
      </c>
      <c r="R2552">
        <v>-2.1052089999999999E-2</v>
      </c>
      <c r="S2552">
        <v>-3.0072329999999998</v>
      </c>
      <c r="T2552">
        <v>0.1126895</v>
      </c>
      <c r="U2552">
        <v>0.15246579999999901</v>
      </c>
      <c r="V2552">
        <v>-3.5500410000000003E-2</v>
      </c>
      <c r="W2552">
        <v>-1.487174E-2</v>
      </c>
      <c r="X2552">
        <v>0.99925900000000001</v>
      </c>
      <c r="Y2552">
        <v>3.618495E-2</v>
      </c>
      <c r="Z2552" s="1">
        <v>8.8085940000000006E-5</v>
      </c>
      <c r="AA2552">
        <v>0.99934509999999999</v>
      </c>
      <c r="AB2552">
        <v>36</v>
      </c>
      <c r="AC2552">
        <v>-211.465</v>
      </c>
      <c r="AD2552">
        <v>7.9353559999999996</v>
      </c>
      <c r="AE2552">
        <v>10.731999999999999</v>
      </c>
      <c r="AF2552">
        <v>7.6630712690570704</v>
      </c>
      <c r="AG2552">
        <v>7.9353559999999996</v>
      </c>
      <c r="AH2552">
        <v>211.30126472864001</v>
      </c>
      <c r="AI2552">
        <v>87.850696416373594</v>
      </c>
      <c r="AJ2552">
        <v>87.9230161958222</v>
      </c>
      <c r="AK2552">
        <v>211.589028572003</v>
      </c>
      <c r="AL2552">
        <v>90.852119349677807</v>
      </c>
      <c r="AM2552">
        <v>92.034676259631894</v>
      </c>
      <c r="AN2552">
        <v>0.99999999842089704</v>
      </c>
    </row>
    <row r="2553" spans="1:40" x14ac:dyDescent="0.25">
      <c r="A2553" t="str">
        <f>"20190303153822750"</f>
        <v>20190303153822750</v>
      </c>
      <c r="B2553" t="str">
        <f>"1551598702741543"</f>
        <v>1551598702741543</v>
      </c>
      <c r="C2553" t="s">
        <v>40</v>
      </c>
      <c r="D2553">
        <v>3.8734649999999999</v>
      </c>
      <c r="E2553">
        <v>0.52733859999999999</v>
      </c>
      <c r="F2553" t="s">
        <v>58</v>
      </c>
      <c r="G2553">
        <v>-540.07690000000002</v>
      </c>
      <c r="H2553">
        <v>8.708736</v>
      </c>
      <c r="I2553">
        <v>294.55</v>
      </c>
      <c r="J2553">
        <v>-328.61579999999998</v>
      </c>
      <c r="K2553">
        <v>1.1200950000000001</v>
      </c>
      <c r="L2553">
        <v>283.82139999999998</v>
      </c>
      <c r="M2553">
        <v>-0.99987349999999997</v>
      </c>
      <c r="N2553">
        <v>-6.6503259999999998E-3</v>
      </c>
      <c r="O2553">
        <v>1.445567E-2</v>
      </c>
      <c r="P2553">
        <v>-0.99955329999999998</v>
      </c>
      <c r="Q2553">
        <v>-2.1245469999999999E-2</v>
      </c>
      <c r="R2553">
        <v>-2.1028000000000002E-2</v>
      </c>
      <c r="S2553">
        <v>-3.006958</v>
      </c>
      <c r="T2553">
        <v>0.1077877</v>
      </c>
      <c r="U2553">
        <v>0.1524353</v>
      </c>
      <c r="V2553">
        <v>-3.5475769999999997E-2</v>
      </c>
      <c r="W2553">
        <v>-1.459907E-2</v>
      </c>
      <c r="X2553">
        <v>0.99926389999999998</v>
      </c>
      <c r="Y2553">
        <v>3.6180589999999999E-2</v>
      </c>
      <c r="Z2553" s="1">
        <v>8.6242389999999897E-5</v>
      </c>
      <c r="AA2553">
        <v>0.99934520000000004</v>
      </c>
      <c r="AB2553">
        <v>36</v>
      </c>
      <c r="AC2553">
        <v>-211.46109999999999</v>
      </c>
      <c r="AD2553">
        <v>7.588641</v>
      </c>
      <c r="AE2553">
        <v>10.7286</v>
      </c>
      <c r="AF2553">
        <v>7.6607591572952396</v>
      </c>
      <c r="AG2553">
        <v>7.588641</v>
      </c>
      <c r="AH2553">
        <v>211.32264203842001</v>
      </c>
      <c r="AI2553">
        <v>87.944728992494007</v>
      </c>
      <c r="AJ2553">
        <v>87.923852177105303</v>
      </c>
      <c r="AK2553">
        <v>211.59757498891901</v>
      </c>
      <c r="AL2553">
        <v>90.836494809628604</v>
      </c>
      <c r="AM2553">
        <v>92.033255262459406</v>
      </c>
      <c r="AN2553">
        <v>1.0000000024725799</v>
      </c>
    </row>
    <row r="2554" spans="1:40" x14ac:dyDescent="0.25">
      <c r="A2554" t="str">
        <f>"20190303153822763"</f>
        <v>20190303153822763</v>
      </c>
      <c r="B2554" t="str">
        <f>"1551598702751303"</f>
        <v>1551598702751303</v>
      </c>
      <c r="C2554" t="s">
        <v>40</v>
      </c>
      <c r="D2554">
        <v>3.8062930000000001</v>
      </c>
      <c r="E2554">
        <v>0.52764440000000001</v>
      </c>
      <c r="F2554" t="s">
        <v>58</v>
      </c>
      <c r="G2554">
        <v>-541.94209999999998</v>
      </c>
      <c r="H2554">
        <v>8.5103369999999998</v>
      </c>
      <c r="I2554">
        <v>294.55</v>
      </c>
      <c r="J2554">
        <v>-328.84300000000002</v>
      </c>
      <c r="K2554">
        <v>1.1200650000000001</v>
      </c>
      <c r="L2554">
        <v>283.82470000000001</v>
      </c>
      <c r="M2554">
        <v>-0.99987490000000001</v>
      </c>
      <c r="N2554">
        <v>-6.4296400000000004E-3</v>
      </c>
      <c r="O2554">
        <v>1.445538E-2</v>
      </c>
      <c r="P2554">
        <v>-0.99955939999999999</v>
      </c>
      <c r="Q2554">
        <v>-2.1080890000000001E-2</v>
      </c>
      <c r="R2554">
        <v>-2.0905199999999999E-2</v>
      </c>
      <c r="S2554">
        <v>-3.0067439999999999</v>
      </c>
      <c r="T2554">
        <v>0.1041634</v>
      </c>
      <c r="U2554">
        <v>0.1512146</v>
      </c>
      <c r="V2554">
        <v>-3.5352340000000003E-2</v>
      </c>
      <c r="W2554">
        <v>-1.465497E-2</v>
      </c>
      <c r="X2554">
        <v>0.99926749999999998</v>
      </c>
      <c r="Y2554">
        <v>3.5780380000000001E-2</v>
      </c>
      <c r="Z2554" s="1">
        <v>8.9051729999999995E-5</v>
      </c>
      <c r="AA2554">
        <v>0.99935969999999996</v>
      </c>
      <c r="AB2554">
        <v>36</v>
      </c>
      <c r="AC2554">
        <v>-213.09909999999999</v>
      </c>
      <c r="AD2554">
        <v>7.3902719999999897</v>
      </c>
      <c r="AE2554">
        <v>10.725300000000001</v>
      </c>
      <c r="AF2554">
        <v>7.6345285056698398</v>
      </c>
      <c r="AG2554">
        <v>7.3902719999999897</v>
      </c>
      <c r="AH2554">
        <v>212.976375365043</v>
      </c>
      <c r="AI2554">
        <v>88.013910686512006</v>
      </c>
      <c r="AJ2554">
        <v>87.947006836127201</v>
      </c>
      <c r="AK2554">
        <v>213.24126854192599</v>
      </c>
      <c r="AL2554">
        <v>90.8396979495501</v>
      </c>
      <c r="AM2554">
        <v>92.026179619193599</v>
      </c>
      <c r="AN2554">
        <v>1.0000000463227099</v>
      </c>
    </row>
    <row r="2555" spans="1:40" x14ac:dyDescent="0.25">
      <c r="A2555" t="str">
        <f>"20190303153822779"</f>
        <v>20190303153822779</v>
      </c>
      <c r="B2555" t="str">
        <f>"1551598702770823"</f>
        <v>1551598702770823</v>
      </c>
      <c r="C2555" t="s">
        <v>40</v>
      </c>
      <c r="D2555">
        <v>3.7620719999999999</v>
      </c>
      <c r="E2555">
        <v>0.52866230000000003</v>
      </c>
      <c r="F2555" t="s">
        <v>58</v>
      </c>
      <c r="G2555">
        <v>-510.0711</v>
      </c>
      <c r="H2555">
        <v>7.3576879999999996</v>
      </c>
      <c r="I2555">
        <v>293.11180000000002</v>
      </c>
      <c r="J2555">
        <v>-329.09440000000001</v>
      </c>
      <c r="K2555">
        <v>1.1200300000000001</v>
      </c>
      <c r="L2555">
        <v>283.82839999999999</v>
      </c>
      <c r="M2555">
        <v>-0.9998764</v>
      </c>
      <c r="N2555">
        <v>-6.192833E-3</v>
      </c>
      <c r="O2555">
        <v>1.445482E-2</v>
      </c>
      <c r="P2555">
        <v>-0.99954929999999997</v>
      </c>
      <c r="Q2555">
        <v>-2.1704399999999999E-2</v>
      </c>
      <c r="R2555">
        <v>-2.0747450000000001E-2</v>
      </c>
      <c r="S2555">
        <v>-3.0067750000000002</v>
      </c>
      <c r="T2555">
        <v>0.1034904</v>
      </c>
      <c r="U2555">
        <v>0.15408329999999901</v>
      </c>
      <c r="V2555">
        <v>-3.5194639999999999E-2</v>
      </c>
      <c r="W2555">
        <v>-1.551516E-2</v>
      </c>
      <c r="X2555">
        <v>0.99926000000000004</v>
      </c>
      <c r="Y2555">
        <v>3.6730810000000003E-2</v>
      </c>
      <c r="Z2555" s="1">
        <v>6.8745459999999998E-5</v>
      </c>
      <c r="AA2555">
        <v>0.99932520000000002</v>
      </c>
      <c r="AB2555">
        <v>36</v>
      </c>
      <c r="AC2555">
        <v>-180.97669999999999</v>
      </c>
      <c r="AD2555">
        <v>6.2376579999999997</v>
      </c>
      <c r="AE2555">
        <v>9.2834000000000199</v>
      </c>
      <c r="AF2555">
        <v>6.6585052157268096</v>
      </c>
      <c r="AG2555">
        <v>6.2376579999999997</v>
      </c>
      <c r="AH2555">
        <v>180.87767439219201</v>
      </c>
      <c r="AI2555">
        <v>88.026244646842301</v>
      </c>
      <c r="AJ2555">
        <v>87.891768247918506</v>
      </c>
      <c r="AK2555">
        <v>181.107639713406</v>
      </c>
      <c r="AL2555">
        <v>90.888988886070194</v>
      </c>
      <c r="AM2555">
        <v>92.017163831622995</v>
      </c>
      <c r="AN2555">
        <v>0.99999996523727697</v>
      </c>
    </row>
    <row r="2556" spans="1:40" x14ac:dyDescent="0.25">
      <c r="A2556" t="str">
        <f>"20190303153822792"</f>
        <v>20190303153822792</v>
      </c>
      <c r="B2556" t="str">
        <f>"1551598702781559"</f>
        <v>1551598702781559</v>
      </c>
      <c r="C2556" t="s">
        <v>40</v>
      </c>
      <c r="D2556">
        <v>3.5118610000000001</v>
      </c>
      <c r="E2556">
        <v>0.52866230000000003</v>
      </c>
      <c r="F2556" t="s">
        <v>58</v>
      </c>
      <c r="G2556">
        <v>-510.07100000000003</v>
      </c>
      <c r="H2556">
        <v>6.9298479999999998</v>
      </c>
      <c r="I2556">
        <v>293.62220000000002</v>
      </c>
      <c r="J2556">
        <v>-329.30130000000003</v>
      </c>
      <c r="K2556">
        <v>1.1200049999999999</v>
      </c>
      <c r="L2556">
        <v>283.83139999999997</v>
      </c>
      <c r="M2556">
        <v>-0.99987749999999997</v>
      </c>
      <c r="N2556">
        <v>-6.0037229999999999E-3</v>
      </c>
      <c r="O2556">
        <v>1.445451E-2</v>
      </c>
      <c r="P2556">
        <v>-0.9995522</v>
      </c>
      <c r="Q2556">
        <v>-2.163085E-2</v>
      </c>
      <c r="R2556">
        <v>-2.0673049999999998E-2</v>
      </c>
      <c r="S2556">
        <v>-3.0068359999999998</v>
      </c>
      <c r="T2556">
        <v>9.6528530000000001E-2</v>
      </c>
      <c r="U2556">
        <v>0.16271969999999999</v>
      </c>
      <c r="V2556">
        <v>-3.511976E-2</v>
      </c>
      <c r="W2556">
        <v>-1.563057E-2</v>
      </c>
      <c r="X2556">
        <v>0.99926079999999995</v>
      </c>
      <c r="Y2556">
        <v>3.9592179999999998E-2</v>
      </c>
      <c r="Z2556" s="1">
        <v>3.4296769999999998E-5</v>
      </c>
      <c r="AA2556">
        <v>0.99921590000000005</v>
      </c>
      <c r="AB2556">
        <v>37</v>
      </c>
      <c r="AC2556">
        <v>-180.7697</v>
      </c>
      <c r="AD2556">
        <v>5.8098429999999999</v>
      </c>
      <c r="AE2556">
        <v>9.7908000000000399</v>
      </c>
      <c r="AF2556">
        <v>7.1694086116810096</v>
      </c>
      <c r="AG2556">
        <v>5.8098429999999999</v>
      </c>
      <c r="AH2556">
        <v>180.70622397015001</v>
      </c>
      <c r="AI2556">
        <v>88.159977866097805</v>
      </c>
      <c r="AJ2556">
        <v>87.728016663536394</v>
      </c>
      <c r="AK2556">
        <v>180.94168695211101</v>
      </c>
      <c r="AL2556">
        <v>90.8956022263297</v>
      </c>
      <c r="AM2556">
        <v>92.012874044472994</v>
      </c>
      <c r="AN2556">
        <v>0.99999992933880799</v>
      </c>
    </row>
    <row r="2557" spans="1:40" x14ac:dyDescent="0.25">
      <c r="A2557" t="str">
        <f>"20190303153822830"</f>
        <v>20190303153822830</v>
      </c>
      <c r="B2557" t="str">
        <f>"1551598702821575"</f>
        <v>1551598702821575</v>
      </c>
      <c r="C2557" t="s">
        <v>40</v>
      </c>
      <c r="D2557">
        <v>3.0201699999999998</v>
      </c>
      <c r="E2557">
        <v>0.53735819999999901</v>
      </c>
      <c r="F2557" t="s">
        <v>58</v>
      </c>
      <c r="G2557">
        <v>-510.07100000000003</v>
      </c>
      <c r="H2557">
        <v>6.9358579999999996</v>
      </c>
      <c r="I2557">
        <v>293.625</v>
      </c>
      <c r="J2557">
        <v>-329.94199999999898</v>
      </c>
      <c r="K2557">
        <v>1.1199380000000001</v>
      </c>
      <c r="L2557">
        <v>283.84059999999999</v>
      </c>
      <c r="M2557">
        <v>-0.99988060000000001</v>
      </c>
      <c r="N2557">
        <v>-5.4820320000000004E-3</v>
      </c>
      <c r="O2557">
        <v>1.4453219999999999E-2</v>
      </c>
      <c r="P2557">
        <v>-0.99955430000000001</v>
      </c>
      <c r="Q2557">
        <v>-2.1431370000000002E-2</v>
      </c>
      <c r="R2557">
        <v>-2.078263E-2</v>
      </c>
      <c r="S2557">
        <v>-3.0068359999999998</v>
      </c>
      <c r="T2557">
        <v>9.6739409999999998E-2</v>
      </c>
      <c r="U2557">
        <v>0.16290279999999999</v>
      </c>
      <c r="V2557">
        <v>-3.5227750000000002E-2</v>
      </c>
      <c r="W2557">
        <v>-1.595241E-2</v>
      </c>
      <c r="X2557">
        <v>0.99925200000000003</v>
      </c>
      <c r="Y2557">
        <v>3.965349E-2</v>
      </c>
      <c r="Z2557" s="1">
        <v>1.5186549999999999E-5</v>
      </c>
      <c r="AA2557">
        <v>0.99921349999999998</v>
      </c>
      <c r="AB2557">
        <v>37</v>
      </c>
      <c r="AC2557">
        <v>-180.12899999999999</v>
      </c>
      <c r="AD2557">
        <v>5.8159199999999904</v>
      </c>
      <c r="AE2557">
        <v>9.7843999999999998</v>
      </c>
      <c r="AF2557">
        <v>7.1724398222009196</v>
      </c>
      <c r="AG2557">
        <v>5.8159199999999904</v>
      </c>
      <c r="AH2557">
        <v>180.06444043492701</v>
      </c>
      <c r="AI2557">
        <v>88.151505666739595</v>
      </c>
      <c r="AJ2557">
        <v>87.718964427234397</v>
      </c>
      <c r="AK2557">
        <v>180.301058032372</v>
      </c>
      <c r="AL2557">
        <v>90.914044521238395</v>
      </c>
      <c r="AM2557">
        <v>92.019076096602006</v>
      </c>
      <c r="AN2557">
        <v>1.0000000166294301</v>
      </c>
    </row>
    <row r="2558" spans="1:40" x14ac:dyDescent="0.25">
      <c r="A2558" t="str">
        <f>"20190303153822845"</f>
        <v>20190303153822845</v>
      </c>
      <c r="B2558" t="str">
        <f>"1551598702841095"</f>
        <v>1551598702841095</v>
      </c>
      <c r="C2558" t="s">
        <v>40</v>
      </c>
      <c r="D2558">
        <v>3.8668079999999998</v>
      </c>
      <c r="E2558">
        <v>0.5327404</v>
      </c>
      <c r="F2558" t="s">
        <v>44</v>
      </c>
      <c r="G2558">
        <v>-330.94240000000002</v>
      </c>
      <c r="H2558">
        <v>0.95961249999999998</v>
      </c>
      <c r="I2558">
        <v>283.92259999999999</v>
      </c>
      <c r="J2558">
        <v>-330.19510000000002</v>
      </c>
      <c r="K2558">
        <v>1.1199209999999999</v>
      </c>
      <c r="L2558">
        <v>283.8442</v>
      </c>
      <c r="M2558">
        <v>-0.99988160000000004</v>
      </c>
      <c r="N2558">
        <v>-5.3103029999999997E-3</v>
      </c>
      <c r="O2558">
        <v>1.4452309999999999E-2</v>
      </c>
      <c r="P2558">
        <v>-0.99954080000000001</v>
      </c>
      <c r="Q2558">
        <v>-2.1552419999999999E-2</v>
      </c>
      <c r="R2558">
        <v>-2.130611E-2</v>
      </c>
      <c r="S2558">
        <v>-2.996124</v>
      </c>
      <c r="T2558">
        <v>-0.48020839999999998</v>
      </c>
      <c r="U2558">
        <v>0.24502560000000001</v>
      </c>
      <c r="V2558">
        <v>-3.5750270000000001E-2</v>
      </c>
      <c r="W2558">
        <v>-1.624515E-2</v>
      </c>
      <c r="X2558">
        <v>0.99922869999999997</v>
      </c>
      <c r="Y2558">
        <v>6.6397079999999997E-2</v>
      </c>
      <c r="Z2558">
        <v>3.2349449999999999E-3</v>
      </c>
      <c r="AA2558">
        <v>0.99778800000000001</v>
      </c>
      <c r="AB2558">
        <v>37</v>
      </c>
      <c r="AC2558">
        <v>-0.74729999999999497</v>
      </c>
      <c r="AD2558">
        <v>-0.16030849999999899</v>
      </c>
      <c r="AE2558">
        <v>7.8399999999987799E-2</v>
      </c>
      <c r="AF2558">
        <v>6.4648857189080394E-2</v>
      </c>
      <c r="AG2558">
        <v>-0.16030849999999899</v>
      </c>
      <c r="AH2558">
        <v>0.71577540497541503</v>
      </c>
      <c r="AI2558">
        <v>102.574369261941</v>
      </c>
      <c r="AJ2558">
        <v>84.839046834887498</v>
      </c>
      <c r="AK2558">
        <v>0.73635094912400501</v>
      </c>
      <c r="AL2558">
        <v>90.9308194854828</v>
      </c>
      <c r="AM2558">
        <v>92.049046691585801</v>
      </c>
      <c r="AN2558">
        <v>0.99999999080364199</v>
      </c>
    </row>
    <row r="2559" spans="1:40" x14ac:dyDescent="0.25">
      <c r="A2559" t="str">
        <f>"20190303153822857"</f>
        <v>20190303153822857</v>
      </c>
      <c r="B2559" t="str">
        <f>"1551598702850855"</f>
        <v>1551598702850855</v>
      </c>
      <c r="C2559" t="s">
        <v>40</v>
      </c>
      <c r="D2559">
        <v>3.8669410000000002</v>
      </c>
      <c r="E2559">
        <v>0.53297079999999997</v>
      </c>
      <c r="F2559" t="s">
        <v>55</v>
      </c>
      <c r="G2559">
        <v>-349.02679999999998</v>
      </c>
      <c r="H2559" s="1">
        <v>3.2668280000000001E-6</v>
      </c>
      <c r="I2559">
        <v>285.09840000000003</v>
      </c>
      <c r="J2559">
        <v>-330.3897</v>
      </c>
      <c r="K2559">
        <v>1.1199079999999999</v>
      </c>
      <c r="L2559">
        <v>283.84710000000001</v>
      </c>
      <c r="M2559">
        <v>-0.9998821</v>
      </c>
      <c r="N2559">
        <v>-5.1932300000000001E-3</v>
      </c>
      <c r="O2559">
        <v>1.445197E-2</v>
      </c>
      <c r="P2559">
        <v>-0.99954540000000003</v>
      </c>
      <c r="Q2559">
        <v>-2.1200409999999999E-2</v>
      </c>
      <c r="R2559">
        <v>-2.1439630000000001E-2</v>
      </c>
      <c r="S2559">
        <v>-3.0018310000000001</v>
      </c>
      <c r="T2559">
        <v>-0.1785187</v>
      </c>
      <c r="U2559">
        <v>0.19992070000000001</v>
      </c>
      <c r="V2559">
        <v>-3.588334E-2</v>
      </c>
      <c r="W2559">
        <v>-1.6010110000000001E-2</v>
      </c>
      <c r="X2559">
        <v>0.9992278</v>
      </c>
      <c r="Y2559">
        <v>5.1946989999999998E-2</v>
      </c>
      <c r="Z2559">
        <v>8.9403550000000001E-4</v>
      </c>
      <c r="AA2559">
        <v>0.99864940000000002</v>
      </c>
      <c r="AB2559">
        <v>37</v>
      </c>
      <c r="AC2559">
        <v>-18.637099999999901</v>
      </c>
      <c r="AD2559">
        <v>-1.119904733172</v>
      </c>
      <c r="AE2559">
        <v>1.2513000000000101</v>
      </c>
      <c r="AF2559">
        <v>0.97830624775390596</v>
      </c>
      <c r="AG2559">
        <v>-1.119904733172</v>
      </c>
      <c r="AH2559">
        <v>18.586426557507501</v>
      </c>
      <c r="AI2559">
        <v>93.443370365633697</v>
      </c>
      <c r="AJ2559">
        <v>86.986987249526095</v>
      </c>
      <c r="AK2559">
        <v>18.645817812673101</v>
      </c>
      <c r="AL2559">
        <v>90.917350863702197</v>
      </c>
      <c r="AM2559">
        <v>92.056668986059904</v>
      </c>
      <c r="AN2559">
        <v>1.0000000670022999</v>
      </c>
    </row>
    <row r="2560" spans="1:40" x14ac:dyDescent="0.25">
      <c r="A2560" t="str">
        <f>"20190303153822870"</f>
        <v>20190303153822870</v>
      </c>
      <c r="B2560" t="str">
        <f>"1551598702861591"</f>
        <v>1551598702861591</v>
      </c>
      <c r="C2560" t="s">
        <v>40</v>
      </c>
      <c r="D2560">
        <v>3.8087390000000001</v>
      </c>
      <c r="E2560">
        <v>0.53281690000000004</v>
      </c>
      <c r="F2560" t="s">
        <v>55</v>
      </c>
      <c r="G2560">
        <v>-357.3963</v>
      </c>
      <c r="H2560" s="1">
        <v>2.399167E-6</v>
      </c>
      <c r="I2560">
        <v>285.6456</v>
      </c>
      <c r="J2560">
        <v>-330.60090000000002</v>
      </c>
      <c r="K2560">
        <v>1.1198969999999999</v>
      </c>
      <c r="L2560">
        <v>283.8501</v>
      </c>
      <c r="M2560">
        <v>-0.99988279999999996</v>
      </c>
      <c r="N2560">
        <v>-5.0756350000000002E-3</v>
      </c>
      <c r="O2560">
        <v>1.4451439999999999E-2</v>
      </c>
      <c r="P2560">
        <v>-0.99954149999999997</v>
      </c>
      <c r="Q2560">
        <v>-2.1004640000000002E-2</v>
      </c>
      <c r="R2560">
        <v>-2.182021E-2</v>
      </c>
      <c r="S2560">
        <v>-3.0029599999999999</v>
      </c>
      <c r="T2560">
        <v>-0.1245264</v>
      </c>
      <c r="U2560">
        <v>0.19998170000000001</v>
      </c>
      <c r="V2560">
        <v>-3.6263129999999998E-2</v>
      </c>
      <c r="W2560">
        <v>-1.5931879999999999E-2</v>
      </c>
      <c r="X2560">
        <v>0.99921519999999997</v>
      </c>
      <c r="Y2560">
        <v>5.1980640000000002E-2</v>
      </c>
      <c r="Z2560">
        <v>6.8322670000000002E-4</v>
      </c>
      <c r="AA2560">
        <v>0.99864790000000003</v>
      </c>
      <c r="AB2560">
        <v>37</v>
      </c>
      <c r="AC2560">
        <v>-26.795399999999901</v>
      </c>
      <c r="AD2560">
        <v>-1.119894600833</v>
      </c>
      <c r="AE2560">
        <v>1.7955000000000001</v>
      </c>
      <c r="AF2560">
        <v>1.4056311064690199</v>
      </c>
      <c r="AG2560">
        <v>-1.119894600833</v>
      </c>
      <c r="AH2560">
        <v>26.771994367858301</v>
      </c>
      <c r="AI2560">
        <v>92.392042317729405</v>
      </c>
      <c r="AJ2560">
        <v>86.994514222182701</v>
      </c>
      <c r="AK2560">
        <v>26.832250094934</v>
      </c>
      <c r="AL2560">
        <v>90.912868170628201</v>
      </c>
      <c r="AM2560">
        <v>92.0784440068403</v>
      </c>
      <c r="AN2560">
        <v>0.99999992765438295</v>
      </c>
    </row>
    <row r="2561" spans="1:40" x14ac:dyDescent="0.25">
      <c r="A2561" t="str">
        <f>"20190303153822881"</f>
        <v>20190303153822881</v>
      </c>
      <c r="B2561" t="str">
        <f>"1551598702871351"</f>
        <v>1551598702871351</v>
      </c>
      <c r="C2561" t="s">
        <v>40</v>
      </c>
      <c r="D2561">
        <v>3.7165970000000002</v>
      </c>
      <c r="E2561">
        <v>0.53370830000000002</v>
      </c>
      <c r="F2561" t="s">
        <v>55</v>
      </c>
      <c r="G2561">
        <v>-371.4128</v>
      </c>
      <c r="H2561" s="1">
        <v>-7.849385E-7</v>
      </c>
      <c r="I2561">
        <v>286.52359999999999</v>
      </c>
      <c r="J2561">
        <v>-330.80309999999997</v>
      </c>
      <c r="K2561">
        <v>1.119893</v>
      </c>
      <c r="L2561">
        <v>283.85309999999998</v>
      </c>
      <c r="M2561">
        <v>-0.99988319999999997</v>
      </c>
      <c r="N2561">
        <v>-4.999257E-3</v>
      </c>
      <c r="O2561">
        <v>1.4450799999999899E-2</v>
      </c>
      <c r="P2561">
        <v>-0.99953499999999995</v>
      </c>
      <c r="Q2561">
        <v>-2.0891030000000001E-2</v>
      </c>
      <c r="R2561">
        <v>-2.221799E-2</v>
      </c>
      <c r="S2561">
        <v>-3.0039370000000001</v>
      </c>
      <c r="T2561">
        <v>-8.2429409999999995E-2</v>
      </c>
      <c r="U2561">
        <v>0.19677729999999999</v>
      </c>
      <c r="V2561">
        <v>-3.666051E-2</v>
      </c>
      <c r="W2561">
        <v>-1.5894640000000002E-2</v>
      </c>
      <c r="X2561">
        <v>0.99920140000000002</v>
      </c>
      <c r="Y2561">
        <v>5.092054E-2</v>
      </c>
      <c r="Z2561">
        <v>5.0139559999999995E-4</v>
      </c>
      <c r="AA2561">
        <v>0.9987026</v>
      </c>
      <c r="AB2561">
        <v>37</v>
      </c>
      <c r="AC2561">
        <v>-40.609699999999997</v>
      </c>
      <c r="AD2561">
        <v>-1.1198937849385</v>
      </c>
      <c r="AE2561">
        <v>2.6705000000000001</v>
      </c>
      <c r="AF2561">
        <v>2.0817948563983002</v>
      </c>
      <c r="AG2561">
        <v>-1.1198937849385</v>
      </c>
      <c r="AH2561">
        <v>40.613297778928498</v>
      </c>
      <c r="AI2561">
        <v>91.577435685502806</v>
      </c>
      <c r="AJ2561">
        <v>87.065646891665693</v>
      </c>
      <c r="AK2561">
        <v>40.682035204664899</v>
      </c>
      <c r="AL2561">
        <v>90.910734107508901</v>
      </c>
      <c r="AM2561">
        <v>92.101228779102897</v>
      </c>
      <c r="AN2561">
        <v>1.00000003516807</v>
      </c>
    </row>
    <row r="2562" spans="1:40" x14ac:dyDescent="0.25">
      <c r="A2562" t="str">
        <f>"20190303153822894"</f>
        <v>20190303153822894</v>
      </c>
      <c r="B2562" t="str">
        <f>"1551598702890871"</f>
        <v>1551598702890871</v>
      </c>
      <c r="C2562" t="s">
        <v>40</v>
      </c>
      <c r="D2562">
        <v>3.8093469999999998</v>
      </c>
      <c r="E2562">
        <v>0.53351899999999997</v>
      </c>
      <c r="F2562" t="s">
        <v>55</v>
      </c>
      <c r="G2562">
        <v>-387.69450000000001</v>
      </c>
      <c r="H2562" s="1">
        <v>2.55782E-6</v>
      </c>
      <c r="I2562">
        <v>287.67779999999999</v>
      </c>
      <c r="J2562">
        <v>-331.00810000000001</v>
      </c>
      <c r="K2562">
        <v>1.1198950000000001</v>
      </c>
      <c r="L2562">
        <v>283.85599999999999</v>
      </c>
      <c r="M2562">
        <v>-0.99988339999999998</v>
      </c>
      <c r="N2562">
        <v>-4.9428880000000003E-3</v>
      </c>
      <c r="O2562">
        <v>1.4450279999999999E-2</v>
      </c>
      <c r="P2562">
        <v>-0.99953009999999998</v>
      </c>
      <c r="Q2562">
        <v>-2.0798629999999999E-2</v>
      </c>
      <c r="R2562">
        <v>-2.2527829999999999E-2</v>
      </c>
      <c r="S2562">
        <v>-3.0046390000000001</v>
      </c>
      <c r="T2562">
        <v>-5.9145450000000002E-2</v>
      </c>
      <c r="U2562">
        <v>0.2019958</v>
      </c>
      <c r="V2562">
        <v>-3.6969759999999997E-2</v>
      </c>
      <c r="W2562">
        <v>-1.58586E-2</v>
      </c>
      <c r="X2562">
        <v>0.99919060000000004</v>
      </c>
      <c r="Y2562">
        <v>5.2640529999999998E-2</v>
      </c>
      <c r="Z2562">
        <v>4.3502580000000002E-4</v>
      </c>
      <c r="AA2562">
        <v>0.99861339999999998</v>
      </c>
      <c r="AB2562">
        <v>37</v>
      </c>
      <c r="AC2562">
        <v>-56.6863999999999</v>
      </c>
      <c r="AD2562">
        <v>-1.1198924421800001</v>
      </c>
      <c r="AE2562">
        <v>3.8217999999999899</v>
      </c>
      <c r="AF2562">
        <v>3.0010906017118502</v>
      </c>
      <c r="AG2562">
        <v>-1.1198924421800001</v>
      </c>
      <c r="AH2562">
        <v>56.713672939750502</v>
      </c>
      <c r="AI2562">
        <v>91.129659853835193</v>
      </c>
      <c r="AJ2562">
        <v>86.970931522988906</v>
      </c>
      <c r="AK2562">
        <v>56.804061493864303</v>
      </c>
      <c r="AL2562">
        <v>90.908668887784899</v>
      </c>
      <c r="AM2562">
        <v>92.118960502309093</v>
      </c>
      <c r="AN2562">
        <v>1.00000005673838</v>
      </c>
    </row>
    <row r="2563" spans="1:40" x14ac:dyDescent="0.25">
      <c r="A2563" t="str">
        <f>"20190303153822906"</f>
        <v>20190303153822906</v>
      </c>
      <c r="B2563" t="str">
        <f>"1551598702901607"</f>
        <v>1551598702901607</v>
      </c>
      <c r="C2563" t="s">
        <v>40</v>
      </c>
      <c r="D2563">
        <v>3.867515</v>
      </c>
      <c r="E2563">
        <v>0.53198669999999904</v>
      </c>
      <c r="F2563" t="s">
        <v>55</v>
      </c>
      <c r="G2563">
        <v>-466.34789999999998</v>
      </c>
      <c r="H2563">
        <v>8.0000059999999998E-2</v>
      </c>
      <c r="I2563">
        <v>292.81079999999997</v>
      </c>
      <c r="J2563">
        <v>-331.21420000000001</v>
      </c>
      <c r="K2563">
        <v>1.1199059999999901</v>
      </c>
      <c r="L2563">
        <v>283.85899999999998</v>
      </c>
      <c r="M2563">
        <v>-0.99988350000000004</v>
      </c>
      <c r="N2563">
        <v>-4.9180860000000003E-3</v>
      </c>
      <c r="O2563">
        <v>1.444981E-2</v>
      </c>
      <c r="P2563">
        <v>-0.99952629999999998</v>
      </c>
      <c r="Q2563">
        <v>-2.0678209999999999E-2</v>
      </c>
      <c r="R2563">
        <v>-2.2797709999999999E-2</v>
      </c>
      <c r="S2563">
        <v>-3.0054020000000001</v>
      </c>
      <c r="T2563">
        <v>-2.3092270000000002E-2</v>
      </c>
      <c r="U2563">
        <v>0.19885249999999999</v>
      </c>
      <c r="V2563">
        <v>-3.7239010000000003E-2</v>
      </c>
      <c r="W2563">
        <v>-1.5762990000000001E-2</v>
      </c>
      <c r="X2563">
        <v>0.99918200000000001</v>
      </c>
      <c r="Y2563">
        <v>5.1592909999999999E-2</v>
      </c>
      <c r="Z2563">
        <v>2.8511239999999999E-4</v>
      </c>
      <c r="AA2563">
        <v>0.99866809999999995</v>
      </c>
      <c r="AB2563">
        <v>37</v>
      </c>
      <c r="AC2563">
        <v>-135.13369999999901</v>
      </c>
      <c r="AD2563">
        <v>-1.0399059399999999</v>
      </c>
      <c r="AE2563">
        <v>8.9517999999999294</v>
      </c>
      <c r="AF2563">
        <v>6.9977728769543202</v>
      </c>
      <c r="AG2563">
        <v>-1.0399059399999999</v>
      </c>
      <c r="AH2563">
        <v>135.24097070129599</v>
      </c>
      <c r="AI2563">
        <v>90.439966162345101</v>
      </c>
      <c r="AJ2563">
        <v>87.037986316671507</v>
      </c>
      <c r="AK2563">
        <v>135.42588521338999</v>
      </c>
      <c r="AL2563">
        <v>90.903190257039597</v>
      </c>
      <c r="AM2563">
        <v>92.134396980100604</v>
      </c>
      <c r="AN2563">
        <v>0.99999994242175805</v>
      </c>
    </row>
    <row r="2564" spans="1:40" x14ac:dyDescent="0.25">
      <c r="A2564" t="str">
        <f>"20190303153822919"</f>
        <v>20190303153822919</v>
      </c>
      <c r="B2564" t="str">
        <f>"1551598702911366"</f>
        <v>1551598702911366</v>
      </c>
      <c r="C2564" t="s">
        <v>40</v>
      </c>
      <c r="D2564">
        <v>3.889338</v>
      </c>
      <c r="E2564">
        <v>0.53080859999999996</v>
      </c>
      <c r="F2564" t="s">
        <v>51</v>
      </c>
      <c r="G2564">
        <v>-499.95780000000002</v>
      </c>
      <c r="H2564">
        <v>3.1212449999999999E-2</v>
      </c>
      <c r="I2564">
        <v>294.27910000000003</v>
      </c>
      <c r="J2564">
        <v>-331.41950000000003</v>
      </c>
      <c r="K2564">
        <v>1.119929</v>
      </c>
      <c r="L2564">
        <v>283.86189999999999</v>
      </c>
      <c r="M2564">
        <v>-0.99988330000000003</v>
      </c>
      <c r="N2564">
        <v>-4.9612969999999999E-3</v>
      </c>
      <c r="O2564">
        <v>1.4449399999999999E-2</v>
      </c>
      <c r="P2564">
        <v>-0.99951179999999995</v>
      </c>
      <c r="Q2564">
        <v>-2.078408E-2</v>
      </c>
      <c r="R2564">
        <v>-2.332948E-2</v>
      </c>
      <c r="S2564">
        <v>-3.0052490000000001</v>
      </c>
      <c r="T2564">
        <v>-1.9389150000000001E-2</v>
      </c>
      <c r="U2564">
        <v>0.1855774</v>
      </c>
      <c r="V2564">
        <v>-3.7770209999999999E-2</v>
      </c>
      <c r="W2564">
        <v>-1.5825780000000001E-2</v>
      </c>
      <c r="X2564">
        <v>0.99916110000000002</v>
      </c>
      <c r="Y2564">
        <v>4.7203429999999998E-2</v>
      </c>
      <c r="Z2564">
        <v>2.4784360000000002E-4</v>
      </c>
      <c r="AA2564">
        <v>0.99888529999999998</v>
      </c>
      <c r="AB2564">
        <v>37</v>
      </c>
      <c r="AC2564">
        <v>-168.53829999999999</v>
      </c>
      <c r="AD2564">
        <v>-1.08871655</v>
      </c>
      <c r="AE2564">
        <v>10.417199999999999</v>
      </c>
      <c r="AF2564">
        <v>7.9804734245843401</v>
      </c>
      <c r="AG2564">
        <v>-1.08871655</v>
      </c>
      <c r="AH2564">
        <v>168.66421732841499</v>
      </c>
      <c r="AI2564">
        <v>90.369422108023798</v>
      </c>
      <c r="AJ2564">
        <v>87.291027787974798</v>
      </c>
      <c r="AK2564">
        <v>168.856422640104</v>
      </c>
      <c r="AL2564">
        <v>90.906788279500802</v>
      </c>
      <c r="AM2564">
        <v>92.164859798307901</v>
      </c>
      <c r="AN2564">
        <v>0.99999997391463002</v>
      </c>
    </row>
    <row r="2565" spans="1:40" x14ac:dyDescent="0.25">
      <c r="A2565" t="str">
        <f>"20190303153822933"</f>
        <v>20190303153822933</v>
      </c>
      <c r="B2565" t="str">
        <f>"1551598702921126"</f>
        <v>1551598702921126</v>
      </c>
      <c r="C2565" t="s">
        <v>40</v>
      </c>
      <c r="D2565">
        <v>3.871267</v>
      </c>
      <c r="E2565">
        <v>0.52979869999999996</v>
      </c>
      <c r="F2565" t="s">
        <v>58</v>
      </c>
      <c r="G2565">
        <v>-510.95359999999999</v>
      </c>
      <c r="H2565">
        <v>0.12388929999999999</v>
      </c>
      <c r="I2565">
        <v>294.29590000000002</v>
      </c>
      <c r="J2565">
        <v>-331.66250000000002</v>
      </c>
      <c r="K2565">
        <v>1.1199680000000001</v>
      </c>
      <c r="L2565">
        <v>283.86540000000002</v>
      </c>
      <c r="M2565">
        <v>-0.99988279999999996</v>
      </c>
      <c r="N2565">
        <v>-5.0752920000000003E-3</v>
      </c>
      <c r="O2565">
        <v>1.4448580000000001E-2</v>
      </c>
      <c r="P2565">
        <v>-0.99950430000000001</v>
      </c>
      <c r="Q2565">
        <v>-2.10908E-2</v>
      </c>
      <c r="R2565">
        <v>-2.337966E-2</v>
      </c>
      <c r="S2565">
        <v>-3.005188</v>
      </c>
      <c r="T2565">
        <v>-1.6671060000000001E-2</v>
      </c>
      <c r="U2565">
        <v>0.1746521</v>
      </c>
      <c r="V2565">
        <v>-3.7819640000000002E-2</v>
      </c>
      <c r="W2565">
        <v>-1.6018629999999999E-2</v>
      </c>
      <c r="X2565">
        <v>0.99915620000000005</v>
      </c>
      <c r="Y2565">
        <v>4.3587210000000001E-2</v>
      </c>
      <c r="Z2565">
        <v>2.247053E-4</v>
      </c>
      <c r="AA2565">
        <v>0.99904959999999998</v>
      </c>
      <c r="AB2565">
        <v>38</v>
      </c>
      <c r="AC2565">
        <v>-179.29109999999901</v>
      </c>
      <c r="AD2565">
        <v>-0.99607869999999998</v>
      </c>
      <c r="AE2565">
        <v>10.430499999999901</v>
      </c>
      <c r="AF2565">
        <v>7.8386350538535003</v>
      </c>
      <c r="AG2565">
        <v>-0.99607869999999998</v>
      </c>
      <c r="AH2565">
        <v>179.41757276241501</v>
      </c>
      <c r="AI2565">
        <v>90.317784542583397</v>
      </c>
      <c r="AJ2565">
        <v>87.498376154886401</v>
      </c>
      <c r="AK2565">
        <v>179.591485845628</v>
      </c>
      <c r="AL2565">
        <v>90.917839132366694</v>
      </c>
      <c r="AM2565">
        <v>92.167700877090297</v>
      </c>
      <c r="AN2565">
        <v>1.00000001683762</v>
      </c>
    </row>
    <row r="2566" spans="1:40" x14ac:dyDescent="0.25">
      <c r="A2566" t="str">
        <f>"20190303153822947"</f>
        <v>20190303153822947</v>
      </c>
      <c r="B2566" t="str">
        <f>"1551598702941624"</f>
        <v>1551598702941624</v>
      </c>
      <c r="C2566" t="s">
        <v>40</v>
      </c>
      <c r="D2566">
        <v>3.8557730000000001</v>
      </c>
      <c r="E2566">
        <v>0.52835659999999995</v>
      </c>
      <c r="F2566" t="s">
        <v>58</v>
      </c>
      <c r="G2566">
        <v>-510.95370000000003</v>
      </c>
      <c r="H2566">
        <v>0.3444545</v>
      </c>
      <c r="I2566">
        <v>293.79579999999999</v>
      </c>
      <c r="J2566">
        <v>-331.89710000000002</v>
      </c>
      <c r="K2566">
        <v>1.1200239999999999</v>
      </c>
      <c r="L2566">
        <v>283.86880000000002</v>
      </c>
      <c r="M2566">
        <v>-0.99988169999999998</v>
      </c>
      <c r="N2566">
        <v>-5.2897609999999996E-3</v>
      </c>
      <c r="O2566">
        <v>1.4448020000000001E-2</v>
      </c>
      <c r="P2566">
        <v>-0.99947889999999995</v>
      </c>
      <c r="Q2566">
        <v>-2.1761780000000001E-2</v>
      </c>
      <c r="R2566">
        <v>-2.3851310000000001E-2</v>
      </c>
      <c r="S2566">
        <v>-3.005096</v>
      </c>
      <c r="T2566">
        <v>-1.299691E-2</v>
      </c>
      <c r="U2566">
        <v>0.16644289999999901</v>
      </c>
      <c r="V2566">
        <v>-3.8289589999999998E-2</v>
      </c>
      <c r="W2566">
        <v>-1.6475469999999999E-2</v>
      </c>
      <c r="X2566">
        <v>0.99913079999999999</v>
      </c>
      <c r="Y2566">
        <v>4.0869389999999998E-2</v>
      </c>
      <c r="Z2566">
        <v>2.1043759999999999E-4</v>
      </c>
      <c r="AA2566">
        <v>0.99916450000000001</v>
      </c>
      <c r="AB2566">
        <v>38</v>
      </c>
      <c r="AC2566">
        <v>-179.0566</v>
      </c>
      <c r="AD2566">
        <v>-0.77556949999999902</v>
      </c>
      <c r="AE2566">
        <v>9.9269999999999605</v>
      </c>
      <c r="AF2566">
        <v>7.3387771966011996</v>
      </c>
      <c r="AG2566">
        <v>-0.77556949999999902</v>
      </c>
      <c r="AH2566">
        <v>179.17798609056399</v>
      </c>
      <c r="AI2566">
        <v>90.247794705675602</v>
      </c>
      <c r="AJ2566">
        <v>87.654588723016204</v>
      </c>
      <c r="AK2566">
        <v>179.329891145511</v>
      </c>
      <c r="AL2566">
        <v>90.944017659556195</v>
      </c>
      <c r="AM2566">
        <v>92.194666469249697</v>
      </c>
      <c r="AN2566">
        <v>0.99999994466136299</v>
      </c>
    </row>
    <row r="2567" spans="1:40" x14ac:dyDescent="0.25">
      <c r="A2567" t="str">
        <f>"20190303153822969"</f>
        <v>20190303153822969</v>
      </c>
      <c r="B2567" t="str">
        <f>"1551598702961143"</f>
        <v>1551598702961143</v>
      </c>
      <c r="C2567" t="s">
        <v>40</v>
      </c>
      <c r="D2567">
        <v>3.9057879999999998</v>
      </c>
      <c r="E2567">
        <v>0.52691189999999999</v>
      </c>
      <c r="F2567" t="s">
        <v>58</v>
      </c>
      <c r="G2567">
        <v>-541.37019999999995</v>
      </c>
      <c r="H2567">
        <v>0.55028669999999902</v>
      </c>
      <c r="I2567">
        <v>294.55</v>
      </c>
      <c r="J2567">
        <v>-332.27659999999997</v>
      </c>
      <c r="K2567">
        <v>1.12016</v>
      </c>
      <c r="L2567">
        <v>283.87430000000001</v>
      </c>
      <c r="M2567">
        <v>-0.9998785</v>
      </c>
      <c r="N2567">
        <v>-5.8581569999999897E-3</v>
      </c>
      <c r="O2567">
        <v>1.4447079999999999E-2</v>
      </c>
      <c r="P2567">
        <v>-0.99945720000000005</v>
      </c>
      <c r="Q2567">
        <v>-2.337405E-2</v>
      </c>
      <c r="R2567">
        <v>-2.322273E-2</v>
      </c>
      <c r="S2567">
        <v>-3.0050349999999999</v>
      </c>
      <c r="T2567">
        <v>-8.1720349999999994E-3</v>
      </c>
      <c r="U2567">
        <v>0.153228799999999</v>
      </c>
      <c r="V2567">
        <v>-3.7660039999999999E-2</v>
      </c>
      <c r="W2567">
        <v>-1.751991E-2</v>
      </c>
      <c r="X2567">
        <v>0.99913700000000005</v>
      </c>
      <c r="Y2567">
        <v>3.6490259999999997E-2</v>
      </c>
      <c r="Z2567">
        <v>2.0186950000000001E-4</v>
      </c>
      <c r="AA2567">
        <v>0.99933399999999994</v>
      </c>
      <c r="AB2567">
        <v>38</v>
      </c>
      <c r="AC2567">
        <v>-209.09360000000001</v>
      </c>
      <c r="AD2567">
        <v>-0.56987330000000003</v>
      </c>
      <c r="AE2567">
        <v>10.675700000000001</v>
      </c>
      <c r="AF2567">
        <v>7.6536853685418897</v>
      </c>
      <c r="AG2567">
        <v>-0.56987330000000003</v>
      </c>
      <c r="AH2567">
        <v>209.224462546307</v>
      </c>
      <c r="AI2567">
        <v>90.155954180022604</v>
      </c>
      <c r="AJ2567">
        <v>87.9049848561517</v>
      </c>
      <c r="AK2567">
        <v>209.36518187867301</v>
      </c>
      <c r="AL2567">
        <v>91.003868275426697</v>
      </c>
      <c r="AM2567">
        <v>92.158603227837403</v>
      </c>
      <c r="AN2567">
        <v>0.99999998531410395</v>
      </c>
    </row>
    <row r="2568" spans="1:40" x14ac:dyDescent="0.25">
      <c r="A2568" t="str">
        <f>"20190303153822991"</f>
        <v>20190303153822991</v>
      </c>
      <c r="B2568" t="str">
        <f>"1551598702981251"</f>
        <v>1551598702981251</v>
      </c>
      <c r="C2568" t="s">
        <v>40</v>
      </c>
      <c r="D2568">
        <v>3.9603449999999998</v>
      </c>
      <c r="E2568">
        <v>0.52613189999999999</v>
      </c>
      <c r="F2568" t="s">
        <v>58</v>
      </c>
      <c r="G2568">
        <v>-550.05709999999999</v>
      </c>
      <c r="H2568">
        <v>0.61519740000000001</v>
      </c>
      <c r="I2568">
        <v>294.27449999999999</v>
      </c>
      <c r="J2568">
        <v>-332.63920000000002</v>
      </c>
      <c r="K2568">
        <v>1.1203149999999999</v>
      </c>
      <c r="L2568">
        <v>283.87950000000001</v>
      </c>
      <c r="M2568">
        <v>-0.99987389999999998</v>
      </c>
      <c r="N2568">
        <v>-6.6012680000000004E-3</v>
      </c>
      <c r="O2568">
        <v>1.444659E-2</v>
      </c>
      <c r="P2568">
        <v>-0.99942989999999998</v>
      </c>
      <c r="Q2568">
        <v>-2.5367190000000001E-2</v>
      </c>
      <c r="R2568">
        <v>-2.2282509999999998E-2</v>
      </c>
      <c r="S2568">
        <v>-3.0047609999999998</v>
      </c>
      <c r="T2568">
        <v>-6.9658760000000002E-3</v>
      </c>
      <c r="U2568">
        <v>0.1434937</v>
      </c>
      <c r="V2568">
        <v>-3.6719210000000002E-2</v>
      </c>
      <c r="W2568">
        <v>-1.877065E-2</v>
      </c>
      <c r="X2568">
        <v>0.99914930000000002</v>
      </c>
      <c r="Y2568">
        <v>3.3265429999999999E-2</v>
      </c>
      <c r="Z2568">
        <v>2.102537E-4</v>
      </c>
      <c r="AA2568">
        <v>0.99944650000000002</v>
      </c>
      <c r="AB2568">
        <v>38</v>
      </c>
      <c r="AC2568">
        <v>-217.4179</v>
      </c>
      <c r="AD2568">
        <v>-0.50511759999999895</v>
      </c>
      <c r="AE2568">
        <v>10.3949999999999</v>
      </c>
      <c r="AF2568">
        <v>7.2528605525943801</v>
      </c>
      <c r="AG2568">
        <v>-0.50511759999999895</v>
      </c>
      <c r="AH2568">
        <v>217.54421388710099</v>
      </c>
      <c r="AI2568">
        <v>90.132961401509206</v>
      </c>
      <c r="AJ2568">
        <v>88.0904827350342</v>
      </c>
      <c r="AK2568">
        <v>217.66567052648</v>
      </c>
      <c r="AL2568">
        <v>91.075542209736</v>
      </c>
      <c r="AM2568">
        <v>92.104699841025806</v>
      </c>
      <c r="AN2568">
        <v>0.99999998068746798</v>
      </c>
    </row>
    <row r="2569" spans="1:40" x14ac:dyDescent="0.25">
      <c r="A2569" t="str">
        <f>"20190303153823003"</f>
        <v>20190303153823003</v>
      </c>
      <c r="B2569" t="str">
        <f>"1551598702991000"</f>
        <v>1551598702991000</v>
      </c>
      <c r="C2569" t="s">
        <v>40</v>
      </c>
      <c r="D2569">
        <v>3.9937930000000001</v>
      </c>
      <c r="E2569">
        <v>0.52588109999999999</v>
      </c>
      <c r="F2569" t="s">
        <v>58</v>
      </c>
      <c r="G2569">
        <v>-550.05700000000002</v>
      </c>
      <c r="H2569">
        <v>0.40448479999999998</v>
      </c>
      <c r="I2569">
        <v>294.00920000000002</v>
      </c>
      <c r="J2569">
        <v>-332.85500000000002</v>
      </c>
      <c r="K2569">
        <v>1.120409</v>
      </c>
      <c r="L2569">
        <v>283.8827</v>
      </c>
      <c r="M2569">
        <v>-0.9998707</v>
      </c>
      <c r="N2569">
        <v>-7.0806849999999998E-3</v>
      </c>
      <c r="O2569">
        <v>1.4446479999999999E-2</v>
      </c>
      <c r="P2569">
        <v>-0.99942569999999997</v>
      </c>
      <c r="Q2569">
        <v>-2.582767E-2</v>
      </c>
      <c r="R2569">
        <v>-2.1937459999999999E-2</v>
      </c>
      <c r="S2569">
        <v>-3.0045470000000001</v>
      </c>
      <c r="T2569">
        <v>-9.8910330000000005E-3</v>
      </c>
      <c r="U2569">
        <v>0.1399841</v>
      </c>
      <c r="V2569">
        <v>-3.6374749999999997E-2</v>
      </c>
      <c r="W2569">
        <v>-1.8752100000000001E-2</v>
      </c>
      <c r="X2569">
        <v>0.99916229999999995</v>
      </c>
      <c r="Y2569">
        <v>3.2103779999999998E-2</v>
      </c>
      <c r="Z2569">
        <v>2.2125819999999999E-4</v>
      </c>
      <c r="AA2569">
        <v>0.9994845</v>
      </c>
      <c r="AB2569">
        <v>38</v>
      </c>
      <c r="AC2569">
        <v>-217.202</v>
      </c>
      <c r="AD2569">
        <v>-0.71592419999999901</v>
      </c>
      <c r="AE2569">
        <v>10.1265</v>
      </c>
      <c r="AF2569">
        <v>6.9874848249514301</v>
      </c>
      <c r="AG2569">
        <v>-0.71592419999999901</v>
      </c>
      <c r="AH2569">
        <v>217.32327253154401</v>
      </c>
      <c r="AI2569">
        <v>90.188650301056796</v>
      </c>
      <c r="AJ2569">
        <v>88.158432314902996</v>
      </c>
      <c r="AK2569">
        <v>217.436754656288</v>
      </c>
      <c r="AL2569">
        <v>91.074479129991801</v>
      </c>
      <c r="AM2569">
        <v>92.084946223005502</v>
      </c>
      <c r="AN2569">
        <v>1.0000000327166301</v>
      </c>
    </row>
    <row r="2570" spans="1:40" x14ac:dyDescent="0.25">
      <c r="A2570" t="str">
        <f>"20190303153823018"</f>
        <v>20190303153823018</v>
      </c>
      <c r="B2570" t="str">
        <f>"1551598703011495"</f>
        <v>1551598703011495</v>
      </c>
      <c r="C2570" t="s">
        <v>40</v>
      </c>
      <c r="D2570">
        <v>3.9275699999999998</v>
      </c>
      <c r="E2570">
        <v>0.52538660000000004</v>
      </c>
      <c r="F2570" t="s">
        <v>58</v>
      </c>
      <c r="G2570">
        <v>-550.05700000000002</v>
      </c>
      <c r="H2570">
        <v>0.46670299999999998</v>
      </c>
      <c r="I2570">
        <v>293.92520000000002</v>
      </c>
      <c r="J2570">
        <v>-333.08109999999999</v>
      </c>
      <c r="K2570">
        <v>1.120493</v>
      </c>
      <c r="L2570">
        <v>283.88600000000002</v>
      </c>
      <c r="M2570">
        <v>-0.99986699999999995</v>
      </c>
      <c r="N2570">
        <v>-7.5793719999999896E-3</v>
      </c>
      <c r="O2570">
        <v>1.444631E-2</v>
      </c>
      <c r="P2570">
        <v>-0.99942419999999998</v>
      </c>
      <c r="Q2570">
        <v>-2.631667E-2</v>
      </c>
      <c r="R2570">
        <v>-2.1425420000000001E-2</v>
      </c>
      <c r="S2570">
        <v>-3.004486</v>
      </c>
      <c r="T2570">
        <v>-9.0413090000000008E-3</v>
      </c>
      <c r="U2570">
        <v>0.13891600000000001</v>
      </c>
      <c r="V2570">
        <v>-3.5862579999999998E-2</v>
      </c>
      <c r="W2570">
        <v>-1.8742769999999999E-2</v>
      </c>
      <c r="X2570">
        <v>0.99918099999999999</v>
      </c>
      <c r="Y2570">
        <v>3.1750390000000003E-2</v>
      </c>
      <c r="Z2570">
        <v>2.341427E-4</v>
      </c>
      <c r="AA2570">
        <v>0.99949580000000005</v>
      </c>
      <c r="AB2570">
        <v>38</v>
      </c>
      <c r="AC2570">
        <v>-216.9759</v>
      </c>
      <c r="AD2570">
        <v>-0.65378999999999998</v>
      </c>
      <c r="AE2570">
        <v>10.039199999999999</v>
      </c>
      <c r="AF2570">
        <v>6.9034988703142801</v>
      </c>
      <c r="AG2570">
        <v>-0.65378999999999998</v>
      </c>
      <c r="AH2570">
        <v>217.09632320628299</v>
      </c>
      <c r="AI2570">
        <v>90.172459713231206</v>
      </c>
      <c r="AJ2570">
        <v>88.178651294514296</v>
      </c>
      <c r="AK2570">
        <v>217.207042444998</v>
      </c>
      <c r="AL2570">
        <v>91.073944454927897</v>
      </c>
      <c r="AM2570">
        <v>92.055576331453395</v>
      </c>
      <c r="AN2570">
        <v>1.0000000434162599</v>
      </c>
    </row>
    <row r="2571" spans="1:40" x14ac:dyDescent="0.25">
      <c r="A2571" t="str">
        <f>"20190303153823031"</f>
        <v>20190303153823031</v>
      </c>
      <c r="B2571" t="str">
        <f>"1551598703021255"</f>
        <v>1551598703021255</v>
      </c>
      <c r="C2571" t="s">
        <v>40</v>
      </c>
      <c r="D2571">
        <v>3.9324279999999998</v>
      </c>
      <c r="E2571">
        <v>0.52502230000000005</v>
      </c>
      <c r="F2571" t="s">
        <v>58</v>
      </c>
      <c r="G2571">
        <v>-550.05709999999999</v>
      </c>
      <c r="H2571">
        <v>0.73082290000000005</v>
      </c>
      <c r="I2571">
        <v>293.73950000000002</v>
      </c>
      <c r="J2571">
        <v>-333.30309999999997</v>
      </c>
      <c r="K2571">
        <v>1.120573</v>
      </c>
      <c r="L2571">
        <v>283.88920000000002</v>
      </c>
      <c r="M2571">
        <v>-0.99986330000000001</v>
      </c>
      <c r="N2571">
        <v>-8.0644359999999995E-3</v>
      </c>
      <c r="O2571">
        <v>1.444636E-2</v>
      </c>
      <c r="P2571">
        <v>-0.9994054</v>
      </c>
      <c r="Q2571">
        <v>-2.7287220000000001E-2</v>
      </c>
      <c r="R2571">
        <v>-2.1086520000000001E-2</v>
      </c>
      <c r="S2571">
        <v>-3.0045169999999999</v>
      </c>
      <c r="T2571">
        <v>-5.3946970000000004E-3</v>
      </c>
      <c r="U2571">
        <v>0.13644410000000001</v>
      </c>
      <c r="V2571">
        <v>-3.5523020000000002E-2</v>
      </c>
      <c r="W2571">
        <v>-1.9228729999999999E-2</v>
      </c>
      <c r="X2571">
        <v>0.99918379999999996</v>
      </c>
      <c r="Y2571">
        <v>3.0929559999999998E-2</v>
      </c>
      <c r="Z2571">
        <v>2.4306849999999999E-4</v>
      </c>
      <c r="AA2571">
        <v>0.99952160000000001</v>
      </c>
      <c r="AB2571">
        <v>38</v>
      </c>
      <c r="AC2571">
        <v>-216.75399999999999</v>
      </c>
      <c r="AD2571">
        <v>-0.38975009999999999</v>
      </c>
      <c r="AE2571">
        <v>9.8503000000000007</v>
      </c>
      <c r="AF2571">
        <v>6.7178427455734004</v>
      </c>
      <c r="AG2571">
        <v>-0.38975009999999999</v>
      </c>
      <c r="AH2571">
        <v>216.87298519208201</v>
      </c>
      <c r="AI2571">
        <v>90.102918793988394</v>
      </c>
      <c r="AJ2571">
        <v>88.225777170785506</v>
      </c>
      <c r="AK2571">
        <v>216.977356013064</v>
      </c>
      <c r="AL2571">
        <v>91.101793036158597</v>
      </c>
      <c r="AM2571">
        <v>92.036124143720997</v>
      </c>
      <c r="AN2571">
        <v>0.99999994759488497</v>
      </c>
    </row>
    <row r="2572" spans="1:40" x14ac:dyDescent="0.25">
      <c r="A2572" t="str">
        <f>"20190303153823042"</f>
        <v>20190303153823042</v>
      </c>
      <c r="B2572" t="str">
        <f>"1551598703031015"</f>
        <v>1551598703031015</v>
      </c>
      <c r="C2572" t="s">
        <v>40</v>
      </c>
      <c r="D2572">
        <v>3.9466559999999999</v>
      </c>
      <c r="E2572">
        <v>0.52474430000000005</v>
      </c>
      <c r="F2572" t="s">
        <v>58</v>
      </c>
      <c r="G2572">
        <v>-552.42010000000005</v>
      </c>
      <c r="H2572">
        <v>0.67683059999999995</v>
      </c>
      <c r="I2572">
        <v>293.69319999999999</v>
      </c>
      <c r="J2572">
        <v>-333.51159999999999</v>
      </c>
      <c r="K2572">
        <v>1.1206259999999999</v>
      </c>
      <c r="L2572">
        <v>283.8922</v>
      </c>
      <c r="M2572">
        <v>-0.99985959999999996</v>
      </c>
      <c r="N2572">
        <v>-8.4988249999999998E-3</v>
      </c>
      <c r="O2572">
        <v>1.4446270000000001E-2</v>
      </c>
      <c r="P2572">
        <v>-0.99940450000000003</v>
      </c>
      <c r="Q2572">
        <v>-2.7713620000000001E-2</v>
      </c>
      <c r="R2572">
        <v>-2.0565400000000001E-2</v>
      </c>
      <c r="S2572">
        <v>-3.0044559999999998</v>
      </c>
      <c r="T2572">
        <v>-6.0832500000000001E-3</v>
      </c>
      <c r="U2572">
        <v>0.13442989999999999</v>
      </c>
      <c r="V2572">
        <v>-3.5002270000000002E-2</v>
      </c>
      <c r="W2572">
        <v>-1.9221019999999998E-2</v>
      </c>
      <c r="X2572">
        <v>0.99920240000000005</v>
      </c>
      <c r="Y2572">
        <v>3.026177E-2</v>
      </c>
      <c r="Z2572">
        <v>2.5278129999999998E-4</v>
      </c>
      <c r="AA2572">
        <v>0.99954200000000004</v>
      </c>
      <c r="AB2572">
        <v>37</v>
      </c>
      <c r="AC2572">
        <v>-218.9085</v>
      </c>
      <c r="AD2572">
        <v>-0.44379540000000001</v>
      </c>
      <c r="AE2572">
        <v>9.8009999999999806</v>
      </c>
      <c r="AF2572">
        <v>6.6374246547221603</v>
      </c>
      <c r="AG2572">
        <v>-0.44379540000000001</v>
      </c>
      <c r="AH2572">
        <v>219.02634923888101</v>
      </c>
      <c r="AI2572">
        <v>90.116040380932404</v>
      </c>
      <c r="AJ2572">
        <v>88.264226791100398</v>
      </c>
      <c r="AK2572">
        <v>219.12734658484899</v>
      </c>
      <c r="AL2572">
        <v>91.1013511227885</v>
      </c>
      <c r="AM2572">
        <v>92.006262823482899</v>
      </c>
      <c r="AN2572">
        <v>1.0000000213403699</v>
      </c>
    </row>
    <row r="2573" spans="1:40" x14ac:dyDescent="0.25">
      <c r="A2573" t="str">
        <f>"20190303153823059"</f>
        <v>20190303153823059</v>
      </c>
      <c r="B2573" t="str">
        <f>"1551598703051510"</f>
        <v>1551598703051510</v>
      </c>
      <c r="C2573" t="s">
        <v>40</v>
      </c>
      <c r="D2573">
        <v>3.9456760000000002</v>
      </c>
      <c r="E2573">
        <v>0.52429869999999901</v>
      </c>
      <c r="F2573" t="s">
        <v>58</v>
      </c>
      <c r="G2573">
        <v>-553.50409999999999</v>
      </c>
      <c r="H2573">
        <v>0.73082409999999998</v>
      </c>
      <c r="I2573">
        <v>293.69319999999999</v>
      </c>
      <c r="J2573">
        <v>-333.77210000000002</v>
      </c>
      <c r="K2573">
        <v>1.120687</v>
      </c>
      <c r="L2573">
        <v>283.89589999999998</v>
      </c>
      <c r="M2573">
        <v>-0.99985500000000005</v>
      </c>
      <c r="N2573">
        <v>-9.0193870000000002E-3</v>
      </c>
      <c r="O2573">
        <v>1.4445929999999999E-2</v>
      </c>
      <c r="P2573">
        <v>-0.99940910000000005</v>
      </c>
      <c r="Q2573">
        <v>-2.7986440000000001E-2</v>
      </c>
      <c r="R2573">
        <v>-1.9960970000000001E-2</v>
      </c>
      <c r="S2573">
        <v>-3.0043639999999998</v>
      </c>
      <c r="T2573">
        <v>-5.3222180000000001E-3</v>
      </c>
      <c r="U2573">
        <v>0.1338501</v>
      </c>
      <c r="V2573">
        <v>-3.4397320000000002E-2</v>
      </c>
      <c r="W2573">
        <v>-1.8973549999999999E-2</v>
      </c>
      <c r="X2573">
        <v>0.99922809999999995</v>
      </c>
      <c r="Y2573">
        <v>3.0070989999999999E-2</v>
      </c>
      <c r="Z2573">
        <v>2.6697400000000001E-4</v>
      </c>
      <c r="AA2573">
        <v>0.99954770000000004</v>
      </c>
      <c r="AB2573">
        <v>37</v>
      </c>
      <c r="AC2573">
        <v>-219.732</v>
      </c>
      <c r="AD2573">
        <v>-0.38986290000000001</v>
      </c>
      <c r="AE2573">
        <v>9.7972999999999999</v>
      </c>
      <c r="AF2573">
        <v>6.6218946629951203</v>
      </c>
      <c r="AG2573">
        <v>-0.38986290000000001</v>
      </c>
      <c r="AH2573">
        <v>219.84991570986099</v>
      </c>
      <c r="AI2573">
        <v>90.101557235973104</v>
      </c>
      <c r="AJ2573">
        <v>88.274768753721304</v>
      </c>
      <c r="AK2573">
        <v>219.94996458204201</v>
      </c>
      <c r="AL2573">
        <v>91.087169591323999</v>
      </c>
      <c r="AM2573">
        <v>91.971565189520803</v>
      </c>
      <c r="AN2573">
        <v>0.99999998352619701</v>
      </c>
    </row>
    <row r="2574" spans="1:40" x14ac:dyDescent="0.25">
      <c r="A2574" t="str">
        <f>"20190303153823070"</f>
        <v>20190303153823070</v>
      </c>
      <c r="B2574" t="str">
        <f>"1551598703061271"</f>
        <v>1551598703061271</v>
      </c>
      <c r="C2574" t="s">
        <v>40</v>
      </c>
      <c r="D2574">
        <v>3.9562750000000002</v>
      </c>
      <c r="E2574">
        <v>0.52431369999999999</v>
      </c>
      <c r="F2574" t="s">
        <v>46</v>
      </c>
      <c r="G2574">
        <v>0</v>
      </c>
      <c r="H2574">
        <v>0</v>
      </c>
      <c r="I2574">
        <v>0</v>
      </c>
      <c r="J2574">
        <v>-333.96879999999999</v>
      </c>
      <c r="K2574">
        <v>1.1207309999999999</v>
      </c>
      <c r="L2574">
        <v>283.89879999999999</v>
      </c>
      <c r="M2574">
        <v>-0.99985139999999995</v>
      </c>
      <c r="N2574">
        <v>-9.3989539999999993E-3</v>
      </c>
      <c r="O2574">
        <v>1.444602E-2</v>
      </c>
      <c r="P2574">
        <v>-0.99939820000000001</v>
      </c>
      <c r="Q2574">
        <v>-2.8393410000000001E-2</v>
      </c>
      <c r="R2574">
        <v>-1.9923039999999999E-2</v>
      </c>
      <c r="S2574">
        <v>-3.0043030000000002</v>
      </c>
      <c r="T2574">
        <v>-4.3529270000000004E-3</v>
      </c>
      <c r="U2574">
        <v>0.13211059999999999</v>
      </c>
      <c r="V2574">
        <v>-3.4359670000000002E-2</v>
      </c>
      <c r="W2574">
        <v>-1.900131E-2</v>
      </c>
      <c r="X2574">
        <v>0.99922889999999998</v>
      </c>
      <c r="Y2574">
        <v>2.949427E-2</v>
      </c>
      <c r="Z2574">
        <v>2.7484610000000001E-4</v>
      </c>
      <c r="AA2574">
        <v>0.99956489999999998</v>
      </c>
      <c r="AB2574">
        <v>37</v>
      </c>
      <c r="AC2574">
        <v>-3.0043030000000002</v>
      </c>
      <c r="AD2574">
        <v>-4.3529270000000004E-3</v>
      </c>
      <c r="AE2574">
        <v>0.13211059999999999</v>
      </c>
      <c r="AF2574">
        <v>8.8694485704830503E-2</v>
      </c>
      <c r="AG2574">
        <v>-4.3529270000000004E-3</v>
      </c>
      <c r="AH2574">
        <v>3.0058917343808398</v>
      </c>
      <c r="AI2574">
        <v>90.082935678228594</v>
      </c>
      <c r="AJ2574">
        <v>88.309870721562802</v>
      </c>
      <c r="AK2574">
        <v>3.00720314887222</v>
      </c>
      <c r="AL2574">
        <v>91.088760373999094</v>
      </c>
      <c r="AM2574">
        <v>91.969407313931697</v>
      </c>
      <c r="AN2574">
        <v>1.00000001564971</v>
      </c>
    </row>
    <row r="2575" spans="1:40" x14ac:dyDescent="0.25">
      <c r="A2575" t="str">
        <f>"20190303153823082"</f>
        <v>20190303153823082</v>
      </c>
      <c r="B2575" t="str">
        <f>"1551598703071031"</f>
        <v>1551598703071031</v>
      </c>
      <c r="C2575" t="s">
        <v>40</v>
      </c>
      <c r="D2575">
        <v>3.9434070000000001</v>
      </c>
      <c r="E2575">
        <v>0.52413129999999997</v>
      </c>
      <c r="F2575" t="s">
        <v>46</v>
      </c>
      <c r="G2575">
        <v>0</v>
      </c>
      <c r="H2575">
        <v>0</v>
      </c>
      <c r="I2575">
        <v>0</v>
      </c>
      <c r="J2575">
        <v>-334.16379999999998</v>
      </c>
      <c r="K2575">
        <v>1.120762</v>
      </c>
      <c r="L2575">
        <v>283.90159999999997</v>
      </c>
      <c r="M2575">
        <v>-0.99984810000000002</v>
      </c>
      <c r="N2575">
        <v>-9.7492780000000001E-3</v>
      </c>
      <c r="O2575">
        <v>1.444581E-2</v>
      </c>
      <c r="P2575">
        <v>-0.99939509999999998</v>
      </c>
      <c r="Q2575">
        <v>-2.8702979999999999E-2</v>
      </c>
      <c r="R2575">
        <v>-1.963867E-2</v>
      </c>
      <c r="S2575">
        <v>-3.0043639999999998</v>
      </c>
      <c r="T2575">
        <v>-3.0540229999999999E-3</v>
      </c>
      <c r="U2575">
        <v>0.13247679999999901</v>
      </c>
      <c r="V2575">
        <v>-3.407524E-2</v>
      </c>
      <c r="W2575">
        <v>-1.8960790000000002E-2</v>
      </c>
      <c r="X2575">
        <v>0.9992394</v>
      </c>
      <c r="Y2575">
        <v>2.9615300000000001E-2</v>
      </c>
      <c r="Z2575">
        <v>2.8559350000000001E-4</v>
      </c>
      <c r="AA2575">
        <v>0.99956129999999999</v>
      </c>
      <c r="AB2575">
        <v>37</v>
      </c>
      <c r="AC2575">
        <v>-3.0043639999999998</v>
      </c>
      <c r="AD2575">
        <v>-3.0540229999999999E-3</v>
      </c>
      <c r="AE2575">
        <v>0.13247679999999901</v>
      </c>
      <c r="AF2575">
        <v>8.9060348133205902E-2</v>
      </c>
      <c r="AG2575">
        <v>-3.0540229999999999E-3</v>
      </c>
      <c r="AH2575">
        <v>3.0059612019020601</v>
      </c>
      <c r="AI2575">
        <v>90.058186319139693</v>
      </c>
      <c r="AJ2575">
        <v>88.302942248078494</v>
      </c>
      <c r="AK2575">
        <v>3.0072817992344199</v>
      </c>
      <c r="AL2575">
        <v>91.086438341176105</v>
      </c>
      <c r="AM2575">
        <v>91.953096694462403</v>
      </c>
      <c r="AN2575">
        <v>1.0000000060254199</v>
      </c>
    </row>
    <row r="2576" spans="1:40" x14ac:dyDescent="0.25">
      <c r="A2576" t="str">
        <f>"20190303153823094"</f>
        <v>20190303153823094</v>
      </c>
      <c r="B2576" t="str">
        <f>"1551598703081485"</f>
        <v>1551598703081485</v>
      </c>
      <c r="C2576" t="s">
        <v>40</v>
      </c>
      <c r="D2576">
        <v>3.9636719999999999</v>
      </c>
      <c r="E2576">
        <v>0.52392839999999996</v>
      </c>
      <c r="F2576" t="s">
        <v>46</v>
      </c>
      <c r="G2576">
        <v>0</v>
      </c>
      <c r="H2576">
        <v>0</v>
      </c>
      <c r="I2576">
        <v>0</v>
      </c>
      <c r="J2576">
        <v>-334.35359999999997</v>
      </c>
      <c r="K2576">
        <v>1.120787</v>
      </c>
      <c r="L2576">
        <v>283.90440000000001</v>
      </c>
      <c r="M2576">
        <v>-0.99984479999999998</v>
      </c>
      <c r="N2576">
        <v>-1.0079970000000001E-2</v>
      </c>
      <c r="O2576">
        <v>1.444571E-2</v>
      </c>
      <c r="P2576">
        <v>-0.99939529999999999</v>
      </c>
      <c r="Q2576">
        <v>-2.8758619999999999E-2</v>
      </c>
      <c r="R2576">
        <v>-1.9546580000000001E-2</v>
      </c>
      <c r="S2576">
        <v>-3.0043030000000002</v>
      </c>
      <c r="T2576">
        <v>-3.2788520000000001E-3</v>
      </c>
      <c r="U2576">
        <v>0.1317749</v>
      </c>
      <c r="V2576">
        <v>-3.3982970000000001E-2</v>
      </c>
      <c r="W2576">
        <v>-1.8685960000000001E-2</v>
      </c>
      <c r="X2576">
        <v>0.99924769999999896</v>
      </c>
      <c r="Y2576">
        <v>2.938319E-2</v>
      </c>
      <c r="Z2576">
        <v>2.9399789999999998E-4</v>
      </c>
      <c r="AA2576">
        <v>0.99956820000000002</v>
      </c>
      <c r="AB2576">
        <v>37</v>
      </c>
      <c r="AC2576">
        <v>-3.0043030000000002</v>
      </c>
      <c r="AD2576">
        <v>-3.2788520000000001E-3</v>
      </c>
      <c r="AE2576">
        <v>0.1317749</v>
      </c>
      <c r="AF2576">
        <v>8.8359546687083096E-2</v>
      </c>
      <c r="AG2576">
        <v>-3.2788520000000001E-3</v>
      </c>
      <c r="AH2576">
        <v>3.0058895902687</v>
      </c>
      <c r="AI2576">
        <v>90.062471753379597</v>
      </c>
      <c r="AJ2576">
        <v>88.316248314227394</v>
      </c>
      <c r="AK2576">
        <v>3.0071897827119098</v>
      </c>
      <c r="AL2576">
        <v>91.0706889724771</v>
      </c>
      <c r="AM2576">
        <v>91.947795950983902</v>
      </c>
      <c r="AN2576">
        <v>0.99999998665321599</v>
      </c>
    </row>
    <row r="2577" spans="1:40" x14ac:dyDescent="0.25">
      <c r="A2577" t="str">
        <f>"20190303153823104"</f>
        <v>20190303153823104</v>
      </c>
      <c r="B2577" t="str">
        <f>"1551598703100983"</f>
        <v>1551598703100983</v>
      </c>
      <c r="C2577" t="s">
        <v>40</v>
      </c>
      <c r="D2577">
        <v>3.9879570000000002</v>
      </c>
      <c r="E2577">
        <v>0.52348490000000003</v>
      </c>
      <c r="F2577" t="s">
        <v>46</v>
      </c>
      <c r="G2577">
        <v>0</v>
      </c>
      <c r="H2577">
        <v>0</v>
      </c>
      <c r="I2577">
        <v>0</v>
      </c>
      <c r="J2577">
        <v>-334.55439999999999</v>
      </c>
      <c r="K2577">
        <v>1.120808</v>
      </c>
      <c r="L2577">
        <v>283.90719999999999</v>
      </c>
      <c r="M2577">
        <v>-0.99984150000000005</v>
      </c>
      <c r="N2577">
        <v>-1.041039E-2</v>
      </c>
      <c r="O2577">
        <v>1.444548E-2</v>
      </c>
      <c r="P2577">
        <v>-0.99938700000000003</v>
      </c>
      <c r="Q2577">
        <v>-2.9004809999999999E-2</v>
      </c>
      <c r="R2577">
        <v>-1.96128E-2</v>
      </c>
      <c r="S2577">
        <v>-3.0043329999999999</v>
      </c>
      <c r="T2577">
        <v>-2.1493430000000002E-3</v>
      </c>
      <c r="U2577">
        <v>0.1304321</v>
      </c>
      <c r="V2577">
        <v>-3.4048780000000001E-2</v>
      </c>
      <c r="W2577">
        <v>-1.860204E-2</v>
      </c>
      <c r="X2577">
        <v>0.999247</v>
      </c>
      <c r="Y2577">
        <v>2.8937170000000002E-2</v>
      </c>
      <c r="Z2577">
        <v>3.0104889999999998E-4</v>
      </c>
      <c r="AA2577">
        <v>0.99958119999999995</v>
      </c>
      <c r="AB2577">
        <v>37</v>
      </c>
      <c r="AC2577">
        <v>-3.0043329999999999</v>
      </c>
      <c r="AD2577">
        <v>-2.1493430000000002E-3</v>
      </c>
      <c r="AE2577">
        <v>0.1304321</v>
      </c>
      <c r="AF2577">
        <v>8.7017062028015804E-2</v>
      </c>
      <c r="AG2577">
        <v>-2.1493430000000002E-3</v>
      </c>
      <c r="AH2577">
        <v>3.0059022105138098</v>
      </c>
      <c r="AI2577">
        <v>90.040951662604598</v>
      </c>
      <c r="AJ2577">
        <v>88.341822844841204</v>
      </c>
      <c r="AK2577">
        <v>3.0071622317279698</v>
      </c>
      <c r="AL2577">
        <v>91.065879901879498</v>
      </c>
      <c r="AM2577">
        <v>91.951566423358898</v>
      </c>
      <c r="AN2577">
        <v>0.99999996116032397</v>
      </c>
    </row>
    <row r="2578" spans="1:40" x14ac:dyDescent="0.25">
      <c r="A2578" t="str">
        <f>"20190303153823116"</f>
        <v>20190303153823116</v>
      </c>
      <c r="B2578" t="str">
        <f>"1551598703111719"</f>
        <v>1551598703111719</v>
      </c>
      <c r="C2578" t="s">
        <v>40</v>
      </c>
      <c r="D2578">
        <v>4.0040170000000002</v>
      </c>
      <c r="E2578">
        <v>0.52328269999999999</v>
      </c>
      <c r="F2578" t="s">
        <v>46</v>
      </c>
      <c r="G2578">
        <v>0</v>
      </c>
      <c r="H2578">
        <v>0</v>
      </c>
      <c r="I2578">
        <v>0</v>
      </c>
      <c r="J2578">
        <v>-334.7414</v>
      </c>
      <c r="K2578">
        <v>1.120824</v>
      </c>
      <c r="L2578">
        <v>283.90989999999999</v>
      </c>
      <c r="M2578">
        <v>-0.99983840000000002</v>
      </c>
      <c r="N2578">
        <v>-1.0699220000000001E-2</v>
      </c>
      <c r="O2578">
        <v>1.4445609999999999E-2</v>
      </c>
      <c r="P2578">
        <v>-0.99937160000000003</v>
      </c>
      <c r="Q2578">
        <v>-2.9639080000000002E-2</v>
      </c>
      <c r="R2578">
        <v>-1.943781E-2</v>
      </c>
      <c r="S2578">
        <v>-3.0043639999999998</v>
      </c>
      <c r="T2578">
        <v>-1.7118449999999999E-4</v>
      </c>
      <c r="U2578">
        <v>0.12670899999999999</v>
      </c>
      <c r="V2578">
        <v>-3.3874170000000002E-2</v>
      </c>
      <c r="W2578">
        <v>-1.8947780000000001E-2</v>
      </c>
      <c r="X2578">
        <v>0.99924650000000004</v>
      </c>
      <c r="Y2578">
        <v>2.770032E-2</v>
      </c>
      <c r="Z2578">
        <v>3.0273060000000001E-4</v>
      </c>
      <c r="AA2578">
        <v>0.99961619999999995</v>
      </c>
      <c r="AB2578">
        <v>37</v>
      </c>
      <c r="AC2578">
        <v>-3.0043639999999998</v>
      </c>
      <c r="AD2578">
        <v>-1.7118449999999999E-4</v>
      </c>
      <c r="AE2578">
        <v>0.12670899999999999</v>
      </c>
      <c r="AF2578">
        <v>8.32934215251077E-2</v>
      </c>
      <c r="AG2578">
        <v>-1.7118449999999999E-4</v>
      </c>
      <c r="AH2578">
        <v>3.0058809627959899</v>
      </c>
      <c r="AI2578">
        <v>90.003261734592797</v>
      </c>
      <c r="AJ2578">
        <v>88.412731360271806</v>
      </c>
      <c r="AK2578">
        <v>3.0070347829502801</v>
      </c>
      <c r="AL2578">
        <v>91.085692770979605</v>
      </c>
      <c r="AM2578">
        <v>91.941566990766106</v>
      </c>
      <c r="AN2578">
        <v>1.0000000227611801</v>
      </c>
    </row>
    <row r="2579" spans="1:40" x14ac:dyDescent="0.25">
      <c r="A2579" t="str">
        <f>"20190303153823128"</f>
        <v>20190303153823128</v>
      </c>
      <c r="B2579" t="str">
        <f>"1551598703121479"</f>
        <v>1551598703121479</v>
      </c>
      <c r="C2579" t="s">
        <v>40</v>
      </c>
      <c r="D2579">
        <v>4.0080400000000003</v>
      </c>
      <c r="E2579">
        <v>0.52306839999999999</v>
      </c>
      <c r="F2579" t="s">
        <v>46</v>
      </c>
      <c r="G2579">
        <v>0</v>
      </c>
      <c r="H2579">
        <v>0</v>
      </c>
      <c r="I2579">
        <v>0</v>
      </c>
      <c r="J2579">
        <v>-334.93869999999998</v>
      </c>
      <c r="K2579">
        <v>1.1208359999999999</v>
      </c>
      <c r="L2579">
        <v>283.9128</v>
      </c>
      <c r="M2579">
        <v>-0.99983540000000004</v>
      </c>
      <c r="N2579">
        <v>-1.0993650000000001E-2</v>
      </c>
      <c r="O2579">
        <v>1.444519E-2</v>
      </c>
      <c r="P2579">
        <v>-0.99935510000000005</v>
      </c>
      <c r="Q2579">
        <v>-3.0102250000000001E-2</v>
      </c>
      <c r="R2579">
        <v>-1.9586610000000001E-2</v>
      </c>
      <c r="S2579">
        <v>-3.0043329999999999</v>
      </c>
      <c r="T2579">
        <v>-1.2115239999999901E-3</v>
      </c>
      <c r="U2579">
        <v>0.12542719999999999</v>
      </c>
      <c r="V2579">
        <v>-3.4021759999999998E-2</v>
      </c>
      <c r="W2579">
        <v>-1.9116890000000001E-2</v>
      </c>
      <c r="X2579">
        <v>0.99923830000000002</v>
      </c>
      <c r="Y2579">
        <v>2.7275339999999999E-2</v>
      </c>
      <c r="Z2579">
        <v>3.0843020000000001E-4</v>
      </c>
      <c r="AA2579">
        <v>0.99962790000000001</v>
      </c>
      <c r="AB2579">
        <v>37</v>
      </c>
      <c r="AC2579">
        <v>-3.0043329999999999</v>
      </c>
      <c r="AD2579">
        <v>-1.2115239999999901E-3</v>
      </c>
      <c r="AE2579">
        <v>0.12542719999999999</v>
      </c>
      <c r="AF2579">
        <v>8.2013322198511401E-2</v>
      </c>
      <c r="AG2579">
        <v>-1.2115239999999901E-3</v>
      </c>
      <c r="AH2579">
        <v>3.00583093948923</v>
      </c>
      <c r="AI2579">
        <v>90.023084925836798</v>
      </c>
      <c r="AJ2579">
        <v>88.437087191981206</v>
      </c>
      <c r="AK2579">
        <v>3.0069498315733698</v>
      </c>
      <c r="AL2579">
        <v>91.095383776887303</v>
      </c>
      <c r="AM2579">
        <v>91.950035885093499</v>
      </c>
      <c r="AN2579">
        <v>1.00000005791182</v>
      </c>
    </row>
    <row r="2580" spans="1:40" x14ac:dyDescent="0.25">
      <c r="A2580" t="str">
        <f>"20190303153823141"</f>
        <v>20190303153823141</v>
      </c>
      <c r="B2580" t="str">
        <f>"1551598703131239"</f>
        <v>1551598703131239</v>
      </c>
      <c r="C2580" t="s">
        <v>40</v>
      </c>
      <c r="D2580">
        <v>4.0119040000000004</v>
      </c>
      <c r="E2580">
        <v>0.52288630000000003</v>
      </c>
      <c r="F2580" t="s">
        <v>46</v>
      </c>
      <c r="G2580">
        <v>0</v>
      </c>
      <c r="H2580">
        <v>0</v>
      </c>
      <c r="I2580">
        <v>0</v>
      </c>
      <c r="J2580">
        <v>-335.1499</v>
      </c>
      <c r="K2580">
        <v>1.1208469999999999</v>
      </c>
      <c r="L2580">
        <v>283.91590000000002</v>
      </c>
      <c r="M2580">
        <v>-0.99983200000000005</v>
      </c>
      <c r="N2580">
        <v>-1.1279559999999999E-2</v>
      </c>
      <c r="O2580">
        <v>1.444525E-2</v>
      </c>
      <c r="P2580">
        <v>-0.99932500000000002</v>
      </c>
      <c r="Q2580">
        <v>-3.1122440000000001E-2</v>
      </c>
      <c r="R2580">
        <v>-1.9518339999999999E-2</v>
      </c>
      <c r="S2580">
        <v>-3.0043329999999999</v>
      </c>
      <c r="T2580">
        <v>-2.055645E-3</v>
      </c>
      <c r="U2580">
        <v>0.12323000000000001</v>
      </c>
      <c r="V2580">
        <v>-3.3953150000000001E-2</v>
      </c>
      <c r="W2580">
        <v>-1.9851629999999999E-2</v>
      </c>
      <c r="X2580">
        <v>0.99922630000000001</v>
      </c>
      <c r="Y2580">
        <v>2.6545340000000001E-2</v>
      </c>
      <c r="Z2580">
        <v>3.1186620000000001E-4</v>
      </c>
      <c r="AA2580">
        <v>0.99964759999999997</v>
      </c>
      <c r="AB2580">
        <v>37</v>
      </c>
      <c r="AC2580">
        <v>-3.0043329999999999</v>
      </c>
      <c r="AD2580">
        <v>-2.055645E-3</v>
      </c>
      <c r="AE2580">
        <v>0.12323000000000001</v>
      </c>
      <c r="AF2580">
        <v>7.98159995003421E-2</v>
      </c>
      <c r="AG2580">
        <v>-2.055645E-3</v>
      </c>
      <c r="AH2580">
        <v>3.0057982904156999</v>
      </c>
      <c r="AI2580">
        <v>90.039170380288795</v>
      </c>
      <c r="AJ2580">
        <v>88.478924710659996</v>
      </c>
      <c r="AK2580">
        <v>3.0068585237949801</v>
      </c>
      <c r="AL2580">
        <v>91.137489277321393</v>
      </c>
      <c r="AM2580">
        <v>91.946129724565793</v>
      </c>
      <c r="AN2580">
        <v>1.0000000511101299</v>
      </c>
    </row>
    <row r="2581" spans="1:40" x14ac:dyDescent="0.25">
      <c r="A2581" t="str">
        <f>"20190303153823155"</f>
        <v>20190303153823155</v>
      </c>
      <c r="B2581" t="str">
        <f>"1551598703151735"</f>
        <v>1551598703151735</v>
      </c>
      <c r="C2581" t="s">
        <v>40</v>
      </c>
      <c r="D2581">
        <v>4.0101230000000001</v>
      </c>
      <c r="E2581">
        <v>0.52256740000000002</v>
      </c>
      <c r="F2581" t="s">
        <v>46</v>
      </c>
      <c r="G2581">
        <v>0</v>
      </c>
      <c r="H2581">
        <v>0</v>
      </c>
      <c r="I2581">
        <v>0</v>
      </c>
      <c r="J2581">
        <v>-335.37549999999999</v>
      </c>
      <c r="K2581">
        <v>1.1208549999999999</v>
      </c>
      <c r="L2581">
        <v>283.91910000000001</v>
      </c>
      <c r="M2581">
        <v>-0.99982879999999996</v>
      </c>
      <c r="N2581">
        <v>-1.1569909999999999E-2</v>
      </c>
      <c r="O2581">
        <v>1.4445070000000001E-2</v>
      </c>
      <c r="P2581">
        <v>-0.99930739999999996</v>
      </c>
      <c r="Q2581">
        <v>-3.172109E-2</v>
      </c>
      <c r="R2581">
        <v>-1.946225E-2</v>
      </c>
      <c r="S2581">
        <v>-3.0042719999999998</v>
      </c>
      <c r="T2581">
        <v>-4.4419769999999997E-3</v>
      </c>
      <c r="U2581">
        <v>0.12219240000000001</v>
      </c>
      <c r="V2581">
        <v>-3.3897190000000001E-2</v>
      </c>
      <c r="W2581">
        <v>-2.0160279999999999E-2</v>
      </c>
      <c r="X2581">
        <v>0.99922200000000005</v>
      </c>
      <c r="Y2581">
        <v>2.620142E-2</v>
      </c>
      <c r="Z2581">
        <v>3.1673960000000001E-4</v>
      </c>
      <c r="AA2581">
        <v>0.99965660000000001</v>
      </c>
      <c r="AB2581">
        <v>37</v>
      </c>
      <c r="AC2581">
        <v>-3.0042719999999998</v>
      </c>
      <c r="AD2581">
        <v>-4.4419769999999997E-3</v>
      </c>
      <c r="AE2581">
        <v>0.12219240000000001</v>
      </c>
      <c r="AF2581">
        <v>7.8779656411518004E-2</v>
      </c>
      <c r="AG2581">
        <v>-4.4419769999999997E-3</v>
      </c>
      <c r="AH2581">
        <v>3.0057171417395998</v>
      </c>
      <c r="AI2581">
        <v>90.084645016385096</v>
      </c>
      <c r="AJ2581">
        <v>88.498624970681803</v>
      </c>
      <c r="AK2581">
        <v>3.0067526505469702</v>
      </c>
      <c r="AL2581">
        <v>91.155177182299894</v>
      </c>
      <c r="AM2581">
        <v>91.942933019277604</v>
      </c>
      <c r="AN2581">
        <v>1.00000003083178</v>
      </c>
    </row>
    <row r="2582" spans="1:40" x14ac:dyDescent="0.25">
      <c r="A2582" t="str">
        <f>"20190303153823171"</f>
        <v>20190303153823171</v>
      </c>
      <c r="B2582" t="str">
        <f>"1551598703161495"</f>
        <v>1551598703161495</v>
      </c>
      <c r="C2582" t="s">
        <v>40</v>
      </c>
      <c r="D2582">
        <v>4.0123959999999999</v>
      </c>
      <c r="E2582">
        <v>0.52240810000000004</v>
      </c>
      <c r="F2582" t="s">
        <v>46</v>
      </c>
      <c r="G2582">
        <v>0</v>
      </c>
      <c r="H2582">
        <v>0</v>
      </c>
      <c r="I2582">
        <v>0</v>
      </c>
      <c r="J2582">
        <v>-335.6388</v>
      </c>
      <c r="K2582">
        <v>1.1208610000000001</v>
      </c>
      <c r="L2582">
        <v>283.92290000000003</v>
      </c>
      <c r="M2582">
        <v>-0.99982519999999997</v>
      </c>
      <c r="N2582">
        <v>-1.1883670000000001E-2</v>
      </c>
      <c r="O2582">
        <v>1.444487E-2</v>
      </c>
      <c r="P2582">
        <v>-0.99926349999999997</v>
      </c>
      <c r="Q2582">
        <v>-3.2795049999999999E-2</v>
      </c>
      <c r="R2582">
        <v>-1.993077E-2</v>
      </c>
      <c r="S2582">
        <v>-3.0042420000000001</v>
      </c>
      <c r="T2582">
        <v>-4.833937E-3</v>
      </c>
      <c r="U2582">
        <v>0.1196289</v>
      </c>
      <c r="V2582">
        <v>-3.4365020000000003E-2</v>
      </c>
      <c r="W2582">
        <v>-2.0921209999999999E-2</v>
      </c>
      <c r="X2582">
        <v>0.99919029999999998</v>
      </c>
      <c r="Y2582">
        <v>2.5350350000000001E-2</v>
      </c>
      <c r="Z2582">
        <v>3.1946299999999997E-4</v>
      </c>
      <c r="AA2582">
        <v>0.99967859999999997</v>
      </c>
      <c r="AB2582">
        <v>37</v>
      </c>
      <c r="AC2582">
        <v>-3.0042420000000001</v>
      </c>
      <c r="AD2582">
        <v>-4.833937E-3</v>
      </c>
      <c r="AE2582">
        <v>0.1196289</v>
      </c>
      <c r="AF2582">
        <v>7.6217277004123299E-2</v>
      </c>
      <c r="AG2582">
        <v>-4.833937E-3</v>
      </c>
      <c r="AH2582">
        <v>3.00564889187886</v>
      </c>
      <c r="AI2582">
        <v>90.092118193071002</v>
      </c>
      <c r="AJ2582">
        <v>88.547404305609902</v>
      </c>
      <c r="AK2582">
        <v>3.0066189817656399</v>
      </c>
      <c r="AL2582">
        <v>91.198784552496505</v>
      </c>
      <c r="AM2582">
        <v>91.969789753166395</v>
      </c>
      <c r="AN2582">
        <v>0.99999995362077598</v>
      </c>
    </row>
    <row r="2583" spans="1:40" x14ac:dyDescent="0.25">
      <c r="A2583" t="str">
        <f>"20190303153823182"</f>
        <v>20190303153823182</v>
      </c>
      <c r="B2583" t="str">
        <f>"1551598703171255"</f>
        <v>1551598703171255</v>
      </c>
      <c r="C2583" t="s">
        <v>40</v>
      </c>
      <c r="D2583">
        <v>4.0108449999999998</v>
      </c>
      <c r="E2583">
        <v>0.52227089999999998</v>
      </c>
      <c r="F2583" t="s">
        <v>46</v>
      </c>
      <c r="G2583">
        <v>0</v>
      </c>
      <c r="H2583">
        <v>0</v>
      </c>
      <c r="I2583">
        <v>0</v>
      </c>
      <c r="J2583">
        <v>-335.84539999999998</v>
      </c>
      <c r="K2583">
        <v>1.1208640000000001</v>
      </c>
      <c r="L2583">
        <v>283.92590000000001</v>
      </c>
      <c r="M2583">
        <v>-0.9998224</v>
      </c>
      <c r="N2583">
        <v>-1.210524E-2</v>
      </c>
      <c r="O2583">
        <v>1.4444899999999899E-2</v>
      </c>
      <c r="P2583">
        <v>-0.99924139999999995</v>
      </c>
      <c r="Q2583">
        <v>-3.3368740000000001E-2</v>
      </c>
      <c r="R2583">
        <v>-2.0083710000000001E-2</v>
      </c>
      <c r="S2583">
        <v>-3.0042719999999998</v>
      </c>
      <c r="T2583">
        <v>-7.2411300000000001E-3</v>
      </c>
      <c r="U2583">
        <v>0.1170349</v>
      </c>
      <c r="V2583">
        <v>-3.4517699999999998E-2</v>
      </c>
      <c r="W2583">
        <v>-2.1273739999999999E-2</v>
      </c>
      <c r="X2583">
        <v>0.9991776</v>
      </c>
      <c r="Y2583">
        <v>2.4487809999999999E-2</v>
      </c>
      <c r="Z2583">
        <v>3.1779570000000002E-4</v>
      </c>
      <c r="AA2583">
        <v>0.99970009999999998</v>
      </c>
      <c r="AB2583">
        <v>37</v>
      </c>
      <c r="AC2583">
        <v>-3.0042719999999998</v>
      </c>
      <c r="AD2583">
        <v>-7.2411300000000001E-3</v>
      </c>
      <c r="AE2583">
        <v>0.1170349</v>
      </c>
      <c r="AF2583">
        <v>7.3622672510658793E-2</v>
      </c>
      <c r="AG2583">
        <v>-7.2411300000000001E-3</v>
      </c>
      <c r="AH2583">
        <v>3.0056317560339099</v>
      </c>
      <c r="AI2583">
        <v>90.137994607997598</v>
      </c>
      <c r="AJ2583">
        <v>88.596825758158005</v>
      </c>
      <c r="AK2583">
        <v>3.0065420310966502</v>
      </c>
      <c r="AL2583">
        <v>91.218987523640195</v>
      </c>
      <c r="AM2583">
        <v>91.978559500027799</v>
      </c>
      <c r="AN2583">
        <v>0.99999995998431801</v>
      </c>
    </row>
    <row r="2584" spans="1:40" x14ac:dyDescent="0.25">
      <c r="A2584" t="str">
        <f>"20190303153823195"</f>
        <v>20190303153823195</v>
      </c>
      <c r="B2584" t="str">
        <f>"1551598703191360"</f>
        <v>1551598703191360</v>
      </c>
      <c r="C2584" t="s">
        <v>40</v>
      </c>
      <c r="D2584">
        <v>4.023339</v>
      </c>
      <c r="E2584">
        <v>0.52196569999999998</v>
      </c>
      <c r="F2584" t="s">
        <v>46</v>
      </c>
      <c r="G2584">
        <v>0</v>
      </c>
      <c r="H2584">
        <v>0</v>
      </c>
      <c r="I2584">
        <v>0</v>
      </c>
      <c r="J2584">
        <v>-336.03879999999998</v>
      </c>
      <c r="K2584">
        <v>1.1208659999999999</v>
      </c>
      <c r="L2584">
        <v>283.92869999999999</v>
      </c>
      <c r="M2584">
        <v>-0.99982009999999999</v>
      </c>
      <c r="N2584">
        <v>-1.230184E-2</v>
      </c>
      <c r="O2584">
        <v>1.4444820000000001E-2</v>
      </c>
      <c r="P2584">
        <v>-0.99922169999999999</v>
      </c>
      <c r="Q2584">
        <v>-3.3698499999999999E-2</v>
      </c>
      <c r="R2584">
        <v>-2.0512289999999999E-2</v>
      </c>
      <c r="S2584">
        <v>-3.0043030000000002</v>
      </c>
      <c r="T2584">
        <v>-8.3658699999999992E-3</v>
      </c>
      <c r="U2584">
        <v>0.115356399999999</v>
      </c>
      <c r="V2584">
        <v>-3.4945919999999998E-2</v>
      </c>
      <c r="W2584">
        <v>-2.1407320000000001E-2</v>
      </c>
      <c r="X2584">
        <v>0.99915989999999999</v>
      </c>
      <c r="Y2584">
        <v>2.392967E-2</v>
      </c>
      <c r="Z2584">
        <v>3.1800859999999998E-4</v>
      </c>
      <c r="AA2584">
        <v>0.99971359999999998</v>
      </c>
      <c r="AB2584">
        <v>37</v>
      </c>
      <c r="AC2584">
        <v>-3.0043030000000002</v>
      </c>
      <c r="AD2584">
        <v>-8.3658699999999992E-3</v>
      </c>
      <c r="AE2584">
        <v>0.115356399999999</v>
      </c>
      <c r="AF2584">
        <v>7.1943910422538102E-2</v>
      </c>
      <c r="AG2584">
        <v>-8.3658699999999992E-3</v>
      </c>
      <c r="AH2584">
        <v>3.0056326646227101</v>
      </c>
      <c r="AI2584">
        <v>90.159430843017105</v>
      </c>
      <c r="AJ2584">
        <v>88.628809335325897</v>
      </c>
      <c r="AK2584">
        <v>3.0065052184679102</v>
      </c>
      <c r="AL2584">
        <v>91.226642790652804</v>
      </c>
      <c r="AM2584">
        <v>92.003120714114004</v>
      </c>
      <c r="AN2584">
        <v>0.99999999822111896</v>
      </c>
    </row>
    <row r="2585" spans="1:40" x14ac:dyDescent="0.25">
      <c r="A2585" t="str">
        <f>"20190303153823206"</f>
        <v>20190303153823206</v>
      </c>
      <c r="B2585" t="str">
        <f>"1551598703201120"</f>
        <v>1551598703201120</v>
      </c>
      <c r="C2585" t="s">
        <v>40</v>
      </c>
      <c r="D2585">
        <v>4.0424800000000003</v>
      </c>
      <c r="E2585">
        <v>0.52186440000000001</v>
      </c>
      <c r="F2585" t="s">
        <v>46</v>
      </c>
      <c r="G2585">
        <v>0</v>
      </c>
      <c r="H2585">
        <v>0</v>
      </c>
      <c r="I2585">
        <v>0</v>
      </c>
      <c r="J2585">
        <v>-336.2432</v>
      </c>
      <c r="K2585">
        <v>1.120865</v>
      </c>
      <c r="L2585">
        <v>283.9316</v>
      </c>
      <c r="M2585">
        <v>-0.99981770000000003</v>
      </c>
      <c r="N2585">
        <v>-1.249631E-2</v>
      </c>
      <c r="O2585">
        <v>1.4444790000000001E-2</v>
      </c>
      <c r="P2585">
        <v>-0.99919970000000002</v>
      </c>
      <c r="Q2585">
        <v>-3.4079890000000002E-2</v>
      </c>
      <c r="R2585">
        <v>-2.0951440000000002E-2</v>
      </c>
      <c r="S2585">
        <v>-3.0043639999999998</v>
      </c>
      <c r="T2585">
        <v>-7.8083279999999998E-3</v>
      </c>
      <c r="U2585">
        <v>0.1115112</v>
      </c>
      <c r="V2585">
        <v>-3.5384100000000002E-2</v>
      </c>
      <c r="W2585">
        <v>-2.159469E-2</v>
      </c>
      <c r="X2585">
        <v>0.99914040000000004</v>
      </c>
      <c r="Y2585">
        <v>2.2651290000000001E-2</v>
      </c>
      <c r="Z2585">
        <v>3.139536E-4</v>
      </c>
      <c r="AA2585">
        <v>0.99974339999999995</v>
      </c>
      <c r="AB2585">
        <v>37</v>
      </c>
      <c r="AC2585">
        <v>-3.0043639999999998</v>
      </c>
      <c r="AD2585">
        <v>-7.8083279999999998E-3</v>
      </c>
      <c r="AE2585">
        <v>0.1115112</v>
      </c>
      <c r="AF2585">
        <v>6.8098314099154997E-2</v>
      </c>
      <c r="AG2585">
        <v>-7.8083279999999998E-3</v>
      </c>
      <c r="AH2585">
        <v>3.0056411084991099</v>
      </c>
      <c r="AI2585">
        <v>90.148809666039796</v>
      </c>
      <c r="AJ2585">
        <v>88.702081045607599</v>
      </c>
      <c r="AK2585">
        <v>3.00642259562242</v>
      </c>
      <c r="AL2585">
        <v>91.237380840384304</v>
      </c>
      <c r="AM2585">
        <v>92.028256153511805</v>
      </c>
      <c r="AN2585">
        <v>0.99999995204058101</v>
      </c>
    </row>
    <row r="2586" spans="1:40" x14ac:dyDescent="0.25">
      <c r="A2586" t="str">
        <f>"20190303153823218"</f>
        <v>20190303153823218</v>
      </c>
      <c r="B2586" t="str">
        <f>"1551598703210879"</f>
        <v>1551598703210879</v>
      </c>
      <c r="C2586" t="s">
        <v>40</v>
      </c>
      <c r="D2586">
        <v>4.0424860000000002</v>
      </c>
      <c r="E2586">
        <v>0.52176250000000002</v>
      </c>
      <c r="F2586" t="s">
        <v>46</v>
      </c>
      <c r="G2586">
        <v>0</v>
      </c>
      <c r="H2586">
        <v>0</v>
      </c>
      <c r="I2586">
        <v>0</v>
      </c>
      <c r="J2586">
        <v>-336.42680000000001</v>
      </c>
      <c r="K2586">
        <v>1.1208640000000001</v>
      </c>
      <c r="L2586">
        <v>283.93430000000001</v>
      </c>
      <c r="M2586">
        <v>-0.99981549999999997</v>
      </c>
      <c r="N2586">
        <v>-1.2655110000000001E-2</v>
      </c>
      <c r="O2586">
        <v>1.44447999999999E-2</v>
      </c>
      <c r="P2586">
        <v>-0.99918099999999999</v>
      </c>
      <c r="Q2586">
        <v>-3.4588239999999999E-2</v>
      </c>
      <c r="R2586">
        <v>-2.0994970000000002E-2</v>
      </c>
      <c r="S2586">
        <v>-3.0044249999999999</v>
      </c>
      <c r="T2586">
        <v>-8.2200769999999992E-3</v>
      </c>
      <c r="U2586">
        <v>0.1095276</v>
      </c>
      <c r="V2586">
        <v>-3.542766E-2</v>
      </c>
      <c r="W2586">
        <v>-2.194457E-2</v>
      </c>
      <c r="X2586">
        <v>0.99913129999999994</v>
      </c>
      <c r="Y2586">
        <v>2.199131E-2</v>
      </c>
      <c r="Z2586">
        <v>3.1253960000000001E-4</v>
      </c>
      <c r="AA2586">
        <v>0.99975809999999998</v>
      </c>
      <c r="AB2586">
        <v>37</v>
      </c>
      <c r="AC2586">
        <v>-3.0044249999999999</v>
      </c>
      <c r="AD2586">
        <v>-8.2200769999999992E-3</v>
      </c>
      <c r="AE2586">
        <v>0.1095276</v>
      </c>
      <c r="AF2586">
        <v>6.6113879402605602E-2</v>
      </c>
      <c r="AG2586">
        <v>-8.2200769999999992E-3</v>
      </c>
      <c r="AH2586">
        <v>3.0056712549646298</v>
      </c>
      <c r="AI2586">
        <v>90.156657401563095</v>
      </c>
      <c r="AJ2586">
        <v>88.739903610162798</v>
      </c>
      <c r="AK2586">
        <v>3.0064095375773801</v>
      </c>
      <c r="AL2586">
        <v>91.257432156557101</v>
      </c>
      <c r="AM2586">
        <v>92.030769452491697</v>
      </c>
      <c r="AN2586">
        <v>1.0000000189426199</v>
      </c>
    </row>
    <row r="2587" spans="1:40" x14ac:dyDescent="0.25">
      <c r="A2587" t="str">
        <f>"20190303153823229"</f>
        <v>20190303153823229</v>
      </c>
      <c r="B2587" t="str">
        <f>"1551598703221615"</f>
        <v>1551598703221615</v>
      </c>
      <c r="C2587" t="s">
        <v>40</v>
      </c>
      <c r="D2587">
        <v>4.0418390000000004</v>
      </c>
      <c r="E2587">
        <v>0.52167509999999995</v>
      </c>
      <c r="F2587" t="s">
        <v>46</v>
      </c>
      <c r="G2587">
        <v>0</v>
      </c>
      <c r="H2587">
        <v>0</v>
      </c>
      <c r="I2587">
        <v>0</v>
      </c>
      <c r="J2587">
        <v>-336.62029999999999</v>
      </c>
      <c r="K2587">
        <v>1.120865</v>
      </c>
      <c r="L2587">
        <v>283.93709999999999</v>
      </c>
      <c r="M2587">
        <v>-0.99981359999999997</v>
      </c>
      <c r="N2587">
        <v>-1.281735E-2</v>
      </c>
      <c r="O2587">
        <v>1.444459E-2</v>
      </c>
      <c r="P2587">
        <v>-0.99916260000000001</v>
      </c>
      <c r="Q2587">
        <v>-3.5243160000000003E-2</v>
      </c>
      <c r="R2587">
        <v>-2.0795210000000001E-2</v>
      </c>
      <c r="S2587">
        <v>-3.0044249999999999</v>
      </c>
      <c r="T2587">
        <v>-8.8601110000000004E-3</v>
      </c>
      <c r="U2587">
        <v>0.10855099999999999</v>
      </c>
      <c r="V2587">
        <v>-3.5227649999999999E-2</v>
      </c>
      <c r="W2587">
        <v>-2.2437539999999999E-2</v>
      </c>
      <c r="X2587">
        <v>0.9991274</v>
      </c>
      <c r="Y2587">
        <v>2.1666899999999999E-2</v>
      </c>
      <c r="Z2587">
        <v>3.1337349999999999E-4</v>
      </c>
      <c r="AA2587">
        <v>0.99976520000000002</v>
      </c>
      <c r="AB2587">
        <v>37</v>
      </c>
      <c r="AC2587">
        <v>-3.0044249999999999</v>
      </c>
      <c r="AD2587">
        <v>-8.8601110000000004E-3</v>
      </c>
      <c r="AE2587">
        <v>0.10855099999999999</v>
      </c>
      <c r="AF2587">
        <v>6.5137858483816896E-2</v>
      </c>
      <c r="AG2587">
        <v>-8.8601110000000004E-3</v>
      </c>
      <c r="AH2587">
        <v>3.0056534994123498</v>
      </c>
      <c r="AI2587">
        <v>90.168857230800299</v>
      </c>
      <c r="AJ2587">
        <v>88.758492867196907</v>
      </c>
      <c r="AK2587">
        <v>3.0063722990848101</v>
      </c>
      <c r="AL2587">
        <v>91.285684243384196</v>
      </c>
      <c r="AM2587">
        <v>92.019321957294295</v>
      </c>
      <c r="AN2587">
        <v>0.99999999597826705</v>
      </c>
    </row>
    <row r="2588" spans="1:40" x14ac:dyDescent="0.25">
      <c r="A2588" t="str">
        <f>"20190303153823240"</f>
        <v>20190303153823240</v>
      </c>
      <c r="B2588" t="str">
        <f>"1551598703231376"</f>
        <v>1551598703231376</v>
      </c>
      <c r="C2588" t="s">
        <v>40</v>
      </c>
      <c r="D2588">
        <v>4.0358450000000001</v>
      </c>
      <c r="E2588">
        <v>0.521588099999999</v>
      </c>
      <c r="F2588" t="s">
        <v>46</v>
      </c>
      <c r="G2588">
        <v>0</v>
      </c>
      <c r="H2588">
        <v>0</v>
      </c>
      <c r="I2588">
        <v>0</v>
      </c>
      <c r="J2588">
        <v>-336.80239999999998</v>
      </c>
      <c r="K2588">
        <v>1.1208689999999999</v>
      </c>
      <c r="L2588">
        <v>283.93970000000002</v>
      </c>
      <c r="M2588">
        <v>-0.99981180000000003</v>
      </c>
      <c r="N2588">
        <v>-1.2952750000000001E-2</v>
      </c>
      <c r="O2588">
        <v>1.4444540000000001E-2</v>
      </c>
      <c r="P2588">
        <v>-0.99915739999999997</v>
      </c>
      <c r="Q2588">
        <v>-3.5603170000000003E-2</v>
      </c>
      <c r="R2588">
        <v>-2.0427669999999998E-2</v>
      </c>
      <c r="S2588">
        <v>-3.0043950000000001</v>
      </c>
      <c r="T2588">
        <v>-1.017153E-2</v>
      </c>
      <c r="U2588">
        <v>0.1082153</v>
      </c>
      <c r="V2588">
        <v>-3.4859670000000002E-2</v>
      </c>
      <c r="W2588">
        <v>-2.266224E-2</v>
      </c>
      <c r="X2588">
        <v>0.99913529999999995</v>
      </c>
      <c r="Y2588">
        <v>2.1555600000000001E-2</v>
      </c>
      <c r="Z2588">
        <v>3.1431189999999999E-4</v>
      </c>
      <c r="AA2588">
        <v>0.99976759999999998</v>
      </c>
      <c r="AB2588">
        <v>37</v>
      </c>
      <c r="AC2588">
        <v>-3.0043950000000001</v>
      </c>
      <c r="AD2588">
        <v>-1.017153E-2</v>
      </c>
      <c r="AE2588">
        <v>0.1082153</v>
      </c>
      <c r="AF2588">
        <v>6.48025229509957E-2</v>
      </c>
      <c r="AG2588">
        <v>-1.017153E-2</v>
      </c>
      <c r="AH2588">
        <v>3.0056103512774301</v>
      </c>
      <c r="AI2588">
        <v>90.193853507378904</v>
      </c>
      <c r="AJ2588">
        <v>88.7648645465014</v>
      </c>
      <c r="AK2588">
        <v>3.00632606526794</v>
      </c>
      <c r="AL2588">
        <v>91.298561795586394</v>
      </c>
      <c r="AM2588">
        <v>91.998229983897204</v>
      </c>
      <c r="AN2588">
        <v>1.0000000607102</v>
      </c>
    </row>
    <row r="2589" spans="1:40" x14ac:dyDescent="0.25">
      <c r="A2589" t="str">
        <f>"20190303153823252"</f>
        <v>20190303153823252</v>
      </c>
      <c r="B2589" t="str">
        <f>"1551598703241136"</f>
        <v>1551598703241136</v>
      </c>
      <c r="C2589" t="s">
        <v>40</v>
      </c>
      <c r="D2589">
        <v>4.0806740000000001</v>
      </c>
      <c r="E2589">
        <v>0.52151829999999999</v>
      </c>
      <c r="F2589" t="s">
        <v>46</v>
      </c>
      <c r="G2589">
        <v>0</v>
      </c>
      <c r="H2589">
        <v>0</v>
      </c>
      <c r="I2589">
        <v>0</v>
      </c>
      <c r="J2589">
        <v>-336.99270000000001</v>
      </c>
      <c r="K2589">
        <v>1.120871</v>
      </c>
      <c r="L2589">
        <v>283.9425</v>
      </c>
      <c r="M2589">
        <v>-0.99980990000000003</v>
      </c>
      <c r="N2589">
        <v>-1.308989E-2</v>
      </c>
      <c r="O2589">
        <v>1.4444469999999999E-2</v>
      </c>
      <c r="P2589">
        <v>-0.99915140000000002</v>
      </c>
      <c r="Q2589">
        <v>-3.620487E-2</v>
      </c>
      <c r="R2589">
        <v>-1.963794E-2</v>
      </c>
      <c r="S2589">
        <v>-3.0043329999999999</v>
      </c>
      <c r="T2589">
        <v>-1.063657E-2</v>
      </c>
      <c r="U2589">
        <v>0.1087341</v>
      </c>
      <c r="V2589">
        <v>-3.4070339999999998E-2</v>
      </c>
      <c r="W2589">
        <v>-2.3126799999999999E-2</v>
      </c>
      <c r="X2589">
        <v>0.99915180000000003</v>
      </c>
      <c r="Y2589">
        <v>2.172874E-2</v>
      </c>
      <c r="Z2589">
        <v>3.1864360000000001E-4</v>
      </c>
      <c r="AA2589">
        <v>0.99976379999999998</v>
      </c>
      <c r="AB2589">
        <v>37</v>
      </c>
      <c r="AC2589">
        <v>-3.0043329999999999</v>
      </c>
      <c r="AD2589">
        <v>-1.063657E-2</v>
      </c>
      <c r="AE2589">
        <v>0.1087341</v>
      </c>
      <c r="AF2589">
        <v>6.5322216429926694E-2</v>
      </c>
      <c r="AG2589">
        <v>-1.063657E-2</v>
      </c>
      <c r="AH2589">
        <v>3.0055526311210099</v>
      </c>
      <c r="AI2589">
        <v>90.202719505364399</v>
      </c>
      <c r="AJ2589">
        <v>88.754938396537497</v>
      </c>
      <c r="AK2589">
        <v>3.0062812155583698</v>
      </c>
      <c r="AL2589">
        <v>91.325186209507805</v>
      </c>
      <c r="AM2589">
        <v>91.952987137074203</v>
      </c>
      <c r="AN2589">
        <v>0.99999997819459696</v>
      </c>
    </row>
    <row r="2590" spans="1:40" x14ac:dyDescent="0.25">
      <c r="A2590" t="str">
        <f>"20190303153823264"</f>
        <v>20190303153823264</v>
      </c>
      <c r="B2590" t="str">
        <f>"1551598703261632"</f>
        <v>1551598703261632</v>
      </c>
      <c r="C2590" t="s">
        <v>40</v>
      </c>
      <c r="D2590">
        <v>4.045401</v>
      </c>
      <c r="E2590">
        <v>0.52137829999999996</v>
      </c>
      <c r="F2590" t="s">
        <v>46</v>
      </c>
      <c r="G2590">
        <v>0</v>
      </c>
      <c r="H2590">
        <v>0</v>
      </c>
      <c r="I2590">
        <v>0</v>
      </c>
      <c r="J2590">
        <v>-337.1977</v>
      </c>
      <c r="K2590">
        <v>1.120873</v>
      </c>
      <c r="L2590">
        <v>283.94549999999998</v>
      </c>
      <c r="M2590">
        <v>-0.99980820000000004</v>
      </c>
      <c r="N2590">
        <v>-1.322415E-2</v>
      </c>
      <c r="O2590">
        <v>1.444441E-2</v>
      </c>
      <c r="P2590">
        <v>-0.99916099999999997</v>
      </c>
      <c r="Q2590">
        <v>-3.638073E-2</v>
      </c>
      <c r="R2590">
        <v>-1.880716E-2</v>
      </c>
      <c r="S2590">
        <v>-3.0043030000000002</v>
      </c>
      <c r="T2590">
        <v>-1.153612E-2</v>
      </c>
      <c r="U2590">
        <v>0.1107788</v>
      </c>
      <c r="V2590">
        <v>-3.3239869999999998E-2</v>
      </c>
      <c r="W2590">
        <v>-2.316824E-2</v>
      </c>
      <c r="X2590">
        <v>0.99917880000000003</v>
      </c>
      <c r="Y2590">
        <v>2.2408529999999999E-2</v>
      </c>
      <c r="Z2590">
        <v>3.2677169999999997E-4</v>
      </c>
      <c r="AA2590">
        <v>0.99974879999999999</v>
      </c>
      <c r="AB2590">
        <v>37</v>
      </c>
      <c r="AC2590">
        <v>-3.0043030000000002</v>
      </c>
      <c r="AD2590">
        <v>-1.153612E-2</v>
      </c>
      <c r="AE2590">
        <v>0.1107788</v>
      </c>
      <c r="AF2590">
        <v>6.7367068723745094E-2</v>
      </c>
      <c r="AG2590">
        <v>-1.153612E-2</v>
      </c>
      <c r="AH2590">
        <v>3.00554553752547</v>
      </c>
      <c r="AI2590">
        <v>90.219860841659496</v>
      </c>
      <c r="AJ2590">
        <v>88.715972701775698</v>
      </c>
      <c r="AK2590">
        <v>3.0063225678812899</v>
      </c>
      <c r="AL2590">
        <v>91.327561200086393</v>
      </c>
      <c r="AM2590">
        <v>91.905366840625305</v>
      </c>
      <c r="AN2590">
        <v>0.99999996533587598</v>
      </c>
    </row>
    <row r="2591" spans="1:40" x14ac:dyDescent="0.25">
      <c r="A2591" t="str">
        <f>"20190303153823278"</f>
        <v>20190303153823278</v>
      </c>
      <c r="B2591" t="str">
        <f>"1551598703271391"</f>
        <v>1551598703271391</v>
      </c>
      <c r="C2591" t="s">
        <v>40</v>
      </c>
      <c r="D2591">
        <v>4.0468380000000002</v>
      </c>
      <c r="E2591">
        <v>0.52133220000000002</v>
      </c>
      <c r="F2591" t="s">
        <v>46</v>
      </c>
      <c r="G2591">
        <v>0</v>
      </c>
      <c r="H2591">
        <v>0</v>
      </c>
      <c r="I2591">
        <v>0</v>
      </c>
      <c r="J2591">
        <v>-337.41210000000001</v>
      </c>
      <c r="K2591">
        <v>1.1208720000000001</v>
      </c>
      <c r="L2591">
        <v>283.9486</v>
      </c>
      <c r="M2591">
        <v>-0.99980670000000005</v>
      </c>
      <c r="N2591">
        <v>-1.3353719999999999E-2</v>
      </c>
      <c r="O2591">
        <v>1.4444190000000001E-2</v>
      </c>
      <c r="P2591">
        <v>-0.99916839999999996</v>
      </c>
      <c r="Q2591">
        <v>-3.6647730000000003E-2</v>
      </c>
      <c r="R2591">
        <v>-1.7886559999999999E-2</v>
      </c>
      <c r="S2591">
        <v>-3.0042420000000001</v>
      </c>
      <c r="T2591">
        <v>-1.0396839999999999E-2</v>
      </c>
      <c r="U2591">
        <v>0.1118469</v>
      </c>
      <c r="V2591">
        <v>-3.2319269999999997E-2</v>
      </c>
      <c r="W2591">
        <v>-2.3305490000000002E-2</v>
      </c>
      <c r="X2591">
        <v>0.99920580000000003</v>
      </c>
      <c r="Y2591">
        <v>2.2764570000000001E-2</v>
      </c>
      <c r="Z2591">
        <v>3.3431470000000002E-4</v>
      </c>
      <c r="AA2591">
        <v>0.99974079999999999</v>
      </c>
      <c r="AB2591">
        <v>37</v>
      </c>
      <c r="AC2591">
        <v>-3.0042420000000001</v>
      </c>
      <c r="AD2591">
        <v>-1.0396839999999999E-2</v>
      </c>
      <c r="AE2591">
        <v>0.1118469</v>
      </c>
      <c r="AF2591">
        <v>6.8436707984198097E-2</v>
      </c>
      <c r="AG2591">
        <v>-1.0396839999999999E-2</v>
      </c>
      <c r="AH2591">
        <v>3.0055082691482098</v>
      </c>
      <c r="AI2591">
        <v>90.198148949541206</v>
      </c>
      <c r="AJ2591">
        <v>88.695576023036395</v>
      </c>
      <c r="AK2591">
        <v>3.0063053127052801</v>
      </c>
      <c r="AL2591">
        <v>91.335427182595296</v>
      </c>
      <c r="AM2591">
        <v>91.852583727602493</v>
      </c>
      <c r="AN2591">
        <v>0.99999995591555502</v>
      </c>
    </row>
    <row r="2592" spans="1:40" x14ac:dyDescent="0.25">
      <c r="A2592" t="str">
        <f>"20190303153823292"</f>
        <v>20190303153823292</v>
      </c>
      <c r="B2592" t="str">
        <f>"1551598703281152"</f>
        <v>1551598703281152</v>
      </c>
      <c r="C2592" t="s">
        <v>40</v>
      </c>
      <c r="D2592">
        <v>4.0537650000000003</v>
      </c>
      <c r="E2592">
        <v>0.52124809999999999</v>
      </c>
      <c r="F2592" t="s">
        <v>46</v>
      </c>
      <c r="G2592">
        <v>0</v>
      </c>
      <c r="H2592">
        <v>0</v>
      </c>
      <c r="I2592">
        <v>0</v>
      </c>
      <c r="J2592">
        <v>-337.64909999999998</v>
      </c>
      <c r="K2592">
        <v>1.120879</v>
      </c>
      <c r="L2592">
        <v>283.952</v>
      </c>
      <c r="M2592">
        <v>-0.99980469999999999</v>
      </c>
      <c r="N2592">
        <v>-1.348707E-2</v>
      </c>
      <c r="O2592">
        <v>1.44442999999999E-2</v>
      </c>
      <c r="P2592">
        <v>-0.99916609999999995</v>
      </c>
      <c r="Q2592">
        <v>-3.7456030000000001E-2</v>
      </c>
      <c r="R2592">
        <v>-1.6259139999999998E-2</v>
      </c>
      <c r="S2592">
        <v>-3.0042110000000002</v>
      </c>
      <c r="T2592">
        <v>-1.030409E-2</v>
      </c>
      <c r="U2592">
        <v>0.1142883</v>
      </c>
      <c r="V2592">
        <v>-3.06921E-2</v>
      </c>
      <c r="W2592">
        <v>-2.398022E-2</v>
      </c>
      <c r="X2592">
        <v>0.99924120000000005</v>
      </c>
      <c r="Y2592">
        <v>2.3576110000000001E-2</v>
      </c>
      <c r="Z2592">
        <v>3.4472080000000002E-4</v>
      </c>
      <c r="AA2592">
        <v>0.999722</v>
      </c>
      <c r="AB2592">
        <v>37</v>
      </c>
      <c r="AC2592">
        <v>-3.0042110000000002</v>
      </c>
      <c r="AD2592">
        <v>-1.030409E-2</v>
      </c>
      <c r="AE2592">
        <v>0.1142883</v>
      </c>
      <c r="AF2592">
        <v>7.0877869502623397E-2</v>
      </c>
      <c r="AG2592">
        <v>-1.030409E-2</v>
      </c>
      <c r="AH2592">
        <v>3.0055131892661602</v>
      </c>
      <c r="AI2592">
        <v>90.196377264606696</v>
      </c>
      <c r="AJ2592">
        <v>88.649065916441998</v>
      </c>
      <c r="AK2592">
        <v>3.0063664742523999</v>
      </c>
      <c r="AL2592">
        <v>91.374097093429398</v>
      </c>
      <c r="AM2592">
        <v>91.759310052089504</v>
      </c>
      <c r="AN2592">
        <v>1.00000001586554</v>
      </c>
    </row>
    <row r="2593" spans="1:40" x14ac:dyDescent="0.25">
      <c r="A2593" t="str">
        <f>"20190303153823304"</f>
        <v>20190303153823304</v>
      </c>
      <c r="B2593" t="str">
        <f>"1551598703301589"</f>
        <v>1551598703301589</v>
      </c>
      <c r="C2593" t="s">
        <v>40</v>
      </c>
      <c r="D2593">
        <v>4.0353300000000001</v>
      </c>
      <c r="E2593">
        <v>0.52107269999999895</v>
      </c>
      <c r="F2593" t="s">
        <v>46</v>
      </c>
      <c r="G2593">
        <v>0</v>
      </c>
      <c r="H2593">
        <v>0</v>
      </c>
      <c r="I2593">
        <v>0</v>
      </c>
      <c r="J2593">
        <v>-337.851</v>
      </c>
      <c r="K2593">
        <v>1.1208899999999999</v>
      </c>
      <c r="L2593">
        <v>283.95499999999998</v>
      </c>
      <c r="M2593">
        <v>-0.99980329999999995</v>
      </c>
      <c r="N2593">
        <v>-1.3589179999999999E-2</v>
      </c>
      <c r="O2593">
        <v>1.444408E-2</v>
      </c>
      <c r="P2593">
        <v>-0.99916859999999996</v>
      </c>
      <c r="Q2593">
        <v>-3.7706820000000002E-2</v>
      </c>
      <c r="R2593">
        <v>-1.550465E-2</v>
      </c>
      <c r="S2593">
        <v>-3.0039669999999998</v>
      </c>
      <c r="T2593">
        <v>-1.226556E-2</v>
      </c>
      <c r="U2593">
        <v>0.11856079999999999</v>
      </c>
      <c r="V2593">
        <v>-2.9937249999999999E-2</v>
      </c>
      <c r="W2593">
        <v>-2.4128799999999999E-2</v>
      </c>
      <c r="X2593">
        <v>0.9992605</v>
      </c>
      <c r="Y2593">
        <v>2.4998820000000001E-2</v>
      </c>
      <c r="Z2593">
        <v>3.5823920000000001E-4</v>
      </c>
      <c r="AA2593">
        <v>0.9996874</v>
      </c>
      <c r="AB2593">
        <v>37</v>
      </c>
      <c r="AC2593">
        <v>-3.0039669999999998</v>
      </c>
      <c r="AD2593">
        <v>-1.226556E-2</v>
      </c>
      <c r="AE2593">
        <v>0.11856079999999999</v>
      </c>
      <c r="AF2593">
        <v>7.51536304181179E-2</v>
      </c>
      <c r="AG2593">
        <v>-1.226556E-2</v>
      </c>
      <c r="AH2593">
        <v>3.0053161983074301</v>
      </c>
      <c r="AI2593">
        <v>90.233766181180002</v>
      </c>
      <c r="AJ2593">
        <v>88.567508935757402</v>
      </c>
      <c r="AK2593">
        <v>3.0062807526803201</v>
      </c>
      <c r="AL2593">
        <v>91.382612596646098</v>
      </c>
      <c r="AM2593">
        <v>91.716034166961606</v>
      </c>
      <c r="AN2593">
        <v>0.99999999239362602</v>
      </c>
    </row>
    <row r="2594" spans="1:40" x14ac:dyDescent="0.25">
      <c r="A2594" t="str">
        <f>"20190303153823316"</f>
        <v>20190303153823316</v>
      </c>
      <c r="B2594" t="str">
        <f>"1551598703311351"</f>
        <v>1551598703311351</v>
      </c>
      <c r="C2594" t="s">
        <v>40</v>
      </c>
      <c r="D2594">
        <v>4.0138550000000004</v>
      </c>
      <c r="E2594">
        <v>0.52099680000000004</v>
      </c>
      <c r="F2594" t="s">
        <v>46</v>
      </c>
      <c r="G2594">
        <v>0</v>
      </c>
      <c r="H2594">
        <v>0</v>
      </c>
      <c r="I2594">
        <v>0</v>
      </c>
      <c r="J2594">
        <v>-338.04329999999999</v>
      </c>
      <c r="K2594">
        <v>1.1208959999999999</v>
      </c>
      <c r="L2594">
        <v>283.95769999999999</v>
      </c>
      <c r="M2594">
        <v>-0.99980210000000003</v>
      </c>
      <c r="N2594">
        <v>-1.367962E-2</v>
      </c>
      <c r="O2594">
        <v>1.444346E-2</v>
      </c>
      <c r="P2594">
        <v>-0.99917860000000003</v>
      </c>
      <c r="Q2594">
        <v>-3.7754629999999997E-2</v>
      </c>
      <c r="R2594">
        <v>-1.4722850000000001E-2</v>
      </c>
      <c r="S2594">
        <v>-3.003876</v>
      </c>
      <c r="T2594">
        <v>-1.231849E-2</v>
      </c>
      <c r="U2594">
        <v>0.1196289</v>
      </c>
      <c r="V2594">
        <v>-2.9154880000000001E-2</v>
      </c>
      <c r="W2594">
        <v>-2.4085949999999998E-2</v>
      </c>
      <c r="X2594">
        <v>0.99928470000000003</v>
      </c>
      <c r="Y2594">
        <v>2.5355530000000001E-2</v>
      </c>
      <c r="Z2594">
        <v>3.638081E-4</v>
      </c>
      <c r="AA2594">
        <v>0.99967839999999997</v>
      </c>
      <c r="AB2594">
        <v>37</v>
      </c>
      <c r="AC2594">
        <v>-3.003876</v>
      </c>
      <c r="AD2594">
        <v>-1.231849E-2</v>
      </c>
      <c r="AE2594">
        <v>0.1196289</v>
      </c>
      <c r="AF2594">
        <v>7.62247158197355E-2</v>
      </c>
      <c r="AG2594">
        <v>-1.231849E-2</v>
      </c>
      <c r="AH2594">
        <v>3.00524015796426</v>
      </c>
      <c r="AI2594">
        <v>90.234778779818001</v>
      </c>
      <c r="AJ2594">
        <v>88.547065094969099</v>
      </c>
      <c r="AK2594">
        <v>3.0062319204510399</v>
      </c>
      <c r="AL2594">
        <v>91.380156712584395</v>
      </c>
      <c r="AM2594">
        <v>91.671173231997699</v>
      </c>
      <c r="AN2594">
        <v>1.00000002583465</v>
      </c>
    </row>
    <row r="2595" spans="1:40" x14ac:dyDescent="0.25">
      <c r="A2595" t="str">
        <f>"20190303153823326"</f>
        <v>20190303153823326</v>
      </c>
      <c r="B2595" t="str">
        <f>"1551598703321110"</f>
        <v>1551598703321110</v>
      </c>
      <c r="C2595" t="s">
        <v>40</v>
      </c>
      <c r="D2595">
        <v>4.0288459999999997</v>
      </c>
      <c r="E2595">
        <v>0.52092899999999998</v>
      </c>
      <c r="F2595" t="s">
        <v>46</v>
      </c>
      <c r="G2595">
        <v>0</v>
      </c>
      <c r="H2595">
        <v>0</v>
      </c>
      <c r="I2595">
        <v>0</v>
      </c>
      <c r="J2595">
        <v>-338.23410000000001</v>
      </c>
      <c r="K2595">
        <v>1.1209020000000001</v>
      </c>
      <c r="L2595">
        <v>283.96050000000002</v>
      </c>
      <c r="M2595">
        <v>-0.99980100000000005</v>
      </c>
      <c r="N2595">
        <v>-1.3764190000000001E-2</v>
      </c>
      <c r="O2595">
        <v>1.4442389999999999E-2</v>
      </c>
      <c r="P2595">
        <v>-0.99918289999999998</v>
      </c>
      <c r="Q2595">
        <v>-3.7844839999999998E-2</v>
      </c>
      <c r="R2595">
        <v>-1.4195030000000001E-2</v>
      </c>
      <c r="S2595">
        <v>-3.0038450000000001</v>
      </c>
      <c r="T2595">
        <v>-1.195192E-2</v>
      </c>
      <c r="U2595">
        <v>0.121337899999999</v>
      </c>
      <c r="V2595">
        <v>-2.862644E-2</v>
      </c>
      <c r="W2595">
        <v>-2.409153E-2</v>
      </c>
      <c r="X2595">
        <v>0.99929979999999996</v>
      </c>
      <c r="Y2595">
        <v>2.5924860000000001E-2</v>
      </c>
      <c r="Z2595">
        <v>3.7135910000000001E-4</v>
      </c>
      <c r="AA2595">
        <v>0.99966379999999999</v>
      </c>
      <c r="AB2595">
        <v>37</v>
      </c>
      <c r="AC2595">
        <v>-3.0038450000000001</v>
      </c>
      <c r="AD2595">
        <v>-1.195192E-2</v>
      </c>
      <c r="AE2595">
        <v>0.121337899999999</v>
      </c>
      <c r="AF2595">
        <v>7.7937201173267107E-2</v>
      </c>
      <c r="AG2595">
        <v>-1.195192E-2</v>
      </c>
      <c r="AH2595">
        <v>3.00523672489616</v>
      </c>
      <c r="AI2595">
        <v>90.227789309708697</v>
      </c>
      <c r="AJ2595">
        <v>88.514435831665395</v>
      </c>
      <c r="AK2595">
        <v>3.0062709173298101</v>
      </c>
      <c r="AL2595">
        <v>91.380476575545202</v>
      </c>
      <c r="AM2595">
        <v>91.640874701458301</v>
      </c>
      <c r="AN2595">
        <v>0.99999998258242695</v>
      </c>
    </row>
    <row r="2596" spans="1:40" x14ac:dyDescent="0.25">
      <c r="A2596" t="str">
        <f>"20190303153823339"</f>
        <v>20190303153823339</v>
      </c>
      <c r="B2596" t="str">
        <f>"1551598703330869"</f>
        <v>1551598703330869</v>
      </c>
      <c r="C2596" t="s">
        <v>40</v>
      </c>
      <c r="D2596">
        <v>4.0089160000000001</v>
      </c>
      <c r="E2596">
        <v>0.52087129999999904</v>
      </c>
      <c r="F2596" t="s">
        <v>46</v>
      </c>
      <c r="G2596">
        <v>0</v>
      </c>
      <c r="H2596">
        <v>0</v>
      </c>
      <c r="I2596">
        <v>0</v>
      </c>
      <c r="J2596">
        <v>-338.43520000000001</v>
      </c>
      <c r="K2596">
        <v>1.120906</v>
      </c>
      <c r="L2596">
        <v>283.96339999999998</v>
      </c>
      <c r="M2596">
        <v>-0.99980000000000002</v>
      </c>
      <c r="N2596">
        <v>-1.3843930000000001E-2</v>
      </c>
      <c r="O2596">
        <v>1.443877E-2</v>
      </c>
      <c r="P2596">
        <v>-0.99919029999999998</v>
      </c>
      <c r="Q2596">
        <v>-3.7837839999999998E-2</v>
      </c>
      <c r="R2596">
        <v>-1.368609E-2</v>
      </c>
      <c r="S2596">
        <v>-3.0037539999999998</v>
      </c>
      <c r="T2596">
        <v>-1.179409E-2</v>
      </c>
      <c r="U2596">
        <v>0.1225281</v>
      </c>
      <c r="V2596">
        <v>-2.8113780000000001E-2</v>
      </c>
      <c r="W2596">
        <v>-2.400476E-2</v>
      </c>
      <c r="X2596">
        <v>0.99931650000000005</v>
      </c>
      <c r="Y2596">
        <v>2.6325149999999999E-2</v>
      </c>
      <c r="Z2596">
        <v>3.771437E-4</v>
      </c>
      <c r="AA2596">
        <v>0.99965329999999997</v>
      </c>
      <c r="AB2596">
        <v>37</v>
      </c>
      <c r="AC2596">
        <v>-3.0037539999999998</v>
      </c>
      <c r="AD2596">
        <v>-1.179409E-2</v>
      </c>
      <c r="AE2596">
        <v>0.1225281</v>
      </c>
      <c r="AF2596">
        <v>7.91394405361108E-2</v>
      </c>
      <c r="AG2596">
        <v>-1.179409E-2</v>
      </c>
      <c r="AH2596">
        <v>3.0051638860571499</v>
      </c>
      <c r="AI2596">
        <v>90.224784385562302</v>
      </c>
      <c r="AJ2596">
        <v>88.491493860571595</v>
      </c>
      <c r="AK2596">
        <v>3.00622888910166</v>
      </c>
      <c r="AL2596">
        <v>91.375503503286595</v>
      </c>
      <c r="AM2596">
        <v>91.611477621979205</v>
      </c>
      <c r="AN2596">
        <v>1.0000000401503899</v>
      </c>
    </row>
    <row r="2597" spans="1:40" x14ac:dyDescent="0.25">
      <c r="A2597" t="str">
        <f>"20190303153823355"</f>
        <v>20190303153823355</v>
      </c>
      <c r="B2597" t="str">
        <f>"1551598703351365"</f>
        <v>1551598703351365</v>
      </c>
      <c r="C2597" t="s">
        <v>40</v>
      </c>
      <c r="D2597">
        <v>3.9987339999999998</v>
      </c>
      <c r="E2597">
        <v>0.52074679999999995</v>
      </c>
      <c r="F2597" t="s">
        <v>46</v>
      </c>
      <c r="G2597">
        <v>0</v>
      </c>
      <c r="H2597">
        <v>0</v>
      </c>
      <c r="I2597">
        <v>0</v>
      </c>
      <c r="J2597">
        <v>-338.67189999999999</v>
      </c>
      <c r="K2597">
        <v>1.120916</v>
      </c>
      <c r="L2597">
        <v>283.96679999999998</v>
      </c>
      <c r="M2597">
        <v>-0.99979879999999999</v>
      </c>
      <c r="N2597">
        <v>-1.3931900000000001E-2</v>
      </c>
      <c r="O2597">
        <v>1.4432800000000001E-2</v>
      </c>
      <c r="P2597">
        <v>-0.99919590000000003</v>
      </c>
      <c r="Q2597">
        <v>-3.7854470000000001E-2</v>
      </c>
      <c r="R2597">
        <v>-1.3207979999999999E-2</v>
      </c>
      <c r="S2597">
        <v>-3.0037539999999998</v>
      </c>
      <c r="T2597">
        <v>-1.10116E-2</v>
      </c>
      <c r="U2597">
        <v>0.123535199999999</v>
      </c>
      <c r="V2597">
        <v>-2.7630169999999999E-2</v>
      </c>
      <c r="W2597">
        <v>-2.393348E-2</v>
      </c>
      <c r="X2597">
        <v>0.99933170000000004</v>
      </c>
      <c r="Y2597">
        <v>2.66658E-2</v>
      </c>
      <c r="Z2597">
        <v>3.8284099999999998E-4</v>
      </c>
      <c r="AA2597">
        <v>0.99964430000000004</v>
      </c>
      <c r="AB2597">
        <v>37</v>
      </c>
      <c r="AC2597">
        <v>-3.0037539999999998</v>
      </c>
      <c r="AD2597">
        <v>-1.10116E-2</v>
      </c>
      <c r="AE2597">
        <v>0.123535199999999</v>
      </c>
      <c r="AF2597">
        <v>8.0164467054192098E-2</v>
      </c>
      <c r="AG2597">
        <v>-1.10116E-2</v>
      </c>
      <c r="AH2597">
        <v>3.0051838863184699</v>
      </c>
      <c r="AI2597">
        <v>90.209867700383896</v>
      </c>
      <c r="AJ2597">
        <v>88.471974819679801</v>
      </c>
      <c r="AK2597">
        <v>3.0062730727099298</v>
      </c>
      <c r="AL2597">
        <v>91.371418283800296</v>
      </c>
      <c r="AM2597">
        <v>91.583747334444496</v>
      </c>
      <c r="AN2597">
        <v>1.0000000421920101</v>
      </c>
    </row>
    <row r="2598" spans="1:40" x14ac:dyDescent="0.25">
      <c r="A2598" t="str">
        <f>"20190303153823372"</f>
        <v>20190303153823372</v>
      </c>
      <c r="B2598" t="str">
        <f>"1551598703361127"</f>
        <v>1551598703361127</v>
      </c>
      <c r="C2598" t="s">
        <v>40</v>
      </c>
      <c r="D2598">
        <v>3.9983490000000002</v>
      </c>
      <c r="E2598">
        <v>0.52065550000000005</v>
      </c>
      <c r="F2598" t="s">
        <v>46</v>
      </c>
      <c r="G2598">
        <v>0</v>
      </c>
      <c r="H2598">
        <v>0</v>
      </c>
      <c r="I2598">
        <v>0</v>
      </c>
      <c r="J2598">
        <v>-338.96289999999999</v>
      </c>
      <c r="K2598">
        <v>1.1209340000000001</v>
      </c>
      <c r="L2598">
        <v>283.971</v>
      </c>
      <c r="M2598">
        <v>-0.99979779999999996</v>
      </c>
      <c r="N2598">
        <v>-1.402842E-2</v>
      </c>
      <c r="O2598">
        <v>1.441982E-2</v>
      </c>
      <c r="P2598">
        <v>-0.99921119999999997</v>
      </c>
      <c r="Q2598">
        <v>-3.7631560000000001E-2</v>
      </c>
      <c r="R2598">
        <v>-1.270583E-2</v>
      </c>
      <c r="S2598">
        <v>-3.0036930000000002</v>
      </c>
      <c r="T2598">
        <v>-9.5587970000000008E-3</v>
      </c>
      <c r="U2598">
        <v>0.1239624</v>
      </c>
      <c r="V2598">
        <v>-2.7114300000000001E-2</v>
      </c>
      <c r="W2598">
        <v>-2.3614130000000001E-2</v>
      </c>
      <c r="X2598">
        <v>0.99935339999999995</v>
      </c>
      <c r="Y2598">
        <v>2.682176E-2</v>
      </c>
      <c r="Z2598">
        <v>3.8725370000000002E-4</v>
      </c>
      <c r="AA2598">
        <v>0.99964019999999998</v>
      </c>
      <c r="AB2598">
        <v>37</v>
      </c>
      <c r="AC2598">
        <v>-3.0036930000000002</v>
      </c>
      <c r="AD2598">
        <v>-9.5587970000000008E-3</v>
      </c>
      <c r="AE2598">
        <v>0.1239624</v>
      </c>
      <c r="AF2598">
        <v>8.0631726840632301E-2</v>
      </c>
      <c r="AG2598">
        <v>-9.5587970000000008E-3</v>
      </c>
      <c r="AH2598">
        <v>3.0051379504210001</v>
      </c>
      <c r="AI2598">
        <v>90.182181268799894</v>
      </c>
      <c r="AJ2598">
        <v>88.463049098599797</v>
      </c>
      <c r="AK2598">
        <v>3.0062346793013202</v>
      </c>
      <c r="AL2598">
        <v>91.353115740792106</v>
      </c>
      <c r="AM2598">
        <v>91.554158837021603</v>
      </c>
      <c r="AN2598">
        <v>1.0000000152458499</v>
      </c>
    </row>
    <row r="2599" spans="1:40" x14ac:dyDescent="0.25">
      <c r="A2599" t="str">
        <f>"20190303153823386"</f>
        <v>20190303153823386</v>
      </c>
      <c r="B2599" t="str">
        <f>"1551598703381622"</f>
        <v>1551598703381622</v>
      </c>
      <c r="C2599" t="s">
        <v>40</v>
      </c>
      <c r="D2599">
        <v>4.0069400000000002</v>
      </c>
      <c r="E2599">
        <v>0.52057399999999998</v>
      </c>
      <c r="F2599" t="s">
        <v>46</v>
      </c>
      <c r="G2599">
        <v>0</v>
      </c>
      <c r="H2599">
        <v>0</v>
      </c>
      <c r="I2599">
        <v>0</v>
      </c>
      <c r="J2599">
        <v>-339.2022</v>
      </c>
      <c r="K2599">
        <v>1.120946</v>
      </c>
      <c r="L2599">
        <v>283.97449999999998</v>
      </c>
      <c r="M2599">
        <v>-0.99979680000000004</v>
      </c>
      <c r="N2599">
        <v>-1.409913E-2</v>
      </c>
      <c r="O2599">
        <v>1.4404149999999999E-2</v>
      </c>
      <c r="P2599">
        <v>-0.99921819999999895</v>
      </c>
      <c r="Q2599">
        <v>-3.7524580000000002E-2</v>
      </c>
      <c r="R2599">
        <v>-1.2445080000000001E-2</v>
      </c>
      <c r="S2599">
        <v>-3.0036320000000001</v>
      </c>
      <c r="T2599">
        <v>-8.3588359999999997E-3</v>
      </c>
      <c r="U2599">
        <v>0.124816899999999</v>
      </c>
      <c r="V2599">
        <v>-2.6838020000000001E-2</v>
      </c>
      <c r="W2599">
        <v>-2.343667E-2</v>
      </c>
      <c r="X2599">
        <v>0.99936499999999995</v>
      </c>
      <c r="Y2599">
        <v>2.7122319999999998E-2</v>
      </c>
      <c r="Z2599">
        <v>3.9198450000000001E-4</v>
      </c>
      <c r="AA2599">
        <v>0.99963210000000002</v>
      </c>
      <c r="AB2599">
        <v>37</v>
      </c>
      <c r="AC2599">
        <v>-3.0036320000000001</v>
      </c>
      <c r="AD2599">
        <v>-8.3588359999999997E-3</v>
      </c>
      <c r="AE2599">
        <v>0.124816899999999</v>
      </c>
      <c r="AF2599">
        <v>8.1534249170557294E-2</v>
      </c>
      <c r="AG2599">
        <v>-8.3588359999999997E-3</v>
      </c>
      <c r="AH2599">
        <v>3.0050951528202501</v>
      </c>
      <c r="AI2599">
        <v>90.159312295930604</v>
      </c>
      <c r="AJ2599">
        <v>88.445832057329497</v>
      </c>
      <c r="AK2599">
        <v>3.0062126640393898</v>
      </c>
      <c r="AL2599">
        <v>91.342945264414894</v>
      </c>
      <c r="AM2599">
        <v>91.5383126031101</v>
      </c>
      <c r="AN2599">
        <v>0.99999998002160395</v>
      </c>
    </row>
    <row r="2600" spans="1:40" x14ac:dyDescent="0.25">
      <c r="A2600" t="str">
        <f>"20190303153823399"</f>
        <v>20190303153823399</v>
      </c>
      <c r="B2600" t="str">
        <f>"1551598703391382"</f>
        <v>1551598703391382</v>
      </c>
      <c r="C2600" t="s">
        <v>40</v>
      </c>
      <c r="D2600">
        <v>4.0129929999999998</v>
      </c>
      <c r="E2600">
        <v>0.52053689999999997</v>
      </c>
      <c r="F2600" t="s">
        <v>46</v>
      </c>
      <c r="G2600">
        <v>0</v>
      </c>
      <c r="H2600">
        <v>0</v>
      </c>
      <c r="I2600">
        <v>0</v>
      </c>
      <c r="J2600">
        <v>-339.40359999999998</v>
      </c>
      <c r="K2600">
        <v>1.1209559999999901</v>
      </c>
      <c r="L2600">
        <v>283.97739999999999</v>
      </c>
      <c r="M2600">
        <v>-0.99979629999999997</v>
      </c>
      <c r="N2600">
        <v>-1.415308E-2</v>
      </c>
      <c r="O2600">
        <v>1.438645E-2</v>
      </c>
      <c r="P2600">
        <v>-0.99922829999999996</v>
      </c>
      <c r="Q2600">
        <v>-3.7373419999999997E-2</v>
      </c>
      <c r="R2600">
        <v>-1.209754E-2</v>
      </c>
      <c r="S2600">
        <v>-3.0036320000000001</v>
      </c>
      <c r="T2600">
        <v>-6.9664719999999996E-3</v>
      </c>
      <c r="U2600">
        <v>0.1249695</v>
      </c>
      <c r="V2600">
        <v>-2.6472639999999999E-2</v>
      </c>
      <c r="W2600">
        <v>-2.3231709999999999E-2</v>
      </c>
      <c r="X2600">
        <v>0.99937960000000003</v>
      </c>
      <c r="Y2600">
        <v>2.71909E-2</v>
      </c>
      <c r="Z2600">
        <v>3.9423829999999998E-4</v>
      </c>
      <c r="AA2600">
        <v>0.99963020000000002</v>
      </c>
      <c r="AB2600">
        <v>37</v>
      </c>
      <c r="AC2600">
        <v>-3.0036320000000001</v>
      </c>
      <c r="AD2600">
        <v>-6.9664719999999996E-3</v>
      </c>
      <c r="AE2600">
        <v>0.1249695</v>
      </c>
      <c r="AF2600">
        <v>8.1740193528882399E-2</v>
      </c>
      <c r="AG2600">
        <v>-6.9664719999999996E-3</v>
      </c>
      <c r="AH2600">
        <v>3.0051030008027499</v>
      </c>
      <c r="AI2600">
        <v>90.132774534800802</v>
      </c>
      <c r="AJ2600">
        <v>88.441912441388595</v>
      </c>
      <c r="AK2600">
        <v>3.0062225527069599</v>
      </c>
      <c r="AL2600">
        <v>91.331198631067295</v>
      </c>
      <c r="AM2600">
        <v>91.517357304335604</v>
      </c>
      <c r="AN2600">
        <v>1.0000000489571199</v>
      </c>
    </row>
    <row r="2601" spans="1:40" x14ac:dyDescent="0.25">
      <c r="A2601" t="str">
        <f>"20190303153823410"</f>
        <v>20190303153823410</v>
      </c>
      <c r="B2601" t="str">
        <f>"1551598703401142"</f>
        <v>1551598703401142</v>
      </c>
      <c r="C2601" t="s">
        <v>40</v>
      </c>
      <c r="D2601">
        <v>3.993223</v>
      </c>
      <c r="E2601">
        <v>0.52048830000000001</v>
      </c>
      <c r="F2601" t="s">
        <v>46</v>
      </c>
      <c r="G2601">
        <v>0</v>
      </c>
      <c r="H2601">
        <v>0</v>
      </c>
      <c r="I2601">
        <v>0</v>
      </c>
      <c r="J2601">
        <v>-339.60759999999999</v>
      </c>
      <c r="K2601">
        <v>1.120968</v>
      </c>
      <c r="L2601">
        <v>283.9803</v>
      </c>
      <c r="M2601">
        <v>-0.99979589999999996</v>
      </c>
      <c r="N2601">
        <v>-1.4205010000000001E-2</v>
      </c>
      <c r="O2601">
        <v>1.4365889999999999E-2</v>
      </c>
      <c r="P2601">
        <v>-0.99922759999999999</v>
      </c>
      <c r="Q2601">
        <v>-3.7324299999999998E-2</v>
      </c>
      <c r="R2601">
        <v>-1.2293119999999999E-2</v>
      </c>
      <c r="S2601">
        <v>-3.0036010000000002</v>
      </c>
      <c r="T2601">
        <v>-6.114721E-3</v>
      </c>
      <c r="U2601">
        <v>0.125885</v>
      </c>
      <c r="V2601">
        <v>-2.66476E-2</v>
      </c>
      <c r="W2601">
        <v>-2.313111E-2</v>
      </c>
      <c r="X2601">
        <v>0.99937730000000002</v>
      </c>
      <c r="Y2601">
        <v>2.751615E-2</v>
      </c>
      <c r="Z2601">
        <v>3.9830729999999997E-4</v>
      </c>
      <c r="AA2601">
        <v>0.99962130000000005</v>
      </c>
      <c r="AB2601">
        <v>37</v>
      </c>
      <c r="AC2601">
        <v>-3.0036010000000002</v>
      </c>
      <c r="AD2601">
        <v>-6.114721E-3</v>
      </c>
      <c r="AE2601">
        <v>0.125885</v>
      </c>
      <c r="AF2601">
        <v>8.2717908927676706E-2</v>
      </c>
      <c r="AG2601">
        <v>-6.114721E-3</v>
      </c>
      <c r="AH2601">
        <v>3.0050871815650999</v>
      </c>
      <c r="AI2601">
        <v>90.116540570035596</v>
      </c>
      <c r="AJ2601">
        <v>88.423276812912306</v>
      </c>
      <c r="AK2601">
        <v>3.0062316296448501</v>
      </c>
      <c r="AL2601">
        <v>91.325433104933794</v>
      </c>
      <c r="AM2601">
        <v>91.5273844305962</v>
      </c>
      <c r="AN2601">
        <v>1.00000006529543</v>
      </c>
    </row>
    <row r="2602" spans="1:40" x14ac:dyDescent="0.25">
      <c r="A2602" t="str">
        <f>"20190303153823422"</f>
        <v>20190303153823422</v>
      </c>
      <c r="B2602" t="str">
        <f>"1551598703410902"</f>
        <v>1551598703410902</v>
      </c>
      <c r="C2602" t="s">
        <v>40</v>
      </c>
      <c r="D2602">
        <v>4.0085059999999997</v>
      </c>
      <c r="E2602">
        <v>0.5204512</v>
      </c>
      <c r="F2602" t="s">
        <v>46</v>
      </c>
      <c r="G2602">
        <v>0</v>
      </c>
      <c r="H2602">
        <v>0</v>
      </c>
      <c r="I2602">
        <v>0</v>
      </c>
      <c r="J2602">
        <v>-339.8014</v>
      </c>
      <c r="K2602">
        <v>1.1209800000000001</v>
      </c>
      <c r="L2602">
        <v>283.983</v>
      </c>
      <c r="M2602">
        <v>-0.99979569999999995</v>
      </c>
      <c r="N2602">
        <v>-1.424888E-2</v>
      </c>
      <c r="O2602">
        <v>1.4339360000000001E-2</v>
      </c>
      <c r="P2602">
        <v>-0.99922480000000002</v>
      </c>
      <c r="Q2602">
        <v>-3.7447910000000001E-2</v>
      </c>
      <c r="R2602">
        <v>-1.2155020000000001E-2</v>
      </c>
      <c r="S2602">
        <v>-3.0036619999999998</v>
      </c>
      <c r="T2602">
        <v>-5.5296420000000004E-3</v>
      </c>
      <c r="U2602">
        <v>0.12478640000000001</v>
      </c>
      <c r="V2602">
        <v>-2.6482180000000001E-2</v>
      </c>
      <c r="W2602">
        <v>-2.3211240000000001E-2</v>
      </c>
      <c r="X2602">
        <v>0.99937980000000004</v>
      </c>
      <c r="Y2602">
        <v>2.7176909999999999E-2</v>
      </c>
      <c r="Z2602">
        <v>3.9659979999999998E-4</v>
      </c>
      <c r="AA2602">
        <v>0.99963060000000004</v>
      </c>
      <c r="AB2602">
        <v>37</v>
      </c>
      <c r="AC2602">
        <v>-3.0036619999999998</v>
      </c>
      <c r="AD2602">
        <v>-5.5296420000000004E-3</v>
      </c>
      <c r="AE2602">
        <v>0.12478640000000001</v>
      </c>
      <c r="AF2602">
        <v>8.1698329410316198E-2</v>
      </c>
      <c r="AG2602">
        <v>-5.5296420000000004E-3</v>
      </c>
      <c r="AH2602">
        <v>3.0051324904685202</v>
      </c>
      <c r="AI2602">
        <v>90.105388955687602</v>
      </c>
      <c r="AJ2602">
        <v>88.442725313943598</v>
      </c>
      <c r="AK2602">
        <v>3.0062479071491501</v>
      </c>
      <c r="AL2602">
        <v>91.330025500596903</v>
      </c>
      <c r="AM2602">
        <v>91.517903558125596</v>
      </c>
      <c r="AN2602">
        <v>1.0000000260839601</v>
      </c>
    </row>
    <row r="2603" spans="1:40" x14ac:dyDescent="0.25">
      <c r="A2603" t="str">
        <f>"20190303153823438"</f>
        <v>20190303153823438</v>
      </c>
      <c r="B2603" t="str">
        <f>"1551598703431401"</f>
        <v>1551598703431401</v>
      </c>
      <c r="C2603" t="s">
        <v>40</v>
      </c>
      <c r="D2603">
        <v>3.981357</v>
      </c>
      <c r="E2603">
        <v>0.5203837</v>
      </c>
      <c r="F2603" t="s">
        <v>46</v>
      </c>
      <c r="G2603">
        <v>0</v>
      </c>
      <c r="H2603">
        <v>0</v>
      </c>
      <c r="I2603">
        <v>0</v>
      </c>
      <c r="J2603">
        <v>-340.04480000000001</v>
      </c>
      <c r="K2603">
        <v>1.1209910000000001</v>
      </c>
      <c r="L2603">
        <v>283.98649999999998</v>
      </c>
      <c r="M2603">
        <v>-0.99979549999999995</v>
      </c>
      <c r="N2603">
        <v>-1.429978E-2</v>
      </c>
      <c r="O2603">
        <v>1.4300820000000001E-2</v>
      </c>
      <c r="P2603">
        <v>-0.99919159999999996</v>
      </c>
      <c r="Q2603">
        <v>-3.8274280000000001E-2</v>
      </c>
      <c r="R2603">
        <v>-1.2297519999999999E-2</v>
      </c>
      <c r="S2603">
        <v>-3.0036930000000002</v>
      </c>
      <c r="T2603">
        <v>-5.4806469999999999E-3</v>
      </c>
      <c r="U2603">
        <v>0.12493899999999999</v>
      </c>
      <c r="V2603">
        <v>-2.6585580000000001E-2</v>
      </c>
      <c r="W2603">
        <v>-2.3987689999999999E-2</v>
      </c>
      <c r="X2603">
        <v>0.99935870000000004</v>
      </c>
      <c r="Y2603">
        <v>2.726572E-2</v>
      </c>
      <c r="Z2603">
        <v>3.9826910000000001E-4</v>
      </c>
      <c r="AA2603">
        <v>0.99962810000000002</v>
      </c>
      <c r="AB2603">
        <v>37</v>
      </c>
      <c r="AC2603">
        <v>-3.0036930000000002</v>
      </c>
      <c r="AD2603">
        <v>-5.4806469999999999E-3</v>
      </c>
      <c r="AE2603">
        <v>0.12493899999999999</v>
      </c>
      <c r="AF2603">
        <v>8.1966283870850296E-2</v>
      </c>
      <c r="AG2603">
        <v>-5.4806469999999999E-3</v>
      </c>
      <c r="AH2603">
        <v>3.0051626986894999</v>
      </c>
      <c r="AI2603">
        <v>90.104453863769706</v>
      </c>
      <c r="AJ2603">
        <v>88.437635983929397</v>
      </c>
      <c r="AK2603">
        <v>3.0062853082796201</v>
      </c>
      <c r="AL2603">
        <v>91.374525228510194</v>
      </c>
      <c r="AM2603">
        <v>91.523859600656905</v>
      </c>
      <c r="AN2603">
        <v>1.0000000068005801</v>
      </c>
    </row>
    <row r="2604" spans="1:40" x14ac:dyDescent="0.25">
      <c r="A2604" t="str">
        <f>"20190303153823449"</f>
        <v>20190303153823449</v>
      </c>
      <c r="B2604" t="str">
        <f>"1551598703441158"</f>
        <v>1551598703441158</v>
      </c>
      <c r="C2604" t="s">
        <v>40</v>
      </c>
      <c r="D2604">
        <v>3.9723709999999999</v>
      </c>
      <c r="E2604">
        <v>0.52033969999999996</v>
      </c>
      <c r="F2604" t="s">
        <v>46</v>
      </c>
      <c r="G2604">
        <v>0</v>
      </c>
      <c r="H2604">
        <v>0</v>
      </c>
      <c r="I2604">
        <v>0</v>
      </c>
      <c r="J2604">
        <v>-340.2364</v>
      </c>
      <c r="K2604">
        <v>1.1210009999999999</v>
      </c>
      <c r="L2604">
        <v>283.98919999999998</v>
      </c>
      <c r="M2604">
        <v>-0.9997954</v>
      </c>
      <c r="N2604">
        <v>-1.4337249999999999E-2</v>
      </c>
      <c r="O2604">
        <v>1.426729E-2</v>
      </c>
      <c r="P2604">
        <v>-0.99916930000000004</v>
      </c>
      <c r="Q2604">
        <v>-3.8880680000000001E-2</v>
      </c>
      <c r="R2604">
        <v>-1.2201450000000001E-2</v>
      </c>
      <c r="S2604">
        <v>-3.0037229999999999</v>
      </c>
      <c r="T2604">
        <v>-7.0286990000000002E-3</v>
      </c>
      <c r="U2604">
        <v>0.1242065</v>
      </c>
      <c r="V2604">
        <v>-2.6455599999999999E-2</v>
      </c>
      <c r="W2604">
        <v>-2.4557269999999999E-2</v>
      </c>
      <c r="X2604">
        <v>0.99934829999999997</v>
      </c>
      <c r="Y2604">
        <v>2.7055269999999999E-2</v>
      </c>
      <c r="Z2604">
        <v>3.9681569999999998E-4</v>
      </c>
      <c r="AA2604">
        <v>0.99963380000000002</v>
      </c>
      <c r="AB2604">
        <v>37</v>
      </c>
      <c r="AC2604">
        <v>-3.0037229999999999</v>
      </c>
      <c r="AD2604">
        <v>-7.0286990000000002E-3</v>
      </c>
      <c r="AE2604">
        <v>0.1242065</v>
      </c>
      <c r="AF2604">
        <v>8.1334017355933402E-2</v>
      </c>
      <c r="AG2604">
        <v>-7.0286990000000002E-3</v>
      </c>
      <c r="AH2604">
        <v>3.0051730546813502</v>
      </c>
      <c r="AI2604">
        <v>90.133957890193898</v>
      </c>
      <c r="AJ2604">
        <v>88.449687087587705</v>
      </c>
      <c r="AK2604">
        <v>3.0062817089507301</v>
      </c>
      <c r="AL2604">
        <v>91.407169397984703</v>
      </c>
      <c r="AM2604">
        <v>91.516428534230599</v>
      </c>
      <c r="AN2604">
        <v>0.99999999149705099</v>
      </c>
    </row>
    <row r="2605" spans="1:40" x14ac:dyDescent="0.25">
      <c r="A2605" t="str">
        <f>"20190303153823461"</f>
        <v>20190303153823461</v>
      </c>
      <c r="B2605" t="str">
        <f>"1551598703450918"</f>
        <v>1551598703450918</v>
      </c>
      <c r="C2605" t="s">
        <v>40</v>
      </c>
      <c r="D2605">
        <v>3.9540489999999999</v>
      </c>
      <c r="E2605">
        <v>0.52030929999999997</v>
      </c>
      <c r="F2605" t="s">
        <v>46</v>
      </c>
      <c r="G2605">
        <v>0</v>
      </c>
      <c r="H2605">
        <v>0</v>
      </c>
      <c r="I2605">
        <v>0</v>
      </c>
      <c r="J2605">
        <v>-340.43610000000001</v>
      </c>
      <c r="K2605">
        <v>1.1210089999999999</v>
      </c>
      <c r="L2605">
        <v>283.99200000000002</v>
      </c>
      <c r="M2605">
        <v>-0.99979560000000001</v>
      </c>
      <c r="N2605">
        <v>-1.4371419999999999E-2</v>
      </c>
      <c r="O2605">
        <v>1.42249E-2</v>
      </c>
      <c r="P2605">
        <v>-0.9991468</v>
      </c>
      <c r="Q2605">
        <v>-3.9430840000000002E-2</v>
      </c>
      <c r="R2605">
        <v>-1.228978E-2</v>
      </c>
      <c r="S2605">
        <v>-3.0036930000000002</v>
      </c>
      <c r="T2605">
        <v>-8.5010529999999997E-3</v>
      </c>
      <c r="U2605">
        <v>0.12402340000000001</v>
      </c>
      <c r="V2605">
        <v>-2.6501009999999998E-2</v>
      </c>
      <c r="W2605">
        <v>-2.5074030000000001E-2</v>
      </c>
      <c r="X2605">
        <v>0.99933430000000001</v>
      </c>
      <c r="Y2605">
        <v>2.7037019999999998E-2</v>
      </c>
      <c r="Z2605">
        <v>3.967582E-4</v>
      </c>
      <c r="AA2605">
        <v>0.99963429999999998</v>
      </c>
      <c r="AB2605">
        <v>37</v>
      </c>
      <c r="AC2605">
        <v>-3.0036930000000002</v>
      </c>
      <c r="AD2605">
        <v>-8.5010529999999997E-3</v>
      </c>
      <c r="AE2605">
        <v>0.12402340000000001</v>
      </c>
      <c r="AF2605">
        <v>8.1278555996672205E-2</v>
      </c>
      <c r="AG2605">
        <v>-8.5010529999999997E-3</v>
      </c>
      <c r="AH2605">
        <v>3.0051293989212899</v>
      </c>
      <c r="AI2605">
        <v>90.162021344653198</v>
      </c>
      <c r="AJ2605">
        <v>88.450721229518507</v>
      </c>
      <c r="AK2605">
        <v>3.0062403722636799</v>
      </c>
      <c r="AL2605">
        <v>91.436786635617395</v>
      </c>
      <c r="AM2605">
        <v>91.519051476482801</v>
      </c>
      <c r="AN2605">
        <v>1.0000000268339699</v>
      </c>
    </row>
    <row r="2606" spans="1:40" x14ac:dyDescent="0.25">
      <c r="A2606" t="str">
        <f>"20190303153823473"</f>
        <v>20190303153823473</v>
      </c>
      <c r="B2606" t="str">
        <f>"1551598703461653"</f>
        <v>1551598703461653</v>
      </c>
      <c r="C2606" t="s">
        <v>40</v>
      </c>
      <c r="D2606">
        <v>3.9785680000000001</v>
      </c>
      <c r="E2606">
        <v>0.52026679999999903</v>
      </c>
      <c r="F2606" t="s">
        <v>46</v>
      </c>
      <c r="G2606">
        <v>0</v>
      </c>
      <c r="H2606">
        <v>0</v>
      </c>
      <c r="I2606">
        <v>0</v>
      </c>
      <c r="J2606">
        <v>-340.62110000000001</v>
      </c>
      <c r="K2606">
        <v>1.121016</v>
      </c>
      <c r="L2606">
        <v>283.99459999999999</v>
      </c>
      <c r="M2606">
        <v>-0.99979569999999995</v>
      </c>
      <c r="N2606">
        <v>-1.440164E-2</v>
      </c>
      <c r="O2606">
        <v>1.418356E-2</v>
      </c>
      <c r="P2606">
        <v>-0.99912829999999997</v>
      </c>
      <c r="Q2606">
        <v>-3.9913419999999998E-2</v>
      </c>
      <c r="R2606">
        <v>-1.223638E-2</v>
      </c>
      <c r="S2606">
        <v>-3.0037229999999999</v>
      </c>
      <c r="T2606">
        <v>-9.5319749999999998E-3</v>
      </c>
      <c r="U2606">
        <v>0.123535199999999</v>
      </c>
      <c r="V2606">
        <v>-2.6405399999999999E-2</v>
      </c>
      <c r="W2606">
        <v>-2.5526989999999999E-2</v>
      </c>
      <c r="X2606">
        <v>0.99932529999999997</v>
      </c>
      <c r="Y2606">
        <v>2.691557E-2</v>
      </c>
      <c r="Z2606">
        <v>3.9582380000000001E-4</v>
      </c>
      <c r="AA2606">
        <v>0.99963760000000002</v>
      </c>
      <c r="AB2606">
        <v>37</v>
      </c>
      <c r="AC2606">
        <v>-3.0037229999999999</v>
      </c>
      <c r="AD2606">
        <v>-9.5319749999999998E-3</v>
      </c>
      <c r="AE2606">
        <v>0.123535199999999</v>
      </c>
      <c r="AF2606">
        <v>8.0914053600446206E-2</v>
      </c>
      <c r="AG2606">
        <v>-9.5319749999999998E-3</v>
      </c>
      <c r="AH2606">
        <v>3.00514292637529</v>
      </c>
      <c r="AI2606">
        <v>90.181669312291007</v>
      </c>
      <c r="AJ2606">
        <v>88.457672712115297</v>
      </c>
      <c r="AK2606">
        <v>3.0062471539380899</v>
      </c>
      <c r="AL2606">
        <v>91.462747734018393</v>
      </c>
      <c r="AM2606">
        <v>91.513587241221799</v>
      </c>
      <c r="AN2606">
        <v>0.99999996379385403</v>
      </c>
    </row>
    <row r="2607" spans="1:40" x14ac:dyDescent="0.25">
      <c r="A2607" t="str">
        <f>"20190303153823485"</f>
        <v>20190303153823485</v>
      </c>
      <c r="B2607" t="str">
        <f>"1551598703481174"</f>
        <v>1551598703481174</v>
      </c>
      <c r="C2607" t="s">
        <v>40</v>
      </c>
      <c r="D2607">
        <v>3.9676179999999999</v>
      </c>
      <c r="E2607">
        <v>0.52020789999999995</v>
      </c>
      <c r="F2607" t="s">
        <v>46</v>
      </c>
      <c r="G2607">
        <v>0</v>
      </c>
      <c r="H2607">
        <v>0</v>
      </c>
      <c r="I2607">
        <v>0</v>
      </c>
      <c r="J2607">
        <v>-340.82369999999997</v>
      </c>
      <c r="K2607">
        <v>1.121027</v>
      </c>
      <c r="L2607">
        <v>283.9975</v>
      </c>
      <c r="M2607">
        <v>-0.99979600000000002</v>
      </c>
      <c r="N2607">
        <v>-1.443174E-2</v>
      </c>
      <c r="O2607">
        <v>1.413405E-2</v>
      </c>
      <c r="P2607">
        <v>-0.99911419999999995</v>
      </c>
      <c r="Q2607">
        <v>-4.0283109999999997E-2</v>
      </c>
      <c r="R2607">
        <v>-1.21777E-2</v>
      </c>
      <c r="S2607">
        <v>-3.0037229999999999</v>
      </c>
      <c r="T2607">
        <v>-1.045537E-2</v>
      </c>
      <c r="U2607">
        <v>0.12350460000000001</v>
      </c>
      <c r="V2607">
        <v>-2.6296050000000001E-2</v>
      </c>
      <c r="W2607">
        <v>-2.586716E-2</v>
      </c>
      <c r="X2607">
        <v>0.99931950000000003</v>
      </c>
      <c r="Y2607">
        <v>2.6954789999999999E-2</v>
      </c>
      <c r="Z2607">
        <v>3.9624289999999997E-4</v>
      </c>
      <c r="AA2607">
        <v>0.99963659999999999</v>
      </c>
      <c r="AB2607">
        <v>37</v>
      </c>
      <c r="AC2607">
        <v>-3.0037229999999999</v>
      </c>
      <c r="AD2607">
        <v>-1.045537E-2</v>
      </c>
      <c r="AE2607">
        <v>0.12350460000000001</v>
      </c>
      <c r="AF2607">
        <v>8.1032089321626297E-2</v>
      </c>
      <c r="AG2607">
        <v>-1.045537E-2</v>
      </c>
      <c r="AH2607">
        <v>3.0051323468182298</v>
      </c>
      <c r="AI2607">
        <v>90.199268594167805</v>
      </c>
      <c r="AJ2607">
        <v>88.455418451538407</v>
      </c>
      <c r="AK2607">
        <v>3.0062428272105501</v>
      </c>
      <c r="AL2607">
        <v>91.482244383769697</v>
      </c>
      <c r="AM2607">
        <v>91.507330818238401</v>
      </c>
      <c r="AN2607">
        <v>1.00000002764615</v>
      </c>
    </row>
    <row r="2608" spans="1:40" x14ac:dyDescent="0.25">
      <c r="A2608" t="str">
        <f>"20190303153823497"</f>
        <v>20190303153823497</v>
      </c>
      <c r="B2608" t="str">
        <f>"1551598703490934"</f>
        <v>1551598703490934</v>
      </c>
      <c r="C2608" t="s">
        <v>40</v>
      </c>
      <c r="D2608">
        <v>4.222842</v>
      </c>
      <c r="E2608">
        <v>0.52017860000000005</v>
      </c>
      <c r="F2608" t="s">
        <v>46</v>
      </c>
      <c r="G2608">
        <v>0</v>
      </c>
      <c r="H2608">
        <v>0</v>
      </c>
      <c r="I2608">
        <v>0</v>
      </c>
      <c r="J2608">
        <v>-341.00799999999998</v>
      </c>
      <c r="K2608">
        <v>1.1210329999999999</v>
      </c>
      <c r="L2608">
        <v>284.00009999999997</v>
      </c>
      <c r="M2608">
        <v>-0.99979629999999997</v>
      </c>
      <c r="N2608">
        <v>-1.445666E-2</v>
      </c>
      <c r="O2608">
        <v>1.4086019999999999E-2</v>
      </c>
      <c r="P2608">
        <v>-0.99911019999999995</v>
      </c>
      <c r="Q2608">
        <v>-4.0390389999999998E-2</v>
      </c>
      <c r="R2608">
        <v>-1.214815E-2</v>
      </c>
      <c r="S2608">
        <v>-3.003784</v>
      </c>
      <c r="T2608">
        <v>-1.034641E-2</v>
      </c>
      <c r="U2608">
        <v>0.1231384</v>
      </c>
      <c r="V2608">
        <v>-2.621832E-2</v>
      </c>
      <c r="W2608">
        <v>-2.5949900000000001E-2</v>
      </c>
      <c r="X2608">
        <v>0.99931939999999997</v>
      </c>
      <c r="Y2608">
        <v>2.6880319999999999E-2</v>
      </c>
      <c r="Z2608">
        <v>3.9575919999999999E-4</v>
      </c>
      <c r="AA2608">
        <v>0.99963860000000004</v>
      </c>
      <c r="AB2608">
        <v>37</v>
      </c>
      <c r="AC2608">
        <v>-3.003784</v>
      </c>
      <c r="AD2608">
        <v>-1.034641E-2</v>
      </c>
      <c r="AE2608">
        <v>0.1231384</v>
      </c>
      <c r="AF2608">
        <v>8.08094408758607E-2</v>
      </c>
      <c r="AG2608">
        <v>-1.034641E-2</v>
      </c>
      <c r="AH2608">
        <v>3.0051850402063098</v>
      </c>
      <c r="AI2608">
        <v>90.197188883209805</v>
      </c>
      <c r="AJ2608">
        <v>88.459687381091101</v>
      </c>
      <c r="AK2608">
        <v>3.0062891311073798</v>
      </c>
      <c r="AL2608">
        <v>91.486986624206295</v>
      </c>
      <c r="AM2608">
        <v>91.5028774095248</v>
      </c>
      <c r="AN2608">
        <v>1.0000000304149901</v>
      </c>
    </row>
    <row r="2609" spans="1:40" x14ac:dyDescent="0.25">
      <c r="A2609" t="str">
        <f>"20190303153823508"</f>
        <v>20190303153823508</v>
      </c>
      <c r="B2609" t="str">
        <f>"1551598703501669"</f>
        <v>1551598703501669</v>
      </c>
      <c r="C2609" t="s">
        <v>40</v>
      </c>
      <c r="D2609">
        <v>3.97689</v>
      </c>
      <c r="E2609">
        <v>0.52007729999999996</v>
      </c>
      <c r="F2609" t="s">
        <v>46</v>
      </c>
      <c r="G2609">
        <v>0</v>
      </c>
      <c r="H2609">
        <v>0</v>
      </c>
      <c r="I2609">
        <v>0</v>
      </c>
      <c r="J2609">
        <v>-341.19720000000001</v>
      </c>
      <c r="K2609">
        <v>1.1210420000000001</v>
      </c>
      <c r="L2609">
        <v>284.0027</v>
      </c>
      <c r="M2609">
        <v>-0.99979660000000004</v>
      </c>
      <c r="N2609">
        <v>-1.4480989999999999E-2</v>
      </c>
      <c r="O2609">
        <v>1.4035199999999999E-2</v>
      </c>
      <c r="P2609">
        <v>-0.99910209999999999</v>
      </c>
      <c r="Q2609">
        <v>-4.0447690000000001E-2</v>
      </c>
      <c r="R2609">
        <v>-1.2610639999999999E-2</v>
      </c>
      <c r="S2609">
        <v>-3.0037539999999998</v>
      </c>
      <c r="T2609">
        <v>-1.021969E-2</v>
      </c>
      <c r="U2609">
        <v>0.1230164</v>
      </c>
      <c r="V2609">
        <v>-2.6629529999999998E-2</v>
      </c>
      <c r="W2609">
        <v>-2.598346E-2</v>
      </c>
      <c r="X2609">
        <v>0.99930759999999996</v>
      </c>
      <c r="Y2609">
        <v>2.6891000000000002E-2</v>
      </c>
      <c r="Z2609">
        <v>3.9598859999999999E-4</v>
      </c>
      <c r="AA2609">
        <v>0.99963829999999998</v>
      </c>
      <c r="AB2609">
        <v>37</v>
      </c>
      <c r="AC2609">
        <v>-3.0037539999999998</v>
      </c>
      <c r="AD2609">
        <v>-1.021969E-2</v>
      </c>
      <c r="AE2609">
        <v>0.1230164</v>
      </c>
      <c r="AF2609">
        <v>8.0840635689685997E-2</v>
      </c>
      <c r="AG2609">
        <v>-1.021969E-2</v>
      </c>
      <c r="AH2609">
        <v>3.0051500858192899</v>
      </c>
      <c r="AI2609">
        <v>90.194775995936496</v>
      </c>
      <c r="AJ2609">
        <v>88.459075147457696</v>
      </c>
      <c r="AK2609">
        <v>3.0062545947976602</v>
      </c>
      <c r="AL2609">
        <v>91.488910200518603</v>
      </c>
      <c r="AM2609">
        <v>91.526455596179304</v>
      </c>
      <c r="AN2609">
        <v>0.99999997573967503</v>
      </c>
    </row>
    <row r="2610" spans="1:40" x14ac:dyDescent="0.25">
      <c r="A2610" t="str">
        <f>"20190303153823519"</f>
        <v>20190303153823519</v>
      </c>
      <c r="B2610" t="str">
        <f>"1551598703511429"</f>
        <v>1551598703511429</v>
      </c>
      <c r="C2610" t="s">
        <v>40</v>
      </c>
      <c r="D2610">
        <v>3.978542</v>
      </c>
      <c r="E2610">
        <v>0.52007729999999996</v>
      </c>
      <c r="F2610" t="s">
        <v>46</v>
      </c>
      <c r="G2610">
        <v>0</v>
      </c>
      <c r="H2610">
        <v>0</v>
      </c>
      <c r="I2610">
        <v>0</v>
      </c>
      <c r="J2610">
        <v>-341.37400000000002</v>
      </c>
      <c r="K2610">
        <v>1.121051</v>
      </c>
      <c r="L2610">
        <v>284.00510000000003</v>
      </c>
      <c r="M2610">
        <v>-0.99979720000000005</v>
      </c>
      <c r="N2610">
        <v>-1.4500890000000001E-2</v>
      </c>
      <c r="O2610">
        <v>1.3984440000000001E-2</v>
      </c>
      <c r="P2610">
        <v>-0.99909619999999999</v>
      </c>
      <c r="Q2610">
        <v>-4.0525430000000001E-2</v>
      </c>
      <c r="R2610">
        <v>-1.283698E-2</v>
      </c>
      <c r="S2610">
        <v>-3.0038149999999999</v>
      </c>
      <c r="T2610">
        <v>-9.7912550000000004E-3</v>
      </c>
      <c r="U2610">
        <v>0.1208191</v>
      </c>
      <c r="V2610">
        <v>-2.680484E-2</v>
      </c>
      <c r="W2610">
        <v>-2.6041709999999999E-2</v>
      </c>
      <c r="X2610">
        <v>0.99930140000000001</v>
      </c>
      <c r="Y2610">
        <v>2.621097E-2</v>
      </c>
      <c r="Z2610">
        <v>3.900078E-4</v>
      </c>
      <c r="AA2610">
        <v>0.9996564</v>
      </c>
      <c r="AB2610">
        <v>37</v>
      </c>
      <c r="AC2610">
        <v>-3.0038149999999999</v>
      </c>
      <c r="AD2610">
        <v>-9.7912550000000004E-3</v>
      </c>
      <c r="AE2610">
        <v>0.1208191</v>
      </c>
      <c r="AF2610">
        <v>7.8795365207990298E-2</v>
      </c>
      <c r="AG2610">
        <v>-9.7912550000000004E-3</v>
      </c>
      <c r="AH2610">
        <v>3.0051790903827</v>
      </c>
      <c r="AI2610">
        <v>90.186612128452495</v>
      </c>
      <c r="AJ2610">
        <v>88.498056992366998</v>
      </c>
      <c r="AK2610">
        <v>3.0062278595485998</v>
      </c>
      <c r="AL2610">
        <v>91.492248804512798</v>
      </c>
      <c r="AM2610">
        <v>91.536509427653399</v>
      </c>
      <c r="AN2610">
        <v>0.99999997907455396</v>
      </c>
    </row>
    <row r="2611" spans="1:40" x14ac:dyDescent="0.25">
      <c r="A2611" t="str">
        <f>"20190303153823532"</f>
        <v>20190303153823532</v>
      </c>
      <c r="B2611" t="str">
        <f>"1551598703521190"</f>
        <v>1551598703521190</v>
      </c>
      <c r="C2611" t="s">
        <v>40</v>
      </c>
      <c r="D2611">
        <v>3.9782459999999999</v>
      </c>
      <c r="E2611">
        <v>0.4982663</v>
      </c>
      <c r="F2611" t="s">
        <v>46</v>
      </c>
      <c r="G2611">
        <v>0</v>
      </c>
      <c r="H2611">
        <v>0</v>
      </c>
      <c r="I2611">
        <v>0</v>
      </c>
      <c r="J2611">
        <v>-341.58260000000001</v>
      </c>
      <c r="K2611">
        <v>1.1210610000000001</v>
      </c>
      <c r="L2611">
        <v>284.00799999999998</v>
      </c>
      <c r="M2611">
        <v>-0.99979750000000001</v>
      </c>
      <c r="N2611">
        <v>-1.4523390000000001E-2</v>
      </c>
      <c r="O2611">
        <v>1.3924300000000001E-2</v>
      </c>
      <c r="P2611">
        <v>-0.99911039999999995</v>
      </c>
      <c r="Q2611">
        <v>-4.0044240000000002E-2</v>
      </c>
      <c r="R2611">
        <v>-1.3212649999999999E-2</v>
      </c>
      <c r="S2611">
        <v>-3.0038450000000001</v>
      </c>
      <c r="T2611">
        <v>-9.9642280000000003E-3</v>
      </c>
      <c r="U2611">
        <v>0.12011719999999999</v>
      </c>
      <c r="V2611">
        <v>-2.7120160000000001E-2</v>
      </c>
      <c r="W2611">
        <v>-2.553828E-2</v>
      </c>
      <c r="X2611">
        <v>0.99930589999999997</v>
      </c>
      <c r="Y2611">
        <v>2.6037459999999998E-2</v>
      </c>
      <c r="Z2611">
        <v>3.8834489999999998E-4</v>
      </c>
      <c r="AA2611">
        <v>0.99966089999999996</v>
      </c>
      <c r="AB2611">
        <v>36</v>
      </c>
      <c r="AC2611">
        <v>-3.0038450000000001</v>
      </c>
      <c r="AD2611">
        <v>-9.9642280000000003E-3</v>
      </c>
      <c r="AE2611">
        <v>0.12011719999999999</v>
      </c>
      <c r="AF2611">
        <v>7.8273838687843197E-2</v>
      </c>
      <c r="AG2611">
        <v>-9.9642280000000003E-3</v>
      </c>
      <c r="AH2611">
        <v>3.00519343196587</v>
      </c>
      <c r="AI2611">
        <v>90.189908762517305</v>
      </c>
      <c r="AJ2611">
        <v>88.508000580541307</v>
      </c>
      <c r="AK2611">
        <v>3.0062291401676902</v>
      </c>
      <c r="AL2611">
        <v>91.463394769696507</v>
      </c>
      <c r="AM2611">
        <v>91.554568413857794</v>
      </c>
      <c r="AN2611">
        <v>0.99999999429929698</v>
      </c>
    </row>
    <row r="2612" spans="1:40" x14ac:dyDescent="0.25">
      <c r="A2612" t="str">
        <f>"20190303153823546"</f>
        <v>20190303153823546</v>
      </c>
      <c r="B2612" t="str">
        <f>"1551598703541686"</f>
        <v>1551598703541686</v>
      </c>
      <c r="C2612" t="s">
        <v>40</v>
      </c>
      <c r="D2612">
        <v>3.988715</v>
      </c>
      <c r="E2612">
        <v>0.4959421</v>
      </c>
      <c r="F2612" t="s">
        <v>46</v>
      </c>
      <c r="G2612">
        <v>0</v>
      </c>
      <c r="H2612">
        <v>0</v>
      </c>
      <c r="I2612">
        <v>0</v>
      </c>
      <c r="J2612">
        <v>-341.8134</v>
      </c>
      <c r="K2612">
        <v>1.1210789999999999</v>
      </c>
      <c r="L2612">
        <v>284.0111</v>
      </c>
      <c r="M2612">
        <v>-0.99979830000000003</v>
      </c>
      <c r="N2612">
        <v>-1.454569E-2</v>
      </c>
      <c r="O2612">
        <v>1.385521E-2</v>
      </c>
      <c r="P2612">
        <v>-0.99912089999999998</v>
      </c>
      <c r="Q2612">
        <v>-3.9713989999999998E-2</v>
      </c>
      <c r="R2612">
        <v>-1.343915E-2</v>
      </c>
      <c r="S2612">
        <v>-3.0029300000000001</v>
      </c>
      <c r="T2612">
        <v>2.5064349999999999E-2</v>
      </c>
      <c r="U2612">
        <v>-5.5480960000000003E-2</v>
      </c>
      <c r="V2612">
        <v>-2.7278130000000001E-2</v>
      </c>
      <c r="W2612">
        <v>-2.5185949999999999E-2</v>
      </c>
      <c r="X2612">
        <v>0.99931060000000005</v>
      </c>
      <c r="Y2612">
        <v>-3.2322199999999898E-2</v>
      </c>
      <c r="Z2612">
        <v>2.169223E-4</v>
      </c>
      <c r="AA2612">
        <v>0.99947750000000002</v>
      </c>
      <c r="AB2612">
        <v>36</v>
      </c>
      <c r="AC2612">
        <v>-3.0029300000000001</v>
      </c>
      <c r="AD2612">
        <v>2.5064349999999999E-2</v>
      </c>
      <c r="AE2612">
        <v>-5.5480960000000003E-2</v>
      </c>
      <c r="AF2612">
        <v>-9.7079496592739706E-2</v>
      </c>
      <c r="AG2612">
        <v>2.5064349999999999E-2</v>
      </c>
      <c r="AH2612">
        <v>3.0016638687772002</v>
      </c>
      <c r="AI2612">
        <v>89.521832646774996</v>
      </c>
      <c r="AJ2612">
        <v>91.852408372552702</v>
      </c>
      <c r="AK2612">
        <v>3.00333791495764</v>
      </c>
      <c r="AL2612">
        <v>91.443201168734802</v>
      </c>
      <c r="AM2612">
        <v>91.563611659496203</v>
      </c>
      <c r="AN2612">
        <v>1.0000000518630201</v>
      </c>
    </row>
    <row r="2613" spans="1:40" x14ac:dyDescent="0.25">
      <c r="A2613" t="str">
        <f>"20190303153823561"</f>
        <v>20190303153823561</v>
      </c>
      <c r="B2613" t="str">
        <f>"1551598703551445"</f>
        <v>1551598703551445</v>
      </c>
      <c r="C2613" t="s">
        <v>40</v>
      </c>
      <c r="D2613">
        <v>3.9547089999999998</v>
      </c>
      <c r="E2613">
        <v>0.49540109999999898</v>
      </c>
      <c r="F2613" t="s">
        <v>59</v>
      </c>
      <c r="G2613">
        <v>-551.06309999999996</v>
      </c>
      <c r="H2613">
        <v>3.8114599999999998</v>
      </c>
      <c r="I2613">
        <v>278.80160000000001</v>
      </c>
      <c r="J2613">
        <v>-342.0514</v>
      </c>
      <c r="K2613">
        <v>1.1210929999999999</v>
      </c>
      <c r="L2613">
        <v>284.01429999999999</v>
      </c>
      <c r="M2613">
        <v>-0.99979910000000005</v>
      </c>
      <c r="N2613">
        <v>-1.456607E-2</v>
      </c>
      <c r="O2613">
        <v>1.3782529999999999E-2</v>
      </c>
      <c r="P2613">
        <v>-0.99914579999999997</v>
      </c>
      <c r="Q2613">
        <v>-3.879196E-2</v>
      </c>
      <c r="R2613">
        <v>-1.425789E-2</v>
      </c>
      <c r="S2613">
        <v>-3.0032040000000002</v>
      </c>
      <c r="T2613">
        <v>3.861415E-2</v>
      </c>
      <c r="U2613">
        <v>-7.4768070000000006E-2</v>
      </c>
      <c r="V2613">
        <v>-2.8024509999999999E-2</v>
      </c>
      <c r="W2613">
        <v>-2.424376E-2</v>
      </c>
      <c r="X2613">
        <v>0.99931320000000001</v>
      </c>
      <c r="Y2613">
        <v>-3.8660989999999999E-2</v>
      </c>
      <c r="Z2613">
        <v>3.447646E-4</v>
      </c>
      <c r="AA2613">
        <v>0.99925229999999998</v>
      </c>
      <c r="AB2613">
        <v>36</v>
      </c>
      <c r="AC2613">
        <v>-209.01169999999999</v>
      </c>
      <c r="AD2613">
        <v>2.6903670000000002</v>
      </c>
      <c r="AE2613">
        <v>-5.2126999999999803</v>
      </c>
      <c r="AF2613">
        <v>-8.0918800519944103</v>
      </c>
      <c r="AG2613">
        <v>2.6903670000000002</v>
      </c>
      <c r="AH2613">
        <v>208.885403752619</v>
      </c>
      <c r="AI2613">
        <v>89.262645272610101</v>
      </c>
      <c r="AJ2613">
        <v>92.218435841308704</v>
      </c>
      <c r="AK2613">
        <v>209.059389883031</v>
      </c>
      <c r="AL2613">
        <v>91.389201233024593</v>
      </c>
      <c r="AM2613">
        <v>91.606368666174802</v>
      </c>
      <c r="AN2613">
        <v>1.00000000237695</v>
      </c>
    </row>
    <row r="2614" spans="1:40" x14ac:dyDescent="0.25">
      <c r="A2614" t="str">
        <f>"20190303153823582"</f>
        <v>20190303153823582</v>
      </c>
      <c r="B2614" t="str">
        <f>"1551598703570966"</f>
        <v>1551598703570966</v>
      </c>
      <c r="C2614" t="s">
        <v>40</v>
      </c>
      <c r="D2614">
        <v>3.9691580000000002</v>
      </c>
      <c r="E2614">
        <v>0.49506990000000001</v>
      </c>
      <c r="F2614" t="s">
        <v>59</v>
      </c>
      <c r="G2614">
        <v>-551.06320000000005</v>
      </c>
      <c r="H2614">
        <v>3.9741040000000001</v>
      </c>
      <c r="I2614">
        <v>278.33249999999998</v>
      </c>
      <c r="J2614">
        <v>-342.40159999999997</v>
      </c>
      <c r="K2614">
        <v>1.1211089999999999</v>
      </c>
      <c r="L2614">
        <v>284.01900000000001</v>
      </c>
      <c r="M2614">
        <v>-0.99980009999999997</v>
      </c>
      <c r="N2614">
        <v>-1.4592580000000001E-2</v>
      </c>
      <c r="O2614">
        <v>1.3674270000000001E-2</v>
      </c>
      <c r="P2614">
        <v>-0.99914040000000004</v>
      </c>
      <c r="Q2614">
        <v>-3.8526409999999997E-2</v>
      </c>
      <c r="R2614">
        <v>-1.531004E-2</v>
      </c>
      <c r="S2614">
        <v>-3.0030209999999999</v>
      </c>
      <c r="T2614">
        <v>4.0992380000000002E-2</v>
      </c>
      <c r="U2614">
        <v>-8.1634520000000002E-2</v>
      </c>
      <c r="V2614">
        <v>-2.8968190000000001E-2</v>
      </c>
      <c r="W2614">
        <v>-2.395243E-2</v>
      </c>
      <c r="X2614">
        <v>0.99929330000000005</v>
      </c>
      <c r="Y2614">
        <v>-4.0837030000000003E-2</v>
      </c>
      <c r="Z2614">
        <v>3.6674009999999998E-4</v>
      </c>
      <c r="AA2614">
        <v>0.99916579999999999</v>
      </c>
      <c r="AB2614">
        <v>36</v>
      </c>
      <c r="AC2614">
        <v>-208.66159999999999</v>
      </c>
      <c r="AD2614">
        <v>2.8529949999999999</v>
      </c>
      <c r="AE2614">
        <v>-5.6865000000000201</v>
      </c>
      <c r="AF2614">
        <v>-8.5379719165339498</v>
      </c>
      <c r="AG2614">
        <v>2.8529949999999999</v>
      </c>
      <c r="AH2614">
        <v>208.525365440017</v>
      </c>
      <c r="AI2614">
        <v>89.216797674481199</v>
      </c>
      <c r="AJ2614">
        <v>92.344638801985496</v>
      </c>
      <c r="AK2614">
        <v>208.71958359677299</v>
      </c>
      <c r="AL2614">
        <v>91.372504425641793</v>
      </c>
      <c r="AM2614">
        <v>91.660463789800303</v>
      </c>
      <c r="AN2614">
        <v>0.99999998717983496</v>
      </c>
    </row>
    <row r="2615" spans="1:40" x14ac:dyDescent="0.25">
      <c r="A2615" t="str">
        <f>"20190303153823595"</f>
        <v>20190303153823595</v>
      </c>
      <c r="B2615" t="str">
        <f>"1551598703591462"</f>
        <v>1551598703591462</v>
      </c>
      <c r="C2615" t="s">
        <v>40</v>
      </c>
      <c r="D2615">
        <v>3.9670779999999999</v>
      </c>
      <c r="E2615">
        <v>0.49484739999999999</v>
      </c>
      <c r="F2615" t="s">
        <v>59</v>
      </c>
      <c r="G2615">
        <v>-511.95979999999997</v>
      </c>
      <c r="H2615">
        <v>3.5060600000000002</v>
      </c>
      <c r="I2615">
        <v>279.09410000000003</v>
      </c>
      <c r="J2615">
        <v>-342.60649999999998</v>
      </c>
      <c r="K2615">
        <v>1.121116</v>
      </c>
      <c r="L2615">
        <v>284.02179999999998</v>
      </c>
      <c r="M2615">
        <v>-0.99980080000000005</v>
      </c>
      <c r="N2615">
        <v>-1.460621E-2</v>
      </c>
      <c r="O2615">
        <v>1.361072E-2</v>
      </c>
      <c r="P2615">
        <v>-0.99913580000000002</v>
      </c>
      <c r="Q2615">
        <v>-3.8518690000000001E-2</v>
      </c>
      <c r="R2615">
        <v>-1.562354E-2</v>
      </c>
      <c r="S2615">
        <v>-3.0028380000000001</v>
      </c>
      <c r="T2615">
        <v>4.2238350000000001E-2</v>
      </c>
      <c r="U2615">
        <v>-8.7219240000000003E-2</v>
      </c>
      <c r="V2615">
        <v>-2.921789E-2</v>
      </c>
      <c r="W2615">
        <v>-2.393137E-2</v>
      </c>
      <c r="X2615">
        <v>0.99928649999999997</v>
      </c>
      <c r="Y2615">
        <v>-4.2631670000000003E-2</v>
      </c>
      <c r="Z2615">
        <v>3.7847839999999999E-4</v>
      </c>
      <c r="AA2615">
        <v>0.99909079999999995</v>
      </c>
      <c r="AB2615">
        <v>36</v>
      </c>
      <c r="AC2615">
        <v>-169.35329999999999</v>
      </c>
      <c r="AD2615">
        <v>2.384944</v>
      </c>
      <c r="AE2615">
        <v>-4.92769999999995</v>
      </c>
      <c r="AF2615">
        <v>-7.23107658331402</v>
      </c>
      <c r="AG2615">
        <v>2.384944</v>
      </c>
      <c r="AH2615">
        <v>169.23699785871599</v>
      </c>
      <c r="AI2615">
        <v>89.193358169366704</v>
      </c>
      <c r="AJ2615">
        <v>92.446618194915899</v>
      </c>
      <c r="AK2615">
        <v>169.408198947595</v>
      </c>
      <c r="AL2615">
        <v>91.371297478333105</v>
      </c>
      <c r="AM2615">
        <v>91.674779928930505</v>
      </c>
      <c r="AN2615">
        <v>0.99999995232418804</v>
      </c>
    </row>
    <row r="2616" spans="1:40" x14ac:dyDescent="0.25">
      <c r="A2616" t="str">
        <f>"20190303153823608"</f>
        <v>20190303153823608</v>
      </c>
      <c r="B2616" t="str">
        <f>"1551598703601222"</f>
        <v>1551598703601222</v>
      </c>
      <c r="C2616" t="s">
        <v>40</v>
      </c>
      <c r="D2616">
        <v>3.9345870000000001</v>
      </c>
      <c r="E2616">
        <v>0.49492989999999998</v>
      </c>
      <c r="F2616" t="s">
        <v>59</v>
      </c>
      <c r="G2616">
        <v>-511.95979999999997</v>
      </c>
      <c r="H2616">
        <v>3.643427</v>
      </c>
      <c r="I2616">
        <v>278.94630000000001</v>
      </c>
      <c r="J2616">
        <v>-342.81199999999899</v>
      </c>
      <c r="K2616">
        <v>1.121124</v>
      </c>
      <c r="L2616">
        <v>284.02449999999999</v>
      </c>
      <c r="M2616">
        <v>-0.99980150000000001</v>
      </c>
      <c r="N2616">
        <v>-1.461875E-2</v>
      </c>
      <c r="O2616">
        <v>1.354676E-2</v>
      </c>
      <c r="P2616">
        <v>-0.99912999999999996</v>
      </c>
      <c r="Q2616">
        <v>-3.8513409999999998E-2</v>
      </c>
      <c r="R2616">
        <v>-1.6002510000000001E-2</v>
      </c>
      <c r="S2616">
        <v>-3.0028990000000002</v>
      </c>
      <c r="T2616">
        <v>4.4725889999999997E-2</v>
      </c>
      <c r="U2616">
        <v>-8.9996339999999994E-2</v>
      </c>
      <c r="V2616">
        <v>-2.9532389999999999E-2</v>
      </c>
      <c r="W2616">
        <v>-2.391387E-2</v>
      </c>
      <c r="X2616">
        <v>0.99927770000000005</v>
      </c>
      <c r="Y2616">
        <v>-4.3489769999999997E-2</v>
      </c>
      <c r="Z2616">
        <v>4.0550470000000002E-4</v>
      </c>
      <c r="AA2616">
        <v>0.99905379999999999</v>
      </c>
      <c r="AB2616">
        <v>36</v>
      </c>
      <c r="AC2616">
        <v>-169.14779999999999</v>
      </c>
      <c r="AD2616">
        <v>2.5223029999999902</v>
      </c>
      <c r="AE2616">
        <v>-5.0781999999999803</v>
      </c>
      <c r="AF2616">
        <v>-7.3677463165555999</v>
      </c>
      <c r="AG2616">
        <v>2.5223029999999902</v>
      </c>
      <c r="AH2616">
        <v>169.025923717018</v>
      </c>
      <c r="AI2616">
        <v>89.145873490192201</v>
      </c>
      <c r="AJ2616">
        <v>92.495911290724493</v>
      </c>
      <c r="AK2616">
        <v>169.20522623902599</v>
      </c>
      <c r="AL2616">
        <v>91.370294479264501</v>
      </c>
      <c r="AM2616">
        <v>91.692811647351903</v>
      </c>
      <c r="AN2616">
        <v>0.99999997847738897</v>
      </c>
    </row>
    <row r="2617" spans="1:40" x14ac:dyDescent="0.25">
      <c r="A2617" t="str">
        <f>"20190303153823620"</f>
        <v>20190303153823620</v>
      </c>
      <c r="B2617" t="str">
        <f>"1551598703610981"</f>
        <v>1551598703610981</v>
      </c>
      <c r="C2617" t="s">
        <v>40</v>
      </c>
      <c r="D2617">
        <v>3.9543919999999999</v>
      </c>
      <c r="E2617">
        <v>0.49472189999999999</v>
      </c>
      <c r="F2617" t="s">
        <v>59</v>
      </c>
      <c r="G2617">
        <v>-511.95979999999997</v>
      </c>
      <c r="H2617">
        <v>3.6347119999999999</v>
      </c>
      <c r="I2617">
        <v>278.93279999999999</v>
      </c>
      <c r="J2617">
        <v>-343.0127</v>
      </c>
      <c r="K2617">
        <v>1.12113</v>
      </c>
      <c r="L2617">
        <v>284.02719999999999</v>
      </c>
      <c r="M2617">
        <v>-0.99980210000000003</v>
      </c>
      <c r="N2617">
        <v>-1.4629329999999999E-2</v>
      </c>
      <c r="O2617">
        <v>1.348455E-2</v>
      </c>
      <c r="P2617">
        <v>-0.99912069999999997</v>
      </c>
      <c r="Q2617">
        <v>-3.8504400000000001E-2</v>
      </c>
      <c r="R2617">
        <v>-1.6589639999999999E-2</v>
      </c>
      <c r="S2617">
        <v>-3.002869</v>
      </c>
      <c r="T2617">
        <v>4.4624919999999998E-2</v>
      </c>
      <c r="U2617">
        <v>-9.0393070000000006E-2</v>
      </c>
      <c r="V2617">
        <v>-3.0057009999999999E-2</v>
      </c>
      <c r="W2617">
        <v>-2.3894720000000001E-2</v>
      </c>
      <c r="X2617">
        <v>0.99926250000000005</v>
      </c>
      <c r="Y2617">
        <v>-4.3559830000000001E-2</v>
      </c>
      <c r="Z2617">
        <v>4.0240870000000001E-4</v>
      </c>
      <c r="AA2617">
        <v>0.99905069999999996</v>
      </c>
      <c r="AB2617">
        <v>36</v>
      </c>
      <c r="AC2617">
        <v>-168.94709999999901</v>
      </c>
      <c r="AD2617">
        <v>2.513582</v>
      </c>
      <c r="AE2617">
        <v>-5.0944000000000003</v>
      </c>
      <c r="AF2617">
        <v>-7.3707260062250199</v>
      </c>
      <c r="AG2617">
        <v>2.513582</v>
      </c>
      <c r="AH2617">
        <v>168.82569682812601</v>
      </c>
      <c r="AI2617">
        <v>89.147819475273394</v>
      </c>
      <c r="AJ2617">
        <v>92.499877004668093</v>
      </c>
      <c r="AK2617">
        <v>169.00521177121101</v>
      </c>
      <c r="AL2617">
        <v>91.369196973052595</v>
      </c>
      <c r="AM2617">
        <v>91.722891358733804</v>
      </c>
      <c r="AN2617">
        <v>0.99999996270013303</v>
      </c>
    </row>
    <row r="2618" spans="1:40" x14ac:dyDescent="0.25">
      <c r="A2618" t="str">
        <f>"20190303153823632"</f>
        <v>20190303153823632</v>
      </c>
      <c r="B2618" t="str">
        <f>"1551598703620742"</f>
        <v>1551598703620742</v>
      </c>
      <c r="C2618" t="s">
        <v>40</v>
      </c>
      <c r="D2618">
        <v>3.9495800000000001</v>
      </c>
      <c r="E2618">
        <v>0.49470399999999998</v>
      </c>
      <c r="F2618" t="s">
        <v>59</v>
      </c>
      <c r="G2618">
        <v>-511.95979999999997</v>
      </c>
      <c r="H2618">
        <v>3.5971570000000002</v>
      </c>
      <c r="I2618">
        <v>278.74740000000003</v>
      </c>
      <c r="J2618">
        <v>-343.202</v>
      </c>
      <c r="K2618">
        <v>1.1211359999999999</v>
      </c>
      <c r="L2618">
        <v>284.02969999999999</v>
      </c>
      <c r="M2618">
        <v>-0.99980279999999999</v>
      </c>
      <c r="N2618">
        <v>-1.463879E-2</v>
      </c>
      <c r="O2618">
        <v>1.3425869999999999E-2</v>
      </c>
      <c r="P2618">
        <v>-0.9991196</v>
      </c>
      <c r="Q2618">
        <v>-3.8442150000000001E-2</v>
      </c>
      <c r="R2618">
        <v>-1.6806080000000001E-2</v>
      </c>
      <c r="S2618">
        <v>-3.0028079999999999</v>
      </c>
      <c r="T2618">
        <v>4.4009449999999999E-2</v>
      </c>
      <c r="U2618">
        <v>-9.3841549999999996E-2</v>
      </c>
      <c r="V2618">
        <v>-3.021478E-2</v>
      </c>
      <c r="W2618">
        <v>-2.3823179999999999E-2</v>
      </c>
      <c r="X2618">
        <v>0.99925949999999997</v>
      </c>
      <c r="Y2618">
        <v>-4.4648210000000001E-2</v>
      </c>
      <c r="Z2618">
        <v>3.9338410000000002E-4</v>
      </c>
      <c r="AA2618">
        <v>0.99900270000000002</v>
      </c>
      <c r="AB2618">
        <v>36</v>
      </c>
      <c r="AC2618">
        <v>-168.75779999999901</v>
      </c>
      <c r="AD2618">
        <v>2.4760209999999998</v>
      </c>
      <c r="AE2618">
        <v>-5.2822999999999602</v>
      </c>
      <c r="AF2618">
        <v>-7.54616381239458</v>
      </c>
      <c r="AG2618">
        <v>2.4760209999999998</v>
      </c>
      <c r="AH2618">
        <v>168.63539296388299</v>
      </c>
      <c r="AI2618">
        <v>89.159645173333999</v>
      </c>
      <c r="AJ2618">
        <v>92.562185112633898</v>
      </c>
      <c r="AK2618">
        <v>168.82230607463899</v>
      </c>
      <c r="AL2618">
        <v>91.365096797559502</v>
      </c>
      <c r="AM2618">
        <v>91.731934561726405</v>
      </c>
      <c r="AN2618">
        <v>1.000000012588</v>
      </c>
    </row>
    <row r="2619" spans="1:40" x14ac:dyDescent="0.25">
      <c r="A2619" t="str">
        <f>"20190303153823644"</f>
        <v>20190303153823644</v>
      </c>
      <c r="B2619" t="str">
        <f>"1551598703641238"</f>
        <v>1551598703641238</v>
      </c>
      <c r="C2619" t="s">
        <v>40</v>
      </c>
      <c r="D2619">
        <v>3.9655339999999999</v>
      </c>
      <c r="E2619">
        <v>0.49460100000000001</v>
      </c>
      <c r="F2619" t="s">
        <v>59</v>
      </c>
      <c r="G2619">
        <v>-511.95979999999997</v>
      </c>
      <c r="H2619">
        <v>3.5482680000000002</v>
      </c>
      <c r="I2619">
        <v>278.70589999999999</v>
      </c>
      <c r="J2619">
        <v>-343.40379999999999</v>
      </c>
      <c r="K2619">
        <v>1.12114</v>
      </c>
      <c r="L2619">
        <v>284.03230000000002</v>
      </c>
      <c r="M2619">
        <v>-0.99980349999999996</v>
      </c>
      <c r="N2619">
        <v>-1.464771E-2</v>
      </c>
      <c r="O2619">
        <v>1.3363979999999999E-2</v>
      </c>
      <c r="P2619">
        <v>-0.99911539999999999</v>
      </c>
      <c r="Q2619">
        <v>-3.8481069999999999E-2</v>
      </c>
      <c r="R2619">
        <v>-1.6964960000000001E-2</v>
      </c>
      <c r="S2619">
        <v>-3.0027159999999999</v>
      </c>
      <c r="T2619">
        <v>4.3187499999999997E-2</v>
      </c>
      <c r="U2619">
        <v>-9.4726560000000001E-2</v>
      </c>
      <c r="V2619">
        <v>-3.031149E-2</v>
      </c>
      <c r="W2619">
        <v>-2.3853360000000001E-2</v>
      </c>
      <c r="X2619">
        <v>0.99925580000000003</v>
      </c>
      <c r="Y2619">
        <v>-4.488168E-2</v>
      </c>
      <c r="Z2619">
        <v>3.8170599999999999E-4</v>
      </c>
      <c r="AA2619">
        <v>0.99899230000000006</v>
      </c>
      <c r="AB2619">
        <v>36</v>
      </c>
      <c r="AC2619">
        <v>-168.55599999999899</v>
      </c>
      <c r="AD2619">
        <v>2.42712799999999</v>
      </c>
      <c r="AE2619">
        <v>-5.3264000000000298</v>
      </c>
      <c r="AF2619">
        <v>-7.5771751949831598</v>
      </c>
      <c r="AG2619">
        <v>2.42712799999999</v>
      </c>
      <c r="AH2619">
        <v>168.43486529845001</v>
      </c>
      <c r="AI2619">
        <v>89.175265197344103</v>
      </c>
      <c r="AJ2619">
        <v>92.575759205676206</v>
      </c>
      <c r="AK2619">
        <v>168.62268050998</v>
      </c>
      <c r="AL2619">
        <v>91.366826545501794</v>
      </c>
      <c r="AM2619">
        <v>91.737481090802305</v>
      </c>
      <c r="AN2619">
        <v>0.99999996152147397</v>
      </c>
    </row>
    <row r="2620" spans="1:40" x14ac:dyDescent="0.25">
      <c r="A2620" t="str">
        <f>"20190303153823656"</f>
        <v>20190303153823656</v>
      </c>
      <c r="B2620" t="str">
        <f>"1551598703650997"</f>
        <v>1551598703650997</v>
      </c>
      <c r="C2620" t="s">
        <v>40</v>
      </c>
      <c r="D2620">
        <v>3.947333</v>
      </c>
      <c r="E2620">
        <v>0.49459320000000001</v>
      </c>
      <c r="F2620" t="s">
        <v>59</v>
      </c>
      <c r="G2620">
        <v>-511.95979999999997</v>
      </c>
      <c r="H2620">
        <v>3.5991050000000002</v>
      </c>
      <c r="I2620">
        <v>278.65320000000003</v>
      </c>
      <c r="J2620">
        <v>-343.60059999999999</v>
      </c>
      <c r="K2620">
        <v>1.1211450000000001</v>
      </c>
      <c r="L2620">
        <v>284.03489999999999</v>
      </c>
      <c r="M2620">
        <v>-0.99980409999999997</v>
      </c>
      <c r="N2620">
        <v>-1.46556E-2</v>
      </c>
      <c r="O2620">
        <v>1.330364E-2</v>
      </c>
      <c r="P2620">
        <v>-0.99911459999999996</v>
      </c>
      <c r="Q2620">
        <v>-3.8573099999999999E-2</v>
      </c>
      <c r="R2620">
        <v>-1.6790579999999999E-2</v>
      </c>
      <c r="S2620">
        <v>-3.0027159999999999</v>
      </c>
      <c r="T2620">
        <v>4.4144750000000003E-2</v>
      </c>
      <c r="U2620">
        <v>-9.5825199999999999E-2</v>
      </c>
      <c r="V2620">
        <v>-3.0077469999999999E-2</v>
      </c>
      <c r="W2620">
        <v>-2.3937449999999999E-2</v>
      </c>
      <c r="X2620">
        <v>0.99926090000000001</v>
      </c>
      <c r="Y2620">
        <v>-4.5186339999999998E-2</v>
      </c>
      <c r="Z2620">
        <v>3.9127219999999998E-4</v>
      </c>
      <c r="AA2620">
        <v>0.99897849999999999</v>
      </c>
      <c r="AB2620">
        <v>36</v>
      </c>
      <c r="AC2620">
        <v>-168.35919999999999</v>
      </c>
      <c r="AD2620">
        <v>2.4779599999999999</v>
      </c>
      <c r="AE2620">
        <v>-5.3816999999999604</v>
      </c>
      <c r="AF2620">
        <v>-7.6196054469504304</v>
      </c>
      <c r="AG2620">
        <v>2.4779599999999999</v>
      </c>
      <c r="AH2620">
        <v>168.236286056523</v>
      </c>
      <c r="AI2620">
        <v>89.157012880987494</v>
      </c>
      <c r="AJ2620">
        <v>92.593216364553399</v>
      </c>
      <c r="AK2620">
        <v>168.42697711180699</v>
      </c>
      <c r="AL2620">
        <v>91.371645869744597</v>
      </c>
      <c r="AM2620">
        <v>91.724066193280095</v>
      </c>
      <c r="AN2620">
        <v>1.00000000099145</v>
      </c>
    </row>
    <row r="2621" spans="1:40" x14ac:dyDescent="0.25">
      <c r="A2621" t="str">
        <f>"20190303153823672"</f>
        <v>20190303153823672</v>
      </c>
      <c r="B2621" t="str">
        <f>"1551598703660758"</f>
        <v>1551598703660758</v>
      </c>
      <c r="C2621" t="s">
        <v>40</v>
      </c>
      <c r="D2621">
        <v>3.971876</v>
      </c>
      <c r="E2621">
        <v>0.49459140000000001</v>
      </c>
      <c r="F2621" t="s">
        <v>59</v>
      </c>
      <c r="G2621">
        <v>-511.95979999999997</v>
      </c>
      <c r="H2621">
        <v>3.5779809999999999</v>
      </c>
      <c r="I2621">
        <v>278.68270000000001</v>
      </c>
      <c r="J2621">
        <v>-343.84750000000003</v>
      </c>
      <c r="K2621">
        <v>1.1211530000000001</v>
      </c>
      <c r="L2621">
        <v>284.03820000000002</v>
      </c>
      <c r="M2621">
        <v>-0.99980500000000005</v>
      </c>
      <c r="N2621">
        <v>-1.46646E-2</v>
      </c>
      <c r="O2621">
        <v>1.322751E-2</v>
      </c>
      <c r="P2621">
        <v>-0.99911070000000002</v>
      </c>
      <c r="Q2621">
        <v>-3.885214E-2</v>
      </c>
      <c r="R2621">
        <v>-1.639065E-2</v>
      </c>
      <c r="S2621">
        <v>-3.002777</v>
      </c>
      <c r="T2621">
        <v>4.3820379999999999E-2</v>
      </c>
      <c r="U2621">
        <v>-9.5458979999999999E-2</v>
      </c>
      <c r="V2621">
        <v>-2.9601269999999999E-2</v>
      </c>
      <c r="W2621">
        <v>-2.4207380000000001E-2</v>
      </c>
      <c r="X2621">
        <v>0.99926859999999995</v>
      </c>
      <c r="Y2621">
        <v>-4.4988029999999998E-2</v>
      </c>
      <c r="Z2621">
        <v>3.8508539999999999E-4</v>
      </c>
      <c r="AA2621">
        <v>0.99898739999999997</v>
      </c>
      <c r="AB2621">
        <v>36</v>
      </c>
      <c r="AC2621">
        <v>-168.11229999999901</v>
      </c>
      <c r="AD2621">
        <v>2.4568279999999998</v>
      </c>
      <c r="AE2621">
        <v>-5.3555000000000001</v>
      </c>
      <c r="AF2621">
        <v>-7.5773608770717296</v>
      </c>
      <c r="AG2621">
        <v>2.4568279999999998</v>
      </c>
      <c r="AH2621">
        <v>167.990899302418</v>
      </c>
      <c r="AI2621">
        <v>89.162973150451293</v>
      </c>
      <c r="AJ2621">
        <v>92.582620413567994</v>
      </c>
      <c r="AK2621">
        <v>168.179649928635</v>
      </c>
      <c r="AL2621">
        <v>91.3871162265783</v>
      </c>
      <c r="AM2621">
        <v>91.696773021535805</v>
      </c>
      <c r="AN2621">
        <v>0.99999998368901799</v>
      </c>
    </row>
    <row r="2622" spans="1:40" x14ac:dyDescent="0.25">
      <c r="A2622" t="str">
        <f>"20190303153823684"</f>
        <v>20190303153823684</v>
      </c>
      <c r="B2622" t="str">
        <f>"1551598703681253"</f>
        <v>1551598703681253</v>
      </c>
      <c r="C2622" t="s">
        <v>40</v>
      </c>
      <c r="D2622">
        <v>3.9423330000000001</v>
      </c>
      <c r="E2622">
        <v>0.49462729999999999</v>
      </c>
      <c r="F2622" t="s">
        <v>59</v>
      </c>
      <c r="G2622">
        <v>-511.95979999999997</v>
      </c>
      <c r="H2622">
        <v>3.5087269999999902</v>
      </c>
      <c r="I2622">
        <v>278.76049999999998</v>
      </c>
      <c r="J2622">
        <v>-344.05180000000001</v>
      </c>
      <c r="K2622">
        <v>1.1211580000000001</v>
      </c>
      <c r="L2622">
        <v>284.04079999999999</v>
      </c>
      <c r="M2622">
        <v>-0.99980570000000002</v>
      </c>
      <c r="N2622">
        <v>-1.467104E-2</v>
      </c>
      <c r="O2622">
        <v>1.316499E-2</v>
      </c>
      <c r="P2622">
        <v>-0.99911249999999996</v>
      </c>
      <c r="Q2622">
        <v>-3.8983400000000001E-2</v>
      </c>
      <c r="R2622">
        <v>-1.5963439999999999E-2</v>
      </c>
      <c r="S2622">
        <v>-3.002777</v>
      </c>
      <c r="T2622">
        <v>4.2647600000000001E-2</v>
      </c>
      <c r="U2622">
        <v>-9.42688E-2</v>
      </c>
      <c r="V2622">
        <v>-2.911087E-2</v>
      </c>
      <c r="W2622">
        <v>-2.4331990000000001E-2</v>
      </c>
      <c r="X2622">
        <v>0.99927999999999995</v>
      </c>
      <c r="Y2622">
        <v>-4.453029E-2</v>
      </c>
      <c r="Z2622">
        <v>3.6939170000000002E-4</v>
      </c>
      <c r="AA2622">
        <v>0.99900789999999995</v>
      </c>
      <c r="AB2622">
        <v>36</v>
      </c>
      <c r="AC2622">
        <v>-167.90799999999899</v>
      </c>
      <c r="AD2622">
        <v>2.3875689999999898</v>
      </c>
      <c r="AE2622">
        <v>-5.2803000000000102</v>
      </c>
      <c r="AF2622">
        <v>-7.4890746260434398</v>
      </c>
      <c r="AG2622">
        <v>2.3875689999999898</v>
      </c>
      <c r="AH2622">
        <v>167.79003032167299</v>
      </c>
      <c r="AI2622">
        <v>89.185575183246996</v>
      </c>
      <c r="AJ2622">
        <v>92.555621259075494</v>
      </c>
      <c r="AK2622">
        <v>167.974048590347</v>
      </c>
      <c r="AL2622">
        <v>91.394257929846901</v>
      </c>
      <c r="AM2622">
        <v>91.668659826547596</v>
      </c>
      <c r="AN2622">
        <v>1.00000000344475</v>
      </c>
    </row>
    <row r="2623" spans="1:40" x14ac:dyDescent="0.25">
      <c r="A2623" t="str">
        <f>"20190303153823695"</f>
        <v>20190303153823695</v>
      </c>
      <c r="B2623" t="str">
        <f>"1551598703691014"</f>
        <v>1551598703691014</v>
      </c>
      <c r="C2623" t="s">
        <v>40</v>
      </c>
      <c r="D2623">
        <v>3.9458039999999999</v>
      </c>
      <c r="E2623">
        <v>0.49460090000000001</v>
      </c>
      <c r="F2623" t="s">
        <v>59</v>
      </c>
      <c r="G2623">
        <v>-511.95979999999997</v>
      </c>
      <c r="H2623">
        <v>3.520594</v>
      </c>
      <c r="I2623">
        <v>278.86180000000002</v>
      </c>
      <c r="J2623">
        <v>-344.23599999999999</v>
      </c>
      <c r="K2623">
        <v>1.1211610000000001</v>
      </c>
      <c r="L2623">
        <v>284.04320000000001</v>
      </c>
      <c r="M2623">
        <v>-0.99980639999999998</v>
      </c>
      <c r="N2623">
        <v>-1.467628E-2</v>
      </c>
      <c r="O2623">
        <v>1.310856E-2</v>
      </c>
      <c r="P2623">
        <v>-0.99912789999999996</v>
      </c>
      <c r="Q2623">
        <v>-3.8773309999999998E-2</v>
      </c>
      <c r="R2623">
        <v>-1.549991E-2</v>
      </c>
      <c r="S2623">
        <v>-3.002869</v>
      </c>
      <c r="T2623">
        <v>4.291296E-2</v>
      </c>
      <c r="U2623">
        <v>-9.2620850000000005E-2</v>
      </c>
      <c r="V2623">
        <v>-2.8591640000000001E-2</v>
      </c>
      <c r="W2623">
        <v>-2.4116249999999999E-2</v>
      </c>
      <c r="X2623">
        <v>0.99930019999999997</v>
      </c>
      <c r="Y2623">
        <v>-4.3925180000000001E-2</v>
      </c>
      <c r="Z2623">
        <v>3.7095180000000001E-4</v>
      </c>
      <c r="AA2623">
        <v>0.9990348</v>
      </c>
      <c r="AB2623">
        <v>36</v>
      </c>
      <c r="AC2623">
        <v>-167.72379999999899</v>
      </c>
      <c r="AD2623">
        <v>2.3994330000000001</v>
      </c>
      <c r="AE2623">
        <v>-5.1813999999999902</v>
      </c>
      <c r="AF2623">
        <v>-7.37830037434962</v>
      </c>
      <c r="AG2623">
        <v>2.3994330000000001</v>
      </c>
      <c r="AH2623">
        <v>167.60718853623899</v>
      </c>
      <c r="AI2623">
        <v>89.180613863532201</v>
      </c>
      <c r="AJ2623">
        <v>92.5206121241944</v>
      </c>
      <c r="AK2623">
        <v>167.78666885112801</v>
      </c>
      <c r="AL2623">
        <v>91.381893338903794</v>
      </c>
      <c r="AM2623">
        <v>91.638880389625001</v>
      </c>
      <c r="AN2623">
        <v>0.99999998255599498</v>
      </c>
    </row>
    <row r="2624" spans="1:40" x14ac:dyDescent="0.25">
      <c r="A2624" t="str">
        <f>"20190303153823717"</f>
        <v>20190303153823717</v>
      </c>
      <c r="B2624" t="str">
        <f>"1551598703711513"</f>
        <v>1551598703711513</v>
      </c>
      <c r="C2624" t="s">
        <v>40</v>
      </c>
      <c r="D2624">
        <v>3.9387460000000001</v>
      </c>
      <c r="E2624">
        <v>0.49466310000000002</v>
      </c>
      <c r="F2624" t="s">
        <v>59</v>
      </c>
      <c r="G2624">
        <v>-511.95979999999997</v>
      </c>
      <c r="H2624">
        <v>3.5290170000000001</v>
      </c>
      <c r="I2624">
        <v>278.92950000000002</v>
      </c>
      <c r="J2624">
        <v>-344.57429999999999</v>
      </c>
      <c r="K2624">
        <v>1.121173</v>
      </c>
      <c r="L2624">
        <v>284.04750000000001</v>
      </c>
      <c r="M2624">
        <v>-0.99980769999999997</v>
      </c>
      <c r="N2624">
        <v>-1.4684610000000001E-2</v>
      </c>
      <c r="O2624">
        <v>1.3004480000000001E-2</v>
      </c>
      <c r="P2624">
        <v>-0.99914780000000003</v>
      </c>
      <c r="Q2624">
        <v>-3.8534190000000003E-2</v>
      </c>
      <c r="R2624">
        <v>-1.480393E-2</v>
      </c>
      <c r="S2624">
        <v>-3.0028380000000001</v>
      </c>
      <c r="T2624">
        <v>4.3110370000000002E-2</v>
      </c>
      <c r="U2624">
        <v>-9.1552729999999999E-2</v>
      </c>
      <c r="V2624">
        <v>-2.779175E-2</v>
      </c>
      <c r="W2624">
        <v>-2.3868219999999999E-2</v>
      </c>
      <c r="X2624">
        <v>0.99932869999999996</v>
      </c>
      <c r="Y2624">
        <v>-4.3466459999999998E-2</v>
      </c>
      <c r="Z2624">
        <v>3.7024840000000002E-4</v>
      </c>
      <c r="AA2624">
        <v>0.99905480000000002</v>
      </c>
      <c r="AB2624">
        <v>36</v>
      </c>
      <c r="AC2624">
        <v>-167.38549999999901</v>
      </c>
      <c r="AD2624">
        <v>2.4078439999999999</v>
      </c>
      <c r="AE2624">
        <v>-5.1179999999999897</v>
      </c>
      <c r="AF2624">
        <v>-7.2930552981822698</v>
      </c>
      <c r="AG2624">
        <v>2.4078439999999999</v>
      </c>
      <c r="AH2624">
        <v>167.27019772810701</v>
      </c>
      <c r="AI2624">
        <v>89.176070474807304</v>
      </c>
      <c r="AJ2624">
        <v>92.496540393902706</v>
      </c>
      <c r="AK2624">
        <v>167.446425510701</v>
      </c>
      <c r="AL2624">
        <v>91.367678202681006</v>
      </c>
      <c r="AM2624">
        <v>91.593009039518606</v>
      </c>
      <c r="AN2624">
        <v>0.99999996196885899</v>
      </c>
    </row>
    <row r="2625" spans="1:40" x14ac:dyDescent="0.25">
      <c r="A2625" t="str">
        <f>"20190303153823728"</f>
        <v>20190303153823728</v>
      </c>
      <c r="B2625" t="str">
        <f>"1551598703721270"</f>
        <v>1551598703721270</v>
      </c>
      <c r="C2625" t="s">
        <v>40</v>
      </c>
      <c r="D2625">
        <v>3.9453999999999998</v>
      </c>
      <c r="E2625">
        <v>0.4946161</v>
      </c>
      <c r="F2625" t="s">
        <v>59</v>
      </c>
      <c r="G2625">
        <v>-511.95979999999997</v>
      </c>
      <c r="H2625">
        <v>3.5710099999999998</v>
      </c>
      <c r="I2625">
        <v>279.09399999999999</v>
      </c>
      <c r="J2625">
        <v>-344.75409999999999</v>
      </c>
      <c r="K2625">
        <v>1.1211739999999999</v>
      </c>
      <c r="L2625">
        <v>284.0498</v>
      </c>
      <c r="M2625">
        <v>-0.99980829999999998</v>
      </c>
      <c r="N2625">
        <v>-1.46884999999999E-2</v>
      </c>
      <c r="O2625">
        <v>1.294932E-2</v>
      </c>
      <c r="P2625">
        <v>-0.99917040000000001</v>
      </c>
      <c r="Q2625">
        <v>-3.7952949999999999E-2</v>
      </c>
      <c r="R2625">
        <v>-1.4777449999999999E-2</v>
      </c>
      <c r="S2625">
        <v>-3.0029300000000001</v>
      </c>
      <c r="T2625">
        <v>4.3951990000000003E-2</v>
      </c>
      <c r="U2625">
        <v>-8.8867189999999999E-2</v>
      </c>
      <c r="V2625">
        <v>-2.7711119999999999E-2</v>
      </c>
      <c r="W2625">
        <v>-2.3282799999999999E-2</v>
      </c>
      <c r="X2625">
        <v>0.99934480000000003</v>
      </c>
      <c r="Y2625">
        <v>-4.2517569999999998E-2</v>
      </c>
      <c r="Z2625">
        <v>3.7835549999999999E-4</v>
      </c>
      <c r="AA2625">
        <v>0.99909559999999997</v>
      </c>
      <c r="AB2625">
        <v>36</v>
      </c>
      <c r="AC2625">
        <v>-167.20569999999901</v>
      </c>
      <c r="AD2625">
        <v>2.4498359999999999</v>
      </c>
      <c r="AE2625">
        <v>-4.9558000000000098</v>
      </c>
      <c r="AF2625">
        <v>-7.1192910742281104</v>
      </c>
      <c r="AG2625">
        <v>2.4498359999999999</v>
      </c>
      <c r="AH2625">
        <v>167.09165816562199</v>
      </c>
      <c r="AI2625">
        <v>89.160771987242697</v>
      </c>
      <c r="AJ2625">
        <v>92.439731416302394</v>
      </c>
      <c r="AK2625">
        <v>167.26119762324899</v>
      </c>
      <c r="AL2625">
        <v>91.334126713450999</v>
      </c>
      <c r="AM2625">
        <v>91.588364163057904</v>
      </c>
      <c r="AN2625">
        <v>1.0000000121172601</v>
      </c>
    </row>
    <row r="2626" spans="1:40" x14ac:dyDescent="0.25">
      <c r="A2626" t="str">
        <f>"20190303153823739"</f>
        <v>20190303153823739</v>
      </c>
      <c r="B2626" t="str">
        <f>"1551598703731030"</f>
        <v>1551598703731030</v>
      </c>
      <c r="C2626" t="s">
        <v>40</v>
      </c>
      <c r="D2626">
        <v>4.01457</v>
      </c>
      <c r="E2626">
        <v>0.49467630000000001</v>
      </c>
      <c r="F2626" t="s">
        <v>59</v>
      </c>
      <c r="G2626">
        <v>-511.95979999999997</v>
      </c>
      <c r="H2626">
        <v>3.7118220000000002</v>
      </c>
      <c r="I2626">
        <v>279.07260000000002</v>
      </c>
      <c r="J2626">
        <v>-344.93720000000002</v>
      </c>
      <c r="K2626">
        <v>1.121181</v>
      </c>
      <c r="L2626">
        <v>284.0521</v>
      </c>
      <c r="M2626">
        <v>-0.99980899999999995</v>
      </c>
      <c r="N2626">
        <v>-1.469179E-2</v>
      </c>
      <c r="O2626">
        <v>1.289302E-2</v>
      </c>
      <c r="P2626">
        <v>-0.99915690000000001</v>
      </c>
      <c r="Q2626">
        <v>-3.8263129999999999E-2</v>
      </c>
      <c r="R2626">
        <v>-1.488747E-2</v>
      </c>
      <c r="S2626">
        <v>-3.0028990000000002</v>
      </c>
      <c r="T2626">
        <v>4.6527619999999999E-2</v>
      </c>
      <c r="U2626">
        <v>-8.9385989999999999E-2</v>
      </c>
      <c r="V2626">
        <v>-2.776429E-2</v>
      </c>
      <c r="W2626">
        <v>-2.3589869999999999E-2</v>
      </c>
      <c r="X2626">
        <v>0.99933609999999995</v>
      </c>
      <c r="Y2626">
        <v>-4.2633490000000003E-2</v>
      </c>
      <c r="Z2626">
        <v>4.0600469999999998E-4</v>
      </c>
      <c r="AA2626">
        <v>0.9990907</v>
      </c>
      <c r="AB2626">
        <v>36</v>
      </c>
      <c r="AC2626">
        <v>-167.02259999999899</v>
      </c>
      <c r="AD2626">
        <v>2.5906410000000002</v>
      </c>
      <c r="AE2626">
        <v>-4.9794999999999696</v>
      </c>
      <c r="AF2626">
        <v>-7.1310299880515302</v>
      </c>
      <c r="AG2626">
        <v>2.5906410000000002</v>
      </c>
      <c r="AH2626">
        <v>166.90438801552199</v>
      </c>
      <c r="AI2626">
        <v>89.111553516170403</v>
      </c>
      <c r="AJ2626">
        <v>92.446487994522798</v>
      </c>
      <c r="AK2626">
        <v>167.07674209272</v>
      </c>
      <c r="AL2626">
        <v>91.351725393015002</v>
      </c>
      <c r="AM2626">
        <v>91.591424077658999</v>
      </c>
      <c r="AN2626">
        <v>0.99999998926451505</v>
      </c>
    </row>
    <row r="2627" spans="1:40" x14ac:dyDescent="0.25">
      <c r="A2627" t="str">
        <f>"20190303153823753"</f>
        <v>20190303153823753</v>
      </c>
      <c r="B2627" t="str">
        <f>"1551598703741768"</f>
        <v>1551598703741768</v>
      </c>
      <c r="C2627" t="s">
        <v>40</v>
      </c>
      <c r="D2627">
        <v>3.9578950000000002</v>
      </c>
      <c r="E2627">
        <v>0.4947068</v>
      </c>
      <c r="F2627" t="s">
        <v>59</v>
      </c>
      <c r="G2627">
        <v>-511.95979999999997</v>
      </c>
      <c r="H2627">
        <v>3.6309049999999998</v>
      </c>
      <c r="I2627">
        <v>279.08390000000003</v>
      </c>
      <c r="J2627">
        <v>-345.15480000000002</v>
      </c>
      <c r="K2627">
        <v>1.1211850000000001</v>
      </c>
      <c r="L2627">
        <v>284.05489999999998</v>
      </c>
      <c r="M2627">
        <v>-0.99980970000000002</v>
      </c>
      <c r="N2627">
        <v>-1.4695420000000001E-2</v>
      </c>
      <c r="O2627">
        <v>1.282636E-2</v>
      </c>
      <c r="P2627">
        <v>-0.99912820000000002</v>
      </c>
      <c r="Q2627">
        <v>-3.8948389999999999E-2</v>
      </c>
      <c r="R2627">
        <v>-1.5031600000000001E-2</v>
      </c>
      <c r="S2627">
        <v>-3.0029300000000001</v>
      </c>
      <c r="T2627">
        <v>4.5124169999999998E-2</v>
      </c>
      <c r="U2627">
        <v>-8.932495E-2</v>
      </c>
      <c r="V2627">
        <v>-2.7841029999999999E-2</v>
      </c>
      <c r="W2627">
        <v>-2.4271890000000001E-2</v>
      </c>
      <c r="X2627">
        <v>0.99931760000000003</v>
      </c>
      <c r="Y2627">
        <v>-4.2546649999999998E-2</v>
      </c>
      <c r="Z2627">
        <v>3.8799359999999998E-4</v>
      </c>
      <c r="AA2627">
        <v>0.99909440000000005</v>
      </c>
      <c r="AB2627">
        <v>36</v>
      </c>
      <c r="AC2627">
        <v>-166.80499999999901</v>
      </c>
      <c r="AD2627">
        <v>2.5097200000000002</v>
      </c>
      <c r="AE2627">
        <v>-4.9709999999999397</v>
      </c>
      <c r="AF2627">
        <v>-7.1087153043788804</v>
      </c>
      <c r="AG2627">
        <v>2.5097200000000002</v>
      </c>
      <c r="AH2627">
        <v>166.68980747580201</v>
      </c>
      <c r="AI2627">
        <v>89.138189987811202</v>
      </c>
      <c r="AJ2627">
        <v>92.441977345485</v>
      </c>
      <c r="AK2627">
        <v>166.86019430672201</v>
      </c>
      <c r="AL2627">
        <v>91.390813501347097</v>
      </c>
      <c r="AM2627">
        <v>91.595850001487506</v>
      </c>
      <c r="AN2627">
        <v>0.99999995663269503</v>
      </c>
    </row>
    <row r="2628" spans="1:40" x14ac:dyDescent="0.25">
      <c r="A2628" t="str">
        <f>"20190303153823767"</f>
        <v>20190303153823767</v>
      </c>
      <c r="B2628" t="str">
        <f>"1551598703761286"</f>
        <v>1551598703761286</v>
      </c>
      <c r="C2628" t="s">
        <v>40</v>
      </c>
      <c r="D2628">
        <v>3.938698</v>
      </c>
      <c r="E2628">
        <v>0.4947493</v>
      </c>
      <c r="F2628" t="s">
        <v>59</v>
      </c>
      <c r="G2628">
        <v>-511.95979999999997</v>
      </c>
      <c r="H2628">
        <v>3.5872299999999999</v>
      </c>
      <c r="I2628">
        <v>279.0797</v>
      </c>
      <c r="J2628">
        <v>-345.3802</v>
      </c>
      <c r="K2628">
        <v>1.121186</v>
      </c>
      <c r="L2628">
        <v>284.05770000000001</v>
      </c>
      <c r="M2628">
        <v>-0.99981059999999999</v>
      </c>
      <c r="N2628">
        <v>-1.4698599999999999E-2</v>
      </c>
      <c r="O2628">
        <v>1.2756959999999999E-2</v>
      </c>
      <c r="P2628">
        <v>-0.99911830000000001</v>
      </c>
      <c r="Q2628">
        <v>-3.9048350000000003E-2</v>
      </c>
      <c r="R2628">
        <v>-1.541114E-2</v>
      </c>
      <c r="S2628">
        <v>-3.0030209999999999</v>
      </c>
      <c r="T2628">
        <v>4.4398069999999998E-2</v>
      </c>
      <c r="U2628">
        <v>-8.9569090000000004E-2</v>
      </c>
      <c r="V2628">
        <v>-2.8152119999999999E-2</v>
      </c>
      <c r="W2628">
        <v>-2.4368919999999999E-2</v>
      </c>
      <c r="X2628">
        <v>0.99930660000000004</v>
      </c>
      <c r="Y2628">
        <v>-4.2557739999999997E-2</v>
      </c>
      <c r="Z2628">
        <v>3.7766349999999999E-4</v>
      </c>
      <c r="AA2628">
        <v>0.99909389999999998</v>
      </c>
      <c r="AB2628">
        <v>36</v>
      </c>
      <c r="AC2628">
        <v>-166.579599999999</v>
      </c>
      <c r="AD2628">
        <v>2.4660439999999899</v>
      </c>
      <c r="AE2628">
        <v>-4.9779999999999998</v>
      </c>
      <c r="AF2628">
        <v>-7.1013187735235404</v>
      </c>
      <c r="AG2628">
        <v>2.4660439999999899</v>
      </c>
      <c r="AH2628">
        <v>166.466081047865</v>
      </c>
      <c r="AI2628">
        <v>89.152048171336801</v>
      </c>
      <c r="AJ2628">
        <v>92.442714148907498</v>
      </c>
      <c r="AK2628">
        <v>166.635729184252</v>
      </c>
      <c r="AL2628">
        <v>91.396374448646895</v>
      </c>
      <c r="AM2628">
        <v>91.613690081843998</v>
      </c>
      <c r="AN2628">
        <v>1.0000000334629999</v>
      </c>
    </row>
    <row r="2629" spans="1:40" x14ac:dyDescent="0.25">
      <c r="A2629" t="str">
        <f>"20190303153823781"</f>
        <v>20190303153823781</v>
      </c>
      <c r="B2629" t="str">
        <f>"1551598703771047"</f>
        <v>1551598703771047</v>
      </c>
      <c r="C2629" t="s">
        <v>40</v>
      </c>
      <c r="D2629">
        <v>3.9248560000000001</v>
      </c>
      <c r="E2629">
        <v>0.49469859999999999</v>
      </c>
      <c r="F2629" t="s">
        <v>59</v>
      </c>
      <c r="G2629">
        <v>-511.95979999999997</v>
      </c>
      <c r="H2629">
        <v>3.5390199999999998</v>
      </c>
      <c r="I2629">
        <v>279.05029999999999</v>
      </c>
      <c r="J2629">
        <v>-345.60539999999997</v>
      </c>
      <c r="K2629">
        <v>1.1211869999999999</v>
      </c>
      <c r="L2629">
        <v>284.06049999999999</v>
      </c>
      <c r="M2629">
        <v>-0.99981149999999996</v>
      </c>
      <c r="N2629">
        <v>-1.4701229999999999E-2</v>
      </c>
      <c r="O2629">
        <v>1.2687439999999999E-2</v>
      </c>
      <c r="P2629">
        <v>-0.99911240000000001</v>
      </c>
      <c r="Q2629">
        <v>-3.9075539999999999E-2</v>
      </c>
      <c r="R2629">
        <v>-1.574478E-2</v>
      </c>
      <c r="S2629">
        <v>-3.0030209999999999</v>
      </c>
      <c r="T2629">
        <v>4.3589000000000003E-2</v>
      </c>
      <c r="U2629">
        <v>-9.0271000000000004E-2</v>
      </c>
      <c r="V2629">
        <v>-2.8415619999999999E-2</v>
      </c>
      <c r="W2629">
        <v>-2.4393660000000001E-2</v>
      </c>
      <c r="X2629">
        <v>0.99929849999999998</v>
      </c>
      <c r="Y2629">
        <v>-4.2721809999999999E-2</v>
      </c>
      <c r="Z2629">
        <v>3.6642579999999998E-4</v>
      </c>
      <c r="AA2629">
        <v>0.9990869</v>
      </c>
      <c r="AB2629">
        <v>36</v>
      </c>
      <c r="AC2629">
        <v>-166.3544</v>
      </c>
      <c r="AD2629">
        <v>2.4178329999999999</v>
      </c>
      <c r="AE2629">
        <v>-5.0101999999999904</v>
      </c>
      <c r="AF2629">
        <v>-7.1191335824252704</v>
      </c>
      <c r="AG2629">
        <v>2.4178329999999999</v>
      </c>
      <c r="AH2629">
        <v>166.242348118481</v>
      </c>
      <c r="AI2629">
        <v>89.1675103394834</v>
      </c>
      <c r="AJ2629">
        <v>92.452126322570294</v>
      </c>
      <c r="AK2629">
        <v>166.412278054615</v>
      </c>
      <c r="AL2629">
        <v>91.397792421313198</v>
      </c>
      <c r="AM2629">
        <v>91.628799097722805</v>
      </c>
      <c r="AN2629">
        <v>0.99999999510521398</v>
      </c>
    </row>
    <row r="2630" spans="1:40" x14ac:dyDescent="0.25">
      <c r="A2630" t="str">
        <f>"20190303153823795"</f>
        <v>20190303153823795</v>
      </c>
      <c r="B2630" t="str">
        <f>"1551598703780807"</f>
        <v>1551598703780807</v>
      </c>
      <c r="C2630" t="s">
        <v>40</v>
      </c>
      <c r="D2630">
        <v>3.9278089999999999</v>
      </c>
      <c r="E2630">
        <v>0.49468869999999998</v>
      </c>
      <c r="F2630" t="s">
        <v>59</v>
      </c>
      <c r="G2630">
        <v>-511.95979999999997</v>
      </c>
      <c r="H2630">
        <v>3.5189490000000001</v>
      </c>
      <c r="I2630">
        <v>278.9853</v>
      </c>
      <c r="J2630">
        <v>-345.83580000000001</v>
      </c>
      <c r="K2630">
        <v>1.1211930000000001</v>
      </c>
      <c r="L2630">
        <v>284.0634</v>
      </c>
      <c r="M2630">
        <v>-0.99981240000000005</v>
      </c>
      <c r="N2630">
        <v>-1.4703529999999999E-2</v>
      </c>
      <c r="O2630">
        <v>1.2615899999999999E-2</v>
      </c>
      <c r="P2630">
        <v>-0.9990753</v>
      </c>
      <c r="Q2630">
        <v>-3.9643440000000002E-2</v>
      </c>
      <c r="R2630">
        <v>-1.665755E-2</v>
      </c>
      <c r="S2630">
        <v>-3.0028990000000002</v>
      </c>
      <c r="T2630">
        <v>4.328394E-2</v>
      </c>
      <c r="U2630">
        <v>-9.1613769999999997E-2</v>
      </c>
      <c r="V2630">
        <v>-2.9255750000000001E-2</v>
      </c>
      <c r="W2630">
        <v>-2.4960070000000001E-2</v>
      </c>
      <c r="X2630">
        <v>0.99926020000000004</v>
      </c>
      <c r="Y2630">
        <v>-4.3097969999999999E-2</v>
      </c>
      <c r="Z2630">
        <v>3.608231E-4</v>
      </c>
      <c r="AA2630">
        <v>0.99907080000000004</v>
      </c>
      <c r="AB2630">
        <v>36</v>
      </c>
      <c r="AC2630">
        <v>-166.123999999999</v>
      </c>
      <c r="AD2630">
        <v>2.3977560000000002</v>
      </c>
      <c r="AE2630">
        <v>-5.0781000000000001</v>
      </c>
      <c r="AF2630">
        <v>-7.1722331644148598</v>
      </c>
      <c r="AG2630">
        <v>2.3977560000000002</v>
      </c>
      <c r="AH2630">
        <v>166.012152170203</v>
      </c>
      <c r="AI2630">
        <v>89.173290990764301</v>
      </c>
      <c r="AJ2630">
        <v>92.473814703400606</v>
      </c>
      <c r="AK2630">
        <v>166.184309820702</v>
      </c>
      <c r="AL2630">
        <v>91.430255309310596</v>
      </c>
      <c r="AM2630">
        <v>91.676992950574103</v>
      </c>
      <c r="AN2630">
        <v>0.99999992565325102</v>
      </c>
    </row>
    <row r="2631" spans="1:40" x14ac:dyDescent="0.25">
      <c r="A2631" t="str">
        <f>"20190303153823808"</f>
        <v>20190303153823808</v>
      </c>
      <c r="B2631" t="str">
        <f>"1551598703801302"</f>
        <v>1551598703801302</v>
      </c>
      <c r="C2631" t="s">
        <v>40</v>
      </c>
      <c r="D2631">
        <v>3.915902</v>
      </c>
      <c r="E2631">
        <v>0.49462089999999997</v>
      </c>
      <c r="F2631" t="s">
        <v>59</v>
      </c>
      <c r="G2631">
        <v>-511.95979999999997</v>
      </c>
      <c r="H2631">
        <v>3.4556879999999999</v>
      </c>
      <c r="I2631">
        <v>278.85669999999999</v>
      </c>
      <c r="J2631">
        <v>-346.04300000000001</v>
      </c>
      <c r="K2631">
        <v>1.1211960000000001</v>
      </c>
      <c r="L2631">
        <v>284.0659</v>
      </c>
      <c r="M2631">
        <v>-0.99981330000000002</v>
      </c>
      <c r="N2631">
        <v>-1.4705269999999999E-2</v>
      </c>
      <c r="O2631">
        <v>1.255121E-2</v>
      </c>
      <c r="P2631">
        <v>-0.99906830000000002</v>
      </c>
      <c r="Q2631">
        <v>-3.953479E-2</v>
      </c>
      <c r="R2631">
        <v>-1.7318819999999999E-2</v>
      </c>
      <c r="S2631">
        <v>-3.0028990000000002</v>
      </c>
      <c r="T2631">
        <v>4.2200330000000001E-2</v>
      </c>
      <c r="U2631">
        <v>-9.4116210000000006E-2</v>
      </c>
      <c r="V2631">
        <v>-2.9852859999999998E-2</v>
      </c>
      <c r="W2631">
        <v>-2.485006E-2</v>
      </c>
      <c r="X2631">
        <v>0.9992453</v>
      </c>
      <c r="Y2631">
        <v>-4.3865359999999999E-2</v>
      </c>
      <c r="Z2631">
        <v>3.4635900000000002E-4</v>
      </c>
      <c r="AA2631">
        <v>0.99903739999999996</v>
      </c>
      <c r="AB2631">
        <v>36</v>
      </c>
      <c r="AC2631">
        <v>-165.916799999999</v>
      </c>
      <c r="AD2631">
        <v>2.334492</v>
      </c>
      <c r="AE2631">
        <v>-5.2092000000000098</v>
      </c>
      <c r="AF2631">
        <v>-7.2900291501611996</v>
      </c>
      <c r="AG2631">
        <v>2.334492</v>
      </c>
      <c r="AH2631">
        <v>165.80554661648199</v>
      </c>
      <c r="AI2631">
        <v>89.194124487080302</v>
      </c>
      <c r="AJ2631">
        <v>92.517521730459606</v>
      </c>
      <c r="AK2631">
        <v>165.98214863863799</v>
      </c>
      <c r="AL2631">
        <v>91.423950218087199</v>
      </c>
      <c r="AM2631">
        <v>91.711225739273203</v>
      </c>
      <c r="AN2631">
        <v>0.999999944152135</v>
      </c>
    </row>
    <row r="2632" spans="1:40" x14ac:dyDescent="0.25">
      <c r="A2632" t="str">
        <f>"20190303153823822"</f>
        <v>20190303153823822</v>
      </c>
      <c r="B2632" t="str">
        <f>"1551598703811062"</f>
        <v>1551598703811062</v>
      </c>
      <c r="C2632" t="s">
        <v>40</v>
      </c>
      <c r="D2632">
        <v>3.9538959999999999</v>
      </c>
      <c r="E2632">
        <v>0.49455650000000001</v>
      </c>
      <c r="F2632" t="s">
        <v>59</v>
      </c>
      <c r="G2632">
        <v>-511.95979999999997</v>
      </c>
      <c r="H2632">
        <v>3.503517</v>
      </c>
      <c r="I2632">
        <v>278.72570000000002</v>
      </c>
      <c r="J2632">
        <v>-346.26240000000001</v>
      </c>
      <c r="K2632">
        <v>1.1211979999999999</v>
      </c>
      <c r="L2632">
        <v>284.0686</v>
      </c>
      <c r="M2632">
        <v>-0.99981399999999998</v>
      </c>
      <c r="N2632">
        <v>-1.470663E-2</v>
      </c>
      <c r="O2632">
        <v>1.248169E-2</v>
      </c>
      <c r="P2632">
        <v>-0.99906349999999999</v>
      </c>
      <c r="Q2632">
        <v>-3.9489459999999997E-2</v>
      </c>
      <c r="R2632">
        <v>-1.7680129999999999E-2</v>
      </c>
      <c r="S2632">
        <v>-3.0028380000000001</v>
      </c>
      <c r="T2632">
        <v>4.3117759999999998E-2</v>
      </c>
      <c r="U2632">
        <v>-9.6649170000000006E-2</v>
      </c>
      <c r="V2632">
        <v>-3.0144500000000001E-2</v>
      </c>
      <c r="W2632">
        <v>-2.480361E-2</v>
      </c>
      <c r="X2632">
        <v>0.99923779999999995</v>
      </c>
      <c r="Y2632">
        <v>-4.4638209999999998E-2</v>
      </c>
      <c r="Z2632">
        <v>3.547154E-4</v>
      </c>
      <c r="AA2632">
        <v>0.99900319999999998</v>
      </c>
      <c r="AB2632">
        <v>36</v>
      </c>
      <c r="AC2632">
        <v>-165.69739999999899</v>
      </c>
      <c r="AD2632">
        <v>2.3823189999999999</v>
      </c>
      <c r="AE2632">
        <v>-5.3428999999999798</v>
      </c>
      <c r="AF2632">
        <v>-7.4093608383980003</v>
      </c>
      <c r="AG2632">
        <v>2.3823189999999999</v>
      </c>
      <c r="AH2632">
        <v>165.58360107947499</v>
      </c>
      <c r="AI2632">
        <v>89.176542928904297</v>
      </c>
      <c r="AJ2632">
        <v>92.562102172995907</v>
      </c>
      <c r="AK2632">
        <v>165.76641100747199</v>
      </c>
      <c r="AL2632">
        <v>91.421287864396305</v>
      </c>
      <c r="AM2632">
        <v>91.727946004209102</v>
      </c>
      <c r="AN2632">
        <v>1.0000000454490601</v>
      </c>
    </row>
    <row r="2633" spans="1:40" x14ac:dyDescent="0.25">
      <c r="A2633" t="str">
        <f>"20190303153823840"</f>
        <v>20190303153823840</v>
      </c>
      <c r="B2633" t="str">
        <f>"1551598703831561"</f>
        <v>1551598703831561</v>
      </c>
      <c r="C2633" t="s">
        <v>40</v>
      </c>
      <c r="D2633">
        <v>3.9463349999999999</v>
      </c>
      <c r="E2633">
        <v>0.4945582</v>
      </c>
      <c r="F2633" t="s">
        <v>59</v>
      </c>
      <c r="G2633">
        <v>-511.95979999999997</v>
      </c>
      <c r="H2633">
        <v>3.518796</v>
      </c>
      <c r="I2633">
        <v>278.62079999999997</v>
      </c>
      <c r="J2633">
        <v>-346.5478</v>
      </c>
      <c r="K2633">
        <v>1.1211930000000001</v>
      </c>
      <c r="L2633">
        <v>284.072</v>
      </c>
      <c r="M2633">
        <v>-0.99981500000000001</v>
      </c>
      <c r="N2633">
        <v>-1.4708010000000001E-2</v>
      </c>
      <c r="O2633">
        <v>1.2390170000000001E-2</v>
      </c>
      <c r="P2633">
        <v>-0.99904110000000002</v>
      </c>
      <c r="Q2633">
        <v>-3.9644909999999998E-2</v>
      </c>
      <c r="R2633">
        <v>-1.8584989999999999E-2</v>
      </c>
      <c r="S2633">
        <v>-3.0027469999999998</v>
      </c>
      <c r="T2633">
        <v>4.345036E-2</v>
      </c>
      <c r="U2633">
        <v>-9.8724370000000006E-2</v>
      </c>
      <c r="V2633">
        <v>-3.0957709999999999E-2</v>
      </c>
      <c r="W2633">
        <v>-2.4958399999999999E-2</v>
      </c>
      <c r="X2633">
        <v>0.99920900000000001</v>
      </c>
      <c r="Y2633">
        <v>-4.5237380000000001E-2</v>
      </c>
      <c r="Z2633">
        <v>3.558147E-4</v>
      </c>
      <c r="AA2633">
        <v>0.99897619999999998</v>
      </c>
      <c r="AB2633">
        <v>36</v>
      </c>
      <c r="AC2633">
        <v>-165.41199999999901</v>
      </c>
      <c r="AD2633">
        <v>2.3976029999999899</v>
      </c>
      <c r="AE2633">
        <v>-5.4512000000000196</v>
      </c>
      <c r="AF2633">
        <v>-7.4989123178692001</v>
      </c>
      <c r="AG2633">
        <v>2.3976029999999899</v>
      </c>
      <c r="AH2633">
        <v>165.29706064382299</v>
      </c>
      <c r="AI2633">
        <v>89.169847401060494</v>
      </c>
      <c r="AJ2633">
        <v>92.597515226823603</v>
      </c>
      <c r="AK2633">
        <v>165.484441696446</v>
      </c>
      <c r="AL2633">
        <v>91.430159541238496</v>
      </c>
      <c r="AM2633">
        <v>91.7745826095626</v>
      </c>
      <c r="AN2633">
        <v>0.99999996361000099</v>
      </c>
    </row>
    <row r="2634" spans="1:40" x14ac:dyDescent="0.25">
      <c r="A2634" t="str">
        <f>"20190303153823852"</f>
        <v>20190303153823852</v>
      </c>
      <c r="B2634" t="str">
        <f>"1551598703841317"</f>
        <v>1551598703841317</v>
      </c>
      <c r="C2634" t="s">
        <v>40</v>
      </c>
      <c r="D2634">
        <v>3.934879</v>
      </c>
      <c r="E2634">
        <v>0.49455880000000002</v>
      </c>
      <c r="F2634" t="s">
        <v>59</v>
      </c>
      <c r="G2634">
        <v>-511.95979999999997</v>
      </c>
      <c r="H2634">
        <v>3.5323669999999998</v>
      </c>
      <c r="I2634">
        <v>278.49079999999998</v>
      </c>
      <c r="J2634">
        <v>-346.74220000000003</v>
      </c>
      <c r="K2634">
        <v>1.1211949999999999</v>
      </c>
      <c r="L2634">
        <v>284.07440000000003</v>
      </c>
      <c r="M2634">
        <v>-0.99981580000000003</v>
      </c>
      <c r="N2634">
        <v>-1.470871E-2</v>
      </c>
      <c r="O2634">
        <v>1.2327329999999999E-2</v>
      </c>
      <c r="P2634">
        <v>-0.99903770000000003</v>
      </c>
      <c r="Q2634">
        <v>-3.9597779999999999E-2</v>
      </c>
      <c r="R2634">
        <v>-1.8859819999999999E-2</v>
      </c>
      <c r="S2634">
        <v>-3.0028079999999999</v>
      </c>
      <c r="T2634">
        <v>4.3772699999999998E-2</v>
      </c>
      <c r="U2634">
        <v>-0.1013184</v>
      </c>
      <c r="V2634">
        <v>-3.1169289999999999E-2</v>
      </c>
      <c r="W2634">
        <v>-2.4910769999999999E-2</v>
      </c>
      <c r="X2634">
        <v>0.99920359999999997</v>
      </c>
      <c r="Y2634">
        <v>-4.6035880000000001E-2</v>
      </c>
      <c r="Z2634">
        <v>3.5764260000000002E-4</v>
      </c>
      <c r="AA2634">
        <v>0.99893980000000004</v>
      </c>
      <c r="AB2634">
        <v>36</v>
      </c>
      <c r="AC2634">
        <v>-165.21759999999901</v>
      </c>
      <c r="AD2634">
        <v>2.4111720000000001</v>
      </c>
      <c r="AE2634">
        <v>-5.5836000000000396</v>
      </c>
      <c r="AF2634">
        <v>-7.6184671789659797</v>
      </c>
      <c r="AG2634">
        <v>2.4111720000000001</v>
      </c>
      <c r="AH2634">
        <v>165.10108147775901</v>
      </c>
      <c r="AI2634">
        <v>89.164188735226304</v>
      </c>
      <c r="AJ2634">
        <v>92.641997197500601</v>
      </c>
      <c r="AK2634">
        <v>165.29434926123801</v>
      </c>
      <c r="AL2634">
        <v>91.427429710019297</v>
      </c>
      <c r="AM2634">
        <v>91.786712782660203</v>
      </c>
      <c r="AN2634">
        <v>0.99999995267702702</v>
      </c>
    </row>
    <row r="2635" spans="1:40" x14ac:dyDescent="0.25">
      <c r="A2635" t="str">
        <f>"20190303153823863"</f>
        <v>20190303153823863</v>
      </c>
      <c r="B2635" t="str">
        <f>"1551598703851078"</f>
        <v>1551598703851078</v>
      </c>
      <c r="C2635" t="s">
        <v>40</v>
      </c>
      <c r="D2635">
        <v>3.9223189999999999</v>
      </c>
      <c r="E2635">
        <v>0.49458180000000002</v>
      </c>
      <c r="F2635" t="s">
        <v>59</v>
      </c>
      <c r="G2635">
        <v>-511.95979999999997</v>
      </c>
      <c r="H2635">
        <v>3.5563600000000002</v>
      </c>
      <c r="I2635">
        <v>278.45589999999999</v>
      </c>
      <c r="J2635">
        <v>-346.93790000000001</v>
      </c>
      <c r="K2635">
        <v>1.121197</v>
      </c>
      <c r="L2635">
        <v>284.07679999999999</v>
      </c>
      <c r="M2635">
        <v>-0.9998167</v>
      </c>
      <c r="N2635">
        <v>-1.4709150000000001E-2</v>
      </c>
      <c r="O2635">
        <v>1.2263E-2</v>
      </c>
      <c r="P2635">
        <v>-0.99904170000000003</v>
      </c>
      <c r="Q2635">
        <v>-3.9499100000000002E-2</v>
      </c>
      <c r="R2635">
        <v>-1.8858400000000001E-2</v>
      </c>
      <c r="S2635">
        <v>-3.0027159999999999</v>
      </c>
      <c r="T2635">
        <v>4.4258829999999999E-2</v>
      </c>
      <c r="U2635">
        <v>-0.1021118</v>
      </c>
      <c r="V2635">
        <v>-3.110361E-2</v>
      </c>
      <c r="W2635">
        <v>-2.4811630000000001E-2</v>
      </c>
      <c r="X2635">
        <v>0.99920819999999999</v>
      </c>
      <c r="Y2635">
        <v>-4.6236199999999998E-2</v>
      </c>
      <c r="Z2635">
        <v>3.6147620000000002E-4</v>
      </c>
      <c r="AA2635">
        <v>0.99893050000000005</v>
      </c>
      <c r="AB2635">
        <v>36</v>
      </c>
      <c r="AC2635">
        <v>-165.02189999999899</v>
      </c>
      <c r="AD2635">
        <v>2.4351630000000002</v>
      </c>
      <c r="AE2635">
        <v>-5.6208999999999998</v>
      </c>
      <c r="AF2635">
        <v>-7.6426972670048503</v>
      </c>
      <c r="AG2635">
        <v>2.4351630000000002</v>
      </c>
      <c r="AH2635">
        <v>164.904684607614</v>
      </c>
      <c r="AI2635">
        <v>89.154876353883594</v>
      </c>
      <c r="AJ2635">
        <v>92.653539980899396</v>
      </c>
      <c r="AK2635">
        <v>165.09965428761001</v>
      </c>
      <c r="AL2635">
        <v>91.421747526814002</v>
      </c>
      <c r="AM2635">
        <v>91.782942047211606</v>
      </c>
      <c r="AN2635">
        <v>1.0000000392427599</v>
      </c>
    </row>
    <row r="2636" spans="1:40" x14ac:dyDescent="0.25">
      <c r="A2636" t="str">
        <f>"20190303153823876"</f>
        <v>20190303153823876</v>
      </c>
      <c r="B2636" t="str">
        <f>"1551598703871574"</f>
        <v>1551598703871574</v>
      </c>
      <c r="C2636" t="s">
        <v>40</v>
      </c>
      <c r="D2636">
        <v>3.9259930000000001</v>
      </c>
      <c r="E2636">
        <v>0.494587</v>
      </c>
      <c r="F2636" t="s">
        <v>59</v>
      </c>
      <c r="G2636">
        <v>-511.95979999999997</v>
      </c>
      <c r="H2636">
        <v>3.5909710000000001</v>
      </c>
      <c r="I2636">
        <v>278.48180000000002</v>
      </c>
      <c r="J2636">
        <v>-347.11849999999998</v>
      </c>
      <c r="K2636">
        <v>1.1212</v>
      </c>
      <c r="L2636">
        <v>284.07889999999998</v>
      </c>
      <c r="M2636">
        <v>-0.99981739999999997</v>
      </c>
      <c r="N2636">
        <v>-1.4709409999999999E-2</v>
      </c>
      <c r="O2636">
        <v>1.220212E-2</v>
      </c>
      <c r="P2636">
        <v>-0.99903359999999997</v>
      </c>
      <c r="Q2636">
        <v>-3.9622369999999997E-2</v>
      </c>
      <c r="R2636">
        <v>-1.9036129999999998E-2</v>
      </c>
      <c r="S2636">
        <v>-3.0027469999999998</v>
      </c>
      <c r="T2636">
        <v>4.4941540000000002E-2</v>
      </c>
      <c r="U2636">
        <v>-0.1018066</v>
      </c>
      <c r="V2636">
        <v>-3.1220250000000001E-2</v>
      </c>
      <c r="W2636">
        <v>-2.4934890000000001E-2</v>
      </c>
      <c r="X2636">
        <v>0.99920149999999996</v>
      </c>
      <c r="Y2636">
        <v>-4.6073500000000003E-2</v>
      </c>
      <c r="Z2636">
        <v>3.6768400000000001E-4</v>
      </c>
      <c r="AA2636">
        <v>0.99893799999999999</v>
      </c>
      <c r="AB2636">
        <v>36</v>
      </c>
      <c r="AC2636">
        <v>-164.84129999999999</v>
      </c>
      <c r="AD2636">
        <v>2.4697710000000002</v>
      </c>
      <c r="AE2636">
        <v>-5.5970999999999496</v>
      </c>
      <c r="AF2636">
        <v>-7.6066085018769103</v>
      </c>
      <c r="AG2636">
        <v>2.4697710000000002</v>
      </c>
      <c r="AH2636">
        <v>164.72378633797899</v>
      </c>
      <c r="AI2636">
        <v>89.141919605808795</v>
      </c>
      <c r="AJ2636">
        <v>92.643924006913693</v>
      </c>
      <c r="AK2636">
        <v>164.917816039424</v>
      </c>
      <c r="AL2636">
        <v>91.4288119815008</v>
      </c>
      <c r="AM2636">
        <v>91.789635816228397</v>
      </c>
      <c r="AN2636">
        <v>1.00000004517581</v>
      </c>
    </row>
    <row r="2637" spans="1:40" x14ac:dyDescent="0.25">
      <c r="A2637" t="str">
        <f>"20190303153823888"</f>
        <v>20190303153823888</v>
      </c>
      <c r="B2637" t="str">
        <f>"1551598703881334"</f>
        <v>1551598703881334</v>
      </c>
      <c r="C2637" t="s">
        <v>40</v>
      </c>
      <c r="D2637">
        <v>3.9244759999999999</v>
      </c>
      <c r="E2637">
        <v>0.4946044</v>
      </c>
      <c r="F2637" t="s">
        <v>59</v>
      </c>
      <c r="G2637">
        <v>-511.95979999999997</v>
      </c>
      <c r="H2637">
        <v>3.5920339999999902</v>
      </c>
      <c r="I2637">
        <v>278.4599</v>
      </c>
      <c r="J2637">
        <v>-347.32139999999998</v>
      </c>
      <c r="K2637">
        <v>1.1212</v>
      </c>
      <c r="L2637">
        <v>284.0813</v>
      </c>
      <c r="M2637">
        <v>-0.99981830000000005</v>
      </c>
      <c r="N2637">
        <v>-1.470954E-2</v>
      </c>
      <c r="O2637">
        <v>1.213271E-2</v>
      </c>
      <c r="P2637">
        <v>-0.99905010000000005</v>
      </c>
      <c r="Q2637">
        <v>-3.929204E-2</v>
      </c>
      <c r="R2637">
        <v>-1.8851280000000002E-2</v>
      </c>
      <c r="S2637">
        <v>-3.0027469999999998</v>
      </c>
      <c r="T2637">
        <v>4.5010090000000003E-2</v>
      </c>
      <c r="U2637">
        <v>-0.102356</v>
      </c>
      <c r="V2637">
        <v>-3.096608E-2</v>
      </c>
      <c r="W2637">
        <v>-2.4604230000000001E-2</v>
      </c>
      <c r="X2637">
        <v>0.99921760000000004</v>
      </c>
      <c r="Y2637">
        <v>-4.6186690000000002E-2</v>
      </c>
      <c r="Z2637">
        <v>3.6643770000000002E-4</v>
      </c>
      <c r="AA2637">
        <v>0.99893279999999995</v>
      </c>
      <c r="AB2637">
        <v>36</v>
      </c>
      <c r="AC2637">
        <v>-164.63839999999999</v>
      </c>
      <c r="AD2637">
        <v>2.4708339999999902</v>
      </c>
      <c r="AE2637">
        <v>-5.6213999999999897</v>
      </c>
      <c r="AF2637">
        <v>-7.6169984716467001</v>
      </c>
      <c r="AG2637">
        <v>2.4708339999999902</v>
      </c>
      <c r="AH2637">
        <v>164.52105732866201</v>
      </c>
      <c r="AI2637">
        <v>89.140497444668895</v>
      </c>
      <c r="AJ2637">
        <v>92.650787979111001</v>
      </c>
      <c r="AK2637">
        <v>164.71582192040199</v>
      </c>
      <c r="AL2637">
        <v>91.409860753769394</v>
      </c>
      <c r="AM2637">
        <v>91.775046826779302</v>
      </c>
      <c r="AN2637">
        <v>1.0000000391971</v>
      </c>
    </row>
    <row r="2638" spans="1:40" x14ac:dyDescent="0.25">
      <c r="A2638" t="str">
        <f>"20190303153823899"</f>
        <v>20190303153823899</v>
      </c>
      <c r="B2638" t="str">
        <f>"1551598703891094"</f>
        <v>1551598703891094</v>
      </c>
      <c r="C2638" t="s">
        <v>40</v>
      </c>
      <c r="D2638">
        <v>3.9325389999999998</v>
      </c>
      <c r="E2638">
        <v>0.49462289999999998</v>
      </c>
      <c r="F2638" t="s">
        <v>59</v>
      </c>
      <c r="G2638">
        <v>-511.95979999999997</v>
      </c>
      <c r="H2638">
        <v>3.6490469999999999</v>
      </c>
      <c r="I2638">
        <v>278.5027</v>
      </c>
      <c r="J2638">
        <v>-347.5068</v>
      </c>
      <c r="K2638">
        <v>1.1212040000000001</v>
      </c>
      <c r="L2638">
        <v>284.08350000000002</v>
      </c>
      <c r="M2638">
        <v>-0.99981900000000001</v>
      </c>
      <c r="N2638">
        <v>-1.4709440000000001E-2</v>
      </c>
      <c r="O2638">
        <v>1.206483E-2</v>
      </c>
      <c r="P2638">
        <v>-0.99904110000000002</v>
      </c>
      <c r="Q2638">
        <v>-3.9470390000000001E-2</v>
      </c>
      <c r="R2638">
        <v>-1.894392E-2</v>
      </c>
      <c r="S2638">
        <v>-3.0027469999999998</v>
      </c>
      <c r="T2638">
        <v>4.6105380000000001E-2</v>
      </c>
      <c r="U2638">
        <v>-0.10174560000000001</v>
      </c>
      <c r="V2638">
        <v>-3.0991189999999998E-2</v>
      </c>
      <c r="W2638">
        <v>-2.4783010000000001E-2</v>
      </c>
      <c r="X2638">
        <v>0.9992124</v>
      </c>
      <c r="Y2638">
        <v>-4.5915829999999998E-2</v>
      </c>
      <c r="Z2638">
        <v>3.771588E-4</v>
      </c>
      <c r="AA2638">
        <v>0.99894519999999998</v>
      </c>
      <c r="AB2638">
        <v>36</v>
      </c>
      <c r="AC2638">
        <v>-164.45299999999901</v>
      </c>
      <c r="AD2638">
        <v>2.5278429999999998</v>
      </c>
      <c r="AE2638">
        <v>-5.5808000000000098</v>
      </c>
      <c r="AF2638">
        <v>-7.5629210667409001</v>
      </c>
      <c r="AG2638">
        <v>2.5278429999999998</v>
      </c>
      <c r="AH2638">
        <v>164.334905923398</v>
      </c>
      <c r="AI2638">
        <v>89.119662287445905</v>
      </c>
      <c r="AJ2638">
        <v>92.634972295413306</v>
      </c>
      <c r="AK2638">
        <v>164.528262223079</v>
      </c>
      <c r="AL2638">
        <v>91.420107222051399</v>
      </c>
      <c r="AM2638">
        <v>91.776494506801896</v>
      </c>
      <c r="AN2638">
        <v>1.0000000358780099</v>
      </c>
    </row>
    <row r="2639" spans="1:40" x14ac:dyDescent="0.25">
      <c r="A2639" t="str">
        <f>"20190303153823914"</f>
        <v>20190303153823914</v>
      </c>
      <c r="B2639" t="str">
        <f>"1551598703900854"</f>
        <v>1551598703900854</v>
      </c>
      <c r="C2639" t="s">
        <v>40</v>
      </c>
      <c r="D2639">
        <v>3.936496</v>
      </c>
      <c r="E2639">
        <v>0.49463020000000002</v>
      </c>
      <c r="F2639" t="s">
        <v>59</v>
      </c>
      <c r="G2639">
        <v>-511.95979999999997</v>
      </c>
      <c r="H2639">
        <v>3.6178889999999999</v>
      </c>
      <c r="I2639">
        <v>278.50110000000001</v>
      </c>
      <c r="J2639">
        <v>-347.72399999999999</v>
      </c>
      <c r="K2639">
        <v>1.121211</v>
      </c>
      <c r="L2639">
        <v>284.08609999999999</v>
      </c>
      <c r="M2639">
        <v>-0.99982009999999999</v>
      </c>
      <c r="N2639">
        <v>-1.47092E-2</v>
      </c>
      <c r="O2639">
        <v>1.198196E-2</v>
      </c>
      <c r="P2639">
        <v>-0.99903679999999995</v>
      </c>
      <c r="Q2639">
        <v>-3.9597470000000003E-2</v>
      </c>
      <c r="R2639">
        <v>-1.8914340000000002E-2</v>
      </c>
      <c r="S2639">
        <v>-3.0027159999999999</v>
      </c>
      <c r="T2639">
        <v>4.5587900000000001E-2</v>
      </c>
      <c r="U2639">
        <v>-0.1019287</v>
      </c>
      <c r="V2639">
        <v>-3.0878180000000002E-2</v>
      </c>
      <c r="W2639">
        <v>-2.4910640000000001E-2</v>
      </c>
      <c r="X2639">
        <v>0.99921269999999995</v>
      </c>
      <c r="Y2639">
        <v>-4.5894379999999999E-2</v>
      </c>
      <c r="Z2639">
        <v>3.686521E-4</v>
      </c>
      <c r="AA2639">
        <v>0.99894620000000001</v>
      </c>
      <c r="AB2639">
        <v>36</v>
      </c>
      <c r="AC2639">
        <v>-164.23579999999899</v>
      </c>
      <c r="AD2639">
        <v>2.49667799999999</v>
      </c>
      <c r="AE2639">
        <v>-5.5849999999999804</v>
      </c>
      <c r="AF2639">
        <v>-7.5509355710761703</v>
      </c>
      <c r="AG2639">
        <v>2.49667799999999</v>
      </c>
      <c r="AH2639">
        <v>164.11919787691599</v>
      </c>
      <c r="AI2639">
        <v>89.129370900412496</v>
      </c>
      <c r="AJ2639">
        <v>92.634255235111297</v>
      </c>
      <c r="AK2639">
        <v>164.311780286127</v>
      </c>
      <c r="AL2639">
        <v>91.427422176110497</v>
      </c>
      <c r="AM2639">
        <v>91.770020080947404</v>
      </c>
      <c r="AN2639">
        <v>1.0000000109133</v>
      </c>
    </row>
    <row r="2640" spans="1:40" x14ac:dyDescent="0.25">
      <c r="A2640" t="str">
        <f>"20190303153823930"</f>
        <v>20190303153823930</v>
      </c>
      <c r="B2640" t="str">
        <f>"1551598703921353"</f>
        <v>1551598703921353</v>
      </c>
      <c r="C2640" t="s">
        <v>40</v>
      </c>
      <c r="D2640">
        <v>3.928474</v>
      </c>
      <c r="E2640">
        <v>0.4946004</v>
      </c>
      <c r="F2640" t="s">
        <v>59</v>
      </c>
      <c r="G2640">
        <v>-511.95979999999997</v>
      </c>
      <c r="H2640">
        <v>3.5936620000000001</v>
      </c>
      <c r="I2640">
        <v>278.51440000000002</v>
      </c>
      <c r="J2640">
        <v>-347.98090000000002</v>
      </c>
      <c r="K2640">
        <v>1.1212200000000001</v>
      </c>
      <c r="L2640">
        <v>284.08909999999997</v>
      </c>
      <c r="M2640">
        <v>-0.99982139999999997</v>
      </c>
      <c r="N2640">
        <v>-1.470868E-2</v>
      </c>
      <c r="O2640">
        <v>1.1876630000000001E-2</v>
      </c>
      <c r="P2640">
        <v>-0.99903869999999895</v>
      </c>
      <c r="Q2640">
        <v>-3.9661170000000003E-2</v>
      </c>
      <c r="R2640">
        <v>-1.868044E-2</v>
      </c>
      <c r="S2640">
        <v>-3.0027469999999998</v>
      </c>
      <c r="T2640">
        <v>4.5205589999999997E-2</v>
      </c>
      <c r="U2640">
        <v>-0.10186770000000001</v>
      </c>
      <c r="V2640">
        <v>-3.0538409999999998E-2</v>
      </c>
      <c r="W2640">
        <v>-2.4975210000000001E-2</v>
      </c>
      <c r="X2640">
        <v>0.99922149999999998</v>
      </c>
      <c r="Y2640">
        <v>-4.5768660000000003E-2</v>
      </c>
      <c r="Z2640">
        <v>3.6105300000000001E-4</v>
      </c>
      <c r="AA2640">
        <v>0.99895199999999995</v>
      </c>
      <c r="AB2640">
        <v>36</v>
      </c>
      <c r="AC2640">
        <v>-163.97889999999899</v>
      </c>
      <c r="AD2640">
        <v>2.472442</v>
      </c>
      <c r="AE2640">
        <v>-5.5746999999999503</v>
      </c>
      <c r="AF2640">
        <v>-7.5203262341533899</v>
      </c>
      <c r="AG2640">
        <v>2.472442</v>
      </c>
      <c r="AH2640">
        <v>163.86390646766301</v>
      </c>
      <c r="AI2640">
        <v>89.136473491362395</v>
      </c>
      <c r="AJ2640">
        <v>92.627673361686504</v>
      </c>
      <c r="AK2640">
        <v>164.05501552514201</v>
      </c>
      <c r="AL2640">
        <v>91.431122959000106</v>
      </c>
      <c r="AM2640">
        <v>91.750540331876905</v>
      </c>
      <c r="AN2640">
        <v>0.99999998083106001</v>
      </c>
    </row>
    <row r="2641" spans="1:40" x14ac:dyDescent="0.25">
      <c r="A2641" t="str">
        <f>"20190303153823941"</f>
        <v>20190303153823941</v>
      </c>
      <c r="B2641" t="str">
        <f>"1551598703931110"</f>
        <v>1551598703931110</v>
      </c>
      <c r="C2641" t="s">
        <v>40</v>
      </c>
      <c r="D2641">
        <v>3.9525169999999998</v>
      </c>
      <c r="E2641">
        <v>0.49458839999999998</v>
      </c>
      <c r="F2641" t="s">
        <v>59</v>
      </c>
      <c r="G2641">
        <v>-511.95979999999997</v>
      </c>
      <c r="H2641">
        <v>3.5704720000000001</v>
      </c>
      <c r="I2641">
        <v>278.55619999999999</v>
      </c>
      <c r="J2641">
        <v>-348.17200000000003</v>
      </c>
      <c r="K2641">
        <v>1.1212340000000001</v>
      </c>
      <c r="L2641">
        <v>284.09120000000001</v>
      </c>
      <c r="M2641">
        <v>-0.9998224</v>
      </c>
      <c r="N2641">
        <v>-1.47081E-2</v>
      </c>
      <c r="O2641">
        <v>1.1789839999999999E-2</v>
      </c>
      <c r="P2641">
        <v>-0.99903920000000002</v>
      </c>
      <c r="Q2641">
        <v>-3.9691249999999997E-2</v>
      </c>
      <c r="R2641">
        <v>-1.8587639999999999E-2</v>
      </c>
      <c r="S2641">
        <v>-3.0028079999999999</v>
      </c>
      <c r="T2641">
        <v>4.4852499999999997E-2</v>
      </c>
      <c r="U2641">
        <v>-0.1013184</v>
      </c>
      <c r="V2641">
        <v>-3.0358759999999999E-2</v>
      </c>
      <c r="W2641">
        <v>-2.500631E-2</v>
      </c>
      <c r="X2641">
        <v>0.99922619999999895</v>
      </c>
      <c r="Y2641">
        <v>-4.5498839999999999E-2</v>
      </c>
      <c r="Z2641">
        <v>3.5436519999999902E-4</v>
      </c>
      <c r="AA2641">
        <v>0.99896430000000003</v>
      </c>
      <c r="AB2641">
        <v>36</v>
      </c>
      <c r="AC2641">
        <v>-163.7878</v>
      </c>
      <c r="AD2641">
        <v>2.4492379999999998</v>
      </c>
      <c r="AE2641">
        <v>-5.5350000000000197</v>
      </c>
      <c r="AF2641">
        <v>-7.4641887309164003</v>
      </c>
      <c r="AG2641">
        <v>2.4492379999999998</v>
      </c>
      <c r="AH2641">
        <v>163.674591874561</v>
      </c>
      <c r="AI2641">
        <v>89.143575910605904</v>
      </c>
      <c r="AJ2641">
        <v>92.611098046613506</v>
      </c>
      <c r="AK2641">
        <v>163.86300651915201</v>
      </c>
      <c r="AL2641">
        <v>91.432905409487404</v>
      </c>
      <c r="AM2641">
        <v>91.740240501586598</v>
      </c>
      <c r="AN2641">
        <v>0.99999998430749604</v>
      </c>
    </row>
    <row r="2642" spans="1:40" x14ac:dyDescent="0.25">
      <c r="A2642" t="str">
        <f>"20190303153823956"</f>
        <v>20190303153823956</v>
      </c>
      <c r="B2642" t="str">
        <f>"1551598703951607"</f>
        <v>1551598703951607</v>
      </c>
      <c r="C2642" t="s">
        <v>40</v>
      </c>
      <c r="D2642">
        <v>3.9284819999999998</v>
      </c>
      <c r="E2642">
        <v>0.4945852</v>
      </c>
      <c r="F2642" t="s">
        <v>59</v>
      </c>
      <c r="G2642">
        <v>-511.95979999999997</v>
      </c>
      <c r="H2642">
        <v>3.5858500000000002</v>
      </c>
      <c r="I2642">
        <v>278.57479999999998</v>
      </c>
      <c r="J2642">
        <v>-348.39640000000003</v>
      </c>
      <c r="K2642">
        <v>1.121246</v>
      </c>
      <c r="L2642">
        <v>284.09379999999999</v>
      </c>
      <c r="M2642">
        <v>-0.99982360000000003</v>
      </c>
      <c r="N2642">
        <v>-1.4707319999999999E-2</v>
      </c>
      <c r="O2642">
        <v>1.168227E-2</v>
      </c>
      <c r="P2642">
        <v>-0.99904979999999999</v>
      </c>
      <c r="Q2642">
        <v>-3.9558959999999997E-2</v>
      </c>
      <c r="R2642">
        <v>-1.8292200000000002E-2</v>
      </c>
      <c r="S2642">
        <v>-3.0028079999999999</v>
      </c>
      <c r="T2642">
        <v>4.5186520000000001E-2</v>
      </c>
      <c r="U2642">
        <v>-0.1011353</v>
      </c>
      <c r="V2642">
        <v>-2.9955280000000001E-2</v>
      </c>
      <c r="W2642">
        <v>-2.4875109999999999E-2</v>
      </c>
      <c r="X2642">
        <v>0.99924170000000001</v>
      </c>
      <c r="Y2642">
        <v>-4.5330490000000001E-2</v>
      </c>
      <c r="Z2642">
        <v>3.549874E-4</v>
      </c>
      <c r="AA2642">
        <v>0.99897199999999997</v>
      </c>
      <c r="AB2642">
        <v>36</v>
      </c>
      <c r="AC2642">
        <v>-163.56339999999901</v>
      </c>
      <c r="AD2642">
        <v>2.464604</v>
      </c>
      <c r="AE2642">
        <v>-5.5190000000000001</v>
      </c>
      <c r="AF2642">
        <v>-7.4279371848133797</v>
      </c>
      <c r="AG2642">
        <v>2.464604</v>
      </c>
      <c r="AH2642">
        <v>163.45068527089799</v>
      </c>
      <c r="AI2642">
        <v>89.137017077448405</v>
      </c>
      <c r="AJ2642">
        <v>92.601988707659501</v>
      </c>
      <c r="AK2642">
        <v>163.63793887489601</v>
      </c>
      <c r="AL2642">
        <v>91.425385795355297</v>
      </c>
      <c r="AM2642">
        <v>91.717099332748703</v>
      </c>
      <c r="AN2642">
        <v>1.00000003245813</v>
      </c>
    </row>
    <row r="2643" spans="1:40" x14ac:dyDescent="0.25">
      <c r="A2643" t="str">
        <f>"20190303153823976"</f>
        <v>20190303153823976</v>
      </c>
      <c r="B2643" t="str">
        <f>"1551598703971126"</f>
        <v>1551598703971126</v>
      </c>
      <c r="C2643" t="s">
        <v>40</v>
      </c>
      <c r="D2643">
        <v>3.9233470000000001</v>
      </c>
      <c r="E2643">
        <v>0.49457279999999998</v>
      </c>
      <c r="F2643" t="s">
        <v>59</v>
      </c>
      <c r="G2643">
        <v>-511.95979999999997</v>
      </c>
      <c r="H2643">
        <v>3.6292439999999999</v>
      </c>
      <c r="I2643">
        <v>278.6232</v>
      </c>
      <c r="J2643">
        <v>-348.69199999999898</v>
      </c>
      <c r="K2643">
        <v>1.1212679999999999</v>
      </c>
      <c r="L2643">
        <v>284.09710000000001</v>
      </c>
      <c r="M2643">
        <v>-0.99982559999999998</v>
      </c>
      <c r="N2643">
        <v>-1.470601E-2</v>
      </c>
      <c r="O2643">
        <v>1.1525799999999999E-2</v>
      </c>
      <c r="P2643">
        <v>-0.99905679999999997</v>
      </c>
      <c r="Q2643">
        <v>-3.9215479999999997E-2</v>
      </c>
      <c r="R2643">
        <v>-1.8659499999999999E-2</v>
      </c>
      <c r="S2643">
        <v>-3.0028079999999999</v>
      </c>
      <c r="T2643">
        <v>4.6044950000000001E-2</v>
      </c>
      <c r="U2643">
        <v>-0.1004333</v>
      </c>
      <c r="V2643">
        <v>-3.016518E-2</v>
      </c>
      <c r="W2643">
        <v>-2.4533989999999999E-2</v>
      </c>
      <c r="X2643">
        <v>0.99924380000000002</v>
      </c>
      <c r="Y2643">
        <v>-4.494078E-2</v>
      </c>
      <c r="Z2643">
        <v>3.6000060000000001E-4</v>
      </c>
      <c r="AA2643">
        <v>0.99898960000000003</v>
      </c>
      <c r="AB2643">
        <v>36</v>
      </c>
      <c r="AC2643">
        <v>-163.26779999999999</v>
      </c>
      <c r="AD2643">
        <v>2.50797599999999</v>
      </c>
      <c r="AE2643">
        <v>-5.4739000000000102</v>
      </c>
      <c r="AF2643">
        <v>-7.3537982444275301</v>
      </c>
      <c r="AG2643">
        <v>2.50797599999999</v>
      </c>
      <c r="AH2643">
        <v>163.15539926217599</v>
      </c>
      <c r="AI2643">
        <v>89.1202288143038</v>
      </c>
      <c r="AJ2643">
        <v>92.5807091341253</v>
      </c>
      <c r="AK2643">
        <v>163.34029692833499</v>
      </c>
      <c r="AL2643">
        <v>91.405835119582406</v>
      </c>
      <c r="AM2643">
        <v>91.729120329488495</v>
      </c>
      <c r="AN2643">
        <v>1.0000000132940901</v>
      </c>
    </row>
    <row r="2644" spans="1:40" x14ac:dyDescent="0.25">
      <c r="A2644" t="str">
        <f>"20190303153823997"</f>
        <v>20190303153823997</v>
      </c>
      <c r="B2644" t="str">
        <f>"1551598703991622"</f>
        <v>1551598703991622</v>
      </c>
      <c r="C2644" t="s">
        <v>40</v>
      </c>
      <c r="D2644">
        <v>3.9091490000000002</v>
      </c>
      <c r="E2644">
        <v>0.49455739999999998</v>
      </c>
      <c r="F2644" t="s">
        <v>59</v>
      </c>
      <c r="G2644">
        <v>-511.95979999999997</v>
      </c>
      <c r="H2644">
        <v>3.6821869999999999</v>
      </c>
      <c r="I2644">
        <v>278.56490000000002</v>
      </c>
      <c r="J2644">
        <v>-349.04640000000001</v>
      </c>
      <c r="K2644">
        <v>1.121294</v>
      </c>
      <c r="L2644">
        <v>284.101</v>
      </c>
      <c r="M2644">
        <v>-0.99982800000000005</v>
      </c>
      <c r="N2644">
        <v>-1.470402E-2</v>
      </c>
      <c r="O2644">
        <v>1.130918E-2</v>
      </c>
      <c r="P2644">
        <v>-0.9990656</v>
      </c>
      <c r="Q2644">
        <v>-3.8577130000000001E-2</v>
      </c>
      <c r="R2644">
        <v>-1.9497190000000001E-2</v>
      </c>
      <c r="S2644">
        <v>-3.0027469999999998</v>
      </c>
      <c r="T2644">
        <v>4.7100660000000003E-2</v>
      </c>
      <c r="U2644">
        <v>-0.10174560000000001</v>
      </c>
      <c r="V2644">
        <v>-3.0786029999999999E-2</v>
      </c>
      <c r="W2644">
        <v>-2.3899489999999999E-2</v>
      </c>
      <c r="X2644">
        <v>0.99924020000000002</v>
      </c>
      <c r="Y2644">
        <v>-4.5160939999999997E-2</v>
      </c>
      <c r="Z2644">
        <v>3.6549729999999999E-4</v>
      </c>
      <c r="AA2644">
        <v>0.99897959999999997</v>
      </c>
      <c r="AB2644">
        <v>36</v>
      </c>
      <c r="AC2644">
        <v>-162.913399999999</v>
      </c>
      <c r="AD2644">
        <v>2.5608930000000001</v>
      </c>
      <c r="AE2644">
        <v>-5.53609999999997</v>
      </c>
      <c r="AF2644">
        <v>-7.3765413044802299</v>
      </c>
      <c r="AG2644">
        <v>2.5608930000000001</v>
      </c>
      <c r="AH2644">
        <v>162.80018258456499</v>
      </c>
      <c r="AI2644">
        <v>89.099719007887103</v>
      </c>
      <c r="AJ2644">
        <v>92.594320220115904</v>
      </c>
      <c r="AK2644">
        <v>162.98733381506</v>
      </c>
      <c r="AL2644">
        <v>91.369470340248597</v>
      </c>
      <c r="AM2644">
        <v>91.764692604399002</v>
      </c>
      <c r="AN2644">
        <v>0.99999997128073004</v>
      </c>
    </row>
    <row r="2645" spans="1:40" x14ac:dyDescent="0.25">
      <c r="A2645" t="str">
        <f>"20190303153824011"</f>
        <v>20190303153824011</v>
      </c>
      <c r="B2645" t="str">
        <f>"1551598704001383"</f>
        <v>1551598704001383</v>
      </c>
      <c r="C2645" t="s">
        <v>40</v>
      </c>
      <c r="D2645">
        <v>3.9328080000000001</v>
      </c>
      <c r="E2645">
        <v>0.49454110000000001</v>
      </c>
      <c r="F2645" t="s">
        <v>59</v>
      </c>
      <c r="G2645">
        <v>-511.9599</v>
      </c>
      <c r="H2645">
        <v>3.7932510000000002</v>
      </c>
      <c r="I2645">
        <v>278.43979999999999</v>
      </c>
      <c r="J2645">
        <v>-349.2704</v>
      </c>
      <c r="K2645">
        <v>1.121308</v>
      </c>
      <c r="L2645">
        <v>284.10340000000002</v>
      </c>
      <c r="M2645">
        <v>-0.99982979999999999</v>
      </c>
      <c r="N2645">
        <v>-1.470276E-2</v>
      </c>
      <c r="O2645">
        <v>1.1157210000000001E-2</v>
      </c>
      <c r="P2645">
        <v>-0.99905149999999998</v>
      </c>
      <c r="Q2645">
        <v>-3.8575560000000002E-2</v>
      </c>
      <c r="R2645">
        <v>-2.020982E-2</v>
      </c>
      <c r="S2645">
        <v>-3.0026549999999999</v>
      </c>
      <c r="T2645">
        <v>4.9248220000000002E-2</v>
      </c>
      <c r="U2645">
        <v>-0.1043396</v>
      </c>
      <c r="V2645">
        <v>-3.134588E-2</v>
      </c>
      <c r="W2645">
        <v>-2.3900870000000001E-2</v>
      </c>
      <c r="X2645">
        <v>0.99922279999999997</v>
      </c>
      <c r="Y2645">
        <v>-4.5871660000000002E-2</v>
      </c>
      <c r="Z2645">
        <v>3.856113E-4</v>
      </c>
      <c r="AA2645">
        <v>0.99894729999999998</v>
      </c>
      <c r="AB2645">
        <v>35</v>
      </c>
      <c r="AC2645">
        <v>-162.68950000000001</v>
      </c>
      <c r="AD2645">
        <v>2.6719430000000002</v>
      </c>
      <c r="AE2645">
        <v>-5.6636000000000299</v>
      </c>
      <c r="AF2645">
        <v>-7.4765900366901903</v>
      </c>
      <c r="AG2645">
        <v>2.6719430000000002</v>
      </c>
      <c r="AH2645">
        <v>162.57237645397299</v>
      </c>
      <c r="AI2645">
        <v>89.0593993698498</v>
      </c>
      <c r="AJ2645">
        <v>92.633137548796995</v>
      </c>
      <c r="AK2645">
        <v>162.76613979530299</v>
      </c>
      <c r="AL2645">
        <v>91.369549378104395</v>
      </c>
      <c r="AM2645">
        <v>91.796794305821095</v>
      </c>
      <c r="AN2645">
        <v>1.0000000099097801</v>
      </c>
    </row>
    <row r="2646" spans="1:40" x14ac:dyDescent="0.25">
      <c r="A2646" t="str">
        <f>"20190303153824024"</f>
        <v>20190303153824024</v>
      </c>
      <c r="B2646" t="str">
        <f>"1551598704011142"</f>
        <v>1551598704011142</v>
      </c>
      <c r="C2646" t="s">
        <v>40</v>
      </c>
      <c r="D2646">
        <v>3.9464199999999998</v>
      </c>
      <c r="E2646">
        <v>0.49452410000000002</v>
      </c>
      <c r="F2646" t="s">
        <v>59</v>
      </c>
      <c r="G2646">
        <v>-511.9599</v>
      </c>
      <c r="H2646">
        <v>3.805326</v>
      </c>
      <c r="I2646">
        <v>278.3227</v>
      </c>
      <c r="J2646">
        <v>-349.49020000000002</v>
      </c>
      <c r="K2646">
        <v>1.121327</v>
      </c>
      <c r="L2646">
        <v>284.10570000000001</v>
      </c>
      <c r="M2646">
        <v>-0.99983160000000004</v>
      </c>
      <c r="N2646">
        <v>-1.4701580000000001E-2</v>
      </c>
      <c r="O2646">
        <v>1.0991809999999999E-2</v>
      </c>
      <c r="P2646">
        <v>-0.99903819999999999</v>
      </c>
      <c r="Q2646">
        <v>-3.8601129999999997E-2</v>
      </c>
      <c r="R2646">
        <v>-2.0805069999999998E-2</v>
      </c>
      <c r="S2646">
        <v>-3.0026250000000001</v>
      </c>
      <c r="T2646">
        <v>4.9538140000000001E-2</v>
      </c>
      <c r="U2646">
        <v>-0.10668950000000001</v>
      </c>
      <c r="V2646">
        <v>-3.1774200000000002E-2</v>
      </c>
      <c r="W2646">
        <v>-2.3929329999999999E-2</v>
      </c>
      <c r="X2646">
        <v>0.9992086</v>
      </c>
      <c r="Y2646">
        <v>-4.6487559999999997E-2</v>
      </c>
      <c r="Z2646">
        <v>3.8429749999999998E-4</v>
      </c>
      <c r="AA2646">
        <v>0.9989188</v>
      </c>
      <c r="AB2646">
        <v>35</v>
      </c>
      <c r="AC2646">
        <v>-162.46969999999999</v>
      </c>
      <c r="AD2646">
        <v>2.683999</v>
      </c>
      <c r="AE2646">
        <v>-5.7830000000000101</v>
      </c>
      <c r="AF2646">
        <v>-7.5666171000380604</v>
      </c>
      <c r="AG2646">
        <v>2.683999</v>
      </c>
      <c r="AH2646">
        <v>162.352058810166</v>
      </c>
      <c r="AI2646">
        <v>89.053901085297994</v>
      </c>
      <c r="AJ2646">
        <v>92.668409238897198</v>
      </c>
      <c r="AK2646">
        <v>162.55044922998499</v>
      </c>
      <c r="AL2646">
        <v>91.371180469373201</v>
      </c>
      <c r="AM2646">
        <v>91.821355711392101</v>
      </c>
      <c r="AN2646">
        <v>1.0000000194669201</v>
      </c>
    </row>
    <row r="2647" spans="1:40" x14ac:dyDescent="0.25">
      <c r="A2647" t="str">
        <f>"20190303153824038"</f>
        <v>20190303153824038</v>
      </c>
      <c r="B2647" t="str">
        <f>"1551598704031639"</f>
        <v>1551598704031639</v>
      </c>
      <c r="C2647" t="s">
        <v>40</v>
      </c>
      <c r="D2647">
        <v>3.9710299999999998</v>
      </c>
      <c r="E2647">
        <v>0.49456549999999999</v>
      </c>
      <c r="F2647" t="s">
        <v>59</v>
      </c>
      <c r="G2647">
        <v>-511.9599</v>
      </c>
      <c r="H2647">
        <v>3.8018640000000001</v>
      </c>
      <c r="I2647">
        <v>278.23680000000002</v>
      </c>
      <c r="J2647">
        <v>-349.70710000000003</v>
      </c>
      <c r="K2647">
        <v>1.121343</v>
      </c>
      <c r="L2647">
        <v>284.1078</v>
      </c>
      <c r="M2647">
        <v>-0.99983350000000004</v>
      </c>
      <c r="N2647">
        <v>-1.4700370000000001E-2</v>
      </c>
      <c r="O2647">
        <v>1.0815079999999999E-2</v>
      </c>
      <c r="P2647">
        <v>-0.99902590000000002</v>
      </c>
      <c r="Q2647">
        <v>-3.8635719999999998E-2</v>
      </c>
      <c r="R2647">
        <v>-2.1329339999999999E-2</v>
      </c>
      <c r="S2647">
        <v>-3.0025629999999999</v>
      </c>
      <c r="T2647">
        <v>4.9539800000000002E-2</v>
      </c>
      <c r="U2647">
        <v>-0.1084595</v>
      </c>
      <c r="V2647">
        <v>-3.2121030000000002E-2</v>
      </c>
      <c r="W2647">
        <v>-2.3966830000000001E-2</v>
      </c>
      <c r="X2647">
        <v>0.99919659999999999</v>
      </c>
      <c r="Y2647">
        <v>-4.6899900000000001E-2</v>
      </c>
      <c r="Z2647">
        <v>3.7918819999999999E-4</v>
      </c>
      <c r="AA2647">
        <v>0.99889950000000005</v>
      </c>
      <c r="AB2647">
        <v>35</v>
      </c>
      <c r="AC2647">
        <v>-162.25279999999901</v>
      </c>
      <c r="AD2647">
        <v>2.6805209999999899</v>
      </c>
      <c r="AE2647">
        <v>-5.87099999999998</v>
      </c>
      <c r="AF2647">
        <v>-7.6235451399574599</v>
      </c>
      <c r="AG2647">
        <v>2.6805209999999899</v>
      </c>
      <c r="AH2647">
        <v>162.13561236215199</v>
      </c>
      <c r="AI2647">
        <v>89.053883957698005</v>
      </c>
      <c r="AJ2647">
        <v>92.692039617266204</v>
      </c>
      <c r="AK2647">
        <v>162.33687328941099</v>
      </c>
      <c r="AL2647">
        <v>91.373329693913504</v>
      </c>
      <c r="AM2647">
        <v>91.841245132976496</v>
      </c>
      <c r="AN2647">
        <v>1.0000000074800299</v>
      </c>
    </row>
    <row r="2648" spans="1:40" x14ac:dyDescent="0.25">
      <c r="A2648" t="str">
        <f>"20190303153824052"</f>
        <v>20190303153824052</v>
      </c>
      <c r="B2648" t="str">
        <f>"1551598704041399"</f>
        <v>1551598704041399</v>
      </c>
      <c r="C2648" t="s">
        <v>40</v>
      </c>
      <c r="D2648">
        <v>3.9531930000000002</v>
      </c>
      <c r="E2648">
        <v>0.51546099999999995</v>
      </c>
      <c r="F2648" t="s">
        <v>59</v>
      </c>
      <c r="G2648">
        <v>-511.9599</v>
      </c>
      <c r="H2648">
        <v>3.7982610000000001</v>
      </c>
      <c r="I2648">
        <v>278.17410000000001</v>
      </c>
      <c r="J2648">
        <v>-349.91230000000002</v>
      </c>
      <c r="K2648">
        <v>1.121354</v>
      </c>
      <c r="L2648">
        <v>284.10989999999998</v>
      </c>
      <c r="M2648">
        <v>-0.99983549999999999</v>
      </c>
      <c r="N2648">
        <v>-1.4699169999999999E-2</v>
      </c>
      <c r="O2648">
        <v>1.0638420000000001E-2</v>
      </c>
      <c r="P2648">
        <v>-0.99899230000000006</v>
      </c>
      <c r="Q2648">
        <v>-3.8690460000000003E-2</v>
      </c>
      <c r="R2648">
        <v>-2.2755999999999998E-2</v>
      </c>
      <c r="S2648">
        <v>-3.002472</v>
      </c>
      <c r="T2648">
        <v>4.9537539999999998E-2</v>
      </c>
      <c r="U2648">
        <v>-0.1098022</v>
      </c>
      <c r="V2648">
        <v>-3.3369749999999997E-2</v>
      </c>
      <c r="W2648">
        <v>-2.4025410000000001E-2</v>
      </c>
      <c r="X2648">
        <v>0.99915430000000005</v>
      </c>
      <c r="Y2648">
        <v>-4.7170709999999998E-2</v>
      </c>
      <c r="Z2648">
        <v>3.739188E-4</v>
      </c>
      <c r="AA2648">
        <v>0.99888679999999996</v>
      </c>
      <c r="AB2648">
        <v>35</v>
      </c>
      <c r="AC2648">
        <v>-162.04759999999999</v>
      </c>
      <c r="AD2648">
        <v>2.6769069999999999</v>
      </c>
      <c r="AE2648">
        <v>-5.9357999999999702</v>
      </c>
      <c r="AF2648">
        <v>-7.6574936680600398</v>
      </c>
      <c r="AG2648">
        <v>2.6769069999999999</v>
      </c>
      <c r="AH2648">
        <v>161.93114392336</v>
      </c>
      <c r="AI2648">
        <v>89.053978472870497</v>
      </c>
      <c r="AJ2648">
        <v>92.707419070529596</v>
      </c>
      <c r="AK2648">
        <v>162.13419877586199</v>
      </c>
      <c r="AL2648">
        <v>91.376687005545193</v>
      </c>
      <c r="AM2648">
        <v>91.912853135619798</v>
      </c>
      <c r="AN2648">
        <v>1.0000000378745999</v>
      </c>
    </row>
    <row r="2649" spans="1:40" x14ac:dyDescent="0.25">
      <c r="A2649" t="str">
        <f>"20190303153824064"</f>
        <v>20190303153824064</v>
      </c>
      <c r="B2649" t="str">
        <f>"1551598704060918"</f>
        <v>1551598704060918</v>
      </c>
      <c r="C2649" t="s">
        <v>40</v>
      </c>
      <c r="D2649">
        <v>4.0258390000000004</v>
      </c>
      <c r="E2649">
        <v>0.51666259999999997</v>
      </c>
      <c r="F2649" t="s">
        <v>46</v>
      </c>
      <c r="G2649">
        <v>0</v>
      </c>
      <c r="H2649">
        <v>0</v>
      </c>
      <c r="I2649">
        <v>0</v>
      </c>
      <c r="J2649">
        <v>-350.11540000000002</v>
      </c>
      <c r="K2649">
        <v>1.121372</v>
      </c>
      <c r="L2649">
        <v>284.11189999999999</v>
      </c>
      <c r="M2649">
        <v>-0.99983750000000005</v>
      </c>
      <c r="N2649">
        <v>-1.4697790000000001E-2</v>
      </c>
      <c r="O2649">
        <v>1.0449E-2</v>
      </c>
      <c r="P2649">
        <v>-0.99897009999999997</v>
      </c>
      <c r="Q2649">
        <v>-3.8728230000000002E-2</v>
      </c>
      <c r="R2649">
        <v>-2.3647600000000001E-2</v>
      </c>
      <c r="S2649">
        <v>-3.0083920000000002</v>
      </c>
      <c r="T2649">
        <v>0.1070043</v>
      </c>
      <c r="U2649">
        <v>5.1330569999999999E-2</v>
      </c>
      <c r="V2649">
        <v>-3.4071009999999999E-2</v>
      </c>
      <c r="W2649">
        <v>-2.406676E-2</v>
      </c>
      <c r="X2649">
        <v>0.99912959999999995</v>
      </c>
      <c r="Y2649">
        <v>6.6211760000000003E-3</v>
      </c>
      <c r="Z2649">
        <v>4.5597580000000001E-4</v>
      </c>
      <c r="AA2649">
        <v>0.99997789999999998</v>
      </c>
      <c r="AB2649">
        <v>35</v>
      </c>
      <c r="AC2649">
        <v>-3.0083920000000002</v>
      </c>
      <c r="AD2649">
        <v>0.1070043</v>
      </c>
      <c r="AE2649">
        <v>5.1330569999999999E-2</v>
      </c>
      <c r="AF2649">
        <v>1.98645630566751E-2</v>
      </c>
      <c r="AG2649">
        <v>0.1070043</v>
      </c>
      <c r="AH2649">
        <v>3.0049635909179502</v>
      </c>
      <c r="AI2649">
        <v>87.960650295669595</v>
      </c>
      <c r="AJ2649">
        <v>89.621246976226203</v>
      </c>
      <c r="AK2649">
        <v>3.0069337711074402</v>
      </c>
      <c r="AL2649">
        <v>91.379056923247703</v>
      </c>
      <c r="AM2649">
        <v>91.953068874541998</v>
      </c>
      <c r="AN2649">
        <v>1.00000000012773</v>
      </c>
    </row>
    <row r="2650" spans="1:40" x14ac:dyDescent="0.25">
      <c r="A2650" t="str">
        <f>"20190303153824076"</f>
        <v>20190303153824076</v>
      </c>
      <c r="B2650" t="str">
        <f>"1551598704071654"</f>
        <v>1551598704071654</v>
      </c>
      <c r="C2650" t="s">
        <v>40</v>
      </c>
      <c r="D2650">
        <v>3.9981200000000001</v>
      </c>
      <c r="E2650">
        <v>0.51650640000000003</v>
      </c>
      <c r="F2650" t="s">
        <v>46</v>
      </c>
      <c r="G2650">
        <v>0</v>
      </c>
      <c r="H2650">
        <v>0</v>
      </c>
      <c r="I2650">
        <v>0</v>
      </c>
      <c r="J2650">
        <v>-350.2953</v>
      </c>
      <c r="K2650">
        <v>1.121394</v>
      </c>
      <c r="L2650">
        <v>284.11360000000002</v>
      </c>
      <c r="M2650">
        <v>-0.99983920000000004</v>
      </c>
      <c r="N2650">
        <v>-1.4696549999999999E-2</v>
      </c>
      <c r="O2650">
        <v>1.0272430000000001E-2</v>
      </c>
      <c r="P2650">
        <v>-0.99896850000000004</v>
      </c>
      <c r="Q2650">
        <v>-3.8389569999999998E-2</v>
      </c>
      <c r="R2650">
        <v>-2.4250219999999999E-2</v>
      </c>
      <c r="S2650">
        <v>-3.0076900000000002</v>
      </c>
      <c r="T2650">
        <v>8.4681149999999997E-2</v>
      </c>
      <c r="U2650">
        <v>5.8715820000000002E-2</v>
      </c>
      <c r="V2650">
        <v>-3.4496260000000001E-2</v>
      </c>
      <c r="W2650">
        <v>-2.3730910000000001E-2</v>
      </c>
      <c r="X2650">
        <v>0.99912299999999998</v>
      </c>
      <c r="Y2650">
        <v>9.2532359999999998E-3</v>
      </c>
      <c r="Z2650">
        <v>3.7783480000000002E-4</v>
      </c>
      <c r="AA2650">
        <v>0.99995710000000004</v>
      </c>
      <c r="AB2650">
        <v>35</v>
      </c>
      <c r="AC2650">
        <v>-3.0076900000000002</v>
      </c>
      <c r="AD2650">
        <v>8.4681149999999997E-2</v>
      </c>
      <c r="AE2650">
        <v>5.8715820000000002E-2</v>
      </c>
      <c r="AF2650">
        <v>2.77910766825861E-2</v>
      </c>
      <c r="AG2650">
        <v>8.4681149999999997E-2</v>
      </c>
      <c r="AH2650">
        <v>3.0057527466355101</v>
      </c>
      <c r="AI2650">
        <v>88.386300326802299</v>
      </c>
      <c r="AJ2650">
        <v>89.470260475770502</v>
      </c>
      <c r="AK2650">
        <v>3.0070737960707601</v>
      </c>
      <c r="AL2650">
        <v>91.359808694453406</v>
      </c>
      <c r="AM2650">
        <v>91.977439503301497</v>
      </c>
      <c r="AN2650">
        <v>0.99999995858620705</v>
      </c>
    </row>
    <row r="2651" spans="1:40" x14ac:dyDescent="0.25">
      <c r="A2651" t="str">
        <f>"20190303153824087"</f>
        <v>20190303153824087</v>
      </c>
      <c r="B2651" t="str">
        <f>"1551598704081415"</f>
        <v>1551598704081415</v>
      </c>
      <c r="C2651" t="s">
        <v>40</v>
      </c>
      <c r="D2651">
        <v>4.0361510000000003</v>
      </c>
      <c r="E2651">
        <v>0.51724309999999996</v>
      </c>
      <c r="F2651" t="s">
        <v>46</v>
      </c>
      <c r="G2651">
        <v>0</v>
      </c>
      <c r="H2651">
        <v>0</v>
      </c>
      <c r="I2651">
        <v>0</v>
      </c>
      <c r="J2651">
        <v>-350.48009999999999</v>
      </c>
      <c r="K2651">
        <v>1.1214120000000001</v>
      </c>
      <c r="L2651">
        <v>284.11540000000002</v>
      </c>
      <c r="M2651">
        <v>-0.99984110000000004</v>
      </c>
      <c r="N2651">
        <v>-1.469527E-2</v>
      </c>
      <c r="O2651">
        <v>1.0084839999999999E-2</v>
      </c>
      <c r="P2651">
        <v>-0.99896430000000003</v>
      </c>
      <c r="Q2651">
        <v>-3.8189439999999998E-2</v>
      </c>
      <c r="R2651">
        <v>-2.473554E-2</v>
      </c>
      <c r="S2651">
        <v>-3.0073240000000001</v>
      </c>
      <c r="T2651">
        <v>7.5057269999999995E-2</v>
      </c>
      <c r="U2651">
        <v>5.5603029999999998E-2</v>
      </c>
      <c r="V2651">
        <v>-3.4794180000000001E-2</v>
      </c>
      <c r="W2651">
        <v>-2.3533539999999999E-2</v>
      </c>
      <c r="X2651">
        <v>0.99911740000000004</v>
      </c>
      <c r="Y2651">
        <v>8.407744E-3</v>
      </c>
      <c r="Z2651">
        <v>3.5668689999999997E-4</v>
      </c>
      <c r="AA2651">
        <v>0.99996459999999998</v>
      </c>
      <c r="AB2651">
        <v>35</v>
      </c>
      <c r="AC2651">
        <v>-3.0073240000000001</v>
      </c>
      <c r="AD2651">
        <v>7.5057269999999995E-2</v>
      </c>
      <c r="AE2651">
        <v>5.5603029999999998E-2</v>
      </c>
      <c r="AF2651">
        <v>2.5252818504614499E-2</v>
      </c>
      <c r="AG2651">
        <v>7.5057269999999995E-2</v>
      </c>
      <c r="AH2651">
        <v>3.0058601033399599</v>
      </c>
      <c r="AI2651">
        <v>88.569654104146096</v>
      </c>
      <c r="AJ2651">
        <v>89.518658276659394</v>
      </c>
      <c r="AK2651">
        <v>3.0069031011113698</v>
      </c>
      <c r="AL2651">
        <v>91.348496983043106</v>
      </c>
      <c r="AM2651">
        <v>91.994514697237605</v>
      </c>
      <c r="AN2651">
        <v>1.0000000207247799</v>
      </c>
    </row>
    <row r="2652" spans="1:40" x14ac:dyDescent="0.25">
      <c r="A2652" t="str">
        <f>"20190303153824098"</f>
        <v>20190303153824098</v>
      </c>
      <c r="B2652" t="str">
        <f>"1551598704091174"</f>
        <v>1551598704091174</v>
      </c>
      <c r="C2652" t="s">
        <v>40</v>
      </c>
      <c r="D2652">
        <v>3.9974970000000001</v>
      </c>
      <c r="E2652">
        <v>0.5174879</v>
      </c>
      <c r="F2652" t="s">
        <v>46</v>
      </c>
      <c r="G2652">
        <v>0</v>
      </c>
      <c r="H2652">
        <v>0</v>
      </c>
      <c r="I2652">
        <v>0</v>
      </c>
      <c r="J2652">
        <v>-350.6506</v>
      </c>
      <c r="K2652">
        <v>1.1214249999999999</v>
      </c>
      <c r="L2652">
        <v>284.11689999999999</v>
      </c>
      <c r="M2652">
        <v>-0.99984289999999998</v>
      </c>
      <c r="N2652">
        <v>-1.469403E-2</v>
      </c>
      <c r="O2652">
        <v>9.9026649999999997E-3</v>
      </c>
      <c r="P2652">
        <v>-0.99898169999999997</v>
      </c>
      <c r="Q2652">
        <v>-3.7505459999999997E-2</v>
      </c>
      <c r="R2652">
        <v>-2.508471E-2</v>
      </c>
      <c r="S2652">
        <v>-3.0074459999999998</v>
      </c>
      <c r="T2652">
        <v>7.4456690000000006E-2</v>
      </c>
      <c r="U2652">
        <v>6.0089110000000001E-2</v>
      </c>
      <c r="V2652">
        <v>-3.4960529999999997E-2</v>
      </c>
      <c r="W2652">
        <v>-2.2851710000000001E-2</v>
      </c>
      <c r="X2652">
        <v>0.9991274</v>
      </c>
      <c r="Y2652">
        <v>1.007983E-2</v>
      </c>
      <c r="Z2652">
        <v>3.3989570000000002E-4</v>
      </c>
      <c r="AA2652">
        <v>0.99994919999999998</v>
      </c>
      <c r="AB2652">
        <v>35</v>
      </c>
      <c r="AC2652">
        <v>-3.0074459999999998</v>
      </c>
      <c r="AD2652">
        <v>7.4456690000000006E-2</v>
      </c>
      <c r="AE2652">
        <v>6.0089110000000001E-2</v>
      </c>
      <c r="AF2652">
        <v>3.0282660387830802E-2</v>
      </c>
      <c r="AG2652">
        <v>7.4456690000000006E-2</v>
      </c>
      <c r="AH2652">
        <v>3.0060518439777102</v>
      </c>
      <c r="AI2652">
        <v>88.581206875266204</v>
      </c>
      <c r="AJ2652">
        <v>89.422827671408697</v>
      </c>
      <c r="AK2652">
        <v>3.0071262904786198</v>
      </c>
      <c r="AL2652">
        <v>91.309420517413699</v>
      </c>
      <c r="AM2652">
        <v>92.004022617606594</v>
      </c>
      <c r="AN2652">
        <v>1.0000000003692799</v>
      </c>
    </row>
    <row r="2653" spans="1:40" x14ac:dyDescent="0.25">
      <c r="A2653" t="str">
        <f>"20190303153824109"</f>
        <v>20190303153824109</v>
      </c>
      <c r="B2653" t="str">
        <f>"1551598704100934"</f>
        <v>1551598704100934</v>
      </c>
      <c r="C2653" t="s">
        <v>40</v>
      </c>
      <c r="D2653">
        <v>3.9958109999999998</v>
      </c>
      <c r="E2653">
        <v>0.51776549999999999</v>
      </c>
      <c r="F2653" t="s">
        <v>46</v>
      </c>
      <c r="G2653">
        <v>0</v>
      </c>
      <c r="H2653">
        <v>0</v>
      </c>
      <c r="I2653">
        <v>0</v>
      </c>
      <c r="J2653">
        <v>-350.82740000000001</v>
      </c>
      <c r="K2653">
        <v>1.12144</v>
      </c>
      <c r="L2653">
        <v>284.11849999999998</v>
      </c>
      <c r="M2653">
        <v>-0.99984499999999998</v>
      </c>
      <c r="N2653">
        <v>-1.4692729999999999E-2</v>
      </c>
      <c r="O2653">
        <v>9.7119040000000004E-3</v>
      </c>
      <c r="P2653">
        <v>-0.99899090000000001</v>
      </c>
      <c r="Q2653">
        <v>-3.7073050000000003E-2</v>
      </c>
      <c r="R2653">
        <v>-2.5361470000000001E-2</v>
      </c>
      <c r="S2653">
        <v>-3.007355</v>
      </c>
      <c r="T2653">
        <v>7.4324370000000001E-2</v>
      </c>
      <c r="U2653">
        <v>6.1187739999999997E-2</v>
      </c>
      <c r="V2653">
        <v>-3.5046620000000001E-2</v>
      </c>
      <c r="W2653">
        <v>-2.2421549999999998E-2</v>
      </c>
      <c r="X2653">
        <v>0.99913410000000002</v>
      </c>
      <c r="Y2653">
        <v>1.063615E-2</v>
      </c>
      <c r="Z2653">
        <v>3.2936519999999999E-4</v>
      </c>
      <c r="AA2653">
        <v>0.99994340000000004</v>
      </c>
      <c r="AB2653">
        <v>35</v>
      </c>
      <c r="AC2653">
        <v>-3.007355</v>
      </c>
      <c r="AD2653">
        <v>7.4324370000000001E-2</v>
      </c>
      <c r="AE2653">
        <v>6.1187739999999997E-2</v>
      </c>
      <c r="AF2653">
        <v>3.1955050966088999E-2</v>
      </c>
      <c r="AG2653">
        <v>7.4324370000000001E-2</v>
      </c>
      <c r="AH2653">
        <v>3.0059721881851398</v>
      </c>
      <c r="AI2653">
        <v>88.583697884321296</v>
      </c>
      <c r="AJ2653">
        <v>89.390938945484095</v>
      </c>
      <c r="AK2653">
        <v>3.00706069666056</v>
      </c>
      <c r="AL2653">
        <v>91.284767885898006</v>
      </c>
      <c r="AM2653">
        <v>92.008940006505298</v>
      </c>
      <c r="AN2653">
        <v>0.99999997063031798</v>
      </c>
    </row>
    <row r="2654" spans="1:40" x14ac:dyDescent="0.25">
      <c r="A2654" t="str">
        <f>"20190303153824120"</f>
        <v>20190303153824120</v>
      </c>
      <c r="B2654" t="str">
        <f>"1551598704111671"</f>
        <v>1551598704111671</v>
      </c>
      <c r="C2654" t="s">
        <v>40</v>
      </c>
      <c r="D2654">
        <v>4.0259349999999996</v>
      </c>
      <c r="E2654">
        <v>0.51812579999999997</v>
      </c>
      <c r="F2654" t="s">
        <v>46</v>
      </c>
      <c r="G2654">
        <v>0</v>
      </c>
      <c r="H2654">
        <v>0</v>
      </c>
      <c r="I2654">
        <v>0</v>
      </c>
      <c r="J2654">
        <v>-351.00709999999998</v>
      </c>
      <c r="K2654">
        <v>1.121451</v>
      </c>
      <c r="L2654">
        <v>284.12009999999998</v>
      </c>
      <c r="M2654">
        <v>-0.99984689999999998</v>
      </c>
      <c r="N2654">
        <v>-1.4691310000000001E-2</v>
      </c>
      <c r="O2654">
        <v>9.5105750000000003E-3</v>
      </c>
      <c r="P2654">
        <v>-0.99899020000000005</v>
      </c>
      <c r="Q2654">
        <v>-3.6840570000000003E-2</v>
      </c>
      <c r="R2654">
        <v>-2.5720429999999999E-2</v>
      </c>
      <c r="S2654">
        <v>-3.007355</v>
      </c>
      <c r="T2654">
        <v>7.3705199999999998E-2</v>
      </c>
      <c r="U2654">
        <v>6.2408449999999997E-2</v>
      </c>
      <c r="V2654">
        <v>-3.5204489999999998E-2</v>
      </c>
      <c r="W2654">
        <v>-2.2191430000000002E-2</v>
      </c>
      <c r="X2654">
        <v>0.99913370000000001</v>
      </c>
      <c r="Y2654">
        <v>1.124294E-2</v>
      </c>
      <c r="Z2654">
        <v>3.1757420000000001E-4</v>
      </c>
      <c r="AA2654">
        <v>0.99993679999999996</v>
      </c>
      <c r="AB2654">
        <v>35</v>
      </c>
      <c r="AC2654">
        <v>-3.007355</v>
      </c>
      <c r="AD2654">
        <v>7.3705199999999998E-2</v>
      </c>
      <c r="AE2654">
        <v>6.2408449999999997E-2</v>
      </c>
      <c r="AF2654">
        <v>3.3780584213426203E-2</v>
      </c>
      <c r="AG2654">
        <v>7.3705199999999998E-2</v>
      </c>
      <c r="AH2654">
        <v>3.00600775895002</v>
      </c>
      <c r="AI2654">
        <v>88.595517782266199</v>
      </c>
      <c r="AJ2654">
        <v>89.356154876630498</v>
      </c>
      <c r="AK2654">
        <v>3.0071009679165401</v>
      </c>
      <c r="AL2654">
        <v>91.271579683374298</v>
      </c>
      <c r="AM2654">
        <v>92.017982762180097</v>
      </c>
      <c r="AN2654">
        <v>0.99999998307864701</v>
      </c>
    </row>
    <row r="2655" spans="1:40" x14ac:dyDescent="0.25">
      <c r="A2655" t="str">
        <f>"20190303153824133"</f>
        <v>20190303153824133</v>
      </c>
      <c r="B2655" t="str">
        <f>"1551598704121431"</f>
        <v>1551598704121431</v>
      </c>
      <c r="C2655" t="s">
        <v>40</v>
      </c>
      <c r="D2655">
        <v>4.008057</v>
      </c>
      <c r="E2655">
        <v>0.51832829999999996</v>
      </c>
      <c r="F2655" t="s">
        <v>46</v>
      </c>
      <c r="G2655">
        <v>0</v>
      </c>
      <c r="H2655">
        <v>0</v>
      </c>
      <c r="I2655">
        <v>0</v>
      </c>
      <c r="J2655">
        <v>-351.18599999999998</v>
      </c>
      <c r="K2655">
        <v>1.121461</v>
      </c>
      <c r="L2655">
        <v>284.1216</v>
      </c>
      <c r="M2655">
        <v>-0.99984870000000003</v>
      </c>
      <c r="N2655">
        <v>-1.4689839999999999E-2</v>
      </c>
      <c r="O2655">
        <v>9.3084280000000005E-3</v>
      </c>
      <c r="P2655">
        <v>-0.99899360000000004</v>
      </c>
      <c r="Q2655">
        <v>-3.6532710000000003E-2</v>
      </c>
      <c r="R2655">
        <v>-2.601697E-2</v>
      </c>
      <c r="S2655">
        <v>-3.0074459999999998</v>
      </c>
      <c r="T2655">
        <v>7.5027350000000007E-2</v>
      </c>
      <c r="U2655">
        <v>6.4117430000000003E-2</v>
      </c>
      <c r="V2655">
        <v>-3.5299070000000002E-2</v>
      </c>
      <c r="W2655">
        <v>-2.18858E-2</v>
      </c>
      <c r="X2655">
        <v>0.9991371</v>
      </c>
      <c r="Y2655">
        <v>1.201225E-2</v>
      </c>
      <c r="Z2655">
        <v>3.0730450000000001E-4</v>
      </c>
      <c r="AA2655">
        <v>0.99992780000000003</v>
      </c>
      <c r="AB2655">
        <v>35</v>
      </c>
      <c r="AC2655">
        <v>-3.0074459999999998</v>
      </c>
      <c r="AD2655">
        <v>7.5027350000000007E-2</v>
      </c>
      <c r="AE2655">
        <v>6.4117430000000003E-2</v>
      </c>
      <c r="AF2655">
        <v>3.6094580355242302E-2</v>
      </c>
      <c r="AG2655">
        <v>7.5027350000000007E-2</v>
      </c>
      <c r="AH2655">
        <v>3.0060425743938399</v>
      </c>
      <c r="AI2655">
        <v>88.570363379475694</v>
      </c>
      <c r="AJ2655">
        <v>89.3120630575429</v>
      </c>
      <c r="AK2655">
        <v>3.00719535132778</v>
      </c>
      <c r="AL2655">
        <v>91.254064125370306</v>
      </c>
      <c r="AM2655">
        <v>92.023392872498405</v>
      </c>
      <c r="AN2655">
        <v>0.99999997859045697</v>
      </c>
    </row>
    <row r="2656" spans="1:40" x14ac:dyDescent="0.25">
      <c r="A2656" t="str">
        <f>"20190303153824152"</f>
        <v>20190303153824152</v>
      </c>
      <c r="B2656" t="str">
        <f>"1551598704140950"</f>
        <v>1551598704140950</v>
      </c>
      <c r="C2656" t="s">
        <v>40</v>
      </c>
      <c r="D2656">
        <v>4.0336970000000001</v>
      </c>
      <c r="E2656">
        <v>0.51853640000000001</v>
      </c>
      <c r="F2656" t="s">
        <v>46</v>
      </c>
      <c r="G2656">
        <v>0</v>
      </c>
      <c r="H2656">
        <v>0</v>
      </c>
      <c r="I2656">
        <v>0</v>
      </c>
      <c r="J2656">
        <v>-351.49919999999997</v>
      </c>
      <c r="K2656">
        <v>1.121475</v>
      </c>
      <c r="L2656">
        <v>284.1241</v>
      </c>
      <c r="M2656">
        <v>-0.99985219999999997</v>
      </c>
      <c r="N2656">
        <v>-1.468707E-2</v>
      </c>
      <c r="O2656">
        <v>8.9460830000000005E-3</v>
      </c>
      <c r="P2656">
        <v>-0.9989846</v>
      </c>
      <c r="Q2656">
        <v>-3.6556310000000002E-2</v>
      </c>
      <c r="R2656">
        <v>-2.6339310000000001E-2</v>
      </c>
      <c r="S2656">
        <v>-3.0074770000000002</v>
      </c>
      <c r="T2656">
        <v>7.4330569999999999E-2</v>
      </c>
      <c r="U2656">
        <v>6.5002439999999995E-2</v>
      </c>
      <c r="V2656">
        <v>-3.525855E-2</v>
      </c>
      <c r="W2656">
        <v>-2.1913160000000001E-2</v>
      </c>
      <c r="X2656">
        <v>0.99913790000000002</v>
      </c>
      <c r="Y2656">
        <v>1.266812E-2</v>
      </c>
      <c r="Z2656">
        <v>2.8893819999999999E-4</v>
      </c>
      <c r="AA2656">
        <v>0.99991969999999997</v>
      </c>
      <c r="AB2656">
        <v>35</v>
      </c>
      <c r="AC2656">
        <v>-3.0074770000000002</v>
      </c>
      <c r="AD2656">
        <v>7.4330569999999999E-2</v>
      </c>
      <c r="AE2656">
        <v>6.5002439999999995E-2</v>
      </c>
      <c r="AF2656">
        <v>3.8068556170487398E-2</v>
      </c>
      <c r="AG2656">
        <v>7.4330569999999999E-2</v>
      </c>
      <c r="AH2656">
        <v>3.0061028013582201</v>
      </c>
      <c r="AI2656">
        <v>88.583674827316202</v>
      </c>
      <c r="AJ2656">
        <v>89.274458939838894</v>
      </c>
      <c r="AK2656">
        <v>3.0072625926146102</v>
      </c>
      <c r="AL2656">
        <v>91.255632152923098</v>
      </c>
      <c r="AM2656">
        <v>92.0210705189089</v>
      </c>
      <c r="AN2656">
        <v>0.99999994757284705</v>
      </c>
    </row>
    <row r="2657" spans="1:40" x14ac:dyDescent="0.25">
      <c r="A2657" t="str">
        <f>"20190303153824167"</f>
        <v>20190303153824167</v>
      </c>
      <c r="B2657" t="str">
        <f>"1551598704161445"</f>
        <v>1551598704161445</v>
      </c>
      <c r="C2657" t="s">
        <v>40</v>
      </c>
      <c r="D2657">
        <v>4.003768</v>
      </c>
      <c r="E2657">
        <v>0.51864179999999904</v>
      </c>
      <c r="F2657" t="s">
        <v>46</v>
      </c>
      <c r="G2657">
        <v>0</v>
      </c>
      <c r="H2657">
        <v>0</v>
      </c>
      <c r="I2657">
        <v>0</v>
      </c>
      <c r="J2657">
        <v>-351.7296</v>
      </c>
      <c r="K2657">
        <v>1.1214820000000001</v>
      </c>
      <c r="L2657">
        <v>284.1259</v>
      </c>
      <c r="M2657">
        <v>-0.99985469999999999</v>
      </c>
      <c r="N2657">
        <v>-1.468498E-2</v>
      </c>
      <c r="O2657">
        <v>8.6759200000000002E-3</v>
      </c>
      <c r="P2657">
        <v>-0.99897910000000001</v>
      </c>
      <c r="Q2657">
        <v>-3.6595799999999998E-2</v>
      </c>
      <c r="R2657">
        <v>-2.649924E-2</v>
      </c>
      <c r="S2657">
        <v>-3.0073850000000002</v>
      </c>
      <c r="T2657">
        <v>7.1349620000000002E-2</v>
      </c>
      <c r="U2657">
        <v>6.5734860000000006E-2</v>
      </c>
      <c r="V2657">
        <v>-3.514751E-2</v>
      </c>
      <c r="W2657">
        <v>-2.195517E-2</v>
      </c>
      <c r="X2657">
        <v>0.9991409</v>
      </c>
      <c r="Y2657">
        <v>1.3181969999999999E-2</v>
      </c>
      <c r="Z2657">
        <v>2.7362790000000001E-4</v>
      </c>
      <c r="AA2657">
        <v>0.9999131</v>
      </c>
      <c r="AB2657">
        <v>35</v>
      </c>
      <c r="AC2657">
        <v>-3.0073850000000002</v>
      </c>
      <c r="AD2657">
        <v>7.1349620000000002E-2</v>
      </c>
      <c r="AE2657">
        <v>6.5734860000000006E-2</v>
      </c>
      <c r="AF2657">
        <v>3.9615456874594897E-2</v>
      </c>
      <c r="AG2657">
        <v>7.1349620000000002E-2</v>
      </c>
      <c r="AH2657">
        <v>3.0061509068563002</v>
      </c>
      <c r="AI2657">
        <v>88.640484086645401</v>
      </c>
      <c r="AJ2657">
        <v>89.244992293159399</v>
      </c>
      <c r="AK2657">
        <v>3.00725845704862</v>
      </c>
      <c r="AL2657">
        <v>91.258039715476002</v>
      </c>
      <c r="AM2657">
        <v>92.014704756603194</v>
      </c>
      <c r="AN2657">
        <v>0.99999995750086801</v>
      </c>
    </row>
    <row r="2658" spans="1:40" x14ac:dyDescent="0.25">
      <c r="A2658" t="str">
        <f>"20190303153824180"</f>
        <v>20190303153824180</v>
      </c>
      <c r="B2658" t="str">
        <f>"1551598704171206"</f>
        <v>1551598704171206</v>
      </c>
      <c r="C2658" t="s">
        <v>40</v>
      </c>
      <c r="D2658">
        <v>4.0099</v>
      </c>
      <c r="E2658">
        <v>0.51875749999999998</v>
      </c>
      <c r="F2658" t="s">
        <v>46</v>
      </c>
      <c r="G2658">
        <v>0</v>
      </c>
      <c r="H2658">
        <v>0</v>
      </c>
      <c r="I2658">
        <v>0</v>
      </c>
      <c r="J2658">
        <v>-351.9409</v>
      </c>
      <c r="K2658">
        <v>1.1214919999999999</v>
      </c>
      <c r="L2658">
        <v>284.1275</v>
      </c>
      <c r="M2658">
        <v>-0.99985679999999999</v>
      </c>
      <c r="N2658">
        <v>-1.4683079999999999E-2</v>
      </c>
      <c r="O2658">
        <v>8.4267730000000002E-3</v>
      </c>
      <c r="P2658">
        <v>-0.99897530000000001</v>
      </c>
      <c r="Q2658">
        <v>-3.6607140000000003E-2</v>
      </c>
      <c r="R2658">
        <v>-2.662088E-2</v>
      </c>
      <c r="S2658">
        <v>-3.0073850000000002</v>
      </c>
      <c r="T2658">
        <v>6.8455219999999997E-2</v>
      </c>
      <c r="U2658">
        <v>6.6101069999999998E-2</v>
      </c>
      <c r="V2658">
        <v>-3.5020299999999997E-2</v>
      </c>
      <c r="W2658">
        <v>-2.1968629999999999E-2</v>
      </c>
      <c r="X2658">
        <v>0.99914510000000001</v>
      </c>
      <c r="Y2658">
        <v>1.355251E-2</v>
      </c>
      <c r="Z2658">
        <v>2.6077279999999999E-4</v>
      </c>
      <c r="AA2658">
        <v>0.99990809999999997</v>
      </c>
      <c r="AB2658">
        <v>35</v>
      </c>
      <c r="AC2658">
        <v>-3.0073850000000002</v>
      </c>
      <c r="AD2658">
        <v>6.8455219999999997E-2</v>
      </c>
      <c r="AE2658">
        <v>6.6101069999999998E-2</v>
      </c>
      <c r="AF2658">
        <v>4.0732348075220401E-2</v>
      </c>
      <c r="AG2658">
        <v>6.8455219999999997E-2</v>
      </c>
      <c r="AH2658">
        <v>3.0062783980631398</v>
      </c>
      <c r="AI2658">
        <v>88.695677109812607</v>
      </c>
      <c r="AJ2658">
        <v>89.223741606662202</v>
      </c>
      <c r="AK2658">
        <v>3.0073335445184699</v>
      </c>
      <c r="AL2658">
        <v>91.2588110662616</v>
      </c>
      <c r="AM2658">
        <v>92.007410445489995</v>
      </c>
      <c r="AN2658">
        <v>0.99999998648508803</v>
      </c>
    </row>
    <row r="2659" spans="1:40" x14ac:dyDescent="0.25">
      <c r="A2659" t="str">
        <f>"20190303153824197"</f>
        <v>20190303153824197</v>
      </c>
      <c r="B2659" t="str">
        <f>"1551598704191731"</f>
        <v>1551598704191731</v>
      </c>
      <c r="C2659" t="s">
        <v>40</v>
      </c>
      <c r="D2659">
        <v>4.0317629999999998</v>
      </c>
      <c r="E2659">
        <v>0.51894459999999998</v>
      </c>
      <c r="F2659" t="s">
        <v>46</v>
      </c>
      <c r="G2659">
        <v>0</v>
      </c>
      <c r="H2659">
        <v>0</v>
      </c>
      <c r="I2659">
        <v>0</v>
      </c>
      <c r="J2659">
        <v>-352.19650000000001</v>
      </c>
      <c r="K2659">
        <v>1.1214959999999901</v>
      </c>
      <c r="L2659">
        <v>284.12939999999998</v>
      </c>
      <c r="M2659">
        <v>-0.99985919999999895</v>
      </c>
      <c r="N2659">
        <v>-1.4680749999999999E-2</v>
      </c>
      <c r="O2659">
        <v>8.1245239999999993E-3</v>
      </c>
      <c r="P2659">
        <v>-0.99898609999999999</v>
      </c>
      <c r="Q2659">
        <v>-3.6660749999999999E-2</v>
      </c>
      <c r="R2659">
        <v>-2.6136320000000001E-2</v>
      </c>
      <c r="S2659">
        <v>-3.007355</v>
      </c>
      <c r="T2659">
        <v>6.7888379999999998E-2</v>
      </c>
      <c r="U2659">
        <v>6.674194E-2</v>
      </c>
      <c r="V2659">
        <v>-3.4233659999999999E-2</v>
      </c>
      <c r="W2659">
        <v>-2.2023919999999999E-2</v>
      </c>
      <c r="X2659">
        <v>0.99917109999999998</v>
      </c>
      <c r="Y2659">
        <v>1.4067690000000001E-2</v>
      </c>
      <c r="Z2659">
        <v>2.4713870000000001E-4</v>
      </c>
      <c r="AA2659">
        <v>0.99990100000000004</v>
      </c>
      <c r="AB2659">
        <v>35</v>
      </c>
      <c r="AC2659">
        <v>-3.007355</v>
      </c>
      <c r="AD2659">
        <v>6.7888379999999998E-2</v>
      </c>
      <c r="AE2659">
        <v>6.674194E-2</v>
      </c>
      <c r="AF2659">
        <v>4.2282238838485899E-2</v>
      </c>
      <c r="AG2659">
        <v>6.7888379999999998E-2</v>
      </c>
      <c r="AH2659">
        <v>3.0062668158675798</v>
      </c>
      <c r="AI2659">
        <v>88.706478026721996</v>
      </c>
      <c r="AJ2659">
        <v>89.194205219057295</v>
      </c>
      <c r="AK2659">
        <v>3.0073305086150399</v>
      </c>
      <c r="AL2659">
        <v>91.2619797729987</v>
      </c>
      <c r="AM2659">
        <v>91.962303823282497</v>
      </c>
      <c r="AN2659">
        <v>0.99999994180218399</v>
      </c>
    </row>
    <row r="2660" spans="1:40" x14ac:dyDescent="0.25">
      <c r="A2660" t="str">
        <f>"20190303153824208"</f>
        <v>20190303153824208</v>
      </c>
      <c r="B2660" t="str">
        <f>"1551598704201491"</f>
        <v>1551598704201491</v>
      </c>
      <c r="C2660" t="s">
        <v>40</v>
      </c>
      <c r="D2660">
        <v>4.039339</v>
      </c>
      <c r="E2660">
        <v>0.51904949999999905</v>
      </c>
      <c r="F2660" t="s">
        <v>46</v>
      </c>
      <c r="G2660">
        <v>0</v>
      </c>
      <c r="H2660">
        <v>0</v>
      </c>
      <c r="I2660">
        <v>0</v>
      </c>
      <c r="J2660">
        <v>-352.37169999999998</v>
      </c>
      <c r="K2660">
        <v>1.121502</v>
      </c>
      <c r="L2660">
        <v>284.13060000000002</v>
      </c>
      <c r="M2660">
        <v>-0.999861</v>
      </c>
      <c r="N2660">
        <v>-1.467913E-2</v>
      </c>
      <c r="O2660">
        <v>7.9169529999999991E-3</v>
      </c>
      <c r="P2660">
        <v>-0.99898240000000005</v>
      </c>
      <c r="Q2660">
        <v>-3.6846329999999997E-2</v>
      </c>
      <c r="R2660">
        <v>-2.6019810000000001E-2</v>
      </c>
      <c r="S2660">
        <v>-3.0073240000000001</v>
      </c>
      <c r="T2660">
        <v>6.7365289999999994E-2</v>
      </c>
      <c r="U2660">
        <v>6.9824220000000006E-2</v>
      </c>
      <c r="V2660">
        <v>-3.3909540000000002E-2</v>
      </c>
      <c r="W2660">
        <v>-2.2210980000000002E-2</v>
      </c>
      <c r="X2660">
        <v>0.99917809999999996</v>
      </c>
      <c r="Y2660">
        <v>1.529952E-2</v>
      </c>
      <c r="Z2660">
        <v>2.344801E-4</v>
      </c>
      <c r="AA2660">
        <v>0.99988290000000002</v>
      </c>
      <c r="AB2660">
        <v>35</v>
      </c>
      <c r="AC2660">
        <v>-3.0073240000000001</v>
      </c>
      <c r="AD2660">
        <v>6.7365289999999994E-2</v>
      </c>
      <c r="AE2660">
        <v>6.9824220000000006E-2</v>
      </c>
      <c r="AF2660">
        <v>4.5987561907838898E-2</v>
      </c>
      <c r="AG2660">
        <v>6.7365289999999994E-2</v>
      </c>
      <c r="AH2660">
        <v>3.0062749151270198</v>
      </c>
      <c r="AI2660">
        <v>88.716468126166802</v>
      </c>
      <c r="AJ2660">
        <v>89.123603866772896</v>
      </c>
      <c r="AK2660">
        <v>3.00738122017628</v>
      </c>
      <c r="AL2660">
        <v>91.272700032276106</v>
      </c>
      <c r="AM2660">
        <v>91.943725689284307</v>
      </c>
      <c r="AN2660">
        <v>1.00000003002759</v>
      </c>
    </row>
    <row r="2661" spans="1:40" x14ac:dyDescent="0.25">
      <c r="A2661" t="str">
        <f>"20190303153824220"</f>
        <v>20190303153824220</v>
      </c>
      <c r="B2661" t="str">
        <f>"1551598704211250"</f>
        <v>1551598704211250</v>
      </c>
      <c r="C2661" t="s">
        <v>40</v>
      </c>
      <c r="D2661">
        <v>4.0436269999999999</v>
      </c>
      <c r="E2661">
        <v>0.51907650000000005</v>
      </c>
      <c r="F2661" t="s">
        <v>46</v>
      </c>
      <c r="G2661">
        <v>0</v>
      </c>
      <c r="H2661">
        <v>0</v>
      </c>
      <c r="I2661">
        <v>0</v>
      </c>
      <c r="J2661">
        <v>-352.55470000000003</v>
      </c>
      <c r="K2661">
        <v>1.121505</v>
      </c>
      <c r="L2661">
        <v>284.13189999999997</v>
      </c>
      <c r="M2661">
        <v>-0.99986260000000005</v>
      </c>
      <c r="N2661">
        <v>-1.467741E-2</v>
      </c>
      <c r="O2661">
        <v>7.7008099999999998E-3</v>
      </c>
      <c r="P2661">
        <v>-0.99898549999999997</v>
      </c>
      <c r="Q2661">
        <v>-3.6907889999999999E-2</v>
      </c>
      <c r="R2661">
        <v>-2.5805760000000001E-2</v>
      </c>
      <c r="S2661">
        <v>-3.0074160000000001</v>
      </c>
      <c r="T2661">
        <v>6.7090750000000005E-2</v>
      </c>
      <c r="U2661">
        <v>7.1105959999999996E-2</v>
      </c>
      <c r="V2661">
        <v>-3.3479740000000001E-2</v>
      </c>
      <c r="W2661">
        <v>-2.2273890000000001E-2</v>
      </c>
      <c r="X2661">
        <v>0.99919119999999995</v>
      </c>
      <c r="Y2661">
        <v>1.5940659999999999E-2</v>
      </c>
      <c r="Z2661">
        <v>2.2399360000000001E-4</v>
      </c>
      <c r="AA2661">
        <v>0.99987289999999995</v>
      </c>
      <c r="AB2661">
        <v>35</v>
      </c>
      <c r="AC2661">
        <v>-3.0074160000000001</v>
      </c>
      <c r="AD2661">
        <v>6.7090750000000005E-2</v>
      </c>
      <c r="AE2661">
        <v>7.1105959999999996E-2</v>
      </c>
      <c r="AF2661">
        <v>4.7917982487060001E-2</v>
      </c>
      <c r="AG2661">
        <v>6.7090750000000005E-2</v>
      </c>
      <c r="AH2661">
        <v>3.0063791005329499</v>
      </c>
      <c r="AI2661">
        <v>88.7217543686874</v>
      </c>
      <c r="AJ2661">
        <v>89.086853117938801</v>
      </c>
      <c r="AK2661">
        <v>3.00750936788276</v>
      </c>
      <c r="AL2661">
        <v>91.276305393134095</v>
      </c>
      <c r="AM2661">
        <v>91.919082560755996</v>
      </c>
      <c r="AN2661">
        <v>1.00000003666181</v>
      </c>
    </row>
    <row r="2662" spans="1:40" x14ac:dyDescent="0.25">
      <c r="A2662" t="str">
        <f>"20190303153824241"</f>
        <v>20190303153824241</v>
      </c>
      <c r="B2662" t="str">
        <f>"1551598704231747"</f>
        <v>1551598704231747</v>
      </c>
      <c r="C2662" t="s">
        <v>40</v>
      </c>
      <c r="D2662">
        <v>4.0202730000000004</v>
      </c>
      <c r="E2662">
        <v>0.51915429999999996</v>
      </c>
      <c r="F2662" t="s">
        <v>46</v>
      </c>
      <c r="G2662">
        <v>0</v>
      </c>
      <c r="H2662">
        <v>0</v>
      </c>
      <c r="I2662">
        <v>0</v>
      </c>
      <c r="J2662">
        <v>-352.88600000000002</v>
      </c>
      <c r="K2662">
        <v>1.1215029999999999</v>
      </c>
      <c r="L2662">
        <v>284.13400000000001</v>
      </c>
      <c r="M2662">
        <v>-0.99986569999999997</v>
      </c>
      <c r="N2662">
        <v>-1.467424E-2</v>
      </c>
      <c r="O2662">
        <v>7.3100229999999997E-3</v>
      </c>
      <c r="P2662">
        <v>-0.99899499999999997</v>
      </c>
      <c r="Q2662">
        <v>-3.6975960000000002E-2</v>
      </c>
      <c r="R2662">
        <v>-2.53438E-2</v>
      </c>
      <c r="S2662">
        <v>-3.0073240000000001</v>
      </c>
      <c r="T2662">
        <v>6.6573499999999994E-2</v>
      </c>
      <c r="U2662">
        <v>7.1960449999999995E-2</v>
      </c>
      <c r="V2662">
        <v>-3.2626820000000001E-2</v>
      </c>
      <c r="W2662">
        <v>-2.2344269999999999E-2</v>
      </c>
      <c r="X2662">
        <v>0.99921780000000004</v>
      </c>
      <c r="Y2662">
        <v>1.6615769999999998E-2</v>
      </c>
      <c r="Z2662">
        <v>2.070931E-4</v>
      </c>
      <c r="AA2662">
        <v>0.99986200000000003</v>
      </c>
      <c r="AB2662">
        <v>35</v>
      </c>
      <c r="AC2662">
        <v>-3.0073240000000001</v>
      </c>
      <c r="AD2662">
        <v>6.6573499999999994E-2</v>
      </c>
      <c r="AE2662">
        <v>7.1960449999999995E-2</v>
      </c>
      <c r="AF2662">
        <v>4.9948090913237798E-2</v>
      </c>
      <c r="AG2662">
        <v>6.6573499999999994E-2</v>
      </c>
      <c r="AH2662">
        <v>3.0062973208833998</v>
      </c>
      <c r="AI2662">
        <v>88.731585485370402</v>
      </c>
      <c r="AJ2662">
        <v>89.048147533008702</v>
      </c>
      <c r="AK2662">
        <v>3.0074491557196401</v>
      </c>
      <c r="AL2662">
        <v>91.280338928668399</v>
      </c>
      <c r="AM2662">
        <v>91.870178000056498</v>
      </c>
      <c r="AN2662">
        <v>0.99999999381099203</v>
      </c>
    </row>
    <row r="2663" spans="1:40" x14ac:dyDescent="0.25">
      <c r="A2663" t="str">
        <f>"20190303153824253"</f>
        <v>20190303153824253</v>
      </c>
      <c r="B2663" t="str">
        <f>"1551598704241507"</f>
        <v>1551598704241507</v>
      </c>
      <c r="C2663" t="s">
        <v>40</v>
      </c>
      <c r="D2663">
        <v>4.009525</v>
      </c>
      <c r="E2663">
        <v>0.5191945</v>
      </c>
      <c r="F2663" t="s">
        <v>46</v>
      </c>
      <c r="G2663">
        <v>0</v>
      </c>
      <c r="H2663">
        <v>0</v>
      </c>
      <c r="I2663">
        <v>0</v>
      </c>
      <c r="J2663">
        <v>-353.07</v>
      </c>
      <c r="K2663">
        <v>1.1215029999999999</v>
      </c>
      <c r="L2663">
        <v>284.1352</v>
      </c>
      <c r="M2663">
        <v>-0.99986719999999896</v>
      </c>
      <c r="N2663">
        <v>-1.467245E-2</v>
      </c>
      <c r="O2663">
        <v>7.0934759999999996E-3</v>
      </c>
      <c r="P2663">
        <v>-0.99899700000000002</v>
      </c>
      <c r="Q2663">
        <v>-3.7039139999999998E-2</v>
      </c>
      <c r="R2663">
        <v>-2.516726E-2</v>
      </c>
      <c r="S2663">
        <v>-3.0073240000000001</v>
      </c>
      <c r="T2663">
        <v>6.5602779999999999E-2</v>
      </c>
      <c r="U2663">
        <v>7.3822020000000002E-2</v>
      </c>
      <c r="V2663">
        <v>-3.2234159999999998E-2</v>
      </c>
      <c r="W2663">
        <v>-2.2408839999999999E-2</v>
      </c>
      <c r="X2663">
        <v>0.99922909999999998</v>
      </c>
      <c r="Y2663">
        <v>1.745066E-2</v>
      </c>
      <c r="Z2663">
        <v>1.965115E-4</v>
      </c>
      <c r="AA2663">
        <v>0.99984770000000001</v>
      </c>
      <c r="AB2663">
        <v>35</v>
      </c>
      <c r="AC2663">
        <v>-3.0073240000000001</v>
      </c>
      <c r="AD2663">
        <v>6.5602779999999999E-2</v>
      </c>
      <c r="AE2663">
        <v>7.3822020000000002E-2</v>
      </c>
      <c r="AF2663">
        <v>5.2460536148985201E-2</v>
      </c>
      <c r="AG2663">
        <v>6.5602779999999999E-2</v>
      </c>
      <c r="AH2663">
        <v>3.0063422810220799</v>
      </c>
      <c r="AI2663">
        <v>88.750111013282094</v>
      </c>
      <c r="AJ2663">
        <v>89.000292714261903</v>
      </c>
      <c r="AK2663">
        <v>3.0075155433110901</v>
      </c>
      <c r="AL2663">
        <v>91.284039441264397</v>
      </c>
      <c r="AM2663">
        <v>91.847665439931106</v>
      </c>
      <c r="AN2663">
        <v>0.99999999573392995</v>
      </c>
    </row>
    <row r="2664" spans="1:40" x14ac:dyDescent="0.25">
      <c r="A2664" t="str">
        <f>"20190303153824265"</f>
        <v>20190303153824265</v>
      </c>
      <c r="B2664" t="str">
        <f>"1551598704261028"</f>
        <v>1551598704261028</v>
      </c>
      <c r="C2664" t="s">
        <v>40</v>
      </c>
      <c r="D2664">
        <v>4.0225749999999998</v>
      </c>
      <c r="E2664">
        <v>0.519246599999999</v>
      </c>
      <c r="F2664" t="s">
        <v>46</v>
      </c>
      <c r="G2664">
        <v>0</v>
      </c>
      <c r="H2664">
        <v>0</v>
      </c>
      <c r="I2664">
        <v>0</v>
      </c>
      <c r="J2664">
        <v>-353.26740000000001</v>
      </c>
      <c r="K2664">
        <v>1.121505</v>
      </c>
      <c r="L2664">
        <v>284.13639999999998</v>
      </c>
      <c r="M2664">
        <v>-0.99986889999999995</v>
      </c>
      <c r="N2664">
        <v>-1.4670509999999999E-2</v>
      </c>
      <c r="O2664">
        <v>6.8616759999999997E-3</v>
      </c>
      <c r="P2664">
        <v>-0.99898529999999996</v>
      </c>
      <c r="Q2664">
        <v>-3.715015E-2</v>
      </c>
      <c r="R2664">
        <v>-2.546839E-2</v>
      </c>
      <c r="S2664">
        <v>-3.0073240000000001</v>
      </c>
      <c r="T2664">
        <v>6.5354350000000005E-2</v>
      </c>
      <c r="U2664">
        <v>7.4676510000000001E-2</v>
      </c>
      <c r="V2664">
        <v>-3.2303169999999999E-2</v>
      </c>
      <c r="W2664">
        <v>-2.2522049999999998E-2</v>
      </c>
      <c r="X2664">
        <v>0.99922429999999995</v>
      </c>
      <c r="Y2664">
        <v>1.7966180000000002E-2</v>
      </c>
      <c r="Z2664">
        <v>1.863624E-4</v>
      </c>
      <c r="AA2664">
        <v>0.99983860000000002</v>
      </c>
      <c r="AB2664">
        <v>35</v>
      </c>
      <c r="AC2664">
        <v>-3.0073240000000001</v>
      </c>
      <c r="AD2664">
        <v>6.5354350000000005E-2</v>
      </c>
      <c r="AE2664">
        <v>7.4676510000000001E-2</v>
      </c>
      <c r="AF2664">
        <v>5.4011756711102199E-2</v>
      </c>
      <c r="AG2664">
        <v>6.5354350000000005E-2</v>
      </c>
      <c r="AH2664">
        <v>3.0063467221928</v>
      </c>
      <c r="AI2664">
        <v>88.754855910712493</v>
      </c>
      <c r="AJ2664">
        <v>88.970739872332103</v>
      </c>
      <c r="AK2664">
        <v>3.0075420321196402</v>
      </c>
      <c r="AL2664">
        <v>91.290527567666103</v>
      </c>
      <c r="AM2664">
        <v>91.851627238238805</v>
      </c>
      <c r="AN2664">
        <v>0.99999996961936999</v>
      </c>
    </row>
    <row r="2665" spans="1:40" x14ac:dyDescent="0.25">
      <c r="A2665" t="str">
        <f>"20190303153824276"</f>
        <v>20190303153824276</v>
      </c>
      <c r="B2665" t="str">
        <f>"1551598704271763"</f>
        <v>1551598704271763</v>
      </c>
      <c r="C2665" t="s">
        <v>40</v>
      </c>
      <c r="D2665">
        <v>4.0544010000000004</v>
      </c>
      <c r="E2665">
        <v>0.51931720000000003</v>
      </c>
      <c r="F2665" t="s">
        <v>46</v>
      </c>
      <c r="G2665">
        <v>0</v>
      </c>
      <c r="H2665">
        <v>0</v>
      </c>
      <c r="I2665">
        <v>0</v>
      </c>
      <c r="J2665">
        <v>-353.4384</v>
      </c>
      <c r="K2665">
        <v>1.1215079999999999</v>
      </c>
      <c r="L2665">
        <v>284.13740000000001</v>
      </c>
      <c r="M2665">
        <v>-0.99987029999999999</v>
      </c>
      <c r="N2665">
        <v>-1.4668809999999999E-2</v>
      </c>
      <c r="O2665">
        <v>6.6608750000000001E-3</v>
      </c>
      <c r="P2665">
        <v>-0.99897829999999999</v>
      </c>
      <c r="Q2665">
        <v>-3.7281509999999997E-2</v>
      </c>
      <c r="R2665">
        <v>-2.5553010000000001E-2</v>
      </c>
      <c r="S2665">
        <v>-3.007355</v>
      </c>
      <c r="T2665">
        <v>6.4056520000000006E-2</v>
      </c>
      <c r="U2665">
        <v>7.4279789999999998E-2</v>
      </c>
      <c r="V2665">
        <v>-3.2186810000000003E-2</v>
      </c>
      <c r="W2665">
        <v>-2.2655080000000001E-2</v>
      </c>
      <c r="X2665">
        <v>0.99922509999999998</v>
      </c>
      <c r="Y2665">
        <v>1.8034769999999999E-2</v>
      </c>
      <c r="Z2665">
        <v>1.7980359999999999E-4</v>
      </c>
      <c r="AA2665">
        <v>0.99983730000000004</v>
      </c>
      <c r="AB2665">
        <v>35</v>
      </c>
      <c r="AC2665">
        <v>-3.007355</v>
      </c>
      <c r="AD2665">
        <v>6.4056520000000006E-2</v>
      </c>
      <c r="AE2665">
        <v>7.4279789999999998E-2</v>
      </c>
      <c r="AF2665">
        <v>5.4219788321504703E-2</v>
      </c>
      <c r="AG2665">
        <v>6.4056520000000006E-2</v>
      </c>
      <c r="AH2665">
        <v>3.0064199474232902</v>
      </c>
      <c r="AI2665">
        <v>88.779606097692906</v>
      </c>
      <c r="AJ2665">
        <v>88.966801593168597</v>
      </c>
      <c r="AK2665">
        <v>3.0075910499043501</v>
      </c>
      <c r="AL2665">
        <v>91.298151502831004</v>
      </c>
      <c r="AM2665">
        <v>91.844960590496399</v>
      </c>
      <c r="AN2665">
        <v>1.00000002192889</v>
      </c>
    </row>
    <row r="2666" spans="1:40" x14ac:dyDescent="0.25">
      <c r="A2666" t="str">
        <f>"20190303153824289"</f>
        <v>20190303153824289</v>
      </c>
      <c r="B2666" t="str">
        <f>"1551598704281523"</f>
        <v>1551598704281523</v>
      </c>
      <c r="C2666" t="s">
        <v>40</v>
      </c>
      <c r="D2666">
        <v>4.0363100000000003</v>
      </c>
      <c r="E2666">
        <v>0.51937089999999997</v>
      </c>
      <c r="F2666" t="s">
        <v>46</v>
      </c>
      <c r="G2666">
        <v>0</v>
      </c>
      <c r="H2666">
        <v>0</v>
      </c>
      <c r="I2666">
        <v>0</v>
      </c>
      <c r="J2666">
        <v>-353.63499999999999</v>
      </c>
      <c r="K2666">
        <v>1.1215079999999999</v>
      </c>
      <c r="L2666">
        <v>284.13850000000002</v>
      </c>
      <c r="M2666">
        <v>-0.99987190000000004</v>
      </c>
      <c r="N2666">
        <v>-1.466683E-2</v>
      </c>
      <c r="O2666">
        <v>6.4303349999999997E-3</v>
      </c>
      <c r="P2666">
        <v>-0.99897000000000002</v>
      </c>
      <c r="Q2666">
        <v>-3.7213820000000002E-2</v>
      </c>
      <c r="R2666">
        <v>-2.5964649999999999E-2</v>
      </c>
      <c r="S2666">
        <v>-3.0073240000000001</v>
      </c>
      <c r="T2666">
        <v>6.3971760000000003E-2</v>
      </c>
      <c r="U2666">
        <v>7.421875E-2</v>
      </c>
      <c r="V2666">
        <v>-3.2368389999999997E-2</v>
      </c>
      <c r="W2666">
        <v>-2.2589649999999999E-2</v>
      </c>
      <c r="X2666">
        <v>0.99922069999999996</v>
      </c>
      <c r="Y2666">
        <v>1.8245109999999998E-2</v>
      </c>
      <c r="Z2666">
        <v>1.7086179999999999E-4</v>
      </c>
      <c r="AA2666">
        <v>0.99983350000000004</v>
      </c>
      <c r="AB2666">
        <v>35</v>
      </c>
      <c r="AC2666">
        <v>-3.0073240000000001</v>
      </c>
      <c r="AD2666">
        <v>6.3971760000000003E-2</v>
      </c>
      <c r="AE2666">
        <v>7.421875E-2</v>
      </c>
      <c r="AF2666">
        <v>5.4852231470452602E-2</v>
      </c>
      <c r="AG2666">
        <v>6.3971760000000003E-2</v>
      </c>
      <c r="AH2666">
        <v>3.0063795623691698</v>
      </c>
      <c r="AI2666">
        <v>88.7812087296915</v>
      </c>
      <c r="AJ2666">
        <v>88.954738538937704</v>
      </c>
      <c r="AK2666">
        <v>3.0075603445992201</v>
      </c>
      <c r="AL2666">
        <v>91.294401700859495</v>
      </c>
      <c r="AM2666">
        <v>91.855369737481595</v>
      </c>
      <c r="AN2666">
        <v>1.0000000061334</v>
      </c>
    </row>
    <row r="2667" spans="1:40" x14ac:dyDescent="0.25">
      <c r="A2667" t="str">
        <f>"20190303153824301"</f>
        <v>20190303153824301</v>
      </c>
      <c r="B2667" t="str">
        <f>"1551598704291283"</f>
        <v>1551598704291283</v>
      </c>
      <c r="C2667" t="s">
        <v>40</v>
      </c>
      <c r="D2667">
        <v>4.0388679999999999</v>
      </c>
      <c r="E2667">
        <v>0.51939559999999996</v>
      </c>
      <c r="F2667" t="s">
        <v>46</v>
      </c>
      <c r="G2667">
        <v>0</v>
      </c>
      <c r="H2667">
        <v>0</v>
      </c>
      <c r="I2667">
        <v>0</v>
      </c>
      <c r="J2667">
        <v>-353.81900000000002</v>
      </c>
      <c r="K2667">
        <v>1.121507</v>
      </c>
      <c r="L2667">
        <v>284.1395</v>
      </c>
      <c r="M2667">
        <v>-0.99987329999999996</v>
      </c>
      <c r="N2667">
        <v>-1.466495E-2</v>
      </c>
      <c r="O2667">
        <v>6.2147620000000004E-3</v>
      </c>
      <c r="P2667">
        <v>-0.99897309999999995</v>
      </c>
      <c r="Q2667">
        <v>-3.7127390000000003E-2</v>
      </c>
      <c r="R2667">
        <v>-2.597412E-2</v>
      </c>
      <c r="S2667">
        <v>-3.007355</v>
      </c>
      <c r="T2667">
        <v>6.4302799999999993E-2</v>
      </c>
      <c r="U2667">
        <v>7.3486330000000002E-2</v>
      </c>
      <c r="V2667">
        <v>-3.2162610000000001E-2</v>
      </c>
      <c r="W2667">
        <v>-2.250483E-2</v>
      </c>
      <c r="X2667">
        <v>0.99922929999999999</v>
      </c>
      <c r="Y2667">
        <v>1.8216929999999999E-2</v>
      </c>
      <c r="Z2667">
        <v>1.6286259999999999E-4</v>
      </c>
      <c r="AA2667">
        <v>0.99983409999999995</v>
      </c>
      <c r="AB2667">
        <v>35</v>
      </c>
      <c r="AC2667">
        <v>-3.007355</v>
      </c>
      <c r="AD2667">
        <v>6.4302799999999993E-2</v>
      </c>
      <c r="AE2667">
        <v>7.3486330000000002E-2</v>
      </c>
      <c r="AF2667">
        <v>5.4767883683458897E-2</v>
      </c>
      <c r="AG2667">
        <v>6.4302799999999993E-2</v>
      </c>
      <c r="AH2667">
        <v>3.0063800125368898</v>
      </c>
      <c r="AI2667">
        <v>88.774903223175798</v>
      </c>
      <c r="AJ2667">
        <v>88.956345666728893</v>
      </c>
      <c r="AK2667">
        <v>3.00756631696665</v>
      </c>
      <c r="AL2667">
        <v>91.289540583837706</v>
      </c>
      <c r="AM2667">
        <v>91.843566650951203</v>
      </c>
      <c r="AN2667">
        <v>1.00000004741691</v>
      </c>
    </row>
    <row r="2668" spans="1:40" x14ac:dyDescent="0.25">
      <c r="A2668" t="str">
        <f>"20190303153824313"</f>
        <v>20190303153824313</v>
      </c>
      <c r="B2668" t="str">
        <f>"1551598704301042"</f>
        <v>1551598704301042</v>
      </c>
      <c r="C2668" t="s">
        <v>40</v>
      </c>
      <c r="D2668">
        <v>4.0452899999999996</v>
      </c>
      <c r="E2668">
        <v>0.51941910000000002</v>
      </c>
      <c r="F2668" t="s">
        <v>46</v>
      </c>
      <c r="G2668">
        <v>0</v>
      </c>
      <c r="H2668">
        <v>0</v>
      </c>
      <c r="I2668">
        <v>0</v>
      </c>
      <c r="J2668">
        <v>-354.0127</v>
      </c>
      <c r="K2668">
        <v>1.1215079999999999</v>
      </c>
      <c r="L2668">
        <v>284.1404</v>
      </c>
      <c r="M2668">
        <v>-0.99987470000000001</v>
      </c>
      <c r="N2668">
        <v>-1.4662959999999999E-2</v>
      </c>
      <c r="O2668">
        <v>5.9877480000000002E-3</v>
      </c>
      <c r="P2668">
        <v>-0.99894680000000002</v>
      </c>
      <c r="Q2668">
        <v>-3.7560389999999999E-2</v>
      </c>
      <c r="R2668">
        <v>-2.636107E-2</v>
      </c>
      <c r="S2668">
        <v>-3.0073850000000002</v>
      </c>
      <c r="T2668">
        <v>6.4424869999999995E-2</v>
      </c>
      <c r="U2668">
        <v>7.3791499999999996E-2</v>
      </c>
      <c r="V2668">
        <v>-3.2321929999999999E-2</v>
      </c>
      <c r="W2668">
        <v>-2.2940249999999999E-2</v>
      </c>
      <c r="X2668">
        <v>0.99921420000000005</v>
      </c>
      <c r="Y2668">
        <v>1.8544910000000001E-2</v>
      </c>
      <c r="Z2668">
        <v>1.5341899999999999E-4</v>
      </c>
      <c r="AA2668">
        <v>0.99982800000000005</v>
      </c>
      <c r="AB2668">
        <v>35</v>
      </c>
      <c r="AC2668">
        <v>-3.0073850000000002</v>
      </c>
      <c r="AD2668">
        <v>6.4424869999999995E-2</v>
      </c>
      <c r="AE2668">
        <v>7.3791499999999996E-2</v>
      </c>
      <c r="AF2668">
        <v>5.57552083467154E-2</v>
      </c>
      <c r="AG2668">
        <v>6.4424869999999995E-2</v>
      </c>
      <c r="AH2668">
        <v>3.0063941291832998</v>
      </c>
      <c r="AI2668">
        <v>88.772591421001195</v>
      </c>
      <c r="AJ2668">
        <v>88.937540514529701</v>
      </c>
      <c r="AK2668">
        <v>3.00760118152659</v>
      </c>
      <c r="AL2668">
        <v>91.314494829768194</v>
      </c>
      <c r="AM2668">
        <v>91.852720531726007</v>
      </c>
      <c r="AN2668">
        <v>0.99999998985531302</v>
      </c>
    </row>
    <row r="2669" spans="1:40" x14ac:dyDescent="0.25">
      <c r="A2669" t="str">
        <f>"20190303153824325"</f>
        <v>20190303153824325</v>
      </c>
      <c r="B2669" t="str">
        <f>"1551598704321538"</f>
        <v>1551598704321538</v>
      </c>
      <c r="C2669" t="s">
        <v>40</v>
      </c>
      <c r="D2669">
        <v>4.0246180000000003</v>
      </c>
      <c r="E2669">
        <v>0.51936749999999998</v>
      </c>
      <c r="F2669" t="s">
        <v>46</v>
      </c>
      <c r="G2669">
        <v>0</v>
      </c>
      <c r="H2669">
        <v>0</v>
      </c>
      <c r="I2669">
        <v>0</v>
      </c>
      <c r="J2669">
        <v>-354.20139999999998</v>
      </c>
      <c r="K2669">
        <v>1.121507</v>
      </c>
      <c r="L2669">
        <v>284.14139999999998</v>
      </c>
      <c r="M2669">
        <v>-0.99987590000000004</v>
      </c>
      <c r="N2669">
        <v>-1.4661E-2</v>
      </c>
      <c r="O2669">
        <v>5.7666999999999996E-3</v>
      </c>
      <c r="P2669">
        <v>-0.99892650000000005</v>
      </c>
      <c r="Q2669">
        <v>-3.7578279999999999E-2</v>
      </c>
      <c r="R2669">
        <v>-2.70876E-2</v>
      </c>
      <c r="S2669">
        <v>-3.0074459999999998</v>
      </c>
      <c r="T2669">
        <v>6.3236829999999994E-2</v>
      </c>
      <c r="U2669">
        <v>7.2814939999999995E-2</v>
      </c>
      <c r="V2669">
        <v>-3.2827910000000002E-2</v>
      </c>
      <c r="W2669">
        <v>-2.296082E-2</v>
      </c>
      <c r="X2669">
        <v>0.99919720000000001</v>
      </c>
      <c r="Y2669">
        <v>1.844086E-2</v>
      </c>
      <c r="Z2669">
        <v>1.471314E-4</v>
      </c>
      <c r="AA2669">
        <v>0.99982990000000005</v>
      </c>
      <c r="AB2669">
        <v>35</v>
      </c>
      <c r="AC2669">
        <v>-3.0074459999999998</v>
      </c>
      <c r="AD2669">
        <v>6.3236829999999994E-2</v>
      </c>
      <c r="AE2669">
        <v>7.2814939999999995E-2</v>
      </c>
      <c r="AF2669">
        <v>5.54443271592161E-2</v>
      </c>
      <c r="AG2669">
        <v>6.3236829999999994E-2</v>
      </c>
      <c r="AH2669">
        <v>3.00648746703741</v>
      </c>
      <c r="AI2669">
        <v>88.795254042998295</v>
      </c>
      <c r="AJ2669">
        <v>88.943496047494506</v>
      </c>
      <c r="AK2669">
        <v>3.0076635216618999</v>
      </c>
      <c r="AL2669">
        <v>91.315673756782502</v>
      </c>
      <c r="AM2669">
        <v>91.881735037456593</v>
      </c>
      <c r="AN2669">
        <v>0.99999995770893901</v>
      </c>
    </row>
    <row r="2670" spans="1:40" x14ac:dyDescent="0.25">
      <c r="A2670" t="str">
        <f>"20190303153824337"</f>
        <v>20190303153824337</v>
      </c>
      <c r="B2670" t="str">
        <f>"1551598704331298"</f>
        <v>1551598704331298</v>
      </c>
      <c r="C2670" t="s">
        <v>40</v>
      </c>
      <c r="D2670">
        <v>4.0247739999999999</v>
      </c>
      <c r="E2670">
        <v>0.51927129999999999</v>
      </c>
      <c r="F2670" t="s">
        <v>46</v>
      </c>
      <c r="G2670">
        <v>0</v>
      </c>
      <c r="H2670">
        <v>0</v>
      </c>
      <c r="I2670">
        <v>0</v>
      </c>
      <c r="J2670">
        <v>-354.3784</v>
      </c>
      <c r="K2670">
        <v>1.1215079999999999</v>
      </c>
      <c r="L2670">
        <v>284.1422</v>
      </c>
      <c r="M2670">
        <v>-0.99987720000000002</v>
      </c>
      <c r="N2670">
        <v>-1.4659139999999999E-2</v>
      </c>
      <c r="O2670">
        <v>5.5596619999999999E-3</v>
      </c>
      <c r="P2670">
        <v>-0.99891039999999998</v>
      </c>
      <c r="Q2670">
        <v>-3.7724220000000003E-2</v>
      </c>
      <c r="R2670">
        <v>-2.7475869999999999E-2</v>
      </c>
      <c r="S2670">
        <v>-3.0075379999999998</v>
      </c>
      <c r="T2670">
        <v>6.2977430000000001E-2</v>
      </c>
      <c r="U2670">
        <v>7.0190429999999998E-2</v>
      </c>
      <c r="V2670">
        <v>-3.3008839999999998E-2</v>
      </c>
      <c r="W2670">
        <v>-2.310891E-2</v>
      </c>
      <c r="X2670">
        <v>0.99918790000000002</v>
      </c>
      <c r="Y2670">
        <v>1.777507E-2</v>
      </c>
      <c r="Z2670">
        <v>1.4212179999999999E-4</v>
      </c>
      <c r="AA2670">
        <v>0.99984200000000001</v>
      </c>
      <c r="AB2670">
        <v>35</v>
      </c>
      <c r="AC2670">
        <v>-3.0075379999999998</v>
      </c>
      <c r="AD2670">
        <v>6.2977430000000001E-2</v>
      </c>
      <c r="AE2670">
        <v>7.0190429999999998E-2</v>
      </c>
      <c r="AF2670">
        <v>5.3443234254576102E-2</v>
      </c>
      <c r="AG2670">
        <v>6.2977430000000001E-2</v>
      </c>
      <c r="AH2670">
        <v>3.0065641913271999</v>
      </c>
      <c r="AI2670">
        <v>88.800210658501598</v>
      </c>
      <c r="AJ2670">
        <v>88.981645118481097</v>
      </c>
      <c r="AK2670">
        <v>3.0076985508105598</v>
      </c>
      <c r="AL2670">
        <v>91.324160842222597</v>
      </c>
      <c r="AM2670">
        <v>91.892116241509299</v>
      </c>
      <c r="AN2670">
        <v>1.0000000323729701</v>
      </c>
    </row>
    <row r="2671" spans="1:40" x14ac:dyDescent="0.25">
      <c r="A2671" t="str">
        <f>"20190303153824351"</f>
        <v>20190303153824351</v>
      </c>
      <c r="B2671" t="str">
        <f>"1551598704341061"</f>
        <v>1551598704341061</v>
      </c>
      <c r="C2671" t="s">
        <v>40</v>
      </c>
      <c r="D2671">
        <v>4.0535819999999996</v>
      </c>
      <c r="E2671">
        <v>0.51926850000000002</v>
      </c>
      <c r="F2671" t="s">
        <v>46</v>
      </c>
      <c r="G2671">
        <v>0</v>
      </c>
      <c r="H2671">
        <v>0</v>
      </c>
      <c r="I2671">
        <v>0</v>
      </c>
      <c r="J2671">
        <v>-354.59750000000003</v>
      </c>
      <c r="K2671">
        <v>1.1215059999999999</v>
      </c>
      <c r="L2671">
        <v>284.14319999999998</v>
      </c>
      <c r="M2671">
        <v>-0.99987859999999995</v>
      </c>
      <c r="N2671">
        <v>-1.4656840000000001E-2</v>
      </c>
      <c r="O2671">
        <v>5.3039990000000002E-3</v>
      </c>
      <c r="P2671">
        <v>-0.99888160000000004</v>
      </c>
      <c r="Q2671">
        <v>-3.795258E-2</v>
      </c>
      <c r="R2671">
        <v>-2.820195E-2</v>
      </c>
      <c r="S2671">
        <v>-3.0074459999999998</v>
      </c>
      <c r="T2671">
        <v>6.1289789999999997E-2</v>
      </c>
      <c r="U2671">
        <v>6.8450929999999993E-2</v>
      </c>
      <c r="V2671">
        <v>-3.3479389999999998E-2</v>
      </c>
      <c r="W2671">
        <v>-2.3340280000000001E-2</v>
      </c>
      <c r="X2671">
        <v>0.99916680000000002</v>
      </c>
      <c r="Y2671">
        <v>1.745331E-2</v>
      </c>
      <c r="Z2671">
        <v>1.359167E-4</v>
      </c>
      <c r="AA2671">
        <v>0.99984770000000001</v>
      </c>
      <c r="AB2671">
        <v>35</v>
      </c>
      <c r="AC2671">
        <v>-3.0074459999999998</v>
      </c>
      <c r="AD2671">
        <v>6.1289789999999997E-2</v>
      </c>
      <c r="AE2671">
        <v>6.8450929999999993E-2</v>
      </c>
      <c r="AF2671">
        <v>5.2474981561140999E-2</v>
      </c>
      <c r="AG2671">
        <v>6.1289789999999997E-2</v>
      </c>
      <c r="AH2671">
        <v>3.0065187755382499</v>
      </c>
      <c r="AI2671">
        <v>88.832328785963</v>
      </c>
      <c r="AJ2671">
        <v>89.000076184060902</v>
      </c>
      <c r="AK2671">
        <v>3.0076012384809498</v>
      </c>
      <c r="AL2671">
        <v>91.337421031425194</v>
      </c>
      <c r="AM2671">
        <v>91.919109342637299</v>
      </c>
      <c r="AN2671">
        <v>0.99999996622374399</v>
      </c>
    </row>
    <row r="2672" spans="1:40" x14ac:dyDescent="0.25">
      <c r="A2672" t="str">
        <f>"20190303153824365"</f>
        <v>20190303153824365</v>
      </c>
      <c r="B2672" t="str">
        <f>"1551598704361554"</f>
        <v>1551598704361554</v>
      </c>
      <c r="C2672" t="s">
        <v>40</v>
      </c>
      <c r="D2672">
        <v>4.0569480000000002</v>
      </c>
      <c r="E2672">
        <v>0.51918729999999902</v>
      </c>
      <c r="F2672" t="s">
        <v>46</v>
      </c>
      <c r="G2672">
        <v>0</v>
      </c>
      <c r="H2672">
        <v>0</v>
      </c>
      <c r="I2672">
        <v>0</v>
      </c>
      <c r="J2672">
        <v>-354.82920000000001</v>
      </c>
      <c r="K2672">
        <v>1.121502</v>
      </c>
      <c r="L2672">
        <v>284.14409999999998</v>
      </c>
      <c r="M2672">
        <v>-0.99987999999999999</v>
      </c>
      <c r="N2672">
        <v>-1.465439E-2</v>
      </c>
      <c r="O2672">
        <v>5.0356619999999998E-3</v>
      </c>
      <c r="P2672">
        <v>-0.99888500000000002</v>
      </c>
      <c r="Q2672">
        <v>-3.7378870000000002E-2</v>
      </c>
      <c r="R2672">
        <v>-2.883836E-2</v>
      </c>
      <c r="S2672">
        <v>-3.007568</v>
      </c>
      <c r="T2672">
        <v>5.9833169999999998E-2</v>
      </c>
      <c r="U2672">
        <v>6.6040039999999994E-2</v>
      </c>
      <c r="V2672">
        <v>-3.38486E-2</v>
      </c>
      <c r="W2672">
        <v>-2.276916E-2</v>
      </c>
      <c r="X2672">
        <v>0.99916760000000004</v>
      </c>
      <c r="Y2672">
        <v>1.691952E-2</v>
      </c>
      <c r="Z2672">
        <v>1.2966909999999999E-4</v>
      </c>
      <c r="AA2672">
        <v>0.99985679999999999</v>
      </c>
      <c r="AB2672">
        <v>35</v>
      </c>
      <c r="AC2672">
        <v>-3.007568</v>
      </c>
      <c r="AD2672">
        <v>5.9833169999999998E-2</v>
      </c>
      <c r="AE2672">
        <v>6.6040039999999994E-2</v>
      </c>
      <c r="AF2672">
        <v>5.0872356542175798E-2</v>
      </c>
      <c r="AG2672">
        <v>5.9833169999999998E-2</v>
      </c>
      <c r="AH2672">
        <v>3.0066730442091698</v>
      </c>
      <c r="AI2672">
        <v>88.860120397735997</v>
      </c>
      <c r="AJ2672">
        <v>89.030658411618305</v>
      </c>
      <c r="AK2672">
        <v>3.00769858856675</v>
      </c>
      <c r="AL2672">
        <v>91.304689484276196</v>
      </c>
      <c r="AM2672">
        <v>91.940255599147406</v>
      </c>
      <c r="AN2672">
        <v>1.0000000276294101</v>
      </c>
    </row>
    <row r="2673" spans="1:40" x14ac:dyDescent="0.25">
      <c r="A2673" t="str">
        <f>"20190303153824381"</f>
        <v>20190303153824381</v>
      </c>
      <c r="B2673" t="str">
        <f>"1551598704371315"</f>
        <v>1551598704371315</v>
      </c>
      <c r="C2673" t="s">
        <v>40</v>
      </c>
      <c r="D2673">
        <v>4.0591730000000004</v>
      </c>
      <c r="E2673">
        <v>0.51912400000000003</v>
      </c>
      <c r="F2673" t="s">
        <v>46</v>
      </c>
      <c r="G2673">
        <v>0</v>
      </c>
      <c r="H2673">
        <v>0</v>
      </c>
      <c r="I2673">
        <v>0</v>
      </c>
      <c r="J2673">
        <v>-355.05259999999998</v>
      </c>
      <c r="K2673">
        <v>1.121505</v>
      </c>
      <c r="L2673">
        <v>284.14499999999998</v>
      </c>
      <c r="M2673">
        <v>-0.99988129999999997</v>
      </c>
      <c r="N2673">
        <v>-1.4652E-2</v>
      </c>
      <c r="O2673">
        <v>4.7794409999999997E-3</v>
      </c>
      <c r="P2673">
        <v>-0.99888589999999999</v>
      </c>
      <c r="Q2673">
        <v>-3.700465E-2</v>
      </c>
      <c r="R2673">
        <v>-2.9292370000000002E-2</v>
      </c>
      <c r="S2673">
        <v>-3.0074459999999998</v>
      </c>
      <c r="T2673">
        <v>6.0428500000000003E-2</v>
      </c>
      <c r="U2673">
        <v>6.3354489999999999E-2</v>
      </c>
      <c r="V2673">
        <v>-3.404662E-2</v>
      </c>
      <c r="W2673">
        <v>-2.2397219999999999E-2</v>
      </c>
      <c r="X2673">
        <v>0.99916919999999998</v>
      </c>
      <c r="Y2673">
        <v>1.628406E-2</v>
      </c>
      <c r="Z2673">
        <v>1.217815E-4</v>
      </c>
      <c r="AA2673">
        <v>0.99986739999999996</v>
      </c>
      <c r="AB2673">
        <v>35</v>
      </c>
      <c r="AC2673">
        <v>-3.0074459999999998</v>
      </c>
      <c r="AD2673">
        <v>6.0428500000000003E-2</v>
      </c>
      <c r="AE2673">
        <v>6.3354489999999999E-2</v>
      </c>
      <c r="AF2673">
        <v>4.8958556229213399E-2</v>
      </c>
      <c r="AG2673">
        <v>6.0428500000000003E-2</v>
      </c>
      <c r="AH2673">
        <v>3.0065012065991001</v>
      </c>
      <c r="AI2673">
        <v>88.848703901813806</v>
      </c>
      <c r="AJ2673">
        <v>89.067064824022296</v>
      </c>
      <c r="AK2673">
        <v>3.0075069491394602</v>
      </c>
      <c r="AL2673">
        <v>91.283373557136002</v>
      </c>
      <c r="AM2673">
        <v>91.951594545825799</v>
      </c>
      <c r="AN2673">
        <v>0.99999994901289502</v>
      </c>
    </row>
    <row r="2674" spans="1:40" x14ac:dyDescent="0.25">
      <c r="A2674" t="str">
        <f>"20190303153824398"</f>
        <v>20190303153824398</v>
      </c>
      <c r="B2674" t="str">
        <f>"1551598704391811"</f>
        <v>1551598704391811</v>
      </c>
      <c r="C2674" t="s">
        <v>40</v>
      </c>
      <c r="D2674">
        <v>4.026535</v>
      </c>
      <c r="E2674">
        <v>0.51911010000000002</v>
      </c>
      <c r="F2674" t="s">
        <v>46</v>
      </c>
      <c r="G2674">
        <v>0</v>
      </c>
      <c r="H2674">
        <v>0</v>
      </c>
      <c r="I2674">
        <v>0</v>
      </c>
      <c r="J2674">
        <v>-355.33269999999999</v>
      </c>
      <c r="K2674">
        <v>1.1215029999999999</v>
      </c>
      <c r="L2674">
        <v>284.14600000000002</v>
      </c>
      <c r="M2674">
        <v>-0.99988290000000002</v>
      </c>
      <c r="N2674">
        <v>-1.4648980000000001E-2</v>
      </c>
      <c r="O2674">
        <v>4.4640820000000003E-3</v>
      </c>
      <c r="P2674">
        <v>-0.9988863</v>
      </c>
      <c r="Q2674">
        <v>-3.663483E-2</v>
      </c>
      <c r="R2674">
        <v>-2.9736539999999999E-2</v>
      </c>
      <c r="S2674">
        <v>-3.0074160000000001</v>
      </c>
      <c r="T2674">
        <v>6.119347E-2</v>
      </c>
      <c r="U2674">
        <v>6.1645510000000001E-2</v>
      </c>
      <c r="V2674">
        <v>-3.4176949999999998E-2</v>
      </c>
      <c r="W2674">
        <v>-2.2030049999999999E-2</v>
      </c>
      <c r="X2674">
        <v>0.99917299999999998</v>
      </c>
      <c r="Y2674">
        <v>1.6031500000000001E-2</v>
      </c>
      <c r="Z2674">
        <v>1.105709E-4</v>
      </c>
      <c r="AA2674">
        <v>0.99987150000000002</v>
      </c>
      <c r="AB2674">
        <v>35</v>
      </c>
      <c r="AC2674">
        <v>-3.0074160000000001</v>
      </c>
      <c r="AD2674">
        <v>6.119347E-2</v>
      </c>
      <c r="AE2674">
        <v>6.1645510000000001E-2</v>
      </c>
      <c r="AF2674">
        <v>4.8198158814167003E-2</v>
      </c>
      <c r="AG2674">
        <v>6.119347E-2</v>
      </c>
      <c r="AH2674">
        <v>3.0064170483277</v>
      </c>
      <c r="AI2674">
        <v>88.834096154435898</v>
      </c>
      <c r="AJ2674">
        <v>89.081526453717501</v>
      </c>
      <c r="AK2674">
        <v>3.0074260043697101</v>
      </c>
      <c r="AL2674">
        <v>91.262330963122196</v>
      </c>
      <c r="AM2674">
        <v>91.959051968343402</v>
      </c>
      <c r="AN2674">
        <v>1.0000000354716501</v>
      </c>
    </row>
    <row r="2675" spans="1:40" x14ac:dyDescent="0.25">
      <c r="A2675" t="str">
        <f>"20190303153824411"</f>
        <v>20190303153824411</v>
      </c>
      <c r="B2675" t="str">
        <f>"1551598704401570"</f>
        <v>1551598704401570</v>
      </c>
      <c r="C2675" t="s">
        <v>40</v>
      </c>
      <c r="D2675">
        <v>4.0068570000000001</v>
      </c>
      <c r="E2675">
        <v>0.51228819999999997</v>
      </c>
      <c r="F2675" t="s">
        <v>46</v>
      </c>
      <c r="G2675">
        <v>0</v>
      </c>
      <c r="H2675">
        <v>0</v>
      </c>
      <c r="I2675">
        <v>0</v>
      </c>
      <c r="J2675">
        <v>-355.52190000000002</v>
      </c>
      <c r="K2675">
        <v>1.1215029999999999</v>
      </c>
      <c r="L2675">
        <v>284.14670000000001</v>
      </c>
      <c r="M2675">
        <v>-0.99988379999999999</v>
      </c>
      <c r="N2675">
        <v>-1.4646930000000001E-2</v>
      </c>
      <c r="O2675">
        <v>4.2542609999999996E-3</v>
      </c>
      <c r="P2675">
        <v>-0.99888209999999999</v>
      </c>
      <c r="Q2675">
        <v>-3.6826409999999997E-2</v>
      </c>
      <c r="R2675">
        <v>-2.9640070000000001E-2</v>
      </c>
      <c r="S2675">
        <v>-3.0074160000000001</v>
      </c>
      <c r="T2675">
        <v>6.2288049999999998E-2</v>
      </c>
      <c r="U2675">
        <v>6.0150149999999999E-2</v>
      </c>
      <c r="V2675">
        <v>-3.387093E-2</v>
      </c>
      <c r="W2675">
        <v>-2.2223E-2</v>
      </c>
      <c r="X2675">
        <v>0.99917909999999999</v>
      </c>
      <c r="Y2675">
        <v>1.5744230000000001E-2</v>
      </c>
      <c r="Z2675">
        <v>1.0270529999999999E-4</v>
      </c>
      <c r="AA2675">
        <v>0.99987599999999999</v>
      </c>
      <c r="AB2675">
        <v>35</v>
      </c>
      <c r="AC2675">
        <v>-3.0074160000000001</v>
      </c>
      <c r="AD2675">
        <v>6.2288049999999998E-2</v>
      </c>
      <c r="AE2675">
        <v>6.0150149999999999E-2</v>
      </c>
      <c r="AF2675">
        <v>4.7333605536556002E-2</v>
      </c>
      <c r="AG2675">
        <v>6.2288049999999998E-2</v>
      </c>
      <c r="AH2675">
        <v>3.0063555932553201</v>
      </c>
      <c r="AI2675">
        <v>88.813217642203398</v>
      </c>
      <c r="AJ2675">
        <v>89.097980367926098</v>
      </c>
      <c r="AK2675">
        <v>3.0073733097976798</v>
      </c>
      <c r="AL2675">
        <v>91.273388951397905</v>
      </c>
      <c r="AM2675">
        <v>91.941512282075607</v>
      </c>
      <c r="AN2675">
        <v>0.99999998775243704</v>
      </c>
    </row>
    <row r="2676" spans="1:40" x14ac:dyDescent="0.25">
      <c r="A2676" t="str">
        <f>"20190303153824424"</f>
        <v>20190303153824424</v>
      </c>
      <c r="B2676" t="str">
        <f>"1551598704411330"</f>
        <v>1551598704411330</v>
      </c>
      <c r="C2676" t="s">
        <v>40</v>
      </c>
      <c r="D2676">
        <v>3.9827940000000002</v>
      </c>
      <c r="E2676">
        <v>0.51212740000000001</v>
      </c>
      <c r="F2676" t="s">
        <v>46</v>
      </c>
      <c r="G2676">
        <v>0</v>
      </c>
      <c r="H2676">
        <v>0</v>
      </c>
      <c r="I2676">
        <v>0</v>
      </c>
      <c r="J2676">
        <v>-355.72430000000003</v>
      </c>
      <c r="K2676">
        <v>1.1214999999999999</v>
      </c>
      <c r="L2676">
        <v>284.14729999999997</v>
      </c>
      <c r="M2676">
        <v>-0.99988469999999996</v>
      </c>
      <c r="N2676">
        <v>-1.464473E-2</v>
      </c>
      <c r="O2676">
        <v>4.0348190000000003E-3</v>
      </c>
      <c r="P2676">
        <v>-0.99888659999999996</v>
      </c>
      <c r="Q2676">
        <v>-3.6965749999999999E-2</v>
      </c>
      <c r="R2676">
        <v>-2.9314099999999999E-2</v>
      </c>
      <c r="S2676">
        <v>-3.0060419999999999</v>
      </c>
      <c r="T2676">
        <v>6.980538E-2</v>
      </c>
      <c r="U2676">
        <v>5.9509280000000003E-3</v>
      </c>
      <c r="V2676">
        <v>-3.3325769999999998E-2</v>
      </c>
      <c r="W2676">
        <v>-2.236337E-2</v>
      </c>
      <c r="X2676">
        <v>0.99919429999999998</v>
      </c>
      <c r="Y2676">
        <v>-2.0525109999999999E-3</v>
      </c>
      <c r="Z2676">
        <v>1.6155879999999999E-4</v>
      </c>
      <c r="AA2676">
        <v>0.9999979</v>
      </c>
      <c r="AB2676">
        <v>35</v>
      </c>
      <c r="AC2676">
        <v>-3.0060419999999999</v>
      </c>
      <c r="AD2676">
        <v>6.980538E-2</v>
      </c>
      <c r="AE2676">
        <v>5.9509280000000003E-3</v>
      </c>
      <c r="AF2676">
        <v>-6.1759253466715496E-3</v>
      </c>
      <c r="AG2676">
        <v>6.980538E-2</v>
      </c>
      <c r="AH2676">
        <v>3.0044214205598201</v>
      </c>
      <c r="AI2676">
        <v>88.669019688809897</v>
      </c>
      <c r="AJ2676">
        <v>90.117777737877603</v>
      </c>
      <c r="AK2676">
        <v>3.0052385937641501</v>
      </c>
      <c r="AL2676">
        <v>91.281433558766807</v>
      </c>
      <c r="AM2676">
        <v>91.910257522340999</v>
      </c>
      <c r="AN2676">
        <v>0.99999998820816904</v>
      </c>
    </row>
    <row r="2677" spans="1:40" x14ac:dyDescent="0.25">
      <c r="A2677" t="str">
        <f>"20190303153824435"</f>
        <v>20190303153824435</v>
      </c>
      <c r="B2677" t="str">
        <f>"1551598704431828"</f>
        <v>1551598704431828</v>
      </c>
      <c r="C2677" t="s">
        <v>40</v>
      </c>
      <c r="D2677">
        <v>4.0131959999999998</v>
      </c>
      <c r="E2677">
        <v>0.51174310000000001</v>
      </c>
      <c r="F2677" t="s">
        <v>46</v>
      </c>
      <c r="G2677">
        <v>0</v>
      </c>
      <c r="H2677">
        <v>0</v>
      </c>
      <c r="I2677">
        <v>0</v>
      </c>
      <c r="J2677">
        <v>-355.90410000000003</v>
      </c>
      <c r="K2677">
        <v>1.1214949999999999</v>
      </c>
      <c r="L2677">
        <v>284.14789999999999</v>
      </c>
      <c r="M2677">
        <v>-0.99988560000000004</v>
      </c>
      <c r="N2677">
        <v>-1.4642759999999999E-2</v>
      </c>
      <c r="O2677">
        <v>3.8435050000000001E-3</v>
      </c>
      <c r="P2677">
        <v>-0.99888370000000004</v>
      </c>
      <c r="Q2677">
        <v>-3.7077289999999999E-2</v>
      </c>
      <c r="R2677">
        <v>-2.9273219999999999E-2</v>
      </c>
      <c r="S2677">
        <v>-3.0061040000000001</v>
      </c>
      <c r="T2677">
        <v>7.1016070000000001E-2</v>
      </c>
      <c r="U2677">
        <v>5.7067869999999996E-3</v>
      </c>
      <c r="V2677">
        <v>-3.3094129999999999E-2</v>
      </c>
      <c r="W2677">
        <v>-2.2476139999999999E-2</v>
      </c>
      <c r="X2677">
        <v>0.99919950000000002</v>
      </c>
      <c r="Y2677">
        <v>-1.942507E-3</v>
      </c>
      <c r="Z2677">
        <v>1.5577399999999999E-4</v>
      </c>
      <c r="AA2677">
        <v>0.9999981</v>
      </c>
      <c r="AB2677">
        <v>35</v>
      </c>
      <c r="AC2677">
        <v>-3.0061040000000001</v>
      </c>
      <c r="AD2677">
        <v>7.1016070000000001E-2</v>
      </c>
      <c r="AE2677">
        <v>5.7067869999999996E-3</v>
      </c>
      <c r="AF2677">
        <v>-5.8452053259245096E-3</v>
      </c>
      <c r="AG2677">
        <v>7.1016070000000001E-2</v>
      </c>
      <c r="AH2677">
        <v>3.0044269891176998</v>
      </c>
      <c r="AI2677">
        <v>88.645946174581098</v>
      </c>
      <c r="AJ2677">
        <v>90.111470564679195</v>
      </c>
      <c r="AK2677">
        <v>3.0052718648339298</v>
      </c>
      <c r="AL2677">
        <v>91.287896387993896</v>
      </c>
      <c r="AM2677">
        <v>91.896979618069693</v>
      </c>
      <c r="AN2677">
        <v>1.0000000195550001</v>
      </c>
    </row>
    <row r="2678" spans="1:40" x14ac:dyDescent="0.25">
      <c r="A2678" t="str">
        <f>"20190303153824447"</f>
        <v>20190303153824447</v>
      </c>
      <c r="B2678" t="str">
        <f>"1551598704441587"</f>
        <v>1551598704441587</v>
      </c>
      <c r="C2678" t="s">
        <v>40</v>
      </c>
      <c r="D2678">
        <v>4.0057130000000001</v>
      </c>
      <c r="E2678">
        <v>0.51161959999999995</v>
      </c>
      <c r="F2678" t="s">
        <v>46</v>
      </c>
      <c r="G2678">
        <v>0</v>
      </c>
      <c r="H2678">
        <v>0</v>
      </c>
      <c r="I2678">
        <v>0</v>
      </c>
      <c r="J2678">
        <v>-356.0967</v>
      </c>
      <c r="K2678">
        <v>1.1214919999999999</v>
      </c>
      <c r="L2678">
        <v>284.14839999999998</v>
      </c>
      <c r="M2678">
        <v>-0.99988619999999995</v>
      </c>
      <c r="N2678">
        <v>-1.464063E-2</v>
      </c>
      <c r="O2678">
        <v>3.6425540000000001E-3</v>
      </c>
      <c r="P2678">
        <v>-0.99888129999999997</v>
      </c>
      <c r="Q2678">
        <v>-3.7116540000000003E-2</v>
      </c>
      <c r="R2678">
        <v>-2.9294600000000001E-2</v>
      </c>
      <c r="S2678">
        <v>-3.0060419999999999</v>
      </c>
      <c r="T2678">
        <v>7.0030690000000007E-2</v>
      </c>
      <c r="U2678">
        <v>2.89917E-3</v>
      </c>
      <c r="V2678">
        <v>-3.2915430000000002E-2</v>
      </c>
      <c r="W2678">
        <v>-2.251676E-2</v>
      </c>
      <c r="X2678">
        <v>0.99920450000000005</v>
      </c>
      <c r="Y2678">
        <v>-2.675611E-3</v>
      </c>
      <c r="Z2678">
        <v>1.497418E-4</v>
      </c>
      <c r="AA2678">
        <v>0.99999640000000001</v>
      </c>
      <c r="AB2678">
        <v>35</v>
      </c>
      <c r="AC2678">
        <v>-3.0060419999999999</v>
      </c>
      <c r="AD2678">
        <v>7.0030690000000007E-2</v>
      </c>
      <c r="AE2678">
        <v>2.89917E-3</v>
      </c>
      <c r="AF2678">
        <v>-8.0473255478141804E-3</v>
      </c>
      <c r="AG2678">
        <v>7.0030690000000007E-2</v>
      </c>
      <c r="AH2678">
        <v>3.0044020263303501</v>
      </c>
      <c r="AI2678">
        <v>88.664718603845103</v>
      </c>
      <c r="AJ2678">
        <v>90.153467040551007</v>
      </c>
      <c r="AK2678">
        <v>3.0052288752786001</v>
      </c>
      <c r="AL2678">
        <v>91.290224316354994</v>
      </c>
      <c r="AM2678">
        <v>91.886734393079706</v>
      </c>
      <c r="AN2678">
        <v>1.00000003141661</v>
      </c>
    </row>
    <row r="2679" spans="1:40" x14ac:dyDescent="0.25">
      <c r="A2679" t="str">
        <f>"20190303153824460"</f>
        <v>20190303153824460</v>
      </c>
      <c r="B2679" t="str">
        <f>"1551598704451346"</f>
        <v>1551598704451346</v>
      </c>
      <c r="C2679" t="s">
        <v>40</v>
      </c>
      <c r="D2679">
        <v>4.1065250000000004</v>
      </c>
      <c r="E2679">
        <v>0.51200500000000004</v>
      </c>
      <c r="F2679" t="s">
        <v>46</v>
      </c>
      <c r="G2679">
        <v>0</v>
      </c>
      <c r="H2679">
        <v>0</v>
      </c>
      <c r="I2679">
        <v>0</v>
      </c>
      <c r="J2679">
        <v>-356.29199999999997</v>
      </c>
      <c r="K2679">
        <v>1.121481</v>
      </c>
      <c r="L2679">
        <v>284.149</v>
      </c>
      <c r="M2679">
        <v>-0.99988699999999997</v>
      </c>
      <c r="N2679">
        <v>-1.4638450000000001E-2</v>
      </c>
      <c r="O2679">
        <v>3.4468770000000001E-3</v>
      </c>
      <c r="P2679">
        <v>-0.99889660000000002</v>
      </c>
      <c r="Q2679">
        <v>-3.7044720000000003E-2</v>
      </c>
      <c r="R2679">
        <v>-2.887257E-2</v>
      </c>
      <c r="S2679">
        <v>-3.005951</v>
      </c>
      <c r="T2679">
        <v>6.8031789999999995E-2</v>
      </c>
      <c r="U2679">
        <v>1.586914E-3</v>
      </c>
      <c r="V2679">
        <v>-3.2297979999999997E-2</v>
      </c>
      <c r="W2679">
        <v>-2.2445619999999999E-2</v>
      </c>
      <c r="X2679">
        <v>0.99922619999999895</v>
      </c>
      <c r="Y2679">
        <v>-2.9166679999999999E-3</v>
      </c>
      <c r="Z2679">
        <v>1.4010140000000001E-4</v>
      </c>
      <c r="AA2679">
        <v>0.99999570000000004</v>
      </c>
      <c r="AB2679">
        <v>35</v>
      </c>
      <c r="AC2679">
        <v>-3.005951</v>
      </c>
      <c r="AD2679">
        <v>6.8031789999999995E-2</v>
      </c>
      <c r="AE2679">
        <v>1.586914E-3</v>
      </c>
      <c r="AF2679">
        <v>-8.7708555228673806E-3</v>
      </c>
      <c r="AG2679">
        <v>6.8031789999999995E-2</v>
      </c>
      <c r="AH2679">
        <v>3.00439968433809</v>
      </c>
      <c r="AI2679">
        <v>88.7028184574459</v>
      </c>
      <c r="AJ2679">
        <v>90.167265220798896</v>
      </c>
      <c r="AK2679">
        <v>3.0051826426372199</v>
      </c>
      <c r="AL2679">
        <v>91.286147327798901</v>
      </c>
      <c r="AM2679">
        <v>91.851326435144401</v>
      </c>
      <c r="AN2679">
        <v>0.99999998206785201</v>
      </c>
    </row>
    <row r="2680" spans="1:40" x14ac:dyDescent="0.25">
      <c r="A2680" t="str">
        <f>"20190303153824472"</f>
        <v>20190303153824472</v>
      </c>
      <c r="B2680" t="str">
        <f>"1551598704461107"</f>
        <v>1551598704461107</v>
      </c>
      <c r="C2680" t="s">
        <v>40</v>
      </c>
      <c r="D2680">
        <v>4.0205760000000001</v>
      </c>
      <c r="E2680">
        <v>0.51226700000000003</v>
      </c>
      <c r="F2680" t="s">
        <v>46</v>
      </c>
      <c r="G2680">
        <v>0</v>
      </c>
      <c r="H2680">
        <v>0</v>
      </c>
      <c r="I2680">
        <v>0</v>
      </c>
      <c r="J2680">
        <v>-356.48169999999999</v>
      </c>
      <c r="K2680">
        <v>1.121472</v>
      </c>
      <c r="L2680">
        <v>284.14940000000001</v>
      </c>
      <c r="M2680">
        <v>-0.99988779999999999</v>
      </c>
      <c r="N2680">
        <v>-1.4636339999999999E-2</v>
      </c>
      <c r="O2680">
        <v>3.2612790000000002E-3</v>
      </c>
      <c r="P2680">
        <v>-0.99887320000000002</v>
      </c>
      <c r="Q2680">
        <v>-3.7670339999999997E-2</v>
      </c>
      <c r="R2680">
        <v>-2.8874859999999999E-2</v>
      </c>
      <c r="S2680">
        <v>-3.0059809999999998</v>
      </c>
      <c r="T2680">
        <v>6.714022E-2</v>
      </c>
      <c r="U2680">
        <v>5.859375E-3</v>
      </c>
      <c r="V2680">
        <v>-3.2115039999999997E-2</v>
      </c>
      <c r="W2680">
        <v>-2.307273E-2</v>
      </c>
      <c r="X2680">
        <v>0.99921780000000004</v>
      </c>
      <c r="Y2680">
        <v>-1.310056E-3</v>
      </c>
      <c r="Z2680">
        <v>1.2559950000000001E-4</v>
      </c>
      <c r="AA2680">
        <v>0.99999910000000003</v>
      </c>
      <c r="AB2680">
        <v>35</v>
      </c>
      <c r="AC2680">
        <v>-3.0059809999999998</v>
      </c>
      <c r="AD2680">
        <v>6.714022E-2</v>
      </c>
      <c r="AE2680">
        <v>5.859375E-3</v>
      </c>
      <c r="AF2680">
        <v>-3.9430796815166803E-3</v>
      </c>
      <c r="AG2680">
        <v>6.714022E-2</v>
      </c>
      <c r="AH2680">
        <v>3.0044852604873298</v>
      </c>
      <c r="AI2680">
        <v>88.719844682084798</v>
      </c>
      <c r="AJ2680">
        <v>90.075194808674098</v>
      </c>
      <c r="AK2680">
        <v>3.0052379335927202</v>
      </c>
      <c r="AL2680">
        <v>91.322087411597295</v>
      </c>
      <c r="AM2680">
        <v>91.840862979031797</v>
      </c>
      <c r="AN2680">
        <v>0.99999996925034595</v>
      </c>
    </row>
    <row r="2681" spans="1:40" x14ac:dyDescent="0.25">
      <c r="A2681" t="str">
        <f>"20190303153824487"</f>
        <v>20190303153824487</v>
      </c>
      <c r="B2681" t="str">
        <f>"1551598704481606"</f>
        <v>1551598704481606</v>
      </c>
      <c r="C2681" t="s">
        <v>40</v>
      </c>
      <c r="D2681">
        <v>4.0306930000000003</v>
      </c>
      <c r="E2681">
        <v>0.51250890000000004</v>
      </c>
      <c r="F2681" t="s">
        <v>46</v>
      </c>
      <c r="G2681">
        <v>0</v>
      </c>
      <c r="H2681">
        <v>0</v>
      </c>
      <c r="I2681">
        <v>0</v>
      </c>
      <c r="J2681">
        <v>-356.71289999999999</v>
      </c>
      <c r="K2681">
        <v>1.1214580000000001</v>
      </c>
      <c r="L2681">
        <v>284.14999999999998</v>
      </c>
      <c r="M2681">
        <v>-0.99988840000000001</v>
      </c>
      <c r="N2681">
        <v>-1.4633780000000001E-2</v>
      </c>
      <c r="O2681">
        <v>3.0460600000000002E-3</v>
      </c>
      <c r="P2681">
        <v>-0.99885469999999998</v>
      </c>
      <c r="Q2681">
        <v>-3.8486380000000001E-2</v>
      </c>
      <c r="R2681">
        <v>-2.8428370000000001E-2</v>
      </c>
      <c r="S2681">
        <v>-3.0060419999999999</v>
      </c>
      <c r="T2681">
        <v>6.5078849999999994E-2</v>
      </c>
      <c r="U2681">
        <v>8.0261229999999996E-3</v>
      </c>
      <c r="V2681">
        <v>-3.145357E-2</v>
      </c>
      <c r="W2681">
        <v>-2.3889980000000002E-2</v>
      </c>
      <c r="X2681">
        <v>0.99921970000000004</v>
      </c>
      <c r="Y2681">
        <v>-3.7436700000000002E-4</v>
      </c>
      <c r="Z2681">
        <v>1.118187E-4</v>
      </c>
      <c r="AA2681">
        <v>0.99999990000000005</v>
      </c>
      <c r="AB2681">
        <v>35</v>
      </c>
      <c r="AC2681">
        <v>-3.0060419999999999</v>
      </c>
      <c r="AD2681">
        <v>6.5078849999999994E-2</v>
      </c>
      <c r="AE2681">
        <v>8.0261229999999996E-3</v>
      </c>
      <c r="AF2681">
        <v>-1.1309479679600101E-3</v>
      </c>
      <c r="AG2681">
        <v>6.5078849999999994E-2</v>
      </c>
      <c r="AH2681">
        <v>3.0046442523693999</v>
      </c>
      <c r="AI2681">
        <v>88.759200777711101</v>
      </c>
      <c r="AJ2681">
        <v>90.021566127937305</v>
      </c>
      <c r="AK2681">
        <v>3.0053491675772199</v>
      </c>
      <c r="AL2681">
        <v>91.368925216507094</v>
      </c>
      <c r="AM2681">
        <v>91.802968785727998</v>
      </c>
      <c r="AN2681">
        <v>1.0000000335391099</v>
      </c>
    </row>
    <row r="2682" spans="1:40" x14ac:dyDescent="0.25">
      <c r="A2682" t="str">
        <f>"20190303153824499"</f>
        <v>20190303153824499</v>
      </c>
      <c r="B2682" t="str">
        <f>"1551598704491363"</f>
        <v>1551598704491363</v>
      </c>
      <c r="C2682" t="s">
        <v>40</v>
      </c>
      <c r="D2682">
        <v>4.0221419999999997</v>
      </c>
      <c r="E2682">
        <v>0.51258139999999996</v>
      </c>
      <c r="F2682" t="s">
        <v>46</v>
      </c>
      <c r="G2682">
        <v>0</v>
      </c>
      <c r="H2682">
        <v>0</v>
      </c>
      <c r="I2682">
        <v>0</v>
      </c>
      <c r="J2682">
        <v>-356.88679999999999</v>
      </c>
      <c r="K2682">
        <v>1.1214459999999999</v>
      </c>
      <c r="L2682">
        <v>284.15030000000002</v>
      </c>
      <c r="M2682">
        <v>-0.99988869999999996</v>
      </c>
      <c r="N2682">
        <v>-1.463185E-2</v>
      </c>
      <c r="O2682">
        <v>2.8941010000000001E-3</v>
      </c>
      <c r="P2682">
        <v>-0.99887029999999999</v>
      </c>
      <c r="Q2682">
        <v>-3.8294349999999998E-2</v>
      </c>
      <c r="R2682">
        <v>-2.8130140000000001E-2</v>
      </c>
      <c r="S2682">
        <v>-3.006195</v>
      </c>
      <c r="T2682">
        <v>6.2613130000000003E-2</v>
      </c>
      <c r="U2682">
        <v>1.1230469999999999E-2</v>
      </c>
      <c r="V2682">
        <v>-3.1004400000000001E-2</v>
      </c>
      <c r="W2682">
        <v>-2.3698489999999999E-2</v>
      </c>
      <c r="X2682">
        <v>0.99923830000000002</v>
      </c>
      <c r="Y2682">
        <v>8.431081E-4</v>
      </c>
      <c r="Z2682">
        <v>1.000015E-4</v>
      </c>
      <c r="AA2682">
        <v>0.99999959999999999</v>
      </c>
      <c r="AB2682">
        <v>35</v>
      </c>
      <c r="AC2682">
        <v>-3.006195</v>
      </c>
      <c r="AD2682">
        <v>6.2613130000000003E-2</v>
      </c>
      <c r="AE2682">
        <v>1.1230469999999999E-2</v>
      </c>
      <c r="AF2682">
        <v>2.5281622869210499E-3</v>
      </c>
      <c r="AG2682">
        <v>6.2613130000000003E-2</v>
      </c>
      <c r="AH2682">
        <v>3.00491137986719</v>
      </c>
      <c r="AI2682">
        <v>88.806304977355197</v>
      </c>
      <c r="AJ2682">
        <v>89.951794586769907</v>
      </c>
      <c r="AK2682">
        <v>3.0055647050942502</v>
      </c>
      <c r="AL2682">
        <v>91.3579505378992</v>
      </c>
      <c r="AM2682">
        <v>91.777205216006095</v>
      </c>
      <c r="AN2682">
        <v>1.00000003571726</v>
      </c>
    </row>
    <row r="2683" spans="1:40" x14ac:dyDescent="0.25">
      <c r="A2683" t="str">
        <f>"20190303153824511"</f>
        <v>20190303153824511</v>
      </c>
      <c r="B2683" t="str">
        <f>"1551598704501123"</f>
        <v>1551598704501123</v>
      </c>
      <c r="C2683" t="s">
        <v>40</v>
      </c>
      <c r="D2683">
        <v>4.0485509999999998</v>
      </c>
      <c r="E2683">
        <v>0.51270590000000005</v>
      </c>
      <c r="F2683" t="s">
        <v>46</v>
      </c>
      <c r="G2683">
        <v>0</v>
      </c>
      <c r="H2683">
        <v>0</v>
      </c>
      <c r="I2683">
        <v>0</v>
      </c>
      <c r="J2683">
        <v>-357.07859999999999</v>
      </c>
      <c r="K2683">
        <v>1.121437</v>
      </c>
      <c r="L2683">
        <v>284.15069999999997</v>
      </c>
      <c r="M2683">
        <v>-0.99988940000000004</v>
      </c>
      <c r="N2683">
        <v>-1.4629730000000001E-2</v>
      </c>
      <c r="O2683">
        <v>2.73025E-3</v>
      </c>
      <c r="P2683">
        <v>-0.99887190000000003</v>
      </c>
      <c r="Q2683">
        <v>-3.8332190000000002E-2</v>
      </c>
      <c r="R2683">
        <v>-2.8036330000000002E-2</v>
      </c>
      <c r="S2683">
        <v>-3.0061339999999999</v>
      </c>
      <c r="T2683">
        <v>6.186962E-2</v>
      </c>
      <c r="U2683">
        <v>1.312256E-2</v>
      </c>
      <c r="V2683">
        <v>-3.0747070000000001E-2</v>
      </c>
      <c r="W2683">
        <v>-2.3737290000000001E-2</v>
      </c>
      <c r="X2683">
        <v>0.9992453</v>
      </c>
      <c r="Y2683">
        <v>1.636279E-3</v>
      </c>
      <c r="Z2683" s="1">
        <v>9.1256720000000005E-5</v>
      </c>
      <c r="AA2683">
        <v>0.99999859999999896</v>
      </c>
      <c r="AB2683">
        <v>34</v>
      </c>
      <c r="AC2683">
        <v>-3.0061339999999999</v>
      </c>
      <c r="AD2683">
        <v>6.186962E-2</v>
      </c>
      <c r="AE2683">
        <v>1.312256E-2</v>
      </c>
      <c r="AF2683">
        <v>4.9120558549380997E-3</v>
      </c>
      <c r="AG2683">
        <v>6.186962E-2</v>
      </c>
      <c r="AH2683">
        <v>3.0048858315884601</v>
      </c>
      <c r="AI2683">
        <v>88.820466810733606</v>
      </c>
      <c r="AJ2683">
        <v>89.906339264016793</v>
      </c>
      <c r="AK2683">
        <v>3.0055267157443</v>
      </c>
      <c r="AL2683">
        <v>91.360174280841093</v>
      </c>
      <c r="AM2683">
        <v>91.762451789631996</v>
      </c>
      <c r="AN2683">
        <v>1.0000000054111</v>
      </c>
    </row>
    <row r="2684" spans="1:40" x14ac:dyDescent="0.25">
      <c r="A2684" t="str">
        <f>"20190303153824524"</f>
        <v>20190303153824524</v>
      </c>
      <c r="B2684" t="str">
        <f>"1551598704510883"</f>
        <v>1551598704510883</v>
      </c>
      <c r="C2684" t="s">
        <v>40</v>
      </c>
      <c r="D2684">
        <v>4.0599860000000003</v>
      </c>
      <c r="E2684">
        <v>0.51245289999999999</v>
      </c>
      <c r="F2684" t="s">
        <v>46</v>
      </c>
      <c r="G2684">
        <v>0</v>
      </c>
      <c r="H2684">
        <v>0</v>
      </c>
      <c r="I2684">
        <v>0</v>
      </c>
      <c r="J2684">
        <v>-357.27199999999999</v>
      </c>
      <c r="K2684">
        <v>1.1214249999999999</v>
      </c>
      <c r="L2684">
        <v>284.15109999999999</v>
      </c>
      <c r="M2684">
        <v>-0.9998899</v>
      </c>
      <c r="N2684">
        <v>-1.462756E-2</v>
      </c>
      <c r="O2684">
        <v>2.5764329999999999E-3</v>
      </c>
      <c r="P2684">
        <v>-0.99885740000000001</v>
      </c>
      <c r="Q2684">
        <v>-3.8504950000000003E-2</v>
      </c>
      <c r="R2684">
        <v>-2.8309310000000001E-2</v>
      </c>
      <c r="S2684">
        <v>-3.006195</v>
      </c>
      <c r="T2684">
        <v>6.1759710000000002E-2</v>
      </c>
      <c r="U2684">
        <v>1.4373779999999999E-2</v>
      </c>
      <c r="V2684">
        <v>-3.0867499999999999E-2</v>
      </c>
      <c r="W2684">
        <v>-2.3911479999999999E-2</v>
      </c>
      <c r="X2684">
        <v>0.99923740000000005</v>
      </c>
      <c r="Y2684">
        <v>2.2060959999999998E-3</v>
      </c>
      <c r="Z2684" s="1">
        <v>8.4084319999999904E-5</v>
      </c>
      <c r="AA2684">
        <v>0.99999760000000004</v>
      </c>
      <c r="AB2684">
        <v>34</v>
      </c>
      <c r="AC2684">
        <v>-3.006195</v>
      </c>
      <c r="AD2684">
        <v>6.1759710000000002E-2</v>
      </c>
      <c r="AE2684">
        <v>1.4373779999999999E-2</v>
      </c>
      <c r="AF2684">
        <v>6.6248491157487304E-3</v>
      </c>
      <c r="AG2684">
        <v>6.1759710000000002E-2</v>
      </c>
      <c r="AH2684">
        <v>3.00495380964994</v>
      </c>
      <c r="AI2684">
        <v>88.822589551090502</v>
      </c>
      <c r="AJ2684">
        <v>89.873683489557607</v>
      </c>
      <c r="AK2684">
        <v>3.0055957061013299</v>
      </c>
      <c r="AL2684">
        <v>91.370157512748605</v>
      </c>
      <c r="AM2684">
        <v>91.769364554004198</v>
      </c>
      <c r="AN2684">
        <v>0.99999997149539899</v>
      </c>
    </row>
    <row r="2685" spans="1:40" x14ac:dyDescent="0.25">
      <c r="A2685" t="str">
        <f>"20190303153824537"</f>
        <v>20190303153824537</v>
      </c>
      <c r="B2685" t="str">
        <f>"1551598704531379"</f>
        <v>1551598704531379</v>
      </c>
      <c r="C2685" t="s">
        <v>40</v>
      </c>
      <c r="D2685">
        <v>4.0540949999999896</v>
      </c>
      <c r="E2685">
        <v>0.51263340000000002</v>
      </c>
      <c r="F2685" t="s">
        <v>46</v>
      </c>
      <c r="G2685">
        <v>0</v>
      </c>
      <c r="H2685">
        <v>0</v>
      </c>
      <c r="I2685">
        <v>0</v>
      </c>
      <c r="J2685">
        <v>-357.45729999999998</v>
      </c>
      <c r="K2685">
        <v>1.1214109999999999</v>
      </c>
      <c r="L2685">
        <v>284.15140000000002</v>
      </c>
      <c r="M2685">
        <v>-0.9998901</v>
      </c>
      <c r="N2685">
        <v>-1.462548E-2</v>
      </c>
      <c r="O2685">
        <v>2.4370960000000001E-3</v>
      </c>
      <c r="P2685">
        <v>-0.99885310000000005</v>
      </c>
      <c r="Q2685">
        <v>-3.846024E-2</v>
      </c>
      <c r="R2685">
        <v>-2.8516010000000001E-2</v>
      </c>
      <c r="S2685">
        <v>-3.0060730000000002</v>
      </c>
      <c r="T2685">
        <v>6.0935969999999999E-2</v>
      </c>
      <c r="U2685">
        <v>1.171875E-2</v>
      </c>
      <c r="V2685">
        <v>-3.0935190000000001E-2</v>
      </c>
      <c r="W2685">
        <v>-2.3867960000000001E-2</v>
      </c>
      <c r="X2685">
        <v>0.99923640000000002</v>
      </c>
      <c r="Y2685">
        <v>1.462379E-3</v>
      </c>
      <c r="Z2685" s="1">
        <v>8.0910739999999994E-5</v>
      </c>
      <c r="AA2685">
        <v>0.99999890000000002</v>
      </c>
      <c r="AB2685">
        <v>34</v>
      </c>
      <c r="AC2685">
        <v>-3.0060730000000002</v>
      </c>
      <c r="AD2685">
        <v>6.0935969999999999E-2</v>
      </c>
      <c r="AE2685">
        <v>1.171875E-2</v>
      </c>
      <c r="AF2685">
        <v>4.3900393542637304E-3</v>
      </c>
      <c r="AG2685">
        <v>6.0935969999999999E-2</v>
      </c>
      <c r="AH2685">
        <v>3.0048579214184001</v>
      </c>
      <c r="AI2685">
        <v>88.838250664713797</v>
      </c>
      <c r="AJ2685">
        <v>89.9162920329304</v>
      </c>
      <c r="AK2685">
        <v>3.00547892902217</v>
      </c>
      <c r="AL2685">
        <v>91.367663216282196</v>
      </c>
      <c r="AM2685">
        <v>91.773243930320106</v>
      </c>
      <c r="AN2685">
        <v>1.0000000242899201</v>
      </c>
    </row>
    <row r="2686" spans="1:40" x14ac:dyDescent="0.25">
      <c r="A2686" t="str">
        <f>"20190303153824549"</f>
        <v>20190303153824549</v>
      </c>
      <c r="B2686" t="str">
        <f>"1551598704541138"</f>
        <v>1551598704541138</v>
      </c>
      <c r="C2686" t="s">
        <v>40</v>
      </c>
      <c r="D2686">
        <v>4.053998</v>
      </c>
      <c r="E2686">
        <v>0.51240329999999901</v>
      </c>
      <c r="F2686" t="s">
        <v>46</v>
      </c>
      <c r="G2686">
        <v>0</v>
      </c>
      <c r="H2686">
        <v>0</v>
      </c>
      <c r="I2686">
        <v>0</v>
      </c>
      <c r="J2686">
        <v>-357.65780000000001</v>
      </c>
      <c r="K2686">
        <v>1.121394</v>
      </c>
      <c r="L2686">
        <v>284.15179999999998</v>
      </c>
      <c r="M2686">
        <v>-0.99989059999999996</v>
      </c>
      <c r="N2686">
        <v>-1.4623229999999999E-2</v>
      </c>
      <c r="O2686">
        <v>2.2927780000000001E-3</v>
      </c>
      <c r="P2686">
        <v>-0.99885119999999905</v>
      </c>
      <c r="Q2686">
        <v>-3.8524049999999997E-2</v>
      </c>
      <c r="R2686">
        <v>-2.8503359999999998E-2</v>
      </c>
      <c r="S2686">
        <v>-3.0061650000000002</v>
      </c>
      <c r="T2686">
        <v>6.1083079999999998E-2</v>
      </c>
      <c r="U2686">
        <v>1.242065E-2</v>
      </c>
      <c r="V2686">
        <v>-3.0779330000000001E-2</v>
      </c>
      <c r="W2686">
        <v>-2.3932829999999999E-2</v>
      </c>
      <c r="X2686">
        <v>0.99923960000000001</v>
      </c>
      <c r="Y2686">
        <v>1.839972E-3</v>
      </c>
      <c r="Z2686" s="1">
        <v>7.4868980000000003E-5</v>
      </c>
      <c r="AA2686">
        <v>0.99999830000000001</v>
      </c>
      <c r="AB2686">
        <v>34</v>
      </c>
      <c r="AC2686">
        <v>-3.0061650000000002</v>
      </c>
      <c r="AD2686">
        <v>6.1083079999999998E-2</v>
      </c>
      <c r="AE2686">
        <v>1.242065E-2</v>
      </c>
      <c r="AF2686">
        <v>5.5251312363060398E-3</v>
      </c>
      <c r="AG2686">
        <v>6.1083079999999998E-2</v>
      </c>
      <c r="AH2686">
        <v>3.0049449389650298</v>
      </c>
      <c r="AI2686">
        <v>88.8354812112117</v>
      </c>
      <c r="AJ2686">
        <v>89.894651532462802</v>
      </c>
      <c r="AK2686">
        <v>3.0055707870467798</v>
      </c>
      <c r="AL2686">
        <v>91.371381139693</v>
      </c>
      <c r="AM2686">
        <v>91.764309853743299</v>
      </c>
      <c r="AN2686">
        <v>0.99999996285760795</v>
      </c>
    </row>
    <row r="2687" spans="1:40" x14ac:dyDescent="0.25">
      <c r="A2687" t="str">
        <f>"20190303153824563"</f>
        <v>20190303153824563</v>
      </c>
      <c r="B2687" t="str">
        <f>"1551598704551876"</f>
        <v>1551598704551876</v>
      </c>
      <c r="C2687" t="s">
        <v>40</v>
      </c>
      <c r="D2687">
        <v>4.1107060000000004</v>
      </c>
      <c r="E2687">
        <v>0.51240329999999901</v>
      </c>
      <c r="F2687" t="s">
        <v>46</v>
      </c>
      <c r="G2687">
        <v>0</v>
      </c>
      <c r="H2687">
        <v>0</v>
      </c>
      <c r="I2687">
        <v>0</v>
      </c>
      <c r="J2687">
        <v>-357.87639999999999</v>
      </c>
      <c r="K2687">
        <v>1.1213759999999999</v>
      </c>
      <c r="L2687">
        <v>284.15210000000002</v>
      </c>
      <c r="M2687">
        <v>-0.99989090000000003</v>
      </c>
      <c r="N2687">
        <v>-1.462077E-2</v>
      </c>
      <c r="O2687">
        <v>2.1526150000000001E-3</v>
      </c>
      <c r="P2687">
        <v>-0.99884439999999997</v>
      </c>
      <c r="Q2687">
        <v>-3.8573860000000001E-2</v>
      </c>
      <c r="R2687">
        <v>-2.86714E-2</v>
      </c>
      <c r="S2687">
        <v>-3.0061650000000002</v>
      </c>
      <c r="T2687">
        <v>6.0806510000000001E-2</v>
      </c>
      <c r="U2687">
        <v>1.083374E-2</v>
      </c>
      <c r="V2687">
        <v>-3.0808840000000001E-2</v>
      </c>
      <c r="W2687">
        <v>-2.3983939999999999E-2</v>
      </c>
      <c r="X2687">
        <v>0.9992375</v>
      </c>
      <c r="Y2687">
        <v>1.4522039999999999E-3</v>
      </c>
      <c r="Z2687" s="1">
        <v>7.0937410000000004E-5</v>
      </c>
      <c r="AA2687">
        <v>0.99999890000000002</v>
      </c>
      <c r="AB2687">
        <v>34</v>
      </c>
      <c r="AC2687">
        <v>-3.0061650000000002</v>
      </c>
      <c r="AD2687">
        <v>6.0806510000000001E-2</v>
      </c>
      <c r="AE2687">
        <v>1.083374E-2</v>
      </c>
      <c r="AF2687">
        <v>4.3601240559468703E-3</v>
      </c>
      <c r="AG2687">
        <v>6.0806510000000001E-2</v>
      </c>
      <c r="AH2687">
        <v>3.0049519195727599</v>
      </c>
      <c r="AI2687">
        <v>88.840754392918001</v>
      </c>
      <c r="AJ2687">
        <v>89.916865048782995</v>
      </c>
      <c r="AK2687">
        <v>3.0055702422808599</v>
      </c>
      <c r="AL2687">
        <v>91.374310320010594</v>
      </c>
      <c r="AM2687">
        <v>91.766004042457197</v>
      </c>
      <c r="AN2687">
        <v>0.99999999770315895</v>
      </c>
    </row>
    <row r="2688" spans="1:40" x14ac:dyDescent="0.25">
      <c r="A2688" t="str">
        <f>"20190303153824579"</f>
        <v>20190303153824579</v>
      </c>
      <c r="B2688" t="str">
        <f>"1551598704571395"</f>
        <v>1551598704571395</v>
      </c>
      <c r="C2688" t="s">
        <v>40</v>
      </c>
      <c r="D2688">
        <v>4.0323039999999999</v>
      </c>
      <c r="E2688">
        <v>0.48197600000000002</v>
      </c>
      <c r="F2688" t="s">
        <v>46</v>
      </c>
      <c r="G2688">
        <v>0</v>
      </c>
      <c r="H2688">
        <v>0</v>
      </c>
      <c r="I2688">
        <v>0</v>
      </c>
      <c r="J2688">
        <v>-358.09750000000003</v>
      </c>
      <c r="K2688">
        <v>1.1213550000000001</v>
      </c>
      <c r="L2688">
        <v>284.15249999999997</v>
      </c>
      <c r="M2688">
        <v>-0.99989119999999998</v>
      </c>
      <c r="N2688">
        <v>-1.4618300000000001E-2</v>
      </c>
      <c r="O2688">
        <v>2.0206199999999999E-3</v>
      </c>
      <c r="P2688">
        <v>-0.99881940000000002</v>
      </c>
      <c r="Q2688">
        <v>-3.9301379999999997E-2</v>
      </c>
      <c r="R2688">
        <v>-2.855276E-2</v>
      </c>
      <c r="S2688">
        <v>-3.0060730000000002</v>
      </c>
      <c r="T2688">
        <v>6.0680150000000002E-2</v>
      </c>
      <c r="U2688">
        <v>1.00708E-2</v>
      </c>
      <c r="V2688">
        <v>-3.0558620000000002E-2</v>
      </c>
      <c r="W2688">
        <v>-2.4712810000000002E-2</v>
      </c>
      <c r="X2688">
        <v>0.99922739999999999</v>
      </c>
      <c r="Y2688">
        <v>1.3304510000000001E-3</v>
      </c>
      <c r="Z2688" s="1">
        <v>6.6616509999999996E-5</v>
      </c>
      <c r="AA2688">
        <v>0.99999910000000003</v>
      </c>
      <c r="AB2688">
        <v>34</v>
      </c>
      <c r="AC2688">
        <v>-3.0060730000000002</v>
      </c>
      <c r="AD2688">
        <v>6.0680150000000002E-2</v>
      </c>
      <c r="AE2688">
        <v>1.00708E-2</v>
      </c>
      <c r="AF2688">
        <v>3.9943721146261102E-3</v>
      </c>
      <c r="AG2688">
        <v>6.0680150000000002E-2</v>
      </c>
      <c r="AH2688">
        <v>3.0048628395699</v>
      </c>
      <c r="AI2688">
        <v>88.843128246520493</v>
      </c>
      <c r="AJ2688">
        <v>89.923836613719303</v>
      </c>
      <c r="AK2688">
        <v>3.0054781184099002</v>
      </c>
      <c r="AL2688">
        <v>91.416083913033205</v>
      </c>
      <c r="AM2688">
        <v>91.7516877630528</v>
      </c>
      <c r="AN2688">
        <v>0.99999997457257905</v>
      </c>
    </row>
    <row r="2689" spans="1:40" x14ac:dyDescent="0.25">
      <c r="A2689" t="str">
        <f>"20190303153824593"</f>
        <v>20190303153824593</v>
      </c>
      <c r="B2689" t="str">
        <f>"1551598704581155"</f>
        <v>1551598704581155</v>
      </c>
      <c r="C2689" t="s">
        <v>40</v>
      </c>
      <c r="D2689">
        <v>4.0659809999999998</v>
      </c>
      <c r="E2689">
        <v>0.47958099999999998</v>
      </c>
      <c r="F2689" t="s">
        <v>59</v>
      </c>
      <c r="G2689">
        <v>-512.82569999999998</v>
      </c>
      <c r="H2689">
        <v>1.5424180000000001</v>
      </c>
      <c r="I2689">
        <v>272.21710000000002</v>
      </c>
      <c r="J2689">
        <v>-358.32600000000002</v>
      </c>
      <c r="K2689">
        <v>1.1213360000000001</v>
      </c>
      <c r="L2689">
        <v>284.15280000000001</v>
      </c>
      <c r="M2689">
        <v>-0.99989150000000004</v>
      </c>
      <c r="N2689">
        <v>-1.461574E-2</v>
      </c>
      <c r="O2689">
        <v>1.8953119999999999E-3</v>
      </c>
      <c r="P2689">
        <v>-0.99881010000000003</v>
      </c>
      <c r="Q2689">
        <v>-3.9346579999999999E-2</v>
      </c>
      <c r="R2689">
        <v>-2.8810140000000001E-2</v>
      </c>
      <c r="S2689">
        <v>-2.9972530000000002</v>
      </c>
      <c r="T2689">
        <v>8.1579689999999993E-3</v>
      </c>
      <c r="U2689">
        <v>-0.2312012</v>
      </c>
      <c r="V2689">
        <v>-3.0691989999999999E-2</v>
      </c>
      <c r="W2689">
        <v>-2.4759449999999999E-2</v>
      </c>
      <c r="X2689">
        <v>0.99922219999999995</v>
      </c>
      <c r="Y2689">
        <v>-7.8799960000000002E-2</v>
      </c>
      <c r="Z2689">
        <v>-4.368477E-4</v>
      </c>
      <c r="AA2689">
        <v>0.99689039999999995</v>
      </c>
      <c r="AB2689">
        <v>34</v>
      </c>
      <c r="AC2689">
        <v>-154.49969999999999</v>
      </c>
      <c r="AD2689">
        <v>0.42108200000000001</v>
      </c>
      <c r="AE2689">
        <v>-11.935699999999899</v>
      </c>
      <c r="AF2689">
        <v>-12.2284446466338</v>
      </c>
      <c r="AG2689">
        <v>0.42108200000000001</v>
      </c>
      <c r="AH2689">
        <v>154.475657499589</v>
      </c>
      <c r="AI2689">
        <v>89.844306067132607</v>
      </c>
      <c r="AJ2689">
        <v>94.526151564725097</v>
      </c>
      <c r="AK2689">
        <v>154.95948157004401</v>
      </c>
      <c r="AL2689">
        <v>91.418756946270307</v>
      </c>
      <c r="AM2689">
        <v>91.759337182479896</v>
      </c>
      <c r="AN2689">
        <v>1.00000001679365</v>
      </c>
    </row>
    <row r="2690" spans="1:40" x14ac:dyDescent="0.25">
      <c r="A2690" t="str">
        <f>"20190303153824611"</f>
        <v>20190303153824611</v>
      </c>
      <c r="B2690" t="str">
        <f>"1551598704601654"</f>
        <v>1551598704601654</v>
      </c>
      <c r="C2690" t="s">
        <v>40</v>
      </c>
      <c r="D2690">
        <v>4.0474309999999996</v>
      </c>
      <c r="E2690">
        <v>0.47686339999999999</v>
      </c>
      <c r="F2690" t="s">
        <v>59</v>
      </c>
      <c r="G2690">
        <v>-512.82560000000001</v>
      </c>
      <c r="H2690">
        <v>1.3978029999999999</v>
      </c>
      <c r="I2690">
        <v>271.2097</v>
      </c>
      <c r="J2690">
        <v>-358.59519999999998</v>
      </c>
      <c r="K2690">
        <v>1.1213169999999999</v>
      </c>
      <c r="L2690">
        <v>284.15320000000003</v>
      </c>
      <c r="M2690">
        <v>-0.99989159999999999</v>
      </c>
      <c r="N2690">
        <v>-1.4612709999999999E-2</v>
      </c>
      <c r="O2690">
        <v>1.765361E-3</v>
      </c>
      <c r="P2690">
        <v>-0.99882070000000001</v>
      </c>
      <c r="Q2690">
        <v>-3.9209689999999998E-2</v>
      </c>
      <c r="R2690">
        <v>-2.8632009999999999E-2</v>
      </c>
      <c r="S2690">
        <v>-2.9965820000000001</v>
      </c>
      <c r="T2690">
        <v>5.363703E-3</v>
      </c>
      <c r="U2690">
        <v>-0.25103760000000003</v>
      </c>
      <c r="V2690">
        <v>-3.0385249999999999E-2</v>
      </c>
      <c r="W2690">
        <v>-2.462373E-2</v>
      </c>
      <c r="X2690">
        <v>0.99923490000000004</v>
      </c>
      <c r="Y2690">
        <v>-8.5242200000000004E-2</v>
      </c>
      <c r="Z2690">
        <v>-5.1886589999999995E-4</v>
      </c>
      <c r="AA2690">
        <v>0.99636009999999997</v>
      </c>
      <c r="AB2690">
        <v>34</v>
      </c>
      <c r="AC2690">
        <v>-154.2304</v>
      </c>
      <c r="AD2690">
        <v>0.27648600000000001</v>
      </c>
      <c r="AE2690">
        <v>-12.9435</v>
      </c>
      <c r="AF2690">
        <v>-13.215739078279601</v>
      </c>
      <c r="AG2690">
        <v>0.27648600000000001</v>
      </c>
      <c r="AH2690">
        <v>154.20681511768601</v>
      </c>
      <c r="AI2690">
        <v>89.897646502100699</v>
      </c>
      <c r="AJ2690">
        <v>94.898359220871896</v>
      </c>
      <c r="AK2690">
        <v>154.77232967372899</v>
      </c>
      <c r="AL2690">
        <v>91.4109784316625</v>
      </c>
      <c r="AM2690">
        <v>91.741742884549794</v>
      </c>
      <c r="AN2690">
        <v>0.99999998843734195</v>
      </c>
    </row>
    <row r="2691" spans="1:40" x14ac:dyDescent="0.25">
      <c r="A2691" t="str">
        <f>"20190303153824632"</f>
        <v>20190303153824632</v>
      </c>
      <c r="B2691" t="str">
        <f>"1551598704621170"</f>
        <v>1551598704621170</v>
      </c>
      <c r="C2691" t="s">
        <v>40</v>
      </c>
      <c r="D2691">
        <v>4.0633889999999999</v>
      </c>
      <c r="E2691">
        <v>0.47556939999999998</v>
      </c>
      <c r="F2691" t="s">
        <v>59</v>
      </c>
      <c r="G2691">
        <v>-512.82560000000001</v>
      </c>
      <c r="H2691">
        <v>1.1560060000000001</v>
      </c>
      <c r="I2691">
        <v>270.14819999999997</v>
      </c>
      <c r="J2691">
        <v>-358.92759999999998</v>
      </c>
      <c r="K2691">
        <v>1.1212930000000001</v>
      </c>
      <c r="L2691">
        <v>284.15359999999998</v>
      </c>
      <c r="M2691">
        <v>-0.999892</v>
      </c>
      <c r="N2691">
        <v>-1.4608700000000001E-2</v>
      </c>
      <c r="O2691">
        <v>1.6276699999999999E-3</v>
      </c>
      <c r="P2691">
        <v>-0.99880959999999996</v>
      </c>
      <c r="Q2691">
        <v>-3.9308429999999998E-2</v>
      </c>
      <c r="R2691">
        <v>-2.8886289999999998E-2</v>
      </c>
      <c r="S2691">
        <v>-2.9957889999999998</v>
      </c>
      <c r="T2691">
        <v>6.7532059999999997E-4</v>
      </c>
      <c r="U2691">
        <v>-0.27203369999999999</v>
      </c>
      <c r="V2691">
        <v>-3.050334E-2</v>
      </c>
      <c r="W2691">
        <v>-2.472485E-2</v>
      </c>
      <c r="X2691">
        <v>0.99922880000000003</v>
      </c>
      <c r="Y2691">
        <v>-9.205431E-2</v>
      </c>
      <c r="Z2691">
        <v>-6.3936210000000002E-4</v>
      </c>
      <c r="AA2691">
        <v>0.99575380000000002</v>
      </c>
      <c r="AB2691">
        <v>34</v>
      </c>
      <c r="AC2691">
        <v>-153.898</v>
      </c>
      <c r="AD2691">
        <v>3.4712999999999702E-2</v>
      </c>
      <c r="AE2691">
        <v>-14.0054</v>
      </c>
      <c r="AF2691">
        <v>-14.255902606506099</v>
      </c>
      <c r="AG2691">
        <v>3.4712999999999702E-2</v>
      </c>
      <c r="AH2691">
        <v>153.874989728835</v>
      </c>
      <c r="AI2691">
        <v>89.987129635284205</v>
      </c>
      <c r="AJ2691">
        <v>95.293115311550395</v>
      </c>
      <c r="AK2691">
        <v>154.53395881866101</v>
      </c>
      <c r="AL2691">
        <v>91.416773952642401</v>
      </c>
      <c r="AM2691">
        <v>91.748518511580698</v>
      </c>
      <c r="AN2691">
        <v>0.99999998335405904</v>
      </c>
    </row>
    <row r="2692" spans="1:40" x14ac:dyDescent="0.25">
      <c r="A2692" t="str">
        <f>"20190303153824643"</f>
        <v>20190303153824643</v>
      </c>
      <c r="B2692" t="str">
        <f>"1551598704630931"</f>
        <v>1551598704630931</v>
      </c>
      <c r="C2692" t="s">
        <v>40</v>
      </c>
      <c r="D2692">
        <v>4.0497180000000004</v>
      </c>
      <c r="E2692">
        <v>0.47521210000000003</v>
      </c>
      <c r="F2692" t="s">
        <v>59</v>
      </c>
      <c r="G2692">
        <v>-512.82539999999995</v>
      </c>
      <c r="H2692">
        <v>0.91264299999999998</v>
      </c>
      <c r="I2692">
        <v>269.61489999999998</v>
      </c>
      <c r="J2692">
        <v>-359.10879999999997</v>
      </c>
      <c r="K2692">
        <v>1.1212799999999901</v>
      </c>
      <c r="L2692">
        <v>284.15390000000002</v>
      </c>
      <c r="M2692">
        <v>-0.99989209999999995</v>
      </c>
      <c r="N2692">
        <v>-1.4606610000000001E-2</v>
      </c>
      <c r="O2692">
        <v>1.5617439999999999E-3</v>
      </c>
      <c r="P2692">
        <v>-0.99879560000000001</v>
      </c>
      <c r="Q2692">
        <v>-3.9656820000000002E-2</v>
      </c>
      <c r="R2692">
        <v>-2.8887920000000001E-2</v>
      </c>
      <c r="S2692">
        <v>-2.9952390000000002</v>
      </c>
      <c r="T2692">
        <v>-4.059315E-3</v>
      </c>
      <c r="U2692">
        <v>-0.28295900000000002</v>
      </c>
      <c r="V2692">
        <v>-3.04397E-2</v>
      </c>
      <c r="W2692">
        <v>-2.5074550000000001E-2</v>
      </c>
      <c r="X2692">
        <v>0.99922200000000005</v>
      </c>
      <c r="Y2692">
        <v>-9.5604510000000004E-2</v>
      </c>
      <c r="Z2692">
        <v>-7.4381130000000003E-4</v>
      </c>
      <c r="AA2692">
        <v>0.9954191</v>
      </c>
      <c r="AB2692">
        <v>34</v>
      </c>
      <c r="AC2692">
        <v>-153.716599999999</v>
      </c>
      <c r="AD2692">
        <v>-0.20863699999999899</v>
      </c>
      <c r="AE2692">
        <v>-14.539</v>
      </c>
      <c r="AF2692">
        <v>-14.779046871550699</v>
      </c>
      <c r="AG2692">
        <v>-0.20863699999999899</v>
      </c>
      <c r="AH2692">
        <v>153.69342325412401</v>
      </c>
      <c r="AI2692">
        <v>90.077421176228896</v>
      </c>
      <c r="AJ2692">
        <v>95.492632284342704</v>
      </c>
      <c r="AK2692">
        <v>154.402500327555</v>
      </c>
      <c r="AL2692">
        <v>91.4368165393835</v>
      </c>
      <c r="AM2692">
        <v>91.744884651341295</v>
      </c>
      <c r="AN2692">
        <v>0.99999995683889498</v>
      </c>
    </row>
    <row r="2693" spans="1:40" x14ac:dyDescent="0.25">
      <c r="A2693" t="str">
        <f>"20190303153824655"</f>
        <v>20190303153824655</v>
      </c>
      <c r="B2693" t="str">
        <f>"1551598704651427"</f>
        <v>1551598704651427</v>
      </c>
      <c r="C2693" t="s">
        <v>40</v>
      </c>
      <c r="D2693">
        <v>4.0257839999999998</v>
      </c>
      <c r="E2693">
        <v>0.47489229999999999</v>
      </c>
      <c r="F2693" t="s">
        <v>59</v>
      </c>
      <c r="G2693">
        <v>-512.82539999999995</v>
      </c>
      <c r="H2693">
        <v>0.89527029999999996</v>
      </c>
      <c r="I2693">
        <v>269.48320000000001</v>
      </c>
      <c r="J2693">
        <v>-359.27690000000001</v>
      </c>
      <c r="K2693">
        <v>1.12127</v>
      </c>
      <c r="L2693">
        <v>284.15410000000003</v>
      </c>
      <c r="M2693">
        <v>-0.99989220000000001</v>
      </c>
      <c r="N2693">
        <v>-1.460475E-2</v>
      </c>
      <c r="O2693">
        <v>1.504306E-3</v>
      </c>
      <c r="P2693">
        <v>-0.99879709999999999</v>
      </c>
      <c r="Q2693">
        <v>-3.9609659999999998E-2</v>
      </c>
      <c r="R2693">
        <v>-2.89004E-2</v>
      </c>
      <c r="S2693">
        <v>-2.9951780000000001</v>
      </c>
      <c r="T2693">
        <v>-4.4022799999999997E-3</v>
      </c>
      <c r="U2693">
        <v>-0.28585820000000001</v>
      </c>
      <c r="V2693">
        <v>-3.0395430000000001E-2</v>
      </c>
      <c r="W2693">
        <v>-2.5028450000000001E-2</v>
      </c>
      <c r="X2693">
        <v>0.99922449999999996</v>
      </c>
      <c r="Y2693">
        <v>-9.6504010000000001E-2</v>
      </c>
      <c r="Z2693">
        <v>-7.5739229999999995E-4</v>
      </c>
      <c r="AA2693">
        <v>0.99533229999999995</v>
      </c>
      <c r="AB2693">
        <v>34</v>
      </c>
      <c r="AC2693">
        <v>-153.548499999999</v>
      </c>
      <c r="AD2693">
        <v>-0.225999699999999</v>
      </c>
      <c r="AE2693">
        <v>-14.6709</v>
      </c>
      <c r="AF2693">
        <v>-14.9018599776449</v>
      </c>
      <c r="AG2693">
        <v>-0.225999699999999</v>
      </c>
      <c r="AH2693">
        <v>153.52592477124699</v>
      </c>
      <c r="AI2693">
        <v>90.083948356614499</v>
      </c>
      <c r="AJ2693">
        <v>95.543997568799497</v>
      </c>
      <c r="AK2693">
        <v>154.24761289408801</v>
      </c>
      <c r="AL2693">
        <v>91.4341743795013</v>
      </c>
      <c r="AM2693">
        <v>91.742344185831598</v>
      </c>
      <c r="AN2693">
        <v>0.999999953437267</v>
      </c>
    </row>
    <row r="2694" spans="1:40" x14ac:dyDescent="0.25">
      <c r="A2694" t="str">
        <f>"20190303153824667"</f>
        <v>20190303153824667</v>
      </c>
      <c r="B2694" t="str">
        <f>"1551598704661187"</f>
        <v>1551598704661187</v>
      </c>
      <c r="C2694" t="s">
        <v>40</v>
      </c>
      <c r="D2694">
        <v>4.0157720000000001</v>
      </c>
      <c r="E2694">
        <v>0.47479539999999998</v>
      </c>
      <c r="F2694" t="s">
        <v>59</v>
      </c>
      <c r="G2694">
        <v>-512.82539999999995</v>
      </c>
      <c r="H2694">
        <v>0.8468715</v>
      </c>
      <c r="I2694">
        <v>269.37700000000001</v>
      </c>
      <c r="J2694">
        <v>-359.45870000000002</v>
      </c>
      <c r="K2694">
        <v>1.1212610000000001</v>
      </c>
      <c r="L2694">
        <v>284.15429999999998</v>
      </c>
      <c r="M2694">
        <v>-0.99989249999999996</v>
      </c>
      <c r="N2694">
        <v>-1.4602820000000001E-2</v>
      </c>
      <c r="O2694">
        <v>1.4457329999999901E-3</v>
      </c>
      <c r="P2694">
        <v>-0.99878730000000004</v>
      </c>
      <c r="Q2694">
        <v>-3.9832779999999998E-2</v>
      </c>
      <c r="R2694">
        <v>-2.8940460000000001E-2</v>
      </c>
      <c r="S2694">
        <v>-2.9950869999999998</v>
      </c>
      <c r="T2694">
        <v>-5.3508280000000002E-3</v>
      </c>
      <c r="U2694">
        <v>-0.28823850000000001</v>
      </c>
      <c r="V2694">
        <v>-3.0377149999999999E-2</v>
      </c>
      <c r="W2694">
        <v>-2.5252859999999999E-2</v>
      </c>
      <c r="X2694">
        <v>0.99921950000000004</v>
      </c>
      <c r="Y2694">
        <v>-9.723213E-2</v>
      </c>
      <c r="Z2694">
        <v>-7.7977789999999895E-4</v>
      </c>
      <c r="AA2694">
        <v>0.99526139999999996</v>
      </c>
      <c r="AB2694">
        <v>34</v>
      </c>
      <c r="AC2694">
        <v>-153.36669999999901</v>
      </c>
      <c r="AD2694">
        <v>-0.27438950000000001</v>
      </c>
      <c r="AE2694">
        <v>-14.777299999999901</v>
      </c>
      <c r="AF2694">
        <v>-14.9989878903849</v>
      </c>
      <c r="AG2694">
        <v>-0.27438950000000001</v>
      </c>
      <c r="AH2694">
        <v>153.344687054899</v>
      </c>
      <c r="AI2694">
        <v>90.102035971634095</v>
      </c>
      <c r="AJ2694">
        <v>95.586458317848198</v>
      </c>
      <c r="AK2694">
        <v>154.07672755902601</v>
      </c>
      <c r="AL2694">
        <v>91.447036060708101</v>
      </c>
      <c r="AM2694">
        <v>91.741305682459497</v>
      </c>
      <c r="AN2694">
        <v>1.0000000436802701</v>
      </c>
    </row>
    <row r="2695" spans="1:40" x14ac:dyDescent="0.25">
      <c r="A2695" t="str">
        <f>"20190303153824678"</f>
        <v>20190303153824678</v>
      </c>
      <c r="B2695" t="str">
        <f>"1551598704670947"</f>
        <v>1551598704670947</v>
      </c>
      <c r="C2695" t="s">
        <v>40</v>
      </c>
      <c r="D2695">
        <v>4.0420600000000002</v>
      </c>
      <c r="E2695">
        <v>0.4746592</v>
      </c>
      <c r="F2695" t="s">
        <v>59</v>
      </c>
      <c r="G2695">
        <v>-512.82539999999995</v>
      </c>
      <c r="H2695">
        <v>0.79997600000000002</v>
      </c>
      <c r="I2695">
        <v>269.34899999999999</v>
      </c>
      <c r="J2695">
        <v>-359.62520000000001</v>
      </c>
      <c r="K2695">
        <v>1.1212610000000001</v>
      </c>
      <c r="L2695">
        <v>284.15449999999998</v>
      </c>
      <c r="M2695">
        <v>-0.99989240000000001</v>
      </c>
      <c r="N2695">
        <v>-1.4601080000000001E-2</v>
      </c>
      <c r="O2695">
        <v>1.3963510000000001E-3</v>
      </c>
      <c r="P2695">
        <v>-0.99879180000000001</v>
      </c>
      <c r="Q2695">
        <v>-3.996243E-2</v>
      </c>
      <c r="R2695">
        <v>-2.8599409999999999E-2</v>
      </c>
      <c r="S2695">
        <v>-2.9950260000000002</v>
      </c>
      <c r="T2695">
        <v>-6.2726739999999998E-3</v>
      </c>
      <c r="U2695">
        <v>-0.28912349999999998</v>
      </c>
      <c r="V2695">
        <v>-2.9987300000000001E-2</v>
      </c>
      <c r="W2695">
        <v>-2.5383490000000002E-2</v>
      </c>
      <c r="X2695">
        <v>0.99922789999999995</v>
      </c>
      <c r="Y2695">
        <v>-9.7475999999999993E-2</v>
      </c>
      <c r="Z2695">
        <v>-7.9773629999999995E-4</v>
      </c>
      <c r="AA2695">
        <v>0.9952375</v>
      </c>
      <c r="AB2695">
        <v>34</v>
      </c>
      <c r="AC2695">
        <v>-153.200199999999</v>
      </c>
      <c r="AD2695">
        <v>-0.32128499999999999</v>
      </c>
      <c r="AE2695">
        <v>-14.805499999999901</v>
      </c>
      <c r="AF2695">
        <v>-15.019364182315799</v>
      </c>
      <c r="AG2695">
        <v>-0.32128499999999999</v>
      </c>
      <c r="AH2695">
        <v>153.17870727714001</v>
      </c>
      <c r="AI2695">
        <v>90.119601426342498</v>
      </c>
      <c r="AJ2695">
        <v>95.600022457369306</v>
      </c>
      <c r="AK2695">
        <v>153.91361501695701</v>
      </c>
      <c r="AL2695">
        <v>91.454523103705498</v>
      </c>
      <c r="AM2695">
        <v>91.7189574109604</v>
      </c>
      <c r="AN2695">
        <v>0.99999997793213902</v>
      </c>
    </row>
    <row r="2696" spans="1:40" x14ac:dyDescent="0.25">
      <c r="A2696" t="str">
        <f>"20190303153824690"</f>
        <v>20190303153824690</v>
      </c>
      <c r="B2696" t="str">
        <f>"1551598704681683"</f>
        <v>1551598704681683</v>
      </c>
      <c r="C2696" t="s">
        <v>40</v>
      </c>
      <c r="D2696">
        <v>4.0210089999999896</v>
      </c>
      <c r="E2696">
        <v>0.47457120000000003</v>
      </c>
      <c r="F2696" t="s">
        <v>59</v>
      </c>
      <c r="G2696">
        <v>-512.82539999999995</v>
      </c>
      <c r="H2696">
        <v>0.79870649999999999</v>
      </c>
      <c r="I2696">
        <v>269.3596</v>
      </c>
      <c r="J2696">
        <v>-359.81259999999997</v>
      </c>
      <c r="K2696">
        <v>1.1212519999999999</v>
      </c>
      <c r="L2696">
        <v>284.15469999999999</v>
      </c>
      <c r="M2696">
        <v>-0.99989249999999996</v>
      </c>
      <c r="N2696">
        <v>-1.459913E-2</v>
      </c>
      <c r="O2696">
        <v>1.3419090000000001E-3</v>
      </c>
      <c r="P2696">
        <v>-0.99879519999999999</v>
      </c>
      <c r="Q2696">
        <v>-3.9823339999999999E-2</v>
      </c>
      <c r="R2696">
        <v>-2.8675349999999999E-2</v>
      </c>
      <c r="S2696">
        <v>-2.995117</v>
      </c>
      <c r="T2696">
        <v>-6.3045019999999896E-3</v>
      </c>
      <c r="U2696">
        <v>-0.28924559999999999</v>
      </c>
      <c r="V2696">
        <v>-3.0009330000000001E-2</v>
      </c>
      <c r="W2696">
        <v>-2.5245739999999999E-2</v>
      </c>
      <c r="X2696">
        <v>0.99923070000000003</v>
      </c>
      <c r="Y2696">
        <v>-9.7459100000000007E-2</v>
      </c>
      <c r="Z2696">
        <v>-7.9871049999999996E-4</v>
      </c>
      <c r="AA2696">
        <v>0.99523919999999999</v>
      </c>
      <c r="AB2696">
        <v>34</v>
      </c>
      <c r="AC2696">
        <v>-153.012799999999</v>
      </c>
      <c r="AD2696">
        <v>-0.32254549999999998</v>
      </c>
      <c r="AE2696">
        <v>-14.7950999999999</v>
      </c>
      <c r="AF2696">
        <v>-15.0003717830671</v>
      </c>
      <c r="AG2696">
        <v>-0.32254549999999998</v>
      </c>
      <c r="AH2696">
        <v>152.99213288399699</v>
      </c>
      <c r="AI2696">
        <v>90.120217137626994</v>
      </c>
      <c r="AJ2696">
        <v>95.599763341811794</v>
      </c>
      <c r="AK2696">
        <v>153.726080785351</v>
      </c>
      <c r="AL2696">
        <v>91.446628120877406</v>
      </c>
      <c r="AM2696">
        <v>91.720214657388397</v>
      </c>
      <c r="AN2696">
        <v>0.99999994954884197</v>
      </c>
    </row>
    <row r="2697" spans="1:40" x14ac:dyDescent="0.25">
      <c r="A2697" t="str">
        <f>"20190303153824701"</f>
        <v>20190303153824701</v>
      </c>
      <c r="B2697" t="str">
        <f>"1551598704691443"</f>
        <v>1551598704691443</v>
      </c>
      <c r="C2697" t="s">
        <v>40</v>
      </c>
      <c r="D2697">
        <v>4.0391219999999999</v>
      </c>
      <c r="E2697">
        <v>0.4744874</v>
      </c>
      <c r="F2697" t="s">
        <v>59</v>
      </c>
      <c r="G2697">
        <v>-512.82539999999995</v>
      </c>
      <c r="H2697">
        <v>0.84868779999999999</v>
      </c>
      <c r="I2697">
        <v>269.3356</v>
      </c>
      <c r="J2697">
        <v>-359.98489999999998</v>
      </c>
      <c r="K2697">
        <v>1.121248</v>
      </c>
      <c r="L2697">
        <v>284.15480000000002</v>
      </c>
      <c r="M2697">
        <v>-0.99989280000000003</v>
      </c>
      <c r="N2697">
        <v>-1.459732E-2</v>
      </c>
      <c r="O2697">
        <v>1.2951659999999999E-3</v>
      </c>
      <c r="P2697">
        <v>-0.99880619999999998</v>
      </c>
      <c r="Q2697">
        <v>-3.9748199999999997E-2</v>
      </c>
      <c r="R2697">
        <v>-2.8398260000000002E-2</v>
      </c>
      <c r="S2697">
        <v>-2.9950869999999998</v>
      </c>
      <c r="T2697">
        <v>-5.3336619999999899E-3</v>
      </c>
      <c r="U2697">
        <v>-0.29006959999999998</v>
      </c>
      <c r="V2697">
        <v>-2.968633E-2</v>
      </c>
      <c r="W2697">
        <v>-2.5171780000000001E-2</v>
      </c>
      <c r="X2697">
        <v>0.99924219999999997</v>
      </c>
      <c r="Y2697">
        <v>-9.7685090000000002E-2</v>
      </c>
      <c r="Z2697">
        <v>-7.8489229999999905E-4</v>
      </c>
      <c r="AA2697">
        <v>0.99521709999999997</v>
      </c>
      <c r="AB2697">
        <v>34</v>
      </c>
      <c r="AC2697">
        <v>-152.840499999999</v>
      </c>
      <c r="AD2697">
        <v>-0.27256019999999898</v>
      </c>
      <c r="AE2697">
        <v>-14.8192</v>
      </c>
      <c r="AF2697">
        <v>-15.017115132003299</v>
      </c>
      <c r="AG2697">
        <v>-0.27256019999999898</v>
      </c>
      <c r="AH2697">
        <v>152.82069494861901</v>
      </c>
      <c r="AI2697">
        <v>90.101698764155799</v>
      </c>
      <c r="AJ2697">
        <v>95.612222769985806</v>
      </c>
      <c r="AK2697">
        <v>153.557001926091</v>
      </c>
      <c r="AL2697">
        <v>91.442389198008996</v>
      </c>
      <c r="AM2697">
        <v>91.701690810451893</v>
      </c>
      <c r="AN2697">
        <v>0.99999993547903598</v>
      </c>
    </row>
    <row r="2698" spans="1:40" x14ac:dyDescent="0.25">
      <c r="A2698" t="str">
        <f>"20190303153824713"</f>
        <v>20190303153824713</v>
      </c>
      <c r="B2698" t="str">
        <f>"1551598704701203"</f>
        <v>1551598704701203</v>
      </c>
      <c r="C2698" t="s">
        <v>40</v>
      </c>
      <c r="D2698">
        <v>4.0244600000000004</v>
      </c>
      <c r="E2698">
        <v>0.47441070000000002</v>
      </c>
      <c r="F2698" t="s">
        <v>59</v>
      </c>
      <c r="G2698">
        <v>-512.82539999999995</v>
      </c>
      <c r="H2698">
        <v>0.88689419999999897</v>
      </c>
      <c r="I2698">
        <v>269.35739999999998</v>
      </c>
      <c r="J2698">
        <v>-360.16449999999998</v>
      </c>
      <c r="K2698">
        <v>1.121248</v>
      </c>
      <c r="L2698">
        <v>284.1551</v>
      </c>
      <c r="M2698">
        <v>-0.99989280000000003</v>
      </c>
      <c r="N2698">
        <v>-1.4595439999999999E-2</v>
      </c>
      <c r="O2698">
        <v>1.2474649999999999E-3</v>
      </c>
      <c r="P2698">
        <v>-0.99880389999999997</v>
      </c>
      <c r="Q2698">
        <v>-3.9850570000000002E-2</v>
      </c>
      <c r="R2698">
        <v>-2.8337230000000001E-2</v>
      </c>
      <c r="S2698">
        <v>-2.9951479999999999</v>
      </c>
      <c r="T2698">
        <v>-4.5909879999999998E-3</v>
      </c>
      <c r="U2698">
        <v>-0.28997800000000001</v>
      </c>
      <c r="V2698">
        <v>-2.9577619999999999E-2</v>
      </c>
      <c r="W2698">
        <v>-2.5275679999999998E-2</v>
      </c>
      <c r="X2698">
        <v>0.99924279999999999</v>
      </c>
      <c r="Y2698">
        <v>-9.7605730000000002E-2</v>
      </c>
      <c r="Z2698">
        <v>-7.7237629999999996E-4</v>
      </c>
      <c r="AA2698">
        <v>0.99522480000000002</v>
      </c>
      <c r="AB2698">
        <v>34</v>
      </c>
      <c r="AC2698">
        <v>-152.660899999999</v>
      </c>
      <c r="AD2698">
        <v>-0.2343538</v>
      </c>
      <c r="AE2698">
        <v>-14.797700000000001</v>
      </c>
      <c r="AF2698">
        <v>-14.9881128899323</v>
      </c>
      <c r="AG2698">
        <v>-0.2343538</v>
      </c>
      <c r="AH2698">
        <v>152.641963244306</v>
      </c>
      <c r="AI2698">
        <v>90.087546088665206</v>
      </c>
      <c r="AJ2698">
        <v>95.607970072820194</v>
      </c>
      <c r="AK2698">
        <v>153.37622825190701</v>
      </c>
      <c r="AL2698">
        <v>91.4483441260098</v>
      </c>
      <c r="AM2698">
        <v>91.695461921885794</v>
      </c>
      <c r="AN2698">
        <v>0.999999934478081</v>
      </c>
    </row>
    <row r="2699" spans="1:40" x14ac:dyDescent="0.25">
      <c r="A2699" t="str">
        <f>"20190303153824724"</f>
        <v>20190303153824724</v>
      </c>
      <c r="B2699" t="str">
        <f>"1551598704721699"</f>
        <v>1551598704721699</v>
      </c>
      <c r="C2699" t="s">
        <v>40</v>
      </c>
      <c r="D2699">
        <v>4.0220479999999998</v>
      </c>
      <c r="E2699">
        <v>0.47425119999999998</v>
      </c>
      <c r="F2699" t="s">
        <v>59</v>
      </c>
      <c r="G2699">
        <v>-512.82539999999995</v>
      </c>
      <c r="H2699">
        <v>0.84558770000000005</v>
      </c>
      <c r="I2699">
        <v>269.35180000000003</v>
      </c>
      <c r="J2699">
        <v>-360.34059999999999</v>
      </c>
      <c r="K2699">
        <v>1.1212420000000001</v>
      </c>
      <c r="L2699">
        <v>284.15519999999998</v>
      </c>
      <c r="M2699">
        <v>-0.99989300000000003</v>
      </c>
      <c r="N2699">
        <v>-1.459358E-2</v>
      </c>
      <c r="O2699">
        <v>1.2015330000000001E-3</v>
      </c>
      <c r="P2699">
        <v>-0.99882210000000005</v>
      </c>
      <c r="Q2699">
        <v>-3.9324619999999998E-2</v>
      </c>
      <c r="R2699">
        <v>-2.8434589999999999E-2</v>
      </c>
      <c r="S2699">
        <v>-2.9951780000000001</v>
      </c>
      <c r="T2699">
        <v>-5.4068569999999897E-3</v>
      </c>
      <c r="U2699">
        <v>-0.29043580000000002</v>
      </c>
      <c r="V2699">
        <v>-2.9628990000000001E-2</v>
      </c>
      <c r="W2699">
        <v>-2.475109E-2</v>
      </c>
      <c r="X2699">
        <v>0.99925450000000005</v>
      </c>
      <c r="Y2699">
        <v>-9.7709509999999999E-2</v>
      </c>
      <c r="Z2699">
        <v>-7.8733239999999999E-4</v>
      </c>
      <c r="AA2699">
        <v>0.99521459999999995</v>
      </c>
      <c r="AB2699">
        <v>34</v>
      </c>
      <c r="AC2699">
        <v>-152.48479999999901</v>
      </c>
      <c r="AD2699">
        <v>-0.27565429999999902</v>
      </c>
      <c r="AE2699">
        <v>-14.8033999999999</v>
      </c>
      <c r="AF2699">
        <v>-14.986575786864201</v>
      </c>
      <c r="AG2699">
        <v>-0.27565429999999902</v>
      </c>
      <c r="AH2699">
        <v>152.46640764095</v>
      </c>
      <c r="AI2699">
        <v>90.103091963738805</v>
      </c>
      <c r="AJ2699">
        <v>95.613813966184395</v>
      </c>
      <c r="AK2699">
        <v>153.201432428175</v>
      </c>
      <c r="AL2699">
        <v>91.4182777955982</v>
      </c>
      <c r="AM2699">
        <v>91.698384978942499</v>
      </c>
      <c r="AN2699">
        <v>1.0000000246374201</v>
      </c>
    </row>
    <row r="2700" spans="1:40" x14ac:dyDescent="0.25">
      <c r="A2700" t="str">
        <f>"20190303153824737"</f>
        <v>20190303153824737</v>
      </c>
      <c r="B2700" t="str">
        <f>"1551598704731459"</f>
        <v>1551598704731459</v>
      </c>
      <c r="C2700" t="s">
        <v>40</v>
      </c>
      <c r="D2700">
        <v>4.0618639999999999</v>
      </c>
      <c r="E2700">
        <v>0.47415099999999999</v>
      </c>
      <c r="F2700" t="s">
        <v>59</v>
      </c>
      <c r="G2700">
        <v>-512.82539999999995</v>
      </c>
      <c r="H2700">
        <v>0.93939019999999995</v>
      </c>
      <c r="I2700">
        <v>269.2928</v>
      </c>
      <c r="J2700">
        <v>-360.5138</v>
      </c>
      <c r="K2700">
        <v>1.1212409999999999</v>
      </c>
      <c r="L2700">
        <v>284.15539999999999</v>
      </c>
      <c r="M2700">
        <v>-0.99989289999999997</v>
      </c>
      <c r="N2700">
        <v>-1.4591750000000001E-2</v>
      </c>
      <c r="O2700">
        <v>1.1569589999999999E-3</v>
      </c>
      <c r="P2700">
        <v>-0.99882510000000002</v>
      </c>
      <c r="Q2700">
        <v>-3.940685E-2</v>
      </c>
      <c r="R2700">
        <v>-2.8206740000000001E-2</v>
      </c>
      <c r="S2700">
        <v>-2.9951479999999999</v>
      </c>
      <c r="T2700">
        <v>-3.5704370000000001E-3</v>
      </c>
      <c r="U2700">
        <v>-0.2919312</v>
      </c>
      <c r="V2700">
        <v>-2.9357330000000001E-2</v>
      </c>
      <c r="W2700">
        <v>-2.4834800000000001E-2</v>
      </c>
      <c r="X2700">
        <v>0.99926040000000005</v>
      </c>
      <c r="Y2700">
        <v>-9.8158850000000006E-2</v>
      </c>
      <c r="Z2700">
        <v>-7.6079030000000001E-4</v>
      </c>
      <c r="AA2700">
        <v>0.99517049999999996</v>
      </c>
      <c r="AB2700">
        <v>34</v>
      </c>
      <c r="AC2700">
        <v>-152.311599999999</v>
      </c>
      <c r="AD2700">
        <v>-0.18185080000000001</v>
      </c>
      <c r="AE2700">
        <v>-14.862599999999899</v>
      </c>
      <c r="AF2700">
        <v>-15.0388058486484</v>
      </c>
      <c r="AG2700">
        <v>-0.18185080000000001</v>
      </c>
      <c r="AH2700">
        <v>152.29408574425901</v>
      </c>
      <c r="AI2700">
        <v>90.068084367068806</v>
      </c>
      <c r="AJ2700">
        <v>95.639586176741702</v>
      </c>
      <c r="AK2700">
        <v>153.03492184382799</v>
      </c>
      <c r="AL2700">
        <v>91.423075558427399</v>
      </c>
      <c r="AM2700">
        <v>91.682812022597702</v>
      </c>
      <c r="AN2700">
        <v>0.99999998356196396</v>
      </c>
    </row>
    <row r="2701" spans="1:40" x14ac:dyDescent="0.25">
      <c r="A2701" t="str">
        <f>"20190303153824749"</f>
        <v>20190303153824749</v>
      </c>
      <c r="B2701" t="str">
        <f>"1551598704741219"</f>
        <v>1551598704741219</v>
      </c>
      <c r="C2701" t="s">
        <v>40</v>
      </c>
      <c r="D2701">
        <v>4.0396519999999896</v>
      </c>
      <c r="E2701">
        <v>0.47410059999999898</v>
      </c>
      <c r="F2701" t="s">
        <v>59</v>
      </c>
      <c r="G2701">
        <v>-512.82539999999995</v>
      </c>
      <c r="H2701">
        <v>0.91392050000000002</v>
      </c>
      <c r="I2701">
        <v>269.30349999999999</v>
      </c>
      <c r="J2701">
        <v>-360.70440000000002</v>
      </c>
      <c r="K2701">
        <v>1.121238</v>
      </c>
      <c r="L2701">
        <v>284.15559999999999</v>
      </c>
      <c r="M2701">
        <v>-0.99989289999999997</v>
      </c>
      <c r="N2701">
        <v>-1.458973E-2</v>
      </c>
      <c r="O2701">
        <v>1.107975E-3</v>
      </c>
      <c r="P2701">
        <v>-0.99882139999999997</v>
      </c>
      <c r="Q2701">
        <v>-3.911742E-2</v>
      </c>
      <c r="R2701">
        <v>-2.8736859999999999E-2</v>
      </c>
      <c r="S2701">
        <v>-2.995117</v>
      </c>
      <c r="T2701">
        <v>-4.0752890000000002E-3</v>
      </c>
      <c r="U2701">
        <v>-0.29205320000000001</v>
      </c>
      <c r="V2701">
        <v>-2.983831E-2</v>
      </c>
      <c r="W2701">
        <v>-2.4547349999999999E-2</v>
      </c>
      <c r="X2701">
        <v>0.99925330000000001</v>
      </c>
      <c r="Y2701">
        <v>-9.8151130000000003E-2</v>
      </c>
      <c r="Z2701">
        <v>-7.6972839999999896E-4</v>
      </c>
      <c r="AA2701">
        <v>0.99517120000000003</v>
      </c>
      <c r="AB2701">
        <v>34</v>
      </c>
      <c r="AC2701">
        <v>-152.12099999999899</v>
      </c>
      <c r="AD2701">
        <v>-0.20731749999999999</v>
      </c>
      <c r="AE2701">
        <v>-14.8521</v>
      </c>
      <c r="AF2701">
        <v>-15.020627461372801</v>
      </c>
      <c r="AG2701">
        <v>-0.20731749999999999</v>
      </c>
      <c r="AH2701">
        <v>152.10416925653999</v>
      </c>
      <c r="AI2701">
        <v>90.077715894250602</v>
      </c>
      <c r="AJ2701">
        <v>95.639800894085496</v>
      </c>
      <c r="AK2701">
        <v>152.84417075931</v>
      </c>
      <c r="AL2701">
        <v>91.406600802018602</v>
      </c>
      <c r="AM2701">
        <v>91.710378514423695</v>
      </c>
      <c r="AN2701">
        <v>1.0000000273482801</v>
      </c>
    </row>
    <row r="2702" spans="1:40" x14ac:dyDescent="0.25">
      <c r="A2702" t="str">
        <f>"20190303153824764"</f>
        <v>20190303153824764</v>
      </c>
      <c r="B2702" t="str">
        <f>"1551598704751955"</f>
        <v>1551598704751955</v>
      </c>
      <c r="C2702" t="s">
        <v>40</v>
      </c>
      <c r="D2702">
        <v>4.0387370000000002</v>
      </c>
      <c r="E2702">
        <v>0.47400409999999998</v>
      </c>
      <c r="F2702" t="s">
        <v>59</v>
      </c>
      <c r="G2702">
        <v>-512.82550000000003</v>
      </c>
      <c r="H2702">
        <v>0.96601999999999999</v>
      </c>
      <c r="I2702">
        <v>269.21609999999998</v>
      </c>
      <c r="J2702">
        <v>-360.93259999999998</v>
      </c>
      <c r="K2702">
        <v>1.121237</v>
      </c>
      <c r="L2702">
        <v>284.15570000000002</v>
      </c>
      <c r="M2702">
        <v>-0.99989309999999998</v>
      </c>
      <c r="N2702">
        <v>-1.4587340000000001E-2</v>
      </c>
      <c r="O2702">
        <v>1.0489169999999999E-3</v>
      </c>
      <c r="P2702">
        <v>-0.99881730000000002</v>
      </c>
      <c r="Q2702">
        <v>-3.9244550000000003E-2</v>
      </c>
      <c r="R2702">
        <v>-2.870137E-2</v>
      </c>
      <c r="S2702">
        <v>-2.9949650000000001</v>
      </c>
      <c r="T2702">
        <v>-3.0543800000000002E-3</v>
      </c>
      <c r="U2702">
        <v>-0.29412840000000001</v>
      </c>
      <c r="V2702">
        <v>-2.9744349999999999E-2</v>
      </c>
      <c r="W2702">
        <v>-2.4676679999999999E-2</v>
      </c>
      <c r="X2702">
        <v>0.9992529</v>
      </c>
      <c r="Y2702">
        <v>-9.8780499999999993E-2</v>
      </c>
      <c r="Z2702">
        <v>-7.582938E-4</v>
      </c>
      <c r="AA2702">
        <v>0.99510900000000002</v>
      </c>
      <c r="AB2702">
        <v>34</v>
      </c>
      <c r="AC2702">
        <v>-151.8929</v>
      </c>
      <c r="AD2702">
        <v>-0.15521699999999899</v>
      </c>
      <c r="AE2702">
        <v>-14.9396</v>
      </c>
      <c r="AF2702">
        <v>-15.0989161546002</v>
      </c>
      <c r="AG2702">
        <v>-0.15521699999999899</v>
      </c>
      <c r="AH2702">
        <v>151.87698727906999</v>
      </c>
      <c r="AI2702">
        <v>90.058268544716</v>
      </c>
      <c r="AJ2702">
        <v>95.677429504382005</v>
      </c>
      <c r="AK2702">
        <v>152.62575348324299</v>
      </c>
      <c r="AL2702">
        <v>91.414013132711204</v>
      </c>
      <c r="AM2702">
        <v>91.704996446676702</v>
      </c>
      <c r="AN2702">
        <v>1.0000000115255701</v>
      </c>
    </row>
    <row r="2703" spans="1:40" x14ac:dyDescent="0.25">
      <c r="A2703" t="str">
        <f>"20190303153824779"</f>
        <v>20190303153824779</v>
      </c>
      <c r="B2703" t="str">
        <f>"1551598704771475"</f>
        <v>1551598704771475</v>
      </c>
      <c r="C2703" t="s">
        <v>40</v>
      </c>
      <c r="D2703">
        <v>4.0629059999999999</v>
      </c>
      <c r="E2703">
        <v>0.47358549999999999</v>
      </c>
      <c r="F2703" t="s">
        <v>59</v>
      </c>
      <c r="G2703">
        <v>-512.82539999999995</v>
      </c>
      <c r="H2703">
        <v>0.94461819999999996</v>
      </c>
      <c r="I2703">
        <v>269.20760000000001</v>
      </c>
      <c r="J2703">
        <v>-361.14830000000001</v>
      </c>
      <c r="K2703">
        <v>1.1212359999999999</v>
      </c>
      <c r="L2703">
        <v>284.15589999999997</v>
      </c>
      <c r="M2703">
        <v>-0.99989309999999998</v>
      </c>
      <c r="N2703">
        <v>-1.458507E-2</v>
      </c>
      <c r="O2703">
        <v>9.9253280000000002E-4</v>
      </c>
      <c r="P2703">
        <v>-0.99878109999999998</v>
      </c>
      <c r="Q2703">
        <v>-3.9807599999999999E-2</v>
      </c>
      <c r="R2703">
        <v>-2.91843E-2</v>
      </c>
      <c r="S2703">
        <v>-2.9949340000000002</v>
      </c>
      <c r="T2703">
        <v>-3.4809110000000002E-3</v>
      </c>
      <c r="U2703">
        <v>-0.29473880000000002</v>
      </c>
      <c r="V2703">
        <v>-3.0170849999999999E-2</v>
      </c>
      <c r="W2703">
        <v>-2.524235E-2</v>
      </c>
      <c r="X2703">
        <v>0.99922599999999995</v>
      </c>
      <c r="Y2703">
        <v>-9.8926130000000001E-2</v>
      </c>
      <c r="Z2703">
        <v>-7.6726240000000003E-4</v>
      </c>
      <c r="AA2703">
        <v>0.99509449999999999</v>
      </c>
      <c r="AB2703">
        <v>34</v>
      </c>
      <c r="AC2703">
        <v>-151.677099999999</v>
      </c>
      <c r="AD2703">
        <v>-0.17661779999999999</v>
      </c>
      <c r="AE2703">
        <v>-14.9482999999999</v>
      </c>
      <c r="AF2703">
        <v>-15.0988328773627</v>
      </c>
      <c r="AG2703">
        <v>-0.17661779999999999</v>
      </c>
      <c r="AH2703">
        <v>151.66198335598901</v>
      </c>
      <c r="AI2703">
        <v>90.066395485162303</v>
      </c>
      <c r="AJ2703">
        <v>95.6853942790041</v>
      </c>
      <c r="AK2703">
        <v>152.411820878757</v>
      </c>
      <c r="AL2703">
        <v>91.446433713120697</v>
      </c>
      <c r="AM2703">
        <v>91.7294759356013</v>
      </c>
      <c r="AN2703">
        <v>1.0000000277496199</v>
      </c>
    </row>
    <row r="2704" spans="1:40" x14ac:dyDescent="0.25">
      <c r="A2704" t="str">
        <f>"20190303153824800"</f>
        <v>20190303153824800</v>
      </c>
      <c r="B2704" t="str">
        <f>"1551598704791660"</f>
        <v>1551598704791660</v>
      </c>
      <c r="C2704" t="s">
        <v>40</v>
      </c>
      <c r="D2704">
        <v>4.0613159999999997</v>
      </c>
      <c r="E2704">
        <v>0.47323599999999999</v>
      </c>
      <c r="F2704" t="s">
        <v>59</v>
      </c>
      <c r="G2704">
        <v>-512.82539999999995</v>
      </c>
      <c r="H2704">
        <v>0.85392699999999999</v>
      </c>
      <c r="I2704">
        <v>268.9837</v>
      </c>
      <c r="J2704">
        <v>-361.48570000000001</v>
      </c>
      <c r="K2704">
        <v>1.1212310000000001</v>
      </c>
      <c r="L2704">
        <v>284.15609999999998</v>
      </c>
      <c r="M2704">
        <v>-0.99989329999999998</v>
      </c>
      <c r="N2704">
        <v>-1.4581419999999999E-2</v>
      </c>
      <c r="O2704">
        <v>9.0315049999999998E-4</v>
      </c>
      <c r="P2704">
        <v>-0.99875340000000001</v>
      </c>
      <c r="Q2704">
        <v>-4.0303770000000003E-2</v>
      </c>
      <c r="R2704">
        <v>-2.945244E-2</v>
      </c>
      <c r="S2704">
        <v>-2.99472</v>
      </c>
      <c r="T2704">
        <v>-5.2762030000000001E-3</v>
      </c>
      <c r="U2704">
        <v>-0.29956050000000001</v>
      </c>
      <c r="V2704">
        <v>-3.0349620000000001E-2</v>
      </c>
      <c r="W2704">
        <v>-2.5742310000000001E-2</v>
      </c>
      <c r="X2704">
        <v>0.99920779999999998</v>
      </c>
      <c r="Y2704">
        <v>-0.10043000000000001</v>
      </c>
      <c r="Z2704">
        <v>-8.1077320000000005E-4</v>
      </c>
      <c r="AA2704">
        <v>0.99494380000000004</v>
      </c>
      <c r="AB2704">
        <v>34</v>
      </c>
      <c r="AC2704">
        <v>-151.339699999999</v>
      </c>
      <c r="AD2704">
        <v>-0.26730399999999899</v>
      </c>
      <c r="AE2704">
        <v>-15.1723999999999</v>
      </c>
      <c r="AF2704">
        <v>-15.3090435827677</v>
      </c>
      <c r="AG2704">
        <v>-0.26730399999999899</v>
      </c>
      <c r="AH2704">
        <v>151.325466462972</v>
      </c>
      <c r="AI2704">
        <v>90.100694209351801</v>
      </c>
      <c r="AJ2704">
        <v>95.776750177656197</v>
      </c>
      <c r="AK2704">
        <v>152.09811000496799</v>
      </c>
      <c r="AL2704">
        <v>91.475088668595205</v>
      </c>
      <c r="AM2704">
        <v>91.739748912289897</v>
      </c>
      <c r="AN2704">
        <v>0.99999999676955997</v>
      </c>
    </row>
    <row r="2705" spans="1:40" x14ac:dyDescent="0.25">
      <c r="A2705" t="str">
        <f>"20190303153824814"</f>
        <v>20190303153824814</v>
      </c>
      <c r="B2705" t="str">
        <f>"1551598704801399"</f>
        <v>1551598704801399</v>
      </c>
      <c r="C2705" t="s">
        <v>40</v>
      </c>
      <c r="D2705">
        <v>4.0453169999999998</v>
      </c>
      <c r="E2705">
        <v>0.47306890000000001</v>
      </c>
      <c r="F2705" t="s">
        <v>59</v>
      </c>
      <c r="G2705">
        <v>-512.82539999999995</v>
      </c>
      <c r="H2705">
        <v>0.79201299999999997</v>
      </c>
      <c r="I2705">
        <v>268.83319999999998</v>
      </c>
      <c r="J2705">
        <v>-361.68060000000003</v>
      </c>
      <c r="K2705">
        <v>1.121229</v>
      </c>
      <c r="L2705">
        <v>284.15629999999999</v>
      </c>
      <c r="M2705">
        <v>-0.99989340000000004</v>
      </c>
      <c r="N2705">
        <v>-1.457923E-2</v>
      </c>
      <c r="O2705">
        <v>8.5127550000000003E-4</v>
      </c>
      <c r="P2705">
        <v>-0.9987549</v>
      </c>
      <c r="Q2705">
        <v>-4.0301040000000003E-2</v>
      </c>
      <c r="R2705">
        <v>-2.9409379999999999E-2</v>
      </c>
      <c r="S2705">
        <v>-2.9945369999999998</v>
      </c>
      <c r="T2705">
        <v>-6.5126419999999999E-3</v>
      </c>
      <c r="U2705">
        <v>-0.30319210000000002</v>
      </c>
      <c r="V2705">
        <v>-3.0254799999999998E-2</v>
      </c>
      <c r="W2705">
        <v>-2.57416E-2</v>
      </c>
      <c r="X2705">
        <v>0.99921070000000001</v>
      </c>
      <c r="Y2705">
        <v>-0.1015785</v>
      </c>
      <c r="Z2705">
        <v>-8.4204579999999998E-4</v>
      </c>
      <c r="AA2705">
        <v>0.99482720000000002</v>
      </c>
      <c r="AB2705">
        <v>34</v>
      </c>
      <c r="AC2705">
        <v>-151.14479999999901</v>
      </c>
      <c r="AD2705">
        <v>-0.32921600000000001</v>
      </c>
      <c r="AE2705">
        <v>-15.3231</v>
      </c>
      <c r="AF2705">
        <v>-15.451701420251901</v>
      </c>
      <c r="AG2705">
        <v>-0.32921600000000001</v>
      </c>
      <c r="AH2705">
        <v>151.13098993603799</v>
      </c>
      <c r="AI2705">
        <v>90.124162736796706</v>
      </c>
      <c r="AJ2705">
        <v>95.837662472768002</v>
      </c>
      <c r="AK2705">
        <v>151.91918765910401</v>
      </c>
      <c r="AL2705">
        <v>91.475047965997007</v>
      </c>
      <c r="AM2705">
        <v>91.734311784591597</v>
      </c>
      <c r="AN2705">
        <v>1.0000000029440399</v>
      </c>
    </row>
    <row r="2706" spans="1:40" x14ac:dyDescent="0.25">
      <c r="A2706" t="str">
        <f>"20190303153824828"</f>
        <v>20190303153824828</v>
      </c>
      <c r="B2706" t="str">
        <f>"1551598704820918"</f>
        <v>1551598704820918</v>
      </c>
      <c r="C2706" t="s">
        <v>40</v>
      </c>
      <c r="D2706">
        <v>4.0508490000000004</v>
      </c>
      <c r="E2706">
        <v>0.47278120000000001</v>
      </c>
      <c r="F2706" t="s">
        <v>59</v>
      </c>
      <c r="G2706">
        <v>-512.82539999999995</v>
      </c>
      <c r="H2706">
        <v>0.80707109999999904</v>
      </c>
      <c r="I2706">
        <v>268.79930000000002</v>
      </c>
      <c r="J2706">
        <v>-361.90989999999999</v>
      </c>
      <c r="K2706">
        <v>1.1212279999999999</v>
      </c>
      <c r="L2706">
        <v>284.15640000000002</v>
      </c>
      <c r="M2706">
        <v>-0.99989349999999999</v>
      </c>
      <c r="N2706">
        <v>-1.457668E-2</v>
      </c>
      <c r="O2706">
        <v>7.9016119999999904E-4</v>
      </c>
      <c r="P2706">
        <v>-0.99873800000000001</v>
      </c>
      <c r="Q2706">
        <v>-4.0496440000000002E-2</v>
      </c>
      <c r="R2706">
        <v>-2.9710190000000001E-2</v>
      </c>
      <c r="S2706">
        <v>-2.9945680000000001</v>
      </c>
      <c r="T2706">
        <v>-6.2227250000000001E-3</v>
      </c>
      <c r="U2706">
        <v>-0.30426029999999998</v>
      </c>
      <c r="V2706">
        <v>-3.0494779999999999E-2</v>
      </c>
      <c r="W2706">
        <v>-2.5939730000000001E-2</v>
      </c>
      <c r="X2706">
        <v>0.99919829999999998</v>
      </c>
      <c r="Y2706">
        <v>-0.101868</v>
      </c>
      <c r="Z2706">
        <v>-8.4011899999999996E-4</v>
      </c>
      <c r="AA2706">
        <v>0.99479759999999995</v>
      </c>
      <c r="AB2706">
        <v>34</v>
      </c>
      <c r="AC2706">
        <v>-150.91549999999901</v>
      </c>
      <c r="AD2706">
        <v>-0.31415690000000002</v>
      </c>
      <c r="AE2706">
        <v>-15.357100000000001</v>
      </c>
      <c r="AF2706">
        <v>-15.476289064290899</v>
      </c>
      <c r="AG2706">
        <v>-0.31415690000000002</v>
      </c>
      <c r="AH2706">
        <v>150.902669789545</v>
      </c>
      <c r="AI2706">
        <v>90.118658711843096</v>
      </c>
      <c r="AJ2706">
        <v>95.855672479478301</v>
      </c>
      <c r="AK2706">
        <v>151.694528468801</v>
      </c>
      <c r="AL2706">
        <v>91.486403742498894</v>
      </c>
      <c r="AM2706">
        <v>91.748081462555803</v>
      </c>
      <c r="AN2706">
        <v>1.0000000219612999</v>
      </c>
    </row>
    <row r="2707" spans="1:40" x14ac:dyDescent="0.25">
      <c r="A2707" t="str">
        <f>"20190303153824845"</f>
        <v>20190303153824845</v>
      </c>
      <c r="B2707" t="str">
        <f>"1551598704841415"</f>
        <v>1551598704841415</v>
      </c>
      <c r="C2707" t="s">
        <v>40</v>
      </c>
      <c r="D2707">
        <v>4.0517750000000001</v>
      </c>
      <c r="E2707">
        <v>0.47251569999999998</v>
      </c>
      <c r="F2707" t="s">
        <v>59</v>
      </c>
      <c r="G2707">
        <v>-512.82539999999995</v>
      </c>
      <c r="H2707">
        <v>0.79611209999999999</v>
      </c>
      <c r="I2707">
        <v>268.67259999999999</v>
      </c>
      <c r="J2707">
        <v>-362.15140000000002</v>
      </c>
      <c r="K2707">
        <v>1.121229</v>
      </c>
      <c r="L2707">
        <v>284.15660000000003</v>
      </c>
      <c r="M2707">
        <v>-0.99989360000000005</v>
      </c>
      <c r="N2707">
        <v>-1.457406E-2</v>
      </c>
      <c r="O2707">
        <v>7.2511220000000005E-4</v>
      </c>
      <c r="P2707">
        <v>-0.99873579999999995</v>
      </c>
      <c r="Q2707">
        <v>-4.0633080000000002E-2</v>
      </c>
      <c r="R2707">
        <v>-2.9598719999999999E-2</v>
      </c>
      <c r="S2707">
        <v>-2.9943849999999999</v>
      </c>
      <c r="T2707">
        <v>-6.4492229999999996E-3</v>
      </c>
      <c r="U2707">
        <v>-0.30722050000000001</v>
      </c>
      <c r="V2707">
        <v>-3.0318379999999999E-2</v>
      </c>
      <c r="W2707">
        <v>-2.607889E-2</v>
      </c>
      <c r="X2707">
        <v>0.99919999999999998</v>
      </c>
      <c r="Y2707">
        <v>-0.1027825</v>
      </c>
      <c r="Z2707">
        <v>-8.5239880000000004E-4</v>
      </c>
      <c r="AA2707">
        <v>0.99470349999999996</v>
      </c>
      <c r="AB2707">
        <v>34</v>
      </c>
      <c r="AC2707">
        <v>-150.67399999999901</v>
      </c>
      <c r="AD2707">
        <v>-0.32511689999999999</v>
      </c>
      <c r="AE2707">
        <v>-15.484</v>
      </c>
      <c r="AF2707">
        <v>-15.593191239956401</v>
      </c>
      <c r="AG2707">
        <v>-0.32511689999999999</v>
      </c>
      <c r="AH2707">
        <v>150.66203741625699</v>
      </c>
      <c r="AI2707">
        <v>90.122982695384707</v>
      </c>
      <c r="AJ2707">
        <v>95.908949265501604</v>
      </c>
      <c r="AK2707">
        <v>151.467167506566</v>
      </c>
      <c r="AL2707">
        <v>91.494379789474294</v>
      </c>
      <c r="AM2707">
        <v>91.737972781052207</v>
      </c>
      <c r="AN2707">
        <v>0.99999997633472704</v>
      </c>
    </row>
    <row r="2708" spans="1:40" x14ac:dyDescent="0.25">
      <c r="A2708" t="str">
        <f>"20190303153824857"</f>
        <v>20190303153824857</v>
      </c>
      <c r="B2708" t="str">
        <f>"1551598704851175"</f>
        <v>1551598704851175</v>
      </c>
      <c r="C2708" t="s">
        <v>40</v>
      </c>
      <c r="D2708">
        <v>4.0514419999999998</v>
      </c>
      <c r="E2708">
        <v>0.47239690000000001</v>
      </c>
      <c r="F2708" t="s">
        <v>59</v>
      </c>
      <c r="G2708">
        <v>-512.82539999999995</v>
      </c>
      <c r="H2708">
        <v>0.77964219999999995</v>
      </c>
      <c r="I2708">
        <v>268.6037</v>
      </c>
      <c r="J2708">
        <v>-362.32760000000002</v>
      </c>
      <c r="K2708">
        <v>1.1212299999999999</v>
      </c>
      <c r="L2708">
        <v>284.15660000000003</v>
      </c>
      <c r="M2708">
        <v>-0.99989349999999999</v>
      </c>
      <c r="N2708">
        <v>-1.4572140000000001E-2</v>
      </c>
      <c r="O2708">
        <v>6.7763570000000002E-4</v>
      </c>
      <c r="P2708">
        <v>-0.99873509999999999</v>
      </c>
      <c r="Q2708">
        <v>-4.064164E-2</v>
      </c>
      <c r="R2708">
        <v>-2.9610210000000001E-2</v>
      </c>
      <c r="S2708">
        <v>-2.994354</v>
      </c>
      <c r="T2708">
        <v>-6.786823E-3</v>
      </c>
      <c r="U2708">
        <v>-0.30908200000000002</v>
      </c>
      <c r="V2708">
        <v>-3.0282159999999999E-2</v>
      </c>
      <c r="W2708">
        <v>-2.6089299999999999E-2</v>
      </c>
      <c r="X2708">
        <v>0.9992008</v>
      </c>
      <c r="Y2708">
        <v>-0.1033481</v>
      </c>
      <c r="Z2708">
        <v>-8.6353799999999996E-4</v>
      </c>
      <c r="AA2708">
        <v>0.99464490000000005</v>
      </c>
      <c r="AB2708">
        <v>34</v>
      </c>
      <c r="AC2708">
        <v>-150.49779999999899</v>
      </c>
      <c r="AD2708">
        <v>-0.3415878</v>
      </c>
      <c r="AE2708">
        <v>-15.552899999999999</v>
      </c>
      <c r="AF2708">
        <v>-15.654810153771599</v>
      </c>
      <c r="AG2708">
        <v>-0.3415878</v>
      </c>
      <c r="AH2708">
        <v>150.486458060628</v>
      </c>
      <c r="AI2708">
        <v>90.129356875982694</v>
      </c>
      <c r="AJ2708">
        <v>95.939005054112997</v>
      </c>
      <c r="AK2708">
        <v>151.29892208078999</v>
      </c>
      <c r="AL2708">
        <v>91.494976481308299</v>
      </c>
      <c r="AM2708">
        <v>91.735896385536606</v>
      </c>
      <c r="AN2708">
        <v>0.99999994975469597</v>
      </c>
    </row>
    <row r="2709" spans="1:40" x14ac:dyDescent="0.25">
      <c r="A2709" t="str">
        <f>"20190303153824867"</f>
        <v>20190303153824867</v>
      </c>
      <c r="B2709" t="str">
        <f>"1551598704860935"</f>
        <v>1551598704860935</v>
      </c>
      <c r="C2709" t="s">
        <v>40</v>
      </c>
      <c r="D2709">
        <v>4.0515739999999996</v>
      </c>
      <c r="E2709">
        <v>0.47229789999999999</v>
      </c>
      <c r="F2709" t="s">
        <v>59</v>
      </c>
      <c r="G2709">
        <v>-512.82539999999995</v>
      </c>
      <c r="H2709">
        <v>0.77656569999999903</v>
      </c>
      <c r="I2709">
        <v>268.57870000000003</v>
      </c>
      <c r="J2709">
        <v>-362.50099999999998</v>
      </c>
      <c r="K2709">
        <v>1.1212299999999999</v>
      </c>
      <c r="L2709">
        <v>284.1567</v>
      </c>
      <c r="M2709">
        <v>-0.9998937</v>
      </c>
      <c r="N2709">
        <v>-1.457026E-2</v>
      </c>
      <c r="O2709">
        <v>6.306355E-4</v>
      </c>
      <c r="P2709">
        <v>-0.9987317</v>
      </c>
      <c r="Q2709">
        <v>-4.0713979999999997E-2</v>
      </c>
      <c r="R2709">
        <v>-2.9620279999999999E-2</v>
      </c>
      <c r="S2709">
        <v>-2.9942929999999999</v>
      </c>
      <c r="T2709">
        <v>-6.8558450000000002E-3</v>
      </c>
      <c r="U2709">
        <v>-0.3099365</v>
      </c>
      <c r="V2709">
        <v>-3.024541E-2</v>
      </c>
      <c r="W2709">
        <v>-2.6163479999999999E-2</v>
      </c>
      <c r="X2709">
        <v>0.99919999999999998</v>
      </c>
      <c r="Y2709">
        <v>-0.1035842</v>
      </c>
      <c r="Z2709">
        <v>-8.6722739999999996E-4</v>
      </c>
      <c r="AA2709">
        <v>0.99462030000000001</v>
      </c>
      <c r="AB2709">
        <v>34</v>
      </c>
      <c r="AC2709">
        <v>-150.324399999999</v>
      </c>
      <c r="AD2709">
        <v>-0.34466429999999998</v>
      </c>
      <c r="AE2709">
        <v>-15.5779999999999</v>
      </c>
      <c r="AF2709">
        <v>-15.6727253489468</v>
      </c>
      <c r="AG2709">
        <v>-0.34466429999999998</v>
      </c>
      <c r="AH2709">
        <v>150.31376322343399</v>
      </c>
      <c r="AI2709">
        <v>90.130668662615605</v>
      </c>
      <c r="AJ2709">
        <v>95.952534956144106</v>
      </c>
      <c r="AK2709">
        <v>151.12901947585601</v>
      </c>
      <c r="AL2709">
        <v>91.499228094018605</v>
      </c>
      <c r="AM2709">
        <v>91.733792400168099</v>
      </c>
      <c r="AN2709">
        <v>0.99999997625588799</v>
      </c>
    </row>
    <row r="2710" spans="1:40" x14ac:dyDescent="0.25">
      <c r="A2710" t="str">
        <f>"20190303153824880"</f>
        <v>20190303153824880</v>
      </c>
      <c r="B2710" t="str">
        <f>"1551598704871671"</f>
        <v>1551598704871671</v>
      </c>
      <c r="C2710" t="s">
        <v>40</v>
      </c>
      <c r="D2710">
        <v>4.0539399999999999</v>
      </c>
      <c r="E2710">
        <v>0.47219369999999999</v>
      </c>
      <c r="F2710" t="s">
        <v>59</v>
      </c>
      <c r="G2710">
        <v>-512.82539999999995</v>
      </c>
      <c r="H2710">
        <v>0.78703840000000003</v>
      </c>
      <c r="I2710">
        <v>268.54939999999999</v>
      </c>
      <c r="J2710">
        <v>-362.68340000000001</v>
      </c>
      <c r="K2710">
        <v>1.1212230000000001</v>
      </c>
      <c r="L2710">
        <v>284.1567</v>
      </c>
      <c r="M2710">
        <v>-0.9998939</v>
      </c>
      <c r="N2710">
        <v>-1.4568279999999999E-2</v>
      </c>
      <c r="O2710">
        <v>5.813077E-4</v>
      </c>
      <c r="P2710">
        <v>-0.99872570000000005</v>
      </c>
      <c r="Q2710">
        <v>-4.0953829999999997E-2</v>
      </c>
      <c r="R2710">
        <v>-2.9497249999999999E-2</v>
      </c>
      <c r="S2710">
        <v>-2.9943240000000002</v>
      </c>
      <c r="T2710">
        <v>-6.6552159999999898E-3</v>
      </c>
      <c r="U2710">
        <v>-0.31088259999999901</v>
      </c>
      <c r="V2710">
        <v>-3.0073220000000001E-2</v>
      </c>
      <c r="W2710">
        <v>-2.6405290000000001E-2</v>
      </c>
      <c r="X2710">
        <v>0.9991989</v>
      </c>
      <c r="Y2710">
        <v>-0.1038451</v>
      </c>
      <c r="Z2710">
        <v>-8.6643379999999995E-4</v>
      </c>
      <c r="AA2710">
        <v>0.99459310000000001</v>
      </c>
      <c r="AB2710">
        <v>34</v>
      </c>
      <c r="AC2710">
        <v>-150.141999999999</v>
      </c>
      <c r="AD2710">
        <v>-0.334184599999999</v>
      </c>
      <c r="AE2710">
        <v>-15.6073</v>
      </c>
      <c r="AF2710">
        <v>-15.6945083879989</v>
      </c>
      <c r="AG2710">
        <v>-0.334184599999999</v>
      </c>
      <c r="AH2710">
        <v>150.13216519686</v>
      </c>
      <c r="AI2710">
        <v>90.126845322114207</v>
      </c>
      <c r="AJ2710">
        <v>95.967906719647701</v>
      </c>
      <c r="AK2710">
        <v>150.95064193167599</v>
      </c>
      <c r="AL2710">
        <v>91.513087478977795</v>
      </c>
      <c r="AM2710">
        <v>91.723929624810694</v>
      </c>
      <c r="AN2710">
        <v>1.0000000398311799</v>
      </c>
    </row>
    <row r="2711" spans="1:40" x14ac:dyDescent="0.25">
      <c r="A2711" t="str">
        <f>"20190303153824892"</f>
        <v>20190303153824892</v>
      </c>
      <c r="B2711" t="str">
        <f>"1551598704881431"</f>
        <v>1551598704881431</v>
      </c>
      <c r="C2711" t="s">
        <v>40</v>
      </c>
      <c r="D2711">
        <v>4.0500619999999996</v>
      </c>
      <c r="E2711">
        <v>0.47213119999999997</v>
      </c>
      <c r="F2711" t="s">
        <v>59</v>
      </c>
      <c r="G2711">
        <v>-512.82539999999995</v>
      </c>
      <c r="H2711">
        <v>0.75695630000000003</v>
      </c>
      <c r="I2711">
        <v>268.55020000000002</v>
      </c>
      <c r="J2711">
        <v>-362.86829999999998</v>
      </c>
      <c r="K2711">
        <v>1.1212219999999999</v>
      </c>
      <c r="L2711">
        <v>284.15679999999998</v>
      </c>
      <c r="M2711">
        <v>-0.99989380000000005</v>
      </c>
      <c r="N2711">
        <v>-1.4566269999999999E-2</v>
      </c>
      <c r="O2711">
        <v>5.3144300000000004E-4</v>
      </c>
      <c r="P2711">
        <v>-0.99873610000000002</v>
      </c>
      <c r="Q2711">
        <v>-4.0955900000000003E-2</v>
      </c>
      <c r="R2711">
        <v>-2.9141859999999999E-2</v>
      </c>
      <c r="S2711">
        <v>-2.994354</v>
      </c>
      <c r="T2711">
        <v>-7.2631839999999998E-3</v>
      </c>
      <c r="U2711">
        <v>-0.31124879999999999</v>
      </c>
      <c r="V2711">
        <v>-2.966775E-2</v>
      </c>
      <c r="W2711">
        <v>-2.640909E-2</v>
      </c>
      <c r="X2711">
        <v>0.99921090000000001</v>
      </c>
      <c r="Y2711">
        <v>-0.1039146</v>
      </c>
      <c r="Z2711">
        <v>-8.7816039999999895E-4</v>
      </c>
      <c r="AA2711">
        <v>0.99458579999999996</v>
      </c>
      <c r="AB2711">
        <v>34</v>
      </c>
      <c r="AC2711">
        <v>-149.957099999999</v>
      </c>
      <c r="AD2711">
        <v>-0.36426569999999903</v>
      </c>
      <c r="AE2711">
        <v>-15.606599999999901</v>
      </c>
      <c r="AF2711">
        <v>-15.6862083322488</v>
      </c>
      <c r="AG2711">
        <v>-0.36426569999999903</v>
      </c>
      <c r="AH2711">
        <v>149.94790860645699</v>
      </c>
      <c r="AI2711">
        <v>90.138431912053093</v>
      </c>
      <c r="AJ2711">
        <v>95.972049944711202</v>
      </c>
      <c r="AK2711">
        <v>150.766591514146</v>
      </c>
      <c r="AL2711">
        <v>91.513305310337699</v>
      </c>
      <c r="AM2711">
        <v>91.700679626784193</v>
      </c>
      <c r="AN2711">
        <v>1.00000001905175</v>
      </c>
    </row>
    <row r="2712" spans="1:40" x14ac:dyDescent="0.25">
      <c r="A2712" t="str">
        <f>"20190303153824904"</f>
        <v>20190303153824904</v>
      </c>
      <c r="B2712" t="str">
        <f>"1551598704900950"</f>
        <v>1551598704900950</v>
      </c>
      <c r="C2712" t="s">
        <v>40</v>
      </c>
      <c r="D2712">
        <v>4.0561470000000002</v>
      </c>
      <c r="E2712">
        <v>0.47199790000000003</v>
      </c>
      <c r="F2712" t="s">
        <v>59</v>
      </c>
      <c r="G2712">
        <v>-512.82539999999995</v>
      </c>
      <c r="H2712">
        <v>0.7768024</v>
      </c>
      <c r="I2712">
        <v>268.60520000000002</v>
      </c>
      <c r="J2712">
        <v>-363.06119999999999</v>
      </c>
      <c r="K2712">
        <v>1.1212219999999999</v>
      </c>
      <c r="L2712">
        <v>284.15690000000001</v>
      </c>
      <c r="M2712">
        <v>-0.9998939</v>
      </c>
      <c r="N2712">
        <v>-1.456414E-2</v>
      </c>
      <c r="O2712">
        <v>4.7919409999999999E-4</v>
      </c>
      <c r="P2712">
        <v>-0.99874680000000005</v>
      </c>
      <c r="Q2712">
        <v>-4.0803159999999998E-2</v>
      </c>
      <c r="R2712">
        <v>-2.8990060000000002E-2</v>
      </c>
      <c r="S2712">
        <v>-2.9944760000000001</v>
      </c>
      <c r="T2712">
        <v>-6.8761109999999999E-3</v>
      </c>
      <c r="U2712">
        <v>-0.31054690000000001</v>
      </c>
      <c r="V2712">
        <v>-2.9463940000000001E-2</v>
      </c>
      <c r="W2712">
        <v>-2.6258259999999999E-2</v>
      </c>
      <c r="X2712">
        <v>0.99922089999999997</v>
      </c>
      <c r="Y2712">
        <v>-0.103628</v>
      </c>
      <c r="Z2712">
        <v>-8.6948880000000002E-4</v>
      </c>
      <c r="AA2712">
        <v>0.99461569999999999</v>
      </c>
      <c r="AB2712">
        <v>34</v>
      </c>
      <c r="AC2712">
        <v>-149.76419999999899</v>
      </c>
      <c r="AD2712">
        <v>-0.34441959999999899</v>
      </c>
      <c r="AE2712">
        <v>-15.551699999999901</v>
      </c>
      <c r="AF2712">
        <v>-15.6233901940761</v>
      </c>
      <c r="AG2712">
        <v>-0.34441959999999899</v>
      </c>
      <c r="AH2712">
        <v>149.75594614409701</v>
      </c>
      <c r="AI2712">
        <v>90.131061468348307</v>
      </c>
      <c r="AJ2712">
        <v>95.955875628787595</v>
      </c>
      <c r="AK2712">
        <v>150.56909494159501</v>
      </c>
      <c r="AL2712">
        <v>91.504660398460601</v>
      </c>
      <c r="AM2712">
        <v>91.688986281608194</v>
      </c>
      <c r="AN2712">
        <v>1.0000000134876801</v>
      </c>
    </row>
    <row r="2713" spans="1:40" x14ac:dyDescent="0.25">
      <c r="A2713" t="str">
        <f>"20190303153824918"</f>
        <v>20190303153824918</v>
      </c>
      <c r="B2713" t="str">
        <f>"1551598704911688"</f>
        <v>1551598704911688</v>
      </c>
      <c r="C2713" t="s">
        <v>40</v>
      </c>
      <c r="D2713">
        <v>4.0435379999999999</v>
      </c>
      <c r="E2713">
        <v>0.47192020000000001</v>
      </c>
      <c r="F2713" t="s">
        <v>59</v>
      </c>
      <c r="G2713">
        <v>-512.82539999999995</v>
      </c>
      <c r="H2713">
        <v>0.79062369999999904</v>
      </c>
      <c r="I2713">
        <v>268.58229999999998</v>
      </c>
      <c r="J2713">
        <v>-363.2638</v>
      </c>
      <c r="K2713">
        <v>1.1212299999999999</v>
      </c>
      <c r="L2713">
        <v>284.15699999999998</v>
      </c>
      <c r="M2713">
        <v>-0.99989399999999995</v>
      </c>
      <c r="N2713">
        <v>-1.4561899999999999E-2</v>
      </c>
      <c r="O2713">
        <v>4.2461879999999998E-4</v>
      </c>
      <c r="P2713">
        <v>-0.99875749999999996</v>
      </c>
      <c r="Q2713">
        <v>-4.0753690000000002E-2</v>
      </c>
      <c r="R2713">
        <v>-2.867745E-2</v>
      </c>
      <c r="S2713">
        <v>-2.994415</v>
      </c>
      <c r="T2713">
        <v>-6.6084859999999898E-3</v>
      </c>
      <c r="U2713">
        <v>-0.31140139999999999</v>
      </c>
      <c r="V2713">
        <v>-2.909757E-2</v>
      </c>
      <c r="W2713">
        <v>-2.6210779999999999E-2</v>
      </c>
      <c r="X2713">
        <v>0.99923289999999998</v>
      </c>
      <c r="Y2713">
        <v>-0.10385659999999999</v>
      </c>
      <c r="Z2713">
        <v>-8.673172E-4</v>
      </c>
      <c r="AA2713">
        <v>0.99459189999999997</v>
      </c>
      <c r="AB2713">
        <v>34</v>
      </c>
      <c r="AC2713">
        <v>-149.561599999999</v>
      </c>
      <c r="AD2713">
        <v>-0.33060630000000002</v>
      </c>
      <c r="AE2713">
        <v>-15.5747</v>
      </c>
      <c r="AF2713">
        <v>-15.638136396233699</v>
      </c>
      <c r="AG2713">
        <v>-0.33060630000000002</v>
      </c>
      <c r="AH2713">
        <v>149.55424957264299</v>
      </c>
      <c r="AI2713">
        <v>90.125971683664105</v>
      </c>
      <c r="AJ2713">
        <v>95.969438553649098</v>
      </c>
      <c r="AK2713">
        <v>150.36999094137499</v>
      </c>
      <c r="AL2713">
        <v>91.501939031926995</v>
      </c>
      <c r="AM2713">
        <v>91.667976463841995</v>
      </c>
      <c r="AN2713">
        <v>1.0000000310052599</v>
      </c>
    </row>
    <row r="2714" spans="1:40" x14ac:dyDescent="0.25">
      <c r="A2714" t="str">
        <f>"20190303153824931"</f>
        <v>20190303153824931</v>
      </c>
      <c r="B2714" t="str">
        <f>"1551598704921447"</f>
        <v>1551598704921447</v>
      </c>
      <c r="C2714" t="s">
        <v>40</v>
      </c>
      <c r="D2714">
        <v>4.0421459999999998</v>
      </c>
      <c r="E2714">
        <v>0.47184510000000002</v>
      </c>
      <c r="F2714" t="s">
        <v>59</v>
      </c>
      <c r="G2714">
        <v>-512.82539999999995</v>
      </c>
      <c r="H2714">
        <v>0.79618809999999995</v>
      </c>
      <c r="I2714">
        <v>268.6266</v>
      </c>
      <c r="J2714">
        <v>-363.45</v>
      </c>
      <c r="K2714">
        <v>1.1212299999999999</v>
      </c>
      <c r="L2714">
        <v>284.15699999999998</v>
      </c>
      <c r="M2714">
        <v>-0.99989399999999995</v>
      </c>
      <c r="N2714">
        <v>-1.4559829999999999E-2</v>
      </c>
      <c r="O2714">
        <v>3.745706E-4</v>
      </c>
      <c r="P2714">
        <v>-0.99877709999999997</v>
      </c>
      <c r="Q2714">
        <v>-4.0706550000000001E-2</v>
      </c>
      <c r="R2714">
        <v>-2.8060990000000001E-2</v>
      </c>
      <c r="S2714">
        <v>-2.9944760000000001</v>
      </c>
      <c r="T2714">
        <v>-6.506324E-3</v>
      </c>
      <c r="U2714">
        <v>-0.31094359999999999</v>
      </c>
      <c r="V2714">
        <v>-2.8430540000000001E-2</v>
      </c>
      <c r="W2714">
        <v>-2.6165259999999999E-2</v>
      </c>
      <c r="X2714">
        <v>0.99925330000000001</v>
      </c>
      <c r="Y2714">
        <v>-0.10365439999999999</v>
      </c>
      <c r="Z2714">
        <v>-8.6434459999999995E-4</v>
      </c>
      <c r="AA2714">
        <v>0.99461299999999997</v>
      </c>
      <c r="AB2714">
        <v>34</v>
      </c>
      <c r="AC2714">
        <v>-149.37539999999899</v>
      </c>
      <c r="AD2714">
        <v>-0.32504189999999999</v>
      </c>
      <c r="AE2714">
        <v>-15.530399999999901</v>
      </c>
      <c r="AF2714">
        <v>-15.586283459145401</v>
      </c>
      <c r="AG2714">
        <v>-0.32504189999999999</v>
      </c>
      <c r="AH2714">
        <v>149.368871972249</v>
      </c>
      <c r="AI2714">
        <v>90.124007967600207</v>
      </c>
      <c r="AJ2714">
        <v>95.957118358894306</v>
      </c>
      <c r="AK2714">
        <v>150.180217733787</v>
      </c>
      <c r="AL2714">
        <v>91.499330024341603</v>
      </c>
      <c r="AM2714">
        <v>91.629727534990593</v>
      </c>
      <c r="AN2714">
        <v>1.00000003699822</v>
      </c>
    </row>
    <row r="2715" spans="1:40" x14ac:dyDescent="0.25">
      <c r="A2715" t="str">
        <f>"20190303153824944"</f>
        <v>20190303153824944</v>
      </c>
      <c r="B2715" t="str">
        <f>"1551598704931207"</f>
        <v>1551598704931207</v>
      </c>
      <c r="C2715" t="s">
        <v>40</v>
      </c>
      <c r="D2715">
        <v>4.036727</v>
      </c>
      <c r="E2715">
        <v>0.47178690000000001</v>
      </c>
      <c r="F2715" t="s">
        <v>59</v>
      </c>
      <c r="G2715">
        <v>-512.82539999999995</v>
      </c>
      <c r="H2715">
        <v>0.79871210000000004</v>
      </c>
      <c r="I2715">
        <v>268.70650000000001</v>
      </c>
      <c r="J2715">
        <v>-363.66210000000001</v>
      </c>
      <c r="K2715">
        <v>1.1212310000000001</v>
      </c>
      <c r="L2715">
        <v>284.15699999999998</v>
      </c>
      <c r="M2715">
        <v>-0.9998939</v>
      </c>
      <c r="N2715">
        <v>-1.4557469999999999E-2</v>
      </c>
      <c r="O2715">
        <v>3.1749429999999997E-4</v>
      </c>
      <c r="P2715">
        <v>-0.99879209999999996</v>
      </c>
      <c r="Q2715">
        <v>-4.0807950000000003E-2</v>
      </c>
      <c r="R2715">
        <v>-2.737028E-2</v>
      </c>
      <c r="S2715">
        <v>-2.99472</v>
      </c>
      <c r="T2715">
        <v>-6.4643620000000004E-3</v>
      </c>
      <c r="U2715">
        <v>-0.30975340000000001</v>
      </c>
      <c r="V2715">
        <v>-2.7682869999999998E-2</v>
      </c>
      <c r="W2715">
        <v>-2.6268630000000001E-2</v>
      </c>
      <c r="X2715">
        <v>0.99927160000000004</v>
      </c>
      <c r="Y2715">
        <v>-0.1031982</v>
      </c>
      <c r="Z2715">
        <v>-8.6035569999999995E-4</v>
      </c>
      <c r="AA2715">
        <v>0.9946604</v>
      </c>
      <c r="AB2715">
        <v>34</v>
      </c>
      <c r="AC2715">
        <v>-149.163299999999</v>
      </c>
      <c r="AD2715">
        <v>-0.322518899999999</v>
      </c>
      <c r="AE2715">
        <v>-15.4504999999999</v>
      </c>
      <c r="AF2715">
        <v>-15.4977910576429</v>
      </c>
      <c r="AG2715">
        <v>-0.322518899999999</v>
      </c>
      <c r="AH2715">
        <v>149.15769659670599</v>
      </c>
      <c r="AI2715">
        <v>90.123225271972203</v>
      </c>
      <c r="AJ2715">
        <v>95.931864204179305</v>
      </c>
      <c r="AK2715">
        <v>149.96100826595699</v>
      </c>
      <c r="AL2715">
        <v>91.505254696113894</v>
      </c>
      <c r="AM2715">
        <v>91.586861914265299</v>
      </c>
      <c r="AN2715">
        <v>1.00000005639003</v>
      </c>
    </row>
    <row r="2716" spans="1:40" x14ac:dyDescent="0.25">
      <c r="A2716" t="str">
        <f>"20190303153824958"</f>
        <v>20190303153824958</v>
      </c>
      <c r="B2716" t="str">
        <f>"1551598704951703"</f>
        <v>1551598704951703</v>
      </c>
      <c r="C2716" t="s">
        <v>40</v>
      </c>
      <c r="D2716">
        <v>4.0316049999999999</v>
      </c>
      <c r="E2716">
        <v>0.471667</v>
      </c>
      <c r="F2716" t="s">
        <v>59</v>
      </c>
      <c r="G2716">
        <v>-512.82539999999995</v>
      </c>
      <c r="H2716">
        <v>0.79460679999999995</v>
      </c>
      <c r="I2716">
        <v>268.81150000000002</v>
      </c>
      <c r="J2716">
        <v>-363.84190000000001</v>
      </c>
      <c r="K2716">
        <v>1.1212299999999999</v>
      </c>
      <c r="L2716">
        <v>284.15699999999998</v>
      </c>
      <c r="M2716">
        <v>-0.99989410000000001</v>
      </c>
      <c r="N2716">
        <v>-1.4555469999999999E-2</v>
      </c>
      <c r="O2716">
        <v>2.687608E-4</v>
      </c>
      <c r="P2716">
        <v>-0.99881050000000005</v>
      </c>
      <c r="Q2716">
        <v>-4.0554949999999999E-2</v>
      </c>
      <c r="R2716">
        <v>-2.7076010000000001E-2</v>
      </c>
      <c r="S2716">
        <v>-2.994904</v>
      </c>
      <c r="T2716">
        <v>-6.5563919999999899E-3</v>
      </c>
      <c r="U2716">
        <v>-0.30810549999999998</v>
      </c>
      <c r="V2716">
        <v>-2.7339970000000002E-2</v>
      </c>
      <c r="W2716">
        <v>-2.60173E-2</v>
      </c>
      <c r="X2716">
        <v>0.9992875</v>
      </c>
      <c r="Y2716">
        <v>-0.1026019</v>
      </c>
      <c r="Z2716">
        <v>-8.5741759999999995E-4</v>
      </c>
      <c r="AA2716">
        <v>0.99472210000000005</v>
      </c>
      <c r="AB2716">
        <v>34</v>
      </c>
      <c r="AC2716">
        <v>-148.983499999999</v>
      </c>
      <c r="AD2716">
        <v>-0.326623199999999</v>
      </c>
      <c r="AE2716">
        <v>-15.3454999999999</v>
      </c>
      <c r="AF2716">
        <v>-15.385471437591701</v>
      </c>
      <c r="AG2716">
        <v>-0.326623199999999</v>
      </c>
      <c r="AH2716">
        <v>148.97866138221099</v>
      </c>
      <c r="AI2716">
        <v>90.124951428625593</v>
      </c>
      <c r="AJ2716">
        <v>95.896203993991804</v>
      </c>
      <c r="AK2716">
        <v>149.77136228701099</v>
      </c>
      <c r="AL2716">
        <v>91.490849797605506</v>
      </c>
      <c r="AM2716">
        <v>91.5671908379272</v>
      </c>
      <c r="AN2716">
        <v>0.99999994075756804</v>
      </c>
    </row>
    <row r="2717" spans="1:40" x14ac:dyDescent="0.25">
      <c r="A2717" t="str">
        <f>"20190303153824974"</f>
        <v>20190303153824974</v>
      </c>
      <c r="B2717" t="str">
        <f>"1551598704961463"</f>
        <v>1551598704961463</v>
      </c>
      <c r="C2717" t="s">
        <v>40</v>
      </c>
      <c r="D2717">
        <v>4.0331250000000001</v>
      </c>
      <c r="E2717">
        <v>0.47158830000000002</v>
      </c>
      <c r="F2717" t="s">
        <v>59</v>
      </c>
      <c r="G2717">
        <v>-512.82539999999995</v>
      </c>
      <c r="H2717">
        <v>0.83902069999999995</v>
      </c>
      <c r="I2717">
        <v>268.84109999999998</v>
      </c>
      <c r="J2717">
        <v>-364.09249999999997</v>
      </c>
      <c r="K2717">
        <v>1.1212310000000001</v>
      </c>
      <c r="L2717">
        <v>284.15699999999998</v>
      </c>
      <c r="M2717">
        <v>-0.99989410000000001</v>
      </c>
      <c r="N2717">
        <v>-1.455266E-2</v>
      </c>
      <c r="O2717">
        <v>2.0090369999999999E-4</v>
      </c>
      <c r="P2717">
        <v>-0.99880029999999997</v>
      </c>
      <c r="Q2717">
        <v>-4.0863660000000003E-2</v>
      </c>
      <c r="R2717">
        <v>-2.6986340000000001E-2</v>
      </c>
      <c r="S2717">
        <v>-2.9949949999999999</v>
      </c>
      <c r="T2717">
        <v>-5.6716199999999996E-3</v>
      </c>
      <c r="U2717">
        <v>-0.30789179999999999</v>
      </c>
      <c r="V2717">
        <v>-2.7182499999999998E-2</v>
      </c>
      <c r="W2717">
        <v>-2.6328839999999999E-2</v>
      </c>
      <c r="X2717">
        <v>0.9992837</v>
      </c>
      <c r="Y2717">
        <v>-0.10246139999999999</v>
      </c>
      <c r="Z2717">
        <v>-8.4177169999999997E-4</v>
      </c>
      <c r="AA2717">
        <v>0.99473659999999997</v>
      </c>
      <c r="AB2717">
        <v>34</v>
      </c>
      <c r="AC2717">
        <v>-148.73289999999901</v>
      </c>
      <c r="AD2717">
        <v>-0.28221029999999903</v>
      </c>
      <c r="AE2717">
        <v>-15.315899999999999</v>
      </c>
      <c r="AF2717">
        <v>-15.345729176269799</v>
      </c>
      <c r="AG2717">
        <v>-0.28221029999999903</v>
      </c>
      <c r="AH2717">
        <v>148.72928980807001</v>
      </c>
      <c r="AI2717">
        <v>90.108143137516805</v>
      </c>
      <c r="AJ2717">
        <v>95.890871787766301</v>
      </c>
      <c r="AK2717">
        <v>149.51913821788</v>
      </c>
      <c r="AL2717">
        <v>91.508705746545502</v>
      </c>
      <c r="AM2717">
        <v>91.558174675442899</v>
      </c>
      <c r="AN2717">
        <v>1.00000000460384</v>
      </c>
    </row>
    <row r="2718" spans="1:40" x14ac:dyDescent="0.25">
      <c r="A2718" t="str">
        <f>"20190303153824992"</f>
        <v>20190303153824992</v>
      </c>
      <c r="B2718" t="str">
        <f>"1551598704980985"</f>
        <v>1551598704980985</v>
      </c>
      <c r="C2718" t="s">
        <v>40</v>
      </c>
      <c r="D2718">
        <v>4.1216910000000002</v>
      </c>
      <c r="E2718">
        <v>0.47153149999999999</v>
      </c>
      <c r="F2718" t="s">
        <v>59</v>
      </c>
      <c r="G2718">
        <v>-512.82539999999995</v>
      </c>
      <c r="H2718">
        <v>0.79161569999999903</v>
      </c>
      <c r="I2718">
        <v>268.8381</v>
      </c>
      <c r="J2718">
        <v>-364.34949999999998</v>
      </c>
      <c r="K2718">
        <v>1.121229</v>
      </c>
      <c r="L2718">
        <v>284.15699999999998</v>
      </c>
      <c r="M2718">
        <v>-0.99989430000000001</v>
      </c>
      <c r="N2718">
        <v>-1.454977E-2</v>
      </c>
      <c r="O2718">
        <v>1.3131509999999999E-4</v>
      </c>
      <c r="P2718">
        <v>-0.99879799999999996</v>
      </c>
      <c r="Q2718">
        <v>-4.0987750000000003E-2</v>
      </c>
      <c r="R2718">
        <v>-2.6889039999999999E-2</v>
      </c>
      <c r="S2718">
        <v>-2.9949949999999999</v>
      </c>
      <c r="T2718">
        <v>-6.6357849999999999E-3</v>
      </c>
      <c r="U2718">
        <v>-0.30847170000000002</v>
      </c>
      <c r="V2718">
        <v>-2.701564E-2</v>
      </c>
      <c r="W2718">
        <v>-2.6455759999999998E-2</v>
      </c>
      <c r="X2718">
        <v>0.99928490000000003</v>
      </c>
      <c r="Y2718">
        <v>-0.10258249999999999</v>
      </c>
      <c r="Z2718">
        <v>-8.6001770000000005E-4</v>
      </c>
      <c r="AA2718">
        <v>0.99472419999999995</v>
      </c>
      <c r="AB2718">
        <v>34</v>
      </c>
      <c r="AC2718">
        <v>-148.475899999999</v>
      </c>
      <c r="AD2718">
        <v>-0.3296133</v>
      </c>
      <c r="AE2718">
        <v>-15.3188999999999</v>
      </c>
      <c r="AF2718">
        <v>-15.338324260713</v>
      </c>
      <c r="AG2718">
        <v>-0.3296133</v>
      </c>
      <c r="AH2718">
        <v>148.47316289022501</v>
      </c>
      <c r="AI2718">
        <v>90.1265241714664</v>
      </c>
      <c r="AJ2718">
        <v>95.898134951497795</v>
      </c>
      <c r="AK2718">
        <v>149.26370266974399</v>
      </c>
      <c r="AL2718">
        <v>91.515980219743994</v>
      </c>
      <c r="AM2718">
        <v>91.548612620619593</v>
      </c>
      <c r="AN2718">
        <v>1.00000003170489</v>
      </c>
    </row>
    <row r="2719" spans="1:40" x14ac:dyDescent="0.25">
      <c r="A2719" t="str">
        <f>"20190303153825013"</f>
        <v>20190303153825013</v>
      </c>
      <c r="B2719" t="str">
        <f>"1551598705001013"</f>
        <v>1551598705001013</v>
      </c>
      <c r="C2719" t="s">
        <v>40</v>
      </c>
      <c r="D2719">
        <v>4.3481040000000002</v>
      </c>
      <c r="E2719">
        <v>0.50145810000000002</v>
      </c>
      <c r="F2719" t="s">
        <v>59</v>
      </c>
      <c r="G2719">
        <v>-512.82539999999995</v>
      </c>
      <c r="H2719">
        <v>0.77582659999999903</v>
      </c>
      <c r="I2719">
        <v>268.86180000000002</v>
      </c>
      <c r="J2719">
        <v>-364.68150000000003</v>
      </c>
      <c r="K2719">
        <v>1.121232</v>
      </c>
      <c r="L2719">
        <v>284.15690000000001</v>
      </c>
      <c r="M2719">
        <v>-0.99989430000000001</v>
      </c>
      <c r="N2719">
        <v>-1.454604E-2</v>
      </c>
      <c r="O2719" s="1">
        <v>4.1468679999999997E-5</v>
      </c>
      <c r="P2719">
        <v>-0.99878990000000001</v>
      </c>
      <c r="Q2719">
        <v>-4.0948619999999998E-2</v>
      </c>
      <c r="R2719">
        <v>-2.7235740000000001E-2</v>
      </c>
      <c r="S2719">
        <v>-2.9950559999999999</v>
      </c>
      <c r="T2719">
        <v>-6.9658760000000002E-3</v>
      </c>
      <c r="U2719">
        <v>-0.30853269999999999</v>
      </c>
      <c r="V2719">
        <v>-2.7272970000000001E-2</v>
      </c>
      <c r="W2719">
        <v>-2.642048E-2</v>
      </c>
      <c r="X2719">
        <v>0.99927880000000002</v>
      </c>
      <c r="Y2719">
        <v>-0.102511</v>
      </c>
      <c r="Z2719">
        <v>-8.6596789999999904E-4</v>
      </c>
      <c r="AA2719">
        <v>0.99473149999999999</v>
      </c>
      <c r="AB2719">
        <v>33</v>
      </c>
      <c r="AC2719">
        <v>-148.14389999999901</v>
      </c>
      <c r="AD2719">
        <v>-0.34540539999999997</v>
      </c>
      <c r="AE2719">
        <v>-15.2950999999999</v>
      </c>
      <c r="AF2719">
        <v>-15.301161666271399</v>
      </c>
      <c r="AG2719">
        <v>-0.34540539999999997</v>
      </c>
      <c r="AH2719">
        <v>148.14246870842601</v>
      </c>
      <c r="AI2719">
        <v>90.132882290782703</v>
      </c>
      <c r="AJ2719">
        <v>95.896987087775699</v>
      </c>
      <c r="AK2719">
        <v>148.93097692640899</v>
      </c>
      <c r="AL2719">
        <v>91.513958183472795</v>
      </c>
      <c r="AM2719">
        <v>91.563365754194095</v>
      </c>
      <c r="AN2719">
        <v>0.99999998839274495</v>
      </c>
    </row>
    <row r="2720" spans="1:40" x14ac:dyDescent="0.25">
      <c r="A2720" t="str">
        <f>"20190303153825035"</f>
        <v>20190303153825035</v>
      </c>
      <c r="B2720" t="str">
        <f>"1551598705031270"</f>
        <v>1551598705031270</v>
      </c>
      <c r="C2720" t="s">
        <v>40</v>
      </c>
      <c r="D2720">
        <v>4.0813259999999998</v>
      </c>
      <c r="E2720">
        <v>0.51266650000000002</v>
      </c>
      <c r="F2720" t="s">
        <v>46</v>
      </c>
      <c r="G2720">
        <v>0</v>
      </c>
      <c r="H2720">
        <v>0</v>
      </c>
      <c r="I2720">
        <v>0</v>
      </c>
      <c r="J2720">
        <v>-365.00760000000002</v>
      </c>
      <c r="K2720">
        <v>1.121227</v>
      </c>
      <c r="L2720">
        <v>284.15679999999998</v>
      </c>
      <c r="M2720">
        <v>-0.99989430000000001</v>
      </c>
      <c r="N2720">
        <v>-1.4542380000000001E-2</v>
      </c>
      <c r="O2720" s="1">
        <v>-4.6473549999999998E-5</v>
      </c>
      <c r="P2720">
        <v>-0.99874830000000003</v>
      </c>
      <c r="Q2720">
        <v>-4.1365489999999998E-2</v>
      </c>
      <c r="R2720">
        <v>-2.8118540000000001E-2</v>
      </c>
      <c r="S2720">
        <v>-3.0026549999999999</v>
      </c>
      <c r="T2720">
        <v>2.3742559999999999E-2</v>
      </c>
      <c r="U2720">
        <v>-7.1136469999999993E-2</v>
      </c>
      <c r="V2720">
        <v>-2.8067910000000001E-2</v>
      </c>
      <c r="W2720">
        <v>-2.6841650000000002E-2</v>
      </c>
      <c r="X2720">
        <v>0.99924559999999996</v>
      </c>
      <c r="Y2720">
        <v>-2.3638719999999998E-2</v>
      </c>
      <c r="Z2720" s="1">
        <v>-7.9512360000000005E-5</v>
      </c>
      <c r="AA2720">
        <v>0.99972059999999996</v>
      </c>
      <c r="AB2720">
        <v>33</v>
      </c>
      <c r="AC2720">
        <v>-3.0026549999999999</v>
      </c>
      <c r="AD2720">
        <v>2.3742559999999999E-2</v>
      </c>
      <c r="AE2720">
        <v>-7.1136469999999993E-2</v>
      </c>
      <c r="AF2720">
        <v>-7.0992474917027606E-2</v>
      </c>
      <c r="AG2720">
        <v>2.3742559999999999E-2</v>
      </c>
      <c r="AH2720">
        <v>3.0024706829960599</v>
      </c>
      <c r="AI2720">
        <v>89.547059675171099</v>
      </c>
      <c r="AJ2720">
        <v>91.354488304229093</v>
      </c>
      <c r="AK2720">
        <v>3.0034037096103101</v>
      </c>
      <c r="AL2720">
        <v>91.538097952069293</v>
      </c>
      <c r="AM2720">
        <v>91.608963837046801</v>
      </c>
      <c r="AN2720">
        <v>1.00000002543292</v>
      </c>
    </row>
    <row r="2721" spans="1:40" x14ac:dyDescent="0.25">
      <c r="A2721" t="str">
        <f>"20190303153825057"</f>
        <v>20190303153825057</v>
      </c>
      <c r="B2721" t="str">
        <f>"1551598705051765"</f>
        <v>1551598705051765</v>
      </c>
      <c r="C2721" t="s">
        <v>40</v>
      </c>
      <c r="D2721">
        <v>4.087154</v>
      </c>
      <c r="E2721">
        <v>0.51514470000000001</v>
      </c>
      <c r="F2721" t="s">
        <v>46</v>
      </c>
      <c r="G2721">
        <v>0</v>
      </c>
      <c r="H2721">
        <v>0</v>
      </c>
      <c r="I2721">
        <v>0</v>
      </c>
      <c r="J2721">
        <v>-365.33929999999998</v>
      </c>
      <c r="K2721">
        <v>1.121227</v>
      </c>
      <c r="L2721">
        <v>284.1567</v>
      </c>
      <c r="M2721">
        <v>-0.99989439999999996</v>
      </c>
      <c r="N2721">
        <v>-1.453867E-2</v>
      </c>
      <c r="O2721">
        <v>-1.3596539999999999E-4</v>
      </c>
      <c r="P2721">
        <v>-0.99873610000000002</v>
      </c>
      <c r="Q2721">
        <v>-4.1249279999999999E-2</v>
      </c>
      <c r="R2721">
        <v>-2.871806E-2</v>
      </c>
      <c r="S2721">
        <v>-3.0055239999999999</v>
      </c>
      <c r="T2721">
        <v>3.245783E-2</v>
      </c>
      <c r="U2721">
        <v>1.5197749999999999E-2</v>
      </c>
      <c r="V2721">
        <v>-2.857782E-2</v>
      </c>
      <c r="W2721">
        <v>-2.6729380000000001E-2</v>
      </c>
      <c r="X2721">
        <v>0.99923410000000001</v>
      </c>
      <c r="Y2721">
        <v>5.1925829999999997E-3</v>
      </c>
      <c r="Z2721" s="1">
        <v>6.2660980000000004E-6</v>
      </c>
      <c r="AA2721">
        <v>0.9999865</v>
      </c>
      <c r="AB2721">
        <v>33</v>
      </c>
      <c r="AC2721">
        <v>-3.0055239999999999</v>
      </c>
      <c r="AD2721">
        <v>3.245783E-2</v>
      </c>
      <c r="AE2721">
        <v>1.5197749999999999E-2</v>
      </c>
      <c r="AF2721">
        <v>1.56046204150343E-2</v>
      </c>
      <c r="AG2721">
        <v>3.245783E-2</v>
      </c>
      <c r="AH2721">
        <v>3.0051714308974602</v>
      </c>
      <c r="AI2721">
        <v>89.381200261915097</v>
      </c>
      <c r="AJ2721">
        <v>89.702489233743705</v>
      </c>
      <c r="AK2721">
        <v>3.0053872203077101</v>
      </c>
      <c r="AL2721">
        <v>91.531663132582295</v>
      </c>
      <c r="AM2721">
        <v>91.638196956873898</v>
      </c>
      <c r="AN2721">
        <v>0.99999996907697297</v>
      </c>
    </row>
    <row r="2722" spans="1:40" x14ac:dyDescent="0.25">
      <c r="A2722" t="str">
        <f>"20190303153825068"</f>
        <v>20190303153825068</v>
      </c>
      <c r="B2722" t="str">
        <f>"1551598705061525"</f>
        <v>1551598705061525</v>
      </c>
      <c r="C2722" t="s">
        <v>40</v>
      </c>
      <c r="D2722">
        <v>4.0508889999999997</v>
      </c>
      <c r="E2722">
        <v>0.51605990000000002</v>
      </c>
      <c r="F2722" t="s">
        <v>46</v>
      </c>
      <c r="G2722">
        <v>0</v>
      </c>
      <c r="H2722">
        <v>0</v>
      </c>
      <c r="I2722">
        <v>0</v>
      </c>
      <c r="J2722">
        <v>-365.51420000000002</v>
      </c>
      <c r="K2722">
        <v>1.1212310000000001</v>
      </c>
      <c r="L2722">
        <v>284.15660000000003</v>
      </c>
      <c r="M2722">
        <v>-0.99989439999999996</v>
      </c>
      <c r="N2722">
        <v>-1.453672E-2</v>
      </c>
      <c r="O2722">
        <v>-1.835079E-4</v>
      </c>
      <c r="P2722">
        <v>-0.9987336</v>
      </c>
      <c r="Q2722">
        <v>-4.110478E-2</v>
      </c>
      <c r="R2722">
        <v>-2.901273E-2</v>
      </c>
      <c r="S2722">
        <v>-3.0062259999999998</v>
      </c>
      <c r="T2722">
        <v>3.5831210000000002E-2</v>
      </c>
      <c r="U2722">
        <v>3.3325199999999902E-2</v>
      </c>
      <c r="V2722">
        <v>-2.882475E-2</v>
      </c>
      <c r="W2722">
        <v>-2.6586869999999999E-2</v>
      </c>
      <c r="X2722">
        <v>0.99923090000000003</v>
      </c>
      <c r="Y2722">
        <v>1.126834E-2</v>
      </c>
      <c r="Z2722" s="1">
        <v>9.9047899999999997E-6</v>
      </c>
      <c r="AA2722">
        <v>0.99993650000000001</v>
      </c>
      <c r="AB2722">
        <v>33</v>
      </c>
      <c r="AC2722">
        <v>-3.0062259999999998</v>
      </c>
      <c r="AD2722">
        <v>3.5831210000000002E-2</v>
      </c>
      <c r="AE2722">
        <v>3.3325199999999902E-2</v>
      </c>
      <c r="AF2722">
        <v>3.3872112543340799E-2</v>
      </c>
      <c r="AG2722">
        <v>3.5831210000000002E-2</v>
      </c>
      <c r="AH2722">
        <v>3.0057928750670699</v>
      </c>
      <c r="AI2722">
        <v>89.317068861883598</v>
      </c>
      <c r="AJ2722">
        <v>89.354364379595793</v>
      </c>
      <c r="AK2722">
        <v>3.0061972662189298</v>
      </c>
      <c r="AL2722">
        <v>91.523494869822699</v>
      </c>
      <c r="AM2722">
        <v>91.652349464731103</v>
      </c>
      <c r="AN2722">
        <v>1.0000000596918801</v>
      </c>
    </row>
    <row r="2723" spans="1:40" x14ac:dyDescent="0.25">
      <c r="A2723" t="str">
        <f>"20190303153825080"</f>
        <v>20190303153825080</v>
      </c>
      <c r="B2723" t="str">
        <f>"1551598705071285"</f>
        <v>1551598705071285</v>
      </c>
      <c r="C2723" t="s">
        <v>40</v>
      </c>
      <c r="D2723">
        <v>4.0616599999999998</v>
      </c>
      <c r="E2723">
        <v>0.51684220000000003</v>
      </c>
      <c r="F2723" t="s">
        <v>46</v>
      </c>
      <c r="G2723">
        <v>0</v>
      </c>
      <c r="H2723">
        <v>0</v>
      </c>
      <c r="I2723">
        <v>0</v>
      </c>
      <c r="J2723">
        <v>-365.68400000000003</v>
      </c>
      <c r="K2723">
        <v>1.121232</v>
      </c>
      <c r="L2723">
        <v>284.15660000000003</v>
      </c>
      <c r="M2723">
        <v>-0.99989439999999996</v>
      </c>
      <c r="N2723">
        <v>-1.453484E-2</v>
      </c>
      <c r="O2723">
        <v>-2.293842E-4</v>
      </c>
      <c r="P2723">
        <v>-0.99872240000000001</v>
      </c>
      <c r="Q2723">
        <v>-4.103557E-2</v>
      </c>
      <c r="R2723">
        <v>-2.9489029999999999E-2</v>
      </c>
      <c r="S2723">
        <v>-3.0065</v>
      </c>
      <c r="T2723">
        <v>3.7755129999999998E-2</v>
      </c>
      <c r="U2723">
        <v>3.9550780000000001E-2</v>
      </c>
      <c r="V2723">
        <v>-2.9256000000000001E-2</v>
      </c>
      <c r="W2723">
        <v>-2.651976E-2</v>
      </c>
      <c r="X2723">
        <v>0.99922010000000006</v>
      </c>
      <c r="Y2723">
        <v>1.338343E-2</v>
      </c>
      <c r="Z2723" s="1">
        <v>7.0310629999999999E-6</v>
      </c>
      <c r="AA2723">
        <v>0.99991039999999998</v>
      </c>
      <c r="AB2723">
        <v>33</v>
      </c>
      <c r="AC2723">
        <v>-3.0065</v>
      </c>
      <c r="AD2723">
        <v>3.7755129999999998E-2</v>
      </c>
      <c r="AE2723">
        <v>3.9550780000000001E-2</v>
      </c>
      <c r="AF2723">
        <v>4.02341515762921E-2</v>
      </c>
      <c r="AG2723">
        <v>3.7755129999999998E-2</v>
      </c>
      <c r="AH2723">
        <v>3.00601688313313</v>
      </c>
      <c r="AI2723">
        <v>89.280475711999998</v>
      </c>
      <c r="AJ2723">
        <v>89.2331681678763</v>
      </c>
      <c r="AK2723">
        <v>3.0065231977278701</v>
      </c>
      <c r="AL2723">
        <v>91.519648469965205</v>
      </c>
      <c r="AM2723">
        <v>91.677074534893407</v>
      </c>
      <c r="AN2723">
        <v>1.00000000972523</v>
      </c>
    </row>
    <row r="2724" spans="1:40" x14ac:dyDescent="0.25">
      <c r="A2724" t="str">
        <f>"20190303153825092"</f>
        <v>20190303153825092</v>
      </c>
      <c r="B2724" t="str">
        <f>"1551598705081045"</f>
        <v>1551598705081045</v>
      </c>
      <c r="C2724" t="s">
        <v>40</v>
      </c>
      <c r="D2724">
        <v>4.0675439999999998</v>
      </c>
      <c r="E2724">
        <v>0.51738960000000001</v>
      </c>
      <c r="F2724" t="s">
        <v>46</v>
      </c>
      <c r="G2724">
        <v>0</v>
      </c>
      <c r="H2724">
        <v>0</v>
      </c>
      <c r="I2724">
        <v>0</v>
      </c>
      <c r="J2724">
        <v>-365.85930000000002</v>
      </c>
      <c r="K2724">
        <v>1.1212310000000001</v>
      </c>
      <c r="L2724">
        <v>284.15649999999999</v>
      </c>
      <c r="M2724">
        <v>-0.99989439999999996</v>
      </c>
      <c r="N2724">
        <v>-1.453289E-2</v>
      </c>
      <c r="O2724">
        <v>-2.7669130000000002E-4</v>
      </c>
      <c r="P2724">
        <v>-0.99872649999999996</v>
      </c>
      <c r="Q2724">
        <v>-4.082471E-2</v>
      </c>
      <c r="R2724">
        <v>-2.9644489999999999E-2</v>
      </c>
      <c r="S2724">
        <v>-3.0067750000000002</v>
      </c>
      <c r="T2724">
        <v>3.9037349999999998E-2</v>
      </c>
      <c r="U2724">
        <v>4.4372559999999998E-2</v>
      </c>
      <c r="V2724">
        <v>-2.9363839999999999E-2</v>
      </c>
      <c r="W2724">
        <v>-2.6310799999999999E-2</v>
      </c>
      <c r="X2724">
        <v>0.99922250000000001</v>
      </c>
      <c r="Y2724">
        <v>1.503266E-2</v>
      </c>
      <c r="Z2724" s="1">
        <v>4.0563459999999996E-6</v>
      </c>
      <c r="AA2724">
        <v>0.99988699999999997</v>
      </c>
      <c r="AB2724">
        <v>33</v>
      </c>
      <c r="AC2724">
        <v>-3.0067750000000002</v>
      </c>
      <c r="AD2724">
        <v>3.9037349999999998E-2</v>
      </c>
      <c r="AE2724">
        <v>4.4372559999999998E-2</v>
      </c>
      <c r="AF2724">
        <v>4.5196977797130597E-2</v>
      </c>
      <c r="AG2724">
        <v>3.9037349999999998E-2</v>
      </c>
      <c r="AH2724">
        <v>3.0062559769244199</v>
      </c>
      <c r="AI2724">
        <v>89.256118900251593</v>
      </c>
      <c r="AJ2724">
        <v>89.138662505223095</v>
      </c>
      <c r="AK2724">
        <v>3.0068491282887502</v>
      </c>
      <c r="AL2724">
        <v>91.507671705690598</v>
      </c>
      <c r="AM2724">
        <v>91.683248777839793</v>
      </c>
      <c r="AN2724">
        <v>1.00000004890121</v>
      </c>
    </row>
    <row r="2725" spans="1:40" x14ac:dyDescent="0.25">
      <c r="A2725" t="str">
        <f>"20190303153825104"</f>
        <v>20190303153825104</v>
      </c>
      <c r="B2725" t="str">
        <f>"1551598705091781"</f>
        <v>1551598705091781</v>
      </c>
      <c r="C2725" t="s">
        <v>40</v>
      </c>
      <c r="D2725">
        <v>4.0868129999999896</v>
      </c>
      <c r="E2725">
        <v>0.51810100000000003</v>
      </c>
      <c r="F2725" t="s">
        <v>46</v>
      </c>
      <c r="G2725">
        <v>0</v>
      </c>
      <c r="H2725">
        <v>0</v>
      </c>
      <c r="I2725">
        <v>0</v>
      </c>
      <c r="J2725">
        <v>-366.04469999999998</v>
      </c>
      <c r="K2725">
        <v>1.121232</v>
      </c>
      <c r="L2725">
        <v>284.15640000000002</v>
      </c>
      <c r="M2725">
        <v>-0.99989439999999996</v>
      </c>
      <c r="N2725">
        <v>-1.453083E-2</v>
      </c>
      <c r="O2725">
        <v>-3.267419E-4</v>
      </c>
      <c r="P2725">
        <v>-0.99871759999999998</v>
      </c>
      <c r="Q2725">
        <v>-4.1007759999999997E-2</v>
      </c>
      <c r="R2725">
        <v>-2.969173E-2</v>
      </c>
      <c r="S2725">
        <v>-3.0069270000000001</v>
      </c>
      <c r="T2725">
        <v>4.0226820000000003E-2</v>
      </c>
      <c r="U2725">
        <v>4.8248289999999999E-2</v>
      </c>
      <c r="V2725">
        <v>-2.936132E-2</v>
      </c>
      <c r="W2725">
        <v>-2.6495990000000001E-2</v>
      </c>
      <c r="X2725">
        <v>0.99921760000000004</v>
      </c>
      <c r="Y2725">
        <v>1.637038E-2</v>
      </c>
      <c r="Z2725" s="1">
        <v>3.4310510000000002E-7</v>
      </c>
      <c r="AA2725">
        <v>0.99986600000000003</v>
      </c>
      <c r="AB2725">
        <v>33</v>
      </c>
      <c r="AC2725">
        <v>-3.0069270000000001</v>
      </c>
      <c r="AD2725">
        <v>4.0226820000000003E-2</v>
      </c>
      <c r="AE2725">
        <v>4.8248289999999999E-2</v>
      </c>
      <c r="AF2725">
        <v>4.9222073058073398E-2</v>
      </c>
      <c r="AG2725">
        <v>4.0226820000000003E-2</v>
      </c>
      <c r="AH2725">
        <v>3.00637315425951</v>
      </c>
      <c r="AI2725">
        <v>89.233501446737307</v>
      </c>
      <c r="AJ2725">
        <v>89.062004300871806</v>
      </c>
      <c r="AK2725">
        <v>3.0070451529991602</v>
      </c>
      <c r="AL2725">
        <v>91.518286133356099</v>
      </c>
      <c r="AM2725">
        <v>91.683112653716805</v>
      </c>
      <c r="AN2725">
        <v>0.99999996837398997</v>
      </c>
    </row>
    <row r="2726" spans="1:40" x14ac:dyDescent="0.25">
      <c r="A2726" t="str">
        <f>"20190303153825118"</f>
        <v>20190303153825118</v>
      </c>
      <c r="B2726" t="str">
        <f>"1551598705111301"</f>
        <v>1551598705111301</v>
      </c>
      <c r="C2726" t="s">
        <v>40</v>
      </c>
      <c r="D2726">
        <v>4.0463329999999997</v>
      </c>
      <c r="E2726">
        <v>0.51875870000000002</v>
      </c>
      <c r="F2726" t="s">
        <v>46</v>
      </c>
      <c r="G2726">
        <v>0</v>
      </c>
      <c r="H2726">
        <v>0</v>
      </c>
      <c r="I2726">
        <v>0</v>
      </c>
      <c r="J2726">
        <v>-366.2328</v>
      </c>
      <c r="K2726">
        <v>1.121235</v>
      </c>
      <c r="L2726">
        <v>284.15629999999999</v>
      </c>
      <c r="M2726">
        <v>-0.99989450000000002</v>
      </c>
      <c r="N2726">
        <v>-1.452874E-2</v>
      </c>
      <c r="O2726">
        <v>-3.7750579999999999E-4</v>
      </c>
      <c r="P2726">
        <v>-0.99871239999999994</v>
      </c>
      <c r="Q2726">
        <v>-4.0885329999999998E-2</v>
      </c>
      <c r="R2726">
        <v>-3.0038240000000001E-2</v>
      </c>
      <c r="S2726">
        <v>-3.0071110000000001</v>
      </c>
      <c r="T2726">
        <v>4.1552779999999997E-2</v>
      </c>
      <c r="U2726">
        <v>5.3588869999999997E-2</v>
      </c>
      <c r="V2726">
        <v>-2.965682E-2</v>
      </c>
      <c r="W2726">
        <v>-2.637575E-2</v>
      </c>
      <c r="X2726">
        <v>0.99921210000000005</v>
      </c>
      <c r="Y2726">
        <v>1.8195309999999999E-2</v>
      </c>
      <c r="Z2726" s="1">
        <v>-4.2021570000000001E-6</v>
      </c>
      <c r="AA2726">
        <v>0.99983449999999996</v>
      </c>
      <c r="AB2726">
        <v>33</v>
      </c>
      <c r="AC2726">
        <v>-3.0071110000000001</v>
      </c>
      <c r="AD2726">
        <v>4.1552779999999997E-2</v>
      </c>
      <c r="AE2726">
        <v>5.3588869999999997E-2</v>
      </c>
      <c r="AF2726">
        <v>5.4713743890215202E-2</v>
      </c>
      <c r="AG2726">
        <v>4.1552779999999997E-2</v>
      </c>
      <c r="AH2726">
        <v>3.00651666567498</v>
      </c>
      <c r="AI2726">
        <v>89.208301982985503</v>
      </c>
      <c r="AJ2726">
        <v>88.957424503509301</v>
      </c>
      <c r="AK2726">
        <v>3.0073015625769299</v>
      </c>
      <c r="AL2726">
        <v>91.511394411115603</v>
      </c>
      <c r="AM2726">
        <v>91.700051400701696</v>
      </c>
      <c r="AN2726">
        <v>1.0000000139734899</v>
      </c>
    </row>
    <row r="2727" spans="1:40" x14ac:dyDescent="0.25">
      <c r="A2727" t="str">
        <f>"20190303153825129"</f>
        <v>20190303153825129</v>
      </c>
      <c r="B2727" t="str">
        <f>"1551598705121061"</f>
        <v>1551598705121061</v>
      </c>
      <c r="C2727" t="s">
        <v>40</v>
      </c>
      <c r="D2727">
        <v>4.0630009999999999</v>
      </c>
      <c r="E2727">
        <v>0.51908880000000002</v>
      </c>
      <c r="F2727" t="s">
        <v>46</v>
      </c>
      <c r="G2727">
        <v>0</v>
      </c>
      <c r="H2727">
        <v>0</v>
      </c>
      <c r="I2727">
        <v>0</v>
      </c>
      <c r="J2727">
        <v>-366.42340000000002</v>
      </c>
      <c r="K2727">
        <v>1.1212359999999999</v>
      </c>
      <c r="L2727">
        <v>284.15620000000001</v>
      </c>
      <c r="M2727">
        <v>-0.99989450000000002</v>
      </c>
      <c r="N2727">
        <v>-1.452663E-2</v>
      </c>
      <c r="O2727">
        <v>-4.2886440000000002E-4</v>
      </c>
      <c r="P2727">
        <v>-0.99870479999999995</v>
      </c>
      <c r="Q2727">
        <v>-4.1062609999999999E-2</v>
      </c>
      <c r="R2727">
        <v>-3.005209E-2</v>
      </c>
      <c r="S2727">
        <v>-3.0072939999999999</v>
      </c>
      <c r="T2727">
        <v>4.1975619999999998E-2</v>
      </c>
      <c r="U2727">
        <v>5.7891850000000002E-2</v>
      </c>
      <c r="V2727">
        <v>-2.961952E-2</v>
      </c>
      <c r="W2727">
        <v>-2.6555200000000001E-2</v>
      </c>
      <c r="X2727">
        <v>0.99920850000000005</v>
      </c>
      <c r="Y2727">
        <v>1.9675649999999999E-2</v>
      </c>
      <c r="Z2727" s="1">
        <v>-6.579736E-6</v>
      </c>
      <c r="AA2727">
        <v>0.99980639999999998</v>
      </c>
      <c r="AB2727">
        <v>33</v>
      </c>
      <c r="AC2727">
        <v>-3.0072939999999999</v>
      </c>
      <c r="AD2727">
        <v>4.1975619999999998E-2</v>
      </c>
      <c r="AE2727">
        <v>5.7891850000000002E-2</v>
      </c>
      <c r="AF2727">
        <v>5.9170178472586502E-2</v>
      </c>
      <c r="AG2727">
        <v>4.1975619999999998E-2</v>
      </c>
      <c r="AH2727">
        <v>3.0066833359245599</v>
      </c>
      <c r="AI2727">
        <v>89.200313474989699</v>
      </c>
      <c r="AJ2727">
        <v>88.872590304764302</v>
      </c>
      <c r="AK2727">
        <v>3.0075584358780598</v>
      </c>
      <c r="AL2727">
        <v>91.5216796704035</v>
      </c>
      <c r="AM2727">
        <v>91.697920576797401</v>
      </c>
      <c r="AN2727">
        <v>1.00000006054215</v>
      </c>
    </row>
    <row r="2728" spans="1:40" x14ac:dyDescent="0.25">
      <c r="A2728" t="str">
        <f>"20190303153825141"</f>
        <v>20190303153825141</v>
      </c>
      <c r="B2728" t="str">
        <f>"1551598705131797"</f>
        <v>1551598705131797</v>
      </c>
      <c r="C2728" t="s">
        <v>40</v>
      </c>
      <c r="D2728">
        <v>4.0594619999999999</v>
      </c>
      <c r="E2728">
        <v>0.51937959999999905</v>
      </c>
      <c r="F2728" t="s">
        <v>46</v>
      </c>
      <c r="G2728">
        <v>0</v>
      </c>
      <c r="H2728">
        <v>0</v>
      </c>
      <c r="I2728">
        <v>0</v>
      </c>
      <c r="J2728">
        <v>-366.6003</v>
      </c>
      <c r="K2728">
        <v>1.121238</v>
      </c>
      <c r="L2728">
        <v>284.15600000000001</v>
      </c>
      <c r="M2728">
        <v>-0.99989430000000001</v>
      </c>
      <c r="N2728">
        <v>-1.452467E-2</v>
      </c>
      <c r="O2728">
        <v>-4.7664819999999999E-4</v>
      </c>
      <c r="P2728">
        <v>-0.99867640000000002</v>
      </c>
      <c r="Q2728">
        <v>-4.1415769999999998E-2</v>
      </c>
      <c r="R2728">
        <v>-3.0498259999999999E-2</v>
      </c>
      <c r="S2728">
        <v>-3.0074160000000001</v>
      </c>
      <c r="T2728">
        <v>4.1739579999999998E-2</v>
      </c>
      <c r="U2728">
        <v>6.0394290000000003E-2</v>
      </c>
      <c r="V2728">
        <v>-3.001755E-2</v>
      </c>
      <c r="W2728">
        <v>-2.6910739999999999E-2</v>
      </c>
      <c r="X2728">
        <v>0.99918709999999999</v>
      </c>
      <c r="Y2728">
        <v>2.0554240000000001E-2</v>
      </c>
      <c r="Z2728" s="1">
        <v>-6.855844E-6</v>
      </c>
      <c r="AA2728">
        <v>0.99978880000000003</v>
      </c>
      <c r="AB2728">
        <v>33</v>
      </c>
      <c r="AC2728">
        <v>-3.0074160000000001</v>
      </c>
      <c r="AD2728">
        <v>4.1739579999999998E-2</v>
      </c>
      <c r="AE2728">
        <v>6.0394290000000003E-2</v>
      </c>
      <c r="AF2728">
        <v>6.18160115200223E-2</v>
      </c>
      <c r="AG2728">
        <v>4.1739579999999998E-2</v>
      </c>
      <c r="AH2728">
        <v>3.0068079202138001</v>
      </c>
      <c r="AI2728">
        <v>89.2048567448645</v>
      </c>
      <c r="AJ2728">
        <v>88.822240131184699</v>
      </c>
      <c r="AK2728">
        <v>3.0077329138205098</v>
      </c>
      <c r="AL2728">
        <v>91.542057908378197</v>
      </c>
      <c r="AM2728">
        <v>91.720760604227806</v>
      </c>
      <c r="AN2728">
        <v>1.00000005102087</v>
      </c>
    </row>
    <row r="2729" spans="1:40" x14ac:dyDescent="0.25">
      <c r="A2729" t="str">
        <f>"20190303153825158"</f>
        <v>20190303153825158</v>
      </c>
      <c r="B2729" t="str">
        <f>"1551598705151317"</f>
        <v>1551598705151317</v>
      </c>
      <c r="C2729" t="s">
        <v>40</v>
      </c>
      <c r="D2729">
        <v>4.0204129999999996</v>
      </c>
      <c r="E2729">
        <v>0.51990809999999998</v>
      </c>
      <c r="F2729" t="s">
        <v>46</v>
      </c>
      <c r="G2729">
        <v>0</v>
      </c>
      <c r="H2729">
        <v>0</v>
      </c>
      <c r="I2729">
        <v>0</v>
      </c>
      <c r="J2729">
        <v>-366.83449999999999</v>
      </c>
      <c r="K2729">
        <v>1.1212359999999999</v>
      </c>
      <c r="L2729">
        <v>284.15589999999997</v>
      </c>
      <c r="M2729">
        <v>-0.99989450000000002</v>
      </c>
      <c r="N2729">
        <v>-1.452206E-2</v>
      </c>
      <c r="O2729">
        <v>-5.4016120000000001E-4</v>
      </c>
      <c r="P2729">
        <v>-0.99871089999999996</v>
      </c>
      <c r="Q2729">
        <v>-4.078826E-2</v>
      </c>
      <c r="R2729">
        <v>-3.022043E-2</v>
      </c>
      <c r="S2729">
        <v>-3.0075069999999999</v>
      </c>
      <c r="T2729">
        <v>4.0582300000000002E-2</v>
      </c>
      <c r="U2729">
        <v>6.1248780000000003E-2</v>
      </c>
      <c r="V2729">
        <v>-2.967643E-2</v>
      </c>
      <c r="W2729">
        <v>-2.6285300000000001E-2</v>
      </c>
      <c r="X2729">
        <v>0.99921389999999999</v>
      </c>
      <c r="Y2729">
        <v>2.0901119999999999E-2</v>
      </c>
      <c r="Z2729" s="1">
        <v>-4.33926499999999E-6</v>
      </c>
      <c r="AA2729">
        <v>0.99978149999999999</v>
      </c>
      <c r="AB2729">
        <v>33</v>
      </c>
      <c r="AC2729">
        <v>-3.0075069999999999</v>
      </c>
      <c r="AD2729">
        <v>4.0582300000000002E-2</v>
      </c>
      <c r="AE2729">
        <v>6.1248780000000003E-2</v>
      </c>
      <c r="AF2729">
        <v>6.2862039706254896E-2</v>
      </c>
      <c r="AG2729">
        <v>4.0582300000000002E-2</v>
      </c>
      <c r="AH2729">
        <v>3.0069262021102801</v>
      </c>
      <c r="AI2729">
        <v>89.2269362997164</v>
      </c>
      <c r="AJ2729">
        <v>88.802363360471702</v>
      </c>
      <c r="AK2729">
        <v>3.0078570019279001</v>
      </c>
      <c r="AL2729">
        <v>91.506210212406899</v>
      </c>
      <c r="AM2729">
        <v>91.701171803841902</v>
      </c>
      <c r="AN2729">
        <v>1.0000000127234201</v>
      </c>
    </row>
    <row r="2730" spans="1:40" x14ac:dyDescent="0.25">
      <c r="A2730" t="str">
        <f>"20190303153825170"</f>
        <v>20190303153825170</v>
      </c>
      <c r="B2730" t="str">
        <f>"1551598705161077"</f>
        <v>1551598705161077</v>
      </c>
      <c r="C2730" t="s">
        <v>40</v>
      </c>
      <c r="D2730">
        <v>4.0630300000000004</v>
      </c>
      <c r="E2730">
        <v>0.52015699999999998</v>
      </c>
      <c r="F2730" t="s">
        <v>46</v>
      </c>
      <c r="G2730">
        <v>0</v>
      </c>
      <c r="H2730">
        <v>0</v>
      </c>
      <c r="I2730">
        <v>0</v>
      </c>
      <c r="J2730">
        <v>-367.0215</v>
      </c>
      <c r="K2730">
        <v>1.1212390000000001</v>
      </c>
      <c r="L2730">
        <v>284.15570000000002</v>
      </c>
      <c r="M2730">
        <v>-0.99989439999999996</v>
      </c>
      <c r="N2730">
        <v>-1.451998E-2</v>
      </c>
      <c r="O2730">
        <v>-5.9068529999999997E-4</v>
      </c>
      <c r="P2730">
        <v>-0.99869169999999996</v>
      </c>
      <c r="Q2730">
        <v>-4.0997770000000003E-2</v>
      </c>
      <c r="R2730">
        <v>-3.0562780000000001E-2</v>
      </c>
      <c r="S2730">
        <v>-3.0076900000000002</v>
      </c>
      <c r="T2730">
        <v>4.3427590000000002E-2</v>
      </c>
      <c r="U2730">
        <v>6.6436770000000006E-2</v>
      </c>
      <c r="V2730">
        <v>-2.9968330000000001E-2</v>
      </c>
      <c r="W2730">
        <v>-2.649717E-2</v>
      </c>
      <c r="X2730">
        <v>0.99919959999999997</v>
      </c>
      <c r="Y2730">
        <v>2.267394E-2</v>
      </c>
      <c r="Z2730" s="1">
        <v>-1.6125620000000002E-5</v>
      </c>
      <c r="AA2730">
        <v>0.99974289999999999</v>
      </c>
      <c r="AB2730">
        <v>33</v>
      </c>
      <c r="AC2730">
        <v>-3.0076900000000002</v>
      </c>
      <c r="AD2730">
        <v>4.3427590000000002E-2</v>
      </c>
      <c r="AE2730">
        <v>6.6436770000000006E-2</v>
      </c>
      <c r="AF2730">
        <v>6.8199332703014398E-2</v>
      </c>
      <c r="AG2730">
        <v>4.3427590000000002E-2</v>
      </c>
      <c r="AH2730">
        <v>3.0070236279471199</v>
      </c>
      <c r="AI2730">
        <v>89.172801616795297</v>
      </c>
      <c r="AJ2730">
        <v>88.700753758544806</v>
      </c>
      <c r="AK2730">
        <v>3.0081104041551701</v>
      </c>
      <c r="AL2730">
        <v>91.518353686609302</v>
      </c>
      <c r="AM2730">
        <v>91.717919273856396</v>
      </c>
      <c r="AN2730">
        <v>1.0000000207305699</v>
      </c>
    </row>
    <row r="2731" spans="1:40" x14ac:dyDescent="0.25">
      <c r="A2731" t="str">
        <f>"20190303153825185"</f>
        <v>20190303153825185</v>
      </c>
      <c r="B2731" t="str">
        <f>"1551598705181573"</f>
        <v>1551598705181573</v>
      </c>
      <c r="C2731" t="s">
        <v>40</v>
      </c>
      <c r="D2731">
        <v>4.0437830000000003</v>
      </c>
      <c r="E2731">
        <v>0.52057399999999998</v>
      </c>
      <c r="F2731" t="s">
        <v>46</v>
      </c>
      <c r="G2731">
        <v>0</v>
      </c>
      <c r="H2731">
        <v>0</v>
      </c>
      <c r="I2731">
        <v>0</v>
      </c>
      <c r="J2731">
        <v>-367.23599999999999</v>
      </c>
      <c r="K2731">
        <v>1.12124</v>
      </c>
      <c r="L2731">
        <v>284.15550000000002</v>
      </c>
      <c r="M2731">
        <v>-0.99989459999999997</v>
      </c>
      <c r="N2731">
        <v>-1.451759E-2</v>
      </c>
      <c r="O2731">
        <v>-6.4883520000000002E-4</v>
      </c>
      <c r="P2731">
        <v>-0.99869090000000005</v>
      </c>
      <c r="Q2731">
        <v>-4.1085440000000001E-2</v>
      </c>
      <c r="R2731">
        <v>-3.0478970000000001E-2</v>
      </c>
      <c r="S2731">
        <v>-3.0077210000000001</v>
      </c>
      <c r="T2731">
        <v>4.3002609999999997E-2</v>
      </c>
      <c r="U2731">
        <v>6.7321779999999998E-2</v>
      </c>
      <c r="V2731">
        <v>-2.9826269999999998E-2</v>
      </c>
      <c r="W2731">
        <v>-2.658715E-2</v>
      </c>
      <c r="X2731">
        <v>0.99920140000000002</v>
      </c>
      <c r="Y2731">
        <v>2.302589E-2</v>
      </c>
      <c r="Z2731" s="1">
        <v>-1.6099310000000001E-5</v>
      </c>
      <c r="AA2731">
        <v>0.99973489999999998</v>
      </c>
      <c r="AB2731">
        <v>33</v>
      </c>
      <c r="AC2731">
        <v>-3.0077210000000001</v>
      </c>
      <c r="AD2731">
        <v>4.3002609999999997E-2</v>
      </c>
      <c r="AE2731">
        <v>6.7321779999999998E-2</v>
      </c>
      <c r="AF2731">
        <v>6.9259335767769506E-2</v>
      </c>
      <c r="AG2731">
        <v>4.3002609999999997E-2</v>
      </c>
      <c r="AH2731">
        <v>3.0070622980800499</v>
      </c>
      <c r="AI2731">
        <v>89.180912547770603</v>
      </c>
      <c r="AJ2731">
        <v>88.680583984861499</v>
      </c>
      <c r="AK2731">
        <v>3.0081671736444902</v>
      </c>
      <c r="AL2731">
        <v>91.523511069705407</v>
      </c>
      <c r="AM2731">
        <v>91.709777523570196</v>
      </c>
      <c r="AN2731">
        <v>0.99999996034459604</v>
      </c>
    </row>
    <row r="2732" spans="1:40" x14ac:dyDescent="0.25">
      <c r="A2732" t="str">
        <f>"20190303153825204"</f>
        <v>20190303153825204</v>
      </c>
      <c r="B2732" t="str">
        <f>"1551598705191332"</f>
        <v>1551598705191332</v>
      </c>
      <c r="C2732" t="s">
        <v>40</v>
      </c>
      <c r="D2732">
        <v>4.0353510000000004</v>
      </c>
      <c r="E2732">
        <v>0.52079070000000005</v>
      </c>
      <c r="F2732" t="s">
        <v>46</v>
      </c>
      <c r="G2732">
        <v>0</v>
      </c>
      <c r="H2732">
        <v>0</v>
      </c>
      <c r="I2732">
        <v>0</v>
      </c>
      <c r="J2732">
        <v>-367.50490000000002</v>
      </c>
      <c r="K2732">
        <v>1.12124</v>
      </c>
      <c r="L2732">
        <v>284.15530000000001</v>
      </c>
      <c r="M2732">
        <v>-0.99989439999999996</v>
      </c>
      <c r="N2732">
        <v>-1.4514600000000001E-2</v>
      </c>
      <c r="O2732">
        <v>-7.2164119999999895E-4</v>
      </c>
      <c r="P2732">
        <v>-0.99869540000000001</v>
      </c>
      <c r="Q2732">
        <v>-4.100343E-2</v>
      </c>
      <c r="R2732">
        <v>-3.0441380000000001E-2</v>
      </c>
      <c r="S2732">
        <v>-3.0079039999999999</v>
      </c>
      <c r="T2732">
        <v>4.3013570000000001E-2</v>
      </c>
      <c r="U2732">
        <v>7.0770260000000001E-2</v>
      </c>
      <c r="V2732">
        <v>-2.9716280000000001E-2</v>
      </c>
      <c r="W2732">
        <v>-2.6508009999999999E-2</v>
      </c>
      <c r="X2732">
        <v>0.99920679999999995</v>
      </c>
      <c r="Y2732">
        <v>2.4242840000000002E-2</v>
      </c>
      <c r="Z2732" s="1">
        <v>-1.8124699999999999E-5</v>
      </c>
      <c r="AA2732">
        <v>0.99970610000000004</v>
      </c>
      <c r="AB2732">
        <v>33</v>
      </c>
      <c r="AC2732">
        <v>-3.0079039999999999</v>
      </c>
      <c r="AD2732">
        <v>4.3013570000000001E-2</v>
      </c>
      <c r="AE2732">
        <v>7.0770260000000001E-2</v>
      </c>
      <c r="AF2732">
        <v>7.2926192895185496E-2</v>
      </c>
      <c r="AG2732">
        <v>4.3013570000000001E-2</v>
      </c>
      <c r="AH2732">
        <v>3.0072375152308202</v>
      </c>
      <c r="AI2732">
        <v>89.180775120318202</v>
      </c>
      <c r="AJ2732">
        <v>88.610836598367499</v>
      </c>
      <c r="AK2732">
        <v>3.0084291365804101</v>
      </c>
      <c r="AL2732">
        <v>91.518975052162702</v>
      </c>
      <c r="AM2732">
        <v>91.703466917417401</v>
      </c>
      <c r="AN2732">
        <v>0.99999998052871897</v>
      </c>
    </row>
    <row r="2733" spans="1:40" x14ac:dyDescent="0.25">
      <c r="A2733" t="str">
        <f>"20190303153825224"</f>
        <v>20190303153825224</v>
      </c>
      <c r="B2733" t="str">
        <f>"1551598705221122"</f>
        <v>1551598705221122</v>
      </c>
      <c r="C2733" t="s">
        <v>40</v>
      </c>
      <c r="D2733">
        <v>4.0201599999999997</v>
      </c>
      <c r="E2733">
        <v>0.52148989999999995</v>
      </c>
      <c r="F2733" t="s">
        <v>46</v>
      </c>
      <c r="G2733">
        <v>0</v>
      </c>
      <c r="H2733">
        <v>0</v>
      </c>
      <c r="I2733">
        <v>0</v>
      </c>
      <c r="J2733">
        <v>-367.81450000000001</v>
      </c>
      <c r="K2733">
        <v>1.121238</v>
      </c>
      <c r="L2733">
        <v>284.1549</v>
      </c>
      <c r="M2733">
        <v>-0.99989450000000002</v>
      </c>
      <c r="N2733">
        <v>-1.451114E-2</v>
      </c>
      <c r="O2733">
        <v>-8.0564929999999996E-4</v>
      </c>
      <c r="P2733">
        <v>-0.99867859999999997</v>
      </c>
      <c r="Q2733">
        <v>-4.1494339999999998E-2</v>
      </c>
      <c r="R2733">
        <v>-3.0324779999999999E-2</v>
      </c>
      <c r="S2733">
        <v>-3.0079039999999999</v>
      </c>
      <c r="T2733">
        <v>4.2949800000000003E-2</v>
      </c>
      <c r="U2733">
        <v>7.2845460000000001E-2</v>
      </c>
      <c r="V2733">
        <v>-2.951577E-2</v>
      </c>
      <c r="W2733">
        <v>-2.7002470000000001E-2</v>
      </c>
      <c r="X2733">
        <v>0.99919950000000002</v>
      </c>
      <c r="Y2733">
        <v>2.5016110000000001E-2</v>
      </c>
      <c r="Z2733" s="1">
        <v>-2.0214940000000001E-5</v>
      </c>
      <c r="AA2733">
        <v>0.99968710000000005</v>
      </c>
      <c r="AB2733">
        <v>33</v>
      </c>
      <c r="AC2733">
        <v>-3.0079039999999999</v>
      </c>
      <c r="AD2733">
        <v>4.2949800000000003E-2</v>
      </c>
      <c r="AE2733">
        <v>7.2845460000000001E-2</v>
      </c>
      <c r="AF2733">
        <v>7.5253672584470799E-2</v>
      </c>
      <c r="AG2733">
        <v>4.2949800000000003E-2</v>
      </c>
      <c r="AH2733">
        <v>3.0072315467466</v>
      </c>
      <c r="AI2733">
        <v>89.182003465428096</v>
      </c>
      <c r="AJ2733">
        <v>88.566516051094098</v>
      </c>
      <c r="AK2733">
        <v>3.0084795788413499</v>
      </c>
      <c r="AL2733">
        <v>91.547315674464599</v>
      </c>
      <c r="AM2733">
        <v>91.691991866760304</v>
      </c>
      <c r="AN2733">
        <v>0.999999977432521</v>
      </c>
    </row>
    <row r="2734" spans="1:40" x14ac:dyDescent="0.25">
      <c r="A2734" t="str">
        <f>"20190303153825235"</f>
        <v>20190303153825235</v>
      </c>
      <c r="B2734" t="str">
        <f>"1551598705230881"</f>
        <v>1551598705230881</v>
      </c>
      <c r="C2734" t="s">
        <v>40</v>
      </c>
      <c r="D2734">
        <v>4.012149</v>
      </c>
      <c r="E2734">
        <v>0.52163769999999998</v>
      </c>
      <c r="F2734" t="s">
        <v>46</v>
      </c>
      <c r="G2734">
        <v>0</v>
      </c>
      <c r="H2734">
        <v>0</v>
      </c>
      <c r="I2734">
        <v>0</v>
      </c>
      <c r="J2734">
        <v>-367.98590000000002</v>
      </c>
      <c r="K2734">
        <v>1.121227</v>
      </c>
      <c r="L2734">
        <v>284.15469999999999</v>
      </c>
      <c r="M2734">
        <v>-0.99989450000000002</v>
      </c>
      <c r="N2734">
        <v>-1.450924E-2</v>
      </c>
      <c r="O2734">
        <v>-8.5212340000000001E-4</v>
      </c>
      <c r="P2734">
        <v>-0.99867039999999996</v>
      </c>
      <c r="Q2734">
        <v>-4.1736599999999999E-2</v>
      </c>
      <c r="R2734">
        <v>-3.0259049999999999E-2</v>
      </c>
      <c r="S2734">
        <v>-3.008057</v>
      </c>
      <c r="T2734">
        <v>4.1203980000000001E-2</v>
      </c>
      <c r="U2734">
        <v>7.8674320000000006E-2</v>
      </c>
      <c r="V2734">
        <v>-2.940361E-2</v>
      </c>
      <c r="W2734">
        <v>-2.724669E-2</v>
      </c>
      <c r="X2734">
        <v>0.99919619999999998</v>
      </c>
      <c r="Y2734">
        <v>2.6997320000000002E-2</v>
      </c>
      <c r="Z2734" s="1">
        <v>-1.299498E-5</v>
      </c>
      <c r="AA2734">
        <v>0.99963550000000001</v>
      </c>
      <c r="AB2734">
        <v>33</v>
      </c>
      <c r="AC2734">
        <v>-3.008057</v>
      </c>
      <c r="AD2734">
        <v>4.1203980000000001E-2</v>
      </c>
      <c r="AE2734">
        <v>7.8674320000000006E-2</v>
      </c>
      <c r="AF2734">
        <v>8.1222567197522397E-2</v>
      </c>
      <c r="AG2734">
        <v>4.1203980000000001E-2</v>
      </c>
      <c r="AH2734">
        <v>3.0074249578820602</v>
      </c>
      <c r="AI2734">
        <v>89.215339989095</v>
      </c>
      <c r="AJ2734">
        <v>88.452969103253096</v>
      </c>
      <c r="AK2734">
        <v>3.0088037075691498</v>
      </c>
      <c r="AL2734">
        <v>91.561313564845307</v>
      </c>
      <c r="AM2734">
        <v>91.685571573167195</v>
      </c>
      <c r="AN2734">
        <v>1.0000000002457099</v>
      </c>
    </row>
    <row r="2735" spans="1:40" x14ac:dyDescent="0.25">
      <c r="A2735" t="str">
        <f>"20190303153825258"</f>
        <v>20190303153825258</v>
      </c>
      <c r="B2735" t="str">
        <f>"1551598705251380"</f>
        <v>1551598705251380</v>
      </c>
      <c r="C2735" t="s">
        <v>40</v>
      </c>
      <c r="D2735">
        <v>4.0085759999999997</v>
      </c>
      <c r="E2735">
        <v>0.52204259999999902</v>
      </c>
      <c r="F2735" t="s">
        <v>46</v>
      </c>
      <c r="G2735">
        <v>0</v>
      </c>
      <c r="H2735">
        <v>0</v>
      </c>
      <c r="I2735">
        <v>0</v>
      </c>
      <c r="J2735">
        <v>-368.31720000000001</v>
      </c>
      <c r="K2735">
        <v>1.121224</v>
      </c>
      <c r="L2735">
        <v>284.15429999999998</v>
      </c>
      <c r="M2735">
        <v>-0.99989439999999996</v>
      </c>
      <c r="N2735">
        <v>-1.4505550000000001E-2</v>
      </c>
      <c r="O2735">
        <v>-9.41737E-4</v>
      </c>
      <c r="P2735">
        <v>-0.99868080000000004</v>
      </c>
      <c r="Q2735">
        <v>-4.1782769999999997E-2</v>
      </c>
      <c r="R2735">
        <v>-2.9842219999999999E-2</v>
      </c>
      <c r="S2735">
        <v>-3.0080260000000001</v>
      </c>
      <c r="T2735">
        <v>3.9843799999999999E-2</v>
      </c>
      <c r="U2735">
        <v>7.9986570000000007E-2</v>
      </c>
      <c r="V2735">
        <v>-2.8897570000000001E-2</v>
      </c>
      <c r="W2735">
        <v>-2.7296279999999999E-2</v>
      </c>
      <c r="X2735">
        <v>0.99920960000000003</v>
      </c>
      <c r="Y2735">
        <v>2.7523010000000001E-2</v>
      </c>
      <c r="Z2735" s="1">
        <v>-8.7078949999999997E-6</v>
      </c>
      <c r="AA2735">
        <v>0.99962119999999999</v>
      </c>
      <c r="AB2735">
        <v>33</v>
      </c>
      <c r="AC2735">
        <v>-3.0080260000000001</v>
      </c>
      <c r="AD2735">
        <v>3.9843799999999999E-2</v>
      </c>
      <c r="AE2735">
        <v>7.9986570000000007E-2</v>
      </c>
      <c r="AF2735">
        <v>8.2805083768051402E-2</v>
      </c>
      <c r="AG2735">
        <v>3.9843799999999999E-2</v>
      </c>
      <c r="AH2735">
        <v>3.0074220462351402</v>
      </c>
      <c r="AI2735">
        <v>89.2412493781367</v>
      </c>
      <c r="AJ2735">
        <v>88.422840761148606</v>
      </c>
      <c r="AK2735">
        <v>3.0088256138363101</v>
      </c>
      <c r="AL2735">
        <v>91.564155934827497</v>
      </c>
      <c r="AM2735">
        <v>91.656556766409395</v>
      </c>
      <c r="AN2735">
        <v>0.99999999059295097</v>
      </c>
    </row>
    <row r="2736" spans="1:40" x14ac:dyDescent="0.25">
      <c r="A2736" t="str">
        <f>"20190303153825269"</f>
        <v>20190303153825269</v>
      </c>
      <c r="B2736" t="str">
        <f>"1551598705261137"</f>
        <v>1551598705261137</v>
      </c>
      <c r="C2736" t="s">
        <v>40</v>
      </c>
      <c r="D2736">
        <v>3.9956830000000001</v>
      </c>
      <c r="E2736">
        <v>0.52221779999999995</v>
      </c>
      <c r="F2736" t="s">
        <v>46</v>
      </c>
      <c r="G2736">
        <v>0</v>
      </c>
      <c r="H2736">
        <v>0</v>
      </c>
      <c r="I2736">
        <v>0</v>
      </c>
      <c r="J2736">
        <v>-368.49470000000002</v>
      </c>
      <c r="K2736">
        <v>1.121232</v>
      </c>
      <c r="L2736">
        <v>284.1542</v>
      </c>
      <c r="M2736">
        <v>-0.99989439999999996</v>
      </c>
      <c r="N2736">
        <v>-1.450359E-2</v>
      </c>
      <c r="O2736">
        <v>-9.8976180000000008E-4</v>
      </c>
      <c r="P2736">
        <v>-0.99867490000000003</v>
      </c>
      <c r="Q2736">
        <v>-4.2016640000000001E-2</v>
      </c>
      <c r="R2736">
        <v>-2.971855E-2</v>
      </c>
      <c r="S2736">
        <v>-3.0081790000000002</v>
      </c>
      <c r="T2736">
        <v>3.9697049999999998E-2</v>
      </c>
      <c r="U2736">
        <v>8.4289550000000005E-2</v>
      </c>
      <c r="V2736">
        <v>-2.8725379999999998E-2</v>
      </c>
      <c r="W2736">
        <v>-2.7532129999999998E-2</v>
      </c>
      <c r="X2736">
        <v>0.99920810000000004</v>
      </c>
      <c r="Y2736">
        <v>2.8998469999999998E-2</v>
      </c>
      <c r="Z2736" s="1">
        <v>-8.3589980000000003E-6</v>
      </c>
      <c r="AA2736">
        <v>0.99957940000000001</v>
      </c>
      <c r="AB2736">
        <v>33</v>
      </c>
      <c r="AC2736">
        <v>-3.0081790000000002</v>
      </c>
      <c r="AD2736">
        <v>3.9697049999999998E-2</v>
      </c>
      <c r="AE2736">
        <v>8.4289550000000005E-2</v>
      </c>
      <c r="AF2736">
        <v>8.7252019836015701E-2</v>
      </c>
      <c r="AG2736">
        <v>3.9697049999999998E-2</v>
      </c>
      <c r="AH2736">
        <v>3.00757075065563</v>
      </c>
      <c r="AI2736">
        <v>89.244112545911506</v>
      </c>
      <c r="AJ2736">
        <v>88.338269941271193</v>
      </c>
      <c r="AK2736">
        <v>3.0090979696486202</v>
      </c>
      <c r="AL2736">
        <v>91.577674216177996</v>
      </c>
      <c r="AM2736">
        <v>91.646693874936602</v>
      </c>
      <c r="AN2736">
        <v>0.99999999637204495</v>
      </c>
    </row>
    <row r="2737" spans="1:40" x14ac:dyDescent="0.25">
      <c r="A2737" t="str">
        <f>"20190303153825282"</f>
        <v>20190303153825282</v>
      </c>
      <c r="B2737" t="str">
        <f>"1551598705271874"</f>
        <v>1551598705271874</v>
      </c>
      <c r="C2737" t="s">
        <v>40</v>
      </c>
      <c r="D2737">
        <v>3.990726</v>
      </c>
      <c r="E2737">
        <v>0.52239099999999905</v>
      </c>
      <c r="F2737" t="s">
        <v>46</v>
      </c>
      <c r="G2737">
        <v>0</v>
      </c>
      <c r="H2737">
        <v>0</v>
      </c>
      <c r="I2737">
        <v>0</v>
      </c>
      <c r="J2737">
        <v>-368.67200000000003</v>
      </c>
      <c r="K2737">
        <v>1.121232</v>
      </c>
      <c r="L2737">
        <v>284.15390000000002</v>
      </c>
      <c r="M2737">
        <v>-0.99989439999999996</v>
      </c>
      <c r="N2737">
        <v>-1.450162E-2</v>
      </c>
      <c r="O2737">
        <v>-1.037786E-3</v>
      </c>
      <c r="P2737">
        <v>-0.99867589999999995</v>
      </c>
      <c r="Q2737">
        <v>-4.2025439999999997E-2</v>
      </c>
      <c r="R2737">
        <v>-2.9672670000000002E-2</v>
      </c>
      <c r="S2737">
        <v>-3.0082089999999999</v>
      </c>
      <c r="T2737">
        <v>3.9305569999999998E-2</v>
      </c>
      <c r="U2737">
        <v>8.612061E-2</v>
      </c>
      <c r="V2737">
        <v>-2.8631509999999999E-2</v>
      </c>
      <c r="W2737">
        <v>-2.7542839999999999E-2</v>
      </c>
      <c r="X2737">
        <v>0.9992105</v>
      </c>
      <c r="Y2737">
        <v>2.9654150000000001E-2</v>
      </c>
      <c r="Z2737" s="1">
        <v>-7.2156839999999998E-6</v>
      </c>
      <c r="AA2737">
        <v>0.99956020000000001</v>
      </c>
      <c r="AB2737">
        <v>33</v>
      </c>
      <c r="AC2737">
        <v>-3.0082089999999999</v>
      </c>
      <c r="AD2737">
        <v>3.9305569999999998E-2</v>
      </c>
      <c r="AE2737">
        <v>8.612061E-2</v>
      </c>
      <c r="AF2737">
        <v>8.9227548097763898E-2</v>
      </c>
      <c r="AG2737">
        <v>3.9305569999999998E-2</v>
      </c>
      <c r="AH2737">
        <v>3.0076049485560401</v>
      </c>
      <c r="AI2737">
        <v>89.251588932191893</v>
      </c>
      <c r="AJ2737">
        <v>88.300686785417199</v>
      </c>
      <c r="AK2737">
        <v>3.00918494110139</v>
      </c>
      <c r="AL2737">
        <v>91.578288085224003</v>
      </c>
      <c r="AM2737">
        <v>91.641311747830301</v>
      </c>
      <c r="AN2737">
        <v>0.99999999735519696</v>
      </c>
    </row>
    <row r="2738" spans="1:40" x14ac:dyDescent="0.25">
      <c r="A2738" t="str">
        <f>"20190303153825296"</f>
        <v>20190303153825296</v>
      </c>
      <c r="B2738" t="str">
        <f>"1551598705291396"</f>
        <v>1551598705291396</v>
      </c>
      <c r="C2738" t="s">
        <v>40</v>
      </c>
      <c r="D2738">
        <v>4.0186919999999997</v>
      </c>
      <c r="E2738">
        <v>0.52261930000000001</v>
      </c>
      <c r="F2738" t="s">
        <v>46</v>
      </c>
      <c r="G2738">
        <v>0</v>
      </c>
      <c r="H2738">
        <v>0</v>
      </c>
      <c r="I2738">
        <v>0</v>
      </c>
      <c r="J2738">
        <v>-368.88069999999999</v>
      </c>
      <c r="K2738">
        <v>1.1212329999999999</v>
      </c>
      <c r="L2738">
        <v>284.15359999999998</v>
      </c>
      <c r="M2738">
        <v>-0.99989430000000001</v>
      </c>
      <c r="N2738">
        <v>-1.44992E-2</v>
      </c>
      <c r="O2738">
        <v>-1.094154E-3</v>
      </c>
      <c r="P2738">
        <v>-0.99868829999999997</v>
      </c>
      <c r="Q2738">
        <v>-4.1821579999999997E-2</v>
      </c>
      <c r="R2738">
        <v>-2.954058E-2</v>
      </c>
      <c r="S2738">
        <v>-3.0082399999999998</v>
      </c>
      <c r="T2738">
        <v>3.9300559999999998E-2</v>
      </c>
      <c r="U2738">
        <v>8.7585449999999995E-2</v>
      </c>
      <c r="V2738">
        <v>-2.8443469999999998E-2</v>
      </c>
      <c r="W2738">
        <v>-2.7341210000000001E-2</v>
      </c>
      <c r="X2738">
        <v>0.99922140000000004</v>
      </c>
      <c r="Y2738">
        <v>3.0196509999999999E-2</v>
      </c>
      <c r="Z2738" s="1">
        <v>-8.3796910000000008E-6</v>
      </c>
      <c r="AA2738">
        <v>0.99954399999999999</v>
      </c>
      <c r="AB2738">
        <v>33</v>
      </c>
      <c r="AC2738">
        <v>-3.0082399999999998</v>
      </c>
      <c r="AD2738">
        <v>3.9300559999999998E-2</v>
      </c>
      <c r="AE2738">
        <v>8.7585449999999995E-2</v>
      </c>
      <c r="AF2738">
        <v>9.0861726582294605E-2</v>
      </c>
      <c r="AG2738">
        <v>3.9300559999999998E-2</v>
      </c>
      <c r="AH2738">
        <v>3.0076294614291901</v>
      </c>
      <c r="AI2738">
        <v>89.251702569243193</v>
      </c>
      <c r="AJ2738">
        <v>88.269597168496404</v>
      </c>
      <c r="AK2738">
        <v>3.0092582748296399</v>
      </c>
      <c r="AL2738">
        <v>91.566731197119097</v>
      </c>
      <c r="AM2738">
        <v>91.630520347439699</v>
      </c>
      <c r="AN2738">
        <v>0.99999998948393198</v>
      </c>
    </row>
    <row r="2739" spans="1:40" x14ac:dyDescent="0.25">
      <c r="A2739" t="str">
        <f>"20190303153825308"</f>
        <v>20190303153825308</v>
      </c>
      <c r="B2739" t="str">
        <f>"1551598705301661"</f>
        <v>1551598705301661</v>
      </c>
      <c r="C2739" t="s">
        <v>40</v>
      </c>
      <c r="D2739">
        <v>4.0206439999999999</v>
      </c>
      <c r="E2739">
        <v>0.52268320000000001</v>
      </c>
      <c r="F2739" t="s">
        <v>46</v>
      </c>
      <c r="G2739">
        <v>0</v>
      </c>
      <c r="H2739">
        <v>0</v>
      </c>
      <c r="I2739">
        <v>0</v>
      </c>
      <c r="J2739">
        <v>-369.0616</v>
      </c>
      <c r="K2739">
        <v>1.1212329999999999</v>
      </c>
      <c r="L2739">
        <v>284.15339999999998</v>
      </c>
      <c r="M2739">
        <v>-0.99989439999999996</v>
      </c>
      <c r="N2739">
        <v>-1.4497019999999999E-2</v>
      </c>
      <c r="O2739">
        <v>-1.1428949999999999E-3</v>
      </c>
      <c r="P2739">
        <v>-0.99869640000000004</v>
      </c>
      <c r="Q2739">
        <v>-4.1881349999999998E-2</v>
      </c>
      <c r="R2739">
        <v>-2.918461E-2</v>
      </c>
      <c r="S2739">
        <v>-3.00827</v>
      </c>
      <c r="T2739">
        <v>3.9939639999999998E-2</v>
      </c>
      <c r="U2739">
        <v>8.9965820000000002E-2</v>
      </c>
      <c r="V2739">
        <v>-2.8038420000000001E-2</v>
      </c>
      <c r="W2739">
        <v>-2.7402949999999999E-2</v>
      </c>
      <c r="X2739">
        <v>0.99923119999999999</v>
      </c>
      <c r="Y2739">
        <v>3.1035090000000001E-2</v>
      </c>
      <c r="Z2739" s="1">
        <v>-1.26799E-5</v>
      </c>
      <c r="AA2739">
        <v>0.99951829999999997</v>
      </c>
      <c r="AB2739">
        <v>33</v>
      </c>
      <c r="AC2739">
        <v>-3.00827</v>
      </c>
      <c r="AD2739">
        <v>3.9939639999999998E-2</v>
      </c>
      <c r="AE2739">
        <v>8.9965820000000002E-2</v>
      </c>
      <c r="AF2739">
        <v>9.3387812213156798E-2</v>
      </c>
      <c r="AG2739">
        <v>3.9939639999999998E-2</v>
      </c>
      <c r="AH2739">
        <v>3.0076355249759201</v>
      </c>
      <c r="AI2739">
        <v>89.239556737890396</v>
      </c>
      <c r="AJ2739">
        <v>88.221523562072704</v>
      </c>
      <c r="AK2739">
        <v>3.0093500808995999</v>
      </c>
      <c r="AL2739">
        <v>91.570269896381305</v>
      </c>
      <c r="AM2739">
        <v>91.607297390966707</v>
      </c>
      <c r="AN2739">
        <v>1.0000000328591101</v>
      </c>
    </row>
    <row r="2740" spans="1:40" x14ac:dyDescent="0.25">
      <c r="A2740" t="str">
        <f>"20190303153825320"</f>
        <v>20190303153825320</v>
      </c>
      <c r="B2740" t="str">
        <f>"1551598705311421"</f>
        <v>1551598705311421</v>
      </c>
      <c r="C2740" t="s">
        <v>40</v>
      </c>
      <c r="D2740">
        <v>3.9911880000000002</v>
      </c>
      <c r="E2740">
        <v>0.52274409999999905</v>
      </c>
      <c r="F2740" t="s">
        <v>46</v>
      </c>
      <c r="G2740">
        <v>0</v>
      </c>
      <c r="H2740">
        <v>0</v>
      </c>
      <c r="I2740">
        <v>0</v>
      </c>
      <c r="J2740">
        <v>-369.23509999999999</v>
      </c>
      <c r="K2740">
        <v>1.1212329999999999</v>
      </c>
      <c r="L2740">
        <v>284.15309999999999</v>
      </c>
      <c r="M2740">
        <v>-0.99989439999999996</v>
      </c>
      <c r="N2740">
        <v>-1.4495050000000001E-2</v>
      </c>
      <c r="O2740">
        <v>-1.189846E-3</v>
      </c>
      <c r="P2740">
        <v>-0.99869439999999998</v>
      </c>
      <c r="Q2740">
        <v>-4.1802789999999999E-2</v>
      </c>
      <c r="R2740">
        <v>-2.9366090000000001E-2</v>
      </c>
      <c r="S2740">
        <v>-3.00827</v>
      </c>
      <c r="T2740">
        <v>3.9504289999999997E-2</v>
      </c>
      <c r="U2740">
        <v>9.1369629999999993E-2</v>
      </c>
      <c r="V2740">
        <v>-2.8173320000000002E-2</v>
      </c>
      <c r="W2740">
        <v>-2.7326389999999999E-2</v>
      </c>
      <c r="X2740">
        <v>0.99922949999999999</v>
      </c>
      <c r="Y2740">
        <v>3.1548050000000001E-2</v>
      </c>
      <c r="Z2740" s="1">
        <v>-1.1240099999999999E-5</v>
      </c>
      <c r="AA2740">
        <v>0.99950220000000001</v>
      </c>
      <c r="AB2740">
        <v>33</v>
      </c>
      <c r="AC2740">
        <v>-3.00827</v>
      </c>
      <c r="AD2740">
        <v>3.9504289999999997E-2</v>
      </c>
      <c r="AE2740">
        <v>9.1369629999999993E-2</v>
      </c>
      <c r="AF2740">
        <v>9.4932963034862497E-2</v>
      </c>
      <c r="AG2740">
        <v>3.9504289999999997E-2</v>
      </c>
      <c r="AH2740">
        <v>3.0076409631611298</v>
      </c>
      <c r="AI2740">
        <v>89.2478582054339</v>
      </c>
      <c r="AJ2740">
        <v>88.192120362769899</v>
      </c>
      <c r="AK2740">
        <v>3.00939811585038</v>
      </c>
      <c r="AL2740">
        <v>91.565881691859303</v>
      </c>
      <c r="AM2740">
        <v>91.615029169729496</v>
      </c>
      <c r="AN2740">
        <v>1.0000000306102499</v>
      </c>
    </row>
    <row r="2741" spans="1:40" x14ac:dyDescent="0.25">
      <c r="A2741" t="str">
        <f>"20190303153825332"</f>
        <v>20190303153825332</v>
      </c>
      <c r="B2741" t="str">
        <f>"1551598705321182"</f>
        <v>1551598705321182</v>
      </c>
      <c r="C2741" t="s">
        <v>40</v>
      </c>
      <c r="D2741">
        <v>4.013541</v>
      </c>
      <c r="E2741">
        <v>0.52281959999999905</v>
      </c>
      <c r="F2741" t="s">
        <v>46</v>
      </c>
      <c r="G2741">
        <v>0</v>
      </c>
      <c r="H2741">
        <v>0</v>
      </c>
      <c r="I2741">
        <v>0</v>
      </c>
      <c r="J2741">
        <v>-369.41250000000002</v>
      </c>
      <c r="K2741">
        <v>1.1212359999999999</v>
      </c>
      <c r="L2741">
        <v>284.15289999999999</v>
      </c>
      <c r="M2741">
        <v>-0.99989419999999996</v>
      </c>
      <c r="N2741">
        <v>-1.449311E-2</v>
      </c>
      <c r="O2741">
        <v>-1.2379890000000001E-3</v>
      </c>
      <c r="P2741">
        <v>-0.99868509999999999</v>
      </c>
      <c r="Q2741">
        <v>-4.2007099999999999E-2</v>
      </c>
      <c r="R2741">
        <v>-2.9390469999999998E-2</v>
      </c>
      <c r="S2741">
        <v>-3.00827</v>
      </c>
      <c r="T2741">
        <v>3.978288E-2</v>
      </c>
      <c r="U2741">
        <v>9.1278079999999998E-2</v>
      </c>
      <c r="V2741">
        <v>-2.8149819999999999E-2</v>
      </c>
      <c r="W2741">
        <v>-2.753274E-2</v>
      </c>
      <c r="X2741">
        <v>0.99922449999999996</v>
      </c>
      <c r="Y2741">
        <v>3.156573E-2</v>
      </c>
      <c r="Z2741" s="1">
        <v>-1.41616899999999E-5</v>
      </c>
      <c r="AA2741">
        <v>0.99950170000000005</v>
      </c>
      <c r="AB2741">
        <v>33</v>
      </c>
      <c r="AC2741">
        <v>-3.00827</v>
      </c>
      <c r="AD2741">
        <v>3.978288E-2</v>
      </c>
      <c r="AE2741">
        <v>9.1278079999999998E-2</v>
      </c>
      <c r="AF2741">
        <v>9.4986009827276494E-2</v>
      </c>
      <c r="AG2741">
        <v>3.978288E-2</v>
      </c>
      <c r="AH2741">
        <v>3.0076291681419098</v>
      </c>
      <c r="AI2741">
        <v>89.242552062048105</v>
      </c>
      <c r="AJ2741">
        <v>88.191103734648294</v>
      </c>
      <c r="AK2741">
        <v>3.0093916715279798</v>
      </c>
      <c r="AL2741">
        <v>91.577709122419506</v>
      </c>
      <c r="AM2741">
        <v>91.613690820534799</v>
      </c>
      <c r="AN2741">
        <v>1.0000000327690901</v>
      </c>
    </row>
    <row r="2742" spans="1:40" x14ac:dyDescent="0.25">
      <c r="A2742" t="str">
        <f>"20190303153825347"</f>
        <v>20190303153825347</v>
      </c>
      <c r="B2742" t="str">
        <f>"1551598705341677"</f>
        <v>1551598705341677</v>
      </c>
      <c r="C2742" t="s">
        <v>40</v>
      </c>
      <c r="D2742">
        <v>4.0491780000000004</v>
      </c>
      <c r="E2742">
        <v>0.5229914</v>
      </c>
      <c r="F2742" t="s">
        <v>46</v>
      </c>
      <c r="G2742">
        <v>0</v>
      </c>
      <c r="H2742">
        <v>0</v>
      </c>
      <c r="I2742">
        <v>0</v>
      </c>
      <c r="J2742">
        <v>-369.63209999999998</v>
      </c>
      <c r="K2742">
        <v>1.121235</v>
      </c>
      <c r="L2742">
        <v>284.15249999999997</v>
      </c>
      <c r="M2742">
        <v>-0.99989430000000001</v>
      </c>
      <c r="N2742">
        <v>-1.4490899999999999E-2</v>
      </c>
      <c r="O2742">
        <v>-1.297926E-3</v>
      </c>
      <c r="P2742">
        <v>-0.99866809999999995</v>
      </c>
      <c r="Q2742">
        <v>-4.2011189999999997E-2</v>
      </c>
      <c r="R2742">
        <v>-2.995536E-2</v>
      </c>
      <c r="S2742">
        <v>-3.0083009999999999</v>
      </c>
      <c r="T2742">
        <v>3.917611E-2</v>
      </c>
      <c r="U2742">
        <v>9.1705320000000007E-2</v>
      </c>
      <c r="V2742">
        <v>-2.8654860000000001E-2</v>
      </c>
      <c r="W2742">
        <v>-2.7539299999999999E-2</v>
      </c>
      <c r="X2742">
        <v>0.99920989999999998</v>
      </c>
      <c r="Y2742">
        <v>3.1767190000000001E-2</v>
      </c>
      <c r="Z2742" s="1">
        <v>-1.225885E-5</v>
      </c>
      <c r="AA2742">
        <v>0.99949529999999998</v>
      </c>
      <c r="AB2742">
        <v>33</v>
      </c>
      <c r="AC2742">
        <v>-3.0083009999999999</v>
      </c>
      <c r="AD2742">
        <v>3.917611E-2</v>
      </c>
      <c r="AE2742">
        <v>9.1705320000000007E-2</v>
      </c>
      <c r="AF2742">
        <v>9.5594007559318406E-2</v>
      </c>
      <c r="AG2742">
        <v>3.917611E-2</v>
      </c>
      <c r="AH2742">
        <v>3.0076698294175799</v>
      </c>
      <c r="AI2742">
        <v>89.254118215957007</v>
      </c>
      <c r="AJ2742">
        <v>88.179557497628196</v>
      </c>
      <c r="AK2742">
        <v>3.0094436005123502</v>
      </c>
      <c r="AL2742">
        <v>91.5780852257151</v>
      </c>
      <c r="AM2742">
        <v>91.642650547862004</v>
      </c>
      <c r="AN2742">
        <v>0.99999996915205902</v>
      </c>
    </row>
    <row r="2743" spans="1:40" x14ac:dyDescent="0.25">
      <c r="A2743" t="str">
        <f>"20190303153825360"</f>
        <v>20190303153825360</v>
      </c>
      <c r="B2743" t="str">
        <f>"1551598705351437"</f>
        <v>1551598705351437</v>
      </c>
      <c r="C2743" t="s">
        <v>40</v>
      </c>
      <c r="D2743">
        <v>4.0315079999999996</v>
      </c>
      <c r="E2743">
        <v>0.52298219999999995</v>
      </c>
      <c r="F2743" t="s">
        <v>46</v>
      </c>
      <c r="G2743">
        <v>0</v>
      </c>
      <c r="H2743">
        <v>0</v>
      </c>
      <c r="I2743">
        <v>0</v>
      </c>
      <c r="J2743">
        <v>-369.81200000000001</v>
      </c>
      <c r="K2743">
        <v>1.1212340000000001</v>
      </c>
      <c r="L2743">
        <v>284.15219999999999</v>
      </c>
      <c r="M2743">
        <v>-0.99989410000000001</v>
      </c>
      <c r="N2743">
        <v>-1.4489210000000001E-2</v>
      </c>
      <c r="O2743">
        <v>-1.3465489999999901E-3</v>
      </c>
      <c r="P2743">
        <v>-0.99866330000000003</v>
      </c>
      <c r="Q2743">
        <v>-4.199746E-2</v>
      </c>
      <c r="R2743">
        <v>-3.0128519999999999E-2</v>
      </c>
      <c r="S2743">
        <v>-3.0083920000000002</v>
      </c>
      <c r="T2743">
        <v>3.9566039999999997E-2</v>
      </c>
      <c r="U2743">
        <v>9.1400149999999999E-2</v>
      </c>
      <c r="V2743">
        <v>-2.8779229999999999E-2</v>
      </c>
      <c r="W2743">
        <v>-2.7527329999999999E-2</v>
      </c>
      <c r="X2743">
        <v>0.9992067</v>
      </c>
      <c r="Y2743">
        <v>3.1713520000000002E-2</v>
      </c>
      <c r="Z2743" s="1">
        <v>-1.5883069999999998E-5</v>
      </c>
      <c r="AA2743">
        <v>0.99949699999999997</v>
      </c>
      <c r="AB2743">
        <v>33</v>
      </c>
      <c r="AC2743">
        <v>-3.0083920000000002</v>
      </c>
      <c r="AD2743">
        <v>3.9566039999999997E-2</v>
      </c>
      <c r="AE2743">
        <v>9.1400149999999999E-2</v>
      </c>
      <c r="AF2743">
        <v>9.5434947355679603E-2</v>
      </c>
      <c r="AG2743">
        <v>3.9566039999999997E-2</v>
      </c>
      <c r="AH2743">
        <v>3.0077464075745701</v>
      </c>
      <c r="AI2743">
        <v>89.246713006272898</v>
      </c>
      <c r="AJ2743">
        <v>88.182630765175901</v>
      </c>
      <c r="AK2743">
        <v>3.0095201865041199</v>
      </c>
      <c r="AL2743">
        <v>91.577399064897193</v>
      </c>
      <c r="AM2743">
        <v>91.649781453536207</v>
      </c>
      <c r="AN2743">
        <v>1.0000000136506</v>
      </c>
    </row>
    <row r="2744" spans="1:40" x14ac:dyDescent="0.25">
      <c r="A2744" t="str">
        <f>"20190303153825381"</f>
        <v>20190303153825381</v>
      </c>
      <c r="B2744" t="str">
        <f>"1551598705370957"</f>
        <v>1551598705370957</v>
      </c>
      <c r="C2744" t="s">
        <v>40</v>
      </c>
      <c r="D2744">
        <v>4.0374089999999896</v>
      </c>
      <c r="E2744">
        <v>0.52299890000000004</v>
      </c>
      <c r="F2744" t="s">
        <v>46</v>
      </c>
      <c r="G2744">
        <v>0</v>
      </c>
      <c r="H2744">
        <v>0</v>
      </c>
      <c r="I2744">
        <v>0</v>
      </c>
      <c r="J2744">
        <v>-370.1232</v>
      </c>
      <c r="K2744">
        <v>1.1212390000000001</v>
      </c>
      <c r="L2744">
        <v>284.15170000000001</v>
      </c>
      <c r="M2744">
        <v>-0.99989410000000001</v>
      </c>
      <c r="N2744">
        <v>-1.4486270000000001E-2</v>
      </c>
      <c r="O2744">
        <v>-1.4310410000000001E-3</v>
      </c>
      <c r="P2744">
        <v>-0.99863150000000001</v>
      </c>
      <c r="Q2744">
        <v>-4.2296979999999998E-2</v>
      </c>
      <c r="R2744">
        <v>-3.075547E-2</v>
      </c>
      <c r="S2744">
        <v>-3.0083920000000002</v>
      </c>
      <c r="T2744">
        <v>3.922498E-2</v>
      </c>
      <c r="U2744">
        <v>9.0728760000000006E-2</v>
      </c>
      <c r="V2744">
        <v>-2.9321659999999999E-2</v>
      </c>
      <c r="W2744">
        <v>-2.7830250000000001E-2</v>
      </c>
      <c r="X2744">
        <v>0.99918249999999997</v>
      </c>
      <c r="Y2744">
        <v>3.1575119999999998E-2</v>
      </c>
      <c r="Z2744" s="1">
        <v>-1.64037E-5</v>
      </c>
      <c r="AA2744">
        <v>0.99950139999999998</v>
      </c>
      <c r="AB2744">
        <v>33</v>
      </c>
      <c r="AC2744">
        <v>-3.0083920000000002</v>
      </c>
      <c r="AD2744">
        <v>3.922498E-2</v>
      </c>
      <c r="AE2744">
        <v>9.0728760000000006E-2</v>
      </c>
      <c r="AF2744">
        <v>9.5018112241664607E-2</v>
      </c>
      <c r="AG2744">
        <v>3.922498E-2</v>
      </c>
      <c r="AH2744">
        <v>3.0077482071473298</v>
      </c>
      <c r="AI2744">
        <v>89.253202788802</v>
      </c>
      <c r="AJ2744">
        <v>88.190564356556095</v>
      </c>
      <c r="AK2744">
        <v>3.0095043310000298</v>
      </c>
      <c r="AL2744">
        <v>91.5947618154065</v>
      </c>
      <c r="AM2744">
        <v>91.680899494948903</v>
      </c>
      <c r="AN2744">
        <v>0.99999997543323305</v>
      </c>
    </row>
    <row r="2745" spans="1:40" x14ac:dyDescent="0.25">
      <c r="A2745" t="str">
        <f>"20190303153825396"</f>
        <v>20190303153825396</v>
      </c>
      <c r="B2745" t="str">
        <f>"1551598705391453"</f>
        <v>1551598705391453</v>
      </c>
      <c r="C2745" t="s">
        <v>40</v>
      </c>
      <c r="D2745">
        <v>4.0816169999999996</v>
      </c>
      <c r="E2745">
        <v>0.52297990000000005</v>
      </c>
      <c r="F2745" t="s">
        <v>46</v>
      </c>
      <c r="G2745">
        <v>0</v>
      </c>
      <c r="H2745">
        <v>0</v>
      </c>
      <c r="I2745">
        <v>0</v>
      </c>
      <c r="J2745">
        <v>-370.339</v>
      </c>
      <c r="K2745">
        <v>1.121238</v>
      </c>
      <c r="L2745">
        <v>284.15140000000002</v>
      </c>
      <c r="M2745">
        <v>-0.99989399999999995</v>
      </c>
      <c r="N2745">
        <v>-1.4484189999999999E-2</v>
      </c>
      <c r="O2745">
        <v>-1.489909E-3</v>
      </c>
      <c r="P2745">
        <v>-0.99863310000000005</v>
      </c>
      <c r="Q2745">
        <v>-4.2042339999999997E-2</v>
      </c>
      <c r="R2745">
        <v>-3.1058550000000001E-2</v>
      </c>
      <c r="S2745">
        <v>-3.0085139999999999</v>
      </c>
      <c r="T2745">
        <v>3.9263369999999999E-2</v>
      </c>
      <c r="U2745">
        <v>8.8989260000000001E-2</v>
      </c>
      <c r="V2745">
        <v>-2.9565810000000001E-2</v>
      </c>
      <c r="W2745">
        <v>-2.757768E-2</v>
      </c>
      <c r="X2745">
        <v>0.99918229999999997</v>
      </c>
      <c r="Y2745">
        <v>3.1055309999999999E-2</v>
      </c>
      <c r="Z2745" s="1">
        <v>-1.864313E-5</v>
      </c>
      <c r="AA2745">
        <v>0.99951769999999995</v>
      </c>
      <c r="AB2745">
        <v>33</v>
      </c>
      <c r="AC2745">
        <v>-3.0085139999999999</v>
      </c>
      <c r="AD2745">
        <v>3.9263369999999999E-2</v>
      </c>
      <c r="AE2745">
        <v>8.8989260000000001E-2</v>
      </c>
      <c r="AF2745">
        <v>9.3456139769456797E-2</v>
      </c>
      <c r="AG2745">
        <v>3.9263369999999999E-2</v>
      </c>
      <c r="AH2745">
        <v>3.0078662019657898</v>
      </c>
      <c r="AI2745">
        <v>89.252489115207993</v>
      </c>
      <c r="AJ2745">
        <v>88.220359574959005</v>
      </c>
      <c r="AK2745">
        <v>3.0095738487720198</v>
      </c>
      <c r="AL2745">
        <v>91.580285076571897</v>
      </c>
      <c r="AM2745">
        <v>91.694887897103797</v>
      </c>
      <c r="AN2745">
        <v>0.99999996709421302</v>
      </c>
    </row>
    <row r="2746" spans="1:40" x14ac:dyDescent="0.25">
      <c r="A2746" t="str">
        <f>"20190303153825411"</f>
        <v>20190303153825411</v>
      </c>
      <c r="B2746" t="str">
        <f>"1551598705401213"</f>
        <v>1551598705401213</v>
      </c>
      <c r="C2746" t="s">
        <v>40</v>
      </c>
      <c r="D2746">
        <v>4.0456120000000002</v>
      </c>
      <c r="E2746">
        <v>0.52296949999999998</v>
      </c>
      <c r="F2746" t="s">
        <v>46</v>
      </c>
      <c r="G2746">
        <v>0</v>
      </c>
      <c r="H2746">
        <v>0</v>
      </c>
      <c r="I2746">
        <v>0</v>
      </c>
      <c r="J2746">
        <v>-370.565</v>
      </c>
      <c r="K2746">
        <v>1.1212439999999999</v>
      </c>
      <c r="L2746">
        <v>284.15100000000001</v>
      </c>
      <c r="M2746">
        <v>-0.99989399999999995</v>
      </c>
      <c r="N2746">
        <v>-1.4482E-2</v>
      </c>
      <c r="O2746">
        <v>-1.551635E-3</v>
      </c>
      <c r="P2746">
        <v>-0.99863009999999997</v>
      </c>
      <c r="Q2746">
        <v>-4.190646E-2</v>
      </c>
      <c r="R2746">
        <v>-3.1335200000000001E-2</v>
      </c>
      <c r="S2746">
        <v>-3.0085449999999998</v>
      </c>
      <c r="T2746">
        <v>4.049444E-2</v>
      </c>
      <c r="U2746">
        <v>8.7829589999999999E-2</v>
      </c>
      <c r="V2746">
        <v>-2.97808E-2</v>
      </c>
      <c r="W2746">
        <v>-2.7444039999999999E-2</v>
      </c>
      <c r="X2746">
        <v>0.99917959999999995</v>
      </c>
      <c r="Y2746">
        <v>3.0731649999999999E-2</v>
      </c>
      <c r="Z2746" s="1">
        <v>-2.7525879999999999E-5</v>
      </c>
      <c r="AA2746">
        <v>0.99952770000000002</v>
      </c>
      <c r="AB2746">
        <v>33</v>
      </c>
      <c r="AC2746">
        <v>-3.0085449999999998</v>
      </c>
      <c r="AD2746">
        <v>4.049444E-2</v>
      </c>
      <c r="AE2746">
        <v>8.7829589999999999E-2</v>
      </c>
      <c r="AF2746">
        <v>9.24813969680955E-2</v>
      </c>
      <c r="AG2746">
        <v>4.049444E-2</v>
      </c>
      <c r="AH2746">
        <v>3.00786062443622</v>
      </c>
      <c r="AI2746">
        <v>89.229045183007599</v>
      </c>
      <c r="AJ2746">
        <v>88.238906120784705</v>
      </c>
      <c r="AK2746">
        <v>3.0095544760794599</v>
      </c>
      <c r="AL2746">
        <v>91.572625161040506</v>
      </c>
      <c r="AM2746">
        <v>91.707209744742499</v>
      </c>
      <c r="AN2746">
        <v>0.99999997221815995</v>
      </c>
    </row>
    <row r="2747" spans="1:40" x14ac:dyDescent="0.25">
      <c r="A2747" t="str">
        <f>"20190303153825424"</f>
        <v>20190303153825424</v>
      </c>
      <c r="B2747" t="str">
        <f>"1551598705421710"</f>
        <v>1551598705421710</v>
      </c>
      <c r="C2747" t="s">
        <v>40</v>
      </c>
      <c r="D2747">
        <v>4.0930720000000003</v>
      </c>
      <c r="E2747">
        <v>0.52300729999999995</v>
      </c>
      <c r="F2747" t="s">
        <v>46</v>
      </c>
      <c r="G2747">
        <v>0</v>
      </c>
      <c r="H2747">
        <v>0</v>
      </c>
      <c r="I2747">
        <v>0</v>
      </c>
      <c r="J2747">
        <v>-370.76710000000003</v>
      </c>
      <c r="K2747">
        <v>1.1212489999999999</v>
      </c>
      <c r="L2747">
        <v>284.1506</v>
      </c>
      <c r="M2747">
        <v>-0.9998939</v>
      </c>
      <c r="N2747">
        <v>-1.448003E-2</v>
      </c>
      <c r="O2747">
        <v>-1.606218E-3</v>
      </c>
      <c r="P2747">
        <v>-0.99863599999999997</v>
      </c>
      <c r="Q2747">
        <v>-4.1603389999999997E-2</v>
      </c>
      <c r="R2747">
        <v>-3.1548310000000003E-2</v>
      </c>
      <c r="S2747">
        <v>-3.008575</v>
      </c>
      <c r="T2747">
        <v>4.1227939999999998E-2</v>
      </c>
      <c r="U2747">
        <v>8.7005620000000006E-2</v>
      </c>
      <c r="V2747">
        <v>-2.99397E-2</v>
      </c>
      <c r="W2747">
        <v>-2.7142889999999999E-2</v>
      </c>
      <c r="X2747">
        <v>0.99918309999999999</v>
      </c>
      <c r="Y2747">
        <v>3.0512330000000001E-2</v>
      </c>
      <c r="Z2747" s="1">
        <v>-3.3299439999999998E-5</v>
      </c>
      <c r="AA2747">
        <v>0.99953440000000005</v>
      </c>
      <c r="AB2747">
        <v>33</v>
      </c>
      <c r="AC2747">
        <v>-3.008575</v>
      </c>
      <c r="AD2747">
        <v>4.1227939999999998E-2</v>
      </c>
      <c r="AE2747">
        <v>8.7005620000000006E-2</v>
      </c>
      <c r="AF2747">
        <v>9.1821213335083404E-2</v>
      </c>
      <c r="AG2747">
        <v>4.1227939999999998E-2</v>
      </c>
      <c r="AH2747">
        <v>3.0078669923661399</v>
      </c>
      <c r="AI2747">
        <v>89.215078536646601</v>
      </c>
      <c r="AJ2747">
        <v>88.251473655491097</v>
      </c>
      <c r="AK2747">
        <v>3.0095505847253499</v>
      </c>
      <c r="AL2747">
        <v>91.555364071124004</v>
      </c>
      <c r="AM2747">
        <v>91.716307380517193</v>
      </c>
      <c r="AN2747">
        <v>0.99999999471962597</v>
      </c>
    </row>
    <row r="2748" spans="1:40" x14ac:dyDescent="0.25">
      <c r="A2748" t="str">
        <f>"20190303153825437"</f>
        <v>20190303153825437</v>
      </c>
      <c r="B2748" t="str">
        <f>"1551598705431469"</f>
        <v>1551598705431469</v>
      </c>
      <c r="C2748" t="s">
        <v>40</v>
      </c>
      <c r="D2748">
        <v>4.0414250000000003</v>
      </c>
      <c r="E2748">
        <v>0.52309419999999995</v>
      </c>
      <c r="F2748" t="s">
        <v>46</v>
      </c>
      <c r="G2748">
        <v>0</v>
      </c>
      <c r="H2748">
        <v>0</v>
      </c>
      <c r="I2748">
        <v>0</v>
      </c>
      <c r="J2748">
        <v>-370.93599999999998</v>
      </c>
      <c r="K2748">
        <v>1.1212489999999999</v>
      </c>
      <c r="L2748">
        <v>284.15030000000002</v>
      </c>
      <c r="M2748">
        <v>-0.99989380000000005</v>
      </c>
      <c r="N2748">
        <v>-1.4478380000000001E-2</v>
      </c>
      <c r="O2748">
        <v>-1.652099E-3</v>
      </c>
      <c r="P2748">
        <v>-0.99863959999999996</v>
      </c>
      <c r="Q2748">
        <v>-4.138911E-2</v>
      </c>
      <c r="R2748">
        <v>-3.1712629999999999E-2</v>
      </c>
      <c r="S2748">
        <v>-3.0086360000000001</v>
      </c>
      <c r="T2748">
        <v>4.3196199999999997E-2</v>
      </c>
      <c r="U2748">
        <v>8.64563E-2</v>
      </c>
      <c r="V2748">
        <v>-3.0058029999999999E-2</v>
      </c>
      <c r="W2748">
        <v>-2.6930229999999999E-2</v>
      </c>
      <c r="X2748">
        <v>0.99918530000000005</v>
      </c>
      <c r="Y2748">
        <v>3.0375079999999999E-2</v>
      </c>
      <c r="Z2748" s="1">
        <v>-4.5676890000000002E-5</v>
      </c>
      <c r="AA2748">
        <v>0.9995385</v>
      </c>
      <c r="AB2748">
        <v>33</v>
      </c>
      <c r="AC2748">
        <v>-3.0086360000000001</v>
      </c>
      <c r="AD2748">
        <v>4.3196199999999997E-2</v>
      </c>
      <c r="AE2748">
        <v>8.64563E-2</v>
      </c>
      <c r="AF2748">
        <v>9.1408440723635798E-2</v>
      </c>
      <c r="AG2748">
        <v>4.3196199999999997E-2</v>
      </c>
      <c r="AH2748">
        <v>3.0078695281713799</v>
      </c>
      <c r="AI2748">
        <v>89.177607947894202</v>
      </c>
      <c r="AJ2748">
        <v>88.2593305918559</v>
      </c>
      <c r="AK2748">
        <v>3.00956816058914</v>
      </c>
      <c r="AL2748">
        <v>91.543175097335507</v>
      </c>
      <c r="AM2748">
        <v>91.723082830623596</v>
      </c>
      <c r="AN2748">
        <v>0.99999999309571197</v>
      </c>
    </row>
    <row r="2749" spans="1:40" x14ac:dyDescent="0.25">
      <c r="A2749" t="str">
        <f>"20190303153825450"</f>
        <v>20190303153825450</v>
      </c>
      <c r="B2749" t="str">
        <f>"1551598705441229"</f>
        <v>1551598705441229</v>
      </c>
      <c r="C2749" t="s">
        <v>40</v>
      </c>
      <c r="D2749">
        <v>4.1605109999999996</v>
      </c>
      <c r="E2749">
        <v>0.52309419999999995</v>
      </c>
      <c r="F2749" t="s">
        <v>46</v>
      </c>
      <c r="G2749">
        <v>0</v>
      </c>
      <c r="H2749">
        <v>0</v>
      </c>
      <c r="I2749">
        <v>0</v>
      </c>
      <c r="J2749">
        <v>-371.11880000000002</v>
      </c>
      <c r="K2749">
        <v>1.1212500000000001</v>
      </c>
      <c r="L2749">
        <v>284.1499</v>
      </c>
      <c r="M2749">
        <v>-0.99989380000000005</v>
      </c>
      <c r="N2749">
        <v>-1.4476589999999999E-2</v>
      </c>
      <c r="O2749">
        <v>-1.701911E-3</v>
      </c>
      <c r="P2749">
        <v>-0.99865599999999999</v>
      </c>
      <c r="Q2749">
        <v>-4.1016039999999997E-2</v>
      </c>
      <c r="R2749">
        <v>-3.1687930000000003E-2</v>
      </c>
      <c r="S2749">
        <v>-3.008667</v>
      </c>
      <c r="T2749">
        <v>4.3605570000000003E-2</v>
      </c>
      <c r="U2749">
        <v>8.6639399999999894E-2</v>
      </c>
      <c r="V2749">
        <v>-2.9984E-2</v>
      </c>
      <c r="W2749">
        <v>-2.6558720000000001E-2</v>
      </c>
      <c r="X2749">
        <v>0.99919749999999996</v>
      </c>
      <c r="Y2749">
        <v>3.0485310000000002E-2</v>
      </c>
      <c r="Z2749" s="1">
        <v>-4.943175E-5</v>
      </c>
      <c r="AA2749">
        <v>0.99953519999999896</v>
      </c>
      <c r="AB2749">
        <v>33</v>
      </c>
      <c r="AC2749">
        <v>-3.008667</v>
      </c>
      <c r="AD2749">
        <v>4.3605570000000003E-2</v>
      </c>
      <c r="AE2749">
        <v>8.6639399999999894E-2</v>
      </c>
      <c r="AF2749">
        <v>9.1741039580254202E-2</v>
      </c>
      <c r="AG2749">
        <v>4.3605570000000003E-2</v>
      </c>
      <c r="AH2749">
        <v>3.00788387236146</v>
      </c>
      <c r="AI2749">
        <v>89.169821978094802</v>
      </c>
      <c r="AJ2749">
        <v>88.253009233906397</v>
      </c>
      <c r="AK2749">
        <v>3.0095985203495901</v>
      </c>
      <c r="AL2749">
        <v>91.521881476895302</v>
      </c>
      <c r="AM2749">
        <v>91.718820620191707</v>
      </c>
      <c r="AN2749">
        <v>1.00000002493514</v>
      </c>
    </row>
    <row r="2750" spans="1:40" x14ac:dyDescent="0.25">
      <c r="A2750" t="str">
        <f>"20190303153825462"</f>
        <v>20190303153825462</v>
      </c>
      <c r="B2750" t="str">
        <f>"1551598705450989"</f>
        <v>1551598705450989</v>
      </c>
      <c r="C2750" t="s">
        <v>40</v>
      </c>
      <c r="D2750">
        <v>4.1211799999999998</v>
      </c>
      <c r="E2750">
        <v>0.55551969999999995</v>
      </c>
      <c r="F2750" t="s">
        <v>46</v>
      </c>
      <c r="G2750">
        <v>0</v>
      </c>
      <c r="H2750">
        <v>0</v>
      </c>
      <c r="I2750">
        <v>0</v>
      </c>
      <c r="J2750">
        <v>-371.31099999999998</v>
      </c>
      <c r="K2750">
        <v>1.121251</v>
      </c>
      <c r="L2750">
        <v>284.14949999999999</v>
      </c>
      <c r="M2750">
        <v>-0.9998937</v>
      </c>
      <c r="N2750">
        <v>-1.4474549999999999E-2</v>
      </c>
      <c r="O2750">
        <v>-1.7539859999999999E-3</v>
      </c>
      <c r="P2750">
        <v>-0.99865369999999998</v>
      </c>
      <c r="Q2750">
        <v>-4.1041439999999998E-2</v>
      </c>
      <c r="R2750">
        <v>-3.1728430000000002E-2</v>
      </c>
      <c r="S2750">
        <v>-3.0086979999999999</v>
      </c>
      <c r="T2750">
        <v>4.465616E-2</v>
      </c>
      <c r="U2750">
        <v>8.6791989999999999E-2</v>
      </c>
      <c r="V2750">
        <v>-2.997207E-2</v>
      </c>
      <c r="W2750">
        <v>-2.6586149999999999E-2</v>
      </c>
      <c r="X2750">
        <v>0.99919709999999995</v>
      </c>
      <c r="Y2750">
        <v>3.05876E-2</v>
      </c>
      <c r="Z2750" s="1">
        <v>-5.6915359999999998E-5</v>
      </c>
      <c r="AA2750">
        <v>0.99953210000000003</v>
      </c>
      <c r="AB2750">
        <v>33</v>
      </c>
      <c r="AC2750">
        <v>-3.0086979999999999</v>
      </c>
      <c r="AD2750">
        <v>4.465616E-2</v>
      </c>
      <c r="AE2750">
        <v>8.6791989999999999E-2</v>
      </c>
      <c r="AF2750">
        <v>9.2049362346498201E-2</v>
      </c>
      <c r="AG2750">
        <v>4.465616E-2</v>
      </c>
      <c r="AH2750">
        <v>3.0078790518920901</v>
      </c>
      <c r="AI2750">
        <v>89.149824679773104</v>
      </c>
      <c r="AJ2750">
        <v>88.247138806461905</v>
      </c>
      <c r="AK2750">
        <v>3.00961852209638</v>
      </c>
      <c r="AL2750">
        <v>91.523453698568801</v>
      </c>
      <c r="AM2750">
        <v>91.718137835168406</v>
      </c>
      <c r="AN2750">
        <v>0.99999999650015803</v>
      </c>
    </row>
    <row r="2751" spans="1:40" x14ac:dyDescent="0.25">
      <c r="A2751" t="str">
        <f>"20190303153825476"</f>
        <v>20190303153825476</v>
      </c>
      <c r="B2751" t="str">
        <f>"1551598705471486"</f>
        <v>1551598705471486</v>
      </c>
      <c r="C2751" t="s">
        <v>40</v>
      </c>
      <c r="D2751">
        <v>4.1160690000000004</v>
      </c>
      <c r="E2751">
        <v>0.56936769999999903</v>
      </c>
      <c r="F2751" t="s">
        <v>58</v>
      </c>
      <c r="G2751">
        <v>-511.82029999999997</v>
      </c>
      <c r="H2751">
        <v>0.31500099999999998</v>
      </c>
      <c r="I2751">
        <v>300.27839999999998</v>
      </c>
      <c r="J2751">
        <v>-371.49919999999997</v>
      </c>
      <c r="K2751">
        <v>1.121245</v>
      </c>
      <c r="L2751">
        <v>284.14909999999998</v>
      </c>
      <c r="M2751">
        <v>-0.99989380000000005</v>
      </c>
      <c r="N2751">
        <v>-1.4472580000000001E-2</v>
      </c>
      <c r="O2751">
        <v>-1.8053450000000001E-3</v>
      </c>
      <c r="P2751">
        <v>-0.99865689999999996</v>
      </c>
      <c r="Q2751">
        <v>-4.0896090000000003E-2</v>
      </c>
      <c r="R2751">
        <v>-3.1815959999999997E-2</v>
      </c>
      <c r="S2751">
        <v>-3.014313</v>
      </c>
      <c r="T2751">
        <v>-1.729441E-2</v>
      </c>
      <c r="U2751">
        <v>0.34600829999999999</v>
      </c>
      <c r="V2751">
        <v>-3.0008400000000001E-2</v>
      </c>
      <c r="W2751">
        <v>-2.6442690000000001E-2</v>
      </c>
      <c r="X2751">
        <v>0.99919979999999997</v>
      </c>
      <c r="Y2751">
        <v>0.1158264</v>
      </c>
      <c r="Z2751">
        <v>1.1564279999999999E-3</v>
      </c>
      <c r="AA2751">
        <v>0.99326879999999995</v>
      </c>
      <c r="AB2751">
        <v>33</v>
      </c>
      <c r="AC2751">
        <v>-140.3211</v>
      </c>
      <c r="AD2751">
        <v>-0.80624399999999996</v>
      </c>
      <c r="AE2751">
        <v>16.129300000000001</v>
      </c>
      <c r="AF2751">
        <v>16.382094427055598</v>
      </c>
      <c r="AG2751">
        <v>-0.80624399999999996</v>
      </c>
      <c r="AH2751">
        <v>140.28717835441699</v>
      </c>
      <c r="AI2751">
        <v>90.327058402166998</v>
      </c>
      <c r="AJ2751">
        <v>83.339427494976206</v>
      </c>
      <c r="AK2751">
        <v>141.242753647218</v>
      </c>
      <c r="AL2751">
        <v>91.515231180034107</v>
      </c>
      <c r="AM2751">
        <v>91.720214542934997</v>
      </c>
      <c r="AN2751">
        <v>0.99999998012251701</v>
      </c>
    </row>
    <row r="2752" spans="1:40" x14ac:dyDescent="0.25">
      <c r="A2752" t="str">
        <f>"20190303153825489"</f>
        <v>20190303153825489</v>
      </c>
      <c r="B2752" t="str">
        <f>"1551598705481246"</f>
        <v>1551598705481246</v>
      </c>
      <c r="C2752" t="s">
        <v>40</v>
      </c>
      <c r="D2752">
        <v>4.1271409999999999</v>
      </c>
      <c r="E2752">
        <v>0.57196619999999998</v>
      </c>
      <c r="F2752" t="s">
        <v>58</v>
      </c>
      <c r="G2752">
        <v>-511.82040000000001</v>
      </c>
      <c r="H2752">
        <v>0.84610739999999995</v>
      </c>
      <c r="I2752">
        <v>305.35090000000002</v>
      </c>
      <c r="J2752">
        <v>-371.70359999999999</v>
      </c>
      <c r="K2752">
        <v>1.1212439999999999</v>
      </c>
      <c r="L2752">
        <v>284.14870000000002</v>
      </c>
      <c r="M2752">
        <v>-0.9998937</v>
      </c>
      <c r="N2752">
        <v>-1.4470449999999999E-2</v>
      </c>
      <c r="O2752">
        <v>-1.860993E-3</v>
      </c>
      <c r="P2752">
        <v>-0.99865170000000003</v>
      </c>
      <c r="Q2752">
        <v>-4.1119379999999997E-2</v>
      </c>
      <c r="R2752">
        <v>-3.1687319999999998E-2</v>
      </c>
      <c r="S2752">
        <v>-3.0183409999999999</v>
      </c>
      <c r="T2752">
        <v>-5.9163569999999997E-3</v>
      </c>
      <c r="U2752">
        <v>0.45605469999999998</v>
      </c>
      <c r="V2752">
        <v>-2.9824779999999999E-2</v>
      </c>
      <c r="W2752">
        <v>-2.6668089999999998E-2</v>
      </c>
      <c r="X2752">
        <v>0.99919930000000001</v>
      </c>
      <c r="Y2752">
        <v>0.15123610000000001</v>
      </c>
      <c r="Z2752">
        <v>1.2247040000000001E-3</v>
      </c>
      <c r="AA2752">
        <v>0.98849690000000001</v>
      </c>
      <c r="AB2752">
        <v>33</v>
      </c>
      <c r="AC2752">
        <v>-140.11680000000001</v>
      </c>
      <c r="AD2752">
        <v>-0.27513660000000001</v>
      </c>
      <c r="AE2752">
        <v>21.202200000000001</v>
      </c>
      <c r="AF2752">
        <v>21.462866026819899</v>
      </c>
      <c r="AG2752">
        <v>-0.27513660000000001</v>
      </c>
      <c r="AH2752">
        <v>140.07656802461099</v>
      </c>
      <c r="AI2752">
        <v>90.1112412589694</v>
      </c>
      <c r="AJ2752">
        <v>81.288753909409905</v>
      </c>
      <c r="AK2752">
        <v>141.71159171989899</v>
      </c>
      <c r="AL2752">
        <v>91.528150216156305</v>
      </c>
      <c r="AM2752">
        <v>91.709695751782206</v>
      </c>
      <c r="AN2752">
        <v>0.99999997282339204</v>
      </c>
    </row>
    <row r="2753" spans="1:40" x14ac:dyDescent="0.25">
      <c r="A2753" t="str">
        <f>"20190303153825502"</f>
        <v>20190303153825502</v>
      </c>
      <c r="B2753" t="str">
        <f>"1551598705491005"</f>
        <v>1551598705491005</v>
      </c>
      <c r="C2753" t="s">
        <v>40</v>
      </c>
      <c r="D2753">
        <v>4.0935050000000004</v>
      </c>
      <c r="E2753">
        <v>0.57414709999999902</v>
      </c>
      <c r="F2753" t="s">
        <v>58</v>
      </c>
      <c r="G2753">
        <v>-511.82040000000001</v>
      </c>
      <c r="H2753">
        <v>0.806183599999999</v>
      </c>
      <c r="I2753">
        <v>306.28129999999999</v>
      </c>
      <c r="J2753">
        <v>-371.90179999999998</v>
      </c>
      <c r="K2753">
        <v>1.1212420000000001</v>
      </c>
      <c r="L2753">
        <v>284.14830000000001</v>
      </c>
      <c r="M2753">
        <v>-0.99989360000000005</v>
      </c>
      <c r="N2753">
        <v>-1.4468440000000001E-2</v>
      </c>
      <c r="O2753">
        <v>-1.914621E-3</v>
      </c>
      <c r="P2753">
        <v>-0.99862640000000003</v>
      </c>
      <c r="Q2753">
        <v>-4.1803769999999997E-2</v>
      </c>
      <c r="R2753">
        <v>-3.159116E-2</v>
      </c>
      <c r="S2753">
        <v>-3.0189509999999999</v>
      </c>
      <c r="T2753">
        <v>-6.7863460000000004E-3</v>
      </c>
      <c r="U2753">
        <v>0.47686770000000001</v>
      </c>
      <c r="V2753">
        <v>-2.9674619999999999E-2</v>
      </c>
      <c r="W2753">
        <v>-2.7354759999999999E-2</v>
      </c>
      <c r="X2753">
        <v>0.99918530000000005</v>
      </c>
      <c r="Y2753">
        <v>0.15791150000000001</v>
      </c>
      <c r="Z2753">
        <v>1.3026139999999999E-3</v>
      </c>
      <c r="AA2753">
        <v>0.98745240000000001</v>
      </c>
      <c r="AB2753">
        <v>33</v>
      </c>
      <c r="AC2753">
        <v>-139.9186</v>
      </c>
      <c r="AD2753">
        <v>-0.31505840000000002</v>
      </c>
      <c r="AE2753">
        <v>22.1329999999999</v>
      </c>
      <c r="AF2753">
        <v>22.4007677241643</v>
      </c>
      <c r="AG2753">
        <v>-0.31505840000000002</v>
      </c>
      <c r="AH2753">
        <v>139.875270860185</v>
      </c>
      <c r="AI2753">
        <v>90.127430383462794</v>
      </c>
      <c r="AJ2753">
        <v>80.901446034066893</v>
      </c>
      <c r="AK2753">
        <v>141.65798620140501</v>
      </c>
      <c r="AL2753">
        <v>91.567507727257805</v>
      </c>
      <c r="AM2753">
        <v>91.701116769963505</v>
      </c>
      <c r="AN2753">
        <v>1.00000006485144</v>
      </c>
    </row>
    <row r="2754" spans="1:40" x14ac:dyDescent="0.25">
      <c r="A2754" t="str">
        <f>"20190303153825515"</f>
        <v>20190303153825515</v>
      </c>
      <c r="B2754" t="str">
        <f>"1551598705511501"</f>
        <v>1551598705511501</v>
      </c>
      <c r="C2754" t="s">
        <v>40</v>
      </c>
      <c r="D2754">
        <v>4.0633330000000001</v>
      </c>
      <c r="E2754">
        <v>0.57592119999999902</v>
      </c>
      <c r="F2754" t="s">
        <v>58</v>
      </c>
      <c r="G2754">
        <v>-511.82040000000001</v>
      </c>
      <c r="H2754">
        <v>0.84232469999999904</v>
      </c>
      <c r="I2754">
        <v>307.0625</v>
      </c>
      <c r="J2754">
        <v>-372.06909999999999</v>
      </c>
      <c r="K2754">
        <v>1.1212409999999999</v>
      </c>
      <c r="L2754">
        <v>284.14800000000002</v>
      </c>
      <c r="M2754">
        <v>-0.99989349999999999</v>
      </c>
      <c r="N2754">
        <v>-1.4466730000000001E-2</v>
      </c>
      <c r="O2754">
        <v>-1.9600249999999998E-3</v>
      </c>
      <c r="P2754">
        <v>-0.99860530000000003</v>
      </c>
      <c r="Q2754">
        <v>-4.2243759999999998E-2</v>
      </c>
      <c r="R2754">
        <v>-3.1672909999999999E-2</v>
      </c>
      <c r="S2754">
        <v>-3.0195620000000001</v>
      </c>
      <c r="T2754">
        <v>-6.0173269999999899E-3</v>
      </c>
      <c r="U2754">
        <v>0.49450680000000002</v>
      </c>
      <c r="V2754">
        <v>-2.971095E-2</v>
      </c>
      <c r="W2754">
        <v>-2.7796700000000001E-2</v>
      </c>
      <c r="X2754">
        <v>0.99917199999999995</v>
      </c>
      <c r="Y2754">
        <v>0.1635461</v>
      </c>
      <c r="Z2754">
        <v>1.328477E-3</v>
      </c>
      <c r="AA2754">
        <v>0.98653480000000005</v>
      </c>
      <c r="AB2754">
        <v>33</v>
      </c>
      <c r="AC2754">
        <v>-139.75129999999999</v>
      </c>
      <c r="AD2754">
        <v>-0.27891630000000001</v>
      </c>
      <c r="AE2754">
        <v>22.9145</v>
      </c>
      <c r="AF2754">
        <v>23.1883107197648</v>
      </c>
      <c r="AG2754">
        <v>-0.27891630000000001</v>
      </c>
      <c r="AH2754">
        <v>139.70557190106601</v>
      </c>
      <c r="AI2754">
        <v>90.112844631383496</v>
      </c>
      <c r="AJ2754">
        <v>80.575969848217497</v>
      </c>
      <c r="AK2754">
        <v>141.61716833965701</v>
      </c>
      <c r="AL2754">
        <v>91.592838693005902</v>
      </c>
      <c r="AM2754">
        <v>91.703220842715993</v>
      </c>
      <c r="AN2754">
        <v>1.00000004133239</v>
      </c>
    </row>
    <row r="2755" spans="1:40" x14ac:dyDescent="0.25">
      <c r="A2755" t="str">
        <f>"20190303153825528"</f>
        <v>20190303153825528</v>
      </c>
      <c r="B2755" t="str">
        <f>"1551598705521261"</f>
        <v>1551598705521261</v>
      </c>
      <c r="C2755" t="s">
        <v>40</v>
      </c>
      <c r="D2755">
        <v>4.0928380000000004</v>
      </c>
      <c r="E2755">
        <v>0.5765207</v>
      </c>
      <c r="F2755" t="s">
        <v>58</v>
      </c>
      <c r="G2755">
        <v>-511.8202</v>
      </c>
      <c r="H2755">
        <v>0.19659509999999999</v>
      </c>
      <c r="I2755">
        <v>307.67970000000003</v>
      </c>
      <c r="J2755">
        <v>-372.25670000000002</v>
      </c>
      <c r="K2755">
        <v>1.1212409999999999</v>
      </c>
      <c r="L2755">
        <v>284.14749999999998</v>
      </c>
      <c r="M2755">
        <v>-0.99989340000000004</v>
      </c>
      <c r="N2755">
        <v>-1.446481E-2</v>
      </c>
      <c r="O2755">
        <v>-2.0107900000000001E-3</v>
      </c>
      <c r="P2755">
        <v>-0.99859509999999996</v>
      </c>
      <c r="Q2755">
        <v>-4.2321589999999999E-2</v>
      </c>
      <c r="R2755">
        <v>-3.1885480000000001E-2</v>
      </c>
      <c r="S2755">
        <v>-3.0194399999999999</v>
      </c>
      <c r="T2755">
        <v>-1.9975779999999999E-2</v>
      </c>
      <c r="U2755">
        <v>0.50842290000000001</v>
      </c>
      <c r="V2755">
        <v>-2.987335E-2</v>
      </c>
      <c r="W2755">
        <v>-2.787657E-2</v>
      </c>
      <c r="X2755">
        <v>0.99916490000000002</v>
      </c>
      <c r="Y2755">
        <v>0.16801669999999999</v>
      </c>
      <c r="Z2755">
        <v>1.7599779999999999E-3</v>
      </c>
      <c r="AA2755">
        <v>0.98578259999999995</v>
      </c>
      <c r="AB2755">
        <v>32</v>
      </c>
      <c r="AC2755">
        <v>-139.56349999999901</v>
      </c>
      <c r="AD2755">
        <v>-0.92464590000000002</v>
      </c>
      <c r="AE2755">
        <v>23.5322</v>
      </c>
      <c r="AF2755">
        <v>23.811798351619998</v>
      </c>
      <c r="AG2755">
        <v>-0.92464590000000002</v>
      </c>
      <c r="AH2755">
        <v>139.50994013953601</v>
      </c>
      <c r="AI2755">
        <v>90.374327000660301</v>
      </c>
      <c r="AJ2755">
        <v>80.313995681253701</v>
      </c>
      <c r="AK2755">
        <v>141.530491797759</v>
      </c>
      <c r="AL2755">
        <v>91.597416732754297</v>
      </c>
      <c r="AM2755">
        <v>91.7125372780134</v>
      </c>
      <c r="AN2755">
        <v>1.0000000087935901</v>
      </c>
    </row>
    <row r="2756" spans="1:40" x14ac:dyDescent="0.25">
      <c r="A2756" t="str">
        <f>"20190303153825539"</f>
        <v>20190303153825539</v>
      </c>
      <c r="B2756" t="str">
        <f>"1551598705531021"</f>
        <v>1551598705531021</v>
      </c>
      <c r="C2756" t="s">
        <v>40</v>
      </c>
      <c r="D2756">
        <v>4.1025769999999904</v>
      </c>
      <c r="E2756">
        <v>0.57721199999999995</v>
      </c>
      <c r="F2756" t="s">
        <v>60</v>
      </c>
      <c r="G2756">
        <v>-499.31670000000003</v>
      </c>
      <c r="H2756" s="1">
        <v>-4.6199070000000004E-6</v>
      </c>
      <c r="I2756">
        <v>305.72829999999999</v>
      </c>
      <c r="J2756">
        <v>-372.43099999999998</v>
      </c>
      <c r="K2756">
        <v>1.1212420000000001</v>
      </c>
      <c r="L2756">
        <v>284.1472</v>
      </c>
      <c r="M2756">
        <v>-0.99989340000000004</v>
      </c>
      <c r="N2756">
        <v>-1.446301E-2</v>
      </c>
      <c r="O2756">
        <v>-2.058336E-3</v>
      </c>
      <c r="P2756">
        <v>-0.99859379999999998</v>
      </c>
      <c r="Q2756">
        <v>-4.2430389999999998E-2</v>
      </c>
      <c r="R2756">
        <v>-3.1789060000000001E-2</v>
      </c>
      <c r="S2756">
        <v>-3.0194700000000001</v>
      </c>
      <c r="T2756">
        <v>-2.664542E-2</v>
      </c>
      <c r="U2756">
        <v>0.51284790000000002</v>
      </c>
      <c r="V2756">
        <v>-2.9728890000000001E-2</v>
      </c>
      <c r="W2756">
        <v>-2.7987120000000001E-2</v>
      </c>
      <c r="X2756">
        <v>0.99916609999999995</v>
      </c>
      <c r="Y2756">
        <v>0.16946069999999999</v>
      </c>
      <c r="Z2756">
        <v>1.9651479999999999E-3</v>
      </c>
      <c r="AA2756">
        <v>0.98553500000000005</v>
      </c>
      <c r="AB2756">
        <v>32</v>
      </c>
      <c r="AC2756">
        <v>-126.8857</v>
      </c>
      <c r="AD2756">
        <v>-1.1212466199069999</v>
      </c>
      <c r="AE2756">
        <v>21.5810999999999</v>
      </c>
      <c r="AF2756">
        <v>21.840597457573899</v>
      </c>
      <c r="AG2756">
        <v>-1.1212466199069999</v>
      </c>
      <c r="AH2756">
        <v>126.831379960292</v>
      </c>
      <c r="AI2756">
        <v>90.499160865498894</v>
      </c>
      <c r="AJ2756">
        <v>80.229386625725098</v>
      </c>
      <c r="AK2756">
        <v>128.70302185231901</v>
      </c>
      <c r="AL2756">
        <v>91.603753282653003</v>
      </c>
      <c r="AM2756">
        <v>91.704258728960596</v>
      </c>
      <c r="AN2756">
        <v>0.99999999058786804</v>
      </c>
    </row>
    <row r="2757" spans="1:40" x14ac:dyDescent="0.25">
      <c r="A2757" t="str">
        <f>"20190303153825552"</f>
        <v>20190303153825552</v>
      </c>
      <c r="B2757" t="str">
        <f>"1551598705541757"</f>
        <v>1551598705541757</v>
      </c>
      <c r="C2757" t="s">
        <v>40</v>
      </c>
      <c r="D2757">
        <v>4.1238979999999996</v>
      </c>
      <c r="E2757">
        <v>0.57756269999999998</v>
      </c>
      <c r="F2757" t="s">
        <v>60</v>
      </c>
      <c r="G2757">
        <v>-481.15559999999999</v>
      </c>
      <c r="H2757" s="1">
        <v>-3.44377E-6</v>
      </c>
      <c r="I2757">
        <v>302.81959999999998</v>
      </c>
      <c r="J2757">
        <v>-372.61149999999998</v>
      </c>
      <c r="K2757">
        <v>1.121243</v>
      </c>
      <c r="L2757">
        <v>284.14670000000001</v>
      </c>
      <c r="M2757">
        <v>-0.99989329999999998</v>
      </c>
      <c r="N2757">
        <v>-1.4461140000000001E-2</v>
      </c>
      <c r="O2757">
        <v>-2.1071940000000002E-3</v>
      </c>
      <c r="P2757">
        <v>-0.99859039999999999</v>
      </c>
      <c r="Q2757">
        <v>-4.2551899999999997E-2</v>
      </c>
      <c r="R2757">
        <v>-3.1729229999999997E-2</v>
      </c>
      <c r="S2757">
        <v>-3.019409</v>
      </c>
      <c r="T2757">
        <v>-3.1138300000000001E-2</v>
      </c>
      <c r="U2757">
        <v>0.51855470000000004</v>
      </c>
      <c r="V2757">
        <v>-2.962016E-2</v>
      </c>
      <c r="W2757">
        <v>-2.81105E-2</v>
      </c>
      <c r="X2757">
        <v>0.99916590000000005</v>
      </c>
      <c r="Y2757">
        <v>0.17131740000000001</v>
      </c>
      <c r="Z2757">
        <v>2.1161209999999999E-3</v>
      </c>
      <c r="AA2757">
        <v>0.98521360000000002</v>
      </c>
      <c r="AB2757">
        <v>32</v>
      </c>
      <c r="AC2757">
        <v>-108.5441</v>
      </c>
      <c r="AD2757">
        <v>-1.12124644377</v>
      </c>
      <c r="AE2757">
        <v>18.672899999999899</v>
      </c>
      <c r="AF2757">
        <v>18.899647168852098</v>
      </c>
      <c r="AG2757">
        <v>-1.12124644377</v>
      </c>
      <c r="AH2757">
        <v>108.493263292089</v>
      </c>
      <c r="AI2757">
        <v>90.583330094366303</v>
      </c>
      <c r="AJ2757">
        <v>80.118173249371395</v>
      </c>
      <c r="AK2757">
        <v>110.13283813859201</v>
      </c>
      <c r="AL2757">
        <v>91.610825163125398</v>
      </c>
      <c r="AM2757">
        <v>91.698029593904806</v>
      </c>
      <c r="AN2757">
        <v>1.0000000249057399</v>
      </c>
    </row>
    <row r="2758" spans="1:40" x14ac:dyDescent="0.25">
      <c r="A2758" t="str">
        <f>"20190303153825566"</f>
        <v>20190303153825566</v>
      </c>
      <c r="B2758" t="str">
        <f>"1551598705561277"</f>
        <v>1551598705561277</v>
      </c>
      <c r="C2758" t="s">
        <v>40</v>
      </c>
      <c r="D2758">
        <v>4.094646</v>
      </c>
      <c r="E2758">
        <v>0.57836009999999904</v>
      </c>
      <c r="F2758" t="s">
        <v>43</v>
      </c>
      <c r="G2758">
        <v>-464.91489999999999</v>
      </c>
      <c r="H2758">
        <v>-0.05</v>
      </c>
      <c r="I2758">
        <v>300.09989999999999</v>
      </c>
      <c r="J2758">
        <v>-372.81169999999997</v>
      </c>
      <c r="K2758">
        <v>1.121243</v>
      </c>
      <c r="L2758">
        <v>284.14620000000002</v>
      </c>
      <c r="M2758">
        <v>-0.99989320000000004</v>
      </c>
      <c r="N2758">
        <v>-1.4459029999999999E-2</v>
      </c>
      <c r="O2758">
        <v>-2.1617709999999998E-3</v>
      </c>
      <c r="P2758">
        <v>-0.99857589999999996</v>
      </c>
      <c r="Q2758">
        <v>-4.2679010000000003E-2</v>
      </c>
      <c r="R2758">
        <v>-3.2013399999999997E-2</v>
      </c>
      <c r="S2758">
        <v>-3.019196</v>
      </c>
      <c r="T2758">
        <v>-3.8310770000000001E-2</v>
      </c>
      <c r="U2758">
        <v>0.52182010000000001</v>
      </c>
      <c r="V2758">
        <v>-2.9850169999999999E-2</v>
      </c>
      <c r="W2758">
        <v>-2.823991E-2</v>
      </c>
      <c r="X2758">
        <v>0.99915540000000003</v>
      </c>
      <c r="Y2758">
        <v>0.1724099</v>
      </c>
      <c r="Z2758">
        <v>2.3377530000000001E-3</v>
      </c>
      <c r="AA2758">
        <v>0.98502250000000002</v>
      </c>
      <c r="AB2758">
        <v>32</v>
      </c>
      <c r="AC2758">
        <v>-92.103200000000001</v>
      </c>
      <c r="AD2758">
        <v>-1.171243</v>
      </c>
      <c r="AE2758">
        <v>15.9536999999999</v>
      </c>
      <c r="AF2758">
        <v>16.150253916543601</v>
      </c>
      <c r="AG2758">
        <v>-1.171243</v>
      </c>
      <c r="AH2758">
        <v>92.054040204803698</v>
      </c>
      <c r="AI2758">
        <v>90.717994298063601</v>
      </c>
      <c r="AJ2758">
        <v>80.0491183140347</v>
      </c>
      <c r="AK2758">
        <v>93.467367726717796</v>
      </c>
      <c r="AL2758">
        <v>91.618242763698305</v>
      </c>
      <c r="AM2758">
        <v>91.711225498589897</v>
      </c>
      <c r="AN2758">
        <v>1.00000001925749</v>
      </c>
    </row>
    <row r="2759" spans="1:40" x14ac:dyDescent="0.25">
      <c r="A2759" t="str">
        <f>"20190303153825580"</f>
        <v>20190303153825580</v>
      </c>
      <c r="B2759" t="str">
        <f>"1551598705571037"</f>
        <v>1551598705571037</v>
      </c>
      <c r="C2759" t="s">
        <v>40</v>
      </c>
      <c r="D2759">
        <v>4.1327290000000003</v>
      </c>
      <c r="E2759">
        <v>0.57841940000000003</v>
      </c>
      <c r="F2759" t="s">
        <v>43</v>
      </c>
      <c r="G2759">
        <v>-457.0299</v>
      </c>
      <c r="H2759">
        <v>-0.05</v>
      </c>
      <c r="I2759">
        <v>298.8544</v>
      </c>
      <c r="J2759">
        <v>-373.02870000000001</v>
      </c>
      <c r="K2759">
        <v>1.1212409999999999</v>
      </c>
      <c r="L2759">
        <v>284.14569999999998</v>
      </c>
      <c r="M2759">
        <v>-0.99989300000000003</v>
      </c>
      <c r="N2759">
        <v>-1.4456699999999999E-2</v>
      </c>
      <c r="O2759">
        <v>-2.220638E-3</v>
      </c>
      <c r="P2759">
        <v>-0.99858950000000002</v>
      </c>
      <c r="Q2759">
        <v>-4.2431450000000002E-2</v>
      </c>
      <c r="R2759">
        <v>-3.1910859999999999E-2</v>
      </c>
      <c r="S2759">
        <v>-3.0193789999999998</v>
      </c>
      <c r="T2759">
        <v>-4.1991229999999997E-2</v>
      </c>
      <c r="U2759">
        <v>0.52731319999999904</v>
      </c>
      <c r="V2759">
        <v>-2.9688860000000001E-2</v>
      </c>
      <c r="W2759">
        <v>-2.7994450000000001E-2</v>
      </c>
      <c r="X2759">
        <v>0.99916709999999997</v>
      </c>
      <c r="Y2759">
        <v>0.1741925</v>
      </c>
      <c r="Z2759">
        <v>2.4696739999999998E-3</v>
      </c>
      <c r="AA2759">
        <v>0.98470849999999999</v>
      </c>
      <c r="AB2759">
        <v>32</v>
      </c>
      <c r="AC2759">
        <v>-84.001199999999898</v>
      </c>
      <c r="AD2759">
        <v>-1.171241</v>
      </c>
      <c r="AE2759">
        <v>14.7087</v>
      </c>
      <c r="AF2759">
        <v>14.892410360216401</v>
      </c>
      <c r="AG2759">
        <v>-1.171241</v>
      </c>
      <c r="AH2759">
        <v>83.952490945295906</v>
      </c>
      <c r="AI2759">
        <v>90.787009934892197</v>
      </c>
      <c r="AJ2759">
        <v>79.940889190786507</v>
      </c>
      <c r="AK2759">
        <v>85.271193422733006</v>
      </c>
      <c r="AL2759">
        <v>91.604173401122793</v>
      </c>
      <c r="AM2759">
        <v>91.701963589944199</v>
      </c>
      <c r="AN2759">
        <v>1.00000000568065</v>
      </c>
    </row>
    <row r="2760" spans="1:40" x14ac:dyDescent="0.25">
      <c r="A2760" t="str">
        <f>"20190303153825595"</f>
        <v>20190303153825595</v>
      </c>
      <c r="B2760" t="str">
        <f>"1551598705591533"</f>
        <v>1551598705591533</v>
      </c>
      <c r="C2760" t="s">
        <v>40</v>
      </c>
      <c r="D2760">
        <v>4.0853510000000002</v>
      </c>
      <c r="E2760">
        <v>0.57911630000000003</v>
      </c>
      <c r="F2760" t="s">
        <v>43</v>
      </c>
      <c r="G2760">
        <v>-446.54520000000002</v>
      </c>
      <c r="H2760">
        <v>-0.05</v>
      </c>
      <c r="I2760">
        <v>297.00850000000003</v>
      </c>
      <c r="J2760">
        <v>-373.22969999999998</v>
      </c>
      <c r="K2760">
        <v>1.121237</v>
      </c>
      <c r="L2760">
        <v>284.14519999999999</v>
      </c>
      <c r="M2760">
        <v>-0.99989320000000004</v>
      </c>
      <c r="N2760">
        <v>-1.444641E-2</v>
      </c>
      <c r="O2760">
        <v>-2.2755129999999998E-3</v>
      </c>
      <c r="P2760">
        <v>-0.99857689999999999</v>
      </c>
      <c r="Q2760">
        <v>-4.2545689999999997E-2</v>
      </c>
      <c r="R2760">
        <v>-3.2160889999999998E-2</v>
      </c>
      <c r="S2760">
        <v>-3.0190429999999999</v>
      </c>
      <c r="T2760">
        <v>-4.8098439999999999E-2</v>
      </c>
      <c r="U2760">
        <v>0.52822880000000005</v>
      </c>
      <c r="V2760">
        <v>-2.98841E-2</v>
      </c>
      <c r="W2760">
        <v>-2.8119120000000001E-2</v>
      </c>
      <c r="X2760">
        <v>0.99915779999999998</v>
      </c>
      <c r="Y2760">
        <v>0.17454720000000001</v>
      </c>
      <c r="Z2760">
        <v>2.6537129999999998E-3</v>
      </c>
      <c r="AA2760">
        <v>0.9846452</v>
      </c>
      <c r="AB2760">
        <v>32</v>
      </c>
      <c r="AC2760">
        <v>-73.3155</v>
      </c>
      <c r="AD2760">
        <v>-1.1712370000000001</v>
      </c>
      <c r="AE2760">
        <v>12.863300000000001</v>
      </c>
      <c r="AF2760">
        <v>13.0268891415782</v>
      </c>
      <c r="AG2760">
        <v>-1.1712370000000001</v>
      </c>
      <c r="AH2760">
        <v>73.267896194716002</v>
      </c>
      <c r="AI2760">
        <v>90.901694903264996</v>
      </c>
      <c r="AJ2760">
        <v>79.918276035014401</v>
      </c>
      <c r="AK2760">
        <v>74.426179867146303</v>
      </c>
      <c r="AL2760">
        <v>91.611319244956107</v>
      </c>
      <c r="AM2760">
        <v>91.713165338070297</v>
      </c>
      <c r="AN2760">
        <v>1.00000002682161</v>
      </c>
    </row>
    <row r="2761" spans="1:40" x14ac:dyDescent="0.25">
      <c r="A2761" t="str">
        <f>"20190303153825611"</f>
        <v>20190303153825611</v>
      </c>
      <c r="B2761" t="str">
        <f>"1551598705601293"</f>
        <v>1551598705601293</v>
      </c>
      <c r="C2761" t="s">
        <v>40</v>
      </c>
      <c r="D2761">
        <v>4.0811029999999997</v>
      </c>
      <c r="E2761">
        <v>0.57942780000000005</v>
      </c>
      <c r="F2761" t="s">
        <v>43</v>
      </c>
      <c r="G2761">
        <v>-443.85849999999999</v>
      </c>
      <c r="H2761">
        <v>-0.05</v>
      </c>
      <c r="I2761">
        <v>296.61160000000001</v>
      </c>
      <c r="J2761">
        <v>-373.452</v>
      </c>
      <c r="K2761">
        <v>1.1212409999999999</v>
      </c>
      <c r="L2761">
        <v>284.14460000000003</v>
      </c>
      <c r="M2761">
        <v>-0.99989340000000004</v>
      </c>
      <c r="N2761">
        <v>-1.441924E-2</v>
      </c>
      <c r="O2761">
        <v>-2.3362270000000002E-3</v>
      </c>
      <c r="P2761">
        <v>-0.99856319999999998</v>
      </c>
      <c r="Q2761">
        <v>-4.2811009999999997E-2</v>
      </c>
      <c r="R2761">
        <v>-3.2234539999999999E-2</v>
      </c>
      <c r="S2761">
        <v>-3.0193180000000002</v>
      </c>
      <c r="T2761">
        <v>-5.0069330000000002E-2</v>
      </c>
      <c r="U2761">
        <v>0.53292850000000003</v>
      </c>
      <c r="V2761">
        <v>-2.9896720000000002E-2</v>
      </c>
      <c r="W2761">
        <v>-2.841175E-2</v>
      </c>
      <c r="X2761">
        <v>0.99914910000000001</v>
      </c>
      <c r="Y2761">
        <v>0.17607539999999999</v>
      </c>
      <c r="Z2761">
        <v>2.7330499999999999E-3</v>
      </c>
      <c r="AA2761">
        <v>0.9843729</v>
      </c>
      <c r="AB2761">
        <v>32</v>
      </c>
      <c r="AC2761">
        <v>-70.406499999999994</v>
      </c>
      <c r="AD2761">
        <v>-1.171241</v>
      </c>
      <c r="AE2761">
        <v>12.466999999999899</v>
      </c>
      <c r="AF2761">
        <v>12.6280802102828</v>
      </c>
      <c r="AG2761">
        <v>-1.171241</v>
      </c>
      <c r="AH2761">
        <v>70.358300252077498</v>
      </c>
      <c r="AI2761">
        <v>90.938706527420607</v>
      </c>
      <c r="AJ2761">
        <v>79.8247515980797</v>
      </c>
      <c r="AK2761">
        <v>71.492171806701407</v>
      </c>
      <c r="AL2761">
        <v>91.628092482021003</v>
      </c>
      <c r="AM2761">
        <v>91.713903287843905</v>
      </c>
      <c r="AN2761">
        <v>0.99999998271781498</v>
      </c>
    </row>
    <row r="2762" spans="1:40" x14ac:dyDescent="0.25">
      <c r="A2762" t="str">
        <f>"20190303153825626"</f>
        <v>20190303153825626</v>
      </c>
      <c r="B2762" t="str">
        <f>"1551598705621790"</f>
        <v>1551598705621790</v>
      </c>
      <c r="C2762" t="s">
        <v>40</v>
      </c>
      <c r="D2762">
        <v>4.0570250000000003</v>
      </c>
      <c r="E2762">
        <v>0.58058940000000003</v>
      </c>
      <c r="F2762" t="s">
        <v>57</v>
      </c>
      <c r="G2762">
        <v>-433.58339999999998</v>
      </c>
      <c r="H2762">
        <v>7.9999600000000004E-2</v>
      </c>
      <c r="I2762">
        <v>294.80560000000003</v>
      </c>
      <c r="J2762">
        <v>-373.69150000000002</v>
      </c>
      <c r="K2762">
        <v>1.1212260000000001</v>
      </c>
      <c r="L2762">
        <v>284.14400000000001</v>
      </c>
      <c r="M2762">
        <v>-0.99989430000000001</v>
      </c>
      <c r="N2762">
        <v>-1.435179E-2</v>
      </c>
      <c r="O2762">
        <v>-2.4019050000000002E-3</v>
      </c>
      <c r="P2762">
        <v>-0.9985617</v>
      </c>
      <c r="Q2762">
        <v>-4.278005E-2</v>
      </c>
      <c r="R2762">
        <v>-3.2323810000000001E-2</v>
      </c>
      <c r="S2762">
        <v>-3.0193180000000002</v>
      </c>
      <c r="T2762">
        <v>-5.2282809999999999E-2</v>
      </c>
      <c r="U2762">
        <v>0.53530880000000003</v>
      </c>
      <c r="V2762">
        <v>-2.992003E-2</v>
      </c>
      <c r="W2762">
        <v>-2.844822E-2</v>
      </c>
      <c r="X2762">
        <v>0.99914740000000002</v>
      </c>
      <c r="Y2762">
        <v>0.176889299999999</v>
      </c>
      <c r="Z2762">
        <v>2.8060170000000001E-3</v>
      </c>
      <c r="AA2762">
        <v>0.98422679999999996</v>
      </c>
      <c r="AB2762">
        <v>32</v>
      </c>
      <c r="AC2762">
        <v>-59.8918999999999</v>
      </c>
      <c r="AD2762">
        <v>-1.0412264</v>
      </c>
      <c r="AE2762">
        <v>10.6616</v>
      </c>
      <c r="AF2762">
        <v>10.802274072899801</v>
      </c>
      <c r="AG2762">
        <v>-1.0412264</v>
      </c>
      <c r="AH2762">
        <v>59.848583296959902</v>
      </c>
      <c r="AI2762">
        <v>90.980866932678396</v>
      </c>
      <c r="AJ2762">
        <v>79.768646288654196</v>
      </c>
      <c r="AK2762">
        <v>60.824552610070597</v>
      </c>
      <c r="AL2762">
        <v>91.630182846301693</v>
      </c>
      <c r="AM2762">
        <v>91.715241709855107</v>
      </c>
      <c r="AN2762">
        <v>1.00000001817156</v>
      </c>
    </row>
    <row r="2763" spans="1:40" x14ac:dyDescent="0.25">
      <c r="A2763" t="str">
        <f>"20190303153825649"</f>
        <v>20190303153825649</v>
      </c>
      <c r="B2763" t="str">
        <f>"1551598705641309"</f>
        <v>1551598705641309</v>
      </c>
      <c r="C2763" t="s">
        <v>40</v>
      </c>
      <c r="D2763">
        <v>4.0428610000000003</v>
      </c>
      <c r="E2763">
        <v>0.58129049999999904</v>
      </c>
      <c r="F2763" t="s">
        <v>43</v>
      </c>
      <c r="G2763">
        <v>-453.4665</v>
      </c>
      <c r="H2763">
        <v>-0.05</v>
      </c>
      <c r="I2763">
        <v>298.5179</v>
      </c>
      <c r="J2763">
        <v>-374.01049999999998</v>
      </c>
      <c r="K2763">
        <v>1.121192</v>
      </c>
      <c r="L2763">
        <v>284.1431</v>
      </c>
      <c r="M2763">
        <v>-0.9998958</v>
      </c>
      <c r="N2763">
        <v>-1.4219539999999999E-2</v>
      </c>
      <c r="O2763">
        <v>-2.4918420000000002E-3</v>
      </c>
      <c r="P2763">
        <v>-0.99857340000000006</v>
      </c>
      <c r="Q2763">
        <v>-4.2526889999999998E-2</v>
      </c>
      <c r="R2763">
        <v>-3.2288610000000002E-2</v>
      </c>
      <c r="S2763">
        <v>-3.0200809999999998</v>
      </c>
      <c r="T2763">
        <v>-4.4339660000000003E-2</v>
      </c>
      <c r="U2763">
        <v>0.5441589</v>
      </c>
      <c r="V2763">
        <v>-2.9795309999999998E-2</v>
      </c>
      <c r="W2763">
        <v>-2.8327249999999998E-2</v>
      </c>
      <c r="X2763">
        <v>0.9991546</v>
      </c>
      <c r="Y2763">
        <v>0.17973939999999999</v>
      </c>
      <c r="Z2763">
        <v>2.5982790000000002E-3</v>
      </c>
      <c r="AA2763">
        <v>0.9837108</v>
      </c>
      <c r="AB2763">
        <v>32</v>
      </c>
      <c r="AC2763">
        <v>-79.456000000000003</v>
      </c>
      <c r="AD2763">
        <v>-1.171192</v>
      </c>
      <c r="AE2763">
        <v>14.374799999999899</v>
      </c>
      <c r="AF2763">
        <v>14.5697019238173</v>
      </c>
      <c r="AG2763">
        <v>-1.171192</v>
      </c>
      <c r="AH2763">
        <v>79.403224625944603</v>
      </c>
      <c r="AI2763">
        <v>90.831173065911798</v>
      </c>
      <c r="AJ2763">
        <v>79.602455023076402</v>
      </c>
      <c r="AK2763">
        <v>80.737351862988305</v>
      </c>
      <c r="AL2763">
        <v>91.623248923127605</v>
      </c>
      <c r="AM2763">
        <v>91.708083762099506</v>
      </c>
      <c r="AN2763">
        <v>1.00000005414585</v>
      </c>
    </row>
    <row r="2764" spans="1:40" x14ac:dyDescent="0.25">
      <c r="A2764" t="str">
        <f>"20190303153825661"</f>
        <v>20190303153825661</v>
      </c>
      <c r="B2764" t="str">
        <f>"1551598705651070"</f>
        <v>1551598705651070</v>
      </c>
      <c r="C2764" t="s">
        <v>40</v>
      </c>
      <c r="D2764">
        <v>4.0758650000000003</v>
      </c>
      <c r="E2764">
        <v>0.58171470000000003</v>
      </c>
      <c r="F2764" t="s">
        <v>61</v>
      </c>
      <c r="G2764">
        <v>-455.35750000000002</v>
      </c>
      <c r="H2764">
        <v>-2.384472E-2</v>
      </c>
      <c r="I2764">
        <v>298.95089999999999</v>
      </c>
      <c r="J2764">
        <v>-374.18270000000001</v>
      </c>
      <c r="K2764">
        <v>1.1211739999999999</v>
      </c>
      <c r="L2764">
        <v>284.14260000000002</v>
      </c>
      <c r="M2764">
        <v>-0.99989709999999998</v>
      </c>
      <c r="N2764">
        <v>-1.412601E-2</v>
      </c>
      <c r="O2764">
        <v>-2.5394660000000002E-3</v>
      </c>
      <c r="P2764">
        <v>-0.99856429999999996</v>
      </c>
      <c r="Q2764">
        <v>-4.2588319999999999E-2</v>
      </c>
      <c r="R2764">
        <v>-3.24937E-2</v>
      </c>
      <c r="S2764">
        <v>-3.020203</v>
      </c>
      <c r="T2764">
        <v>-4.2511819999999999E-2</v>
      </c>
      <c r="U2764">
        <v>0.54977419999999899</v>
      </c>
      <c r="V2764">
        <v>-2.9952400000000001E-2</v>
      </c>
      <c r="W2764">
        <v>-2.848231E-2</v>
      </c>
      <c r="X2764">
        <v>0.99914539999999996</v>
      </c>
      <c r="Y2764">
        <v>0.18155189999999999</v>
      </c>
      <c r="Z2764">
        <v>2.5600879999999999E-3</v>
      </c>
      <c r="AA2764">
        <v>0.98337810000000003</v>
      </c>
      <c r="AB2764">
        <v>32</v>
      </c>
      <c r="AC2764">
        <v>-81.174800000000005</v>
      </c>
      <c r="AD2764">
        <v>-1.1450187199999999</v>
      </c>
      <c r="AE2764">
        <v>14.8082999999999</v>
      </c>
      <c r="AF2764">
        <v>15.011522822757</v>
      </c>
      <c r="AG2764">
        <v>-1.1450187199999999</v>
      </c>
      <c r="AH2764">
        <v>81.121308593459403</v>
      </c>
      <c r="AI2764">
        <v>90.795171787837404</v>
      </c>
      <c r="AJ2764">
        <v>79.515995048685696</v>
      </c>
      <c r="AK2764">
        <v>82.506506369149903</v>
      </c>
      <c r="AL2764">
        <v>91.632136947308098</v>
      </c>
      <c r="AM2764">
        <v>91.717099727074796</v>
      </c>
      <c r="AN2764">
        <v>0.99999995929492702</v>
      </c>
    </row>
    <row r="2765" spans="1:40" x14ac:dyDescent="0.25">
      <c r="A2765" t="str">
        <f>"20190303153825676"</f>
        <v>20190303153825676</v>
      </c>
      <c r="B2765" t="str">
        <f>"1551598705671565"</f>
        <v>1551598705671565</v>
      </c>
      <c r="C2765" t="s">
        <v>40</v>
      </c>
      <c r="D2765">
        <v>4.1232379999999997</v>
      </c>
      <c r="E2765">
        <v>0.58146880000000001</v>
      </c>
      <c r="F2765" t="s">
        <v>61</v>
      </c>
      <c r="G2765">
        <v>-455.35750000000002</v>
      </c>
      <c r="H2765">
        <v>3.9470199999999997E-2</v>
      </c>
      <c r="I2765">
        <v>298.99259999999998</v>
      </c>
      <c r="J2765">
        <v>-374.3947</v>
      </c>
      <c r="K2765">
        <v>1.1211469999999999</v>
      </c>
      <c r="L2765">
        <v>284.142</v>
      </c>
      <c r="M2765">
        <v>-0.99989850000000002</v>
      </c>
      <c r="N2765">
        <v>-1.400671E-2</v>
      </c>
      <c r="O2765">
        <v>-2.5978669999999998E-3</v>
      </c>
      <c r="P2765">
        <v>-0.9985811</v>
      </c>
      <c r="Q2765">
        <v>-4.2323079999999999E-2</v>
      </c>
      <c r="R2765">
        <v>-3.2315139999999999E-2</v>
      </c>
      <c r="S2765">
        <v>-3.0205989999999998</v>
      </c>
      <c r="T2765">
        <v>-4.0250899999999999E-2</v>
      </c>
      <c r="U2765">
        <v>0.55258180000000001</v>
      </c>
      <c r="V2765">
        <v>-2.9715740000000001E-2</v>
      </c>
      <c r="W2765">
        <v>-2.833604E-2</v>
      </c>
      <c r="X2765">
        <v>0.99915670000000001</v>
      </c>
      <c r="Y2765">
        <v>0.18247379999999999</v>
      </c>
      <c r="Z2765">
        <v>2.4925870000000001E-3</v>
      </c>
      <c r="AA2765">
        <v>0.98320759999999996</v>
      </c>
      <c r="AB2765">
        <v>32</v>
      </c>
      <c r="AC2765">
        <v>-80.962800000000001</v>
      </c>
      <c r="AD2765">
        <v>-1.0816768000000001</v>
      </c>
      <c r="AE2765">
        <v>14.850599999999901</v>
      </c>
      <c r="AF2765">
        <v>15.0583007732815</v>
      </c>
      <c r="AG2765">
        <v>-1.0816768000000001</v>
      </c>
      <c r="AH2765">
        <v>80.909971194019207</v>
      </c>
      <c r="AI2765">
        <v>90.7530069178529</v>
      </c>
      <c r="AJ2765">
        <v>79.457200442206101</v>
      </c>
      <c r="AK2765">
        <v>82.306414607218102</v>
      </c>
      <c r="AL2765">
        <v>91.623752788360605</v>
      </c>
      <c r="AM2765">
        <v>91.703521344343002</v>
      </c>
      <c r="AN2765">
        <v>1.00000003376075</v>
      </c>
    </row>
    <row r="2766" spans="1:40" x14ac:dyDescent="0.25">
      <c r="A2766" t="str">
        <f>"20190303153825693"</f>
        <v>20190303153825693</v>
      </c>
      <c r="B2766" t="str">
        <f>"1551598705681325"</f>
        <v>1551598705681325</v>
      </c>
      <c r="C2766" t="s">
        <v>40</v>
      </c>
      <c r="D2766">
        <v>4.1163030000000003</v>
      </c>
      <c r="E2766">
        <v>0.58128849999999999</v>
      </c>
      <c r="F2766" t="s">
        <v>61</v>
      </c>
      <c r="G2766">
        <v>-455.35759999999999</v>
      </c>
      <c r="H2766">
        <v>0.14313890000000001</v>
      </c>
      <c r="I2766">
        <v>298.9101</v>
      </c>
      <c r="J2766">
        <v>-374.6497</v>
      </c>
      <c r="K2766">
        <v>1.1211199999999999</v>
      </c>
      <c r="L2766">
        <v>284.1413</v>
      </c>
      <c r="M2766">
        <v>-0.99990060000000003</v>
      </c>
      <c r="N2766">
        <v>-1.3857299999999901E-2</v>
      </c>
      <c r="O2766">
        <v>-2.6695099999999999E-3</v>
      </c>
      <c r="P2766">
        <v>-0.99858440000000004</v>
      </c>
      <c r="Q2766">
        <v>-4.22195E-2</v>
      </c>
      <c r="R2766">
        <v>-3.2354260000000003E-2</v>
      </c>
      <c r="S2766">
        <v>-3.0205380000000002</v>
      </c>
      <c r="T2766">
        <v>-3.6486739999999997E-2</v>
      </c>
      <c r="U2766">
        <v>0.55096440000000002</v>
      </c>
      <c r="V2766">
        <v>-2.9683299999999999E-2</v>
      </c>
      <c r="W2766">
        <v>-2.8381610000000002E-2</v>
      </c>
      <c r="X2766">
        <v>0.99915639999999994</v>
      </c>
      <c r="Y2766">
        <v>0.18204290000000001</v>
      </c>
      <c r="Z2766">
        <v>2.3575480000000001E-3</v>
      </c>
      <c r="AA2766">
        <v>0.98328780000000005</v>
      </c>
      <c r="AB2766">
        <v>32</v>
      </c>
      <c r="AC2766">
        <v>-80.707899999999995</v>
      </c>
      <c r="AD2766">
        <v>-0.97798110000000005</v>
      </c>
      <c r="AE2766">
        <v>14.768800000000001</v>
      </c>
      <c r="AF2766">
        <v>14.9820899492249</v>
      </c>
      <c r="AG2766">
        <v>-0.97798110000000005</v>
      </c>
      <c r="AH2766">
        <v>80.656723651101402</v>
      </c>
      <c r="AI2766">
        <v>90.683008258495406</v>
      </c>
      <c r="AJ2766">
        <v>79.4771665516881</v>
      </c>
      <c r="AK2766">
        <v>82.042224106912002</v>
      </c>
      <c r="AL2766">
        <v>91.626364760119202</v>
      </c>
      <c r="AM2766">
        <v>91.701663253310997</v>
      </c>
      <c r="AN2766">
        <v>1.0000000628730099</v>
      </c>
    </row>
    <row r="2767" spans="1:40" x14ac:dyDescent="0.25">
      <c r="A2767" t="str">
        <f>"20190303153825705"</f>
        <v>20190303153825705</v>
      </c>
      <c r="B2767" t="str">
        <f>"1551598705701822"</f>
        <v>1551598705701822</v>
      </c>
      <c r="C2767" t="s">
        <v>40</v>
      </c>
      <c r="D2767">
        <v>4.0862879999999997</v>
      </c>
      <c r="E2767">
        <v>0.58088600000000001</v>
      </c>
      <c r="F2767" t="s">
        <v>61</v>
      </c>
      <c r="G2767">
        <v>-455.84840000000003</v>
      </c>
      <c r="H2767">
        <v>0.2282324</v>
      </c>
      <c r="I2767">
        <v>298.90839999999997</v>
      </c>
      <c r="J2767">
        <v>-374.83210000000003</v>
      </c>
      <c r="K2767">
        <v>1.1211089999999999</v>
      </c>
      <c r="L2767">
        <v>284.14069999999998</v>
      </c>
      <c r="M2767">
        <v>-0.99990190000000001</v>
      </c>
      <c r="N2767">
        <v>-1.374978E-2</v>
      </c>
      <c r="O2767">
        <v>-2.7216649999999998E-3</v>
      </c>
      <c r="P2767">
        <v>-0.99859399999999998</v>
      </c>
      <c r="Q2767">
        <v>-4.2079110000000003E-2</v>
      </c>
      <c r="R2767">
        <v>-3.224316E-2</v>
      </c>
      <c r="S2767">
        <v>-3.0206599999999999</v>
      </c>
      <c r="T2767">
        <v>-3.3215399999999999E-2</v>
      </c>
      <c r="U2767">
        <v>0.54934689999999997</v>
      </c>
      <c r="V2767">
        <v>-2.9520390000000001E-2</v>
      </c>
      <c r="W2767">
        <v>-2.8348399999999999E-2</v>
      </c>
      <c r="X2767">
        <v>0.99916210000000005</v>
      </c>
      <c r="Y2767">
        <v>0.1815812</v>
      </c>
      <c r="Z2767">
        <v>2.241406E-3</v>
      </c>
      <c r="AA2767">
        <v>0.98337339999999995</v>
      </c>
      <c r="AB2767">
        <v>32</v>
      </c>
      <c r="AC2767">
        <v>-81.016300000000001</v>
      </c>
      <c r="AD2767">
        <v>-0.89287659999999902</v>
      </c>
      <c r="AE2767">
        <v>14.7676999999999</v>
      </c>
      <c r="AF2767">
        <v>14.986403605366901</v>
      </c>
      <c r="AG2767">
        <v>-0.89287659999999902</v>
      </c>
      <c r="AH2767">
        <v>80.9662853280484</v>
      </c>
      <c r="AI2767">
        <v>90.621266576057295</v>
      </c>
      <c r="AJ2767">
        <v>79.513553850748096</v>
      </c>
      <c r="AK2767">
        <v>82.346395679888303</v>
      </c>
      <c r="AL2767">
        <v>91.624461313963394</v>
      </c>
      <c r="AM2767">
        <v>91.692319860969306</v>
      </c>
      <c r="AN2767">
        <v>0.99999999364236103</v>
      </c>
    </row>
    <row r="2768" spans="1:40" x14ac:dyDescent="0.25">
      <c r="A2768" t="str">
        <f>"20190303153825717"</f>
        <v>20190303153825717</v>
      </c>
      <c r="B2768" t="str">
        <f>"1551598705711581"</f>
        <v>1551598705711581</v>
      </c>
      <c r="C2768" t="s">
        <v>40</v>
      </c>
      <c r="D2768">
        <v>4.0576059999999998</v>
      </c>
      <c r="E2768">
        <v>0.58077290000000004</v>
      </c>
      <c r="F2768" t="s">
        <v>61</v>
      </c>
      <c r="G2768">
        <v>-456.45010000000002</v>
      </c>
      <c r="H2768">
        <v>0.33134560000000002</v>
      </c>
      <c r="I2768">
        <v>298.90839999999997</v>
      </c>
      <c r="J2768">
        <v>-374.99900000000002</v>
      </c>
      <c r="K2768">
        <v>1.121094</v>
      </c>
      <c r="L2768">
        <v>284.14030000000002</v>
      </c>
      <c r="M2768">
        <v>-0.99990310000000004</v>
      </c>
      <c r="N2768">
        <v>-1.3653449999999999E-2</v>
      </c>
      <c r="O2768">
        <v>-2.7698499999999999E-3</v>
      </c>
      <c r="P2768">
        <v>-0.99859200000000004</v>
      </c>
      <c r="Q2768">
        <v>-4.2078119999999997E-2</v>
      </c>
      <c r="R2768">
        <v>-3.23062E-2</v>
      </c>
      <c r="S2768">
        <v>-3.0206300000000001</v>
      </c>
      <c r="T2768">
        <v>-2.92275E-2</v>
      </c>
      <c r="U2768">
        <v>0.54653929999999995</v>
      </c>
      <c r="V2768">
        <v>-2.9535079999999998E-2</v>
      </c>
      <c r="W2768">
        <v>-2.8443570000000001E-2</v>
      </c>
      <c r="X2768">
        <v>0.99915900000000002</v>
      </c>
      <c r="Y2768">
        <v>0.18074960000000001</v>
      </c>
      <c r="Z2768">
        <v>2.1004660000000001E-3</v>
      </c>
      <c r="AA2768">
        <v>0.98352689999999998</v>
      </c>
      <c r="AB2768">
        <v>32</v>
      </c>
      <c r="AC2768">
        <v>-81.451099999999997</v>
      </c>
      <c r="AD2768">
        <v>-0.78974840000000002</v>
      </c>
      <c r="AE2768">
        <v>14.768099999999899</v>
      </c>
      <c r="AF2768">
        <v>14.9923070678194</v>
      </c>
      <c r="AG2768">
        <v>-0.78974840000000002</v>
      </c>
      <c r="AH2768">
        <v>81.4024690216512</v>
      </c>
      <c r="AI2768">
        <v>90.5466597085709</v>
      </c>
      <c r="AJ2768">
        <v>79.564488370347107</v>
      </c>
      <c r="AK2768">
        <v>82.775328066833893</v>
      </c>
      <c r="AL2768">
        <v>91.629916289790998</v>
      </c>
      <c r="AM2768">
        <v>91.693166756910699</v>
      </c>
      <c r="AN2768">
        <v>1.0000000324529701</v>
      </c>
    </row>
    <row r="2769" spans="1:40" x14ac:dyDescent="0.25">
      <c r="A2769" t="str">
        <f>"20190303153825732"</f>
        <v>20190303153825732</v>
      </c>
      <c r="B2769" t="str">
        <f>"1551598705721341"</f>
        <v>1551598705721341</v>
      </c>
      <c r="C2769" t="s">
        <v>40</v>
      </c>
      <c r="D2769">
        <v>4.0672290000000002</v>
      </c>
      <c r="E2769">
        <v>0.58065929999999999</v>
      </c>
      <c r="F2769" t="s">
        <v>61</v>
      </c>
      <c r="G2769">
        <v>-456.76909999999998</v>
      </c>
      <c r="H2769">
        <v>0.36522290000000002</v>
      </c>
      <c r="I2769">
        <v>298.90839999999997</v>
      </c>
      <c r="J2769">
        <v>-375.20060000000001</v>
      </c>
      <c r="K2769">
        <v>1.121076</v>
      </c>
      <c r="L2769">
        <v>284.13959999999997</v>
      </c>
      <c r="M2769">
        <v>-0.99990440000000003</v>
      </c>
      <c r="N2769">
        <v>-1.3537840000000001E-2</v>
      </c>
      <c r="O2769">
        <v>-2.8282770000000001E-3</v>
      </c>
      <c r="P2769">
        <v>-0.99858619999999998</v>
      </c>
      <c r="Q2769">
        <v>-4.2077040000000003E-2</v>
      </c>
      <c r="R2769">
        <v>-3.2488830000000003E-2</v>
      </c>
      <c r="S2769">
        <v>-3.0207519999999999</v>
      </c>
      <c r="T2769">
        <v>-2.7923940000000001E-2</v>
      </c>
      <c r="U2769">
        <v>0.54556269999999996</v>
      </c>
      <c r="V2769">
        <v>-2.9659810000000002E-2</v>
      </c>
      <c r="W2769">
        <v>-2.855798E-2</v>
      </c>
      <c r="X2769">
        <v>0.99915200000000004</v>
      </c>
      <c r="Y2769">
        <v>0.1804936</v>
      </c>
      <c r="Z2769">
        <v>2.0471589999999998E-3</v>
      </c>
      <c r="AA2769">
        <v>0.98357399999999995</v>
      </c>
      <c r="AB2769">
        <v>32</v>
      </c>
      <c r="AC2769">
        <v>-81.568499999999901</v>
      </c>
      <c r="AD2769">
        <v>-0.75585309999999895</v>
      </c>
      <c r="AE2769">
        <v>14.768800000000001</v>
      </c>
      <c r="AF2769">
        <v>14.998213383912301</v>
      </c>
      <c r="AG2769">
        <v>-0.75585309999999895</v>
      </c>
      <c r="AH2769">
        <v>81.519621905697903</v>
      </c>
      <c r="AI2769">
        <v>90.522464918993194</v>
      </c>
      <c r="AJ2769">
        <v>79.575141231508098</v>
      </c>
      <c r="AK2769">
        <v>82.891293114935095</v>
      </c>
      <c r="AL2769">
        <v>91.6364742318559</v>
      </c>
      <c r="AM2769">
        <v>91.700324909329595</v>
      </c>
      <c r="AN2769">
        <v>0.99999999082745805</v>
      </c>
    </row>
    <row r="2770" spans="1:40" x14ac:dyDescent="0.25">
      <c r="A2770" t="str">
        <f>"20190303153825743"</f>
        <v>20190303153825743</v>
      </c>
      <c r="B2770" t="str">
        <f>"1551598705741838"</f>
        <v>1551598705741838</v>
      </c>
      <c r="C2770" t="s">
        <v>40</v>
      </c>
      <c r="D2770">
        <v>4.08413</v>
      </c>
      <c r="E2770">
        <v>0.58050550000000001</v>
      </c>
      <c r="F2770" t="s">
        <v>61</v>
      </c>
      <c r="G2770">
        <v>-457.21140000000003</v>
      </c>
      <c r="H2770">
        <v>0.4129524</v>
      </c>
      <c r="I2770">
        <v>298.90839999999997</v>
      </c>
      <c r="J2770">
        <v>-375.38600000000002</v>
      </c>
      <c r="K2770">
        <v>1.121059</v>
      </c>
      <c r="L2770">
        <v>284.13909999999998</v>
      </c>
      <c r="M2770">
        <v>-0.99990570000000001</v>
      </c>
      <c r="N2770">
        <v>-1.3429079999999999E-2</v>
      </c>
      <c r="O2770">
        <v>-2.880812E-3</v>
      </c>
      <c r="P2770">
        <v>-0.9985849</v>
      </c>
      <c r="Q2770">
        <v>-4.2116340000000002E-2</v>
      </c>
      <c r="R2770">
        <v>-3.247382E-2</v>
      </c>
      <c r="S2770">
        <v>-3.0208740000000001</v>
      </c>
      <c r="T2770">
        <v>-2.608311E-2</v>
      </c>
      <c r="U2770">
        <v>0.54400630000000005</v>
      </c>
      <c r="V2770">
        <v>-2.959202E-2</v>
      </c>
      <c r="W2770">
        <v>-2.8705899999999999E-2</v>
      </c>
      <c r="X2770">
        <v>0.99914979999999998</v>
      </c>
      <c r="Y2770">
        <v>0.1800493</v>
      </c>
      <c r="Z2770">
        <v>1.976088E-3</v>
      </c>
      <c r="AA2770">
        <v>0.98365559999999996</v>
      </c>
      <c r="AB2770">
        <v>32</v>
      </c>
      <c r="AC2770">
        <v>-81.825400000000002</v>
      </c>
      <c r="AD2770">
        <v>-0.70810660000000003</v>
      </c>
      <c r="AE2770">
        <v>14.7692999999999</v>
      </c>
      <c r="AF2770">
        <v>15.0038953676071</v>
      </c>
      <c r="AG2770">
        <v>-0.70810660000000003</v>
      </c>
      <c r="AH2770">
        <v>81.776578007527604</v>
      </c>
      <c r="AI2770">
        <v>90.487969185993407</v>
      </c>
      <c r="AJ2770">
        <v>79.603331642605696</v>
      </c>
      <c r="AK2770">
        <v>83.144614989669094</v>
      </c>
      <c r="AL2770">
        <v>91.644952852386496</v>
      </c>
      <c r="AM2770">
        <v>91.696444679827906</v>
      </c>
      <c r="AN2770">
        <v>1.0000000195912599</v>
      </c>
    </row>
    <row r="2771" spans="1:40" x14ac:dyDescent="0.25">
      <c r="A2771" t="str">
        <f>"20190303153825756"</f>
        <v>20190303153825756</v>
      </c>
      <c r="B2771" t="str">
        <f>"1551598705751597"</f>
        <v>1551598705751597</v>
      </c>
      <c r="C2771" t="s">
        <v>40</v>
      </c>
      <c r="D2771">
        <v>4.0689820000000001</v>
      </c>
      <c r="E2771">
        <v>0.58047950000000004</v>
      </c>
      <c r="F2771" t="s">
        <v>58</v>
      </c>
      <c r="G2771">
        <v>-511.8202</v>
      </c>
      <c r="H2771">
        <v>4.348403E-2</v>
      </c>
      <c r="I2771">
        <v>308.64339999999999</v>
      </c>
      <c r="J2771">
        <v>-375.56099999999998</v>
      </c>
      <c r="K2771">
        <v>1.121046</v>
      </c>
      <c r="L2771">
        <v>284.13850000000002</v>
      </c>
      <c r="M2771">
        <v>-0.99990690000000004</v>
      </c>
      <c r="N2771">
        <v>-1.332534E-2</v>
      </c>
      <c r="O2771">
        <v>-2.929816E-3</v>
      </c>
      <c r="P2771">
        <v>-0.99858239999999998</v>
      </c>
      <c r="Q2771">
        <v>-4.194146E-2</v>
      </c>
      <c r="R2771">
        <v>-3.2772809999999999E-2</v>
      </c>
      <c r="S2771">
        <v>-3.020905</v>
      </c>
      <c r="T2771">
        <v>-2.3857469999999999E-2</v>
      </c>
      <c r="U2771">
        <v>0.54257200000000005</v>
      </c>
      <c r="V2771">
        <v>-2.9842219999999999E-2</v>
      </c>
      <c r="W2771">
        <v>-2.8634719999999999E-2</v>
      </c>
      <c r="X2771">
        <v>0.99914440000000004</v>
      </c>
      <c r="Y2771">
        <v>0.17964539999999901</v>
      </c>
      <c r="Z2771">
        <v>1.8944770000000001E-3</v>
      </c>
      <c r="AA2771">
        <v>0.98372959999999998</v>
      </c>
      <c r="AB2771">
        <v>32</v>
      </c>
      <c r="AC2771">
        <v>-136.25919999999999</v>
      </c>
      <c r="AD2771">
        <v>-1.0775619700000001</v>
      </c>
      <c r="AE2771">
        <v>24.5048999999999</v>
      </c>
      <c r="AF2771">
        <v>24.9025360542574</v>
      </c>
      <c r="AG2771">
        <v>-1.0775619700000001</v>
      </c>
      <c r="AH2771">
        <v>136.17856416531299</v>
      </c>
      <c r="AI2771">
        <v>90.445969007098498</v>
      </c>
      <c r="AJ2771">
        <v>79.637006388353896</v>
      </c>
      <c r="AK2771">
        <v>138.44095773960501</v>
      </c>
      <c r="AL2771">
        <v>91.640872863202006</v>
      </c>
      <c r="AM2771">
        <v>91.710788841919197</v>
      </c>
      <c r="AN2771">
        <v>1.0000000186676801</v>
      </c>
    </row>
    <row r="2772" spans="1:40" x14ac:dyDescent="0.25">
      <c r="A2772" t="str">
        <f>"20190303153825768"</f>
        <v>20190303153825768</v>
      </c>
      <c r="B2772" t="str">
        <f>"1551598705761357"</f>
        <v>1551598705761357</v>
      </c>
      <c r="C2772" t="s">
        <v>40</v>
      </c>
      <c r="D2772">
        <v>4.0758080000000003</v>
      </c>
      <c r="E2772">
        <v>0.58047530000000003</v>
      </c>
      <c r="F2772" t="s">
        <v>58</v>
      </c>
      <c r="G2772">
        <v>-511.8202</v>
      </c>
      <c r="H2772">
        <v>0.1511381</v>
      </c>
      <c r="I2772">
        <v>308.56569999999999</v>
      </c>
      <c r="J2772">
        <v>-375.745</v>
      </c>
      <c r="K2772">
        <v>1.1210329999999999</v>
      </c>
      <c r="L2772">
        <v>284.1379</v>
      </c>
      <c r="M2772">
        <v>-0.99990829999999997</v>
      </c>
      <c r="N2772">
        <v>-1.321523E-2</v>
      </c>
      <c r="O2772">
        <v>-2.981287E-3</v>
      </c>
      <c r="P2772">
        <v>-0.99858729999999996</v>
      </c>
      <c r="Q2772">
        <v>-4.1674370000000002E-2</v>
      </c>
      <c r="R2772">
        <v>-3.2965120000000001E-2</v>
      </c>
      <c r="S2772">
        <v>-3.021118</v>
      </c>
      <c r="T2772">
        <v>-2.1502609999999998E-2</v>
      </c>
      <c r="U2772">
        <v>0.54159550000000001</v>
      </c>
      <c r="V2772">
        <v>-2.9983369999999999E-2</v>
      </c>
      <c r="W2772">
        <v>-2.8477599999999999E-2</v>
      </c>
      <c r="X2772">
        <v>0.9991447</v>
      </c>
      <c r="Y2772">
        <v>0.17937790000000001</v>
      </c>
      <c r="Z2772">
        <v>1.809993E-3</v>
      </c>
      <c r="AA2772">
        <v>0.98377859999999995</v>
      </c>
      <c r="AB2772">
        <v>32</v>
      </c>
      <c r="AC2772">
        <v>-136.0752</v>
      </c>
      <c r="AD2772">
        <v>-0.9698949</v>
      </c>
      <c r="AE2772">
        <v>24.427799999999898</v>
      </c>
      <c r="AF2772">
        <v>24.832183879116801</v>
      </c>
      <c r="AG2772">
        <v>-0.9698949</v>
      </c>
      <c r="AH2772">
        <v>135.995069242695</v>
      </c>
      <c r="AI2772">
        <v>90.401971359534699</v>
      </c>
      <c r="AJ2772">
        <v>79.652008343607307</v>
      </c>
      <c r="AK2772">
        <v>138.247014111151</v>
      </c>
      <c r="AL2772">
        <v>91.631866820308502</v>
      </c>
      <c r="AM2772">
        <v>91.718875302383395</v>
      </c>
      <c r="AN2772">
        <v>1.0000000538581999</v>
      </c>
    </row>
    <row r="2773" spans="1:40" x14ac:dyDescent="0.25">
      <c r="A2773" t="str">
        <f>"20190303153825782"</f>
        <v>20190303153825782</v>
      </c>
      <c r="B2773" t="str">
        <f>"1551598705771117"</f>
        <v>1551598705771117</v>
      </c>
      <c r="C2773" t="s">
        <v>40</v>
      </c>
      <c r="D2773">
        <v>4.0900970000000001</v>
      </c>
      <c r="E2773">
        <v>0.58047059999999995</v>
      </c>
      <c r="F2773" t="s">
        <v>58</v>
      </c>
      <c r="G2773">
        <v>-511.82029999999997</v>
      </c>
      <c r="H2773">
        <v>0.27259879999999997</v>
      </c>
      <c r="I2773">
        <v>308.49079999999998</v>
      </c>
      <c r="J2773">
        <v>-375.94400000000002</v>
      </c>
      <c r="K2773">
        <v>1.121024</v>
      </c>
      <c r="L2773">
        <v>284.13729999999998</v>
      </c>
      <c r="M2773">
        <v>-0.99990959999999995</v>
      </c>
      <c r="N2773">
        <v>-1.309163E-2</v>
      </c>
      <c r="O2773">
        <v>-3.0358970000000001E-3</v>
      </c>
      <c r="P2773">
        <v>-0.99859450000000005</v>
      </c>
      <c r="Q2773">
        <v>-4.1157850000000003E-2</v>
      </c>
      <c r="R2773">
        <v>-3.339603E-2</v>
      </c>
      <c r="S2773">
        <v>-3.0213009999999998</v>
      </c>
      <c r="T2773">
        <v>-1.8835899999999999E-2</v>
      </c>
      <c r="U2773">
        <v>0.54071040000000004</v>
      </c>
      <c r="V2773">
        <v>-3.0359609999999999E-2</v>
      </c>
      <c r="W2773">
        <v>-2.808455E-2</v>
      </c>
      <c r="X2773">
        <v>0.99914440000000004</v>
      </c>
      <c r="Y2773">
        <v>0.1791441</v>
      </c>
      <c r="Z2773">
        <v>1.715339E-3</v>
      </c>
      <c r="AA2773">
        <v>0.98382130000000001</v>
      </c>
      <c r="AB2773">
        <v>32</v>
      </c>
      <c r="AC2773">
        <v>-135.87629999999899</v>
      </c>
      <c r="AD2773">
        <v>-0.84842519999999999</v>
      </c>
      <c r="AE2773">
        <v>24.3535</v>
      </c>
      <c r="AF2773">
        <v>24.7649940909414</v>
      </c>
      <c r="AG2773">
        <v>-0.84842519999999999</v>
      </c>
      <c r="AH2773">
        <v>135.79660291239301</v>
      </c>
      <c r="AI2773">
        <v>90.352157861973097</v>
      </c>
      <c r="AJ2773">
        <v>79.664646284198099</v>
      </c>
      <c r="AK2773">
        <v>138.03891523838701</v>
      </c>
      <c r="AL2773">
        <v>91.609337806688401</v>
      </c>
      <c r="AM2773">
        <v>91.7404315856989</v>
      </c>
      <c r="AN2773">
        <v>0.99999998995970696</v>
      </c>
    </row>
    <row r="2774" spans="1:40" x14ac:dyDescent="0.25">
      <c r="A2774" t="str">
        <f>"20190303153825805"</f>
        <v>20190303153825805</v>
      </c>
      <c r="B2774" t="str">
        <f>"1551598705801374"</f>
        <v>1551598705801374</v>
      </c>
      <c r="C2774" t="s">
        <v>40</v>
      </c>
      <c r="D2774">
        <v>4.0940770000000004</v>
      </c>
      <c r="E2774">
        <v>0.58035839999999905</v>
      </c>
      <c r="F2774" t="s">
        <v>58</v>
      </c>
      <c r="G2774">
        <v>-511.82029999999997</v>
      </c>
      <c r="H2774">
        <v>0.37257299999999999</v>
      </c>
      <c r="I2774">
        <v>308.404</v>
      </c>
      <c r="J2774">
        <v>-376.26749999999998</v>
      </c>
      <c r="K2774">
        <v>1.1210020000000001</v>
      </c>
      <c r="L2774">
        <v>284.13619999999997</v>
      </c>
      <c r="M2774">
        <v>-0.99991209999999997</v>
      </c>
      <c r="N2774">
        <v>-1.28924E-2</v>
      </c>
      <c r="O2774">
        <v>-3.1247110000000001E-3</v>
      </c>
      <c r="P2774">
        <v>-0.99859759999999997</v>
      </c>
      <c r="Q2774">
        <v>-4.0642379999999999E-2</v>
      </c>
      <c r="R2774">
        <v>-3.3931070000000001E-2</v>
      </c>
      <c r="S2774">
        <v>-3.0216059999999998</v>
      </c>
      <c r="T2774">
        <v>-1.6641969999999999E-2</v>
      </c>
      <c r="U2774">
        <v>0.53964230000000002</v>
      </c>
      <c r="V2774">
        <v>-3.0805820000000001E-2</v>
      </c>
      <c r="W2774">
        <v>-2.776818E-2</v>
      </c>
      <c r="X2774">
        <v>0.99913960000000002</v>
      </c>
      <c r="Y2774">
        <v>0.17887900000000001</v>
      </c>
      <c r="Z2774">
        <v>1.628057E-3</v>
      </c>
      <c r="AA2774">
        <v>0.98386969999999996</v>
      </c>
      <c r="AB2774">
        <v>32</v>
      </c>
      <c r="AC2774">
        <v>-135.55279999999999</v>
      </c>
      <c r="AD2774">
        <v>-0.74842900000000001</v>
      </c>
      <c r="AE2774">
        <v>24.267800000000001</v>
      </c>
      <c r="AF2774">
        <v>24.690550685538401</v>
      </c>
      <c r="AG2774">
        <v>-0.74842900000000001</v>
      </c>
      <c r="AH2774">
        <v>135.472300376216</v>
      </c>
      <c r="AI2774">
        <v>90.311402922514006</v>
      </c>
      <c r="AJ2774">
        <v>79.670909380599795</v>
      </c>
      <c r="AK2774">
        <v>137.70594616190999</v>
      </c>
      <c r="AL2774">
        <v>91.591204043740603</v>
      </c>
      <c r="AM2774">
        <v>91.766003955778302</v>
      </c>
      <c r="AN2774">
        <v>1.00000000532727</v>
      </c>
    </row>
    <row r="2775" spans="1:40" x14ac:dyDescent="0.25">
      <c r="A2775" t="str">
        <f>"20190303153825828"</f>
        <v>20190303153825828</v>
      </c>
      <c r="B2775" t="str">
        <f>"1551598705820894"</f>
        <v>1551598705820894</v>
      </c>
      <c r="C2775" t="s">
        <v>40</v>
      </c>
      <c r="D2775">
        <v>4.08134</v>
      </c>
      <c r="E2775">
        <v>0.58030719999999902</v>
      </c>
      <c r="F2775" t="s">
        <v>58</v>
      </c>
      <c r="G2775">
        <v>-511.82029999999997</v>
      </c>
      <c r="H2775">
        <v>0.50894150000000005</v>
      </c>
      <c r="I2775">
        <v>308.21269999999998</v>
      </c>
      <c r="J2775">
        <v>-376.59910000000002</v>
      </c>
      <c r="K2775">
        <v>1.120981</v>
      </c>
      <c r="L2775">
        <v>284.13510000000002</v>
      </c>
      <c r="M2775">
        <v>-0.99991430000000003</v>
      </c>
      <c r="N2775">
        <v>-1.269955E-2</v>
      </c>
      <c r="O2775">
        <v>-3.2158500000000001E-3</v>
      </c>
      <c r="P2775">
        <v>-0.99860380000000004</v>
      </c>
      <c r="Q2775">
        <v>-4.0369620000000002E-2</v>
      </c>
      <c r="R2775">
        <v>-3.407495E-2</v>
      </c>
      <c r="S2775">
        <v>-3.0219119999999999</v>
      </c>
      <c r="T2775">
        <v>-1.364279E-2</v>
      </c>
      <c r="U2775">
        <v>0.53674319999999998</v>
      </c>
      <c r="V2775">
        <v>-3.0858770000000001E-2</v>
      </c>
      <c r="W2775">
        <v>-2.7688029999999999E-2</v>
      </c>
      <c r="X2775">
        <v>0.99914020000000003</v>
      </c>
      <c r="Y2775">
        <v>0.17803859999999999</v>
      </c>
      <c r="Z2775">
        <v>1.5120019999999999E-3</v>
      </c>
      <c r="AA2775">
        <v>0.98402230000000002</v>
      </c>
      <c r="AB2775">
        <v>32</v>
      </c>
      <c r="AC2775">
        <v>-135.22119999999899</v>
      </c>
      <c r="AD2775">
        <v>-0.61203949999999996</v>
      </c>
      <c r="AE2775">
        <v>24.077599999999901</v>
      </c>
      <c r="AF2775">
        <v>24.5118748627483</v>
      </c>
      <c r="AG2775">
        <v>-0.61203949999999996</v>
      </c>
      <c r="AH2775">
        <v>135.14038101</v>
      </c>
      <c r="AI2775">
        <v>90.255320179174703</v>
      </c>
      <c r="AJ2775">
        <v>79.719411781642904</v>
      </c>
      <c r="AK2775">
        <v>137.346747981758</v>
      </c>
      <c r="AL2775">
        <v>91.586610005335103</v>
      </c>
      <c r="AM2775">
        <v>91.769036429441499</v>
      </c>
      <c r="AN2775">
        <v>1.0000000149736099</v>
      </c>
    </row>
    <row r="2776" spans="1:40" x14ac:dyDescent="0.25">
      <c r="A2776" t="str">
        <f>"20190303153825840"</f>
        <v>20190303153825840</v>
      </c>
      <c r="B2776" t="str">
        <f>"1551598705831629"</f>
        <v>1551598705831629</v>
      </c>
      <c r="C2776" t="s">
        <v>40</v>
      </c>
      <c r="D2776">
        <v>4.0800150000000004</v>
      </c>
      <c r="E2776">
        <v>0.58035630000000005</v>
      </c>
      <c r="F2776" t="s">
        <v>58</v>
      </c>
      <c r="G2776">
        <v>-511.82029999999997</v>
      </c>
      <c r="H2776">
        <v>0.60429999999999995</v>
      </c>
      <c r="I2776">
        <v>308.12990000000002</v>
      </c>
      <c r="J2776">
        <v>-376.77440000000001</v>
      </c>
      <c r="K2776">
        <v>1.120976</v>
      </c>
      <c r="L2776">
        <v>284.1345</v>
      </c>
      <c r="M2776">
        <v>-0.9999152</v>
      </c>
      <c r="N2776">
        <v>-1.2606310000000001E-2</v>
      </c>
      <c r="O2776">
        <v>-3.2640099999999999E-3</v>
      </c>
      <c r="P2776">
        <v>-0.99861350000000004</v>
      </c>
      <c r="Q2776">
        <v>-4.0261680000000001E-2</v>
      </c>
      <c r="R2776">
        <v>-3.3909420000000003E-2</v>
      </c>
      <c r="S2776">
        <v>-3.0220340000000001</v>
      </c>
      <c r="T2776">
        <v>-1.154518E-2</v>
      </c>
      <c r="U2776">
        <v>0.53625489999999998</v>
      </c>
      <c r="V2776">
        <v>-3.064534E-2</v>
      </c>
      <c r="W2776">
        <v>-2.7673110000000001E-2</v>
      </c>
      <c r="X2776">
        <v>0.99914720000000001</v>
      </c>
      <c r="Y2776">
        <v>0.17792629999999901</v>
      </c>
      <c r="Z2776">
        <v>1.439032E-3</v>
      </c>
      <c r="AA2776">
        <v>0.9840428</v>
      </c>
      <c r="AB2776">
        <v>32</v>
      </c>
      <c r="AC2776">
        <v>-135.04589999999899</v>
      </c>
      <c r="AD2776">
        <v>-0.51667600000000002</v>
      </c>
      <c r="AE2776">
        <v>23.9954</v>
      </c>
      <c r="AF2776">
        <v>24.435751623398399</v>
      </c>
      <c r="AG2776">
        <v>-0.51667600000000002</v>
      </c>
      <c r="AH2776">
        <v>134.96493794225</v>
      </c>
      <c r="AI2776">
        <v>90.215831082763003</v>
      </c>
      <c r="AJ2776">
        <v>79.7376207194621</v>
      </c>
      <c r="AK2776">
        <v>137.16015232291301</v>
      </c>
      <c r="AL2776">
        <v>91.585754796711598</v>
      </c>
      <c r="AM2776">
        <v>91.756796550984703</v>
      </c>
      <c r="AN2776">
        <v>1.0000000325743099</v>
      </c>
    </row>
    <row r="2777" spans="1:40" x14ac:dyDescent="0.25">
      <c r="A2777" t="str">
        <f>"20190303153825853"</f>
        <v>20190303153825853</v>
      </c>
      <c r="B2777" t="str">
        <f>"1551598705841390"</f>
        <v>1551598705841390</v>
      </c>
      <c r="C2777" t="s">
        <v>40</v>
      </c>
      <c r="D2777">
        <v>4.0849399999999996</v>
      </c>
      <c r="E2777">
        <v>0.58039830000000003</v>
      </c>
      <c r="F2777" t="s">
        <v>58</v>
      </c>
      <c r="G2777">
        <v>-511.82040000000001</v>
      </c>
      <c r="H2777">
        <v>0.65090109999999901</v>
      </c>
      <c r="I2777">
        <v>308.13389999999998</v>
      </c>
      <c r="J2777">
        <v>-376.95839999999998</v>
      </c>
      <c r="K2777">
        <v>1.120968</v>
      </c>
      <c r="L2777">
        <v>284.13380000000001</v>
      </c>
      <c r="M2777">
        <v>-0.99991629999999998</v>
      </c>
      <c r="N2777">
        <v>-1.2512580000000001E-2</v>
      </c>
      <c r="O2777">
        <v>-3.3149149999999999E-3</v>
      </c>
      <c r="P2777">
        <v>-0.99861120000000003</v>
      </c>
      <c r="Q2777">
        <v>-4.0512810000000003E-2</v>
      </c>
      <c r="R2777">
        <v>-3.3686599999999997E-2</v>
      </c>
      <c r="S2777">
        <v>-3.0220030000000002</v>
      </c>
      <c r="T2777">
        <v>-1.051712E-2</v>
      </c>
      <c r="U2777">
        <v>0.53704830000000003</v>
      </c>
      <c r="V2777">
        <v>-3.0371100000000002E-2</v>
      </c>
      <c r="W2777">
        <v>-2.8017859999999999E-2</v>
      </c>
      <c r="X2777">
        <v>0.99914590000000003</v>
      </c>
      <c r="Y2777">
        <v>0.1782292</v>
      </c>
      <c r="Z2777">
        <v>1.401797E-3</v>
      </c>
      <c r="AA2777">
        <v>0.98398799999999997</v>
      </c>
      <c r="AB2777">
        <v>32</v>
      </c>
      <c r="AC2777">
        <v>-134.86199999999999</v>
      </c>
      <c r="AD2777">
        <v>-0.47006690000000001</v>
      </c>
      <c r="AE2777">
        <v>24.0000999999999</v>
      </c>
      <c r="AF2777">
        <v>24.446771259877401</v>
      </c>
      <c r="AG2777">
        <v>-0.47006690000000001</v>
      </c>
      <c r="AH2777">
        <v>134.78010721542799</v>
      </c>
      <c r="AI2777">
        <v>90.196619113592902</v>
      </c>
      <c r="AJ2777">
        <v>79.719311706206497</v>
      </c>
      <c r="AK2777">
        <v>136.980082088329</v>
      </c>
      <c r="AL2777">
        <v>91.605515284016505</v>
      </c>
      <c r="AM2777">
        <v>91.741087257681102</v>
      </c>
      <c r="AN2777">
        <v>0.99999996684049897</v>
      </c>
    </row>
    <row r="2778" spans="1:40" x14ac:dyDescent="0.25">
      <c r="A2778" t="str">
        <f>"20190303153825865"</f>
        <v>20190303153825865</v>
      </c>
      <c r="B2778" t="str">
        <f>"1551598705860910"</f>
        <v>1551598705860910</v>
      </c>
      <c r="C2778" t="s">
        <v>40</v>
      </c>
      <c r="D2778">
        <v>4.0454179999999997</v>
      </c>
      <c r="E2778">
        <v>0.58050610000000002</v>
      </c>
      <c r="F2778" t="s">
        <v>58</v>
      </c>
      <c r="G2778">
        <v>-511.82040000000001</v>
      </c>
      <c r="H2778">
        <v>0.64154519999999904</v>
      </c>
      <c r="I2778">
        <v>308.14260000000002</v>
      </c>
      <c r="J2778">
        <v>-377.15019999999998</v>
      </c>
      <c r="K2778">
        <v>1.120959</v>
      </c>
      <c r="L2778">
        <v>284.13310000000001</v>
      </c>
      <c r="M2778">
        <v>-0.99991730000000001</v>
      </c>
      <c r="N2778">
        <v>-1.2423389999999999E-2</v>
      </c>
      <c r="O2778">
        <v>-3.3677630000000002E-3</v>
      </c>
      <c r="P2778">
        <v>-0.99860839999999995</v>
      </c>
      <c r="Q2778">
        <v>-4.051424E-2</v>
      </c>
      <c r="R2778">
        <v>-3.3770309999999998E-2</v>
      </c>
      <c r="S2778">
        <v>-3.0218509999999998</v>
      </c>
      <c r="T2778">
        <v>-1.0740400000000001E-2</v>
      </c>
      <c r="U2778">
        <v>0.53796390000000005</v>
      </c>
      <c r="V2778">
        <v>-3.0402470000000001E-2</v>
      </c>
      <c r="W2778">
        <v>-2.8108459999999998E-2</v>
      </c>
      <c r="X2778">
        <v>0.99914239999999999</v>
      </c>
      <c r="Y2778">
        <v>0.1785786</v>
      </c>
      <c r="Z2778">
        <v>1.4032329999999901E-3</v>
      </c>
      <c r="AA2778">
        <v>0.98392460000000004</v>
      </c>
      <c r="AB2778">
        <v>32</v>
      </c>
      <c r="AC2778">
        <v>-134.67019999999999</v>
      </c>
      <c r="AD2778">
        <v>-0.4794138</v>
      </c>
      <c r="AE2778">
        <v>24.009499999999999</v>
      </c>
      <c r="AF2778">
        <v>24.462635613911701</v>
      </c>
      <c r="AG2778">
        <v>-0.4794138</v>
      </c>
      <c r="AH2778">
        <v>134.58691857084901</v>
      </c>
      <c r="AI2778">
        <v>90.200803183659005</v>
      </c>
      <c r="AJ2778">
        <v>79.698332125373298</v>
      </c>
      <c r="AK2778">
        <v>136.79286907279601</v>
      </c>
      <c r="AL2778">
        <v>91.610708329096298</v>
      </c>
      <c r="AM2778">
        <v>91.742890601960696</v>
      </c>
      <c r="AN2778">
        <v>0.999999965591715</v>
      </c>
    </row>
    <row r="2779" spans="1:40" x14ac:dyDescent="0.25">
      <c r="A2779" t="str">
        <f>"20190303153825879"</f>
        <v>20190303153825879</v>
      </c>
      <c r="B2779" t="str">
        <f>"1551598705871646"</f>
        <v>1551598705871646</v>
      </c>
      <c r="C2779" t="s">
        <v>40</v>
      </c>
      <c r="D2779">
        <v>4.059272</v>
      </c>
      <c r="E2779">
        <v>0.58055869999999998</v>
      </c>
      <c r="F2779" t="s">
        <v>58</v>
      </c>
      <c r="G2779">
        <v>-511.82040000000001</v>
      </c>
      <c r="H2779">
        <v>0.70082199999999994</v>
      </c>
      <c r="I2779">
        <v>308.13670000000002</v>
      </c>
      <c r="J2779">
        <v>-377.3374</v>
      </c>
      <c r="K2779">
        <v>1.1209519999999999</v>
      </c>
      <c r="L2779">
        <v>284.13240000000002</v>
      </c>
      <c r="M2779">
        <v>-0.99991799999999997</v>
      </c>
      <c r="N2779">
        <v>-1.234651E-2</v>
      </c>
      <c r="O2779">
        <v>-3.4192609999999998E-3</v>
      </c>
      <c r="P2779">
        <v>-0.99860550000000003</v>
      </c>
      <c r="Q2779">
        <v>-4.057376E-2</v>
      </c>
      <c r="R2779">
        <v>-3.377438E-2</v>
      </c>
      <c r="S2779">
        <v>-3.021973</v>
      </c>
      <c r="T2779">
        <v>-9.4257590000000006E-3</v>
      </c>
      <c r="U2779">
        <v>0.53863530000000004</v>
      </c>
      <c r="V2779">
        <v>-3.0355190000000001E-2</v>
      </c>
      <c r="W2779">
        <v>-2.824482E-2</v>
      </c>
      <c r="X2779">
        <v>0.99914000000000003</v>
      </c>
      <c r="Y2779">
        <v>0.17883499999999999</v>
      </c>
      <c r="Z2779">
        <v>1.3580980000000001E-3</v>
      </c>
      <c r="AA2779">
        <v>0.98387809999999998</v>
      </c>
      <c r="AB2779">
        <v>32</v>
      </c>
      <c r="AC2779">
        <v>-134.483</v>
      </c>
      <c r="AD2779">
        <v>-0.420129999999999</v>
      </c>
      <c r="AE2779">
        <v>24.004300000000001</v>
      </c>
      <c r="AF2779">
        <v>24.463795769386401</v>
      </c>
      <c r="AG2779">
        <v>-0.420129999999999</v>
      </c>
      <c r="AH2779">
        <v>134.39885933525699</v>
      </c>
      <c r="AI2779">
        <v>90.176210314173701</v>
      </c>
      <c r="AJ2779">
        <v>79.683747953658596</v>
      </c>
      <c r="AK2779">
        <v>136.60785922955299</v>
      </c>
      <c r="AL2779">
        <v>91.618524272298899</v>
      </c>
      <c r="AM2779">
        <v>91.740186013922795</v>
      </c>
      <c r="AN2779">
        <v>0.99999997350838299</v>
      </c>
    </row>
    <row r="2780" spans="1:40" x14ac:dyDescent="0.25">
      <c r="A2780" t="str">
        <f>"20190303153825891"</f>
        <v>20190303153825891</v>
      </c>
      <c r="B2780" t="str">
        <f>"1551598705881406"</f>
        <v>1551598705881406</v>
      </c>
      <c r="C2780" t="s">
        <v>40</v>
      </c>
      <c r="D2780">
        <v>4.0456269999999996</v>
      </c>
      <c r="E2780">
        <v>0.58057499999999995</v>
      </c>
      <c r="F2780" t="s">
        <v>58</v>
      </c>
      <c r="G2780">
        <v>-511.82040000000001</v>
      </c>
      <c r="H2780">
        <v>0.73098609999999997</v>
      </c>
      <c r="I2780">
        <v>308.11410000000001</v>
      </c>
      <c r="J2780">
        <v>-377.51740000000001</v>
      </c>
      <c r="K2780">
        <v>1.1209480000000001</v>
      </c>
      <c r="L2780">
        <v>284.1318</v>
      </c>
      <c r="M2780">
        <v>-0.9999188</v>
      </c>
      <c r="N2780">
        <v>-1.2279E-2</v>
      </c>
      <c r="O2780">
        <v>-3.4691499999999998E-3</v>
      </c>
      <c r="P2780">
        <v>-0.99862569999999995</v>
      </c>
      <c r="Q2780">
        <v>-4.046922E-2</v>
      </c>
      <c r="R2780">
        <v>-3.3308419999999998E-2</v>
      </c>
      <c r="S2780">
        <v>-3.0220639999999999</v>
      </c>
      <c r="T2780">
        <v>-8.7611679999999997E-3</v>
      </c>
      <c r="U2780">
        <v>0.53890990000000005</v>
      </c>
      <c r="V2780">
        <v>-2.9838770000000001E-2</v>
      </c>
      <c r="W2780">
        <v>-2.8207429999999999E-2</v>
      </c>
      <c r="X2780">
        <v>0.99915670000000001</v>
      </c>
      <c r="Y2780">
        <v>0.17896599999999999</v>
      </c>
      <c r="Z2780">
        <v>1.332518E-3</v>
      </c>
      <c r="AA2780">
        <v>0.98385440000000002</v>
      </c>
      <c r="AB2780">
        <v>32</v>
      </c>
      <c r="AC2780">
        <v>-134.303</v>
      </c>
      <c r="AD2780">
        <v>-0.38996189999999997</v>
      </c>
      <c r="AE2780">
        <v>23.982299999999999</v>
      </c>
      <c r="AF2780">
        <v>24.4479081999675</v>
      </c>
      <c r="AG2780">
        <v>-0.38996189999999997</v>
      </c>
      <c r="AH2780">
        <v>134.217890648364</v>
      </c>
      <c r="AI2780">
        <v>90.1637741839791</v>
      </c>
      <c r="AJ2780">
        <v>79.676701861191404</v>
      </c>
      <c r="AK2780">
        <v>136.426883185587</v>
      </c>
      <c r="AL2780">
        <v>91.616380987312695</v>
      </c>
      <c r="AM2780">
        <v>91.710570133001397</v>
      </c>
      <c r="AN2780">
        <v>1.0000000612286</v>
      </c>
    </row>
    <row r="2781" spans="1:40" x14ac:dyDescent="0.25">
      <c r="A2781" t="str">
        <f>"20190303153825904"</f>
        <v>20190303153825904</v>
      </c>
      <c r="B2781" t="str">
        <f>"1551598705900925"</f>
        <v>1551598705900925</v>
      </c>
      <c r="C2781" t="s">
        <v>40</v>
      </c>
      <c r="D2781">
        <v>4.0541150000000004</v>
      </c>
      <c r="E2781">
        <v>0.58067409999999997</v>
      </c>
      <c r="F2781" t="s">
        <v>58</v>
      </c>
      <c r="G2781">
        <v>-511.82040000000001</v>
      </c>
      <c r="H2781">
        <v>0.75805199999999995</v>
      </c>
      <c r="I2781">
        <v>308.14890000000003</v>
      </c>
      <c r="J2781">
        <v>-377.71629999999999</v>
      </c>
      <c r="K2781">
        <v>1.120943</v>
      </c>
      <c r="L2781">
        <v>284.13099999999997</v>
      </c>
      <c r="M2781">
        <v>-0.99991920000000001</v>
      </c>
      <c r="N2781">
        <v>-1.222144E-2</v>
      </c>
      <c r="O2781">
        <v>-3.5245860000000001E-3</v>
      </c>
      <c r="P2781">
        <v>-0.99860070000000001</v>
      </c>
      <c r="Q2781">
        <v>-4.097522E-2</v>
      </c>
      <c r="R2781">
        <v>-3.3438009999999997E-2</v>
      </c>
      <c r="S2781">
        <v>-3.0217589999999999</v>
      </c>
      <c r="T2781">
        <v>-8.1629749999999994E-3</v>
      </c>
      <c r="U2781">
        <v>0.54037480000000004</v>
      </c>
      <c r="V2781">
        <v>-2.9913559999999999E-2</v>
      </c>
      <c r="W2781">
        <v>-2.877122E-2</v>
      </c>
      <c r="X2781">
        <v>0.99913839999999998</v>
      </c>
      <c r="Y2781">
        <v>0.1795001</v>
      </c>
      <c r="Z2781">
        <v>1.3128149999999999E-3</v>
      </c>
      <c r="AA2781">
        <v>0.98375710000000005</v>
      </c>
      <c r="AB2781">
        <v>32</v>
      </c>
      <c r="AC2781">
        <v>-134.10409999999999</v>
      </c>
      <c r="AD2781">
        <v>-0.36289100000000002</v>
      </c>
      <c r="AE2781">
        <v>24.017900000000001</v>
      </c>
      <c r="AF2781">
        <v>24.490273724496699</v>
      </c>
      <c r="AG2781">
        <v>-0.36289100000000002</v>
      </c>
      <c r="AH2781">
        <v>134.017656572432</v>
      </c>
      <c r="AI2781">
        <v>90.152616995444106</v>
      </c>
      <c r="AJ2781">
        <v>79.644082350075493</v>
      </c>
      <c r="AK2781">
        <v>136.23743050331299</v>
      </c>
      <c r="AL2781">
        <v>91.648696870575407</v>
      </c>
      <c r="AM2781">
        <v>91.714886460092202</v>
      </c>
      <c r="AN2781">
        <v>1.0000000732633501</v>
      </c>
    </row>
    <row r="2782" spans="1:40" x14ac:dyDescent="0.25">
      <c r="A2782" t="str">
        <f>"20190303153825918"</f>
        <v>20190303153825918</v>
      </c>
      <c r="B2782" t="str">
        <f>"1551598705911662"</f>
        <v>1551598705911662</v>
      </c>
      <c r="C2782" t="s">
        <v>40</v>
      </c>
      <c r="D2782">
        <v>4.0825769999999997</v>
      </c>
      <c r="E2782">
        <v>0.58070959999999905</v>
      </c>
      <c r="F2782" t="s">
        <v>58</v>
      </c>
      <c r="G2782">
        <v>-511.82040000000001</v>
      </c>
      <c r="H2782">
        <v>0.74168319999999999</v>
      </c>
      <c r="I2782">
        <v>308.13409999999999</v>
      </c>
      <c r="J2782">
        <v>-377.90190000000001</v>
      </c>
      <c r="K2782">
        <v>1.120946</v>
      </c>
      <c r="L2782">
        <v>284.13029999999998</v>
      </c>
      <c r="M2782">
        <v>-0.99991940000000001</v>
      </c>
      <c r="N2782">
        <v>-1.218137E-2</v>
      </c>
      <c r="O2782">
        <v>-3.5762020000000001E-3</v>
      </c>
      <c r="P2782">
        <v>-0.9985868</v>
      </c>
      <c r="Q2782">
        <v>-4.1189749999999997E-2</v>
      </c>
      <c r="R2782">
        <v>-3.3583000000000002E-2</v>
      </c>
      <c r="S2782">
        <v>-3.0219420000000001</v>
      </c>
      <c r="T2782">
        <v>-8.5443259999999997E-3</v>
      </c>
      <c r="U2782">
        <v>0.54089359999999997</v>
      </c>
      <c r="V2782">
        <v>-3.0006720000000001E-2</v>
      </c>
      <c r="W2782">
        <v>-2.902598E-2</v>
      </c>
      <c r="X2782">
        <v>0.99912820000000002</v>
      </c>
      <c r="Y2782">
        <v>0.17970410000000001</v>
      </c>
      <c r="Z2782">
        <v>1.322064E-3</v>
      </c>
      <c r="AA2782">
        <v>0.98371980000000003</v>
      </c>
      <c r="AB2782">
        <v>32</v>
      </c>
      <c r="AC2782">
        <v>-133.91849999999999</v>
      </c>
      <c r="AD2782">
        <v>-0.37926279999999901</v>
      </c>
      <c r="AE2782">
        <v>24.003799999999998</v>
      </c>
      <c r="AF2782">
        <v>24.482411382120802</v>
      </c>
      <c r="AG2782">
        <v>-0.37926279999999901</v>
      </c>
      <c r="AH2782">
        <v>133.83075473304601</v>
      </c>
      <c r="AI2782">
        <v>90.159719465619901</v>
      </c>
      <c r="AJ2782">
        <v>79.633190327889494</v>
      </c>
      <c r="AK2782">
        <v>136.05220769899901</v>
      </c>
      <c r="AL2782">
        <v>91.663299704205997</v>
      </c>
      <c r="AM2782">
        <v>91.720241489616399</v>
      </c>
      <c r="AN2782">
        <v>1.0000000353976699</v>
      </c>
    </row>
    <row r="2783" spans="1:40" x14ac:dyDescent="0.25">
      <c r="A2783" t="str">
        <f>"20190303153825930"</f>
        <v>20190303153825930</v>
      </c>
      <c r="B2783" t="str">
        <f>"1551598705921422"</f>
        <v>1551598705921422</v>
      </c>
      <c r="C2783" t="s">
        <v>40</v>
      </c>
      <c r="D2783">
        <v>4.0836209999999999</v>
      </c>
      <c r="E2783">
        <v>0.58074680000000001</v>
      </c>
      <c r="F2783" t="s">
        <v>58</v>
      </c>
      <c r="G2783">
        <v>-511.82040000000001</v>
      </c>
      <c r="H2783">
        <v>0.70514359999999998</v>
      </c>
      <c r="I2783">
        <v>308.09269999999998</v>
      </c>
      <c r="J2783">
        <v>-378.07690000000002</v>
      </c>
      <c r="K2783">
        <v>1.120951</v>
      </c>
      <c r="L2783">
        <v>284.12959999999998</v>
      </c>
      <c r="M2783">
        <v>-0.99991980000000003</v>
      </c>
      <c r="N2783">
        <v>-1.2152359999999999E-2</v>
      </c>
      <c r="O2783">
        <v>-3.6249070000000001E-3</v>
      </c>
      <c r="P2783">
        <v>-0.99858840000000004</v>
      </c>
      <c r="Q2783">
        <v>-4.113112E-2</v>
      </c>
      <c r="R2783">
        <v>-3.3613659999999997E-2</v>
      </c>
      <c r="S2783">
        <v>-3.0220340000000001</v>
      </c>
      <c r="T2783">
        <v>-9.3810560000000005E-3</v>
      </c>
      <c r="U2783">
        <v>0.54074100000000003</v>
      </c>
      <c r="V2783">
        <v>-2.998816E-2</v>
      </c>
      <c r="W2783">
        <v>-2.8996339999999999E-2</v>
      </c>
      <c r="X2783">
        <v>0.99912959999999995</v>
      </c>
      <c r="Y2783">
        <v>0.1796982</v>
      </c>
      <c r="Z2783">
        <v>1.34471E-3</v>
      </c>
      <c r="AA2783">
        <v>0.98372079999999995</v>
      </c>
      <c r="AB2783">
        <v>32</v>
      </c>
      <c r="AC2783">
        <v>-133.74349999999899</v>
      </c>
      <c r="AD2783">
        <v>-0.41580739999999999</v>
      </c>
      <c r="AE2783">
        <v>23.963100000000001</v>
      </c>
      <c r="AF2783">
        <v>24.4475570316675</v>
      </c>
      <c r="AG2783">
        <v>-0.41580739999999999</v>
      </c>
      <c r="AH2783">
        <v>133.65449907247</v>
      </c>
      <c r="AI2783">
        <v>90.175340980594001</v>
      </c>
      <c r="AJ2783">
        <v>79.634273349115404</v>
      </c>
      <c r="AK2783">
        <v>135.87266488489701</v>
      </c>
      <c r="AL2783">
        <v>91.661600771936506</v>
      </c>
      <c r="AM2783">
        <v>91.719175703107098</v>
      </c>
      <c r="AN2783">
        <v>1.00000001753487</v>
      </c>
    </row>
    <row r="2784" spans="1:40" x14ac:dyDescent="0.25">
      <c r="A2784" t="str">
        <f>"20190303153825942"</f>
        <v>20190303153825942</v>
      </c>
      <c r="B2784" t="str">
        <f>"1551598705931182"</f>
        <v>1551598705931182</v>
      </c>
      <c r="C2784" t="s">
        <v>40</v>
      </c>
      <c r="D2784">
        <v>4.0511910000000002</v>
      </c>
      <c r="E2784">
        <v>0.58080639999999994</v>
      </c>
      <c r="F2784" t="s">
        <v>58</v>
      </c>
      <c r="G2784">
        <v>-511.82040000000001</v>
      </c>
      <c r="H2784">
        <v>0.69058189999999997</v>
      </c>
      <c r="I2784">
        <v>308.06610000000001</v>
      </c>
      <c r="J2784">
        <v>-378.25839999999999</v>
      </c>
      <c r="K2784">
        <v>1.1209659999999999</v>
      </c>
      <c r="L2784">
        <v>284.12889999999999</v>
      </c>
      <c r="M2784">
        <v>-0.99991940000000001</v>
      </c>
      <c r="N2784">
        <v>-1.2162299999999999E-2</v>
      </c>
      <c r="O2784">
        <v>-3.67433E-3</v>
      </c>
      <c r="P2784">
        <v>-0.99857879999999999</v>
      </c>
      <c r="Q2784">
        <v>-4.1233310000000002E-2</v>
      </c>
      <c r="R2784">
        <v>-3.3771700000000002E-2</v>
      </c>
      <c r="S2784">
        <v>-3.0220340000000001</v>
      </c>
      <c r="T2784">
        <v>-9.7224709999999999E-3</v>
      </c>
      <c r="U2784">
        <v>0.54086299999999998</v>
      </c>
      <c r="V2784">
        <v>-3.0097180000000001E-2</v>
      </c>
      <c r="W2784">
        <v>-2.908875E-2</v>
      </c>
      <c r="X2784">
        <v>0.9991236</v>
      </c>
      <c r="Y2784">
        <v>0.17978520000000001</v>
      </c>
      <c r="Z2784">
        <v>1.3562890000000001E-3</v>
      </c>
      <c r="AA2784">
        <v>0.98370500000000005</v>
      </c>
      <c r="AB2784">
        <v>32</v>
      </c>
      <c r="AC2784">
        <v>-133.56200000000001</v>
      </c>
      <c r="AD2784">
        <v>-0.43038409999999899</v>
      </c>
      <c r="AE2784">
        <v>23.937200000000001</v>
      </c>
      <c r="AF2784">
        <v>24.427579746966799</v>
      </c>
      <c r="AG2784">
        <v>-0.43038409999999899</v>
      </c>
      <c r="AH2784">
        <v>133.47179582289601</v>
      </c>
      <c r="AI2784">
        <v>90.181732947378705</v>
      </c>
      <c r="AJ2784">
        <v>79.628689948032502</v>
      </c>
      <c r="AK2784">
        <v>135.689395911975</v>
      </c>
      <c r="AL2784">
        <v>91.666897768705795</v>
      </c>
      <c r="AM2784">
        <v>91.725432238531297</v>
      </c>
      <c r="AN2784">
        <v>0.99999998184873695</v>
      </c>
    </row>
    <row r="2785" spans="1:40" x14ac:dyDescent="0.25">
      <c r="A2785" t="str">
        <f>"20190303153825955"</f>
        <v>20190303153825955</v>
      </c>
      <c r="B2785" t="str">
        <f>"1551598705951678"</f>
        <v>1551598705951678</v>
      </c>
      <c r="C2785" t="s">
        <v>40</v>
      </c>
      <c r="D2785">
        <v>4.0758179999999999</v>
      </c>
      <c r="E2785">
        <v>0.58095629999999998</v>
      </c>
      <c r="F2785" t="s">
        <v>58</v>
      </c>
      <c r="G2785">
        <v>-511.82040000000001</v>
      </c>
      <c r="H2785">
        <v>0.67305969999999904</v>
      </c>
      <c r="I2785">
        <v>308.03629999999998</v>
      </c>
      <c r="J2785">
        <v>-378.43790000000001</v>
      </c>
      <c r="K2785">
        <v>1.120986</v>
      </c>
      <c r="L2785">
        <v>284.12819999999999</v>
      </c>
      <c r="M2785">
        <v>-0.99991870000000005</v>
      </c>
      <c r="N2785">
        <v>-1.219599E-2</v>
      </c>
      <c r="O2785">
        <v>-3.7222290000000001E-3</v>
      </c>
      <c r="P2785">
        <v>-0.99855729999999998</v>
      </c>
      <c r="Q2785">
        <v>-4.1705859999999997E-2</v>
      </c>
      <c r="R2785">
        <v>-3.3819889999999998E-2</v>
      </c>
      <c r="S2785">
        <v>-3.022125</v>
      </c>
      <c r="T2785">
        <v>-1.0132789999999999E-2</v>
      </c>
      <c r="U2785">
        <v>0.54095459999999995</v>
      </c>
      <c r="V2785">
        <v>-3.009775E-2</v>
      </c>
      <c r="W2785">
        <v>-2.9527910000000001E-2</v>
      </c>
      <c r="X2785">
        <v>0.99911070000000002</v>
      </c>
      <c r="Y2785">
        <v>0.17985580000000001</v>
      </c>
      <c r="Z2785">
        <v>1.3719470000000001E-3</v>
      </c>
      <c r="AA2785">
        <v>0.98369200000000001</v>
      </c>
      <c r="AB2785">
        <v>32</v>
      </c>
      <c r="AC2785">
        <v>-133.38249999999999</v>
      </c>
      <c r="AD2785">
        <v>-0.4479263</v>
      </c>
      <c r="AE2785">
        <v>23.908099999999902</v>
      </c>
      <c r="AF2785">
        <v>24.4041848354648</v>
      </c>
      <c r="AG2785">
        <v>-0.4479263</v>
      </c>
      <c r="AH2785">
        <v>133.291121403538</v>
      </c>
      <c r="AI2785">
        <v>90.189394162771904</v>
      </c>
      <c r="AJ2785">
        <v>79.624667383107493</v>
      </c>
      <c r="AK2785">
        <v>135.507519793059</v>
      </c>
      <c r="AL2785">
        <v>91.692070598368304</v>
      </c>
      <c r="AM2785">
        <v>91.725487160979398</v>
      </c>
      <c r="AN2785">
        <v>0.99999998143926006</v>
      </c>
    </row>
    <row r="2786" spans="1:40" x14ac:dyDescent="0.25">
      <c r="A2786" t="str">
        <f>"20190303153825969"</f>
        <v>20190303153825969</v>
      </c>
      <c r="B2786" t="str">
        <f>"1551598705961437"</f>
        <v>1551598705961437</v>
      </c>
      <c r="C2786" t="s">
        <v>40</v>
      </c>
      <c r="D2786">
        <v>4.0476669999999997</v>
      </c>
      <c r="E2786">
        <v>0.58098349999999999</v>
      </c>
      <c r="F2786" t="s">
        <v>58</v>
      </c>
      <c r="G2786">
        <v>-511.82029999999997</v>
      </c>
      <c r="H2786">
        <v>0.62366619999999995</v>
      </c>
      <c r="I2786">
        <v>308.0498</v>
      </c>
      <c r="J2786">
        <v>-378.64150000000001</v>
      </c>
      <c r="K2786">
        <v>1.1210150000000001</v>
      </c>
      <c r="L2786">
        <v>284.12740000000002</v>
      </c>
      <c r="M2786">
        <v>-0.99991770000000002</v>
      </c>
      <c r="N2786">
        <v>-1.226549E-2</v>
      </c>
      <c r="O2786">
        <v>-3.7753560000000001E-3</v>
      </c>
      <c r="P2786">
        <v>-0.99855179999999999</v>
      </c>
      <c r="Q2786">
        <v>-4.194179E-2</v>
      </c>
      <c r="R2786">
        <v>-3.3695129999999997E-2</v>
      </c>
      <c r="S2786">
        <v>-3.0222169999999999</v>
      </c>
      <c r="T2786">
        <v>-1.126635E-2</v>
      </c>
      <c r="U2786">
        <v>0.54202269999999997</v>
      </c>
      <c r="V2786">
        <v>-2.9919899999999999E-2</v>
      </c>
      <c r="W2786">
        <v>-2.9694439999999999E-2</v>
      </c>
      <c r="X2786">
        <v>0.99911110000000003</v>
      </c>
      <c r="Y2786">
        <v>0.18023900000000001</v>
      </c>
      <c r="Z2786">
        <v>1.4154839999999901E-3</v>
      </c>
      <c r="AA2786">
        <v>0.98362179999999999</v>
      </c>
      <c r="AB2786">
        <v>32</v>
      </c>
      <c r="AC2786">
        <v>-133.178799999999</v>
      </c>
      <c r="AD2786">
        <v>-0.49734879999999898</v>
      </c>
      <c r="AE2786">
        <v>23.9223999999999</v>
      </c>
      <c r="AF2786">
        <v>24.424734686114</v>
      </c>
      <c r="AG2786">
        <v>-0.49734879999999898</v>
      </c>
      <c r="AH2786">
        <v>133.08573035859399</v>
      </c>
      <c r="AI2786">
        <v>90.210599240432899</v>
      </c>
      <c r="AJ2786">
        <v>79.6004446475512</v>
      </c>
      <c r="AK2786">
        <v>135.309373826784</v>
      </c>
      <c r="AL2786">
        <v>91.701616261236893</v>
      </c>
      <c r="AM2786">
        <v>91.715296542897093</v>
      </c>
      <c r="AN2786">
        <v>0.99999997516306605</v>
      </c>
    </row>
    <row r="2787" spans="1:40" x14ac:dyDescent="0.25">
      <c r="A2787" t="str">
        <f>"20190303153825983"</f>
        <v>20190303153825983</v>
      </c>
      <c r="B2787" t="str">
        <f>"1551598705971198"</f>
        <v>1551598705971198</v>
      </c>
      <c r="C2787" t="s">
        <v>40</v>
      </c>
      <c r="D2787">
        <v>4.0733300000000003</v>
      </c>
      <c r="E2787">
        <v>0.58100750000000001</v>
      </c>
      <c r="F2787" t="s">
        <v>58</v>
      </c>
      <c r="G2787">
        <v>-511.82029999999997</v>
      </c>
      <c r="H2787">
        <v>0.5923889</v>
      </c>
      <c r="I2787">
        <v>308.04390000000001</v>
      </c>
      <c r="J2787">
        <v>-378.83760000000001</v>
      </c>
      <c r="K2787">
        <v>1.1210450000000001</v>
      </c>
      <c r="L2787">
        <v>284.1266</v>
      </c>
      <c r="M2787">
        <v>-0.99991609999999997</v>
      </c>
      <c r="N2787">
        <v>-1.236814E-2</v>
      </c>
      <c r="O2787">
        <v>-3.827951E-3</v>
      </c>
      <c r="P2787">
        <v>-0.99854529999999997</v>
      </c>
      <c r="Q2787">
        <v>-4.2199340000000002E-2</v>
      </c>
      <c r="R2787">
        <v>-3.3567100000000002E-2</v>
      </c>
      <c r="S2787">
        <v>-3.0221559999999998</v>
      </c>
      <c r="T2787">
        <v>-1.1993770000000001E-2</v>
      </c>
      <c r="U2787">
        <v>0.5427246</v>
      </c>
      <c r="V2787">
        <v>-2.97392E-2</v>
      </c>
      <c r="W2787">
        <v>-2.984937E-2</v>
      </c>
      <c r="X2787">
        <v>0.99911190000000005</v>
      </c>
      <c r="Y2787">
        <v>0.18051510000000001</v>
      </c>
      <c r="Z2787">
        <v>1.448696E-3</v>
      </c>
      <c r="AA2787">
        <v>0.98357119999999998</v>
      </c>
      <c r="AB2787">
        <v>32</v>
      </c>
      <c r="AC2787">
        <v>-132.982699999999</v>
      </c>
      <c r="AD2787">
        <v>-0.52865609999999996</v>
      </c>
      <c r="AE2787">
        <v>23.917300000000001</v>
      </c>
      <c r="AF2787">
        <v>24.425841060690399</v>
      </c>
      <c r="AG2787">
        <v>-0.52865609999999996</v>
      </c>
      <c r="AH2787">
        <v>132.88812996407299</v>
      </c>
      <c r="AI2787">
        <v>90.224177651891296</v>
      </c>
      <c r="AJ2787">
        <v>79.5848575434281</v>
      </c>
      <c r="AK2787">
        <v>135.115344332695</v>
      </c>
      <c r="AL2787">
        <v>91.710496996223</v>
      </c>
      <c r="AM2787">
        <v>91.704941848741399</v>
      </c>
      <c r="AN2787">
        <v>0.99999999681382301</v>
      </c>
    </row>
    <row r="2788" spans="1:40" x14ac:dyDescent="0.25">
      <c r="A2788" t="str">
        <f>"20190303153825999"</f>
        <v>20190303153825999</v>
      </c>
      <c r="B2788" t="str">
        <f>"1551598705991695"</f>
        <v>1551598705991695</v>
      </c>
      <c r="C2788" t="s">
        <v>40</v>
      </c>
      <c r="D2788">
        <v>4.0264680000000004</v>
      </c>
      <c r="E2788">
        <v>0.58110479999999998</v>
      </c>
      <c r="F2788" t="s">
        <v>58</v>
      </c>
      <c r="G2788">
        <v>-511.82029999999997</v>
      </c>
      <c r="H2788">
        <v>0.57192540000000003</v>
      </c>
      <c r="I2788">
        <v>308.02480000000003</v>
      </c>
      <c r="J2788">
        <v>-379.06760000000003</v>
      </c>
      <c r="K2788">
        <v>1.121076</v>
      </c>
      <c r="L2788">
        <v>284.12569999999999</v>
      </c>
      <c r="M2788">
        <v>-0.99991439999999998</v>
      </c>
      <c r="N2788">
        <v>-1.2496989999999999E-2</v>
      </c>
      <c r="O2788">
        <v>-3.8895240000000001E-3</v>
      </c>
      <c r="P2788">
        <v>-0.99855280000000002</v>
      </c>
      <c r="Q2788">
        <v>-4.2472259999999998E-2</v>
      </c>
      <c r="R2788">
        <v>-3.2997140000000001E-2</v>
      </c>
      <c r="S2788">
        <v>-3.0220639999999999</v>
      </c>
      <c r="T2788">
        <v>-1.2476799999999901E-2</v>
      </c>
      <c r="U2788">
        <v>0.54309079999999998</v>
      </c>
      <c r="V2788">
        <v>-2.910782E-2</v>
      </c>
      <c r="W2788">
        <v>-2.9993189999999999E-2</v>
      </c>
      <c r="X2788">
        <v>0.99912619999999996</v>
      </c>
      <c r="Y2788">
        <v>0.180696</v>
      </c>
      <c r="Z2788">
        <v>1.4758690000000001E-3</v>
      </c>
      <c r="AA2788">
        <v>0.98353789999999996</v>
      </c>
      <c r="AB2788">
        <v>32</v>
      </c>
      <c r="AC2788">
        <v>-132.75269999999901</v>
      </c>
      <c r="AD2788">
        <v>-0.54915059999999905</v>
      </c>
      <c r="AE2788">
        <v>23.899100000000001</v>
      </c>
      <c r="AF2788">
        <v>24.414899634334201</v>
      </c>
      <c r="AG2788">
        <v>-0.54915059999999905</v>
      </c>
      <c r="AH2788">
        <v>132.65653356008201</v>
      </c>
      <c r="AI2788">
        <v>90.233264941424693</v>
      </c>
      <c r="AJ2788">
        <v>79.571644178834902</v>
      </c>
      <c r="AK2788">
        <v>134.885673022427</v>
      </c>
      <c r="AL2788">
        <v>91.7187409436293</v>
      </c>
      <c r="AM2788">
        <v>91.668741789002894</v>
      </c>
      <c r="AN2788">
        <v>1.0000000100789801</v>
      </c>
    </row>
    <row r="2789" spans="1:40" x14ac:dyDescent="0.25">
      <c r="A2789" t="str">
        <f>"20190303153826019"</f>
        <v>20190303153826019</v>
      </c>
      <c r="B2789" t="str">
        <f>"1551598706011213"</f>
        <v>1551598706011213</v>
      </c>
      <c r="C2789" t="s">
        <v>40</v>
      </c>
      <c r="D2789">
        <v>4.0205070000000003</v>
      </c>
      <c r="E2789">
        <v>0.58122489999999905</v>
      </c>
      <c r="F2789" t="s">
        <v>58</v>
      </c>
      <c r="G2789">
        <v>-511.82029999999997</v>
      </c>
      <c r="H2789">
        <v>0.6049601</v>
      </c>
      <c r="I2789">
        <v>308.09359999999998</v>
      </c>
      <c r="J2789">
        <v>-379.3537</v>
      </c>
      <c r="K2789">
        <v>1.1211089999999999</v>
      </c>
      <c r="L2789">
        <v>284.12450000000001</v>
      </c>
      <c r="M2789">
        <v>-0.99991200000000002</v>
      </c>
      <c r="N2789">
        <v>-1.266391E-2</v>
      </c>
      <c r="O2789">
        <v>-3.9641930000000004E-3</v>
      </c>
      <c r="P2789">
        <v>-0.99857830000000003</v>
      </c>
      <c r="Q2789">
        <v>-4.2670640000000003E-2</v>
      </c>
      <c r="R2789">
        <v>-3.1953969999999998E-2</v>
      </c>
      <c r="S2789">
        <v>-3.0219119999999999</v>
      </c>
      <c r="T2789">
        <v>-1.174653E-2</v>
      </c>
      <c r="U2789">
        <v>0.54559329999999995</v>
      </c>
      <c r="V2789">
        <v>-2.79901E-2</v>
      </c>
      <c r="W2789">
        <v>-3.002403E-2</v>
      </c>
      <c r="X2789">
        <v>0.99915719999999997</v>
      </c>
      <c r="Y2789">
        <v>0.18156720000000001</v>
      </c>
      <c r="Z2789">
        <v>1.4745050000000001E-3</v>
      </c>
      <c r="AA2789">
        <v>0.98337750000000002</v>
      </c>
      <c r="AB2789">
        <v>32</v>
      </c>
      <c r="AC2789">
        <v>-132.466599999999</v>
      </c>
      <c r="AD2789">
        <v>-0.51614889999999902</v>
      </c>
      <c r="AE2789">
        <v>23.969099999999901</v>
      </c>
      <c r="AF2789">
        <v>24.493716808875998</v>
      </c>
      <c r="AG2789">
        <v>-0.51614889999999902</v>
      </c>
      <c r="AH2789">
        <v>132.36858728426401</v>
      </c>
      <c r="AI2789">
        <v>90.219684702262001</v>
      </c>
      <c r="AJ2789">
        <v>79.516468192729405</v>
      </c>
      <c r="AK2789">
        <v>134.61668348474501</v>
      </c>
      <c r="AL2789">
        <v>91.720508760330702</v>
      </c>
      <c r="AM2789">
        <v>91.604647678031</v>
      </c>
      <c r="AN2789">
        <v>0.99999999919364502</v>
      </c>
    </row>
    <row r="2790" spans="1:40" x14ac:dyDescent="0.25">
      <c r="A2790" t="str">
        <f>"20190303153826040"</f>
        <v>20190303153826040</v>
      </c>
      <c r="B2790" t="str">
        <f>"1551598706031710"</f>
        <v>1551598706031710</v>
      </c>
      <c r="C2790" t="s">
        <v>40</v>
      </c>
      <c r="D2790">
        <v>4.0161179999999996</v>
      </c>
      <c r="E2790">
        <v>0.58138500000000004</v>
      </c>
      <c r="F2790" t="s">
        <v>58</v>
      </c>
      <c r="G2790">
        <v>-511.82029999999997</v>
      </c>
      <c r="H2790">
        <v>0.60974869999999903</v>
      </c>
      <c r="I2790">
        <v>308.2405</v>
      </c>
      <c r="J2790">
        <v>-379.66469999999998</v>
      </c>
      <c r="K2790">
        <v>1.121127</v>
      </c>
      <c r="L2790">
        <v>284.1232</v>
      </c>
      <c r="M2790">
        <v>-0.99990939999999995</v>
      </c>
      <c r="N2790">
        <v>-1.284155E-2</v>
      </c>
      <c r="O2790">
        <v>-4.0389090000000002E-3</v>
      </c>
      <c r="P2790">
        <v>-0.9985984</v>
      </c>
      <c r="Q2790">
        <v>-4.3108390000000003E-2</v>
      </c>
      <c r="R2790">
        <v>-3.0707620000000001E-2</v>
      </c>
      <c r="S2790">
        <v>-3.0213619999999999</v>
      </c>
      <c r="T2790">
        <v>-1.166129E-2</v>
      </c>
      <c r="U2790">
        <v>0.5500488</v>
      </c>
      <c r="V2790">
        <v>-2.6669660000000001E-2</v>
      </c>
      <c r="W2790">
        <v>-3.0283419999999998E-2</v>
      </c>
      <c r="X2790">
        <v>0.99918549999999995</v>
      </c>
      <c r="Y2790">
        <v>0.18307570000000001</v>
      </c>
      <c r="Z2790">
        <v>1.499579E-3</v>
      </c>
      <c r="AA2790">
        <v>0.98309769999999996</v>
      </c>
      <c r="AB2790">
        <v>32</v>
      </c>
      <c r="AC2790">
        <v>-132.15559999999999</v>
      </c>
      <c r="AD2790">
        <v>-0.51137829999999995</v>
      </c>
      <c r="AE2790">
        <v>24.1173</v>
      </c>
      <c r="AF2790">
        <v>24.650554506793402</v>
      </c>
      <c r="AG2790">
        <v>-0.51137829999999995</v>
      </c>
      <c r="AH2790">
        <v>132.055192737711</v>
      </c>
      <c r="AI2790">
        <v>90.218107028346395</v>
      </c>
      <c r="AJ2790">
        <v>79.426370983534497</v>
      </c>
      <c r="AK2790">
        <v>134.33720733382901</v>
      </c>
      <c r="AL2790">
        <v>91.7353774553374</v>
      </c>
      <c r="AM2790">
        <v>91.528941558207904</v>
      </c>
      <c r="AN2790">
        <v>1.0000000098508299</v>
      </c>
    </row>
    <row r="2791" spans="1:40" x14ac:dyDescent="0.25">
      <c r="A2791" t="str">
        <f>"20190303153826055"</f>
        <v>20190303153826055</v>
      </c>
      <c r="B2791" t="str">
        <f>"1551598706051230"</f>
        <v>1551598706051230</v>
      </c>
      <c r="C2791" t="s">
        <v>40</v>
      </c>
      <c r="D2791">
        <v>4.0176420000000004</v>
      </c>
      <c r="E2791">
        <v>0.58131709999999903</v>
      </c>
      <c r="F2791" t="s">
        <v>58</v>
      </c>
      <c r="G2791">
        <v>-511.82029999999997</v>
      </c>
      <c r="H2791">
        <v>0.60108519999999999</v>
      </c>
      <c r="I2791">
        <v>308.39299999999997</v>
      </c>
      <c r="J2791">
        <v>-379.87299999999999</v>
      </c>
      <c r="K2791">
        <v>1.1211359999999999</v>
      </c>
      <c r="L2791">
        <v>284.1223</v>
      </c>
      <c r="M2791">
        <v>-0.99990769999999995</v>
      </c>
      <c r="N2791">
        <v>-1.295641E-2</v>
      </c>
      <c r="O2791">
        <v>-4.0824820000000001E-3</v>
      </c>
      <c r="P2791">
        <v>-0.99858959999999997</v>
      </c>
      <c r="Q2791">
        <v>-4.3556200000000003E-2</v>
      </c>
      <c r="R2791">
        <v>-3.035825E-2</v>
      </c>
      <c r="S2791">
        <v>-3.0207519999999999</v>
      </c>
      <c r="T2791">
        <v>-1.1884810000000001E-2</v>
      </c>
      <c r="U2791">
        <v>0.55474849999999998</v>
      </c>
      <c r="V2791">
        <v>-2.6276799999999999E-2</v>
      </c>
      <c r="W2791">
        <v>-3.0616150000000002E-2</v>
      </c>
      <c r="X2791">
        <v>0.99918569999999995</v>
      </c>
      <c r="Y2791">
        <v>0.18463309999999999</v>
      </c>
      <c r="Z2791">
        <v>1.52975299999999E-3</v>
      </c>
      <c r="AA2791">
        <v>0.98280630000000002</v>
      </c>
      <c r="AB2791">
        <v>32</v>
      </c>
      <c r="AC2791">
        <v>-131.94729999999899</v>
      </c>
      <c r="AD2791">
        <v>-0.52005080000000004</v>
      </c>
      <c r="AE2791">
        <v>24.270699999999898</v>
      </c>
      <c r="AF2791">
        <v>24.8088426463503</v>
      </c>
      <c r="AG2791">
        <v>-0.52005080000000004</v>
      </c>
      <c r="AH2791">
        <v>131.84512614750099</v>
      </c>
      <c r="AI2791">
        <v>90.222099034543206</v>
      </c>
      <c r="AJ2791">
        <v>79.343455664356696</v>
      </c>
      <c r="AK2791">
        <v>134.15992850004201</v>
      </c>
      <c r="AL2791">
        <v>91.754450444969194</v>
      </c>
      <c r="AM2791">
        <v>91.506429491156098</v>
      </c>
      <c r="AN2791">
        <v>0.99999994097177403</v>
      </c>
    </row>
    <row r="2792" spans="1:40" x14ac:dyDescent="0.25">
      <c r="A2792" t="str">
        <f>"20190303153826069"</f>
        <v>20190303153826069</v>
      </c>
      <c r="B2792" t="str">
        <f>"1551598706060990"</f>
        <v>1551598706060990</v>
      </c>
      <c r="C2792" t="s">
        <v>40</v>
      </c>
      <c r="D2792">
        <v>3.9080089999999998</v>
      </c>
      <c r="E2792">
        <v>0.58119549999999998</v>
      </c>
      <c r="F2792" t="s">
        <v>58</v>
      </c>
      <c r="G2792">
        <v>-511.82029999999997</v>
      </c>
      <c r="H2792">
        <v>0.44553730000000002</v>
      </c>
      <c r="I2792">
        <v>308.37520000000001</v>
      </c>
      <c r="J2792">
        <v>-380.09050000000002</v>
      </c>
      <c r="K2792">
        <v>1.1211420000000001</v>
      </c>
      <c r="L2792">
        <v>284.12139999999999</v>
      </c>
      <c r="M2792">
        <v>-0.99990610000000002</v>
      </c>
      <c r="N2792">
        <v>-1.30726E-2</v>
      </c>
      <c r="O2792">
        <v>-4.1209139999999998E-3</v>
      </c>
      <c r="P2792">
        <v>-0.99858119999999995</v>
      </c>
      <c r="Q2792">
        <v>-4.4065590000000002E-2</v>
      </c>
      <c r="R2792">
        <v>-2.9895939999999999E-2</v>
      </c>
      <c r="S2792">
        <v>-3.020416</v>
      </c>
      <c r="T2792">
        <v>-1.546311E-2</v>
      </c>
      <c r="U2792">
        <v>0.5551758</v>
      </c>
      <c r="V2792">
        <v>-2.577716E-2</v>
      </c>
      <c r="W2792">
        <v>-3.100899E-2</v>
      </c>
      <c r="X2792">
        <v>0.99918660000000004</v>
      </c>
      <c r="Y2792">
        <v>0.18482229999999999</v>
      </c>
      <c r="Z2792">
        <v>1.6548400000000001E-3</v>
      </c>
      <c r="AA2792">
        <v>0.98277060000000005</v>
      </c>
      <c r="AB2792">
        <v>32</v>
      </c>
      <c r="AC2792">
        <v>-131.72979999999899</v>
      </c>
      <c r="AD2792">
        <v>-0.67560469999999995</v>
      </c>
      <c r="AE2792">
        <v>24.253799999999998</v>
      </c>
      <c r="AF2792">
        <v>24.795856732002498</v>
      </c>
      <c r="AG2792">
        <v>-0.67560469999999995</v>
      </c>
      <c r="AH2792">
        <v>131.62537621150699</v>
      </c>
      <c r="AI2792">
        <v>90.2890010990034</v>
      </c>
      <c r="AJ2792">
        <v>79.331531786578594</v>
      </c>
      <c r="AK2792">
        <v>133.94226597906101</v>
      </c>
      <c r="AL2792">
        <v>91.7769692136157</v>
      </c>
      <c r="AM2792">
        <v>91.4777969942688</v>
      </c>
      <c r="AN2792">
        <v>0.99999994052902097</v>
      </c>
    </row>
    <row r="2793" spans="1:40" x14ac:dyDescent="0.25">
      <c r="A2793" t="str">
        <f>"20190303153826082"</f>
        <v>20190303153826082</v>
      </c>
      <c r="B2793" t="str">
        <f>"1551598706071726"</f>
        <v>1551598706071726</v>
      </c>
      <c r="C2793" t="s">
        <v>40</v>
      </c>
      <c r="D2793">
        <v>3.9538639999999998</v>
      </c>
      <c r="E2793">
        <v>0.58119549999999998</v>
      </c>
      <c r="F2793" t="s">
        <v>58</v>
      </c>
      <c r="G2793">
        <v>-511.82029999999997</v>
      </c>
      <c r="H2793">
        <v>0.41876000000000002</v>
      </c>
      <c r="I2793">
        <v>308.35469999999998</v>
      </c>
      <c r="J2793">
        <v>-380.27699999999999</v>
      </c>
      <c r="K2793">
        <v>1.121143</v>
      </c>
      <c r="L2793">
        <v>284.12060000000002</v>
      </c>
      <c r="M2793">
        <v>-0.99990480000000004</v>
      </c>
      <c r="N2793">
        <v>-1.316612E-2</v>
      </c>
      <c r="O2793">
        <v>-4.1444079999999996E-3</v>
      </c>
      <c r="P2793">
        <v>-0.99855760000000005</v>
      </c>
      <c r="Q2793">
        <v>-4.451869E-2</v>
      </c>
      <c r="R2793">
        <v>-3.0019520000000001E-2</v>
      </c>
      <c r="S2793">
        <v>-3.020203</v>
      </c>
      <c r="T2793">
        <v>-1.6101600000000001E-2</v>
      </c>
      <c r="U2793">
        <v>0.55560299999999996</v>
      </c>
      <c r="V2793">
        <v>-2.5877879999999999E-2</v>
      </c>
      <c r="W2793">
        <v>-3.1368420000000001E-2</v>
      </c>
      <c r="X2793">
        <v>0.99917290000000003</v>
      </c>
      <c r="Y2793">
        <v>0.18499170000000001</v>
      </c>
      <c r="Z2793">
        <v>1.6848480000000001E-3</v>
      </c>
      <c r="AA2793">
        <v>0.98273860000000002</v>
      </c>
      <c r="AB2793">
        <v>32</v>
      </c>
      <c r="AC2793">
        <v>-131.54329999999999</v>
      </c>
      <c r="AD2793">
        <v>-0.70238299999999998</v>
      </c>
      <c r="AE2793">
        <v>24.234099999999899</v>
      </c>
      <c r="AF2793">
        <v>24.778424901558701</v>
      </c>
      <c r="AG2793">
        <v>-0.70238299999999998</v>
      </c>
      <c r="AH2793">
        <v>131.438100998723</v>
      </c>
      <c r="AI2793">
        <v>90.300876405846097</v>
      </c>
      <c r="AJ2793">
        <v>79.324018638275305</v>
      </c>
      <c r="AK2793">
        <v>133.75514224369601</v>
      </c>
      <c r="AL2793">
        <v>91.797572839757095</v>
      </c>
      <c r="AM2793">
        <v>91.4835889992885</v>
      </c>
      <c r="AN2793">
        <v>1.00000006327049</v>
      </c>
    </row>
    <row r="2794" spans="1:40" x14ac:dyDescent="0.25">
      <c r="A2794" t="str">
        <f>"20190303153826095"</f>
        <v>20190303153826095</v>
      </c>
      <c r="B2794" t="str">
        <f>"1551598706091246"</f>
        <v>1551598706091246</v>
      </c>
      <c r="C2794" t="s">
        <v>40</v>
      </c>
      <c r="D2794">
        <v>4.18675</v>
      </c>
      <c r="E2794">
        <v>0.53512169999999903</v>
      </c>
      <c r="F2794" t="s">
        <v>58</v>
      </c>
      <c r="G2794">
        <v>-511.82029999999997</v>
      </c>
      <c r="H2794">
        <v>0.36582540000000002</v>
      </c>
      <c r="I2794">
        <v>308.2978</v>
      </c>
      <c r="J2794">
        <v>-380.4599</v>
      </c>
      <c r="K2794">
        <v>1.1211420000000001</v>
      </c>
      <c r="L2794">
        <v>284.1198</v>
      </c>
      <c r="M2794">
        <v>-0.9999036</v>
      </c>
      <c r="N2794">
        <v>-1.3254419999999999E-2</v>
      </c>
      <c r="O2794">
        <v>-4.1635789999999997E-3</v>
      </c>
      <c r="P2794">
        <v>-0.99852129999999995</v>
      </c>
      <c r="Q2794">
        <v>-4.4865170000000003E-2</v>
      </c>
      <c r="R2794">
        <v>-3.070521E-2</v>
      </c>
      <c r="S2794">
        <v>-3.0202640000000001</v>
      </c>
      <c r="T2794">
        <v>-1.734018E-2</v>
      </c>
      <c r="U2794">
        <v>0.55511469999999996</v>
      </c>
      <c r="V2794">
        <v>-2.6545160000000002E-2</v>
      </c>
      <c r="W2794">
        <v>-3.1626599999999998E-2</v>
      </c>
      <c r="X2794">
        <v>0.99914720000000001</v>
      </c>
      <c r="Y2794">
        <v>0.1848525</v>
      </c>
      <c r="Z2794">
        <v>1.7305350000000001E-3</v>
      </c>
      <c r="AA2794">
        <v>0.98276479999999999</v>
      </c>
      <c r="AB2794">
        <v>32</v>
      </c>
      <c r="AC2794">
        <v>-131.360399999999</v>
      </c>
      <c r="AD2794">
        <v>-0.7553166</v>
      </c>
      <c r="AE2794">
        <v>24.178000000000001</v>
      </c>
      <c r="AF2794">
        <v>24.723977145559701</v>
      </c>
      <c r="AG2794">
        <v>-0.7553166</v>
      </c>
      <c r="AH2794">
        <v>131.25438802060199</v>
      </c>
      <c r="AI2794">
        <v>90.324012606896204</v>
      </c>
      <c r="AJ2794">
        <v>79.332371576441204</v>
      </c>
      <c r="AK2794">
        <v>133.56481544075501</v>
      </c>
      <c r="AL2794">
        <v>91.812372907970499</v>
      </c>
      <c r="AM2794">
        <v>91.521865785220299</v>
      </c>
      <c r="AN2794">
        <v>1.00000000730741</v>
      </c>
    </row>
    <row r="2795" spans="1:40" x14ac:dyDescent="0.25">
      <c r="A2795" t="str">
        <f>"20190303153826108"</f>
        <v>20190303153826108</v>
      </c>
      <c r="B2795" t="str">
        <f>"1551598706101006"</f>
        <v>1551598706101006</v>
      </c>
      <c r="C2795" t="s">
        <v>40</v>
      </c>
      <c r="D2795">
        <v>3.9267569999999998</v>
      </c>
      <c r="E2795">
        <v>0.48000969999999998</v>
      </c>
      <c r="F2795" t="s">
        <v>58</v>
      </c>
      <c r="G2795">
        <v>-550.05859999999996</v>
      </c>
      <c r="H2795">
        <v>5.1938849999999999</v>
      </c>
      <c r="I2795">
        <v>294.4889</v>
      </c>
      <c r="J2795">
        <v>-380.65480000000002</v>
      </c>
      <c r="K2795">
        <v>1.1211340000000001</v>
      </c>
      <c r="L2795">
        <v>284.11900000000003</v>
      </c>
      <c r="M2795">
        <v>-0.99990219999999996</v>
      </c>
      <c r="N2795">
        <v>-1.334455E-2</v>
      </c>
      <c r="O2795">
        <v>-4.1796539999999997E-3</v>
      </c>
      <c r="P2795">
        <v>-0.99850340000000004</v>
      </c>
      <c r="Q2795">
        <v>-4.4934870000000002E-2</v>
      </c>
      <c r="R2795">
        <v>-3.117518E-2</v>
      </c>
      <c r="S2795">
        <v>-3.0133670000000001</v>
      </c>
      <c r="T2795">
        <v>7.2364449999999997E-2</v>
      </c>
      <c r="U2795">
        <v>0.1842346</v>
      </c>
      <c r="V2795">
        <v>-2.7000159999999999E-2</v>
      </c>
      <c r="W2795">
        <v>-3.1605910000000001E-2</v>
      </c>
      <c r="X2795">
        <v>0.99913569999999996</v>
      </c>
      <c r="Y2795">
        <v>6.5185690000000004E-2</v>
      </c>
      <c r="Z2795">
        <v>-5.0244760000000004E-4</v>
      </c>
      <c r="AA2795">
        <v>0.99787300000000001</v>
      </c>
      <c r="AB2795">
        <v>32</v>
      </c>
      <c r="AC2795">
        <v>-169.40379999999899</v>
      </c>
      <c r="AD2795">
        <v>4.0727510000000002</v>
      </c>
      <c r="AE2795">
        <v>10.3698999999999</v>
      </c>
      <c r="AF2795">
        <v>11.0715462557857</v>
      </c>
      <c r="AG2795">
        <v>4.0727510000000002</v>
      </c>
      <c r="AH2795">
        <v>169.26150529775899</v>
      </c>
      <c r="AI2795">
        <v>88.624559670116497</v>
      </c>
      <c r="AJ2795">
        <v>86.257563250461004</v>
      </c>
      <c r="AK2795">
        <v>169.672106172067</v>
      </c>
      <c r="AL2795">
        <v>91.811186797808404</v>
      </c>
      <c r="AM2795">
        <v>91.547956703112803</v>
      </c>
      <c r="AN2795">
        <v>1.00000004460072</v>
      </c>
    </row>
    <row r="2796" spans="1:40" x14ac:dyDescent="0.25">
      <c r="A2796" t="str">
        <f>"20190303153826121"</f>
        <v>20190303153826121</v>
      </c>
      <c r="B2796" t="str">
        <f>"1551598706111741"</f>
        <v>1551598706111741</v>
      </c>
      <c r="C2796" t="s">
        <v>40</v>
      </c>
      <c r="D2796">
        <v>3.925052</v>
      </c>
      <c r="E2796">
        <v>0.47061310000000001</v>
      </c>
      <c r="F2796" t="s">
        <v>59</v>
      </c>
      <c r="G2796">
        <v>-512.82579999999996</v>
      </c>
      <c r="H2796">
        <v>1.9066890000000001</v>
      </c>
      <c r="I2796">
        <v>272.84039999999999</v>
      </c>
      <c r="J2796">
        <v>-380.83339999999998</v>
      </c>
      <c r="K2796">
        <v>1.121129</v>
      </c>
      <c r="L2796">
        <v>284.1182</v>
      </c>
      <c r="M2796">
        <v>-0.99990120000000005</v>
      </c>
      <c r="N2796">
        <v>-1.34197999999999E-2</v>
      </c>
      <c r="O2796">
        <v>-4.1887469999999996E-3</v>
      </c>
      <c r="P2796">
        <v>-0.99849909999999997</v>
      </c>
      <c r="Q2796">
        <v>-4.4700440000000001E-2</v>
      </c>
      <c r="R2796">
        <v>-3.164496E-2</v>
      </c>
      <c r="S2796">
        <v>-2.9972840000000001</v>
      </c>
      <c r="T2796">
        <v>1.781607E-2</v>
      </c>
      <c r="U2796">
        <v>-0.25576779999999999</v>
      </c>
      <c r="V2796">
        <v>-2.746113E-2</v>
      </c>
      <c r="W2796">
        <v>-3.1295900000000001E-2</v>
      </c>
      <c r="X2796">
        <v>0.99913289999999999</v>
      </c>
      <c r="Y2796">
        <v>-8.0852049999999995E-2</v>
      </c>
      <c r="Z2796">
        <v>-3.8462009999999999E-4</v>
      </c>
      <c r="AA2796">
        <v>0.996726</v>
      </c>
      <c r="AB2796">
        <v>32</v>
      </c>
      <c r="AC2796">
        <v>-131.99239999999901</v>
      </c>
      <c r="AD2796">
        <v>0.78555999999999904</v>
      </c>
      <c r="AE2796">
        <v>-11.277799999999999</v>
      </c>
      <c r="AF2796">
        <v>-10.724391380231699</v>
      </c>
      <c r="AG2796">
        <v>0.78555999999999904</v>
      </c>
      <c r="AH2796">
        <v>132.03384307136301</v>
      </c>
      <c r="AI2796">
        <v>89.660231017119898</v>
      </c>
      <c r="AJ2796">
        <v>94.643630624089795</v>
      </c>
      <c r="AK2796">
        <v>132.47099830220699</v>
      </c>
      <c r="AL2796">
        <v>91.793415733863398</v>
      </c>
      <c r="AM2796">
        <v>91.574375974563097</v>
      </c>
      <c r="AN2796">
        <v>1.0000000494400401</v>
      </c>
    </row>
    <row r="2797" spans="1:40" x14ac:dyDescent="0.25">
      <c r="A2797" t="str">
        <f>"20190303153826134"</f>
        <v>20190303153826134</v>
      </c>
      <c r="B2797" t="str">
        <f>"1551598706131262"</f>
        <v>1551598706131262</v>
      </c>
      <c r="C2797" t="s">
        <v>40</v>
      </c>
      <c r="D2797">
        <v>3.9195950000000002</v>
      </c>
      <c r="E2797">
        <v>0.46154299999999998</v>
      </c>
      <c r="F2797" t="s">
        <v>59</v>
      </c>
      <c r="G2797">
        <v>-512.82569999999998</v>
      </c>
      <c r="H2797">
        <v>1.6835690000000001</v>
      </c>
      <c r="I2797">
        <v>269.48840000000001</v>
      </c>
      <c r="J2797">
        <v>-381.01769999999999</v>
      </c>
      <c r="K2797">
        <v>1.121127</v>
      </c>
      <c r="L2797">
        <v>284.11739999999998</v>
      </c>
      <c r="M2797">
        <v>-0.99990020000000002</v>
      </c>
      <c r="N2797">
        <v>-1.3494310000000001E-2</v>
      </c>
      <c r="O2797">
        <v>-4.1946149999999996E-3</v>
      </c>
      <c r="P2797">
        <v>-0.99844650000000001</v>
      </c>
      <c r="Q2797">
        <v>-4.5034919999999999E-2</v>
      </c>
      <c r="R2797">
        <v>-3.2816699999999997E-2</v>
      </c>
      <c r="S2797">
        <v>-2.9945369999999998</v>
      </c>
      <c r="T2797">
        <v>1.2761949999999999E-2</v>
      </c>
      <c r="U2797">
        <v>-0.33190920000000002</v>
      </c>
      <c r="V2797">
        <v>-2.8627159999999999E-2</v>
      </c>
      <c r="W2797">
        <v>-3.1556069999999999E-2</v>
      </c>
      <c r="X2797">
        <v>0.99909190000000003</v>
      </c>
      <c r="Y2797">
        <v>-0.1059959</v>
      </c>
      <c r="Z2797">
        <v>-5.6646279999999995E-4</v>
      </c>
      <c r="AA2797">
        <v>0.99436639999999998</v>
      </c>
      <c r="AB2797">
        <v>32</v>
      </c>
      <c r="AC2797">
        <v>-131.80799999999999</v>
      </c>
      <c r="AD2797">
        <v>0.562441999999999</v>
      </c>
      <c r="AE2797">
        <v>-14.6289999999999</v>
      </c>
      <c r="AF2797">
        <v>-14.075683969874</v>
      </c>
      <c r="AG2797">
        <v>0.562441999999999</v>
      </c>
      <c r="AH2797">
        <v>131.86583697396</v>
      </c>
      <c r="AI2797">
        <v>89.757000544559006</v>
      </c>
      <c r="AJ2797">
        <v>96.092821964964401</v>
      </c>
      <c r="AK2797">
        <v>132.61613846386101</v>
      </c>
      <c r="AL2797">
        <v>91.8083299001553</v>
      </c>
      <c r="AM2797">
        <v>91.641257219238398</v>
      </c>
      <c r="AN2797">
        <v>0.999999962244559</v>
      </c>
    </row>
    <row r="2798" spans="1:40" x14ac:dyDescent="0.25">
      <c r="A2798" t="str">
        <f>"20190303153826150"</f>
        <v>20190303153826150</v>
      </c>
      <c r="B2798" t="str">
        <f>"1551598706141022"</f>
        <v>1551598706141022</v>
      </c>
      <c r="C2798" t="s">
        <v>40</v>
      </c>
      <c r="D2798">
        <v>3.886298</v>
      </c>
      <c r="E2798">
        <v>0.45866699999999999</v>
      </c>
      <c r="F2798" t="s">
        <v>59</v>
      </c>
      <c r="G2798">
        <v>-512.82560000000001</v>
      </c>
      <c r="H2798">
        <v>1.400239</v>
      </c>
      <c r="I2798">
        <v>266.15879999999999</v>
      </c>
      <c r="J2798">
        <v>-381.25549999999998</v>
      </c>
      <c r="K2798">
        <v>1.121127</v>
      </c>
      <c r="L2798">
        <v>284.11649999999997</v>
      </c>
      <c r="M2798">
        <v>-0.99989899999999998</v>
      </c>
      <c r="N2798">
        <v>-1.358351E-2</v>
      </c>
      <c r="O2798">
        <v>-4.1938749999999997E-3</v>
      </c>
      <c r="P2798">
        <v>-0.9983843</v>
      </c>
      <c r="Q2798">
        <v>-4.5244310000000003E-2</v>
      </c>
      <c r="R2798">
        <v>-3.437606E-2</v>
      </c>
      <c r="S2798">
        <v>-2.9915470000000002</v>
      </c>
      <c r="T2798">
        <v>6.3365699999999997E-3</v>
      </c>
      <c r="U2798">
        <v>-0.40759279999999998</v>
      </c>
      <c r="V2798">
        <v>-3.018914E-2</v>
      </c>
      <c r="W2798">
        <v>-3.1676450000000002E-2</v>
      </c>
      <c r="X2798">
        <v>0.99904219999999999</v>
      </c>
      <c r="Y2798">
        <v>-0.13084589999999999</v>
      </c>
      <c r="Z2798">
        <v>-8.2041009999999997E-4</v>
      </c>
      <c r="AA2798">
        <v>0.99140240000000002</v>
      </c>
      <c r="AB2798">
        <v>32</v>
      </c>
      <c r="AC2798">
        <v>-131.5701</v>
      </c>
      <c r="AD2798">
        <v>0.27911199999999903</v>
      </c>
      <c r="AE2798">
        <v>-17.9576999999999</v>
      </c>
      <c r="AF2798">
        <v>-17.4056257112609</v>
      </c>
      <c r="AG2798">
        <v>0.27911199999999903</v>
      </c>
      <c r="AH2798">
        <v>131.643680406295</v>
      </c>
      <c r="AI2798">
        <v>89.8795692972773</v>
      </c>
      <c r="AJ2798">
        <v>97.531830114323995</v>
      </c>
      <c r="AK2798">
        <v>132.789654344094</v>
      </c>
      <c r="AL2798">
        <v>91.815230457678794</v>
      </c>
      <c r="AM2798">
        <v>91.7308419128574</v>
      </c>
      <c r="AN2798">
        <v>1.0000000495196899</v>
      </c>
    </row>
    <row r="2799" spans="1:40" x14ac:dyDescent="0.25">
      <c r="A2799" t="str">
        <f>"20190303153826162"</f>
        <v>20190303153826162</v>
      </c>
      <c r="B2799" t="str">
        <f>"1551598706151758"</f>
        <v>1551598706151758</v>
      </c>
      <c r="C2799" t="s">
        <v>40</v>
      </c>
      <c r="D2799">
        <v>3.85989</v>
      </c>
      <c r="E2799">
        <v>0.45667039999999998</v>
      </c>
      <c r="F2799" t="s">
        <v>59</v>
      </c>
      <c r="G2799">
        <v>-512.82550000000003</v>
      </c>
      <c r="H2799">
        <v>1.1309279999999999</v>
      </c>
      <c r="I2799">
        <v>264.9769</v>
      </c>
      <c r="J2799">
        <v>-381.43029999999999</v>
      </c>
      <c r="K2799">
        <v>1.1211230000000001</v>
      </c>
      <c r="L2799">
        <v>284.1157</v>
      </c>
      <c r="M2799">
        <v>-0.99989819999999996</v>
      </c>
      <c r="N2799">
        <v>-1.364288E-2</v>
      </c>
      <c r="O2799">
        <v>-4.1846269999999998E-3</v>
      </c>
      <c r="P2799">
        <v>-0.99834900000000004</v>
      </c>
      <c r="Q2799">
        <v>-4.5514619999999999E-2</v>
      </c>
      <c r="R2799">
        <v>-3.5042749999999998E-2</v>
      </c>
      <c r="S2799">
        <v>-2.989868</v>
      </c>
      <c r="T2799">
        <v>2.2447109999999999E-4</v>
      </c>
      <c r="U2799">
        <v>-0.4349365</v>
      </c>
      <c r="V2799">
        <v>-3.0865389999999999E-2</v>
      </c>
      <c r="W2799">
        <v>-3.1887329999999998E-2</v>
      </c>
      <c r="X2799">
        <v>0.99901479999999998</v>
      </c>
      <c r="Y2799">
        <v>-0.13981260000000001</v>
      </c>
      <c r="Z2799">
        <v>-1.010651E-3</v>
      </c>
      <c r="AA2799">
        <v>0.99017750000000004</v>
      </c>
      <c r="AB2799">
        <v>32</v>
      </c>
      <c r="AC2799">
        <v>-131.39519999999999</v>
      </c>
      <c r="AD2799">
        <v>9.8050000000002805E-3</v>
      </c>
      <c r="AE2799">
        <v>-19.1388</v>
      </c>
      <c r="AF2799">
        <v>-18.588741230536101</v>
      </c>
      <c r="AG2799">
        <v>9.8050000000002805E-3</v>
      </c>
      <c r="AH2799">
        <v>131.474144818166</v>
      </c>
      <c r="AI2799">
        <v>89.995769108825101</v>
      </c>
      <c r="AJ2799">
        <v>98.047539795358105</v>
      </c>
      <c r="AK2799">
        <v>132.78174630702</v>
      </c>
      <c r="AL2799">
        <v>91.827319147561099</v>
      </c>
      <c r="AM2799">
        <v>91.7696376543757</v>
      </c>
      <c r="AN2799">
        <v>1.00000002236671</v>
      </c>
    </row>
    <row r="2800" spans="1:40" x14ac:dyDescent="0.25">
      <c r="A2800" t="str">
        <f>"20190303153826176"</f>
        <v>20190303153826176</v>
      </c>
      <c r="B2800" t="str">
        <f>"1551598706171279"</f>
        <v>1551598706171279</v>
      </c>
      <c r="C2800" t="s">
        <v>40</v>
      </c>
      <c r="D2800">
        <v>3.8477199999999998</v>
      </c>
      <c r="E2800">
        <v>0.45442450000000001</v>
      </c>
      <c r="F2800" t="s">
        <v>59</v>
      </c>
      <c r="G2800">
        <v>-512.82539999999995</v>
      </c>
      <c r="H2800">
        <v>0.79176279999999999</v>
      </c>
      <c r="I2800">
        <v>264.21620000000001</v>
      </c>
      <c r="J2800">
        <v>-381.60489999999999</v>
      </c>
      <c r="K2800">
        <v>1.121119</v>
      </c>
      <c r="L2800">
        <v>284.11500000000001</v>
      </c>
      <c r="M2800">
        <v>-0.99989749999999999</v>
      </c>
      <c r="N2800">
        <v>-1.3698979999999999E-2</v>
      </c>
      <c r="O2800">
        <v>-4.1717769999999998E-3</v>
      </c>
      <c r="P2800">
        <v>-0.99832699999999996</v>
      </c>
      <c r="Q2800">
        <v>-4.5537759999999997E-2</v>
      </c>
      <c r="R2800">
        <v>-3.563036E-2</v>
      </c>
      <c r="S2800">
        <v>-2.9887389999999998</v>
      </c>
      <c r="T2800">
        <v>-7.4899199999999997E-3</v>
      </c>
      <c r="U2800">
        <v>-0.4526367</v>
      </c>
      <c r="V2800">
        <v>-3.1466590000000003E-2</v>
      </c>
      <c r="W2800">
        <v>-3.185412E-2</v>
      </c>
      <c r="X2800">
        <v>0.99899709999999997</v>
      </c>
      <c r="Y2800">
        <v>-0.14561070000000001</v>
      </c>
      <c r="Z2800">
        <v>-1.2309280000000001E-3</v>
      </c>
      <c r="AA2800">
        <v>0.98934120000000003</v>
      </c>
      <c r="AB2800">
        <v>32</v>
      </c>
      <c r="AC2800">
        <v>-131.22049999999899</v>
      </c>
      <c r="AD2800">
        <v>-0.32935619999999899</v>
      </c>
      <c r="AE2800">
        <v>-19.898799999999898</v>
      </c>
      <c r="AF2800">
        <v>-19.351033627041598</v>
      </c>
      <c r="AG2800">
        <v>-0.32935619999999899</v>
      </c>
      <c r="AH2800">
        <v>131.30157047897799</v>
      </c>
      <c r="AI2800">
        <v>90.142184293378406</v>
      </c>
      <c r="AJ2800">
        <v>98.383815874062194</v>
      </c>
      <c r="AK2800">
        <v>132.72028250492599</v>
      </c>
      <c r="AL2800">
        <v>91.825415394664702</v>
      </c>
      <c r="AM2800">
        <v>91.804116264370904</v>
      </c>
      <c r="AN2800">
        <v>1.0000000185278</v>
      </c>
    </row>
    <row r="2801" spans="1:40" x14ac:dyDescent="0.25">
      <c r="A2801" t="str">
        <f>"20190303153826188"</f>
        <v>20190303153826188</v>
      </c>
      <c r="B2801" t="str">
        <f>"1551598706181038"</f>
        <v>1551598706181038</v>
      </c>
      <c r="C2801" t="s">
        <v>40</v>
      </c>
      <c r="D2801">
        <v>3.8450510000000002</v>
      </c>
      <c r="E2801">
        <v>0.45361410000000002</v>
      </c>
      <c r="F2801" t="s">
        <v>59</v>
      </c>
      <c r="G2801">
        <v>-512.82539999999995</v>
      </c>
      <c r="H2801">
        <v>0.63138369999999999</v>
      </c>
      <c r="I2801">
        <v>263.37430000000001</v>
      </c>
      <c r="J2801">
        <v>-381.80149999999998</v>
      </c>
      <c r="K2801">
        <v>1.1211139999999999</v>
      </c>
      <c r="L2801">
        <v>284.11419999999998</v>
      </c>
      <c r="M2801">
        <v>-0.99989689999999998</v>
      </c>
      <c r="N2801">
        <v>-1.3758390000000001E-2</v>
      </c>
      <c r="O2801">
        <v>-4.1523749999999998E-3</v>
      </c>
      <c r="P2801">
        <v>-0.9983128</v>
      </c>
      <c r="Q2801">
        <v>-4.5711700000000001E-2</v>
      </c>
      <c r="R2801">
        <v>-3.5813890000000001E-2</v>
      </c>
      <c r="S2801">
        <v>-2.9876710000000002</v>
      </c>
      <c r="T2801">
        <v>-1.1148689999999999E-2</v>
      </c>
      <c r="U2801">
        <v>-0.47222900000000001</v>
      </c>
      <c r="V2801">
        <v>-3.1669410000000002E-2</v>
      </c>
      <c r="W2801">
        <v>-3.1968240000000002E-2</v>
      </c>
      <c r="X2801">
        <v>0.99898699999999996</v>
      </c>
      <c r="Y2801">
        <v>-0.15201310000000001</v>
      </c>
      <c r="Z2801">
        <v>-1.3755060000000001E-3</v>
      </c>
      <c r="AA2801">
        <v>0.98837750000000002</v>
      </c>
      <c r="AB2801">
        <v>32</v>
      </c>
      <c r="AC2801">
        <v>-131.023899999999</v>
      </c>
      <c r="AD2801">
        <v>-0.48973030000000001</v>
      </c>
      <c r="AE2801">
        <v>-20.739899999999899</v>
      </c>
      <c r="AF2801">
        <v>-20.1953341480841</v>
      </c>
      <c r="AG2801">
        <v>-0.48973030000000001</v>
      </c>
      <c r="AH2801">
        <v>131.107111325586</v>
      </c>
      <c r="AI2801">
        <v>90.211523794438193</v>
      </c>
      <c r="AJ2801">
        <v>98.756838705056296</v>
      </c>
      <c r="AK2801">
        <v>132.654310134496</v>
      </c>
      <c r="AL2801">
        <v>91.831957404023299</v>
      </c>
      <c r="AM2801">
        <v>91.815755401882299</v>
      </c>
      <c r="AN2801">
        <v>0.99999997303372201</v>
      </c>
    </row>
    <row r="2802" spans="1:40" x14ac:dyDescent="0.25">
      <c r="A2802" t="str">
        <f>"20190303153826202"</f>
        <v>20190303153826202</v>
      </c>
      <c r="B2802" t="str">
        <f>"1551598706191775"</f>
        <v>1551598706191775</v>
      </c>
      <c r="C2802" t="s">
        <v>40</v>
      </c>
      <c r="D2802">
        <v>3.855102</v>
      </c>
      <c r="E2802">
        <v>0.45302579999999998</v>
      </c>
      <c r="F2802" t="s">
        <v>59</v>
      </c>
      <c r="G2802">
        <v>-512.82529999999997</v>
      </c>
      <c r="H2802">
        <v>0.52621879999999999</v>
      </c>
      <c r="I2802">
        <v>263.10430000000002</v>
      </c>
      <c r="J2802">
        <v>-381.99009999999998</v>
      </c>
      <c r="K2802">
        <v>1.1211059999999999</v>
      </c>
      <c r="L2802">
        <v>284.11340000000001</v>
      </c>
      <c r="M2802">
        <v>-0.99989620000000001</v>
      </c>
      <c r="N2802">
        <v>-1.3809190000000001E-2</v>
      </c>
      <c r="O2802">
        <v>-4.1261229999999998E-3</v>
      </c>
      <c r="P2802">
        <v>-0.99831669999999995</v>
      </c>
      <c r="Q2802">
        <v>-4.5563439999999997E-2</v>
      </c>
      <c r="R2802">
        <v>-3.589022E-2</v>
      </c>
      <c r="S2802">
        <v>-2.9872130000000001</v>
      </c>
      <c r="T2802">
        <v>-1.356125E-2</v>
      </c>
      <c r="U2802">
        <v>-0.47900389999999998</v>
      </c>
      <c r="V2802">
        <v>-3.1772979999999999E-2</v>
      </c>
      <c r="W2802">
        <v>-3.1768560000000001E-2</v>
      </c>
      <c r="X2802">
        <v>0.99899009999999999</v>
      </c>
      <c r="Y2802">
        <v>-0.15424669999999999</v>
      </c>
      <c r="Z2802">
        <v>-1.4577559999999999E-3</v>
      </c>
      <c r="AA2802">
        <v>0.98803129999999995</v>
      </c>
      <c r="AB2802">
        <v>32</v>
      </c>
      <c r="AC2802">
        <v>-130.83519999999999</v>
      </c>
      <c r="AD2802">
        <v>-0.59488719999999995</v>
      </c>
      <c r="AE2802">
        <v>-21.009099999999901</v>
      </c>
      <c r="AF2802">
        <v>-20.468615026898</v>
      </c>
      <c r="AG2802">
        <v>-0.59488719999999995</v>
      </c>
      <c r="AH2802">
        <v>130.91814190770299</v>
      </c>
      <c r="AI2802">
        <v>90.2572233176125</v>
      </c>
      <c r="AJ2802">
        <v>98.886065637422206</v>
      </c>
      <c r="AK2802">
        <v>132.509916506145</v>
      </c>
      <c r="AL2802">
        <v>91.820510734253403</v>
      </c>
      <c r="AM2802">
        <v>91.821683910717795</v>
      </c>
      <c r="AN2802">
        <v>0.99999999178028198</v>
      </c>
    </row>
    <row r="2803" spans="1:40" x14ac:dyDescent="0.25">
      <c r="A2803" t="str">
        <f>"20190303153826220"</f>
        <v>20190303153826220</v>
      </c>
      <c r="B2803" t="str">
        <f>"1551598706211319"</f>
        <v>1551598706211319</v>
      </c>
      <c r="C2803" t="s">
        <v>40</v>
      </c>
      <c r="D2803">
        <v>3.878889</v>
      </c>
      <c r="E2803">
        <v>0.45214579999999999</v>
      </c>
      <c r="F2803" t="s">
        <v>59</v>
      </c>
      <c r="G2803">
        <v>-512.82529999999997</v>
      </c>
      <c r="H2803">
        <v>0.43340719999999999</v>
      </c>
      <c r="I2803">
        <v>262.91640000000001</v>
      </c>
      <c r="J2803">
        <v>-382.23700000000002</v>
      </c>
      <c r="K2803">
        <v>1.1210880000000001</v>
      </c>
      <c r="L2803">
        <v>284.11239999999998</v>
      </c>
      <c r="M2803">
        <v>-0.99989550000000005</v>
      </c>
      <c r="N2803">
        <v>-1.387095E-2</v>
      </c>
      <c r="O2803">
        <v>-4.0873960000000001E-3</v>
      </c>
      <c r="P2803">
        <v>-0.99831610000000004</v>
      </c>
      <c r="Q2803">
        <v>-4.5857910000000002E-2</v>
      </c>
      <c r="R2803">
        <v>-3.5524470000000002E-2</v>
      </c>
      <c r="S2803">
        <v>-2.9869080000000001</v>
      </c>
      <c r="T2803">
        <v>-1.569808E-2</v>
      </c>
      <c r="U2803">
        <v>-0.48391719999999999</v>
      </c>
      <c r="V2803">
        <v>-3.14474E-2</v>
      </c>
      <c r="W2803">
        <v>-3.2000590000000002E-2</v>
      </c>
      <c r="X2803">
        <v>0.99899300000000002</v>
      </c>
      <c r="Y2803">
        <v>-0.155883299999999</v>
      </c>
      <c r="Z2803">
        <v>-1.530179E-3</v>
      </c>
      <c r="AA2803">
        <v>0.98777429999999999</v>
      </c>
      <c r="AB2803">
        <v>32</v>
      </c>
      <c r="AC2803">
        <v>-130.5883</v>
      </c>
      <c r="AD2803">
        <v>-0.68768079999999898</v>
      </c>
      <c r="AE2803">
        <v>-21.195999999999898</v>
      </c>
      <c r="AF2803">
        <v>-20.661447232156</v>
      </c>
      <c r="AG2803">
        <v>-0.68768079999999898</v>
      </c>
      <c r="AH2803">
        <v>130.670323102564</v>
      </c>
      <c r="AI2803">
        <v>90.297828590633102</v>
      </c>
      <c r="AJ2803">
        <v>98.985157150659404</v>
      </c>
      <c r="AK2803">
        <v>132.29550879126</v>
      </c>
      <c r="AL2803">
        <v>91.833811830338405</v>
      </c>
      <c r="AM2803">
        <v>91.803024139703496</v>
      </c>
      <c r="AN2803">
        <v>0.99999999538805395</v>
      </c>
    </row>
    <row r="2804" spans="1:40" x14ac:dyDescent="0.25">
      <c r="A2804" t="str">
        <f>"20190303153826240"</f>
        <v>20190303153826240</v>
      </c>
      <c r="B2804" t="str">
        <f>"1551598706230839"</f>
        <v>1551598706230839</v>
      </c>
      <c r="C2804" t="s">
        <v>40</v>
      </c>
      <c r="D2804">
        <v>3.8649070000000001</v>
      </c>
      <c r="E2804">
        <v>0.45143929999999999</v>
      </c>
      <c r="F2804" t="s">
        <v>59</v>
      </c>
      <c r="G2804">
        <v>-512.82529999999997</v>
      </c>
      <c r="H2804">
        <v>0.29353849999999998</v>
      </c>
      <c r="I2804">
        <v>262.69279999999998</v>
      </c>
      <c r="J2804">
        <v>-382.53250000000003</v>
      </c>
      <c r="K2804">
        <v>1.1210789999999999</v>
      </c>
      <c r="L2804">
        <v>284.11130000000003</v>
      </c>
      <c r="M2804">
        <v>-0.99989479999999997</v>
      </c>
      <c r="N2804">
        <v>-1.3936530000000001E-2</v>
      </c>
      <c r="O2804">
        <v>-4.0335579999999996E-3</v>
      </c>
      <c r="P2804">
        <v>-0.99835160000000001</v>
      </c>
      <c r="Q2804">
        <v>-4.5943980000000002E-2</v>
      </c>
      <c r="R2804">
        <v>-3.44E-2</v>
      </c>
      <c r="S2804">
        <v>-2.986755</v>
      </c>
      <c r="T2804">
        <v>-1.8925549999999999E-2</v>
      </c>
      <c r="U2804">
        <v>-0.48989870000000002</v>
      </c>
      <c r="V2804">
        <v>-3.0376500000000001E-2</v>
      </c>
      <c r="W2804">
        <v>-3.2020090000000001E-2</v>
      </c>
      <c r="X2804">
        <v>0.99902550000000001</v>
      </c>
      <c r="Y2804">
        <v>-0.157868799999999</v>
      </c>
      <c r="Z2804">
        <v>-1.6347670000000001E-3</v>
      </c>
      <c r="AA2804">
        <v>0.98745879999999997</v>
      </c>
      <c r="AB2804">
        <v>32</v>
      </c>
      <c r="AC2804">
        <v>-130.292799999999</v>
      </c>
      <c r="AD2804">
        <v>-0.82754050000000001</v>
      </c>
      <c r="AE2804">
        <v>-21.418500000000002</v>
      </c>
      <c r="AF2804">
        <v>-20.891910540390299</v>
      </c>
      <c r="AG2804">
        <v>-0.82754050000000001</v>
      </c>
      <c r="AH2804">
        <v>130.373020146795</v>
      </c>
      <c r="AI2804">
        <v>90.359097772081896</v>
      </c>
      <c r="AJ2804">
        <v>99.104085986257999</v>
      </c>
      <c r="AK2804">
        <v>132.03893793689599</v>
      </c>
      <c r="AL2804">
        <v>91.834929692196795</v>
      </c>
      <c r="AM2804">
        <v>91.7416063728936</v>
      </c>
      <c r="AN2804">
        <v>0.99999998378305399</v>
      </c>
    </row>
    <row r="2805" spans="1:40" x14ac:dyDescent="0.25">
      <c r="A2805" t="str">
        <f>"20190303153826252"</f>
        <v>20190303153826252</v>
      </c>
      <c r="B2805" t="str">
        <f>"1551598706241576"</f>
        <v>1551598706241576</v>
      </c>
      <c r="C2805" t="s">
        <v>40</v>
      </c>
      <c r="D2805">
        <v>3.8482569999999998</v>
      </c>
      <c r="E2805">
        <v>0.4511464</v>
      </c>
      <c r="F2805" t="s">
        <v>59</v>
      </c>
      <c r="G2805">
        <v>-512.8252</v>
      </c>
      <c r="H2805">
        <v>0.21371470000000001</v>
      </c>
      <c r="I2805">
        <v>262.65710000000001</v>
      </c>
      <c r="J2805">
        <v>-382.70299999999997</v>
      </c>
      <c r="K2805">
        <v>1.12107</v>
      </c>
      <c r="L2805">
        <v>284.11070000000001</v>
      </c>
      <c r="M2805">
        <v>-0.99989439999999996</v>
      </c>
      <c r="N2805">
        <v>-1.3970959999999999E-2</v>
      </c>
      <c r="O2805">
        <v>-3.9996240000000002E-3</v>
      </c>
      <c r="P2805">
        <v>-0.99838970000000005</v>
      </c>
      <c r="Q2805">
        <v>-4.5700350000000001E-2</v>
      </c>
      <c r="R2805">
        <v>-3.3613949999999997E-2</v>
      </c>
      <c r="S2805">
        <v>-2.9870610000000002</v>
      </c>
      <c r="T2805">
        <v>-2.0800229999999999E-2</v>
      </c>
      <c r="U2805">
        <v>-0.49185180000000001</v>
      </c>
      <c r="V2805">
        <v>-2.9624560000000001E-2</v>
      </c>
      <c r="W2805">
        <v>-3.1741369999999998E-2</v>
      </c>
      <c r="X2805">
        <v>0.99905699999999997</v>
      </c>
      <c r="Y2805">
        <v>-0.1585134</v>
      </c>
      <c r="Z2805">
        <v>-1.6908450000000001E-3</v>
      </c>
      <c r="AA2805">
        <v>0.98735539999999999</v>
      </c>
      <c r="AB2805">
        <v>32</v>
      </c>
      <c r="AC2805">
        <v>-130.122199999999</v>
      </c>
      <c r="AD2805">
        <v>-0.90735529999999998</v>
      </c>
      <c r="AE2805">
        <v>-21.453599999999899</v>
      </c>
      <c r="AF2805">
        <v>-20.9319468316341</v>
      </c>
      <c r="AG2805">
        <v>-0.90735529999999998</v>
      </c>
      <c r="AH2805">
        <v>130.20081035564601</v>
      </c>
      <c r="AI2805">
        <v>90.394219775272404</v>
      </c>
      <c r="AJ2805">
        <v>99.133100620685795</v>
      </c>
      <c r="AK2805">
        <v>131.87577756764</v>
      </c>
      <c r="AL2805">
        <v>91.818952044266794</v>
      </c>
      <c r="AM2805">
        <v>91.6984666932305</v>
      </c>
      <c r="AN2805">
        <v>1.00000000918683</v>
      </c>
    </row>
    <row r="2806" spans="1:40" x14ac:dyDescent="0.25">
      <c r="A2806" t="str">
        <f>"20190303153826265"</f>
        <v>20190303153826265</v>
      </c>
      <c r="B2806" t="str">
        <f>"1551598706261094"</f>
        <v>1551598706261094</v>
      </c>
      <c r="C2806" t="s">
        <v>40</v>
      </c>
      <c r="D2806">
        <v>3.8743439999999998</v>
      </c>
      <c r="E2806">
        <v>0.45056760000000001</v>
      </c>
      <c r="F2806" t="s">
        <v>59</v>
      </c>
      <c r="G2806">
        <v>-512.82529999999997</v>
      </c>
      <c r="H2806">
        <v>0.23552899999999999</v>
      </c>
      <c r="I2806">
        <v>262.68520000000001</v>
      </c>
      <c r="J2806">
        <v>-382.88150000000002</v>
      </c>
      <c r="K2806">
        <v>1.121065</v>
      </c>
      <c r="L2806">
        <v>284.11</v>
      </c>
      <c r="M2806">
        <v>-0.99989419999999996</v>
      </c>
      <c r="N2806">
        <v>-1.4003649999999999E-2</v>
      </c>
      <c r="O2806">
        <v>-3.9614070000000001E-3</v>
      </c>
      <c r="P2806">
        <v>-0.99842350000000002</v>
      </c>
      <c r="Q2806">
        <v>-4.5654229999999997E-2</v>
      </c>
      <c r="R2806">
        <v>-3.2656360000000002E-2</v>
      </c>
      <c r="S2806">
        <v>-2.9873349999999999</v>
      </c>
      <c r="T2806">
        <v>-2.03284E-2</v>
      </c>
      <c r="U2806">
        <v>-0.49188229999999999</v>
      </c>
      <c r="V2806">
        <v>-2.8705669999999999E-2</v>
      </c>
      <c r="W2806">
        <v>-3.1662089999999997E-2</v>
      </c>
      <c r="X2806">
        <v>0.99908629999999998</v>
      </c>
      <c r="Y2806">
        <v>-0.15854670000000001</v>
      </c>
      <c r="Z2806">
        <v>-1.681802E-3</v>
      </c>
      <c r="AA2806">
        <v>0.98734999999999995</v>
      </c>
      <c r="AB2806">
        <v>32</v>
      </c>
      <c r="AC2806">
        <v>-129.94379999999899</v>
      </c>
      <c r="AD2806">
        <v>-0.88553599999999999</v>
      </c>
      <c r="AE2806">
        <v>-21.424800000000001</v>
      </c>
      <c r="AF2806">
        <v>-20.908875823183699</v>
      </c>
      <c r="AG2806">
        <v>-0.88553599999999999</v>
      </c>
      <c r="AH2806">
        <v>130.021782342927</v>
      </c>
      <c r="AI2806">
        <v>90.385267289309894</v>
      </c>
      <c r="AJ2806">
        <v>99.135553705366405</v>
      </c>
      <c r="AK2806">
        <v>131.695213071046</v>
      </c>
      <c r="AL2806">
        <v>91.8144074233103</v>
      </c>
      <c r="AM2806">
        <v>91.645765115514706</v>
      </c>
      <c r="AN2806">
        <v>0.99999996914050304</v>
      </c>
    </row>
    <row r="2807" spans="1:40" x14ac:dyDescent="0.25">
      <c r="A2807" t="str">
        <f>"20190303153826277"</f>
        <v>20190303153826277</v>
      </c>
      <c r="B2807" t="str">
        <f>"1551598706271831"</f>
        <v>1551598706271831</v>
      </c>
      <c r="C2807" t="s">
        <v>40</v>
      </c>
      <c r="D2807">
        <v>3.8531550000000001</v>
      </c>
      <c r="E2807">
        <v>0.45032129999999998</v>
      </c>
      <c r="F2807" t="s">
        <v>59</v>
      </c>
      <c r="G2807">
        <v>-512.8252</v>
      </c>
      <c r="H2807">
        <v>0.18288579999999999</v>
      </c>
      <c r="I2807">
        <v>262.6413</v>
      </c>
      <c r="J2807">
        <v>-383.06</v>
      </c>
      <c r="K2807">
        <v>1.1210690000000001</v>
      </c>
      <c r="L2807">
        <v>284.10930000000002</v>
      </c>
      <c r="M2807">
        <v>-0.99989380000000005</v>
      </c>
      <c r="N2807">
        <v>-1.403369E-2</v>
      </c>
      <c r="O2807">
        <v>-3.9218719999999999E-3</v>
      </c>
      <c r="P2807">
        <v>-0.99843499999999996</v>
      </c>
      <c r="Q2807">
        <v>-4.5923930000000002E-2</v>
      </c>
      <c r="R2807">
        <v>-3.1914350000000001E-2</v>
      </c>
      <c r="S2807">
        <v>-2.9875790000000002</v>
      </c>
      <c r="T2807">
        <v>-2.1568179999999999E-2</v>
      </c>
      <c r="U2807">
        <v>-0.49359130000000001</v>
      </c>
      <c r="V2807">
        <v>-2.800323E-2</v>
      </c>
      <c r="W2807">
        <v>-3.1901550000000001E-2</v>
      </c>
      <c r="X2807">
        <v>0.99909870000000001</v>
      </c>
      <c r="Y2807">
        <v>-0.1591216</v>
      </c>
      <c r="Z2807">
        <v>-1.7212009999999999E-3</v>
      </c>
      <c r="AA2807">
        <v>0.98725750000000001</v>
      </c>
      <c r="AB2807">
        <v>32</v>
      </c>
      <c r="AC2807">
        <v>-129.76519999999999</v>
      </c>
      <c r="AD2807">
        <v>-0.93818319999999999</v>
      </c>
      <c r="AE2807">
        <v>-21.468</v>
      </c>
      <c r="AF2807">
        <v>-20.957795927680401</v>
      </c>
      <c r="AG2807">
        <v>-0.93818319999999999</v>
      </c>
      <c r="AH2807">
        <v>129.841798754477</v>
      </c>
      <c r="AI2807">
        <v>90.408698874218601</v>
      </c>
      <c r="AJ2807">
        <v>99.169043485851205</v>
      </c>
      <c r="AK2807">
        <v>131.525670884665</v>
      </c>
      <c r="AL2807">
        <v>91.8281342557691</v>
      </c>
      <c r="AM2807">
        <v>91.605493966924101</v>
      </c>
      <c r="AN2807">
        <v>1.00000005106226</v>
      </c>
    </row>
    <row r="2808" spans="1:40" x14ac:dyDescent="0.25">
      <c r="A2808" t="str">
        <f>"20190303153826290"</f>
        <v>20190303153826290</v>
      </c>
      <c r="B2808" t="str">
        <f>"1551598706281592"</f>
        <v>1551598706281592</v>
      </c>
      <c r="C2808" t="s">
        <v>40</v>
      </c>
      <c r="D2808">
        <v>3.8738769999999998</v>
      </c>
      <c r="E2808">
        <v>0.45003120000000002</v>
      </c>
      <c r="F2808" t="s">
        <v>59</v>
      </c>
      <c r="G2808">
        <v>-512.8252</v>
      </c>
      <c r="H2808">
        <v>0.1029651</v>
      </c>
      <c r="I2808">
        <v>262.67610000000002</v>
      </c>
      <c r="J2808">
        <v>-383.24869999999999</v>
      </c>
      <c r="K2808">
        <v>1.1210659999999999</v>
      </c>
      <c r="L2808">
        <v>284.10860000000002</v>
      </c>
      <c r="M2808">
        <v>-0.99989360000000005</v>
      </c>
      <c r="N2808">
        <v>-1.40635E-2</v>
      </c>
      <c r="O2808">
        <v>-3.8794810000000002E-3</v>
      </c>
      <c r="P2808">
        <v>-0.99843899999999997</v>
      </c>
      <c r="Q2808">
        <v>-4.6196910000000001E-2</v>
      </c>
      <c r="R2808">
        <v>-3.1396140000000003E-2</v>
      </c>
      <c r="S2808">
        <v>-2.987854</v>
      </c>
      <c r="T2808">
        <v>-2.3440119999999998E-2</v>
      </c>
      <c r="U2808">
        <v>-0.49349979999999899</v>
      </c>
      <c r="V2808">
        <v>-2.752756E-2</v>
      </c>
      <c r="W2808">
        <v>-3.2144619999999999E-2</v>
      </c>
      <c r="X2808">
        <v>0.99910410000000005</v>
      </c>
      <c r="Y2808">
        <v>-0.15911800000000001</v>
      </c>
      <c r="Z2808">
        <v>-1.770425E-3</v>
      </c>
      <c r="AA2808">
        <v>0.98725799999999997</v>
      </c>
      <c r="AB2808">
        <v>32</v>
      </c>
      <c r="AC2808">
        <v>-129.57650000000001</v>
      </c>
      <c r="AD2808">
        <v>-1.0181009000000001</v>
      </c>
      <c r="AE2808">
        <v>-21.432500000000001</v>
      </c>
      <c r="AF2808">
        <v>-20.928341808009399</v>
      </c>
      <c r="AG2808">
        <v>-1.0181009000000001</v>
      </c>
      <c r="AH2808">
        <v>129.650889104642</v>
      </c>
      <c r="AI2808">
        <v>90.444164233689307</v>
      </c>
      <c r="AJ2808">
        <v>99.169629521208407</v>
      </c>
      <c r="AK2808">
        <v>131.33310727268901</v>
      </c>
      <c r="AL2808">
        <v>91.842068338473993</v>
      </c>
      <c r="AM2808">
        <v>91.578228023247306</v>
      </c>
      <c r="AN2808">
        <v>1.00000002289565</v>
      </c>
    </row>
    <row r="2809" spans="1:40" x14ac:dyDescent="0.25">
      <c r="A2809" t="str">
        <f>"20190303153826303"</f>
        <v>20190303153826303</v>
      </c>
      <c r="B2809" t="str">
        <f>"1551598706291352"</f>
        <v>1551598706291352</v>
      </c>
      <c r="C2809" t="s">
        <v>40</v>
      </c>
      <c r="D2809">
        <v>3.8587150000000001</v>
      </c>
      <c r="E2809">
        <v>0.44961000000000001</v>
      </c>
      <c r="F2809" t="s">
        <v>59</v>
      </c>
      <c r="G2809">
        <v>-512.8252</v>
      </c>
      <c r="H2809">
        <v>4.9370049999999999E-2</v>
      </c>
      <c r="I2809">
        <v>262.67700000000002</v>
      </c>
      <c r="J2809">
        <v>-383.428</v>
      </c>
      <c r="K2809">
        <v>1.1210610000000001</v>
      </c>
      <c r="L2809">
        <v>284.108</v>
      </c>
      <c r="M2809">
        <v>-0.99989349999999999</v>
      </c>
      <c r="N2809">
        <v>-1.408853E-2</v>
      </c>
      <c r="O2809">
        <v>-3.838382E-3</v>
      </c>
      <c r="P2809">
        <v>-0.99845139999999999</v>
      </c>
      <c r="Q2809">
        <v>-4.6202979999999998E-2</v>
      </c>
      <c r="R2809">
        <v>-3.0992220000000001E-2</v>
      </c>
      <c r="S2809">
        <v>-2.9879760000000002</v>
      </c>
      <c r="T2809">
        <v>-2.4711009999999999E-2</v>
      </c>
      <c r="U2809">
        <v>-0.49420170000000002</v>
      </c>
      <c r="V2809">
        <v>-2.7164549999999999E-2</v>
      </c>
      <c r="W2809">
        <v>-3.212549E-2</v>
      </c>
      <c r="X2809">
        <v>0.99911459999999996</v>
      </c>
      <c r="Y2809">
        <v>-0.15937680000000001</v>
      </c>
      <c r="Z2809">
        <v>-1.8071459999999999E-3</v>
      </c>
      <c r="AA2809">
        <v>0.98721619999999999</v>
      </c>
      <c r="AB2809">
        <v>32</v>
      </c>
      <c r="AC2809">
        <v>-129.397199999999</v>
      </c>
      <c r="AD2809">
        <v>-1.07169095</v>
      </c>
      <c r="AE2809">
        <v>-21.430999999999901</v>
      </c>
      <c r="AF2809">
        <v>-20.932719435274599</v>
      </c>
      <c r="AG2809">
        <v>-1.07169095</v>
      </c>
      <c r="AH2809">
        <v>129.46987129411801</v>
      </c>
      <c r="AI2809">
        <v>90.468177350202296</v>
      </c>
      <c r="AJ2809">
        <v>99.1841197020603</v>
      </c>
      <c r="AK2809">
        <v>131.15553681550699</v>
      </c>
      <c r="AL2809">
        <v>91.840971797762194</v>
      </c>
      <c r="AM2809">
        <v>91.5574096564619</v>
      </c>
      <c r="AN2809">
        <v>0.99999997190880097</v>
      </c>
    </row>
    <row r="2810" spans="1:40" x14ac:dyDescent="0.25">
      <c r="A2810" t="str">
        <f>"20190303153826316"</f>
        <v>20190303153826316</v>
      </c>
      <c r="B2810" t="str">
        <f>"1551598706311847"</f>
        <v>1551598706311847</v>
      </c>
      <c r="C2810" t="s">
        <v>40</v>
      </c>
      <c r="D2810">
        <v>3.8517939999999999</v>
      </c>
      <c r="E2810">
        <v>0.42652869999999998</v>
      </c>
      <c r="F2810" t="s">
        <v>42</v>
      </c>
      <c r="G2810">
        <v>-502.90969999999999</v>
      </c>
      <c r="H2810">
        <v>7.9985570000000006E-2</v>
      </c>
      <c r="I2810">
        <v>264.27080000000001</v>
      </c>
      <c r="J2810">
        <v>-383.61099999999999</v>
      </c>
      <c r="K2810">
        <v>1.1210549999999999</v>
      </c>
      <c r="L2810">
        <v>284.10730000000001</v>
      </c>
      <c r="M2810">
        <v>-0.99989309999999998</v>
      </c>
      <c r="N2810">
        <v>-1.411218E-2</v>
      </c>
      <c r="O2810">
        <v>-3.796205E-3</v>
      </c>
      <c r="P2810">
        <v>-0.99844310000000003</v>
      </c>
      <c r="Q2810">
        <v>-4.6767860000000001E-2</v>
      </c>
      <c r="R2810">
        <v>-3.0397299999999999E-2</v>
      </c>
      <c r="S2810">
        <v>-2.9880369999999998</v>
      </c>
      <c r="T2810">
        <v>-2.6035550000000001E-2</v>
      </c>
      <c r="U2810">
        <v>-0.49609379999999997</v>
      </c>
      <c r="V2810">
        <v>-2.6612400000000001E-2</v>
      </c>
      <c r="W2810">
        <v>-3.2666859999999999E-2</v>
      </c>
      <c r="X2810">
        <v>0.999112</v>
      </c>
      <c r="Y2810">
        <v>-0.16002239999999901</v>
      </c>
      <c r="Z2810">
        <v>-1.849694E-3</v>
      </c>
      <c r="AA2810">
        <v>0.98711159999999998</v>
      </c>
      <c r="AB2810">
        <v>32</v>
      </c>
      <c r="AC2810">
        <v>-119.2987</v>
      </c>
      <c r="AD2810">
        <v>-1.0410694300000001</v>
      </c>
      <c r="AE2810">
        <v>-19.836500000000001</v>
      </c>
      <c r="AF2810">
        <v>-19.381993271862701</v>
      </c>
      <c r="AG2810">
        <v>-1.0410694300000001</v>
      </c>
      <c r="AH2810">
        <v>119.364305722263</v>
      </c>
      <c r="AI2810">
        <v>90.493248695652994</v>
      </c>
      <c r="AJ2810">
        <v>99.223008532328805</v>
      </c>
      <c r="AK2810">
        <v>120.932142002474</v>
      </c>
      <c r="AL2810">
        <v>91.872006128676901</v>
      </c>
      <c r="AM2810">
        <v>91.525772642716802</v>
      </c>
      <c r="AN2810">
        <v>1.0000000660599999</v>
      </c>
    </row>
    <row r="2811" spans="1:40" x14ac:dyDescent="0.25">
      <c r="A2811" t="str">
        <f>"20190303153826330"</f>
        <v>20190303153826330</v>
      </c>
      <c r="B2811" t="str">
        <f>"1551598706321607"</f>
        <v>1551598706321607</v>
      </c>
      <c r="C2811" t="s">
        <v>40</v>
      </c>
      <c r="D2811">
        <v>3.852535</v>
      </c>
      <c r="E2811">
        <v>0.4256798</v>
      </c>
      <c r="F2811" t="s">
        <v>57</v>
      </c>
      <c r="G2811">
        <v>-433.59219999999999</v>
      </c>
      <c r="H2811">
        <v>8.0001810000000007E-2</v>
      </c>
      <c r="I2811">
        <v>272.74090000000001</v>
      </c>
      <c r="J2811">
        <v>-383.80399999999997</v>
      </c>
      <c r="K2811">
        <v>1.1210519999999999</v>
      </c>
      <c r="L2811">
        <v>284.10660000000001</v>
      </c>
      <c r="M2811">
        <v>-0.99989309999999998</v>
      </c>
      <c r="N2811">
        <v>-1.413536E-2</v>
      </c>
      <c r="O2811">
        <v>-3.7521210000000002E-3</v>
      </c>
      <c r="P2811">
        <v>-0.9984421</v>
      </c>
      <c r="Q2811">
        <v>-4.7036540000000002E-2</v>
      </c>
      <c r="R2811">
        <v>-3.001881E-2</v>
      </c>
      <c r="S2811">
        <v>-2.9811399999999999</v>
      </c>
      <c r="T2811">
        <v>-6.2093849999999999E-2</v>
      </c>
      <c r="U2811">
        <v>-0.677948</v>
      </c>
      <c r="V2811">
        <v>-2.6277740000000001E-2</v>
      </c>
      <c r="W2811">
        <v>-3.2912370000000003E-2</v>
      </c>
      <c r="X2811">
        <v>0.99911269999999996</v>
      </c>
      <c r="Y2811">
        <v>-0.21801309999999999</v>
      </c>
      <c r="Z2811">
        <v>-3.7774760000000001E-3</v>
      </c>
      <c r="AA2811">
        <v>0.97593859999999999</v>
      </c>
      <c r="AB2811">
        <v>32</v>
      </c>
      <c r="AC2811">
        <v>-49.788199999999897</v>
      </c>
      <c r="AD2811">
        <v>-1.04105019</v>
      </c>
      <c r="AE2811">
        <v>-11.3657</v>
      </c>
      <c r="AF2811">
        <v>-11.174146499118001</v>
      </c>
      <c r="AG2811">
        <v>-1.04105019</v>
      </c>
      <c r="AH2811">
        <v>49.809800492663904</v>
      </c>
      <c r="AI2811">
        <v>91.168307278451806</v>
      </c>
      <c r="AJ2811">
        <v>102.644183673846</v>
      </c>
      <c r="AK2811">
        <v>51.058413220553902</v>
      </c>
      <c r="AL2811">
        <v>91.886080572388593</v>
      </c>
      <c r="AM2811">
        <v>91.506593376049693</v>
      </c>
      <c r="AN2811">
        <v>0.999999965509906</v>
      </c>
    </row>
    <row r="2812" spans="1:40" x14ac:dyDescent="0.25">
      <c r="A2812" t="str">
        <f>"20190303153826342"</f>
        <v>20190303153826342</v>
      </c>
      <c r="B2812" t="str">
        <f>"1551598706331367"</f>
        <v>1551598706331367</v>
      </c>
      <c r="C2812" t="s">
        <v>40</v>
      </c>
      <c r="D2812">
        <v>3.84741</v>
      </c>
      <c r="E2812">
        <v>0.42512539999999999</v>
      </c>
      <c r="F2812" t="s">
        <v>57</v>
      </c>
      <c r="G2812">
        <v>-433.62110000000001</v>
      </c>
      <c r="H2812">
        <v>8.0001829999999996E-2</v>
      </c>
      <c r="I2812">
        <v>272.68599999999998</v>
      </c>
      <c r="J2812">
        <v>-383.98099999999999</v>
      </c>
      <c r="K2812">
        <v>1.121057</v>
      </c>
      <c r="L2812">
        <v>284.10599999999999</v>
      </c>
      <c r="M2812">
        <v>-0.99989309999999998</v>
      </c>
      <c r="N2812">
        <v>-1.415401E-2</v>
      </c>
      <c r="O2812">
        <v>-3.712304E-3</v>
      </c>
      <c r="P2812">
        <v>-0.99842980000000003</v>
      </c>
      <c r="Q2812">
        <v>-4.7314929999999998E-2</v>
      </c>
      <c r="R2812">
        <v>-2.9995069999999999E-2</v>
      </c>
      <c r="S2812">
        <v>-2.981201</v>
      </c>
      <c r="T2812">
        <v>-6.2299489999999999E-2</v>
      </c>
      <c r="U2812">
        <v>-0.68344119999999997</v>
      </c>
      <c r="V2812">
        <v>-2.6294189999999999E-2</v>
      </c>
      <c r="W2812">
        <v>-3.3172229999999997E-2</v>
      </c>
      <c r="X2812">
        <v>0.99910370000000004</v>
      </c>
      <c r="Y2812">
        <v>-0.21975539999999999</v>
      </c>
      <c r="Z2812">
        <v>-3.8173130000000001E-3</v>
      </c>
      <c r="AA2812">
        <v>0.97554759999999996</v>
      </c>
      <c r="AB2812">
        <v>32</v>
      </c>
      <c r="AC2812">
        <v>-49.640099999999997</v>
      </c>
      <c r="AD2812">
        <v>-1.0410551699999999</v>
      </c>
      <c r="AE2812">
        <v>-11.42</v>
      </c>
      <c r="AF2812">
        <v>-11.230932343931901</v>
      </c>
      <c r="AG2812">
        <v>-1.0410551699999999</v>
      </c>
      <c r="AH2812">
        <v>49.661412106112003</v>
      </c>
      <c r="AI2812">
        <v>91.171347416314404</v>
      </c>
      <c r="AJ2812">
        <v>102.74308760105301</v>
      </c>
      <c r="AK2812">
        <v>50.926157223513798</v>
      </c>
      <c r="AL2812">
        <v>91.900977537693905</v>
      </c>
      <c r="AM2812">
        <v>91.507549649871194</v>
      </c>
      <c r="AN2812">
        <v>0.99999999231230896</v>
      </c>
    </row>
    <row r="2813" spans="1:40" x14ac:dyDescent="0.25">
      <c r="A2813" t="str">
        <f>"20190303153826355"</f>
        <v>20190303153826355</v>
      </c>
      <c r="B2813" t="str">
        <f>"1551598706351863"</f>
        <v>1551598706351863</v>
      </c>
      <c r="C2813" t="s">
        <v>40</v>
      </c>
      <c r="D2813">
        <v>3.8540839999999998</v>
      </c>
      <c r="E2813">
        <v>0.4250215</v>
      </c>
      <c r="F2813" t="s">
        <v>57</v>
      </c>
      <c r="G2813">
        <v>-431.82960000000003</v>
      </c>
      <c r="H2813">
        <v>8.0001799999999998E-2</v>
      </c>
      <c r="I2813">
        <v>273.06580000000002</v>
      </c>
      <c r="J2813">
        <v>-384.1678</v>
      </c>
      <c r="K2813">
        <v>1.1210560000000001</v>
      </c>
      <c r="L2813">
        <v>284.1053</v>
      </c>
      <c r="M2813">
        <v>-0.99989300000000003</v>
      </c>
      <c r="N2813">
        <v>-1.417242E-2</v>
      </c>
      <c r="O2813">
        <v>-3.670221E-3</v>
      </c>
      <c r="P2813">
        <v>-0.99843570000000004</v>
      </c>
      <c r="Q2813">
        <v>-4.7376750000000002E-2</v>
      </c>
      <c r="R2813">
        <v>-2.9696199999999999E-2</v>
      </c>
      <c r="S2813">
        <v>-2.980988</v>
      </c>
      <c r="T2813">
        <v>-6.4858079999999999E-2</v>
      </c>
      <c r="U2813">
        <v>-0.68780520000000001</v>
      </c>
      <c r="V2813">
        <v>-2.603689E-2</v>
      </c>
      <c r="W2813">
        <v>-3.3215599999999998E-2</v>
      </c>
      <c r="X2813">
        <v>0.99910900000000002</v>
      </c>
      <c r="Y2813">
        <v>-0.2211621</v>
      </c>
      <c r="Z2813">
        <v>-3.9349179999999999E-3</v>
      </c>
      <c r="AA2813">
        <v>0.97522909999999996</v>
      </c>
      <c r="AB2813">
        <v>32</v>
      </c>
      <c r="AC2813">
        <v>-47.661799999999999</v>
      </c>
      <c r="AD2813">
        <v>-1.0410542</v>
      </c>
      <c r="AE2813">
        <v>-11.039499999999901</v>
      </c>
      <c r="AF2813">
        <v>-10.859561500434699</v>
      </c>
      <c r="AG2813">
        <v>-1.0410542</v>
      </c>
      <c r="AH2813">
        <v>47.680410517979603</v>
      </c>
      <c r="AI2813">
        <v>91.219575403327894</v>
      </c>
      <c r="AJ2813">
        <v>102.830663547458</v>
      </c>
      <c r="AK2813">
        <v>48.912528221224903</v>
      </c>
      <c r="AL2813">
        <v>91.903463821047097</v>
      </c>
      <c r="AM2813">
        <v>91.492796418544401</v>
      </c>
      <c r="AN2813">
        <v>0.99999999480261603</v>
      </c>
    </row>
    <row r="2814" spans="1:40" x14ac:dyDescent="0.25">
      <c r="A2814" t="str">
        <f>"20190303153826375"</f>
        <v>20190303153826375</v>
      </c>
      <c r="B2814" t="str">
        <f>"1551598706371383"</f>
        <v>1551598706371383</v>
      </c>
      <c r="C2814" t="s">
        <v>40</v>
      </c>
      <c r="D2814">
        <v>3.8396460000000001</v>
      </c>
      <c r="E2814">
        <v>0.42473270000000002</v>
      </c>
      <c r="F2814" t="s">
        <v>57</v>
      </c>
      <c r="G2814">
        <v>-434.90339999999998</v>
      </c>
      <c r="H2814">
        <v>8.0001849999999999E-2</v>
      </c>
      <c r="I2814">
        <v>272.40050000000002</v>
      </c>
      <c r="J2814">
        <v>-384.43740000000003</v>
      </c>
      <c r="K2814">
        <v>1.1210530000000001</v>
      </c>
      <c r="L2814">
        <v>284.1044</v>
      </c>
      <c r="M2814">
        <v>-0.99989289999999997</v>
      </c>
      <c r="N2814">
        <v>-1.419606E-2</v>
      </c>
      <c r="O2814">
        <v>-3.6105320000000001E-3</v>
      </c>
      <c r="P2814">
        <v>-0.99840309999999999</v>
      </c>
      <c r="Q2814">
        <v>-4.77654E-2</v>
      </c>
      <c r="R2814">
        <v>-3.0167329999999999E-2</v>
      </c>
      <c r="S2814">
        <v>-2.9813540000000001</v>
      </c>
      <c r="T2814">
        <v>-6.1174989999999999E-2</v>
      </c>
      <c r="U2814">
        <v>-0.68780520000000001</v>
      </c>
      <c r="V2814">
        <v>-2.6568230000000002E-2</v>
      </c>
      <c r="W2814">
        <v>-3.3580899999999997E-2</v>
      </c>
      <c r="X2814">
        <v>0.99908280000000005</v>
      </c>
      <c r="Y2814">
        <v>-0.22120139999999999</v>
      </c>
      <c r="Z2814">
        <v>-3.8080789999999998E-3</v>
      </c>
      <c r="AA2814">
        <v>0.97522070000000005</v>
      </c>
      <c r="AB2814">
        <v>32</v>
      </c>
      <c r="AC2814">
        <v>-50.465999999999902</v>
      </c>
      <c r="AD2814">
        <v>-1.0410511499999999</v>
      </c>
      <c r="AE2814">
        <v>-11.7038999999999</v>
      </c>
      <c r="AF2814">
        <v>-11.51694542051</v>
      </c>
      <c r="AG2814">
        <v>-1.0410511499999999</v>
      </c>
      <c r="AH2814">
        <v>50.4875443716086</v>
      </c>
      <c r="AI2814">
        <v>91.151692664041803</v>
      </c>
      <c r="AJ2814">
        <v>102.850123709624</v>
      </c>
      <c r="AK2814">
        <v>51.794941413144599</v>
      </c>
      <c r="AL2814">
        <v>91.924405653133206</v>
      </c>
      <c r="AM2814">
        <v>91.523285930198895</v>
      </c>
      <c r="AN2814">
        <v>0.99999999447299104</v>
      </c>
    </row>
    <row r="2815" spans="1:40" x14ac:dyDescent="0.25">
      <c r="A2815" t="str">
        <f>"20190303153826386"</f>
        <v>20190303153826386</v>
      </c>
      <c r="B2815" t="str">
        <f>"1551598706381144"</f>
        <v>1551598706381144</v>
      </c>
      <c r="C2815" t="s">
        <v>40</v>
      </c>
      <c r="D2815">
        <v>3.8347690000000001</v>
      </c>
      <c r="E2815">
        <v>0.42466110000000001</v>
      </c>
      <c r="F2815" t="s">
        <v>57</v>
      </c>
      <c r="G2815">
        <v>-432.50549999999998</v>
      </c>
      <c r="H2815">
        <v>8.0001799999999998E-2</v>
      </c>
      <c r="I2815">
        <v>272.95240000000001</v>
      </c>
      <c r="J2815">
        <v>-384.61750000000001</v>
      </c>
      <c r="K2815">
        <v>1.121051</v>
      </c>
      <c r="L2815">
        <v>284.10379999999998</v>
      </c>
      <c r="M2815">
        <v>-0.99989280000000003</v>
      </c>
      <c r="N2815">
        <v>-1.4210260000000001E-2</v>
      </c>
      <c r="O2815">
        <v>-3.5708100000000002E-3</v>
      </c>
      <c r="P2815">
        <v>-0.99839440000000002</v>
      </c>
      <c r="Q2815">
        <v>-4.7859449999999998E-2</v>
      </c>
      <c r="R2815">
        <v>-3.0304339999999999E-2</v>
      </c>
      <c r="S2815">
        <v>-2.980804</v>
      </c>
      <c r="T2815">
        <v>-6.4557790000000004E-2</v>
      </c>
      <c r="U2815">
        <v>-0.69155880000000003</v>
      </c>
      <c r="V2815">
        <v>-2.674491E-2</v>
      </c>
      <c r="W2815">
        <v>-3.3660820000000001E-2</v>
      </c>
      <c r="X2815">
        <v>0.99907539999999995</v>
      </c>
      <c r="Y2815">
        <v>-0.22243779999999999</v>
      </c>
      <c r="Z2815">
        <v>-3.9522430000000002E-3</v>
      </c>
      <c r="AA2815">
        <v>0.97493890000000005</v>
      </c>
      <c r="AB2815">
        <v>32</v>
      </c>
      <c r="AC2815">
        <v>-47.887999999999899</v>
      </c>
      <c r="AD2815">
        <v>-1.0410492</v>
      </c>
      <c r="AE2815">
        <v>-11.151399999999899</v>
      </c>
      <c r="AF2815">
        <v>-10.9753925811236</v>
      </c>
      <c r="AG2815">
        <v>-1.0410492</v>
      </c>
      <c r="AH2815">
        <v>47.9060425566731</v>
      </c>
      <c r="AI2815">
        <v>91.2134729096489</v>
      </c>
      <c r="AJ2815">
        <v>102.903913845372</v>
      </c>
      <c r="AK2815">
        <v>49.158233686620399</v>
      </c>
      <c r="AL2815">
        <v>91.928987315354604</v>
      </c>
      <c r="AM2815">
        <v>91.533422386334905</v>
      </c>
      <c r="AN2815">
        <v>0.99999999794956995</v>
      </c>
    </row>
    <row r="2816" spans="1:40" x14ac:dyDescent="0.25">
      <c r="A2816" t="str">
        <f>"20190303153826400"</f>
        <v>20190303153826400</v>
      </c>
      <c r="B2816" t="str">
        <f>"1551598706391880"</f>
        <v>1551598706391880</v>
      </c>
      <c r="C2816" t="s">
        <v>40</v>
      </c>
      <c r="D2816">
        <v>3.8289080000000002</v>
      </c>
      <c r="E2816">
        <v>0.42444989999999999</v>
      </c>
      <c r="F2816" t="s">
        <v>57</v>
      </c>
      <c r="G2816">
        <v>-431.80509999999998</v>
      </c>
      <c r="H2816">
        <v>8.0001779999999995E-2</v>
      </c>
      <c r="I2816">
        <v>273.14389999999997</v>
      </c>
      <c r="J2816">
        <v>-384.79880000000003</v>
      </c>
      <c r="K2816">
        <v>1.1210500000000001</v>
      </c>
      <c r="L2816">
        <v>284.10320000000002</v>
      </c>
      <c r="M2816">
        <v>-0.99989260000000002</v>
      </c>
      <c r="N2816">
        <v>-1.422286E-2</v>
      </c>
      <c r="O2816">
        <v>-3.5308420000000002E-3</v>
      </c>
      <c r="P2816">
        <v>-0.99839889999999998</v>
      </c>
      <c r="Q2816">
        <v>-4.7711490000000002E-2</v>
      </c>
      <c r="R2816">
        <v>-3.038515E-2</v>
      </c>
      <c r="S2816">
        <v>-2.9806520000000001</v>
      </c>
      <c r="T2816">
        <v>-6.5758940000000002E-2</v>
      </c>
      <c r="U2816">
        <v>-0.69229130000000005</v>
      </c>
      <c r="V2816">
        <v>-2.6865110000000001E-2</v>
      </c>
      <c r="W2816">
        <v>-3.3500210000000002E-2</v>
      </c>
      <c r="X2816">
        <v>0.99907760000000001</v>
      </c>
      <c r="Y2816">
        <v>-0.2227124</v>
      </c>
      <c r="Z2816">
        <v>-4.0018839999999998E-3</v>
      </c>
      <c r="AA2816">
        <v>0.97487599999999996</v>
      </c>
      <c r="AB2816">
        <v>32</v>
      </c>
      <c r="AC2816">
        <v>-47.006299999999896</v>
      </c>
      <c r="AD2816">
        <v>-1.04104822</v>
      </c>
      <c r="AE2816">
        <v>-10.959300000000001</v>
      </c>
      <c r="AF2816">
        <v>-10.788224353157799</v>
      </c>
      <c r="AG2816">
        <v>-1.04104822</v>
      </c>
      <c r="AH2816">
        <v>47.0228312661921</v>
      </c>
      <c r="AI2816">
        <v>91.236170036456201</v>
      </c>
      <c r="AJ2816">
        <v>102.921483813683</v>
      </c>
      <c r="AK2816">
        <v>48.255737756034797</v>
      </c>
      <c r="AL2816">
        <v>91.919779796292502</v>
      </c>
      <c r="AM2816">
        <v>91.540307363899004</v>
      </c>
      <c r="AN2816">
        <v>1.0000000245135501</v>
      </c>
    </row>
    <row r="2817" spans="1:40" x14ac:dyDescent="0.25">
      <c r="A2817" t="str">
        <f>"20190303153826421"</f>
        <v>20190303153826421</v>
      </c>
      <c r="B2817" t="str">
        <f>"1551598706411400"</f>
        <v>1551598706411400</v>
      </c>
      <c r="C2817" t="s">
        <v>40</v>
      </c>
      <c r="D2817">
        <v>3.852042</v>
      </c>
      <c r="E2817">
        <v>0.4242727</v>
      </c>
      <c r="F2817" t="s">
        <v>57</v>
      </c>
      <c r="G2817">
        <v>-432.4074</v>
      </c>
      <c r="H2817">
        <v>8.0001790000000003E-2</v>
      </c>
      <c r="I2817">
        <v>273.01209999999998</v>
      </c>
      <c r="J2817">
        <v>-385.07810000000001</v>
      </c>
      <c r="K2817">
        <v>1.1210530000000001</v>
      </c>
      <c r="L2817">
        <v>284.10230000000001</v>
      </c>
      <c r="M2817">
        <v>-0.99989269999999997</v>
      </c>
      <c r="N2817">
        <v>-1.4240269999999999E-2</v>
      </c>
      <c r="O2817">
        <v>-3.4699269999999998E-3</v>
      </c>
      <c r="P2817">
        <v>-0.99838729999999998</v>
      </c>
      <c r="Q2817">
        <v>-4.751499E-2</v>
      </c>
      <c r="R2817">
        <v>-3.1071620000000001E-2</v>
      </c>
      <c r="S2817">
        <v>-2.980591</v>
      </c>
      <c r="T2817">
        <v>-6.5176010000000006E-2</v>
      </c>
      <c r="U2817">
        <v>-0.6943665</v>
      </c>
      <c r="V2817">
        <v>-2.7613240000000001E-2</v>
      </c>
      <c r="W2817">
        <v>-3.3286330000000003E-2</v>
      </c>
      <c r="X2817">
        <v>0.99906430000000002</v>
      </c>
      <c r="Y2817">
        <v>-0.22342100000000001</v>
      </c>
      <c r="Z2817">
        <v>-3.9963020000000002E-3</v>
      </c>
      <c r="AA2817">
        <v>0.97471390000000002</v>
      </c>
      <c r="AB2817">
        <v>32</v>
      </c>
      <c r="AC2817">
        <v>-47.329299999999897</v>
      </c>
      <c r="AD2817">
        <v>-1.04105121</v>
      </c>
      <c r="AE2817">
        <v>-11.090199999999999</v>
      </c>
      <c r="AF2817">
        <v>-10.920878637165901</v>
      </c>
      <c r="AG2817">
        <v>-1.04105121</v>
      </c>
      <c r="AH2817">
        <v>47.345786500667501</v>
      </c>
      <c r="AI2817">
        <v>91.227412355479402</v>
      </c>
      <c r="AJ2817">
        <v>102.988788980839</v>
      </c>
      <c r="AK2817">
        <v>48.600132481263202</v>
      </c>
      <c r="AL2817">
        <v>91.907518635002802</v>
      </c>
      <c r="AM2817">
        <v>91.583200824699603</v>
      </c>
      <c r="AN2817">
        <v>0.99999997316132705</v>
      </c>
    </row>
    <row r="2818" spans="1:40" x14ac:dyDescent="0.25">
      <c r="A2818" t="str">
        <f>"20190303153826441"</f>
        <v>20190303153826441</v>
      </c>
      <c r="B2818" t="str">
        <f>"1551598706431896"</f>
        <v>1551598706431896</v>
      </c>
      <c r="C2818" t="s">
        <v>40</v>
      </c>
      <c r="D2818">
        <v>3.8185190000000002</v>
      </c>
      <c r="E2818">
        <v>0.4240835</v>
      </c>
      <c r="F2818" t="s">
        <v>57</v>
      </c>
      <c r="G2818">
        <v>-434.77629999999999</v>
      </c>
      <c r="H2818">
        <v>8.0001829999999996E-2</v>
      </c>
      <c r="I2818">
        <v>272.46409999999997</v>
      </c>
      <c r="J2818">
        <v>-385.3766</v>
      </c>
      <c r="K2818">
        <v>1.1210560000000001</v>
      </c>
      <c r="L2818">
        <v>284.10129999999998</v>
      </c>
      <c r="M2818">
        <v>-0.99989260000000002</v>
      </c>
      <c r="N2818">
        <v>-1.4256029999999999E-2</v>
      </c>
      <c r="O2818">
        <v>-3.404593E-3</v>
      </c>
      <c r="P2818">
        <v>-0.99838850000000001</v>
      </c>
      <c r="Q2818">
        <v>-4.7499230000000003E-2</v>
      </c>
      <c r="R2818">
        <v>-3.104956E-2</v>
      </c>
      <c r="S2818">
        <v>-2.9801030000000002</v>
      </c>
      <c r="T2818">
        <v>-6.2425609999999999E-2</v>
      </c>
      <c r="U2818">
        <v>-0.69787600000000005</v>
      </c>
      <c r="V2818">
        <v>-2.7656139999999999E-2</v>
      </c>
      <c r="W2818">
        <v>-3.3254819999999997E-2</v>
      </c>
      <c r="X2818">
        <v>0.99906419999999996</v>
      </c>
      <c r="Y2818">
        <v>-0.22461339999999999</v>
      </c>
      <c r="Z2818">
        <v>-3.9212270000000002E-3</v>
      </c>
      <c r="AA2818">
        <v>0.97444010000000003</v>
      </c>
      <c r="AB2818">
        <v>32</v>
      </c>
      <c r="AC2818">
        <v>-49.399700000000003</v>
      </c>
      <c r="AD2818">
        <v>-1.04105417</v>
      </c>
      <c r="AE2818">
        <v>-11.6372</v>
      </c>
      <c r="AF2818">
        <v>-11.464105855709001</v>
      </c>
      <c r="AG2818">
        <v>-1.04105417</v>
      </c>
      <c r="AH2818">
        <v>49.418244005606702</v>
      </c>
      <c r="AI2818">
        <v>91.175615894095102</v>
      </c>
      <c r="AJ2818">
        <v>103.060531475153</v>
      </c>
      <c r="AK2818">
        <v>50.741229364821898</v>
      </c>
      <c r="AL2818">
        <v>91.905712173845799</v>
      </c>
      <c r="AM2818">
        <v>91.585659393420698</v>
      </c>
      <c r="AN2818">
        <v>1.0000000104272799</v>
      </c>
    </row>
    <row r="2819" spans="1:40" x14ac:dyDescent="0.25">
      <c r="A2819" t="str">
        <f>"20190303153826454"</f>
        <v>20190303153826454</v>
      </c>
      <c r="B2819" t="str">
        <f>"1551598706451415"</f>
        <v>1551598706451415</v>
      </c>
      <c r="C2819" t="s">
        <v>40</v>
      </c>
      <c r="D2819">
        <v>3.7941349999999998</v>
      </c>
      <c r="E2819">
        <v>0.42382259999999999</v>
      </c>
      <c r="F2819" t="s">
        <v>57</v>
      </c>
      <c r="G2819">
        <v>-434.70280000000002</v>
      </c>
      <c r="H2819">
        <v>8.0001820000000001E-2</v>
      </c>
      <c r="I2819">
        <v>272.52690000000001</v>
      </c>
      <c r="J2819">
        <v>-385.55279999999999</v>
      </c>
      <c r="K2819">
        <v>1.1210599999999999</v>
      </c>
      <c r="L2819">
        <v>284.10070000000002</v>
      </c>
      <c r="M2819">
        <v>-0.99989269999999997</v>
      </c>
      <c r="N2819">
        <v>-1.426419E-2</v>
      </c>
      <c r="O2819">
        <v>-3.3661469999999999E-3</v>
      </c>
      <c r="P2819">
        <v>-0.99837929999999997</v>
      </c>
      <c r="Q2819">
        <v>-4.7677129999999998E-2</v>
      </c>
      <c r="R2819">
        <v>-3.107503E-2</v>
      </c>
      <c r="S2819">
        <v>-2.9801030000000002</v>
      </c>
      <c r="T2819">
        <v>-6.2896610000000006E-2</v>
      </c>
      <c r="U2819">
        <v>-0.69927980000000001</v>
      </c>
      <c r="V2819">
        <v>-2.7719819999999999E-2</v>
      </c>
      <c r="W2819">
        <v>-3.3424679999999998E-2</v>
      </c>
      <c r="X2819">
        <v>0.99905679999999997</v>
      </c>
      <c r="Y2819">
        <v>-0.2250848</v>
      </c>
      <c r="Z2819">
        <v>-3.9476989999999998E-3</v>
      </c>
      <c r="AA2819">
        <v>0.97433119999999995</v>
      </c>
      <c r="AB2819">
        <v>31</v>
      </c>
      <c r="AC2819">
        <v>-49.15</v>
      </c>
      <c r="AD2819">
        <v>-1.0410581799999901</v>
      </c>
      <c r="AE2819">
        <v>-11.5738</v>
      </c>
      <c r="AF2819">
        <v>-11.403424168187399</v>
      </c>
      <c r="AG2819">
        <v>-1.0410581799999901</v>
      </c>
      <c r="AH2819">
        <v>49.167784582176999</v>
      </c>
      <c r="AI2819">
        <v>91.181620950377607</v>
      </c>
      <c r="AJ2819">
        <v>103.05767869537399</v>
      </c>
      <c r="AK2819">
        <v>50.483590656896702</v>
      </c>
      <c r="AL2819">
        <v>91.915449784629701</v>
      </c>
      <c r="AM2819">
        <v>91.5893203693457</v>
      </c>
      <c r="AN2819">
        <v>1.00000004364008</v>
      </c>
    </row>
    <row r="2820" spans="1:40" x14ac:dyDescent="0.25">
      <c r="A2820" t="str">
        <f>"20190303153826466"</f>
        <v>20190303153826466</v>
      </c>
      <c r="B2820" t="str">
        <f>"1551598706461176"</f>
        <v>1551598706461176</v>
      </c>
      <c r="C2820" t="s">
        <v>40</v>
      </c>
      <c r="D2820">
        <v>3.773155</v>
      </c>
      <c r="E2820">
        <v>0.42361100000000002</v>
      </c>
      <c r="F2820" t="s">
        <v>57</v>
      </c>
      <c r="G2820">
        <v>-434.41629999999998</v>
      </c>
      <c r="H2820">
        <v>8.0001810000000007E-2</v>
      </c>
      <c r="I2820">
        <v>272.60160000000002</v>
      </c>
      <c r="J2820">
        <v>-385.73140000000001</v>
      </c>
      <c r="K2820">
        <v>1.121062</v>
      </c>
      <c r="L2820">
        <v>284.10019999999997</v>
      </c>
      <c r="M2820">
        <v>-0.99989260000000002</v>
      </c>
      <c r="N2820">
        <v>-1.427164E-2</v>
      </c>
      <c r="O2820">
        <v>-3.3272200000000001E-3</v>
      </c>
      <c r="P2820">
        <v>-0.99837260000000005</v>
      </c>
      <c r="Q2820">
        <v>-4.777207E-2</v>
      </c>
      <c r="R2820">
        <v>-3.11436E-2</v>
      </c>
      <c r="S2820">
        <v>-2.9800110000000002</v>
      </c>
      <c r="T2820">
        <v>-6.349051E-2</v>
      </c>
      <c r="U2820">
        <v>-0.70129390000000003</v>
      </c>
      <c r="V2820">
        <v>-2.7827399999999999E-2</v>
      </c>
      <c r="W2820">
        <v>-3.351225E-2</v>
      </c>
      <c r="X2820">
        <v>0.99905089999999996</v>
      </c>
      <c r="Y2820">
        <v>-0.22575190000000001</v>
      </c>
      <c r="Z2820">
        <v>-3.9821550000000002E-3</v>
      </c>
      <c r="AA2820">
        <v>0.97417670000000001</v>
      </c>
      <c r="AB2820">
        <v>31</v>
      </c>
      <c r="AC2820">
        <v>-48.684899999999899</v>
      </c>
      <c r="AD2820">
        <v>-1.0410601900000001</v>
      </c>
      <c r="AE2820">
        <v>-11.4985999999999</v>
      </c>
      <c r="AF2820">
        <v>-11.331626733832399</v>
      </c>
      <c r="AG2820">
        <v>-1.0410601900000001</v>
      </c>
      <c r="AH2820">
        <v>48.701799969553797</v>
      </c>
      <c r="AI2820">
        <v>91.192730108500399</v>
      </c>
      <c r="AJ2820">
        <v>103.09817290376201</v>
      </c>
      <c r="AK2820">
        <v>50.013547075052998</v>
      </c>
      <c r="AL2820">
        <v>91.920469941586404</v>
      </c>
      <c r="AM2820">
        <v>91.595494721545705</v>
      </c>
      <c r="AN2820">
        <v>1.0000000679408101</v>
      </c>
    </row>
    <row r="2821" spans="1:40" x14ac:dyDescent="0.25">
      <c r="A2821" t="str">
        <f>"20190303153826478"</f>
        <v>20190303153826478</v>
      </c>
      <c r="B2821" t="str">
        <f>"1551598706471912"</f>
        <v>1551598706471912</v>
      </c>
      <c r="C2821" t="s">
        <v>40</v>
      </c>
      <c r="D2821">
        <v>3.7675879999999999</v>
      </c>
      <c r="E2821">
        <v>0.42340129999999998</v>
      </c>
      <c r="F2821" t="s">
        <v>57</v>
      </c>
      <c r="G2821">
        <v>-434.51729999999998</v>
      </c>
      <c r="H2821">
        <v>8.0001810000000007E-2</v>
      </c>
      <c r="I2821">
        <v>272.58460000000002</v>
      </c>
      <c r="J2821">
        <v>-385.89420000000001</v>
      </c>
      <c r="K2821">
        <v>1.1210709999999999</v>
      </c>
      <c r="L2821">
        <v>284.09969999999998</v>
      </c>
      <c r="M2821">
        <v>-0.99989280000000003</v>
      </c>
      <c r="N2821">
        <v>-1.427761E-2</v>
      </c>
      <c r="O2821">
        <v>-3.2918589999999998E-3</v>
      </c>
      <c r="P2821">
        <v>-0.99838119999999997</v>
      </c>
      <c r="Q2821">
        <v>-4.7586339999999998E-2</v>
      </c>
      <c r="R2821">
        <v>-3.1160190000000001E-2</v>
      </c>
      <c r="S2821">
        <v>-2.9799500000000001</v>
      </c>
      <c r="T2821">
        <v>-6.3590289999999994E-2</v>
      </c>
      <c r="U2821">
        <v>-0.70339969999999996</v>
      </c>
      <c r="V2821">
        <v>-2.787951E-2</v>
      </c>
      <c r="W2821">
        <v>-3.3320450000000001E-2</v>
      </c>
      <c r="X2821">
        <v>0.99905580000000005</v>
      </c>
      <c r="Y2821">
        <v>-0.22644239999999999</v>
      </c>
      <c r="Z2821">
        <v>-3.9989719999999999E-3</v>
      </c>
      <c r="AA2821">
        <v>0.9740164</v>
      </c>
      <c r="AB2821">
        <v>31</v>
      </c>
      <c r="AC2821">
        <v>-48.623099999999901</v>
      </c>
      <c r="AD2821">
        <v>-1.04106919</v>
      </c>
      <c r="AE2821">
        <v>-11.515099999999901</v>
      </c>
      <c r="AF2821">
        <v>-11.3500340339716</v>
      </c>
      <c r="AG2821">
        <v>-1.04106919</v>
      </c>
      <c r="AH2821">
        <v>48.639632703499103</v>
      </c>
      <c r="AI2821">
        <v>91.194086123018096</v>
      </c>
      <c r="AJ2821">
        <v>103.134900827778</v>
      </c>
      <c r="AK2821">
        <v>49.957191345811097</v>
      </c>
      <c r="AL2821">
        <v>91.909474590324706</v>
      </c>
      <c r="AM2821">
        <v>91.598473083986505</v>
      </c>
      <c r="AN2821">
        <v>1.0000000054898399</v>
      </c>
    </row>
    <row r="2822" spans="1:40" x14ac:dyDescent="0.25">
      <c r="A2822" t="str">
        <f>"20190303153826490"</f>
        <v>20190303153826490</v>
      </c>
      <c r="B2822" t="str">
        <f>"1551598706481672"</f>
        <v>1551598706481672</v>
      </c>
      <c r="C2822" t="s">
        <v>40</v>
      </c>
      <c r="D2822">
        <v>3.759271</v>
      </c>
      <c r="E2822">
        <v>0.42317329999999997</v>
      </c>
      <c r="F2822" t="s">
        <v>43</v>
      </c>
      <c r="G2822">
        <v>-441.52670000000001</v>
      </c>
      <c r="H2822">
        <v>-0.05</v>
      </c>
      <c r="I2822">
        <v>270.93680000000001</v>
      </c>
      <c r="J2822">
        <v>-386.06290000000001</v>
      </c>
      <c r="K2822">
        <v>1.1210719999999901</v>
      </c>
      <c r="L2822">
        <v>284.0992</v>
      </c>
      <c r="M2822">
        <v>-0.99989280000000003</v>
      </c>
      <c r="N2822">
        <v>-1.428346E-2</v>
      </c>
      <c r="O2822">
        <v>-3.254828E-3</v>
      </c>
      <c r="P2822">
        <v>-0.99839739999999999</v>
      </c>
      <c r="Q2822">
        <v>-4.731026E-2</v>
      </c>
      <c r="R2822">
        <v>-3.1056130000000001E-2</v>
      </c>
      <c r="S2822">
        <v>-2.9798580000000001</v>
      </c>
      <c r="T2822">
        <v>-6.2726379999999998E-2</v>
      </c>
      <c r="U2822">
        <v>-0.7050476</v>
      </c>
      <c r="V2822">
        <v>-2.7812590000000002E-2</v>
      </c>
      <c r="W2822">
        <v>-3.3038360000000003E-2</v>
      </c>
      <c r="X2822">
        <v>0.99906700000000004</v>
      </c>
      <c r="Y2822">
        <v>-0.2269969</v>
      </c>
      <c r="Z2822">
        <v>-3.9782699999999999E-3</v>
      </c>
      <c r="AA2822">
        <v>0.97388739999999996</v>
      </c>
      <c r="AB2822">
        <v>31</v>
      </c>
      <c r="AC2822">
        <v>-55.4637999999999</v>
      </c>
      <c r="AD2822">
        <v>-1.1710719999999999</v>
      </c>
      <c r="AE2822">
        <v>-13.1623999999999</v>
      </c>
      <c r="AF2822">
        <v>-12.976310222775099</v>
      </c>
      <c r="AG2822">
        <v>-1.1710719999999999</v>
      </c>
      <c r="AH2822">
        <v>55.482935875225202</v>
      </c>
      <c r="AI2822">
        <v>91.177392550014005</v>
      </c>
      <c r="AJ2822">
        <v>103.163685152303</v>
      </c>
      <c r="AK2822">
        <v>56.992211836015301</v>
      </c>
      <c r="AL2822">
        <v>91.893303183639205</v>
      </c>
      <c r="AM2822">
        <v>91.594620338518595</v>
      </c>
      <c r="AN2822">
        <v>0.99999997194149803</v>
      </c>
    </row>
    <row r="2823" spans="1:40" x14ac:dyDescent="0.25">
      <c r="A2823" t="str">
        <f>"20190303153826502"</f>
        <v>20190303153826502</v>
      </c>
      <c r="B2823" t="str">
        <f>"1551598706491432"</f>
        <v>1551598706491432</v>
      </c>
      <c r="C2823" t="s">
        <v>40</v>
      </c>
      <c r="D2823">
        <v>3.7407859999999999</v>
      </c>
      <c r="E2823">
        <v>0.42289640000000001</v>
      </c>
      <c r="F2823" t="s">
        <v>43</v>
      </c>
      <c r="G2823">
        <v>-442.78969999999998</v>
      </c>
      <c r="H2823">
        <v>-0.05</v>
      </c>
      <c r="I2823">
        <v>270.64670000000001</v>
      </c>
      <c r="J2823">
        <v>-386.23820000000001</v>
      </c>
      <c r="K2823">
        <v>1.121076</v>
      </c>
      <c r="L2823">
        <v>284.09859999999998</v>
      </c>
      <c r="M2823">
        <v>-0.99989280000000003</v>
      </c>
      <c r="N2823">
        <v>-1.428862E-2</v>
      </c>
      <c r="O2823">
        <v>-3.2166009999999999E-3</v>
      </c>
      <c r="P2823">
        <v>-0.99838519999999997</v>
      </c>
      <c r="Q2823">
        <v>-4.733445E-2</v>
      </c>
      <c r="R2823">
        <v>-3.1417729999999998E-2</v>
      </c>
      <c r="S2823">
        <v>-2.979889</v>
      </c>
      <c r="T2823">
        <v>-6.1517000000000002E-2</v>
      </c>
      <c r="U2823">
        <v>-0.70666499999999999</v>
      </c>
      <c r="V2823">
        <v>-2.8211799999999999E-2</v>
      </c>
      <c r="W2823">
        <v>-3.3057490000000002E-2</v>
      </c>
      <c r="X2823">
        <v>0.99905520000000003</v>
      </c>
      <c r="Y2823">
        <v>-0.22753470000000001</v>
      </c>
      <c r="Z2823">
        <v>-3.9442959999999999E-3</v>
      </c>
      <c r="AA2823">
        <v>0.97376200000000002</v>
      </c>
      <c r="AB2823">
        <v>31</v>
      </c>
      <c r="AC2823">
        <v>-56.551499999999898</v>
      </c>
      <c r="AD2823">
        <v>-1.171076</v>
      </c>
      <c r="AE2823">
        <v>-13.451899999999901</v>
      </c>
      <c r="AF2823">
        <v>-13.2645246533373</v>
      </c>
      <c r="AG2823">
        <v>-1.171076</v>
      </c>
      <c r="AH2823">
        <v>56.571520949183203</v>
      </c>
      <c r="AI2823">
        <v>91.154594268800906</v>
      </c>
      <c r="AJ2823">
        <v>103.19596240880701</v>
      </c>
      <c r="AK2823">
        <v>58.117605041679496</v>
      </c>
      <c r="AL2823">
        <v>91.894399801629604</v>
      </c>
      <c r="AM2823">
        <v>91.617515856914906</v>
      </c>
      <c r="AN2823">
        <v>0.99999999797568995</v>
      </c>
    </row>
    <row r="2824" spans="1:40" x14ac:dyDescent="0.25">
      <c r="A2824" t="str">
        <f>"20190303153826514"</f>
        <v>20190303153826514</v>
      </c>
      <c r="B2824" t="str">
        <f>"1551598706511928"</f>
        <v>1551598706511928</v>
      </c>
      <c r="C2824" t="s">
        <v>40</v>
      </c>
      <c r="D2824">
        <v>3.7279089999999999</v>
      </c>
      <c r="E2824">
        <v>0.42272690000000002</v>
      </c>
      <c r="F2824" t="s">
        <v>43</v>
      </c>
      <c r="G2824">
        <v>-442.92500000000001</v>
      </c>
      <c r="H2824">
        <v>-0.05</v>
      </c>
      <c r="I2824">
        <v>270.59109999999998</v>
      </c>
      <c r="J2824">
        <v>-386.4092</v>
      </c>
      <c r="K2824">
        <v>1.121078</v>
      </c>
      <c r="L2824">
        <v>284.09809999999999</v>
      </c>
      <c r="M2824">
        <v>-0.99989289999999997</v>
      </c>
      <c r="N2824">
        <v>-1.429327E-2</v>
      </c>
      <c r="O2824">
        <v>-3.1790849999999999E-3</v>
      </c>
      <c r="P2824">
        <v>-0.9983997</v>
      </c>
      <c r="Q2824">
        <v>-4.7069970000000003E-2</v>
      </c>
      <c r="R2824">
        <v>-3.1350740000000002E-2</v>
      </c>
      <c r="S2824">
        <v>-2.9796140000000002</v>
      </c>
      <c r="T2824">
        <v>-6.1555029999999997E-2</v>
      </c>
      <c r="U2824">
        <v>-0.7099915</v>
      </c>
      <c r="V2824">
        <v>-2.8182510000000001E-2</v>
      </c>
      <c r="W2824">
        <v>-3.2788209999999998E-2</v>
      </c>
      <c r="X2824">
        <v>0.99906490000000003</v>
      </c>
      <c r="Y2824">
        <v>-0.22861970000000001</v>
      </c>
      <c r="Z2824">
        <v>-3.9655050000000002E-3</v>
      </c>
      <c r="AA2824">
        <v>0.97350780000000003</v>
      </c>
      <c r="AB2824">
        <v>31</v>
      </c>
      <c r="AC2824">
        <v>-56.515799999999999</v>
      </c>
      <c r="AD2824">
        <v>-1.1710780000000001</v>
      </c>
      <c r="AE2824">
        <v>-13.507</v>
      </c>
      <c r="AF2824">
        <v>-13.3218339296455</v>
      </c>
      <c r="AG2824">
        <v>-1.1710780000000001</v>
      </c>
      <c r="AH2824">
        <v>56.535495595394501</v>
      </c>
      <c r="AI2824">
        <v>91.155032567961001</v>
      </c>
      <c r="AJ2824">
        <v>103.259113785625</v>
      </c>
      <c r="AK2824">
        <v>58.0956534101133</v>
      </c>
      <c r="AL2824">
        <v>91.878962826495297</v>
      </c>
      <c r="AM2824">
        <v>91.615821733521599</v>
      </c>
      <c r="AN2824">
        <v>0.99999999749845703</v>
      </c>
    </row>
    <row r="2825" spans="1:40" x14ac:dyDescent="0.25">
      <c r="A2825" t="str">
        <f>"20190303153826527"</f>
        <v>20190303153826527</v>
      </c>
      <c r="B2825" t="str">
        <f>"1551598706521687"</f>
        <v>1551598706521687</v>
      </c>
      <c r="C2825" t="s">
        <v>40</v>
      </c>
      <c r="D2825">
        <v>3.7121240000000002</v>
      </c>
      <c r="E2825">
        <v>0.41747250000000002</v>
      </c>
      <c r="F2825" t="s">
        <v>43</v>
      </c>
      <c r="G2825">
        <v>-444.57409999999999</v>
      </c>
      <c r="H2825">
        <v>-0.05</v>
      </c>
      <c r="I2825">
        <v>270.22140000000002</v>
      </c>
      <c r="J2825">
        <v>-386.5933</v>
      </c>
      <c r="K2825">
        <v>1.1210800000000001</v>
      </c>
      <c r="L2825">
        <v>284.0976</v>
      </c>
      <c r="M2825">
        <v>-0.99989289999999997</v>
      </c>
      <c r="N2825">
        <v>-1.4297789999999999E-2</v>
      </c>
      <c r="O2825">
        <v>-3.1388269999999998E-3</v>
      </c>
      <c r="P2825">
        <v>-0.99839880000000003</v>
      </c>
      <c r="Q2825">
        <v>-4.7109190000000002E-2</v>
      </c>
      <c r="R2825">
        <v>-3.13207E-2</v>
      </c>
      <c r="S2825">
        <v>-2.9796749999999999</v>
      </c>
      <c r="T2825">
        <v>-5.9992070000000002E-2</v>
      </c>
      <c r="U2825">
        <v>-0.71087650000000002</v>
      </c>
      <c r="V2825">
        <v>-2.8192479999999999E-2</v>
      </c>
      <c r="W2825">
        <v>-3.282293E-2</v>
      </c>
      <c r="X2825">
        <v>0.99906349999999999</v>
      </c>
      <c r="Y2825">
        <v>-0.228931</v>
      </c>
      <c r="Z2825">
        <v>-3.9140729999999997E-3</v>
      </c>
      <c r="AA2825">
        <v>0.97343480000000004</v>
      </c>
      <c r="AB2825">
        <v>31</v>
      </c>
      <c r="AC2825">
        <v>-57.980799999999903</v>
      </c>
      <c r="AD2825">
        <v>-1.1710799999999999</v>
      </c>
      <c r="AE2825">
        <v>-13.8761999999999</v>
      </c>
      <c r="AF2825">
        <v>-13.6888395204573</v>
      </c>
      <c r="AG2825">
        <v>-1.1710799999999999</v>
      </c>
      <c r="AH2825">
        <v>58.0016939201181</v>
      </c>
      <c r="AI2825">
        <v>91.125751292301999</v>
      </c>
      <c r="AJ2825">
        <v>103.279247786829</v>
      </c>
      <c r="AK2825">
        <v>59.606646050472399</v>
      </c>
      <c r="AL2825">
        <v>91.880953167112096</v>
      </c>
      <c r="AM2825">
        <v>91.616395316195806</v>
      </c>
      <c r="AN2825">
        <v>1.00000001884729</v>
      </c>
    </row>
    <row r="2826" spans="1:40" x14ac:dyDescent="0.25">
      <c r="A2826" t="str">
        <f>"20190303153826542"</f>
        <v>20190303153826542</v>
      </c>
      <c r="B2826" t="str">
        <f>"1551598706531448"</f>
        <v>1551598706531448</v>
      </c>
      <c r="C2826" t="s">
        <v>40</v>
      </c>
      <c r="D2826">
        <v>3.728777</v>
      </c>
      <c r="E2826">
        <v>0.41733229999999999</v>
      </c>
      <c r="F2826" t="s">
        <v>62</v>
      </c>
      <c r="G2826">
        <v>-441.04820000000001</v>
      </c>
      <c r="H2826">
        <v>0.26368049999999998</v>
      </c>
      <c r="I2826">
        <v>270.33210000000003</v>
      </c>
      <c r="J2826">
        <v>-386.7826</v>
      </c>
      <c r="K2826">
        <v>1.121073</v>
      </c>
      <c r="L2826">
        <v>284.09699999999998</v>
      </c>
      <c r="M2826">
        <v>-0.99989309999999998</v>
      </c>
      <c r="N2826">
        <v>-1.430158E-2</v>
      </c>
      <c r="O2826">
        <v>-3.0979639999999999E-3</v>
      </c>
      <c r="P2826">
        <v>-0.99841360000000001</v>
      </c>
      <c r="Q2826">
        <v>-4.693282E-2</v>
      </c>
      <c r="R2826">
        <v>-3.111531E-2</v>
      </c>
      <c r="S2826">
        <v>-2.9790040000000002</v>
      </c>
      <c r="T2826">
        <v>-4.6902180000000002E-2</v>
      </c>
      <c r="U2826">
        <v>-0.75305180000000005</v>
      </c>
      <c r="V2826">
        <v>-2.802781E-2</v>
      </c>
      <c r="W2826">
        <v>-3.2642629999999999E-2</v>
      </c>
      <c r="X2826">
        <v>0.99907400000000002</v>
      </c>
      <c r="Y2826">
        <v>-0.24201700000000001</v>
      </c>
      <c r="Z2826">
        <v>-3.6288900000000001E-3</v>
      </c>
      <c r="AA2826">
        <v>0.97026520000000005</v>
      </c>
      <c r="AB2826">
        <v>31</v>
      </c>
      <c r="AC2826">
        <v>-54.265599999999999</v>
      </c>
      <c r="AD2826">
        <v>-0.857392499999999</v>
      </c>
      <c r="AE2826">
        <v>-13.7648999999999</v>
      </c>
      <c r="AF2826">
        <v>-13.5935155810532</v>
      </c>
      <c r="AG2826">
        <v>-0.857392499999999</v>
      </c>
      <c r="AH2826">
        <v>54.295252304584103</v>
      </c>
      <c r="AI2826">
        <v>90.877616775447393</v>
      </c>
      <c r="AJ2826">
        <v>104.05581010482599</v>
      </c>
      <c r="AK2826">
        <v>55.977613476905603</v>
      </c>
      <c r="AL2826">
        <v>91.870617275196906</v>
      </c>
      <c r="AM2826">
        <v>91.606942166627704</v>
      </c>
      <c r="AN2826">
        <v>0.99999997845135602</v>
      </c>
    </row>
    <row r="2827" spans="1:40" x14ac:dyDescent="0.25">
      <c r="A2827" t="str">
        <f>"20190303153826553"</f>
        <v>20190303153826553</v>
      </c>
      <c r="B2827" t="str">
        <f>"1551598706541208"</f>
        <v>1551598706541208</v>
      </c>
      <c r="C2827" t="s">
        <v>40</v>
      </c>
      <c r="D2827">
        <v>3.729997</v>
      </c>
      <c r="E2827">
        <v>0.41714859999999998</v>
      </c>
      <c r="F2827" t="s">
        <v>62</v>
      </c>
      <c r="G2827">
        <v>-442.1816</v>
      </c>
      <c r="H2827">
        <v>0.23511979999999999</v>
      </c>
      <c r="I2827">
        <v>270.08679999999998</v>
      </c>
      <c r="J2827">
        <v>-386.95409999999998</v>
      </c>
      <c r="K2827">
        <v>1.1210739999999999</v>
      </c>
      <c r="L2827">
        <v>284.09649999999999</v>
      </c>
      <c r="M2827">
        <v>-0.99989309999999998</v>
      </c>
      <c r="N2827">
        <v>-1.430472E-2</v>
      </c>
      <c r="O2827">
        <v>-3.060676E-3</v>
      </c>
      <c r="P2827">
        <v>-0.99839990000000001</v>
      </c>
      <c r="Q2827">
        <v>-4.71694E-2</v>
      </c>
      <c r="R2827">
        <v>-3.1197260000000001E-2</v>
      </c>
      <c r="S2827">
        <v>-2.979034</v>
      </c>
      <c r="T2827">
        <v>-4.7640799999999997E-2</v>
      </c>
      <c r="U2827">
        <v>-0.75338749999999999</v>
      </c>
      <c r="V2827">
        <v>-2.8147169999999999E-2</v>
      </c>
      <c r="W2827">
        <v>-3.2876240000000001E-2</v>
      </c>
      <c r="X2827">
        <v>0.99906300000000003</v>
      </c>
      <c r="Y2827">
        <v>-0.24215220000000001</v>
      </c>
      <c r="Z2827">
        <v>-3.6601540000000001E-3</v>
      </c>
      <c r="AA2827">
        <v>0.97023139999999997</v>
      </c>
      <c r="AB2827">
        <v>31</v>
      </c>
      <c r="AC2827">
        <v>-55.227499999999999</v>
      </c>
      <c r="AD2827">
        <v>-0.88595419999999903</v>
      </c>
      <c r="AE2827">
        <v>-14.0097</v>
      </c>
      <c r="AF2827">
        <v>-13.83723798181</v>
      </c>
      <c r="AG2827">
        <v>-0.88595419999999903</v>
      </c>
      <c r="AH2827">
        <v>55.256764607074302</v>
      </c>
      <c r="AI2827">
        <v>90.891058699589493</v>
      </c>
      <c r="AJ2827">
        <v>104.058732812537</v>
      </c>
      <c r="AK2827">
        <v>56.969852594608099</v>
      </c>
      <c r="AL2827">
        <v>91.884009300952798</v>
      </c>
      <c r="AM2827">
        <v>91.6137996823973</v>
      </c>
      <c r="AN2827">
        <v>0.99999999415227303</v>
      </c>
    </row>
    <row r="2828" spans="1:40" x14ac:dyDescent="0.25">
      <c r="A2828" t="str">
        <f>"20190303153826566"</f>
        <v>20190303153826566</v>
      </c>
      <c r="B2828" t="str">
        <f>"1551598706561704"</f>
        <v>1551598706561704</v>
      </c>
      <c r="C2828" t="s">
        <v>40</v>
      </c>
      <c r="D2828">
        <v>3.715303</v>
      </c>
      <c r="E2828">
        <v>0.41671340000000001</v>
      </c>
      <c r="F2828" t="s">
        <v>62</v>
      </c>
      <c r="G2828">
        <v>-442.22969999999998</v>
      </c>
      <c r="H2828">
        <v>0.28525729999999999</v>
      </c>
      <c r="I2828">
        <v>270.08679999999998</v>
      </c>
      <c r="J2828">
        <v>-387.13330000000002</v>
      </c>
      <c r="K2828">
        <v>1.121075</v>
      </c>
      <c r="L2828">
        <v>284.096</v>
      </c>
      <c r="M2828">
        <v>-0.99989320000000004</v>
      </c>
      <c r="N2828">
        <v>-1.430763E-2</v>
      </c>
      <c r="O2828">
        <v>-3.0212440000000002E-3</v>
      </c>
      <c r="P2828">
        <v>-0.99840989999999996</v>
      </c>
      <c r="Q2828">
        <v>-4.7403130000000002E-2</v>
      </c>
      <c r="R2828">
        <v>-3.0512609999999999E-2</v>
      </c>
      <c r="S2828">
        <v>-2.9791259999999999</v>
      </c>
      <c r="T2828">
        <v>-4.5046330000000002E-2</v>
      </c>
      <c r="U2828">
        <v>-0.75506589999999996</v>
      </c>
      <c r="V2828">
        <v>-2.750145E-2</v>
      </c>
      <c r="W2828">
        <v>-3.3107060000000001E-2</v>
      </c>
      <c r="X2828">
        <v>0.9990734</v>
      </c>
      <c r="Y2828">
        <v>-0.24270149999999999</v>
      </c>
      <c r="Z2828">
        <v>-3.5673829999999999E-3</v>
      </c>
      <c r="AA2828">
        <v>0.97009440000000002</v>
      </c>
      <c r="AB2828">
        <v>31</v>
      </c>
      <c r="AC2828">
        <v>-55.096399999999903</v>
      </c>
      <c r="AD2828">
        <v>-0.8358177</v>
      </c>
      <c r="AE2828">
        <v>-14.0092</v>
      </c>
      <c r="AF2828">
        <v>-13.8396678218616</v>
      </c>
      <c r="AG2828">
        <v>-0.8358177</v>
      </c>
      <c r="AH2828">
        <v>55.126562042364597</v>
      </c>
      <c r="AI2828">
        <v>90.842499694586607</v>
      </c>
      <c r="AJ2828">
        <v>104.092992379995</v>
      </c>
      <c r="AK2828">
        <v>56.843406295346</v>
      </c>
      <c r="AL2828">
        <v>91.897241442638901</v>
      </c>
      <c r="AM2828">
        <v>91.576780249812302</v>
      </c>
      <c r="AN2828">
        <v>1.0000000328807499</v>
      </c>
    </row>
    <row r="2829" spans="1:40" x14ac:dyDescent="0.25">
      <c r="A2829" t="str">
        <f>"20190303153826579"</f>
        <v>20190303153826579</v>
      </c>
      <c r="B2829" t="str">
        <f>"1551598706571464"</f>
        <v>1551598706571464</v>
      </c>
      <c r="C2829" t="s">
        <v>40</v>
      </c>
      <c r="D2829">
        <v>3.7060529999999998</v>
      </c>
      <c r="E2829">
        <v>0.4165681</v>
      </c>
      <c r="F2829" t="s">
        <v>62</v>
      </c>
      <c r="G2829">
        <v>-442.30279999999999</v>
      </c>
      <c r="H2829">
        <v>0.30142400000000003</v>
      </c>
      <c r="I2829">
        <v>270.08679999999998</v>
      </c>
      <c r="J2829">
        <v>-387.29829999999998</v>
      </c>
      <c r="K2829">
        <v>1.121076</v>
      </c>
      <c r="L2829">
        <v>284.09559999999999</v>
      </c>
      <c r="M2829">
        <v>-0.99989320000000004</v>
      </c>
      <c r="N2829">
        <v>-1.4309880000000001E-2</v>
      </c>
      <c r="O2829">
        <v>-2.98526E-3</v>
      </c>
      <c r="P2829">
        <v>-0.99841670000000005</v>
      </c>
      <c r="Q2829">
        <v>-4.7407190000000002E-2</v>
      </c>
      <c r="R2829">
        <v>-3.027927E-2</v>
      </c>
      <c r="S2829">
        <v>-2.9795229999999999</v>
      </c>
      <c r="T2829">
        <v>-4.4265989999999998E-2</v>
      </c>
      <c r="U2829">
        <v>-0.75659180000000004</v>
      </c>
      <c r="V2829">
        <v>-2.7304700000000001E-2</v>
      </c>
      <c r="W2829">
        <v>-3.3108850000000002E-2</v>
      </c>
      <c r="X2829">
        <v>0.99907869999999999</v>
      </c>
      <c r="Y2829">
        <v>-0.24317369999999999</v>
      </c>
      <c r="Z2829">
        <v>-3.543825E-3</v>
      </c>
      <c r="AA2829">
        <v>0.96997630000000001</v>
      </c>
      <c r="AB2829">
        <v>31</v>
      </c>
      <c r="AC2829">
        <v>-55.0045</v>
      </c>
      <c r="AD2829">
        <v>-0.81965200000000005</v>
      </c>
      <c r="AE2829">
        <v>-14.008800000000001</v>
      </c>
      <c r="AF2829">
        <v>-13.8416316310072</v>
      </c>
      <c r="AG2829">
        <v>-0.81965200000000005</v>
      </c>
      <c r="AH2829">
        <v>55.034602686418999</v>
      </c>
      <c r="AI2829">
        <v>90.827498368287493</v>
      </c>
      <c r="AJ2829">
        <v>104.11752314487801</v>
      </c>
      <c r="AK2829">
        <v>56.754471968837898</v>
      </c>
      <c r="AL2829">
        <v>91.897344128922299</v>
      </c>
      <c r="AM2829">
        <v>91.5654970317037</v>
      </c>
      <c r="AN2829">
        <v>0.999999995692051</v>
      </c>
    </row>
    <row r="2830" spans="1:40" x14ac:dyDescent="0.25">
      <c r="A2830" t="str">
        <f>"20190303153826590"</f>
        <v>20190303153826590</v>
      </c>
      <c r="B2830" t="str">
        <f>"1551598706581224"</f>
        <v>1551598706581224</v>
      </c>
      <c r="C2830" t="s">
        <v>40</v>
      </c>
      <c r="D2830">
        <v>3.7007669999999999</v>
      </c>
      <c r="E2830">
        <v>0.41632370000000002</v>
      </c>
      <c r="F2830" t="s">
        <v>62</v>
      </c>
      <c r="G2830">
        <v>-442.43610000000001</v>
      </c>
      <c r="H2830">
        <v>0.30638890000000002</v>
      </c>
      <c r="I2830">
        <v>270.08679999999998</v>
      </c>
      <c r="J2830">
        <v>-387.47190000000001</v>
      </c>
      <c r="K2830">
        <v>1.1210770000000001</v>
      </c>
      <c r="L2830">
        <v>284.0951</v>
      </c>
      <c r="M2830">
        <v>-0.99989329999999998</v>
      </c>
      <c r="N2830">
        <v>-1.431206E-2</v>
      </c>
      <c r="O2830">
        <v>-2.9476060000000002E-3</v>
      </c>
      <c r="P2830">
        <v>-0.99842149999999996</v>
      </c>
      <c r="Q2830">
        <v>-4.7711589999999998E-2</v>
      </c>
      <c r="R2830">
        <v>-2.964019E-2</v>
      </c>
      <c r="S2830">
        <v>-2.9797060000000002</v>
      </c>
      <c r="T2830">
        <v>-4.4026019999999999E-2</v>
      </c>
      <c r="U2830">
        <v>-0.75704959999999999</v>
      </c>
      <c r="V2830">
        <v>-2.6703210000000002E-2</v>
      </c>
      <c r="W2830">
        <v>-3.3411110000000001E-2</v>
      </c>
      <c r="X2830">
        <v>0.99908490000000005</v>
      </c>
      <c r="Y2830">
        <v>-0.24333630000000001</v>
      </c>
      <c r="Z2830">
        <v>-3.5369730000000001E-3</v>
      </c>
      <c r="AA2830">
        <v>0.96993549999999995</v>
      </c>
      <c r="AB2830">
        <v>31</v>
      </c>
      <c r="AC2830">
        <v>-54.964199999999998</v>
      </c>
      <c r="AD2830">
        <v>-0.81468810000000003</v>
      </c>
      <c r="AE2830">
        <v>-14.0083</v>
      </c>
      <c r="AF2830">
        <v>-13.843353907599401</v>
      </c>
      <c r="AG2830">
        <v>-0.81468810000000003</v>
      </c>
      <c r="AH2830">
        <v>54.993911302730901</v>
      </c>
      <c r="AI2830">
        <v>90.823053796420993</v>
      </c>
      <c r="AJ2830">
        <v>104.129238379676</v>
      </c>
      <c r="AK2830">
        <v>56.715363390213398</v>
      </c>
      <c r="AL2830">
        <v>91.914671928961397</v>
      </c>
      <c r="AM2830">
        <v>91.531018099846605</v>
      </c>
      <c r="AN2830">
        <v>1.0000000005518701</v>
      </c>
    </row>
    <row r="2831" spans="1:40" x14ac:dyDescent="0.25">
      <c r="A2831" t="str">
        <f>"20190303153826606"</f>
        <v>20190303153826606</v>
      </c>
      <c r="B2831" t="str">
        <f>"1551598706601467"</f>
        <v>1551598706601467</v>
      </c>
      <c r="C2831" t="s">
        <v>40</v>
      </c>
      <c r="D2831">
        <v>3.6532469999999999</v>
      </c>
      <c r="E2831">
        <v>0.41620109999999899</v>
      </c>
      <c r="F2831" t="s">
        <v>62</v>
      </c>
      <c r="G2831">
        <v>-442.61509999999998</v>
      </c>
      <c r="H2831">
        <v>0.29533579999999998</v>
      </c>
      <c r="I2831">
        <v>270.08679999999998</v>
      </c>
      <c r="J2831">
        <v>-387.68770000000001</v>
      </c>
      <c r="K2831">
        <v>1.1210789999999999</v>
      </c>
      <c r="L2831">
        <v>284.09449999999998</v>
      </c>
      <c r="M2831">
        <v>-0.99989349999999999</v>
      </c>
      <c r="N2831">
        <v>-1.4314220000000001E-2</v>
      </c>
      <c r="O2831">
        <v>-2.9004180000000001E-3</v>
      </c>
      <c r="P2831">
        <v>-0.99841650000000004</v>
      </c>
      <c r="Q2831">
        <v>-4.7934730000000002E-2</v>
      </c>
      <c r="R2831">
        <v>-2.9443339999999998E-2</v>
      </c>
      <c r="S2831">
        <v>-2.9801030000000002</v>
      </c>
      <c r="T2831">
        <v>-4.4624810000000001E-2</v>
      </c>
      <c r="U2831">
        <v>-0.75704959999999999</v>
      </c>
      <c r="V2831">
        <v>-2.6553420000000001E-2</v>
      </c>
      <c r="W2831">
        <v>-3.3632210000000003E-2</v>
      </c>
      <c r="X2831">
        <v>0.99908149999999996</v>
      </c>
      <c r="Y2831">
        <v>-0.24335019999999999</v>
      </c>
      <c r="Z2831">
        <v>-3.5607310000000001E-3</v>
      </c>
      <c r="AA2831">
        <v>0.96993200000000002</v>
      </c>
      <c r="AB2831">
        <v>31</v>
      </c>
      <c r="AC2831">
        <v>-54.927399999999899</v>
      </c>
      <c r="AD2831">
        <v>-0.82574320000000001</v>
      </c>
      <c r="AE2831">
        <v>-14.0077</v>
      </c>
      <c r="AF2831">
        <v>-13.8453743475376</v>
      </c>
      <c r="AG2831">
        <v>-0.82574320000000001</v>
      </c>
      <c r="AH2831">
        <v>54.956139506956802</v>
      </c>
      <c r="AI2831">
        <v>90.834752670652605</v>
      </c>
      <c r="AJ2831">
        <v>104.140540945667</v>
      </c>
      <c r="AK2831">
        <v>56.679392305880398</v>
      </c>
      <c r="AL2831">
        <v>91.927347099091307</v>
      </c>
      <c r="AM2831">
        <v>91.522439180614299</v>
      </c>
      <c r="AN2831">
        <v>1.00000002665271</v>
      </c>
    </row>
    <row r="2832" spans="1:40" x14ac:dyDescent="0.25">
      <c r="A2832" t="str">
        <f>"20190303153826620"</f>
        <v>20190303153826620</v>
      </c>
      <c r="B2832" t="str">
        <f>"1551598706611215"</f>
        <v>1551598706611215</v>
      </c>
      <c r="C2832" t="s">
        <v>40</v>
      </c>
      <c r="D2832">
        <v>3.6621899999999998</v>
      </c>
      <c r="E2832">
        <v>0.41603810000000002</v>
      </c>
      <c r="F2832" t="s">
        <v>62</v>
      </c>
      <c r="G2832">
        <v>-442.80919999999998</v>
      </c>
      <c r="H2832">
        <v>0.28957939999999999</v>
      </c>
      <c r="I2832">
        <v>270.08679999999998</v>
      </c>
      <c r="J2832">
        <v>-387.88749999999999</v>
      </c>
      <c r="K2832">
        <v>1.1210770000000001</v>
      </c>
      <c r="L2832">
        <v>284.09399999999999</v>
      </c>
      <c r="M2832">
        <v>-0.99989349999999999</v>
      </c>
      <c r="N2832">
        <v>-1.4315799999999899E-2</v>
      </c>
      <c r="O2832">
        <v>-2.8566830000000001E-3</v>
      </c>
      <c r="P2832">
        <v>-0.99842779999999998</v>
      </c>
      <c r="Q2832">
        <v>-4.8194670000000002E-2</v>
      </c>
      <c r="R2832">
        <v>-2.8625680000000001E-2</v>
      </c>
      <c r="S2832">
        <v>-2.9802550000000001</v>
      </c>
      <c r="T2832">
        <v>-4.4956089999999997E-2</v>
      </c>
      <c r="U2832">
        <v>-0.75735469999999905</v>
      </c>
      <c r="V2832">
        <v>-2.577952E-2</v>
      </c>
      <c r="W2832">
        <v>-3.3890579999999997E-2</v>
      </c>
      <c r="X2832">
        <v>0.99909300000000001</v>
      </c>
      <c r="Y2832">
        <v>-0.24347350000000001</v>
      </c>
      <c r="Z2832">
        <v>-3.5756809999999998E-3</v>
      </c>
      <c r="AA2832">
        <v>0.96990100000000001</v>
      </c>
      <c r="AB2832">
        <v>31</v>
      </c>
      <c r="AC2832">
        <v>-54.921699999999902</v>
      </c>
      <c r="AD2832">
        <v>-0.83149759999999995</v>
      </c>
      <c r="AE2832">
        <v>-14.007199999999999</v>
      </c>
      <c r="AF2832">
        <v>-13.847252785015501</v>
      </c>
      <c r="AG2832">
        <v>-0.83149759999999995</v>
      </c>
      <c r="AH2832">
        <v>54.949668268124299</v>
      </c>
      <c r="AI2832">
        <v>90.840655284189296</v>
      </c>
      <c r="AJ2832">
        <v>104.143981116508</v>
      </c>
      <c r="AK2832">
        <v>56.673660908113597</v>
      </c>
      <c r="AL2832">
        <v>91.942159126699707</v>
      </c>
      <c r="AM2832">
        <v>91.4780706309907</v>
      </c>
      <c r="AN2832">
        <v>0.99999998885658303</v>
      </c>
    </row>
    <row r="2833" spans="1:40" x14ac:dyDescent="0.25">
      <c r="A2833" t="str">
        <f>"20190303153826643"</f>
        <v>20190303153826643</v>
      </c>
      <c r="B2833" t="str">
        <f>"1551598706631711"</f>
        <v>1551598706631711</v>
      </c>
      <c r="C2833" t="s">
        <v>40</v>
      </c>
      <c r="D2833">
        <v>3.658436</v>
      </c>
      <c r="E2833">
        <v>0.41182940000000001</v>
      </c>
      <c r="F2833" t="s">
        <v>62</v>
      </c>
      <c r="G2833">
        <v>-443.10550000000001</v>
      </c>
      <c r="H2833">
        <v>0.26273350000000001</v>
      </c>
      <c r="I2833">
        <v>270.08679999999998</v>
      </c>
      <c r="J2833">
        <v>-388.19529999999997</v>
      </c>
      <c r="K2833">
        <v>1.1210850000000001</v>
      </c>
      <c r="L2833">
        <v>284.09309999999999</v>
      </c>
      <c r="M2833">
        <v>-0.9998937</v>
      </c>
      <c r="N2833">
        <v>-1.4317659999999999E-2</v>
      </c>
      <c r="O2833">
        <v>-2.7893480000000001E-3</v>
      </c>
      <c r="P2833">
        <v>-0.99844820000000001</v>
      </c>
      <c r="Q2833">
        <v>-4.8168040000000002E-2</v>
      </c>
      <c r="R2833">
        <v>-2.795661E-2</v>
      </c>
      <c r="S2833">
        <v>-2.9807739999999998</v>
      </c>
      <c r="T2833">
        <v>-4.6334390000000003E-2</v>
      </c>
      <c r="U2833">
        <v>-0.75613399999999997</v>
      </c>
      <c r="V2833">
        <v>-2.5177359999999999E-2</v>
      </c>
      <c r="W2833">
        <v>-3.3861960000000003E-2</v>
      </c>
      <c r="X2833">
        <v>0.99910929999999998</v>
      </c>
      <c r="Y2833">
        <v>-0.24312300000000001</v>
      </c>
      <c r="Z2833">
        <v>-3.6245779999999998E-3</v>
      </c>
      <c r="AA2833">
        <v>0.96998870000000004</v>
      </c>
      <c r="AB2833">
        <v>31</v>
      </c>
      <c r="AC2833">
        <v>-54.910200000000003</v>
      </c>
      <c r="AD2833">
        <v>-0.85835150000000004</v>
      </c>
      <c r="AE2833">
        <v>-14.0063</v>
      </c>
      <c r="AF2833">
        <v>-13.849888589376</v>
      </c>
      <c r="AG2833">
        <v>-0.85835150000000004</v>
      </c>
      <c r="AH2833">
        <v>54.936454765022397</v>
      </c>
      <c r="AI2833">
        <v>90.867987211574203</v>
      </c>
      <c r="AJ2833">
        <v>104.14983124592599</v>
      </c>
      <c r="AK2833">
        <v>56.661894103401004</v>
      </c>
      <c r="AL2833">
        <v>91.940518430770396</v>
      </c>
      <c r="AM2833">
        <v>91.443536986330002</v>
      </c>
      <c r="AN2833">
        <v>0.99999996256904899</v>
      </c>
    </row>
    <row r="2834" spans="1:40" x14ac:dyDescent="0.25">
      <c r="A2834" t="str">
        <f>"20190303153826657"</f>
        <v>20190303153826657</v>
      </c>
      <c r="B2834" t="str">
        <f>"1551598706651231"</f>
        <v>1551598706651231</v>
      </c>
      <c r="C2834" t="s">
        <v>40</v>
      </c>
      <c r="D2834">
        <v>3.6755019999999998</v>
      </c>
      <c r="E2834">
        <v>0.41070309999999999</v>
      </c>
      <c r="F2834" t="s">
        <v>62</v>
      </c>
      <c r="G2834">
        <v>-440.40789999999998</v>
      </c>
      <c r="H2834">
        <v>0.27522750000000001</v>
      </c>
      <c r="I2834">
        <v>270.29070000000002</v>
      </c>
      <c r="J2834">
        <v>-388.37810000000002</v>
      </c>
      <c r="K2834">
        <v>1.121089</v>
      </c>
      <c r="L2834">
        <v>284.09269999999998</v>
      </c>
      <c r="M2834">
        <v>-0.9998937</v>
      </c>
      <c r="N2834">
        <v>-1.431843E-2</v>
      </c>
      <c r="O2834">
        <v>-2.748945E-3</v>
      </c>
      <c r="P2834">
        <v>-0.99844189999999999</v>
      </c>
      <c r="Q2834">
        <v>-4.8353790000000001E-2</v>
      </c>
      <c r="R2834">
        <v>-2.7853989999999999E-2</v>
      </c>
      <c r="S2834">
        <v>-2.980286</v>
      </c>
      <c r="T2834">
        <v>-4.8280950000000003E-2</v>
      </c>
      <c r="U2834">
        <v>-0.78784180000000004</v>
      </c>
      <c r="V2834">
        <v>-2.5115269999999999E-2</v>
      </c>
      <c r="W2834">
        <v>-3.4047050000000002E-2</v>
      </c>
      <c r="X2834">
        <v>0.99910460000000001</v>
      </c>
      <c r="Y2834">
        <v>-0.25285289999999999</v>
      </c>
      <c r="Z2834">
        <v>-3.8494459999999999E-3</v>
      </c>
      <c r="AA2834">
        <v>0.9674971</v>
      </c>
      <c r="AB2834">
        <v>31</v>
      </c>
      <c r="AC2834">
        <v>-52.029799999999902</v>
      </c>
      <c r="AD2834">
        <v>-0.84586149999999904</v>
      </c>
      <c r="AE2834">
        <v>-13.8019999999999</v>
      </c>
      <c r="AF2834">
        <v>-13.6555342574341</v>
      </c>
      <c r="AG2834">
        <v>-0.84586149999999904</v>
      </c>
      <c r="AH2834">
        <v>52.054694722579598</v>
      </c>
      <c r="AI2834">
        <v>90.900480870520695</v>
      </c>
      <c r="AJ2834">
        <v>104.699218108647</v>
      </c>
      <c r="AK2834">
        <v>53.822674963198303</v>
      </c>
      <c r="AL2834">
        <v>91.951129371849007</v>
      </c>
      <c r="AM2834">
        <v>91.439985345138197</v>
      </c>
      <c r="AN2834">
        <v>0.99999999007101703</v>
      </c>
    </row>
    <row r="2835" spans="1:40" x14ac:dyDescent="0.25">
      <c r="A2835" t="str">
        <f>"20190303153826670"</f>
        <v>20190303153826670</v>
      </c>
      <c r="B2835" t="str">
        <f>"1551598706661966"</f>
        <v>1551598706661966</v>
      </c>
      <c r="C2835" t="s">
        <v>40</v>
      </c>
      <c r="D2835">
        <v>3.6921819999999999</v>
      </c>
      <c r="E2835">
        <v>0.41038989999999997</v>
      </c>
      <c r="F2835" t="s">
        <v>62</v>
      </c>
      <c r="G2835">
        <v>-440.40789999999998</v>
      </c>
      <c r="H2835">
        <v>0.17757699999999901</v>
      </c>
      <c r="I2835">
        <v>270.18459999999999</v>
      </c>
      <c r="J2835">
        <v>-388.57740000000001</v>
      </c>
      <c r="K2835">
        <v>1.121092</v>
      </c>
      <c r="L2835">
        <v>284.09219999999999</v>
      </c>
      <c r="M2835">
        <v>-0.99989380000000005</v>
      </c>
      <c r="N2835">
        <v>-1.431901E-2</v>
      </c>
      <c r="O2835">
        <v>-2.7053229999999999E-3</v>
      </c>
      <c r="P2835">
        <v>-0.99845300000000003</v>
      </c>
      <c r="Q2835">
        <v>-4.813394E-2</v>
      </c>
      <c r="R2835">
        <v>-2.7834580000000001E-2</v>
      </c>
      <c r="S2835">
        <v>-2.9798279999999999</v>
      </c>
      <c r="T2835">
        <v>-5.4035659999999999E-2</v>
      </c>
      <c r="U2835">
        <v>-0.79653929999999995</v>
      </c>
      <c r="V2835">
        <v>-2.5139269999999998E-2</v>
      </c>
      <c r="W2835">
        <v>-3.3826519999999999E-2</v>
      </c>
      <c r="X2835">
        <v>0.99911150000000004</v>
      </c>
      <c r="Y2835">
        <v>-0.25555630000000001</v>
      </c>
      <c r="Z2835">
        <v>-4.1284019999999998E-3</v>
      </c>
      <c r="AA2835">
        <v>0.96678540000000002</v>
      </c>
      <c r="AB2835">
        <v>31</v>
      </c>
      <c r="AC2835">
        <v>-51.830499999999901</v>
      </c>
      <c r="AD2835">
        <v>-0.94351499999999999</v>
      </c>
      <c r="AE2835">
        <v>-13.9076</v>
      </c>
      <c r="AF2835">
        <v>-13.763061987640199</v>
      </c>
      <c r="AG2835">
        <v>-0.94351499999999999</v>
      </c>
      <c r="AH2835">
        <v>51.851910059784203</v>
      </c>
      <c r="AI2835">
        <v>91.007576597244594</v>
      </c>
      <c r="AJ2835">
        <v>104.86525497879499</v>
      </c>
      <c r="AK2835">
        <v>53.655686303306197</v>
      </c>
      <c r="AL2835">
        <v>91.938486626137006</v>
      </c>
      <c r="AM2835">
        <v>91.441350856183007</v>
      </c>
      <c r="AN2835">
        <v>1.0000000028918401</v>
      </c>
    </row>
    <row r="2836" spans="1:40" x14ac:dyDescent="0.25">
      <c r="A2836" t="str">
        <f>"20190303153826682"</f>
        <v>20190303153826682</v>
      </c>
      <c r="B2836" t="str">
        <f>"1551598706671727"</f>
        <v>1551598706671727</v>
      </c>
      <c r="C2836" t="s">
        <v>40</v>
      </c>
      <c r="D2836">
        <v>3.6981310000000001</v>
      </c>
      <c r="E2836">
        <v>0.410194</v>
      </c>
      <c r="F2836" t="s">
        <v>62</v>
      </c>
      <c r="G2836">
        <v>-440.40789999999998</v>
      </c>
      <c r="H2836">
        <v>0.22110560000000001</v>
      </c>
      <c r="I2836">
        <v>270.19490000000002</v>
      </c>
      <c r="J2836">
        <v>-388.75170000000003</v>
      </c>
      <c r="K2836">
        <v>1.121097</v>
      </c>
      <c r="L2836">
        <v>284.09179999999998</v>
      </c>
      <c r="M2836">
        <v>-0.9998939</v>
      </c>
      <c r="N2836">
        <v>-1.431907E-2</v>
      </c>
      <c r="O2836">
        <v>-2.6669419999999998E-3</v>
      </c>
      <c r="P2836">
        <v>-0.99848610000000004</v>
      </c>
      <c r="Q2836">
        <v>-4.7541069999999998E-2</v>
      </c>
      <c r="R2836">
        <v>-2.7667520000000001E-2</v>
      </c>
      <c r="S2836">
        <v>-2.9798279999999999</v>
      </c>
      <c r="T2836">
        <v>-5.1741120000000002E-2</v>
      </c>
      <c r="U2836">
        <v>-0.79898069999999999</v>
      </c>
      <c r="V2836">
        <v>-2.5010190000000002E-2</v>
      </c>
      <c r="W2836">
        <v>-3.3233220000000001E-2</v>
      </c>
      <c r="X2836">
        <v>0.99913470000000004</v>
      </c>
      <c r="Y2836">
        <v>-0.25633689999999998</v>
      </c>
      <c r="Z2836">
        <v>-4.046188E-3</v>
      </c>
      <c r="AA2836">
        <v>0.96657899999999997</v>
      </c>
      <c r="AB2836">
        <v>31</v>
      </c>
      <c r="AC2836">
        <v>-51.656199999999899</v>
      </c>
      <c r="AD2836">
        <v>-0.8999914</v>
      </c>
      <c r="AE2836">
        <v>-13.896899999999899</v>
      </c>
      <c r="AF2836">
        <v>-13.755178751929</v>
      </c>
      <c r="AG2836">
        <v>-0.8999914</v>
      </c>
      <c r="AH2836">
        <v>51.678453963772</v>
      </c>
      <c r="AI2836">
        <v>90.964155396209904</v>
      </c>
      <c r="AJ2836">
        <v>104.90476824304599</v>
      </c>
      <c r="AK2836">
        <v>53.485302010022302</v>
      </c>
      <c r="AL2836">
        <v>91.904473820180897</v>
      </c>
      <c r="AM2836">
        <v>91.433919916885898</v>
      </c>
      <c r="AN2836">
        <v>1.0000000526297399</v>
      </c>
    </row>
    <row r="2837" spans="1:40" x14ac:dyDescent="0.25">
      <c r="A2837" t="str">
        <f>"20190303153826703"</f>
        <v>20190303153826703</v>
      </c>
      <c r="B2837" t="str">
        <f>"1551598706691248"</f>
        <v>1551598706691248</v>
      </c>
      <c r="C2837" t="s">
        <v>40</v>
      </c>
      <c r="D2837">
        <v>3.6685780000000001</v>
      </c>
      <c r="E2837">
        <v>0.41005390000000003</v>
      </c>
      <c r="F2837" t="s">
        <v>62</v>
      </c>
      <c r="G2837">
        <v>-440.40789999999998</v>
      </c>
      <c r="H2837">
        <v>0.26879690000000001</v>
      </c>
      <c r="I2837">
        <v>270.22620000000001</v>
      </c>
      <c r="J2837">
        <v>-389.02370000000002</v>
      </c>
      <c r="K2837">
        <v>1.1210979999999999</v>
      </c>
      <c r="L2837">
        <v>284.09109999999998</v>
      </c>
      <c r="M2837">
        <v>-0.99989410000000001</v>
      </c>
      <c r="N2837">
        <v>-1.431904E-2</v>
      </c>
      <c r="O2837">
        <v>-2.6073429999999998E-3</v>
      </c>
      <c r="P2837">
        <v>-0.99851069999999997</v>
      </c>
      <c r="Q2837">
        <v>-4.720324E-2</v>
      </c>
      <c r="R2837">
        <v>-2.7360309999999999E-2</v>
      </c>
      <c r="S2837">
        <v>-2.9800110000000002</v>
      </c>
      <c r="T2837">
        <v>-4.9167629999999997E-2</v>
      </c>
      <c r="U2837">
        <v>-0.79989619999999995</v>
      </c>
      <c r="V2837">
        <v>-2.476273E-2</v>
      </c>
      <c r="W2837">
        <v>-3.2895199999999999E-2</v>
      </c>
      <c r="X2837">
        <v>0.99915200000000004</v>
      </c>
      <c r="Y2837">
        <v>-0.25666159999999999</v>
      </c>
      <c r="Z2837">
        <v>-3.9446699999999999E-3</v>
      </c>
      <c r="AA2837">
        <v>0.96649320000000005</v>
      </c>
      <c r="AB2837">
        <v>31</v>
      </c>
      <c r="AC2837">
        <v>-51.3841999999999</v>
      </c>
      <c r="AD2837">
        <v>-0.85230109999999903</v>
      </c>
      <c r="AE2837">
        <v>-13.864899999999899</v>
      </c>
      <c r="AF2837">
        <v>-13.727342496188401</v>
      </c>
      <c r="AG2837">
        <v>-0.85230109999999903</v>
      </c>
      <c r="AH2837">
        <v>51.406996158047001</v>
      </c>
      <c r="AI2837">
        <v>90.917697323004006</v>
      </c>
      <c r="AJ2837">
        <v>104.950988466863</v>
      </c>
      <c r="AK2837">
        <v>53.215088115741999</v>
      </c>
      <c r="AL2837">
        <v>91.885096200067395</v>
      </c>
      <c r="AM2837">
        <v>91.419713450477104</v>
      </c>
      <c r="AN2837">
        <v>1.00000000304204</v>
      </c>
    </row>
    <row r="2838" spans="1:40" x14ac:dyDescent="0.25">
      <c r="A2838" t="str">
        <f>"20190303153826714"</f>
        <v>20190303153826714</v>
      </c>
      <c r="B2838" t="str">
        <f>"1551598706710995"</f>
        <v>1551598706710995</v>
      </c>
      <c r="C2838" t="s">
        <v>40</v>
      </c>
      <c r="D2838">
        <v>3.688491</v>
      </c>
      <c r="E2838">
        <v>0.40952709999999998</v>
      </c>
      <c r="F2838" t="s">
        <v>62</v>
      </c>
      <c r="G2838">
        <v>-440.40789999999998</v>
      </c>
      <c r="H2838">
        <v>0.25504399999999999</v>
      </c>
      <c r="I2838">
        <v>270.29610000000002</v>
      </c>
      <c r="J2838">
        <v>-389.19389999999999</v>
      </c>
      <c r="K2838">
        <v>1.1211009999999999</v>
      </c>
      <c r="L2838">
        <v>284.09070000000003</v>
      </c>
      <c r="M2838">
        <v>-0.99989419999999996</v>
      </c>
      <c r="N2838">
        <v>-1.431895E-2</v>
      </c>
      <c r="O2838">
        <v>-2.5700330000000002E-3</v>
      </c>
      <c r="P2838">
        <v>-0.99849580000000004</v>
      </c>
      <c r="Q2838">
        <v>-4.7247890000000001E-2</v>
      </c>
      <c r="R2838">
        <v>-2.781778E-2</v>
      </c>
      <c r="S2838">
        <v>-2.9801639999999998</v>
      </c>
      <c r="T2838">
        <v>-5.022836E-2</v>
      </c>
      <c r="U2838">
        <v>-0.80007930000000005</v>
      </c>
      <c r="V2838">
        <v>-2.5257700000000001E-2</v>
      </c>
      <c r="W2838">
        <v>-3.2940049999999998E-2</v>
      </c>
      <c r="X2838">
        <v>0.99913810000000003</v>
      </c>
      <c r="Y2838">
        <v>-0.25673859999999998</v>
      </c>
      <c r="Z2838">
        <v>-3.9898119999999997E-3</v>
      </c>
      <c r="AA2838">
        <v>0.96647260000000002</v>
      </c>
      <c r="AB2838">
        <v>31</v>
      </c>
      <c r="AC2838">
        <v>-51.213999999999999</v>
      </c>
      <c r="AD2838">
        <v>-0.86605699999999997</v>
      </c>
      <c r="AE2838">
        <v>-13.794600000000001</v>
      </c>
      <c r="AF2838">
        <v>-13.6592773922129</v>
      </c>
      <c r="AG2838">
        <v>-0.86605699999999997</v>
      </c>
      <c r="AH2838">
        <v>51.235626438647401</v>
      </c>
      <c r="AI2838">
        <v>90.935725977053394</v>
      </c>
      <c r="AJ2838">
        <v>104.927704177915</v>
      </c>
      <c r="AK2838">
        <v>53.032210308125897</v>
      </c>
      <c r="AL2838">
        <v>91.887667370422506</v>
      </c>
      <c r="AM2838">
        <v>91.448099575039606</v>
      </c>
      <c r="AN2838">
        <v>0.99999997058745005</v>
      </c>
    </row>
    <row r="2839" spans="1:40" x14ac:dyDescent="0.25">
      <c r="A2839" t="str">
        <f>"20190303153826732"</f>
        <v>20190303153826732</v>
      </c>
      <c r="B2839" t="str">
        <f>"1551598706721731"</f>
        <v>1551598706721731</v>
      </c>
      <c r="C2839" t="s">
        <v>40</v>
      </c>
      <c r="D2839">
        <v>3.6854499999999999</v>
      </c>
      <c r="E2839">
        <v>0.40936850000000002</v>
      </c>
      <c r="F2839" t="s">
        <v>62</v>
      </c>
      <c r="G2839">
        <v>-440.40789999999998</v>
      </c>
      <c r="H2839">
        <v>0.2367678</v>
      </c>
      <c r="I2839">
        <v>270.2441</v>
      </c>
      <c r="J2839">
        <v>-389.43</v>
      </c>
      <c r="K2839">
        <v>1.1211</v>
      </c>
      <c r="L2839">
        <v>284.09010000000001</v>
      </c>
      <c r="M2839">
        <v>-0.99989439999999996</v>
      </c>
      <c r="N2839">
        <v>-1.431875E-2</v>
      </c>
      <c r="O2839">
        <v>-2.5184180000000001E-3</v>
      </c>
      <c r="P2839">
        <v>-0.99846950000000001</v>
      </c>
      <c r="Q2839">
        <v>-4.7489419999999997E-2</v>
      </c>
      <c r="R2839">
        <v>-2.834538E-2</v>
      </c>
      <c r="S2839">
        <v>-2.9796749999999999</v>
      </c>
      <c r="T2839">
        <v>-5.1450610000000001E-2</v>
      </c>
      <c r="U2839">
        <v>-0.80560299999999996</v>
      </c>
      <c r="V2839">
        <v>-2.583682E-2</v>
      </c>
      <c r="W2839">
        <v>-3.3182030000000001E-2</v>
      </c>
      <c r="X2839">
        <v>0.99911530000000004</v>
      </c>
      <c r="Y2839">
        <v>-0.25849529999999998</v>
      </c>
      <c r="Z2839">
        <v>-4.0685890000000001E-3</v>
      </c>
      <c r="AA2839">
        <v>0.96600399999999997</v>
      </c>
      <c r="AB2839">
        <v>31</v>
      </c>
      <c r="AC2839">
        <v>-50.977899999999899</v>
      </c>
      <c r="AD2839">
        <v>-0.88433220000000001</v>
      </c>
      <c r="AE2839">
        <v>-13.846</v>
      </c>
      <c r="AF2839">
        <v>-13.7137159145443</v>
      </c>
      <c r="AG2839">
        <v>-0.88433220000000001</v>
      </c>
      <c r="AH2839">
        <v>50.998319292085</v>
      </c>
      <c r="AI2839">
        <v>90.9593596166482</v>
      </c>
      <c r="AJ2839">
        <v>105.051096524111</v>
      </c>
      <c r="AK2839">
        <v>52.817389354664499</v>
      </c>
      <c r="AL2839">
        <v>91.901539358505403</v>
      </c>
      <c r="AM2839">
        <v>91.481321419648694</v>
      </c>
      <c r="AN2839">
        <v>0.999999985538361</v>
      </c>
    </row>
    <row r="2840" spans="1:40" x14ac:dyDescent="0.25">
      <c r="A2840" t="str">
        <f>"20190303153826745"</f>
        <v>20190303153826745</v>
      </c>
      <c r="B2840" t="str">
        <f>"1551598706741251"</f>
        <v>1551598706741251</v>
      </c>
      <c r="C2840" t="s">
        <v>40</v>
      </c>
      <c r="D2840">
        <v>3.682658</v>
      </c>
      <c r="E2840">
        <v>0.40924100000000002</v>
      </c>
      <c r="F2840" t="s">
        <v>62</v>
      </c>
      <c r="G2840">
        <v>-440.40789999999998</v>
      </c>
      <c r="H2840">
        <v>0.20736599999999999</v>
      </c>
      <c r="I2840">
        <v>270.25580000000002</v>
      </c>
      <c r="J2840">
        <v>-389.60989999999998</v>
      </c>
      <c r="K2840">
        <v>1.1210929999999999</v>
      </c>
      <c r="L2840">
        <v>284.08969999999999</v>
      </c>
      <c r="M2840">
        <v>-0.99989459999999997</v>
      </c>
      <c r="N2840">
        <v>-1.431846E-2</v>
      </c>
      <c r="O2840">
        <v>-2.4790799999999998E-3</v>
      </c>
      <c r="P2840">
        <v>-0.99846179999999995</v>
      </c>
      <c r="Q2840">
        <v>-4.7632800000000003E-2</v>
      </c>
      <c r="R2840">
        <v>-2.8379270000000002E-2</v>
      </c>
      <c r="S2840">
        <v>-2.9791259999999999</v>
      </c>
      <c r="T2840">
        <v>-5.3397420000000001E-2</v>
      </c>
      <c r="U2840">
        <v>-0.80847170000000002</v>
      </c>
      <c r="V2840">
        <v>-2.590959E-2</v>
      </c>
      <c r="W2840">
        <v>-3.3325809999999997E-2</v>
      </c>
      <c r="X2840">
        <v>0.99910869999999996</v>
      </c>
      <c r="Y2840">
        <v>-0.25944040000000002</v>
      </c>
      <c r="Z2840">
        <v>-4.1655859999999998E-3</v>
      </c>
      <c r="AA2840">
        <v>0.9657502</v>
      </c>
      <c r="AB2840">
        <v>31</v>
      </c>
      <c r="AC2840">
        <v>-50.798000000000002</v>
      </c>
      <c r="AD2840">
        <v>-0.91372699999999996</v>
      </c>
      <c r="AE2840">
        <v>-13.8338999999999</v>
      </c>
      <c r="AF2840">
        <v>-13.703784575082601</v>
      </c>
      <c r="AG2840">
        <v>-0.91372699999999996</v>
      </c>
      <c r="AH2840">
        <v>50.816836202216898</v>
      </c>
      <c r="AI2840">
        <v>90.994590368691107</v>
      </c>
      <c r="AJ2840">
        <v>105.09195954440401</v>
      </c>
      <c r="AK2840">
        <v>52.640093562927298</v>
      </c>
      <c r="AL2840">
        <v>91.909781770921995</v>
      </c>
      <c r="AM2840">
        <v>91.485501537417505</v>
      </c>
      <c r="AN2840">
        <v>1.0000000554409001</v>
      </c>
    </row>
    <row r="2841" spans="1:40" x14ac:dyDescent="0.25">
      <c r="A2841" t="str">
        <f>"20190303153826757"</f>
        <v>20190303153826757</v>
      </c>
      <c r="B2841" t="str">
        <f>"1551598706751987"</f>
        <v>1551598706751987</v>
      </c>
      <c r="C2841" t="s">
        <v>40</v>
      </c>
      <c r="D2841">
        <v>3.661429</v>
      </c>
      <c r="E2841">
        <v>0.40909139999999999</v>
      </c>
      <c r="F2841" t="s">
        <v>43</v>
      </c>
      <c r="G2841">
        <v>-451.99</v>
      </c>
      <c r="H2841">
        <v>-0.05</v>
      </c>
      <c r="I2841">
        <v>267.1302</v>
      </c>
      <c r="J2841">
        <v>-389.77420000000001</v>
      </c>
      <c r="K2841">
        <v>1.121092</v>
      </c>
      <c r="L2841">
        <v>284.08929999999998</v>
      </c>
      <c r="M2841">
        <v>-0.99989439999999996</v>
      </c>
      <c r="N2841">
        <v>-1.431807E-2</v>
      </c>
      <c r="O2841">
        <v>-2.4428409999999998E-3</v>
      </c>
      <c r="P2841">
        <v>-0.99843760000000004</v>
      </c>
      <c r="Q2841">
        <v>-4.80253E-2</v>
      </c>
      <c r="R2841">
        <v>-2.856218E-2</v>
      </c>
      <c r="S2841">
        <v>-2.9789729999999999</v>
      </c>
      <c r="T2841">
        <v>-5.592573E-2</v>
      </c>
      <c r="U2841">
        <v>-0.80990600000000001</v>
      </c>
      <c r="V2841">
        <v>-2.6129349999999999E-2</v>
      </c>
      <c r="W2841">
        <v>-3.3718970000000001E-2</v>
      </c>
      <c r="X2841">
        <v>0.99908969999999997</v>
      </c>
      <c r="Y2841">
        <v>-0.25991540000000002</v>
      </c>
      <c r="Z2841">
        <v>-4.2796789999999998E-3</v>
      </c>
      <c r="AA2841">
        <v>0.96562190000000003</v>
      </c>
      <c r="AB2841">
        <v>31</v>
      </c>
      <c r="AC2841">
        <v>-62.215800000000002</v>
      </c>
      <c r="AD2841">
        <v>-1.171092</v>
      </c>
      <c r="AE2841">
        <v>-16.9590999999999</v>
      </c>
      <c r="AF2841">
        <v>-16.801509302871899</v>
      </c>
      <c r="AG2841">
        <v>-1.171092</v>
      </c>
      <c r="AH2841">
        <v>62.236521199241601</v>
      </c>
      <c r="AI2841">
        <v>91.040746778832897</v>
      </c>
      <c r="AJ2841">
        <v>105.107557440964</v>
      </c>
      <c r="AK2841">
        <v>64.475163763348505</v>
      </c>
      <c r="AL2841">
        <v>91.932321010864499</v>
      </c>
      <c r="AM2841">
        <v>91.498124025768107</v>
      </c>
      <c r="AN2841">
        <v>0.99999997025768605</v>
      </c>
    </row>
    <row r="2842" spans="1:40" x14ac:dyDescent="0.25">
      <c r="A2842" t="str">
        <f>"20190303153826777"</f>
        <v>20190303153826777</v>
      </c>
      <c r="B2842" t="str">
        <f>"1551598706771510"</f>
        <v>1551598706771510</v>
      </c>
      <c r="C2842" t="s">
        <v>40</v>
      </c>
      <c r="D2842">
        <v>3.6582979999999998</v>
      </c>
      <c r="E2842">
        <v>0.40875679999999998</v>
      </c>
      <c r="F2842" t="s">
        <v>43</v>
      </c>
      <c r="G2842">
        <v>-450.12430000000001</v>
      </c>
      <c r="H2842">
        <v>-0.05</v>
      </c>
      <c r="I2842">
        <v>267.64909999999998</v>
      </c>
      <c r="J2842">
        <v>-390.04849999999999</v>
      </c>
      <c r="K2842">
        <v>1.1210929999999999</v>
      </c>
      <c r="L2842">
        <v>284.08870000000002</v>
      </c>
      <c r="M2842">
        <v>-0.99989490000000003</v>
      </c>
      <c r="N2842">
        <v>-1.4303700000000001E-2</v>
      </c>
      <c r="O2842">
        <v>-2.382782E-3</v>
      </c>
      <c r="P2842">
        <v>-0.99842580000000003</v>
      </c>
      <c r="Q2842">
        <v>-4.8196280000000001E-2</v>
      </c>
      <c r="R2842">
        <v>-2.8688350000000001E-2</v>
      </c>
      <c r="S2842">
        <v>-2.9786679999999999</v>
      </c>
      <c r="T2842">
        <v>-5.780101E-2</v>
      </c>
      <c r="U2842">
        <v>-0.81143189999999998</v>
      </c>
      <c r="V2842">
        <v>-2.6314980000000002E-2</v>
      </c>
      <c r="W2842">
        <v>-3.3904450000000003E-2</v>
      </c>
      <c r="X2842">
        <v>0.99907860000000004</v>
      </c>
      <c r="Y2842">
        <v>-0.26045469999999998</v>
      </c>
      <c r="Z2842">
        <v>-4.3661489999999997E-3</v>
      </c>
      <c r="AA2842">
        <v>0.96547620000000001</v>
      </c>
      <c r="AB2842">
        <v>31</v>
      </c>
      <c r="AC2842">
        <v>-60.075800000000001</v>
      </c>
      <c r="AD2842">
        <v>-1.1710929999999999</v>
      </c>
      <c r="AE2842">
        <v>-16.439599999999999</v>
      </c>
      <c r="AF2842">
        <v>-16.2906319701722</v>
      </c>
      <c r="AG2842">
        <v>-1.1710929999999999</v>
      </c>
      <c r="AH2842">
        <v>60.093560720267199</v>
      </c>
      <c r="AI2842">
        <v>91.077546830918493</v>
      </c>
      <c r="AJ2842">
        <v>105.167651395186</v>
      </c>
      <c r="AK2842">
        <v>62.273527191276798</v>
      </c>
      <c r="AL2842">
        <v>91.942954216686502</v>
      </c>
      <c r="AM2842">
        <v>91.508778958682896</v>
      </c>
      <c r="AN2842">
        <v>1.00000001944008</v>
      </c>
    </row>
    <row r="2843" spans="1:40" x14ac:dyDescent="0.25">
      <c r="A2843" t="str">
        <f>"20190303153826788"</f>
        <v>20190303153826788</v>
      </c>
      <c r="B2843" t="str">
        <f>"1551598706781268"</f>
        <v>1551598706781268</v>
      </c>
      <c r="C2843" t="s">
        <v>40</v>
      </c>
      <c r="D2843">
        <v>3.7672590000000001</v>
      </c>
      <c r="E2843">
        <v>0.40875679999999998</v>
      </c>
      <c r="F2843" t="s">
        <v>43</v>
      </c>
      <c r="G2843">
        <v>-449.09969999999998</v>
      </c>
      <c r="H2843">
        <v>-0.05</v>
      </c>
      <c r="I2843">
        <v>267.9434</v>
      </c>
      <c r="J2843">
        <v>-390.21050000000002</v>
      </c>
      <c r="K2843">
        <v>1.121089</v>
      </c>
      <c r="L2843">
        <v>284.08839999999998</v>
      </c>
      <c r="M2843">
        <v>-0.99989530000000004</v>
      </c>
      <c r="N2843">
        <v>-1.4282370000000001E-2</v>
      </c>
      <c r="O2843">
        <v>-2.3472290000000002E-3</v>
      </c>
      <c r="P2843">
        <v>-0.99841020000000003</v>
      </c>
      <c r="Q2843">
        <v>-4.837197E-2</v>
      </c>
      <c r="R2843">
        <v>-2.8940440000000001E-2</v>
      </c>
      <c r="S2843">
        <v>-2.9785159999999999</v>
      </c>
      <c r="T2843">
        <v>-5.9069400000000001E-2</v>
      </c>
      <c r="U2843">
        <v>-0.81436160000000002</v>
      </c>
      <c r="V2843">
        <v>-2.6603020000000002E-2</v>
      </c>
      <c r="W2843">
        <v>-3.4101609999999997E-2</v>
      </c>
      <c r="X2843">
        <v>0.99906430000000002</v>
      </c>
      <c r="Y2843">
        <v>-0.26138240000000001</v>
      </c>
      <c r="Z2843">
        <v>-4.4327389999999998E-3</v>
      </c>
      <c r="AA2843">
        <v>0.96522520000000001</v>
      </c>
      <c r="AB2843">
        <v>31</v>
      </c>
      <c r="AC2843">
        <v>-58.889199999999903</v>
      </c>
      <c r="AD2843">
        <v>-1.171089</v>
      </c>
      <c r="AE2843">
        <v>-16.1449999999999</v>
      </c>
      <c r="AF2843">
        <v>-16.0008295757873</v>
      </c>
      <c r="AG2843">
        <v>-1.171089</v>
      </c>
      <c r="AH2843">
        <v>58.905271141285198</v>
      </c>
      <c r="AI2843">
        <v>91.099122592485401</v>
      </c>
      <c r="AJ2843">
        <v>105.196939779462</v>
      </c>
      <c r="AK2843">
        <v>61.051035738860598</v>
      </c>
      <c r="AL2843">
        <v>91.954257113148699</v>
      </c>
      <c r="AM2843">
        <v>91.525307899325099</v>
      </c>
      <c r="AN2843">
        <v>1.0000000580060899</v>
      </c>
    </row>
    <row r="2844" spans="1:40" x14ac:dyDescent="0.25">
      <c r="A2844" t="str">
        <f>"20190303153826800"</f>
        <v>20190303153826800</v>
      </c>
      <c r="B2844" t="str">
        <f>"1551598706791026"</f>
        <v>1551598706791026</v>
      </c>
      <c r="C2844" t="s">
        <v>40</v>
      </c>
      <c r="D2844">
        <v>3.9052120000000001</v>
      </c>
      <c r="E2844">
        <v>0.42652950000000001</v>
      </c>
      <c r="F2844" t="s">
        <v>43</v>
      </c>
      <c r="G2844">
        <v>-448.21249999999998</v>
      </c>
      <c r="H2844">
        <v>-0.05</v>
      </c>
      <c r="I2844">
        <v>268.21140000000003</v>
      </c>
      <c r="J2844">
        <v>-390.36869999999999</v>
      </c>
      <c r="K2844">
        <v>1.121075</v>
      </c>
      <c r="L2844">
        <v>284.0881</v>
      </c>
      <c r="M2844">
        <v>-0.99989620000000001</v>
      </c>
      <c r="N2844">
        <v>-1.422709E-2</v>
      </c>
      <c r="O2844">
        <v>-2.311188E-3</v>
      </c>
      <c r="P2844">
        <v>-0.99839979999999995</v>
      </c>
      <c r="Q2844">
        <v>-4.8323409999999997E-2</v>
      </c>
      <c r="R2844">
        <v>-2.937445E-2</v>
      </c>
      <c r="S2844">
        <v>-2.9782709999999999</v>
      </c>
      <c r="T2844">
        <v>-6.0132739999999997E-2</v>
      </c>
      <c r="U2844">
        <v>-0.81524659999999904</v>
      </c>
      <c r="V2844">
        <v>-2.707273E-2</v>
      </c>
      <c r="W2844">
        <v>-3.4108310000000003E-2</v>
      </c>
      <c r="X2844">
        <v>0.99905140000000003</v>
      </c>
      <c r="Y2844">
        <v>-0.26170169999999998</v>
      </c>
      <c r="Z2844">
        <v>-4.4761100000000002E-3</v>
      </c>
      <c r="AA2844">
        <v>0.96513839999999995</v>
      </c>
      <c r="AB2844">
        <v>31</v>
      </c>
      <c r="AC2844">
        <v>-57.843799999999902</v>
      </c>
      <c r="AD2844">
        <v>-1.1710750000000001</v>
      </c>
      <c r="AE2844">
        <v>-15.8766999999999</v>
      </c>
      <c r="AF2844">
        <v>-15.7369578165732</v>
      </c>
      <c r="AG2844">
        <v>-1.1710750000000001</v>
      </c>
      <c r="AH2844">
        <v>57.858289761307603</v>
      </c>
      <c r="AI2844">
        <v>91.118893052351396</v>
      </c>
      <c r="AJ2844">
        <v>105.21586844853699</v>
      </c>
      <c r="AK2844">
        <v>59.971701260508397</v>
      </c>
      <c r="AL2844">
        <v>91.954641322571007</v>
      </c>
      <c r="AM2844">
        <v>91.552246113133293</v>
      </c>
      <c r="AN2844">
        <v>1.00000000468133</v>
      </c>
    </row>
    <row r="2845" spans="1:40" x14ac:dyDescent="0.25">
      <c r="A2845" t="str">
        <f>"20190303153826815"</f>
        <v>20190303153826815</v>
      </c>
      <c r="B2845" t="str">
        <f>"1551598706801762"</f>
        <v>1551598706801762</v>
      </c>
      <c r="C2845" t="s">
        <v>40</v>
      </c>
      <c r="D2845">
        <v>3.9554520000000002</v>
      </c>
      <c r="E2845">
        <v>0.42652950000000001</v>
      </c>
      <c r="F2845" t="s">
        <v>62</v>
      </c>
      <c r="G2845">
        <v>-452.22660000000002</v>
      </c>
      <c r="H2845">
        <v>0.59186269999999996</v>
      </c>
      <c r="I2845">
        <v>270.08670000000001</v>
      </c>
      <c r="J2845">
        <v>-390.57119999999998</v>
      </c>
      <c r="K2845">
        <v>1.1210530000000001</v>
      </c>
      <c r="L2845">
        <v>284.08760000000001</v>
      </c>
      <c r="M2845">
        <v>-0.9998977</v>
      </c>
      <c r="N2845">
        <v>-1.413065E-2</v>
      </c>
      <c r="O2845">
        <v>-2.2673369999999999E-3</v>
      </c>
      <c r="P2845">
        <v>-0.99840209999999996</v>
      </c>
      <c r="Q2845">
        <v>-4.8028250000000001E-2</v>
      </c>
      <c r="R2845">
        <v>-2.9786099999999999E-2</v>
      </c>
      <c r="S2845">
        <v>-2.9837039999999999</v>
      </c>
      <c r="T2845">
        <v>-2.5525929999999999E-2</v>
      </c>
      <c r="U2845">
        <v>-0.67535400000000001</v>
      </c>
      <c r="V2845">
        <v>-2.7528339999999998E-2</v>
      </c>
      <c r="W2845">
        <v>-3.3909309999999998E-2</v>
      </c>
      <c r="X2845">
        <v>0.99904570000000004</v>
      </c>
      <c r="Y2845">
        <v>-0.21853</v>
      </c>
      <c r="Z2845">
        <v>-2.498994E-3</v>
      </c>
      <c r="AA2845">
        <v>0.975827</v>
      </c>
      <c r="AB2845">
        <v>31</v>
      </c>
      <c r="AC2845">
        <v>-61.6554</v>
      </c>
      <c r="AD2845">
        <v>-0.5291903</v>
      </c>
      <c r="AE2845">
        <v>-14.0009</v>
      </c>
      <c r="AF2845">
        <v>-13.860085511502501</v>
      </c>
      <c r="AG2845">
        <v>-0.5291903</v>
      </c>
      <c r="AH2845">
        <v>61.682668179051497</v>
      </c>
      <c r="AI2845">
        <v>90.479584621437297</v>
      </c>
      <c r="AJ2845">
        <v>102.664013089345</v>
      </c>
      <c r="AK2845">
        <v>63.222887995145697</v>
      </c>
      <c r="AL2845">
        <v>91.943232909591899</v>
      </c>
      <c r="AM2845">
        <v>91.578364932601005</v>
      </c>
      <c r="AN2845">
        <v>0.99999998074815999</v>
      </c>
    </row>
    <row r="2846" spans="1:40" x14ac:dyDescent="0.25">
      <c r="A2846" t="str">
        <f>"20190303153826832"</f>
        <v>20190303153826832</v>
      </c>
      <c r="B2846" t="str">
        <f>"1551598706821283"</f>
        <v>1551598706821283</v>
      </c>
      <c r="C2846" t="s">
        <v>40</v>
      </c>
      <c r="D2846">
        <v>3.8626559999999999</v>
      </c>
      <c r="E2846">
        <v>0.50758179999999997</v>
      </c>
      <c r="F2846" t="s">
        <v>62</v>
      </c>
      <c r="G2846">
        <v>-452.31200000000001</v>
      </c>
      <c r="H2846">
        <v>0.60357759999999905</v>
      </c>
      <c r="I2846">
        <v>270.08670000000001</v>
      </c>
      <c r="J2846">
        <v>-390.81479999999999</v>
      </c>
      <c r="K2846">
        <v>1.1210119999999999</v>
      </c>
      <c r="L2846">
        <v>284.08710000000002</v>
      </c>
      <c r="M2846">
        <v>-0.99990020000000002</v>
      </c>
      <c r="N2846">
        <v>-1.396213E-2</v>
      </c>
      <c r="O2846">
        <v>-2.2183319999999999E-3</v>
      </c>
      <c r="P2846">
        <v>-0.9983938</v>
      </c>
      <c r="Q2846">
        <v>-4.777965E-2</v>
      </c>
      <c r="R2846">
        <v>-3.0447249999999999E-2</v>
      </c>
      <c r="S2846">
        <v>-2.9833980000000002</v>
      </c>
      <c r="T2846">
        <v>-2.5004510000000001E-2</v>
      </c>
      <c r="U2846">
        <v>-0.67654419999999904</v>
      </c>
      <c r="V2846">
        <v>-2.8238699999999999E-2</v>
      </c>
      <c r="W2846">
        <v>-3.3828940000000002E-2</v>
      </c>
      <c r="X2846">
        <v>0.99902860000000004</v>
      </c>
      <c r="Y2846">
        <v>-0.2189702</v>
      </c>
      <c r="Z2846">
        <v>-2.466284E-3</v>
      </c>
      <c r="AA2846">
        <v>0.9757285</v>
      </c>
      <c r="AB2846">
        <v>31</v>
      </c>
      <c r="AC2846">
        <v>-61.4971999999999</v>
      </c>
      <c r="AD2846">
        <v>-0.51743439999999996</v>
      </c>
      <c r="AE2846">
        <v>-14.000400000000001</v>
      </c>
      <c r="AF2846">
        <v>-13.862997992839601</v>
      </c>
      <c r="AG2846">
        <v>-0.51743439999999996</v>
      </c>
      <c r="AH2846">
        <v>61.5239682724578</v>
      </c>
      <c r="AI2846">
        <v>90.470077611501097</v>
      </c>
      <c r="AJ2846">
        <v>102.698203466161</v>
      </c>
      <c r="AK2846">
        <v>63.068606482925901</v>
      </c>
      <c r="AL2846">
        <v>91.9386254008935</v>
      </c>
      <c r="AM2846">
        <v>91.619100426425803</v>
      </c>
      <c r="AN2846">
        <v>0.99999998248858601</v>
      </c>
    </row>
    <row r="2847" spans="1:40" x14ac:dyDescent="0.25">
      <c r="A2847" t="str">
        <f>"20190303153826846"</f>
        <v>20190303153826846</v>
      </c>
      <c r="B2847" t="str">
        <f>"1551598706841779"</f>
        <v>1551598706841779</v>
      </c>
      <c r="C2847" t="s">
        <v>40</v>
      </c>
      <c r="D2847">
        <v>3.8721329999999998</v>
      </c>
      <c r="E2847">
        <v>0.51738019999999996</v>
      </c>
      <c r="F2847" t="s">
        <v>46</v>
      </c>
      <c r="G2847">
        <v>0</v>
      </c>
      <c r="H2847">
        <v>0</v>
      </c>
      <c r="I2847">
        <v>0</v>
      </c>
      <c r="J2847">
        <v>-391.0163</v>
      </c>
      <c r="K2847">
        <v>1.120978</v>
      </c>
      <c r="L2847">
        <v>284.08670000000001</v>
      </c>
      <c r="M2847">
        <v>-0.99990259999999997</v>
      </c>
      <c r="N2847">
        <v>-1.3797530000000001E-2</v>
      </c>
      <c r="O2847">
        <v>-2.1763329999999999E-3</v>
      </c>
      <c r="P2847">
        <v>-0.99838979999999999</v>
      </c>
      <c r="Q2847">
        <v>-4.7659229999999997E-2</v>
      </c>
      <c r="R2847">
        <v>-3.0765560000000001E-2</v>
      </c>
      <c r="S2847">
        <v>-3.006958</v>
      </c>
      <c r="T2847">
        <v>6.6232920000000001E-2</v>
      </c>
      <c r="U2847">
        <v>-3.381348E-2</v>
      </c>
      <c r="V2847">
        <v>-2.859927E-2</v>
      </c>
      <c r="W2847">
        <v>-3.3873029999999998E-2</v>
      </c>
      <c r="X2847">
        <v>0.99901689999999999</v>
      </c>
      <c r="Y2847">
        <v>-9.0685160000000004E-3</v>
      </c>
      <c r="Z2847" s="1">
        <v>-4.06628E-5</v>
      </c>
      <c r="AA2847">
        <v>0.99995889999999998</v>
      </c>
      <c r="AB2847">
        <v>31</v>
      </c>
      <c r="AC2847">
        <v>-3.006958</v>
      </c>
      <c r="AD2847">
        <v>6.6232920000000001E-2</v>
      </c>
      <c r="AE2847">
        <v>-3.381348E-2</v>
      </c>
      <c r="AF2847">
        <v>-2.7255414211795899E-2</v>
      </c>
      <c r="AG2847">
        <v>6.6232920000000001E-2</v>
      </c>
      <c r="AH2847">
        <v>3.00556645048656</v>
      </c>
      <c r="AI2847">
        <v>88.737643373447597</v>
      </c>
      <c r="AJ2847">
        <v>90.519561761423404</v>
      </c>
      <c r="AK2847">
        <v>3.0064196888634802</v>
      </c>
      <c r="AL2847">
        <v>91.941152921504298</v>
      </c>
      <c r="AM2847">
        <v>91.639782126535096</v>
      </c>
      <c r="AN2847">
        <v>1.0000000334457599</v>
      </c>
    </row>
    <row r="2848" spans="1:40" x14ac:dyDescent="0.25">
      <c r="A2848" t="str">
        <f>"20190303153826861"</f>
        <v>20190303153826861</v>
      </c>
      <c r="B2848" t="str">
        <f>"1551598706851539"</f>
        <v>1551598706851539</v>
      </c>
      <c r="C2848" t="s">
        <v>40</v>
      </c>
      <c r="D2848">
        <v>3.8724880000000002</v>
      </c>
      <c r="E2848">
        <v>0.51957429999999905</v>
      </c>
      <c r="F2848" t="s">
        <v>46</v>
      </c>
      <c r="G2848">
        <v>0</v>
      </c>
      <c r="H2848">
        <v>0</v>
      </c>
      <c r="I2848">
        <v>0</v>
      </c>
      <c r="J2848">
        <v>-391.2133</v>
      </c>
      <c r="K2848">
        <v>1.120949</v>
      </c>
      <c r="L2848">
        <v>284.08640000000003</v>
      </c>
      <c r="M2848">
        <v>-0.99990480000000004</v>
      </c>
      <c r="N2848">
        <v>-1.363486E-2</v>
      </c>
      <c r="O2848">
        <v>-2.1328290000000001E-3</v>
      </c>
      <c r="P2848">
        <v>-0.99839690000000003</v>
      </c>
      <c r="Q2848">
        <v>-4.7550080000000002E-2</v>
      </c>
      <c r="R2848">
        <v>-3.070436E-2</v>
      </c>
      <c r="S2848">
        <v>-3.0092469999999998</v>
      </c>
      <c r="T2848">
        <v>6.4329739999999996E-2</v>
      </c>
      <c r="U2848">
        <v>4.3670649999999998E-2</v>
      </c>
      <c r="V2848">
        <v>-2.858111E-2</v>
      </c>
      <c r="W2848">
        <v>-3.3926459999999999E-2</v>
      </c>
      <c r="X2848">
        <v>0.9990156</v>
      </c>
      <c r="Y2848">
        <v>1.664071E-2</v>
      </c>
      <c r="Z2848">
        <v>-1.390366E-4</v>
      </c>
      <c r="AA2848">
        <v>0.99986149999999996</v>
      </c>
      <c r="AB2848">
        <v>31</v>
      </c>
      <c r="AC2848">
        <v>-3.0092469999999998</v>
      </c>
      <c r="AD2848">
        <v>6.4329739999999996E-2</v>
      </c>
      <c r="AE2848">
        <v>4.3670649999999998E-2</v>
      </c>
      <c r="AF2848">
        <v>5.00664812645241E-2</v>
      </c>
      <c r="AG2848">
        <v>6.4329739999999996E-2</v>
      </c>
      <c r="AH2848">
        <v>3.007772767034</v>
      </c>
      <c r="AI2848">
        <v>88.774923928032095</v>
      </c>
      <c r="AJ2848">
        <v>89.046359750328406</v>
      </c>
      <c r="AK2848">
        <v>3.0088771969135002</v>
      </c>
      <c r="AL2848">
        <v>91.944216008383506</v>
      </c>
      <c r="AM2848">
        <v>91.638743594877596</v>
      </c>
      <c r="AN2848">
        <v>1.0000000267901601</v>
      </c>
    </row>
    <row r="2849" spans="1:40" x14ac:dyDescent="0.25">
      <c r="A2849" t="str">
        <f>"20190303153826877"</f>
        <v>20190303153826877</v>
      </c>
      <c r="B2849" t="str">
        <f>"1551598706871062"</f>
        <v>1551598706871062</v>
      </c>
      <c r="C2849" t="s">
        <v>40</v>
      </c>
      <c r="D2849">
        <v>3.7917559999999999</v>
      </c>
      <c r="E2849">
        <v>0.52290499999999995</v>
      </c>
      <c r="F2849" t="s">
        <v>46</v>
      </c>
      <c r="G2849">
        <v>0</v>
      </c>
      <c r="H2849">
        <v>0</v>
      </c>
      <c r="I2849">
        <v>0</v>
      </c>
      <c r="J2849">
        <v>-391.43020000000001</v>
      </c>
      <c r="K2849">
        <v>1.1209180000000001</v>
      </c>
      <c r="L2849">
        <v>284.08589999999998</v>
      </c>
      <c r="M2849">
        <v>-0.99990730000000005</v>
      </c>
      <c r="N2849">
        <v>-1.3458919999999999E-2</v>
      </c>
      <c r="O2849">
        <v>-2.0834149999999999E-3</v>
      </c>
      <c r="P2849">
        <v>-0.99837469999999995</v>
      </c>
      <c r="Q2849">
        <v>-4.7916510000000002E-2</v>
      </c>
      <c r="R2849">
        <v>-3.0857079999999999E-2</v>
      </c>
      <c r="S2849">
        <v>-3.0098569999999998</v>
      </c>
      <c r="T2849">
        <v>6.6063640000000007E-2</v>
      </c>
      <c r="U2849">
        <v>6.1187739999999997E-2</v>
      </c>
      <c r="V2849">
        <v>-2.8783030000000001E-2</v>
      </c>
      <c r="W2849">
        <v>-3.4469060000000003E-2</v>
      </c>
      <c r="X2849">
        <v>0.99899119999999997</v>
      </c>
      <c r="Y2849">
        <v>2.240466E-2</v>
      </c>
      <c r="Z2849">
        <v>-1.687777E-4</v>
      </c>
      <c r="AA2849">
        <v>0.99974890000000005</v>
      </c>
      <c r="AB2849">
        <v>31</v>
      </c>
      <c r="AC2849">
        <v>-3.0098569999999998</v>
      </c>
      <c r="AD2849">
        <v>6.6063640000000007E-2</v>
      </c>
      <c r="AE2849">
        <v>6.1187739999999997E-2</v>
      </c>
      <c r="AF2849">
        <v>6.7426485988760804E-2</v>
      </c>
      <c r="AG2849">
        <v>6.6063640000000007E-2</v>
      </c>
      <c r="AH2849">
        <v>3.0082742995069398</v>
      </c>
      <c r="AI2849">
        <v>88.742265799891598</v>
      </c>
      <c r="AJ2849">
        <v>88.716005937714201</v>
      </c>
      <c r="AK2849">
        <v>3.0097549728535702</v>
      </c>
      <c r="AL2849">
        <v>91.975322949071696</v>
      </c>
      <c r="AM2849">
        <v>91.650354906790895</v>
      </c>
      <c r="AN2849">
        <v>0.99999999829535202</v>
      </c>
    </row>
    <row r="2850" spans="1:40" x14ac:dyDescent="0.25">
      <c r="A2850" t="str">
        <f>"20190303153826890"</f>
        <v>20190303153826890</v>
      </c>
      <c r="B2850" t="str">
        <f>"1551598706881796"</f>
        <v>1551598706881796</v>
      </c>
      <c r="C2850" t="s">
        <v>40</v>
      </c>
      <c r="D2850">
        <v>3.8262119999999999</v>
      </c>
      <c r="E2850">
        <v>0.5240686</v>
      </c>
      <c r="F2850" t="s">
        <v>46</v>
      </c>
      <c r="G2850">
        <v>0</v>
      </c>
      <c r="H2850">
        <v>0</v>
      </c>
      <c r="I2850">
        <v>0</v>
      </c>
      <c r="J2850">
        <v>-391.61399999999998</v>
      </c>
      <c r="K2850">
        <v>1.1208979999999999</v>
      </c>
      <c r="L2850">
        <v>284.0856</v>
      </c>
      <c r="M2850">
        <v>-0.99990950000000001</v>
      </c>
      <c r="N2850">
        <v>-1.331337E-2</v>
      </c>
      <c r="O2850">
        <v>-2.0407630000000001E-3</v>
      </c>
      <c r="P2850">
        <v>-0.99837520000000002</v>
      </c>
      <c r="Q2850">
        <v>-4.8071129999999997E-2</v>
      </c>
      <c r="R2850">
        <v>-3.0601090000000001E-2</v>
      </c>
      <c r="S2850">
        <v>-3.0106809999999999</v>
      </c>
      <c r="T2850">
        <v>6.5312499999999996E-2</v>
      </c>
      <c r="U2850">
        <v>8.7432860000000001E-2</v>
      </c>
      <c r="V2850">
        <v>-2.856933E-2</v>
      </c>
      <c r="W2850">
        <v>-3.476928E-2</v>
      </c>
      <c r="X2850">
        <v>0.99898699999999996</v>
      </c>
      <c r="Y2850">
        <v>3.1064609999999999E-2</v>
      </c>
      <c r="Z2850">
        <v>-2.0140840000000001E-4</v>
      </c>
      <c r="AA2850">
        <v>0.9995174</v>
      </c>
      <c r="AB2850">
        <v>31</v>
      </c>
      <c r="AC2850">
        <v>-3.0106809999999999</v>
      </c>
      <c r="AD2850">
        <v>6.5312499999999996E-2</v>
      </c>
      <c r="AE2850">
        <v>8.7432860000000001E-2</v>
      </c>
      <c r="AF2850">
        <v>9.35333267559319E-2</v>
      </c>
      <c r="AG2850">
        <v>6.5312499999999996E-2</v>
      </c>
      <c r="AH2850">
        <v>3.0090813671118202</v>
      </c>
      <c r="AI2850">
        <v>88.757183007348999</v>
      </c>
      <c r="AJ2850">
        <v>88.2196094935519</v>
      </c>
      <c r="AK2850">
        <v>3.01124307882472</v>
      </c>
      <c r="AL2850">
        <v>91.992534466592403</v>
      </c>
      <c r="AM2850">
        <v>91.638115408540003</v>
      </c>
      <c r="AN2850">
        <v>1.00000006780868</v>
      </c>
    </row>
    <row r="2851" spans="1:40" x14ac:dyDescent="0.25">
      <c r="A2851" t="str">
        <f>"20190303153826911"</f>
        <v>20190303153826911</v>
      </c>
      <c r="B2851" t="str">
        <f>"1551598706901315"</f>
        <v>1551598706901315</v>
      </c>
      <c r="C2851" t="s">
        <v>40</v>
      </c>
      <c r="D2851">
        <v>3.8009759999999999</v>
      </c>
      <c r="E2851">
        <v>0.52571409999999996</v>
      </c>
      <c r="F2851" t="s">
        <v>46</v>
      </c>
      <c r="G2851">
        <v>0</v>
      </c>
      <c r="H2851">
        <v>0</v>
      </c>
      <c r="I2851">
        <v>0</v>
      </c>
      <c r="J2851">
        <v>-391.8963</v>
      </c>
      <c r="K2851">
        <v>1.120873</v>
      </c>
      <c r="L2851">
        <v>284.08510000000001</v>
      </c>
      <c r="M2851">
        <v>-0.99991229999999998</v>
      </c>
      <c r="N2851">
        <v>-1.310071E-2</v>
      </c>
      <c r="O2851">
        <v>-1.9755039999999999E-3</v>
      </c>
      <c r="P2851">
        <v>-0.99840689999999999</v>
      </c>
      <c r="Q2851">
        <v>-4.7506079999999999E-2</v>
      </c>
      <c r="R2851">
        <v>-3.0445139999999999E-2</v>
      </c>
      <c r="S2851">
        <v>-3.011047</v>
      </c>
      <c r="T2851">
        <v>6.5290689999999998E-2</v>
      </c>
      <c r="U2851">
        <v>9.747314E-2</v>
      </c>
      <c r="V2851">
        <v>-2.8478690000000001E-2</v>
      </c>
      <c r="W2851">
        <v>-3.441644E-2</v>
      </c>
      <c r="X2851">
        <v>0.99900169999999999</v>
      </c>
      <c r="Y2851">
        <v>3.4325090000000003E-2</v>
      </c>
      <c r="Z2851">
        <v>-2.157762E-4</v>
      </c>
      <c r="AA2851">
        <v>0.99941069999999999</v>
      </c>
      <c r="AB2851">
        <v>31</v>
      </c>
      <c r="AC2851">
        <v>-3.011047</v>
      </c>
      <c r="AD2851">
        <v>6.5290689999999998E-2</v>
      </c>
      <c r="AE2851">
        <v>9.747314E-2</v>
      </c>
      <c r="AF2851">
        <v>0.103373241745799</v>
      </c>
      <c r="AG2851">
        <v>6.5290689999999998E-2</v>
      </c>
      <c r="AH2851">
        <v>3.00943504277233</v>
      </c>
      <c r="AI2851">
        <v>88.757876408049398</v>
      </c>
      <c r="AJ2851">
        <v>88.032679699978004</v>
      </c>
      <c r="AK2851">
        <v>3.0119176911024299</v>
      </c>
      <c r="AL2851">
        <v>91.972306327141695</v>
      </c>
      <c r="AM2851">
        <v>91.632897072807296</v>
      </c>
      <c r="AN2851">
        <v>0.99999996186463902</v>
      </c>
    </row>
    <row r="2852" spans="1:40" x14ac:dyDescent="0.25">
      <c r="A2852" t="str">
        <f>"20190303153826923"</f>
        <v>20190303153826923</v>
      </c>
      <c r="B2852" t="str">
        <f>"1551598706911075"</f>
        <v>1551598706911075</v>
      </c>
      <c r="C2852" t="s">
        <v>40</v>
      </c>
      <c r="D2852">
        <v>3.8077839999999998</v>
      </c>
      <c r="E2852">
        <v>0.5262521</v>
      </c>
      <c r="F2852" t="s">
        <v>46</v>
      </c>
      <c r="G2852">
        <v>0</v>
      </c>
      <c r="H2852">
        <v>0</v>
      </c>
      <c r="I2852">
        <v>0</v>
      </c>
      <c r="J2852">
        <v>-392.07240000000002</v>
      </c>
      <c r="K2852">
        <v>1.1208640000000001</v>
      </c>
      <c r="L2852">
        <v>284.08479999999997</v>
      </c>
      <c r="M2852">
        <v>-0.99991390000000002</v>
      </c>
      <c r="N2852">
        <v>-1.297541E-2</v>
      </c>
      <c r="O2852">
        <v>-1.9357210000000001E-3</v>
      </c>
      <c r="P2852">
        <v>-0.99842319999999996</v>
      </c>
      <c r="Q2852">
        <v>-4.7243540000000001E-2</v>
      </c>
      <c r="R2852">
        <v>-3.031785E-2</v>
      </c>
      <c r="S2852">
        <v>-3.0114139999999998</v>
      </c>
      <c r="T2852">
        <v>6.8008299999999994E-2</v>
      </c>
      <c r="U2852">
        <v>0.1108093</v>
      </c>
      <c r="V2852">
        <v>-2.839117E-2</v>
      </c>
      <c r="W2852">
        <v>-3.4278940000000001E-2</v>
      </c>
      <c r="X2852">
        <v>0.99900900000000004</v>
      </c>
      <c r="Y2852">
        <v>3.870067E-2</v>
      </c>
      <c r="Z2852">
        <v>-2.5440700000000001E-4</v>
      </c>
      <c r="AA2852">
        <v>0.99925079999999999</v>
      </c>
      <c r="AB2852">
        <v>31</v>
      </c>
      <c r="AC2852">
        <v>-3.0114139999999998</v>
      </c>
      <c r="AD2852">
        <v>6.8008299999999994E-2</v>
      </c>
      <c r="AE2852">
        <v>0.1108093</v>
      </c>
      <c r="AF2852">
        <v>0.11657946382595701</v>
      </c>
      <c r="AG2852">
        <v>6.8008299999999994E-2</v>
      </c>
      <c r="AH2852">
        <v>3.0096609466065201</v>
      </c>
      <c r="AI2852">
        <v>88.706496458054204</v>
      </c>
      <c r="AJ2852">
        <v>87.781752258189002</v>
      </c>
      <c r="AK2852">
        <v>3.01268566461609</v>
      </c>
      <c r="AL2852">
        <v>91.964423346062503</v>
      </c>
      <c r="AM2852">
        <v>91.627869709606401</v>
      </c>
      <c r="AN2852">
        <v>1.0000000431712399</v>
      </c>
    </row>
    <row r="2853" spans="1:40" x14ac:dyDescent="0.25">
      <c r="A2853" t="str">
        <f>"20190303153826936"</f>
        <v>20190303153826936</v>
      </c>
      <c r="B2853" t="str">
        <f>"1551598706931571"</f>
        <v>1551598706931571</v>
      </c>
      <c r="C2853" t="s">
        <v>40</v>
      </c>
      <c r="D2853">
        <v>3.7842720000000001</v>
      </c>
      <c r="E2853">
        <v>0.52720940000000005</v>
      </c>
      <c r="F2853" t="s">
        <v>46</v>
      </c>
      <c r="G2853">
        <v>0</v>
      </c>
      <c r="H2853">
        <v>0</v>
      </c>
      <c r="I2853">
        <v>0</v>
      </c>
      <c r="J2853">
        <v>-392.24029999999999</v>
      </c>
      <c r="K2853">
        <v>1.120854</v>
      </c>
      <c r="L2853">
        <v>284.08449999999999</v>
      </c>
      <c r="M2853">
        <v>-0.99991549999999996</v>
      </c>
      <c r="N2853">
        <v>-1.2860709999999999E-2</v>
      </c>
      <c r="O2853">
        <v>-1.898273E-3</v>
      </c>
      <c r="P2853">
        <v>-0.99846789999999996</v>
      </c>
      <c r="Q2853">
        <v>-4.6561030000000003E-2</v>
      </c>
      <c r="R2853">
        <v>-2.989789E-2</v>
      </c>
      <c r="S2853">
        <v>-3.0113829999999999</v>
      </c>
      <c r="T2853">
        <v>6.6363930000000002E-2</v>
      </c>
      <c r="U2853">
        <v>0.11584469999999999</v>
      </c>
      <c r="V2853">
        <v>-2.800824E-2</v>
      </c>
      <c r="W2853">
        <v>-3.3710570000000002E-2</v>
      </c>
      <c r="X2853">
        <v>0.99903909999999996</v>
      </c>
      <c r="Y2853">
        <v>4.0332260000000002E-2</v>
      </c>
      <c r="Z2853">
        <v>-2.5094000000000001E-4</v>
      </c>
      <c r="AA2853">
        <v>0.99918629999999997</v>
      </c>
      <c r="AB2853">
        <v>31</v>
      </c>
      <c r="AC2853">
        <v>-3.0113829999999999</v>
      </c>
      <c r="AD2853">
        <v>6.6363930000000002E-2</v>
      </c>
      <c r="AE2853">
        <v>0.11584469999999999</v>
      </c>
      <c r="AF2853">
        <v>0.121502469388339</v>
      </c>
      <c r="AG2853">
        <v>6.6363930000000002E-2</v>
      </c>
      <c r="AH2853">
        <v>3.0096981207248401</v>
      </c>
      <c r="AI2853">
        <v>88.737858852352502</v>
      </c>
      <c r="AJ2853">
        <v>87.688206522917497</v>
      </c>
      <c r="AK2853">
        <v>3.0128806480123198</v>
      </c>
      <c r="AL2853">
        <v>91.931839407262601</v>
      </c>
      <c r="AM2853">
        <v>91.605876798601003</v>
      </c>
      <c r="AN2853">
        <v>0.99999999368321602</v>
      </c>
    </row>
    <row r="2854" spans="1:40" x14ac:dyDescent="0.25">
      <c r="A2854" t="str">
        <f>"20190303153826949"</f>
        <v>20190303153826949</v>
      </c>
      <c r="B2854" t="str">
        <f>"1551598706941331"</f>
        <v>1551598706941331</v>
      </c>
      <c r="C2854" t="s">
        <v>40</v>
      </c>
      <c r="D2854">
        <v>3.8015819999999998</v>
      </c>
      <c r="E2854">
        <v>0.52755850000000004</v>
      </c>
      <c r="F2854" t="s">
        <v>46</v>
      </c>
      <c r="G2854">
        <v>0</v>
      </c>
      <c r="H2854">
        <v>0</v>
      </c>
      <c r="I2854">
        <v>0</v>
      </c>
      <c r="J2854">
        <v>-392.42039999999997</v>
      </c>
      <c r="K2854">
        <v>1.1208450000000001</v>
      </c>
      <c r="L2854">
        <v>284.08420000000001</v>
      </c>
      <c r="M2854">
        <v>-0.99991719999999895</v>
      </c>
      <c r="N2854">
        <v>-1.274224E-2</v>
      </c>
      <c r="O2854">
        <v>-1.8588960000000001E-3</v>
      </c>
      <c r="P2854">
        <v>-0.99848820000000005</v>
      </c>
      <c r="Q2854">
        <v>-4.6269200000000003E-2</v>
      </c>
      <c r="R2854">
        <v>-2.9675630000000001E-2</v>
      </c>
      <c r="S2854">
        <v>-3.0113829999999999</v>
      </c>
      <c r="T2854">
        <v>6.5382960000000004E-2</v>
      </c>
      <c r="U2854">
        <v>0.1247559</v>
      </c>
      <c r="V2854">
        <v>-2.7824999999999999E-2</v>
      </c>
      <c r="W2854">
        <v>-3.3536900000000001E-2</v>
      </c>
      <c r="X2854">
        <v>0.99905010000000005</v>
      </c>
      <c r="Y2854">
        <v>4.3244680000000001E-2</v>
      </c>
      <c r="Z2854">
        <v>-2.5755800000000002E-4</v>
      </c>
      <c r="AA2854">
        <v>0.99906450000000002</v>
      </c>
      <c r="AB2854">
        <v>31</v>
      </c>
      <c r="AC2854">
        <v>-3.0113829999999999</v>
      </c>
      <c r="AD2854">
        <v>6.5382960000000004E-2</v>
      </c>
      <c r="AE2854">
        <v>0.1247559</v>
      </c>
      <c r="AF2854">
        <v>0.13029267029503999</v>
      </c>
      <c r="AG2854">
        <v>6.5382960000000004E-2</v>
      </c>
      <c r="AH2854">
        <v>3.0097294888403199</v>
      </c>
      <c r="AI2854">
        <v>88.756674036725101</v>
      </c>
      <c r="AJ2854">
        <v>87.521185231536606</v>
      </c>
      <c r="AK2854">
        <v>3.0132578229195701</v>
      </c>
      <c r="AL2854">
        <v>91.9218831530047</v>
      </c>
      <c r="AM2854">
        <v>91.595358464573806</v>
      </c>
      <c r="AN2854">
        <v>1.0000000282982999</v>
      </c>
    </row>
    <row r="2855" spans="1:40" x14ac:dyDescent="0.25">
      <c r="A2855" t="str">
        <f>"20190303153826961"</f>
        <v>20190303153826961</v>
      </c>
      <c r="B2855" t="str">
        <f>"1551598706951091"</f>
        <v>1551598706951091</v>
      </c>
      <c r="C2855" t="s">
        <v>40</v>
      </c>
      <c r="D2855">
        <v>3.7906780000000002</v>
      </c>
      <c r="E2855">
        <v>0.52790249999999905</v>
      </c>
      <c r="F2855" t="s">
        <v>46</v>
      </c>
      <c r="G2855">
        <v>0</v>
      </c>
      <c r="H2855">
        <v>0</v>
      </c>
      <c r="I2855">
        <v>0</v>
      </c>
      <c r="J2855">
        <v>-392.59750000000003</v>
      </c>
      <c r="K2855">
        <v>1.120838</v>
      </c>
      <c r="L2855">
        <v>284.08390000000003</v>
      </c>
      <c r="M2855">
        <v>-0.99991850000000004</v>
      </c>
      <c r="N2855">
        <v>-1.2635489999999999E-2</v>
      </c>
      <c r="O2855">
        <v>-1.8203130000000001E-3</v>
      </c>
      <c r="P2855">
        <v>-0.99851529999999999</v>
      </c>
      <c r="Q2855">
        <v>-4.5745380000000002E-2</v>
      </c>
      <c r="R2855">
        <v>-2.9571710000000001E-2</v>
      </c>
      <c r="S2855">
        <v>-3.0113219999999998</v>
      </c>
      <c r="T2855">
        <v>6.4206239999999998E-2</v>
      </c>
      <c r="U2855">
        <v>0.1281128</v>
      </c>
      <c r="V2855">
        <v>-2.7760119999999999E-2</v>
      </c>
      <c r="W2855">
        <v>-3.3119419999999997E-2</v>
      </c>
      <c r="X2855">
        <v>0.9990658</v>
      </c>
      <c r="Y2855">
        <v>4.4318870000000003E-2</v>
      </c>
      <c r="Z2855">
        <v>-2.5383900000000001E-4</v>
      </c>
      <c r="AA2855">
        <v>0.99901740000000006</v>
      </c>
      <c r="AB2855">
        <v>31</v>
      </c>
      <c r="AC2855">
        <v>-3.0113219999999998</v>
      </c>
      <c r="AD2855">
        <v>6.4206239999999998E-2</v>
      </c>
      <c r="AE2855">
        <v>0.1281128</v>
      </c>
      <c r="AF2855">
        <v>0.133533977637559</v>
      </c>
      <c r="AG2855">
        <v>6.4206239999999998E-2</v>
      </c>
      <c r="AH2855">
        <v>3.00971800677172</v>
      </c>
      <c r="AI2855">
        <v>88.779096627624298</v>
      </c>
      <c r="AJ2855">
        <v>87.459589570635501</v>
      </c>
      <c r="AK2855">
        <v>3.0133629460661702</v>
      </c>
      <c r="AL2855">
        <v>91.8979500761222</v>
      </c>
      <c r="AM2855">
        <v>91.591615458026794</v>
      </c>
      <c r="AN2855">
        <v>0.99999999648659499</v>
      </c>
    </row>
    <row r="2856" spans="1:40" x14ac:dyDescent="0.25">
      <c r="A2856" t="str">
        <f>"20190303153826976"</f>
        <v>20190303153826976</v>
      </c>
      <c r="B2856" t="str">
        <f>"1551598706971587"</f>
        <v>1551598706971587</v>
      </c>
      <c r="C2856" t="s">
        <v>40</v>
      </c>
      <c r="D2856">
        <v>3.8231259999999998</v>
      </c>
      <c r="E2856">
        <v>0.52803639999999996</v>
      </c>
      <c r="F2856" t="s">
        <v>46</v>
      </c>
      <c r="G2856">
        <v>0</v>
      </c>
      <c r="H2856">
        <v>0</v>
      </c>
      <c r="I2856">
        <v>0</v>
      </c>
      <c r="J2856">
        <v>-392.79599999999999</v>
      </c>
      <c r="K2856">
        <v>1.1208309999999999</v>
      </c>
      <c r="L2856">
        <v>284.08359999999999</v>
      </c>
      <c r="M2856">
        <v>-0.99992000000000003</v>
      </c>
      <c r="N2856">
        <v>-1.252464E-2</v>
      </c>
      <c r="O2856">
        <v>-1.7770609999999999E-3</v>
      </c>
      <c r="P2856">
        <v>-0.99853760000000003</v>
      </c>
      <c r="Q2856">
        <v>-4.5298459999999999E-2</v>
      </c>
      <c r="R2856">
        <v>-2.9509090000000002E-2</v>
      </c>
      <c r="S2856">
        <v>-3.0113219999999998</v>
      </c>
      <c r="T2856">
        <v>6.5604689999999993E-2</v>
      </c>
      <c r="U2856">
        <v>0.13095090000000001</v>
      </c>
      <c r="V2856">
        <v>-2.7740419999999998E-2</v>
      </c>
      <c r="W2856">
        <v>-3.2782989999999998E-2</v>
      </c>
      <c r="X2856">
        <v>0.9990774</v>
      </c>
      <c r="Y2856">
        <v>4.5214999999999998E-2</v>
      </c>
      <c r="Z2856">
        <v>-2.6986190000000002E-4</v>
      </c>
      <c r="AA2856">
        <v>0.99897720000000001</v>
      </c>
      <c r="AB2856">
        <v>31</v>
      </c>
      <c r="AC2856">
        <v>-3.0113219999999998</v>
      </c>
      <c r="AD2856">
        <v>6.5604689999999993E-2</v>
      </c>
      <c r="AE2856">
        <v>0.13095090000000001</v>
      </c>
      <c r="AF2856">
        <v>0.13623787520844</v>
      </c>
      <c r="AG2856">
        <v>6.5604689999999993E-2</v>
      </c>
      <c r="AH2856">
        <v>3.0096587397103902</v>
      </c>
      <c r="AI2856">
        <v>88.752538544547406</v>
      </c>
      <c r="AJ2856">
        <v>87.408167887527895</v>
      </c>
      <c r="AK2856">
        <v>3.0134549048403598</v>
      </c>
      <c r="AL2856">
        <v>91.878663664787197</v>
      </c>
      <c r="AM2856">
        <v>91.590468089507198</v>
      </c>
      <c r="AN2856">
        <v>0.999999953262937</v>
      </c>
    </row>
    <row r="2857" spans="1:40" x14ac:dyDescent="0.25">
      <c r="A2857" t="str">
        <f>"20190303153826990"</f>
        <v>20190303153826990</v>
      </c>
      <c r="B2857" t="str">
        <f>"1551598706981348"</f>
        <v>1551598706981348</v>
      </c>
      <c r="C2857" t="s">
        <v>40</v>
      </c>
      <c r="D2857">
        <v>3.8096100000000002</v>
      </c>
      <c r="E2857">
        <v>0.52813469999999996</v>
      </c>
      <c r="F2857" t="s">
        <v>46</v>
      </c>
      <c r="G2857">
        <v>0</v>
      </c>
      <c r="H2857">
        <v>0</v>
      </c>
      <c r="I2857">
        <v>0</v>
      </c>
      <c r="J2857">
        <v>-392.99149999999997</v>
      </c>
      <c r="K2857">
        <v>1.1208229999999999</v>
      </c>
      <c r="L2857">
        <v>284.08330000000001</v>
      </c>
      <c r="M2857">
        <v>-0.99992139999999996</v>
      </c>
      <c r="N2857">
        <v>-1.242597E-2</v>
      </c>
      <c r="O2857">
        <v>-1.7344859999999999E-3</v>
      </c>
      <c r="P2857">
        <v>-0.99855360000000004</v>
      </c>
      <c r="Q2857">
        <v>-4.4838669999999997E-2</v>
      </c>
      <c r="R2857">
        <v>-2.967171E-2</v>
      </c>
      <c r="S2857">
        <v>-3.0112000000000001</v>
      </c>
      <c r="T2857">
        <v>6.4305310000000004E-2</v>
      </c>
      <c r="U2857">
        <v>0.1324158</v>
      </c>
      <c r="V2857">
        <v>-2.7945600000000001E-2</v>
      </c>
      <c r="W2857">
        <v>-3.2421539999999999E-2</v>
      </c>
      <c r="X2857">
        <v>0.99908350000000001</v>
      </c>
      <c r="Y2857">
        <v>4.5659520000000002E-2</v>
      </c>
      <c r="Z2857">
        <v>-2.6196169999999998E-4</v>
      </c>
      <c r="AA2857">
        <v>0.99895699999999998</v>
      </c>
      <c r="AB2857">
        <v>31</v>
      </c>
      <c r="AC2857">
        <v>-3.0112000000000001</v>
      </c>
      <c r="AD2857">
        <v>6.4305310000000004E-2</v>
      </c>
      <c r="AE2857">
        <v>0.1324158</v>
      </c>
      <c r="AF2857">
        <v>0.137576266868873</v>
      </c>
      <c r="AG2857">
        <v>6.4305310000000004E-2</v>
      </c>
      <c r="AH2857">
        <v>3.0095958951849999</v>
      </c>
      <c r="AI2857">
        <v>88.777237650954206</v>
      </c>
      <c r="AJ2857">
        <v>87.382686561801293</v>
      </c>
      <c r="AK2857">
        <v>3.0134249375775402</v>
      </c>
      <c r="AL2857">
        <v>91.857943046252004</v>
      </c>
      <c r="AM2857">
        <v>91.602215984336098</v>
      </c>
      <c r="AN2857">
        <v>0.99999997639379001</v>
      </c>
    </row>
    <row r="2858" spans="1:40" x14ac:dyDescent="0.25">
      <c r="A2858" t="str">
        <f>"20190303153827004"</f>
        <v>20190303153827004</v>
      </c>
      <c r="B2858" t="str">
        <f>"1551598706991108"</f>
        <v>1551598706991108</v>
      </c>
      <c r="C2858" t="s">
        <v>40</v>
      </c>
      <c r="D2858">
        <v>3.8189839999999999</v>
      </c>
      <c r="E2858">
        <v>0.52819659999999902</v>
      </c>
      <c r="F2858" t="s">
        <v>46</v>
      </c>
      <c r="G2858">
        <v>0</v>
      </c>
      <c r="H2858">
        <v>0</v>
      </c>
      <c r="I2858">
        <v>0</v>
      </c>
      <c r="J2858">
        <v>-393.19560000000001</v>
      </c>
      <c r="K2858">
        <v>1.1208199999999999</v>
      </c>
      <c r="L2858">
        <v>284.08300000000003</v>
      </c>
      <c r="M2858">
        <v>-0.99992250000000005</v>
      </c>
      <c r="N2858">
        <v>-1.234153E-2</v>
      </c>
      <c r="O2858">
        <v>-1.689503E-3</v>
      </c>
      <c r="P2858">
        <v>-0.99854929999999997</v>
      </c>
      <c r="Q2858">
        <v>-4.4841770000000003E-2</v>
      </c>
      <c r="R2858">
        <v>-2.980675E-2</v>
      </c>
      <c r="S2858">
        <v>-3.0112000000000001</v>
      </c>
      <c r="T2858">
        <v>6.4878459999999999E-2</v>
      </c>
      <c r="U2858">
        <v>0.13278199999999901</v>
      </c>
      <c r="V2858">
        <v>-2.812512E-2</v>
      </c>
      <c r="W2858">
        <v>-3.2509040000000003E-2</v>
      </c>
      <c r="X2858">
        <v>0.99907570000000001</v>
      </c>
      <c r="Y2858">
        <v>4.5735659999999997E-2</v>
      </c>
      <c r="Z2858">
        <v>-2.6723939999999998E-4</v>
      </c>
      <c r="AA2858">
        <v>0.99895350000000005</v>
      </c>
      <c r="AB2858">
        <v>31</v>
      </c>
      <c r="AC2858">
        <v>-3.0112000000000001</v>
      </c>
      <c r="AD2858">
        <v>6.4878459999999999E-2</v>
      </c>
      <c r="AE2858">
        <v>0.13278199999999901</v>
      </c>
      <c r="AF2858">
        <v>0.137805781182986</v>
      </c>
      <c r="AG2858">
        <v>6.4878459999999999E-2</v>
      </c>
      <c r="AH2858">
        <v>3.00957696097676</v>
      </c>
      <c r="AI2858">
        <v>88.766339135890902</v>
      </c>
      <c r="AJ2858">
        <v>87.378309793339895</v>
      </c>
      <c r="AK2858">
        <v>3.01342879987922</v>
      </c>
      <c r="AL2858">
        <v>91.862958920629296</v>
      </c>
      <c r="AM2858">
        <v>91.612515640397305</v>
      </c>
      <c r="AN2858">
        <v>1.0000000571936101</v>
      </c>
    </row>
    <row r="2859" spans="1:40" x14ac:dyDescent="0.25">
      <c r="A2859" t="str">
        <f>"20190303153827023"</f>
        <v>20190303153827023</v>
      </c>
      <c r="B2859" t="str">
        <f>"1551598707011603"</f>
        <v>1551598707011603</v>
      </c>
      <c r="C2859" t="s">
        <v>40</v>
      </c>
      <c r="D2859">
        <v>3.790699</v>
      </c>
      <c r="E2859">
        <v>0.528312</v>
      </c>
      <c r="F2859" t="s">
        <v>46</v>
      </c>
      <c r="G2859">
        <v>0</v>
      </c>
      <c r="H2859">
        <v>0</v>
      </c>
      <c r="I2859">
        <v>0</v>
      </c>
      <c r="J2859">
        <v>-393.44709999999998</v>
      </c>
      <c r="K2859">
        <v>1.1208149999999999</v>
      </c>
      <c r="L2859">
        <v>284.08260000000001</v>
      </c>
      <c r="M2859">
        <v>-0.99992369999999997</v>
      </c>
      <c r="N2859">
        <v>-1.2256639999999999E-2</v>
      </c>
      <c r="O2859">
        <v>-1.63415E-3</v>
      </c>
      <c r="P2859">
        <v>-0.99852589999999997</v>
      </c>
      <c r="Q2859">
        <v>-4.4929240000000002E-2</v>
      </c>
      <c r="R2859">
        <v>-3.04566E-2</v>
      </c>
      <c r="S2859">
        <v>-3.0111690000000002</v>
      </c>
      <c r="T2859">
        <v>6.3309309999999994E-2</v>
      </c>
      <c r="U2859">
        <v>0.13278199999999901</v>
      </c>
      <c r="V2859">
        <v>-2.883049E-2</v>
      </c>
      <c r="W2859">
        <v>-3.2681450000000001E-2</v>
      </c>
      <c r="X2859">
        <v>0.99904990000000005</v>
      </c>
      <c r="Y2859">
        <v>4.568121E-2</v>
      </c>
      <c r="Z2859">
        <v>-2.5417940000000002E-4</v>
      </c>
      <c r="AA2859">
        <v>0.99895599999999996</v>
      </c>
      <c r="AB2859">
        <v>31</v>
      </c>
      <c r="AC2859">
        <v>-3.0111690000000002</v>
      </c>
      <c r="AD2859">
        <v>6.3309309999999994E-2</v>
      </c>
      <c r="AE2859">
        <v>0.13278199999999901</v>
      </c>
      <c r="AF2859">
        <v>0.13764216767860099</v>
      </c>
      <c r="AG2859">
        <v>6.3309309999999994E-2</v>
      </c>
      <c r="AH2859">
        <v>3.0096201760492902</v>
      </c>
      <c r="AI2859">
        <v>88.796181817007195</v>
      </c>
      <c r="AJ2859">
        <v>87.381455676017296</v>
      </c>
      <c r="AK2859">
        <v>3.0134311074154101</v>
      </c>
      <c r="AL2859">
        <v>91.872842665922903</v>
      </c>
      <c r="AM2859">
        <v>91.652977575084506</v>
      </c>
      <c r="AN2859">
        <v>0.99999998850887595</v>
      </c>
    </row>
    <row r="2860" spans="1:40" x14ac:dyDescent="0.25">
      <c r="A2860" t="str">
        <f>"20190303153827045"</f>
        <v>20190303153827045</v>
      </c>
      <c r="B2860" t="str">
        <f>"1551598707041860"</f>
        <v>1551598707041860</v>
      </c>
      <c r="C2860" t="s">
        <v>40</v>
      </c>
      <c r="D2860">
        <v>3.7697449999999999</v>
      </c>
      <c r="E2860">
        <v>0.52848200000000001</v>
      </c>
      <c r="F2860" t="s">
        <v>46</v>
      </c>
      <c r="G2860">
        <v>0</v>
      </c>
      <c r="H2860">
        <v>0</v>
      </c>
      <c r="I2860">
        <v>0</v>
      </c>
      <c r="J2860">
        <v>-393.75790000000001</v>
      </c>
      <c r="K2860">
        <v>1.120833</v>
      </c>
      <c r="L2860">
        <v>284.0822</v>
      </c>
      <c r="M2860">
        <v>-0.99992380000000003</v>
      </c>
      <c r="N2860">
        <v>-1.2242670000000001E-2</v>
      </c>
      <c r="O2860">
        <v>-1.5680379999999999E-3</v>
      </c>
      <c r="P2860">
        <v>-0.99847719999999995</v>
      </c>
      <c r="Q2860">
        <v>-4.5249369999999997E-2</v>
      </c>
      <c r="R2860">
        <v>-3.155467E-2</v>
      </c>
      <c r="S2860">
        <v>-3.0111080000000001</v>
      </c>
      <c r="T2860">
        <v>5.9956549999999997E-2</v>
      </c>
      <c r="U2860">
        <v>0.1318665</v>
      </c>
      <c r="V2860">
        <v>-2.9994900000000001E-2</v>
      </c>
      <c r="W2860">
        <v>-3.3015959999999997E-2</v>
      </c>
      <c r="X2860">
        <v>0.99900460000000002</v>
      </c>
      <c r="Y2860">
        <v>4.5313739999999998E-2</v>
      </c>
      <c r="Z2860">
        <v>-2.237338E-4</v>
      </c>
      <c r="AA2860">
        <v>0.99897279999999999</v>
      </c>
      <c r="AB2860">
        <v>31</v>
      </c>
      <c r="AC2860">
        <v>-3.0111080000000001</v>
      </c>
      <c r="AD2860">
        <v>5.9956549999999997E-2</v>
      </c>
      <c r="AE2860">
        <v>0.1318665</v>
      </c>
      <c r="AF2860">
        <v>0.13653419425916499</v>
      </c>
      <c r="AG2860">
        <v>5.9956549999999997E-2</v>
      </c>
      <c r="AH2860">
        <v>3.0097065080919401</v>
      </c>
      <c r="AI2860">
        <v>88.859930363445201</v>
      </c>
      <c r="AJ2860">
        <v>87.402579502127907</v>
      </c>
      <c r="AK2860">
        <v>3.0133983538425402</v>
      </c>
      <c r="AL2860">
        <v>91.892019062723193</v>
      </c>
      <c r="AM2860">
        <v>91.719776895327001</v>
      </c>
      <c r="AN2860">
        <v>0.99999996923094503</v>
      </c>
    </row>
    <row r="2861" spans="1:40" x14ac:dyDescent="0.25">
      <c r="A2861" t="str">
        <f>"20190303153827068"</f>
        <v>20190303153827068</v>
      </c>
      <c r="B2861" t="str">
        <f>"1551598707061379"</f>
        <v>1551598707061379</v>
      </c>
      <c r="C2861" t="s">
        <v>40</v>
      </c>
      <c r="D2861">
        <v>3.8145859999999998</v>
      </c>
      <c r="E2861">
        <v>0.52802320000000003</v>
      </c>
      <c r="F2861" t="s">
        <v>46</v>
      </c>
      <c r="G2861">
        <v>0</v>
      </c>
      <c r="H2861">
        <v>0</v>
      </c>
      <c r="I2861">
        <v>0</v>
      </c>
      <c r="J2861">
        <v>-394.07</v>
      </c>
      <c r="K2861">
        <v>1.120879</v>
      </c>
      <c r="L2861">
        <v>284.08179999999999</v>
      </c>
      <c r="M2861">
        <v>-0.99992259999999999</v>
      </c>
      <c r="N2861">
        <v>-1.234916E-2</v>
      </c>
      <c r="O2861">
        <v>-1.507457E-3</v>
      </c>
      <c r="P2861">
        <v>-0.99842140000000001</v>
      </c>
      <c r="Q2861">
        <v>-4.563913E-2</v>
      </c>
      <c r="R2861">
        <v>-3.2740140000000001E-2</v>
      </c>
      <c r="S2861">
        <v>-3.0109859999999999</v>
      </c>
      <c r="T2861">
        <v>5.1472539999999997E-2</v>
      </c>
      <c r="U2861">
        <v>0.13021849999999999</v>
      </c>
      <c r="V2861">
        <v>-3.1240270000000001E-2</v>
      </c>
      <c r="W2861">
        <v>-3.3300000000000003E-2</v>
      </c>
      <c r="X2861">
        <v>0.99895699999999998</v>
      </c>
      <c r="Y2861">
        <v>4.4711069999999999E-2</v>
      </c>
      <c r="Z2861">
        <v>-1.5010379999999901E-4</v>
      </c>
      <c r="AA2861">
        <v>0.999</v>
      </c>
      <c r="AB2861">
        <v>31</v>
      </c>
      <c r="AC2861">
        <v>-3.0109859999999999</v>
      </c>
      <c r="AD2861">
        <v>5.1472539999999997E-2</v>
      </c>
      <c r="AE2861">
        <v>0.13021849999999999</v>
      </c>
      <c r="AF2861">
        <v>0.134718334076117</v>
      </c>
      <c r="AG2861">
        <v>5.1472539999999997E-2</v>
      </c>
      <c r="AH2861">
        <v>3.0099083031192202</v>
      </c>
      <c r="AI2861">
        <v>89.021258181874103</v>
      </c>
      <c r="AJ2861">
        <v>87.437249572785404</v>
      </c>
      <c r="AK2861">
        <v>3.0133613200372</v>
      </c>
      <c r="AL2861">
        <v>91.908302316139398</v>
      </c>
      <c r="AM2861">
        <v>91.7912206920617</v>
      </c>
      <c r="AN2861">
        <v>0.99999996615933495</v>
      </c>
    </row>
    <row r="2862" spans="1:40" x14ac:dyDescent="0.25">
      <c r="A2862" t="str">
        <f>"20190303153827080"</f>
        <v>20190303153827080</v>
      </c>
      <c r="B2862" t="str">
        <f>"1551598707071139"</f>
        <v>1551598707071139</v>
      </c>
      <c r="C2862" t="s">
        <v>40</v>
      </c>
      <c r="D2862">
        <v>3.7508889999999999</v>
      </c>
      <c r="E2862">
        <v>0.52802320000000003</v>
      </c>
      <c r="F2862" t="s">
        <v>46</v>
      </c>
      <c r="G2862">
        <v>0</v>
      </c>
      <c r="H2862">
        <v>0</v>
      </c>
      <c r="I2862">
        <v>0</v>
      </c>
      <c r="J2862">
        <v>-394.24239999999998</v>
      </c>
      <c r="K2862">
        <v>1.1209070000000001</v>
      </c>
      <c r="L2862">
        <v>284.08150000000001</v>
      </c>
      <c r="M2862">
        <v>-0.99992159999999997</v>
      </c>
      <c r="N2862">
        <v>-1.243842E-2</v>
      </c>
      <c r="O2862">
        <v>-1.4783800000000001E-3</v>
      </c>
      <c r="P2862">
        <v>-0.9983571</v>
      </c>
      <c r="Q2862">
        <v>-4.6372289999999997E-2</v>
      </c>
      <c r="R2862">
        <v>-3.3663510000000001E-2</v>
      </c>
      <c r="S2862">
        <v>-3.0111080000000001</v>
      </c>
      <c r="T2862">
        <v>5.1860450000000002E-2</v>
      </c>
      <c r="U2862">
        <v>0.123168899999999</v>
      </c>
      <c r="V2862">
        <v>-3.2192720000000001E-2</v>
      </c>
      <c r="W2862">
        <v>-3.3944870000000002E-2</v>
      </c>
      <c r="X2862">
        <v>0.99890509999999999</v>
      </c>
      <c r="Y2862">
        <v>4.2345510000000003E-2</v>
      </c>
      <c r="Z2862">
        <v>-1.448276E-4</v>
      </c>
      <c r="AA2862">
        <v>0.99910299999999996</v>
      </c>
      <c r="AB2862">
        <v>31</v>
      </c>
      <c r="AC2862">
        <v>-3.0111080000000001</v>
      </c>
      <c r="AD2862">
        <v>5.1860450000000002E-2</v>
      </c>
      <c r="AE2862">
        <v>0.123168899999999</v>
      </c>
      <c r="AF2862">
        <v>0.12758288927311801</v>
      </c>
      <c r="AG2862">
        <v>5.1860450000000002E-2</v>
      </c>
      <c r="AH2862">
        <v>3.0100312204124702</v>
      </c>
      <c r="AI2862">
        <v>89.013822127327401</v>
      </c>
      <c r="AJ2862">
        <v>87.572919459911105</v>
      </c>
      <c r="AK2862">
        <v>3.0131801884001699</v>
      </c>
      <c r="AL2862">
        <v>91.945271460121006</v>
      </c>
      <c r="AM2862">
        <v>91.845889853899394</v>
      </c>
      <c r="AN2862">
        <v>1.00000001211316</v>
      </c>
    </row>
    <row r="2863" spans="1:40" x14ac:dyDescent="0.25">
      <c r="A2863" t="str">
        <f>"20190303153827093"</f>
        <v>20190303153827093</v>
      </c>
      <c r="B2863" t="str">
        <f>"1551598707081876"</f>
        <v>1551598707081876</v>
      </c>
      <c r="C2863" t="s">
        <v>40</v>
      </c>
      <c r="D2863">
        <v>3.76755</v>
      </c>
      <c r="E2863">
        <v>0.50768740000000001</v>
      </c>
      <c r="F2863" t="s">
        <v>46</v>
      </c>
      <c r="G2863">
        <v>0</v>
      </c>
      <c r="H2863">
        <v>0</v>
      </c>
      <c r="I2863">
        <v>0</v>
      </c>
      <c r="J2863">
        <v>-394.42610000000002</v>
      </c>
      <c r="K2863">
        <v>1.1209389999999999</v>
      </c>
      <c r="L2863">
        <v>284.0813</v>
      </c>
      <c r="M2863">
        <v>-0.99992029999999998</v>
      </c>
      <c r="N2863">
        <v>-1.253723E-2</v>
      </c>
      <c r="O2863">
        <v>-1.450579E-3</v>
      </c>
      <c r="P2863">
        <v>-0.99827049999999995</v>
      </c>
      <c r="Q2863">
        <v>-4.7363040000000002E-2</v>
      </c>
      <c r="R2863">
        <v>-3.4822649999999997E-2</v>
      </c>
      <c r="S2863">
        <v>-3.0112920000000001</v>
      </c>
      <c r="T2863">
        <v>4.9514410000000002E-2</v>
      </c>
      <c r="U2863">
        <v>0.12048339999999901</v>
      </c>
      <c r="V2863">
        <v>-3.3379600000000002E-2</v>
      </c>
      <c r="W2863">
        <v>-3.483816E-2</v>
      </c>
      <c r="X2863">
        <v>0.99883540000000004</v>
      </c>
      <c r="Y2863">
        <v>4.1426110000000002E-2</v>
      </c>
      <c r="Z2863">
        <v>-1.2263939999999999E-4</v>
      </c>
      <c r="AA2863">
        <v>0.99914159999999996</v>
      </c>
      <c r="AB2863">
        <v>31</v>
      </c>
      <c r="AC2863">
        <v>-3.0112920000000001</v>
      </c>
      <c r="AD2863">
        <v>4.9514410000000002E-2</v>
      </c>
      <c r="AE2863">
        <v>0.12048339999999901</v>
      </c>
      <c r="AF2863">
        <v>0.124818040691867</v>
      </c>
      <c r="AG2863">
        <v>4.9514410000000002E-2</v>
      </c>
      <c r="AH2863">
        <v>3.0103014544633702</v>
      </c>
      <c r="AI2863">
        <v>89.058474357909205</v>
      </c>
      <c r="AJ2863">
        <v>87.625668765261395</v>
      </c>
      <c r="AK2863">
        <v>3.01329488547406</v>
      </c>
      <c r="AL2863">
        <v>91.9964834761292</v>
      </c>
      <c r="AM2863">
        <v>91.9140277931361</v>
      </c>
      <c r="AN2863">
        <v>1.00000002569075</v>
      </c>
    </row>
    <row r="2864" spans="1:40" x14ac:dyDescent="0.25">
      <c r="A2864" t="str">
        <f>"20190303153827107"</f>
        <v>20190303153827107</v>
      </c>
      <c r="B2864" t="str">
        <f>"1551598707101395"</f>
        <v>1551598707101395</v>
      </c>
      <c r="C2864" t="s">
        <v>40</v>
      </c>
      <c r="D2864">
        <v>3.7946819999999999</v>
      </c>
      <c r="E2864">
        <v>0.50705089999999997</v>
      </c>
      <c r="F2864" t="s">
        <v>46</v>
      </c>
      <c r="G2864">
        <v>0</v>
      </c>
      <c r="H2864">
        <v>0</v>
      </c>
      <c r="I2864">
        <v>0</v>
      </c>
      <c r="J2864">
        <v>-394.61630000000002</v>
      </c>
      <c r="K2864">
        <v>1.120967</v>
      </c>
      <c r="L2864">
        <v>284.08100000000002</v>
      </c>
      <c r="M2864">
        <v>-0.99991920000000001</v>
      </c>
      <c r="N2864">
        <v>-1.264143E-2</v>
      </c>
      <c r="O2864">
        <v>-1.427134E-3</v>
      </c>
      <c r="P2864">
        <v>-0.99819000000000002</v>
      </c>
      <c r="Q2864">
        <v>-4.830665E-2</v>
      </c>
      <c r="R2864">
        <v>-3.582888E-2</v>
      </c>
      <c r="S2864">
        <v>-3.0081479999999998</v>
      </c>
      <c r="T2864">
        <v>9.5085139999999999E-2</v>
      </c>
      <c r="U2864">
        <v>-4.5654300000000002E-2</v>
      </c>
      <c r="V2864">
        <v>-3.4408750000000002E-2</v>
      </c>
      <c r="W2864">
        <v>-3.5679049999999997E-2</v>
      </c>
      <c r="X2864">
        <v>0.99877079999999996</v>
      </c>
      <c r="Y2864">
        <v>-1.374531E-2</v>
      </c>
      <c r="Z2864" s="1">
        <v>6.7139740000000006E-5</v>
      </c>
      <c r="AA2864">
        <v>0.9999055</v>
      </c>
      <c r="AB2864">
        <v>31</v>
      </c>
      <c r="AC2864">
        <v>-3.0081479999999998</v>
      </c>
      <c r="AD2864">
        <v>9.5085139999999999E-2</v>
      </c>
      <c r="AE2864">
        <v>-4.5654300000000002E-2</v>
      </c>
      <c r="AF2864">
        <v>-4.1319606063527803E-2</v>
      </c>
      <c r="AG2864">
        <v>9.5085139999999999E-2</v>
      </c>
      <c r="AH2864">
        <v>3.0052081600860401</v>
      </c>
      <c r="AI2864">
        <v>88.1879305303721</v>
      </c>
      <c r="AJ2864">
        <v>90.787729084277501</v>
      </c>
      <c r="AK2864">
        <v>3.0069959393291099</v>
      </c>
      <c r="AL2864">
        <v>92.044692883299803</v>
      </c>
      <c r="AM2864">
        <v>91.973122102681302</v>
      </c>
      <c r="AN2864">
        <v>1.00000003380905</v>
      </c>
    </row>
    <row r="2865" spans="1:40" x14ac:dyDescent="0.25">
      <c r="A2865" t="str">
        <f>"20190303153827119"</f>
        <v>20190303153827119</v>
      </c>
      <c r="B2865" t="str">
        <f>"1551598707111155"</f>
        <v>1551598707111155</v>
      </c>
      <c r="C2865" t="s">
        <v>40</v>
      </c>
      <c r="D2865">
        <v>3.7525789999999999</v>
      </c>
      <c r="E2865">
        <v>0.50687070000000001</v>
      </c>
      <c r="F2865" t="s">
        <v>46</v>
      </c>
      <c r="G2865">
        <v>0</v>
      </c>
      <c r="H2865">
        <v>0</v>
      </c>
      <c r="I2865">
        <v>0</v>
      </c>
      <c r="J2865">
        <v>-394.7944</v>
      </c>
      <c r="K2865">
        <v>1.1209899999999999</v>
      </c>
      <c r="L2865">
        <v>284.08080000000001</v>
      </c>
      <c r="M2865">
        <v>-0.99991790000000003</v>
      </c>
      <c r="N2865">
        <v>-1.2737770000000001E-2</v>
      </c>
      <c r="O2865">
        <v>-1.411037E-3</v>
      </c>
      <c r="P2865">
        <v>-0.99809879999999995</v>
      </c>
      <c r="Q2865">
        <v>-4.9427890000000002E-2</v>
      </c>
      <c r="R2865">
        <v>-3.6823210000000002E-2</v>
      </c>
      <c r="S2865">
        <v>-3.0081790000000002</v>
      </c>
      <c r="T2865">
        <v>9.6850629999999993E-2</v>
      </c>
      <c r="U2865">
        <v>-5.36499E-2</v>
      </c>
      <c r="V2865">
        <v>-3.5418980000000003E-2</v>
      </c>
      <c r="W2865">
        <v>-3.6705590000000003E-2</v>
      </c>
      <c r="X2865">
        <v>0.99869819999999998</v>
      </c>
      <c r="Y2865">
        <v>-1.6417190000000002E-2</v>
      </c>
      <c r="Z2865" s="1">
        <v>9.6224360000000004E-5</v>
      </c>
      <c r="AA2865">
        <v>0.99986520000000001</v>
      </c>
      <c r="AB2865">
        <v>31</v>
      </c>
      <c r="AC2865">
        <v>-3.0081790000000002</v>
      </c>
      <c r="AD2865">
        <v>9.6850629999999993E-2</v>
      </c>
      <c r="AE2865">
        <v>-5.36499E-2</v>
      </c>
      <c r="AF2865">
        <v>-4.9353708244245897E-2</v>
      </c>
      <c r="AG2865">
        <v>9.6850629999999993E-2</v>
      </c>
      <c r="AH2865">
        <v>3.0051376756921502</v>
      </c>
      <c r="AI2865">
        <v>88.154339175107197</v>
      </c>
      <c r="AJ2865">
        <v>90.940890334800997</v>
      </c>
      <c r="AK2865">
        <v>3.0071029717841902</v>
      </c>
      <c r="AL2865">
        <v>92.103548029883896</v>
      </c>
      <c r="AM2865">
        <v>92.031152037421805</v>
      </c>
      <c r="AN2865">
        <v>0.99999994958236205</v>
      </c>
    </row>
    <row r="2866" spans="1:40" x14ac:dyDescent="0.25">
      <c r="A2866" t="str">
        <f>"20190303153827134"</f>
        <v>20190303153827134</v>
      </c>
      <c r="B2866" t="str">
        <f>"1551598707121891"</f>
        <v>1551598707121891</v>
      </c>
      <c r="C2866" t="s">
        <v>40</v>
      </c>
      <c r="D2866">
        <v>3.7850239999999999</v>
      </c>
      <c r="E2866">
        <v>0.50687040000000005</v>
      </c>
      <c r="F2866" t="s">
        <v>46</v>
      </c>
      <c r="G2866">
        <v>0</v>
      </c>
      <c r="H2866">
        <v>0</v>
      </c>
      <c r="I2866">
        <v>0</v>
      </c>
      <c r="J2866">
        <v>-394.9785</v>
      </c>
      <c r="K2866">
        <v>1.121008</v>
      </c>
      <c r="L2866">
        <v>284.08049999999997</v>
      </c>
      <c r="M2866">
        <v>-0.99991669999999999</v>
      </c>
      <c r="N2866">
        <v>-1.2836459999999999E-2</v>
      </c>
      <c r="O2866">
        <v>-1.3975839999999999E-3</v>
      </c>
      <c r="P2866">
        <v>-0.99793929999999997</v>
      </c>
      <c r="Q2866">
        <v>-5.161905E-2</v>
      </c>
      <c r="R2866">
        <v>-3.811995E-2</v>
      </c>
      <c r="S2866">
        <v>-3.0083920000000002</v>
      </c>
      <c r="T2866">
        <v>9.6655959999999999E-2</v>
      </c>
      <c r="U2866">
        <v>-5.8105469999999999E-2</v>
      </c>
      <c r="V2866">
        <v>-3.672897E-2</v>
      </c>
      <c r="W2866">
        <v>-3.8800479999999998E-2</v>
      </c>
      <c r="X2866">
        <v>0.99857180000000001</v>
      </c>
      <c r="Y2866">
        <v>-1.7909270000000001E-2</v>
      </c>
      <c r="Z2866">
        <v>1.098019E-4</v>
      </c>
      <c r="AA2866">
        <v>0.99983960000000005</v>
      </c>
      <c r="AB2866">
        <v>31</v>
      </c>
      <c r="AC2866">
        <v>-3.0083920000000002</v>
      </c>
      <c r="AD2866">
        <v>9.6655959999999999E-2</v>
      </c>
      <c r="AE2866">
        <v>-5.8105469999999999E-2</v>
      </c>
      <c r="AF2866">
        <v>-5.3845025310679903E-2</v>
      </c>
      <c r="AG2866">
        <v>9.6655959999999999E-2</v>
      </c>
      <c r="AH2866">
        <v>3.0053691147772699</v>
      </c>
      <c r="AI2866">
        <v>88.158235320039594</v>
      </c>
      <c r="AJ2866">
        <v>91.026417237327607</v>
      </c>
      <c r="AK2866">
        <v>3.0074050570901401</v>
      </c>
      <c r="AL2866">
        <v>92.223661781338095</v>
      </c>
      <c r="AM2866">
        <v>92.106475198170898</v>
      </c>
      <c r="AN2866">
        <v>1.0000000671203599</v>
      </c>
    </row>
    <row r="2867" spans="1:40" x14ac:dyDescent="0.25">
      <c r="A2867" t="str">
        <f>"20190303153827146"</f>
        <v>20190303153827146</v>
      </c>
      <c r="B2867" t="str">
        <f>"1551598707141411"</f>
        <v>1551598707141411</v>
      </c>
      <c r="C2867" t="s">
        <v>40</v>
      </c>
      <c r="D2867">
        <v>3.773787</v>
      </c>
      <c r="E2867">
        <v>0.50687109999999902</v>
      </c>
      <c r="F2867" t="s">
        <v>46</v>
      </c>
      <c r="G2867">
        <v>0</v>
      </c>
      <c r="H2867">
        <v>0</v>
      </c>
      <c r="I2867">
        <v>0</v>
      </c>
      <c r="J2867">
        <v>-395.15219999999999</v>
      </c>
      <c r="K2867">
        <v>1.1210290000000001</v>
      </c>
      <c r="L2867">
        <v>284.08030000000002</v>
      </c>
      <c r="M2867">
        <v>-0.99991549999999996</v>
      </c>
      <c r="N2867">
        <v>-1.2928230000000001E-2</v>
      </c>
      <c r="O2867">
        <v>-1.388252E-3</v>
      </c>
      <c r="P2867">
        <v>-0.99789130000000004</v>
      </c>
      <c r="Q2867">
        <v>-5.2158030000000001E-2</v>
      </c>
      <c r="R2867">
        <v>-3.8632409999999999E-2</v>
      </c>
      <c r="S2867">
        <v>-3.0086360000000001</v>
      </c>
      <c r="T2867">
        <v>9.2973589999999995E-2</v>
      </c>
      <c r="U2867">
        <v>-6.2255860000000003E-2</v>
      </c>
      <c r="V2867">
        <v>-3.7250180000000001E-2</v>
      </c>
      <c r="W2867">
        <v>-3.9248890000000002E-2</v>
      </c>
      <c r="X2867">
        <v>0.9985349</v>
      </c>
      <c r="Y2867">
        <v>-1.929585E-2</v>
      </c>
      <c r="Z2867">
        <v>1.124475E-4</v>
      </c>
      <c r="AA2867">
        <v>0.99981379999999997</v>
      </c>
      <c r="AB2867">
        <v>31</v>
      </c>
      <c r="AC2867">
        <v>-3.0086360000000001</v>
      </c>
      <c r="AD2867">
        <v>9.2973589999999995E-2</v>
      </c>
      <c r="AE2867">
        <v>-6.2255860000000003E-2</v>
      </c>
      <c r="AF2867">
        <v>-5.8023320553127297E-2</v>
      </c>
      <c r="AG2867">
        <v>9.2973589999999995E-2</v>
      </c>
      <c r="AH2867">
        <v>3.0058503309225602</v>
      </c>
      <c r="AI2867">
        <v>88.228685851839302</v>
      </c>
      <c r="AJ2867">
        <v>91.105869614017095</v>
      </c>
      <c r="AK2867">
        <v>3.0078475702855698</v>
      </c>
      <c r="AL2867">
        <v>92.249373519738299</v>
      </c>
      <c r="AM2867">
        <v>92.136418936789497</v>
      </c>
      <c r="AN2867">
        <v>0.99999999889713698</v>
      </c>
    </row>
    <row r="2868" spans="1:40" x14ac:dyDescent="0.25">
      <c r="A2868" t="str">
        <f>"20190303153827158"</f>
        <v>20190303153827158</v>
      </c>
      <c r="B2868" t="str">
        <f>"1551598707151172"</f>
        <v>1551598707151172</v>
      </c>
      <c r="C2868" t="s">
        <v>40</v>
      </c>
      <c r="D2868">
        <v>3.8036340000000002</v>
      </c>
      <c r="E2868">
        <v>0.50686379999999998</v>
      </c>
      <c r="F2868" t="s">
        <v>46</v>
      </c>
      <c r="G2868">
        <v>0</v>
      </c>
      <c r="H2868">
        <v>0</v>
      </c>
      <c r="I2868">
        <v>0</v>
      </c>
      <c r="J2868">
        <v>-395.32</v>
      </c>
      <c r="K2868">
        <v>1.121048</v>
      </c>
      <c r="L2868">
        <v>284.08010000000002</v>
      </c>
      <c r="M2868">
        <v>-0.99991439999999998</v>
      </c>
      <c r="N2868">
        <v>-1.301421E-2</v>
      </c>
      <c r="O2868">
        <v>-1.3833929999999999E-3</v>
      </c>
      <c r="P2868">
        <v>-0.99788399999999999</v>
      </c>
      <c r="Q2868">
        <v>-5.2390159999999998E-2</v>
      </c>
      <c r="R2868">
        <v>-3.8511370000000003E-2</v>
      </c>
      <c r="S2868">
        <v>-3.0086059999999999</v>
      </c>
      <c r="T2868">
        <v>9.0496060000000003E-2</v>
      </c>
      <c r="U2868">
        <v>-6.3873289999999999E-2</v>
      </c>
      <c r="V2868">
        <v>-3.7133310000000003E-2</v>
      </c>
      <c r="W2868">
        <v>-3.9395659999999999E-2</v>
      </c>
      <c r="X2868">
        <v>0.99853349999999996</v>
      </c>
      <c r="Y2868">
        <v>-1.9838390000000001E-2</v>
      </c>
      <c r="Z2868">
        <v>1.095385E-4</v>
      </c>
      <c r="AA2868">
        <v>0.9998032</v>
      </c>
      <c r="AB2868">
        <v>31</v>
      </c>
      <c r="AC2868">
        <v>-3.0086059999999999</v>
      </c>
      <c r="AD2868">
        <v>9.0496060000000003E-2</v>
      </c>
      <c r="AE2868">
        <v>-6.3873289999999999E-2</v>
      </c>
      <c r="AF2868">
        <v>-5.9656841842987397E-2</v>
      </c>
      <c r="AG2868">
        <v>9.0496060000000003E-2</v>
      </c>
      <c r="AH2868">
        <v>3.0059730603522099</v>
      </c>
      <c r="AI2868">
        <v>88.275947022836704</v>
      </c>
      <c r="AJ2868">
        <v>91.1369485142787</v>
      </c>
      <c r="AK2868">
        <v>3.0079266140013199</v>
      </c>
      <c r="AL2868">
        <v>92.257789269766306</v>
      </c>
      <c r="AM2868">
        <v>92.129725227591393</v>
      </c>
      <c r="AN2868">
        <v>1.0000000256803201</v>
      </c>
    </row>
    <row r="2869" spans="1:40" x14ac:dyDescent="0.25">
      <c r="A2869" t="str">
        <f>"20190303153827171"</f>
        <v>20190303153827171</v>
      </c>
      <c r="B2869" t="str">
        <f>"1551598707161909"</f>
        <v>1551598707161909</v>
      </c>
      <c r="C2869" t="s">
        <v>40</v>
      </c>
      <c r="D2869">
        <v>3.7803239999999998</v>
      </c>
      <c r="E2869">
        <v>0.50685990000000003</v>
      </c>
      <c r="F2869" t="s">
        <v>46</v>
      </c>
      <c r="G2869">
        <v>0</v>
      </c>
      <c r="H2869">
        <v>0</v>
      </c>
      <c r="I2869">
        <v>0</v>
      </c>
      <c r="J2869">
        <v>-395.4982</v>
      </c>
      <c r="K2869">
        <v>1.121065</v>
      </c>
      <c r="L2869">
        <v>284.07990000000001</v>
      </c>
      <c r="M2869">
        <v>-0.9999133</v>
      </c>
      <c r="N2869">
        <v>-1.310353E-2</v>
      </c>
      <c r="O2869">
        <v>-1.3810649999999999E-3</v>
      </c>
      <c r="P2869">
        <v>-0.99793770000000004</v>
      </c>
      <c r="Q2869">
        <v>-5.1724140000000002E-2</v>
      </c>
      <c r="R2869">
        <v>-3.8014880000000001E-2</v>
      </c>
      <c r="S2869">
        <v>-3.0084840000000002</v>
      </c>
      <c r="T2869">
        <v>8.7924959999999996E-2</v>
      </c>
      <c r="U2869">
        <v>-6.35376E-2</v>
      </c>
      <c r="V2869">
        <v>-3.6638730000000001E-2</v>
      </c>
      <c r="W2869">
        <v>-3.8640260000000003E-2</v>
      </c>
      <c r="X2869">
        <v>0.99858130000000001</v>
      </c>
      <c r="Y2869">
        <v>-1.973047E-2</v>
      </c>
      <c r="Z2869">
        <v>1.004806E-4</v>
      </c>
      <c r="AA2869">
        <v>0.99980530000000001</v>
      </c>
      <c r="AB2869">
        <v>31</v>
      </c>
      <c r="AC2869">
        <v>-3.0084840000000002</v>
      </c>
      <c r="AD2869">
        <v>8.7924959999999996E-2</v>
      </c>
      <c r="AE2869">
        <v>-6.35376E-2</v>
      </c>
      <c r="AF2869">
        <v>-5.9331616241871298E-2</v>
      </c>
      <c r="AG2869">
        <v>8.7924959999999996E-2</v>
      </c>
      <c r="AH2869">
        <v>3.0060024858941499</v>
      </c>
      <c r="AI2869">
        <v>88.324913888905996</v>
      </c>
      <c r="AJ2869">
        <v>91.130740866562604</v>
      </c>
      <c r="AK2869">
        <v>3.0078733325189502</v>
      </c>
      <c r="AL2869">
        <v>92.214475024084507</v>
      </c>
      <c r="AM2869">
        <v>92.101284437585903</v>
      </c>
      <c r="AN2869">
        <v>1.0000000394692801</v>
      </c>
    </row>
    <row r="2870" spans="1:40" x14ac:dyDescent="0.25">
      <c r="A2870" t="str">
        <f>"20190303153827190"</f>
        <v>20190303153827190</v>
      </c>
      <c r="B2870" t="str">
        <f>"1551598707181427"</f>
        <v>1551598707181427</v>
      </c>
      <c r="C2870" t="s">
        <v>40</v>
      </c>
      <c r="D2870">
        <v>3.786054</v>
      </c>
      <c r="E2870">
        <v>0.5070614</v>
      </c>
      <c r="F2870" t="s">
        <v>46</v>
      </c>
      <c r="G2870">
        <v>0</v>
      </c>
      <c r="H2870">
        <v>0</v>
      </c>
      <c r="I2870">
        <v>0</v>
      </c>
      <c r="J2870">
        <v>-395.75630000000001</v>
      </c>
      <c r="K2870">
        <v>1.121086</v>
      </c>
      <c r="L2870">
        <v>284.0795</v>
      </c>
      <c r="M2870">
        <v>-0.99991149999999995</v>
      </c>
      <c r="N2870">
        <v>-1.322517E-2</v>
      </c>
      <c r="O2870">
        <v>-1.3918940000000001E-3</v>
      </c>
      <c r="P2870">
        <v>-0.99801830000000002</v>
      </c>
      <c r="Q2870">
        <v>-5.0685920000000002E-2</v>
      </c>
      <c r="R2870">
        <v>-3.7290869999999997E-2</v>
      </c>
      <c r="S2870">
        <v>-3.0082089999999999</v>
      </c>
      <c r="T2870">
        <v>8.4278699999999998E-2</v>
      </c>
      <c r="U2870">
        <v>-6.1859129999999998E-2</v>
      </c>
      <c r="V2870">
        <v>-3.5903200000000003E-2</v>
      </c>
      <c r="W2870">
        <v>-3.7480399999999997E-2</v>
      </c>
      <c r="X2870">
        <v>0.99865219999999999</v>
      </c>
      <c r="Y2870">
        <v>-1.9164569999999999E-2</v>
      </c>
      <c r="Z2870" s="1">
        <v>8.4233819999999994E-5</v>
      </c>
      <c r="AA2870">
        <v>0.99981640000000005</v>
      </c>
      <c r="AB2870">
        <v>31</v>
      </c>
      <c r="AC2870">
        <v>-3.0082089999999999</v>
      </c>
      <c r="AD2870">
        <v>8.4278699999999998E-2</v>
      </c>
      <c r="AE2870">
        <v>-6.1859129999999998E-2</v>
      </c>
      <c r="AF2870">
        <v>-5.7626383091565501E-2</v>
      </c>
      <c r="AG2870">
        <v>8.4278699999999998E-2</v>
      </c>
      <c r="AH2870">
        <v>3.0059338053140698</v>
      </c>
      <c r="AI2870">
        <v>88.394288428505902</v>
      </c>
      <c r="AJ2870">
        <v>91.098275728546696</v>
      </c>
      <c r="AK2870">
        <v>3.00766715931664</v>
      </c>
      <c r="AL2870">
        <v>92.147971800103406</v>
      </c>
      <c r="AM2870">
        <v>92.058991343425404</v>
      </c>
      <c r="AN2870">
        <v>1.0000000183596101</v>
      </c>
    </row>
    <row r="2871" spans="1:40" x14ac:dyDescent="0.25">
      <c r="A2871" t="str">
        <f>"20190303153827202"</f>
        <v>20190303153827202</v>
      </c>
      <c r="B2871" t="str">
        <f>"1551598707191188"</f>
        <v>1551598707191188</v>
      </c>
      <c r="C2871" t="s">
        <v>40</v>
      </c>
      <c r="D2871">
        <v>3.7970739999999998</v>
      </c>
      <c r="E2871">
        <v>0.50738969999999906</v>
      </c>
      <c r="F2871" t="s">
        <v>46</v>
      </c>
      <c r="G2871">
        <v>0</v>
      </c>
      <c r="H2871">
        <v>0</v>
      </c>
      <c r="I2871">
        <v>0</v>
      </c>
      <c r="J2871">
        <v>-395.92770000000002</v>
      </c>
      <c r="K2871">
        <v>1.1211009999999999</v>
      </c>
      <c r="L2871">
        <v>284.07920000000001</v>
      </c>
      <c r="M2871">
        <v>-0.99991070000000004</v>
      </c>
      <c r="N2871">
        <v>-1.329963E-2</v>
      </c>
      <c r="O2871">
        <v>-1.410997E-3</v>
      </c>
      <c r="P2871">
        <v>-0.99808350000000001</v>
      </c>
      <c r="Q2871">
        <v>-4.9851390000000002E-2</v>
      </c>
      <c r="R2871">
        <v>-3.6668840000000001E-2</v>
      </c>
      <c r="S2871">
        <v>-3.0079959999999999</v>
      </c>
      <c r="T2871">
        <v>8.2753660000000007E-2</v>
      </c>
      <c r="U2871">
        <v>-5.8044430000000001E-2</v>
      </c>
      <c r="V2871">
        <v>-3.5260569999999998E-2</v>
      </c>
      <c r="W2871">
        <v>-3.6571439999999997E-2</v>
      </c>
      <c r="X2871">
        <v>0.99870879999999995</v>
      </c>
      <c r="Y2871">
        <v>-1.7879929999999999E-2</v>
      </c>
      <c r="Z2871" s="1">
        <v>6.9387169999999895E-5</v>
      </c>
      <c r="AA2871">
        <v>0.99984010000000001</v>
      </c>
      <c r="AB2871">
        <v>31</v>
      </c>
      <c r="AC2871">
        <v>-3.0079959999999999</v>
      </c>
      <c r="AD2871">
        <v>8.2753660000000007E-2</v>
      </c>
      <c r="AE2871">
        <v>-5.8044430000000001E-2</v>
      </c>
      <c r="AF2871">
        <v>-5.3759050717436897E-2</v>
      </c>
      <c r="AG2871">
        <v>8.2753660000000007E-2</v>
      </c>
      <c r="AH2871">
        <v>3.0058007664956499</v>
      </c>
      <c r="AI2871">
        <v>88.423222020545694</v>
      </c>
      <c r="AJ2871">
        <v>91.024631568871399</v>
      </c>
      <c r="AK2871">
        <v>3.00742023196681</v>
      </c>
      <c r="AL2871">
        <v>92.095856483424001</v>
      </c>
      <c r="AM2871">
        <v>92.022053903730495</v>
      </c>
      <c r="AN2871">
        <v>1.0000000226089101</v>
      </c>
    </row>
    <row r="2872" spans="1:40" x14ac:dyDescent="0.25">
      <c r="A2872" t="str">
        <f>"20190303153827217"</f>
        <v>20190303153827217</v>
      </c>
      <c r="B2872" t="str">
        <f>"1551598707211684"</f>
        <v>1551598707211684</v>
      </c>
      <c r="C2872" t="s">
        <v>40</v>
      </c>
      <c r="D2872">
        <v>3.7879109999999998</v>
      </c>
      <c r="E2872">
        <v>0.50787040000000006</v>
      </c>
      <c r="F2872" t="s">
        <v>46</v>
      </c>
      <c r="G2872">
        <v>0</v>
      </c>
      <c r="H2872">
        <v>0</v>
      </c>
      <c r="I2872">
        <v>0</v>
      </c>
      <c r="J2872">
        <v>-396.12400000000002</v>
      </c>
      <c r="K2872">
        <v>1.12112099999999</v>
      </c>
      <c r="L2872">
        <v>284.07889999999998</v>
      </c>
      <c r="M2872">
        <v>-0.99990950000000001</v>
      </c>
      <c r="N2872">
        <v>-1.338075E-2</v>
      </c>
      <c r="O2872">
        <v>-1.441407E-3</v>
      </c>
      <c r="P2872">
        <v>-0.99812489999999998</v>
      </c>
      <c r="Q2872">
        <v>-4.9516690000000002E-2</v>
      </c>
      <c r="R2872">
        <v>-3.5985690000000001E-2</v>
      </c>
      <c r="S2872">
        <v>-3.0079349999999998</v>
      </c>
      <c r="T2872">
        <v>8.3817009999999997E-2</v>
      </c>
      <c r="U2872">
        <v>-5.3802490000000001E-2</v>
      </c>
      <c r="V2872">
        <v>-3.4546279999999999E-2</v>
      </c>
      <c r="W2872">
        <v>-3.6156199999999902E-2</v>
      </c>
      <c r="X2872">
        <v>0.99874879999999999</v>
      </c>
      <c r="Y2872">
        <v>-1.6440590000000001E-2</v>
      </c>
      <c r="Z2872" s="1">
        <v>5.9544779999999998E-5</v>
      </c>
      <c r="AA2872">
        <v>0.9998648</v>
      </c>
      <c r="AB2872">
        <v>31</v>
      </c>
      <c r="AC2872">
        <v>-3.0079349999999998</v>
      </c>
      <c r="AD2872">
        <v>8.3817009999999997E-2</v>
      </c>
      <c r="AE2872">
        <v>-5.3802490000000001E-2</v>
      </c>
      <c r="AF2872">
        <v>-4.94280202835439E-2</v>
      </c>
      <c r="AG2872">
        <v>8.3817009999999997E-2</v>
      </c>
      <c r="AH2872">
        <v>3.0056763470761698</v>
      </c>
      <c r="AI2872">
        <v>88.4028659825521</v>
      </c>
      <c r="AJ2872">
        <v>90.942137933267801</v>
      </c>
      <c r="AK2872">
        <v>3.00725102439548</v>
      </c>
      <c r="AL2872">
        <v>92.072049408031106</v>
      </c>
      <c r="AM2872">
        <v>91.981045900732099</v>
      </c>
      <c r="AN2872">
        <v>0.99999994088085697</v>
      </c>
    </row>
    <row r="2873" spans="1:40" x14ac:dyDescent="0.25">
      <c r="A2873" t="str">
        <f>"20190303153827237"</f>
        <v>20190303153827237</v>
      </c>
      <c r="B2873" t="str">
        <f>"1551598707231203"</f>
        <v>1551598707231203</v>
      </c>
      <c r="C2873" t="s">
        <v>40</v>
      </c>
      <c r="D2873">
        <v>3.8148749999999998</v>
      </c>
      <c r="E2873">
        <v>0.50806560000000001</v>
      </c>
      <c r="F2873" t="s">
        <v>46</v>
      </c>
      <c r="G2873">
        <v>0</v>
      </c>
      <c r="H2873">
        <v>0</v>
      </c>
      <c r="I2873">
        <v>0</v>
      </c>
      <c r="J2873">
        <v>-396.387</v>
      </c>
      <c r="K2873">
        <v>1.121154</v>
      </c>
      <c r="L2873">
        <v>284.07850000000002</v>
      </c>
      <c r="M2873">
        <v>-0.99990809999999997</v>
      </c>
      <c r="N2873">
        <v>-1.348094E-2</v>
      </c>
      <c r="O2873">
        <v>-1.502015E-3</v>
      </c>
      <c r="P2873">
        <v>-0.9981698</v>
      </c>
      <c r="Q2873">
        <v>-4.9404040000000003E-2</v>
      </c>
      <c r="R2873">
        <v>-3.4880670000000003E-2</v>
      </c>
      <c r="S2873">
        <v>-3.0079959999999999</v>
      </c>
      <c r="T2873">
        <v>8.2121250000000007E-2</v>
      </c>
      <c r="U2873">
        <v>-4.7943119999999999E-2</v>
      </c>
      <c r="V2873">
        <v>-3.337876E-2</v>
      </c>
      <c r="W2873">
        <v>-3.5944499999999997E-2</v>
      </c>
      <c r="X2873">
        <v>0.99879620000000002</v>
      </c>
      <c r="Y2873">
        <v>-1.4433090000000001E-2</v>
      </c>
      <c r="Z2873" s="1">
        <v>3.8425320000000001E-5</v>
      </c>
      <c r="AA2873">
        <v>0.9998958</v>
      </c>
      <c r="AB2873">
        <v>31</v>
      </c>
      <c r="AC2873">
        <v>-3.0079959999999999</v>
      </c>
      <c r="AD2873">
        <v>8.2121250000000007E-2</v>
      </c>
      <c r="AE2873">
        <v>-4.7943119999999999E-2</v>
      </c>
      <c r="AF2873">
        <v>-4.3392266708398901E-2</v>
      </c>
      <c r="AG2873">
        <v>8.2121250000000007E-2</v>
      </c>
      <c r="AH2873">
        <v>3.0058248204667</v>
      </c>
      <c r="AI2873">
        <v>88.435191232946295</v>
      </c>
      <c r="AJ2873">
        <v>90.827067846109301</v>
      </c>
      <c r="AK2873">
        <v>3.0072594899418501</v>
      </c>
      <c r="AL2873">
        <v>92.059911881547194</v>
      </c>
      <c r="AM2873">
        <v>91.9140547248725</v>
      </c>
      <c r="AN2873">
        <v>0.99999999891691305</v>
      </c>
    </row>
    <row r="2874" spans="1:40" x14ac:dyDescent="0.25">
      <c r="A2874" t="str">
        <f>"20190303153827257"</f>
        <v>20190303153827257</v>
      </c>
      <c r="B2874" t="str">
        <f>"1551598707251699"</f>
        <v>1551598707251699</v>
      </c>
      <c r="C2874" t="s">
        <v>40</v>
      </c>
      <c r="D2874">
        <v>3.85609</v>
      </c>
      <c r="E2874">
        <v>0.50816170000000005</v>
      </c>
      <c r="F2874" t="s">
        <v>46</v>
      </c>
      <c r="G2874">
        <v>0</v>
      </c>
      <c r="H2874">
        <v>0</v>
      </c>
      <c r="I2874">
        <v>0</v>
      </c>
      <c r="J2874">
        <v>-396.67200000000003</v>
      </c>
      <c r="K2874">
        <v>1.1211899999999999</v>
      </c>
      <c r="L2874">
        <v>284.07799999999997</v>
      </c>
      <c r="M2874">
        <v>-0.99990650000000003</v>
      </c>
      <c r="N2874">
        <v>-1.3578410000000001E-2</v>
      </c>
      <c r="O2874">
        <v>-1.5990990000000001E-3</v>
      </c>
      <c r="P2874">
        <v>-0.99818410000000002</v>
      </c>
      <c r="Q2874">
        <v>-4.960767E-2</v>
      </c>
      <c r="R2874">
        <v>-3.416802E-2</v>
      </c>
      <c r="S2874">
        <v>-3.0080260000000001</v>
      </c>
      <c r="T2874">
        <v>8.1508280000000002E-2</v>
      </c>
      <c r="U2874">
        <v>-4.3090820000000002E-2</v>
      </c>
      <c r="V2874">
        <v>-3.2567079999999998E-2</v>
      </c>
      <c r="W2874">
        <v>-3.60527E-2</v>
      </c>
      <c r="X2874">
        <v>0.99881909999999896</v>
      </c>
      <c r="Y2874">
        <v>-1.2723699999999999E-2</v>
      </c>
      <c r="Z2874" s="1">
        <v>2.0918520000000001E-5</v>
      </c>
      <c r="AA2874">
        <v>0.99991909999999895</v>
      </c>
      <c r="AB2874">
        <v>31</v>
      </c>
      <c r="AC2874">
        <v>-3.0080260000000001</v>
      </c>
      <c r="AD2874">
        <v>8.1508280000000002E-2</v>
      </c>
      <c r="AE2874">
        <v>-4.3090820000000002E-2</v>
      </c>
      <c r="AF2874">
        <v>-3.8252109278084402E-2</v>
      </c>
      <c r="AG2874">
        <v>8.1508280000000002E-2</v>
      </c>
      <c r="AH2874">
        <v>3.0058844669944298</v>
      </c>
      <c r="AI2874">
        <v>88.446860300062198</v>
      </c>
      <c r="AJ2874">
        <v>90.729091934255095</v>
      </c>
      <c r="AK2874">
        <v>3.0072326568609902</v>
      </c>
      <c r="AL2874">
        <v>92.066115296854406</v>
      </c>
      <c r="AM2874">
        <v>91.867500740479002</v>
      </c>
      <c r="AN2874">
        <v>1.00000000320091</v>
      </c>
    </row>
    <row r="2875" spans="1:40" x14ac:dyDescent="0.25">
      <c r="A2875" t="str">
        <f>"20190303153827269"</f>
        <v>20190303153827269</v>
      </c>
      <c r="B2875" t="str">
        <f>"1551598707261459"</f>
        <v>1551598707261459</v>
      </c>
      <c r="C2875" t="s">
        <v>40</v>
      </c>
      <c r="D2875">
        <v>3.8789319999999998</v>
      </c>
      <c r="E2875">
        <v>0.50818599999999903</v>
      </c>
      <c r="F2875" t="s">
        <v>46</v>
      </c>
      <c r="G2875">
        <v>0</v>
      </c>
      <c r="H2875">
        <v>0</v>
      </c>
      <c r="I2875">
        <v>0</v>
      </c>
      <c r="J2875">
        <v>-396.83960000000002</v>
      </c>
      <c r="K2875">
        <v>1.1212070000000001</v>
      </c>
      <c r="L2875">
        <v>284.07769999999999</v>
      </c>
      <c r="M2875">
        <v>-0.99990579999999996</v>
      </c>
      <c r="N2875">
        <v>-1.3631900000000001E-2</v>
      </c>
      <c r="O2875">
        <v>-1.6684239999999999E-3</v>
      </c>
      <c r="P2875">
        <v>-0.99819420000000003</v>
      </c>
      <c r="Q2875">
        <v>-4.9608840000000001E-2</v>
      </c>
      <c r="R2875">
        <v>-3.3871209999999999E-2</v>
      </c>
      <c r="S2875">
        <v>-3.0081180000000001</v>
      </c>
      <c r="T2875">
        <v>8.1213469999999996E-2</v>
      </c>
      <c r="U2875">
        <v>-4.0130619999999999E-2</v>
      </c>
      <c r="V2875">
        <v>-3.2199440000000003E-2</v>
      </c>
      <c r="W2875">
        <v>-3.6001619999999998E-2</v>
      </c>
      <c r="X2875">
        <v>0.99883290000000002</v>
      </c>
      <c r="Y2875">
        <v>-1.1670410000000001E-2</v>
      </c>
      <c r="Z2875" s="1">
        <v>1.0172880000000001E-5</v>
      </c>
      <c r="AA2875">
        <v>0.99993189999999998</v>
      </c>
      <c r="AB2875">
        <v>31</v>
      </c>
      <c r="AC2875">
        <v>-3.0081180000000001</v>
      </c>
      <c r="AD2875">
        <v>8.1213469999999996E-2</v>
      </c>
      <c r="AE2875">
        <v>-4.0130619999999999E-2</v>
      </c>
      <c r="AF2875">
        <v>-3.5085712705402901E-2</v>
      </c>
      <c r="AG2875">
        <v>8.1213469999999996E-2</v>
      </c>
      <c r="AH2875">
        <v>3.0059901051022599</v>
      </c>
      <c r="AI2875">
        <v>88.452509642806803</v>
      </c>
      <c r="AJ2875">
        <v>90.668722087455095</v>
      </c>
      <c r="AK2875">
        <v>3.0072916630945801</v>
      </c>
      <c r="AL2875">
        <v>92.063186648507099</v>
      </c>
      <c r="AM2875">
        <v>91.846408267984003</v>
      </c>
      <c r="AN2875">
        <v>1.00000004135067</v>
      </c>
    </row>
    <row r="2876" spans="1:40" x14ac:dyDescent="0.25">
      <c r="A2876" t="str">
        <f>"20190303153827289"</f>
        <v>20190303153827289</v>
      </c>
      <c r="B2876" t="str">
        <f>"1551598707281955"</f>
        <v>1551598707281955</v>
      </c>
      <c r="C2876" t="s">
        <v>40</v>
      </c>
      <c r="D2876">
        <v>3.8623409999999998</v>
      </c>
      <c r="E2876">
        <v>0.50811759999999995</v>
      </c>
      <c r="F2876" t="s">
        <v>46</v>
      </c>
      <c r="G2876">
        <v>0</v>
      </c>
      <c r="H2876">
        <v>0</v>
      </c>
      <c r="I2876">
        <v>0</v>
      </c>
      <c r="J2876">
        <v>-397.1216</v>
      </c>
      <c r="K2876">
        <v>1.1212420000000001</v>
      </c>
      <c r="L2876">
        <v>284.07709999999997</v>
      </c>
      <c r="M2876">
        <v>-0.99990460000000003</v>
      </c>
      <c r="N2876">
        <v>-1.3711859999999999E-2</v>
      </c>
      <c r="O2876">
        <v>-1.8157410000000001E-3</v>
      </c>
      <c r="P2876">
        <v>-0.99823450000000002</v>
      </c>
      <c r="Q2876">
        <v>-4.9120839999999999E-2</v>
      </c>
      <c r="R2876">
        <v>-3.3399520000000002E-2</v>
      </c>
      <c r="S2876">
        <v>-3.0081790000000002</v>
      </c>
      <c r="T2876">
        <v>8.2321640000000001E-2</v>
      </c>
      <c r="U2876">
        <v>-3.90625E-2</v>
      </c>
      <c r="V2876">
        <v>-3.1578059999999998E-2</v>
      </c>
      <c r="W2876">
        <v>-3.5435349999999997E-2</v>
      </c>
      <c r="X2876">
        <v>0.99887289999999995</v>
      </c>
      <c r="Y2876">
        <v>-1.1168000000000001E-2</v>
      </c>
      <c r="Z2876" s="1">
        <v>1.627122E-6</v>
      </c>
      <c r="AA2876">
        <v>0.99993770000000004</v>
      </c>
      <c r="AB2876">
        <v>31</v>
      </c>
      <c r="AC2876">
        <v>-3.0081790000000002</v>
      </c>
      <c r="AD2876">
        <v>8.2321640000000001E-2</v>
      </c>
      <c r="AE2876">
        <v>-3.90625E-2</v>
      </c>
      <c r="AF2876">
        <v>-3.3574709845783597E-2</v>
      </c>
      <c r="AG2876">
        <v>8.2321640000000001E-2</v>
      </c>
      <c r="AH2876">
        <v>3.0059941810779698</v>
      </c>
      <c r="AI2876">
        <v>88.431397509198703</v>
      </c>
      <c r="AJ2876">
        <v>90.639924453549199</v>
      </c>
      <c r="AK2876">
        <v>3.0073086190526102</v>
      </c>
      <c r="AL2876">
        <v>92.030721228968602</v>
      </c>
      <c r="AM2876">
        <v>91.810728045928499</v>
      </c>
      <c r="AN2876">
        <v>0.99999995412869702</v>
      </c>
    </row>
    <row r="2877" spans="1:40" x14ac:dyDescent="0.25">
      <c r="A2877" t="str">
        <f>"20190303153827302"</f>
        <v>20190303153827302</v>
      </c>
      <c r="B2877" t="str">
        <f>"1551598707291716"</f>
        <v>1551598707291716</v>
      </c>
      <c r="C2877" t="s">
        <v>40</v>
      </c>
      <c r="D2877">
        <v>3.8657949999999999</v>
      </c>
      <c r="E2877">
        <v>0.50803729999999903</v>
      </c>
      <c r="F2877" t="s">
        <v>46</v>
      </c>
      <c r="G2877">
        <v>0</v>
      </c>
      <c r="H2877">
        <v>0</v>
      </c>
      <c r="I2877">
        <v>0</v>
      </c>
      <c r="J2877">
        <v>-397.29160000000002</v>
      </c>
      <c r="K2877">
        <v>1.1212569999999999</v>
      </c>
      <c r="L2877">
        <v>284.07670000000002</v>
      </c>
      <c r="M2877">
        <v>-0.9999036</v>
      </c>
      <c r="N2877">
        <v>-1.375463E-2</v>
      </c>
      <c r="O2877">
        <v>-1.9208439999999999E-3</v>
      </c>
      <c r="P2877">
        <v>-0.99825909999999995</v>
      </c>
      <c r="Q2877">
        <v>-4.864889E-2</v>
      </c>
      <c r="R2877">
        <v>-3.334852E-2</v>
      </c>
      <c r="S2877">
        <v>-3.0081479999999998</v>
      </c>
      <c r="T2877">
        <v>8.290148E-2</v>
      </c>
      <c r="U2877">
        <v>-3.7994380000000001E-2</v>
      </c>
      <c r="V2877">
        <v>-3.1421449999999997E-2</v>
      </c>
      <c r="W2877">
        <v>-3.4921470000000003E-2</v>
      </c>
      <c r="X2877">
        <v>0.99889600000000001</v>
      </c>
      <c r="Y2877">
        <v>-1.0708189999999999E-2</v>
      </c>
      <c r="Z2877" s="1">
        <v>-5.4750269999999998E-6</v>
      </c>
      <c r="AA2877">
        <v>0.99994269999999996</v>
      </c>
      <c r="AB2877">
        <v>31</v>
      </c>
      <c r="AC2877">
        <v>-3.0081479999999998</v>
      </c>
      <c r="AD2877">
        <v>8.290148E-2</v>
      </c>
      <c r="AE2877">
        <v>-3.7994380000000001E-2</v>
      </c>
      <c r="AF2877">
        <v>-3.2191135272262202E-2</v>
      </c>
      <c r="AG2877">
        <v>8.290148E-2</v>
      </c>
      <c r="AH2877">
        <v>3.0059328042731002</v>
      </c>
      <c r="AI2877">
        <v>88.420314309716005</v>
      </c>
      <c r="AJ2877">
        <v>90.613568500567098</v>
      </c>
      <c r="AK2877">
        <v>3.00724806897958</v>
      </c>
      <c r="AL2877">
        <v>92.001259709654903</v>
      </c>
      <c r="AM2877">
        <v>91.801712114594096</v>
      </c>
      <c r="AN2877">
        <v>1.00000001770153</v>
      </c>
    </row>
    <row r="2878" spans="1:40" x14ac:dyDescent="0.25">
      <c r="A2878" t="str">
        <f>"20190303153827316"</f>
        <v>20190303153827316</v>
      </c>
      <c r="B2878" t="str">
        <f>"1551598707311235"</f>
        <v>1551598707311235</v>
      </c>
      <c r="C2878" t="s">
        <v>40</v>
      </c>
      <c r="D2878">
        <v>3.9134250000000002</v>
      </c>
      <c r="E2878">
        <v>0.50775109999999901</v>
      </c>
      <c r="F2878" t="s">
        <v>46</v>
      </c>
      <c r="G2878">
        <v>0</v>
      </c>
      <c r="H2878">
        <v>0</v>
      </c>
      <c r="I2878">
        <v>0</v>
      </c>
      <c r="J2878">
        <v>-397.46460000000002</v>
      </c>
      <c r="K2878">
        <v>1.121278</v>
      </c>
      <c r="L2878">
        <v>284.0763</v>
      </c>
      <c r="M2878">
        <v>-0.99990290000000004</v>
      </c>
      <c r="N2878">
        <v>-1.379581E-2</v>
      </c>
      <c r="O2878">
        <v>-2.0340190000000002E-3</v>
      </c>
      <c r="P2878">
        <v>-0.99824769999999896</v>
      </c>
      <c r="Q2878">
        <v>-4.8943420000000001E-2</v>
      </c>
      <c r="R2878">
        <v>-3.3271729999999999E-2</v>
      </c>
      <c r="S2878">
        <v>-3.008057</v>
      </c>
      <c r="T2878">
        <v>8.4469909999999995E-2</v>
      </c>
      <c r="U2878">
        <v>-3.8604739999999999E-2</v>
      </c>
      <c r="V2878">
        <v>-3.1230170000000002E-2</v>
      </c>
      <c r="W2878">
        <v>-3.5175949999999997E-2</v>
      </c>
      <c r="X2878">
        <v>0.99889300000000003</v>
      </c>
      <c r="Y2878">
        <v>-1.079827E-2</v>
      </c>
      <c r="Z2878" s="1">
        <v>-8.0782190000000003E-6</v>
      </c>
      <c r="AA2878">
        <v>0.99994170000000004</v>
      </c>
      <c r="AB2878">
        <v>31</v>
      </c>
      <c r="AC2878">
        <v>-3.008057</v>
      </c>
      <c r="AD2878">
        <v>8.4469909999999995E-2</v>
      </c>
      <c r="AE2878">
        <v>-3.8604739999999999E-2</v>
      </c>
      <c r="AF2878">
        <v>-3.2460041227235503E-2</v>
      </c>
      <c r="AG2878">
        <v>8.4469909999999995E-2</v>
      </c>
      <c r="AH2878">
        <v>3.00575949045137</v>
      </c>
      <c r="AI2878">
        <v>88.390352288530494</v>
      </c>
      <c r="AJ2878">
        <v>90.618729168386096</v>
      </c>
      <c r="AK2878">
        <v>3.0071213700830799</v>
      </c>
      <c r="AL2878">
        <v>92.015849443313201</v>
      </c>
      <c r="AM2878">
        <v>91.790756619686604</v>
      </c>
      <c r="AN2878">
        <v>0.99999994821281402</v>
      </c>
    </row>
    <row r="2879" spans="1:40" x14ac:dyDescent="0.25">
      <c r="A2879" t="str">
        <f>"20190303153827327"</f>
        <v>20190303153827327</v>
      </c>
      <c r="B2879" t="str">
        <f>"1551598707321972"</f>
        <v>1551598707321972</v>
      </c>
      <c r="C2879" t="s">
        <v>40</v>
      </c>
      <c r="D2879">
        <v>3.916693</v>
      </c>
      <c r="E2879">
        <v>0.50770749999999998</v>
      </c>
      <c r="F2879" t="s">
        <v>46</v>
      </c>
      <c r="G2879">
        <v>0</v>
      </c>
      <c r="H2879">
        <v>0</v>
      </c>
      <c r="I2879">
        <v>0</v>
      </c>
      <c r="J2879">
        <v>-397.63959999999997</v>
      </c>
      <c r="K2879">
        <v>1.1212869999999999</v>
      </c>
      <c r="L2879">
        <v>284.07580000000002</v>
      </c>
      <c r="M2879">
        <v>-0.99990199999999996</v>
      </c>
      <c r="N2879">
        <v>-1.3834870000000001E-2</v>
      </c>
      <c r="O2879">
        <v>-2.1554949999999999E-3</v>
      </c>
      <c r="P2879">
        <v>-0.99824769999999896</v>
      </c>
      <c r="Q2879">
        <v>-4.8823409999999998E-2</v>
      </c>
      <c r="R2879">
        <v>-3.3433699999999997E-2</v>
      </c>
      <c r="S2879">
        <v>-3.0078130000000001</v>
      </c>
      <c r="T2879">
        <v>7.981133E-2</v>
      </c>
      <c r="U2879">
        <v>-4.0649409999999997E-2</v>
      </c>
      <c r="V2879">
        <v>-3.1269869999999998E-2</v>
      </c>
      <c r="W2879">
        <v>-3.5017810000000003E-2</v>
      </c>
      <c r="X2879">
        <v>0.99889740000000005</v>
      </c>
      <c r="Y2879">
        <v>-1.135768E-2</v>
      </c>
      <c r="Z2879" s="1">
        <v>-1.49228399999999E-5</v>
      </c>
      <c r="AA2879">
        <v>0.99993549999999998</v>
      </c>
      <c r="AB2879">
        <v>30</v>
      </c>
      <c r="AC2879">
        <v>-3.0078130000000001</v>
      </c>
      <c r="AD2879">
        <v>7.981133E-2</v>
      </c>
      <c r="AE2879">
        <v>-4.0649409999999997E-2</v>
      </c>
      <c r="AF2879">
        <v>-3.4141335163246099E-2</v>
      </c>
      <c r="AG2879">
        <v>7.981133E-2</v>
      </c>
      <c r="AH2879">
        <v>3.0057776913283201</v>
      </c>
      <c r="AI2879">
        <v>88.4791012998528</v>
      </c>
      <c r="AJ2879">
        <v>90.650770114555698</v>
      </c>
      <c r="AK2879">
        <v>3.0070309291475699</v>
      </c>
      <c r="AL2879">
        <v>92.0067829308841</v>
      </c>
      <c r="AM2879">
        <v>91.793023663513395</v>
      </c>
      <c r="AN2879">
        <v>1.00000003375688</v>
      </c>
    </row>
    <row r="2880" spans="1:40" x14ac:dyDescent="0.25">
      <c r="A2880" t="str">
        <f>"20190303153827339"</f>
        <v>20190303153827339</v>
      </c>
      <c r="B2880" t="str">
        <f>"1551598707331732"</f>
        <v>1551598707331732</v>
      </c>
      <c r="C2880" t="s">
        <v>40</v>
      </c>
      <c r="D2880">
        <v>3.9258090000000001</v>
      </c>
      <c r="E2880">
        <v>0.50767739999999995</v>
      </c>
      <c r="F2880" t="s">
        <v>46</v>
      </c>
      <c r="G2880">
        <v>0</v>
      </c>
      <c r="H2880">
        <v>0</v>
      </c>
      <c r="I2880">
        <v>0</v>
      </c>
      <c r="J2880">
        <v>-397.79270000000002</v>
      </c>
      <c r="K2880">
        <v>1.121286</v>
      </c>
      <c r="L2880">
        <v>284.07530000000003</v>
      </c>
      <c r="M2880">
        <v>-0.99990140000000005</v>
      </c>
      <c r="N2880">
        <v>-1.3865280000000001E-2</v>
      </c>
      <c r="O2880">
        <v>-2.2693259999999999E-3</v>
      </c>
      <c r="P2880">
        <v>-0.99821789999999999</v>
      </c>
      <c r="Q2880">
        <v>-4.9144180000000003E-2</v>
      </c>
      <c r="R2880">
        <v>-3.3855959999999997E-2</v>
      </c>
      <c r="S2880">
        <v>-3.0078429999999998</v>
      </c>
      <c r="T2880">
        <v>8.0282450000000005E-2</v>
      </c>
      <c r="U2880">
        <v>-4.1473389999999999E-2</v>
      </c>
      <c r="V2880">
        <v>-3.1577710000000002E-2</v>
      </c>
      <c r="W2880">
        <v>-3.5309229999999997E-2</v>
      </c>
      <c r="X2880">
        <v>0.99887740000000003</v>
      </c>
      <c r="Y2880">
        <v>-1.1517629999999999E-2</v>
      </c>
      <c r="Z2880" s="1">
        <v>-1.8201110000000002E-5</v>
      </c>
      <c r="AA2880">
        <v>0.99993370000000004</v>
      </c>
      <c r="AB2880">
        <v>30</v>
      </c>
      <c r="AC2880">
        <v>-3.0078429999999998</v>
      </c>
      <c r="AD2880">
        <v>8.0282450000000005E-2</v>
      </c>
      <c r="AE2880">
        <v>-4.1473389999999999E-2</v>
      </c>
      <c r="AF2880">
        <v>-3.4622190800287701E-2</v>
      </c>
      <c r="AG2880">
        <v>8.0282450000000005E-2</v>
      </c>
      <c r="AH2880">
        <v>3.0057884280909599</v>
      </c>
      <c r="AI2880">
        <v>88.470136067822096</v>
      </c>
      <c r="AJ2880">
        <v>90.659932571695407</v>
      </c>
      <c r="AK2880">
        <v>3.0070597004913799</v>
      </c>
      <c r="AL2880">
        <v>92.023490513982793</v>
      </c>
      <c r="AM2880">
        <v>91.810699837908999</v>
      </c>
      <c r="AN2880">
        <v>0.99999997686139797</v>
      </c>
    </row>
    <row r="2881" spans="1:40" x14ac:dyDescent="0.25">
      <c r="A2881" t="str">
        <f>"20190303153827352"</f>
        <v>20190303153827352</v>
      </c>
      <c r="B2881" t="str">
        <f>"1551598707341491"</f>
        <v>1551598707341491</v>
      </c>
      <c r="C2881" t="s">
        <v>40</v>
      </c>
      <c r="D2881">
        <v>3.9123779999999999</v>
      </c>
      <c r="E2881">
        <v>0.507637</v>
      </c>
      <c r="F2881" t="s">
        <v>46</v>
      </c>
      <c r="G2881">
        <v>0</v>
      </c>
      <c r="H2881">
        <v>0</v>
      </c>
      <c r="I2881">
        <v>0</v>
      </c>
      <c r="J2881">
        <v>-397.96199999999999</v>
      </c>
      <c r="K2881">
        <v>1.121292</v>
      </c>
      <c r="L2881">
        <v>284.07479999999998</v>
      </c>
      <c r="M2881">
        <v>-0.99990049999999997</v>
      </c>
      <c r="N2881">
        <v>-1.389759E-2</v>
      </c>
      <c r="O2881">
        <v>-2.396876E-3</v>
      </c>
      <c r="P2881">
        <v>-0.99818519999999999</v>
      </c>
      <c r="Q2881">
        <v>-4.9552949999999998E-2</v>
      </c>
      <c r="R2881">
        <v>-3.4215910000000002E-2</v>
      </c>
      <c r="S2881">
        <v>-3.0077820000000002</v>
      </c>
      <c r="T2881">
        <v>7.9380149999999997E-2</v>
      </c>
      <c r="U2881">
        <v>-4.3212889999999997E-2</v>
      </c>
      <c r="V2881">
        <v>-3.1809730000000001E-2</v>
      </c>
      <c r="W2881">
        <v>-3.5686740000000002E-2</v>
      </c>
      <c r="X2881">
        <v>0.99885670000000004</v>
      </c>
      <c r="Y2881">
        <v>-1.1968619999999999E-2</v>
      </c>
      <c r="Z2881" s="1">
        <v>-2.1827650000000001E-5</v>
      </c>
      <c r="AA2881">
        <v>0.99992840000000005</v>
      </c>
      <c r="AB2881">
        <v>30</v>
      </c>
      <c r="AC2881">
        <v>-3.0077820000000002</v>
      </c>
      <c r="AD2881">
        <v>7.9380149999999997E-2</v>
      </c>
      <c r="AE2881">
        <v>-4.3212889999999997E-2</v>
      </c>
      <c r="AF2881">
        <v>-3.5977734779740297E-2</v>
      </c>
      <c r="AG2881">
        <v>7.9380149999999997E-2</v>
      </c>
      <c r="AH2881">
        <v>3.00578379982769</v>
      </c>
      <c r="AI2881">
        <v>88.487327959037302</v>
      </c>
      <c r="AJ2881">
        <v>90.685769190828495</v>
      </c>
      <c r="AK2881">
        <v>3.00704703270842</v>
      </c>
      <c r="AL2881">
        <v>92.045133725787593</v>
      </c>
      <c r="AM2881">
        <v>91.824032934270306</v>
      </c>
      <c r="AN2881">
        <v>1.0000000547346899</v>
      </c>
    </row>
    <row r="2882" spans="1:40" x14ac:dyDescent="0.25">
      <c r="A2882" t="str">
        <f>"20190303153827365"</f>
        <v>20190303153827365</v>
      </c>
      <c r="B2882" t="str">
        <f>"1551598707361011"</f>
        <v>1551598707361011</v>
      </c>
      <c r="C2882" t="s">
        <v>40</v>
      </c>
      <c r="D2882">
        <v>3.9409589999999999</v>
      </c>
      <c r="E2882">
        <v>0.50763519999999995</v>
      </c>
      <c r="F2882" t="s">
        <v>46</v>
      </c>
      <c r="G2882">
        <v>0</v>
      </c>
      <c r="H2882">
        <v>0</v>
      </c>
      <c r="I2882">
        <v>0</v>
      </c>
      <c r="J2882">
        <v>-398.14760000000001</v>
      </c>
      <c r="K2882">
        <v>1.121294</v>
      </c>
      <c r="L2882">
        <v>284.07420000000002</v>
      </c>
      <c r="M2882">
        <v>-0.99989969999999995</v>
      </c>
      <c r="N2882">
        <v>-1.392944E-2</v>
      </c>
      <c r="O2882">
        <v>-2.541911E-3</v>
      </c>
      <c r="P2882">
        <v>-0.99814119999999995</v>
      </c>
      <c r="Q2882">
        <v>-5.0199420000000002E-2</v>
      </c>
      <c r="R2882">
        <v>-3.4554370000000001E-2</v>
      </c>
      <c r="S2882">
        <v>-3.0077509999999998</v>
      </c>
      <c r="T2882">
        <v>7.8139420000000001E-2</v>
      </c>
      <c r="U2882">
        <v>-4.4799800000000001E-2</v>
      </c>
      <c r="V2882">
        <v>-3.2002879999999997E-2</v>
      </c>
      <c r="W2882">
        <v>-3.630237E-2</v>
      </c>
      <c r="X2882">
        <v>0.9988283</v>
      </c>
      <c r="Y2882">
        <v>-1.2351300000000001E-2</v>
      </c>
      <c r="Z2882" s="1">
        <v>-2.705576E-5</v>
      </c>
      <c r="AA2882">
        <v>0.99992369999999997</v>
      </c>
      <c r="AB2882">
        <v>30</v>
      </c>
      <c r="AC2882">
        <v>-3.0077509999999998</v>
      </c>
      <c r="AD2882">
        <v>7.8139420000000001E-2</v>
      </c>
      <c r="AE2882">
        <v>-4.4799800000000001E-2</v>
      </c>
      <c r="AF2882">
        <v>-3.7128424273238002E-2</v>
      </c>
      <c r="AG2882">
        <v>7.8139420000000001E-2</v>
      </c>
      <c r="AH2882">
        <v>3.0058269064040202</v>
      </c>
      <c r="AI2882">
        <v>88.510988911333897</v>
      </c>
      <c r="AJ2882">
        <v>90.707690061837894</v>
      </c>
      <c r="AK2882">
        <v>3.00707161206868</v>
      </c>
      <c r="AL2882">
        <v>92.080429691234301</v>
      </c>
      <c r="AM2882">
        <v>91.835153130170198</v>
      </c>
      <c r="AN2882">
        <v>1.0000000096384001</v>
      </c>
    </row>
    <row r="2883" spans="1:40" x14ac:dyDescent="0.25">
      <c r="A2883" t="str">
        <f>"20190303153827380"</f>
        <v>20190303153827380</v>
      </c>
      <c r="B2883" t="str">
        <f>"1551598707371747"</f>
        <v>1551598707371747</v>
      </c>
      <c r="C2883" t="s">
        <v>40</v>
      </c>
      <c r="D2883">
        <v>3.9859429999999998</v>
      </c>
      <c r="E2883">
        <v>0.50746610000000003</v>
      </c>
      <c r="F2883" t="s">
        <v>46</v>
      </c>
      <c r="G2883">
        <v>0</v>
      </c>
      <c r="H2883">
        <v>0</v>
      </c>
      <c r="I2883">
        <v>0</v>
      </c>
      <c r="J2883">
        <v>-398.34280000000001</v>
      </c>
      <c r="K2883">
        <v>1.121297</v>
      </c>
      <c r="L2883">
        <v>284.0736</v>
      </c>
      <c r="M2883">
        <v>-0.99989899999999998</v>
      </c>
      <c r="N2883">
        <v>-1.395979E-2</v>
      </c>
      <c r="O2883">
        <v>-2.6956150000000002E-3</v>
      </c>
      <c r="P2883">
        <v>-0.99804579999999998</v>
      </c>
      <c r="Q2883">
        <v>-5.1617950000000003E-2</v>
      </c>
      <c r="R2883">
        <v>-3.5220349999999997E-2</v>
      </c>
      <c r="S2883">
        <v>-3.0078429999999998</v>
      </c>
      <c r="T2883">
        <v>7.5644370000000002E-2</v>
      </c>
      <c r="U2883">
        <v>-4.5776369999999997E-2</v>
      </c>
      <c r="V2883">
        <v>-3.2514620000000001E-2</v>
      </c>
      <c r="W2883">
        <v>-3.7692200000000002E-2</v>
      </c>
      <c r="X2883">
        <v>0.99876030000000005</v>
      </c>
      <c r="Y2883">
        <v>-1.2521920000000001E-2</v>
      </c>
      <c r="Z2883" s="1">
        <v>-3.539186E-5</v>
      </c>
      <c r="AA2883">
        <v>0.99992159999999997</v>
      </c>
      <c r="AB2883">
        <v>30</v>
      </c>
      <c r="AC2883">
        <v>-3.0078429999999998</v>
      </c>
      <c r="AD2883">
        <v>7.5644370000000002E-2</v>
      </c>
      <c r="AE2883">
        <v>-4.5776369999999997E-2</v>
      </c>
      <c r="AF2883">
        <v>-3.7643624310354298E-2</v>
      </c>
      <c r="AG2883">
        <v>7.5644370000000002E-2</v>
      </c>
      <c r="AH2883">
        <v>3.00605466523024</v>
      </c>
      <c r="AI2883">
        <v>88.558625980343805</v>
      </c>
      <c r="AJ2883">
        <v>90.717454706696302</v>
      </c>
      <c r="AK2883">
        <v>3.00724188643288</v>
      </c>
      <c r="AL2883">
        <v>92.160115624209396</v>
      </c>
      <c r="AM2883">
        <v>91.864604331807698</v>
      </c>
      <c r="AN2883">
        <v>1.00000001965533</v>
      </c>
    </row>
    <row r="2884" spans="1:40" x14ac:dyDescent="0.25">
      <c r="A2884" t="str">
        <f>"20190303153827392"</f>
        <v>20190303153827392</v>
      </c>
      <c r="B2884" t="str">
        <f>"1551598707381507"</f>
        <v>1551598707381507</v>
      </c>
      <c r="C2884" t="s">
        <v>40</v>
      </c>
      <c r="D2884">
        <v>3.9699490000000002</v>
      </c>
      <c r="E2884">
        <v>0.50746610000000003</v>
      </c>
      <c r="F2884" t="s">
        <v>46</v>
      </c>
      <c r="G2884">
        <v>0</v>
      </c>
      <c r="H2884">
        <v>0</v>
      </c>
      <c r="I2884">
        <v>0</v>
      </c>
      <c r="J2884">
        <v>-398.5061</v>
      </c>
      <c r="K2884">
        <v>1.1212959999999901</v>
      </c>
      <c r="L2884">
        <v>284.07299999999998</v>
      </c>
      <c r="M2884">
        <v>-0.99989830000000002</v>
      </c>
      <c r="N2884">
        <v>-1.3983580000000001E-2</v>
      </c>
      <c r="O2884">
        <v>-2.824572E-3</v>
      </c>
      <c r="P2884">
        <v>-0.99803779999999997</v>
      </c>
      <c r="Q2884">
        <v>-5.1561200000000001E-2</v>
      </c>
      <c r="R2884">
        <v>-3.5523869999999999E-2</v>
      </c>
      <c r="S2884">
        <v>-3.0078130000000001</v>
      </c>
      <c r="T2884">
        <v>7.0361499999999993E-2</v>
      </c>
      <c r="U2884">
        <v>-4.8767089999999999E-2</v>
      </c>
      <c r="V2884">
        <v>-3.2689019999999999E-2</v>
      </c>
      <c r="W2884">
        <v>-3.7612020000000003E-2</v>
      </c>
      <c r="X2884">
        <v>0.99875760000000002</v>
      </c>
      <c r="Y2884">
        <v>-1.33873E-2</v>
      </c>
      <c r="Z2884" s="1">
        <v>-4.2614499999999997E-5</v>
      </c>
      <c r="AA2884">
        <v>0.99991039999999998</v>
      </c>
      <c r="AB2884">
        <v>30</v>
      </c>
      <c r="AC2884">
        <v>-3.0078130000000001</v>
      </c>
      <c r="AD2884">
        <v>7.0361499999999993E-2</v>
      </c>
      <c r="AE2884">
        <v>-4.8767089999999999E-2</v>
      </c>
      <c r="AF2884">
        <v>-4.02482616374117E-2</v>
      </c>
      <c r="AG2884">
        <v>7.0361499999999993E-2</v>
      </c>
      <c r="AH2884">
        <v>3.0062940620643399</v>
      </c>
      <c r="AI2884">
        <v>88.659372639251103</v>
      </c>
      <c r="AJ2884">
        <v>90.767030008968703</v>
      </c>
      <c r="AK2884">
        <v>3.0073866812982999</v>
      </c>
      <c r="AL2884">
        <v>92.155518453180505</v>
      </c>
      <c r="AM2884">
        <v>91.874603533817407</v>
      </c>
      <c r="AN2884">
        <v>0.99999998981740001</v>
      </c>
    </row>
    <row r="2885" spans="1:40" x14ac:dyDescent="0.25">
      <c r="A2885" t="str">
        <f>"20190303153827403"</f>
        <v>20190303153827403</v>
      </c>
      <c r="B2885" t="str">
        <f>"1551598707402004"</f>
        <v>1551598707402004</v>
      </c>
      <c r="C2885" t="s">
        <v>40</v>
      </c>
      <c r="D2885">
        <v>4.0250810000000001</v>
      </c>
      <c r="E2885">
        <v>0.51708779999999999</v>
      </c>
      <c r="F2885" t="s">
        <v>46</v>
      </c>
      <c r="G2885">
        <v>0</v>
      </c>
      <c r="H2885">
        <v>0</v>
      </c>
      <c r="I2885">
        <v>0</v>
      </c>
      <c r="J2885">
        <v>-398.67410000000001</v>
      </c>
      <c r="K2885">
        <v>1.121302</v>
      </c>
      <c r="L2885">
        <v>284.07240000000002</v>
      </c>
      <c r="M2885">
        <v>-0.99989760000000005</v>
      </c>
      <c r="N2885">
        <v>-1.400562E-2</v>
      </c>
      <c r="O2885">
        <v>-2.9573139999999999E-3</v>
      </c>
      <c r="P2885">
        <v>-0.99803249999999999</v>
      </c>
      <c r="Q2885">
        <v>-5.1581340000000003E-2</v>
      </c>
      <c r="R2885">
        <v>-3.5644199999999897E-2</v>
      </c>
      <c r="S2885">
        <v>-3.0077210000000001</v>
      </c>
      <c r="T2885">
        <v>7.0514439999999998E-2</v>
      </c>
      <c r="U2885">
        <v>-4.977417E-2</v>
      </c>
      <c r="V2885">
        <v>-3.267664E-2</v>
      </c>
      <c r="W2885">
        <v>-3.7610280000000003E-2</v>
      </c>
      <c r="X2885">
        <v>0.99875809999999998</v>
      </c>
      <c r="Y2885">
        <v>-1.3589830000000001E-2</v>
      </c>
      <c r="Z2885" s="1">
        <v>-4.6640290000000001E-5</v>
      </c>
      <c r="AA2885">
        <v>0.99990769999999995</v>
      </c>
      <c r="AB2885">
        <v>30</v>
      </c>
      <c r="AC2885">
        <v>-3.0077210000000001</v>
      </c>
      <c r="AD2885">
        <v>7.0514439999999998E-2</v>
      </c>
      <c r="AE2885">
        <v>-4.977417E-2</v>
      </c>
      <c r="AF2885">
        <v>-4.0855854866061497E-2</v>
      </c>
      <c r="AG2885">
        <v>7.0514439999999998E-2</v>
      </c>
      <c r="AH2885">
        <v>3.0062031699759402</v>
      </c>
      <c r="AI2885">
        <v>88.656422737366995</v>
      </c>
      <c r="AJ2885">
        <v>90.778631321546001</v>
      </c>
      <c r="AK2885">
        <v>3.0073075975527899</v>
      </c>
      <c r="AL2885">
        <v>92.155418624703103</v>
      </c>
      <c r="AM2885">
        <v>91.8738931519581</v>
      </c>
      <c r="AN2885">
        <v>1.00000001913948</v>
      </c>
    </row>
    <row r="2886" spans="1:40" x14ac:dyDescent="0.25">
      <c r="A2886" t="str">
        <f>"20190303153827418"</f>
        <v>20190303153827418</v>
      </c>
      <c r="B2886" t="str">
        <f>"1551598707411764"</f>
        <v>1551598707411764</v>
      </c>
      <c r="C2886" t="s">
        <v>40</v>
      </c>
      <c r="D2886">
        <v>4.0118429999999998</v>
      </c>
      <c r="E2886">
        <v>0.51684140000000001</v>
      </c>
      <c r="F2886" t="s">
        <v>46</v>
      </c>
      <c r="G2886">
        <v>0</v>
      </c>
      <c r="H2886">
        <v>0</v>
      </c>
      <c r="I2886">
        <v>0</v>
      </c>
      <c r="J2886">
        <v>-398.851</v>
      </c>
      <c r="K2886">
        <v>1.121305</v>
      </c>
      <c r="L2886">
        <v>284.0718</v>
      </c>
      <c r="M2886">
        <v>-0.99989700000000004</v>
      </c>
      <c r="N2886">
        <v>-1.402699E-2</v>
      </c>
      <c r="O2886">
        <v>-3.0962429999999998E-3</v>
      </c>
      <c r="P2886">
        <v>-0.99800999999999995</v>
      </c>
      <c r="Q2886">
        <v>-5.1942509999999997E-2</v>
      </c>
      <c r="R2886">
        <v>-3.5752649999999997E-2</v>
      </c>
      <c r="S2886">
        <v>-3.0119020000000001</v>
      </c>
      <c r="T2886">
        <v>9.8089099999999999E-2</v>
      </c>
      <c r="U2886">
        <v>2.6275630000000001E-2</v>
      </c>
      <c r="V2886">
        <v>-3.2646219999999997E-2</v>
      </c>
      <c r="W2886">
        <v>-3.7950400000000002E-2</v>
      </c>
      <c r="X2886">
        <v>0.99874620000000003</v>
      </c>
      <c r="Y2886">
        <v>1.181307E-2</v>
      </c>
      <c r="Z2886">
        <v>-2.5365849999999998E-4</v>
      </c>
      <c r="AA2886">
        <v>0.99993019999999999</v>
      </c>
      <c r="AB2886">
        <v>30</v>
      </c>
      <c r="AC2886">
        <v>-3.0119020000000001</v>
      </c>
      <c r="AD2886">
        <v>9.8089099999999999E-2</v>
      </c>
      <c r="AE2886">
        <v>2.6275630000000001E-2</v>
      </c>
      <c r="AF2886">
        <v>3.5564283109383199E-2</v>
      </c>
      <c r="AG2886">
        <v>9.8089099999999999E-2</v>
      </c>
      <c r="AH2886">
        <v>3.0086154413022501</v>
      </c>
      <c r="AI2886">
        <v>88.132792522009694</v>
      </c>
      <c r="AJ2886">
        <v>89.322748798683406</v>
      </c>
      <c r="AK2886">
        <v>3.0104240836490499</v>
      </c>
      <c r="AL2886">
        <v>92.174920050399805</v>
      </c>
      <c r="AM2886">
        <v>91.872172202040105</v>
      </c>
      <c r="AN2886">
        <v>0.99999999027744402</v>
      </c>
    </row>
    <row r="2887" spans="1:40" x14ac:dyDescent="0.25">
      <c r="A2887" t="str">
        <f>"20190303153827433"</f>
        <v>20190303153827433</v>
      </c>
      <c r="B2887" t="str">
        <f>"1551598707421523"</f>
        <v>1551598707421523</v>
      </c>
      <c r="C2887" t="s">
        <v>40</v>
      </c>
      <c r="D2887">
        <v>4.018332</v>
      </c>
      <c r="E2887">
        <v>0.51669739999999997</v>
      </c>
      <c r="F2887" t="s">
        <v>46</v>
      </c>
      <c r="G2887">
        <v>0</v>
      </c>
      <c r="H2887">
        <v>0</v>
      </c>
      <c r="I2887">
        <v>0</v>
      </c>
      <c r="J2887">
        <v>-399.06099999999998</v>
      </c>
      <c r="K2887">
        <v>1.1213070000000001</v>
      </c>
      <c r="L2887">
        <v>284.07100000000003</v>
      </c>
      <c r="M2887">
        <v>-0.99989609999999995</v>
      </c>
      <c r="N2887">
        <v>-1.405027E-2</v>
      </c>
      <c r="O2887">
        <v>-3.2598589999999999E-3</v>
      </c>
      <c r="P2887">
        <v>-0.99799150000000003</v>
      </c>
      <c r="Q2887">
        <v>-5.2227549999999998E-2</v>
      </c>
      <c r="R2887">
        <v>-3.5854839999999999E-2</v>
      </c>
      <c r="S2887">
        <v>-3.0117189999999998</v>
      </c>
      <c r="T2887">
        <v>9.3829270000000006E-2</v>
      </c>
      <c r="U2887">
        <v>2.4078370000000002E-2</v>
      </c>
      <c r="V2887">
        <v>-3.258494E-2</v>
      </c>
      <c r="W2887">
        <v>-3.8212400000000001E-2</v>
      </c>
      <c r="X2887">
        <v>0.99873820000000002</v>
      </c>
      <c r="Y2887">
        <v>1.1248350000000001E-2</v>
      </c>
      <c r="Z2887">
        <v>-2.4345859999999999E-4</v>
      </c>
      <c r="AA2887">
        <v>0.99993670000000001</v>
      </c>
      <c r="AB2887">
        <v>30</v>
      </c>
      <c r="AC2887">
        <v>-3.0117189999999998</v>
      </c>
      <c r="AD2887">
        <v>9.3829270000000006E-2</v>
      </c>
      <c r="AE2887">
        <v>2.4078370000000002E-2</v>
      </c>
      <c r="AF2887">
        <v>3.3864122334455703E-2</v>
      </c>
      <c r="AG2887">
        <v>9.3829270000000006E-2</v>
      </c>
      <c r="AH2887">
        <v>3.00870438249162</v>
      </c>
      <c r="AI2887">
        <v>88.213869328547901</v>
      </c>
      <c r="AJ2887">
        <v>89.355141245966493</v>
      </c>
      <c r="AK2887">
        <v>3.0103575820680302</v>
      </c>
      <c r="AL2887">
        <v>92.189942466201202</v>
      </c>
      <c r="AM2887">
        <v>91.8686754116044</v>
      </c>
      <c r="AN2887">
        <v>0.99999997898390103</v>
      </c>
    </row>
    <row r="2888" spans="1:40" x14ac:dyDescent="0.25">
      <c r="A2888" t="str">
        <f>"20190303153827447"</f>
        <v>20190303153827447</v>
      </c>
      <c r="B2888" t="str">
        <f>"1551598707441043"</f>
        <v>1551598707441043</v>
      </c>
      <c r="C2888" t="s">
        <v>40</v>
      </c>
      <c r="D2888">
        <v>4.0629720000000002</v>
      </c>
      <c r="E2888">
        <v>0.51666290000000004</v>
      </c>
      <c r="F2888" t="s">
        <v>46</v>
      </c>
      <c r="G2888">
        <v>0</v>
      </c>
      <c r="H2888">
        <v>0</v>
      </c>
      <c r="I2888">
        <v>0</v>
      </c>
      <c r="J2888">
        <v>-399.25599999999997</v>
      </c>
      <c r="K2888">
        <v>1.1213120000000001</v>
      </c>
      <c r="L2888">
        <v>284.0702</v>
      </c>
      <c r="M2888">
        <v>-0.99989530000000004</v>
      </c>
      <c r="N2888">
        <v>-1.406958E-2</v>
      </c>
      <c r="O2888">
        <v>-3.4103269999999999E-3</v>
      </c>
      <c r="P2888">
        <v>-0.99799930000000003</v>
      </c>
      <c r="Q2888">
        <v>-5.2468710000000002E-2</v>
      </c>
      <c r="R2888">
        <v>-3.5283700000000001E-2</v>
      </c>
      <c r="S2888">
        <v>-3.0116269999999998</v>
      </c>
      <c r="T2888">
        <v>9.1963169999999997E-2</v>
      </c>
      <c r="U2888">
        <v>2.2552490000000001E-2</v>
      </c>
      <c r="V2888">
        <v>-3.1863639999999999E-2</v>
      </c>
      <c r="W2888">
        <v>-3.8433870000000002E-2</v>
      </c>
      <c r="X2888">
        <v>0.998753</v>
      </c>
      <c r="Y2888">
        <v>1.089266E-2</v>
      </c>
      <c r="Z2888">
        <v>-2.4170570000000001E-4</v>
      </c>
      <c r="AA2888">
        <v>0.99994059999999996</v>
      </c>
      <c r="AB2888">
        <v>30</v>
      </c>
      <c r="AC2888">
        <v>-3.0116269999999998</v>
      </c>
      <c r="AD2888">
        <v>9.1963169999999997E-2</v>
      </c>
      <c r="AE2888">
        <v>2.2552490000000001E-2</v>
      </c>
      <c r="AF2888">
        <v>3.2793430887062297E-2</v>
      </c>
      <c r="AG2888">
        <v>9.1963169999999997E-2</v>
      </c>
      <c r="AH2888">
        <v>3.0087272343408702</v>
      </c>
      <c r="AI2888">
        <v>88.2493764042988</v>
      </c>
      <c r="AJ2888">
        <v>89.375533027575003</v>
      </c>
      <c r="AK2888">
        <v>3.0103109813456599</v>
      </c>
      <c r="AL2888">
        <v>92.202641035058505</v>
      </c>
      <c r="AM2888">
        <v>91.827311727435301</v>
      </c>
      <c r="AN2888">
        <v>1.0000000044631101</v>
      </c>
    </row>
    <row r="2889" spans="1:40" x14ac:dyDescent="0.25">
      <c r="A2889" t="str">
        <f>"20190303153827470"</f>
        <v>20190303153827470</v>
      </c>
      <c r="B2889" t="str">
        <f>"1551598707461543"</f>
        <v>1551598707461543</v>
      </c>
      <c r="C2889" t="s">
        <v>40</v>
      </c>
      <c r="D2889">
        <v>4.1296049999999997</v>
      </c>
      <c r="E2889">
        <v>0.51668859999999905</v>
      </c>
      <c r="F2889" t="s">
        <v>46</v>
      </c>
      <c r="G2889">
        <v>0</v>
      </c>
      <c r="H2889">
        <v>0</v>
      </c>
      <c r="I2889">
        <v>0</v>
      </c>
      <c r="J2889">
        <v>-399.55399999999997</v>
      </c>
      <c r="K2889">
        <v>1.121316</v>
      </c>
      <c r="L2889">
        <v>284.06889999999999</v>
      </c>
      <c r="M2889">
        <v>-0.99989410000000001</v>
      </c>
      <c r="N2889">
        <v>-1.409521E-2</v>
      </c>
      <c r="O2889">
        <v>-3.6391449999999999E-3</v>
      </c>
      <c r="P2889">
        <v>-0.99798319999999996</v>
      </c>
      <c r="Q2889">
        <v>-5.305493E-2</v>
      </c>
      <c r="R2889">
        <v>-3.4853339999999997E-2</v>
      </c>
      <c r="S2889">
        <v>-3.010284</v>
      </c>
      <c r="T2889">
        <v>6.5013650000000006E-2</v>
      </c>
      <c r="U2889">
        <v>2.4505619999999999E-2</v>
      </c>
      <c r="V2889">
        <v>-3.120479E-2</v>
      </c>
      <c r="W2889">
        <v>-3.8994300000000003E-2</v>
      </c>
      <c r="X2889">
        <v>0.99875210000000003</v>
      </c>
      <c r="Y2889">
        <v>1.1776419999999999E-2</v>
      </c>
      <c r="Z2889">
        <v>-1.7401849999999999E-4</v>
      </c>
      <c r="AA2889">
        <v>0.9999306</v>
      </c>
      <c r="AB2889">
        <v>30</v>
      </c>
      <c r="AC2889">
        <v>-3.010284</v>
      </c>
      <c r="AD2889">
        <v>6.5013650000000006E-2</v>
      </c>
      <c r="AE2889">
        <v>2.4505619999999999E-2</v>
      </c>
      <c r="AF2889">
        <v>3.5444873597134899E-2</v>
      </c>
      <c r="AG2889">
        <v>6.5013650000000006E-2</v>
      </c>
      <c r="AH2889">
        <v>3.0087715613105401</v>
      </c>
      <c r="AI2889">
        <v>88.762229113753605</v>
      </c>
      <c r="AJ2889">
        <v>89.325057525351795</v>
      </c>
      <c r="AK2889">
        <v>3.00968261148941</v>
      </c>
      <c r="AL2889">
        <v>92.234775351543504</v>
      </c>
      <c r="AM2889">
        <v>91.789554525284203</v>
      </c>
      <c r="AN2889">
        <v>1.00000002580292</v>
      </c>
    </row>
    <row r="2890" spans="1:40" x14ac:dyDescent="0.25">
      <c r="A2890" t="str">
        <f>"20190303153827483"</f>
        <v>20190303153827483</v>
      </c>
      <c r="B2890" t="str">
        <f>"1551598707471299"</f>
        <v>1551598707471299</v>
      </c>
      <c r="C2890" t="s">
        <v>40</v>
      </c>
      <c r="D2890">
        <v>4.1185589999999896</v>
      </c>
      <c r="E2890">
        <v>0.5168353</v>
      </c>
      <c r="F2890" t="s">
        <v>46</v>
      </c>
      <c r="G2890">
        <v>0</v>
      </c>
      <c r="H2890">
        <v>0</v>
      </c>
      <c r="I2890">
        <v>0</v>
      </c>
      <c r="J2890">
        <v>-399.73770000000002</v>
      </c>
      <c r="K2890">
        <v>1.1213169999999999</v>
      </c>
      <c r="L2890">
        <v>284.06810000000002</v>
      </c>
      <c r="M2890">
        <v>-0.99989340000000004</v>
      </c>
      <c r="N2890">
        <v>-1.410868E-2</v>
      </c>
      <c r="O2890">
        <v>-3.777383E-3</v>
      </c>
      <c r="P2890">
        <v>-0.99800560000000005</v>
      </c>
      <c r="Q2890">
        <v>-5.2990339999999997E-2</v>
      </c>
      <c r="R2890">
        <v>-3.4307829999999997E-2</v>
      </c>
      <c r="S2890">
        <v>-3.009674</v>
      </c>
      <c r="T2890">
        <v>5.0767420000000001E-2</v>
      </c>
      <c r="U2890">
        <v>2.6275630000000001E-2</v>
      </c>
      <c r="V2890">
        <v>-3.052146E-2</v>
      </c>
      <c r="W2890">
        <v>-3.8915539999999998E-2</v>
      </c>
      <c r="X2890">
        <v>0.99877629999999995</v>
      </c>
      <c r="Y2890">
        <v>1.2505509999999999E-2</v>
      </c>
      <c r="Z2890">
        <v>-1.3423729999999999E-4</v>
      </c>
      <c r="AA2890">
        <v>0.99992179999999997</v>
      </c>
      <c r="AB2890">
        <v>30</v>
      </c>
      <c r="AC2890">
        <v>-3.009674</v>
      </c>
      <c r="AD2890">
        <v>5.0767420000000001E-2</v>
      </c>
      <c r="AE2890">
        <v>2.6275630000000001E-2</v>
      </c>
      <c r="AF2890">
        <v>3.7634557381877598E-2</v>
      </c>
      <c r="AG2890">
        <v>5.0767420000000001E-2</v>
      </c>
      <c r="AH2890">
        <v>3.0086972549975699</v>
      </c>
      <c r="AI2890">
        <v>89.033383827576102</v>
      </c>
      <c r="AJ2890">
        <v>89.283348018133097</v>
      </c>
      <c r="AK2890">
        <v>3.0093608728553498</v>
      </c>
      <c r="AL2890">
        <v>92.230259280790705</v>
      </c>
      <c r="AM2890">
        <v>91.750348695810402</v>
      </c>
      <c r="AN2890">
        <v>1.00000003810785</v>
      </c>
    </row>
    <row r="2891" spans="1:40" x14ac:dyDescent="0.25">
      <c r="A2891" t="str">
        <f>"20190303153827495"</f>
        <v>20190303153827495</v>
      </c>
      <c r="B2891" t="str">
        <f>"1551598707491795"</f>
        <v>1551598707491795</v>
      </c>
      <c r="C2891" t="s">
        <v>40</v>
      </c>
      <c r="D2891">
        <v>4.1304179999999997</v>
      </c>
      <c r="E2891">
        <v>0.51680429999999999</v>
      </c>
      <c r="F2891" t="s">
        <v>46</v>
      </c>
      <c r="G2891">
        <v>0</v>
      </c>
      <c r="H2891">
        <v>0</v>
      </c>
      <c r="I2891">
        <v>0</v>
      </c>
      <c r="J2891">
        <v>-399.89830000000001</v>
      </c>
      <c r="K2891">
        <v>1.121318</v>
      </c>
      <c r="L2891">
        <v>284.06740000000002</v>
      </c>
      <c r="M2891">
        <v>-0.99989269999999997</v>
      </c>
      <c r="N2891">
        <v>-1.4119639999999999E-2</v>
      </c>
      <c r="O2891">
        <v>-3.8973609999999998E-3</v>
      </c>
      <c r="P2891">
        <v>-0.99803010000000003</v>
      </c>
      <c r="Q2891">
        <v>-5.268345E-2</v>
      </c>
      <c r="R2891">
        <v>-3.4069599999999998E-2</v>
      </c>
      <c r="S2891">
        <v>-3.0095830000000001</v>
      </c>
      <c r="T2891">
        <v>4.8821690000000001E-2</v>
      </c>
      <c r="U2891">
        <v>2.886963E-2</v>
      </c>
      <c r="V2891">
        <v>-3.0163220000000001E-2</v>
      </c>
      <c r="W2891">
        <v>-3.859713E-2</v>
      </c>
      <c r="X2891">
        <v>0.99879949999999995</v>
      </c>
      <c r="Y2891">
        <v>1.3487600000000001E-2</v>
      </c>
      <c r="Z2891">
        <v>-1.3240269999999999E-4</v>
      </c>
      <c r="AA2891">
        <v>0.99990900000000005</v>
      </c>
      <c r="AB2891">
        <v>30</v>
      </c>
      <c r="AC2891">
        <v>-3.0095830000000001</v>
      </c>
      <c r="AD2891">
        <v>4.8821690000000001E-2</v>
      </c>
      <c r="AE2891">
        <v>2.886963E-2</v>
      </c>
      <c r="AF2891">
        <v>4.0589331367421599E-2</v>
      </c>
      <c r="AG2891">
        <v>4.8821690000000001E-2</v>
      </c>
      <c r="AH2891">
        <v>3.0086559393994299</v>
      </c>
      <c r="AI2891">
        <v>89.070423171808301</v>
      </c>
      <c r="AJ2891">
        <v>89.227078019479194</v>
      </c>
      <c r="AK2891">
        <v>3.0093257738102701</v>
      </c>
      <c r="AL2891">
        <v>92.212002100313399</v>
      </c>
      <c r="AM2891">
        <v>91.729776701542093</v>
      </c>
      <c r="AN2891">
        <v>0.99999999974262699</v>
      </c>
    </row>
    <row r="2892" spans="1:40" x14ac:dyDescent="0.25">
      <c r="A2892" t="str">
        <f>"20190303153827507"</f>
        <v>20190303153827507</v>
      </c>
      <c r="B2892" t="str">
        <f>"1551598707501556"</f>
        <v>1551598707501556</v>
      </c>
      <c r="C2892" t="s">
        <v>40</v>
      </c>
      <c r="D2892">
        <v>4.0911099999999996</v>
      </c>
      <c r="E2892">
        <v>0.516629</v>
      </c>
      <c r="F2892" t="s">
        <v>46</v>
      </c>
      <c r="G2892">
        <v>0</v>
      </c>
      <c r="H2892">
        <v>0</v>
      </c>
      <c r="I2892">
        <v>0</v>
      </c>
      <c r="J2892">
        <v>-400.06220000000002</v>
      </c>
      <c r="K2892">
        <v>1.121321</v>
      </c>
      <c r="L2892">
        <v>284.06659999999999</v>
      </c>
      <c r="M2892">
        <v>-0.99989209999999995</v>
      </c>
      <c r="N2892">
        <v>-1.412998E-2</v>
      </c>
      <c r="O2892">
        <v>-4.0186379999999997E-3</v>
      </c>
      <c r="P2892">
        <v>-0.99804150000000003</v>
      </c>
      <c r="Q2892">
        <v>-5.2664910000000002E-2</v>
      </c>
      <c r="R2892">
        <v>-3.3761560000000003E-2</v>
      </c>
      <c r="S2892">
        <v>-3.0092469999999998</v>
      </c>
      <c r="T2892">
        <v>4.3820020000000001E-2</v>
      </c>
      <c r="U2892">
        <v>2.920532E-2</v>
      </c>
      <c r="V2892">
        <v>-2.9734130000000001E-2</v>
      </c>
      <c r="W2892">
        <v>-3.8567780000000003E-2</v>
      </c>
      <c r="X2892">
        <v>0.99881350000000002</v>
      </c>
      <c r="Y2892">
        <v>1.3721809999999999E-2</v>
      </c>
      <c r="Z2892">
        <v>-1.1824059999999999E-4</v>
      </c>
      <c r="AA2892">
        <v>0.99990579999999996</v>
      </c>
      <c r="AB2892">
        <v>30</v>
      </c>
      <c r="AC2892">
        <v>-3.0092469999999998</v>
      </c>
      <c r="AD2892">
        <v>4.3820020000000001E-2</v>
      </c>
      <c r="AE2892">
        <v>2.920532E-2</v>
      </c>
      <c r="AF2892">
        <v>4.1290611105501203E-2</v>
      </c>
      <c r="AG2892">
        <v>4.3820020000000001E-2</v>
      </c>
      <c r="AH2892">
        <v>3.00846744637543</v>
      </c>
      <c r="AI2892">
        <v>89.165592338536001</v>
      </c>
      <c r="AJ2892">
        <v>89.213676311429694</v>
      </c>
      <c r="AK2892">
        <v>3.0090698703451499</v>
      </c>
      <c r="AL2892">
        <v>92.210319215657805</v>
      </c>
      <c r="AM2892">
        <v>91.705160329862494</v>
      </c>
      <c r="AN2892">
        <v>0.99999999996161704</v>
      </c>
    </row>
    <row r="2893" spans="1:40" x14ac:dyDescent="0.25">
      <c r="A2893" t="str">
        <f>"20190303153827520"</f>
        <v>20190303153827520</v>
      </c>
      <c r="B2893" t="str">
        <f>"1551598707511316"</f>
        <v>1551598707511316</v>
      </c>
      <c r="C2893" t="s">
        <v>40</v>
      </c>
      <c r="D2893">
        <v>4.0565870000000004</v>
      </c>
      <c r="E2893">
        <v>0.51651449999999999</v>
      </c>
      <c r="F2893" t="s">
        <v>46</v>
      </c>
      <c r="G2893">
        <v>0</v>
      </c>
      <c r="H2893">
        <v>0</v>
      </c>
      <c r="I2893">
        <v>0</v>
      </c>
      <c r="J2893">
        <v>-400.22710000000001</v>
      </c>
      <c r="K2893">
        <v>1.121321</v>
      </c>
      <c r="L2893">
        <v>284.06580000000002</v>
      </c>
      <c r="M2893">
        <v>-0.99989150000000004</v>
      </c>
      <c r="N2893">
        <v>-1.413914E-2</v>
      </c>
      <c r="O2893">
        <v>-4.1362999999999999E-3</v>
      </c>
      <c r="P2893">
        <v>-0.99806459999999997</v>
      </c>
      <c r="Q2893">
        <v>-5.2221669999999998E-2</v>
      </c>
      <c r="R2893">
        <v>-3.3765160000000002E-2</v>
      </c>
      <c r="S2893">
        <v>-3.008972</v>
      </c>
      <c r="T2893">
        <v>4.0291550000000002E-2</v>
      </c>
      <c r="U2893">
        <v>2.8808589999999999E-2</v>
      </c>
      <c r="V2893">
        <v>-2.9620819999999999E-2</v>
      </c>
      <c r="W2893">
        <v>-3.8114780000000001E-2</v>
      </c>
      <c r="X2893">
        <v>0.99883429999999995</v>
      </c>
      <c r="Y2893">
        <v>1.3708740000000001E-2</v>
      </c>
      <c r="Z2893">
        <v>-1.0871850000000001E-4</v>
      </c>
      <c r="AA2893">
        <v>0.99990599999999996</v>
      </c>
      <c r="AB2893">
        <v>30</v>
      </c>
      <c r="AC2893">
        <v>-3.008972</v>
      </c>
      <c r="AD2893">
        <v>4.0291550000000002E-2</v>
      </c>
      <c r="AE2893">
        <v>2.8808589999999999E-2</v>
      </c>
      <c r="AF2893">
        <v>4.1248203108171698E-2</v>
      </c>
      <c r="AG2893">
        <v>4.0291550000000002E-2</v>
      </c>
      <c r="AH2893">
        <v>3.00828773097673</v>
      </c>
      <c r="AI2893">
        <v>89.232726053207799</v>
      </c>
      <c r="AJ2893">
        <v>89.2144368920452</v>
      </c>
      <c r="AK2893">
        <v>3.0088402908107601</v>
      </c>
      <c r="AL2893">
        <v>92.184345032083698</v>
      </c>
      <c r="AM2893">
        <v>91.698630813545805</v>
      </c>
      <c r="AN2893">
        <v>1.0000000441442001</v>
      </c>
    </row>
    <row r="2894" spans="1:40" x14ac:dyDescent="0.25">
      <c r="A2894" t="str">
        <f>"20190303153827531"</f>
        <v>20190303153827531</v>
      </c>
      <c r="B2894" t="str">
        <f>"1551598707521076"</f>
        <v>1551598707521076</v>
      </c>
      <c r="C2894" t="s">
        <v>40</v>
      </c>
      <c r="D2894">
        <v>4.1043419999999999</v>
      </c>
      <c r="E2894">
        <v>0.51646800000000004</v>
      </c>
      <c r="F2894" t="s">
        <v>46</v>
      </c>
      <c r="G2894">
        <v>0</v>
      </c>
      <c r="H2894">
        <v>0</v>
      </c>
      <c r="I2894">
        <v>0</v>
      </c>
      <c r="J2894">
        <v>-400.392</v>
      </c>
      <c r="K2894">
        <v>1.121318</v>
      </c>
      <c r="L2894">
        <v>284.065</v>
      </c>
      <c r="M2894">
        <v>-0.99989079999999997</v>
      </c>
      <c r="N2894">
        <v>-1.414778E-2</v>
      </c>
      <c r="O2894">
        <v>-4.2508440000000002E-3</v>
      </c>
      <c r="P2894">
        <v>-0.9980888</v>
      </c>
      <c r="Q2894">
        <v>-5.1716480000000002E-2</v>
      </c>
      <c r="R2894">
        <v>-3.3824729999999997E-2</v>
      </c>
      <c r="S2894">
        <v>-3.0087280000000001</v>
      </c>
      <c r="T2894">
        <v>3.7731170000000001E-2</v>
      </c>
      <c r="U2894">
        <v>2.7954099999999999E-2</v>
      </c>
      <c r="V2894">
        <v>-2.9566149999999999E-2</v>
      </c>
      <c r="W2894">
        <v>-3.760028E-2</v>
      </c>
      <c r="X2894">
        <v>0.99885539999999995</v>
      </c>
      <c r="Y2894">
        <v>1.354023E-2</v>
      </c>
      <c r="Z2894">
        <v>-1.025489E-4</v>
      </c>
      <c r="AA2894">
        <v>0.99990829999999997</v>
      </c>
      <c r="AB2894">
        <v>30</v>
      </c>
      <c r="AC2894">
        <v>-3.0087280000000001</v>
      </c>
      <c r="AD2894">
        <v>3.7731170000000001E-2</v>
      </c>
      <c r="AE2894">
        <v>2.7954099999999999E-2</v>
      </c>
      <c r="AF2894">
        <v>4.0738355742860499E-2</v>
      </c>
      <c r="AG2894">
        <v>3.7731170000000001E-2</v>
      </c>
      <c r="AH2894">
        <v>3.0081089383789101</v>
      </c>
      <c r="AI2894">
        <v>89.281433855526501</v>
      </c>
      <c r="AJ2894">
        <v>89.224099521783401</v>
      </c>
      <c r="AK2894">
        <v>3.0086213852815198</v>
      </c>
      <c r="AL2894">
        <v>92.1548452504625</v>
      </c>
      <c r="AM2894">
        <v>91.695461752980506</v>
      </c>
      <c r="AN2894">
        <v>1.00000002419553</v>
      </c>
    </row>
    <row r="2895" spans="1:40" x14ac:dyDescent="0.25">
      <c r="A2895" t="str">
        <f>"20190303153827544"</f>
        <v>20190303153827544</v>
      </c>
      <c r="B2895" t="str">
        <f>"1551598707541572"</f>
        <v>1551598707541572</v>
      </c>
      <c r="C2895" t="s">
        <v>40</v>
      </c>
      <c r="D2895">
        <v>4.0932700000000004</v>
      </c>
      <c r="E2895">
        <v>0.51634069999999999</v>
      </c>
      <c r="F2895" t="s">
        <v>46</v>
      </c>
      <c r="G2895">
        <v>0</v>
      </c>
      <c r="H2895">
        <v>0</v>
      </c>
      <c r="I2895">
        <v>0</v>
      </c>
      <c r="J2895">
        <v>-400.57010000000002</v>
      </c>
      <c r="K2895">
        <v>1.12131</v>
      </c>
      <c r="L2895">
        <v>284.0641</v>
      </c>
      <c r="M2895">
        <v>-0.99989039999999996</v>
      </c>
      <c r="N2895">
        <v>-1.4156E-2</v>
      </c>
      <c r="O2895">
        <v>-4.3674909999999898E-3</v>
      </c>
      <c r="P2895">
        <v>-0.99812000000000001</v>
      </c>
      <c r="Q2895">
        <v>-5.124389E-2</v>
      </c>
      <c r="R2895">
        <v>-3.3631630000000003E-2</v>
      </c>
      <c r="S2895">
        <v>-3.0085139999999999</v>
      </c>
      <c r="T2895">
        <v>3.6023859999999998E-2</v>
      </c>
      <c r="U2895">
        <v>2.7404789999999998E-2</v>
      </c>
      <c r="V2895">
        <v>-2.9257559999999998E-2</v>
      </c>
      <c r="W2895">
        <v>-3.7118470000000001E-2</v>
      </c>
      <c r="X2895">
        <v>0.99888250000000001</v>
      </c>
      <c r="Y2895">
        <v>1.3475040000000001E-2</v>
      </c>
      <c r="Z2895" s="1">
        <v>-9.940421E-5</v>
      </c>
      <c r="AA2895">
        <v>0.99990919999999905</v>
      </c>
      <c r="AB2895">
        <v>30</v>
      </c>
      <c r="AC2895">
        <v>-3.0085139999999999</v>
      </c>
      <c r="AD2895">
        <v>3.6023859999999998E-2</v>
      </c>
      <c r="AE2895">
        <v>2.7404789999999998E-2</v>
      </c>
      <c r="AF2895">
        <v>4.0539689361822097E-2</v>
      </c>
      <c r="AG2895">
        <v>3.6023859999999998E-2</v>
      </c>
      <c r="AH2895">
        <v>3.0079343685244799</v>
      </c>
      <c r="AI2895">
        <v>89.313904890498904</v>
      </c>
      <c r="AJ2895">
        <v>89.227838046006994</v>
      </c>
      <c r="AK2895">
        <v>3.0084232332325902</v>
      </c>
      <c r="AL2895">
        <v>92.127220301053399</v>
      </c>
      <c r="AM2895">
        <v>91.677730429526505</v>
      </c>
      <c r="AN2895">
        <v>1.00000001721927</v>
      </c>
    </row>
    <row r="2896" spans="1:40" x14ac:dyDescent="0.25">
      <c r="A2896" t="str">
        <f>"20190303153827559"</f>
        <v>20190303153827559</v>
      </c>
      <c r="B2896" t="str">
        <f>"1551598707551331"</f>
        <v>1551598707551331</v>
      </c>
      <c r="C2896" t="s">
        <v>40</v>
      </c>
      <c r="D2896">
        <v>4.089677</v>
      </c>
      <c r="E2896">
        <v>0.51631559999999999</v>
      </c>
      <c r="F2896" t="s">
        <v>46</v>
      </c>
      <c r="G2896">
        <v>0</v>
      </c>
      <c r="H2896">
        <v>0</v>
      </c>
      <c r="I2896">
        <v>0</v>
      </c>
      <c r="J2896">
        <v>-400.7527</v>
      </c>
      <c r="K2896">
        <v>1.1213059999999999</v>
      </c>
      <c r="L2896">
        <v>284.06319999999999</v>
      </c>
      <c r="M2896">
        <v>-0.99988969999999999</v>
      </c>
      <c r="N2896">
        <v>-1.4163540000000001E-2</v>
      </c>
      <c r="O2896">
        <v>-4.4800489999999998E-3</v>
      </c>
      <c r="P2896">
        <v>-0.99811539999999999</v>
      </c>
      <c r="Q2896">
        <v>-5.1041360000000001E-2</v>
      </c>
      <c r="R2896">
        <v>-3.4068290000000001E-2</v>
      </c>
      <c r="S2896">
        <v>-3.0081790000000002</v>
      </c>
      <c r="T2896">
        <v>3.2211299999999998E-2</v>
      </c>
      <c r="U2896">
        <v>2.709961E-2</v>
      </c>
      <c r="V2896">
        <v>-2.9582629999999999E-2</v>
      </c>
      <c r="W2896">
        <v>-3.6907959999999997E-2</v>
      </c>
      <c r="X2896">
        <v>0.99888069999999896</v>
      </c>
      <c r="Y2896">
        <v>1.348737E-2</v>
      </c>
      <c r="Z2896" s="1">
        <v>-8.8107549999999905E-5</v>
      </c>
      <c r="AA2896">
        <v>0.99990900000000005</v>
      </c>
      <c r="AB2896">
        <v>30</v>
      </c>
      <c r="AC2896">
        <v>-3.0081790000000002</v>
      </c>
      <c r="AD2896">
        <v>3.2211299999999998E-2</v>
      </c>
      <c r="AE2896">
        <v>2.709961E-2</v>
      </c>
      <c r="AF2896">
        <v>4.0572827001757697E-2</v>
      </c>
      <c r="AG2896">
        <v>3.2211299999999998E-2</v>
      </c>
      <c r="AH2896">
        <v>3.0076825550136799</v>
      </c>
      <c r="AI2896">
        <v>89.386460148840897</v>
      </c>
      <c r="AJ2896">
        <v>89.227142254818006</v>
      </c>
      <c r="AK2896">
        <v>3.0081286664423499</v>
      </c>
      <c r="AL2896">
        <v>92.115150751434598</v>
      </c>
      <c r="AM2896">
        <v>91.696363299384402</v>
      </c>
      <c r="AN2896">
        <v>0.99999999117078398</v>
      </c>
    </row>
    <row r="2897" spans="1:40" x14ac:dyDescent="0.25">
      <c r="A2897" t="str">
        <f>"20190303153827570"</f>
        <v>20190303153827570</v>
      </c>
      <c r="B2897" t="str">
        <f>"1551598707561092"</f>
        <v>1551598707561092</v>
      </c>
      <c r="C2897" t="s">
        <v>40</v>
      </c>
      <c r="D2897">
        <v>4.0940209999999997</v>
      </c>
      <c r="E2897">
        <v>0.51626399999999995</v>
      </c>
      <c r="F2897" t="s">
        <v>46</v>
      </c>
      <c r="G2897">
        <v>0</v>
      </c>
      <c r="H2897">
        <v>0</v>
      </c>
      <c r="I2897">
        <v>0</v>
      </c>
      <c r="J2897">
        <v>-400.91820000000001</v>
      </c>
      <c r="K2897">
        <v>1.1212959999999901</v>
      </c>
      <c r="L2897">
        <v>284.06229999999999</v>
      </c>
      <c r="M2897">
        <v>-0.99988909999999998</v>
      </c>
      <c r="N2897">
        <v>-1.4169879999999999E-2</v>
      </c>
      <c r="O2897">
        <v>-4.5781720000000001E-3</v>
      </c>
      <c r="P2897">
        <v>-0.99810410000000005</v>
      </c>
      <c r="Q2897">
        <v>-5.0951160000000002E-2</v>
      </c>
      <c r="R2897">
        <v>-3.4528450000000002E-2</v>
      </c>
      <c r="S2897">
        <v>-3.0081180000000001</v>
      </c>
      <c r="T2897">
        <v>3.1545040000000003E-2</v>
      </c>
      <c r="U2897">
        <v>2.572632E-2</v>
      </c>
      <c r="V2897">
        <v>-2.9946159999999999E-2</v>
      </c>
      <c r="W2897">
        <v>-3.6811070000000001E-2</v>
      </c>
      <c r="X2897">
        <v>0.99887349999999997</v>
      </c>
      <c r="Y2897">
        <v>1.312922E-2</v>
      </c>
      <c r="Z2897" s="1">
        <v>-8.8689789999999897E-5</v>
      </c>
      <c r="AA2897">
        <v>0.99991379999999996</v>
      </c>
      <c r="AB2897">
        <v>30</v>
      </c>
      <c r="AC2897">
        <v>-3.0081180000000001</v>
      </c>
      <c r="AD2897">
        <v>3.1545040000000003E-2</v>
      </c>
      <c r="AE2897">
        <v>2.572632E-2</v>
      </c>
      <c r="AF2897">
        <v>3.9494772111063198E-2</v>
      </c>
      <c r="AG2897">
        <v>3.1545040000000003E-2</v>
      </c>
      <c r="AH2897">
        <v>3.0076379532051201</v>
      </c>
      <c r="AI2897">
        <v>89.399137920844694</v>
      </c>
      <c r="AJ2897">
        <v>89.2476642016548</v>
      </c>
      <c r="AK2897">
        <v>3.0080626629331699</v>
      </c>
      <c r="AL2897">
        <v>92.109595467998005</v>
      </c>
      <c r="AM2897">
        <v>91.717209245706499</v>
      </c>
      <c r="AN2897">
        <v>1.00000004818776</v>
      </c>
    </row>
    <row r="2898" spans="1:40" x14ac:dyDescent="0.25">
      <c r="A2898" t="str">
        <f>"20190303153827583"</f>
        <v>20190303153827583</v>
      </c>
      <c r="B2898" t="str">
        <f>"1551598707581588"</f>
        <v>1551598707581588</v>
      </c>
      <c r="C2898" t="s">
        <v>40</v>
      </c>
      <c r="D2898">
        <v>4.0762419999999997</v>
      </c>
      <c r="E2898">
        <v>0.51613310000000001</v>
      </c>
      <c r="F2898" t="s">
        <v>46</v>
      </c>
      <c r="G2898">
        <v>0</v>
      </c>
      <c r="H2898">
        <v>0</v>
      </c>
      <c r="I2898">
        <v>0</v>
      </c>
      <c r="J2898">
        <v>-401.09210000000002</v>
      </c>
      <c r="K2898">
        <v>1.1212869999999999</v>
      </c>
      <c r="L2898">
        <v>284.06150000000002</v>
      </c>
      <c r="M2898">
        <v>-0.99988869999999996</v>
      </c>
      <c r="N2898">
        <v>-1.417564E-2</v>
      </c>
      <c r="O2898">
        <v>-4.6720859999999998E-3</v>
      </c>
      <c r="P2898">
        <v>-0.99806859999999997</v>
      </c>
      <c r="Q2898">
        <v>-5.1257539999999997E-2</v>
      </c>
      <c r="R2898">
        <v>-3.5094859999999999E-2</v>
      </c>
      <c r="S2898">
        <v>-3.0080260000000001</v>
      </c>
      <c r="T2898">
        <v>2.99834E-2</v>
      </c>
      <c r="U2898">
        <v>2.3803709999999999E-2</v>
      </c>
      <c r="V2898">
        <v>-3.0419729999999999E-2</v>
      </c>
      <c r="W2898">
        <v>-3.7111480000000002E-2</v>
      </c>
      <c r="X2898">
        <v>0.99884799999999996</v>
      </c>
      <c r="Y2898">
        <v>1.2584379999999999E-2</v>
      </c>
      <c r="Z2898" s="1">
        <v>-8.6312599999999998E-5</v>
      </c>
      <c r="AA2898">
        <v>0.99992080000000005</v>
      </c>
      <c r="AB2898">
        <v>30</v>
      </c>
      <c r="AC2898">
        <v>-3.0080260000000001</v>
      </c>
      <c r="AD2898">
        <v>2.99834E-2</v>
      </c>
      <c r="AE2898">
        <v>2.3803709999999999E-2</v>
      </c>
      <c r="AF2898">
        <v>3.7854856322940597E-2</v>
      </c>
      <c r="AG2898">
        <v>2.99834E-2</v>
      </c>
      <c r="AH2898">
        <v>3.0075831330991201</v>
      </c>
      <c r="AI2898">
        <v>89.428867218658795</v>
      </c>
      <c r="AJ2898">
        <v>89.278886440302998</v>
      </c>
      <c r="AK2898">
        <v>3.0079707938949598</v>
      </c>
      <c r="AL2898">
        <v>92.126819618300502</v>
      </c>
      <c r="AM2898">
        <v>91.744393132560205</v>
      </c>
      <c r="AN2898">
        <v>0.99999997451253098</v>
      </c>
    </row>
    <row r="2899" spans="1:40" x14ac:dyDescent="0.25">
      <c r="A2899" t="str">
        <f>"20190303153827597"</f>
        <v>20190303153827597</v>
      </c>
      <c r="B2899" t="str">
        <f>"1551598707591348"</f>
        <v>1551598707591348</v>
      </c>
      <c r="C2899" t="s">
        <v>40</v>
      </c>
      <c r="D2899">
        <v>4.1137449999999998</v>
      </c>
      <c r="E2899">
        <v>0.51605639999999997</v>
      </c>
      <c r="F2899" t="s">
        <v>46</v>
      </c>
      <c r="G2899">
        <v>0</v>
      </c>
      <c r="H2899">
        <v>0</v>
      </c>
      <c r="I2899">
        <v>0</v>
      </c>
      <c r="J2899">
        <v>-401.26909999999998</v>
      </c>
      <c r="K2899">
        <v>1.1212759999999999</v>
      </c>
      <c r="L2899">
        <v>284.06049999999999</v>
      </c>
      <c r="M2899">
        <v>-0.9998882</v>
      </c>
      <c r="N2899">
        <v>-1.4180959999999999E-2</v>
      </c>
      <c r="O2899">
        <v>-4.759671E-3</v>
      </c>
      <c r="P2899">
        <v>-0.9980407</v>
      </c>
      <c r="Q2899">
        <v>-5.1621019999999997E-2</v>
      </c>
      <c r="R2899">
        <v>-3.5357769999999997E-2</v>
      </c>
      <c r="S2899">
        <v>-3.0078130000000001</v>
      </c>
      <c r="T2899">
        <v>2.507293E-2</v>
      </c>
      <c r="U2899">
        <v>2.1087649999999999E-2</v>
      </c>
      <c r="V2899">
        <v>-3.0596020000000002E-2</v>
      </c>
      <c r="W2899">
        <v>-3.7469219999999998E-2</v>
      </c>
      <c r="X2899">
        <v>0.99882930000000003</v>
      </c>
      <c r="Y2899">
        <v>1.176982E-2</v>
      </c>
      <c r="Z2899" s="1">
        <v>-7.2768130000000001E-5</v>
      </c>
      <c r="AA2899">
        <v>0.99993069999999895</v>
      </c>
      <c r="AB2899">
        <v>30</v>
      </c>
      <c r="AC2899">
        <v>-3.0078130000000001</v>
      </c>
      <c r="AD2899">
        <v>2.507293E-2</v>
      </c>
      <c r="AE2899">
        <v>2.1087649999999999E-2</v>
      </c>
      <c r="AF2899">
        <v>3.54025899840818E-2</v>
      </c>
      <c r="AG2899">
        <v>2.507293E-2</v>
      </c>
      <c r="AH2899">
        <v>3.0074695702481602</v>
      </c>
      <c r="AI2899">
        <v>89.522375791619197</v>
      </c>
      <c r="AJ2899">
        <v>89.325570796973906</v>
      </c>
      <c r="AK2899">
        <v>3.00778244079671</v>
      </c>
      <c r="AL2899">
        <v>92.147330790866704</v>
      </c>
      <c r="AM2899">
        <v>91.754528857123105</v>
      </c>
      <c r="AN2899">
        <v>1.00000001471286</v>
      </c>
    </row>
    <row r="2900" spans="1:40" x14ac:dyDescent="0.25">
      <c r="A2900" t="str">
        <f>"20190303153827609"</f>
        <v>20190303153827609</v>
      </c>
      <c r="B2900" t="str">
        <f>"1551598707601108"</f>
        <v>1551598707601108</v>
      </c>
      <c r="C2900" t="s">
        <v>40</v>
      </c>
      <c r="D2900">
        <v>4.0841519999999996</v>
      </c>
      <c r="E2900">
        <v>0.516046</v>
      </c>
      <c r="F2900" t="s">
        <v>46</v>
      </c>
      <c r="G2900">
        <v>0</v>
      </c>
      <c r="H2900">
        <v>0</v>
      </c>
      <c r="I2900">
        <v>0</v>
      </c>
      <c r="J2900">
        <v>-401.44229999999999</v>
      </c>
      <c r="K2900">
        <v>1.1212599999999999</v>
      </c>
      <c r="L2900">
        <v>284.05959999999999</v>
      </c>
      <c r="M2900">
        <v>-0.99988779999999999</v>
      </c>
      <c r="N2900">
        <v>-1.418575E-2</v>
      </c>
      <c r="O2900">
        <v>-4.8392640000000002E-3</v>
      </c>
      <c r="P2900">
        <v>-0.99800350000000004</v>
      </c>
      <c r="Q2900">
        <v>-5.1957469999999999E-2</v>
      </c>
      <c r="R2900">
        <v>-3.5909940000000001E-2</v>
      </c>
      <c r="S2900">
        <v>-3.007965</v>
      </c>
      <c r="T2900">
        <v>2.6484609999999999E-2</v>
      </c>
      <c r="U2900">
        <v>1.9592289999999998E-2</v>
      </c>
      <c r="V2900">
        <v>-3.1069530000000001E-2</v>
      </c>
      <c r="W2900">
        <v>-3.7800640000000003E-2</v>
      </c>
      <c r="X2900">
        <v>0.99880219999999997</v>
      </c>
      <c r="Y2900">
        <v>1.135189E-2</v>
      </c>
      <c r="Z2900" s="1">
        <v>-8.0708149999999997E-5</v>
      </c>
      <c r="AA2900">
        <v>0.99993560000000004</v>
      </c>
      <c r="AB2900">
        <v>30</v>
      </c>
      <c r="AC2900">
        <v>-3.007965</v>
      </c>
      <c r="AD2900">
        <v>2.6484609999999999E-2</v>
      </c>
      <c r="AE2900">
        <v>1.9592289999999998E-2</v>
      </c>
      <c r="AF2900">
        <v>3.4147213036403598E-2</v>
      </c>
      <c r="AG2900">
        <v>2.6484609999999999E-2</v>
      </c>
      <c r="AH2900">
        <v>3.0076017955960999</v>
      </c>
      <c r="AI2900">
        <v>89.495505233040802</v>
      </c>
      <c r="AJ2900">
        <v>89.349512581318905</v>
      </c>
      <c r="AK2900">
        <v>3.0079122373496698</v>
      </c>
      <c r="AL2900">
        <v>92.166333209932404</v>
      </c>
      <c r="AM2900">
        <v>91.781713231822394</v>
      </c>
      <c r="AN2900">
        <v>1.0000000194018299</v>
      </c>
    </row>
    <row r="2901" spans="1:40" x14ac:dyDescent="0.25">
      <c r="A2901" t="str">
        <f>"20190303153827623"</f>
        <v>20190303153827623</v>
      </c>
      <c r="B2901" t="str">
        <f>"1551598707611844"</f>
        <v>1551598707611844</v>
      </c>
      <c r="C2901" t="s">
        <v>40</v>
      </c>
      <c r="D2901">
        <v>4.0840750000000003</v>
      </c>
      <c r="E2901">
        <v>0.51601059999999999</v>
      </c>
      <c r="F2901" t="s">
        <v>46</v>
      </c>
      <c r="G2901">
        <v>0</v>
      </c>
      <c r="H2901">
        <v>0</v>
      </c>
      <c r="I2901">
        <v>0</v>
      </c>
      <c r="J2901">
        <v>-401.61660000000001</v>
      </c>
      <c r="K2901">
        <v>1.1212489999999999</v>
      </c>
      <c r="L2901">
        <v>284.05869999999999</v>
      </c>
      <c r="M2901">
        <v>-0.99988730000000003</v>
      </c>
      <c r="N2901">
        <v>-1.4189790000000001E-2</v>
      </c>
      <c r="O2901">
        <v>-4.907392E-3</v>
      </c>
      <c r="P2901">
        <v>-0.99795730000000005</v>
      </c>
      <c r="Q2901">
        <v>-5.2581089999999997E-2</v>
      </c>
      <c r="R2901">
        <v>-3.6280899999999998E-2</v>
      </c>
      <c r="S2901">
        <v>-3.0078740000000002</v>
      </c>
      <c r="T2901">
        <v>2.3756619999999999E-2</v>
      </c>
      <c r="U2901">
        <v>1.791382E-2</v>
      </c>
      <c r="V2901">
        <v>-3.1373600000000001E-2</v>
      </c>
      <c r="W2901">
        <v>-3.8419950000000001E-2</v>
      </c>
      <c r="X2901">
        <v>0.99876900000000002</v>
      </c>
      <c r="Y2901">
        <v>1.086234E-2</v>
      </c>
      <c r="Z2901" s="1">
        <v>-7.4217440000000001E-5</v>
      </c>
      <c r="AA2901">
        <v>0.99994099999999997</v>
      </c>
      <c r="AB2901">
        <v>30</v>
      </c>
      <c r="AC2901">
        <v>-3.0078740000000002</v>
      </c>
      <c r="AD2901">
        <v>2.3756619999999999E-2</v>
      </c>
      <c r="AE2901">
        <v>1.791382E-2</v>
      </c>
      <c r="AF2901">
        <v>3.26738688456506E-2</v>
      </c>
      <c r="AG2901">
        <v>2.3756619999999999E-2</v>
      </c>
      <c r="AH2901">
        <v>3.0075622478572401</v>
      </c>
      <c r="AI2901">
        <v>89.547458928959699</v>
      </c>
      <c r="AJ2901">
        <v>89.377568613388206</v>
      </c>
      <c r="AK2901">
        <v>3.0078335448350999</v>
      </c>
      <c r="AL2901">
        <v>92.201842996508006</v>
      </c>
      <c r="AM2901">
        <v>91.799198790917004</v>
      </c>
      <c r="AN2901">
        <v>0.99999995534798003</v>
      </c>
    </row>
    <row r="2902" spans="1:40" x14ac:dyDescent="0.25">
      <c r="A2902" t="str">
        <f>"20190303153827638"</f>
        <v>20190303153827638</v>
      </c>
      <c r="B2902" t="str">
        <f>"1551598707631364"</f>
        <v>1551598707631364</v>
      </c>
      <c r="C2902" t="s">
        <v>40</v>
      </c>
      <c r="D2902">
        <v>4.1042199999999998</v>
      </c>
      <c r="E2902">
        <v>0.51590219999999998</v>
      </c>
      <c r="F2902" t="s">
        <v>46</v>
      </c>
      <c r="G2902">
        <v>0</v>
      </c>
      <c r="H2902">
        <v>0</v>
      </c>
      <c r="I2902">
        <v>0</v>
      </c>
      <c r="J2902">
        <v>-401.80540000000002</v>
      </c>
      <c r="K2902">
        <v>1.121238</v>
      </c>
      <c r="L2902">
        <v>284.05770000000001</v>
      </c>
      <c r="M2902">
        <v>-0.99988710000000003</v>
      </c>
      <c r="N2902">
        <v>-1.418901E-2</v>
      </c>
      <c r="O2902">
        <v>-4.9736900000000002E-3</v>
      </c>
      <c r="P2902">
        <v>-0.99793770000000004</v>
      </c>
      <c r="Q2902">
        <v>-5.2826749999999999E-2</v>
      </c>
      <c r="R2902">
        <v>-3.6464709999999997E-2</v>
      </c>
      <c r="S2902">
        <v>-3.0078740000000002</v>
      </c>
      <c r="T2902">
        <v>2.02992E-2</v>
      </c>
      <c r="U2902">
        <v>1.6540530000000001E-2</v>
      </c>
      <c r="V2902">
        <v>-3.1492359999999997E-2</v>
      </c>
      <c r="W2902">
        <v>-3.8665709999999999E-2</v>
      </c>
      <c r="X2902">
        <v>0.99875579999999997</v>
      </c>
      <c r="Y2902">
        <v>1.0472209999999999E-2</v>
      </c>
      <c r="Z2902" s="1">
        <v>-6.5175119999999993E-5</v>
      </c>
      <c r="AA2902">
        <v>0.99994519999999998</v>
      </c>
      <c r="AB2902">
        <v>30</v>
      </c>
      <c r="AC2902">
        <v>-3.0078740000000002</v>
      </c>
      <c r="AD2902">
        <v>2.02992E-2</v>
      </c>
      <c r="AE2902">
        <v>1.6540530000000001E-2</v>
      </c>
      <c r="AF2902">
        <v>3.1500627662255198E-2</v>
      </c>
      <c r="AG2902">
        <v>2.02992E-2</v>
      </c>
      <c r="AH2902">
        <v>3.0076175356451702</v>
      </c>
      <c r="AI2902">
        <v>89.613322827630597</v>
      </c>
      <c r="AJ2902">
        <v>89.399928014584205</v>
      </c>
      <c r="AK2902">
        <v>3.0078509916191201</v>
      </c>
      <c r="AL2902">
        <v>92.215934430740802</v>
      </c>
      <c r="AM2902">
        <v>91.806028736211701</v>
      </c>
      <c r="AN2902">
        <v>0.99999997695090603</v>
      </c>
    </row>
    <row r="2903" spans="1:40" x14ac:dyDescent="0.25">
      <c r="A2903" t="str">
        <f>"20190303153827660"</f>
        <v>20190303153827660</v>
      </c>
      <c r="B2903" t="str">
        <f>"1551598707651861"</f>
        <v>1551598707651861</v>
      </c>
      <c r="C2903" t="s">
        <v>40</v>
      </c>
      <c r="D2903">
        <v>4.1078519999999896</v>
      </c>
      <c r="E2903">
        <v>0.51579620000000004</v>
      </c>
      <c r="F2903" t="s">
        <v>46</v>
      </c>
      <c r="G2903">
        <v>0</v>
      </c>
      <c r="H2903">
        <v>0</v>
      </c>
      <c r="I2903">
        <v>0</v>
      </c>
      <c r="J2903">
        <v>-402.10449999999997</v>
      </c>
      <c r="K2903">
        <v>1.1212070000000001</v>
      </c>
      <c r="L2903">
        <v>284.05610000000001</v>
      </c>
      <c r="M2903">
        <v>-0.99988750000000004</v>
      </c>
      <c r="N2903">
        <v>-1.413124E-2</v>
      </c>
      <c r="O2903">
        <v>-5.0583039999999996E-3</v>
      </c>
      <c r="P2903">
        <v>-0.99795</v>
      </c>
      <c r="Q2903">
        <v>-5.2518299999999997E-2</v>
      </c>
      <c r="R2903">
        <v>-3.6582770000000001E-2</v>
      </c>
      <c r="S2903">
        <v>-3.00766</v>
      </c>
      <c r="T2903">
        <v>1.6607520000000001E-2</v>
      </c>
      <c r="U2903">
        <v>1.5197749999999999E-2</v>
      </c>
      <c r="V2903">
        <v>-3.1527909999999999E-2</v>
      </c>
      <c r="W2903">
        <v>-3.8413360000000001E-2</v>
      </c>
      <c r="X2903">
        <v>0.99876450000000006</v>
      </c>
      <c r="Y2903">
        <v>1.0110900000000001E-2</v>
      </c>
      <c r="Z2903" s="1">
        <v>-5.5883110000000001E-5</v>
      </c>
      <c r="AA2903">
        <v>0.99994890000000003</v>
      </c>
      <c r="AB2903">
        <v>30</v>
      </c>
      <c r="AC2903">
        <v>-3.00766</v>
      </c>
      <c r="AD2903">
        <v>1.6607520000000001E-2</v>
      </c>
      <c r="AE2903">
        <v>1.5197749999999999E-2</v>
      </c>
      <c r="AF2903">
        <v>3.0411803955149998E-2</v>
      </c>
      <c r="AG2903">
        <v>1.6607520000000001E-2</v>
      </c>
      <c r="AH2903">
        <v>3.0074529381472401</v>
      </c>
      <c r="AI2903">
        <v>89.683625144945495</v>
      </c>
      <c r="AJ2903">
        <v>89.420636445133297</v>
      </c>
      <c r="AK2903">
        <v>3.00765255019772</v>
      </c>
      <c r="AL2903">
        <v>92.201464905893403</v>
      </c>
      <c r="AM2903">
        <v>91.808050371488505</v>
      </c>
      <c r="AN2903">
        <v>1.0000000608978501</v>
      </c>
    </row>
    <row r="2904" spans="1:40" x14ac:dyDescent="0.25">
      <c r="A2904" t="str">
        <f>"20190303153827681"</f>
        <v>20190303153827681</v>
      </c>
      <c r="B2904" t="str">
        <f>"1551598707671380"</f>
        <v>1551598707671380</v>
      </c>
      <c r="C2904" t="s">
        <v>40</v>
      </c>
      <c r="D2904">
        <v>4.0655999999999999</v>
      </c>
      <c r="E2904">
        <v>0.51579759999999997</v>
      </c>
      <c r="F2904" t="s">
        <v>46</v>
      </c>
      <c r="G2904">
        <v>0</v>
      </c>
      <c r="H2904">
        <v>0</v>
      </c>
      <c r="I2904">
        <v>0</v>
      </c>
      <c r="J2904">
        <v>-402.38850000000002</v>
      </c>
      <c r="K2904">
        <v>1.121159</v>
      </c>
      <c r="L2904">
        <v>284.05450000000002</v>
      </c>
      <c r="M2904">
        <v>-0.99988949999999999</v>
      </c>
      <c r="N2904">
        <v>-1.3970089999999999E-2</v>
      </c>
      <c r="O2904">
        <v>-5.1143710000000004E-3</v>
      </c>
      <c r="P2904">
        <v>-0.9979732</v>
      </c>
      <c r="Q2904">
        <v>-5.1710239999999998E-2</v>
      </c>
      <c r="R2904">
        <v>-3.7094439999999999E-2</v>
      </c>
      <c r="S2904">
        <v>-3.0074770000000002</v>
      </c>
      <c r="T2904">
        <v>1.513278E-2</v>
      </c>
      <c r="U2904">
        <v>1.3854979999999999E-2</v>
      </c>
      <c r="V2904">
        <v>-3.1984470000000001E-2</v>
      </c>
      <c r="W2904">
        <v>-3.7764869999999999E-2</v>
      </c>
      <c r="X2904">
        <v>0.99877459999999996</v>
      </c>
      <c r="Y2904">
        <v>9.7208480000000007E-3</v>
      </c>
      <c r="Z2904" s="1">
        <v>-5.373598E-5</v>
      </c>
      <c r="AA2904">
        <v>0.99995270000000003</v>
      </c>
      <c r="AB2904">
        <v>30</v>
      </c>
      <c r="AC2904">
        <v>-3.0074770000000002</v>
      </c>
      <c r="AD2904">
        <v>1.513278E-2</v>
      </c>
      <c r="AE2904">
        <v>1.3854979999999999E-2</v>
      </c>
      <c r="AF2904">
        <v>2.9236910305548699E-2</v>
      </c>
      <c r="AG2904">
        <v>1.513278E-2</v>
      </c>
      <c r="AH2904">
        <v>3.00729065512584</v>
      </c>
      <c r="AI2904">
        <v>89.711701915075494</v>
      </c>
      <c r="AJ2904">
        <v>89.442987398104506</v>
      </c>
      <c r="AK2904">
        <v>3.0074708448066398</v>
      </c>
      <c r="AL2904">
        <v>92.164282433019395</v>
      </c>
      <c r="AM2904">
        <v>91.834196704443102</v>
      </c>
      <c r="AN2904">
        <v>0.99999994666622705</v>
      </c>
    </row>
    <row r="2905" spans="1:40" x14ac:dyDescent="0.25">
      <c r="A2905" t="str">
        <f>"20190303153827693"</f>
        <v>20190303153827693</v>
      </c>
      <c r="B2905" t="str">
        <f>"1551598707681140"</f>
        <v>1551598707681140</v>
      </c>
      <c r="C2905" t="s">
        <v>40</v>
      </c>
      <c r="D2905">
        <v>4.085979</v>
      </c>
      <c r="E2905">
        <v>0.51573619999999998</v>
      </c>
      <c r="F2905" t="s">
        <v>46</v>
      </c>
      <c r="G2905">
        <v>0</v>
      </c>
      <c r="H2905">
        <v>0</v>
      </c>
      <c r="I2905">
        <v>0</v>
      </c>
      <c r="J2905">
        <v>-402.5566</v>
      </c>
      <c r="K2905">
        <v>1.1211230000000001</v>
      </c>
      <c r="L2905">
        <v>284.05360000000002</v>
      </c>
      <c r="M2905">
        <v>-0.99989099999999997</v>
      </c>
      <c r="N2905">
        <v>-1.3839239999999999E-2</v>
      </c>
      <c r="O2905">
        <v>-5.1399150000000001E-3</v>
      </c>
      <c r="P2905">
        <v>-0.99795789999999995</v>
      </c>
      <c r="Q2905">
        <v>-5.1750249999999998E-2</v>
      </c>
      <c r="R2905">
        <v>-3.7446180000000003E-2</v>
      </c>
      <c r="S2905">
        <v>-3.0075069999999999</v>
      </c>
      <c r="T2905">
        <v>1.70690999999999E-2</v>
      </c>
      <c r="U2905">
        <v>1.229858E-2</v>
      </c>
      <c r="V2905">
        <v>-3.2311920000000001E-2</v>
      </c>
      <c r="W2905">
        <v>-3.7935219999999999E-2</v>
      </c>
      <c r="X2905">
        <v>0.99875769999999997</v>
      </c>
      <c r="Y2905">
        <v>9.2288079999999998E-3</v>
      </c>
      <c r="Z2905" s="1">
        <v>-6.2631219999999897E-5</v>
      </c>
      <c r="AA2905">
        <v>0.9999574</v>
      </c>
      <c r="AB2905">
        <v>30</v>
      </c>
      <c r="AC2905">
        <v>-3.0075069999999999</v>
      </c>
      <c r="AD2905">
        <v>1.70690999999999E-2</v>
      </c>
      <c r="AE2905">
        <v>1.229858E-2</v>
      </c>
      <c r="AF2905">
        <v>2.7757334653282902E-2</v>
      </c>
      <c r="AG2905">
        <v>1.70690999999999E-2</v>
      </c>
      <c r="AH2905">
        <v>3.0073071775751998</v>
      </c>
      <c r="AI2905">
        <v>89.674813653560307</v>
      </c>
      <c r="AJ2905">
        <v>89.4711770790435</v>
      </c>
      <c r="AK2905">
        <v>3.0074837130227601</v>
      </c>
      <c r="AL2905">
        <v>92.174049560774606</v>
      </c>
      <c r="AM2905">
        <v>91.852993116528296</v>
      </c>
      <c r="AN2905">
        <v>1.00000004219991</v>
      </c>
    </row>
    <row r="2906" spans="1:40" x14ac:dyDescent="0.25">
      <c r="A2906" t="str">
        <f>"20190303153827705"</f>
        <v>20190303153827705</v>
      </c>
      <c r="B2906" t="str">
        <f>"1551598707701635"</f>
        <v>1551598707701635</v>
      </c>
      <c r="C2906" t="s">
        <v>40</v>
      </c>
      <c r="D2906">
        <v>4.1105859999999996</v>
      </c>
      <c r="E2906">
        <v>0.51566869999999998</v>
      </c>
      <c r="F2906" t="s">
        <v>46</v>
      </c>
      <c r="G2906">
        <v>0</v>
      </c>
      <c r="H2906">
        <v>0</v>
      </c>
      <c r="I2906">
        <v>0</v>
      </c>
      <c r="J2906">
        <v>-402.71480000000003</v>
      </c>
      <c r="K2906">
        <v>1.121084</v>
      </c>
      <c r="L2906">
        <v>284.05279999999999</v>
      </c>
      <c r="M2906">
        <v>-0.99989300000000003</v>
      </c>
      <c r="N2906">
        <v>-1.369708E-2</v>
      </c>
      <c r="O2906">
        <v>-5.161222E-3</v>
      </c>
      <c r="P2906">
        <v>-0.9979422</v>
      </c>
      <c r="Q2906">
        <v>-5.1670790000000001E-2</v>
      </c>
      <c r="R2906">
        <v>-3.7967710000000002E-2</v>
      </c>
      <c r="S2906">
        <v>-3.0074160000000001</v>
      </c>
      <c r="T2906">
        <v>1.614749E-2</v>
      </c>
      <c r="U2906">
        <v>1.107788E-2</v>
      </c>
      <c r="V2906">
        <v>-3.2812840000000003E-2</v>
      </c>
      <c r="W2906">
        <v>-3.7997410000000002E-2</v>
      </c>
      <c r="X2906">
        <v>0.99873889999999999</v>
      </c>
      <c r="Y2906">
        <v>8.844378E-3</v>
      </c>
      <c r="Z2906" s="1">
        <v>-6.1576490000000002E-5</v>
      </c>
      <c r="AA2906">
        <v>0.99996090000000004</v>
      </c>
      <c r="AB2906">
        <v>30</v>
      </c>
      <c r="AC2906">
        <v>-3.0074160000000001</v>
      </c>
      <c r="AD2906">
        <v>1.614749E-2</v>
      </c>
      <c r="AE2906">
        <v>1.107788E-2</v>
      </c>
      <c r="AF2906">
        <v>2.6600361431244099E-2</v>
      </c>
      <c r="AG2906">
        <v>1.614749E-2</v>
      </c>
      <c r="AH2906">
        <v>3.0072320623682498</v>
      </c>
      <c r="AI2906">
        <v>89.692362303599893</v>
      </c>
      <c r="AJ2906">
        <v>89.493205491151201</v>
      </c>
      <c r="AK2906">
        <v>3.0073930567182598</v>
      </c>
      <c r="AL2906">
        <v>92.177615583028199</v>
      </c>
      <c r="AM2906">
        <v>91.881734299295005</v>
      </c>
      <c r="AN2906">
        <v>0.99999993800439002</v>
      </c>
    </row>
    <row r="2907" spans="1:40" x14ac:dyDescent="0.25">
      <c r="A2907" t="str">
        <f>"20190303153827717"</f>
        <v>20190303153827717</v>
      </c>
      <c r="B2907" t="str">
        <f>"1551598707711396"</f>
        <v>1551598707711396</v>
      </c>
      <c r="C2907" t="s">
        <v>40</v>
      </c>
      <c r="D2907">
        <v>4.1108000000000002</v>
      </c>
      <c r="E2907">
        <v>0.51559659999999996</v>
      </c>
      <c r="F2907" t="s">
        <v>46</v>
      </c>
      <c r="G2907">
        <v>0</v>
      </c>
      <c r="H2907">
        <v>0</v>
      </c>
      <c r="I2907">
        <v>0</v>
      </c>
      <c r="J2907">
        <v>-402.87380000000002</v>
      </c>
      <c r="K2907">
        <v>1.121049</v>
      </c>
      <c r="L2907">
        <v>284.05189999999999</v>
      </c>
      <c r="M2907">
        <v>-0.99989490000000003</v>
      </c>
      <c r="N2907">
        <v>-1.354845E-2</v>
      </c>
      <c r="O2907">
        <v>-5.1814319999999997E-3</v>
      </c>
      <c r="P2907">
        <v>-0.99792420000000004</v>
      </c>
      <c r="Q2907">
        <v>-5.1498420000000003E-2</v>
      </c>
      <c r="R2907">
        <v>-3.8669149999999999E-2</v>
      </c>
      <c r="S2907">
        <v>-3.0073240000000001</v>
      </c>
      <c r="T2907">
        <v>1.453924E-2</v>
      </c>
      <c r="U2907">
        <v>9.1552730000000002E-3</v>
      </c>
      <c r="V2907">
        <v>-3.3494839999999998E-2</v>
      </c>
      <c r="W2907">
        <v>-3.7973199999999999E-2</v>
      </c>
      <c r="X2907">
        <v>0.99871719999999997</v>
      </c>
      <c r="Y2907">
        <v>8.2254540000000001E-3</v>
      </c>
      <c r="Z2907" s="1">
        <v>-5.9412079999999999E-5</v>
      </c>
      <c r="AA2907">
        <v>0.99996609999999997</v>
      </c>
      <c r="AB2907">
        <v>30</v>
      </c>
      <c r="AC2907">
        <v>-3.0073240000000001</v>
      </c>
      <c r="AD2907">
        <v>1.453924E-2</v>
      </c>
      <c r="AE2907">
        <v>9.1552730000000002E-3</v>
      </c>
      <c r="AF2907">
        <v>2.4738245308934498E-2</v>
      </c>
      <c r="AG2907">
        <v>1.453924E-2</v>
      </c>
      <c r="AH2907">
        <v>3.0071658941670099</v>
      </c>
      <c r="AI2907">
        <v>89.722994193778504</v>
      </c>
      <c r="AJ2907">
        <v>89.528670806262895</v>
      </c>
      <c r="AK2907">
        <v>3.0073027924241398</v>
      </c>
      <c r="AL2907">
        <v>92.176227409160006</v>
      </c>
      <c r="AM2907">
        <v>91.920857997426495</v>
      </c>
      <c r="AN2907">
        <v>0.99999995690035104</v>
      </c>
    </row>
    <row r="2908" spans="1:40" x14ac:dyDescent="0.25">
      <c r="A2908" t="str">
        <f>"20190303153827728"</f>
        <v>20190303153827728</v>
      </c>
      <c r="B2908" t="str">
        <f>"1551598707721156"</f>
        <v>1551598707721156</v>
      </c>
      <c r="C2908" t="s">
        <v>40</v>
      </c>
      <c r="D2908">
        <v>4.1353059999999999</v>
      </c>
      <c r="E2908">
        <v>0.51558210000000004</v>
      </c>
      <c r="F2908" t="s">
        <v>46</v>
      </c>
      <c r="G2908">
        <v>0</v>
      </c>
      <c r="H2908">
        <v>0</v>
      </c>
      <c r="I2908">
        <v>0</v>
      </c>
      <c r="J2908">
        <v>-403.02910000000003</v>
      </c>
      <c r="K2908">
        <v>1.1210180000000001</v>
      </c>
      <c r="L2908">
        <v>284.05110000000002</v>
      </c>
      <c r="M2908">
        <v>-0.99989680000000003</v>
      </c>
      <c r="N2908">
        <v>-1.340065E-2</v>
      </c>
      <c r="O2908">
        <v>-5.2002380000000003E-3</v>
      </c>
      <c r="P2908">
        <v>-0.99791719999999895</v>
      </c>
      <c r="Q2908">
        <v>-5.1261099999999997E-2</v>
      </c>
      <c r="R2908">
        <v>-3.9165060000000002E-2</v>
      </c>
      <c r="S2908">
        <v>-3.0072019999999999</v>
      </c>
      <c r="T2908">
        <v>1.411021E-2</v>
      </c>
      <c r="U2908">
        <v>6.286621E-3</v>
      </c>
      <c r="V2908">
        <v>-3.3972130000000003E-2</v>
      </c>
      <c r="W2908">
        <v>-3.788308E-2</v>
      </c>
      <c r="X2908">
        <v>0.99870460000000005</v>
      </c>
      <c r="Y2908">
        <v>7.2904809999999997E-3</v>
      </c>
      <c r="Z2908" s="1">
        <v>-6.2341839999999996E-5</v>
      </c>
      <c r="AA2908">
        <v>0.99997340000000001</v>
      </c>
      <c r="AB2908">
        <v>30</v>
      </c>
      <c r="AC2908">
        <v>-3.0072019999999999</v>
      </c>
      <c r="AD2908">
        <v>1.411021E-2</v>
      </c>
      <c r="AE2908">
        <v>6.286621E-3</v>
      </c>
      <c r="AF2908">
        <v>2.1925621896031301E-2</v>
      </c>
      <c r="AG2908">
        <v>1.411021E-2</v>
      </c>
      <c r="AH2908">
        <v>3.0070624327754198</v>
      </c>
      <c r="AI2908">
        <v>89.731156876016001</v>
      </c>
      <c r="AJ2908">
        <v>89.582242349727593</v>
      </c>
      <c r="AK2908">
        <v>3.0071754696942801</v>
      </c>
      <c r="AL2908">
        <v>92.171059980682998</v>
      </c>
      <c r="AM2908">
        <v>91.948233181655695</v>
      </c>
      <c r="AN2908">
        <v>1.00000005571409</v>
      </c>
    </row>
    <row r="2909" spans="1:40" x14ac:dyDescent="0.25">
      <c r="A2909" t="str">
        <f>"20190303153827741"</f>
        <v>20190303153827741</v>
      </c>
      <c r="B2909" t="str">
        <f>"1551598707730916"</f>
        <v>1551598707730916</v>
      </c>
      <c r="C2909" t="s">
        <v>40</v>
      </c>
      <c r="D2909">
        <v>4.1280890000000001</v>
      </c>
      <c r="E2909">
        <v>0.51556800000000003</v>
      </c>
      <c r="F2909" t="s">
        <v>46</v>
      </c>
      <c r="G2909">
        <v>0</v>
      </c>
      <c r="H2909">
        <v>0</v>
      </c>
      <c r="I2909">
        <v>0</v>
      </c>
      <c r="J2909">
        <v>-403.19670000000002</v>
      </c>
      <c r="K2909">
        <v>1.1209899999999999</v>
      </c>
      <c r="L2909">
        <v>284.05020000000002</v>
      </c>
      <c r="M2909">
        <v>-0.99989879999999998</v>
      </c>
      <c r="N2909">
        <v>-1.324352E-2</v>
      </c>
      <c r="O2909">
        <v>-5.2180530000000003E-3</v>
      </c>
      <c r="P2909">
        <v>-0.9978998</v>
      </c>
      <c r="Q2909">
        <v>-5.1333820000000002E-2</v>
      </c>
      <c r="R2909">
        <v>-3.9511299999999999E-2</v>
      </c>
      <c r="S2909">
        <v>-3.0073240000000001</v>
      </c>
      <c r="T2909">
        <v>1.6803619999999998E-2</v>
      </c>
      <c r="U2909">
        <v>4.6691889999999998E-3</v>
      </c>
      <c r="V2909">
        <v>-3.4301850000000002E-2</v>
      </c>
      <c r="W2909">
        <v>-3.8112470000000002E-2</v>
      </c>
      <c r="X2909">
        <v>0.99868449999999998</v>
      </c>
      <c r="Y2909">
        <v>6.7703069999999997E-3</v>
      </c>
      <c r="Z2909" s="1">
        <v>-7.2344379999999997E-5</v>
      </c>
      <c r="AA2909">
        <v>0.99997709999999995</v>
      </c>
      <c r="AB2909">
        <v>30</v>
      </c>
      <c r="AC2909">
        <v>-3.0073240000000001</v>
      </c>
      <c r="AD2909">
        <v>1.6803619999999998E-2</v>
      </c>
      <c r="AE2909">
        <v>4.6691889999999998E-3</v>
      </c>
      <c r="AF2909">
        <v>2.03622402484381E-2</v>
      </c>
      <c r="AG2909">
        <v>1.6803619999999998E-2</v>
      </c>
      <c r="AH2909">
        <v>3.00716479838225</v>
      </c>
      <c r="AI2909">
        <v>89.679849798541099</v>
      </c>
      <c r="AJ2909">
        <v>89.612042346903493</v>
      </c>
      <c r="AK2909">
        <v>3.0072806831259302</v>
      </c>
      <c r="AL2909">
        <v>92.184212779785398</v>
      </c>
      <c r="AM2909">
        <v>91.967166735044799</v>
      </c>
      <c r="AN2909">
        <v>0.99999995391158503</v>
      </c>
    </row>
    <row r="2910" spans="1:40" x14ac:dyDescent="0.25">
      <c r="A2910" t="str">
        <f>"20190303153827760"</f>
        <v>20190303153827760</v>
      </c>
      <c r="B2910" t="str">
        <f>"1551598707751415"</f>
        <v>1551598707751415</v>
      </c>
      <c r="C2910" t="s">
        <v>40</v>
      </c>
      <c r="D2910">
        <v>4.1026259999999999</v>
      </c>
      <c r="E2910">
        <v>0.51554140000000004</v>
      </c>
      <c r="F2910" t="s">
        <v>46</v>
      </c>
      <c r="G2910">
        <v>0</v>
      </c>
      <c r="H2910">
        <v>0</v>
      </c>
      <c r="I2910">
        <v>0</v>
      </c>
      <c r="J2910">
        <v>-403.4427</v>
      </c>
      <c r="K2910">
        <v>1.120954</v>
      </c>
      <c r="L2910">
        <v>284.0489</v>
      </c>
      <c r="M2910">
        <v>-0.9999015</v>
      </c>
      <c r="N2910">
        <v>-1.301835E-2</v>
      </c>
      <c r="O2910">
        <v>-5.2411439999999997E-3</v>
      </c>
      <c r="P2910">
        <v>-0.99793829999999994</v>
      </c>
      <c r="Q2910">
        <v>-5.0707719999999998E-2</v>
      </c>
      <c r="R2910">
        <v>-3.9343639999999999E-2</v>
      </c>
      <c r="S2910">
        <v>-3.0074459999999998</v>
      </c>
      <c r="T2910">
        <v>1.83655E-2</v>
      </c>
      <c r="U2910">
        <v>3.5095209999999998E-3</v>
      </c>
      <c r="V2910">
        <v>-3.4111410000000002E-2</v>
      </c>
      <c r="W2910">
        <v>-3.7710250000000001E-2</v>
      </c>
      <c r="X2910">
        <v>0.99870630000000005</v>
      </c>
      <c r="Y2910">
        <v>6.4076890000000003E-3</v>
      </c>
      <c r="Z2910" s="1">
        <v>-7.809224E-5</v>
      </c>
      <c r="AA2910">
        <v>0.99997950000000002</v>
      </c>
      <c r="AB2910">
        <v>30</v>
      </c>
      <c r="AC2910">
        <v>-3.0074459999999998</v>
      </c>
      <c r="AD2910">
        <v>1.83655E-2</v>
      </c>
      <c r="AE2910">
        <v>3.5095209999999998E-3</v>
      </c>
      <c r="AF2910">
        <v>1.9272547847319799E-2</v>
      </c>
      <c r="AG2910">
        <v>1.83655E-2</v>
      </c>
      <c r="AH2910">
        <v>3.0072741449866198</v>
      </c>
      <c r="AI2910">
        <v>89.650104746241993</v>
      </c>
      <c r="AJ2910">
        <v>89.632816802857505</v>
      </c>
      <c r="AK2910">
        <v>3.0073919774109501</v>
      </c>
      <c r="AL2910">
        <v>92.161150672463094</v>
      </c>
      <c r="AM2910">
        <v>91.956211088432099</v>
      </c>
      <c r="AN2910">
        <v>0.999999962453469</v>
      </c>
    </row>
    <row r="2911" spans="1:40" x14ac:dyDescent="0.25">
      <c r="A2911" t="str">
        <f>"20190303153827771"</f>
        <v>20190303153827771</v>
      </c>
      <c r="B2911" t="str">
        <f>"1551598707761171"</f>
        <v>1551598707761171</v>
      </c>
      <c r="C2911" t="s">
        <v>40</v>
      </c>
      <c r="D2911">
        <v>4.1581260000000002</v>
      </c>
      <c r="E2911">
        <v>0.51551420000000003</v>
      </c>
      <c r="F2911" t="s">
        <v>46</v>
      </c>
      <c r="G2911">
        <v>0</v>
      </c>
      <c r="H2911">
        <v>0</v>
      </c>
      <c r="I2911">
        <v>0</v>
      </c>
      <c r="J2911">
        <v>-403.60489999999999</v>
      </c>
      <c r="K2911">
        <v>1.1209249999999999</v>
      </c>
      <c r="L2911">
        <v>284.048</v>
      </c>
      <c r="M2911">
        <v>-0.9999034</v>
      </c>
      <c r="N2911">
        <v>-1.287435E-2</v>
      </c>
      <c r="O2911">
        <v>-5.2547019999999896E-3</v>
      </c>
      <c r="P2911">
        <v>-0.99799590000000005</v>
      </c>
      <c r="Q2911">
        <v>-4.9815060000000001E-2</v>
      </c>
      <c r="R2911">
        <v>-3.902481E-2</v>
      </c>
      <c r="S2911">
        <v>-3.0072939999999999</v>
      </c>
      <c r="T2911">
        <v>1.8239379999999999E-2</v>
      </c>
      <c r="U2911">
        <v>3.90625E-3</v>
      </c>
      <c r="V2911">
        <v>-3.3779480000000001E-2</v>
      </c>
      <c r="W2911">
        <v>-3.6960460000000001E-2</v>
      </c>
      <c r="X2911">
        <v>0.99874560000000001</v>
      </c>
      <c r="Y2911">
        <v>6.5532330000000003E-3</v>
      </c>
      <c r="Z2911" s="1">
        <v>-7.7208519999999898E-5</v>
      </c>
      <c r="AA2911">
        <v>0.99997849999999999</v>
      </c>
      <c r="AB2911">
        <v>30</v>
      </c>
      <c r="AC2911">
        <v>-3.0072939999999999</v>
      </c>
      <c r="AD2911">
        <v>1.8239379999999999E-2</v>
      </c>
      <c r="AE2911">
        <v>3.90625E-3</v>
      </c>
      <c r="AF2911">
        <v>1.97092132957194E-2</v>
      </c>
      <c r="AG2911">
        <v>1.8239379999999999E-2</v>
      </c>
      <c r="AH2911">
        <v>3.0071213302560702</v>
      </c>
      <c r="AI2911">
        <v>89.652490165626602</v>
      </c>
      <c r="AJ2911">
        <v>89.624478547465799</v>
      </c>
      <c r="AK2911">
        <v>3.0072412312537402</v>
      </c>
      <c r="AL2911">
        <v>92.118160918379004</v>
      </c>
      <c r="AM2911">
        <v>91.937114070106901</v>
      </c>
      <c r="AN2911">
        <v>0.999999951195919</v>
      </c>
    </row>
    <row r="2912" spans="1:40" x14ac:dyDescent="0.25">
      <c r="A2912" t="str">
        <f>"20190303153827785"</f>
        <v>20190303153827785</v>
      </c>
      <c r="B2912" t="str">
        <f>"1551598707781668"</f>
        <v>1551598707781668</v>
      </c>
      <c r="C2912" t="s">
        <v>40</v>
      </c>
      <c r="D2912">
        <v>4.1223700000000001</v>
      </c>
      <c r="E2912">
        <v>0.5155457</v>
      </c>
      <c r="F2912" t="s">
        <v>46</v>
      </c>
      <c r="G2912">
        <v>0</v>
      </c>
      <c r="H2912">
        <v>0</v>
      </c>
      <c r="I2912">
        <v>0</v>
      </c>
      <c r="J2912">
        <v>-403.78870000000001</v>
      </c>
      <c r="K2912">
        <v>1.120906</v>
      </c>
      <c r="L2912">
        <v>284.0471</v>
      </c>
      <c r="M2912">
        <v>-0.99990520000000005</v>
      </c>
      <c r="N2912">
        <v>-1.2718500000000001E-2</v>
      </c>
      <c r="O2912">
        <v>-5.2678480000000003E-3</v>
      </c>
      <c r="P2912">
        <v>-0.99804599999999999</v>
      </c>
      <c r="Q2912">
        <v>-4.9301360000000002E-2</v>
      </c>
      <c r="R2912">
        <v>-3.8386610000000002E-2</v>
      </c>
      <c r="S2912">
        <v>-3.0072329999999998</v>
      </c>
      <c r="T2912">
        <v>1.968837E-2</v>
      </c>
      <c r="U2912">
        <v>5.0048829999999999E-3</v>
      </c>
      <c r="V2912">
        <v>-3.312793E-2</v>
      </c>
      <c r="W2912">
        <v>-3.6601599999999998E-2</v>
      </c>
      <c r="X2912">
        <v>0.99878069999999997</v>
      </c>
      <c r="Y2912">
        <v>6.9316859999999899E-3</v>
      </c>
      <c r="Z2912" s="1">
        <v>-8.0096939999999998E-5</v>
      </c>
      <c r="AA2912">
        <v>0.99997599999999998</v>
      </c>
      <c r="AB2912">
        <v>30</v>
      </c>
      <c r="AC2912">
        <v>-3.0072329999999998</v>
      </c>
      <c r="AD2912">
        <v>1.968837E-2</v>
      </c>
      <c r="AE2912">
        <v>5.0048829999999999E-3</v>
      </c>
      <c r="AF2912">
        <v>2.0846848395699901E-2</v>
      </c>
      <c r="AG2912">
        <v>1.968837E-2</v>
      </c>
      <c r="AH2912">
        <v>3.0070360091077699</v>
      </c>
      <c r="AI2912">
        <v>89.624874036249807</v>
      </c>
      <c r="AJ2912">
        <v>89.602792487215595</v>
      </c>
      <c r="AK2912">
        <v>3.00717272252062</v>
      </c>
      <c r="AL2912">
        <v>92.097585704535703</v>
      </c>
      <c r="AM2912">
        <v>91.899711294381504</v>
      </c>
      <c r="AN2912">
        <v>1.0000000117805601</v>
      </c>
    </row>
    <row r="2913" spans="1:40" x14ac:dyDescent="0.25">
      <c r="A2913" t="str">
        <f>"20190303153827798"</f>
        <v>20190303153827798</v>
      </c>
      <c r="B2913" t="str">
        <f>"1551598707791428"</f>
        <v>1551598707791428</v>
      </c>
      <c r="C2913" t="s">
        <v>40</v>
      </c>
      <c r="D2913">
        <v>4.1097390000000003</v>
      </c>
      <c r="E2913">
        <v>0.51553509999999902</v>
      </c>
      <c r="F2913" t="s">
        <v>46</v>
      </c>
      <c r="G2913">
        <v>0</v>
      </c>
      <c r="H2913">
        <v>0</v>
      </c>
      <c r="I2913">
        <v>0</v>
      </c>
      <c r="J2913">
        <v>-403.9502</v>
      </c>
      <c r="K2913">
        <v>1.1208910000000001</v>
      </c>
      <c r="L2913">
        <v>284.0462</v>
      </c>
      <c r="M2913">
        <v>-0.99990679999999998</v>
      </c>
      <c r="N2913">
        <v>-1.258835E-2</v>
      </c>
      <c r="O2913">
        <v>-5.277131E-3</v>
      </c>
      <c r="P2913">
        <v>-0.99807999999999997</v>
      </c>
      <c r="Q2913">
        <v>-4.8896019999999998E-2</v>
      </c>
      <c r="R2913">
        <v>-3.8023010000000003E-2</v>
      </c>
      <c r="S2913">
        <v>-3.0072019999999999</v>
      </c>
      <c r="T2913">
        <v>2.0894530000000001E-2</v>
      </c>
      <c r="U2913">
        <v>6.9885249999999998E-3</v>
      </c>
      <c r="V2913">
        <v>-3.275488E-2</v>
      </c>
      <c r="W2913">
        <v>-3.6325740000000002E-2</v>
      </c>
      <c r="X2913">
        <v>0.99880310000000005</v>
      </c>
      <c r="Y2913">
        <v>7.6005689999999997E-3</v>
      </c>
      <c r="Z2913" s="1">
        <v>-8.1660430000000004E-5</v>
      </c>
      <c r="AA2913">
        <v>0.9999711</v>
      </c>
      <c r="AB2913">
        <v>30</v>
      </c>
      <c r="AC2913">
        <v>-3.0072019999999999</v>
      </c>
      <c r="AD2913">
        <v>2.0894530000000001E-2</v>
      </c>
      <c r="AE2913">
        <v>6.9885249999999998E-3</v>
      </c>
      <c r="AF2913">
        <v>2.2857981206878399E-2</v>
      </c>
      <c r="AG2913">
        <v>2.0894530000000001E-2</v>
      </c>
      <c r="AH2913">
        <v>3.0069780713265999</v>
      </c>
      <c r="AI2913">
        <v>89.601887841562402</v>
      </c>
      <c r="AJ2913">
        <v>89.564466186716402</v>
      </c>
      <c r="AK2913">
        <v>3.00713754093952</v>
      </c>
      <c r="AL2913">
        <v>92.081769520230495</v>
      </c>
      <c r="AM2913">
        <v>91.878292169443199</v>
      </c>
      <c r="AN2913">
        <v>1.00000003705998</v>
      </c>
    </row>
    <row r="2914" spans="1:40" x14ac:dyDescent="0.25">
      <c r="A2914" t="str">
        <f>"20190303153827810"</f>
        <v>20190303153827810</v>
      </c>
      <c r="B2914" t="str">
        <f>"1551598707801187"</f>
        <v>1551598707801187</v>
      </c>
      <c r="C2914" t="s">
        <v>40</v>
      </c>
      <c r="D2914">
        <v>4.1123599999999998</v>
      </c>
      <c r="E2914">
        <v>0.51553260000000001</v>
      </c>
      <c r="F2914" t="s">
        <v>46</v>
      </c>
      <c r="G2914">
        <v>0</v>
      </c>
      <c r="H2914">
        <v>0</v>
      </c>
      <c r="I2914">
        <v>0</v>
      </c>
      <c r="J2914">
        <v>-404.1207</v>
      </c>
      <c r="K2914">
        <v>1.1208769999999999</v>
      </c>
      <c r="L2914">
        <v>284.0453</v>
      </c>
      <c r="M2914">
        <v>-0.99990860000000004</v>
      </c>
      <c r="N2914">
        <v>-1.2454929999999999E-2</v>
      </c>
      <c r="O2914">
        <v>-5.2855690000000004E-3</v>
      </c>
      <c r="P2914">
        <v>-0.99812389999999995</v>
      </c>
      <c r="Q2914">
        <v>-4.8520679999999997E-2</v>
      </c>
      <c r="R2914">
        <v>-3.7344330000000002E-2</v>
      </c>
      <c r="S2914">
        <v>-3.0071110000000001</v>
      </c>
      <c r="T2914">
        <v>2.1622780000000001E-2</v>
      </c>
      <c r="U2914">
        <v>8.0871580000000005E-3</v>
      </c>
      <c r="V2914">
        <v>-3.2067900000000003E-2</v>
      </c>
      <c r="W2914">
        <v>-3.6083039999999997E-2</v>
      </c>
      <c r="X2914">
        <v>0.99883409999999995</v>
      </c>
      <c r="Y2914">
        <v>7.9743890000000001E-3</v>
      </c>
      <c r="Z2914" s="1">
        <v>-8.2845059999999906E-5</v>
      </c>
      <c r="AA2914">
        <v>0.99996819999999997</v>
      </c>
      <c r="AB2914">
        <v>30</v>
      </c>
      <c r="AC2914">
        <v>-3.0071110000000001</v>
      </c>
      <c r="AD2914">
        <v>2.1622780000000001E-2</v>
      </c>
      <c r="AE2914">
        <v>8.0871580000000005E-3</v>
      </c>
      <c r="AF2914">
        <v>2.39813285683762E-2</v>
      </c>
      <c r="AG2914">
        <v>2.1622780000000001E-2</v>
      </c>
      <c r="AH2914">
        <v>3.0068707733475999</v>
      </c>
      <c r="AI2914">
        <v>89.587999160687502</v>
      </c>
      <c r="AJ2914">
        <v>89.543046613792399</v>
      </c>
      <c r="AK2914">
        <v>3.00704414605885</v>
      </c>
      <c r="AL2914">
        <v>92.067854897520405</v>
      </c>
      <c r="AM2914">
        <v>91.838868368523507</v>
      </c>
      <c r="AN2914">
        <v>0.99999994765442901</v>
      </c>
    </row>
    <row r="2915" spans="1:40" x14ac:dyDescent="0.25">
      <c r="A2915" t="str">
        <f>"20190303153827824"</f>
        <v>20190303153827824</v>
      </c>
      <c r="B2915" t="str">
        <f>"1551598707821684"</f>
        <v>1551598707821684</v>
      </c>
      <c r="C2915" t="s">
        <v>40</v>
      </c>
      <c r="D2915">
        <v>4.1270540000000002</v>
      </c>
      <c r="E2915">
        <v>0.5154919</v>
      </c>
      <c r="F2915" t="s">
        <v>46</v>
      </c>
      <c r="G2915">
        <v>0</v>
      </c>
      <c r="H2915">
        <v>0</v>
      </c>
      <c r="I2915">
        <v>0</v>
      </c>
      <c r="J2915">
        <v>-404.31270000000001</v>
      </c>
      <c r="K2915">
        <v>1.120862</v>
      </c>
      <c r="L2915">
        <v>284.04430000000002</v>
      </c>
      <c r="M2915">
        <v>-0.99991030000000003</v>
      </c>
      <c r="N2915">
        <v>-1.23164E-2</v>
      </c>
      <c r="O2915">
        <v>-5.2921899999999996E-3</v>
      </c>
      <c r="P2915">
        <v>-0.99816130000000003</v>
      </c>
      <c r="Q2915">
        <v>-4.8188300000000003E-2</v>
      </c>
      <c r="R2915">
        <v>-3.6774580000000001E-2</v>
      </c>
      <c r="S2915">
        <v>-3.0070800000000002</v>
      </c>
      <c r="T2915">
        <v>2.2179959999999999E-2</v>
      </c>
      <c r="U2915">
        <v>9.7351069999999998E-3</v>
      </c>
      <c r="V2915">
        <v>-3.149134E-2</v>
      </c>
      <c r="W2915">
        <v>-3.5888469999999999E-2</v>
      </c>
      <c r="X2915">
        <v>0.99885950000000001</v>
      </c>
      <c r="Y2915">
        <v>8.5290260000000003E-3</v>
      </c>
      <c r="Z2915" s="1">
        <v>-8.3143860000000006E-5</v>
      </c>
      <c r="AA2915">
        <v>0.99996359999999995</v>
      </c>
      <c r="AB2915">
        <v>30</v>
      </c>
      <c r="AC2915">
        <v>-3.0070800000000002</v>
      </c>
      <c r="AD2915">
        <v>2.2179959999999999E-2</v>
      </c>
      <c r="AE2915">
        <v>9.7351069999999998E-3</v>
      </c>
      <c r="AF2915">
        <v>2.5648818678274E-2</v>
      </c>
      <c r="AG2915">
        <v>2.2179959999999999E-2</v>
      </c>
      <c r="AH2915">
        <v>3.0068227775915202</v>
      </c>
      <c r="AI2915">
        <v>89.577378211973297</v>
      </c>
      <c r="AJ2915">
        <v>89.511267033043694</v>
      </c>
      <c r="AK2915">
        <v>3.0070139720939801</v>
      </c>
      <c r="AL2915">
        <v>92.056699537005997</v>
      </c>
      <c r="AM2915">
        <v>91.805782911018198</v>
      </c>
      <c r="AN2915">
        <v>0.99999999375709303</v>
      </c>
    </row>
    <row r="2916" spans="1:40" x14ac:dyDescent="0.25">
      <c r="A2916" t="str">
        <f>"20190303153827838"</f>
        <v>20190303153827838</v>
      </c>
      <c r="B2916" t="str">
        <f>"1551598707831445"</f>
        <v>1551598707831445</v>
      </c>
      <c r="C2916" t="s">
        <v>40</v>
      </c>
      <c r="D2916">
        <v>4.1640879999999996</v>
      </c>
      <c r="E2916">
        <v>0.51546530000000002</v>
      </c>
      <c r="F2916" t="s">
        <v>46</v>
      </c>
      <c r="G2916">
        <v>0</v>
      </c>
      <c r="H2916">
        <v>0</v>
      </c>
      <c r="I2916">
        <v>0</v>
      </c>
      <c r="J2916">
        <v>-404.49419999999998</v>
      </c>
      <c r="K2916">
        <v>1.120849</v>
      </c>
      <c r="L2916">
        <v>284.04329999999999</v>
      </c>
      <c r="M2916">
        <v>-0.99991160000000001</v>
      </c>
      <c r="N2916">
        <v>-1.219349E-2</v>
      </c>
      <c r="O2916">
        <v>-5.2966510000000003E-3</v>
      </c>
      <c r="P2916">
        <v>-0.99819340000000001</v>
      </c>
      <c r="Q2916">
        <v>-4.8484279999999998E-2</v>
      </c>
      <c r="R2916">
        <v>-3.5486770000000001E-2</v>
      </c>
      <c r="S2916">
        <v>-3.0069889999999999</v>
      </c>
      <c r="T2916">
        <v>2.1722559999999998E-2</v>
      </c>
      <c r="U2916">
        <v>1.1169429999999999E-2</v>
      </c>
      <c r="V2916">
        <v>-3.0199150000000001E-2</v>
      </c>
      <c r="W2916">
        <v>-3.6306720000000001E-2</v>
      </c>
      <c r="X2916">
        <v>0.99888429999999995</v>
      </c>
      <c r="Y2916">
        <v>9.0105870000000005E-3</v>
      </c>
      <c r="Z2916" s="1">
        <v>-8.045595E-5</v>
      </c>
      <c r="AA2916">
        <v>0.99995940000000005</v>
      </c>
      <c r="AB2916">
        <v>30</v>
      </c>
      <c r="AC2916">
        <v>-3.0069889999999999</v>
      </c>
      <c r="AD2916">
        <v>2.1722559999999998E-2</v>
      </c>
      <c r="AE2916">
        <v>1.1169429999999999E-2</v>
      </c>
      <c r="AF2916">
        <v>2.7096015168246099E-2</v>
      </c>
      <c r="AG2916">
        <v>2.1722559999999998E-2</v>
      </c>
      <c r="AH2916">
        <v>3.00673074000535</v>
      </c>
      <c r="AI2916">
        <v>89.586082383487593</v>
      </c>
      <c r="AJ2916">
        <v>89.483676650809997</v>
      </c>
      <c r="AK2916">
        <v>3.0069312939513702</v>
      </c>
      <c r="AL2916">
        <v>92.080679100520001</v>
      </c>
      <c r="AM2916">
        <v>91.7316889987911</v>
      </c>
      <c r="AN2916">
        <v>1.0000000056821801</v>
      </c>
    </row>
    <row r="2917" spans="1:40" x14ac:dyDescent="0.25">
      <c r="A2917" t="str">
        <f>"20190303153827860"</f>
        <v>20190303153827860</v>
      </c>
      <c r="B2917" t="str">
        <f>"1551598707850963"</f>
        <v>1551598707850963</v>
      </c>
      <c r="C2917" t="s">
        <v>40</v>
      </c>
      <c r="D2917">
        <v>4.1708660000000002</v>
      </c>
      <c r="E2917">
        <v>0.51545560000000001</v>
      </c>
      <c r="F2917" t="s">
        <v>46</v>
      </c>
      <c r="G2917">
        <v>0</v>
      </c>
      <c r="H2917">
        <v>0</v>
      </c>
      <c r="I2917">
        <v>0</v>
      </c>
      <c r="J2917">
        <v>-404.79790000000003</v>
      </c>
      <c r="K2917">
        <v>1.12083</v>
      </c>
      <c r="L2917">
        <v>284.04169999999999</v>
      </c>
      <c r="M2917">
        <v>-0.99991390000000002</v>
      </c>
      <c r="N2917">
        <v>-1.200501E-2</v>
      </c>
      <c r="O2917">
        <v>-5.3018969999999999E-3</v>
      </c>
      <c r="P2917">
        <v>-0.99824040000000003</v>
      </c>
      <c r="Q2917">
        <v>-4.845729E-2</v>
      </c>
      <c r="R2917">
        <v>-3.4181009999999998E-2</v>
      </c>
      <c r="S2917">
        <v>-3.006958</v>
      </c>
      <c r="T2917">
        <v>2.0069119999999999E-2</v>
      </c>
      <c r="U2917">
        <v>1.4770510000000001E-2</v>
      </c>
      <c r="V2917">
        <v>-2.888816E-2</v>
      </c>
      <c r="W2917">
        <v>-3.6467270000000003E-2</v>
      </c>
      <c r="X2917">
        <v>0.99891719999999895</v>
      </c>
      <c r="Y2917">
        <v>1.0213460000000001E-2</v>
      </c>
      <c r="Z2917" s="1">
        <v>-7.1809279999999996E-5</v>
      </c>
      <c r="AA2917">
        <v>0.99994780000000005</v>
      </c>
      <c r="AB2917">
        <v>30</v>
      </c>
      <c r="AC2917">
        <v>-3.006958</v>
      </c>
      <c r="AD2917">
        <v>2.0069119999999999E-2</v>
      </c>
      <c r="AE2917">
        <v>1.4770510000000001E-2</v>
      </c>
      <c r="AF2917">
        <v>3.0712664543046098E-2</v>
      </c>
      <c r="AG2917">
        <v>2.0069119999999999E-2</v>
      </c>
      <c r="AH2917">
        <v>3.0067034819933798</v>
      </c>
      <c r="AI2917">
        <v>89.617588224755295</v>
      </c>
      <c r="AJ2917">
        <v>89.414759430953694</v>
      </c>
      <c r="AK2917">
        <v>3.0069273130509901</v>
      </c>
      <c r="AL2917">
        <v>92.089884087294394</v>
      </c>
      <c r="AM2917">
        <v>91.656502111817105</v>
      </c>
      <c r="AN2917">
        <v>0.99999998001263801</v>
      </c>
    </row>
    <row r="2918" spans="1:40" x14ac:dyDescent="0.25">
      <c r="A2918" t="str">
        <f>"20190303153827882"</f>
        <v>20190303153827882</v>
      </c>
      <c r="B2918" t="str">
        <f>"1551598707871461"</f>
        <v>1551598707871461</v>
      </c>
      <c r="C2918" t="s">
        <v>40</v>
      </c>
      <c r="D2918">
        <v>4.1851260000000003</v>
      </c>
      <c r="E2918">
        <v>0.51542469999999996</v>
      </c>
      <c r="F2918" t="s">
        <v>46</v>
      </c>
      <c r="G2918">
        <v>0</v>
      </c>
      <c r="H2918">
        <v>0</v>
      </c>
      <c r="I2918">
        <v>0</v>
      </c>
      <c r="J2918">
        <v>-405.08679999999998</v>
      </c>
      <c r="K2918">
        <v>1.120814</v>
      </c>
      <c r="L2918">
        <v>284.0401</v>
      </c>
      <c r="M2918">
        <v>-0.99991580000000002</v>
      </c>
      <c r="N2918">
        <v>-1.1848900000000001E-2</v>
      </c>
      <c r="O2918">
        <v>-5.3047429999999998E-3</v>
      </c>
      <c r="P2918">
        <v>-0.99824539999999995</v>
      </c>
      <c r="Q2918">
        <v>-4.8618830000000002E-2</v>
      </c>
      <c r="R2918">
        <v>-3.3800910000000003E-2</v>
      </c>
      <c r="S2918">
        <v>-3.0070190000000001</v>
      </c>
      <c r="T2918">
        <v>2.2113319999999999E-2</v>
      </c>
      <c r="U2918">
        <v>1.8615719999999999E-2</v>
      </c>
      <c r="V2918">
        <v>-2.8505820000000001E-2</v>
      </c>
      <c r="W2918">
        <v>-3.6784509999999999E-2</v>
      </c>
      <c r="X2918">
        <v>0.99891660000000004</v>
      </c>
      <c r="Y2918">
        <v>1.149478E-2</v>
      </c>
      <c r="Z2918" s="1">
        <v>-7.6026419999999996E-5</v>
      </c>
      <c r="AA2918">
        <v>0.99993399999999999</v>
      </c>
      <c r="AB2918">
        <v>30</v>
      </c>
      <c r="AC2918">
        <v>-3.0070190000000001</v>
      </c>
      <c r="AD2918">
        <v>2.2113319999999999E-2</v>
      </c>
      <c r="AE2918">
        <v>1.8615719999999999E-2</v>
      </c>
      <c r="AF2918">
        <v>3.4566170499418798E-2</v>
      </c>
      <c r="AG2918">
        <v>2.2113319999999999E-2</v>
      </c>
      <c r="AH2918">
        <v>3.0067153295136699</v>
      </c>
      <c r="AI2918">
        <v>89.578645395188104</v>
      </c>
      <c r="AJ2918">
        <v>89.341338230461602</v>
      </c>
      <c r="AK2918">
        <v>3.0069953262013698</v>
      </c>
      <c r="AL2918">
        <v>92.1080727037061</v>
      </c>
      <c r="AM2918">
        <v>91.634590963152206</v>
      </c>
      <c r="AN2918">
        <v>1.0000000278526799</v>
      </c>
    </row>
    <row r="2919" spans="1:40" x14ac:dyDescent="0.25">
      <c r="A2919" t="str">
        <f>"20190303153827894"</f>
        <v>20190303153827894</v>
      </c>
      <c r="B2919" t="str">
        <f>"1551598707890980"</f>
        <v>1551598707890980</v>
      </c>
      <c r="C2919" t="s">
        <v>40</v>
      </c>
      <c r="D2919">
        <v>4.1940910000000002</v>
      </c>
      <c r="E2919">
        <v>0.51533569999999995</v>
      </c>
      <c r="F2919" t="s">
        <v>46</v>
      </c>
      <c r="G2919">
        <v>0</v>
      </c>
      <c r="H2919">
        <v>0</v>
      </c>
      <c r="I2919">
        <v>0</v>
      </c>
      <c r="J2919">
        <v>-405.2509</v>
      </c>
      <c r="K2919">
        <v>1.1208100000000001</v>
      </c>
      <c r="L2919">
        <v>284.03919999999999</v>
      </c>
      <c r="M2919">
        <v>-0.99991669999999999</v>
      </c>
      <c r="N2919">
        <v>-1.17725E-2</v>
      </c>
      <c r="O2919">
        <v>-5.305588E-3</v>
      </c>
      <c r="P2919">
        <v>-0.9982567</v>
      </c>
      <c r="Q2919">
        <v>-4.8404759999999998E-2</v>
      </c>
      <c r="R2919">
        <v>-3.3779259999999998E-2</v>
      </c>
      <c r="S2919">
        <v>-3.0070800000000002</v>
      </c>
      <c r="T2919">
        <v>2.370572E-2</v>
      </c>
      <c r="U2919">
        <v>1.9439700000000001E-2</v>
      </c>
      <c r="V2919">
        <v>-2.8483100000000001E-2</v>
      </c>
      <c r="W2919">
        <v>-3.664655E-2</v>
      </c>
      <c r="X2919">
        <v>0.99892230000000004</v>
      </c>
      <c r="Y2919">
        <v>1.1769419999999999E-2</v>
      </c>
      <c r="Z2919" s="1">
        <v>-8.1393009999999999E-5</v>
      </c>
      <c r="AA2919">
        <v>0.99993069999999895</v>
      </c>
      <c r="AB2919">
        <v>30</v>
      </c>
      <c r="AC2919">
        <v>-3.0070800000000002</v>
      </c>
      <c r="AD2919">
        <v>2.370572E-2</v>
      </c>
      <c r="AE2919">
        <v>1.9439700000000001E-2</v>
      </c>
      <c r="AF2919">
        <v>3.5392658983884502E-2</v>
      </c>
      <c r="AG2919">
        <v>2.370572E-2</v>
      </c>
      <c r="AH2919">
        <v>3.0067476732282201</v>
      </c>
      <c r="AI2919">
        <v>89.5483107894988</v>
      </c>
      <c r="AJ2919">
        <v>89.325598102924005</v>
      </c>
      <c r="AK2919">
        <v>3.0070494129518299</v>
      </c>
      <c r="AL2919">
        <v>92.100162884575894</v>
      </c>
      <c r="AM2919">
        <v>91.633279535967006</v>
      </c>
      <c r="AN2919">
        <v>1.0000000090248999</v>
      </c>
    </row>
    <row r="2920" spans="1:40" x14ac:dyDescent="0.25">
      <c r="A2920" t="str">
        <f>"20190303153827906"</f>
        <v>20190303153827906</v>
      </c>
      <c r="B2920" t="str">
        <f>"1551598707901716"</f>
        <v>1551598707901716</v>
      </c>
      <c r="C2920" t="s">
        <v>40</v>
      </c>
      <c r="D2920">
        <v>4.1818939999999998</v>
      </c>
      <c r="E2920">
        <v>0.51532210000000001</v>
      </c>
      <c r="F2920" t="s">
        <v>46</v>
      </c>
      <c r="G2920">
        <v>0</v>
      </c>
      <c r="H2920">
        <v>0</v>
      </c>
      <c r="I2920">
        <v>0</v>
      </c>
      <c r="J2920">
        <v>-405.41379999999998</v>
      </c>
      <c r="K2920">
        <v>1.120811</v>
      </c>
      <c r="L2920">
        <v>284.03840000000002</v>
      </c>
      <c r="M2920">
        <v>-0.99991730000000001</v>
      </c>
      <c r="N2920">
        <v>-1.1706579999999999E-2</v>
      </c>
      <c r="O2920">
        <v>-5.305906E-3</v>
      </c>
      <c r="P2920">
        <v>-0.99823390000000001</v>
      </c>
      <c r="Q2920">
        <v>-4.862499E-2</v>
      </c>
      <c r="R2920">
        <v>-3.4128859999999997E-2</v>
      </c>
      <c r="S2920">
        <v>-3.0071110000000001</v>
      </c>
      <c r="T2920">
        <v>2.514458E-2</v>
      </c>
      <c r="U2920">
        <v>1.8676760000000001E-2</v>
      </c>
      <c r="V2920">
        <v>-2.883289E-2</v>
      </c>
      <c r="W2920">
        <v>-3.6932800000000002E-2</v>
      </c>
      <c r="X2920">
        <v>0.9989017</v>
      </c>
      <c r="Y2920">
        <v>1.1515920000000001E-2</v>
      </c>
      <c r="Z2920" s="1">
        <v>-8.7214740000000007E-5</v>
      </c>
      <c r="AA2920">
        <v>0.99993370000000004</v>
      </c>
      <c r="AB2920">
        <v>30</v>
      </c>
      <c r="AC2920">
        <v>-3.0071110000000001</v>
      </c>
      <c r="AD2920">
        <v>2.514458E-2</v>
      </c>
      <c r="AE2920">
        <v>1.8676760000000001E-2</v>
      </c>
      <c r="AF2920">
        <v>3.4630619124326197E-2</v>
      </c>
      <c r="AG2920">
        <v>2.514458E-2</v>
      </c>
      <c r="AH2920">
        <v>3.0067593419988099</v>
      </c>
      <c r="AI2920">
        <v>89.520896412212807</v>
      </c>
      <c r="AJ2920">
        <v>89.340119922599698</v>
      </c>
      <c r="AK2920">
        <v>3.0070638952941202</v>
      </c>
      <c r="AL2920">
        <v>92.116574958949201</v>
      </c>
      <c r="AM2920">
        <v>91.653360226097405</v>
      </c>
      <c r="AN2920">
        <v>0.99999998676224</v>
      </c>
    </row>
    <row r="2921" spans="1:40" x14ac:dyDescent="0.25">
      <c r="A2921" t="str">
        <f>"20190303153827919"</f>
        <v>20190303153827919</v>
      </c>
      <c r="B2921" t="str">
        <f>"1551598707911476"</f>
        <v>1551598707911476</v>
      </c>
      <c r="C2921" t="s">
        <v>40</v>
      </c>
      <c r="D2921">
        <v>4.2048690000000004</v>
      </c>
      <c r="E2921">
        <v>0.51531450000000001</v>
      </c>
      <c r="F2921" t="s">
        <v>46</v>
      </c>
      <c r="G2921">
        <v>0</v>
      </c>
      <c r="H2921">
        <v>0</v>
      </c>
      <c r="I2921">
        <v>0</v>
      </c>
      <c r="J2921">
        <v>-405.57560000000001</v>
      </c>
      <c r="K2921">
        <v>1.120811</v>
      </c>
      <c r="L2921">
        <v>284.03750000000002</v>
      </c>
      <c r="M2921">
        <v>-0.99991819999999998</v>
      </c>
      <c r="N2921">
        <v>-1.1657529999999999E-2</v>
      </c>
      <c r="O2921">
        <v>-5.3060909999999998E-3</v>
      </c>
      <c r="P2921">
        <v>-0.99823139999999999</v>
      </c>
      <c r="Q2921">
        <v>-4.8550919999999997E-2</v>
      </c>
      <c r="R2921">
        <v>-3.4310279999999999E-2</v>
      </c>
      <c r="S2921">
        <v>-3.0070800000000002</v>
      </c>
      <c r="T2921">
        <v>2.494383E-2</v>
      </c>
      <c r="U2921">
        <v>1.7608639999999998E-2</v>
      </c>
      <c r="V2921">
        <v>-2.9014390000000001E-2</v>
      </c>
      <c r="W2921">
        <v>-3.6907700000000002E-2</v>
      </c>
      <c r="X2921">
        <v>0.99889740000000005</v>
      </c>
      <c r="Y2921">
        <v>1.1161010000000001E-2</v>
      </c>
      <c r="Z2921" s="1">
        <v>-8.7100049999999898E-5</v>
      </c>
      <c r="AA2921">
        <v>0.99993770000000004</v>
      </c>
      <c r="AB2921">
        <v>30</v>
      </c>
      <c r="AC2921">
        <v>-3.0070800000000002</v>
      </c>
      <c r="AD2921">
        <v>2.494383E-2</v>
      </c>
      <c r="AE2921">
        <v>1.7608639999999998E-2</v>
      </c>
      <c r="AF2921">
        <v>3.3563003525769797E-2</v>
      </c>
      <c r="AG2921">
        <v>2.494383E-2</v>
      </c>
      <c r="AH2921">
        <v>3.0067373437840801</v>
      </c>
      <c r="AI2921">
        <v>89.524715926542001</v>
      </c>
      <c r="AJ2921">
        <v>89.360456746223605</v>
      </c>
      <c r="AK2921">
        <v>3.00702812164544</v>
      </c>
      <c r="AL2921">
        <v>92.115135795142606</v>
      </c>
      <c r="AM2921">
        <v>91.663769280947406</v>
      </c>
      <c r="AN2921">
        <v>1.0000000144365599</v>
      </c>
    </row>
    <row r="2922" spans="1:40" x14ac:dyDescent="0.25">
      <c r="A2922" t="str">
        <f>"20190303153827931"</f>
        <v>20190303153827931</v>
      </c>
      <c r="B2922" t="str">
        <f>"1551598707921236"</f>
        <v>1551598707921236</v>
      </c>
      <c r="C2922" t="s">
        <v>40</v>
      </c>
      <c r="D2922">
        <v>4.1836769999999897</v>
      </c>
      <c r="E2922">
        <v>0.515293</v>
      </c>
      <c r="F2922" t="s">
        <v>46</v>
      </c>
      <c r="G2922">
        <v>0</v>
      </c>
      <c r="H2922">
        <v>0</v>
      </c>
      <c r="I2922">
        <v>0</v>
      </c>
      <c r="J2922">
        <v>-405.75040000000001</v>
      </c>
      <c r="K2922">
        <v>1.1208180000000001</v>
      </c>
      <c r="L2922">
        <v>284.03660000000002</v>
      </c>
      <c r="M2922">
        <v>-0.99991850000000004</v>
      </c>
      <c r="N2922">
        <v>-1.1616019999999999E-2</v>
      </c>
      <c r="O2922">
        <v>-5.305606E-3</v>
      </c>
      <c r="P2922">
        <v>-0.99821249999999995</v>
      </c>
      <c r="Q2922">
        <v>-4.8632479999999999E-2</v>
      </c>
      <c r="R2922">
        <v>-3.4737459999999998E-2</v>
      </c>
      <c r="S2922">
        <v>-3.0071409999999998</v>
      </c>
      <c r="T2922">
        <v>2.5912170000000002E-2</v>
      </c>
      <c r="U2922">
        <v>1.6815190000000001E-2</v>
      </c>
      <c r="V2922">
        <v>-2.944198E-2</v>
      </c>
      <c r="W2922">
        <v>-3.7030859999999999E-2</v>
      </c>
      <c r="X2922">
        <v>0.99888030000000005</v>
      </c>
      <c r="Y2922">
        <v>1.089652E-2</v>
      </c>
      <c r="Z2922" s="1">
        <v>-9.1001940000000003E-5</v>
      </c>
      <c r="AA2922">
        <v>0.99994059999999996</v>
      </c>
      <c r="AB2922">
        <v>30</v>
      </c>
      <c r="AC2922">
        <v>-3.0071409999999998</v>
      </c>
      <c r="AD2922">
        <v>2.5912170000000002E-2</v>
      </c>
      <c r="AE2922">
        <v>1.6815190000000001E-2</v>
      </c>
      <c r="AF2922">
        <v>3.2768301445746897E-2</v>
      </c>
      <c r="AG2922">
        <v>2.5912170000000002E-2</v>
      </c>
      <c r="AH2922">
        <v>3.0067861998075198</v>
      </c>
      <c r="AI2922">
        <v>89.506272486118803</v>
      </c>
      <c r="AJ2922">
        <v>89.375608730973994</v>
      </c>
      <c r="AK2922">
        <v>3.0070763963502398</v>
      </c>
      <c r="AL2922">
        <v>92.122197234472296</v>
      </c>
      <c r="AM2922">
        <v>91.688303329912401</v>
      </c>
      <c r="AN2922">
        <v>0.999999984253375</v>
      </c>
    </row>
    <row r="2923" spans="1:40" x14ac:dyDescent="0.25">
      <c r="A2923" t="str">
        <f>"20190303153827944"</f>
        <v>20190303153827944</v>
      </c>
      <c r="B2923" t="str">
        <f>"1551598707930996"</f>
        <v>1551598707930996</v>
      </c>
      <c r="C2923" t="s">
        <v>40</v>
      </c>
      <c r="D2923">
        <v>4.1959080000000002</v>
      </c>
      <c r="E2923">
        <v>0.51526899999999998</v>
      </c>
      <c r="F2923" t="s">
        <v>46</v>
      </c>
      <c r="G2923">
        <v>0</v>
      </c>
      <c r="H2923">
        <v>0</v>
      </c>
      <c r="I2923">
        <v>0</v>
      </c>
      <c r="J2923">
        <v>-405.92680000000001</v>
      </c>
      <c r="K2923">
        <v>1.1208370000000001</v>
      </c>
      <c r="L2923">
        <v>284.03559999999999</v>
      </c>
      <c r="M2923">
        <v>-0.99991870000000005</v>
      </c>
      <c r="N2923">
        <v>-1.160517E-2</v>
      </c>
      <c r="O2923">
        <v>-5.3048260000000003E-3</v>
      </c>
      <c r="P2923">
        <v>-0.99820489999999995</v>
      </c>
      <c r="Q2923">
        <v>-4.833436E-2</v>
      </c>
      <c r="R2923">
        <v>-3.5368549999999999E-2</v>
      </c>
      <c r="S2923">
        <v>-3.0071409999999998</v>
      </c>
      <c r="T2923">
        <v>2.6159640000000001E-2</v>
      </c>
      <c r="U2923">
        <v>1.5472410000000001E-2</v>
      </c>
      <c r="V2923">
        <v>-3.0073869999999999E-2</v>
      </c>
      <c r="W2923">
        <v>-3.6743610000000003E-2</v>
      </c>
      <c r="X2923">
        <v>0.99887210000000004</v>
      </c>
      <c r="Y2923">
        <v>1.044924E-2</v>
      </c>
      <c r="Z2923" s="1">
        <v>-9.252288E-5</v>
      </c>
      <c r="AA2923">
        <v>0.99994539999999998</v>
      </c>
      <c r="AB2923">
        <v>30</v>
      </c>
      <c r="AC2923">
        <v>-3.0071409999999998</v>
      </c>
      <c r="AD2923">
        <v>2.6159640000000001E-2</v>
      </c>
      <c r="AE2923">
        <v>1.5472410000000001E-2</v>
      </c>
      <c r="AF2923">
        <v>3.1423246638435799E-2</v>
      </c>
      <c r="AG2923">
        <v>2.6159640000000001E-2</v>
      </c>
      <c r="AH2923">
        <v>3.0067890632257201</v>
      </c>
      <c r="AI2923">
        <v>89.501555552782307</v>
      </c>
      <c r="AJ2923">
        <v>89.401237056855905</v>
      </c>
      <c r="AK2923">
        <v>3.0070670457986099</v>
      </c>
      <c r="AL2923">
        <v>92.105727776960805</v>
      </c>
      <c r="AM2923">
        <v>91.724530551200601</v>
      </c>
      <c r="AN2923">
        <v>1.0000000013454999</v>
      </c>
    </row>
    <row r="2924" spans="1:40" x14ac:dyDescent="0.25">
      <c r="A2924" t="str">
        <f>"20190303153827958"</f>
        <v>20190303153827958</v>
      </c>
      <c r="B2924" t="str">
        <f>"1551598707951493"</f>
        <v>1551598707951493</v>
      </c>
      <c r="C2924" t="s">
        <v>40</v>
      </c>
      <c r="D2924">
        <v>4.1952040000000004</v>
      </c>
      <c r="E2924">
        <v>0.51521130000000004</v>
      </c>
      <c r="F2924" t="s">
        <v>46</v>
      </c>
      <c r="G2924">
        <v>0</v>
      </c>
      <c r="H2924">
        <v>0</v>
      </c>
      <c r="I2924">
        <v>0</v>
      </c>
      <c r="J2924">
        <v>-406.10340000000002</v>
      </c>
      <c r="K2924">
        <v>1.1208549999999999</v>
      </c>
      <c r="L2924">
        <v>284.03469999999999</v>
      </c>
      <c r="M2924">
        <v>-0.99991839999999999</v>
      </c>
      <c r="N2924">
        <v>-1.1625E-2</v>
      </c>
      <c r="O2924">
        <v>-5.3041049999999999E-3</v>
      </c>
      <c r="P2924">
        <v>-0.99819769999999997</v>
      </c>
      <c r="Q2924">
        <v>-4.8176860000000002E-2</v>
      </c>
      <c r="R2924">
        <v>-3.5785209999999998E-2</v>
      </c>
      <c r="S2924">
        <v>-3.0072019999999999</v>
      </c>
      <c r="T2924">
        <v>2.750754E-2</v>
      </c>
      <c r="U2924">
        <v>1.3153079999999999E-2</v>
      </c>
      <c r="V2924">
        <v>-3.049083E-2</v>
      </c>
      <c r="W2924">
        <v>-3.6566359999999999E-2</v>
      </c>
      <c r="X2924">
        <v>0.99886600000000003</v>
      </c>
      <c r="Y2924">
        <v>9.6771340000000004E-3</v>
      </c>
      <c r="Z2924" s="1">
        <v>-9.8183790000000006E-5</v>
      </c>
      <c r="AA2924">
        <v>0.99995319999999999</v>
      </c>
      <c r="AB2924">
        <v>30</v>
      </c>
      <c r="AC2924">
        <v>-3.0072019999999999</v>
      </c>
      <c r="AD2924">
        <v>2.750754E-2</v>
      </c>
      <c r="AE2924">
        <v>1.3153079999999999E-2</v>
      </c>
      <c r="AF2924">
        <v>2.91020523925479E-2</v>
      </c>
      <c r="AG2924">
        <v>2.750754E-2</v>
      </c>
      <c r="AH2924">
        <v>3.0068383400608099</v>
      </c>
      <c r="AI2924">
        <v>89.475878649070694</v>
      </c>
      <c r="AJ2924">
        <v>89.4454731096682</v>
      </c>
      <c r="AK2924">
        <v>3.00710498610706</v>
      </c>
      <c r="AL2924">
        <v>92.095565194468506</v>
      </c>
      <c r="AM2924">
        <v>91.748436284188799</v>
      </c>
      <c r="AN2924">
        <v>1.0000000376768601</v>
      </c>
    </row>
    <row r="2925" spans="1:40" x14ac:dyDescent="0.25">
      <c r="A2925" t="str">
        <f>"20190303153827971"</f>
        <v>20190303153827971</v>
      </c>
      <c r="B2925" t="str">
        <f>"1551598707961251"</f>
        <v>1551598707961251</v>
      </c>
      <c r="C2925" t="s">
        <v>40</v>
      </c>
      <c r="D2925">
        <v>4.2045899999999996</v>
      </c>
      <c r="E2925">
        <v>0.51517990000000002</v>
      </c>
      <c r="F2925" t="s">
        <v>46</v>
      </c>
      <c r="G2925">
        <v>0</v>
      </c>
      <c r="H2925">
        <v>0</v>
      </c>
      <c r="I2925">
        <v>0</v>
      </c>
      <c r="J2925">
        <v>-406.28960000000001</v>
      </c>
      <c r="K2925">
        <v>1.1208800000000001</v>
      </c>
      <c r="L2925">
        <v>284.03370000000001</v>
      </c>
      <c r="M2925">
        <v>-0.99991779999999997</v>
      </c>
      <c r="N2925">
        <v>-1.167414E-2</v>
      </c>
      <c r="O2925">
        <v>-5.3031959999999996E-3</v>
      </c>
      <c r="P2925">
        <v>-0.99818660000000003</v>
      </c>
      <c r="Q2925">
        <v>-4.8062199999999902E-2</v>
      </c>
      <c r="R2925">
        <v>-3.6243110000000002E-2</v>
      </c>
      <c r="S2925">
        <v>-3.0071720000000002</v>
      </c>
      <c r="T2925">
        <v>2.8701899999999999E-2</v>
      </c>
      <c r="U2925">
        <v>1.141357E-2</v>
      </c>
      <c r="V2925">
        <v>-3.0949689999999998E-2</v>
      </c>
      <c r="W2925">
        <v>-3.640268E-2</v>
      </c>
      <c r="X2925">
        <v>0.99885789999999997</v>
      </c>
      <c r="Y2925">
        <v>9.0977880000000007E-3</v>
      </c>
      <c r="Z2925">
        <v>-1.028335E-4</v>
      </c>
      <c r="AA2925">
        <v>0.99995860000000003</v>
      </c>
      <c r="AB2925">
        <v>30</v>
      </c>
      <c r="AC2925">
        <v>-3.0071720000000002</v>
      </c>
      <c r="AD2925">
        <v>2.8701899999999999E-2</v>
      </c>
      <c r="AE2925">
        <v>1.141357E-2</v>
      </c>
      <c r="AF2925">
        <v>2.7359626351026001E-2</v>
      </c>
      <c r="AG2925">
        <v>2.8701899999999999E-2</v>
      </c>
      <c r="AH2925">
        <v>3.00679526821988</v>
      </c>
      <c r="AI2925">
        <v>89.453112176855697</v>
      </c>
      <c r="AJ2925">
        <v>89.478664918114902</v>
      </c>
      <c r="AK2925">
        <v>3.0070567226454399</v>
      </c>
      <c r="AL2925">
        <v>92.0861807032462</v>
      </c>
      <c r="AM2925">
        <v>91.774746382675701</v>
      </c>
      <c r="AN2925">
        <v>1.00000007140734</v>
      </c>
    </row>
    <row r="2926" spans="1:40" x14ac:dyDescent="0.25">
      <c r="A2926" t="str">
        <f>"20190303153827984"</f>
        <v>20190303153827984</v>
      </c>
      <c r="B2926" t="str">
        <f>"1551598707971013"</f>
        <v>1551598707971013</v>
      </c>
      <c r="C2926" t="s">
        <v>40</v>
      </c>
      <c r="D2926">
        <v>4.2124600000000001</v>
      </c>
      <c r="E2926">
        <v>0.51514839999999995</v>
      </c>
      <c r="F2926" t="s">
        <v>46</v>
      </c>
      <c r="G2926">
        <v>0</v>
      </c>
      <c r="H2926">
        <v>0</v>
      </c>
      <c r="I2926">
        <v>0</v>
      </c>
      <c r="J2926">
        <v>-406.46440000000001</v>
      </c>
      <c r="K2926">
        <v>1.12090499999999</v>
      </c>
      <c r="L2926">
        <v>284.03269999999998</v>
      </c>
      <c r="M2926">
        <v>-0.9999169</v>
      </c>
      <c r="N2926">
        <v>-1.17695E-2</v>
      </c>
      <c r="O2926">
        <v>-5.3026770000000004E-3</v>
      </c>
      <c r="P2926">
        <v>-0.99817659999999997</v>
      </c>
      <c r="Q2926">
        <v>-4.8033649999999997E-2</v>
      </c>
      <c r="R2926">
        <v>-3.6561679999999999E-2</v>
      </c>
      <c r="S2926">
        <v>-3.0071720000000002</v>
      </c>
      <c r="T2926">
        <v>2.9231670000000001E-2</v>
      </c>
      <c r="U2926">
        <v>9.8266599999999992E-3</v>
      </c>
      <c r="V2926">
        <v>-3.1268949999999997E-2</v>
      </c>
      <c r="W2926">
        <v>-3.6278970000000001E-2</v>
      </c>
      <c r="X2926">
        <v>0.99885239999999997</v>
      </c>
      <c r="Y2926">
        <v>8.5695549999999995E-3</v>
      </c>
      <c r="Z2926">
        <v>-1.0517109999999999E-4</v>
      </c>
      <c r="AA2926">
        <v>0.9999633</v>
      </c>
      <c r="AB2926">
        <v>30</v>
      </c>
      <c r="AC2926">
        <v>-3.0071720000000002</v>
      </c>
      <c r="AD2926">
        <v>2.9231670000000001E-2</v>
      </c>
      <c r="AE2926">
        <v>9.8266599999999992E-3</v>
      </c>
      <c r="AF2926">
        <v>2.5771249485796299E-2</v>
      </c>
      <c r="AG2926">
        <v>2.9231670000000001E-2</v>
      </c>
      <c r="AH2926">
        <v>3.0067934921874402</v>
      </c>
      <c r="AI2926">
        <v>89.443015607672194</v>
      </c>
      <c r="AJ2926">
        <v>89.508929470526795</v>
      </c>
      <c r="AK2926">
        <v>3.00704601768776</v>
      </c>
      <c r="AL2926">
        <v>92.079088077308498</v>
      </c>
      <c r="AM2926">
        <v>91.793051668536407</v>
      </c>
      <c r="AN2926">
        <v>1.00000001394206</v>
      </c>
    </row>
    <row r="2927" spans="1:40" x14ac:dyDescent="0.25">
      <c r="A2927" t="str">
        <f>"20190303153828006"</f>
        <v>20190303153828006</v>
      </c>
      <c r="B2927" t="str">
        <f>"1551598708001268"</f>
        <v>1551598708001268</v>
      </c>
      <c r="C2927" t="s">
        <v>40</v>
      </c>
      <c r="D2927">
        <v>4.2133949999999896</v>
      </c>
      <c r="E2927">
        <v>0.51515670000000002</v>
      </c>
      <c r="F2927" t="s">
        <v>46</v>
      </c>
      <c r="G2927">
        <v>0</v>
      </c>
      <c r="H2927">
        <v>0</v>
      </c>
      <c r="I2927">
        <v>0</v>
      </c>
      <c r="J2927">
        <v>-406.74450000000002</v>
      </c>
      <c r="K2927">
        <v>1.120957</v>
      </c>
      <c r="L2927">
        <v>284.03129999999999</v>
      </c>
      <c r="M2927">
        <v>-0.99991450000000004</v>
      </c>
      <c r="N2927">
        <v>-1.1958750000000001E-2</v>
      </c>
      <c r="O2927">
        <v>-5.3021199999999996E-3</v>
      </c>
      <c r="P2927">
        <v>-0.99815319999999996</v>
      </c>
      <c r="Q2927">
        <v>-4.8690459999999998E-2</v>
      </c>
      <c r="R2927">
        <v>-3.6329180000000003E-2</v>
      </c>
      <c r="S2927">
        <v>-3.0072329999999998</v>
      </c>
      <c r="T2927">
        <v>2.9564739999999999E-2</v>
      </c>
      <c r="U2927">
        <v>8.6059569999999991E-3</v>
      </c>
      <c r="V2927">
        <v>-3.1037889999999999E-2</v>
      </c>
      <c r="W2927">
        <v>-3.674699E-2</v>
      </c>
      <c r="X2927">
        <v>0.99884249999999997</v>
      </c>
      <c r="Y2927">
        <v>8.1630069999999999E-3</v>
      </c>
      <c r="Z2927">
        <v>-1.068442E-4</v>
      </c>
      <c r="AA2927">
        <v>0.99996669999999999</v>
      </c>
      <c r="AB2927">
        <v>30</v>
      </c>
      <c r="AC2927">
        <v>-3.0072329999999998</v>
      </c>
      <c r="AD2927">
        <v>2.9564739999999999E-2</v>
      </c>
      <c r="AE2927">
        <v>8.6059569999999991E-3</v>
      </c>
      <c r="AF2927">
        <v>2.4549312724500401E-2</v>
      </c>
      <c r="AG2927">
        <v>2.9564739999999999E-2</v>
      </c>
      <c r="AH2927">
        <v>3.0068544719918102</v>
      </c>
      <c r="AI2927">
        <v>89.436679158878903</v>
      </c>
      <c r="AJ2927">
        <v>89.532221871658095</v>
      </c>
      <c r="AK2927">
        <v>3.0071000246655601</v>
      </c>
      <c r="AL2927">
        <v>92.105921537014297</v>
      </c>
      <c r="AM2927">
        <v>91.779828205216802</v>
      </c>
      <c r="AN2927">
        <v>1.00000001584798</v>
      </c>
    </row>
    <row r="2928" spans="1:40" x14ac:dyDescent="0.25">
      <c r="A2928" t="str">
        <f>"20190303153828019"</f>
        <v>20190303153828019</v>
      </c>
      <c r="B2928" t="str">
        <f>"1551598708011029"</f>
        <v>1551598708011029</v>
      </c>
      <c r="C2928" t="s">
        <v>40</v>
      </c>
      <c r="D2928">
        <v>4.2101129999999998</v>
      </c>
      <c r="E2928">
        <v>0.51513120000000001</v>
      </c>
      <c r="F2928" t="s">
        <v>46</v>
      </c>
      <c r="G2928">
        <v>0</v>
      </c>
      <c r="H2928">
        <v>0</v>
      </c>
      <c r="I2928">
        <v>0</v>
      </c>
      <c r="J2928">
        <v>-406.93560000000002</v>
      </c>
      <c r="K2928">
        <v>1.1209880000000001</v>
      </c>
      <c r="L2928">
        <v>284.03019999999998</v>
      </c>
      <c r="M2928">
        <v>-0.99991269999999999</v>
      </c>
      <c r="N2928">
        <v>-1.209851E-2</v>
      </c>
      <c r="O2928">
        <v>-5.3017610000000003E-3</v>
      </c>
      <c r="P2928">
        <v>-0.99815109999999996</v>
      </c>
      <c r="Q2928">
        <v>-4.8924299999999997E-2</v>
      </c>
      <c r="R2928">
        <v>-3.607059E-2</v>
      </c>
      <c r="S2928">
        <v>-3.007263</v>
      </c>
      <c r="T2928">
        <v>2.887547E-2</v>
      </c>
      <c r="U2928">
        <v>9.3383790000000008E-3</v>
      </c>
      <c r="V2928">
        <v>-3.077916E-2</v>
      </c>
      <c r="W2928">
        <v>-3.6841239999999997E-2</v>
      </c>
      <c r="X2928">
        <v>0.99884700000000004</v>
      </c>
      <c r="Y2928">
        <v>8.4061940000000005E-3</v>
      </c>
      <c r="Z2928">
        <v>-1.045519E-4</v>
      </c>
      <c r="AA2928">
        <v>0.99996470000000004</v>
      </c>
      <c r="AB2928">
        <v>30</v>
      </c>
      <c r="AC2928">
        <v>-3.007263</v>
      </c>
      <c r="AD2928">
        <v>2.887547E-2</v>
      </c>
      <c r="AE2928">
        <v>9.3383790000000008E-3</v>
      </c>
      <c r="AF2928">
        <v>2.52808745159929E-2</v>
      </c>
      <c r="AG2928">
        <v>2.887547E-2</v>
      </c>
      <c r="AH2928">
        <v>3.0068939919670901</v>
      </c>
      <c r="AI2928">
        <v>89.4498198985154</v>
      </c>
      <c r="AJ2928">
        <v>89.518289209037604</v>
      </c>
      <c r="AK2928">
        <v>3.00713890505773</v>
      </c>
      <c r="AL2928">
        <v>92.111325395715099</v>
      </c>
      <c r="AM2928">
        <v>91.764993140541193</v>
      </c>
      <c r="AN2928">
        <v>0.99999998153202097</v>
      </c>
    </row>
    <row r="2929" spans="1:40" x14ac:dyDescent="0.25">
      <c r="A2929" t="str">
        <f>"20190303153828040"</f>
        <v>20190303153828040</v>
      </c>
      <c r="B2929" t="str">
        <f>"1551598708031524"</f>
        <v>1551598708031524</v>
      </c>
      <c r="C2929" t="s">
        <v>40</v>
      </c>
      <c r="D2929">
        <v>4.1702899999999996</v>
      </c>
      <c r="E2929">
        <v>0.51508940000000003</v>
      </c>
      <c r="F2929" t="s">
        <v>46</v>
      </c>
      <c r="G2929">
        <v>0</v>
      </c>
      <c r="H2929">
        <v>0</v>
      </c>
      <c r="I2929">
        <v>0</v>
      </c>
      <c r="J2929">
        <v>-407.20389999999998</v>
      </c>
      <c r="K2929">
        <v>1.1210329999999999</v>
      </c>
      <c r="L2929">
        <v>284.02879999999999</v>
      </c>
      <c r="M2929">
        <v>-0.99991039999999998</v>
      </c>
      <c r="N2929">
        <v>-1.229296E-2</v>
      </c>
      <c r="O2929">
        <v>-5.3017439999999997E-3</v>
      </c>
      <c r="P2929">
        <v>-0.99816660000000001</v>
      </c>
      <c r="Q2929">
        <v>-4.9029400000000001E-2</v>
      </c>
      <c r="R2929">
        <v>-3.5493650000000002E-2</v>
      </c>
      <c r="S2929">
        <v>-3.0073240000000001</v>
      </c>
      <c r="T2929">
        <v>2.8532390000000001E-2</v>
      </c>
      <c r="U2929">
        <v>9.8571779999999994E-3</v>
      </c>
      <c r="V2929">
        <v>-3.0202469999999999E-2</v>
      </c>
      <c r="W2929">
        <v>-3.6751970000000002E-2</v>
      </c>
      <c r="X2929">
        <v>0.99886790000000003</v>
      </c>
      <c r="Y2929">
        <v>8.5786330000000004E-3</v>
      </c>
      <c r="Z2929">
        <v>-1.034371E-4</v>
      </c>
      <c r="AA2929">
        <v>0.99996320000000005</v>
      </c>
      <c r="AB2929">
        <v>30</v>
      </c>
      <c r="AC2929">
        <v>-3.0073240000000001</v>
      </c>
      <c r="AD2929">
        <v>2.8532390000000001E-2</v>
      </c>
      <c r="AE2929">
        <v>9.8571779999999994E-3</v>
      </c>
      <c r="AF2929">
        <v>2.5799983628854901E-2</v>
      </c>
      <c r="AG2929">
        <v>2.8532390000000001E-2</v>
      </c>
      <c r="AH2929">
        <v>3.0069587943693699</v>
      </c>
      <c r="AI2929">
        <v>89.456368905918893</v>
      </c>
      <c r="AJ2929">
        <v>89.508408993486597</v>
      </c>
      <c r="AK2929">
        <v>3.0072048363005899</v>
      </c>
      <c r="AL2929">
        <v>92.106207119283496</v>
      </c>
      <c r="AM2929">
        <v>91.7319076770181</v>
      </c>
      <c r="AN2929">
        <v>0.99999998907169496</v>
      </c>
    </row>
    <row r="2930" spans="1:40" x14ac:dyDescent="0.25">
      <c r="A2930" t="str">
        <f>"20190303153828061"</f>
        <v>20190303153828061</v>
      </c>
      <c r="B2930" t="str">
        <f>"1551598708051044"</f>
        <v>1551598708051044</v>
      </c>
      <c r="C2930" t="s">
        <v>40</v>
      </c>
      <c r="D2930">
        <v>4.2050450000000001</v>
      </c>
      <c r="E2930">
        <v>0.51503149999999998</v>
      </c>
      <c r="F2930" t="s">
        <v>46</v>
      </c>
      <c r="G2930">
        <v>0</v>
      </c>
      <c r="H2930">
        <v>0</v>
      </c>
      <c r="I2930">
        <v>0</v>
      </c>
      <c r="J2930">
        <v>-407.5009</v>
      </c>
      <c r="K2930">
        <v>1.121062</v>
      </c>
      <c r="L2930">
        <v>284.02719999999999</v>
      </c>
      <c r="M2930">
        <v>-0.99990789999999996</v>
      </c>
      <c r="N2930">
        <v>-1.2500030000000001E-2</v>
      </c>
      <c r="O2930">
        <v>-5.3018240000000001E-3</v>
      </c>
      <c r="P2930">
        <v>-0.9981776</v>
      </c>
      <c r="Q2930">
        <v>-4.923524E-2</v>
      </c>
      <c r="R2930">
        <v>-3.4891850000000002E-2</v>
      </c>
      <c r="S2930">
        <v>-3.0073240000000001</v>
      </c>
      <c r="T2930">
        <v>2.8600219999999999E-2</v>
      </c>
      <c r="U2930">
        <v>1.132202E-2</v>
      </c>
      <c r="V2930">
        <v>-2.959995E-2</v>
      </c>
      <c r="W2930">
        <v>-3.675084E-2</v>
      </c>
      <c r="X2930">
        <v>0.99888600000000005</v>
      </c>
      <c r="Y2930">
        <v>9.0657810000000002E-3</v>
      </c>
      <c r="Z2930">
        <v>-1.031361E-4</v>
      </c>
      <c r="AA2930">
        <v>0.99995889999999998</v>
      </c>
      <c r="AB2930">
        <v>30</v>
      </c>
      <c r="AC2930">
        <v>-3.0073240000000001</v>
      </c>
      <c r="AD2930">
        <v>2.8600219999999999E-2</v>
      </c>
      <c r="AE2930">
        <v>1.132202E-2</v>
      </c>
      <c r="AF2930">
        <v>2.72649419550017E-2</v>
      </c>
      <c r="AG2930">
        <v>2.8600219999999999E-2</v>
      </c>
      <c r="AH2930">
        <v>3.0069497383222799</v>
      </c>
      <c r="AI2930">
        <v>89.455077311808694</v>
      </c>
      <c r="AJ2930">
        <v>89.480495708603101</v>
      </c>
      <c r="AK2930">
        <v>3.0072093506173299</v>
      </c>
      <c r="AL2930">
        <v>92.106142284787296</v>
      </c>
      <c r="AM2930">
        <v>91.697346902414196</v>
      </c>
      <c r="AN2930">
        <v>1.00000001113835</v>
      </c>
    </row>
    <row r="2931" spans="1:40" x14ac:dyDescent="0.25">
      <c r="A2931" t="str">
        <f>"20190303153828083"</f>
        <v>20190303153828083</v>
      </c>
      <c r="B2931" t="str">
        <f>"1551598708071539"</f>
        <v>1551598708071539</v>
      </c>
      <c r="C2931" t="s">
        <v>40</v>
      </c>
      <c r="D2931">
        <v>4.2057460000000004</v>
      </c>
      <c r="E2931">
        <v>0.51496049999999904</v>
      </c>
      <c r="F2931" t="s">
        <v>46</v>
      </c>
      <c r="G2931">
        <v>0</v>
      </c>
      <c r="H2931">
        <v>0</v>
      </c>
      <c r="I2931">
        <v>0</v>
      </c>
      <c r="J2931">
        <v>-407.78800000000001</v>
      </c>
      <c r="K2931">
        <v>1.1210869999999999</v>
      </c>
      <c r="L2931">
        <v>284.02569999999997</v>
      </c>
      <c r="M2931">
        <v>-0.9999055</v>
      </c>
      <c r="N2931">
        <v>-1.269035E-2</v>
      </c>
      <c r="O2931">
        <v>-5.3018190000000001E-3</v>
      </c>
      <c r="P2931">
        <v>-0.99820379999999997</v>
      </c>
      <c r="Q2931">
        <v>-4.9208399999999999E-2</v>
      </c>
      <c r="R2931">
        <v>-3.4177140000000002E-2</v>
      </c>
      <c r="S2931">
        <v>-3.0072939999999999</v>
      </c>
      <c r="T2931">
        <v>2.8661490000000001E-2</v>
      </c>
      <c r="U2931">
        <v>1.260376E-2</v>
      </c>
      <c r="V2931">
        <v>-2.888524E-2</v>
      </c>
      <c r="W2931">
        <v>-3.6533629999999997E-2</v>
      </c>
      <c r="X2931">
        <v>0.99891490000000005</v>
      </c>
      <c r="Y2931">
        <v>9.4920019999999994E-3</v>
      </c>
      <c r="Z2931">
        <v>-1.0280990000000001E-4</v>
      </c>
      <c r="AA2931">
        <v>0.99995489999999998</v>
      </c>
      <c r="AB2931">
        <v>30</v>
      </c>
      <c r="AC2931">
        <v>-3.0072939999999999</v>
      </c>
      <c r="AD2931">
        <v>2.8661490000000001E-2</v>
      </c>
      <c r="AE2931">
        <v>1.260376E-2</v>
      </c>
      <c r="AF2931">
        <v>2.8546401089190401E-2</v>
      </c>
      <c r="AG2931">
        <v>2.8661490000000001E-2</v>
      </c>
      <c r="AH2931">
        <v>3.0069117748932599</v>
      </c>
      <c r="AI2931">
        <v>89.453905265267494</v>
      </c>
      <c r="AJ2931">
        <v>89.456073443393294</v>
      </c>
      <c r="AK2931">
        <v>3.0071838653490901</v>
      </c>
      <c r="AL2931">
        <v>92.093688686159496</v>
      </c>
      <c r="AM2931">
        <v>91.656338578314603</v>
      </c>
      <c r="AN2931">
        <v>1.0000000203264201</v>
      </c>
    </row>
    <row r="2932" spans="1:40" x14ac:dyDescent="0.25">
      <c r="A2932" t="str">
        <f>"20190303153828095"</f>
        <v>20190303153828095</v>
      </c>
      <c r="B2932" t="str">
        <f>"1551598708091061"</f>
        <v>1551598708091061</v>
      </c>
      <c r="C2932" t="s">
        <v>40</v>
      </c>
      <c r="D2932">
        <v>4.185918</v>
      </c>
      <c r="E2932">
        <v>0.51497680000000001</v>
      </c>
      <c r="F2932" t="s">
        <v>46</v>
      </c>
      <c r="G2932">
        <v>0</v>
      </c>
      <c r="H2932">
        <v>0</v>
      </c>
      <c r="I2932">
        <v>0</v>
      </c>
      <c r="J2932">
        <v>-407.9529</v>
      </c>
      <c r="K2932">
        <v>1.1210979999999999</v>
      </c>
      <c r="L2932">
        <v>284.02480000000003</v>
      </c>
      <c r="M2932">
        <v>-0.99990409999999996</v>
      </c>
      <c r="N2932">
        <v>-1.279395E-2</v>
      </c>
      <c r="O2932">
        <v>-5.3016390000000004E-3</v>
      </c>
      <c r="P2932">
        <v>-0.99820850000000005</v>
      </c>
      <c r="Q2932">
        <v>-4.9275260000000001E-2</v>
      </c>
      <c r="R2932">
        <v>-3.3941409999999998E-2</v>
      </c>
      <c r="S2932">
        <v>-3.0072939999999999</v>
      </c>
      <c r="T2932">
        <v>2.887928E-2</v>
      </c>
      <c r="U2932">
        <v>1.403809E-2</v>
      </c>
      <c r="V2932">
        <v>-2.864949E-2</v>
      </c>
      <c r="W2932">
        <v>-3.6496969999999997E-2</v>
      </c>
      <c r="X2932">
        <v>0.99892300000000001</v>
      </c>
      <c r="Y2932">
        <v>9.9687349999999994E-3</v>
      </c>
      <c r="Z2932">
        <v>-1.0283E-4</v>
      </c>
      <c r="AA2932">
        <v>0.99995029999999996</v>
      </c>
      <c r="AB2932">
        <v>30</v>
      </c>
      <c r="AC2932">
        <v>-3.0072939999999999</v>
      </c>
      <c r="AD2932">
        <v>2.887928E-2</v>
      </c>
      <c r="AE2932">
        <v>1.403809E-2</v>
      </c>
      <c r="AF2932">
        <v>2.9980020174277901E-2</v>
      </c>
      <c r="AG2932">
        <v>2.887928E-2</v>
      </c>
      <c r="AH2932">
        <v>3.0069000106210599</v>
      </c>
      <c r="AI2932">
        <v>89.449756310876197</v>
      </c>
      <c r="AJ2932">
        <v>89.428756625168404</v>
      </c>
      <c r="AK2932">
        <v>3.00718813649826</v>
      </c>
      <c r="AL2932">
        <v>92.0915868825183</v>
      </c>
      <c r="AM2932">
        <v>91.642814316959701</v>
      </c>
      <c r="AN2932">
        <v>0.99999999101271997</v>
      </c>
    </row>
    <row r="2933" spans="1:40" x14ac:dyDescent="0.25">
      <c r="A2933" t="str">
        <f>"20190303153828106"</f>
        <v>20190303153828106</v>
      </c>
      <c r="B2933" t="str">
        <f>"1551598708101796"</f>
        <v>1551598708101796</v>
      </c>
      <c r="C2933" t="s">
        <v>40</v>
      </c>
      <c r="D2933">
        <v>4.0531230000000003</v>
      </c>
      <c r="E2933">
        <v>0.51507369999999997</v>
      </c>
      <c r="F2933" t="s">
        <v>46</v>
      </c>
      <c r="G2933">
        <v>0</v>
      </c>
      <c r="H2933">
        <v>0</v>
      </c>
      <c r="I2933">
        <v>0</v>
      </c>
      <c r="J2933">
        <v>-408.10660000000001</v>
      </c>
      <c r="K2933">
        <v>1.121105</v>
      </c>
      <c r="L2933">
        <v>284.024</v>
      </c>
      <c r="M2933">
        <v>-0.99990299999999999</v>
      </c>
      <c r="N2933">
        <v>-1.288717E-2</v>
      </c>
      <c r="O2933">
        <v>-5.3019929999999996E-3</v>
      </c>
      <c r="P2933">
        <v>-0.99820889999999995</v>
      </c>
      <c r="Q2933">
        <v>-4.9475289999999998E-2</v>
      </c>
      <c r="R2933">
        <v>-3.3636640000000002E-2</v>
      </c>
      <c r="S2933">
        <v>-3.0073240000000001</v>
      </c>
      <c r="T2933">
        <v>2.880895E-2</v>
      </c>
      <c r="U2933">
        <v>1.5014649999999999E-2</v>
      </c>
      <c r="V2933">
        <v>-2.834453E-2</v>
      </c>
      <c r="W2933">
        <v>-3.6603860000000002E-2</v>
      </c>
      <c r="X2933">
        <v>0.99892780000000003</v>
      </c>
      <c r="Y2933">
        <v>1.0293760000000001E-2</v>
      </c>
      <c r="Z2933">
        <v>-1.020882E-4</v>
      </c>
      <c r="AA2933">
        <v>0.99994700000000003</v>
      </c>
      <c r="AB2933">
        <v>30</v>
      </c>
      <c r="AC2933">
        <v>-3.0073240000000001</v>
      </c>
      <c r="AD2933">
        <v>2.880895E-2</v>
      </c>
      <c r="AE2933">
        <v>1.5014649999999999E-2</v>
      </c>
      <c r="AF2933">
        <v>3.0957731464800801E-2</v>
      </c>
      <c r="AG2933">
        <v>2.880895E-2</v>
      </c>
      <c r="AH2933">
        <v>3.0069261741537701</v>
      </c>
      <c r="AI2933">
        <v>89.4511028262325</v>
      </c>
      <c r="AJ2933">
        <v>89.410133609214199</v>
      </c>
      <c r="AK2933">
        <v>3.0072235290294902</v>
      </c>
      <c r="AL2933">
        <v>92.097715299762498</v>
      </c>
      <c r="AM2933">
        <v>91.625328975519693</v>
      </c>
      <c r="AN2933">
        <v>1.0000000022803299</v>
      </c>
    </row>
    <row r="2934" spans="1:40" x14ac:dyDescent="0.25">
      <c r="A2934" t="str">
        <f>"20190303153828119"</f>
        <v>20190303153828119</v>
      </c>
      <c r="B2934" t="str">
        <f>"1551598708111556"</f>
        <v>1551598708111556</v>
      </c>
      <c r="C2934" t="s">
        <v>40</v>
      </c>
      <c r="D2934">
        <v>4.0777039999999998</v>
      </c>
      <c r="E2934">
        <v>0.51516499999999998</v>
      </c>
      <c r="F2934" t="s">
        <v>46</v>
      </c>
      <c r="G2934">
        <v>0</v>
      </c>
      <c r="H2934">
        <v>0</v>
      </c>
      <c r="I2934">
        <v>0</v>
      </c>
      <c r="J2934">
        <v>-408.26659999999998</v>
      </c>
      <c r="K2934">
        <v>1.121111</v>
      </c>
      <c r="L2934">
        <v>284.02319999999997</v>
      </c>
      <c r="M2934">
        <v>-0.99990190000000001</v>
      </c>
      <c r="N2934">
        <v>-1.2977529999999999E-2</v>
      </c>
      <c r="O2934">
        <v>-5.3019769999999898E-3</v>
      </c>
      <c r="P2934">
        <v>-0.99821289999999996</v>
      </c>
      <c r="Q2934">
        <v>-4.9523780000000003E-2</v>
      </c>
      <c r="R2934">
        <v>-3.3448829999999999E-2</v>
      </c>
      <c r="S2934">
        <v>-3.0073240000000001</v>
      </c>
      <c r="T2934">
        <v>2.8293490000000001E-2</v>
      </c>
      <c r="U2934">
        <v>1.663208E-2</v>
      </c>
      <c r="V2934">
        <v>-2.815691E-2</v>
      </c>
      <c r="W2934">
        <v>-3.6562049999999999E-2</v>
      </c>
      <c r="X2934">
        <v>0.99893460000000001</v>
      </c>
      <c r="Y2934">
        <v>1.083156E-2</v>
      </c>
      <c r="Z2934" s="1">
        <v>-9.9350689999999997E-5</v>
      </c>
      <c r="AA2934">
        <v>0.99994130000000003</v>
      </c>
      <c r="AB2934">
        <v>30</v>
      </c>
      <c r="AC2934">
        <v>-3.0073240000000001</v>
      </c>
      <c r="AD2934">
        <v>2.8293490000000001E-2</v>
      </c>
      <c r="AE2934">
        <v>1.663208E-2</v>
      </c>
      <c r="AF2934">
        <v>3.2575065763488897E-2</v>
      </c>
      <c r="AG2934">
        <v>2.8293490000000001E-2</v>
      </c>
      <c r="AH2934">
        <v>3.0069273854783498</v>
      </c>
      <c r="AI2934">
        <v>89.460926584988599</v>
      </c>
      <c r="AJ2934">
        <v>89.379319638751696</v>
      </c>
      <c r="AK2934">
        <v>3.00723693080967</v>
      </c>
      <c r="AL2934">
        <v>92.095318236610495</v>
      </c>
      <c r="AM2934">
        <v>91.614565218299305</v>
      </c>
      <c r="AN2934">
        <v>0.99999996507905398</v>
      </c>
    </row>
    <row r="2935" spans="1:40" x14ac:dyDescent="0.25">
      <c r="A2935" t="str">
        <f>"20190303153828131"</f>
        <v>20190303153828131</v>
      </c>
      <c r="B2935" t="str">
        <f>"1551598708121316"</f>
        <v>1551598708121316</v>
      </c>
      <c r="C2935" t="s">
        <v>40</v>
      </c>
      <c r="D2935">
        <v>4.0879089999999998</v>
      </c>
      <c r="E2935">
        <v>0.51525010000000004</v>
      </c>
      <c r="F2935" t="s">
        <v>46</v>
      </c>
      <c r="G2935">
        <v>0</v>
      </c>
      <c r="H2935">
        <v>0</v>
      </c>
      <c r="I2935">
        <v>0</v>
      </c>
      <c r="J2935">
        <v>-408.43020000000001</v>
      </c>
      <c r="K2935">
        <v>1.1211180000000001</v>
      </c>
      <c r="L2935">
        <v>284.02229999999997</v>
      </c>
      <c r="M2935">
        <v>-0.99990049999999997</v>
      </c>
      <c r="N2935">
        <v>-1.3066950000000001E-2</v>
      </c>
      <c r="O2935">
        <v>-5.3019570000000004E-3</v>
      </c>
      <c r="P2935">
        <v>-0.99821360000000003</v>
      </c>
      <c r="Q2935">
        <v>-4.9812130000000003E-2</v>
      </c>
      <c r="R2935">
        <v>-3.2988919999999998E-2</v>
      </c>
      <c r="S2935">
        <v>-3.0073850000000002</v>
      </c>
      <c r="T2935">
        <v>2.822995E-2</v>
      </c>
      <c r="U2935">
        <v>1.8066410000000001E-2</v>
      </c>
      <c r="V2935">
        <v>-2.7697039999999999E-2</v>
      </c>
      <c r="W2935">
        <v>-3.676107E-2</v>
      </c>
      <c r="X2935">
        <v>0.99894019999999994</v>
      </c>
      <c r="Y2935">
        <v>1.130833E-2</v>
      </c>
      <c r="Z2935" s="1">
        <v>-9.8233799999999994E-5</v>
      </c>
      <c r="AA2935">
        <v>0.99993600000000005</v>
      </c>
      <c r="AB2935">
        <v>30</v>
      </c>
      <c r="AC2935">
        <v>-3.0073850000000002</v>
      </c>
      <c r="AD2935">
        <v>2.822995E-2</v>
      </c>
      <c r="AE2935">
        <v>1.8066410000000001E-2</v>
      </c>
      <c r="AF2935">
        <v>3.4009547899446498E-2</v>
      </c>
      <c r="AG2935">
        <v>2.822995E-2</v>
      </c>
      <c r="AH2935">
        <v>3.00698198107693</v>
      </c>
      <c r="AI2935">
        <v>89.462149740051601</v>
      </c>
      <c r="AJ2935">
        <v>89.3520012798013</v>
      </c>
      <c r="AK2935">
        <v>3.0073068040934299</v>
      </c>
      <c r="AL2935">
        <v>92.106728813578101</v>
      </c>
      <c r="AM2935">
        <v>91.588200207464496</v>
      </c>
      <c r="AN2935">
        <v>1.0000000127341699</v>
      </c>
    </row>
    <row r="2936" spans="1:40" x14ac:dyDescent="0.25">
      <c r="A2936" t="str">
        <f>"20190303153828143"</f>
        <v>20190303153828143</v>
      </c>
      <c r="B2936" t="str">
        <f>"1551598708131076"</f>
        <v>1551598708131076</v>
      </c>
      <c r="C2936" t="s">
        <v>40</v>
      </c>
      <c r="D2936">
        <v>4.0932779999999998</v>
      </c>
      <c r="E2936">
        <v>0.51532270000000002</v>
      </c>
      <c r="F2936" t="s">
        <v>46</v>
      </c>
      <c r="G2936">
        <v>0</v>
      </c>
      <c r="H2936">
        <v>0</v>
      </c>
      <c r="I2936">
        <v>0</v>
      </c>
      <c r="J2936">
        <v>-408.59879999999998</v>
      </c>
      <c r="K2936">
        <v>1.1211249999999999</v>
      </c>
      <c r="L2936">
        <v>284.0215</v>
      </c>
      <c r="M2936">
        <v>-0.9998996</v>
      </c>
      <c r="N2936">
        <v>-1.315177E-2</v>
      </c>
      <c r="O2936">
        <v>-5.3021500000000003E-3</v>
      </c>
      <c r="P2936">
        <v>-0.99820529999999996</v>
      </c>
      <c r="Q2936">
        <v>-4.9976260000000002E-2</v>
      </c>
      <c r="R2936">
        <v>-3.300165E-2</v>
      </c>
      <c r="S2936">
        <v>-3.0074160000000001</v>
      </c>
      <c r="T2936">
        <v>2.728438E-2</v>
      </c>
      <c r="U2936">
        <v>2.0202640000000001E-2</v>
      </c>
      <c r="V2936">
        <v>-2.7709350000000001E-2</v>
      </c>
      <c r="W2936">
        <v>-3.6840570000000003E-2</v>
      </c>
      <c r="X2936">
        <v>0.99893690000000002</v>
      </c>
      <c r="Y2936">
        <v>1.201877E-2</v>
      </c>
      <c r="Z2936" s="1">
        <v>-9.331292E-5</v>
      </c>
      <c r="AA2936">
        <v>0.99992780000000003</v>
      </c>
      <c r="AB2936">
        <v>30</v>
      </c>
      <c r="AC2936">
        <v>-3.0074160000000001</v>
      </c>
      <c r="AD2936">
        <v>2.728438E-2</v>
      </c>
      <c r="AE2936">
        <v>2.0202640000000001E-2</v>
      </c>
      <c r="AF2936">
        <v>3.6146528622087302E-2</v>
      </c>
      <c r="AG2936">
        <v>2.728438E-2</v>
      </c>
      <c r="AH2936">
        <v>3.007019102233</v>
      </c>
      <c r="AI2936">
        <v>89.480174902578796</v>
      </c>
      <c r="AJ2936">
        <v>89.3112967631115</v>
      </c>
      <c r="AK2936">
        <v>3.0073601197923701</v>
      </c>
      <c r="AL2936">
        <v>92.111286978514698</v>
      </c>
      <c r="AM2936">
        <v>91.588910970460006</v>
      </c>
      <c r="AN2936">
        <v>0.99999998292847803</v>
      </c>
    </row>
    <row r="2937" spans="1:40" x14ac:dyDescent="0.25">
      <c r="A2937" t="str">
        <f>"20190303153828155"</f>
        <v>20190303153828155</v>
      </c>
      <c r="B2937" t="str">
        <f>"1551598708151572"</f>
        <v>1551598708151572</v>
      </c>
      <c r="C2937" t="s">
        <v>40</v>
      </c>
      <c r="D2937">
        <v>4.0647129999999896</v>
      </c>
      <c r="E2937">
        <v>0.51548090000000002</v>
      </c>
      <c r="F2937" t="s">
        <v>46</v>
      </c>
      <c r="G2937">
        <v>0</v>
      </c>
      <c r="H2937">
        <v>0</v>
      </c>
      <c r="I2937">
        <v>0</v>
      </c>
      <c r="J2937">
        <v>-408.7559</v>
      </c>
      <c r="K2937">
        <v>1.121127</v>
      </c>
      <c r="L2937">
        <v>284.0206</v>
      </c>
      <c r="M2937">
        <v>-0.99989859999999997</v>
      </c>
      <c r="N2937">
        <v>-1.322651E-2</v>
      </c>
      <c r="O2937">
        <v>-5.3023999999999996E-3</v>
      </c>
      <c r="P2937">
        <v>-0.99822069999999996</v>
      </c>
      <c r="Q2937">
        <v>-4.9648360000000002E-2</v>
      </c>
      <c r="R2937">
        <v>-3.3027519999999998E-2</v>
      </c>
      <c r="S2937">
        <v>-3.0074160000000001</v>
      </c>
      <c r="T2937">
        <v>2.68662E-2</v>
      </c>
      <c r="U2937">
        <v>2.0599369999999999E-2</v>
      </c>
      <c r="V2937">
        <v>-2.7734999999999999E-2</v>
      </c>
      <c r="W2937">
        <v>-3.6437820000000003E-2</v>
      </c>
      <c r="X2937">
        <v>0.99895100000000003</v>
      </c>
      <c r="Y2937">
        <v>1.2150940000000001E-2</v>
      </c>
      <c r="Z2937" s="1">
        <v>-9.1408940000000001E-5</v>
      </c>
      <c r="AA2937">
        <v>0.99992610000000004</v>
      </c>
      <c r="AB2937">
        <v>30</v>
      </c>
      <c r="AC2937">
        <v>-3.0074160000000001</v>
      </c>
      <c r="AD2937">
        <v>2.68662E-2</v>
      </c>
      <c r="AE2937">
        <v>2.0599369999999999E-2</v>
      </c>
      <c r="AF2937">
        <v>3.65440796392471E-2</v>
      </c>
      <c r="AG2937">
        <v>2.68662E-2</v>
      </c>
      <c r="AH2937">
        <v>3.0070245174787802</v>
      </c>
      <c r="AI2937">
        <v>89.488143427467406</v>
      </c>
      <c r="AJ2937">
        <v>89.303724181327496</v>
      </c>
      <c r="AK2937">
        <v>3.00736657412721</v>
      </c>
      <c r="AL2937">
        <v>92.088195515233807</v>
      </c>
      <c r="AM2937">
        <v>91.590358602664196</v>
      </c>
      <c r="AN2937">
        <v>1.0000000226761701</v>
      </c>
    </row>
    <row r="2938" spans="1:40" x14ac:dyDescent="0.25">
      <c r="A2938" t="str">
        <f>"20190303153828172"</f>
        <v>20190303153828172</v>
      </c>
      <c r="B2938" t="str">
        <f>"1551598708161332"</f>
        <v>1551598708161332</v>
      </c>
      <c r="C2938" t="s">
        <v>40</v>
      </c>
      <c r="D2938">
        <v>4.0902690000000002</v>
      </c>
      <c r="E2938">
        <v>0.51555439999999997</v>
      </c>
      <c r="F2938" t="s">
        <v>46</v>
      </c>
      <c r="G2938">
        <v>0</v>
      </c>
      <c r="H2938">
        <v>0</v>
      </c>
      <c r="I2938">
        <v>0</v>
      </c>
      <c r="J2938">
        <v>-408.97820000000002</v>
      </c>
      <c r="K2938">
        <v>1.1211340000000001</v>
      </c>
      <c r="L2938">
        <v>284.01940000000002</v>
      </c>
      <c r="M2938">
        <v>-0.99989720000000004</v>
      </c>
      <c r="N2938">
        <v>-1.3325160000000001E-2</v>
      </c>
      <c r="O2938">
        <v>-5.3025719999999898E-3</v>
      </c>
      <c r="P2938">
        <v>-0.99816899999999997</v>
      </c>
      <c r="Q2938">
        <v>-5.0317439999999998E-2</v>
      </c>
      <c r="R2938">
        <v>-3.35675E-2</v>
      </c>
      <c r="S2938">
        <v>-3.0074770000000002</v>
      </c>
      <c r="T2938">
        <v>2.7800559999999998E-2</v>
      </c>
      <c r="U2938">
        <v>2.182007E-2</v>
      </c>
      <c r="V2938">
        <v>-2.8275040000000001E-2</v>
      </c>
      <c r="W2938">
        <v>-3.7008909999999999E-2</v>
      </c>
      <c r="X2938">
        <v>0.99891479999999999</v>
      </c>
      <c r="Y2938">
        <v>1.255677E-2</v>
      </c>
      <c r="Z2938" s="1">
        <v>-9.4040159999999999E-5</v>
      </c>
      <c r="AA2938">
        <v>0.99992110000000001</v>
      </c>
      <c r="AB2938">
        <v>30</v>
      </c>
      <c r="AC2938">
        <v>-3.0074770000000002</v>
      </c>
      <c r="AD2938">
        <v>2.7800559999999998E-2</v>
      </c>
      <c r="AE2938">
        <v>2.182007E-2</v>
      </c>
      <c r="AF2938">
        <v>3.7765315003830499E-2</v>
      </c>
      <c r="AG2938">
        <v>2.7800559999999998E-2</v>
      </c>
      <c r="AH2938">
        <v>3.0070620641719299</v>
      </c>
      <c r="AI2938">
        <v>89.470352206928197</v>
      </c>
      <c r="AJ2938">
        <v>89.280467325039993</v>
      </c>
      <c r="AK2938">
        <v>3.0074276962107702</v>
      </c>
      <c r="AL2938">
        <v>92.120938786228393</v>
      </c>
      <c r="AM2938">
        <v>91.621367506065795</v>
      </c>
      <c r="AN2938">
        <v>0.99999995748271298</v>
      </c>
    </row>
    <row r="2939" spans="1:40" x14ac:dyDescent="0.25">
      <c r="A2939" t="str">
        <f>"20190303153828184"</f>
        <v>20190303153828184</v>
      </c>
      <c r="B2939" t="str">
        <f>"1551598708181828"</f>
        <v>1551598708181828</v>
      </c>
      <c r="C2939" t="s">
        <v>40</v>
      </c>
      <c r="D2939">
        <v>4.0503519999999904</v>
      </c>
      <c r="E2939">
        <v>0.51566859999999903</v>
      </c>
      <c r="F2939" t="s">
        <v>46</v>
      </c>
      <c r="G2939">
        <v>0</v>
      </c>
      <c r="H2939">
        <v>0</v>
      </c>
      <c r="I2939">
        <v>0</v>
      </c>
      <c r="J2939">
        <v>-409.14069999999998</v>
      </c>
      <c r="K2939">
        <v>1.121135</v>
      </c>
      <c r="L2939">
        <v>284.01859999999999</v>
      </c>
      <c r="M2939">
        <v>-0.99989629999999996</v>
      </c>
      <c r="N2939">
        <v>-1.3390799999999901E-2</v>
      </c>
      <c r="O2939">
        <v>-5.3026490000000004E-3</v>
      </c>
      <c r="P2939">
        <v>-0.99815140000000002</v>
      </c>
      <c r="Q2939">
        <v>-5.0343249999999999E-2</v>
      </c>
      <c r="R2939">
        <v>-3.4050589999999999E-2</v>
      </c>
      <c r="S2939">
        <v>-3.0075379999999998</v>
      </c>
      <c r="T2939">
        <v>2.59583E-2</v>
      </c>
      <c r="U2939">
        <v>2.0416259999999999E-2</v>
      </c>
      <c r="V2939">
        <v>-2.875807E-2</v>
      </c>
      <c r="W2939">
        <v>-3.6969309999999998E-2</v>
      </c>
      <c r="X2939">
        <v>0.99890250000000003</v>
      </c>
      <c r="Y2939">
        <v>1.209008E-2</v>
      </c>
      <c r="Z2939" s="1">
        <v>-8.7993919999999898E-5</v>
      </c>
      <c r="AA2939">
        <v>0.99992689999999995</v>
      </c>
      <c r="AB2939">
        <v>30</v>
      </c>
      <c r="AC2939">
        <v>-3.0075379999999998</v>
      </c>
      <c r="AD2939">
        <v>2.59583E-2</v>
      </c>
      <c r="AE2939">
        <v>2.0416259999999999E-2</v>
      </c>
      <c r="AF2939">
        <v>3.6362612247279998E-2</v>
      </c>
      <c r="AG2939">
        <v>2.59583E-2</v>
      </c>
      <c r="AH2939">
        <v>3.00716342912053</v>
      </c>
      <c r="AI2939">
        <v>89.505462401851602</v>
      </c>
      <c r="AJ2939">
        <v>89.307213349638104</v>
      </c>
      <c r="AK2939">
        <v>3.0074952971448399</v>
      </c>
      <c r="AL2939">
        <v>92.118668270746298</v>
      </c>
      <c r="AM2939">
        <v>91.649070885814098</v>
      </c>
      <c r="AN2939">
        <v>0.99999998048912497</v>
      </c>
    </row>
    <row r="2940" spans="1:40" x14ac:dyDescent="0.25">
      <c r="A2940" t="str">
        <f>"20190303153828197"</f>
        <v>20190303153828197</v>
      </c>
      <c r="B2940" t="str">
        <f>"1551598708191589"</f>
        <v>1551598708191589</v>
      </c>
      <c r="C2940" t="s">
        <v>40</v>
      </c>
      <c r="D2940">
        <v>4.0891099999999998</v>
      </c>
      <c r="E2940">
        <v>0.5157176</v>
      </c>
      <c r="F2940" t="s">
        <v>46</v>
      </c>
      <c r="G2940">
        <v>0</v>
      </c>
      <c r="H2940">
        <v>0</v>
      </c>
      <c r="I2940">
        <v>0</v>
      </c>
      <c r="J2940">
        <v>-409.30259999999998</v>
      </c>
      <c r="K2940">
        <v>1.1211359999999999</v>
      </c>
      <c r="L2940">
        <v>284.01769999999999</v>
      </c>
      <c r="M2940">
        <v>-0.99989550000000005</v>
      </c>
      <c r="N2940">
        <v>-1.3451899999999999E-2</v>
      </c>
      <c r="O2940">
        <v>-5.3029359999999899E-3</v>
      </c>
      <c r="P2940">
        <v>-0.99813260000000004</v>
      </c>
      <c r="Q2940">
        <v>-5.0345109999999998E-2</v>
      </c>
      <c r="R2940">
        <v>-3.4596380000000003E-2</v>
      </c>
      <c r="S2940">
        <v>-3.0075379999999998</v>
      </c>
      <c r="T2940">
        <v>2.588058E-2</v>
      </c>
      <c r="U2940">
        <v>1.9836429999999999E-2</v>
      </c>
      <c r="V2940">
        <v>-2.9303510000000001E-2</v>
      </c>
      <c r="W2940">
        <v>-3.6910329999999998E-2</v>
      </c>
      <c r="X2940">
        <v>0.99888889999999997</v>
      </c>
      <c r="Y2940">
        <v>1.189759E-2</v>
      </c>
      <c r="Z2940" s="1">
        <v>-8.8128330000000003E-5</v>
      </c>
      <c r="AA2940">
        <v>0.99992919999999996</v>
      </c>
      <c r="AB2940">
        <v>30</v>
      </c>
      <c r="AC2940">
        <v>-3.0075379999999998</v>
      </c>
      <c r="AD2940">
        <v>2.588058E-2</v>
      </c>
      <c r="AE2940">
        <v>1.9836429999999999E-2</v>
      </c>
      <c r="AF2940">
        <v>3.5783725401248599E-2</v>
      </c>
      <c r="AG2940">
        <v>2.588058E-2</v>
      </c>
      <c r="AH2940">
        <v>3.0071678320854298</v>
      </c>
      <c r="AI2940">
        <v>89.506942573824006</v>
      </c>
      <c r="AJ2940">
        <v>89.3182423486125</v>
      </c>
      <c r="AK2940">
        <v>3.00749208639925</v>
      </c>
      <c r="AL2940">
        <v>92.115286507664393</v>
      </c>
      <c r="AM2940">
        <v>91.680353093036004</v>
      </c>
      <c r="AN2940">
        <v>1.00000005135111</v>
      </c>
    </row>
    <row r="2941" spans="1:40" x14ac:dyDescent="0.25">
      <c r="A2941" t="str">
        <f>"20190303153828217"</f>
        <v>20190303153828217</v>
      </c>
      <c r="B2941" t="str">
        <f>"1551598708211108"</f>
        <v>1551598708211108</v>
      </c>
      <c r="C2941" t="s">
        <v>40</v>
      </c>
      <c r="D2941">
        <v>4.0573750000000004</v>
      </c>
      <c r="E2941">
        <v>0.51582850000000002</v>
      </c>
      <c r="F2941" t="s">
        <v>46</v>
      </c>
      <c r="G2941">
        <v>0</v>
      </c>
      <c r="H2941">
        <v>0</v>
      </c>
      <c r="I2941">
        <v>0</v>
      </c>
      <c r="J2941">
        <v>-409.5797</v>
      </c>
      <c r="K2941">
        <v>1.1211279999999999</v>
      </c>
      <c r="L2941">
        <v>284.0163</v>
      </c>
      <c r="M2941">
        <v>-0.99989430000000001</v>
      </c>
      <c r="N2941">
        <v>-1.3547200000000001E-2</v>
      </c>
      <c r="O2941">
        <v>-5.3030969999999997E-3</v>
      </c>
      <c r="P2941">
        <v>-0.9980772</v>
      </c>
      <c r="Q2941">
        <v>-5.0929429999999998E-2</v>
      </c>
      <c r="R2941">
        <v>-3.5330750000000001E-2</v>
      </c>
      <c r="S2941">
        <v>-3.007568</v>
      </c>
      <c r="T2941">
        <v>2.5762319999999998E-2</v>
      </c>
      <c r="U2941">
        <v>1.876831E-2</v>
      </c>
      <c r="V2941">
        <v>-3.0038369999999998E-2</v>
      </c>
      <c r="W2941">
        <v>-3.7400059999999999E-2</v>
      </c>
      <c r="X2941">
        <v>0.99884879999999998</v>
      </c>
      <c r="Y2941">
        <v>1.154258E-2</v>
      </c>
      <c r="Z2941" s="1">
        <v>-8.8511659999999999E-5</v>
      </c>
      <c r="AA2941">
        <v>0.99993339999999997</v>
      </c>
      <c r="AB2941">
        <v>30</v>
      </c>
      <c r="AC2941">
        <v>-3.007568</v>
      </c>
      <c r="AD2941">
        <v>2.5762319999999998E-2</v>
      </c>
      <c r="AE2941">
        <v>1.876831E-2</v>
      </c>
      <c r="AF2941">
        <v>3.4716385410966999E-2</v>
      </c>
      <c r="AG2941">
        <v>2.5762319999999998E-2</v>
      </c>
      <c r="AH2941">
        <v>3.00720552148967</v>
      </c>
      <c r="AI2941">
        <v>89.509199572853205</v>
      </c>
      <c r="AJ2941">
        <v>89.338583947063299</v>
      </c>
      <c r="AK2941">
        <v>3.0075162465106899</v>
      </c>
      <c r="AL2941">
        <v>92.143365474012001</v>
      </c>
      <c r="AM2941">
        <v>91.722536252516207</v>
      </c>
      <c r="AN2941">
        <v>0.99999999671085005</v>
      </c>
    </row>
    <row r="2942" spans="1:40" x14ac:dyDescent="0.25">
      <c r="A2942" t="str">
        <f>"20190303153828230"</f>
        <v>20190303153828230</v>
      </c>
      <c r="B2942" t="str">
        <f>"1551598708221844"</f>
        <v>1551598708221844</v>
      </c>
      <c r="C2942" t="s">
        <v>40</v>
      </c>
      <c r="D2942">
        <v>4.0349640000000004</v>
      </c>
      <c r="E2942">
        <v>0.51588239999999996</v>
      </c>
      <c r="F2942" t="s">
        <v>46</v>
      </c>
      <c r="G2942">
        <v>0</v>
      </c>
      <c r="H2942">
        <v>0</v>
      </c>
      <c r="I2942">
        <v>0</v>
      </c>
      <c r="J2942">
        <v>-409.74400000000003</v>
      </c>
      <c r="K2942">
        <v>1.1211279999999999</v>
      </c>
      <c r="L2942">
        <v>284.0154</v>
      </c>
      <c r="M2942">
        <v>-0.99989349999999999</v>
      </c>
      <c r="N2942">
        <v>-1.359922E-2</v>
      </c>
      <c r="O2942">
        <v>-5.3032089999999997E-3</v>
      </c>
      <c r="P2942">
        <v>-0.99806360000000005</v>
      </c>
      <c r="Q2942">
        <v>-5.1163350000000003E-2</v>
      </c>
      <c r="R2942">
        <v>-3.5376900000000003E-2</v>
      </c>
      <c r="S2942">
        <v>-3.00766</v>
      </c>
      <c r="T2942">
        <v>2.3710249999999999E-2</v>
      </c>
      <c r="U2942">
        <v>1.8035889999999999E-2</v>
      </c>
      <c r="V2942">
        <v>-3.0084369999999999E-2</v>
      </c>
      <c r="W2942">
        <v>-3.7582169999999998E-2</v>
      </c>
      <c r="X2942">
        <v>0.99884059999999997</v>
      </c>
      <c r="Y2942">
        <v>1.1299099999999999E-2</v>
      </c>
      <c r="Z2942" s="1">
        <v>-8.1627949999999995E-5</v>
      </c>
      <c r="AA2942">
        <v>0.99993620000000005</v>
      </c>
      <c r="AB2942">
        <v>30</v>
      </c>
      <c r="AC2942">
        <v>-3.00766</v>
      </c>
      <c r="AD2942">
        <v>2.3710249999999999E-2</v>
      </c>
      <c r="AE2942">
        <v>1.8035889999999999E-2</v>
      </c>
      <c r="AF2942">
        <v>3.3985248455185697E-2</v>
      </c>
      <c r="AG2942">
        <v>2.3710249999999999E-2</v>
      </c>
      <c r="AH2942">
        <v>3.00733515337155</v>
      </c>
      <c r="AI2942">
        <v>89.548310278551</v>
      </c>
      <c r="AJ2942">
        <v>89.352540266410898</v>
      </c>
      <c r="AK2942">
        <v>3.0076206372765601</v>
      </c>
      <c r="AL2942">
        <v>92.153806906559296</v>
      </c>
      <c r="AM2942">
        <v>91.725186662414202</v>
      </c>
      <c r="AN2942">
        <v>1.0000000165142799</v>
      </c>
    </row>
    <row r="2943" spans="1:40" x14ac:dyDescent="0.25">
      <c r="A2943" t="str">
        <f>"20190303153828246"</f>
        <v>20190303153828246</v>
      </c>
      <c r="B2943" t="str">
        <f>"1551598708241364"</f>
        <v>1551598708241364</v>
      </c>
      <c r="C2943" t="s">
        <v>40</v>
      </c>
      <c r="D2943">
        <v>4.0903830000000001</v>
      </c>
      <c r="E2943">
        <v>0.51601709999999901</v>
      </c>
      <c r="F2943" t="s">
        <v>46</v>
      </c>
      <c r="G2943">
        <v>0</v>
      </c>
      <c r="H2943">
        <v>0</v>
      </c>
      <c r="I2943">
        <v>0</v>
      </c>
      <c r="J2943">
        <v>-409.95350000000002</v>
      </c>
      <c r="K2943">
        <v>1.121129</v>
      </c>
      <c r="L2943">
        <v>284.01429999999999</v>
      </c>
      <c r="M2943">
        <v>-0.99989269999999997</v>
      </c>
      <c r="N2943">
        <v>-1.365825E-2</v>
      </c>
      <c r="O2943">
        <v>-5.3032510000000001E-3</v>
      </c>
      <c r="P2943">
        <v>-0.99804459999999995</v>
      </c>
      <c r="Q2943">
        <v>-5.1464589999999998E-2</v>
      </c>
      <c r="R2943">
        <v>-3.547264E-2</v>
      </c>
      <c r="S2943">
        <v>-3.0076290000000001</v>
      </c>
      <c r="T2943">
        <v>2.29404E-2</v>
      </c>
      <c r="U2943">
        <v>1.8096919999999999E-2</v>
      </c>
      <c r="V2943">
        <v>-3.01803E-2</v>
      </c>
      <c r="W2943">
        <v>-3.7824669999999998E-2</v>
      </c>
      <c r="X2943">
        <v>0.99882850000000001</v>
      </c>
      <c r="Y2943">
        <v>1.131952E-2</v>
      </c>
      <c r="Z2943" s="1">
        <v>-7.8744399999999896E-5</v>
      </c>
      <c r="AA2943">
        <v>0.99993589999999999</v>
      </c>
      <c r="AB2943">
        <v>30</v>
      </c>
      <c r="AC2943">
        <v>-3.0076290000000001</v>
      </c>
      <c r="AD2943">
        <v>2.29404E-2</v>
      </c>
      <c r="AE2943">
        <v>1.8096919999999999E-2</v>
      </c>
      <c r="AF2943">
        <v>3.4046383593283602E-2</v>
      </c>
      <c r="AG2943">
        <v>2.29404E-2</v>
      </c>
      <c r="AH2943">
        <v>3.0073157652387299</v>
      </c>
      <c r="AI2943">
        <v>89.562972933254599</v>
      </c>
      <c r="AJ2943">
        <v>89.351371486825499</v>
      </c>
      <c r="AK2943">
        <v>3.0075959718754302</v>
      </c>
      <c r="AL2943">
        <v>92.1677111323514</v>
      </c>
      <c r="AM2943">
        <v>91.730705376206799</v>
      </c>
      <c r="AN2943">
        <v>0.999999964290473</v>
      </c>
    </row>
    <row r="2944" spans="1:40" x14ac:dyDescent="0.25">
      <c r="A2944" t="str">
        <f>"20190303153828262"</f>
        <v>20190303153828262</v>
      </c>
      <c r="B2944" t="str">
        <f>"1551598708251124"</f>
        <v>1551598708251124</v>
      </c>
      <c r="C2944" t="s">
        <v>40</v>
      </c>
      <c r="D2944">
        <v>4.033652</v>
      </c>
      <c r="E2944">
        <v>0.51606850000000004</v>
      </c>
      <c r="F2944" t="s">
        <v>46</v>
      </c>
      <c r="G2944">
        <v>0</v>
      </c>
      <c r="H2944">
        <v>0</v>
      </c>
      <c r="I2944">
        <v>0</v>
      </c>
      <c r="J2944">
        <v>-410.1703</v>
      </c>
      <c r="K2944">
        <v>1.121127</v>
      </c>
      <c r="L2944">
        <v>284.01310000000001</v>
      </c>
      <c r="M2944">
        <v>-0.99989189999999994</v>
      </c>
      <c r="N2944">
        <v>-1.3713680000000001E-2</v>
      </c>
      <c r="O2944">
        <v>-5.303388E-3</v>
      </c>
      <c r="P2944">
        <v>-0.99802539999999995</v>
      </c>
      <c r="Q2944">
        <v>-5.1681499999999998E-2</v>
      </c>
      <c r="R2944">
        <v>-3.5699639999999998E-2</v>
      </c>
      <c r="S2944">
        <v>-3.0077210000000001</v>
      </c>
      <c r="T2944">
        <v>2.2732260000000001E-2</v>
      </c>
      <c r="U2944">
        <v>1.876831E-2</v>
      </c>
      <c r="V2944">
        <v>-3.0407300000000002E-2</v>
      </c>
      <c r="W2944">
        <v>-3.798642E-2</v>
      </c>
      <c r="X2944">
        <v>0.99881549999999997</v>
      </c>
      <c r="Y2944">
        <v>1.154269E-2</v>
      </c>
      <c r="Z2944" s="1">
        <v>-7.7279269999999995E-5</v>
      </c>
      <c r="AA2944">
        <v>0.99993339999999997</v>
      </c>
      <c r="AB2944">
        <v>30</v>
      </c>
      <c r="AC2944">
        <v>-3.0077210000000001</v>
      </c>
      <c r="AD2944">
        <v>2.2732260000000001E-2</v>
      </c>
      <c r="AE2944">
        <v>1.876831E-2</v>
      </c>
      <c r="AF2944">
        <v>3.4718674429249703E-2</v>
      </c>
      <c r="AG2944">
        <v>2.2732260000000001E-2</v>
      </c>
      <c r="AH2944">
        <v>3.0074073641931598</v>
      </c>
      <c r="AI2944">
        <v>89.566952255950497</v>
      </c>
      <c r="AJ2944">
        <v>89.338584730639795</v>
      </c>
      <c r="AK2944">
        <v>3.0076936672809702</v>
      </c>
      <c r="AL2944">
        <v>92.176985339599298</v>
      </c>
      <c r="AM2944">
        <v>91.743737486868298</v>
      </c>
      <c r="AN2944">
        <v>0.99999998751897801</v>
      </c>
    </row>
    <row r="2945" spans="1:40" x14ac:dyDescent="0.25">
      <c r="A2945" t="str">
        <f>"20190303153828285"</f>
        <v>20190303153828285</v>
      </c>
      <c r="B2945" t="str">
        <f>"1551598708281381"</f>
        <v>1551598708281381</v>
      </c>
      <c r="C2945" t="s">
        <v>40</v>
      </c>
      <c r="D2945">
        <v>4.097372</v>
      </c>
      <c r="E2945">
        <v>0.51625859999999901</v>
      </c>
      <c r="F2945" t="s">
        <v>46</v>
      </c>
      <c r="G2945">
        <v>0</v>
      </c>
      <c r="H2945">
        <v>0</v>
      </c>
      <c r="I2945">
        <v>0</v>
      </c>
      <c r="J2945">
        <v>-410.46699999999998</v>
      </c>
      <c r="K2945">
        <v>1.1211249999999999</v>
      </c>
      <c r="L2945">
        <v>284.01159999999999</v>
      </c>
      <c r="M2945">
        <v>-0.99989090000000003</v>
      </c>
      <c r="N2945">
        <v>-1.3781130000000001E-2</v>
      </c>
      <c r="O2945">
        <v>-5.3034909999999996E-3</v>
      </c>
      <c r="P2945">
        <v>-0.99803030000000004</v>
      </c>
      <c r="Q2945">
        <v>-5.171183E-2</v>
      </c>
      <c r="R2945">
        <v>-3.5518699999999903E-2</v>
      </c>
      <c r="S2945">
        <v>-3.0077509999999998</v>
      </c>
      <c r="T2945">
        <v>2.2299409999999999E-2</v>
      </c>
      <c r="U2945">
        <v>1.8341059999999999E-2</v>
      </c>
      <c r="V2945">
        <v>-3.022588E-2</v>
      </c>
      <c r="W2945">
        <v>-3.7949330000000003E-2</v>
      </c>
      <c r="X2945">
        <v>0.99882249999999995</v>
      </c>
      <c r="Y2945">
        <v>1.140071E-2</v>
      </c>
      <c r="Z2945" s="1">
        <v>-7.6107589999999995E-5</v>
      </c>
      <c r="AA2945">
        <v>0.99993500000000002</v>
      </c>
      <c r="AB2945">
        <v>30</v>
      </c>
      <c r="AC2945">
        <v>-3.0077509999999998</v>
      </c>
      <c r="AD2945">
        <v>2.2299409999999999E-2</v>
      </c>
      <c r="AE2945">
        <v>1.8341059999999999E-2</v>
      </c>
      <c r="AF2945">
        <v>3.4292013608506998E-2</v>
      </c>
      <c r="AG2945">
        <v>2.2299409999999999E-2</v>
      </c>
      <c r="AH2945">
        <v>3.0074461067329699</v>
      </c>
      <c r="AI2945">
        <v>89.575202489031497</v>
      </c>
      <c r="AJ2945">
        <v>89.346720626840195</v>
      </c>
      <c r="AK2945">
        <v>3.0077242710705598</v>
      </c>
      <c r="AL2945">
        <v>92.174858524103001</v>
      </c>
      <c r="AM2945">
        <v>91.733327998133902</v>
      </c>
      <c r="AN2945">
        <v>1.0000000709877299</v>
      </c>
    </row>
    <row r="2946" spans="1:40" x14ac:dyDescent="0.25">
      <c r="A2946" t="str">
        <f>"20190303153828297"</f>
        <v>20190303153828297</v>
      </c>
      <c r="B2946" t="str">
        <f>"1551598708291141"</f>
        <v>1551598708291141</v>
      </c>
      <c r="C2946" t="s">
        <v>40</v>
      </c>
      <c r="D2946">
        <v>4.0671160000000004</v>
      </c>
      <c r="E2946">
        <v>0.51630989999999999</v>
      </c>
      <c r="F2946" t="s">
        <v>46</v>
      </c>
      <c r="G2946">
        <v>0</v>
      </c>
      <c r="H2946">
        <v>0</v>
      </c>
      <c r="I2946">
        <v>0</v>
      </c>
      <c r="J2946">
        <v>-410.64120000000003</v>
      </c>
      <c r="K2946">
        <v>1.121124</v>
      </c>
      <c r="L2946">
        <v>284.01060000000001</v>
      </c>
      <c r="M2946">
        <v>-0.99989050000000002</v>
      </c>
      <c r="N2946">
        <v>-1.381601E-2</v>
      </c>
      <c r="O2946">
        <v>-5.3034909999999996E-3</v>
      </c>
      <c r="P2946">
        <v>-0.99804099999999996</v>
      </c>
      <c r="Q2946">
        <v>-5.168619E-2</v>
      </c>
      <c r="R2946">
        <v>-3.5253060000000003E-2</v>
      </c>
      <c r="S2946">
        <v>-3.0078130000000001</v>
      </c>
      <c r="T2946">
        <v>2.219486E-2</v>
      </c>
      <c r="U2946">
        <v>2.0416259999999999E-2</v>
      </c>
      <c r="V2946">
        <v>-2.996066E-2</v>
      </c>
      <c r="W2946">
        <v>-3.7888739999999997E-2</v>
      </c>
      <c r="X2946">
        <v>0.99883270000000002</v>
      </c>
      <c r="Y2946">
        <v>1.2090470000000001E-2</v>
      </c>
      <c r="Z2946" s="1">
        <v>-7.3488859999999896E-5</v>
      </c>
      <c r="AA2946">
        <v>0.99992689999999995</v>
      </c>
      <c r="AB2946">
        <v>30</v>
      </c>
      <c r="AC2946">
        <v>-3.0078130000000001</v>
      </c>
      <c r="AD2946">
        <v>2.219486E-2</v>
      </c>
      <c r="AE2946">
        <v>2.0416259999999999E-2</v>
      </c>
      <c r="AF2946">
        <v>3.6367424371603597E-2</v>
      </c>
      <c r="AG2946">
        <v>2.219486E-2</v>
      </c>
      <c r="AH2946">
        <v>3.0074986506937398</v>
      </c>
      <c r="AI2946">
        <v>89.577204877170004</v>
      </c>
      <c r="AJ2946">
        <v>89.307198899187597</v>
      </c>
      <c r="AK2946">
        <v>3.00780041480323</v>
      </c>
      <c r="AL2946">
        <v>92.171384671861105</v>
      </c>
      <c r="AM2946">
        <v>91.7181103601053</v>
      </c>
      <c r="AN2946">
        <v>0.99999998017785596</v>
      </c>
    </row>
    <row r="2947" spans="1:40" x14ac:dyDescent="0.25">
      <c r="A2947" t="str">
        <f>"20190303153828318"</f>
        <v>20190303153828318</v>
      </c>
      <c r="B2947" t="str">
        <f>"1551598708311636"</f>
        <v>1551598708311636</v>
      </c>
      <c r="C2947" t="s">
        <v>40</v>
      </c>
      <c r="D2947">
        <v>4.0497259999999997</v>
      </c>
      <c r="E2947">
        <v>0.51641579999999998</v>
      </c>
      <c r="F2947" t="s">
        <v>46</v>
      </c>
      <c r="G2947">
        <v>0</v>
      </c>
      <c r="H2947">
        <v>0</v>
      </c>
      <c r="I2947">
        <v>0</v>
      </c>
      <c r="J2947">
        <v>-410.9083</v>
      </c>
      <c r="K2947">
        <v>1.121122</v>
      </c>
      <c r="L2947">
        <v>284.00920000000002</v>
      </c>
      <c r="M2947">
        <v>-0.9998899</v>
      </c>
      <c r="N2947">
        <v>-1.386428E-2</v>
      </c>
      <c r="O2947">
        <v>-5.3037029999999999E-3</v>
      </c>
      <c r="P2947">
        <v>-0.99805679999999997</v>
      </c>
      <c r="Q2947">
        <v>-5.1815489999999999E-2</v>
      </c>
      <c r="R2947">
        <v>-3.4609290000000001E-2</v>
      </c>
      <c r="S2947">
        <v>-3.0077820000000002</v>
      </c>
      <c r="T2947">
        <v>2.213764E-2</v>
      </c>
      <c r="U2947">
        <v>2.1667479999999999E-2</v>
      </c>
      <c r="V2947">
        <v>-2.9316160000000001E-2</v>
      </c>
      <c r="W2947">
        <v>-3.7969660000000002E-2</v>
      </c>
      <c r="X2947">
        <v>0.99884879999999998</v>
      </c>
      <c r="Y2947">
        <v>1.2506700000000001E-2</v>
      </c>
      <c r="Z2947" s="1">
        <v>-7.1888319999999995E-5</v>
      </c>
      <c r="AA2947">
        <v>0.99992179999999997</v>
      </c>
      <c r="AB2947">
        <v>30</v>
      </c>
      <c r="AC2947">
        <v>-3.0077820000000002</v>
      </c>
      <c r="AD2947">
        <v>2.213764E-2</v>
      </c>
      <c r="AE2947">
        <v>2.1667479999999999E-2</v>
      </c>
      <c r="AF2947">
        <v>3.7619051957474101E-2</v>
      </c>
      <c r="AG2947">
        <v>2.213764E-2</v>
      </c>
      <c r="AH2947">
        <v>3.0074618493952801</v>
      </c>
      <c r="AI2947">
        <v>89.578291834091999</v>
      </c>
      <c r="AJ2947">
        <v>89.283349013278794</v>
      </c>
      <c r="AK2947">
        <v>3.0077785895479399</v>
      </c>
      <c r="AL2947">
        <v>92.176024279204597</v>
      </c>
      <c r="AM2947">
        <v>91.681145516867701</v>
      </c>
      <c r="AN2947">
        <v>1.0000000287895501</v>
      </c>
    </row>
    <row r="2948" spans="1:40" x14ac:dyDescent="0.25">
      <c r="A2948" t="str">
        <f>"20190303153828332"</f>
        <v>20190303153828332</v>
      </c>
      <c r="B2948" t="str">
        <f>"1551598708321397"</f>
        <v>1551598708321397</v>
      </c>
      <c r="C2948" t="s">
        <v>40</v>
      </c>
      <c r="D2948">
        <v>4.0472989999999998</v>
      </c>
      <c r="E2948">
        <v>0.51646689999999995</v>
      </c>
      <c r="F2948" t="s">
        <v>46</v>
      </c>
      <c r="G2948">
        <v>0</v>
      </c>
      <c r="H2948">
        <v>0</v>
      </c>
      <c r="I2948">
        <v>0</v>
      </c>
      <c r="J2948">
        <v>-411.08510000000001</v>
      </c>
      <c r="K2948">
        <v>1.121122</v>
      </c>
      <c r="L2948">
        <v>284.00830000000002</v>
      </c>
      <c r="M2948">
        <v>-0.99988940000000004</v>
      </c>
      <c r="N2948">
        <v>-1.3893249999999999E-2</v>
      </c>
      <c r="O2948">
        <v>-5.3036639999999996E-3</v>
      </c>
      <c r="P2948">
        <v>-0.99806729999999999</v>
      </c>
      <c r="Q2948">
        <v>-5.175474E-2</v>
      </c>
      <c r="R2948">
        <v>-3.4394910000000001E-2</v>
      </c>
      <c r="S2948">
        <v>-3.0078429999999998</v>
      </c>
      <c r="T2948">
        <v>2.1872639999999999E-2</v>
      </c>
      <c r="U2948">
        <v>2.453613E-2</v>
      </c>
      <c r="V2948">
        <v>-2.9101930000000002E-2</v>
      </c>
      <c r="W2948">
        <v>-3.7879860000000001E-2</v>
      </c>
      <c r="X2948">
        <v>0.99885849999999998</v>
      </c>
      <c r="Y2948">
        <v>1.3460140000000001E-2</v>
      </c>
      <c r="Z2948" s="1">
        <v>-6.7682219999999995E-5</v>
      </c>
      <c r="AA2948">
        <v>0.99990939999999995</v>
      </c>
      <c r="AB2948">
        <v>30</v>
      </c>
      <c r="AC2948">
        <v>-3.0078429999999998</v>
      </c>
      <c r="AD2948">
        <v>2.1872639999999999E-2</v>
      </c>
      <c r="AE2948">
        <v>2.453613E-2</v>
      </c>
      <c r="AF2948">
        <v>4.04877727447438E-2</v>
      </c>
      <c r="AG2948">
        <v>2.1872639999999999E-2</v>
      </c>
      <c r="AH2948">
        <v>3.0075115171361202</v>
      </c>
      <c r="AI2948">
        <v>89.583351778184294</v>
      </c>
      <c r="AJ2948">
        <v>89.228718372859404</v>
      </c>
      <c r="AK2948">
        <v>3.0078635603745099</v>
      </c>
      <c r="AL2948">
        <v>92.170875358245596</v>
      </c>
      <c r="AM2948">
        <v>91.668851197524305</v>
      </c>
      <c r="AN2948">
        <v>1.0000000545727901</v>
      </c>
    </row>
    <row r="2949" spans="1:40" x14ac:dyDescent="0.25">
      <c r="A2949" t="str">
        <f>"20190303153828344"</f>
        <v>20190303153828344</v>
      </c>
      <c r="B2949" t="str">
        <f>"1551598708341893"</f>
        <v>1551598708341893</v>
      </c>
      <c r="C2949" t="s">
        <v>40</v>
      </c>
      <c r="D2949">
        <v>4.1464129999999999</v>
      </c>
      <c r="E2949">
        <v>0.51647579999999904</v>
      </c>
      <c r="F2949" t="s">
        <v>46</v>
      </c>
      <c r="G2949">
        <v>0</v>
      </c>
      <c r="H2949">
        <v>0</v>
      </c>
      <c r="I2949">
        <v>0</v>
      </c>
      <c r="J2949">
        <v>-411.26530000000002</v>
      </c>
      <c r="K2949">
        <v>1.121129</v>
      </c>
      <c r="L2949">
        <v>284.00729999999999</v>
      </c>
      <c r="M2949">
        <v>-0.99988909999999998</v>
      </c>
      <c r="N2949">
        <v>-1.391945E-2</v>
      </c>
      <c r="O2949">
        <v>-5.3037249999999996E-3</v>
      </c>
      <c r="P2949">
        <v>-0.99806799999999996</v>
      </c>
      <c r="Q2949">
        <v>-5.1893700000000001E-2</v>
      </c>
      <c r="R2949">
        <v>-3.416603E-2</v>
      </c>
      <c r="S2949">
        <v>-3.0078429999999998</v>
      </c>
      <c r="T2949">
        <v>2.2161839999999999E-2</v>
      </c>
      <c r="U2949">
        <v>2.5573729999999999E-2</v>
      </c>
      <c r="V2949">
        <v>-2.8873179999999998E-2</v>
      </c>
      <c r="W2949">
        <v>-3.7992640000000001E-2</v>
      </c>
      <c r="X2949">
        <v>0.99886079999999999</v>
      </c>
      <c r="Y2949">
        <v>1.3805100000000001E-2</v>
      </c>
      <c r="Z2949" s="1">
        <v>-6.7672519999999994E-5</v>
      </c>
      <c r="AA2949">
        <v>0.99990469999999998</v>
      </c>
      <c r="AB2949">
        <v>29</v>
      </c>
      <c r="AC2949">
        <v>-3.0078429999999998</v>
      </c>
      <c r="AD2949">
        <v>2.2161839999999999E-2</v>
      </c>
      <c r="AE2949">
        <v>2.5573729999999999E-2</v>
      </c>
      <c r="AF2949">
        <v>4.1525433115269399E-2</v>
      </c>
      <c r="AG2949">
        <v>2.2161839999999999E-2</v>
      </c>
      <c r="AH2949">
        <v>3.0075017792834999</v>
      </c>
      <c r="AI2949">
        <v>89.577843673286907</v>
      </c>
      <c r="AJ2949">
        <v>89.208951129973997</v>
      </c>
      <c r="AK2949">
        <v>3.0078700871448998</v>
      </c>
      <c r="AL2949">
        <v>92.177341950702498</v>
      </c>
      <c r="AM2949">
        <v>91.655737041062096</v>
      </c>
      <c r="AN2949">
        <v>0.99999999949706098</v>
      </c>
    </row>
    <row r="2950" spans="1:40" x14ac:dyDescent="0.25">
      <c r="A2950" t="str">
        <f>"20190303153828359"</f>
        <v>20190303153828359</v>
      </c>
      <c r="B2950" t="str">
        <f>"1551598708351652"</f>
        <v>1551598708351652</v>
      </c>
      <c r="C2950" t="s">
        <v>40</v>
      </c>
      <c r="D2950">
        <v>4.0665259999999996</v>
      </c>
      <c r="E2950">
        <v>0.5165168</v>
      </c>
      <c r="F2950" t="s">
        <v>46</v>
      </c>
      <c r="G2950">
        <v>0</v>
      </c>
      <c r="H2950">
        <v>0</v>
      </c>
      <c r="I2950">
        <v>0</v>
      </c>
      <c r="J2950">
        <v>-411.44229999999999</v>
      </c>
      <c r="K2950">
        <v>1.121129</v>
      </c>
      <c r="L2950">
        <v>284.00639999999999</v>
      </c>
      <c r="M2950">
        <v>-0.99988889999999997</v>
      </c>
      <c r="N2950">
        <v>-1.394274E-2</v>
      </c>
      <c r="O2950">
        <v>-5.3038859999999998E-3</v>
      </c>
      <c r="P2950">
        <v>-0.99807469999999998</v>
      </c>
      <c r="Q2950">
        <v>-5.1906979999999998E-2</v>
      </c>
      <c r="R2950">
        <v>-3.3952549999999998E-2</v>
      </c>
      <c r="S2950">
        <v>-3.0078429999999998</v>
      </c>
      <c r="T2950">
        <v>2.196097E-2</v>
      </c>
      <c r="U2950">
        <v>2.6458740000000001E-2</v>
      </c>
      <c r="V2950">
        <v>-2.8659339999999998E-2</v>
      </c>
      <c r="W2950">
        <v>-3.7982589999999997E-2</v>
      </c>
      <c r="X2950">
        <v>0.99886730000000001</v>
      </c>
      <c r="Y2950">
        <v>1.4099459999999999E-2</v>
      </c>
      <c r="Z2950" s="1">
        <v>-6.5845600000000005E-5</v>
      </c>
      <c r="AA2950">
        <v>0.99990060000000003</v>
      </c>
      <c r="AB2950">
        <v>29</v>
      </c>
      <c r="AC2950">
        <v>-3.0078429999999998</v>
      </c>
      <c r="AD2950">
        <v>2.196097E-2</v>
      </c>
      <c r="AE2950">
        <v>2.6458740000000001E-2</v>
      </c>
      <c r="AF2950">
        <v>4.2410911618760698E-2</v>
      </c>
      <c r="AG2950">
        <v>2.196097E-2</v>
      </c>
      <c r="AH2950">
        <v>3.0075000250802599</v>
      </c>
      <c r="AI2950">
        <v>89.581671342329599</v>
      </c>
      <c r="AJ2950">
        <v>89.192084732520001</v>
      </c>
      <c r="AK2950">
        <v>3.0078792147434101</v>
      </c>
      <c r="AL2950">
        <v>92.176765800475295</v>
      </c>
      <c r="AM2950">
        <v>91.643470414104499</v>
      </c>
      <c r="AN2950">
        <v>0.99999995896081595</v>
      </c>
    </row>
    <row r="2951" spans="1:40" x14ac:dyDescent="0.25">
      <c r="A2951" t="str">
        <f>"20190303153828373"</f>
        <v>20190303153828373</v>
      </c>
      <c r="B2951" t="str">
        <f>"1551598708361412"</f>
        <v>1551598708361412</v>
      </c>
      <c r="C2951" t="s">
        <v>40</v>
      </c>
      <c r="D2951">
        <v>4.0666599999999997</v>
      </c>
      <c r="E2951">
        <v>0.51655669999999998</v>
      </c>
      <c r="F2951" t="s">
        <v>46</v>
      </c>
      <c r="G2951">
        <v>0</v>
      </c>
      <c r="H2951">
        <v>0</v>
      </c>
      <c r="I2951">
        <v>0</v>
      </c>
      <c r="J2951">
        <v>-411.62569999999999</v>
      </c>
      <c r="K2951">
        <v>1.12113</v>
      </c>
      <c r="L2951">
        <v>284.00540000000001</v>
      </c>
      <c r="M2951">
        <v>-0.99988849999999996</v>
      </c>
      <c r="N2951">
        <v>-1.396507E-2</v>
      </c>
      <c r="O2951">
        <v>-5.3039209999999996E-3</v>
      </c>
      <c r="P2951">
        <v>-0.99808989999999997</v>
      </c>
      <c r="Q2951">
        <v>-5.1716579999999998E-2</v>
      </c>
      <c r="R2951">
        <v>-3.3794780000000003E-2</v>
      </c>
      <c r="S2951">
        <v>-3.0079039999999999</v>
      </c>
      <c r="T2951">
        <v>2.239323E-2</v>
      </c>
      <c r="U2951">
        <v>2.7221680000000002E-2</v>
      </c>
      <c r="V2951">
        <v>-2.8501430000000001E-2</v>
      </c>
      <c r="W2951">
        <v>-3.7769690000000002E-2</v>
      </c>
      <c r="X2951">
        <v>0.99887990000000004</v>
      </c>
      <c r="Y2951">
        <v>1.435291E-2</v>
      </c>
      <c r="Z2951" s="1">
        <v>-6.6753909999999999E-5</v>
      </c>
      <c r="AA2951">
        <v>0.99989700000000004</v>
      </c>
      <c r="AB2951">
        <v>29</v>
      </c>
      <c r="AC2951">
        <v>-3.0079039999999999</v>
      </c>
      <c r="AD2951">
        <v>2.239323E-2</v>
      </c>
      <c r="AE2951">
        <v>2.7221680000000002E-2</v>
      </c>
      <c r="AF2951">
        <v>4.3174144052544799E-2</v>
      </c>
      <c r="AG2951">
        <v>2.239323E-2</v>
      </c>
      <c r="AH2951">
        <v>3.0075506074263099</v>
      </c>
      <c r="AI2951">
        <v>89.573446350491693</v>
      </c>
      <c r="AJ2951">
        <v>89.177561191376398</v>
      </c>
      <c r="AK2951">
        <v>3.0079438358611101</v>
      </c>
      <c r="AL2951">
        <v>92.164558750071905</v>
      </c>
      <c r="AM2951">
        <v>91.634399381679003</v>
      </c>
      <c r="AN2951">
        <v>0.99999996780937495</v>
      </c>
    </row>
    <row r="2952" spans="1:40" x14ac:dyDescent="0.25">
      <c r="A2952" t="str">
        <f>"20190303153828384"</f>
        <v>20190303153828384</v>
      </c>
      <c r="B2952" t="str">
        <f>"1551598708381909"</f>
        <v>1551598708381909</v>
      </c>
      <c r="C2952" t="s">
        <v>40</v>
      </c>
      <c r="D2952">
        <v>4.0770080000000002</v>
      </c>
      <c r="E2952">
        <v>0.51664759999999998</v>
      </c>
      <c r="F2952" t="s">
        <v>46</v>
      </c>
      <c r="G2952">
        <v>0</v>
      </c>
      <c r="H2952">
        <v>0</v>
      </c>
      <c r="I2952">
        <v>0</v>
      </c>
      <c r="J2952">
        <v>-411.78579999999999</v>
      </c>
      <c r="K2952">
        <v>1.1211279999999999</v>
      </c>
      <c r="L2952">
        <v>284.00450000000001</v>
      </c>
      <c r="M2952">
        <v>-0.9998882</v>
      </c>
      <c r="N2952">
        <v>-1.3982619999999999E-2</v>
      </c>
      <c r="O2952">
        <v>-5.3040429999999996E-3</v>
      </c>
      <c r="P2952">
        <v>-0.99809309999999996</v>
      </c>
      <c r="Q2952">
        <v>-5.1730350000000001E-2</v>
      </c>
      <c r="R2952">
        <v>-3.3679960000000002E-2</v>
      </c>
      <c r="S2952">
        <v>-3.0079039999999999</v>
      </c>
      <c r="T2952">
        <v>2.335632E-2</v>
      </c>
      <c r="U2952">
        <v>2.8015140000000001E-2</v>
      </c>
      <c r="V2952">
        <v>-2.8386649999999999E-2</v>
      </c>
      <c r="W2952">
        <v>-3.776591E-2</v>
      </c>
      <c r="X2952">
        <v>0.99888339999999998</v>
      </c>
      <c r="Y2952">
        <v>1.461674E-2</v>
      </c>
      <c r="Z2952" s="1">
        <v>-6.9898660000000006E-5</v>
      </c>
      <c r="AA2952">
        <v>0.99989320000000004</v>
      </c>
      <c r="AB2952">
        <v>29</v>
      </c>
      <c r="AC2952">
        <v>-3.0079039999999999</v>
      </c>
      <c r="AD2952">
        <v>2.335632E-2</v>
      </c>
      <c r="AE2952">
        <v>2.8015140000000001E-2</v>
      </c>
      <c r="AF2952">
        <v>4.3967706577723802E-2</v>
      </c>
      <c r="AG2952">
        <v>2.335632E-2</v>
      </c>
      <c r="AH2952">
        <v>3.0075317496836198</v>
      </c>
      <c r="AI2952">
        <v>89.555100727260793</v>
      </c>
      <c r="AJ2952">
        <v>89.1624412347537</v>
      </c>
      <c r="AK2952">
        <v>3.00794379971778</v>
      </c>
      <c r="AL2952">
        <v>92.164341825717401</v>
      </c>
      <c r="AM2952">
        <v>91.627815231270105</v>
      </c>
      <c r="AN2952">
        <v>1.0000000563259499</v>
      </c>
    </row>
    <row r="2953" spans="1:40" x14ac:dyDescent="0.25">
      <c r="A2953" t="str">
        <f>"20190303153828398"</f>
        <v>20190303153828398</v>
      </c>
      <c r="B2953" t="str">
        <f>"1551598708391668"</f>
        <v>1551598708391668</v>
      </c>
      <c r="C2953" t="s">
        <v>40</v>
      </c>
      <c r="D2953">
        <v>4.0887219999999997</v>
      </c>
      <c r="E2953">
        <v>0.51668000000000003</v>
      </c>
      <c r="F2953" t="s">
        <v>46</v>
      </c>
      <c r="G2953">
        <v>0</v>
      </c>
      <c r="H2953">
        <v>0</v>
      </c>
      <c r="I2953">
        <v>0</v>
      </c>
      <c r="J2953">
        <v>-411.95940000000002</v>
      </c>
      <c r="K2953">
        <v>1.121129</v>
      </c>
      <c r="L2953">
        <v>284.00360000000001</v>
      </c>
      <c r="M2953">
        <v>-0.99988790000000005</v>
      </c>
      <c r="N2953">
        <v>-1.400003E-2</v>
      </c>
      <c r="O2953">
        <v>-5.3039250000000001E-3</v>
      </c>
      <c r="P2953">
        <v>-0.99811119999999998</v>
      </c>
      <c r="Q2953">
        <v>-5.1422889999999999E-2</v>
      </c>
      <c r="R2953">
        <v>-3.3614099999999897E-2</v>
      </c>
      <c r="S2953">
        <v>-3.0079349999999998</v>
      </c>
      <c r="T2953">
        <v>2.4057749999999999E-2</v>
      </c>
      <c r="U2953">
        <v>2.9235839999999999E-2</v>
      </c>
      <c r="V2953">
        <v>-2.832032E-2</v>
      </c>
      <c r="W2953">
        <v>-3.7440840000000003E-2</v>
      </c>
      <c r="X2953">
        <v>0.99889749999999999</v>
      </c>
      <c r="Y2953">
        <v>1.5022249999999999E-2</v>
      </c>
      <c r="Z2953" s="1">
        <v>-7.158326E-5</v>
      </c>
      <c r="AA2953">
        <v>0.99988719999999998</v>
      </c>
      <c r="AB2953">
        <v>29</v>
      </c>
      <c r="AC2953">
        <v>-3.0079349999999998</v>
      </c>
      <c r="AD2953">
        <v>2.4057749999999999E-2</v>
      </c>
      <c r="AE2953">
        <v>2.9235839999999999E-2</v>
      </c>
      <c r="AF2953">
        <v>4.5187964109713603E-2</v>
      </c>
      <c r="AG2953">
        <v>2.4057749999999999E-2</v>
      </c>
      <c r="AH2953">
        <v>3.00754522939339</v>
      </c>
      <c r="AI2953">
        <v>89.541745015676398</v>
      </c>
      <c r="AJ2953">
        <v>89.139203359586602</v>
      </c>
      <c r="AK2953">
        <v>3.0079808899463401</v>
      </c>
      <c r="AL2953">
        <v>92.145703548620403</v>
      </c>
      <c r="AM2953">
        <v>91.6239907053548</v>
      </c>
      <c r="AN2953">
        <v>1.0000000362655199</v>
      </c>
    </row>
    <row r="2954" spans="1:40" x14ac:dyDescent="0.25">
      <c r="A2954" t="str">
        <f>"20190303153828413"</f>
        <v>20190303153828413</v>
      </c>
      <c r="B2954" t="str">
        <f>"1551598708401429"</f>
        <v>1551598708401429</v>
      </c>
      <c r="C2954" t="s">
        <v>40</v>
      </c>
      <c r="D2954">
        <v>4.0712929999999998</v>
      </c>
      <c r="E2954">
        <v>0.51671149999999999</v>
      </c>
      <c r="F2954" t="s">
        <v>46</v>
      </c>
      <c r="G2954">
        <v>0</v>
      </c>
      <c r="H2954">
        <v>0</v>
      </c>
      <c r="I2954">
        <v>0</v>
      </c>
      <c r="J2954">
        <v>-412.14980000000003</v>
      </c>
      <c r="K2954">
        <v>1.12113</v>
      </c>
      <c r="L2954">
        <v>284.00259999999997</v>
      </c>
      <c r="M2954">
        <v>-0.99988779999999999</v>
      </c>
      <c r="N2954">
        <v>-1.401763E-2</v>
      </c>
      <c r="O2954">
        <v>-5.3040469999999897E-3</v>
      </c>
      <c r="P2954">
        <v>-0.99811729999999999</v>
      </c>
      <c r="Q2954">
        <v>-5.138943E-2</v>
      </c>
      <c r="R2954">
        <v>-3.3484229999999997E-2</v>
      </c>
      <c r="S2954">
        <v>-3.0079959999999999</v>
      </c>
      <c r="T2954">
        <v>2.5313140000000001E-2</v>
      </c>
      <c r="U2954">
        <v>2.9754639999999999E-2</v>
      </c>
      <c r="V2954">
        <v>-2.819081E-2</v>
      </c>
      <c r="W2954">
        <v>-3.7389730000000003E-2</v>
      </c>
      <c r="X2954">
        <v>0.99890299999999999</v>
      </c>
      <c r="Y2954">
        <v>1.5194559999999999E-2</v>
      </c>
      <c r="Z2954" s="1">
        <v>-7.6409769999999898E-5</v>
      </c>
      <c r="AA2954">
        <v>0.99988449999999995</v>
      </c>
      <c r="AB2954">
        <v>29</v>
      </c>
      <c r="AC2954">
        <v>-3.0079959999999999</v>
      </c>
      <c r="AD2954">
        <v>2.5313140000000001E-2</v>
      </c>
      <c r="AE2954">
        <v>2.9754639999999999E-2</v>
      </c>
      <c r="AF2954">
        <v>4.5707102815840901E-2</v>
      </c>
      <c r="AG2954">
        <v>2.5313140000000001E-2</v>
      </c>
      <c r="AH2954">
        <v>3.0075828768895501</v>
      </c>
      <c r="AI2954">
        <v>89.517840584514204</v>
      </c>
      <c r="AJ2954">
        <v>89.129326569595904</v>
      </c>
      <c r="AK2954">
        <v>3.00803667791198</v>
      </c>
      <c r="AL2954">
        <v>92.142773276169606</v>
      </c>
      <c r="AM2954">
        <v>91.616559181943302</v>
      </c>
      <c r="AN2954">
        <v>0.99999995854346302</v>
      </c>
    </row>
    <row r="2955" spans="1:40" x14ac:dyDescent="0.25">
      <c r="A2955" t="str">
        <f>"20190303153828425"</f>
        <v>20190303153828425</v>
      </c>
      <c r="B2955" t="str">
        <f>"1551598708421891"</f>
        <v>1551598708421891</v>
      </c>
      <c r="C2955" t="s">
        <v>40</v>
      </c>
      <c r="D2955">
        <v>4.133165</v>
      </c>
      <c r="E2955">
        <v>0.51672149999999994</v>
      </c>
      <c r="F2955" t="s">
        <v>46</v>
      </c>
      <c r="G2955">
        <v>0</v>
      </c>
      <c r="H2955">
        <v>0</v>
      </c>
      <c r="I2955">
        <v>0</v>
      </c>
      <c r="J2955">
        <v>-412.32119999999998</v>
      </c>
      <c r="K2955">
        <v>1.1211340000000001</v>
      </c>
      <c r="L2955">
        <v>284.0016</v>
      </c>
      <c r="M2955">
        <v>-0.99988759999999999</v>
      </c>
      <c r="N2955">
        <v>-1.4031689999999999E-2</v>
      </c>
      <c r="O2955">
        <v>-5.3041449999999997E-3</v>
      </c>
      <c r="P2955">
        <v>-0.99813569999999996</v>
      </c>
      <c r="Q2955">
        <v>-5.113123E-2</v>
      </c>
      <c r="R2955">
        <v>-3.3338189999999997E-2</v>
      </c>
      <c r="S2955">
        <v>-3.0079959999999999</v>
      </c>
      <c r="T2955">
        <v>2.573025E-2</v>
      </c>
      <c r="U2955">
        <v>3.0395510000000001E-2</v>
      </c>
      <c r="V2955">
        <v>-2.804392E-2</v>
      </c>
      <c r="W2955">
        <v>-3.7117259999999999E-2</v>
      </c>
      <c r="X2955">
        <v>0.99891730000000001</v>
      </c>
      <c r="Y2955">
        <v>1.540765E-2</v>
      </c>
      <c r="Z2955" s="1">
        <v>-7.7584419999999997E-5</v>
      </c>
      <c r="AA2955">
        <v>0.99988129999999997</v>
      </c>
      <c r="AB2955">
        <v>29</v>
      </c>
      <c r="AC2955">
        <v>-3.0079959999999999</v>
      </c>
      <c r="AD2955">
        <v>2.573025E-2</v>
      </c>
      <c r="AE2955">
        <v>3.0395510000000001E-2</v>
      </c>
      <c r="AF2955">
        <v>4.63481073540652E-2</v>
      </c>
      <c r="AG2955">
        <v>2.573025E-2</v>
      </c>
      <c r="AH2955">
        <v>3.0075723980904399</v>
      </c>
      <c r="AI2955">
        <v>89.509895835591806</v>
      </c>
      <c r="AJ2955">
        <v>89.117114934386294</v>
      </c>
      <c r="AK2955">
        <v>3.00803954804053</v>
      </c>
      <c r="AL2955">
        <v>92.127151042146295</v>
      </c>
      <c r="AM2955">
        <v>91.6081174233491</v>
      </c>
      <c r="AN2955">
        <v>0.99999996233908095</v>
      </c>
    </row>
    <row r="2956" spans="1:40" x14ac:dyDescent="0.25">
      <c r="A2956" t="str">
        <f>"20190303153828442"</f>
        <v>20190303153828442</v>
      </c>
      <c r="B2956" t="str">
        <f>"1551598708431652"</f>
        <v>1551598708431652</v>
      </c>
      <c r="C2956" t="s">
        <v>40</v>
      </c>
      <c r="D2956">
        <v>4.0583200000000001</v>
      </c>
      <c r="E2956">
        <v>0.51675979999999999</v>
      </c>
      <c r="F2956" t="s">
        <v>46</v>
      </c>
      <c r="G2956">
        <v>0</v>
      </c>
      <c r="H2956">
        <v>0</v>
      </c>
      <c r="I2956">
        <v>0</v>
      </c>
      <c r="J2956">
        <v>-412.52510000000001</v>
      </c>
      <c r="K2956">
        <v>1.1211420000000001</v>
      </c>
      <c r="L2956">
        <v>284.00060000000002</v>
      </c>
      <c r="M2956">
        <v>-0.99988730000000003</v>
      </c>
      <c r="N2956">
        <v>-1.4046629999999999E-2</v>
      </c>
      <c r="O2956">
        <v>-5.3041290000000003E-3</v>
      </c>
      <c r="P2956">
        <v>-0.99820719999999996</v>
      </c>
      <c r="Q2956">
        <v>-4.9759480000000002E-2</v>
      </c>
      <c r="R2956">
        <v>-3.3265450000000002E-2</v>
      </c>
      <c r="S2956">
        <v>-3.007965</v>
      </c>
      <c r="T2956">
        <v>2.6641129999999999E-2</v>
      </c>
      <c r="U2956">
        <v>3.0853269999999999E-2</v>
      </c>
      <c r="V2956">
        <v>-2.79715E-2</v>
      </c>
      <c r="W2956">
        <v>-3.5729740000000003E-2</v>
      </c>
      <c r="X2956">
        <v>0.99897000000000002</v>
      </c>
      <c r="Y2956">
        <v>1.555985E-2</v>
      </c>
      <c r="Z2956" s="1">
        <v>-8.1092580000000002E-5</v>
      </c>
      <c r="AA2956">
        <v>0.99987890000000001</v>
      </c>
      <c r="AB2956">
        <v>29</v>
      </c>
      <c r="AC2956">
        <v>-3.007965</v>
      </c>
      <c r="AD2956">
        <v>2.6641129999999999E-2</v>
      </c>
      <c r="AE2956">
        <v>3.0853269999999999E-2</v>
      </c>
      <c r="AF2956">
        <v>4.68053728614806E-2</v>
      </c>
      <c r="AG2956">
        <v>2.6641129999999999E-2</v>
      </c>
      <c r="AH2956">
        <v>3.00752311544607</v>
      </c>
      <c r="AI2956">
        <v>89.492539366297905</v>
      </c>
      <c r="AJ2956">
        <v>89.108391275573297</v>
      </c>
      <c r="AK2956">
        <v>3.00800528302043</v>
      </c>
      <c r="AL2956">
        <v>92.0475990465427</v>
      </c>
      <c r="AM2956">
        <v>91.603882256528905</v>
      </c>
      <c r="AN2956">
        <v>1.00000004001635</v>
      </c>
    </row>
    <row r="2957" spans="1:40" x14ac:dyDescent="0.25">
      <c r="A2957" t="str">
        <f>"20190303153828458"</f>
        <v>20190303153828458</v>
      </c>
      <c r="B2957" t="str">
        <f>"1551598708451170"</f>
        <v>1551598708451170</v>
      </c>
      <c r="C2957" t="s">
        <v>40</v>
      </c>
      <c r="D2957">
        <v>4.1099699999999997</v>
      </c>
      <c r="E2957">
        <v>0.51683059999999903</v>
      </c>
      <c r="F2957" t="s">
        <v>46</v>
      </c>
      <c r="G2957">
        <v>0</v>
      </c>
      <c r="H2957">
        <v>0</v>
      </c>
      <c r="I2957">
        <v>0</v>
      </c>
      <c r="J2957">
        <v>-412.73700000000002</v>
      </c>
      <c r="K2957">
        <v>1.1211450000000001</v>
      </c>
      <c r="L2957">
        <v>283.99950000000001</v>
      </c>
      <c r="M2957">
        <v>-0.99988710000000003</v>
      </c>
      <c r="N2957">
        <v>-1.406051E-2</v>
      </c>
      <c r="O2957">
        <v>-5.3039879999999999E-3</v>
      </c>
      <c r="P2957">
        <v>-0.99821110000000002</v>
      </c>
      <c r="Q2957">
        <v>-4.963741E-2</v>
      </c>
      <c r="R2957">
        <v>-3.333237E-2</v>
      </c>
      <c r="S2957">
        <v>-3.0079959999999999</v>
      </c>
      <c r="T2957">
        <v>3.0953649999999999E-2</v>
      </c>
      <c r="U2957">
        <v>3.1402590000000001E-2</v>
      </c>
      <c r="V2957">
        <v>-2.803833E-2</v>
      </c>
      <c r="W2957">
        <v>-3.5593729999999997E-2</v>
      </c>
      <c r="X2957">
        <v>0.998973</v>
      </c>
      <c r="Y2957">
        <v>1.5741950000000001E-2</v>
      </c>
      <c r="Z2957" s="1">
        <v>-9.9465480000000004E-5</v>
      </c>
      <c r="AA2957">
        <v>0.99987610000000005</v>
      </c>
      <c r="AB2957">
        <v>29</v>
      </c>
      <c r="AC2957">
        <v>-3.0079959999999999</v>
      </c>
      <c r="AD2957">
        <v>3.0953649999999999E-2</v>
      </c>
      <c r="AE2957">
        <v>3.1402590000000001E-2</v>
      </c>
      <c r="AF2957">
        <v>4.7353086012025598E-2</v>
      </c>
      <c r="AG2957">
        <v>3.0953649999999999E-2</v>
      </c>
      <c r="AH2957">
        <v>3.0074686683863701</v>
      </c>
      <c r="AI2957">
        <v>89.410390826963805</v>
      </c>
      <c r="AJ2957">
        <v>89.097943119763997</v>
      </c>
      <c r="AK2957">
        <v>3.0080007038777299</v>
      </c>
      <c r="AL2957">
        <v>92.039801250865594</v>
      </c>
      <c r="AM2957">
        <v>91.607707445943205</v>
      </c>
      <c r="AN2957">
        <v>1.0000000581467401</v>
      </c>
    </row>
    <row r="2958" spans="1:40" x14ac:dyDescent="0.25">
      <c r="A2958" t="str">
        <f>"20190303153828474"</f>
        <v>20190303153828474</v>
      </c>
      <c r="B2958" t="str">
        <f>"1551598708471667"</f>
        <v>1551598708471667</v>
      </c>
      <c r="C2958" t="s">
        <v>40</v>
      </c>
      <c r="D2958">
        <v>4.0552429999999999</v>
      </c>
      <c r="E2958">
        <v>0.51688270000000003</v>
      </c>
      <c r="F2958" t="s">
        <v>46</v>
      </c>
      <c r="G2958">
        <v>0</v>
      </c>
      <c r="H2958">
        <v>0</v>
      </c>
      <c r="I2958">
        <v>0</v>
      </c>
      <c r="J2958">
        <v>-412.96010000000001</v>
      </c>
      <c r="K2958">
        <v>1.121156</v>
      </c>
      <c r="L2958">
        <v>283.99829999999997</v>
      </c>
      <c r="M2958">
        <v>-0.99988690000000002</v>
      </c>
      <c r="N2958">
        <v>-1.407342E-2</v>
      </c>
      <c r="O2958">
        <v>-5.3039580000000001E-3</v>
      </c>
      <c r="P2958">
        <v>-0.99821070000000001</v>
      </c>
      <c r="Q2958">
        <v>-4.9616519999999997E-2</v>
      </c>
      <c r="R2958">
        <v>-3.3372209999999999E-2</v>
      </c>
      <c r="S2958">
        <v>-3.008057</v>
      </c>
      <c r="T2958">
        <v>3.1858440000000002E-2</v>
      </c>
      <c r="U2958">
        <v>3.17688E-2</v>
      </c>
      <c r="V2958">
        <v>-2.8077899999999999E-2</v>
      </c>
      <c r="W2958">
        <v>-3.5559970000000003E-2</v>
      </c>
      <c r="X2958">
        <v>0.998973</v>
      </c>
      <c r="Y2958">
        <v>1.5863370000000002E-2</v>
      </c>
      <c r="Z2958">
        <v>-1.031794E-4</v>
      </c>
      <c r="AA2958">
        <v>0.99987420000000005</v>
      </c>
      <c r="AB2958">
        <v>29</v>
      </c>
      <c r="AC2958">
        <v>-3.008057</v>
      </c>
      <c r="AD2958">
        <v>3.1858440000000002E-2</v>
      </c>
      <c r="AE2958">
        <v>3.17688E-2</v>
      </c>
      <c r="AF2958">
        <v>4.7719189153471397E-2</v>
      </c>
      <c r="AG2958">
        <v>3.1858440000000002E-2</v>
      </c>
      <c r="AH2958">
        <v>3.0075088481907599</v>
      </c>
      <c r="AI2958">
        <v>89.393166811172094</v>
      </c>
      <c r="AJ2958">
        <v>89.090982313201593</v>
      </c>
      <c r="AK2958">
        <v>3.0080561087118101</v>
      </c>
      <c r="AL2958">
        <v>92.037865905307996</v>
      </c>
      <c r="AM2958">
        <v>91.6099751817748</v>
      </c>
      <c r="AN2958">
        <v>0.99999996733190399</v>
      </c>
    </row>
    <row r="2959" spans="1:40" x14ac:dyDescent="0.25">
      <c r="A2959" t="str">
        <f>"20190303153828498"</f>
        <v>20190303153828498</v>
      </c>
      <c r="B2959" t="str">
        <f>"1551598708491186"</f>
        <v>1551598708491186</v>
      </c>
      <c r="C2959" t="s">
        <v>40</v>
      </c>
      <c r="D2959">
        <v>4.1133100000000002</v>
      </c>
      <c r="E2959">
        <v>0.51687470000000002</v>
      </c>
      <c r="F2959" t="s">
        <v>46</v>
      </c>
      <c r="G2959">
        <v>0</v>
      </c>
      <c r="H2959">
        <v>0</v>
      </c>
      <c r="I2959">
        <v>0</v>
      </c>
      <c r="J2959">
        <v>-413.25569999999999</v>
      </c>
      <c r="K2959">
        <v>1.121156</v>
      </c>
      <c r="L2959">
        <v>283.99680000000001</v>
      </c>
      <c r="M2959">
        <v>-0.99988670000000002</v>
      </c>
      <c r="N2959">
        <v>-1.408792E-2</v>
      </c>
      <c r="O2959">
        <v>-5.3040589999999999E-3</v>
      </c>
      <c r="P2959">
        <v>-0.99818479999999998</v>
      </c>
      <c r="Q2959">
        <v>-5.0003310000000002E-2</v>
      </c>
      <c r="R2959">
        <v>-3.3567680000000003E-2</v>
      </c>
      <c r="S2959">
        <v>-3.008057</v>
      </c>
      <c r="T2959">
        <v>3.2264470000000003E-2</v>
      </c>
      <c r="U2959">
        <v>3.2043460000000003E-2</v>
      </c>
      <c r="V2959">
        <v>-2.827377E-2</v>
      </c>
      <c r="W2959">
        <v>-3.5932560000000002E-2</v>
      </c>
      <c r="X2959">
        <v>0.99895420000000001</v>
      </c>
      <c r="Y2959">
        <v>1.595473E-2</v>
      </c>
      <c r="Z2959">
        <v>-1.047762E-4</v>
      </c>
      <c r="AA2959">
        <v>0.99987269999999995</v>
      </c>
      <c r="AB2959">
        <v>29</v>
      </c>
      <c r="AC2959">
        <v>-3.008057</v>
      </c>
      <c r="AD2959">
        <v>3.2264470000000003E-2</v>
      </c>
      <c r="AE2959">
        <v>3.2043460000000003E-2</v>
      </c>
      <c r="AF2959">
        <v>4.7993983407117899E-2</v>
      </c>
      <c r="AG2959">
        <v>3.2264470000000003E-2</v>
      </c>
      <c r="AH2959">
        <v>3.0074987353749001</v>
      </c>
      <c r="AI2959">
        <v>89.385432249867193</v>
      </c>
      <c r="AJ2959">
        <v>89.085745484216105</v>
      </c>
      <c r="AK2959">
        <v>3.00805469726687</v>
      </c>
      <c r="AL2959">
        <v>92.059227275389901</v>
      </c>
      <c r="AM2959">
        <v>91.621230807930701</v>
      </c>
      <c r="AN2959">
        <v>1.0000000243178999</v>
      </c>
    </row>
    <row r="2960" spans="1:40" x14ac:dyDescent="0.25">
      <c r="A2960" t="str">
        <f>"20190303153828511"</f>
        <v>20190303153828511</v>
      </c>
      <c r="B2960" t="str">
        <f>"1551598708500947"</f>
        <v>1551598708500947</v>
      </c>
      <c r="C2960" t="s">
        <v>40</v>
      </c>
      <c r="D2960">
        <v>4.0945220000000004</v>
      </c>
      <c r="E2960">
        <v>0.51687470000000002</v>
      </c>
      <c r="F2960" t="s">
        <v>46</v>
      </c>
      <c r="G2960">
        <v>0</v>
      </c>
      <c r="H2960">
        <v>0</v>
      </c>
      <c r="I2960">
        <v>0</v>
      </c>
      <c r="J2960">
        <v>-413.44119999999998</v>
      </c>
      <c r="K2960">
        <v>1.121159</v>
      </c>
      <c r="L2960">
        <v>283.99579999999997</v>
      </c>
      <c r="M2960">
        <v>-0.99988679999999996</v>
      </c>
      <c r="N2960">
        <v>-1.409591E-2</v>
      </c>
      <c r="O2960">
        <v>-5.304235E-3</v>
      </c>
      <c r="P2960">
        <v>-0.99817230000000001</v>
      </c>
      <c r="Q2960">
        <v>-5.0253739999999998E-2</v>
      </c>
      <c r="R2960">
        <v>-3.3571740000000003E-2</v>
      </c>
      <c r="S2960">
        <v>-3.0080870000000002</v>
      </c>
      <c r="T2960">
        <v>3.1332489999999998E-2</v>
      </c>
      <c r="U2960">
        <v>3.125E-2</v>
      </c>
      <c r="V2960">
        <v>-2.8277340000000002E-2</v>
      </c>
      <c r="W2960">
        <v>-3.6175150000000003E-2</v>
      </c>
      <c r="X2960">
        <v>0.99894530000000004</v>
      </c>
      <c r="Y2960">
        <v>1.5691139999999999E-2</v>
      </c>
      <c r="Z2960">
        <v>-1.0112909999999999E-4</v>
      </c>
      <c r="AA2960">
        <v>0.99987689999999996</v>
      </c>
      <c r="AB2960">
        <v>29</v>
      </c>
      <c r="AC2960">
        <v>-3.0080870000000002</v>
      </c>
      <c r="AD2960">
        <v>3.1332489999999998E-2</v>
      </c>
      <c r="AE2960">
        <v>3.125E-2</v>
      </c>
      <c r="AF2960">
        <v>4.72016219232895E-2</v>
      </c>
      <c r="AG2960">
        <v>3.1332489999999998E-2</v>
      </c>
      <c r="AH2960">
        <v>3.0075526327153699</v>
      </c>
      <c r="AI2960">
        <v>89.403191336331503</v>
      </c>
      <c r="AJ2960">
        <v>89.100853072899895</v>
      </c>
      <c r="AK2960">
        <v>3.0080861950075399</v>
      </c>
      <c r="AL2960">
        <v>92.073135790845001</v>
      </c>
      <c r="AM2960">
        <v>91.621449842382503</v>
      </c>
      <c r="AN2960">
        <v>0.99999998091354303</v>
      </c>
    </row>
    <row r="2961" spans="1:40" x14ac:dyDescent="0.25">
      <c r="A2961" t="str">
        <f>"20190303153828526"</f>
        <v>20190303153828526</v>
      </c>
      <c r="B2961" t="str">
        <f>"1551598708521443"</f>
        <v>1551598708521443</v>
      </c>
      <c r="C2961" t="s">
        <v>40</v>
      </c>
      <c r="D2961">
        <v>4.1084990000000001</v>
      </c>
      <c r="E2961">
        <v>0.50906390000000001</v>
      </c>
      <c r="F2961" t="s">
        <v>46</v>
      </c>
      <c r="G2961">
        <v>0</v>
      </c>
      <c r="H2961">
        <v>0</v>
      </c>
      <c r="I2961">
        <v>0</v>
      </c>
      <c r="J2961">
        <v>-413.63200000000001</v>
      </c>
      <c r="K2961">
        <v>1.1211599999999999</v>
      </c>
      <c r="L2961">
        <v>283.9948</v>
      </c>
      <c r="M2961">
        <v>-0.99988650000000001</v>
      </c>
      <c r="N2961">
        <v>-1.4103020000000001E-2</v>
      </c>
      <c r="O2961">
        <v>-5.3041649999999996E-3</v>
      </c>
      <c r="P2961">
        <v>-0.99816369999999999</v>
      </c>
      <c r="Q2961">
        <v>-5.0384970000000001E-2</v>
      </c>
      <c r="R2961">
        <v>-3.362561E-2</v>
      </c>
      <c r="S2961">
        <v>-3.0080870000000002</v>
      </c>
      <c r="T2961">
        <v>3.0601860000000002E-2</v>
      </c>
      <c r="U2961">
        <v>3.1188960000000002E-2</v>
      </c>
      <c r="V2961">
        <v>-2.8331510000000001E-2</v>
      </c>
      <c r="W2961">
        <v>-3.6299390000000001E-2</v>
      </c>
      <c r="X2961">
        <v>0.99893929999999997</v>
      </c>
      <c r="Y2961">
        <v>1.567083E-2</v>
      </c>
      <c r="Z2961" s="1">
        <v>-9.7955890000000001E-5</v>
      </c>
      <c r="AA2961">
        <v>0.99987720000000002</v>
      </c>
      <c r="AB2961">
        <v>29</v>
      </c>
      <c r="AC2961">
        <v>-3.0080870000000002</v>
      </c>
      <c r="AD2961">
        <v>3.0601860000000002E-2</v>
      </c>
      <c r="AE2961">
        <v>3.1188960000000002E-2</v>
      </c>
      <c r="AF2961">
        <v>4.7140619335772301E-2</v>
      </c>
      <c r="AG2961">
        <v>3.0601860000000002E-2</v>
      </c>
      <c r="AH2961">
        <v>3.0075679968737701</v>
      </c>
      <c r="AI2961">
        <v>89.417109902338893</v>
      </c>
      <c r="AJ2961">
        <v>89.102019511563</v>
      </c>
      <c r="AK2961">
        <v>3.00809307828832</v>
      </c>
      <c r="AL2961">
        <v>92.080258810168701</v>
      </c>
      <c r="AM2961">
        <v>91.624564091753896</v>
      </c>
      <c r="AN2961">
        <v>1.0000000226288699</v>
      </c>
    </row>
    <row r="2962" spans="1:40" x14ac:dyDescent="0.25">
      <c r="A2962" t="str">
        <f>"20190303153828540"</f>
        <v>20190303153828540</v>
      </c>
      <c r="B2962" t="str">
        <f>"1551598708531203"</f>
        <v>1551598708531203</v>
      </c>
      <c r="C2962" t="s">
        <v>40</v>
      </c>
      <c r="D2962">
        <v>4.1128470000000004</v>
      </c>
      <c r="E2962">
        <v>0.50902970000000003</v>
      </c>
      <c r="F2962" t="s">
        <v>46</v>
      </c>
      <c r="G2962">
        <v>0</v>
      </c>
      <c r="H2962">
        <v>0</v>
      </c>
      <c r="I2962">
        <v>0</v>
      </c>
      <c r="J2962">
        <v>-413.8261</v>
      </c>
      <c r="K2962">
        <v>1.121165</v>
      </c>
      <c r="L2962">
        <v>283.99380000000002</v>
      </c>
      <c r="M2962">
        <v>-0.99988630000000001</v>
      </c>
      <c r="N2962">
        <v>-1.410936E-2</v>
      </c>
      <c r="O2962">
        <v>-5.30409E-3</v>
      </c>
      <c r="P2962">
        <v>-0.99819979999999997</v>
      </c>
      <c r="Q2962">
        <v>-4.9802449999999998E-2</v>
      </c>
      <c r="R2962">
        <v>-3.3424780000000001E-2</v>
      </c>
      <c r="S2962">
        <v>-3.004791</v>
      </c>
      <c r="T2962">
        <v>7.0458650000000001E-3</v>
      </c>
      <c r="U2962">
        <v>-3.0883790000000001E-2</v>
      </c>
      <c r="V2962">
        <v>-2.8130619999999999E-2</v>
      </c>
      <c r="W2962">
        <v>-3.5710110000000003E-2</v>
      </c>
      <c r="X2962">
        <v>0.99896620000000003</v>
      </c>
      <c r="Y2962">
        <v>-4.9739429999999998E-3</v>
      </c>
      <c r="Z2962">
        <v>-1.165366E-4</v>
      </c>
      <c r="AA2962">
        <v>0.99998759999999998</v>
      </c>
      <c r="AB2962">
        <v>29</v>
      </c>
      <c r="AC2962">
        <v>-3.004791</v>
      </c>
      <c r="AD2962">
        <v>7.0458650000000001E-3</v>
      </c>
      <c r="AE2962">
        <v>-3.0883790000000001E-2</v>
      </c>
      <c r="AF2962">
        <v>-1.49440033640959E-2</v>
      </c>
      <c r="AG2962">
        <v>7.0458650000000001E-3</v>
      </c>
      <c r="AH2962">
        <v>3.0048960300351202</v>
      </c>
      <c r="AI2962">
        <v>89.865655053805995</v>
      </c>
      <c r="AJ2962">
        <v>90.284942059337695</v>
      </c>
      <c r="AK2962">
        <v>3.0049414501402398</v>
      </c>
      <c r="AL2962">
        <v>92.046473681380206</v>
      </c>
      <c r="AM2962">
        <v>91.613007503257904</v>
      </c>
      <c r="AN2962">
        <v>1.00000000624011</v>
      </c>
    </row>
    <row r="2963" spans="1:40" x14ac:dyDescent="0.25">
      <c r="A2963" t="str">
        <f>"20190303153828563"</f>
        <v>20190303153828563</v>
      </c>
      <c r="B2963" t="str">
        <f>"1551598708551698"</f>
        <v>1551598708551698</v>
      </c>
      <c r="C2963" t="s">
        <v>40</v>
      </c>
      <c r="D2963">
        <v>4.1250869999999997</v>
      </c>
      <c r="E2963">
        <v>0.50891960000000003</v>
      </c>
      <c r="F2963" t="s">
        <v>46</v>
      </c>
      <c r="G2963">
        <v>0</v>
      </c>
      <c r="H2963">
        <v>0</v>
      </c>
      <c r="I2963">
        <v>0</v>
      </c>
      <c r="J2963">
        <v>-414.12130000000002</v>
      </c>
      <c r="K2963">
        <v>1.1211690000000001</v>
      </c>
      <c r="L2963">
        <v>283.99220000000003</v>
      </c>
      <c r="M2963">
        <v>-0.99988639999999995</v>
      </c>
      <c r="N2963">
        <v>-1.411755E-2</v>
      </c>
      <c r="O2963">
        <v>-5.3042660000000002E-3</v>
      </c>
      <c r="P2963">
        <v>-0.99824500000000005</v>
      </c>
      <c r="Q2963">
        <v>-4.9138769999999998E-2</v>
      </c>
      <c r="R2963">
        <v>-3.3056259999999997E-2</v>
      </c>
      <c r="S2963">
        <v>-3.0047000000000001</v>
      </c>
      <c r="T2963">
        <v>5.8675999999999997E-3</v>
      </c>
      <c r="U2963">
        <v>-3.0456540000000001E-2</v>
      </c>
      <c r="V2963">
        <v>-2.7762120000000001E-2</v>
      </c>
      <c r="W2963">
        <v>-3.5037720000000001E-2</v>
      </c>
      <c r="X2963">
        <v>0.99900029999999995</v>
      </c>
      <c r="Y2963">
        <v>-4.8318600000000003E-3</v>
      </c>
      <c r="Z2963">
        <v>-1.146347E-4</v>
      </c>
      <c r="AA2963">
        <v>0.99998830000000005</v>
      </c>
      <c r="AB2963">
        <v>29</v>
      </c>
      <c r="AC2963">
        <v>-3.0047000000000001</v>
      </c>
      <c r="AD2963">
        <v>5.8675999999999997E-3</v>
      </c>
      <c r="AE2963">
        <v>-3.0456540000000001E-2</v>
      </c>
      <c r="AF2963">
        <v>-1.4516741603186801E-2</v>
      </c>
      <c r="AG2963">
        <v>5.8675999999999997E-3</v>
      </c>
      <c r="AH2963">
        <v>3.0048078304571</v>
      </c>
      <c r="AI2963">
        <v>89.888117848378499</v>
      </c>
      <c r="AJ2963">
        <v>90.276803576836002</v>
      </c>
      <c r="AK2963">
        <v>3.0048486255538398</v>
      </c>
      <c r="AL2963">
        <v>92.007924481666095</v>
      </c>
      <c r="AM2963">
        <v>91.591834377201394</v>
      </c>
      <c r="AN2963">
        <v>0.999999988264891</v>
      </c>
    </row>
    <row r="2964" spans="1:40" x14ac:dyDescent="0.25">
      <c r="A2964" t="str">
        <f>"20190303153828577"</f>
        <v>20190303153828577</v>
      </c>
      <c r="B2964" t="str">
        <f>"1551598708571219"</f>
        <v>1551598708571219</v>
      </c>
      <c r="C2964" t="s">
        <v>40</v>
      </c>
      <c r="D2964">
        <v>4.0883029999999998</v>
      </c>
      <c r="E2964">
        <v>0.50851979999999997</v>
      </c>
      <c r="F2964" t="s">
        <v>46</v>
      </c>
      <c r="G2964">
        <v>0</v>
      </c>
      <c r="H2964">
        <v>0</v>
      </c>
      <c r="I2964">
        <v>0</v>
      </c>
      <c r="J2964">
        <v>-414.29430000000002</v>
      </c>
      <c r="K2964">
        <v>1.1211690000000001</v>
      </c>
      <c r="L2964">
        <v>283.99130000000002</v>
      </c>
      <c r="M2964">
        <v>-0.99988630000000001</v>
      </c>
      <c r="N2964">
        <v>-1.412158E-2</v>
      </c>
      <c r="O2964">
        <v>-5.3041750000000004E-3</v>
      </c>
      <c r="P2964">
        <v>-0.99827549999999998</v>
      </c>
      <c r="Q2964">
        <v>-4.8706369999999999E-2</v>
      </c>
      <c r="R2964">
        <v>-3.2771620000000001E-2</v>
      </c>
      <c r="S2964">
        <v>-3.0045470000000001</v>
      </c>
      <c r="T2964">
        <v>5.7114359999999899E-3</v>
      </c>
      <c r="U2964">
        <v>-3.02124E-2</v>
      </c>
      <c r="V2964">
        <v>-2.7477189999999999E-2</v>
      </c>
      <c r="W2964">
        <v>-3.4600930000000002E-2</v>
      </c>
      <c r="X2964">
        <v>0.99902340000000001</v>
      </c>
      <c r="Y2964">
        <v>-4.7512099999999996E-3</v>
      </c>
      <c r="Z2964">
        <v>-1.140218E-4</v>
      </c>
      <c r="AA2964">
        <v>0.99998869999999895</v>
      </c>
      <c r="AB2964">
        <v>29</v>
      </c>
      <c r="AC2964">
        <v>-3.0045470000000001</v>
      </c>
      <c r="AD2964">
        <v>5.7114359999999899E-3</v>
      </c>
      <c r="AE2964">
        <v>-3.02124E-2</v>
      </c>
      <c r="AF2964">
        <v>-1.4273692305640099E-2</v>
      </c>
      <c r="AG2964">
        <v>5.7114359999999899E-3</v>
      </c>
      <c r="AH2964">
        <v>3.0046541373978299</v>
      </c>
      <c r="AI2964">
        <v>89.891089930413202</v>
      </c>
      <c r="AJ2964">
        <v>90.272183132498995</v>
      </c>
      <c r="AK2964">
        <v>3.0046934692535801</v>
      </c>
      <c r="AL2964">
        <v>91.982883075550902</v>
      </c>
      <c r="AM2964">
        <v>91.575468824299094</v>
      </c>
      <c r="AN2964">
        <v>0.99999998703736004</v>
      </c>
    </row>
    <row r="2965" spans="1:40" x14ac:dyDescent="0.25">
      <c r="A2965" t="str">
        <f>"20190303153828597"</f>
        <v>20190303153828597</v>
      </c>
      <c r="B2965" t="str">
        <f>"1551598708591717"</f>
        <v>1551598708591717</v>
      </c>
      <c r="C2965" t="s">
        <v>40</v>
      </c>
      <c r="D2965">
        <v>4.1078710000000003</v>
      </c>
      <c r="E2965">
        <v>0.51185539999999996</v>
      </c>
      <c r="F2965" t="s">
        <v>46</v>
      </c>
      <c r="G2965">
        <v>0</v>
      </c>
      <c r="H2965">
        <v>0</v>
      </c>
      <c r="I2965">
        <v>0</v>
      </c>
      <c r="J2965">
        <v>-414.5591</v>
      </c>
      <c r="K2965">
        <v>1.1211679999999999</v>
      </c>
      <c r="L2965">
        <v>283.9898</v>
      </c>
      <c r="M2965">
        <v>-0.99988619999999995</v>
      </c>
      <c r="N2965">
        <v>-1.4126909999999999E-2</v>
      </c>
      <c r="O2965">
        <v>-5.3042130000000003E-3</v>
      </c>
      <c r="P2965">
        <v>-0.99826749999999997</v>
      </c>
      <c r="Q2965">
        <v>-4.9379270000000003E-2</v>
      </c>
      <c r="R2965">
        <v>-3.1996490000000002E-2</v>
      </c>
      <c r="S2965">
        <v>-3.0043329999999999</v>
      </c>
      <c r="T2965">
        <v>4.9057010000000002E-3</v>
      </c>
      <c r="U2965">
        <v>-3.2501219999999997E-2</v>
      </c>
      <c r="V2965">
        <v>-2.670198E-2</v>
      </c>
      <c r="W2965">
        <v>-3.5268649999999999E-2</v>
      </c>
      <c r="X2965">
        <v>0.9990211</v>
      </c>
      <c r="Y2965">
        <v>-5.513614E-3</v>
      </c>
      <c r="Z2965">
        <v>-1.180414E-4</v>
      </c>
      <c r="AA2965">
        <v>0.99998480000000001</v>
      </c>
      <c r="AB2965">
        <v>29</v>
      </c>
      <c r="AC2965">
        <v>-3.0043329999999999</v>
      </c>
      <c r="AD2965">
        <v>4.9057010000000002E-3</v>
      </c>
      <c r="AE2965">
        <v>-3.2501219999999997E-2</v>
      </c>
      <c r="AF2965">
        <v>-1.6563506950597599E-2</v>
      </c>
      <c r="AG2965">
        <v>4.9057010000000002E-3</v>
      </c>
      <c r="AH2965">
        <v>3.0044551291067498</v>
      </c>
      <c r="AI2965">
        <v>89.906448447479306</v>
      </c>
      <c r="AJ2965">
        <v>90.315867399277707</v>
      </c>
      <c r="AK2965">
        <v>3.0045047908899498</v>
      </c>
      <c r="AL2965">
        <v>92.021163923342996</v>
      </c>
      <c r="AM2965">
        <v>91.531045335471106</v>
      </c>
      <c r="AN2965">
        <v>1.00000001582697</v>
      </c>
    </row>
    <row r="2966" spans="1:40" x14ac:dyDescent="0.25">
      <c r="A2966" t="str">
        <f>"20190303153828610"</f>
        <v>20190303153828610</v>
      </c>
      <c r="B2966" t="str">
        <f>"1551598708601475"</f>
        <v>1551598708601475</v>
      </c>
      <c r="C2966" t="s">
        <v>40</v>
      </c>
      <c r="D2966">
        <v>4.0999990000000004</v>
      </c>
      <c r="E2966">
        <v>0.51174370000000002</v>
      </c>
      <c r="F2966" t="s">
        <v>46</v>
      </c>
      <c r="G2966">
        <v>0</v>
      </c>
      <c r="H2966">
        <v>0</v>
      </c>
      <c r="I2966">
        <v>0</v>
      </c>
      <c r="J2966">
        <v>-414.72399999999999</v>
      </c>
      <c r="K2966">
        <v>1.1211629999999999</v>
      </c>
      <c r="L2966">
        <v>283.98899999999998</v>
      </c>
      <c r="M2966">
        <v>-0.99988619999999995</v>
      </c>
      <c r="N2966">
        <v>-1.41298E-2</v>
      </c>
      <c r="O2966">
        <v>-5.3042319999999999E-3</v>
      </c>
      <c r="P2966">
        <v>-0.99823390000000001</v>
      </c>
      <c r="Q2966">
        <v>-5.0354320000000001E-2</v>
      </c>
      <c r="R2966">
        <v>-3.1525150000000002E-2</v>
      </c>
      <c r="S2966">
        <v>-3.004791</v>
      </c>
      <c r="T2966">
        <v>-6.8347449999999997E-3</v>
      </c>
      <c r="U2966">
        <v>-3.540039E-3</v>
      </c>
      <c r="V2966">
        <v>-2.6230409999999999E-2</v>
      </c>
      <c r="W2966">
        <v>-3.6241240000000001E-2</v>
      </c>
      <c r="X2966">
        <v>0.99899879999999996</v>
      </c>
      <c r="Y2966">
        <v>4.126195E-3</v>
      </c>
      <c r="Z2966" s="1">
        <v>-2.9041639999999999E-5</v>
      </c>
      <c r="AA2966">
        <v>0.99999150000000003</v>
      </c>
      <c r="AB2966">
        <v>29</v>
      </c>
      <c r="AC2966">
        <v>-3.004791</v>
      </c>
      <c r="AD2966">
        <v>-6.8347449999999997E-3</v>
      </c>
      <c r="AE2966">
        <v>-3.540039E-3</v>
      </c>
      <c r="AF2966">
        <v>1.23996449139239E-2</v>
      </c>
      <c r="AG2966">
        <v>-6.8347449999999997E-3</v>
      </c>
      <c r="AH2966">
        <v>3.00475195442315</v>
      </c>
      <c r="AI2966">
        <v>90.130326242823699</v>
      </c>
      <c r="AJ2966">
        <v>89.763560087821602</v>
      </c>
      <c r="AK2966">
        <v>3.0047853122216499</v>
      </c>
      <c r="AL2966">
        <v>92.076924847212894</v>
      </c>
      <c r="AM2966">
        <v>91.504052416322196</v>
      </c>
      <c r="AN2966">
        <v>1.0000000321434701</v>
      </c>
    </row>
    <row r="2967" spans="1:40" x14ac:dyDescent="0.25">
      <c r="A2967" t="str">
        <f>"20190303153828622"</f>
        <v>20190303153828622</v>
      </c>
      <c r="B2967" t="str">
        <f>"1551598708611235"</f>
        <v>1551598708611235</v>
      </c>
      <c r="C2967" t="s">
        <v>40</v>
      </c>
      <c r="D2967">
        <v>4.1011430000000004</v>
      </c>
      <c r="E2967">
        <v>0.511602</v>
      </c>
      <c r="F2967" t="s">
        <v>46</v>
      </c>
      <c r="G2967">
        <v>0</v>
      </c>
      <c r="H2967">
        <v>0</v>
      </c>
      <c r="I2967">
        <v>0</v>
      </c>
      <c r="J2967">
        <v>-414.89830000000001</v>
      </c>
      <c r="K2967">
        <v>1.121156</v>
      </c>
      <c r="L2967">
        <v>283.98809999999997</v>
      </c>
      <c r="M2967">
        <v>-0.99988619999999995</v>
      </c>
      <c r="N2967">
        <v>-1.413229E-2</v>
      </c>
      <c r="O2967">
        <v>-5.3032899999999996E-3</v>
      </c>
      <c r="P2967">
        <v>-0.99819049999999998</v>
      </c>
      <c r="Q2967">
        <v>-5.1396030000000002E-2</v>
      </c>
      <c r="R2967">
        <v>-3.121239E-2</v>
      </c>
      <c r="S2967">
        <v>-3.0046689999999998</v>
      </c>
      <c r="T2967">
        <v>-1.123321E-2</v>
      </c>
      <c r="U2967">
        <v>-2.7770999999999998E-3</v>
      </c>
      <c r="V2967">
        <v>-2.5919310000000001E-2</v>
      </c>
      <c r="W2967">
        <v>-3.7280969999999997E-2</v>
      </c>
      <c r="X2967">
        <v>0.99896859999999998</v>
      </c>
      <c r="Y2967">
        <v>4.3791359999999996E-3</v>
      </c>
      <c r="Z2967" s="1">
        <v>-1.5994229999999999E-5</v>
      </c>
      <c r="AA2967">
        <v>0.99999039999999995</v>
      </c>
      <c r="AB2967">
        <v>29</v>
      </c>
      <c r="AC2967">
        <v>-3.0046689999999998</v>
      </c>
      <c r="AD2967">
        <v>-1.123321E-2</v>
      </c>
      <c r="AE2967">
        <v>-2.7770999999999998E-3</v>
      </c>
      <c r="AF2967">
        <v>1.31589756145982E-2</v>
      </c>
      <c r="AG2967">
        <v>-1.123321E-2</v>
      </c>
      <c r="AH2967">
        <v>3.0045994722231</v>
      </c>
      <c r="AI2967">
        <v>90.214207037642197</v>
      </c>
      <c r="AJ2967">
        <v>89.749068402650195</v>
      </c>
      <c r="AK2967">
        <v>3.0046492860447902</v>
      </c>
      <c r="AL2967">
        <v>92.136537409274197</v>
      </c>
      <c r="AM2967">
        <v>91.486266892752994</v>
      </c>
      <c r="AN2967">
        <v>0.999999972570488</v>
      </c>
    </row>
    <row r="2968" spans="1:40" x14ac:dyDescent="0.25">
      <c r="A2968" t="str">
        <f>"20190303153828642"</f>
        <v>20190303153828642</v>
      </c>
      <c r="B2968" t="str">
        <f>"1551598708631731"</f>
        <v>1551598708631731</v>
      </c>
      <c r="C2968" t="s">
        <v>40</v>
      </c>
      <c r="D2968">
        <v>4.1005229999999999</v>
      </c>
      <c r="E2968">
        <v>0.51145419999999997</v>
      </c>
      <c r="F2968" t="s">
        <v>46</v>
      </c>
      <c r="G2968">
        <v>0</v>
      </c>
      <c r="H2968">
        <v>0</v>
      </c>
      <c r="I2968">
        <v>0</v>
      </c>
      <c r="J2968">
        <v>-415.13159999999999</v>
      </c>
      <c r="K2968">
        <v>1.121148</v>
      </c>
      <c r="L2968">
        <v>283.98680000000002</v>
      </c>
      <c r="M2968">
        <v>-0.9998861</v>
      </c>
      <c r="N2968">
        <v>-1.4135129999999999E-2</v>
      </c>
      <c r="O2968">
        <v>-5.2987449999999997E-3</v>
      </c>
      <c r="P2968">
        <v>-0.99809119999999996</v>
      </c>
      <c r="Q2968">
        <v>-5.3838900000000002E-2</v>
      </c>
      <c r="R2968">
        <v>-3.0258110000000001E-2</v>
      </c>
      <c r="S2968">
        <v>-3.0045169999999999</v>
      </c>
      <c r="T2968">
        <v>-1.5508060000000001E-2</v>
      </c>
      <c r="U2968">
        <v>-2.89917E-3</v>
      </c>
      <c r="V2968">
        <v>-2.4970450000000002E-2</v>
      </c>
      <c r="W2968">
        <v>-3.9722170000000001E-2</v>
      </c>
      <c r="X2968">
        <v>0.99889870000000003</v>
      </c>
      <c r="Y2968">
        <v>4.3339199999999998E-3</v>
      </c>
      <c r="Z2968" s="1">
        <v>-5.73631999999999E-6</v>
      </c>
      <c r="AA2968">
        <v>0.99999059999999995</v>
      </c>
      <c r="AB2968">
        <v>29</v>
      </c>
      <c r="AC2968">
        <v>-3.0045169999999999</v>
      </c>
      <c r="AD2968">
        <v>-1.5508060000000001E-2</v>
      </c>
      <c r="AE2968">
        <v>-2.89917E-3</v>
      </c>
      <c r="AF2968">
        <v>1.3022283150045701E-2</v>
      </c>
      <c r="AG2968">
        <v>-1.5508060000000001E-2</v>
      </c>
      <c r="AH2968">
        <v>3.0044101331191002</v>
      </c>
      <c r="AI2968">
        <v>90.295741962508302</v>
      </c>
      <c r="AJ2968">
        <v>89.751659341212005</v>
      </c>
      <c r="AK2968">
        <v>3.0044783786494702</v>
      </c>
      <c r="AL2968">
        <v>92.276511642678898</v>
      </c>
      <c r="AM2968">
        <v>91.4319805347602</v>
      </c>
      <c r="AN2968">
        <v>0.99999999351220004</v>
      </c>
    </row>
    <row r="2969" spans="1:40" x14ac:dyDescent="0.25">
      <c r="A2969" t="str">
        <f>"20190303153828656"</f>
        <v>20190303153828656</v>
      </c>
      <c r="B2969" t="str">
        <f>"1551598708651251"</f>
        <v>1551598708651251</v>
      </c>
      <c r="C2969" t="s">
        <v>40</v>
      </c>
      <c r="D2969">
        <v>4.1058009999999996</v>
      </c>
      <c r="E2969">
        <v>0.51154230000000001</v>
      </c>
      <c r="F2969" t="s">
        <v>46</v>
      </c>
      <c r="G2969">
        <v>0</v>
      </c>
      <c r="H2969">
        <v>0</v>
      </c>
      <c r="I2969">
        <v>0</v>
      </c>
      <c r="J2969">
        <v>-415.31599999999997</v>
      </c>
      <c r="K2969">
        <v>1.121143</v>
      </c>
      <c r="L2969">
        <v>283.98579999999998</v>
      </c>
      <c r="M2969">
        <v>-0.9998861</v>
      </c>
      <c r="N2969">
        <v>-1.413696E-2</v>
      </c>
      <c r="O2969">
        <v>-5.2897550000000002E-3</v>
      </c>
      <c r="P2969">
        <v>-0.99806760000000005</v>
      </c>
      <c r="Q2969">
        <v>-5.435885E-2</v>
      </c>
      <c r="R2969">
        <v>-3.010852E-2</v>
      </c>
      <c r="S2969">
        <v>-3.004578</v>
      </c>
      <c r="T2969">
        <v>-2.104557E-2</v>
      </c>
      <c r="U2969">
        <v>-1.525879E-3</v>
      </c>
      <c r="V2969">
        <v>-2.482989E-2</v>
      </c>
      <c r="W2969">
        <v>-4.0240369999999998E-2</v>
      </c>
      <c r="X2969">
        <v>0.99888149999999998</v>
      </c>
      <c r="Y2969">
        <v>4.7819510000000004E-3</v>
      </c>
      <c r="Z2969" s="1">
        <v>1.281694E-5</v>
      </c>
      <c r="AA2969">
        <v>0.99998860000000001</v>
      </c>
      <c r="AB2969">
        <v>29</v>
      </c>
      <c r="AC2969">
        <v>-3.004578</v>
      </c>
      <c r="AD2969">
        <v>-2.104557E-2</v>
      </c>
      <c r="AE2969">
        <v>-1.525879E-3</v>
      </c>
      <c r="AF2969">
        <v>1.43685069292479E-2</v>
      </c>
      <c r="AG2969">
        <v>-2.104557E-2</v>
      </c>
      <c r="AH2969">
        <v>3.0043966225440699</v>
      </c>
      <c r="AI2969">
        <v>90.401341426809694</v>
      </c>
      <c r="AJ2969">
        <v>89.725985403425796</v>
      </c>
      <c r="AK2969">
        <v>3.0045046905541999</v>
      </c>
      <c r="AL2969">
        <v>92.306225988599707</v>
      </c>
      <c r="AM2969">
        <v>91.423947676459093</v>
      </c>
      <c r="AN2969">
        <v>1.0000000309286901</v>
      </c>
    </row>
    <row r="2970" spans="1:40" x14ac:dyDescent="0.25">
      <c r="A2970" t="str">
        <f>"20190303153828676"</f>
        <v>20190303153828676</v>
      </c>
      <c r="B2970" t="str">
        <f>"1551598708671747"</f>
        <v>1551598708671747</v>
      </c>
      <c r="C2970" t="s">
        <v>40</v>
      </c>
      <c r="D2970">
        <v>4.0957059999999998</v>
      </c>
      <c r="E2970">
        <v>0.51144319999999999</v>
      </c>
      <c r="F2970" t="s">
        <v>46</v>
      </c>
      <c r="G2970">
        <v>0</v>
      </c>
      <c r="H2970">
        <v>0</v>
      </c>
      <c r="I2970">
        <v>0</v>
      </c>
      <c r="J2970">
        <v>-415.57240000000002</v>
      </c>
      <c r="K2970">
        <v>1.121132</v>
      </c>
      <c r="L2970">
        <v>283.98450000000003</v>
      </c>
      <c r="M2970">
        <v>-0.99988630000000001</v>
      </c>
      <c r="N2970">
        <v>-1.4138950000000001E-2</v>
      </c>
      <c r="O2970">
        <v>-5.2645729999999998E-3</v>
      </c>
      <c r="P2970">
        <v>-0.99808359999999996</v>
      </c>
      <c r="Q2970">
        <v>-5.4036180000000003E-2</v>
      </c>
      <c r="R2970">
        <v>-3.0157110000000001E-2</v>
      </c>
      <c r="S2970">
        <v>-3.0046390000000001</v>
      </c>
      <c r="T2970">
        <v>-2.1131629999999998E-2</v>
      </c>
      <c r="U2970">
        <v>-5.1879879999999995E-4</v>
      </c>
      <c r="V2970">
        <v>-2.4905E-2</v>
      </c>
      <c r="W2970">
        <v>-3.991492E-2</v>
      </c>
      <c r="X2970">
        <v>0.99889269999999997</v>
      </c>
      <c r="Y2970">
        <v>5.0919229999999999E-3</v>
      </c>
      <c r="Z2970" s="1">
        <v>1.649063E-5</v>
      </c>
      <c r="AA2970">
        <v>0.99998699999999996</v>
      </c>
      <c r="AB2970">
        <v>29</v>
      </c>
      <c r="AC2970">
        <v>-3.0046390000000001</v>
      </c>
      <c r="AD2970">
        <v>-2.1131629999999998E-2</v>
      </c>
      <c r="AE2970">
        <v>-5.1879879999999995E-4</v>
      </c>
      <c r="AF2970">
        <v>1.53001724023288E-2</v>
      </c>
      <c r="AG2970">
        <v>-2.1131629999999998E-2</v>
      </c>
      <c r="AH2970">
        <v>3.0044514755414098</v>
      </c>
      <c r="AI2970">
        <v>90.402974572948494</v>
      </c>
      <c r="AJ2970">
        <v>89.708223702849907</v>
      </c>
      <c r="AK2970">
        <v>3.0045647455072402</v>
      </c>
      <c r="AL2970">
        <v>92.287564056486701</v>
      </c>
      <c r="AM2970">
        <v>91.428237305230894</v>
      </c>
      <c r="AN2970">
        <v>1.0000000429884399</v>
      </c>
    </row>
    <row r="2971" spans="1:40" x14ac:dyDescent="0.25">
      <c r="A2971" t="str">
        <f>"20190303153828698"</f>
        <v>20190303153828698</v>
      </c>
      <c r="B2971" t="str">
        <f>"1551598708691267"</f>
        <v>1551598708691267</v>
      </c>
      <c r="C2971" t="s">
        <v>40</v>
      </c>
      <c r="D2971">
        <v>4.1313810000000002</v>
      </c>
      <c r="E2971">
        <v>0.51119729999999997</v>
      </c>
      <c r="F2971" t="s">
        <v>46</v>
      </c>
      <c r="G2971">
        <v>0</v>
      </c>
      <c r="H2971">
        <v>0</v>
      </c>
      <c r="I2971">
        <v>0</v>
      </c>
      <c r="J2971">
        <v>-415.85719999999998</v>
      </c>
      <c r="K2971">
        <v>1.1211180000000001</v>
      </c>
      <c r="L2971">
        <v>283.983</v>
      </c>
      <c r="M2971">
        <v>-0.99988650000000001</v>
      </c>
      <c r="N2971">
        <v>-1.414048E-2</v>
      </c>
      <c r="O2971">
        <v>-5.2125519999999996E-3</v>
      </c>
      <c r="P2971">
        <v>-0.99812900000000004</v>
      </c>
      <c r="Q2971">
        <v>-5.2691210000000002E-2</v>
      </c>
      <c r="R2971">
        <v>-3.101512E-2</v>
      </c>
      <c r="S2971">
        <v>-3.004578</v>
      </c>
      <c r="T2971">
        <v>-2.1101470000000001E-2</v>
      </c>
      <c r="U2971">
        <v>-1.373291E-3</v>
      </c>
      <c r="V2971">
        <v>-2.5816579999999999E-2</v>
      </c>
      <c r="W2971">
        <v>-3.8566719999999999E-2</v>
      </c>
      <c r="X2971">
        <v>0.99892250000000005</v>
      </c>
      <c r="Y2971">
        <v>4.7555280000000002E-3</v>
      </c>
      <c r="Z2971" s="1">
        <v>1.321961E-5</v>
      </c>
      <c r="AA2971">
        <v>0.99998869999999895</v>
      </c>
      <c r="AB2971">
        <v>29</v>
      </c>
      <c r="AC2971">
        <v>-3.004578</v>
      </c>
      <c r="AD2971">
        <v>-2.1101470000000001E-2</v>
      </c>
      <c r="AE2971">
        <v>-1.373291E-3</v>
      </c>
      <c r="AF2971">
        <v>1.4289106876379999E-2</v>
      </c>
      <c r="AG2971">
        <v>-2.1101470000000001E-2</v>
      </c>
      <c r="AH2971">
        <v>3.0043961435283402</v>
      </c>
      <c r="AI2971">
        <v>90.402407526066796</v>
      </c>
      <c r="AJ2971">
        <v>89.727499535708503</v>
      </c>
      <c r="AK2971">
        <v>3.0045042249694802</v>
      </c>
      <c r="AL2971">
        <v>92.210258382980399</v>
      </c>
      <c r="AM2971">
        <v>91.480447057098601</v>
      </c>
      <c r="AN2971">
        <v>1.00000002435035</v>
      </c>
    </row>
    <row r="2972" spans="1:40" x14ac:dyDescent="0.25">
      <c r="A2972" t="str">
        <f>"20190303153828720"</f>
        <v>20190303153828720</v>
      </c>
      <c r="B2972" t="str">
        <f>"1551598708711763"</f>
        <v>1551598708711763</v>
      </c>
      <c r="C2972" t="s">
        <v>40</v>
      </c>
      <c r="D2972">
        <v>4.1310169999999999</v>
      </c>
      <c r="E2972">
        <v>0.51104430000000001</v>
      </c>
      <c r="F2972" t="s">
        <v>46</v>
      </c>
      <c r="G2972">
        <v>0</v>
      </c>
      <c r="H2972">
        <v>0</v>
      </c>
      <c r="I2972">
        <v>0</v>
      </c>
      <c r="J2972">
        <v>-416.14620000000002</v>
      </c>
      <c r="K2972">
        <v>1.121102</v>
      </c>
      <c r="L2972">
        <v>283.98160000000001</v>
      </c>
      <c r="M2972">
        <v>-0.99988690000000002</v>
      </c>
      <c r="N2972">
        <v>-1.414144E-2</v>
      </c>
      <c r="O2972">
        <v>-5.1271550000000004E-3</v>
      </c>
      <c r="P2972">
        <v>-0.99811130000000003</v>
      </c>
      <c r="Q2972">
        <v>-5.1842489999999998E-2</v>
      </c>
      <c r="R2972">
        <v>-3.2957729999999998E-2</v>
      </c>
      <c r="S2972">
        <v>-3.0045470000000001</v>
      </c>
      <c r="T2972">
        <v>-1.718271E-2</v>
      </c>
      <c r="U2972">
        <v>-6.286621E-3</v>
      </c>
      <c r="V2972">
        <v>-2.784609E-2</v>
      </c>
      <c r="W2972">
        <v>-3.7715390000000001E-2</v>
      </c>
      <c r="X2972">
        <v>0.99890049999999997</v>
      </c>
      <c r="Y2972">
        <v>3.0349650000000001E-3</v>
      </c>
      <c r="Z2972" s="1">
        <v>-1.304946E-5</v>
      </c>
      <c r="AA2972">
        <v>0.99999539999999998</v>
      </c>
      <c r="AB2972">
        <v>29</v>
      </c>
      <c r="AC2972">
        <v>-3.0045470000000001</v>
      </c>
      <c r="AD2972">
        <v>-1.718271E-2</v>
      </c>
      <c r="AE2972">
        <v>-6.286621E-3</v>
      </c>
      <c r="AF2972">
        <v>9.1194814968357501E-3</v>
      </c>
      <c r="AG2972">
        <v>-1.718271E-2</v>
      </c>
      <c r="AH2972">
        <v>3.0044414738502199</v>
      </c>
      <c r="AI2972">
        <v>90.327675377824406</v>
      </c>
      <c r="AJ2972">
        <v>89.826088741948098</v>
      </c>
      <c r="AK2972">
        <v>3.0045044483669798</v>
      </c>
      <c r="AL2972">
        <v>92.161445231746299</v>
      </c>
      <c r="AM2972">
        <v>91.596806028820694</v>
      </c>
      <c r="AN2972">
        <v>1.0000000321356901</v>
      </c>
    </row>
    <row r="2973" spans="1:40" x14ac:dyDescent="0.25">
      <c r="A2973" t="str">
        <f>"20190303153828734"</f>
        <v>20190303153828734</v>
      </c>
      <c r="B2973" t="str">
        <f>"1551598708721523"</f>
        <v>1551598708721523</v>
      </c>
      <c r="C2973" t="s">
        <v>40</v>
      </c>
      <c r="D2973">
        <v>4.1172700000000004</v>
      </c>
      <c r="E2973">
        <v>0.51095230000000003</v>
      </c>
      <c r="F2973" t="s">
        <v>46</v>
      </c>
      <c r="G2973">
        <v>0</v>
      </c>
      <c r="H2973">
        <v>0</v>
      </c>
      <c r="I2973">
        <v>0</v>
      </c>
      <c r="J2973">
        <v>-416.32010000000002</v>
      </c>
      <c r="K2973">
        <v>1.1210869999999999</v>
      </c>
      <c r="L2973">
        <v>283.98070000000001</v>
      </c>
      <c r="M2973">
        <v>-0.99988719999999998</v>
      </c>
      <c r="N2973">
        <v>-1.414178E-2</v>
      </c>
      <c r="O2973">
        <v>-5.0565319999999999E-3</v>
      </c>
      <c r="P2973">
        <v>-0.99806870000000003</v>
      </c>
      <c r="Q2973">
        <v>-5.172715E-2</v>
      </c>
      <c r="R2973">
        <v>-3.4401050000000002E-2</v>
      </c>
      <c r="S2973">
        <v>-3.004486</v>
      </c>
      <c r="T2973">
        <v>-1.359022E-2</v>
      </c>
      <c r="U2973">
        <v>-1.3549800000000001E-2</v>
      </c>
      <c r="V2973">
        <v>-2.936134E-2</v>
      </c>
      <c r="W2973">
        <v>-3.759871E-2</v>
      </c>
      <c r="X2973">
        <v>0.99886149999999996</v>
      </c>
      <c r="Y2973">
        <v>5.4697489999999997E-4</v>
      </c>
      <c r="Z2973" s="1">
        <v>-4.3535960000000002E-5</v>
      </c>
      <c r="AA2973">
        <v>0.99999979999999999</v>
      </c>
      <c r="AB2973">
        <v>29</v>
      </c>
      <c r="AC2973">
        <v>-3.004486</v>
      </c>
      <c r="AD2973">
        <v>-1.359022E-2</v>
      </c>
      <c r="AE2973">
        <v>-1.3549800000000001E-2</v>
      </c>
      <c r="AF2973">
        <v>1.6441388219474501E-3</v>
      </c>
      <c r="AG2973">
        <v>-1.359022E-2</v>
      </c>
      <c r="AH2973">
        <v>3.00445463291766</v>
      </c>
      <c r="AI2973">
        <v>90.259167441880095</v>
      </c>
      <c r="AJ2973">
        <v>89.968645821775496</v>
      </c>
      <c r="AK2973">
        <v>3.0044858193262498</v>
      </c>
      <c r="AL2973">
        <v>92.154755233439005</v>
      </c>
      <c r="AM2973">
        <v>91.683713494185099</v>
      </c>
      <c r="AN2973">
        <v>1.0000000237312501</v>
      </c>
    </row>
    <row r="2974" spans="1:40" x14ac:dyDescent="0.25">
      <c r="A2974" t="str">
        <f>"20190303153828753"</f>
        <v>20190303153828753</v>
      </c>
      <c r="B2974" t="str">
        <f>"1551598708742020"</f>
        <v>1551598708742020</v>
      </c>
      <c r="C2974" t="s">
        <v>40</v>
      </c>
      <c r="D2974">
        <v>4.1025419999999997</v>
      </c>
      <c r="E2974">
        <v>0.51092740000000003</v>
      </c>
      <c r="F2974" t="s">
        <v>46</v>
      </c>
      <c r="G2974">
        <v>0</v>
      </c>
      <c r="H2974">
        <v>0</v>
      </c>
      <c r="I2974">
        <v>0</v>
      </c>
      <c r="J2974">
        <v>-416.57580000000002</v>
      </c>
      <c r="K2974">
        <v>1.121051</v>
      </c>
      <c r="L2974">
        <v>283.9796</v>
      </c>
      <c r="M2974">
        <v>-0.999888</v>
      </c>
      <c r="N2974">
        <v>-1.414195E-2</v>
      </c>
      <c r="O2974">
        <v>-4.9191840000000001E-3</v>
      </c>
      <c r="P2974">
        <v>-0.99797440000000004</v>
      </c>
      <c r="Q2974">
        <v>-5.2125039999999997E-2</v>
      </c>
      <c r="R2974">
        <v>-3.6473169999999999E-2</v>
      </c>
      <c r="S2974">
        <v>-3.0044249999999999</v>
      </c>
      <c r="T2974">
        <v>-1.362205E-2</v>
      </c>
      <c r="U2974">
        <v>-1.852417E-2</v>
      </c>
      <c r="V2974">
        <v>-3.1574129999999999E-2</v>
      </c>
      <c r="W2974">
        <v>-3.7994880000000002E-2</v>
      </c>
      <c r="X2974">
        <v>0.99877899999999997</v>
      </c>
      <c r="Y2974">
        <v>-1.2460289999999901E-3</v>
      </c>
      <c r="Z2974" s="1">
        <v>-5.8903870000000002E-5</v>
      </c>
      <c r="AA2974">
        <v>0.99999919999999998</v>
      </c>
      <c r="AB2974">
        <v>29</v>
      </c>
      <c r="AC2974">
        <v>-3.0044249999999999</v>
      </c>
      <c r="AD2974">
        <v>-1.362205E-2</v>
      </c>
      <c r="AE2974">
        <v>-1.852417E-2</v>
      </c>
      <c r="AF2974">
        <v>-3.7430728988166002E-3</v>
      </c>
      <c r="AG2974">
        <v>-1.362205E-2</v>
      </c>
      <c r="AH2974">
        <v>3.0044180145004802</v>
      </c>
      <c r="AI2974">
        <v>90.259777439658606</v>
      </c>
      <c r="AJ2974">
        <v>90.071382266887298</v>
      </c>
      <c r="AK2974">
        <v>3.0044512272120398</v>
      </c>
      <c r="AL2974">
        <v>92.177470355005198</v>
      </c>
      <c r="AM2974">
        <v>91.810672945228802</v>
      </c>
      <c r="AN2974">
        <v>1.0000000137162299</v>
      </c>
    </row>
    <row r="2975" spans="1:40" x14ac:dyDescent="0.25">
      <c r="A2975" t="str">
        <f>"20190303153828767"</f>
        <v>20190303153828767</v>
      </c>
      <c r="B2975" t="str">
        <f>"1551598708761540"</f>
        <v>1551598708761540</v>
      </c>
      <c r="C2975" t="s">
        <v>40</v>
      </c>
      <c r="D2975">
        <v>4.1954469999999997</v>
      </c>
      <c r="E2975">
        <v>0.52634969999999903</v>
      </c>
      <c r="F2975" t="s">
        <v>46</v>
      </c>
      <c r="G2975">
        <v>0</v>
      </c>
      <c r="H2975">
        <v>0</v>
      </c>
      <c r="I2975">
        <v>0</v>
      </c>
      <c r="J2975">
        <v>-416.74950000000001</v>
      </c>
      <c r="K2975">
        <v>1.1210290000000001</v>
      </c>
      <c r="L2975">
        <v>283.97879999999998</v>
      </c>
      <c r="M2975">
        <v>-0.99988860000000002</v>
      </c>
      <c r="N2975">
        <v>-1.4141880000000001E-2</v>
      </c>
      <c r="O2975">
        <v>-4.8047369999999999E-3</v>
      </c>
      <c r="P2975">
        <v>-0.99791249999999998</v>
      </c>
      <c r="Q2975">
        <v>-5.2709869999999999E-2</v>
      </c>
      <c r="R2975">
        <v>-3.731694E-2</v>
      </c>
      <c r="S2975">
        <v>-3.0043950000000001</v>
      </c>
      <c r="T2975">
        <v>-1.4288189999999999E-2</v>
      </c>
      <c r="U2975">
        <v>-2.4810789999999999E-2</v>
      </c>
      <c r="V2975">
        <v>-3.2534479999999998E-2</v>
      </c>
      <c r="W2975">
        <v>-3.8578550000000003E-2</v>
      </c>
      <c r="X2975">
        <v>0.9987258</v>
      </c>
      <c r="Y2975">
        <v>-3.4527939999999999E-3</v>
      </c>
      <c r="Z2975" s="1">
        <v>-7.7728890000000007E-5</v>
      </c>
      <c r="AA2975">
        <v>0.99999400000000005</v>
      </c>
      <c r="AB2975">
        <v>29</v>
      </c>
      <c r="AC2975">
        <v>-3.0043950000000001</v>
      </c>
      <c r="AD2975">
        <v>-1.4288189999999999E-2</v>
      </c>
      <c r="AE2975">
        <v>-2.4810789999999999E-2</v>
      </c>
      <c r="AF2975">
        <v>-1.03734995344622E-2</v>
      </c>
      <c r="AG2975">
        <v>-1.4288189999999999E-2</v>
      </c>
      <c r="AH2975">
        <v>3.00441158813778</v>
      </c>
      <c r="AI2975">
        <v>90.272479954385304</v>
      </c>
      <c r="AJ2975">
        <v>90.197827548857205</v>
      </c>
      <c r="AK2975">
        <v>3.0044634717038399</v>
      </c>
      <c r="AL2975">
        <v>92.210936728033801</v>
      </c>
      <c r="AM2975">
        <v>91.865806836144898</v>
      </c>
      <c r="AN2975">
        <v>1.0000000102472999</v>
      </c>
    </row>
    <row r="2976" spans="1:40" x14ac:dyDescent="0.25">
      <c r="A2976" t="str">
        <f>"20190303153828780"</f>
        <v>20190303153828780</v>
      </c>
      <c r="B2976" t="str">
        <f>"1551598708771299"</f>
        <v>1551598708771299</v>
      </c>
      <c r="C2976" t="s">
        <v>40</v>
      </c>
      <c r="D2976">
        <v>4.1345650000000003</v>
      </c>
      <c r="E2976">
        <v>0.53273139999999997</v>
      </c>
      <c r="F2976" t="s">
        <v>46</v>
      </c>
      <c r="G2976">
        <v>0</v>
      </c>
      <c r="H2976">
        <v>0</v>
      </c>
      <c r="I2976">
        <v>0</v>
      </c>
      <c r="J2976">
        <v>-416.9074</v>
      </c>
      <c r="K2976">
        <v>1.1210119999999999</v>
      </c>
      <c r="L2976">
        <v>283.97820000000002</v>
      </c>
      <c r="M2976">
        <v>-0.99988909999999998</v>
      </c>
      <c r="N2976">
        <v>-1.414178E-2</v>
      </c>
      <c r="O2976">
        <v>-4.6809089999999996E-3</v>
      </c>
      <c r="P2976">
        <v>-0.99787420000000004</v>
      </c>
      <c r="Q2976">
        <v>-5.3124419999999999E-2</v>
      </c>
      <c r="R2976">
        <v>-3.7749030000000003E-2</v>
      </c>
      <c r="S2976">
        <v>-3.0089419999999998</v>
      </c>
      <c r="T2976">
        <v>-1.672614E-2</v>
      </c>
      <c r="U2976">
        <v>9.5458979999999999E-2</v>
      </c>
      <c r="V2976">
        <v>-3.309256E-2</v>
      </c>
      <c r="W2976">
        <v>-3.8991959999999999E-2</v>
      </c>
      <c r="X2976">
        <v>0.99869140000000001</v>
      </c>
      <c r="Y2976">
        <v>3.638566E-2</v>
      </c>
      <c r="Z2976">
        <v>3.1829900000000002E-4</v>
      </c>
      <c r="AA2976">
        <v>0.99933780000000005</v>
      </c>
      <c r="AB2976">
        <v>29</v>
      </c>
      <c r="AC2976">
        <v>-3.0089419999999998</v>
      </c>
      <c r="AD2976">
        <v>-1.672614E-2</v>
      </c>
      <c r="AE2976">
        <v>9.5458979999999999E-2</v>
      </c>
      <c r="AF2976">
        <v>0.109540544037613</v>
      </c>
      <c r="AG2976">
        <v>-1.672614E-2</v>
      </c>
      <c r="AH2976">
        <v>3.0083692831544502</v>
      </c>
      <c r="AI2976">
        <v>90.318342802975295</v>
      </c>
      <c r="AJ2976">
        <v>87.914671123947997</v>
      </c>
      <c r="AK2976">
        <v>3.0104093805285999</v>
      </c>
      <c r="AL2976">
        <v>92.234641231821598</v>
      </c>
      <c r="AM2976">
        <v>91.897854057243904</v>
      </c>
      <c r="AN2976">
        <v>1.00000000145297</v>
      </c>
    </row>
    <row r="2977" spans="1:40" x14ac:dyDescent="0.25">
      <c r="A2977" t="str">
        <f>"20190303153828798"</f>
        <v>20190303153828798</v>
      </c>
      <c r="B2977" t="str">
        <f>"1551598708791796"</f>
        <v>1551598708791796</v>
      </c>
      <c r="C2977" t="s">
        <v>40</v>
      </c>
      <c r="D2977">
        <v>4.1214579999999996</v>
      </c>
      <c r="E2977">
        <v>0.53924280000000002</v>
      </c>
      <c r="F2977" t="s">
        <v>43</v>
      </c>
      <c r="G2977">
        <v>-555.8098</v>
      </c>
      <c r="H2977">
        <v>-0.05</v>
      </c>
      <c r="I2977">
        <v>290.68200000000002</v>
      </c>
      <c r="J2977">
        <v>-417.1506</v>
      </c>
      <c r="K2977">
        <v>1.120986</v>
      </c>
      <c r="L2977">
        <v>283.97730000000001</v>
      </c>
      <c r="M2977">
        <v>-0.9998901</v>
      </c>
      <c r="N2977">
        <v>-1.41413999999999E-2</v>
      </c>
      <c r="O2977">
        <v>-4.4694260000000003E-3</v>
      </c>
      <c r="P2977">
        <v>-0.99787630000000005</v>
      </c>
      <c r="Q2977">
        <v>-5.3081150000000001E-2</v>
      </c>
      <c r="R2977">
        <v>-3.7757260000000001E-2</v>
      </c>
      <c r="S2977">
        <v>-3.0104980000000001</v>
      </c>
      <c r="T2977">
        <v>-2.53799E-2</v>
      </c>
      <c r="U2977">
        <v>0.14529420000000001</v>
      </c>
      <c r="V2977">
        <v>-3.3314530000000002E-2</v>
      </c>
      <c r="W2977">
        <v>-3.8946670000000003E-2</v>
      </c>
      <c r="X2977">
        <v>0.99868579999999996</v>
      </c>
      <c r="Y2977">
        <v>5.266552E-2</v>
      </c>
      <c r="Z2977">
        <v>5.6898729999999996E-4</v>
      </c>
      <c r="AA2977">
        <v>0.99861200000000006</v>
      </c>
      <c r="AB2977">
        <v>29</v>
      </c>
      <c r="AC2977">
        <v>-138.6592</v>
      </c>
      <c r="AD2977">
        <v>-1.1709860000000001</v>
      </c>
      <c r="AE2977">
        <v>6.7046999999999999</v>
      </c>
      <c r="AF2977">
        <v>7.3239008621015298</v>
      </c>
      <c r="AG2977">
        <v>-1.1709860000000001</v>
      </c>
      <c r="AH2977">
        <v>138.61798259654299</v>
      </c>
      <c r="AI2977">
        <v>90.4833248516438</v>
      </c>
      <c r="AJ2977">
        <v>86.975581507564399</v>
      </c>
      <c r="AK2977">
        <v>138.81626645024599</v>
      </c>
      <c r="AL2977">
        <v>92.232044305216803</v>
      </c>
      <c r="AM2977">
        <v>91.910585310369399</v>
      </c>
      <c r="AN2977">
        <v>1.0000000140674199</v>
      </c>
    </row>
    <row r="2978" spans="1:40" x14ac:dyDescent="0.25">
      <c r="A2978" t="str">
        <f>"20190303153828821"</f>
        <v>20190303153828821</v>
      </c>
      <c r="B2978" t="str">
        <f>"1551598708811314"</f>
        <v>1551598708811314</v>
      </c>
      <c r="C2978" t="s">
        <v>40</v>
      </c>
      <c r="D2978">
        <v>4.1490210000000003</v>
      </c>
      <c r="E2978">
        <v>0.54175600000000002</v>
      </c>
      <c r="F2978" t="s">
        <v>46</v>
      </c>
      <c r="G2978">
        <v>0</v>
      </c>
      <c r="H2978">
        <v>0</v>
      </c>
      <c r="I2978">
        <v>0</v>
      </c>
      <c r="J2978">
        <v>-417.43849999999998</v>
      </c>
      <c r="K2978">
        <v>1.120968</v>
      </c>
      <c r="L2978">
        <v>283.97629999999998</v>
      </c>
      <c r="M2978">
        <v>-0.99989130000000004</v>
      </c>
      <c r="N2978">
        <v>-1.413667E-2</v>
      </c>
      <c r="O2978">
        <v>-4.184124E-3</v>
      </c>
      <c r="P2978">
        <v>-0.99795650000000002</v>
      </c>
      <c r="Q2978">
        <v>-5.2420849999999998E-2</v>
      </c>
      <c r="R2978">
        <v>-3.6536829999999999E-2</v>
      </c>
      <c r="S2978">
        <v>-3.0127259999999998</v>
      </c>
      <c r="T2978">
        <v>-2.0512699999999998E-2</v>
      </c>
      <c r="U2978">
        <v>0.19708249999999999</v>
      </c>
      <c r="V2978">
        <v>-3.2381489999999999E-2</v>
      </c>
      <c r="W2978">
        <v>-3.8288330000000002E-2</v>
      </c>
      <c r="X2978">
        <v>0.99874189999999996</v>
      </c>
      <c r="Y2978">
        <v>6.9447140000000004E-2</v>
      </c>
      <c r="Z2978">
        <v>6.9697879999999995E-4</v>
      </c>
      <c r="AA2978">
        <v>0.99758539999999996</v>
      </c>
      <c r="AB2978">
        <v>29</v>
      </c>
      <c r="AC2978">
        <v>-3.0127259999999998</v>
      </c>
      <c r="AD2978">
        <v>-2.0512699999999998E-2</v>
      </c>
      <c r="AE2978">
        <v>0.19708249999999999</v>
      </c>
      <c r="AF2978">
        <v>0.20967797479069</v>
      </c>
      <c r="AG2978">
        <v>-2.0512699999999998E-2</v>
      </c>
      <c r="AH2978">
        <v>3.0117358991639498</v>
      </c>
      <c r="AI2978">
        <v>90.389288814266706</v>
      </c>
      <c r="AJ2978">
        <v>86.017476417424007</v>
      </c>
      <c r="AK2978">
        <v>3.0190956841886498</v>
      </c>
      <c r="AL2978">
        <v>92.194296140699194</v>
      </c>
      <c r="AM2978">
        <v>91.857009316777095</v>
      </c>
      <c r="AN2978">
        <v>0.99999996996220897</v>
      </c>
    </row>
    <row r="2979" spans="1:40" x14ac:dyDescent="0.25">
      <c r="A2979" t="str">
        <f>"20190303153828834"</f>
        <v>20190303153828834</v>
      </c>
      <c r="B2979" t="str">
        <f>"1551598708831811"</f>
        <v>1551598708831811</v>
      </c>
      <c r="C2979" t="s">
        <v>40</v>
      </c>
      <c r="D2979">
        <v>4.1476499999999996</v>
      </c>
      <c r="E2979">
        <v>0.54240440000000001</v>
      </c>
      <c r="F2979" t="s">
        <v>58</v>
      </c>
      <c r="G2979">
        <v>-550.15170000000001</v>
      </c>
      <c r="H2979">
        <v>1.2093400000000001</v>
      </c>
      <c r="I2979">
        <v>293.69319999999999</v>
      </c>
      <c r="J2979">
        <v>-417.6155</v>
      </c>
      <c r="K2979">
        <v>1.1209549999999999</v>
      </c>
      <c r="L2979">
        <v>283.97570000000002</v>
      </c>
      <c r="M2979">
        <v>-0.99989240000000001</v>
      </c>
      <c r="N2979">
        <v>-1.4124619999999999E-2</v>
      </c>
      <c r="O2979">
        <v>-3.9949850000000004E-3</v>
      </c>
      <c r="P2979">
        <v>-0.99803459999999999</v>
      </c>
      <c r="Q2979">
        <v>-5.1691840000000003E-2</v>
      </c>
      <c r="R2979">
        <v>-3.5424339999999999E-2</v>
      </c>
      <c r="S2979">
        <v>-3.0143430000000002</v>
      </c>
      <c r="T2979">
        <v>2.0091530000000001E-3</v>
      </c>
      <c r="U2979">
        <v>0.22070310000000001</v>
      </c>
      <c r="V2979">
        <v>-3.145796E-2</v>
      </c>
      <c r="W2979">
        <v>-3.7569859999999997E-2</v>
      </c>
      <c r="X2979">
        <v>0.99879870000000004</v>
      </c>
      <c r="Y2979">
        <v>7.700622E-2</v>
      </c>
      <c r="Z2979">
        <v>4.5995299999999998E-4</v>
      </c>
      <c r="AA2979">
        <v>0.99703050000000004</v>
      </c>
      <c r="AB2979">
        <v>29</v>
      </c>
      <c r="AC2979">
        <v>-132.53620000000001</v>
      </c>
      <c r="AD2979">
        <v>8.8384999999999894E-2</v>
      </c>
      <c r="AE2979">
        <v>9.7174999999999692</v>
      </c>
      <c r="AF2979">
        <v>10.246950788986499</v>
      </c>
      <c r="AG2979">
        <v>8.8384999999999894E-2</v>
      </c>
      <c r="AH2979">
        <v>132.49625840910301</v>
      </c>
      <c r="AI2979">
        <v>89.961893188946704</v>
      </c>
      <c r="AJ2979">
        <v>85.577681174926198</v>
      </c>
      <c r="AK2979">
        <v>132.891934686767</v>
      </c>
      <c r="AL2979">
        <v>92.153101196452795</v>
      </c>
      <c r="AM2979">
        <v>91.803979828092594</v>
      </c>
      <c r="AN2979">
        <v>0.99999997037473498</v>
      </c>
    </row>
    <row r="2980" spans="1:40" x14ac:dyDescent="0.25">
      <c r="A2980" t="str">
        <f>"20190303153828854"</f>
        <v>20190303153828854</v>
      </c>
      <c r="B2980" t="str">
        <f>"1551598708841571"</f>
        <v>1551598708841571</v>
      </c>
      <c r="C2980" t="s">
        <v>40</v>
      </c>
      <c r="D2980">
        <v>4.1583639999999997</v>
      </c>
      <c r="E2980">
        <v>0.54266930000000002</v>
      </c>
      <c r="F2980" t="s">
        <v>58</v>
      </c>
      <c r="G2980">
        <v>-550.05719999999997</v>
      </c>
      <c r="H2980">
        <v>1.0519579999999999</v>
      </c>
      <c r="I2980">
        <v>294.05079999999998</v>
      </c>
      <c r="J2980">
        <v>-417.85649999999998</v>
      </c>
      <c r="K2980">
        <v>1.1209279999999999</v>
      </c>
      <c r="L2980">
        <v>283.9751</v>
      </c>
      <c r="M2980">
        <v>-0.99989380000000005</v>
      </c>
      <c r="N2980">
        <v>-1.4087590000000001E-2</v>
      </c>
      <c r="O2980">
        <v>-3.723896E-3</v>
      </c>
      <c r="P2980">
        <v>-0.9981949</v>
      </c>
      <c r="Q2980">
        <v>-5.0552569999999998E-2</v>
      </c>
      <c r="R2980">
        <v>-3.2432000000000002E-2</v>
      </c>
      <c r="S2980">
        <v>-3.0139770000000001</v>
      </c>
      <c r="T2980">
        <v>-1.5681979999999901E-3</v>
      </c>
      <c r="U2980">
        <v>0.2292786</v>
      </c>
      <c r="V2980">
        <v>-2.873622E-2</v>
      </c>
      <c r="W2980">
        <v>-3.6466209999999999E-2</v>
      </c>
      <c r="X2980">
        <v>0.99892159999999997</v>
      </c>
      <c r="Y2980">
        <v>7.9564969999999999E-2</v>
      </c>
      <c r="Z2980">
        <v>5.314947E-4</v>
      </c>
      <c r="AA2980">
        <v>0.99682959999999998</v>
      </c>
      <c r="AB2980">
        <v>29</v>
      </c>
      <c r="AC2980">
        <v>-132.20069999999899</v>
      </c>
      <c r="AD2980">
        <v>-6.8970000000000198E-2</v>
      </c>
      <c r="AE2980">
        <v>10.0756999999999</v>
      </c>
      <c r="AF2980">
        <v>10.5679777956303</v>
      </c>
      <c r="AG2980">
        <v>-6.8970000000000198E-2</v>
      </c>
      <c r="AH2980">
        <v>132.162222826998</v>
      </c>
      <c r="AI2980">
        <v>90.029805161303202</v>
      </c>
      <c r="AJ2980">
        <v>85.428232605856806</v>
      </c>
      <c r="AK2980">
        <v>132.584086730357</v>
      </c>
      <c r="AL2980">
        <v>92.089823357529099</v>
      </c>
      <c r="AM2980">
        <v>91.647787144738501</v>
      </c>
      <c r="AN2980">
        <v>0.99999995887910498</v>
      </c>
    </row>
    <row r="2981" spans="1:40" x14ac:dyDescent="0.25">
      <c r="A2981" t="str">
        <f>"20190303153828877"</f>
        <v>20190303153828877</v>
      </c>
      <c r="B2981" t="str">
        <f>"1551598708871827"</f>
        <v>1551598708871827</v>
      </c>
      <c r="C2981" t="s">
        <v>40</v>
      </c>
      <c r="D2981">
        <v>4.1441330000000001</v>
      </c>
      <c r="E2981">
        <v>0.54274509999999998</v>
      </c>
      <c r="F2981" t="s">
        <v>58</v>
      </c>
      <c r="G2981">
        <v>-550.05719999999997</v>
      </c>
      <c r="H2981">
        <v>1.0927979999999999</v>
      </c>
      <c r="I2981">
        <v>294.51909999999998</v>
      </c>
      <c r="J2981">
        <v>-418.15750000000003</v>
      </c>
      <c r="K2981">
        <v>1.1209020000000001</v>
      </c>
      <c r="L2981">
        <v>283.97430000000003</v>
      </c>
      <c r="M2981">
        <v>-0.99989620000000001</v>
      </c>
      <c r="N2981">
        <v>-1.400912E-2</v>
      </c>
      <c r="O2981">
        <v>-3.37521E-3</v>
      </c>
      <c r="P2981">
        <v>-0.99828680000000003</v>
      </c>
      <c r="Q2981">
        <v>-4.9966799999999999E-2</v>
      </c>
      <c r="R2981">
        <v>-3.044061E-2</v>
      </c>
      <c r="S2981">
        <v>-3.0131839999999999</v>
      </c>
      <c r="T2981">
        <v>-6.3920019999999999E-4</v>
      </c>
      <c r="U2981">
        <v>0.24032590000000001</v>
      </c>
      <c r="V2981">
        <v>-2.7093840000000001E-2</v>
      </c>
      <c r="W2981">
        <v>-3.5958030000000002E-2</v>
      </c>
      <c r="X2981">
        <v>0.99898589999999998</v>
      </c>
      <c r="Y2981">
        <v>8.2869609999999996E-2</v>
      </c>
      <c r="Z2981">
        <v>5.4369539999999999E-4</v>
      </c>
      <c r="AA2981">
        <v>0.99656029999999995</v>
      </c>
      <c r="AB2981">
        <v>29</v>
      </c>
      <c r="AC2981">
        <v>-131.899699999999</v>
      </c>
      <c r="AD2981">
        <v>-2.8104000000000101E-2</v>
      </c>
      <c r="AE2981">
        <v>10.544799999999899</v>
      </c>
      <c r="AF2981">
        <v>10.9899722941657</v>
      </c>
      <c r="AG2981">
        <v>-2.8104000000000101E-2</v>
      </c>
      <c r="AH2981">
        <v>131.863348192111</v>
      </c>
      <c r="AI2981">
        <v>90.012169242290099</v>
      </c>
      <c r="AJ2981">
        <v>85.235771477067104</v>
      </c>
      <c r="AK2981">
        <v>132.32053082305501</v>
      </c>
      <c r="AL2981">
        <v>92.060687711746496</v>
      </c>
      <c r="AM2981">
        <v>91.553557691150701</v>
      </c>
      <c r="AN2981">
        <v>0.99999994224311595</v>
      </c>
    </row>
    <row r="2982" spans="1:40" x14ac:dyDescent="0.25">
      <c r="A2982" t="str">
        <f>"20190303153828899"</f>
        <v>20190303153828899</v>
      </c>
      <c r="B2982" t="str">
        <f>"1551598708891347"</f>
        <v>1551598708891347</v>
      </c>
      <c r="C2982" t="s">
        <v>40</v>
      </c>
      <c r="D2982">
        <v>4.1034160000000002</v>
      </c>
      <c r="E2982">
        <v>0.54296580000000005</v>
      </c>
      <c r="F2982" t="s">
        <v>58</v>
      </c>
      <c r="G2982">
        <v>-547.13390000000004</v>
      </c>
      <c r="H2982">
        <v>0.89934130000000001</v>
      </c>
      <c r="I2982">
        <v>294.55</v>
      </c>
      <c r="J2982">
        <v>-418.4391</v>
      </c>
      <c r="K2982">
        <v>1.1208739999999999</v>
      </c>
      <c r="L2982">
        <v>283.97379999999998</v>
      </c>
      <c r="M2982">
        <v>-0.99989830000000002</v>
      </c>
      <c r="N2982">
        <v>-1.3927429999999999E-2</v>
      </c>
      <c r="O2982">
        <v>-3.0519689999999999E-3</v>
      </c>
      <c r="P2982">
        <v>-0.99831650000000005</v>
      </c>
      <c r="Q2982">
        <v>-5.0281060000000002E-2</v>
      </c>
      <c r="R2982">
        <v>-2.8912009999999998E-2</v>
      </c>
      <c r="S2982">
        <v>-3.0124209999999998</v>
      </c>
      <c r="T2982">
        <v>-5.1728490000000002E-3</v>
      </c>
      <c r="U2982">
        <v>0.24700929999999999</v>
      </c>
      <c r="V2982">
        <v>-2.5888749999999999E-2</v>
      </c>
      <c r="W2982">
        <v>-3.6353900000000001E-2</v>
      </c>
      <c r="X2982">
        <v>0.99900359999999999</v>
      </c>
      <c r="Y2982">
        <v>8.4762980000000002E-2</v>
      </c>
      <c r="Z2982">
        <v>6.2673730000000003E-4</v>
      </c>
      <c r="AA2982">
        <v>0.99640099999999998</v>
      </c>
      <c r="AB2982">
        <v>29</v>
      </c>
      <c r="AC2982">
        <v>-128.69479999999999</v>
      </c>
      <c r="AD2982">
        <v>-0.221532699999999</v>
      </c>
      <c r="AE2982">
        <v>10.5762</v>
      </c>
      <c r="AF2982">
        <v>10.9689291089937</v>
      </c>
      <c r="AG2982">
        <v>-0.221532699999999</v>
      </c>
      <c r="AH2982">
        <v>128.66154046427701</v>
      </c>
      <c r="AI2982">
        <v>90.098296651480695</v>
      </c>
      <c r="AJ2982">
        <v>85.127080636023095</v>
      </c>
      <c r="AK2982">
        <v>129.128457270952</v>
      </c>
      <c r="AL2982">
        <v>92.083384085628097</v>
      </c>
      <c r="AM2982">
        <v>91.484463317118795</v>
      </c>
      <c r="AN2982">
        <v>1.0000000131173601</v>
      </c>
    </row>
    <row r="2983" spans="1:40" x14ac:dyDescent="0.25">
      <c r="A2983" t="str">
        <f>"20190303153828920"</f>
        <v>20190303153828920</v>
      </c>
      <c r="B2983" t="str">
        <f>"1551598708911843"</f>
        <v>1551598708911843</v>
      </c>
      <c r="C2983" t="s">
        <v>40</v>
      </c>
      <c r="D2983">
        <v>4.1551770000000001</v>
      </c>
      <c r="E2983">
        <v>0.54334899999999997</v>
      </c>
      <c r="F2983" t="s">
        <v>58</v>
      </c>
      <c r="G2983">
        <v>-544.32619999999997</v>
      </c>
      <c r="H2983">
        <v>1.1432359999999999</v>
      </c>
      <c r="I2983">
        <v>294.55</v>
      </c>
      <c r="J2983">
        <v>-418.71690000000001</v>
      </c>
      <c r="K2983">
        <v>1.1208480000000001</v>
      </c>
      <c r="L2983">
        <v>283.97329999999999</v>
      </c>
      <c r="M2983">
        <v>-0.99990029999999996</v>
      </c>
      <c r="N2983">
        <v>-1.38531E-2</v>
      </c>
      <c r="O2983">
        <v>-2.7389860000000001E-3</v>
      </c>
      <c r="P2983">
        <v>-0.99830600000000003</v>
      </c>
      <c r="Q2983">
        <v>-5.0700090000000003E-2</v>
      </c>
      <c r="R2983">
        <v>-2.854816E-2</v>
      </c>
      <c r="S2983">
        <v>-3.0123899999999999</v>
      </c>
      <c r="T2983">
        <v>5.3715709999999995E-4</v>
      </c>
      <c r="U2983">
        <v>0.25308229999999998</v>
      </c>
      <c r="V2983">
        <v>-2.583827E-2</v>
      </c>
      <c r="W2983">
        <v>-3.6847190000000002E-2</v>
      </c>
      <c r="X2983">
        <v>0.99898679999999995</v>
      </c>
      <c r="Y2983">
        <v>8.6447979999999994E-2</v>
      </c>
      <c r="Z2983">
        <v>5.5380860000000002E-4</v>
      </c>
      <c r="AA2983">
        <v>0.99625620000000004</v>
      </c>
      <c r="AB2983">
        <v>29</v>
      </c>
      <c r="AC2983">
        <v>-125.609299999999</v>
      </c>
      <c r="AD2983">
        <v>2.2388000000000002E-2</v>
      </c>
      <c r="AE2983">
        <v>10.576700000000001</v>
      </c>
      <c r="AF2983">
        <v>10.920735102090401</v>
      </c>
      <c r="AG2983">
        <v>2.2388000000000002E-2</v>
      </c>
      <c r="AH2983">
        <v>125.57985257104301</v>
      </c>
      <c r="AI2983">
        <v>89.989823885956099</v>
      </c>
      <c r="AJ2983">
        <v>85.029920593714294</v>
      </c>
      <c r="AK2983">
        <v>126.05380727355001</v>
      </c>
      <c r="AL2983">
        <v>92.111666542394502</v>
      </c>
      <c r="AM2983">
        <v>91.481594985142607</v>
      </c>
      <c r="AN2983">
        <v>0.99999997909086402</v>
      </c>
    </row>
    <row r="2984" spans="1:40" x14ac:dyDescent="0.25">
      <c r="A2984" t="str">
        <f>"20190303153828944"</f>
        <v>20190303153828944</v>
      </c>
      <c r="B2984" t="str">
        <f>"1551598708931363"</f>
        <v>1551598708931363</v>
      </c>
      <c r="C2984" t="s">
        <v>40</v>
      </c>
      <c r="D2984">
        <v>4.1182100000000004</v>
      </c>
      <c r="E2984">
        <v>0.54369769999999995</v>
      </c>
      <c r="F2984" t="s">
        <v>58</v>
      </c>
      <c r="G2984">
        <v>-542.66380000000004</v>
      </c>
      <c r="H2984">
        <v>1.581485</v>
      </c>
      <c r="I2984">
        <v>294.55</v>
      </c>
      <c r="J2984">
        <v>-419.00139999999999</v>
      </c>
      <c r="K2984">
        <v>1.120849</v>
      </c>
      <c r="L2984">
        <v>283.97289999999998</v>
      </c>
      <c r="M2984">
        <v>-0.99990179999999995</v>
      </c>
      <c r="N2984">
        <v>-1.37967E-2</v>
      </c>
      <c r="O2984">
        <v>-2.418608E-3</v>
      </c>
      <c r="P2984">
        <v>-0.99829699999999999</v>
      </c>
      <c r="Q2984">
        <v>-5.0259570000000003E-2</v>
      </c>
      <c r="R2984">
        <v>-2.9614769999999999E-2</v>
      </c>
      <c r="S2984">
        <v>-3.0130309999999998</v>
      </c>
      <c r="T2984">
        <v>1.119971E-2</v>
      </c>
      <c r="U2984">
        <v>0.25711060000000002</v>
      </c>
      <c r="V2984">
        <v>-2.722434E-2</v>
      </c>
      <c r="W2984">
        <v>-3.646257E-2</v>
      </c>
      <c r="X2984">
        <v>0.99896410000000002</v>
      </c>
      <c r="Y2984">
        <v>8.7434960000000006E-2</v>
      </c>
      <c r="Z2984">
        <v>3.9978490000000002E-4</v>
      </c>
      <c r="AA2984">
        <v>0.99617020000000001</v>
      </c>
      <c r="AB2984">
        <v>29</v>
      </c>
      <c r="AC2984">
        <v>-123.66240000000001</v>
      </c>
      <c r="AD2984">
        <v>0.46063599999999999</v>
      </c>
      <c r="AE2984">
        <v>10.5771</v>
      </c>
      <c r="AF2984">
        <v>10.8760386146858</v>
      </c>
      <c r="AG2984">
        <v>0.46063599999999999</v>
      </c>
      <c r="AH2984">
        <v>123.634750939778</v>
      </c>
      <c r="AI2984">
        <v>89.787350670760304</v>
      </c>
      <c r="AJ2984">
        <v>84.972682868661394</v>
      </c>
      <c r="AK2984">
        <v>124.113061526229</v>
      </c>
      <c r="AL2984">
        <v>92.089614621293904</v>
      </c>
      <c r="AM2984">
        <v>91.561070901669694</v>
      </c>
      <c r="AN2984">
        <v>0.99999997839412502</v>
      </c>
    </row>
    <row r="2985" spans="1:40" x14ac:dyDescent="0.25">
      <c r="A2985" t="str">
        <f>"20190303153828966"</f>
        <v>20190303153828966</v>
      </c>
      <c r="B2985" t="str">
        <f>"1551598708961620"</f>
        <v>1551598708961620</v>
      </c>
      <c r="C2985" t="s">
        <v>40</v>
      </c>
      <c r="D2985">
        <v>4.2050830000000001</v>
      </c>
      <c r="E2985">
        <v>0.54362719999999998</v>
      </c>
      <c r="F2985" t="s">
        <v>58</v>
      </c>
      <c r="G2985">
        <v>-543.2962</v>
      </c>
      <c r="H2985">
        <v>2.0247890000000002</v>
      </c>
      <c r="I2985">
        <v>294.55</v>
      </c>
      <c r="J2985">
        <v>-419.2885</v>
      </c>
      <c r="K2985">
        <v>1.120868</v>
      </c>
      <c r="L2985">
        <v>283.9726</v>
      </c>
      <c r="M2985">
        <v>-0.99990290000000004</v>
      </c>
      <c r="N2985">
        <v>-1.377839E-2</v>
      </c>
      <c r="O2985">
        <v>-2.093564E-3</v>
      </c>
      <c r="P2985">
        <v>-0.99822299999999997</v>
      </c>
      <c r="Q2985">
        <v>-5.0329930000000002E-2</v>
      </c>
      <c r="R2985">
        <v>-3.1901099999999898E-2</v>
      </c>
      <c r="S2985">
        <v>-3.013855</v>
      </c>
      <c r="T2985">
        <v>2.1920439999999999E-2</v>
      </c>
      <c r="U2985">
        <v>0.25646970000000002</v>
      </c>
      <c r="V2985">
        <v>-2.9834510000000002E-2</v>
      </c>
      <c r="W2985">
        <v>-3.6551210000000001E-2</v>
      </c>
      <c r="X2985">
        <v>0.9988863</v>
      </c>
      <c r="Y2985">
        <v>8.6878079999999996E-2</v>
      </c>
      <c r="Z2985">
        <v>2.402603E-4</v>
      </c>
      <c r="AA2985">
        <v>0.99621890000000002</v>
      </c>
      <c r="AB2985">
        <v>29</v>
      </c>
      <c r="AC2985">
        <v>-124.0077</v>
      </c>
      <c r="AD2985">
        <v>0.90392099999999898</v>
      </c>
      <c r="AE2985">
        <v>10.577400000000001</v>
      </c>
      <c r="AF2985">
        <v>10.8364479005139</v>
      </c>
      <c r="AG2985">
        <v>0.90392099999999898</v>
      </c>
      <c r="AH2985">
        <v>123.978741846703</v>
      </c>
      <c r="AI2985">
        <v>89.583854119321899</v>
      </c>
      <c r="AJ2985">
        <v>85.004717760109003</v>
      </c>
      <c r="AK2985">
        <v>124.45470704704699</v>
      </c>
      <c r="AL2985">
        <v>92.094696735850206</v>
      </c>
      <c r="AM2985">
        <v>91.710788777315003</v>
      </c>
      <c r="AN2985">
        <v>0.99999996463354601</v>
      </c>
    </row>
    <row r="2986" spans="1:40" x14ac:dyDescent="0.25">
      <c r="A2986" t="str">
        <f>"20190303153828988"</f>
        <v>20190303153828988</v>
      </c>
      <c r="B2986" t="str">
        <f>"1551598708981139"</f>
        <v>1551598708981139</v>
      </c>
      <c r="C2986" t="s">
        <v>40</v>
      </c>
      <c r="D2986">
        <v>4.1156709999999999</v>
      </c>
      <c r="E2986">
        <v>0.51440249999999998</v>
      </c>
      <c r="F2986" t="s">
        <v>58</v>
      </c>
      <c r="G2986">
        <v>-547.53399999999999</v>
      </c>
      <c r="H2986">
        <v>2.4181859999999999</v>
      </c>
      <c r="I2986">
        <v>294.55</v>
      </c>
      <c r="J2986">
        <v>-419.57709999999997</v>
      </c>
      <c r="K2986">
        <v>1.1208880000000001</v>
      </c>
      <c r="L2986">
        <v>283.97230000000002</v>
      </c>
      <c r="M2986">
        <v>-0.9999034</v>
      </c>
      <c r="N2986">
        <v>-1.3791660000000001E-2</v>
      </c>
      <c r="O2986">
        <v>-1.7668250000000001E-3</v>
      </c>
      <c r="P2986">
        <v>-0.99816110000000002</v>
      </c>
      <c r="Q2986">
        <v>-4.9723320000000001E-2</v>
      </c>
      <c r="R2986">
        <v>-3.4670659999999999E-2</v>
      </c>
      <c r="S2986">
        <v>-3.0148320000000002</v>
      </c>
      <c r="T2986">
        <v>3.0499700000000001E-2</v>
      </c>
      <c r="U2986">
        <v>0.24865719999999999</v>
      </c>
      <c r="V2986">
        <v>-3.2929659999999999E-2</v>
      </c>
      <c r="W2986">
        <v>-3.5931089999999999E-2</v>
      </c>
      <c r="X2986">
        <v>0.99881160000000002</v>
      </c>
      <c r="Y2986">
        <v>8.3960820000000005E-2</v>
      </c>
      <c r="Z2986">
        <v>1.138475E-4</v>
      </c>
      <c r="AA2986">
        <v>0.99646900000000005</v>
      </c>
      <c r="AB2986">
        <v>28</v>
      </c>
      <c r="AC2986">
        <v>-127.9569</v>
      </c>
      <c r="AD2986">
        <v>1.2972980000000001</v>
      </c>
      <c r="AE2986">
        <v>10.577699999999901</v>
      </c>
      <c r="AF2986">
        <v>10.802679551030399</v>
      </c>
      <c r="AG2986">
        <v>1.2972980000000001</v>
      </c>
      <c r="AH2986">
        <v>127.924949328135</v>
      </c>
      <c r="AI2986">
        <v>89.421038937888696</v>
      </c>
      <c r="AJ2986">
        <v>85.173084173357694</v>
      </c>
      <c r="AK2986">
        <v>128.38681212721599</v>
      </c>
      <c r="AL2986">
        <v>92.059143027695796</v>
      </c>
      <c r="AM2986">
        <v>91.888291439404597</v>
      </c>
      <c r="AN2986">
        <v>1.00000000901543</v>
      </c>
    </row>
    <row r="2987" spans="1:40" x14ac:dyDescent="0.25">
      <c r="A2987" t="str">
        <f>"20190303153829011"</f>
        <v>20190303153829011</v>
      </c>
      <c r="B2987" t="str">
        <f>"1551598709001635"</f>
        <v>1551598709001635</v>
      </c>
      <c r="C2987" t="s">
        <v>40</v>
      </c>
      <c r="D2987">
        <v>4.1347899999999997</v>
      </c>
      <c r="E2987">
        <v>0.50975820000000005</v>
      </c>
      <c r="F2987" t="s">
        <v>46</v>
      </c>
      <c r="G2987">
        <v>0</v>
      </c>
      <c r="H2987">
        <v>0</v>
      </c>
      <c r="I2987">
        <v>0</v>
      </c>
      <c r="J2987">
        <v>-419.85899999999998</v>
      </c>
      <c r="K2987">
        <v>1.120911</v>
      </c>
      <c r="L2987">
        <v>283.97219999999999</v>
      </c>
      <c r="M2987">
        <v>-0.99990349999999995</v>
      </c>
      <c r="N2987">
        <v>-1.3813799999999999E-2</v>
      </c>
      <c r="O2987">
        <v>-1.4520010000000001E-3</v>
      </c>
      <c r="P2987">
        <v>-0.99808830000000004</v>
      </c>
      <c r="Q2987">
        <v>-5.0023890000000001E-2</v>
      </c>
      <c r="R2987">
        <v>-3.6298709999999998E-2</v>
      </c>
      <c r="S2987">
        <v>-3.0081180000000001</v>
      </c>
      <c r="T2987">
        <v>4.6975259999999998E-2</v>
      </c>
      <c r="U2987">
        <v>7.2021480000000002E-3</v>
      </c>
      <c r="V2987">
        <v>-3.4871489999999998E-2</v>
      </c>
      <c r="W2987">
        <v>-3.6209890000000002E-2</v>
      </c>
      <c r="X2987">
        <v>0.99873559999999995</v>
      </c>
      <c r="Y2987">
        <v>3.8456810000000001E-3</v>
      </c>
      <c r="Z2987" s="1">
        <v>-4.6191840000000003E-5</v>
      </c>
      <c r="AA2987">
        <v>0.99999260000000001</v>
      </c>
      <c r="AB2987">
        <v>28</v>
      </c>
      <c r="AC2987">
        <v>-3.0081180000000001</v>
      </c>
      <c r="AD2987">
        <v>4.6975259999999998E-2</v>
      </c>
      <c r="AE2987">
        <v>7.2021480000000002E-3</v>
      </c>
      <c r="AF2987">
        <v>1.1567526783908801E-2</v>
      </c>
      <c r="AG2987">
        <v>4.6975259999999998E-2</v>
      </c>
      <c r="AH2987">
        <v>3.0073709829243098</v>
      </c>
      <c r="AI2987">
        <v>89.105116931868693</v>
      </c>
      <c r="AJ2987">
        <v>89.779619076126096</v>
      </c>
      <c r="AK2987">
        <v>3.0077600821314001</v>
      </c>
      <c r="AL2987">
        <v>92.075127536838195</v>
      </c>
      <c r="AM2987">
        <v>91.999706306991897</v>
      </c>
      <c r="AN2987">
        <v>0.99999998782799504</v>
      </c>
    </row>
    <row r="2988" spans="1:40" x14ac:dyDescent="0.25">
      <c r="A2988" t="str">
        <f>"20190303153829032"</f>
        <v>20190303153829032</v>
      </c>
      <c r="B2988" t="str">
        <f>"1551598709021155"</f>
        <v>1551598709021155</v>
      </c>
      <c r="C2988" t="s">
        <v>40</v>
      </c>
      <c r="D2988">
        <v>4.1169609999999999</v>
      </c>
      <c r="E2988">
        <v>0.50886390000000004</v>
      </c>
      <c r="F2988" t="s">
        <v>46</v>
      </c>
      <c r="G2988">
        <v>0</v>
      </c>
      <c r="H2988">
        <v>0</v>
      </c>
      <c r="I2988">
        <v>0</v>
      </c>
      <c r="J2988">
        <v>-420.14080000000001</v>
      </c>
      <c r="K2988">
        <v>1.1209199999999999</v>
      </c>
      <c r="L2988">
        <v>283.97210000000001</v>
      </c>
      <c r="M2988">
        <v>-0.99990369999999995</v>
      </c>
      <c r="N2988">
        <v>-1.3836340000000001E-2</v>
      </c>
      <c r="O2988">
        <v>-1.1445019999999999E-3</v>
      </c>
      <c r="P2988">
        <v>-0.99804090000000001</v>
      </c>
      <c r="Q2988">
        <v>-5.0905600000000002E-2</v>
      </c>
      <c r="R2988">
        <v>-3.6374709999999998E-2</v>
      </c>
      <c r="S2988">
        <v>-3.0064700000000002</v>
      </c>
      <c r="T2988">
        <v>3.9685730000000002E-2</v>
      </c>
      <c r="U2988">
        <v>-3.3996579999999998E-2</v>
      </c>
      <c r="V2988">
        <v>-3.5254689999999998E-2</v>
      </c>
      <c r="W2988">
        <v>-3.7069650000000003E-2</v>
      </c>
      <c r="X2988">
        <v>0.99869059999999998</v>
      </c>
      <c r="Y2988">
        <v>-1.0163E-2</v>
      </c>
      <c r="Z2988" s="1">
        <v>-3.4184489999999997E-5</v>
      </c>
      <c r="AA2988">
        <v>0.99994839999999996</v>
      </c>
      <c r="AB2988">
        <v>28</v>
      </c>
      <c r="AC2988">
        <v>-3.0064700000000002</v>
      </c>
      <c r="AD2988">
        <v>3.9685730000000002E-2</v>
      </c>
      <c r="AE2988">
        <v>-3.3996579999999998E-2</v>
      </c>
      <c r="AF2988">
        <v>-3.0549995226542299E-2</v>
      </c>
      <c r="AG2988">
        <v>3.9685730000000002E-2</v>
      </c>
      <c r="AH2988">
        <v>3.0059832392730899</v>
      </c>
      <c r="AI2988">
        <v>89.243650027169906</v>
      </c>
      <c r="AJ2988">
        <v>90.582280535357398</v>
      </c>
      <c r="AK2988">
        <v>3.00640042146164</v>
      </c>
      <c r="AL2988">
        <v>92.124421266782903</v>
      </c>
      <c r="AM2988">
        <v>92.021753801799903</v>
      </c>
      <c r="AN2988">
        <v>0.99999998332323903</v>
      </c>
    </row>
    <row r="2989" spans="1:40" x14ac:dyDescent="0.25">
      <c r="A2989" t="str">
        <f>"20190303153829055"</f>
        <v>20190303153829055</v>
      </c>
      <c r="B2989" t="str">
        <f>"1551598709051411"</f>
        <v>1551598709051411</v>
      </c>
      <c r="C2989" t="s">
        <v>40</v>
      </c>
      <c r="D2989">
        <v>4.0944140000000004</v>
      </c>
      <c r="E2989">
        <v>0.50880139999999996</v>
      </c>
      <c r="F2989" t="s">
        <v>46</v>
      </c>
      <c r="G2989">
        <v>0</v>
      </c>
      <c r="H2989">
        <v>0</v>
      </c>
      <c r="I2989">
        <v>0</v>
      </c>
      <c r="J2989">
        <v>-420.41800000000001</v>
      </c>
      <c r="K2989">
        <v>1.120932</v>
      </c>
      <c r="L2989">
        <v>283.97210000000001</v>
      </c>
      <c r="M2989">
        <v>-0.9999036</v>
      </c>
      <c r="N2989">
        <v>-1.385982E-2</v>
      </c>
      <c r="O2989">
        <v>-8.4698469999999997E-4</v>
      </c>
      <c r="P2989">
        <v>-0.99802800000000003</v>
      </c>
      <c r="Q2989">
        <v>-5.1798190000000001E-2</v>
      </c>
      <c r="R2989">
        <v>-3.5456300000000003E-2</v>
      </c>
      <c r="S2989">
        <v>-3.005951</v>
      </c>
      <c r="T2989">
        <v>2.9999970000000001E-2</v>
      </c>
      <c r="U2989">
        <v>-4.1534420000000002E-2</v>
      </c>
      <c r="V2989">
        <v>-3.4633990000000003E-2</v>
      </c>
      <c r="W2989">
        <v>-3.7939309999999997E-2</v>
      </c>
      <c r="X2989">
        <v>0.99867969999999895</v>
      </c>
      <c r="Y2989">
        <v>-1.296959E-2</v>
      </c>
      <c r="Z2989" s="1">
        <v>-4.5361839999999999E-5</v>
      </c>
      <c r="AA2989">
        <v>0.99991589999999997</v>
      </c>
      <c r="AB2989">
        <v>28</v>
      </c>
      <c r="AC2989">
        <v>-3.005951</v>
      </c>
      <c r="AD2989">
        <v>2.9999970000000001E-2</v>
      </c>
      <c r="AE2989">
        <v>-4.1534420000000002E-2</v>
      </c>
      <c r="AF2989">
        <v>-3.8984283790154103E-2</v>
      </c>
      <c r="AG2989">
        <v>2.9999970000000001E-2</v>
      </c>
      <c r="AH2989">
        <v>3.0056857820648801</v>
      </c>
      <c r="AI2989">
        <v>89.428193707169299</v>
      </c>
      <c r="AJ2989">
        <v>90.743094871391307</v>
      </c>
      <c r="AK2989">
        <v>3.0060882876405302</v>
      </c>
      <c r="AL2989">
        <v>92.174284109238698</v>
      </c>
      <c r="AM2989">
        <v>91.986208889952707</v>
      </c>
      <c r="AN2989">
        <v>1.0000000238493401</v>
      </c>
    </row>
    <row r="2990" spans="1:40" x14ac:dyDescent="0.25">
      <c r="A2990" t="str">
        <f>"20190303153829078"</f>
        <v>20190303153829078</v>
      </c>
      <c r="B2990" t="str">
        <f>"1551598709071907"</f>
        <v>1551598709071907</v>
      </c>
      <c r="C2990" t="s">
        <v>40</v>
      </c>
      <c r="D2990">
        <v>4.1115469999999998</v>
      </c>
      <c r="E2990">
        <v>0.50882419999999995</v>
      </c>
      <c r="F2990" t="s">
        <v>46</v>
      </c>
      <c r="G2990">
        <v>0</v>
      </c>
      <c r="H2990">
        <v>0</v>
      </c>
      <c r="I2990">
        <v>0</v>
      </c>
      <c r="J2990">
        <v>-420.70740000000001</v>
      </c>
      <c r="K2990">
        <v>1.120933</v>
      </c>
      <c r="L2990">
        <v>283.97219999999999</v>
      </c>
      <c r="M2990">
        <v>-0.9999036</v>
      </c>
      <c r="N2990">
        <v>-1.3885379999999999E-2</v>
      </c>
      <c r="O2990">
        <v>-5.3767859999999997E-4</v>
      </c>
      <c r="P2990">
        <v>-0.99811490000000003</v>
      </c>
      <c r="Q2990">
        <v>-5.1507289999999997E-2</v>
      </c>
      <c r="R2990">
        <v>-3.3377249999999997E-2</v>
      </c>
      <c r="S2990">
        <v>-3.0058590000000001</v>
      </c>
      <c r="T2990">
        <v>2.4247649999999999E-2</v>
      </c>
      <c r="U2990">
        <v>-3.924561E-2</v>
      </c>
      <c r="V2990">
        <v>-3.2863320000000001E-2</v>
      </c>
      <c r="W2990">
        <v>-3.7622839999999998E-2</v>
      </c>
      <c r="X2990">
        <v>0.99875150000000001</v>
      </c>
      <c r="Y2990">
        <v>-1.251799E-2</v>
      </c>
      <c r="Z2990" s="1">
        <v>-4.8231009999999899E-5</v>
      </c>
      <c r="AA2990">
        <v>0.99992159999999997</v>
      </c>
      <c r="AB2990">
        <v>28</v>
      </c>
      <c r="AC2990">
        <v>-3.0058590000000001</v>
      </c>
      <c r="AD2990">
        <v>2.4247649999999999E-2</v>
      </c>
      <c r="AE2990">
        <v>-3.924561E-2</v>
      </c>
      <c r="AF2990">
        <v>-3.7626814605849497E-2</v>
      </c>
      <c r="AG2990">
        <v>2.4247649999999999E-2</v>
      </c>
      <c r="AH2990">
        <v>3.0056841128595599</v>
      </c>
      <c r="AI2990">
        <v>89.537826006389693</v>
      </c>
      <c r="AJ2990">
        <v>90.717222763694295</v>
      </c>
      <c r="AK2990">
        <v>3.00601741711592</v>
      </c>
      <c r="AL2990">
        <v>92.156138773286102</v>
      </c>
      <c r="AM2990">
        <v>91.884603356157399</v>
      </c>
      <c r="AN2990">
        <v>1.0000000173216601</v>
      </c>
    </row>
    <row r="2991" spans="1:40" x14ac:dyDescent="0.25">
      <c r="A2991" t="str">
        <f>"20190303153829100"</f>
        <v>20190303153829100</v>
      </c>
      <c r="B2991" t="str">
        <f>"1551598709091427"</f>
        <v>1551598709091427</v>
      </c>
      <c r="C2991" t="s">
        <v>40</v>
      </c>
      <c r="D2991">
        <v>4.0910589999999996</v>
      </c>
      <c r="E2991">
        <v>0.50866540000000005</v>
      </c>
      <c r="F2991" t="s">
        <v>46</v>
      </c>
      <c r="G2991">
        <v>0</v>
      </c>
      <c r="H2991">
        <v>0</v>
      </c>
      <c r="I2991">
        <v>0</v>
      </c>
      <c r="J2991">
        <v>-420.99</v>
      </c>
      <c r="K2991">
        <v>1.1209389999999999</v>
      </c>
      <c r="L2991">
        <v>283.97239999999999</v>
      </c>
      <c r="M2991">
        <v>-0.99990330000000005</v>
      </c>
      <c r="N2991">
        <v>-1.3909660000000001E-2</v>
      </c>
      <c r="O2991">
        <v>-2.343422E-4</v>
      </c>
      <c r="P2991">
        <v>-0.9982415</v>
      </c>
      <c r="Q2991">
        <v>-5.0462949999999999E-2</v>
      </c>
      <c r="R2991">
        <v>-3.1103949999999998E-2</v>
      </c>
      <c r="S2991">
        <v>-3.0057369999999999</v>
      </c>
      <c r="T2991">
        <v>2.3261670000000002E-2</v>
      </c>
      <c r="U2991">
        <v>-3.2684329999999998E-2</v>
      </c>
      <c r="V2991">
        <v>-3.0892360000000001E-2</v>
      </c>
      <c r="W2991">
        <v>-3.65539E-2</v>
      </c>
      <c r="X2991">
        <v>0.99885409999999997</v>
      </c>
      <c r="Y2991">
        <v>-1.0639289999999999E-2</v>
      </c>
      <c r="Z2991" s="1">
        <v>-3.7905019999999998E-5</v>
      </c>
      <c r="AA2991">
        <v>0.99994340000000004</v>
      </c>
      <c r="AB2991">
        <v>28</v>
      </c>
      <c r="AC2991">
        <v>-3.0057369999999999</v>
      </c>
      <c r="AD2991">
        <v>2.3261670000000002E-2</v>
      </c>
      <c r="AE2991">
        <v>-3.2684329999999998E-2</v>
      </c>
      <c r="AF2991">
        <v>-3.19779749342688E-2</v>
      </c>
      <c r="AG2991">
        <v>2.3261670000000002E-2</v>
      </c>
      <c r="AH2991">
        <v>3.0055645849557302</v>
      </c>
      <c r="AI2991">
        <v>89.556591302177196</v>
      </c>
      <c r="AJ2991">
        <v>90.609580602364503</v>
      </c>
      <c r="AK2991">
        <v>3.0058247072163402</v>
      </c>
      <c r="AL2991">
        <v>92.094850850001194</v>
      </c>
      <c r="AM2991">
        <v>91.771467743161594</v>
      </c>
      <c r="AN2991">
        <v>1.00000001929919</v>
      </c>
    </row>
    <row r="2992" spans="1:40" x14ac:dyDescent="0.25">
      <c r="A2992" t="str">
        <f>"20190303153829121"</f>
        <v>20190303153829121</v>
      </c>
      <c r="B2992" t="str">
        <f>"1551598709111924"</f>
        <v>1551598709111924</v>
      </c>
      <c r="C2992" t="s">
        <v>40</v>
      </c>
      <c r="D2992">
        <v>4.0736850000000002</v>
      </c>
      <c r="E2992">
        <v>0.50863420000000004</v>
      </c>
      <c r="F2992" t="s">
        <v>46</v>
      </c>
      <c r="G2992">
        <v>0</v>
      </c>
      <c r="H2992">
        <v>0</v>
      </c>
      <c r="I2992">
        <v>0</v>
      </c>
      <c r="J2992">
        <v>-421.262</v>
      </c>
      <c r="K2992">
        <v>1.120943</v>
      </c>
      <c r="L2992">
        <v>283.97269999999997</v>
      </c>
      <c r="M2992">
        <v>-0.99990299999999999</v>
      </c>
      <c r="N2992">
        <v>-1.393117E-2</v>
      </c>
      <c r="O2992" s="1">
        <v>5.8498369999999898E-5</v>
      </c>
      <c r="P2992">
        <v>-0.99835110000000005</v>
      </c>
      <c r="Q2992">
        <v>-4.9624790000000002E-2</v>
      </c>
      <c r="R2992">
        <v>-2.8855120000000001E-2</v>
      </c>
      <c r="S2992">
        <v>-3.0057369999999999</v>
      </c>
      <c r="T2992">
        <v>2.5881410000000001E-2</v>
      </c>
      <c r="U2992">
        <v>-2.7069090000000001E-2</v>
      </c>
      <c r="V2992">
        <v>-2.893517E-2</v>
      </c>
      <c r="W2992">
        <v>-3.5694199999999898E-2</v>
      </c>
      <c r="X2992">
        <v>0.99894380000000005</v>
      </c>
      <c r="Y2992">
        <v>-9.0641369999999999E-3</v>
      </c>
      <c r="Z2992" s="1">
        <v>-2.2799400000000001E-5</v>
      </c>
      <c r="AA2992">
        <v>0.99995889999999998</v>
      </c>
      <c r="AB2992">
        <v>28</v>
      </c>
      <c r="AC2992">
        <v>-3.0057369999999999</v>
      </c>
      <c r="AD2992">
        <v>2.5881410000000001E-2</v>
      </c>
      <c r="AE2992">
        <v>-2.7069090000000001E-2</v>
      </c>
      <c r="AF2992">
        <v>-2.7242918000427899E-2</v>
      </c>
      <c r="AG2992">
        <v>2.5881410000000001E-2</v>
      </c>
      <c r="AH2992">
        <v>3.0055125896296002</v>
      </c>
      <c r="AI2992">
        <v>89.506640563547194</v>
      </c>
      <c r="AJ2992">
        <v>90.519332869081495</v>
      </c>
      <c r="AK2992">
        <v>3.0057474861316602</v>
      </c>
      <c r="AL2992">
        <v>92.045561500420504</v>
      </c>
      <c r="AM2992">
        <v>91.659152092605495</v>
      </c>
      <c r="AN2992">
        <v>1.0000000177674999</v>
      </c>
    </row>
    <row r="2993" spans="1:40" x14ac:dyDescent="0.25">
      <c r="A2993" t="str">
        <f>"20190303153829145"</f>
        <v>20190303153829145</v>
      </c>
      <c r="B2993" t="str">
        <f>"1551598709141203"</f>
        <v>1551598709141203</v>
      </c>
      <c r="C2993" t="s">
        <v>40</v>
      </c>
      <c r="D2993">
        <v>4.0937130000000002</v>
      </c>
      <c r="E2993">
        <v>0.50843490000000002</v>
      </c>
      <c r="F2993" t="s">
        <v>46</v>
      </c>
      <c r="G2993">
        <v>0</v>
      </c>
      <c r="H2993">
        <v>0</v>
      </c>
      <c r="I2993">
        <v>0</v>
      </c>
      <c r="J2993">
        <v>-421.5455</v>
      </c>
      <c r="K2993">
        <v>1.1209559999999901</v>
      </c>
      <c r="L2993">
        <v>283.97309999999999</v>
      </c>
      <c r="M2993">
        <v>-0.99990259999999997</v>
      </c>
      <c r="N2993">
        <v>-1.3951359999999999E-2</v>
      </c>
      <c r="O2993">
        <v>3.6324460000000002E-4</v>
      </c>
      <c r="P2993">
        <v>-0.99840340000000005</v>
      </c>
      <c r="Q2993">
        <v>-4.9361479999999999E-2</v>
      </c>
      <c r="R2993">
        <v>-2.7466129999999998E-2</v>
      </c>
      <c r="S2993">
        <v>-3.0058289999999999</v>
      </c>
      <c r="T2993">
        <v>2.8812649999999999E-2</v>
      </c>
      <c r="U2993">
        <v>-2.0416259999999999E-2</v>
      </c>
      <c r="V2993">
        <v>-2.784988E-2</v>
      </c>
      <c r="W2993">
        <v>-3.5410959999999998E-2</v>
      </c>
      <c r="X2993">
        <v>0.99898469999999995</v>
      </c>
      <c r="Y2993">
        <v>-7.1553869999999896E-3</v>
      </c>
      <c r="Z2993" s="1">
        <v>-7.0736060000000001E-6</v>
      </c>
      <c r="AA2993">
        <v>0.99997440000000004</v>
      </c>
      <c r="AB2993">
        <v>28</v>
      </c>
      <c r="AC2993">
        <v>-3.0058289999999999</v>
      </c>
      <c r="AD2993">
        <v>2.8812649999999999E-2</v>
      </c>
      <c r="AE2993">
        <v>-2.0416259999999999E-2</v>
      </c>
      <c r="AF2993">
        <v>-2.15062401112028E-2</v>
      </c>
      <c r="AG2993">
        <v>2.8812649999999999E-2</v>
      </c>
      <c r="AH2993">
        <v>3.0055452373484002</v>
      </c>
      <c r="AI2993">
        <v>89.450765074094093</v>
      </c>
      <c r="AJ2993">
        <v>90.409974119325597</v>
      </c>
      <c r="AK2993">
        <v>3.00576028001425</v>
      </c>
      <c r="AL2993">
        <v>92.029322831655307</v>
      </c>
      <c r="AM2993">
        <v>91.596888713693204</v>
      </c>
      <c r="AN2993">
        <v>0.999999991369112</v>
      </c>
    </row>
    <row r="2994" spans="1:40" x14ac:dyDescent="0.25">
      <c r="A2994" t="str">
        <f>"20190303153829167"</f>
        <v>20190303153829167</v>
      </c>
      <c r="B2994" t="str">
        <f>"1551598709161699"</f>
        <v>1551598709161699</v>
      </c>
      <c r="C2994" t="s">
        <v>40</v>
      </c>
      <c r="D2994">
        <v>4.142112</v>
      </c>
      <c r="E2994">
        <v>0.50836629999999905</v>
      </c>
      <c r="F2994" t="s">
        <v>46</v>
      </c>
      <c r="G2994">
        <v>0</v>
      </c>
      <c r="H2994">
        <v>0</v>
      </c>
      <c r="I2994">
        <v>0</v>
      </c>
      <c r="J2994">
        <v>-421.82859999999999</v>
      </c>
      <c r="K2994">
        <v>1.120957</v>
      </c>
      <c r="L2994">
        <v>283.97359999999998</v>
      </c>
      <c r="M2994">
        <v>-0.99990219999999996</v>
      </c>
      <c r="N2994">
        <v>-1.3969240000000001E-2</v>
      </c>
      <c r="O2994">
        <v>6.6543099999999997E-4</v>
      </c>
      <c r="P2994">
        <v>-0.99840399999999996</v>
      </c>
      <c r="Q2994">
        <v>-4.9682410000000003E-2</v>
      </c>
      <c r="R2994">
        <v>-2.6856109999999999E-2</v>
      </c>
      <c r="S2994">
        <v>-3.0057070000000001</v>
      </c>
      <c r="T2994">
        <v>2.8229239999999999E-2</v>
      </c>
      <c r="U2994">
        <v>-1.7700199999999999E-2</v>
      </c>
      <c r="V2994">
        <v>-2.7542319999999999E-2</v>
      </c>
      <c r="W2994">
        <v>-3.5714509999999998E-2</v>
      </c>
      <c r="X2994">
        <v>0.99898240000000005</v>
      </c>
      <c r="Y2994">
        <v>-6.5542049999999996E-3</v>
      </c>
      <c r="Z2994" s="1">
        <v>5.4132399999999898E-7</v>
      </c>
      <c r="AA2994">
        <v>0.99997849999999999</v>
      </c>
      <c r="AB2994">
        <v>28</v>
      </c>
      <c r="AC2994">
        <v>-3.0057070000000001</v>
      </c>
      <c r="AD2994">
        <v>2.8229239999999999E-2</v>
      </c>
      <c r="AE2994">
        <v>-1.7700199999999999E-2</v>
      </c>
      <c r="AF2994">
        <v>-1.9698744365156399E-2</v>
      </c>
      <c r="AG2994">
        <v>2.8229239999999999E-2</v>
      </c>
      <c r="AH2994">
        <v>3.0054294630318998</v>
      </c>
      <c r="AI2994">
        <v>89.461862595493798</v>
      </c>
      <c r="AJ2994">
        <v>90.375533269305194</v>
      </c>
      <c r="AK2994">
        <v>3.0056265882142998</v>
      </c>
      <c r="AL2994">
        <v>92.046726016776702</v>
      </c>
      <c r="AM2994">
        <v>91.579266096493896</v>
      </c>
      <c r="AN2994">
        <v>0.99999997056264001</v>
      </c>
    </row>
    <row r="2995" spans="1:40" x14ac:dyDescent="0.25">
      <c r="A2995" t="str">
        <f>"20190303153829190"</f>
        <v>20190303153829190</v>
      </c>
      <c r="B2995" t="str">
        <f>"1551598709181219"</f>
        <v>1551598709181219</v>
      </c>
      <c r="C2995" t="s">
        <v>40</v>
      </c>
      <c r="D2995">
        <v>4.1097049999999999</v>
      </c>
      <c r="E2995">
        <v>0.50833479999999998</v>
      </c>
      <c r="F2995" t="s">
        <v>46</v>
      </c>
      <c r="G2995">
        <v>0</v>
      </c>
      <c r="H2995">
        <v>0</v>
      </c>
      <c r="I2995">
        <v>0</v>
      </c>
      <c r="J2995">
        <v>-422.11439999999999</v>
      </c>
      <c r="K2995">
        <v>1.1209610000000001</v>
      </c>
      <c r="L2995">
        <v>283.97410000000002</v>
      </c>
      <c r="M2995">
        <v>-0.9999017</v>
      </c>
      <c r="N2995">
        <v>-1.3985030000000001E-2</v>
      </c>
      <c r="O2995">
        <v>9.6583900000000002E-4</v>
      </c>
      <c r="P2995">
        <v>-0.99841760000000002</v>
      </c>
      <c r="Q2995">
        <v>-4.9770710000000003E-2</v>
      </c>
      <c r="R2995">
        <v>-2.617353E-2</v>
      </c>
      <c r="S2995">
        <v>-3.005646</v>
      </c>
      <c r="T2995">
        <v>2.589321E-2</v>
      </c>
      <c r="U2995">
        <v>-1.6174319999999999E-2</v>
      </c>
      <c r="V2995">
        <v>-2.7158789999999999E-2</v>
      </c>
      <c r="W2995">
        <v>-3.5787409999999999E-2</v>
      </c>
      <c r="X2995">
        <v>0.9989903</v>
      </c>
      <c r="Y2995">
        <v>-6.3470509999999898E-3</v>
      </c>
      <c r="Z2995" s="1">
        <v>4.7824649999999996E-6</v>
      </c>
      <c r="AA2995">
        <v>0.99997990000000003</v>
      </c>
      <c r="AB2995">
        <v>28</v>
      </c>
      <c r="AC2995">
        <v>-3.005646</v>
      </c>
      <c r="AD2995">
        <v>2.589321E-2</v>
      </c>
      <c r="AE2995">
        <v>-1.6174319999999999E-2</v>
      </c>
      <c r="AF2995">
        <v>-1.9076150907048301E-2</v>
      </c>
      <c r="AG2995">
        <v>2.589321E-2</v>
      </c>
      <c r="AH2995">
        <v>3.0054059324854001</v>
      </c>
      <c r="AI2995">
        <v>89.506387790280101</v>
      </c>
      <c r="AJ2995">
        <v>90.363667432360401</v>
      </c>
      <c r="AK2995">
        <v>3.0055780104459</v>
      </c>
      <c r="AL2995">
        <v>92.050905533681103</v>
      </c>
      <c r="AM2995">
        <v>91.5572732294725</v>
      </c>
      <c r="AN2995">
        <v>0.99999997904143001</v>
      </c>
    </row>
    <row r="2996" spans="1:40" x14ac:dyDescent="0.25">
      <c r="A2996" t="str">
        <f>"20190303153829211"</f>
        <v>20190303153829211</v>
      </c>
      <c r="B2996" t="str">
        <f>"1551598709201716"</f>
        <v>1551598709201716</v>
      </c>
      <c r="C2996" t="s">
        <v>40</v>
      </c>
      <c r="D2996">
        <v>4.122566</v>
      </c>
      <c r="E2996">
        <v>0.50826249999999995</v>
      </c>
      <c r="F2996" t="s">
        <v>46</v>
      </c>
      <c r="G2996">
        <v>0</v>
      </c>
      <c r="H2996">
        <v>0</v>
      </c>
      <c r="I2996">
        <v>0</v>
      </c>
      <c r="J2996">
        <v>-422.38409999999999</v>
      </c>
      <c r="K2996">
        <v>1.120976</v>
      </c>
      <c r="L2996">
        <v>283.97469999999998</v>
      </c>
      <c r="M2996">
        <v>-0.99990120000000005</v>
      </c>
      <c r="N2996">
        <v>-1.3997809999999999E-2</v>
      </c>
      <c r="O2996">
        <v>1.244209E-3</v>
      </c>
      <c r="P2996">
        <v>-0.99841849999999999</v>
      </c>
      <c r="Q2996">
        <v>-4.949394E-2</v>
      </c>
      <c r="R2996">
        <v>-2.6666450000000001E-2</v>
      </c>
      <c r="S2996">
        <v>-3.005646</v>
      </c>
      <c r="T2996">
        <v>2.4904369999999999E-2</v>
      </c>
      <c r="U2996">
        <v>-1.4556879999999999E-2</v>
      </c>
      <c r="V2996">
        <v>-2.792934E-2</v>
      </c>
      <c r="W2996">
        <v>-3.5497809999999998E-2</v>
      </c>
      <c r="X2996">
        <v>0.99897939999999996</v>
      </c>
      <c r="Y2996">
        <v>-6.0872720000000003E-3</v>
      </c>
      <c r="Z2996" s="1">
        <v>1.033778E-5</v>
      </c>
      <c r="AA2996">
        <v>0.99998149999999997</v>
      </c>
      <c r="AB2996">
        <v>28</v>
      </c>
      <c r="AC2996">
        <v>-3.005646</v>
      </c>
      <c r="AD2996">
        <v>2.4904369999999999E-2</v>
      </c>
      <c r="AE2996">
        <v>-1.4556879999999999E-2</v>
      </c>
      <c r="AF2996">
        <v>-1.8295631086415898E-2</v>
      </c>
      <c r="AG2996">
        <v>2.4904369999999999E-2</v>
      </c>
      <c r="AH2996">
        <v>3.0054192257313699</v>
      </c>
      <c r="AI2996">
        <v>89.525238880319193</v>
      </c>
      <c r="AJ2996">
        <v>90.3487864478859</v>
      </c>
      <c r="AK2996">
        <v>3.0055780941705201</v>
      </c>
      <c r="AL2996">
        <v>92.034302099179598</v>
      </c>
      <c r="AM2996">
        <v>91.601451006012695</v>
      </c>
      <c r="AN2996">
        <v>0.99999999208599499</v>
      </c>
    </row>
    <row r="2997" spans="1:40" x14ac:dyDescent="0.25">
      <c r="A2997" t="str">
        <f>"20190303153829233"</f>
        <v>20190303153829233</v>
      </c>
      <c r="B2997" t="str">
        <f>"1551598709221236"</f>
        <v>1551598709221236</v>
      </c>
      <c r="C2997" t="s">
        <v>40</v>
      </c>
      <c r="D2997">
        <v>4.1591680000000002</v>
      </c>
      <c r="E2997">
        <v>0.50822069999999997</v>
      </c>
      <c r="F2997" t="s">
        <v>46</v>
      </c>
      <c r="G2997">
        <v>0</v>
      </c>
      <c r="H2997">
        <v>0</v>
      </c>
      <c r="I2997">
        <v>0</v>
      </c>
      <c r="J2997">
        <v>-422.66500000000002</v>
      </c>
      <c r="K2997">
        <v>1.1209830000000001</v>
      </c>
      <c r="L2997">
        <v>283.97539999999998</v>
      </c>
      <c r="M2997">
        <v>-0.99990060000000003</v>
      </c>
      <c r="N2997">
        <v>-1.4009239999999999E-2</v>
      </c>
      <c r="O2997">
        <v>1.5302779999999999E-3</v>
      </c>
      <c r="P2997">
        <v>-0.99844909999999998</v>
      </c>
      <c r="Q2997">
        <v>-4.8624050000000002E-2</v>
      </c>
      <c r="R2997">
        <v>-2.711529E-2</v>
      </c>
      <c r="S2997">
        <v>-3.0056150000000001</v>
      </c>
      <c r="T2997">
        <v>2.5795220000000001E-2</v>
      </c>
      <c r="U2997">
        <v>-1.644897E-2</v>
      </c>
      <c r="V2997">
        <v>-2.8662839999999998E-2</v>
      </c>
      <c r="W2997">
        <v>-3.461612E-2</v>
      </c>
      <c r="X2997">
        <v>0.99898960000000003</v>
      </c>
      <c r="Y2997">
        <v>-7.0028379999999999E-3</v>
      </c>
      <c r="Z2997" s="1">
        <v>1.55661E-5</v>
      </c>
      <c r="AA2997">
        <v>0.99997550000000002</v>
      </c>
      <c r="AB2997">
        <v>28</v>
      </c>
      <c r="AC2997">
        <v>-3.0056150000000001</v>
      </c>
      <c r="AD2997">
        <v>2.5795220000000001E-2</v>
      </c>
      <c r="AE2997">
        <v>-1.644897E-2</v>
      </c>
      <c r="AF2997">
        <v>-2.10472788640256E-2</v>
      </c>
      <c r="AG2997">
        <v>2.5795220000000001E-2</v>
      </c>
      <c r="AH2997">
        <v>3.0053649477484101</v>
      </c>
      <c r="AI2997">
        <v>89.508251166720399</v>
      </c>
      <c r="AJ2997">
        <v>90.401249284456</v>
      </c>
      <c r="AK2997">
        <v>3.0055493425457498</v>
      </c>
      <c r="AL2997">
        <v>91.983753839767999</v>
      </c>
      <c r="AM2997">
        <v>91.643469897661305</v>
      </c>
      <c r="AN2997">
        <v>1.0000000275344301</v>
      </c>
    </row>
    <row r="2998" spans="1:40" x14ac:dyDescent="0.25">
      <c r="A2998" t="str">
        <f>"20190303153829256"</f>
        <v>20190303153829256</v>
      </c>
      <c r="B2998" t="str">
        <f>"1551598709251495"</f>
        <v>1551598709251495</v>
      </c>
      <c r="C2998" t="s">
        <v>40</v>
      </c>
      <c r="D2998">
        <v>4.1378259999999996</v>
      </c>
      <c r="E2998">
        <v>0.508081</v>
      </c>
      <c r="F2998" t="s">
        <v>46</v>
      </c>
      <c r="G2998">
        <v>0</v>
      </c>
      <c r="H2998">
        <v>0</v>
      </c>
      <c r="I2998">
        <v>0</v>
      </c>
      <c r="J2998">
        <v>-422.9477</v>
      </c>
      <c r="K2998">
        <v>1.120986</v>
      </c>
      <c r="L2998">
        <v>283.97609999999997</v>
      </c>
      <c r="M2998">
        <v>-0.99990020000000002</v>
      </c>
      <c r="N2998">
        <v>-1.401899E-2</v>
      </c>
      <c r="O2998">
        <v>1.8124230000000001E-3</v>
      </c>
      <c r="P2998">
        <v>-0.99844719999999998</v>
      </c>
      <c r="Q2998">
        <v>-4.825981E-2</v>
      </c>
      <c r="R2998">
        <v>-2.782366E-2</v>
      </c>
      <c r="S2998">
        <v>-3.0055540000000001</v>
      </c>
      <c r="T2998">
        <v>2.8178100000000001E-2</v>
      </c>
      <c r="U2998">
        <v>-1.8157960000000001E-2</v>
      </c>
      <c r="V2998">
        <v>-2.9652600000000001E-2</v>
      </c>
      <c r="W2998">
        <v>-3.4242069999999999E-2</v>
      </c>
      <c r="X2998">
        <v>0.99897349999999996</v>
      </c>
      <c r="Y2998">
        <v>-7.853591E-3</v>
      </c>
      <c r="Z2998" s="1">
        <v>2.4161109999999999E-5</v>
      </c>
      <c r="AA2998">
        <v>0.9999692</v>
      </c>
      <c r="AB2998">
        <v>28</v>
      </c>
      <c r="AC2998">
        <v>-3.0055540000000001</v>
      </c>
      <c r="AD2998">
        <v>2.8178100000000001E-2</v>
      </c>
      <c r="AE2998">
        <v>-1.8157960000000001E-2</v>
      </c>
      <c r="AF2998">
        <v>-2.3603725494552499E-2</v>
      </c>
      <c r="AG2998">
        <v>2.8178100000000001E-2</v>
      </c>
      <c r="AH2998">
        <v>3.00525200628348</v>
      </c>
      <c r="AI2998">
        <v>89.462810738975193</v>
      </c>
      <c r="AJ2998">
        <v>90.450000878824298</v>
      </c>
      <c r="AK2998">
        <v>3.0054767945282399</v>
      </c>
      <c r="AL2998">
        <v>91.962309842093603</v>
      </c>
      <c r="AM2998">
        <v>91.700215387865995</v>
      </c>
      <c r="AN2998">
        <v>0.99999992487344402</v>
      </c>
    </row>
    <row r="2999" spans="1:40" x14ac:dyDescent="0.25">
      <c r="A2999" t="str">
        <f>"20190303153829278"</f>
        <v>20190303153829278</v>
      </c>
      <c r="B2999" t="str">
        <f>"1551598709271987"</f>
        <v>1551598709271987</v>
      </c>
      <c r="C2999" t="s">
        <v>40</v>
      </c>
      <c r="D2999">
        <v>4.1551530000000003</v>
      </c>
      <c r="E2999">
        <v>0.50796809999999903</v>
      </c>
      <c r="F2999" t="s">
        <v>46</v>
      </c>
      <c r="G2999">
        <v>0</v>
      </c>
      <c r="H2999">
        <v>0</v>
      </c>
      <c r="I2999">
        <v>0</v>
      </c>
      <c r="J2999">
        <v>-423.22829999999999</v>
      </c>
      <c r="K2999">
        <v>1.1209960000000001</v>
      </c>
      <c r="L2999">
        <v>283.9769</v>
      </c>
      <c r="M2999">
        <v>-0.99989950000000005</v>
      </c>
      <c r="N2999">
        <v>-1.4027080000000001E-2</v>
      </c>
      <c r="O2999">
        <v>2.0875360000000001E-3</v>
      </c>
      <c r="P2999">
        <v>-0.99842180000000003</v>
      </c>
      <c r="Q2999">
        <v>-4.8199529999999997E-2</v>
      </c>
      <c r="R2999">
        <v>-2.8827140000000001E-2</v>
      </c>
      <c r="S2999">
        <v>-3.0054630000000002</v>
      </c>
      <c r="T2999">
        <v>2.8354290000000001E-2</v>
      </c>
      <c r="U2999">
        <v>-2.1270750000000001E-2</v>
      </c>
      <c r="V2999">
        <v>-3.0929740000000001E-2</v>
      </c>
      <c r="W2999">
        <v>-3.4173820000000001E-2</v>
      </c>
      <c r="X2999">
        <v>0.99893719999999997</v>
      </c>
      <c r="Y2999">
        <v>-9.164485E-3</v>
      </c>
      <c r="Z2999" s="1">
        <v>2.792489E-5</v>
      </c>
      <c r="AA2999">
        <v>0.99995800000000001</v>
      </c>
      <c r="AB2999">
        <v>28</v>
      </c>
      <c r="AC2999">
        <v>-3.0054630000000002</v>
      </c>
      <c r="AD2999">
        <v>2.8354290000000001E-2</v>
      </c>
      <c r="AE2999">
        <v>-2.1270750000000001E-2</v>
      </c>
      <c r="AF2999">
        <v>-2.7542881446644199E-2</v>
      </c>
      <c r="AG2999">
        <v>2.8354290000000001E-2</v>
      </c>
      <c r="AH2999">
        <v>3.0051445825397902</v>
      </c>
      <c r="AI2999">
        <v>89.459438747863999</v>
      </c>
      <c r="AJ2999">
        <v>90.525115059849796</v>
      </c>
      <c r="AK2999">
        <v>3.0054045548058901</v>
      </c>
      <c r="AL2999">
        <v>91.9583969399323</v>
      </c>
      <c r="AM2999">
        <v>91.773462415361394</v>
      </c>
      <c r="AN2999">
        <v>1.0000000141668499</v>
      </c>
    </row>
    <row r="3000" spans="1:40" x14ac:dyDescent="0.25">
      <c r="A3000" t="str">
        <f>"20190303153829301"</f>
        <v>20190303153829301</v>
      </c>
      <c r="B3000" t="str">
        <f>"1551598709291508"</f>
        <v>1551598709291508</v>
      </c>
      <c r="C3000" t="s">
        <v>40</v>
      </c>
      <c r="D3000">
        <v>4.1461360000000003</v>
      </c>
      <c r="E3000">
        <v>0.50782419999999995</v>
      </c>
      <c r="F3000" t="s">
        <v>46</v>
      </c>
      <c r="G3000">
        <v>0</v>
      </c>
      <c r="H3000">
        <v>0</v>
      </c>
      <c r="I3000">
        <v>0</v>
      </c>
      <c r="J3000">
        <v>-423.50779999999997</v>
      </c>
      <c r="K3000">
        <v>1.1210059999999999</v>
      </c>
      <c r="L3000">
        <v>283.9778</v>
      </c>
      <c r="M3000">
        <v>-0.99989870000000003</v>
      </c>
      <c r="N3000">
        <v>-1.403372E-2</v>
      </c>
      <c r="O3000">
        <v>2.3539419999999999E-3</v>
      </c>
      <c r="P3000">
        <v>-0.99842359999999997</v>
      </c>
      <c r="Q3000">
        <v>-4.7786679999999998E-2</v>
      </c>
      <c r="R3000">
        <v>-2.94407E-2</v>
      </c>
      <c r="S3000">
        <v>-3.005341</v>
      </c>
      <c r="T3000">
        <v>2.771556E-2</v>
      </c>
      <c r="U3000">
        <v>-2.5329589999999999E-2</v>
      </c>
      <c r="V3000">
        <v>-3.1809490000000003E-2</v>
      </c>
      <c r="W3000">
        <v>-3.375442E-2</v>
      </c>
      <c r="X3000">
        <v>0.99892380000000003</v>
      </c>
      <c r="Y3000">
        <v>-1.0781560000000001E-2</v>
      </c>
      <c r="Z3000" s="1">
        <v>2.879673E-5</v>
      </c>
      <c r="AA3000">
        <v>0.99994190000000005</v>
      </c>
      <c r="AB3000">
        <v>28</v>
      </c>
      <c r="AC3000">
        <v>-3.005341</v>
      </c>
      <c r="AD3000">
        <v>2.771556E-2</v>
      </c>
      <c r="AE3000">
        <v>-2.5329589999999999E-2</v>
      </c>
      <c r="AF3000">
        <v>-3.2401859827287001E-2</v>
      </c>
      <c r="AG3000">
        <v>2.771556E-2</v>
      </c>
      <c r="AH3000">
        <v>3.0050174916811101</v>
      </c>
      <c r="AI3000">
        <v>89.4716013144578</v>
      </c>
      <c r="AJ3000">
        <v>90.617772734731403</v>
      </c>
      <c r="AK3000">
        <v>3.0053199759918701</v>
      </c>
      <c r="AL3000">
        <v>91.934353281685901</v>
      </c>
      <c r="AM3000">
        <v>91.823896740702494</v>
      </c>
      <c r="AN3000">
        <v>0.999999981365018</v>
      </c>
    </row>
    <row r="3001" spans="1:40" x14ac:dyDescent="0.25">
      <c r="A3001" t="str">
        <f>"20190303153829322"</f>
        <v>20190303153829322</v>
      </c>
      <c r="B3001" t="str">
        <f>"1551598709312003"</f>
        <v>1551598709312003</v>
      </c>
      <c r="C3001" t="s">
        <v>40</v>
      </c>
      <c r="D3001">
        <v>4.157629</v>
      </c>
      <c r="E3001">
        <v>0.50773469999999998</v>
      </c>
      <c r="F3001" t="s">
        <v>46</v>
      </c>
      <c r="G3001">
        <v>0</v>
      </c>
      <c r="H3001">
        <v>0</v>
      </c>
      <c r="I3001">
        <v>0</v>
      </c>
      <c r="J3001">
        <v>-423.77760000000001</v>
      </c>
      <c r="K3001">
        <v>1.12101299999999</v>
      </c>
      <c r="L3001">
        <v>283.9787</v>
      </c>
      <c r="M3001">
        <v>-0.99989799999999995</v>
      </c>
      <c r="N3001">
        <v>-1.403896E-2</v>
      </c>
      <c r="O3001">
        <v>2.6031130000000002E-3</v>
      </c>
      <c r="P3001">
        <v>-0.9984634</v>
      </c>
      <c r="Q3001">
        <v>-4.7271670000000002E-2</v>
      </c>
      <c r="R3001">
        <v>-2.8918010000000001E-2</v>
      </c>
      <c r="S3001">
        <v>-3.0052189999999999</v>
      </c>
      <c r="T3001">
        <v>2.827787E-2</v>
      </c>
      <c r="U3001">
        <v>-2.835083E-2</v>
      </c>
      <c r="V3001">
        <v>-3.1534239999999998E-2</v>
      </c>
      <c r="W3001">
        <v>-3.3234399999999997E-2</v>
      </c>
      <c r="X3001">
        <v>0.99895</v>
      </c>
      <c r="Y3001">
        <v>-1.203622E-2</v>
      </c>
      <c r="Z3001" s="1">
        <v>3.3169400000000001E-5</v>
      </c>
      <c r="AA3001">
        <v>0.99992760000000003</v>
      </c>
      <c r="AB3001">
        <v>28</v>
      </c>
      <c r="AC3001">
        <v>-3.0052189999999999</v>
      </c>
      <c r="AD3001">
        <v>2.827787E-2</v>
      </c>
      <c r="AE3001">
        <v>-2.835083E-2</v>
      </c>
      <c r="AF3001">
        <v>-3.6171227751688302E-2</v>
      </c>
      <c r="AG3001">
        <v>2.827787E-2</v>
      </c>
      <c r="AH3001">
        <v>3.0048689798889399</v>
      </c>
      <c r="AI3001">
        <v>89.460862544532304</v>
      </c>
      <c r="AJ3001">
        <v>90.689666874387498</v>
      </c>
      <c r="AK3001">
        <v>3.0052197227403501</v>
      </c>
      <c r="AL3001">
        <v>91.904541532413504</v>
      </c>
      <c r="AM3001">
        <v>91.8080775505383</v>
      </c>
      <c r="AN3001">
        <v>1.0000000180678601</v>
      </c>
    </row>
    <row r="3002" spans="1:40" x14ac:dyDescent="0.25">
      <c r="A3002" t="str">
        <f>"20190303153829345"</f>
        <v>20190303153829345</v>
      </c>
      <c r="B3002" t="str">
        <f>"1551598709341284"</f>
        <v>1551598709341284</v>
      </c>
      <c r="C3002" t="s">
        <v>40</v>
      </c>
      <c r="D3002">
        <v>4.1450930000000001</v>
      </c>
      <c r="E3002">
        <v>0.50761339999999999</v>
      </c>
      <c r="F3002" t="s">
        <v>46</v>
      </c>
      <c r="G3002">
        <v>0</v>
      </c>
      <c r="H3002">
        <v>0</v>
      </c>
      <c r="I3002">
        <v>0</v>
      </c>
      <c r="J3002">
        <v>-424.05950000000001</v>
      </c>
      <c r="K3002">
        <v>1.1210209999999901</v>
      </c>
      <c r="L3002">
        <v>283.97980000000001</v>
      </c>
      <c r="M3002">
        <v>-0.99989740000000005</v>
      </c>
      <c r="N3002">
        <v>-1.404336E-2</v>
      </c>
      <c r="O3002">
        <v>2.853282E-3</v>
      </c>
      <c r="P3002">
        <v>-0.99847989999999998</v>
      </c>
      <c r="Q3002">
        <v>-4.7202649999999999E-2</v>
      </c>
      <c r="R3002">
        <v>-2.846427E-2</v>
      </c>
      <c r="S3002">
        <v>-3.005188</v>
      </c>
      <c r="T3002">
        <v>2.9223679999999998E-2</v>
      </c>
      <c r="U3002">
        <v>-2.7313230000000001E-2</v>
      </c>
      <c r="V3002">
        <v>-3.1329969999999999E-2</v>
      </c>
      <c r="W3002">
        <v>-3.316156E-2</v>
      </c>
      <c r="X3002">
        <v>0.99895880000000004</v>
      </c>
      <c r="Y3002">
        <v>-1.1941169999999999E-2</v>
      </c>
      <c r="Z3002" s="1">
        <v>4.201951E-5</v>
      </c>
      <c r="AA3002">
        <v>0.9999287</v>
      </c>
      <c r="AB3002">
        <v>28</v>
      </c>
      <c r="AC3002">
        <v>-3.005188</v>
      </c>
      <c r="AD3002">
        <v>2.9223679999999998E-2</v>
      </c>
      <c r="AE3002">
        <v>-2.7313230000000001E-2</v>
      </c>
      <c r="AF3002">
        <v>-3.5885219383144699E-2</v>
      </c>
      <c r="AG3002">
        <v>2.9223679999999998E-2</v>
      </c>
      <c r="AH3002">
        <v>3.0048137004131901</v>
      </c>
      <c r="AI3002">
        <v>89.442820247056503</v>
      </c>
      <c r="AJ3002">
        <v>90.684226738071402</v>
      </c>
      <c r="AK3002">
        <v>3.0051700695025101</v>
      </c>
      <c r="AL3002">
        <v>91.900365897437396</v>
      </c>
      <c r="AM3002">
        <v>91.796357213714401</v>
      </c>
      <c r="AN3002">
        <v>0.99999997008963604</v>
      </c>
    </row>
    <row r="3003" spans="1:40" x14ac:dyDescent="0.25">
      <c r="A3003" t="str">
        <f>"20190303153829358"</f>
        <v>20190303153829358</v>
      </c>
      <c r="B3003" t="str">
        <f>"1551598709352020"</f>
        <v>1551598709352020</v>
      </c>
      <c r="C3003" t="s">
        <v>40</v>
      </c>
      <c r="D3003">
        <v>4.1431360000000002</v>
      </c>
      <c r="E3003">
        <v>0.50758669999999995</v>
      </c>
      <c r="F3003" t="s">
        <v>46</v>
      </c>
      <c r="G3003">
        <v>0</v>
      </c>
      <c r="H3003">
        <v>0</v>
      </c>
      <c r="I3003">
        <v>0</v>
      </c>
      <c r="J3003">
        <v>-424.21749999999997</v>
      </c>
      <c r="K3003">
        <v>1.1210260000000001</v>
      </c>
      <c r="L3003">
        <v>283.98039999999997</v>
      </c>
      <c r="M3003">
        <v>-0.99989689999999998</v>
      </c>
      <c r="N3003">
        <v>-1.404535E-2</v>
      </c>
      <c r="O3003">
        <v>2.9890820000000001E-3</v>
      </c>
      <c r="P3003">
        <v>-0.99848320000000002</v>
      </c>
      <c r="Q3003">
        <v>-4.7345230000000002E-2</v>
      </c>
      <c r="R3003">
        <v>-2.8098729999999999E-2</v>
      </c>
      <c r="S3003">
        <v>-3.0051570000000001</v>
      </c>
      <c r="T3003">
        <v>2.8763529999999999E-2</v>
      </c>
      <c r="U3003">
        <v>-2.6885989999999999E-2</v>
      </c>
      <c r="V3003">
        <v>-3.110023E-2</v>
      </c>
      <c r="W3003">
        <v>-3.3302619999999998E-2</v>
      </c>
      <c r="X3003">
        <v>0.99896130000000005</v>
      </c>
      <c r="Y3003">
        <v>-1.1934899999999899E-2</v>
      </c>
      <c r="Z3003" s="1">
        <v>4.3884519999999998E-5</v>
      </c>
      <c r="AA3003">
        <v>0.99992879999999995</v>
      </c>
      <c r="AB3003">
        <v>28</v>
      </c>
      <c r="AC3003">
        <v>-3.0051570000000001</v>
      </c>
      <c r="AD3003">
        <v>2.8763529999999999E-2</v>
      </c>
      <c r="AE3003">
        <v>-2.6885989999999999E-2</v>
      </c>
      <c r="AF3003">
        <v>-3.5866131143940598E-2</v>
      </c>
      <c r="AG3003">
        <v>2.8763529999999999E-2</v>
      </c>
      <c r="AH3003">
        <v>3.0047879488848599</v>
      </c>
      <c r="AI3003">
        <v>89.451588203128296</v>
      </c>
      <c r="AJ3003">
        <v>90.683868675715203</v>
      </c>
      <c r="AK3003">
        <v>3.00513965362427</v>
      </c>
      <c r="AL3003">
        <v>91.908452480616305</v>
      </c>
      <c r="AM3003">
        <v>91.783188755432803</v>
      </c>
      <c r="AN3003">
        <v>0.99999998385130295</v>
      </c>
    </row>
    <row r="3004" spans="1:40" x14ac:dyDescent="0.25">
      <c r="A3004" t="str">
        <f>"20190303153829379"</f>
        <v>20190303153829379</v>
      </c>
      <c r="B3004" t="str">
        <f>"1551598709371543"</f>
        <v>1551598709371543</v>
      </c>
      <c r="C3004" t="s">
        <v>40</v>
      </c>
      <c r="D3004">
        <v>4.1325949999999896</v>
      </c>
      <c r="E3004">
        <v>0.50755539999999999</v>
      </c>
      <c r="F3004" t="s">
        <v>46</v>
      </c>
      <c r="G3004">
        <v>0</v>
      </c>
      <c r="H3004">
        <v>0</v>
      </c>
      <c r="I3004">
        <v>0</v>
      </c>
      <c r="J3004">
        <v>-424.48430000000002</v>
      </c>
      <c r="K3004">
        <v>1.121032</v>
      </c>
      <c r="L3004">
        <v>283.98140000000001</v>
      </c>
      <c r="M3004">
        <v>-0.99989620000000001</v>
      </c>
      <c r="N3004">
        <v>-1.4048120000000001E-2</v>
      </c>
      <c r="O3004">
        <v>3.2122689999999998E-3</v>
      </c>
      <c r="P3004">
        <v>-0.9985136</v>
      </c>
      <c r="Q3004">
        <v>-4.7354830000000001E-2</v>
      </c>
      <c r="R3004">
        <v>-2.699054E-2</v>
      </c>
      <c r="S3004">
        <v>-3.0051269999999999</v>
      </c>
      <c r="T3004">
        <v>2.8271319999999999E-2</v>
      </c>
      <c r="U3004">
        <v>-2.5939940000000002E-2</v>
      </c>
      <c r="V3004">
        <v>-3.0213739999999999E-2</v>
      </c>
      <c r="W3004">
        <v>-3.3310050000000001E-2</v>
      </c>
      <c r="X3004">
        <v>0.99898830000000005</v>
      </c>
      <c r="Y3004">
        <v>-1.1843370000000001E-2</v>
      </c>
      <c r="Z3004" s="1">
        <v>4.7857869999999999E-5</v>
      </c>
      <c r="AA3004">
        <v>0.99992979999999998</v>
      </c>
      <c r="AB3004">
        <v>28</v>
      </c>
      <c r="AC3004">
        <v>-3.0051269999999999</v>
      </c>
      <c r="AD3004">
        <v>2.8271319999999999E-2</v>
      </c>
      <c r="AE3004">
        <v>-2.5939940000000002E-2</v>
      </c>
      <c r="AF3004">
        <v>-3.55908850108171E-2</v>
      </c>
      <c r="AG3004">
        <v>2.8271319999999999E-2</v>
      </c>
      <c r="AH3004">
        <v>3.0047622422792899</v>
      </c>
      <c r="AI3004">
        <v>89.460967031215702</v>
      </c>
      <c r="AJ3004">
        <v>90.678626785415503</v>
      </c>
      <c r="AK3004">
        <v>3.0051060066589499</v>
      </c>
      <c r="AL3004">
        <v>91.908878343091303</v>
      </c>
      <c r="AM3004">
        <v>91.732344858140095</v>
      </c>
      <c r="AN3004">
        <v>1.00000002652633</v>
      </c>
    </row>
    <row r="3005" spans="1:40" x14ac:dyDescent="0.25">
      <c r="A3005" t="str">
        <f>"20190303153829392"</f>
        <v>20190303153829392</v>
      </c>
      <c r="B3005" t="str">
        <f>"1551598709381300"</f>
        <v>1551598709381300</v>
      </c>
      <c r="C3005" t="s">
        <v>40</v>
      </c>
      <c r="D3005">
        <v>4.1488310000000004</v>
      </c>
      <c r="E3005">
        <v>0.50753879999999996</v>
      </c>
      <c r="F3005" t="s">
        <v>46</v>
      </c>
      <c r="G3005">
        <v>0</v>
      </c>
      <c r="H3005">
        <v>0</v>
      </c>
      <c r="I3005">
        <v>0</v>
      </c>
      <c r="J3005">
        <v>-424.63479999999998</v>
      </c>
      <c r="K3005">
        <v>1.1210340000000001</v>
      </c>
      <c r="L3005">
        <v>283.9821</v>
      </c>
      <c r="M3005">
        <v>-0.99989570000000005</v>
      </c>
      <c r="N3005">
        <v>-1.40494E-2</v>
      </c>
      <c r="O3005">
        <v>3.3350390000000001E-3</v>
      </c>
      <c r="P3005">
        <v>-0.99853999999999998</v>
      </c>
      <c r="Q3005">
        <v>-4.7151859999999997E-2</v>
      </c>
      <c r="R3005">
        <v>-2.635645E-2</v>
      </c>
      <c r="S3005">
        <v>-3.005188</v>
      </c>
      <c r="T3005">
        <v>2.784491E-2</v>
      </c>
      <c r="U3005">
        <v>-2.2766109999999999E-2</v>
      </c>
      <c r="V3005">
        <v>-2.9702329999999999E-2</v>
      </c>
      <c r="W3005">
        <v>-3.3105959999999997E-2</v>
      </c>
      <c r="X3005">
        <v>0.99901039999999997</v>
      </c>
      <c r="Y3005">
        <v>-1.090995E-2</v>
      </c>
      <c r="Z3005" s="1">
        <v>5.165317E-5</v>
      </c>
      <c r="AA3005">
        <v>0.99994050000000001</v>
      </c>
      <c r="AB3005">
        <v>28</v>
      </c>
      <c r="AC3005">
        <v>-3.005188</v>
      </c>
      <c r="AD3005">
        <v>2.784491E-2</v>
      </c>
      <c r="AE3005">
        <v>-2.2766109999999999E-2</v>
      </c>
      <c r="AF3005">
        <v>-3.2786577624088598E-2</v>
      </c>
      <c r="AG3005">
        <v>2.784491E-2</v>
      </c>
      <c r="AH3005">
        <v>3.0048373954456098</v>
      </c>
      <c r="AI3005">
        <v>89.469104315453293</v>
      </c>
      <c r="AJ3005">
        <v>90.625144635348306</v>
      </c>
      <c r="AK3005">
        <v>3.0051452663313198</v>
      </c>
      <c r="AL3005">
        <v>91.897178433444495</v>
      </c>
      <c r="AM3005">
        <v>91.703002251434</v>
      </c>
      <c r="AN3005">
        <v>1.0000000061515499</v>
      </c>
    </row>
    <row r="3006" spans="1:40" x14ac:dyDescent="0.25">
      <c r="A3006" t="str">
        <f>"20190303153829404"</f>
        <v>20190303153829404</v>
      </c>
      <c r="B3006" t="str">
        <f>"1551598709401795"</f>
        <v>1551598709401795</v>
      </c>
      <c r="C3006" t="s">
        <v>40</v>
      </c>
      <c r="D3006">
        <v>4.123335</v>
      </c>
      <c r="E3006">
        <v>0.50749079999999902</v>
      </c>
      <c r="F3006" t="s">
        <v>46</v>
      </c>
      <c r="G3006">
        <v>0</v>
      </c>
      <c r="H3006">
        <v>0</v>
      </c>
      <c r="I3006">
        <v>0</v>
      </c>
      <c r="J3006">
        <v>-424.79669999999999</v>
      </c>
      <c r="K3006">
        <v>1.121032</v>
      </c>
      <c r="L3006">
        <v>283.9828</v>
      </c>
      <c r="M3006">
        <v>-0.99989530000000004</v>
      </c>
      <c r="N3006">
        <v>-1.4050460000000001E-2</v>
      </c>
      <c r="O3006">
        <v>3.4644250000000001E-3</v>
      </c>
      <c r="P3006">
        <v>-0.99855280000000002</v>
      </c>
      <c r="Q3006">
        <v>-4.7201010000000002E-2</v>
      </c>
      <c r="R3006">
        <v>-2.577639E-2</v>
      </c>
      <c r="S3006">
        <v>-3.005188</v>
      </c>
      <c r="T3006">
        <v>2.8109430000000001E-2</v>
      </c>
      <c r="U3006">
        <v>-2.0996089999999999E-2</v>
      </c>
      <c r="V3006">
        <v>-2.9251159999999998E-2</v>
      </c>
      <c r="W3006">
        <v>-3.3154379999999997E-2</v>
      </c>
      <c r="X3006">
        <v>0.99902210000000002</v>
      </c>
      <c r="Y3006">
        <v>-1.045037E-2</v>
      </c>
      <c r="Z3006" s="1">
        <v>5.6532639999999998E-5</v>
      </c>
      <c r="AA3006">
        <v>0.99994539999999998</v>
      </c>
      <c r="AB3006">
        <v>28</v>
      </c>
      <c r="AC3006">
        <v>-3.005188</v>
      </c>
      <c r="AD3006">
        <v>2.8109430000000001E-2</v>
      </c>
      <c r="AE3006">
        <v>-2.0996089999999999E-2</v>
      </c>
      <c r="AF3006">
        <v>-3.1405492537797002E-2</v>
      </c>
      <c r="AG3006">
        <v>2.8109430000000001E-2</v>
      </c>
      <c r="AH3006">
        <v>3.0048343337732901</v>
      </c>
      <c r="AI3006">
        <v>89.464058049250596</v>
      </c>
      <c r="AJ3006">
        <v>90.598813931112602</v>
      </c>
      <c r="AK3006">
        <v>3.0051299170650201</v>
      </c>
      <c r="AL3006">
        <v>91.899954230959594</v>
      </c>
      <c r="AM3006">
        <v>91.677129385605298</v>
      </c>
      <c r="AN3006">
        <v>0.99999999978146903</v>
      </c>
    </row>
    <row r="3007" spans="1:40" x14ac:dyDescent="0.25">
      <c r="A3007" t="str">
        <f>"20190303153829418"</f>
        <v>20190303153829418</v>
      </c>
      <c r="B3007" t="str">
        <f>"1551598709411555"</f>
        <v>1551598709411555</v>
      </c>
      <c r="C3007" t="s">
        <v>40</v>
      </c>
      <c r="D3007">
        <v>4.1220150000000002</v>
      </c>
      <c r="E3007">
        <v>0.50748179999999998</v>
      </c>
      <c r="F3007" t="s">
        <v>46</v>
      </c>
      <c r="G3007">
        <v>0</v>
      </c>
      <c r="H3007">
        <v>0</v>
      </c>
      <c r="I3007">
        <v>0</v>
      </c>
      <c r="J3007">
        <v>-424.96660000000003</v>
      </c>
      <c r="K3007">
        <v>1.1210359999999999</v>
      </c>
      <c r="L3007">
        <v>283.98349999999999</v>
      </c>
      <c r="M3007">
        <v>-0.99989490000000003</v>
      </c>
      <c r="N3007">
        <v>-1.4051340000000001E-2</v>
      </c>
      <c r="O3007">
        <v>3.597458E-3</v>
      </c>
      <c r="P3007">
        <v>-0.99858060000000004</v>
      </c>
      <c r="Q3007">
        <v>-4.7064479999999999E-2</v>
      </c>
      <c r="R3007">
        <v>-2.4936839999999998E-2</v>
      </c>
      <c r="S3007">
        <v>-3.0051269999999999</v>
      </c>
      <c r="T3007">
        <v>2.7432560000000002E-2</v>
      </c>
      <c r="U3007">
        <v>-1.9592289999999998E-2</v>
      </c>
      <c r="V3007">
        <v>-2.8543869999999999E-2</v>
      </c>
      <c r="W3007">
        <v>-3.301714E-2</v>
      </c>
      <c r="X3007">
        <v>0.99904709999999997</v>
      </c>
      <c r="Y3007">
        <v>-1.0116440000000001E-2</v>
      </c>
      <c r="Z3007" s="1">
        <v>5.8481769999999998E-5</v>
      </c>
      <c r="AA3007">
        <v>0.99994879999999997</v>
      </c>
      <c r="AB3007">
        <v>28</v>
      </c>
      <c r="AC3007">
        <v>-3.0051269999999999</v>
      </c>
      <c r="AD3007">
        <v>2.7432560000000002E-2</v>
      </c>
      <c r="AE3007">
        <v>-1.9592289999999998E-2</v>
      </c>
      <c r="AF3007">
        <v>-3.04015144393887E-2</v>
      </c>
      <c r="AG3007">
        <v>2.7432560000000002E-2</v>
      </c>
      <c r="AH3007">
        <v>3.0047866794969398</v>
      </c>
      <c r="AI3007">
        <v>89.476952618044507</v>
      </c>
      <c r="AJ3007">
        <v>90.579681428411206</v>
      </c>
      <c r="AK3007">
        <v>3.0050656875866499</v>
      </c>
      <c r="AL3007">
        <v>91.892086657894296</v>
      </c>
      <c r="AM3007">
        <v>91.636557967687196</v>
      </c>
      <c r="AN3007">
        <v>0.99999999603338297</v>
      </c>
    </row>
    <row r="3008" spans="1:40" x14ac:dyDescent="0.25">
      <c r="A3008" t="str">
        <f>"20190303153829431"</f>
        <v>20190303153829431</v>
      </c>
      <c r="B3008" t="str">
        <f>"1551598709421315"</f>
        <v>1551598709421315</v>
      </c>
      <c r="C3008" t="s">
        <v>40</v>
      </c>
      <c r="D3008">
        <v>4.1113119999999999</v>
      </c>
      <c r="E3008">
        <v>0.50744299999999998</v>
      </c>
      <c r="F3008" t="s">
        <v>46</v>
      </c>
      <c r="G3008">
        <v>0</v>
      </c>
      <c r="H3008">
        <v>0</v>
      </c>
      <c r="I3008">
        <v>0</v>
      </c>
      <c r="J3008">
        <v>-425.12920000000003</v>
      </c>
      <c r="K3008">
        <v>1.121038</v>
      </c>
      <c r="L3008">
        <v>283.98419999999999</v>
      </c>
      <c r="M3008">
        <v>-0.99989430000000001</v>
      </c>
      <c r="N3008">
        <v>-1.405203E-2</v>
      </c>
      <c r="O3008">
        <v>3.7232900000000002E-3</v>
      </c>
      <c r="P3008">
        <v>-0.99859909999999996</v>
      </c>
      <c r="Q3008">
        <v>-4.6952090000000002E-2</v>
      </c>
      <c r="R3008">
        <v>-2.4402940000000001E-2</v>
      </c>
      <c r="S3008">
        <v>-3.0051269999999999</v>
      </c>
      <c r="T3008">
        <v>2.7482510000000002E-2</v>
      </c>
      <c r="U3008">
        <v>-1.715088E-2</v>
      </c>
      <c r="V3008">
        <v>-2.8135719999999999E-2</v>
      </c>
      <c r="W3008">
        <v>-3.2904170000000003E-2</v>
      </c>
      <c r="X3008">
        <v>0.99906240000000002</v>
      </c>
      <c r="Y3008">
        <v>-9.4298809999999993E-3</v>
      </c>
      <c r="Z3008" s="1">
        <v>6.3228739999999996E-5</v>
      </c>
      <c r="AA3008">
        <v>0.9999555</v>
      </c>
      <c r="AB3008">
        <v>28</v>
      </c>
      <c r="AC3008">
        <v>-3.0051269999999999</v>
      </c>
      <c r="AD3008">
        <v>2.7482510000000002E-2</v>
      </c>
      <c r="AE3008">
        <v>-1.715088E-2</v>
      </c>
      <c r="AF3008">
        <v>-2.83384556176971E-2</v>
      </c>
      <c r="AG3008">
        <v>2.7482510000000002E-2</v>
      </c>
      <c r="AH3008">
        <v>3.0047910049640798</v>
      </c>
      <c r="AI3008">
        <v>89.475997529431893</v>
      </c>
      <c r="AJ3008">
        <v>90.540345656393995</v>
      </c>
      <c r="AK3008">
        <v>3.00505030572464</v>
      </c>
      <c r="AL3008">
        <v>91.885610444068504</v>
      </c>
      <c r="AM3008">
        <v>91.613144519314005</v>
      </c>
      <c r="AN3008">
        <v>0.99999999111853299</v>
      </c>
    </row>
    <row r="3009" spans="1:40" x14ac:dyDescent="0.25">
      <c r="A3009" t="str">
        <f>"20190303153829443"</f>
        <v>20190303153829443</v>
      </c>
      <c r="B3009" t="str">
        <f>"1551598709432051"</f>
        <v>1551598709432051</v>
      </c>
      <c r="C3009" t="s">
        <v>40</v>
      </c>
      <c r="D3009">
        <v>4.1150919999999998</v>
      </c>
      <c r="E3009">
        <v>0.50740529999999995</v>
      </c>
      <c r="F3009" t="s">
        <v>46</v>
      </c>
      <c r="G3009">
        <v>0</v>
      </c>
      <c r="H3009">
        <v>0</v>
      </c>
      <c r="I3009">
        <v>0</v>
      </c>
      <c r="J3009">
        <v>-425.28269999999998</v>
      </c>
      <c r="K3009">
        <v>1.1210439999999999</v>
      </c>
      <c r="L3009">
        <v>283.98489999999998</v>
      </c>
      <c r="M3009">
        <v>-0.99989399999999995</v>
      </c>
      <c r="N3009">
        <v>-1.4052459999999999E-2</v>
      </c>
      <c r="O3009">
        <v>3.8404910000000001E-3</v>
      </c>
      <c r="P3009">
        <v>-0.99861900000000003</v>
      </c>
      <c r="Q3009">
        <v>-4.6752330000000002E-2</v>
      </c>
      <c r="R3009">
        <v>-2.3972E-2</v>
      </c>
      <c r="S3009">
        <v>-3.0051269999999999</v>
      </c>
      <c r="T3009">
        <v>2.7617340000000001E-2</v>
      </c>
      <c r="U3009">
        <v>-1.5777590000000001E-2</v>
      </c>
      <c r="V3009">
        <v>-2.7820999999999999E-2</v>
      </c>
      <c r="W3009">
        <v>-3.2704009999999999E-2</v>
      </c>
      <c r="X3009">
        <v>0.99907780000000002</v>
      </c>
      <c r="Y3009">
        <v>-9.0900949999999994E-3</v>
      </c>
      <c r="Z3009" s="1">
        <v>6.7157300000000002E-5</v>
      </c>
      <c r="AA3009">
        <v>0.99995869999999998</v>
      </c>
      <c r="AB3009">
        <v>28</v>
      </c>
      <c r="AC3009">
        <v>-3.0051269999999999</v>
      </c>
      <c r="AD3009">
        <v>2.7617340000000001E-2</v>
      </c>
      <c r="AE3009">
        <v>-1.5777590000000001E-2</v>
      </c>
      <c r="AF3009">
        <v>-2.7317468073160801E-2</v>
      </c>
      <c r="AG3009">
        <v>2.7617340000000001E-2</v>
      </c>
      <c r="AH3009">
        <v>3.0047904640257999</v>
      </c>
      <c r="AI3009">
        <v>89.473425150760605</v>
      </c>
      <c r="AJ3009">
        <v>90.520879085215995</v>
      </c>
      <c r="AK3009">
        <v>3.0050415461738602</v>
      </c>
      <c r="AL3009">
        <v>91.874135918415107</v>
      </c>
      <c r="AM3009">
        <v>91.595085038314295</v>
      </c>
      <c r="AN3009">
        <v>1.00000000538196</v>
      </c>
    </row>
    <row r="3010" spans="1:40" x14ac:dyDescent="0.25">
      <c r="A3010" t="str">
        <f>"20190303153829457"</f>
        <v>20190303153829457</v>
      </c>
      <c r="B3010" t="str">
        <f>"1551598709451571"</f>
        <v>1551598709451571</v>
      </c>
      <c r="C3010" t="s">
        <v>40</v>
      </c>
      <c r="D3010">
        <v>4.1017979999999996</v>
      </c>
      <c r="E3010">
        <v>0.50732060000000001</v>
      </c>
      <c r="F3010" t="s">
        <v>46</v>
      </c>
      <c r="G3010">
        <v>0</v>
      </c>
      <c r="H3010">
        <v>0</v>
      </c>
      <c r="I3010">
        <v>0</v>
      </c>
      <c r="J3010">
        <v>-425.44569999999999</v>
      </c>
      <c r="K3010">
        <v>1.121049</v>
      </c>
      <c r="L3010">
        <v>283.98570000000001</v>
      </c>
      <c r="M3010">
        <v>-0.99989349999999999</v>
      </c>
      <c r="N3010">
        <v>-1.4052759999999999E-2</v>
      </c>
      <c r="O3010">
        <v>3.9644930000000004E-3</v>
      </c>
      <c r="P3010">
        <v>-0.99863840000000004</v>
      </c>
      <c r="Q3010">
        <v>-4.6381789999999999E-2</v>
      </c>
      <c r="R3010">
        <v>-2.3884929999999999E-2</v>
      </c>
      <c r="S3010">
        <v>-3.0051269999999999</v>
      </c>
      <c r="T3010">
        <v>2.8116349999999998E-2</v>
      </c>
      <c r="U3010">
        <v>-1.49231E-2</v>
      </c>
      <c r="V3010">
        <v>-2.7858020000000001E-2</v>
      </c>
      <c r="W3010">
        <v>-3.2333090000000002E-2</v>
      </c>
      <c r="X3010">
        <v>0.9990888</v>
      </c>
      <c r="Y3010">
        <v>-8.9297230000000005E-3</v>
      </c>
      <c r="Z3010" s="1">
        <v>7.1828859999999997E-5</v>
      </c>
      <c r="AA3010">
        <v>0.99996010000000002</v>
      </c>
      <c r="AB3010">
        <v>28</v>
      </c>
      <c r="AC3010">
        <v>-3.0051269999999999</v>
      </c>
      <c r="AD3010">
        <v>2.8116349999999998E-2</v>
      </c>
      <c r="AE3010">
        <v>-1.49231E-2</v>
      </c>
      <c r="AF3010">
        <v>-2.6835613903754399E-2</v>
      </c>
      <c r="AG3010">
        <v>2.8116349999999998E-2</v>
      </c>
      <c r="AH3010">
        <v>3.0047811874023198</v>
      </c>
      <c r="AI3010">
        <v>89.4639087378997</v>
      </c>
      <c r="AJ3010">
        <v>90.511693345853999</v>
      </c>
      <c r="AK3010">
        <v>3.00503255614275</v>
      </c>
      <c r="AL3010">
        <v>91.852872598792203</v>
      </c>
      <c r="AM3010">
        <v>91.597188862557104</v>
      </c>
      <c r="AN3010">
        <v>0.99999996413635295</v>
      </c>
    </row>
    <row r="3011" spans="1:40" x14ac:dyDescent="0.25">
      <c r="A3011" t="str">
        <f>"20190303153829471"</f>
        <v>20190303153829471</v>
      </c>
      <c r="B3011" t="str">
        <f>"1551598709461332"</f>
        <v>1551598709461332</v>
      </c>
      <c r="C3011" t="s">
        <v>40</v>
      </c>
      <c r="D3011">
        <v>4.1476709999999999</v>
      </c>
      <c r="E3011">
        <v>0.50715029999999905</v>
      </c>
      <c r="F3011" t="s">
        <v>46</v>
      </c>
      <c r="G3011">
        <v>0</v>
      </c>
      <c r="H3011">
        <v>0</v>
      </c>
      <c r="I3011">
        <v>0</v>
      </c>
      <c r="J3011">
        <v>-425.61770000000001</v>
      </c>
      <c r="K3011">
        <v>1.1210500000000001</v>
      </c>
      <c r="L3011">
        <v>283.98649999999998</v>
      </c>
      <c r="M3011">
        <v>-0.99989289999999997</v>
      </c>
      <c r="N3011">
        <v>-1.405293E-2</v>
      </c>
      <c r="O3011">
        <v>4.0948169999999997E-3</v>
      </c>
      <c r="P3011">
        <v>-0.998645</v>
      </c>
      <c r="Q3011">
        <v>-4.621331E-2</v>
      </c>
      <c r="R3011">
        <v>-2.3929570000000001E-2</v>
      </c>
      <c r="S3011">
        <v>-3.005096</v>
      </c>
      <c r="T3011">
        <v>2.8783320000000001E-2</v>
      </c>
      <c r="U3011">
        <v>-1.531982E-2</v>
      </c>
      <c r="V3011">
        <v>-2.8033010000000001E-2</v>
      </c>
      <c r="W3011">
        <v>-3.2164449999999997E-2</v>
      </c>
      <c r="X3011">
        <v>0.99908940000000002</v>
      </c>
      <c r="Y3011">
        <v>-9.1920600000000002E-3</v>
      </c>
      <c r="Z3011" s="1">
        <v>7.6192710000000001E-5</v>
      </c>
      <c r="AA3011">
        <v>0.99995769999999995</v>
      </c>
      <c r="AB3011">
        <v>28</v>
      </c>
      <c r="AC3011">
        <v>-3.005096</v>
      </c>
      <c r="AD3011">
        <v>2.8783320000000001E-2</v>
      </c>
      <c r="AE3011">
        <v>-1.531982E-2</v>
      </c>
      <c r="AF3011">
        <v>-2.7623690399336001E-2</v>
      </c>
      <c r="AG3011">
        <v>2.8783320000000001E-2</v>
      </c>
      <c r="AH3011">
        <v>3.0047324118451399</v>
      </c>
      <c r="AI3011">
        <v>89.451184862006102</v>
      </c>
      <c r="AJ3011">
        <v>90.526727864600204</v>
      </c>
      <c r="AK3011">
        <v>3.0049972403604999</v>
      </c>
      <c r="AL3011">
        <v>91.8432051154915</v>
      </c>
      <c r="AM3011">
        <v>91.607215385206104</v>
      </c>
      <c r="AN3011">
        <v>1.0000000153429101</v>
      </c>
    </row>
    <row r="3012" spans="1:40" x14ac:dyDescent="0.25">
      <c r="A3012" t="str">
        <f>"20190303153829486"</f>
        <v>20190303153829486</v>
      </c>
      <c r="B3012" t="str">
        <f>"1551598709481827"</f>
        <v>1551598709481827</v>
      </c>
      <c r="C3012" t="s">
        <v>40</v>
      </c>
      <c r="D3012">
        <v>4.0431429999999997</v>
      </c>
      <c r="E3012">
        <v>0.50738190000000005</v>
      </c>
      <c r="F3012" t="s">
        <v>46</v>
      </c>
      <c r="G3012">
        <v>0</v>
      </c>
      <c r="H3012">
        <v>0</v>
      </c>
      <c r="I3012">
        <v>0</v>
      </c>
      <c r="J3012">
        <v>-425.80489999999998</v>
      </c>
      <c r="K3012">
        <v>1.1210530000000001</v>
      </c>
      <c r="L3012">
        <v>283.98739999999998</v>
      </c>
      <c r="M3012">
        <v>-0.99989240000000001</v>
      </c>
      <c r="N3012">
        <v>-1.405288E-2</v>
      </c>
      <c r="O3012">
        <v>4.2364739999999996E-3</v>
      </c>
      <c r="P3012">
        <v>-0.99864889999999995</v>
      </c>
      <c r="Q3012">
        <v>-4.610301E-2</v>
      </c>
      <c r="R3012">
        <v>-2.3987419999999999E-2</v>
      </c>
      <c r="S3012">
        <v>-3.0050659999999998</v>
      </c>
      <c r="T3012">
        <v>2.9446130000000001E-2</v>
      </c>
      <c r="U3012">
        <v>-1.6876220000000001E-2</v>
      </c>
      <c r="V3012">
        <v>-2.823225E-2</v>
      </c>
      <c r="W3012">
        <v>-3.2054190000000003E-2</v>
      </c>
      <c r="X3012">
        <v>0.99908730000000001</v>
      </c>
      <c r="Y3012">
        <v>-9.8516109999999997E-3</v>
      </c>
      <c r="Z3012" s="1">
        <v>8.0085380000000003E-5</v>
      </c>
      <c r="AA3012">
        <v>0.99995149999999999</v>
      </c>
      <c r="AB3012">
        <v>28</v>
      </c>
      <c r="AC3012">
        <v>-3.0050659999999998</v>
      </c>
      <c r="AD3012">
        <v>2.9446130000000001E-2</v>
      </c>
      <c r="AE3012">
        <v>-1.6876220000000001E-2</v>
      </c>
      <c r="AF3012">
        <v>-2.9605365681387101E-2</v>
      </c>
      <c r="AG3012">
        <v>2.9446130000000001E-2</v>
      </c>
      <c r="AH3012">
        <v>3.0046790334507301</v>
      </c>
      <c r="AI3012">
        <v>89.438541334478899</v>
      </c>
      <c r="AJ3012">
        <v>90.564522065704296</v>
      </c>
      <c r="AK3012">
        <v>3.0049691589611198</v>
      </c>
      <c r="AL3012">
        <v>91.836884484967499</v>
      </c>
      <c r="AM3012">
        <v>91.618635748855993</v>
      </c>
      <c r="AN3012">
        <v>0.99999998202895402</v>
      </c>
    </row>
    <row r="3013" spans="1:40" x14ac:dyDescent="0.25">
      <c r="A3013" t="str">
        <f>"20190303153829524"</f>
        <v>20190303153829524</v>
      </c>
      <c r="B3013" t="str">
        <f>"1551598709521844"</f>
        <v>1551598709521844</v>
      </c>
      <c r="C3013" t="s">
        <v>40</v>
      </c>
      <c r="D3013">
        <v>4.0569240000000004</v>
      </c>
      <c r="E3013">
        <v>0.50819360000000002</v>
      </c>
      <c r="F3013" t="s">
        <v>46</v>
      </c>
      <c r="G3013">
        <v>0</v>
      </c>
      <c r="H3013">
        <v>0</v>
      </c>
      <c r="I3013">
        <v>0</v>
      </c>
      <c r="J3013">
        <v>-426.27</v>
      </c>
      <c r="K3013">
        <v>1.121057</v>
      </c>
      <c r="L3013">
        <v>283.9898</v>
      </c>
      <c r="M3013">
        <v>-0.99989070000000002</v>
      </c>
      <c r="N3013">
        <v>-1.405198E-2</v>
      </c>
      <c r="O3013">
        <v>4.5891810000000003E-3</v>
      </c>
      <c r="P3013">
        <v>-0.99859469999999995</v>
      </c>
      <c r="Q3013">
        <v>-4.6450119999999998E-2</v>
      </c>
      <c r="R3013">
        <v>-2.5516560000000001E-2</v>
      </c>
      <c r="S3013">
        <v>-3.005188</v>
      </c>
      <c r="T3013">
        <v>3.2240270000000001E-2</v>
      </c>
      <c r="U3013">
        <v>-1.51062E-2</v>
      </c>
      <c r="V3013">
        <v>-3.0112690000000001E-2</v>
      </c>
      <c r="W3013">
        <v>-3.2402470000000003E-2</v>
      </c>
      <c r="X3013">
        <v>0.99902120000000005</v>
      </c>
      <c r="Y3013">
        <v>-9.6149319999999996E-3</v>
      </c>
      <c r="Z3013" s="1">
        <v>9.7733649999999999E-5</v>
      </c>
      <c r="AA3013">
        <v>0.99995369999999995</v>
      </c>
      <c r="AB3013">
        <v>28</v>
      </c>
      <c r="AC3013">
        <v>-3.005188</v>
      </c>
      <c r="AD3013">
        <v>3.2240270000000001E-2</v>
      </c>
      <c r="AE3013">
        <v>-1.51062E-2</v>
      </c>
      <c r="AF3013">
        <v>-2.88954292363587E-2</v>
      </c>
      <c r="AG3013">
        <v>3.2240270000000001E-2</v>
      </c>
      <c r="AH3013">
        <v>3.0047411961111599</v>
      </c>
      <c r="AI3013">
        <v>89.385279797332402</v>
      </c>
      <c r="AJ3013">
        <v>90.5509742774735</v>
      </c>
      <c r="AK3013">
        <v>3.0050530837986802</v>
      </c>
      <c r="AL3013">
        <v>91.856849748994193</v>
      </c>
      <c r="AM3013">
        <v>91.726497710154703</v>
      </c>
      <c r="AN3013">
        <v>1.0000000261052799</v>
      </c>
    </row>
    <row r="3014" spans="1:40" x14ac:dyDescent="0.25">
      <c r="A3014" t="str">
        <f>"20190303153829580"</f>
        <v>20190303153829580</v>
      </c>
      <c r="B3014" t="str">
        <f>"1551598709571620"</f>
        <v>1551598709571620</v>
      </c>
      <c r="C3014" t="s">
        <v>40</v>
      </c>
      <c r="D3014">
        <v>3.966294</v>
      </c>
      <c r="E3014">
        <v>0.53305449999999999</v>
      </c>
      <c r="F3014" t="s">
        <v>46</v>
      </c>
      <c r="G3014">
        <v>0</v>
      </c>
      <c r="H3014">
        <v>0</v>
      </c>
      <c r="I3014">
        <v>0</v>
      </c>
      <c r="J3014">
        <v>-426.95949999999999</v>
      </c>
      <c r="K3014">
        <v>1.1210580000000001</v>
      </c>
      <c r="L3014">
        <v>283.99369999999999</v>
      </c>
      <c r="M3014">
        <v>-0.9998882</v>
      </c>
      <c r="N3014">
        <v>-1.4049000000000001E-2</v>
      </c>
      <c r="O3014">
        <v>5.1157080000000001E-3</v>
      </c>
      <c r="P3014">
        <v>-0.99853769999999997</v>
      </c>
      <c r="Q3014">
        <v>-4.7185810000000002E-2</v>
      </c>
      <c r="R3014">
        <v>-2.6382369999999999E-2</v>
      </c>
      <c r="S3014">
        <v>-3.0054319999999999</v>
      </c>
      <c r="T3014">
        <v>3.3344859999999997E-2</v>
      </c>
      <c r="U3014">
        <v>-1.333618E-2</v>
      </c>
      <c r="V3014">
        <v>-3.1504329999999997E-2</v>
      </c>
      <c r="W3014">
        <v>-3.314164E-2</v>
      </c>
      <c r="X3014">
        <v>0.99895400000000001</v>
      </c>
      <c r="Y3014">
        <v>-9.55196E-3</v>
      </c>
      <c r="Z3014">
        <v>1.14511E-4</v>
      </c>
      <c r="AA3014">
        <v>0.99995429999999996</v>
      </c>
      <c r="AB3014">
        <v>27</v>
      </c>
      <c r="AC3014">
        <v>-3.0054319999999999</v>
      </c>
      <c r="AD3014">
        <v>3.3344859999999997E-2</v>
      </c>
      <c r="AE3014">
        <v>-1.333618E-2</v>
      </c>
      <c r="AF3014">
        <v>-2.8708901960995199E-2</v>
      </c>
      <c r="AG3014">
        <v>3.3344859999999997E-2</v>
      </c>
      <c r="AH3014">
        <v>3.0049545438193799</v>
      </c>
      <c r="AI3014">
        <v>89.364265205588296</v>
      </c>
      <c r="AJ3014">
        <v>90.5473789532887</v>
      </c>
      <c r="AK3014">
        <v>3.0052766746442701</v>
      </c>
      <c r="AL3014">
        <v>91.899223894986505</v>
      </c>
      <c r="AM3014">
        <v>91.806356510444203</v>
      </c>
      <c r="AN3014">
        <v>0.99999999261331896</v>
      </c>
    </row>
    <row r="3015" spans="1:40" x14ac:dyDescent="0.25">
      <c r="A3015" t="str">
        <f>"20190303153829596"</f>
        <v>20190303153829596</v>
      </c>
      <c r="B3015" t="str">
        <f>"1551598709592116"</f>
        <v>1551598709592116</v>
      </c>
      <c r="C3015" t="s">
        <v>40</v>
      </c>
      <c r="D3015">
        <v>4.0150119999999996</v>
      </c>
      <c r="E3015">
        <v>0.533327</v>
      </c>
      <c r="F3015" t="s">
        <v>44</v>
      </c>
      <c r="G3015">
        <v>-427.79430000000002</v>
      </c>
      <c r="H3015">
        <v>1.03247</v>
      </c>
      <c r="I3015">
        <v>284.0462</v>
      </c>
      <c r="J3015">
        <v>-427.14409999999998</v>
      </c>
      <c r="K3015">
        <v>1.121059</v>
      </c>
      <c r="L3015">
        <v>283.9948</v>
      </c>
      <c r="M3015">
        <v>-0.99988750000000004</v>
      </c>
      <c r="N3015">
        <v>-1.404794E-2</v>
      </c>
      <c r="O3015">
        <v>5.2562470000000003E-3</v>
      </c>
      <c r="P3015">
        <v>-0.9985598</v>
      </c>
      <c r="Q3015">
        <v>-4.6798609999999997E-2</v>
      </c>
      <c r="R3015">
        <v>-2.6232720000000001E-2</v>
      </c>
      <c r="S3015">
        <v>-2.9942630000000001</v>
      </c>
      <c r="T3015">
        <v>-0.31799070000000002</v>
      </c>
      <c r="U3015">
        <v>0.1863708</v>
      </c>
      <c r="V3015">
        <v>-3.1495210000000003E-2</v>
      </c>
      <c r="W3015">
        <v>-3.2755319999999997E-2</v>
      </c>
      <c r="X3015">
        <v>0.9989671</v>
      </c>
      <c r="Y3015">
        <v>5.653818E-2</v>
      </c>
      <c r="Z3015">
        <v>2.9071790000000002E-3</v>
      </c>
      <c r="AA3015">
        <v>0.99839619999999996</v>
      </c>
      <c r="AB3015">
        <v>27</v>
      </c>
      <c r="AC3015">
        <v>-0.65020000000003997</v>
      </c>
      <c r="AD3015">
        <v>-8.8589000000000001E-2</v>
      </c>
      <c r="AE3015">
        <v>5.1400000000000903E-2</v>
      </c>
      <c r="AF3015">
        <v>4.7112193393909603E-2</v>
      </c>
      <c r="AG3015">
        <v>-8.8589000000000001E-2</v>
      </c>
      <c r="AH3015">
        <v>0.63867857909103198</v>
      </c>
      <c r="AI3015">
        <v>97.875792950725398</v>
      </c>
      <c r="AJ3015">
        <v>85.781211536998796</v>
      </c>
      <c r="AK3015">
        <v>0.64651210126116399</v>
      </c>
      <c r="AL3015">
        <v>91.877077232431603</v>
      </c>
      <c r="AM3015">
        <v>91.805810280176999</v>
      </c>
      <c r="AN3015">
        <v>1.00000006306182</v>
      </c>
    </row>
    <row r="3016" spans="1:40" x14ac:dyDescent="0.25">
      <c r="A3016" t="str">
        <f>"20190303153829610"</f>
        <v>20190303153829610</v>
      </c>
      <c r="B3016" t="str">
        <f>"1551598709601875"</f>
        <v>1551598709601875</v>
      </c>
      <c r="C3016" t="s">
        <v>40</v>
      </c>
      <c r="D3016">
        <v>3.9010500000000001</v>
      </c>
      <c r="E3016">
        <v>0.53462449999999995</v>
      </c>
      <c r="F3016" t="s">
        <v>55</v>
      </c>
      <c r="G3016">
        <v>-444.32069999999999</v>
      </c>
      <c r="H3016" s="1">
        <v>7.4269040000000001E-7</v>
      </c>
      <c r="I3016">
        <v>285.06920000000002</v>
      </c>
      <c r="J3016">
        <v>-427.32760000000002</v>
      </c>
      <c r="K3016">
        <v>1.121062</v>
      </c>
      <c r="L3016">
        <v>283.99590000000001</v>
      </c>
      <c r="M3016">
        <v>-0.99988690000000002</v>
      </c>
      <c r="N3016">
        <v>-1.404681E-2</v>
      </c>
      <c r="O3016">
        <v>5.3949369999999998E-3</v>
      </c>
      <c r="P3016">
        <v>-0.9985714</v>
      </c>
      <c r="Q3016">
        <v>-4.6540400000000003E-2</v>
      </c>
      <c r="R3016">
        <v>-2.62603E-2</v>
      </c>
      <c r="S3016">
        <v>-3.0000610000000001</v>
      </c>
      <c r="T3016">
        <v>-0.19580349999999999</v>
      </c>
      <c r="U3016">
        <v>0.1876526</v>
      </c>
      <c r="V3016">
        <v>-3.166124E-2</v>
      </c>
      <c r="W3016">
        <v>-3.2498140000000002E-2</v>
      </c>
      <c r="X3016">
        <v>0.99897020000000003</v>
      </c>
      <c r="Y3016">
        <v>5.6902090000000002E-2</v>
      </c>
      <c r="Z3016">
        <v>1.9779680000000001E-3</v>
      </c>
      <c r="AA3016">
        <v>0.99837779999999998</v>
      </c>
      <c r="AB3016">
        <v>27</v>
      </c>
      <c r="AC3016">
        <v>-16.993099999999899</v>
      </c>
      <c r="AD3016">
        <v>-1.1210612573095999</v>
      </c>
      <c r="AE3016">
        <v>1.0733000000000099</v>
      </c>
      <c r="AF3016">
        <v>0.97736182085400702</v>
      </c>
      <c r="AG3016">
        <v>-1.1210612573095999</v>
      </c>
      <c r="AH3016">
        <v>16.925273349373501</v>
      </c>
      <c r="AI3016">
        <v>93.783219963273396</v>
      </c>
      <c r="AJ3016">
        <v>86.695085114761795</v>
      </c>
      <c r="AK3016">
        <v>16.990494178290302</v>
      </c>
      <c r="AL3016">
        <v>91.8623341509727</v>
      </c>
      <c r="AM3016">
        <v>91.8153177988533</v>
      </c>
      <c r="AN3016">
        <v>1.0000000118549099</v>
      </c>
    </row>
    <row r="3017" spans="1:40" x14ac:dyDescent="0.25">
      <c r="A3017" t="str">
        <f>"20190303153829624"</f>
        <v>20190303153829624</v>
      </c>
      <c r="B3017" t="str">
        <f>"1551598709621396"</f>
        <v>1551598709621396</v>
      </c>
      <c r="C3017" t="s">
        <v>40</v>
      </c>
      <c r="D3017">
        <v>3.957176</v>
      </c>
      <c r="E3017">
        <v>0.53474089999999996</v>
      </c>
      <c r="F3017" t="s">
        <v>55</v>
      </c>
      <c r="G3017">
        <v>-449.97109999999998</v>
      </c>
      <c r="H3017" s="1">
        <v>-1.590161E-6</v>
      </c>
      <c r="I3017">
        <v>285.48500000000001</v>
      </c>
      <c r="J3017">
        <v>-427.49959999999999</v>
      </c>
      <c r="K3017">
        <v>1.121062</v>
      </c>
      <c r="L3017">
        <v>283.99700000000001</v>
      </c>
      <c r="M3017">
        <v>-0.9998861</v>
      </c>
      <c r="N3017">
        <v>-1.404567E-2</v>
      </c>
      <c r="O3017">
        <v>5.5237219999999896E-3</v>
      </c>
      <c r="P3017">
        <v>-0.99858009999999997</v>
      </c>
      <c r="Q3017">
        <v>-4.637028E-2</v>
      </c>
      <c r="R3017">
        <v>-2.6223750000000001E-2</v>
      </c>
      <c r="S3017">
        <v>-3.0025629999999999</v>
      </c>
      <c r="T3017">
        <v>-0.14865510000000001</v>
      </c>
      <c r="U3017">
        <v>0.1974487</v>
      </c>
      <c r="V3017">
        <v>-3.1752870000000002E-2</v>
      </c>
      <c r="W3017">
        <v>-3.2329160000000003E-2</v>
      </c>
      <c r="X3017">
        <v>0.99897279999999999</v>
      </c>
      <c r="Y3017">
        <v>6.0014360000000003E-2</v>
      </c>
      <c r="Z3017">
        <v>1.7098790000000001E-3</v>
      </c>
      <c r="AA3017">
        <v>0.99819610000000003</v>
      </c>
      <c r="AB3017">
        <v>27</v>
      </c>
      <c r="AC3017">
        <v>-22.471499999999899</v>
      </c>
      <c r="AD3017">
        <v>-1.121063590161</v>
      </c>
      <c r="AE3017">
        <v>1.48799999999999</v>
      </c>
      <c r="AF3017">
        <v>1.36046753100735</v>
      </c>
      <c r="AG3017">
        <v>-1.121063590161</v>
      </c>
      <c r="AH3017">
        <v>22.4238116574458</v>
      </c>
      <c r="AI3017">
        <v>92.856837199991404</v>
      </c>
      <c r="AJ3017">
        <v>86.528082829555103</v>
      </c>
      <c r="AK3017">
        <v>22.4929985712158</v>
      </c>
      <c r="AL3017">
        <v>91.852647173109901</v>
      </c>
      <c r="AM3017">
        <v>91.820563198962503</v>
      </c>
      <c r="AN3017">
        <v>1.00000003723969</v>
      </c>
    </row>
    <row r="3018" spans="1:40" x14ac:dyDescent="0.25">
      <c r="A3018" t="str">
        <f>"20190303153829639"</f>
        <v>20190303153829639</v>
      </c>
      <c r="B3018" t="str">
        <f>"1551598709631158"</f>
        <v>1551598709631158</v>
      </c>
      <c r="C3018" t="s">
        <v>40</v>
      </c>
      <c r="D3018">
        <v>4.0334120000000002</v>
      </c>
      <c r="E3018">
        <v>0.53411200000000003</v>
      </c>
      <c r="F3018" t="s">
        <v>55</v>
      </c>
      <c r="G3018">
        <v>-465.6078</v>
      </c>
      <c r="H3018" s="1">
        <v>1.3648850000000001E-6</v>
      </c>
      <c r="I3018">
        <v>286.50450000000001</v>
      </c>
      <c r="J3018">
        <v>-427.68200000000002</v>
      </c>
      <c r="K3018">
        <v>1.121067</v>
      </c>
      <c r="L3018">
        <v>283.99810000000002</v>
      </c>
      <c r="M3018">
        <v>-0.99988540000000004</v>
      </c>
      <c r="N3018">
        <v>-1.404441E-2</v>
      </c>
      <c r="O3018">
        <v>5.6580379999999998E-3</v>
      </c>
      <c r="P3018">
        <v>-0.99857459999999998</v>
      </c>
      <c r="Q3018">
        <v>-4.6635749999999997E-2</v>
      </c>
      <c r="R3018">
        <v>-2.596306E-2</v>
      </c>
      <c r="S3018">
        <v>-3.0053709999999998</v>
      </c>
      <c r="T3018">
        <v>-8.8411450000000003E-2</v>
      </c>
      <c r="U3018">
        <v>0.19775390000000001</v>
      </c>
      <c r="V3018">
        <v>-3.1626370000000001E-2</v>
      </c>
      <c r="W3018">
        <v>-3.2596220000000002E-2</v>
      </c>
      <c r="X3018">
        <v>0.99896810000000003</v>
      </c>
      <c r="Y3018">
        <v>5.9973199999999997E-2</v>
      </c>
      <c r="Z3018">
        <v>1.215905E-3</v>
      </c>
      <c r="AA3018">
        <v>0.99819919999999995</v>
      </c>
      <c r="AB3018">
        <v>27</v>
      </c>
      <c r="AC3018">
        <v>-37.925800000000002</v>
      </c>
      <c r="AD3018">
        <v>-1.1210656351149999</v>
      </c>
      <c r="AE3018">
        <v>2.5063999999999802</v>
      </c>
      <c r="AF3018">
        <v>2.2897610930318599</v>
      </c>
      <c r="AG3018">
        <v>-1.1210656351149999</v>
      </c>
      <c r="AH3018">
        <v>37.906398413605302</v>
      </c>
      <c r="AI3018">
        <v>91.690924215795604</v>
      </c>
      <c r="AJ3018">
        <v>86.543210849356498</v>
      </c>
      <c r="AK3018">
        <v>37.992036464400996</v>
      </c>
      <c r="AL3018">
        <v>91.867956716656707</v>
      </c>
      <c r="AM3018">
        <v>91.813323649563401</v>
      </c>
      <c r="AN3018">
        <v>1.0000000028276299</v>
      </c>
    </row>
    <row r="3019" spans="1:40" x14ac:dyDescent="0.25">
      <c r="A3019" t="str">
        <f>"20190303153829659"</f>
        <v>20190303153829659</v>
      </c>
      <c r="B3019" t="str">
        <f>"1551598709651652"</f>
        <v>1551598709651652</v>
      </c>
      <c r="C3019" t="s">
        <v>40</v>
      </c>
      <c r="D3019">
        <v>4.0347369999999998</v>
      </c>
      <c r="E3019">
        <v>0.53184960000000003</v>
      </c>
      <c r="F3019" t="s">
        <v>51</v>
      </c>
      <c r="G3019">
        <v>-473.77330000000001</v>
      </c>
      <c r="H3019" s="1">
        <v>5.146016E-6</v>
      </c>
      <c r="I3019">
        <v>286.96350000000001</v>
      </c>
      <c r="J3019">
        <v>-427.91820000000001</v>
      </c>
      <c r="K3019">
        <v>1.1210690000000001</v>
      </c>
      <c r="L3019">
        <v>283.99970000000002</v>
      </c>
      <c r="M3019">
        <v>-0.99988440000000001</v>
      </c>
      <c r="N3019">
        <v>-1.404266E-2</v>
      </c>
      <c r="O3019">
        <v>5.8277329999999999E-3</v>
      </c>
      <c r="P3019">
        <v>-0.9985503</v>
      </c>
      <c r="Q3019">
        <v>-4.7403430000000003E-2</v>
      </c>
      <c r="R3019">
        <v>-2.5501389999999999E-2</v>
      </c>
      <c r="S3019">
        <v>-3.00589</v>
      </c>
      <c r="T3019">
        <v>-7.3111179999999998E-2</v>
      </c>
      <c r="U3019">
        <v>0.1933899</v>
      </c>
      <c r="V3019">
        <v>-3.1334040000000001E-2</v>
      </c>
      <c r="W3019">
        <v>-3.3366350000000003E-2</v>
      </c>
      <c r="X3019">
        <v>0.9989519</v>
      </c>
      <c r="Y3019">
        <v>5.8360019999999999E-2</v>
      </c>
      <c r="Z3019">
        <v>1.0593849999999999E-3</v>
      </c>
      <c r="AA3019">
        <v>0.99829509999999999</v>
      </c>
      <c r="AB3019">
        <v>27</v>
      </c>
      <c r="AC3019">
        <v>-45.855099999999901</v>
      </c>
      <c r="AD3019">
        <v>-1.1210638539839901</v>
      </c>
      <c r="AE3019">
        <v>2.9637999999999902</v>
      </c>
      <c r="AF3019">
        <v>2.6948879834760802</v>
      </c>
      <c r="AG3019">
        <v>-1.1210638539839901</v>
      </c>
      <c r="AH3019">
        <v>45.844307817580599</v>
      </c>
      <c r="AI3019">
        <v>91.398402711710702</v>
      </c>
      <c r="AJ3019">
        <v>86.635826052009193</v>
      </c>
      <c r="AK3019">
        <v>45.937128389585602</v>
      </c>
      <c r="AL3019">
        <v>91.912105907824895</v>
      </c>
      <c r="AM3019">
        <v>91.796602822523099</v>
      </c>
      <c r="AN3019">
        <v>1.0000000169443199</v>
      </c>
    </row>
    <row r="3020" spans="1:40" x14ac:dyDescent="0.25">
      <c r="A3020" t="str">
        <f>"20190303153829675"</f>
        <v>20190303153829675</v>
      </c>
      <c r="B3020" t="str">
        <f>"1551598709671172"</f>
        <v>1551598709671172</v>
      </c>
      <c r="C3020" t="s">
        <v>40</v>
      </c>
      <c r="D3020">
        <v>4.0461900000000002</v>
      </c>
      <c r="E3020">
        <v>0.52999240000000003</v>
      </c>
      <c r="F3020" t="s">
        <v>51</v>
      </c>
      <c r="G3020">
        <v>-487.6062</v>
      </c>
      <c r="H3020" s="1">
        <v>3.8074000000000002E-6</v>
      </c>
      <c r="I3020">
        <v>287.50380000000001</v>
      </c>
      <c r="J3020">
        <v>-428.10899999999998</v>
      </c>
      <c r="K3020">
        <v>1.121078</v>
      </c>
      <c r="L3020">
        <v>284.0009</v>
      </c>
      <c r="M3020">
        <v>-0.99988379999999999</v>
      </c>
      <c r="N3020">
        <v>-1.403954E-2</v>
      </c>
      <c r="O3020">
        <v>5.9601200000000002E-3</v>
      </c>
      <c r="P3020">
        <v>-0.99853309999999995</v>
      </c>
      <c r="Q3020">
        <v>-4.7886779999999997E-2</v>
      </c>
      <c r="R3020">
        <v>-2.527126E-2</v>
      </c>
      <c r="S3020">
        <v>-3.0061650000000002</v>
      </c>
      <c r="T3020">
        <v>-5.646205E-2</v>
      </c>
      <c r="U3020">
        <v>0.17648320000000001</v>
      </c>
      <c r="V3020">
        <v>-3.1236360000000001E-2</v>
      </c>
      <c r="W3020">
        <v>-3.385341E-2</v>
      </c>
      <c r="X3020">
        <v>0.99893860000000001</v>
      </c>
      <c r="Y3020">
        <v>5.2638549999999999E-2</v>
      </c>
      <c r="Z3020">
        <v>8.3554530000000003E-4</v>
      </c>
      <c r="AA3020">
        <v>0.99861330000000004</v>
      </c>
      <c r="AB3020">
        <v>27</v>
      </c>
      <c r="AC3020">
        <v>-59.4971999999999</v>
      </c>
      <c r="AD3020">
        <v>-1.1210741926000001</v>
      </c>
      <c r="AE3020">
        <v>3.5029000000000101</v>
      </c>
      <c r="AF3020">
        <v>3.1470789335406701</v>
      </c>
      <c r="AG3020">
        <v>-1.1210741926000001</v>
      </c>
      <c r="AH3020">
        <v>59.495972377446797</v>
      </c>
      <c r="AI3020">
        <v>91.077981862505794</v>
      </c>
      <c r="AJ3020">
        <v>86.972123574064199</v>
      </c>
      <c r="AK3020">
        <v>59.589694094676801</v>
      </c>
      <c r="AL3020">
        <v>91.9400281107105</v>
      </c>
      <c r="AM3020">
        <v>91.791029618611105</v>
      </c>
      <c r="AN3020">
        <v>1.0000000450623101</v>
      </c>
    </row>
    <row r="3021" spans="1:40" x14ac:dyDescent="0.25">
      <c r="A3021" t="str">
        <f>"20190303153829692"</f>
        <v>20190303153829692</v>
      </c>
      <c r="B3021" t="str">
        <f>"1551598709681909"</f>
        <v>1551598709681909</v>
      </c>
      <c r="C3021" t="s">
        <v>40</v>
      </c>
      <c r="D3021">
        <v>4.0604009999999997</v>
      </c>
      <c r="E3021">
        <v>0.5291882</v>
      </c>
      <c r="F3021" t="s">
        <v>51</v>
      </c>
      <c r="G3021">
        <v>-500.93920000000003</v>
      </c>
      <c r="H3021">
        <v>7.9981670000000005E-2</v>
      </c>
      <c r="I3021">
        <v>287.92950000000002</v>
      </c>
      <c r="J3021">
        <v>-428.3263</v>
      </c>
      <c r="K3021">
        <v>1.121084</v>
      </c>
      <c r="L3021">
        <v>284.00240000000002</v>
      </c>
      <c r="M3021">
        <v>-0.99988310000000002</v>
      </c>
      <c r="N3021">
        <v>-1.4027080000000001E-2</v>
      </c>
      <c r="O3021">
        <v>6.1049980000000004E-3</v>
      </c>
      <c r="P3021">
        <v>-0.99855850000000002</v>
      </c>
      <c r="Q3021">
        <v>-4.7960259999999998E-2</v>
      </c>
      <c r="R3021">
        <v>-2.410528E-2</v>
      </c>
      <c r="S3021">
        <v>-3.0064389999999999</v>
      </c>
      <c r="T3021">
        <v>-4.297662E-2</v>
      </c>
      <c r="U3021">
        <v>0.16217039999999999</v>
      </c>
      <c r="V3021">
        <v>-3.0214049999999999E-2</v>
      </c>
      <c r="W3021">
        <v>-3.3939770000000001E-2</v>
      </c>
      <c r="X3021">
        <v>0.9989671</v>
      </c>
      <c r="Y3021">
        <v>4.7755329999999999E-2</v>
      </c>
      <c r="Z3021">
        <v>6.7467299999999998E-4</v>
      </c>
      <c r="AA3021">
        <v>0.99885880000000005</v>
      </c>
      <c r="AB3021">
        <v>27</v>
      </c>
      <c r="AC3021">
        <v>-72.612899999999996</v>
      </c>
      <c r="AD3021">
        <v>-1.04110233</v>
      </c>
      <c r="AE3021">
        <v>3.92709999999999</v>
      </c>
      <c r="AF3021">
        <v>3.4829677231969902</v>
      </c>
      <c r="AG3021">
        <v>-1.04110233</v>
      </c>
      <c r="AH3021">
        <v>72.620638766483793</v>
      </c>
      <c r="AI3021">
        <v>90.820403265956799</v>
      </c>
      <c r="AJ3021">
        <v>87.254133928084499</v>
      </c>
      <c r="AK3021">
        <v>72.711568082902005</v>
      </c>
      <c r="AL3021">
        <v>91.944979044789207</v>
      </c>
      <c r="AM3021">
        <v>91.732399363229206</v>
      </c>
      <c r="AN3021">
        <v>1.0000000318437301</v>
      </c>
    </row>
    <row r="3022" spans="1:40" x14ac:dyDescent="0.25">
      <c r="A3022" t="str">
        <f>"20190303153829714"</f>
        <v>20190303153829714</v>
      </c>
      <c r="B3022" t="str">
        <f>"1551598709701427"</f>
        <v>1551598709701427</v>
      </c>
      <c r="C3022" t="s">
        <v>40</v>
      </c>
      <c r="D3022">
        <v>4.030551</v>
      </c>
      <c r="E3022">
        <v>0.5278273</v>
      </c>
      <c r="F3022" t="s">
        <v>43</v>
      </c>
      <c r="G3022">
        <v>-521.14400000000001</v>
      </c>
      <c r="H3022">
        <v>-0.05</v>
      </c>
      <c r="I3022">
        <v>288.91879999999998</v>
      </c>
      <c r="J3022">
        <v>-428.59449999999998</v>
      </c>
      <c r="K3022">
        <v>1.1210819999999999</v>
      </c>
      <c r="L3022">
        <v>284.0043</v>
      </c>
      <c r="M3022">
        <v>-0.99988290000000002</v>
      </c>
      <c r="N3022">
        <v>-1.3966839999999999E-2</v>
      </c>
      <c r="O3022">
        <v>6.2729999999999999E-3</v>
      </c>
      <c r="P3022">
        <v>-0.99859880000000001</v>
      </c>
      <c r="Q3022">
        <v>-4.7588449999999997E-2</v>
      </c>
      <c r="R3022">
        <v>-2.3157540000000001E-2</v>
      </c>
      <c r="S3022">
        <v>-3.0063780000000002</v>
      </c>
      <c r="T3022">
        <v>-3.7931560000000003E-2</v>
      </c>
      <c r="U3022">
        <v>0.15924070000000001</v>
      </c>
      <c r="V3022">
        <v>-2.9433620000000001E-2</v>
      </c>
      <c r="W3022">
        <v>-3.3628440000000002E-2</v>
      </c>
      <c r="X3022">
        <v>0.99900089999999997</v>
      </c>
      <c r="Y3022">
        <v>4.6619809999999998E-2</v>
      </c>
      <c r="Z3022">
        <v>6.2819809999999998E-4</v>
      </c>
      <c r="AA3022">
        <v>0.99891249999999998</v>
      </c>
      <c r="AB3022">
        <v>27</v>
      </c>
      <c r="AC3022">
        <v>-92.549499999999995</v>
      </c>
      <c r="AD3022">
        <v>-1.171082</v>
      </c>
      <c r="AE3022">
        <v>4.9144999999999701</v>
      </c>
      <c r="AF3022">
        <v>4.3330918738106998</v>
      </c>
      <c r="AG3022">
        <v>-1.171082</v>
      </c>
      <c r="AH3022">
        <v>92.563731374508293</v>
      </c>
      <c r="AI3022">
        <v>90.724053467889306</v>
      </c>
      <c r="AJ3022">
        <v>87.319827509679399</v>
      </c>
      <c r="AK3022">
        <v>92.672495834577205</v>
      </c>
      <c r="AL3022">
        <v>91.927131015267094</v>
      </c>
      <c r="AM3022">
        <v>91.687620579052094</v>
      </c>
      <c r="AN3022">
        <v>1.0000000040819701</v>
      </c>
    </row>
    <row r="3023" spans="1:40" x14ac:dyDescent="0.25">
      <c r="A3023" t="str">
        <f>"20190303153829736"</f>
        <v>20190303153829736</v>
      </c>
      <c r="B3023" t="str">
        <f>"1551598709731684"</f>
        <v>1551598709731684</v>
      </c>
      <c r="C3023" t="s">
        <v>40</v>
      </c>
      <c r="D3023">
        <v>4.1032029999999997</v>
      </c>
      <c r="E3023">
        <v>0.52560200000000001</v>
      </c>
      <c r="F3023" t="s">
        <v>46</v>
      </c>
      <c r="G3023">
        <v>0</v>
      </c>
      <c r="H3023">
        <v>0</v>
      </c>
      <c r="I3023">
        <v>0</v>
      </c>
      <c r="J3023">
        <v>-428.86540000000002</v>
      </c>
      <c r="K3023">
        <v>1.1210599999999999</v>
      </c>
      <c r="L3023">
        <v>284.00619999999998</v>
      </c>
      <c r="M3023">
        <v>-0.99988370000000004</v>
      </c>
      <c r="N3023">
        <v>-1.383908E-2</v>
      </c>
      <c r="O3023">
        <v>6.4283630000000003E-3</v>
      </c>
      <c r="P3023">
        <v>-0.99864909999999996</v>
      </c>
      <c r="Q3023">
        <v>-4.6873039999999998E-2</v>
      </c>
      <c r="R3023">
        <v>-2.2439170000000001E-2</v>
      </c>
      <c r="S3023">
        <v>-3.0064700000000002</v>
      </c>
      <c r="T3023">
        <v>-2.5106549999999998E-2</v>
      </c>
      <c r="U3023">
        <v>0.15124509999999999</v>
      </c>
      <c r="V3023">
        <v>-2.8869700000000002E-2</v>
      </c>
      <c r="W3023">
        <v>-3.3040739999999999E-2</v>
      </c>
      <c r="X3023">
        <v>0.99903699999999995</v>
      </c>
      <c r="Y3023">
        <v>4.3817160000000001E-2</v>
      </c>
      <c r="Z3023">
        <v>5.2152190000000003E-4</v>
      </c>
      <c r="AA3023">
        <v>0.99903940000000002</v>
      </c>
      <c r="AB3023">
        <v>27</v>
      </c>
      <c r="AC3023">
        <v>-3.0064700000000002</v>
      </c>
      <c r="AD3023">
        <v>-2.5106549999999998E-2</v>
      </c>
      <c r="AE3023">
        <v>0.15124509999999999</v>
      </c>
      <c r="AF3023">
        <v>0.13190427001980201</v>
      </c>
      <c r="AG3023">
        <v>-2.5106549999999998E-2</v>
      </c>
      <c r="AH3023">
        <v>3.0071710391240698</v>
      </c>
      <c r="AI3023">
        <v>90.477885753018995</v>
      </c>
      <c r="AJ3023">
        <v>87.488431290515194</v>
      </c>
      <c r="AK3023">
        <v>3.0101672268910402</v>
      </c>
      <c r="AL3023">
        <v>91.893439495593896</v>
      </c>
      <c r="AM3023">
        <v>91.655245766521304</v>
      </c>
      <c r="AN3023">
        <v>1.00000003872341</v>
      </c>
    </row>
    <row r="3024" spans="1:40" x14ac:dyDescent="0.25">
      <c r="A3024" t="str">
        <f>"20190303153829753"</f>
        <v>20190303153829753</v>
      </c>
      <c r="B3024" t="str">
        <f>"1551598709741444"</f>
        <v>1551598709741444</v>
      </c>
      <c r="C3024" t="s">
        <v>40</v>
      </c>
      <c r="D3024">
        <v>4.0421170000000002</v>
      </c>
      <c r="E3024">
        <v>0.52512979999999998</v>
      </c>
      <c r="F3024" t="s">
        <v>46</v>
      </c>
      <c r="G3024">
        <v>0</v>
      </c>
      <c r="H3024">
        <v>0</v>
      </c>
      <c r="I3024">
        <v>0</v>
      </c>
      <c r="J3024">
        <v>-429.05779999999999</v>
      </c>
      <c r="K3024">
        <v>1.121035</v>
      </c>
      <c r="L3024">
        <v>284.00749999999999</v>
      </c>
      <c r="M3024">
        <v>-0.99988480000000002</v>
      </c>
      <c r="N3024">
        <v>-1.3709829999999999E-2</v>
      </c>
      <c r="O3024">
        <v>6.5284490000000004E-3</v>
      </c>
      <c r="P3024">
        <v>-0.99867209999999995</v>
      </c>
      <c r="Q3024">
        <v>-4.640159E-2</v>
      </c>
      <c r="R3024">
        <v>-2.2381959999999999E-2</v>
      </c>
      <c r="S3024">
        <v>-3.0064090000000001</v>
      </c>
      <c r="T3024">
        <v>-1.468062E-2</v>
      </c>
      <c r="U3024">
        <v>0.13534549999999901</v>
      </c>
      <c r="V3024">
        <v>-2.8912409999999999E-2</v>
      </c>
      <c r="W3024">
        <v>-3.2698579999999998E-2</v>
      </c>
      <c r="X3024">
        <v>0.99904700000000002</v>
      </c>
      <c r="Y3024">
        <v>3.8448530000000002E-2</v>
      </c>
      <c r="Z3024">
        <v>4.151453E-4</v>
      </c>
      <c r="AA3024">
        <v>0.9992605</v>
      </c>
      <c r="AB3024">
        <v>27</v>
      </c>
      <c r="AC3024">
        <v>-3.0064090000000001</v>
      </c>
      <c r="AD3024">
        <v>-1.468062E-2</v>
      </c>
      <c r="AE3024">
        <v>0.13534549999999901</v>
      </c>
      <c r="AF3024">
        <v>0.115710830907387</v>
      </c>
      <c r="AG3024">
        <v>-1.468062E-2</v>
      </c>
      <c r="AH3024">
        <v>3.0071570390387299</v>
      </c>
      <c r="AI3024">
        <v>90.279502828630896</v>
      </c>
      <c r="AJ3024">
        <v>87.796432614479997</v>
      </c>
      <c r="AK3024">
        <v>3.0094182119527799</v>
      </c>
      <c r="AL3024">
        <v>91.873824615202096</v>
      </c>
      <c r="AM3024">
        <v>91.657676597828299</v>
      </c>
      <c r="AN3024">
        <v>1.00000001639751</v>
      </c>
    </row>
    <row r="3025" spans="1:40" x14ac:dyDescent="0.25">
      <c r="A3025" t="str">
        <f>"20190303153829767"</f>
        <v>20190303153829767</v>
      </c>
      <c r="B3025" t="str">
        <f>"1551598709761940"</f>
        <v>1551598709761940</v>
      </c>
      <c r="C3025" t="s">
        <v>40</v>
      </c>
      <c r="D3025">
        <v>4.0448539999999999</v>
      </c>
      <c r="E3025">
        <v>0.52435799999999999</v>
      </c>
      <c r="F3025" t="s">
        <v>46</v>
      </c>
      <c r="G3025">
        <v>0</v>
      </c>
      <c r="H3025">
        <v>0</v>
      </c>
      <c r="I3025">
        <v>0</v>
      </c>
      <c r="J3025">
        <v>-429.25599999999997</v>
      </c>
      <c r="K3025">
        <v>1.12101299999999</v>
      </c>
      <c r="L3025">
        <v>284.00889999999998</v>
      </c>
      <c r="M3025">
        <v>-0.99988650000000001</v>
      </c>
      <c r="N3025">
        <v>-1.354494E-2</v>
      </c>
      <c r="O3025">
        <v>6.6248430000000001E-3</v>
      </c>
      <c r="P3025">
        <v>-0.9986488</v>
      </c>
      <c r="Q3025">
        <v>-4.6849549999999997E-2</v>
      </c>
      <c r="R3025">
        <v>-2.2494730000000001E-2</v>
      </c>
      <c r="S3025">
        <v>-3.0064700000000002</v>
      </c>
      <c r="T3025">
        <v>-1.0313269999999999E-2</v>
      </c>
      <c r="U3025">
        <v>0.131683299999999</v>
      </c>
      <c r="V3025">
        <v>-2.9120960000000001E-2</v>
      </c>
      <c r="W3025">
        <v>-3.3312099999999997E-2</v>
      </c>
      <c r="X3025">
        <v>0.99902060000000004</v>
      </c>
      <c r="Y3025">
        <v>3.713723E-2</v>
      </c>
      <c r="Z3025">
        <v>3.8229799999999999E-4</v>
      </c>
      <c r="AA3025">
        <v>0.99931009999999998</v>
      </c>
      <c r="AB3025">
        <v>27</v>
      </c>
      <c r="AC3025">
        <v>-3.0064700000000002</v>
      </c>
      <c r="AD3025">
        <v>-1.0313269999999999E-2</v>
      </c>
      <c r="AE3025">
        <v>0.131683299999999</v>
      </c>
      <c r="AF3025">
        <v>0.11175988173665399</v>
      </c>
      <c r="AG3025">
        <v>-1.0313269999999999E-2</v>
      </c>
      <c r="AH3025">
        <v>3.00724115393237</v>
      </c>
      <c r="AI3025">
        <v>90.1963583443478</v>
      </c>
      <c r="AJ3025">
        <v>87.8716625345442</v>
      </c>
      <c r="AK3025">
        <v>3.0093348089915799</v>
      </c>
      <c r="AL3025">
        <v>91.908996024604605</v>
      </c>
      <c r="AM3025">
        <v>91.669671046265407</v>
      </c>
      <c r="AN3025">
        <v>0.99999994277104398</v>
      </c>
    </row>
    <row r="3026" spans="1:40" x14ac:dyDescent="0.25">
      <c r="A3026" t="str">
        <f>"20190303153829780"</f>
        <v>20190303153829780</v>
      </c>
      <c r="B3026" t="str">
        <f>"1551598709771700"</f>
        <v>1551598709771700</v>
      </c>
      <c r="C3026" t="s">
        <v>40</v>
      </c>
      <c r="D3026">
        <v>4.0436550000000002</v>
      </c>
      <c r="E3026">
        <v>0.52399439999999997</v>
      </c>
      <c r="F3026" t="s">
        <v>46</v>
      </c>
      <c r="G3026">
        <v>0</v>
      </c>
      <c r="H3026">
        <v>0</v>
      </c>
      <c r="I3026">
        <v>0</v>
      </c>
      <c r="J3026">
        <v>-429.40820000000002</v>
      </c>
      <c r="K3026">
        <v>1.1209929999999999</v>
      </c>
      <c r="L3026">
        <v>284.01010000000002</v>
      </c>
      <c r="M3026">
        <v>-0.99988779999999999</v>
      </c>
      <c r="N3026">
        <v>-1.3405159999999999E-2</v>
      </c>
      <c r="O3026">
        <v>6.6943619999999997E-3</v>
      </c>
      <c r="P3026">
        <v>-0.99865930000000003</v>
      </c>
      <c r="Q3026">
        <v>-4.6536420000000002E-2</v>
      </c>
      <c r="R3026">
        <v>-2.267371E-2</v>
      </c>
      <c r="S3026">
        <v>-3.0066220000000001</v>
      </c>
      <c r="T3026">
        <v>-5.8333869999999998E-3</v>
      </c>
      <c r="U3026">
        <v>0.1252441</v>
      </c>
      <c r="V3026">
        <v>-2.936884E-2</v>
      </c>
      <c r="W3026">
        <v>-3.3139059999999998E-2</v>
      </c>
      <c r="X3026">
        <v>0.99901910000000005</v>
      </c>
      <c r="Y3026">
        <v>3.492982E-2</v>
      </c>
      <c r="Z3026">
        <v>3.4483019999999998E-4</v>
      </c>
      <c r="AA3026">
        <v>0.99938970000000005</v>
      </c>
      <c r="AB3026">
        <v>27</v>
      </c>
      <c r="AC3026">
        <v>-3.0066220000000001</v>
      </c>
      <c r="AD3026">
        <v>-5.8333869999999998E-3</v>
      </c>
      <c r="AE3026">
        <v>0.1252441</v>
      </c>
      <c r="AF3026">
        <v>0.10511167462542199</v>
      </c>
      <c r="AG3026">
        <v>-5.8333869999999998E-3</v>
      </c>
      <c r="AH3026">
        <v>3.00738182060444</v>
      </c>
      <c r="AI3026">
        <v>90.111068064847501</v>
      </c>
      <c r="AJ3026">
        <v>87.998257232114597</v>
      </c>
      <c r="AK3026">
        <v>3.0092238048122102</v>
      </c>
      <c r="AL3026">
        <v>91.8990760827716</v>
      </c>
      <c r="AM3026">
        <v>91.683877802199802</v>
      </c>
      <c r="AN3026">
        <v>0.99999994411271798</v>
      </c>
    </row>
    <row r="3027" spans="1:40" x14ac:dyDescent="0.25">
      <c r="A3027" t="str">
        <f>"20190303153829797"</f>
        <v>20190303153829797</v>
      </c>
      <c r="B3027" t="str">
        <f>"1551598709791220"</f>
        <v>1551598709791220</v>
      </c>
      <c r="C3027" t="s">
        <v>40</v>
      </c>
      <c r="D3027">
        <v>4.0753539999999999</v>
      </c>
      <c r="E3027">
        <v>0.52311739999999995</v>
      </c>
      <c r="F3027" t="s">
        <v>46</v>
      </c>
      <c r="G3027">
        <v>0</v>
      </c>
      <c r="H3027">
        <v>0</v>
      </c>
      <c r="I3027">
        <v>0</v>
      </c>
      <c r="J3027">
        <v>-429.59829999999999</v>
      </c>
      <c r="K3027">
        <v>1.120973</v>
      </c>
      <c r="L3027">
        <v>284.01139999999998</v>
      </c>
      <c r="M3027">
        <v>-0.99988969999999999</v>
      </c>
      <c r="N3027">
        <v>-1.3229670000000001E-2</v>
      </c>
      <c r="O3027">
        <v>6.7763429999999998E-3</v>
      </c>
      <c r="P3027">
        <v>-0.99866920000000003</v>
      </c>
      <c r="Q3027">
        <v>-4.6227160000000003E-2</v>
      </c>
      <c r="R3027">
        <v>-2.287291E-2</v>
      </c>
      <c r="S3027">
        <v>-3.0066830000000002</v>
      </c>
      <c r="T3027">
        <v>-2.4430749999999998E-3</v>
      </c>
      <c r="U3027">
        <v>0.1217346</v>
      </c>
      <c r="V3027">
        <v>-2.9648600000000001E-2</v>
      </c>
      <c r="W3027">
        <v>-3.3005769999999997E-2</v>
      </c>
      <c r="X3027">
        <v>0.99901530000000005</v>
      </c>
      <c r="Y3027">
        <v>3.3682879999999998E-2</v>
      </c>
      <c r="Z3027">
        <v>3.2070329999999998E-4</v>
      </c>
      <c r="AA3027">
        <v>0.99943249999999995</v>
      </c>
      <c r="AB3027">
        <v>27</v>
      </c>
      <c r="AC3027">
        <v>-3.0066830000000002</v>
      </c>
      <c r="AD3027">
        <v>-2.4430749999999998E-3</v>
      </c>
      <c r="AE3027">
        <v>0.1217346</v>
      </c>
      <c r="AF3027">
        <v>0.10135564280163099</v>
      </c>
      <c r="AG3027">
        <v>-2.4430749999999998E-3</v>
      </c>
      <c r="AH3027">
        <v>3.0074369605661402</v>
      </c>
      <c r="AI3027">
        <v>90.046517493689805</v>
      </c>
      <c r="AJ3027">
        <v>88.069767211814593</v>
      </c>
      <c r="AK3027">
        <v>3.0091453947462399</v>
      </c>
      <c r="AL3027">
        <v>91.8914348516101</v>
      </c>
      <c r="AM3027">
        <v>91.699915083453604</v>
      </c>
      <c r="AN3027">
        <v>0.99999999498467096</v>
      </c>
    </row>
    <row r="3028" spans="1:40" x14ac:dyDescent="0.25">
      <c r="A3028" t="str">
        <f>"20190303153829812"</f>
        <v>20190303153829812</v>
      </c>
      <c r="B3028" t="str">
        <f>"1551598709801955"</f>
        <v>1551598709801955</v>
      </c>
      <c r="C3028" t="s">
        <v>40</v>
      </c>
      <c r="D3028">
        <v>4.3554469999999998</v>
      </c>
      <c r="E3028">
        <v>0.5227482</v>
      </c>
      <c r="F3028" t="s">
        <v>46</v>
      </c>
      <c r="G3028">
        <v>0</v>
      </c>
      <c r="H3028">
        <v>0</v>
      </c>
      <c r="I3028">
        <v>0</v>
      </c>
      <c r="J3028">
        <v>-429.7901</v>
      </c>
      <c r="K3028">
        <v>1.1209549999999999</v>
      </c>
      <c r="L3028">
        <v>284.01280000000003</v>
      </c>
      <c r="M3028">
        <v>-0.99989130000000004</v>
      </c>
      <c r="N3028">
        <v>-1.305532E-2</v>
      </c>
      <c r="O3028">
        <v>6.8523960000000002E-3</v>
      </c>
      <c r="P3028">
        <v>-0.99866359999999998</v>
      </c>
      <c r="Q3028">
        <v>-4.6255280000000003E-2</v>
      </c>
      <c r="R3028">
        <v>-2.3055450000000002E-2</v>
      </c>
      <c r="S3028">
        <v>-3.0067439999999999</v>
      </c>
      <c r="T3028">
        <v>3.2501219999999998E-3</v>
      </c>
      <c r="U3028">
        <v>0.11437990000000001</v>
      </c>
      <c r="V3028">
        <v>-2.990659E-2</v>
      </c>
      <c r="W3028">
        <v>-3.3208969999999997E-2</v>
      </c>
      <c r="X3028">
        <v>0.99900089999999997</v>
      </c>
      <c r="Y3028">
        <v>3.1165579999999998E-2</v>
      </c>
      <c r="Z3028">
        <v>2.835208E-4</v>
      </c>
      <c r="AA3028">
        <v>0.99951420000000002</v>
      </c>
      <c r="AB3028">
        <v>27</v>
      </c>
      <c r="AC3028">
        <v>-3.0067439999999999</v>
      </c>
      <c r="AD3028">
        <v>3.2501219999999998E-3</v>
      </c>
      <c r="AE3028">
        <v>0.11437990000000001</v>
      </c>
      <c r="AF3028">
        <v>9.3771948197857599E-2</v>
      </c>
      <c r="AG3028">
        <v>3.2501219999999998E-3</v>
      </c>
      <c r="AH3028">
        <v>3.0074537300251398</v>
      </c>
      <c r="AI3028">
        <v>89.9381111848556</v>
      </c>
      <c r="AJ3028">
        <v>88.214104930207498</v>
      </c>
      <c r="AK3028">
        <v>3.0089170277367101</v>
      </c>
      <c r="AL3028">
        <v>91.903083694263401</v>
      </c>
      <c r="AM3028">
        <v>91.714722958876095</v>
      </c>
      <c r="AN3028">
        <v>1.0000000190073399</v>
      </c>
    </row>
    <row r="3029" spans="1:40" x14ac:dyDescent="0.25">
      <c r="A3029" t="str">
        <f>"20190303153829828"</f>
        <v>20190303153829828</v>
      </c>
      <c r="B3029" t="str">
        <f>"1551598709821476"</f>
        <v>1551598709821476</v>
      </c>
      <c r="C3029" t="s">
        <v>40</v>
      </c>
      <c r="D3029">
        <v>4.0418310000000002</v>
      </c>
      <c r="E3029">
        <v>0.5220669</v>
      </c>
      <c r="F3029" t="s">
        <v>46</v>
      </c>
      <c r="G3029">
        <v>0</v>
      </c>
      <c r="H3029">
        <v>0</v>
      </c>
      <c r="I3029">
        <v>0</v>
      </c>
      <c r="J3029">
        <v>-429.9812</v>
      </c>
      <c r="K3029">
        <v>1.1209439999999999</v>
      </c>
      <c r="L3029">
        <v>284.01420000000002</v>
      </c>
      <c r="M3029">
        <v>-0.99989300000000003</v>
      </c>
      <c r="N3029">
        <v>-1.289183E-2</v>
      </c>
      <c r="O3029">
        <v>6.9190789999999999E-3</v>
      </c>
      <c r="P3029">
        <v>-0.99865470000000001</v>
      </c>
      <c r="Q3029">
        <v>-4.6527770000000003E-2</v>
      </c>
      <c r="R3029">
        <v>-2.2894620000000001E-2</v>
      </c>
      <c r="S3029">
        <v>-3.0068049999999999</v>
      </c>
      <c r="T3029">
        <v>4.0392880000000003E-3</v>
      </c>
      <c r="U3029">
        <v>0.1109619</v>
      </c>
      <c r="V3029">
        <v>-2.981135E-2</v>
      </c>
      <c r="W3029">
        <v>-3.3645689999999999E-2</v>
      </c>
      <c r="X3029">
        <v>0.99898909999999996</v>
      </c>
      <c r="Y3029">
        <v>2.9963589999999998E-2</v>
      </c>
      <c r="Z3029">
        <v>2.715638E-4</v>
      </c>
      <c r="AA3029">
        <v>0.99955090000000002</v>
      </c>
      <c r="AB3029">
        <v>27</v>
      </c>
      <c r="AC3029">
        <v>-3.0068049999999999</v>
      </c>
      <c r="AD3029">
        <v>4.0392880000000003E-3</v>
      </c>
      <c r="AE3029">
        <v>0.1109619</v>
      </c>
      <c r="AF3029">
        <v>9.0153031473656303E-2</v>
      </c>
      <c r="AG3029">
        <v>4.0392880000000003E-3</v>
      </c>
      <c r="AH3029">
        <v>3.0074954115652099</v>
      </c>
      <c r="AI3029">
        <v>89.923082141641203</v>
      </c>
      <c r="AJ3029">
        <v>88.2830092184211</v>
      </c>
      <c r="AK3029">
        <v>3.00884903833962</v>
      </c>
      <c r="AL3029">
        <v>91.9281199629485</v>
      </c>
      <c r="AM3029">
        <v>91.709285704568998</v>
      </c>
      <c r="AN3029">
        <v>0.99999998548160396</v>
      </c>
    </row>
    <row r="3030" spans="1:40" x14ac:dyDescent="0.25">
      <c r="A3030" t="str">
        <f>"20190303153829840"</f>
        <v>20190303153829840</v>
      </c>
      <c r="B3030" t="str">
        <f>"1551598709831236"</f>
        <v>1551598709831236</v>
      </c>
      <c r="C3030" t="s">
        <v>40</v>
      </c>
      <c r="D3030">
        <v>4.0740920000000003</v>
      </c>
      <c r="E3030">
        <v>0.521771599999999</v>
      </c>
      <c r="F3030" t="s">
        <v>46</v>
      </c>
      <c r="G3030">
        <v>0</v>
      </c>
      <c r="H3030">
        <v>0</v>
      </c>
      <c r="I3030">
        <v>0</v>
      </c>
      <c r="J3030">
        <v>-430.1361</v>
      </c>
      <c r="K3030">
        <v>1.1209260000000001</v>
      </c>
      <c r="L3030">
        <v>284.01530000000002</v>
      </c>
      <c r="M3030">
        <v>-0.99989419999999996</v>
      </c>
      <c r="N3030">
        <v>-1.277124E-2</v>
      </c>
      <c r="O3030">
        <v>6.9642580000000001E-3</v>
      </c>
      <c r="P3030">
        <v>-0.99864660000000005</v>
      </c>
      <c r="Q3030">
        <v>-4.6675429999999997E-2</v>
      </c>
      <c r="R3030">
        <v>-2.295312E-2</v>
      </c>
      <c r="S3030">
        <v>-3.0066830000000002</v>
      </c>
      <c r="T3030">
        <v>4.4308899999999998E-3</v>
      </c>
      <c r="U3030">
        <v>0.1060181</v>
      </c>
      <c r="V3030">
        <v>-2.9914449999999999E-2</v>
      </c>
      <c r="W3030">
        <v>-3.3914449999999999E-2</v>
      </c>
      <c r="X3030">
        <v>0.99897689999999995</v>
      </c>
      <c r="Y3030">
        <v>2.827849E-2</v>
      </c>
      <c r="Z3030">
        <v>2.5898879999999998E-4</v>
      </c>
      <c r="AA3030">
        <v>0.99960009999999999</v>
      </c>
      <c r="AB3030">
        <v>27</v>
      </c>
      <c r="AC3030">
        <v>-3.0066830000000002</v>
      </c>
      <c r="AD3030">
        <v>4.4308899999999998E-3</v>
      </c>
      <c r="AE3030">
        <v>0.1060181</v>
      </c>
      <c r="AF3030">
        <v>8.5074320214182403E-2</v>
      </c>
      <c r="AG3030">
        <v>4.4308899999999998E-3</v>
      </c>
      <c r="AH3030">
        <v>3.00734194840095</v>
      </c>
      <c r="AI3030">
        <v>89.915616648618098</v>
      </c>
      <c r="AJ3030">
        <v>88.379599015420695</v>
      </c>
      <c r="AK3030">
        <v>3.0085482989904202</v>
      </c>
      <c r="AL3030">
        <v>91.943527628507795</v>
      </c>
      <c r="AM3030">
        <v>91.715214532052997</v>
      </c>
      <c r="AN3030">
        <v>0.99999995548560605</v>
      </c>
    </row>
    <row r="3031" spans="1:40" x14ac:dyDescent="0.25">
      <c r="A3031" t="str">
        <f>"20190303153829859"</f>
        <v>20190303153829859</v>
      </c>
      <c r="B3031" t="str">
        <f>"1551598709851733"</f>
        <v>1551598709851733</v>
      </c>
      <c r="C3031" t="s">
        <v>40</v>
      </c>
      <c r="D3031">
        <v>4.1144980000000002</v>
      </c>
      <c r="E3031">
        <v>0.52115349999999905</v>
      </c>
      <c r="F3031" t="s">
        <v>46</v>
      </c>
      <c r="G3031">
        <v>0</v>
      </c>
      <c r="H3031">
        <v>0</v>
      </c>
      <c r="I3031">
        <v>0</v>
      </c>
      <c r="J3031">
        <v>-430.36360000000002</v>
      </c>
      <c r="K3031">
        <v>1.1209209999999901</v>
      </c>
      <c r="L3031">
        <v>284.017</v>
      </c>
      <c r="M3031">
        <v>-0.9998958</v>
      </c>
      <c r="N3031">
        <v>-1.261895E-2</v>
      </c>
      <c r="O3031">
        <v>7.0212149999999999E-3</v>
      </c>
      <c r="P3031">
        <v>-0.99864120000000001</v>
      </c>
      <c r="Q3031">
        <v>-4.6706980000000002E-2</v>
      </c>
      <c r="R3031">
        <v>-2.3116979999999999E-2</v>
      </c>
      <c r="S3031">
        <v>-3.006653</v>
      </c>
      <c r="T3031">
        <v>4.532576E-3</v>
      </c>
      <c r="U3031">
        <v>0.1032715</v>
      </c>
      <c r="V3031">
        <v>-3.0133859999999998E-2</v>
      </c>
      <c r="W3031">
        <v>-3.4098940000000001E-2</v>
      </c>
      <c r="X3031">
        <v>0.99896410000000002</v>
      </c>
      <c r="Y3031">
        <v>2.730987E-2</v>
      </c>
      <c r="Z3031">
        <v>2.5095050000000001E-4</v>
      </c>
      <c r="AA3031">
        <v>0.99962700000000004</v>
      </c>
      <c r="AB3031">
        <v>27</v>
      </c>
      <c r="AC3031">
        <v>-3.006653</v>
      </c>
      <c r="AD3031">
        <v>4.532576E-3</v>
      </c>
      <c r="AE3031">
        <v>0.1032715</v>
      </c>
      <c r="AF3031">
        <v>8.2156730977738304E-2</v>
      </c>
      <c r="AG3031">
        <v>4.532576E-3</v>
      </c>
      <c r="AH3031">
        <v>3.0072971998666498</v>
      </c>
      <c r="AI3031">
        <v>89.913676499180198</v>
      </c>
      <c r="AJ3031">
        <v>88.435118613919698</v>
      </c>
      <c r="AK3031">
        <v>3.00842263005315</v>
      </c>
      <c r="AL3031">
        <v>91.954104098842805</v>
      </c>
      <c r="AM3031">
        <v>91.727809442050898</v>
      </c>
      <c r="AN3031">
        <v>1.0000000301582099</v>
      </c>
    </row>
    <row r="3032" spans="1:40" x14ac:dyDescent="0.25">
      <c r="A3032" t="str">
        <f>"20190303153829881"</f>
        <v>20190303153829881</v>
      </c>
      <c r="B3032" t="str">
        <f>"1551598709871252"</f>
        <v>1551598709871252</v>
      </c>
      <c r="C3032" t="s">
        <v>40</v>
      </c>
      <c r="D3032">
        <v>4.0980650000000001</v>
      </c>
      <c r="E3032">
        <v>0.52053149999999904</v>
      </c>
      <c r="F3032" t="s">
        <v>46</v>
      </c>
      <c r="G3032">
        <v>0</v>
      </c>
      <c r="H3032">
        <v>0</v>
      </c>
      <c r="I3032">
        <v>0</v>
      </c>
      <c r="J3032">
        <v>-430.6327</v>
      </c>
      <c r="K3032">
        <v>1.120933</v>
      </c>
      <c r="L3032">
        <v>284.01889999999997</v>
      </c>
      <c r="M3032">
        <v>-0.99989689999999998</v>
      </c>
      <c r="N3032">
        <v>-1.250445E-2</v>
      </c>
      <c r="O3032">
        <v>7.0726850000000004E-3</v>
      </c>
      <c r="P3032">
        <v>-0.99863860000000004</v>
      </c>
      <c r="Q3032">
        <v>-4.6749640000000002E-2</v>
      </c>
      <c r="R3032">
        <v>-2.314161E-2</v>
      </c>
      <c r="S3032">
        <v>-3.0066220000000001</v>
      </c>
      <c r="T3032">
        <v>5.4342749999999997E-3</v>
      </c>
      <c r="U3032">
        <v>9.7747799999999996E-2</v>
      </c>
      <c r="V3032">
        <v>-3.0209440000000001E-2</v>
      </c>
      <c r="W3032">
        <v>-3.4256740000000001E-2</v>
      </c>
      <c r="X3032">
        <v>0.99895639999999997</v>
      </c>
      <c r="Y3032">
        <v>2.5424329999999998E-2</v>
      </c>
      <c r="Z3032">
        <v>2.3723789999999999E-4</v>
      </c>
      <c r="AA3032">
        <v>0.99967669999999997</v>
      </c>
      <c r="AB3032">
        <v>27</v>
      </c>
      <c r="AC3032">
        <v>-3.0066220000000001</v>
      </c>
      <c r="AD3032">
        <v>5.4342749999999997E-3</v>
      </c>
      <c r="AE3032">
        <v>9.7747799999999996E-2</v>
      </c>
      <c r="AF3032">
        <v>7.6478554250285699E-2</v>
      </c>
      <c r="AG3032">
        <v>5.4342749999999997E-3</v>
      </c>
      <c r="AH3032">
        <v>3.0072283670563098</v>
      </c>
      <c r="AI3032">
        <v>89.8964960402933</v>
      </c>
      <c r="AJ3032">
        <v>88.543192093414007</v>
      </c>
      <c r="AK3032">
        <v>3.00820560338438</v>
      </c>
      <c r="AL3032">
        <v>91.963150693937607</v>
      </c>
      <c r="AM3032">
        <v>91.732153740101694</v>
      </c>
      <c r="AN3032">
        <v>1.0000000118007499</v>
      </c>
    </row>
    <row r="3033" spans="1:40" x14ac:dyDescent="0.25">
      <c r="A3033" t="str">
        <f>"20190303153829904"</f>
        <v>20190303153829904</v>
      </c>
      <c r="B3033" t="str">
        <f>"1551598709891748"</f>
        <v>1551598709891748</v>
      </c>
      <c r="C3033" t="s">
        <v>40</v>
      </c>
      <c r="D3033">
        <v>4.1234409999999997</v>
      </c>
      <c r="E3033">
        <v>0.52002959999999998</v>
      </c>
      <c r="F3033" t="s">
        <v>46</v>
      </c>
      <c r="G3033">
        <v>0</v>
      </c>
      <c r="H3033">
        <v>0</v>
      </c>
      <c r="I3033">
        <v>0</v>
      </c>
      <c r="J3033">
        <v>-430.90870000000001</v>
      </c>
      <c r="K3033">
        <v>1.12096</v>
      </c>
      <c r="L3033">
        <v>284.02089999999998</v>
      </c>
      <c r="M3033">
        <v>-0.99989680000000003</v>
      </c>
      <c r="N3033">
        <v>-1.2498840000000001E-2</v>
      </c>
      <c r="O3033">
        <v>7.107225E-3</v>
      </c>
      <c r="P3033">
        <v>-0.99862099999999998</v>
      </c>
      <c r="Q3033">
        <v>-4.6887110000000003E-2</v>
      </c>
      <c r="R3033">
        <v>-2.3620450000000001E-2</v>
      </c>
      <c r="S3033">
        <v>-3.0065309999999998</v>
      </c>
      <c r="T3033">
        <v>6.2794690000000002E-3</v>
      </c>
      <c r="U3033">
        <v>9.2834470000000002E-2</v>
      </c>
      <c r="V3033">
        <v>-3.0722289999999999E-2</v>
      </c>
      <c r="W3033">
        <v>-3.440033E-2</v>
      </c>
      <c r="X3033">
        <v>0.99893580000000004</v>
      </c>
      <c r="Y3033">
        <v>2.375874E-2</v>
      </c>
      <c r="Z3033">
        <v>2.2737000000000001E-4</v>
      </c>
      <c r="AA3033">
        <v>0.99971770000000004</v>
      </c>
      <c r="AB3033">
        <v>27</v>
      </c>
      <c r="AC3033">
        <v>-3.0065309999999998</v>
      </c>
      <c r="AD3033">
        <v>6.2794690000000002E-3</v>
      </c>
      <c r="AE3033">
        <v>9.2834470000000002E-2</v>
      </c>
      <c r="AF3033">
        <v>7.14620556311229E-2</v>
      </c>
      <c r="AG3033">
        <v>6.2794690000000002E-3</v>
      </c>
      <c r="AH3033">
        <v>3.00710179482502</v>
      </c>
      <c r="AI3033">
        <v>89.880388153847903</v>
      </c>
      <c r="AJ3033">
        <v>88.638654777503604</v>
      </c>
      <c r="AK3033">
        <v>3.0079573570058802</v>
      </c>
      <c r="AL3033">
        <v>91.971382695310197</v>
      </c>
      <c r="AM3033">
        <v>91.761577547238502</v>
      </c>
      <c r="AN3033">
        <v>0.99999998716429594</v>
      </c>
    </row>
    <row r="3034" spans="1:40" x14ac:dyDescent="0.25">
      <c r="A3034" t="str">
        <f>"20190303153829926"</f>
        <v>20190303153829926</v>
      </c>
      <c r="B3034" t="str">
        <f>"1551598709911267"</f>
        <v>1551598709911267</v>
      </c>
      <c r="C3034" t="s">
        <v>40</v>
      </c>
      <c r="D3034">
        <v>4.1207900000000004</v>
      </c>
      <c r="E3034">
        <v>0.51961069999999998</v>
      </c>
      <c r="F3034" t="s">
        <v>46</v>
      </c>
      <c r="G3034">
        <v>0</v>
      </c>
      <c r="H3034">
        <v>0</v>
      </c>
      <c r="I3034">
        <v>0</v>
      </c>
      <c r="J3034">
        <v>-431.18439999999998</v>
      </c>
      <c r="K3034">
        <v>1.1210089999999999</v>
      </c>
      <c r="L3034">
        <v>284.02289999999999</v>
      </c>
      <c r="M3034">
        <v>-0.99989530000000004</v>
      </c>
      <c r="N3034">
        <v>-1.258919E-2</v>
      </c>
      <c r="O3034">
        <v>7.1366909999999997E-3</v>
      </c>
      <c r="P3034">
        <v>-0.99858170000000002</v>
      </c>
      <c r="Q3034">
        <v>-4.7376540000000002E-2</v>
      </c>
      <c r="R3034">
        <v>-2.4296350000000001E-2</v>
      </c>
      <c r="S3034">
        <v>-3.0065</v>
      </c>
      <c r="T3034">
        <v>7.0203540000000004E-3</v>
      </c>
      <c r="U3034">
        <v>8.7219240000000003E-2</v>
      </c>
      <c r="V3034">
        <v>-3.1426820000000001E-2</v>
      </c>
      <c r="W3034">
        <v>-3.4800280000000003E-2</v>
      </c>
      <c r="X3034">
        <v>0.99890009999999996</v>
      </c>
      <c r="Y3034">
        <v>2.1864089999999999E-2</v>
      </c>
      <c r="Z3034">
        <v>2.1863009999999999E-4</v>
      </c>
      <c r="AA3034">
        <v>0.99976089999999995</v>
      </c>
      <c r="AB3034">
        <v>27</v>
      </c>
      <c r="AC3034">
        <v>-3.0065</v>
      </c>
      <c r="AD3034">
        <v>7.0203540000000004E-3</v>
      </c>
      <c r="AE3034">
        <v>8.7219240000000003E-2</v>
      </c>
      <c r="AF3034">
        <v>6.5758498578865898E-2</v>
      </c>
      <c r="AG3034">
        <v>7.0203540000000004E-3</v>
      </c>
      <c r="AH3034">
        <v>3.0070295468710899</v>
      </c>
      <c r="AI3034">
        <v>89.866266767961505</v>
      </c>
      <c r="AJ3034">
        <v>88.747240772223293</v>
      </c>
      <c r="AK3034">
        <v>3.0077566658992501</v>
      </c>
      <c r="AL3034">
        <v>91.994311732460204</v>
      </c>
      <c r="AM3034">
        <v>91.802012436910204</v>
      </c>
      <c r="AN3034">
        <v>1.00000005714169</v>
      </c>
    </row>
    <row r="3035" spans="1:40" x14ac:dyDescent="0.25">
      <c r="A3035" t="str">
        <f>"20190303153829949"</f>
        <v>20190303153829949</v>
      </c>
      <c r="B3035" t="str">
        <f>"1551598709941525"</f>
        <v>1551598709941525</v>
      </c>
      <c r="C3035" t="s">
        <v>40</v>
      </c>
      <c r="D3035">
        <v>4.1237550000000001</v>
      </c>
      <c r="E3035">
        <v>0.51899859999999998</v>
      </c>
      <c r="F3035" t="s">
        <v>46</v>
      </c>
      <c r="G3035">
        <v>0</v>
      </c>
      <c r="H3035">
        <v>0</v>
      </c>
      <c r="I3035">
        <v>0</v>
      </c>
      <c r="J3035">
        <v>-431.45699999999999</v>
      </c>
      <c r="K3035">
        <v>1.121059</v>
      </c>
      <c r="L3035">
        <v>284.0249</v>
      </c>
      <c r="M3035">
        <v>-0.99989360000000005</v>
      </c>
      <c r="N3035">
        <v>-1.2708509999999999E-2</v>
      </c>
      <c r="O3035">
        <v>7.1687590000000002E-3</v>
      </c>
      <c r="P3035">
        <v>-0.99852149999999995</v>
      </c>
      <c r="Q3035">
        <v>-4.8317720000000002E-2</v>
      </c>
      <c r="R3035">
        <v>-2.4907780000000001E-2</v>
      </c>
      <c r="S3035">
        <v>-3.0064700000000002</v>
      </c>
      <c r="T3035">
        <v>6.0025449999999998E-3</v>
      </c>
      <c r="U3035">
        <v>8.1726069999999998E-2</v>
      </c>
      <c r="V3035">
        <v>-3.2069380000000001E-2</v>
      </c>
      <c r="W3035">
        <v>-3.5623340000000003E-2</v>
      </c>
      <c r="X3035">
        <v>0.99885060000000003</v>
      </c>
      <c r="Y3035">
        <v>2.0006960000000001E-2</v>
      </c>
      <c r="Z3035">
        <v>2.1259149999999999E-4</v>
      </c>
      <c r="AA3035">
        <v>0.99979980000000002</v>
      </c>
      <c r="AB3035">
        <v>27</v>
      </c>
      <c r="AC3035">
        <v>-3.0064700000000002</v>
      </c>
      <c r="AD3035">
        <v>6.0025449999999998E-3</v>
      </c>
      <c r="AE3035">
        <v>8.1726069999999998E-2</v>
      </c>
      <c r="AF3035">
        <v>6.0169331613965399E-2</v>
      </c>
      <c r="AG3035">
        <v>6.0025449999999998E-3</v>
      </c>
      <c r="AH3035">
        <v>3.0069666779477902</v>
      </c>
      <c r="AI3035">
        <v>89.885648481327706</v>
      </c>
      <c r="AJ3035">
        <v>88.853665797204997</v>
      </c>
      <c r="AK3035">
        <v>3.0075746011199298</v>
      </c>
      <c r="AL3035">
        <v>92.041498985784997</v>
      </c>
      <c r="AM3035">
        <v>91.838922821050701</v>
      </c>
      <c r="AN3035">
        <v>0.99999999430334996</v>
      </c>
    </row>
    <row r="3036" spans="1:40" x14ac:dyDescent="0.25">
      <c r="A3036" t="str">
        <f>"20190303153829971"</f>
        <v>20190303153829971</v>
      </c>
      <c r="B3036" t="str">
        <f>"1551598709962020"</f>
        <v>1551598709962020</v>
      </c>
      <c r="C3036" t="s">
        <v>40</v>
      </c>
      <c r="D3036">
        <v>4.1309239999999896</v>
      </c>
      <c r="E3036">
        <v>0.51864140000000003</v>
      </c>
      <c r="F3036" t="s">
        <v>46</v>
      </c>
      <c r="G3036">
        <v>0</v>
      </c>
      <c r="H3036">
        <v>0</v>
      </c>
      <c r="I3036">
        <v>0</v>
      </c>
      <c r="J3036">
        <v>-431.72890000000001</v>
      </c>
      <c r="K3036">
        <v>1.121089</v>
      </c>
      <c r="L3036">
        <v>284.02690000000001</v>
      </c>
      <c r="M3036">
        <v>-0.999892</v>
      </c>
      <c r="N3036">
        <v>-1.2825720000000001E-2</v>
      </c>
      <c r="O3036">
        <v>7.2050780000000002E-3</v>
      </c>
      <c r="P3036">
        <v>-0.998502</v>
      </c>
      <c r="Q3036">
        <v>-4.8767100000000001E-2</v>
      </c>
      <c r="R3036">
        <v>-2.4814869999999999E-2</v>
      </c>
      <c r="S3036">
        <v>-3.0065</v>
      </c>
      <c r="T3036">
        <v>3.9407009999999996E-3</v>
      </c>
      <c r="U3036">
        <v>7.5195310000000001E-2</v>
      </c>
      <c r="V3036">
        <v>-3.2012800000000001E-2</v>
      </c>
      <c r="W3036">
        <v>-3.5956189999999999E-2</v>
      </c>
      <c r="X3036">
        <v>0.99884050000000002</v>
      </c>
      <c r="Y3036">
        <v>1.7799880000000001E-2</v>
      </c>
      <c r="Z3036">
        <v>2.043507E-4</v>
      </c>
      <c r="AA3036">
        <v>0.9998416</v>
      </c>
      <c r="AB3036">
        <v>27</v>
      </c>
      <c r="AC3036">
        <v>-3.0065</v>
      </c>
      <c r="AD3036">
        <v>3.9407009999999996E-3</v>
      </c>
      <c r="AE3036">
        <v>7.5195310000000001E-2</v>
      </c>
      <c r="AF3036">
        <v>5.3529421605786602E-2</v>
      </c>
      <c r="AG3036">
        <v>3.9407009999999996E-3</v>
      </c>
      <c r="AH3036">
        <v>3.00695861752365</v>
      </c>
      <c r="AI3036">
        <v>89.924924261599202</v>
      </c>
      <c r="AJ3036">
        <v>88.980136940666597</v>
      </c>
      <c r="AK3036">
        <v>3.0074376228945399</v>
      </c>
      <c r="AL3036">
        <v>92.060582088469701</v>
      </c>
      <c r="AM3036">
        <v>91.835699180835107</v>
      </c>
      <c r="AN3036">
        <v>1.0000000057017</v>
      </c>
    </row>
    <row r="3037" spans="1:40" x14ac:dyDescent="0.25">
      <c r="A3037" t="str">
        <f>"20190303153829993"</f>
        <v>20190303153829993</v>
      </c>
      <c r="B3037" t="str">
        <f>"1551598709981540"</f>
        <v>1551598709981540</v>
      </c>
      <c r="C3037" t="s">
        <v>40</v>
      </c>
      <c r="D3037">
        <v>4.1341340000000004</v>
      </c>
      <c r="E3037">
        <v>0.51834829999999998</v>
      </c>
      <c r="F3037" t="s">
        <v>46</v>
      </c>
      <c r="G3037">
        <v>0</v>
      </c>
      <c r="H3037">
        <v>0</v>
      </c>
      <c r="I3037">
        <v>0</v>
      </c>
      <c r="J3037">
        <v>-431.99349999999998</v>
      </c>
      <c r="K3037">
        <v>1.1211150000000001</v>
      </c>
      <c r="L3037">
        <v>284.02890000000002</v>
      </c>
      <c r="M3037">
        <v>-0.9998901</v>
      </c>
      <c r="N3037">
        <v>-1.293949E-2</v>
      </c>
      <c r="O3037">
        <v>7.2409190000000002E-3</v>
      </c>
      <c r="P3037">
        <v>-0.99849969999999999</v>
      </c>
      <c r="Q3037">
        <v>-4.8921020000000003E-2</v>
      </c>
      <c r="R3037">
        <v>-2.4603839999999998E-2</v>
      </c>
      <c r="S3037">
        <v>-3.0064700000000002</v>
      </c>
      <c r="T3037">
        <v>2.8183459999999998E-3</v>
      </c>
      <c r="U3037">
        <v>7.2814939999999995E-2</v>
      </c>
      <c r="V3037">
        <v>-3.1836999999999997E-2</v>
      </c>
      <c r="W3037">
        <v>-3.5996599999999997E-2</v>
      </c>
      <c r="X3037">
        <v>0.99884470000000003</v>
      </c>
      <c r="Y3037">
        <v>1.697307E-2</v>
      </c>
      <c r="Z3037">
        <v>2.0235049999999999E-4</v>
      </c>
      <c r="AA3037">
        <v>0.99985590000000002</v>
      </c>
      <c r="AB3037">
        <v>27</v>
      </c>
      <c r="AC3037">
        <v>-3.0064700000000002</v>
      </c>
      <c r="AD3037">
        <v>2.8183459999999998E-3</v>
      </c>
      <c r="AE3037">
        <v>7.2814939999999995E-2</v>
      </c>
      <c r="AF3037">
        <v>5.1041558328566702E-2</v>
      </c>
      <c r="AG3037">
        <v>2.8183459999999998E-3</v>
      </c>
      <c r="AH3037">
        <v>3.0069158201690902</v>
      </c>
      <c r="AI3037">
        <v>89.946305106626795</v>
      </c>
      <c r="AJ3037">
        <v>89.027513502507006</v>
      </c>
      <c r="AK3037">
        <v>3.00735031769395</v>
      </c>
      <c r="AL3037">
        <v>92.062898835298199</v>
      </c>
      <c r="AM3037">
        <v>91.825617510051899</v>
      </c>
      <c r="AN3037">
        <v>1.00000004224932</v>
      </c>
    </row>
    <row r="3038" spans="1:40" x14ac:dyDescent="0.25">
      <c r="A3038" t="str">
        <f>"20190303153830016"</f>
        <v>20190303153830016</v>
      </c>
      <c r="B3038" t="str">
        <f>"1551598710011796"</f>
        <v>1551598710011796</v>
      </c>
      <c r="C3038" t="s">
        <v>40</v>
      </c>
      <c r="D3038">
        <v>4.1084839999999998</v>
      </c>
      <c r="E3038">
        <v>0.51793299999999998</v>
      </c>
      <c r="F3038" t="s">
        <v>46</v>
      </c>
      <c r="G3038">
        <v>0</v>
      </c>
      <c r="H3038">
        <v>0</v>
      </c>
      <c r="I3038">
        <v>0</v>
      </c>
      <c r="J3038">
        <v>-432.27409999999998</v>
      </c>
      <c r="K3038">
        <v>1.1211340000000001</v>
      </c>
      <c r="L3038">
        <v>284.03100000000001</v>
      </c>
      <c r="M3038">
        <v>-0.99988840000000001</v>
      </c>
      <c r="N3038">
        <v>-1.3060220000000001E-2</v>
      </c>
      <c r="O3038">
        <v>7.277815E-3</v>
      </c>
      <c r="P3038">
        <v>-0.99857399999999996</v>
      </c>
      <c r="Q3038">
        <v>-4.7896260000000003E-2</v>
      </c>
      <c r="R3038">
        <v>-2.3588479999999998E-2</v>
      </c>
      <c r="S3038">
        <v>-3.006348</v>
      </c>
      <c r="T3038">
        <v>2.9835700000000001E-3</v>
      </c>
      <c r="U3038">
        <v>7.1258539999999995E-2</v>
      </c>
      <c r="V3038">
        <v>-3.0859000000000001E-2</v>
      </c>
      <c r="W3038">
        <v>-3.4850310000000002E-2</v>
      </c>
      <c r="X3038">
        <v>0.99891600000000003</v>
      </c>
      <c r="Y3038">
        <v>1.6419840000000002E-2</v>
      </c>
      <c r="Z3038">
        <v>2.0136049999999999E-4</v>
      </c>
      <c r="AA3038">
        <v>0.99986520000000001</v>
      </c>
      <c r="AB3038">
        <v>27</v>
      </c>
      <c r="AC3038">
        <v>-3.006348</v>
      </c>
      <c r="AD3038">
        <v>2.9835700000000001E-3</v>
      </c>
      <c r="AE3038">
        <v>7.1258539999999995E-2</v>
      </c>
      <c r="AF3038">
        <v>4.9375096895923197E-2</v>
      </c>
      <c r="AG3038">
        <v>2.9835700000000001E-3</v>
      </c>
      <c r="AH3038">
        <v>3.0067840582722001</v>
      </c>
      <c r="AI3038">
        <v>89.943154258579298</v>
      </c>
      <c r="AJ3038">
        <v>89.059217301118096</v>
      </c>
      <c r="AK3038">
        <v>3.0071909109604702</v>
      </c>
      <c r="AL3038">
        <v>91.997180097101605</v>
      </c>
      <c r="AM3038">
        <v>91.769446405187693</v>
      </c>
      <c r="AN3038">
        <v>0.99999999852204802</v>
      </c>
    </row>
    <row r="3039" spans="1:40" x14ac:dyDescent="0.25">
      <c r="A3039" t="str">
        <f>"20190303153830038"</f>
        <v>20190303153830038</v>
      </c>
      <c r="B3039" t="str">
        <f>"1551598710031083"</f>
        <v>1551598710031083</v>
      </c>
      <c r="C3039" t="s">
        <v>40</v>
      </c>
      <c r="D3039">
        <v>4.077026</v>
      </c>
      <c r="E3039">
        <v>0.51769290000000001</v>
      </c>
      <c r="F3039" t="s">
        <v>46</v>
      </c>
      <c r="G3039">
        <v>0</v>
      </c>
      <c r="H3039">
        <v>0</v>
      </c>
      <c r="I3039">
        <v>0</v>
      </c>
      <c r="J3039">
        <v>-432.53910000000002</v>
      </c>
      <c r="K3039">
        <v>1.121154</v>
      </c>
      <c r="L3039">
        <v>284.03300000000002</v>
      </c>
      <c r="M3039">
        <v>-0.99988650000000001</v>
      </c>
      <c r="N3039">
        <v>-1.316898E-2</v>
      </c>
      <c r="O3039">
        <v>7.3123540000000001E-3</v>
      </c>
      <c r="P3039">
        <v>-0.99865530000000002</v>
      </c>
      <c r="Q3039">
        <v>-4.6722989999999999E-2</v>
      </c>
      <c r="R3039">
        <v>-2.246422E-2</v>
      </c>
      <c r="S3039">
        <v>-3.0063170000000001</v>
      </c>
      <c r="T3039">
        <v>7.0387130000000003E-3</v>
      </c>
      <c r="U3039">
        <v>7.0922849999999996E-2</v>
      </c>
      <c r="V3039">
        <v>-2.976999E-2</v>
      </c>
      <c r="W3039">
        <v>-3.3567300000000001E-2</v>
      </c>
      <c r="X3039">
        <v>0.99899300000000002</v>
      </c>
      <c r="Y3039">
        <v>1.6274219999999999E-2</v>
      </c>
      <c r="Z3039">
        <v>2.0153390000000001E-4</v>
      </c>
      <c r="AA3039">
        <v>0.99986759999999997</v>
      </c>
      <c r="AB3039">
        <v>27</v>
      </c>
      <c r="AC3039">
        <v>-3.0063170000000001</v>
      </c>
      <c r="AD3039">
        <v>7.0387130000000003E-3</v>
      </c>
      <c r="AE3039">
        <v>7.0922849999999996E-2</v>
      </c>
      <c r="AF3039">
        <v>4.8935523784823402E-2</v>
      </c>
      <c r="AG3039">
        <v>7.0387130000000003E-3</v>
      </c>
      <c r="AH3039">
        <v>3.0067387953571698</v>
      </c>
      <c r="AI3039">
        <v>89.865889777182005</v>
      </c>
      <c r="AJ3039">
        <v>89.067577315485096</v>
      </c>
      <c r="AK3039">
        <v>3.0071452263691398</v>
      </c>
      <c r="AL3039">
        <v>91.923625951493506</v>
      </c>
      <c r="AM3039">
        <v>91.706909001016498</v>
      </c>
      <c r="AN3039">
        <v>1.0000000149914401</v>
      </c>
    </row>
    <row r="3040" spans="1:40" x14ac:dyDescent="0.25">
      <c r="A3040" t="str">
        <f>"20190303153830060"</f>
        <v>20190303153830060</v>
      </c>
      <c r="B3040" t="str">
        <f>"1551598710051579"</f>
        <v>1551598710051579</v>
      </c>
      <c r="C3040" t="s">
        <v>40</v>
      </c>
      <c r="D3040">
        <v>4.1087109999999996</v>
      </c>
      <c r="E3040">
        <v>0.51743950000000005</v>
      </c>
      <c r="F3040" t="s">
        <v>46</v>
      </c>
      <c r="G3040">
        <v>0</v>
      </c>
      <c r="H3040">
        <v>0</v>
      </c>
      <c r="I3040">
        <v>0</v>
      </c>
      <c r="J3040">
        <v>-432.8082</v>
      </c>
      <c r="K3040">
        <v>1.121165</v>
      </c>
      <c r="L3040">
        <v>284.03500000000003</v>
      </c>
      <c r="M3040">
        <v>-0.99988500000000002</v>
      </c>
      <c r="N3040">
        <v>-1.32703E-2</v>
      </c>
      <c r="O3040">
        <v>7.3478319999999899E-3</v>
      </c>
      <c r="P3040">
        <v>-0.99872760000000005</v>
      </c>
      <c r="Q3040">
        <v>-4.5625359999999997E-2</v>
      </c>
      <c r="R3040">
        <v>-2.1483639999999998E-2</v>
      </c>
      <c r="S3040">
        <v>-3.0061650000000002</v>
      </c>
      <c r="T3040">
        <v>1.1023639999999999E-2</v>
      </c>
      <c r="U3040">
        <v>7.2479249999999995E-2</v>
      </c>
      <c r="V3040">
        <v>-2.8825549999999998E-2</v>
      </c>
      <c r="W3040">
        <v>-3.2367470000000002E-2</v>
      </c>
      <c r="X3040">
        <v>0.99906030000000001</v>
      </c>
      <c r="Y3040">
        <v>1.675755E-2</v>
      </c>
      <c r="Z3040">
        <v>2.049276E-4</v>
      </c>
      <c r="AA3040">
        <v>0.99985959999999996</v>
      </c>
      <c r="AB3040">
        <v>27</v>
      </c>
      <c r="AC3040">
        <v>-3.0061650000000002</v>
      </c>
      <c r="AD3040">
        <v>1.1023639999999999E-2</v>
      </c>
      <c r="AE3040">
        <v>7.2479249999999995E-2</v>
      </c>
      <c r="AF3040">
        <v>5.0385876472832103E-2</v>
      </c>
      <c r="AG3040">
        <v>1.1023639999999999E-2</v>
      </c>
      <c r="AH3040">
        <v>3.00657603861589</v>
      </c>
      <c r="AI3040">
        <v>89.789954907164798</v>
      </c>
      <c r="AJ3040">
        <v>89.039895277426496</v>
      </c>
      <c r="AK3040">
        <v>3.0070184125086401</v>
      </c>
      <c r="AL3040">
        <v>91.854843347800795</v>
      </c>
      <c r="AM3040">
        <v>91.6526773058104</v>
      </c>
      <c r="AN3040">
        <v>1.0000000242415401</v>
      </c>
    </row>
    <row r="3041" spans="1:40" x14ac:dyDescent="0.25">
      <c r="A3041" t="str">
        <f>"20190303153830082"</f>
        <v>20190303153830082</v>
      </c>
      <c r="B3041" t="str">
        <f>"1551598710071099"</f>
        <v>1551598710071099</v>
      </c>
      <c r="C3041" t="s">
        <v>40</v>
      </c>
      <c r="D3041">
        <v>4.0181760000000004</v>
      </c>
      <c r="E3041">
        <v>0.51717270000000004</v>
      </c>
      <c r="F3041" t="s">
        <v>46</v>
      </c>
      <c r="G3041">
        <v>0</v>
      </c>
      <c r="H3041">
        <v>0</v>
      </c>
      <c r="I3041">
        <v>0</v>
      </c>
      <c r="J3041">
        <v>-433.07060000000001</v>
      </c>
      <c r="K3041">
        <v>1.1211739999999999</v>
      </c>
      <c r="L3041">
        <v>284.03699999999998</v>
      </c>
      <c r="M3041">
        <v>-0.99988350000000004</v>
      </c>
      <c r="N3041">
        <v>-1.335942E-2</v>
      </c>
      <c r="O3041">
        <v>7.3840319999999996E-3</v>
      </c>
      <c r="P3041">
        <v>-0.99874090000000004</v>
      </c>
      <c r="Q3041">
        <v>-4.5546209999999997E-2</v>
      </c>
      <c r="R3041">
        <v>-2.102474E-2</v>
      </c>
      <c r="S3041">
        <v>-3.0061339999999999</v>
      </c>
      <c r="T3041">
        <v>1.5162709999999999E-2</v>
      </c>
      <c r="U3041">
        <v>7.3242189999999999E-2</v>
      </c>
      <c r="V3041">
        <v>-2.840314E-2</v>
      </c>
      <c r="W3041">
        <v>-3.219901E-2</v>
      </c>
      <c r="X3041">
        <v>0.99907780000000002</v>
      </c>
      <c r="Y3041">
        <v>1.6975460000000001E-2</v>
      </c>
      <c r="Z3041">
        <v>2.064814E-4</v>
      </c>
      <c r="AA3041">
        <v>0.99985590000000002</v>
      </c>
      <c r="AB3041">
        <v>27</v>
      </c>
      <c r="AC3041">
        <v>-3.0061339999999999</v>
      </c>
      <c r="AD3041">
        <v>1.5162709999999999E-2</v>
      </c>
      <c r="AE3041">
        <v>7.3242189999999999E-2</v>
      </c>
      <c r="AF3041">
        <v>5.1039524537561297E-2</v>
      </c>
      <c r="AG3041">
        <v>1.5162709999999999E-2</v>
      </c>
      <c r="AH3041">
        <v>3.0065164581745099</v>
      </c>
      <c r="AI3041">
        <v>89.711085310878502</v>
      </c>
      <c r="AJ3041">
        <v>89.027423097054793</v>
      </c>
      <c r="AK3041">
        <v>3.0069878872575799</v>
      </c>
      <c r="AL3041">
        <v>91.845186344346203</v>
      </c>
      <c r="AM3041">
        <v>91.628443578501603</v>
      </c>
      <c r="AN3041">
        <v>0.99999998252983902</v>
      </c>
    </row>
    <row r="3042" spans="1:40" x14ac:dyDescent="0.25">
      <c r="A3042" t="str">
        <f>"20190303153830105"</f>
        <v>20190303153830105</v>
      </c>
      <c r="B3042" t="str">
        <f>"1551598710091596"</f>
        <v>1551598710091596</v>
      </c>
      <c r="C3042" t="s">
        <v>40</v>
      </c>
      <c r="D3042">
        <v>4.0329169999999896</v>
      </c>
      <c r="E3042">
        <v>0.51693</v>
      </c>
      <c r="F3042" t="s">
        <v>46</v>
      </c>
      <c r="G3042">
        <v>0</v>
      </c>
      <c r="H3042">
        <v>0</v>
      </c>
      <c r="I3042">
        <v>0</v>
      </c>
      <c r="J3042">
        <v>-433.34660000000002</v>
      </c>
      <c r="K3042">
        <v>1.121186</v>
      </c>
      <c r="L3042">
        <v>284.03910000000002</v>
      </c>
      <c r="M3042">
        <v>-0.9998821</v>
      </c>
      <c r="N3042">
        <v>-1.344332E-2</v>
      </c>
      <c r="O3042">
        <v>7.4241259999999996E-3</v>
      </c>
      <c r="P3042">
        <v>-0.99871750000000004</v>
      </c>
      <c r="Q3042">
        <v>-4.6002510000000003E-2</v>
      </c>
      <c r="R3042">
        <v>-2.1143550000000001E-2</v>
      </c>
      <c r="S3042">
        <v>-3.0059809999999998</v>
      </c>
      <c r="T3042">
        <v>1.5349979999999999E-2</v>
      </c>
      <c r="U3042">
        <v>7.2479249999999995E-2</v>
      </c>
      <c r="V3042">
        <v>-2.856144E-2</v>
      </c>
      <c r="W3042">
        <v>-3.2571759999999998E-2</v>
      </c>
      <c r="X3042">
        <v>0.99906119999999998</v>
      </c>
      <c r="Y3042">
        <v>1.6683E-2</v>
      </c>
      <c r="Z3042">
        <v>2.0726809999999999E-4</v>
      </c>
      <c r="AA3042">
        <v>0.99986079999999999</v>
      </c>
      <c r="AB3042">
        <v>27</v>
      </c>
      <c r="AC3042">
        <v>-3.0059809999999998</v>
      </c>
      <c r="AD3042">
        <v>1.5349979999999999E-2</v>
      </c>
      <c r="AE3042">
        <v>7.2479249999999995E-2</v>
      </c>
      <c r="AF3042">
        <v>5.0157147084215502E-2</v>
      </c>
      <c r="AG3042">
        <v>1.5349979999999999E-2</v>
      </c>
      <c r="AH3042">
        <v>3.0063579376526102</v>
      </c>
      <c r="AI3042">
        <v>89.707500213504701</v>
      </c>
      <c r="AJ3042">
        <v>89.044183590695994</v>
      </c>
      <c r="AK3042">
        <v>3.00681549327133</v>
      </c>
      <c r="AL3042">
        <v>91.866554562985598</v>
      </c>
      <c r="AM3042">
        <v>91.637541693558703</v>
      </c>
      <c r="AN3042">
        <v>0.99999997837490495</v>
      </c>
    </row>
    <row r="3043" spans="1:40" x14ac:dyDescent="0.25">
      <c r="A3043" t="str">
        <f>"20190303153830128"</f>
        <v>20190303153830128</v>
      </c>
      <c r="B3043" t="str">
        <f>"1551598710121441"</f>
        <v>1551598710121441</v>
      </c>
      <c r="C3043" t="s">
        <v>40</v>
      </c>
      <c r="D3043">
        <v>3.9964029999999999</v>
      </c>
      <c r="E3043">
        <v>0.51662929999999996</v>
      </c>
      <c r="F3043" t="s">
        <v>46</v>
      </c>
      <c r="G3043">
        <v>0</v>
      </c>
      <c r="H3043">
        <v>0</v>
      </c>
      <c r="I3043">
        <v>0</v>
      </c>
      <c r="J3043">
        <v>-433.61989999999997</v>
      </c>
      <c r="K3043">
        <v>1.1211869999999999</v>
      </c>
      <c r="L3043">
        <v>284.04109999999997</v>
      </c>
      <c r="M3043">
        <v>-0.99988100000000002</v>
      </c>
      <c r="N3043">
        <v>-1.351687E-2</v>
      </c>
      <c r="O3043">
        <v>7.4638090000000001E-3</v>
      </c>
      <c r="P3043">
        <v>-0.99867919999999999</v>
      </c>
      <c r="Q3043">
        <v>-4.6600540000000003E-2</v>
      </c>
      <c r="R3043">
        <v>-2.1645069999999999E-2</v>
      </c>
      <c r="S3043">
        <v>-3.0060120000000001</v>
      </c>
      <c r="T3043">
        <v>1.4587040000000001E-2</v>
      </c>
      <c r="U3043">
        <v>7.0251460000000002E-2</v>
      </c>
      <c r="V3043">
        <v>-2.9102590000000001E-2</v>
      </c>
      <c r="W3043">
        <v>-3.3096729999999998E-2</v>
      </c>
      <c r="X3043">
        <v>0.99902829999999998</v>
      </c>
      <c r="Y3043">
        <v>1.5902429999999999E-2</v>
      </c>
      <c r="Z3043">
        <v>2.0600689999999999E-4</v>
      </c>
      <c r="AA3043">
        <v>0.99987349999999997</v>
      </c>
      <c r="AB3043">
        <v>27</v>
      </c>
      <c r="AC3043">
        <v>-3.0060120000000001</v>
      </c>
      <c r="AD3043">
        <v>1.4587040000000001E-2</v>
      </c>
      <c r="AE3043">
        <v>7.0251460000000002E-2</v>
      </c>
      <c r="AF3043">
        <v>4.7810033088561202E-2</v>
      </c>
      <c r="AG3043">
        <v>1.4587040000000001E-2</v>
      </c>
      <c r="AH3043">
        <v>3.0063818892588001</v>
      </c>
      <c r="AI3043">
        <v>89.722036774351693</v>
      </c>
      <c r="AJ3043">
        <v>89.088910748642206</v>
      </c>
      <c r="AK3043">
        <v>3.0067974067208398</v>
      </c>
      <c r="AL3043">
        <v>91.896649411418295</v>
      </c>
      <c r="AM3043">
        <v>91.668605531231705</v>
      </c>
      <c r="AN3043">
        <v>0.99999994924114399</v>
      </c>
    </row>
    <row r="3044" spans="1:40" x14ac:dyDescent="0.25">
      <c r="A3044" t="str">
        <f>"20190303153830149"</f>
        <v>20190303153830149</v>
      </c>
      <c r="B3044" t="str">
        <f>"1551598710141925"</f>
        <v>1551598710141925</v>
      </c>
      <c r="C3044" t="s">
        <v>40</v>
      </c>
      <c r="D3044">
        <v>4.013649</v>
      </c>
      <c r="E3044">
        <v>0.51643850000000002</v>
      </c>
      <c r="F3044" t="s">
        <v>46</v>
      </c>
      <c r="G3044">
        <v>0</v>
      </c>
      <c r="H3044">
        <v>0</v>
      </c>
      <c r="I3044">
        <v>0</v>
      </c>
      <c r="J3044">
        <v>-433.88119999999998</v>
      </c>
      <c r="K3044">
        <v>1.1211850000000001</v>
      </c>
      <c r="L3044">
        <v>284.04309999999998</v>
      </c>
      <c r="M3044">
        <v>-0.99987979999999999</v>
      </c>
      <c r="N3044">
        <v>-1.357848E-2</v>
      </c>
      <c r="O3044">
        <v>7.5018400000000001E-3</v>
      </c>
      <c r="P3044">
        <v>-0.99865800000000005</v>
      </c>
      <c r="Q3044">
        <v>-4.6697240000000001E-2</v>
      </c>
      <c r="R3044">
        <v>-2.2405049999999999E-2</v>
      </c>
      <c r="S3044">
        <v>-3.0060419999999999</v>
      </c>
      <c r="T3044">
        <v>1.3255599999999999E-2</v>
      </c>
      <c r="U3044">
        <v>6.6528320000000002E-2</v>
      </c>
      <c r="V3044">
        <v>-2.9900469999999998E-2</v>
      </c>
      <c r="W3044">
        <v>-3.3132139999999997E-2</v>
      </c>
      <c r="X3044">
        <v>0.99900359999999999</v>
      </c>
      <c r="Y3044">
        <v>1.46263E-2</v>
      </c>
      <c r="Z3044">
        <v>2.0200479999999999E-4</v>
      </c>
      <c r="AA3044">
        <v>0.99989300000000003</v>
      </c>
      <c r="AB3044">
        <v>27</v>
      </c>
      <c r="AC3044">
        <v>-3.0060419999999999</v>
      </c>
      <c r="AD3044">
        <v>1.3255599999999999E-2</v>
      </c>
      <c r="AE3044">
        <v>6.6528320000000002E-2</v>
      </c>
      <c r="AF3044">
        <v>4.3972670671309902E-2</v>
      </c>
      <c r="AG3044">
        <v>1.3255599999999999E-2</v>
      </c>
      <c r="AH3044">
        <v>3.0063980966835002</v>
      </c>
      <c r="AI3044">
        <v>89.747404114649498</v>
      </c>
      <c r="AJ3044">
        <v>89.162030867791103</v>
      </c>
      <c r="AK3044">
        <v>3.00674887917822</v>
      </c>
      <c r="AL3044">
        <v>91.898679300811295</v>
      </c>
      <c r="AM3044">
        <v>91.714367641582598</v>
      </c>
      <c r="AN3044">
        <v>0.99999998481008001</v>
      </c>
    </row>
    <row r="3045" spans="1:40" x14ac:dyDescent="0.25">
      <c r="A3045" t="str">
        <f>"20190303153830172"</f>
        <v>20190303153830172</v>
      </c>
      <c r="B3045" t="str">
        <f>"1551598710161445"</f>
        <v>1551598710161445</v>
      </c>
      <c r="C3045" t="s">
        <v>40</v>
      </c>
      <c r="D3045">
        <v>4.0167729999999997</v>
      </c>
      <c r="E3045">
        <v>0.51621030000000001</v>
      </c>
      <c r="F3045" t="s">
        <v>46</v>
      </c>
      <c r="G3045">
        <v>0</v>
      </c>
      <c r="H3045">
        <v>0</v>
      </c>
      <c r="I3045">
        <v>0</v>
      </c>
      <c r="J3045">
        <v>-434.1474</v>
      </c>
      <c r="K3045">
        <v>1.121176</v>
      </c>
      <c r="L3045">
        <v>284.04520000000002</v>
      </c>
      <c r="M3045">
        <v>-0.99987859999999995</v>
      </c>
      <c r="N3045">
        <v>-1.363318E-2</v>
      </c>
      <c r="O3045">
        <v>7.5396229999999996E-3</v>
      </c>
      <c r="P3045">
        <v>-0.99863800000000003</v>
      </c>
      <c r="Q3045">
        <v>-4.6780620000000002E-2</v>
      </c>
      <c r="R3045">
        <v>-2.3114389999999999E-2</v>
      </c>
      <c r="S3045">
        <v>-3.0060730000000002</v>
      </c>
      <c r="T3045">
        <v>1.3254520000000001E-2</v>
      </c>
      <c r="U3045">
        <v>6.2927250000000004E-2</v>
      </c>
      <c r="V3045">
        <v>-3.064737E-2</v>
      </c>
      <c r="W3045">
        <v>-3.3161089999999997E-2</v>
      </c>
      <c r="X3045">
        <v>0.99897999999999998</v>
      </c>
      <c r="Y3045">
        <v>1.339102E-2</v>
      </c>
      <c r="Z3045">
        <v>1.977983E-4</v>
      </c>
      <c r="AA3045">
        <v>0.99991030000000003</v>
      </c>
      <c r="AB3045">
        <v>27</v>
      </c>
      <c r="AC3045">
        <v>-3.0060730000000002</v>
      </c>
      <c r="AD3045">
        <v>1.3254520000000001E-2</v>
      </c>
      <c r="AE3045">
        <v>6.2927250000000004E-2</v>
      </c>
      <c r="AF3045">
        <v>4.02579141832793E-2</v>
      </c>
      <c r="AG3045">
        <v>1.3254520000000001E-2</v>
      </c>
      <c r="AH3045">
        <v>3.0064036099812199</v>
      </c>
      <c r="AI3045">
        <v>89.747420786736797</v>
      </c>
      <c r="AJ3045">
        <v>89.232814012469206</v>
      </c>
      <c r="AK3045">
        <v>3.0067023544180298</v>
      </c>
      <c r="AL3045">
        <v>91.900338935162694</v>
      </c>
      <c r="AM3045">
        <v>91.757206722700701</v>
      </c>
      <c r="AN3045">
        <v>0.99999997978895205</v>
      </c>
    </row>
    <row r="3046" spans="1:40" x14ac:dyDescent="0.25">
      <c r="A3046" t="str">
        <f>"20190303153830194"</f>
        <v>20190303153830194</v>
      </c>
      <c r="B3046" t="str">
        <f>"1551598710181942"</f>
        <v>1551598710181942</v>
      </c>
      <c r="C3046" t="s">
        <v>40</v>
      </c>
      <c r="D3046">
        <v>3.974634</v>
      </c>
      <c r="E3046">
        <v>0.49237690000000001</v>
      </c>
      <c r="F3046" t="s">
        <v>46</v>
      </c>
      <c r="G3046">
        <v>0</v>
      </c>
      <c r="H3046">
        <v>0</v>
      </c>
      <c r="I3046">
        <v>0</v>
      </c>
      <c r="J3046">
        <v>-434.41410000000002</v>
      </c>
      <c r="K3046">
        <v>1.121175</v>
      </c>
      <c r="L3046">
        <v>284.04719999999998</v>
      </c>
      <c r="M3046">
        <v>-0.99987769999999998</v>
      </c>
      <c r="N3046">
        <v>-1.3681E-2</v>
      </c>
      <c r="O3046">
        <v>7.5782159999999996E-3</v>
      </c>
      <c r="P3046">
        <v>-0.99862379999999995</v>
      </c>
      <c r="Q3046">
        <v>-4.7066980000000001E-2</v>
      </c>
      <c r="R3046">
        <v>-2.313513E-2</v>
      </c>
      <c r="S3046">
        <v>-3.0060730000000002</v>
      </c>
      <c r="T3046">
        <v>1.2682199999999999E-2</v>
      </c>
      <c r="U3046">
        <v>5.892944E-2</v>
      </c>
      <c r="V3046">
        <v>-3.0706669999999998E-2</v>
      </c>
      <c r="W3046">
        <v>-3.3399869999999998E-2</v>
      </c>
      <c r="X3046">
        <v>0.99897029999999998</v>
      </c>
      <c r="Y3046">
        <v>1.202312E-2</v>
      </c>
      <c r="Z3046">
        <v>1.925362E-4</v>
      </c>
      <c r="AA3046">
        <v>0.99992769999999997</v>
      </c>
      <c r="AB3046">
        <v>27</v>
      </c>
      <c r="AC3046">
        <v>-3.0060730000000002</v>
      </c>
      <c r="AD3046">
        <v>1.2682199999999999E-2</v>
      </c>
      <c r="AE3046">
        <v>5.892944E-2</v>
      </c>
      <c r="AF3046">
        <v>3.6144301870737701E-2</v>
      </c>
      <c r="AG3046">
        <v>1.2682199999999999E-2</v>
      </c>
      <c r="AH3046">
        <v>3.0063797966758901</v>
      </c>
      <c r="AI3046">
        <v>89.758320715926502</v>
      </c>
      <c r="AJ3046">
        <v>89.311192756169405</v>
      </c>
      <c r="AK3046">
        <v>3.0066238092943198</v>
      </c>
      <c r="AL3046">
        <v>91.914027459383703</v>
      </c>
      <c r="AM3046">
        <v>91.760621712032602</v>
      </c>
      <c r="AN3046">
        <v>1.0000000555902899</v>
      </c>
    </row>
    <row r="3047" spans="1:40" x14ac:dyDescent="0.25">
      <c r="A3047" t="str">
        <f>"20190303153830217"</f>
        <v>20190303153830217</v>
      </c>
      <c r="B3047" t="str">
        <f>"1551598710211220"</f>
        <v>1551598710211220</v>
      </c>
      <c r="C3047" t="s">
        <v>40</v>
      </c>
      <c r="D3047">
        <v>3.9684819999999998</v>
      </c>
      <c r="E3047">
        <v>0.48871330000000002</v>
      </c>
      <c r="F3047" t="s">
        <v>59</v>
      </c>
      <c r="G3047">
        <v>-551.06240000000003</v>
      </c>
      <c r="H3047">
        <v>1.6425289999999999</v>
      </c>
      <c r="I3047">
        <v>278.9667</v>
      </c>
      <c r="J3047">
        <v>-434.68700000000001</v>
      </c>
      <c r="K3047">
        <v>1.121175</v>
      </c>
      <c r="L3047">
        <v>284.04939999999999</v>
      </c>
      <c r="M3047">
        <v>-0.99987689999999996</v>
      </c>
      <c r="N3047">
        <v>-1.37232E-2</v>
      </c>
      <c r="O3047">
        <v>7.6170859999999899E-3</v>
      </c>
      <c r="P3047">
        <v>-0.99862189999999995</v>
      </c>
      <c r="Q3047">
        <v>-4.7454690000000001E-2</v>
      </c>
      <c r="R3047">
        <v>-2.24152E-2</v>
      </c>
      <c r="S3047">
        <v>-3.001709</v>
      </c>
      <c r="T3047">
        <v>1.3418080000000001E-2</v>
      </c>
      <c r="U3047">
        <v>-0.1307373</v>
      </c>
      <c r="V3047">
        <v>-3.0025610000000001E-2</v>
      </c>
      <c r="W3047">
        <v>-3.374543E-2</v>
      </c>
      <c r="X3047">
        <v>0.99897930000000001</v>
      </c>
      <c r="Y3047">
        <v>-5.1122170000000001E-2</v>
      </c>
      <c r="Z3047" s="1">
        <v>-9.8236919999999996E-5</v>
      </c>
      <c r="AA3047">
        <v>0.99869240000000004</v>
      </c>
      <c r="AB3047">
        <v>27</v>
      </c>
      <c r="AC3047">
        <v>-116.3754</v>
      </c>
      <c r="AD3047">
        <v>0.52135399999999998</v>
      </c>
      <c r="AE3047">
        <v>-5.0826999999999796</v>
      </c>
      <c r="AF3047">
        <v>-5.9689577936863802</v>
      </c>
      <c r="AG3047">
        <v>0.52135399999999998</v>
      </c>
      <c r="AH3047">
        <v>116.330973965038</v>
      </c>
      <c r="AI3047">
        <v>89.7435597808024</v>
      </c>
      <c r="AJ3047">
        <v>92.937278211146094</v>
      </c>
      <c r="AK3047">
        <v>116.485174038547</v>
      </c>
      <c r="AL3047">
        <v>91.933837927641093</v>
      </c>
      <c r="AM3047">
        <v>91.721580187071993</v>
      </c>
      <c r="AN3047">
        <v>0.99999996656512302</v>
      </c>
    </row>
    <row r="3048" spans="1:40" x14ac:dyDescent="0.25">
      <c r="A3048" t="str">
        <f>"20190303153830239"</f>
        <v>20190303153830239</v>
      </c>
      <c r="B3048" t="str">
        <f>"1551598710231719"</f>
        <v>1551598710231719</v>
      </c>
      <c r="C3048" t="s">
        <v>40</v>
      </c>
      <c r="D3048">
        <v>3.9485860000000002</v>
      </c>
      <c r="E3048">
        <v>0.48772480000000001</v>
      </c>
      <c r="F3048" t="s">
        <v>59</v>
      </c>
      <c r="G3048">
        <v>-548.88639999999998</v>
      </c>
      <c r="H3048">
        <v>1.4497249999999999</v>
      </c>
      <c r="I3048">
        <v>278.05</v>
      </c>
      <c r="J3048">
        <v>-434.95209999999997</v>
      </c>
      <c r="K3048">
        <v>1.1211610000000001</v>
      </c>
      <c r="L3048">
        <v>284.05149999999998</v>
      </c>
      <c r="M3048">
        <v>-0.99987610000000005</v>
      </c>
      <c r="N3048">
        <v>-1.375852E-2</v>
      </c>
      <c r="O3048">
        <v>7.6549280000000001E-3</v>
      </c>
      <c r="P3048">
        <v>-0.9986119</v>
      </c>
      <c r="Q3048">
        <v>-4.8122310000000001E-2</v>
      </c>
      <c r="R3048">
        <v>-2.1415989999999999E-2</v>
      </c>
      <c r="S3048">
        <v>-3.0009769999999998</v>
      </c>
      <c r="T3048">
        <v>8.6358790000000008E-3</v>
      </c>
      <c r="U3048">
        <v>-0.15765379999999901</v>
      </c>
      <c r="V3048">
        <v>-2.906417E-2</v>
      </c>
      <c r="W3048">
        <v>-3.437784E-2</v>
      </c>
      <c r="X3048">
        <v>0.99898620000000005</v>
      </c>
      <c r="Y3048">
        <v>-6.0105279999999997E-2</v>
      </c>
      <c r="Z3048">
        <v>-2.0009739999999999E-4</v>
      </c>
      <c r="AA3048">
        <v>0.99819199999999997</v>
      </c>
      <c r="AB3048">
        <v>27</v>
      </c>
      <c r="AC3048">
        <v>-113.93429999999999</v>
      </c>
      <c r="AD3048">
        <v>0.32856399999999902</v>
      </c>
      <c r="AE3048">
        <v>-6.0014999999999601</v>
      </c>
      <c r="AF3048">
        <v>-6.8735084977116401</v>
      </c>
      <c r="AG3048">
        <v>0.32856399999999902</v>
      </c>
      <c r="AH3048">
        <v>113.884071290736</v>
      </c>
      <c r="AI3048">
        <v>89.834998137842803</v>
      </c>
      <c r="AJ3048">
        <v>93.453914704621198</v>
      </c>
      <c r="AK3048">
        <v>114.091782206799</v>
      </c>
      <c r="AL3048">
        <v>91.970093335491796</v>
      </c>
      <c r="AM3048">
        <v>91.666474139313806</v>
      </c>
      <c r="AN3048">
        <v>0.99999999482564705</v>
      </c>
    </row>
    <row r="3049" spans="1:40" x14ac:dyDescent="0.25">
      <c r="A3049" t="str">
        <f>"20190303153830260"</f>
        <v>20190303153830260</v>
      </c>
      <c r="B3049" t="str">
        <f>"1551598710251237"</f>
        <v>1551598710251237</v>
      </c>
      <c r="C3049" t="s">
        <v>40</v>
      </c>
      <c r="D3049">
        <v>3.9356390000000001</v>
      </c>
      <c r="E3049">
        <v>0.4867283</v>
      </c>
      <c r="F3049" t="s">
        <v>59</v>
      </c>
      <c r="G3049">
        <v>-545.77660000000003</v>
      </c>
      <c r="H3049">
        <v>1.3060769999999999</v>
      </c>
      <c r="I3049">
        <v>278.05</v>
      </c>
      <c r="J3049">
        <v>-435.21550000000002</v>
      </c>
      <c r="K3049">
        <v>1.1211549999999999</v>
      </c>
      <c r="L3049">
        <v>284.05349999999999</v>
      </c>
      <c r="M3049">
        <v>-0.99987530000000002</v>
      </c>
      <c r="N3049">
        <v>-1.3788740000000001E-2</v>
      </c>
      <c r="O3049">
        <v>7.6922099999999997E-3</v>
      </c>
      <c r="P3049">
        <v>-0.99860539999999998</v>
      </c>
      <c r="Q3049">
        <v>-4.8638550000000003E-2</v>
      </c>
      <c r="R3049">
        <v>-2.0528230000000001E-2</v>
      </c>
      <c r="S3049">
        <v>-3.0008849999999998</v>
      </c>
      <c r="T3049">
        <v>5.0092940000000001E-3</v>
      </c>
      <c r="U3049">
        <v>-0.16250609999999999</v>
      </c>
      <c r="V3049">
        <v>-2.8213390000000001E-2</v>
      </c>
      <c r="W3049">
        <v>-3.4863949999999998E-2</v>
      </c>
      <c r="X3049">
        <v>0.99899380000000004</v>
      </c>
      <c r="Y3049">
        <v>-6.1753299999999997E-2</v>
      </c>
      <c r="Z3049">
        <v>-2.5575659999999998E-4</v>
      </c>
      <c r="AA3049">
        <v>0.99809139999999996</v>
      </c>
      <c r="AB3049">
        <v>27</v>
      </c>
      <c r="AC3049">
        <v>-110.5611</v>
      </c>
      <c r="AD3049">
        <v>0.184922</v>
      </c>
      <c r="AE3049">
        <v>-6.0034999999999696</v>
      </c>
      <c r="AF3049">
        <v>-6.8538433277314699</v>
      </c>
      <c r="AG3049">
        <v>0.184922</v>
      </c>
      <c r="AH3049">
        <v>110.51133555021801</v>
      </c>
      <c r="AI3049">
        <v>89.904309163825204</v>
      </c>
      <c r="AJ3049">
        <v>93.548902595975903</v>
      </c>
      <c r="AK3049">
        <v>110.723821509194</v>
      </c>
      <c r="AL3049">
        <v>91.997961981031807</v>
      </c>
      <c r="AM3049">
        <v>91.617706338976106</v>
      </c>
      <c r="AN3049">
        <v>1.00000005141166</v>
      </c>
    </row>
    <row r="3050" spans="1:40" x14ac:dyDescent="0.25">
      <c r="A3050" t="str">
        <f>"20190303153830284"</f>
        <v>20190303153830284</v>
      </c>
      <c r="B3050" t="str">
        <f>"1551598710271733"</f>
        <v>1551598710271733</v>
      </c>
      <c r="C3050" t="s">
        <v>40</v>
      </c>
      <c r="D3050">
        <v>3.899019</v>
      </c>
      <c r="E3050">
        <v>0.48601430000000001</v>
      </c>
      <c r="F3050" t="s">
        <v>59</v>
      </c>
      <c r="G3050">
        <v>-542.64419999999996</v>
      </c>
      <c r="H3050">
        <v>1.1368819999999999</v>
      </c>
      <c r="I3050">
        <v>278.05</v>
      </c>
      <c r="J3050">
        <v>-435.49259999999998</v>
      </c>
      <c r="K3050">
        <v>1.121162</v>
      </c>
      <c r="L3050">
        <v>284.0557</v>
      </c>
      <c r="M3050">
        <v>-0.99987470000000001</v>
      </c>
      <c r="N3050">
        <v>-1.381601E-2</v>
      </c>
      <c r="O3050">
        <v>7.7302719999999998E-3</v>
      </c>
      <c r="P3050">
        <v>-0.99858950000000002</v>
      </c>
      <c r="Q3050">
        <v>-4.9125839999999997E-2</v>
      </c>
      <c r="R3050">
        <v>-2.0145440000000001E-2</v>
      </c>
      <c r="S3050">
        <v>-3.0007630000000001</v>
      </c>
      <c r="T3050">
        <v>4.415512E-4</v>
      </c>
      <c r="U3050">
        <v>-0.16769410000000001</v>
      </c>
      <c r="V3050">
        <v>-2.7868540000000001E-2</v>
      </c>
      <c r="W3050">
        <v>-3.5324229999999998E-2</v>
      </c>
      <c r="X3050">
        <v>0.99898730000000002</v>
      </c>
      <c r="Y3050">
        <v>-6.3513379999999994E-2</v>
      </c>
      <c r="Z3050">
        <v>-3.2658939999999999E-4</v>
      </c>
      <c r="AA3050">
        <v>0.99798100000000001</v>
      </c>
      <c r="AB3050">
        <v>27</v>
      </c>
      <c r="AC3050">
        <v>-107.15159999999899</v>
      </c>
      <c r="AD3050">
        <v>1.5719999999999901E-2</v>
      </c>
      <c r="AE3050">
        <v>-6.0056999999999903</v>
      </c>
      <c r="AF3050">
        <v>-6.8339104315002501</v>
      </c>
      <c r="AG3050">
        <v>1.5719999999999901E-2</v>
      </c>
      <c r="AH3050">
        <v>107.101965383588</v>
      </c>
      <c r="AI3050">
        <v>89.991607421109407</v>
      </c>
      <c r="AJ3050">
        <v>93.650951941472897</v>
      </c>
      <c r="AK3050">
        <v>107.319772492917</v>
      </c>
      <c r="AL3050">
        <v>92.024350356967702</v>
      </c>
      <c r="AM3050">
        <v>91.597953951109801</v>
      </c>
      <c r="AN3050">
        <v>1.0000000411540499</v>
      </c>
    </row>
    <row r="3051" spans="1:40" x14ac:dyDescent="0.25">
      <c r="A3051" t="str">
        <f>"20190303153830306"</f>
        <v>20190303153830306</v>
      </c>
      <c r="B3051" t="str">
        <f>"1551598710301988"</f>
        <v>1551598710301988</v>
      </c>
      <c r="C3051" t="s">
        <v>40</v>
      </c>
      <c r="D3051">
        <v>3.9381159999999999</v>
      </c>
      <c r="E3051">
        <v>0.48567870000000002</v>
      </c>
      <c r="F3051" t="s">
        <v>59</v>
      </c>
      <c r="G3051">
        <v>-540.15779999999995</v>
      </c>
      <c r="H3051">
        <v>1.1070439999999999</v>
      </c>
      <c r="I3051">
        <v>278.05</v>
      </c>
      <c r="J3051">
        <v>-435.75029999999998</v>
      </c>
      <c r="K3051">
        <v>1.1211679999999999</v>
      </c>
      <c r="L3051">
        <v>284.05770000000001</v>
      </c>
      <c r="M3051">
        <v>-0.99987420000000005</v>
      </c>
      <c r="N3051">
        <v>-1.383762E-2</v>
      </c>
      <c r="O3051">
        <v>7.7631719999999996E-3</v>
      </c>
      <c r="P3051">
        <v>-0.99858590000000003</v>
      </c>
      <c r="Q3051">
        <v>-4.8982900000000003E-2</v>
      </c>
      <c r="R3051">
        <v>-2.0671430000000001E-2</v>
      </c>
      <c r="S3051">
        <v>-3.000702</v>
      </c>
      <c r="T3051">
        <v>-4.0245059999999999E-4</v>
      </c>
      <c r="U3051">
        <v>-0.17218020000000001</v>
      </c>
      <c r="V3051">
        <v>-2.8426980000000001E-2</v>
      </c>
      <c r="W3051">
        <v>-3.5159889999999999E-2</v>
      </c>
      <c r="X3051">
        <v>0.99897729999999996</v>
      </c>
      <c r="Y3051">
        <v>-6.5034389999999997E-2</v>
      </c>
      <c r="Z3051">
        <v>-3.4841450000000002E-4</v>
      </c>
      <c r="AA3051">
        <v>0.99788299999999996</v>
      </c>
      <c r="AB3051">
        <v>27</v>
      </c>
      <c r="AC3051">
        <v>-104.407499999999</v>
      </c>
      <c r="AD3051">
        <v>-1.41239999999998E-2</v>
      </c>
      <c r="AE3051">
        <v>-6.0076999999999998</v>
      </c>
      <c r="AF3051">
        <v>-6.8181297319840297</v>
      </c>
      <c r="AG3051">
        <v>-1.41239999999998E-2</v>
      </c>
      <c r="AH3051">
        <v>104.357708021607</v>
      </c>
      <c r="AI3051">
        <v>90.007738038263398</v>
      </c>
      <c r="AJ3051">
        <v>93.738062541229297</v>
      </c>
      <c r="AK3051">
        <v>104.580200401666</v>
      </c>
      <c r="AL3051">
        <v>92.0149286424694</v>
      </c>
      <c r="AM3051">
        <v>91.629973540782998</v>
      </c>
      <c r="AN3051">
        <v>0.99999997848601097</v>
      </c>
    </row>
    <row r="3052" spans="1:40" x14ac:dyDescent="0.25">
      <c r="A3052" t="str">
        <f>"20190303153830329"</f>
        <v>20190303153830329</v>
      </c>
      <c r="B3052" t="str">
        <f>"1551598710321509"</f>
        <v>1551598710321509</v>
      </c>
      <c r="C3052" t="s">
        <v>40</v>
      </c>
      <c r="D3052">
        <v>3.9130280000000002</v>
      </c>
      <c r="E3052">
        <v>0.4819021</v>
      </c>
      <c r="F3052" t="s">
        <v>59</v>
      </c>
      <c r="G3052">
        <v>-537.96690000000001</v>
      </c>
      <c r="H3052">
        <v>1.148766</v>
      </c>
      <c r="I3052">
        <v>278.05</v>
      </c>
      <c r="J3052">
        <v>-436.02359999999999</v>
      </c>
      <c r="K3052">
        <v>1.1211770000000001</v>
      </c>
      <c r="L3052">
        <v>284.05990000000003</v>
      </c>
      <c r="M3052">
        <v>-0.99987380000000003</v>
      </c>
      <c r="N3052">
        <v>-1.385718E-2</v>
      </c>
      <c r="O3052">
        <v>7.7937290000000001E-3</v>
      </c>
      <c r="P3052">
        <v>-0.99859589999999998</v>
      </c>
      <c r="Q3052">
        <v>-4.8414550000000001E-2</v>
      </c>
      <c r="R3052">
        <v>-2.1511490000000001E-2</v>
      </c>
      <c r="S3052">
        <v>-3.0006409999999999</v>
      </c>
      <c r="T3052">
        <v>8.1253049999999996E-4</v>
      </c>
      <c r="U3052">
        <v>-0.17636109999999999</v>
      </c>
      <c r="V3052">
        <v>-2.929739E-2</v>
      </c>
      <c r="W3052">
        <v>-3.4572199999999997E-2</v>
      </c>
      <c r="X3052">
        <v>0.99897270000000005</v>
      </c>
      <c r="Y3052">
        <v>-6.6451830000000003E-2</v>
      </c>
      <c r="Z3052">
        <v>-3.4183230000000002E-4</v>
      </c>
      <c r="AA3052">
        <v>0.99778960000000005</v>
      </c>
      <c r="AB3052">
        <v>27</v>
      </c>
      <c r="AC3052">
        <v>-101.94329999999999</v>
      </c>
      <c r="AD3052">
        <v>2.7588999999999801E-2</v>
      </c>
      <c r="AE3052">
        <v>-6.0099000000000098</v>
      </c>
      <c r="AF3052">
        <v>-6.80431153431031</v>
      </c>
      <c r="AG3052">
        <v>2.7588999999999801E-2</v>
      </c>
      <c r="AH3052">
        <v>101.89335177104699</v>
      </c>
      <c r="AI3052">
        <v>89.984520870335004</v>
      </c>
      <c r="AJ3052">
        <v>93.820468760047802</v>
      </c>
      <c r="AK3052">
        <v>102.120294514593</v>
      </c>
      <c r="AL3052">
        <v>91.9812359274909</v>
      </c>
      <c r="AM3052">
        <v>91.679861506388093</v>
      </c>
      <c r="AN3052">
        <v>1.0000000147094701</v>
      </c>
    </row>
    <row r="3053" spans="1:40" x14ac:dyDescent="0.25">
      <c r="A3053" t="str">
        <f>"20190303153830350"</f>
        <v>20190303153830350</v>
      </c>
      <c r="B3053" t="str">
        <f>"1551598710342005"</f>
        <v>1551598710342005</v>
      </c>
      <c r="C3053" t="s">
        <v>40</v>
      </c>
      <c r="D3053">
        <v>3.8696419999999998</v>
      </c>
      <c r="E3053">
        <v>0.48210059999999899</v>
      </c>
      <c r="F3053" t="s">
        <v>59</v>
      </c>
      <c r="G3053">
        <v>-511.95859999999999</v>
      </c>
      <c r="H3053">
        <v>9.5767619999999998E-2</v>
      </c>
      <c r="I3053">
        <v>278.76620000000003</v>
      </c>
      <c r="J3053">
        <v>-436.2824</v>
      </c>
      <c r="K3053">
        <v>1.1211880000000001</v>
      </c>
      <c r="L3053">
        <v>284.06200000000001</v>
      </c>
      <c r="M3053">
        <v>-0.99987340000000002</v>
      </c>
      <c r="N3053">
        <v>-1.387264E-2</v>
      </c>
      <c r="O3053">
        <v>7.8138510000000001E-3</v>
      </c>
      <c r="P3053">
        <v>-0.99860550000000003</v>
      </c>
      <c r="Q3053">
        <v>-4.7908930000000002E-2</v>
      </c>
      <c r="R3053">
        <v>-2.218438E-2</v>
      </c>
      <c r="S3053">
        <v>-2.9977420000000001</v>
      </c>
      <c r="T3053">
        <v>-4.0477510000000001E-2</v>
      </c>
      <c r="U3053">
        <v>-0.20898439999999999</v>
      </c>
      <c r="V3053">
        <v>-2.9990050000000001E-2</v>
      </c>
      <c r="W3053">
        <v>-3.4051480000000002E-2</v>
      </c>
      <c r="X3053">
        <v>0.99897000000000002</v>
      </c>
      <c r="Y3053">
        <v>-7.7324450000000003E-2</v>
      </c>
      <c r="Z3053">
        <v>-1.055575E-3</v>
      </c>
      <c r="AA3053">
        <v>0.99700540000000004</v>
      </c>
      <c r="AB3053">
        <v>27</v>
      </c>
      <c r="AC3053">
        <v>-75.676199999999994</v>
      </c>
      <c r="AD3053">
        <v>-1.0254203799999999</v>
      </c>
      <c r="AE3053">
        <v>-5.2957999999999803</v>
      </c>
      <c r="AF3053">
        <v>-5.8859422357556896</v>
      </c>
      <c r="AG3053">
        <v>-1.0254203799999999</v>
      </c>
      <c r="AH3053">
        <v>75.618688367220599</v>
      </c>
      <c r="AI3053">
        <v>90.774564050031998</v>
      </c>
      <c r="AJ3053">
        <v>94.450765439303794</v>
      </c>
      <c r="AK3053">
        <v>75.854346173025505</v>
      </c>
      <c r="AL3053">
        <v>91.951383351961695</v>
      </c>
      <c r="AM3053">
        <v>91.719558504659801</v>
      </c>
      <c r="AN3053">
        <v>0.99999998364459597</v>
      </c>
    </row>
    <row r="3054" spans="1:40" x14ac:dyDescent="0.25">
      <c r="A3054" t="str">
        <f>"20190303153830373"</f>
        <v>20190303153830373</v>
      </c>
      <c r="B3054" t="str">
        <f>"1551598710361525"</f>
        <v>1551598710361525</v>
      </c>
      <c r="C3054" t="s">
        <v>40</v>
      </c>
      <c r="D3054">
        <v>3.9266559999999999</v>
      </c>
      <c r="E3054">
        <v>0.48261599999999999</v>
      </c>
      <c r="F3054" t="s">
        <v>59</v>
      </c>
      <c r="G3054">
        <v>-511.95859999999999</v>
      </c>
      <c r="H3054">
        <v>5.7946439999999998E-3</v>
      </c>
      <c r="I3054">
        <v>278.77330000000001</v>
      </c>
      <c r="J3054">
        <v>-436.54349999999999</v>
      </c>
      <c r="K3054">
        <v>1.1211990000000001</v>
      </c>
      <c r="L3054">
        <v>284.06400000000002</v>
      </c>
      <c r="M3054">
        <v>-0.99987289999999995</v>
      </c>
      <c r="N3054">
        <v>-1.388579E-2</v>
      </c>
      <c r="O3054">
        <v>7.8265230000000002E-3</v>
      </c>
      <c r="P3054">
        <v>-0.99863329999999995</v>
      </c>
      <c r="Q3054">
        <v>-4.714873E-2</v>
      </c>
      <c r="R3054">
        <v>-2.255339E-2</v>
      </c>
      <c r="S3054">
        <v>-2.9973749999999999</v>
      </c>
      <c r="T3054">
        <v>-4.4175029999999997E-2</v>
      </c>
      <c r="U3054">
        <v>-0.20947270000000001</v>
      </c>
      <c r="V3054">
        <v>-3.037144E-2</v>
      </c>
      <c r="W3054">
        <v>-3.3278339999999997E-2</v>
      </c>
      <c r="X3054">
        <v>0.9989846</v>
      </c>
      <c r="Y3054">
        <v>-7.7505119999999997E-2</v>
      </c>
      <c r="Z3054">
        <v>-1.115916E-3</v>
      </c>
      <c r="AA3054">
        <v>0.99699130000000002</v>
      </c>
      <c r="AB3054">
        <v>27</v>
      </c>
      <c r="AC3054">
        <v>-75.415099999999995</v>
      </c>
      <c r="AD3054">
        <v>-1.115404356</v>
      </c>
      <c r="AE3054">
        <v>-5.29070000000001</v>
      </c>
      <c r="AF3054">
        <v>-5.8795530336057098</v>
      </c>
      <c r="AG3054">
        <v>-1.115404356</v>
      </c>
      <c r="AH3054">
        <v>75.354974813174195</v>
      </c>
      <c r="AI3054">
        <v>90.845460967009402</v>
      </c>
      <c r="AJ3054">
        <v>94.461449932083895</v>
      </c>
      <c r="AK3054">
        <v>75.592231742729197</v>
      </c>
      <c r="AL3054">
        <v>91.907060438194193</v>
      </c>
      <c r="AM3054">
        <v>91.741387689794806</v>
      </c>
      <c r="AN3054">
        <v>1.00000005165899</v>
      </c>
    </row>
    <row r="3055" spans="1:40" x14ac:dyDescent="0.25">
      <c r="A3055" t="str">
        <f>"20190303153830386"</f>
        <v>20190303153830386</v>
      </c>
      <c r="B3055" t="str">
        <f>"1551598710382021"</f>
        <v>1551598710382021</v>
      </c>
      <c r="C3055" t="s">
        <v>40</v>
      </c>
      <c r="D3055">
        <v>3.907292</v>
      </c>
      <c r="E3055">
        <v>0.48318220000000001</v>
      </c>
      <c r="F3055" t="s">
        <v>59</v>
      </c>
      <c r="G3055">
        <v>-511.95870000000002</v>
      </c>
      <c r="H3055">
        <v>0.21395729999999999</v>
      </c>
      <c r="I3055">
        <v>278.87630000000001</v>
      </c>
      <c r="J3055">
        <v>-436.71339999999998</v>
      </c>
      <c r="K3055">
        <v>1.1212070000000001</v>
      </c>
      <c r="L3055">
        <v>284.06529999999998</v>
      </c>
      <c r="M3055">
        <v>-0.99987280000000001</v>
      </c>
      <c r="N3055">
        <v>-1.3893290000000001E-2</v>
      </c>
      <c r="O3055">
        <v>7.8314700000000001E-3</v>
      </c>
      <c r="P3055">
        <v>-0.99863930000000001</v>
      </c>
      <c r="Q3055">
        <v>-4.6947269999999999E-2</v>
      </c>
      <c r="R3055">
        <v>-2.2703629999999999E-2</v>
      </c>
      <c r="S3055">
        <v>-2.9977109999999998</v>
      </c>
      <c r="T3055">
        <v>-3.6059019999999997E-2</v>
      </c>
      <c r="U3055">
        <v>-0.20620730000000001</v>
      </c>
      <c r="V3055">
        <v>-3.0525989999999999E-2</v>
      </c>
      <c r="W3055">
        <v>-3.3069609999999999E-2</v>
      </c>
      <c r="X3055">
        <v>0.99898679999999995</v>
      </c>
      <c r="Y3055">
        <v>-7.642583E-2</v>
      </c>
      <c r="Z3055">
        <v>-9.7611370000000005E-4</v>
      </c>
      <c r="AA3055">
        <v>0.99707480000000004</v>
      </c>
      <c r="AB3055">
        <v>27</v>
      </c>
      <c r="AC3055">
        <v>-75.2453</v>
      </c>
      <c r="AD3055">
        <v>-0.90724969999999905</v>
      </c>
      <c r="AE3055">
        <v>-5.1889999999999601</v>
      </c>
      <c r="AF3055">
        <v>-5.77734312395906</v>
      </c>
      <c r="AG3055">
        <v>-0.90724969999999905</v>
      </c>
      <c r="AH3055">
        <v>75.191471276291594</v>
      </c>
      <c r="AI3055">
        <v>90.689257887355794</v>
      </c>
      <c r="AJ3055">
        <v>94.393693439887301</v>
      </c>
      <c r="AK3055">
        <v>75.418553077366099</v>
      </c>
      <c r="AL3055">
        <v>91.895094543996606</v>
      </c>
      <c r="AM3055">
        <v>91.750239673867497</v>
      </c>
      <c r="AN3055">
        <v>1.00000003087263</v>
      </c>
    </row>
    <row r="3056" spans="1:40" x14ac:dyDescent="0.25">
      <c r="A3056" t="str">
        <f>"20190303153830399"</f>
        <v>20190303153830399</v>
      </c>
      <c r="B3056" t="str">
        <f>"1551598710391781"</f>
        <v>1551598710391781</v>
      </c>
      <c r="C3056" t="s">
        <v>40</v>
      </c>
      <c r="D3056">
        <v>3.8995700000000002</v>
      </c>
      <c r="E3056">
        <v>0.48351060000000001</v>
      </c>
      <c r="F3056" t="s">
        <v>59</v>
      </c>
      <c r="G3056">
        <v>-511.95870000000002</v>
      </c>
      <c r="H3056">
        <v>0.23949190000000001</v>
      </c>
      <c r="I3056">
        <v>278.98680000000002</v>
      </c>
      <c r="J3056">
        <v>-436.85410000000002</v>
      </c>
      <c r="K3056">
        <v>1.12121</v>
      </c>
      <c r="L3056">
        <v>284.06639999999999</v>
      </c>
      <c r="M3056">
        <v>-0.99987289999999995</v>
      </c>
      <c r="N3056">
        <v>-1.38987E-2</v>
      </c>
      <c r="O3056">
        <v>7.8332390000000005E-3</v>
      </c>
      <c r="P3056">
        <v>-0.99867439999999996</v>
      </c>
      <c r="Q3056">
        <v>-4.6460420000000002E-2</v>
      </c>
      <c r="R3056">
        <v>-2.216334E-2</v>
      </c>
      <c r="S3056">
        <v>-2.9978639999999999</v>
      </c>
      <c r="T3056">
        <v>-3.5125259999999998E-2</v>
      </c>
      <c r="U3056">
        <v>-0.2023315</v>
      </c>
      <c r="V3056">
        <v>-2.9987719999999999E-2</v>
      </c>
      <c r="W3056">
        <v>-3.257707E-2</v>
      </c>
      <c r="X3056">
        <v>0.99901930000000005</v>
      </c>
      <c r="Y3056">
        <v>-7.5141589999999994E-2</v>
      </c>
      <c r="Z3056">
        <v>-9.4546590000000002E-4</v>
      </c>
      <c r="AA3056">
        <v>0.99717239999999996</v>
      </c>
      <c r="AB3056">
        <v>27</v>
      </c>
      <c r="AC3056">
        <v>-75.104600000000005</v>
      </c>
      <c r="AD3056">
        <v>-0.88171809999999995</v>
      </c>
      <c r="AE3056">
        <v>-5.0795999999999699</v>
      </c>
      <c r="AF3056">
        <v>-5.6670356369398798</v>
      </c>
      <c r="AG3056">
        <v>-0.88171809999999995</v>
      </c>
      <c r="AH3056">
        <v>75.052204835814706</v>
      </c>
      <c r="AI3056">
        <v>90.671173082331507</v>
      </c>
      <c r="AJ3056">
        <v>94.318090937821296</v>
      </c>
      <c r="AK3056">
        <v>75.271018130720805</v>
      </c>
      <c r="AL3056">
        <v>91.866858840127506</v>
      </c>
      <c r="AM3056">
        <v>91.719340188236202</v>
      </c>
      <c r="AN3056">
        <v>1.0000000453065301</v>
      </c>
    </row>
    <row r="3057" spans="1:40" x14ac:dyDescent="0.25">
      <c r="A3057" t="str">
        <f>"20190303153830418"</f>
        <v>20190303153830418</v>
      </c>
      <c r="B3057" t="str">
        <f>"1551598710411304"</f>
        <v>1551598710411304</v>
      </c>
      <c r="C3057" t="s">
        <v>40</v>
      </c>
      <c r="D3057">
        <v>3.9001769999999998</v>
      </c>
      <c r="E3057">
        <v>0.4838192</v>
      </c>
      <c r="F3057" t="s">
        <v>59</v>
      </c>
      <c r="G3057">
        <v>-511.95870000000002</v>
      </c>
      <c r="H3057">
        <v>0.35224879999999997</v>
      </c>
      <c r="I3057">
        <v>279.10500000000002</v>
      </c>
      <c r="J3057">
        <v>-437.07850000000002</v>
      </c>
      <c r="K3057">
        <v>1.121216</v>
      </c>
      <c r="L3057">
        <v>284.06819999999999</v>
      </c>
      <c r="M3057">
        <v>-0.99987280000000001</v>
      </c>
      <c r="N3057">
        <v>-1.3906369999999999E-2</v>
      </c>
      <c r="O3057">
        <v>7.8333080000000006E-3</v>
      </c>
      <c r="P3057">
        <v>-0.9987009</v>
      </c>
      <c r="Q3057">
        <v>-4.6292739999999999E-2</v>
      </c>
      <c r="R3057">
        <v>-2.1300880000000001E-2</v>
      </c>
      <c r="S3057">
        <v>-2.9981689999999999</v>
      </c>
      <c r="T3057">
        <v>-3.069353E-2</v>
      </c>
      <c r="U3057">
        <v>-0.19805909999999999</v>
      </c>
      <c r="V3057">
        <v>-2.9125640000000001E-2</v>
      </c>
      <c r="W3057">
        <v>-3.2401560000000003E-2</v>
      </c>
      <c r="X3057">
        <v>0.99905040000000001</v>
      </c>
      <c r="Y3057">
        <v>-7.3722190000000007E-2</v>
      </c>
      <c r="Z3057">
        <v>-8.6145429999999901E-4</v>
      </c>
      <c r="AA3057">
        <v>0.99727849999999996</v>
      </c>
      <c r="AB3057">
        <v>26</v>
      </c>
      <c r="AC3057">
        <v>-74.880200000000002</v>
      </c>
      <c r="AD3057">
        <v>-0.76896719999999996</v>
      </c>
      <c r="AE3057">
        <v>-4.9631999999999703</v>
      </c>
      <c r="AF3057">
        <v>-5.5490813450340397</v>
      </c>
      <c r="AG3057">
        <v>-0.76896719999999996</v>
      </c>
      <c r="AH3057">
        <v>74.831163078149999</v>
      </c>
      <c r="AI3057">
        <v>90.587140375831495</v>
      </c>
      <c r="AJ3057">
        <v>94.240988247737803</v>
      </c>
      <c r="AK3057">
        <v>75.040566242247607</v>
      </c>
      <c r="AL3057">
        <v>91.856797755627795</v>
      </c>
      <c r="AM3057">
        <v>91.669889442198098</v>
      </c>
      <c r="AN3057">
        <v>0.99999993286799904</v>
      </c>
    </row>
    <row r="3058" spans="1:40" x14ac:dyDescent="0.25">
      <c r="A3058" t="str">
        <f>"20190303153830432"</f>
        <v>20190303153830432</v>
      </c>
      <c r="B3058" t="str">
        <f>"1551598710422037"</f>
        <v>1551598710422037</v>
      </c>
      <c r="C3058" t="s">
        <v>40</v>
      </c>
      <c r="D3058">
        <v>3.8698100000000002</v>
      </c>
      <c r="E3058">
        <v>0.48400559999999998</v>
      </c>
      <c r="F3058" t="s">
        <v>59</v>
      </c>
      <c r="G3058">
        <v>-511.9588</v>
      </c>
      <c r="H3058">
        <v>0.52201839999999999</v>
      </c>
      <c r="I3058">
        <v>279.25049999999999</v>
      </c>
      <c r="J3058">
        <v>-437.2534</v>
      </c>
      <c r="K3058">
        <v>1.1212200000000001</v>
      </c>
      <c r="L3058">
        <v>284.06959999999998</v>
      </c>
      <c r="M3058">
        <v>-0.9998726</v>
      </c>
      <c r="N3058">
        <v>-1.391154E-2</v>
      </c>
      <c r="O3058">
        <v>7.8307310000000005E-3</v>
      </c>
      <c r="P3058">
        <v>-0.99871860000000001</v>
      </c>
      <c r="Q3058">
        <v>-4.6417079999999999E-2</v>
      </c>
      <c r="R3058">
        <v>-2.0175430000000001E-2</v>
      </c>
      <c r="S3058">
        <v>-2.998688</v>
      </c>
      <c r="T3058">
        <v>-2.399242E-2</v>
      </c>
      <c r="U3058">
        <v>-0.1929321</v>
      </c>
      <c r="V3058">
        <v>-2.7996960000000001E-2</v>
      </c>
      <c r="W3058">
        <v>-3.2520540000000001E-2</v>
      </c>
      <c r="X3058">
        <v>0.99907889999999999</v>
      </c>
      <c r="Y3058">
        <v>-7.201304E-2</v>
      </c>
      <c r="Z3058">
        <v>-7.4302029999999896E-4</v>
      </c>
      <c r="AA3058">
        <v>0.99740340000000005</v>
      </c>
      <c r="AB3058">
        <v>26</v>
      </c>
      <c r="AC3058">
        <v>-74.705399999999997</v>
      </c>
      <c r="AD3058">
        <v>-0.5992016</v>
      </c>
      <c r="AE3058">
        <v>-4.8190999999999899</v>
      </c>
      <c r="AF3058">
        <v>-5.4036605028396698</v>
      </c>
      <c r="AG3058">
        <v>-0.5992016</v>
      </c>
      <c r="AH3058">
        <v>74.660584989860993</v>
      </c>
      <c r="AI3058">
        <v>90.458627837164698</v>
      </c>
      <c r="AJ3058">
        <v>94.139641086448904</v>
      </c>
      <c r="AK3058">
        <v>74.858276365513802</v>
      </c>
      <c r="AL3058">
        <v>91.863618217863703</v>
      </c>
      <c r="AM3058">
        <v>91.605166474824003</v>
      </c>
      <c r="AN3058">
        <v>1.0000000318581701</v>
      </c>
    </row>
    <row r="3059" spans="1:40" x14ac:dyDescent="0.25">
      <c r="A3059" t="str">
        <f>"20190303153830446"</f>
        <v>20190303153830446</v>
      </c>
      <c r="B3059" t="str">
        <f>"1551598710441558"</f>
        <v>1551598710441558</v>
      </c>
      <c r="C3059" t="s">
        <v>40</v>
      </c>
      <c r="D3059">
        <v>3.889065</v>
      </c>
      <c r="E3059">
        <v>0.48412630000000001</v>
      </c>
      <c r="F3059" t="s">
        <v>59</v>
      </c>
      <c r="G3059">
        <v>-513.76250000000005</v>
      </c>
      <c r="H3059">
        <v>0.61269929999999995</v>
      </c>
      <c r="I3059">
        <v>279.27539999999999</v>
      </c>
      <c r="J3059">
        <v>-437.42070000000001</v>
      </c>
      <c r="K3059">
        <v>1.1212230000000001</v>
      </c>
      <c r="L3059">
        <v>284.07089999999999</v>
      </c>
      <c r="M3059">
        <v>-0.99987269999999995</v>
      </c>
      <c r="N3059">
        <v>-1.3915800000000001E-2</v>
      </c>
      <c r="O3059">
        <v>7.8249410000000002E-3</v>
      </c>
      <c r="P3059">
        <v>-0.99873199999999995</v>
      </c>
      <c r="Q3059">
        <v>-4.6400009999999998E-2</v>
      </c>
      <c r="R3059">
        <v>-1.9540479999999999E-2</v>
      </c>
      <c r="S3059">
        <v>-2.9991150000000002</v>
      </c>
      <c r="T3059">
        <v>-1.993048E-2</v>
      </c>
      <c r="U3059">
        <v>-0.18792719999999999</v>
      </c>
      <c r="V3059">
        <v>-2.7356689999999999E-2</v>
      </c>
      <c r="W3059">
        <v>-3.2499130000000001E-2</v>
      </c>
      <c r="X3059">
        <v>0.99909729999999997</v>
      </c>
      <c r="Y3059">
        <v>-7.0341710000000002E-2</v>
      </c>
      <c r="Z3059">
        <v>-6.6661240000000005E-4</v>
      </c>
      <c r="AA3059">
        <v>0.99752269999999998</v>
      </c>
      <c r="AB3059">
        <v>26</v>
      </c>
      <c r="AC3059">
        <v>-76.341800000000006</v>
      </c>
      <c r="AD3059">
        <v>-0.50852369999999902</v>
      </c>
      <c r="AE3059">
        <v>-4.7954999999999997</v>
      </c>
      <c r="AF3059">
        <v>-5.3925426658288398</v>
      </c>
      <c r="AG3059">
        <v>-0.50852369999999902</v>
      </c>
      <c r="AH3059">
        <v>76.298562061583993</v>
      </c>
      <c r="AI3059">
        <v>90.380915882489404</v>
      </c>
      <c r="AJ3059">
        <v>94.042763143251406</v>
      </c>
      <c r="AK3059">
        <v>76.4905790631868</v>
      </c>
      <c r="AL3059">
        <v>91.862390928833406</v>
      </c>
      <c r="AM3059">
        <v>91.568447171189206</v>
      </c>
      <c r="AN3059">
        <v>0.99999999840290099</v>
      </c>
    </row>
    <row r="3060" spans="1:40" x14ac:dyDescent="0.25">
      <c r="A3060" t="str">
        <f>"20190303153830459"</f>
        <v>20190303153830459</v>
      </c>
      <c r="B3060" t="str">
        <f>"1551598710451317"</f>
        <v>1551598710451317</v>
      </c>
      <c r="C3060" t="s">
        <v>40</v>
      </c>
      <c r="D3060">
        <v>3.9003060000000001</v>
      </c>
      <c r="E3060">
        <v>0.48420180000000002</v>
      </c>
      <c r="F3060" t="s">
        <v>59</v>
      </c>
      <c r="G3060">
        <v>-515.0847</v>
      </c>
      <c r="H3060">
        <v>0.76648590000000005</v>
      </c>
      <c r="I3060">
        <v>279.27539999999999</v>
      </c>
      <c r="J3060">
        <v>-437.56799999999998</v>
      </c>
      <c r="K3060">
        <v>1.1212260000000001</v>
      </c>
      <c r="L3060">
        <v>284.072</v>
      </c>
      <c r="M3060">
        <v>-0.9998726</v>
      </c>
      <c r="N3060">
        <v>-1.3919000000000001E-2</v>
      </c>
      <c r="O3060">
        <v>7.816468E-3</v>
      </c>
      <c r="P3060">
        <v>-0.99874320000000005</v>
      </c>
      <c r="Q3060">
        <v>-4.643622E-2</v>
      </c>
      <c r="R3060">
        <v>-1.886239E-2</v>
      </c>
      <c r="S3060">
        <v>-2.9995729999999998</v>
      </c>
      <c r="T3060">
        <v>-1.3697620000000001E-2</v>
      </c>
      <c r="U3060">
        <v>-0.18521119999999999</v>
      </c>
      <c r="V3060">
        <v>-2.6669680000000001E-2</v>
      </c>
      <c r="W3060">
        <v>-3.2532099999999897E-2</v>
      </c>
      <c r="X3060">
        <v>0.99911479999999997</v>
      </c>
      <c r="Y3060">
        <v>-6.9425699999999896E-2</v>
      </c>
      <c r="Z3060">
        <v>-5.6899420000000004E-4</v>
      </c>
      <c r="AA3060">
        <v>0.997587</v>
      </c>
      <c r="AB3060">
        <v>26</v>
      </c>
      <c r="AC3060">
        <v>-77.516699999999901</v>
      </c>
      <c r="AD3060">
        <v>-0.3547401</v>
      </c>
      <c r="AE3060">
        <v>-4.7966000000000104</v>
      </c>
      <c r="AF3060">
        <v>-5.4023062249395499</v>
      </c>
      <c r="AG3060">
        <v>-0.3547401</v>
      </c>
      <c r="AH3060">
        <v>77.475219036158705</v>
      </c>
      <c r="AI3060">
        <v>90.261706089906696</v>
      </c>
      <c r="AJ3060">
        <v>93.988748197800703</v>
      </c>
      <c r="AK3060">
        <v>77.664150789069595</v>
      </c>
      <c r="AL3060">
        <v>91.8642809736928</v>
      </c>
      <c r="AM3060">
        <v>91.529050844901903</v>
      </c>
      <c r="AN3060">
        <v>0.99999999647037596</v>
      </c>
    </row>
    <row r="3061" spans="1:40" x14ac:dyDescent="0.25">
      <c r="A3061" t="str">
        <f>"20190303153830472"</f>
        <v>20190303153830472</v>
      </c>
      <c r="B3061" t="str">
        <f>"1551598710462053"</f>
        <v>1551598710462053</v>
      </c>
      <c r="C3061" t="s">
        <v>40</v>
      </c>
      <c r="D3061">
        <v>3.9061710000000001</v>
      </c>
      <c r="E3061">
        <v>0.4843499</v>
      </c>
      <c r="F3061" t="s">
        <v>59</v>
      </c>
      <c r="G3061">
        <v>-536.53790000000004</v>
      </c>
      <c r="H3061">
        <v>0.71862630000000005</v>
      </c>
      <c r="I3061">
        <v>278.05</v>
      </c>
      <c r="J3061">
        <v>-437.72750000000002</v>
      </c>
      <c r="K3061">
        <v>1.121229</v>
      </c>
      <c r="L3061">
        <v>284.07330000000002</v>
      </c>
      <c r="M3061">
        <v>-0.9998726</v>
      </c>
      <c r="N3061">
        <v>-1.3922169999999999E-2</v>
      </c>
      <c r="O3061">
        <v>7.8054800000000001E-3</v>
      </c>
      <c r="P3061">
        <v>-0.99876739999999997</v>
      </c>
      <c r="Q3061">
        <v>-4.637877E-2</v>
      </c>
      <c r="R3061">
        <v>-1.76896E-2</v>
      </c>
      <c r="S3061">
        <v>-2.9997560000000001</v>
      </c>
      <c r="T3061">
        <v>-1.2200239999999999E-2</v>
      </c>
      <c r="U3061">
        <v>-0.18252560000000001</v>
      </c>
      <c r="V3061">
        <v>-2.54863E-2</v>
      </c>
      <c r="W3061">
        <v>-3.2471270000000003E-2</v>
      </c>
      <c r="X3061">
        <v>0.99914769999999997</v>
      </c>
      <c r="Y3061">
        <v>-6.8521600000000002E-2</v>
      </c>
      <c r="Z3061">
        <v>-5.3981720000000001E-4</v>
      </c>
      <c r="AA3061">
        <v>0.99764949999999997</v>
      </c>
      <c r="AB3061">
        <v>26</v>
      </c>
      <c r="AC3061">
        <v>-98.810400000000001</v>
      </c>
      <c r="AD3061">
        <v>-0.40260269999999998</v>
      </c>
      <c r="AE3061">
        <v>-6.0232999999999999</v>
      </c>
      <c r="AF3061">
        <v>-6.7943414661040498</v>
      </c>
      <c r="AG3061">
        <v>-0.40260269999999998</v>
      </c>
      <c r="AH3061">
        <v>98.758736551591099</v>
      </c>
      <c r="AI3061">
        <v>90.2330215278743</v>
      </c>
      <c r="AJ3061">
        <v>93.935597669764505</v>
      </c>
      <c r="AK3061">
        <v>98.992995763127894</v>
      </c>
      <c r="AL3061">
        <v>91.860793765482796</v>
      </c>
      <c r="AM3061">
        <v>91.461186207565106</v>
      </c>
      <c r="AN3061">
        <v>1.0000000306391901</v>
      </c>
    </row>
    <row r="3062" spans="1:40" x14ac:dyDescent="0.25">
      <c r="A3062" t="str">
        <f>"20190303153830487"</f>
        <v>20190303153830487</v>
      </c>
      <c r="B3062" t="str">
        <f>"1551598710481574"</f>
        <v>1551598710481574</v>
      </c>
      <c r="C3062" t="s">
        <v>40</v>
      </c>
      <c r="D3062">
        <v>3.8924609999999999</v>
      </c>
      <c r="E3062">
        <v>0.48440680000000003</v>
      </c>
      <c r="F3062" t="s">
        <v>59</v>
      </c>
      <c r="G3062">
        <v>-539.17049999999995</v>
      </c>
      <c r="H3062">
        <v>0.75558149999999902</v>
      </c>
      <c r="I3062">
        <v>278.05</v>
      </c>
      <c r="J3062">
        <v>-437.89699999999999</v>
      </c>
      <c r="K3062">
        <v>1.121237</v>
      </c>
      <c r="L3062">
        <v>284.07459999999998</v>
      </c>
      <c r="M3062">
        <v>-0.99987280000000001</v>
      </c>
      <c r="N3062">
        <v>-1.392504E-2</v>
      </c>
      <c r="O3062">
        <v>7.7902400000000004E-3</v>
      </c>
      <c r="P3062">
        <v>-0.9987646</v>
      </c>
      <c r="Q3062">
        <v>-4.6469620000000003E-2</v>
      </c>
      <c r="R3062">
        <v>-1.7609219999999998E-2</v>
      </c>
      <c r="S3062">
        <v>-3.0000610000000001</v>
      </c>
      <c r="T3062">
        <v>-1.081121E-2</v>
      </c>
      <c r="U3062">
        <v>-0.17813109999999999</v>
      </c>
      <c r="V3062">
        <v>-2.539046E-2</v>
      </c>
      <c r="W3062">
        <v>-3.2559570000000003E-2</v>
      </c>
      <c r="X3062">
        <v>0.99914720000000001</v>
      </c>
      <c r="Y3062">
        <v>-6.7044409999999999E-2</v>
      </c>
      <c r="Z3062">
        <v>-5.0759989999999897E-4</v>
      </c>
      <c r="AA3062">
        <v>0.99774989999999997</v>
      </c>
      <c r="AB3062">
        <v>26</v>
      </c>
      <c r="AC3062">
        <v>-101.273499999999</v>
      </c>
      <c r="AD3062">
        <v>-0.36565550000000002</v>
      </c>
      <c r="AE3062">
        <v>-6.0245999999999604</v>
      </c>
      <c r="AF3062">
        <v>-6.8133499340006702</v>
      </c>
      <c r="AG3062">
        <v>-0.36565550000000002</v>
      </c>
      <c r="AH3062">
        <v>101.22217379313599</v>
      </c>
      <c r="AI3062">
        <v>90.206507383728294</v>
      </c>
      <c r="AJ3062">
        <v>93.850818579398705</v>
      </c>
      <c r="AK3062">
        <v>101.451879769059</v>
      </c>
      <c r="AL3062">
        <v>91.865855783297306</v>
      </c>
      <c r="AM3062">
        <v>91.455694584278206</v>
      </c>
      <c r="AN3062">
        <v>0.99999996416271697</v>
      </c>
    </row>
    <row r="3063" spans="1:40" x14ac:dyDescent="0.25">
      <c r="A3063" t="str">
        <f>"20190303153830500"</f>
        <v>20190303153830500</v>
      </c>
      <c r="B3063" t="str">
        <f>"1551598710491333"</f>
        <v>1551598710491333</v>
      </c>
      <c r="C3063" t="s">
        <v>40</v>
      </c>
      <c r="D3063">
        <v>3.9857089999999999</v>
      </c>
      <c r="E3063">
        <v>0.48470540000000001</v>
      </c>
      <c r="F3063" t="s">
        <v>59</v>
      </c>
      <c r="G3063">
        <v>-539.85410000000002</v>
      </c>
      <c r="H3063">
        <v>0.79530440000000002</v>
      </c>
      <c r="I3063">
        <v>278.05</v>
      </c>
      <c r="J3063">
        <v>-438.04300000000001</v>
      </c>
      <c r="K3063">
        <v>1.1212409999999999</v>
      </c>
      <c r="L3063">
        <v>284.07569999999998</v>
      </c>
      <c r="M3063">
        <v>-0.99987280000000001</v>
      </c>
      <c r="N3063">
        <v>-1.392708E-2</v>
      </c>
      <c r="O3063">
        <v>7.7738829999999997E-3</v>
      </c>
      <c r="P3063">
        <v>-0.99878979999999995</v>
      </c>
      <c r="Q3063">
        <v>-4.6068249999999998E-2</v>
      </c>
      <c r="R3063">
        <v>-1.722081E-2</v>
      </c>
      <c r="S3063">
        <v>-3.0001530000000001</v>
      </c>
      <c r="T3063">
        <v>-9.5883610000000001E-3</v>
      </c>
      <c r="U3063">
        <v>-0.17727660000000001</v>
      </c>
      <c r="V3063">
        <v>-2.498535E-2</v>
      </c>
      <c r="W3063">
        <v>-3.2156049999999999E-2</v>
      </c>
      <c r="X3063">
        <v>0.99917049999999996</v>
      </c>
      <c r="Y3063">
        <v>-6.6743369999999996E-2</v>
      </c>
      <c r="Z3063">
        <v>-4.8841569999999999E-4</v>
      </c>
      <c r="AA3063">
        <v>0.99777009999999999</v>
      </c>
      <c r="AB3063">
        <v>26</v>
      </c>
      <c r="AC3063">
        <v>-101.8111</v>
      </c>
      <c r="AD3063">
        <v>-0.32593659999999902</v>
      </c>
      <c r="AE3063">
        <v>-6.0256999999999703</v>
      </c>
      <c r="AF3063">
        <v>-6.8169926064538702</v>
      </c>
      <c r="AG3063">
        <v>-0.32593659999999902</v>
      </c>
      <c r="AH3063">
        <v>101.760136052503</v>
      </c>
      <c r="AI3063">
        <v>90.183106718583403</v>
      </c>
      <c r="AJ3063">
        <v>93.8325635562136</v>
      </c>
      <c r="AK3063">
        <v>101.988739144513</v>
      </c>
      <c r="AL3063">
        <v>91.842723640253595</v>
      </c>
      <c r="AM3063">
        <v>91.432445043691899</v>
      </c>
      <c r="AN3063">
        <v>0.99999998366823695</v>
      </c>
    </row>
    <row r="3064" spans="1:40" x14ac:dyDescent="0.25">
      <c r="A3064" t="str">
        <f>"20190303153830518"</f>
        <v>20190303153830518</v>
      </c>
      <c r="B3064" t="str">
        <f>"1551598710511828"</f>
        <v>1551598710511828</v>
      </c>
      <c r="C3064" t="s">
        <v>40</v>
      </c>
      <c r="D3064">
        <v>3.915616</v>
      </c>
      <c r="E3064">
        <v>0.48476789999999997</v>
      </c>
      <c r="F3064" t="s">
        <v>59</v>
      </c>
      <c r="G3064">
        <v>-542.00840000000005</v>
      </c>
      <c r="H3064">
        <v>0.78568689999999997</v>
      </c>
      <c r="I3064">
        <v>278.05</v>
      </c>
      <c r="J3064">
        <v>-438.26049999999998</v>
      </c>
      <c r="K3064">
        <v>1.1212500000000001</v>
      </c>
      <c r="L3064">
        <v>284.07729999999998</v>
      </c>
      <c r="M3064">
        <v>-0.99987300000000001</v>
      </c>
      <c r="N3064">
        <v>-1.392969E-2</v>
      </c>
      <c r="O3064">
        <v>7.7464049999999996E-3</v>
      </c>
      <c r="P3064">
        <v>-0.99878889999999998</v>
      </c>
      <c r="Q3064">
        <v>-4.5632039999999999E-2</v>
      </c>
      <c r="R3064">
        <v>-1.8396289999999999E-2</v>
      </c>
      <c r="S3064">
        <v>-3.0002439999999999</v>
      </c>
      <c r="T3064">
        <v>-9.6811060000000001E-3</v>
      </c>
      <c r="U3064">
        <v>-0.17388919999999999</v>
      </c>
      <c r="V3064">
        <v>-2.613296E-2</v>
      </c>
      <c r="W3064">
        <v>-3.1717799999999997E-2</v>
      </c>
      <c r="X3064">
        <v>0.99915520000000002</v>
      </c>
      <c r="Y3064">
        <v>-6.5591419999999998E-2</v>
      </c>
      <c r="Z3064">
        <v>-4.8014150000000002E-4</v>
      </c>
      <c r="AA3064">
        <v>0.99784640000000002</v>
      </c>
      <c r="AB3064">
        <v>26</v>
      </c>
      <c r="AC3064">
        <v>-103.7479</v>
      </c>
      <c r="AD3064">
        <v>-0.3355631</v>
      </c>
      <c r="AE3064">
        <v>-6.0272999999999604</v>
      </c>
      <c r="AF3064">
        <v>-6.8307991131308903</v>
      </c>
      <c r="AG3064">
        <v>-0.3355631</v>
      </c>
      <c r="AH3064">
        <v>103.697010957451</v>
      </c>
      <c r="AI3064">
        <v>90.185007303767804</v>
      </c>
      <c r="AJ3064">
        <v>93.768781165502205</v>
      </c>
      <c r="AK3064">
        <v>103.922290682162</v>
      </c>
      <c r="AL3064">
        <v>91.817600860852295</v>
      </c>
      <c r="AM3064">
        <v>91.498232731578597</v>
      </c>
      <c r="AN3064">
        <v>1.00000003206112</v>
      </c>
    </row>
    <row r="3065" spans="1:40" x14ac:dyDescent="0.25">
      <c r="A3065" t="str">
        <f>"20190303153830536"</f>
        <v>20190303153830536</v>
      </c>
      <c r="B3065" t="str">
        <f>"1551598710531350"</f>
        <v>1551598710531350</v>
      </c>
      <c r="C3065" t="s">
        <v>40</v>
      </c>
      <c r="D3065">
        <v>3.940814</v>
      </c>
      <c r="E3065">
        <v>0.48473470000000002</v>
      </c>
      <c r="F3065" t="s">
        <v>59</v>
      </c>
      <c r="G3065">
        <v>-540.24249999999995</v>
      </c>
      <c r="H3065">
        <v>0.86837469999999894</v>
      </c>
      <c r="I3065">
        <v>278.05</v>
      </c>
      <c r="J3065">
        <v>-438.45760000000001</v>
      </c>
      <c r="K3065">
        <v>1.1212580000000001</v>
      </c>
      <c r="L3065">
        <v>284.07889999999998</v>
      </c>
      <c r="M3065">
        <v>-0.99987320000000002</v>
      </c>
      <c r="N3065">
        <v>-1.393162E-2</v>
      </c>
      <c r="O3065">
        <v>7.718244E-3</v>
      </c>
      <c r="P3065">
        <v>-0.99877079999999996</v>
      </c>
      <c r="Q3065">
        <v>-4.590197E-2</v>
      </c>
      <c r="R3065">
        <v>-1.8716469999999999E-2</v>
      </c>
      <c r="S3065">
        <v>-3.0000309999999999</v>
      </c>
      <c r="T3065">
        <v>-7.436514E-3</v>
      </c>
      <c r="U3065">
        <v>-0.1773071</v>
      </c>
      <c r="V3065">
        <v>-2.6424309999999999E-2</v>
      </c>
      <c r="W3065">
        <v>-3.1986340000000002E-2</v>
      </c>
      <c r="X3065">
        <v>0.999139</v>
      </c>
      <c r="Y3065">
        <v>-6.6700750000000003E-2</v>
      </c>
      <c r="Z3065">
        <v>-4.593361E-4</v>
      </c>
      <c r="AA3065">
        <v>0.99777289999999996</v>
      </c>
      <c r="AB3065">
        <v>26</v>
      </c>
      <c r="AC3065">
        <v>-101.784899999999</v>
      </c>
      <c r="AD3065">
        <v>-0.25288329999999998</v>
      </c>
      <c r="AE3065">
        <v>-6.0288999999999602</v>
      </c>
      <c r="AF3065">
        <v>-6.8143553850755403</v>
      </c>
      <c r="AG3065">
        <v>-0.25288329999999998</v>
      </c>
      <c r="AH3065">
        <v>101.734704821703</v>
      </c>
      <c r="AI3065">
        <v>90.142102167566705</v>
      </c>
      <c r="AJ3065">
        <v>93.832040133301305</v>
      </c>
      <c r="AK3065">
        <v>101.962981294372</v>
      </c>
      <c r="AL3065">
        <v>91.832994836682602</v>
      </c>
      <c r="AM3065">
        <v>91.514952973648207</v>
      </c>
      <c r="AN3065">
        <v>1.00000005571328</v>
      </c>
    </row>
    <row r="3066" spans="1:40" x14ac:dyDescent="0.25">
      <c r="A3066" t="str">
        <f>"20190303153830551"</f>
        <v>20190303153830551</v>
      </c>
      <c r="B3066" t="str">
        <f>"1551598710541109"</f>
        <v>1551598710541109</v>
      </c>
      <c r="C3066" t="s">
        <v>40</v>
      </c>
      <c r="D3066">
        <v>3.9166210000000001</v>
      </c>
      <c r="E3066">
        <v>0.48469780000000001</v>
      </c>
      <c r="F3066" t="s">
        <v>59</v>
      </c>
      <c r="G3066">
        <v>-539.78420000000006</v>
      </c>
      <c r="H3066">
        <v>0.8638998</v>
      </c>
      <c r="I3066">
        <v>278.05</v>
      </c>
      <c r="J3066">
        <v>-438.64830000000001</v>
      </c>
      <c r="K3066">
        <v>1.121256</v>
      </c>
      <c r="L3066">
        <v>284.08030000000002</v>
      </c>
      <c r="M3066">
        <v>-0.99987349999999997</v>
      </c>
      <c r="N3066">
        <v>-1.393315E-2</v>
      </c>
      <c r="O3066">
        <v>7.6883200000000002E-3</v>
      </c>
      <c r="P3066">
        <v>-0.99873559999999995</v>
      </c>
      <c r="Q3066">
        <v>-4.5751170000000001E-2</v>
      </c>
      <c r="R3066">
        <v>-2.0850259999999999E-2</v>
      </c>
      <c r="S3066">
        <v>-3</v>
      </c>
      <c r="T3066">
        <v>-7.617235E-3</v>
      </c>
      <c r="U3066">
        <v>-0.1784973</v>
      </c>
      <c r="V3066">
        <v>-2.8527819999999999E-2</v>
      </c>
      <c r="W3066">
        <v>-3.1835019999999999E-2</v>
      </c>
      <c r="X3066">
        <v>0.99908589999999997</v>
      </c>
      <c r="Y3066">
        <v>-6.7065890000000003E-2</v>
      </c>
      <c r="Z3066">
        <v>-4.6520369999999999E-4</v>
      </c>
      <c r="AA3066">
        <v>0.99774839999999998</v>
      </c>
      <c r="AB3066">
        <v>26</v>
      </c>
      <c r="AC3066">
        <v>-101.13590000000001</v>
      </c>
      <c r="AD3066">
        <v>-0.25735619999999998</v>
      </c>
      <c r="AE3066">
        <v>-6.0303000000000102</v>
      </c>
      <c r="AF3066">
        <v>-6.8077183591516004</v>
      </c>
      <c r="AG3066">
        <v>-0.25735619999999998</v>
      </c>
      <c r="AH3066">
        <v>101.085890679645</v>
      </c>
      <c r="AI3066">
        <v>90.145540262538304</v>
      </c>
      <c r="AJ3066">
        <v>93.852816998340202</v>
      </c>
      <c r="AK3066">
        <v>101.31519410220901</v>
      </c>
      <c r="AL3066">
        <v>91.824320578017705</v>
      </c>
      <c r="AM3066">
        <v>91.6355747573364</v>
      </c>
      <c r="AN3066">
        <v>0.99999997029558096</v>
      </c>
    </row>
    <row r="3067" spans="1:40" x14ac:dyDescent="0.25">
      <c r="A3067" t="str">
        <f>"20190303153830566"</f>
        <v>20190303153830566</v>
      </c>
      <c r="B3067" t="str">
        <f>"1551598710561605"</f>
        <v>1551598710561605</v>
      </c>
      <c r="C3067" t="s">
        <v>40</v>
      </c>
      <c r="D3067">
        <v>3.9178630000000001</v>
      </c>
      <c r="E3067">
        <v>0.48461379999999998</v>
      </c>
      <c r="F3067" t="s">
        <v>59</v>
      </c>
      <c r="G3067">
        <v>-536.31259999999997</v>
      </c>
      <c r="H3067">
        <v>0.898337099999999</v>
      </c>
      <c r="I3067">
        <v>278.05</v>
      </c>
      <c r="J3067">
        <v>-438.82769999999999</v>
      </c>
      <c r="K3067">
        <v>1.121259</v>
      </c>
      <c r="L3067">
        <v>284.08159999999998</v>
      </c>
      <c r="M3067">
        <v>-0.99987360000000003</v>
      </c>
      <c r="N3067">
        <v>-1.3933869999999999E-2</v>
      </c>
      <c r="O3067">
        <v>7.6577119999999997E-3</v>
      </c>
      <c r="P3067">
        <v>-0.99873239999999996</v>
      </c>
      <c r="Q3067">
        <v>-4.536697E-2</v>
      </c>
      <c r="R3067">
        <v>-2.1810960000000001E-2</v>
      </c>
      <c r="S3067">
        <v>-2.9996339999999999</v>
      </c>
      <c r="T3067">
        <v>-6.8441630000000003E-3</v>
      </c>
      <c r="U3067">
        <v>-0.18521119999999999</v>
      </c>
      <c r="V3067">
        <v>-2.945762E-2</v>
      </c>
      <c r="W3067">
        <v>-3.145042E-2</v>
      </c>
      <c r="X3067">
        <v>0.99907109999999999</v>
      </c>
      <c r="Y3067">
        <v>-6.9267540000000002E-2</v>
      </c>
      <c r="Z3067">
        <v>-4.7287300000000001E-4</v>
      </c>
      <c r="AA3067">
        <v>0.99759799999999998</v>
      </c>
      <c r="AB3067">
        <v>26</v>
      </c>
      <c r="AC3067">
        <v>-97.484899999999897</v>
      </c>
      <c r="AD3067">
        <v>-0.22292190000000001</v>
      </c>
      <c r="AE3067">
        <v>-6.0315999999999601</v>
      </c>
      <c r="AF3067">
        <v>-6.7779715712946098</v>
      </c>
      <c r="AG3067">
        <v>-0.22292190000000001</v>
      </c>
      <c r="AH3067">
        <v>97.435340818300205</v>
      </c>
      <c r="AI3067">
        <v>90.130770516244496</v>
      </c>
      <c r="AJ3067">
        <v>93.979301053698407</v>
      </c>
      <c r="AK3067">
        <v>97.671061390634407</v>
      </c>
      <c r="AL3067">
        <v>91.802273577947503</v>
      </c>
      <c r="AM3067">
        <v>91.6888772491655</v>
      </c>
      <c r="AN3067">
        <v>0.99999997157472498</v>
      </c>
    </row>
    <row r="3068" spans="1:40" x14ac:dyDescent="0.25">
      <c r="A3068" t="str">
        <f>"20190303153830579"</f>
        <v>20190303153830579</v>
      </c>
      <c r="B3068" t="str">
        <f>"1551598710571365"</f>
        <v>1551598710571365</v>
      </c>
      <c r="C3068" t="s">
        <v>40</v>
      </c>
      <c r="D3068">
        <v>3.9461560000000002</v>
      </c>
      <c r="E3068">
        <v>0.48459039999999998</v>
      </c>
      <c r="F3068" t="s">
        <v>59</v>
      </c>
      <c r="G3068">
        <v>-515.30039999999997</v>
      </c>
      <c r="H3068">
        <v>0.97055970000000003</v>
      </c>
      <c r="I3068">
        <v>279.27539999999999</v>
      </c>
      <c r="J3068">
        <v>-438.97370000000001</v>
      </c>
      <c r="K3068">
        <v>1.12127</v>
      </c>
      <c r="L3068">
        <v>284.08269999999999</v>
      </c>
      <c r="M3068">
        <v>-0.99987389999999998</v>
      </c>
      <c r="N3068">
        <v>-1.393436E-2</v>
      </c>
      <c r="O3068">
        <v>7.6316530000000004E-3</v>
      </c>
      <c r="P3068">
        <v>-0.99871759999999998</v>
      </c>
      <c r="Q3068">
        <v>-4.5312350000000001E-2</v>
      </c>
      <c r="R3068">
        <v>-2.258344E-2</v>
      </c>
      <c r="S3068">
        <v>-2.9994200000000002</v>
      </c>
      <c r="T3068">
        <v>-5.9075359999999997E-3</v>
      </c>
      <c r="U3068">
        <v>-0.18850710000000001</v>
      </c>
      <c r="V3068">
        <v>-3.0204180000000001E-2</v>
      </c>
      <c r="W3068">
        <v>-3.1395680000000002E-2</v>
      </c>
      <c r="X3068">
        <v>0.99905060000000001</v>
      </c>
      <c r="Y3068">
        <v>-7.033797E-2</v>
      </c>
      <c r="Z3068">
        <v>-4.6854630000000002E-4</v>
      </c>
      <c r="AA3068">
        <v>0.9975231</v>
      </c>
      <c r="AB3068">
        <v>26</v>
      </c>
      <c r="AC3068">
        <v>-76.326699999999903</v>
      </c>
      <c r="AD3068">
        <v>-0.15071029999999899</v>
      </c>
      <c r="AE3068">
        <v>-4.8072999999999899</v>
      </c>
      <c r="AF3068">
        <v>-5.38969442945307</v>
      </c>
      <c r="AG3068">
        <v>-0.15071029999999899</v>
      </c>
      <c r="AH3068">
        <v>76.287489362363203</v>
      </c>
      <c r="AI3068">
        <v>90.112909507036804</v>
      </c>
      <c r="AJ3068">
        <v>94.041219441263294</v>
      </c>
      <c r="AK3068">
        <v>76.477791239353195</v>
      </c>
      <c r="AL3068">
        <v>91.7991355318389</v>
      </c>
      <c r="AM3068">
        <v>91.731689128967105</v>
      </c>
      <c r="AN3068">
        <v>1.00000004128624</v>
      </c>
    </row>
    <row r="3069" spans="1:40" x14ac:dyDescent="0.25">
      <c r="A3069" t="str">
        <f>"20190303153830592"</f>
        <v>20190303153830592</v>
      </c>
      <c r="B3069" t="str">
        <f>"1551598710581125"</f>
        <v>1551598710581125</v>
      </c>
      <c r="C3069" t="s">
        <v>40</v>
      </c>
      <c r="D3069">
        <v>3.9607489999999999</v>
      </c>
      <c r="E3069">
        <v>0.4845566</v>
      </c>
      <c r="F3069" t="s">
        <v>59</v>
      </c>
      <c r="G3069">
        <v>-514.45870000000002</v>
      </c>
      <c r="H3069">
        <v>0.97400120000000001</v>
      </c>
      <c r="I3069">
        <v>279.27539999999999</v>
      </c>
      <c r="J3069">
        <v>-439.13139999999999</v>
      </c>
      <c r="K3069">
        <v>1.1212740000000001</v>
      </c>
      <c r="L3069">
        <v>284.08390000000003</v>
      </c>
      <c r="M3069">
        <v>-0.99987409999999999</v>
      </c>
      <c r="N3069">
        <v>-1.393484E-2</v>
      </c>
      <c r="O3069">
        <v>7.6032740000000001E-3</v>
      </c>
      <c r="P3069">
        <v>-0.99870199999999998</v>
      </c>
      <c r="Q3069">
        <v>-4.5337950000000002E-2</v>
      </c>
      <c r="R3069">
        <v>-2.3215840000000001E-2</v>
      </c>
      <c r="S3069">
        <v>-2.999298</v>
      </c>
      <c r="T3069">
        <v>-5.8482889999999996E-3</v>
      </c>
      <c r="U3069">
        <v>-0.1910095</v>
      </c>
      <c r="V3069">
        <v>-3.080772E-2</v>
      </c>
      <c r="W3069">
        <v>-3.1421129999999999E-2</v>
      </c>
      <c r="X3069">
        <v>0.99903129999999996</v>
      </c>
      <c r="Y3069">
        <v>-7.114115E-2</v>
      </c>
      <c r="Z3069">
        <v>-4.7445590000000002E-4</v>
      </c>
      <c r="AA3069">
        <v>0.99746610000000002</v>
      </c>
      <c r="AB3069">
        <v>26</v>
      </c>
      <c r="AC3069">
        <v>-75.327299999999994</v>
      </c>
      <c r="AD3069">
        <v>-0.14727279999999901</v>
      </c>
      <c r="AE3069">
        <v>-4.8085000000000298</v>
      </c>
      <c r="AF3069">
        <v>-5.3811301538515703</v>
      </c>
      <c r="AG3069">
        <v>-0.14727279999999901</v>
      </c>
      <c r="AH3069">
        <v>75.288271712795904</v>
      </c>
      <c r="AI3069">
        <v>90.111792026074099</v>
      </c>
      <c r="AJ3069">
        <v>94.088188420563995</v>
      </c>
      <c r="AK3069">
        <v>75.480475015132797</v>
      </c>
      <c r="AL3069">
        <v>91.800594556274504</v>
      </c>
      <c r="AM3069">
        <v>91.766304142229103</v>
      </c>
      <c r="AN3069">
        <v>0.99999997070088198</v>
      </c>
    </row>
    <row r="3070" spans="1:40" x14ac:dyDescent="0.25">
      <c r="A3070" t="str">
        <f>"20190303153830606"</f>
        <v>20190303153830606</v>
      </c>
      <c r="B3070" t="str">
        <f>"1551598710601621"</f>
        <v>1551598710601621</v>
      </c>
      <c r="C3070" t="s">
        <v>40</v>
      </c>
      <c r="D3070">
        <v>3.9460190000000002</v>
      </c>
      <c r="E3070">
        <v>0.4844079</v>
      </c>
      <c r="F3070" t="s">
        <v>59</v>
      </c>
      <c r="G3070">
        <v>-513.79740000000004</v>
      </c>
      <c r="H3070">
        <v>0.97662289999999996</v>
      </c>
      <c r="I3070">
        <v>279.27539999999999</v>
      </c>
      <c r="J3070">
        <v>-439.298</v>
      </c>
      <c r="K3070">
        <v>1.121275</v>
      </c>
      <c r="L3070">
        <v>284.08510000000001</v>
      </c>
      <c r="M3070">
        <v>-0.99987429999999999</v>
      </c>
      <c r="N3070">
        <v>-1.3935329999999999E-2</v>
      </c>
      <c r="O3070">
        <v>7.5732309999999997E-3</v>
      </c>
      <c r="P3070">
        <v>-0.9987007</v>
      </c>
      <c r="Q3070">
        <v>-4.5034619999999997E-2</v>
      </c>
      <c r="R3070">
        <v>-2.3855930000000001E-2</v>
      </c>
      <c r="S3070">
        <v>-2.9991759999999998</v>
      </c>
      <c r="T3070">
        <v>-5.8070419999999897E-3</v>
      </c>
      <c r="U3070">
        <v>-0.19314580000000001</v>
      </c>
      <c r="V3070">
        <v>-3.1417779999999999E-2</v>
      </c>
      <c r="W3070">
        <v>-3.111744E-2</v>
      </c>
      <c r="X3070">
        <v>0.99902179999999996</v>
      </c>
      <c r="Y3070">
        <v>-7.1821309999999999E-2</v>
      </c>
      <c r="Z3070">
        <v>-4.7965390000000001E-4</v>
      </c>
      <c r="AA3070">
        <v>0.99741740000000001</v>
      </c>
      <c r="AB3070">
        <v>26</v>
      </c>
      <c r="AC3070">
        <v>-74.499399999999994</v>
      </c>
      <c r="AD3070">
        <v>-0.14465210000000001</v>
      </c>
      <c r="AE3070">
        <v>-4.8097000000000198</v>
      </c>
      <c r="AF3070">
        <v>-5.3737977782632003</v>
      </c>
      <c r="AG3070">
        <v>-0.14465210000000001</v>
      </c>
      <c r="AH3070">
        <v>74.4605550856555</v>
      </c>
      <c r="AI3070">
        <v>90.111017768318405</v>
      </c>
      <c r="AJ3070">
        <v>94.127863956208103</v>
      </c>
      <c r="AK3070">
        <v>74.654356138511005</v>
      </c>
      <c r="AL3070">
        <v>91.783185898710997</v>
      </c>
      <c r="AM3070">
        <v>91.801275113367495</v>
      </c>
      <c r="AN3070">
        <v>0.99999996442376005</v>
      </c>
    </row>
    <row r="3071" spans="1:40" x14ac:dyDescent="0.25">
      <c r="A3071" t="str">
        <f>"20190303153830619"</f>
        <v>20190303153830619</v>
      </c>
      <c r="B3071" t="str">
        <f>"1551598710611381"</f>
        <v>1551598710611381</v>
      </c>
      <c r="C3071" t="s">
        <v>40</v>
      </c>
      <c r="D3071">
        <v>3.954002</v>
      </c>
      <c r="E3071">
        <v>0.48437859999999999</v>
      </c>
      <c r="F3071" t="s">
        <v>59</v>
      </c>
      <c r="G3071">
        <v>-512.71220000000005</v>
      </c>
      <c r="H3071">
        <v>0.9764737</v>
      </c>
      <c r="I3071">
        <v>279.27539999999999</v>
      </c>
      <c r="J3071">
        <v>-439.4341</v>
      </c>
      <c r="K3071">
        <v>1.1212740000000001</v>
      </c>
      <c r="L3071">
        <v>284.08609999999999</v>
      </c>
      <c r="M3071">
        <v>-0.99987440000000005</v>
      </c>
      <c r="N3071">
        <v>-1.3935589999999999E-2</v>
      </c>
      <c r="O3071">
        <v>7.548679E-3</v>
      </c>
      <c r="P3071">
        <v>-0.99869439999999998</v>
      </c>
      <c r="Q3071">
        <v>-4.5016559999999997E-2</v>
      </c>
      <c r="R3071">
        <v>-2.4151240000000001E-2</v>
      </c>
      <c r="S3071">
        <v>-2.9989319999999999</v>
      </c>
      <c r="T3071">
        <v>-5.9117079999999999E-3</v>
      </c>
      <c r="U3071">
        <v>-0.19647220000000001</v>
      </c>
      <c r="V3071">
        <v>-3.1688380000000002E-2</v>
      </c>
      <c r="W3071">
        <v>-3.10992E-2</v>
      </c>
      <c r="X3071">
        <v>0.99901379999999995</v>
      </c>
      <c r="Y3071">
        <v>-7.2903620000000002E-2</v>
      </c>
      <c r="Z3071">
        <v>-4.9011239999999896E-4</v>
      </c>
      <c r="AA3071">
        <v>0.99733890000000003</v>
      </c>
      <c r="AB3071">
        <v>26</v>
      </c>
      <c r="AC3071">
        <v>-73.278099999999995</v>
      </c>
      <c r="AD3071">
        <v>-0.14480029999999999</v>
      </c>
      <c r="AE3071">
        <v>-4.81069999999999</v>
      </c>
      <c r="AF3071">
        <v>-5.36374862840667</v>
      </c>
      <c r="AG3071">
        <v>-0.14480029999999999</v>
      </c>
      <c r="AH3071">
        <v>73.239409068766093</v>
      </c>
      <c r="AI3071">
        <v>90.112975727243395</v>
      </c>
      <c r="AJ3071">
        <v>94.188625881248498</v>
      </c>
      <c r="AK3071">
        <v>73.435698452576005</v>
      </c>
      <c r="AL3071">
        <v>91.782140355576601</v>
      </c>
      <c r="AM3071">
        <v>91.816793605205703</v>
      </c>
      <c r="AN3071">
        <v>0.99999994312905005</v>
      </c>
    </row>
    <row r="3072" spans="1:40" x14ac:dyDescent="0.25">
      <c r="A3072" t="str">
        <f>"20190303153830633"</f>
        <v>20190303153830633</v>
      </c>
      <c r="B3072" t="str">
        <f>"1551598710622117"</f>
        <v>1551598710622117</v>
      </c>
      <c r="C3072" t="s">
        <v>40</v>
      </c>
      <c r="D3072">
        <v>3.9457239999999998</v>
      </c>
      <c r="E3072">
        <v>0.4842899</v>
      </c>
      <c r="F3072" t="s">
        <v>59</v>
      </c>
      <c r="G3072">
        <v>-512.46349999999995</v>
      </c>
      <c r="H3072">
        <v>0.96312869999999995</v>
      </c>
      <c r="I3072">
        <v>279.27539999999999</v>
      </c>
      <c r="J3072">
        <v>-439.60570000000001</v>
      </c>
      <c r="K3072">
        <v>1.121273</v>
      </c>
      <c r="L3072">
        <v>284.0874</v>
      </c>
      <c r="M3072">
        <v>-0.99987470000000001</v>
      </c>
      <c r="N3072">
        <v>-1.393582E-2</v>
      </c>
      <c r="O3072">
        <v>7.5179919999999898E-3</v>
      </c>
      <c r="P3072">
        <v>-0.99869529999999995</v>
      </c>
      <c r="Q3072">
        <v>-4.5127319999999999E-2</v>
      </c>
      <c r="R3072">
        <v>-2.3905340000000001E-2</v>
      </c>
      <c r="S3072">
        <v>-2.9988100000000002</v>
      </c>
      <c r="T3072">
        <v>-6.4905880000000003E-3</v>
      </c>
      <c r="U3072">
        <v>-0.1975403</v>
      </c>
      <c r="V3072">
        <v>-3.1412450000000001E-2</v>
      </c>
      <c r="W3072">
        <v>-3.1209629999999999E-2</v>
      </c>
      <c r="X3072">
        <v>0.99901910000000005</v>
      </c>
      <c r="Y3072">
        <v>-7.3229249999999996E-2</v>
      </c>
      <c r="Z3072">
        <v>-5.0159779999999995E-4</v>
      </c>
      <c r="AA3072">
        <v>0.99731499999999995</v>
      </c>
      <c r="AB3072">
        <v>26</v>
      </c>
      <c r="AC3072">
        <v>-72.857799999999898</v>
      </c>
      <c r="AD3072">
        <v>-0.15814429999999899</v>
      </c>
      <c r="AE3072">
        <v>-4.81200000000001</v>
      </c>
      <c r="AF3072">
        <v>-5.3596363560947804</v>
      </c>
      <c r="AG3072">
        <v>-0.15814429999999899</v>
      </c>
      <c r="AH3072">
        <v>72.819218919754405</v>
      </c>
      <c r="AI3072">
        <v>90.124095580492593</v>
      </c>
      <c r="AJ3072">
        <v>94.209490644469895</v>
      </c>
      <c r="AK3072">
        <v>73.016363615098797</v>
      </c>
      <c r="AL3072">
        <v>91.788470548966998</v>
      </c>
      <c r="AM3072">
        <v>91.800974594004799</v>
      </c>
      <c r="AN3072">
        <v>0.99999997259227402</v>
      </c>
    </row>
    <row r="3073" spans="1:40" x14ac:dyDescent="0.25">
      <c r="A3073" t="str">
        <f>"20190303153830651"</f>
        <v>20190303153830651</v>
      </c>
      <c r="B3073" t="str">
        <f>"1551598710641637"</f>
        <v>1551598710641637</v>
      </c>
      <c r="C3073" t="s">
        <v>40</v>
      </c>
      <c r="D3073">
        <v>3.9673389999999999</v>
      </c>
      <c r="E3073">
        <v>0.4842069</v>
      </c>
      <c r="F3073" t="s">
        <v>59</v>
      </c>
      <c r="G3073">
        <v>-512.71140000000003</v>
      </c>
      <c r="H3073">
        <v>0.94847429999999999</v>
      </c>
      <c r="I3073">
        <v>279.27539999999999</v>
      </c>
      <c r="J3073">
        <v>-439.82060000000001</v>
      </c>
      <c r="K3073">
        <v>1.121275</v>
      </c>
      <c r="L3073">
        <v>284.08890000000002</v>
      </c>
      <c r="M3073">
        <v>-0.99987490000000001</v>
      </c>
      <c r="N3073">
        <v>-1.39358E-2</v>
      </c>
      <c r="O3073">
        <v>7.4808649999999997E-3</v>
      </c>
      <c r="P3073">
        <v>-0.99871710000000002</v>
      </c>
      <c r="Q3073">
        <v>-4.5162609999999999E-2</v>
      </c>
      <c r="R3073">
        <v>-2.2899869999999999E-2</v>
      </c>
      <c r="S3073">
        <v>-2.99884</v>
      </c>
      <c r="T3073">
        <v>-7.0849659999999998E-3</v>
      </c>
      <c r="U3073">
        <v>-0.1973877</v>
      </c>
      <c r="V3073">
        <v>-3.0370100000000001E-2</v>
      </c>
      <c r="W3073">
        <v>-3.124443E-2</v>
      </c>
      <c r="X3073">
        <v>0.99905029999999995</v>
      </c>
      <c r="Y3073">
        <v>-7.3140919999999998E-2</v>
      </c>
      <c r="Z3073">
        <v>-5.100425E-4</v>
      </c>
      <c r="AA3073">
        <v>0.99732149999999997</v>
      </c>
      <c r="AB3073">
        <v>26</v>
      </c>
      <c r="AC3073">
        <v>-72.890799999999999</v>
      </c>
      <c r="AD3073">
        <v>-0.1728007</v>
      </c>
      <c r="AE3073">
        <v>-4.8135000000000296</v>
      </c>
      <c r="AF3073">
        <v>-5.35867449182948</v>
      </c>
      <c r="AG3073">
        <v>-0.1728007</v>
      </c>
      <c r="AH3073">
        <v>72.852339666739894</v>
      </c>
      <c r="AI3073">
        <v>90.135535210225996</v>
      </c>
      <c r="AJ3073">
        <v>94.206831364178697</v>
      </c>
      <c r="AK3073">
        <v>73.049357610518001</v>
      </c>
      <c r="AL3073">
        <v>91.790465312808095</v>
      </c>
      <c r="AM3073">
        <v>91.741196463993901</v>
      </c>
      <c r="AN3073">
        <v>1.00000002965506</v>
      </c>
    </row>
    <row r="3074" spans="1:40" x14ac:dyDescent="0.25">
      <c r="A3074" t="str">
        <f>"20190303153830667"</f>
        <v>20190303153830667</v>
      </c>
      <c r="B3074" t="str">
        <f>"1551598710661158"</f>
        <v>1551598710661158</v>
      </c>
      <c r="C3074" t="s">
        <v>40</v>
      </c>
      <c r="D3074">
        <v>3.9636040000000001</v>
      </c>
      <c r="E3074">
        <v>0.48408329999999999</v>
      </c>
      <c r="F3074" t="s">
        <v>59</v>
      </c>
      <c r="G3074">
        <v>-513.7654</v>
      </c>
      <c r="H3074">
        <v>0.93876919999999997</v>
      </c>
      <c r="I3074">
        <v>279.27539999999999</v>
      </c>
      <c r="J3074">
        <v>-439.9966</v>
      </c>
      <c r="K3074">
        <v>1.121275</v>
      </c>
      <c r="L3074">
        <v>284.09019999999998</v>
      </c>
      <c r="M3074">
        <v>-0.99987519999999996</v>
      </c>
      <c r="N3074">
        <v>-1.3935579999999999E-2</v>
      </c>
      <c r="O3074">
        <v>7.4514840000000004E-3</v>
      </c>
      <c r="P3074">
        <v>-0.9987298</v>
      </c>
      <c r="Q3074">
        <v>-4.537236E-2</v>
      </c>
      <c r="R3074">
        <v>-2.1918440000000001E-2</v>
      </c>
      <c r="S3074">
        <v>-2.998993</v>
      </c>
      <c r="T3074">
        <v>-7.3986049999999999E-3</v>
      </c>
      <c r="U3074">
        <v>-0.1952209</v>
      </c>
      <c r="V3074">
        <v>-2.9359010000000001E-2</v>
      </c>
      <c r="W3074">
        <v>-3.1454040000000003E-2</v>
      </c>
      <c r="X3074">
        <v>0.99907389999999996</v>
      </c>
      <c r="Y3074">
        <v>-7.239073E-2</v>
      </c>
      <c r="Z3074">
        <v>-5.0879989999999997E-4</v>
      </c>
      <c r="AA3074">
        <v>0.99737620000000005</v>
      </c>
      <c r="AB3074">
        <v>26</v>
      </c>
      <c r="AC3074">
        <v>-73.768799999999999</v>
      </c>
      <c r="AD3074">
        <v>-0.1825058</v>
      </c>
      <c r="AE3074">
        <v>-4.8147999999999902</v>
      </c>
      <c r="AF3074">
        <v>-5.3643739840298599</v>
      </c>
      <c r="AG3074">
        <v>-0.1825058</v>
      </c>
      <c r="AH3074">
        <v>73.730421320608301</v>
      </c>
      <c r="AI3074">
        <v>90.141450752900596</v>
      </c>
      <c r="AJ3074">
        <v>94.161313169195495</v>
      </c>
      <c r="AK3074">
        <v>73.925535809502094</v>
      </c>
      <c r="AL3074">
        <v>91.802481070955395</v>
      </c>
      <c r="AM3074">
        <v>91.683222240298207</v>
      </c>
      <c r="AN3074">
        <v>0.99999998288085501</v>
      </c>
    </row>
    <row r="3075" spans="1:40" x14ac:dyDescent="0.25">
      <c r="A3075" t="str">
        <f>"20190303153830678"</f>
        <v>20190303153830678</v>
      </c>
      <c r="B3075" t="str">
        <f>"1551598710671893"</f>
        <v>1551598710671893</v>
      </c>
      <c r="C3075" t="s">
        <v>40</v>
      </c>
      <c r="D3075">
        <v>3.9808140000000001</v>
      </c>
      <c r="E3075">
        <v>0.48402899999999999</v>
      </c>
      <c r="F3075" t="s">
        <v>59</v>
      </c>
      <c r="G3075">
        <v>-514.60799999999995</v>
      </c>
      <c r="H3075">
        <v>0.91103789999999996</v>
      </c>
      <c r="I3075">
        <v>279.27539999999999</v>
      </c>
      <c r="J3075">
        <v>-440.13170000000002</v>
      </c>
      <c r="K3075">
        <v>1.121275</v>
      </c>
      <c r="L3075">
        <v>284.09120000000001</v>
      </c>
      <c r="M3075">
        <v>-0.99987539999999997</v>
      </c>
      <c r="N3075">
        <v>-1.393528E-2</v>
      </c>
      <c r="O3075">
        <v>7.4291409999999898E-3</v>
      </c>
      <c r="P3075">
        <v>-0.99874350000000001</v>
      </c>
      <c r="Q3075">
        <v>-4.5447340000000003E-2</v>
      </c>
      <c r="R3075">
        <v>-2.112619E-2</v>
      </c>
      <c r="S3075">
        <v>-2.9992070000000002</v>
      </c>
      <c r="T3075">
        <v>-8.4477659999999902E-3</v>
      </c>
      <c r="U3075">
        <v>-0.19354250000000001</v>
      </c>
      <c r="V3075">
        <v>-2.8544770000000001E-2</v>
      </c>
      <c r="W3075">
        <v>-3.152899E-2</v>
      </c>
      <c r="X3075">
        <v>0.99909510000000001</v>
      </c>
      <c r="Y3075">
        <v>-7.1807789999999996E-2</v>
      </c>
      <c r="Z3075">
        <v>-5.1938980000000004E-4</v>
      </c>
      <c r="AA3075">
        <v>0.99741829999999998</v>
      </c>
      <c r="AB3075">
        <v>26</v>
      </c>
      <c r="AC3075">
        <v>-74.476299999999995</v>
      </c>
      <c r="AD3075">
        <v>-0.21023709999999901</v>
      </c>
      <c r="AE3075">
        <v>-4.8158000000000198</v>
      </c>
      <c r="AF3075">
        <v>-5.3689730792842898</v>
      </c>
      <c r="AG3075">
        <v>-0.21023709999999901</v>
      </c>
      <c r="AH3075">
        <v>74.437872895319302</v>
      </c>
      <c r="AI3075">
        <v>90.161402460807807</v>
      </c>
      <c r="AJ3075">
        <v>94.125423024586098</v>
      </c>
      <c r="AK3075">
        <v>74.631541540718501</v>
      </c>
      <c r="AL3075">
        <v>91.806777580135204</v>
      </c>
      <c r="AM3075">
        <v>91.636530955322598</v>
      </c>
      <c r="AN3075">
        <v>0.99999994997439001</v>
      </c>
    </row>
    <row r="3076" spans="1:40" x14ac:dyDescent="0.25">
      <c r="A3076" t="str">
        <f>"20190303153830691"</f>
        <v>20190303153830691</v>
      </c>
      <c r="B3076" t="str">
        <f>"1551598710681653"</f>
        <v>1551598710681653</v>
      </c>
      <c r="C3076" t="s">
        <v>40</v>
      </c>
      <c r="D3076">
        <v>3.9697819999999999</v>
      </c>
      <c r="E3076">
        <v>0.48399969999999998</v>
      </c>
      <c r="F3076" t="s">
        <v>59</v>
      </c>
      <c r="G3076">
        <v>-515.52210000000002</v>
      </c>
      <c r="H3076">
        <v>0.89880849999999901</v>
      </c>
      <c r="I3076">
        <v>279.27539999999999</v>
      </c>
      <c r="J3076">
        <v>-440.28050000000002</v>
      </c>
      <c r="K3076">
        <v>1.1212740000000001</v>
      </c>
      <c r="L3076">
        <v>284.09230000000002</v>
      </c>
      <c r="M3076">
        <v>-0.99987559999999998</v>
      </c>
      <c r="N3076">
        <v>-1.3934899999999899E-2</v>
      </c>
      <c r="O3076">
        <v>7.4044749999999998E-3</v>
      </c>
      <c r="P3076">
        <v>-0.99874649999999998</v>
      </c>
      <c r="Q3076">
        <v>-4.5600549999999997E-2</v>
      </c>
      <c r="R3076">
        <v>-2.064829E-2</v>
      </c>
      <c r="S3076">
        <v>-2.9993289999999999</v>
      </c>
      <c r="T3076">
        <v>-8.8473559999999903E-3</v>
      </c>
      <c r="U3076">
        <v>-0.19158939999999999</v>
      </c>
      <c r="V3076">
        <v>-2.8042500000000001E-2</v>
      </c>
      <c r="W3076">
        <v>-3.1682410000000001E-2</v>
      </c>
      <c r="X3076">
        <v>0.99910449999999995</v>
      </c>
      <c r="Y3076">
        <v>-7.1133669999999996E-2</v>
      </c>
      <c r="Z3076">
        <v>-5.1970650000000005E-4</v>
      </c>
      <c r="AA3076">
        <v>0.99746670000000004</v>
      </c>
      <c r="AB3076">
        <v>26</v>
      </c>
      <c r="AC3076">
        <v>-75.241600000000005</v>
      </c>
      <c r="AD3076">
        <v>-0.22246550000000001</v>
      </c>
      <c r="AE3076">
        <v>-4.8169000000000297</v>
      </c>
      <c r="AF3076">
        <v>-5.3738997230541896</v>
      </c>
      <c r="AG3076">
        <v>-0.22246550000000001</v>
      </c>
      <c r="AH3076">
        <v>75.203212148363704</v>
      </c>
      <c r="AI3076">
        <v>90.169060307088898</v>
      </c>
      <c r="AJ3076">
        <v>94.087316021339703</v>
      </c>
      <c r="AK3076">
        <v>75.395300958109701</v>
      </c>
      <c r="AL3076">
        <v>91.815572239313497</v>
      </c>
      <c r="AM3076">
        <v>91.607734903288701</v>
      </c>
      <c r="AN3076">
        <v>0.999999979414953</v>
      </c>
    </row>
    <row r="3077" spans="1:40" x14ac:dyDescent="0.25">
      <c r="A3077" t="str">
        <f>"20190303153830704"</f>
        <v>20190303153830704</v>
      </c>
      <c r="B3077" t="str">
        <f>"1551598710691415"</f>
        <v>1551598710691415</v>
      </c>
      <c r="C3077" t="s">
        <v>40</v>
      </c>
      <c r="D3077">
        <v>3.9610089999999998</v>
      </c>
      <c r="E3077">
        <v>0.4839482</v>
      </c>
      <c r="F3077" t="s">
        <v>59</v>
      </c>
      <c r="G3077">
        <v>-535.46460000000002</v>
      </c>
      <c r="H3077">
        <v>0.81446799999999997</v>
      </c>
      <c r="I3077">
        <v>278.05</v>
      </c>
      <c r="J3077">
        <v>-440.4332</v>
      </c>
      <c r="K3077">
        <v>1.1212740000000001</v>
      </c>
      <c r="L3077">
        <v>284.09339999999997</v>
      </c>
      <c r="M3077">
        <v>-0.99987579999999998</v>
      </c>
      <c r="N3077">
        <v>-1.3934429999999999E-2</v>
      </c>
      <c r="O3077">
        <v>7.3796290000000004E-3</v>
      </c>
      <c r="P3077">
        <v>-0.9987587</v>
      </c>
      <c r="Q3077">
        <v>-4.5623129999999998E-2</v>
      </c>
      <c r="R3077">
        <v>-1.9994129999999999E-2</v>
      </c>
      <c r="S3077">
        <v>-2.9993590000000001</v>
      </c>
      <c r="T3077">
        <v>-9.6652509999999997E-3</v>
      </c>
      <c r="U3077">
        <v>-0.19039919999999999</v>
      </c>
      <c r="V3077">
        <v>-2.7363579999999998E-2</v>
      </c>
      <c r="W3077">
        <v>-3.1705150000000001E-2</v>
      </c>
      <c r="X3077">
        <v>0.99912259999999997</v>
      </c>
      <c r="Y3077">
        <v>-7.0713860000000003E-2</v>
      </c>
      <c r="Z3077">
        <v>-5.2805479999999997E-4</v>
      </c>
      <c r="AA3077">
        <v>0.99749650000000001</v>
      </c>
      <c r="AB3077">
        <v>26</v>
      </c>
      <c r="AC3077">
        <v>-95.031400000000005</v>
      </c>
      <c r="AD3077">
        <v>-0.30680599999999902</v>
      </c>
      <c r="AE3077">
        <v>-6.0433999999999601</v>
      </c>
      <c r="AF3077">
        <v>-6.74452987704269</v>
      </c>
      <c r="AG3077">
        <v>-0.30680599999999902</v>
      </c>
      <c r="AH3077">
        <v>94.983223409957304</v>
      </c>
      <c r="AI3077">
        <v>90.184606059342002</v>
      </c>
      <c r="AJ3077">
        <v>94.061618098545097</v>
      </c>
      <c r="AK3077">
        <v>95.222873000817501</v>
      </c>
      <c r="AL3077">
        <v>91.816875806559395</v>
      </c>
      <c r="AM3077">
        <v>91.568802292989304</v>
      </c>
      <c r="AN3077">
        <v>0.99999997593884904</v>
      </c>
    </row>
    <row r="3078" spans="1:40" x14ac:dyDescent="0.25">
      <c r="A3078" t="str">
        <f>"20190303153830717"</f>
        <v>20190303153830717</v>
      </c>
      <c r="B3078" t="str">
        <f>"1551598710711909"</f>
        <v>1551598710711909</v>
      </c>
      <c r="C3078" t="s">
        <v>40</v>
      </c>
      <c r="D3078">
        <v>3.9863270000000002</v>
      </c>
      <c r="E3078">
        <v>0.48390630000000001</v>
      </c>
      <c r="F3078" t="s">
        <v>59</v>
      </c>
      <c r="G3078">
        <v>-536.39120000000003</v>
      </c>
      <c r="H3078">
        <v>0.80384109999999998</v>
      </c>
      <c r="I3078">
        <v>278.05</v>
      </c>
      <c r="J3078">
        <v>-440.58019999999999</v>
      </c>
      <c r="K3078">
        <v>1.121267</v>
      </c>
      <c r="L3078">
        <v>284.09440000000001</v>
      </c>
      <c r="M3078">
        <v>-0.99987599999999999</v>
      </c>
      <c r="N3078">
        <v>-1.3933879999999999E-2</v>
      </c>
      <c r="O3078">
        <v>7.3559150000000002E-3</v>
      </c>
      <c r="P3078">
        <v>-0.99875060000000004</v>
      </c>
      <c r="Q3078">
        <v>-4.592048E-2</v>
      </c>
      <c r="R3078">
        <v>-1.9712779999999999E-2</v>
      </c>
      <c r="S3078">
        <v>-2.9994510000000001</v>
      </c>
      <c r="T3078">
        <v>-9.9197629999999998E-3</v>
      </c>
      <c r="U3078">
        <v>-0.18890380000000001</v>
      </c>
      <c r="V3078">
        <v>-2.7058889999999999E-2</v>
      </c>
      <c r="W3078">
        <v>-3.2003070000000002E-2</v>
      </c>
      <c r="X3078">
        <v>0.99912140000000005</v>
      </c>
      <c r="Y3078">
        <v>-7.0192909999999997E-2</v>
      </c>
      <c r="Z3078">
        <v>-5.2740899999999995E-4</v>
      </c>
      <c r="AA3078">
        <v>0.99753329999999996</v>
      </c>
      <c r="AB3078">
        <v>26</v>
      </c>
      <c r="AC3078">
        <v>-95.811000000000007</v>
      </c>
      <c r="AD3078">
        <v>-0.31742589999999998</v>
      </c>
      <c r="AE3078">
        <v>-6.0443999999999898</v>
      </c>
      <c r="AF3078">
        <v>-6.74900855267241</v>
      </c>
      <c r="AG3078">
        <v>-0.31742589999999998</v>
      </c>
      <c r="AH3078">
        <v>95.762893966382606</v>
      </c>
      <c r="AI3078">
        <v>90.189448106227204</v>
      </c>
      <c r="AJ3078">
        <v>94.031325441163204</v>
      </c>
      <c r="AK3078">
        <v>96.000946539410094</v>
      </c>
      <c r="AL3078">
        <v>91.833954032298195</v>
      </c>
      <c r="AM3078">
        <v>91.551344324653897</v>
      </c>
      <c r="AN3078">
        <v>0.99999997597770796</v>
      </c>
    </row>
    <row r="3079" spans="1:40" x14ac:dyDescent="0.25">
      <c r="A3079" t="str">
        <f>"20190303153830731"</f>
        <v>20190303153830731</v>
      </c>
      <c r="B3079" t="str">
        <f>"1551598710721669"</f>
        <v>1551598710721669</v>
      </c>
      <c r="C3079" t="s">
        <v>40</v>
      </c>
      <c r="D3079">
        <v>4.0626340000000001</v>
      </c>
      <c r="E3079">
        <v>0.48390630000000001</v>
      </c>
      <c r="F3079" t="s">
        <v>59</v>
      </c>
      <c r="G3079">
        <v>-536.83730000000003</v>
      </c>
      <c r="H3079">
        <v>0.75004729999999997</v>
      </c>
      <c r="I3079">
        <v>278.05</v>
      </c>
      <c r="J3079">
        <v>-440.73469999999998</v>
      </c>
      <c r="K3079">
        <v>1.121267</v>
      </c>
      <c r="L3079">
        <v>284.09559999999999</v>
      </c>
      <c r="M3079">
        <v>-0.99987610000000005</v>
      </c>
      <c r="N3079">
        <v>-1.3933249999999999E-2</v>
      </c>
      <c r="O3079">
        <v>7.3309489999999998E-3</v>
      </c>
      <c r="P3079">
        <v>-0.99874160000000001</v>
      </c>
      <c r="Q3079">
        <v>-4.6132840000000001E-2</v>
      </c>
      <c r="R3079">
        <v>-1.9680079999999999E-2</v>
      </c>
      <c r="S3079">
        <v>-2.9995419999999999</v>
      </c>
      <c r="T3079">
        <v>-1.156533E-2</v>
      </c>
      <c r="U3079">
        <v>-0.18835450000000001</v>
      </c>
      <c r="V3079">
        <v>-2.7000590000000001E-2</v>
      </c>
      <c r="W3079">
        <v>-3.2216160000000001E-2</v>
      </c>
      <c r="X3079">
        <v>0.99911620000000001</v>
      </c>
      <c r="Y3079">
        <v>-6.9983770000000001E-2</v>
      </c>
      <c r="Z3079">
        <v>-5.4904239999999896E-4</v>
      </c>
      <c r="AA3079">
        <v>0.99754799999999999</v>
      </c>
      <c r="AB3079">
        <v>26</v>
      </c>
      <c r="AC3079">
        <v>-96.102599999999995</v>
      </c>
      <c r="AD3079">
        <v>-0.37121969999999899</v>
      </c>
      <c r="AE3079">
        <v>-6.0455999999999701</v>
      </c>
      <c r="AF3079">
        <v>-6.7499288180595904</v>
      </c>
      <c r="AG3079">
        <v>-0.37121969999999899</v>
      </c>
      <c r="AH3079">
        <v>96.054265210264305</v>
      </c>
      <c r="AI3079">
        <v>90.220884465437607</v>
      </c>
      <c r="AJ3079">
        <v>94.019683180501403</v>
      </c>
      <c r="AK3079">
        <v>96.291854319035394</v>
      </c>
      <c r="AL3079">
        <v>91.846169358032597</v>
      </c>
      <c r="AM3079">
        <v>91.548011541253203</v>
      </c>
      <c r="AN3079">
        <v>1.0000000469639601</v>
      </c>
    </row>
    <row r="3080" spans="1:40" x14ac:dyDescent="0.25">
      <c r="A3080" t="str">
        <f>"20190303153830748"</f>
        <v>20190303153830748</v>
      </c>
      <c r="B3080" t="str">
        <f>"1551598710741189"</f>
        <v>1551598710741189</v>
      </c>
      <c r="C3080" t="s">
        <v>40</v>
      </c>
      <c r="D3080">
        <v>4.0693400000000004</v>
      </c>
      <c r="E3080">
        <v>0.51510610000000001</v>
      </c>
      <c r="F3080" t="s">
        <v>59</v>
      </c>
      <c r="G3080">
        <v>-536.97770000000003</v>
      </c>
      <c r="H3080">
        <v>0.72847499999999998</v>
      </c>
      <c r="I3080">
        <v>278.05</v>
      </c>
      <c r="J3080">
        <v>-440.94569999999999</v>
      </c>
      <c r="K3080">
        <v>1.121267</v>
      </c>
      <c r="L3080">
        <v>284.09699999999998</v>
      </c>
      <c r="M3080">
        <v>-0.99987630000000005</v>
      </c>
      <c r="N3080">
        <v>-1.393224E-2</v>
      </c>
      <c r="O3080">
        <v>7.2965180000000001E-3</v>
      </c>
      <c r="P3080">
        <v>-0.99874280000000004</v>
      </c>
      <c r="Q3080">
        <v>-4.5928339999999998E-2</v>
      </c>
      <c r="R3080">
        <v>-2.007871E-2</v>
      </c>
      <c r="S3080">
        <v>-2.9995120000000002</v>
      </c>
      <c r="T3080">
        <v>-1.223922E-2</v>
      </c>
      <c r="U3080">
        <v>-0.18841550000000001</v>
      </c>
      <c r="V3080">
        <v>-2.7365219999999999E-2</v>
      </c>
      <c r="W3080">
        <v>-3.2012649999999997E-2</v>
      </c>
      <c r="X3080">
        <v>0.99911280000000002</v>
      </c>
      <c r="Y3080">
        <v>-6.9970119999999997E-2</v>
      </c>
      <c r="Z3080">
        <v>-5.5873179999999998E-4</v>
      </c>
      <c r="AA3080">
        <v>0.99754889999999996</v>
      </c>
      <c r="AB3080">
        <v>26</v>
      </c>
      <c r="AC3080">
        <v>-96.031999999999996</v>
      </c>
      <c r="AD3080">
        <v>-0.39279199999999997</v>
      </c>
      <c r="AE3080">
        <v>-6.0469999999999597</v>
      </c>
      <c r="AF3080">
        <v>-6.7474938041792898</v>
      </c>
      <c r="AG3080">
        <v>-0.39279199999999997</v>
      </c>
      <c r="AH3080">
        <v>95.983717353334598</v>
      </c>
      <c r="AI3080">
        <v>90.233891705803302</v>
      </c>
      <c r="AJ3080">
        <v>94.021181556724699</v>
      </c>
      <c r="AK3080">
        <v>96.221395516576905</v>
      </c>
      <c r="AL3080">
        <v>91.834503115332396</v>
      </c>
      <c r="AM3080">
        <v>91.568911651235496</v>
      </c>
      <c r="AN3080">
        <v>1.0000000260747499</v>
      </c>
    </row>
    <row r="3081" spans="1:40" x14ac:dyDescent="0.25">
      <c r="A3081" t="str">
        <f>"20190303153830764"</f>
        <v>20190303153830764</v>
      </c>
      <c r="B3081" t="str">
        <f>"1551598710751924"</f>
        <v>1551598710751924</v>
      </c>
      <c r="C3081" t="s">
        <v>40</v>
      </c>
      <c r="D3081">
        <v>4.0699339999999999</v>
      </c>
      <c r="E3081">
        <v>0.51922970000000002</v>
      </c>
      <c r="F3081" t="s">
        <v>46</v>
      </c>
      <c r="G3081">
        <v>0</v>
      </c>
      <c r="H3081">
        <v>0</v>
      </c>
      <c r="I3081">
        <v>0</v>
      </c>
      <c r="J3081">
        <v>-441.1223</v>
      </c>
      <c r="K3081">
        <v>1.1212709999999999</v>
      </c>
      <c r="L3081">
        <v>284.09829999999999</v>
      </c>
      <c r="M3081">
        <v>-0.9998766</v>
      </c>
      <c r="N3081">
        <v>-1.3931290000000001E-2</v>
      </c>
      <c r="O3081">
        <v>7.2678019999999899E-3</v>
      </c>
      <c r="P3081">
        <v>-0.9987087</v>
      </c>
      <c r="Q3081">
        <v>-4.6189269999999998E-2</v>
      </c>
      <c r="R3081">
        <v>-2.1161180000000002E-2</v>
      </c>
      <c r="S3081">
        <v>-3.0068969999999999</v>
      </c>
      <c r="T3081">
        <v>4.36275E-2</v>
      </c>
      <c r="U3081">
        <v>5.859375E-2</v>
      </c>
      <c r="V3081">
        <v>-2.8418800000000001E-2</v>
      </c>
      <c r="W3081">
        <v>-3.2275100000000001E-2</v>
      </c>
      <c r="X3081">
        <v>0.99907489999999999</v>
      </c>
      <c r="Y3081">
        <v>1.2218E-2</v>
      </c>
      <c r="Z3081">
        <v>2.0316400000000001E-4</v>
      </c>
      <c r="AA3081">
        <v>0.99992530000000002</v>
      </c>
      <c r="AB3081">
        <v>26</v>
      </c>
      <c r="AC3081">
        <v>-3.0068969999999999</v>
      </c>
      <c r="AD3081">
        <v>4.36275E-2</v>
      </c>
      <c r="AE3081">
        <v>5.859375E-2</v>
      </c>
      <c r="AF3081">
        <v>3.6728821412650797E-2</v>
      </c>
      <c r="AG3081">
        <v>4.36275E-2</v>
      </c>
      <c r="AH3081">
        <v>3.00661076190084</v>
      </c>
      <c r="AI3081">
        <v>89.168728529655993</v>
      </c>
      <c r="AJ3081">
        <v>89.300108345099602</v>
      </c>
      <c r="AK3081">
        <v>3.00715158225464</v>
      </c>
      <c r="AL3081">
        <v>91.849548246433898</v>
      </c>
      <c r="AM3081">
        <v>91.629345659865507</v>
      </c>
      <c r="AN3081">
        <v>0.99999998304172899</v>
      </c>
    </row>
    <row r="3082" spans="1:40" x14ac:dyDescent="0.25">
      <c r="A3082" t="str">
        <f>"20190303153830786"</f>
        <v>20190303153830786</v>
      </c>
      <c r="B3082" t="str">
        <f>"1551598710781208"</f>
        <v>1551598710781208</v>
      </c>
      <c r="C3082" t="s">
        <v>40</v>
      </c>
      <c r="D3082">
        <v>4.029801</v>
      </c>
      <c r="E3082">
        <v>0.52418869999999995</v>
      </c>
      <c r="F3082" t="s">
        <v>46</v>
      </c>
      <c r="G3082">
        <v>0</v>
      </c>
      <c r="H3082">
        <v>0</v>
      </c>
      <c r="I3082">
        <v>0</v>
      </c>
      <c r="J3082">
        <v>-441.37959999999998</v>
      </c>
      <c r="K3082">
        <v>1.121278</v>
      </c>
      <c r="L3082">
        <v>284.1001</v>
      </c>
      <c r="M3082">
        <v>-0.99987689999999996</v>
      </c>
      <c r="N3082">
        <v>-1.392958E-2</v>
      </c>
      <c r="O3082">
        <v>7.2259790000000004E-3</v>
      </c>
      <c r="P3082">
        <v>-0.99869540000000001</v>
      </c>
      <c r="Q3082">
        <v>-4.5753630000000003E-2</v>
      </c>
      <c r="R3082">
        <v>-2.268189E-2</v>
      </c>
      <c r="S3082">
        <v>-3.0073240000000001</v>
      </c>
      <c r="T3082">
        <v>3.3502700000000003E-2</v>
      </c>
      <c r="U3082">
        <v>8.8165279999999999E-2</v>
      </c>
      <c r="V3082">
        <v>-2.9897440000000001E-2</v>
      </c>
      <c r="W3082">
        <v>-3.184157E-2</v>
      </c>
      <c r="X3082">
        <v>0.99904570000000004</v>
      </c>
      <c r="Y3082">
        <v>2.2082540000000001E-2</v>
      </c>
      <c r="Z3082">
        <v>2.119779E-4</v>
      </c>
      <c r="AA3082">
        <v>0.99975619999999998</v>
      </c>
      <c r="AB3082">
        <v>26</v>
      </c>
      <c r="AC3082">
        <v>-3.0073240000000001</v>
      </c>
      <c r="AD3082">
        <v>3.3502700000000003E-2</v>
      </c>
      <c r="AE3082">
        <v>8.8165279999999999E-2</v>
      </c>
      <c r="AF3082">
        <v>6.6421773430176204E-2</v>
      </c>
      <c r="AG3082">
        <v>3.3502700000000003E-2</v>
      </c>
      <c r="AH3082">
        <v>3.0075096776656798</v>
      </c>
      <c r="AI3082">
        <v>89.361925244425805</v>
      </c>
      <c r="AJ3082">
        <v>88.7348108171972</v>
      </c>
      <c r="AK3082">
        <v>3.00842961429142</v>
      </c>
      <c r="AL3082">
        <v>91.824695952978004</v>
      </c>
      <c r="AM3082">
        <v>91.714121824329595</v>
      </c>
      <c r="AN3082">
        <v>1.00000002659355</v>
      </c>
    </row>
    <row r="3083" spans="1:40" x14ac:dyDescent="0.25">
      <c r="A3083" t="str">
        <f>"20190303153830800"</f>
        <v>20190303153830800</v>
      </c>
      <c r="B3083" t="str">
        <f>"1551598710791942"</f>
        <v>1551598710791942</v>
      </c>
      <c r="C3083" t="s">
        <v>40</v>
      </c>
      <c r="D3083">
        <v>4.0104699999999998</v>
      </c>
      <c r="E3083">
        <v>0.52500340000000001</v>
      </c>
      <c r="F3083" t="s">
        <v>46</v>
      </c>
      <c r="G3083">
        <v>0</v>
      </c>
      <c r="H3083">
        <v>0</v>
      </c>
      <c r="I3083">
        <v>0</v>
      </c>
      <c r="J3083">
        <v>-441.54</v>
      </c>
      <c r="K3083">
        <v>1.1212789999999999</v>
      </c>
      <c r="L3083">
        <v>284.10129999999998</v>
      </c>
      <c r="M3083">
        <v>-0.99987720000000002</v>
      </c>
      <c r="N3083">
        <v>-1.3928380000000001E-2</v>
      </c>
      <c r="O3083">
        <v>7.1998239999999996E-3</v>
      </c>
      <c r="P3083">
        <v>-0.99869719999999995</v>
      </c>
      <c r="Q3083">
        <v>-4.5341949999999999E-2</v>
      </c>
      <c r="R3083">
        <v>-2.3414359999999999E-2</v>
      </c>
      <c r="S3083">
        <v>-3.0077820000000002</v>
      </c>
      <c r="T3083">
        <v>2.30478E-2</v>
      </c>
      <c r="U3083">
        <v>0.123291</v>
      </c>
      <c r="V3083">
        <v>-3.0603829999999999E-2</v>
      </c>
      <c r="W3083">
        <v>-3.1431180000000003E-2</v>
      </c>
      <c r="X3083">
        <v>0.99903730000000002</v>
      </c>
      <c r="Y3083">
        <v>3.3763229999999998E-2</v>
      </c>
      <c r="Z3083">
        <v>2.6132640000000001E-4</v>
      </c>
      <c r="AA3083">
        <v>0.99942980000000003</v>
      </c>
      <c r="AB3083">
        <v>26</v>
      </c>
      <c r="AC3083">
        <v>-3.0077820000000002</v>
      </c>
      <c r="AD3083">
        <v>2.30478E-2</v>
      </c>
      <c r="AE3083">
        <v>0.123291</v>
      </c>
      <c r="AF3083">
        <v>0.101624247514111</v>
      </c>
      <c r="AG3083">
        <v>2.30478E-2</v>
      </c>
      <c r="AH3083">
        <v>3.0084154357003898</v>
      </c>
      <c r="AI3083">
        <v>89.561309559078197</v>
      </c>
      <c r="AJ3083">
        <v>88.065284730941698</v>
      </c>
      <c r="AK3083">
        <v>3.0102196136707402</v>
      </c>
      <c r="AL3083">
        <v>91.801170574352497</v>
      </c>
      <c r="AM3083">
        <v>91.7546112831252</v>
      </c>
      <c r="AN3083">
        <v>1.00000002013907</v>
      </c>
    </row>
    <row r="3084" spans="1:40" x14ac:dyDescent="0.25">
      <c r="A3084" t="str">
        <f>"20190303153830814"</f>
        <v>20190303153830814</v>
      </c>
      <c r="B3084" t="str">
        <f>"1551598710801702"</f>
        <v>1551598710801702</v>
      </c>
      <c r="C3084" t="s">
        <v>40</v>
      </c>
      <c r="D3084">
        <v>4.0101399999999998</v>
      </c>
      <c r="E3084">
        <v>0.52563629999999995</v>
      </c>
      <c r="F3084" t="s">
        <v>46</v>
      </c>
      <c r="G3084">
        <v>0</v>
      </c>
      <c r="H3084">
        <v>0</v>
      </c>
      <c r="I3084">
        <v>0</v>
      </c>
      <c r="J3084">
        <v>-441.6925</v>
      </c>
      <c r="K3084">
        <v>1.1212799999999901</v>
      </c>
      <c r="L3084">
        <v>284.10230000000001</v>
      </c>
      <c r="M3084">
        <v>-0.99987729999999997</v>
      </c>
      <c r="N3084">
        <v>-1.3927220000000001E-2</v>
      </c>
      <c r="O3084">
        <v>7.1752769999999999E-3</v>
      </c>
      <c r="P3084">
        <v>-0.99868460000000003</v>
      </c>
      <c r="Q3084">
        <v>-4.5380339999999998E-2</v>
      </c>
      <c r="R3084">
        <v>-2.387533E-2</v>
      </c>
      <c r="S3084">
        <v>-3.007965</v>
      </c>
      <c r="T3084">
        <v>2.2511360000000001E-2</v>
      </c>
      <c r="U3084">
        <v>0.12768550000000001</v>
      </c>
      <c r="V3084">
        <v>-3.1040149999999999E-2</v>
      </c>
      <c r="W3084">
        <v>-3.1470949999999998E-2</v>
      </c>
      <c r="X3084">
        <v>0.99902250000000004</v>
      </c>
      <c r="Y3084">
        <v>3.5242830000000003E-2</v>
      </c>
      <c r="Z3084">
        <v>2.6728469999999998E-4</v>
      </c>
      <c r="AA3084">
        <v>0.99937869999999995</v>
      </c>
      <c r="AB3084">
        <v>26</v>
      </c>
      <c r="AC3084">
        <v>-3.007965</v>
      </c>
      <c r="AD3084">
        <v>2.2511360000000001E-2</v>
      </c>
      <c r="AE3084">
        <v>0.12768550000000001</v>
      </c>
      <c r="AF3084">
        <v>0.106091206166595</v>
      </c>
      <c r="AG3084">
        <v>2.2511360000000001E-2</v>
      </c>
      <c r="AH3084">
        <v>3.0086356121074802</v>
      </c>
      <c r="AI3084">
        <v>89.571572991886498</v>
      </c>
      <c r="AJ3084">
        <v>87.980459716834602</v>
      </c>
      <c r="AK3084">
        <v>3.0105897016691401</v>
      </c>
      <c r="AL3084">
        <v>91.8034505114815</v>
      </c>
      <c r="AM3084">
        <v>91.779637219037895</v>
      </c>
      <c r="AN3084">
        <v>0.99999993355608496</v>
      </c>
    </row>
    <row r="3085" spans="1:40" x14ac:dyDescent="0.25">
      <c r="A3085" t="str">
        <f>"20190303153830830"</f>
        <v>20190303153830830</v>
      </c>
      <c r="B3085" t="str">
        <f>"1551598710821222"</f>
        <v>1551598710821222</v>
      </c>
      <c r="C3085" t="s">
        <v>40</v>
      </c>
      <c r="D3085">
        <v>4.0368649999999997</v>
      </c>
      <c r="E3085">
        <v>0.52675660000000002</v>
      </c>
      <c r="F3085" t="s">
        <v>46</v>
      </c>
      <c r="G3085">
        <v>0</v>
      </c>
      <c r="H3085">
        <v>0</v>
      </c>
      <c r="I3085">
        <v>0</v>
      </c>
      <c r="J3085">
        <v>-441.89030000000002</v>
      </c>
      <c r="K3085">
        <v>1.121283</v>
      </c>
      <c r="L3085">
        <v>284.10359999999997</v>
      </c>
      <c r="M3085">
        <v>-0.99987760000000003</v>
      </c>
      <c r="N3085">
        <v>-1.3925730000000001E-2</v>
      </c>
      <c r="O3085">
        <v>7.1436959999999997E-3</v>
      </c>
      <c r="P3085">
        <v>-0.99866140000000003</v>
      </c>
      <c r="Q3085">
        <v>-4.5377500000000001E-2</v>
      </c>
      <c r="R3085">
        <v>-2.4823939999999999E-2</v>
      </c>
      <c r="S3085">
        <v>-3.008057</v>
      </c>
      <c r="T3085">
        <v>2.1005510000000002E-2</v>
      </c>
      <c r="U3085">
        <v>0.13146969999999999</v>
      </c>
      <c r="V3085">
        <v>-3.1957149999999997E-2</v>
      </c>
      <c r="W3085">
        <v>-3.1470049999999999E-2</v>
      </c>
      <c r="X3085">
        <v>0.99899369999999998</v>
      </c>
      <c r="Y3085">
        <v>3.6527940000000002E-2</v>
      </c>
      <c r="Z3085">
        <v>2.7629109999999999E-4</v>
      </c>
      <c r="AA3085">
        <v>0.99933260000000002</v>
      </c>
      <c r="AB3085">
        <v>26</v>
      </c>
      <c r="AC3085">
        <v>-3.008057</v>
      </c>
      <c r="AD3085">
        <v>2.1005510000000002E-2</v>
      </c>
      <c r="AE3085">
        <v>0.13146969999999999</v>
      </c>
      <c r="AF3085">
        <v>0.10997026559402499</v>
      </c>
      <c r="AG3085">
        <v>2.1005510000000002E-2</v>
      </c>
      <c r="AH3085">
        <v>3.00877306214214</v>
      </c>
      <c r="AI3085">
        <v>89.600267469896195</v>
      </c>
      <c r="AJ3085">
        <v>87.906778457109695</v>
      </c>
      <c r="AK3085">
        <v>3.0108553652138998</v>
      </c>
      <c r="AL3085">
        <v>91.803398767274999</v>
      </c>
      <c r="AM3085">
        <v>91.832229407525602</v>
      </c>
      <c r="AN3085">
        <v>1.0000000180613999</v>
      </c>
    </row>
    <row r="3086" spans="1:40" x14ac:dyDescent="0.25">
      <c r="A3086" t="str">
        <f>"20190303153830845"</f>
        <v>20190303153830845</v>
      </c>
      <c r="B3086" t="str">
        <f>"1551598710841717"</f>
        <v>1551598710841717</v>
      </c>
      <c r="C3086" t="s">
        <v>40</v>
      </c>
      <c r="D3086">
        <v>4.0451489999999897</v>
      </c>
      <c r="E3086">
        <v>0.52735750000000003</v>
      </c>
      <c r="F3086" t="s">
        <v>46</v>
      </c>
      <c r="G3086">
        <v>0</v>
      </c>
      <c r="H3086">
        <v>0</v>
      </c>
      <c r="I3086">
        <v>0</v>
      </c>
      <c r="J3086">
        <v>-442.07139999999998</v>
      </c>
      <c r="K3086">
        <v>1.121283</v>
      </c>
      <c r="L3086">
        <v>284.10489999999999</v>
      </c>
      <c r="M3086">
        <v>-0.99987780000000004</v>
      </c>
      <c r="N3086">
        <v>-1.392434E-2</v>
      </c>
      <c r="O3086">
        <v>7.114029E-3</v>
      </c>
      <c r="P3086">
        <v>-0.99866279999999996</v>
      </c>
      <c r="Q3086">
        <v>-4.5262869999999997E-2</v>
      </c>
      <c r="R3086">
        <v>-2.497328E-2</v>
      </c>
      <c r="S3086">
        <v>-3.008362</v>
      </c>
      <c r="T3086">
        <v>2.0919920000000002E-2</v>
      </c>
      <c r="U3086">
        <v>0.13714599999999999</v>
      </c>
      <c r="V3086">
        <v>-3.2076830000000001E-2</v>
      </c>
      <c r="W3086">
        <v>-3.1356790000000002E-2</v>
      </c>
      <c r="X3086">
        <v>0.99899340000000003</v>
      </c>
      <c r="Y3086">
        <v>3.8434959999999997E-2</v>
      </c>
      <c r="Z3086">
        <v>2.8262790000000001E-4</v>
      </c>
      <c r="AA3086">
        <v>0.99926110000000001</v>
      </c>
      <c r="AB3086">
        <v>26</v>
      </c>
      <c r="AC3086">
        <v>-3.008362</v>
      </c>
      <c r="AD3086">
        <v>2.0919920000000002E-2</v>
      </c>
      <c r="AE3086">
        <v>0.13714599999999999</v>
      </c>
      <c r="AF3086">
        <v>0.115733295566131</v>
      </c>
      <c r="AG3086">
        <v>2.0919920000000002E-2</v>
      </c>
      <c r="AH3086">
        <v>3.0091164035153901</v>
      </c>
      <c r="AI3086">
        <v>89.601970096143404</v>
      </c>
      <c r="AJ3086">
        <v>87.797438926563402</v>
      </c>
      <c r="AK3086">
        <v>3.01141384878611</v>
      </c>
      <c r="AL3086">
        <v>91.796906289544495</v>
      </c>
      <c r="AM3086">
        <v>91.839086982404396</v>
      </c>
      <c r="AN3086">
        <v>0.99999999227275604</v>
      </c>
    </row>
    <row r="3087" spans="1:40" x14ac:dyDescent="0.25">
      <c r="A3087" t="str">
        <f>"20190303153830858"</f>
        <v>20190303153830858</v>
      </c>
      <c r="B3087" t="str">
        <f>"1551598710851478"</f>
        <v>1551598710851478</v>
      </c>
      <c r="C3087" t="s">
        <v>40</v>
      </c>
      <c r="D3087">
        <v>4.0300399999999996</v>
      </c>
      <c r="E3087">
        <v>0.52748390000000001</v>
      </c>
      <c r="F3087" t="s">
        <v>46</v>
      </c>
      <c r="G3087">
        <v>0</v>
      </c>
      <c r="H3087">
        <v>0</v>
      </c>
      <c r="I3087">
        <v>0</v>
      </c>
      <c r="J3087">
        <v>-442.20870000000002</v>
      </c>
      <c r="K3087">
        <v>1.121283</v>
      </c>
      <c r="L3087">
        <v>284.10590000000002</v>
      </c>
      <c r="M3087">
        <v>-0.99987800000000004</v>
      </c>
      <c r="N3087">
        <v>-1.392325E-2</v>
      </c>
      <c r="O3087">
        <v>7.0913290000000004E-3</v>
      </c>
      <c r="P3087">
        <v>-0.99864620000000004</v>
      </c>
      <c r="Q3087">
        <v>-4.541804E-2</v>
      </c>
      <c r="R3087">
        <v>-2.536534E-2</v>
      </c>
      <c r="S3087">
        <v>-3.0081479999999998</v>
      </c>
      <c r="T3087">
        <v>1.3301729999999999E-2</v>
      </c>
      <c r="U3087">
        <v>0.141571</v>
      </c>
      <c r="V3087">
        <v>-3.2445839999999997E-2</v>
      </c>
      <c r="W3087">
        <v>-3.1513279999999998E-2</v>
      </c>
      <c r="X3087">
        <v>0.99897659999999999</v>
      </c>
      <c r="Y3087">
        <v>3.9927160000000003E-2</v>
      </c>
      <c r="Z3087">
        <v>3.1991989999999998E-4</v>
      </c>
      <c r="AA3087">
        <v>0.99920249999999999</v>
      </c>
      <c r="AB3087">
        <v>26</v>
      </c>
      <c r="AC3087">
        <v>-3.0081479999999998</v>
      </c>
      <c r="AD3087">
        <v>1.3301729999999999E-2</v>
      </c>
      <c r="AE3087">
        <v>0.141571</v>
      </c>
      <c r="AF3087">
        <v>0.12023126055744</v>
      </c>
      <c r="AG3087">
        <v>1.3301729999999999E-2</v>
      </c>
      <c r="AH3087">
        <v>3.0090176669876101</v>
      </c>
      <c r="AI3087">
        <v>89.746920605720305</v>
      </c>
      <c r="AJ3087">
        <v>87.711850853978007</v>
      </c>
      <c r="AK3087">
        <v>3.0114481254505701</v>
      </c>
      <c r="AL3087">
        <v>91.805876865277099</v>
      </c>
      <c r="AM3087">
        <v>91.860260214550394</v>
      </c>
      <c r="AN3087">
        <v>1.0000000333486101</v>
      </c>
    </row>
    <row r="3088" spans="1:40" x14ac:dyDescent="0.25">
      <c r="A3088" t="str">
        <f>"20190303153830870"</f>
        <v>20190303153830870</v>
      </c>
      <c r="B3088" t="str">
        <f>"1551598710861237"</f>
        <v>1551598710861237</v>
      </c>
      <c r="C3088" t="s">
        <v>40</v>
      </c>
      <c r="D3088">
        <v>4.0596319999999997</v>
      </c>
      <c r="E3088">
        <v>0.52767679999999995</v>
      </c>
      <c r="F3088" t="s">
        <v>46</v>
      </c>
      <c r="G3088">
        <v>0</v>
      </c>
      <c r="H3088">
        <v>0</v>
      </c>
      <c r="I3088">
        <v>0</v>
      </c>
      <c r="J3088">
        <v>-442.35300000000001</v>
      </c>
      <c r="K3088">
        <v>1.121281</v>
      </c>
      <c r="L3088">
        <v>284.1069</v>
      </c>
      <c r="M3088">
        <v>-0.99987820000000005</v>
      </c>
      <c r="N3088">
        <v>-1.392207E-2</v>
      </c>
      <c r="O3088">
        <v>7.0679740000000003E-3</v>
      </c>
      <c r="P3088">
        <v>-0.9986469</v>
      </c>
      <c r="Q3088">
        <v>-4.5484049999999998E-2</v>
      </c>
      <c r="R3088">
        <v>-2.5211850000000001E-2</v>
      </c>
      <c r="S3088">
        <v>-3.007965</v>
      </c>
      <c r="T3088">
        <v>6.8944690000000003E-3</v>
      </c>
      <c r="U3088">
        <v>0.14144899999999999</v>
      </c>
      <c r="V3088">
        <v>-3.2269050000000001E-2</v>
      </c>
      <c r="W3088">
        <v>-3.1580440000000001E-2</v>
      </c>
      <c r="X3088">
        <v>0.99898019999999998</v>
      </c>
      <c r="Y3088">
        <v>3.9912320000000001E-2</v>
      </c>
      <c r="Z3088">
        <v>3.4682620000000002E-4</v>
      </c>
      <c r="AA3088">
        <v>0.99920310000000001</v>
      </c>
      <c r="AB3088">
        <v>26</v>
      </c>
      <c r="AC3088">
        <v>-3.007965</v>
      </c>
      <c r="AD3088">
        <v>6.8944690000000003E-3</v>
      </c>
      <c r="AE3088">
        <v>0.14144899999999999</v>
      </c>
      <c r="AF3088">
        <v>0.120182559135407</v>
      </c>
      <c r="AG3088">
        <v>6.8944690000000003E-3</v>
      </c>
      <c r="AH3088">
        <v>3.0088739333258201</v>
      </c>
      <c r="AI3088">
        <v>89.868818515895498</v>
      </c>
      <c r="AJ3088">
        <v>87.712667573119802</v>
      </c>
      <c r="AK3088">
        <v>3.0112810775267498</v>
      </c>
      <c r="AL3088">
        <v>91.809726775787794</v>
      </c>
      <c r="AM3088">
        <v>91.850124481032296</v>
      </c>
      <c r="AN3088">
        <v>1.0000000278852601</v>
      </c>
    </row>
    <row r="3089" spans="1:40" x14ac:dyDescent="0.25">
      <c r="A3089" t="str">
        <f>"20190303153830882"</f>
        <v>20190303153830882</v>
      </c>
      <c r="B3089" t="str">
        <f>"1551598710871974"</f>
        <v>1551598710871974</v>
      </c>
      <c r="C3089" t="s">
        <v>40</v>
      </c>
      <c r="D3089">
        <v>4.036702</v>
      </c>
      <c r="E3089">
        <v>0.527833199999999</v>
      </c>
      <c r="F3089" t="s">
        <v>46</v>
      </c>
      <c r="G3089">
        <v>0</v>
      </c>
      <c r="H3089">
        <v>0</v>
      </c>
      <c r="I3089">
        <v>0</v>
      </c>
      <c r="J3089">
        <v>-442.4923</v>
      </c>
      <c r="K3089">
        <v>1.1212770000000001</v>
      </c>
      <c r="L3089">
        <v>284.1078</v>
      </c>
      <c r="M3089">
        <v>-0.99987839999999995</v>
      </c>
      <c r="N3089">
        <v>-1.392087E-2</v>
      </c>
      <c r="O3089">
        <v>7.0453349999999998E-3</v>
      </c>
      <c r="P3089">
        <v>-0.99864260000000005</v>
      </c>
      <c r="Q3089">
        <v>-4.5652570000000003E-2</v>
      </c>
      <c r="R3089">
        <v>-2.5085530000000002E-2</v>
      </c>
      <c r="S3089">
        <v>-3.0078130000000001</v>
      </c>
      <c r="T3089">
        <v>3.0095579999999999E-3</v>
      </c>
      <c r="U3089">
        <v>0.14346310000000001</v>
      </c>
      <c r="V3089">
        <v>-3.2119780000000001E-2</v>
      </c>
      <c r="W3089">
        <v>-3.1750170000000001E-2</v>
      </c>
      <c r="X3089">
        <v>0.99897959999999997</v>
      </c>
      <c r="Y3089">
        <v>4.0604510000000003E-2</v>
      </c>
      <c r="Z3089">
        <v>3.6757160000000001E-4</v>
      </c>
      <c r="AA3089">
        <v>0.99917529999999999</v>
      </c>
      <c r="AB3089">
        <v>26</v>
      </c>
      <c r="AC3089">
        <v>-3.0078130000000001</v>
      </c>
      <c r="AD3089">
        <v>3.0095579999999999E-3</v>
      </c>
      <c r="AE3089">
        <v>0.14346310000000001</v>
      </c>
      <c r="AF3089">
        <v>0.122266315367733</v>
      </c>
      <c r="AG3089">
        <v>3.0095579999999999E-3</v>
      </c>
      <c r="AH3089">
        <v>3.00874617362539</v>
      </c>
      <c r="AI3089">
        <v>89.942736042185302</v>
      </c>
      <c r="AJ3089">
        <v>87.672953736369706</v>
      </c>
      <c r="AK3089">
        <v>3.0112309188466999</v>
      </c>
      <c r="AL3089">
        <v>91.819456522852803</v>
      </c>
      <c r="AM3089">
        <v>91.841573197056604</v>
      </c>
      <c r="AN3089">
        <v>0.99999999738921796</v>
      </c>
    </row>
    <row r="3090" spans="1:40" x14ac:dyDescent="0.25">
      <c r="A3090" t="str">
        <f>"20190303153830895"</f>
        <v>20190303153830895</v>
      </c>
      <c r="B3090" t="str">
        <f>"1551598710891494"</f>
        <v>1551598710891494</v>
      </c>
      <c r="C3090" t="s">
        <v>40</v>
      </c>
      <c r="D3090">
        <v>4.0588850000000001</v>
      </c>
      <c r="E3090">
        <v>0.52806529999999996</v>
      </c>
      <c r="F3090" t="s">
        <v>46</v>
      </c>
      <c r="G3090">
        <v>0</v>
      </c>
      <c r="H3090">
        <v>0</v>
      </c>
      <c r="I3090">
        <v>0</v>
      </c>
      <c r="J3090">
        <v>-442.63330000000002</v>
      </c>
      <c r="K3090">
        <v>1.1212759999999999</v>
      </c>
      <c r="L3090">
        <v>284.10879999999997</v>
      </c>
      <c r="M3090">
        <v>-0.9998785</v>
      </c>
      <c r="N3090">
        <v>-1.3919620000000001E-2</v>
      </c>
      <c r="O3090">
        <v>7.0223380000000004E-3</v>
      </c>
      <c r="P3090">
        <v>-0.99864180000000002</v>
      </c>
      <c r="Q3090">
        <v>-4.5832539999999998E-2</v>
      </c>
      <c r="R3090">
        <v>-2.4787239999999999E-2</v>
      </c>
      <c r="S3090">
        <v>-3.00766</v>
      </c>
      <c r="T3090">
        <v>-1.083851E-3</v>
      </c>
      <c r="U3090">
        <v>0.1451721</v>
      </c>
      <c r="V3090">
        <v>-3.1798529999999998E-2</v>
      </c>
      <c r="W3090">
        <v>-3.1931309999999997E-2</v>
      </c>
      <c r="X3090">
        <v>0.99898410000000004</v>
      </c>
      <c r="Y3090">
        <v>4.1195830000000003E-2</v>
      </c>
      <c r="Z3090">
        <v>3.894867E-4</v>
      </c>
      <c r="AA3090">
        <v>0.99915100000000001</v>
      </c>
      <c r="AB3090">
        <v>26</v>
      </c>
      <c r="AC3090">
        <v>-3.00766</v>
      </c>
      <c r="AD3090">
        <v>-1.083851E-3</v>
      </c>
      <c r="AE3090">
        <v>0.1451721</v>
      </c>
      <c r="AF3090">
        <v>0.12404565307790499</v>
      </c>
      <c r="AG3090">
        <v>-1.083851E-3</v>
      </c>
      <c r="AH3090">
        <v>3.0086049824969301</v>
      </c>
      <c r="AI3090">
        <v>90.020623302059505</v>
      </c>
      <c r="AJ3090">
        <v>87.6390156844937</v>
      </c>
      <c r="AK3090">
        <v>3.01116131077129</v>
      </c>
      <c r="AL3090">
        <v>91.829840352467599</v>
      </c>
      <c r="AM3090">
        <v>91.823158758374603</v>
      </c>
      <c r="AN3090">
        <v>0.99999999356064295</v>
      </c>
    </row>
    <row r="3091" spans="1:40" x14ac:dyDescent="0.25">
      <c r="A3091" t="str">
        <f>"20190303153830909"</f>
        <v>20190303153830909</v>
      </c>
      <c r="B3091" t="str">
        <f>"1551598710901254"</f>
        <v>1551598710901254</v>
      </c>
      <c r="C3091" t="s">
        <v>40</v>
      </c>
      <c r="D3091">
        <v>4.0383139999999997</v>
      </c>
      <c r="E3091">
        <v>0.52816249999999998</v>
      </c>
      <c r="F3091" t="s">
        <v>46</v>
      </c>
      <c r="G3091">
        <v>0</v>
      </c>
      <c r="H3091">
        <v>0</v>
      </c>
      <c r="I3091">
        <v>0</v>
      </c>
      <c r="J3091">
        <v>-442.79379999999998</v>
      </c>
      <c r="K3091">
        <v>1.1212799999999901</v>
      </c>
      <c r="L3091">
        <v>284.10989999999998</v>
      </c>
      <c r="M3091">
        <v>-0.99987870000000001</v>
      </c>
      <c r="N3091">
        <v>-1.3918170000000001E-2</v>
      </c>
      <c r="O3091">
        <v>6.9961240000000003E-3</v>
      </c>
      <c r="P3091">
        <v>-0.99863429999999997</v>
      </c>
      <c r="Q3091">
        <v>-4.6175239999999999E-2</v>
      </c>
      <c r="R3091">
        <v>-2.4443300000000001E-2</v>
      </c>
      <c r="S3091">
        <v>-3.0073240000000001</v>
      </c>
      <c r="T3091">
        <v>-9.1823340000000003E-3</v>
      </c>
      <c r="U3091">
        <v>0.14801029999999901</v>
      </c>
      <c r="V3091">
        <v>-3.1429020000000002E-2</v>
      </c>
      <c r="W3091">
        <v>-3.2275489999999997E-2</v>
      </c>
      <c r="X3091">
        <v>0.99898480000000001</v>
      </c>
      <c r="Y3091">
        <v>4.2166870000000002E-2</v>
      </c>
      <c r="Z3091">
        <v>4.3395100000000002E-4</v>
      </c>
      <c r="AA3091">
        <v>0.99911050000000001</v>
      </c>
      <c r="AB3091">
        <v>26</v>
      </c>
      <c r="AC3091">
        <v>-3.0073240000000001</v>
      </c>
      <c r="AD3091">
        <v>-9.1823340000000003E-3</v>
      </c>
      <c r="AE3091">
        <v>0.14801029999999901</v>
      </c>
      <c r="AF3091">
        <v>0.12696384726148899</v>
      </c>
      <c r="AG3091">
        <v>-9.1823340000000003E-3</v>
      </c>
      <c r="AH3091">
        <v>3.0082580080850199</v>
      </c>
      <c r="AI3091">
        <v>90.174732156301005</v>
      </c>
      <c r="AJ3091">
        <v>87.583259843760004</v>
      </c>
      <c r="AK3091">
        <v>3.0109500787918799</v>
      </c>
      <c r="AL3091">
        <v>91.849570459951494</v>
      </c>
      <c r="AM3091">
        <v>91.801985806123</v>
      </c>
      <c r="AN3091">
        <v>1.0000000605919599</v>
      </c>
    </row>
    <row r="3092" spans="1:40" x14ac:dyDescent="0.25">
      <c r="A3092" t="str">
        <f>"20190303153830925"</f>
        <v>20190303153830925</v>
      </c>
      <c r="B3092" t="str">
        <f>"1551598710921749"</f>
        <v>1551598710921749</v>
      </c>
      <c r="C3092" t="s">
        <v>40</v>
      </c>
      <c r="D3092">
        <v>4.0740400000000001</v>
      </c>
      <c r="E3092">
        <v>0.52832889999999999</v>
      </c>
      <c r="F3092" t="s">
        <v>46</v>
      </c>
      <c r="G3092">
        <v>0</v>
      </c>
      <c r="H3092">
        <v>0</v>
      </c>
      <c r="I3092">
        <v>0</v>
      </c>
      <c r="J3092">
        <v>-442.97</v>
      </c>
      <c r="K3092">
        <v>1.1212770000000001</v>
      </c>
      <c r="L3092">
        <v>284.11110000000002</v>
      </c>
      <c r="M3092">
        <v>-0.99987899999999996</v>
      </c>
      <c r="N3092">
        <v>-1.391653E-2</v>
      </c>
      <c r="O3092">
        <v>6.9672290000000001E-3</v>
      </c>
      <c r="P3092">
        <v>-0.99865570000000004</v>
      </c>
      <c r="Q3092">
        <v>-4.5758199999999999E-2</v>
      </c>
      <c r="R3092">
        <v>-2.436149E-2</v>
      </c>
      <c r="S3092">
        <v>-3.0072329999999998</v>
      </c>
      <c r="T3092">
        <v>-1.3284560000000001E-2</v>
      </c>
      <c r="U3092">
        <v>0.1500244</v>
      </c>
      <c r="V3092">
        <v>-3.1317959999999999E-2</v>
      </c>
      <c r="W3092">
        <v>-3.1859789999999999E-2</v>
      </c>
      <c r="X3092">
        <v>0.99900160000000005</v>
      </c>
      <c r="Y3092">
        <v>4.2864010000000001E-2</v>
      </c>
      <c r="Z3092">
        <v>4.5923520000000002E-4</v>
      </c>
      <c r="AA3092">
        <v>0.99908079999999999</v>
      </c>
      <c r="AB3092">
        <v>26</v>
      </c>
      <c r="AC3092">
        <v>-3.0072329999999998</v>
      </c>
      <c r="AD3092">
        <v>-1.3284560000000001E-2</v>
      </c>
      <c r="AE3092">
        <v>0.1500244</v>
      </c>
      <c r="AF3092">
        <v>0.129064137823796</v>
      </c>
      <c r="AG3092">
        <v>-1.3284560000000001E-2</v>
      </c>
      <c r="AH3092">
        <v>3.0081467943651301</v>
      </c>
      <c r="AI3092">
        <v>90.252795070082499</v>
      </c>
      <c r="AJ3092">
        <v>87.5432389580224</v>
      </c>
      <c r="AK3092">
        <v>3.0109435676637699</v>
      </c>
      <c r="AL3092">
        <v>91.825740407905101</v>
      </c>
      <c r="AM3092">
        <v>91.795592169728806</v>
      </c>
      <c r="AN3092">
        <v>1.00000002881998</v>
      </c>
    </row>
    <row r="3093" spans="1:40" x14ac:dyDescent="0.25">
      <c r="A3093" t="str">
        <f>"20190303153830943"</f>
        <v>20190303153830943</v>
      </c>
      <c r="B3093" t="str">
        <f>"1551598710931509"</f>
        <v>1551598710931509</v>
      </c>
      <c r="C3093" t="s">
        <v>40</v>
      </c>
      <c r="D3093">
        <v>4.0732749999999998</v>
      </c>
      <c r="E3093">
        <v>0.52843819999999997</v>
      </c>
      <c r="F3093" t="s">
        <v>46</v>
      </c>
      <c r="G3093">
        <v>0</v>
      </c>
      <c r="H3093">
        <v>0</v>
      </c>
      <c r="I3093">
        <v>0</v>
      </c>
      <c r="J3093">
        <v>-443.17599999999999</v>
      </c>
      <c r="K3093">
        <v>1.1212770000000001</v>
      </c>
      <c r="L3093">
        <v>284.11250000000001</v>
      </c>
      <c r="M3093">
        <v>-0.99987930000000003</v>
      </c>
      <c r="N3093">
        <v>-1.3914569999999999E-2</v>
      </c>
      <c r="O3093">
        <v>6.9336880000000004E-3</v>
      </c>
      <c r="P3093">
        <v>-0.99865820000000005</v>
      </c>
      <c r="Q3093">
        <v>-4.5939529999999999E-2</v>
      </c>
      <c r="R3093">
        <v>-2.3912590000000001E-2</v>
      </c>
      <c r="S3093">
        <v>-3.0068969999999999</v>
      </c>
      <c r="T3093">
        <v>-1.7691249999999999E-2</v>
      </c>
      <c r="U3093">
        <v>0.15148929999999999</v>
      </c>
      <c r="V3093">
        <v>-3.0835700000000001E-2</v>
      </c>
      <c r="W3093">
        <v>-3.2042950000000001E-2</v>
      </c>
      <c r="X3093">
        <v>0.99901070000000003</v>
      </c>
      <c r="Y3093">
        <v>4.338769E-2</v>
      </c>
      <c r="Z3093">
        <v>4.8529250000000002E-4</v>
      </c>
      <c r="AA3093">
        <v>0.99905820000000001</v>
      </c>
      <c r="AB3093">
        <v>26</v>
      </c>
      <c r="AC3093">
        <v>-3.0068969999999999</v>
      </c>
      <c r="AD3093">
        <v>-1.7691249999999999E-2</v>
      </c>
      <c r="AE3093">
        <v>0.15148929999999999</v>
      </c>
      <c r="AF3093">
        <v>0.13063024618910599</v>
      </c>
      <c r="AG3093">
        <v>-1.7691249999999999E-2</v>
      </c>
      <c r="AH3093">
        <v>3.00777133226077</v>
      </c>
      <c r="AI3093">
        <v>90.336683730656205</v>
      </c>
      <c r="AJ3093">
        <v>87.513154966680901</v>
      </c>
      <c r="AK3093">
        <v>3.0106586702440601</v>
      </c>
      <c r="AL3093">
        <v>91.836240144176003</v>
      </c>
      <c r="AM3093">
        <v>91.767943738498204</v>
      </c>
      <c r="AN3093">
        <v>0.99999998487684105</v>
      </c>
    </row>
    <row r="3094" spans="1:40" x14ac:dyDescent="0.25">
      <c r="A3094" t="str">
        <f>"20190303153830965"</f>
        <v>20190303153830965</v>
      </c>
      <c r="B3094" t="str">
        <f>"1551598710961765"</f>
        <v>1551598710961765</v>
      </c>
      <c r="C3094" t="s">
        <v>40</v>
      </c>
      <c r="D3094">
        <v>4.0552390000000003</v>
      </c>
      <c r="E3094">
        <v>0.52877099999999999</v>
      </c>
      <c r="F3094" t="s">
        <v>46</v>
      </c>
      <c r="G3094">
        <v>0</v>
      </c>
      <c r="H3094">
        <v>0</v>
      </c>
      <c r="I3094">
        <v>0</v>
      </c>
      <c r="J3094">
        <v>-443.43220000000002</v>
      </c>
      <c r="K3094">
        <v>1.1212789999999999</v>
      </c>
      <c r="L3094">
        <v>284.11419999999998</v>
      </c>
      <c r="M3094">
        <v>-0.99987950000000003</v>
      </c>
      <c r="N3094">
        <v>-1.391208E-2</v>
      </c>
      <c r="O3094">
        <v>6.891866E-3</v>
      </c>
      <c r="P3094">
        <v>-0.99866169999999999</v>
      </c>
      <c r="Q3094">
        <v>-4.6254139999999999E-2</v>
      </c>
      <c r="R3094">
        <v>-2.3137609999999999E-2</v>
      </c>
      <c r="S3094">
        <v>-3.0067750000000002</v>
      </c>
      <c r="T3094">
        <v>-2.0463820000000001E-2</v>
      </c>
      <c r="U3094">
        <v>0.1536865</v>
      </c>
      <c r="V3094">
        <v>-3.001937E-2</v>
      </c>
      <c r="W3094">
        <v>-3.2359850000000003E-2</v>
      </c>
      <c r="X3094">
        <v>0.9990253</v>
      </c>
      <c r="Y3094">
        <v>4.4159080000000003E-2</v>
      </c>
      <c r="Z3094">
        <v>5.0652629999999998E-4</v>
      </c>
      <c r="AA3094">
        <v>0.99902440000000003</v>
      </c>
      <c r="AB3094">
        <v>26</v>
      </c>
      <c r="AC3094">
        <v>-3.0067750000000002</v>
      </c>
      <c r="AD3094">
        <v>-2.0463820000000001E-2</v>
      </c>
      <c r="AE3094">
        <v>0.1536865</v>
      </c>
      <c r="AF3094">
        <v>0.13295241157589299</v>
      </c>
      <c r="AG3094">
        <v>-2.0463820000000001E-2</v>
      </c>
      <c r="AH3094">
        <v>3.0076239158748801</v>
      </c>
      <c r="AI3094">
        <v>90.389453139675595</v>
      </c>
      <c r="AJ3094">
        <v>87.468880339020899</v>
      </c>
      <c r="AK3094">
        <v>3.0106306201550899</v>
      </c>
      <c r="AL3094">
        <v>91.854406688368499</v>
      </c>
      <c r="AM3094">
        <v>91.7211434132428</v>
      </c>
      <c r="AN3094">
        <v>0.99999993625365202</v>
      </c>
    </row>
    <row r="3095" spans="1:40" x14ac:dyDescent="0.25">
      <c r="A3095" t="str">
        <f>"20190303153830988"</f>
        <v>20190303153830988</v>
      </c>
      <c r="B3095" t="str">
        <f>"1551598710981285"</f>
        <v>1551598710981285</v>
      </c>
      <c r="C3095" t="s">
        <v>40</v>
      </c>
      <c r="D3095">
        <v>4.0792270000000004</v>
      </c>
      <c r="E3095">
        <v>0.52896540000000003</v>
      </c>
      <c r="F3095" t="s">
        <v>46</v>
      </c>
      <c r="G3095">
        <v>0</v>
      </c>
      <c r="H3095">
        <v>0</v>
      </c>
      <c r="I3095">
        <v>0</v>
      </c>
      <c r="J3095">
        <v>-443.68959999999998</v>
      </c>
      <c r="K3095">
        <v>1.1212759999999999</v>
      </c>
      <c r="L3095">
        <v>284.11590000000001</v>
      </c>
      <c r="M3095">
        <v>-0.99987990000000004</v>
      </c>
      <c r="N3095">
        <v>-1.390956E-2</v>
      </c>
      <c r="O3095">
        <v>6.8498650000000001E-3</v>
      </c>
      <c r="P3095">
        <v>-0.99864520000000001</v>
      </c>
      <c r="Q3095">
        <v>-4.6748999999999999E-2</v>
      </c>
      <c r="R3095">
        <v>-2.285237E-2</v>
      </c>
      <c r="S3095">
        <v>-3.0064389999999999</v>
      </c>
      <c r="T3095">
        <v>-2.6931879999999998E-2</v>
      </c>
      <c r="U3095">
        <v>0.1587219</v>
      </c>
      <c r="V3095">
        <v>-2.9692090000000001E-2</v>
      </c>
      <c r="W3095">
        <v>-3.285735E-2</v>
      </c>
      <c r="X3095">
        <v>0.99901890000000004</v>
      </c>
      <c r="Y3095">
        <v>4.5873730000000001E-2</v>
      </c>
      <c r="Z3095">
        <v>5.5852650000000001E-4</v>
      </c>
      <c r="AA3095">
        <v>0.99894709999999998</v>
      </c>
      <c r="AB3095">
        <v>26</v>
      </c>
      <c r="AC3095">
        <v>-3.0064389999999999</v>
      </c>
      <c r="AD3095">
        <v>-2.6931879999999998E-2</v>
      </c>
      <c r="AE3095">
        <v>0.1587219</v>
      </c>
      <c r="AF3095">
        <v>0.13811143176309501</v>
      </c>
      <c r="AG3095">
        <v>-2.6931879999999998E-2</v>
      </c>
      <c r="AH3095">
        <v>3.0072151330538301</v>
      </c>
      <c r="AI3095">
        <v>90.512572947196702</v>
      </c>
      <c r="AJ3095">
        <v>87.370442367947305</v>
      </c>
      <c r="AK3095">
        <v>3.0105054310218402</v>
      </c>
      <c r="AL3095">
        <v>91.882926398708193</v>
      </c>
      <c r="AM3095">
        <v>91.702401003764393</v>
      </c>
      <c r="AN3095">
        <v>0.99999999410740004</v>
      </c>
    </row>
    <row r="3096" spans="1:40" x14ac:dyDescent="0.25">
      <c r="A3096" t="str">
        <f>"20190303153831003"</f>
        <v>20190303153831003</v>
      </c>
      <c r="B3096" t="str">
        <f>"1551598710992021"</f>
        <v>1551598710992021</v>
      </c>
      <c r="C3096" t="s">
        <v>40</v>
      </c>
      <c r="D3096">
        <v>4.1995459999999998</v>
      </c>
      <c r="E3096">
        <v>0.52913180000000004</v>
      </c>
      <c r="F3096" t="s">
        <v>43</v>
      </c>
      <c r="G3096">
        <v>-555.73689999999999</v>
      </c>
      <c r="H3096">
        <v>-0.05</v>
      </c>
      <c r="I3096">
        <v>290.13170000000002</v>
      </c>
      <c r="J3096">
        <v>-443.8732</v>
      </c>
      <c r="K3096">
        <v>1.1212759999999999</v>
      </c>
      <c r="L3096">
        <v>284.11709999999999</v>
      </c>
      <c r="M3096">
        <v>-0.99988010000000005</v>
      </c>
      <c r="N3096">
        <v>-1.390771E-2</v>
      </c>
      <c r="O3096">
        <v>6.8198399999999998E-3</v>
      </c>
      <c r="P3096">
        <v>-0.99864509999999995</v>
      </c>
      <c r="Q3096">
        <v>-4.6828769999999999E-2</v>
      </c>
      <c r="R3096">
        <v>-2.2704479999999999E-2</v>
      </c>
      <c r="S3096">
        <v>-3.0062869999999999</v>
      </c>
      <c r="T3096">
        <v>-3.1425950000000001E-2</v>
      </c>
      <c r="U3096">
        <v>0.16140750000000001</v>
      </c>
      <c r="V3096">
        <v>-2.9514329999999998E-2</v>
      </c>
      <c r="W3096">
        <v>-3.2938919999999997E-2</v>
      </c>
      <c r="X3096">
        <v>0.99902150000000001</v>
      </c>
      <c r="Y3096">
        <v>4.6794919999999997E-2</v>
      </c>
      <c r="Z3096">
        <v>5.9363299999999999E-4</v>
      </c>
      <c r="AA3096">
        <v>0.99890429999999997</v>
      </c>
      <c r="AB3096">
        <v>26</v>
      </c>
      <c r="AC3096">
        <v>-111.86369999999999</v>
      </c>
      <c r="AD3096">
        <v>-1.171276</v>
      </c>
      <c r="AE3096">
        <v>6.0146000000000299</v>
      </c>
      <c r="AF3096">
        <v>5.2509198173578699</v>
      </c>
      <c r="AG3096">
        <v>-1.171276</v>
      </c>
      <c r="AH3096">
        <v>111.88988920733701</v>
      </c>
      <c r="AI3096">
        <v>90.599097481306501</v>
      </c>
      <c r="AJ3096">
        <v>87.313117627017604</v>
      </c>
      <c r="AK3096">
        <v>112.019156188693</v>
      </c>
      <c r="AL3096">
        <v>91.887602511338699</v>
      </c>
      <c r="AM3096">
        <v>91.6922106463049</v>
      </c>
      <c r="AN3096">
        <v>1.0000000127941799</v>
      </c>
    </row>
    <row r="3097" spans="1:40" x14ac:dyDescent="0.25">
      <c r="A3097" t="str">
        <f>"20190303153831020"</f>
        <v>20190303153831020</v>
      </c>
      <c r="B3097" t="str">
        <f>"1551598711011542"</f>
        <v>1551598711011542</v>
      </c>
      <c r="C3097" t="s">
        <v>40</v>
      </c>
      <c r="D3097">
        <v>4.0526600000000004</v>
      </c>
      <c r="E3097">
        <v>0.52940589999999998</v>
      </c>
      <c r="F3097" t="s">
        <v>43</v>
      </c>
      <c r="G3097">
        <v>-549.94190000000003</v>
      </c>
      <c r="H3097">
        <v>-0.05</v>
      </c>
      <c r="I3097">
        <v>289.8734</v>
      </c>
      <c r="J3097">
        <v>-444.06610000000001</v>
      </c>
      <c r="K3097">
        <v>1.121278</v>
      </c>
      <c r="L3097">
        <v>284.11840000000001</v>
      </c>
      <c r="M3097">
        <v>-0.99988030000000006</v>
      </c>
      <c r="N3097">
        <v>-1.390574E-2</v>
      </c>
      <c r="O3097">
        <v>6.7882659999999899E-3</v>
      </c>
      <c r="P3097">
        <v>-0.99865749999999998</v>
      </c>
      <c r="Q3097">
        <v>-4.6877830000000002E-2</v>
      </c>
      <c r="R3097">
        <v>-2.2038869999999999E-2</v>
      </c>
      <c r="S3097">
        <v>-3.006256</v>
      </c>
      <c r="T3097">
        <v>-3.3196929999999999E-2</v>
      </c>
      <c r="U3097">
        <v>0.16314699999999999</v>
      </c>
      <c r="V3097">
        <v>-2.881686E-2</v>
      </c>
      <c r="W3097">
        <v>-3.2989669999999999E-2</v>
      </c>
      <c r="X3097">
        <v>0.99904020000000004</v>
      </c>
      <c r="Y3097">
        <v>4.7402739999999999E-2</v>
      </c>
      <c r="Z3097">
        <v>6.1082819999999996E-4</v>
      </c>
      <c r="AA3097">
        <v>0.99887570000000003</v>
      </c>
      <c r="AB3097">
        <v>26</v>
      </c>
      <c r="AC3097">
        <v>-105.8758</v>
      </c>
      <c r="AD3097">
        <v>-1.171278</v>
      </c>
      <c r="AE3097">
        <v>5.7549999999999901</v>
      </c>
      <c r="AF3097">
        <v>5.0354703588585501</v>
      </c>
      <c r="AG3097">
        <v>-1.171278</v>
      </c>
      <c r="AH3097">
        <v>105.899508057063</v>
      </c>
      <c r="AI3097">
        <v>90.632966319205096</v>
      </c>
      <c r="AJ3097">
        <v>87.277663870959202</v>
      </c>
      <c r="AK3097">
        <v>106.02562737666899</v>
      </c>
      <c r="AL3097">
        <v>91.890511829258003</v>
      </c>
      <c r="AM3097">
        <v>91.652212573864702</v>
      </c>
      <c r="AN3097">
        <v>1.0000000254815</v>
      </c>
    </row>
    <row r="3098" spans="1:40" x14ac:dyDescent="0.25">
      <c r="A3098" t="str">
        <f>"20190303153831037"</f>
        <v>20190303153831037</v>
      </c>
      <c r="B3098" t="str">
        <f>"1551598711032038"</f>
        <v>1551598711032038</v>
      </c>
      <c r="C3098" t="s">
        <v>40</v>
      </c>
      <c r="D3098">
        <v>4.0894659999999998</v>
      </c>
      <c r="E3098">
        <v>0.52965629999999997</v>
      </c>
      <c r="F3098" t="s">
        <v>43</v>
      </c>
      <c r="G3098">
        <v>-542.68809999999996</v>
      </c>
      <c r="H3098">
        <v>-0.05</v>
      </c>
      <c r="I3098">
        <v>289.60919999999999</v>
      </c>
      <c r="J3098">
        <v>-444.26220000000001</v>
      </c>
      <c r="K3098">
        <v>1.121281</v>
      </c>
      <c r="L3098">
        <v>284.11970000000002</v>
      </c>
      <c r="M3098">
        <v>-0.99988060000000001</v>
      </c>
      <c r="N3098">
        <v>-1.390371E-2</v>
      </c>
      <c r="O3098">
        <v>6.7558599999999998E-3</v>
      </c>
      <c r="P3098">
        <v>-0.99867490000000003</v>
      </c>
      <c r="Q3098">
        <v>-4.6662009999999997E-2</v>
      </c>
      <c r="R3098">
        <v>-2.1716079999999999E-2</v>
      </c>
      <c r="S3098">
        <v>-3.0060120000000001</v>
      </c>
      <c r="T3098">
        <v>-3.5700679999999999E-2</v>
      </c>
      <c r="U3098">
        <v>0.16735839999999999</v>
      </c>
      <c r="V3098">
        <v>-2.8461690000000001E-2</v>
      </c>
      <c r="W3098">
        <v>-3.2775579999999999E-2</v>
      </c>
      <c r="X3098">
        <v>0.99905739999999998</v>
      </c>
      <c r="Y3098">
        <v>4.8833689999999999E-2</v>
      </c>
      <c r="Z3098">
        <v>6.4324249999999999E-4</v>
      </c>
      <c r="AA3098">
        <v>0.99880670000000005</v>
      </c>
      <c r="AB3098">
        <v>25</v>
      </c>
      <c r="AC3098">
        <v>-98.425899999999899</v>
      </c>
      <c r="AD3098">
        <v>-1.171281</v>
      </c>
      <c r="AE3098">
        <v>5.4894999999999596</v>
      </c>
      <c r="AF3098">
        <v>4.8236778959660196</v>
      </c>
      <c r="AG3098">
        <v>-1.171281</v>
      </c>
      <c r="AH3098">
        <v>98.4468451255498</v>
      </c>
      <c r="AI3098">
        <v>90.680833297256697</v>
      </c>
      <c r="AJ3098">
        <v>87.194876792861294</v>
      </c>
      <c r="AK3098">
        <v>98.571908182803199</v>
      </c>
      <c r="AL3098">
        <v>91.878238791707204</v>
      </c>
      <c r="AM3098">
        <v>91.631831927768502</v>
      </c>
      <c r="AN3098">
        <v>0.99999999746837598</v>
      </c>
    </row>
    <row r="3099" spans="1:40" x14ac:dyDescent="0.25">
      <c r="A3099" t="str">
        <f>"20190303153831053"</f>
        <v>20190303153831053</v>
      </c>
      <c r="B3099" t="str">
        <f>"1551598711041799"</f>
        <v>1551598711041799</v>
      </c>
      <c r="C3099" t="s">
        <v>40</v>
      </c>
      <c r="D3099">
        <v>4.060975</v>
      </c>
      <c r="E3099">
        <v>0.5296881</v>
      </c>
      <c r="F3099" t="s">
        <v>43</v>
      </c>
      <c r="G3099">
        <v>-538.04459999999995</v>
      </c>
      <c r="H3099">
        <v>-0.05</v>
      </c>
      <c r="I3099">
        <v>289.43740000000003</v>
      </c>
      <c r="J3099">
        <v>-444.44389999999999</v>
      </c>
      <c r="K3099">
        <v>1.121286</v>
      </c>
      <c r="L3099">
        <v>284.12090000000001</v>
      </c>
      <c r="M3099">
        <v>-0.99988069999999896</v>
      </c>
      <c r="N3099">
        <v>-1.390182E-2</v>
      </c>
      <c r="O3099">
        <v>6.7261350000000003E-3</v>
      </c>
      <c r="P3099">
        <v>-0.99870740000000002</v>
      </c>
      <c r="Q3099">
        <v>-4.6069319999999997E-2</v>
      </c>
      <c r="R3099">
        <v>-2.1478049999999999E-2</v>
      </c>
      <c r="S3099">
        <v>-3.00589</v>
      </c>
      <c r="T3099">
        <v>-3.7541629999999999E-2</v>
      </c>
      <c r="U3099">
        <v>0.1704407</v>
      </c>
      <c r="V3099">
        <v>-2.8194489999999999E-2</v>
      </c>
      <c r="W3099">
        <v>-3.2184339999999999E-2</v>
      </c>
      <c r="X3099">
        <v>0.99908419999999998</v>
      </c>
      <c r="Y3099">
        <v>4.9885819999999997E-2</v>
      </c>
      <c r="Z3099">
        <v>6.6784470000000003E-4</v>
      </c>
      <c r="AA3099">
        <v>0.9987547</v>
      </c>
      <c r="AB3099">
        <v>25</v>
      </c>
      <c r="AC3099">
        <v>-93.600699999999904</v>
      </c>
      <c r="AD3099">
        <v>-1.171286</v>
      </c>
      <c r="AE3099">
        <v>5.3165000000000102</v>
      </c>
      <c r="AF3099">
        <v>4.6860164687038699</v>
      </c>
      <c r="AG3099">
        <v>-1.171286</v>
      </c>
      <c r="AH3099">
        <v>93.619732337201398</v>
      </c>
      <c r="AI3099">
        <v>90.715899786769498</v>
      </c>
      <c r="AJ3099">
        <v>87.134524162298703</v>
      </c>
      <c r="AK3099">
        <v>93.744252859191306</v>
      </c>
      <c r="AL3099">
        <v>91.844345347432593</v>
      </c>
      <c r="AM3099">
        <v>91.616477022269805</v>
      </c>
      <c r="AN3099">
        <v>0.99999999984861698</v>
      </c>
    </row>
    <row r="3100" spans="1:40" x14ac:dyDescent="0.25">
      <c r="A3100" t="str">
        <f>"20190303153831070"</f>
        <v>20190303153831070</v>
      </c>
      <c r="B3100" t="str">
        <f>"1551598711061317"</f>
        <v>1551598711061317</v>
      </c>
      <c r="C3100" t="s">
        <v>40</v>
      </c>
      <c r="D3100">
        <v>4.0499140000000002</v>
      </c>
      <c r="E3100">
        <v>0.52886160000000004</v>
      </c>
      <c r="F3100" t="s">
        <v>43</v>
      </c>
      <c r="G3100">
        <v>-538.71299999999997</v>
      </c>
      <c r="H3100">
        <v>-0.05</v>
      </c>
      <c r="I3100">
        <v>289.49209999999999</v>
      </c>
      <c r="J3100">
        <v>-444.62909999999999</v>
      </c>
      <c r="K3100">
        <v>1.1212879999999901</v>
      </c>
      <c r="L3100">
        <v>284.12209999999999</v>
      </c>
      <c r="M3100">
        <v>-0.99988100000000002</v>
      </c>
      <c r="N3100">
        <v>-1.38999E-2</v>
      </c>
      <c r="O3100">
        <v>6.6962239999999998E-3</v>
      </c>
      <c r="P3100">
        <v>-0.99871829999999995</v>
      </c>
      <c r="Q3100">
        <v>-4.587492E-2</v>
      </c>
      <c r="R3100">
        <v>-2.138731E-2</v>
      </c>
      <c r="S3100">
        <v>-3.0058590000000001</v>
      </c>
      <c r="T3100">
        <v>-3.7347560000000002E-2</v>
      </c>
      <c r="U3100">
        <v>0.17126459999999999</v>
      </c>
      <c r="V3100">
        <v>-2.8074140000000001E-2</v>
      </c>
      <c r="W3100">
        <v>-3.1991720000000001E-2</v>
      </c>
      <c r="X3100">
        <v>0.99909380000000003</v>
      </c>
      <c r="Y3100">
        <v>5.018918E-2</v>
      </c>
      <c r="Z3100">
        <v>6.7056029999999897E-4</v>
      </c>
      <c r="AA3100">
        <v>0.9987395</v>
      </c>
      <c r="AB3100">
        <v>25</v>
      </c>
      <c r="AC3100">
        <v>-94.0839</v>
      </c>
      <c r="AD3100">
        <v>-1.1712880000000001</v>
      </c>
      <c r="AE3100">
        <v>5.37</v>
      </c>
      <c r="AF3100">
        <v>4.7390797485305702</v>
      </c>
      <c r="AG3100">
        <v>-1.1712880000000001</v>
      </c>
      <c r="AH3100">
        <v>94.103214965676599</v>
      </c>
      <c r="AI3100">
        <v>90.712212300293103</v>
      </c>
      <c r="AJ3100">
        <v>87.116994689138906</v>
      </c>
      <c r="AK3100">
        <v>94.229750394014204</v>
      </c>
      <c r="AL3100">
        <v>91.833303303329799</v>
      </c>
      <c r="AM3100">
        <v>91.609565165415106</v>
      </c>
      <c r="AN3100">
        <v>1.0000000243418601</v>
      </c>
    </row>
    <row r="3101" spans="1:40" x14ac:dyDescent="0.25">
      <c r="A3101" t="str">
        <f>"20190303153831083"</f>
        <v>20190303153831083</v>
      </c>
      <c r="B3101" t="str">
        <f>"1551598711072054"</f>
        <v>1551598711072054</v>
      </c>
      <c r="C3101" t="s">
        <v>40</v>
      </c>
      <c r="D3101">
        <v>4.084924</v>
      </c>
      <c r="E3101">
        <v>0.52886160000000004</v>
      </c>
      <c r="F3101" t="s">
        <v>43</v>
      </c>
      <c r="G3101">
        <v>-546.45569999999998</v>
      </c>
      <c r="H3101">
        <v>-0.05</v>
      </c>
      <c r="I3101">
        <v>289.70580000000001</v>
      </c>
      <c r="J3101">
        <v>-444.78559999999999</v>
      </c>
      <c r="K3101">
        <v>1.121281</v>
      </c>
      <c r="L3101">
        <v>284.12310000000002</v>
      </c>
      <c r="M3101">
        <v>-0.99988120000000003</v>
      </c>
      <c r="N3101">
        <v>-1.3898270000000001E-2</v>
      </c>
      <c r="O3101">
        <v>6.6707270000000004E-3</v>
      </c>
      <c r="P3101">
        <v>-0.9987028</v>
      </c>
      <c r="Q3101">
        <v>-4.6175059999999997E-2</v>
      </c>
      <c r="R3101">
        <v>-2.1468350000000001E-2</v>
      </c>
      <c r="S3101">
        <v>-3.0058590000000001</v>
      </c>
      <c r="T3101">
        <v>-3.4575699999999897E-2</v>
      </c>
      <c r="U3101">
        <v>0.16482539999999901</v>
      </c>
      <c r="V3101">
        <v>-2.8129129999999999E-2</v>
      </c>
      <c r="W3101">
        <v>-3.229365E-2</v>
      </c>
      <c r="X3101">
        <v>0.99908249999999998</v>
      </c>
      <c r="Y3101">
        <v>4.8082880000000001E-2</v>
      </c>
      <c r="Z3101">
        <v>6.2673630000000002E-4</v>
      </c>
      <c r="AA3101">
        <v>0.99884309999999998</v>
      </c>
      <c r="AB3101">
        <v>25</v>
      </c>
      <c r="AC3101">
        <v>-101.67010000000001</v>
      </c>
      <c r="AD3101">
        <v>-1.171281</v>
      </c>
      <c r="AE3101">
        <v>5.5826999999999796</v>
      </c>
      <c r="AF3101">
        <v>4.9036479408431202</v>
      </c>
      <c r="AG3101">
        <v>-1.171281</v>
      </c>
      <c r="AH3101">
        <v>101.691625792426</v>
      </c>
      <c r="AI3101">
        <v>90.659136022559494</v>
      </c>
      <c r="AJ3101">
        <v>87.239292154408901</v>
      </c>
      <c r="AK3101">
        <v>101.81652330842699</v>
      </c>
      <c r="AL3101">
        <v>91.850611634235705</v>
      </c>
      <c r="AM3101">
        <v>91.612734455961302</v>
      </c>
      <c r="AN3101">
        <v>0.99999998479556396</v>
      </c>
    </row>
    <row r="3102" spans="1:40" x14ac:dyDescent="0.25">
      <c r="A3102" t="str">
        <f>"20190303153831096"</f>
        <v>20190303153831096</v>
      </c>
      <c r="B3102" t="str">
        <f>"1551598711091574"</f>
        <v>1551598711091574</v>
      </c>
      <c r="C3102" t="s">
        <v>40</v>
      </c>
      <c r="D3102">
        <v>4.0998950000000001</v>
      </c>
      <c r="E3102">
        <v>0.50539940000000005</v>
      </c>
      <c r="F3102" t="s">
        <v>43</v>
      </c>
      <c r="G3102">
        <v>-544.19129999999996</v>
      </c>
      <c r="H3102">
        <v>-0.05</v>
      </c>
      <c r="I3102">
        <v>289.56299999999999</v>
      </c>
      <c r="J3102">
        <v>-444.92439999999999</v>
      </c>
      <c r="K3102">
        <v>1.1212799999999901</v>
      </c>
      <c r="L3102">
        <v>284.12400000000002</v>
      </c>
      <c r="M3102">
        <v>-0.99988129999999997</v>
      </c>
      <c r="N3102">
        <v>-1.3896820000000001E-2</v>
      </c>
      <c r="O3102">
        <v>6.6480310000000004E-3</v>
      </c>
      <c r="P3102">
        <v>-0.99867260000000002</v>
      </c>
      <c r="Q3102">
        <v>-4.6691719999999999E-2</v>
      </c>
      <c r="R3102">
        <v>-2.1744639999999999E-2</v>
      </c>
      <c r="S3102">
        <v>-3.0058289999999999</v>
      </c>
      <c r="T3102">
        <v>-3.5417200000000003E-2</v>
      </c>
      <c r="U3102">
        <v>0.16448969999999999</v>
      </c>
      <c r="V3102">
        <v>-2.838305E-2</v>
      </c>
      <c r="W3102">
        <v>-3.281216E-2</v>
      </c>
      <c r="X3102">
        <v>0.99905840000000001</v>
      </c>
      <c r="Y3102">
        <v>4.799465E-2</v>
      </c>
      <c r="Z3102">
        <v>6.3037239999999995E-4</v>
      </c>
      <c r="AA3102">
        <v>0.99884740000000005</v>
      </c>
      <c r="AB3102">
        <v>25</v>
      </c>
      <c r="AC3102">
        <v>-99.266899999999893</v>
      </c>
      <c r="AD3102">
        <v>-1.1712800000000001</v>
      </c>
      <c r="AE3102">
        <v>5.4389999999999601</v>
      </c>
      <c r="AF3102">
        <v>4.7782233503038496</v>
      </c>
      <c r="AG3102">
        <v>-1.1712800000000001</v>
      </c>
      <c r="AH3102">
        <v>99.287086349272201</v>
      </c>
      <c r="AI3102">
        <v>90.6751000706181</v>
      </c>
      <c r="AJ3102">
        <v>87.244747745853502</v>
      </c>
      <c r="AK3102">
        <v>99.408897141813398</v>
      </c>
      <c r="AL3102">
        <v>91.880335867845901</v>
      </c>
      <c r="AM3102">
        <v>91.627323955806105</v>
      </c>
      <c r="AN3102">
        <v>0.99999996099086297</v>
      </c>
    </row>
    <row r="3103" spans="1:40" x14ac:dyDescent="0.25">
      <c r="A3103" t="str">
        <f>"20190303153831110"</f>
        <v>20190303153831110</v>
      </c>
      <c r="B3103" t="str">
        <f>"1551598711101334"</f>
        <v>1551598711101334</v>
      </c>
      <c r="C3103" t="s">
        <v>40</v>
      </c>
      <c r="D3103">
        <v>4.095294</v>
      </c>
      <c r="E3103">
        <v>0.50528620000000002</v>
      </c>
      <c r="F3103" t="s">
        <v>46</v>
      </c>
      <c r="G3103">
        <v>0</v>
      </c>
      <c r="H3103">
        <v>0</v>
      </c>
      <c r="I3103">
        <v>0</v>
      </c>
      <c r="J3103">
        <v>-445.08139999999997</v>
      </c>
      <c r="K3103">
        <v>1.1212740000000001</v>
      </c>
      <c r="L3103">
        <v>284.125</v>
      </c>
      <c r="M3103">
        <v>-0.99988160000000004</v>
      </c>
      <c r="N3103">
        <v>-1.389517E-2</v>
      </c>
      <c r="O3103">
        <v>6.6223580000000001E-3</v>
      </c>
      <c r="P3103">
        <v>-0.99860870000000002</v>
      </c>
      <c r="Q3103">
        <v>-4.7817999999999999E-2</v>
      </c>
      <c r="R3103">
        <v>-2.2230130000000001E-2</v>
      </c>
      <c r="S3103">
        <v>-3.0043639999999998</v>
      </c>
      <c r="T3103">
        <v>1.8718479999999999E-2</v>
      </c>
      <c r="U3103">
        <v>-2.3864750000000001E-2</v>
      </c>
      <c r="V3103">
        <v>-2.884215E-2</v>
      </c>
      <c r="W3103">
        <v>-3.3940900000000003E-2</v>
      </c>
      <c r="X3103">
        <v>0.9990076</v>
      </c>
      <c r="Y3103">
        <v>-1.456473E-2</v>
      </c>
      <c r="Z3103" s="1">
        <v>7.7454039999999997E-5</v>
      </c>
      <c r="AA3103">
        <v>0.9998939</v>
      </c>
      <c r="AB3103">
        <v>25</v>
      </c>
      <c r="AC3103">
        <v>-3.0043639999999998</v>
      </c>
      <c r="AD3103">
        <v>1.8718479999999999E-2</v>
      </c>
      <c r="AE3103">
        <v>-2.3864750000000001E-2</v>
      </c>
      <c r="AF3103">
        <v>-4.37604215120228E-2</v>
      </c>
      <c r="AG3103">
        <v>1.8718479999999999E-2</v>
      </c>
      <c r="AH3103">
        <v>3.0040234476630698</v>
      </c>
      <c r="AI3103">
        <v>89.643024673464694</v>
      </c>
      <c r="AJ3103">
        <v>90.834584075433199</v>
      </c>
      <c r="AK3103">
        <v>3.0044004776483999</v>
      </c>
      <c r="AL3103">
        <v>91.945043850196896</v>
      </c>
      <c r="AM3103">
        <v>91.653715702386705</v>
      </c>
      <c r="AN3103">
        <v>1.0000000195835901</v>
      </c>
    </row>
    <row r="3104" spans="1:40" x14ac:dyDescent="0.25">
      <c r="A3104" t="str">
        <f>"20190303153831125"</f>
        <v>20190303153831125</v>
      </c>
      <c r="B3104" t="str">
        <f>"1551598711112070"</f>
        <v>1551598711112070</v>
      </c>
      <c r="C3104" t="s">
        <v>40</v>
      </c>
      <c r="D3104">
        <v>4.0931490000000004</v>
      </c>
      <c r="E3104">
        <v>0.50524619999999998</v>
      </c>
      <c r="F3104" t="s">
        <v>46</v>
      </c>
      <c r="G3104">
        <v>0</v>
      </c>
      <c r="H3104">
        <v>0</v>
      </c>
      <c r="I3104">
        <v>0</v>
      </c>
      <c r="J3104">
        <v>-445.25099999999998</v>
      </c>
      <c r="K3104">
        <v>1.12127</v>
      </c>
      <c r="L3104">
        <v>284.12610000000001</v>
      </c>
      <c r="M3104">
        <v>-0.99988180000000004</v>
      </c>
      <c r="N3104">
        <v>-1.38934E-2</v>
      </c>
      <c r="O3104">
        <v>6.5947719999999996E-3</v>
      </c>
      <c r="P3104">
        <v>-0.99857470000000004</v>
      </c>
      <c r="Q3104">
        <v>-4.8406060000000001E-2</v>
      </c>
      <c r="R3104">
        <v>-2.249176E-2</v>
      </c>
      <c r="S3104">
        <v>-3.004181</v>
      </c>
      <c r="T3104">
        <v>1.2057780000000001E-2</v>
      </c>
      <c r="U3104">
        <v>-2.630615E-2</v>
      </c>
      <c r="V3104">
        <v>-2.9076399999999999E-2</v>
      </c>
      <c r="W3104">
        <v>-3.4531180000000002E-2</v>
      </c>
      <c r="X3104">
        <v>0.9989806</v>
      </c>
      <c r="Y3104">
        <v>-1.535039E-2</v>
      </c>
      <c r="Z3104" s="1">
        <v>4.22576E-5</v>
      </c>
      <c r="AA3104">
        <v>0.99988220000000005</v>
      </c>
      <c r="AB3104">
        <v>25</v>
      </c>
      <c r="AC3104">
        <v>-3.004181</v>
      </c>
      <c r="AD3104">
        <v>1.2057780000000001E-2</v>
      </c>
      <c r="AE3104">
        <v>-2.630615E-2</v>
      </c>
      <c r="AF3104">
        <v>-4.6118634776287103E-2</v>
      </c>
      <c r="AG3104">
        <v>1.2057780000000001E-2</v>
      </c>
      <c r="AH3104">
        <v>3.0038937718774101</v>
      </c>
      <c r="AI3104">
        <v>89.770040207940198</v>
      </c>
      <c r="AJ3104">
        <v>90.879590206326299</v>
      </c>
      <c r="AK3104">
        <v>3.0042719769115598</v>
      </c>
      <c r="AL3104">
        <v>91.978884201805201</v>
      </c>
      <c r="AM3104">
        <v>91.667184324774297</v>
      </c>
      <c r="AN3104">
        <v>1.0000000393027499</v>
      </c>
    </row>
    <row r="3105" spans="1:40" x14ac:dyDescent="0.25">
      <c r="A3105" t="str">
        <f>"20190303153831140"</f>
        <v>20190303153831140</v>
      </c>
      <c r="B3105" t="str">
        <f>"1551598711131590"</f>
        <v>1551598711131590</v>
      </c>
      <c r="C3105" t="s">
        <v>40</v>
      </c>
      <c r="D3105">
        <v>4.072641</v>
      </c>
      <c r="E3105">
        <v>0.50543950000000004</v>
      </c>
      <c r="F3105" t="s">
        <v>46</v>
      </c>
      <c r="G3105">
        <v>0</v>
      </c>
      <c r="H3105">
        <v>0</v>
      </c>
      <c r="I3105">
        <v>0</v>
      </c>
      <c r="J3105">
        <v>-445.42349999999999</v>
      </c>
      <c r="K3105">
        <v>1.1212679999999999</v>
      </c>
      <c r="L3105">
        <v>284.12729999999999</v>
      </c>
      <c r="M3105">
        <v>-0.9998821</v>
      </c>
      <c r="N3105">
        <v>-1.3891590000000001E-2</v>
      </c>
      <c r="O3105">
        <v>6.5664159999999899E-3</v>
      </c>
      <c r="P3105">
        <v>-0.99853939999999997</v>
      </c>
      <c r="Q3105">
        <v>-4.893438E-2</v>
      </c>
      <c r="R3105">
        <v>-2.29105E-2</v>
      </c>
      <c r="S3105">
        <v>-3.0040279999999999</v>
      </c>
      <c r="T3105">
        <v>6.8057780000000002E-3</v>
      </c>
      <c r="U3105">
        <v>-2.7374269999999999E-2</v>
      </c>
      <c r="V3105">
        <v>-2.9466470000000002E-2</v>
      </c>
      <c r="W3105">
        <v>-3.5061769999999999E-2</v>
      </c>
      <c r="X3105">
        <v>0.99895069999999997</v>
      </c>
      <c r="Y3105">
        <v>-1.5678069999999999E-2</v>
      </c>
      <c r="Z3105" s="1">
        <v>1.495156E-5</v>
      </c>
      <c r="AA3105">
        <v>0.99987709999999996</v>
      </c>
      <c r="AB3105">
        <v>25</v>
      </c>
      <c r="AC3105">
        <v>-3.0040279999999999</v>
      </c>
      <c r="AD3105">
        <v>6.8057780000000002E-3</v>
      </c>
      <c r="AE3105">
        <v>-2.7374269999999999E-2</v>
      </c>
      <c r="AF3105">
        <v>-4.71010360405179E-2</v>
      </c>
      <c r="AG3105">
        <v>6.8057780000000002E-3</v>
      </c>
      <c r="AH3105">
        <v>3.00376803886896</v>
      </c>
      <c r="AI3105">
        <v>89.870198446612093</v>
      </c>
      <c r="AJ3105">
        <v>90.898361453458193</v>
      </c>
      <c r="AK3105">
        <v>3.0041450127350702</v>
      </c>
      <c r="AL3105">
        <v>92.009303166659905</v>
      </c>
      <c r="AM3105">
        <v>91.689587844796094</v>
      </c>
      <c r="AN3105">
        <v>1.0000000508001401</v>
      </c>
    </row>
    <row r="3106" spans="1:40" x14ac:dyDescent="0.25">
      <c r="A3106" t="str">
        <f>"20190303153831155"</f>
        <v>20190303153831155</v>
      </c>
      <c r="B3106" t="str">
        <f>"1551598711152086"</f>
        <v>1551598711152086</v>
      </c>
      <c r="C3106" t="s">
        <v>40</v>
      </c>
      <c r="D3106">
        <v>4.1173449999999896</v>
      </c>
      <c r="E3106">
        <v>0.50534020000000002</v>
      </c>
      <c r="F3106" t="s">
        <v>46</v>
      </c>
      <c r="G3106">
        <v>0</v>
      </c>
      <c r="H3106">
        <v>0</v>
      </c>
      <c r="I3106">
        <v>0</v>
      </c>
      <c r="J3106">
        <v>-445.5883</v>
      </c>
      <c r="K3106">
        <v>1.12127</v>
      </c>
      <c r="L3106">
        <v>284.12830000000002</v>
      </c>
      <c r="M3106">
        <v>-0.9998823</v>
      </c>
      <c r="N3106">
        <v>-1.388987E-2</v>
      </c>
      <c r="O3106">
        <v>6.5391929999999996E-3</v>
      </c>
      <c r="P3106">
        <v>-0.99852540000000001</v>
      </c>
      <c r="Q3106">
        <v>-4.882765E-2</v>
      </c>
      <c r="R3106">
        <v>-2.3728059999999999E-2</v>
      </c>
      <c r="S3106">
        <v>-3.0039669999999998</v>
      </c>
      <c r="T3106">
        <v>4.5167209999999996E-3</v>
      </c>
      <c r="U3106">
        <v>-2.7069090000000001E-2</v>
      </c>
      <c r="V3106">
        <v>-3.0257289999999999E-2</v>
      </c>
      <c r="W3106">
        <v>-3.4957040000000002E-2</v>
      </c>
      <c r="X3106">
        <v>0.99893069999999895</v>
      </c>
      <c r="Y3106">
        <v>-1.5549479999999999E-2</v>
      </c>
      <c r="Z3106" s="1">
        <v>4.3550900000000002E-6</v>
      </c>
      <c r="AA3106">
        <v>0.99987910000000002</v>
      </c>
      <c r="AB3106">
        <v>25</v>
      </c>
      <c r="AC3106">
        <v>-3.0039669999999998</v>
      </c>
      <c r="AD3106">
        <v>4.5167209999999996E-3</v>
      </c>
      <c r="AE3106">
        <v>-2.7069090000000001E-2</v>
      </c>
      <c r="AF3106">
        <v>-4.6713817699949603E-2</v>
      </c>
      <c r="AG3106">
        <v>4.5167209999999996E-3</v>
      </c>
      <c r="AH3106">
        <v>3.0037189433366498</v>
      </c>
      <c r="AI3106">
        <v>89.913854268601398</v>
      </c>
      <c r="AJ3106">
        <v>90.8909917662494</v>
      </c>
      <c r="AK3106">
        <v>3.0040855633773398</v>
      </c>
      <c r="AL3106">
        <v>92.003298959332795</v>
      </c>
      <c r="AM3106">
        <v>91.734940303004194</v>
      </c>
      <c r="AN3106">
        <v>1.0000000208230899</v>
      </c>
    </row>
    <row r="3107" spans="1:40" x14ac:dyDescent="0.25">
      <c r="A3107" t="str">
        <f>"20190303153831178"</f>
        <v>20190303153831178</v>
      </c>
      <c r="B3107" t="str">
        <f>"1551598711171605"</f>
        <v>1551598711171605</v>
      </c>
      <c r="C3107" t="s">
        <v>40</v>
      </c>
      <c r="D3107">
        <v>4.1218139999999996</v>
      </c>
      <c r="E3107">
        <v>0.50527509999999998</v>
      </c>
      <c r="F3107" t="s">
        <v>46</v>
      </c>
      <c r="G3107">
        <v>0</v>
      </c>
      <c r="H3107">
        <v>0</v>
      </c>
      <c r="I3107">
        <v>0</v>
      </c>
      <c r="J3107">
        <v>-445.84480000000002</v>
      </c>
      <c r="K3107">
        <v>1.1212679999999999</v>
      </c>
      <c r="L3107">
        <v>284.12990000000002</v>
      </c>
      <c r="M3107">
        <v>-0.99988250000000001</v>
      </c>
      <c r="N3107">
        <v>-1.3887190000000001E-2</v>
      </c>
      <c r="O3107">
        <v>6.4975509999999998E-3</v>
      </c>
      <c r="P3107">
        <v>-0.99852640000000004</v>
      </c>
      <c r="Q3107">
        <v>-4.8477970000000002E-2</v>
      </c>
      <c r="R3107">
        <v>-2.4396810000000001E-2</v>
      </c>
      <c r="S3107">
        <v>-3.0039060000000002</v>
      </c>
      <c r="T3107">
        <v>3.2328370000000001E-3</v>
      </c>
      <c r="U3107">
        <v>-3.0334469999999999E-2</v>
      </c>
      <c r="V3107">
        <v>-3.0883549999999999E-2</v>
      </c>
      <c r="W3107">
        <v>-3.4610130000000003E-2</v>
      </c>
      <c r="X3107">
        <v>0.99892360000000002</v>
      </c>
      <c r="Y3107">
        <v>-1.6594850000000001E-2</v>
      </c>
      <c r="Z3107" s="1">
        <v>-9.0797259999999999E-6</v>
      </c>
      <c r="AA3107">
        <v>0.99986229999999998</v>
      </c>
      <c r="AB3107">
        <v>25</v>
      </c>
      <c r="AC3107">
        <v>-3.0039060000000002</v>
      </c>
      <c r="AD3107">
        <v>3.2328370000000001E-3</v>
      </c>
      <c r="AE3107">
        <v>-3.0334469999999999E-2</v>
      </c>
      <c r="AF3107">
        <v>-4.9853685733234503E-2</v>
      </c>
      <c r="AG3107">
        <v>3.2328370000000001E-3</v>
      </c>
      <c r="AH3107">
        <v>3.0036419800787102</v>
      </c>
      <c r="AI3107">
        <v>89.938340741943904</v>
      </c>
      <c r="AJ3107">
        <v>90.950893464946603</v>
      </c>
      <c r="AK3107">
        <v>3.0040574205077002</v>
      </c>
      <c r="AL3107">
        <v>91.983410473627202</v>
      </c>
      <c r="AM3107">
        <v>91.770839734951394</v>
      </c>
      <c r="AN3107">
        <v>1.0000000066980801</v>
      </c>
    </row>
    <row r="3108" spans="1:40" x14ac:dyDescent="0.25">
      <c r="A3108" t="str">
        <f>"20190303153831193"</f>
        <v>20190303153831193</v>
      </c>
      <c r="B3108" t="str">
        <f>"1551598711181366"</f>
        <v>1551598711181366</v>
      </c>
      <c r="C3108" t="s">
        <v>40</v>
      </c>
      <c r="D3108">
        <v>4.1652680000000002</v>
      </c>
      <c r="E3108">
        <v>0.50524150000000001</v>
      </c>
      <c r="F3108" t="s">
        <v>46</v>
      </c>
      <c r="G3108">
        <v>0</v>
      </c>
      <c r="H3108">
        <v>0</v>
      </c>
      <c r="I3108">
        <v>0</v>
      </c>
      <c r="J3108">
        <v>-446.01760000000002</v>
      </c>
      <c r="K3108">
        <v>1.1212690000000001</v>
      </c>
      <c r="L3108">
        <v>284.13099999999997</v>
      </c>
      <c r="M3108">
        <v>-0.99988279999999996</v>
      </c>
      <c r="N3108">
        <v>-1.3885389999999999E-2</v>
      </c>
      <c r="O3108">
        <v>6.4694899999999996E-3</v>
      </c>
      <c r="P3108">
        <v>-0.99851999999999996</v>
      </c>
      <c r="Q3108">
        <v>-4.8434810000000002E-2</v>
      </c>
      <c r="R3108">
        <v>-2.473962E-2</v>
      </c>
      <c r="S3108">
        <v>-3.003784</v>
      </c>
      <c r="T3108">
        <v>3.4922360000000001E-3</v>
      </c>
      <c r="U3108">
        <v>-3.2745360000000001E-2</v>
      </c>
      <c r="V3108">
        <v>-3.1198920000000002E-2</v>
      </c>
      <c r="W3108">
        <v>-3.4568889999999998E-2</v>
      </c>
      <c r="X3108">
        <v>0.9989152</v>
      </c>
      <c r="Y3108">
        <v>-1.7369619999999999E-2</v>
      </c>
      <c r="Z3108" s="1">
        <v>-1.315051E-5</v>
      </c>
      <c r="AA3108">
        <v>0.99984910000000005</v>
      </c>
      <c r="AB3108">
        <v>25</v>
      </c>
      <c r="AC3108">
        <v>-3.003784</v>
      </c>
      <c r="AD3108">
        <v>3.4922360000000001E-3</v>
      </c>
      <c r="AE3108">
        <v>-3.2745360000000001E-2</v>
      </c>
      <c r="AF3108">
        <v>-5.2179425625350301E-2</v>
      </c>
      <c r="AG3108">
        <v>3.4922360000000001E-3</v>
      </c>
      <c r="AH3108">
        <v>3.0035052011647601</v>
      </c>
      <c r="AI3108">
        <v>89.933391124049606</v>
      </c>
      <c r="AJ3108">
        <v>90.995290483774497</v>
      </c>
      <c r="AK3108">
        <v>3.0039604494058598</v>
      </c>
      <c r="AL3108">
        <v>91.981046236245106</v>
      </c>
      <c r="AM3108">
        <v>91.7889261586283</v>
      </c>
      <c r="AN3108">
        <v>0.99999997877801805</v>
      </c>
    </row>
    <row r="3109" spans="1:40" x14ac:dyDescent="0.25">
      <c r="A3109" t="str">
        <f>"20190303153831204"</f>
        <v>20190303153831204</v>
      </c>
      <c r="B3109" t="str">
        <f>"1551598711201861"</f>
        <v>1551598711201861</v>
      </c>
      <c r="C3109" t="s">
        <v>40</v>
      </c>
      <c r="D3109">
        <v>4.1500529999999998</v>
      </c>
      <c r="E3109">
        <v>0.50525640000000005</v>
      </c>
      <c r="F3109" t="s">
        <v>46</v>
      </c>
      <c r="G3109">
        <v>0</v>
      </c>
      <c r="H3109">
        <v>0</v>
      </c>
      <c r="I3109">
        <v>0</v>
      </c>
      <c r="J3109">
        <v>-446.15539999999999</v>
      </c>
      <c r="K3109">
        <v>1.121267</v>
      </c>
      <c r="L3109">
        <v>284.1318</v>
      </c>
      <c r="M3109">
        <v>-0.99988290000000002</v>
      </c>
      <c r="N3109">
        <v>-1.3883990000000001E-2</v>
      </c>
      <c r="O3109">
        <v>6.4468549999999996E-3</v>
      </c>
      <c r="P3109">
        <v>-0.99852540000000001</v>
      </c>
      <c r="Q3109">
        <v>-4.8059600000000001E-2</v>
      </c>
      <c r="R3109">
        <v>-2.5248590000000001E-2</v>
      </c>
      <c r="S3109">
        <v>-3.0037229999999999</v>
      </c>
      <c r="T3109">
        <v>2.7836559999999998E-3</v>
      </c>
      <c r="U3109">
        <v>-3.4179689999999999E-2</v>
      </c>
      <c r="V3109">
        <v>-3.1684690000000001E-2</v>
      </c>
      <c r="W3109">
        <v>-3.4195080000000003E-2</v>
      </c>
      <c r="X3109">
        <v>0.99891280000000005</v>
      </c>
      <c r="Y3109">
        <v>-1.7824590000000001E-2</v>
      </c>
      <c r="Z3109" s="1">
        <v>-2.0005579999999999E-5</v>
      </c>
      <c r="AA3109">
        <v>0.99984119999999999</v>
      </c>
      <c r="AB3109">
        <v>25</v>
      </c>
      <c r="AC3109">
        <v>-3.0037229999999999</v>
      </c>
      <c r="AD3109">
        <v>2.7836559999999998E-3</v>
      </c>
      <c r="AE3109">
        <v>-3.4179689999999999E-2</v>
      </c>
      <c r="AF3109">
        <v>-5.3545365541977898E-2</v>
      </c>
      <c r="AG3109">
        <v>2.7836559999999998E-3</v>
      </c>
      <c r="AH3109">
        <v>3.0034376151844699</v>
      </c>
      <c r="AI3109">
        <v>89.946905388114502</v>
      </c>
      <c r="AJ3109">
        <v>91.021362478029005</v>
      </c>
      <c r="AK3109">
        <v>3.0039161711367202</v>
      </c>
      <c r="AL3109">
        <v>91.959615783330904</v>
      </c>
      <c r="AM3109">
        <v>91.816765739167906</v>
      </c>
      <c r="AN3109">
        <v>1.00000000254022</v>
      </c>
    </row>
    <row r="3110" spans="1:40" x14ac:dyDescent="0.25">
      <c r="A3110" t="str">
        <f>"20190303153831217"</f>
        <v>20190303153831217</v>
      </c>
      <c r="B3110" t="str">
        <f>"1551598711211622"</f>
        <v>1551598711211622</v>
      </c>
      <c r="C3110" t="s">
        <v>40</v>
      </c>
      <c r="D3110">
        <v>4.1528780000000003</v>
      </c>
      <c r="E3110">
        <v>0.50518529999999995</v>
      </c>
      <c r="F3110" t="s">
        <v>46</v>
      </c>
      <c r="G3110">
        <v>0</v>
      </c>
      <c r="H3110">
        <v>0</v>
      </c>
      <c r="I3110">
        <v>0</v>
      </c>
      <c r="J3110">
        <v>-446.29219999999998</v>
      </c>
      <c r="K3110">
        <v>1.121262</v>
      </c>
      <c r="L3110">
        <v>284.1327</v>
      </c>
      <c r="M3110">
        <v>-0.99988319999999997</v>
      </c>
      <c r="N3110">
        <v>-1.388262E-2</v>
      </c>
      <c r="O3110">
        <v>6.4243360000000001E-3</v>
      </c>
      <c r="P3110">
        <v>-0.99851199999999996</v>
      </c>
      <c r="Q3110">
        <v>-4.8195740000000001E-2</v>
      </c>
      <c r="R3110">
        <v>-2.5517870000000002E-2</v>
      </c>
      <c r="S3110">
        <v>-3.0037539999999998</v>
      </c>
      <c r="T3110">
        <v>3.271103E-3</v>
      </c>
      <c r="U3110">
        <v>-3.5278320000000002E-2</v>
      </c>
      <c r="V3110">
        <v>-3.1931750000000002E-2</v>
      </c>
      <c r="W3110">
        <v>-3.4332769999999999E-2</v>
      </c>
      <c r="X3110">
        <v>0.99890020000000002</v>
      </c>
      <c r="Y3110">
        <v>-1.8167610000000001E-2</v>
      </c>
      <c r="Z3110" s="1">
        <v>-2.0042030000000001E-5</v>
      </c>
      <c r="AA3110">
        <v>0.99983500000000003</v>
      </c>
      <c r="AB3110">
        <v>25</v>
      </c>
      <c r="AC3110">
        <v>-3.0037539999999998</v>
      </c>
      <c r="AD3110">
        <v>3.271103E-3</v>
      </c>
      <c r="AE3110">
        <v>-3.5278320000000002E-2</v>
      </c>
      <c r="AF3110">
        <v>-5.4576507913533502E-2</v>
      </c>
      <c r="AG3110">
        <v>3.271103E-3</v>
      </c>
      <c r="AH3110">
        <v>3.0034617788429299</v>
      </c>
      <c r="AI3110">
        <v>89.937608865623901</v>
      </c>
      <c r="AJ3110">
        <v>91.041018561684396</v>
      </c>
      <c r="AK3110">
        <v>3.0039593792694999</v>
      </c>
      <c r="AL3110">
        <v>91.967509493674001</v>
      </c>
      <c r="AM3110">
        <v>91.830945366024196</v>
      </c>
      <c r="AN3110">
        <v>0.99999999265698702</v>
      </c>
    </row>
    <row r="3111" spans="1:40" x14ac:dyDescent="0.25">
      <c r="A3111" t="str">
        <f>"20190303153831231"</f>
        <v>20190303153831231</v>
      </c>
      <c r="B3111" t="str">
        <f>"1551598711221382"</f>
        <v>1551598711221382</v>
      </c>
      <c r="C3111" t="s">
        <v>40</v>
      </c>
      <c r="D3111">
        <v>4.1669799999999997</v>
      </c>
      <c r="E3111">
        <v>0.50517369999999995</v>
      </c>
      <c r="F3111" t="s">
        <v>46</v>
      </c>
      <c r="G3111">
        <v>0</v>
      </c>
      <c r="H3111">
        <v>0</v>
      </c>
      <c r="I3111">
        <v>0</v>
      </c>
      <c r="J3111">
        <v>-446.4418</v>
      </c>
      <c r="K3111">
        <v>1.121262</v>
      </c>
      <c r="L3111">
        <v>284.13369999999998</v>
      </c>
      <c r="M3111">
        <v>-0.99988319999999997</v>
      </c>
      <c r="N3111">
        <v>-1.388113E-2</v>
      </c>
      <c r="O3111">
        <v>6.4001489999999999E-3</v>
      </c>
      <c r="P3111">
        <v>-0.99848910000000002</v>
      </c>
      <c r="Q3111">
        <v>-4.8577530000000001E-2</v>
      </c>
      <c r="R3111">
        <v>-2.569134E-2</v>
      </c>
      <c r="S3111">
        <v>-3.0036619999999998</v>
      </c>
      <c r="T3111">
        <v>2.0704270000000001E-3</v>
      </c>
      <c r="U3111">
        <v>-3.6804200000000002E-2</v>
      </c>
      <c r="V3111">
        <v>-3.2080890000000001E-2</v>
      </c>
      <c r="W3111">
        <v>-3.4716339999999998E-2</v>
      </c>
      <c r="X3111">
        <v>0.99888220000000005</v>
      </c>
      <c r="Y3111">
        <v>-1.8651629999999999E-2</v>
      </c>
      <c r="Z3111" s="1">
        <v>-2.9782500000000002E-5</v>
      </c>
      <c r="AA3111">
        <v>0.99982599999999999</v>
      </c>
      <c r="AB3111">
        <v>25</v>
      </c>
      <c r="AC3111">
        <v>-3.0036619999999998</v>
      </c>
      <c r="AD3111">
        <v>2.0704270000000001E-3</v>
      </c>
      <c r="AE3111">
        <v>-3.6804200000000002E-2</v>
      </c>
      <c r="AF3111">
        <v>-5.6029155552722899E-2</v>
      </c>
      <c r="AG3111">
        <v>2.0704270000000001E-3</v>
      </c>
      <c r="AH3111">
        <v>3.00336346781069</v>
      </c>
      <c r="AI3111">
        <v>89.960508918037803</v>
      </c>
      <c r="AJ3111">
        <v>91.068755693221902</v>
      </c>
      <c r="AK3111">
        <v>3.0038867609681499</v>
      </c>
      <c r="AL3111">
        <v>91.989499473911195</v>
      </c>
      <c r="AM3111">
        <v>91.8395242183542</v>
      </c>
      <c r="AN3111">
        <v>1.0000000286215101</v>
      </c>
    </row>
    <row r="3112" spans="1:40" x14ac:dyDescent="0.25">
      <c r="A3112" t="str">
        <f>"20190303153831243"</f>
        <v>20190303153831243</v>
      </c>
      <c r="B3112" t="str">
        <f>"1551598711232118"</f>
        <v>1551598711232118</v>
      </c>
      <c r="C3112" t="s">
        <v>40</v>
      </c>
      <c r="D3112">
        <v>4.423133</v>
      </c>
      <c r="E3112">
        <v>0.50513019999999997</v>
      </c>
      <c r="F3112" t="s">
        <v>46</v>
      </c>
      <c r="G3112">
        <v>0</v>
      </c>
      <c r="H3112">
        <v>0</v>
      </c>
      <c r="I3112">
        <v>0</v>
      </c>
      <c r="J3112">
        <v>-446.59089999999998</v>
      </c>
      <c r="K3112">
        <v>1.121264</v>
      </c>
      <c r="L3112">
        <v>284.13459999999998</v>
      </c>
      <c r="M3112">
        <v>-0.99988339999999998</v>
      </c>
      <c r="N3112">
        <v>-1.38797E-2</v>
      </c>
      <c r="O3112">
        <v>6.375604E-3</v>
      </c>
      <c r="P3112">
        <v>-0.99848479999999995</v>
      </c>
      <c r="Q3112">
        <v>-4.8804019999999997E-2</v>
      </c>
      <c r="R3112">
        <v>-2.5423589999999999E-2</v>
      </c>
      <c r="S3112">
        <v>-3.0036320000000001</v>
      </c>
      <c r="T3112">
        <v>6.4277650000000002E-4</v>
      </c>
      <c r="U3112">
        <v>-3.7323000000000002E-2</v>
      </c>
      <c r="V3112">
        <v>-3.1788179999999999E-2</v>
      </c>
      <c r="W3112">
        <v>-3.4944240000000001E-2</v>
      </c>
      <c r="X3112">
        <v>0.99888359999999998</v>
      </c>
      <c r="Y3112">
        <v>-1.879987E-2</v>
      </c>
      <c r="Z3112" s="1">
        <v>-3.8611820000000003E-5</v>
      </c>
      <c r="AA3112">
        <v>0.99982329999999997</v>
      </c>
      <c r="AB3112">
        <v>25</v>
      </c>
      <c r="AC3112">
        <v>-3.0036320000000001</v>
      </c>
      <c r="AD3112">
        <v>6.4277650000000002E-4</v>
      </c>
      <c r="AE3112">
        <v>-3.7323000000000002E-2</v>
      </c>
      <c r="AF3112">
        <v>-5.64740507106073E-2</v>
      </c>
      <c r="AG3112">
        <v>6.4277650000000002E-4</v>
      </c>
      <c r="AH3112">
        <v>3.0033328242181399</v>
      </c>
      <c r="AI3112">
        <v>89.9877396635667</v>
      </c>
      <c r="AJ3112">
        <v>91.077251061599995</v>
      </c>
      <c r="AK3112">
        <v>3.0038638092615599</v>
      </c>
      <c r="AL3112">
        <v>92.002565132038896</v>
      </c>
      <c r="AM3112">
        <v>91.822748993534603</v>
      </c>
      <c r="AN3112">
        <v>1.00000001732292</v>
      </c>
    </row>
    <row r="3113" spans="1:40" x14ac:dyDescent="0.25">
      <c r="A3113" t="str">
        <f>"20190303153831259"</f>
        <v>20190303153831259</v>
      </c>
      <c r="B3113" t="str">
        <f>"1551598711251638"</f>
        <v>1551598711251638</v>
      </c>
      <c r="C3113" t="s">
        <v>40</v>
      </c>
      <c r="D3113">
        <v>4.1694300000000002</v>
      </c>
      <c r="E3113">
        <v>0.50512440000000003</v>
      </c>
      <c r="F3113" t="s">
        <v>46</v>
      </c>
      <c r="G3113">
        <v>0</v>
      </c>
      <c r="H3113">
        <v>0</v>
      </c>
      <c r="I3113">
        <v>0</v>
      </c>
      <c r="J3113">
        <v>-446.7561</v>
      </c>
      <c r="K3113">
        <v>1.121265</v>
      </c>
      <c r="L3113">
        <v>284.13560000000001</v>
      </c>
      <c r="M3113">
        <v>-0.99988359999999998</v>
      </c>
      <c r="N3113">
        <v>-1.3878110000000001E-2</v>
      </c>
      <c r="O3113">
        <v>6.3487369999999897E-3</v>
      </c>
      <c r="P3113">
        <v>-0.99848009999999998</v>
      </c>
      <c r="Q3113">
        <v>-4.8945879999999997E-2</v>
      </c>
      <c r="R3113">
        <v>-2.5336850000000001E-2</v>
      </c>
      <c r="S3113">
        <v>-3.003571</v>
      </c>
      <c r="T3113">
        <v>-9.9301339999999997E-4</v>
      </c>
      <c r="U3113">
        <v>-3.6834720000000001E-2</v>
      </c>
      <c r="V3113">
        <v>-3.167466E-2</v>
      </c>
      <c r="W3113">
        <v>-3.5087720000000003E-2</v>
      </c>
      <c r="X3113">
        <v>0.99888220000000005</v>
      </c>
      <c r="Y3113">
        <v>-1.8610720000000001E-2</v>
      </c>
      <c r="Z3113" s="1">
        <v>-4.6218189999999997E-5</v>
      </c>
      <c r="AA3113">
        <v>0.99982680000000002</v>
      </c>
      <c r="AB3113">
        <v>25</v>
      </c>
      <c r="AC3113">
        <v>-3.003571</v>
      </c>
      <c r="AD3113">
        <v>-9.9301339999999997E-4</v>
      </c>
      <c r="AE3113">
        <v>-3.6834720000000001E-2</v>
      </c>
      <c r="AF3113">
        <v>-5.5904689195262099E-2</v>
      </c>
      <c r="AG3113">
        <v>-9.9301339999999997E-4</v>
      </c>
      <c r="AH3113">
        <v>3.0032762513983799</v>
      </c>
      <c r="AI3113">
        <v>90.018941188004305</v>
      </c>
      <c r="AJ3113">
        <v>91.066413008340703</v>
      </c>
      <c r="AK3113">
        <v>3.00379669128308</v>
      </c>
      <c r="AL3113">
        <v>92.010790927540199</v>
      </c>
      <c r="AM3113">
        <v>91.816246615454205</v>
      </c>
      <c r="AN3113">
        <v>1.0000000408288701</v>
      </c>
    </row>
    <row r="3114" spans="1:40" x14ac:dyDescent="0.25">
      <c r="A3114" t="str">
        <f>"20190303153831271"</f>
        <v>20190303153831271</v>
      </c>
      <c r="B3114" t="str">
        <f>"1551598711261398"</f>
        <v>1551598711261398</v>
      </c>
      <c r="C3114" t="s">
        <v>40</v>
      </c>
      <c r="D3114">
        <v>4.1885219999999999</v>
      </c>
      <c r="E3114">
        <v>0.5051156</v>
      </c>
      <c r="F3114" t="s">
        <v>46</v>
      </c>
      <c r="G3114">
        <v>0</v>
      </c>
      <c r="H3114">
        <v>0</v>
      </c>
      <c r="I3114">
        <v>0</v>
      </c>
      <c r="J3114">
        <v>-446.90190000000001</v>
      </c>
      <c r="K3114">
        <v>1.121264</v>
      </c>
      <c r="L3114">
        <v>284.13650000000001</v>
      </c>
      <c r="M3114">
        <v>-0.99988379999999999</v>
      </c>
      <c r="N3114">
        <v>-1.38767E-2</v>
      </c>
      <c r="O3114">
        <v>6.3249059999999999E-3</v>
      </c>
      <c r="P3114">
        <v>-0.99851849999999998</v>
      </c>
      <c r="Q3114">
        <v>-4.8274820000000003E-2</v>
      </c>
      <c r="R3114">
        <v>-2.511861E-2</v>
      </c>
      <c r="S3114">
        <v>-3.0034179999999999</v>
      </c>
      <c r="T3114">
        <v>-3.1850340000000002E-3</v>
      </c>
      <c r="U3114">
        <v>-3.6651610000000001E-2</v>
      </c>
      <c r="V3114">
        <v>-3.1432950000000001E-2</v>
      </c>
      <c r="W3114">
        <v>-3.4417549999999998E-2</v>
      </c>
      <c r="X3114">
        <v>0.9989131</v>
      </c>
      <c r="Y3114">
        <v>-1.8526529999999999E-2</v>
      </c>
      <c r="Z3114" s="1">
        <v>-5.7315519999999998E-5</v>
      </c>
      <c r="AA3114">
        <v>0.9998283</v>
      </c>
      <c r="AB3114">
        <v>25</v>
      </c>
      <c r="AC3114">
        <v>-3.0034179999999999</v>
      </c>
      <c r="AD3114">
        <v>-3.1850340000000002E-3</v>
      </c>
      <c r="AE3114">
        <v>-3.6651610000000001E-2</v>
      </c>
      <c r="AF3114">
        <v>-5.5648978234395297E-2</v>
      </c>
      <c r="AG3114">
        <v>-3.1850340000000002E-3</v>
      </c>
      <c r="AH3114">
        <v>3.0031226957305801</v>
      </c>
      <c r="AI3114">
        <v>90.0607559640153</v>
      </c>
      <c r="AJ3114">
        <v>91.061590564467707</v>
      </c>
      <c r="AK3114">
        <v>3.0036399382802501</v>
      </c>
      <c r="AL3114">
        <v>91.972369908191894</v>
      </c>
      <c r="AM3114">
        <v>91.802340258267904</v>
      </c>
      <c r="AN3114">
        <v>0.99999998972265702</v>
      </c>
    </row>
    <row r="3115" spans="1:40" x14ac:dyDescent="0.25">
      <c r="A3115" t="str">
        <f>"20190303153831284"</f>
        <v>20190303153831284</v>
      </c>
      <c r="B3115" t="str">
        <f>"1551598711272135"</f>
        <v>1551598711272135</v>
      </c>
      <c r="C3115" t="s">
        <v>40</v>
      </c>
      <c r="D3115">
        <v>4.175961</v>
      </c>
      <c r="E3115">
        <v>0.50510189999999999</v>
      </c>
      <c r="F3115" t="s">
        <v>46</v>
      </c>
      <c r="G3115">
        <v>0</v>
      </c>
      <c r="H3115">
        <v>0</v>
      </c>
      <c r="I3115">
        <v>0</v>
      </c>
      <c r="J3115">
        <v>-447.04559999999998</v>
      </c>
      <c r="K3115">
        <v>1.12127</v>
      </c>
      <c r="L3115">
        <v>284.13740000000001</v>
      </c>
      <c r="M3115">
        <v>-0.99988390000000005</v>
      </c>
      <c r="N3115">
        <v>-1.387532E-2</v>
      </c>
      <c r="O3115">
        <v>6.3013740000000002E-3</v>
      </c>
      <c r="P3115">
        <v>-0.99853820000000004</v>
      </c>
      <c r="Q3115">
        <v>-4.8105580000000002E-2</v>
      </c>
      <c r="R3115">
        <v>-2.4645360000000002E-2</v>
      </c>
      <c r="S3115">
        <v>-3.003479</v>
      </c>
      <c r="T3115">
        <v>-1.505494E-3</v>
      </c>
      <c r="U3115">
        <v>-3.6132810000000001E-2</v>
      </c>
      <c r="V3115">
        <v>-3.09368E-2</v>
      </c>
      <c r="W3115">
        <v>-3.4249370000000001E-2</v>
      </c>
      <c r="X3115">
        <v>0.9989344</v>
      </c>
      <c r="Y3115">
        <v>-1.833011E-2</v>
      </c>
      <c r="Z3115" s="1">
        <v>-4.7496880000000001E-5</v>
      </c>
      <c r="AA3115">
        <v>0.99983200000000005</v>
      </c>
      <c r="AB3115">
        <v>25</v>
      </c>
      <c r="AC3115">
        <v>-3.003479</v>
      </c>
      <c r="AD3115">
        <v>-1.505494E-3</v>
      </c>
      <c r="AE3115">
        <v>-3.6132810000000001E-2</v>
      </c>
      <c r="AF3115">
        <v>-5.5059944832592703E-2</v>
      </c>
      <c r="AG3115">
        <v>-1.505494E-3</v>
      </c>
      <c r="AH3115">
        <v>3.0031908951733102</v>
      </c>
      <c r="AI3115">
        <v>90.028717439134297</v>
      </c>
      <c r="AJ3115">
        <v>91.050332522450901</v>
      </c>
      <c r="AK3115">
        <v>3.0036959594621102</v>
      </c>
      <c r="AL3115">
        <v>91.962728159576599</v>
      </c>
      <c r="AM3115">
        <v>91.773871934957299</v>
      </c>
      <c r="AN3115">
        <v>1.00000002022149</v>
      </c>
    </row>
    <row r="3116" spans="1:40" x14ac:dyDescent="0.25">
      <c r="A3116" t="str">
        <f>"20190303153831300"</f>
        <v>20190303153831300</v>
      </c>
      <c r="B3116" t="str">
        <f>"1551598711291653"</f>
        <v>1551598711291653</v>
      </c>
      <c r="C3116" t="s">
        <v>40</v>
      </c>
      <c r="D3116">
        <v>4.1818929999999996</v>
      </c>
      <c r="E3116">
        <v>0.5050791</v>
      </c>
      <c r="F3116" t="s">
        <v>46</v>
      </c>
      <c r="G3116">
        <v>0</v>
      </c>
      <c r="H3116">
        <v>0</v>
      </c>
      <c r="I3116">
        <v>0</v>
      </c>
      <c r="J3116">
        <v>-447.21969999999999</v>
      </c>
      <c r="K3116">
        <v>1.121273</v>
      </c>
      <c r="L3116">
        <v>284.13850000000002</v>
      </c>
      <c r="M3116">
        <v>-0.99988410000000005</v>
      </c>
      <c r="N3116">
        <v>-1.387363E-2</v>
      </c>
      <c r="O3116">
        <v>6.2730149999999998E-3</v>
      </c>
      <c r="P3116">
        <v>-0.99851140000000005</v>
      </c>
      <c r="Q3116">
        <v>-4.9015599999999999E-2</v>
      </c>
      <c r="R3116">
        <v>-2.3925160000000001E-2</v>
      </c>
      <c r="S3116">
        <v>-3.003387</v>
      </c>
      <c r="T3116">
        <v>-1.514196E-3</v>
      </c>
      <c r="U3116">
        <v>-3.482056E-2</v>
      </c>
      <c r="V3116">
        <v>-3.0187519999999999E-2</v>
      </c>
      <c r="W3116">
        <v>-3.516126E-2</v>
      </c>
      <c r="X3116">
        <v>0.99892559999999997</v>
      </c>
      <c r="Y3116">
        <v>-1.7865329999999999E-2</v>
      </c>
      <c r="Z3116" s="1">
        <v>-4.4574150000000001E-5</v>
      </c>
      <c r="AA3116">
        <v>0.99984039999999996</v>
      </c>
      <c r="AB3116">
        <v>25</v>
      </c>
      <c r="AC3116">
        <v>-3.003387</v>
      </c>
      <c r="AD3116">
        <v>-1.514196E-3</v>
      </c>
      <c r="AE3116">
        <v>-3.482056E-2</v>
      </c>
      <c r="AF3116">
        <v>-5.3661965853669003E-2</v>
      </c>
      <c r="AG3116">
        <v>-1.514196E-3</v>
      </c>
      <c r="AH3116">
        <v>3.0031086811854002</v>
      </c>
      <c r="AI3116">
        <v>90.028884464340393</v>
      </c>
      <c r="AJ3116">
        <v>91.023698213547704</v>
      </c>
      <c r="AK3116">
        <v>3.0035884622197999</v>
      </c>
      <c r="AL3116">
        <v>92.015007188338998</v>
      </c>
      <c r="AM3116">
        <v>91.7309509889661</v>
      </c>
      <c r="AN3116">
        <v>0.99999997745194802</v>
      </c>
    </row>
    <row r="3117" spans="1:40" x14ac:dyDescent="0.25">
      <c r="A3117" t="str">
        <f>"20190303153831316"</f>
        <v>20190303153831316</v>
      </c>
      <c r="B3117" t="str">
        <f>"1551598711312150"</f>
        <v>1551598711312150</v>
      </c>
      <c r="C3117" t="s">
        <v>40</v>
      </c>
      <c r="D3117">
        <v>4.1984599999999999</v>
      </c>
      <c r="E3117">
        <v>0.50505040000000001</v>
      </c>
      <c r="F3117" t="s">
        <v>46</v>
      </c>
      <c r="G3117">
        <v>0</v>
      </c>
      <c r="H3117">
        <v>0</v>
      </c>
      <c r="I3117">
        <v>0</v>
      </c>
      <c r="J3117">
        <v>-447.38900000000001</v>
      </c>
      <c r="K3117">
        <v>1.1212740000000001</v>
      </c>
      <c r="L3117">
        <v>284.1395</v>
      </c>
      <c r="M3117">
        <v>-0.99988429999999995</v>
      </c>
      <c r="N3117">
        <v>-1.3871980000000001E-2</v>
      </c>
      <c r="O3117">
        <v>6.2454310000000001E-3</v>
      </c>
      <c r="P3117">
        <v>-0.99852439999999998</v>
      </c>
      <c r="Q3117">
        <v>-4.8969480000000003E-2</v>
      </c>
      <c r="R3117">
        <v>-2.3474419999999999E-2</v>
      </c>
      <c r="S3117">
        <v>-3.0034179999999999</v>
      </c>
      <c r="T3117">
        <v>-5.8758259999999998E-3</v>
      </c>
      <c r="U3117">
        <v>-3.2958979999999999E-2</v>
      </c>
      <c r="V3117">
        <v>-2.9709340000000001E-2</v>
      </c>
      <c r="W3117">
        <v>-3.5116540000000002E-2</v>
      </c>
      <c r="X3117">
        <v>0.99894150000000004</v>
      </c>
      <c r="Y3117">
        <v>-1.7217900000000001E-2</v>
      </c>
      <c r="Z3117" s="1">
        <v>-6.1855130000000006E-5</v>
      </c>
      <c r="AA3117">
        <v>0.99985179999999996</v>
      </c>
      <c r="AB3117">
        <v>25</v>
      </c>
      <c r="AC3117">
        <v>-3.0034179999999999</v>
      </c>
      <c r="AD3117">
        <v>-5.8758259999999998E-3</v>
      </c>
      <c r="AE3117">
        <v>-3.2958979999999999E-2</v>
      </c>
      <c r="AF3117">
        <v>-5.17175836118689E-2</v>
      </c>
      <c r="AG3117">
        <v>-5.8758259999999998E-3</v>
      </c>
      <c r="AH3117">
        <v>3.0031420576399599</v>
      </c>
      <c r="AI3117">
        <v>90.112085837050103</v>
      </c>
      <c r="AJ3117">
        <v>90.9866021428615</v>
      </c>
      <c r="AK3117">
        <v>3.00359309030897</v>
      </c>
      <c r="AL3117">
        <v>92.012443356022501</v>
      </c>
      <c r="AM3117">
        <v>91.7035213572114</v>
      </c>
      <c r="AN3117">
        <v>0.999999968343528</v>
      </c>
    </row>
    <row r="3118" spans="1:40" x14ac:dyDescent="0.25">
      <c r="A3118" t="str">
        <f>"20190303153831328"</f>
        <v>20190303153831328</v>
      </c>
      <c r="B3118" t="str">
        <f>"1551598711321910"</f>
        <v>1551598711321910</v>
      </c>
      <c r="C3118" t="s">
        <v>40</v>
      </c>
      <c r="D3118">
        <v>4.1916460000000004</v>
      </c>
      <c r="E3118">
        <v>0.50504329999999997</v>
      </c>
      <c r="F3118" t="s">
        <v>46</v>
      </c>
      <c r="G3118">
        <v>0</v>
      </c>
      <c r="H3118">
        <v>0</v>
      </c>
      <c r="I3118">
        <v>0</v>
      </c>
      <c r="J3118">
        <v>-447.53649999999999</v>
      </c>
      <c r="K3118">
        <v>1.1212740000000001</v>
      </c>
      <c r="L3118">
        <v>284.1404</v>
      </c>
      <c r="M3118">
        <v>-0.99988440000000001</v>
      </c>
      <c r="N3118">
        <v>-1.3870540000000001E-2</v>
      </c>
      <c r="O3118">
        <v>6.2214219999999999E-3</v>
      </c>
      <c r="P3118">
        <v>-0.99852680000000005</v>
      </c>
      <c r="Q3118">
        <v>-4.9137340000000002E-2</v>
      </c>
      <c r="R3118">
        <v>-2.3015509999999999E-2</v>
      </c>
      <c r="S3118">
        <v>-3.0033259999999999</v>
      </c>
      <c r="T3118">
        <v>-6.6602229999999998E-3</v>
      </c>
      <c r="U3118">
        <v>-3.1799319999999999E-2</v>
      </c>
      <c r="V3118">
        <v>-2.922663E-2</v>
      </c>
      <c r="W3118">
        <v>-3.5285730000000001E-2</v>
      </c>
      <c r="X3118">
        <v>0.9989498</v>
      </c>
      <c r="Y3118">
        <v>-1.6808190000000001E-2</v>
      </c>
      <c r="Z3118" s="1">
        <v>-6.2715589999999999E-5</v>
      </c>
      <c r="AA3118">
        <v>0.99985869999999999</v>
      </c>
      <c r="AB3118">
        <v>25</v>
      </c>
      <c r="AC3118">
        <v>-3.0033259999999999</v>
      </c>
      <c r="AD3118">
        <v>-6.6602229999999998E-3</v>
      </c>
      <c r="AE3118">
        <v>-3.1799319999999999E-2</v>
      </c>
      <c r="AF3118">
        <v>-5.0485213167229703E-2</v>
      </c>
      <c r="AG3118">
        <v>-6.6602229999999998E-3</v>
      </c>
      <c r="AH3118">
        <v>3.00305524188175</v>
      </c>
      <c r="AI3118">
        <v>90.127053317266402</v>
      </c>
      <c r="AJ3118">
        <v>90.963124869517202</v>
      </c>
      <c r="AK3118">
        <v>3.0034869570404998</v>
      </c>
      <c r="AL3118">
        <v>92.022143195408802</v>
      </c>
      <c r="AM3118">
        <v>91.675844961475306</v>
      </c>
      <c r="AN3118">
        <v>0.99999999078141399</v>
      </c>
    </row>
    <row r="3119" spans="1:40" x14ac:dyDescent="0.25">
      <c r="A3119" t="str">
        <f>"20190303153831345"</f>
        <v>20190303153831345</v>
      </c>
      <c r="B3119" t="str">
        <f>"1551598711342406"</f>
        <v>1551598711342406</v>
      </c>
      <c r="C3119" t="s">
        <v>40</v>
      </c>
      <c r="D3119">
        <v>4.1982419999999996</v>
      </c>
      <c r="E3119">
        <v>0.50498679999999996</v>
      </c>
      <c r="F3119" t="s">
        <v>46</v>
      </c>
      <c r="G3119">
        <v>0</v>
      </c>
      <c r="H3119">
        <v>0</v>
      </c>
      <c r="I3119">
        <v>0</v>
      </c>
      <c r="J3119">
        <v>-447.71899999999999</v>
      </c>
      <c r="K3119">
        <v>1.1212679999999999</v>
      </c>
      <c r="L3119">
        <v>284.14150000000001</v>
      </c>
      <c r="M3119">
        <v>-0.99988469999999996</v>
      </c>
      <c r="N3119">
        <v>-1.3868729999999999E-2</v>
      </c>
      <c r="O3119">
        <v>6.1915159999999898E-3</v>
      </c>
      <c r="P3119">
        <v>-0.99854279999999995</v>
      </c>
      <c r="Q3119">
        <v>-4.9104780000000001E-2</v>
      </c>
      <c r="R3119">
        <v>-2.2388890000000002E-2</v>
      </c>
      <c r="S3119">
        <v>-3.0033569999999998</v>
      </c>
      <c r="T3119">
        <v>-7.5798030000000004E-3</v>
      </c>
      <c r="U3119">
        <v>-3.0181880000000001E-2</v>
      </c>
      <c r="V3119">
        <v>-2.8570749999999999E-2</v>
      </c>
      <c r="W3119">
        <v>-3.5254670000000002E-2</v>
      </c>
      <c r="X3119">
        <v>0.99896989999999997</v>
      </c>
      <c r="Y3119">
        <v>-1.6239750000000001E-2</v>
      </c>
      <c r="Z3119" s="1">
        <v>-6.2868809999999998E-5</v>
      </c>
      <c r="AA3119">
        <v>0.99986810000000004</v>
      </c>
      <c r="AB3119">
        <v>25</v>
      </c>
      <c r="AC3119">
        <v>-3.0033569999999998</v>
      </c>
      <c r="AD3119">
        <v>-7.5798030000000004E-3</v>
      </c>
      <c r="AE3119">
        <v>-3.0181880000000001E-2</v>
      </c>
      <c r="AF3119">
        <v>-4.8778111386057997E-2</v>
      </c>
      <c r="AG3119">
        <v>-7.5798030000000004E-3</v>
      </c>
      <c r="AH3119">
        <v>3.0030934060480998</v>
      </c>
      <c r="AI3119">
        <v>90.144595077245896</v>
      </c>
      <c r="AJ3119">
        <v>90.930551867877298</v>
      </c>
      <c r="AK3119">
        <v>3.0034990865677802</v>
      </c>
      <c r="AL3119">
        <v>92.020362420861304</v>
      </c>
      <c r="AM3119">
        <v>91.638224811260798</v>
      </c>
      <c r="AN3119">
        <v>1.0000000203091901</v>
      </c>
    </row>
    <row r="3120" spans="1:40" x14ac:dyDescent="0.25">
      <c r="A3120" t="str">
        <f>"20190303153831367"</f>
        <v>20190303153831367</v>
      </c>
      <c r="B3120" t="str">
        <f>"1551598711361926"</f>
        <v>1551598711361926</v>
      </c>
      <c r="C3120" t="s">
        <v>40</v>
      </c>
      <c r="D3120">
        <v>4.2009930000000004</v>
      </c>
      <c r="E3120">
        <v>0.50101289999999998</v>
      </c>
      <c r="F3120" t="s">
        <v>46</v>
      </c>
      <c r="G3120">
        <v>0</v>
      </c>
      <c r="H3120">
        <v>0</v>
      </c>
      <c r="I3120">
        <v>0</v>
      </c>
      <c r="J3120">
        <v>-447.9692</v>
      </c>
      <c r="K3120">
        <v>1.12127</v>
      </c>
      <c r="L3120">
        <v>284.14299999999997</v>
      </c>
      <c r="M3120">
        <v>-0.99988500000000002</v>
      </c>
      <c r="N3120">
        <v>-1.386622E-2</v>
      </c>
      <c r="O3120">
        <v>6.1507059999999997E-3</v>
      </c>
      <c r="P3120">
        <v>-0.99857149999999995</v>
      </c>
      <c r="Q3120">
        <v>-4.8651899999999998E-2</v>
      </c>
      <c r="R3120">
        <v>-2.2091010000000001E-2</v>
      </c>
      <c r="S3120">
        <v>-3.0032960000000002</v>
      </c>
      <c r="T3120">
        <v>-8.8933710000000006E-3</v>
      </c>
      <c r="U3120">
        <v>-2.8717039999999999E-2</v>
      </c>
      <c r="V3120">
        <v>-2.823204E-2</v>
      </c>
      <c r="W3120">
        <v>-3.4803880000000002E-2</v>
      </c>
      <c r="X3120">
        <v>0.99899530000000003</v>
      </c>
      <c r="Y3120">
        <v>-1.571148E-2</v>
      </c>
      <c r="Z3120" s="1">
        <v>-6.5123789999999994E-5</v>
      </c>
      <c r="AA3120">
        <v>0.9998766</v>
      </c>
      <c r="AB3120">
        <v>25</v>
      </c>
      <c r="AC3120">
        <v>-3.0032960000000002</v>
      </c>
      <c r="AD3120">
        <v>-8.8933710000000006E-3</v>
      </c>
      <c r="AE3120">
        <v>-2.8717039999999999E-2</v>
      </c>
      <c r="AF3120">
        <v>-4.71902486994406E-2</v>
      </c>
      <c r="AG3120">
        <v>-8.8933710000000006E-3</v>
      </c>
      <c r="AH3120">
        <v>3.0030362019820802</v>
      </c>
      <c r="AI3120">
        <v>90.169657706052902</v>
      </c>
      <c r="AJ3120">
        <v>90.900282041553695</v>
      </c>
      <c r="AK3120">
        <v>3.0034201241309901</v>
      </c>
      <c r="AL3120">
        <v>91.994518268653295</v>
      </c>
      <c r="AM3120">
        <v>91.618772699197095</v>
      </c>
      <c r="AN3120">
        <v>0.99999998378385202</v>
      </c>
    </row>
    <row r="3121" spans="1:40" x14ac:dyDescent="0.25">
      <c r="A3121" t="str">
        <f>"20190303153831389"</f>
        <v>20190303153831389</v>
      </c>
      <c r="B3121" t="str">
        <f>"1551598711381451"</f>
        <v>1551598711381451</v>
      </c>
      <c r="C3121" t="s">
        <v>40</v>
      </c>
      <c r="D3121">
        <v>4.201918</v>
      </c>
      <c r="E3121">
        <v>0.50091839999999999</v>
      </c>
      <c r="F3121" t="s">
        <v>43</v>
      </c>
      <c r="G3121">
        <v>-557.79740000000004</v>
      </c>
      <c r="H3121">
        <v>-0.05</v>
      </c>
      <c r="I3121">
        <v>281.96660000000003</v>
      </c>
      <c r="J3121">
        <v>-448.2122</v>
      </c>
      <c r="K3121">
        <v>1.1212819999999999</v>
      </c>
      <c r="L3121">
        <v>284.14440000000002</v>
      </c>
      <c r="M3121">
        <v>-0.99988540000000004</v>
      </c>
      <c r="N3121">
        <v>-1.3863759999999999E-2</v>
      </c>
      <c r="O3121">
        <v>6.1107319999999998E-3</v>
      </c>
      <c r="P3121">
        <v>-0.99858789999999997</v>
      </c>
      <c r="Q3121">
        <v>-4.8190839999999999E-2</v>
      </c>
      <c r="R3121">
        <v>-2.2370870000000001E-2</v>
      </c>
      <c r="S3121">
        <v>-3.001404</v>
      </c>
      <c r="T3121">
        <v>-3.200865E-2</v>
      </c>
      <c r="U3121">
        <v>-5.9478759999999999E-2</v>
      </c>
      <c r="V3121">
        <v>-2.8472089999999999E-2</v>
      </c>
      <c r="W3121">
        <v>-3.4345109999999998E-2</v>
      </c>
      <c r="X3121">
        <v>0.99900440000000001</v>
      </c>
      <c r="Y3121">
        <v>-2.5919419999999999E-2</v>
      </c>
      <c r="Z3121">
        <v>-2.9834780000000002E-4</v>
      </c>
      <c r="AA3121">
        <v>0.999664</v>
      </c>
      <c r="AB3121">
        <v>25</v>
      </c>
      <c r="AC3121">
        <v>-109.5852</v>
      </c>
      <c r="AD3121">
        <v>-1.1712819999999999</v>
      </c>
      <c r="AE3121">
        <v>-2.17779999999998</v>
      </c>
      <c r="AF3121">
        <v>-2.8471442330868499</v>
      </c>
      <c r="AG3121">
        <v>-1.1712819999999999</v>
      </c>
      <c r="AH3121">
        <v>109.55733343081501</v>
      </c>
      <c r="AI3121">
        <v>90.612321502728904</v>
      </c>
      <c r="AJ3121">
        <v>91.488651049179197</v>
      </c>
      <c r="AK3121">
        <v>109.600581386589</v>
      </c>
      <c r="AL3121">
        <v>91.968216889236103</v>
      </c>
      <c r="AM3121">
        <v>91.632514440264302</v>
      </c>
      <c r="AN3121">
        <v>1.0000000188546101</v>
      </c>
    </row>
    <row r="3122" spans="1:40" x14ac:dyDescent="0.25">
      <c r="A3122" t="str">
        <f>"20190303153831404"</f>
        <v>20190303153831404</v>
      </c>
      <c r="B3122" t="str">
        <f>"1551598711392182"</f>
        <v>1551598711392182</v>
      </c>
      <c r="C3122" t="s">
        <v>40</v>
      </c>
      <c r="D3122">
        <v>4.2034909999999996</v>
      </c>
      <c r="E3122">
        <v>0.50092040000000004</v>
      </c>
      <c r="F3122" t="s">
        <v>46</v>
      </c>
      <c r="G3122">
        <v>0</v>
      </c>
      <c r="H3122">
        <v>0</v>
      </c>
      <c r="I3122">
        <v>0</v>
      </c>
      <c r="J3122">
        <v>-448.37779999999998</v>
      </c>
      <c r="K3122">
        <v>1.1212839999999999</v>
      </c>
      <c r="L3122">
        <v>284.1454</v>
      </c>
      <c r="M3122">
        <v>-0.99988549999999998</v>
      </c>
      <c r="N3122">
        <v>-1.3862070000000001E-2</v>
      </c>
      <c r="O3122">
        <v>6.0833320000000003E-3</v>
      </c>
      <c r="P3122">
        <v>-0.99859600000000004</v>
      </c>
      <c r="Q3122">
        <v>-4.7931700000000001E-2</v>
      </c>
      <c r="R3122">
        <v>-2.2561439999999999E-2</v>
      </c>
      <c r="S3122">
        <v>-3.0016780000000001</v>
      </c>
      <c r="T3122">
        <v>-2.4906040000000001E-2</v>
      </c>
      <c r="U3122">
        <v>-6.097412E-2</v>
      </c>
      <c r="V3122">
        <v>-2.863574E-2</v>
      </c>
      <c r="W3122">
        <v>-3.4087569999999998E-2</v>
      </c>
      <c r="X3122">
        <v>0.99900849999999997</v>
      </c>
      <c r="Y3122">
        <v>-2.638892E-2</v>
      </c>
      <c r="Z3122">
        <v>-2.5855190000000002E-4</v>
      </c>
      <c r="AA3122">
        <v>0.99965170000000003</v>
      </c>
      <c r="AB3122">
        <v>25</v>
      </c>
      <c r="AC3122">
        <v>-3.0016780000000001</v>
      </c>
      <c r="AD3122">
        <v>-2.4906040000000001E-2</v>
      </c>
      <c r="AE3122">
        <v>-6.097412E-2</v>
      </c>
      <c r="AF3122">
        <v>-7.9229496005846403E-2</v>
      </c>
      <c r="AG3122">
        <v>-2.4906040000000001E-2</v>
      </c>
      <c r="AH3122">
        <v>3.0010449600686302</v>
      </c>
      <c r="AI3122">
        <v>90.475328167355698</v>
      </c>
      <c r="AJ3122">
        <v>91.512293739078004</v>
      </c>
      <c r="AK3122">
        <v>3.0021939438049499</v>
      </c>
      <c r="AL3122">
        <v>91.953452373620706</v>
      </c>
      <c r="AM3122">
        <v>91.641885842821907</v>
      </c>
      <c r="AN3122">
        <v>0.99999997555304998</v>
      </c>
    </row>
    <row r="3123" spans="1:40" x14ac:dyDescent="0.25">
      <c r="A3123" t="str">
        <f>"20190303153831416"</f>
        <v>20190303153831416</v>
      </c>
      <c r="B3123" t="str">
        <f>"1551598711411702"</f>
        <v>1551598711411702</v>
      </c>
      <c r="C3123" t="s">
        <v>40</v>
      </c>
      <c r="D3123">
        <v>4.2311040000000002</v>
      </c>
      <c r="E3123">
        <v>0.5010599</v>
      </c>
      <c r="F3123" t="s">
        <v>46</v>
      </c>
      <c r="G3123">
        <v>0</v>
      </c>
      <c r="H3123">
        <v>0</v>
      </c>
      <c r="I3123">
        <v>0</v>
      </c>
      <c r="J3123">
        <v>-448.51920000000001</v>
      </c>
      <c r="K3123">
        <v>1.121286</v>
      </c>
      <c r="L3123">
        <v>284.14620000000002</v>
      </c>
      <c r="M3123">
        <v>-0.99988560000000004</v>
      </c>
      <c r="N3123">
        <v>-1.3860630000000001E-2</v>
      </c>
      <c r="O3123">
        <v>6.0603360000000004E-3</v>
      </c>
      <c r="P3123">
        <v>-0.99859640000000005</v>
      </c>
      <c r="Q3123">
        <v>-4.7813170000000002E-2</v>
      </c>
      <c r="R3123">
        <v>-2.2783879999999999E-2</v>
      </c>
      <c r="S3123">
        <v>-3.0015559999999999</v>
      </c>
      <c r="T3123">
        <v>-2.613878E-2</v>
      </c>
      <c r="U3123">
        <v>-6.1614990000000001E-2</v>
      </c>
      <c r="V3123">
        <v>-2.8834970000000001E-2</v>
      </c>
      <c r="W3123">
        <v>-3.3970500000000001E-2</v>
      </c>
      <c r="X3123">
        <v>0.99900679999999997</v>
      </c>
      <c r="Y3123">
        <v>-2.6579930000000002E-2</v>
      </c>
      <c r="Z3123">
        <v>-2.6873929999999998E-4</v>
      </c>
      <c r="AA3123">
        <v>0.9996467</v>
      </c>
      <c r="AB3123">
        <v>25</v>
      </c>
      <c r="AC3123">
        <v>-3.0015559999999999</v>
      </c>
      <c r="AD3123">
        <v>-2.613878E-2</v>
      </c>
      <c r="AE3123">
        <v>-6.1614990000000001E-2</v>
      </c>
      <c r="AF3123">
        <v>-7.9799994044514405E-2</v>
      </c>
      <c r="AG3123">
        <v>-2.613878E-2</v>
      </c>
      <c r="AH3123">
        <v>3.0008999438169601</v>
      </c>
      <c r="AI3123">
        <v>90.498875248472501</v>
      </c>
      <c r="AJ3123">
        <v>91.523251585888303</v>
      </c>
      <c r="AK3123">
        <v>3.0020745739688199</v>
      </c>
      <c r="AL3123">
        <v>91.946740786086707</v>
      </c>
      <c r="AM3123">
        <v>91.653305576117901</v>
      </c>
      <c r="AN3123">
        <v>1.0000000184056901</v>
      </c>
    </row>
    <row r="3124" spans="1:40" x14ac:dyDescent="0.25">
      <c r="A3124" t="str">
        <f>"20190303153831430"</f>
        <v>20190303153831430</v>
      </c>
      <c r="B3124" t="str">
        <f>"1551598711421462"</f>
        <v>1551598711421462</v>
      </c>
      <c r="C3124" t="s">
        <v>40</v>
      </c>
      <c r="D3124">
        <v>4.232043</v>
      </c>
      <c r="E3124">
        <v>0.50105690000000003</v>
      </c>
      <c r="F3124" t="s">
        <v>46</v>
      </c>
      <c r="G3124">
        <v>0</v>
      </c>
      <c r="H3124">
        <v>0</v>
      </c>
      <c r="I3124">
        <v>0</v>
      </c>
      <c r="J3124">
        <v>-448.66640000000001</v>
      </c>
      <c r="K3124">
        <v>1.1212869999999999</v>
      </c>
      <c r="L3124">
        <v>284.14710000000002</v>
      </c>
      <c r="M3124">
        <v>-0.99988569999999999</v>
      </c>
      <c r="N3124">
        <v>-1.3859120000000001E-2</v>
      </c>
      <c r="O3124">
        <v>6.0365039999999998E-3</v>
      </c>
      <c r="P3124">
        <v>-0.998587</v>
      </c>
      <c r="Q3124">
        <v>-4.7792590000000003E-2</v>
      </c>
      <c r="R3124">
        <v>-2.324644E-2</v>
      </c>
      <c r="S3124">
        <v>-3.0015559999999999</v>
      </c>
      <c r="T3124">
        <v>-2.7073980000000001E-2</v>
      </c>
      <c r="U3124">
        <v>-6.1126710000000001E-2</v>
      </c>
      <c r="V3124">
        <v>-2.9273239999999999E-2</v>
      </c>
      <c r="W3124">
        <v>-3.3951599999999998E-2</v>
      </c>
      <c r="X3124">
        <v>0.99899459999999995</v>
      </c>
      <c r="Y3124">
        <v>-2.6393460000000001E-2</v>
      </c>
      <c r="Z3124">
        <v>-2.727386E-4</v>
      </c>
      <c r="AA3124">
        <v>0.99965159999999997</v>
      </c>
      <c r="AB3124">
        <v>25</v>
      </c>
      <c r="AC3124">
        <v>-3.0015559999999999</v>
      </c>
      <c r="AD3124">
        <v>-2.7073980000000001E-2</v>
      </c>
      <c r="AE3124">
        <v>-6.1126710000000001E-2</v>
      </c>
      <c r="AF3124">
        <v>-7.9239797586125302E-2</v>
      </c>
      <c r="AG3124">
        <v>-2.7073980000000001E-2</v>
      </c>
      <c r="AH3124">
        <v>3.0008882232301102</v>
      </c>
      <c r="AI3124">
        <v>90.5167277552587</v>
      </c>
      <c r="AJ3124">
        <v>91.512569240152004</v>
      </c>
      <c r="AK3124">
        <v>3.0020563076391</v>
      </c>
      <c r="AL3124">
        <v>91.945657457963407</v>
      </c>
      <c r="AM3124">
        <v>91.678440805116395</v>
      </c>
      <c r="AN3124">
        <v>0.99999992227590495</v>
      </c>
    </row>
    <row r="3125" spans="1:40" x14ac:dyDescent="0.25">
      <c r="A3125" t="str">
        <f>"20190303153831441"</f>
        <v>20190303153831441</v>
      </c>
      <c r="B3125" t="str">
        <f>"1551598711432198"</f>
        <v>1551598711432198</v>
      </c>
      <c r="C3125" t="s">
        <v>40</v>
      </c>
      <c r="D3125">
        <v>4.2060740000000001</v>
      </c>
      <c r="E3125">
        <v>0.50105690000000003</v>
      </c>
      <c r="F3125" t="s">
        <v>46</v>
      </c>
      <c r="G3125">
        <v>0</v>
      </c>
      <c r="H3125">
        <v>0</v>
      </c>
      <c r="I3125">
        <v>0</v>
      </c>
      <c r="J3125">
        <v>-448.80689999999998</v>
      </c>
      <c r="K3125">
        <v>1.1212879999999901</v>
      </c>
      <c r="L3125">
        <v>284.14789999999999</v>
      </c>
      <c r="M3125">
        <v>-0.99988600000000005</v>
      </c>
      <c r="N3125">
        <v>-1.385754E-2</v>
      </c>
      <c r="O3125">
        <v>6.0132700000000002E-3</v>
      </c>
      <c r="P3125">
        <v>-0.9985619</v>
      </c>
      <c r="Q3125">
        <v>-4.7942739999999998E-2</v>
      </c>
      <c r="R3125">
        <v>-2.3997069999999999E-2</v>
      </c>
      <c r="S3125">
        <v>-3.001465</v>
      </c>
      <c r="T3125">
        <v>-2.7755019999999998E-2</v>
      </c>
      <c r="U3125">
        <v>-6.2530520000000006E-2</v>
      </c>
      <c r="V3125">
        <v>-3.0000949999999998E-2</v>
      </c>
      <c r="W3125">
        <v>-3.4103750000000002E-2</v>
      </c>
      <c r="X3125">
        <v>0.99896790000000002</v>
      </c>
      <c r="Y3125">
        <v>-2.6838049999999999E-2</v>
      </c>
      <c r="Z3125">
        <v>-2.8234050000000002E-4</v>
      </c>
      <c r="AA3125">
        <v>0.99963970000000002</v>
      </c>
      <c r="AB3125">
        <v>25</v>
      </c>
      <c r="AC3125">
        <v>-3.001465</v>
      </c>
      <c r="AD3125">
        <v>-2.7755019999999998E-2</v>
      </c>
      <c r="AE3125">
        <v>-6.2530520000000006E-2</v>
      </c>
      <c r="AF3125">
        <v>-8.0572853251002594E-2</v>
      </c>
      <c r="AG3125">
        <v>-2.7755019999999998E-2</v>
      </c>
      <c r="AH3125">
        <v>3.0007781895222201</v>
      </c>
      <c r="AI3125">
        <v>90.529738344269305</v>
      </c>
      <c r="AJ3125">
        <v>91.538059527562496</v>
      </c>
      <c r="AK3125">
        <v>3.0019880193845601</v>
      </c>
      <c r="AL3125">
        <v>91.954379922616297</v>
      </c>
      <c r="AM3125">
        <v>91.720186723388395</v>
      </c>
      <c r="AN3125">
        <v>0.99999999399768702</v>
      </c>
    </row>
    <row r="3126" spans="1:40" x14ac:dyDescent="0.25">
      <c r="A3126" t="str">
        <f>"20190303153831455"</f>
        <v>20190303153831455</v>
      </c>
      <c r="B3126" t="str">
        <f>"1551598711451719"</f>
        <v>1551598711451719</v>
      </c>
      <c r="C3126" t="s">
        <v>40</v>
      </c>
      <c r="D3126">
        <v>4.2133890000000003</v>
      </c>
      <c r="E3126">
        <v>0.50147819999999999</v>
      </c>
      <c r="F3126" t="s">
        <v>46</v>
      </c>
      <c r="G3126">
        <v>0</v>
      </c>
      <c r="H3126">
        <v>0</v>
      </c>
      <c r="I3126">
        <v>0</v>
      </c>
      <c r="J3126">
        <v>-448.94799999999998</v>
      </c>
      <c r="K3126">
        <v>1.121286</v>
      </c>
      <c r="L3126">
        <v>284.14870000000002</v>
      </c>
      <c r="M3126">
        <v>-0.99988600000000005</v>
      </c>
      <c r="N3126">
        <v>-1.385599E-2</v>
      </c>
      <c r="O3126">
        <v>5.9902769999999996E-3</v>
      </c>
      <c r="P3126">
        <v>-0.99855850000000002</v>
      </c>
      <c r="Q3126">
        <v>-4.778201E-2</v>
      </c>
      <c r="R3126">
        <v>-2.4451509999999999E-2</v>
      </c>
      <c r="S3126">
        <v>-3.0014340000000002</v>
      </c>
      <c r="T3126">
        <v>-2.8204079999999999E-2</v>
      </c>
      <c r="U3126">
        <v>-6.4849850000000001E-2</v>
      </c>
      <c r="V3126">
        <v>-3.0432210000000001E-2</v>
      </c>
      <c r="W3126">
        <v>-3.3944660000000001E-2</v>
      </c>
      <c r="X3126">
        <v>0.99896030000000002</v>
      </c>
      <c r="Y3126">
        <v>-2.7587239999999999E-2</v>
      </c>
      <c r="Z3126">
        <v>-2.9405229999999999E-4</v>
      </c>
      <c r="AA3126">
        <v>0.99961940000000005</v>
      </c>
      <c r="AB3126">
        <v>25</v>
      </c>
      <c r="AC3126">
        <v>-3.0014340000000002</v>
      </c>
      <c r="AD3126">
        <v>-2.8204079999999999E-2</v>
      </c>
      <c r="AE3126">
        <v>-6.4849850000000001E-2</v>
      </c>
      <c r="AF3126">
        <v>-8.2822524600215303E-2</v>
      </c>
      <c r="AG3126">
        <v>-2.8204079999999999E-2</v>
      </c>
      <c r="AH3126">
        <v>3.0007267884901099</v>
      </c>
      <c r="AI3126">
        <v>90.538306935469393</v>
      </c>
      <c r="AJ3126">
        <v>91.581009193504997</v>
      </c>
      <c r="AK3126">
        <v>3.0020020486122201</v>
      </c>
      <c r="AL3126">
        <v>91.945259405406304</v>
      </c>
      <c r="AM3126">
        <v>91.744912286599302</v>
      </c>
      <c r="AN3126">
        <v>1.00000002016204</v>
      </c>
    </row>
    <row r="3127" spans="1:40" x14ac:dyDescent="0.25">
      <c r="A3127" t="str">
        <f>"20190303153831467"</f>
        <v>20190303153831467</v>
      </c>
      <c r="B3127" t="str">
        <f>"1551598711461478"</f>
        <v>1551598711461478</v>
      </c>
      <c r="C3127" t="s">
        <v>40</v>
      </c>
      <c r="D3127">
        <v>4.2229929999999998</v>
      </c>
      <c r="E3127">
        <v>0.50139230000000001</v>
      </c>
      <c r="F3127" t="s">
        <v>51</v>
      </c>
      <c r="G3127">
        <v>-494.91660000000002</v>
      </c>
      <c r="H3127" s="1">
        <v>2.9680199999999999E-6</v>
      </c>
      <c r="I3127">
        <v>283.1927</v>
      </c>
      <c r="J3127">
        <v>-449.08089999999999</v>
      </c>
      <c r="K3127">
        <v>1.1212850000000001</v>
      </c>
      <c r="L3127">
        <v>284.14949999999999</v>
      </c>
      <c r="M3127">
        <v>-0.99988630000000001</v>
      </c>
      <c r="N3127">
        <v>-1.385457E-2</v>
      </c>
      <c r="O3127">
        <v>5.9682959999999997E-3</v>
      </c>
      <c r="P3127">
        <v>-0.99854880000000001</v>
      </c>
      <c r="Q3127">
        <v>-4.7563130000000002E-2</v>
      </c>
      <c r="R3127">
        <v>-2.526424E-2</v>
      </c>
      <c r="S3127">
        <v>-2.999298</v>
      </c>
      <c r="T3127">
        <v>-7.3160050000000004E-2</v>
      </c>
      <c r="U3127">
        <v>-6.2377929999999998E-2</v>
      </c>
      <c r="V3127">
        <v>-3.122316E-2</v>
      </c>
      <c r="W3127">
        <v>-3.3727430000000003E-2</v>
      </c>
      <c r="X3127">
        <v>0.99894320000000003</v>
      </c>
      <c r="Y3127">
        <v>-2.6747420000000001E-2</v>
      </c>
      <c r="Z3127">
        <v>-5.7436029999999999E-4</v>
      </c>
      <c r="AA3127">
        <v>0.99964209999999998</v>
      </c>
      <c r="AB3127">
        <v>25</v>
      </c>
      <c r="AC3127">
        <v>-45.835700000000003</v>
      </c>
      <c r="AD3127">
        <v>-1.1212820319800001</v>
      </c>
      <c r="AE3127">
        <v>-0.95679999999998699</v>
      </c>
      <c r="AF3127">
        <v>-1.22963466997755</v>
      </c>
      <c r="AG3127">
        <v>-1.1212820319800001</v>
      </c>
      <c r="AH3127">
        <v>45.801774713997801</v>
      </c>
      <c r="AI3127">
        <v>91.401883934240203</v>
      </c>
      <c r="AJ3127">
        <v>91.537843419179794</v>
      </c>
      <c r="AK3127">
        <v>45.8319958300821</v>
      </c>
      <c r="AL3127">
        <v>91.932806007521506</v>
      </c>
      <c r="AM3127">
        <v>91.790265011375993</v>
      </c>
      <c r="AN3127">
        <v>0.99999997104051397</v>
      </c>
    </row>
    <row r="3128" spans="1:40" x14ac:dyDescent="0.25">
      <c r="A3128" t="str">
        <f>"20190303153831489"</f>
        <v>20190303153831489</v>
      </c>
      <c r="B3128" t="str">
        <f>"1551598711481974"</f>
        <v>1551598711481974</v>
      </c>
      <c r="C3128" t="s">
        <v>40</v>
      </c>
      <c r="D3128">
        <v>4.2628560000000002</v>
      </c>
      <c r="E3128">
        <v>0.50152870000000005</v>
      </c>
      <c r="F3128" t="s">
        <v>51</v>
      </c>
      <c r="G3128">
        <v>-495.44060000000002</v>
      </c>
      <c r="H3128" s="1">
        <v>2.8700660000000002E-6</v>
      </c>
      <c r="I3128">
        <v>283.13529999999997</v>
      </c>
      <c r="J3128">
        <v>-449.32670000000002</v>
      </c>
      <c r="K3128">
        <v>1.1212899999999999</v>
      </c>
      <c r="L3128">
        <v>284.15089999999998</v>
      </c>
      <c r="M3128">
        <v>-0.99988650000000001</v>
      </c>
      <c r="N3128">
        <v>-1.385218E-2</v>
      </c>
      <c r="O3128">
        <v>5.9281439999999998E-3</v>
      </c>
      <c r="P3128">
        <v>-0.99856789999999995</v>
      </c>
      <c r="Q3128">
        <v>-4.679991E-2</v>
      </c>
      <c r="R3128">
        <v>-2.5916539999999998E-2</v>
      </c>
      <c r="S3128">
        <v>-2.9992679999999998</v>
      </c>
      <c r="T3128">
        <v>-7.254207E-2</v>
      </c>
      <c r="U3128">
        <v>-6.5612790000000004E-2</v>
      </c>
      <c r="V3128">
        <v>-3.1835090000000003E-2</v>
      </c>
      <c r="W3128">
        <v>-3.296644E-2</v>
      </c>
      <c r="X3128">
        <v>0.99894930000000004</v>
      </c>
      <c r="Y3128">
        <v>-2.7784860000000002E-2</v>
      </c>
      <c r="Z3128">
        <v>-5.8967769999999995E-4</v>
      </c>
      <c r="AA3128">
        <v>0.9996138</v>
      </c>
      <c r="AB3128">
        <v>25</v>
      </c>
      <c r="AC3128">
        <v>-46.113900000000001</v>
      </c>
      <c r="AD3128">
        <v>-1.1212871299339999</v>
      </c>
      <c r="AE3128">
        <v>-1.0156000000000001</v>
      </c>
      <c r="AF3128">
        <v>-1.2882169295249</v>
      </c>
      <c r="AG3128">
        <v>-1.1212871299339999</v>
      </c>
      <c r="AH3128">
        <v>46.079836928135997</v>
      </c>
      <c r="AI3128">
        <v>91.3933918362887</v>
      </c>
      <c r="AJ3128">
        <v>91.601354920955302</v>
      </c>
      <c r="AK3128">
        <v>46.111475350598802</v>
      </c>
      <c r="AL3128">
        <v>91.889180207019606</v>
      </c>
      <c r="AM3128">
        <v>91.825317040056007</v>
      </c>
      <c r="AN3128">
        <v>0.99999998154603498</v>
      </c>
    </row>
    <row r="3129" spans="1:40" x14ac:dyDescent="0.25">
      <c r="A3129" t="str">
        <f>"20190303153831505"</f>
        <v>20190303153831505</v>
      </c>
      <c r="B3129" t="str">
        <f>"1551598711501494"</f>
        <v>1551598711501494</v>
      </c>
      <c r="C3129" t="s">
        <v>40</v>
      </c>
      <c r="D3129">
        <v>4.2298049999999998</v>
      </c>
      <c r="E3129">
        <v>0.50174169999999996</v>
      </c>
      <c r="F3129" t="s">
        <v>51</v>
      </c>
      <c r="G3129">
        <v>-497.6388</v>
      </c>
      <c r="H3129" s="1">
        <v>2.4752800000000001E-6</v>
      </c>
      <c r="I3129">
        <v>283.07979999999998</v>
      </c>
      <c r="J3129">
        <v>-449.5009</v>
      </c>
      <c r="K3129">
        <v>1.121292</v>
      </c>
      <c r="L3129">
        <v>284.15190000000001</v>
      </c>
      <c r="M3129">
        <v>-0.99988679999999996</v>
      </c>
      <c r="N3129">
        <v>-1.3850589999999999E-2</v>
      </c>
      <c r="O3129">
        <v>5.899428E-3</v>
      </c>
      <c r="P3129">
        <v>-0.99856049999999996</v>
      </c>
      <c r="Q3129">
        <v>-4.683644E-2</v>
      </c>
      <c r="R3129">
        <v>-2.6145249999999998E-2</v>
      </c>
      <c r="S3129">
        <v>-2.9993289999999999</v>
      </c>
      <c r="T3129">
        <v>-6.9612149999999998E-2</v>
      </c>
      <c r="U3129">
        <v>-6.6497799999999996E-2</v>
      </c>
      <c r="V3129">
        <v>-3.2035109999999999E-2</v>
      </c>
      <c r="W3129">
        <v>-3.300467E-2</v>
      </c>
      <c r="X3129">
        <v>0.99894170000000004</v>
      </c>
      <c r="Y3129">
        <v>-2.805129E-2</v>
      </c>
      <c r="Z3129">
        <v>-5.7496789999999999E-4</v>
      </c>
      <c r="AA3129">
        <v>0.99960629999999995</v>
      </c>
      <c r="AB3129">
        <v>25</v>
      </c>
      <c r="AC3129">
        <v>-48.137900000000002</v>
      </c>
      <c r="AD3129">
        <v>-1.1212895247200001</v>
      </c>
      <c r="AE3129">
        <v>-1.07210000000003</v>
      </c>
      <c r="AF3129">
        <v>-1.35535960045469</v>
      </c>
      <c r="AG3129">
        <v>-1.1212895247200001</v>
      </c>
      <c r="AH3129">
        <v>48.104649243227001</v>
      </c>
      <c r="AI3129">
        <v>91.334757772938303</v>
      </c>
      <c r="AJ3129">
        <v>91.613894848481905</v>
      </c>
      <c r="AK3129">
        <v>48.136800565250397</v>
      </c>
      <c r="AL3129">
        <v>91.891371710022796</v>
      </c>
      <c r="AM3129">
        <v>91.836791647823304</v>
      </c>
      <c r="AN3129">
        <v>1.0000000382567</v>
      </c>
    </row>
    <row r="3130" spans="1:40" x14ac:dyDescent="0.25">
      <c r="A3130" t="str">
        <f>"20190303153831519"</f>
        <v>20190303153831519</v>
      </c>
      <c r="B3130" t="str">
        <f>"1551598711512230"</f>
        <v>1551598711512230</v>
      </c>
      <c r="C3130" t="s">
        <v>40</v>
      </c>
      <c r="D3130">
        <v>4.2209810000000001</v>
      </c>
      <c r="E3130">
        <v>0.50152379999999996</v>
      </c>
      <c r="F3130" t="s">
        <v>51</v>
      </c>
      <c r="G3130">
        <v>-498.51369999999997</v>
      </c>
      <c r="H3130" s="1">
        <v>2.3204670000000002E-6</v>
      </c>
      <c r="I3130">
        <v>283.08420000000001</v>
      </c>
      <c r="J3130">
        <v>-449.63929999999999</v>
      </c>
      <c r="K3130">
        <v>1.121283</v>
      </c>
      <c r="L3130">
        <v>284.15269999999998</v>
      </c>
      <c r="M3130">
        <v>-0.99988690000000002</v>
      </c>
      <c r="N3130">
        <v>-1.384929E-2</v>
      </c>
      <c r="O3130">
        <v>5.8767289999999998E-3</v>
      </c>
      <c r="P3130">
        <v>-0.99856469999999997</v>
      </c>
      <c r="Q3130">
        <v>-4.6713619999999997E-2</v>
      </c>
      <c r="R3130">
        <v>-2.6210609999999999E-2</v>
      </c>
      <c r="S3130">
        <v>-2.9993590000000001</v>
      </c>
      <c r="T3130">
        <v>-6.8617700000000004E-2</v>
      </c>
      <c r="U3130">
        <v>-6.5338129999999994E-2</v>
      </c>
      <c r="V3130">
        <v>-3.2077639999999998E-2</v>
      </c>
      <c r="W3130">
        <v>-3.2883099999999998E-2</v>
      </c>
      <c r="X3130">
        <v>0.99894430000000001</v>
      </c>
      <c r="Y3130">
        <v>-2.764254E-2</v>
      </c>
      <c r="Z3130">
        <v>-5.6063839999999897E-4</v>
      </c>
      <c r="AA3130">
        <v>0.99961770000000005</v>
      </c>
      <c r="AB3130">
        <v>25</v>
      </c>
      <c r="AC3130">
        <v>-48.874399999999902</v>
      </c>
      <c r="AD3130">
        <v>-1.1212806795329999</v>
      </c>
      <c r="AE3130">
        <v>-1.06849999999997</v>
      </c>
      <c r="AF3130">
        <v>-1.35501781804296</v>
      </c>
      <c r="AG3130">
        <v>-1.1212806795329999</v>
      </c>
      <c r="AH3130">
        <v>48.8415810197748</v>
      </c>
      <c r="AI3130">
        <v>91.314631293817698</v>
      </c>
      <c r="AJ3130">
        <v>91.589156026407494</v>
      </c>
      <c r="AK3130">
        <v>48.873237872692002</v>
      </c>
      <c r="AL3130">
        <v>91.884402563149294</v>
      </c>
      <c r="AM3130">
        <v>91.839223725697096</v>
      </c>
      <c r="AN3130">
        <v>0.99999999387803395</v>
      </c>
    </row>
    <row r="3131" spans="1:40" x14ac:dyDescent="0.25">
      <c r="A3131" t="str">
        <f>"20190303153831531"</f>
        <v>20190303153831531</v>
      </c>
      <c r="B3131" t="str">
        <f>"1551598711521990"</f>
        <v>1551598711521990</v>
      </c>
      <c r="C3131" t="s">
        <v>40</v>
      </c>
      <c r="D3131">
        <v>4.311172</v>
      </c>
      <c r="E3131">
        <v>0.50152379999999996</v>
      </c>
      <c r="F3131" t="s">
        <v>51</v>
      </c>
      <c r="G3131">
        <v>-498.23059999999998</v>
      </c>
      <c r="H3131" s="1">
        <v>2.3688839999999999E-6</v>
      </c>
      <c r="I3131">
        <v>283.06349999999998</v>
      </c>
      <c r="J3131">
        <v>-449.79570000000001</v>
      </c>
      <c r="K3131">
        <v>1.1212839999999999</v>
      </c>
      <c r="L3131">
        <v>284.15359999999998</v>
      </c>
      <c r="M3131">
        <v>-0.99988710000000003</v>
      </c>
      <c r="N3131">
        <v>-1.384782E-2</v>
      </c>
      <c r="O3131">
        <v>5.8511709999999996E-3</v>
      </c>
      <c r="P3131">
        <v>-0.99854290000000001</v>
      </c>
      <c r="Q3131">
        <v>-4.6964480000000003E-2</v>
      </c>
      <c r="R3131">
        <v>-2.6582049999999999E-2</v>
      </c>
      <c r="S3131">
        <v>-2.999298</v>
      </c>
      <c r="T3131">
        <v>-6.9211129999999996E-2</v>
      </c>
      <c r="U3131">
        <v>-6.7230219999999993E-2</v>
      </c>
      <c r="V3131">
        <v>-3.2424139999999997E-2</v>
      </c>
      <c r="W3131">
        <v>-3.3135730000000002E-2</v>
      </c>
      <c r="X3131">
        <v>0.99892479999999995</v>
      </c>
      <c r="Y3131">
        <v>-2.8247299999999999E-2</v>
      </c>
      <c r="Z3131">
        <v>-5.7545969999999998E-4</v>
      </c>
      <c r="AA3131">
        <v>0.99960079999999996</v>
      </c>
      <c r="AB3131">
        <v>25</v>
      </c>
      <c r="AC3131">
        <v>-48.434899999999899</v>
      </c>
      <c r="AD3131">
        <v>-1.1212816311160001</v>
      </c>
      <c r="AE3131">
        <v>-1.0901000000000001</v>
      </c>
      <c r="AF3131">
        <v>-1.3727740188864099</v>
      </c>
      <c r="AG3131">
        <v>-1.1212816311160001</v>
      </c>
      <c r="AH3131">
        <v>48.401764652812503</v>
      </c>
      <c r="AI3131">
        <v>91.326550933169898</v>
      </c>
      <c r="AJ3131">
        <v>91.624591133524007</v>
      </c>
      <c r="AK3131">
        <v>48.434209010878497</v>
      </c>
      <c r="AL3131">
        <v>91.898885022186903</v>
      </c>
      <c r="AM3131">
        <v>91.859113266147801</v>
      </c>
      <c r="AN3131">
        <v>1.0000000287562001</v>
      </c>
    </row>
    <row r="3132" spans="1:40" x14ac:dyDescent="0.25">
      <c r="A3132" t="str">
        <f>"20190303153831545"</f>
        <v>20190303153831545</v>
      </c>
      <c r="B3132" t="str">
        <f>"1551598711541722"</f>
        <v>1551598711541722</v>
      </c>
      <c r="C3132" t="s">
        <v>40</v>
      </c>
      <c r="D3132">
        <v>4.1876889999999998</v>
      </c>
      <c r="E3132">
        <v>0.46793170000000001</v>
      </c>
      <c r="F3132" t="s">
        <v>51</v>
      </c>
      <c r="G3132">
        <v>-497.8664</v>
      </c>
      <c r="H3132" s="1">
        <v>2.432785E-6</v>
      </c>
      <c r="I3132">
        <v>283.05560000000003</v>
      </c>
      <c r="J3132">
        <v>-449.94510000000002</v>
      </c>
      <c r="K3132">
        <v>1.121286</v>
      </c>
      <c r="L3132">
        <v>284.15449999999998</v>
      </c>
      <c r="M3132">
        <v>-0.99988730000000003</v>
      </c>
      <c r="N3132">
        <v>-1.384637E-2</v>
      </c>
      <c r="O3132">
        <v>5.8266259999999997E-3</v>
      </c>
      <c r="P3132">
        <v>-0.99855300000000002</v>
      </c>
      <c r="Q3132">
        <v>-4.6828929999999998E-2</v>
      </c>
      <c r="R3132">
        <v>-2.6444329999999999E-2</v>
      </c>
      <c r="S3132">
        <v>-2.999298</v>
      </c>
      <c r="T3132">
        <v>-6.9960709999999995E-2</v>
      </c>
      <c r="U3132">
        <v>-6.8511959999999997E-2</v>
      </c>
      <c r="V3132">
        <v>-3.2261860000000003E-2</v>
      </c>
      <c r="W3132">
        <v>-3.300148E-2</v>
      </c>
      <c r="X3132">
        <v>0.9989344</v>
      </c>
      <c r="Y3132">
        <v>-2.8649319999999999E-2</v>
      </c>
      <c r="Z3132">
        <v>-5.8767650000000004E-4</v>
      </c>
      <c r="AA3132">
        <v>0.99958930000000001</v>
      </c>
      <c r="AB3132">
        <v>25</v>
      </c>
      <c r="AC3132">
        <v>-47.921299999999903</v>
      </c>
      <c r="AD3132">
        <v>-1.1212835672149899</v>
      </c>
      <c r="AE3132">
        <v>-1.09889999999995</v>
      </c>
      <c r="AF3132">
        <v>-1.37737386780173</v>
      </c>
      <c r="AG3132">
        <v>-1.1212835672149899</v>
      </c>
      <c r="AH3132">
        <v>47.8878786843783</v>
      </c>
      <c r="AI3132">
        <v>91.340768012583297</v>
      </c>
      <c r="AJ3132">
        <v>91.647514152947096</v>
      </c>
      <c r="AK3132">
        <v>47.920803003492601</v>
      </c>
      <c r="AL3132">
        <v>91.891189040928197</v>
      </c>
      <c r="AM3132">
        <v>91.849797281860404</v>
      </c>
      <c r="AN3132">
        <v>0.99999993039810198</v>
      </c>
    </row>
    <row r="3133" spans="1:40" x14ac:dyDescent="0.25">
      <c r="A3133" t="str">
        <f>"20190303153831564"</f>
        <v>20190303153831564</v>
      </c>
      <c r="B3133" t="str">
        <f>"1551598711551481"</f>
        <v>1551598711551481</v>
      </c>
      <c r="C3133" t="s">
        <v>40</v>
      </c>
      <c r="D3133">
        <v>4.1884439999999996</v>
      </c>
      <c r="E3133">
        <v>0.4639354</v>
      </c>
      <c r="F3133" t="s">
        <v>51</v>
      </c>
      <c r="G3133">
        <v>-491.83350000000002</v>
      </c>
      <c r="H3133" s="1">
        <v>3.1733339999999998E-6</v>
      </c>
      <c r="I3133">
        <v>279.45209999999997</v>
      </c>
      <c r="J3133">
        <v>-450.14350000000002</v>
      </c>
      <c r="K3133">
        <v>1.121289</v>
      </c>
      <c r="L3133">
        <v>284.15559999999999</v>
      </c>
      <c r="M3133">
        <v>-0.99988750000000004</v>
      </c>
      <c r="N3133">
        <v>-1.384444E-2</v>
      </c>
      <c r="O3133">
        <v>5.7945710000000001E-3</v>
      </c>
      <c r="P3133">
        <v>-0.99855349999999998</v>
      </c>
      <c r="Q3133">
        <v>-4.6833800000000002E-2</v>
      </c>
      <c r="R3133">
        <v>-2.6417699999999999E-2</v>
      </c>
      <c r="S3133">
        <v>-2.9916990000000001</v>
      </c>
      <c r="T3133">
        <v>-8.0082769999999998E-2</v>
      </c>
      <c r="U3133">
        <v>-0.33584589999999998</v>
      </c>
      <c r="V3133">
        <v>-3.220278E-2</v>
      </c>
      <c r="W3133">
        <v>-3.3008259999999998E-2</v>
      </c>
      <c r="X3133">
        <v>0.99893620000000005</v>
      </c>
      <c r="Y3133">
        <v>-0.11725190000000001</v>
      </c>
      <c r="Z3133">
        <v>-2.453219E-3</v>
      </c>
      <c r="AA3133">
        <v>0.99309919999999996</v>
      </c>
      <c r="AB3133">
        <v>25</v>
      </c>
      <c r="AC3133">
        <v>-41.69</v>
      </c>
      <c r="AD3133">
        <v>-1.121285826666</v>
      </c>
      <c r="AE3133">
        <v>-4.7035000000000204</v>
      </c>
      <c r="AF3133">
        <v>-4.9414901405215703</v>
      </c>
      <c r="AG3133">
        <v>-1.121285826666</v>
      </c>
      <c r="AH3133">
        <v>41.632304947802197</v>
      </c>
      <c r="AI3133">
        <v>91.532029500770093</v>
      </c>
      <c r="AJ3133">
        <v>96.768976099009905</v>
      </c>
      <c r="AK3133">
        <v>41.939532925161998</v>
      </c>
      <c r="AL3133">
        <v>91.891577495619501</v>
      </c>
      <c r="AM3133">
        <v>91.846408835874399</v>
      </c>
      <c r="AN3133">
        <v>1.00000004796919</v>
      </c>
    </row>
    <row r="3134" spans="1:40" x14ac:dyDescent="0.25">
      <c r="A3134" t="str">
        <f>"20190303153831579"</f>
        <v>20190303153831579</v>
      </c>
      <c r="B3134" t="str">
        <f>"1551598711571977"</f>
        <v>1551598711571977</v>
      </c>
      <c r="C3134" t="s">
        <v>40</v>
      </c>
      <c r="D3134">
        <v>4.1645250000000003</v>
      </c>
      <c r="E3134">
        <v>0.45886309999999902</v>
      </c>
      <c r="F3134" t="s">
        <v>51</v>
      </c>
      <c r="G3134">
        <v>-489.99239999999998</v>
      </c>
      <c r="H3134" s="1">
        <v>3.4061849999999999E-6</v>
      </c>
      <c r="I3134">
        <v>279.26069999999999</v>
      </c>
      <c r="J3134">
        <v>-450.31979999999999</v>
      </c>
      <c r="K3134">
        <v>1.121291</v>
      </c>
      <c r="L3134">
        <v>284.15660000000003</v>
      </c>
      <c r="M3134">
        <v>-0.99988759999999999</v>
      </c>
      <c r="N3134">
        <v>-1.3842729999999999E-2</v>
      </c>
      <c r="O3134">
        <v>5.7659740000000001E-3</v>
      </c>
      <c r="P3134">
        <v>-0.99858409999999997</v>
      </c>
      <c r="Q3134">
        <v>-4.6266559999999998E-2</v>
      </c>
      <c r="R3134">
        <v>-2.625187E-2</v>
      </c>
      <c r="S3134">
        <v>-2.990723</v>
      </c>
      <c r="T3134">
        <v>-8.4154370000000006E-2</v>
      </c>
      <c r="U3134">
        <v>-0.36737059999999999</v>
      </c>
      <c r="V3134">
        <v>-3.2009030000000001E-2</v>
      </c>
      <c r="W3134">
        <v>-3.2442319999999997E-2</v>
      </c>
      <c r="X3134">
        <v>0.99896090000000004</v>
      </c>
      <c r="Y3134">
        <v>-0.12756670000000001</v>
      </c>
      <c r="Z3134">
        <v>-2.7563520000000001E-3</v>
      </c>
      <c r="AA3134">
        <v>0.99182619999999999</v>
      </c>
      <c r="AB3134">
        <v>25</v>
      </c>
      <c r="AC3134">
        <v>-39.672599999999903</v>
      </c>
      <c r="AD3134">
        <v>-1.121287593815</v>
      </c>
      <c r="AE3134">
        <v>-4.8959000000000401</v>
      </c>
      <c r="AF3134">
        <v>-5.1205626061838601</v>
      </c>
      <c r="AG3134">
        <v>-1.121287593815</v>
      </c>
      <c r="AH3134">
        <v>39.612539166053097</v>
      </c>
      <c r="AI3134">
        <v>91.608031032202803</v>
      </c>
      <c r="AJ3134">
        <v>97.365563621443201</v>
      </c>
      <c r="AK3134">
        <v>39.957861635152398</v>
      </c>
      <c r="AL3134">
        <v>91.859134270796702</v>
      </c>
      <c r="AM3134">
        <v>91.8352620761341</v>
      </c>
      <c r="AN3134">
        <v>0.99999998092866604</v>
      </c>
    </row>
    <row r="3135" spans="1:40" x14ac:dyDescent="0.25">
      <c r="A3135" t="str">
        <f>"20190303153831601"</f>
        <v>20190303153831601</v>
      </c>
      <c r="B3135" t="str">
        <f>"1551598711591498"</f>
        <v>1551598711591498</v>
      </c>
      <c r="C3135" t="s">
        <v>40</v>
      </c>
      <c r="D3135">
        <v>4.1340589999999997</v>
      </c>
      <c r="E3135">
        <v>0.4565729</v>
      </c>
      <c r="F3135" t="s">
        <v>51</v>
      </c>
      <c r="G3135">
        <v>-489.23579999999998</v>
      </c>
      <c r="H3135" s="1">
        <v>3.1384170000000001E-6</v>
      </c>
      <c r="I3135">
        <v>278.85680000000002</v>
      </c>
      <c r="J3135">
        <v>-450.55560000000003</v>
      </c>
      <c r="K3135">
        <v>1.1212899999999999</v>
      </c>
      <c r="L3135">
        <v>284.15789999999998</v>
      </c>
      <c r="M3135">
        <v>-0.99988790000000005</v>
      </c>
      <c r="N3135">
        <v>-1.3840450000000001E-2</v>
      </c>
      <c r="O3135">
        <v>5.7271930000000002E-3</v>
      </c>
      <c r="P3135">
        <v>-0.99859299999999995</v>
      </c>
      <c r="Q3135">
        <v>-4.6208340000000001E-2</v>
      </c>
      <c r="R3135">
        <v>-2.602382E-2</v>
      </c>
      <c r="S3135">
        <v>-2.989563</v>
      </c>
      <c r="T3135">
        <v>-8.6138489999999998E-2</v>
      </c>
      <c r="U3135">
        <v>-0.40713500000000002</v>
      </c>
      <c r="V3135">
        <v>-3.1742329999999999E-2</v>
      </c>
      <c r="W3135">
        <v>-3.2386209999999999E-2</v>
      </c>
      <c r="X3135">
        <v>0.99897119999999995</v>
      </c>
      <c r="Y3135">
        <v>-0.14052719999999999</v>
      </c>
      <c r="Z3135">
        <v>-3.0774359999999998E-3</v>
      </c>
      <c r="AA3135">
        <v>0.99007199999999995</v>
      </c>
      <c r="AB3135">
        <v>25</v>
      </c>
      <c r="AC3135">
        <v>-38.6801999999999</v>
      </c>
      <c r="AD3135">
        <v>-1.1212868615829901</v>
      </c>
      <c r="AE3135">
        <v>-5.30109999999996</v>
      </c>
      <c r="AF3135">
        <v>-5.5180116877991496</v>
      </c>
      <c r="AG3135">
        <v>-1.1212868615829901</v>
      </c>
      <c r="AH3135">
        <v>38.617348686863501</v>
      </c>
      <c r="AI3135">
        <v>91.646449529205796</v>
      </c>
      <c r="AJ3135">
        <v>98.1319163490585</v>
      </c>
      <c r="AK3135">
        <v>39.025701234128299</v>
      </c>
      <c r="AL3135">
        <v>91.855917771227695</v>
      </c>
      <c r="AM3135">
        <v>91.8199622033964</v>
      </c>
      <c r="AN3135">
        <v>0.99999995027071498</v>
      </c>
    </row>
    <row r="3136" spans="1:40" x14ac:dyDescent="0.25">
      <c r="A3136" t="str">
        <f>"20190303153831616"</f>
        <v>20190303153831616</v>
      </c>
      <c r="B3136" t="str">
        <f>"1551598711611994"</f>
        <v>1551598711611994</v>
      </c>
      <c r="C3136" t="s">
        <v>40</v>
      </c>
      <c r="D3136">
        <v>4.1191700000000004</v>
      </c>
      <c r="E3136">
        <v>0.45526929999999999</v>
      </c>
      <c r="F3136" t="s">
        <v>51</v>
      </c>
      <c r="G3136">
        <v>-488.68340000000001</v>
      </c>
      <c r="H3136" s="1">
        <v>2.9980610000000001E-6</v>
      </c>
      <c r="I3136">
        <v>278.73689999999999</v>
      </c>
      <c r="J3136">
        <v>-450.72579999999999</v>
      </c>
      <c r="K3136">
        <v>1.1212930000000001</v>
      </c>
      <c r="L3136">
        <v>284.15879999999999</v>
      </c>
      <c r="M3136">
        <v>-0.99988809999999995</v>
      </c>
      <c r="N3136">
        <v>-1.383877E-2</v>
      </c>
      <c r="O3136">
        <v>5.6993119999999998E-3</v>
      </c>
      <c r="P3136">
        <v>-0.99856849999999997</v>
      </c>
      <c r="Q3136">
        <v>-4.6884729999999999E-2</v>
      </c>
      <c r="R3136">
        <v>-2.575202E-2</v>
      </c>
      <c r="S3136">
        <v>-2.9891049999999999</v>
      </c>
      <c r="T3136">
        <v>-8.7905650000000002E-2</v>
      </c>
      <c r="U3136">
        <v>-0.42498780000000003</v>
      </c>
      <c r="V3136">
        <v>-3.1442489999999997E-2</v>
      </c>
      <c r="W3136">
        <v>-3.3064490000000002E-2</v>
      </c>
      <c r="X3136">
        <v>0.99895849999999997</v>
      </c>
      <c r="Y3136">
        <v>-0.14631169999999999</v>
      </c>
      <c r="Z3136">
        <v>-3.2463040000000002E-3</v>
      </c>
      <c r="AA3136">
        <v>0.98923320000000003</v>
      </c>
      <c r="AB3136">
        <v>25</v>
      </c>
      <c r="AC3136">
        <v>-37.957599999999999</v>
      </c>
      <c r="AD3136">
        <v>-1.121290001939</v>
      </c>
      <c r="AE3136">
        <v>-5.4218999999999902</v>
      </c>
      <c r="AF3136">
        <v>-5.6333472010394701</v>
      </c>
      <c r="AG3136">
        <v>-1.121290001939</v>
      </c>
      <c r="AH3136">
        <v>37.893672772228101</v>
      </c>
      <c r="AI3136">
        <v>91.676498385659301</v>
      </c>
      <c r="AJ3136">
        <v>98.455773184019606</v>
      </c>
      <c r="AK3136">
        <v>38.326522515414901</v>
      </c>
      <c r="AL3136">
        <v>91.894801110936498</v>
      </c>
      <c r="AM3136">
        <v>91.802805030968202</v>
      </c>
      <c r="AN3136">
        <v>0.99999998769930498</v>
      </c>
    </row>
    <row r="3137" spans="1:40" x14ac:dyDescent="0.25">
      <c r="A3137" t="str">
        <f>"20190303153831635"</f>
        <v>20190303153831635</v>
      </c>
      <c r="B3137" t="str">
        <f>"1551598711631514"</f>
        <v>1551598711631514</v>
      </c>
      <c r="C3137" t="s">
        <v>40</v>
      </c>
      <c r="D3137">
        <v>4.1250910000000003</v>
      </c>
      <c r="E3137">
        <v>0.4542947</v>
      </c>
      <c r="F3137" t="s">
        <v>51</v>
      </c>
      <c r="G3137">
        <v>-488.13920000000002</v>
      </c>
      <c r="H3137" s="1">
        <v>2.8948249999999999E-6</v>
      </c>
      <c r="I3137">
        <v>278.71800000000002</v>
      </c>
      <c r="J3137">
        <v>-450.92500000000001</v>
      </c>
      <c r="K3137">
        <v>1.121289</v>
      </c>
      <c r="L3137">
        <v>284.16000000000003</v>
      </c>
      <c r="M3137">
        <v>-0.9998882</v>
      </c>
      <c r="N3137">
        <v>-1.383679E-2</v>
      </c>
      <c r="O3137">
        <v>5.6668430000000004E-3</v>
      </c>
      <c r="P3137">
        <v>-0.99856049999999996</v>
      </c>
      <c r="Q3137">
        <v>-4.7097220000000002E-2</v>
      </c>
      <c r="R3137">
        <v>-2.566848E-2</v>
      </c>
      <c r="S3137">
        <v>-2.9888919999999999</v>
      </c>
      <c r="T3137">
        <v>-8.9577909999999997E-2</v>
      </c>
      <c r="U3137">
        <v>-0.43466189999999999</v>
      </c>
      <c r="V3137">
        <v>-3.1326029999999998E-2</v>
      </c>
      <c r="W3137">
        <v>-3.3279030000000001E-2</v>
      </c>
      <c r="X3137">
        <v>0.99895509999999998</v>
      </c>
      <c r="Y3137">
        <v>-0.14942069999999999</v>
      </c>
      <c r="Z3137">
        <v>-3.3573689999999998E-3</v>
      </c>
      <c r="AA3137">
        <v>0.98876799999999998</v>
      </c>
      <c r="AB3137">
        <v>25</v>
      </c>
      <c r="AC3137">
        <v>-37.214199999999998</v>
      </c>
      <c r="AD3137">
        <v>-1.121286105175</v>
      </c>
      <c r="AE3137">
        <v>-5.4420000000000002</v>
      </c>
      <c r="AF3137">
        <v>-5.6477998033021404</v>
      </c>
      <c r="AG3137">
        <v>-1.121286105175</v>
      </c>
      <c r="AH3137">
        <v>37.149740060773702</v>
      </c>
      <c r="AI3137">
        <v>91.709199449682899</v>
      </c>
      <c r="AJ3137">
        <v>98.644369302465705</v>
      </c>
      <c r="AK3137">
        <v>37.593325361437401</v>
      </c>
      <c r="AL3137">
        <v>91.907099991813197</v>
      </c>
      <c r="AM3137">
        <v>91.796138103363603</v>
      </c>
      <c r="AN3137">
        <v>1.00000005290465</v>
      </c>
    </row>
    <row r="3138" spans="1:40" x14ac:dyDescent="0.25">
      <c r="A3138" t="str">
        <f>"20190303153831650"</f>
        <v>20190303153831650</v>
      </c>
      <c r="B3138" t="str">
        <f>"1551598711641273"</f>
        <v>1551598711641273</v>
      </c>
      <c r="C3138" t="s">
        <v>40</v>
      </c>
      <c r="D3138">
        <v>4.1025269999999896</v>
      </c>
      <c r="E3138">
        <v>0.45385439999999999</v>
      </c>
      <c r="F3138" t="s">
        <v>51</v>
      </c>
      <c r="G3138">
        <v>-488.20710000000003</v>
      </c>
      <c r="H3138" s="1">
        <v>2.881198E-6</v>
      </c>
      <c r="I3138">
        <v>278.6454</v>
      </c>
      <c r="J3138">
        <v>-451.0926</v>
      </c>
      <c r="K3138">
        <v>1.121291</v>
      </c>
      <c r="L3138">
        <v>284.16090000000003</v>
      </c>
      <c r="M3138">
        <v>-0.99988849999999996</v>
      </c>
      <c r="N3138">
        <v>-1.3835109999999999E-2</v>
      </c>
      <c r="O3138">
        <v>5.6387879999999996E-3</v>
      </c>
      <c r="P3138">
        <v>-0.99854699999999996</v>
      </c>
      <c r="Q3138">
        <v>-4.729005E-2</v>
      </c>
      <c r="R3138">
        <v>-2.5843089999999999E-2</v>
      </c>
      <c r="S3138">
        <v>-2.9887079999999999</v>
      </c>
      <c r="T3138">
        <v>-8.9887620000000001E-2</v>
      </c>
      <c r="U3138">
        <v>-0.44207760000000001</v>
      </c>
      <c r="V3138">
        <v>-3.1473029999999999E-2</v>
      </c>
      <c r="W3138">
        <v>-3.347369E-2</v>
      </c>
      <c r="X3138">
        <v>0.9989439</v>
      </c>
      <c r="Y3138">
        <v>-0.15180080000000001</v>
      </c>
      <c r="Z3138">
        <v>-3.4171430000000001E-3</v>
      </c>
      <c r="AA3138">
        <v>0.98840519999999998</v>
      </c>
      <c r="AB3138">
        <v>25</v>
      </c>
      <c r="AC3138">
        <v>-37.1145</v>
      </c>
      <c r="AD3138">
        <v>-1.1212881188020001</v>
      </c>
      <c r="AE3138">
        <v>-5.5155000000000296</v>
      </c>
      <c r="AF3138">
        <v>-5.7196053896096704</v>
      </c>
      <c r="AG3138">
        <v>-1.1212881188020001</v>
      </c>
      <c r="AH3138">
        <v>37.049720038517002</v>
      </c>
      <c r="AI3138">
        <v>91.713211942907193</v>
      </c>
      <c r="AJ3138">
        <v>98.775842828790701</v>
      </c>
      <c r="AK3138">
        <v>37.505371985766303</v>
      </c>
      <c r="AL3138">
        <v>91.918259549910005</v>
      </c>
      <c r="AM3138">
        <v>91.804581290022796</v>
      </c>
      <c r="AN3138">
        <v>0.99999997744340297</v>
      </c>
    </row>
    <row r="3139" spans="1:40" x14ac:dyDescent="0.25">
      <c r="A3139" t="str">
        <f>"20190303153831663"</f>
        <v>20190303153831663</v>
      </c>
      <c r="B3139" t="str">
        <f>"1551598711652010"</f>
        <v>1551598711652010</v>
      </c>
      <c r="C3139" t="s">
        <v>40</v>
      </c>
      <c r="D3139">
        <v>4.117534</v>
      </c>
      <c r="E3139">
        <v>0.45338040000000002</v>
      </c>
      <c r="F3139" t="s">
        <v>51</v>
      </c>
      <c r="G3139">
        <v>-488.1454</v>
      </c>
      <c r="H3139" s="1">
        <v>2.8646660000000002E-6</v>
      </c>
      <c r="I3139">
        <v>278.62950000000001</v>
      </c>
      <c r="J3139">
        <v>-451.2448</v>
      </c>
      <c r="K3139">
        <v>1.1212899999999999</v>
      </c>
      <c r="L3139">
        <v>284.1617</v>
      </c>
      <c r="M3139">
        <v>-0.99988869999999996</v>
      </c>
      <c r="N3139">
        <v>-1.38336E-2</v>
      </c>
      <c r="O3139">
        <v>5.6135869999999997E-3</v>
      </c>
      <c r="P3139">
        <v>-0.99855229999999995</v>
      </c>
      <c r="Q3139">
        <v>-4.7177610000000002E-2</v>
      </c>
      <c r="R3139">
        <v>-2.584098E-2</v>
      </c>
      <c r="S3139">
        <v>-2.9885250000000001</v>
      </c>
      <c r="T3139">
        <v>-9.0438249999999998E-2</v>
      </c>
      <c r="U3139">
        <v>-0.44613649999999999</v>
      </c>
      <c r="V3139">
        <v>-3.144599E-2</v>
      </c>
      <c r="W3139">
        <v>-3.3362679999999999E-2</v>
      </c>
      <c r="X3139">
        <v>0.99894850000000002</v>
      </c>
      <c r="Y3139">
        <v>-0.15309600000000001</v>
      </c>
      <c r="Z3139">
        <v>-3.460074E-3</v>
      </c>
      <c r="AA3139">
        <v>0.98820529999999995</v>
      </c>
      <c r="AB3139">
        <v>24</v>
      </c>
      <c r="AC3139">
        <v>-36.900599999999997</v>
      </c>
      <c r="AD3139">
        <v>-1.1212871353339999</v>
      </c>
      <c r="AE3139">
        <v>-5.53219999999998</v>
      </c>
      <c r="AF3139">
        <v>-5.7340991393845302</v>
      </c>
      <c r="AG3139">
        <v>-1.1212871353339999</v>
      </c>
      <c r="AH3139">
        <v>36.835695414499199</v>
      </c>
      <c r="AI3139">
        <v>91.722822254464006</v>
      </c>
      <c r="AJ3139">
        <v>98.848044247870803</v>
      </c>
      <c r="AK3139">
        <v>37.296187934558603</v>
      </c>
      <c r="AL3139">
        <v>91.911895524297506</v>
      </c>
      <c r="AM3139">
        <v>91.803023613691593</v>
      </c>
      <c r="AN3139">
        <v>1.0000000121780499</v>
      </c>
    </row>
    <row r="3140" spans="1:40" x14ac:dyDescent="0.25">
      <c r="A3140" t="str">
        <f>"20190303153831678"</f>
        <v>20190303153831678</v>
      </c>
      <c r="B3140" t="str">
        <f>"1551598711671530"</f>
        <v>1551598711671530</v>
      </c>
      <c r="C3140" t="s">
        <v>40</v>
      </c>
      <c r="D3140">
        <v>4.134773</v>
      </c>
      <c r="E3140">
        <v>0.45284039999999998</v>
      </c>
      <c r="F3140" t="s">
        <v>51</v>
      </c>
      <c r="G3140">
        <v>-487.5335</v>
      </c>
      <c r="H3140" s="1">
        <v>2.7807439999999998E-6</v>
      </c>
      <c r="I3140">
        <v>278.69920000000002</v>
      </c>
      <c r="J3140">
        <v>-451.39749999999998</v>
      </c>
      <c r="K3140">
        <v>1.1212899999999999</v>
      </c>
      <c r="L3140">
        <v>284.16250000000002</v>
      </c>
      <c r="M3140">
        <v>-0.99988889999999997</v>
      </c>
      <c r="N3140">
        <v>-1.383201E-2</v>
      </c>
      <c r="O3140">
        <v>5.5885630000000004E-3</v>
      </c>
      <c r="P3140">
        <v>-0.99855450000000001</v>
      </c>
      <c r="Q3140">
        <v>-4.696985E-2</v>
      </c>
      <c r="R3140">
        <v>-2.6137850000000001E-2</v>
      </c>
      <c r="S3140">
        <v>-2.9883120000000001</v>
      </c>
      <c r="T3140">
        <v>-9.2336180000000004E-2</v>
      </c>
      <c r="U3140">
        <v>-0.44982909999999998</v>
      </c>
      <c r="V3140">
        <v>-3.1717240000000001E-2</v>
      </c>
      <c r="W3140">
        <v>-3.3156520000000002E-2</v>
      </c>
      <c r="X3140">
        <v>0.99894680000000002</v>
      </c>
      <c r="Y3140">
        <v>-0.1542713</v>
      </c>
      <c r="Z3140">
        <v>-3.5376869999999999E-3</v>
      </c>
      <c r="AA3140">
        <v>0.98802219999999996</v>
      </c>
      <c r="AB3140">
        <v>24</v>
      </c>
      <c r="AC3140">
        <v>-36.136000000000003</v>
      </c>
      <c r="AD3140">
        <v>-1.1212872192559999</v>
      </c>
      <c r="AE3140">
        <v>-5.4633000000000003</v>
      </c>
      <c r="AF3140">
        <v>-5.6598545167007899</v>
      </c>
      <c r="AG3140">
        <v>-1.1212872192559999</v>
      </c>
      <c r="AH3140">
        <v>36.070946283187297</v>
      </c>
      <c r="AI3140">
        <v>91.758992524900194</v>
      </c>
      <c r="AJ3140">
        <v>98.917511034105203</v>
      </c>
      <c r="AK3140">
        <v>36.529500461173399</v>
      </c>
      <c r="AL3140">
        <v>91.900076865949103</v>
      </c>
      <c r="AM3140">
        <v>91.818569011079006</v>
      </c>
      <c r="AN3140">
        <v>1.0000000236809801</v>
      </c>
    </row>
    <row r="3141" spans="1:40" x14ac:dyDescent="0.25">
      <c r="A3141" t="str">
        <f>"20190303153831691"</f>
        <v>20190303153831691</v>
      </c>
      <c r="B3141" t="str">
        <f>"1551598711681290"</f>
        <v>1551598711681290</v>
      </c>
      <c r="C3141" t="s">
        <v>40</v>
      </c>
      <c r="D3141">
        <v>4.1154539999999997</v>
      </c>
      <c r="E3141">
        <v>0.45266329999999999</v>
      </c>
      <c r="F3141" t="s">
        <v>51</v>
      </c>
      <c r="G3141">
        <v>-487.80200000000002</v>
      </c>
      <c r="H3141" s="1">
        <v>2.8004360000000001E-6</v>
      </c>
      <c r="I3141">
        <v>278.62009999999998</v>
      </c>
      <c r="J3141">
        <v>-451.5351</v>
      </c>
      <c r="K3141">
        <v>1.121291</v>
      </c>
      <c r="L3141">
        <v>284.16329999999999</v>
      </c>
      <c r="M3141">
        <v>-0.99988880000000002</v>
      </c>
      <c r="N3141">
        <v>-1.383055E-2</v>
      </c>
      <c r="O3141">
        <v>5.5663989999999997E-3</v>
      </c>
      <c r="P3141">
        <v>-0.99854960000000004</v>
      </c>
      <c r="Q3141">
        <v>-4.6837459999999997E-2</v>
      </c>
      <c r="R3141">
        <v>-2.6550359999999999E-2</v>
      </c>
      <c r="S3141">
        <v>-2.9881289999999998</v>
      </c>
      <c r="T3141">
        <v>-9.2036720000000002E-2</v>
      </c>
      <c r="U3141">
        <v>-0.45492549999999998</v>
      </c>
      <c r="V3141">
        <v>-3.2107980000000001E-2</v>
      </c>
      <c r="W3141">
        <v>-3.3025730000000003E-2</v>
      </c>
      <c r="X3141">
        <v>0.99893860000000001</v>
      </c>
      <c r="Y3141">
        <v>-0.15590499999999999</v>
      </c>
      <c r="Z3141">
        <v>-3.5653220000000001E-3</v>
      </c>
      <c r="AA3141">
        <v>0.98776560000000002</v>
      </c>
      <c r="AB3141">
        <v>24</v>
      </c>
      <c r="AC3141">
        <v>-36.2668999999999</v>
      </c>
      <c r="AD3141">
        <v>-1.1212881995640001</v>
      </c>
      <c r="AE3141">
        <v>-5.5432000000000103</v>
      </c>
      <c r="AF3141">
        <v>-5.7396481672173696</v>
      </c>
      <c r="AG3141">
        <v>-1.1212881995640001</v>
      </c>
      <c r="AH3141">
        <v>36.201664121354</v>
      </c>
      <c r="AI3141">
        <v>91.752205240096302</v>
      </c>
      <c r="AJ3141">
        <v>99.009059465164398</v>
      </c>
      <c r="AK3141">
        <v>36.670987625986498</v>
      </c>
      <c r="AL3141">
        <v>91.8925791391095</v>
      </c>
      <c r="AM3141">
        <v>91.840972619926902</v>
      </c>
      <c r="AN3141">
        <v>0.99999997389583595</v>
      </c>
    </row>
    <row r="3142" spans="1:40" x14ac:dyDescent="0.25">
      <c r="A3142" t="str">
        <f>"20190303153831705"</f>
        <v>20190303153831705</v>
      </c>
      <c r="B3142" t="str">
        <f>"1551598711701786"</f>
        <v>1551598711701786</v>
      </c>
      <c r="C3142" t="s">
        <v>40</v>
      </c>
      <c r="D3142">
        <v>4.1696619999999998</v>
      </c>
      <c r="E3142">
        <v>0.45215850000000002</v>
      </c>
      <c r="F3142" t="s">
        <v>51</v>
      </c>
      <c r="G3142">
        <v>-487.84</v>
      </c>
      <c r="H3142" s="1">
        <v>2.8016079999999998E-6</v>
      </c>
      <c r="I3142">
        <v>278.6044</v>
      </c>
      <c r="J3142">
        <v>-451.6977</v>
      </c>
      <c r="K3142">
        <v>1.1212959999999901</v>
      </c>
      <c r="L3142">
        <v>284.16410000000002</v>
      </c>
      <c r="M3142">
        <v>-0.99988909999999998</v>
      </c>
      <c r="N3142">
        <v>-1.3828780000000001E-2</v>
      </c>
      <c r="O3142">
        <v>5.5393539999999998E-3</v>
      </c>
      <c r="P3142">
        <v>-0.99853749999999997</v>
      </c>
      <c r="Q3142">
        <v>-4.6963009999999999E-2</v>
      </c>
      <c r="R3142">
        <v>-2.6792799999999999E-2</v>
      </c>
      <c r="S3142">
        <v>-2.987854</v>
      </c>
      <c r="T3142">
        <v>-9.2280860000000006E-2</v>
      </c>
      <c r="U3142">
        <v>-0.45748899999999998</v>
      </c>
      <c r="V3142">
        <v>-3.2322660000000003E-2</v>
      </c>
      <c r="W3142">
        <v>-3.3153189999999999E-2</v>
      </c>
      <c r="X3142">
        <v>0.99892749999999997</v>
      </c>
      <c r="Y3142">
        <v>-0.15671889999999999</v>
      </c>
      <c r="Z3142">
        <v>-3.5898140000000002E-3</v>
      </c>
      <c r="AA3142">
        <v>0.98763670000000003</v>
      </c>
      <c r="AB3142">
        <v>24</v>
      </c>
      <c r="AC3142">
        <v>-36.142299999999899</v>
      </c>
      <c r="AD3142">
        <v>-1.12129319839199</v>
      </c>
      <c r="AE3142">
        <v>-5.5597000000000198</v>
      </c>
      <c r="AF3142">
        <v>-5.7544281305464704</v>
      </c>
      <c r="AG3142">
        <v>-1.12129319839199</v>
      </c>
      <c r="AH3142">
        <v>36.077023374064602</v>
      </c>
      <c r="AI3142">
        <v>91.758001969096298</v>
      </c>
      <c r="AJ3142">
        <v>99.062563254254002</v>
      </c>
      <c r="AK3142">
        <v>36.5502716416607</v>
      </c>
      <c r="AL3142">
        <v>91.899885974370306</v>
      </c>
      <c r="AM3142">
        <v>91.853293733281404</v>
      </c>
      <c r="AN3142">
        <v>1.00000001930645</v>
      </c>
    </row>
    <row r="3143" spans="1:40" x14ac:dyDescent="0.25">
      <c r="A3143" t="str">
        <f>"20190303153831719"</f>
        <v>20190303153831719</v>
      </c>
      <c r="B3143" t="str">
        <f>"1551598711711546"</f>
        <v>1551598711711546</v>
      </c>
      <c r="C3143" t="s">
        <v>40</v>
      </c>
      <c r="D3143">
        <v>4.1386690000000002</v>
      </c>
      <c r="E3143">
        <v>0.45200790000000002</v>
      </c>
      <c r="F3143" t="s">
        <v>51</v>
      </c>
      <c r="G3143">
        <v>-488.37430000000001</v>
      </c>
      <c r="H3143" s="1">
        <v>2.855806E-6</v>
      </c>
      <c r="I3143">
        <v>278.4896</v>
      </c>
      <c r="J3143">
        <v>-451.84809999999999</v>
      </c>
      <c r="K3143">
        <v>1.1212949999999999</v>
      </c>
      <c r="L3143">
        <v>284.16489999999999</v>
      </c>
      <c r="M3143">
        <v>-0.99988929999999998</v>
      </c>
      <c r="N3143">
        <v>-1.382717E-2</v>
      </c>
      <c r="O3143">
        <v>5.5146319999999898E-3</v>
      </c>
      <c r="P3143">
        <v>-0.99853210000000003</v>
      </c>
      <c r="Q3143">
        <v>-4.6970499999999998E-2</v>
      </c>
      <c r="R3143">
        <v>-2.6975260000000001E-2</v>
      </c>
      <c r="S3143">
        <v>-2.9877009999999999</v>
      </c>
      <c r="T3143">
        <v>-9.134138E-2</v>
      </c>
      <c r="U3143">
        <v>-0.46224979999999899</v>
      </c>
      <c r="V3143">
        <v>-3.2480790000000002E-2</v>
      </c>
      <c r="W3143">
        <v>-3.3162369999999997E-2</v>
      </c>
      <c r="X3143">
        <v>0.99892199999999998</v>
      </c>
      <c r="Y3143">
        <v>-0.15823999999999999</v>
      </c>
      <c r="Z3143">
        <v>-3.5967199999999999E-3</v>
      </c>
      <c r="AA3143">
        <v>0.9873942</v>
      </c>
      <c r="AB3143">
        <v>24</v>
      </c>
      <c r="AC3143">
        <v>-36.526200000000003</v>
      </c>
      <c r="AD3143">
        <v>-1.121292144194</v>
      </c>
      <c r="AE3143">
        <v>-5.6752999999999902</v>
      </c>
      <c r="AF3143">
        <v>-5.8712589130759101</v>
      </c>
      <c r="AG3143">
        <v>-1.121292144194</v>
      </c>
      <c r="AH3143">
        <v>36.4607941450653</v>
      </c>
      <c r="AI3143">
        <v>91.739093475397695</v>
      </c>
      <c r="AJ3143">
        <v>99.1477743707663</v>
      </c>
      <c r="AK3143">
        <v>36.947509888838702</v>
      </c>
      <c r="AL3143">
        <v>91.900412364491203</v>
      </c>
      <c r="AM3143">
        <v>91.862364356464795</v>
      </c>
      <c r="AN3143">
        <v>0.99999995329351898</v>
      </c>
    </row>
    <row r="3144" spans="1:40" x14ac:dyDescent="0.25">
      <c r="A3144" t="str">
        <f>"20190303153831732"</f>
        <v>20190303153831732</v>
      </c>
      <c r="B3144" t="str">
        <f>"1551598711721307"</f>
        <v>1551598711721307</v>
      </c>
      <c r="C3144" t="s">
        <v>40</v>
      </c>
      <c r="D3144">
        <v>4.1479540000000004</v>
      </c>
      <c r="E3144">
        <v>0.45179209999999898</v>
      </c>
      <c r="F3144" t="s">
        <v>51</v>
      </c>
      <c r="G3144">
        <v>-489.24009999999998</v>
      </c>
      <c r="H3144" s="1">
        <v>2.9621570000000001E-6</v>
      </c>
      <c r="I3144">
        <v>278.35599999999999</v>
      </c>
      <c r="J3144">
        <v>-451.988</v>
      </c>
      <c r="K3144">
        <v>1.1212959999999901</v>
      </c>
      <c r="L3144">
        <v>284.16570000000002</v>
      </c>
      <c r="M3144">
        <v>-0.99988929999999998</v>
      </c>
      <c r="N3144">
        <v>-1.382569E-2</v>
      </c>
      <c r="O3144">
        <v>5.4918149999999997E-3</v>
      </c>
      <c r="P3144">
        <v>-0.99850640000000002</v>
      </c>
      <c r="Q3144">
        <v>-4.7380129999999999E-2</v>
      </c>
      <c r="R3144">
        <v>-2.721053E-2</v>
      </c>
      <c r="S3144">
        <v>-2.9876710000000002</v>
      </c>
      <c r="T3144">
        <v>-8.9592699999999997E-2</v>
      </c>
      <c r="U3144">
        <v>-0.46414179999999999</v>
      </c>
      <c r="V3144">
        <v>-3.269325E-2</v>
      </c>
      <c r="W3144">
        <v>-3.3573819999999997E-2</v>
      </c>
      <c r="X3144">
        <v>0.99890140000000005</v>
      </c>
      <c r="Y3144">
        <v>-0.15883269999999999</v>
      </c>
      <c r="Z3144">
        <v>-3.559937E-3</v>
      </c>
      <c r="AA3144">
        <v>0.98729909999999999</v>
      </c>
      <c r="AB3144">
        <v>24</v>
      </c>
      <c r="AC3144">
        <v>-37.252099999999899</v>
      </c>
      <c r="AD3144">
        <v>-1.1212930378429999</v>
      </c>
      <c r="AE3144">
        <v>-5.8097000000000198</v>
      </c>
      <c r="AF3144">
        <v>-6.0088986791701897</v>
      </c>
      <c r="AG3144">
        <v>-1.1212930378429999</v>
      </c>
      <c r="AH3144">
        <v>37.186737438735101</v>
      </c>
      <c r="AI3144">
        <v>91.705015817624499</v>
      </c>
      <c r="AJ3144">
        <v>99.178921656902006</v>
      </c>
      <c r="AK3144">
        <v>37.685774540941402</v>
      </c>
      <c r="AL3144">
        <v>91.923999704740297</v>
      </c>
      <c r="AM3144">
        <v>91.874576229967701</v>
      </c>
      <c r="AN3144">
        <v>1.00000002845345</v>
      </c>
    </row>
    <row r="3145" spans="1:40" x14ac:dyDescent="0.25">
      <c r="A3145" t="str">
        <f>"20190303153831746"</f>
        <v>20190303153831746</v>
      </c>
      <c r="B3145" t="str">
        <f>"1551598711741334"</f>
        <v>1551598711741334</v>
      </c>
      <c r="C3145" t="s">
        <v>40</v>
      </c>
      <c r="D3145">
        <v>4.1351930000000001</v>
      </c>
      <c r="E3145">
        <v>0.45145420000000003</v>
      </c>
      <c r="F3145" t="s">
        <v>51</v>
      </c>
      <c r="G3145">
        <v>-488.91070000000002</v>
      </c>
      <c r="H3145" s="1">
        <v>2.9194879999999998E-6</v>
      </c>
      <c r="I3145">
        <v>278.4006</v>
      </c>
      <c r="J3145">
        <v>-452.13600000000002</v>
      </c>
      <c r="K3145">
        <v>1.121297</v>
      </c>
      <c r="L3145">
        <v>284.16649999999998</v>
      </c>
      <c r="M3145">
        <v>-0.99988949999999999</v>
      </c>
      <c r="N3145">
        <v>-1.382413E-2</v>
      </c>
      <c r="O3145">
        <v>5.4674490000000001E-3</v>
      </c>
      <c r="P3145">
        <v>-0.99850050000000001</v>
      </c>
      <c r="Q3145">
        <v>-4.7489969999999999E-2</v>
      </c>
      <c r="R3145">
        <v>-2.7235639999999998E-2</v>
      </c>
      <c r="S3145">
        <v>-2.987457</v>
      </c>
      <c r="T3145">
        <v>-9.0725059999999996E-2</v>
      </c>
      <c r="U3145">
        <v>-0.46646120000000002</v>
      </c>
      <c r="V3145">
        <v>-3.2693609999999998E-2</v>
      </c>
      <c r="W3145">
        <v>-3.368525E-2</v>
      </c>
      <c r="X3145">
        <v>0.99889760000000005</v>
      </c>
      <c r="Y3145">
        <v>-0.15956489999999901</v>
      </c>
      <c r="Z3145">
        <v>-3.6076369999999999E-3</v>
      </c>
      <c r="AA3145">
        <v>0.98718079999999997</v>
      </c>
      <c r="AB3145">
        <v>24</v>
      </c>
      <c r="AC3145">
        <v>-36.774700000000003</v>
      </c>
      <c r="AD3145">
        <v>-1.121294080512</v>
      </c>
      <c r="AE3145">
        <v>-5.7658999999999798</v>
      </c>
      <c r="AF3145">
        <v>-5.9614874241138098</v>
      </c>
      <c r="AG3145">
        <v>-1.121294080512</v>
      </c>
      <c r="AH3145">
        <v>36.7093128266999</v>
      </c>
      <c r="AI3145">
        <v>91.726958051596498</v>
      </c>
      <c r="AJ3145">
        <v>99.224144341135698</v>
      </c>
      <c r="AK3145">
        <v>37.207126749204498</v>
      </c>
      <c r="AL3145">
        <v>91.930387857471601</v>
      </c>
      <c r="AM3145">
        <v>91.874603983279002</v>
      </c>
      <c r="AN3145">
        <v>0.99999999174407705</v>
      </c>
    </row>
    <row r="3146" spans="1:40" x14ac:dyDescent="0.25">
      <c r="A3146" t="str">
        <f>"20190303153831759"</f>
        <v>20190303153831759</v>
      </c>
      <c r="B3146" t="str">
        <f>"1551598711752070"</f>
        <v>1551598711752070</v>
      </c>
      <c r="C3146" t="s">
        <v>40</v>
      </c>
      <c r="D3146">
        <v>4.1086619999999998</v>
      </c>
      <c r="E3146">
        <v>0.45125389999999999</v>
      </c>
      <c r="F3146" t="s">
        <v>51</v>
      </c>
      <c r="G3146">
        <v>-488.9427</v>
      </c>
      <c r="H3146" s="1">
        <v>2.9189979999999999E-6</v>
      </c>
      <c r="I3146">
        <v>278.38310000000001</v>
      </c>
      <c r="J3146">
        <v>-452.27510000000001</v>
      </c>
      <c r="K3146">
        <v>1.121299</v>
      </c>
      <c r="L3146">
        <v>284.16719999999998</v>
      </c>
      <c r="M3146">
        <v>-0.99988960000000005</v>
      </c>
      <c r="N3146">
        <v>-1.3822660000000001E-2</v>
      </c>
      <c r="O3146">
        <v>5.4450480000000001E-3</v>
      </c>
      <c r="P3146">
        <v>-0.99851659999999998</v>
      </c>
      <c r="Q3146">
        <v>-4.716066E-2</v>
      </c>
      <c r="R3146">
        <v>-2.7210519999999998E-2</v>
      </c>
      <c r="S3146">
        <v>-2.9873349999999999</v>
      </c>
      <c r="T3146">
        <v>-9.1007350000000001E-2</v>
      </c>
      <c r="U3146">
        <v>-0.4693909</v>
      </c>
      <c r="V3146">
        <v>-3.2646809999999998E-2</v>
      </c>
      <c r="W3146">
        <v>-3.3357240000000003E-2</v>
      </c>
      <c r="X3146">
        <v>0.99891010000000002</v>
      </c>
      <c r="Y3146">
        <v>-0.16049269999999999</v>
      </c>
      <c r="Z3146">
        <v>-3.6356539999999999E-3</v>
      </c>
      <c r="AA3146">
        <v>0.98703030000000003</v>
      </c>
      <c r="AB3146">
        <v>24</v>
      </c>
      <c r="AC3146">
        <v>-36.667599999999901</v>
      </c>
      <c r="AD3146">
        <v>-1.1212960810020001</v>
      </c>
      <c r="AE3146">
        <v>-5.7840999999999596</v>
      </c>
      <c r="AF3146">
        <v>-5.9782354211191899</v>
      </c>
      <c r="AG3146">
        <v>-1.1212960810020001</v>
      </c>
      <c r="AH3146">
        <v>36.602161568089102</v>
      </c>
      <c r="AI3146">
        <v>91.731757459323106</v>
      </c>
      <c r="AJ3146">
        <v>99.276218853955399</v>
      </c>
      <c r="AK3146">
        <v>37.1041080624247</v>
      </c>
      <c r="AL3146">
        <v>91.911583773366502</v>
      </c>
      <c r="AM3146">
        <v>91.871899042053499</v>
      </c>
      <c r="AN3146">
        <v>0.99999995377280004</v>
      </c>
    </row>
    <row r="3147" spans="1:40" x14ac:dyDescent="0.25">
      <c r="A3147" t="str">
        <f>"20190303153831780"</f>
        <v>20190303153831780</v>
      </c>
      <c r="B3147" t="str">
        <f>"1551598711771591"</f>
        <v>1551598711771591</v>
      </c>
      <c r="C3147" t="s">
        <v>40</v>
      </c>
      <c r="D3147">
        <v>4.1497669999999998</v>
      </c>
      <c r="E3147">
        <v>0.4506175</v>
      </c>
      <c r="F3147" t="s">
        <v>51</v>
      </c>
      <c r="G3147">
        <v>-489.39319999999998</v>
      </c>
      <c r="H3147" s="1">
        <v>2.975172E-6</v>
      </c>
      <c r="I3147">
        <v>278.31599999999997</v>
      </c>
      <c r="J3147">
        <v>-452.51119999999997</v>
      </c>
      <c r="K3147">
        <v>1.1213059999999999</v>
      </c>
      <c r="L3147">
        <v>284.16849999999999</v>
      </c>
      <c r="M3147">
        <v>-0.99988999999999995</v>
      </c>
      <c r="N3147">
        <v>-1.382012E-2</v>
      </c>
      <c r="O3147">
        <v>5.4062629999999997E-3</v>
      </c>
      <c r="P3147">
        <v>-0.99851820000000002</v>
      </c>
      <c r="Q3147">
        <v>-4.7208239999999999E-2</v>
      </c>
      <c r="R3147">
        <v>-2.7081689999999999E-2</v>
      </c>
      <c r="S3147">
        <v>-2.9873349999999999</v>
      </c>
      <c r="T3147">
        <v>-9.0244169999999999E-2</v>
      </c>
      <c r="U3147">
        <v>-0.47091670000000002</v>
      </c>
      <c r="V3147">
        <v>-3.2479099999999997E-2</v>
      </c>
      <c r="W3147">
        <v>-3.3407300000000001E-2</v>
      </c>
      <c r="X3147">
        <v>0.99891390000000002</v>
      </c>
      <c r="Y3147">
        <v>-0.16094749999999999</v>
      </c>
      <c r="Z3147">
        <v>-3.623018E-3</v>
      </c>
      <c r="AA3147">
        <v>0.98695630000000001</v>
      </c>
      <c r="AB3147">
        <v>24</v>
      </c>
      <c r="AC3147">
        <v>-36.881999999999998</v>
      </c>
      <c r="AD3147">
        <v>-1.12130302482799</v>
      </c>
      <c r="AE3147">
        <v>-5.8525000000000196</v>
      </c>
      <c r="AF3147">
        <v>-6.0463758173909001</v>
      </c>
      <c r="AG3147">
        <v>-1.12130302482799</v>
      </c>
      <c r="AH3147">
        <v>36.816623630076798</v>
      </c>
      <c r="AI3147">
        <v>91.721439655886201</v>
      </c>
      <c r="AJ3147">
        <v>99.326403610824201</v>
      </c>
      <c r="AK3147">
        <v>37.326662809811303</v>
      </c>
      <c r="AL3147">
        <v>91.914453588498901</v>
      </c>
      <c r="AM3147">
        <v>91.862282614610194</v>
      </c>
      <c r="AN3147">
        <v>0.999999959621654</v>
      </c>
    </row>
    <row r="3148" spans="1:40" x14ac:dyDescent="0.25">
      <c r="A3148" t="str">
        <f>"20190303153831802"</f>
        <v>20190303153831802</v>
      </c>
      <c r="B3148" t="str">
        <f>"1551598711792085"</f>
        <v>1551598711792085</v>
      </c>
      <c r="C3148" t="s">
        <v>40</v>
      </c>
      <c r="D3148">
        <v>4.1475710000000001</v>
      </c>
      <c r="E3148">
        <v>0.45006869999999999</v>
      </c>
      <c r="F3148" t="s">
        <v>51</v>
      </c>
      <c r="G3148">
        <v>-488.62790000000001</v>
      </c>
      <c r="H3148" s="1">
        <v>2.8760180000000002E-6</v>
      </c>
      <c r="I3148">
        <v>278.41950000000003</v>
      </c>
      <c r="J3148">
        <v>-452.75229999999999</v>
      </c>
      <c r="K3148">
        <v>1.1213070000000001</v>
      </c>
      <c r="L3148">
        <v>284.16969999999998</v>
      </c>
      <c r="M3148">
        <v>-0.99989019999999995</v>
      </c>
      <c r="N3148">
        <v>-1.381749E-2</v>
      </c>
      <c r="O3148">
        <v>5.3664119999999897E-3</v>
      </c>
      <c r="P3148">
        <v>-0.99852739999999995</v>
      </c>
      <c r="Q3148">
        <v>-4.7081240000000003E-2</v>
      </c>
      <c r="R3148">
        <v>-2.695519E-2</v>
      </c>
      <c r="S3148">
        <v>-2.9872130000000001</v>
      </c>
      <c r="T3148">
        <v>-9.2743039999999999E-2</v>
      </c>
      <c r="U3148">
        <v>-0.47549439999999998</v>
      </c>
      <c r="V3148">
        <v>-3.2313000000000001E-2</v>
      </c>
      <c r="W3148">
        <v>-3.328275E-2</v>
      </c>
      <c r="X3148">
        <v>0.99892349999999996</v>
      </c>
      <c r="Y3148">
        <v>-0.16238369999999999</v>
      </c>
      <c r="Z3148">
        <v>-3.7255719999999999E-3</v>
      </c>
      <c r="AA3148">
        <v>0.98672070000000001</v>
      </c>
      <c r="AB3148">
        <v>24</v>
      </c>
      <c r="AC3148">
        <v>-35.875599999999999</v>
      </c>
      <c r="AD3148">
        <v>-1.1213041239820001</v>
      </c>
      <c r="AE3148">
        <v>-5.7501999999999498</v>
      </c>
      <c r="AF3148">
        <v>-5.9370042333134299</v>
      </c>
      <c r="AG3148">
        <v>-1.1213041239820001</v>
      </c>
      <c r="AH3148">
        <v>35.810115864511602</v>
      </c>
      <c r="AI3148">
        <v>91.769351540437498</v>
      </c>
      <c r="AJ3148">
        <v>99.4135137865091</v>
      </c>
      <c r="AK3148">
        <v>36.316246232706703</v>
      </c>
      <c r="AL3148">
        <v>91.9073133223051</v>
      </c>
      <c r="AM3148">
        <v>91.8527476549189</v>
      </c>
      <c r="AN3148">
        <v>1.0000000151344</v>
      </c>
    </row>
    <row r="3149" spans="1:40" x14ac:dyDescent="0.25">
      <c r="A3149" t="str">
        <f>"20190303153831820"</f>
        <v>20190303153831820</v>
      </c>
      <c r="B3149" t="str">
        <f>"1551598711811606"</f>
        <v>1551598711811606</v>
      </c>
      <c r="C3149" t="s">
        <v>40</v>
      </c>
      <c r="D3149">
        <v>4.2215239999999996</v>
      </c>
      <c r="E3149">
        <v>0.44982539999999999</v>
      </c>
      <c r="F3149" t="s">
        <v>51</v>
      </c>
      <c r="G3149">
        <v>-488.22660000000002</v>
      </c>
      <c r="H3149" s="1">
        <v>2.824276E-6</v>
      </c>
      <c r="I3149">
        <v>278.47449999999998</v>
      </c>
      <c r="J3149">
        <v>-452.93700000000001</v>
      </c>
      <c r="K3149">
        <v>1.121308</v>
      </c>
      <c r="L3149">
        <v>284.17070000000001</v>
      </c>
      <c r="M3149">
        <v>-0.99989039999999996</v>
      </c>
      <c r="N3149">
        <v>-1.381548E-2</v>
      </c>
      <c r="O3149">
        <v>5.3362080000000003E-3</v>
      </c>
      <c r="P3149">
        <v>-0.99853590000000003</v>
      </c>
      <c r="Q3149">
        <v>-4.6886770000000001E-2</v>
      </c>
      <c r="R3149">
        <v>-2.6979679999999999E-2</v>
      </c>
      <c r="S3149">
        <v>-2.9870610000000002</v>
      </c>
      <c r="T3149">
        <v>-9.4417810000000005E-2</v>
      </c>
      <c r="U3149">
        <v>-0.47955320000000001</v>
      </c>
      <c r="V3149">
        <v>-3.2307490000000001E-2</v>
      </c>
      <c r="W3149">
        <v>-3.3090189999999998E-2</v>
      </c>
      <c r="X3149">
        <v>0.99892999999999998</v>
      </c>
      <c r="Y3149">
        <v>-0.16366459999999999</v>
      </c>
      <c r="Z3149">
        <v>-3.8020800000000002E-3</v>
      </c>
      <c r="AA3149">
        <v>0.98650870000000002</v>
      </c>
      <c r="AB3149">
        <v>24</v>
      </c>
      <c r="AC3149">
        <v>-35.2896</v>
      </c>
      <c r="AD3149">
        <v>-1.121305175724</v>
      </c>
      <c r="AE3149">
        <v>-5.6962000000000304</v>
      </c>
      <c r="AF3149">
        <v>-5.8786650319845801</v>
      </c>
      <c r="AG3149">
        <v>-1.121305175724</v>
      </c>
      <c r="AH3149">
        <v>35.224038895513601</v>
      </c>
      <c r="AI3149">
        <v>91.798452790338601</v>
      </c>
      <c r="AJ3149">
        <v>99.474970077477195</v>
      </c>
      <c r="AK3149">
        <v>35.728825113177699</v>
      </c>
      <c r="AL3149">
        <v>91.896274509662504</v>
      </c>
      <c r="AM3149">
        <v>91.852419899946099</v>
      </c>
      <c r="AN3149">
        <v>0.99999993974216606</v>
      </c>
    </row>
    <row r="3150" spans="1:40" x14ac:dyDescent="0.25">
      <c r="A3150" t="str">
        <f>"20190303153831836"</f>
        <v>20190303153831836</v>
      </c>
      <c r="B3150" t="str">
        <f>"1551598711831129"</f>
        <v>1551598711831129</v>
      </c>
      <c r="C3150" t="s">
        <v>40</v>
      </c>
      <c r="D3150">
        <v>4.0107910000000002</v>
      </c>
      <c r="E3150">
        <v>0.40480110000000002</v>
      </c>
      <c r="F3150" t="s">
        <v>51</v>
      </c>
      <c r="G3150">
        <v>-488.28859999999997</v>
      </c>
      <c r="H3150" s="1">
        <v>2.8343519999999999E-6</v>
      </c>
      <c r="I3150">
        <v>278.47190000000001</v>
      </c>
      <c r="J3150">
        <v>-453.11450000000002</v>
      </c>
      <c r="K3150">
        <v>1.121313</v>
      </c>
      <c r="L3150">
        <v>284.17160000000001</v>
      </c>
      <c r="M3150">
        <v>-0.99989059999999996</v>
      </c>
      <c r="N3150">
        <v>-1.3813529999999999E-2</v>
      </c>
      <c r="O3150">
        <v>5.307137E-3</v>
      </c>
      <c r="P3150">
        <v>-0.99851599999999996</v>
      </c>
      <c r="Q3150">
        <v>-4.728255E-2</v>
      </c>
      <c r="R3150">
        <v>-2.7026830000000002E-2</v>
      </c>
      <c r="S3150">
        <v>-2.9869690000000002</v>
      </c>
      <c r="T3150">
        <v>-9.4742770000000004E-2</v>
      </c>
      <c r="U3150">
        <v>-0.4815063</v>
      </c>
      <c r="V3150">
        <v>-3.2325149999999997E-2</v>
      </c>
      <c r="W3150">
        <v>-3.348814E-2</v>
      </c>
      <c r="X3150">
        <v>0.99891620000000003</v>
      </c>
      <c r="Y3150">
        <v>-0.16426830000000001</v>
      </c>
      <c r="Z3150">
        <v>-3.824544E-3</v>
      </c>
      <c r="AA3150">
        <v>0.98640830000000002</v>
      </c>
      <c r="AB3150">
        <v>24</v>
      </c>
      <c r="AC3150">
        <v>-35.174099999999903</v>
      </c>
      <c r="AD3150">
        <v>-1.121310165648</v>
      </c>
      <c r="AE3150">
        <v>-5.6997</v>
      </c>
      <c r="AF3150">
        <v>-5.8804880684343699</v>
      </c>
      <c r="AG3150">
        <v>-1.121310165648</v>
      </c>
      <c r="AH3150">
        <v>35.108585963332601</v>
      </c>
      <c r="AI3150">
        <v>91.804194859104896</v>
      </c>
      <c r="AJ3150">
        <v>99.508454345920498</v>
      </c>
      <c r="AK3150">
        <v>35.615309696186799</v>
      </c>
      <c r="AL3150">
        <v>91.919087947416301</v>
      </c>
      <c r="AM3150">
        <v>91.853457355490306</v>
      </c>
      <c r="AN3150">
        <v>0.99999997273281005</v>
      </c>
    </row>
    <row r="3151" spans="1:40" x14ac:dyDescent="0.25">
      <c r="A3151" t="str">
        <f>"20190303153831851"</f>
        <v>20190303153831851</v>
      </c>
      <c r="B3151" t="str">
        <f>"1551598711841862"</f>
        <v>1551598711841862</v>
      </c>
      <c r="C3151" t="s">
        <v>40</v>
      </c>
      <c r="D3151">
        <v>3.9643969999999999</v>
      </c>
      <c r="E3151">
        <v>0.40480110000000002</v>
      </c>
      <c r="F3151" t="s">
        <v>51</v>
      </c>
      <c r="G3151">
        <v>-473.45069999999998</v>
      </c>
      <c r="H3151">
        <v>8.000024E-2</v>
      </c>
      <c r="I3151">
        <v>278.42869999999999</v>
      </c>
      <c r="J3151">
        <v>-453.27929999999998</v>
      </c>
      <c r="K3151">
        <v>1.1213139999999999</v>
      </c>
      <c r="L3151">
        <v>284.17239999999998</v>
      </c>
      <c r="M3151">
        <v>-0.99989070000000002</v>
      </c>
      <c r="N3151">
        <v>-1.381172E-2</v>
      </c>
      <c r="O3151">
        <v>5.2797369999999996E-3</v>
      </c>
      <c r="P3151">
        <v>-0.99849860000000001</v>
      </c>
      <c r="Q3151">
        <v>-4.7485659999999999E-2</v>
      </c>
      <c r="R3151">
        <v>-2.7309469999999999E-2</v>
      </c>
      <c r="S3151">
        <v>-2.9745180000000002</v>
      </c>
      <c r="T3151">
        <v>-0.1523101</v>
      </c>
      <c r="U3151">
        <v>-0.83999630000000003</v>
      </c>
      <c r="V3151">
        <v>-3.2580230000000002E-2</v>
      </c>
      <c r="W3151">
        <v>-3.3693269999999997E-2</v>
      </c>
      <c r="X3151">
        <v>0.99890109999999999</v>
      </c>
      <c r="Y3151">
        <v>-0.27641110000000002</v>
      </c>
      <c r="Z3151">
        <v>-9.0774150000000001E-3</v>
      </c>
      <c r="AA3151">
        <v>0.96099659999999998</v>
      </c>
      <c r="AB3151">
        <v>24</v>
      </c>
      <c r="AC3151">
        <v>-20.171399999999998</v>
      </c>
      <c r="AD3151">
        <v>-1.04131376</v>
      </c>
      <c r="AE3151">
        <v>-5.7436999999999898</v>
      </c>
      <c r="AF3151">
        <v>-5.8357441159287502</v>
      </c>
      <c r="AG3151">
        <v>-1.04131376</v>
      </c>
      <c r="AH3151">
        <v>20.091263829143699</v>
      </c>
      <c r="AI3151">
        <v>92.849380134421907</v>
      </c>
      <c r="AJ3151">
        <v>106.196561175334</v>
      </c>
      <c r="AK3151">
        <v>20.9475326944636</v>
      </c>
      <c r="AL3151">
        <v>91.930847503204603</v>
      </c>
      <c r="AM3151">
        <v>91.868101012638505</v>
      </c>
      <c r="AN3151">
        <v>1.00000005770567</v>
      </c>
    </row>
    <row r="3152" spans="1:40" x14ac:dyDescent="0.25">
      <c r="A3152" t="str">
        <f>"20190303153831865"</f>
        <v>20190303153831865</v>
      </c>
      <c r="B3152" t="str">
        <f>"1551598711861381"</f>
        <v>1551598711861381</v>
      </c>
      <c r="C3152" t="s">
        <v>40</v>
      </c>
      <c r="D3152">
        <v>3.9232469999999999</v>
      </c>
      <c r="E3152">
        <v>0.3573788</v>
      </c>
      <c r="F3152" t="s">
        <v>51</v>
      </c>
      <c r="G3152">
        <v>-473.52229999999997</v>
      </c>
      <c r="H3152">
        <v>8.000024E-2</v>
      </c>
      <c r="I3152">
        <v>278.44970000000001</v>
      </c>
      <c r="J3152">
        <v>-453.42790000000002</v>
      </c>
      <c r="K3152">
        <v>1.1213139999999999</v>
      </c>
      <c r="L3152">
        <v>284.17320000000001</v>
      </c>
      <c r="M3152">
        <v>-0.99989090000000003</v>
      </c>
      <c r="N3152">
        <v>-1.3810090000000001E-2</v>
      </c>
      <c r="O3152">
        <v>5.2551940000000004E-3</v>
      </c>
      <c r="P3152">
        <v>-0.99848440000000005</v>
      </c>
      <c r="Q3152">
        <v>-4.7630159999999998E-2</v>
      </c>
      <c r="R3152">
        <v>-2.7575309999999999E-2</v>
      </c>
      <c r="S3152">
        <v>-2.974243</v>
      </c>
      <c r="T3152">
        <v>-0.1529971</v>
      </c>
      <c r="U3152">
        <v>-0.84082029999999996</v>
      </c>
      <c r="V3152">
        <v>-3.2821570000000001E-2</v>
      </c>
      <c r="W3152">
        <v>-3.3839590000000003E-2</v>
      </c>
      <c r="X3152">
        <v>0.9988882</v>
      </c>
      <c r="Y3152">
        <v>-0.27665329999999999</v>
      </c>
      <c r="Z3152">
        <v>-9.1170109999999995E-3</v>
      </c>
      <c r="AA3152">
        <v>0.96092650000000002</v>
      </c>
      <c r="AB3152">
        <v>24</v>
      </c>
      <c r="AC3152">
        <v>-20.094399999999901</v>
      </c>
      <c r="AD3152">
        <v>-1.04131376</v>
      </c>
      <c r="AE3152">
        <v>-5.7234999999999996</v>
      </c>
      <c r="AF3152">
        <v>-5.8145880727563304</v>
      </c>
      <c r="AG3152">
        <v>-1.04131376</v>
      </c>
      <c r="AH3152">
        <v>20.014327716641301</v>
      </c>
      <c r="AI3152">
        <v>92.860269625692098</v>
      </c>
      <c r="AJ3152">
        <v>106.19970525749</v>
      </c>
      <c r="AK3152">
        <v>20.867848062311602</v>
      </c>
      <c r="AL3152">
        <v>91.939235907424504</v>
      </c>
      <c r="AM3152">
        <v>91.881953454800197</v>
      </c>
      <c r="AN3152">
        <v>1.0000000047039299</v>
      </c>
    </row>
    <row r="3153" spans="1:40" x14ac:dyDescent="0.25">
      <c r="A3153" t="str">
        <f>"20190303153831878"</f>
        <v>20190303153831878</v>
      </c>
      <c r="B3153" t="str">
        <f>"1551598711872118"</f>
        <v>1551598711872118</v>
      </c>
      <c r="C3153" t="s">
        <v>40</v>
      </c>
      <c r="D3153">
        <v>3.9100640000000002</v>
      </c>
      <c r="E3153">
        <v>0.35701699999999997</v>
      </c>
      <c r="F3153" t="s">
        <v>55</v>
      </c>
      <c r="G3153">
        <v>-467.07769999999999</v>
      </c>
      <c r="H3153">
        <v>8.0001119999999995E-2</v>
      </c>
      <c r="I3153">
        <v>278.55270000000002</v>
      </c>
      <c r="J3153">
        <v>-453.57499999999999</v>
      </c>
      <c r="K3153">
        <v>1.1213150000000001</v>
      </c>
      <c r="L3153">
        <v>284.1739</v>
      </c>
      <c r="M3153">
        <v>-0.99989099999999997</v>
      </c>
      <c r="N3153">
        <v>-1.380848E-2</v>
      </c>
      <c r="O3153">
        <v>5.2311839999999998E-3</v>
      </c>
      <c r="P3153">
        <v>-0.9984613</v>
      </c>
      <c r="Q3153">
        <v>-4.7964630000000001E-2</v>
      </c>
      <c r="R3153">
        <v>-2.7828479999999999E-2</v>
      </c>
      <c r="S3153">
        <v>-2.9601139999999999</v>
      </c>
      <c r="T3153">
        <v>-0.2258202</v>
      </c>
      <c r="U3153">
        <v>-1.218872</v>
      </c>
      <c r="V3153">
        <v>-3.3050759999999998E-2</v>
      </c>
      <c r="W3153">
        <v>-3.4175980000000002E-2</v>
      </c>
      <c r="X3153">
        <v>0.99886920000000001</v>
      </c>
      <c r="Y3153">
        <v>-0.38442189999999998</v>
      </c>
      <c r="Z3153">
        <v>-1.714719E-2</v>
      </c>
      <c r="AA3153">
        <v>0.92299819999999999</v>
      </c>
      <c r="AB3153">
        <v>24</v>
      </c>
      <c r="AC3153">
        <v>-13.502700000000001</v>
      </c>
      <c r="AD3153">
        <v>-1.0413138799999999</v>
      </c>
      <c r="AE3153">
        <v>-5.6211999999999804</v>
      </c>
      <c r="AF3153">
        <v>-5.6630596561455997</v>
      </c>
      <c r="AG3153">
        <v>-1.0413138799999999</v>
      </c>
      <c r="AH3153">
        <v>13.4051580054052</v>
      </c>
      <c r="AI3153">
        <v>94.092926941385301</v>
      </c>
      <c r="AJ3153">
        <v>112.90181062184</v>
      </c>
      <c r="AK3153">
        <v>14.589477043939</v>
      </c>
      <c r="AL3153">
        <v>91.958520770442306</v>
      </c>
      <c r="AM3153">
        <v>91.895121434375298</v>
      </c>
      <c r="AN3153">
        <v>1.00000001452708</v>
      </c>
    </row>
    <row r="3154" spans="1:40" x14ac:dyDescent="0.25">
      <c r="A3154" t="str">
        <f>"20190303153831891"</f>
        <v>20190303153831891</v>
      </c>
      <c r="B3154" t="str">
        <f>"1551598711881879"</f>
        <v>1551598711881879</v>
      </c>
      <c r="C3154" t="s">
        <v>40</v>
      </c>
      <c r="D3154">
        <v>4.0808109999999997</v>
      </c>
      <c r="E3154">
        <v>0.35890179999999999</v>
      </c>
      <c r="F3154" t="s">
        <v>55</v>
      </c>
      <c r="G3154">
        <v>-467.19290000000001</v>
      </c>
      <c r="H3154">
        <v>8.0001089999999997E-2</v>
      </c>
      <c r="I3154">
        <v>278.54880000000003</v>
      </c>
      <c r="J3154">
        <v>-453.71859999999998</v>
      </c>
      <c r="K3154">
        <v>1.1213139999999999</v>
      </c>
      <c r="L3154">
        <v>284.17469999999997</v>
      </c>
      <c r="M3154">
        <v>-0.99989110000000003</v>
      </c>
      <c r="N3154">
        <v>-1.38069E-2</v>
      </c>
      <c r="O3154">
        <v>5.2077699999999996E-3</v>
      </c>
      <c r="P3154">
        <v>-0.99842589999999998</v>
      </c>
      <c r="Q3154">
        <v>-4.8333910000000001E-2</v>
      </c>
      <c r="R3154">
        <v>-2.8454549999999999E-2</v>
      </c>
      <c r="S3154">
        <v>-2.9596559999999998</v>
      </c>
      <c r="T3154">
        <v>-0.2263143</v>
      </c>
      <c r="U3154">
        <v>-1.222534</v>
      </c>
      <c r="V3154">
        <v>-3.365332E-2</v>
      </c>
      <c r="W3154">
        <v>-3.4547330000000001E-2</v>
      </c>
      <c r="X3154">
        <v>0.99883630000000001</v>
      </c>
      <c r="Y3154">
        <v>-0.38541900000000001</v>
      </c>
      <c r="Z3154">
        <v>-1.722019E-2</v>
      </c>
      <c r="AA3154">
        <v>0.92258099999999998</v>
      </c>
      <c r="AB3154">
        <v>24</v>
      </c>
      <c r="AC3154">
        <v>-13.474299999999999</v>
      </c>
      <c r="AD3154">
        <v>-1.04131290999999</v>
      </c>
      <c r="AE3154">
        <v>-5.6258999999999402</v>
      </c>
      <c r="AF3154">
        <v>-5.6671792527145302</v>
      </c>
      <c r="AG3154">
        <v>-1.04131290999999</v>
      </c>
      <c r="AH3154">
        <v>13.376784296308699</v>
      </c>
      <c r="AI3154">
        <v>94.099809450974803</v>
      </c>
      <c r="AJ3154">
        <v>112.960324424463</v>
      </c>
      <c r="AK3154">
        <v>14.565013263601999</v>
      </c>
      <c r="AL3154">
        <v>91.979810140905499</v>
      </c>
      <c r="AM3154">
        <v>91.929709682716705</v>
      </c>
      <c r="AN3154">
        <v>1.0000000090774199</v>
      </c>
    </row>
    <row r="3155" spans="1:40" x14ac:dyDescent="0.25">
      <c r="A3155" t="str">
        <f>"20190303153831908"</f>
        <v>20190303153831908</v>
      </c>
      <c r="B3155" t="str">
        <f>"1551598711901397"</f>
        <v>1551598711901397</v>
      </c>
      <c r="C3155" t="s">
        <v>40</v>
      </c>
      <c r="D3155">
        <v>4.0577259999999997</v>
      </c>
      <c r="E3155">
        <v>0.36169780000000001</v>
      </c>
      <c r="F3155" t="s">
        <v>55</v>
      </c>
      <c r="G3155">
        <v>-467.44159999999999</v>
      </c>
      <c r="H3155">
        <v>8.0001000000000003E-2</v>
      </c>
      <c r="I3155">
        <v>278.56709999999998</v>
      </c>
      <c r="J3155">
        <v>-453.89</v>
      </c>
      <c r="K3155">
        <v>1.1213109999999999</v>
      </c>
      <c r="L3155">
        <v>284.1755</v>
      </c>
      <c r="M3155">
        <v>-0.99989150000000004</v>
      </c>
      <c r="N3155">
        <v>-1.3805029999999999E-2</v>
      </c>
      <c r="O3155">
        <v>5.1792380000000001E-3</v>
      </c>
      <c r="P3155">
        <v>-0.99842629999999999</v>
      </c>
      <c r="Q3155">
        <v>-4.8247909999999998E-2</v>
      </c>
      <c r="R3155">
        <v>-2.8594560000000002E-2</v>
      </c>
      <c r="S3155">
        <v>-2.9593509999999998</v>
      </c>
      <c r="T3155">
        <v>-0.2245587</v>
      </c>
      <c r="U3155">
        <v>-1.2092590000000001</v>
      </c>
      <c r="V3155">
        <v>-3.3764879999999997E-2</v>
      </c>
      <c r="W3155">
        <v>-3.4463189999999998E-2</v>
      </c>
      <c r="X3155">
        <v>0.99883540000000004</v>
      </c>
      <c r="Y3155">
        <v>-0.38190760000000001</v>
      </c>
      <c r="Z3155">
        <v>-1.6963599999999999E-2</v>
      </c>
      <c r="AA3155">
        <v>0.9240448</v>
      </c>
      <c r="AB3155">
        <v>24</v>
      </c>
      <c r="AC3155">
        <v>-13.551600000000001</v>
      </c>
      <c r="AD3155">
        <v>-1.04131</v>
      </c>
      <c r="AE3155">
        <v>-5.6084000000000103</v>
      </c>
      <c r="AF3155">
        <v>-5.6500363736264498</v>
      </c>
      <c r="AG3155">
        <v>-1.04131</v>
      </c>
      <c r="AH3155">
        <v>13.4545433930763</v>
      </c>
      <c r="AI3155">
        <v>94.081602691273801</v>
      </c>
      <c r="AJ3155">
        <v>112.779249627235</v>
      </c>
      <c r="AK3155">
        <v>14.629831696078201</v>
      </c>
      <c r="AL3155">
        <v>91.974986483867497</v>
      </c>
      <c r="AM3155">
        <v>91.936103509727204</v>
      </c>
      <c r="AN3155">
        <v>0.99999996743977404</v>
      </c>
    </row>
    <row r="3156" spans="1:40" x14ac:dyDescent="0.25">
      <c r="A3156" t="str">
        <f>"20190303153831920"</f>
        <v>20190303153831920</v>
      </c>
      <c r="B3156" t="str">
        <f>"1551598711911158"</f>
        <v>1551598711911158</v>
      </c>
      <c r="C3156" t="s">
        <v>40</v>
      </c>
      <c r="D3156">
        <v>4.0298480000000003</v>
      </c>
      <c r="E3156">
        <v>0.36237059999999999</v>
      </c>
      <c r="F3156" t="s">
        <v>55</v>
      </c>
      <c r="G3156">
        <v>-467.99489999999997</v>
      </c>
      <c r="H3156">
        <v>8.0000849999999998E-2</v>
      </c>
      <c r="I3156">
        <v>278.51639999999998</v>
      </c>
      <c r="J3156">
        <v>-454.02609999999999</v>
      </c>
      <c r="K3156">
        <v>1.1213109999999999</v>
      </c>
      <c r="L3156">
        <v>284.17619999999999</v>
      </c>
      <c r="M3156">
        <v>-0.99989150000000004</v>
      </c>
      <c r="N3156">
        <v>-1.380355E-2</v>
      </c>
      <c r="O3156">
        <v>5.1568990000000004E-3</v>
      </c>
      <c r="P3156">
        <v>-0.99841480000000005</v>
      </c>
      <c r="Q3156">
        <v>-4.832881E-2</v>
      </c>
      <c r="R3156">
        <v>-2.8850069999999998E-2</v>
      </c>
      <c r="S3156">
        <v>-2.960175</v>
      </c>
      <c r="T3156">
        <v>-0.21853739999999999</v>
      </c>
      <c r="U3156">
        <v>-1.1876530000000001</v>
      </c>
      <c r="V3156">
        <v>-3.3997670000000001E-2</v>
      </c>
      <c r="W3156">
        <v>-3.4545729999999997E-2</v>
      </c>
      <c r="X3156">
        <v>0.99882470000000001</v>
      </c>
      <c r="Y3156">
        <v>-0.37606420000000002</v>
      </c>
      <c r="Z3156">
        <v>-1.634151E-2</v>
      </c>
      <c r="AA3156">
        <v>0.92644950000000004</v>
      </c>
      <c r="AB3156">
        <v>24</v>
      </c>
      <c r="AC3156">
        <v>-13.9687999999999</v>
      </c>
      <c r="AD3156">
        <v>-1.0413101499999999</v>
      </c>
      <c r="AE3156">
        <v>-5.6598000000000104</v>
      </c>
      <c r="AF3156">
        <v>-5.7045372917347397</v>
      </c>
      <c r="AG3156">
        <v>-1.0413101499999999</v>
      </c>
      <c r="AH3156">
        <v>13.873202212063701</v>
      </c>
      <c r="AI3156">
        <v>93.971074837707704</v>
      </c>
      <c r="AJ3156">
        <v>112.352028711229</v>
      </c>
      <c r="AK3156">
        <v>15.0363496952583</v>
      </c>
      <c r="AL3156">
        <v>91.979718400822804</v>
      </c>
      <c r="AM3156">
        <v>91.949462465985505</v>
      </c>
      <c r="AN3156">
        <v>1.0000000151783699</v>
      </c>
    </row>
    <row r="3157" spans="1:40" x14ac:dyDescent="0.25">
      <c r="A3157" t="str">
        <f>"20190303153831934"</f>
        <v>20190303153831934</v>
      </c>
      <c r="B3157" t="str">
        <f>"1551598711921893"</f>
        <v>1551598711921893</v>
      </c>
      <c r="C3157" t="s">
        <v>40</v>
      </c>
      <c r="D3157">
        <v>4.0750250000000001</v>
      </c>
      <c r="E3157">
        <v>0.3630468</v>
      </c>
      <c r="F3157" t="s">
        <v>55</v>
      </c>
      <c r="G3157">
        <v>-468.233</v>
      </c>
      <c r="H3157">
        <v>8.0000779999999994E-2</v>
      </c>
      <c r="I3157">
        <v>278.49939999999998</v>
      </c>
      <c r="J3157">
        <v>-454.17419999999998</v>
      </c>
      <c r="K3157">
        <v>1.1213120000000001</v>
      </c>
      <c r="L3157">
        <v>284.17689999999999</v>
      </c>
      <c r="M3157">
        <v>-0.99989159999999999</v>
      </c>
      <c r="N3157">
        <v>-1.380195E-2</v>
      </c>
      <c r="O3157">
        <v>5.1325340000000002E-3</v>
      </c>
      <c r="P3157">
        <v>-0.99840459999999998</v>
      </c>
      <c r="Q3157">
        <v>-4.855566E-2</v>
      </c>
      <c r="R3157">
        <v>-2.8821010000000001E-2</v>
      </c>
      <c r="S3157">
        <v>-2.9601139999999999</v>
      </c>
      <c r="T3157">
        <v>-0.21696409999999999</v>
      </c>
      <c r="U3157">
        <v>-1.1828000000000001</v>
      </c>
      <c r="V3157">
        <v>-3.3945009999999998E-2</v>
      </c>
      <c r="W3157">
        <v>-3.4774279999999998E-2</v>
      </c>
      <c r="X3157">
        <v>0.99881850000000005</v>
      </c>
      <c r="Y3157">
        <v>-0.37475619999999998</v>
      </c>
      <c r="Z3157">
        <v>-1.6189289999999999E-2</v>
      </c>
      <c r="AA3157">
        <v>0.92698199999999997</v>
      </c>
      <c r="AB3157">
        <v>24</v>
      </c>
      <c r="AC3157">
        <v>-14.0588</v>
      </c>
      <c r="AD3157">
        <v>-1.0413112200000001</v>
      </c>
      <c r="AE3157">
        <v>-5.6775000000000002</v>
      </c>
      <c r="AF3157">
        <v>-5.7225966814554896</v>
      </c>
      <c r="AG3157">
        <v>-1.0413112200000001</v>
      </c>
      <c r="AH3157">
        <v>13.963607726346799</v>
      </c>
      <c r="AI3157">
        <v>93.947341960211901</v>
      </c>
      <c r="AJ3157">
        <v>112.28490830731199</v>
      </c>
      <c r="AK3157">
        <v>15.126624956373901</v>
      </c>
      <c r="AL3157">
        <v>91.992821343518401</v>
      </c>
      <c r="AM3157">
        <v>91.946457283165003</v>
      </c>
      <c r="AN3157">
        <v>0.99999995509783302</v>
      </c>
    </row>
    <row r="3158" spans="1:40" x14ac:dyDescent="0.25">
      <c r="A3158" t="str">
        <f>"20190303153831948"</f>
        <v>20190303153831948</v>
      </c>
      <c r="B3158" t="str">
        <f>"1551598711941413"</f>
        <v>1551598711941413</v>
      </c>
      <c r="C3158" t="s">
        <v>40</v>
      </c>
      <c r="D3158">
        <v>4.0834859999999997</v>
      </c>
      <c r="E3158">
        <v>0.36392750000000001</v>
      </c>
      <c r="F3158" t="s">
        <v>55</v>
      </c>
      <c r="G3158">
        <v>-468.54140000000001</v>
      </c>
      <c r="H3158">
        <v>8.0000689999999999E-2</v>
      </c>
      <c r="I3158">
        <v>278.46300000000002</v>
      </c>
      <c r="J3158">
        <v>-454.32229999999998</v>
      </c>
      <c r="K3158">
        <v>1.121308</v>
      </c>
      <c r="L3158">
        <v>284.17770000000002</v>
      </c>
      <c r="M3158">
        <v>-0.99989170000000005</v>
      </c>
      <c r="N3158">
        <v>-1.3800349999999999E-2</v>
      </c>
      <c r="O3158">
        <v>5.1081690000000001E-3</v>
      </c>
      <c r="P3158">
        <v>-0.99840989999999996</v>
      </c>
      <c r="Q3158">
        <v>-4.8492130000000001E-2</v>
      </c>
      <c r="R3158">
        <v>-2.874142E-2</v>
      </c>
      <c r="S3158">
        <v>-2.9603269999999999</v>
      </c>
      <c r="T3158">
        <v>-0.21455879999999999</v>
      </c>
      <c r="U3158">
        <v>-1.177338</v>
      </c>
      <c r="V3158">
        <v>-3.3840780000000001E-2</v>
      </c>
      <c r="W3158">
        <v>-3.4712260000000002E-2</v>
      </c>
      <c r="X3158">
        <v>0.99882420000000005</v>
      </c>
      <c r="Y3158">
        <v>-0.37325910000000001</v>
      </c>
      <c r="Z3158">
        <v>-1.5977160000000001E-2</v>
      </c>
      <c r="AA3158">
        <v>0.92758960000000001</v>
      </c>
      <c r="AB3158">
        <v>24</v>
      </c>
      <c r="AC3158">
        <v>-14.219099999999999</v>
      </c>
      <c r="AD3158">
        <v>-1.0413073100000001</v>
      </c>
      <c r="AE3158">
        <v>-5.7147000000000503</v>
      </c>
      <c r="AF3158">
        <v>-5.7606673935591903</v>
      </c>
      <c r="AG3158">
        <v>-1.0413073100000001</v>
      </c>
      <c r="AH3158">
        <v>14.124503463929999</v>
      </c>
      <c r="AI3158">
        <v>93.9051916243195</v>
      </c>
      <c r="AJ3158">
        <v>112.188051807386</v>
      </c>
      <c r="AK3158">
        <v>15.289578406079301</v>
      </c>
      <c r="AL3158">
        <v>91.989265700835603</v>
      </c>
      <c r="AM3158">
        <v>91.940474091150307</v>
      </c>
      <c r="AN3158">
        <v>0.99999996094547705</v>
      </c>
    </row>
    <row r="3159" spans="1:40" x14ac:dyDescent="0.25">
      <c r="A3159" t="str">
        <f>"20190303153831971"</f>
        <v>20190303153831971</v>
      </c>
      <c r="B3159" t="str">
        <f>"1551598711961909"</f>
        <v>1551598711961909</v>
      </c>
      <c r="C3159" t="s">
        <v>40</v>
      </c>
      <c r="D3159">
        <v>4.0627440000000004</v>
      </c>
      <c r="E3159">
        <v>0.36437039999999998</v>
      </c>
      <c r="F3159" t="s">
        <v>55</v>
      </c>
      <c r="G3159">
        <v>-468.96890000000002</v>
      </c>
      <c r="H3159">
        <v>8.0000569999999993E-2</v>
      </c>
      <c r="I3159">
        <v>278.38929999999999</v>
      </c>
      <c r="J3159">
        <v>-454.56220000000002</v>
      </c>
      <c r="K3159">
        <v>1.121316</v>
      </c>
      <c r="L3159">
        <v>284.17880000000002</v>
      </c>
      <c r="M3159">
        <v>-0.99989150000000004</v>
      </c>
      <c r="N3159">
        <v>-1.382824E-2</v>
      </c>
      <c r="O3159">
        <v>5.0699400000000002E-3</v>
      </c>
      <c r="P3159">
        <v>-0.99840119999999999</v>
      </c>
      <c r="Q3159">
        <v>-4.8623140000000002E-2</v>
      </c>
      <c r="R3159">
        <v>-2.882181E-2</v>
      </c>
      <c r="S3159">
        <v>-2.9608759999999998</v>
      </c>
      <c r="T3159">
        <v>-0.2105052</v>
      </c>
      <c r="U3159">
        <v>-1.1701349999999999</v>
      </c>
      <c r="V3159">
        <v>-3.3883040000000003E-2</v>
      </c>
      <c r="W3159">
        <v>-3.4815560000000002E-2</v>
      </c>
      <c r="X3159">
        <v>0.99881920000000002</v>
      </c>
      <c r="Y3159">
        <v>-0.37125360000000002</v>
      </c>
      <c r="Z3159">
        <v>-1.5647390000000001E-2</v>
      </c>
      <c r="AA3159">
        <v>0.92839959999999999</v>
      </c>
      <c r="AB3159">
        <v>24</v>
      </c>
      <c r="AC3159">
        <v>-14.406700000000001</v>
      </c>
      <c r="AD3159">
        <v>-1.04131543</v>
      </c>
      <c r="AE3159">
        <v>-5.7895000000000296</v>
      </c>
      <c r="AF3159">
        <v>-5.8362223640069901</v>
      </c>
      <c r="AG3159">
        <v>-1.04131543</v>
      </c>
      <c r="AH3159">
        <v>14.312780749655801</v>
      </c>
      <c r="AI3159">
        <v>93.854122447304803</v>
      </c>
      <c r="AJ3159">
        <v>112.183817131851</v>
      </c>
      <c r="AK3159">
        <v>15.491982510144</v>
      </c>
      <c r="AL3159">
        <v>91.995187878869004</v>
      </c>
      <c r="AM3159">
        <v>91.942905196665905</v>
      </c>
      <c r="AN3159">
        <v>0.99999998895319697</v>
      </c>
    </row>
    <row r="3160" spans="1:40" x14ac:dyDescent="0.25">
      <c r="A3160" t="str">
        <f>"20190303153831993"</f>
        <v>20190303153831993</v>
      </c>
      <c r="B3160" t="str">
        <f>"1551598711981431"</f>
        <v>1551598711981431</v>
      </c>
      <c r="C3160" t="s">
        <v>40</v>
      </c>
      <c r="D3160">
        <v>4.0558740000000002</v>
      </c>
      <c r="E3160">
        <v>0.36491659999999998</v>
      </c>
      <c r="F3160" t="s">
        <v>55</v>
      </c>
      <c r="G3160">
        <v>-469.28710000000001</v>
      </c>
      <c r="H3160">
        <v>8.0000479999999999E-2</v>
      </c>
      <c r="I3160">
        <v>278.37560000000002</v>
      </c>
      <c r="J3160">
        <v>-454.80119999999999</v>
      </c>
      <c r="K3160">
        <v>1.121343</v>
      </c>
      <c r="L3160">
        <v>284.18</v>
      </c>
      <c r="M3160">
        <v>-0.99989059999999996</v>
      </c>
      <c r="N3160">
        <v>-1.391644E-2</v>
      </c>
      <c r="O3160">
        <v>5.039824E-3</v>
      </c>
      <c r="P3160">
        <v>-0.99842039999999999</v>
      </c>
      <c r="Q3160">
        <v>-4.8339260000000002E-2</v>
      </c>
      <c r="R3160">
        <v>-2.8638380000000001E-2</v>
      </c>
      <c r="S3160">
        <v>-2.9609070000000002</v>
      </c>
      <c r="T3160">
        <v>-0.20938999999999999</v>
      </c>
      <c r="U3160">
        <v>-1.1669309999999999</v>
      </c>
      <c r="V3160">
        <v>-3.3669629999999999E-2</v>
      </c>
      <c r="W3160">
        <v>-3.444357E-2</v>
      </c>
      <c r="X3160">
        <v>0.99883929999999999</v>
      </c>
      <c r="Y3160">
        <v>-0.37036340000000001</v>
      </c>
      <c r="Z3160">
        <v>-1.555841E-2</v>
      </c>
      <c r="AA3160">
        <v>0.92875669999999999</v>
      </c>
      <c r="AB3160">
        <v>24</v>
      </c>
      <c r="AC3160">
        <v>-14.485900000000001</v>
      </c>
      <c r="AD3160">
        <v>-1.0413425199999999</v>
      </c>
      <c r="AE3160">
        <v>-5.8043999999999798</v>
      </c>
      <c r="AF3160">
        <v>-5.85128527317615</v>
      </c>
      <c r="AG3160">
        <v>-1.0413425199999999</v>
      </c>
      <c r="AH3160">
        <v>14.392374039454101</v>
      </c>
      <c r="AI3160">
        <v>93.834584597675203</v>
      </c>
      <c r="AJ3160">
        <v>112.124424719264</v>
      </c>
      <c r="AK3160">
        <v>15.571203039059</v>
      </c>
      <c r="AL3160">
        <v>91.973861657200601</v>
      </c>
      <c r="AM3160">
        <v>91.930638409973199</v>
      </c>
      <c r="AN3160">
        <v>0.99999997536158503</v>
      </c>
    </row>
    <row r="3161" spans="1:40" x14ac:dyDescent="0.25">
      <c r="A3161" t="str">
        <f>"20190303153832015"</f>
        <v>20190303153832015</v>
      </c>
      <c r="B3161" t="str">
        <f>"1551598712011686"</f>
        <v>1551598712011686</v>
      </c>
      <c r="C3161" t="s">
        <v>40</v>
      </c>
      <c r="D3161">
        <v>4.0422659999999997</v>
      </c>
      <c r="E3161">
        <v>0.3657144</v>
      </c>
      <c r="F3161" t="s">
        <v>55</v>
      </c>
      <c r="G3161">
        <v>-469.69380000000001</v>
      </c>
      <c r="H3161">
        <v>8.0000360000000006E-2</v>
      </c>
      <c r="I3161">
        <v>278.33449999999999</v>
      </c>
      <c r="J3161">
        <v>-455.03699999999998</v>
      </c>
      <c r="K3161">
        <v>1.1213869999999999</v>
      </c>
      <c r="L3161">
        <v>284.18110000000001</v>
      </c>
      <c r="M3161">
        <v>-0.99988809999999995</v>
      </c>
      <c r="N3161">
        <v>-1.4100629999999999E-2</v>
      </c>
      <c r="O3161">
        <v>5.0055899999999999E-3</v>
      </c>
      <c r="P3161">
        <v>-0.99843820000000005</v>
      </c>
      <c r="Q3161">
        <v>-4.8227899999999997E-2</v>
      </c>
      <c r="R3161">
        <v>-2.820317E-2</v>
      </c>
      <c r="S3161">
        <v>-2.961395</v>
      </c>
      <c r="T3161">
        <v>-0.2070707</v>
      </c>
      <c r="U3161">
        <v>-1.1623840000000001</v>
      </c>
      <c r="V3161">
        <v>-3.3200350000000003E-2</v>
      </c>
      <c r="W3161">
        <v>-3.4147770000000001E-2</v>
      </c>
      <c r="X3161">
        <v>0.99886520000000001</v>
      </c>
      <c r="Y3161">
        <v>-0.36906460000000002</v>
      </c>
      <c r="Z3161">
        <v>-1.53954E-2</v>
      </c>
      <c r="AA3161">
        <v>0.9292762</v>
      </c>
      <c r="AB3161">
        <v>24</v>
      </c>
      <c r="AC3161">
        <v>-14.6568</v>
      </c>
      <c r="AD3161">
        <v>-1.04138664</v>
      </c>
      <c r="AE3161">
        <v>-5.84660000000002</v>
      </c>
      <c r="AF3161">
        <v>-5.8942289032484902</v>
      </c>
      <c r="AG3161">
        <v>-1.04138664</v>
      </c>
      <c r="AH3161">
        <v>14.563917710369299</v>
      </c>
      <c r="AI3161">
        <v>93.792133361170102</v>
      </c>
      <c r="AJ3161">
        <v>112.03389392649299</v>
      </c>
      <c r="AK3161">
        <v>15.7459239034193</v>
      </c>
      <c r="AL3161">
        <v>91.956903520233894</v>
      </c>
      <c r="AM3161">
        <v>91.903700204294495</v>
      </c>
      <c r="AN3161">
        <v>1.00000001060356</v>
      </c>
    </row>
    <row r="3162" spans="1:40" x14ac:dyDescent="0.25">
      <c r="A3162" t="str">
        <f>"20190303153832038"</f>
        <v>20190303153832038</v>
      </c>
      <c r="B3162" t="str">
        <f>"1551598712031205"</f>
        <v>1551598712031205</v>
      </c>
      <c r="C3162" t="s">
        <v>40</v>
      </c>
      <c r="D3162">
        <v>4.0544760000000002</v>
      </c>
      <c r="E3162">
        <v>0.36607529999999999</v>
      </c>
      <c r="F3162" t="s">
        <v>55</v>
      </c>
      <c r="G3162">
        <v>-469.86329999999998</v>
      </c>
      <c r="H3162">
        <v>8.0000299999999996E-2</v>
      </c>
      <c r="I3162">
        <v>278.40289999999999</v>
      </c>
      <c r="J3162">
        <v>-455.2774</v>
      </c>
      <c r="K3162">
        <v>1.121443</v>
      </c>
      <c r="L3162">
        <v>284.1823</v>
      </c>
      <c r="M3162">
        <v>-0.99988460000000001</v>
      </c>
      <c r="N3162">
        <v>-1.4360960000000001E-2</v>
      </c>
      <c r="O3162">
        <v>4.9637989999999996E-3</v>
      </c>
      <c r="P3162">
        <v>-0.99841829999999998</v>
      </c>
      <c r="Q3162">
        <v>-4.870211E-2</v>
      </c>
      <c r="R3162">
        <v>-2.8086759999999999E-2</v>
      </c>
      <c r="S3162">
        <v>-2.9620060000000001</v>
      </c>
      <c r="T3162">
        <v>-0.20804929999999999</v>
      </c>
      <c r="U3162">
        <v>-1.154388</v>
      </c>
      <c r="V3162">
        <v>-3.3041979999999999E-2</v>
      </c>
      <c r="W3162">
        <v>-3.4361830000000003E-2</v>
      </c>
      <c r="X3162">
        <v>0.9988631</v>
      </c>
      <c r="Y3162">
        <v>-0.36677779999999999</v>
      </c>
      <c r="Z3162">
        <v>-1.5409859999999999E-2</v>
      </c>
      <c r="AA3162">
        <v>0.93018089999999998</v>
      </c>
      <c r="AB3162">
        <v>24</v>
      </c>
      <c r="AC3162">
        <v>-14.585899999999899</v>
      </c>
      <c r="AD3162">
        <v>-1.0414426999999999</v>
      </c>
      <c r="AE3162">
        <v>-5.7794000000000096</v>
      </c>
      <c r="AF3162">
        <v>-5.8260665073345299</v>
      </c>
      <c r="AG3162">
        <v>-1.0414426999999999</v>
      </c>
      <c r="AH3162">
        <v>14.4931687292493</v>
      </c>
      <c r="AI3162">
        <v>93.814391685915496</v>
      </c>
      <c r="AJ3162">
        <v>111.8994896176</v>
      </c>
      <c r="AK3162">
        <v>15.655018162230199</v>
      </c>
      <c r="AL3162">
        <v>91.969175477243795</v>
      </c>
      <c r="AM3162">
        <v>91.894629920458996</v>
      </c>
      <c r="AN3162">
        <v>1.0000000001724301</v>
      </c>
    </row>
    <row r="3163" spans="1:40" x14ac:dyDescent="0.25">
      <c r="A3163" t="str">
        <f>"20190303153832052"</f>
        <v>20190303153832052</v>
      </c>
      <c r="B3163" t="str">
        <f>"1551598712041942"</f>
        <v>1551598712041942</v>
      </c>
      <c r="C3163" t="s">
        <v>40</v>
      </c>
      <c r="D3163">
        <v>4.0414379999999896</v>
      </c>
      <c r="E3163">
        <v>0.36614669999999999</v>
      </c>
      <c r="F3163" t="s">
        <v>51</v>
      </c>
      <c r="G3163">
        <v>-470.00290000000001</v>
      </c>
      <c r="H3163">
        <v>8.0000769999999999E-2</v>
      </c>
      <c r="I3163">
        <v>278.4597</v>
      </c>
      <c r="J3163">
        <v>-455.43470000000002</v>
      </c>
      <c r="K3163">
        <v>1.121483</v>
      </c>
      <c r="L3163">
        <v>284.18299999999999</v>
      </c>
      <c r="M3163">
        <v>-0.99988189999999999</v>
      </c>
      <c r="N3163">
        <v>-1.4564789999999999E-2</v>
      </c>
      <c r="O3163">
        <v>4.9351150000000003E-3</v>
      </c>
      <c r="P3163">
        <v>-0.99840969999999996</v>
      </c>
      <c r="Q3163">
        <v>-4.872046E-2</v>
      </c>
      <c r="R3163">
        <v>-2.836319E-2</v>
      </c>
      <c r="S3163">
        <v>-2.962189</v>
      </c>
      <c r="T3163">
        <v>-0.20949709999999999</v>
      </c>
      <c r="U3163">
        <v>-1.151154</v>
      </c>
      <c r="V3163">
        <v>-3.3289859999999998E-2</v>
      </c>
      <c r="W3163">
        <v>-3.4176520000000002E-2</v>
      </c>
      <c r="X3163">
        <v>0.99886129999999995</v>
      </c>
      <c r="Y3163">
        <v>-0.36583680000000002</v>
      </c>
      <c r="Z3163">
        <v>-1.5496680000000001E-2</v>
      </c>
      <c r="AA3163">
        <v>0.93054999999999999</v>
      </c>
      <c r="AB3163">
        <v>24</v>
      </c>
      <c r="AC3163">
        <v>-14.5681999999999</v>
      </c>
      <c r="AD3163">
        <v>-1.04148223</v>
      </c>
      <c r="AE3163">
        <v>-5.7232999999999903</v>
      </c>
      <c r="AF3163">
        <v>-5.76958883579168</v>
      </c>
      <c r="AG3163">
        <v>-1.04148223</v>
      </c>
      <c r="AH3163">
        <v>14.475683439801299</v>
      </c>
      <c r="AI3163">
        <v>93.823620246206801</v>
      </c>
      <c r="AJ3163">
        <v>111.73079638951801</v>
      </c>
      <c r="AK3163">
        <v>15.6178824306894</v>
      </c>
      <c r="AL3163">
        <v>91.958551613743694</v>
      </c>
      <c r="AM3163">
        <v>91.908836342100699</v>
      </c>
      <c r="AN3163">
        <v>1.0000000729678999</v>
      </c>
    </row>
    <row r="3164" spans="1:40" x14ac:dyDescent="0.25">
      <c r="A3164" t="str">
        <f>"20190303153832065"</f>
        <v>20190303153832065</v>
      </c>
      <c r="B3164" t="str">
        <f>"1551598712061462"</f>
        <v>1551598712061462</v>
      </c>
      <c r="C3164" t="s">
        <v>40</v>
      </c>
      <c r="D3164">
        <v>4.017531</v>
      </c>
      <c r="E3164">
        <v>0.3662279</v>
      </c>
      <c r="F3164" t="s">
        <v>51</v>
      </c>
      <c r="G3164">
        <v>-470.15089999999998</v>
      </c>
      <c r="H3164">
        <v>8.0000749999999995E-2</v>
      </c>
      <c r="I3164">
        <v>278.46260000000001</v>
      </c>
      <c r="J3164">
        <v>-455.57799999999997</v>
      </c>
      <c r="K3164">
        <v>1.121526</v>
      </c>
      <c r="L3164">
        <v>284.18369999999999</v>
      </c>
      <c r="M3164">
        <v>-0.99987879999999996</v>
      </c>
      <c r="N3164">
        <v>-1.4785029999999999E-2</v>
      </c>
      <c r="O3164">
        <v>4.9091309999999997E-3</v>
      </c>
      <c r="P3164">
        <v>-0.99840180000000001</v>
      </c>
      <c r="Q3164">
        <v>-4.8983409999999998E-2</v>
      </c>
      <c r="R3164">
        <v>-2.8187029999999998E-2</v>
      </c>
      <c r="S3164">
        <v>-2.9618229999999999</v>
      </c>
      <c r="T3164">
        <v>-0.2096102</v>
      </c>
      <c r="U3164">
        <v>-1.1513059999999999</v>
      </c>
      <c r="V3164">
        <v>-3.3087859999999997E-2</v>
      </c>
      <c r="W3164">
        <v>-3.421942E-2</v>
      </c>
      <c r="X3164">
        <v>0.99886649999999999</v>
      </c>
      <c r="Y3164">
        <v>-0.36588900000000002</v>
      </c>
      <c r="Z3164">
        <v>-1.554649E-2</v>
      </c>
      <c r="AA3164">
        <v>0.93052860000000004</v>
      </c>
      <c r="AB3164">
        <v>24</v>
      </c>
      <c r="AC3164">
        <v>-14.572899999999899</v>
      </c>
      <c r="AD3164">
        <v>-1.0415252500000001</v>
      </c>
      <c r="AE3164">
        <v>-5.7210999999999697</v>
      </c>
      <c r="AF3164">
        <v>-5.7670550752276997</v>
      </c>
      <c r="AG3164">
        <v>-1.0415252500000001</v>
      </c>
      <c r="AH3164">
        <v>14.4805470986218</v>
      </c>
      <c r="AI3164">
        <v>93.822901954477501</v>
      </c>
      <c r="AJ3164">
        <v>111.715524890878</v>
      </c>
      <c r="AK3164">
        <v>15.621457786087101</v>
      </c>
      <c r="AL3164">
        <v>91.961011125364607</v>
      </c>
      <c r="AM3164">
        <v>91.8972523089177</v>
      </c>
      <c r="AN3164">
        <v>1.00000003000338</v>
      </c>
    </row>
    <row r="3165" spans="1:40" x14ac:dyDescent="0.25">
      <c r="A3165" t="str">
        <f>"20190303153832079"</f>
        <v>20190303153832079</v>
      </c>
      <c r="B3165" t="str">
        <f>"1551598712071222"</f>
        <v>1551598712071222</v>
      </c>
      <c r="C3165" t="s">
        <v>40</v>
      </c>
      <c r="D3165">
        <v>4.0229780000000002</v>
      </c>
      <c r="E3165">
        <v>0.36624479999999998</v>
      </c>
      <c r="F3165" t="s">
        <v>51</v>
      </c>
      <c r="G3165">
        <v>-470.25959999999998</v>
      </c>
      <c r="H3165">
        <v>8.0000730000000006E-2</v>
      </c>
      <c r="I3165">
        <v>278.4821</v>
      </c>
      <c r="J3165">
        <v>-455.71809999999999</v>
      </c>
      <c r="K3165">
        <v>1.1215740000000001</v>
      </c>
      <c r="L3165">
        <v>284.18439999999998</v>
      </c>
      <c r="M3165">
        <v>-0.99987519999999996</v>
      </c>
      <c r="N3165">
        <v>-1.503436E-2</v>
      </c>
      <c r="O3165">
        <v>4.8848540000000001E-3</v>
      </c>
      <c r="P3165">
        <v>-0.99837710000000002</v>
      </c>
      <c r="Q3165">
        <v>-4.929389E-2</v>
      </c>
      <c r="R3165">
        <v>-2.8522680000000002E-2</v>
      </c>
      <c r="S3165">
        <v>-2.9619749999999998</v>
      </c>
      <c r="T3165">
        <v>-0.21012520000000001</v>
      </c>
      <c r="U3165">
        <v>-1.150299</v>
      </c>
      <c r="V3165">
        <v>-3.33993E-2</v>
      </c>
      <c r="W3165">
        <v>-3.4281159999999998E-2</v>
      </c>
      <c r="X3165">
        <v>0.99885400000000002</v>
      </c>
      <c r="Y3165">
        <v>-0.36556880000000003</v>
      </c>
      <c r="Z3165">
        <v>-1.560926E-2</v>
      </c>
      <c r="AA3165">
        <v>0.93065350000000002</v>
      </c>
      <c r="AB3165">
        <v>24</v>
      </c>
      <c r="AC3165">
        <v>-14.5414999999999</v>
      </c>
      <c r="AD3165">
        <v>-1.04157327</v>
      </c>
      <c r="AE3165">
        <v>-5.7022999999999797</v>
      </c>
      <c r="AF3165">
        <v>-5.7477145452076703</v>
      </c>
      <c r="AG3165">
        <v>-1.04157327</v>
      </c>
      <c r="AH3165">
        <v>14.4492166706119</v>
      </c>
      <c r="AI3165">
        <v>93.831966089726293</v>
      </c>
      <c r="AJ3165">
        <v>111.692033298041</v>
      </c>
      <c r="AK3165">
        <v>15.5852802273254</v>
      </c>
      <c r="AL3165">
        <v>91.964550678271706</v>
      </c>
      <c r="AM3165">
        <v>91.915120938451196</v>
      </c>
      <c r="AN3165">
        <v>1.00000001224371</v>
      </c>
    </row>
    <row r="3166" spans="1:40" x14ac:dyDescent="0.25">
      <c r="A3166" t="str">
        <f>"20190303153832091"</f>
        <v>20190303153832091</v>
      </c>
      <c r="B3166" t="str">
        <f>"1551598712081958"</f>
        <v>1551598712081958</v>
      </c>
      <c r="C3166" t="s">
        <v>40</v>
      </c>
      <c r="D3166">
        <v>4.0348889999999997</v>
      </c>
      <c r="E3166">
        <v>0.36627349999999997</v>
      </c>
      <c r="F3166" t="s">
        <v>51</v>
      </c>
      <c r="G3166">
        <v>-470.3897</v>
      </c>
      <c r="H3166">
        <v>8.0000710000000003E-2</v>
      </c>
      <c r="I3166">
        <v>278.48090000000002</v>
      </c>
      <c r="J3166">
        <v>-455.85480000000001</v>
      </c>
      <c r="K3166">
        <v>1.1216250000000001</v>
      </c>
      <c r="L3166">
        <v>284.185</v>
      </c>
      <c r="M3166">
        <v>-0.99987110000000001</v>
      </c>
      <c r="N3166">
        <v>-1.529839E-2</v>
      </c>
      <c r="O3166">
        <v>4.8621530000000001E-3</v>
      </c>
      <c r="P3166">
        <v>-0.99836519999999995</v>
      </c>
      <c r="Q3166">
        <v>-4.9584549999999998E-2</v>
      </c>
      <c r="R3166">
        <v>-2.8430609999999999E-2</v>
      </c>
      <c r="S3166">
        <v>-2.9616090000000002</v>
      </c>
      <c r="T3166">
        <v>-0.21025150000000001</v>
      </c>
      <c r="U3166">
        <v>-1.1513059999999999</v>
      </c>
      <c r="V3166">
        <v>-3.3284479999999998E-2</v>
      </c>
      <c r="W3166">
        <v>-3.4308209999999999E-2</v>
      </c>
      <c r="X3166">
        <v>0.99885690000000005</v>
      </c>
      <c r="Y3166">
        <v>-0.36585620000000002</v>
      </c>
      <c r="Z3166">
        <v>-1.5677549999999998E-2</v>
      </c>
      <c r="AA3166">
        <v>0.93053940000000002</v>
      </c>
      <c r="AB3166">
        <v>24</v>
      </c>
      <c r="AC3166">
        <v>-14.534899999999899</v>
      </c>
      <c r="AD3166">
        <v>-1.0416242899999999</v>
      </c>
      <c r="AE3166">
        <v>-5.70409999999998</v>
      </c>
      <c r="AF3166">
        <v>-5.74912645949333</v>
      </c>
      <c r="AG3166">
        <v>-1.0416242899999999</v>
      </c>
      <c r="AH3166">
        <v>14.4427164140569</v>
      </c>
      <c r="AI3166">
        <v>93.833509390069693</v>
      </c>
      <c r="AJ3166">
        <v>111.705724414649</v>
      </c>
      <c r="AK3166">
        <v>15.579778356113801</v>
      </c>
      <c r="AL3166">
        <v>91.966101449099099</v>
      </c>
      <c r="AM3166">
        <v>91.908536482659997</v>
      </c>
      <c r="AN3166">
        <v>1.0000000082799401</v>
      </c>
    </row>
    <row r="3167" spans="1:40" x14ac:dyDescent="0.25">
      <c r="A3167" t="str">
        <f>"20190303153832103"</f>
        <v>20190303153832103</v>
      </c>
      <c r="B3167" t="str">
        <f>"1551598712091718"</f>
        <v>1551598712091718</v>
      </c>
      <c r="C3167" t="s">
        <v>40</v>
      </c>
      <c r="D3167">
        <v>4.0324650000000002</v>
      </c>
      <c r="E3167">
        <v>0.36627349999999997</v>
      </c>
      <c r="F3167" t="s">
        <v>51</v>
      </c>
      <c r="G3167">
        <v>-470.67450000000002</v>
      </c>
      <c r="H3167">
        <v>8.0000669999999996E-2</v>
      </c>
      <c r="I3167">
        <v>278.42660000000001</v>
      </c>
      <c r="J3167">
        <v>-455.97680000000003</v>
      </c>
      <c r="K3167">
        <v>1.121672</v>
      </c>
      <c r="L3167">
        <v>284.18560000000002</v>
      </c>
      <c r="M3167">
        <v>-0.99986719999999896</v>
      </c>
      <c r="N3167">
        <v>-1.556099E-2</v>
      </c>
      <c r="O3167">
        <v>4.8432939999999997E-3</v>
      </c>
      <c r="P3167">
        <v>-0.99834670000000003</v>
      </c>
      <c r="Q3167">
        <v>-4.9850449999999998E-2</v>
      </c>
      <c r="R3167">
        <v>-2.8617E-2</v>
      </c>
      <c r="S3167">
        <v>-2.961792</v>
      </c>
      <c r="T3167">
        <v>-0.2081739</v>
      </c>
      <c r="U3167">
        <v>-1.1508480000000001</v>
      </c>
      <c r="V3167">
        <v>-3.3452120000000002E-2</v>
      </c>
      <c r="W3167">
        <v>-3.431211E-2</v>
      </c>
      <c r="X3167">
        <v>0.99885119999999905</v>
      </c>
      <c r="Y3167">
        <v>-0.36570920000000001</v>
      </c>
      <c r="Z3167">
        <v>-1.559175E-2</v>
      </c>
      <c r="AA3167">
        <v>0.93059860000000005</v>
      </c>
      <c r="AB3167">
        <v>23</v>
      </c>
      <c r="AC3167">
        <v>-14.6976999999999</v>
      </c>
      <c r="AD3167">
        <v>-1.04167133</v>
      </c>
      <c r="AE3167">
        <v>-5.7590000000000101</v>
      </c>
      <c r="AF3167">
        <v>-5.8048494022433497</v>
      </c>
      <c r="AG3167">
        <v>-1.04167133</v>
      </c>
      <c r="AH3167">
        <v>14.606030409053799</v>
      </c>
      <c r="AI3167">
        <v>93.791767656858397</v>
      </c>
      <c r="AJ3167">
        <v>111.674271729144</v>
      </c>
      <c r="AK3167">
        <v>15.7517453017966</v>
      </c>
      <c r="AL3167">
        <v>91.966324966995501</v>
      </c>
      <c r="AM3167">
        <v>91.918152757543197</v>
      </c>
      <c r="AN3167">
        <v>1.00000004248329</v>
      </c>
    </row>
    <row r="3168" spans="1:40" x14ac:dyDescent="0.25">
      <c r="A3168" t="str">
        <f>"20190303153832126"</f>
        <v>20190303153832126</v>
      </c>
      <c r="B3168" t="str">
        <f>"1551598712121974"</f>
        <v>1551598712121974</v>
      </c>
      <c r="C3168" t="s">
        <v>40</v>
      </c>
      <c r="D3168">
        <v>4.0237379999999998</v>
      </c>
      <c r="E3168">
        <v>0.39993610000000002</v>
      </c>
      <c r="F3168" t="s">
        <v>51</v>
      </c>
      <c r="G3168">
        <v>-470.65800000000002</v>
      </c>
      <c r="H3168">
        <v>8.0000680000000005E-2</v>
      </c>
      <c r="I3168">
        <v>278.4785</v>
      </c>
      <c r="J3168">
        <v>-456.20670000000001</v>
      </c>
      <c r="K3168">
        <v>1.1217619999999999</v>
      </c>
      <c r="L3168">
        <v>284.18669999999997</v>
      </c>
      <c r="M3168">
        <v>-0.99985919999999895</v>
      </c>
      <c r="N3168">
        <v>-1.6078410000000001E-2</v>
      </c>
      <c r="O3168">
        <v>4.8085749999999998E-3</v>
      </c>
      <c r="P3168">
        <v>-0.99829869999999998</v>
      </c>
      <c r="Q3168">
        <v>-5.074911E-2</v>
      </c>
      <c r="R3168">
        <v>-2.871017E-2</v>
      </c>
      <c r="S3168">
        <v>-2.9614560000000001</v>
      </c>
      <c r="T3168">
        <v>-0.2101239</v>
      </c>
      <c r="U3168">
        <v>-1.1512150000000001</v>
      </c>
      <c r="V3168">
        <v>-3.351026E-2</v>
      </c>
      <c r="W3168">
        <v>-3.4694629999999997E-2</v>
      </c>
      <c r="X3168">
        <v>0.99883599999999995</v>
      </c>
      <c r="Y3168">
        <v>-0.36578909999999998</v>
      </c>
      <c r="Z3168">
        <v>-1.5809070000000001E-2</v>
      </c>
      <c r="AA3168">
        <v>0.93056349999999999</v>
      </c>
      <c r="AB3168">
        <v>23</v>
      </c>
      <c r="AC3168">
        <v>-14.4513</v>
      </c>
      <c r="AD3168">
        <v>-1.04176132</v>
      </c>
      <c r="AE3168">
        <v>-5.7081999999999704</v>
      </c>
      <c r="AF3168">
        <v>-5.7517772841268897</v>
      </c>
      <c r="AG3168">
        <v>-1.04176132</v>
      </c>
      <c r="AH3168">
        <v>14.359132710818299</v>
      </c>
      <c r="AI3168">
        <v>93.852951549726896</v>
      </c>
      <c r="AJ3168">
        <v>111.829349864066</v>
      </c>
      <c r="AK3168">
        <v>15.5033190246779</v>
      </c>
      <c r="AL3168">
        <v>91.988254879991899</v>
      </c>
      <c r="AM3168">
        <v>91.921513241183902</v>
      </c>
      <c r="AN3168">
        <v>1.00000000488605</v>
      </c>
    </row>
    <row r="3169" spans="1:40" x14ac:dyDescent="0.25">
      <c r="A3169" t="str">
        <f>"20190303153832148"</f>
        <v>20190303153832148</v>
      </c>
      <c r="B3169" t="str">
        <f>"1551598712141494"</f>
        <v>1551598712141494</v>
      </c>
      <c r="C3169" t="s">
        <v>40</v>
      </c>
      <c r="D3169">
        <v>3.9845259999999998</v>
      </c>
      <c r="E3169">
        <v>0.40011239999999998</v>
      </c>
      <c r="F3169" t="s">
        <v>51</v>
      </c>
      <c r="G3169">
        <v>-482.62979999999999</v>
      </c>
      <c r="H3169" s="1">
        <v>1.4192239999999999E-6</v>
      </c>
      <c r="I3169">
        <v>276.32920000000001</v>
      </c>
      <c r="J3169">
        <v>-456.435</v>
      </c>
      <c r="K3169">
        <v>1.1218399999999999</v>
      </c>
      <c r="L3169">
        <v>284.18770000000001</v>
      </c>
      <c r="M3169">
        <v>-0.99985069999999998</v>
      </c>
      <c r="N3169">
        <v>-1.6604219999999999E-2</v>
      </c>
      <c r="O3169">
        <v>4.7734250000000004E-3</v>
      </c>
      <c r="P3169">
        <v>-0.99827460000000001</v>
      </c>
      <c r="Q3169">
        <v>-5.1084709999999998E-2</v>
      </c>
      <c r="R3169">
        <v>-2.8951870000000001E-2</v>
      </c>
      <c r="S3169">
        <v>-2.973236</v>
      </c>
      <c r="T3169">
        <v>-0.12622510000000001</v>
      </c>
      <c r="U3169">
        <v>-0.88415529999999998</v>
      </c>
      <c r="V3169">
        <v>-3.371623E-2</v>
      </c>
      <c r="W3169">
        <v>-3.4505359999999999E-2</v>
      </c>
      <c r="X3169">
        <v>0.99883560000000005</v>
      </c>
      <c r="Y3169">
        <v>-0.28926669999999999</v>
      </c>
      <c r="Z3169">
        <v>-8.5823719999999996E-3</v>
      </c>
      <c r="AA3169">
        <v>0.95721009999999995</v>
      </c>
      <c r="AB3169">
        <v>23</v>
      </c>
      <c r="AC3169">
        <v>-26.194799999999901</v>
      </c>
      <c r="AD3169">
        <v>-1.1218385807759901</v>
      </c>
      <c r="AE3169">
        <v>-7.8584999999999896</v>
      </c>
      <c r="AF3169">
        <v>-7.9700554892030597</v>
      </c>
      <c r="AG3169">
        <v>-1.1218385807759901</v>
      </c>
      <c r="AH3169">
        <v>26.1130442511041</v>
      </c>
      <c r="AI3169">
        <v>92.352937147733897</v>
      </c>
      <c r="AJ3169">
        <v>106.9729005029</v>
      </c>
      <c r="AK3169">
        <v>27.325288404011701</v>
      </c>
      <c r="AL3169">
        <v>91.977404060150107</v>
      </c>
      <c r="AM3169">
        <v>91.933315613971402</v>
      </c>
      <c r="AN3169">
        <v>0.99999997993075096</v>
      </c>
    </row>
    <row r="3170" spans="1:40" x14ac:dyDescent="0.25">
      <c r="A3170" t="str">
        <f>"20190303153832165"</f>
        <v>20190303153832165</v>
      </c>
      <c r="B3170" t="str">
        <f>"1551598712161990"</f>
        <v>1551598712161990</v>
      </c>
      <c r="C3170" t="s">
        <v>40</v>
      </c>
      <c r="D3170">
        <v>3.9729410000000001</v>
      </c>
      <c r="E3170">
        <v>0.40019070000000001</v>
      </c>
      <c r="F3170" t="s">
        <v>51</v>
      </c>
      <c r="G3170">
        <v>-481.654</v>
      </c>
      <c r="H3170" s="1">
        <v>1.3971029999999901E-6</v>
      </c>
      <c r="I3170">
        <v>276.69499999999999</v>
      </c>
      <c r="J3170">
        <v>-456.60890000000001</v>
      </c>
      <c r="K3170">
        <v>1.1218889999999999</v>
      </c>
      <c r="L3170">
        <v>284.18849999999998</v>
      </c>
      <c r="M3170">
        <v>-0.99984430000000002</v>
      </c>
      <c r="N3170">
        <v>-1.6995240000000002E-2</v>
      </c>
      <c r="O3170">
        <v>4.745745E-3</v>
      </c>
      <c r="P3170">
        <v>-0.99824760000000001</v>
      </c>
      <c r="Q3170">
        <v>-5.1615269999999998E-2</v>
      </c>
      <c r="R3170">
        <v>-2.8941120000000001E-2</v>
      </c>
      <c r="S3170">
        <v>-2.9728089999999998</v>
      </c>
      <c r="T3170">
        <v>-0.132242</v>
      </c>
      <c r="U3170">
        <v>-0.88323969999999896</v>
      </c>
      <c r="V3170">
        <v>-3.3678449999999999E-2</v>
      </c>
      <c r="W3170">
        <v>-3.4645670000000003E-2</v>
      </c>
      <c r="X3170">
        <v>0.99883200000000005</v>
      </c>
      <c r="Y3170">
        <v>-0.28897640000000002</v>
      </c>
      <c r="Z3170">
        <v>-8.9255319999999999E-3</v>
      </c>
      <c r="AA3170">
        <v>0.9572946</v>
      </c>
      <c r="AB3170">
        <v>23</v>
      </c>
      <c r="AC3170">
        <v>-25.045099999999898</v>
      </c>
      <c r="AD3170">
        <v>-1.121887602897</v>
      </c>
      <c r="AE3170">
        <v>-7.4934999999999796</v>
      </c>
      <c r="AF3170">
        <v>-7.5982966758293298</v>
      </c>
      <c r="AG3170">
        <v>-1.121887602897</v>
      </c>
      <c r="AH3170">
        <v>24.963275772791398</v>
      </c>
      <c r="AI3170">
        <v>92.461858980364994</v>
      </c>
      <c r="AJ3170">
        <v>106.929147258527</v>
      </c>
      <c r="AK3170">
        <v>26.118152336562499</v>
      </c>
      <c r="AL3170">
        <v>91.985448075684502</v>
      </c>
      <c r="AM3170">
        <v>91.931157874753396</v>
      </c>
      <c r="AN3170">
        <v>0.99999996233407495</v>
      </c>
    </row>
    <row r="3171" spans="1:40" x14ac:dyDescent="0.25">
      <c r="A3171" t="str">
        <f>"20190303153832182"</f>
        <v>20190303153832182</v>
      </c>
      <c r="B3171" t="str">
        <f>"1551598712171751"</f>
        <v>1551598712171751</v>
      </c>
      <c r="C3171" t="s">
        <v>40</v>
      </c>
      <c r="D3171">
        <v>3.9677579999999999</v>
      </c>
      <c r="E3171">
        <v>0.4001847</v>
      </c>
      <c r="F3171" t="s">
        <v>51</v>
      </c>
      <c r="G3171">
        <v>-481.6737</v>
      </c>
      <c r="H3171" s="1">
        <v>1.4078610000000001E-6</v>
      </c>
      <c r="I3171">
        <v>276.74619999999999</v>
      </c>
      <c r="J3171">
        <v>-456.77890000000002</v>
      </c>
      <c r="K3171">
        <v>1.1219300000000001</v>
      </c>
      <c r="L3171">
        <v>284.1893</v>
      </c>
      <c r="M3171">
        <v>-0.99983820000000001</v>
      </c>
      <c r="N3171">
        <v>-1.736062E-2</v>
      </c>
      <c r="O3171">
        <v>4.7177419999999996E-3</v>
      </c>
      <c r="P3171">
        <v>-0.99821289999999996</v>
      </c>
      <c r="Q3171">
        <v>-5.2161300000000001E-2</v>
      </c>
      <c r="R3171">
        <v>-2.916011E-2</v>
      </c>
      <c r="S3171">
        <v>-2.9727779999999999</v>
      </c>
      <c r="T3171">
        <v>-0.13306019999999999</v>
      </c>
      <c r="U3171">
        <v>-0.88269039999999999</v>
      </c>
      <c r="V3171">
        <v>-3.3869219999999998E-2</v>
      </c>
      <c r="W3171">
        <v>-3.4827179999999999E-2</v>
      </c>
      <c r="X3171">
        <v>0.99881929999999997</v>
      </c>
      <c r="Y3171">
        <v>-0.28878369999999998</v>
      </c>
      <c r="Z3171">
        <v>-9.0114559999999993E-3</v>
      </c>
      <c r="AA3171">
        <v>0.95735199999999998</v>
      </c>
      <c r="AB3171">
        <v>23</v>
      </c>
      <c r="AC3171">
        <v>-24.894799999999901</v>
      </c>
      <c r="AD3171">
        <v>-1.1219285921390001</v>
      </c>
      <c r="AE3171">
        <v>-7.44310000000001</v>
      </c>
      <c r="AF3171">
        <v>-7.5464128597133602</v>
      </c>
      <c r="AG3171">
        <v>-1.1219285921390001</v>
      </c>
      <c r="AH3171">
        <v>24.813142339288699</v>
      </c>
      <c r="AI3171">
        <v>92.476998247547002</v>
      </c>
      <c r="AJ3171">
        <v>106.916072730287</v>
      </c>
      <c r="AK3171">
        <v>25.959566706031701</v>
      </c>
      <c r="AL3171">
        <v>91.995853987283397</v>
      </c>
      <c r="AM3171">
        <v>91.942113149479596</v>
      </c>
      <c r="AN3171">
        <v>1.0000000252913199</v>
      </c>
    </row>
    <row r="3172" spans="1:40" x14ac:dyDescent="0.25">
      <c r="A3172" t="str">
        <f>"20190303153832204"</f>
        <v>20190303153832204</v>
      </c>
      <c r="B3172" t="str">
        <f>"1551598712202006"</f>
        <v>1551598712202006</v>
      </c>
      <c r="C3172" t="s">
        <v>40</v>
      </c>
      <c r="D3172">
        <v>3.942529</v>
      </c>
      <c r="E3172">
        <v>0.39979999999999999</v>
      </c>
      <c r="F3172" t="s">
        <v>51</v>
      </c>
      <c r="G3172">
        <v>-481.47340000000003</v>
      </c>
      <c r="H3172" s="1">
        <v>1.408502E-6</v>
      </c>
      <c r="I3172">
        <v>276.85070000000002</v>
      </c>
      <c r="J3172">
        <v>-457.00650000000002</v>
      </c>
      <c r="K3172">
        <v>1.121964</v>
      </c>
      <c r="L3172">
        <v>284.19029999999998</v>
      </c>
      <c r="M3172">
        <v>-0.99983029999999995</v>
      </c>
      <c r="N3172">
        <v>-1.7825279999999999E-2</v>
      </c>
      <c r="O3172">
        <v>4.6794879999999999E-3</v>
      </c>
      <c r="P3172">
        <v>-0.99814360000000002</v>
      </c>
      <c r="Q3172">
        <v>-5.333479E-2</v>
      </c>
      <c r="R3172">
        <v>-2.94139E-2</v>
      </c>
      <c r="S3172">
        <v>-2.972534</v>
      </c>
      <c r="T3172">
        <v>-0.13504920000000001</v>
      </c>
      <c r="U3172">
        <v>-0.88336179999999997</v>
      </c>
      <c r="V3172">
        <v>-3.4084120000000002E-2</v>
      </c>
      <c r="W3172">
        <v>-3.55375E-2</v>
      </c>
      <c r="X3172">
        <v>0.99878690000000003</v>
      </c>
      <c r="Y3172">
        <v>-0.288954299999999</v>
      </c>
      <c r="Z3172">
        <v>-9.1801729999999998E-3</v>
      </c>
      <c r="AA3172">
        <v>0.95729889999999995</v>
      </c>
      <c r="AB3172">
        <v>23</v>
      </c>
      <c r="AC3172">
        <v>-24.466899999999999</v>
      </c>
      <c r="AD3172">
        <v>-1.121962591498</v>
      </c>
      <c r="AE3172">
        <v>-7.3395999999999599</v>
      </c>
      <c r="AF3172">
        <v>-7.4396777412438002</v>
      </c>
      <c r="AG3172">
        <v>-1.121962591498</v>
      </c>
      <c r="AH3172">
        <v>24.385237039943402</v>
      </c>
      <c r="AI3172">
        <v>92.519811298626493</v>
      </c>
      <c r="AJ3172">
        <v>106.966392937412</v>
      </c>
      <c r="AK3172">
        <v>25.5195491818431</v>
      </c>
      <c r="AL3172">
        <v>92.036577677173597</v>
      </c>
      <c r="AM3172">
        <v>91.954489670461697</v>
      </c>
      <c r="AN3172">
        <v>0.999999956377016</v>
      </c>
    </row>
    <row r="3173" spans="1:40" x14ac:dyDescent="0.25">
      <c r="A3173" t="str">
        <f>"20190303153832221"</f>
        <v>20190303153832221</v>
      </c>
      <c r="B3173" t="str">
        <f>"1551598712211766"</f>
        <v>1551598712211766</v>
      </c>
      <c r="C3173" t="s">
        <v>40</v>
      </c>
      <c r="D3173">
        <v>3.9543650000000001</v>
      </c>
      <c r="E3173">
        <v>0.39967609999999998</v>
      </c>
      <c r="F3173" t="s">
        <v>51</v>
      </c>
      <c r="G3173">
        <v>-481.44880000000001</v>
      </c>
      <c r="H3173" s="1">
        <v>1.413873E-6</v>
      </c>
      <c r="I3173">
        <v>276.89359999999999</v>
      </c>
      <c r="J3173">
        <v>-457.16680000000002</v>
      </c>
      <c r="K3173">
        <v>1.121991</v>
      </c>
      <c r="L3173">
        <v>284.19099999999997</v>
      </c>
      <c r="M3173">
        <v>-0.99982479999999996</v>
      </c>
      <c r="N3173">
        <v>-1.8132880000000001E-2</v>
      </c>
      <c r="O3173">
        <v>4.6529900000000001E-3</v>
      </c>
      <c r="P3173">
        <v>-0.99812409999999996</v>
      </c>
      <c r="Q3173">
        <v>-5.3609360000000002E-2</v>
      </c>
      <c r="R3173">
        <v>-2.9571460000000001E-2</v>
      </c>
      <c r="S3173">
        <v>-2.972137</v>
      </c>
      <c r="T3173">
        <v>-0.13642850000000001</v>
      </c>
      <c r="U3173">
        <v>-0.8872681</v>
      </c>
      <c r="V3173">
        <v>-3.4215599999999999E-2</v>
      </c>
      <c r="W3173">
        <v>-3.5505080000000001E-2</v>
      </c>
      <c r="X3173">
        <v>0.99878359999999999</v>
      </c>
      <c r="Y3173">
        <v>-0.2901089</v>
      </c>
      <c r="Z3173">
        <v>-9.3279020000000008E-3</v>
      </c>
      <c r="AA3173">
        <v>0.95694820000000003</v>
      </c>
      <c r="AB3173">
        <v>23</v>
      </c>
      <c r="AC3173">
        <v>-24.281999999999901</v>
      </c>
      <c r="AD3173">
        <v>-1.1219895861269999</v>
      </c>
      <c r="AE3173">
        <v>-7.2973999999999801</v>
      </c>
      <c r="AF3173">
        <v>-7.3958409505130502</v>
      </c>
      <c r="AG3173">
        <v>-1.1219895861269999</v>
      </c>
      <c r="AH3173">
        <v>24.200387644780999</v>
      </c>
      <c r="AI3173">
        <v>92.538726721388997</v>
      </c>
      <c r="AJ3173">
        <v>106.99359074318799</v>
      </c>
      <c r="AK3173">
        <v>25.330141850260802</v>
      </c>
      <c r="AL3173">
        <v>92.034718888556895</v>
      </c>
      <c r="AM3173">
        <v>91.962029739593802</v>
      </c>
      <c r="AN3173">
        <v>0.99999999880906298</v>
      </c>
    </row>
    <row r="3174" spans="1:40" x14ac:dyDescent="0.25">
      <c r="A3174" t="str">
        <f>"20190303153832238"</f>
        <v>20190303153832238</v>
      </c>
      <c r="B3174" t="str">
        <f>"1551598712231289"</f>
        <v>1551598712231289</v>
      </c>
      <c r="C3174" t="s">
        <v>40</v>
      </c>
      <c r="D3174">
        <v>3.943616</v>
      </c>
      <c r="E3174">
        <v>0.39924080000000001</v>
      </c>
      <c r="F3174" t="s">
        <v>51</v>
      </c>
      <c r="G3174">
        <v>-481.43639999999999</v>
      </c>
      <c r="H3174" s="1">
        <v>1.419519E-6</v>
      </c>
      <c r="I3174">
        <v>276.93189999999998</v>
      </c>
      <c r="J3174">
        <v>-457.34030000000001</v>
      </c>
      <c r="K3174">
        <v>1.1220190000000001</v>
      </c>
      <c r="L3174">
        <v>284.1918</v>
      </c>
      <c r="M3174">
        <v>-0.99981909999999896</v>
      </c>
      <c r="N3174">
        <v>-1.8446879999999999E-2</v>
      </c>
      <c r="O3174">
        <v>4.6243609999999996E-3</v>
      </c>
      <c r="P3174">
        <v>-0.99808339999999995</v>
      </c>
      <c r="Q3174">
        <v>-5.4149849999999999E-2</v>
      </c>
      <c r="R3174">
        <v>-2.995244E-2</v>
      </c>
      <c r="S3174">
        <v>-2.971924</v>
      </c>
      <c r="T3174">
        <v>-0.1373924</v>
      </c>
      <c r="U3174">
        <v>-0.88891600000000004</v>
      </c>
      <c r="V3174">
        <v>-3.4567750000000001E-2</v>
      </c>
      <c r="W3174">
        <v>-3.5732569999999998E-2</v>
      </c>
      <c r="X3174">
        <v>0.99876339999999997</v>
      </c>
      <c r="Y3174">
        <v>-0.2905799</v>
      </c>
      <c r="Z3174">
        <v>-9.4349819999999997E-3</v>
      </c>
      <c r="AA3174">
        <v>0.95680419999999999</v>
      </c>
      <c r="AB3174">
        <v>23</v>
      </c>
      <c r="AC3174">
        <v>-24.0960999999999</v>
      </c>
      <c r="AD3174">
        <v>-1.122017580481</v>
      </c>
      <c r="AE3174">
        <v>-7.2599000000000098</v>
      </c>
      <c r="AF3174">
        <v>-7.3566469124815601</v>
      </c>
      <c r="AG3174">
        <v>-1.122017580481</v>
      </c>
      <c r="AH3174">
        <v>24.014528313116301</v>
      </c>
      <c r="AI3174">
        <v>92.557888789471704</v>
      </c>
      <c r="AJ3174">
        <v>107.032000868822</v>
      </c>
      <c r="AK3174">
        <v>25.141136556394901</v>
      </c>
      <c r="AL3174">
        <v>92.047761302273997</v>
      </c>
      <c r="AM3174">
        <v>91.982247155468102</v>
      </c>
      <c r="AN3174">
        <v>1.00000003753921</v>
      </c>
    </row>
    <row r="3175" spans="1:40" x14ac:dyDescent="0.25">
      <c r="A3175" t="str">
        <f>"20190303153832260"</f>
        <v>20190303153832260</v>
      </c>
      <c r="B3175" t="str">
        <f>"1551598712251781"</f>
        <v>1551598712251781</v>
      </c>
      <c r="C3175" t="s">
        <v>40</v>
      </c>
      <c r="D3175">
        <v>3.936286</v>
      </c>
      <c r="E3175">
        <v>0.39903110000000003</v>
      </c>
      <c r="F3175" t="s">
        <v>51</v>
      </c>
      <c r="G3175">
        <v>-479.65019999999998</v>
      </c>
      <c r="H3175">
        <v>7.999995E-2</v>
      </c>
      <c r="I3175">
        <v>277.4837</v>
      </c>
      <c r="J3175">
        <v>-457.56029999999998</v>
      </c>
      <c r="K3175">
        <v>1.122042</v>
      </c>
      <c r="L3175">
        <v>284.19279999999998</v>
      </c>
      <c r="M3175">
        <v>-0.9998127</v>
      </c>
      <c r="N3175">
        <v>-1.881066E-2</v>
      </c>
      <c r="O3175">
        <v>4.5885370000000002E-3</v>
      </c>
      <c r="P3175">
        <v>-0.99812599999999996</v>
      </c>
      <c r="Q3175">
        <v>-5.3304280000000002E-2</v>
      </c>
      <c r="R3175">
        <v>-3.005712E-2</v>
      </c>
      <c r="S3175">
        <v>-2.9714049999999999</v>
      </c>
      <c r="T3175">
        <v>-0.138784299999999</v>
      </c>
      <c r="U3175">
        <v>-0.89343259999999902</v>
      </c>
      <c r="V3175">
        <v>-3.4636859999999998E-2</v>
      </c>
      <c r="W3175">
        <v>-3.4522909999999997E-2</v>
      </c>
      <c r="X3175">
        <v>0.99880349999999996</v>
      </c>
      <c r="Y3175">
        <v>-0.29191420000000001</v>
      </c>
      <c r="Z3175">
        <v>-9.5986409999999998E-3</v>
      </c>
      <c r="AA3175">
        <v>0.95639629999999998</v>
      </c>
      <c r="AB3175">
        <v>22</v>
      </c>
      <c r="AC3175">
        <v>-22.0899</v>
      </c>
      <c r="AD3175">
        <v>-1.0420420500000001</v>
      </c>
      <c r="AE3175">
        <v>-6.7090999999999701</v>
      </c>
      <c r="AF3175">
        <v>-6.7965606987925096</v>
      </c>
      <c r="AG3175">
        <v>-1.0420420500000001</v>
      </c>
      <c r="AH3175">
        <v>22.014026959585699</v>
      </c>
      <c r="AI3175">
        <v>92.589656725515397</v>
      </c>
      <c r="AJ3175">
        <v>107.157430741542</v>
      </c>
      <c r="AK3175">
        <v>23.062880824903601</v>
      </c>
      <c r="AL3175">
        <v>91.978410185570596</v>
      </c>
      <c r="AM3175">
        <v>91.9861273380168</v>
      </c>
      <c r="AN3175">
        <v>0.99999998749888797</v>
      </c>
    </row>
    <row r="3176" spans="1:40" x14ac:dyDescent="0.25">
      <c r="A3176" t="str">
        <f>"20190303153832283"</f>
        <v>20190303153832283</v>
      </c>
      <c r="B3176" t="str">
        <f>"1551598712271301"</f>
        <v>1551598712271301</v>
      </c>
      <c r="C3176" t="s">
        <v>40</v>
      </c>
      <c r="D3176">
        <v>3.919813</v>
      </c>
      <c r="E3176">
        <v>0.39880330000000003</v>
      </c>
      <c r="F3176" t="s">
        <v>51</v>
      </c>
      <c r="G3176">
        <v>-481.96719999999999</v>
      </c>
      <c r="H3176" s="1">
        <v>1.449857E-6</v>
      </c>
      <c r="I3176">
        <v>276.83690000000001</v>
      </c>
      <c r="J3176">
        <v>-457.77820000000003</v>
      </c>
      <c r="K3176">
        <v>1.1220669999999999</v>
      </c>
      <c r="L3176">
        <v>284.19380000000001</v>
      </c>
      <c r="M3176">
        <v>-0.9998068</v>
      </c>
      <c r="N3176">
        <v>-1.9121229999999999E-2</v>
      </c>
      <c r="O3176">
        <v>4.553456E-3</v>
      </c>
      <c r="P3176">
        <v>-0.99811970000000005</v>
      </c>
      <c r="Q3176">
        <v>-5.3562829999999999E-2</v>
      </c>
      <c r="R3176">
        <v>-2.9805669999999999E-2</v>
      </c>
      <c r="S3176">
        <v>-2.9713750000000001</v>
      </c>
      <c r="T3176">
        <v>-0.136601</v>
      </c>
      <c r="U3176">
        <v>-0.89553830000000001</v>
      </c>
      <c r="V3176">
        <v>-3.4350690000000003E-2</v>
      </c>
      <c r="W3176">
        <v>-3.44712E-2</v>
      </c>
      <c r="X3176">
        <v>0.99881520000000001</v>
      </c>
      <c r="Y3176">
        <v>-0.29251310000000003</v>
      </c>
      <c r="Z3176">
        <v>-9.5535629999999993E-3</v>
      </c>
      <c r="AA3176">
        <v>0.9562138</v>
      </c>
      <c r="AB3176">
        <v>22</v>
      </c>
      <c r="AC3176">
        <v>-24.188999999999901</v>
      </c>
      <c r="AD3176">
        <v>-1.1220655501429999</v>
      </c>
      <c r="AE3176">
        <v>-7.3568999999999898</v>
      </c>
      <c r="AF3176">
        <v>-7.4523093189368401</v>
      </c>
      <c r="AG3176">
        <v>-1.1220655501429999</v>
      </c>
      <c r="AH3176">
        <v>24.1077610346432</v>
      </c>
      <c r="AI3176">
        <v>92.546128082235896</v>
      </c>
      <c r="AJ3176">
        <v>107.177681514612</v>
      </c>
      <c r="AK3176">
        <v>25.2582677036132</v>
      </c>
      <c r="AL3176">
        <v>91.975445594739199</v>
      </c>
      <c r="AM3176">
        <v>91.969707863741803</v>
      </c>
      <c r="AN3176">
        <v>1.00000001864197</v>
      </c>
    </row>
    <row r="3177" spans="1:40" x14ac:dyDescent="0.25">
      <c r="A3177" t="str">
        <f>"20190303153832305"</f>
        <v>20190303153832305</v>
      </c>
      <c r="B3177" t="str">
        <f>"1551598712301557"</f>
        <v>1551598712301557</v>
      </c>
      <c r="C3177" t="s">
        <v>40</v>
      </c>
      <c r="D3177">
        <v>3.929195</v>
      </c>
      <c r="E3177">
        <v>0.3983585</v>
      </c>
      <c r="F3177" t="s">
        <v>51</v>
      </c>
      <c r="G3177">
        <v>-481.71929999999998</v>
      </c>
      <c r="H3177" s="1">
        <v>1.4513870000000001E-6</v>
      </c>
      <c r="I3177">
        <v>276.97039999999998</v>
      </c>
      <c r="J3177">
        <v>-457.9984</v>
      </c>
      <c r="K3177">
        <v>1.1220680000000001</v>
      </c>
      <c r="L3177">
        <v>284.19470000000001</v>
      </c>
      <c r="M3177">
        <v>-0.99980219999999997</v>
      </c>
      <c r="N3177">
        <v>-1.9371719999999999E-2</v>
      </c>
      <c r="O3177">
        <v>4.5173690000000002E-3</v>
      </c>
      <c r="P3177">
        <v>-0.99814179999999997</v>
      </c>
      <c r="Q3177">
        <v>-5.335587E-2</v>
      </c>
      <c r="R3177">
        <v>-2.943086E-2</v>
      </c>
      <c r="S3177">
        <v>-2.9714049999999999</v>
      </c>
      <c r="T3177">
        <v>-0.1392629</v>
      </c>
      <c r="U3177">
        <v>-0.896514899999999</v>
      </c>
      <c r="V3177">
        <v>-3.3939709999999998E-2</v>
      </c>
      <c r="W3177">
        <v>-3.4013509999999997E-2</v>
      </c>
      <c r="X3177">
        <v>0.99884490000000004</v>
      </c>
      <c r="Y3177">
        <v>-0.29274830000000002</v>
      </c>
      <c r="Z3177">
        <v>-9.7284529999999998E-3</v>
      </c>
      <c r="AA3177">
        <v>0.95613999999999999</v>
      </c>
      <c r="AB3177">
        <v>22</v>
      </c>
      <c r="AC3177">
        <v>-23.720899999999901</v>
      </c>
      <c r="AD3177">
        <v>-1.1220665486129999</v>
      </c>
      <c r="AE3177">
        <v>-7.2243000000000199</v>
      </c>
      <c r="AF3177">
        <v>-7.3164210558254599</v>
      </c>
      <c r="AG3177">
        <v>-1.1220665486129999</v>
      </c>
      <c r="AH3177">
        <v>23.6396116004425</v>
      </c>
      <c r="AI3177">
        <v>92.596211204418097</v>
      </c>
      <c r="AJ3177">
        <v>107.197210620826</v>
      </c>
      <c r="AK3177">
        <v>24.771360217505599</v>
      </c>
      <c r="AL3177">
        <v>91.949206580225805</v>
      </c>
      <c r="AM3177">
        <v>91.946102208696701</v>
      </c>
      <c r="AN3177">
        <v>0.99999997851670597</v>
      </c>
    </row>
    <row r="3178" spans="1:40" x14ac:dyDescent="0.25">
      <c r="A3178" t="str">
        <f>"20190303153832327"</f>
        <v>20190303153832327</v>
      </c>
      <c r="B3178" t="str">
        <f>"1551598712322053"</f>
        <v>1551598712322053</v>
      </c>
      <c r="C3178" t="s">
        <v>40</v>
      </c>
      <c r="D3178">
        <v>3.925799</v>
      </c>
      <c r="E3178">
        <v>0.39804729999999999</v>
      </c>
      <c r="F3178" t="s">
        <v>51</v>
      </c>
      <c r="G3178">
        <v>-482.0129</v>
      </c>
      <c r="H3178" s="1">
        <v>1.470872E-6</v>
      </c>
      <c r="I3178">
        <v>276.93310000000002</v>
      </c>
      <c r="J3178">
        <v>-458.21609999999998</v>
      </c>
      <c r="K3178">
        <v>1.1220669999999999</v>
      </c>
      <c r="L3178">
        <v>284.19560000000001</v>
      </c>
      <c r="M3178">
        <v>-0.99979859999999998</v>
      </c>
      <c r="N3178">
        <v>-1.956579E-2</v>
      </c>
      <c r="O3178">
        <v>4.4813309999999999E-3</v>
      </c>
      <c r="P3178">
        <v>-0.99815010000000004</v>
      </c>
      <c r="Q3178">
        <v>-5.3529210000000001E-2</v>
      </c>
      <c r="R3178">
        <v>-2.883517E-2</v>
      </c>
      <c r="S3178">
        <v>-2.9717099999999999</v>
      </c>
      <c r="T3178">
        <v>-0.13885129999999901</v>
      </c>
      <c r="U3178">
        <v>-0.89859009999999995</v>
      </c>
      <c r="V3178">
        <v>-3.3307690000000001E-2</v>
      </c>
      <c r="W3178">
        <v>-3.3992639999999998E-2</v>
      </c>
      <c r="X3178">
        <v>0.9988669</v>
      </c>
      <c r="Y3178">
        <v>-0.29329880000000003</v>
      </c>
      <c r="Z3178">
        <v>-9.7522649999999995E-3</v>
      </c>
      <c r="AA3178">
        <v>0.95597109999999996</v>
      </c>
      <c r="AB3178">
        <v>22</v>
      </c>
      <c r="AC3178">
        <v>-23.796800000000001</v>
      </c>
      <c r="AD3178">
        <v>-1.1220655291279999</v>
      </c>
      <c r="AE3178">
        <v>-7.2624999999999797</v>
      </c>
      <c r="AF3178">
        <v>-7.3541314335133396</v>
      </c>
      <c r="AG3178">
        <v>-1.1220655291279999</v>
      </c>
      <c r="AH3178">
        <v>23.7157742144264</v>
      </c>
      <c r="AI3178">
        <v>92.587447081126697</v>
      </c>
      <c r="AJ3178">
        <v>107.228376432239</v>
      </c>
      <c r="AK3178">
        <v>24.855185108598601</v>
      </c>
      <c r="AL3178">
        <v>91.9480100974706</v>
      </c>
      <c r="AM3178">
        <v>91.909847255688106</v>
      </c>
      <c r="AN3178">
        <v>0.99999999285145702</v>
      </c>
    </row>
    <row r="3179" spans="1:40" x14ac:dyDescent="0.25">
      <c r="A3179" t="str">
        <f>"20190303153832350"</f>
        <v>20190303153832350</v>
      </c>
      <c r="B3179" t="str">
        <f>"1551598712341574"</f>
        <v>1551598712341574</v>
      </c>
      <c r="C3179" t="s">
        <v>40</v>
      </c>
      <c r="D3179">
        <v>3.9403049999999999</v>
      </c>
      <c r="E3179">
        <v>0.39774730000000003</v>
      </c>
      <c r="F3179" t="s">
        <v>51</v>
      </c>
      <c r="G3179">
        <v>-482.13839999999999</v>
      </c>
      <c r="H3179" s="1">
        <v>1.485869E-6</v>
      </c>
      <c r="I3179">
        <v>276.95510000000002</v>
      </c>
      <c r="J3179">
        <v>-458.42759999999998</v>
      </c>
      <c r="K3179">
        <v>1.122058</v>
      </c>
      <c r="L3179">
        <v>284.19650000000001</v>
      </c>
      <c r="M3179">
        <v>-0.99979620000000002</v>
      </c>
      <c r="N3179">
        <v>-1.9696720000000001E-2</v>
      </c>
      <c r="O3179">
        <v>4.445966E-3</v>
      </c>
      <c r="P3179">
        <v>-0.99811320000000003</v>
      </c>
      <c r="Q3179">
        <v>-5.4443489999999997E-2</v>
      </c>
      <c r="R3179">
        <v>-2.8390930000000002E-2</v>
      </c>
      <c r="S3179">
        <v>-2.9721069999999998</v>
      </c>
      <c r="T3179">
        <v>-0.13940539999999901</v>
      </c>
      <c r="U3179">
        <v>-0.89956669999999905</v>
      </c>
      <c r="V3179">
        <v>-3.2828599999999999E-2</v>
      </c>
      <c r="W3179">
        <v>-3.477653E-2</v>
      </c>
      <c r="X3179">
        <v>0.99885579999999996</v>
      </c>
      <c r="Y3179">
        <v>-0.29351329999999998</v>
      </c>
      <c r="Z3179">
        <v>-9.8039240000000003E-3</v>
      </c>
      <c r="AA3179">
        <v>0.95590469999999905</v>
      </c>
      <c r="AB3179">
        <v>22</v>
      </c>
      <c r="AC3179">
        <v>-23.710799999999999</v>
      </c>
      <c r="AD3179">
        <v>-1.1220565141309999</v>
      </c>
      <c r="AE3179">
        <v>-7.2413999999999898</v>
      </c>
      <c r="AF3179">
        <v>-7.3317481162556604</v>
      </c>
      <c r="AG3179">
        <v>-1.1220565141309999</v>
      </c>
      <c r="AH3179">
        <v>23.629961367020901</v>
      </c>
      <c r="AI3179">
        <v>92.596678539398695</v>
      </c>
      <c r="AJ3179">
        <v>107.237725610797</v>
      </c>
      <c r="AK3179">
        <v>24.766683578307799</v>
      </c>
      <c r="AL3179">
        <v>91.992950214418897</v>
      </c>
      <c r="AM3179">
        <v>91.882417271746604</v>
      </c>
      <c r="AN3179">
        <v>1.0000000166052201</v>
      </c>
    </row>
    <row r="3180" spans="1:40" x14ac:dyDescent="0.25">
      <c r="A3180" t="str">
        <f>"20190303153832372"</f>
        <v>20190303153832372</v>
      </c>
      <c r="B3180" t="str">
        <f>"1551598712362069"</f>
        <v>1551598712362069</v>
      </c>
      <c r="C3180" t="s">
        <v>40</v>
      </c>
      <c r="D3180">
        <v>3.9498199999999999</v>
      </c>
      <c r="E3180">
        <v>0.39745190000000002</v>
      </c>
      <c r="F3180" t="s">
        <v>51</v>
      </c>
      <c r="G3180">
        <v>-481.67599999999999</v>
      </c>
      <c r="H3180" s="1">
        <v>1.4795089999999901E-6</v>
      </c>
      <c r="I3180">
        <v>277.15190000000001</v>
      </c>
      <c r="J3180">
        <v>-458.6438</v>
      </c>
      <c r="K3180">
        <v>1.1220300000000001</v>
      </c>
      <c r="L3180">
        <v>284.19749999999999</v>
      </c>
      <c r="M3180">
        <v>-0.99979569999999995</v>
      </c>
      <c r="N3180">
        <v>-1.9732530000000002E-2</v>
      </c>
      <c r="O3180">
        <v>4.4104499999999998E-3</v>
      </c>
      <c r="P3180">
        <v>-0.99812590000000001</v>
      </c>
      <c r="Q3180">
        <v>-5.4362319999999999E-2</v>
      </c>
      <c r="R3180">
        <v>-2.8097029999999999E-2</v>
      </c>
      <c r="S3180">
        <v>-2.972229</v>
      </c>
      <c r="T3180">
        <v>-0.1434511</v>
      </c>
      <c r="U3180">
        <v>-0.90063479999999996</v>
      </c>
      <c r="V3180">
        <v>-3.249962E-2</v>
      </c>
      <c r="W3180">
        <v>-3.4659299999999997E-2</v>
      </c>
      <c r="X3180">
        <v>0.99887060000000005</v>
      </c>
      <c r="Y3180">
        <v>-0.2937612</v>
      </c>
      <c r="Z3180">
        <v>-1.0017099999999999E-2</v>
      </c>
      <c r="AA3180">
        <v>0.95582630000000002</v>
      </c>
      <c r="AB3180">
        <v>21</v>
      </c>
      <c r="AC3180">
        <v>-23.0321999999999</v>
      </c>
      <c r="AD3180">
        <v>-1.1220285204910001</v>
      </c>
      <c r="AE3180">
        <v>-7.0455999999999701</v>
      </c>
      <c r="AF3180">
        <v>-7.1316568827814502</v>
      </c>
      <c r="AG3180">
        <v>-1.1220285204910001</v>
      </c>
      <c r="AH3180">
        <v>22.9510884913147</v>
      </c>
      <c r="AI3180">
        <v>92.6729622441012</v>
      </c>
      <c r="AJ3180">
        <v>107.261735496866</v>
      </c>
      <c r="AK3180">
        <v>24.059757705153199</v>
      </c>
      <c r="AL3180">
        <v>91.986229443514304</v>
      </c>
      <c r="AM3180">
        <v>91.863539080588296</v>
      </c>
      <c r="AN3180">
        <v>0.99999998396049705</v>
      </c>
    </row>
    <row r="3181" spans="1:40" x14ac:dyDescent="0.25">
      <c r="A3181" t="str">
        <f>"20190303153832395"</f>
        <v>20190303153832395</v>
      </c>
      <c r="B3181" t="str">
        <f>"1551598712391351"</f>
        <v>1551598712391351</v>
      </c>
      <c r="C3181" t="s">
        <v>40</v>
      </c>
      <c r="D3181">
        <v>3.9496329999999999</v>
      </c>
      <c r="E3181">
        <v>0.396953</v>
      </c>
      <c r="F3181" t="s">
        <v>51</v>
      </c>
      <c r="G3181">
        <v>-481.7242</v>
      </c>
      <c r="H3181" s="1">
        <v>1.4910359999999999E-6</v>
      </c>
      <c r="I3181">
        <v>277.19299999999998</v>
      </c>
      <c r="J3181">
        <v>-458.85430000000002</v>
      </c>
      <c r="K3181">
        <v>1.12199</v>
      </c>
      <c r="L3181">
        <v>284.19839999999999</v>
      </c>
      <c r="M3181">
        <v>-0.99979680000000004</v>
      </c>
      <c r="N3181">
        <v>-1.96765E-2</v>
      </c>
      <c r="O3181">
        <v>4.3753749999999999E-3</v>
      </c>
      <c r="P3181">
        <v>-0.99814190000000003</v>
      </c>
      <c r="Q3181">
        <v>-5.4130480000000002E-2</v>
      </c>
      <c r="R3181">
        <v>-2.7976350000000001E-2</v>
      </c>
      <c r="S3181">
        <v>-2.9724119999999998</v>
      </c>
      <c r="T3181">
        <v>-0.1445003</v>
      </c>
      <c r="U3181">
        <v>-0.90206909999999896</v>
      </c>
      <c r="V3181">
        <v>-3.2343589999999998E-2</v>
      </c>
      <c r="W3181">
        <v>-3.4483090000000001E-2</v>
      </c>
      <c r="X3181">
        <v>0.99888180000000004</v>
      </c>
      <c r="Y3181">
        <v>-0.294128</v>
      </c>
      <c r="Z3181">
        <v>-1.0071790000000001E-2</v>
      </c>
      <c r="AA3181">
        <v>0.95571300000000003</v>
      </c>
      <c r="AB3181">
        <v>21</v>
      </c>
      <c r="AC3181">
        <v>-22.869899999999902</v>
      </c>
      <c r="AD3181">
        <v>-1.121988508964</v>
      </c>
      <c r="AE3181">
        <v>-7.0053999999999998</v>
      </c>
      <c r="AF3181">
        <v>-7.0898163547372803</v>
      </c>
      <c r="AG3181">
        <v>-1.121988508964</v>
      </c>
      <c r="AH3181">
        <v>22.788879489909402</v>
      </c>
      <c r="AI3181">
        <v>92.691578049505907</v>
      </c>
      <c r="AJ3181">
        <v>107.28136710325001</v>
      </c>
      <c r="AK3181">
        <v>23.892621927359901</v>
      </c>
      <c r="AL3181">
        <v>91.976127242449707</v>
      </c>
      <c r="AM3181">
        <v>91.854577751016095</v>
      </c>
      <c r="AN3181">
        <v>1.0000000208406301</v>
      </c>
    </row>
    <row r="3182" spans="1:40" x14ac:dyDescent="0.25">
      <c r="A3182" t="str">
        <f>"20190303153832416"</f>
        <v>20190303153832416</v>
      </c>
      <c r="B3182" t="str">
        <f>"1551598712411846"</f>
        <v>1551598712411846</v>
      </c>
      <c r="C3182" t="s">
        <v>40</v>
      </c>
      <c r="D3182">
        <v>3.9717579999999999</v>
      </c>
      <c r="E3182">
        <v>0.39706910000000001</v>
      </c>
      <c r="F3182" t="s">
        <v>51</v>
      </c>
      <c r="G3182">
        <v>-482.03809999999999</v>
      </c>
      <c r="H3182" s="1">
        <v>1.50856E-6</v>
      </c>
      <c r="I3182">
        <v>277.13440000000003</v>
      </c>
      <c r="J3182">
        <v>-459.0634</v>
      </c>
      <c r="K3182">
        <v>1.1219520000000001</v>
      </c>
      <c r="L3182">
        <v>284.19920000000002</v>
      </c>
      <c r="M3182">
        <v>-0.99979910000000005</v>
      </c>
      <c r="N3182">
        <v>-1.957002E-2</v>
      </c>
      <c r="O3182">
        <v>4.3405520000000001E-3</v>
      </c>
      <c r="P3182">
        <v>-0.9981314</v>
      </c>
      <c r="Q3182">
        <v>-5.4032049999999998E-2</v>
      </c>
      <c r="R3182">
        <v>-2.8534339999999998E-2</v>
      </c>
      <c r="S3182">
        <v>-2.9724119999999998</v>
      </c>
      <c r="T3182">
        <v>-0.1438507</v>
      </c>
      <c r="U3182">
        <v>-0.90567019999999998</v>
      </c>
      <c r="V3182">
        <v>-3.286704E-2</v>
      </c>
      <c r="W3182">
        <v>-3.4491309999999997E-2</v>
      </c>
      <c r="X3182">
        <v>0.99886439999999999</v>
      </c>
      <c r="Y3182">
        <v>-0.29515720000000001</v>
      </c>
      <c r="Z3182">
        <v>-1.0056809999999999E-2</v>
      </c>
      <c r="AA3182">
        <v>0.95539580000000002</v>
      </c>
      <c r="AB3182">
        <v>21</v>
      </c>
      <c r="AC3182">
        <v>-22.974699999999899</v>
      </c>
      <c r="AD3182">
        <v>-1.12195049144</v>
      </c>
      <c r="AE3182">
        <v>-7.0647999999999902</v>
      </c>
      <c r="AF3182">
        <v>-7.1488996870051702</v>
      </c>
      <c r="AG3182">
        <v>-1.12195049144</v>
      </c>
      <c r="AH3182">
        <v>22.893932174883599</v>
      </c>
      <c r="AI3182">
        <v>92.678278406170193</v>
      </c>
      <c r="AJ3182">
        <v>107.341588374989</v>
      </c>
      <c r="AK3182">
        <v>24.010365887846799</v>
      </c>
      <c r="AL3182">
        <v>91.976598552715799</v>
      </c>
      <c r="AM3182">
        <v>91.884603647986907</v>
      </c>
      <c r="AN3182">
        <v>0.999999991185618</v>
      </c>
    </row>
    <row r="3183" spans="1:40" x14ac:dyDescent="0.25">
      <c r="A3183" t="str">
        <f>"20190303153832439"</f>
        <v>20190303153832439</v>
      </c>
      <c r="B3183" t="str">
        <f>"1551598712431369"</f>
        <v>1551598712431369</v>
      </c>
      <c r="C3183" t="s">
        <v>40</v>
      </c>
      <c r="D3183">
        <v>4.0575460000000003</v>
      </c>
      <c r="E3183">
        <v>0.43400759999999999</v>
      </c>
      <c r="F3183" t="s">
        <v>51</v>
      </c>
      <c r="G3183">
        <v>-482.42939999999999</v>
      </c>
      <c r="H3183" s="1">
        <v>1.5327209999999999E-6</v>
      </c>
      <c r="I3183">
        <v>277.07459999999998</v>
      </c>
      <c r="J3183">
        <v>-459.27269999999999</v>
      </c>
      <c r="K3183">
        <v>1.1218999999999999</v>
      </c>
      <c r="L3183">
        <v>284.20010000000002</v>
      </c>
      <c r="M3183">
        <v>-0.99980239999999998</v>
      </c>
      <c r="N3183">
        <v>-1.940938E-2</v>
      </c>
      <c r="O3183">
        <v>4.3058360000000004E-3</v>
      </c>
      <c r="P3183">
        <v>-0.99810270000000001</v>
      </c>
      <c r="Q3183">
        <v>-5.4279920000000002E-2</v>
      </c>
      <c r="R3183">
        <v>-2.9064570000000001E-2</v>
      </c>
      <c r="S3183">
        <v>-2.9719540000000002</v>
      </c>
      <c r="T3183">
        <v>-0.14270250000000001</v>
      </c>
      <c r="U3183">
        <v>-0.90618900000000002</v>
      </c>
      <c r="V3183">
        <v>-3.33619E-2</v>
      </c>
      <c r="W3183">
        <v>-3.4900149999999998E-2</v>
      </c>
      <c r="X3183">
        <v>0.99883379999999999</v>
      </c>
      <c r="Y3183">
        <v>-0.29532459999999899</v>
      </c>
      <c r="Z3183">
        <v>-9.9814929999999993E-3</v>
      </c>
      <c r="AA3183">
        <v>0.95534490000000005</v>
      </c>
      <c r="AB3183">
        <v>21</v>
      </c>
      <c r="AC3183">
        <v>-23.156700000000001</v>
      </c>
      <c r="AD3183">
        <v>-1.121898467279</v>
      </c>
      <c r="AE3183">
        <v>-7.1255000000000397</v>
      </c>
      <c r="AF3183">
        <v>-7.20970262298703</v>
      </c>
      <c r="AG3183">
        <v>-1.121898467279</v>
      </c>
      <c r="AH3183">
        <v>23.0763180387627</v>
      </c>
      <c r="AI3183">
        <v>92.656891809439003</v>
      </c>
      <c r="AJ3183">
        <v>107.35029960447901</v>
      </c>
      <c r="AK3183">
        <v>24.2023743113959</v>
      </c>
      <c r="AL3183">
        <v>92.000037457143094</v>
      </c>
      <c r="AM3183">
        <v>91.913016669557706</v>
      </c>
      <c r="AN3183">
        <v>0.99999999843203602</v>
      </c>
    </row>
    <row r="3184" spans="1:40" x14ac:dyDescent="0.25">
      <c r="A3184" t="str">
        <f>"20190303153832460"</f>
        <v>20190303153832460</v>
      </c>
      <c r="B3184" t="str">
        <f>"1551598712451862"</f>
        <v>1551598712451862</v>
      </c>
      <c r="C3184" t="s">
        <v>40</v>
      </c>
      <c r="D3184">
        <v>4.0361289999999999</v>
      </c>
      <c r="E3184">
        <v>0.49258220000000003</v>
      </c>
      <c r="F3184" t="s">
        <v>51</v>
      </c>
      <c r="G3184">
        <v>-491.97379999999998</v>
      </c>
      <c r="H3184" s="1">
        <v>2.5967130000000002E-6</v>
      </c>
      <c r="I3184">
        <v>277.46789999999999</v>
      </c>
      <c r="J3184">
        <v>-459.4796</v>
      </c>
      <c r="K3184">
        <v>1.1218410000000001</v>
      </c>
      <c r="L3184">
        <v>284.20100000000002</v>
      </c>
      <c r="M3184">
        <v>-0.99980749999999996</v>
      </c>
      <c r="N3184">
        <v>-1.9150070000000002E-2</v>
      </c>
      <c r="O3184">
        <v>4.2718230000000001E-3</v>
      </c>
      <c r="P3184">
        <v>-0.99807590000000002</v>
      </c>
      <c r="Q3184">
        <v>-5.4528069999999998E-2</v>
      </c>
      <c r="R3184">
        <v>-2.9520970000000001E-2</v>
      </c>
      <c r="S3184">
        <v>-2.9822389999999999</v>
      </c>
      <c r="T3184">
        <v>-0.102313399999999</v>
      </c>
      <c r="U3184">
        <v>-0.61395259999999996</v>
      </c>
      <c r="V3184">
        <v>-3.3785179999999998E-2</v>
      </c>
      <c r="W3184">
        <v>-3.540782E-2</v>
      </c>
      <c r="X3184">
        <v>0.99880170000000001</v>
      </c>
      <c r="Y3184">
        <v>-0.2056402</v>
      </c>
      <c r="Z3184">
        <v>-5.5444800000000001E-3</v>
      </c>
      <c r="AA3184">
        <v>0.97861189999999998</v>
      </c>
      <c r="AB3184">
        <v>21</v>
      </c>
      <c r="AC3184">
        <v>-32.4941999999999</v>
      </c>
      <c r="AD3184">
        <v>-1.1218384032869999</v>
      </c>
      <c r="AE3184">
        <v>-6.7330999999999701</v>
      </c>
      <c r="AF3184">
        <v>-6.8640288782763399</v>
      </c>
      <c r="AG3184">
        <v>-1.1218384032869999</v>
      </c>
      <c r="AH3184">
        <v>32.428074909885503</v>
      </c>
      <c r="AI3184">
        <v>91.938423350422397</v>
      </c>
      <c r="AJ3184">
        <v>101.95135402771</v>
      </c>
      <c r="AK3184">
        <v>33.165546222036603</v>
      </c>
      <c r="AL3184">
        <v>92.029142804644096</v>
      </c>
      <c r="AM3184">
        <v>91.937331954644904</v>
      </c>
      <c r="AN3184">
        <v>0.99999999401383699</v>
      </c>
    </row>
    <row r="3185" spans="1:40" x14ac:dyDescent="0.25">
      <c r="A3185" t="str">
        <f>"20190303153832484"</f>
        <v>20190303153832484</v>
      </c>
      <c r="B3185" t="str">
        <f>"1551598712471382"</f>
        <v>1551598712471382</v>
      </c>
      <c r="C3185" t="s">
        <v>40</v>
      </c>
      <c r="D3185">
        <v>4.0303240000000002</v>
      </c>
      <c r="E3185">
        <v>0.49513659999999998</v>
      </c>
      <c r="F3185" t="s">
        <v>43</v>
      </c>
      <c r="G3185">
        <v>-549.4</v>
      </c>
      <c r="H3185">
        <v>-0.05</v>
      </c>
      <c r="I3185">
        <v>279.73230000000001</v>
      </c>
      <c r="J3185">
        <v>-459.6902</v>
      </c>
      <c r="K3185">
        <v>1.121764</v>
      </c>
      <c r="L3185">
        <v>284.20179999999999</v>
      </c>
      <c r="M3185">
        <v>-0.99981529999999996</v>
      </c>
      <c r="N3185">
        <v>-1.8741310000000001E-2</v>
      </c>
      <c r="O3185">
        <v>4.2394349999999997E-3</v>
      </c>
      <c r="P3185">
        <v>-0.99812719999999999</v>
      </c>
      <c r="Q3185">
        <v>-5.369852E-2</v>
      </c>
      <c r="R3185">
        <v>-2.9297090000000001E-2</v>
      </c>
      <c r="S3185">
        <v>-2.9992070000000002</v>
      </c>
      <c r="T3185">
        <v>-3.9085630000000003E-2</v>
      </c>
      <c r="U3185">
        <v>-0.14904790000000001</v>
      </c>
      <c r="V3185">
        <v>-3.3528500000000003E-2</v>
      </c>
      <c r="W3185">
        <v>-3.4985710000000003E-2</v>
      </c>
      <c r="X3185">
        <v>0.99882530000000003</v>
      </c>
      <c r="Y3185">
        <v>-5.3857809999999999E-2</v>
      </c>
      <c r="Z3185">
        <v>-8.3159970000000005E-4</v>
      </c>
      <c r="AA3185">
        <v>0.99854830000000006</v>
      </c>
      <c r="AB3185">
        <v>21</v>
      </c>
      <c r="AC3185">
        <v>-89.709799999999902</v>
      </c>
      <c r="AD3185">
        <v>-1.171764</v>
      </c>
      <c r="AE3185">
        <v>-4.4694999999999796</v>
      </c>
      <c r="AF3185">
        <v>-4.8490202898452903</v>
      </c>
      <c r="AG3185">
        <v>-1.171764</v>
      </c>
      <c r="AH3185">
        <v>89.674780666741299</v>
      </c>
      <c r="AI3185">
        <v>90.747538938288599</v>
      </c>
      <c r="AJ3185">
        <v>93.095163272712398</v>
      </c>
      <c r="AK3185">
        <v>89.813430600724601</v>
      </c>
      <c r="AL3185">
        <v>92.004942535935697</v>
      </c>
      <c r="AM3185">
        <v>91.922578937221601</v>
      </c>
      <c r="AN3185">
        <v>1.0000000700682601</v>
      </c>
    </row>
    <row r="3186" spans="1:40" x14ac:dyDescent="0.25">
      <c r="A3186" t="str">
        <f>"20190303153832506"</f>
        <v>20190303153832506</v>
      </c>
      <c r="B3186" t="str">
        <f>"1551598712501641"</f>
        <v>1551598712501641</v>
      </c>
      <c r="C3186" t="s">
        <v>40</v>
      </c>
      <c r="D3186">
        <v>4.0370540000000004</v>
      </c>
      <c r="E3186">
        <v>0.49618849999999998</v>
      </c>
      <c r="F3186" t="s">
        <v>43</v>
      </c>
      <c r="G3186">
        <v>-554.43629999999996</v>
      </c>
      <c r="H3186">
        <v>-0.05</v>
      </c>
      <c r="I3186">
        <v>280.16419999999999</v>
      </c>
      <c r="J3186">
        <v>-459.89769999999999</v>
      </c>
      <c r="K3186">
        <v>1.1216699999999999</v>
      </c>
      <c r="L3186">
        <v>284.20269999999999</v>
      </c>
      <c r="M3186">
        <v>-0.99982490000000002</v>
      </c>
      <c r="N3186">
        <v>-1.8239410000000001E-2</v>
      </c>
      <c r="O3186">
        <v>4.2106549999999998E-3</v>
      </c>
      <c r="P3186">
        <v>-0.99816669999999996</v>
      </c>
      <c r="Q3186">
        <v>-5.2983429999999998E-2</v>
      </c>
      <c r="R3186">
        <v>-2.9261289999999999E-2</v>
      </c>
      <c r="S3186">
        <v>-2.9998469999999999</v>
      </c>
      <c r="T3186">
        <v>-3.7100319999999999E-2</v>
      </c>
      <c r="U3186">
        <v>-0.12783810000000001</v>
      </c>
      <c r="V3186">
        <v>-3.346445E-2</v>
      </c>
      <c r="W3186">
        <v>-3.477119E-2</v>
      </c>
      <c r="X3186">
        <v>0.99883480000000002</v>
      </c>
      <c r="Y3186">
        <v>-4.677448E-2</v>
      </c>
      <c r="Z3186">
        <v>-6.9121489999999998E-4</v>
      </c>
      <c r="AA3186">
        <v>0.99890520000000005</v>
      </c>
      <c r="AB3186">
        <v>21</v>
      </c>
      <c r="AC3186">
        <v>-94.538599999999903</v>
      </c>
      <c r="AD3186">
        <v>-1.17167</v>
      </c>
      <c r="AE3186">
        <v>-4.0384999999999902</v>
      </c>
      <c r="AF3186">
        <v>-4.4359196818940001</v>
      </c>
      <c r="AG3186">
        <v>-1.17167</v>
      </c>
      <c r="AH3186">
        <v>94.506264336917496</v>
      </c>
      <c r="AI3186">
        <v>90.709524279252904</v>
      </c>
      <c r="AJ3186">
        <v>92.687367581175906</v>
      </c>
      <c r="AK3186">
        <v>94.617568098807297</v>
      </c>
      <c r="AL3186">
        <v>91.992644239700297</v>
      </c>
      <c r="AM3186">
        <v>91.918890716773902</v>
      </c>
      <c r="AN3186">
        <v>0.999999931379427</v>
      </c>
    </row>
    <row r="3187" spans="1:40" x14ac:dyDescent="0.25">
      <c r="A3187" t="str">
        <f>"20190303153832528"</f>
        <v>20190303153832528</v>
      </c>
      <c r="B3187" t="str">
        <f>"1551598712521161"</f>
        <v>1551598712521161</v>
      </c>
      <c r="C3187" t="s">
        <v>40</v>
      </c>
      <c r="D3187">
        <v>4.0703230000000001</v>
      </c>
      <c r="E3187">
        <v>0.49645430000000002</v>
      </c>
      <c r="F3187" t="s">
        <v>46</v>
      </c>
      <c r="G3187">
        <v>0</v>
      </c>
      <c r="H3187">
        <v>0</v>
      </c>
      <c r="I3187">
        <v>0</v>
      </c>
      <c r="J3187">
        <v>-460.10899999999998</v>
      </c>
      <c r="K3187">
        <v>1.121588</v>
      </c>
      <c r="L3187">
        <v>284.20359999999999</v>
      </c>
      <c r="M3187">
        <v>-0.99983420000000001</v>
      </c>
      <c r="N3187">
        <v>-1.7725879999999999E-2</v>
      </c>
      <c r="O3187">
        <v>4.1881380000000001E-3</v>
      </c>
      <c r="P3187">
        <v>-0.99818580000000001</v>
      </c>
      <c r="Q3187">
        <v>-5.284693E-2</v>
      </c>
      <c r="R3187">
        <v>-2.885064E-2</v>
      </c>
      <c r="S3187">
        <v>-3.0002140000000002</v>
      </c>
      <c r="T3187">
        <v>-3.4531119999999998E-2</v>
      </c>
      <c r="U3187">
        <v>-0.1194458</v>
      </c>
      <c r="V3187">
        <v>-3.3032029999999997E-2</v>
      </c>
      <c r="W3187">
        <v>-3.5147039999999997E-2</v>
      </c>
      <c r="X3187">
        <v>0.9988361</v>
      </c>
      <c r="Y3187">
        <v>-4.3958579999999997E-2</v>
      </c>
      <c r="Z3187">
        <v>-6.1665220000000005E-4</v>
      </c>
      <c r="AA3187">
        <v>0.99903319999999995</v>
      </c>
      <c r="AB3187">
        <v>21</v>
      </c>
      <c r="AC3187">
        <v>-3.0002140000000002</v>
      </c>
      <c r="AD3187">
        <v>-3.4531119999999998E-2</v>
      </c>
      <c r="AE3187">
        <v>-0.1194458</v>
      </c>
      <c r="AF3187">
        <v>-0.131994578154153</v>
      </c>
      <c r="AG3187">
        <v>-3.4531119999999998E-2</v>
      </c>
      <c r="AH3187">
        <v>2.99929065827431</v>
      </c>
      <c r="AI3187">
        <v>90.658984860198998</v>
      </c>
      <c r="AJ3187">
        <v>92.519880992822095</v>
      </c>
      <c r="AK3187">
        <v>3.0023922827841898</v>
      </c>
      <c r="AL3187">
        <v>92.014191909026295</v>
      </c>
      <c r="AM3187">
        <v>91.894110964157207</v>
      </c>
      <c r="AN3187">
        <v>0.99999999204494605</v>
      </c>
    </row>
    <row r="3188" spans="1:40" x14ac:dyDescent="0.25">
      <c r="A3188" t="str">
        <f>"20190303153832551"</f>
        <v>20190303153832551</v>
      </c>
      <c r="B3188" t="str">
        <f>"1551598712541656"</f>
        <v>1551598712541656</v>
      </c>
      <c r="C3188" t="s">
        <v>40</v>
      </c>
      <c r="D3188">
        <v>4.0696580000000004</v>
      </c>
      <c r="E3188">
        <v>0.49655909999999898</v>
      </c>
      <c r="F3188" t="s">
        <v>43</v>
      </c>
      <c r="G3188">
        <v>-551.94870000000003</v>
      </c>
      <c r="H3188">
        <v>-0.05</v>
      </c>
      <c r="I3188">
        <v>280.64980000000003</v>
      </c>
      <c r="J3188">
        <v>-460.31560000000002</v>
      </c>
      <c r="K3188">
        <v>1.1215280000000001</v>
      </c>
      <c r="L3188">
        <v>284.20440000000002</v>
      </c>
      <c r="M3188">
        <v>-0.99984220000000001</v>
      </c>
      <c r="N3188">
        <v>-1.7268140000000001E-2</v>
      </c>
      <c r="O3188">
        <v>4.173922E-3</v>
      </c>
      <c r="P3188">
        <v>-0.99814239999999999</v>
      </c>
      <c r="Q3188">
        <v>-5.3784970000000001E-2</v>
      </c>
      <c r="R3188">
        <v>-2.862073E-2</v>
      </c>
      <c r="S3188">
        <v>-3.000092</v>
      </c>
      <c r="T3188">
        <v>-3.8271779999999998E-2</v>
      </c>
      <c r="U3188">
        <v>-0.11608889999999999</v>
      </c>
      <c r="V3188">
        <v>-3.2787480000000001E-2</v>
      </c>
      <c r="W3188">
        <v>-3.6542470000000001E-2</v>
      </c>
      <c r="X3188">
        <v>0.99879410000000002</v>
      </c>
      <c r="Y3188">
        <v>-4.2829010000000001E-2</v>
      </c>
      <c r="Z3188">
        <v>-6.242299E-4</v>
      </c>
      <c r="AA3188">
        <v>0.99908220000000003</v>
      </c>
      <c r="AB3188">
        <v>21</v>
      </c>
      <c r="AC3188">
        <v>-91.633099999999999</v>
      </c>
      <c r="AD3188">
        <v>-1.1715279999999999</v>
      </c>
      <c r="AE3188">
        <v>-3.55459999999999</v>
      </c>
      <c r="AF3188">
        <v>-3.9364529995764399</v>
      </c>
      <c r="AG3188">
        <v>-1.1715279999999999</v>
      </c>
      <c r="AH3188">
        <v>91.602512251050698</v>
      </c>
      <c r="AI3188">
        <v>90.732054900855999</v>
      </c>
      <c r="AJ3188">
        <v>92.460668985003906</v>
      </c>
      <c r="AK3188">
        <v>91.694538500264798</v>
      </c>
      <c r="AL3188">
        <v>92.094195535508305</v>
      </c>
      <c r="AM3188">
        <v>91.880177168842295</v>
      </c>
      <c r="AN3188">
        <v>1.00000001257663</v>
      </c>
    </row>
    <row r="3189" spans="1:40" x14ac:dyDescent="0.25">
      <c r="A3189" t="str">
        <f>"20190303153832573"</f>
        <v>20190303153832573</v>
      </c>
      <c r="B3189" t="str">
        <f>"1551598712562150"</f>
        <v>1551598712562150</v>
      </c>
      <c r="C3189" t="s">
        <v>40</v>
      </c>
      <c r="D3189">
        <v>4.1147850000000004</v>
      </c>
      <c r="E3189">
        <v>0.49658720000000001</v>
      </c>
      <c r="F3189" t="s">
        <v>43</v>
      </c>
      <c r="G3189">
        <v>-541.45100000000002</v>
      </c>
      <c r="H3189">
        <v>-0.05</v>
      </c>
      <c r="I3189">
        <v>281.10599999999999</v>
      </c>
      <c r="J3189">
        <v>-460.52210000000002</v>
      </c>
      <c r="K3189">
        <v>1.12148</v>
      </c>
      <c r="L3189">
        <v>284.20530000000002</v>
      </c>
      <c r="M3189">
        <v>-0.99984949999999995</v>
      </c>
      <c r="N3189">
        <v>-1.6842659999999999E-2</v>
      </c>
      <c r="O3189">
        <v>4.1664240000000002E-3</v>
      </c>
      <c r="P3189">
        <v>-0.99810209999999999</v>
      </c>
      <c r="Q3189">
        <v>-5.4402039999999999E-2</v>
      </c>
      <c r="R3189">
        <v>-2.8856440000000001E-2</v>
      </c>
      <c r="S3189">
        <v>-2.9999389999999999</v>
      </c>
      <c r="T3189">
        <v>-4.3316599999999997E-2</v>
      </c>
      <c r="U3189">
        <v>-0.114563</v>
      </c>
      <c r="V3189">
        <v>-3.3016709999999998E-2</v>
      </c>
      <c r="W3189">
        <v>-3.7584659999999999E-2</v>
      </c>
      <c r="X3189">
        <v>0.99874790000000002</v>
      </c>
      <c r="Y3189">
        <v>-4.2314709999999998E-2</v>
      </c>
      <c r="Z3189">
        <v>-6.5189199999999897E-4</v>
      </c>
      <c r="AA3189">
        <v>0.99910410000000005</v>
      </c>
      <c r="AB3189">
        <v>21</v>
      </c>
      <c r="AC3189">
        <v>-80.928899999999999</v>
      </c>
      <c r="AD3189">
        <v>-1.1714799999999901</v>
      </c>
      <c r="AE3189">
        <v>-3.0993000000000199</v>
      </c>
      <c r="AF3189">
        <v>-3.4357861560290099</v>
      </c>
      <c r="AG3189">
        <v>-1.1714799999999901</v>
      </c>
      <c r="AH3189">
        <v>80.898356099447795</v>
      </c>
      <c r="AI3189">
        <v>90.828888647894004</v>
      </c>
      <c r="AJ3189">
        <v>92.431913634789893</v>
      </c>
      <c r="AK3189">
        <v>80.979756800656205</v>
      </c>
      <c r="AL3189">
        <v>92.153949625931105</v>
      </c>
      <c r="AM3189">
        <v>91.893400200408095</v>
      </c>
      <c r="AN3189">
        <v>1.0000000387804699</v>
      </c>
    </row>
    <row r="3190" spans="1:40" x14ac:dyDescent="0.25">
      <c r="A3190" t="str">
        <f>"20190303153832596"</f>
        <v>20190303153832596</v>
      </c>
      <c r="B3190" t="str">
        <f>"1551598712581670"</f>
        <v>1551598712581670</v>
      </c>
      <c r="C3190" t="s">
        <v>40</v>
      </c>
      <c r="D3190">
        <v>4.1055720000000004</v>
      </c>
      <c r="E3190">
        <v>0.49646780000000001</v>
      </c>
      <c r="F3190" t="s">
        <v>43</v>
      </c>
      <c r="G3190">
        <v>-536.9289</v>
      </c>
      <c r="H3190">
        <v>-0.05</v>
      </c>
      <c r="I3190">
        <v>281.27719999999999</v>
      </c>
      <c r="J3190">
        <v>-460.7312</v>
      </c>
      <c r="K3190">
        <v>1.1214440000000001</v>
      </c>
      <c r="L3190">
        <v>284.20609999999999</v>
      </c>
      <c r="M3190">
        <v>-0.99985630000000003</v>
      </c>
      <c r="N3190">
        <v>-1.6437259999999999E-2</v>
      </c>
      <c r="O3190">
        <v>4.1643569999999996E-3</v>
      </c>
      <c r="P3190">
        <v>-0.99807429999999997</v>
      </c>
      <c r="Q3190">
        <v>-5.4532949999999997E-2</v>
      </c>
      <c r="R3190">
        <v>-2.956261E-2</v>
      </c>
      <c r="S3190">
        <v>-2.9998779999999998</v>
      </c>
      <c r="T3190">
        <v>-4.5994519999999997E-2</v>
      </c>
      <c r="U3190">
        <v>-0.1149597</v>
      </c>
      <c r="V3190">
        <v>-3.3720859999999998E-2</v>
      </c>
      <c r="W3190">
        <v>-3.8120590000000003E-2</v>
      </c>
      <c r="X3190">
        <v>0.99870400000000004</v>
      </c>
      <c r="Y3190">
        <v>-4.2444559999999999E-2</v>
      </c>
      <c r="Z3190">
        <v>-6.6966759999999997E-4</v>
      </c>
      <c r="AA3190">
        <v>0.99909859999999995</v>
      </c>
      <c r="AB3190">
        <v>21</v>
      </c>
      <c r="AC3190">
        <v>-76.197699999999998</v>
      </c>
      <c r="AD3190">
        <v>-1.1714439999999999</v>
      </c>
      <c r="AE3190">
        <v>-2.9288999999999898</v>
      </c>
      <c r="AF3190">
        <v>-3.2454659333869</v>
      </c>
      <c r="AG3190">
        <v>-1.1714439999999999</v>
      </c>
      <c r="AH3190">
        <v>76.166864846651194</v>
      </c>
      <c r="AI3190">
        <v>90.880339139327106</v>
      </c>
      <c r="AJ3190">
        <v>92.439894106692904</v>
      </c>
      <c r="AK3190">
        <v>76.244977741081001</v>
      </c>
      <c r="AL3190">
        <v>92.1846783078811</v>
      </c>
      <c r="AM3190">
        <v>91.933835496372694</v>
      </c>
      <c r="AN3190">
        <v>0.99999997769854299</v>
      </c>
    </row>
    <row r="3191" spans="1:40" x14ac:dyDescent="0.25">
      <c r="A3191" t="str">
        <f>"20190303153832617"</f>
        <v>20190303153832617</v>
      </c>
      <c r="B3191" t="str">
        <f>"1551598712611926"</f>
        <v>1551598712611926</v>
      </c>
      <c r="C3191" t="s">
        <v>40</v>
      </c>
      <c r="D3191">
        <v>4.107189</v>
      </c>
      <c r="E3191">
        <v>0.4963863</v>
      </c>
      <c r="F3191" t="s">
        <v>43</v>
      </c>
      <c r="G3191">
        <v>-534.13130000000001</v>
      </c>
      <c r="H3191">
        <v>-0.05</v>
      </c>
      <c r="I3191">
        <v>281.31099999999998</v>
      </c>
      <c r="J3191">
        <v>-460.93779999999998</v>
      </c>
      <c r="K3191">
        <v>1.1214150000000001</v>
      </c>
      <c r="L3191">
        <v>284.20699999999999</v>
      </c>
      <c r="M3191">
        <v>-0.99986220000000003</v>
      </c>
      <c r="N3191">
        <v>-1.6070999999999998E-2</v>
      </c>
      <c r="O3191">
        <v>4.1667340000000001E-3</v>
      </c>
      <c r="P3191">
        <v>-0.9980869</v>
      </c>
      <c r="Q3191">
        <v>-5.3909840000000001E-2</v>
      </c>
      <c r="R3191">
        <v>-3.0271559999999999E-2</v>
      </c>
      <c r="S3191">
        <v>-2.9996640000000001</v>
      </c>
      <c r="T3191">
        <v>-4.7873739999999998E-2</v>
      </c>
      <c r="U3191">
        <v>-0.1183167</v>
      </c>
      <c r="V3191">
        <v>-3.4432650000000002E-2</v>
      </c>
      <c r="W3191">
        <v>-3.7862970000000003E-2</v>
      </c>
      <c r="X3191">
        <v>0.99868950000000001</v>
      </c>
      <c r="Y3191">
        <v>-4.3565220000000002E-2</v>
      </c>
      <c r="Z3191">
        <v>-6.972886E-4</v>
      </c>
      <c r="AA3191">
        <v>0.99905029999999995</v>
      </c>
      <c r="AB3191">
        <v>21</v>
      </c>
      <c r="AC3191">
        <v>-73.1935</v>
      </c>
      <c r="AD3191">
        <v>-1.1714149999999901</v>
      </c>
      <c r="AE3191">
        <v>-2.8960000000000101</v>
      </c>
      <c r="AF3191">
        <v>-3.20017367232251</v>
      </c>
      <c r="AG3191">
        <v>-1.1714149999999901</v>
      </c>
      <c r="AH3191">
        <v>73.162085624586993</v>
      </c>
      <c r="AI3191">
        <v>90.916421429121698</v>
      </c>
      <c r="AJ3191">
        <v>92.504571065517993</v>
      </c>
      <c r="AK3191">
        <v>73.241409718646494</v>
      </c>
      <c r="AL3191">
        <v>92.169907133082305</v>
      </c>
      <c r="AM3191">
        <v>91.974652140201002</v>
      </c>
      <c r="AN3191">
        <v>0.99999996464674601</v>
      </c>
    </row>
    <row r="3192" spans="1:40" x14ac:dyDescent="0.25">
      <c r="A3192" t="str">
        <f>"20190303153832640"</f>
        <v>20190303153832640</v>
      </c>
      <c r="B3192" t="str">
        <f>"1551598712631446"</f>
        <v>1551598712631446</v>
      </c>
      <c r="C3192" t="s">
        <v>40</v>
      </c>
      <c r="D3192">
        <v>4.1091430000000004</v>
      </c>
      <c r="E3192">
        <v>0.49635659999999998</v>
      </c>
      <c r="F3192" t="s">
        <v>43</v>
      </c>
      <c r="G3192">
        <v>-537.59389999999996</v>
      </c>
      <c r="H3192">
        <v>-0.05</v>
      </c>
      <c r="I3192">
        <v>281.11540000000002</v>
      </c>
      <c r="J3192">
        <v>-461.14139999999998</v>
      </c>
      <c r="K3192">
        <v>1.1214010000000001</v>
      </c>
      <c r="L3192">
        <v>284.20780000000002</v>
      </c>
      <c r="M3192">
        <v>-0.99986730000000001</v>
      </c>
      <c r="N3192">
        <v>-1.5750199999999999E-2</v>
      </c>
      <c r="O3192">
        <v>4.1721589999999999E-3</v>
      </c>
      <c r="P3192">
        <v>-0.99807480000000004</v>
      </c>
      <c r="Q3192">
        <v>-5.3716090000000001E-2</v>
      </c>
      <c r="R3192">
        <v>-3.1013530000000001E-2</v>
      </c>
      <c r="S3192">
        <v>-2.9995729999999998</v>
      </c>
      <c r="T3192">
        <v>-4.5837759999999998E-2</v>
      </c>
      <c r="U3192">
        <v>-0.1209717</v>
      </c>
      <c r="V3192">
        <v>-3.5179660000000001E-2</v>
      </c>
      <c r="W3192">
        <v>-3.7989820000000001E-2</v>
      </c>
      <c r="X3192">
        <v>0.99865870000000001</v>
      </c>
      <c r="Y3192">
        <v>-4.4455290000000001E-2</v>
      </c>
      <c r="Z3192">
        <v>-6.878473E-4</v>
      </c>
      <c r="AA3192">
        <v>0.99901119999999999</v>
      </c>
      <c r="AB3192">
        <v>21</v>
      </c>
      <c r="AC3192">
        <v>-76.452499999999901</v>
      </c>
      <c r="AD3192">
        <v>-1.1714009999999999</v>
      </c>
      <c r="AE3192">
        <v>-3.0923999999999898</v>
      </c>
      <c r="AF3192">
        <v>-3.4105852525917801</v>
      </c>
      <c r="AG3192">
        <v>-1.1714009999999999</v>
      </c>
      <c r="AH3192">
        <v>76.421019400205495</v>
      </c>
      <c r="AI3192">
        <v>90.877302534122805</v>
      </c>
      <c r="AJ3192">
        <v>92.555351399570995</v>
      </c>
      <c r="AK3192">
        <v>76.506055173656605</v>
      </c>
      <c r="AL3192">
        <v>92.177180221763805</v>
      </c>
      <c r="AM3192">
        <v>92.017518999148905</v>
      </c>
      <c r="AN3192">
        <v>1.0000000169935099</v>
      </c>
    </row>
    <row r="3193" spans="1:40" x14ac:dyDescent="0.25">
      <c r="A3193" t="str">
        <f>"20190303153832662"</f>
        <v>20190303153832662</v>
      </c>
      <c r="B3193" t="str">
        <f>"1551598712651942"</f>
        <v>1551598712651942</v>
      </c>
      <c r="C3193" t="s">
        <v>40</v>
      </c>
      <c r="D3193">
        <v>4.1353419999999996</v>
      </c>
      <c r="E3193">
        <v>0.49630730000000001</v>
      </c>
      <c r="F3193" t="s">
        <v>43</v>
      </c>
      <c r="G3193">
        <v>-538.84220000000005</v>
      </c>
      <c r="H3193">
        <v>-0.05</v>
      </c>
      <c r="I3193">
        <v>281.00920000000002</v>
      </c>
      <c r="J3193">
        <v>-461.3476</v>
      </c>
      <c r="K3193">
        <v>1.1213949999999999</v>
      </c>
      <c r="L3193">
        <v>284.20859999999999</v>
      </c>
      <c r="M3193">
        <v>-0.99987170000000003</v>
      </c>
      <c r="N3193">
        <v>-1.546354E-2</v>
      </c>
      <c r="O3193">
        <v>4.179271E-3</v>
      </c>
      <c r="P3193">
        <v>-0.99809800000000004</v>
      </c>
      <c r="Q3193">
        <v>-5.3141910000000001E-2</v>
      </c>
      <c r="R3193">
        <v>-3.1250199999999999E-2</v>
      </c>
      <c r="S3193">
        <v>-2.9994809999999998</v>
      </c>
      <c r="T3193">
        <v>-4.5219540000000003E-2</v>
      </c>
      <c r="U3193">
        <v>-0.1234741</v>
      </c>
      <c r="V3193">
        <v>-3.5423860000000001E-2</v>
      </c>
      <c r="W3193">
        <v>-3.7701739999999997E-2</v>
      </c>
      <c r="X3193">
        <v>0.99866100000000002</v>
      </c>
      <c r="Y3193">
        <v>-4.5295790000000002E-2</v>
      </c>
      <c r="Z3193">
        <v>-6.9007210000000005E-4</v>
      </c>
      <c r="AA3193">
        <v>0.99897340000000001</v>
      </c>
      <c r="AB3193">
        <v>21</v>
      </c>
      <c r="AC3193">
        <v>-77.494600000000005</v>
      </c>
      <c r="AD3193">
        <v>-1.171395</v>
      </c>
      <c r="AE3193">
        <v>-3.1993999999999598</v>
      </c>
      <c r="AF3193">
        <v>-3.5224782399541401</v>
      </c>
      <c r="AG3193">
        <v>-1.171395</v>
      </c>
      <c r="AH3193">
        <v>77.462881064175406</v>
      </c>
      <c r="AI3193">
        <v>90.865467503926595</v>
      </c>
      <c r="AJ3193">
        <v>92.603623773354798</v>
      </c>
      <c r="AK3193">
        <v>77.551776007771494</v>
      </c>
      <c r="AL3193">
        <v>92.160662588066202</v>
      </c>
      <c r="AM3193">
        <v>92.031507260722194</v>
      </c>
      <c r="AN3193">
        <v>1.0000000319886599</v>
      </c>
    </row>
    <row r="3194" spans="1:40" x14ac:dyDescent="0.25">
      <c r="A3194" t="str">
        <f>"20190303153832685"</f>
        <v>20190303153832685</v>
      </c>
      <c r="B3194" t="str">
        <f>"1551598712671462"</f>
        <v>1551598712671462</v>
      </c>
      <c r="C3194" t="s">
        <v>40</v>
      </c>
      <c r="D3194">
        <v>4.1471119999999999</v>
      </c>
      <c r="E3194">
        <v>0.49635289999999999</v>
      </c>
      <c r="F3194" t="s">
        <v>43</v>
      </c>
      <c r="G3194">
        <v>-541.26919999999996</v>
      </c>
      <c r="H3194">
        <v>-0.05</v>
      </c>
      <c r="I3194">
        <v>280.89420000000001</v>
      </c>
      <c r="J3194">
        <v>-461.55689999999998</v>
      </c>
      <c r="K3194">
        <v>1.1213930000000001</v>
      </c>
      <c r="L3194">
        <v>284.20949999999999</v>
      </c>
      <c r="M3194">
        <v>-0.99987570000000003</v>
      </c>
      <c r="N3194">
        <v>-1.520609E-2</v>
      </c>
      <c r="O3194">
        <v>4.1850460000000004E-3</v>
      </c>
      <c r="P3194">
        <v>-0.99810310000000002</v>
      </c>
      <c r="Q3194">
        <v>-5.2953559999999997E-2</v>
      </c>
      <c r="R3194">
        <v>-3.1405589999999997E-2</v>
      </c>
      <c r="S3194">
        <v>-2.9994510000000001</v>
      </c>
      <c r="T3194">
        <v>-4.3962359999999999E-2</v>
      </c>
      <c r="U3194">
        <v>-0.1243896</v>
      </c>
      <c r="V3194">
        <v>-3.5584709999999999E-2</v>
      </c>
      <c r="W3194">
        <v>-3.777055E-2</v>
      </c>
      <c r="X3194">
        <v>0.9986526</v>
      </c>
      <c r="Y3194">
        <v>-4.5606800000000003E-2</v>
      </c>
      <c r="Z3194">
        <v>-6.7871849999999998E-4</v>
      </c>
      <c r="AA3194">
        <v>0.99895919999999905</v>
      </c>
      <c r="AB3194">
        <v>21</v>
      </c>
      <c r="AC3194">
        <v>-79.7122999999999</v>
      </c>
      <c r="AD3194">
        <v>-1.1713929999999999</v>
      </c>
      <c r="AE3194">
        <v>-3.3152999999999699</v>
      </c>
      <c r="AF3194">
        <v>-3.6481226972827701</v>
      </c>
      <c r="AG3194">
        <v>-1.1713929999999999</v>
      </c>
      <c r="AH3194">
        <v>79.680548129466601</v>
      </c>
      <c r="AI3194">
        <v>90.841369987081507</v>
      </c>
      <c r="AJ3194">
        <v>92.6214197924606</v>
      </c>
      <c r="AK3194">
        <v>79.772618804870106</v>
      </c>
      <c r="AL3194">
        <v>92.164608096551405</v>
      </c>
      <c r="AM3194">
        <v>92.040741144969303</v>
      </c>
      <c r="AN3194">
        <v>0.99999995075992199</v>
      </c>
    </row>
    <row r="3195" spans="1:40" x14ac:dyDescent="0.25">
      <c r="A3195" t="str">
        <f>"20190303153832707"</f>
        <v>20190303153832707</v>
      </c>
      <c r="B3195" t="str">
        <f>"1551598712701738"</f>
        <v>1551598712701738</v>
      </c>
      <c r="C3195" t="s">
        <v>40</v>
      </c>
      <c r="D3195">
        <v>4.1652259999999997</v>
      </c>
      <c r="E3195">
        <v>0.49644199999999999</v>
      </c>
      <c r="F3195" t="s">
        <v>43</v>
      </c>
      <c r="G3195">
        <v>-542.40790000000004</v>
      </c>
      <c r="H3195">
        <v>-0.05</v>
      </c>
      <c r="I3195">
        <v>280.85489999999999</v>
      </c>
      <c r="J3195">
        <v>-461.76190000000003</v>
      </c>
      <c r="K3195">
        <v>1.121381</v>
      </c>
      <c r="L3195">
        <v>284.21039999999999</v>
      </c>
      <c r="M3195">
        <v>-0.99987910000000002</v>
      </c>
      <c r="N3195">
        <v>-1.498318E-2</v>
      </c>
      <c r="O3195">
        <v>4.1890970000000001E-3</v>
      </c>
      <c r="P3195">
        <v>-0.99811689999999997</v>
      </c>
      <c r="Q3195">
        <v>-5.3094959999999997E-2</v>
      </c>
      <c r="R3195">
        <v>-3.072136E-2</v>
      </c>
      <c r="S3195">
        <v>-2.9994510000000001</v>
      </c>
      <c r="T3195">
        <v>-4.3456910000000001E-2</v>
      </c>
      <c r="U3195">
        <v>-0.1244507</v>
      </c>
      <c r="V3195">
        <v>-3.4904699999999997E-2</v>
      </c>
      <c r="W3195">
        <v>-3.8134439999999999E-2</v>
      </c>
      <c r="X3195">
        <v>0.99866279999999996</v>
      </c>
      <c r="Y3195">
        <v>-4.5631360000000003E-2</v>
      </c>
      <c r="Z3195">
        <v>-6.7037819999999997E-4</v>
      </c>
      <c r="AA3195">
        <v>0.99895809999999996</v>
      </c>
      <c r="AB3195">
        <v>21</v>
      </c>
      <c r="AC3195">
        <v>-80.646000000000001</v>
      </c>
      <c r="AD3195">
        <v>-1.171381</v>
      </c>
      <c r="AE3195">
        <v>-3.3555000000000001</v>
      </c>
      <c r="AF3195">
        <v>-3.6925646597228101</v>
      </c>
      <c r="AG3195">
        <v>-1.171381</v>
      </c>
      <c r="AH3195">
        <v>80.614255949565901</v>
      </c>
      <c r="AI3195">
        <v>90.831616950760207</v>
      </c>
      <c r="AJ3195">
        <v>92.622620379723998</v>
      </c>
      <c r="AK3195">
        <v>80.707282382171201</v>
      </c>
      <c r="AL3195">
        <v>92.185472424976098</v>
      </c>
      <c r="AM3195">
        <v>92.001754980314104</v>
      </c>
      <c r="AN3195">
        <v>0.99999998085002095</v>
      </c>
    </row>
    <row r="3196" spans="1:40" x14ac:dyDescent="0.25">
      <c r="A3196" t="str">
        <f>"20190303153832730"</f>
        <v>20190303153832730</v>
      </c>
      <c r="B3196" t="str">
        <f>"1551598712721238"</f>
        <v>1551598712721238</v>
      </c>
      <c r="C3196" t="s">
        <v>40</v>
      </c>
      <c r="D3196">
        <v>4.1618839999999997</v>
      </c>
      <c r="E3196">
        <v>0.49646750000000001</v>
      </c>
      <c r="F3196" t="s">
        <v>43</v>
      </c>
      <c r="G3196">
        <v>-539.33410000000003</v>
      </c>
      <c r="H3196">
        <v>-0.05</v>
      </c>
      <c r="I3196">
        <v>281.0684</v>
      </c>
      <c r="J3196">
        <v>-461.96749999999997</v>
      </c>
      <c r="K3196">
        <v>1.121381</v>
      </c>
      <c r="L3196">
        <v>284.21120000000002</v>
      </c>
      <c r="M3196">
        <v>-0.99988200000000005</v>
      </c>
      <c r="N3196">
        <v>-1.4786830000000001E-2</v>
      </c>
      <c r="O3196">
        <v>4.1907239999999998E-3</v>
      </c>
      <c r="P3196">
        <v>-0.99810399999999999</v>
      </c>
      <c r="Q3196">
        <v>-5.3656160000000001E-2</v>
      </c>
      <c r="R3196">
        <v>-3.0161710000000001E-2</v>
      </c>
      <c r="S3196">
        <v>-2.9995120000000002</v>
      </c>
      <c r="T3196">
        <v>-4.5294170000000002E-2</v>
      </c>
      <c r="U3196">
        <v>-0.1214905</v>
      </c>
      <c r="V3196">
        <v>-3.4346059999999998E-2</v>
      </c>
      <c r="W3196">
        <v>-3.8891929999999998E-2</v>
      </c>
      <c r="X3196">
        <v>0.99865300000000001</v>
      </c>
      <c r="Y3196">
        <v>-4.4647560000000003E-2</v>
      </c>
      <c r="Z3196">
        <v>-6.6854139999999995E-4</v>
      </c>
      <c r="AA3196">
        <v>0.99900259999999996</v>
      </c>
      <c r="AB3196">
        <v>21</v>
      </c>
      <c r="AC3196">
        <v>-77.366600000000005</v>
      </c>
      <c r="AD3196">
        <v>-1.171381</v>
      </c>
      <c r="AE3196">
        <v>-3.1428000000000198</v>
      </c>
      <c r="AF3196">
        <v>-3.46623658974557</v>
      </c>
      <c r="AG3196">
        <v>-1.171381</v>
      </c>
      <c r="AH3196">
        <v>77.3350494032873</v>
      </c>
      <c r="AI3196">
        <v>90.866912974191806</v>
      </c>
      <c r="AJ3196">
        <v>92.566338260385905</v>
      </c>
      <c r="AK3196">
        <v>77.421552527394695</v>
      </c>
      <c r="AL3196">
        <v>92.228905533569801</v>
      </c>
      <c r="AM3196">
        <v>91.969762205827607</v>
      </c>
      <c r="AN3196">
        <v>1.00000002423282</v>
      </c>
    </row>
    <row r="3197" spans="1:40" x14ac:dyDescent="0.25">
      <c r="A3197" t="str">
        <f>"20190303153832743"</f>
        <v>20190303153832743</v>
      </c>
      <c r="B3197" t="str">
        <f>"1551598712731974"</f>
        <v>1551598712731974</v>
      </c>
      <c r="C3197" t="s">
        <v>40</v>
      </c>
      <c r="D3197">
        <v>4.1819850000000001</v>
      </c>
      <c r="E3197">
        <v>0.4964518</v>
      </c>
      <c r="F3197" t="s">
        <v>43</v>
      </c>
      <c r="G3197">
        <v>-535.3777</v>
      </c>
      <c r="H3197">
        <v>-0.05</v>
      </c>
      <c r="I3197">
        <v>281.28710000000001</v>
      </c>
      <c r="J3197">
        <v>-462.09949999999998</v>
      </c>
      <c r="K3197">
        <v>1.121381</v>
      </c>
      <c r="L3197">
        <v>284.21179999999998</v>
      </c>
      <c r="M3197">
        <v>-0.99988359999999998</v>
      </c>
      <c r="N3197">
        <v>-1.467683E-2</v>
      </c>
      <c r="O3197">
        <v>4.1906909999999999E-3</v>
      </c>
      <c r="P3197">
        <v>-0.99809870000000001</v>
      </c>
      <c r="Q3197">
        <v>-5.379192E-2</v>
      </c>
      <c r="R3197">
        <v>-3.0093709999999999E-2</v>
      </c>
      <c r="S3197">
        <v>-2.9995120000000002</v>
      </c>
      <c r="T3197">
        <v>-4.7862170000000002E-2</v>
      </c>
      <c r="U3197">
        <v>-0.11947629999999999</v>
      </c>
      <c r="V3197">
        <v>-3.4278110000000001E-2</v>
      </c>
      <c r="W3197">
        <v>-3.9137650000000003E-2</v>
      </c>
      <c r="X3197">
        <v>0.99864569999999997</v>
      </c>
      <c r="Y3197">
        <v>-4.3977090000000003E-2</v>
      </c>
      <c r="Z3197">
        <v>-6.7896549999999997E-4</v>
      </c>
      <c r="AA3197">
        <v>0.99903229999999998</v>
      </c>
      <c r="AB3197">
        <v>21</v>
      </c>
      <c r="AC3197">
        <v>-73.278199999999998</v>
      </c>
      <c r="AD3197">
        <v>-1.171381</v>
      </c>
      <c r="AE3197">
        <v>-2.9246999999999699</v>
      </c>
      <c r="AF3197">
        <v>-3.2309693518086902</v>
      </c>
      <c r="AG3197">
        <v>-1.171381</v>
      </c>
      <c r="AH3197">
        <v>73.246611425572695</v>
      </c>
      <c r="AI3197">
        <v>90.915322661276093</v>
      </c>
      <c r="AJ3197">
        <v>92.525727493099197</v>
      </c>
      <c r="AK3197">
        <v>73.327194012373894</v>
      </c>
      <c r="AL3197">
        <v>92.242995057834307</v>
      </c>
      <c r="AM3197">
        <v>91.965882662098707</v>
      </c>
      <c r="AN3197">
        <v>0.99999998930059197</v>
      </c>
    </row>
    <row r="3198" spans="1:40" x14ac:dyDescent="0.25">
      <c r="A3198" t="str">
        <f>"20190303153832757"</f>
        <v>20190303153832757</v>
      </c>
      <c r="B3198" t="str">
        <f>"1551598712751494"</f>
        <v>1551598712751494</v>
      </c>
      <c r="C3198" t="s">
        <v>40</v>
      </c>
      <c r="D3198">
        <v>4.169683</v>
      </c>
      <c r="E3198">
        <v>0.4964712</v>
      </c>
      <c r="F3198" t="s">
        <v>43</v>
      </c>
      <c r="G3198">
        <v>-533.94690000000003</v>
      </c>
      <c r="H3198">
        <v>-0.05</v>
      </c>
      <c r="I3198">
        <v>281.34840000000003</v>
      </c>
      <c r="J3198">
        <v>-462.21980000000002</v>
      </c>
      <c r="K3198">
        <v>1.121381</v>
      </c>
      <c r="L3198">
        <v>284.21230000000003</v>
      </c>
      <c r="M3198">
        <v>-0.99988500000000002</v>
      </c>
      <c r="N3198">
        <v>-1.458345E-2</v>
      </c>
      <c r="O3198">
        <v>4.1905320000000003E-3</v>
      </c>
      <c r="P3198">
        <v>-0.99811070000000002</v>
      </c>
      <c r="Q3198">
        <v>-5.3833440000000003E-2</v>
      </c>
      <c r="R3198">
        <v>-2.962412E-2</v>
      </c>
      <c r="S3198">
        <v>-2.9994510000000001</v>
      </c>
      <c r="T3198">
        <v>-4.8902269999999998E-2</v>
      </c>
      <c r="U3198">
        <v>-0.1195374</v>
      </c>
      <c r="V3198">
        <v>-3.3808879999999999E-2</v>
      </c>
      <c r="W3198">
        <v>-3.9272300000000003E-2</v>
      </c>
      <c r="X3198">
        <v>0.9986564</v>
      </c>
      <c r="Y3198">
        <v>-4.3997700000000001E-2</v>
      </c>
      <c r="Z3198">
        <v>-6.867024E-4</v>
      </c>
      <c r="AA3198">
        <v>0.99903140000000001</v>
      </c>
      <c r="AB3198">
        <v>21</v>
      </c>
      <c r="AC3198">
        <v>-71.727099999999993</v>
      </c>
      <c r="AD3198">
        <v>-1.171381</v>
      </c>
      <c r="AE3198">
        <v>-2.8639000000000001</v>
      </c>
      <c r="AF3198">
        <v>-3.1636390738435001</v>
      </c>
      <c r="AG3198">
        <v>-1.171381</v>
      </c>
      <c r="AH3198">
        <v>71.695376519415603</v>
      </c>
      <c r="AI3198">
        <v>90.935122904286601</v>
      </c>
      <c r="AJ3198">
        <v>92.526601660349399</v>
      </c>
      <c r="AK3198">
        <v>71.774701391907499</v>
      </c>
      <c r="AL3198">
        <v>92.250715892349206</v>
      </c>
      <c r="AM3198">
        <v>91.938971794231506</v>
      </c>
      <c r="AN3198">
        <v>0.99999997958755105</v>
      </c>
    </row>
    <row r="3199" spans="1:40" x14ac:dyDescent="0.25">
      <c r="A3199" t="str">
        <f>"20190303153832770"</f>
        <v>20190303153832770</v>
      </c>
      <c r="B3199" t="str">
        <f>"1551598712761254"</f>
        <v>1551598712761254</v>
      </c>
      <c r="C3199" t="s">
        <v>40</v>
      </c>
      <c r="D3199">
        <v>4.1938069999999996</v>
      </c>
      <c r="E3199">
        <v>0.4964577</v>
      </c>
      <c r="F3199" t="s">
        <v>43</v>
      </c>
      <c r="G3199">
        <v>-532.52869999999996</v>
      </c>
      <c r="H3199">
        <v>-0.05</v>
      </c>
      <c r="I3199">
        <v>281.45030000000003</v>
      </c>
      <c r="J3199">
        <v>-462.34089999999998</v>
      </c>
      <c r="K3199">
        <v>1.1213820000000001</v>
      </c>
      <c r="L3199">
        <v>284.21280000000002</v>
      </c>
      <c r="M3199">
        <v>-0.99988630000000001</v>
      </c>
      <c r="N3199">
        <v>-1.449491E-2</v>
      </c>
      <c r="O3199">
        <v>4.1901550000000001E-3</v>
      </c>
      <c r="P3199">
        <v>-0.99810920000000003</v>
      </c>
      <c r="Q3199">
        <v>-5.3903359999999997E-2</v>
      </c>
      <c r="R3199">
        <v>-2.9538709999999999E-2</v>
      </c>
      <c r="S3199">
        <v>-2.9994809999999998</v>
      </c>
      <c r="T3199">
        <v>-4.997277E-2</v>
      </c>
      <c r="U3199">
        <v>-0.1178284</v>
      </c>
      <c r="V3199">
        <v>-3.3722950000000002E-2</v>
      </c>
      <c r="W3199">
        <v>-3.9430699999999999E-2</v>
      </c>
      <c r="X3199">
        <v>0.99865309999999896</v>
      </c>
      <c r="Y3199">
        <v>-4.3428389999999997E-2</v>
      </c>
      <c r="Z3199">
        <v>-6.8559359999999995E-4</v>
      </c>
      <c r="AA3199">
        <v>0.99905630000000001</v>
      </c>
      <c r="AB3199">
        <v>21</v>
      </c>
      <c r="AC3199">
        <v>-70.187799999999896</v>
      </c>
      <c r="AD3199">
        <v>-1.1713819999999999</v>
      </c>
      <c r="AE3199">
        <v>-2.7624999999999802</v>
      </c>
      <c r="AF3199">
        <v>-3.0557545583222399</v>
      </c>
      <c r="AG3199">
        <v>-1.1713819999999999</v>
      </c>
      <c r="AH3199">
        <v>70.156096755303906</v>
      </c>
      <c r="AI3199">
        <v>90.955661100482203</v>
      </c>
      <c r="AJ3199">
        <v>92.494027652730793</v>
      </c>
      <c r="AK3199">
        <v>70.232383439907494</v>
      </c>
      <c r="AL3199">
        <v>92.259798497324297</v>
      </c>
      <c r="AM3199">
        <v>91.9340537596281</v>
      </c>
      <c r="AN3199">
        <v>1.0000000157994</v>
      </c>
    </row>
    <row r="3200" spans="1:40" x14ac:dyDescent="0.25">
      <c r="A3200" t="str">
        <f>"20190303153832783"</f>
        <v>20190303153832783</v>
      </c>
      <c r="B3200" t="str">
        <f>"1551598712771991"</f>
        <v>1551598712771991</v>
      </c>
      <c r="C3200" t="s">
        <v>40</v>
      </c>
      <c r="D3200">
        <v>4.1966919999999996</v>
      </c>
      <c r="E3200">
        <v>0.49644660000000002</v>
      </c>
      <c r="F3200" t="s">
        <v>43</v>
      </c>
      <c r="G3200">
        <v>-531.68129999999996</v>
      </c>
      <c r="H3200">
        <v>-0.05</v>
      </c>
      <c r="I3200">
        <v>281.48820000000001</v>
      </c>
      <c r="J3200">
        <v>-462.47269999999997</v>
      </c>
      <c r="K3200">
        <v>1.121389</v>
      </c>
      <c r="L3200">
        <v>284.2133</v>
      </c>
      <c r="M3200">
        <v>-0.99988750000000004</v>
      </c>
      <c r="N3200">
        <v>-1.440903E-2</v>
      </c>
      <c r="O3200">
        <v>4.1893970000000001E-3</v>
      </c>
      <c r="P3200">
        <v>-0.99809130000000001</v>
      </c>
      <c r="Q3200">
        <v>-5.4160529999999998E-2</v>
      </c>
      <c r="R3200">
        <v>-2.967417E-2</v>
      </c>
      <c r="S3200">
        <v>-2.9994809999999998</v>
      </c>
      <c r="T3200">
        <v>-5.0670859999999998E-2</v>
      </c>
      <c r="U3200">
        <v>-0.1178589</v>
      </c>
      <c r="V3200">
        <v>-3.3857730000000003E-2</v>
      </c>
      <c r="W3200">
        <v>-3.9773910000000003E-2</v>
      </c>
      <c r="X3200">
        <v>0.99863489999999999</v>
      </c>
      <c r="Y3200">
        <v>-4.343756E-2</v>
      </c>
      <c r="Z3200">
        <v>-6.9025499999999997E-4</v>
      </c>
      <c r="AA3200">
        <v>0.9990559</v>
      </c>
      <c r="AB3200">
        <v>21</v>
      </c>
      <c r="AC3200">
        <v>-69.208599999999905</v>
      </c>
      <c r="AD3200">
        <v>-1.171389</v>
      </c>
      <c r="AE3200">
        <v>-2.7250999999999901</v>
      </c>
      <c r="AF3200">
        <v>-3.0141863156644302</v>
      </c>
      <c r="AG3200">
        <v>-1.171389</v>
      </c>
      <c r="AH3200">
        <v>69.176788284951002</v>
      </c>
      <c r="AI3200">
        <v>90.969192583201504</v>
      </c>
      <c r="AJ3200">
        <v>92.494926268386195</v>
      </c>
      <c r="AK3200">
        <v>69.252332153912306</v>
      </c>
      <c r="AL3200">
        <v>92.279478486568493</v>
      </c>
      <c r="AM3200">
        <v>91.941813018726606</v>
      </c>
      <c r="AN3200">
        <v>0.99999998664772505</v>
      </c>
    </row>
    <row r="3201" spans="1:40" x14ac:dyDescent="0.25">
      <c r="A3201" t="str">
        <f>"20190303153832799"</f>
        <v>20190303153832799</v>
      </c>
      <c r="B3201" t="str">
        <f>"1551598712791510"</f>
        <v>1551598712791510</v>
      </c>
      <c r="C3201" t="s">
        <v>40</v>
      </c>
      <c r="D3201">
        <v>4.2008710000000002</v>
      </c>
      <c r="E3201">
        <v>0.49640250000000002</v>
      </c>
      <c r="F3201" t="s">
        <v>43</v>
      </c>
      <c r="G3201">
        <v>-529.47789999999998</v>
      </c>
      <c r="H3201">
        <v>-0.05</v>
      </c>
      <c r="I3201">
        <v>281.57159999999999</v>
      </c>
      <c r="J3201">
        <v>-462.59949999999998</v>
      </c>
      <c r="K3201">
        <v>1.1213919999999999</v>
      </c>
      <c r="L3201">
        <v>284.21390000000002</v>
      </c>
      <c r="M3201">
        <v>-0.99988869999999996</v>
      </c>
      <c r="N3201">
        <v>-1.4332620000000001E-2</v>
      </c>
      <c r="O3201">
        <v>4.1887469999999996E-3</v>
      </c>
      <c r="P3201">
        <v>-0.99802349999999995</v>
      </c>
      <c r="Q3201">
        <v>-5.5224009999999997E-2</v>
      </c>
      <c r="R3201">
        <v>-3.0000700000000002E-2</v>
      </c>
      <c r="S3201">
        <v>-2.9994200000000002</v>
      </c>
      <c r="T3201">
        <v>-5.2435990000000002E-2</v>
      </c>
      <c r="U3201">
        <v>-0.1182556</v>
      </c>
      <c r="V3201">
        <v>-3.4183289999999998E-2</v>
      </c>
      <c r="W3201">
        <v>-4.0914600000000002E-2</v>
      </c>
      <c r="X3201">
        <v>0.99857770000000001</v>
      </c>
      <c r="Y3201">
        <v>-4.3569009999999998E-2</v>
      </c>
      <c r="Z3201">
        <v>-7.0625189999999995E-4</v>
      </c>
      <c r="AA3201">
        <v>0.9990502</v>
      </c>
      <c r="AB3201">
        <v>21</v>
      </c>
      <c r="AC3201">
        <v>-66.878399999999999</v>
      </c>
      <c r="AD3201">
        <v>-1.171392</v>
      </c>
      <c r="AE3201">
        <v>-2.6423000000000298</v>
      </c>
      <c r="AF3201">
        <v>-2.92154734924573</v>
      </c>
      <c r="AG3201">
        <v>-1.171392</v>
      </c>
      <c r="AH3201">
        <v>66.846268698315797</v>
      </c>
      <c r="AI3201">
        <v>91.002972349161993</v>
      </c>
      <c r="AJ3201">
        <v>92.502546148407504</v>
      </c>
      <c r="AK3201">
        <v>66.920335003786207</v>
      </c>
      <c r="AL3201">
        <v>92.344888524943897</v>
      </c>
      <c r="AM3201">
        <v>91.960582289158097</v>
      </c>
      <c r="AN3201">
        <v>0.99999996237283595</v>
      </c>
    </row>
    <row r="3202" spans="1:40" x14ac:dyDescent="0.25">
      <c r="A3202" t="str">
        <f>"20190303153832820"</f>
        <v>20190303153832820</v>
      </c>
      <c r="B3202" t="str">
        <f>"1551598712812007"</f>
        <v>1551598712812007</v>
      </c>
      <c r="C3202" t="s">
        <v>40</v>
      </c>
      <c r="D3202">
        <v>4.2518409999999998</v>
      </c>
      <c r="E3202">
        <v>0.49216320000000002</v>
      </c>
      <c r="F3202" t="s">
        <v>43</v>
      </c>
      <c r="G3202">
        <v>-523.60609999999997</v>
      </c>
      <c r="H3202">
        <v>-0.05</v>
      </c>
      <c r="I3202">
        <v>281.77429999999998</v>
      </c>
      <c r="J3202">
        <v>-462.80270000000002</v>
      </c>
      <c r="K3202">
        <v>1.121386</v>
      </c>
      <c r="L3202">
        <v>284.21469999999999</v>
      </c>
      <c r="M3202">
        <v>-0.99989030000000001</v>
      </c>
      <c r="N3202">
        <v>-1.4222439999999999E-2</v>
      </c>
      <c r="O3202">
        <v>4.188397E-3</v>
      </c>
      <c r="P3202">
        <v>-0.99793730000000003</v>
      </c>
      <c r="Q3202">
        <v>-5.6011289999999998E-2</v>
      </c>
      <c r="R3202">
        <v>-3.1376849999999998E-2</v>
      </c>
      <c r="S3202">
        <v>-2.9991460000000001</v>
      </c>
      <c r="T3202">
        <v>-5.7586789999999999E-2</v>
      </c>
      <c r="U3202">
        <v>-0.1199341</v>
      </c>
      <c r="V3202">
        <v>-3.5558510000000002E-2</v>
      </c>
      <c r="W3202">
        <v>-4.1813139999999999E-2</v>
      </c>
      <c r="X3202">
        <v>0.99849250000000001</v>
      </c>
      <c r="Y3202">
        <v>-4.412841E-2</v>
      </c>
      <c r="Z3202">
        <v>-7.5828399999999904E-4</v>
      </c>
      <c r="AA3202">
        <v>0.99902559999999996</v>
      </c>
      <c r="AB3202">
        <v>21</v>
      </c>
      <c r="AC3202">
        <v>-60.803399999999897</v>
      </c>
      <c r="AD3202">
        <v>-1.171386</v>
      </c>
      <c r="AE3202">
        <v>-2.4404000000000101</v>
      </c>
      <c r="AF3202">
        <v>-2.6940747880060898</v>
      </c>
      <c r="AG3202">
        <v>-1.171386</v>
      </c>
      <c r="AH3202">
        <v>60.770125876298501</v>
      </c>
      <c r="AI3202">
        <v>91.103195550338199</v>
      </c>
      <c r="AJ3202">
        <v>92.538387223570098</v>
      </c>
      <c r="AK3202">
        <v>60.841091238944202</v>
      </c>
      <c r="AL3202">
        <v>92.3964150646528</v>
      </c>
      <c r="AM3202">
        <v>92.039566574006002</v>
      </c>
      <c r="AN3202">
        <v>1.00000000943316</v>
      </c>
    </row>
    <row r="3203" spans="1:40" x14ac:dyDescent="0.25">
      <c r="A3203" t="str">
        <f>"20190303153832841"</f>
        <v>20190303153832841</v>
      </c>
      <c r="B3203" t="str">
        <f>"1551598712831527"</f>
        <v>1551598712831527</v>
      </c>
      <c r="C3203" t="s">
        <v>40</v>
      </c>
      <c r="D3203">
        <v>4.2190050000000001</v>
      </c>
      <c r="E3203">
        <v>0.49283250000000001</v>
      </c>
      <c r="F3203" t="s">
        <v>51</v>
      </c>
      <c r="G3203">
        <v>-490.30340000000001</v>
      </c>
      <c r="H3203" s="1">
        <v>3.7497529999999998E-6</v>
      </c>
      <c r="I3203">
        <v>282.77440000000001</v>
      </c>
      <c r="J3203">
        <v>-462.99220000000003</v>
      </c>
      <c r="K3203">
        <v>1.1213759999999999</v>
      </c>
      <c r="L3203">
        <v>284.21550000000002</v>
      </c>
      <c r="M3203">
        <v>-0.99989130000000004</v>
      </c>
      <c r="N3203">
        <v>-1.413259E-2</v>
      </c>
      <c r="O3203">
        <v>4.1896980000000004E-3</v>
      </c>
      <c r="P3203">
        <v>-0.997784</v>
      </c>
      <c r="Q3203">
        <v>-5.7996499999999999E-2</v>
      </c>
      <c r="R3203">
        <v>-3.2614299999999999E-2</v>
      </c>
      <c r="S3203">
        <v>-2.9943849999999999</v>
      </c>
      <c r="T3203">
        <v>-0.122100399999999</v>
      </c>
      <c r="U3203">
        <v>-0.15682979999999899</v>
      </c>
      <c r="V3203">
        <v>-3.6796919999999997E-2</v>
      </c>
      <c r="W3203">
        <v>-4.3890020000000002E-2</v>
      </c>
      <c r="X3203">
        <v>0.99835850000000004</v>
      </c>
      <c r="Y3203">
        <v>-5.6422380000000001E-2</v>
      </c>
      <c r="Z3203">
        <v>-1.659801E-3</v>
      </c>
      <c r="AA3203">
        <v>0.9984056</v>
      </c>
      <c r="AB3203">
        <v>20</v>
      </c>
      <c r="AC3203">
        <v>-27.3111999999999</v>
      </c>
      <c r="AD3203">
        <v>-1.1213722502469901</v>
      </c>
      <c r="AE3203">
        <v>-1.4411</v>
      </c>
      <c r="AF3203">
        <v>-1.55291375854103</v>
      </c>
      <c r="AG3203">
        <v>-1.1213722502469901</v>
      </c>
      <c r="AH3203">
        <v>27.2590948116496</v>
      </c>
      <c r="AI3203">
        <v>92.351870465046005</v>
      </c>
      <c r="AJ3203">
        <v>93.260538823401802</v>
      </c>
      <c r="AK3203">
        <v>27.326310889243601</v>
      </c>
      <c r="AL3203">
        <v>92.515520919698204</v>
      </c>
      <c r="AM3203">
        <v>92.110819211398905</v>
      </c>
      <c r="AN3203">
        <v>1.00000002084966</v>
      </c>
    </row>
    <row r="3204" spans="1:40" x14ac:dyDescent="0.25">
      <c r="A3204" t="str">
        <f>"20190303153832858"</f>
        <v>20190303153832858</v>
      </c>
      <c r="B3204" t="str">
        <f>"1551598712852023"</f>
        <v>1551598712852023</v>
      </c>
      <c r="C3204" t="s">
        <v>40</v>
      </c>
      <c r="D3204">
        <v>4.2442279999999997</v>
      </c>
      <c r="E3204">
        <v>0.4938053</v>
      </c>
      <c r="F3204" t="s">
        <v>51</v>
      </c>
      <c r="G3204">
        <v>-490.25900000000001</v>
      </c>
      <c r="H3204" s="1">
        <v>3.7599939999999998E-6</v>
      </c>
      <c r="I3204">
        <v>282.8014</v>
      </c>
      <c r="J3204">
        <v>-463.14370000000002</v>
      </c>
      <c r="K3204">
        <v>1.121372</v>
      </c>
      <c r="L3204">
        <v>284.21609999999998</v>
      </c>
      <c r="M3204">
        <v>-0.99989229999999996</v>
      </c>
      <c r="N3204">
        <v>-1.4068819999999999E-2</v>
      </c>
      <c r="O3204">
        <v>4.1928540000000002E-3</v>
      </c>
      <c r="P3204">
        <v>-0.99773990000000001</v>
      </c>
      <c r="Q3204">
        <v>-5.8399979999999997E-2</v>
      </c>
      <c r="R3204">
        <v>-3.3233850000000002E-2</v>
      </c>
      <c r="S3204">
        <v>-2.9944459999999999</v>
      </c>
      <c r="T3204">
        <v>-0.1231496</v>
      </c>
      <c r="U3204">
        <v>-0.155304</v>
      </c>
      <c r="V3204">
        <v>-3.7419290000000001E-2</v>
      </c>
      <c r="W3204">
        <v>-4.4357630000000002E-2</v>
      </c>
      <c r="X3204">
        <v>0.9983147</v>
      </c>
      <c r="Y3204">
        <v>-5.5916729999999998E-2</v>
      </c>
      <c r="Z3204">
        <v>-1.6557239999999999E-3</v>
      </c>
      <c r="AA3204">
        <v>0.99843409999999999</v>
      </c>
      <c r="AB3204">
        <v>20</v>
      </c>
      <c r="AC3204">
        <v>-27.115299999999898</v>
      </c>
      <c r="AD3204">
        <v>-1.1213682400059899</v>
      </c>
      <c r="AE3204">
        <v>-1.4146999999999801</v>
      </c>
      <c r="AF3204">
        <v>-1.52578686098475</v>
      </c>
      <c r="AG3204">
        <v>-1.1213682400059899</v>
      </c>
      <c r="AH3204">
        <v>27.062969735901198</v>
      </c>
      <c r="AI3204">
        <v>92.368965440402704</v>
      </c>
      <c r="AJ3204">
        <v>93.226870474725004</v>
      </c>
      <c r="AK3204">
        <v>27.1291323709615</v>
      </c>
      <c r="AL3204">
        <v>92.542339116446598</v>
      </c>
      <c r="AM3204">
        <v>92.146581824486404</v>
      </c>
      <c r="AN3204">
        <v>1.0000000214197</v>
      </c>
    </row>
    <row r="3205" spans="1:40" x14ac:dyDescent="0.25">
      <c r="A3205" t="str">
        <f>"20190303153832871"</f>
        <v>20190303153832871</v>
      </c>
      <c r="B3205" t="str">
        <f>"1551598712861783"</f>
        <v>1551598712861783</v>
      </c>
      <c r="C3205" t="s">
        <v>40</v>
      </c>
      <c r="D3205">
        <v>4.2517160000000001</v>
      </c>
      <c r="E3205">
        <v>0.49404550000000003</v>
      </c>
      <c r="F3205" t="s">
        <v>51</v>
      </c>
      <c r="G3205">
        <v>-491.96080000000001</v>
      </c>
      <c r="H3205" s="1">
        <v>3.4559810000000001E-6</v>
      </c>
      <c r="I3205">
        <v>282.77699999999999</v>
      </c>
      <c r="J3205">
        <v>-463.2731</v>
      </c>
      <c r="K3205">
        <v>1.121367</v>
      </c>
      <c r="L3205">
        <v>284.21660000000003</v>
      </c>
      <c r="M3205">
        <v>-0.99989300000000003</v>
      </c>
      <c r="N3205">
        <v>-1.4018890000000001E-2</v>
      </c>
      <c r="O3205">
        <v>4.1983089999999999E-3</v>
      </c>
      <c r="P3205">
        <v>-0.99771609999999999</v>
      </c>
      <c r="Q3205">
        <v>-5.8312040000000002E-2</v>
      </c>
      <c r="R3205">
        <v>-3.4097870000000002E-2</v>
      </c>
      <c r="S3205">
        <v>-2.9949949999999999</v>
      </c>
      <c r="T3205">
        <v>-0.1165448</v>
      </c>
      <c r="U3205">
        <v>-0.1495667</v>
      </c>
      <c r="V3205">
        <v>-3.8288580000000003E-2</v>
      </c>
      <c r="W3205">
        <v>-4.4319699999999997E-2</v>
      </c>
      <c r="X3205">
        <v>0.99828340000000004</v>
      </c>
      <c r="Y3205">
        <v>-5.4012959999999999E-2</v>
      </c>
      <c r="Z3205">
        <v>-1.5333110000000001E-3</v>
      </c>
      <c r="AA3205">
        <v>0.99853899999999995</v>
      </c>
      <c r="AB3205">
        <v>20</v>
      </c>
      <c r="AC3205">
        <v>-28.6877</v>
      </c>
      <c r="AD3205">
        <v>-1.121363544019</v>
      </c>
      <c r="AE3205">
        <v>-1.43960000000004</v>
      </c>
      <c r="AF3205">
        <v>-1.55766495270269</v>
      </c>
      <c r="AG3205">
        <v>-1.121363544019</v>
      </c>
      <c r="AH3205">
        <v>28.637756279042499</v>
      </c>
      <c r="AI3205">
        <v>92.239068790989904</v>
      </c>
      <c r="AJ3205">
        <v>93.113364398287601</v>
      </c>
      <c r="AK3205">
        <v>28.702000992972099</v>
      </c>
      <c r="AL3205">
        <v>92.540163805364202</v>
      </c>
      <c r="AM3205">
        <v>92.196469720461394</v>
      </c>
      <c r="AN3205">
        <v>0.99999999894103297</v>
      </c>
    </row>
    <row r="3206" spans="1:40" x14ac:dyDescent="0.25">
      <c r="A3206" t="str">
        <f>"20190303153832886"</f>
        <v>20190303153832886</v>
      </c>
      <c r="B3206" t="str">
        <f>"1551598712881302"</f>
        <v>1551598712881302</v>
      </c>
      <c r="C3206" t="s">
        <v>40</v>
      </c>
      <c r="D3206">
        <v>4.3045530000000003</v>
      </c>
      <c r="E3206">
        <v>0.49379820000000002</v>
      </c>
      <c r="F3206" t="s">
        <v>51</v>
      </c>
      <c r="G3206">
        <v>-493.04309999999998</v>
      </c>
      <c r="H3206" s="1">
        <v>3.2592940000000001E-6</v>
      </c>
      <c r="I3206">
        <v>282.72309999999999</v>
      </c>
      <c r="J3206">
        <v>-463.399</v>
      </c>
      <c r="K3206">
        <v>1.121373</v>
      </c>
      <c r="L3206">
        <v>284.21719999999999</v>
      </c>
      <c r="M3206">
        <v>-0.99989340000000004</v>
      </c>
      <c r="N3206">
        <v>-1.3975069999999999E-2</v>
      </c>
      <c r="O3206">
        <v>4.2080939999999999E-3</v>
      </c>
      <c r="P3206">
        <v>-0.99775340000000001</v>
      </c>
      <c r="Q3206">
        <v>-5.6620370000000003E-2</v>
      </c>
      <c r="R3206">
        <v>-3.5811990000000002E-2</v>
      </c>
      <c r="S3206">
        <v>-2.9951780000000001</v>
      </c>
      <c r="T3206">
        <v>-0.11282109999999999</v>
      </c>
      <c r="U3206">
        <v>-0.1502686</v>
      </c>
      <c r="V3206">
        <v>-4.0013159999999999E-2</v>
      </c>
      <c r="W3206">
        <v>-4.267108E-2</v>
      </c>
      <c r="X3206">
        <v>0.99828760000000005</v>
      </c>
      <c r="Y3206">
        <v>-5.4256070000000003E-2</v>
      </c>
      <c r="Z3206">
        <v>-1.49999799999999E-3</v>
      </c>
      <c r="AA3206">
        <v>0.99852589999999997</v>
      </c>
      <c r="AB3206">
        <v>20</v>
      </c>
      <c r="AC3206">
        <v>-29.644099999999899</v>
      </c>
      <c r="AD3206">
        <v>-1.1213697407059999</v>
      </c>
      <c r="AE3206">
        <v>-1.4941</v>
      </c>
      <c r="AF3206">
        <v>-1.61653681791993</v>
      </c>
      <c r="AG3206">
        <v>-1.1213697407059999</v>
      </c>
      <c r="AH3206">
        <v>29.595307775523299</v>
      </c>
      <c r="AI3206">
        <v>92.166679251372997</v>
      </c>
      <c r="AJ3206">
        <v>93.1264682607776</v>
      </c>
      <c r="AK3206">
        <v>29.6606288488126</v>
      </c>
      <c r="AL3206">
        <v>92.445615338057905</v>
      </c>
      <c r="AM3206">
        <v>92.295289110264093</v>
      </c>
      <c r="AN3206">
        <v>1.0000000031776499</v>
      </c>
    </row>
    <row r="3207" spans="1:40" x14ac:dyDescent="0.25">
      <c r="A3207" t="str">
        <f>"20190303153832902"</f>
        <v>20190303153832902</v>
      </c>
      <c r="B3207" t="str">
        <f>"1551598712892038"</f>
        <v>1551598712892038</v>
      </c>
      <c r="C3207" t="s">
        <v>40</v>
      </c>
      <c r="D3207">
        <v>4.2955249999999996</v>
      </c>
      <c r="E3207">
        <v>0.49384169999999999</v>
      </c>
      <c r="F3207" t="s">
        <v>51</v>
      </c>
      <c r="G3207">
        <v>-494.7149</v>
      </c>
      <c r="H3207" s="1">
        <v>2.9493409999999999E-6</v>
      </c>
      <c r="I3207">
        <v>282.56979999999999</v>
      </c>
      <c r="J3207">
        <v>-463.54930000000002</v>
      </c>
      <c r="K3207">
        <v>1.121367</v>
      </c>
      <c r="L3207">
        <v>284.21780000000001</v>
      </c>
      <c r="M3207">
        <v>-0.99989410000000001</v>
      </c>
      <c r="N3207">
        <v>-1.392765E-2</v>
      </c>
      <c r="O3207">
        <v>4.2265260000000004E-3</v>
      </c>
      <c r="P3207">
        <v>-0.99779280000000004</v>
      </c>
      <c r="Q3207">
        <v>-5.5475919999999998E-2</v>
      </c>
      <c r="R3207">
        <v>-3.6498460000000003E-2</v>
      </c>
      <c r="S3207">
        <v>-2.9950559999999999</v>
      </c>
      <c r="T3207">
        <v>-0.1072481</v>
      </c>
      <c r="U3207">
        <v>-0.15756229999999999</v>
      </c>
      <c r="V3207">
        <v>-4.0718589999999999E-2</v>
      </c>
      <c r="W3207">
        <v>-4.1572949999999997E-2</v>
      </c>
      <c r="X3207">
        <v>0.99830540000000001</v>
      </c>
      <c r="Y3207">
        <v>-5.6704039999999997E-2</v>
      </c>
      <c r="Z3207">
        <v>-1.5019390000000001E-3</v>
      </c>
      <c r="AA3207">
        <v>0.99838990000000005</v>
      </c>
      <c r="AB3207">
        <v>20</v>
      </c>
      <c r="AC3207">
        <v>-31.165599999999898</v>
      </c>
      <c r="AD3207">
        <v>-1.1213640506589999</v>
      </c>
      <c r="AE3207">
        <v>-1.6480000000000199</v>
      </c>
      <c r="AF3207">
        <v>-1.7774255960090399</v>
      </c>
      <c r="AG3207">
        <v>-1.1213640506589999</v>
      </c>
      <c r="AH3207">
        <v>31.1181817068844</v>
      </c>
      <c r="AI3207">
        <v>92.060442419197798</v>
      </c>
      <c r="AJ3207">
        <v>93.269100084523004</v>
      </c>
      <c r="AK3207">
        <v>31.189067504914799</v>
      </c>
      <c r="AL3207">
        <v>92.382641254527798</v>
      </c>
      <c r="AM3207">
        <v>92.335668912083705</v>
      </c>
      <c r="AN3207">
        <v>0.99999999270622497</v>
      </c>
    </row>
    <row r="3208" spans="1:40" x14ac:dyDescent="0.25">
      <c r="A3208" t="str">
        <f>"20190303153832917"</f>
        <v>20190303153832917</v>
      </c>
      <c r="B3208" t="str">
        <f>"1551598712911559"</f>
        <v>1551598712911559</v>
      </c>
      <c r="C3208" t="s">
        <v>40</v>
      </c>
      <c r="D3208">
        <v>4.3293299999999997</v>
      </c>
      <c r="E3208">
        <v>0.49364180000000002</v>
      </c>
      <c r="F3208" t="s">
        <v>51</v>
      </c>
      <c r="G3208">
        <v>-496.21960000000001</v>
      </c>
      <c r="H3208" s="1">
        <v>2.6747360000000001E-6</v>
      </c>
      <c r="I3208">
        <v>282.48180000000002</v>
      </c>
      <c r="J3208">
        <v>-463.68130000000002</v>
      </c>
      <c r="K3208">
        <v>1.1213569999999999</v>
      </c>
      <c r="L3208">
        <v>284.21839999999997</v>
      </c>
      <c r="M3208">
        <v>-0.99989459999999997</v>
      </c>
      <c r="N3208">
        <v>-1.388965E-2</v>
      </c>
      <c r="O3208">
        <v>4.2508099999999998E-3</v>
      </c>
      <c r="P3208">
        <v>-0.99781339999999996</v>
      </c>
      <c r="Q3208">
        <v>-5.4346470000000001E-2</v>
      </c>
      <c r="R3208">
        <v>-3.761809E-2</v>
      </c>
      <c r="S3208">
        <v>-2.9950559999999999</v>
      </c>
      <c r="T3208">
        <v>-0.1028012</v>
      </c>
      <c r="U3208">
        <v>-0.15914919999999999</v>
      </c>
      <c r="V3208">
        <v>-4.1862919999999998E-2</v>
      </c>
      <c r="W3208">
        <v>-4.0480559999999999E-2</v>
      </c>
      <c r="X3208">
        <v>0.99830300000000005</v>
      </c>
      <c r="Y3208">
        <v>-5.7259030000000002E-2</v>
      </c>
      <c r="Z3208">
        <v>-1.4665749999999999E-3</v>
      </c>
      <c r="AA3208">
        <v>0.99835819999999997</v>
      </c>
      <c r="AB3208">
        <v>20</v>
      </c>
      <c r="AC3208">
        <v>-32.5382999999999</v>
      </c>
      <c r="AD3208">
        <v>-1.1213543252639999</v>
      </c>
      <c r="AE3208">
        <v>-1.73659999999995</v>
      </c>
      <c r="AF3208">
        <v>-1.87269394196415</v>
      </c>
      <c r="AG3208">
        <v>-1.1213543252639999</v>
      </c>
      <c r="AH3208">
        <v>32.492142947058802</v>
      </c>
      <c r="AI3208">
        <v>91.973309684061405</v>
      </c>
      <c r="AJ3208">
        <v>93.298609382837995</v>
      </c>
      <c r="AK3208">
        <v>32.565376881208699</v>
      </c>
      <c r="AL3208">
        <v>92.319999086619205</v>
      </c>
      <c r="AM3208">
        <v>92.401239083539593</v>
      </c>
      <c r="AN3208">
        <v>1.00000002980891</v>
      </c>
    </row>
    <row r="3209" spans="1:40" x14ac:dyDescent="0.25">
      <c r="A3209" t="str">
        <f>"20190303153832931"</f>
        <v>20190303153832931</v>
      </c>
      <c r="B3209" t="str">
        <f>"1551598712921318"</f>
        <v>1551598712921318</v>
      </c>
      <c r="C3209" t="s">
        <v>40</v>
      </c>
      <c r="D3209">
        <v>4.3265919999999998</v>
      </c>
      <c r="E3209">
        <v>0.49348690000000001</v>
      </c>
      <c r="F3209" t="s">
        <v>51</v>
      </c>
      <c r="G3209">
        <v>-497.42200000000003</v>
      </c>
      <c r="H3209" s="1">
        <v>2.4514789999999998E-6</v>
      </c>
      <c r="I3209">
        <v>282.36770000000001</v>
      </c>
      <c r="J3209">
        <v>-463.80509999999998</v>
      </c>
      <c r="K3209">
        <v>1.1213500000000001</v>
      </c>
      <c r="L3209">
        <v>284.21899999999999</v>
      </c>
      <c r="M3209">
        <v>-0.99989490000000003</v>
      </c>
      <c r="N3209">
        <v>-1.385656E-2</v>
      </c>
      <c r="O3209">
        <v>4.2800820000000002E-3</v>
      </c>
      <c r="P3209">
        <v>-0.9977684</v>
      </c>
      <c r="Q3209">
        <v>-5.3518370000000003E-2</v>
      </c>
      <c r="R3209">
        <v>-3.9926129999999997E-2</v>
      </c>
      <c r="S3209">
        <v>-2.9949650000000001</v>
      </c>
      <c r="T3209">
        <v>-9.9536059999999996E-2</v>
      </c>
      <c r="U3209">
        <v>-0.16427610000000001</v>
      </c>
      <c r="V3209">
        <v>-4.4200549999999998E-2</v>
      </c>
      <c r="W3209">
        <v>-3.9685249999999998E-2</v>
      </c>
      <c r="X3209">
        <v>0.99823419999999896</v>
      </c>
      <c r="Y3209">
        <v>-5.8995150000000003E-2</v>
      </c>
      <c r="Z3209">
        <v>-1.471401E-3</v>
      </c>
      <c r="AA3209">
        <v>0.99825719999999996</v>
      </c>
      <c r="AB3209">
        <v>20</v>
      </c>
      <c r="AC3209">
        <v>-33.616899999999902</v>
      </c>
      <c r="AD3209">
        <v>-1.121347548521</v>
      </c>
      <c r="AE3209">
        <v>-1.85129999999998</v>
      </c>
      <c r="AF3209">
        <v>-1.99296912773184</v>
      </c>
      <c r="AG3209">
        <v>-1.121347548521</v>
      </c>
      <c r="AH3209">
        <v>33.571426676639298</v>
      </c>
      <c r="AI3209">
        <v>91.9097137668264</v>
      </c>
      <c r="AJ3209">
        <v>93.397379031486906</v>
      </c>
      <c r="AK3209">
        <v>33.649220427427899</v>
      </c>
      <c r="AL3209">
        <v>92.274394455373894</v>
      </c>
      <c r="AM3209">
        <v>92.535328712882503</v>
      </c>
      <c r="AN3209">
        <v>1.00000006286875</v>
      </c>
    </row>
    <row r="3210" spans="1:40" x14ac:dyDescent="0.25">
      <c r="A3210" t="str">
        <f>"20190303153832947"</f>
        <v>20190303153832947</v>
      </c>
      <c r="B3210" t="str">
        <f>"1551598712941814"</f>
        <v>1551598712941814</v>
      </c>
      <c r="C3210" t="s">
        <v>40</v>
      </c>
      <c r="D3210">
        <v>4.3200180000000001</v>
      </c>
      <c r="E3210">
        <v>0.49338650000000001</v>
      </c>
      <c r="F3210" t="s">
        <v>51</v>
      </c>
      <c r="G3210">
        <v>-498.1943</v>
      </c>
      <c r="H3210" s="1">
        <v>2.3033850000000001E-6</v>
      </c>
      <c r="I3210">
        <v>282.24059999999997</v>
      </c>
      <c r="J3210">
        <v>-463.9581</v>
      </c>
      <c r="K3210">
        <v>1.1213310000000001</v>
      </c>
      <c r="L3210">
        <v>284.21969999999999</v>
      </c>
      <c r="M3210">
        <v>-0.99989519999999998</v>
      </c>
      <c r="N3210">
        <v>-1.382036E-2</v>
      </c>
      <c r="O3210">
        <v>4.3311449999999998E-3</v>
      </c>
      <c r="P3210">
        <v>-0.9977279</v>
      </c>
      <c r="Q3210">
        <v>-5.3153619999999999E-2</v>
      </c>
      <c r="R3210">
        <v>-4.1398070000000002E-2</v>
      </c>
      <c r="S3210">
        <v>-2.9945979999999999</v>
      </c>
      <c r="T3210">
        <v>-9.7646590000000005E-2</v>
      </c>
      <c r="U3210">
        <v>-0.1722717</v>
      </c>
      <c r="V3210">
        <v>-4.5725229999999999E-2</v>
      </c>
      <c r="W3210">
        <v>-3.9355800000000003E-2</v>
      </c>
      <c r="X3210">
        <v>0.99817849999999997</v>
      </c>
      <c r="Y3210">
        <v>-6.1709050000000001E-2</v>
      </c>
      <c r="Z3210">
        <v>-1.513225E-3</v>
      </c>
      <c r="AA3210">
        <v>0.99809300000000001</v>
      </c>
      <c r="AB3210">
        <v>20</v>
      </c>
      <c r="AC3210">
        <v>-34.236199999999997</v>
      </c>
      <c r="AD3210">
        <v>-1.12132869661499</v>
      </c>
      <c r="AE3210">
        <v>-1.9791000000000101</v>
      </c>
      <c r="AF3210">
        <v>-2.12510543587599</v>
      </c>
      <c r="AG3210">
        <v>-1.12132869661499</v>
      </c>
      <c r="AH3210">
        <v>34.190750581813496</v>
      </c>
      <c r="AI3210">
        <v>91.874798670130104</v>
      </c>
      <c r="AJ3210">
        <v>93.556609324430696</v>
      </c>
      <c r="AK3210">
        <v>34.2750766083348</v>
      </c>
      <c r="AL3210">
        <v>92.255503752797694</v>
      </c>
      <c r="AM3210">
        <v>92.622809911766694</v>
      </c>
      <c r="AN3210">
        <v>0.99999999675722095</v>
      </c>
    </row>
    <row r="3211" spans="1:40" x14ac:dyDescent="0.25">
      <c r="A3211" t="str">
        <f>"20190303153832962"</f>
        <v>20190303153832962</v>
      </c>
      <c r="B3211" t="str">
        <f>"1551598712951575"</f>
        <v>1551598712951575</v>
      </c>
      <c r="C3211" t="s">
        <v>40</v>
      </c>
      <c r="D3211">
        <v>4.4404159999999999</v>
      </c>
      <c r="E3211">
        <v>0.49338650000000001</v>
      </c>
      <c r="F3211" t="s">
        <v>51</v>
      </c>
      <c r="G3211">
        <v>-498.5385</v>
      </c>
      <c r="H3211" s="1">
        <v>2.2360709999999999E-6</v>
      </c>
      <c r="I3211">
        <v>282.16919999999999</v>
      </c>
      <c r="J3211">
        <v>-464.08850000000001</v>
      </c>
      <c r="K3211">
        <v>1.1213169999999999</v>
      </c>
      <c r="L3211">
        <v>284.22030000000001</v>
      </c>
      <c r="M3211">
        <v>-0.99989519999999998</v>
      </c>
      <c r="N3211">
        <v>-1.379259E-2</v>
      </c>
      <c r="O3211">
        <v>4.3891099999999999E-3</v>
      </c>
      <c r="P3211">
        <v>-0.997641</v>
      </c>
      <c r="Q3211">
        <v>-5.344554E-2</v>
      </c>
      <c r="R3211">
        <v>-4.3082860000000001E-2</v>
      </c>
      <c r="S3211">
        <v>-2.9942929999999999</v>
      </c>
      <c r="T3211">
        <v>-9.7095009999999995E-2</v>
      </c>
      <c r="U3211">
        <v>-0.1775513</v>
      </c>
      <c r="V3211">
        <v>-4.7468509999999998E-2</v>
      </c>
      <c r="W3211">
        <v>-3.9675090000000003E-2</v>
      </c>
      <c r="X3211">
        <v>0.99808450000000004</v>
      </c>
      <c r="Y3211">
        <v>-6.3525609999999996E-2</v>
      </c>
      <c r="Z3211">
        <v>-1.5491400000000001E-3</v>
      </c>
      <c r="AA3211">
        <v>0.99797899999999995</v>
      </c>
      <c r="AB3211">
        <v>20</v>
      </c>
      <c r="AC3211">
        <v>-34.449999999999903</v>
      </c>
      <c r="AD3211">
        <v>-1.121314763929</v>
      </c>
      <c r="AE3211">
        <v>-2.0511000000000101</v>
      </c>
      <c r="AF3211">
        <v>-2.19997695813022</v>
      </c>
      <c r="AG3211">
        <v>-1.121314763929</v>
      </c>
      <c r="AH3211">
        <v>34.404344137523097</v>
      </c>
      <c r="AI3211">
        <v>91.862935074140296</v>
      </c>
      <c r="AJ3211">
        <v>93.658782510042798</v>
      </c>
      <c r="AK3211">
        <v>34.492841879863001</v>
      </c>
      <c r="AL3211">
        <v>92.273811967459096</v>
      </c>
      <c r="AM3211">
        <v>92.722913189204206</v>
      </c>
      <c r="AN3211">
        <v>1.0000000206741799</v>
      </c>
    </row>
    <row r="3212" spans="1:40" x14ac:dyDescent="0.25">
      <c r="A3212" t="str">
        <f>"20190303153832977"</f>
        <v>20190303153832977</v>
      </c>
      <c r="B3212" t="str">
        <f>"1551598712972071"</f>
        <v>1551598712972071</v>
      </c>
      <c r="C3212" t="s">
        <v>40</v>
      </c>
      <c r="D3212">
        <v>4.3706500000000004</v>
      </c>
      <c r="E3212">
        <v>0.45071430000000001</v>
      </c>
      <c r="F3212" t="s">
        <v>51</v>
      </c>
      <c r="G3212">
        <v>-498.35680000000002</v>
      </c>
      <c r="H3212" s="1">
        <v>2.264836E-6</v>
      </c>
      <c r="I3212">
        <v>282.12939999999998</v>
      </c>
      <c r="J3212">
        <v>-464.23020000000002</v>
      </c>
      <c r="K3212">
        <v>1.1213029999999999</v>
      </c>
      <c r="L3212">
        <v>284.221</v>
      </c>
      <c r="M3212">
        <v>-0.99989539999999999</v>
      </c>
      <c r="N3212">
        <v>-1.3764749999999999E-2</v>
      </c>
      <c r="O3212">
        <v>4.4658880000000003E-3</v>
      </c>
      <c r="P3212">
        <v>-0.99756849999999997</v>
      </c>
      <c r="Q3212">
        <v>-5.3649540000000003E-2</v>
      </c>
      <c r="R3212">
        <v>-4.4489010000000002E-2</v>
      </c>
      <c r="S3212">
        <v>-2.9939879999999999</v>
      </c>
      <c r="T3212">
        <v>-9.7968219999999995E-2</v>
      </c>
      <c r="U3212">
        <v>-0.18267820000000001</v>
      </c>
      <c r="V3212">
        <v>-4.8951939999999999E-2</v>
      </c>
      <c r="W3212">
        <v>-3.9906030000000002E-2</v>
      </c>
      <c r="X3212">
        <v>0.99800359999999999</v>
      </c>
      <c r="Y3212">
        <v>-6.5308850000000002E-2</v>
      </c>
      <c r="Z3212">
        <v>-1.601873E-3</v>
      </c>
      <c r="AA3212">
        <v>0.99786379999999997</v>
      </c>
      <c r="AB3212">
        <v>20</v>
      </c>
      <c r="AC3212">
        <v>-34.126600000000003</v>
      </c>
      <c r="AD3212">
        <v>-1.1213007351639901</v>
      </c>
      <c r="AE3212">
        <v>-2.0916000000000201</v>
      </c>
      <c r="AF3212">
        <v>-2.2415881988394601</v>
      </c>
      <c r="AG3212">
        <v>-1.1213007351639901</v>
      </c>
      <c r="AH3212">
        <v>34.080262922824403</v>
      </c>
      <c r="AI3212">
        <v>91.880392214727294</v>
      </c>
      <c r="AJ3212">
        <v>93.763140365772401</v>
      </c>
      <c r="AK3212">
        <v>34.1723039006839</v>
      </c>
      <c r="AL3212">
        <v>92.287054424402797</v>
      </c>
      <c r="AM3212">
        <v>92.808099594953205</v>
      </c>
      <c r="AN3212">
        <v>0.99999998463654205</v>
      </c>
    </row>
    <row r="3213" spans="1:40" x14ac:dyDescent="0.25">
      <c r="A3213" t="str">
        <f>"20190303153832994"</f>
        <v>20190303153832994</v>
      </c>
      <c r="B3213" t="str">
        <f>"1551598712981831"</f>
        <v>1551598712981831</v>
      </c>
      <c r="C3213" t="s">
        <v>40</v>
      </c>
      <c r="D3213">
        <v>4.3085069999999996</v>
      </c>
      <c r="E3213">
        <v>0.44091780000000003</v>
      </c>
      <c r="F3213" t="s">
        <v>51</v>
      </c>
      <c r="G3213">
        <v>-486.19290000000001</v>
      </c>
      <c r="H3213" s="1">
        <v>2.9301900000000001E-6</v>
      </c>
      <c r="I3213">
        <v>280.33730000000003</v>
      </c>
      <c r="J3213">
        <v>-464.3811</v>
      </c>
      <c r="K3213">
        <v>1.1212850000000001</v>
      </c>
      <c r="L3213">
        <v>284.22179999999997</v>
      </c>
      <c r="M3213">
        <v>-0.99989530000000004</v>
      </c>
      <c r="N3213">
        <v>-1.3737829999999999E-2</v>
      </c>
      <c r="O3213">
        <v>4.5665949999999997E-3</v>
      </c>
      <c r="P3213">
        <v>-0.99753369999999997</v>
      </c>
      <c r="Q3213">
        <v>-5.2498709999999997E-2</v>
      </c>
      <c r="R3213">
        <v>-4.6589609999999997E-2</v>
      </c>
      <c r="S3213">
        <v>-2.9756770000000001</v>
      </c>
      <c r="T3213">
        <v>-0.1519221</v>
      </c>
      <c r="U3213">
        <v>-0.52618409999999904</v>
      </c>
      <c r="V3213">
        <v>-5.1154579999999998E-2</v>
      </c>
      <c r="W3213">
        <v>-3.8780349999999998E-2</v>
      </c>
      <c r="X3213">
        <v>0.99793750000000003</v>
      </c>
      <c r="Y3213">
        <v>-0.17833179999999901</v>
      </c>
      <c r="Z3213">
        <v>-5.9188469999999997E-3</v>
      </c>
      <c r="AA3213">
        <v>0.98395259999999996</v>
      </c>
      <c r="AB3213">
        <v>20</v>
      </c>
      <c r="AC3213">
        <v>-21.811800000000002</v>
      </c>
      <c r="AD3213">
        <v>-1.1212820698099999</v>
      </c>
      <c r="AE3213">
        <v>-3.8844999999999401</v>
      </c>
      <c r="AF3213">
        <v>-3.97389559187374</v>
      </c>
      <c r="AG3213">
        <v>-1.1212820698099999</v>
      </c>
      <c r="AH3213">
        <v>21.7381506757777</v>
      </c>
      <c r="AI3213">
        <v>92.904721450045997</v>
      </c>
      <c r="AJ3213">
        <v>100.35970323638701</v>
      </c>
      <c r="AK3213">
        <v>22.1268234154387</v>
      </c>
      <c r="AL3213">
        <v>92.222507741821104</v>
      </c>
      <c r="AM3213">
        <v>92.934430707418798</v>
      </c>
      <c r="AN3213">
        <v>0.99999998025367398</v>
      </c>
    </row>
    <row r="3214" spans="1:40" x14ac:dyDescent="0.25">
      <c r="A3214" t="str">
        <f>"20190303153833010"</f>
        <v>20190303153833010</v>
      </c>
      <c r="B3214" t="str">
        <f>"1551598713001351"</f>
        <v>1551598713001351</v>
      </c>
      <c r="C3214" t="s">
        <v>40</v>
      </c>
      <c r="D3214">
        <v>4.3492389999999999</v>
      </c>
      <c r="E3214">
        <v>0.43001859999999997</v>
      </c>
      <c r="F3214" t="s">
        <v>51</v>
      </c>
      <c r="G3214">
        <v>-486.14299999999997</v>
      </c>
      <c r="H3214" s="1">
        <v>2.870051E-6</v>
      </c>
      <c r="I3214">
        <v>279.75069999999999</v>
      </c>
      <c r="J3214">
        <v>-464.5197</v>
      </c>
      <c r="K3214">
        <v>1.1212850000000001</v>
      </c>
      <c r="L3214">
        <v>284.22250000000003</v>
      </c>
      <c r="M3214">
        <v>-0.99989499999999998</v>
      </c>
      <c r="N3214">
        <v>-1.371523E-2</v>
      </c>
      <c r="O3214">
        <v>4.6763179999999996E-3</v>
      </c>
      <c r="P3214">
        <v>-0.99763100000000005</v>
      </c>
      <c r="Q3214">
        <v>-4.9086980000000002E-2</v>
      </c>
      <c r="R3214">
        <v>-4.8198850000000001E-2</v>
      </c>
      <c r="S3214">
        <v>-2.9708559999999999</v>
      </c>
      <c r="T3214">
        <v>-0.15307309999999999</v>
      </c>
      <c r="U3214">
        <v>-0.61038210000000004</v>
      </c>
      <c r="V3214">
        <v>-5.2874240000000003E-2</v>
      </c>
      <c r="W3214">
        <v>-3.5387879999999997E-2</v>
      </c>
      <c r="X3214">
        <v>0.99797400000000003</v>
      </c>
      <c r="Y3214">
        <v>-0.20549480000000001</v>
      </c>
      <c r="Z3214">
        <v>-6.8358380000000003E-3</v>
      </c>
      <c r="AA3214">
        <v>0.97863440000000002</v>
      </c>
      <c r="AB3214">
        <v>20</v>
      </c>
      <c r="AC3214">
        <v>-21.6233</v>
      </c>
      <c r="AD3214">
        <v>-1.1212821299489999</v>
      </c>
      <c r="AE3214">
        <v>-4.4718000000000302</v>
      </c>
      <c r="AF3214">
        <v>-4.5611163588739698</v>
      </c>
      <c r="AG3214">
        <v>-1.1212821299489999</v>
      </c>
      <c r="AH3214">
        <v>21.546588162861799</v>
      </c>
      <c r="AI3214">
        <v>92.914508530565698</v>
      </c>
      <c r="AJ3214">
        <v>101.952281687485</v>
      </c>
      <c r="AK3214">
        <v>22.052585279601701</v>
      </c>
      <c r="AL3214">
        <v>92.027999504899299</v>
      </c>
      <c r="AM3214">
        <v>93.032785361502107</v>
      </c>
      <c r="AN3214">
        <v>1.0000000459912299</v>
      </c>
    </row>
    <row r="3215" spans="1:40" x14ac:dyDescent="0.25">
      <c r="A3215" t="str">
        <f>"20190303153833032"</f>
        <v>20190303153833032</v>
      </c>
      <c r="B3215" t="str">
        <f>"1551598713021847"</f>
        <v>1551598713021847</v>
      </c>
      <c r="C3215" t="s">
        <v>40</v>
      </c>
      <c r="D3215">
        <v>4.321669</v>
      </c>
      <c r="E3215">
        <v>0.42501240000000001</v>
      </c>
      <c r="F3215" t="s">
        <v>51</v>
      </c>
      <c r="G3215">
        <v>-486.36849999999998</v>
      </c>
      <c r="H3215" s="1">
        <v>2.6982630000000001E-6</v>
      </c>
      <c r="I3215">
        <v>279.05040000000002</v>
      </c>
      <c r="J3215">
        <v>-464.7226</v>
      </c>
      <c r="K3215">
        <v>1.121265</v>
      </c>
      <c r="L3215">
        <v>284.22370000000001</v>
      </c>
      <c r="M3215">
        <v>-0.99989459999999997</v>
      </c>
      <c r="N3215">
        <v>-1.368637E-2</v>
      </c>
      <c r="O3215">
        <v>4.8729899999999998E-3</v>
      </c>
      <c r="P3215">
        <v>-0.9976351</v>
      </c>
      <c r="Q3215">
        <v>-4.7415649999999997E-2</v>
      </c>
      <c r="R3215">
        <v>-4.9762969999999997E-2</v>
      </c>
      <c r="S3215">
        <v>-2.9657589999999998</v>
      </c>
      <c r="T3215">
        <v>-0.152203</v>
      </c>
      <c r="U3215">
        <v>-0.70205689999999998</v>
      </c>
      <c r="V3215">
        <v>-5.4635610000000001E-2</v>
      </c>
      <c r="W3215">
        <v>-3.3742019999999998E-2</v>
      </c>
      <c r="X3215">
        <v>0.99793609999999999</v>
      </c>
      <c r="Y3215">
        <v>-0.2347167</v>
      </c>
      <c r="Z3215">
        <v>-7.747266E-3</v>
      </c>
      <c r="AA3215">
        <v>0.97203289999999998</v>
      </c>
      <c r="AB3215">
        <v>20</v>
      </c>
      <c r="AC3215">
        <v>-21.645899999999902</v>
      </c>
      <c r="AD3215">
        <v>-1.121262301737</v>
      </c>
      <c r="AE3215">
        <v>-5.1732999999999798</v>
      </c>
      <c r="AF3215">
        <v>-5.2653637320307798</v>
      </c>
      <c r="AG3215">
        <v>-1.121262301737</v>
      </c>
      <c r="AH3215">
        <v>21.565691444090699</v>
      </c>
      <c r="AI3215">
        <v>92.891506834304394</v>
      </c>
      <c r="AJ3215">
        <v>103.720599172292</v>
      </c>
      <c r="AK3215">
        <v>22.227467958398002</v>
      </c>
      <c r="AL3215">
        <v>91.933642340644298</v>
      </c>
      <c r="AM3215">
        <v>93.133735506689206</v>
      </c>
      <c r="AN3215">
        <v>1.0000000167384799</v>
      </c>
    </row>
    <row r="3216" spans="1:40" x14ac:dyDescent="0.25">
      <c r="A3216" t="str">
        <f>"20190303153833053"</f>
        <v>20190303153833053</v>
      </c>
      <c r="B3216" t="str">
        <f>"1551598713041367"</f>
        <v>1551598713041367</v>
      </c>
      <c r="C3216" t="s">
        <v>40</v>
      </c>
      <c r="D3216">
        <v>4.2817020000000001</v>
      </c>
      <c r="E3216">
        <v>0.42269030000000002</v>
      </c>
      <c r="F3216" t="s">
        <v>51</v>
      </c>
      <c r="G3216">
        <v>-486.51170000000002</v>
      </c>
      <c r="H3216" s="1">
        <v>2.6116199999999998E-6</v>
      </c>
      <c r="I3216">
        <v>278.73349999999999</v>
      </c>
      <c r="J3216">
        <v>-464.91320000000002</v>
      </c>
      <c r="K3216">
        <v>1.121246</v>
      </c>
      <c r="L3216">
        <v>284.22480000000002</v>
      </c>
      <c r="M3216">
        <v>-0.9998937</v>
      </c>
      <c r="N3216">
        <v>-1.366448E-2</v>
      </c>
      <c r="O3216">
        <v>5.0897090000000004E-3</v>
      </c>
      <c r="P3216">
        <v>-0.99745510000000004</v>
      </c>
      <c r="Q3216">
        <v>-4.798177E-2</v>
      </c>
      <c r="R3216">
        <v>-5.2735520000000001E-2</v>
      </c>
      <c r="S3216">
        <v>-2.9626160000000001</v>
      </c>
      <c r="T3216">
        <v>-0.1524557</v>
      </c>
      <c r="U3216">
        <v>-0.74649049999999995</v>
      </c>
      <c r="V3216">
        <v>-5.782524E-2</v>
      </c>
      <c r="W3216">
        <v>-3.4328749999999998E-2</v>
      </c>
      <c r="X3216">
        <v>0.99773630000000002</v>
      </c>
      <c r="Y3216">
        <v>-0.24886620000000001</v>
      </c>
      <c r="Z3216">
        <v>-8.2180309999999902E-3</v>
      </c>
      <c r="AA3216">
        <v>0.968503</v>
      </c>
      <c r="AB3216">
        <v>20</v>
      </c>
      <c r="AC3216">
        <v>-21.598500000000001</v>
      </c>
      <c r="AD3216">
        <v>-1.1212433883799999</v>
      </c>
      <c r="AE3216">
        <v>-5.4913000000000203</v>
      </c>
      <c r="AF3216">
        <v>-5.5870265631631399</v>
      </c>
      <c r="AG3216">
        <v>-1.1212433883799999</v>
      </c>
      <c r="AH3216">
        <v>21.515804740100801</v>
      </c>
      <c r="AI3216">
        <v>92.887536932571194</v>
      </c>
      <c r="AJ3216">
        <v>104.55654816350101</v>
      </c>
      <c r="AK3216">
        <v>22.257625798086</v>
      </c>
      <c r="AL3216">
        <v>91.967279067672905</v>
      </c>
      <c r="AM3216">
        <v>93.316948678314006</v>
      </c>
      <c r="AN3216">
        <v>0.99999997289765397</v>
      </c>
    </row>
    <row r="3217" spans="1:40" x14ac:dyDescent="0.25">
      <c r="A3217" t="str">
        <f>"20190303153833070"</f>
        <v>20190303153833070</v>
      </c>
      <c r="B3217" t="str">
        <f>"1551598713061863"</f>
        <v>1551598713061863</v>
      </c>
      <c r="C3217" t="s">
        <v>40</v>
      </c>
      <c r="D3217">
        <v>4.2737429999999996</v>
      </c>
      <c r="E3217">
        <v>0.42123430000000001</v>
      </c>
      <c r="F3217" t="s">
        <v>51</v>
      </c>
      <c r="G3217">
        <v>-486.76870000000002</v>
      </c>
      <c r="H3217" s="1">
        <v>2.5781669999999999E-6</v>
      </c>
      <c r="I3217">
        <v>278.50990000000002</v>
      </c>
      <c r="J3217">
        <v>-465.06869999999998</v>
      </c>
      <c r="K3217">
        <v>1.1212299999999999</v>
      </c>
      <c r="L3217">
        <v>284.22590000000002</v>
      </c>
      <c r="M3217">
        <v>-0.99989280000000003</v>
      </c>
      <c r="N3217">
        <v>-1.3657549999999999E-2</v>
      </c>
      <c r="O3217">
        <v>5.2855569999999998E-3</v>
      </c>
      <c r="P3217">
        <v>-0.99727129999999997</v>
      </c>
      <c r="Q3217">
        <v>-4.8790069999999998E-2</v>
      </c>
      <c r="R3217">
        <v>-5.5406530000000002E-2</v>
      </c>
      <c r="S3217">
        <v>-2.959473</v>
      </c>
      <c r="T3217">
        <v>-0.15182899999999999</v>
      </c>
      <c r="U3217">
        <v>-0.77386469999999996</v>
      </c>
      <c r="V3217">
        <v>-6.0692089999999997E-2</v>
      </c>
      <c r="W3217">
        <v>-3.5143349999999997E-2</v>
      </c>
      <c r="X3217">
        <v>0.99753769999999997</v>
      </c>
      <c r="Y3217">
        <v>-0.25768200000000002</v>
      </c>
      <c r="Z3217">
        <v>-8.4823699999999995E-3</v>
      </c>
      <c r="AA3217">
        <v>0.96619250000000001</v>
      </c>
      <c r="AB3217">
        <v>20</v>
      </c>
      <c r="AC3217">
        <v>-21.7</v>
      </c>
      <c r="AD3217">
        <v>-1.1212274218330001</v>
      </c>
      <c r="AE3217">
        <v>-5.7160000000000002</v>
      </c>
      <c r="AF3217">
        <v>-5.8161074310607797</v>
      </c>
      <c r="AG3217">
        <v>-1.1212274218330001</v>
      </c>
      <c r="AH3217">
        <v>21.615518331196601</v>
      </c>
      <c r="AI3217">
        <v>92.867541001986794</v>
      </c>
      <c r="AJ3217">
        <v>105.05994819919501</v>
      </c>
      <c r="AK3217">
        <v>22.412382499578399</v>
      </c>
      <c r="AL3217">
        <v>92.013980292764202</v>
      </c>
      <c r="AM3217">
        <v>93.481692275252797</v>
      </c>
      <c r="AN3217">
        <v>1.0000000238795399</v>
      </c>
    </row>
    <row r="3218" spans="1:40" x14ac:dyDescent="0.25">
      <c r="A3218" t="str">
        <f>"20190303153833083"</f>
        <v>20190303153833083</v>
      </c>
      <c r="B3218" t="str">
        <f>"1551598713071623"</f>
        <v>1551598713071623</v>
      </c>
      <c r="C3218" t="s">
        <v>40</v>
      </c>
      <c r="D3218">
        <v>4.2346069999999996</v>
      </c>
      <c r="E3218">
        <v>0.42066579999999898</v>
      </c>
      <c r="F3218" t="s">
        <v>51</v>
      </c>
      <c r="G3218">
        <v>-486.90559999999999</v>
      </c>
      <c r="H3218" s="1">
        <v>2.5519870000000002E-6</v>
      </c>
      <c r="I3218">
        <v>278.36720000000003</v>
      </c>
      <c r="J3218">
        <v>-465.18770000000001</v>
      </c>
      <c r="K3218">
        <v>1.1212249999999999</v>
      </c>
      <c r="L3218">
        <v>284.22669999999999</v>
      </c>
      <c r="M3218">
        <v>-0.99989189999999994</v>
      </c>
      <c r="N3218">
        <v>-1.3665679999999999E-2</v>
      </c>
      <c r="O3218">
        <v>5.4475399999999998E-3</v>
      </c>
      <c r="P3218">
        <v>-0.99708730000000001</v>
      </c>
      <c r="Q3218">
        <v>-4.9232810000000002E-2</v>
      </c>
      <c r="R3218">
        <v>-5.8255689999999999E-2</v>
      </c>
      <c r="S3218">
        <v>-2.9567260000000002</v>
      </c>
      <c r="T3218">
        <v>-0.15181510000000001</v>
      </c>
      <c r="U3218">
        <v>-0.79327389999999998</v>
      </c>
      <c r="V3218">
        <v>-6.3702739999999994E-2</v>
      </c>
      <c r="W3218">
        <v>-3.5577980000000002E-2</v>
      </c>
      <c r="X3218">
        <v>0.99733450000000001</v>
      </c>
      <c r="Y3218">
        <v>-0.26396890000000001</v>
      </c>
      <c r="Z3218">
        <v>-8.6930410000000003E-3</v>
      </c>
      <c r="AA3218">
        <v>0.96449200000000002</v>
      </c>
      <c r="AB3218">
        <v>20</v>
      </c>
      <c r="AC3218">
        <v>-21.717899999999901</v>
      </c>
      <c r="AD3218">
        <v>-1.121222448013</v>
      </c>
      <c r="AE3218">
        <v>-5.8594999999999597</v>
      </c>
      <c r="AF3218">
        <v>-5.9629185630967898</v>
      </c>
      <c r="AG3218">
        <v>-1.121222448013</v>
      </c>
      <c r="AH3218">
        <v>21.631911203521099</v>
      </c>
      <c r="AI3218">
        <v>92.860588256010004</v>
      </c>
      <c r="AJ3218">
        <v>105.411071764951</v>
      </c>
      <c r="AK3218">
        <v>22.466711372274201</v>
      </c>
      <c r="AL3218">
        <v>92.038898453694102</v>
      </c>
      <c r="AM3218">
        <v>93.654688263161901</v>
      </c>
      <c r="AN3218">
        <v>0.99999996831731797</v>
      </c>
    </row>
    <row r="3219" spans="1:40" x14ac:dyDescent="0.25">
      <c r="A3219" t="str">
        <f>"20190303153833097"</f>
        <v>20190303153833097</v>
      </c>
      <c r="B3219" t="str">
        <f>"1551598713092119"</f>
        <v>1551598713092119</v>
      </c>
      <c r="C3219" t="s">
        <v>40</v>
      </c>
      <c r="D3219">
        <v>4.237025</v>
      </c>
      <c r="E3219">
        <v>0.4209196</v>
      </c>
      <c r="F3219" t="s">
        <v>51</v>
      </c>
      <c r="G3219">
        <v>-486.97</v>
      </c>
      <c r="H3219" s="1">
        <v>2.532458E-6</v>
      </c>
      <c r="I3219">
        <v>278.27960000000002</v>
      </c>
      <c r="J3219">
        <v>-465.30459999999999</v>
      </c>
      <c r="K3219">
        <v>1.1212230000000001</v>
      </c>
      <c r="L3219">
        <v>284.22739999999999</v>
      </c>
      <c r="M3219">
        <v>-0.99989070000000002</v>
      </c>
      <c r="N3219">
        <v>-1.3681489999999999E-2</v>
      </c>
      <c r="O3219">
        <v>5.6108149999999999E-3</v>
      </c>
      <c r="P3219">
        <v>-0.99689890000000003</v>
      </c>
      <c r="Q3219">
        <v>-4.9343119999999997E-2</v>
      </c>
      <c r="R3219">
        <v>-6.1298289999999998E-2</v>
      </c>
      <c r="S3219">
        <v>-2.954132</v>
      </c>
      <c r="T3219">
        <v>-0.15206129999999901</v>
      </c>
      <c r="U3219">
        <v>-0.80654910000000002</v>
      </c>
      <c r="V3219">
        <v>-6.6908930000000005E-2</v>
      </c>
      <c r="W3219">
        <v>-3.567269E-2</v>
      </c>
      <c r="X3219">
        <v>0.99712120000000004</v>
      </c>
      <c r="Y3219">
        <v>-0.26836510000000002</v>
      </c>
      <c r="Z3219">
        <v>-8.8570560000000003E-3</v>
      </c>
      <c r="AA3219">
        <v>0.96327660000000004</v>
      </c>
      <c r="AB3219">
        <v>20</v>
      </c>
      <c r="AC3219">
        <v>-21.665400000000002</v>
      </c>
      <c r="AD3219">
        <v>-1.1212204675420001</v>
      </c>
      <c r="AE3219">
        <v>-5.9477999999999698</v>
      </c>
      <c r="AF3219">
        <v>-6.0542001087990904</v>
      </c>
      <c r="AG3219">
        <v>-1.1212204675420001</v>
      </c>
      <c r="AH3219">
        <v>21.5779432310059</v>
      </c>
      <c r="AI3219">
        <v>92.8640921407939</v>
      </c>
      <c r="AJ3219">
        <v>105.672714772536</v>
      </c>
      <c r="AK3219">
        <v>22.439209174450198</v>
      </c>
      <c r="AL3219">
        <v>92.044328285214405</v>
      </c>
      <c r="AM3219">
        <v>93.838912417294097</v>
      </c>
      <c r="AN3219">
        <v>1.00000001660751</v>
      </c>
    </row>
    <row r="3220" spans="1:40" x14ac:dyDescent="0.25">
      <c r="A3220" t="str">
        <f>"20190303153833109"</f>
        <v>20190303153833109</v>
      </c>
      <c r="B3220" t="str">
        <f>"1551598713101879"</f>
        <v>1551598713101879</v>
      </c>
      <c r="C3220" t="s">
        <v>40</v>
      </c>
      <c r="D3220">
        <v>4.2417179999999997</v>
      </c>
      <c r="E3220">
        <v>0.42100850000000001</v>
      </c>
      <c r="F3220" t="s">
        <v>51</v>
      </c>
      <c r="G3220">
        <v>-487.58909999999997</v>
      </c>
      <c r="H3220" s="1">
        <v>2.57399E-6</v>
      </c>
      <c r="I3220">
        <v>278.08640000000003</v>
      </c>
      <c r="J3220">
        <v>-465.42189999999999</v>
      </c>
      <c r="K3220">
        <v>1.121224</v>
      </c>
      <c r="L3220">
        <v>284.22829999999999</v>
      </c>
      <c r="M3220">
        <v>-0.99988949999999999</v>
      </c>
      <c r="N3220">
        <v>-1.37038E-2</v>
      </c>
      <c r="O3220">
        <v>5.778376E-3</v>
      </c>
      <c r="P3220">
        <v>-0.99654290000000001</v>
      </c>
      <c r="Q3220">
        <v>-4.793584E-2</v>
      </c>
      <c r="R3220">
        <v>-6.7858890000000005E-2</v>
      </c>
      <c r="S3220">
        <v>-2.9519350000000002</v>
      </c>
      <c r="T3220">
        <v>-0.1485233</v>
      </c>
      <c r="U3220">
        <v>-0.81347659999999999</v>
      </c>
      <c r="V3220">
        <v>-7.3633610000000002E-2</v>
      </c>
      <c r="W3220">
        <v>-3.4244459999999997E-2</v>
      </c>
      <c r="X3220">
        <v>0.99669719999999995</v>
      </c>
      <c r="Y3220">
        <v>-0.27082339999999999</v>
      </c>
      <c r="Z3220">
        <v>-8.7831430000000002E-3</v>
      </c>
      <c r="AA3220">
        <v>0.96258900000000003</v>
      </c>
      <c r="AB3220">
        <v>20</v>
      </c>
      <c r="AC3220">
        <v>-22.167199999999902</v>
      </c>
      <c r="AD3220">
        <v>-1.12122142601</v>
      </c>
      <c r="AE3220">
        <v>-6.1418999999999597</v>
      </c>
      <c r="AF3220">
        <v>-6.2550381689307999</v>
      </c>
      <c r="AG3220">
        <v>-1.12122142601</v>
      </c>
      <c r="AH3220">
        <v>22.078877833720799</v>
      </c>
      <c r="AI3220">
        <v>92.797224930476801</v>
      </c>
      <c r="AJ3220">
        <v>105.817647193957</v>
      </c>
      <c r="AK3220">
        <v>22.975192847445101</v>
      </c>
      <c r="AL3220">
        <v>91.962446809995697</v>
      </c>
      <c r="AM3220">
        <v>94.225199672071298</v>
      </c>
      <c r="AN3220">
        <v>0.99999995002508002</v>
      </c>
    </row>
    <row r="3221" spans="1:40" x14ac:dyDescent="0.25">
      <c r="A3221" t="str">
        <f>"20190303153833131"</f>
        <v>20190303153833131</v>
      </c>
      <c r="B3221" t="str">
        <f>"1551598713121398"</f>
        <v>1551598713121398</v>
      </c>
      <c r="C3221" t="s">
        <v>40</v>
      </c>
      <c r="D3221">
        <v>4.2463139999999999</v>
      </c>
      <c r="E3221">
        <v>0.4213401</v>
      </c>
      <c r="F3221" t="s">
        <v>51</v>
      </c>
      <c r="G3221">
        <v>-488.64400000000001</v>
      </c>
      <c r="H3221" s="1">
        <v>2.6142459999999999E-6</v>
      </c>
      <c r="I3221">
        <v>277.67090000000002</v>
      </c>
      <c r="J3221">
        <v>-465.61540000000002</v>
      </c>
      <c r="K3221">
        <v>1.1212310000000001</v>
      </c>
      <c r="L3221">
        <v>284.22969999999998</v>
      </c>
      <c r="M3221">
        <v>-0.99988719999999998</v>
      </c>
      <c r="N3221">
        <v>-1.3750470000000001E-2</v>
      </c>
      <c r="O3221">
        <v>6.059119E-3</v>
      </c>
      <c r="P3221">
        <v>-0.99619599999999997</v>
      </c>
      <c r="Q3221">
        <v>-4.6090859999999997E-2</v>
      </c>
      <c r="R3221">
        <v>-7.3953119999999997E-2</v>
      </c>
      <c r="S3221">
        <v>-2.946869</v>
      </c>
      <c r="T3221">
        <v>-0.14228189999999999</v>
      </c>
      <c r="U3221">
        <v>-0.83212280000000005</v>
      </c>
      <c r="V3221">
        <v>-8.000467E-2</v>
      </c>
      <c r="W3221">
        <v>-3.2355179999999997E-2</v>
      </c>
      <c r="X3221">
        <v>0.99626919999999997</v>
      </c>
      <c r="Y3221">
        <v>-0.27718229999999999</v>
      </c>
      <c r="Z3221">
        <v>-8.7084269999999995E-3</v>
      </c>
      <c r="AA3221">
        <v>0.96077789999999996</v>
      </c>
      <c r="AB3221">
        <v>20</v>
      </c>
      <c r="AC3221">
        <v>-23.028599999999901</v>
      </c>
      <c r="AD3221">
        <v>-1.121228385754</v>
      </c>
      <c r="AE3221">
        <v>-6.5587999999999598</v>
      </c>
      <c r="AF3221">
        <v>-6.6835706858322599</v>
      </c>
      <c r="AG3221">
        <v>-1.121228385754</v>
      </c>
      <c r="AH3221">
        <v>22.9381363168166</v>
      </c>
      <c r="AI3221">
        <v>92.686862763463395</v>
      </c>
      <c r="AJ3221">
        <v>106.244736125377</v>
      </c>
      <c r="AK3221">
        <v>23.918306125108298</v>
      </c>
      <c r="AL3221">
        <v>91.854138929341801</v>
      </c>
      <c r="AM3221">
        <v>94.591243315695706</v>
      </c>
      <c r="AN3221">
        <v>0.99999996188163998</v>
      </c>
    </row>
    <row r="3222" spans="1:40" x14ac:dyDescent="0.25">
      <c r="A3222" t="str">
        <f>"20190303153833148"</f>
        <v>20190303153833148</v>
      </c>
      <c r="B3222" t="str">
        <f>"1551598713141895"</f>
        <v>1551598713141895</v>
      </c>
      <c r="C3222" t="s">
        <v>40</v>
      </c>
      <c r="D3222">
        <v>4.2646050000000004</v>
      </c>
      <c r="E3222">
        <v>0.4205779</v>
      </c>
      <c r="F3222" t="s">
        <v>51</v>
      </c>
      <c r="G3222">
        <v>-490.36149999999998</v>
      </c>
      <c r="H3222" s="1">
        <v>2.6107790000000001E-6</v>
      </c>
      <c r="I3222">
        <v>277.10320000000002</v>
      </c>
      <c r="J3222">
        <v>-465.7715</v>
      </c>
      <c r="K3222">
        <v>1.121232</v>
      </c>
      <c r="L3222">
        <v>284.23099999999999</v>
      </c>
      <c r="M3222">
        <v>-0.99988529999999998</v>
      </c>
      <c r="N3222">
        <v>-1.37874E-2</v>
      </c>
      <c r="O3222">
        <v>6.2841279999999999E-3</v>
      </c>
      <c r="P3222">
        <v>-0.99596980000000002</v>
      </c>
      <c r="Q3222">
        <v>-4.582729E-2</v>
      </c>
      <c r="R3222">
        <v>-7.7096990000000004E-2</v>
      </c>
      <c r="S3222">
        <v>-2.9424130000000002</v>
      </c>
      <c r="T3222">
        <v>-0.1333193</v>
      </c>
      <c r="U3222">
        <v>-0.84738159999999896</v>
      </c>
      <c r="V3222">
        <v>-8.3370330000000006E-2</v>
      </c>
      <c r="W3222">
        <v>-3.2058059999999999E-2</v>
      </c>
      <c r="X3222">
        <v>0.99600290000000002</v>
      </c>
      <c r="Y3222">
        <v>-0.28241739999999999</v>
      </c>
      <c r="Z3222">
        <v>-8.4487480000000007E-3</v>
      </c>
      <c r="AA3222">
        <v>0.95925439999999995</v>
      </c>
      <c r="AB3222">
        <v>20</v>
      </c>
      <c r="AC3222">
        <v>-24.5899999999999</v>
      </c>
      <c r="AD3222">
        <v>-1.1212293892209999</v>
      </c>
      <c r="AE3222">
        <v>-7.1277999999999704</v>
      </c>
      <c r="AF3222">
        <v>-7.2682605681568999</v>
      </c>
      <c r="AG3222">
        <v>-1.1212293892209999</v>
      </c>
      <c r="AH3222">
        <v>24.497733067314901</v>
      </c>
      <c r="AI3222">
        <v>92.512425307121006</v>
      </c>
      <c r="AJ3222">
        <v>106.525156682607</v>
      </c>
      <c r="AK3222">
        <v>25.577796865001702</v>
      </c>
      <c r="AL3222">
        <v>91.837106201440804</v>
      </c>
      <c r="AM3222">
        <v>94.784783811017704</v>
      </c>
      <c r="AN3222">
        <v>1.0000000539718299</v>
      </c>
    </row>
    <row r="3223" spans="1:40" x14ac:dyDescent="0.25">
      <c r="A3223" t="str">
        <f>"20190303153833161"</f>
        <v>20190303153833161</v>
      </c>
      <c r="B3223" t="str">
        <f>"1551598713151655"</f>
        <v>1551598713151655</v>
      </c>
      <c r="C3223" t="s">
        <v>40</v>
      </c>
      <c r="D3223">
        <v>4.2760199999999999</v>
      </c>
      <c r="E3223">
        <v>0.42032229999999998</v>
      </c>
      <c r="F3223" t="s">
        <v>51</v>
      </c>
      <c r="G3223">
        <v>-490.11380000000003</v>
      </c>
      <c r="H3223" s="1">
        <v>2.6266060000000001E-6</v>
      </c>
      <c r="I3223">
        <v>277.08580000000001</v>
      </c>
      <c r="J3223">
        <v>-465.88810000000001</v>
      </c>
      <c r="K3223">
        <v>1.121238</v>
      </c>
      <c r="L3223">
        <v>284.2319</v>
      </c>
      <c r="M3223">
        <v>-0.99988390000000005</v>
      </c>
      <c r="N3223">
        <v>-1.380284E-2</v>
      </c>
      <c r="O3223">
        <v>6.4460430000000003E-3</v>
      </c>
      <c r="P3223">
        <v>-0.99570820000000004</v>
      </c>
      <c r="Q3223">
        <v>-4.5868739999999998E-2</v>
      </c>
      <c r="R3223">
        <v>-8.0384629999999999E-2</v>
      </c>
      <c r="S3223">
        <v>-2.9390869999999998</v>
      </c>
      <c r="T3223">
        <v>-0.13537679999999999</v>
      </c>
      <c r="U3223">
        <v>-0.86270139999999995</v>
      </c>
      <c r="V3223">
        <v>-8.6816790000000005E-2</v>
      </c>
      <c r="W3223">
        <v>-3.2088619999999998E-2</v>
      </c>
      <c r="X3223">
        <v>0.99570740000000002</v>
      </c>
      <c r="Y3223">
        <v>-0.2874506</v>
      </c>
      <c r="Z3223">
        <v>-8.7099059999999999E-3</v>
      </c>
      <c r="AA3223">
        <v>0.95775589999999999</v>
      </c>
      <c r="AB3223">
        <v>20</v>
      </c>
      <c r="AC3223">
        <v>-24.2257</v>
      </c>
      <c r="AD3223">
        <v>-1.1212353733939999</v>
      </c>
      <c r="AE3223">
        <v>-7.1460999999999899</v>
      </c>
      <c r="AF3223">
        <v>-7.2877647753582302</v>
      </c>
      <c r="AG3223">
        <v>-1.1212353733939999</v>
      </c>
      <c r="AH3223">
        <v>24.131573623236601</v>
      </c>
      <c r="AI3223">
        <v>92.546797995008802</v>
      </c>
      <c r="AJ3223">
        <v>106.804380426435</v>
      </c>
      <c r="AK3223">
        <v>25.2329453238656</v>
      </c>
      <c r="AL3223">
        <v>91.838858104868606</v>
      </c>
      <c r="AM3223">
        <v>94.983078024273198</v>
      </c>
      <c r="AN3223">
        <v>1.00000003048708</v>
      </c>
    </row>
    <row r="3224" spans="1:40" x14ac:dyDescent="0.25">
      <c r="A3224" t="str">
        <f>"20190303153833176"</f>
        <v>20190303153833176</v>
      </c>
      <c r="B3224" t="str">
        <f>"1551598713172151"</f>
        <v>1551598713172151</v>
      </c>
      <c r="C3224" t="s">
        <v>40</v>
      </c>
      <c r="D3224">
        <v>4.3399340000000004</v>
      </c>
      <c r="E3224">
        <v>0.41983160000000003</v>
      </c>
      <c r="F3224" t="s">
        <v>51</v>
      </c>
      <c r="G3224">
        <v>-489.97809999999998</v>
      </c>
      <c r="H3224" s="1">
        <v>2.6279669999999998E-6</v>
      </c>
      <c r="I3224">
        <v>277.05560000000003</v>
      </c>
      <c r="J3224">
        <v>-466.00580000000002</v>
      </c>
      <c r="K3224">
        <v>1.1212439999999999</v>
      </c>
      <c r="L3224">
        <v>284.2328</v>
      </c>
      <c r="M3224">
        <v>-0.99988290000000002</v>
      </c>
      <c r="N3224">
        <v>-1.3812649999999999E-2</v>
      </c>
      <c r="O3224">
        <v>6.5994779999999998E-3</v>
      </c>
      <c r="P3224">
        <v>-0.99538020000000005</v>
      </c>
      <c r="Q3224">
        <v>-4.6328510000000003E-2</v>
      </c>
      <c r="R3224">
        <v>-8.4097119999999997E-2</v>
      </c>
      <c r="S3224">
        <v>-2.9360659999999998</v>
      </c>
      <c r="T3224">
        <v>-0.136655</v>
      </c>
      <c r="U3224">
        <v>-0.87463380000000002</v>
      </c>
      <c r="V3224">
        <v>-9.0678620000000001E-2</v>
      </c>
      <c r="W3224">
        <v>-3.2544740000000003E-2</v>
      </c>
      <c r="X3224">
        <v>0.99534829999999996</v>
      </c>
      <c r="Y3224">
        <v>-0.29142859999999998</v>
      </c>
      <c r="Z3224">
        <v>-8.9028419999999994E-3</v>
      </c>
      <c r="AA3224">
        <v>0.95655109999999999</v>
      </c>
      <c r="AB3224">
        <v>20</v>
      </c>
      <c r="AC3224">
        <v>-23.972299999999901</v>
      </c>
      <c r="AD3224">
        <v>-1.1212413720329999</v>
      </c>
      <c r="AE3224">
        <v>-7.1771999999999698</v>
      </c>
      <c r="AF3224">
        <v>-7.3205659932927301</v>
      </c>
      <c r="AG3224">
        <v>-1.1212413720329999</v>
      </c>
      <c r="AH3224">
        <v>23.876471014729798</v>
      </c>
      <c r="AI3224">
        <v>92.570694574082196</v>
      </c>
      <c r="AJ3224">
        <v>107.045627228282</v>
      </c>
      <c r="AK3224">
        <v>24.998674700746601</v>
      </c>
      <c r="AL3224">
        <v>91.865005559619107</v>
      </c>
      <c r="AM3224">
        <v>95.205413785020795</v>
      </c>
      <c r="AN3224">
        <v>1.0000000052698299</v>
      </c>
    </row>
    <row r="3225" spans="1:40" x14ac:dyDescent="0.25">
      <c r="A3225" t="str">
        <f>"20190303153833187"</f>
        <v>20190303153833187</v>
      </c>
      <c r="B3225" t="str">
        <f>"1551598713181911"</f>
        <v>1551598713181911</v>
      </c>
      <c r="C3225" t="s">
        <v>40</v>
      </c>
      <c r="D3225">
        <v>4.3113619999999999</v>
      </c>
      <c r="E3225">
        <v>0.41967880000000002</v>
      </c>
      <c r="F3225" t="s">
        <v>51</v>
      </c>
      <c r="G3225">
        <v>-489.09739999999999</v>
      </c>
      <c r="H3225" s="1">
        <v>2.53792E-6</v>
      </c>
      <c r="I3225">
        <v>277.22750000000002</v>
      </c>
      <c r="J3225">
        <v>-466.11739999999998</v>
      </c>
      <c r="K3225">
        <v>1.121246</v>
      </c>
      <c r="L3225">
        <v>284.2337</v>
      </c>
      <c r="M3225">
        <v>-0.99988200000000005</v>
      </c>
      <c r="N3225">
        <v>-1.381544E-2</v>
      </c>
      <c r="O3225">
        <v>6.73378E-3</v>
      </c>
      <c r="P3225">
        <v>-0.99438610000000005</v>
      </c>
      <c r="Q3225">
        <v>-4.704618E-2</v>
      </c>
      <c r="R3225">
        <v>-9.4780710000000004E-2</v>
      </c>
      <c r="S3225">
        <v>-2.932159</v>
      </c>
      <c r="T3225">
        <v>-0.1423748</v>
      </c>
      <c r="U3225">
        <v>-0.88952640000000005</v>
      </c>
      <c r="V3225">
        <v>-0.1014881</v>
      </c>
      <c r="W3225">
        <v>-3.3273810000000001E-2</v>
      </c>
      <c r="X3225">
        <v>0.99428019999999995</v>
      </c>
      <c r="Y3225">
        <v>-0.29632059999999999</v>
      </c>
      <c r="Z3225">
        <v>-9.3541549999999994E-3</v>
      </c>
      <c r="AA3225">
        <v>0.95504270000000002</v>
      </c>
      <c r="AB3225">
        <v>20</v>
      </c>
      <c r="AC3225">
        <v>-22.98</v>
      </c>
      <c r="AD3225">
        <v>-1.12124346207999</v>
      </c>
      <c r="AE3225">
        <v>-7.0061999999999696</v>
      </c>
      <c r="AF3225">
        <v>-7.1452343761352397</v>
      </c>
      <c r="AG3225">
        <v>-1.12124346207999</v>
      </c>
      <c r="AH3225">
        <v>22.8824535785538</v>
      </c>
      <c r="AI3225">
        <v>92.677936473547504</v>
      </c>
      <c r="AJ3225">
        <v>107.34140361291099</v>
      </c>
      <c r="AK3225">
        <v>23.998296668010202</v>
      </c>
      <c r="AL3225">
        <v>91.906800750547205</v>
      </c>
      <c r="AM3225">
        <v>95.828106394064307</v>
      </c>
      <c r="AN3225">
        <v>1.00000004849278</v>
      </c>
    </row>
    <row r="3226" spans="1:40" x14ac:dyDescent="0.25">
      <c r="A3226" t="str">
        <f>"20190303153833221"</f>
        <v>20190303153833221</v>
      </c>
      <c r="B3226" t="str">
        <f>"1551598713212166"</f>
        <v>1551598713212166</v>
      </c>
      <c r="C3226" t="s">
        <v>40</v>
      </c>
      <c r="D3226">
        <v>4.275779</v>
      </c>
      <c r="E3226">
        <v>0.41968319999999998</v>
      </c>
      <c r="F3226" t="s">
        <v>51</v>
      </c>
      <c r="G3226">
        <v>-488.69060000000002</v>
      </c>
      <c r="H3226" s="1">
        <v>2.424439E-6</v>
      </c>
      <c r="I3226">
        <v>277.11059999999998</v>
      </c>
      <c r="J3226">
        <v>-466.41680000000002</v>
      </c>
      <c r="K3226">
        <v>1.1213120000000001</v>
      </c>
      <c r="L3226">
        <v>284.23610000000002</v>
      </c>
      <c r="M3226">
        <v>-0.99988049999999995</v>
      </c>
      <c r="N3226">
        <v>-1.379151E-2</v>
      </c>
      <c r="O3226">
        <v>6.9957769999999999E-3</v>
      </c>
      <c r="P3226">
        <v>-0.99361449999999996</v>
      </c>
      <c r="Q3226">
        <v>-4.3577539999999998E-2</v>
      </c>
      <c r="R3226">
        <v>-0.1040741</v>
      </c>
      <c r="S3226">
        <v>-2.9222109999999999</v>
      </c>
      <c r="T3226">
        <v>-0.145150799999999</v>
      </c>
      <c r="U3226">
        <v>-0.92211909999999997</v>
      </c>
      <c r="V3226">
        <v>-0.11103059999999999</v>
      </c>
      <c r="W3226">
        <v>-2.9853169999999998E-2</v>
      </c>
      <c r="X3226">
        <v>0.99336849999999999</v>
      </c>
      <c r="Y3226">
        <v>-0.307141</v>
      </c>
      <c r="Z3226">
        <v>-9.8577100000000004E-3</v>
      </c>
      <c r="AA3226">
        <v>0.95161289999999998</v>
      </c>
      <c r="AB3226">
        <v>20</v>
      </c>
      <c r="AC3226">
        <v>-22.273799999999898</v>
      </c>
      <c r="AD3226">
        <v>-1.1213095755609901</v>
      </c>
      <c r="AE3226">
        <v>-7.1255000000000397</v>
      </c>
      <c r="AF3226">
        <v>-7.2644616342514698</v>
      </c>
      <c r="AG3226">
        <v>-1.1213095755609901</v>
      </c>
      <c r="AH3226">
        <v>22.172426322428802</v>
      </c>
      <c r="AI3226">
        <v>92.751436645811694</v>
      </c>
      <c r="AJ3226">
        <v>108.140603875558</v>
      </c>
      <c r="AK3226">
        <v>23.359071621605398</v>
      </c>
      <c r="AL3226">
        <v>91.710714826617902</v>
      </c>
      <c r="AM3226">
        <v>96.377582908597702</v>
      </c>
      <c r="AN3226">
        <v>0.999999991343829</v>
      </c>
    </row>
    <row r="3227" spans="1:40" x14ac:dyDescent="0.25">
      <c r="A3227" t="str">
        <f>"20190303153833243"</f>
        <v>20190303153833243</v>
      </c>
      <c r="B3227" t="str">
        <f>"1551598713231687"</f>
        <v>1551598713231687</v>
      </c>
      <c r="C3227" t="s">
        <v>40</v>
      </c>
      <c r="D3227">
        <v>4.2685589999999998</v>
      </c>
      <c r="E3227">
        <v>0.41977969999999998</v>
      </c>
      <c r="F3227" t="s">
        <v>51</v>
      </c>
      <c r="G3227">
        <v>-490.3544</v>
      </c>
      <c r="H3227" s="1">
        <v>2.375631E-6</v>
      </c>
      <c r="I3227">
        <v>276.43619999999999</v>
      </c>
      <c r="J3227">
        <v>-466.61290000000002</v>
      </c>
      <c r="K3227">
        <v>1.121367</v>
      </c>
      <c r="L3227">
        <v>284.23759999999999</v>
      </c>
      <c r="M3227">
        <v>-0.99988010000000005</v>
      </c>
      <c r="N3227">
        <v>-1.3766570000000001E-2</v>
      </c>
      <c r="O3227">
        <v>7.0948469999999996E-3</v>
      </c>
      <c r="P3227">
        <v>-0.99238720000000002</v>
      </c>
      <c r="Q3227">
        <v>-3.8534989999999998E-2</v>
      </c>
      <c r="R3227">
        <v>-0.116975</v>
      </c>
      <c r="S3227">
        <v>-2.9138790000000001</v>
      </c>
      <c r="T3227">
        <v>-0.1364948</v>
      </c>
      <c r="U3227">
        <v>-0.9494629</v>
      </c>
      <c r="V3227">
        <v>-0.1240174</v>
      </c>
      <c r="W3227">
        <v>-2.4863690000000001E-2</v>
      </c>
      <c r="X3227">
        <v>0.99196850000000003</v>
      </c>
      <c r="Y3227">
        <v>-0.316131</v>
      </c>
      <c r="Z3227">
        <v>-9.6750199999999995E-3</v>
      </c>
      <c r="AA3227">
        <v>0.94866620000000002</v>
      </c>
      <c r="AB3227">
        <v>20</v>
      </c>
      <c r="AC3227">
        <v>-23.741499999999899</v>
      </c>
      <c r="AD3227">
        <v>-1.1213646243690001</v>
      </c>
      <c r="AE3227">
        <v>-7.8014000000000001</v>
      </c>
      <c r="AF3227">
        <v>-7.9536473852027196</v>
      </c>
      <c r="AG3227">
        <v>-1.1213646243690001</v>
      </c>
      <c r="AH3227">
        <v>23.637952861783202</v>
      </c>
      <c r="AI3227">
        <v>92.574407196515097</v>
      </c>
      <c r="AJ3227">
        <v>108.59694597511201</v>
      </c>
      <c r="AK3227">
        <v>24.965391662155302</v>
      </c>
      <c r="AL3227">
        <v>91.424731304592896</v>
      </c>
      <c r="AM3227">
        <v>97.126229832058598</v>
      </c>
      <c r="AN3227">
        <v>1.0000000117877099</v>
      </c>
    </row>
    <row r="3228" spans="1:40" x14ac:dyDescent="0.25">
      <c r="A3228" t="str">
        <f>"20190303153833273"</f>
        <v>20190303153833273</v>
      </c>
      <c r="B3228" t="str">
        <f>"1551598713261576"</f>
        <v>1551598713261576</v>
      </c>
      <c r="C3228" t="s">
        <v>40</v>
      </c>
      <c r="D3228">
        <v>4.0608620000000002</v>
      </c>
      <c r="E3228">
        <v>0.35043869999999999</v>
      </c>
      <c r="F3228" t="s">
        <v>51</v>
      </c>
      <c r="G3228">
        <v>-493.37</v>
      </c>
      <c r="H3228" s="1">
        <v>1.6516209999999999E-6</v>
      </c>
      <c r="I3228">
        <v>275.1447</v>
      </c>
      <c r="J3228">
        <v>-466.80810000000002</v>
      </c>
      <c r="K3228">
        <v>1.1214170000000001</v>
      </c>
      <c r="L3228">
        <v>284.23899999999998</v>
      </c>
      <c r="M3228">
        <v>-0.99988010000000005</v>
      </c>
      <c r="N3228">
        <v>-1.3740779999999999E-2</v>
      </c>
      <c r="O3228">
        <v>7.1393899999999998E-3</v>
      </c>
      <c r="P3228">
        <v>-0.99016769999999998</v>
      </c>
      <c r="Q3228">
        <v>-3.5166290000000003E-2</v>
      </c>
      <c r="R3228">
        <v>-0.1353926</v>
      </c>
      <c r="S3228">
        <v>-2.9020389999999998</v>
      </c>
      <c r="T3228">
        <v>-0.12162199999999999</v>
      </c>
      <c r="U3228">
        <v>-0.98620609999999997</v>
      </c>
      <c r="V3228">
        <v>-0.14246010000000001</v>
      </c>
      <c r="W3228">
        <v>-2.1563869999999999E-2</v>
      </c>
      <c r="X3228">
        <v>0.98956560000000005</v>
      </c>
      <c r="Y3228">
        <v>-0.32815870000000003</v>
      </c>
      <c r="Z3228">
        <v>-9.1990040000000002E-3</v>
      </c>
      <c r="AA3228">
        <v>0.94457780000000002</v>
      </c>
      <c r="AB3228">
        <v>20</v>
      </c>
      <c r="AC3228">
        <v>-26.561899999999898</v>
      </c>
      <c r="AD3228">
        <v>-1.1214153483789999</v>
      </c>
      <c r="AE3228">
        <v>-9.0943000000000307</v>
      </c>
      <c r="AF3228">
        <v>-9.2689340398697695</v>
      </c>
      <c r="AG3228">
        <v>-1.1214153483789999</v>
      </c>
      <c r="AH3228">
        <v>26.454083756086401</v>
      </c>
      <c r="AI3228">
        <v>92.290975567241603</v>
      </c>
      <c r="AJ3228">
        <v>109.309348005282</v>
      </c>
      <c r="AK3228">
        <v>28.053328821960999</v>
      </c>
      <c r="AL3228">
        <v>91.235614540207607</v>
      </c>
      <c r="AM3228">
        <v>98.192144897073305</v>
      </c>
      <c r="AN3228">
        <v>0.999999978642373</v>
      </c>
    </row>
    <row r="3229" spans="1:40" x14ac:dyDescent="0.25">
      <c r="A3229" t="str">
        <f>"20190303153833288"</f>
        <v>20190303153833288</v>
      </c>
      <c r="B3229" t="str">
        <f>"1551598713282069"</f>
        <v>1551598713282069</v>
      </c>
      <c r="C3229" t="s">
        <v>40</v>
      </c>
      <c r="D3229">
        <v>4.0460690000000001</v>
      </c>
      <c r="E3229">
        <v>0.34162189999999998</v>
      </c>
      <c r="F3229" t="s">
        <v>44</v>
      </c>
      <c r="G3229">
        <v>-467.57260000000002</v>
      </c>
      <c r="H3229">
        <v>1.058638</v>
      </c>
      <c r="I3229">
        <v>283.80619999999999</v>
      </c>
      <c r="J3229">
        <v>-467.01069999999999</v>
      </c>
      <c r="K3229">
        <v>1.1214489999999999</v>
      </c>
      <c r="L3229">
        <v>284.24040000000002</v>
      </c>
      <c r="M3229">
        <v>-0.99988060000000001</v>
      </c>
      <c r="N3229">
        <v>-1.371383E-2</v>
      </c>
      <c r="O3229">
        <v>7.1297449999999998E-3</v>
      </c>
      <c r="P3229">
        <v>-0.98754189999999997</v>
      </c>
      <c r="Q3229">
        <v>-3.1968990000000003E-2</v>
      </c>
      <c r="R3229">
        <v>-0.154074499999999</v>
      </c>
      <c r="S3229">
        <v>-2.804443</v>
      </c>
      <c r="T3229">
        <v>-0.2302883</v>
      </c>
      <c r="U3229">
        <v>-1.5882259999999999</v>
      </c>
      <c r="V3229">
        <v>-0.16111149999999999</v>
      </c>
      <c r="W3229">
        <v>-1.8444370000000002E-2</v>
      </c>
      <c r="X3229">
        <v>0.98676379999999997</v>
      </c>
      <c r="Y3229">
        <v>-0.49743320000000002</v>
      </c>
      <c r="Z3229">
        <v>-2.308617E-2</v>
      </c>
      <c r="AA3229">
        <v>0.867195099999999</v>
      </c>
      <c r="AB3229">
        <v>20</v>
      </c>
      <c r="AC3229">
        <v>-0.56190000000003604</v>
      </c>
      <c r="AD3229">
        <v>-6.2810999999999895E-2</v>
      </c>
      <c r="AE3229">
        <v>-0.434200000000032</v>
      </c>
      <c r="AF3229">
        <v>-0.43479381731545103</v>
      </c>
      <c r="AG3229">
        <v>-6.2810999999999895E-2</v>
      </c>
      <c r="AH3229">
        <v>0.55445178856258603</v>
      </c>
      <c r="AI3229">
        <v>95.094114258609594</v>
      </c>
      <c r="AJ3229">
        <v>128.103076826425</v>
      </c>
      <c r="AK3229">
        <v>0.70739498947687796</v>
      </c>
      <c r="AL3229">
        <v>91.056844533757399</v>
      </c>
      <c r="AM3229">
        <v>99.273009331794597</v>
      </c>
      <c r="AN3229">
        <v>0.99999995360369198</v>
      </c>
    </row>
    <row r="3230" spans="1:40" x14ac:dyDescent="0.25">
      <c r="A3230" t="str">
        <f>"20190303153833310"</f>
        <v>20190303153833310</v>
      </c>
      <c r="B3230" t="str">
        <f>"1551598713301589"</f>
        <v>1551598713301589</v>
      </c>
      <c r="C3230" t="s">
        <v>40</v>
      </c>
      <c r="D3230">
        <v>3.9986579999999998</v>
      </c>
      <c r="E3230">
        <v>0.33940789999999998</v>
      </c>
      <c r="F3230" t="s">
        <v>44</v>
      </c>
      <c r="G3230">
        <v>-467.74509999999998</v>
      </c>
      <c r="H3230">
        <v>1.0591140000000001</v>
      </c>
      <c r="I3230">
        <v>283.78590000000003</v>
      </c>
      <c r="J3230">
        <v>-467.20420000000001</v>
      </c>
      <c r="K3230">
        <v>1.1214789999999999</v>
      </c>
      <c r="L3230">
        <v>284.24169999999998</v>
      </c>
      <c r="M3230">
        <v>-0.99988160000000004</v>
      </c>
      <c r="N3230">
        <v>-1.3687929999999999E-2</v>
      </c>
      <c r="O3230">
        <v>7.0535869999999896E-3</v>
      </c>
      <c r="P3230">
        <v>-0.98554180000000002</v>
      </c>
      <c r="Q3230">
        <v>-2.9672489999999999E-2</v>
      </c>
      <c r="R3230">
        <v>-0.16681489999999999</v>
      </c>
      <c r="S3230">
        <v>-2.7633969999999999</v>
      </c>
      <c r="T3230">
        <v>-0.23455319999999999</v>
      </c>
      <c r="U3230">
        <v>-1.71050999999999</v>
      </c>
      <c r="V3230">
        <v>-0.17376129999999901</v>
      </c>
      <c r="W3230">
        <v>-1.6217269999999999E-2</v>
      </c>
      <c r="X3230">
        <v>0.98465420000000003</v>
      </c>
      <c r="Y3230">
        <v>-0.5306208</v>
      </c>
      <c r="Z3230">
        <v>-2.5060519999999999E-2</v>
      </c>
      <c r="AA3230">
        <v>0.84723869999999901</v>
      </c>
      <c r="AB3230">
        <v>20</v>
      </c>
      <c r="AC3230">
        <v>-0.54089999999996496</v>
      </c>
      <c r="AD3230">
        <v>-6.2365000000000198E-2</v>
      </c>
      <c r="AE3230">
        <v>-0.45579999999995302</v>
      </c>
      <c r="AF3230">
        <v>-0.45605902996372299</v>
      </c>
      <c r="AG3230">
        <v>-6.2365000000000198E-2</v>
      </c>
      <c r="AH3230">
        <v>0.533523756446737</v>
      </c>
      <c r="AI3230">
        <v>95.077627293747398</v>
      </c>
      <c r="AJ3230">
        <v>130.52400337317599</v>
      </c>
      <c r="AK3230">
        <v>0.704646599884999</v>
      </c>
      <c r="AL3230">
        <v>90.929221914583806</v>
      </c>
      <c r="AM3230">
        <v>100.00791175185201</v>
      </c>
      <c r="AN3230">
        <v>0.99999994140078896</v>
      </c>
    </row>
    <row r="3231" spans="1:40" x14ac:dyDescent="0.25">
      <c r="A3231" t="str">
        <f>"20190303153833332"</f>
        <v>20190303153833332</v>
      </c>
      <c r="B3231" t="str">
        <f>"1551598713322085"</f>
        <v>1551598713322085</v>
      </c>
      <c r="C3231" t="s">
        <v>40</v>
      </c>
      <c r="D3231">
        <v>3.9714689999999999</v>
      </c>
      <c r="E3231">
        <v>0.33903460000000002</v>
      </c>
      <c r="F3231" t="s">
        <v>44</v>
      </c>
      <c r="G3231">
        <v>-468.07560000000001</v>
      </c>
      <c r="H3231">
        <v>1.046238</v>
      </c>
      <c r="I3231">
        <v>283.68049999999999</v>
      </c>
      <c r="J3231">
        <v>-467.40249999999997</v>
      </c>
      <c r="K3231">
        <v>1.1215079999999999</v>
      </c>
      <c r="L3231">
        <v>284.24299999999999</v>
      </c>
      <c r="M3231">
        <v>-0.99988290000000002</v>
      </c>
      <c r="N3231">
        <v>-1.3662219999999999E-2</v>
      </c>
      <c r="O3231">
        <v>6.897299E-3</v>
      </c>
      <c r="P3231">
        <v>-0.98400810000000005</v>
      </c>
      <c r="Q3231">
        <v>-3.0115780000000002E-2</v>
      </c>
      <c r="R3231">
        <v>-0.175560299999999</v>
      </c>
      <c r="S3231">
        <v>-2.7383419999999998</v>
      </c>
      <c r="T3231">
        <v>-0.23641409999999999</v>
      </c>
      <c r="U3231">
        <v>-1.7639769999999999</v>
      </c>
      <c r="V3231">
        <v>-0.1823401</v>
      </c>
      <c r="W3231">
        <v>-1.672744E-2</v>
      </c>
      <c r="X3231">
        <v>0.9830932</v>
      </c>
      <c r="Y3231">
        <v>-0.54558009999999901</v>
      </c>
      <c r="Z3231">
        <v>-2.599516E-2</v>
      </c>
      <c r="AA3231">
        <v>0.83765540000000005</v>
      </c>
      <c r="AB3231">
        <v>20</v>
      </c>
      <c r="AC3231">
        <v>-0.67310000000003301</v>
      </c>
      <c r="AD3231">
        <v>-7.5269999999999906E-2</v>
      </c>
      <c r="AE3231">
        <v>-0.5625</v>
      </c>
      <c r="AF3231">
        <v>-0.56298439326697802</v>
      </c>
      <c r="AG3231">
        <v>-7.5269999999999906E-2</v>
      </c>
      <c r="AH3231">
        <v>0.66431258895840495</v>
      </c>
      <c r="AI3231">
        <v>94.940336754657196</v>
      </c>
      <c r="AJ3231">
        <v>130.28024571897399</v>
      </c>
      <c r="AK3231">
        <v>0.87402987123484899</v>
      </c>
      <c r="AL3231">
        <v>90.9584564343306</v>
      </c>
      <c r="AM3231">
        <v>100.507580849053</v>
      </c>
      <c r="AN3231">
        <v>0.99999997960160103</v>
      </c>
    </row>
    <row r="3232" spans="1:40" x14ac:dyDescent="0.25">
      <c r="A3232" t="str">
        <f>"20190303153833355"</f>
        <v>20190303153833355</v>
      </c>
      <c r="B3232" t="str">
        <f>"1551598713352341"</f>
        <v>1551598713352341</v>
      </c>
      <c r="C3232" t="s">
        <v>40</v>
      </c>
      <c r="D3232">
        <v>3.964915</v>
      </c>
      <c r="E3232">
        <v>0.33914729999999998</v>
      </c>
      <c r="F3232" t="s">
        <v>44</v>
      </c>
      <c r="G3232">
        <v>-468.25209999999998</v>
      </c>
      <c r="H3232">
        <v>1.044932</v>
      </c>
      <c r="I3232">
        <v>283.68380000000002</v>
      </c>
      <c r="J3232">
        <v>-467.5967</v>
      </c>
      <c r="K3232">
        <v>1.121548</v>
      </c>
      <c r="L3232">
        <v>284.2441</v>
      </c>
      <c r="M3232">
        <v>-0.99988469999999996</v>
      </c>
      <c r="N3232">
        <v>-1.3639149999999999E-2</v>
      </c>
      <c r="O3232">
        <v>6.6834989999999999E-3</v>
      </c>
      <c r="P3232">
        <v>-0.98224180000000005</v>
      </c>
      <c r="Q3232">
        <v>-3.1881010000000001E-2</v>
      </c>
      <c r="R3232">
        <v>-0.1848918</v>
      </c>
      <c r="S3232">
        <v>-2.7217099999999999</v>
      </c>
      <c r="T3232">
        <v>-0.2453004</v>
      </c>
      <c r="U3232">
        <v>-1.7909550000000001</v>
      </c>
      <c r="V3232">
        <v>-0.1914469</v>
      </c>
      <c r="W3232">
        <v>-1.856271E-2</v>
      </c>
      <c r="X3232">
        <v>0.98132739999999996</v>
      </c>
      <c r="Y3232">
        <v>-0.55336790000000002</v>
      </c>
      <c r="Z3232">
        <v>-2.72488E-2</v>
      </c>
      <c r="AA3232">
        <v>0.83249119999999999</v>
      </c>
      <c r="AB3232">
        <v>20</v>
      </c>
      <c r="AC3232">
        <v>-0.65539999999998599</v>
      </c>
      <c r="AD3232">
        <v>-7.6616000000000004E-2</v>
      </c>
      <c r="AE3232">
        <v>-0.56029999999998303</v>
      </c>
      <c r="AF3232">
        <v>-0.56024497464133405</v>
      </c>
      <c r="AG3232">
        <v>-7.6616000000000004E-2</v>
      </c>
      <c r="AH3232">
        <v>0.64653567728559103</v>
      </c>
      <c r="AI3232">
        <v>95.117575663656297</v>
      </c>
      <c r="AJ3232">
        <v>130.910033422694</v>
      </c>
      <c r="AK3232">
        <v>0.85892538969924903</v>
      </c>
      <c r="AL3232">
        <v>91.063626051859998</v>
      </c>
      <c r="AM3232">
        <v>101.039161879278</v>
      </c>
      <c r="AN3232">
        <v>0.999999977856456</v>
      </c>
    </row>
    <row r="3233" spans="1:40" x14ac:dyDescent="0.25">
      <c r="A3233" t="str">
        <f>"20190303153833377"</f>
        <v>20190303153833377</v>
      </c>
      <c r="B3233" t="str">
        <f>"1551598713371860"</f>
        <v>1551598713371860</v>
      </c>
      <c r="C3233" t="s">
        <v>40</v>
      </c>
      <c r="D3233">
        <v>3.9504899999999998</v>
      </c>
      <c r="E3233">
        <v>0.33945160000000002</v>
      </c>
      <c r="F3233" t="s">
        <v>44</v>
      </c>
      <c r="G3233">
        <v>-468.42809999999997</v>
      </c>
      <c r="H3233">
        <v>1.044311</v>
      </c>
      <c r="I3233">
        <v>283.6859</v>
      </c>
      <c r="J3233">
        <v>-467.79669999999999</v>
      </c>
      <c r="K3233">
        <v>1.121583</v>
      </c>
      <c r="L3233">
        <v>284.24509999999998</v>
      </c>
      <c r="M3233">
        <v>-0.99988690000000002</v>
      </c>
      <c r="N3233">
        <v>-1.3617809999999999E-2</v>
      </c>
      <c r="O3233">
        <v>6.3948190000000004E-3</v>
      </c>
      <c r="P3233">
        <v>-0.98036619999999997</v>
      </c>
      <c r="Q3233">
        <v>-3.2991739999999999E-2</v>
      </c>
      <c r="R3233">
        <v>-0.194407</v>
      </c>
      <c r="S3233">
        <v>-2.7043460000000001</v>
      </c>
      <c r="T3233">
        <v>-0.25122499999999998</v>
      </c>
      <c r="U3233">
        <v>-1.815674</v>
      </c>
      <c r="V3233">
        <v>-0.2006637</v>
      </c>
      <c r="W3233">
        <v>-1.974687E-2</v>
      </c>
      <c r="X3233">
        <v>0.97946109999999997</v>
      </c>
      <c r="Y3233">
        <v>-0.56070319999999996</v>
      </c>
      <c r="Z3233">
        <v>-2.822817E-2</v>
      </c>
      <c r="AA3233">
        <v>0.82753559999999904</v>
      </c>
      <c r="AB3233">
        <v>20</v>
      </c>
      <c r="AC3233">
        <v>-0.63139999999998497</v>
      </c>
      <c r="AD3233">
        <v>-7.7271999999999993E-2</v>
      </c>
      <c r="AE3233">
        <v>-0.55919999999997505</v>
      </c>
      <c r="AF3233">
        <v>-0.55853847682374502</v>
      </c>
      <c r="AG3233">
        <v>-7.7271999999999993E-2</v>
      </c>
      <c r="AH3233">
        <v>0.62258504188777197</v>
      </c>
      <c r="AI3233">
        <v>95.278321932494805</v>
      </c>
      <c r="AJ3233">
        <v>131.89616920363801</v>
      </c>
      <c r="AK3233">
        <v>0.83996924137672402</v>
      </c>
      <c r="AL3233">
        <v>91.131485906080798</v>
      </c>
      <c r="AM3233">
        <v>101.578062448507</v>
      </c>
      <c r="AN3233">
        <v>0.99999995289284704</v>
      </c>
    </row>
    <row r="3234" spans="1:40" x14ac:dyDescent="0.25">
      <c r="A3234" t="str">
        <f>"20190303153833400"</f>
        <v>20190303153833400</v>
      </c>
      <c r="B3234" t="str">
        <f>"1551598713391381"</f>
        <v>1551598713391381</v>
      </c>
      <c r="C3234" t="s">
        <v>40</v>
      </c>
      <c r="D3234">
        <v>4.0050410000000003</v>
      </c>
      <c r="E3234">
        <v>0.3403157</v>
      </c>
      <c r="F3234" t="s">
        <v>44</v>
      </c>
      <c r="G3234">
        <v>-468.60469999999998</v>
      </c>
      <c r="H3234">
        <v>1.0458430000000001</v>
      </c>
      <c r="I3234">
        <v>283.69220000000001</v>
      </c>
      <c r="J3234">
        <v>-467.99259999999998</v>
      </c>
      <c r="K3234">
        <v>1.1216269999999999</v>
      </c>
      <c r="L3234">
        <v>284.24590000000001</v>
      </c>
      <c r="M3234">
        <v>-0.99988940000000004</v>
      </c>
      <c r="N3234">
        <v>-1.3598910000000001E-2</v>
      </c>
      <c r="O3234">
        <v>6.0311139999999997E-3</v>
      </c>
      <c r="P3234">
        <v>-0.97910439999999999</v>
      </c>
      <c r="Q3234">
        <v>-3.469498E-2</v>
      </c>
      <c r="R3234">
        <v>-0.200377</v>
      </c>
      <c r="S3234">
        <v>-2.6868590000000001</v>
      </c>
      <c r="T3234">
        <v>-0.25180550000000002</v>
      </c>
      <c r="U3234">
        <v>-1.8394470000000001</v>
      </c>
      <c r="V3234">
        <v>-0.20626630000000001</v>
      </c>
      <c r="W3234">
        <v>-2.151293E-2</v>
      </c>
      <c r="X3234">
        <v>0.9782594</v>
      </c>
      <c r="Y3234">
        <v>-0.56783149999999905</v>
      </c>
      <c r="Z3234">
        <v>-2.8693989999999999E-2</v>
      </c>
      <c r="AA3234">
        <v>0.82264459999999995</v>
      </c>
      <c r="AB3234">
        <v>20</v>
      </c>
      <c r="AC3234">
        <v>-0.61209999999999798</v>
      </c>
      <c r="AD3234">
        <v>-7.5784000000000004E-2</v>
      </c>
      <c r="AE3234">
        <v>-0.55369999999999198</v>
      </c>
      <c r="AF3234">
        <v>-0.55272224119568403</v>
      </c>
      <c r="AG3234">
        <v>-7.5784000000000004E-2</v>
      </c>
      <c r="AH3234">
        <v>0.60366003012855496</v>
      </c>
      <c r="AI3234">
        <v>95.290007591348399</v>
      </c>
      <c r="AJ3234">
        <v>132.477793501257</v>
      </c>
      <c r="AK3234">
        <v>0.82197963633120996</v>
      </c>
      <c r="AL3234">
        <v>91.232695161006305</v>
      </c>
      <c r="AM3234">
        <v>101.906432664238</v>
      </c>
      <c r="AN3234">
        <v>1.0000000231806101</v>
      </c>
    </row>
    <row r="3235" spans="1:40" x14ac:dyDescent="0.25">
      <c r="A3235" t="str">
        <f>"20190303153833422"</f>
        <v>20190303153833422</v>
      </c>
      <c r="B3235" t="str">
        <f>"1551598713411876"</f>
        <v>1551598713411876</v>
      </c>
      <c r="C3235" t="s">
        <v>40</v>
      </c>
      <c r="D3235">
        <v>3.9544049999999999</v>
      </c>
      <c r="E3235">
        <v>0.34106110000000001</v>
      </c>
      <c r="F3235" t="s">
        <v>44</v>
      </c>
      <c r="G3235">
        <v>-468.78160000000003</v>
      </c>
      <c r="H3235">
        <v>1.045674</v>
      </c>
      <c r="I3235">
        <v>283.70100000000002</v>
      </c>
      <c r="J3235">
        <v>-468.18729999999999</v>
      </c>
      <c r="K3235">
        <v>1.121669</v>
      </c>
      <c r="L3235">
        <v>284.2466</v>
      </c>
      <c r="M3235">
        <v>-0.99989220000000001</v>
      </c>
      <c r="N3235">
        <v>-1.3581879999999999E-2</v>
      </c>
      <c r="O3235">
        <v>5.5804039999999997E-3</v>
      </c>
      <c r="P3235">
        <v>-0.9785604</v>
      </c>
      <c r="Q3235">
        <v>-3.5253420000000001E-2</v>
      </c>
      <c r="R3235">
        <v>-0.2029213</v>
      </c>
      <c r="S3235">
        <v>-2.6765439999999998</v>
      </c>
      <c r="T3235">
        <v>-0.25767509999999999</v>
      </c>
      <c r="U3235">
        <v>-1.8487549999999999</v>
      </c>
      <c r="V3235">
        <v>-0.20836399999999999</v>
      </c>
      <c r="W3235">
        <v>-2.2121789999999999E-2</v>
      </c>
      <c r="X3235">
        <v>0.97780109999999998</v>
      </c>
      <c r="Y3235">
        <v>-0.57076729999999998</v>
      </c>
      <c r="Z3235">
        <v>-2.9437350000000001E-2</v>
      </c>
      <c r="AA3235">
        <v>0.82058410000000004</v>
      </c>
      <c r="AB3235">
        <v>20</v>
      </c>
      <c r="AC3235">
        <v>-0.59430000000003202</v>
      </c>
      <c r="AD3235">
        <v>-7.5994999999999993E-2</v>
      </c>
      <c r="AE3235">
        <v>-0.54560000000003495</v>
      </c>
      <c r="AF3235">
        <v>-0.54408057099025398</v>
      </c>
      <c r="AG3235">
        <v>-7.5994999999999993E-2</v>
      </c>
      <c r="AH3235">
        <v>0.58604576268391395</v>
      </c>
      <c r="AI3235">
        <v>95.428678523694202</v>
      </c>
      <c r="AJ3235">
        <v>132.87340222230901</v>
      </c>
      <c r="AK3235">
        <v>0.80327364186424699</v>
      </c>
      <c r="AL3235">
        <v>91.267588653931199</v>
      </c>
      <c r="AM3235">
        <v>102.029483988001</v>
      </c>
      <c r="AN3235">
        <v>0.99999996062500596</v>
      </c>
    </row>
    <row r="3236" spans="1:40" x14ac:dyDescent="0.25">
      <c r="A3236" t="str">
        <f>"20190303153833444"</f>
        <v>20190303153833444</v>
      </c>
      <c r="B3236" t="str">
        <f>"1551598713432373"</f>
        <v>1551598713432373</v>
      </c>
      <c r="C3236" t="s">
        <v>40</v>
      </c>
      <c r="D3236">
        <v>3.9535019999999998</v>
      </c>
      <c r="E3236">
        <v>0.3567032</v>
      </c>
      <c r="F3236" t="s">
        <v>44</v>
      </c>
      <c r="G3236">
        <v>-468.9588</v>
      </c>
      <c r="H3236">
        <v>1.046699</v>
      </c>
      <c r="I3236">
        <v>283.71289999999999</v>
      </c>
      <c r="J3236">
        <v>-468.38130000000001</v>
      </c>
      <c r="K3236">
        <v>1.121721</v>
      </c>
      <c r="L3236">
        <v>284.24709999999999</v>
      </c>
      <c r="M3236">
        <v>-0.99989519999999998</v>
      </c>
      <c r="N3236">
        <v>-1.356686E-2</v>
      </c>
      <c r="O3236">
        <v>5.0426020000000002E-3</v>
      </c>
      <c r="P3236">
        <v>-0.97852740000000005</v>
      </c>
      <c r="Q3236">
        <v>-3.5258860000000003E-2</v>
      </c>
      <c r="R3236">
        <v>-0.20307929999999999</v>
      </c>
      <c r="S3236">
        <v>-2.6727910000000001</v>
      </c>
      <c r="T3236">
        <v>-0.25967289999999998</v>
      </c>
      <c r="U3236">
        <v>-1.8498540000000001</v>
      </c>
      <c r="V3236">
        <v>-0.20799309999999999</v>
      </c>
      <c r="W3236">
        <v>-2.216661E-2</v>
      </c>
      <c r="X3236">
        <v>0.9778791</v>
      </c>
      <c r="Y3236">
        <v>-0.57105890000000004</v>
      </c>
      <c r="Z3236">
        <v>-2.9630159999999999E-2</v>
      </c>
      <c r="AA3236">
        <v>0.82037420000000005</v>
      </c>
      <c r="AB3236">
        <v>20</v>
      </c>
      <c r="AC3236">
        <v>-0.57749999999998602</v>
      </c>
      <c r="AD3236">
        <v>-7.5021999999999894E-2</v>
      </c>
      <c r="AE3236">
        <v>-0.53419999999999801</v>
      </c>
      <c r="AF3236">
        <v>-0.53226495119198003</v>
      </c>
      <c r="AG3236">
        <v>-7.5021999999999894E-2</v>
      </c>
      <c r="AH3236">
        <v>0.56961831748057001</v>
      </c>
      <c r="AI3236">
        <v>95.496750531406207</v>
      </c>
      <c r="AJ3236">
        <v>133.05844135869901</v>
      </c>
      <c r="AK3236">
        <v>0.78319812714331505</v>
      </c>
      <c r="AL3236">
        <v>91.270157216441802</v>
      </c>
      <c r="AM3236">
        <v>102.007762886414</v>
      </c>
      <c r="AN3236">
        <v>1.0000000112316501</v>
      </c>
    </row>
    <row r="3237" spans="1:40" x14ac:dyDescent="0.25">
      <c r="A3237" t="str">
        <f>"20190303153833467"</f>
        <v>20190303153833467</v>
      </c>
      <c r="B3237" t="str">
        <f>"1551598713461652"</f>
        <v>1551598713461652</v>
      </c>
      <c r="C3237" t="s">
        <v>40</v>
      </c>
      <c r="D3237">
        <v>4.1546370000000001</v>
      </c>
      <c r="E3237">
        <v>0.36155749999999998</v>
      </c>
      <c r="F3237" t="s">
        <v>44</v>
      </c>
      <c r="G3237">
        <v>-469.14299999999997</v>
      </c>
      <c r="H3237">
        <v>1.0450969999999999</v>
      </c>
      <c r="I3237">
        <v>283.7593</v>
      </c>
      <c r="J3237">
        <v>-468.57909999999998</v>
      </c>
      <c r="K3237">
        <v>1.121769</v>
      </c>
      <c r="L3237">
        <v>284.2473</v>
      </c>
      <c r="M3237">
        <v>-0.99989850000000002</v>
      </c>
      <c r="N3237">
        <v>-1.355343E-2</v>
      </c>
      <c r="O3237">
        <v>4.4120289999999996E-3</v>
      </c>
      <c r="P3237">
        <v>-0.97828959999999998</v>
      </c>
      <c r="Q3237">
        <v>-3.5229129999999997E-2</v>
      </c>
      <c r="R3237">
        <v>-0.2042262</v>
      </c>
      <c r="S3237">
        <v>-2.69754</v>
      </c>
      <c r="T3237">
        <v>-0.27133930000000001</v>
      </c>
      <c r="U3237">
        <v>-1.7276309999999999</v>
      </c>
      <c r="V3237">
        <v>-0.20851990000000001</v>
      </c>
      <c r="W3237">
        <v>-2.217672E-2</v>
      </c>
      <c r="X3237">
        <v>0.97776660000000004</v>
      </c>
      <c r="Y3237">
        <v>-0.54073939999999998</v>
      </c>
      <c r="Z3237">
        <v>-2.9153479999999999E-2</v>
      </c>
      <c r="AA3237">
        <v>0.84068480000000001</v>
      </c>
      <c r="AB3237">
        <v>20</v>
      </c>
      <c r="AC3237">
        <v>-0.56390000000004603</v>
      </c>
      <c r="AD3237">
        <v>-7.6672000000000004E-2</v>
      </c>
      <c r="AE3237">
        <v>-0.48799999999999899</v>
      </c>
      <c r="AF3237">
        <v>-0.48535295133463202</v>
      </c>
      <c r="AG3237">
        <v>-7.6672000000000004E-2</v>
      </c>
      <c r="AH3237">
        <v>0.555865414528258</v>
      </c>
      <c r="AI3237">
        <v>95.931759019704103</v>
      </c>
      <c r="AJ3237">
        <v>131.12578158406899</v>
      </c>
      <c r="AK3237">
        <v>0.74191134377492196</v>
      </c>
      <c r="AL3237">
        <v>91.270736709929693</v>
      </c>
      <c r="AM3237">
        <v>102.038634474429</v>
      </c>
      <c r="AN3237">
        <v>0.99999993984076196</v>
      </c>
    </row>
    <row r="3238" spans="1:40" x14ac:dyDescent="0.25">
      <c r="A3238" t="str">
        <f>"20190303153833488"</f>
        <v>20190303153833488</v>
      </c>
      <c r="B3238" t="str">
        <f>"1551598713482152"</f>
        <v>1551598713482152</v>
      </c>
      <c r="C3238" t="s">
        <v>40</v>
      </c>
      <c r="D3238">
        <v>4.1378849999999998</v>
      </c>
      <c r="E3238">
        <v>0.36291909999999999</v>
      </c>
      <c r="F3238" t="s">
        <v>44</v>
      </c>
      <c r="G3238">
        <v>-469.32209999999998</v>
      </c>
      <c r="H3238">
        <v>1.048675</v>
      </c>
      <c r="I3238">
        <v>283.78219999999999</v>
      </c>
      <c r="J3238">
        <v>-468.76940000000002</v>
      </c>
      <c r="K3238">
        <v>1.1218049999999999</v>
      </c>
      <c r="L3238">
        <v>284.24740000000003</v>
      </c>
      <c r="M3238">
        <v>-0.99990140000000005</v>
      </c>
      <c r="N3238">
        <v>-1.354208E-2</v>
      </c>
      <c r="O3238">
        <v>3.7336130000000002E-3</v>
      </c>
      <c r="P3238">
        <v>-0.97819350000000005</v>
      </c>
      <c r="Q3238">
        <v>-3.5173999999999997E-2</v>
      </c>
      <c r="R3238">
        <v>-0.20469570000000001</v>
      </c>
      <c r="S3238">
        <v>-2.7036129999999998</v>
      </c>
      <c r="T3238">
        <v>-0.26596189999999997</v>
      </c>
      <c r="U3238">
        <v>-1.692963</v>
      </c>
      <c r="V3238">
        <v>-0.2083238</v>
      </c>
      <c r="W3238">
        <v>-2.2152160000000001E-2</v>
      </c>
      <c r="X3238">
        <v>0.97780900000000004</v>
      </c>
      <c r="Y3238">
        <v>-0.53169690000000003</v>
      </c>
      <c r="Z3238">
        <v>-2.8144189999999999E-2</v>
      </c>
      <c r="AA3238">
        <v>0.84646699999999997</v>
      </c>
      <c r="AB3238">
        <v>20</v>
      </c>
      <c r="AC3238">
        <v>-0.552699999999958</v>
      </c>
      <c r="AD3238">
        <v>-7.3129999999999903E-2</v>
      </c>
      <c r="AE3238">
        <v>-0.46520000000003803</v>
      </c>
      <c r="AF3238">
        <v>-0.46252087892674598</v>
      </c>
      <c r="AG3238">
        <v>-7.3129999999999903E-2</v>
      </c>
      <c r="AH3238">
        <v>0.54537048322117199</v>
      </c>
      <c r="AI3238">
        <v>95.839154268553798</v>
      </c>
      <c r="AJ3238">
        <v>130.30079896146299</v>
      </c>
      <c r="AK3238">
        <v>0.71882023087282698</v>
      </c>
      <c r="AL3238">
        <v>91.269329125998496</v>
      </c>
      <c r="AM3238">
        <v>102.02713636441401</v>
      </c>
      <c r="AN3238">
        <v>0.99999998216005204</v>
      </c>
    </row>
    <row r="3239" spans="1:40" x14ac:dyDescent="0.25">
      <c r="A3239" t="str">
        <f>"20190303153833511"</f>
        <v>20190303153833511</v>
      </c>
      <c r="B3239" t="str">
        <f>"1551598713501668"</f>
        <v>1551598713501668</v>
      </c>
      <c r="C3239" t="s">
        <v>40</v>
      </c>
      <c r="D3239">
        <v>4.0687419999999896</v>
      </c>
      <c r="E3239">
        <v>0.36283530000000003</v>
      </c>
      <c r="F3239" t="s">
        <v>44</v>
      </c>
      <c r="G3239">
        <v>-469.49860000000001</v>
      </c>
      <c r="H3239">
        <v>1.050697</v>
      </c>
      <c r="I3239">
        <v>283.79360000000003</v>
      </c>
      <c r="J3239">
        <v>-468.96469999999999</v>
      </c>
      <c r="K3239">
        <v>1.121839</v>
      </c>
      <c r="L3239">
        <v>284.24720000000002</v>
      </c>
      <c r="M3239">
        <v>-0.99990420000000002</v>
      </c>
      <c r="N3239">
        <v>-1.3531720000000001E-2</v>
      </c>
      <c r="O3239">
        <v>2.9692130000000001E-3</v>
      </c>
      <c r="P3239">
        <v>-0.97805949999999997</v>
      </c>
      <c r="Q3239">
        <v>-3.5479660000000003E-2</v>
      </c>
      <c r="R3239">
        <v>-0.20528299999999999</v>
      </c>
      <c r="S3239">
        <v>-2.7051090000000002</v>
      </c>
      <c r="T3239">
        <v>-0.2638028</v>
      </c>
      <c r="U3239">
        <v>-1.6835629999999999</v>
      </c>
      <c r="V3239">
        <v>-0.2081614</v>
      </c>
      <c r="W3239">
        <v>-2.2483329999999999E-2</v>
      </c>
      <c r="X3239">
        <v>0.97783609999999999</v>
      </c>
      <c r="Y3239">
        <v>-0.52876509999999999</v>
      </c>
      <c r="Z3239">
        <v>-2.773917E-2</v>
      </c>
      <c r="AA3239">
        <v>0.84831480000000004</v>
      </c>
      <c r="AB3239">
        <v>20</v>
      </c>
      <c r="AC3239">
        <v>-0.53390000000001603</v>
      </c>
      <c r="AD3239">
        <v>-7.1141999999999997E-2</v>
      </c>
      <c r="AE3239">
        <v>-0.45359999999999401</v>
      </c>
      <c r="AF3239">
        <v>-0.45053743623464698</v>
      </c>
      <c r="AG3239">
        <v>-7.1141999999999997E-2</v>
      </c>
      <c r="AH3239">
        <v>0.52711504306337498</v>
      </c>
      <c r="AI3239">
        <v>95.857794601720201</v>
      </c>
      <c r="AJ3239">
        <v>130.52127810761499</v>
      </c>
      <c r="AK3239">
        <v>0.69706200171619803</v>
      </c>
      <c r="AL3239">
        <v>91.288308405003306</v>
      </c>
      <c r="AM3239">
        <v>102.01770985064699</v>
      </c>
      <c r="AN3239">
        <v>1.00000005352052</v>
      </c>
    </row>
    <row r="3240" spans="1:40" x14ac:dyDescent="0.25">
      <c r="A3240" t="str">
        <f>"20190303153833533"</f>
        <v>20190303153833533</v>
      </c>
      <c r="B3240" t="str">
        <f>"1551598713522165"</f>
        <v>1551598713522165</v>
      </c>
      <c r="C3240" t="s">
        <v>40</v>
      </c>
      <c r="D3240">
        <v>4.111307</v>
      </c>
      <c r="E3240">
        <v>0.36212919999999998</v>
      </c>
      <c r="F3240" t="s">
        <v>44</v>
      </c>
      <c r="G3240">
        <v>-469.82799999999997</v>
      </c>
      <c r="H3240">
        <v>1.038581</v>
      </c>
      <c r="I3240">
        <v>283.70859999999999</v>
      </c>
      <c r="J3240">
        <v>-469.15710000000001</v>
      </c>
      <c r="K3240">
        <v>1.1218680000000001</v>
      </c>
      <c r="L3240">
        <v>284.24689999999998</v>
      </c>
      <c r="M3240">
        <v>-0.99990619999999997</v>
      </c>
      <c r="N3240">
        <v>-1.352248E-2</v>
      </c>
      <c r="O3240">
        <v>2.1648169999999999E-3</v>
      </c>
      <c r="P3240">
        <v>-0.97779669999999996</v>
      </c>
      <c r="Q3240">
        <v>-3.4994730000000002E-2</v>
      </c>
      <c r="R3240">
        <v>-0.20661399999999999</v>
      </c>
      <c r="S3240">
        <v>-2.7038880000000001</v>
      </c>
      <c r="T3240">
        <v>-0.26074029999999998</v>
      </c>
      <c r="U3240">
        <v>-1.6862790000000001</v>
      </c>
      <c r="V3240">
        <v>-0.20870440000000001</v>
      </c>
      <c r="W3240">
        <v>-2.2020069999999999E-2</v>
      </c>
      <c r="X3240">
        <v>0.97773089999999996</v>
      </c>
      <c r="Y3240">
        <v>-0.52891599999999905</v>
      </c>
      <c r="Z3240">
        <v>-2.7410919999999998E-2</v>
      </c>
      <c r="AA3240">
        <v>0.84823139999999997</v>
      </c>
      <c r="AB3240">
        <v>19</v>
      </c>
      <c r="AC3240">
        <v>-0.67090000000001704</v>
      </c>
      <c r="AD3240">
        <v>-8.3287000000000097E-2</v>
      </c>
      <c r="AE3240">
        <v>-0.53829999999999201</v>
      </c>
      <c r="AF3240">
        <v>-0.53473778505567504</v>
      </c>
      <c r="AG3240">
        <v>-8.3287000000000097E-2</v>
      </c>
      <c r="AH3240">
        <v>0.66351220685263901</v>
      </c>
      <c r="AI3240">
        <v>95.582088391923506</v>
      </c>
      <c r="AJ3240">
        <v>128.866037035679</v>
      </c>
      <c r="AK3240">
        <v>0.85622991759089395</v>
      </c>
      <c r="AL3240">
        <v>91.261758979749402</v>
      </c>
      <c r="AM3240">
        <v>102.04940229232901</v>
      </c>
      <c r="AN3240">
        <v>1.0000000614384801</v>
      </c>
    </row>
    <row r="3241" spans="1:40" x14ac:dyDescent="0.25">
      <c r="A3241" t="str">
        <f>"20190303153833556"</f>
        <v>20190303153833556</v>
      </c>
      <c r="B3241" t="str">
        <f>"1551598713551448"</f>
        <v>1551598713551448</v>
      </c>
      <c r="C3241" t="s">
        <v>40</v>
      </c>
      <c r="D3241">
        <v>4.1208080000000002</v>
      </c>
      <c r="E3241">
        <v>0.36311359999999998</v>
      </c>
      <c r="F3241" t="s">
        <v>44</v>
      </c>
      <c r="G3241">
        <v>-470.00299999999999</v>
      </c>
      <c r="H3241">
        <v>1.0439080000000001</v>
      </c>
      <c r="I3241">
        <v>283.71609999999998</v>
      </c>
      <c r="J3241">
        <v>-469.35449999999997</v>
      </c>
      <c r="K3241">
        <v>1.121888</v>
      </c>
      <c r="L3241">
        <v>284.24630000000002</v>
      </c>
      <c r="M3241">
        <v>-0.99990789999999996</v>
      </c>
      <c r="N3241">
        <v>-1.351398E-2</v>
      </c>
      <c r="O3241">
        <v>1.3082790000000001E-3</v>
      </c>
      <c r="P3241">
        <v>-0.97705540000000002</v>
      </c>
      <c r="Q3241">
        <v>-3.3915979999999998E-2</v>
      </c>
      <c r="R3241">
        <v>-0.2102687</v>
      </c>
      <c r="S3241">
        <v>-2.7008969999999999</v>
      </c>
      <c r="T3241">
        <v>-0.24887129999999999</v>
      </c>
      <c r="U3241">
        <v>-1.6959229999999901</v>
      </c>
      <c r="V3241">
        <v>-0.2115214</v>
      </c>
      <c r="W3241">
        <v>-2.0965890000000001E-2</v>
      </c>
      <c r="X3241">
        <v>0.97714849999999998</v>
      </c>
      <c r="Y3241">
        <v>-0.53095300000000001</v>
      </c>
      <c r="Z3241">
        <v>-2.6383190000000001E-2</v>
      </c>
      <c r="AA3241">
        <v>0.84699049999999998</v>
      </c>
      <c r="AB3241">
        <v>19</v>
      </c>
      <c r="AC3241">
        <v>-0.64850000000006902</v>
      </c>
      <c r="AD3241">
        <v>-7.7979999999999897E-2</v>
      </c>
      <c r="AE3241">
        <v>-0.53020000000003598</v>
      </c>
      <c r="AF3241">
        <v>-0.52648532734429998</v>
      </c>
      <c r="AG3241">
        <v>-7.7979999999999897E-2</v>
      </c>
      <c r="AH3241">
        <v>0.64223984574673398</v>
      </c>
      <c r="AI3241">
        <v>95.364350447085997</v>
      </c>
      <c r="AJ3241">
        <v>129.343678289916</v>
      </c>
      <c r="AK3241">
        <v>0.83411012448814204</v>
      </c>
      <c r="AL3241">
        <v>91.201344996547604</v>
      </c>
      <c r="AM3241">
        <v>102.214250900732</v>
      </c>
      <c r="AN3241">
        <v>1.00000003112685</v>
      </c>
    </row>
    <row r="3242" spans="1:40" x14ac:dyDescent="0.25">
      <c r="A3242" t="str">
        <f>"20190303153833578"</f>
        <v>20190303153833578</v>
      </c>
      <c r="B3242" t="str">
        <f>"1551598713571940"</f>
        <v>1551598713571940</v>
      </c>
      <c r="C3242" t="s">
        <v>40</v>
      </c>
      <c r="D3242">
        <v>4.1484829999999997</v>
      </c>
      <c r="E3242">
        <v>0.3636662</v>
      </c>
      <c r="F3242" t="s">
        <v>44</v>
      </c>
      <c r="G3242">
        <v>-470.17849999999999</v>
      </c>
      <c r="H3242">
        <v>1.0470200000000001</v>
      </c>
      <c r="I3242">
        <v>283.72719999999998</v>
      </c>
      <c r="J3242">
        <v>-469.55130000000003</v>
      </c>
      <c r="K3242">
        <v>1.1218950000000001</v>
      </c>
      <c r="L3242">
        <v>284.24549999999999</v>
      </c>
      <c r="M3242">
        <v>-0.99990880000000004</v>
      </c>
      <c r="N3242">
        <v>-1.350634E-2</v>
      </c>
      <c r="O3242">
        <v>4.4107709999999999E-4</v>
      </c>
      <c r="P3242">
        <v>-0.97624299999999997</v>
      </c>
      <c r="Q3242">
        <v>-3.3471210000000001E-2</v>
      </c>
      <c r="R3242">
        <v>-0.2140785</v>
      </c>
      <c r="S3242">
        <v>-2.696259</v>
      </c>
      <c r="T3242">
        <v>-0.24494589999999999</v>
      </c>
      <c r="U3242">
        <v>-1.6991270000000001</v>
      </c>
      <c r="V3242">
        <v>-0.21448429999999999</v>
      </c>
      <c r="W3242">
        <v>-2.0540409999999999E-2</v>
      </c>
      <c r="X3242">
        <v>0.97651140000000003</v>
      </c>
      <c r="Y3242">
        <v>-0.53164709999999904</v>
      </c>
      <c r="Z3242">
        <v>-2.6027089999999999E-2</v>
      </c>
      <c r="AA3242">
        <v>0.84656600000000004</v>
      </c>
      <c r="AB3242">
        <v>19</v>
      </c>
      <c r="AC3242">
        <v>-0.62719999999995901</v>
      </c>
      <c r="AD3242">
        <v>-7.4874999999999997E-2</v>
      </c>
      <c r="AE3242">
        <v>-0.51830000000000997</v>
      </c>
      <c r="AF3242">
        <v>-0.51422193463302601</v>
      </c>
      <c r="AG3242">
        <v>-7.4874999999999997E-2</v>
      </c>
      <c r="AH3242">
        <v>0.62170639304256203</v>
      </c>
      <c r="AI3242">
        <v>95.3020743360333</v>
      </c>
      <c r="AJ3242">
        <v>129.59461995133199</v>
      </c>
      <c r="AK3242">
        <v>0.81027729996139297</v>
      </c>
      <c r="AL3242">
        <v>91.176961610690796</v>
      </c>
      <c r="AM3242">
        <v>102.387929528618</v>
      </c>
      <c r="AN3242">
        <v>0.99999996885970799</v>
      </c>
    </row>
    <row r="3243" spans="1:40" x14ac:dyDescent="0.25">
      <c r="A3243" t="str">
        <f>"20190303153833600"</f>
        <v>20190303153833600</v>
      </c>
      <c r="B3243" t="str">
        <f>"1551598713591462"</f>
        <v>1551598713591462</v>
      </c>
      <c r="C3243" t="s">
        <v>40</v>
      </c>
      <c r="D3243">
        <v>4.1968519999999998</v>
      </c>
      <c r="E3243">
        <v>0.3638903</v>
      </c>
      <c r="F3243" t="s">
        <v>44</v>
      </c>
      <c r="G3243">
        <v>-470.3537</v>
      </c>
      <c r="H3243">
        <v>1.0490029999999999</v>
      </c>
      <c r="I3243">
        <v>283.7373</v>
      </c>
      <c r="J3243">
        <v>-469.73739999999998</v>
      </c>
      <c r="K3243">
        <v>1.121883</v>
      </c>
      <c r="L3243">
        <v>284.24459999999999</v>
      </c>
      <c r="M3243">
        <v>-0.99990889999999999</v>
      </c>
      <c r="N3243">
        <v>-1.349971E-2</v>
      </c>
      <c r="O3243">
        <v>-3.791442E-4</v>
      </c>
      <c r="P3243">
        <v>-0.97586379999999995</v>
      </c>
      <c r="Q3243">
        <v>-3.4766829999999999E-2</v>
      </c>
      <c r="R3243">
        <v>-0.21559590000000001</v>
      </c>
      <c r="S3243">
        <v>-2.6906430000000001</v>
      </c>
      <c r="T3243">
        <v>-0.2444152</v>
      </c>
      <c r="U3243">
        <v>-1.7053529999999999</v>
      </c>
      <c r="V3243">
        <v>-0.21520049999999999</v>
      </c>
      <c r="W3243">
        <v>-2.1841570000000001E-2</v>
      </c>
      <c r="X3243">
        <v>0.97632560000000002</v>
      </c>
      <c r="Y3243">
        <v>-0.53314819999999996</v>
      </c>
      <c r="Z3243">
        <v>-2.602202E-2</v>
      </c>
      <c r="AA3243">
        <v>0.84562150000000003</v>
      </c>
      <c r="AB3243">
        <v>19</v>
      </c>
      <c r="AC3243">
        <v>-0.61630000000002305</v>
      </c>
      <c r="AD3243">
        <v>-7.2879999999999806E-2</v>
      </c>
      <c r="AE3243">
        <v>-0.50729999999998598</v>
      </c>
      <c r="AF3243">
        <v>-0.50287433854531605</v>
      </c>
      <c r="AG3243">
        <v>-7.2879999999999806E-2</v>
      </c>
      <c r="AH3243">
        <v>0.61139574649554096</v>
      </c>
      <c r="AI3243">
        <v>95.259967447175896</v>
      </c>
      <c r="AJ3243">
        <v>129.437371478942</v>
      </c>
      <c r="AK3243">
        <v>0.79498355555333899</v>
      </c>
      <c r="AL3243">
        <v>91.251529308662796</v>
      </c>
      <c r="AM3243">
        <v>102.43030326190301</v>
      </c>
      <c r="AN3243">
        <v>0.99999999329783695</v>
      </c>
    </row>
    <row r="3244" spans="1:40" x14ac:dyDescent="0.25">
      <c r="A3244" t="str">
        <f>"20190303153833623"</f>
        <v>20190303153833623</v>
      </c>
      <c r="B3244" t="str">
        <f>"1551598713611956"</f>
        <v>1551598713611956</v>
      </c>
      <c r="C3244" t="s">
        <v>40</v>
      </c>
      <c r="D3244">
        <v>4.3552410000000004</v>
      </c>
      <c r="E3244">
        <v>0.3878182</v>
      </c>
      <c r="F3244" t="s">
        <v>44</v>
      </c>
      <c r="G3244">
        <v>-470.52749999999997</v>
      </c>
      <c r="H3244">
        <v>1.0485420000000001</v>
      </c>
      <c r="I3244">
        <v>283.74239999999998</v>
      </c>
      <c r="J3244">
        <v>-469.93450000000001</v>
      </c>
      <c r="K3244">
        <v>1.121864</v>
      </c>
      <c r="L3244">
        <v>284.24340000000001</v>
      </c>
      <c r="M3244">
        <v>-0.99990820000000002</v>
      </c>
      <c r="N3244">
        <v>-1.349325E-2</v>
      </c>
      <c r="O3244">
        <v>-1.2396110000000001E-3</v>
      </c>
      <c r="P3244">
        <v>-0.97607299999999997</v>
      </c>
      <c r="Q3244">
        <v>-3.5937579999999997E-2</v>
      </c>
      <c r="R3244">
        <v>-0.21445310000000001</v>
      </c>
      <c r="S3244">
        <v>-2.6879580000000001</v>
      </c>
      <c r="T3244">
        <v>-0.24952840000000001</v>
      </c>
      <c r="U3244">
        <v>-1.707916</v>
      </c>
      <c r="V3244">
        <v>-0.21321689999999999</v>
      </c>
      <c r="W3244">
        <v>-2.300342E-2</v>
      </c>
      <c r="X3244">
        <v>0.97673399999999999</v>
      </c>
      <c r="Y3244">
        <v>-0.53330519999999904</v>
      </c>
      <c r="Z3244">
        <v>-2.6441849999999999E-2</v>
      </c>
      <c r="AA3244">
        <v>0.84550949999999903</v>
      </c>
      <c r="AB3244">
        <v>19</v>
      </c>
      <c r="AC3244">
        <v>-0.59299999999996</v>
      </c>
      <c r="AD3244">
        <v>-7.3321999999999804E-2</v>
      </c>
      <c r="AE3244">
        <v>-0.50100000000003297</v>
      </c>
      <c r="AF3244">
        <v>-0.49584116256395899</v>
      </c>
      <c r="AG3244">
        <v>-7.3321999999999804E-2</v>
      </c>
      <c r="AH3244">
        <v>0.58837190222087199</v>
      </c>
      <c r="AI3244">
        <v>95.443422078651594</v>
      </c>
      <c r="AJ3244">
        <v>130.12198712818901</v>
      </c>
      <c r="AK3244">
        <v>0.77292694965293196</v>
      </c>
      <c r="AL3244">
        <v>91.318115205156801</v>
      </c>
      <c r="AM3244">
        <v>102.314247916122</v>
      </c>
      <c r="AN3244">
        <v>0.99999995526665197</v>
      </c>
    </row>
    <row r="3245" spans="1:40" x14ac:dyDescent="0.25">
      <c r="A3245" t="str">
        <f>"20190303153833645"</f>
        <v>20190303153833645</v>
      </c>
      <c r="B3245" t="str">
        <f>"1551598713631477"</f>
        <v>1551598713631477</v>
      </c>
      <c r="C3245" t="s">
        <v>40</v>
      </c>
      <c r="D3245">
        <v>4.3071400000000004</v>
      </c>
      <c r="E3245">
        <v>0.44254359999999998</v>
      </c>
      <c r="F3245" t="s">
        <v>44</v>
      </c>
      <c r="G3245">
        <v>-470.71480000000003</v>
      </c>
      <c r="H3245">
        <v>1.060934</v>
      </c>
      <c r="I3245">
        <v>283.81020000000001</v>
      </c>
      <c r="J3245">
        <v>-470.12349999999998</v>
      </c>
      <c r="K3245">
        <v>1.12185</v>
      </c>
      <c r="L3245">
        <v>284.24220000000003</v>
      </c>
      <c r="M3245">
        <v>-0.99990699999999999</v>
      </c>
      <c r="N3245">
        <v>-1.3487559999999999E-2</v>
      </c>
      <c r="O3245">
        <v>-2.0515440000000002E-3</v>
      </c>
      <c r="P3245">
        <v>-0.97667669999999995</v>
      </c>
      <c r="Q3245">
        <v>-3.664767E-2</v>
      </c>
      <c r="R3245">
        <v>-0.21156520000000001</v>
      </c>
      <c r="S3245">
        <v>-2.7322690000000001</v>
      </c>
      <c r="T3245">
        <v>-0.21336640000000001</v>
      </c>
      <c r="U3245">
        <v>-1.5175780000000001</v>
      </c>
      <c r="V3245">
        <v>-0.209535</v>
      </c>
      <c r="W3245">
        <v>-2.3696350000000001E-2</v>
      </c>
      <c r="X3245">
        <v>0.97751399999999999</v>
      </c>
      <c r="Y3245">
        <v>-0.48240349999999999</v>
      </c>
      <c r="Z3245">
        <v>-2.090262E-2</v>
      </c>
      <c r="AA3245">
        <v>0.87569969999999997</v>
      </c>
      <c r="AB3245">
        <v>19</v>
      </c>
      <c r="AC3245">
        <v>-0.59130000000004601</v>
      </c>
      <c r="AD3245">
        <v>-6.0915999999999901E-2</v>
      </c>
      <c r="AE3245">
        <v>-0.43200000000001598</v>
      </c>
      <c r="AF3245">
        <v>-0.42782547624058898</v>
      </c>
      <c r="AG3245">
        <v>-6.0915999999999901E-2</v>
      </c>
      <c r="AH3245">
        <v>0.58811551690415598</v>
      </c>
      <c r="AI3245">
        <v>94.787940087252494</v>
      </c>
      <c r="AJ3245">
        <v>126.03406977474999</v>
      </c>
      <c r="AK3245">
        <v>0.72981179656122996</v>
      </c>
      <c r="AL3245">
        <v>91.357827902722903</v>
      </c>
      <c r="AM3245">
        <v>102.098551764314</v>
      </c>
      <c r="AN3245">
        <v>1.00000002671216</v>
      </c>
    </row>
    <row r="3246" spans="1:40" x14ac:dyDescent="0.25">
      <c r="A3246" t="str">
        <f>"20190303153833668"</f>
        <v>20190303153833668</v>
      </c>
      <c r="B3246" t="str">
        <f>"1551598713661732"</f>
        <v>1551598713661732</v>
      </c>
      <c r="C3246" t="s">
        <v>40</v>
      </c>
      <c r="D3246">
        <v>4.2668499999999998</v>
      </c>
      <c r="E3246">
        <v>0.44514680000000001</v>
      </c>
      <c r="F3246" t="s">
        <v>51</v>
      </c>
      <c r="G3246">
        <v>-487.21120000000002</v>
      </c>
      <c r="H3246" s="1">
        <v>2.3729370000000001E-6</v>
      </c>
      <c r="I3246">
        <v>277.70729999999998</v>
      </c>
      <c r="J3246">
        <v>-470.31970000000001</v>
      </c>
      <c r="K3246">
        <v>1.121826</v>
      </c>
      <c r="L3246">
        <v>284.24079999999998</v>
      </c>
      <c r="M3246">
        <v>-0.99990489999999999</v>
      </c>
      <c r="N3246">
        <v>-1.348215E-2</v>
      </c>
      <c r="O3246">
        <v>-2.8804009999999999E-3</v>
      </c>
      <c r="P3246">
        <v>-0.97736259999999997</v>
      </c>
      <c r="Q3246">
        <v>-3.7629999999999997E-2</v>
      </c>
      <c r="R3246">
        <v>-0.2081981</v>
      </c>
      <c r="S3246">
        <v>-2.8302</v>
      </c>
      <c r="T3246">
        <v>-0.1858089</v>
      </c>
      <c r="U3246">
        <v>-1.0823670000000001</v>
      </c>
      <c r="V3246">
        <v>-0.2053556</v>
      </c>
      <c r="W3246">
        <v>-2.4659759999999999E-2</v>
      </c>
      <c r="X3246">
        <v>0.97837669999999999</v>
      </c>
      <c r="Y3246">
        <v>-0.35369879999999998</v>
      </c>
      <c r="Z3246">
        <v>-1.352717E-2</v>
      </c>
      <c r="AA3246">
        <v>0.93526149999999997</v>
      </c>
      <c r="AB3246">
        <v>19</v>
      </c>
      <c r="AC3246">
        <v>-16.891500000000001</v>
      </c>
      <c r="AD3246">
        <v>-1.121823627063</v>
      </c>
      <c r="AE3246">
        <v>-6.5335000000000001</v>
      </c>
      <c r="AF3246">
        <v>-6.4600286929193604</v>
      </c>
      <c r="AG3246">
        <v>-1.121823627063</v>
      </c>
      <c r="AH3246">
        <v>16.8456183926512</v>
      </c>
      <c r="AI3246">
        <v>93.558020138894506</v>
      </c>
      <c r="AJ3246">
        <v>110.981030201303</v>
      </c>
      <c r="AK3246">
        <v>18.076651183070499</v>
      </c>
      <c r="AL3246">
        <v>91.4130434140463</v>
      </c>
      <c r="AM3246">
        <v>101.85397343691299</v>
      </c>
      <c r="AN3246">
        <v>0.99999999665875305</v>
      </c>
    </row>
    <row r="3247" spans="1:40" x14ac:dyDescent="0.25">
      <c r="A3247" t="str">
        <f>"20190303153833690"</f>
        <v>20190303153833690</v>
      </c>
      <c r="B3247" t="str">
        <f>"1551598713682229"</f>
        <v>1551598713682229</v>
      </c>
      <c r="C3247" t="s">
        <v>40</v>
      </c>
      <c r="D3247">
        <v>4.3317389999999998</v>
      </c>
      <c r="E3247">
        <v>0.44535590000000003</v>
      </c>
      <c r="F3247" t="s">
        <v>51</v>
      </c>
      <c r="G3247">
        <v>-486.98419999999999</v>
      </c>
      <c r="H3247" s="1">
        <v>2.4583549999999999E-6</v>
      </c>
      <c r="I3247">
        <v>278.06279999999998</v>
      </c>
      <c r="J3247">
        <v>-470.50810000000001</v>
      </c>
      <c r="K3247">
        <v>1.121796</v>
      </c>
      <c r="L3247">
        <v>284.23930000000001</v>
      </c>
      <c r="M3247">
        <v>-0.99990250000000003</v>
      </c>
      <c r="N3247">
        <v>-1.3477329999999999E-2</v>
      </c>
      <c r="O3247">
        <v>-3.663061E-3</v>
      </c>
      <c r="P3247">
        <v>-0.97800659999999895</v>
      </c>
      <c r="Q3247">
        <v>-4.1826000000000002E-2</v>
      </c>
      <c r="R3247">
        <v>-0.20433709999999999</v>
      </c>
      <c r="S3247">
        <v>-2.8380130000000001</v>
      </c>
      <c r="T3247">
        <v>-0.19105030000000001</v>
      </c>
      <c r="U3247">
        <v>-1.0521240000000001</v>
      </c>
      <c r="V3247">
        <v>-0.20072309999999999</v>
      </c>
      <c r="W3247">
        <v>-2.8837990000000001E-2</v>
      </c>
      <c r="X3247">
        <v>0.97922350000000002</v>
      </c>
      <c r="Y3247">
        <v>-0.34333970000000003</v>
      </c>
      <c r="Z3247">
        <v>-1.337355E-2</v>
      </c>
      <c r="AA3247">
        <v>0.93911610000000001</v>
      </c>
      <c r="AB3247">
        <v>19</v>
      </c>
      <c r="AC3247">
        <v>-16.476099999999899</v>
      </c>
      <c r="AD3247">
        <v>-1.121793541645</v>
      </c>
      <c r="AE3247">
        <v>-6.1765000000000301</v>
      </c>
      <c r="AF3247">
        <v>-6.0913417236987604</v>
      </c>
      <c r="AG3247">
        <v>-1.121793541645</v>
      </c>
      <c r="AH3247">
        <v>16.431828865435001</v>
      </c>
      <c r="AI3247">
        <v>93.662661977561001</v>
      </c>
      <c r="AJ3247">
        <v>110.339935627149</v>
      </c>
      <c r="AK3247">
        <v>17.560406162953399</v>
      </c>
      <c r="AL3247">
        <v>91.652524172796902</v>
      </c>
      <c r="AM3247">
        <v>101.584131354124</v>
      </c>
      <c r="AN3247">
        <v>1.00000002774654</v>
      </c>
    </row>
    <row r="3248" spans="1:40" x14ac:dyDescent="0.25">
      <c r="A3248" t="str">
        <f>"20190303153833712"</f>
        <v>20190303153833712</v>
      </c>
      <c r="B3248" t="str">
        <f>"1551598713701749"</f>
        <v>1551598713701749</v>
      </c>
      <c r="C3248" t="s">
        <v>40</v>
      </c>
      <c r="D3248">
        <v>4.2798530000000001</v>
      </c>
      <c r="E3248">
        <v>0.4451135</v>
      </c>
      <c r="F3248" t="s">
        <v>51</v>
      </c>
      <c r="G3248">
        <v>-485.82069999999999</v>
      </c>
      <c r="H3248" s="1">
        <v>2.4561469999999999E-6</v>
      </c>
      <c r="I3248">
        <v>278.6404</v>
      </c>
      <c r="J3248">
        <v>-470.69869999999997</v>
      </c>
      <c r="K3248">
        <v>1.121756</v>
      </c>
      <c r="L3248">
        <v>284.23759999999999</v>
      </c>
      <c r="M3248">
        <v>-0.99989939999999999</v>
      </c>
      <c r="N3248">
        <v>-1.347287E-2</v>
      </c>
      <c r="O3248">
        <v>-4.4460080000000004E-3</v>
      </c>
      <c r="P3248">
        <v>-0.97820890000000005</v>
      </c>
      <c r="Q3248">
        <v>-4.4807029999999998E-2</v>
      </c>
      <c r="R3248">
        <v>-0.20273250000000001</v>
      </c>
      <c r="S3248">
        <v>-2.8414609999999998</v>
      </c>
      <c r="T3248">
        <v>-0.20816390000000001</v>
      </c>
      <c r="U3248">
        <v>-1.03894</v>
      </c>
      <c r="V3248">
        <v>-0.19834889999999999</v>
      </c>
      <c r="W3248">
        <v>-3.1810709999999999E-2</v>
      </c>
      <c r="X3248">
        <v>0.97961520000000002</v>
      </c>
      <c r="Y3248">
        <v>-0.33826659999999997</v>
      </c>
      <c r="Z3248">
        <v>-1.408389E-2</v>
      </c>
      <c r="AA3248">
        <v>0.94094500000000003</v>
      </c>
      <c r="AB3248">
        <v>19</v>
      </c>
      <c r="AC3248">
        <v>-15.122</v>
      </c>
      <c r="AD3248">
        <v>-1.121753543853</v>
      </c>
      <c r="AE3248">
        <v>-5.5971999999999804</v>
      </c>
      <c r="AF3248">
        <v>-5.5032720226442402</v>
      </c>
      <c r="AG3248">
        <v>-1.121753543853</v>
      </c>
      <c r="AH3248">
        <v>15.0737858347385</v>
      </c>
      <c r="AI3248">
        <v>93.9987229244785</v>
      </c>
      <c r="AJ3248">
        <v>110.056577242823</v>
      </c>
      <c r="AK3248">
        <v>16.086123005868401</v>
      </c>
      <c r="AL3248">
        <v>91.822926823140094</v>
      </c>
      <c r="AM3248">
        <v>101.446294021567</v>
      </c>
      <c r="AN3248">
        <v>1.00000007373647</v>
      </c>
    </row>
    <row r="3249" spans="1:40" x14ac:dyDescent="0.25">
      <c r="A3249" t="str">
        <f>"20190303153833734"</f>
        <v>20190303153833734</v>
      </c>
      <c r="B3249" t="str">
        <f>"1551598713722245"</f>
        <v>1551598713722245</v>
      </c>
      <c r="C3249" t="s">
        <v>40</v>
      </c>
      <c r="D3249">
        <v>4.2418069999999997</v>
      </c>
      <c r="E3249">
        <v>0.44477519999999998</v>
      </c>
      <c r="F3249" t="s">
        <v>51</v>
      </c>
      <c r="G3249">
        <v>-485.13619999999997</v>
      </c>
      <c r="H3249" s="1">
        <v>2.4529240000000001E-6</v>
      </c>
      <c r="I3249">
        <v>278.97480000000002</v>
      </c>
      <c r="J3249">
        <v>-470.89229999999998</v>
      </c>
      <c r="K3249">
        <v>1.1217269999999999</v>
      </c>
      <c r="L3249">
        <v>284.23579999999998</v>
      </c>
      <c r="M3249">
        <v>-0.9998956</v>
      </c>
      <c r="N3249">
        <v>-1.3468630000000001E-2</v>
      </c>
      <c r="O3249">
        <v>-5.2362720000000001E-3</v>
      </c>
      <c r="P3249">
        <v>-0.97857289999999997</v>
      </c>
      <c r="Q3249">
        <v>-4.9665149999999998E-2</v>
      </c>
      <c r="R3249">
        <v>-0.1998212</v>
      </c>
      <c r="S3249">
        <v>-2.8420100000000001</v>
      </c>
      <c r="T3249">
        <v>-0.22081729999999999</v>
      </c>
      <c r="U3249">
        <v>-1.0359799999999999</v>
      </c>
      <c r="V3249">
        <v>-0.1946581</v>
      </c>
      <c r="W3249">
        <v>-3.6658080000000003E-2</v>
      </c>
      <c r="X3249">
        <v>0.98018590000000005</v>
      </c>
      <c r="Y3249">
        <v>-0.3364972</v>
      </c>
      <c r="Z3249">
        <v>-1.466274E-2</v>
      </c>
      <c r="AA3249">
        <v>0.94157029999999997</v>
      </c>
      <c r="AB3249">
        <v>19</v>
      </c>
      <c r="AC3249">
        <v>-14.243899999999901</v>
      </c>
      <c r="AD3249">
        <v>-1.121724547076</v>
      </c>
      <c r="AE3249">
        <v>-5.2609999999999602</v>
      </c>
      <c r="AF3249">
        <v>-5.1581865317247004</v>
      </c>
      <c r="AG3249">
        <v>-1.121724547076</v>
      </c>
      <c r="AH3249">
        <v>14.1937958002268</v>
      </c>
      <c r="AI3249">
        <v>94.247929669699602</v>
      </c>
      <c r="AJ3249">
        <v>109.971719177898</v>
      </c>
      <c r="AK3249">
        <v>15.143612299386</v>
      </c>
      <c r="AL3249">
        <v>92.100823979321206</v>
      </c>
      <c r="AM3249">
        <v>101.232399300632</v>
      </c>
      <c r="AN3249">
        <v>0.99999999464185296</v>
      </c>
    </row>
    <row r="3250" spans="1:40" x14ac:dyDescent="0.25">
      <c r="A3250" t="str">
        <f>"20190303153833750"</f>
        <v>20190303153833750</v>
      </c>
      <c r="B3250" t="str">
        <f>"1551598713741764"</f>
        <v>1551598713741764</v>
      </c>
      <c r="C3250" t="s">
        <v>40</v>
      </c>
      <c r="D3250">
        <v>4.204815</v>
      </c>
      <c r="E3250">
        <v>0.4444284</v>
      </c>
      <c r="F3250" t="s">
        <v>51</v>
      </c>
      <c r="G3250">
        <v>-484.21510000000001</v>
      </c>
      <c r="H3250" s="1">
        <v>2.44373E-6</v>
      </c>
      <c r="I3250">
        <v>279.41090000000003</v>
      </c>
      <c r="J3250">
        <v>-471.02370000000002</v>
      </c>
      <c r="K3250">
        <v>1.121713</v>
      </c>
      <c r="L3250">
        <v>284.23439999999999</v>
      </c>
      <c r="M3250">
        <v>-0.99989280000000003</v>
      </c>
      <c r="N3250">
        <v>-1.3465909999999999E-2</v>
      </c>
      <c r="O3250">
        <v>-5.7723469999999997E-3</v>
      </c>
      <c r="P3250">
        <v>-0.97873589999999999</v>
      </c>
      <c r="Q3250">
        <v>-5.136342E-2</v>
      </c>
      <c r="R3250">
        <v>-0.19859109999999999</v>
      </c>
      <c r="S3250">
        <v>-2.8432919999999999</v>
      </c>
      <c r="T3250">
        <v>-0.2393931</v>
      </c>
      <c r="U3250">
        <v>-1.0296940000000001</v>
      </c>
      <c r="V3250">
        <v>-0.1929003</v>
      </c>
      <c r="W3250">
        <v>-3.8351360000000001E-2</v>
      </c>
      <c r="X3250">
        <v>0.98046860000000002</v>
      </c>
      <c r="Y3250">
        <v>-0.33385759999999998</v>
      </c>
      <c r="Z3250">
        <v>-1.552632E-2</v>
      </c>
      <c r="AA3250">
        <v>0.94249559999999999</v>
      </c>
      <c r="AB3250">
        <v>19</v>
      </c>
      <c r="AC3250">
        <v>-13.1913999999999</v>
      </c>
      <c r="AD3250">
        <v>-1.12171055627</v>
      </c>
      <c r="AE3250">
        <v>-4.8234999999999602</v>
      </c>
      <c r="AF3250">
        <v>-4.7171814975759201</v>
      </c>
      <c r="AG3250">
        <v>-1.12171055627</v>
      </c>
      <c r="AH3250">
        <v>13.1352498074249</v>
      </c>
      <c r="AI3250">
        <v>94.595062303730003</v>
      </c>
      <c r="AJ3250">
        <v>109.754423771124</v>
      </c>
      <c r="AK3250">
        <v>14.00160074265</v>
      </c>
      <c r="AL3250">
        <v>92.197910051196899</v>
      </c>
      <c r="AM3250">
        <v>101.13038374738601</v>
      </c>
      <c r="AN3250">
        <v>1.0000000140699401</v>
      </c>
    </row>
    <row r="3251" spans="1:40" x14ac:dyDescent="0.25">
      <c r="A3251" t="str">
        <f>"20190303153833765"</f>
        <v>20190303153833765</v>
      </c>
      <c r="B3251" t="str">
        <f>"1551598713751525"</f>
        <v>1551598713751525</v>
      </c>
      <c r="C3251" t="s">
        <v>40</v>
      </c>
      <c r="D3251">
        <v>4.1979649999999999</v>
      </c>
      <c r="E3251">
        <v>0.44415519999999997</v>
      </c>
      <c r="F3251" t="s">
        <v>51</v>
      </c>
      <c r="G3251">
        <v>-484.11009999999999</v>
      </c>
      <c r="H3251" s="1">
        <v>2.4564520000000001E-6</v>
      </c>
      <c r="I3251">
        <v>279.49959999999999</v>
      </c>
      <c r="J3251">
        <v>-471.15170000000001</v>
      </c>
      <c r="K3251">
        <v>1.1217029999999999</v>
      </c>
      <c r="L3251">
        <v>284.233</v>
      </c>
      <c r="M3251">
        <v>-0.99988969999999999</v>
      </c>
      <c r="N3251">
        <v>-1.3463569999999999E-2</v>
      </c>
      <c r="O3251">
        <v>-6.2950999999999997E-3</v>
      </c>
      <c r="P3251">
        <v>-0.97898379999999996</v>
      </c>
      <c r="Q3251">
        <v>-5.2445739999999998E-2</v>
      </c>
      <c r="R3251">
        <v>-0.19708049999999999</v>
      </c>
      <c r="S3251">
        <v>-2.8435969999999999</v>
      </c>
      <c r="T3251">
        <v>-0.24373919999999999</v>
      </c>
      <c r="U3251">
        <v>-1.0288389999999901</v>
      </c>
      <c r="V3251">
        <v>-0.1908755</v>
      </c>
      <c r="W3251">
        <v>-3.9427829999999997E-2</v>
      </c>
      <c r="X3251">
        <v>0.98082210000000003</v>
      </c>
      <c r="Y3251">
        <v>-0.333045599999999</v>
      </c>
      <c r="Z3251">
        <v>-1.568698E-2</v>
      </c>
      <c r="AA3251">
        <v>0.94278019999999996</v>
      </c>
      <c r="AB3251">
        <v>19</v>
      </c>
      <c r="AC3251">
        <v>-12.9583999999999</v>
      </c>
      <c r="AD3251">
        <v>-1.1217005435480001</v>
      </c>
      <c r="AE3251">
        <v>-4.7334000000000103</v>
      </c>
      <c r="AF3251">
        <v>-4.6211744793570597</v>
      </c>
      <c r="AG3251">
        <v>-1.1217005435480001</v>
      </c>
      <c r="AH3251">
        <v>12.9026456105778</v>
      </c>
      <c r="AI3251">
        <v>94.678925240587105</v>
      </c>
      <c r="AJ3251">
        <v>109.705346949212</v>
      </c>
      <c r="AK3251">
        <v>13.7510628472936</v>
      </c>
      <c r="AL3251">
        <v>92.259633963781496</v>
      </c>
      <c r="AM3251">
        <v>101.01255180108799</v>
      </c>
      <c r="AN3251">
        <v>1.0000000010635799</v>
      </c>
    </row>
    <row r="3252" spans="1:40" x14ac:dyDescent="0.25">
      <c r="A3252" t="str">
        <f>"20190303153833779"</f>
        <v>20190303153833779</v>
      </c>
      <c r="B3252" t="str">
        <f>"1551598713772021"</f>
        <v>1551598713772021</v>
      </c>
      <c r="C3252" t="s">
        <v>40</v>
      </c>
      <c r="D3252">
        <v>4.247579</v>
      </c>
      <c r="E3252">
        <v>0.44358720000000001</v>
      </c>
      <c r="F3252" t="s">
        <v>51</v>
      </c>
      <c r="G3252">
        <v>-484.14229999999998</v>
      </c>
      <c r="H3252" s="1">
        <v>2.4782700000000001E-6</v>
      </c>
      <c r="I3252">
        <v>279.54520000000002</v>
      </c>
      <c r="J3252">
        <v>-471.27719999999999</v>
      </c>
      <c r="K3252">
        <v>1.1216999999999999</v>
      </c>
      <c r="L3252">
        <v>284.23160000000001</v>
      </c>
      <c r="M3252">
        <v>-0.99988619999999995</v>
      </c>
      <c r="N3252">
        <v>-1.3461290000000001E-2</v>
      </c>
      <c r="O3252">
        <v>-6.809163E-3</v>
      </c>
      <c r="P3252">
        <v>-0.97955740000000002</v>
      </c>
      <c r="Q3252">
        <v>-5.3564359999999998E-2</v>
      </c>
      <c r="R3252">
        <v>-0.19390360000000001</v>
      </c>
      <c r="S3252">
        <v>-2.8446349999999998</v>
      </c>
      <c r="T3252">
        <v>-0.24562600000000001</v>
      </c>
      <c r="U3252">
        <v>-1.0265200000000001</v>
      </c>
      <c r="V3252">
        <v>-0.1871893</v>
      </c>
      <c r="W3252">
        <v>-4.0535069999999999E-2</v>
      </c>
      <c r="X3252">
        <v>0.9814872</v>
      </c>
      <c r="Y3252">
        <v>-0.33175949999999998</v>
      </c>
      <c r="Z3252">
        <v>-1.5687139999999999E-2</v>
      </c>
      <c r="AA3252">
        <v>0.94323349999999995</v>
      </c>
      <c r="AB3252">
        <v>19</v>
      </c>
      <c r="AC3252">
        <v>-12.865099999999901</v>
      </c>
      <c r="AD3252">
        <v>-1.12169752172999</v>
      </c>
      <c r="AE3252">
        <v>-4.6863999999999901</v>
      </c>
      <c r="AF3252">
        <v>-4.5680250392719302</v>
      </c>
      <c r="AG3252">
        <v>-1.12169752172999</v>
      </c>
      <c r="AH3252">
        <v>12.8107372021909</v>
      </c>
      <c r="AI3252">
        <v>94.714678432564597</v>
      </c>
      <c r="AJ3252">
        <v>109.625108093146</v>
      </c>
      <c r="AK3252">
        <v>13.646979363700501</v>
      </c>
      <c r="AL3252">
        <v>92.323124856551104</v>
      </c>
      <c r="AM3252">
        <v>100.79778089128899</v>
      </c>
      <c r="AN3252">
        <v>1.0000000248491101</v>
      </c>
    </row>
    <row r="3253" spans="1:40" x14ac:dyDescent="0.25">
      <c r="A3253" t="str">
        <f>"20190303153833802"</f>
        <v>20190303153833802</v>
      </c>
      <c r="B3253" t="str">
        <f>"1551598713791541"</f>
        <v>1551598713791541</v>
      </c>
      <c r="C3253" t="s">
        <v>40</v>
      </c>
      <c r="D3253">
        <v>4.2398800000000003</v>
      </c>
      <c r="E3253">
        <v>0.4428011</v>
      </c>
      <c r="F3253" t="s">
        <v>51</v>
      </c>
      <c r="G3253">
        <v>-484.17070000000001</v>
      </c>
      <c r="H3253" s="1">
        <v>2.5040460000000001E-6</v>
      </c>
      <c r="I3253">
        <v>279.60390000000001</v>
      </c>
      <c r="J3253">
        <v>-471.4658</v>
      </c>
      <c r="K3253">
        <v>1.121704</v>
      </c>
      <c r="L3253">
        <v>284.2294</v>
      </c>
      <c r="M3253">
        <v>-0.99988069999999896</v>
      </c>
      <c r="N3253">
        <v>-1.345795E-2</v>
      </c>
      <c r="O3253">
        <v>-7.5838019999999997E-3</v>
      </c>
      <c r="P3253">
        <v>-0.98000140000000002</v>
      </c>
      <c r="Q3253">
        <v>-5.3048779999999997E-2</v>
      </c>
      <c r="R3253">
        <v>-0.1917904</v>
      </c>
      <c r="S3253">
        <v>-2.846832</v>
      </c>
      <c r="T3253">
        <v>-0.24766759999999999</v>
      </c>
      <c r="U3253">
        <v>-1.02179</v>
      </c>
      <c r="V3253">
        <v>-0.18431410000000001</v>
      </c>
      <c r="W3253">
        <v>-4.0011240000000003E-2</v>
      </c>
      <c r="X3253">
        <v>0.98205260000000005</v>
      </c>
      <c r="Y3253">
        <v>-0.32940069999999999</v>
      </c>
      <c r="Z3253">
        <v>-1.561919E-2</v>
      </c>
      <c r="AA3253">
        <v>0.94406100000000004</v>
      </c>
      <c r="AB3253">
        <v>19</v>
      </c>
      <c r="AC3253">
        <v>-12.7049</v>
      </c>
      <c r="AD3253">
        <v>-1.1217014959539999</v>
      </c>
      <c r="AE3253">
        <v>-4.6254999999999802</v>
      </c>
      <c r="AF3253">
        <v>-4.4980483244202496</v>
      </c>
      <c r="AG3253">
        <v>-1.1217014959539999</v>
      </c>
      <c r="AH3253">
        <v>12.6525337456067</v>
      </c>
      <c r="AI3253">
        <v>94.774985329417405</v>
      </c>
      <c r="AJ3253">
        <v>109.57059171121401</v>
      </c>
      <c r="AK3253">
        <v>13.475060784967299</v>
      </c>
      <c r="AL3253">
        <v>92.293087415844894</v>
      </c>
      <c r="AM3253">
        <v>100.62975702321999</v>
      </c>
      <c r="AN3253">
        <v>0.99999994797595204</v>
      </c>
    </row>
    <row r="3254" spans="1:40" x14ac:dyDescent="0.25">
      <c r="A3254" t="str">
        <f>"20190303153833824"</f>
        <v>20190303153833824</v>
      </c>
      <c r="B3254" t="str">
        <f>"1551598713821797"</f>
        <v>1551598713821797</v>
      </c>
      <c r="C3254" t="s">
        <v>40</v>
      </c>
      <c r="D3254">
        <v>4.2473879999999999</v>
      </c>
      <c r="E3254">
        <v>0.44146340000000001</v>
      </c>
      <c r="F3254" t="s">
        <v>51</v>
      </c>
      <c r="G3254">
        <v>-484.37479999999999</v>
      </c>
      <c r="H3254" s="1">
        <v>2.538465E-6</v>
      </c>
      <c r="I3254">
        <v>279.59879999999998</v>
      </c>
      <c r="J3254">
        <v>-471.65809999999999</v>
      </c>
      <c r="K3254">
        <v>1.121707</v>
      </c>
      <c r="L3254">
        <v>284.22699999999998</v>
      </c>
      <c r="M3254">
        <v>-0.9998745</v>
      </c>
      <c r="N3254">
        <v>-1.345471E-2</v>
      </c>
      <c r="O3254">
        <v>-8.3758670000000004E-3</v>
      </c>
      <c r="P3254">
        <v>-0.98014829999999997</v>
      </c>
      <c r="Q3254">
        <v>-5.263926E-2</v>
      </c>
      <c r="R3254">
        <v>-0.19115109999999999</v>
      </c>
      <c r="S3254">
        <v>-2.8479000000000001</v>
      </c>
      <c r="T3254">
        <v>-0.24746270000000001</v>
      </c>
      <c r="U3254">
        <v>-1.021576</v>
      </c>
      <c r="V3254">
        <v>-0.1828967</v>
      </c>
      <c r="W3254">
        <v>-3.9599179999999998E-2</v>
      </c>
      <c r="X3254">
        <v>0.98233429999999999</v>
      </c>
      <c r="Y3254">
        <v>-0.3284859</v>
      </c>
      <c r="Z3254">
        <v>-1.550206E-2</v>
      </c>
      <c r="AA3254">
        <v>0.94438169999999999</v>
      </c>
      <c r="AB3254">
        <v>19</v>
      </c>
      <c r="AC3254">
        <v>-12.716699999999999</v>
      </c>
      <c r="AD3254">
        <v>-1.121704461535</v>
      </c>
      <c r="AE3254">
        <v>-4.6282000000000396</v>
      </c>
      <c r="AF3254">
        <v>-4.4906616588322503</v>
      </c>
      <c r="AG3254">
        <v>-1.121704461535</v>
      </c>
      <c r="AH3254">
        <v>12.6679875413834</v>
      </c>
      <c r="AI3254">
        <v>94.770721706081204</v>
      </c>
      <c r="AJ3254">
        <v>109.51885449540799</v>
      </c>
      <c r="AK3254">
        <v>13.487111306049901</v>
      </c>
      <c r="AL3254">
        <v>92.269459299736894</v>
      </c>
      <c r="AM3254">
        <v>100.546897316825</v>
      </c>
      <c r="AN3254">
        <v>0.99999998744202601</v>
      </c>
    </row>
    <row r="3255" spans="1:40" x14ac:dyDescent="0.25">
      <c r="A3255" t="str">
        <f>"20190303153833847"</f>
        <v>20190303153833847</v>
      </c>
      <c r="B3255" t="str">
        <f>"1551598713841317"</f>
        <v>1551598713841317</v>
      </c>
      <c r="C3255" t="s">
        <v>40</v>
      </c>
      <c r="D3255">
        <v>4.2382739999999997</v>
      </c>
      <c r="E3255">
        <v>0.4405039</v>
      </c>
      <c r="F3255" t="s">
        <v>51</v>
      </c>
      <c r="G3255">
        <v>-484.7525</v>
      </c>
      <c r="H3255" s="1">
        <v>2.5661479999999999E-6</v>
      </c>
      <c r="I3255">
        <v>279.48759999999999</v>
      </c>
      <c r="J3255">
        <v>-471.85109999999997</v>
      </c>
      <c r="K3255">
        <v>1.1217090000000001</v>
      </c>
      <c r="L3255">
        <v>284.22449999999998</v>
      </c>
      <c r="M3255">
        <v>-0.99986750000000002</v>
      </c>
      <c r="N3255">
        <v>-1.3451609999999999E-2</v>
      </c>
      <c r="O3255">
        <v>-9.1736730000000002E-3</v>
      </c>
      <c r="P3255">
        <v>-0.98022989999999999</v>
      </c>
      <c r="Q3255">
        <v>-5.2306360000000003E-2</v>
      </c>
      <c r="R3255">
        <v>-0.1908234</v>
      </c>
      <c r="S3255">
        <v>-2.8466800000000001</v>
      </c>
      <c r="T3255">
        <v>-0.2438543</v>
      </c>
      <c r="U3255">
        <v>-1.0303340000000001</v>
      </c>
      <c r="V3255">
        <v>-0.18178510000000001</v>
      </c>
      <c r="W3255">
        <v>-3.9265170000000002E-2</v>
      </c>
      <c r="X3255">
        <v>0.98255400000000004</v>
      </c>
      <c r="Y3255">
        <v>-0.3304607</v>
      </c>
      <c r="Z3255">
        <v>-1.53505E-2</v>
      </c>
      <c r="AA3255">
        <v>0.9436949</v>
      </c>
      <c r="AB3255">
        <v>19</v>
      </c>
      <c r="AC3255">
        <v>-12.901400000000001</v>
      </c>
      <c r="AD3255">
        <v>-1.121706433852</v>
      </c>
      <c r="AE3255">
        <v>-4.7368999999999897</v>
      </c>
      <c r="AF3255">
        <v>-4.5877759171294503</v>
      </c>
      <c r="AG3255">
        <v>-1.121706433852</v>
      </c>
      <c r="AH3255">
        <v>12.858659651117399</v>
      </c>
      <c r="AI3255">
        <v>94.696916996718898</v>
      </c>
      <c r="AJ3255">
        <v>109.635633896619</v>
      </c>
      <c r="AK3255">
        <v>13.698578072661901</v>
      </c>
      <c r="AL3255">
        <v>92.250307080722706</v>
      </c>
      <c r="AM3255">
        <v>100.481929137028</v>
      </c>
      <c r="AN3255">
        <v>0.999999969536569</v>
      </c>
    </row>
    <row r="3256" spans="1:40" x14ac:dyDescent="0.25">
      <c r="A3256" t="str">
        <f>"20190303153833863"</f>
        <v>20190303153833863</v>
      </c>
      <c r="B3256" t="str">
        <f>"1551598713852053"</f>
        <v>1551598713852053</v>
      </c>
      <c r="C3256" t="s">
        <v>40</v>
      </c>
      <c r="D3256">
        <v>4.2562949999999997</v>
      </c>
      <c r="E3256">
        <v>0.4404014</v>
      </c>
      <c r="F3256" t="s">
        <v>51</v>
      </c>
      <c r="G3256">
        <v>-485.05329999999998</v>
      </c>
      <c r="H3256" s="1">
        <v>2.5935440000000002E-6</v>
      </c>
      <c r="I3256">
        <v>279.41419999999999</v>
      </c>
      <c r="J3256">
        <v>-471.9905</v>
      </c>
      <c r="K3256">
        <v>1.121712</v>
      </c>
      <c r="L3256">
        <v>284.22250000000003</v>
      </c>
      <c r="M3256">
        <v>-0.99986209999999998</v>
      </c>
      <c r="N3256">
        <v>-1.344949E-2</v>
      </c>
      <c r="O3256">
        <v>-9.751203E-3</v>
      </c>
      <c r="P3256">
        <v>-0.9802324</v>
      </c>
      <c r="Q3256">
        <v>-5.2362680000000002E-2</v>
      </c>
      <c r="R3256">
        <v>-0.19079679999999999</v>
      </c>
      <c r="S3256">
        <v>-2.8457340000000002</v>
      </c>
      <c r="T3256">
        <v>-0.24178530000000001</v>
      </c>
      <c r="U3256">
        <v>-1.0368649999999999</v>
      </c>
      <c r="V3256">
        <v>-0.18119150000000001</v>
      </c>
      <c r="W3256">
        <v>-3.9321620000000002E-2</v>
      </c>
      <c r="X3256">
        <v>0.98266140000000002</v>
      </c>
      <c r="Y3256">
        <v>-0.33194439999999997</v>
      </c>
      <c r="Z3256">
        <v>-1.5272000000000001E-2</v>
      </c>
      <c r="AA3256">
        <v>0.94317530000000005</v>
      </c>
      <c r="AB3256">
        <v>19</v>
      </c>
      <c r="AC3256">
        <v>-13.0627999999999</v>
      </c>
      <c r="AD3256">
        <v>-1.121709406456</v>
      </c>
      <c r="AE3256">
        <v>-4.8083000000000302</v>
      </c>
      <c r="AF3256">
        <v>-4.6504821410678199</v>
      </c>
      <c r="AG3256">
        <v>-1.121709406456</v>
      </c>
      <c r="AH3256">
        <v>13.024490258850401</v>
      </c>
      <c r="AI3256">
        <v>94.636992255379894</v>
      </c>
      <c r="AJ3256">
        <v>109.649448377094</v>
      </c>
      <c r="AK3256">
        <v>13.875250002786</v>
      </c>
      <c r="AL3256">
        <v>92.253543885121402</v>
      </c>
      <c r="AM3256">
        <v>100.447339678841</v>
      </c>
      <c r="AN3256">
        <v>0.99999998826081704</v>
      </c>
    </row>
    <row r="3257" spans="1:40" x14ac:dyDescent="0.25">
      <c r="A3257" t="str">
        <f>"20190303153833878"</f>
        <v>20190303153833878</v>
      </c>
      <c r="B3257" t="str">
        <f>"1551598713871573"</f>
        <v>1551598713871573</v>
      </c>
      <c r="C3257" t="s">
        <v>40</v>
      </c>
      <c r="D3257">
        <v>4.2588119999999998</v>
      </c>
      <c r="E3257">
        <v>0.47254269999999998</v>
      </c>
      <c r="F3257" t="s">
        <v>51</v>
      </c>
      <c r="G3257">
        <v>-485.2611</v>
      </c>
      <c r="H3257" s="1">
        <v>2.6196010000000001E-6</v>
      </c>
      <c r="I3257">
        <v>279.3836</v>
      </c>
      <c r="J3257">
        <v>-472.11040000000003</v>
      </c>
      <c r="K3257">
        <v>1.1217140000000001</v>
      </c>
      <c r="L3257">
        <v>284.22070000000002</v>
      </c>
      <c r="M3257">
        <v>-0.99985710000000005</v>
      </c>
      <c r="N3257">
        <v>-1.344774E-2</v>
      </c>
      <c r="O3257">
        <v>-1.0248510000000001E-2</v>
      </c>
      <c r="P3257">
        <v>-0.98025340000000005</v>
      </c>
      <c r="Q3257">
        <v>-5.2396739999999997E-2</v>
      </c>
      <c r="R3257">
        <v>-0.19067799999999999</v>
      </c>
      <c r="S3257">
        <v>-2.8456730000000001</v>
      </c>
      <c r="T3257">
        <v>-0.24053389999999999</v>
      </c>
      <c r="U3257">
        <v>-1.037628</v>
      </c>
      <c r="V3257">
        <v>-0.18058399999999999</v>
      </c>
      <c r="W3257">
        <v>-3.9355300000000003E-2</v>
      </c>
      <c r="X3257">
        <v>0.98277190000000003</v>
      </c>
      <c r="Y3257">
        <v>-0.33171879999999998</v>
      </c>
      <c r="Z3257">
        <v>-1.516026E-2</v>
      </c>
      <c r="AA3257">
        <v>0.94325650000000005</v>
      </c>
      <c r="AB3257">
        <v>19</v>
      </c>
      <c r="AC3257">
        <v>-13.150699999999899</v>
      </c>
      <c r="AD3257">
        <v>-1.121711380399</v>
      </c>
      <c r="AE3257">
        <v>-4.8371000000000199</v>
      </c>
      <c r="AF3257">
        <v>-4.6721173606994704</v>
      </c>
      <c r="AG3257">
        <v>-1.121711380399</v>
      </c>
      <c r="AH3257">
        <v>13.1155357734294</v>
      </c>
      <c r="AI3257">
        <v>94.606152998729598</v>
      </c>
      <c r="AJ3257">
        <v>109.60730830782801</v>
      </c>
      <c r="AK3257">
        <v>13.9679703492373</v>
      </c>
      <c r="AL3257">
        <v>92.255475043645902</v>
      </c>
      <c r="AM3257">
        <v>100.411934051106</v>
      </c>
      <c r="AN3257">
        <v>1.0000000140618499</v>
      </c>
    </row>
    <row r="3258" spans="1:40" x14ac:dyDescent="0.25">
      <c r="A3258" t="str">
        <f>"20190303153833891"</f>
        <v>20190303153833891</v>
      </c>
      <c r="B3258" t="str">
        <f>"1551598713881333"</f>
        <v>1551598713881333</v>
      </c>
      <c r="C3258" t="s">
        <v>40</v>
      </c>
      <c r="D3258">
        <v>4.2401049999999998</v>
      </c>
      <c r="E3258">
        <v>0.48106910000000003</v>
      </c>
      <c r="F3258" t="s">
        <v>51</v>
      </c>
      <c r="G3258">
        <v>-496.10039999999998</v>
      </c>
      <c r="H3258" s="1">
        <v>2.1092430000000002E-6</v>
      </c>
      <c r="I3258">
        <v>277.70769999999999</v>
      </c>
      <c r="J3258">
        <v>-472.22469999999998</v>
      </c>
      <c r="K3258">
        <v>1.1217200000000001</v>
      </c>
      <c r="L3258">
        <v>284.21899999999999</v>
      </c>
      <c r="M3258">
        <v>-0.99985199999999996</v>
      </c>
      <c r="N3258">
        <v>-1.3446339999999999E-2</v>
      </c>
      <c r="O3258">
        <v>-1.072304E-2</v>
      </c>
      <c r="P3258">
        <v>-0.98038630000000004</v>
      </c>
      <c r="Q3258">
        <v>-5.2119209999999999E-2</v>
      </c>
      <c r="R3258">
        <v>-0.1900695</v>
      </c>
      <c r="S3258">
        <v>-2.9000240000000002</v>
      </c>
      <c r="T3258">
        <v>-0.13559779999999999</v>
      </c>
      <c r="U3258">
        <v>-0.787323</v>
      </c>
      <c r="V3258">
        <v>-0.179508</v>
      </c>
      <c r="W3258">
        <v>-3.9075180000000001E-2</v>
      </c>
      <c r="X3258">
        <v>0.98298019999999997</v>
      </c>
      <c r="Y3258">
        <v>-0.25131179999999997</v>
      </c>
      <c r="Z3258">
        <v>-7.1383719999999996E-3</v>
      </c>
      <c r="AA3258">
        <v>0.96787979999999996</v>
      </c>
      <c r="AB3258">
        <v>19</v>
      </c>
      <c r="AC3258">
        <v>-23.875699999999899</v>
      </c>
      <c r="AD3258">
        <v>-1.121717890757</v>
      </c>
      <c r="AE3258">
        <v>-6.5113000000000003</v>
      </c>
      <c r="AF3258">
        <v>-6.2420582063244998</v>
      </c>
      <c r="AG3258">
        <v>-1.121717890757</v>
      </c>
      <c r="AH3258">
        <v>23.895062657320199</v>
      </c>
      <c r="AI3258">
        <v>92.600550595004194</v>
      </c>
      <c r="AJ3258">
        <v>104.6400978236</v>
      </c>
      <c r="AK3258">
        <v>24.722369649263999</v>
      </c>
      <c r="AL3258">
        <v>92.239412953217794</v>
      </c>
      <c r="AM3258">
        <v>100.349094042899</v>
      </c>
      <c r="AN3258">
        <v>1.0000000326740299</v>
      </c>
    </row>
    <row r="3259" spans="1:40" x14ac:dyDescent="0.25">
      <c r="A3259" t="str">
        <f>"20190303153833906"</f>
        <v>20190303153833906</v>
      </c>
      <c r="B3259" t="str">
        <f>"1551598713901829"</f>
        <v>1551598713901829</v>
      </c>
      <c r="C3259" t="s">
        <v>40</v>
      </c>
      <c r="D3259">
        <v>4.2385580000000003</v>
      </c>
      <c r="E3259">
        <v>0.48871530000000002</v>
      </c>
      <c r="F3259" t="s">
        <v>51</v>
      </c>
      <c r="G3259">
        <v>-495.25700000000001</v>
      </c>
      <c r="H3259" s="1">
        <v>2.4049719999999999E-6</v>
      </c>
      <c r="I3259">
        <v>278.53739999999999</v>
      </c>
      <c r="J3259">
        <v>-472.36070000000001</v>
      </c>
      <c r="K3259">
        <v>1.1217269999999999</v>
      </c>
      <c r="L3259">
        <v>284.21690000000001</v>
      </c>
      <c r="M3259">
        <v>-0.99984600000000001</v>
      </c>
      <c r="N3259">
        <v>-1.344683E-2</v>
      </c>
      <c r="O3259">
        <v>-1.128783E-2</v>
      </c>
      <c r="P3259">
        <v>-0.9804292</v>
      </c>
      <c r="Q3259">
        <v>-5.1948300000000003E-2</v>
      </c>
      <c r="R3259">
        <v>-0.1898957</v>
      </c>
      <c r="S3259">
        <v>-2.913208</v>
      </c>
      <c r="T3259">
        <v>-0.141878799999999</v>
      </c>
      <c r="U3259">
        <v>-0.71862789999999999</v>
      </c>
      <c r="V3259">
        <v>-0.17877889999999999</v>
      </c>
      <c r="W3259">
        <v>-3.8901089999999999E-2</v>
      </c>
      <c r="X3259">
        <v>0.98311999999999999</v>
      </c>
      <c r="Y3259">
        <v>-0.22820219999999999</v>
      </c>
      <c r="Z3259">
        <v>-6.6383429999999997E-3</v>
      </c>
      <c r="AA3259">
        <v>0.97359110000000004</v>
      </c>
      <c r="AB3259">
        <v>19</v>
      </c>
      <c r="AC3259">
        <v>-22.896299999999901</v>
      </c>
      <c r="AD3259">
        <v>-1.1217245950279999</v>
      </c>
      <c r="AE3259">
        <v>-5.6795000000000098</v>
      </c>
      <c r="AF3259">
        <v>-5.4084364929322604</v>
      </c>
      <c r="AG3259">
        <v>-1.1217245950279999</v>
      </c>
      <c r="AH3259">
        <v>22.907161889741801</v>
      </c>
      <c r="AI3259">
        <v>92.728536243474807</v>
      </c>
      <c r="AJ3259">
        <v>103.284395135686</v>
      </c>
      <c r="AK3259">
        <v>23.563690653376302</v>
      </c>
      <c r="AL3259">
        <v>92.229430675802305</v>
      </c>
      <c r="AM3259">
        <v>100.306528127519</v>
      </c>
      <c r="AN3259">
        <v>1.00000006214419</v>
      </c>
    </row>
    <row r="3260" spans="1:40" x14ac:dyDescent="0.25">
      <c r="A3260" t="str">
        <f>"20190303153833921"</f>
        <v>20190303153833921</v>
      </c>
      <c r="B3260" t="str">
        <f>"1551598713911589"</f>
        <v>1551598713911589</v>
      </c>
      <c r="C3260" t="s">
        <v>40</v>
      </c>
      <c r="D3260">
        <v>4.2185519999999999</v>
      </c>
      <c r="E3260">
        <v>0.49053279999999999</v>
      </c>
      <c r="F3260" t="s">
        <v>51</v>
      </c>
      <c r="G3260">
        <v>-494.91849999999999</v>
      </c>
      <c r="H3260" s="1">
        <v>2.5712679999999998E-6</v>
      </c>
      <c r="I3260">
        <v>279.14080000000001</v>
      </c>
      <c r="J3260">
        <v>-472.48009999999999</v>
      </c>
      <c r="K3260">
        <v>1.1217379999999999</v>
      </c>
      <c r="L3260">
        <v>284.21499999999997</v>
      </c>
      <c r="M3260">
        <v>-0.99983999999999995</v>
      </c>
      <c r="N3260">
        <v>-1.3472700000000001E-2</v>
      </c>
      <c r="O3260">
        <v>-1.1778790000000001E-2</v>
      </c>
      <c r="P3260">
        <v>-0.98043139999999995</v>
      </c>
      <c r="Q3260">
        <v>-5.2056199999999997E-2</v>
      </c>
      <c r="R3260">
        <v>-0.1898542</v>
      </c>
      <c r="S3260">
        <v>-2.924744</v>
      </c>
      <c r="T3260">
        <v>-0.14543719999999999</v>
      </c>
      <c r="U3260">
        <v>-0.65814209999999995</v>
      </c>
      <c r="V3260">
        <v>-0.17825469999999999</v>
      </c>
      <c r="W3260">
        <v>-3.8982219999999998E-2</v>
      </c>
      <c r="X3260">
        <v>0.98321190000000003</v>
      </c>
      <c r="Y3260">
        <v>-0.2077224</v>
      </c>
      <c r="Z3260">
        <v>-6.0943209999999998E-3</v>
      </c>
      <c r="AA3260">
        <v>0.97816879999999995</v>
      </c>
      <c r="AB3260">
        <v>19</v>
      </c>
      <c r="AC3260">
        <v>-22.438400000000001</v>
      </c>
      <c r="AD3260">
        <v>-1.1217354287319901</v>
      </c>
      <c r="AE3260">
        <v>-5.0741999999999603</v>
      </c>
      <c r="AF3260">
        <v>-4.7981188122829899</v>
      </c>
      <c r="AG3260">
        <v>-1.1217354287319901</v>
      </c>
      <c r="AH3260">
        <v>22.443255602689199</v>
      </c>
      <c r="AI3260">
        <v>92.798188742965394</v>
      </c>
      <c r="AJ3260">
        <v>102.067538363816</v>
      </c>
      <c r="AK3260">
        <v>22.9778144425552</v>
      </c>
      <c r="AL3260">
        <v>92.2340827586779</v>
      </c>
      <c r="AM3260">
        <v>100.27601302985499</v>
      </c>
      <c r="AN3260">
        <v>0.99999999592491395</v>
      </c>
    </row>
    <row r="3261" spans="1:40" x14ac:dyDescent="0.25">
      <c r="A3261" t="str">
        <f>"20190303153833935"</f>
        <v>20190303153833935</v>
      </c>
      <c r="B3261" t="str">
        <f>"1551598713932086"</f>
        <v>1551598713932086</v>
      </c>
      <c r="C3261" t="s">
        <v>40</v>
      </c>
      <c r="D3261">
        <v>4.2420580000000001</v>
      </c>
      <c r="E3261">
        <v>0.49255939999999998</v>
      </c>
      <c r="F3261" t="s">
        <v>51</v>
      </c>
      <c r="G3261">
        <v>-494.52749999999997</v>
      </c>
      <c r="H3261" s="1">
        <v>2.6802580000000001E-6</v>
      </c>
      <c r="I3261">
        <v>279.36579999999998</v>
      </c>
      <c r="J3261">
        <v>-472.59210000000002</v>
      </c>
      <c r="K3261">
        <v>1.1217520000000001</v>
      </c>
      <c r="L3261">
        <v>284.2131</v>
      </c>
      <c r="M3261">
        <v>-0.99983379999999999</v>
      </c>
      <c r="N3261">
        <v>-1.352502E-2</v>
      </c>
      <c r="O3261">
        <v>-1.2238809999999999E-2</v>
      </c>
      <c r="P3261">
        <v>-0.98042669999999998</v>
      </c>
      <c r="Q3261">
        <v>-5.2287460000000001E-2</v>
      </c>
      <c r="R3261">
        <v>-0.1898155</v>
      </c>
      <c r="S3261">
        <v>-2.9272770000000001</v>
      </c>
      <c r="T3261">
        <v>-0.14893480000000001</v>
      </c>
      <c r="U3261">
        <v>-0.64382930000000005</v>
      </c>
      <c r="V3261">
        <v>-0.1777639</v>
      </c>
      <c r="W3261">
        <v>-3.9160260000000002E-2</v>
      </c>
      <c r="X3261">
        <v>0.98329370000000005</v>
      </c>
      <c r="Y3261">
        <v>-0.20252619999999999</v>
      </c>
      <c r="Z3261">
        <v>-6.0238089999999998E-3</v>
      </c>
      <c r="AA3261">
        <v>0.97925830000000003</v>
      </c>
      <c r="AB3261">
        <v>19</v>
      </c>
      <c r="AC3261">
        <v>-21.935399999999898</v>
      </c>
      <c r="AD3261">
        <v>-1.1217493197419901</v>
      </c>
      <c r="AE3261">
        <v>-4.8473000000000104</v>
      </c>
      <c r="AF3261">
        <v>-4.5670616052766499</v>
      </c>
      <c r="AG3261">
        <v>-1.1217493197419901</v>
      </c>
      <c r="AH3261">
        <v>21.938385925704999</v>
      </c>
      <c r="AI3261">
        <v>92.865754531037496</v>
      </c>
      <c r="AJ3261">
        <v>101.759689598956</v>
      </c>
      <c r="AK3261">
        <v>22.436781192227699</v>
      </c>
      <c r="AL3261">
        <v>92.244291450958997</v>
      </c>
      <c r="AM3261">
        <v>100.24748536201901</v>
      </c>
      <c r="AN3261">
        <v>1.0000000152830799</v>
      </c>
    </row>
    <row r="3262" spans="1:40" x14ac:dyDescent="0.25">
      <c r="A3262" t="str">
        <f>"20190303153833946"</f>
        <v>20190303153833946</v>
      </c>
      <c r="B3262" t="str">
        <f>"1551598713941845"</f>
        <v>1551598713941845</v>
      </c>
      <c r="C3262" t="s">
        <v>40</v>
      </c>
      <c r="D3262">
        <v>4.2114050000000001</v>
      </c>
      <c r="E3262">
        <v>0.49321140000000002</v>
      </c>
      <c r="F3262" t="s">
        <v>51</v>
      </c>
      <c r="G3262">
        <v>-493.97280000000001</v>
      </c>
      <c r="H3262" s="1">
        <v>2.8241359999999999E-6</v>
      </c>
      <c r="I3262">
        <v>279.63189999999997</v>
      </c>
      <c r="J3262">
        <v>-472.69510000000002</v>
      </c>
      <c r="K3262">
        <v>1.1217649999999999</v>
      </c>
      <c r="L3262">
        <v>284.21129999999999</v>
      </c>
      <c r="M3262">
        <v>-0.99982729999999997</v>
      </c>
      <c r="N3262">
        <v>-1.360768E-2</v>
      </c>
      <c r="O3262">
        <v>-1.2663000000000001E-2</v>
      </c>
      <c r="P3262">
        <v>-0.98054490000000005</v>
      </c>
      <c r="Q3262">
        <v>-5.3218649999999999E-2</v>
      </c>
      <c r="R3262">
        <v>-0.18894330000000001</v>
      </c>
      <c r="S3262">
        <v>-2.930145</v>
      </c>
      <c r="T3262">
        <v>-0.15373129999999999</v>
      </c>
      <c r="U3262">
        <v>-0.62783809999999995</v>
      </c>
      <c r="V3262">
        <v>-0.17647270000000001</v>
      </c>
      <c r="W3262">
        <v>-4.0005220000000001E-2</v>
      </c>
      <c r="X3262">
        <v>0.98349229999999999</v>
      </c>
      <c r="Y3262">
        <v>-0.196794</v>
      </c>
      <c r="Z3262">
        <v>-5.9704019999999997E-3</v>
      </c>
      <c r="AA3262">
        <v>0.98042669999999998</v>
      </c>
      <c r="AB3262">
        <v>19</v>
      </c>
      <c r="AC3262">
        <v>-21.2776999999999</v>
      </c>
      <c r="AD3262">
        <v>-1.121762175864</v>
      </c>
      <c r="AE3262">
        <v>-4.5794000000000201</v>
      </c>
      <c r="AF3262">
        <v>-4.2981508591726598</v>
      </c>
      <c r="AG3262">
        <v>-1.121762175864</v>
      </c>
      <c r="AH3262">
        <v>21.277467250523799</v>
      </c>
      <c r="AI3262">
        <v>92.958233591602195</v>
      </c>
      <c r="AJ3262">
        <v>101.420339291716</v>
      </c>
      <c r="AK3262">
        <v>21.736215489006401</v>
      </c>
      <c r="AL3262">
        <v>92.292741943943497</v>
      </c>
      <c r="AM3262">
        <v>100.172600866701</v>
      </c>
      <c r="AN3262">
        <v>1.00000006781591</v>
      </c>
    </row>
    <row r="3263" spans="1:40" x14ac:dyDescent="0.25">
      <c r="A3263" t="str">
        <f>"20190303153833964"</f>
        <v>20190303153833964</v>
      </c>
      <c r="B3263" t="str">
        <f>"1551598713951605"</f>
        <v>1551598713951605</v>
      </c>
      <c r="C3263" t="s">
        <v>40</v>
      </c>
      <c r="D3263">
        <v>4.2231949999999996</v>
      </c>
      <c r="E3263">
        <v>0.4936663</v>
      </c>
      <c r="F3263" t="s">
        <v>51</v>
      </c>
      <c r="G3263">
        <v>-493.65260000000001</v>
      </c>
      <c r="H3263" s="1">
        <v>2.8937820000000001E-6</v>
      </c>
      <c r="I3263">
        <v>279.77879999999999</v>
      </c>
      <c r="J3263">
        <v>-472.83980000000003</v>
      </c>
      <c r="K3263">
        <v>1.1218140000000001</v>
      </c>
      <c r="L3263">
        <v>284.2088</v>
      </c>
      <c r="M3263">
        <v>-0.99981640000000005</v>
      </c>
      <c r="N3263">
        <v>-1.383969E-2</v>
      </c>
      <c r="O3263">
        <v>-1.3262950000000001E-2</v>
      </c>
      <c r="P3263">
        <v>-0.98054839999999999</v>
      </c>
      <c r="Q3263">
        <v>-5.3786979999999998E-2</v>
      </c>
      <c r="R3263">
        <v>-0.1887645</v>
      </c>
      <c r="S3263">
        <v>-2.931549</v>
      </c>
      <c r="T3263">
        <v>-0.15691329999999901</v>
      </c>
      <c r="U3263">
        <v>-0.62002559999999995</v>
      </c>
      <c r="V3263">
        <v>-0.17570439999999901</v>
      </c>
      <c r="W3263">
        <v>-4.033979E-2</v>
      </c>
      <c r="X3263">
        <v>0.98361609999999999</v>
      </c>
      <c r="Y3263">
        <v>-0.19360189999999999</v>
      </c>
      <c r="Z3263">
        <v>-5.9568260000000001E-3</v>
      </c>
      <c r="AA3263">
        <v>0.98106210000000005</v>
      </c>
      <c r="AB3263">
        <v>19</v>
      </c>
      <c r="AC3263">
        <v>-20.8127999999999</v>
      </c>
      <c r="AD3263">
        <v>-1.1218111062179901</v>
      </c>
      <c r="AE3263">
        <v>-4.43</v>
      </c>
      <c r="AF3263">
        <v>-4.1420327984013499</v>
      </c>
      <c r="AG3263">
        <v>-1.1218111062179901</v>
      </c>
      <c r="AH3263">
        <v>20.811887035684201</v>
      </c>
      <c r="AI3263">
        <v>93.0261580150665</v>
      </c>
      <c r="AJ3263">
        <v>101.25606722178399</v>
      </c>
      <c r="AK3263">
        <v>21.2496950059795</v>
      </c>
      <c r="AL3263">
        <v>92.311927073566693</v>
      </c>
      <c r="AM3263">
        <v>100.12798342631</v>
      </c>
      <c r="AN3263">
        <v>0.99999998350790598</v>
      </c>
    </row>
    <row r="3264" spans="1:40" x14ac:dyDescent="0.25">
      <c r="A3264" t="str">
        <f>"20190303153833978"</f>
        <v>20190303153833978</v>
      </c>
      <c r="B3264" t="str">
        <f>"1551598713972102"</f>
        <v>1551598713972102</v>
      </c>
      <c r="C3264" t="s">
        <v>40</v>
      </c>
      <c r="D3264">
        <v>4.2343229999999998</v>
      </c>
      <c r="E3264">
        <v>0.49403550000000002</v>
      </c>
      <c r="F3264" t="s">
        <v>51</v>
      </c>
      <c r="G3264">
        <v>-493.51299999999998</v>
      </c>
      <c r="H3264" s="1">
        <v>2.9262270000000001E-6</v>
      </c>
      <c r="I3264">
        <v>279.86660000000001</v>
      </c>
      <c r="J3264">
        <v>-472.96780000000001</v>
      </c>
      <c r="K3264">
        <v>1.1218779999999999</v>
      </c>
      <c r="L3264">
        <v>284.20650000000001</v>
      </c>
      <c r="M3264">
        <v>-0.99980500000000005</v>
      </c>
      <c r="N3264">
        <v>-1.4137490000000001E-2</v>
      </c>
      <c r="O3264">
        <v>-1.379498E-2</v>
      </c>
      <c r="P3264">
        <v>-0.98046509999999998</v>
      </c>
      <c r="Q3264">
        <v>-5.4133840000000003E-2</v>
      </c>
      <c r="R3264">
        <v>-0.18909809999999999</v>
      </c>
      <c r="S3264">
        <v>-2.93222</v>
      </c>
      <c r="T3264">
        <v>-0.1591147</v>
      </c>
      <c r="U3264">
        <v>-0.61587519999999996</v>
      </c>
      <c r="V3264">
        <v>-0.17551649999999999</v>
      </c>
      <c r="W3264">
        <v>-4.0390160000000001E-2</v>
      </c>
      <c r="X3264">
        <v>0.98364759999999996</v>
      </c>
      <c r="Y3264">
        <v>-0.19169839999999999</v>
      </c>
      <c r="Z3264">
        <v>-5.9655869999999996E-3</v>
      </c>
      <c r="AA3264">
        <v>0.98143579999999997</v>
      </c>
      <c r="AB3264">
        <v>19</v>
      </c>
      <c r="AC3264">
        <v>-20.545200000000001</v>
      </c>
      <c r="AD3264">
        <v>-1.1218750737729899</v>
      </c>
      <c r="AE3264">
        <v>-4.3399000000000001</v>
      </c>
      <c r="AF3264">
        <v>-4.0444935705693199</v>
      </c>
      <c r="AG3264">
        <v>-1.1218750737729899</v>
      </c>
      <c r="AH3264">
        <v>20.544477995731199</v>
      </c>
      <c r="AI3264">
        <v>93.066904169333299</v>
      </c>
      <c r="AJ3264">
        <v>101.13712827113601</v>
      </c>
      <c r="AK3264">
        <v>20.9688365924439</v>
      </c>
      <c r="AL3264">
        <v>92.314815368811495</v>
      </c>
      <c r="AM3264">
        <v>100.117059022411</v>
      </c>
      <c r="AN3264">
        <v>1.0000000038914101</v>
      </c>
    </row>
    <row r="3265" spans="1:40" x14ac:dyDescent="0.25">
      <c r="A3265" t="str">
        <f>"20190303153833992"</f>
        <v>20190303153833992</v>
      </c>
      <c r="B3265" t="str">
        <f>"1551598713981861"</f>
        <v>1551598713981861</v>
      </c>
      <c r="C3265" t="s">
        <v>40</v>
      </c>
      <c r="D3265">
        <v>4.2542260000000001</v>
      </c>
      <c r="E3265">
        <v>0.49419679999999999</v>
      </c>
      <c r="F3265" t="s">
        <v>51</v>
      </c>
      <c r="G3265">
        <v>-493.44830000000002</v>
      </c>
      <c r="H3265" s="1">
        <v>2.9422E-6</v>
      </c>
      <c r="I3265">
        <v>279.91820000000001</v>
      </c>
      <c r="J3265">
        <v>-473.07670000000002</v>
      </c>
      <c r="K3265">
        <v>1.121942</v>
      </c>
      <c r="L3265">
        <v>284.20440000000002</v>
      </c>
      <c r="M3265">
        <v>-0.99979430000000002</v>
      </c>
      <c r="N3265">
        <v>-1.4439749999999999E-2</v>
      </c>
      <c r="O3265">
        <v>-1.424869E-2</v>
      </c>
      <c r="P3265">
        <v>-0.9804233</v>
      </c>
      <c r="Q3265">
        <v>-5.4167180000000002E-2</v>
      </c>
      <c r="R3265">
        <v>-0.18930459999999999</v>
      </c>
      <c r="S3265">
        <v>-2.9325260000000002</v>
      </c>
      <c r="T3265">
        <v>-0.16063649999999999</v>
      </c>
      <c r="U3265">
        <v>-0.6140137</v>
      </c>
      <c r="V3265">
        <v>-0.17527870000000001</v>
      </c>
      <c r="W3265">
        <v>-4.0122980000000003E-2</v>
      </c>
      <c r="X3265">
        <v>0.98370089999999999</v>
      </c>
      <c r="Y3265">
        <v>-0.19063050000000001</v>
      </c>
      <c r="Z3265">
        <v>-5.9860649999999996E-3</v>
      </c>
      <c r="AA3265">
        <v>0.98164359999999995</v>
      </c>
      <c r="AB3265">
        <v>19</v>
      </c>
      <c r="AC3265">
        <v>-20.371600000000001</v>
      </c>
      <c r="AD3265">
        <v>-1.1219390577999999</v>
      </c>
      <c r="AE3265">
        <v>-4.2862</v>
      </c>
      <c r="AF3265">
        <v>-3.9838945827029999</v>
      </c>
      <c r="AG3265">
        <v>-1.1219390577999999</v>
      </c>
      <c r="AH3265">
        <v>20.3714410964234</v>
      </c>
      <c r="AI3265">
        <v>93.093840236317007</v>
      </c>
      <c r="AJ3265">
        <v>101.065266536718</v>
      </c>
      <c r="AK3265">
        <v>20.787635162291899</v>
      </c>
      <c r="AL3265">
        <v>92.2994947447079</v>
      </c>
      <c r="AM3265">
        <v>100.103098257276</v>
      </c>
      <c r="AN3265">
        <v>0.99999996842928895</v>
      </c>
    </row>
    <row r="3266" spans="1:40" x14ac:dyDescent="0.25">
      <c r="A3266" t="str">
        <f>"20190303153834011"</f>
        <v>20190303153834011</v>
      </c>
      <c r="B3266" t="str">
        <f>"1551598714001381"</f>
        <v>1551598714001381</v>
      </c>
      <c r="C3266" t="s">
        <v>40</v>
      </c>
      <c r="D3266">
        <v>4.2480520000000004</v>
      </c>
      <c r="E3266">
        <v>0.49435590000000001</v>
      </c>
      <c r="F3266" t="s">
        <v>51</v>
      </c>
      <c r="G3266">
        <v>-493.54969999999997</v>
      </c>
      <c r="H3266" s="1">
        <v>2.9245620000000001E-6</v>
      </c>
      <c r="I3266">
        <v>279.9221</v>
      </c>
      <c r="J3266">
        <v>-473.22039999999998</v>
      </c>
      <c r="K3266">
        <v>1.1220289999999999</v>
      </c>
      <c r="L3266">
        <v>284.20170000000002</v>
      </c>
      <c r="M3266">
        <v>-0.99977870000000002</v>
      </c>
      <c r="N3266">
        <v>-1.4901319999999999E-2</v>
      </c>
      <c r="O3266">
        <v>-1.4846959999999999E-2</v>
      </c>
      <c r="P3266">
        <v>-0.9802921</v>
      </c>
      <c r="Q3266">
        <v>-5.4412450000000001E-2</v>
      </c>
      <c r="R3266">
        <v>-0.189912</v>
      </c>
      <c r="S3266">
        <v>-2.932617</v>
      </c>
      <c r="T3266">
        <v>-0.16070970000000001</v>
      </c>
      <c r="U3266">
        <v>-0.61340329999999998</v>
      </c>
      <c r="V3266">
        <v>-0.17529990000000001</v>
      </c>
      <c r="W3266">
        <v>-3.9912370000000003E-2</v>
      </c>
      <c r="X3266">
        <v>0.98370570000000002</v>
      </c>
      <c r="Y3266">
        <v>-0.18984010000000001</v>
      </c>
      <c r="Z3266">
        <v>-5.9880970000000004E-3</v>
      </c>
      <c r="AA3266">
        <v>0.98179669999999997</v>
      </c>
      <c r="AB3266">
        <v>19</v>
      </c>
      <c r="AC3266">
        <v>-20.3292999999999</v>
      </c>
      <c r="AD3266">
        <v>-1.122026075438</v>
      </c>
      <c r="AE3266">
        <v>-4.2796000000000101</v>
      </c>
      <c r="AF3266">
        <v>-3.96569861091172</v>
      </c>
      <c r="AG3266">
        <v>-1.122026075438</v>
      </c>
      <c r="AH3266">
        <v>20.331299473404702</v>
      </c>
      <c r="AI3266">
        <v>93.100472922827194</v>
      </c>
      <c r="AJ3266">
        <v>101.03718234010201</v>
      </c>
      <c r="AK3266">
        <v>20.7448173350313</v>
      </c>
      <c r="AL3266">
        <v>92.287417983977704</v>
      </c>
      <c r="AM3266">
        <v>100.104246763972</v>
      </c>
      <c r="AN3266">
        <v>0.99999997821575803</v>
      </c>
    </row>
    <row r="3267" spans="1:40" x14ac:dyDescent="0.25">
      <c r="A3267" t="str">
        <f>"20190303153834025"</f>
        <v>20190303153834025</v>
      </c>
      <c r="B3267" t="str">
        <f>"1551598714021876"</f>
        <v>1551598714021876</v>
      </c>
      <c r="C3267" t="s">
        <v>40</v>
      </c>
      <c r="D3267">
        <v>4.2898489999999896</v>
      </c>
      <c r="E3267">
        <v>0.49419229999999997</v>
      </c>
      <c r="F3267" t="s">
        <v>51</v>
      </c>
      <c r="G3267">
        <v>-493.37329999999997</v>
      </c>
      <c r="H3267" s="1">
        <v>2.9610199999999998E-6</v>
      </c>
      <c r="I3267">
        <v>279.98129999999998</v>
      </c>
      <c r="J3267">
        <v>-473.3476</v>
      </c>
      <c r="K3267">
        <v>1.1221049999999999</v>
      </c>
      <c r="L3267">
        <v>284.19920000000002</v>
      </c>
      <c r="M3267">
        <v>-0.9997644</v>
      </c>
      <c r="N3267">
        <v>-1.5334179999999999E-2</v>
      </c>
      <c r="O3267">
        <v>-1.5372E-2</v>
      </c>
      <c r="P3267">
        <v>-0.98009080000000004</v>
      </c>
      <c r="Q3267">
        <v>-5.4741650000000003E-2</v>
      </c>
      <c r="R3267">
        <v>-0.1908561</v>
      </c>
      <c r="S3267">
        <v>-2.9322810000000001</v>
      </c>
      <c r="T3267">
        <v>-0.16325680000000001</v>
      </c>
      <c r="U3267">
        <v>-0.61407469999999997</v>
      </c>
      <c r="V3267">
        <v>-0.17573069999999999</v>
      </c>
      <c r="W3267">
        <v>-3.9817449999999997E-2</v>
      </c>
      <c r="X3267">
        <v>0.98363270000000003</v>
      </c>
      <c r="Y3267">
        <v>-0.18955130000000001</v>
      </c>
      <c r="Z3267">
        <v>-6.0740539999999997E-3</v>
      </c>
      <c r="AA3267">
        <v>0.98185210000000001</v>
      </c>
      <c r="AB3267">
        <v>18</v>
      </c>
      <c r="AC3267">
        <v>-20.025699999999901</v>
      </c>
      <c r="AD3267">
        <v>-1.1221020389799901</v>
      </c>
      <c r="AE3267">
        <v>-4.2179000000000402</v>
      </c>
      <c r="AF3267">
        <v>-3.8978121529871399</v>
      </c>
      <c r="AG3267">
        <v>-1.1221020389799901</v>
      </c>
      <c r="AH3267">
        <v>20.027967594364199</v>
      </c>
      <c r="AI3267">
        <v>93.147806567497696</v>
      </c>
      <c r="AJ3267">
        <v>101.013147505462</v>
      </c>
      <c r="AK3267">
        <v>20.434567245888999</v>
      </c>
      <c r="AL3267">
        <v>92.281975095799098</v>
      </c>
      <c r="AM3267">
        <v>100.129300618469</v>
      </c>
      <c r="AN3267">
        <v>0.99999999837814102</v>
      </c>
    </row>
    <row r="3268" spans="1:40" x14ac:dyDescent="0.25">
      <c r="A3268" t="str">
        <f>"20190303153834049"</f>
        <v>20190303153834049</v>
      </c>
      <c r="B3268" t="str">
        <f>"1551598714041397"</f>
        <v>1551598714041397</v>
      </c>
      <c r="C3268" t="s">
        <v>40</v>
      </c>
      <c r="D3268">
        <v>4.3391440000000001</v>
      </c>
      <c r="E3268">
        <v>0.49377169999999998</v>
      </c>
      <c r="F3268" t="s">
        <v>51</v>
      </c>
      <c r="G3268">
        <v>-492.983</v>
      </c>
      <c r="H3268" s="1">
        <v>3.0370650000000002E-6</v>
      </c>
      <c r="I3268">
        <v>280.0591</v>
      </c>
      <c r="J3268">
        <v>-473.53100000000001</v>
      </c>
      <c r="K3268">
        <v>1.122206</v>
      </c>
      <c r="L3268">
        <v>284.19540000000001</v>
      </c>
      <c r="M3268">
        <v>-0.99974260000000004</v>
      </c>
      <c r="N3268">
        <v>-1.596297E-2</v>
      </c>
      <c r="O3268">
        <v>-1.612218E-2</v>
      </c>
      <c r="P3268">
        <v>-0.97974119999999998</v>
      </c>
      <c r="Q3268">
        <v>-5.6341120000000001E-2</v>
      </c>
      <c r="R3268">
        <v>-0.19217999999999999</v>
      </c>
      <c r="S3268">
        <v>-2.9312130000000001</v>
      </c>
      <c r="T3268">
        <v>-0.16750999999999999</v>
      </c>
      <c r="U3268">
        <v>-0.61804199999999998</v>
      </c>
      <c r="V3268">
        <v>-0.1763216</v>
      </c>
      <c r="W3268">
        <v>-4.0802739999999997E-2</v>
      </c>
      <c r="X3268">
        <v>0.98348659999999999</v>
      </c>
      <c r="Y3268">
        <v>-0.19013840000000001</v>
      </c>
      <c r="Z3268">
        <v>-6.2496849999999996E-3</v>
      </c>
      <c r="AA3268">
        <v>0.98173739999999998</v>
      </c>
      <c r="AB3268">
        <v>18</v>
      </c>
      <c r="AC3268">
        <v>-19.452000000000002</v>
      </c>
      <c r="AD3268">
        <v>-1.1222029629350001</v>
      </c>
      <c r="AE3268">
        <v>-4.1363000000000003</v>
      </c>
      <c r="AF3268">
        <v>-3.8099816959752402</v>
      </c>
      <c r="AG3268">
        <v>-1.1222029629350001</v>
      </c>
      <c r="AH3268">
        <v>19.4542186040483</v>
      </c>
      <c r="AI3268">
        <v>93.239993408954803</v>
      </c>
      <c r="AJ3268">
        <v>101.080758612777</v>
      </c>
      <c r="AK3268">
        <v>19.855526220873301</v>
      </c>
      <c r="AL3268">
        <v>92.338473901043798</v>
      </c>
      <c r="AM3268">
        <v>100.164130192793</v>
      </c>
      <c r="AN3268">
        <v>1.00000003129881</v>
      </c>
    </row>
    <row r="3269" spans="1:40" x14ac:dyDescent="0.25">
      <c r="A3269" t="str">
        <f>"20190303153834070"</f>
        <v>20190303153834070</v>
      </c>
      <c r="B3269" t="str">
        <f>"1551598714061893"</f>
        <v>1551598714061893</v>
      </c>
      <c r="C3269" t="s">
        <v>40</v>
      </c>
      <c r="D3269">
        <v>4.3092540000000001</v>
      </c>
      <c r="E3269">
        <v>0.49353859999999999</v>
      </c>
      <c r="F3269" t="s">
        <v>51</v>
      </c>
      <c r="G3269">
        <v>-492.28579999999999</v>
      </c>
      <c r="H3269" s="1">
        <v>3.1724579999999998E-6</v>
      </c>
      <c r="I3269">
        <v>280.19319999999999</v>
      </c>
      <c r="J3269">
        <v>-473.70569999999998</v>
      </c>
      <c r="K3269">
        <v>1.1222829999999999</v>
      </c>
      <c r="L3269">
        <v>284.19170000000003</v>
      </c>
      <c r="M3269">
        <v>-0.99972130000000003</v>
      </c>
      <c r="N3269">
        <v>-1.6553599999999901E-2</v>
      </c>
      <c r="O3269">
        <v>-1.6833560000000001E-2</v>
      </c>
      <c r="P3269">
        <v>-0.97931279999999998</v>
      </c>
      <c r="Q3269">
        <v>-5.7647440000000001E-2</v>
      </c>
      <c r="R3269">
        <v>-0.19396730000000001</v>
      </c>
      <c r="S3269">
        <v>-2.9293819999999999</v>
      </c>
      <c r="T3269">
        <v>-0.175281399999999</v>
      </c>
      <c r="U3269">
        <v>-0.62512209999999901</v>
      </c>
      <c r="V3269">
        <v>-0.1774154</v>
      </c>
      <c r="W3269">
        <v>-4.1533649999999998E-2</v>
      </c>
      <c r="X3269">
        <v>0.98325929999999995</v>
      </c>
      <c r="Y3269">
        <v>-0.19179640000000001</v>
      </c>
      <c r="Z3269">
        <v>-6.5571809999999996E-3</v>
      </c>
      <c r="AA3269">
        <v>0.98141279999999997</v>
      </c>
      <c r="AB3269">
        <v>18</v>
      </c>
      <c r="AC3269">
        <v>-18.580100000000002</v>
      </c>
      <c r="AD3269">
        <v>-1.1222798275419901</v>
      </c>
      <c r="AE3269">
        <v>-3.9985000000000301</v>
      </c>
      <c r="AF3269">
        <v>-3.67231604492375</v>
      </c>
      <c r="AG3269">
        <v>-1.1222798275419901</v>
      </c>
      <c r="AH3269">
        <v>18.5799974072022</v>
      </c>
      <c r="AI3269">
        <v>93.391167350943306</v>
      </c>
      <c r="AJ3269">
        <v>101.180347064975</v>
      </c>
      <c r="AK3269">
        <v>18.972657188616299</v>
      </c>
      <c r="AL3269">
        <v>92.380387424440102</v>
      </c>
      <c r="AM3269">
        <v>100.22817026659401</v>
      </c>
      <c r="AN3269">
        <v>1.0000000596379801</v>
      </c>
    </row>
    <row r="3270" spans="1:40" x14ac:dyDescent="0.25">
      <c r="A3270" t="str">
        <f>"20190303153834086"</f>
        <v>20190303153834086</v>
      </c>
      <c r="B3270" t="str">
        <f>"1551598714081413"</f>
        <v>1551598714081413</v>
      </c>
      <c r="C3270" t="s">
        <v>40</v>
      </c>
      <c r="D3270">
        <v>4.2927860000000004</v>
      </c>
      <c r="E3270">
        <v>0.49344650000000001</v>
      </c>
      <c r="F3270" t="s">
        <v>51</v>
      </c>
      <c r="G3270">
        <v>-491.81529999999998</v>
      </c>
      <c r="H3270" s="1">
        <v>3.2635589999999999E-6</v>
      </c>
      <c r="I3270">
        <v>280.28070000000002</v>
      </c>
      <c r="J3270">
        <v>-473.83499999999998</v>
      </c>
      <c r="K3270">
        <v>1.122331</v>
      </c>
      <c r="L3270">
        <v>284.18880000000001</v>
      </c>
      <c r="M3270">
        <v>-0.99970510000000001</v>
      </c>
      <c r="N3270">
        <v>-1.698059E-2</v>
      </c>
      <c r="O3270">
        <v>-1.7364060000000001E-2</v>
      </c>
      <c r="P3270">
        <v>-0.97902789999999995</v>
      </c>
      <c r="Q3270">
        <v>-5.8945640000000001E-2</v>
      </c>
      <c r="R3270">
        <v>-0.19501250000000001</v>
      </c>
      <c r="S3270">
        <v>-2.9274900000000001</v>
      </c>
      <c r="T3270">
        <v>-0.18142150000000001</v>
      </c>
      <c r="U3270">
        <v>-0.63223269999999998</v>
      </c>
      <c r="V3270">
        <v>-0.17794380000000001</v>
      </c>
      <c r="W3270">
        <v>-4.2413609999999997E-2</v>
      </c>
      <c r="X3270">
        <v>0.98312619999999895</v>
      </c>
      <c r="Y3270">
        <v>-0.1936512</v>
      </c>
      <c r="Z3270">
        <v>-6.8206919999999997E-3</v>
      </c>
      <c r="AA3270">
        <v>0.98104669999999905</v>
      </c>
      <c r="AB3270">
        <v>18</v>
      </c>
      <c r="AC3270">
        <v>-17.9803</v>
      </c>
      <c r="AD3270">
        <v>-1.122327736441</v>
      </c>
      <c r="AE3270">
        <v>-3.9080999999999899</v>
      </c>
      <c r="AF3270">
        <v>-3.58192814729642</v>
      </c>
      <c r="AG3270">
        <v>-1.122327736441</v>
      </c>
      <c r="AH3270">
        <v>17.9785698839123</v>
      </c>
      <c r="AI3270">
        <v>93.503424111176301</v>
      </c>
      <c r="AJ3270">
        <v>101.267682055028</v>
      </c>
      <c r="AK3270">
        <v>18.366240874797899</v>
      </c>
      <c r="AL3270">
        <v>92.430849990832897</v>
      </c>
      <c r="AM3270">
        <v>100.25934644316099</v>
      </c>
      <c r="AN3270">
        <v>1.00000001769905</v>
      </c>
    </row>
    <row r="3271" spans="1:40" x14ac:dyDescent="0.25">
      <c r="A3271" t="str">
        <f>"20190303153834099"</f>
        <v>20190303153834099</v>
      </c>
      <c r="B3271" t="str">
        <f>"1551598714092150"</f>
        <v>1551598714092150</v>
      </c>
      <c r="C3271" t="s">
        <v>40</v>
      </c>
      <c r="D3271">
        <v>4.3198589999999903</v>
      </c>
      <c r="E3271">
        <v>0.49335059999999897</v>
      </c>
      <c r="F3271" t="s">
        <v>51</v>
      </c>
      <c r="G3271">
        <v>-491.45440000000002</v>
      </c>
      <c r="H3271" s="1">
        <v>3.3344549999999998E-6</v>
      </c>
      <c r="I3271">
        <v>280.35930000000002</v>
      </c>
      <c r="J3271">
        <v>-473.94619999999998</v>
      </c>
      <c r="K3271">
        <v>1.1223609999999999</v>
      </c>
      <c r="L3271">
        <v>284.18630000000002</v>
      </c>
      <c r="M3271">
        <v>-0.999691</v>
      </c>
      <c r="N3271">
        <v>-1.7334970000000002E-2</v>
      </c>
      <c r="O3271">
        <v>-1.7824220000000002E-2</v>
      </c>
      <c r="P3271">
        <v>-0.97877170000000002</v>
      </c>
      <c r="Q3271">
        <v>-5.95626E-2</v>
      </c>
      <c r="R3271">
        <v>-0.1961087</v>
      </c>
      <c r="S3271">
        <v>-2.9263919999999999</v>
      </c>
      <c r="T3271">
        <v>-0.18640689999999999</v>
      </c>
      <c r="U3271">
        <v>-0.63604740000000004</v>
      </c>
      <c r="V3271">
        <v>-0.17859239999999901</v>
      </c>
      <c r="W3271">
        <v>-4.2682989999999997E-2</v>
      </c>
      <c r="X3271">
        <v>0.98299689999999995</v>
      </c>
      <c r="Y3271">
        <v>-0.19447159999999999</v>
      </c>
      <c r="Z3271">
        <v>-7.0083630000000001E-3</v>
      </c>
      <c r="AA3271">
        <v>0.98088310000000001</v>
      </c>
      <c r="AB3271">
        <v>18</v>
      </c>
      <c r="AC3271">
        <v>-17.508199999999999</v>
      </c>
      <c r="AD3271">
        <v>-1.122357665545</v>
      </c>
      <c r="AE3271">
        <v>-3.8269999999999902</v>
      </c>
      <c r="AF3271">
        <v>-3.5005457666664501</v>
      </c>
      <c r="AG3271">
        <v>-1.122357665545</v>
      </c>
      <c r="AH3271">
        <v>17.504986333733601</v>
      </c>
      <c r="AI3271">
        <v>93.597546055637295</v>
      </c>
      <c r="AJ3271">
        <v>101.308511495533</v>
      </c>
      <c r="AK3271">
        <v>17.8868122911305</v>
      </c>
      <c r="AL3271">
        <v>92.4462983750674</v>
      </c>
      <c r="AM3271">
        <v>100.297268345029</v>
      </c>
      <c r="AN3271">
        <v>0.99999999419135499</v>
      </c>
    </row>
    <row r="3272" spans="1:40" x14ac:dyDescent="0.25">
      <c r="A3272" t="str">
        <f>"20190303153834113"</f>
        <v>20190303153834113</v>
      </c>
      <c r="B3272" t="str">
        <f>"1551598714101909"</f>
        <v>1551598714101909</v>
      </c>
      <c r="C3272" t="s">
        <v>40</v>
      </c>
      <c r="D3272">
        <v>4.2937589999999997</v>
      </c>
      <c r="E3272">
        <v>0.49321179999999898</v>
      </c>
      <c r="F3272" t="s">
        <v>51</v>
      </c>
      <c r="G3272">
        <v>-491.33139999999997</v>
      </c>
      <c r="H3272" s="1">
        <v>3.3581749999999998E-6</v>
      </c>
      <c r="I3272">
        <v>280.3811</v>
      </c>
      <c r="J3272">
        <v>-474.04910000000001</v>
      </c>
      <c r="K3272">
        <v>1.1223860000000001</v>
      </c>
      <c r="L3272">
        <v>284.18400000000003</v>
      </c>
      <c r="M3272">
        <v>-0.9996777</v>
      </c>
      <c r="N3272">
        <v>-1.765189E-2</v>
      </c>
      <c r="O3272">
        <v>-1.825177E-2</v>
      </c>
      <c r="P3272">
        <v>-0.97850219999999999</v>
      </c>
      <c r="Q3272">
        <v>-6.0208039999999997E-2</v>
      </c>
      <c r="R3272">
        <v>-0.19725329999999999</v>
      </c>
      <c r="S3272">
        <v>-2.9253230000000001</v>
      </c>
      <c r="T3272">
        <v>-0.18885399999999999</v>
      </c>
      <c r="U3272">
        <v>-0.64028929999999995</v>
      </c>
      <c r="V3272">
        <v>-0.17932190000000001</v>
      </c>
      <c r="W3272">
        <v>-4.3017850000000003E-2</v>
      </c>
      <c r="X3272">
        <v>0.98284950000000004</v>
      </c>
      <c r="Y3272">
        <v>-0.1954688</v>
      </c>
      <c r="Z3272">
        <v>-7.1328669999999898E-3</v>
      </c>
      <c r="AA3272">
        <v>0.980684</v>
      </c>
      <c r="AB3272">
        <v>18</v>
      </c>
      <c r="AC3272">
        <v>-17.2822999999999</v>
      </c>
      <c r="AD3272">
        <v>-1.122382641825</v>
      </c>
      <c r="AE3272">
        <v>-3.8029000000000202</v>
      </c>
      <c r="AF3272">
        <v>-3.4728137244881201</v>
      </c>
      <c r="AG3272">
        <v>-1.122382641825</v>
      </c>
      <c r="AH3272">
        <v>17.279327053073398</v>
      </c>
      <c r="AI3272">
        <v>93.643778171330894</v>
      </c>
      <c r="AJ3272">
        <v>101.363958985694</v>
      </c>
      <c r="AK3272">
        <v>17.660558353765001</v>
      </c>
      <c r="AL3272">
        <v>92.465502040990103</v>
      </c>
      <c r="AM3272">
        <v>100.339941576683</v>
      </c>
      <c r="AN3272">
        <v>1.0000000094442401</v>
      </c>
    </row>
    <row r="3273" spans="1:40" x14ac:dyDescent="0.25">
      <c r="A3273" t="str">
        <f>"20190303153834125"</f>
        <v>20190303153834125</v>
      </c>
      <c r="B3273" t="str">
        <f>"1551598714121429"</f>
        <v>1551598714121429</v>
      </c>
      <c r="C3273" t="s">
        <v>40</v>
      </c>
      <c r="D3273">
        <v>4.2908249999999999</v>
      </c>
      <c r="E3273">
        <v>0.49297279999999999</v>
      </c>
      <c r="F3273" t="s">
        <v>51</v>
      </c>
      <c r="G3273">
        <v>-491.14800000000002</v>
      </c>
      <c r="H3273" s="1">
        <v>3.3936040000000001E-6</v>
      </c>
      <c r="I3273">
        <v>280.41419999999999</v>
      </c>
      <c r="J3273">
        <v>-474.142</v>
      </c>
      <c r="K3273">
        <v>1.1224000000000001</v>
      </c>
      <c r="L3273">
        <v>284.18180000000001</v>
      </c>
      <c r="M3273">
        <v>-0.99966560000000004</v>
      </c>
      <c r="N3273">
        <v>-1.792318E-2</v>
      </c>
      <c r="O3273">
        <v>-1.8640440000000001E-2</v>
      </c>
      <c r="P3273">
        <v>-0.97808139999999999</v>
      </c>
      <c r="Q3273">
        <v>-6.0766830000000001E-2</v>
      </c>
      <c r="R3273">
        <v>-0.19915869999999999</v>
      </c>
      <c r="S3273">
        <v>-2.9241329999999999</v>
      </c>
      <c r="T3273">
        <v>-0.191942</v>
      </c>
      <c r="U3273">
        <v>-0.64468380000000003</v>
      </c>
      <c r="V3273">
        <v>-0.18085319999999999</v>
      </c>
      <c r="W3273">
        <v>-4.3314119999999998E-2</v>
      </c>
      <c r="X3273">
        <v>0.98255590000000004</v>
      </c>
      <c r="Y3273">
        <v>-0.19655839999999999</v>
      </c>
      <c r="Z3273">
        <v>-7.2757619999999999E-3</v>
      </c>
      <c r="AA3273">
        <v>0.98046509999999998</v>
      </c>
      <c r="AB3273">
        <v>18</v>
      </c>
      <c r="AC3273">
        <v>-17.006</v>
      </c>
      <c r="AD3273">
        <v>-1.122396606396</v>
      </c>
      <c r="AE3273">
        <v>-3.7676000000000101</v>
      </c>
      <c r="AF3273">
        <v>-3.4356294905536102</v>
      </c>
      <c r="AG3273">
        <v>-1.122396606396</v>
      </c>
      <c r="AH3273">
        <v>17.002686657432701</v>
      </c>
      <c r="AI3273">
        <v>93.702171752912506</v>
      </c>
      <c r="AJ3273">
        <v>101.42359280619</v>
      </c>
      <c r="AK3273">
        <v>17.3825969782784</v>
      </c>
      <c r="AL3273">
        <v>92.482492810636899</v>
      </c>
      <c r="AM3273">
        <v>100.429357071738</v>
      </c>
      <c r="AN3273">
        <v>1.00000004478321</v>
      </c>
    </row>
    <row r="3274" spans="1:40" x14ac:dyDescent="0.25">
      <c r="A3274" t="str">
        <f>"20190303153834141"</f>
        <v>20190303153834141</v>
      </c>
      <c r="B3274" t="str">
        <f>"1551598714132166"</f>
        <v>1551598714132166</v>
      </c>
      <c r="C3274" t="s">
        <v>40</v>
      </c>
      <c r="D3274">
        <v>4.2919989999999997</v>
      </c>
      <c r="E3274">
        <v>0.49290840000000002</v>
      </c>
      <c r="F3274" t="s">
        <v>51</v>
      </c>
      <c r="G3274">
        <v>-490.89569999999998</v>
      </c>
      <c r="H3274" s="1">
        <v>3.4408970000000001E-6</v>
      </c>
      <c r="I3274">
        <v>280.44310000000002</v>
      </c>
      <c r="J3274">
        <v>-474.26650000000001</v>
      </c>
      <c r="K3274">
        <v>1.122417</v>
      </c>
      <c r="L3274">
        <v>284.17880000000002</v>
      </c>
      <c r="M3274">
        <v>-0.99964960000000003</v>
      </c>
      <c r="N3274">
        <v>-1.8266009999999999E-2</v>
      </c>
      <c r="O3274">
        <v>-1.9162080000000001E-2</v>
      </c>
      <c r="P3274">
        <v>-0.97777119999999995</v>
      </c>
      <c r="Q3274">
        <v>-6.1742449999999997E-2</v>
      </c>
      <c r="R3274">
        <v>-0.200378</v>
      </c>
      <c r="S3274">
        <v>-2.9223330000000001</v>
      </c>
      <c r="T3274">
        <v>-0.19577939999999999</v>
      </c>
      <c r="U3274">
        <v>-0.65213009999999905</v>
      </c>
      <c r="V3274">
        <v>-0.1815659</v>
      </c>
      <c r="W3274">
        <v>-4.3953180000000001E-2</v>
      </c>
      <c r="X3274">
        <v>0.98239600000000005</v>
      </c>
      <c r="Y3274">
        <v>-0.19852929999999999</v>
      </c>
      <c r="Z3274">
        <v>-7.4797839999999997E-3</v>
      </c>
      <c r="AA3274">
        <v>0.9800664</v>
      </c>
      <c r="AB3274">
        <v>18</v>
      </c>
      <c r="AC3274">
        <v>-16.629199999999901</v>
      </c>
      <c r="AD3274">
        <v>-1.122413559103</v>
      </c>
      <c r="AE3274">
        <v>-3.7357</v>
      </c>
      <c r="AF3274">
        <v>-3.4015583815153598</v>
      </c>
      <c r="AG3274">
        <v>-1.122413559103</v>
      </c>
      <c r="AH3274">
        <v>16.6256374355536</v>
      </c>
      <c r="AI3274">
        <v>93.784081275124095</v>
      </c>
      <c r="AJ3274">
        <v>101.56297489162201</v>
      </c>
      <c r="AK3274">
        <v>17.007122971243401</v>
      </c>
      <c r="AL3274">
        <v>92.519143321013402</v>
      </c>
      <c r="AM3274">
        <v>100.471216055089</v>
      </c>
      <c r="AN3274">
        <v>0.99999997944546104</v>
      </c>
    </row>
    <row r="3275" spans="1:40" x14ac:dyDescent="0.25">
      <c r="A3275" t="str">
        <f>"20190303153834155"</f>
        <v>20190303153834155</v>
      </c>
      <c r="B3275" t="str">
        <f>"1551598714151685"</f>
        <v>1551598714151685</v>
      </c>
      <c r="C3275" t="s">
        <v>40</v>
      </c>
      <c r="D3275">
        <v>4.3401079999999999</v>
      </c>
      <c r="E3275">
        <v>0.49263089999999998</v>
      </c>
      <c r="F3275" t="s">
        <v>51</v>
      </c>
      <c r="G3275">
        <v>-490.73579999999998</v>
      </c>
      <c r="H3275" s="1">
        <v>3.4724890000000001E-6</v>
      </c>
      <c r="I3275">
        <v>280.48020000000002</v>
      </c>
      <c r="J3275">
        <v>-474.37360000000001</v>
      </c>
      <c r="K3275">
        <v>1.1224289999999999</v>
      </c>
      <c r="L3275">
        <v>284.17619999999999</v>
      </c>
      <c r="M3275">
        <v>-0.99963570000000002</v>
      </c>
      <c r="N3275">
        <v>-1.8545909999999999E-2</v>
      </c>
      <c r="O3275">
        <v>-1.9610249999999999E-2</v>
      </c>
      <c r="P3275">
        <v>-0.97750400000000004</v>
      </c>
      <c r="Q3275">
        <v>-6.2396140000000003E-2</v>
      </c>
      <c r="R3275">
        <v>-0.20147660000000001</v>
      </c>
      <c r="S3275">
        <v>-2.9212039999999999</v>
      </c>
      <c r="T3275">
        <v>-0.1990854</v>
      </c>
      <c r="U3275">
        <v>-0.65603639999999996</v>
      </c>
      <c r="V3275">
        <v>-0.1822299</v>
      </c>
      <c r="W3275">
        <v>-4.4332429999999999E-2</v>
      </c>
      <c r="X3275">
        <v>0.98225609999999997</v>
      </c>
      <c r="Y3275">
        <v>-0.19939860000000001</v>
      </c>
      <c r="Z3275">
        <v>-7.61955599999999E-3</v>
      </c>
      <c r="AA3275">
        <v>0.97988889999999995</v>
      </c>
      <c r="AB3275">
        <v>17</v>
      </c>
      <c r="AC3275">
        <v>-16.362199999999898</v>
      </c>
      <c r="AD3275">
        <v>-1.122425527511</v>
      </c>
      <c r="AE3275">
        <v>-3.6959999999999602</v>
      </c>
      <c r="AF3275">
        <v>-3.3593261963289698</v>
      </c>
      <c r="AG3275">
        <v>-1.122425527511</v>
      </c>
      <c r="AH3275">
        <v>16.358302964859</v>
      </c>
      <c r="AI3275">
        <v>93.845204538739495</v>
      </c>
      <c r="AJ3275">
        <v>101.604869356336</v>
      </c>
      <c r="AK3275">
        <v>16.737353059796099</v>
      </c>
      <c r="AL3275">
        <v>92.540893708929204</v>
      </c>
      <c r="AM3275">
        <v>100.510121906962</v>
      </c>
      <c r="AN3275">
        <v>1.0000000733954499</v>
      </c>
    </row>
    <row r="3276" spans="1:40" x14ac:dyDescent="0.25">
      <c r="A3276" t="str">
        <f>"20190303153834170"</f>
        <v>20190303153834170</v>
      </c>
      <c r="B3276" t="str">
        <f>"1551598714161445"</f>
        <v>1551598714161445</v>
      </c>
      <c r="C3276" t="s">
        <v>40</v>
      </c>
      <c r="D3276">
        <v>4.381945</v>
      </c>
      <c r="E3276">
        <v>0.49249959999999998</v>
      </c>
      <c r="F3276" t="s">
        <v>51</v>
      </c>
      <c r="G3276">
        <v>-490.44459999999998</v>
      </c>
      <c r="H3276" s="1">
        <v>3.528816E-6</v>
      </c>
      <c r="I3276">
        <v>280.53359999999998</v>
      </c>
      <c r="J3276">
        <v>-474.48700000000002</v>
      </c>
      <c r="K3276">
        <v>1.1224369999999999</v>
      </c>
      <c r="L3276">
        <v>284.17340000000002</v>
      </c>
      <c r="M3276">
        <v>-0.99962099999999998</v>
      </c>
      <c r="N3276">
        <v>-1.8827900000000002E-2</v>
      </c>
      <c r="O3276">
        <v>-2.0083509999999999E-2</v>
      </c>
      <c r="P3276">
        <v>-0.97716289999999995</v>
      </c>
      <c r="Q3276">
        <v>-6.343182E-2</v>
      </c>
      <c r="R3276">
        <v>-0.20280380000000001</v>
      </c>
      <c r="S3276">
        <v>-2.9195859999999998</v>
      </c>
      <c r="T3276">
        <v>-0.20390929999999999</v>
      </c>
      <c r="U3276">
        <v>-0.66174319999999998</v>
      </c>
      <c r="V3276">
        <v>-0.18309900000000001</v>
      </c>
      <c r="W3276">
        <v>-4.5093080000000001E-2</v>
      </c>
      <c r="X3276">
        <v>0.98205980000000004</v>
      </c>
      <c r="Y3276">
        <v>-0.20084369999999999</v>
      </c>
      <c r="Z3276">
        <v>-7.8257969999999902E-3</v>
      </c>
      <c r="AA3276">
        <v>0.97959200000000002</v>
      </c>
      <c r="AB3276">
        <v>17</v>
      </c>
      <c r="AC3276">
        <v>-15.957599999999999</v>
      </c>
      <c r="AD3276">
        <v>-1.1224334711839901</v>
      </c>
      <c r="AE3276">
        <v>-3.6398000000000299</v>
      </c>
      <c r="AF3276">
        <v>-3.3029907558223299</v>
      </c>
      <c r="AG3276">
        <v>-1.1224334711839901</v>
      </c>
      <c r="AH3276">
        <v>15.9524714060618</v>
      </c>
      <c r="AI3276">
        <v>93.941433984708794</v>
      </c>
      <c r="AJ3276">
        <v>101.697908619375</v>
      </c>
      <c r="AK3276">
        <v>16.329450351787699</v>
      </c>
      <c r="AL3276">
        <v>92.584519457964703</v>
      </c>
      <c r="AM3276">
        <v>100.561185763813</v>
      </c>
      <c r="AN3276">
        <v>1.0000000402204601</v>
      </c>
    </row>
    <row r="3277" spans="1:40" x14ac:dyDescent="0.25">
      <c r="A3277" t="str">
        <f>"20190303153834185"</f>
        <v>20190303153834185</v>
      </c>
      <c r="B3277" t="str">
        <f>"1551598714181941"</f>
        <v>1551598714181941</v>
      </c>
      <c r="C3277" t="s">
        <v>40</v>
      </c>
      <c r="D3277">
        <v>4.398123</v>
      </c>
      <c r="E3277">
        <v>0.4921836</v>
      </c>
      <c r="F3277" t="s">
        <v>51</v>
      </c>
      <c r="G3277">
        <v>-490.23919999999998</v>
      </c>
      <c r="H3277" s="1">
        <v>3.5689619999999998E-6</v>
      </c>
      <c r="I3277">
        <v>280.57619999999997</v>
      </c>
      <c r="J3277">
        <v>-474.60590000000002</v>
      </c>
      <c r="K3277">
        <v>1.122444</v>
      </c>
      <c r="L3277">
        <v>284.17039999999997</v>
      </c>
      <c r="M3277">
        <v>-0.99960579999999999</v>
      </c>
      <c r="N3277">
        <v>-1.910038E-2</v>
      </c>
      <c r="O3277">
        <v>-2.0578430000000002E-2</v>
      </c>
      <c r="P3277">
        <v>-0.97694440000000005</v>
      </c>
      <c r="Q3277">
        <v>-6.4210169999999997E-2</v>
      </c>
      <c r="R3277">
        <v>-0.20360909999999999</v>
      </c>
      <c r="S3277">
        <v>-2.9183349999999999</v>
      </c>
      <c r="T3277">
        <v>-0.2079474</v>
      </c>
      <c r="U3277">
        <v>-0.66644289999999995</v>
      </c>
      <c r="V3277">
        <v>-0.18342339999999999</v>
      </c>
      <c r="W3277">
        <v>-4.560355E-2</v>
      </c>
      <c r="X3277">
        <v>0.98197570000000001</v>
      </c>
      <c r="Y3277">
        <v>-0.20192399999999999</v>
      </c>
      <c r="Z3277">
        <v>-7.9930829999999998E-3</v>
      </c>
      <c r="AA3277">
        <v>0.97936860000000003</v>
      </c>
      <c r="AB3277">
        <v>17</v>
      </c>
      <c r="AC3277">
        <v>-15.633299999999901</v>
      </c>
      <c r="AD3277">
        <v>-1.1224404310380001</v>
      </c>
      <c r="AE3277">
        <v>-3.5941999999999998</v>
      </c>
      <c r="AF3277">
        <v>-3.2557305722045502</v>
      </c>
      <c r="AG3277">
        <v>-1.1224404310380001</v>
      </c>
      <c r="AH3277">
        <v>15.6274502551874</v>
      </c>
      <c r="AI3277">
        <v>94.022143198427202</v>
      </c>
      <c r="AJ3277">
        <v>101.76833028659</v>
      </c>
      <c r="AK3277">
        <v>16.002401555965701</v>
      </c>
      <c r="AL3277">
        <v>92.613797324438295</v>
      </c>
      <c r="AM3277">
        <v>100.580360773614</v>
      </c>
      <c r="AN3277">
        <v>1.00000005141532</v>
      </c>
    </row>
    <row r="3278" spans="1:40" x14ac:dyDescent="0.25">
      <c r="A3278" t="str">
        <f>"20190303153834200"</f>
        <v>20190303153834200</v>
      </c>
      <c r="B3278" t="str">
        <f>"1551598714191701"</f>
        <v>1551598714191701</v>
      </c>
      <c r="C3278" t="s">
        <v>40</v>
      </c>
      <c r="D3278">
        <v>4.4323110000000003</v>
      </c>
      <c r="E3278">
        <v>0.49204179999999997</v>
      </c>
      <c r="F3278" t="s">
        <v>51</v>
      </c>
      <c r="G3278">
        <v>-489.89240000000001</v>
      </c>
      <c r="H3278" s="1">
        <v>3.613892E-6</v>
      </c>
      <c r="I3278">
        <v>280.65159999999997</v>
      </c>
      <c r="J3278">
        <v>-474.71140000000003</v>
      </c>
      <c r="K3278">
        <v>1.1224419999999999</v>
      </c>
      <c r="L3278">
        <v>284.16770000000002</v>
      </c>
      <c r="M3278">
        <v>-0.99959249999999999</v>
      </c>
      <c r="N3278">
        <v>-1.9324279999999999E-2</v>
      </c>
      <c r="O3278">
        <v>-2.1019280000000001E-2</v>
      </c>
      <c r="P3278">
        <v>-0.97674470000000002</v>
      </c>
      <c r="Q3278">
        <v>-6.4824129999999994E-2</v>
      </c>
      <c r="R3278">
        <v>-0.20437230000000001</v>
      </c>
      <c r="S3278">
        <v>-2.916779</v>
      </c>
      <c r="T3278">
        <v>-0.21416930000000001</v>
      </c>
      <c r="U3278">
        <v>-0.67141719999999905</v>
      </c>
      <c r="V3278">
        <v>-0.1837577</v>
      </c>
      <c r="W3278">
        <v>-4.5997789999999997E-2</v>
      </c>
      <c r="X3278">
        <v>0.98189470000000001</v>
      </c>
      <c r="Y3278">
        <v>-0.20315510000000001</v>
      </c>
      <c r="Z3278">
        <v>-8.2247229999999998E-3</v>
      </c>
      <c r="AA3278">
        <v>0.97911199999999998</v>
      </c>
      <c r="AB3278">
        <v>17</v>
      </c>
      <c r="AC3278">
        <v>-15.1809999999999</v>
      </c>
      <c r="AD3278">
        <v>-1.1224383861079901</v>
      </c>
      <c r="AE3278">
        <v>-3.51610000000005</v>
      </c>
      <c r="AF3278">
        <v>-3.1796723849922199</v>
      </c>
      <c r="AG3278">
        <v>-1.1224383861079901</v>
      </c>
      <c r="AH3278">
        <v>15.1728422862969</v>
      </c>
      <c r="AI3278">
        <v>94.141217726052403</v>
      </c>
      <c r="AJ3278">
        <v>101.83581814563701</v>
      </c>
      <c r="AK3278">
        <v>15.543015391208</v>
      </c>
      <c r="AL3278">
        <v>92.636409620205299</v>
      </c>
      <c r="AM3278">
        <v>100.60006210468801</v>
      </c>
      <c r="AN3278">
        <v>0.99999994544113002</v>
      </c>
    </row>
    <row r="3279" spans="1:40" x14ac:dyDescent="0.25">
      <c r="A3279" t="str">
        <f>"20190303153834214"</f>
        <v>20190303153834214</v>
      </c>
      <c r="B3279" t="str">
        <f>"1551598714212197"</f>
        <v>1551598714212197</v>
      </c>
      <c r="C3279" t="s">
        <v>40</v>
      </c>
      <c r="D3279">
        <v>4.4155419999999896</v>
      </c>
      <c r="E3279">
        <v>0.4917648</v>
      </c>
      <c r="F3279" t="s">
        <v>51</v>
      </c>
      <c r="G3279">
        <v>-489.80840000000001</v>
      </c>
      <c r="H3279" s="1">
        <v>3.6009830000000001E-6</v>
      </c>
      <c r="I3279">
        <v>280.67450000000002</v>
      </c>
      <c r="J3279">
        <v>-474.8168</v>
      </c>
      <c r="K3279">
        <v>1.1224499999999999</v>
      </c>
      <c r="L3279">
        <v>284.16489999999999</v>
      </c>
      <c r="M3279">
        <v>-0.999579</v>
      </c>
      <c r="N3279">
        <v>-1.9534360000000001E-2</v>
      </c>
      <c r="O3279">
        <v>-2.1461709999999998E-2</v>
      </c>
      <c r="P3279">
        <v>-0.97649090000000005</v>
      </c>
      <c r="Q3279">
        <v>-6.5708520000000006E-2</v>
      </c>
      <c r="R3279">
        <v>-0.20530119999999999</v>
      </c>
      <c r="S3279">
        <v>-2.9158330000000001</v>
      </c>
      <c r="T3279">
        <v>-0.2167876</v>
      </c>
      <c r="U3279">
        <v>-0.67468260000000002</v>
      </c>
      <c r="V3279">
        <v>-0.18425749999999999</v>
      </c>
      <c r="W3279">
        <v>-4.667748E-2</v>
      </c>
      <c r="X3279">
        <v>0.981769</v>
      </c>
      <c r="Y3279">
        <v>-0.203815</v>
      </c>
      <c r="Z3279">
        <v>-8.3301380000000008E-3</v>
      </c>
      <c r="AA3279">
        <v>0.97897400000000001</v>
      </c>
      <c r="AB3279">
        <v>17</v>
      </c>
      <c r="AC3279">
        <v>-14.9916</v>
      </c>
      <c r="AD3279">
        <v>-1.1224463990169999</v>
      </c>
      <c r="AE3279">
        <v>-3.4903999999999602</v>
      </c>
      <c r="AF3279">
        <v>-3.1510333429730601</v>
      </c>
      <c r="AG3279">
        <v>-1.1224463990169999</v>
      </c>
      <c r="AH3279">
        <v>14.9833953633728</v>
      </c>
      <c r="AI3279">
        <v>94.192802382893106</v>
      </c>
      <c r="AJ3279">
        <v>101.876333496122</v>
      </c>
      <c r="AK3279">
        <v>15.3522322045471</v>
      </c>
      <c r="AL3279">
        <v>92.675394745005406</v>
      </c>
      <c r="AM3279">
        <v>100.629566860186</v>
      </c>
      <c r="AN3279">
        <v>0.99999999140319995</v>
      </c>
    </row>
    <row r="3280" spans="1:40" x14ac:dyDescent="0.25">
      <c r="A3280" t="str">
        <f>"20190303153834227"</f>
        <v>20190303153834227</v>
      </c>
      <c r="B3280" t="str">
        <f>"1551598714221957"</f>
        <v>1551598714221957</v>
      </c>
      <c r="C3280" t="s">
        <v>40</v>
      </c>
      <c r="D3280">
        <v>4.4124939999999997</v>
      </c>
      <c r="E3280">
        <v>0.4916373</v>
      </c>
      <c r="F3280" t="s">
        <v>51</v>
      </c>
      <c r="G3280">
        <v>-489.54930000000002</v>
      </c>
      <c r="H3280" s="1">
        <v>3.5598280000000001E-6</v>
      </c>
      <c r="I3280">
        <v>280.7294</v>
      </c>
      <c r="J3280">
        <v>-474.91829999999999</v>
      </c>
      <c r="K3280">
        <v>1.122452</v>
      </c>
      <c r="L3280">
        <v>284.16219999999998</v>
      </c>
      <c r="M3280">
        <v>-0.99956599999999995</v>
      </c>
      <c r="N3280">
        <v>-1.972138E-2</v>
      </c>
      <c r="O3280">
        <v>-2.18912E-2</v>
      </c>
      <c r="P3280">
        <v>-0.97611740000000002</v>
      </c>
      <c r="Q3280">
        <v>-6.7067589999999996E-2</v>
      </c>
      <c r="R3280">
        <v>-0.20663329999999999</v>
      </c>
      <c r="S3280">
        <v>-2.9144290000000002</v>
      </c>
      <c r="T3280">
        <v>-0.22204689999999999</v>
      </c>
      <c r="U3280">
        <v>-0.67962650000000002</v>
      </c>
      <c r="V3280">
        <v>-0.18517539999999999</v>
      </c>
      <c r="W3280">
        <v>-4.785764E-2</v>
      </c>
      <c r="X3280">
        <v>0.98153950000000001</v>
      </c>
      <c r="Y3280">
        <v>-0.2050401</v>
      </c>
      <c r="Z3280">
        <v>-8.5326550000000001E-3</v>
      </c>
      <c r="AA3280">
        <v>0.97871640000000004</v>
      </c>
      <c r="AB3280">
        <v>17</v>
      </c>
      <c r="AC3280">
        <v>-14.631</v>
      </c>
      <c r="AD3280">
        <v>-1.1224484401719901</v>
      </c>
      <c r="AE3280">
        <v>-3.4327999999999799</v>
      </c>
      <c r="AF3280">
        <v>-3.0943629502713299</v>
      </c>
      <c r="AG3280">
        <v>-1.1224484401719901</v>
      </c>
      <c r="AH3280">
        <v>14.6210923898615</v>
      </c>
      <c r="AI3280">
        <v>94.295167086400795</v>
      </c>
      <c r="AJ3280">
        <v>101.949576671599</v>
      </c>
      <c r="AK3280">
        <v>14.9870382411509</v>
      </c>
      <c r="AL3280">
        <v>92.743088477385399</v>
      </c>
      <c r="AM3280">
        <v>100.68374379613</v>
      </c>
      <c r="AN3280">
        <v>1.0000000362658801</v>
      </c>
    </row>
    <row r="3281" spans="1:40" x14ac:dyDescent="0.25">
      <c r="A3281" t="str">
        <f>"20190303153834250"</f>
        <v>20190303153834250</v>
      </c>
      <c r="B3281" t="str">
        <f>"1551598714241477"</f>
        <v>1551598714241477</v>
      </c>
      <c r="C3281" t="s">
        <v>40</v>
      </c>
      <c r="D3281">
        <v>4.4369750000000003</v>
      </c>
      <c r="E3281">
        <v>0.49139660000000002</v>
      </c>
      <c r="F3281" t="s">
        <v>51</v>
      </c>
      <c r="G3281">
        <v>-489.26409999999998</v>
      </c>
      <c r="H3281" s="1">
        <v>3.5145879999999999E-6</v>
      </c>
      <c r="I3281">
        <v>280.79059999999998</v>
      </c>
      <c r="J3281">
        <v>-475.07819999999998</v>
      </c>
      <c r="K3281">
        <v>1.1224620000000001</v>
      </c>
      <c r="L3281">
        <v>284.15789999999998</v>
      </c>
      <c r="M3281">
        <v>-0.99954540000000003</v>
      </c>
      <c r="N3281">
        <v>-1.9986190000000001E-2</v>
      </c>
      <c r="O3281">
        <v>-2.2581170000000001E-2</v>
      </c>
      <c r="P3281">
        <v>-0.97573469999999995</v>
      </c>
      <c r="Q3281">
        <v>-6.7671880000000004E-2</v>
      </c>
      <c r="R3281">
        <v>-0.20823720000000001</v>
      </c>
      <c r="S3281">
        <v>-2.9128720000000001</v>
      </c>
      <c r="T3281">
        <v>-0.2279108</v>
      </c>
      <c r="U3281">
        <v>-0.68460080000000001</v>
      </c>
      <c r="V3281">
        <v>-0.18611059999999999</v>
      </c>
      <c r="W3281">
        <v>-4.8207050000000001E-2</v>
      </c>
      <c r="X3281">
        <v>0.98134549999999998</v>
      </c>
      <c r="Y3281">
        <v>-0.2060275</v>
      </c>
      <c r="Z3281">
        <v>-8.7364729999999998E-3</v>
      </c>
      <c r="AA3281">
        <v>0.97850720000000002</v>
      </c>
      <c r="AB3281">
        <v>17</v>
      </c>
      <c r="AC3281">
        <v>-14.1859</v>
      </c>
      <c r="AD3281">
        <v>-1.1224584854119899</v>
      </c>
      <c r="AE3281">
        <v>-3.3673000000000002</v>
      </c>
      <c r="AF3281">
        <v>-3.0280959187761001</v>
      </c>
      <c r="AG3281">
        <v>-1.1224584854119899</v>
      </c>
      <c r="AH3281">
        <v>14.174325493251301</v>
      </c>
      <c r="AI3281">
        <v>94.428266214286197</v>
      </c>
      <c r="AJ3281">
        <v>102.058966383243</v>
      </c>
      <c r="AK3281">
        <v>14.537564484239301</v>
      </c>
      <c r="AL3281">
        <v>92.763131338684801</v>
      </c>
      <c r="AM3281">
        <v>100.738522321182</v>
      </c>
      <c r="AN3281">
        <v>1.00000003273615</v>
      </c>
    </row>
    <row r="3282" spans="1:40" x14ac:dyDescent="0.25">
      <c r="A3282" t="str">
        <f>"20190303153834270"</f>
        <v>20190303153834270</v>
      </c>
      <c r="B3282" t="str">
        <f>"1551598714261974"</f>
        <v>1551598714261974</v>
      </c>
      <c r="C3282" t="s">
        <v>40</v>
      </c>
      <c r="D3282">
        <v>4.4254870000000004</v>
      </c>
      <c r="E3282">
        <v>0.49111159999999998</v>
      </c>
      <c r="F3282" t="s">
        <v>51</v>
      </c>
      <c r="G3282">
        <v>-489.21199999999999</v>
      </c>
      <c r="H3282" s="1">
        <v>3.5063260000000001E-6</v>
      </c>
      <c r="I3282">
        <v>280.80169999999998</v>
      </c>
      <c r="J3282">
        <v>-475.23250000000002</v>
      </c>
      <c r="K3282">
        <v>1.122474</v>
      </c>
      <c r="L3282">
        <v>284.15359999999998</v>
      </c>
      <c r="M3282">
        <v>-0.999525</v>
      </c>
      <c r="N3282">
        <v>-2.021127E-2</v>
      </c>
      <c r="O3282">
        <v>-2.3272250000000001E-2</v>
      </c>
      <c r="P3282">
        <v>-0.97526290000000004</v>
      </c>
      <c r="Q3282">
        <v>-6.8318669999999998E-2</v>
      </c>
      <c r="R3282">
        <v>-0.21022650000000001</v>
      </c>
      <c r="S3282">
        <v>-2.911041</v>
      </c>
      <c r="T3282">
        <v>-0.2311841</v>
      </c>
      <c r="U3282">
        <v>-0.69125369999999997</v>
      </c>
      <c r="V3282">
        <v>-0.18743119999999999</v>
      </c>
      <c r="W3282">
        <v>-4.8642930000000001E-2</v>
      </c>
      <c r="X3282">
        <v>0.98107259999999996</v>
      </c>
      <c r="Y3282">
        <v>-0.2075804</v>
      </c>
      <c r="Z3282">
        <v>-8.8930780000000004E-3</v>
      </c>
      <c r="AA3282">
        <v>0.97817750000000003</v>
      </c>
      <c r="AB3282">
        <v>16</v>
      </c>
      <c r="AC3282">
        <v>-13.9794999999999</v>
      </c>
      <c r="AD3282">
        <v>-1.122470493674</v>
      </c>
      <c r="AE3282">
        <v>-3.3519000000000001</v>
      </c>
      <c r="AF3282">
        <v>-3.0072568419327399</v>
      </c>
      <c r="AG3282">
        <v>-1.122470493674</v>
      </c>
      <c r="AH3282">
        <v>13.9685732411725</v>
      </c>
      <c r="AI3282">
        <v>94.491757675632599</v>
      </c>
      <c r="AJ3282">
        <v>102.14961468675</v>
      </c>
      <c r="AK3282">
        <v>14.332640095827401</v>
      </c>
      <c r="AL3282">
        <v>92.788134797235699</v>
      </c>
      <c r="AM3282">
        <v>100.815867062263</v>
      </c>
      <c r="AN3282">
        <v>1.00000001792159</v>
      </c>
    </row>
    <row r="3283" spans="1:40" x14ac:dyDescent="0.25">
      <c r="A3283" t="str">
        <f>"20190303153834293"</f>
        <v>20190303153834293</v>
      </c>
      <c r="B3283" t="str">
        <f>"1551598714281493"</f>
        <v>1551598714281493</v>
      </c>
      <c r="C3283" t="s">
        <v>40</v>
      </c>
      <c r="D3283">
        <v>4.434539</v>
      </c>
      <c r="E3283">
        <v>0.49084509999999998</v>
      </c>
      <c r="F3283" t="s">
        <v>51</v>
      </c>
      <c r="G3283">
        <v>-489.1173</v>
      </c>
      <c r="H3283" s="1">
        <v>3.4907910000000001E-6</v>
      </c>
      <c r="I3283">
        <v>280.81619999999998</v>
      </c>
      <c r="J3283">
        <v>-475.39319999999998</v>
      </c>
      <c r="K3283">
        <v>1.12249</v>
      </c>
      <c r="L3283">
        <v>284.14890000000003</v>
      </c>
      <c r="M3283">
        <v>-0.99950300000000003</v>
      </c>
      <c r="N3283">
        <v>-2.041782E-2</v>
      </c>
      <c r="O3283">
        <v>-2.4019769999999999E-2</v>
      </c>
      <c r="P3283">
        <v>-0.9745819</v>
      </c>
      <c r="Q3283">
        <v>-6.920809E-2</v>
      </c>
      <c r="R3283">
        <v>-0.2130746</v>
      </c>
      <c r="S3283">
        <v>-2.9089049999999999</v>
      </c>
      <c r="T3283">
        <v>-0.2351596</v>
      </c>
      <c r="U3283">
        <v>-0.69918819999999904</v>
      </c>
      <c r="V3283">
        <v>-0.1895598</v>
      </c>
      <c r="W3283">
        <v>-4.9346099999999997E-2</v>
      </c>
      <c r="X3283">
        <v>0.98062839999999996</v>
      </c>
      <c r="Y3283">
        <v>-0.20950269999999999</v>
      </c>
      <c r="Z3283">
        <v>-9.0829129999999998E-3</v>
      </c>
      <c r="AA3283">
        <v>0.97776589999999997</v>
      </c>
      <c r="AB3283">
        <v>16</v>
      </c>
      <c r="AC3283">
        <v>-13.7241</v>
      </c>
      <c r="AD3283">
        <v>-1.1224865092089999</v>
      </c>
      <c r="AE3283">
        <v>-3.33270000000004</v>
      </c>
      <c r="AF3283">
        <v>-2.98317488384596</v>
      </c>
      <c r="AG3283">
        <v>-1.1224865092089999</v>
      </c>
      <c r="AH3283">
        <v>13.7135773622232</v>
      </c>
      <c r="AI3283">
        <v>94.5728771862413</v>
      </c>
      <c r="AJ3283">
        <v>102.27260253268599</v>
      </c>
      <c r="AK3283">
        <v>14.0791161803803</v>
      </c>
      <c r="AL3283">
        <v>92.828471944152398</v>
      </c>
      <c r="AM3283">
        <v>100.940588247064</v>
      </c>
      <c r="AN3283">
        <v>1.0000000071238999</v>
      </c>
    </row>
    <row r="3284" spans="1:40" x14ac:dyDescent="0.25">
      <c r="A3284" t="str">
        <f>"20190303153834315"</f>
        <v>20190303153834315</v>
      </c>
      <c r="B3284" t="str">
        <f>"1551598714311750"</f>
        <v>1551598714311750</v>
      </c>
      <c r="C3284" t="s">
        <v>40</v>
      </c>
      <c r="D3284">
        <v>4.4006949999999998</v>
      </c>
      <c r="E3284">
        <v>0.4906065</v>
      </c>
      <c r="F3284" t="s">
        <v>51</v>
      </c>
      <c r="G3284">
        <v>-489.0034</v>
      </c>
      <c r="H3284" s="1">
        <v>3.4713149999999999E-6</v>
      </c>
      <c r="I3284">
        <v>280.82459999999998</v>
      </c>
      <c r="J3284">
        <v>-475.55259999999998</v>
      </c>
      <c r="K3284">
        <v>1.1225130000000001</v>
      </c>
      <c r="L3284">
        <v>284.14409999999998</v>
      </c>
      <c r="M3284">
        <v>-0.99948040000000005</v>
      </c>
      <c r="N3284">
        <v>-2.0598849999999998E-2</v>
      </c>
      <c r="O3284">
        <v>-2.4796470000000001E-2</v>
      </c>
      <c r="P3284">
        <v>-0.9736148</v>
      </c>
      <c r="Q3284">
        <v>-6.984311E-2</v>
      </c>
      <c r="R3284">
        <v>-0.21724850000000001</v>
      </c>
      <c r="S3284">
        <v>-2.9060969999999999</v>
      </c>
      <c r="T3284">
        <v>-0.239679</v>
      </c>
      <c r="U3284">
        <v>-0.70980829999999995</v>
      </c>
      <c r="V3284">
        <v>-0.19299269999999999</v>
      </c>
      <c r="W3284">
        <v>-4.9827959999999998E-2</v>
      </c>
      <c r="X3284">
        <v>0.97993419999999998</v>
      </c>
      <c r="Y3284">
        <v>-0.21229310000000001</v>
      </c>
      <c r="Z3284">
        <v>-9.3291309999999992E-3</v>
      </c>
      <c r="AA3284">
        <v>0.97716150000000002</v>
      </c>
      <c r="AB3284">
        <v>16</v>
      </c>
      <c r="AC3284">
        <v>-13.450799999999999</v>
      </c>
      <c r="AD3284">
        <v>-1.122509528685</v>
      </c>
      <c r="AE3284">
        <v>-3.3195000000000001</v>
      </c>
      <c r="AF3284">
        <v>-2.9654090939958802</v>
      </c>
      <c r="AG3284">
        <v>-1.122509528685</v>
      </c>
      <c r="AH3284">
        <v>13.440758675541799</v>
      </c>
      <c r="AI3284">
        <v>94.662383440405904</v>
      </c>
      <c r="AJ3284">
        <v>102.441740278005</v>
      </c>
      <c r="AK3284">
        <v>13.8096948739244</v>
      </c>
      <c r="AL3284">
        <v>92.8561144514441</v>
      </c>
      <c r="AM3284">
        <v>101.141502845421</v>
      </c>
      <c r="AN3284">
        <v>1.00000002209034</v>
      </c>
    </row>
    <row r="3285" spans="1:40" x14ac:dyDescent="0.25">
      <c r="A3285" t="str">
        <f>"20190303153834338"</f>
        <v>20190303153834338</v>
      </c>
      <c r="B3285" t="str">
        <f>"1551598714332257"</f>
        <v>1551598714332257</v>
      </c>
      <c r="C3285" t="s">
        <v>40</v>
      </c>
      <c r="D3285">
        <v>4.4668570000000001</v>
      </c>
      <c r="E3285">
        <v>0.49049009999999998</v>
      </c>
      <c r="F3285" t="s">
        <v>51</v>
      </c>
      <c r="G3285">
        <v>-488.94990000000001</v>
      </c>
      <c r="H3285" s="1">
        <v>3.4597999999999999E-6</v>
      </c>
      <c r="I3285">
        <v>280.80149999999998</v>
      </c>
      <c r="J3285">
        <v>-475.70819999999998</v>
      </c>
      <c r="K3285">
        <v>1.1225419999999999</v>
      </c>
      <c r="L3285">
        <v>284.13929999999999</v>
      </c>
      <c r="M3285">
        <v>-0.99945649999999997</v>
      </c>
      <c r="N3285">
        <v>-2.0768729999999999E-2</v>
      </c>
      <c r="O3285">
        <v>-2.55996E-2</v>
      </c>
      <c r="P3285">
        <v>-0.97250499999999995</v>
      </c>
      <c r="Q3285">
        <v>-7.0916939999999998E-2</v>
      </c>
      <c r="R3285">
        <v>-0.2218212</v>
      </c>
      <c r="S3285">
        <v>-2.9022830000000002</v>
      </c>
      <c r="T3285">
        <v>-0.24317220000000001</v>
      </c>
      <c r="U3285">
        <v>-0.72412109999999996</v>
      </c>
      <c r="V3285">
        <v>-0.19680329999999999</v>
      </c>
      <c r="W3285">
        <v>-5.0764030000000002E-2</v>
      </c>
      <c r="X3285">
        <v>0.97912790000000005</v>
      </c>
      <c r="Y3285">
        <v>-0.21630530000000001</v>
      </c>
      <c r="Z3285">
        <v>-9.6114019999999998E-3</v>
      </c>
      <c r="AA3285">
        <v>0.97627850000000005</v>
      </c>
      <c r="AB3285">
        <v>16</v>
      </c>
      <c r="AC3285">
        <v>-13.2417</v>
      </c>
      <c r="AD3285">
        <v>-1.1225385402000001</v>
      </c>
      <c r="AE3285">
        <v>-3.3378000000000099</v>
      </c>
      <c r="AF3285">
        <v>-2.97753074128735</v>
      </c>
      <c r="AG3285">
        <v>-1.1225385402000001</v>
      </c>
      <c r="AH3285">
        <v>13.233403510658301</v>
      </c>
      <c r="AI3285">
        <v>94.730857199226094</v>
      </c>
      <c r="AJ3285">
        <v>102.68044510658299</v>
      </c>
      <c r="AK3285">
        <v>13.6106116896137</v>
      </c>
      <c r="AL3285">
        <v>92.909815386459698</v>
      </c>
      <c r="AM3285">
        <v>101.364934773051</v>
      </c>
      <c r="AN3285">
        <v>0.99999998509556998</v>
      </c>
    </row>
    <row r="3286" spans="1:40" x14ac:dyDescent="0.25">
      <c r="A3286" t="str">
        <f>"20190303153834360"</f>
        <v>20190303153834360</v>
      </c>
      <c r="B3286" t="str">
        <f>"1551598714351765"</f>
        <v>1551598714351765</v>
      </c>
      <c r="C3286" t="s">
        <v>40</v>
      </c>
      <c r="D3286">
        <v>4.4926240000000002</v>
      </c>
      <c r="E3286">
        <v>0.49043170000000003</v>
      </c>
      <c r="F3286" t="s">
        <v>51</v>
      </c>
      <c r="G3286">
        <v>-488.88619999999997</v>
      </c>
      <c r="H3286" s="1">
        <v>3.4467139999999999E-6</v>
      </c>
      <c r="I3286">
        <v>280.78089999999997</v>
      </c>
      <c r="J3286">
        <v>-475.86540000000002</v>
      </c>
      <c r="K3286">
        <v>1.122587</v>
      </c>
      <c r="L3286">
        <v>284.13420000000002</v>
      </c>
      <c r="M3286">
        <v>-0.99942989999999998</v>
      </c>
      <c r="N3286">
        <v>-2.0965279999999999E-2</v>
      </c>
      <c r="O3286">
        <v>-2.646401E-2</v>
      </c>
      <c r="P3286">
        <v>-0.97099449999999998</v>
      </c>
      <c r="Q3286">
        <v>-7.261898E-2</v>
      </c>
      <c r="R3286">
        <v>-0.22780839999999999</v>
      </c>
      <c r="S3286">
        <v>-2.8983150000000002</v>
      </c>
      <c r="T3286">
        <v>-0.2468863</v>
      </c>
      <c r="U3286">
        <v>-0.73861690000000002</v>
      </c>
      <c r="V3286">
        <v>-0.20197789999999999</v>
      </c>
      <c r="W3286">
        <v>-5.2312490000000003E-2</v>
      </c>
      <c r="X3286">
        <v>0.97799199999999997</v>
      </c>
      <c r="Y3286">
        <v>-0.22032209999999999</v>
      </c>
      <c r="Z3286">
        <v>-9.9043900000000008E-3</v>
      </c>
      <c r="AA3286">
        <v>0.97537689999999999</v>
      </c>
      <c r="AB3286">
        <v>16</v>
      </c>
      <c r="AC3286">
        <v>-13.0207999999999</v>
      </c>
      <c r="AD3286">
        <v>-1.122583553286</v>
      </c>
      <c r="AE3286">
        <v>-3.3533000000000399</v>
      </c>
      <c r="AF3286">
        <v>-2.9866478534839001</v>
      </c>
      <c r="AG3286">
        <v>-1.122583553286</v>
      </c>
      <c r="AH3286">
        <v>13.0142810302683</v>
      </c>
      <c r="AI3286">
        <v>94.805690467285999</v>
      </c>
      <c r="AJ3286">
        <v>102.925010785634</v>
      </c>
      <c r="AK3286">
        <v>13.3996929057956</v>
      </c>
      <c r="AL3286">
        <v>92.998653607847004</v>
      </c>
      <c r="AM3286">
        <v>101.668846556943</v>
      </c>
      <c r="AN3286">
        <v>1.0000000103811999</v>
      </c>
    </row>
    <row r="3287" spans="1:40" x14ac:dyDescent="0.25">
      <c r="A3287" t="str">
        <f>"20190303153834382"</f>
        <v>20190303153834382</v>
      </c>
      <c r="B3287" t="str">
        <f>"1551598714371285"</f>
        <v>1551598714371285</v>
      </c>
      <c r="C3287" t="s">
        <v>40</v>
      </c>
      <c r="D3287">
        <v>4.359229</v>
      </c>
      <c r="E3287">
        <v>0.48905690000000002</v>
      </c>
      <c r="F3287" t="s">
        <v>51</v>
      </c>
      <c r="G3287">
        <v>-488.76440000000002</v>
      </c>
      <c r="H3287" s="1">
        <v>3.4232499999999998E-6</v>
      </c>
      <c r="I3287">
        <v>280.75959999999998</v>
      </c>
      <c r="J3287">
        <v>-476.01429999999999</v>
      </c>
      <c r="K3287">
        <v>1.1226849999999999</v>
      </c>
      <c r="L3287">
        <v>284.12920000000003</v>
      </c>
      <c r="M3287">
        <v>-0.99939860000000003</v>
      </c>
      <c r="N3287">
        <v>-2.1352820000000002E-2</v>
      </c>
      <c r="O3287">
        <v>-2.7323090000000001E-2</v>
      </c>
      <c r="P3287">
        <v>-0.96925600000000001</v>
      </c>
      <c r="Q3287">
        <v>-7.3887899999999895E-2</v>
      </c>
      <c r="R3287">
        <v>-0.2346985</v>
      </c>
      <c r="S3287">
        <v>-2.8931879999999999</v>
      </c>
      <c r="T3287">
        <v>-0.25178979999999901</v>
      </c>
      <c r="U3287">
        <v>-0.75689700000000004</v>
      </c>
      <c r="V3287">
        <v>-0.2080709</v>
      </c>
      <c r="W3287">
        <v>-5.3244439999999997E-2</v>
      </c>
      <c r="X3287">
        <v>0.97666350000000002</v>
      </c>
      <c r="Y3287">
        <v>-0.22561220000000001</v>
      </c>
      <c r="Z3287">
        <v>-1.033336E-2</v>
      </c>
      <c r="AA3287">
        <v>0.97416239999999998</v>
      </c>
      <c r="AB3287">
        <v>16</v>
      </c>
      <c r="AC3287">
        <v>-12.7501</v>
      </c>
      <c r="AD3287">
        <v>-1.12268157675</v>
      </c>
      <c r="AE3287">
        <v>-3.3696000000000401</v>
      </c>
      <c r="AF3287">
        <v>-2.9981617935422702</v>
      </c>
      <c r="AG3287">
        <v>-1.12268157675</v>
      </c>
      <c r="AH3287">
        <v>12.7450615097842</v>
      </c>
      <c r="AI3287">
        <v>94.900951642463994</v>
      </c>
      <c r="AJ3287">
        <v>103.237639436743</v>
      </c>
      <c r="AK3287">
        <v>13.1410038030286</v>
      </c>
      <c r="AL3287">
        <v>93.052124873798505</v>
      </c>
      <c r="AM3287">
        <v>102.02663975888299</v>
      </c>
      <c r="AN3287">
        <v>1.0000000310249799</v>
      </c>
    </row>
    <row r="3288" spans="1:40" x14ac:dyDescent="0.25">
      <c r="A3288" t="str">
        <f>"20190303153834405"</f>
        <v>20190303153834405</v>
      </c>
      <c r="B3288" t="str">
        <f>"1551598714401541"</f>
        <v>1551598714401541</v>
      </c>
      <c r="C3288" t="s">
        <v>40</v>
      </c>
      <c r="D3288">
        <v>4.2728210000000004</v>
      </c>
      <c r="E3288">
        <v>0.39993060000000002</v>
      </c>
      <c r="F3288" t="s">
        <v>51</v>
      </c>
      <c r="G3288">
        <v>-488.65539999999999</v>
      </c>
      <c r="H3288" s="1">
        <v>3.396608E-6</v>
      </c>
      <c r="I3288">
        <v>280.67610000000002</v>
      </c>
      <c r="J3288">
        <v>-476.16649999999998</v>
      </c>
      <c r="K3288">
        <v>1.122827</v>
      </c>
      <c r="L3288">
        <v>284.12389999999999</v>
      </c>
      <c r="M3288">
        <v>-0.99936060000000004</v>
      </c>
      <c r="N3288">
        <v>-2.1909379999999999E-2</v>
      </c>
      <c r="O3288">
        <v>-2.825863E-2</v>
      </c>
      <c r="P3288">
        <v>-0.96728890000000001</v>
      </c>
      <c r="Q3288">
        <v>-7.2270070000000006E-2</v>
      </c>
      <c r="R3288">
        <v>-0.24316570000000001</v>
      </c>
      <c r="S3288">
        <v>-2.884827</v>
      </c>
      <c r="T3288">
        <v>-0.2562064</v>
      </c>
      <c r="U3288">
        <v>-0.78802490000000003</v>
      </c>
      <c r="V3288">
        <v>-0.21567720000000001</v>
      </c>
      <c r="W3288">
        <v>-5.113177E-2</v>
      </c>
      <c r="X3288">
        <v>0.97512509999999997</v>
      </c>
      <c r="Y3288">
        <v>-0.2351087</v>
      </c>
      <c r="Z3288">
        <v>-1.1011959999999999E-2</v>
      </c>
      <c r="AA3288">
        <v>0.97190670000000001</v>
      </c>
      <c r="AB3288">
        <v>15</v>
      </c>
      <c r="AC3288">
        <v>-12.488899999999999</v>
      </c>
      <c r="AD3288">
        <v>-1.122823603392</v>
      </c>
      <c r="AE3288">
        <v>-3.4477999999999698</v>
      </c>
      <c r="AF3288">
        <v>-3.0703582318345801</v>
      </c>
      <c r="AG3288">
        <v>-1.122823603392</v>
      </c>
      <c r="AH3288">
        <v>12.487574125341199</v>
      </c>
      <c r="AI3288">
        <v>94.990111152727806</v>
      </c>
      <c r="AJ3288">
        <v>103.813481957772</v>
      </c>
      <c r="AK3288">
        <v>12.9084212842632</v>
      </c>
      <c r="AL3288">
        <v>92.930912584699399</v>
      </c>
      <c r="AM3288">
        <v>102.471836030714</v>
      </c>
      <c r="AN3288">
        <v>1.00000003657659</v>
      </c>
    </row>
    <row r="3289" spans="1:40" x14ac:dyDescent="0.25">
      <c r="A3289" t="str">
        <f>"20190303153834427"</f>
        <v>20190303153834427</v>
      </c>
      <c r="B3289" t="str">
        <f>"1551598714422037"</f>
        <v>1551598714422037</v>
      </c>
      <c r="C3289" t="s">
        <v>40</v>
      </c>
      <c r="D3289">
        <v>4.3033159999999997</v>
      </c>
      <c r="E3289">
        <v>0.39736389999999999</v>
      </c>
      <c r="F3289" t="s">
        <v>44</v>
      </c>
      <c r="G3289">
        <v>-477.00200000000001</v>
      </c>
      <c r="H3289">
        <v>1.047965</v>
      </c>
      <c r="I3289">
        <v>283.66000000000003</v>
      </c>
      <c r="J3289">
        <v>-476.3152</v>
      </c>
      <c r="K3289">
        <v>1.1229119999999999</v>
      </c>
      <c r="L3289">
        <v>284.11849999999998</v>
      </c>
      <c r="M3289">
        <v>-0.9993242</v>
      </c>
      <c r="N3289">
        <v>-2.224135E-2</v>
      </c>
      <c r="O3289">
        <v>-2.926579E-2</v>
      </c>
      <c r="P3289">
        <v>-0.96516120000000005</v>
      </c>
      <c r="Q3289">
        <v>-6.9673589999999994E-2</v>
      </c>
      <c r="R3289">
        <v>-0.25220969999999998</v>
      </c>
      <c r="S3289">
        <v>-2.7055660000000001</v>
      </c>
      <c r="T3289">
        <v>-0.24237739999999999</v>
      </c>
      <c r="U3289">
        <v>-1.5027469999999901</v>
      </c>
      <c r="V3289">
        <v>-0.22379669999999999</v>
      </c>
      <c r="W3289">
        <v>-4.8276149999999997E-2</v>
      </c>
      <c r="X3289">
        <v>0.97343950000000001</v>
      </c>
      <c r="Y3289">
        <v>-0.45797840000000001</v>
      </c>
      <c r="Z3289">
        <v>-2.2722740000000002E-2</v>
      </c>
      <c r="AA3289">
        <v>0.88867289999999999</v>
      </c>
      <c r="AB3289">
        <v>15</v>
      </c>
      <c r="AC3289">
        <v>-0.68679999999994801</v>
      </c>
      <c r="AD3289">
        <v>-7.4947000000000097E-2</v>
      </c>
      <c r="AE3289">
        <v>-0.458499999999958</v>
      </c>
      <c r="AF3289">
        <v>-0.43461877073942701</v>
      </c>
      <c r="AG3289">
        <v>-7.4947000000000097E-2</v>
      </c>
      <c r="AH3289">
        <v>0.69420905006290501</v>
      </c>
      <c r="AI3289">
        <v>95.228368478344905</v>
      </c>
      <c r="AJ3289">
        <v>122.049169530241</v>
      </c>
      <c r="AK3289">
        <v>0.82245773987317505</v>
      </c>
      <c r="AL3289">
        <v>92.767095169087497</v>
      </c>
      <c r="AM3289">
        <v>102.947488101133</v>
      </c>
      <c r="AN3289">
        <v>1.00000000487498</v>
      </c>
    </row>
    <row r="3290" spans="1:40" x14ac:dyDescent="0.25">
      <c r="A3290" t="str">
        <f>"20190303153834449"</f>
        <v>20190303153834449</v>
      </c>
      <c r="B3290" t="str">
        <f>"1551598714441557"</f>
        <v>1551598714441557</v>
      </c>
      <c r="C3290" t="s">
        <v>40</v>
      </c>
      <c r="D3290">
        <v>4.2734389999999998</v>
      </c>
      <c r="E3290">
        <v>0.39638000000000001</v>
      </c>
      <c r="F3290" t="s">
        <v>44</v>
      </c>
      <c r="G3290">
        <v>-477.11180000000002</v>
      </c>
      <c r="H3290">
        <v>1.0540130000000001</v>
      </c>
      <c r="I3290">
        <v>283.65960000000001</v>
      </c>
      <c r="J3290">
        <v>-476.45620000000002</v>
      </c>
      <c r="K3290">
        <v>1.122941</v>
      </c>
      <c r="L3290">
        <v>284.11309999999997</v>
      </c>
      <c r="M3290">
        <v>-0.99929199999999996</v>
      </c>
      <c r="N3290">
        <v>-2.2288329999999999E-2</v>
      </c>
      <c r="O3290">
        <v>-3.0314049999999999E-2</v>
      </c>
      <c r="P3290">
        <v>-0.96327700000000005</v>
      </c>
      <c r="Q3290">
        <v>-6.8689E-2</v>
      </c>
      <c r="R3290">
        <v>-0.25957560000000002</v>
      </c>
      <c r="S3290">
        <v>-2.6869510000000001</v>
      </c>
      <c r="T3290">
        <v>-0.23238300000000001</v>
      </c>
      <c r="U3290">
        <v>-1.5482180000000001</v>
      </c>
      <c r="V3290">
        <v>-0.23019129999999999</v>
      </c>
      <c r="W3290">
        <v>-4.7315469999999998E-2</v>
      </c>
      <c r="X3290">
        <v>0.97199449999999998</v>
      </c>
      <c r="Y3290">
        <v>-0.47105039999999998</v>
      </c>
      <c r="Z3290">
        <v>-2.272238E-2</v>
      </c>
      <c r="AA3290">
        <v>0.88181359999999998</v>
      </c>
      <c r="AB3290">
        <v>15</v>
      </c>
      <c r="AC3290">
        <v>-0.65559999999999197</v>
      </c>
      <c r="AD3290">
        <v>-6.89280000000001E-2</v>
      </c>
      <c r="AE3290">
        <v>-0.45349999999996199</v>
      </c>
      <c r="AF3290">
        <v>-0.43019632179641099</v>
      </c>
      <c r="AG3290">
        <v>-6.89280000000001E-2</v>
      </c>
      <c r="AH3290">
        <v>0.66408441248489702</v>
      </c>
      <c r="AI3290">
        <v>94.978625619391394</v>
      </c>
      <c r="AJ3290">
        <v>122.93531460761599</v>
      </c>
      <c r="AK3290">
        <v>0.79424684536771795</v>
      </c>
      <c r="AL3290">
        <v>92.711989161248098</v>
      </c>
      <c r="AM3290">
        <v>103.323530835236</v>
      </c>
      <c r="AN3290">
        <v>1.00000004816362</v>
      </c>
    </row>
    <row r="3291" spans="1:40" x14ac:dyDescent="0.25">
      <c r="A3291" t="str">
        <f>"20190303153834471"</f>
        <v>20190303153834471</v>
      </c>
      <c r="B3291" t="str">
        <f>"1551598714462055"</f>
        <v>1551598714462055</v>
      </c>
      <c r="C3291" t="s">
        <v>40</v>
      </c>
      <c r="D3291">
        <v>4.3155530000000004</v>
      </c>
      <c r="E3291">
        <v>0.39616259999999998</v>
      </c>
      <c r="F3291" t="s">
        <v>44</v>
      </c>
      <c r="G3291">
        <v>-477.28960000000001</v>
      </c>
      <c r="H3291">
        <v>1.0515589999999999</v>
      </c>
      <c r="I3291">
        <v>283.62200000000001</v>
      </c>
      <c r="J3291">
        <v>-476.59930000000003</v>
      </c>
      <c r="K3291">
        <v>1.122962</v>
      </c>
      <c r="L3291">
        <v>284.10739999999998</v>
      </c>
      <c r="M3291">
        <v>-0.999255</v>
      </c>
      <c r="N3291">
        <v>-2.2333459999999999E-2</v>
      </c>
      <c r="O3291">
        <v>-3.1473950000000001E-2</v>
      </c>
      <c r="P3291">
        <v>-0.96159150000000004</v>
      </c>
      <c r="Q3291">
        <v>-6.904449E-2</v>
      </c>
      <c r="R3291">
        <v>-0.26565889999999998</v>
      </c>
      <c r="S3291">
        <v>-2.6733090000000002</v>
      </c>
      <c r="T3291">
        <v>-0.22895190000000001</v>
      </c>
      <c r="U3291">
        <v>-1.576111</v>
      </c>
      <c r="V3291">
        <v>-0.23519109999999999</v>
      </c>
      <c r="W3291">
        <v>-4.7688429999999997E-2</v>
      </c>
      <c r="X3291">
        <v>0.97077849999999999</v>
      </c>
      <c r="Y3291">
        <v>-0.47882239999999998</v>
      </c>
      <c r="Z3291">
        <v>-2.2871570000000001E-2</v>
      </c>
      <c r="AA3291">
        <v>0.8776138</v>
      </c>
      <c r="AB3291">
        <v>15</v>
      </c>
      <c r="AC3291">
        <v>-0.69029999999997904</v>
      </c>
      <c r="AD3291">
        <v>-7.1403000000000105E-2</v>
      </c>
      <c r="AE3291">
        <v>-0.48539999999997002</v>
      </c>
      <c r="AF3291">
        <v>-0.46013324279589302</v>
      </c>
      <c r="AG3291">
        <v>-7.1403000000000105E-2</v>
      </c>
      <c r="AH3291">
        <v>0.70022592061381295</v>
      </c>
      <c r="AI3291">
        <v>94.870914029547194</v>
      </c>
      <c r="AJ3291">
        <v>123.309761082286</v>
      </c>
      <c r="AK3291">
        <v>0.84091457915434298</v>
      </c>
      <c r="AL3291">
        <v>92.733382563435498</v>
      </c>
      <c r="AM3291">
        <v>103.618680716165</v>
      </c>
      <c r="AN3291">
        <v>0.99999996796866097</v>
      </c>
    </row>
    <row r="3292" spans="1:40" x14ac:dyDescent="0.25">
      <c r="A3292" t="str">
        <f>"20190303153834494"</f>
        <v>20190303153834494</v>
      </c>
      <c r="B3292" t="str">
        <f>"1551598714481573"</f>
        <v>1551598714481573</v>
      </c>
      <c r="C3292" t="s">
        <v>40</v>
      </c>
      <c r="D3292">
        <v>4.2640039999999999</v>
      </c>
      <c r="E3292">
        <v>0.39643830000000002</v>
      </c>
      <c r="F3292" t="s">
        <v>44</v>
      </c>
      <c r="G3292">
        <v>-477.41609999999997</v>
      </c>
      <c r="H3292">
        <v>1.051866</v>
      </c>
      <c r="I3292">
        <v>283.61810000000003</v>
      </c>
      <c r="J3292">
        <v>-476.74040000000002</v>
      </c>
      <c r="K3292">
        <v>1.123005</v>
      </c>
      <c r="L3292">
        <v>284.10140000000001</v>
      </c>
      <c r="M3292">
        <v>-0.99921190000000004</v>
      </c>
      <c r="N3292">
        <v>-2.2496439999999999E-2</v>
      </c>
      <c r="O3292">
        <v>-3.2708220000000003E-2</v>
      </c>
      <c r="P3292">
        <v>-0.95982480000000003</v>
      </c>
      <c r="Q3292">
        <v>-7.0209229999999997E-2</v>
      </c>
      <c r="R3292">
        <v>-0.27167619999999998</v>
      </c>
      <c r="S3292">
        <v>-2.662598</v>
      </c>
      <c r="T3292">
        <v>-0.23177529999999999</v>
      </c>
      <c r="U3292">
        <v>-1.594757</v>
      </c>
      <c r="V3292">
        <v>-0.24006079999999999</v>
      </c>
      <c r="W3292">
        <v>-4.8745160000000003E-2</v>
      </c>
      <c r="X3292">
        <v>0.96953330000000004</v>
      </c>
      <c r="Y3292">
        <v>-0.4837513</v>
      </c>
      <c r="Z3292">
        <v>-2.334543E-2</v>
      </c>
      <c r="AA3292">
        <v>0.87489409999999901</v>
      </c>
      <c r="AB3292">
        <v>14</v>
      </c>
      <c r="AC3292">
        <v>-0.67569999999994901</v>
      </c>
      <c r="AD3292">
        <v>-7.1138999999999994E-2</v>
      </c>
      <c r="AE3292">
        <v>-0.48329999999998502</v>
      </c>
      <c r="AF3292">
        <v>-0.457579382961327</v>
      </c>
      <c r="AG3292">
        <v>-7.1138999999999994E-2</v>
      </c>
      <c r="AH3292">
        <v>0.68611895781973498</v>
      </c>
      <c r="AI3292">
        <v>94.930127214215403</v>
      </c>
      <c r="AJ3292">
        <v>123.69970636999</v>
      </c>
      <c r="AK3292">
        <v>0.82776740290489104</v>
      </c>
      <c r="AL3292">
        <v>92.793999014171604</v>
      </c>
      <c r="AM3292">
        <v>103.906992000332</v>
      </c>
      <c r="AN3292">
        <v>1.00000004906447</v>
      </c>
    </row>
    <row r="3293" spans="1:40" x14ac:dyDescent="0.25">
      <c r="A3293" t="str">
        <f>"20190303153834516"</f>
        <v>20190303153834516</v>
      </c>
      <c r="B3293" t="str">
        <f>"1551598714511829"</f>
        <v>1551598714511829</v>
      </c>
      <c r="C3293" t="s">
        <v>40</v>
      </c>
      <c r="D3293">
        <v>4.3785629999999998</v>
      </c>
      <c r="E3293">
        <v>0.39736739999999998</v>
      </c>
      <c r="F3293" t="s">
        <v>44</v>
      </c>
      <c r="G3293">
        <v>-477.541</v>
      </c>
      <c r="H3293">
        <v>1.0508649999999999</v>
      </c>
      <c r="I3293">
        <v>283.61599999999999</v>
      </c>
      <c r="J3293">
        <v>-476.87990000000002</v>
      </c>
      <c r="K3293">
        <v>1.1230530000000001</v>
      </c>
      <c r="L3293">
        <v>284.09530000000001</v>
      </c>
      <c r="M3293">
        <v>-0.99916329999999998</v>
      </c>
      <c r="N3293">
        <v>-2.2684309999999999E-2</v>
      </c>
      <c r="O3293">
        <v>-3.4030390000000001E-2</v>
      </c>
      <c r="P3293">
        <v>-0.95814259999999996</v>
      </c>
      <c r="Q3293">
        <v>-7.1800619999999996E-2</v>
      </c>
      <c r="R3293">
        <v>-0.27714090000000002</v>
      </c>
      <c r="S3293">
        <v>-2.652679</v>
      </c>
      <c r="T3293">
        <v>-0.23901159999999999</v>
      </c>
      <c r="U3293">
        <v>-1.608978</v>
      </c>
      <c r="V3293">
        <v>-0.24429509999999999</v>
      </c>
      <c r="W3293">
        <v>-5.0194450000000002E-2</v>
      </c>
      <c r="X3293">
        <v>0.96840099999999996</v>
      </c>
      <c r="Y3293">
        <v>-0.4873518</v>
      </c>
      <c r="Z3293">
        <v>-2.4076810000000001E-2</v>
      </c>
      <c r="AA3293">
        <v>0.87287369999999898</v>
      </c>
      <c r="AB3293">
        <v>14</v>
      </c>
      <c r="AC3293">
        <v>-0.66109999999997604</v>
      </c>
      <c r="AD3293">
        <v>-7.2188000000000099E-2</v>
      </c>
      <c r="AE3293">
        <v>-0.47930000000002299</v>
      </c>
      <c r="AF3293">
        <v>-0.45297879290863702</v>
      </c>
      <c r="AG3293">
        <v>-7.2188000000000099E-2</v>
      </c>
      <c r="AH3293">
        <v>0.67178167357167895</v>
      </c>
      <c r="AI3293">
        <v>95.091333627847405</v>
      </c>
      <c r="AJ3293">
        <v>123.99157743990899</v>
      </c>
      <c r="AK3293">
        <v>0.81344422741558098</v>
      </c>
      <c r="AL3293">
        <v>92.877139045284594</v>
      </c>
      <c r="AM3293">
        <v>104.158398429057</v>
      </c>
      <c r="AN3293">
        <v>1.0000000377478999</v>
      </c>
    </row>
    <row r="3294" spans="1:40" x14ac:dyDescent="0.25">
      <c r="A3294" t="str">
        <f>"20190303153834539"</f>
        <v>20190303153834539</v>
      </c>
      <c r="B3294" t="str">
        <f>"1551598714531349"</f>
        <v>1551598714531349</v>
      </c>
      <c r="C3294" t="s">
        <v>40</v>
      </c>
      <c r="D3294">
        <v>4.3540190000000001</v>
      </c>
      <c r="E3294">
        <v>0.39798749999999999</v>
      </c>
      <c r="F3294" t="s">
        <v>44</v>
      </c>
      <c r="G3294">
        <v>-477.66469999999998</v>
      </c>
      <c r="H3294">
        <v>1.050924</v>
      </c>
      <c r="I3294">
        <v>283.61540000000002</v>
      </c>
      <c r="J3294">
        <v>-477.01569999999998</v>
      </c>
      <c r="K3294">
        <v>1.1230819999999999</v>
      </c>
      <c r="L3294">
        <v>284.089</v>
      </c>
      <c r="M3294">
        <v>-0.99911280000000002</v>
      </c>
      <c r="N3294">
        <v>-2.280008E-2</v>
      </c>
      <c r="O3294">
        <v>-3.5409530000000002E-2</v>
      </c>
      <c r="P3294">
        <v>-0.95656079999999999</v>
      </c>
      <c r="Q3294">
        <v>-7.1688959999999996E-2</v>
      </c>
      <c r="R3294">
        <v>-0.28258179999999999</v>
      </c>
      <c r="S3294">
        <v>-2.6450200000000001</v>
      </c>
      <c r="T3294">
        <v>-0.243093</v>
      </c>
      <c r="U3294">
        <v>-1.6171260000000001</v>
      </c>
      <c r="V3294">
        <v>-0.24845149999999999</v>
      </c>
      <c r="W3294">
        <v>-5.0010930000000002E-2</v>
      </c>
      <c r="X3294">
        <v>0.9673524</v>
      </c>
      <c r="Y3294">
        <v>-0.48915930000000002</v>
      </c>
      <c r="Z3294">
        <v>-2.4454900000000002E-2</v>
      </c>
      <c r="AA3294">
        <v>0.87185159999999995</v>
      </c>
      <c r="AB3294">
        <v>14</v>
      </c>
      <c r="AC3294">
        <v>-0.64900000000000002</v>
      </c>
      <c r="AD3294">
        <v>-7.2157999999999903E-2</v>
      </c>
      <c r="AE3294">
        <v>-0.47359999999997598</v>
      </c>
      <c r="AF3294">
        <v>-0.44671276757108702</v>
      </c>
      <c r="AG3294">
        <v>-7.2157999999999903E-2</v>
      </c>
      <c r="AH3294">
        <v>0.66004300312338704</v>
      </c>
      <c r="AI3294">
        <v>95.1732842389479</v>
      </c>
      <c r="AJ3294">
        <v>124.089883604238</v>
      </c>
      <c r="AK3294">
        <v>0.80025985757575002</v>
      </c>
      <c r="AL3294">
        <v>92.866611143671705</v>
      </c>
      <c r="AM3294">
        <v>104.404312896771</v>
      </c>
      <c r="AN3294">
        <v>0.99999995337873604</v>
      </c>
    </row>
    <row r="3295" spans="1:40" x14ac:dyDescent="0.25">
      <c r="A3295" t="str">
        <f>"20190303153834561"</f>
        <v>20190303153834561</v>
      </c>
      <c r="B3295" t="str">
        <f>"1551598714551846"</f>
        <v>1551598714551846</v>
      </c>
      <c r="C3295" t="s">
        <v>40</v>
      </c>
      <c r="D3295">
        <v>4.3423540000000003</v>
      </c>
      <c r="E3295">
        <v>0.3986055</v>
      </c>
      <c r="F3295" t="s">
        <v>44</v>
      </c>
      <c r="G3295">
        <v>-477.78649999999999</v>
      </c>
      <c r="H3295">
        <v>1.0521259999999999</v>
      </c>
      <c r="I3295">
        <v>283.61360000000002</v>
      </c>
      <c r="J3295">
        <v>-477.15289999999999</v>
      </c>
      <c r="K3295">
        <v>1.1231070000000001</v>
      </c>
      <c r="L3295">
        <v>284.08240000000001</v>
      </c>
      <c r="M3295">
        <v>-0.99905869999999997</v>
      </c>
      <c r="N3295">
        <v>-2.285384E-2</v>
      </c>
      <c r="O3295">
        <v>-3.6870680000000003E-2</v>
      </c>
      <c r="P3295">
        <v>-0.95506820000000003</v>
      </c>
      <c r="Q3295">
        <v>-7.0609829999999998E-2</v>
      </c>
      <c r="R3295">
        <v>-0.28785229999999901</v>
      </c>
      <c r="S3295">
        <v>-2.6373289999999998</v>
      </c>
      <c r="T3295">
        <v>-0.24273810000000001</v>
      </c>
      <c r="U3295">
        <v>-1.627167</v>
      </c>
      <c r="V3295">
        <v>-0.25235849999999999</v>
      </c>
      <c r="W3295">
        <v>-4.8922739999999999E-2</v>
      </c>
      <c r="X3295">
        <v>0.96639629999999999</v>
      </c>
      <c r="Y3295">
        <v>-0.49141469999999998</v>
      </c>
      <c r="Z3295">
        <v>-2.4510049999999999E-2</v>
      </c>
      <c r="AA3295">
        <v>0.87058069999999899</v>
      </c>
      <c r="AB3295">
        <v>14</v>
      </c>
      <c r="AC3295">
        <v>-0.63360000000000105</v>
      </c>
      <c r="AD3295">
        <v>-7.0980999999999905E-2</v>
      </c>
      <c r="AE3295">
        <v>-0.468799999999987</v>
      </c>
      <c r="AF3295">
        <v>-0.44153274033188999</v>
      </c>
      <c r="AG3295">
        <v>-7.0980999999999905E-2</v>
      </c>
      <c r="AH3295">
        <v>0.64522547118957196</v>
      </c>
      <c r="AI3295">
        <v>95.187525899788298</v>
      </c>
      <c r="AJ3295">
        <v>124.38413577275</v>
      </c>
      <c r="AK3295">
        <v>0.78505119057154005</v>
      </c>
      <c r="AL3295">
        <v>92.804185811482</v>
      </c>
      <c r="AM3295">
        <v>104.635034751584</v>
      </c>
      <c r="AN3295">
        <v>1.0000000278325201</v>
      </c>
    </row>
    <row r="3296" spans="1:40" x14ac:dyDescent="0.25">
      <c r="A3296" t="str">
        <f>"20190303153834583"</f>
        <v>20190303153834583</v>
      </c>
      <c r="B3296" t="str">
        <f>"1551598714571366"</f>
        <v>1551598714571366</v>
      </c>
      <c r="C3296" t="s">
        <v>40</v>
      </c>
      <c r="D3296">
        <v>4.3344670000000001</v>
      </c>
      <c r="E3296">
        <v>0.39934399999999998</v>
      </c>
      <c r="F3296" t="s">
        <v>44</v>
      </c>
      <c r="G3296">
        <v>-477.90699999999998</v>
      </c>
      <c r="H3296">
        <v>1.0545500000000001</v>
      </c>
      <c r="I3296">
        <v>283.613</v>
      </c>
      <c r="J3296">
        <v>-477.28100000000001</v>
      </c>
      <c r="K3296">
        <v>1.12313</v>
      </c>
      <c r="L3296">
        <v>284.07589999999999</v>
      </c>
      <c r="M3296">
        <v>-0.99900409999999995</v>
      </c>
      <c r="N3296">
        <v>-2.289629E-2</v>
      </c>
      <c r="O3296">
        <v>-3.8294290000000002E-2</v>
      </c>
      <c r="P3296">
        <v>-0.9532505</v>
      </c>
      <c r="Q3296">
        <v>-7.0073659999999996E-2</v>
      </c>
      <c r="R3296">
        <v>-0.29394429999999999</v>
      </c>
      <c r="S3296">
        <v>-2.630096</v>
      </c>
      <c r="T3296">
        <v>-0.2390777</v>
      </c>
      <c r="U3296">
        <v>-1.636841</v>
      </c>
      <c r="V3296">
        <v>-0.2571388</v>
      </c>
      <c r="W3296">
        <v>-4.8394779999999998E-2</v>
      </c>
      <c r="X3296">
        <v>0.96516190000000002</v>
      </c>
      <c r="Y3296">
        <v>-0.4935927</v>
      </c>
      <c r="Z3296">
        <v>-2.4318010000000001E-2</v>
      </c>
      <c r="AA3296">
        <v>0.86935319999999905</v>
      </c>
      <c r="AB3296">
        <v>14</v>
      </c>
      <c r="AC3296">
        <v>-0.62599999999997602</v>
      </c>
      <c r="AD3296">
        <v>-6.8579999999999794E-2</v>
      </c>
      <c r="AE3296">
        <v>-0.46289999999998999</v>
      </c>
      <c r="AF3296">
        <v>-0.43520496119292001</v>
      </c>
      <c r="AG3296">
        <v>-6.8579999999999794E-2</v>
      </c>
      <c r="AH3296">
        <v>0.63831886690863004</v>
      </c>
      <c r="AI3296">
        <v>95.072815485762405</v>
      </c>
      <c r="AJ3296">
        <v>124.286114213896</v>
      </c>
      <c r="AK3296">
        <v>0.77560141213025702</v>
      </c>
      <c r="AL3296">
        <v>92.773900259183407</v>
      </c>
      <c r="AM3296">
        <v>104.918242017387</v>
      </c>
      <c r="AN3296">
        <v>0.99999995520414797</v>
      </c>
    </row>
    <row r="3297" spans="1:40" x14ac:dyDescent="0.25">
      <c r="A3297" t="str">
        <f>"20190303153834606"</f>
        <v>20190303153834606</v>
      </c>
      <c r="B3297" t="str">
        <f>"1551598714601625"</f>
        <v>1551598714601625</v>
      </c>
      <c r="C3297" t="s">
        <v>40</v>
      </c>
      <c r="D3297">
        <v>4.3100399999999999</v>
      </c>
      <c r="E3297">
        <v>0.40046480000000001</v>
      </c>
      <c r="F3297" t="s">
        <v>44</v>
      </c>
      <c r="G3297">
        <v>-478.0249</v>
      </c>
      <c r="H3297">
        <v>1.0562009999999999</v>
      </c>
      <c r="I3297">
        <v>283.60849999999999</v>
      </c>
      <c r="J3297">
        <v>-477.41269999999997</v>
      </c>
      <c r="K3297">
        <v>1.123154</v>
      </c>
      <c r="L3297">
        <v>284.06900000000002</v>
      </c>
      <c r="M3297">
        <v>-0.99894300000000003</v>
      </c>
      <c r="N3297">
        <v>-2.2953890000000001E-2</v>
      </c>
      <c r="O3297">
        <v>-3.9826390000000003E-2</v>
      </c>
      <c r="P3297">
        <v>-0.95118950000000002</v>
      </c>
      <c r="Q3297">
        <v>-7.0199730000000002E-2</v>
      </c>
      <c r="R3297">
        <v>-0.30051679999999997</v>
      </c>
      <c r="S3297">
        <v>-2.6215519999999999</v>
      </c>
      <c r="T3297">
        <v>-0.23584079999999999</v>
      </c>
      <c r="U3297">
        <v>-1.6481319999999999</v>
      </c>
      <c r="V3297">
        <v>-0.26230789999999998</v>
      </c>
      <c r="W3297">
        <v>-4.8513479999999998E-2</v>
      </c>
      <c r="X3297">
        <v>0.96376399999999995</v>
      </c>
      <c r="Y3297">
        <v>-0.49624649999999998</v>
      </c>
      <c r="Z3297">
        <v>-2.4186180000000002E-2</v>
      </c>
      <c r="AA3297">
        <v>0.86784470000000002</v>
      </c>
      <c r="AB3297">
        <v>13</v>
      </c>
      <c r="AC3297">
        <v>-0.61220000000002905</v>
      </c>
      <c r="AD3297">
        <v>-6.6952999999999999E-2</v>
      </c>
      <c r="AE3297">
        <v>-0.460500000000024</v>
      </c>
      <c r="AF3297">
        <v>-0.43244305487454499</v>
      </c>
      <c r="AG3297">
        <v>-6.6952999999999999E-2</v>
      </c>
      <c r="AH3297">
        <v>0.62528263550631702</v>
      </c>
      <c r="AI3297">
        <v>95.032864618316907</v>
      </c>
      <c r="AJ3297">
        <v>124.66758440696999</v>
      </c>
      <c r="AK3297">
        <v>0.76319596053959504</v>
      </c>
      <c r="AL3297">
        <v>92.780709086223197</v>
      </c>
      <c r="AM3297">
        <v>105.225409575765</v>
      </c>
      <c r="AN3297">
        <v>1.00000001992006</v>
      </c>
    </row>
    <row r="3298" spans="1:40" x14ac:dyDescent="0.25">
      <c r="A3298" t="str">
        <f>"20190303153834628"</f>
        <v>20190303153834628</v>
      </c>
      <c r="B3298" t="str">
        <f>"1551598714622117"</f>
        <v>1551598714622117</v>
      </c>
      <c r="C3298" t="s">
        <v>40</v>
      </c>
      <c r="D3298">
        <v>4.2933500000000002</v>
      </c>
      <c r="E3298">
        <v>0.40091199999999999</v>
      </c>
      <c r="F3298" t="s">
        <v>44</v>
      </c>
      <c r="G3298">
        <v>-478.14249999999998</v>
      </c>
      <c r="H3298">
        <v>1.05782</v>
      </c>
      <c r="I3298">
        <v>283.60590000000002</v>
      </c>
      <c r="J3298">
        <v>-477.54430000000002</v>
      </c>
      <c r="K3298">
        <v>1.12317</v>
      </c>
      <c r="L3298">
        <v>284.06180000000001</v>
      </c>
      <c r="M3298">
        <v>-0.99887619999999999</v>
      </c>
      <c r="N3298">
        <v>-2.3011170000000001E-2</v>
      </c>
      <c r="O3298">
        <v>-4.1438330000000002E-2</v>
      </c>
      <c r="P3298">
        <v>-0.94893620000000001</v>
      </c>
      <c r="Q3298">
        <v>-7.0047860000000003E-2</v>
      </c>
      <c r="R3298">
        <v>-0.30759350000000002</v>
      </c>
      <c r="S3298">
        <v>-2.612946</v>
      </c>
      <c r="T3298">
        <v>-0.23390900000000001</v>
      </c>
      <c r="U3298">
        <v>-1.657837</v>
      </c>
      <c r="V3298">
        <v>-0.26791859999999901</v>
      </c>
      <c r="W3298">
        <v>-4.8351030000000003E-2</v>
      </c>
      <c r="X3298">
        <v>0.96222750000000001</v>
      </c>
      <c r="Y3298">
        <v>-0.49844749999999999</v>
      </c>
      <c r="Z3298">
        <v>-2.4122290000000001E-2</v>
      </c>
      <c r="AA3298">
        <v>0.86658419999999903</v>
      </c>
      <c r="AB3298">
        <v>13</v>
      </c>
      <c r="AC3298">
        <v>-0.59819999999996298</v>
      </c>
      <c r="AD3298">
        <v>-6.5350000000000005E-2</v>
      </c>
      <c r="AE3298">
        <v>-0.45589999999998498</v>
      </c>
      <c r="AF3298">
        <v>-0.42748595734680001</v>
      </c>
      <c r="AG3298">
        <v>-6.5350000000000005E-2</v>
      </c>
      <c r="AH3298">
        <v>0.61196267784830005</v>
      </c>
      <c r="AI3298">
        <v>95.003112810267794</v>
      </c>
      <c r="AJ3298">
        <v>124.93618862484099</v>
      </c>
      <c r="AK3298">
        <v>0.74934183475098504</v>
      </c>
      <c r="AL3298">
        <v>92.771390561920498</v>
      </c>
      <c r="AM3298">
        <v>105.55910713959599</v>
      </c>
      <c r="AN3298">
        <v>0.99999998004213497</v>
      </c>
    </row>
    <row r="3299" spans="1:40" x14ac:dyDescent="0.25">
      <c r="A3299" t="str">
        <f>"20190303153834651"</f>
        <v>20190303153834651</v>
      </c>
      <c r="B3299" t="str">
        <f>"1551598714641637"</f>
        <v>1551598714641637</v>
      </c>
      <c r="C3299" t="s">
        <v>40</v>
      </c>
      <c r="D3299">
        <v>4.0642820000000004</v>
      </c>
      <c r="E3299">
        <v>0.36971100000000001</v>
      </c>
      <c r="F3299" t="s">
        <v>44</v>
      </c>
      <c r="G3299">
        <v>-478.25740000000002</v>
      </c>
      <c r="H3299">
        <v>1.05956299999999</v>
      </c>
      <c r="I3299">
        <v>283.60329999999999</v>
      </c>
      <c r="J3299">
        <v>-477.66789999999997</v>
      </c>
      <c r="K3299">
        <v>1.1231799999999901</v>
      </c>
      <c r="L3299">
        <v>284.05470000000003</v>
      </c>
      <c r="M3299">
        <v>-0.99880860000000005</v>
      </c>
      <c r="N3299">
        <v>-2.3048860000000001E-2</v>
      </c>
      <c r="O3299">
        <v>-4.3017270000000003E-2</v>
      </c>
      <c r="P3299">
        <v>-0.94674990000000003</v>
      </c>
      <c r="Q3299">
        <v>-6.9104540000000006E-2</v>
      </c>
      <c r="R3299">
        <v>-0.31446750000000001</v>
      </c>
      <c r="S3299">
        <v>-2.6017459999999999</v>
      </c>
      <c r="T3299">
        <v>-0.232012</v>
      </c>
      <c r="U3299">
        <v>-1.67376699999999</v>
      </c>
      <c r="V3299">
        <v>-0.27336369999999999</v>
      </c>
      <c r="W3299">
        <v>-4.7409260000000002E-2</v>
      </c>
      <c r="X3299">
        <v>0.96074170000000003</v>
      </c>
      <c r="Y3299">
        <v>-0.50252759999999996</v>
      </c>
      <c r="Z3299">
        <v>-2.4164680000000001E-2</v>
      </c>
      <c r="AA3299">
        <v>0.86422339999999997</v>
      </c>
      <c r="AB3299">
        <v>13</v>
      </c>
      <c r="AC3299">
        <v>-0.58950000000004299</v>
      </c>
      <c r="AD3299">
        <v>-6.3617000000000007E-2</v>
      </c>
      <c r="AE3299">
        <v>-0.451400000000035</v>
      </c>
      <c r="AF3299">
        <v>-0.422514656250016</v>
      </c>
      <c r="AG3299">
        <v>-6.3617000000000007E-2</v>
      </c>
      <c r="AH3299">
        <v>0.60394337502222695</v>
      </c>
      <c r="AI3299">
        <v>94.933038267837901</v>
      </c>
      <c r="AJ3299">
        <v>124.97637289968399</v>
      </c>
      <c r="AK3299">
        <v>0.73980629739703296</v>
      </c>
      <c r="AL3299">
        <v>92.717369148719499</v>
      </c>
      <c r="AM3299">
        <v>105.88285600595</v>
      </c>
      <c r="AN3299">
        <v>0.99999998226516296</v>
      </c>
    </row>
    <row r="3300" spans="1:40" x14ac:dyDescent="0.25">
      <c r="A3300" t="str">
        <f>"20190303153834672"</f>
        <v>20190303153834672</v>
      </c>
      <c r="B3300" t="str">
        <f>"1551598714662133"</f>
        <v>1551598714662133</v>
      </c>
      <c r="C3300" t="s">
        <v>40</v>
      </c>
      <c r="D3300">
        <v>4.0665899999999997</v>
      </c>
      <c r="E3300">
        <v>0.36062949999999999</v>
      </c>
      <c r="F3300" t="s">
        <v>44</v>
      </c>
      <c r="G3300">
        <v>-478.4443</v>
      </c>
      <c r="H3300">
        <v>1.037428</v>
      </c>
      <c r="I3300">
        <v>283.45839999999998</v>
      </c>
      <c r="J3300">
        <v>-477.78910000000002</v>
      </c>
      <c r="K3300">
        <v>1.123183</v>
      </c>
      <c r="L3300">
        <v>284.04750000000001</v>
      </c>
      <c r="M3300">
        <v>-0.99873829999999997</v>
      </c>
      <c r="N3300">
        <v>-2.3073260000000002E-2</v>
      </c>
      <c r="O3300">
        <v>-4.4604600000000001E-2</v>
      </c>
      <c r="P3300">
        <v>-0.94473240000000003</v>
      </c>
      <c r="Q3300">
        <v>-6.7447300000000002E-2</v>
      </c>
      <c r="R3300">
        <v>-0.32082949999999999</v>
      </c>
      <c r="S3300">
        <v>-2.5083009999999999</v>
      </c>
      <c r="T3300">
        <v>-0.27700659999999999</v>
      </c>
      <c r="U3300">
        <v>-1.92746</v>
      </c>
      <c r="V3300">
        <v>-0.27828760000000002</v>
      </c>
      <c r="W3300">
        <v>-4.5758390000000003E-2</v>
      </c>
      <c r="X3300">
        <v>0.95940720000000002</v>
      </c>
      <c r="Y3300">
        <v>-0.57060749999999905</v>
      </c>
      <c r="Z3300">
        <v>-3.1753570000000002E-2</v>
      </c>
      <c r="AA3300">
        <v>0.82060869999999997</v>
      </c>
      <c r="AB3300">
        <v>13</v>
      </c>
      <c r="AC3300">
        <v>-0.65519999999997902</v>
      </c>
      <c r="AD3300">
        <v>-8.5754999999999998E-2</v>
      </c>
      <c r="AE3300">
        <v>-0.58910000000003004</v>
      </c>
      <c r="AF3300">
        <v>-0.55403245735505302</v>
      </c>
      <c r="AG3300">
        <v>-8.5754999999999998E-2</v>
      </c>
      <c r="AH3300">
        <v>0.67444230476628997</v>
      </c>
      <c r="AI3300">
        <v>95.611294196162206</v>
      </c>
      <c r="AJ3300">
        <v>129.40199363368899</v>
      </c>
      <c r="AK3300">
        <v>0.87702811031707795</v>
      </c>
      <c r="AL3300">
        <v>92.622678416332406</v>
      </c>
      <c r="AM3300">
        <v>106.17543730793101</v>
      </c>
      <c r="AN3300">
        <v>0.99999999699049602</v>
      </c>
    </row>
    <row r="3301" spans="1:40" x14ac:dyDescent="0.25">
      <c r="A3301" t="str">
        <f>"20190303153834695"</f>
        <v>20190303153834695</v>
      </c>
      <c r="B3301" t="str">
        <f>"1551598714691420"</f>
        <v>1551598714691420</v>
      </c>
      <c r="C3301" t="s">
        <v>40</v>
      </c>
      <c r="D3301">
        <v>4.0297999999999998</v>
      </c>
      <c r="E3301">
        <v>0.35748960000000002</v>
      </c>
      <c r="F3301" t="s">
        <v>44</v>
      </c>
      <c r="G3301">
        <v>-478.54739999999998</v>
      </c>
      <c r="H3301">
        <v>1.037544</v>
      </c>
      <c r="I3301">
        <v>283.43040000000002</v>
      </c>
      <c r="J3301">
        <v>-477.91</v>
      </c>
      <c r="K3301">
        <v>1.123218</v>
      </c>
      <c r="L3301">
        <v>284.04020000000003</v>
      </c>
      <c r="M3301">
        <v>-0.99866160000000004</v>
      </c>
      <c r="N3301">
        <v>-2.328556E-2</v>
      </c>
      <c r="O3301">
        <v>-4.6182620000000001E-2</v>
      </c>
      <c r="P3301">
        <v>-0.94275240000000005</v>
      </c>
      <c r="Q3301">
        <v>-6.6091750000000005E-2</v>
      </c>
      <c r="R3301">
        <v>-0.32687929999999998</v>
      </c>
      <c r="S3301">
        <v>-2.472137</v>
      </c>
      <c r="T3301">
        <v>-0.279225099999999</v>
      </c>
      <c r="U3301">
        <v>-2.0123899999999999</v>
      </c>
      <c r="V3301">
        <v>-0.28291460000000002</v>
      </c>
      <c r="W3301">
        <v>-4.4211800000000002E-2</v>
      </c>
      <c r="X3301">
        <v>0.95812560000000002</v>
      </c>
      <c r="Y3301">
        <v>-0.59196969999999904</v>
      </c>
      <c r="Z3301">
        <v>-3.3339979999999998E-2</v>
      </c>
      <c r="AA3301">
        <v>0.80527029999999999</v>
      </c>
      <c r="AB3301">
        <v>12</v>
      </c>
      <c r="AC3301">
        <v>-0.637399999999956</v>
      </c>
      <c r="AD3301">
        <v>-8.5674E-2</v>
      </c>
      <c r="AE3301">
        <v>-0.609800000000007</v>
      </c>
      <c r="AF3301">
        <v>-0.57428704579439205</v>
      </c>
      <c r="AG3301">
        <v>-8.5674E-2</v>
      </c>
      <c r="AH3301">
        <v>0.65867613513033196</v>
      </c>
      <c r="AI3301">
        <v>95.599329515887703</v>
      </c>
      <c r="AJ3301">
        <v>131.08454684310999</v>
      </c>
      <c r="AK3301">
        <v>0.87806599765250104</v>
      </c>
      <c r="AL3301">
        <v>92.533975497496101</v>
      </c>
      <c r="AM3301">
        <v>106.450776568769</v>
      </c>
      <c r="AN3301">
        <v>1.0000000097638799</v>
      </c>
    </row>
    <row r="3302" spans="1:40" x14ac:dyDescent="0.25">
      <c r="A3302" t="str">
        <f>"20190303153834717"</f>
        <v>20190303153834717</v>
      </c>
      <c r="B3302" t="str">
        <f>"1551598714711909"</f>
        <v>1551598714711909</v>
      </c>
      <c r="C3302" t="s">
        <v>40</v>
      </c>
      <c r="D3302">
        <v>4.0286559999999998</v>
      </c>
      <c r="E3302">
        <v>0.3572343</v>
      </c>
      <c r="F3302" t="s">
        <v>44</v>
      </c>
      <c r="G3302">
        <v>-478.6508</v>
      </c>
      <c r="H3302">
        <v>1.0396479999999999</v>
      </c>
      <c r="I3302">
        <v>283.42020000000002</v>
      </c>
      <c r="J3302">
        <v>-478.02940000000001</v>
      </c>
      <c r="K3302">
        <v>1.123372</v>
      </c>
      <c r="L3302">
        <v>284.0326</v>
      </c>
      <c r="M3302">
        <v>-0.99856900000000004</v>
      </c>
      <c r="N3302">
        <v>-2.4288540000000001E-2</v>
      </c>
      <c r="O3302">
        <v>-4.7647380000000003E-2</v>
      </c>
      <c r="P3302">
        <v>-0.94163770000000002</v>
      </c>
      <c r="Q3302">
        <v>-6.6652399999999903E-2</v>
      </c>
      <c r="R3302">
        <v>-0.32996500000000001</v>
      </c>
      <c r="S3302">
        <v>-2.4511409999999998</v>
      </c>
      <c r="T3302">
        <v>-0.2764684</v>
      </c>
      <c r="U3302">
        <v>-2.0523069999999999</v>
      </c>
      <c r="V3302">
        <v>-0.28465550000000001</v>
      </c>
      <c r="W3302">
        <v>-4.3759359999999997E-2</v>
      </c>
      <c r="X3302">
        <v>0.9576306</v>
      </c>
      <c r="Y3302">
        <v>-0.60184259999999901</v>
      </c>
      <c r="Z3302">
        <v>-3.4067050000000001E-2</v>
      </c>
      <c r="AA3302">
        <v>0.79788789999999998</v>
      </c>
      <c r="AB3302">
        <v>12</v>
      </c>
      <c r="AC3302">
        <v>-0.62139999999999396</v>
      </c>
      <c r="AD3302">
        <v>-8.3724000000000104E-2</v>
      </c>
      <c r="AE3302">
        <v>-0.61239999999997896</v>
      </c>
      <c r="AF3302">
        <v>-0.576775635616947</v>
      </c>
      <c r="AG3302">
        <v>-8.3724000000000104E-2</v>
      </c>
      <c r="AH3302">
        <v>0.64395145650319796</v>
      </c>
      <c r="AI3302">
        <v>95.531718912498206</v>
      </c>
      <c r="AJ3302">
        <v>131.85022722757401</v>
      </c>
      <c r="AK3302">
        <v>0.86853515780877999</v>
      </c>
      <c r="AL3302">
        <v>92.5080275045147</v>
      </c>
      <c r="AM3302">
        <v>106.55457070999</v>
      </c>
      <c r="AN3302">
        <v>1.0000000006620999</v>
      </c>
    </row>
    <row r="3303" spans="1:40" x14ac:dyDescent="0.25">
      <c r="A3303" t="str">
        <f>"20190303153834740"</f>
        <v>20190303153834740</v>
      </c>
      <c r="B3303" t="str">
        <f>"1551598714731430"</f>
        <v>1551598714731430</v>
      </c>
      <c r="C3303" t="s">
        <v>40</v>
      </c>
      <c r="D3303">
        <v>4.0250079999999997</v>
      </c>
      <c r="E3303">
        <v>0.35693819999999998</v>
      </c>
      <c r="F3303" t="s">
        <v>44</v>
      </c>
      <c r="G3303">
        <v>-478.75330000000002</v>
      </c>
      <c r="H3303">
        <v>1.041169</v>
      </c>
      <c r="I3303">
        <v>283.42189999999999</v>
      </c>
      <c r="J3303">
        <v>-478.13679999999999</v>
      </c>
      <c r="K3303">
        <v>1.123559</v>
      </c>
      <c r="L3303">
        <v>284.0258</v>
      </c>
      <c r="M3303">
        <v>-0.99847660000000005</v>
      </c>
      <c r="N3303">
        <v>-2.554029E-2</v>
      </c>
      <c r="O3303">
        <v>-4.8909870000000001E-2</v>
      </c>
      <c r="P3303">
        <v>-0.9397548</v>
      </c>
      <c r="Q3303">
        <v>-6.7577059999999994E-2</v>
      </c>
      <c r="R3303">
        <v>-0.335103599999999</v>
      </c>
      <c r="S3303">
        <v>-2.443695</v>
      </c>
      <c r="T3303">
        <v>-0.27749420000000002</v>
      </c>
      <c r="U3303">
        <v>-2.062103</v>
      </c>
      <c r="V3303">
        <v>-0.28868059999999901</v>
      </c>
      <c r="W3303">
        <v>-4.345268E-2</v>
      </c>
      <c r="X3303">
        <v>0.95643889999999998</v>
      </c>
      <c r="Y3303">
        <v>-0.60382639999999999</v>
      </c>
      <c r="Z3303">
        <v>-3.4710749999999999E-2</v>
      </c>
      <c r="AA3303">
        <v>0.79635979999999995</v>
      </c>
      <c r="AB3303">
        <v>12</v>
      </c>
      <c r="AC3303">
        <v>-0.61650000000003002</v>
      </c>
      <c r="AD3303">
        <v>-8.2389999999999894E-2</v>
      </c>
      <c r="AE3303">
        <v>-0.60390000000000998</v>
      </c>
      <c r="AF3303">
        <v>-0.56783849411109799</v>
      </c>
      <c r="AG3303">
        <v>-8.2389999999999894E-2</v>
      </c>
      <c r="AH3303">
        <v>0.63947952196428604</v>
      </c>
      <c r="AI3303">
        <v>95.502866295022002</v>
      </c>
      <c r="AJ3303">
        <v>131.60410853375399</v>
      </c>
      <c r="AK3303">
        <v>0.85916396951107799</v>
      </c>
      <c r="AL3303">
        <v>92.490439314554294</v>
      </c>
      <c r="AM3303">
        <v>106.795315255099</v>
      </c>
      <c r="AN3303">
        <v>0.99999999682437601</v>
      </c>
    </row>
    <row r="3304" spans="1:40" x14ac:dyDescent="0.25">
      <c r="A3304" t="str">
        <f>"20190303153834754"</f>
        <v>20190303153834754</v>
      </c>
      <c r="B3304" t="str">
        <f>"1551598714751945"</f>
        <v>1551598714751945</v>
      </c>
      <c r="C3304" t="s">
        <v>40</v>
      </c>
      <c r="D3304">
        <v>4.0343660000000003</v>
      </c>
      <c r="E3304">
        <v>0.35693960000000002</v>
      </c>
      <c r="F3304" t="s">
        <v>44</v>
      </c>
      <c r="G3304">
        <v>-478.84989999999999</v>
      </c>
      <c r="H3304">
        <v>1.040754</v>
      </c>
      <c r="I3304">
        <v>283.41669999999999</v>
      </c>
      <c r="J3304">
        <v>-478.20760000000001</v>
      </c>
      <c r="K3304">
        <v>1.123669</v>
      </c>
      <c r="L3304">
        <v>284.02120000000002</v>
      </c>
      <c r="M3304">
        <v>-0.99841400000000002</v>
      </c>
      <c r="N3304">
        <v>-2.6363299999999999E-2</v>
      </c>
      <c r="O3304">
        <v>-4.9746270000000002E-2</v>
      </c>
      <c r="P3304">
        <v>-0.93871300000000002</v>
      </c>
      <c r="Q3304">
        <v>-6.8489430000000004E-2</v>
      </c>
      <c r="R3304">
        <v>-0.33782699999999999</v>
      </c>
      <c r="S3304">
        <v>-2.431244</v>
      </c>
      <c r="T3304">
        <v>-0.28231450000000002</v>
      </c>
      <c r="U3304">
        <v>-2.0776059999999998</v>
      </c>
      <c r="V3304">
        <v>-0.290657</v>
      </c>
      <c r="W3304">
        <v>-4.356086E-2</v>
      </c>
      <c r="X3304">
        <v>0.9558352</v>
      </c>
      <c r="Y3304">
        <v>-0.6079561</v>
      </c>
      <c r="Z3304">
        <v>-3.5735030000000001E-2</v>
      </c>
      <c r="AA3304">
        <v>0.79316609999999999</v>
      </c>
      <c r="AB3304">
        <v>11</v>
      </c>
      <c r="AC3304">
        <v>-0.642299999999977</v>
      </c>
      <c r="AD3304">
        <v>-8.2914999999999794E-2</v>
      </c>
      <c r="AE3304">
        <v>-0.60450000000003001</v>
      </c>
      <c r="AF3304">
        <v>-0.56677929115875303</v>
      </c>
      <c r="AG3304">
        <v>-8.2914999999999794E-2</v>
      </c>
      <c r="AH3304">
        <v>0.66570347491641502</v>
      </c>
      <c r="AI3304">
        <v>95.417494579644696</v>
      </c>
      <c r="AJ3304">
        <v>130.411040522766</v>
      </c>
      <c r="AK3304">
        <v>0.87822251088616898</v>
      </c>
      <c r="AL3304">
        <v>92.496643476372299</v>
      </c>
      <c r="AM3304">
        <v>106.913831527604</v>
      </c>
      <c r="AN3304">
        <v>0.99999998486598896</v>
      </c>
    </row>
    <row r="3305" spans="1:40" x14ac:dyDescent="0.25">
      <c r="A3305" t="str">
        <f>"20190303153834768"</f>
        <v>20190303153834768</v>
      </c>
      <c r="B3305" t="str">
        <f>"1551598714761688"</f>
        <v>1551598714761688</v>
      </c>
      <c r="C3305" t="s">
        <v>40</v>
      </c>
      <c r="D3305">
        <v>4.0366780000000002</v>
      </c>
      <c r="E3305">
        <v>0.35702729999999999</v>
      </c>
      <c r="F3305" t="s">
        <v>44</v>
      </c>
      <c r="G3305">
        <v>-478.93830000000003</v>
      </c>
      <c r="H3305">
        <v>1.037641</v>
      </c>
      <c r="I3305">
        <v>283.3931</v>
      </c>
      <c r="J3305">
        <v>-478.27210000000002</v>
      </c>
      <c r="K3305">
        <v>1.1237440000000001</v>
      </c>
      <c r="L3305">
        <v>284.017</v>
      </c>
      <c r="M3305">
        <v>-0.99835640000000003</v>
      </c>
      <c r="N3305">
        <v>-2.702856E-2</v>
      </c>
      <c r="O3305">
        <v>-5.0536419999999999E-2</v>
      </c>
      <c r="P3305">
        <v>-0.9377567</v>
      </c>
      <c r="Q3305">
        <v>-6.9215949999999998E-2</v>
      </c>
      <c r="R3305">
        <v>-0.34032570000000001</v>
      </c>
      <c r="S3305">
        <v>-2.424744</v>
      </c>
      <c r="T3305">
        <v>-0.28548709999999899</v>
      </c>
      <c r="U3305">
        <v>-2.084778</v>
      </c>
      <c r="V3305">
        <v>-0.29244710000000002</v>
      </c>
      <c r="W3305">
        <v>-4.364668E-2</v>
      </c>
      <c r="X3305">
        <v>0.9552851</v>
      </c>
      <c r="Y3305">
        <v>-0.60963210000000001</v>
      </c>
      <c r="Z3305">
        <v>-3.6369650000000003E-2</v>
      </c>
      <c r="AA3305">
        <v>0.79184969999999999</v>
      </c>
      <c r="AB3305">
        <v>11</v>
      </c>
      <c r="AC3305">
        <v>-0.66620000000000301</v>
      </c>
      <c r="AD3305">
        <v>-8.6102999999999999E-2</v>
      </c>
      <c r="AE3305">
        <v>-0.62389999999999102</v>
      </c>
      <c r="AF3305">
        <v>-0.58422339397929501</v>
      </c>
      <c r="AG3305">
        <v>-8.6102999999999999E-2</v>
      </c>
      <c r="AH3305">
        <v>0.69074223101166798</v>
      </c>
      <c r="AI3305">
        <v>95.436768029525595</v>
      </c>
      <c r="AJ3305">
        <v>130.224232710238</v>
      </c>
      <c r="AK3305">
        <v>0.90876593817366602</v>
      </c>
      <c r="AL3305">
        <v>92.501565291967594</v>
      </c>
      <c r="AM3305">
        <v>107.021232244535</v>
      </c>
      <c r="AN3305">
        <v>0.999999980627721</v>
      </c>
    </row>
    <row r="3306" spans="1:40" x14ac:dyDescent="0.25">
      <c r="A3306" t="str">
        <f>"20190303153834781"</f>
        <v>20190303153834781</v>
      </c>
      <c r="B3306" t="str">
        <f>"1551598714771449"</f>
        <v>1551598714771449</v>
      </c>
      <c r="C3306" t="s">
        <v>40</v>
      </c>
      <c r="D3306">
        <v>4.0452589999999997</v>
      </c>
      <c r="E3306">
        <v>0.35707749999999999</v>
      </c>
      <c r="F3306" t="s">
        <v>44</v>
      </c>
      <c r="G3306">
        <v>-478.94889999999998</v>
      </c>
      <c r="H3306">
        <v>1.04331</v>
      </c>
      <c r="I3306">
        <v>283.4323</v>
      </c>
      <c r="J3306">
        <v>-478.33260000000001</v>
      </c>
      <c r="K3306">
        <v>1.1237459999999999</v>
      </c>
      <c r="L3306">
        <v>284.01299999999998</v>
      </c>
      <c r="M3306">
        <v>-0.99830700000000006</v>
      </c>
      <c r="N3306">
        <v>-2.7260139999999999E-2</v>
      </c>
      <c r="O3306">
        <v>-5.138235E-2</v>
      </c>
      <c r="P3306">
        <v>-0.93688680000000002</v>
      </c>
      <c r="Q3306">
        <v>-6.9461480000000006E-2</v>
      </c>
      <c r="R3306">
        <v>-0.34266370000000002</v>
      </c>
      <c r="S3306">
        <v>-2.4192809999999998</v>
      </c>
      <c r="T3306">
        <v>-0.28749720000000001</v>
      </c>
      <c r="U3306">
        <v>-2.090363</v>
      </c>
      <c r="V3306">
        <v>-0.29401670000000002</v>
      </c>
      <c r="W3306">
        <v>-4.3697350000000003E-2</v>
      </c>
      <c r="X3306">
        <v>0.95480089999999995</v>
      </c>
      <c r="Y3306">
        <v>-0.61083679999999996</v>
      </c>
      <c r="Z3306">
        <v>-3.6691000000000001E-2</v>
      </c>
      <c r="AA3306">
        <v>0.790906</v>
      </c>
      <c r="AB3306">
        <v>11</v>
      </c>
      <c r="AC3306">
        <v>-0.61629999999996699</v>
      </c>
      <c r="AD3306">
        <v>-8.0435999999999896E-2</v>
      </c>
      <c r="AE3306">
        <v>-0.58069999999997801</v>
      </c>
      <c r="AF3306">
        <v>-0.54335090131955499</v>
      </c>
      <c r="AG3306">
        <v>-8.0435999999999896E-2</v>
      </c>
      <c r="AH3306">
        <v>0.63956323570766904</v>
      </c>
      <c r="AI3306">
        <v>95.474928366550202</v>
      </c>
      <c r="AJ3306">
        <v>130.350082777663</v>
      </c>
      <c r="AK3306">
        <v>0.84305473400582698</v>
      </c>
      <c r="AL3306">
        <v>92.504471146867502</v>
      </c>
      <c r="AM3306">
        <v>107.115435382705</v>
      </c>
      <c r="AN3306">
        <v>1.00000001845836</v>
      </c>
    </row>
    <row r="3307" spans="1:40" x14ac:dyDescent="0.25">
      <c r="A3307" t="str">
        <f>"20190303153834794"</f>
        <v>20190303153834794</v>
      </c>
      <c r="B3307" t="str">
        <f>"1551598714791946"</f>
        <v>1551598714791946</v>
      </c>
      <c r="C3307" t="s">
        <v>40</v>
      </c>
      <c r="D3307">
        <v>4.1888239999999897</v>
      </c>
      <c r="E3307">
        <v>0.35859159999999901</v>
      </c>
      <c r="F3307" t="s">
        <v>44</v>
      </c>
      <c r="G3307">
        <v>-479.03460000000001</v>
      </c>
      <c r="H3307">
        <v>1.0397719999999999</v>
      </c>
      <c r="I3307">
        <v>283.40379999999999</v>
      </c>
      <c r="J3307">
        <v>-478.39460000000003</v>
      </c>
      <c r="K3307">
        <v>1.12371</v>
      </c>
      <c r="L3307">
        <v>284.00869999999998</v>
      </c>
      <c r="M3307">
        <v>-0.99826000000000004</v>
      </c>
      <c r="N3307">
        <v>-2.7257400000000001E-2</v>
      </c>
      <c r="O3307">
        <v>-5.2288759999999997E-2</v>
      </c>
      <c r="P3307">
        <v>-0.93594359999999999</v>
      </c>
      <c r="Q3307">
        <v>-6.9317550000000006E-2</v>
      </c>
      <c r="R3307">
        <v>-0.34526059999999997</v>
      </c>
      <c r="S3307">
        <v>-2.4141539999999999</v>
      </c>
      <c r="T3307">
        <v>-0.28876030000000003</v>
      </c>
      <c r="U3307">
        <v>-2.0958860000000001</v>
      </c>
      <c r="V3307">
        <v>-0.29578890000000002</v>
      </c>
      <c r="W3307">
        <v>-4.3603099999999999E-2</v>
      </c>
      <c r="X3307">
        <v>0.95425769999999999</v>
      </c>
      <c r="Y3307">
        <v>-0.61195049999999995</v>
      </c>
      <c r="Z3307">
        <v>-3.6839660000000003E-2</v>
      </c>
      <c r="AA3307">
        <v>0.79003760000000001</v>
      </c>
      <c r="AB3307">
        <v>11</v>
      </c>
      <c r="AC3307">
        <v>-0.63999999999998602</v>
      </c>
      <c r="AD3307">
        <v>-8.3937999999999999E-2</v>
      </c>
      <c r="AE3307">
        <v>-0.604899999999986</v>
      </c>
      <c r="AF3307">
        <v>-0.56545736456552098</v>
      </c>
      <c r="AG3307">
        <v>-8.3937999999999999E-2</v>
      </c>
      <c r="AH3307">
        <v>0.66472590912936103</v>
      </c>
      <c r="AI3307">
        <v>95.493930596383393</v>
      </c>
      <c r="AJ3307">
        <v>130.386564252526</v>
      </c>
      <c r="AK3307">
        <v>0.87672581418208495</v>
      </c>
      <c r="AL3307">
        <v>92.499065836848303</v>
      </c>
      <c r="AM3307">
        <v>107.221738767272</v>
      </c>
      <c r="AN3307">
        <v>1.0000000308510499</v>
      </c>
    </row>
    <row r="3308" spans="1:40" x14ac:dyDescent="0.25">
      <c r="A3308" t="str">
        <f>"20190303153834806"</f>
        <v>20190303153834806</v>
      </c>
      <c r="B3308" t="str">
        <f>"1551598714801705"</f>
        <v>1551598714801705</v>
      </c>
      <c r="C3308" t="s">
        <v>40</v>
      </c>
      <c r="D3308">
        <v>4.1779570000000001</v>
      </c>
      <c r="E3308">
        <v>0.35920299999999999</v>
      </c>
      <c r="F3308" t="s">
        <v>44</v>
      </c>
      <c r="G3308">
        <v>-479.12110000000001</v>
      </c>
      <c r="H3308">
        <v>1.0367729999999999</v>
      </c>
      <c r="I3308">
        <v>283.37900000000002</v>
      </c>
      <c r="J3308">
        <v>-478.45119999999997</v>
      </c>
      <c r="K3308">
        <v>1.1236360000000001</v>
      </c>
      <c r="L3308">
        <v>284.00479999999999</v>
      </c>
      <c r="M3308">
        <v>-0.99822149999999998</v>
      </c>
      <c r="N3308">
        <v>-2.698712E-2</v>
      </c>
      <c r="O3308">
        <v>-5.315802E-2</v>
      </c>
      <c r="P3308">
        <v>-0.93465319999999996</v>
      </c>
      <c r="Q3308">
        <v>-6.8870130000000002E-2</v>
      </c>
      <c r="R3308">
        <v>-0.34882819999999998</v>
      </c>
      <c r="S3308">
        <v>-2.4124759999999998</v>
      </c>
      <c r="T3308">
        <v>-0.28867939999999997</v>
      </c>
      <c r="U3308">
        <v>-2.0914000000000001</v>
      </c>
      <c r="V3308">
        <v>-0.29858390000000001</v>
      </c>
      <c r="W3308">
        <v>-4.3488539999999999E-2</v>
      </c>
      <c r="X3308">
        <v>0.95339209999999996</v>
      </c>
      <c r="Y3308">
        <v>-0.61071260000000005</v>
      </c>
      <c r="Z3308">
        <v>-3.6600090000000002E-2</v>
      </c>
      <c r="AA3308">
        <v>0.79100599999999999</v>
      </c>
      <c r="AB3308">
        <v>10</v>
      </c>
      <c r="AC3308">
        <v>-0.66990000000004102</v>
      </c>
      <c r="AD3308">
        <v>-8.6863000000000107E-2</v>
      </c>
      <c r="AE3308">
        <v>-0.62579999999996905</v>
      </c>
      <c r="AF3308">
        <v>-0.58404733885914295</v>
      </c>
      <c r="AG3308">
        <v>-8.6863000000000107E-2</v>
      </c>
      <c r="AH3308">
        <v>0.69598190669157201</v>
      </c>
      <c r="AI3308">
        <v>95.461103513158406</v>
      </c>
      <c r="AJ3308">
        <v>130.00237566533801</v>
      </c>
      <c r="AK3308">
        <v>0.912714242925727</v>
      </c>
      <c r="AL3308">
        <v>92.492495759147502</v>
      </c>
      <c r="AM3308">
        <v>107.38954336310501</v>
      </c>
      <c r="AN3308">
        <v>1.0000000473964701</v>
      </c>
    </row>
    <row r="3309" spans="1:40" x14ac:dyDescent="0.25">
      <c r="A3309" t="str">
        <f>"20190303153834830"</f>
        <v>20190303153834830</v>
      </c>
      <c r="B3309" t="str">
        <f>"1551598714822202"</f>
        <v>1551598714822202</v>
      </c>
      <c r="C3309" t="s">
        <v>40</v>
      </c>
      <c r="D3309">
        <v>4.1739959999999998</v>
      </c>
      <c r="E3309">
        <v>0.36014770000000002</v>
      </c>
      <c r="F3309" t="s">
        <v>44</v>
      </c>
      <c r="G3309">
        <v>-479.13040000000001</v>
      </c>
      <c r="H3309">
        <v>1.0423340000000001</v>
      </c>
      <c r="I3309">
        <v>283.41309999999999</v>
      </c>
      <c r="J3309">
        <v>-478.55509999999998</v>
      </c>
      <c r="K3309">
        <v>1.12348</v>
      </c>
      <c r="L3309">
        <v>283.99720000000002</v>
      </c>
      <c r="M3309">
        <v>-0.99815200000000004</v>
      </c>
      <c r="N3309">
        <v>-2.6232780000000001E-2</v>
      </c>
      <c r="O3309">
        <v>-5.4812640000000003E-2</v>
      </c>
      <c r="P3309">
        <v>-0.93297450000000004</v>
      </c>
      <c r="Q3309">
        <v>-6.7358230000000005E-2</v>
      </c>
      <c r="R3309">
        <v>-0.35358400000000001</v>
      </c>
      <c r="S3309">
        <v>-2.4062809999999999</v>
      </c>
      <c r="T3309">
        <v>-0.28800150000000002</v>
      </c>
      <c r="U3309">
        <v>-2.0960999999999999</v>
      </c>
      <c r="V3309">
        <v>-0.30183599999999999</v>
      </c>
      <c r="W3309">
        <v>-4.2809640000000003E-2</v>
      </c>
      <c r="X3309">
        <v>0.95239819999999997</v>
      </c>
      <c r="Y3309">
        <v>-0.61132549999999997</v>
      </c>
      <c r="Z3309">
        <v>-3.6194480000000001E-2</v>
      </c>
      <c r="AA3309">
        <v>0.79055109999999995</v>
      </c>
      <c r="AB3309">
        <v>10</v>
      </c>
      <c r="AC3309">
        <v>-0.57530000000002701</v>
      </c>
      <c r="AD3309">
        <v>-8.1145999999999899E-2</v>
      </c>
      <c r="AE3309">
        <v>-0.58410000000003404</v>
      </c>
      <c r="AF3309">
        <v>-0.54632463490772099</v>
      </c>
      <c r="AG3309">
        <v>-8.1145999999999899E-2</v>
      </c>
      <c r="AH3309">
        <v>0.60057803029858603</v>
      </c>
      <c r="AI3309">
        <v>95.707592038370393</v>
      </c>
      <c r="AJ3309">
        <v>132.29168379724899</v>
      </c>
      <c r="AK3309">
        <v>0.815934587145553</v>
      </c>
      <c r="AL3309">
        <v>92.453561549999193</v>
      </c>
      <c r="AM3309">
        <v>107.584557161394</v>
      </c>
      <c r="AN3309">
        <v>0.99999998376808397</v>
      </c>
    </row>
    <row r="3310" spans="1:40" x14ac:dyDescent="0.25">
      <c r="A3310" t="str">
        <f>"20190303153834852"</f>
        <v>20190303153834852</v>
      </c>
      <c r="B3310" t="str">
        <f>"1551598714841721"</f>
        <v>1551598714841721</v>
      </c>
      <c r="C3310" t="s">
        <v>40</v>
      </c>
      <c r="D3310">
        <v>4.165718</v>
      </c>
      <c r="E3310">
        <v>0.36040820000000001</v>
      </c>
      <c r="F3310" t="s">
        <v>44</v>
      </c>
      <c r="G3310">
        <v>-479.29700000000003</v>
      </c>
      <c r="H3310">
        <v>1.0358830000000001</v>
      </c>
      <c r="I3310">
        <v>283.34730000000002</v>
      </c>
      <c r="J3310">
        <v>-478.65300000000002</v>
      </c>
      <c r="K3310">
        <v>1.1233679999999999</v>
      </c>
      <c r="L3310">
        <v>283.98970000000003</v>
      </c>
      <c r="M3310">
        <v>-0.99807710000000005</v>
      </c>
      <c r="N3310">
        <v>-2.5657059999999999E-2</v>
      </c>
      <c r="O3310">
        <v>-5.6426209999999997E-2</v>
      </c>
      <c r="P3310">
        <v>-0.93093139999999996</v>
      </c>
      <c r="Q3310">
        <v>-6.63961E-2</v>
      </c>
      <c r="R3310">
        <v>-0.35910789999999998</v>
      </c>
      <c r="S3310">
        <v>-2.3989259999999999</v>
      </c>
      <c r="T3310">
        <v>-0.28325309999999998</v>
      </c>
      <c r="U3310">
        <v>-2.1008909999999998</v>
      </c>
      <c r="V3310">
        <v>-0.30592580000000003</v>
      </c>
      <c r="W3310">
        <v>-4.2464580000000002E-2</v>
      </c>
      <c r="X3310">
        <v>0.95110790000000001</v>
      </c>
      <c r="Y3310">
        <v>-0.6122438</v>
      </c>
      <c r="Z3310">
        <v>-3.5528209999999998E-2</v>
      </c>
      <c r="AA3310">
        <v>0.78987050000000003</v>
      </c>
      <c r="AB3310">
        <v>10</v>
      </c>
      <c r="AC3310">
        <v>-0.64399999999994795</v>
      </c>
      <c r="AD3310">
        <v>-8.7484999999999993E-2</v>
      </c>
      <c r="AE3310">
        <v>-0.64240000000000896</v>
      </c>
      <c r="AF3310">
        <v>-0.59948016570718099</v>
      </c>
      <c r="AG3310">
        <v>-8.7484999999999993E-2</v>
      </c>
      <c r="AH3310">
        <v>0.67300805372108896</v>
      </c>
      <c r="AI3310">
        <v>95.5441530177239</v>
      </c>
      <c r="AJ3310">
        <v>131.69296871187001</v>
      </c>
      <c r="AK3310">
        <v>0.90552191286282901</v>
      </c>
      <c r="AL3310">
        <v>92.433772944212805</v>
      </c>
      <c r="AM3310">
        <v>107.830493198044</v>
      </c>
      <c r="AN3310">
        <v>1.00000003655131</v>
      </c>
    </row>
    <row r="3311" spans="1:40" x14ac:dyDescent="0.25">
      <c r="A3311" t="str">
        <f>"20190303153834874"</f>
        <v>20190303153834874</v>
      </c>
      <c r="B3311" t="str">
        <f>"1551598714871977"</f>
        <v>1551598714871977</v>
      </c>
      <c r="C3311" t="s">
        <v>40</v>
      </c>
      <c r="D3311">
        <v>4.1622599999999998</v>
      </c>
      <c r="E3311">
        <v>0.36106709999999997</v>
      </c>
      <c r="F3311" t="s">
        <v>44</v>
      </c>
      <c r="G3311">
        <v>-479.38459999999998</v>
      </c>
      <c r="H3311">
        <v>1.0381800000000001</v>
      </c>
      <c r="I3311">
        <v>283.34210000000002</v>
      </c>
      <c r="J3311">
        <v>-478.75240000000002</v>
      </c>
      <c r="K3311">
        <v>1.123256</v>
      </c>
      <c r="L3311">
        <v>283.9819</v>
      </c>
      <c r="M3311">
        <v>-0.99798909999999996</v>
      </c>
      <c r="N3311">
        <v>-2.5282019999999999E-2</v>
      </c>
      <c r="O3311">
        <v>-5.8127430000000001E-2</v>
      </c>
      <c r="P3311">
        <v>-0.92899750000000003</v>
      </c>
      <c r="Q3311">
        <v>-6.60518999999999E-2</v>
      </c>
      <c r="R3311">
        <v>-0.36414439999999998</v>
      </c>
      <c r="S3311">
        <v>-2.3873899999999999</v>
      </c>
      <c r="T3311">
        <v>-0.27795920000000002</v>
      </c>
      <c r="U3311">
        <v>-2.1136170000000001</v>
      </c>
      <c r="V3311">
        <v>-0.30945099999999998</v>
      </c>
      <c r="W3311">
        <v>-4.2486910000000003E-2</v>
      </c>
      <c r="X3311">
        <v>0.94996579999999997</v>
      </c>
      <c r="Y3311">
        <v>-0.61523969999999994</v>
      </c>
      <c r="Z3311">
        <v>-3.5037150000000003E-2</v>
      </c>
      <c r="AA3311">
        <v>0.78756110000000001</v>
      </c>
      <c r="AB3311">
        <v>10</v>
      </c>
      <c r="AC3311">
        <v>-0.63219999999995402</v>
      </c>
      <c r="AD3311">
        <v>-8.5076000000000096E-2</v>
      </c>
      <c r="AE3311">
        <v>-0.63979999999997905</v>
      </c>
      <c r="AF3311">
        <v>-0.596619933197167</v>
      </c>
      <c r="AG3311">
        <v>-8.5076000000000096E-2</v>
      </c>
      <c r="AH3311">
        <v>0.66240595932861701</v>
      </c>
      <c r="AI3311">
        <v>95.451358368325799</v>
      </c>
      <c r="AJ3311">
        <v>132.008928115142</v>
      </c>
      <c r="AK3311">
        <v>0.89553052735138905</v>
      </c>
      <c r="AL3311">
        <v>92.435053506124703</v>
      </c>
      <c r="AM3311">
        <v>108.04299999353201</v>
      </c>
      <c r="AN3311">
        <v>1.0000000400459901</v>
      </c>
    </row>
    <row r="3312" spans="1:40" x14ac:dyDescent="0.25">
      <c r="A3312" t="str">
        <f>"20190303153834889"</f>
        <v>20190303153834889</v>
      </c>
      <c r="B3312" t="str">
        <f>"1551598714881737"</f>
        <v>1551598714881737</v>
      </c>
      <c r="C3312" t="s">
        <v>40</v>
      </c>
      <c r="D3312">
        <v>4.1869560000000003</v>
      </c>
      <c r="E3312">
        <v>0.36145579999999999</v>
      </c>
      <c r="F3312" t="s">
        <v>44</v>
      </c>
      <c r="G3312">
        <v>-479.47050000000002</v>
      </c>
      <c r="H3312">
        <v>1.0403830000000001</v>
      </c>
      <c r="I3312">
        <v>283.34120000000001</v>
      </c>
      <c r="J3312">
        <v>-478.8168</v>
      </c>
      <c r="K3312">
        <v>1.1231819999999999</v>
      </c>
      <c r="L3312">
        <v>283.97669999999999</v>
      </c>
      <c r="M3312">
        <v>-0.99792700000000001</v>
      </c>
      <c r="N3312">
        <v>-2.5075440000000001E-2</v>
      </c>
      <c r="O3312">
        <v>-5.9273190000000003E-2</v>
      </c>
      <c r="P3312">
        <v>-0.92792419999999998</v>
      </c>
      <c r="Q3312">
        <v>-6.6441680000000003E-2</v>
      </c>
      <c r="R3312">
        <v>-0.36680020000000002</v>
      </c>
      <c r="S3312">
        <v>-2.3780209999999999</v>
      </c>
      <c r="T3312">
        <v>-0.27442</v>
      </c>
      <c r="U3312">
        <v>-2.121918</v>
      </c>
      <c r="V3312">
        <v>-0.311081</v>
      </c>
      <c r="W3312">
        <v>-4.3054599999999998E-2</v>
      </c>
      <c r="X3312">
        <v>0.94940769999999997</v>
      </c>
      <c r="Y3312">
        <v>-0.61745969999999994</v>
      </c>
      <c r="Z3312">
        <v>-3.4751770000000001E-2</v>
      </c>
      <c r="AA3312">
        <v>0.78583449999999999</v>
      </c>
      <c r="AB3312">
        <v>10</v>
      </c>
      <c r="AC3312">
        <v>-0.65370000000001405</v>
      </c>
      <c r="AD3312">
        <v>-8.2798999999999803E-2</v>
      </c>
      <c r="AE3312">
        <v>-0.63549999999997897</v>
      </c>
      <c r="AF3312">
        <v>-0.590750337809133</v>
      </c>
      <c r="AG3312">
        <v>-8.2798999999999803E-2</v>
      </c>
      <c r="AH3312">
        <v>0.68458339269463997</v>
      </c>
      <c r="AI3312">
        <v>95.231872294207903</v>
      </c>
      <c r="AJ3312">
        <v>130.79202825334201</v>
      </c>
      <c r="AK3312">
        <v>0.90801765267857404</v>
      </c>
      <c r="AL3312">
        <v>92.467609552923093</v>
      </c>
      <c r="AM3312">
        <v>108.141795338528</v>
      </c>
      <c r="AN3312">
        <v>1.00000003398072</v>
      </c>
    </row>
    <row r="3313" spans="1:40" x14ac:dyDescent="0.25">
      <c r="A3313" t="str">
        <f>"20190303153834903"</f>
        <v>20190303153834903</v>
      </c>
      <c r="B3313" t="str">
        <f>"1551598714891497"</f>
        <v>1551598714891497</v>
      </c>
      <c r="C3313" t="s">
        <v>40</v>
      </c>
      <c r="D3313">
        <v>4.1532689999999999</v>
      </c>
      <c r="E3313">
        <v>0.36156440000000001</v>
      </c>
      <c r="F3313" t="s">
        <v>51</v>
      </c>
      <c r="G3313">
        <v>-488.47399999999999</v>
      </c>
      <c r="H3313" s="1">
        <v>1.7608299999999999E-6</v>
      </c>
      <c r="I3313">
        <v>275.32569999999998</v>
      </c>
      <c r="J3313">
        <v>-478.87479999999999</v>
      </c>
      <c r="K3313">
        <v>1.123102</v>
      </c>
      <c r="L3313">
        <v>283.97199999999998</v>
      </c>
      <c r="M3313">
        <v>-0.99786810000000004</v>
      </c>
      <c r="N3313">
        <v>-2.4850049999999999E-2</v>
      </c>
      <c r="O3313">
        <v>-6.0349489999999999E-2</v>
      </c>
      <c r="P3313">
        <v>-0.92692169999999896</v>
      </c>
      <c r="Q3313">
        <v>-6.659648E-2</v>
      </c>
      <c r="R3313">
        <v>-0.36929879999999998</v>
      </c>
      <c r="S3313">
        <v>-2.372986</v>
      </c>
      <c r="T3313">
        <v>-0.27599109999999899</v>
      </c>
      <c r="U3313">
        <v>-2.1257320000000002</v>
      </c>
      <c r="V3313">
        <v>-0.31261689999999998</v>
      </c>
      <c r="W3313">
        <v>-4.3402410000000002E-2</v>
      </c>
      <c r="X3313">
        <v>0.94888720000000004</v>
      </c>
      <c r="Y3313">
        <v>-0.61811689999999997</v>
      </c>
      <c r="Z3313">
        <v>-3.4793560000000001E-2</v>
      </c>
      <c r="AA3313">
        <v>0.78531580000000001</v>
      </c>
      <c r="AB3313">
        <v>10</v>
      </c>
      <c r="AC3313">
        <v>-9.5991999999999909</v>
      </c>
      <c r="AD3313">
        <v>-1.12310023917</v>
      </c>
      <c r="AE3313">
        <v>-8.6462999999999894</v>
      </c>
      <c r="AF3313">
        <v>-7.9906564381933798</v>
      </c>
      <c r="AG3313">
        <v>-1.12310023917</v>
      </c>
      <c r="AH3313">
        <v>10.027869062535499</v>
      </c>
      <c r="AI3313">
        <v>95.005779565699399</v>
      </c>
      <c r="AJ3313">
        <v>128.549410895774</v>
      </c>
      <c r="AK3313">
        <v>12.8712898497323</v>
      </c>
      <c r="AL3313">
        <v>92.487556310912296</v>
      </c>
      <c r="AM3313">
        <v>108.23479480094301</v>
      </c>
      <c r="AN3313">
        <v>1.0000000068416199</v>
      </c>
    </row>
    <row r="3314" spans="1:40" x14ac:dyDescent="0.25">
      <c r="A3314" t="str">
        <f>"20190303153834916"</f>
        <v>20190303153834916</v>
      </c>
      <c r="B3314" t="str">
        <f>"1551598714911993"</f>
        <v>1551598714911993</v>
      </c>
      <c r="C3314" t="s">
        <v>40</v>
      </c>
      <c r="D3314">
        <v>4.1597999999999997</v>
      </c>
      <c r="E3314">
        <v>0.3618111</v>
      </c>
      <c r="F3314" t="s">
        <v>44</v>
      </c>
      <c r="G3314">
        <v>-479.56029999999998</v>
      </c>
      <c r="H3314">
        <v>1.0432490000000001</v>
      </c>
      <c r="I3314">
        <v>283.35509999999999</v>
      </c>
      <c r="J3314">
        <v>-478.9332</v>
      </c>
      <c r="K3314">
        <v>1.1230340000000001</v>
      </c>
      <c r="L3314">
        <v>283.96719999999999</v>
      </c>
      <c r="M3314">
        <v>-0.99780789999999997</v>
      </c>
      <c r="N3314">
        <v>-2.4593839999999999E-2</v>
      </c>
      <c r="O3314">
        <v>-6.1440179999999997E-2</v>
      </c>
      <c r="P3314">
        <v>-0.92579619999999996</v>
      </c>
      <c r="Q3314">
        <v>-6.6819710000000004E-2</v>
      </c>
      <c r="R3314">
        <v>-0.37207099999999999</v>
      </c>
      <c r="S3314">
        <v>-2.3677060000000001</v>
      </c>
      <c r="T3314">
        <v>-0.27578409999999998</v>
      </c>
      <c r="U3314">
        <v>-2.1310730000000002</v>
      </c>
      <c r="V3314">
        <v>-0.31442170000000003</v>
      </c>
      <c r="W3314">
        <v>-4.3856880000000001E-2</v>
      </c>
      <c r="X3314">
        <v>0.94826980000000005</v>
      </c>
      <c r="Y3314">
        <v>-0.61911539999999998</v>
      </c>
      <c r="Z3314">
        <v>-3.4682360000000002E-2</v>
      </c>
      <c r="AA3314">
        <v>0.78453379999999995</v>
      </c>
      <c r="AB3314">
        <v>10</v>
      </c>
      <c r="AC3314">
        <v>-0.627099999999984</v>
      </c>
      <c r="AD3314">
        <v>-7.9785000000000203E-2</v>
      </c>
      <c r="AE3314">
        <v>-0.61209999999999798</v>
      </c>
      <c r="AF3314">
        <v>-0.56769621999716402</v>
      </c>
      <c r="AG3314">
        <v>-7.9785000000000203E-2</v>
      </c>
      <c r="AH3314">
        <v>0.65807833947064798</v>
      </c>
      <c r="AI3314">
        <v>95.245118683812393</v>
      </c>
      <c r="AJ3314">
        <v>130.78294427264001</v>
      </c>
      <c r="AK3314">
        <v>0.87276098979303296</v>
      </c>
      <c r="AL3314">
        <v>92.513620303415394</v>
      </c>
      <c r="AM3314">
        <v>108.344183716228</v>
      </c>
      <c r="AN3314">
        <v>1.00000002247313</v>
      </c>
    </row>
    <row r="3315" spans="1:40" x14ac:dyDescent="0.25">
      <c r="A3315" t="str">
        <f>"20190303153834930"</f>
        <v>20190303153834930</v>
      </c>
      <c r="B3315" t="str">
        <f>"1551598714921753"</f>
        <v>1551598714921753</v>
      </c>
      <c r="C3315" t="s">
        <v>40</v>
      </c>
      <c r="D3315">
        <v>4.1817919999999997</v>
      </c>
      <c r="E3315">
        <v>0.3619347</v>
      </c>
      <c r="F3315" t="s">
        <v>44</v>
      </c>
      <c r="G3315">
        <v>-479.6379</v>
      </c>
      <c r="H3315">
        <v>1.041077</v>
      </c>
      <c r="I3315">
        <v>283.32990000000001</v>
      </c>
      <c r="J3315">
        <v>-478.98680000000002</v>
      </c>
      <c r="K3315">
        <v>1.122957</v>
      </c>
      <c r="L3315">
        <v>283.96269999999998</v>
      </c>
      <c r="M3315">
        <v>-0.99775190000000002</v>
      </c>
      <c r="N3315">
        <v>-2.4338470000000001E-2</v>
      </c>
      <c r="O3315">
        <v>-6.2441410000000003E-2</v>
      </c>
      <c r="P3315">
        <v>-0.92398950000000002</v>
      </c>
      <c r="Q3315">
        <v>-6.6281099999999996E-2</v>
      </c>
      <c r="R3315">
        <v>-0.37663029999999997</v>
      </c>
      <c r="S3315">
        <v>-2.3620909999999999</v>
      </c>
      <c r="T3315">
        <v>-0.27471210000000001</v>
      </c>
      <c r="U3315">
        <v>-2.1362000000000001</v>
      </c>
      <c r="V3315">
        <v>-0.31813780000000003</v>
      </c>
      <c r="W3315">
        <v>-4.3573109999999998E-2</v>
      </c>
      <c r="X3315">
        <v>0.94704259999999996</v>
      </c>
      <c r="Y3315">
        <v>-0.62021400000000004</v>
      </c>
      <c r="Z3315">
        <v>-3.4510069999999997E-2</v>
      </c>
      <c r="AA3315">
        <v>0.78367319999999996</v>
      </c>
      <c r="AB3315">
        <v>10</v>
      </c>
      <c r="AC3315">
        <v>-0.65109999999998502</v>
      </c>
      <c r="AD3315">
        <v>-8.1879999999999897E-2</v>
      </c>
      <c r="AE3315">
        <v>-0.63279999999997405</v>
      </c>
      <c r="AF3315">
        <v>-0.58612997313069504</v>
      </c>
      <c r="AG3315">
        <v>-8.1879999999999897E-2</v>
      </c>
      <c r="AH3315">
        <v>0.68379225870350302</v>
      </c>
      <c r="AI3315">
        <v>95.194760924643504</v>
      </c>
      <c r="AJ3315">
        <v>130.60237289019699</v>
      </c>
      <c r="AK3315">
        <v>0.90433651527792902</v>
      </c>
      <c r="AL3315">
        <v>92.497346026500793</v>
      </c>
      <c r="AM3315">
        <v>108.568623866065</v>
      </c>
      <c r="AN3315">
        <v>0.99999998095933595</v>
      </c>
    </row>
    <row r="3316" spans="1:40" x14ac:dyDescent="0.25">
      <c r="A3316" t="str">
        <f>"20190303153834946"</f>
        <v>20190303153834946</v>
      </c>
      <c r="B3316" t="str">
        <f>"1551598714942249"</f>
        <v>1551598714942249</v>
      </c>
      <c r="C3316" t="s">
        <v>40</v>
      </c>
      <c r="D3316">
        <v>4.2037399999999998</v>
      </c>
      <c r="E3316">
        <v>0.36212090000000002</v>
      </c>
      <c r="F3316" t="s">
        <v>51</v>
      </c>
      <c r="G3316">
        <v>-488.60599999999999</v>
      </c>
      <c r="H3316" s="1">
        <v>1.7469130000000001E-6</v>
      </c>
      <c r="I3316">
        <v>275.18020000000001</v>
      </c>
      <c r="J3316">
        <v>-479.0523</v>
      </c>
      <c r="K3316">
        <v>1.122903</v>
      </c>
      <c r="L3316">
        <v>283.9572</v>
      </c>
      <c r="M3316">
        <v>-0.9976834</v>
      </c>
      <c r="N3316">
        <v>-2.402017E-2</v>
      </c>
      <c r="O3316">
        <v>-6.3646750000000002E-2</v>
      </c>
      <c r="P3316">
        <v>-0.9228594</v>
      </c>
      <c r="Q3316">
        <v>-6.6141690000000003E-2</v>
      </c>
      <c r="R3316">
        <v>-0.37941550000000002</v>
      </c>
      <c r="S3316">
        <v>-2.3518680000000001</v>
      </c>
      <c r="T3316">
        <v>-0.27455689999999999</v>
      </c>
      <c r="U3316">
        <v>-2.147278</v>
      </c>
      <c r="V3316">
        <v>-0.31984780000000002</v>
      </c>
      <c r="W3316">
        <v>-4.3742209999999997E-2</v>
      </c>
      <c r="X3316">
        <v>0.94645860000000004</v>
      </c>
      <c r="Y3316">
        <v>-0.62297040000000004</v>
      </c>
      <c r="Z3316">
        <v>-3.4505910000000001E-2</v>
      </c>
      <c r="AA3316">
        <v>0.78148390000000001</v>
      </c>
      <c r="AB3316">
        <v>9</v>
      </c>
      <c r="AC3316">
        <v>-9.5536999999999903</v>
      </c>
      <c r="AD3316">
        <v>-1.122901253087</v>
      </c>
      <c r="AE3316">
        <v>-8.7769999999999797</v>
      </c>
      <c r="AF3316">
        <v>-8.0903469851081393</v>
      </c>
      <c r="AG3316">
        <v>-1.122901253087</v>
      </c>
      <c r="AH3316">
        <v>10.018055808889001</v>
      </c>
      <c r="AI3316">
        <v>94.983734094073</v>
      </c>
      <c r="AJ3316">
        <v>128.923529599566</v>
      </c>
      <c r="AK3316">
        <v>12.92579064327</v>
      </c>
      <c r="AL3316">
        <v>92.507044095282097</v>
      </c>
      <c r="AM3316">
        <v>108.67225381422701</v>
      </c>
      <c r="AN3316">
        <v>0.99999993880724003</v>
      </c>
    </row>
    <row r="3317" spans="1:40" x14ac:dyDescent="0.25">
      <c r="A3317" t="str">
        <f>"20190303153834960"</f>
        <v>20190303153834960</v>
      </c>
      <c r="B3317" t="str">
        <f>"1551598714952009"</f>
        <v>1551598714952009</v>
      </c>
      <c r="C3317" t="s">
        <v>40</v>
      </c>
      <c r="D3317">
        <v>4.1779299999999999</v>
      </c>
      <c r="E3317">
        <v>0.36223490000000003</v>
      </c>
      <c r="F3317" t="s">
        <v>44</v>
      </c>
      <c r="G3317">
        <v>-479.72460000000001</v>
      </c>
      <c r="H3317">
        <v>1.044484</v>
      </c>
      <c r="I3317">
        <v>283.3408</v>
      </c>
      <c r="J3317">
        <v>-479.11079999999998</v>
      </c>
      <c r="K3317">
        <v>1.1228739999999999</v>
      </c>
      <c r="L3317">
        <v>283.9522</v>
      </c>
      <c r="M3317">
        <v>-0.99762150000000005</v>
      </c>
      <c r="N3317">
        <v>-2.375932E-2</v>
      </c>
      <c r="O3317">
        <v>-6.4708050000000003E-2</v>
      </c>
      <c r="P3317">
        <v>-0.92179009999999995</v>
      </c>
      <c r="Q3317">
        <v>-6.5436590000000003E-2</v>
      </c>
      <c r="R3317">
        <v>-0.38212810000000003</v>
      </c>
      <c r="S3317">
        <v>-2.34613</v>
      </c>
      <c r="T3317">
        <v>-0.2736403</v>
      </c>
      <c r="U3317">
        <v>-2.1525880000000002</v>
      </c>
      <c r="V3317">
        <v>-0.3216195</v>
      </c>
      <c r="W3317">
        <v>-4.329802E-2</v>
      </c>
      <c r="X3317">
        <v>0.94587849999999996</v>
      </c>
      <c r="Y3317">
        <v>-0.62407049999999997</v>
      </c>
      <c r="Z3317">
        <v>-3.4338790000000001E-2</v>
      </c>
      <c r="AA3317">
        <v>0.78061309999999995</v>
      </c>
      <c r="AB3317">
        <v>9</v>
      </c>
      <c r="AC3317">
        <v>-0.61380000000002599</v>
      </c>
      <c r="AD3317">
        <v>-7.8389999999999904E-2</v>
      </c>
      <c r="AE3317">
        <v>-0.61140000000000305</v>
      </c>
      <c r="AF3317">
        <v>-0.56575694826773704</v>
      </c>
      <c r="AG3317">
        <v>-7.8389999999999904E-2</v>
      </c>
      <c r="AH3317">
        <v>0.64679114968970397</v>
      </c>
      <c r="AI3317">
        <v>95.212322407974497</v>
      </c>
      <c r="AJ3317">
        <v>131.176626615327</v>
      </c>
      <c r="AK3317">
        <v>0.86288163031214904</v>
      </c>
      <c r="AL3317">
        <v>92.481569645660102</v>
      </c>
      <c r="AM3317">
        <v>108.779163143083</v>
      </c>
      <c r="AN3317">
        <v>0.99999997903921001</v>
      </c>
    </row>
    <row r="3318" spans="1:40" x14ac:dyDescent="0.25">
      <c r="A3318" t="str">
        <f>"20190303153834975"</f>
        <v>20190303153834975</v>
      </c>
      <c r="B3318" t="str">
        <f>"1551598714971530"</f>
        <v>1551598714971530</v>
      </c>
      <c r="C3318" t="s">
        <v>40</v>
      </c>
      <c r="D3318">
        <v>4.1514899999999999</v>
      </c>
      <c r="E3318">
        <v>0.36245929999999998</v>
      </c>
      <c r="F3318" t="s">
        <v>44</v>
      </c>
      <c r="G3318">
        <v>-479.79989999999998</v>
      </c>
      <c r="H3318">
        <v>1.0427999999999999</v>
      </c>
      <c r="I3318">
        <v>283.31670000000003</v>
      </c>
      <c r="J3318">
        <v>-479.16860000000003</v>
      </c>
      <c r="K3318">
        <v>1.1228610000000001</v>
      </c>
      <c r="L3318">
        <v>283.94720000000001</v>
      </c>
      <c r="M3318">
        <v>-0.99755859999999996</v>
      </c>
      <c r="N3318">
        <v>-2.352077E-2</v>
      </c>
      <c r="O3318">
        <v>-6.57552E-2</v>
      </c>
      <c r="P3318">
        <v>-0.92082489999999995</v>
      </c>
      <c r="Q3318">
        <v>-6.5071790000000004E-2</v>
      </c>
      <c r="R3318">
        <v>-0.3845095</v>
      </c>
      <c r="S3318">
        <v>-2.3404240000000001</v>
      </c>
      <c r="T3318">
        <v>-0.27194980000000002</v>
      </c>
      <c r="U3318">
        <v>-2.1585079999999999</v>
      </c>
      <c r="V3318">
        <v>-0.32306780000000002</v>
      </c>
      <c r="W3318">
        <v>-4.3173009999999998E-2</v>
      </c>
      <c r="X3318">
        <v>0.94539059999999997</v>
      </c>
      <c r="Y3318">
        <v>-0.62529880000000004</v>
      </c>
      <c r="Z3318">
        <v>-3.4118610000000001E-2</v>
      </c>
      <c r="AA3318">
        <v>0.77963919999999998</v>
      </c>
      <c r="AB3318">
        <v>9</v>
      </c>
      <c r="AC3318">
        <v>-0.63129999999995301</v>
      </c>
      <c r="AD3318">
        <v>-8.0061000000000104E-2</v>
      </c>
      <c r="AE3318">
        <v>-0.63049999999998296</v>
      </c>
      <c r="AF3318">
        <v>-0.58291844497722001</v>
      </c>
      <c r="AG3318">
        <v>-8.0061000000000104E-2</v>
      </c>
      <c r="AH3318">
        <v>0.66604030137799397</v>
      </c>
      <c r="AI3318">
        <v>95.168572151000703</v>
      </c>
      <c r="AJ3318">
        <v>131.19241335893</v>
      </c>
      <c r="AK3318">
        <v>0.88871444248158205</v>
      </c>
      <c r="AL3318">
        <v>92.474400222043002</v>
      </c>
      <c r="AM3318">
        <v>108.866808154119</v>
      </c>
      <c r="AN3318">
        <v>1.0000000493788199</v>
      </c>
    </row>
    <row r="3319" spans="1:40" x14ac:dyDescent="0.25">
      <c r="A3319" t="str">
        <f>"20190303153834989"</f>
        <v>20190303153834989</v>
      </c>
      <c r="B3319" t="str">
        <f>"1551598714982266"</f>
        <v>1551598714982266</v>
      </c>
      <c r="C3319" t="s">
        <v>40</v>
      </c>
      <c r="D3319">
        <v>4.2133289999999999</v>
      </c>
      <c r="E3319">
        <v>0.36261559999999998</v>
      </c>
      <c r="F3319" t="s">
        <v>44</v>
      </c>
      <c r="G3319">
        <v>-479.87509999999997</v>
      </c>
      <c r="H3319">
        <v>1.0415380000000001</v>
      </c>
      <c r="I3319">
        <v>283.29320000000001</v>
      </c>
      <c r="J3319">
        <v>-479.22430000000003</v>
      </c>
      <c r="K3319">
        <v>1.1228670000000001</v>
      </c>
      <c r="L3319">
        <v>283.94229999999999</v>
      </c>
      <c r="M3319">
        <v>-0.99749620000000006</v>
      </c>
      <c r="N3319">
        <v>-2.3310999999999998E-2</v>
      </c>
      <c r="O3319">
        <v>-6.6766499999999895E-2</v>
      </c>
      <c r="P3319">
        <v>-0.91905749999999997</v>
      </c>
      <c r="Q3319">
        <v>-6.5368170000000003E-2</v>
      </c>
      <c r="R3319">
        <v>-0.38866460000000003</v>
      </c>
      <c r="S3319">
        <v>-2.3357239999999999</v>
      </c>
      <c r="T3319">
        <v>-0.26883230000000002</v>
      </c>
      <c r="U3319">
        <v>-2.1630859999999998</v>
      </c>
      <c r="V3319">
        <v>-0.32637379999999999</v>
      </c>
      <c r="W3319">
        <v>-4.370048E-2</v>
      </c>
      <c r="X3319">
        <v>0.94423009999999996</v>
      </c>
      <c r="Y3319">
        <v>-0.62617140000000004</v>
      </c>
      <c r="Z3319">
        <v>-3.3758259999999998E-2</v>
      </c>
      <c r="AA3319">
        <v>0.77895429999999999</v>
      </c>
      <c r="AB3319">
        <v>9</v>
      </c>
      <c r="AC3319">
        <v>-0.65079999999994698</v>
      </c>
      <c r="AD3319">
        <v>-8.1329000000000207E-2</v>
      </c>
      <c r="AE3319">
        <v>-0.64909999999997503</v>
      </c>
      <c r="AF3319">
        <v>-0.59949400221466997</v>
      </c>
      <c r="AG3319">
        <v>-8.1329000000000207E-2</v>
      </c>
      <c r="AH3319">
        <v>0.68731602870188402</v>
      </c>
      <c r="AI3319">
        <v>95.095799543675099</v>
      </c>
      <c r="AJ3319">
        <v>131.09574005894001</v>
      </c>
      <c r="AK3319">
        <v>0.915647742444054</v>
      </c>
      <c r="AL3319">
        <v>92.504650611387603</v>
      </c>
      <c r="AM3319">
        <v>109.06774476647099</v>
      </c>
      <c r="AN3319">
        <v>1.00000003551233</v>
      </c>
    </row>
    <row r="3320" spans="1:40" x14ac:dyDescent="0.25">
      <c r="A3320" t="str">
        <f>"20190303153835008"</f>
        <v>20190303153835008</v>
      </c>
      <c r="B3320" t="str">
        <f>"1551598715001786"</f>
        <v>1551598715001786</v>
      </c>
      <c r="C3320" t="s">
        <v>40</v>
      </c>
      <c r="D3320">
        <v>4.2094300000000002</v>
      </c>
      <c r="E3320">
        <v>0.36275249999999998</v>
      </c>
      <c r="F3320" t="s">
        <v>44</v>
      </c>
      <c r="G3320">
        <v>-479.88369999999998</v>
      </c>
      <c r="H3320">
        <v>1.047417</v>
      </c>
      <c r="I3320">
        <v>283.32679999999999</v>
      </c>
      <c r="J3320">
        <v>-479.30079999999998</v>
      </c>
      <c r="K3320">
        <v>1.1228549999999999</v>
      </c>
      <c r="L3320">
        <v>283.93540000000002</v>
      </c>
      <c r="M3320">
        <v>-0.99740620000000002</v>
      </c>
      <c r="N3320">
        <v>-2.303614E-2</v>
      </c>
      <c r="O3320">
        <v>-6.8193190000000001E-2</v>
      </c>
      <c r="P3320">
        <v>-0.91715939999999996</v>
      </c>
      <c r="Q3320">
        <v>-6.5812659999999995E-2</v>
      </c>
      <c r="R3320">
        <v>-0.39304889999999998</v>
      </c>
      <c r="S3320">
        <v>-2.326508</v>
      </c>
      <c r="T3320">
        <v>-0.26615260000000002</v>
      </c>
      <c r="U3320">
        <v>-2.172485</v>
      </c>
      <c r="V3320">
        <v>-0.32952789999999998</v>
      </c>
      <c r="W3320">
        <v>-4.4435780000000001E-2</v>
      </c>
      <c r="X3320">
        <v>0.94309960000000004</v>
      </c>
      <c r="Y3320">
        <v>-0.62832049999999995</v>
      </c>
      <c r="Z3320">
        <v>-3.3481740000000003E-2</v>
      </c>
      <c r="AA3320">
        <v>0.77723379999999997</v>
      </c>
      <c r="AB3320">
        <v>9</v>
      </c>
      <c r="AC3320">
        <v>-0.58289999999999498</v>
      </c>
      <c r="AD3320">
        <v>-7.5437999999999894E-2</v>
      </c>
      <c r="AE3320">
        <v>-0.60860000000002301</v>
      </c>
      <c r="AF3320">
        <v>-0.56291128023421999</v>
      </c>
      <c r="AG3320">
        <v>-7.5437999999999894E-2</v>
      </c>
      <c r="AH3320">
        <v>0.618102613548695</v>
      </c>
      <c r="AI3320">
        <v>95.156137421598501</v>
      </c>
      <c r="AJ3320">
        <v>132.32439093238301</v>
      </c>
      <c r="AK3320">
        <v>0.83941100906210198</v>
      </c>
      <c r="AL3320">
        <v>92.546821216103993</v>
      </c>
      <c r="AM3320">
        <v>109.259896542017</v>
      </c>
      <c r="AN3320">
        <v>1.00000001547138</v>
      </c>
    </row>
    <row r="3321" spans="1:40" x14ac:dyDescent="0.25">
      <c r="A3321" t="str">
        <f>"20190303153835033"</f>
        <v>20190303153835033</v>
      </c>
      <c r="B3321" t="str">
        <f>"1551598715021305"</f>
        <v>1551598715021305</v>
      </c>
      <c r="C3321" t="s">
        <v>40</v>
      </c>
      <c r="D3321">
        <v>4.1195240000000002</v>
      </c>
      <c r="E3321">
        <v>0.36249890000000001</v>
      </c>
      <c r="F3321" t="s">
        <v>44</v>
      </c>
      <c r="G3321">
        <v>-479.9597</v>
      </c>
      <c r="H3321">
        <v>1.046538</v>
      </c>
      <c r="I3321">
        <v>283.31439999999998</v>
      </c>
      <c r="J3321">
        <v>-479.38900000000001</v>
      </c>
      <c r="K3321">
        <v>1.122846</v>
      </c>
      <c r="L3321">
        <v>283.92720000000003</v>
      </c>
      <c r="M3321">
        <v>-0.99729429999999997</v>
      </c>
      <c r="N3321">
        <v>-2.271279E-2</v>
      </c>
      <c r="O3321">
        <v>-6.9916350000000002E-2</v>
      </c>
      <c r="P3321">
        <v>-0.91479710000000003</v>
      </c>
      <c r="Q3321">
        <v>-6.6096710000000003E-2</v>
      </c>
      <c r="R3321">
        <v>-0.39846949999999998</v>
      </c>
      <c r="S3321">
        <v>-2.3161930000000002</v>
      </c>
      <c r="T3321">
        <v>-0.26828069999999998</v>
      </c>
      <c r="U3321">
        <v>-2.1830440000000002</v>
      </c>
      <c r="V3321">
        <v>-0.33347159999999998</v>
      </c>
      <c r="W3321">
        <v>-4.5064409999999999E-2</v>
      </c>
      <c r="X3321">
        <v>0.94168249999999998</v>
      </c>
      <c r="Y3321">
        <v>-0.6305423</v>
      </c>
      <c r="Z3321">
        <v>-3.3598860000000001E-2</v>
      </c>
      <c r="AA3321">
        <v>0.77542730000000004</v>
      </c>
      <c r="AB3321">
        <v>9</v>
      </c>
      <c r="AC3321">
        <v>-0.570699999999987</v>
      </c>
      <c r="AD3321">
        <v>-7.6308000000000001E-2</v>
      </c>
      <c r="AE3321">
        <v>-0.61280000000004897</v>
      </c>
      <c r="AF3321">
        <v>-0.56668236275085804</v>
      </c>
      <c r="AG3321">
        <v>-7.6308000000000001E-2</v>
      </c>
      <c r="AH3321">
        <v>0.607117021515585</v>
      </c>
      <c r="AI3321">
        <v>95.249749516055701</v>
      </c>
      <c r="AJ3321">
        <v>133.02707379340799</v>
      </c>
      <c r="AK3321">
        <v>0.83399213960975105</v>
      </c>
      <c r="AL3321">
        <v>92.582875168896294</v>
      </c>
      <c r="AM3321">
        <v>109.500234494336</v>
      </c>
      <c r="AN3321">
        <v>1.00000001993072</v>
      </c>
    </row>
    <row r="3322" spans="1:40" x14ac:dyDescent="0.25">
      <c r="A3322" t="str">
        <f>"20190303153835053"</f>
        <v>20190303153835053</v>
      </c>
      <c r="B3322" t="str">
        <f>"1551598715041801"</f>
        <v>1551598715041801</v>
      </c>
      <c r="C3322" t="s">
        <v>40</v>
      </c>
      <c r="D3322">
        <v>4.1043000000000003</v>
      </c>
      <c r="E3322">
        <v>0.36233670000000001</v>
      </c>
      <c r="F3322" t="s">
        <v>51</v>
      </c>
      <c r="G3322">
        <v>-488.94330000000002</v>
      </c>
      <c r="H3322" s="1">
        <v>1.710784E-6</v>
      </c>
      <c r="I3322">
        <v>274.80520000000001</v>
      </c>
      <c r="J3322">
        <v>-479.47030000000001</v>
      </c>
      <c r="K3322">
        <v>1.122852</v>
      </c>
      <c r="L3322">
        <v>283.91950000000003</v>
      </c>
      <c r="M3322">
        <v>-0.99718309999999999</v>
      </c>
      <c r="N3322">
        <v>-2.2404E-2</v>
      </c>
      <c r="O3322">
        <v>-7.1580400000000002E-2</v>
      </c>
      <c r="P3322">
        <v>-0.91248200000000002</v>
      </c>
      <c r="Q3322">
        <v>-6.5958340000000004E-2</v>
      </c>
      <c r="R3322">
        <v>-0.4037654</v>
      </c>
      <c r="S3322">
        <v>-2.302368</v>
      </c>
      <c r="T3322">
        <v>-0.27057979999999998</v>
      </c>
      <c r="U3322">
        <v>-2.1981809999999999</v>
      </c>
      <c r="V3322">
        <v>-0.33734899999999901</v>
      </c>
      <c r="W3322">
        <v>-4.5259849999999997E-2</v>
      </c>
      <c r="X3322">
        <v>0.94029099999999999</v>
      </c>
      <c r="Y3322">
        <v>-0.63418509999999995</v>
      </c>
      <c r="Z3322">
        <v>-3.3845439999999997E-2</v>
      </c>
      <c r="AA3322">
        <v>0.77244009999999996</v>
      </c>
      <c r="AB3322">
        <v>9</v>
      </c>
      <c r="AC3322">
        <v>-9.4730000000000096</v>
      </c>
      <c r="AD3322">
        <v>-1.1228502892159999</v>
      </c>
      <c r="AE3322">
        <v>-9.1143000000000107</v>
      </c>
      <c r="AF3322">
        <v>-8.3517236977587395</v>
      </c>
      <c r="AG3322">
        <v>-1.1228502892159999</v>
      </c>
      <c r="AH3322">
        <v>10.028092993489199</v>
      </c>
      <c r="AI3322">
        <v>94.917576851281893</v>
      </c>
      <c r="AJ3322">
        <v>129.78863833475799</v>
      </c>
      <c r="AK3322">
        <v>13.0986537698255</v>
      </c>
      <c r="AL3322">
        <v>92.594084588255896</v>
      </c>
      <c r="AM3322">
        <v>109.736506703258</v>
      </c>
      <c r="AN3322">
        <v>0.999999983252011</v>
      </c>
    </row>
    <row r="3323" spans="1:40" x14ac:dyDescent="0.25">
      <c r="A3323" t="str">
        <f>"20190303153835074"</f>
        <v>20190303153835074</v>
      </c>
      <c r="B3323" t="str">
        <f>"1551598715072056"</f>
        <v>1551598715072056</v>
      </c>
      <c r="C3323" t="s">
        <v>40</v>
      </c>
      <c r="D3323">
        <v>4.154293</v>
      </c>
      <c r="E3323">
        <v>0.36223300000000003</v>
      </c>
      <c r="F3323" t="s">
        <v>51</v>
      </c>
      <c r="G3323">
        <v>-488.95479999999998</v>
      </c>
      <c r="H3323" s="1">
        <v>1.7025560000000001E-6</v>
      </c>
      <c r="I3323">
        <v>274.7527</v>
      </c>
      <c r="J3323">
        <v>-479.55149999999998</v>
      </c>
      <c r="K3323">
        <v>1.1228469999999999</v>
      </c>
      <c r="L3323">
        <v>283.91160000000002</v>
      </c>
      <c r="M3323">
        <v>-0.99706510000000004</v>
      </c>
      <c r="N3323">
        <v>-2.2091079999999999E-2</v>
      </c>
      <c r="O3323">
        <v>-7.3302720000000002E-2</v>
      </c>
      <c r="P3323">
        <v>-0.91029839999999995</v>
      </c>
      <c r="Q3323">
        <v>-6.5307560000000001E-2</v>
      </c>
      <c r="R3323">
        <v>-0.40876879999999999</v>
      </c>
      <c r="S3323">
        <v>-2.2891539999999999</v>
      </c>
      <c r="T3323">
        <v>-0.27100809999999997</v>
      </c>
      <c r="U3323">
        <v>-2.2124630000000001</v>
      </c>
      <c r="V3323">
        <v>-0.34087650000000003</v>
      </c>
      <c r="W3323">
        <v>-4.4945119999999998E-2</v>
      </c>
      <c r="X3323">
        <v>0.93903309999999995</v>
      </c>
      <c r="Y3323">
        <v>-0.63755119999999998</v>
      </c>
      <c r="Z3323">
        <v>-3.3896860000000001E-2</v>
      </c>
      <c r="AA3323">
        <v>0.76966190000000001</v>
      </c>
      <c r="AB3323">
        <v>9</v>
      </c>
      <c r="AC3323">
        <v>-9.4032999999999998</v>
      </c>
      <c r="AD3323">
        <v>-1.122845297444</v>
      </c>
      <c r="AE3323">
        <v>-9.1589000000000098</v>
      </c>
      <c r="AF3323">
        <v>-8.3834503505485802</v>
      </c>
      <c r="AG3323">
        <v>-1.122845297444</v>
      </c>
      <c r="AH3323">
        <v>9.9765277136827102</v>
      </c>
      <c r="AI3323">
        <v>94.924762399013403</v>
      </c>
      <c r="AJ3323">
        <v>130.04092169567701</v>
      </c>
      <c r="AK3323">
        <v>13.0795308235419</v>
      </c>
      <c r="AL3323">
        <v>92.576033455339598</v>
      </c>
      <c r="AM3323">
        <v>109.951300717691</v>
      </c>
      <c r="AN3323">
        <v>1.0000000074798301</v>
      </c>
    </row>
    <row r="3324" spans="1:40" x14ac:dyDescent="0.25">
      <c r="A3324" t="str">
        <f>"20190303153835091"</f>
        <v>20190303153835091</v>
      </c>
      <c r="B3324" t="str">
        <f>"1551598715081817"</f>
        <v>1551598715081817</v>
      </c>
      <c r="C3324" t="s">
        <v>40</v>
      </c>
      <c r="D3324">
        <v>4.1559160000000004</v>
      </c>
      <c r="E3324">
        <v>0.3621878</v>
      </c>
      <c r="F3324" t="s">
        <v>51</v>
      </c>
      <c r="G3324">
        <v>-489.02350000000001</v>
      </c>
      <c r="H3324" s="1">
        <v>1.690792E-6</v>
      </c>
      <c r="I3324">
        <v>274.65129999999999</v>
      </c>
      <c r="J3324">
        <v>-479.61180000000002</v>
      </c>
      <c r="K3324">
        <v>1.1228419999999999</v>
      </c>
      <c r="L3324">
        <v>283.90550000000002</v>
      </c>
      <c r="M3324">
        <v>-0.99697259999999999</v>
      </c>
      <c r="N3324">
        <v>-2.1863290000000001E-2</v>
      </c>
      <c r="O3324">
        <v>-7.4615890000000004E-2</v>
      </c>
      <c r="P3324">
        <v>-0.90891219999999995</v>
      </c>
      <c r="Q3324">
        <v>-6.4911540000000004E-2</v>
      </c>
      <c r="R3324">
        <v>-0.41190490000000002</v>
      </c>
      <c r="S3324">
        <v>-2.276764</v>
      </c>
      <c r="T3324">
        <v>-0.26989580000000002</v>
      </c>
      <c r="U3324">
        <v>-2.2258610000000001</v>
      </c>
      <c r="V3324">
        <v>-0.34287069999999997</v>
      </c>
      <c r="W3324">
        <v>-4.478965E-2</v>
      </c>
      <c r="X3324">
        <v>0.93831419999999999</v>
      </c>
      <c r="Y3324">
        <v>-0.64095029999999997</v>
      </c>
      <c r="Z3324">
        <v>-3.3874649999999999E-2</v>
      </c>
      <c r="AA3324">
        <v>0.76683459999999903</v>
      </c>
      <c r="AB3324">
        <v>8</v>
      </c>
      <c r="AC3324">
        <v>-9.4116999999999909</v>
      </c>
      <c r="AD3324">
        <v>-1.1228403092079999</v>
      </c>
      <c r="AE3324">
        <v>-9.2542000000000204</v>
      </c>
      <c r="AF3324">
        <v>-8.4647038072420209</v>
      </c>
      <c r="AG3324">
        <v>-1.1228403092079999</v>
      </c>
      <c r="AH3324">
        <v>10.0037329418063</v>
      </c>
      <c r="AI3324">
        <v>94.897374160610894</v>
      </c>
      <c r="AJ3324">
        <v>130.23638068075701</v>
      </c>
      <c r="AK3324">
        <v>13.152439077042001</v>
      </c>
      <c r="AL3324">
        <v>92.567116761801003</v>
      </c>
      <c r="AM3324">
        <v>110.07287945134701</v>
      </c>
      <c r="AN3324">
        <v>0.99999998379362598</v>
      </c>
    </row>
    <row r="3325" spans="1:40" x14ac:dyDescent="0.25">
      <c r="A3325" t="str">
        <f>"20190303153835109"</f>
        <v>20190303153835109</v>
      </c>
      <c r="B3325" t="str">
        <f>"1551598715102332"</f>
        <v>1551598715102332</v>
      </c>
      <c r="C3325" t="s">
        <v>40</v>
      </c>
      <c r="D3325">
        <v>4.1145110000000003</v>
      </c>
      <c r="E3325">
        <v>0.36222310000000002</v>
      </c>
      <c r="F3325" t="s">
        <v>51</v>
      </c>
      <c r="G3325">
        <v>-489.07760000000002</v>
      </c>
      <c r="H3325" s="1">
        <v>1.6785680000000001E-6</v>
      </c>
      <c r="I3325">
        <v>274.5856</v>
      </c>
      <c r="J3325">
        <v>-479.67509999999999</v>
      </c>
      <c r="K3325">
        <v>1.1228340000000001</v>
      </c>
      <c r="L3325">
        <v>283.899</v>
      </c>
      <c r="M3325">
        <v>-0.99687000000000003</v>
      </c>
      <c r="N3325">
        <v>-2.162965E-2</v>
      </c>
      <c r="O3325">
        <v>-7.6043050000000001E-2</v>
      </c>
      <c r="P3325">
        <v>-0.90645209999999998</v>
      </c>
      <c r="Q3325">
        <v>-6.5452140000000006E-2</v>
      </c>
      <c r="R3325">
        <v>-0.41720610000000002</v>
      </c>
      <c r="S3325">
        <v>-2.2689819999999998</v>
      </c>
      <c r="T3325">
        <v>-0.26914729999999998</v>
      </c>
      <c r="U3325">
        <v>-2.2340089999999999</v>
      </c>
      <c r="V3325">
        <v>-0.34699999999999998</v>
      </c>
      <c r="W3325">
        <v>-4.559904E-2</v>
      </c>
      <c r="X3325">
        <v>0.93675600000000003</v>
      </c>
      <c r="Y3325">
        <v>-0.64257940000000002</v>
      </c>
      <c r="Z3325">
        <v>-3.3737339999999998E-2</v>
      </c>
      <c r="AA3325">
        <v>0.76547600000000005</v>
      </c>
      <c r="AB3325">
        <v>8</v>
      </c>
      <c r="AC3325">
        <v>-9.4025000000000301</v>
      </c>
      <c r="AD3325">
        <v>-1.122832321432</v>
      </c>
      <c r="AE3325">
        <v>-9.3133999999999997</v>
      </c>
      <c r="AF3325">
        <v>-8.5100013781324595</v>
      </c>
      <c r="AG3325">
        <v>-1.122832321432</v>
      </c>
      <c r="AH3325">
        <v>10.011581506968801</v>
      </c>
      <c r="AI3325">
        <v>94.884252295228094</v>
      </c>
      <c r="AJ3325">
        <v>130.36505851939401</v>
      </c>
      <c r="AK3325">
        <v>13.187594175912</v>
      </c>
      <c r="AL3325">
        <v>92.613538686499098</v>
      </c>
      <c r="AM3325">
        <v>110.326005362469</v>
      </c>
      <c r="AN3325">
        <v>1.0000000379924601</v>
      </c>
    </row>
    <row r="3326" spans="1:40" x14ac:dyDescent="0.25">
      <c r="A3326" t="str">
        <f>"20190303153835125"</f>
        <v>20190303153835125</v>
      </c>
      <c r="B3326" t="str">
        <f>"1551598715121834"</f>
        <v>1551598715121834</v>
      </c>
      <c r="C3326" t="s">
        <v>40</v>
      </c>
      <c r="D3326">
        <v>4.14689</v>
      </c>
      <c r="E3326">
        <v>0.3622205</v>
      </c>
      <c r="F3326" t="s">
        <v>44</v>
      </c>
      <c r="G3326">
        <v>-480.32190000000003</v>
      </c>
      <c r="H3326">
        <v>1.0446470000000001</v>
      </c>
      <c r="I3326">
        <v>283.255</v>
      </c>
      <c r="J3326">
        <v>-479.73349999999999</v>
      </c>
      <c r="K3326">
        <v>1.122827</v>
      </c>
      <c r="L3326">
        <v>283.8929</v>
      </c>
      <c r="M3326">
        <v>-0.9967684</v>
      </c>
      <c r="N3326">
        <v>-2.14133E-2</v>
      </c>
      <c r="O3326">
        <v>-7.7423279999999997E-2</v>
      </c>
      <c r="P3326">
        <v>-0.90476849999999998</v>
      </c>
      <c r="Q3326">
        <v>-6.5866040000000001E-2</v>
      </c>
      <c r="R3326">
        <v>-0.42077989999999998</v>
      </c>
      <c r="S3326">
        <v>-2.2558590000000001</v>
      </c>
      <c r="T3326">
        <v>-0.27269959999999999</v>
      </c>
      <c r="U3326">
        <v>-2.2466430000000002</v>
      </c>
      <c r="V3326">
        <v>-0.34939550000000003</v>
      </c>
      <c r="W3326">
        <v>-4.6251569999999999E-2</v>
      </c>
      <c r="X3326">
        <v>0.93583309999999997</v>
      </c>
      <c r="Y3326">
        <v>-0.64581739999999999</v>
      </c>
      <c r="Z3326">
        <v>-3.4128909999999998E-2</v>
      </c>
      <c r="AA3326">
        <v>0.76272879999999998</v>
      </c>
      <c r="AB3326">
        <v>8</v>
      </c>
      <c r="AC3326">
        <v>-0.58840000000003501</v>
      </c>
      <c r="AD3326">
        <v>-7.8180000000000097E-2</v>
      </c>
      <c r="AE3326">
        <v>-0.63790000000000102</v>
      </c>
      <c r="AF3326">
        <v>-0.58566501640628998</v>
      </c>
      <c r="AG3326">
        <v>-7.8180000000000097E-2</v>
      </c>
      <c r="AH3326">
        <v>0.63091239497302498</v>
      </c>
      <c r="AI3326">
        <v>95.189238448396495</v>
      </c>
      <c r="AJ3326">
        <v>132.87001680011801</v>
      </c>
      <c r="AK3326">
        <v>0.86438768730979698</v>
      </c>
      <c r="AL3326">
        <v>92.6509654724927</v>
      </c>
      <c r="AM3326">
        <v>110.473236496609</v>
      </c>
      <c r="AN3326">
        <v>1.0000000071016599</v>
      </c>
    </row>
    <row r="3327" spans="1:40" x14ac:dyDescent="0.25">
      <c r="A3327" t="str">
        <f>"20190303153835139"</f>
        <v>20190303153835139</v>
      </c>
      <c r="B3327" t="str">
        <f>"1551598715131593"</f>
        <v>1551598715131593</v>
      </c>
      <c r="C3327" t="s">
        <v>40</v>
      </c>
      <c r="D3327">
        <v>4.1497510000000002</v>
      </c>
      <c r="E3327">
        <v>0.36231289999999999</v>
      </c>
      <c r="F3327" t="s">
        <v>44</v>
      </c>
      <c r="G3327">
        <v>-480.38940000000002</v>
      </c>
      <c r="H3327">
        <v>1.0424020000000001</v>
      </c>
      <c r="I3327">
        <v>283.23469999999998</v>
      </c>
      <c r="J3327">
        <v>-479.78480000000002</v>
      </c>
      <c r="K3327">
        <v>1.1228260000000001</v>
      </c>
      <c r="L3327">
        <v>283.88749999999999</v>
      </c>
      <c r="M3327">
        <v>-0.99667340000000004</v>
      </c>
      <c r="N3327">
        <v>-2.12071E-2</v>
      </c>
      <c r="O3327">
        <v>-7.8692209999999999E-2</v>
      </c>
      <c r="P3327">
        <v>-0.90298089999999998</v>
      </c>
      <c r="Q3327">
        <v>-6.7003049999999995E-2</v>
      </c>
      <c r="R3327">
        <v>-0.42442459999999999</v>
      </c>
      <c r="S3327">
        <v>-2.2468569999999999</v>
      </c>
      <c r="T3327">
        <v>-0.27548679999999998</v>
      </c>
      <c r="U3327">
        <v>-2.2552490000000001</v>
      </c>
      <c r="V3327">
        <v>-0.3519756</v>
      </c>
      <c r="W3327">
        <v>-4.7624220000000002E-2</v>
      </c>
      <c r="X3327">
        <v>0.93479679999999998</v>
      </c>
      <c r="Y3327">
        <v>-0.64777430000000003</v>
      </c>
      <c r="Z3327">
        <v>-3.4361080000000002E-2</v>
      </c>
      <c r="AA3327">
        <v>0.76105699999999998</v>
      </c>
      <c r="AB3327">
        <v>8</v>
      </c>
      <c r="AC3327">
        <v>-0.60460000000000402</v>
      </c>
      <c r="AD3327">
        <v>-8.0423999999999995E-2</v>
      </c>
      <c r="AE3327">
        <v>-0.65280000000001304</v>
      </c>
      <c r="AF3327">
        <v>-0.59829867780607005</v>
      </c>
      <c r="AG3327">
        <v>-8.0423999999999995E-2</v>
      </c>
      <c r="AH3327">
        <v>0.64880541950359605</v>
      </c>
      <c r="AI3327">
        <v>95.206752195735305</v>
      </c>
      <c r="AJ3327">
        <v>132.68083309093299</v>
      </c>
      <c r="AK3327">
        <v>0.88621543657156499</v>
      </c>
      <c r="AL3327">
        <v>92.729699401906501</v>
      </c>
      <c r="AM3327">
        <v>110.63267674926399</v>
      </c>
      <c r="AN3327">
        <v>0.99999997330810297</v>
      </c>
    </row>
    <row r="3328" spans="1:40" x14ac:dyDescent="0.25">
      <c r="A3328" t="str">
        <f>"20190303153835153"</f>
        <v>20190303153835153</v>
      </c>
      <c r="B3328" t="str">
        <f>"1551598715141353"</f>
        <v>1551598715141353</v>
      </c>
      <c r="C3328" t="s">
        <v>40</v>
      </c>
      <c r="D3328">
        <v>4.1672339999999997</v>
      </c>
      <c r="E3328">
        <v>0.36237360000000002</v>
      </c>
      <c r="F3328" t="s">
        <v>51</v>
      </c>
      <c r="G3328">
        <v>-488.7647</v>
      </c>
      <c r="H3328" s="1">
        <v>1.694968E-6</v>
      </c>
      <c r="I3328">
        <v>274.80540000000002</v>
      </c>
      <c r="J3328">
        <v>-479.82979999999998</v>
      </c>
      <c r="K3328">
        <v>1.1228229999999999</v>
      </c>
      <c r="L3328">
        <v>283.88249999999999</v>
      </c>
      <c r="M3328">
        <v>-0.99658599999999997</v>
      </c>
      <c r="N3328">
        <v>-2.1006670000000002E-2</v>
      </c>
      <c r="O3328">
        <v>-7.9844559999999995E-2</v>
      </c>
      <c r="P3328">
        <v>-0.90141830000000001</v>
      </c>
      <c r="Q3328">
        <v>-6.7542630000000006E-2</v>
      </c>
      <c r="R3328">
        <v>-0.42764869999999999</v>
      </c>
      <c r="S3328">
        <v>-2.2377929999999999</v>
      </c>
      <c r="T3328">
        <v>-0.279806</v>
      </c>
      <c r="U3328">
        <v>-2.263245</v>
      </c>
      <c r="V3328">
        <v>-0.35423130000000003</v>
      </c>
      <c r="W3328">
        <v>-4.839218E-2</v>
      </c>
      <c r="X3328">
        <v>0.93390490000000004</v>
      </c>
      <c r="Y3328">
        <v>-0.64969469999999996</v>
      </c>
      <c r="Z3328">
        <v>-3.4742549999999997E-2</v>
      </c>
      <c r="AA3328">
        <v>0.75940090000000005</v>
      </c>
      <c r="AB3328">
        <v>8</v>
      </c>
      <c r="AC3328">
        <v>-8.9349000000000203</v>
      </c>
      <c r="AD3328">
        <v>-1.1228213050319999</v>
      </c>
      <c r="AE3328">
        <v>-9.0770999999999695</v>
      </c>
      <c r="AF3328">
        <v>-8.2702746153998206</v>
      </c>
      <c r="AG3328">
        <v>-1.1228213050319999</v>
      </c>
      <c r="AH3328">
        <v>9.5570066514061001</v>
      </c>
      <c r="AI3328">
        <v>95.076871218348003</v>
      </c>
      <c r="AJ3328">
        <v>130.87168186704201</v>
      </c>
      <c r="AK3328">
        <v>12.6883626221897</v>
      </c>
      <c r="AL3328">
        <v>92.773751019885395</v>
      </c>
      <c r="AM3328">
        <v>110.771799345758</v>
      </c>
      <c r="AN3328">
        <v>0.99999998961442604</v>
      </c>
    </row>
    <row r="3329" spans="1:40" x14ac:dyDescent="0.25">
      <c r="A3329" t="str">
        <f>"20190303153835163"</f>
        <v>20190303153835163</v>
      </c>
      <c r="B3329" t="str">
        <f>"1551598715152090"</f>
        <v>1551598715152090</v>
      </c>
      <c r="C3329" t="s">
        <v>40</v>
      </c>
      <c r="D3329">
        <v>4.1695159999999998</v>
      </c>
      <c r="E3329">
        <v>0.36242999999999997</v>
      </c>
      <c r="F3329" t="s">
        <v>51</v>
      </c>
      <c r="G3329">
        <v>-488.69630000000001</v>
      </c>
      <c r="H3329" s="1">
        <v>1.69699E-6</v>
      </c>
      <c r="I3329">
        <v>274.85129999999998</v>
      </c>
      <c r="J3329">
        <v>-479.86989999999997</v>
      </c>
      <c r="K3329">
        <v>1.1228129999999901</v>
      </c>
      <c r="L3329">
        <v>283.87810000000002</v>
      </c>
      <c r="M3329">
        <v>-0.99650380000000005</v>
      </c>
      <c r="N3329">
        <v>-2.079342E-2</v>
      </c>
      <c r="O3329">
        <v>-8.0920270000000002E-2</v>
      </c>
      <c r="P3329">
        <v>-0.89849769999999896</v>
      </c>
      <c r="Q3329">
        <v>-6.8569679999999994E-2</v>
      </c>
      <c r="R3329">
        <v>-0.43359009999999998</v>
      </c>
      <c r="S3329">
        <v>-2.2295530000000001</v>
      </c>
      <c r="T3329">
        <v>-0.2823408</v>
      </c>
      <c r="U3329">
        <v>-2.270966</v>
      </c>
      <c r="V3329">
        <v>-0.35937799999999998</v>
      </c>
      <c r="W3329">
        <v>-4.9690730000000002E-2</v>
      </c>
      <c r="X3329">
        <v>0.93186820000000004</v>
      </c>
      <c r="Y3329">
        <v>-0.65151789999999998</v>
      </c>
      <c r="Z3329">
        <v>-3.49509E-2</v>
      </c>
      <c r="AA3329">
        <v>0.75782769999999899</v>
      </c>
      <c r="AB3329">
        <v>8</v>
      </c>
      <c r="AC3329">
        <v>-8.8264000000000298</v>
      </c>
      <c r="AD3329">
        <v>-1.12281130300999</v>
      </c>
      <c r="AE3329">
        <v>-9.0268000000000299</v>
      </c>
      <c r="AF3329">
        <v>-8.2177956648083299</v>
      </c>
      <c r="AG3329">
        <v>-1.12281130300999</v>
      </c>
      <c r="AH3329">
        <v>9.45327889875227</v>
      </c>
      <c r="AI3329">
        <v>95.1222808160488</v>
      </c>
      <c r="AJ3329">
        <v>131.00064103599101</v>
      </c>
      <c r="AK3329">
        <v>12.576062688628101</v>
      </c>
      <c r="AL3329">
        <v>92.848241980410194</v>
      </c>
      <c r="AM3329">
        <v>111.089295260528</v>
      </c>
      <c r="AN3329">
        <v>1.00000002885158</v>
      </c>
    </row>
    <row r="3330" spans="1:40" x14ac:dyDescent="0.25">
      <c r="A3330" t="str">
        <f>"20190303153835178"</f>
        <v>20190303153835178</v>
      </c>
      <c r="B3330" t="str">
        <f>"1551598715171609"</f>
        <v>1551598715171609</v>
      </c>
      <c r="C3330" t="s">
        <v>40</v>
      </c>
      <c r="D3330">
        <v>4.2840850000000001</v>
      </c>
      <c r="E3330">
        <v>0.36252659999999998</v>
      </c>
      <c r="F3330" t="s">
        <v>51</v>
      </c>
      <c r="G3330">
        <v>-488.52190000000002</v>
      </c>
      <c r="H3330" s="1">
        <v>1.698811E-6</v>
      </c>
      <c r="I3330">
        <v>274.9495</v>
      </c>
      <c r="J3330">
        <v>-479.9171</v>
      </c>
      <c r="K3330">
        <v>1.1227910000000001</v>
      </c>
      <c r="L3330">
        <v>283.87270000000001</v>
      </c>
      <c r="M3330">
        <v>-0.99640320000000004</v>
      </c>
      <c r="N3330">
        <v>-2.0441310000000001E-2</v>
      </c>
      <c r="O3330">
        <v>-8.2238499999999895E-2</v>
      </c>
      <c r="P3330">
        <v>-0.89556069999999999</v>
      </c>
      <c r="Q3330">
        <v>-6.8957690000000002E-2</v>
      </c>
      <c r="R3330">
        <v>-0.43956400000000001</v>
      </c>
      <c r="S3330">
        <v>-2.2142940000000002</v>
      </c>
      <c r="T3330">
        <v>-0.28735729999999998</v>
      </c>
      <c r="U3330">
        <v>-2.2850649999999999</v>
      </c>
      <c r="V3330">
        <v>-0.3643362</v>
      </c>
      <c r="W3330">
        <v>-5.0490590000000002E-2</v>
      </c>
      <c r="X3330">
        <v>0.9298978</v>
      </c>
      <c r="Y3330">
        <v>-0.65534769999999998</v>
      </c>
      <c r="Z3330">
        <v>-3.5472530000000002E-2</v>
      </c>
      <c r="AA3330">
        <v>0.75449390000000005</v>
      </c>
      <c r="AB3330">
        <v>8</v>
      </c>
      <c r="AC3330">
        <v>-8.6048000000000098</v>
      </c>
      <c r="AD3330">
        <v>-1.122789301189</v>
      </c>
      <c r="AE3330">
        <v>-8.9231999999999996</v>
      </c>
      <c r="AF3330">
        <v>-8.1185643817799207</v>
      </c>
      <c r="AG3330">
        <v>-1.122789301189</v>
      </c>
      <c r="AH3330">
        <v>9.2338709564799206</v>
      </c>
      <c r="AI3330">
        <v>95.217679404925093</v>
      </c>
      <c r="AJ3330">
        <v>131.32244236918299</v>
      </c>
      <c r="AK3330">
        <v>12.3465021879434</v>
      </c>
      <c r="AL3330">
        <v>92.894128145443304</v>
      </c>
      <c r="AM3330">
        <v>111.395365673908</v>
      </c>
      <c r="AN3330">
        <v>1.00000004237691</v>
      </c>
    </row>
    <row r="3331" spans="1:40" x14ac:dyDescent="0.25">
      <c r="A3331" t="str">
        <f>"20190303153835192"</f>
        <v>20190303153835192</v>
      </c>
      <c r="B3331" t="str">
        <f>"1551598715181369"</f>
        <v>1551598715181369</v>
      </c>
      <c r="C3331" t="s">
        <v>40</v>
      </c>
      <c r="D3331">
        <v>4.363283</v>
      </c>
      <c r="E3331">
        <v>0.39323580000000002</v>
      </c>
      <c r="F3331" t="s">
        <v>51</v>
      </c>
      <c r="G3331">
        <v>-488.41570000000002</v>
      </c>
      <c r="H3331" s="1">
        <v>1.6960280000000001E-6</v>
      </c>
      <c r="I3331">
        <v>274.9871</v>
      </c>
      <c r="J3331">
        <v>-479.96660000000003</v>
      </c>
      <c r="K3331">
        <v>1.12276</v>
      </c>
      <c r="L3331">
        <v>283.86689999999999</v>
      </c>
      <c r="M3331">
        <v>-0.99629279999999998</v>
      </c>
      <c r="N3331">
        <v>-1.9989409999999999E-2</v>
      </c>
      <c r="O3331">
        <v>-8.3672940000000001E-2</v>
      </c>
      <c r="P3331">
        <v>-0.89362439999999999</v>
      </c>
      <c r="Q3331">
        <v>-6.8117059999999993E-2</v>
      </c>
      <c r="R3331">
        <v>-0.44361689999999998</v>
      </c>
      <c r="S3331">
        <v>-2.1990050000000001</v>
      </c>
      <c r="T3331">
        <v>-0.29051769999999999</v>
      </c>
      <c r="U3331">
        <v>-2.2991030000000001</v>
      </c>
      <c r="V3331">
        <v>-0.36719479999999999</v>
      </c>
      <c r="W3331">
        <v>-5.0140700000000003E-2</v>
      </c>
      <c r="X3331">
        <v>0.92879160000000005</v>
      </c>
      <c r="Y3331">
        <v>-0.65910809999999997</v>
      </c>
      <c r="Z3331">
        <v>-3.5767050000000002E-2</v>
      </c>
      <c r="AA3331">
        <v>0.75119729999999996</v>
      </c>
      <c r="AB3331">
        <v>8</v>
      </c>
      <c r="AC3331">
        <v>-8.4490999999999801</v>
      </c>
      <c r="AD3331">
        <v>-1.1227583039719999</v>
      </c>
      <c r="AE3331">
        <v>-8.8797999999999799</v>
      </c>
      <c r="AF3331">
        <v>-8.0738022452032201</v>
      </c>
      <c r="AG3331">
        <v>-1.1227583039719999</v>
      </c>
      <c r="AH3331">
        <v>9.08636690916072</v>
      </c>
      <c r="AI3331">
        <v>95.277363460701906</v>
      </c>
      <c r="AJ3331">
        <v>131.623081699197</v>
      </c>
      <c r="AK3331">
        <v>12.206921500184899</v>
      </c>
      <c r="AL3331">
        <v>92.874055699071207</v>
      </c>
      <c r="AM3331">
        <v>111.57120694301101</v>
      </c>
      <c r="AN3331">
        <v>0.99999997358704396</v>
      </c>
    </row>
    <row r="3332" spans="1:40" x14ac:dyDescent="0.25">
      <c r="A3332" t="str">
        <f>"20190303153835208"</f>
        <v>20190303153835208</v>
      </c>
      <c r="B3332" t="str">
        <f>"1551598715201865"</f>
        <v>1551598715201865</v>
      </c>
      <c r="C3332" t="s">
        <v>40</v>
      </c>
      <c r="D3332">
        <v>4.3558379999999897</v>
      </c>
      <c r="E3332">
        <v>0.44198949999999998</v>
      </c>
      <c r="F3332" t="s">
        <v>44</v>
      </c>
      <c r="G3332">
        <v>-480.67059999999998</v>
      </c>
      <c r="H3332">
        <v>1.0402229999999999</v>
      </c>
      <c r="I3332">
        <v>283.22680000000003</v>
      </c>
      <c r="J3332">
        <v>-480.02589999999998</v>
      </c>
      <c r="K3332">
        <v>1.1227039999999999</v>
      </c>
      <c r="L3332">
        <v>283.85980000000001</v>
      </c>
      <c r="M3332">
        <v>-0.9961525</v>
      </c>
      <c r="N3332">
        <v>-1.9353430000000001E-2</v>
      </c>
      <c r="O3332">
        <v>-8.5473030000000005E-2</v>
      </c>
      <c r="P3332">
        <v>-0.89027289999999903</v>
      </c>
      <c r="Q3332">
        <v>-6.6870089999999993E-2</v>
      </c>
      <c r="R3332">
        <v>-0.45049149999999999</v>
      </c>
      <c r="S3332">
        <v>-2.298889</v>
      </c>
      <c r="T3332">
        <v>-0.26947209999999899</v>
      </c>
      <c r="U3332">
        <v>-2.0903019999999999</v>
      </c>
      <c r="V3332">
        <v>-0.3726488</v>
      </c>
      <c r="W3332">
        <v>-4.9588510000000002E-2</v>
      </c>
      <c r="X3332">
        <v>0.92664650000000004</v>
      </c>
      <c r="Y3332">
        <v>-0.60442249999999997</v>
      </c>
      <c r="Z3332">
        <v>-2.979739E-2</v>
      </c>
      <c r="AA3332">
        <v>0.79610649999999905</v>
      </c>
      <c r="AB3332">
        <v>8</v>
      </c>
      <c r="AC3332">
        <v>-0.64470000000000005</v>
      </c>
      <c r="AD3332">
        <v>-8.2481000000000207E-2</v>
      </c>
      <c r="AE3332">
        <v>-0.63299999999998102</v>
      </c>
      <c r="AF3332">
        <v>-0.57081084244415803</v>
      </c>
      <c r="AG3332">
        <v>-8.2481000000000207E-2</v>
      </c>
      <c r="AH3332">
        <v>0.69069823988020496</v>
      </c>
      <c r="AI3332">
        <v>95.2592839749869</v>
      </c>
      <c r="AJ3332">
        <v>129.57120541264899</v>
      </c>
      <c r="AK3332">
        <v>0.89982897918794702</v>
      </c>
      <c r="AL3332">
        <v>92.842378223276796</v>
      </c>
      <c r="AM3332">
        <v>111.907414220135</v>
      </c>
      <c r="AN3332">
        <v>0.99999994221385302</v>
      </c>
    </row>
    <row r="3333" spans="1:40" x14ac:dyDescent="0.25">
      <c r="A3333" t="str">
        <f>"20190303153835232"</f>
        <v>20190303153835232</v>
      </c>
      <c r="B3333" t="str">
        <f>"1551598715221385"</f>
        <v>1551598715221385</v>
      </c>
      <c r="C3333" t="s">
        <v>40</v>
      </c>
      <c r="D3333">
        <v>4.339372</v>
      </c>
      <c r="E3333">
        <v>0.44508419999999999</v>
      </c>
      <c r="F3333" t="s">
        <v>44</v>
      </c>
      <c r="G3333">
        <v>-480.71359999999999</v>
      </c>
      <c r="H3333">
        <v>1.0526310000000001</v>
      </c>
      <c r="I3333">
        <v>283.3673</v>
      </c>
      <c r="J3333">
        <v>-480.10239999999999</v>
      </c>
      <c r="K3333">
        <v>1.12263</v>
      </c>
      <c r="L3333">
        <v>283.8503</v>
      </c>
      <c r="M3333">
        <v>-0.99595529999999999</v>
      </c>
      <c r="N3333">
        <v>-1.8576530000000001E-2</v>
      </c>
      <c r="O3333">
        <v>-8.7910039999999995E-2</v>
      </c>
      <c r="P3333">
        <v>-0.88682559999999999</v>
      </c>
      <c r="Q3333">
        <v>-6.716809E-2</v>
      </c>
      <c r="R3333">
        <v>-0.45719690000000002</v>
      </c>
      <c r="S3333">
        <v>-2.459473</v>
      </c>
      <c r="T3333">
        <v>-0.25057170000000001</v>
      </c>
      <c r="U3333">
        <v>-1.7616579999999999</v>
      </c>
      <c r="V3333">
        <v>-0.37735869999999999</v>
      </c>
      <c r="W3333">
        <v>-5.069912E-2</v>
      </c>
      <c r="X3333">
        <v>0.92467829999999995</v>
      </c>
      <c r="Y3333">
        <v>-0.50662259999999903</v>
      </c>
      <c r="Z3333">
        <v>-2.1826290000000002E-2</v>
      </c>
      <c r="AA3333">
        <v>0.86189169999999904</v>
      </c>
      <c r="AB3333">
        <v>8</v>
      </c>
      <c r="AC3333">
        <v>-0.61119999999999597</v>
      </c>
      <c r="AD3333">
        <v>-6.9999000000000103E-2</v>
      </c>
      <c r="AE3333">
        <v>-0.48300000000000398</v>
      </c>
      <c r="AF3333">
        <v>-0.42396630980227601</v>
      </c>
      <c r="AG3333">
        <v>-6.9999000000000103E-2</v>
      </c>
      <c r="AH3333">
        <v>0.64608413572340995</v>
      </c>
      <c r="AI3333">
        <v>95.1758429464617</v>
      </c>
      <c r="AJ3333">
        <v>123.273251250733</v>
      </c>
      <c r="AK3333">
        <v>0.77593298826755996</v>
      </c>
      <c r="AL3333">
        <v>92.906091554898694</v>
      </c>
      <c r="AM3333">
        <v>112.20023772948301</v>
      </c>
      <c r="AN3333">
        <v>0.99999997386267703</v>
      </c>
    </row>
    <row r="3334" spans="1:40" x14ac:dyDescent="0.25">
      <c r="A3334" t="str">
        <f>"20190303153835254"</f>
        <v>20190303153835254</v>
      </c>
      <c r="B3334" t="str">
        <f>"1551598715241881"</f>
        <v>1551598715241881</v>
      </c>
      <c r="C3334" t="s">
        <v>40</v>
      </c>
      <c r="D3334">
        <v>4.33352</v>
      </c>
      <c r="E3334">
        <v>0.44725310000000001</v>
      </c>
      <c r="F3334" t="s">
        <v>44</v>
      </c>
      <c r="G3334">
        <v>-480.84199999999998</v>
      </c>
      <c r="H3334">
        <v>1.045668</v>
      </c>
      <c r="I3334">
        <v>283.32089999999999</v>
      </c>
      <c r="J3334">
        <v>-480.18049999999999</v>
      </c>
      <c r="K3334">
        <v>1.1225719999999999</v>
      </c>
      <c r="L3334">
        <v>283.84030000000001</v>
      </c>
      <c r="M3334">
        <v>-0.99573279999999997</v>
      </c>
      <c r="N3334">
        <v>-1.7888830000000001E-2</v>
      </c>
      <c r="O3334">
        <v>-9.053435E-2</v>
      </c>
      <c r="P3334">
        <v>-0.88362289999999999</v>
      </c>
      <c r="Q3334">
        <v>-6.8461149999999998E-2</v>
      </c>
      <c r="R3334">
        <v>-0.46316770000000002</v>
      </c>
      <c r="S3334">
        <v>-2.4571230000000002</v>
      </c>
      <c r="T3334">
        <v>-0.25566539999999999</v>
      </c>
      <c r="U3334">
        <v>-1.7579959999999999</v>
      </c>
      <c r="V3334">
        <v>-0.38115250000000001</v>
      </c>
      <c r="W3334">
        <v>-5.2693999999999998E-2</v>
      </c>
      <c r="X3334">
        <v>0.92300930000000003</v>
      </c>
      <c r="Y3334">
        <v>-0.50385930000000001</v>
      </c>
      <c r="Z3334">
        <v>-2.1549849999999999E-2</v>
      </c>
      <c r="AA3334">
        <v>0.86351679999999997</v>
      </c>
      <c r="AB3334">
        <v>8</v>
      </c>
      <c r="AC3334">
        <v>-0.66149999999998899</v>
      </c>
      <c r="AD3334">
        <v>-7.6903999999999806E-2</v>
      </c>
      <c r="AE3334">
        <v>-0.51940000000001796</v>
      </c>
      <c r="AF3334">
        <v>-0.45357591693367599</v>
      </c>
      <c r="AG3334">
        <v>-7.6903999999999806E-2</v>
      </c>
      <c r="AH3334">
        <v>0.69996125392707398</v>
      </c>
      <c r="AI3334">
        <v>95.267949304638904</v>
      </c>
      <c r="AJ3334">
        <v>122.94329652083501</v>
      </c>
      <c r="AK3334">
        <v>0.83761034773776999</v>
      </c>
      <c r="AL3334">
        <v>93.020542661155304</v>
      </c>
      <c r="AM3334">
        <v>112.437955653335</v>
      </c>
      <c r="AN3334">
        <v>1.0000000268893601</v>
      </c>
    </row>
    <row r="3335" spans="1:40" x14ac:dyDescent="0.25">
      <c r="A3335" t="str">
        <f>"20190303153835277"</f>
        <v>20190303153835277</v>
      </c>
      <c r="B3335" t="str">
        <f>"1551598715272141"</f>
        <v>1551598715272141</v>
      </c>
      <c r="C3335" t="s">
        <v>40</v>
      </c>
      <c r="D3335">
        <v>4.3061879999999997</v>
      </c>
      <c r="E3335">
        <v>0.44916479999999998</v>
      </c>
      <c r="F3335" t="s">
        <v>44</v>
      </c>
      <c r="G3335">
        <v>-480.9117</v>
      </c>
      <c r="H3335">
        <v>1.0457350000000001</v>
      </c>
      <c r="I3335">
        <v>283.31630000000001</v>
      </c>
      <c r="J3335">
        <v>-480.25869999999998</v>
      </c>
      <c r="K3335">
        <v>1.1225240000000001</v>
      </c>
      <c r="L3335">
        <v>283.83</v>
      </c>
      <c r="M3335">
        <v>-0.99549080000000001</v>
      </c>
      <c r="N3335">
        <v>-1.7255889999999999E-2</v>
      </c>
      <c r="O3335">
        <v>-9.3276209999999998E-2</v>
      </c>
      <c r="P3335">
        <v>-0.88016890000000003</v>
      </c>
      <c r="Q3335">
        <v>-6.9370080000000001E-2</v>
      </c>
      <c r="R3335">
        <v>-0.46956439999999999</v>
      </c>
      <c r="S3335">
        <v>-2.453125</v>
      </c>
      <c r="T3335">
        <v>-0.25774849999999999</v>
      </c>
      <c r="U3335">
        <v>-1.7589109999999999</v>
      </c>
      <c r="V3335">
        <v>-0.38529910000000001</v>
      </c>
      <c r="W3335">
        <v>-5.4243199999999998E-2</v>
      </c>
      <c r="X3335">
        <v>0.92119609999999996</v>
      </c>
      <c r="Y3335">
        <v>-0.50236309999999995</v>
      </c>
      <c r="Z3335">
        <v>-2.1169469999999999E-2</v>
      </c>
      <c r="AA3335">
        <v>0.86439750000000004</v>
      </c>
      <c r="AB3335">
        <v>8</v>
      </c>
      <c r="AC3335">
        <v>-0.65300000000002001</v>
      </c>
      <c r="AD3335">
        <v>-7.6788999999999996E-2</v>
      </c>
      <c r="AE3335">
        <v>-0.51369999999997096</v>
      </c>
      <c r="AF3335">
        <v>-0.44672535649790102</v>
      </c>
      <c r="AG3335">
        <v>-7.6788999999999996E-2</v>
      </c>
      <c r="AH3335">
        <v>0.692162876738041</v>
      </c>
      <c r="AI3335">
        <v>95.325307200360996</v>
      </c>
      <c r="AJ3335">
        <v>122.838398869231</v>
      </c>
      <c r="AK3335">
        <v>0.82737509183770896</v>
      </c>
      <c r="AL3335">
        <v>93.109432564671195</v>
      </c>
      <c r="AM3335">
        <v>112.697587414205</v>
      </c>
      <c r="AN3335">
        <v>0.99999998793112899</v>
      </c>
    </row>
    <row r="3336" spans="1:40" x14ac:dyDescent="0.25">
      <c r="A3336" t="str">
        <f>"20190303153835298"</f>
        <v>20190303153835298</v>
      </c>
      <c r="B3336" t="str">
        <f>"1551598715291658"</f>
        <v>1551598715291658</v>
      </c>
      <c r="C3336" t="s">
        <v>40</v>
      </c>
      <c r="D3336">
        <v>4.3004049999999996</v>
      </c>
      <c r="E3336">
        <v>0.450185</v>
      </c>
      <c r="F3336" t="s">
        <v>44</v>
      </c>
      <c r="G3336">
        <v>-480.98079999999999</v>
      </c>
      <c r="H3336">
        <v>1.045822</v>
      </c>
      <c r="I3336">
        <v>283.30970000000002</v>
      </c>
      <c r="J3336">
        <v>-480.3349</v>
      </c>
      <c r="K3336">
        <v>1.1224769999999999</v>
      </c>
      <c r="L3336">
        <v>283.81950000000001</v>
      </c>
      <c r="M3336">
        <v>-0.99523689999999998</v>
      </c>
      <c r="N3336">
        <v>-1.665809E-2</v>
      </c>
      <c r="O3336">
        <v>-9.6053059999999996E-2</v>
      </c>
      <c r="P3336">
        <v>-0.87632520000000003</v>
      </c>
      <c r="Q3336">
        <v>-6.8917560000000003E-2</v>
      </c>
      <c r="R3336">
        <v>-0.47676499999999999</v>
      </c>
      <c r="S3336">
        <v>-2.4471440000000002</v>
      </c>
      <c r="T3336">
        <v>-0.25991120000000001</v>
      </c>
      <c r="U3336">
        <v>-1.76355</v>
      </c>
      <c r="V3336">
        <v>-0.39026559999999999</v>
      </c>
      <c r="W3336">
        <v>-5.4400669999999998E-2</v>
      </c>
      <c r="X3336">
        <v>0.91909379999999996</v>
      </c>
      <c r="Y3336">
        <v>-0.50202780000000002</v>
      </c>
      <c r="Z3336">
        <v>-2.086704E-2</v>
      </c>
      <c r="AA3336">
        <v>0.86459969999999997</v>
      </c>
      <c r="AB3336">
        <v>8</v>
      </c>
      <c r="AC3336">
        <v>-0.64589999999998304</v>
      </c>
      <c r="AD3336">
        <v>-7.6654999999999904E-2</v>
      </c>
      <c r="AE3336">
        <v>-0.50979999999998404</v>
      </c>
      <c r="AF3336">
        <v>-0.44156082613740999</v>
      </c>
      <c r="AG3336">
        <v>-7.6654999999999904E-2</v>
      </c>
      <c r="AH3336">
        <v>0.68593450121797195</v>
      </c>
      <c r="AI3336">
        <v>95.368112002797204</v>
      </c>
      <c r="AJ3336">
        <v>122.77084769913399</v>
      </c>
      <c r="AK3336">
        <v>0.81936444404507902</v>
      </c>
      <c r="AL3336">
        <v>93.118468102875994</v>
      </c>
      <c r="AM3336">
        <v>113.007047576497</v>
      </c>
      <c r="AN3336">
        <v>1.00000004231912</v>
      </c>
    </row>
    <row r="3337" spans="1:40" x14ac:dyDescent="0.25">
      <c r="A3337" t="str">
        <f>"20190303153835320"</f>
        <v>20190303153835320</v>
      </c>
      <c r="B3337" t="str">
        <f>"1551598715312156"</f>
        <v>1551598715312156</v>
      </c>
      <c r="C3337" t="s">
        <v>40</v>
      </c>
      <c r="D3337">
        <v>4.3294990000000002</v>
      </c>
      <c r="E3337">
        <v>0.45122259999999997</v>
      </c>
      <c r="F3337" t="s">
        <v>44</v>
      </c>
      <c r="G3337">
        <v>-481.0487</v>
      </c>
      <c r="H3337">
        <v>1.0462320000000001</v>
      </c>
      <c r="I3337">
        <v>283.29919999999998</v>
      </c>
      <c r="J3337">
        <v>-480.41090000000003</v>
      </c>
      <c r="K3337">
        <v>1.1224430000000001</v>
      </c>
      <c r="L3337">
        <v>283.80880000000002</v>
      </c>
      <c r="M3337">
        <v>-0.99496719999999905</v>
      </c>
      <c r="N3337">
        <v>-1.61035E-2</v>
      </c>
      <c r="O3337">
        <v>-9.8900080000000001E-2</v>
      </c>
      <c r="P3337">
        <v>-0.87235940000000001</v>
      </c>
      <c r="Q3337">
        <v>-6.8693409999999996E-2</v>
      </c>
      <c r="R3337">
        <v>-0.48401529999999998</v>
      </c>
      <c r="S3337">
        <v>-2.436493</v>
      </c>
      <c r="T3337">
        <v>-0.26019160000000002</v>
      </c>
      <c r="U3337">
        <v>-1.7763369999999901</v>
      </c>
      <c r="V3337">
        <v>-0.39524239999999999</v>
      </c>
      <c r="W3337">
        <v>-5.4747190000000001E-2</v>
      </c>
      <c r="X3337">
        <v>0.91694399999999998</v>
      </c>
      <c r="Y3337">
        <v>-0.50432069999999996</v>
      </c>
      <c r="Z3337">
        <v>-2.0623780000000001E-2</v>
      </c>
      <c r="AA3337">
        <v>0.86327019999999899</v>
      </c>
      <c r="AB3337">
        <v>8</v>
      </c>
      <c r="AC3337">
        <v>-0.63779999999996995</v>
      </c>
      <c r="AD3337">
        <v>-7.6211000000000001E-2</v>
      </c>
      <c r="AE3337">
        <v>-0.50960000000003403</v>
      </c>
      <c r="AF3337">
        <v>-0.440178348660205</v>
      </c>
      <c r="AG3337">
        <v>-7.6211000000000001E-2</v>
      </c>
      <c r="AH3337">
        <v>0.67915969347759597</v>
      </c>
      <c r="AI3337">
        <v>95.379426370869396</v>
      </c>
      <c r="AJ3337">
        <v>122.948160702476</v>
      </c>
      <c r="AK3337">
        <v>0.81291019454476499</v>
      </c>
      <c r="AL3337">
        <v>93.138351829971299</v>
      </c>
      <c r="AM3337">
        <v>113.318125586748</v>
      </c>
      <c r="AN3337">
        <v>1.0000000543533201</v>
      </c>
    </row>
    <row r="3338" spans="1:40" x14ac:dyDescent="0.25">
      <c r="A3338" t="str">
        <f>"20190303153835343"</f>
        <v>20190303153835343</v>
      </c>
      <c r="B3338" t="str">
        <f>"1551598715331674"</f>
        <v>1551598715331674</v>
      </c>
      <c r="C3338" t="s">
        <v>40</v>
      </c>
      <c r="D3338">
        <v>4.3070170000000001</v>
      </c>
      <c r="E3338">
        <v>0.4521635</v>
      </c>
      <c r="F3338" t="s">
        <v>44</v>
      </c>
      <c r="G3338">
        <v>-481.11649999999997</v>
      </c>
      <c r="H3338">
        <v>1.047261</v>
      </c>
      <c r="I3338">
        <v>283.28820000000002</v>
      </c>
      <c r="J3338">
        <v>-480.48950000000002</v>
      </c>
      <c r="K3338">
        <v>1.1224179999999999</v>
      </c>
      <c r="L3338">
        <v>283.79739999999998</v>
      </c>
      <c r="M3338">
        <v>-0.99467050000000001</v>
      </c>
      <c r="N3338">
        <v>-1.560195E-2</v>
      </c>
      <c r="O3338">
        <v>-0.1019181</v>
      </c>
      <c r="P3338">
        <v>-0.86855009999999999</v>
      </c>
      <c r="Q3338">
        <v>-6.8220240000000001E-2</v>
      </c>
      <c r="R3338">
        <v>-0.49088359999999898</v>
      </c>
      <c r="S3338">
        <v>-2.4257200000000001</v>
      </c>
      <c r="T3338">
        <v>-0.258466799999999</v>
      </c>
      <c r="U3338">
        <v>-1.78952</v>
      </c>
      <c r="V3338">
        <v>-0.39968120000000001</v>
      </c>
      <c r="W3338">
        <v>-5.4789369999999997E-2</v>
      </c>
      <c r="X3338">
        <v>0.91501529999999998</v>
      </c>
      <c r="Y3338">
        <v>-0.50660229999999995</v>
      </c>
      <c r="Z3338">
        <v>-2.0269079999999998E-2</v>
      </c>
      <c r="AA3338">
        <v>0.86194159999999997</v>
      </c>
      <c r="AB3338">
        <v>8</v>
      </c>
      <c r="AC3338">
        <v>-0.62699999999995204</v>
      </c>
      <c r="AD3338">
        <v>-7.5157000000000099E-2</v>
      </c>
      <c r="AE3338">
        <v>-0.50919999999996401</v>
      </c>
      <c r="AF3338">
        <v>-0.43883797546599002</v>
      </c>
      <c r="AG3338">
        <v>-7.5157000000000099E-2</v>
      </c>
      <c r="AH3338">
        <v>0.66983786243010102</v>
      </c>
      <c r="AI3338">
        <v>95.361720243448005</v>
      </c>
      <c r="AJ3338">
        <v>123.230435481512</v>
      </c>
      <c r="AK3338">
        <v>0.80430722072166905</v>
      </c>
      <c r="AL3338">
        <v>93.1407724701658</v>
      </c>
      <c r="AM3338">
        <v>113.59583781334</v>
      </c>
      <c r="AN3338">
        <v>0.999999967966262</v>
      </c>
    </row>
    <row r="3339" spans="1:40" x14ac:dyDescent="0.25">
      <c r="A3339" t="str">
        <f>"20190303153835365"</f>
        <v>20190303153835365</v>
      </c>
      <c r="B3339" t="str">
        <f>"1551598715361929"</f>
        <v>1551598715361929</v>
      </c>
      <c r="C3339" t="s">
        <v>40</v>
      </c>
      <c r="D3339">
        <v>4.2821439999999997</v>
      </c>
      <c r="E3339">
        <v>0.45302150000000002</v>
      </c>
      <c r="F3339" t="s">
        <v>44</v>
      </c>
      <c r="G3339">
        <v>-481.1848</v>
      </c>
      <c r="H3339">
        <v>1.04891</v>
      </c>
      <c r="I3339">
        <v>283.27879999999999</v>
      </c>
      <c r="J3339">
        <v>-480.56470000000002</v>
      </c>
      <c r="K3339">
        <v>1.122406</v>
      </c>
      <c r="L3339">
        <v>283.78609999999998</v>
      </c>
      <c r="M3339">
        <v>-0.99436809999999998</v>
      </c>
      <c r="N3339">
        <v>-1.5189660000000001E-2</v>
      </c>
      <c r="O3339">
        <v>-0.1048866</v>
      </c>
      <c r="P3339">
        <v>-0.86476830000000005</v>
      </c>
      <c r="Q3339">
        <v>-6.7944809999999994E-2</v>
      </c>
      <c r="R3339">
        <v>-0.49755310000000003</v>
      </c>
      <c r="S3339">
        <v>-2.4153440000000002</v>
      </c>
      <c r="T3339">
        <v>-0.25533129999999998</v>
      </c>
      <c r="U3339">
        <v>-1.802368</v>
      </c>
      <c r="V3339">
        <v>-0.40397840000000002</v>
      </c>
      <c r="W3339">
        <v>-5.4943579999999999E-2</v>
      </c>
      <c r="X3339">
        <v>0.91311699999999996</v>
      </c>
      <c r="Y3339">
        <v>-0.5087969</v>
      </c>
      <c r="Z3339">
        <v>-1.9864719999999999E-2</v>
      </c>
      <c r="AA3339">
        <v>0.86065740000000002</v>
      </c>
      <c r="AB3339">
        <v>8</v>
      </c>
      <c r="AC3339">
        <v>-0.620099999999979</v>
      </c>
      <c r="AD3339">
        <v>-7.3496000000000006E-2</v>
      </c>
      <c r="AE3339">
        <v>-0.50729999999998598</v>
      </c>
      <c r="AF3339">
        <v>-0.43578617031070299</v>
      </c>
      <c r="AG3339">
        <v>-7.3496000000000006E-2</v>
      </c>
      <c r="AH3339">
        <v>0.66430358055679795</v>
      </c>
      <c r="AI3339">
        <v>95.285249887989295</v>
      </c>
      <c r="AJ3339">
        <v>123.265056935662</v>
      </c>
      <c r="AK3339">
        <v>0.79787874729851704</v>
      </c>
      <c r="AL3339">
        <v>93.149621280198502</v>
      </c>
      <c r="AM3339">
        <v>113.86540868929799</v>
      </c>
      <c r="AN3339">
        <v>1.0000000001693801</v>
      </c>
    </row>
    <row r="3340" spans="1:40" x14ac:dyDescent="0.25">
      <c r="A3340" t="str">
        <f>"20190303153835388"</f>
        <v>20190303153835388</v>
      </c>
      <c r="B3340" t="str">
        <f>"1551598715381453"</f>
        <v>1551598715381453</v>
      </c>
      <c r="C3340" t="s">
        <v>40</v>
      </c>
      <c r="D3340">
        <v>4.2972960000000002</v>
      </c>
      <c r="E3340">
        <v>0.463339</v>
      </c>
      <c r="F3340" t="s">
        <v>44</v>
      </c>
      <c r="G3340">
        <v>-481.25229999999999</v>
      </c>
      <c r="H3340">
        <v>1.049857</v>
      </c>
      <c r="I3340">
        <v>283.2672</v>
      </c>
      <c r="J3340">
        <v>-480.6429</v>
      </c>
      <c r="K3340">
        <v>1.122414</v>
      </c>
      <c r="L3340">
        <v>283.77409999999998</v>
      </c>
      <c r="M3340">
        <v>-0.99403370000000002</v>
      </c>
      <c r="N3340">
        <v>-1.4811019999999999E-2</v>
      </c>
      <c r="O3340">
        <v>-0.1080646</v>
      </c>
      <c r="P3340">
        <v>-0.86089939999999998</v>
      </c>
      <c r="Q3340">
        <v>-6.7754519999999999E-2</v>
      </c>
      <c r="R3340">
        <v>-0.50424409999999997</v>
      </c>
      <c r="S3340">
        <v>-2.4049680000000002</v>
      </c>
      <c r="T3340">
        <v>-0.25375399999999998</v>
      </c>
      <c r="U3340">
        <v>-1.8149109999999999</v>
      </c>
      <c r="V3340">
        <v>-0.40812850000000001</v>
      </c>
      <c r="W3340">
        <v>-5.5152659999999999E-2</v>
      </c>
      <c r="X3340">
        <v>0.91125699999999998</v>
      </c>
      <c r="Y3340">
        <v>-0.51071929999999999</v>
      </c>
      <c r="Z3340">
        <v>-1.952684E-2</v>
      </c>
      <c r="AA3340">
        <v>0.85952569999999995</v>
      </c>
      <c r="AB3340">
        <v>8</v>
      </c>
      <c r="AC3340">
        <v>-0.60939999999999295</v>
      </c>
      <c r="AD3340">
        <v>-7.2556999999999899E-2</v>
      </c>
      <c r="AE3340">
        <v>-0.50689999999997304</v>
      </c>
      <c r="AF3340">
        <v>-0.43442911258571898</v>
      </c>
      <c r="AG3340">
        <v>-7.2556999999999899E-2</v>
      </c>
      <c r="AH3340">
        <v>0.65512529126526897</v>
      </c>
      <c r="AI3340">
        <v>95.2736070156773</v>
      </c>
      <c r="AJ3340">
        <v>123.549301548088</v>
      </c>
      <c r="AK3340">
        <v>0.78941897580842202</v>
      </c>
      <c r="AL3340">
        <v>93.161618860857104</v>
      </c>
      <c r="AM3340">
        <v>114.126376333861</v>
      </c>
      <c r="AN3340">
        <v>1.00000000423316</v>
      </c>
    </row>
    <row r="3341" spans="1:40" x14ac:dyDescent="0.25">
      <c r="A3341" t="str">
        <f>"20190303153835410"</f>
        <v>20190303153835410</v>
      </c>
      <c r="B3341" t="str">
        <f>"1551598715401946"</f>
        <v>1551598715401946</v>
      </c>
      <c r="C3341" t="s">
        <v>40</v>
      </c>
      <c r="D3341">
        <v>4.2878509999999999</v>
      </c>
      <c r="E3341">
        <v>0.46389449999999999</v>
      </c>
      <c r="F3341" t="s">
        <v>44</v>
      </c>
      <c r="G3341">
        <v>-481.32990000000001</v>
      </c>
      <c r="H3341">
        <v>1.0503659999999999</v>
      </c>
      <c r="I3341">
        <v>283.27659999999997</v>
      </c>
      <c r="J3341">
        <v>-480.71809999999999</v>
      </c>
      <c r="K3341">
        <v>1.122428</v>
      </c>
      <c r="L3341">
        <v>283.76209999999998</v>
      </c>
      <c r="M3341">
        <v>-0.99369010000000002</v>
      </c>
      <c r="N3341">
        <v>-1.448695E-2</v>
      </c>
      <c r="O3341">
        <v>-0.1112226</v>
      </c>
      <c r="P3341">
        <v>-0.85762649999999996</v>
      </c>
      <c r="Q3341">
        <v>-6.6475320000000004E-2</v>
      </c>
      <c r="R3341">
        <v>-0.5099591</v>
      </c>
      <c r="S3341">
        <v>-2.4324340000000002</v>
      </c>
      <c r="T3341">
        <v>-0.25504270000000001</v>
      </c>
      <c r="U3341">
        <v>-1.762329</v>
      </c>
      <c r="V3341">
        <v>-0.41127760000000002</v>
      </c>
      <c r="W3341">
        <v>-5.4212660000000003E-2</v>
      </c>
      <c r="X3341">
        <v>0.90989660000000006</v>
      </c>
      <c r="Y3341">
        <v>-0.49120799999999998</v>
      </c>
      <c r="Z3341">
        <v>-1.8090459999999999E-2</v>
      </c>
      <c r="AA3341">
        <v>0.87085440000000003</v>
      </c>
      <c r="AB3341">
        <v>8</v>
      </c>
      <c r="AC3341">
        <v>-0.611800000000016</v>
      </c>
      <c r="AD3341">
        <v>-7.2062000000000001E-2</v>
      </c>
      <c r="AE3341">
        <v>-0.48550000000000099</v>
      </c>
      <c r="AF3341">
        <v>-0.41093573221125901</v>
      </c>
      <c r="AG3341">
        <v>-7.2062000000000001E-2</v>
      </c>
      <c r="AH3341">
        <v>0.65641951610591398</v>
      </c>
      <c r="AI3341">
        <v>95.316102372983394</v>
      </c>
      <c r="AJ3341">
        <v>122.047639437768</v>
      </c>
      <c r="AK3341">
        <v>0.77778383177893695</v>
      </c>
      <c r="AL3341">
        <v>93.107679980809294</v>
      </c>
      <c r="AM3341">
        <v>114.323195155405</v>
      </c>
      <c r="AN3341">
        <v>1.00000004972879</v>
      </c>
    </row>
    <row r="3342" spans="1:40" x14ac:dyDescent="0.25">
      <c r="A3342" t="str">
        <f>"20190303153835432"</f>
        <v>20190303153835432</v>
      </c>
      <c r="B3342" t="str">
        <f>"1551598715421465"</f>
        <v>1551598715421465</v>
      </c>
      <c r="C3342" t="s">
        <v>40</v>
      </c>
      <c r="D3342">
        <v>4.3243159999999996</v>
      </c>
      <c r="E3342">
        <v>0.46477990000000002</v>
      </c>
      <c r="F3342" t="s">
        <v>44</v>
      </c>
      <c r="G3342">
        <v>-481.45190000000002</v>
      </c>
      <c r="H3342">
        <v>1.0473589999999999</v>
      </c>
      <c r="I3342">
        <v>283.2251</v>
      </c>
      <c r="J3342">
        <v>-480.7937</v>
      </c>
      <c r="K3342">
        <v>1.1224449999999999</v>
      </c>
      <c r="L3342">
        <v>283.74970000000002</v>
      </c>
      <c r="M3342">
        <v>-0.99332339999999997</v>
      </c>
      <c r="N3342">
        <v>-1.420187E-2</v>
      </c>
      <c r="O3342">
        <v>-0.114486</v>
      </c>
      <c r="P3342">
        <v>-0.85489799999999905</v>
      </c>
      <c r="Q3342">
        <v>-6.4937170000000002E-2</v>
      </c>
      <c r="R3342">
        <v>-0.51471619999999996</v>
      </c>
      <c r="S3342">
        <v>-2.4236759999999999</v>
      </c>
      <c r="T3342">
        <v>-0.2479198</v>
      </c>
      <c r="U3342">
        <v>-1.7745359999999999</v>
      </c>
      <c r="V3342">
        <v>-0.4133288</v>
      </c>
      <c r="W3342">
        <v>-5.296559E-2</v>
      </c>
      <c r="X3342">
        <v>0.90904019999999996</v>
      </c>
      <c r="Y3342">
        <v>-0.49279840000000003</v>
      </c>
      <c r="Z3342">
        <v>-1.7491550000000002E-2</v>
      </c>
      <c r="AA3342">
        <v>0.86996770000000001</v>
      </c>
      <c r="AB3342">
        <v>8</v>
      </c>
      <c r="AC3342">
        <v>-0.65820000000002199</v>
      </c>
      <c r="AD3342">
        <v>-7.5086000000000194E-2</v>
      </c>
      <c r="AE3342">
        <v>-0.52460000000002005</v>
      </c>
      <c r="AF3342">
        <v>-0.442268008244183</v>
      </c>
      <c r="AG3342">
        <v>-7.5086000000000194E-2</v>
      </c>
      <c r="AH3342">
        <v>0.70829992524797003</v>
      </c>
      <c r="AI3342">
        <v>95.138170884925998</v>
      </c>
      <c r="AJ3342">
        <v>121.980977801929</v>
      </c>
      <c r="AK3342">
        <v>0.838407825952595</v>
      </c>
      <c r="AL3342">
        <v>93.036125257618707</v>
      </c>
      <c r="AM3342">
        <v>114.45067770307</v>
      </c>
      <c r="AN3342">
        <v>1.00000006792476</v>
      </c>
    </row>
    <row r="3343" spans="1:40" x14ac:dyDescent="0.25">
      <c r="A3343" t="str">
        <f>"20190303153835455"</f>
        <v>20190303153835455</v>
      </c>
      <c r="B3343" t="str">
        <f>"1551598715451721"</f>
        <v>1551598715451721</v>
      </c>
      <c r="C3343" t="s">
        <v>40</v>
      </c>
      <c r="D3343">
        <v>4.3409969999999998</v>
      </c>
      <c r="E3343">
        <v>0.46651579999999898</v>
      </c>
      <c r="F3343" t="s">
        <v>44</v>
      </c>
      <c r="G3343">
        <v>-481.5197</v>
      </c>
      <c r="H3343">
        <v>1.051501</v>
      </c>
      <c r="I3343">
        <v>283.21449999999999</v>
      </c>
      <c r="J3343">
        <v>-480.87139999999999</v>
      </c>
      <c r="K3343">
        <v>1.122449</v>
      </c>
      <c r="L3343">
        <v>283.73660000000001</v>
      </c>
      <c r="M3343">
        <v>-0.99292630000000004</v>
      </c>
      <c r="N3343">
        <v>-1.3948729999999999E-2</v>
      </c>
      <c r="O3343">
        <v>-0.1179111</v>
      </c>
      <c r="P3343">
        <v>-0.85264240000000002</v>
      </c>
      <c r="Q3343">
        <v>-6.4039360000000004E-2</v>
      </c>
      <c r="R3343">
        <v>-0.51855609999999996</v>
      </c>
      <c r="S3343">
        <v>-2.4177249999999999</v>
      </c>
      <c r="T3343">
        <v>-0.23626920000000001</v>
      </c>
      <c r="U3343">
        <v>-1.782959</v>
      </c>
      <c r="V3343">
        <v>-0.4142748</v>
      </c>
      <c r="W3343">
        <v>-5.2311000000000003E-2</v>
      </c>
      <c r="X3343">
        <v>0.90864739999999999</v>
      </c>
      <c r="Y3343">
        <v>-0.49293540000000002</v>
      </c>
      <c r="Z3343">
        <v>-1.66023E-2</v>
      </c>
      <c r="AA3343">
        <v>0.86990749999999994</v>
      </c>
      <c r="AB3343">
        <v>8</v>
      </c>
      <c r="AC3343">
        <v>-0.64830000000000598</v>
      </c>
      <c r="AD3343">
        <v>-7.0947999999999997E-2</v>
      </c>
      <c r="AE3343">
        <v>-0.52210000000002299</v>
      </c>
      <c r="AF3343">
        <v>-0.43882008199056199</v>
      </c>
      <c r="AG3343">
        <v>-7.0947999999999997E-2</v>
      </c>
      <c r="AH3343">
        <v>0.70025684524603304</v>
      </c>
      <c r="AI3343">
        <v>94.906969805570597</v>
      </c>
      <c r="AJ3343">
        <v>122.073557841333</v>
      </c>
      <c r="AK3343">
        <v>0.82943133071769704</v>
      </c>
      <c r="AL3343">
        <v>92.998567928902901</v>
      </c>
      <c r="AM3343">
        <v>114.509414368089</v>
      </c>
      <c r="AN3343">
        <v>1.0000000740813899</v>
      </c>
    </row>
    <row r="3344" spans="1:40" x14ac:dyDescent="0.25">
      <c r="A3344" t="str">
        <f>"20190303153835478"</f>
        <v>20190303153835478</v>
      </c>
      <c r="B3344" t="str">
        <f>"1551598715472217"</f>
        <v>1551598715472217</v>
      </c>
      <c r="C3344" t="s">
        <v>40</v>
      </c>
      <c r="D3344">
        <v>4.3460549999999998</v>
      </c>
      <c r="E3344">
        <v>0.4720337</v>
      </c>
      <c r="F3344" t="s">
        <v>44</v>
      </c>
      <c r="G3344">
        <v>-481.58870000000002</v>
      </c>
      <c r="H3344">
        <v>1.0536909999999999</v>
      </c>
      <c r="I3344">
        <v>283.20780000000002</v>
      </c>
      <c r="J3344">
        <v>-480.94889999999998</v>
      </c>
      <c r="K3344">
        <v>1.12242999999999</v>
      </c>
      <c r="L3344">
        <v>283.72320000000002</v>
      </c>
      <c r="M3344">
        <v>-0.99251029999999996</v>
      </c>
      <c r="N3344">
        <v>-1.3729679999999999E-2</v>
      </c>
      <c r="O3344">
        <v>-0.121389</v>
      </c>
      <c r="P3344">
        <v>-0.84982009999999897</v>
      </c>
      <c r="Q3344">
        <v>-6.4265149999999993E-2</v>
      </c>
      <c r="R3344">
        <v>-0.52314090000000002</v>
      </c>
      <c r="S3344">
        <v>-2.4172669999999998</v>
      </c>
      <c r="T3344">
        <v>-0.23171230000000001</v>
      </c>
      <c r="U3344">
        <v>-1.7820130000000001</v>
      </c>
      <c r="V3344">
        <v>-0.41598499999999999</v>
      </c>
      <c r="W3344">
        <v>-5.2747099999999998E-2</v>
      </c>
      <c r="X3344">
        <v>0.90784039999999999</v>
      </c>
      <c r="Y3344">
        <v>-0.4898208</v>
      </c>
      <c r="Z3344">
        <v>-1.590194E-2</v>
      </c>
      <c r="AA3344">
        <v>0.87167809999999901</v>
      </c>
      <c r="AB3344">
        <v>8</v>
      </c>
      <c r="AC3344">
        <v>-0.63980000000003601</v>
      </c>
      <c r="AD3344">
        <v>-6.87389999999998E-2</v>
      </c>
      <c r="AE3344">
        <v>-0.51539999999999897</v>
      </c>
      <c r="AF3344">
        <v>-0.43089950714574199</v>
      </c>
      <c r="AG3344">
        <v>-6.87389999999998E-2</v>
      </c>
      <c r="AH3344">
        <v>0.69278786524031699</v>
      </c>
      <c r="AI3344">
        <v>94.815984798621301</v>
      </c>
      <c r="AJ3344">
        <v>121.880744776431</v>
      </c>
      <c r="AK3344">
        <v>0.81875177044308101</v>
      </c>
      <c r="AL3344">
        <v>93.023589432725601</v>
      </c>
      <c r="AM3344">
        <v>114.617904753481</v>
      </c>
      <c r="AN3344">
        <v>0.99999998432778403</v>
      </c>
    </row>
    <row r="3345" spans="1:40" x14ac:dyDescent="0.25">
      <c r="A3345" t="str">
        <f>"20190303153835500"</f>
        <v>20190303153835500</v>
      </c>
      <c r="B3345" t="str">
        <f>"1551598715491739"</f>
        <v>1551598715491739</v>
      </c>
      <c r="C3345" t="s">
        <v>40</v>
      </c>
      <c r="D3345">
        <v>4.3381150000000002</v>
      </c>
      <c r="E3345">
        <v>0.47166209999999997</v>
      </c>
      <c r="F3345" t="s">
        <v>44</v>
      </c>
      <c r="G3345">
        <v>-481.66120000000001</v>
      </c>
      <c r="H3345">
        <v>1.0529040000000001</v>
      </c>
      <c r="I3345">
        <v>283.20830000000001</v>
      </c>
      <c r="J3345">
        <v>-481.0247</v>
      </c>
      <c r="K3345">
        <v>1.1224080000000001</v>
      </c>
      <c r="L3345">
        <v>283.7097</v>
      </c>
      <c r="M3345">
        <v>-0.9920833</v>
      </c>
      <c r="N3345">
        <v>-1.354147E-2</v>
      </c>
      <c r="O3345">
        <v>-0.12485019999999999</v>
      </c>
      <c r="P3345">
        <v>-0.84646790000000005</v>
      </c>
      <c r="Q3345">
        <v>-6.5746390000000002E-2</v>
      </c>
      <c r="R3345">
        <v>-0.52836510000000003</v>
      </c>
      <c r="S3345">
        <v>-2.430634</v>
      </c>
      <c r="T3345">
        <v>-0.23723530000000001</v>
      </c>
      <c r="U3345">
        <v>-1.7570190000000001</v>
      </c>
      <c r="V3345">
        <v>-0.41841830000000002</v>
      </c>
      <c r="W3345">
        <v>-5.441149E-2</v>
      </c>
      <c r="X3345">
        <v>0.90662310000000002</v>
      </c>
      <c r="Y3345">
        <v>-0.47858689999999998</v>
      </c>
      <c r="Z3345">
        <v>-1.5231730000000001E-2</v>
      </c>
      <c r="AA3345">
        <v>0.87790809999999997</v>
      </c>
      <c r="AB3345">
        <v>8</v>
      </c>
      <c r="AC3345">
        <v>-0.63650000000001195</v>
      </c>
      <c r="AD3345">
        <v>-6.9503999999999996E-2</v>
      </c>
      <c r="AE3345">
        <v>-0.50139999999998897</v>
      </c>
      <c r="AF3345">
        <v>-0.41494848707163201</v>
      </c>
      <c r="AG3345">
        <v>-6.9503999999999996E-2</v>
      </c>
      <c r="AH3345">
        <v>0.68905438843622802</v>
      </c>
      <c r="AI3345">
        <v>94.938671865292207</v>
      </c>
      <c r="AJ3345">
        <v>121.056346923795</v>
      </c>
      <c r="AK3345">
        <v>0.80734689146751604</v>
      </c>
      <c r="AL3345">
        <v>93.119089204971502</v>
      </c>
      <c r="AM3345">
        <v>114.773935469107</v>
      </c>
      <c r="AN3345">
        <v>0.99999996473625896</v>
      </c>
    </row>
    <row r="3346" spans="1:40" x14ac:dyDescent="0.25">
      <c r="A3346" t="str">
        <f>"20190303153835521"</f>
        <v>20190303153835521</v>
      </c>
      <c r="B3346" t="str">
        <f>"1551598715512235"</f>
        <v>1551598715512235</v>
      </c>
      <c r="C3346" t="s">
        <v>40</v>
      </c>
      <c r="D3346">
        <v>4.3472569999999999</v>
      </c>
      <c r="E3346">
        <v>0.44647379999999998</v>
      </c>
      <c r="F3346" t="s">
        <v>44</v>
      </c>
      <c r="G3346">
        <v>-481.72750000000002</v>
      </c>
      <c r="H3346">
        <v>1.0518110000000001</v>
      </c>
      <c r="I3346">
        <v>283.19400000000002</v>
      </c>
      <c r="J3346">
        <v>-481.09809999999999</v>
      </c>
      <c r="K3346">
        <v>1.122385</v>
      </c>
      <c r="L3346">
        <v>283.69639999999998</v>
      </c>
      <c r="M3346">
        <v>-0.99165309999999995</v>
      </c>
      <c r="N3346">
        <v>-1.338057E-2</v>
      </c>
      <c r="O3346">
        <v>-0.12823850000000001</v>
      </c>
      <c r="P3346">
        <v>-0.84325369999999999</v>
      </c>
      <c r="Q3346">
        <v>-6.8832710000000005E-2</v>
      </c>
      <c r="R3346">
        <v>-0.53309019999999996</v>
      </c>
      <c r="S3346">
        <v>-2.417694</v>
      </c>
      <c r="T3346">
        <v>-0.24283179999999999</v>
      </c>
      <c r="U3346">
        <v>-1.7744450000000001</v>
      </c>
      <c r="V3346">
        <v>-0.42041400000000001</v>
      </c>
      <c r="W3346">
        <v>-5.7650649999999998E-2</v>
      </c>
      <c r="X3346">
        <v>0.90549900000000005</v>
      </c>
      <c r="Y3346">
        <v>-0.48187530000000001</v>
      </c>
      <c r="Z3346">
        <v>-1.5357340000000001E-2</v>
      </c>
      <c r="AA3346">
        <v>0.87610519999999903</v>
      </c>
      <c r="AB3346">
        <v>8</v>
      </c>
      <c r="AC3346">
        <v>-0.62940000000003204</v>
      </c>
      <c r="AD3346">
        <v>-7.0573999999999901E-2</v>
      </c>
      <c r="AE3346">
        <v>-0.50239999999996598</v>
      </c>
      <c r="AF3346">
        <v>-0.41434849526455197</v>
      </c>
      <c r="AG3346">
        <v>-7.0573999999999901E-2</v>
      </c>
      <c r="AH3346">
        <v>0.68338689827269905</v>
      </c>
      <c r="AI3346">
        <v>95.046531823582995</v>
      </c>
      <c r="AJ3346">
        <v>121.229108778197</v>
      </c>
      <c r="AK3346">
        <v>0.80229858390425901</v>
      </c>
      <c r="AL3346">
        <v>93.304971443722906</v>
      </c>
      <c r="AM3346">
        <v>114.90496401195399</v>
      </c>
      <c r="AN3346">
        <v>0.99999998392121103</v>
      </c>
    </row>
    <row r="3347" spans="1:40" x14ac:dyDescent="0.25">
      <c r="A3347" t="str">
        <f>"20190303153835544"</f>
        <v>20190303153835544</v>
      </c>
      <c r="B3347" t="str">
        <f>"1551598715541514"</f>
        <v>1551598715541514</v>
      </c>
      <c r="C3347" t="s">
        <v>40</v>
      </c>
      <c r="D3347">
        <v>4.3716480000000004</v>
      </c>
      <c r="E3347">
        <v>0.4377837</v>
      </c>
      <c r="F3347" t="s">
        <v>44</v>
      </c>
      <c r="G3347">
        <v>-481.7724</v>
      </c>
      <c r="H3347">
        <v>1.0345599999999999</v>
      </c>
      <c r="I3347">
        <v>283.12240000000003</v>
      </c>
      <c r="J3347">
        <v>-481.17489999999998</v>
      </c>
      <c r="K3347">
        <v>1.1223540000000001</v>
      </c>
      <c r="L3347">
        <v>283.68209999999999</v>
      </c>
      <c r="M3347">
        <v>-0.99118689999999998</v>
      </c>
      <c r="N3347">
        <v>-1.3231700000000001E-2</v>
      </c>
      <c r="O3347">
        <v>-0.13180910000000001</v>
      </c>
      <c r="P3347">
        <v>-0.84051129999999996</v>
      </c>
      <c r="Q3347">
        <v>-7.0343340000000004E-2</v>
      </c>
      <c r="R3347">
        <v>-0.53720809999999997</v>
      </c>
      <c r="S3347">
        <v>-2.2971189999999999</v>
      </c>
      <c r="T3347">
        <v>-0.29923559999999999</v>
      </c>
      <c r="U3347">
        <v>-1.955292</v>
      </c>
      <c r="V3347">
        <v>-0.42159580000000002</v>
      </c>
      <c r="W3347">
        <v>-5.929189E-2</v>
      </c>
      <c r="X3347">
        <v>0.90484330000000002</v>
      </c>
      <c r="Y3347">
        <v>-0.53965819999999998</v>
      </c>
      <c r="Z3347">
        <v>-2.130495E-2</v>
      </c>
      <c r="AA3347">
        <v>0.84161459999999999</v>
      </c>
      <c r="AB3347">
        <v>8</v>
      </c>
      <c r="AC3347">
        <v>-0.59750000000002501</v>
      </c>
      <c r="AD3347">
        <v>-8.77939999999999E-2</v>
      </c>
      <c r="AE3347">
        <v>-0.559699999999963</v>
      </c>
      <c r="AF3347">
        <v>-0.47064085762372199</v>
      </c>
      <c r="AG3347">
        <v>-8.77939999999999E-2</v>
      </c>
      <c r="AH3347">
        <v>0.65849361310495003</v>
      </c>
      <c r="AI3347">
        <v>96.190611312234296</v>
      </c>
      <c r="AJ3347">
        <v>125.554283417606</v>
      </c>
      <c r="AK3347">
        <v>0.81414030842404805</v>
      </c>
      <c r="AL3347">
        <v>93.399168784021995</v>
      </c>
      <c r="AM3347">
        <v>114.982336372327</v>
      </c>
      <c r="AN3347">
        <v>0.99999997217615</v>
      </c>
    </row>
    <row r="3348" spans="1:40" x14ac:dyDescent="0.25">
      <c r="A3348" t="str">
        <f>"20190303153835566"</f>
        <v>20190303153835566</v>
      </c>
      <c r="B3348" t="str">
        <f>"1551598715562009"</f>
        <v>1551598715562009</v>
      </c>
      <c r="C3348" t="s">
        <v>40</v>
      </c>
      <c r="D3348">
        <v>4.3900249999999996</v>
      </c>
      <c r="E3348">
        <v>0.43622850000000002</v>
      </c>
      <c r="F3348" t="s">
        <v>44</v>
      </c>
      <c r="G3348">
        <v>-481.8322</v>
      </c>
      <c r="H3348">
        <v>1.0259780000000001</v>
      </c>
      <c r="I3348">
        <v>283.09070000000003</v>
      </c>
      <c r="J3348">
        <v>-481.25020000000001</v>
      </c>
      <c r="K3348">
        <v>1.122317</v>
      </c>
      <c r="L3348">
        <v>283.6678</v>
      </c>
      <c r="M3348">
        <v>-0.99071390000000004</v>
      </c>
      <c r="N3348">
        <v>-1.310094E-2</v>
      </c>
      <c r="O3348">
        <v>-0.1353306</v>
      </c>
      <c r="P3348">
        <v>-0.83810130000000005</v>
      </c>
      <c r="Q3348">
        <v>-6.9101170000000003E-2</v>
      </c>
      <c r="R3348">
        <v>-0.54111999999999905</v>
      </c>
      <c r="S3348">
        <v>-2.2483520000000001</v>
      </c>
      <c r="T3348">
        <v>-0.32966570000000001</v>
      </c>
      <c r="U3348">
        <v>-2.0235599999999998</v>
      </c>
      <c r="V3348">
        <v>-0.42258780000000001</v>
      </c>
      <c r="W3348">
        <v>-5.8157819999999999E-2</v>
      </c>
      <c r="X3348">
        <v>0.90445410000000004</v>
      </c>
      <c r="Y3348">
        <v>-0.55918040000000002</v>
      </c>
      <c r="Z3348">
        <v>-2.3980520000000002E-2</v>
      </c>
      <c r="AA3348">
        <v>0.82869910000000002</v>
      </c>
      <c r="AB3348">
        <v>8</v>
      </c>
      <c r="AC3348">
        <v>-0.58199999999999297</v>
      </c>
      <c r="AD3348">
        <v>-9.6338999999999897E-2</v>
      </c>
      <c r="AE3348">
        <v>-0.57709999999997297</v>
      </c>
      <c r="AF3348">
        <v>-0.48630209837133598</v>
      </c>
      <c r="AG3348">
        <v>-9.6338999999999897E-2</v>
      </c>
      <c r="AH3348">
        <v>0.64582814783055198</v>
      </c>
      <c r="AI3348">
        <v>96.795649356262004</v>
      </c>
      <c r="AJ3348">
        <v>126.97937939575</v>
      </c>
      <c r="AK3348">
        <v>0.81416517386314602</v>
      </c>
      <c r="AL3348">
        <v>93.3340789300766</v>
      </c>
      <c r="AM3348">
        <v>115.043377246852</v>
      </c>
      <c r="AN3348">
        <v>0.99999999987140098</v>
      </c>
    </row>
    <row r="3349" spans="1:40" x14ac:dyDescent="0.25">
      <c r="A3349" t="str">
        <f>"20190303153835589"</f>
        <v>20190303153835589</v>
      </c>
      <c r="B3349" t="str">
        <f>"1551598715581530"</f>
        <v>1551598715581530</v>
      </c>
      <c r="C3349" t="s">
        <v>40</v>
      </c>
      <c r="D3349">
        <v>4.4093970000000002</v>
      </c>
      <c r="E3349">
        <v>0.4354346</v>
      </c>
      <c r="F3349" t="s">
        <v>44</v>
      </c>
      <c r="G3349">
        <v>-481.89760000000001</v>
      </c>
      <c r="H3349">
        <v>1.0258050000000001</v>
      </c>
      <c r="I3349">
        <v>283.07479999999998</v>
      </c>
      <c r="J3349">
        <v>-481.32569999999998</v>
      </c>
      <c r="K3349">
        <v>1.122277</v>
      </c>
      <c r="L3349">
        <v>283.65320000000003</v>
      </c>
      <c r="M3349">
        <v>-0.99022460000000001</v>
      </c>
      <c r="N3349">
        <v>-1.2970809999999999E-2</v>
      </c>
      <c r="O3349">
        <v>-0.138877799999999</v>
      </c>
      <c r="P3349">
        <v>-0.83533869999999899</v>
      </c>
      <c r="Q3349">
        <v>-6.7743960000000006E-2</v>
      </c>
      <c r="R3349">
        <v>-0.54554599999999998</v>
      </c>
      <c r="S3349">
        <v>-2.2321469999999999</v>
      </c>
      <c r="T3349">
        <v>-0.33277630000000002</v>
      </c>
      <c r="U3349">
        <v>-2.0443730000000002</v>
      </c>
      <c r="V3349">
        <v>-0.42412109999999897</v>
      </c>
      <c r="W3349">
        <v>-5.6907880000000001E-2</v>
      </c>
      <c r="X3349">
        <v>0.9038157</v>
      </c>
      <c r="Y3349">
        <v>-0.56334960000000001</v>
      </c>
      <c r="Z3349">
        <v>-2.4056310000000001E-2</v>
      </c>
      <c r="AA3349">
        <v>0.8258683</v>
      </c>
      <c r="AB3349">
        <v>8</v>
      </c>
      <c r="AC3349">
        <v>-0.57190000000002705</v>
      </c>
      <c r="AD3349">
        <v>-9.6472000000000099E-2</v>
      </c>
      <c r="AE3349">
        <v>-0.57840000000004399</v>
      </c>
      <c r="AF3349">
        <v>-0.48651939891495599</v>
      </c>
      <c r="AG3349">
        <v>-9.6472000000000099E-2</v>
      </c>
      <c r="AH3349">
        <v>0.63772005266702303</v>
      </c>
      <c r="AI3349">
        <v>96.858140425311902</v>
      </c>
      <c r="AJ3349">
        <v>127.340167403466</v>
      </c>
      <c r="AK3349">
        <v>0.80789531368748602</v>
      </c>
      <c r="AL3349">
        <v>93.262343761971806</v>
      </c>
      <c r="AM3349">
        <v>115.138607556566</v>
      </c>
      <c r="AN3349">
        <v>1.0000000169188901</v>
      </c>
    </row>
    <row r="3350" spans="1:40" x14ac:dyDescent="0.25">
      <c r="A3350" t="str">
        <f>"20190303153835611"</f>
        <v>20190303153835611</v>
      </c>
      <c r="B3350" t="str">
        <f>"1551598715602027"</f>
        <v>1551598715602027</v>
      </c>
      <c r="C3350" t="s">
        <v>40</v>
      </c>
      <c r="D3350">
        <v>4.4538250000000001</v>
      </c>
      <c r="E3350">
        <v>0.43539230000000001</v>
      </c>
      <c r="F3350" t="s">
        <v>44</v>
      </c>
      <c r="G3350">
        <v>-481.96379999999999</v>
      </c>
      <c r="H3350">
        <v>1.0303150000000001</v>
      </c>
      <c r="I3350">
        <v>283.06060000000002</v>
      </c>
      <c r="J3350">
        <v>-481.40129999999999</v>
      </c>
      <c r="K3350">
        <v>1.1222240000000001</v>
      </c>
      <c r="L3350">
        <v>283.63819999999998</v>
      </c>
      <c r="M3350">
        <v>-0.98972090000000001</v>
      </c>
      <c r="N3350">
        <v>-1.283362E-2</v>
      </c>
      <c r="O3350">
        <v>-0.1424368</v>
      </c>
      <c r="P3350">
        <v>-0.83213989999999904</v>
      </c>
      <c r="Q3350">
        <v>-6.7657830000000002E-2</v>
      </c>
      <c r="R3350">
        <v>-0.55042380000000002</v>
      </c>
      <c r="S3350">
        <v>-2.2188720000000002</v>
      </c>
      <c r="T3350">
        <v>-0.3197856</v>
      </c>
      <c r="U3350">
        <v>-2.0618289999999999</v>
      </c>
      <c r="V3350">
        <v>-0.42615920000000002</v>
      </c>
      <c r="W3350">
        <v>-5.6936800000000003E-2</v>
      </c>
      <c r="X3350">
        <v>0.90285470000000001</v>
      </c>
      <c r="Y3350">
        <v>-0.56654669999999996</v>
      </c>
      <c r="Z3350">
        <v>-2.3172350000000001E-2</v>
      </c>
      <c r="AA3350">
        <v>0.82370379999999999</v>
      </c>
      <c r="AB3350">
        <v>8</v>
      </c>
      <c r="AC3350">
        <v>-0.5625</v>
      </c>
      <c r="AD3350">
        <v>-9.1909000000000005E-2</v>
      </c>
      <c r="AE3350">
        <v>-0.57759999999996103</v>
      </c>
      <c r="AF3350">
        <v>-0.48527620011469202</v>
      </c>
      <c r="AG3350">
        <v>-9.1909000000000005E-2</v>
      </c>
      <c r="AH3350">
        <v>0.63084403667046896</v>
      </c>
      <c r="AI3350">
        <v>96.587227139230095</v>
      </c>
      <c r="AJ3350">
        <v>127.569251443128</v>
      </c>
      <c r="AK3350">
        <v>0.80118939913196996</v>
      </c>
      <c r="AL3350">
        <v>93.264003384126895</v>
      </c>
      <c r="AM3350">
        <v>115.26792194492999</v>
      </c>
      <c r="AN3350">
        <v>1.0000000361254799</v>
      </c>
    </row>
    <row r="3351" spans="1:40" x14ac:dyDescent="0.25">
      <c r="A3351" t="str">
        <f>"20190303153835634"</f>
        <v>20190303153835634</v>
      </c>
      <c r="B3351" t="str">
        <f>"1551598715622521"</f>
        <v>1551598715622521</v>
      </c>
      <c r="C3351" t="s">
        <v>40</v>
      </c>
      <c r="D3351">
        <v>4.4630989999999997</v>
      </c>
      <c r="E3351">
        <v>0.43530849999999999</v>
      </c>
      <c r="F3351" t="s">
        <v>44</v>
      </c>
      <c r="G3351">
        <v>-482.08280000000002</v>
      </c>
      <c r="H3351">
        <v>1.024386</v>
      </c>
      <c r="I3351">
        <v>282.9973</v>
      </c>
      <c r="J3351">
        <v>-481.47609999999997</v>
      </c>
      <c r="K3351">
        <v>1.1221669999999999</v>
      </c>
      <c r="L3351">
        <v>283.62310000000002</v>
      </c>
      <c r="M3351">
        <v>-0.98920790000000003</v>
      </c>
      <c r="N3351">
        <v>-1.2697740000000001E-2</v>
      </c>
      <c r="O3351">
        <v>-0.14596809999999999</v>
      </c>
      <c r="P3351">
        <v>-0.82899020000000001</v>
      </c>
      <c r="Q3351">
        <v>-6.9307610000000006E-2</v>
      </c>
      <c r="R3351">
        <v>-0.55495220000000001</v>
      </c>
      <c r="S3351">
        <v>-2.2065429999999999</v>
      </c>
      <c r="T3351">
        <v>-0.31674059999999998</v>
      </c>
      <c r="U3351">
        <v>-2.0754999999999999</v>
      </c>
      <c r="V3351">
        <v>-0.42787710000000001</v>
      </c>
      <c r="W3351">
        <v>-5.8699689999999999E-2</v>
      </c>
      <c r="X3351">
        <v>0.90192879999999997</v>
      </c>
      <c r="Y3351">
        <v>-0.56866660000000002</v>
      </c>
      <c r="Z3351">
        <v>-2.2765199999999999E-2</v>
      </c>
      <c r="AA3351">
        <v>0.82225300000000001</v>
      </c>
      <c r="AB3351">
        <v>8</v>
      </c>
      <c r="AC3351">
        <v>-0.60670000000004598</v>
      </c>
      <c r="AD3351">
        <v>-9.7780999999999896E-2</v>
      </c>
      <c r="AE3351">
        <v>-0.625800000000026</v>
      </c>
      <c r="AF3351">
        <v>-0.52393632493605402</v>
      </c>
      <c r="AG3351">
        <v>-9.7780999999999896E-2</v>
      </c>
      <c r="AH3351">
        <v>0.682959759022153</v>
      </c>
      <c r="AI3351">
        <v>96.480774909637702</v>
      </c>
      <c r="AJ3351">
        <v>127.493814647677</v>
      </c>
      <c r="AK3351">
        <v>0.86631658704661496</v>
      </c>
      <c r="AL3351">
        <v>93.365178881128699</v>
      </c>
      <c r="AM3351">
        <v>115.37977037732099</v>
      </c>
      <c r="AN3351">
        <v>1.00000001328997</v>
      </c>
    </row>
    <row r="3352" spans="1:40" x14ac:dyDescent="0.25">
      <c r="A3352" t="str">
        <f>"20190303153835657"</f>
        <v>20190303153835657</v>
      </c>
      <c r="B3352" t="str">
        <f>"1551598715651801"</f>
        <v>1551598715651801</v>
      </c>
      <c r="C3352" t="s">
        <v>40</v>
      </c>
      <c r="D3352">
        <v>4.4881820000000001</v>
      </c>
      <c r="E3352">
        <v>0.43583490000000003</v>
      </c>
      <c r="F3352" t="s">
        <v>44</v>
      </c>
      <c r="G3352">
        <v>-482.14870000000002</v>
      </c>
      <c r="H3352">
        <v>1.022985</v>
      </c>
      <c r="I3352">
        <v>282.98309999999998</v>
      </c>
      <c r="J3352">
        <v>-481.55489999999998</v>
      </c>
      <c r="K3352">
        <v>1.1220950000000001</v>
      </c>
      <c r="L3352">
        <v>283.6069</v>
      </c>
      <c r="M3352">
        <v>-0.98865150000000002</v>
      </c>
      <c r="N3352">
        <v>-1.255063E-2</v>
      </c>
      <c r="O3352">
        <v>-0.1497021</v>
      </c>
      <c r="P3352">
        <v>-0.82540400000000003</v>
      </c>
      <c r="Q3352">
        <v>-7.0988609999999994E-2</v>
      </c>
      <c r="R3352">
        <v>-0.56006160000000005</v>
      </c>
      <c r="S3352">
        <v>-2.1942439999999999</v>
      </c>
      <c r="T3352">
        <v>-0.3235362</v>
      </c>
      <c r="U3352">
        <v>-2.0876160000000001</v>
      </c>
      <c r="V3352">
        <v>-0.43006060000000002</v>
      </c>
      <c r="W3352">
        <v>-6.0505499999999997E-2</v>
      </c>
      <c r="X3352">
        <v>0.90077019999999997</v>
      </c>
      <c r="Y3352">
        <v>-0.57014830000000005</v>
      </c>
      <c r="Z3352">
        <v>-2.2809329999999999E-2</v>
      </c>
      <c r="AA3352">
        <v>0.82122499999999998</v>
      </c>
      <c r="AB3352">
        <v>8</v>
      </c>
      <c r="AC3352">
        <v>-0.59380000000004396</v>
      </c>
      <c r="AD3352">
        <v>-9.9110000000000004E-2</v>
      </c>
      <c r="AE3352">
        <v>-0.62380000000001701</v>
      </c>
      <c r="AF3352">
        <v>-0.52096997185723604</v>
      </c>
      <c r="AG3352">
        <v>-9.9110000000000004E-2</v>
      </c>
      <c r="AH3352">
        <v>0.67160483947965599</v>
      </c>
      <c r="AI3352">
        <v>96.6508264055566</v>
      </c>
      <c r="AJ3352">
        <v>127.801057719181</v>
      </c>
      <c r="AK3352">
        <v>0.85573685446486603</v>
      </c>
      <c r="AL3352">
        <v>93.468828521658395</v>
      </c>
      <c r="AM3352">
        <v>115.52151399938001</v>
      </c>
      <c r="AN3352">
        <v>0.99999999420532404</v>
      </c>
    </row>
    <row r="3353" spans="1:40" x14ac:dyDescent="0.25">
      <c r="A3353" t="str">
        <f>"20190303153835679"</f>
        <v>20190303153835679</v>
      </c>
      <c r="B3353" t="str">
        <f>"1551598715672304"</f>
        <v>1551598715672304</v>
      </c>
      <c r="C3353" t="s">
        <v>40</v>
      </c>
      <c r="D3353">
        <v>4.4795400000000001</v>
      </c>
      <c r="E3353">
        <v>0.43629990000000002</v>
      </c>
      <c r="F3353" t="s">
        <v>44</v>
      </c>
      <c r="G3353">
        <v>-482.21570000000003</v>
      </c>
      <c r="H3353">
        <v>1.0207010000000001</v>
      </c>
      <c r="I3353">
        <v>282.97199999999998</v>
      </c>
      <c r="J3353">
        <v>-481.62819999999999</v>
      </c>
      <c r="K3353">
        <v>1.122045</v>
      </c>
      <c r="L3353">
        <v>283.59160000000003</v>
      </c>
      <c r="M3353">
        <v>-0.98812069999999996</v>
      </c>
      <c r="N3353">
        <v>-1.24058E-2</v>
      </c>
      <c r="O3353">
        <v>-0.15317919999999999</v>
      </c>
      <c r="P3353">
        <v>-0.82241710000000001</v>
      </c>
      <c r="Q3353">
        <v>-7.0666549999999995E-2</v>
      </c>
      <c r="R3353">
        <v>-0.56447910000000001</v>
      </c>
      <c r="S3353">
        <v>-2.182617</v>
      </c>
      <c r="T3353">
        <v>-0.334893</v>
      </c>
      <c r="U3353">
        <v>-2.0973820000000001</v>
      </c>
      <c r="V3353">
        <v>-0.43171929999999997</v>
      </c>
      <c r="W3353">
        <v>-6.0302370000000001E-2</v>
      </c>
      <c r="X3353">
        <v>0.89998999999999996</v>
      </c>
      <c r="Y3353">
        <v>-0.5711813</v>
      </c>
      <c r="Z3353">
        <v>-2.3070750000000001E-2</v>
      </c>
      <c r="AA3353">
        <v>0.82049969999999905</v>
      </c>
      <c r="AB3353">
        <v>8</v>
      </c>
      <c r="AC3353">
        <v>-0.587500000000034</v>
      </c>
      <c r="AD3353">
        <v>-0.101344</v>
      </c>
      <c r="AE3353">
        <v>-0.619600000000048</v>
      </c>
      <c r="AF3353">
        <v>-0.51503144011964797</v>
      </c>
      <c r="AG3353">
        <v>-0.101344</v>
      </c>
      <c r="AH3353">
        <v>0.66609898758948505</v>
      </c>
      <c r="AI3353">
        <v>96.863255160567704</v>
      </c>
      <c r="AJ3353">
        <v>127.711394885649</v>
      </c>
      <c r="AK3353">
        <v>0.84806594785750999</v>
      </c>
      <c r="AL3353">
        <v>93.457168840521305</v>
      </c>
      <c r="AM3353">
        <v>115.626728650069</v>
      </c>
      <c r="AN3353">
        <v>0.99999996496005195</v>
      </c>
    </row>
    <row r="3354" spans="1:40" x14ac:dyDescent="0.25">
      <c r="A3354" t="str">
        <f>"20190303153835700"</f>
        <v>20190303153835700</v>
      </c>
      <c r="B3354" t="str">
        <f>"1551598715691818"</f>
        <v>1551598715691818</v>
      </c>
      <c r="C3354" t="s">
        <v>40</v>
      </c>
      <c r="D3354">
        <v>4.507066</v>
      </c>
      <c r="E3354">
        <v>0.43664199999999997</v>
      </c>
      <c r="F3354" t="s">
        <v>44</v>
      </c>
      <c r="G3354">
        <v>-482.28179999999998</v>
      </c>
      <c r="H3354">
        <v>1.022006</v>
      </c>
      <c r="I3354">
        <v>282.95819999999998</v>
      </c>
      <c r="J3354">
        <v>-481.70100000000002</v>
      </c>
      <c r="K3354">
        <v>1.1219980000000001</v>
      </c>
      <c r="L3354">
        <v>283.57600000000002</v>
      </c>
      <c r="M3354">
        <v>-0.98757919999999999</v>
      </c>
      <c r="N3354">
        <v>-1.224956E-2</v>
      </c>
      <c r="O3354">
        <v>-0.1566438</v>
      </c>
      <c r="P3354">
        <v>-0.820017199999999</v>
      </c>
      <c r="Q3354">
        <v>-6.9404259999999995E-2</v>
      </c>
      <c r="R3354">
        <v>-0.5681155</v>
      </c>
      <c r="S3354">
        <v>-2.1736759999999999</v>
      </c>
      <c r="T3354">
        <v>-0.33274049999999999</v>
      </c>
      <c r="U3354">
        <v>-2.1060180000000002</v>
      </c>
      <c r="V3354">
        <v>-0.43253570000000002</v>
      </c>
      <c r="W3354">
        <v>-5.916304E-2</v>
      </c>
      <c r="X3354">
        <v>0.89967359999999896</v>
      </c>
      <c r="Y3354">
        <v>-0.57172809999999996</v>
      </c>
      <c r="Z3354">
        <v>-2.2575129999999999E-2</v>
      </c>
      <c r="AA3354">
        <v>0.82013250000000004</v>
      </c>
      <c r="AB3354">
        <v>8</v>
      </c>
      <c r="AC3354">
        <v>-0.58080000000000997</v>
      </c>
      <c r="AD3354">
        <v>-9.9991999999999998E-2</v>
      </c>
      <c r="AE3354">
        <v>-0.61779999999998803</v>
      </c>
      <c r="AF3354">
        <v>-0.51206593777818299</v>
      </c>
      <c r="AG3354">
        <v>-9.9991999999999998E-2</v>
      </c>
      <c r="AH3354">
        <v>0.66121604885141605</v>
      </c>
      <c r="AI3354">
        <v>96.818089170113694</v>
      </c>
      <c r="AJ3354">
        <v>127.75529631381001</v>
      </c>
      <c r="AK3354">
        <v>0.84226871481453403</v>
      </c>
      <c r="AL3354">
        <v>93.391773173177</v>
      </c>
      <c r="AM3354">
        <v>115.67683199623301</v>
      </c>
      <c r="AN3354">
        <v>0.99999999180674504</v>
      </c>
    </row>
    <row r="3355" spans="1:40" x14ac:dyDescent="0.25">
      <c r="A3355" t="str">
        <f>"20190303153835723"</f>
        <v>20190303153835723</v>
      </c>
      <c r="B3355" t="str">
        <f>"1551598715712314"</f>
        <v>1551598715712314</v>
      </c>
      <c r="C3355" t="s">
        <v>40</v>
      </c>
      <c r="D3355">
        <v>4.4818509999999998</v>
      </c>
      <c r="E3355">
        <v>0.43697009999999997</v>
      </c>
      <c r="F3355" t="s">
        <v>44</v>
      </c>
      <c r="G3355">
        <v>-482.34800000000001</v>
      </c>
      <c r="H3355">
        <v>1.0247839999999999</v>
      </c>
      <c r="I3355">
        <v>282.94490000000002</v>
      </c>
      <c r="J3355">
        <v>-481.77600000000001</v>
      </c>
      <c r="K3355">
        <v>1.1219629999999901</v>
      </c>
      <c r="L3355">
        <v>283.55970000000002</v>
      </c>
      <c r="M3355">
        <v>-0.98700460000000001</v>
      </c>
      <c r="N3355">
        <v>-1.2119929999999999E-2</v>
      </c>
      <c r="O3355">
        <v>-0.16023490000000001</v>
      </c>
      <c r="P3355">
        <v>-0.81725199999999998</v>
      </c>
      <c r="Q3355">
        <v>-6.9984560000000001E-2</v>
      </c>
      <c r="R3355">
        <v>-0.57201519999999995</v>
      </c>
      <c r="S3355">
        <v>-2.1664119999999998</v>
      </c>
      <c r="T3355">
        <v>-0.32546750000000002</v>
      </c>
      <c r="U3355">
        <v>-2.113861</v>
      </c>
      <c r="V3355">
        <v>-0.43355549999999998</v>
      </c>
      <c r="W3355">
        <v>-5.9860249999999997E-2</v>
      </c>
      <c r="X3355">
        <v>0.89913639999999995</v>
      </c>
      <c r="Y3355">
        <v>-0.57178339999999905</v>
      </c>
      <c r="Z3355">
        <v>-2.1786549999999998E-2</v>
      </c>
      <c r="AA3355">
        <v>0.82011529999999999</v>
      </c>
      <c r="AB3355">
        <v>8</v>
      </c>
      <c r="AC3355">
        <v>-0.57200000000000195</v>
      </c>
      <c r="AD3355">
        <v>-9.7178999999999904E-2</v>
      </c>
      <c r="AE3355">
        <v>-0.61480000000000201</v>
      </c>
      <c r="AF3355">
        <v>-0.50838540316688396</v>
      </c>
      <c r="AG3355">
        <v>-9.7178999999999904E-2</v>
      </c>
      <c r="AH3355">
        <v>0.65436424362668399</v>
      </c>
      <c r="AI3355">
        <v>96.688806705457196</v>
      </c>
      <c r="AJ3355">
        <v>127.844170254413</v>
      </c>
      <c r="AK3355">
        <v>0.83432130473294097</v>
      </c>
      <c r="AL3355">
        <v>93.431791458542605</v>
      </c>
      <c r="AM3355">
        <v>115.74294746379999</v>
      </c>
      <c r="AN3355">
        <v>0.99999994345763399</v>
      </c>
    </row>
    <row r="3356" spans="1:40" x14ac:dyDescent="0.25">
      <c r="A3356" t="str">
        <f>"20190303153835735"</f>
        <v>20190303153835735</v>
      </c>
      <c r="B3356" t="str">
        <f>"1551598715722074"</f>
        <v>1551598715722074</v>
      </c>
      <c r="C3356" t="s">
        <v>40</v>
      </c>
      <c r="D3356">
        <v>4.4587180000000002</v>
      </c>
      <c r="E3356">
        <v>0.43712119999999999</v>
      </c>
      <c r="F3356" t="s">
        <v>44</v>
      </c>
      <c r="G3356">
        <v>-482.41430000000003</v>
      </c>
      <c r="H3356">
        <v>1.0258910000000001</v>
      </c>
      <c r="I3356">
        <v>282.93169999999998</v>
      </c>
      <c r="J3356">
        <v>-481.81920000000002</v>
      </c>
      <c r="K3356">
        <v>1.1219269999999999</v>
      </c>
      <c r="L3356">
        <v>283.55029999999999</v>
      </c>
      <c r="M3356">
        <v>-0.98666050000000005</v>
      </c>
      <c r="N3356">
        <v>-1.1857909999999999E-2</v>
      </c>
      <c r="O3356">
        <v>-0.16235959999999999</v>
      </c>
      <c r="P3356">
        <v>-0.81551640000000003</v>
      </c>
      <c r="Q3356">
        <v>-7.0174449999999999E-2</v>
      </c>
      <c r="R3356">
        <v>-0.57446409999999903</v>
      </c>
      <c r="S3356">
        <v>-2.157654</v>
      </c>
      <c r="T3356">
        <v>-0.32473659999999999</v>
      </c>
      <c r="U3356">
        <v>-2.1222530000000002</v>
      </c>
      <c r="V3356">
        <v>-0.43431310000000001</v>
      </c>
      <c r="W3356">
        <v>-6.0328729999999997E-2</v>
      </c>
      <c r="X3356">
        <v>0.89873950000000002</v>
      </c>
      <c r="Y3356">
        <v>-0.5733241</v>
      </c>
      <c r="Z3356">
        <v>-2.1534910000000001E-2</v>
      </c>
      <c r="AA3356">
        <v>0.81904569999999999</v>
      </c>
      <c r="AB3356">
        <v>8</v>
      </c>
      <c r="AC3356">
        <v>-0.59510000000000196</v>
      </c>
      <c r="AD3356">
        <v>-9.6036000000000205E-2</v>
      </c>
      <c r="AE3356">
        <v>-0.61860000000001403</v>
      </c>
      <c r="AF3356">
        <v>-0.50741259497289104</v>
      </c>
      <c r="AG3356">
        <v>-9.6036000000000205E-2</v>
      </c>
      <c r="AH3356">
        <v>0.67914449870764704</v>
      </c>
      <c r="AI3356">
        <v>96.462996987339295</v>
      </c>
      <c r="AJ3356">
        <v>126.76469392066799</v>
      </c>
      <c r="AK3356">
        <v>0.85318679370814499</v>
      </c>
      <c r="AL3356">
        <v>93.458681594473504</v>
      </c>
      <c r="AM3356">
        <v>115.79201308662201</v>
      </c>
      <c r="AN3356">
        <v>1.0000000566776299</v>
      </c>
    </row>
    <row r="3357" spans="1:40" x14ac:dyDescent="0.25">
      <c r="A3357" t="str">
        <f>"20190303153835747"</f>
        <v>20190303153835747</v>
      </c>
      <c r="B3357" t="str">
        <f>"1551598715741594"</f>
        <v>1551598715741594</v>
      </c>
      <c r="C3357" t="s">
        <v>40</v>
      </c>
      <c r="D3357">
        <v>4.5182599999999997</v>
      </c>
      <c r="E3357">
        <v>0.43725399999999998</v>
      </c>
      <c r="F3357" t="s">
        <v>44</v>
      </c>
      <c r="G3357">
        <v>-482.47609999999997</v>
      </c>
      <c r="H3357">
        <v>1.0228250000000001</v>
      </c>
      <c r="I3357">
        <v>282.9008</v>
      </c>
      <c r="J3357">
        <v>-481.86169999999998</v>
      </c>
      <c r="K3357">
        <v>1.121874</v>
      </c>
      <c r="L3357">
        <v>283.54090000000002</v>
      </c>
      <c r="M3357">
        <v>-0.98630859999999998</v>
      </c>
      <c r="N3357">
        <v>-1.1392889999999999E-2</v>
      </c>
      <c r="O3357">
        <v>-0.164516</v>
      </c>
      <c r="P3357">
        <v>-0.81373459999999997</v>
      </c>
      <c r="Q3357">
        <v>-6.991588E-2</v>
      </c>
      <c r="R3357">
        <v>-0.57701630000000004</v>
      </c>
      <c r="S3357">
        <v>-2.1518860000000002</v>
      </c>
      <c r="T3357">
        <v>-0.32459640000000001</v>
      </c>
      <c r="U3357">
        <v>-2.1278079999999999</v>
      </c>
      <c r="V3357">
        <v>-0.43515039999999999</v>
      </c>
      <c r="W3357">
        <v>-6.056752E-2</v>
      </c>
      <c r="X3357">
        <v>0.89831819999999896</v>
      </c>
      <c r="Y3357">
        <v>-0.57373289999999999</v>
      </c>
      <c r="Z3357">
        <v>-2.1120710000000001E-2</v>
      </c>
      <c r="AA3357">
        <v>0.81877009999999995</v>
      </c>
      <c r="AB3357">
        <v>8</v>
      </c>
      <c r="AC3357">
        <v>-0.61439999999998895</v>
      </c>
      <c r="AD3357">
        <v>-9.9048999999999901E-2</v>
      </c>
      <c r="AE3357">
        <v>-0.64010000000001799</v>
      </c>
      <c r="AF3357">
        <v>-0.52376449297377703</v>
      </c>
      <c r="AG3357">
        <v>-9.9048999999999901E-2</v>
      </c>
      <c r="AH3357">
        <v>0.70258488070140002</v>
      </c>
      <c r="AI3357">
        <v>96.4486036100338</v>
      </c>
      <c r="AJ3357">
        <v>126.70387196992</v>
      </c>
      <c r="AK3357">
        <v>0.88191012188957196</v>
      </c>
      <c r="AL3357">
        <v>93.472388717328798</v>
      </c>
      <c r="AM3357">
        <v>115.845809333988</v>
      </c>
      <c r="AN3357">
        <v>0.99999994177517304</v>
      </c>
    </row>
    <row r="3358" spans="1:40" x14ac:dyDescent="0.25">
      <c r="A3358" t="str">
        <f>"20190303153835761"</f>
        <v>20190303153835761</v>
      </c>
      <c r="B3358" t="str">
        <f>"1551598715752330"</f>
        <v>1551598715752330</v>
      </c>
      <c r="C3358" t="s">
        <v>40</v>
      </c>
      <c r="D3358">
        <v>4.4976180000000001</v>
      </c>
      <c r="E3358">
        <v>0.43691350000000001</v>
      </c>
      <c r="F3358" t="s">
        <v>44</v>
      </c>
      <c r="G3358">
        <v>-482.48450000000003</v>
      </c>
      <c r="H3358">
        <v>1.028176</v>
      </c>
      <c r="I3358">
        <v>282.92189999999999</v>
      </c>
      <c r="J3358">
        <v>-481.9074</v>
      </c>
      <c r="K3358">
        <v>1.121804</v>
      </c>
      <c r="L3358">
        <v>283.53059999999999</v>
      </c>
      <c r="M3358">
        <v>-0.98590919999999904</v>
      </c>
      <c r="N3358">
        <v>-1.0707629999999999E-2</v>
      </c>
      <c r="O3358">
        <v>-0.16693839999999999</v>
      </c>
      <c r="P3358">
        <v>-0.81156790000000001</v>
      </c>
      <c r="Q3358">
        <v>-6.9583919999999994E-2</v>
      </c>
      <c r="R3358">
        <v>-0.58010010000000001</v>
      </c>
      <c r="S3358">
        <v>-2.1460569999999999</v>
      </c>
      <c r="T3358">
        <v>-0.32286740000000003</v>
      </c>
      <c r="U3358">
        <v>-2.1336059999999999</v>
      </c>
      <c r="V3358">
        <v>-0.4363321</v>
      </c>
      <c r="W3358">
        <v>-6.0960500000000001E-2</v>
      </c>
      <c r="X3358">
        <v>0.89771829999999997</v>
      </c>
      <c r="Y3358">
        <v>-0.57401709999999995</v>
      </c>
      <c r="Z3358">
        <v>-2.0485670000000001E-2</v>
      </c>
      <c r="AA3358">
        <v>0.81858699999999995</v>
      </c>
      <c r="AB3358">
        <v>8</v>
      </c>
      <c r="AC3358">
        <v>-0.57710000000002903</v>
      </c>
      <c r="AD3358">
        <v>-9.3628000000000003E-2</v>
      </c>
      <c r="AE3358">
        <v>-0.60869999999999802</v>
      </c>
      <c r="AF3358">
        <v>-0.49761152472720099</v>
      </c>
      <c r="AG3358">
        <v>-9.3628000000000003E-2</v>
      </c>
      <c r="AH3358">
        <v>0.66236906656947403</v>
      </c>
      <c r="AI3358">
        <v>96.447877007351593</v>
      </c>
      <c r="AJ3358">
        <v>126.91608075434</v>
      </c>
      <c r="AK3358">
        <v>0.83373629660309601</v>
      </c>
      <c r="AL3358">
        <v>93.494946240792203</v>
      </c>
      <c r="AM3358">
        <v>115.921868982172</v>
      </c>
      <c r="AN3358">
        <v>1.0000000151027699</v>
      </c>
    </row>
    <row r="3359" spans="1:40" x14ac:dyDescent="0.25">
      <c r="A3359" t="str">
        <f>"20190303153835773"</f>
        <v>20190303153835773</v>
      </c>
      <c r="B3359" t="str">
        <f>"1551598715762090"</f>
        <v>1551598715762090</v>
      </c>
      <c r="C3359" t="s">
        <v>40</v>
      </c>
      <c r="D3359">
        <v>4.5095910000000003</v>
      </c>
      <c r="E3359">
        <v>0.43691350000000001</v>
      </c>
      <c r="F3359" t="s">
        <v>44</v>
      </c>
      <c r="G3359">
        <v>-482.54750000000001</v>
      </c>
      <c r="H3359">
        <v>1.025512</v>
      </c>
      <c r="I3359">
        <v>282.88810000000001</v>
      </c>
      <c r="J3359">
        <v>-481.9556</v>
      </c>
      <c r="K3359">
        <v>1.12174</v>
      </c>
      <c r="L3359">
        <v>283.51960000000003</v>
      </c>
      <c r="M3359">
        <v>-0.98547359999999995</v>
      </c>
      <c r="N3359">
        <v>-9.9596249999999997E-3</v>
      </c>
      <c r="O3359">
        <v>-0.169537299999999</v>
      </c>
      <c r="P3359">
        <v>-0.80932599999999999</v>
      </c>
      <c r="Q3359">
        <v>-6.8579290000000001E-2</v>
      </c>
      <c r="R3359">
        <v>-0.5833429</v>
      </c>
      <c r="S3359">
        <v>-2.1365050000000001</v>
      </c>
      <c r="T3359">
        <v>-0.32137640000000001</v>
      </c>
      <c r="U3359">
        <v>-2.1439509999999999</v>
      </c>
      <c r="V3359">
        <v>-0.4375288</v>
      </c>
      <c r="W3359">
        <v>-6.074309E-2</v>
      </c>
      <c r="X3359">
        <v>0.89715040000000001</v>
      </c>
      <c r="Y3359">
        <v>-0.57572389999999996</v>
      </c>
      <c r="Z3359">
        <v>-1.9918910000000001E-2</v>
      </c>
      <c r="AA3359">
        <v>0.8174015</v>
      </c>
      <c r="AB3359">
        <v>8</v>
      </c>
      <c r="AC3359">
        <v>-0.59190000000000897</v>
      </c>
      <c r="AD3359">
        <v>-9.6227999999999897E-2</v>
      </c>
      <c r="AE3359">
        <v>-0.63150000000001605</v>
      </c>
      <c r="AF3359">
        <v>-0.51562974419804397</v>
      </c>
      <c r="AG3359">
        <v>-9.6227999999999897E-2</v>
      </c>
      <c r="AH3359">
        <v>0.681969185804708</v>
      </c>
      <c r="AI3359">
        <v>96.421767336096295</v>
      </c>
      <c r="AJ3359">
        <v>127.092543619175</v>
      </c>
      <c r="AK3359">
        <v>0.860357967053759</v>
      </c>
      <c r="AL3359">
        <v>93.482466466312303</v>
      </c>
      <c r="AM3359">
        <v>115.997900864957</v>
      </c>
      <c r="AN3359">
        <v>1.0000000070161701</v>
      </c>
    </row>
    <row r="3360" spans="1:40" x14ac:dyDescent="0.25">
      <c r="A3360" t="str">
        <f>"20190303153835790"</f>
        <v>20190303153835790</v>
      </c>
      <c r="B3360" t="str">
        <f>"1551598715781610"</f>
        <v>1551598715781610</v>
      </c>
      <c r="C3360" t="s">
        <v>40</v>
      </c>
      <c r="D3360">
        <v>4.2604559999999996</v>
      </c>
      <c r="E3360">
        <v>0.3715734</v>
      </c>
      <c r="F3360" t="s">
        <v>44</v>
      </c>
      <c r="G3360">
        <v>-482.61270000000002</v>
      </c>
      <c r="H3360">
        <v>1.0235190000000001</v>
      </c>
      <c r="I3360">
        <v>282.85469999999998</v>
      </c>
      <c r="J3360">
        <v>-482.01609999999999</v>
      </c>
      <c r="K3360">
        <v>1.1216649999999999</v>
      </c>
      <c r="L3360">
        <v>283.50569999999999</v>
      </c>
      <c r="M3360">
        <v>-0.98490120000000003</v>
      </c>
      <c r="N3360">
        <v>-9.0265940000000006E-3</v>
      </c>
      <c r="O3360">
        <v>-0.1728816</v>
      </c>
      <c r="P3360">
        <v>-0.80582670000000001</v>
      </c>
      <c r="Q3360">
        <v>-6.7338620000000002E-2</v>
      </c>
      <c r="R3360">
        <v>-0.58830990000000005</v>
      </c>
      <c r="S3360">
        <v>-2.1279300000000001</v>
      </c>
      <c r="T3360">
        <v>-0.31805060000000002</v>
      </c>
      <c r="U3360">
        <v>-2.1531069999999999</v>
      </c>
      <c r="V3360">
        <v>-0.43996479999999999</v>
      </c>
      <c r="W3360">
        <v>-6.0486720000000001E-2</v>
      </c>
      <c r="X3360">
        <v>0.89597559999999998</v>
      </c>
      <c r="Y3360">
        <v>-0.57644249999999997</v>
      </c>
      <c r="Z3360">
        <v>-1.9022790000000001E-2</v>
      </c>
      <c r="AA3360">
        <v>0.81691619999999998</v>
      </c>
      <c r="AB3360">
        <v>8</v>
      </c>
      <c r="AC3360">
        <v>-0.596600000000023</v>
      </c>
      <c r="AD3360">
        <v>-9.8145999999999803E-2</v>
      </c>
      <c r="AE3360">
        <v>-0.65100000000001002</v>
      </c>
      <c r="AF3360">
        <v>-0.53148561438266695</v>
      </c>
      <c r="AG3360">
        <v>-9.8145999999999803E-2</v>
      </c>
      <c r="AH3360">
        <v>0.69162239290414795</v>
      </c>
      <c r="AI3360">
        <v>96.419952782003193</v>
      </c>
      <c r="AJ3360">
        <v>127.540913485413</v>
      </c>
      <c r="AK3360">
        <v>0.87775345626102796</v>
      </c>
      <c r="AL3360">
        <v>93.467750609025998</v>
      </c>
      <c r="AM3360">
        <v>116.153139510648</v>
      </c>
      <c r="AN3360">
        <v>0.99999997216537795</v>
      </c>
    </row>
    <row r="3361" spans="1:40" x14ac:dyDescent="0.25">
      <c r="A3361" t="str">
        <f>"20190303153835804"</f>
        <v>20190303153835804</v>
      </c>
      <c r="B3361" t="str">
        <f>"1551598715792345"</f>
        <v>1551598715792345</v>
      </c>
      <c r="C3361" t="s">
        <v>40</v>
      </c>
      <c r="D3361">
        <v>4.1916820000000001</v>
      </c>
      <c r="E3361">
        <v>0.36079</v>
      </c>
      <c r="F3361" t="s">
        <v>51</v>
      </c>
      <c r="G3361">
        <v>-488.26580000000001</v>
      </c>
      <c r="H3361" s="1">
        <v>1.5978880000000001E-6</v>
      </c>
      <c r="I3361">
        <v>274.56099999999998</v>
      </c>
      <c r="J3361">
        <v>-482.06779999999998</v>
      </c>
      <c r="K3361">
        <v>1.1216250000000001</v>
      </c>
      <c r="L3361">
        <v>283.49340000000001</v>
      </c>
      <c r="M3361">
        <v>-0.9843906</v>
      </c>
      <c r="N3361">
        <v>-8.29505E-3</v>
      </c>
      <c r="O3361">
        <v>-0.17580279999999901</v>
      </c>
      <c r="P3361">
        <v>-0.80361830000000001</v>
      </c>
      <c r="Q3361">
        <v>-6.6585000000000005E-2</v>
      </c>
      <c r="R3361">
        <v>-0.59140899999999996</v>
      </c>
      <c r="S3361">
        <v>-1.8073429999999999</v>
      </c>
      <c r="T3361">
        <v>-0.32437050000000001</v>
      </c>
      <c r="U3361">
        <v>-2.5866699999999998</v>
      </c>
      <c r="V3361">
        <v>-0.4407336</v>
      </c>
      <c r="W3361">
        <v>-6.0490500000000003E-2</v>
      </c>
      <c r="X3361">
        <v>0.89559750000000005</v>
      </c>
      <c r="Y3361">
        <v>-0.70316820000000002</v>
      </c>
      <c r="Z3361">
        <v>-2.8314639999999999E-2</v>
      </c>
      <c r="AA3361">
        <v>0.71045950000000002</v>
      </c>
      <c r="AB3361">
        <v>9</v>
      </c>
      <c r="AC3361">
        <v>-6.1980000000000297</v>
      </c>
      <c r="AD3361">
        <v>-1.121623402112</v>
      </c>
      <c r="AE3361">
        <v>-8.9324000000000296</v>
      </c>
      <c r="AF3361">
        <v>-7.6224823894352403</v>
      </c>
      <c r="AG3361">
        <v>-1.121623402112</v>
      </c>
      <c r="AH3361">
        <v>7.5910647096801904</v>
      </c>
      <c r="AI3361">
        <v>95.952329145589403</v>
      </c>
      <c r="AJ3361">
        <v>135.11832203768</v>
      </c>
      <c r="AK3361">
        <v>10.8159391760479</v>
      </c>
      <c r="AL3361">
        <v>93.467967333631194</v>
      </c>
      <c r="AM3361">
        <v>116.202317469194</v>
      </c>
      <c r="AN3361">
        <v>1.0000000443827199</v>
      </c>
    </row>
    <row r="3362" spans="1:40" x14ac:dyDescent="0.25">
      <c r="A3362" t="str">
        <f>"20190303153835819"</f>
        <v>20190303153835819</v>
      </c>
      <c r="B3362" t="str">
        <f>"1551598715811866"</f>
        <v>1551598715811866</v>
      </c>
      <c r="C3362" t="s">
        <v>40</v>
      </c>
      <c r="D3362">
        <v>4.2113889999999996</v>
      </c>
      <c r="E3362">
        <v>0.35129719999999998</v>
      </c>
      <c r="F3362" t="s">
        <v>51</v>
      </c>
      <c r="G3362">
        <v>-487.91699999999997</v>
      </c>
      <c r="H3362" s="1">
        <v>1.5721280000000001E-6</v>
      </c>
      <c r="I3362">
        <v>274.57569999999998</v>
      </c>
      <c r="J3362">
        <v>-482.12529999999998</v>
      </c>
      <c r="K3362">
        <v>1.1215900000000001</v>
      </c>
      <c r="L3362">
        <v>283.4796</v>
      </c>
      <c r="M3362">
        <v>-0.98380880000000004</v>
      </c>
      <c r="N3362">
        <v>-7.5229349999999997E-3</v>
      </c>
      <c r="O3362">
        <v>-0.17906420000000001</v>
      </c>
      <c r="P3362">
        <v>-0.80127499999999996</v>
      </c>
      <c r="Q3362">
        <v>-6.6133220000000006E-2</v>
      </c>
      <c r="R3362">
        <v>-0.59463009999999905</v>
      </c>
      <c r="S3362">
        <v>-1.7461549999999999</v>
      </c>
      <c r="T3362">
        <v>-0.33483679999999999</v>
      </c>
      <c r="U3362">
        <v>-2.662201</v>
      </c>
      <c r="V3362">
        <v>-0.44134060000000003</v>
      </c>
      <c r="W3362">
        <v>-6.082982E-2</v>
      </c>
      <c r="X3362">
        <v>0.895275499999999</v>
      </c>
      <c r="Y3362">
        <v>-0.72118930000000003</v>
      </c>
      <c r="Z3362">
        <v>-2.9736809999999999E-2</v>
      </c>
      <c r="AA3362">
        <v>0.69209949999999998</v>
      </c>
      <c r="AB3362">
        <v>9</v>
      </c>
      <c r="AC3362">
        <v>-5.7916999999999899</v>
      </c>
      <c r="AD3362">
        <v>-1.1215884278720001</v>
      </c>
      <c r="AE3362">
        <v>-8.9039000000000197</v>
      </c>
      <c r="AF3362">
        <v>-7.6377070920770302</v>
      </c>
      <c r="AG3362">
        <v>-1.1215884278720001</v>
      </c>
      <c r="AH3362">
        <v>7.2120866946650297</v>
      </c>
      <c r="AI3362">
        <v>96.094389573803994</v>
      </c>
      <c r="AJ3362">
        <v>136.641745223653</v>
      </c>
      <c r="AK3362">
        <v>10.5644083940968</v>
      </c>
      <c r="AL3362">
        <v>93.487444937063302</v>
      </c>
      <c r="AM3362">
        <v>116.241741309799</v>
      </c>
      <c r="AN3362">
        <v>1.0000000065549199</v>
      </c>
    </row>
    <row r="3363" spans="1:40" x14ac:dyDescent="0.25">
      <c r="A3363" t="str">
        <f>"20190303153835835"</f>
        <v>20190303153835835</v>
      </c>
      <c r="B3363" t="str">
        <f>"1551598715832362"</f>
        <v>1551598715832362</v>
      </c>
      <c r="C3363" t="s">
        <v>40</v>
      </c>
      <c r="D3363">
        <v>4.3293609999999996</v>
      </c>
      <c r="E3363">
        <v>0.34687469999999998</v>
      </c>
      <c r="F3363" t="s">
        <v>51</v>
      </c>
      <c r="G3363">
        <v>-487.60660000000001</v>
      </c>
      <c r="H3363" s="1">
        <v>1.561154E-6</v>
      </c>
      <c r="I3363">
        <v>274.62880000000001</v>
      </c>
      <c r="J3363">
        <v>-482.1859</v>
      </c>
      <c r="K3363">
        <v>1.1215569999999999</v>
      </c>
      <c r="L3363">
        <v>283.4649</v>
      </c>
      <c r="M3363">
        <v>-0.98318340000000004</v>
      </c>
      <c r="N3363">
        <v>-6.7466169999999999E-3</v>
      </c>
      <c r="O3363">
        <v>-0.18249670000000001</v>
      </c>
      <c r="P3363">
        <v>-0.79820219999999997</v>
      </c>
      <c r="Q3363">
        <v>-6.5881809999999999E-2</v>
      </c>
      <c r="R3363">
        <v>-0.59877619999999998</v>
      </c>
      <c r="S3363">
        <v>-1.6901550000000001</v>
      </c>
      <c r="T3363">
        <v>-0.34584569999999998</v>
      </c>
      <c r="U3363">
        <v>-2.729187</v>
      </c>
      <c r="V3363">
        <v>-0.44283909999999999</v>
      </c>
      <c r="W3363">
        <v>-6.1371229999999999E-2</v>
      </c>
      <c r="X3363">
        <v>0.89449820000000002</v>
      </c>
      <c r="Y3363">
        <v>-0.73637900000000001</v>
      </c>
      <c r="Z3363">
        <v>-3.0992849999999999E-2</v>
      </c>
      <c r="AA3363">
        <v>0.67585899999999999</v>
      </c>
      <c r="AB3363">
        <v>9</v>
      </c>
      <c r="AC3363">
        <v>-5.4207000000000098</v>
      </c>
      <c r="AD3363">
        <v>-1.1215554388459901</v>
      </c>
      <c r="AE3363">
        <v>-8.8360999999999805</v>
      </c>
      <c r="AF3363">
        <v>-7.60934990141567</v>
      </c>
      <c r="AG3363">
        <v>-1.1215554388459901</v>
      </c>
      <c r="AH3363">
        <v>6.8619360155723896</v>
      </c>
      <c r="AI3363">
        <v>96.246651265934304</v>
      </c>
      <c r="AJ3363">
        <v>137.95658897141399</v>
      </c>
      <c r="AK3363">
        <v>10.3075825684972</v>
      </c>
      <c r="AL3363">
        <v>93.518523665048903</v>
      </c>
      <c r="AM3363">
        <v>116.338624926325</v>
      </c>
      <c r="AN3363">
        <v>0.99999996308187999</v>
      </c>
    </row>
    <row r="3364" spans="1:40" x14ac:dyDescent="0.25">
      <c r="A3364" t="str">
        <f>"20190303153835857"</f>
        <v>20190303153835857</v>
      </c>
      <c r="B3364" t="str">
        <f>"1551598715851883"</f>
        <v>1551598715851883</v>
      </c>
      <c r="C3364" t="s">
        <v>40</v>
      </c>
      <c r="D3364">
        <v>4.1982999999999997</v>
      </c>
      <c r="E3364">
        <v>0.34466269999999999</v>
      </c>
      <c r="F3364" t="s">
        <v>51</v>
      </c>
      <c r="G3364">
        <v>-487.48689999999999</v>
      </c>
      <c r="H3364" s="1">
        <v>1.5427310000000001E-6</v>
      </c>
      <c r="I3364">
        <v>274.60050000000001</v>
      </c>
      <c r="J3364">
        <v>-482.2765</v>
      </c>
      <c r="K3364">
        <v>1.1215139999999999</v>
      </c>
      <c r="L3364">
        <v>283.44240000000002</v>
      </c>
      <c r="M3364">
        <v>-0.98223289999999996</v>
      </c>
      <c r="N3364">
        <v>-5.65023E-3</v>
      </c>
      <c r="O3364">
        <v>-0.18758040000000001</v>
      </c>
      <c r="P3364">
        <v>-0.79380379999999995</v>
      </c>
      <c r="Q3364">
        <v>-6.6236409999999996E-2</v>
      </c>
      <c r="R3364">
        <v>-0.60455609999999904</v>
      </c>
      <c r="S3364">
        <v>-1.6543270000000001</v>
      </c>
      <c r="T3364">
        <v>-0.35001369999999998</v>
      </c>
      <c r="U3364">
        <v>-2.7664179999999998</v>
      </c>
      <c r="V3364">
        <v>-0.44469209999999898</v>
      </c>
      <c r="W3364">
        <v>-6.2824249999999998E-2</v>
      </c>
      <c r="X3364">
        <v>0.89347759999999998</v>
      </c>
      <c r="Y3364">
        <v>-0.74332039999999999</v>
      </c>
      <c r="Z3364">
        <v>-3.065054E-2</v>
      </c>
      <c r="AA3364">
        <v>0.66823290000000002</v>
      </c>
      <c r="AB3364">
        <v>9</v>
      </c>
      <c r="AC3364">
        <v>-5.2103999999999902</v>
      </c>
      <c r="AD3364">
        <v>-1.1215124572689901</v>
      </c>
      <c r="AE3364">
        <v>-8.8419000000000096</v>
      </c>
      <c r="AF3364">
        <v>-7.61660466500601</v>
      </c>
      <c r="AG3364">
        <v>-1.1215124572689901</v>
      </c>
      <c r="AH3364">
        <v>6.6965342049995504</v>
      </c>
      <c r="AI3364">
        <v>96.310306515512593</v>
      </c>
      <c r="AJ3364">
        <v>138.67799994414599</v>
      </c>
      <c r="AK3364">
        <v>10.203628137752199</v>
      </c>
      <c r="AL3364">
        <v>93.601936126801107</v>
      </c>
      <c r="AM3364">
        <v>116.459956487235</v>
      </c>
      <c r="AN3364">
        <v>1.00000008594611</v>
      </c>
    </row>
    <row r="3365" spans="1:40" x14ac:dyDescent="0.25">
      <c r="A3365" t="str">
        <f>"20190303153835879"</f>
        <v>20190303153835879</v>
      </c>
      <c r="B3365" t="str">
        <f>"1551598715872377"</f>
        <v>1551598715872377</v>
      </c>
      <c r="C3365" t="s">
        <v>40</v>
      </c>
      <c r="D3365">
        <v>4.245933</v>
      </c>
      <c r="E3365">
        <v>0.34326820000000002</v>
      </c>
      <c r="F3365" t="s">
        <v>51</v>
      </c>
      <c r="G3365">
        <v>-487.42230000000001</v>
      </c>
      <c r="H3365" s="1">
        <v>1.533576E-6</v>
      </c>
      <c r="I3365">
        <v>274.5908</v>
      </c>
      <c r="J3365">
        <v>-482.36720000000003</v>
      </c>
      <c r="K3365">
        <v>1.1214759999999999</v>
      </c>
      <c r="L3365">
        <v>283.41930000000002</v>
      </c>
      <c r="M3365">
        <v>-0.98127370000000003</v>
      </c>
      <c r="N3365">
        <v>-4.6509769999999997E-3</v>
      </c>
      <c r="O3365">
        <v>-0.19256380000000001</v>
      </c>
      <c r="P3365">
        <v>-0.78953989999999996</v>
      </c>
      <c r="Q3365">
        <v>-6.5675339999999999E-2</v>
      </c>
      <c r="R3365">
        <v>-0.61017559999999904</v>
      </c>
      <c r="S3365">
        <v>-1.62323</v>
      </c>
      <c r="T3365">
        <v>-0.35377619999999999</v>
      </c>
      <c r="U3365">
        <v>-2.7922060000000002</v>
      </c>
      <c r="V3365">
        <v>-0.44647619999999999</v>
      </c>
      <c r="W3365">
        <v>-6.3245979999999993E-2</v>
      </c>
      <c r="X3365">
        <v>0.8925575</v>
      </c>
      <c r="Y3365">
        <v>-0.74815959999999904</v>
      </c>
      <c r="Z3365">
        <v>-3.0177329999999999E-2</v>
      </c>
      <c r="AA3365">
        <v>0.66283219999999898</v>
      </c>
      <c r="AB3365">
        <v>9</v>
      </c>
      <c r="AC3365">
        <v>-5.0550999999999799</v>
      </c>
      <c r="AD3365">
        <v>-1.1214744664239999</v>
      </c>
      <c r="AE3365">
        <v>-8.8285000000000196</v>
      </c>
      <c r="AF3365">
        <v>-7.5975007425027599</v>
      </c>
      <c r="AG3365">
        <v>-1.1214744664239999</v>
      </c>
      <c r="AH3365">
        <v>6.5805881536692796</v>
      </c>
      <c r="AI3365">
        <v>96.366526219894197</v>
      </c>
      <c r="AJ3365">
        <v>139.10247074507399</v>
      </c>
      <c r="AK3365">
        <v>10.1135484850463</v>
      </c>
      <c r="AL3365">
        <v>93.626148040603894</v>
      </c>
      <c r="AM3365">
        <v>116.57519017704</v>
      </c>
      <c r="AN3365">
        <v>0.99999997097942495</v>
      </c>
    </row>
    <row r="3366" spans="1:40" x14ac:dyDescent="0.25">
      <c r="A3366" t="str">
        <f>"20190303153835892"</f>
        <v>20190303153835892</v>
      </c>
      <c r="B3366" t="str">
        <f>"1551598715882138"</f>
        <v>1551598715882138</v>
      </c>
      <c r="C3366" t="s">
        <v>40</v>
      </c>
      <c r="D3366">
        <v>4.2175320000000003</v>
      </c>
      <c r="E3366">
        <v>0.34259790000000001</v>
      </c>
      <c r="F3366" t="s">
        <v>51</v>
      </c>
      <c r="G3366">
        <v>-487.43299999999999</v>
      </c>
      <c r="H3366" s="1">
        <v>1.501048E-6</v>
      </c>
      <c r="I3366">
        <v>274.49610000000001</v>
      </c>
      <c r="J3366">
        <v>-482.42079999999999</v>
      </c>
      <c r="K3366">
        <v>1.121461</v>
      </c>
      <c r="L3366">
        <v>283.40539999999999</v>
      </c>
      <c r="M3366">
        <v>-0.98070480000000004</v>
      </c>
      <c r="N3366">
        <v>-4.1162760000000003E-3</v>
      </c>
      <c r="O3366">
        <v>-0.19545129999999999</v>
      </c>
      <c r="P3366">
        <v>-0.78709569999999995</v>
      </c>
      <c r="Q3366">
        <v>-6.5702410000000003E-2</v>
      </c>
      <c r="R3366">
        <v>-0.61332200000000003</v>
      </c>
      <c r="S3366">
        <v>-1.5966800000000001</v>
      </c>
      <c r="T3366">
        <v>-0.35347659999999997</v>
      </c>
      <c r="U3366">
        <v>-2.8125</v>
      </c>
      <c r="V3366">
        <v>-0.4474052</v>
      </c>
      <c r="W3366">
        <v>-6.379261E-2</v>
      </c>
      <c r="X3366">
        <v>0.89205330000000005</v>
      </c>
      <c r="Y3366">
        <v>-0.75300159999999905</v>
      </c>
      <c r="Z3366">
        <v>-2.993614E-2</v>
      </c>
      <c r="AA3366">
        <v>0.65733739999999996</v>
      </c>
      <c r="AB3366">
        <v>10</v>
      </c>
      <c r="AC3366">
        <v>-5.0122000000000604</v>
      </c>
      <c r="AD3366">
        <v>-1.1214594989519999</v>
      </c>
      <c r="AE3366">
        <v>-8.9092999999999698</v>
      </c>
      <c r="AF3366">
        <v>-7.6655597667765898</v>
      </c>
      <c r="AG3366">
        <v>-1.1214594989519999</v>
      </c>
      <c r="AH3366">
        <v>6.5777137198415003</v>
      </c>
      <c r="AI3366">
        <v>96.335390250807905</v>
      </c>
      <c r="AJ3366">
        <v>139.367550402429</v>
      </c>
      <c r="AK3366">
        <v>10.162912757964801</v>
      </c>
      <c r="AL3366">
        <v>93.657530901794701</v>
      </c>
      <c r="AM3366">
        <v>116.635841801314</v>
      </c>
      <c r="AN3366">
        <v>1.0000000000592699</v>
      </c>
    </row>
    <row r="3367" spans="1:40" x14ac:dyDescent="0.25">
      <c r="A3367" t="str">
        <f>"20190303153835904"</f>
        <v>20190303153835904</v>
      </c>
      <c r="B3367" t="str">
        <f>"1551598715901659"</f>
        <v>1551598715901659</v>
      </c>
      <c r="C3367" t="s">
        <v>40</v>
      </c>
      <c r="D3367">
        <v>4.187913</v>
      </c>
      <c r="E3367">
        <v>0.34180490000000002</v>
      </c>
      <c r="F3367" t="s">
        <v>51</v>
      </c>
      <c r="G3367">
        <v>-487.43950000000001</v>
      </c>
      <c r="H3367" s="1">
        <v>1.485437E-6</v>
      </c>
      <c r="I3367">
        <v>274.45030000000003</v>
      </c>
      <c r="J3367">
        <v>-482.4742</v>
      </c>
      <c r="K3367">
        <v>1.1214459999999999</v>
      </c>
      <c r="L3367">
        <v>283.39139999999998</v>
      </c>
      <c r="M3367">
        <v>-0.98014089999999998</v>
      </c>
      <c r="N3367">
        <v>-3.645705E-3</v>
      </c>
      <c r="O3367">
        <v>-0.19826920000000001</v>
      </c>
      <c r="P3367">
        <v>-0.78498769999999995</v>
      </c>
      <c r="Q3367">
        <v>-6.5182169999999998E-2</v>
      </c>
      <c r="R3367">
        <v>-0.61607330000000005</v>
      </c>
      <c r="S3367">
        <v>-1.5821529999999999</v>
      </c>
      <c r="T3367">
        <v>-0.35353659999999998</v>
      </c>
      <c r="U3367">
        <v>-2.8230900000000001</v>
      </c>
      <c r="V3367">
        <v>-0.44795160000000001</v>
      </c>
      <c r="W3367">
        <v>-6.3722769999999998E-2</v>
      </c>
      <c r="X3367">
        <v>0.89178409999999997</v>
      </c>
      <c r="Y3367">
        <v>-0.75477159999999999</v>
      </c>
      <c r="Z3367">
        <v>-2.9473900000000001E-2</v>
      </c>
      <c r="AA3367">
        <v>0.65532519999999905</v>
      </c>
      <c r="AB3367">
        <v>10</v>
      </c>
      <c r="AC3367">
        <v>-4.9653000000000098</v>
      </c>
      <c r="AD3367">
        <v>-1.1214445145630001</v>
      </c>
      <c r="AE3367">
        <v>-8.9410999999999401</v>
      </c>
      <c r="AF3367">
        <v>-7.6867010621840404</v>
      </c>
      <c r="AG3367">
        <v>-1.1214445145630001</v>
      </c>
      <c r="AH3367">
        <v>6.5605999720743897</v>
      </c>
      <c r="AI3367">
        <v>96.332237642074404</v>
      </c>
      <c r="AJ3367">
        <v>139.51924062842599</v>
      </c>
      <c r="AK3367">
        <v>10.167816039455399</v>
      </c>
      <c r="AL3367">
        <v>93.653521008440407</v>
      </c>
      <c r="AM3367">
        <v>116.670811734232</v>
      </c>
      <c r="AN3367">
        <v>1.00000005418592</v>
      </c>
    </row>
    <row r="3368" spans="1:40" x14ac:dyDescent="0.25">
      <c r="A3368" t="str">
        <f>"20190303153835919"</f>
        <v>20190303153835919</v>
      </c>
      <c r="B3368" t="str">
        <f>"1551598715912394"</f>
        <v>1551598715912394</v>
      </c>
      <c r="C3368" t="s">
        <v>40</v>
      </c>
      <c r="D3368">
        <v>4.2013339999999904</v>
      </c>
      <c r="E3368">
        <v>0.34148260000000003</v>
      </c>
      <c r="F3368" t="s">
        <v>51</v>
      </c>
      <c r="G3368">
        <v>-487.46280000000002</v>
      </c>
      <c r="H3368" s="1">
        <v>1.4622909999999999E-6</v>
      </c>
      <c r="I3368">
        <v>274.37889999999999</v>
      </c>
      <c r="J3368">
        <v>-482.53449999999998</v>
      </c>
      <c r="K3368">
        <v>1.1214390000000001</v>
      </c>
      <c r="L3368">
        <v>283.37549999999999</v>
      </c>
      <c r="M3368">
        <v>-0.97950360000000003</v>
      </c>
      <c r="N3368">
        <v>-3.1745929999999999E-3</v>
      </c>
      <c r="O3368">
        <v>-0.20140140000000001</v>
      </c>
      <c r="P3368">
        <v>-0.78268289999999996</v>
      </c>
      <c r="Q3368">
        <v>-6.4874630000000003E-2</v>
      </c>
      <c r="R3368">
        <v>-0.61903069999999905</v>
      </c>
      <c r="S3368">
        <v>-1.5685119999999999</v>
      </c>
      <c r="T3368">
        <v>-0.35260180000000002</v>
      </c>
      <c r="U3368">
        <v>-2.8336790000000001</v>
      </c>
      <c r="V3368">
        <v>-0.44845659999999998</v>
      </c>
      <c r="W3368">
        <v>-6.3860910000000007E-2</v>
      </c>
      <c r="X3368">
        <v>0.89152030000000004</v>
      </c>
      <c r="Y3368">
        <v>-0.75618909999999995</v>
      </c>
      <c r="Z3368">
        <v>-2.885532E-2</v>
      </c>
      <c r="AA3368">
        <v>0.65371659999999998</v>
      </c>
      <c r="AB3368">
        <v>10</v>
      </c>
      <c r="AC3368">
        <v>-4.9283000000000303</v>
      </c>
      <c r="AD3368">
        <v>-1.12143753770899</v>
      </c>
      <c r="AE3368">
        <v>-8.9966000000000008</v>
      </c>
      <c r="AF3368">
        <v>-7.7273220919681904</v>
      </c>
      <c r="AG3368">
        <v>-1.12143753770899</v>
      </c>
      <c r="AH3368">
        <v>6.5608372150166501</v>
      </c>
      <c r="AI3368">
        <v>96.312937596059996</v>
      </c>
      <c r="AJ3368">
        <v>139.66727474512601</v>
      </c>
      <c r="AK3368">
        <v>10.198711380657301</v>
      </c>
      <c r="AL3368">
        <v>93.661452230061997</v>
      </c>
      <c r="AM3368">
        <v>116.70351866329401</v>
      </c>
      <c r="AN3368">
        <v>0.99999999161083897</v>
      </c>
    </row>
    <row r="3369" spans="1:40" x14ac:dyDescent="0.25">
      <c r="A3369" t="str">
        <f>"20190303153835935"</f>
        <v>20190303153835935</v>
      </c>
      <c r="B3369" t="str">
        <f>"1551598715931915"</f>
        <v>1551598715931915</v>
      </c>
      <c r="C3369" t="s">
        <v>40</v>
      </c>
      <c r="D3369">
        <v>4.2852769999999998</v>
      </c>
      <c r="E3369">
        <v>0.34126879999999998</v>
      </c>
      <c r="F3369" t="s">
        <v>51</v>
      </c>
      <c r="G3369">
        <v>-487.49619999999999</v>
      </c>
      <c r="H3369" s="1">
        <v>1.441742E-6</v>
      </c>
      <c r="I3369">
        <v>274.31240000000003</v>
      </c>
      <c r="J3369">
        <v>-482.60570000000001</v>
      </c>
      <c r="K3369">
        <v>1.1214299999999999</v>
      </c>
      <c r="L3369">
        <v>283.35629999999998</v>
      </c>
      <c r="M3369">
        <v>-0.97874620000000001</v>
      </c>
      <c r="N3369">
        <v>-2.6784930000000001E-3</v>
      </c>
      <c r="O3369">
        <v>-0.2050584</v>
      </c>
      <c r="P3369">
        <v>-0.77974009999999905</v>
      </c>
      <c r="Q3369">
        <v>-6.3936499999999993E-2</v>
      </c>
      <c r="R3369">
        <v>-0.62283049999999995</v>
      </c>
      <c r="S3369">
        <v>-1.5559689999999999</v>
      </c>
      <c r="T3369">
        <v>-0.35167480000000001</v>
      </c>
      <c r="U3369">
        <v>-2.8421020000000001</v>
      </c>
      <c r="V3369">
        <v>-0.44944669999999998</v>
      </c>
      <c r="W3369">
        <v>-6.3389029999999999E-2</v>
      </c>
      <c r="X3369">
        <v>0.89105519999999905</v>
      </c>
      <c r="Y3369">
        <v>-0.75685259999999999</v>
      </c>
      <c r="Z3369">
        <v>-2.8091729999999999E-2</v>
      </c>
      <c r="AA3369">
        <v>0.652981699999999</v>
      </c>
      <c r="AB3369">
        <v>10</v>
      </c>
      <c r="AC3369">
        <v>-4.8904999999999701</v>
      </c>
      <c r="AD3369">
        <v>-1.1214285582579999</v>
      </c>
      <c r="AE3369">
        <v>-9.0438999999999492</v>
      </c>
      <c r="AF3369">
        <v>-7.7565930764565003</v>
      </c>
      <c r="AG3369">
        <v>-1.1214285582579999</v>
      </c>
      <c r="AH3369">
        <v>6.5630297980304304</v>
      </c>
      <c r="AI3369">
        <v>96.298251914611299</v>
      </c>
      <c r="AJ3369">
        <v>139.76468028114101</v>
      </c>
      <c r="AK3369">
        <v>10.2223137446883</v>
      </c>
      <c r="AL3369">
        <v>93.634360803681204</v>
      </c>
      <c r="AM3369">
        <v>116.766298069721</v>
      </c>
      <c r="AN3369">
        <v>0.99999993735613302</v>
      </c>
    </row>
    <row r="3370" spans="1:40" x14ac:dyDescent="0.25">
      <c r="A3370" t="str">
        <f>"20190303153835948"</f>
        <v>20190303153835948</v>
      </c>
      <c r="B3370" t="str">
        <f>"1551598715941674"</f>
        <v>1551598715941674</v>
      </c>
      <c r="C3370" t="s">
        <v>40</v>
      </c>
      <c r="D3370">
        <v>4.2789339999999996</v>
      </c>
      <c r="E3370">
        <v>0.341306099999999</v>
      </c>
      <c r="F3370" t="s">
        <v>51</v>
      </c>
      <c r="G3370">
        <v>-487.5951</v>
      </c>
      <c r="H3370" s="1">
        <v>1.3869110000000001E-6</v>
      </c>
      <c r="I3370">
        <v>274.13249999999999</v>
      </c>
      <c r="J3370">
        <v>-482.66590000000002</v>
      </c>
      <c r="K3370">
        <v>1.121424</v>
      </c>
      <c r="L3370">
        <v>283.33999999999997</v>
      </c>
      <c r="M3370">
        <v>-0.97809950000000001</v>
      </c>
      <c r="N3370">
        <v>-2.3018019999999999E-3</v>
      </c>
      <c r="O3370">
        <v>-0.2081258</v>
      </c>
      <c r="P3370">
        <v>-0.77759979999999995</v>
      </c>
      <c r="Q3370">
        <v>-6.3139329999999994E-2</v>
      </c>
      <c r="R3370">
        <v>-0.62558139999999995</v>
      </c>
      <c r="S3370">
        <v>-1.541992</v>
      </c>
      <c r="T3370">
        <v>-0.34657719999999997</v>
      </c>
      <c r="U3370">
        <v>-2.850616</v>
      </c>
      <c r="V3370">
        <v>-0.44978839999999998</v>
      </c>
      <c r="W3370">
        <v>-6.2939620000000002E-2</v>
      </c>
      <c r="X3370">
        <v>0.89091469999999995</v>
      </c>
      <c r="Y3370">
        <v>-0.75821910000000003</v>
      </c>
      <c r="Z3370">
        <v>-2.7239449999999998E-2</v>
      </c>
      <c r="AA3370">
        <v>0.65143070000000003</v>
      </c>
      <c r="AB3370">
        <v>10</v>
      </c>
      <c r="AC3370">
        <v>-4.9291999999999803</v>
      </c>
      <c r="AD3370">
        <v>-1.1214226130889999</v>
      </c>
      <c r="AE3370">
        <v>-9.20749999999998</v>
      </c>
      <c r="AF3370">
        <v>-7.8890204643447097</v>
      </c>
      <c r="AG3370">
        <v>-1.1214226130889999</v>
      </c>
      <c r="AH3370">
        <v>6.6607872534449202</v>
      </c>
      <c r="AI3370">
        <v>96.198814765530997</v>
      </c>
      <c r="AJ3370">
        <v>139.82522744226401</v>
      </c>
      <c r="AK3370">
        <v>10.385582285055101</v>
      </c>
      <c r="AL3370">
        <v>93.608559752790896</v>
      </c>
      <c r="AM3370">
        <v>116.787445567042</v>
      </c>
      <c r="AN3370">
        <v>1.00000000160819</v>
      </c>
    </row>
    <row r="3371" spans="1:40" x14ac:dyDescent="0.25">
      <c r="A3371" t="str">
        <f>"20190303153835962"</f>
        <v>20190303153835962</v>
      </c>
      <c r="B3371" t="str">
        <f>"1551598715952410"</f>
        <v>1551598715952410</v>
      </c>
      <c r="C3371" t="s">
        <v>40</v>
      </c>
      <c r="D3371">
        <v>4.2443989999999996</v>
      </c>
      <c r="E3371">
        <v>0.34143570000000001</v>
      </c>
      <c r="F3371" t="s">
        <v>51</v>
      </c>
      <c r="G3371">
        <v>-487.65280000000001</v>
      </c>
      <c r="H3371" s="1">
        <v>1.3602459999999999E-6</v>
      </c>
      <c r="I3371">
        <v>274.04259999999999</v>
      </c>
      <c r="J3371">
        <v>-482.7244</v>
      </c>
      <c r="K3371">
        <v>1.121421</v>
      </c>
      <c r="L3371">
        <v>283.32389999999998</v>
      </c>
      <c r="M3371">
        <v>-0.97746520000000003</v>
      </c>
      <c r="N3371">
        <v>-1.9819379999999999E-3</v>
      </c>
      <c r="O3371">
        <v>-0.21108769999999999</v>
      </c>
      <c r="P3371">
        <v>-0.77553109999999903</v>
      </c>
      <c r="Q3371">
        <v>-6.2419759999999998E-2</v>
      </c>
      <c r="R3371">
        <v>-0.628216</v>
      </c>
      <c r="S3371">
        <v>-1.5321039999999999</v>
      </c>
      <c r="T3371">
        <v>-0.34453240000000002</v>
      </c>
      <c r="U3371">
        <v>-2.8564150000000001</v>
      </c>
      <c r="V3371">
        <v>-0.45010070000000002</v>
      </c>
      <c r="W3371">
        <v>-6.2514249999999993E-2</v>
      </c>
      <c r="X3371">
        <v>0.89078690000000005</v>
      </c>
      <c r="Y3371">
        <v>-0.75861880000000004</v>
      </c>
      <c r="Z3371">
        <v>-2.6572490000000001E-2</v>
      </c>
      <c r="AA3371">
        <v>0.65099259999999903</v>
      </c>
      <c r="AB3371">
        <v>10</v>
      </c>
      <c r="AC3371">
        <v>-4.9284000000000097</v>
      </c>
      <c r="AD3371">
        <v>-1.1214196397539999</v>
      </c>
      <c r="AE3371">
        <v>-9.2812999999999803</v>
      </c>
      <c r="AF3371">
        <v>-7.9414025552250997</v>
      </c>
      <c r="AG3371">
        <v>-1.1214196397539999</v>
      </c>
      <c r="AH3371">
        <v>6.7002192547845096</v>
      </c>
      <c r="AI3371">
        <v>96.160044754622305</v>
      </c>
      <c r="AJ3371">
        <v>139.84542974929701</v>
      </c>
      <c r="AK3371">
        <v>10.4506647929568</v>
      </c>
      <c r="AL3371">
        <v>93.584139811839506</v>
      </c>
      <c r="AM3371">
        <v>116.80675663923</v>
      </c>
      <c r="AN3371">
        <v>0.99999998640258103</v>
      </c>
    </row>
    <row r="3372" spans="1:40" x14ac:dyDescent="0.25">
      <c r="A3372" t="str">
        <f>"20190303153835977"</f>
        <v>20190303153835977</v>
      </c>
      <c r="B3372" t="str">
        <f>"1551598715971934"</f>
        <v>1551598715971934</v>
      </c>
      <c r="C3372" t="s">
        <v>40</v>
      </c>
      <c r="D3372">
        <v>4.2542299999999997</v>
      </c>
      <c r="E3372">
        <v>0.34166839999999998</v>
      </c>
      <c r="F3372" t="s">
        <v>51</v>
      </c>
      <c r="G3372">
        <v>-487.7097</v>
      </c>
      <c r="H3372" s="1">
        <v>1.336428E-6</v>
      </c>
      <c r="I3372">
        <v>273.96089999999998</v>
      </c>
      <c r="J3372">
        <v>-482.79719999999998</v>
      </c>
      <c r="K3372">
        <v>1.121413</v>
      </c>
      <c r="L3372">
        <v>283.30360000000002</v>
      </c>
      <c r="M3372">
        <v>-0.97666169999999997</v>
      </c>
      <c r="N3372">
        <v>-1.6104839999999999E-3</v>
      </c>
      <c r="O3372">
        <v>-0.2147773</v>
      </c>
      <c r="P3372">
        <v>-0.77290459999999905</v>
      </c>
      <c r="Q3372">
        <v>-6.1811690000000002E-2</v>
      </c>
      <c r="R3372">
        <v>-0.63150450000000002</v>
      </c>
      <c r="S3372">
        <v>-1.523315</v>
      </c>
      <c r="T3372">
        <v>-0.34265909999999999</v>
      </c>
      <c r="U3372">
        <v>-2.8609309999999999</v>
      </c>
      <c r="V3372">
        <v>-0.45050960000000001</v>
      </c>
      <c r="W3372">
        <v>-6.2250479999999997E-2</v>
      </c>
      <c r="X3372">
        <v>0.89059869999999997</v>
      </c>
      <c r="Y3372">
        <v>-0.75822619999999996</v>
      </c>
      <c r="Z3372">
        <v>-2.5728399999999998E-2</v>
      </c>
      <c r="AA3372">
        <v>0.65148379999999995</v>
      </c>
      <c r="AB3372">
        <v>11</v>
      </c>
      <c r="AC3372">
        <v>-4.9125000000000201</v>
      </c>
      <c r="AD3372">
        <v>-1.121411663572</v>
      </c>
      <c r="AE3372">
        <v>-9.3427000000000309</v>
      </c>
      <c r="AF3372">
        <v>-7.9795110121429502</v>
      </c>
      <c r="AG3372">
        <v>-1.121411663572</v>
      </c>
      <c r="AH3372">
        <v>6.7285158211551597</v>
      </c>
      <c r="AI3372">
        <v>96.132256077789407</v>
      </c>
      <c r="AJ3372">
        <v>139.86160691692601</v>
      </c>
      <c r="AK3372">
        <v>10.4977657274127</v>
      </c>
      <c r="AL3372">
        <v>93.568997244103997</v>
      </c>
      <c r="AM3372">
        <v>116.832580172345</v>
      </c>
      <c r="AN3372">
        <v>1.00000003319703</v>
      </c>
    </row>
    <row r="3373" spans="1:40" x14ac:dyDescent="0.25">
      <c r="A3373" t="str">
        <f>"20190303153835992"</f>
        <v>20190303153835992</v>
      </c>
      <c r="B3373" t="str">
        <f>"1551598715981693"</f>
        <v>1551598715981693</v>
      </c>
      <c r="C3373" t="s">
        <v>40</v>
      </c>
      <c r="D3373">
        <v>4.2051740000000004</v>
      </c>
      <c r="E3373">
        <v>0.34165000000000001</v>
      </c>
      <c r="F3373" t="s">
        <v>51</v>
      </c>
      <c r="G3373">
        <v>-487.7577</v>
      </c>
      <c r="H3373" s="1">
        <v>1.3211379999999999E-6</v>
      </c>
      <c r="I3373">
        <v>273.90570000000002</v>
      </c>
      <c r="J3373">
        <v>-482.8657</v>
      </c>
      <c r="K3373">
        <v>1.12141</v>
      </c>
      <c r="L3373">
        <v>283.28449999999998</v>
      </c>
      <c r="M3373">
        <v>-0.97589139999999996</v>
      </c>
      <c r="N3373">
        <v>-1.289564E-3</v>
      </c>
      <c r="O3373">
        <v>-0.21825320000000001</v>
      </c>
      <c r="P3373">
        <v>-0.77033669999999899</v>
      </c>
      <c r="Q3373">
        <v>-6.0786809999999997E-2</v>
      </c>
      <c r="R3373">
        <v>-0.63473329999999994</v>
      </c>
      <c r="S3373">
        <v>-1.512634</v>
      </c>
      <c r="T3373">
        <v>-0.3419585</v>
      </c>
      <c r="U3373">
        <v>-2.8657840000000001</v>
      </c>
      <c r="V3373">
        <v>-0.45104870000000002</v>
      </c>
      <c r="W3373">
        <v>-6.1528409999999999E-2</v>
      </c>
      <c r="X3373">
        <v>0.8903759</v>
      </c>
      <c r="Y3373">
        <v>-0.75831190000000004</v>
      </c>
      <c r="Z3373">
        <v>-2.5078139999999999E-2</v>
      </c>
      <c r="AA3373">
        <v>0.65140940000000003</v>
      </c>
      <c r="AB3373">
        <v>11</v>
      </c>
      <c r="AC3373">
        <v>-4.8919999999999897</v>
      </c>
      <c r="AD3373">
        <v>-1.1214086788619999</v>
      </c>
      <c r="AE3373">
        <v>-9.3787999999999503</v>
      </c>
      <c r="AF3373">
        <v>-7.99514531476086</v>
      </c>
      <c r="AG3373">
        <v>-1.1214086788619999</v>
      </c>
      <c r="AH3373">
        <v>6.7452104487290496</v>
      </c>
      <c r="AI3373">
        <v>96.1190249798031</v>
      </c>
      <c r="AJ3373">
        <v>139.846903216774</v>
      </c>
      <c r="AK3373">
        <v>10.520350280613901</v>
      </c>
      <c r="AL3373">
        <v>93.527546481412301</v>
      </c>
      <c r="AM3373">
        <v>116.865967994964</v>
      </c>
      <c r="AN3373">
        <v>0.99999995915481299</v>
      </c>
    </row>
    <row r="3374" spans="1:40" x14ac:dyDescent="0.25">
      <c r="A3374" t="str">
        <f>"20190303153836006"</f>
        <v>20190303153836006</v>
      </c>
      <c r="B3374" t="str">
        <f>"1551598716002189"</f>
        <v>1551598716002189</v>
      </c>
      <c r="C3374" t="s">
        <v>40</v>
      </c>
      <c r="D3374">
        <v>4.2403380000000004</v>
      </c>
      <c r="E3374">
        <v>0.34181080000000003</v>
      </c>
      <c r="F3374" t="s">
        <v>51</v>
      </c>
      <c r="G3374">
        <v>-487.8202</v>
      </c>
      <c r="H3374" s="1">
        <v>1.29119E-6</v>
      </c>
      <c r="I3374">
        <v>273.80520000000001</v>
      </c>
      <c r="J3374">
        <v>-482.93389999999999</v>
      </c>
      <c r="K3374">
        <v>1.1214150000000001</v>
      </c>
      <c r="L3374">
        <v>283.26499999999999</v>
      </c>
      <c r="M3374">
        <v>-0.97510739999999996</v>
      </c>
      <c r="N3374">
        <v>-1.0000370000000001E-3</v>
      </c>
      <c r="O3374">
        <v>-0.22173080000000001</v>
      </c>
      <c r="P3374">
        <v>-0.76774039999999999</v>
      </c>
      <c r="Q3374">
        <v>-5.981525E-2</v>
      </c>
      <c r="R3374">
        <v>-0.63796280000000005</v>
      </c>
      <c r="S3374">
        <v>-1.50116</v>
      </c>
      <c r="T3374">
        <v>-0.33977170000000001</v>
      </c>
      <c r="U3374">
        <v>-2.8720699999999999</v>
      </c>
      <c r="V3374">
        <v>-0.45159719999999998</v>
      </c>
      <c r="W3374">
        <v>-6.0839480000000001E-2</v>
      </c>
      <c r="X3374">
        <v>0.89014519999999997</v>
      </c>
      <c r="Y3374">
        <v>-0.75869149999999996</v>
      </c>
      <c r="Z3374">
        <v>-2.436553E-2</v>
      </c>
      <c r="AA3374">
        <v>0.65099439999999997</v>
      </c>
      <c r="AB3374">
        <v>11</v>
      </c>
      <c r="AC3374">
        <v>-4.8863000000000003</v>
      </c>
      <c r="AD3374">
        <v>-1.12141370881</v>
      </c>
      <c r="AE3374">
        <v>-9.4597999999999693</v>
      </c>
      <c r="AF3374">
        <v>-8.0515641338407899</v>
      </c>
      <c r="AG3374">
        <v>-1.12141370881</v>
      </c>
      <c r="AH3374">
        <v>6.7869110952477998</v>
      </c>
      <c r="AI3374">
        <v>96.0786743577941</v>
      </c>
      <c r="AJ3374">
        <v>139.871430375735</v>
      </c>
      <c r="AK3374">
        <v>10.589967701672</v>
      </c>
      <c r="AL3374">
        <v>93.487999550711393</v>
      </c>
      <c r="AM3374">
        <v>116.90003917862801</v>
      </c>
      <c r="AN3374">
        <v>0.99999997522877404</v>
      </c>
    </row>
    <row r="3375" spans="1:40" x14ac:dyDescent="0.25">
      <c r="A3375" t="str">
        <f>"20190303153836019"</f>
        <v>20190303153836019</v>
      </c>
      <c r="B3375" t="str">
        <f>"1551598716011949"</f>
        <v>1551598716011949</v>
      </c>
      <c r="C3375" t="s">
        <v>40</v>
      </c>
      <c r="D3375">
        <v>4.2111359999999998</v>
      </c>
      <c r="E3375">
        <v>0.34190779999999998</v>
      </c>
      <c r="F3375" t="s">
        <v>51</v>
      </c>
      <c r="G3375">
        <v>-487.88490000000002</v>
      </c>
      <c r="H3375" s="1">
        <v>1.261772E-6</v>
      </c>
      <c r="I3375">
        <v>273.70580000000001</v>
      </c>
      <c r="J3375">
        <v>-482.99849999999998</v>
      </c>
      <c r="K3375">
        <v>1.121426</v>
      </c>
      <c r="L3375">
        <v>283.24650000000003</v>
      </c>
      <c r="M3375">
        <v>-0.97435079999999996</v>
      </c>
      <c r="N3375">
        <v>-7.5192970000000005E-4</v>
      </c>
      <c r="O3375">
        <v>-0.22503329999999999</v>
      </c>
      <c r="P3375">
        <v>-0.76554089999999997</v>
      </c>
      <c r="Q3375">
        <v>-5.9862970000000001E-2</v>
      </c>
      <c r="R3375">
        <v>-0.64059630000000001</v>
      </c>
      <c r="S3375">
        <v>-1.4902949999999999</v>
      </c>
      <c r="T3375">
        <v>-0.33755449999999998</v>
      </c>
      <c r="U3375">
        <v>-2.8774109999999999</v>
      </c>
      <c r="V3375">
        <v>-0.45163429999999999</v>
      </c>
      <c r="W3375">
        <v>-6.1139300000000001E-2</v>
      </c>
      <c r="X3375">
        <v>0.89010579999999995</v>
      </c>
      <c r="Y3375">
        <v>-0.75898509999999997</v>
      </c>
      <c r="Z3375">
        <v>-2.3696490000000001E-2</v>
      </c>
      <c r="AA3375">
        <v>0.6506767</v>
      </c>
      <c r="AB3375">
        <v>11</v>
      </c>
      <c r="AC3375">
        <v>-4.8864000000000303</v>
      </c>
      <c r="AD3375">
        <v>-1.121424738228</v>
      </c>
      <c r="AE3375">
        <v>-9.54070000000001</v>
      </c>
      <c r="AF3375">
        <v>-8.1076504327338093</v>
      </c>
      <c r="AG3375">
        <v>-1.121424738228</v>
      </c>
      <c r="AH3375">
        <v>6.8332552565425804</v>
      </c>
      <c r="AI3375">
        <v>96.037334160962601</v>
      </c>
      <c r="AJ3375">
        <v>139.875283965298</v>
      </c>
      <c r="AK3375">
        <v>10.6623152450105</v>
      </c>
      <c r="AL3375">
        <v>93.505210116415995</v>
      </c>
      <c r="AM3375">
        <v>116.902961667494</v>
      </c>
      <c r="AN3375">
        <v>0.99999994506730805</v>
      </c>
    </row>
    <row r="3376" spans="1:40" x14ac:dyDescent="0.25">
      <c r="A3376" t="str">
        <f>"20190303153836034"</f>
        <v>20190303153836034</v>
      </c>
      <c r="B3376" t="str">
        <f>"1551598716031470"</f>
        <v>1551598716031470</v>
      </c>
      <c r="C3376" t="s">
        <v>40</v>
      </c>
      <c r="D3376">
        <v>4.1812339999999999</v>
      </c>
      <c r="E3376">
        <v>0.34199259999999998</v>
      </c>
      <c r="F3376" t="s">
        <v>51</v>
      </c>
      <c r="G3376">
        <v>-487.9264</v>
      </c>
      <c r="H3376" s="1">
        <v>1.247366E-6</v>
      </c>
      <c r="I3376">
        <v>273.65460000000002</v>
      </c>
      <c r="J3376">
        <v>-483.06650000000002</v>
      </c>
      <c r="K3376">
        <v>1.1214409999999999</v>
      </c>
      <c r="L3376">
        <v>283.22669999999999</v>
      </c>
      <c r="M3376">
        <v>-0.97353909999999999</v>
      </c>
      <c r="N3376">
        <v>-5.0756199999999895E-4</v>
      </c>
      <c r="O3376">
        <v>-0.22852040000000001</v>
      </c>
      <c r="P3376">
        <v>-0.76328439999999997</v>
      </c>
      <c r="Q3376">
        <v>-5.994737E-2</v>
      </c>
      <c r="R3376">
        <v>-0.64327559999999995</v>
      </c>
      <c r="S3376">
        <v>-1.4807129999999999</v>
      </c>
      <c r="T3376">
        <v>-0.33696479999999901</v>
      </c>
      <c r="U3376">
        <v>-2.8821409999999998</v>
      </c>
      <c r="V3376">
        <v>-0.45156230000000003</v>
      </c>
      <c r="W3376">
        <v>-6.1480939999999998E-2</v>
      </c>
      <c r="X3376">
        <v>0.89011879999999999</v>
      </c>
      <c r="Y3376">
        <v>-0.75884719999999894</v>
      </c>
      <c r="Z3376">
        <v>-2.3079550000000001E-2</v>
      </c>
      <c r="AA3376">
        <v>0.65085959999999998</v>
      </c>
      <c r="AB3376">
        <v>11</v>
      </c>
      <c r="AC3376">
        <v>-4.8598999999999801</v>
      </c>
      <c r="AD3376">
        <v>-1.1214397526340001</v>
      </c>
      <c r="AE3376">
        <v>-9.5720999999999705</v>
      </c>
      <c r="AF3376">
        <v>-8.1196200579812192</v>
      </c>
      <c r="AG3376">
        <v>-1.1214397526340001</v>
      </c>
      <c r="AH3376">
        <v>6.8440356396161999</v>
      </c>
      <c r="AI3376">
        <v>96.028328480545596</v>
      </c>
      <c r="AJ3376">
        <v>139.872428249834</v>
      </c>
      <c r="AK3376">
        <v>10.678327623794599</v>
      </c>
      <c r="AL3376">
        <v>93.524821533032195</v>
      </c>
      <c r="AM3376">
        <v>116.898938195368</v>
      </c>
      <c r="AN3376">
        <v>0.999999947439005</v>
      </c>
    </row>
    <row r="3377" spans="1:40" x14ac:dyDescent="0.25">
      <c r="A3377" t="str">
        <f>"20190303153836049"</f>
        <v>20190303153836049</v>
      </c>
      <c r="B3377" t="str">
        <f>"1551598716042206"</f>
        <v>1551598716042206</v>
      </c>
      <c r="C3377" t="s">
        <v>40</v>
      </c>
      <c r="D3377">
        <v>4.1763320000000004</v>
      </c>
      <c r="E3377">
        <v>0.3419682</v>
      </c>
      <c r="F3377" t="s">
        <v>51</v>
      </c>
      <c r="G3377">
        <v>-487.97059999999999</v>
      </c>
      <c r="H3377" s="1">
        <v>1.2329000000000001E-6</v>
      </c>
      <c r="I3377">
        <v>273.6026</v>
      </c>
      <c r="J3377">
        <v>-483.14030000000002</v>
      </c>
      <c r="K3377">
        <v>1.121456</v>
      </c>
      <c r="L3377">
        <v>283.20499999999998</v>
      </c>
      <c r="M3377">
        <v>-0.97263840000000001</v>
      </c>
      <c r="N3377">
        <v>-2.6349819999999999E-4</v>
      </c>
      <c r="O3377">
        <v>-0.2323248</v>
      </c>
      <c r="P3377">
        <v>-0.76142880000000002</v>
      </c>
      <c r="Q3377">
        <v>-6.1254320000000001E-2</v>
      </c>
      <c r="R3377">
        <v>-0.64534840000000004</v>
      </c>
      <c r="S3377">
        <v>-1.4710080000000001</v>
      </c>
      <c r="T3377">
        <v>-0.3363835</v>
      </c>
      <c r="U3377">
        <v>-2.8868100000000001</v>
      </c>
      <c r="V3377">
        <v>-0.45051150000000001</v>
      </c>
      <c r="W3377">
        <v>-6.305405E-2</v>
      </c>
      <c r="X3377">
        <v>0.89054120000000003</v>
      </c>
      <c r="Y3377">
        <v>-0.75851459999999904</v>
      </c>
      <c r="Z3377">
        <v>-2.2408440000000002E-2</v>
      </c>
      <c r="AA3377">
        <v>0.65127069999999998</v>
      </c>
      <c r="AB3377">
        <v>11</v>
      </c>
      <c r="AC3377">
        <v>-4.8302999999999603</v>
      </c>
      <c r="AD3377">
        <v>-1.1214547670999999</v>
      </c>
      <c r="AE3377">
        <v>-9.6023999999999798</v>
      </c>
      <c r="AF3377">
        <v>-8.1289772881106792</v>
      </c>
      <c r="AG3377">
        <v>-1.1214547670999999</v>
      </c>
      <c r="AH3377">
        <v>6.8543980306907901</v>
      </c>
      <c r="AI3377">
        <v>96.020623499661596</v>
      </c>
      <c r="AJ3377">
        <v>139.86223040160999</v>
      </c>
      <c r="AK3377">
        <v>10.692086087775699</v>
      </c>
      <c r="AL3377">
        <v>93.615129066000307</v>
      </c>
      <c r="AM3377">
        <v>116.834167563018</v>
      </c>
      <c r="AN3377">
        <v>1.00000002687554</v>
      </c>
    </row>
    <row r="3378" spans="1:40" x14ac:dyDescent="0.25">
      <c r="A3378" t="str">
        <f>"20190303153836070"</f>
        <v>20190303153836070</v>
      </c>
      <c r="B3378" t="str">
        <f>"1551598716061726"</f>
        <v>1551598716061726</v>
      </c>
      <c r="C3378" t="s">
        <v>40</v>
      </c>
      <c r="D3378">
        <v>4.1965219999999999</v>
      </c>
      <c r="E3378">
        <v>0.34200079999999999</v>
      </c>
      <c r="F3378" t="s">
        <v>51</v>
      </c>
      <c r="G3378">
        <v>-487.97609999999997</v>
      </c>
      <c r="H3378" s="1">
        <v>1.248269E-6</v>
      </c>
      <c r="I3378">
        <v>273.6447</v>
      </c>
      <c r="J3378">
        <v>-483.24419999999998</v>
      </c>
      <c r="K3378">
        <v>1.121507</v>
      </c>
      <c r="L3378">
        <v>283.17399999999998</v>
      </c>
      <c r="M3378">
        <v>-0.97133559999999997</v>
      </c>
      <c r="N3378" s="1">
        <v>4.1603339999999998E-5</v>
      </c>
      <c r="O3378">
        <v>-0.23771320000000001</v>
      </c>
      <c r="P3378">
        <v>-0.75853059999999894</v>
      </c>
      <c r="Q3378">
        <v>-6.3440449999999995E-2</v>
      </c>
      <c r="R3378">
        <v>-0.64854250000000002</v>
      </c>
      <c r="S3378">
        <v>-1.462372</v>
      </c>
      <c r="T3378">
        <v>-0.3391361</v>
      </c>
      <c r="U3378">
        <v>-2.8911129999999998</v>
      </c>
      <c r="V3378">
        <v>-0.44933440000000002</v>
      </c>
      <c r="W3378">
        <v>-6.5600919999999993E-2</v>
      </c>
      <c r="X3378">
        <v>0.89095179999999996</v>
      </c>
      <c r="Y3378">
        <v>-0.75686379999999998</v>
      </c>
      <c r="Z3378">
        <v>-2.1600210000000002E-2</v>
      </c>
      <c r="AA3378">
        <v>0.65321560000000001</v>
      </c>
      <c r="AB3378">
        <v>11</v>
      </c>
      <c r="AC3378">
        <v>-4.7318999999999898</v>
      </c>
      <c r="AD3378">
        <v>-1.1215057517309901</v>
      </c>
      <c r="AE3378">
        <v>-9.5293000000000294</v>
      </c>
      <c r="AF3378">
        <v>-8.0419554532597104</v>
      </c>
      <c r="AG3378">
        <v>-1.1215057517309901</v>
      </c>
      <c r="AH3378">
        <v>6.7860999101741504</v>
      </c>
      <c r="AI3378">
        <v>96.083681106256194</v>
      </c>
      <c r="AJ3378">
        <v>139.84108726941199</v>
      </c>
      <c r="AK3378">
        <v>10.582153592452</v>
      </c>
      <c r="AL3378">
        <v>93.761356978122393</v>
      </c>
      <c r="AM3378">
        <v>116.76321460361601</v>
      </c>
      <c r="AN3378">
        <v>0.99999999682572305</v>
      </c>
    </row>
    <row r="3379" spans="1:40" x14ac:dyDescent="0.25">
      <c r="A3379" t="str">
        <f>"20190303153836091"</f>
        <v>20190303153836091</v>
      </c>
      <c r="B3379" t="str">
        <f>"1551598716082222"</f>
        <v>1551598716082222</v>
      </c>
      <c r="C3379" t="s">
        <v>40</v>
      </c>
      <c r="D3379">
        <v>4.2976580000000002</v>
      </c>
      <c r="E3379">
        <v>0.34225509999999998</v>
      </c>
      <c r="F3379" t="s">
        <v>51</v>
      </c>
      <c r="G3379">
        <v>-487.96910000000003</v>
      </c>
      <c r="H3379" s="1">
        <v>1.2783469999999999E-6</v>
      </c>
      <c r="I3379">
        <v>273.73160000000001</v>
      </c>
      <c r="J3379">
        <v>-483.35660000000001</v>
      </c>
      <c r="K3379">
        <v>1.1215869999999999</v>
      </c>
      <c r="L3379">
        <v>283.13959999999997</v>
      </c>
      <c r="M3379">
        <v>-0.96988050000000003</v>
      </c>
      <c r="N3379">
        <v>3.2970120000000002E-4</v>
      </c>
      <c r="O3379">
        <v>-0.24358109999999999</v>
      </c>
      <c r="P3379">
        <v>-0.75535869999999905</v>
      </c>
      <c r="Q3379">
        <v>-6.3888860000000006E-2</v>
      </c>
      <c r="R3379">
        <v>-0.65218989999999999</v>
      </c>
      <c r="S3379">
        <v>-1.4494929999999999</v>
      </c>
      <c r="T3379">
        <v>-0.3440589</v>
      </c>
      <c r="U3379">
        <v>-2.8967589999999999</v>
      </c>
      <c r="V3379">
        <v>-0.4482294</v>
      </c>
      <c r="W3379">
        <v>-6.6420499999999993E-2</v>
      </c>
      <c r="X3379">
        <v>0.89144749999999995</v>
      </c>
      <c r="Y3379">
        <v>-0.75573179999999995</v>
      </c>
      <c r="Z3379">
        <v>-2.0918280000000001E-2</v>
      </c>
      <c r="AA3379">
        <v>0.65454709999999905</v>
      </c>
      <c r="AB3379">
        <v>12</v>
      </c>
      <c r="AC3379">
        <v>-4.6125000000000096</v>
      </c>
      <c r="AD3379">
        <v>-1.1215857216529901</v>
      </c>
      <c r="AE3379">
        <v>-9.4079999999999604</v>
      </c>
      <c r="AF3379">
        <v>-7.9104776945852899</v>
      </c>
      <c r="AG3379">
        <v>-1.1215857216529901</v>
      </c>
      <c r="AH3379">
        <v>6.6885457700289397</v>
      </c>
      <c r="AI3379">
        <v>96.179337568858799</v>
      </c>
      <c r="AJ3379">
        <v>139.78447991648699</v>
      </c>
      <c r="AK3379">
        <v>10.4197051976204</v>
      </c>
      <c r="AL3379">
        <v>93.808418233451604</v>
      </c>
      <c r="AM3379">
        <v>116.693742278763</v>
      </c>
      <c r="AN3379">
        <v>0.99999996155042903</v>
      </c>
    </row>
    <row r="3380" spans="1:40" x14ac:dyDescent="0.25">
      <c r="A3380" t="str">
        <f>"20190303153836103"</f>
        <v>20190303153836103</v>
      </c>
      <c r="B3380" t="str">
        <f>"1551598716091983"</f>
        <v>1551598716091983</v>
      </c>
      <c r="C3380" t="s">
        <v>40</v>
      </c>
      <c r="D3380">
        <v>4.180758</v>
      </c>
      <c r="E3380">
        <v>0.34240730000000003</v>
      </c>
      <c r="F3380" t="s">
        <v>51</v>
      </c>
      <c r="G3380">
        <v>-488.04820000000001</v>
      </c>
      <c r="H3380" s="1">
        <v>1.261734E-6</v>
      </c>
      <c r="I3380">
        <v>273.66469999999998</v>
      </c>
      <c r="J3380">
        <v>-483.4221</v>
      </c>
      <c r="K3380">
        <v>1.121642</v>
      </c>
      <c r="L3380">
        <v>283.11930000000001</v>
      </c>
      <c r="M3380">
        <v>-0.96901199999999998</v>
      </c>
      <c r="N3380">
        <v>4.8076249999999998E-4</v>
      </c>
      <c r="O3380">
        <v>-0.24701329999999999</v>
      </c>
      <c r="P3380">
        <v>-0.75343780000000005</v>
      </c>
      <c r="Q3380">
        <v>-6.3401940000000004E-2</v>
      </c>
      <c r="R3380">
        <v>-0.65445520000000001</v>
      </c>
      <c r="S3380">
        <v>-1.4369510000000001</v>
      </c>
      <c r="T3380">
        <v>-0.34351730000000003</v>
      </c>
      <c r="U3380">
        <v>-2.9019469999999998</v>
      </c>
      <c r="V3380">
        <v>-0.44773089999999999</v>
      </c>
      <c r="W3380">
        <v>-6.6140009999999999E-2</v>
      </c>
      <c r="X3380">
        <v>0.89171889999999998</v>
      </c>
      <c r="Y3380">
        <v>-0.75618450000000004</v>
      </c>
      <c r="Z3380">
        <v>-2.0422590000000001E-2</v>
      </c>
      <c r="AA3380">
        <v>0.65403979999999995</v>
      </c>
      <c r="AB3380">
        <v>12</v>
      </c>
      <c r="AC3380">
        <v>-4.6261000000000001</v>
      </c>
      <c r="AD3380">
        <v>-1.1216407382660001</v>
      </c>
      <c r="AE3380">
        <v>-9.4546000000000205</v>
      </c>
      <c r="AF3380">
        <v>-7.92887702346576</v>
      </c>
      <c r="AG3380">
        <v>-1.1216407382660001</v>
      </c>
      <c r="AH3380">
        <v>6.7416047119408997</v>
      </c>
      <c r="AI3380">
        <v>96.151151589186199</v>
      </c>
      <c r="AJ3380">
        <v>139.62682562088</v>
      </c>
      <c r="AK3380">
        <v>10.4677792721782</v>
      </c>
      <c r="AL3380">
        <v>93.792311669508194</v>
      </c>
      <c r="AM3380">
        <v>116.661167697523</v>
      </c>
      <c r="AN3380">
        <v>1.0000000281774</v>
      </c>
    </row>
    <row r="3381" spans="1:40" x14ac:dyDescent="0.25">
      <c r="A3381" t="str">
        <f>"20190303153836116"</f>
        <v>20190303153836116</v>
      </c>
      <c r="B3381" t="str">
        <f>"1551598716111502"</f>
        <v>1551598716111502</v>
      </c>
      <c r="C3381" t="s">
        <v>40</v>
      </c>
      <c r="D3381">
        <v>4.1948179999999997</v>
      </c>
      <c r="E3381">
        <v>0.34270400000000001</v>
      </c>
      <c r="F3381" t="s">
        <v>51</v>
      </c>
      <c r="G3381">
        <v>-488.11619999999999</v>
      </c>
      <c r="H3381" s="1">
        <v>1.236197E-6</v>
      </c>
      <c r="I3381">
        <v>273.5754</v>
      </c>
      <c r="J3381">
        <v>-483.48540000000003</v>
      </c>
      <c r="K3381">
        <v>1.12169599999999</v>
      </c>
      <c r="L3381">
        <v>283.09930000000003</v>
      </c>
      <c r="M3381">
        <v>-0.9681573</v>
      </c>
      <c r="N3381">
        <v>6.1736739999999999E-4</v>
      </c>
      <c r="O3381">
        <v>-0.25034230000000002</v>
      </c>
      <c r="P3381">
        <v>-0.75153549999999902</v>
      </c>
      <c r="Q3381">
        <v>-6.2940339999999997E-2</v>
      </c>
      <c r="R3381">
        <v>-0.65668329999999997</v>
      </c>
      <c r="S3381">
        <v>-1.429138</v>
      </c>
      <c r="T3381">
        <v>-0.3414816</v>
      </c>
      <c r="U3381">
        <v>-2.9056090000000001</v>
      </c>
      <c r="V3381">
        <v>-0.44728820000000002</v>
      </c>
      <c r="W3381">
        <v>-6.5870639999999994E-2</v>
      </c>
      <c r="X3381">
        <v>0.891961</v>
      </c>
      <c r="Y3381">
        <v>-0.75574180000000002</v>
      </c>
      <c r="Z3381">
        <v>-1.977112E-2</v>
      </c>
      <c r="AA3381">
        <v>0.65457109999999996</v>
      </c>
      <c r="AB3381">
        <v>12</v>
      </c>
      <c r="AC3381">
        <v>-4.6307999999999598</v>
      </c>
      <c r="AD3381">
        <v>-1.1216947638029899</v>
      </c>
      <c r="AE3381">
        <v>-9.5239000000000207</v>
      </c>
      <c r="AF3381">
        <v>-7.9719120306934004</v>
      </c>
      <c r="AG3381">
        <v>-1.1216947638029899</v>
      </c>
      <c r="AH3381">
        <v>6.7913859149832696</v>
      </c>
      <c r="AI3381">
        <v>96.113533793825795</v>
      </c>
      <c r="AJ3381">
        <v>139.57184765494699</v>
      </c>
      <c r="AK3381">
        <v>10.5324500100636</v>
      </c>
      <c r="AL3381">
        <v>93.7768440916891</v>
      </c>
      <c r="AM3381">
        <v>116.63221262744401</v>
      </c>
      <c r="AN3381">
        <v>1.00000005029712</v>
      </c>
    </row>
    <row r="3382" spans="1:40" x14ac:dyDescent="0.25">
      <c r="A3382" t="str">
        <f>"20190303153836129"</f>
        <v>20190303153836129</v>
      </c>
      <c r="B3382" t="str">
        <f>"1551598716122238"</f>
        <v>1551598716122238</v>
      </c>
      <c r="C3382" t="s">
        <v>40</v>
      </c>
      <c r="D3382">
        <v>4.3110309999999998</v>
      </c>
      <c r="E3382">
        <v>0.34286499999999998</v>
      </c>
      <c r="F3382" t="s">
        <v>51</v>
      </c>
      <c r="G3382">
        <v>-488.17559999999997</v>
      </c>
      <c r="H3382" s="1">
        <v>1.2172510000000001E-6</v>
      </c>
      <c r="I3382">
        <v>273.50689999999997</v>
      </c>
      <c r="J3382">
        <v>-483.55509999999998</v>
      </c>
      <c r="K3382">
        <v>1.121756</v>
      </c>
      <c r="L3382">
        <v>283.07709999999997</v>
      </c>
      <c r="M3382">
        <v>-0.96720019999999995</v>
      </c>
      <c r="N3382">
        <v>7.6025649999999904E-4</v>
      </c>
      <c r="O3382">
        <v>-0.25401479999999999</v>
      </c>
      <c r="P3382">
        <v>-0.74953669999999994</v>
      </c>
      <c r="Q3382">
        <v>-6.2063350000000003E-2</v>
      </c>
      <c r="R3382">
        <v>-0.65904719999999894</v>
      </c>
      <c r="S3382">
        <v>-1.422058</v>
      </c>
      <c r="T3382">
        <v>-0.34009129999999999</v>
      </c>
      <c r="U3382">
        <v>-2.9083559999999999</v>
      </c>
      <c r="V3382">
        <v>-0.44668550000000001</v>
      </c>
      <c r="W3382">
        <v>-6.5198679999999995E-2</v>
      </c>
      <c r="X3382">
        <v>0.89231229999999995</v>
      </c>
      <c r="Y3382">
        <v>-0.75484459999999998</v>
      </c>
      <c r="Z3382">
        <v>-1.9076539999999999E-2</v>
      </c>
      <c r="AA3382">
        <v>0.65562619999999905</v>
      </c>
      <c r="AB3382">
        <v>12</v>
      </c>
      <c r="AC3382">
        <v>-4.6204999999999901</v>
      </c>
      <c r="AD3382">
        <v>-1.121754782749</v>
      </c>
      <c r="AE3382">
        <v>-9.5701999999999998</v>
      </c>
      <c r="AF3382">
        <v>-7.9935620472243203</v>
      </c>
      <c r="AG3382">
        <v>-1.121754782749</v>
      </c>
      <c r="AH3382">
        <v>6.8238911694411701</v>
      </c>
      <c r="AI3382">
        <v>96.092170859307402</v>
      </c>
      <c r="AJ3382">
        <v>139.51349634401299</v>
      </c>
      <c r="AK3382">
        <v>10.569808829294001</v>
      </c>
      <c r="AL3382">
        <v>93.738260782849807</v>
      </c>
      <c r="AM3382">
        <v>116.592236567947</v>
      </c>
      <c r="AN3382">
        <v>1.00000002225764</v>
      </c>
    </row>
    <row r="3383" spans="1:40" x14ac:dyDescent="0.25">
      <c r="A3383" t="str">
        <f>"20190303153836140"</f>
        <v>20190303153836140</v>
      </c>
      <c r="B3383" t="str">
        <f>"1551598716131998"</f>
        <v>1551598716131998</v>
      </c>
      <c r="C3383" t="s">
        <v>40</v>
      </c>
      <c r="D3383">
        <v>4.3229059999999997</v>
      </c>
      <c r="E3383">
        <v>0.34308480000000002</v>
      </c>
      <c r="F3383" t="s">
        <v>51</v>
      </c>
      <c r="G3383">
        <v>-488.26760000000002</v>
      </c>
      <c r="H3383" s="1">
        <v>1.1772670000000001E-6</v>
      </c>
      <c r="I3383">
        <v>273.3707</v>
      </c>
      <c r="J3383">
        <v>-483.61880000000002</v>
      </c>
      <c r="K3383">
        <v>1.1218030000000001</v>
      </c>
      <c r="L3383">
        <v>283.05650000000003</v>
      </c>
      <c r="M3383">
        <v>-0.96631029999999996</v>
      </c>
      <c r="N3383">
        <v>8.7558250000000003E-4</v>
      </c>
      <c r="O3383">
        <v>-0.25737890000000002</v>
      </c>
      <c r="P3383">
        <v>-0.74771489999999996</v>
      </c>
      <c r="Q3383">
        <v>-6.144223E-2</v>
      </c>
      <c r="R3383">
        <v>-0.66117139999999996</v>
      </c>
      <c r="S3383">
        <v>-1.41391</v>
      </c>
      <c r="T3383">
        <v>-0.33656140000000001</v>
      </c>
      <c r="U3383">
        <v>-2.9122309999999998</v>
      </c>
      <c r="V3383">
        <v>-0.44609130000000002</v>
      </c>
      <c r="W3383">
        <v>-6.4750740000000001E-2</v>
      </c>
      <c r="X3383">
        <v>0.89264209999999999</v>
      </c>
      <c r="Y3383">
        <v>-0.75447169999999997</v>
      </c>
      <c r="Z3383">
        <v>-1.8365280000000001E-2</v>
      </c>
      <c r="AA3383">
        <v>0.65607569999999904</v>
      </c>
      <c r="AB3383">
        <v>13</v>
      </c>
      <c r="AC3383">
        <v>-4.6487999999999898</v>
      </c>
      <c r="AD3383">
        <v>-1.121801822733</v>
      </c>
      <c r="AE3383">
        <v>-9.6858000000000199</v>
      </c>
      <c r="AF3383">
        <v>-8.0749497319035797</v>
      </c>
      <c r="AG3383">
        <v>-1.121801822733</v>
      </c>
      <c r="AH3383">
        <v>6.9097714563183299</v>
      </c>
      <c r="AI3383">
        <v>96.025470330532102</v>
      </c>
      <c r="AJ3383">
        <v>139.44624451332399</v>
      </c>
      <c r="AK3383">
        <v>10.686823385871399</v>
      </c>
      <c r="AL3383">
        <v>93.712541400662005</v>
      </c>
      <c r="AM3383">
        <v>116.553252441135</v>
      </c>
      <c r="AN3383">
        <v>1.00000001247932</v>
      </c>
    </row>
    <row r="3384" spans="1:40" x14ac:dyDescent="0.25">
      <c r="A3384" t="str">
        <f>"20190303153836153"</f>
        <v>20190303153836153</v>
      </c>
      <c r="B3384" t="str">
        <f>"1551598716141759"</f>
        <v>1551598716141759</v>
      </c>
      <c r="C3384" t="s">
        <v>40</v>
      </c>
      <c r="D3384">
        <v>4.1696369999999998</v>
      </c>
      <c r="E3384">
        <v>0.34314230000000001</v>
      </c>
      <c r="F3384" t="s">
        <v>51</v>
      </c>
      <c r="G3384">
        <v>-488.34480000000002</v>
      </c>
      <c r="H3384" s="1">
        <v>1.1474940000000001E-6</v>
      </c>
      <c r="I3384">
        <v>273.2672</v>
      </c>
      <c r="J3384">
        <v>-483.68299999999999</v>
      </c>
      <c r="K3384">
        <v>1.121856</v>
      </c>
      <c r="L3384">
        <v>283.03550000000001</v>
      </c>
      <c r="M3384">
        <v>-0.9653988</v>
      </c>
      <c r="N3384">
        <v>9.8791950000000003E-4</v>
      </c>
      <c r="O3384">
        <v>-0.26077660000000003</v>
      </c>
      <c r="P3384">
        <v>-0.74576739999999997</v>
      </c>
      <c r="Q3384">
        <v>-6.1172890000000001E-2</v>
      </c>
      <c r="R3384">
        <v>-0.66339250000000005</v>
      </c>
      <c r="S3384">
        <v>-1.407227</v>
      </c>
      <c r="T3384">
        <v>-0.33403249999999901</v>
      </c>
      <c r="U3384">
        <v>-2.914917</v>
      </c>
      <c r="V3384">
        <v>-0.4455906</v>
      </c>
      <c r="W3384">
        <v>-6.4651849999999997E-2</v>
      </c>
      <c r="X3384">
        <v>0.89289929999999995</v>
      </c>
      <c r="Y3384">
        <v>-0.75368760000000001</v>
      </c>
      <c r="Z3384">
        <v>-1.7680109999999999E-2</v>
      </c>
      <c r="AA3384">
        <v>0.65699490000000005</v>
      </c>
      <c r="AB3384">
        <v>13</v>
      </c>
      <c r="AC3384">
        <v>-4.6617999999999702</v>
      </c>
      <c r="AD3384">
        <v>-1.1218548525059999</v>
      </c>
      <c r="AE3384">
        <v>-9.7683</v>
      </c>
      <c r="AF3384">
        <v>-8.1273084721964395</v>
      </c>
      <c r="AG3384">
        <v>-1.1218548525059999</v>
      </c>
      <c r="AH3384">
        <v>6.9729328892004903</v>
      </c>
      <c r="AI3384">
        <v>95.980586282236402</v>
      </c>
      <c r="AJ3384">
        <v>139.37161565996499</v>
      </c>
      <c r="AK3384">
        <v>10.7672417261628</v>
      </c>
      <c r="AL3384">
        <v>93.706863562154695</v>
      </c>
      <c r="AM3384">
        <v>116.520935224859</v>
      </c>
      <c r="AN3384">
        <v>1.0000000022286299</v>
      </c>
    </row>
    <row r="3385" spans="1:40" x14ac:dyDescent="0.25">
      <c r="A3385" t="str">
        <f>"20190303153836166"</f>
        <v>20190303153836166</v>
      </c>
      <c r="B3385" t="str">
        <f>"1551598716162254"</f>
        <v>1551598716162254</v>
      </c>
      <c r="C3385" t="s">
        <v>40</v>
      </c>
      <c r="D3385">
        <v>4.346819</v>
      </c>
      <c r="E3385">
        <v>0.34336080000000002</v>
      </c>
      <c r="F3385" t="s">
        <v>51</v>
      </c>
      <c r="G3385">
        <v>-488.40050000000002</v>
      </c>
      <c r="H3385" s="1">
        <v>1.1272199999999999E-6</v>
      </c>
      <c r="I3385">
        <v>273.19580000000002</v>
      </c>
      <c r="J3385">
        <v>-483.7561</v>
      </c>
      <c r="K3385">
        <v>1.1219140000000001</v>
      </c>
      <c r="L3385">
        <v>283.01130000000001</v>
      </c>
      <c r="M3385">
        <v>-0.9643446</v>
      </c>
      <c r="N3385">
        <v>1.105417E-3</v>
      </c>
      <c r="O3385">
        <v>-0.2646482</v>
      </c>
      <c r="P3385">
        <v>-0.74324630000000003</v>
      </c>
      <c r="Q3385">
        <v>-6.0803070000000001E-2</v>
      </c>
      <c r="R3385">
        <v>-0.66624969999999994</v>
      </c>
      <c r="S3385">
        <v>-1.3992610000000001</v>
      </c>
      <c r="T3385">
        <v>-0.3327541</v>
      </c>
      <c r="U3385">
        <v>-2.9185490000000001</v>
      </c>
      <c r="V3385">
        <v>-0.44541619999999998</v>
      </c>
      <c r="W3385">
        <v>-6.4466449999999995E-2</v>
      </c>
      <c r="X3385">
        <v>0.89299969999999995</v>
      </c>
      <c r="Y3385">
        <v>-0.75288080000000002</v>
      </c>
      <c r="Z3385">
        <v>-1.700523E-2</v>
      </c>
      <c r="AA3385">
        <v>0.657937199999999</v>
      </c>
      <c r="AB3385">
        <v>13</v>
      </c>
      <c r="AC3385">
        <v>-4.6444000000000099</v>
      </c>
      <c r="AD3385">
        <v>-1.1219128727799901</v>
      </c>
      <c r="AE3385">
        <v>-9.8154999999999806</v>
      </c>
      <c r="AF3385">
        <v>-8.1494041855891499</v>
      </c>
      <c r="AG3385">
        <v>-1.1219128727799901</v>
      </c>
      <c r="AH3385">
        <v>7.0017189207347199</v>
      </c>
      <c r="AI3385">
        <v>95.961265362960404</v>
      </c>
      <c r="AJ3385">
        <v>139.33183611311199</v>
      </c>
      <c r="AK3385">
        <v>10.8025712179639</v>
      </c>
      <c r="AL3385">
        <v>93.696218766099094</v>
      </c>
      <c r="AM3385">
        <v>116.509401703313</v>
      </c>
      <c r="AN3385">
        <v>0.99999998929906597</v>
      </c>
    </row>
    <row r="3386" spans="1:40" x14ac:dyDescent="0.25">
      <c r="A3386" t="str">
        <f>"20190303153836178"</f>
        <v>20190303153836178</v>
      </c>
      <c r="B3386" t="str">
        <f>"1551598716172014"</f>
        <v>1551598716172014</v>
      </c>
      <c r="C3386" t="s">
        <v>40</v>
      </c>
      <c r="D3386">
        <v>4.4126519999999996</v>
      </c>
      <c r="E3386">
        <v>0.37832680000000002</v>
      </c>
      <c r="F3386" t="s">
        <v>51</v>
      </c>
      <c r="G3386">
        <v>-488.46960000000001</v>
      </c>
      <c r="H3386" s="1">
        <v>1.0974390000000001E-6</v>
      </c>
      <c r="I3386">
        <v>273.0942</v>
      </c>
      <c r="J3386">
        <v>-483.82420000000002</v>
      </c>
      <c r="K3386">
        <v>1.1219680000000001</v>
      </c>
      <c r="L3386">
        <v>282.98840000000001</v>
      </c>
      <c r="M3386">
        <v>-0.96334640000000005</v>
      </c>
      <c r="N3386">
        <v>1.2050749999999999E-3</v>
      </c>
      <c r="O3386">
        <v>-0.26825840000000001</v>
      </c>
      <c r="P3386">
        <v>-0.74093769999999903</v>
      </c>
      <c r="Q3386">
        <v>-6.0563069999999997E-2</v>
      </c>
      <c r="R3386">
        <v>-0.66883789999999999</v>
      </c>
      <c r="S3386">
        <v>-1.38922099999999</v>
      </c>
      <c r="T3386">
        <v>-0.33066390000000001</v>
      </c>
      <c r="U3386">
        <v>-2.922882</v>
      </c>
      <c r="V3386">
        <v>-0.44517109999999899</v>
      </c>
      <c r="W3386">
        <v>-6.4385349999999994E-2</v>
      </c>
      <c r="X3386">
        <v>0.89312769999999997</v>
      </c>
      <c r="Y3386">
        <v>-0.75269390000000003</v>
      </c>
      <c r="Z3386">
        <v>-1.639061E-2</v>
      </c>
      <c r="AA3386">
        <v>0.65816649999999999</v>
      </c>
      <c r="AB3386">
        <v>13</v>
      </c>
      <c r="AC3386">
        <v>-4.6453999999999898</v>
      </c>
      <c r="AD3386">
        <v>-1.121966902561</v>
      </c>
      <c r="AE3386">
        <v>-9.8942000000000103</v>
      </c>
      <c r="AF3386">
        <v>-8.1989930327503302</v>
      </c>
      <c r="AG3386">
        <v>-1.121966902561</v>
      </c>
      <c r="AH3386">
        <v>7.0550029084157098</v>
      </c>
      <c r="AI3386">
        <v>95.921964241731303</v>
      </c>
      <c r="AJ3386">
        <v>139.28893082380301</v>
      </c>
      <c r="AK3386">
        <v>10.8745281515698</v>
      </c>
      <c r="AL3386">
        <v>93.691562605292901</v>
      </c>
      <c r="AM3386">
        <v>116.49352862819001</v>
      </c>
      <c r="AN3386">
        <v>0.999999935038558</v>
      </c>
    </row>
    <row r="3387" spans="1:40" x14ac:dyDescent="0.25">
      <c r="A3387" t="str">
        <f>"20190303153836191"</f>
        <v>20190303153836191</v>
      </c>
      <c r="B3387" t="str">
        <f>"1551598716181774"</f>
        <v>1551598716181774</v>
      </c>
      <c r="C3387" t="s">
        <v>40</v>
      </c>
      <c r="D3387">
        <v>4.6450420000000001</v>
      </c>
      <c r="E3387">
        <v>0.37832680000000002</v>
      </c>
      <c r="F3387" t="s">
        <v>51</v>
      </c>
      <c r="G3387">
        <v>-490.5797</v>
      </c>
      <c r="H3387" s="1">
        <v>5.8144679999999999E-7</v>
      </c>
      <c r="I3387">
        <v>271.26119999999997</v>
      </c>
      <c r="J3387">
        <v>-483.8972</v>
      </c>
      <c r="K3387">
        <v>1.1220209999999999</v>
      </c>
      <c r="L3387">
        <v>282.96359999999999</v>
      </c>
      <c r="M3387">
        <v>-0.96225830000000001</v>
      </c>
      <c r="N3387">
        <v>1.3068960000000001E-3</v>
      </c>
      <c r="O3387">
        <v>-0.27213549999999997</v>
      </c>
      <c r="P3387">
        <v>-0.7383786</v>
      </c>
      <c r="Q3387">
        <v>-6.063346E-2</v>
      </c>
      <c r="R3387">
        <v>-0.67165559999999902</v>
      </c>
      <c r="S3387">
        <v>-1.56897</v>
      </c>
      <c r="T3387">
        <v>-0.26057829999999998</v>
      </c>
      <c r="U3387">
        <v>-2.7236630000000002</v>
      </c>
      <c r="V3387">
        <v>-0.44496720000000001</v>
      </c>
      <c r="W3387">
        <v>-6.4619770000000007E-2</v>
      </c>
      <c r="X3387">
        <v>0.89321240000000002</v>
      </c>
      <c r="Y3387">
        <v>-0.69668890000000006</v>
      </c>
      <c r="Z3387">
        <v>-8.9231409999999903E-3</v>
      </c>
      <c r="AA3387">
        <v>0.71731789999999995</v>
      </c>
      <c r="AB3387">
        <v>13</v>
      </c>
      <c r="AC3387">
        <v>-6.6825000000000001</v>
      </c>
      <c r="AD3387">
        <v>-1.1220204185531999</v>
      </c>
      <c r="AE3387">
        <v>-11.702400000000001</v>
      </c>
      <c r="AF3387">
        <v>-9.3771858695022807</v>
      </c>
      <c r="AG3387">
        <v>-1.1220204185531999</v>
      </c>
      <c r="AH3387">
        <v>9.5487402137703903</v>
      </c>
      <c r="AI3387">
        <v>94.792354891834805</v>
      </c>
      <c r="AJ3387">
        <v>134.48065576061799</v>
      </c>
      <c r="AK3387">
        <v>13.4301520587415</v>
      </c>
      <c r="AL3387">
        <v>93.7050218274522</v>
      </c>
      <c r="AM3387">
        <v>116.48088155105999</v>
      </c>
      <c r="AN3387">
        <v>0.99999995763222504</v>
      </c>
    </row>
    <row r="3388" spans="1:40" x14ac:dyDescent="0.25">
      <c r="A3388" t="str">
        <f>"20190303153836203"</f>
        <v>20190303153836203</v>
      </c>
      <c r="B3388" t="str">
        <f>"1551598716191534"</f>
        <v>1551598716191534</v>
      </c>
      <c r="C3388" t="s">
        <v>40</v>
      </c>
      <c r="D3388">
        <v>4.4586249999999996</v>
      </c>
      <c r="E3388">
        <v>0.44413209999999997</v>
      </c>
      <c r="F3388" t="s">
        <v>51</v>
      </c>
      <c r="G3388">
        <v>-490.59309999999999</v>
      </c>
      <c r="H3388" s="1">
        <v>5.7309219999999899E-7</v>
      </c>
      <c r="I3388">
        <v>271.23750000000001</v>
      </c>
      <c r="J3388">
        <v>-483.96159999999998</v>
      </c>
      <c r="K3388">
        <v>1.1220559999999999</v>
      </c>
      <c r="L3388">
        <v>282.94130000000001</v>
      </c>
      <c r="M3388">
        <v>-0.96128199999999997</v>
      </c>
      <c r="N3388">
        <v>1.3880629999999999E-3</v>
      </c>
      <c r="O3388">
        <v>-0.27556340000000001</v>
      </c>
      <c r="P3388">
        <v>-0.7357979</v>
      </c>
      <c r="Q3388">
        <v>-6.1077560000000003E-2</v>
      </c>
      <c r="R3388">
        <v>-0.67444110000000002</v>
      </c>
      <c r="S3388">
        <v>-1.5586549999999999</v>
      </c>
      <c r="T3388">
        <v>-0.261177299999999</v>
      </c>
      <c r="U3388">
        <v>-2.7295229999999999</v>
      </c>
      <c r="V3388">
        <v>-0.44515690000000002</v>
      </c>
      <c r="W3388">
        <v>-6.5199270000000004E-2</v>
      </c>
      <c r="X3388">
        <v>0.89307579999999998</v>
      </c>
      <c r="Y3388">
        <v>-0.69684880000000005</v>
      </c>
      <c r="Z3388">
        <v>-8.5804760000000001E-3</v>
      </c>
      <c r="AA3388">
        <v>0.71716679999999999</v>
      </c>
      <c r="AB3388">
        <v>13</v>
      </c>
      <c r="AC3388">
        <v>-6.6315000000000097</v>
      </c>
      <c r="AD3388">
        <v>-1.1220554269078</v>
      </c>
      <c r="AE3388">
        <v>-11.703799999999999</v>
      </c>
      <c r="AF3388">
        <v>-9.3581519282217904</v>
      </c>
      <c r="AG3388">
        <v>-1.1220554269078</v>
      </c>
      <c r="AH3388">
        <v>9.5335585997842696</v>
      </c>
      <c r="AI3388">
        <v>94.801133425642107</v>
      </c>
      <c r="AJ3388">
        <v>134.46803264960801</v>
      </c>
      <c r="AK3388">
        <v>13.406071589703499</v>
      </c>
      <c r="AL3388">
        <v>93.738294752174497</v>
      </c>
      <c r="AM3388">
        <v>116.494128280406</v>
      </c>
      <c r="AN3388">
        <v>0.99999999748589097</v>
      </c>
    </row>
    <row r="3389" spans="1:40" x14ac:dyDescent="0.25">
      <c r="A3389" t="str">
        <f>"20190303153836216"</f>
        <v>20190303153836216</v>
      </c>
      <c r="B3389" t="str">
        <f>"1551598716212030"</f>
        <v>1551598716212030</v>
      </c>
      <c r="C3389" t="s">
        <v>40</v>
      </c>
      <c r="D3389">
        <v>4.4850770000000004</v>
      </c>
      <c r="E3389">
        <v>0.45277060000000002</v>
      </c>
      <c r="F3389" t="s">
        <v>44</v>
      </c>
      <c r="G3389">
        <v>-484.53370000000001</v>
      </c>
      <c r="H3389">
        <v>1.0494110000000001</v>
      </c>
      <c r="I3389">
        <v>282.23500000000001</v>
      </c>
      <c r="J3389">
        <v>-484.03680000000003</v>
      </c>
      <c r="K3389">
        <v>1.122101</v>
      </c>
      <c r="L3389">
        <v>282.91500000000002</v>
      </c>
      <c r="M3389">
        <v>-0.96012509999999995</v>
      </c>
      <c r="N3389">
        <v>1.4766479999999999E-3</v>
      </c>
      <c r="O3389">
        <v>-0.27956700000000001</v>
      </c>
      <c r="P3389">
        <v>-0.73304499999999995</v>
      </c>
      <c r="Q3389">
        <v>-6.1083060000000002E-2</v>
      </c>
      <c r="R3389">
        <v>-0.67743209999999998</v>
      </c>
      <c r="S3389">
        <v>-1.9035029999999999</v>
      </c>
      <c r="T3389">
        <v>-0.2416923</v>
      </c>
      <c r="U3389">
        <v>-2.3496090000000001</v>
      </c>
      <c r="V3389">
        <v>-0.4450614</v>
      </c>
      <c r="W3389">
        <v>-6.5352400000000005E-2</v>
      </c>
      <c r="X3389">
        <v>0.89311219999999902</v>
      </c>
      <c r="Y3389">
        <v>-0.56923009999999996</v>
      </c>
      <c r="Z3389">
        <v>-7.6978279999999897E-4</v>
      </c>
      <c r="AA3389">
        <v>0.82217790000000002</v>
      </c>
      <c r="AB3389">
        <v>13</v>
      </c>
      <c r="AC3389">
        <v>-0.49689999999998202</v>
      </c>
      <c r="AD3389">
        <v>-7.2689999999999894E-2</v>
      </c>
      <c r="AE3389">
        <v>-0.68000000000000604</v>
      </c>
      <c r="AF3389">
        <v>-0.51016838139936904</v>
      </c>
      <c r="AG3389">
        <v>-7.2689999999999894E-2</v>
      </c>
      <c r="AH3389">
        <v>0.66225907356263802</v>
      </c>
      <c r="AI3389">
        <v>94.969487649420699</v>
      </c>
      <c r="AJ3389">
        <v>127.608701100196</v>
      </c>
      <c r="AK3389">
        <v>0.83913210759432599</v>
      </c>
      <c r="AL3389">
        <v>93.747087220516207</v>
      </c>
      <c r="AM3389">
        <v>116.488288307527</v>
      </c>
      <c r="AN3389">
        <v>0.999999993872279</v>
      </c>
    </row>
    <row r="3390" spans="1:40" x14ac:dyDescent="0.25">
      <c r="A3390" t="str">
        <f>"20190303153836230"</f>
        <v>20190303153836230</v>
      </c>
      <c r="B3390" t="str">
        <f>"1551598716221791"</f>
        <v>1551598716221791</v>
      </c>
      <c r="C3390" t="s">
        <v>40</v>
      </c>
      <c r="D3390">
        <v>4.4618250000000002</v>
      </c>
      <c r="E3390">
        <v>0.45442830000000001</v>
      </c>
      <c r="F3390" t="s">
        <v>44</v>
      </c>
      <c r="G3390">
        <v>-484.64479999999998</v>
      </c>
      <c r="H3390">
        <v>1.0437179999999999</v>
      </c>
      <c r="I3390">
        <v>282.19240000000002</v>
      </c>
      <c r="J3390">
        <v>-484.11540000000002</v>
      </c>
      <c r="K3390">
        <v>1.1221449999999999</v>
      </c>
      <c r="L3390">
        <v>282.88729999999998</v>
      </c>
      <c r="M3390">
        <v>-0.95889690000000005</v>
      </c>
      <c r="N3390">
        <v>1.563236E-3</v>
      </c>
      <c r="O3390">
        <v>-0.28375009999999901</v>
      </c>
      <c r="P3390">
        <v>-0.730074</v>
      </c>
      <c r="Q3390">
        <v>-6.0761639999999999E-2</v>
      </c>
      <c r="R3390">
        <v>-0.68066150000000003</v>
      </c>
      <c r="S3390">
        <v>-1.9402470000000001</v>
      </c>
      <c r="T3390">
        <v>-0.25014039999999998</v>
      </c>
      <c r="U3390">
        <v>-2.3063959999999999</v>
      </c>
      <c r="V3390">
        <v>-0.44509460000000001</v>
      </c>
      <c r="W3390">
        <v>-6.5177669999999993E-2</v>
      </c>
      <c r="X3390">
        <v>0.89310840000000002</v>
      </c>
      <c r="Y3390">
        <v>-0.55031039999999998</v>
      </c>
      <c r="Z3390">
        <v>5.7602670000000001E-4</v>
      </c>
      <c r="AA3390">
        <v>0.83495989999999998</v>
      </c>
      <c r="AB3390">
        <v>14</v>
      </c>
      <c r="AC3390">
        <v>-0.52939999999995202</v>
      </c>
      <c r="AD3390">
        <v>-7.8427000000000205E-2</v>
      </c>
      <c r="AE3390">
        <v>-0.69489999999996099</v>
      </c>
      <c r="AF3390">
        <v>-0.51199428659067003</v>
      </c>
      <c r="AG3390">
        <v>-7.8427000000000205E-2</v>
      </c>
      <c r="AH3390">
        <v>0.69918364612387895</v>
      </c>
      <c r="AI3390">
        <v>95.171160085420198</v>
      </c>
      <c r="AJ3390">
        <v>126.21436329458599</v>
      </c>
      <c r="AK3390">
        <v>0.87014177858413999</v>
      </c>
      <c r="AL3390">
        <v>93.737054617405903</v>
      </c>
      <c r="AM3390">
        <v>116.49009178587499</v>
      </c>
      <c r="AN3390">
        <v>0.99999997288317399</v>
      </c>
    </row>
    <row r="3391" spans="1:40" x14ac:dyDescent="0.25">
      <c r="A3391" t="str">
        <f>"20190303153836243"</f>
        <v>20190303153836243</v>
      </c>
      <c r="B3391" t="str">
        <f>"1551598716231550"</f>
        <v>1551598716231550</v>
      </c>
      <c r="C3391" t="s">
        <v>40</v>
      </c>
      <c r="D3391">
        <v>4.449052</v>
      </c>
      <c r="E3391">
        <v>0.45577430000000002</v>
      </c>
      <c r="F3391" t="s">
        <v>44</v>
      </c>
      <c r="G3391">
        <v>-484.74939999999998</v>
      </c>
      <c r="H3391">
        <v>1.0401149999999999</v>
      </c>
      <c r="I3391">
        <v>282.1336</v>
      </c>
      <c r="J3391">
        <v>-484.19220000000001</v>
      </c>
      <c r="K3391">
        <v>1.1221920000000001</v>
      </c>
      <c r="L3391">
        <v>282.8596</v>
      </c>
      <c r="M3391">
        <v>-0.95767659999999999</v>
      </c>
      <c r="N3391">
        <v>1.6376170000000001E-3</v>
      </c>
      <c r="O3391">
        <v>-0.2878423</v>
      </c>
      <c r="P3391">
        <v>-0.72700180000000003</v>
      </c>
      <c r="Q3391">
        <v>-6.0499959999999998E-2</v>
      </c>
      <c r="R3391">
        <v>-0.68396539999999995</v>
      </c>
      <c r="S3391">
        <v>-1.939362</v>
      </c>
      <c r="T3391">
        <v>-0.25094719999999998</v>
      </c>
      <c r="U3391">
        <v>-2.3048709999999999</v>
      </c>
      <c r="V3391">
        <v>-0.44531680000000001</v>
      </c>
      <c r="W3391">
        <v>-6.5046820000000005E-2</v>
      </c>
      <c r="X3391">
        <v>0.8930072</v>
      </c>
      <c r="Y3391">
        <v>-0.54667889999999997</v>
      </c>
      <c r="Z3391">
        <v>1.1789000000000001E-3</v>
      </c>
      <c r="AA3391">
        <v>0.83734149999999996</v>
      </c>
      <c r="AB3391">
        <v>14</v>
      </c>
      <c r="AC3391">
        <v>-0.55719999999996594</v>
      </c>
      <c r="AD3391">
        <v>-8.2077000000000094E-2</v>
      </c>
      <c r="AE3391">
        <v>-0.72599999999999898</v>
      </c>
      <c r="AF3391">
        <v>-0.53062017986264398</v>
      </c>
      <c r="AG3391">
        <v>-8.2077000000000094E-2</v>
      </c>
      <c r="AH3391">
        <v>0.73666656289311405</v>
      </c>
      <c r="AI3391">
        <v>95.1658221956028</v>
      </c>
      <c r="AJ3391">
        <v>125.765167767512</v>
      </c>
      <c r="AK3391">
        <v>0.91157667482840898</v>
      </c>
      <c r="AL3391">
        <v>93.729541419217995</v>
      </c>
      <c r="AM3391">
        <v>116.50410226418001</v>
      </c>
      <c r="AN3391">
        <v>1.00000000020309</v>
      </c>
    </row>
    <row r="3392" spans="1:40" x14ac:dyDescent="0.25">
      <c r="A3392" t="str">
        <f>"20190303153836258"</f>
        <v>20190303153836258</v>
      </c>
      <c r="B3392" t="str">
        <f>"1551598716252046"</f>
        <v>1551598716252046</v>
      </c>
      <c r="C3392" t="s">
        <v>40</v>
      </c>
      <c r="D3392">
        <v>4.4561000000000002</v>
      </c>
      <c r="E3392">
        <v>0.45766469999999998</v>
      </c>
      <c r="F3392" t="s">
        <v>44</v>
      </c>
      <c r="G3392">
        <v>-484.77010000000001</v>
      </c>
      <c r="H3392">
        <v>1.047126</v>
      </c>
      <c r="I3392">
        <v>282.17129999999997</v>
      </c>
      <c r="J3392">
        <v>-484.28019999999998</v>
      </c>
      <c r="K3392">
        <v>1.1222399999999999</v>
      </c>
      <c r="L3392">
        <v>282.82749999999999</v>
      </c>
      <c r="M3392">
        <v>-0.95625389999999999</v>
      </c>
      <c r="N3392">
        <v>1.715809E-3</v>
      </c>
      <c r="O3392">
        <v>-0.29253319999999999</v>
      </c>
      <c r="P3392">
        <v>-0.72343069999999998</v>
      </c>
      <c r="Q3392">
        <v>-6.0137370000000002E-2</v>
      </c>
      <c r="R3392">
        <v>-0.68777330000000003</v>
      </c>
      <c r="S3392">
        <v>-1.936523</v>
      </c>
      <c r="T3392">
        <v>-0.25153789999999998</v>
      </c>
      <c r="U3392">
        <v>-2.3056640000000002</v>
      </c>
      <c r="V3392">
        <v>-0.44561149999999999</v>
      </c>
      <c r="W3392">
        <v>-6.4825709999999995E-2</v>
      </c>
      <c r="X3392">
        <v>0.89287629999999996</v>
      </c>
      <c r="Y3392">
        <v>-0.54334249999999995</v>
      </c>
      <c r="Z3392">
        <v>1.8272469999999999E-3</v>
      </c>
      <c r="AA3392">
        <v>0.83950910000000001</v>
      </c>
      <c r="AB3392">
        <v>14</v>
      </c>
      <c r="AC3392">
        <v>-0.48990000000003397</v>
      </c>
      <c r="AD3392">
        <v>-7.5113999999999903E-2</v>
      </c>
      <c r="AE3392">
        <v>-0.656200000000012</v>
      </c>
      <c r="AF3392">
        <v>-0.48014278089791301</v>
      </c>
      <c r="AG3392">
        <v>-7.5113999999999903E-2</v>
      </c>
      <c r="AH3392">
        <v>0.65491981432161395</v>
      </c>
      <c r="AI3392">
        <v>95.284650466355501</v>
      </c>
      <c r="AJ3392">
        <v>126.246341697277</v>
      </c>
      <c r="AK3392">
        <v>0.815536121968511</v>
      </c>
      <c r="AL3392">
        <v>93.716845827391793</v>
      </c>
      <c r="AM3392">
        <v>116.522598627566</v>
      </c>
      <c r="AN3392">
        <v>1.00000003435547</v>
      </c>
    </row>
    <row r="3393" spans="1:40" x14ac:dyDescent="0.25">
      <c r="A3393" t="str">
        <f>"20190303153836272"</f>
        <v>20190303153836272</v>
      </c>
      <c r="B3393" t="str">
        <f>"1551598716261500"</f>
        <v>1551598716261500</v>
      </c>
      <c r="C3393" t="s">
        <v>40</v>
      </c>
      <c r="D3393">
        <v>4.4774900000000004</v>
      </c>
      <c r="E3393">
        <v>0.45830480000000001</v>
      </c>
      <c r="F3393" t="s">
        <v>44</v>
      </c>
      <c r="G3393">
        <v>-484.87860000000001</v>
      </c>
      <c r="H3393">
        <v>1.043604</v>
      </c>
      <c r="I3393">
        <v>282.11470000000003</v>
      </c>
      <c r="J3393">
        <v>-484.36369999999999</v>
      </c>
      <c r="K3393">
        <v>1.122285</v>
      </c>
      <c r="L3393">
        <v>282.79680000000002</v>
      </c>
      <c r="M3393">
        <v>-0.95488260000000003</v>
      </c>
      <c r="N3393">
        <v>1.7829949999999999E-3</v>
      </c>
      <c r="O3393">
        <v>-0.29697859999999998</v>
      </c>
      <c r="P3393">
        <v>-0.71945239999999999</v>
      </c>
      <c r="Q3393">
        <v>-5.9346379999999997E-2</v>
      </c>
      <c r="R3393">
        <v>-0.69200189999999995</v>
      </c>
      <c r="S3393">
        <v>-1.9344479999999999</v>
      </c>
      <c r="T3393">
        <v>-0.25421870000000002</v>
      </c>
      <c r="U3393">
        <v>-2.3049010000000001</v>
      </c>
      <c r="V3393">
        <v>-0.44666739999999999</v>
      </c>
      <c r="W3393">
        <v>-6.4165620000000007E-2</v>
      </c>
      <c r="X3393">
        <v>0.89239619999999997</v>
      </c>
      <c r="Y3393">
        <v>-0.5397518</v>
      </c>
      <c r="Z3393">
        <v>2.4745280000000001E-3</v>
      </c>
      <c r="AA3393">
        <v>0.84182060000000003</v>
      </c>
      <c r="AB3393">
        <v>14</v>
      </c>
      <c r="AC3393">
        <v>-0.51490000000001102</v>
      </c>
      <c r="AD3393">
        <v>-7.8680999999999696E-2</v>
      </c>
      <c r="AE3393">
        <v>-0.68209999999999105</v>
      </c>
      <c r="AF3393">
        <v>-0.49422285257110798</v>
      </c>
      <c r="AG3393">
        <v>-7.8680999999999696E-2</v>
      </c>
      <c r="AH3393">
        <v>0.68840427706824203</v>
      </c>
      <c r="AI3393">
        <v>95.304441061081505</v>
      </c>
      <c r="AJ3393">
        <v>125.675523130451</v>
      </c>
      <c r="AK3393">
        <v>0.85108599826948905</v>
      </c>
      <c r="AL3393">
        <v>93.678946730495696</v>
      </c>
      <c r="AM3393">
        <v>116.589151013194</v>
      </c>
      <c r="AN3393">
        <v>0.99999998539359203</v>
      </c>
    </row>
    <row r="3394" spans="1:40" x14ac:dyDescent="0.25">
      <c r="A3394" t="str">
        <f>"20190303153836289"</f>
        <v>20190303153836289</v>
      </c>
      <c r="B3394" t="str">
        <f>"1551598716281979"</f>
        <v>1551598716281979</v>
      </c>
      <c r="C3394" t="s">
        <v>40</v>
      </c>
      <c r="D3394">
        <v>4.4616249999999997</v>
      </c>
      <c r="E3394">
        <v>0.45937359999999999</v>
      </c>
      <c r="F3394" t="s">
        <v>44</v>
      </c>
      <c r="G3394">
        <v>-484.98500000000001</v>
      </c>
      <c r="H3394">
        <v>1.0403340000000001</v>
      </c>
      <c r="I3394">
        <v>282.05029999999999</v>
      </c>
      <c r="J3394">
        <v>-484.4683</v>
      </c>
      <c r="K3394">
        <v>1.122339</v>
      </c>
      <c r="L3394">
        <v>282.75760000000002</v>
      </c>
      <c r="M3394">
        <v>-0.95313519999999896</v>
      </c>
      <c r="N3394">
        <v>1.8553459999999999E-3</v>
      </c>
      <c r="O3394">
        <v>-0.30253940000000001</v>
      </c>
      <c r="P3394">
        <v>-0.714862199999999</v>
      </c>
      <c r="Q3394">
        <v>-5.9305469999999999E-2</v>
      </c>
      <c r="R3394">
        <v>-0.69674630000000004</v>
      </c>
      <c r="S3394">
        <v>-1.9246829999999999</v>
      </c>
      <c r="T3394">
        <v>-0.2538723</v>
      </c>
      <c r="U3394">
        <v>-2.3124389999999999</v>
      </c>
      <c r="V3394">
        <v>-0.44735659999999999</v>
      </c>
      <c r="W3394">
        <v>-6.4272309999999999E-2</v>
      </c>
      <c r="X3394">
        <v>0.89204319999999904</v>
      </c>
      <c r="Y3394">
        <v>-0.53832190000000002</v>
      </c>
      <c r="Z3394">
        <v>3.1077560000000001E-3</v>
      </c>
      <c r="AA3394">
        <v>0.84273359999999997</v>
      </c>
      <c r="AB3394">
        <v>14</v>
      </c>
      <c r="AC3394">
        <v>-0.51670000000001404</v>
      </c>
      <c r="AD3394">
        <v>-8.20049999999998E-2</v>
      </c>
      <c r="AE3394">
        <v>-0.70730000000003201</v>
      </c>
      <c r="AF3394">
        <v>-0.51333199036008803</v>
      </c>
      <c r="AG3394">
        <v>-8.20049999999998E-2</v>
      </c>
      <c r="AH3394">
        <v>0.70033391242648202</v>
      </c>
      <c r="AI3394">
        <v>95.395076548760699</v>
      </c>
      <c r="AJ3394">
        <v>126.24073668841299</v>
      </c>
      <c r="AK3394">
        <v>0.87218240136260095</v>
      </c>
      <c r="AL3394">
        <v>93.685072340260703</v>
      </c>
      <c r="AM3394">
        <v>116.63360755888699</v>
      </c>
      <c r="AN3394">
        <v>0.99999996403126701</v>
      </c>
    </row>
    <row r="3395" spans="1:40" x14ac:dyDescent="0.25">
      <c r="A3395" t="str">
        <f>"20190303153836304"</f>
        <v>20190303153836304</v>
      </c>
      <c r="B3395" t="str">
        <f>"1551598716291740"</f>
        <v>1551598716291740</v>
      </c>
      <c r="C3395" t="s">
        <v>40</v>
      </c>
      <c r="D3395">
        <v>4.4721229999999998</v>
      </c>
      <c r="E3395">
        <v>0.4598276</v>
      </c>
      <c r="F3395" t="s">
        <v>44</v>
      </c>
      <c r="G3395">
        <v>-485.09840000000003</v>
      </c>
      <c r="H3395">
        <v>1.0380180000000001</v>
      </c>
      <c r="I3395">
        <v>281.99439999999998</v>
      </c>
      <c r="J3395">
        <v>-484.55810000000002</v>
      </c>
      <c r="K3395">
        <v>1.122384</v>
      </c>
      <c r="L3395">
        <v>282.72320000000002</v>
      </c>
      <c r="M3395">
        <v>-0.9516059</v>
      </c>
      <c r="N3395">
        <v>1.9046860000000001E-3</v>
      </c>
      <c r="O3395">
        <v>-0.307315</v>
      </c>
      <c r="P3395">
        <v>-0.71112849999999905</v>
      </c>
      <c r="Q3395">
        <v>-5.9410610000000003E-2</v>
      </c>
      <c r="R3395">
        <v>-0.70054749999999999</v>
      </c>
      <c r="S3395">
        <v>-1.914917</v>
      </c>
      <c r="T3395">
        <v>-0.25620910000000002</v>
      </c>
      <c r="U3395">
        <v>-2.3192140000000001</v>
      </c>
      <c r="V3395">
        <v>-0.44763140000000001</v>
      </c>
      <c r="W3395">
        <v>-6.4490240000000004E-2</v>
      </c>
      <c r="X3395">
        <v>0.89188959999999995</v>
      </c>
      <c r="Y3395">
        <v>-0.53742069999999997</v>
      </c>
      <c r="Z3395">
        <v>3.6539099999999998E-3</v>
      </c>
      <c r="AA3395">
        <v>0.84330640000000001</v>
      </c>
      <c r="AB3395">
        <v>15</v>
      </c>
      <c r="AC3395">
        <v>-0.540300000000002</v>
      </c>
      <c r="AD3395">
        <v>-8.4365999999999899E-2</v>
      </c>
      <c r="AE3395">
        <v>-0.72880000000003498</v>
      </c>
      <c r="AF3395">
        <v>-0.52296664820079897</v>
      </c>
      <c r="AG3395">
        <v>-8.4365999999999899E-2</v>
      </c>
      <c r="AH3395">
        <v>0.73179690899415895</v>
      </c>
      <c r="AI3395">
        <v>95.358478013774601</v>
      </c>
      <c r="AJ3395">
        <v>125.550873502511</v>
      </c>
      <c r="AK3395">
        <v>0.90340381507927203</v>
      </c>
      <c r="AL3395">
        <v>93.697584783673705</v>
      </c>
      <c r="AM3395">
        <v>116.651664540048</v>
      </c>
      <c r="AN3395">
        <v>0.99999995995468804</v>
      </c>
    </row>
    <row r="3396" spans="1:40" x14ac:dyDescent="0.25">
      <c r="A3396" t="str">
        <f>"20190303153836317"</f>
        <v>20190303153836317</v>
      </c>
      <c r="B3396" t="str">
        <f>"1551598716312236"</f>
        <v>1551598716312236</v>
      </c>
      <c r="C3396" t="s">
        <v>40</v>
      </c>
      <c r="D3396">
        <v>4.4634280000000004</v>
      </c>
      <c r="E3396">
        <v>0.46062429999999899</v>
      </c>
      <c r="F3396" t="s">
        <v>44</v>
      </c>
      <c r="G3396">
        <v>-485.12180000000001</v>
      </c>
      <c r="H3396">
        <v>1.0462389999999999</v>
      </c>
      <c r="I3396">
        <v>282.03480000000002</v>
      </c>
      <c r="J3396">
        <v>-484.62990000000002</v>
      </c>
      <c r="K3396">
        <v>1.1224179999999999</v>
      </c>
      <c r="L3396">
        <v>282.69540000000001</v>
      </c>
      <c r="M3396">
        <v>-0.95036639999999994</v>
      </c>
      <c r="N3396">
        <v>1.938008E-3</v>
      </c>
      <c r="O3396">
        <v>-0.31112659999999998</v>
      </c>
      <c r="P3396">
        <v>-0.70740230000000004</v>
      </c>
      <c r="Q3396">
        <v>-6.070296E-2</v>
      </c>
      <c r="R3396">
        <v>-0.70419940000000003</v>
      </c>
      <c r="S3396">
        <v>-1.90506</v>
      </c>
      <c r="T3396">
        <v>-0.25734020000000002</v>
      </c>
      <c r="U3396">
        <v>-2.3266909999999998</v>
      </c>
      <c r="V3396">
        <v>-0.44866470000000003</v>
      </c>
      <c r="W3396">
        <v>-6.5872730000000004E-2</v>
      </c>
      <c r="X3396">
        <v>0.89126919999999898</v>
      </c>
      <c r="Y3396">
        <v>-0.53751439999999995</v>
      </c>
      <c r="Z3396">
        <v>4.0433090000000001E-3</v>
      </c>
      <c r="AA3396">
        <v>0.84324489999999996</v>
      </c>
      <c r="AB3396">
        <v>15</v>
      </c>
      <c r="AC3396">
        <v>-0.49189999999998602</v>
      </c>
      <c r="AD3396">
        <v>-7.6179000000000205E-2</v>
      </c>
      <c r="AE3396">
        <v>-0.66059999999998797</v>
      </c>
      <c r="AF3396">
        <v>-0.47074268003755299</v>
      </c>
      <c r="AG3396">
        <v>-7.6179000000000205E-2</v>
      </c>
      <c r="AH3396">
        <v>0.66730808141165499</v>
      </c>
      <c r="AI3396">
        <v>95.329334196659502</v>
      </c>
      <c r="AJ3396">
        <v>125.200493681162</v>
      </c>
      <c r="AK3396">
        <v>0.820184117358562</v>
      </c>
      <c r="AL3396">
        <v>93.776964259640195</v>
      </c>
      <c r="AM3396">
        <v>116.72067261250599</v>
      </c>
      <c r="AN3396">
        <v>1.00000000822619</v>
      </c>
    </row>
    <row r="3397" spans="1:40" x14ac:dyDescent="0.25">
      <c r="A3397" t="str">
        <f>"20190303153836328"</f>
        <v>20190303153836328</v>
      </c>
      <c r="B3397" t="str">
        <f>"1551598716321995"</f>
        <v>1551598716321995</v>
      </c>
      <c r="C3397" t="s">
        <v>40</v>
      </c>
      <c r="D3397">
        <v>4.4654619999999996</v>
      </c>
      <c r="E3397">
        <v>0.46100289999999999</v>
      </c>
      <c r="F3397" t="s">
        <v>44</v>
      </c>
      <c r="G3397">
        <v>-485.22739999999999</v>
      </c>
      <c r="H3397">
        <v>1.0400389999999999</v>
      </c>
      <c r="I3397">
        <v>281.96069999999997</v>
      </c>
      <c r="J3397">
        <v>-484.70839999999998</v>
      </c>
      <c r="K3397">
        <v>1.122458</v>
      </c>
      <c r="L3397">
        <v>282.66469999999998</v>
      </c>
      <c r="M3397">
        <v>-0.94899449999999996</v>
      </c>
      <c r="N3397">
        <v>1.9700970000000001E-3</v>
      </c>
      <c r="O3397">
        <v>-0.31528709999999999</v>
      </c>
      <c r="P3397">
        <v>-0.70423100000000005</v>
      </c>
      <c r="Q3397">
        <v>-6.0893540000000003E-2</v>
      </c>
      <c r="R3397">
        <v>-0.70735490000000001</v>
      </c>
      <c r="S3397">
        <v>-1.896881</v>
      </c>
      <c r="T3397">
        <v>-0.26158009999999998</v>
      </c>
      <c r="U3397">
        <v>-2.3321230000000002</v>
      </c>
      <c r="V3397">
        <v>-0.44873970000000002</v>
      </c>
      <c r="W3397">
        <v>-6.6151210000000002E-2</v>
      </c>
      <c r="X3397">
        <v>0.89121079999999997</v>
      </c>
      <c r="Y3397">
        <v>-0.5365548</v>
      </c>
      <c r="Z3397">
        <v>4.5639590000000002E-3</v>
      </c>
      <c r="AA3397">
        <v>0.84385319999999997</v>
      </c>
      <c r="AB3397">
        <v>15</v>
      </c>
      <c r="AC3397">
        <v>-0.51900000000000501</v>
      </c>
      <c r="AD3397">
        <v>-8.2419000000000006E-2</v>
      </c>
      <c r="AE3397">
        <v>-0.70400000000000695</v>
      </c>
      <c r="AF3397">
        <v>-0.50001890201184696</v>
      </c>
      <c r="AG3397">
        <v>-8.2419000000000006E-2</v>
      </c>
      <c r="AH3397">
        <v>0.70820276430083895</v>
      </c>
      <c r="AI3397">
        <v>95.430776267902701</v>
      </c>
      <c r="AJ3397">
        <v>125.223589958394</v>
      </c>
      <c r="AK3397">
        <v>0.87084036958186695</v>
      </c>
      <c r="AL3397">
        <v>93.792954914836699</v>
      </c>
      <c r="AM3397">
        <v>116.7260271578</v>
      </c>
      <c r="AN3397">
        <v>0.99999999548859697</v>
      </c>
    </row>
    <row r="3398" spans="1:40" x14ac:dyDescent="0.25">
      <c r="A3398" t="str">
        <f>"20190303153836341"</f>
        <v>20190303153836341</v>
      </c>
      <c r="B3398" t="str">
        <f>"1551598716331755"</f>
        <v>1551598716331755</v>
      </c>
      <c r="C3398" t="s">
        <v>40</v>
      </c>
      <c r="D3398">
        <v>4.4769839999999999</v>
      </c>
      <c r="E3398">
        <v>0.46153290000000002</v>
      </c>
      <c r="F3398" t="s">
        <v>44</v>
      </c>
      <c r="G3398">
        <v>-485.2482</v>
      </c>
      <c r="H3398">
        <v>1.0476449999999999</v>
      </c>
      <c r="I3398">
        <v>281.99630000000002</v>
      </c>
      <c r="J3398">
        <v>-484.78489999999999</v>
      </c>
      <c r="K3398">
        <v>1.122503</v>
      </c>
      <c r="L3398">
        <v>282.6343</v>
      </c>
      <c r="M3398">
        <v>-0.94763850000000005</v>
      </c>
      <c r="N3398">
        <v>1.98963E-3</v>
      </c>
      <c r="O3398">
        <v>-0.31933929999999999</v>
      </c>
      <c r="P3398">
        <v>-0.70099820000000002</v>
      </c>
      <c r="Q3398">
        <v>-6.1029739999999999E-2</v>
      </c>
      <c r="R3398">
        <v>-0.71054700000000004</v>
      </c>
      <c r="S3398">
        <v>-1.888641</v>
      </c>
      <c r="T3398">
        <v>-0.26178839999999998</v>
      </c>
      <c r="U3398">
        <v>-2.338257</v>
      </c>
      <c r="V3398">
        <v>-0.44897429999999999</v>
      </c>
      <c r="W3398">
        <v>-6.6365599999999997E-2</v>
      </c>
      <c r="X3398">
        <v>0.89107669999999894</v>
      </c>
      <c r="Y3398">
        <v>-0.53584659999999995</v>
      </c>
      <c r="Z3398">
        <v>5.0090959999999898E-3</v>
      </c>
      <c r="AA3398">
        <v>0.84430049999999901</v>
      </c>
      <c r="AB3398">
        <v>15</v>
      </c>
      <c r="AC3398">
        <v>-0.46330000000000299</v>
      </c>
      <c r="AD3398">
        <v>-7.48579999999998E-2</v>
      </c>
      <c r="AE3398">
        <v>-0.63799999999997603</v>
      </c>
      <c r="AF3398">
        <v>-0.452565032128112</v>
      </c>
      <c r="AG3398">
        <v>-7.48579999999998E-2</v>
      </c>
      <c r="AH3398">
        <v>0.63703851601779404</v>
      </c>
      <c r="AI3398">
        <v>95.472016698262806</v>
      </c>
      <c r="AJ3398">
        <v>125.390755504927</v>
      </c>
      <c r="AK3398">
        <v>0.78500757917313901</v>
      </c>
      <c r="AL3398">
        <v>93.805265592284499</v>
      </c>
      <c r="AM3398">
        <v>116.74152230519999</v>
      </c>
      <c r="AN3398">
        <v>1.00000000010337</v>
      </c>
    </row>
    <row r="3399" spans="1:40" x14ac:dyDescent="0.25">
      <c r="A3399" t="str">
        <f>"20190303153836353"</f>
        <v>20190303153836353</v>
      </c>
      <c r="B3399" t="str">
        <f>"1551598716341515"</f>
        <v>1551598716341515</v>
      </c>
      <c r="C3399" t="s">
        <v>40</v>
      </c>
      <c r="D3399">
        <v>4.4883030000000002</v>
      </c>
      <c r="E3399">
        <v>0.46179340000000002</v>
      </c>
      <c r="F3399" t="s">
        <v>44</v>
      </c>
      <c r="G3399">
        <v>-485.35640000000001</v>
      </c>
      <c r="H3399">
        <v>1.0435000000000001</v>
      </c>
      <c r="I3399">
        <v>281.92250000000001</v>
      </c>
      <c r="J3399">
        <v>-484.86219999999997</v>
      </c>
      <c r="K3399">
        <v>1.122552</v>
      </c>
      <c r="L3399">
        <v>282.60329999999999</v>
      </c>
      <c r="M3399">
        <v>-0.94625000000000004</v>
      </c>
      <c r="N3399">
        <v>2.0053179999999999E-3</v>
      </c>
      <c r="O3399">
        <v>-0.3234301</v>
      </c>
      <c r="P3399">
        <v>-0.69782789999999995</v>
      </c>
      <c r="Q3399">
        <v>-6.1539209999999997E-2</v>
      </c>
      <c r="R3399">
        <v>-0.71361680000000005</v>
      </c>
      <c r="S3399">
        <v>-1.8811340000000001</v>
      </c>
      <c r="T3399">
        <v>-0.26006010000000002</v>
      </c>
      <c r="U3399">
        <v>-2.3439640000000002</v>
      </c>
      <c r="V3399">
        <v>-0.44903700000000002</v>
      </c>
      <c r="W3399">
        <v>-6.6950399999999993E-2</v>
      </c>
      <c r="X3399">
        <v>0.8910013</v>
      </c>
      <c r="Y3399">
        <v>-0.53487489999999904</v>
      </c>
      <c r="Z3399">
        <v>5.4388680000000003E-3</v>
      </c>
      <c r="AA3399">
        <v>0.84491380000000005</v>
      </c>
      <c r="AB3399">
        <v>15</v>
      </c>
      <c r="AC3399">
        <v>-0.494200000000034</v>
      </c>
      <c r="AD3399">
        <v>-7.90519999999999E-2</v>
      </c>
      <c r="AE3399">
        <v>-0.68079999999997598</v>
      </c>
      <c r="AF3399">
        <v>-0.48012922891377902</v>
      </c>
      <c r="AG3399">
        <v>-7.90519999999999E-2</v>
      </c>
      <c r="AH3399">
        <v>0.68180890361374302</v>
      </c>
      <c r="AI3399">
        <v>95.415345280524704</v>
      </c>
      <c r="AJ3399">
        <v>125.153172845699</v>
      </c>
      <c r="AK3399">
        <v>0.837637556588955</v>
      </c>
      <c r="AL3399">
        <v>93.838847045875895</v>
      </c>
      <c r="AM3399">
        <v>116.746686008777</v>
      </c>
      <c r="AN3399">
        <v>0.99999995001542297</v>
      </c>
    </row>
    <row r="3400" spans="1:40" x14ac:dyDescent="0.25">
      <c r="A3400" t="str">
        <f>"20190303153836367"</f>
        <v>20190303153836367</v>
      </c>
      <c r="B3400" t="str">
        <f>"1551598716361644"</f>
        <v>1551598716361644</v>
      </c>
      <c r="C3400" t="s">
        <v>40</v>
      </c>
      <c r="D3400">
        <v>4.49329</v>
      </c>
      <c r="E3400">
        <v>0.4621806</v>
      </c>
      <c r="F3400" t="s">
        <v>44</v>
      </c>
      <c r="G3400">
        <v>-485.46510000000001</v>
      </c>
      <c r="H3400">
        <v>1.038332</v>
      </c>
      <c r="I3400">
        <v>281.84629999999999</v>
      </c>
      <c r="J3400">
        <v>-484.95139999999998</v>
      </c>
      <c r="K3400">
        <v>1.1226119999999999</v>
      </c>
      <c r="L3400">
        <v>282.56709999999998</v>
      </c>
      <c r="M3400">
        <v>-0.94462369999999996</v>
      </c>
      <c r="N3400">
        <v>2.0149130000000001E-3</v>
      </c>
      <c r="O3400">
        <v>-0.32814969999999999</v>
      </c>
      <c r="P3400">
        <v>-0.69428190000000001</v>
      </c>
      <c r="Q3400">
        <v>-6.1422490000000003E-2</v>
      </c>
      <c r="R3400">
        <v>-0.71707759999999998</v>
      </c>
      <c r="S3400">
        <v>-1.8720399999999999</v>
      </c>
      <c r="T3400">
        <v>-0.26147350000000003</v>
      </c>
      <c r="U3400">
        <v>-2.3506469999999999</v>
      </c>
      <c r="V3400">
        <v>-0.4490053</v>
      </c>
      <c r="W3400">
        <v>-6.6914779999999993E-2</v>
      </c>
      <c r="X3400">
        <v>0.89102000000000003</v>
      </c>
      <c r="Y3400">
        <v>-0.53383970000000003</v>
      </c>
      <c r="Z3400">
        <v>5.9807300000000001E-3</v>
      </c>
      <c r="AA3400">
        <v>0.8455646</v>
      </c>
      <c r="AB3400">
        <v>15</v>
      </c>
      <c r="AC3400">
        <v>-0.51370000000002802</v>
      </c>
      <c r="AD3400">
        <v>-8.4280000000000105E-2</v>
      </c>
      <c r="AE3400">
        <v>-0.720799999999997</v>
      </c>
      <c r="AF3400">
        <v>-0.50771203776057106</v>
      </c>
      <c r="AG3400">
        <v>-8.4280000000000105E-2</v>
      </c>
      <c r="AH3400">
        <v>0.71529956893910196</v>
      </c>
      <c r="AI3400">
        <v>95.488237588609607</v>
      </c>
      <c r="AJ3400">
        <v>125.36672789589301</v>
      </c>
      <c r="AK3400">
        <v>0.88120832100670499</v>
      </c>
      <c r="AL3400">
        <v>93.836801414891994</v>
      </c>
      <c r="AM3400">
        <v>116.74457714434401</v>
      </c>
      <c r="AN3400">
        <v>0.99999999380526905</v>
      </c>
    </row>
    <row r="3401" spans="1:40" x14ac:dyDescent="0.25">
      <c r="A3401" t="str">
        <f>"20190303153836380"</f>
        <v>20190303153836380</v>
      </c>
      <c r="B3401" t="str">
        <f>"1551598716371380"</f>
        <v>1551598716371380</v>
      </c>
      <c r="C3401" t="s">
        <v>40</v>
      </c>
      <c r="D3401">
        <v>4.4551319999999999</v>
      </c>
      <c r="E3401">
        <v>0.46246490000000001</v>
      </c>
      <c r="F3401" t="s">
        <v>44</v>
      </c>
      <c r="G3401">
        <v>-485.48930000000001</v>
      </c>
      <c r="H3401">
        <v>1.0469489999999999</v>
      </c>
      <c r="I3401">
        <v>281.88630000000001</v>
      </c>
      <c r="J3401">
        <v>-485.03410000000002</v>
      </c>
      <c r="K3401">
        <v>1.1226719999999999</v>
      </c>
      <c r="L3401">
        <v>282.53289999999998</v>
      </c>
      <c r="M3401">
        <v>-0.94308950000000003</v>
      </c>
      <c r="N3401">
        <v>2.014133E-3</v>
      </c>
      <c r="O3401">
        <v>-0.33253270000000001</v>
      </c>
      <c r="P3401">
        <v>-0.69097830000000005</v>
      </c>
      <c r="Q3401">
        <v>-6.1106550000000003E-2</v>
      </c>
      <c r="R3401">
        <v>-0.72028829999999999</v>
      </c>
      <c r="S3401">
        <v>-1.862762</v>
      </c>
      <c r="T3401">
        <v>-0.26198640000000001</v>
      </c>
      <c r="U3401">
        <v>-2.3577270000000001</v>
      </c>
      <c r="V3401">
        <v>-0.44898139999999997</v>
      </c>
      <c r="W3401">
        <v>-6.6667989999999996E-2</v>
      </c>
      <c r="X3401">
        <v>0.89105059999999903</v>
      </c>
      <c r="Y3401">
        <v>-0.53321109999999905</v>
      </c>
      <c r="Z3401">
        <v>6.4501050000000002E-3</v>
      </c>
      <c r="AA3401">
        <v>0.84595769999999904</v>
      </c>
      <c r="AB3401">
        <v>15</v>
      </c>
      <c r="AC3401">
        <v>-0.45519999999999</v>
      </c>
      <c r="AD3401">
        <v>-7.5722999999999901E-2</v>
      </c>
      <c r="AE3401">
        <v>-0.64659999999997797</v>
      </c>
      <c r="AF3401">
        <v>-0.454268120556101</v>
      </c>
      <c r="AG3401">
        <v>-7.5722999999999901E-2</v>
      </c>
      <c r="AH3401">
        <v>0.63845670454344405</v>
      </c>
      <c r="AI3401">
        <v>95.519815087153205</v>
      </c>
      <c r="AJ3401">
        <v>125.43221891306</v>
      </c>
      <c r="AK3401">
        <v>0.78722326036458501</v>
      </c>
      <c r="AL3401">
        <v>93.822629547097307</v>
      </c>
      <c r="AM3401">
        <v>116.742560795069</v>
      </c>
      <c r="AN3401">
        <v>1.0000000450984701</v>
      </c>
    </row>
    <row r="3402" spans="1:40" x14ac:dyDescent="0.25">
      <c r="A3402" t="str">
        <f>"20190303153836393"</f>
        <v>20190303153836393</v>
      </c>
      <c r="B3402" t="str">
        <f>"1551598716382116"</f>
        <v>1551598716382116</v>
      </c>
      <c r="C3402" t="s">
        <v>40</v>
      </c>
      <c r="D3402">
        <v>4.4678649999999998</v>
      </c>
      <c r="E3402">
        <v>0.46270090000000003</v>
      </c>
      <c r="F3402" t="s">
        <v>44</v>
      </c>
      <c r="G3402">
        <v>-485.60059999999999</v>
      </c>
      <c r="H3402">
        <v>1.043051</v>
      </c>
      <c r="I3402">
        <v>281.81020000000001</v>
      </c>
      <c r="J3402">
        <v>-485.11599999999999</v>
      </c>
      <c r="K3402">
        <v>1.1227389999999999</v>
      </c>
      <c r="L3402">
        <v>282.49860000000001</v>
      </c>
      <c r="M3402">
        <v>-0.94154459999999995</v>
      </c>
      <c r="N3402">
        <v>2.0092420000000001E-3</v>
      </c>
      <c r="O3402">
        <v>-0.33688269999999998</v>
      </c>
      <c r="P3402">
        <v>-0.68801559999999995</v>
      </c>
      <c r="Q3402">
        <v>-6.0629519999999999E-2</v>
      </c>
      <c r="R3402">
        <v>-0.72315909999999906</v>
      </c>
      <c r="S3402">
        <v>-1.853607</v>
      </c>
      <c r="T3402">
        <v>-0.2604553</v>
      </c>
      <c r="U3402">
        <v>-2.364716</v>
      </c>
      <c r="V3402">
        <v>-0.44855729999999999</v>
      </c>
      <c r="W3402">
        <v>-6.6254439999999998E-2</v>
      </c>
      <c r="X3402">
        <v>0.89129499999999995</v>
      </c>
      <c r="Y3402">
        <v>-0.53257319999999997</v>
      </c>
      <c r="Z3402">
        <v>6.8722069999999904E-3</v>
      </c>
      <c r="AA3402">
        <v>0.846356</v>
      </c>
      <c r="AB3402">
        <v>16</v>
      </c>
      <c r="AC3402">
        <v>-0.48459999999999998</v>
      </c>
      <c r="AD3402">
        <v>-7.9687999999999898E-2</v>
      </c>
      <c r="AE3402">
        <v>-0.68840000000000101</v>
      </c>
      <c r="AF3402">
        <v>-0.48060072800706199</v>
      </c>
      <c r="AG3402">
        <v>-7.9687999999999898E-2</v>
      </c>
      <c r="AH3402">
        <v>0.68207256223914103</v>
      </c>
      <c r="AI3402">
        <v>95.455484160393297</v>
      </c>
      <c r="AJ3402">
        <v>125.169220592652</v>
      </c>
      <c r="AK3402">
        <v>0.83818268728504797</v>
      </c>
      <c r="AL3402">
        <v>93.798882394464698</v>
      </c>
      <c r="AM3402">
        <v>116.714497949274</v>
      </c>
      <c r="AN3402">
        <v>1.0000000396140001</v>
      </c>
    </row>
    <row r="3403" spans="1:40" x14ac:dyDescent="0.25">
      <c r="A3403" t="str">
        <f>"20190303153836416"</f>
        <v>20190303153836416</v>
      </c>
      <c r="B3403" t="str">
        <f>"1551598716411399"</f>
        <v>1551598716411399</v>
      </c>
      <c r="C3403" t="s">
        <v>40</v>
      </c>
      <c r="D3403">
        <v>4.4606170000000001</v>
      </c>
      <c r="E3403">
        <v>0.46325880000000003</v>
      </c>
      <c r="F3403" t="s">
        <v>44</v>
      </c>
      <c r="G3403">
        <v>-485.71249999999998</v>
      </c>
      <c r="H3403">
        <v>1.039177</v>
      </c>
      <c r="I3403">
        <v>281.73169999999999</v>
      </c>
      <c r="J3403">
        <v>-485.26060000000001</v>
      </c>
      <c r="K3403">
        <v>1.1228560000000001</v>
      </c>
      <c r="L3403">
        <v>282.43709999999999</v>
      </c>
      <c r="M3403">
        <v>-0.93875280000000005</v>
      </c>
      <c r="N3403">
        <v>1.9855469999999998E-3</v>
      </c>
      <c r="O3403">
        <v>-0.3445858</v>
      </c>
      <c r="P3403">
        <v>-0.68231609999999998</v>
      </c>
      <c r="Q3403">
        <v>-6.0877069999999998E-2</v>
      </c>
      <c r="R3403">
        <v>-0.72851840000000001</v>
      </c>
      <c r="S3403">
        <v>-1.844849</v>
      </c>
      <c r="T3403">
        <v>-0.25846710000000001</v>
      </c>
      <c r="U3403">
        <v>-2.371521</v>
      </c>
      <c r="V3403">
        <v>-0.44821220000000001</v>
      </c>
      <c r="W3403">
        <v>-6.6609199999999993E-2</v>
      </c>
      <c r="X3403">
        <v>0.89144210000000002</v>
      </c>
      <c r="Y3403">
        <v>-0.52880569999999905</v>
      </c>
      <c r="Z3403">
        <v>7.7484099999999998E-3</v>
      </c>
      <c r="AA3403">
        <v>0.84870759999999901</v>
      </c>
      <c r="AB3403">
        <v>16</v>
      </c>
      <c r="AC3403">
        <v>-0.451899999999966</v>
      </c>
      <c r="AD3403">
        <v>-8.3678999999999795E-2</v>
      </c>
      <c r="AE3403">
        <v>-0.70539999999999703</v>
      </c>
      <c r="AF3403">
        <v>-0.50147543934120598</v>
      </c>
      <c r="AG3403">
        <v>-8.3678999999999795E-2</v>
      </c>
      <c r="AH3403">
        <v>0.66070238423438998</v>
      </c>
      <c r="AI3403">
        <v>95.760714456346406</v>
      </c>
      <c r="AJ3403">
        <v>127.198626348693</v>
      </c>
      <c r="AK3403">
        <v>0.83367105733404401</v>
      </c>
      <c r="AL3403">
        <v>93.819253836181105</v>
      </c>
      <c r="AM3403">
        <v>116.69299916164201</v>
      </c>
      <c r="AN3403">
        <v>0.99999998970294501</v>
      </c>
    </row>
    <row r="3404" spans="1:40" x14ac:dyDescent="0.25">
      <c r="A3404" t="str">
        <f>"20190303153836427"</f>
        <v>20190303153836427</v>
      </c>
      <c r="B3404" t="str">
        <f>"1551598716422133"</f>
        <v>1551598716422133</v>
      </c>
      <c r="C3404" t="s">
        <v>40</v>
      </c>
      <c r="D3404">
        <v>4.483816</v>
      </c>
      <c r="E3404">
        <v>0.4633158</v>
      </c>
      <c r="F3404" t="s">
        <v>44</v>
      </c>
      <c r="G3404">
        <v>-485.84289999999999</v>
      </c>
      <c r="H3404">
        <v>1.040816</v>
      </c>
      <c r="I3404">
        <v>281.67930000000001</v>
      </c>
      <c r="J3404">
        <v>-485.33760000000001</v>
      </c>
      <c r="K3404">
        <v>1.122919</v>
      </c>
      <c r="L3404">
        <v>282.40379999999999</v>
      </c>
      <c r="M3404">
        <v>-0.9372317</v>
      </c>
      <c r="N3404">
        <v>1.9681360000000001E-3</v>
      </c>
      <c r="O3404">
        <v>-0.34870210000000001</v>
      </c>
      <c r="P3404">
        <v>-0.67928109999999997</v>
      </c>
      <c r="Q3404">
        <v>-6.1165079999999997E-2</v>
      </c>
      <c r="R3404">
        <v>-0.73132540000000001</v>
      </c>
      <c r="S3404">
        <v>-1.8298030000000001</v>
      </c>
      <c r="T3404">
        <v>-0.2578222</v>
      </c>
      <c r="U3404">
        <v>-2.3825989999999999</v>
      </c>
      <c r="V3404">
        <v>-0.44797110000000001</v>
      </c>
      <c r="W3404">
        <v>-6.695139E-2</v>
      </c>
      <c r="X3404">
        <v>0.89153769999999999</v>
      </c>
      <c r="Y3404">
        <v>-0.53036700000000003</v>
      </c>
      <c r="Z3404">
        <v>8.0413889999999995E-3</v>
      </c>
      <c r="AA3404">
        <v>0.84772999999999898</v>
      </c>
      <c r="AB3404">
        <v>16</v>
      </c>
      <c r="AC3404">
        <v>-0.50529999999997699</v>
      </c>
      <c r="AD3404">
        <v>-8.2102999999999995E-2</v>
      </c>
      <c r="AE3404">
        <v>-0.72449999999997705</v>
      </c>
      <c r="AF3404">
        <v>-0.49851906503137899</v>
      </c>
      <c r="AG3404">
        <v>-8.2102999999999995E-2</v>
      </c>
      <c r="AH3404">
        <v>0.71999861293245904</v>
      </c>
      <c r="AI3404">
        <v>95.355983541857</v>
      </c>
      <c r="AJ3404">
        <v>124.69829968083801</v>
      </c>
      <c r="AK3404">
        <v>0.87957953786648901</v>
      </c>
      <c r="AL3404">
        <v>93.838903578018403</v>
      </c>
      <c r="AM3404">
        <v>116.67816353624001</v>
      </c>
      <c r="AN3404">
        <v>1.0000000327897101</v>
      </c>
    </row>
    <row r="3405" spans="1:40" x14ac:dyDescent="0.25">
      <c r="A3405" t="str">
        <f>"20190303153836438"</f>
        <v>20190303153836438</v>
      </c>
      <c r="B3405" t="str">
        <f>"1551598716431892"</f>
        <v>1551598716431892</v>
      </c>
      <c r="C3405" t="s">
        <v>40</v>
      </c>
      <c r="D3405">
        <v>4.48637</v>
      </c>
      <c r="E3405">
        <v>0.4633236</v>
      </c>
      <c r="F3405" t="s">
        <v>44</v>
      </c>
      <c r="G3405">
        <v>-485.86419999999998</v>
      </c>
      <c r="H3405">
        <v>1.04765</v>
      </c>
      <c r="I3405">
        <v>281.71269999999998</v>
      </c>
      <c r="J3405">
        <v>-485.40899999999999</v>
      </c>
      <c r="K3405">
        <v>1.1229800000000001</v>
      </c>
      <c r="L3405">
        <v>282.37240000000003</v>
      </c>
      <c r="M3405">
        <v>-0.93579449999999997</v>
      </c>
      <c r="N3405">
        <v>1.946948E-3</v>
      </c>
      <c r="O3405">
        <v>-0.35254069999999998</v>
      </c>
      <c r="P3405">
        <v>-0.6764616</v>
      </c>
      <c r="Q3405">
        <v>-6.113027E-2</v>
      </c>
      <c r="R3405">
        <v>-0.73393649999999999</v>
      </c>
      <c r="S3405">
        <v>-1.82016</v>
      </c>
      <c r="T3405">
        <v>-0.26016339999999999</v>
      </c>
      <c r="U3405">
        <v>-2.3898009999999998</v>
      </c>
      <c r="V3405">
        <v>-0.44774069999999999</v>
      </c>
      <c r="W3405">
        <v>-6.6963640000000005E-2</v>
      </c>
      <c r="X3405">
        <v>0.89165249999999996</v>
      </c>
      <c r="Y3405">
        <v>-0.53028969999999997</v>
      </c>
      <c r="Z3405">
        <v>8.4683280000000007E-3</v>
      </c>
      <c r="AA3405">
        <v>0.84777420000000003</v>
      </c>
      <c r="AB3405">
        <v>16</v>
      </c>
      <c r="AC3405">
        <v>-0.45519999999999</v>
      </c>
      <c r="AD3405">
        <v>-7.5329999999999897E-2</v>
      </c>
      <c r="AE3405">
        <v>-0.65970000000004303</v>
      </c>
      <c r="AF3405">
        <v>-0.452867637423297</v>
      </c>
      <c r="AG3405">
        <v>-7.5329999999999897E-2</v>
      </c>
      <c r="AH3405">
        <v>0.65277977907101303</v>
      </c>
      <c r="AI3405">
        <v>95.416354488808594</v>
      </c>
      <c r="AJ3405">
        <v>124.751077914733</v>
      </c>
      <c r="AK3405">
        <v>0.79805084166947604</v>
      </c>
      <c r="AL3405">
        <v>93.839607070923904</v>
      </c>
      <c r="AM3405">
        <v>116.66338156753</v>
      </c>
      <c r="AN3405">
        <v>1.0000000221373899</v>
      </c>
    </row>
    <row r="3406" spans="1:40" x14ac:dyDescent="0.25">
      <c r="A3406" t="str">
        <f>"20190303153836450"</f>
        <v>20190303153836450</v>
      </c>
      <c r="B3406" t="str">
        <f>"1551598716441652"</f>
        <v>1551598716441652</v>
      </c>
      <c r="C3406" t="s">
        <v>40</v>
      </c>
      <c r="D3406">
        <v>4.480842</v>
      </c>
      <c r="E3406">
        <v>0.46339960000000002</v>
      </c>
      <c r="F3406" t="s">
        <v>44</v>
      </c>
      <c r="G3406">
        <v>-485.9742</v>
      </c>
      <c r="H3406">
        <v>1.041409</v>
      </c>
      <c r="I3406">
        <v>281.6241</v>
      </c>
      <c r="J3406">
        <v>-485.4898</v>
      </c>
      <c r="K3406">
        <v>1.123049</v>
      </c>
      <c r="L3406">
        <v>282.33659999999998</v>
      </c>
      <c r="M3406">
        <v>-0.93414370000000002</v>
      </c>
      <c r="N3406">
        <v>1.9215079999999999E-3</v>
      </c>
      <c r="O3406">
        <v>-0.35689199999999999</v>
      </c>
      <c r="P3406">
        <v>-0.67323630000000001</v>
      </c>
      <c r="Q3406">
        <v>-6.1104449999999998E-2</v>
      </c>
      <c r="R3406">
        <v>-0.73689839999999995</v>
      </c>
      <c r="S3406">
        <v>-1.810516</v>
      </c>
      <c r="T3406">
        <v>-0.26130429999999999</v>
      </c>
      <c r="U3406">
        <v>-2.396973</v>
      </c>
      <c r="V3406">
        <v>-0.44749240000000001</v>
      </c>
      <c r="W3406">
        <v>-6.6990869999999994E-2</v>
      </c>
      <c r="X3406">
        <v>0.89177510000000004</v>
      </c>
      <c r="Y3406">
        <v>-0.52974549999999998</v>
      </c>
      <c r="Z3406">
        <v>8.9383239999999992E-3</v>
      </c>
      <c r="AA3406">
        <v>0.84810959999999902</v>
      </c>
      <c r="AB3406">
        <v>16</v>
      </c>
      <c r="AC3406">
        <v>-0.484399999999993</v>
      </c>
      <c r="AD3406">
        <v>-8.1639999999999893E-2</v>
      </c>
      <c r="AE3406">
        <v>-0.71249999999997704</v>
      </c>
      <c r="AF3406">
        <v>-0.488315229941508</v>
      </c>
      <c r="AG3406">
        <v>-8.1639999999999893E-2</v>
      </c>
      <c r="AH3406">
        <v>0.70049630868455004</v>
      </c>
      <c r="AI3406">
        <v>95.461350557114997</v>
      </c>
      <c r="AJ3406">
        <v>124.88031181739299</v>
      </c>
      <c r="AK3406">
        <v>0.85779480755802495</v>
      </c>
      <c r="AL3406">
        <v>93.841170728063105</v>
      </c>
      <c r="AM3406">
        <v>116.647479964689</v>
      </c>
      <c r="AN3406">
        <v>1.00000002685056</v>
      </c>
    </row>
    <row r="3407" spans="1:40" x14ac:dyDescent="0.25">
      <c r="A3407" t="str">
        <f>"20190303153836463"</f>
        <v>20190303153836463</v>
      </c>
      <c r="B3407" t="str">
        <f>"1551598716451413"</f>
        <v>1551598716451413</v>
      </c>
      <c r="C3407" t="s">
        <v>40</v>
      </c>
      <c r="D3407">
        <v>4.4598459999999998</v>
      </c>
      <c r="E3407">
        <v>0.46351700000000001</v>
      </c>
      <c r="F3407" t="s">
        <v>44</v>
      </c>
      <c r="G3407">
        <v>-486.08789999999999</v>
      </c>
      <c r="H3407">
        <v>1.0361</v>
      </c>
      <c r="I3407">
        <v>281.53829999999999</v>
      </c>
      <c r="J3407">
        <v>-485.58120000000002</v>
      </c>
      <c r="K3407">
        <v>1.123135</v>
      </c>
      <c r="L3407">
        <v>282.29539999999997</v>
      </c>
      <c r="M3407">
        <v>-0.93223319999999998</v>
      </c>
      <c r="N3407">
        <v>1.884454E-3</v>
      </c>
      <c r="O3407">
        <v>-0.3618536</v>
      </c>
      <c r="P3407">
        <v>-0.66945390000000005</v>
      </c>
      <c r="Q3407">
        <v>-6.102523E-2</v>
      </c>
      <c r="R3407">
        <v>-0.74034299999999997</v>
      </c>
      <c r="S3407">
        <v>-1.8006899999999999</v>
      </c>
      <c r="T3407">
        <v>-0.26179859999999999</v>
      </c>
      <c r="U3407">
        <v>-2.4042970000000001</v>
      </c>
      <c r="V3407">
        <v>-0.44731100000000001</v>
      </c>
      <c r="W3407">
        <v>-6.6972180000000006E-2</v>
      </c>
      <c r="X3407">
        <v>0.89186749999999904</v>
      </c>
      <c r="Y3407">
        <v>-0.52871250000000003</v>
      </c>
      <c r="Z3407">
        <v>9.4695690000000006E-3</v>
      </c>
      <c r="AA3407">
        <v>0.84874819999999995</v>
      </c>
      <c r="AB3407">
        <v>16</v>
      </c>
      <c r="AC3407">
        <v>-0.50669999999996596</v>
      </c>
      <c r="AD3407">
        <v>-8.7034999999999904E-2</v>
      </c>
      <c r="AE3407">
        <v>-0.75709999999997901</v>
      </c>
      <c r="AF3407">
        <v>-0.51771805585268804</v>
      </c>
      <c r="AG3407">
        <v>-8.7034999999999904E-2</v>
      </c>
      <c r="AH3407">
        <v>0.73957288686777301</v>
      </c>
      <c r="AI3407">
        <v>95.506778522154093</v>
      </c>
      <c r="AJ3407">
        <v>124.992905913507</v>
      </c>
      <c r="AK3407">
        <v>0.90695927779080499</v>
      </c>
      <c r="AL3407">
        <v>93.840097483737793</v>
      </c>
      <c r="AM3407">
        <v>116.63578981020299</v>
      </c>
      <c r="AN3407">
        <v>1.0000000205855999</v>
      </c>
    </row>
    <row r="3408" spans="1:40" x14ac:dyDescent="0.25">
      <c r="A3408" t="str">
        <f>"20190303153836478"</f>
        <v>20190303153836478</v>
      </c>
      <c r="B3408" t="str">
        <f>"1551598716471765"</f>
        <v>1551598716471765</v>
      </c>
      <c r="C3408" t="s">
        <v>40</v>
      </c>
      <c r="D3408">
        <v>4.4602709999999997</v>
      </c>
      <c r="E3408">
        <v>0.4636305</v>
      </c>
      <c r="F3408" t="s">
        <v>44</v>
      </c>
      <c r="G3408">
        <v>-486.11360000000002</v>
      </c>
      <c r="H3408">
        <v>1.045328</v>
      </c>
      <c r="I3408">
        <v>281.57749999999999</v>
      </c>
      <c r="J3408">
        <v>-485.67680000000001</v>
      </c>
      <c r="K3408">
        <v>1.1232260000000001</v>
      </c>
      <c r="L3408">
        <v>282.25170000000003</v>
      </c>
      <c r="M3408">
        <v>-0.93019070000000004</v>
      </c>
      <c r="N3408">
        <v>1.8391600000000001E-3</v>
      </c>
      <c r="O3408">
        <v>-0.36707240000000002</v>
      </c>
      <c r="P3408">
        <v>-0.66599949999999997</v>
      </c>
      <c r="Q3408">
        <v>-6.053095E-2</v>
      </c>
      <c r="R3408">
        <v>-0.74349279999999995</v>
      </c>
      <c r="S3408">
        <v>-1.788788</v>
      </c>
      <c r="T3408">
        <v>-0.2614399</v>
      </c>
      <c r="U3408">
        <v>-2.4131469999999999</v>
      </c>
      <c r="V3408">
        <v>-0.44649250000000001</v>
      </c>
      <c r="W3408">
        <v>-6.6533919999999996E-2</v>
      </c>
      <c r="X3408">
        <v>0.8923103</v>
      </c>
      <c r="Y3408">
        <v>-0.528165</v>
      </c>
      <c r="Z3408">
        <v>9.9698960000000007E-3</v>
      </c>
      <c r="AA3408">
        <v>0.84908320000000004</v>
      </c>
      <c r="AB3408">
        <v>16</v>
      </c>
      <c r="AC3408">
        <v>-0.43680000000000502</v>
      </c>
      <c r="AD3408">
        <v>-7.7897999999999995E-2</v>
      </c>
      <c r="AE3408">
        <v>-0.67420000000004099</v>
      </c>
      <c r="AF3408">
        <v>-0.46244968153512001</v>
      </c>
      <c r="AG3408">
        <v>-7.7897999999999995E-2</v>
      </c>
      <c r="AH3408">
        <v>0.64769825397263003</v>
      </c>
      <c r="AI3408">
        <v>95.590337734861905</v>
      </c>
      <c r="AJ3408">
        <v>125.526433956601</v>
      </c>
      <c r="AK3408">
        <v>0.79965044522911899</v>
      </c>
      <c r="AL3408">
        <v>93.814931006696</v>
      </c>
      <c r="AM3408">
        <v>116.58237771299299</v>
      </c>
      <c r="AN3408">
        <v>0.99999999327645295</v>
      </c>
    </row>
    <row r="3409" spans="1:40" x14ac:dyDescent="0.25">
      <c r="A3409" t="str">
        <f>"20190303153836493"</f>
        <v>20190303153836493</v>
      </c>
      <c r="B3409" t="str">
        <f>"1551598716481526"</f>
        <v>1551598716481526</v>
      </c>
      <c r="C3409" t="s">
        <v>40</v>
      </c>
      <c r="D3409">
        <v>4.46591</v>
      </c>
      <c r="E3409">
        <v>0.4636806</v>
      </c>
      <c r="F3409" t="s">
        <v>44</v>
      </c>
      <c r="G3409">
        <v>-486.23239999999998</v>
      </c>
      <c r="H3409">
        <v>1.0415179999999999</v>
      </c>
      <c r="I3409">
        <v>281.49579999999997</v>
      </c>
      <c r="J3409">
        <v>-485.77289999999999</v>
      </c>
      <c r="K3409">
        <v>1.1233280000000001</v>
      </c>
      <c r="L3409">
        <v>282.2072</v>
      </c>
      <c r="M3409">
        <v>-0.92809359999999996</v>
      </c>
      <c r="N3409">
        <v>1.7858570000000001E-3</v>
      </c>
      <c r="O3409">
        <v>-0.37234289999999998</v>
      </c>
      <c r="P3409">
        <v>-0.66271159999999996</v>
      </c>
      <c r="Q3409">
        <v>-6.0396829999999999E-2</v>
      </c>
      <c r="R3409">
        <v>-0.74643549999999903</v>
      </c>
      <c r="S3409">
        <v>-1.77835099999999</v>
      </c>
      <c r="T3409">
        <v>-0.26158179999999998</v>
      </c>
      <c r="U3409">
        <v>-2.420715</v>
      </c>
      <c r="V3409">
        <v>-0.44536369999999997</v>
      </c>
      <c r="W3409">
        <v>-6.6450720000000005E-2</v>
      </c>
      <c r="X3409">
        <v>0.89288040000000002</v>
      </c>
      <c r="Y3409">
        <v>-0.52701049999999905</v>
      </c>
      <c r="Z3409">
        <v>1.051765E-2</v>
      </c>
      <c r="AA3409">
        <v>0.84979369999999999</v>
      </c>
      <c r="AB3409">
        <v>17</v>
      </c>
      <c r="AC3409">
        <v>-0.45949999999999103</v>
      </c>
      <c r="AD3409">
        <v>-8.1810000000000105E-2</v>
      </c>
      <c r="AE3409">
        <v>-0.71140000000002501</v>
      </c>
      <c r="AF3409">
        <v>-0.48463258900002198</v>
      </c>
      <c r="AG3409">
        <v>-8.1810000000000105E-2</v>
      </c>
      <c r="AH3409">
        <v>0.68495311669347503</v>
      </c>
      <c r="AI3409">
        <v>95.568817896566003</v>
      </c>
      <c r="AJ3409">
        <v>125.280982028002</v>
      </c>
      <c r="AK3409">
        <v>0.84304353060145698</v>
      </c>
      <c r="AL3409">
        <v>93.810153528472298</v>
      </c>
      <c r="AM3409">
        <v>116.50976166947601</v>
      </c>
      <c r="AN3409">
        <v>0.99999996608518305</v>
      </c>
    </row>
    <row r="3410" spans="1:40" x14ac:dyDescent="0.25">
      <c r="A3410" t="str">
        <f>"20190303153836504"</f>
        <v>20190303153836504</v>
      </c>
      <c r="B3410" t="str">
        <f>"1551598716492262"</f>
        <v>1551598716492262</v>
      </c>
      <c r="C3410" t="s">
        <v>40</v>
      </c>
      <c r="D3410">
        <v>4.434685</v>
      </c>
      <c r="E3410">
        <v>0.46376610000000001</v>
      </c>
      <c r="F3410" t="s">
        <v>44</v>
      </c>
      <c r="G3410">
        <v>-486.35180000000003</v>
      </c>
      <c r="H3410">
        <v>1.0374650000000001</v>
      </c>
      <c r="I3410">
        <v>281.41230000000002</v>
      </c>
      <c r="J3410">
        <v>-485.8605</v>
      </c>
      <c r="K3410">
        <v>1.123432</v>
      </c>
      <c r="L3410">
        <v>282.166</v>
      </c>
      <c r="M3410">
        <v>-0.92613920000000005</v>
      </c>
      <c r="N3410">
        <v>1.7243429999999999E-3</v>
      </c>
      <c r="O3410">
        <v>-0.37717859999999998</v>
      </c>
      <c r="P3410">
        <v>-0.66177640000000004</v>
      </c>
      <c r="Q3410">
        <v>-6.0466140000000002E-2</v>
      </c>
      <c r="R3410">
        <v>-0.74725920000000001</v>
      </c>
      <c r="S3410">
        <v>-1.7678830000000001</v>
      </c>
      <c r="T3410">
        <v>-0.26219789999999998</v>
      </c>
      <c r="U3410">
        <v>-2.4283139999999999</v>
      </c>
      <c r="V3410">
        <v>-0.44180039999999998</v>
      </c>
      <c r="W3410">
        <v>-6.6537719999999995E-2</v>
      </c>
      <c r="X3410">
        <v>0.89464249999999901</v>
      </c>
      <c r="Y3410">
        <v>-0.52625049999999995</v>
      </c>
      <c r="Z3410">
        <v>1.101589E-2</v>
      </c>
      <c r="AA3410">
        <v>0.85025819999999996</v>
      </c>
      <c r="AB3410">
        <v>17</v>
      </c>
      <c r="AC3410">
        <v>-0.491300000000023</v>
      </c>
      <c r="AD3410">
        <v>-8.5967000000000099E-2</v>
      </c>
      <c r="AE3410">
        <v>-0.75369999999998005</v>
      </c>
      <c r="AF3410">
        <v>-0.508085000000984</v>
      </c>
      <c r="AG3410">
        <v>-8.5967000000000099E-2</v>
      </c>
      <c r="AH3410">
        <v>0.73260381593104695</v>
      </c>
      <c r="AI3410">
        <v>95.507681920903195</v>
      </c>
      <c r="AJ3410">
        <v>124.74258897833199</v>
      </c>
      <c r="AK3410">
        <v>0.89568356210870104</v>
      </c>
      <c r="AL3410">
        <v>93.815149065424606</v>
      </c>
      <c r="AM3410">
        <v>116.28149518067799</v>
      </c>
      <c r="AN3410">
        <v>1.0000000322146001</v>
      </c>
    </row>
    <row r="3411" spans="1:40" x14ac:dyDescent="0.25">
      <c r="A3411" t="str">
        <f>"20190303153836516"</f>
        <v>20190303153836516</v>
      </c>
      <c r="B3411" t="str">
        <f>"1551598716511782"</f>
        <v>1551598716511782</v>
      </c>
      <c r="C3411" t="s">
        <v>40</v>
      </c>
      <c r="D3411">
        <v>4.4543269999999904</v>
      </c>
      <c r="E3411">
        <v>0.46387289999999998</v>
      </c>
      <c r="F3411" t="s">
        <v>44</v>
      </c>
      <c r="G3411">
        <v>-486.37909999999999</v>
      </c>
      <c r="H3411">
        <v>1.046392</v>
      </c>
      <c r="I3411">
        <v>281.45229999999998</v>
      </c>
      <c r="J3411">
        <v>-485.93740000000003</v>
      </c>
      <c r="K3411">
        <v>1.123526</v>
      </c>
      <c r="L3411">
        <v>282.12909999999999</v>
      </c>
      <c r="M3411">
        <v>-0.92438889999999996</v>
      </c>
      <c r="N3411">
        <v>1.655526E-3</v>
      </c>
      <c r="O3411">
        <v>-0.3814477</v>
      </c>
      <c r="P3411">
        <v>-0.65981199999999995</v>
      </c>
      <c r="Q3411">
        <v>-6.0984150000000001E-2</v>
      </c>
      <c r="R3411">
        <v>-0.74895219999999996</v>
      </c>
      <c r="S3411">
        <v>-1.7652890000000001</v>
      </c>
      <c r="T3411">
        <v>-0.26223099999999999</v>
      </c>
      <c r="U3411">
        <v>-2.430145</v>
      </c>
      <c r="V3411">
        <v>-0.43996249999999998</v>
      </c>
      <c r="W3411">
        <v>-6.7073170000000001E-2</v>
      </c>
      <c r="X3411">
        <v>0.89550779999999996</v>
      </c>
      <c r="Y3411">
        <v>-0.52324369999999998</v>
      </c>
      <c r="Z3411">
        <v>1.1545400000000001E-2</v>
      </c>
      <c r="AA3411">
        <v>0.8521048</v>
      </c>
      <c r="AB3411">
        <v>17</v>
      </c>
      <c r="AC3411">
        <v>-0.44169999999996801</v>
      </c>
      <c r="AD3411">
        <v>-7.7133999999999994E-2</v>
      </c>
      <c r="AE3411">
        <v>-0.67680000000001395</v>
      </c>
      <c r="AF3411">
        <v>-0.45301505575425299</v>
      </c>
      <c r="AG3411">
        <v>-7.7133999999999994E-2</v>
      </c>
      <c r="AH3411">
        <v>0.66045122176952598</v>
      </c>
      <c r="AI3411">
        <v>95.501236557273003</v>
      </c>
      <c r="AJ3411">
        <v>124.446908371101</v>
      </c>
      <c r="AK3411">
        <v>0.804591890981316</v>
      </c>
      <c r="AL3411">
        <v>93.845896843302597</v>
      </c>
      <c r="AM3411">
        <v>116.164861612658</v>
      </c>
      <c r="AN3411">
        <v>1.00000001570046</v>
      </c>
    </row>
    <row r="3412" spans="1:40" x14ac:dyDescent="0.25">
      <c r="A3412" t="str">
        <f>"20190303153836528"</f>
        <v>20190303153836528</v>
      </c>
      <c r="B3412" t="str">
        <f>"1551598716521541"</f>
        <v>1551598716521541</v>
      </c>
      <c r="C3412" t="s">
        <v>40</v>
      </c>
      <c r="D3412">
        <v>4.465814</v>
      </c>
      <c r="E3412">
        <v>0.46385999999999999</v>
      </c>
      <c r="F3412" t="s">
        <v>44</v>
      </c>
      <c r="G3412">
        <v>-486.49419999999998</v>
      </c>
      <c r="H3412">
        <v>1.040197</v>
      </c>
      <c r="I3412">
        <v>281.35910000000001</v>
      </c>
      <c r="J3412">
        <v>-486.01929999999999</v>
      </c>
      <c r="K3412">
        <v>1.123632</v>
      </c>
      <c r="L3412">
        <v>282.08960000000002</v>
      </c>
      <c r="M3412">
        <v>-0.92249789999999998</v>
      </c>
      <c r="N3412">
        <v>1.574745E-3</v>
      </c>
      <c r="O3412">
        <v>-0.38599879999999998</v>
      </c>
      <c r="P3412">
        <v>-0.65743300000000005</v>
      </c>
      <c r="Q3412">
        <v>-6.1965510000000001E-2</v>
      </c>
      <c r="R3412">
        <v>-0.75096109999999905</v>
      </c>
      <c r="S3412">
        <v>-1.7597659999999999</v>
      </c>
      <c r="T3412">
        <v>-0.26337120000000003</v>
      </c>
      <c r="U3412">
        <v>-2.4338679999999999</v>
      </c>
      <c r="V3412">
        <v>-0.43828889999999998</v>
      </c>
      <c r="W3412">
        <v>-6.8070549999999994E-2</v>
      </c>
      <c r="X3412">
        <v>0.89625290000000002</v>
      </c>
      <c r="Y3412">
        <v>-0.52094560000000001</v>
      </c>
      <c r="Z3412">
        <v>1.2106189999999999E-2</v>
      </c>
      <c r="AA3412">
        <v>0.85350400000000004</v>
      </c>
      <c r="AB3412">
        <v>17</v>
      </c>
      <c r="AC3412">
        <v>-0.474899999999991</v>
      </c>
      <c r="AD3412">
        <v>-8.3434999999999898E-2</v>
      </c>
      <c r="AE3412">
        <v>-0.73050000000000603</v>
      </c>
      <c r="AF3412">
        <v>-0.48611688396973901</v>
      </c>
      <c r="AG3412">
        <v>-8.3434999999999898E-2</v>
      </c>
      <c r="AH3412">
        <v>0.71352437036826999</v>
      </c>
      <c r="AI3412">
        <v>95.519782342946996</v>
      </c>
      <c r="AJ3412">
        <v>124.266205726129</v>
      </c>
      <c r="AK3412">
        <v>0.86740305003780405</v>
      </c>
      <c r="AL3412">
        <v>93.903173441665601</v>
      </c>
      <c r="AM3412">
        <v>116.059728583932</v>
      </c>
      <c r="AN3412">
        <v>1.0000000101994599</v>
      </c>
    </row>
    <row r="3413" spans="1:40" x14ac:dyDescent="0.25">
      <c r="A3413" t="str">
        <f>"20190303153836539"</f>
        <v>20190303153836539</v>
      </c>
      <c r="B3413" t="str">
        <f>"1551598716532278"</f>
        <v>1551598716532278</v>
      </c>
      <c r="C3413" t="s">
        <v>40</v>
      </c>
      <c r="D3413">
        <v>4.470529</v>
      </c>
      <c r="E3413">
        <v>0.46384530000000002</v>
      </c>
      <c r="F3413" t="s">
        <v>44</v>
      </c>
      <c r="G3413">
        <v>-486.51870000000002</v>
      </c>
      <c r="H3413">
        <v>1.047698</v>
      </c>
      <c r="I3413">
        <v>281.39440000000002</v>
      </c>
      <c r="J3413">
        <v>-486.09179999999998</v>
      </c>
      <c r="K3413">
        <v>1.123726</v>
      </c>
      <c r="L3413">
        <v>282.0539</v>
      </c>
      <c r="M3413">
        <v>-0.92079370000000005</v>
      </c>
      <c r="N3413">
        <v>1.4747510000000001E-3</v>
      </c>
      <c r="O3413">
        <v>-0.39004709999999998</v>
      </c>
      <c r="P3413">
        <v>-0.65474309999999902</v>
      </c>
      <c r="Q3413">
        <v>-6.3058840000000005E-2</v>
      </c>
      <c r="R3413">
        <v>-0.75321660000000001</v>
      </c>
      <c r="S3413">
        <v>-1.75186199999999</v>
      </c>
      <c r="T3413">
        <v>-0.26639879999999999</v>
      </c>
      <c r="U3413">
        <v>-2.4392399999999999</v>
      </c>
      <c r="V3413">
        <v>-0.43744769999999999</v>
      </c>
      <c r="W3413">
        <v>-6.9163539999999996E-2</v>
      </c>
      <c r="X3413">
        <v>0.89658019999999905</v>
      </c>
      <c r="Y3413">
        <v>-0.51991189999999998</v>
      </c>
      <c r="Z3413">
        <v>1.2627869999999999E-2</v>
      </c>
      <c r="AA3413">
        <v>0.85412649999999901</v>
      </c>
      <c r="AB3413">
        <v>17</v>
      </c>
      <c r="AC3413">
        <v>-0.42690000000004602</v>
      </c>
      <c r="AD3413">
        <v>-7.6027999999999901E-2</v>
      </c>
      <c r="AE3413">
        <v>-0.65949999999997999</v>
      </c>
      <c r="AF3413">
        <v>-0.43666324309369497</v>
      </c>
      <c r="AG3413">
        <v>-7.6027999999999901E-2</v>
      </c>
      <c r="AH3413">
        <v>0.64428949984077699</v>
      </c>
      <c r="AI3413">
        <v>95.5790692671426</v>
      </c>
      <c r="AJ3413">
        <v>124.127214853542</v>
      </c>
      <c r="AK3413">
        <v>0.78202557775189396</v>
      </c>
      <c r="AL3413">
        <v>93.965944867877795</v>
      </c>
      <c r="AM3413">
        <v>116.008069257313</v>
      </c>
      <c r="AN3413">
        <v>1.0000000702663201</v>
      </c>
    </row>
    <row r="3414" spans="1:40" x14ac:dyDescent="0.25">
      <c r="A3414" t="str">
        <f>"20190303153836551"</f>
        <v>20190303153836551</v>
      </c>
      <c r="B3414" t="str">
        <f>"1551598716542037"</f>
        <v>1551598716542037</v>
      </c>
      <c r="C3414" t="s">
        <v>40</v>
      </c>
      <c r="D3414">
        <v>4.4508190000000001</v>
      </c>
      <c r="E3414">
        <v>0.46383039999999998</v>
      </c>
      <c r="F3414" t="s">
        <v>44</v>
      </c>
      <c r="G3414">
        <v>-486.63200000000001</v>
      </c>
      <c r="H3414">
        <v>1.040125</v>
      </c>
      <c r="I3414">
        <v>281.29599999999999</v>
      </c>
      <c r="J3414">
        <v>-486.17790000000002</v>
      </c>
      <c r="K3414">
        <v>1.1238490000000001</v>
      </c>
      <c r="L3414">
        <v>282.0111</v>
      </c>
      <c r="M3414">
        <v>-0.91873850000000001</v>
      </c>
      <c r="N3414">
        <v>1.345777E-3</v>
      </c>
      <c r="O3414">
        <v>-0.3948643</v>
      </c>
      <c r="P3414">
        <v>-0.65084640000000005</v>
      </c>
      <c r="Q3414">
        <v>-6.4776899999999998E-2</v>
      </c>
      <c r="R3414">
        <v>-0.75644109999999998</v>
      </c>
      <c r="S3414">
        <v>-1.7427060000000001</v>
      </c>
      <c r="T3414">
        <v>-0.26967160000000001</v>
      </c>
      <c r="U3414">
        <v>-2.445465</v>
      </c>
      <c r="V3414">
        <v>-0.43720969999999998</v>
      </c>
      <c r="W3414">
        <v>-7.0880819999999997E-2</v>
      </c>
      <c r="X3414">
        <v>0.89656209999999903</v>
      </c>
      <c r="Y3414">
        <v>-0.51858870000000001</v>
      </c>
      <c r="Z3414">
        <v>1.324468E-2</v>
      </c>
      <c r="AA3414">
        <v>0.85492119999999905</v>
      </c>
      <c r="AB3414">
        <v>17</v>
      </c>
      <c r="AC3414">
        <v>-0.45409999999992501</v>
      </c>
      <c r="AD3414">
        <v>-8.3723999999999896E-2</v>
      </c>
      <c r="AE3414">
        <v>-0.71510000000000595</v>
      </c>
      <c r="AF3414">
        <v>-0.47306129045956302</v>
      </c>
      <c r="AG3414">
        <v>-8.3723999999999896E-2</v>
      </c>
      <c r="AH3414">
        <v>0.69279953889142298</v>
      </c>
      <c r="AI3414">
        <v>95.699347571947797</v>
      </c>
      <c r="AJ3414">
        <v>124.32626337979799</v>
      </c>
      <c r="AK3414">
        <v>0.84307051531614796</v>
      </c>
      <c r="AL3414">
        <v>94.064580138089198</v>
      </c>
      <c r="AM3414">
        <v>115.996238777719</v>
      </c>
      <c r="AN3414">
        <v>1.0000000057871801</v>
      </c>
    </row>
    <row r="3415" spans="1:40" x14ac:dyDescent="0.25">
      <c r="A3415" t="str">
        <f>"20190303153836566"</f>
        <v>20190303153836566</v>
      </c>
      <c r="B3415" t="str">
        <f>"1551598716561557"</f>
        <v>1551598716561557</v>
      </c>
      <c r="C3415" t="s">
        <v>40</v>
      </c>
      <c r="D3415">
        <v>4.4394410000000004</v>
      </c>
      <c r="E3415">
        <v>0.46377679999999999</v>
      </c>
      <c r="F3415" t="s">
        <v>44</v>
      </c>
      <c r="G3415">
        <v>-486.74919999999997</v>
      </c>
      <c r="H3415">
        <v>1.033131</v>
      </c>
      <c r="I3415">
        <v>281.20100000000002</v>
      </c>
      <c r="J3415">
        <v>-486.27629999999999</v>
      </c>
      <c r="K3415">
        <v>1.1240030000000001</v>
      </c>
      <c r="L3415">
        <v>281.96140000000003</v>
      </c>
      <c r="M3415">
        <v>-0.91634709999999997</v>
      </c>
      <c r="N3415">
        <v>1.156942E-3</v>
      </c>
      <c r="O3415">
        <v>-0.4003834</v>
      </c>
      <c r="P3415">
        <v>-0.64597799999999905</v>
      </c>
      <c r="Q3415">
        <v>-6.5826289999999996E-2</v>
      </c>
      <c r="R3415">
        <v>-0.76051250000000004</v>
      </c>
      <c r="S3415">
        <v>-1.73019399999999</v>
      </c>
      <c r="T3415">
        <v>-0.27478350000000001</v>
      </c>
      <c r="U3415">
        <v>-2.4537960000000001</v>
      </c>
      <c r="V3415">
        <v>-0.43745679999999998</v>
      </c>
      <c r="W3415">
        <v>-7.1900179999999994E-2</v>
      </c>
      <c r="X3415">
        <v>0.89636039999999995</v>
      </c>
      <c r="Y3415">
        <v>-0.51771869999999998</v>
      </c>
      <c r="Z3415">
        <v>1.3972689999999999E-2</v>
      </c>
      <c r="AA3415">
        <v>0.8554368</v>
      </c>
      <c r="AB3415">
        <v>18</v>
      </c>
      <c r="AC3415">
        <v>-0.472899999999981</v>
      </c>
      <c r="AD3415">
        <v>-9.0871999999999994E-2</v>
      </c>
      <c r="AE3415">
        <v>-0.76040000000006003</v>
      </c>
      <c r="AF3415">
        <v>-0.50227664908706704</v>
      </c>
      <c r="AG3415">
        <v>-9.0871999999999994E-2</v>
      </c>
      <c r="AH3415">
        <v>0.73027184189998895</v>
      </c>
      <c r="AI3415">
        <v>95.853869202365104</v>
      </c>
      <c r="AJ3415">
        <v>124.519962986347</v>
      </c>
      <c r="AK3415">
        <v>0.89097503650446697</v>
      </c>
      <c r="AL3415">
        <v>94.123134482586096</v>
      </c>
      <c r="AM3415">
        <v>116.014075664562</v>
      </c>
      <c r="AN3415">
        <v>1.00000002721921</v>
      </c>
    </row>
    <row r="3416" spans="1:40" x14ac:dyDescent="0.25">
      <c r="A3416" t="str">
        <f>"20190303153836580"</f>
        <v>20190303153836580</v>
      </c>
      <c r="B3416" t="str">
        <f>"1551598716572293"</f>
        <v>1551598716572293</v>
      </c>
      <c r="C3416" t="s">
        <v>40</v>
      </c>
      <c r="D3416">
        <v>4.467956</v>
      </c>
      <c r="E3416">
        <v>0.4637058</v>
      </c>
      <c r="F3416" t="s">
        <v>44</v>
      </c>
      <c r="G3416">
        <v>-486.77760000000001</v>
      </c>
      <c r="H3416">
        <v>1.042654</v>
      </c>
      <c r="I3416">
        <v>281.2405</v>
      </c>
      <c r="J3416">
        <v>-486.37040000000002</v>
      </c>
      <c r="K3416">
        <v>1.124158</v>
      </c>
      <c r="L3416">
        <v>281.91300000000001</v>
      </c>
      <c r="M3416">
        <v>-0.91400729999999997</v>
      </c>
      <c r="N3416">
        <v>9.382409E-4</v>
      </c>
      <c r="O3416">
        <v>-0.40569680000000002</v>
      </c>
      <c r="P3416">
        <v>-0.64096339999999996</v>
      </c>
      <c r="Q3416">
        <v>-6.6350019999999996E-2</v>
      </c>
      <c r="R3416">
        <v>-0.76469889999999996</v>
      </c>
      <c r="S3416">
        <v>-1.7139279999999999</v>
      </c>
      <c r="T3416">
        <v>-0.278149599999999</v>
      </c>
      <c r="U3416">
        <v>-2.464874</v>
      </c>
      <c r="V3416">
        <v>-0.43808059999999899</v>
      </c>
      <c r="W3416">
        <v>-7.2360659999999993E-2</v>
      </c>
      <c r="X3416">
        <v>0.8960186</v>
      </c>
      <c r="Y3416">
        <v>-0.51835200000000003</v>
      </c>
      <c r="Z3416">
        <v>1.451392E-2</v>
      </c>
      <c r="AA3416">
        <v>0.85504419999999903</v>
      </c>
      <c r="AB3416">
        <v>18</v>
      </c>
      <c r="AC3416">
        <v>-0.40719999999998802</v>
      </c>
      <c r="AD3416">
        <v>-8.1503999999999799E-2</v>
      </c>
      <c r="AE3416">
        <v>-0.67250000000001298</v>
      </c>
      <c r="AF3416">
        <v>-0.44469087353196801</v>
      </c>
      <c r="AG3416">
        <v>-8.1503999999999799E-2</v>
      </c>
      <c r="AH3416">
        <v>0.63815630916962796</v>
      </c>
      <c r="AI3416">
        <v>95.9819695379406</v>
      </c>
      <c r="AJ3416">
        <v>124.87020752625401</v>
      </c>
      <c r="AK3416">
        <v>0.78207183170833305</v>
      </c>
      <c r="AL3416">
        <v>94.149587040739704</v>
      </c>
      <c r="AM3416">
        <v>116.054891962639</v>
      </c>
      <c r="AN3416">
        <v>1.0000000043789701</v>
      </c>
    </row>
    <row r="3417" spans="1:40" x14ac:dyDescent="0.25">
      <c r="A3417" t="str">
        <f>"20190303153836592"</f>
        <v>20190303153836592</v>
      </c>
      <c r="B3417" t="str">
        <f>"1551598716582054"</f>
        <v>1551598716582054</v>
      </c>
      <c r="C3417" t="s">
        <v>40</v>
      </c>
      <c r="D3417">
        <v>4.4815559999999897</v>
      </c>
      <c r="E3417">
        <v>0.4637058</v>
      </c>
      <c r="F3417" t="s">
        <v>44</v>
      </c>
      <c r="G3417">
        <v>-486.8965</v>
      </c>
      <c r="H3417">
        <v>1.03736299999999</v>
      </c>
      <c r="I3417">
        <v>281.14550000000003</v>
      </c>
      <c r="J3417">
        <v>-486.46530000000001</v>
      </c>
      <c r="K3417">
        <v>1.124315</v>
      </c>
      <c r="L3417">
        <v>281.86340000000001</v>
      </c>
      <c r="M3417">
        <v>-0.91160450000000004</v>
      </c>
      <c r="N3417">
        <v>6.901594E-4</v>
      </c>
      <c r="O3417">
        <v>-0.41106819999999999</v>
      </c>
      <c r="P3417">
        <v>-0.63555360000000005</v>
      </c>
      <c r="Q3417">
        <v>-6.7402100000000006E-2</v>
      </c>
      <c r="R3417">
        <v>-0.76910919999999905</v>
      </c>
      <c r="S3417">
        <v>-1.6969299999999901</v>
      </c>
      <c r="T3417">
        <v>-0.27999109999999899</v>
      </c>
      <c r="U3417">
        <v>-2.4764710000000001</v>
      </c>
      <c r="V3417">
        <v>-0.43901459999999998</v>
      </c>
      <c r="W3417">
        <v>-7.3323719999999995E-2</v>
      </c>
      <c r="X3417">
        <v>0.89548300000000003</v>
      </c>
      <c r="Y3417">
        <v>-0.51917729999999995</v>
      </c>
      <c r="Z3417">
        <v>1.496366E-2</v>
      </c>
      <c r="AA3417">
        <v>0.8545355</v>
      </c>
      <c r="AB3417">
        <v>18</v>
      </c>
      <c r="AC3417">
        <v>-0.43119999999998898</v>
      </c>
      <c r="AD3417">
        <v>-8.6952000000000099E-2</v>
      </c>
      <c r="AE3417">
        <v>-0.71789999999998599</v>
      </c>
      <c r="AF3417">
        <v>-0.47209875102979199</v>
      </c>
      <c r="AG3417">
        <v>-8.6952000000000099E-2</v>
      </c>
      <c r="AH3417">
        <v>0.68084974679703003</v>
      </c>
      <c r="AI3417">
        <v>95.991230124723899</v>
      </c>
      <c r="AJ3417">
        <v>124.737299116749</v>
      </c>
      <c r="AK3417">
        <v>0.83306317812124497</v>
      </c>
      <c r="AL3417">
        <v>94.2049133304847</v>
      </c>
      <c r="AM3417">
        <v>116.11661290071601</v>
      </c>
      <c r="AN3417">
        <v>0.99999999510839899</v>
      </c>
    </row>
    <row r="3418" spans="1:40" x14ac:dyDescent="0.25">
      <c r="A3418" t="str">
        <f>"20190303153836605"</f>
        <v>20190303153836605</v>
      </c>
      <c r="B3418" t="str">
        <f>"1551598716601574"</f>
        <v>1551598716601574</v>
      </c>
      <c r="C3418" t="s">
        <v>40</v>
      </c>
      <c r="D3418">
        <v>4.4878799999999996</v>
      </c>
      <c r="E3418">
        <v>0.4440018</v>
      </c>
      <c r="F3418" t="s">
        <v>44</v>
      </c>
      <c r="G3418">
        <v>-487.01519999999999</v>
      </c>
      <c r="H3418">
        <v>1.0316959999999999</v>
      </c>
      <c r="I3418">
        <v>281.0489</v>
      </c>
      <c r="J3418">
        <v>-486.553</v>
      </c>
      <c r="K3418">
        <v>1.124457</v>
      </c>
      <c r="L3418">
        <v>281.81689999999998</v>
      </c>
      <c r="M3418">
        <v>-0.90933090000000005</v>
      </c>
      <c r="N3418">
        <v>4.2359020000000002E-4</v>
      </c>
      <c r="O3418">
        <v>-0.4160739</v>
      </c>
      <c r="P3418">
        <v>-0.629032699999999</v>
      </c>
      <c r="Q3418">
        <v>-6.8367819999999996E-2</v>
      </c>
      <c r="R3418">
        <v>-0.77436709999999997</v>
      </c>
      <c r="S3418">
        <v>-1.6794739999999999</v>
      </c>
      <c r="T3418">
        <v>-0.28289130000000001</v>
      </c>
      <c r="U3418">
        <v>-2.4880070000000001</v>
      </c>
      <c r="V3418">
        <v>-0.4415521</v>
      </c>
      <c r="W3418">
        <v>-7.4187840000000005E-2</v>
      </c>
      <c r="X3418">
        <v>0.89416329999999999</v>
      </c>
      <c r="Y3418">
        <v>-0.52042310000000003</v>
      </c>
      <c r="Z3418">
        <v>1.5402300000000001E-2</v>
      </c>
      <c r="AA3418">
        <v>0.85376960000000002</v>
      </c>
      <c r="AB3418">
        <v>18</v>
      </c>
      <c r="AC3418">
        <v>-0.46219999999993799</v>
      </c>
      <c r="AD3418">
        <v>-9.2761000000000093E-2</v>
      </c>
      <c r="AE3418">
        <v>-0.76799999999997204</v>
      </c>
      <c r="AF3418">
        <v>-0.50069452652979096</v>
      </c>
      <c r="AG3418">
        <v>-9.2761000000000093E-2</v>
      </c>
      <c r="AH3418">
        <v>0.73199807598199096</v>
      </c>
      <c r="AI3418">
        <v>95.971149295521002</v>
      </c>
      <c r="AJ3418">
        <v>124.372546119912</v>
      </c>
      <c r="AK3418">
        <v>0.89169546105115305</v>
      </c>
      <c r="AL3418">
        <v>94.254558746198597</v>
      </c>
      <c r="AM3418">
        <v>116.280894662134</v>
      </c>
      <c r="AN3418">
        <v>1.0000000498425801</v>
      </c>
    </row>
    <row r="3419" spans="1:40" x14ac:dyDescent="0.25">
      <c r="A3419" t="str">
        <f>"20190303153836617"</f>
        <v>20190303153836617</v>
      </c>
      <c r="B3419" t="str">
        <f>"1551598716612310"</f>
        <v>1551598716612310</v>
      </c>
      <c r="C3419" t="s">
        <v>40</v>
      </c>
      <c r="D3419">
        <v>4.262054</v>
      </c>
      <c r="E3419">
        <v>0.39329839999999999</v>
      </c>
      <c r="F3419" t="s">
        <v>44</v>
      </c>
      <c r="G3419">
        <v>-487.01029999999997</v>
      </c>
      <c r="H3419">
        <v>1.0318830000000001</v>
      </c>
      <c r="I3419">
        <v>281.04239999999999</v>
      </c>
      <c r="J3419">
        <v>-486.63189999999997</v>
      </c>
      <c r="K3419">
        <v>1.124582</v>
      </c>
      <c r="L3419">
        <v>281.77429999999998</v>
      </c>
      <c r="M3419">
        <v>-0.90723450000000005</v>
      </c>
      <c r="N3419">
        <v>1.4956759999999999E-4</v>
      </c>
      <c r="O3419">
        <v>-0.42062539999999998</v>
      </c>
      <c r="P3419">
        <v>-0.62398969999999998</v>
      </c>
      <c r="Q3419">
        <v>-6.8652589999999999E-2</v>
      </c>
      <c r="R3419">
        <v>-0.77841139999999998</v>
      </c>
      <c r="S3419">
        <v>-1.535004</v>
      </c>
      <c r="T3419">
        <v>-0.31075419999999998</v>
      </c>
      <c r="U3419">
        <v>-2.5998839999999999</v>
      </c>
      <c r="V3419">
        <v>-0.44284089999999998</v>
      </c>
      <c r="W3419">
        <v>-7.432967E-2</v>
      </c>
      <c r="X3419">
        <v>0.89351389999999997</v>
      </c>
      <c r="Y3419">
        <v>-0.56660669999999902</v>
      </c>
      <c r="Z3419">
        <v>1.435108E-2</v>
      </c>
      <c r="AA3419">
        <v>0.82386340000000002</v>
      </c>
      <c r="AB3419">
        <v>18</v>
      </c>
      <c r="AC3419">
        <v>-0.37839999999999901</v>
      </c>
      <c r="AD3419">
        <v>-9.2699000000000004E-2</v>
      </c>
      <c r="AE3419">
        <v>-0.731899999999996</v>
      </c>
      <c r="AF3419">
        <v>-0.49852981629991799</v>
      </c>
      <c r="AG3419">
        <v>-9.2699000000000004E-2</v>
      </c>
      <c r="AH3419">
        <v>0.64301390161319105</v>
      </c>
      <c r="AI3419">
        <v>96.499806424775798</v>
      </c>
      <c r="AJ3419">
        <v>127.78648486387701</v>
      </c>
      <c r="AK3419">
        <v>0.81889679447953001</v>
      </c>
      <c r="AL3419">
        <v>94.262707606590098</v>
      </c>
      <c r="AM3419">
        <v>116.36380864230701</v>
      </c>
      <c r="AN3419">
        <v>1.0000000260241599</v>
      </c>
    </row>
    <row r="3420" spans="1:40" x14ac:dyDescent="0.25">
      <c r="A3420" t="str">
        <f>"20190303153836628"</f>
        <v>20190303153836628</v>
      </c>
      <c r="B3420" t="str">
        <f>"1551598716622070"</f>
        <v>1551598716622070</v>
      </c>
      <c r="C3420" t="s">
        <v>40</v>
      </c>
      <c r="D3420">
        <v>4.2571659999999998</v>
      </c>
      <c r="E3420">
        <v>0.38621280000000002</v>
      </c>
      <c r="F3420" t="s">
        <v>51</v>
      </c>
      <c r="G3420">
        <v>-491.26029999999997</v>
      </c>
      <c r="H3420" s="1">
        <v>4.0501839999999998E-7</v>
      </c>
      <c r="I3420">
        <v>270.76209999999998</v>
      </c>
      <c r="J3420">
        <v>-486.71640000000002</v>
      </c>
      <c r="K3420">
        <v>1.124716</v>
      </c>
      <c r="L3420">
        <v>281.72829999999999</v>
      </c>
      <c r="M3420">
        <v>-0.90494889999999995</v>
      </c>
      <c r="N3420">
        <v>-1.603477E-4</v>
      </c>
      <c r="O3420">
        <v>-0.42552069999999997</v>
      </c>
      <c r="P3420">
        <v>-0.61889139999999998</v>
      </c>
      <c r="Q3420">
        <v>-6.8828539999999994E-2</v>
      </c>
      <c r="R3420">
        <v>-0.78245569999999998</v>
      </c>
      <c r="S3420">
        <v>-1.203522</v>
      </c>
      <c r="T3420">
        <v>-0.29242380000000001</v>
      </c>
      <c r="U3420">
        <v>-2.8634949999999999</v>
      </c>
      <c r="V3420">
        <v>-0.44382270000000001</v>
      </c>
      <c r="W3420">
        <v>-7.4329179999999995E-2</v>
      </c>
      <c r="X3420">
        <v>0.8930266</v>
      </c>
      <c r="Y3420">
        <v>-0.66837209999999903</v>
      </c>
      <c r="Z3420">
        <v>7.2670579999999999E-3</v>
      </c>
      <c r="AA3420">
        <v>0.7437916</v>
      </c>
      <c r="AB3420">
        <v>18</v>
      </c>
      <c r="AC3420">
        <v>-4.5438999999999501</v>
      </c>
      <c r="AD3420">
        <v>-1.1247155949815999</v>
      </c>
      <c r="AE3420">
        <v>-10.966200000000001</v>
      </c>
      <c r="AF3420">
        <v>-7.9192299136976096</v>
      </c>
      <c r="AG3420">
        <v>-1.1247155949815999</v>
      </c>
      <c r="AH3420">
        <v>8.7002335138533606</v>
      </c>
      <c r="AI3420">
        <v>95.460928191914505</v>
      </c>
      <c r="AJ3420">
        <v>132.30946106493201</v>
      </c>
      <c r="AK3420">
        <v>11.818343826068601</v>
      </c>
      <c r="AL3420">
        <v>94.262679726469102</v>
      </c>
      <c r="AM3420">
        <v>116.426783639319</v>
      </c>
      <c r="AN3420">
        <v>0.99999996217116005</v>
      </c>
    </row>
    <row r="3421" spans="1:40" x14ac:dyDescent="0.25">
      <c r="A3421" t="str">
        <f>"20190303153836641"</f>
        <v>20190303153836641</v>
      </c>
      <c r="B3421" t="str">
        <f>"1551598716631830"</f>
        <v>1551598716631830</v>
      </c>
      <c r="C3421" t="s">
        <v>40</v>
      </c>
      <c r="D3421">
        <v>4.3797259999999998</v>
      </c>
      <c r="E3421">
        <v>0.38365589999999999</v>
      </c>
      <c r="F3421" t="s">
        <v>51</v>
      </c>
      <c r="G3421">
        <v>-491.2</v>
      </c>
      <c r="H3421" s="1">
        <v>2.4390239999999998E-7</v>
      </c>
      <c r="I3421">
        <v>270.30630000000002</v>
      </c>
      <c r="J3421">
        <v>-486.79840000000002</v>
      </c>
      <c r="K3421">
        <v>1.1248359999999999</v>
      </c>
      <c r="L3421">
        <v>281.68270000000001</v>
      </c>
      <c r="M3421">
        <v>-0.90264429999999996</v>
      </c>
      <c r="N3421">
        <v>-5.2290690000000005E-4</v>
      </c>
      <c r="O3421">
        <v>-0.43038710000000002</v>
      </c>
      <c r="P3421">
        <v>-0.61384700000000003</v>
      </c>
      <c r="Q3421">
        <v>-6.9379469999999999E-2</v>
      </c>
      <c r="R3421">
        <v>-0.78637060000000003</v>
      </c>
      <c r="S3421">
        <v>-1.1409</v>
      </c>
      <c r="T3421">
        <v>-0.28619650000000002</v>
      </c>
      <c r="U3421">
        <v>-2.9064640000000002</v>
      </c>
      <c r="V3421">
        <v>-0.44469799999999998</v>
      </c>
      <c r="W3421">
        <v>-7.4637490000000001E-2</v>
      </c>
      <c r="X3421">
        <v>0.89256539999999995</v>
      </c>
      <c r="Y3421">
        <v>-0.68196219999999996</v>
      </c>
      <c r="Z3421">
        <v>6.4365309999999997E-3</v>
      </c>
      <c r="AA3421">
        <v>0.73135909999999904</v>
      </c>
      <c r="AB3421">
        <v>18</v>
      </c>
      <c r="AC3421">
        <v>-4.40159999999997</v>
      </c>
      <c r="AD3421">
        <v>-1.1248357560975999</v>
      </c>
      <c r="AE3421">
        <v>-11.376399999999901</v>
      </c>
      <c r="AF3421">
        <v>-8.3038419349567896</v>
      </c>
      <c r="AG3421">
        <v>-1.1248357560975999</v>
      </c>
      <c r="AH3421">
        <v>8.7945535403362598</v>
      </c>
      <c r="AI3421">
        <v>95.313066813960901</v>
      </c>
      <c r="AJ3421">
        <v>133.35610372643299</v>
      </c>
      <c r="AK3421">
        <v>12.147560180249499</v>
      </c>
      <c r="AL3421">
        <v>94.280393504517903</v>
      </c>
      <c r="AM3421">
        <v>116.48361303200601</v>
      </c>
      <c r="AN3421">
        <v>1.0000000296973199</v>
      </c>
    </row>
    <row r="3422" spans="1:40" x14ac:dyDescent="0.25">
      <c r="A3422" t="str">
        <f>"20190303153836655"</f>
        <v>20190303153836655</v>
      </c>
      <c r="B3422" t="str">
        <f>"1551598716641590"</f>
        <v>1551598716641590</v>
      </c>
      <c r="C3422" t="s">
        <v>40</v>
      </c>
      <c r="D3422">
        <v>4.3616539999999997</v>
      </c>
      <c r="E3422">
        <v>0.38223240000000003</v>
      </c>
      <c r="F3422" t="s">
        <v>51</v>
      </c>
      <c r="G3422">
        <v>-491.23950000000002</v>
      </c>
      <c r="H3422" s="1">
        <v>1.116091E-7</v>
      </c>
      <c r="I3422">
        <v>269.93209999999999</v>
      </c>
      <c r="J3422">
        <v>-486.89030000000002</v>
      </c>
      <c r="K3422">
        <v>1.1249769999999999</v>
      </c>
      <c r="L3422">
        <v>281.63099999999997</v>
      </c>
      <c r="M3422">
        <v>-0.89999929999999995</v>
      </c>
      <c r="N3422">
        <v>-9.646667E-4</v>
      </c>
      <c r="O3422">
        <v>-0.43589030000000001</v>
      </c>
      <c r="P3422">
        <v>-0.60855969999999904</v>
      </c>
      <c r="Q3422">
        <v>-6.9755990000000004E-2</v>
      </c>
      <c r="R3422">
        <v>-0.79043569999999996</v>
      </c>
      <c r="S3422">
        <v>-1.106171</v>
      </c>
      <c r="T3422">
        <v>-0.28017189999999997</v>
      </c>
      <c r="U3422">
        <v>-2.9268190000000001</v>
      </c>
      <c r="V3422">
        <v>-0.44519170000000002</v>
      </c>
      <c r="W3422">
        <v>-7.4698120000000007E-2</v>
      </c>
      <c r="X3422">
        <v>0.8923141</v>
      </c>
      <c r="Y3422">
        <v>-0.68679619999999997</v>
      </c>
      <c r="Z3422">
        <v>6.2009250000000004E-3</v>
      </c>
      <c r="AA3422">
        <v>0.72682360000000001</v>
      </c>
      <c r="AB3422">
        <v>18</v>
      </c>
      <c r="AC3422">
        <v>-4.34919999999999</v>
      </c>
      <c r="AD3422">
        <v>-1.1249768883908999</v>
      </c>
      <c r="AE3422">
        <v>-11.698899999999901</v>
      </c>
      <c r="AF3422">
        <v>-8.5636594774281303</v>
      </c>
      <c r="AG3422">
        <v>-1.1249768883908999</v>
      </c>
      <c r="AH3422">
        <v>8.9410797127447701</v>
      </c>
      <c r="AI3422">
        <v>95.191987576984005</v>
      </c>
      <c r="AJ3422">
        <v>133.76483526239301</v>
      </c>
      <c r="AK3422">
        <v>12.431602594774899</v>
      </c>
      <c r="AL3422">
        <v>94.283877388464205</v>
      </c>
      <c r="AM3422">
        <v>116.515441370536</v>
      </c>
      <c r="AN3422">
        <v>0.99999995596961599</v>
      </c>
    </row>
    <row r="3423" spans="1:40" x14ac:dyDescent="0.25">
      <c r="A3423" t="str">
        <f>"20190303153836668"</f>
        <v>20190303153836668</v>
      </c>
      <c r="B3423" t="str">
        <f>"1551598716662086"</f>
        <v>1551598716662086</v>
      </c>
      <c r="C3423" t="s">
        <v>40</v>
      </c>
      <c r="D3423">
        <v>4.3575429999999997</v>
      </c>
      <c r="E3423">
        <v>0.38196980000000003</v>
      </c>
      <c r="F3423" t="s">
        <v>42</v>
      </c>
      <c r="G3423">
        <v>-491.30270000000002</v>
      </c>
      <c r="H3423" s="1">
        <v>-4.5214779999999996E-6</v>
      </c>
      <c r="I3423">
        <v>269.59440000000001</v>
      </c>
      <c r="J3423">
        <v>-486.98860000000002</v>
      </c>
      <c r="K3423">
        <v>1.1251279999999999</v>
      </c>
      <c r="L3423">
        <v>281.57499999999999</v>
      </c>
      <c r="M3423">
        <v>-0.89707599999999998</v>
      </c>
      <c r="N3423">
        <v>-1.5005750000000001E-3</v>
      </c>
      <c r="O3423">
        <v>-0.44187379999999998</v>
      </c>
      <c r="P3423">
        <v>-0.60315850000000004</v>
      </c>
      <c r="Q3423">
        <v>-7.0125170000000001E-2</v>
      </c>
      <c r="R3423">
        <v>-0.79453280000000004</v>
      </c>
      <c r="S3423">
        <v>-1.078125</v>
      </c>
      <c r="T3423">
        <v>-0.2748777</v>
      </c>
      <c r="U3423">
        <v>-2.9410400000000001</v>
      </c>
      <c r="V3423">
        <v>-0.44529269999999999</v>
      </c>
      <c r="W3423">
        <v>-7.4655529999999998E-2</v>
      </c>
      <c r="X3423">
        <v>0.89226729999999999</v>
      </c>
      <c r="Y3423">
        <v>-0.68922479999999997</v>
      </c>
      <c r="Z3423">
        <v>6.1005169999999997E-3</v>
      </c>
      <c r="AA3423">
        <v>0.72452190000000005</v>
      </c>
      <c r="AB3423">
        <v>18</v>
      </c>
      <c r="AC3423">
        <v>-4.3140999999999901</v>
      </c>
      <c r="AD3423">
        <v>-1.1251325214779999</v>
      </c>
      <c r="AE3423">
        <v>-11.9805999999999</v>
      </c>
      <c r="AF3423">
        <v>-8.7727393211124998</v>
      </c>
      <c r="AG3423">
        <v>-1.1251325214779999</v>
      </c>
      <c r="AH3423">
        <v>9.0930071057459205</v>
      </c>
      <c r="AI3423">
        <v>95.088694277278705</v>
      </c>
      <c r="AJ3423">
        <v>133.97300528634901</v>
      </c>
      <c r="AK3423">
        <v>12.685017012689601</v>
      </c>
      <c r="AL3423">
        <v>94.281430200692995</v>
      </c>
      <c r="AM3423">
        <v>116.52183448792501</v>
      </c>
      <c r="AN3423">
        <v>0.99999998574107996</v>
      </c>
    </row>
    <row r="3424" spans="1:40" x14ac:dyDescent="0.25">
      <c r="A3424" t="str">
        <f>"20190303153836682"</f>
        <v>20190303153836682</v>
      </c>
      <c r="B3424" t="str">
        <f>"1551598716671846"</f>
        <v>1551598716671846</v>
      </c>
      <c r="C3424" t="s">
        <v>40</v>
      </c>
      <c r="D3424">
        <v>4.3562669999999999</v>
      </c>
      <c r="E3424">
        <v>0.38212210000000002</v>
      </c>
      <c r="F3424" t="s">
        <v>42</v>
      </c>
      <c r="G3424">
        <v>-491.35910000000001</v>
      </c>
      <c r="H3424" s="1">
        <v>-4.4576060000000001E-6</v>
      </c>
      <c r="I3424">
        <v>269.37720000000002</v>
      </c>
      <c r="J3424">
        <v>-487.0881</v>
      </c>
      <c r="K3424">
        <v>1.1252789999999999</v>
      </c>
      <c r="L3424">
        <v>281.51690000000002</v>
      </c>
      <c r="M3424">
        <v>-0.89398219999999995</v>
      </c>
      <c r="N3424">
        <v>-2.152185E-3</v>
      </c>
      <c r="O3424">
        <v>-0.44809710000000003</v>
      </c>
      <c r="P3424">
        <v>-0.59754929999999995</v>
      </c>
      <c r="Q3424">
        <v>-7.0722380000000001E-2</v>
      </c>
      <c r="R3424">
        <v>-0.79870739999999996</v>
      </c>
      <c r="S3424">
        <v>-1.056824</v>
      </c>
      <c r="T3424">
        <v>-0.27206429999999998</v>
      </c>
      <c r="U3424">
        <v>-2.9494929999999999</v>
      </c>
      <c r="V3424">
        <v>-0.44531920000000003</v>
      </c>
      <c r="W3424">
        <v>-7.471593E-2</v>
      </c>
      <c r="X3424">
        <v>0.89224899999999996</v>
      </c>
      <c r="Y3424">
        <v>-0.68949059999999995</v>
      </c>
      <c r="Z3424">
        <v>6.1220659999999998E-3</v>
      </c>
      <c r="AA3424">
        <v>0.72426869999999999</v>
      </c>
      <c r="AB3424">
        <v>18</v>
      </c>
      <c r="AC3424">
        <v>-4.2710000000000097</v>
      </c>
      <c r="AD3424">
        <v>-1.125283457606</v>
      </c>
      <c r="AE3424">
        <v>-12.139699999999999</v>
      </c>
      <c r="AF3424">
        <v>-8.8710475575954906</v>
      </c>
      <c r="AG3424">
        <v>-1.125283457606</v>
      </c>
      <c r="AH3424">
        <v>9.18773630364465</v>
      </c>
      <c r="AI3424">
        <v>95.035286814224904</v>
      </c>
      <c r="AJ3424">
        <v>133.99533274164401</v>
      </c>
      <c r="AK3424">
        <v>12.8209299980302</v>
      </c>
      <c r="AL3424">
        <v>94.284900629799495</v>
      </c>
      <c r="AM3424">
        <v>116.52366636471</v>
      </c>
      <c r="AN3424">
        <v>0.99999996904270105</v>
      </c>
    </row>
    <row r="3425" spans="1:40" x14ac:dyDescent="0.25">
      <c r="A3425" t="str">
        <f>"20190303153836696"</f>
        <v>20190303153836696</v>
      </c>
      <c r="B3425" t="str">
        <f>"1551598716692342"</f>
        <v>1551598716692342</v>
      </c>
      <c r="C3425" t="s">
        <v>40</v>
      </c>
      <c r="D3425">
        <v>4.3480189999999999</v>
      </c>
      <c r="E3425">
        <v>0.38273049999999997</v>
      </c>
      <c r="F3425" t="s">
        <v>42</v>
      </c>
      <c r="G3425">
        <v>-491.36059999999998</v>
      </c>
      <c r="H3425" s="1">
        <v>-4.4443699999999998E-6</v>
      </c>
      <c r="I3425">
        <v>269.33760000000001</v>
      </c>
      <c r="J3425">
        <v>-487.17720000000003</v>
      </c>
      <c r="K3425">
        <v>1.1254200000000001</v>
      </c>
      <c r="L3425">
        <v>281.46420000000001</v>
      </c>
      <c r="M3425">
        <v>-0.89112839999999904</v>
      </c>
      <c r="N3425">
        <v>-2.7951349999999998E-3</v>
      </c>
      <c r="O3425">
        <v>-0.4537426</v>
      </c>
      <c r="P3425">
        <v>-0.59281260000000002</v>
      </c>
      <c r="Q3425">
        <v>-7.0309960000000005E-2</v>
      </c>
      <c r="R3425">
        <v>-0.80226560000000002</v>
      </c>
      <c r="S3425">
        <v>-1.0369870000000001</v>
      </c>
      <c r="T3425">
        <v>-0.27312229999999998</v>
      </c>
      <c r="U3425">
        <v>-2.9560849999999999</v>
      </c>
      <c r="V3425">
        <v>-0.44499539999999999</v>
      </c>
      <c r="W3425">
        <v>-7.3752860000000003E-2</v>
      </c>
      <c r="X3425">
        <v>0.89249069999999997</v>
      </c>
      <c r="Y3425">
        <v>-0.68971629999999995</v>
      </c>
      <c r="Z3425">
        <v>6.1993489999999998E-3</v>
      </c>
      <c r="AA3425">
        <v>0.72405319999999995</v>
      </c>
      <c r="AB3425">
        <v>18</v>
      </c>
      <c r="AC3425">
        <v>-4.1833999999999403</v>
      </c>
      <c r="AD3425">
        <v>-1.1254244443700001</v>
      </c>
      <c r="AE3425">
        <v>-12.1265999999999</v>
      </c>
      <c r="AF3425">
        <v>-8.8401630828818192</v>
      </c>
      <c r="AG3425">
        <v>-1.1254244443700001</v>
      </c>
      <c r="AH3425">
        <v>9.1598345348718908</v>
      </c>
      <c r="AI3425">
        <v>95.052256491475006</v>
      </c>
      <c r="AJ3425">
        <v>133.98256098837501</v>
      </c>
      <c r="AK3425">
        <v>12.7795787183366</v>
      </c>
      <c r="AL3425">
        <v>94.229567891331399</v>
      </c>
      <c r="AM3425">
        <v>116.50082016839499</v>
      </c>
      <c r="AN3425">
        <v>1.00000001998291</v>
      </c>
    </row>
    <row r="3426" spans="1:40" x14ac:dyDescent="0.25">
      <c r="A3426" t="str">
        <f>"20190303153836709"</f>
        <v>20190303153836709</v>
      </c>
      <c r="B3426" t="str">
        <f>"1551598716702101"</f>
        <v>1551598716702101</v>
      </c>
      <c r="C3426" t="s">
        <v>40</v>
      </c>
      <c r="D3426">
        <v>4.3427920000000002</v>
      </c>
      <c r="E3426">
        <v>0.38307619999999998</v>
      </c>
      <c r="F3426" t="s">
        <v>42</v>
      </c>
      <c r="G3426">
        <v>-491.45409999999998</v>
      </c>
      <c r="H3426" s="1">
        <v>-4.3777740000000004E-6</v>
      </c>
      <c r="I3426">
        <v>269.09309999999999</v>
      </c>
      <c r="J3426">
        <v>-487.27260000000001</v>
      </c>
      <c r="K3426">
        <v>1.1255759999999999</v>
      </c>
      <c r="L3426">
        <v>281.40699999999998</v>
      </c>
      <c r="M3426">
        <v>-0.88798440000000001</v>
      </c>
      <c r="N3426">
        <v>-3.5421810000000001E-3</v>
      </c>
      <c r="O3426">
        <v>-0.45985999999999999</v>
      </c>
      <c r="P3426">
        <v>-0.58768330000000002</v>
      </c>
      <c r="Q3426">
        <v>-7.0638149999999997E-2</v>
      </c>
      <c r="R3426">
        <v>-0.80600169999999904</v>
      </c>
      <c r="S3426">
        <v>-1.0232239999999999</v>
      </c>
      <c r="T3426">
        <v>-0.26925280000000001</v>
      </c>
      <c r="U3426">
        <v>-2.9597169999999999</v>
      </c>
      <c r="V3426">
        <v>-0.44452570000000002</v>
      </c>
      <c r="W3426">
        <v>-7.3426519999999995E-2</v>
      </c>
      <c r="X3426">
        <v>0.89275159999999998</v>
      </c>
      <c r="Y3426">
        <v>-0.68802649999999999</v>
      </c>
      <c r="Z3426">
        <v>6.2006730000000003E-3</v>
      </c>
      <c r="AA3426">
        <v>0.725659099999999</v>
      </c>
      <c r="AB3426">
        <v>18</v>
      </c>
      <c r="AC3426">
        <v>-4.1814999999999696</v>
      </c>
      <c r="AD3426">
        <v>-1.1255803777740001</v>
      </c>
      <c r="AE3426">
        <v>-12.313899999999901</v>
      </c>
      <c r="AF3426">
        <v>-8.9446940928268006</v>
      </c>
      <c r="AG3426">
        <v>-1.1255803777740001</v>
      </c>
      <c r="AH3426">
        <v>9.3061190802706104</v>
      </c>
      <c r="AI3426">
        <v>94.983673541288098</v>
      </c>
      <c r="AJ3426">
        <v>133.86550698801599</v>
      </c>
      <c r="AK3426">
        <v>12.9567872536851</v>
      </c>
      <c r="AL3426">
        <v>94.210819296905498</v>
      </c>
      <c r="AM3426">
        <v>116.469982611467</v>
      </c>
      <c r="AN3426">
        <v>0.99999998555117997</v>
      </c>
    </row>
    <row r="3427" spans="1:40" x14ac:dyDescent="0.25">
      <c r="A3427" t="str">
        <f>"20190303153836728"</f>
        <v>20190303153836728</v>
      </c>
      <c r="B3427" t="str">
        <f>"1551598716721625"</f>
        <v>1551598716721625</v>
      </c>
      <c r="C3427" t="s">
        <v>40</v>
      </c>
      <c r="D3427">
        <v>4.3608330000000004</v>
      </c>
      <c r="E3427">
        <v>0.38372659999999997</v>
      </c>
      <c r="F3427" t="s">
        <v>42</v>
      </c>
      <c r="G3427">
        <v>-491.46870000000001</v>
      </c>
      <c r="H3427" s="1">
        <v>-4.3654039999999999E-6</v>
      </c>
      <c r="I3427">
        <v>269.04919999999998</v>
      </c>
      <c r="J3427">
        <v>-487.40190000000001</v>
      </c>
      <c r="K3427">
        <v>1.1257699999999999</v>
      </c>
      <c r="L3427">
        <v>281.3279</v>
      </c>
      <c r="M3427">
        <v>-0.88355300000000003</v>
      </c>
      <c r="N3427">
        <v>-4.6422729999999997E-3</v>
      </c>
      <c r="O3427">
        <v>-0.46830840000000001</v>
      </c>
      <c r="P3427">
        <v>-0.58079340000000002</v>
      </c>
      <c r="Q3427">
        <v>-7.1597209999999994E-2</v>
      </c>
      <c r="R3427">
        <v>-0.81089679999999997</v>
      </c>
      <c r="S3427">
        <v>-1.006561</v>
      </c>
      <c r="T3427">
        <v>-0.27000829999999998</v>
      </c>
      <c r="U3427">
        <v>-2.9644469999999998</v>
      </c>
      <c r="V3427">
        <v>-0.44354070000000001</v>
      </c>
      <c r="W3427">
        <v>-7.3401750000000002E-2</v>
      </c>
      <c r="X3427">
        <v>0.89324340000000002</v>
      </c>
      <c r="Y3427">
        <v>-0.68508100000000005</v>
      </c>
      <c r="Z3427">
        <v>6.3701269999999997E-3</v>
      </c>
      <c r="AA3427">
        <v>0.72843899999999995</v>
      </c>
      <c r="AB3427">
        <v>18</v>
      </c>
      <c r="AC3427">
        <v>-4.0667999999999997</v>
      </c>
      <c r="AD3427">
        <v>-1.125774365404</v>
      </c>
      <c r="AE3427">
        <v>-12.278700000000001</v>
      </c>
      <c r="AF3427">
        <v>-8.8772145597848908</v>
      </c>
      <c r="AG3427">
        <v>-1.125774365404</v>
      </c>
      <c r="AH3427">
        <v>9.2733044374854696</v>
      </c>
      <c r="AI3427">
        <v>95.011721716042999</v>
      </c>
      <c r="AJ3427">
        <v>133.749860715929</v>
      </c>
      <c r="AK3427">
        <v>12.886678449179399</v>
      </c>
      <c r="AL3427">
        <v>94.209396303620593</v>
      </c>
      <c r="AM3427">
        <v>116.406732190067</v>
      </c>
      <c r="AN3427">
        <v>0.99999997055155598</v>
      </c>
    </row>
    <row r="3428" spans="1:40" x14ac:dyDescent="0.25">
      <c r="A3428" t="str">
        <f>"20190303153836740"</f>
        <v>20190303153836740</v>
      </c>
      <c r="B3428" t="str">
        <f>"1551598716732358"</f>
        <v>1551598716732358</v>
      </c>
      <c r="C3428" t="s">
        <v>40</v>
      </c>
      <c r="D3428">
        <v>4.3523800000000001</v>
      </c>
      <c r="E3428">
        <v>0.38398660000000001</v>
      </c>
      <c r="F3428" t="s">
        <v>42</v>
      </c>
      <c r="G3428">
        <v>-491.47590000000002</v>
      </c>
      <c r="H3428" s="1">
        <v>-4.3688490000000003E-6</v>
      </c>
      <c r="I3428">
        <v>269.05549999999999</v>
      </c>
      <c r="J3428">
        <v>-487.47559999999999</v>
      </c>
      <c r="K3428">
        <v>1.1258790000000001</v>
      </c>
      <c r="L3428">
        <v>281.28160000000003</v>
      </c>
      <c r="M3428">
        <v>-0.88093639999999995</v>
      </c>
      <c r="N3428">
        <v>-5.2726319999999898E-3</v>
      </c>
      <c r="O3428">
        <v>-0.4732054</v>
      </c>
      <c r="P3428">
        <v>-0.57683739999999994</v>
      </c>
      <c r="Q3428">
        <v>-7.2829720000000001E-2</v>
      </c>
      <c r="R3428">
        <v>-0.81360589999999999</v>
      </c>
      <c r="S3428">
        <v>-0.98577879999999996</v>
      </c>
      <c r="T3428">
        <v>-0.27240189999999997</v>
      </c>
      <c r="U3428">
        <v>-2.9695130000000001</v>
      </c>
      <c r="V3428">
        <v>-0.44282280000000002</v>
      </c>
      <c r="W3428">
        <v>-7.4078900000000003E-2</v>
      </c>
      <c r="X3428">
        <v>0.89354369999999905</v>
      </c>
      <c r="Y3428">
        <v>-0.68595790000000001</v>
      </c>
      <c r="Z3428">
        <v>6.388856E-3</v>
      </c>
      <c r="AA3428">
        <v>0.72761319999999996</v>
      </c>
      <c r="AB3428">
        <v>18</v>
      </c>
      <c r="AC3428">
        <v>-4.0003000000000304</v>
      </c>
      <c r="AD3428">
        <v>-1.125883368849</v>
      </c>
      <c r="AE3428">
        <v>-12.226100000000001</v>
      </c>
      <c r="AF3428">
        <v>-8.8100886937776597</v>
      </c>
      <c r="AG3428">
        <v>-1.125883368849</v>
      </c>
      <c r="AH3428">
        <v>9.2388239343516894</v>
      </c>
      <c r="AI3428">
        <v>95.040055178364398</v>
      </c>
      <c r="AJ3428">
        <v>133.63924760352501</v>
      </c>
      <c r="AK3428">
        <v>12.8156601017048</v>
      </c>
      <c r="AL3428">
        <v>94.248299807209705</v>
      </c>
      <c r="AM3428">
        <v>116.362116590803</v>
      </c>
      <c r="AN3428">
        <v>1.0000000297173599</v>
      </c>
    </row>
    <row r="3429" spans="1:40" x14ac:dyDescent="0.25">
      <c r="A3429" t="str">
        <f>"20190303153836752"</f>
        <v>20190303153836752</v>
      </c>
      <c r="B3429" t="str">
        <f>"1551598716742117"</f>
        <v>1551598716742117</v>
      </c>
      <c r="C3429" t="s">
        <v>40</v>
      </c>
      <c r="D3429">
        <v>4.3484870000000004</v>
      </c>
      <c r="E3429">
        <v>0.38443470000000002</v>
      </c>
      <c r="F3429" t="s">
        <v>42</v>
      </c>
      <c r="G3429">
        <v>-491.45359999999999</v>
      </c>
      <c r="H3429" s="1">
        <v>-4.3891159999999996E-6</v>
      </c>
      <c r="I3429">
        <v>269.12670000000003</v>
      </c>
      <c r="J3429">
        <v>-487.55489999999998</v>
      </c>
      <c r="K3429">
        <v>1.1259939999999999</v>
      </c>
      <c r="L3429">
        <v>281.23160000000001</v>
      </c>
      <c r="M3429">
        <v>-0.87808509999999995</v>
      </c>
      <c r="N3429">
        <v>-5.9399479999999996E-3</v>
      </c>
      <c r="O3429">
        <v>-0.478468</v>
      </c>
      <c r="P3429">
        <v>-0.57254950000000004</v>
      </c>
      <c r="Q3429">
        <v>-7.3575489999999993E-2</v>
      </c>
      <c r="R3429">
        <v>-0.81656240000000002</v>
      </c>
      <c r="S3429">
        <v>-0.97293090000000004</v>
      </c>
      <c r="T3429">
        <v>-0.27537159999999999</v>
      </c>
      <c r="U3429">
        <v>-2.9728699999999999</v>
      </c>
      <c r="V3429">
        <v>-0.4421099</v>
      </c>
      <c r="W3429">
        <v>-7.4244770000000002E-2</v>
      </c>
      <c r="X3429">
        <v>0.89388289999999904</v>
      </c>
      <c r="Y3429">
        <v>-0.68464990000000003</v>
      </c>
      <c r="Z3429">
        <v>6.5821949999999999E-3</v>
      </c>
      <c r="AA3429">
        <v>0.72884230000000005</v>
      </c>
      <c r="AB3429">
        <v>18</v>
      </c>
      <c r="AC3429">
        <v>-3.89870000000001</v>
      </c>
      <c r="AD3429">
        <v>-1.1259983891159999</v>
      </c>
      <c r="AE3429">
        <v>-12.104899999999899</v>
      </c>
      <c r="AF3429">
        <v>-8.6957120528251508</v>
      </c>
      <c r="AG3429">
        <v>-1.1259983891159999</v>
      </c>
      <c r="AH3429">
        <v>9.1436766509520293</v>
      </c>
      <c r="AI3429">
        <v>95.099290553595097</v>
      </c>
      <c r="AJ3429">
        <v>133.561548910375</v>
      </c>
      <c r="AK3429">
        <v>12.668468856776</v>
      </c>
      <c r="AL3429">
        <v>94.257829639208893</v>
      </c>
      <c r="AM3429">
        <v>116.31676317548001</v>
      </c>
      <c r="AN3429">
        <v>1.0000000442313799</v>
      </c>
    </row>
    <row r="3430" spans="1:40" x14ac:dyDescent="0.25">
      <c r="A3430" t="str">
        <f>"20190303153836764"</f>
        <v>20190303153836764</v>
      </c>
      <c r="B3430" t="str">
        <f>"1551598716751878"</f>
        <v>1551598716751878</v>
      </c>
      <c r="C3430" t="s">
        <v>40</v>
      </c>
      <c r="D3430">
        <v>4.3555070000000002</v>
      </c>
      <c r="E3430">
        <v>0.38489689999999999</v>
      </c>
      <c r="F3430" t="s">
        <v>42</v>
      </c>
      <c r="G3430">
        <v>-491.47359999999998</v>
      </c>
      <c r="H3430" s="1">
        <v>-4.3802970000000004E-6</v>
      </c>
      <c r="I3430">
        <v>269.09039999999999</v>
      </c>
      <c r="J3430">
        <v>-487.63409999999999</v>
      </c>
      <c r="K3430">
        <v>1.126115</v>
      </c>
      <c r="L3430">
        <v>281.1807</v>
      </c>
      <c r="M3430">
        <v>-0.87516779999999905</v>
      </c>
      <c r="N3430">
        <v>-6.5778679999999997E-3</v>
      </c>
      <c r="O3430">
        <v>-0.4837747</v>
      </c>
      <c r="P3430">
        <v>-0.56798439999999994</v>
      </c>
      <c r="Q3430">
        <v>-7.4751219999999993E-2</v>
      </c>
      <c r="R3430">
        <v>-0.81963779999999997</v>
      </c>
      <c r="S3430">
        <v>-0.96041869999999996</v>
      </c>
      <c r="T3430">
        <v>-0.27596939999999998</v>
      </c>
      <c r="U3430">
        <v>-2.9756770000000001</v>
      </c>
      <c r="V3430">
        <v>-0.44157489999999999</v>
      </c>
      <c r="W3430">
        <v>-7.4889739999999996E-2</v>
      </c>
      <c r="X3430">
        <v>0.89409349999999999</v>
      </c>
      <c r="Y3430">
        <v>-0.68319390000000002</v>
      </c>
      <c r="Z3430">
        <v>6.7220960000000003E-3</v>
      </c>
      <c r="AA3430">
        <v>0.73020609999999997</v>
      </c>
      <c r="AB3430">
        <v>18</v>
      </c>
      <c r="AC3430">
        <v>-3.8394999999999802</v>
      </c>
      <c r="AD3430">
        <v>-1.126119380297</v>
      </c>
      <c r="AE3430">
        <v>-12.090299999999999</v>
      </c>
      <c r="AF3430">
        <v>-8.6555652307127708</v>
      </c>
      <c r="AG3430">
        <v>-1.126119380297</v>
      </c>
      <c r="AH3430">
        <v>9.1373784495677199</v>
      </c>
      <c r="AI3430">
        <v>95.112816259527506</v>
      </c>
      <c r="AJ3430">
        <v>133.44887277044199</v>
      </c>
      <c r="AK3430">
        <v>12.6364013568906</v>
      </c>
      <c r="AL3430">
        <v>94.294886942933303</v>
      </c>
      <c r="AM3430">
        <v>116.28384501439599</v>
      </c>
      <c r="AN3430">
        <v>1.0000000261047599</v>
      </c>
    </row>
    <row r="3431" spans="1:40" x14ac:dyDescent="0.25">
      <c r="A3431" t="str">
        <f>"20190303153836777"</f>
        <v>20190303153836777</v>
      </c>
      <c r="B3431" t="str">
        <f>"1551598716771398"</f>
        <v>1551598716771398</v>
      </c>
      <c r="C3431" t="s">
        <v>40</v>
      </c>
      <c r="D3431">
        <v>4.3878139999999997</v>
      </c>
      <c r="E3431">
        <v>0.38565149999999998</v>
      </c>
      <c r="F3431" t="s">
        <v>42</v>
      </c>
      <c r="G3431">
        <v>-491.46230000000003</v>
      </c>
      <c r="H3431" s="1">
        <v>-4.3930619999999997E-6</v>
      </c>
      <c r="I3431">
        <v>269.13380000000001</v>
      </c>
      <c r="J3431">
        <v>-487.71550000000002</v>
      </c>
      <c r="K3431">
        <v>1.1262350000000001</v>
      </c>
      <c r="L3431">
        <v>281.1277</v>
      </c>
      <c r="M3431">
        <v>-0.87212369999999995</v>
      </c>
      <c r="N3431">
        <v>-7.1978839999999999E-3</v>
      </c>
      <c r="O3431">
        <v>-0.48923270000000002</v>
      </c>
      <c r="P3431">
        <v>-0.56325099999999995</v>
      </c>
      <c r="Q3431">
        <v>-7.5339639999999999E-2</v>
      </c>
      <c r="R3431">
        <v>-0.82284419999999903</v>
      </c>
      <c r="S3431">
        <v>-0.94659420000000005</v>
      </c>
      <c r="T3431">
        <v>-0.27845789999999998</v>
      </c>
      <c r="U3431">
        <v>-2.9788510000000001</v>
      </c>
      <c r="V3431">
        <v>-0.44108330000000001</v>
      </c>
      <c r="W3431">
        <v>-7.4975910000000007E-2</v>
      </c>
      <c r="X3431">
        <v>0.89432880000000003</v>
      </c>
      <c r="Y3431">
        <v>-0.68190200000000001</v>
      </c>
      <c r="Z3431">
        <v>6.969266E-3</v>
      </c>
      <c r="AA3431">
        <v>0.73141040000000002</v>
      </c>
      <c r="AB3431">
        <v>18</v>
      </c>
      <c r="AC3431">
        <v>-3.7467999999999999</v>
      </c>
      <c r="AD3431">
        <v>-1.126239393062</v>
      </c>
      <c r="AE3431">
        <v>-11.993899999999901</v>
      </c>
      <c r="AF3431">
        <v>-8.5585753298462492</v>
      </c>
      <c r="AG3431">
        <v>-1.126239393062</v>
      </c>
      <c r="AH3431">
        <v>9.0629107035535093</v>
      </c>
      <c r="AI3431">
        <v>95.162623524636203</v>
      </c>
      <c r="AJ3431">
        <v>133.360614863195</v>
      </c>
      <c r="AK3431">
        <v>12.516148659540599</v>
      </c>
      <c r="AL3431">
        <v>94.299838438376995</v>
      </c>
      <c r="AM3431">
        <v>116.25253243604099</v>
      </c>
      <c r="AN3431">
        <v>0.99999993356432604</v>
      </c>
    </row>
    <row r="3432" spans="1:40" x14ac:dyDescent="0.25">
      <c r="A3432" t="str">
        <f>"20190303153836787"</f>
        <v>20190303153836787</v>
      </c>
      <c r="B3432" t="str">
        <f>"1551598716782134"</f>
        <v>1551598716782134</v>
      </c>
      <c r="C3432" t="s">
        <v>40</v>
      </c>
      <c r="D3432">
        <v>4.3689650000000002</v>
      </c>
      <c r="E3432">
        <v>0.38600489999999998</v>
      </c>
      <c r="F3432" t="s">
        <v>42</v>
      </c>
      <c r="G3432">
        <v>-491.48630000000003</v>
      </c>
      <c r="H3432" s="1">
        <v>-4.3853990000000002E-6</v>
      </c>
      <c r="I3432">
        <v>269.09879999999998</v>
      </c>
      <c r="J3432">
        <v>-487.78840000000002</v>
      </c>
      <c r="K3432">
        <v>1.126344</v>
      </c>
      <c r="L3432">
        <v>281.07960000000003</v>
      </c>
      <c r="M3432">
        <v>-0.86935059999999997</v>
      </c>
      <c r="N3432">
        <v>-7.7326039999999997E-3</v>
      </c>
      <c r="O3432">
        <v>-0.49413580000000001</v>
      </c>
      <c r="P3432">
        <v>-0.55872909999999998</v>
      </c>
      <c r="Q3432">
        <v>-7.5741370000000002E-2</v>
      </c>
      <c r="R3432">
        <v>-0.82588479999999997</v>
      </c>
      <c r="S3432">
        <v>-0.93441770000000002</v>
      </c>
      <c r="T3432">
        <v>-0.27908270000000002</v>
      </c>
      <c r="U3432">
        <v>-2.9807739999999998</v>
      </c>
      <c r="V3432">
        <v>-0.44091000000000002</v>
      </c>
      <c r="W3432">
        <v>-7.4958010000000005E-2</v>
      </c>
      <c r="X3432">
        <v>0.89441589999999904</v>
      </c>
      <c r="Y3432">
        <v>-0.68062040000000001</v>
      </c>
      <c r="Z3432">
        <v>7.1509410000000001E-3</v>
      </c>
      <c r="AA3432">
        <v>0.73260139999999996</v>
      </c>
      <c r="AB3432">
        <v>18</v>
      </c>
      <c r="AC3432">
        <v>-3.6979000000000002</v>
      </c>
      <c r="AD3432">
        <v>-1.126348385399</v>
      </c>
      <c r="AE3432">
        <v>-11.9808</v>
      </c>
      <c r="AF3432">
        <v>-8.5197543890199796</v>
      </c>
      <c r="AG3432">
        <v>-1.126348385399</v>
      </c>
      <c r="AH3432">
        <v>9.0620573040182002</v>
      </c>
      <c r="AI3432">
        <v>95.174368108633402</v>
      </c>
      <c r="AJ3432">
        <v>133.233298098256</v>
      </c>
      <c r="AK3432">
        <v>12.489025507053199</v>
      </c>
      <c r="AL3432">
        <v>94.298809376012798</v>
      </c>
      <c r="AM3432">
        <v>116.24138848549499</v>
      </c>
      <c r="AN3432">
        <v>1.00000006676798</v>
      </c>
    </row>
    <row r="3433" spans="1:40" x14ac:dyDescent="0.25">
      <c r="A3433" t="str">
        <f>"20190303153836799"</f>
        <v>20190303153836799</v>
      </c>
      <c r="B3433" t="str">
        <f>"1551598716791895"</f>
        <v>1551598716791895</v>
      </c>
      <c r="C3433" t="s">
        <v>40</v>
      </c>
      <c r="D3433">
        <v>4.359623</v>
      </c>
      <c r="E3433">
        <v>0.38632490000000003</v>
      </c>
      <c r="F3433" t="s">
        <v>42</v>
      </c>
      <c r="G3433">
        <v>-491.48540000000003</v>
      </c>
      <c r="H3433" s="1">
        <v>-4.3840830000000003E-6</v>
      </c>
      <c r="I3433">
        <v>269.09539999999998</v>
      </c>
      <c r="J3433">
        <v>-487.86040000000003</v>
      </c>
      <c r="K3433">
        <v>1.126441</v>
      </c>
      <c r="L3433">
        <v>281.03109999999998</v>
      </c>
      <c r="M3433">
        <v>-0.86656029999999995</v>
      </c>
      <c r="N3433">
        <v>-8.2180250000000003E-3</v>
      </c>
      <c r="O3433">
        <v>-0.49900499999999998</v>
      </c>
      <c r="P3433">
        <v>-0.55426869999999995</v>
      </c>
      <c r="Q3433">
        <v>-7.5685340000000004E-2</v>
      </c>
      <c r="R3433">
        <v>-0.82888989999999996</v>
      </c>
      <c r="S3433">
        <v>-0.92053220000000002</v>
      </c>
      <c r="T3433">
        <v>-0.28045759999999997</v>
      </c>
      <c r="U3433">
        <v>-2.9840390000000001</v>
      </c>
      <c r="V3433">
        <v>-0.4407142</v>
      </c>
      <c r="W3433">
        <v>-7.4520829999999996E-2</v>
      </c>
      <c r="X3433">
        <v>0.89454889999999998</v>
      </c>
      <c r="Y3433">
        <v>-0.67982790000000004</v>
      </c>
      <c r="Z3433">
        <v>7.3731930000000001E-3</v>
      </c>
      <c r="AA3433">
        <v>0.73333459999999995</v>
      </c>
      <c r="AB3433">
        <v>18</v>
      </c>
      <c r="AC3433">
        <v>-3.625</v>
      </c>
      <c r="AD3433">
        <v>-1.126445384083</v>
      </c>
      <c r="AE3433">
        <v>-11.935699999999899</v>
      </c>
      <c r="AF3433">
        <v>-8.4653653969120199</v>
      </c>
      <c r="AG3433">
        <v>-1.126445384083</v>
      </c>
      <c r="AH3433">
        <v>9.0239734896411097</v>
      </c>
      <c r="AI3433">
        <v>95.201845052245105</v>
      </c>
      <c r="AJ3433">
        <v>133.17059928409401</v>
      </c>
      <c r="AK3433">
        <v>12.424306340729901</v>
      </c>
      <c r="AL3433">
        <v>94.273690636914793</v>
      </c>
      <c r="AM3433">
        <v>116.22791934742</v>
      </c>
      <c r="AN3433">
        <v>1.0000000473383599</v>
      </c>
    </row>
    <row r="3434" spans="1:40" x14ac:dyDescent="0.25">
      <c r="A3434" t="str">
        <f>"20190303153836811"</f>
        <v>20190303153836811</v>
      </c>
      <c r="B3434" t="str">
        <f>"1551598716801655"</f>
        <v>1551598716801655</v>
      </c>
      <c r="C3434" t="s">
        <v>40</v>
      </c>
      <c r="D3434">
        <v>4.3689269999999896</v>
      </c>
      <c r="E3434">
        <v>0.38664539999999997</v>
      </c>
      <c r="F3434" t="s">
        <v>42</v>
      </c>
      <c r="G3434">
        <v>-491.50659999999999</v>
      </c>
      <c r="H3434" s="1">
        <v>-4.3598390000000002E-6</v>
      </c>
      <c r="I3434">
        <v>269.01310000000001</v>
      </c>
      <c r="J3434">
        <v>-487.93950000000001</v>
      </c>
      <c r="K3434">
        <v>1.126533</v>
      </c>
      <c r="L3434">
        <v>280.97739999999999</v>
      </c>
      <c r="M3434">
        <v>-0.86345400000000005</v>
      </c>
      <c r="N3434">
        <v>-8.7359050000000004E-3</v>
      </c>
      <c r="O3434">
        <v>-0.50435189999999996</v>
      </c>
      <c r="P3434">
        <v>-0.54914569999999996</v>
      </c>
      <c r="Q3434">
        <v>-7.5478920000000005E-2</v>
      </c>
      <c r="R3434">
        <v>-0.83231119999999903</v>
      </c>
      <c r="S3434">
        <v>-0.90643309999999999</v>
      </c>
      <c r="T3434">
        <v>-0.28003109999999998</v>
      </c>
      <c r="U3434">
        <v>-2.9876399999999999</v>
      </c>
      <c r="V3434">
        <v>-0.44071500000000002</v>
      </c>
      <c r="W3434">
        <v>-7.3909450000000002E-2</v>
      </c>
      <c r="X3434">
        <v>0.89459909999999998</v>
      </c>
      <c r="Y3434">
        <v>-0.6787012</v>
      </c>
      <c r="Z3434">
        <v>7.5470919999999896E-3</v>
      </c>
      <c r="AA3434">
        <v>0.73437580000000002</v>
      </c>
      <c r="AB3434">
        <v>18</v>
      </c>
      <c r="AC3434">
        <v>-3.56709999999998</v>
      </c>
      <c r="AD3434">
        <v>-1.1265373598390001</v>
      </c>
      <c r="AE3434">
        <v>-11.9642999999999</v>
      </c>
      <c r="AF3434">
        <v>-8.4629690513639506</v>
      </c>
      <c r="AG3434">
        <v>-1.1265373598390001</v>
      </c>
      <c r="AH3434">
        <v>9.04098028709552</v>
      </c>
      <c r="AI3434">
        <v>95.197767495220305</v>
      </c>
      <c r="AJ3434">
        <v>133.10867970436499</v>
      </c>
      <c r="AK3434">
        <v>12.435041461093199</v>
      </c>
      <c r="AL3434">
        <v>94.238564756569502</v>
      </c>
      <c r="AM3434">
        <v>116.226685953594</v>
      </c>
      <c r="AN3434">
        <v>0.99999993387255404</v>
      </c>
    </row>
    <row r="3435" spans="1:40" x14ac:dyDescent="0.25">
      <c r="A3435" t="str">
        <f>"20190303153836824"</f>
        <v>20190303153836824</v>
      </c>
      <c r="B3435" t="str">
        <f>"1551598716812390"</f>
        <v>1551598716812390</v>
      </c>
      <c r="C3435" t="s">
        <v>40</v>
      </c>
      <c r="D3435">
        <v>4.3703570000000003</v>
      </c>
      <c r="E3435">
        <v>0.38694299999999998</v>
      </c>
      <c r="F3435" t="s">
        <v>42</v>
      </c>
      <c r="G3435">
        <v>-491.53480000000002</v>
      </c>
      <c r="H3435" s="1">
        <v>-4.326663E-6</v>
      </c>
      <c r="I3435">
        <v>268.90089999999998</v>
      </c>
      <c r="J3435">
        <v>-488.02319999999997</v>
      </c>
      <c r="K3435">
        <v>1.126606</v>
      </c>
      <c r="L3435">
        <v>280.9194</v>
      </c>
      <c r="M3435">
        <v>-0.860093</v>
      </c>
      <c r="N3435">
        <v>-9.2412320000000003E-3</v>
      </c>
      <c r="O3435">
        <v>-0.5100538</v>
      </c>
      <c r="P3435">
        <v>-0.54369069999999997</v>
      </c>
      <c r="Q3435">
        <v>-7.529102E-2</v>
      </c>
      <c r="R3435">
        <v>-0.83590200000000003</v>
      </c>
      <c r="S3435">
        <v>-0.89059449999999996</v>
      </c>
      <c r="T3435">
        <v>-0.27905580000000002</v>
      </c>
      <c r="U3435">
        <v>-2.9914860000000001</v>
      </c>
      <c r="V3435">
        <v>-0.44066179999999999</v>
      </c>
      <c r="W3435">
        <v>-7.3306930000000006E-2</v>
      </c>
      <c r="X3435">
        <v>0.894675</v>
      </c>
      <c r="Y3435">
        <v>-0.67766789999999999</v>
      </c>
      <c r="Z3435">
        <v>7.7282599999999998E-3</v>
      </c>
      <c r="AA3435">
        <v>0.73532749999999902</v>
      </c>
      <c r="AB3435">
        <v>18</v>
      </c>
      <c r="AC3435">
        <v>-3.51160000000004</v>
      </c>
      <c r="AD3435">
        <v>-1.1266103266630001</v>
      </c>
      <c r="AE3435">
        <v>-12.0185</v>
      </c>
      <c r="AF3435">
        <v>-8.4776518763774007</v>
      </c>
      <c r="AG3435">
        <v>-1.1266103266630001</v>
      </c>
      <c r="AH3435">
        <v>9.0772843859097403</v>
      </c>
      <c r="AI3435">
        <v>95.182890762159602</v>
      </c>
      <c r="AJ3435">
        <v>133.04368074650799</v>
      </c>
      <c r="AK3435">
        <v>12.471444342491701</v>
      </c>
      <c r="AL3435">
        <v>94.203948541820196</v>
      </c>
      <c r="AM3435">
        <v>116.222017238719</v>
      </c>
      <c r="AN3435">
        <v>1.00000004179513</v>
      </c>
    </row>
    <row r="3436" spans="1:40" x14ac:dyDescent="0.25">
      <c r="A3436" t="str">
        <f>"20190303153836836"</f>
        <v>20190303153836836</v>
      </c>
      <c r="B3436" t="str">
        <f>"1551598716831910"</f>
        <v>1551598716831910</v>
      </c>
      <c r="C3436" t="s">
        <v>40</v>
      </c>
      <c r="D3436">
        <v>4.4280939999999998</v>
      </c>
      <c r="E3436">
        <v>0.38764389999999999</v>
      </c>
      <c r="F3436" t="s">
        <v>42</v>
      </c>
      <c r="G3436">
        <v>-491.55290000000002</v>
      </c>
      <c r="H3436" s="1">
        <v>-4.2930299999999998E-6</v>
      </c>
      <c r="I3436">
        <v>268.79259999999999</v>
      </c>
      <c r="J3436">
        <v>-488.09870000000001</v>
      </c>
      <c r="K3436">
        <v>1.1266480000000001</v>
      </c>
      <c r="L3436">
        <v>280.86630000000002</v>
      </c>
      <c r="M3436">
        <v>-0.85699899999999996</v>
      </c>
      <c r="N3436">
        <v>-9.6726780000000005E-3</v>
      </c>
      <c r="O3436">
        <v>-0.5152274</v>
      </c>
      <c r="P3436">
        <v>-0.53873139999999997</v>
      </c>
      <c r="Q3436">
        <v>-7.5090130000000005E-2</v>
      </c>
      <c r="R3436">
        <v>-0.83912469999999995</v>
      </c>
      <c r="S3436">
        <v>-0.87219239999999998</v>
      </c>
      <c r="T3436">
        <v>-0.2783852</v>
      </c>
      <c r="U3436">
        <v>-2.996521</v>
      </c>
      <c r="V3436">
        <v>-0.44058730000000002</v>
      </c>
      <c r="W3436">
        <v>-7.2733889999999995E-2</v>
      </c>
      <c r="X3436">
        <v>0.89475839999999995</v>
      </c>
      <c r="Y3436">
        <v>-0.67772449999999995</v>
      </c>
      <c r="Z3436">
        <v>7.8540280000000007E-3</v>
      </c>
      <c r="AA3436">
        <v>0.73527399999999998</v>
      </c>
      <c r="AB3436">
        <v>18</v>
      </c>
      <c r="AC3436">
        <v>-3.4542000000000099</v>
      </c>
      <c r="AD3436">
        <v>-1.12665229302999</v>
      </c>
      <c r="AE3436">
        <v>-12.073700000000001</v>
      </c>
      <c r="AF3436">
        <v>-8.4994401583941706</v>
      </c>
      <c r="AG3436">
        <v>-1.12665229302999</v>
      </c>
      <c r="AH3436">
        <v>9.1080667596614102</v>
      </c>
      <c r="AI3436">
        <v>95.167619462021804</v>
      </c>
      <c r="AJ3436">
        <v>133.02028435577799</v>
      </c>
      <c r="AK3436">
        <v>12.508665336236399</v>
      </c>
      <c r="AL3436">
        <v>94.171028097945694</v>
      </c>
      <c r="AM3436">
        <v>116.216060838622</v>
      </c>
      <c r="AN3436">
        <v>0.99999999102319104</v>
      </c>
    </row>
    <row r="3437" spans="1:40" x14ac:dyDescent="0.25">
      <c r="A3437" t="str">
        <f>"20190303153836848"</f>
        <v>20190303153836848</v>
      </c>
      <c r="B3437" t="str">
        <f>"1551598716841671"</f>
        <v>1551598716841671</v>
      </c>
      <c r="C3437" t="s">
        <v>40</v>
      </c>
      <c r="D3437">
        <v>4.3878050000000002</v>
      </c>
      <c r="E3437">
        <v>0.38797920000000002</v>
      </c>
      <c r="F3437" t="s">
        <v>42</v>
      </c>
      <c r="G3437">
        <v>-491.58879999999999</v>
      </c>
      <c r="H3437" s="1">
        <v>-4.2656399999999997E-6</v>
      </c>
      <c r="I3437">
        <v>268.6934</v>
      </c>
      <c r="J3437">
        <v>-488.17529999999999</v>
      </c>
      <c r="K3437">
        <v>1.126671</v>
      </c>
      <c r="L3437">
        <v>280.81200000000001</v>
      </c>
      <c r="M3437">
        <v>-0.85380259999999997</v>
      </c>
      <c r="N3437">
        <v>-1.009258E-2</v>
      </c>
      <c r="O3437">
        <v>-0.52049909999999999</v>
      </c>
      <c r="P3437">
        <v>-0.53358719999999904</v>
      </c>
      <c r="Q3437">
        <v>-7.5397829999999999E-2</v>
      </c>
      <c r="R3437">
        <v>-0.8423775</v>
      </c>
      <c r="S3437">
        <v>-0.85968020000000001</v>
      </c>
      <c r="T3437">
        <v>-0.2775183</v>
      </c>
      <c r="U3437">
        <v>-2.9984440000000001</v>
      </c>
      <c r="V3437">
        <v>-0.44052239999999998</v>
      </c>
      <c r="W3437">
        <v>-7.2666149999999999E-2</v>
      </c>
      <c r="X3437">
        <v>0.89479580000000003</v>
      </c>
      <c r="Y3437">
        <v>-0.67615209999999903</v>
      </c>
      <c r="Z3437">
        <v>8.097913E-3</v>
      </c>
      <c r="AA3437">
        <v>0.73671759999999997</v>
      </c>
      <c r="AB3437">
        <v>18</v>
      </c>
      <c r="AC3437">
        <v>-3.4134999999999902</v>
      </c>
      <c r="AD3437">
        <v>-1.1266752656400001</v>
      </c>
      <c r="AE3437">
        <v>-12.118600000000001</v>
      </c>
      <c r="AF3437">
        <v>-8.5025150745495992</v>
      </c>
      <c r="AG3437">
        <v>-1.1266752656400001</v>
      </c>
      <c r="AH3437">
        <v>9.1493751486874402</v>
      </c>
      <c r="AI3437">
        <v>95.154421759863993</v>
      </c>
      <c r="AJ3437">
        <v>132.901313970789</v>
      </c>
      <c r="AK3437">
        <v>12.540862225483799</v>
      </c>
      <c r="AL3437">
        <v>94.167136801550797</v>
      </c>
      <c r="AM3437">
        <v>116.211766869968</v>
      </c>
      <c r="AN3437">
        <v>0.99999993897760897</v>
      </c>
    </row>
    <row r="3438" spans="1:40" x14ac:dyDescent="0.25">
      <c r="A3438" t="str">
        <f>"20190303153836860"</f>
        <v>20190303153836860</v>
      </c>
      <c r="B3438" t="str">
        <f>"1551598716852406"</f>
        <v>1551598716852406</v>
      </c>
      <c r="C3438" t="s">
        <v>40</v>
      </c>
      <c r="D3438">
        <v>4.396312</v>
      </c>
      <c r="E3438">
        <v>0.38830330000000002</v>
      </c>
      <c r="F3438" t="s">
        <v>42</v>
      </c>
      <c r="G3438">
        <v>-491.5908</v>
      </c>
      <c r="H3438" s="1">
        <v>-4.2541039999999997E-6</v>
      </c>
      <c r="I3438">
        <v>268.6585</v>
      </c>
      <c r="J3438">
        <v>-488.25330000000002</v>
      </c>
      <c r="K3438">
        <v>1.1266620000000001</v>
      </c>
      <c r="L3438">
        <v>280.75540000000001</v>
      </c>
      <c r="M3438">
        <v>-0.85045969999999904</v>
      </c>
      <c r="N3438">
        <v>-1.048172E-2</v>
      </c>
      <c r="O3438">
        <v>-0.52593559999999995</v>
      </c>
      <c r="P3438">
        <v>-0.52827819999999903</v>
      </c>
      <c r="Q3438">
        <v>-7.5626219999999994E-2</v>
      </c>
      <c r="R3438">
        <v>-0.84569649999999996</v>
      </c>
      <c r="S3438">
        <v>-0.84365840000000003</v>
      </c>
      <c r="T3438">
        <v>-0.2782985</v>
      </c>
      <c r="U3438">
        <v>-3.002014</v>
      </c>
      <c r="V3438">
        <v>-0.44042870000000001</v>
      </c>
      <c r="W3438">
        <v>-7.2517750000000006E-2</v>
      </c>
      <c r="X3438">
        <v>0.89485400000000004</v>
      </c>
      <c r="Y3438">
        <v>-0.67531280000000005</v>
      </c>
      <c r="Z3438">
        <v>8.4302219999999994E-3</v>
      </c>
      <c r="AA3438">
        <v>0.73748329999999995</v>
      </c>
      <c r="AB3438">
        <v>18</v>
      </c>
      <c r="AC3438">
        <v>-3.3374999999999702</v>
      </c>
      <c r="AD3438">
        <v>-1.126666254104</v>
      </c>
      <c r="AE3438">
        <v>-12.0969</v>
      </c>
      <c r="AF3438">
        <v>-8.4648513181806404</v>
      </c>
      <c r="AG3438">
        <v>-1.126666254104</v>
      </c>
      <c r="AH3438">
        <v>9.1275300352288902</v>
      </c>
      <c r="AI3438">
        <v>95.171526558417597</v>
      </c>
      <c r="AJ3438">
        <v>132.84277352577999</v>
      </c>
      <c r="AK3438">
        <v>12.4993955546277</v>
      </c>
      <c r="AL3438">
        <v>94.158611475554096</v>
      </c>
      <c r="AM3438">
        <v>116.20546085316499</v>
      </c>
      <c r="AN3438">
        <v>0.99999997258237505</v>
      </c>
    </row>
    <row r="3439" spans="1:40" x14ac:dyDescent="0.25">
      <c r="A3439" t="str">
        <f>"20190303153836874"</f>
        <v>20190303153836874</v>
      </c>
      <c r="B3439" t="str">
        <f>"1551598716871927"</f>
        <v>1551598716871927</v>
      </c>
      <c r="C3439" t="s">
        <v>40</v>
      </c>
      <c r="D3439">
        <v>4.4494629999999997</v>
      </c>
      <c r="E3439">
        <v>0.38907039999999998</v>
      </c>
      <c r="F3439" t="s">
        <v>42</v>
      </c>
      <c r="G3439">
        <v>-491.59609999999998</v>
      </c>
      <c r="H3439" s="1">
        <v>-4.2377899999999996E-6</v>
      </c>
      <c r="I3439">
        <v>268.6078</v>
      </c>
      <c r="J3439">
        <v>-488.33920000000001</v>
      </c>
      <c r="K3439">
        <v>1.1266370000000001</v>
      </c>
      <c r="L3439">
        <v>280.6925</v>
      </c>
      <c r="M3439">
        <v>-0.84670780000000001</v>
      </c>
      <c r="N3439">
        <v>-1.0890159999999999E-2</v>
      </c>
      <c r="O3439">
        <v>-0.5319469</v>
      </c>
      <c r="P3439">
        <v>-0.52228819999999998</v>
      </c>
      <c r="Q3439">
        <v>-7.6585189999999997E-2</v>
      </c>
      <c r="R3439">
        <v>-0.84932350000000001</v>
      </c>
      <c r="S3439">
        <v>-0.82711789999999996</v>
      </c>
      <c r="T3439">
        <v>-0.27877269999999998</v>
      </c>
      <c r="U3439">
        <v>-3.0057070000000001</v>
      </c>
      <c r="V3439">
        <v>-0.44033739999999999</v>
      </c>
      <c r="W3439">
        <v>-7.3071650000000002E-2</v>
      </c>
      <c r="X3439">
        <v>0.89485389999999998</v>
      </c>
      <c r="Y3439">
        <v>-0.6740853</v>
      </c>
      <c r="Z3439">
        <v>8.8130440000000008E-3</v>
      </c>
      <c r="AA3439">
        <v>0.73860099999999995</v>
      </c>
      <c r="AB3439">
        <v>18</v>
      </c>
      <c r="AC3439">
        <v>-3.2568999999999702</v>
      </c>
      <c r="AD3439">
        <v>-1.1266412377899999</v>
      </c>
      <c r="AE3439">
        <v>-12.0846999999999</v>
      </c>
      <c r="AF3439">
        <v>-8.43189112572162</v>
      </c>
      <c r="AG3439">
        <v>-1.1266412377899999</v>
      </c>
      <c r="AH3439">
        <v>9.1127640613215402</v>
      </c>
      <c r="AI3439">
        <v>95.185179020127507</v>
      </c>
      <c r="AJ3439">
        <v>132.777580780417</v>
      </c>
      <c r="AK3439">
        <v>12.466297656963899</v>
      </c>
      <c r="AL3439">
        <v>94.190431927791394</v>
      </c>
      <c r="AM3439">
        <v>116.200757377144</v>
      </c>
      <c r="AN3439">
        <v>0.99999999710884602</v>
      </c>
    </row>
    <row r="3440" spans="1:40" x14ac:dyDescent="0.25">
      <c r="A3440" t="str">
        <f>"20190303153836888"</f>
        <v>20190303153836888</v>
      </c>
      <c r="B3440" t="str">
        <f>"1551598716881686"</f>
        <v>1551598716881686</v>
      </c>
      <c r="C3440" t="s">
        <v>40</v>
      </c>
      <c r="D3440">
        <v>4.4106030000000001</v>
      </c>
      <c r="E3440">
        <v>0.38907039999999998</v>
      </c>
      <c r="F3440" t="s">
        <v>42</v>
      </c>
      <c r="G3440">
        <v>-491.57639999999998</v>
      </c>
      <c r="H3440" s="1">
        <v>-4.259905E-6</v>
      </c>
      <c r="I3440">
        <v>268.68299999999999</v>
      </c>
      <c r="J3440">
        <v>-488.42360000000002</v>
      </c>
      <c r="K3440">
        <v>1.126606</v>
      </c>
      <c r="L3440">
        <v>280.62990000000002</v>
      </c>
      <c r="M3440">
        <v>-0.842943199999999</v>
      </c>
      <c r="N3440">
        <v>-1.1264110000000001E-2</v>
      </c>
      <c r="O3440">
        <v>-0.53788480000000005</v>
      </c>
      <c r="P3440">
        <v>-0.51647790000000005</v>
      </c>
      <c r="Q3440">
        <v>-7.7604820000000005E-2</v>
      </c>
      <c r="R3440">
        <v>-0.85277700000000001</v>
      </c>
      <c r="S3440">
        <v>-0.81085209999999996</v>
      </c>
      <c r="T3440">
        <v>-0.282196</v>
      </c>
      <c r="U3440">
        <v>-3.0080870000000002</v>
      </c>
      <c r="V3440">
        <v>-0.44007499999999999</v>
      </c>
      <c r="W3440">
        <v>-7.370372E-2</v>
      </c>
      <c r="X3440">
        <v>0.89493109999999998</v>
      </c>
      <c r="Y3440">
        <v>-0.6727379</v>
      </c>
      <c r="Z3440">
        <v>9.4335059999999995E-3</v>
      </c>
      <c r="AA3440">
        <v>0.73982079999999995</v>
      </c>
      <c r="AB3440">
        <v>18</v>
      </c>
      <c r="AC3440">
        <v>-3.1527999999999499</v>
      </c>
      <c r="AD3440">
        <v>-1.1266102599050001</v>
      </c>
      <c r="AE3440">
        <v>-11.946899999999999</v>
      </c>
      <c r="AF3440">
        <v>-8.3061898071897193</v>
      </c>
      <c r="AG3440">
        <v>-1.1266102599050001</v>
      </c>
      <c r="AH3440">
        <v>9.0093610447209898</v>
      </c>
      <c r="AI3440">
        <v>95.252886757332405</v>
      </c>
      <c r="AJ3440">
        <v>132.67454009615801</v>
      </c>
      <c r="AK3440">
        <v>12.3057151854299</v>
      </c>
      <c r="AL3440">
        <v>94.2267449519032</v>
      </c>
      <c r="AM3440">
        <v>116.185272659722</v>
      </c>
      <c r="AN3440">
        <v>0.99999995885702297</v>
      </c>
    </row>
    <row r="3441" spans="1:40" x14ac:dyDescent="0.25">
      <c r="A3441" t="str">
        <f>"20190303153836901"</f>
        <v>20190303153836901</v>
      </c>
      <c r="B3441" t="str">
        <f>"1551598716891446"</f>
        <v>1551598716891446</v>
      </c>
      <c r="C3441" t="s">
        <v>40</v>
      </c>
      <c r="D3441">
        <v>4.4908219999999996</v>
      </c>
      <c r="E3441">
        <v>0.4020012</v>
      </c>
      <c r="F3441" t="s">
        <v>42</v>
      </c>
      <c r="G3441">
        <v>-491.5444</v>
      </c>
      <c r="H3441" s="1">
        <v>-4.2726929999999998E-6</v>
      </c>
      <c r="I3441">
        <v>268.7373</v>
      </c>
      <c r="J3441">
        <v>-488.50049999999999</v>
      </c>
      <c r="K3441">
        <v>1.126574</v>
      </c>
      <c r="L3441">
        <v>280.57159999999999</v>
      </c>
      <c r="M3441">
        <v>-0.83943259999999897</v>
      </c>
      <c r="N3441">
        <v>-1.157183E-2</v>
      </c>
      <c r="O3441">
        <v>-0.54334099999999996</v>
      </c>
      <c r="P3441">
        <v>-0.51108039999999999</v>
      </c>
      <c r="Q3441">
        <v>-7.7975600000000006E-2</v>
      </c>
      <c r="R3441">
        <v>-0.85598920000000001</v>
      </c>
      <c r="S3441">
        <v>-0.79067989999999999</v>
      </c>
      <c r="T3441">
        <v>-0.28543350000000001</v>
      </c>
      <c r="U3441">
        <v>-3.0130620000000001</v>
      </c>
      <c r="V3441">
        <v>-0.43990020000000002</v>
      </c>
      <c r="W3441">
        <v>-7.3749990000000001E-2</v>
      </c>
      <c r="X3441">
        <v>0.89501330000000001</v>
      </c>
      <c r="Y3441">
        <v>-0.67284739999999998</v>
      </c>
      <c r="Z3441">
        <v>9.9573319999999993E-3</v>
      </c>
      <c r="AA3441">
        <v>0.73971430000000005</v>
      </c>
      <c r="AB3441">
        <v>18</v>
      </c>
      <c r="AC3441">
        <v>-3.0438999999999998</v>
      </c>
      <c r="AD3441">
        <v>-1.126578272693</v>
      </c>
      <c r="AE3441">
        <v>-11.834299999999899</v>
      </c>
      <c r="AF3441">
        <v>-8.2109812335562609</v>
      </c>
      <c r="AG3441">
        <v>-1.126578272693</v>
      </c>
      <c r="AH3441">
        <v>8.9100737714041909</v>
      </c>
      <c r="AI3441">
        <v>95.312022400704194</v>
      </c>
      <c r="AJ3441">
        <v>132.66177883569901</v>
      </c>
      <c r="AK3441">
        <v>12.1687635376065</v>
      </c>
      <c r="AL3441">
        <v>94.229402973325705</v>
      </c>
      <c r="AM3441">
        <v>116.17417671337</v>
      </c>
      <c r="AN3441">
        <v>1.0000000270809599</v>
      </c>
    </row>
    <row r="3442" spans="1:40" x14ac:dyDescent="0.25">
      <c r="A3442" t="str">
        <f>"20190303153836918"</f>
        <v>20190303153836918</v>
      </c>
      <c r="B3442" t="str">
        <f>"1551598716911941"</f>
        <v>1551598716911941</v>
      </c>
      <c r="C3442" t="s">
        <v>40</v>
      </c>
      <c r="D3442">
        <v>4.4169499999999999</v>
      </c>
      <c r="E3442">
        <v>0.40323870000000001</v>
      </c>
      <c r="F3442" t="s">
        <v>42</v>
      </c>
      <c r="G3442">
        <v>-492.13490000000002</v>
      </c>
      <c r="H3442" s="1">
        <v>-4.1433800000000003E-6</v>
      </c>
      <c r="I3442">
        <v>268.04950000000002</v>
      </c>
      <c r="J3442">
        <v>-488.61329999999998</v>
      </c>
      <c r="K3442">
        <v>1.126544</v>
      </c>
      <c r="L3442">
        <v>280.48500000000001</v>
      </c>
      <c r="M3442">
        <v>-0.83418189999999903</v>
      </c>
      <c r="N3442">
        <v>-1.199281E-2</v>
      </c>
      <c r="O3442">
        <v>-0.55135919999999905</v>
      </c>
      <c r="P3442">
        <v>-0.50334400000000001</v>
      </c>
      <c r="Q3442">
        <v>-7.8641639999999999E-2</v>
      </c>
      <c r="R3442">
        <v>-0.8605003</v>
      </c>
      <c r="S3442">
        <v>-0.86093140000000001</v>
      </c>
      <c r="T3442">
        <v>-0.26687300000000003</v>
      </c>
      <c r="U3442">
        <v>-2.9663390000000001</v>
      </c>
      <c r="V3442">
        <v>-0.43934450000000003</v>
      </c>
      <c r="W3442">
        <v>-7.3969740000000006E-2</v>
      </c>
      <c r="X3442">
        <v>0.89526799999999995</v>
      </c>
      <c r="Y3442">
        <v>-0.64643809999999902</v>
      </c>
      <c r="Z3442">
        <v>1.089327E-2</v>
      </c>
      <c r="AA3442">
        <v>0.76288869999999998</v>
      </c>
      <c r="AB3442">
        <v>18</v>
      </c>
      <c r="AC3442">
        <v>-3.52160000000003</v>
      </c>
      <c r="AD3442">
        <v>-1.12654814338</v>
      </c>
      <c r="AE3442">
        <v>-12.4354999999999</v>
      </c>
      <c r="AF3442">
        <v>-8.3688257804343493</v>
      </c>
      <c r="AG3442">
        <v>-1.12654814338</v>
      </c>
      <c r="AH3442">
        <v>9.7209308375241701</v>
      </c>
      <c r="AI3442">
        <v>95.019170988725804</v>
      </c>
      <c r="AJ3442">
        <v>130.72541911715399</v>
      </c>
      <c r="AK3442">
        <v>12.876445627988399</v>
      </c>
      <c r="AL3442">
        <v>94.242028523941798</v>
      </c>
      <c r="AM3442">
        <v>116.139069055569</v>
      </c>
      <c r="AN3442">
        <v>0.99999995196995695</v>
      </c>
    </row>
    <row r="3443" spans="1:40" x14ac:dyDescent="0.25">
      <c r="A3443" t="str">
        <f>"20190303153836930"</f>
        <v>20190303153836930</v>
      </c>
      <c r="B3443" t="str">
        <f>"1551598716921702"</f>
        <v>1551598716921702</v>
      </c>
      <c r="C3443" t="s">
        <v>40</v>
      </c>
      <c r="D3443">
        <v>4.4307220000000003</v>
      </c>
      <c r="E3443">
        <v>0.40389829999999999</v>
      </c>
      <c r="F3443" t="s">
        <v>42</v>
      </c>
      <c r="G3443">
        <v>-492.0326</v>
      </c>
      <c r="H3443" s="1">
        <v>-4.2547650000000004E-6</v>
      </c>
      <c r="I3443">
        <v>268.43009999999998</v>
      </c>
      <c r="J3443">
        <v>-488.68450000000001</v>
      </c>
      <c r="K3443">
        <v>1.126525</v>
      </c>
      <c r="L3443">
        <v>280.42970000000003</v>
      </c>
      <c r="M3443">
        <v>-0.83080859999999901</v>
      </c>
      <c r="N3443">
        <v>-1.2240640000000001E-2</v>
      </c>
      <c r="O3443">
        <v>-0.55642369999999997</v>
      </c>
      <c r="P3443">
        <v>-0.4982684</v>
      </c>
      <c r="Q3443">
        <v>-7.8593730000000001E-2</v>
      </c>
      <c r="R3443">
        <v>-0.86345319999999903</v>
      </c>
      <c r="S3443">
        <v>-0.84197999999999995</v>
      </c>
      <c r="T3443">
        <v>-0.27741130000000003</v>
      </c>
      <c r="U3443">
        <v>-2.9685060000000001</v>
      </c>
      <c r="V3443">
        <v>-0.43918069999999998</v>
      </c>
      <c r="W3443">
        <v>-7.3665599999999998E-2</v>
      </c>
      <c r="X3443">
        <v>0.89537350000000004</v>
      </c>
      <c r="Y3443">
        <v>-0.64638339999999905</v>
      </c>
      <c r="Z3443">
        <v>1.2058019999999999E-2</v>
      </c>
      <c r="AA3443">
        <v>0.76291750000000003</v>
      </c>
      <c r="AB3443">
        <v>18</v>
      </c>
      <c r="AC3443">
        <v>-3.3480999999999801</v>
      </c>
      <c r="AD3443">
        <v>-1.1265292547650001</v>
      </c>
      <c r="AE3443">
        <v>-11.999599999999999</v>
      </c>
      <c r="AF3443">
        <v>-8.0412624528597298</v>
      </c>
      <c r="AG3443">
        <v>-1.1265292547650001</v>
      </c>
      <c r="AH3443">
        <v>9.3824800054593407</v>
      </c>
      <c r="AI3443">
        <v>95.209030679608205</v>
      </c>
      <c r="AJ3443">
        <v>130.598255533931</v>
      </c>
      <c r="AK3443">
        <v>12.4081385006155</v>
      </c>
      <c r="AL3443">
        <v>94.224554682874398</v>
      </c>
      <c r="AM3443">
        <v>116.12795062838001</v>
      </c>
      <c r="AN3443">
        <v>1.0000000061890499</v>
      </c>
    </row>
    <row r="3444" spans="1:40" x14ac:dyDescent="0.25">
      <c r="A3444" t="str">
        <f>"20190303153836942"</f>
        <v>20190303153836942</v>
      </c>
      <c r="B3444" t="str">
        <f>"1551598716932438"</f>
        <v>1551598716932438</v>
      </c>
      <c r="C3444" t="s">
        <v>40</v>
      </c>
      <c r="D3444">
        <v>4.4239990000000002</v>
      </c>
      <c r="E3444">
        <v>0.40406900000000001</v>
      </c>
      <c r="F3444" t="s">
        <v>42</v>
      </c>
      <c r="G3444">
        <v>-492.03899999999999</v>
      </c>
      <c r="H3444" s="1">
        <v>-4.2479170000000003E-6</v>
      </c>
      <c r="I3444">
        <v>268.40660000000003</v>
      </c>
      <c r="J3444">
        <v>-488.75639999999999</v>
      </c>
      <c r="K3444">
        <v>1.126514</v>
      </c>
      <c r="L3444">
        <v>280.37279999999998</v>
      </c>
      <c r="M3444">
        <v>-0.82733959999999995</v>
      </c>
      <c r="N3444">
        <v>-1.2466949999999999E-2</v>
      </c>
      <c r="O3444">
        <v>-0.56156379999999995</v>
      </c>
      <c r="P3444">
        <v>-0.49324839999999998</v>
      </c>
      <c r="Q3444">
        <v>-7.8895820000000005E-2</v>
      </c>
      <c r="R3444">
        <v>-0.86630370000000001</v>
      </c>
      <c r="S3444">
        <v>-0.82885739999999997</v>
      </c>
      <c r="T3444">
        <v>-0.27835179999999998</v>
      </c>
      <c r="U3444">
        <v>-2.970764</v>
      </c>
      <c r="V3444">
        <v>-0.43880479999999999</v>
      </c>
      <c r="W3444">
        <v>-7.3736910000000003E-2</v>
      </c>
      <c r="X3444">
        <v>0.89555189999999996</v>
      </c>
      <c r="Y3444">
        <v>-0.64492709999999998</v>
      </c>
      <c r="Z3444">
        <v>1.257049E-2</v>
      </c>
      <c r="AA3444">
        <v>0.76414069999999901</v>
      </c>
      <c r="AB3444">
        <v>18</v>
      </c>
      <c r="AC3444">
        <v>-3.2826</v>
      </c>
      <c r="AD3444">
        <v>-1.1265182479169999</v>
      </c>
      <c r="AE3444">
        <v>-11.966199999999899</v>
      </c>
      <c r="AF3444">
        <v>-7.9914785020466796</v>
      </c>
      <c r="AG3444">
        <v>-1.1265182479169999</v>
      </c>
      <c r="AH3444">
        <v>9.3592001979679296</v>
      </c>
      <c r="AI3444">
        <v>95.230047881762999</v>
      </c>
      <c r="AJ3444">
        <v>130.492800687987</v>
      </c>
      <c r="AK3444">
        <v>12.358292776803999</v>
      </c>
      <c r="AL3444">
        <v>94.228651634389095</v>
      </c>
      <c r="AM3444">
        <v>116.104047582352</v>
      </c>
      <c r="AN3444">
        <v>0.99999999499649905</v>
      </c>
    </row>
    <row r="3445" spans="1:40" x14ac:dyDescent="0.25">
      <c r="A3445" t="str">
        <f>"20190303153836953"</f>
        <v>20190303153836953</v>
      </c>
      <c r="B3445" t="str">
        <f>"1551598716942199"</f>
        <v>1551598716942199</v>
      </c>
      <c r="C3445" t="s">
        <v>40</v>
      </c>
      <c r="D3445">
        <v>4.4440939999999998</v>
      </c>
      <c r="E3445">
        <v>0.40435470000000001</v>
      </c>
      <c r="F3445" t="s">
        <v>42</v>
      </c>
      <c r="G3445">
        <v>-492.04169999999999</v>
      </c>
      <c r="H3445" s="1">
        <v>-4.2300670000000001E-6</v>
      </c>
      <c r="I3445">
        <v>268.3528</v>
      </c>
      <c r="J3445">
        <v>-488.82380000000001</v>
      </c>
      <c r="K3445">
        <v>1.126509</v>
      </c>
      <c r="L3445">
        <v>280.31900000000002</v>
      </c>
      <c r="M3445">
        <v>-0.82404419999999901</v>
      </c>
      <c r="N3445">
        <v>-1.2669420000000001E-2</v>
      </c>
      <c r="O3445">
        <v>-0.56638389999999905</v>
      </c>
      <c r="P3445">
        <v>-0.4885931</v>
      </c>
      <c r="Q3445">
        <v>-7.8870590000000004E-2</v>
      </c>
      <c r="R3445">
        <v>-0.86893989999999999</v>
      </c>
      <c r="S3445">
        <v>-0.81304929999999997</v>
      </c>
      <c r="T3445">
        <v>-0.27879209999999999</v>
      </c>
      <c r="U3445">
        <v>-2.9747309999999998</v>
      </c>
      <c r="V3445">
        <v>-0.4383881</v>
      </c>
      <c r="W3445">
        <v>-7.3506970000000005E-2</v>
      </c>
      <c r="X3445">
        <v>0.89577479999999998</v>
      </c>
      <c r="Y3445">
        <v>-0.64450240000000003</v>
      </c>
      <c r="Z3445">
        <v>1.295961E-2</v>
      </c>
      <c r="AA3445">
        <v>0.76449250000000002</v>
      </c>
      <c r="AB3445">
        <v>18</v>
      </c>
      <c r="AC3445">
        <v>-3.2178999999999802</v>
      </c>
      <c r="AD3445">
        <v>-1.126513230067</v>
      </c>
      <c r="AE3445">
        <v>-11.966200000000001</v>
      </c>
      <c r="AF3445">
        <v>-7.9728609560298898</v>
      </c>
      <c r="AG3445">
        <v>-1.126513230067</v>
      </c>
      <c r="AH3445">
        <v>9.3526129488294298</v>
      </c>
      <c r="AI3445">
        <v>95.237259192668105</v>
      </c>
      <c r="AJ3445">
        <v>130.44673483448301</v>
      </c>
      <c r="AK3445">
        <v>12.341268688927901</v>
      </c>
      <c r="AL3445">
        <v>94.215441396988297</v>
      </c>
      <c r="AM3445">
        <v>116.076915001825</v>
      </c>
      <c r="AN3445">
        <v>0.99999994658761304</v>
      </c>
    </row>
    <row r="3446" spans="1:40" x14ac:dyDescent="0.25">
      <c r="A3446" t="str">
        <f>"20190303153836966"</f>
        <v>20190303153836966</v>
      </c>
      <c r="B3446" t="str">
        <f>"1551598716961717"</f>
        <v>1551598716961717</v>
      </c>
      <c r="C3446" t="s">
        <v>40</v>
      </c>
      <c r="D3446">
        <v>4.4356640000000001</v>
      </c>
      <c r="E3446">
        <v>0.40505099999999999</v>
      </c>
      <c r="F3446" t="s">
        <v>42</v>
      </c>
      <c r="G3446">
        <v>-492.05919999999998</v>
      </c>
      <c r="H3446" s="1">
        <v>-4.2012779999999997E-6</v>
      </c>
      <c r="I3446">
        <v>268.25909999999999</v>
      </c>
      <c r="J3446">
        <v>-488.89749999999998</v>
      </c>
      <c r="K3446">
        <v>1.1265099999999999</v>
      </c>
      <c r="L3446">
        <v>280.25920000000002</v>
      </c>
      <c r="M3446">
        <v>-0.82037929999999903</v>
      </c>
      <c r="N3446">
        <v>-1.287638E-2</v>
      </c>
      <c r="O3446">
        <v>-0.57167489999999999</v>
      </c>
      <c r="P3446">
        <v>-0.48311150000000003</v>
      </c>
      <c r="Q3446">
        <v>-7.8990569999999996E-2</v>
      </c>
      <c r="R3446">
        <v>-0.87198880000000001</v>
      </c>
      <c r="S3446">
        <v>-0.79895019999999894</v>
      </c>
      <c r="T3446">
        <v>-0.278180599999999</v>
      </c>
      <c r="U3446">
        <v>-2.9780579999999999</v>
      </c>
      <c r="V3446">
        <v>-0.43825700000000001</v>
      </c>
      <c r="W3446">
        <v>-7.3429469999999997E-2</v>
      </c>
      <c r="X3446">
        <v>0.89584540000000001</v>
      </c>
      <c r="Y3446">
        <v>-0.64318059999999999</v>
      </c>
      <c r="Z3446">
        <v>1.3359970000000001E-2</v>
      </c>
      <c r="AA3446">
        <v>0.765598</v>
      </c>
      <c r="AB3446">
        <v>18</v>
      </c>
      <c r="AC3446">
        <v>-3.16169999999999</v>
      </c>
      <c r="AD3446">
        <v>-1.1265142012780001</v>
      </c>
      <c r="AE3446">
        <v>-12.0001</v>
      </c>
      <c r="AF3446">
        <v>-7.9721399075983799</v>
      </c>
      <c r="AG3446">
        <v>-1.1265142012780001</v>
      </c>
      <c r="AH3446">
        <v>9.3774567518092997</v>
      </c>
      <c r="AI3446">
        <v>95.229456630451494</v>
      </c>
      <c r="AJ3446">
        <v>130.36915345748301</v>
      </c>
      <c r="AK3446">
        <v>12.3596417457812</v>
      </c>
      <c r="AL3446">
        <v>94.210988577189298</v>
      </c>
      <c r="AM3446">
        <v>116.068366955486</v>
      </c>
      <c r="AN3446">
        <v>1.00000003290732</v>
      </c>
    </row>
    <row r="3447" spans="1:40" x14ac:dyDescent="0.25">
      <c r="A3447" t="str">
        <f>"20190303153836979"</f>
        <v>20190303153836979</v>
      </c>
      <c r="B3447" t="str">
        <f>"1551598716971478"</f>
        <v>1551598716971478</v>
      </c>
      <c r="C3447" t="s">
        <v>40</v>
      </c>
      <c r="D3447">
        <v>4.4388059999999996</v>
      </c>
      <c r="E3447">
        <v>0.40505099999999999</v>
      </c>
      <c r="F3447" t="s">
        <v>44</v>
      </c>
      <c r="G3447">
        <v>-489.13560000000001</v>
      </c>
      <c r="H3447">
        <v>1.0422610000000001</v>
      </c>
      <c r="I3447">
        <v>279.35550000000001</v>
      </c>
      <c r="J3447">
        <v>-488.96730000000002</v>
      </c>
      <c r="K3447">
        <v>1.126519</v>
      </c>
      <c r="L3447">
        <v>280.20179999999999</v>
      </c>
      <c r="M3447">
        <v>-0.816841699999999</v>
      </c>
      <c r="N3447">
        <v>-1.305594E-2</v>
      </c>
      <c r="O3447">
        <v>-0.57671439999999996</v>
      </c>
      <c r="P3447">
        <v>-0.47799039999999998</v>
      </c>
      <c r="Q3447">
        <v>-7.8738859999999994E-2</v>
      </c>
      <c r="R3447">
        <v>-0.87482899999999997</v>
      </c>
      <c r="S3447">
        <v>-0.78515630000000003</v>
      </c>
      <c r="T3447">
        <v>-0.27781280000000003</v>
      </c>
      <c r="U3447">
        <v>-2.980286</v>
      </c>
      <c r="V3447">
        <v>-0.43801800000000002</v>
      </c>
      <c r="W3447">
        <v>-7.3009320000000003E-2</v>
      </c>
      <c r="X3447">
        <v>0.89599660000000003</v>
      </c>
      <c r="Y3447">
        <v>-0.64192749999999998</v>
      </c>
      <c r="Z3447">
        <v>1.378041E-2</v>
      </c>
      <c r="AA3447">
        <v>0.76664149999999998</v>
      </c>
      <c r="AB3447">
        <v>18</v>
      </c>
      <c r="AC3447">
        <v>-0.16829999999998699</v>
      </c>
      <c r="AD3447">
        <v>-8.4257999999999902E-2</v>
      </c>
      <c r="AE3447">
        <v>-0.84629999999998495</v>
      </c>
      <c r="AF3447">
        <v>-0.58866957935085196</v>
      </c>
      <c r="AG3447">
        <v>-8.4257999999999902E-2</v>
      </c>
      <c r="AH3447">
        <v>0.61969219486448401</v>
      </c>
      <c r="AI3447">
        <v>95.629992285177707</v>
      </c>
      <c r="AJ3447">
        <v>133.52935220954501</v>
      </c>
      <c r="AK3447">
        <v>0.85886535649836904</v>
      </c>
      <c r="AL3447">
        <v>94.186851029072699</v>
      </c>
      <c r="AM3447">
        <v>116.052216266082</v>
      </c>
      <c r="AN3447">
        <v>1.0000000181712101</v>
      </c>
    </row>
    <row r="3448" spans="1:40" x14ac:dyDescent="0.25">
      <c r="A3448" t="str">
        <f>"20190303153836991"</f>
        <v>20190303153836991</v>
      </c>
      <c r="B3448" t="str">
        <f>"1551598716982214"</f>
        <v>1551598716982214</v>
      </c>
      <c r="C3448" t="s">
        <v>40</v>
      </c>
      <c r="D3448">
        <v>4.4875759999999998</v>
      </c>
      <c r="E3448">
        <v>0.40967940000000003</v>
      </c>
      <c r="F3448" t="s">
        <v>42</v>
      </c>
      <c r="G3448">
        <v>-492.08679999999998</v>
      </c>
      <c r="H3448" s="1">
        <v>-4.1442159999999997E-6</v>
      </c>
      <c r="I3448">
        <v>268.077</v>
      </c>
      <c r="J3448">
        <v>-489.04640000000001</v>
      </c>
      <c r="K3448">
        <v>1.1265320000000001</v>
      </c>
      <c r="L3448">
        <v>280.1361</v>
      </c>
      <c r="M3448">
        <v>-0.812774</v>
      </c>
      <c r="N3448">
        <v>-1.3249459999999999E-2</v>
      </c>
      <c r="O3448">
        <v>-0.58242859999999996</v>
      </c>
      <c r="P3448">
        <v>-0.47213280000000002</v>
      </c>
      <c r="Q3448">
        <v>-7.9059649999999995E-2</v>
      </c>
      <c r="R3448">
        <v>-0.87797519999999996</v>
      </c>
      <c r="S3448">
        <v>-0.76791379999999998</v>
      </c>
      <c r="T3448">
        <v>-0.27730939999999998</v>
      </c>
      <c r="U3448">
        <v>-2.98468</v>
      </c>
      <c r="V3448">
        <v>-0.43769590000000003</v>
      </c>
      <c r="W3448">
        <v>-7.3151720000000003E-2</v>
      </c>
      <c r="X3448">
        <v>0.89614240000000001</v>
      </c>
      <c r="Y3448">
        <v>-0.64098520000000003</v>
      </c>
      <c r="Z3448">
        <v>1.421446E-2</v>
      </c>
      <c r="AA3448">
        <v>0.76742169999999998</v>
      </c>
      <c r="AB3448">
        <v>18</v>
      </c>
      <c r="AC3448">
        <v>-3.0403999999999698</v>
      </c>
      <c r="AD3448">
        <v>-1.12653614421599</v>
      </c>
      <c r="AE3448">
        <v>-12.059100000000001</v>
      </c>
      <c r="AF3448">
        <v>-7.9658488454869998</v>
      </c>
      <c r="AG3448">
        <v>-1.12653614421599</v>
      </c>
      <c r="AH3448">
        <v>9.4182753828803794</v>
      </c>
      <c r="AI3448">
        <v>95.2181475257442</v>
      </c>
      <c r="AJ3448">
        <v>130.22408583779099</v>
      </c>
      <c r="AK3448">
        <v>12.3865952828508</v>
      </c>
      <c r="AL3448">
        <v>94.195031739490403</v>
      </c>
      <c r="AM3448">
        <v>116.03191315997201</v>
      </c>
      <c r="AN3448">
        <v>1.00000003804676</v>
      </c>
    </row>
    <row r="3449" spans="1:40" x14ac:dyDescent="0.25">
      <c r="A3449" t="str">
        <f>"20190303153837005"</f>
        <v>20190303153837005</v>
      </c>
      <c r="B3449" t="str">
        <f>"1551598716991975"</f>
        <v>1551598716991975</v>
      </c>
      <c r="C3449" t="s">
        <v>40</v>
      </c>
      <c r="D3449">
        <v>4.448493</v>
      </c>
      <c r="E3449">
        <v>0.40962559999999898</v>
      </c>
      <c r="F3449" t="s">
        <v>42</v>
      </c>
      <c r="G3449">
        <v>-492.1576</v>
      </c>
      <c r="H3449" s="1">
        <v>-4.2284080000000003E-6</v>
      </c>
      <c r="I3449">
        <v>268.28750000000002</v>
      </c>
      <c r="J3449">
        <v>-489.12450000000001</v>
      </c>
      <c r="K3449">
        <v>1.126549</v>
      </c>
      <c r="L3449">
        <v>280.07010000000002</v>
      </c>
      <c r="M3449">
        <v>-0.80866470000000001</v>
      </c>
      <c r="N3449">
        <v>-1.3423650000000001E-2</v>
      </c>
      <c r="O3449">
        <v>-0.5881168</v>
      </c>
      <c r="P3449">
        <v>-0.4663795</v>
      </c>
      <c r="Q3449">
        <v>-7.9239820000000002E-2</v>
      </c>
      <c r="R3449">
        <v>-0.88102829999999999</v>
      </c>
      <c r="S3449">
        <v>-0.78036499999999998</v>
      </c>
      <c r="T3449">
        <v>-0.2825606</v>
      </c>
      <c r="U3449">
        <v>-2.9718930000000001</v>
      </c>
      <c r="V3449">
        <v>-0.4372547</v>
      </c>
      <c r="W3449">
        <v>-7.3173550000000004E-2</v>
      </c>
      <c r="X3449">
        <v>0.89635599999999904</v>
      </c>
      <c r="Y3449">
        <v>-0.63175760000000003</v>
      </c>
      <c r="Z3449">
        <v>1.5803850000000001E-2</v>
      </c>
      <c r="AA3449">
        <v>0.7750049</v>
      </c>
      <c r="AB3449">
        <v>17</v>
      </c>
      <c r="AC3449">
        <v>-3.0330999999999899</v>
      </c>
      <c r="AD3449">
        <v>-1.126553228408</v>
      </c>
      <c r="AE3449">
        <v>-11.7826</v>
      </c>
      <c r="AF3449">
        <v>-7.6792154768674603</v>
      </c>
      <c r="AG3449">
        <v>-1.126553228408</v>
      </c>
      <c r="AH3449">
        <v>9.3033884556153605</v>
      </c>
      <c r="AI3449">
        <v>95.335193690109094</v>
      </c>
      <c r="AJ3449">
        <v>129.536993009382</v>
      </c>
      <c r="AK3449">
        <v>12.1157958579977</v>
      </c>
      <c r="AL3449">
        <v>94.196285775417806</v>
      </c>
      <c r="AM3449">
        <v>116.003752242305</v>
      </c>
      <c r="AN3449">
        <v>1.0000000599138399</v>
      </c>
    </row>
    <row r="3450" spans="1:40" x14ac:dyDescent="0.25">
      <c r="A3450" t="str">
        <f>"20190303153837021"</f>
        <v>20190303153837021</v>
      </c>
      <c r="B3450" t="str">
        <f>"1551598717011495"</f>
        <v>1551598717011495</v>
      </c>
      <c r="C3450" t="s">
        <v>40</v>
      </c>
      <c r="D3450">
        <v>4.4540459999999999</v>
      </c>
      <c r="E3450">
        <v>0.40968379999999999</v>
      </c>
      <c r="F3450" t="s">
        <v>44</v>
      </c>
      <c r="G3450">
        <v>-489.35640000000001</v>
      </c>
      <c r="H3450">
        <v>1.040953</v>
      </c>
      <c r="I3450">
        <v>279.16219999999998</v>
      </c>
      <c r="J3450">
        <v>-489.21140000000003</v>
      </c>
      <c r="K3450">
        <v>1.1265670000000001</v>
      </c>
      <c r="L3450">
        <v>279.99520000000001</v>
      </c>
      <c r="M3450">
        <v>-0.80398429999999999</v>
      </c>
      <c r="N3450">
        <v>-1.3602609999999999E-2</v>
      </c>
      <c r="O3450">
        <v>-0.594495199999999</v>
      </c>
      <c r="P3450">
        <v>-0.4600979</v>
      </c>
      <c r="Q3450">
        <v>-7.9372910000000005E-2</v>
      </c>
      <c r="R3450">
        <v>-0.88431349999999997</v>
      </c>
      <c r="S3450">
        <v>-0.76065059999999995</v>
      </c>
      <c r="T3450">
        <v>-0.28071459999999998</v>
      </c>
      <c r="U3450">
        <v>-2.9772340000000002</v>
      </c>
      <c r="V3450">
        <v>-0.43653189999999997</v>
      </c>
      <c r="W3450">
        <v>-7.3141460000000005E-2</v>
      </c>
      <c r="X3450">
        <v>0.89671080000000003</v>
      </c>
      <c r="Y3450">
        <v>-0.63079510000000005</v>
      </c>
      <c r="Z3450">
        <v>1.6193630000000001E-2</v>
      </c>
      <c r="AA3450">
        <v>0.77578040000000004</v>
      </c>
      <c r="AB3450">
        <v>17</v>
      </c>
      <c r="AC3450">
        <v>-0.14499999999998101</v>
      </c>
      <c r="AD3450">
        <v>-8.5613999999999996E-2</v>
      </c>
      <c r="AE3450">
        <v>-0.83300000000002605</v>
      </c>
      <c r="AF3450">
        <v>-0.57764858996350199</v>
      </c>
      <c r="AG3450">
        <v>-8.5613999999999996E-2</v>
      </c>
      <c r="AH3450">
        <v>0.60563932974489598</v>
      </c>
      <c r="AI3450">
        <v>95.840668091601401</v>
      </c>
      <c r="AJ3450">
        <v>133.644917947631</v>
      </c>
      <c r="AK3450">
        <v>0.84131245575985003</v>
      </c>
      <c r="AL3450">
        <v>94.194442399057095</v>
      </c>
      <c r="AM3450">
        <v>115.957494779025</v>
      </c>
      <c r="AN3450">
        <v>1.0000000158625899</v>
      </c>
    </row>
    <row r="3451" spans="1:40" x14ac:dyDescent="0.25">
      <c r="A3451" t="str">
        <f>"20190303153837034"</f>
        <v>20190303153837034</v>
      </c>
      <c r="B3451" t="str">
        <f>"1551598717022231"</f>
        <v>1551598717022231</v>
      </c>
      <c r="C3451" t="s">
        <v>40</v>
      </c>
      <c r="D3451">
        <v>4.477201</v>
      </c>
      <c r="E3451">
        <v>0.40964460000000003</v>
      </c>
      <c r="F3451" t="s">
        <v>42</v>
      </c>
      <c r="G3451">
        <v>-492.15649999999999</v>
      </c>
      <c r="H3451" s="1">
        <v>-4.1724960000000002E-6</v>
      </c>
      <c r="I3451">
        <v>268.12380000000002</v>
      </c>
      <c r="J3451">
        <v>-489.29250000000002</v>
      </c>
      <c r="K3451">
        <v>1.1265879999999999</v>
      </c>
      <c r="L3451">
        <v>279.92450000000002</v>
      </c>
      <c r="M3451">
        <v>-0.7995236</v>
      </c>
      <c r="N3451">
        <v>-1.375825E-2</v>
      </c>
      <c r="O3451">
        <v>-0.60047729999999999</v>
      </c>
      <c r="P3451">
        <v>-0.45376250000000001</v>
      </c>
      <c r="Q3451">
        <v>-7.9578490000000002E-2</v>
      </c>
      <c r="R3451">
        <v>-0.88756279999999999</v>
      </c>
      <c r="S3451">
        <v>-0.73980709999999905</v>
      </c>
      <c r="T3451">
        <v>-0.28299550000000001</v>
      </c>
      <c r="U3451">
        <v>-2.9821170000000001</v>
      </c>
      <c r="V3451">
        <v>-0.43623499999999998</v>
      </c>
      <c r="W3451">
        <v>-7.3212659999999999E-2</v>
      </c>
      <c r="X3451">
        <v>0.89684949999999997</v>
      </c>
      <c r="Y3451">
        <v>-0.63040490000000005</v>
      </c>
      <c r="Z3451">
        <v>1.6946340000000001E-2</v>
      </c>
      <c r="AA3451">
        <v>0.77608140000000003</v>
      </c>
      <c r="AB3451">
        <v>17</v>
      </c>
      <c r="AC3451">
        <v>-2.8639999999999701</v>
      </c>
      <c r="AD3451">
        <v>-1.126592172496</v>
      </c>
      <c r="AE3451">
        <v>-11.800700000000001</v>
      </c>
      <c r="AF3451">
        <v>-7.6500548564528899</v>
      </c>
      <c r="AG3451">
        <v>-1.126592172496</v>
      </c>
      <c r="AH3451">
        <v>9.2967552553668806</v>
      </c>
      <c r="AI3451">
        <v>95.345803400890105</v>
      </c>
      <c r="AJ3451">
        <v>129.45006388061</v>
      </c>
      <c r="AK3451">
        <v>12.092237489731099</v>
      </c>
      <c r="AL3451">
        <v>94.198532693137395</v>
      </c>
      <c r="AM3451">
        <v>115.938670841505</v>
      </c>
      <c r="AN3451">
        <v>1.0000000472297601</v>
      </c>
    </row>
    <row r="3452" spans="1:40" x14ac:dyDescent="0.25">
      <c r="A3452" t="str">
        <f>"20190303153837049"</f>
        <v>20190303153837049</v>
      </c>
      <c r="B3452" t="str">
        <f>"1551598717041750"</f>
        <v>1551598717041750</v>
      </c>
      <c r="C3452" t="s">
        <v>40</v>
      </c>
      <c r="D3452">
        <v>4.5448760000000004</v>
      </c>
      <c r="E3452">
        <v>0.40982679999999999</v>
      </c>
      <c r="F3452" t="s">
        <v>42</v>
      </c>
      <c r="G3452">
        <v>-492.13220000000001</v>
      </c>
      <c r="H3452" s="1">
        <v>-4.1623940000000004E-6</v>
      </c>
      <c r="I3452">
        <v>268.10680000000002</v>
      </c>
      <c r="J3452">
        <v>-489.37450000000001</v>
      </c>
      <c r="K3452">
        <v>1.1266080000000001</v>
      </c>
      <c r="L3452">
        <v>279.8519</v>
      </c>
      <c r="M3452">
        <v>-0.79491480000000003</v>
      </c>
      <c r="N3452">
        <v>-1.39051E-2</v>
      </c>
      <c r="O3452">
        <v>-0.60656180000000004</v>
      </c>
      <c r="P3452">
        <v>-0.44747320000000002</v>
      </c>
      <c r="Q3452">
        <v>-7.9400079999999998E-2</v>
      </c>
      <c r="R3452">
        <v>-0.89076569999999899</v>
      </c>
      <c r="S3452">
        <v>-0.71786499999999998</v>
      </c>
      <c r="T3452">
        <v>-0.28480549999999999</v>
      </c>
      <c r="U3452">
        <v>-2.987549</v>
      </c>
      <c r="V3452">
        <v>-0.43574740000000001</v>
      </c>
      <c r="W3452">
        <v>-7.2905070000000002E-2</v>
      </c>
      <c r="X3452">
        <v>0.89711149999999995</v>
      </c>
      <c r="Y3452">
        <v>-0.63018790000000002</v>
      </c>
      <c r="Z3452">
        <v>1.7666370000000001E-2</v>
      </c>
      <c r="AA3452">
        <v>0.77624159999999998</v>
      </c>
      <c r="AB3452">
        <v>17</v>
      </c>
      <c r="AC3452">
        <v>-2.7576999999999998</v>
      </c>
      <c r="AD3452">
        <v>-1.126612162394</v>
      </c>
      <c r="AE3452">
        <v>-11.7450999999999</v>
      </c>
      <c r="AF3452">
        <v>-7.5981212670374996</v>
      </c>
      <c r="AG3452">
        <v>-1.126612162394</v>
      </c>
      <c r="AH3452">
        <v>9.2366200206860505</v>
      </c>
      <c r="AI3452">
        <v>95.381194814272405</v>
      </c>
      <c r="AJ3452">
        <v>129.44100137635101</v>
      </c>
      <c r="AK3452">
        <v>12.0131532563103</v>
      </c>
      <c r="AL3452">
        <v>94.180862082371107</v>
      </c>
      <c r="AM3452">
        <v>115.90689704247799</v>
      </c>
      <c r="AN3452">
        <v>0.99999999463535705</v>
      </c>
    </row>
    <row r="3453" spans="1:40" x14ac:dyDescent="0.25">
      <c r="A3453" t="str">
        <f>"20190303153837062"</f>
        <v>20190303153837062</v>
      </c>
      <c r="B3453" t="str">
        <f>"1551598717051510"</f>
        <v>1551598717051510</v>
      </c>
      <c r="C3453" t="s">
        <v>40</v>
      </c>
      <c r="D3453">
        <v>4.5517339999999997</v>
      </c>
      <c r="E3453">
        <v>0.40990330000000003</v>
      </c>
      <c r="F3453" t="s">
        <v>44</v>
      </c>
      <c r="G3453">
        <v>-489.58010000000002</v>
      </c>
      <c r="H3453">
        <v>1.0415810000000001</v>
      </c>
      <c r="I3453">
        <v>278.97109999999998</v>
      </c>
      <c r="J3453">
        <v>-489.44779999999997</v>
      </c>
      <c r="K3453">
        <v>1.126633</v>
      </c>
      <c r="L3453">
        <v>279.78559999999999</v>
      </c>
      <c r="M3453">
        <v>-0.79068619999999901</v>
      </c>
      <c r="N3453">
        <v>-1.4023030000000001E-2</v>
      </c>
      <c r="O3453">
        <v>-0.61206079999999996</v>
      </c>
      <c r="P3453">
        <v>-0.44144450000000002</v>
      </c>
      <c r="Q3453">
        <v>-7.9439819999999994E-2</v>
      </c>
      <c r="R3453">
        <v>-0.89376499999999903</v>
      </c>
      <c r="S3453">
        <v>-0.69845579999999996</v>
      </c>
      <c r="T3453">
        <v>-0.28876819999999997</v>
      </c>
      <c r="U3453">
        <v>-2.991241</v>
      </c>
      <c r="V3453">
        <v>-0.43558150000000001</v>
      </c>
      <c r="W3453">
        <v>-7.2848659999999996E-2</v>
      </c>
      <c r="X3453">
        <v>0.89719669999999896</v>
      </c>
      <c r="Y3453">
        <v>-0.62977749999999999</v>
      </c>
      <c r="Z3453">
        <v>1.8611490000000001E-2</v>
      </c>
      <c r="AA3453">
        <v>0.77655260000000004</v>
      </c>
      <c r="AB3453">
        <v>17</v>
      </c>
      <c r="AC3453">
        <v>-0.13230000000004299</v>
      </c>
      <c r="AD3453">
        <v>-8.50520000000001E-2</v>
      </c>
      <c r="AE3453">
        <v>-0.81450000000000899</v>
      </c>
      <c r="AF3453">
        <v>-0.55717443656753596</v>
      </c>
      <c r="AG3453">
        <v>-8.50520000000001E-2</v>
      </c>
      <c r="AH3453">
        <v>0.59684992260012903</v>
      </c>
      <c r="AI3453">
        <v>95.946853138155902</v>
      </c>
      <c r="AJ3453">
        <v>133.03094027722599</v>
      </c>
      <c r="AK3453">
        <v>0.82091840372605296</v>
      </c>
      <c r="AL3453">
        <v>94.177621201839003</v>
      </c>
      <c r="AM3453">
        <v>115.89618563286101</v>
      </c>
      <c r="AN3453">
        <v>1.00000004444846</v>
      </c>
    </row>
    <row r="3454" spans="1:40" x14ac:dyDescent="0.25">
      <c r="A3454" t="str">
        <f>"20190303153837076"</f>
        <v>20190303153837076</v>
      </c>
      <c r="B3454" t="str">
        <f>"1551598717072006"</f>
        <v>1551598717072006</v>
      </c>
      <c r="C3454" t="s">
        <v>40</v>
      </c>
      <c r="D3454">
        <v>4.4952649999999998</v>
      </c>
      <c r="E3454">
        <v>0.41043239999999998</v>
      </c>
      <c r="F3454" t="s">
        <v>44</v>
      </c>
      <c r="G3454">
        <v>-489.66019999999997</v>
      </c>
      <c r="H3454">
        <v>1.0355000000000001</v>
      </c>
      <c r="I3454">
        <v>278.84769999999997</v>
      </c>
      <c r="J3454">
        <v>-489.52420000000001</v>
      </c>
      <c r="K3454">
        <v>1.126663</v>
      </c>
      <c r="L3454">
        <v>279.7158</v>
      </c>
      <c r="M3454">
        <v>-0.78619949999999905</v>
      </c>
      <c r="N3454">
        <v>-1.4139769999999999E-2</v>
      </c>
      <c r="O3454">
        <v>-0.61781109999999995</v>
      </c>
      <c r="P3454">
        <v>-0.43548999999999999</v>
      </c>
      <c r="Q3454">
        <v>-7.9323089999999999E-2</v>
      </c>
      <c r="R3454">
        <v>-0.89669209999999999</v>
      </c>
      <c r="S3454">
        <v>-0.67819209999999996</v>
      </c>
      <c r="T3454">
        <v>-0.29101440000000001</v>
      </c>
      <c r="U3454">
        <v>-2.9957579999999999</v>
      </c>
      <c r="V3454">
        <v>-0.43501380000000001</v>
      </c>
      <c r="W3454">
        <v>-7.2631280000000006E-2</v>
      </c>
      <c r="X3454">
        <v>0.89748969999999995</v>
      </c>
      <c r="Y3454">
        <v>-0.62935859999999899</v>
      </c>
      <c r="Z3454">
        <v>1.941029E-2</v>
      </c>
      <c r="AA3454">
        <v>0.77687259999999903</v>
      </c>
      <c r="AB3454">
        <v>17</v>
      </c>
      <c r="AC3454">
        <v>-0.13599999999996701</v>
      </c>
      <c r="AD3454">
        <v>-9.11629999999998E-2</v>
      </c>
      <c r="AE3454">
        <v>-0.86810000000002596</v>
      </c>
      <c r="AF3454">
        <v>-0.59216331890049201</v>
      </c>
      <c r="AG3454">
        <v>-9.11629999999998E-2</v>
      </c>
      <c r="AH3454">
        <v>0.63645847717344595</v>
      </c>
      <c r="AI3454">
        <v>95.986480099281906</v>
      </c>
      <c r="AJ3454">
        <v>132.93522555978601</v>
      </c>
      <c r="AK3454">
        <v>0.87409809631767699</v>
      </c>
      <c r="AL3454">
        <v>94.165133202361602</v>
      </c>
      <c r="AM3454">
        <v>115.85949615925</v>
      </c>
      <c r="AN3454">
        <v>1.0000000353154801</v>
      </c>
    </row>
    <row r="3455" spans="1:40" x14ac:dyDescent="0.25">
      <c r="A3455" t="str">
        <f>"20190303153837099"</f>
        <v>20190303153837099</v>
      </c>
      <c r="B3455" t="str">
        <f>"1551598717091526"</f>
        <v>1551598717091526</v>
      </c>
      <c r="C3455" t="s">
        <v>40</v>
      </c>
      <c r="D3455">
        <v>4.5331219999999997</v>
      </c>
      <c r="E3455">
        <v>0.41090480000000001</v>
      </c>
      <c r="F3455" t="s">
        <v>42</v>
      </c>
      <c r="G3455">
        <v>-492.09980000000002</v>
      </c>
      <c r="H3455" s="1">
        <v>-4.1383120000000002E-6</v>
      </c>
      <c r="I3455">
        <v>268.05290000000002</v>
      </c>
      <c r="J3455">
        <v>-489.64839999999998</v>
      </c>
      <c r="K3455">
        <v>1.1267160000000001</v>
      </c>
      <c r="L3455">
        <v>279.59969999999998</v>
      </c>
      <c r="M3455">
        <v>-0.77866420000000003</v>
      </c>
      <c r="N3455">
        <v>-1.431263E-2</v>
      </c>
      <c r="O3455">
        <v>-0.62727759999999999</v>
      </c>
      <c r="P3455">
        <v>-0.42538350000000003</v>
      </c>
      <c r="Q3455">
        <v>-7.8543630000000003E-2</v>
      </c>
      <c r="R3455">
        <v>-0.90159849999999997</v>
      </c>
      <c r="S3455">
        <v>-0.66217040000000005</v>
      </c>
      <c r="T3455">
        <v>-0.28965400000000002</v>
      </c>
      <c r="U3455">
        <v>-2.9984130000000002</v>
      </c>
      <c r="V3455">
        <v>-0.4343031</v>
      </c>
      <c r="W3455">
        <v>-7.1712990000000004E-2</v>
      </c>
      <c r="X3455">
        <v>0.89790759999999903</v>
      </c>
      <c r="Y3455">
        <v>-0.62408490000000005</v>
      </c>
      <c r="Z3455">
        <v>2.0480470000000001E-2</v>
      </c>
      <c r="AA3455">
        <v>0.78108809999999995</v>
      </c>
      <c r="AB3455">
        <v>17</v>
      </c>
      <c r="AC3455">
        <v>-2.4514000000000302</v>
      </c>
      <c r="AD3455">
        <v>-1.126720138312</v>
      </c>
      <c r="AE3455">
        <v>-11.5467999999999</v>
      </c>
      <c r="AF3455">
        <v>-7.3868341763962997</v>
      </c>
      <c r="AG3455">
        <v>-1.126720138312</v>
      </c>
      <c r="AH3455">
        <v>9.0701664079316195</v>
      </c>
      <c r="AI3455">
        <v>95.501804716229799</v>
      </c>
      <c r="AJ3455">
        <v>129.159715571173</v>
      </c>
      <c r="AK3455">
        <v>11.7517120491963</v>
      </c>
      <c r="AL3455">
        <v>94.112381652971706</v>
      </c>
      <c r="AM3455">
        <v>115.812288439619</v>
      </c>
      <c r="AN3455">
        <v>0.99999999687105401</v>
      </c>
    </row>
    <row r="3456" spans="1:40" x14ac:dyDescent="0.25">
      <c r="A3456" t="str">
        <f>"20190303153837112"</f>
        <v>20190303153837112</v>
      </c>
      <c r="B3456" t="str">
        <f>"1551598717102262"</f>
        <v>1551598717102262</v>
      </c>
      <c r="C3456" t="s">
        <v>40</v>
      </c>
      <c r="D3456">
        <v>4.536346</v>
      </c>
      <c r="E3456">
        <v>0.41090480000000001</v>
      </c>
      <c r="F3456" t="s">
        <v>42</v>
      </c>
      <c r="G3456">
        <v>-492.11369999999999</v>
      </c>
      <c r="H3456" s="1">
        <v>-4.0821509999999998E-6</v>
      </c>
      <c r="I3456">
        <v>267.88060000000002</v>
      </c>
      <c r="J3456">
        <v>-489.72269999999997</v>
      </c>
      <c r="K3456">
        <v>1.126752</v>
      </c>
      <c r="L3456">
        <v>279.52910000000003</v>
      </c>
      <c r="M3456">
        <v>-0.77403449999999996</v>
      </c>
      <c r="N3456">
        <v>-1.440774E-2</v>
      </c>
      <c r="O3456">
        <v>-0.63297950000000003</v>
      </c>
      <c r="P3456">
        <v>-0.41905579999999998</v>
      </c>
      <c r="Q3456">
        <v>-7.8863600000000006E-2</v>
      </c>
      <c r="R3456">
        <v>-0.90452929999999998</v>
      </c>
      <c r="S3456">
        <v>-0.63195800000000002</v>
      </c>
      <c r="T3456">
        <v>-0.28882580000000002</v>
      </c>
      <c r="U3456">
        <v>-3.004089</v>
      </c>
      <c r="V3456">
        <v>-0.4339711</v>
      </c>
      <c r="W3456">
        <v>-7.1962100000000001E-2</v>
      </c>
      <c r="X3456">
        <v>0.89804819999999996</v>
      </c>
      <c r="Y3456">
        <v>-0.62616470000000002</v>
      </c>
      <c r="Z3456">
        <v>2.081181E-2</v>
      </c>
      <c r="AA3456">
        <v>0.77941300000000002</v>
      </c>
      <c r="AB3456">
        <v>17</v>
      </c>
      <c r="AC3456">
        <v>-2.39100000000002</v>
      </c>
      <c r="AD3456">
        <v>-1.1267560821510001</v>
      </c>
      <c r="AE3456">
        <v>-11.6485</v>
      </c>
      <c r="AF3456">
        <v>-7.43689452204476</v>
      </c>
      <c r="AG3456">
        <v>-1.1267560821510001</v>
      </c>
      <c r="AH3456">
        <v>9.1428478036330691</v>
      </c>
      <c r="AI3456">
        <v>95.461159970296194</v>
      </c>
      <c r="AJ3456">
        <v>129.12529139494001</v>
      </c>
      <c r="AK3456">
        <v>11.8392839885308</v>
      </c>
      <c r="AL3456">
        <v>94.126691503716501</v>
      </c>
      <c r="AM3456">
        <v>115.79160285843</v>
      </c>
      <c r="AN3456">
        <v>1.0000000144974299</v>
      </c>
    </row>
    <row r="3457" spans="1:40" x14ac:dyDescent="0.25">
      <c r="A3457" t="str">
        <f>"20190303153837125"</f>
        <v>20190303153837125</v>
      </c>
      <c r="B3457" t="str">
        <f>"1551598717121782"</f>
        <v>1551598717121782</v>
      </c>
      <c r="C3457" t="s">
        <v>40</v>
      </c>
      <c r="D3457">
        <v>4.7976159999999997</v>
      </c>
      <c r="E3457">
        <v>0.43803940000000002</v>
      </c>
      <c r="F3457" t="s">
        <v>42</v>
      </c>
      <c r="G3457">
        <v>-492.09539999999998</v>
      </c>
      <c r="H3457" s="1">
        <v>-4.0650829999999996E-6</v>
      </c>
      <c r="I3457">
        <v>267.83999999999997</v>
      </c>
      <c r="J3457">
        <v>-489.79399999999998</v>
      </c>
      <c r="K3457">
        <v>1.126784</v>
      </c>
      <c r="L3457">
        <v>279.45979999999997</v>
      </c>
      <c r="M3457">
        <v>-0.76946959999999998</v>
      </c>
      <c r="N3457">
        <v>-1.449224E-2</v>
      </c>
      <c r="O3457">
        <v>-0.63851899999999995</v>
      </c>
      <c r="P3457">
        <v>-0.41325269999999997</v>
      </c>
      <c r="Q3457">
        <v>-7.9692180000000001E-2</v>
      </c>
      <c r="R3457">
        <v>-0.90712269999999995</v>
      </c>
      <c r="S3457">
        <v>-0.61068730000000004</v>
      </c>
      <c r="T3457">
        <v>-0.28999709999999901</v>
      </c>
      <c r="U3457">
        <v>-3.0084529999999998</v>
      </c>
      <c r="V3457">
        <v>-0.43320839999999999</v>
      </c>
      <c r="W3457">
        <v>-7.2720370000000006E-2</v>
      </c>
      <c r="X3457">
        <v>0.89835529999999997</v>
      </c>
      <c r="Y3457">
        <v>-0.62608399999999997</v>
      </c>
      <c r="Z3457">
        <v>2.1493169999999999E-2</v>
      </c>
      <c r="AA3457">
        <v>0.77945940000000002</v>
      </c>
      <c r="AB3457">
        <v>17</v>
      </c>
      <c r="AC3457">
        <v>-2.3013999999999402</v>
      </c>
      <c r="AD3457">
        <v>-1.126788065083</v>
      </c>
      <c r="AE3457">
        <v>-11.6197999999999</v>
      </c>
      <c r="AF3457">
        <v>-7.4053724259808096</v>
      </c>
      <c r="AG3457">
        <v>-1.126788065083</v>
      </c>
      <c r="AH3457">
        <v>9.1088640736787401</v>
      </c>
      <c r="AI3457">
        <v>95.482701374488599</v>
      </c>
      <c r="AJ3457">
        <v>129.11060309157199</v>
      </c>
      <c r="AK3457">
        <v>11.7932436939056</v>
      </c>
      <c r="AL3457">
        <v>94.170251333208597</v>
      </c>
      <c r="AM3457">
        <v>115.74447601813699</v>
      </c>
      <c r="AN3457">
        <v>1.00000000754079</v>
      </c>
    </row>
    <row r="3458" spans="1:40" x14ac:dyDescent="0.25">
      <c r="A3458" t="str">
        <f>"20190303153837138"</f>
        <v>20190303153837138</v>
      </c>
      <c r="B3458" t="str">
        <f>"1551598717131542"</f>
        <v>1551598717131542</v>
      </c>
      <c r="C3458" t="s">
        <v>40</v>
      </c>
      <c r="D3458">
        <v>4.6151770000000001</v>
      </c>
      <c r="E3458">
        <v>0.43803940000000002</v>
      </c>
      <c r="F3458" t="s">
        <v>44</v>
      </c>
      <c r="G3458">
        <v>-490.02879999999999</v>
      </c>
      <c r="H3458">
        <v>1.0448850000000001</v>
      </c>
      <c r="I3458">
        <v>278.5899</v>
      </c>
      <c r="J3458">
        <v>-489.85890000000001</v>
      </c>
      <c r="K3458">
        <v>1.126811</v>
      </c>
      <c r="L3458">
        <v>279.39600000000002</v>
      </c>
      <c r="M3458">
        <v>-0.76523129999999995</v>
      </c>
      <c r="N3458">
        <v>-1.456411E-2</v>
      </c>
      <c r="O3458">
        <v>-0.64359100000000002</v>
      </c>
      <c r="P3458">
        <v>-0.4077403</v>
      </c>
      <c r="Q3458">
        <v>-8.0843960000000006E-2</v>
      </c>
      <c r="R3458">
        <v>-0.90951230000000005</v>
      </c>
      <c r="S3458">
        <v>-0.78903199999999996</v>
      </c>
      <c r="T3458">
        <v>-0.27524159999999998</v>
      </c>
      <c r="U3458">
        <v>-2.923492</v>
      </c>
      <c r="V3458">
        <v>-0.43262600000000001</v>
      </c>
      <c r="W3458">
        <v>-7.3816129999999994E-2</v>
      </c>
      <c r="X3458">
        <v>0.89854659999999997</v>
      </c>
      <c r="Y3458">
        <v>-0.57034459999999998</v>
      </c>
      <c r="Z3458">
        <v>2.3775629999999999E-2</v>
      </c>
      <c r="AA3458">
        <v>0.82106139999999905</v>
      </c>
      <c r="AB3458">
        <v>17</v>
      </c>
      <c r="AC3458">
        <v>-0.16989999999998401</v>
      </c>
      <c r="AD3458">
        <v>-8.1925999999999902E-2</v>
      </c>
      <c r="AE3458">
        <v>-0.80609999999995796</v>
      </c>
      <c r="AF3458">
        <v>-0.50259002954527499</v>
      </c>
      <c r="AG3458">
        <v>-8.1925999999999902E-2</v>
      </c>
      <c r="AH3458">
        <v>0.64252570946181797</v>
      </c>
      <c r="AI3458">
        <v>95.735052695099498</v>
      </c>
      <c r="AJ3458">
        <v>128.03287270979499</v>
      </c>
      <c r="AK3458">
        <v>0.81984626277963402</v>
      </c>
      <c r="AL3458">
        <v>94.2332028413188</v>
      </c>
      <c r="AM3458">
        <v>115.709563052338</v>
      </c>
      <c r="AN3458">
        <v>1.0000000346478599</v>
      </c>
    </row>
    <row r="3459" spans="1:40" x14ac:dyDescent="0.25">
      <c r="A3459" t="str">
        <f>"20190303153837149"</f>
        <v>20190303153837149</v>
      </c>
      <c r="B3459" t="str">
        <f>"1551598717142278"</f>
        <v>1551598717142278</v>
      </c>
      <c r="C3459" t="s">
        <v>40</v>
      </c>
      <c r="D3459">
        <v>4.6673460000000002</v>
      </c>
      <c r="E3459">
        <v>0.45555420000000002</v>
      </c>
      <c r="F3459" t="s">
        <v>44</v>
      </c>
      <c r="G3459">
        <v>-490.10399999999998</v>
      </c>
      <c r="H3459">
        <v>1.0382100000000001</v>
      </c>
      <c r="I3459">
        <v>278.46609999999998</v>
      </c>
      <c r="J3459">
        <v>-489.92230000000001</v>
      </c>
      <c r="K3459">
        <v>1.126833</v>
      </c>
      <c r="L3459">
        <v>279.3331</v>
      </c>
      <c r="M3459">
        <v>-0.76102219999999998</v>
      </c>
      <c r="N3459">
        <v>-1.463193E-2</v>
      </c>
      <c r="O3459">
        <v>-0.64856119999999995</v>
      </c>
      <c r="P3459">
        <v>-0.40242099999999997</v>
      </c>
      <c r="Q3459">
        <v>-8.1761109999999998E-2</v>
      </c>
      <c r="R3459">
        <v>-0.91179670000000002</v>
      </c>
      <c r="S3459">
        <v>-0.77111819999999998</v>
      </c>
      <c r="T3459">
        <v>-0.27890219999999999</v>
      </c>
      <c r="U3459">
        <v>-2.92807</v>
      </c>
      <c r="V3459">
        <v>-0.43194510000000003</v>
      </c>
      <c r="W3459">
        <v>-7.4678499999999995E-2</v>
      </c>
      <c r="X3459">
        <v>0.89880289999999996</v>
      </c>
      <c r="Y3459">
        <v>-0.57000390000000001</v>
      </c>
      <c r="Z3459">
        <v>2.4745409999999999E-2</v>
      </c>
      <c r="AA3459">
        <v>0.82126929999999998</v>
      </c>
      <c r="AB3459">
        <v>17</v>
      </c>
      <c r="AC3459">
        <v>-0.181700000000034</v>
      </c>
      <c r="AD3459">
        <v>-8.8622999999999896E-2</v>
      </c>
      <c r="AE3459">
        <v>-0.86700000000001798</v>
      </c>
      <c r="AF3459">
        <v>-0.53664928491997799</v>
      </c>
      <c r="AG3459">
        <v>-8.8622999999999896E-2</v>
      </c>
      <c r="AH3459">
        <v>0.69371181740905996</v>
      </c>
      <c r="AI3459">
        <v>95.769920046765804</v>
      </c>
      <c r="AJ3459">
        <v>127.72521692264</v>
      </c>
      <c r="AK3459">
        <v>0.88152287363806103</v>
      </c>
      <c r="AL3459">
        <v>94.282749691383003</v>
      </c>
      <c r="AM3459">
        <v>115.667925713031</v>
      </c>
      <c r="AN3459">
        <v>1.0000000504123301</v>
      </c>
    </row>
    <row r="3460" spans="1:40" x14ac:dyDescent="0.25">
      <c r="A3460" t="str">
        <f>"20190303153837164"</f>
        <v>20190303153837164</v>
      </c>
      <c r="B3460" t="str">
        <f>"1551598717161798"</f>
        <v>1551598717161798</v>
      </c>
      <c r="C3460" t="s">
        <v>40</v>
      </c>
      <c r="D3460">
        <v>4.6256130000000004</v>
      </c>
      <c r="E3460">
        <v>0.4634703</v>
      </c>
      <c r="F3460" t="s">
        <v>44</v>
      </c>
      <c r="G3460">
        <v>-490.21730000000002</v>
      </c>
      <c r="H3460">
        <v>1.0395920000000001</v>
      </c>
      <c r="I3460">
        <v>278.37180000000001</v>
      </c>
      <c r="J3460">
        <v>-490.00240000000002</v>
      </c>
      <c r="K3460">
        <v>1.1268739999999999</v>
      </c>
      <c r="L3460">
        <v>279.25170000000003</v>
      </c>
      <c r="M3460">
        <v>-0.7555423</v>
      </c>
      <c r="N3460">
        <v>-1.4710869999999999E-2</v>
      </c>
      <c r="O3460">
        <v>-0.65493469999999998</v>
      </c>
      <c r="P3460">
        <v>-0.3958488</v>
      </c>
      <c r="Q3460">
        <v>-8.342347E-2</v>
      </c>
      <c r="R3460">
        <v>-0.91451879999999997</v>
      </c>
      <c r="S3460">
        <v>-0.88262940000000001</v>
      </c>
      <c r="T3460">
        <v>-0.261102</v>
      </c>
      <c r="U3460">
        <v>-2.8772280000000001</v>
      </c>
      <c r="V3460">
        <v>-0.4307182</v>
      </c>
      <c r="W3460">
        <v>-7.627565E-2</v>
      </c>
      <c r="X3460">
        <v>0.89925739999999998</v>
      </c>
      <c r="Y3460">
        <v>-0.52966749999999996</v>
      </c>
      <c r="Z3460">
        <v>2.5137119999999999E-2</v>
      </c>
      <c r="AA3460">
        <v>0.8478329</v>
      </c>
      <c r="AB3460">
        <v>17</v>
      </c>
      <c r="AC3460">
        <v>-0.21490000000000001</v>
      </c>
      <c r="AD3460">
        <v>-8.7281999999999804E-2</v>
      </c>
      <c r="AE3460">
        <v>-0.87990000000002</v>
      </c>
      <c r="AF3460">
        <v>-0.51929086281553605</v>
      </c>
      <c r="AG3460">
        <v>-8.7281999999999804E-2</v>
      </c>
      <c r="AH3460">
        <v>0.73192646470828204</v>
      </c>
      <c r="AI3460">
        <v>95.554990429893607</v>
      </c>
      <c r="AJ3460">
        <v>125.35512992685101</v>
      </c>
      <c r="AK3460">
        <v>0.90166373857889404</v>
      </c>
      <c r="AL3460">
        <v>94.374521616564493</v>
      </c>
      <c r="AM3460">
        <v>115.59306852828399</v>
      </c>
      <c r="AN3460">
        <v>1.0000000070244599</v>
      </c>
    </row>
    <row r="3461" spans="1:40" x14ac:dyDescent="0.25">
      <c r="A3461" t="str">
        <f>"20190303153837177"</f>
        <v>20190303153837177</v>
      </c>
      <c r="B3461" t="str">
        <f>"1551598717171558"</f>
        <v>1551598717171558</v>
      </c>
      <c r="C3461" t="s">
        <v>40</v>
      </c>
      <c r="D3461">
        <v>4.6255660000000001</v>
      </c>
      <c r="E3461">
        <v>0.466165</v>
      </c>
      <c r="F3461" t="s">
        <v>44</v>
      </c>
      <c r="G3461">
        <v>-490.27229999999997</v>
      </c>
      <c r="H3461">
        <v>1.051007</v>
      </c>
      <c r="I3461">
        <v>278.41300000000001</v>
      </c>
      <c r="J3461">
        <v>-490.06349999999998</v>
      </c>
      <c r="K3461">
        <v>1.1268990000000001</v>
      </c>
      <c r="L3461">
        <v>279.18869999999998</v>
      </c>
      <c r="M3461">
        <v>-0.75126119999999996</v>
      </c>
      <c r="N3461">
        <v>-1.4768180000000001E-2</v>
      </c>
      <c r="O3461">
        <v>-0.65983979999999998</v>
      </c>
      <c r="P3461">
        <v>-0.39033210000000002</v>
      </c>
      <c r="Q3461">
        <v>-8.3283220000000005E-2</v>
      </c>
      <c r="R3461">
        <v>-0.91689969999999998</v>
      </c>
      <c r="S3461">
        <v>-0.91992189999999996</v>
      </c>
      <c r="T3461">
        <v>-0.25855289999999997</v>
      </c>
      <c r="U3461">
        <v>-2.8586429999999998</v>
      </c>
      <c r="V3461">
        <v>-0.43028820000000001</v>
      </c>
      <c r="W3461">
        <v>-7.6098760000000001E-2</v>
      </c>
      <c r="X3461">
        <v>0.89947819999999901</v>
      </c>
      <c r="Y3461">
        <v>-0.5124976</v>
      </c>
      <c r="Z3461">
        <v>2.6092359999999998E-2</v>
      </c>
      <c r="AA3461">
        <v>0.85829219999999895</v>
      </c>
      <c r="AB3461">
        <v>17</v>
      </c>
      <c r="AC3461">
        <v>-0.20879999999999599</v>
      </c>
      <c r="AD3461">
        <v>-7.5891999999999807E-2</v>
      </c>
      <c r="AE3461">
        <v>-0.77569999999997197</v>
      </c>
      <c r="AF3461">
        <v>-0.44109040000480698</v>
      </c>
      <c r="AG3461">
        <v>-7.5891999999999807E-2</v>
      </c>
      <c r="AH3461">
        <v>0.66285775382371903</v>
      </c>
      <c r="AI3461">
        <v>95.444826774462797</v>
      </c>
      <c r="AJ3461">
        <v>123.641282964724</v>
      </c>
      <c r="AK3461">
        <v>0.79981293965816003</v>
      </c>
      <c r="AL3461">
        <v>94.364357078734102</v>
      </c>
      <c r="AM3461">
        <v>115.565303216068</v>
      </c>
      <c r="AN3461">
        <v>0.99999999430400799</v>
      </c>
    </row>
    <row r="3462" spans="1:40" x14ac:dyDescent="0.25">
      <c r="A3462" t="str">
        <f>"20190303153837187"</f>
        <v>20190303153837187</v>
      </c>
      <c r="B3462" t="str">
        <f>"1551598717182293"</f>
        <v>1551598717182293</v>
      </c>
      <c r="C3462" t="s">
        <v>40</v>
      </c>
      <c r="D3462">
        <v>4.6052869999999997</v>
      </c>
      <c r="E3462">
        <v>0.46850609999999998</v>
      </c>
      <c r="F3462" t="s">
        <v>44</v>
      </c>
      <c r="G3462">
        <v>-490.3528</v>
      </c>
      <c r="H3462">
        <v>1.0470600000000001</v>
      </c>
      <c r="I3462">
        <v>278.29349999999999</v>
      </c>
      <c r="J3462">
        <v>-490.11959999999999</v>
      </c>
      <c r="K3462">
        <v>1.126935</v>
      </c>
      <c r="L3462">
        <v>279.13029999999998</v>
      </c>
      <c r="M3462">
        <v>-0.74726130000000002</v>
      </c>
      <c r="N3462">
        <v>-1.4819199999999999E-2</v>
      </c>
      <c r="O3462">
        <v>-0.66436539999999999</v>
      </c>
      <c r="P3462">
        <v>-0.38474599999999998</v>
      </c>
      <c r="Q3462">
        <v>-8.2638059999999999E-2</v>
      </c>
      <c r="R3462">
        <v>-0.91931609999999997</v>
      </c>
      <c r="S3462">
        <v>-0.92260739999999997</v>
      </c>
      <c r="T3462">
        <v>-0.25466860000000002</v>
      </c>
      <c r="U3462">
        <v>-2.8560490000000001</v>
      </c>
      <c r="V3462">
        <v>-0.43037740000000002</v>
      </c>
      <c r="W3462">
        <v>-7.5431929999999994E-2</v>
      </c>
      <c r="X3462">
        <v>0.89949169999999901</v>
      </c>
      <c r="Y3462">
        <v>-0.50637019999999999</v>
      </c>
      <c r="Z3462">
        <v>2.6197169999999999E-2</v>
      </c>
      <c r="AA3462">
        <v>0.86191819999999897</v>
      </c>
      <c r="AB3462">
        <v>17</v>
      </c>
      <c r="AC3462">
        <v>-0.23320000000001001</v>
      </c>
      <c r="AD3462">
        <v>-7.9874999999999904E-2</v>
      </c>
      <c r="AE3462">
        <v>-0.836799999999982</v>
      </c>
      <c r="AF3462">
        <v>-0.46648582543413902</v>
      </c>
      <c r="AG3462">
        <v>-7.9874999999999904E-2</v>
      </c>
      <c r="AH3462">
        <v>0.72415981705328103</v>
      </c>
      <c r="AI3462">
        <v>95.297691040273605</v>
      </c>
      <c r="AJ3462">
        <v>122.788631846716</v>
      </c>
      <c r="AK3462">
        <v>0.86509911662803796</v>
      </c>
      <c r="AL3462">
        <v>94.326040372002296</v>
      </c>
      <c r="AM3462">
        <v>115.569592049595</v>
      </c>
      <c r="AN3462">
        <v>1.0000000004315801</v>
      </c>
    </row>
    <row r="3463" spans="1:40" x14ac:dyDescent="0.25">
      <c r="A3463" t="str">
        <f>"20190303153837198"</f>
        <v>20190303153837198</v>
      </c>
      <c r="B3463" t="str">
        <f>"1551598717192054"</f>
        <v>1551598717192054</v>
      </c>
      <c r="C3463" t="s">
        <v>40</v>
      </c>
      <c r="D3463">
        <v>4.6102689999999997</v>
      </c>
      <c r="E3463">
        <v>0.47038819999999998</v>
      </c>
      <c r="F3463" t="s">
        <v>44</v>
      </c>
      <c r="G3463">
        <v>-490.38299999999998</v>
      </c>
      <c r="H3463">
        <v>1.0554570000000001</v>
      </c>
      <c r="I3463">
        <v>278.31560000000002</v>
      </c>
      <c r="J3463">
        <v>-490.17610000000002</v>
      </c>
      <c r="K3463">
        <v>1.126973</v>
      </c>
      <c r="L3463">
        <v>279.07029999999997</v>
      </c>
      <c r="M3463">
        <v>-0.74312339999999999</v>
      </c>
      <c r="N3463">
        <v>-1.4867969999999999E-2</v>
      </c>
      <c r="O3463">
        <v>-0.6689891</v>
      </c>
      <c r="P3463">
        <v>-0.37893389999999999</v>
      </c>
      <c r="Q3463">
        <v>-8.1795660000000006E-2</v>
      </c>
      <c r="R3463">
        <v>-0.92180189999999995</v>
      </c>
      <c r="S3463">
        <v>-0.92224119999999998</v>
      </c>
      <c r="T3463">
        <v>-0.25039410000000001</v>
      </c>
      <c r="U3463">
        <v>-2.854889</v>
      </c>
      <c r="V3463">
        <v>-0.43053819999999998</v>
      </c>
      <c r="W3463">
        <v>-7.4575409999999995E-2</v>
      </c>
      <c r="X3463">
        <v>0.89948619999999901</v>
      </c>
      <c r="Y3463">
        <v>-0.50103500000000001</v>
      </c>
      <c r="Z3463">
        <v>2.6185750000000001E-2</v>
      </c>
      <c r="AA3463">
        <v>0.86503069999999904</v>
      </c>
      <c r="AB3463">
        <v>17</v>
      </c>
      <c r="AC3463">
        <v>-0.20690000000001799</v>
      </c>
      <c r="AD3463">
        <v>-7.1516000000000093E-2</v>
      </c>
      <c r="AE3463">
        <v>-0.75469999999995696</v>
      </c>
      <c r="AF3463">
        <v>-0.418968922553282</v>
      </c>
      <c r="AG3463">
        <v>-7.1516000000000093E-2</v>
      </c>
      <c r="AH3463">
        <v>0.65325523462889401</v>
      </c>
      <c r="AI3463">
        <v>95.265052874625098</v>
      </c>
      <c r="AJ3463">
        <v>122.674311229604</v>
      </c>
      <c r="AK3463">
        <v>0.77935351278576404</v>
      </c>
      <c r="AL3463">
        <v>94.276826646199595</v>
      </c>
      <c r="AM3463">
        <v>115.578062487434</v>
      </c>
      <c r="AN3463">
        <v>1.0000000287131701</v>
      </c>
    </row>
    <row r="3464" spans="1:40" x14ac:dyDescent="0.25">
      <c r="A3464" t="str">
        <f>"20190303153837210"</f>
        <v>20190303153837210</v>
      </c>
      <c r="B3464" t="str">
        <f>"1551598717201814"</f>
        <v>1551598717201814</v>
      </c>
      <c r="C3464" t="s">
        <v>40</v>
      </c>
      <c r="D3464">
        <v>4.6030689999999996</v>
      </c>
      <c r="E3464">
        <v>0.47196529999999998</v>
      </c>
      <c r="F3464" t="s">
        <v>44</v>
      </c>
      <c r="G3464">
        <v>-490.45830000000001</v>
      </c>
      <c r="H3464">
        <v>1.0516909999999999</v>
      </c>
      <c r="I3464">
        <v>278.1927</v>
      </c>
      <c r="J3464">
        <v>-490.23660000000001</v>
      </c>
      <c r="K3464">
        <v>1.1270089999999999</v>
      </c>
      <c r="L3464">
        <v>279.00569999999999</v>
      </c>
      <c r="M3464">
        <v>-0.73863279999999998</v>
      </c>
      <c r="N3464">
        <v>-1.4919099999999999E-2</v>
      </c>
      <c r="O3464">
        <v>-0.67394319999999996</v>
      </c>
      <c r="P3464">
        <v>-0.37275580000000003</v>
      </c>
      <c r="Q3464">
        <v>-8.1497910000000007E-2</v>
      </c>
      <c r="R3464">
        <v>-0.92434369999999999</v>
      </c>
      <c r="S3464">
        <v>-0.91836549999999995</v>
      </c>
      <c r="T3464">
        <v>-0.24500640000000001</v>
      </c>
      <c r="U3464">
        <v>-2.8552550000000001</v>
      </c>
      <c r="V3464">
        <v>-0.43056290000000003</v>
      </c>
      <c r="W3464">
        <v>-7.4262750000000002E-2</v>
      </c>
      <c r="X3464">
        <v>0.89950019999999997</v>
      </c>
      <c r="Y3464">
        <v>-0.49636350000000001</v>
      </c>
      <c r="Z3464">
        <v>2.5965760000000001E-2</v>
      </c>
      <c r="AA3464">
        <v>0.86772640000000001</v>
      </c>
      <c r="AB3464">
        <v>17</v>
      </c>
      <c r="AC3464">
        <v>-0.22169999999999801</v>
      </c>
      <c r="AD3464">
        <v>-7.5317999999999996E-2</v>
      </c>
      <c r="AE3464">
        <v>-0.81299999999998795</v>
      </c>
      <c r="AF3464">
        <v>-0.44756995483399697</v>
      </c>
      <c r="AG3464">
        <v>-7.5317999999999996E-2</v>
      </c>
      <c r="AH3464">
        <v>0.70610901513256596</v>
      </c>
      <c r="AI3464">
        <v>95.148020429885904</v>
      </c>
      <c r="AJ3464">
        <v>122.36872617857</v>
      </c>
      <c r="AK3464">
        <v>0.83939359471322395</v>
      </c>
      <c r="AL3464">
        <v>94.258862907525796</v>
      </c>
      <c r="AM3464">
        <v>115.578995259058</v>
      </c>
      <c r="AN3464">
        <v>0.99999998834700599</v>
      </c>
    </row>
    <row r="3465" spans="1:40" x14ac:dyDescent="0.25">
      <c r="A3465" t="str">
        <f>"20190303153837222"</f>
        <v>20190303153837222</v>
      </c>
      <c r="B3465" t="str">
        <f>"1551598717211687"</f>
        <v>1551598717211687</v>
      </c>
      <c r="C3465" t="s">
        <v>40</v>
      </c>
      <c r="D3465">
        <v>4.5419460000000003</v>
      </c>
      <c r="E3465">
        <v>0.4735991</v>
      </c>
      <c r="F3465" t="s">
        <v>44</v>
      </c>
      <c r="G3465">
        <v>-490.53460000000001</v>
      </c>
      <c r="H3465">
        <v>1.047749</v>
      </c>
      <c r="I3465">
        <v>278.07150000000001</v>
      </c>
      <c r="J3465">
        <v>-490.2953</v>
      </c>
      <c r="K3465">
        <v>1.127048</v>
      </c>
      <c r="L3465">
        <v>278.94159999999999</v>
      </c>
      <c r="M3465">
        <v>-0.73413909999999905</v>
      </c>
      <c r="N3465">
        <v>-1.4966729999999999E-2</v>
      </c>
      <c r="O3465">
        <v>-0.6788343</v>
      </c>
      <c r="P3465">
        <v>-0.36665389999999998</v>
      </c>
      <c r="Q3465">
        <v>-8.1881090000000004E-2</v>
      </c>
      <c r="R3465">
        <v>-0.9267474</v>
      </c>
      <c r="S3465">
        <v>-0.9107056</v>
      </c>
      <c r="T3465">
        <v>-0.24233660000000001</v>
      </c>
      <c r="U3465">
        <v>-2.856903</v>
      </c>
      <c r="V3465">
        <v>-0.43048180000000003</v>
      </c>
      <c r="W3465">
        <v>-7.4636789999999995E-2</v>
      </c>
      <c r="X3465">
        <v>0.89950810000000003</v>
      </c>
      <c r="Y3465">
        <v>-0.49286760000000002</v>
      </c>
      <c r="Z3465">
        <v>2.6097639999999998E-2</v>
      </c>
      <c r="AA3465">
        <v>0.86971279999999995</v>
      </c>
      <c r="AB3465">
        <v>17</v>
      </c>
      <c r="AC3465">
        <v>-0.239300000000014</v>
      </c>
      <c r="AD3465">
        <v>-7.9298999999999994E-2</v>
      </c>
      <c r="AE3465">
        <v>-0.870099999999979</v>
      </c>
      <c r="AF3465">
        <v>-0.47273224326913099</v>
      </c>
      <c r="AG3465">
        <v>-7.9298999999999994E-2</v>
      </c>
      <c r="AH3465">
        <v>0.76054602329012999</v>
      </c>
      <c r="AI3465">
        <v>95.060544363202595</v>
      </c>
      <c r="AJ3465">
        <v>121.86382536340101</v>
      </c>
      <c r="AK3465">
        <v>0.89899630631593597</v>
      </c>
      <c r="AL3465">
        <v>94.280353300036296</v>
      </c>
      <c r="AM3465">
        <v>115.57459629141999</v>
      </c>
      <c r="AN3465">
        <v>1.0000000262591699</v>
      </c>
    </row>
    <row r="3466" spans="1:40" x14ac:dyDescent="0.25">
      <c r="A3466" t="str">
        <f>"20190303153837235"</f>
        <v>20190303153837235</v>
      </c>
      <c r="B3466" t="str">
        <f>"1551598717222407"</f>
        <v>1551598717222407</v>
      </c>
      <c r="C3466" t="s">
        <v>40</v>
      </c>
      <c r="D3466">
        <v>4.5472279999999996</v>
      </c>
      <c r="E3466">
        <v>0.47492640000000003</v>
      </c>
      <c r="F3466" t="s">
        <v>44</v>
      </c>
      <c r="G3466">
        <v>-490.56439999999998</v>
      </c>
      <c r="H3466">
        <v>1.0560229999999999</v>
      </c>
      <c r="I3466">
        <v>278.09230000000002</v>
      </c>
      <c r="J3466">
        <v>-490.35509999999999</v>
      </c>
      <c r="K3466">
        <v>1.127087</v>
      </c>
      <c r="L3466">
        <v>278.87549999999999</v>
      </c>
      <c r="M3466">
        <v>-0.72947280000000003</v>
      </c>
      <c r="N3466">
        <v>-1.5014130000000001E-2</v>
      </c>
      <c r="O3466">
        <v>-0.68384519999999904</v>
      </c>
      <c r="P3466">
        <v>-0.36090539999999999</v>
      </c>
      <c r="Q3466">
        <v>-8.3212079999999994E-2</v>
      </c>
      <c r="R3466">
        <v>-0.92888280000000001</v>
      </c>
      <c r="S3466">
        <v>-0.90460209999999996</v>
      </c>
      <c r="T3466">
        <v>-0.23894109999999999</v>
      </c>
      <c r="U3466">
        <v>-2.8581240000000001</v>
      </c>
      <c r="V3466">
        <v>-0.429784</v>
      </c>
      <c r="W3466">
        <v>-7.5948539999999995E-2</v>
      </c>
      <c r="X3466">
        <v>0.89973189999999903</v>
      </c>
      <c r="Y3466">
        <v>-0.48871890000000001</v>
      </c>
      <c r="Z3466">
        <v>2.6133489999999999E-2</v>
      </c>
      <c r="AA3466">
        <v>0.87204979999999999</v>
      </c>
      <c r="AB3466">
        <v>17</v>
      </c>
      <c r="AC3466">
        <v>-0.209299999999984</v>
      </c>
      <c r="AD3466">
        <v>-7.1064000000000196E-2</v>
      </c>
      <c r="AE3466">
        <v>-0.78319999999996504</v>
      </c>
      <c r="AF3466">
        <v>-0.42497692688028099</v>
      </c>
      <c r="AG3466">
        <v>-7.1064000000000196E-2</v>
      </c>
      <c r="AH3466">
        <v>0.68309471748614703</v>
      </c>
      <c r="AI3466">
        <v>95.047999381143995</v>
      </c>
      <c r="AJ3466">
        <v>121.887176594959</v>
      </c>
      <c r="AK3466">
        <v>0.80763474017286196</v>
      </c>
      <c r="AL3466">
        <v>94.355725189969505</v>
      </c>
      <c r="AM3466">
        <v>115.53287655238999</v>
      </c>
      <c r="AN3466">
        <v>0.99999997963086995</v>
      </c>
    </row>
    <row r="3467" spans="1:40" x14ac:dyDescent="0.25">
      <c r="A3467" t="str">
        <f>"20190303153837245"</f>
        <v>20190303153837245</v>
      </c>
      <c r="B3467" t="str">
        <f>"1551598717241926"</f>
        <v>1551598717241926</v>
      </c>
      <c r="C3467" t="s">
        <v>40</v>
      </c>
      <c r="D3467">
        <v>4.5378990000000003</v>
      </c>
      <c r="E3467">
        <v>0.47729290000000002</v>
      </c>
      <c r="F3467" t="s">
        <v>44</v>
      </c>
      <c r="G3467">
        <v>-490.63889999999998</v>
      </c>
      <c r="H3467">
        <v>1.0513779999999999</v>
      </c>
      <c r="I3467">
        <v>277.97019999999998</v>
      </c>
      <c r="J3467">
        <v>-490.41199999999998</v>
      </c>
      <c r="K3467">
        <v>1.1271329999999999</v>
      </c>
      <c r="L3467">
        <v>278.81180000000001</v>
      </c>
      <c r="M3467">
        <v>-0.72493669999999899</v>
      </c>
      <c r="N3467">
        <v>-1.505799E-2</v>
      </c>
      <c r="O3467">
        <v>-0.68865109999999996</v>
      </c>
      <c r="P3467">
        <v>-0.35489280000000001</v>
      </c>
      <c r="Q3467">
        <v>-8.4660390000000002E-2</v>
      </c>
      <c r="R3467">
        <v>-0.93106619999999995</v>
      </c>
      <c r="S3467">
        <v>-0.89672850000000004</v>
      </c>
      <c r="T3467">
        <v>-0.23920369999999999</v>
      </c>
      <c r="U3467">
        <v>-2.8598629999999998</v>
      </c>
      <c r="V3467">
        <v>-0.4295329</v>
      </c>
      <c r="W3467">
        <v>-7.7390020000000004E-2</v>
      </c>
      <c r="X3467">
        <v>0.899729</v>
      </c>
      <c r="Y3467">
        <v>-0.48529929999999899</v>
      </c>
      <c r="Z3467">
        <v>2.6713110000000002E-2</v>
      </c>
      <c r="AA3467">
        <v>0.87393989999999999</v>
      </c>
      <c r="AB3467">
        <v>17</v>
      </c>
      <c r="AC3467">
        <v>-0.22689999999999999</v>
      </c>
      <c r="AD3467">
        <v>-7.5754999999999795E-2</v>
      </c>
      <c r="AE3467">
        <v>-0.84160000000002799</v>
      </c>
      <c r="AF3467">
        <v>-0.450500411439968</v>
      </c>
      <c r="AG3467">
        <v>-7.5754999999999795E-2</v>
      </c>
      <c r="AH3467">
        <v>0.73856255884459499</v>
      </c>
      <c r="AI3467">
        <v>95.004415345650699</v>
      </c>
      <c r="AJ3467">
        <v>121.381904802978</v>
      </c>
      <c r="AK3467">
        <v>0.86842621681963095</v>
      </c>
      <c r="AL3467">
        <v>94.438559643774596</v>
      </c>
      <c r="AM3467">
        <v>115.519927423808</v>
      </c>
      <c r="AN3467">
        <v>1.0000000004095</v>
      </c>
    </row>
    <row r="3468" spans="1:40" x14ac:dyDescent="0.25">
      <c r="A3468" t="str">
        <f>"20190303153837257"</f>
        <v>20190303153837257</v>
      </c>
      <c r="B3468" t="str">
        <f>"1551598717251686"</f>
        <v>1551598717251686</v>
      </c>
      <c r="C3468" t="s">
        <v>40</v>
      </c>
      <c r="D3468">
        <v>4.665286</v>
      </c>
      <c r="E3468">
        <v>0.47790579999999999</v>
      </c>
      <c r="F3468" t="s">
        <v>44</v>
      </c>
      <c r="G3468">
        <v>-490.67439999999999</v>
      </c>
      <c r="H3468">
        <v>1.057547</v>
      </c>
      <c r="I3468">
        <v>277.9744</v>
      </c>
      <c r="J3468">
        <v>-490.46629999999999</v>
      </c>
      <c r="K3468">
        <v>1.1271739999999999</v>
      </c>
      <c r="L3468">
        <v>278.74979999999999</v>
      </c>
      <c r="M3468">
        <v>-0.7204874</v>
      </c>
      <c r="N3468">
        <v>-1.509865E-2</v>
      </c>
      <c r="O3468">
        <v>-0.69330389999999997</v>
      </c>
      <c r="P3468">
        <v>-0.34970839999999997</v>
      </c>
      <c r="Q3468">
        <v>-8.5950520000000002E-2</v>
      </c>
      <c r="R3468">
        <v>-0.93290799999999996</v>
      </c>
      <c r="S3468">
        <v>-0.89587399999999995</v>
      </c>
      <c r="T3468">
        <v>-0.23760780000000001</v>
      </c>
      <c r="U3468">
        <v>-2.8590089999999999</v>
      </c>
      <c r="V3468">
        <v>-0.42863620000000002</v>
      </c>
      <c r="W3468">
        <v>-7.8660859999999999E-2</v>
      </c>
      <c r="X3468">
        <v>0.90004640000000002</v>
      </c>
      <c r="Y3468">
        <v>-0.47984399999999999</v>
      </c>
      <c r="Z3468">
        <v>2.705809E-2</v>
      </c>
      <c r="AA3468">
        <v>0.87693650000000001</v>
      </c>
      <c r="AB3468">
        <v>17</v>
      </c>
      <c r="AC3468">
        <v>-0.20810000000000101</v>
      </c>
      <c r="AD3468">
        <v>-6.96269999999998E-2</v>
      </c>
      <c r="AE3468">
        <v>-0.77539999999998999</v>
      </c>
      <c r="AF3468">
        <v>-0.411342686066687</v>
      </c>
      <c r="AG3468">
        <v>-6.96269999999998E-2</v>
      </c>
      <c r="AH3468">
        <v>0.68246643058329504</v>
      </c>
      <c r="AI3468">
        <v>94.993722349821496</v>
      </c>
      <c r="AJ3468">
        <v>121.078612051568</v>
      </c>
      <c r="AK3468">
        <v>0.79988196215607998</v>
      </c>
      <c r="AL3468">
        <v>94.511595978524497</v>
      </c>
      <c r="AM3468">
        <v>115.465559567095</v>
      </c>
      <c r="AN3468">
        <v>1.0000000224996599</v>
      </c>
    </row>
    <row r="3469" spans="1:40" x14ac:dyDescent="0.25">
      <c r="A3469" t="str">
        <f>"20190303153837271"</f>
        <v>20190303153837271</v>
      </c>
      <c r="B3469" t="str">
        <f>"1551598717262422"</f>
        <v>1551598717262422</v>
      </c>
      <c r="C3469" t="s">
        <v>40</v>
      </c>
      <c r="D3469">
        <v>4.5697979999999996</v>
      </c>
      <c r="E3469">
        <v>0.47883520000000002</v>
      </c>
      <c r="F3469" t="s">
        <v>44</v>
      </c>
      <c r="G3469">
        <v>-490.73950000000002</v>
      </c>
      <c r="H3469">
        <v>1.0519620000000001</v>
      </c>
      <c r="I3469">
        <v>277.86630000000002</v>
      </c>
      <c r="J3469">
        <v>-490.52890000000002</v>
      </c>
      <c r="K3469">
        <v>1.1272219999999999</v>
      </c>
      <c r="L3469">
        <v>278.67779999999999</v>
      </c>
      <c r="M3469">
        <v>-0.71527379999999996</v>
      </c>
      <c r="N3469">
        <v>-1.514447E-2</v>
      </c>
      <c r="O3469">
        <v>-0.69868030000000003</v>
      </c>
      <c r="P3469">
        <v>-0.34328950000000003</v>
      </c>
      <c r="Q3469">
        <v>-8.6980160000000001E-2</v>
      </c>
      <c r="R3469">
        <v>-0.93519379999999996</v>
      </c>
      <c r="S3469">
        <v>-0.88446039999999904</v>
      </c>
      <c r="T3469">
        <v>-0.24355170000000001</v>
      </c>
      <c r="U3469">
        <v>-2.8617249999999999</v>
      </c>
      <c r="V3469">
        <v>-0.42798979999999998</v>
      </c>
      <c r="W3469">
        <v>-7.9677479999999995E-2</v>
      </c>
      <c r="X3469">
        <v>0.90026450000000002</v>
      </c>
      <c r="Y3469">
        <v>-0.47670390000000001</v>
      </c>
      <c r="Z3469">
        <v>2.864684E-2</v>
      </c>
      <c r="AA3469">
        <v>0.87859709999999902</v>
      </c>
      <c r="AB3469">
        <v>17</v>
      </c>
      <c r="AC3469">
        <v>-0.21059999999999901</v>
      </c>
      <c r="AD3469">
        <v>-7.5259999999999799E-2</v>
      </c>
      <c r="AE3469">
        <v>-0.81149999999996603</v>
      </c>
      <c r="AF3469">
        <v>-0.42988811385296199</v>
      </c>
      <c r="AG3469">
        <v>-7.5259999999999799E-2</v>
      </c>
      <c r="AH3469">
        <v>0.71196078290725096</v>
      </c>
      <c r="AI3469">
        <v>95.170698730001803</v>
      </c>
      <c r="AJ3469">
        <v>121.12394456708201</v>
      </c>
      <c r="AK3469">
        <v>0.83507844806937903</v>
      </c>
      <c r="AL3469">
        <v>94.570027661194402</v>
      </c>
      <c r="AM3469">
        <v>115.426625082808</v>
      </c>
      <c r="AN3469">
        <v>0.99999996984171902</v>
      </c>
    </row>
    <row r="3470" spans="1:40" x14ac:dyDescent="0.25">
      <c r="A3470" t="str">
        <f>"20190303153837284"</f>
        <v>20190303153837284</v>
      </c>
      <c r="B3470" t="str">
        <f>"1551598717272182"</f>
        <v>1551598717272182</v>
      </c>
      <c r="C3470" t="s">
        <v>40</v>
      </c>
      <c r="D3470">
        <v>4.6702659999999998</v>
      </c>
      <c r="E3470">
        <v>0.47928769999999998</v>
      </c>
      <c r="F3470" t="s">
        <v>44</v>
      </c>
      <c r="G3470">
        <v>-490.81270000000001</v>
      </c>
      <c r="H3470">
        <v>1.0475429999999999</v>
      </c>
      <c r="I3470">
        <v>277.74450000000002</v>
      </c>
      <c r="J3470">
        <v>-490.5985</v>
      </c>
      <c r="K3470">
        <v>1.127278</v>
      </c>
      <c r="L3470">
        <v>278.59559999999999</v>
      </c>
      <c r="M3470">
        <v>-0.70926650000000002</v>
      </c>
      <c r="N3470">
        <v>-1.519412E-2</v>
      </c>
      <c r="O3470">
        <v>-0.70477690000000004</v>
      </c>
      <c r="P3470">
        <v>-0.33530599999999999</v>
      </c>
      <c r="Q3470">
        <v>-8.7618619999999994E-2</v>
      </c>
      <c r="R3470">
        <v>-0.93802640000000004</v>
      </c>
      <c r="S3470">
        <v>-0.871826199999999</v>
      </c>
      <c r="T3470">
        <v>-0.2446516</v>
      </c>
      <c r="U3470">
        <v>-2.8651430000000002</v>
      </c>
      <c r="V3470">
        <v>-0.42789739999999998</v>
      </c>
      <c r="W3470">
        <v>-8.0318630000000002E-2</v>
      </c>
      <c r="X3470">
        <v>0.90025149999999998</v>
      </c>
      <c r="Y3470">
        <v>-0.47302759999999999</v>
      </c>
      <c r="Z3470">
        <v>2.9501690000000001E-2</v>
      </c>
      <c r="AA3470">
        <v>0.88055349999999999</v>
      </c>
      <c r="AB3470">
        <v>17</v>
      </c>
      <c r="AC3470">
        <v>-0.214200000000005</v>
      </c>
      <c r="AD3470">
        <v>-7.9734999999999806E-2</v>
      </c>
      <c r="AE3470">
        <v>-0.85109999999997399</v>
      </c>
      <c r="AF3470">
        <v>-0.44903932768754101</v>
      </c>
      <c r="AG3470">
        <v>-7.9734999999999806E-2</v>
      </c>
      <c r="AH3470">
        <v>0.74569223248821104</v>
      </c>
      <c r="AI3470">
        <v>95.233769926491107</v>
      </c>
      <c r="AJ3470">
        <v>121.055418574455</v>
      </c>
      <c r="AK3470">
        <v>0.87410004783682005</v>
      </c>
      <c r="AL3470">
        <v>94.606880756455894</v>
      </c>
      <c r="AM3470">
        <v>115.42214910621099</v>
      </c>
      <c r="AN3470">
        <v>1.0000000152520401</v>
      </c>
    </row>
    <row r="3471" spans="1:40" x14ac:dyDescent="0.25">
      <c r="A3471" t="str">
        <f>"20190303153837301"</f>
        <v>20190303153837301</v>
      </c>
      <c r="B3471" t="str">
        <f>"1551598717291701"</f>
        <v>1551598717291701</v>
      </c>
      <c r="C3471" t="s">
        <v>40</v>
      </c>
      <c r="D3471">
        <v>4.6573560000000001</v>
      </c>
      <c r="E3471">
        <v>0.48038789999999998</v>
      </c>
      <c r="F3471" t="s">
        <v>44</v>
      </c>
      <c r="G3471">
        <v>-490.85320000000002</v>
      </c>
      <c r="H3471">
        <v>1.0528580000000001</v>
      </c>
      <c r="I3471">
        <v>277.73570000000001</v>
      </c>
      <c r="J3471">
        <v>-490.67039999999997</v>
      </c>
      <c r="K3471">
        <v>1.1273359999999999</v>
      </c>
      <c r="L3471">
        <v>278.50920000000002</v>
      </c>
      <c r="M3471">
        <v>-0.7028643</v>
      </c>
      <c r="N3471">
        <v>-1.5244229999999999E-2</v>
      </c>
      <c r="O3471">
        <v>-0.71116069999999998</v>
      </c>
      <c r="P3471">
        <v>-0.32663769999999998</v>
      </c>
      <c r="Q3471">
        <v>-8.7826029999999999E-2</v>
      </c>
      <c r="R3471">
        <v>-0.94106040000000002</v>
      </c>
      <c r="S3471">
        <v>-0.85064699999999904</v>
      </c>
      <c r="T3471">
        <v>-0.24846940000000001</v>
      </c>
      <c r="U3471">
        <v>-2.870911</v>
      </c>
      <c r="V3471">
        <v>-0.428037</v>
      </c>
      <c r="W3471">
        <v>-8.0535300000000004E-2</v>
      </c>
      <c r="X3471">
        <v>0.90016569999999996</v>
      </c>
      <c r="Y3471">
        <v>-0.47152080000000002</v>
      </c>
      <c r="Z3471">
        <v>3.0783720000000001E-2</v>
      </c>
      <c r="AA3471">
        <v>0.88131740000000003</v>
      </c>
      <c r="AB3471">
        <v>17</v>
      </c>
      <c r="AC3471">
        <v>-0.18280000000004201</v>
      </c>
      <c r="AD3471">
        <v>-7.4478000000000003E-2</v>
      </c>
      <c r="AE3471">
        <v>-0.77350000000001196</v>
      </c>
      <c r="AF3471">
        <v>-0.41011229957871098</v>
      </c>
      <c r="AG3471">
        <v>-7.4478000000000003E-2</v>
      </c>
      <c r="AH3471">
        <v>0.672738043163018</v>
      </c>
      <c r="AI3471">
        <v>95.400042655956398</v>
      </c>
      <c r="AJ3471">
        <v>121.36717971912699</v>
      </c>
      <c r="AK3471">
        <v>0.79140100168533101</v>
      </c>
      <c r="AL3471">
        <v>94.619335692322196</v>
      </c>
      <c r="AM3471">
        <v>115.431513870169</v>
      </c>
      <c r="AN3471">
        <v>0.99999994768578804</v>
      </c>
    </row>
    <row r="3472" spans="1:40" x14ac:dyDescent="0.25">
      <c r="A3472" t="str">
        <f>"20190303153837316"</f>
        <v>20190303153837316</v>
      </c>
      <c r="B3472" t="str">
        <f>"1551598717302438"</f>
        <v>1551598717302438</v>
      </c>
      <c r="C3472" t="s">
        <v>40</v>
      </c>
      <c r="D3472">
        <v>4.6415189999999997</v>
      </c>
      <c r="E3472">
        <v>0.4810159</v>
      </c>
      <c r="F3472" t="s">
        <v>44</v>
      </c>
      <c r="G3472">
        <v>-490.92090000000002</v>
      </c>
      <c r="H3472">
        <v>1.0519459999999901</v>
      </c>
      <c r="I3472">
        <v>277.64449999999999</v>
      </c>
      <c r="J3472">
        <v>-490.74020000000002</v>
      </c>
      <c r="K3472">
        <v>1.127391</v>
      </c>
      <c r="L3472">
        <v>278.42380000000003</v>
      </c>
      <c r="M3472">
        <v>-0.69646770000000002</v>
      </c>
      <c r="N3472">
        <v>-1.529222E-2</v>
      </c>
      <c r="O3472">
        <v>-0.71742519999999999</v>
      </c>
      <c r="P3472">
        <v>-0.31775409999999998</v>
      </c>
      <c r="Q3472">
        <v>-8.786273E-2</v>
      </c>
      <c r="R3472">
        <v>-0.94409370000000004</v>
      </c>
      <c r="S3472">
        <v>-0.83233639999999998</v>
      </c>
      <c r="T3472">
        <v>-0.25063429999999998</v>
      </c>
      <c r="U3472">
        <v>-2.8756409999999999</v>
      </c>
      <c r="V3472">
        <v>-0.42844769999999999</v>
      </c>
      <c r="W3472">
        <v>-8.0589729999999998E-2</v>
      </c>
      <c r="X3472">
        <v>0.89996549999999997</v>
      </c>
      <c r="Y3472">
        <v>-0.46919840000000002</v>
      </c>
      <c r="Z3472">
        <v>3.1816079999999997E-2</v>
      </c>
      <c r="AA3472">
        <v>0.88251950000000001</v>
      </c>
      <c r="AB3472">
        <v>17</v>
      </c>
      <c r="AC3472">
        <v>-0.180700000000001</v>
      </c>
      <c r="AD3472">
        <v>-7.5445000000000206E-2</v>
      </c>
      <c r="AE3472">
        <v>-0.77930000000003397</v>
      </c>
      <c r="AF3472">
        <v>-0.40952445527905701</v>
      </c>
      <c r="AG3472">
        <v>-7.5445000000000206E-2</v>
      </c>
      <c r="AH3472">
        <v>0.67898225261100797</v>
      </c>
      <c r="AI3472">
        <v>95.435212351410499</v>
      </c>
      <c r="AJ3472">
        <v>121.09605092036</v>
      </c>
      <c r="AK3472">
        <v>0.79650431691066603</v>
      </c>
      <c r="AL3472">
        <v>94.622464142690802</v>
      </c>
      <c r="AM3472">
        <v>115.457776309376</v>
      </c>
      <c r="AN3472">
        <v>1.0000000187035001</v>
      </c>
    </row>
    <row r="3473" spans="1:40" x14ac:dyDescent="0.25">
      <c r="A3473" t="str">
        <f>"20190303153837328"</f>
        <v>20190303153837328</v>
      </c>
      <c r="B3473" t="str">
        <f>"1551598717321958"</f>
        <v>1551598717321958</v>
      </c>
      <c r="C3473" t="s">
        <v>40</v>
      </c>
      <c r="D3473">
        <v>4.6814349999999996</v>
      </c>
      <c r="E3473">
        <v>0.48218680000000003</v>
      </c>
      <c r="F3473" t="s">
        <v>44</v>
      </c>
      <c r="G3473">
        <v>-490.99299999999999</v>
      </c>
      <c r="H3473">
        <v>1.0490759999999999</v>
      </c>
      <c r="I3473">
        <v>277.52409999999998</v>
      </c>
      <c r="J3473">
        <v>-490.79919999999998</v>
      </c>
      <c r="K3473">
        <v>1.1274439999999999</v>
      </c>
      <c r="L3473">
        <v>278.3503</v>
      </c>
      <c r="M3473">
        <v>-0.69090669999999899</v>
      </c>
      <c r="N3473">
        <v>-1.533262E-2</v>
      </c>
      <c r="O3473">
        <v>-0.72278149999999997</v>
      </c>
      <c r="P3473">
        <v>-0.31043330000000002</v>
      </c>
      <c r="Q3473">
        <v>-8.7763540000000001E-2</v>
      </c>
      <c r="R3473">
        <v>-0.94653529999999997</v>
      </c>
      <c r="S3473">
        <v>-0.80987549999999997</v>
      </c>
      <c r="T3473">
        <v>-0.25087419999999999</v>
      </c>
      <c r="U3473">
        <v>-2.8816830000000002</v>
      </c>
      <c r="V3473">
        <v>-0.4284675</v>
      </c>
      <c r="W3473">
        <v>-8.0500559999999999E-2</v>
      </c>
      <c r="X3473">
        <v>0.89996399999999999</v>
      </c>
      <c r="Y3473">
        <v>-0.46924159999999998</v>
      </c>
      <c r="Z3473">
        <v>3.232939E-2</v>
      </c>
      <c r="AA3473">
        <v>0.88247790000000004</v>
      </c>
      <c r="AB3473">
        <v>17</v>
      </c>
      <c r="AC3473">
        <v>-0.193800000000067</v>
      </c>
      <c r="AD3473">
        <v>-7.8367999999999993E-2</v>
      </c>
      <c r="AE3473">
        <v>-0.82620000000002802</v>
      </c>
      <c r="AF3473">
        <v>-0.42715984192895501</v>
      </c>
      <c r="AG3473">
        <v>-7.8367999999999993E-2</v>
      </c>
      <c r="AH3473">
        <v>0.72496318493338396</v>
      </c>
      <c r="AI3473">
        <v>95.320866614723002</v>
      </c>
      <c r="AJ3473">
        <v>120.50726865240701</v>
      </c>
      <c r="AK3473">
        <v>0.84509093799988499</v>
      </c>
      <c r="AL3473">
        <v>94.617338649810804</v>
      </c>
      <c r="AM3473">
        <v>115.45884101068199</v>
      </c>
      <c r="AN3473">
        <v>0.99999997000628105</v>
      </c>
    </row>
    <row r="3474" spans="1:40" x14ac:dyDescent="0.25">
      <c r="A3474" t="str">
        <f>"20190303153837341"</f>
        <v>20190303153837341</v>
      </c>
      <c r="B3474" t="str">
        <f>"1551598717331718"</f>
        <v>1551598717331718</v>
      </c>
      <c r="C3474" t="s">
        <v>40</v>
      </c>
      <c r="D3474">
        <v>4.65008</v>
      </c>
      <c r="E3474">
        <v>0.48271269999999999</v>
      </c>
      <c r="F3474" t="s">
        <v>44</v>
      </c>
      <c r="G3474">
        <v>-491.04509999999999</v>
      </c>
      <c r="H3474">
        <v>1.0498809999999901</v>
      </c>
      <c r="I3474">
        <v>277.45949999999999</v>
      </c>
      <c r="J3474">
        <v>-490.85550000000001</v>
      </c>
      <c r="K3474">
        <v>1.127497</v>
      </c>
      <c r="L3474">
        <v>278.27839999999998</v>
      </c>
      <c r="M3474">
        <v>-0.68539430000000001</v>
      </c>
      <c r="N3474">
        <v>-1.537153E-2</v>
      </c>
      <c r="O3474">
        <v>-0.72800980000000004</v>
      </c>
      <c r="P3474">
        <v>-0.30342740000000001</v>
      </c>
      <c r="Q3474">
        <v>-8.7780990000000003E-2</v>
      </c>
      <c r="R3474">
        <v>-0.94880260000000005</v>
      </c>
      <c r="S3474">
        <v>-0.79644780000000004</v>
      </c>
      <c r="T3474">
        <v>-0.25119940000000002</v>
      </c>
      <c r="U3474">
        <v>-2.8849490000000002</v>
      </c>
      <c r="V3474">
        <v>-0.42827349999999997</v>
      </c>
      <c r="W3474">
        <v>-8.0524490000000004E-2</v>
      </c>
      <c r="X3474">
        <v>0.90005419999999903</v>
      </c>
      <c r="Y3474">
        <v>-0.46661399999999997</v>
      </c>
      <c r="Z3474">
        <v>3.2961329999999997E-2</v>
      </c>
      <c r="AA3474">
        <v>0.88384660000000004</v>
      </c>
      <c r="AB3474">
        <v>17</v>
      </c>
      <c r="AC3474">
        <v>-0.189599999999984</v>
      </c>
      <c r="AD3474">
        <v>-7.7616000000000102E-2</v>
      </c>
      <c r="AE3474">
        <v>-0.81889999999998497</v>
      </c>
      <c r="AF3474">
        <v>-0.41971017650108899</v>
      </c>
      <c r="AG3474">
        <v>-7.7616000000000102E-2</v>
      </c>
      <c r="AH3474">
        <v>0.72006431079223499</v>
      </c>
      <c r="AI3474">
        <v>95.320351764721494</v>
      </c>
      <c r="AJ3474">
        <v>120.236999724564</v>
      </c>
      <c r="AK3474">
        <v>0.83706241546928295</v>
      </c>
      <c r="AL3474">
        <v>94.618714186754303</v>
      </c>
      <c r="AM3474">
        <v>115.446543497159</v>
      </c>
      <c r="AN3474">
        <v>0.99999997361482396</v>
      </c>
    </row>
    <row r="3475" spans="1:40" x14ac:dyDescent="0.25">
      <c r="A3475" t="str">
        <f>"20190303153837355"</f>
        <v>20190303153837355</v>
      </c>
      <c r="B3475" t="str">
        <f>"1551598717352215"</f>
        <v>1551598717352215</v>
      </c>
      <c r="C3475" t="s">
        <v>40</v>
      </c>
      <c r="D3475">
        <v>4.746931</v>
      </c>
      <c r="E3475">
        <v>0.48358649999999997</v>
      </c>
      <c r="F3475" t="s">
        <v>44</v>
      </c>
      <c r="G3475">
        <v>-491.09559999999999</v>
      </c>
      <c r="H3475">
        <v>1.0500860000000001</v>
      </c>
      <c r="I3475">
        <v>277.38909999999998</v>
      </c>
      <c r="J3475">
        <v>-490.916</v>
      </c>
      <c r="K3475">
        <v>1.127567</v>
      </c>
      <c r="L3475">
        <v>278.20010000000002</v>
      </c>
      <c r="M3475">
        <v>-0.67933359999999998</v>
      </c>
      <c r="N3475">
        <v>-1.541347E-2</v>
      </c>
      <c r="O3475">
        <v>-0.73366779999999998</v>
      </c>
      <c r="P3475">
        <v>-0.296045</v>
      </c>
      <c r="Q3475">
        <v>-8.7722339999999996E-2</v>
      </c>
      <c r="R3475">
        <v>-0.95113749999999997</v>
      </c>
      <c r="S3475">
        <v>-0.7790222</v>
      </c>
      <c r="T3475">
        <v>-0.2514091</v>
      </c>
      <c r="U3475">
        <v>-2.889465</v>
      </c>
      <c r="V3475">
        <v>-0.42780069999999998</v>
      </c>
      <c r="W3475">
        <v>-8.0469620000000006E-2</v>
      </c>
      <c r="X3475">
        <v>0.90028390000000003</v>
      </c>
      <c r="Y3475">
        <v>-0.46460590000000002</v>
      </c>
      <c r="Z3475">
        <v>3.3582689999999998E-2</v>
      </c>
      <c r="AA3475">
        <v>0.88488049999999996</v>
      </c>
      <c r="AB3475">
        <v>17</v>
      </c>
      <c r="AC3475">
        <v>-0.17959999999999299</v>
      </c>
      <c r="AD3475">
        <v>-7.7480999999999897E-2</v>
      </c>
      <c r="AE3475">
        <v>-0.81100000000003503</v>
      </c>
      <c r="AF3475">
        <v>-0.415606501223861</v>
      </c>
      <c r="AG3475">
        <v>-7.7480999999999897E-2</v>
      </c>
      <c r="AH3475">
        <v>0.71091257306813105</v>
      </c>
      <c r="AI3475">
        <v>95.375094997983695</v>
      </c>
      <c r="AJ3475">
        <v>120.31097740158999</v>
      </c>
      <c r="AK3475">
        <v>0.82712076250502298</v>
      </c>
      <c r="AL3475">
        <v>94.615560242793805</v>
      </c>
      <c r="AM3475">
        <v>115.416329304637</v>
      </c>
      <c r="AN3475">
        <v>0.99999994963132099</v>
      </c>
    </row>
    <row r="3476" spans="1:40" x14ac:dyDescent="0.25">
      <c r="A3476" t="str">
        <f>"20190303153837366"</f>
        <v>20190303153837366</v>
      </c>
      <c r="B3476" t="str">
        <f>"1551598717361975"</f>
        <v>1551598717361975</v>
      </c>
      <c r="C3476" t="s">
        <v>40</v>
      </c>
      <c r="D3476">
        <v>4.7440889999999998</v>
      </c>
      <c r="E3476">
        <v>0.483906</v>
      </c>
      <c r="F3476" t="s">
        <v>44</v>
      </c>
      <c r="G3476">
        <v>-491.15550000000002</v>
      </c>
      <c r="H3476">
        <v>1.0482279999999999</v>
      </c>
      <c r="I3476">
        <v>277.29270000000002</v>
      </c>
      <c r="J3476">
        <v>-490.96910000000003</v>
      </c>
      <c r="K3476">
        <v>1.1276250000000001</v>
      </c>
      <c r="L3476">
        <v>278.13040000000001</v>
      </c>
      <c r="M3476">
        <v>-0.67387379999999997</v>
      </c>
      <c r="N3476">
        <v>-1.54506E-2</v>
      </c>
      <c r="O3476">
        <v>-0.73868500000000004</v>
      </c>
      <c r="P3476">
        <v>-0.28895989999999999</v>
      </c>
      <c r="Q3476">
        <v>-8.7802920000000007E-2</v>
      </c>
      <c r="R3476">
        <v>-0.9533064</v>
      </c>
      <c r="S3476">
        <v>-0.76303100000000001</v>
      </c>
      <c r="T3476">
        <v>-0.25291190000000002</v>
      </c>
      <c r="U3476">
        <v>-2.8932500000000001</v>
      </c>
      <c r="V3476">
        <v>-0.42780760000000001</v>
      </c>
      <c r="W3476">
        <v>-8.0566760000000001E-2</v>
      </c>
      <c r="X3476">
        <v>0.90027199999999996</v>
      </c>
      <c r="Y3476">
        <v>-0.4629046</v>
      </c>
      <c r="Z3476">
        <v>3.438679E-2</v>
      </c>
      <c r="AA3476">
        <v>0.88574089999999905</v>
      </c>
      <c r="AB3476">
        <v>17</v>
      </c>
      <c r="AC3476">
        <v>-0.18639999999999099</v>
      </c>
      <c r="AD3476">
        <v>-7.9396999999999898E-2</v>
      </c>
      <c r="AE3476">
        <v>-0.83769999999998301</v>
      </c>
      <c r="AF3476">
        <v>-0.42324142580706797</v>
      </c>
      <c r="AG3476">
        <v>-7.9396999999999898E-2</v>
      </c>
      <c r="AH3476">
        <v>0.73817695908076697</v>
      </c>
      <c r="AI3476">
        <v>95.330773300712494</v>
      </c>
      <c r="AJ3476">
        <v>119.82825116495199</v>
      </c>
      <c r="AK3476">
        <v>0.85460073194792496</v>
      </c>
      <c r="AL3476">
        <v>94.621143806824406</v>
      </c>
      <c r="AM3476">
        <v>115.416981132587</v>
      </c>
      <c r="AN3476">
        <v>1.00000000970932</v>
      </c>
    </row>
    <row r="3477" spans="1:40" x14ac:dyDescent="0.25">
      <c r="A3477" t="str">
        <f>"20190303153837379"</f>
        <v>20190303153837379</v>
      </c>
      <c r="B3477" t="str">
        <f>"1551598717371733"</f>
        <v>1551598717371733</v>
      </c>
      <c r="C3477" t="s">
        <v>40</v>
      </c>
      <c r="D3477">
        <v>4.739045</v>
      </c>
      <c r="E3477">
        <v>0.48423899999999998</v>
      </c>
      <c r="F3477" t="s">
        <v>44</v>
      </c>
      <c r="G3477">
        <v>-491.20319999999998</v>
      </c>
      <c r="H3477">
        <v>1.047544</v>
      </c>
      <c r="I3477">
        <v>277.21949999999998</v>
      </c>
      <c r="J3477">
        <v>-491.02120000000002</v>
      </c>
      <c r="K3477">
        <v>1.1276809999999999</v>
      </c>
      <c r="L3477">
        <v>278.06009999999998</v>
      </c>
      <c r="M3477">
        <v>-0.66830940000000005</v>
      </c>
      <c r="N3477">
        <v>-1.5488089999999999E-2</v>
      </c>
      <c r="O3477">
        <v>-0.74372229999999995</v>
      </c>
      <c r="P3477">
        <v>-0.28143829999999997</v>
      </c>
      <c r="Q3477">
        <v>-8.8277549999999996E-2</v>
      </c>
      <c r="R3477">
        <v>-0.95551030000000003</v>
      </c>
      <c r="S3477">
        <v>-0.74414060000000004</v>
      </c>
      <c r="T3477">
        <v>-0.25468829999999998</v>
      </c>
      <c r="U3477">
        <v>-2.8979490000000001</v>
      </c>
      <c r="V3477">
        <v>-0.42809760000000002</v>
      </c>
      <c r="W3477">
        <v>-8.1066360000000004E-2</v>
      </c>
      <c r="X3477">
        <v>0.90008929999999998</v>
      </c>
      <c r="Y3477">
        <v>-0.46201940000000002</v>
      </c>
      <c r="Z3477">
        <v>3.5216169999999998E-2</v>
      </c>
      <c r="AA3477">
        <v>0.88617029999999997</v>
      </c>
      <c r="AB3477">
        <v>17</v>
      </c>
      <c r="AC3477">
        <v>-0.181999999999959</v>
      </c>
      <c r="AD3477">
        <v>-8.0136999999999903E-2</v>
      </c>
      <c r="AE3477">
        <v>-0.84059999999999402</v>
      </c>
      <c r="AF3477">
        <v>-0.42280399059382101</v>
      </c>
      <c r="AG3477">
        <v>-8.0136999999999903E-2</v>
      </c>
      <c r="AH3477">
        <v>0.74046647980632496</v>
      </c>
      <c r="AI3477">
        <v>95.369064450049095</v>
      </c>
      <c r="AJ3477">
        <v>119.72622867596201</v>
      </c>
      <c r="AK3477">
        <v>0.85643199435088302</v>
      </c>
      <c r="AL3477">
        <v>94.649862628595301</v>
      </c>
      <c r="AM3477">
        <v>115.436545898894</v>
      </c>
      <c r="AN3477">
        <v>1.00000002891194</v>
      </c>
    </row>
    <row r="3478" spans="1:40" x14ac:dyDescent="0.25">
      <c r="A3478" t="str">
        <f>"20190303153837391"</f>
        <v>20190303153837391</v>
      </c>
      <c r="B3478" t="str">
        <f>"1551598717381494"</f>
        <v>1551598717381494</v>
      </c>
      <c r="C3478" t="s">
        <v>40</v>
      </c>
      <c r="D3478">
        <v>4.7016879999999999</v>
      </c>
      <c r="E3478">
        <v>0.48461399999999999</v>
      </c>
      <c r="F3478" t="s">
        <v>44</v>
      </c>
      <c r="G3478">
        <v>-491.24759999999998</v>
      </c>
      <c r="H3478">
        <v>1.047175</v>
      </c>
      <c r="I3478">
        <v>277.15350000000001</v>
      </c>
      <c r="J3478">
        <v>-491.07139999999998</v>
      </c>
      <c r="K3478">
        <v>1.1277349999999999</v>
      </c>
      <c r="L3478">
        <v>277.99180000000001</v>
      </c>
      <c r="M3478">
        <v>-0.66285039999999995</v>
      </c>
      <c r="N3478">
        <v>-1.5524090000000001E-2</v>
      </c>
      <c r="O3478">
        <v>-0.74859100000000001</v>
      </c>
      <c r="P3478">
        <v>-0.2742329</v>
      </c>
      <c r="Q3478">
        <v>-8.8395109999999999E-2</v>
      </c>
      <c r="R3478">
        <v>-0.95759209999999995</v>
      </c>
      <c r="S3478">
        <v>-0.72396850000000001</v>
      </c>
      <c r="T3478">
        <v>-0.25765850000000001</v>
      </c>
      <c r="U3478">
        <v>-2.902679</v>
      </c>
      <c r="V3478">
        <v>-0.42827460000000001</v>
      </c>
      <c r="W3478">
        <v>-8.1206249999999994E-2</v>
      </c>
      <c r="X3478">
        <v>0.89999240000000003</v>
      </c>
      <c r="Y3478">
        <v>-0.46167249999999999</v>
      </c>
      <c r="Z3478">
        <v>3.6253010000000002E-2</v>
      </c>
      <c r="AA3478">
        <v>0.88630929999999997</v>
      </c>
      <c r="AB3478">
        <v>17</v>
      </c>
      <c r="AC3478">
        <v>-0.176199999999994</v>
      </c>
      <c r="AD3478">
        <v>-8.0559999999999896E-2</v>
      </c>
      <c r="AE3478">
        <v>-0.83830000000000304</v>
      </c>
      <c r="AF3478">
        <v>-0.42010128362250498</v>
      </c>
      <c r="AG3478">
        <v>-8.0559999999999896E-2</v>
      </c>
      <c r="AH3478">
        <v>0.73790148582871795</v>
      </c>
      <c r="AI3478">
        <v>95.419775883250296</v>
      </c>
      <c r="AJ3478">
        <v>119.653678387627</v>
      </c>
      <c r="AK3478">
        <v>0.85292063223344905</v>
      </c>
      <c r="AL3478">
        <v>94.657904597529495</v>
      </c>
      <c r="AM3478">
        <v>115.448127043554</v>
      </c>
      <c r="AN3478">
        <v>0.99999995405098996</v>
      </c>
    </row>
    <row r="3479" spans="1:40" x14ac:dyDescent="0.25">
      <c r="A3479" t="str">
        <f>"20190303153837402"</f>
        <v>20190303153837402</v>
      </c>
      <c r="B3479" t="str">
        <f>"1551598717392230"</f>
        <v>1551598717392230</v>
      </c>
      <c r="C3479" t="s">
        <v>40</v>
      </c>
      <c r="D3479">
        <v>4.6590809999999996</v>
      </c>
      <c r="E3479">
        <v>0.48460959999999997</v>
      </c>
      <c r="F3479" t="s">
        <v>44</v>
      </c>
      <c r="G3479">
        <v>-491.29899999999998</v>
      </c>
      <c r="H3479">
        <v>1.0444340000000001</v>
      </c>
      <c r="I3479">
        <v>277.05439999999999</v>
      </c>
      <c r="J3479">
        <v>-491.12090000000001</v>
      </c>
      <c r="K3479">
        <v>1.1277900000000001</v>
      </c>
      <c r="L3479">
        <v>277.9228</v>
      </c>
      <c r="M3479">
        <v>-0.65726629999999997</v>
      </c>
      <c r="N3479">
        <v>-1.556078E-2</v>
      </c>
      <c r="O3479">
        <v>-0.75349769999999905</v>
      </c>
      <c r="P3479">
        <v>-0.26675470000000001</v>
      </c>
      <c r="Q3479">
        <v>-8.8596469999999997E-2</v>
      </c>
      <c r="R3479">
        <v>-0.95968379999999998</v>
      </c>
      <c r="S3479">
        <v>-0.70516969999999901</v>
      </c>
      <c r="T3479">
        <v>-0.2582701</v>
      </c>
      <c r="U3479">
        <v>-2.9070429999999998</v>
      </c>
      <c r="V3479">
        <v>-0.42857899999999999</v>
      </c>
      <c r="W3479">
        <v>-8.1434370000000006E-2</v>
      </c>
      <c r="X3479">
        <v>0.89982689999999999</v>
      </c>
      <c r="Y3479">
        <v>-0.4608022</v>
      </c>
      <c r="Z3479">
        <v>3.6862249999999999E-2</v>
      </c>
      <c r="AA3479">
        <v>0.886737</v>
      </c>
      <c r="AB3479">
        <v>17</v>
      </c>
      <c r="AC3479">
        <v>-0.17810000000002801</v>
      </c>
      <c r="AD3479">
        <v>-8.3355999999999902E-2</v>
      </c>
      <c r="AE3479">
        <v>-0.86840000000000805</v>
      </c>
      <c r="AF3479">
        <v>-0.43279828372330797</v>
      </c>
      <c r="AG3479">
        <v>-8.3355999999999902E-2</v>
      </c>
      <c r="AH3479">
        <v>0.76472839980985396</v>
      </c>
      <c r="AI3479">
        <v>95.418989907514501</v>
      </c>
      <c r="AJ3479">
        <v>119.507705262248</v>
      </c>
      <c r="AK3479">
        <v>0.88265061185362603</v>
      </c>
      <c r="AL3479">
        <v>94.671018208759705</v>
      </c>
      <c r="AM3479">
        <v>115.46801628521099</v>
      </c>
      <c r="AN3479">
        <v>0.99999998291095304</v>
      </c>
    </row>
    <row r="3480" spans="1:40" x14ac:dyDescent="0.25">
      <c r="A3480" t="str">
        <f>"20190303153837413"</f>
        <v>20190303153837413</v>
      </c>
      <c r="B3480" t="str">
        <f>"1551598717401990"</f>
        <v>1551598717401990</v>
      </c>
      <c r="C3480" t="s">
        <v>40</v>
      </c>
      <c r="D3480">
        <v>4.6682379999999997</v>
      </c>
      <c r="E3480">
        <v>0.48471360000000002</v>
      </c>
      <c r="F3480" t="s">
        <v>44</v>
      </c>
      <c r="G3480">
        <v>-491.33539999999999</v>
      </c>
      <c r="H3480">
        <v>1.046365</v>
      </c>
      <c r="I3480">
        <v>277.0077</v>
      </c>
      <c r="J3480">
        <v>-491.16660000000002</v>
      </c>
      <c r="K3480">
        <v>1.1278379999999999</v>
      </c>
      <c r="L3480">
        <v>277.85809999999998</v>
      </c>
      <c r="M3480">
        <v>-0.65199180000000001</v>
      </c>
      <c r="N3480">
        <v>-1.5594749999999999E-2</v>
      </c>
      <c r="O3480">
        <v>-0.75806580000000001</v>
      </c>
      <c r="P3480">
        <v>-0.2600768</v>
      </c>
      <c r="Q3480">
        <v>-8.9036809999999994E-2</v>
      </c>
      <c r="R3480">
        <v>-0.96147439999999995</v>
      </c>
      <c r="S3480">
        <v>-0.6824036</v>
      </c>
      <c r="T3480">
        <v>-0.2591234</v>
      </c>
      <c r="U3480">
        <v>-2.9124759999999998</v>
      </c>
      <c r="V3480">
        <v>-0.42851280000000003</v>
      </c>
      <c r="W3480">
        <v>-8.1891560000000002E-2</v>
      </c>
      <c r="X3480">
        <v>0.89981699999999998</v>
      </c>
      <c r="Y3480">
        <v>-0.4615494</v>
      </c>
      <c r="Z3480">
        <v>3.742376E-2</v>
      </c>
      <c r="AA3480">
        <v>0.88632479999999902</v>
      </c>
      <c r="AB3480">
        <v>17</v>
      </c>
      <c r="AC3480">
        <v>-0.168799999999976</v>
      </c>
      <c r="AD3480">
        <v>-8.1472999999999907E-2</v>
      </c>
      <c r="AE3480">
        <v>-0.85039999999997895</v>
      </c>
      <c r="AF3480">
        <v>-0.42281039674608001</v>
      </c>
      <c r="AG3480">
        <v>-8.1472999999999907E-2</v>
      </c>
      <c r="AH3480">
        <v>0.74819988827171002</v>
      </c>
      <c r="AI3480">
        <v>95.415567656559503</v>
      </c>
      <c r="AJ3480">
        <v>119.470944454628</v>
      </c>
      <c r="AK3480">
        <v>0.86325520799783095</v>
      </c>
      <c r="AL3480">
        <v>94.697300780742495</v>
      </c>
      <c r="AM3480">
        <v>115.464825079599</v>
      </c>
      <c r="AN3480">
        <v>1.0000000404260301</v>
      </c>
    </row>
    <row r="3481" spans="1:40" x14ac:dyDescent="0.25">
      <c r="A3481" t="str">
        <f>"20190303153837425"</f>
        <v>20190303153837425</v>
      </c>
      <c r="B3481" t="str">
        <f>"1551598717411749"</f>
        <v>1551598717411749</v>
      </c>
      <c r="C3481" t="s">
        <v>40</v>
      </c>
      <c r="D3481">
        <v>4.6402099999999997</v>
      </c>
      <c r="E3481">
        <v>0.48485899999999998</v>
      </c>
      <c r="F3481" t="s">
        <v>44</v>
      </c>
      <c r="G3481">
        <v>-491.37610000000001</v>
      </c>
      <c r="H3481">
        <v>1.0456749999999999</v>
      </c>
      <c r="I3481">
        <v>276.93700000000001</v>
      </c>
      <c r="J3481">
        <v>-491.2149</v>
      </c>
      <c r="K3481">
        <v>1.1278900000000001</v>
      </c>
      <c r="L3481">
        <v>277.78870000000001</v>
      </c>
      <c r="M3481">
        <v>-0.64627089999999998</v>
      </c>
      <c r="N3481">
        <v>-1.5631030000000001E-2</v>
      </c>
      <c r="O3481">
        <v>-0.76294799999999996</v>
      </c>
      <c r="P3481">
        <v>-0.25332919999999998</v>
      </c>
      <c r="Q3481">
        <v>-8.9873399999999895E-2</v>
      </c>
      <c r="R3481">
        <v>-0.96319630000000001</v>
      </c>
      <c r="S3481">
        <v>-0.66253660000000003</v>
      </c>
      <c r="T3481">
        <v>-0.26010499999999998</v>
      </c>
      <c r="U3481">
        <v>-2.9169010000000002</v>
      </c>
      <c r="V3481">
        <v>-0.42798120000000001</v>
      </c>
      <c r="W3481">
        <v>-8.2734959999999996E-2</v>
      </c>
      <c r="X3481">
        <v>0.89999280000000004</v>
      </c>
      <c r="Y3481">
        <v>-0.46091369999999998</v>
      </c>
      <c r="Z3481">
        <v>3.8103070000000003E-2</v>
      </c>
      <c r="AA3481">
        <v>0.88662659999999904</v>
      </c>
      <c r="AB3481">
        <v>17</v>
      </c>
      <c r="AC3481">
        <v>-0.161200000000008</v>
      </c>
      <c r="AD3481">
        <v>-8.2215000000000094E-2</v>
      </c>
      <c r="AE3481">
        <v>-0.85169999999999302</v>
      </c>
      <c r="AF3481">
        <v>-0.42368252830018199</v>
      </c>
      <c r="AG3481">
        <v>-8.2215000000000094E-2</v>
      </c>
      <c r="AH3481">
        <v>0.74735071200596404</v>
      </c>
      <c r="AI3481">
        <v>95.466547951367801</v>
      </c>
      <c r="AJ3481">
        <v>119.54944670889201</v>
      </c>
      <c r="AK3481">
        <v>0.86301754196983504</v>
      </c>
      <c r="AL3481">
        <v>94.745788725616507</v>
      </c>
      <c r="AM3481">
        <v>115.432885411432</v>
      </c>
      <c r="AN3481">
        <v>1.0000000106057401</v>
      </c>
    </row>
    <row r="3482" spans="1:40" x14ac:dyDescent="0.25">
      <c r="A3482" t="str">
        <f>"20190303153837438"</f>
        <v>20190303153837438</v>
      </c>
      <c r="B3482" t="str">
        <f>"1551598717432246"</f>
        <v>1551598717432246</v>
      </c>
      <c r="C3482" t="s">
        <v>40</v>
      </c>
      <c r="D3482">
        <v>4.6722199999999896</v>
      </c>
      <c r="E3482">
        <v>0.48530440000000002</v>
      </c>
      <c r="F3482" t="s">
        <v>44</v>
      </c>
      <c r="G3482">
        <v>-491.41919999999999</v>
      </c>
      <c r="H3482">
        <v>1.0449919999999999</v>
      </c>
      <c r="I3482">
        <v>276.86279999999999</v>
      </c>
      <c r="J3482">
        <v>-491.26350000000002</v>
      </c>
      <c r="K3482">
        <v>1.1279399999999999</v>
      </c>
      <c r="L3482">
        <v>277.71730000000002</v>
      </c>
      <c r="M3482">
        <v>-0.64032259999999996</v>
      </c>
      <c r="N3482">
        <v>-1.5668189999999999E-2</v>
      </c>
      <c r="O3482">
        <v>-0.76794619999999902</v>
      </c>
      <c r="P3482">
        <v>-0.24660660000000001</v>
      </c>
      <c r="Q3482">
        <v>-9.049691E-2</v>
      </c>
      <c r="R3482">
        <v>-0.96488090000000004</v>
      </c>
      <c r="S3482">
        <v>-0.64358519999999997</v>
      </c>
      <c r="T3482">
        <v>-0.26142599999999999</v>
      </c>
      <c r="U3482">
        <v>-2.9209900000000002</v>
      </c>
      <c r="V3482">
        <v>-0.42720809999999998</v>
      </c>
      <c r="W3482">
        <v>-8.3358329999999994E-2</v>
      </c>
      <c r="X3482">
        <v>0.90030250000000001</v>
      </c>
      <c r="Y3482">
        <v>-0.45977190000000001</v>
      </c>
      <c r="Z3482">
        <v>3.8887709999999999E-2</v>
      </c>
      <c r="AA3482">
        <v>0.88718519999999901</v>
      </c>
      <c r="AB3482">
        <v>17</v>
      </c>
      <c r="AC3482">
        <v>-0.155699999999967</v>
      </c>
      <c r="AD3482">
        <v>-8.2947999999999994E-2</v>
      </c>
      <c r="AE3482">
        <v>-0.85450000000003001</v>
      </c>
      <c r="AF3482">
        <v>-0.42377406549662699</v>
      </c>
      <c r="AG3482">
        <v>-8.2947999999999994E-2</v>
      </c>
      <c r="AH3482">
        <v>0.74916855717245501</v>
      </c>
      <c r="AI3482">
        <v>95.504626275661494</v>
      </c>
      <c r="AJ3482">
        <v>119.495068937005</v>
      </c>
      <c r="AK3482">
        <v>0.86470709280507096</v>
      </c>
      <c r="AL3482">
        <v>94.781629138914894</v>
      </c>
      <c r="AM3482">
        <v>115.38509598419699</v>
      </c>
      <c r="AN3482">
        <v>0.99999998169612403</v>
      </c>
    </row>
    <row r="3483" spans="1:40" x14ac:dyDescent="0.25">
      <c r="A3483" t="str">
        <f>"20190303153837451"</f>
        <v>20190303153837451</v>
      </c>
      <c r="B3483" t="str">
        <f>"1551598717442006"</f>
        <v>1551598717442006</v>
      </c>
      <c r="C3483" t="s">
        <v>40</v>
      </c>
      <c r="D3483">
        <v>4.7676420000000004</v>
      </c>
      <c r="E3483">
        <v>0.48538609999999999</v>
      </c>
      <c r="F3483" t="s">
        <v>44</v>
      </c>
      <c r="G3483">
        <v>-491.46199999999999</v>
      </c>
      <c r="H3483">
        <v>1.045177</v>
      </c>
      <c r="I3483">
        <v>276.79079999999999</v>
      </c>
      <c r="J3483">
        <v>-491.31760000000003</v>
      </c>
      <c r="K3483">
        <v>1.1279889999999999</v>
      </c>
      <c r="L3483">
        <v>277.63659999999999</v>
      </c>
      <c r="M3483">
        <v>-0.63352730000000002</v>
      </c>
      <c r="N3483">
        <v>-1.57097E-2</v>
      </c>
      <c r="O3483">
        <v>-0.77356099999999905</v>
      </c>
      <c r="P3483">
        <v>-0.23890239999999999</v>
      </c>
      <c r="Q3483">
        <v>-9.1026830000000003E-2</v>
      </c>
      <c r="R3483">
        <v>-0.96676799999999996</v>
      </c>
      <c r="S3483">
        <v>-0.62670899999999996</v>
      </c>
      <c r="T3483">
        <v>-0.26125530000000002</v>
      </c>
      <c r="U3483">
        <v>-2.9245000000000001</v>
      </c>
      <c r="V3483">
        <v>-0.42640289999999997</v>
      </c>
      <c r="W3483">
        <v>-8.3888939999999995E-2</v>
      </c>
      <c r="X3483">
        <v>0.90063490000000002</v>
      </c>
      <c r="Y3483">
        <v>-0.45706619999999998</v>
      </c>
      <c r="Z3483">
        <v>3.9492909999999999E-2</v>
      </c>
      <c r="AA3483">
        <v>0.88855550000000005</v>
      </c>
      <c r="AB3483">
        <v>17</v>
      </c>
      <c r="AC3483">
        <v>-0.144399999999961</v>
      </c>
      <c r="AD3483">
        <v>-8.2811999999999802E-2</v>
      </c>
      <c r="AE3483">
        <v>-0.845799999999997</v>
      </c>
      <c r="AF3483">
        <v>-0.42027271749379302</v>
      </c>
      <c r="AG3483">
        <v>-8.2811999999999802E-2</v>
      </c>
      <c r="AH3483">
        <v>0.73896784332430099</v>
      </c>
      <c r="AI3483">
        <v>95.563755161207297</v>
      </c>
      <c r="AJ3483">
        <v>119.62816137637699</v>
      </c>
      <c r="AK3483">
        <v>0.85414311323160996</v>
      </c>
      <c r="AL3483">
        <v>94.812137598875907</v>
      </c>
      <c r="AM3483">
        <v>115.335074891047</v>
      </c>
      <c r="AN3483">
        <v>1.0000000052403699</v>
      </c>
    </row>
    <row r="3484" spans="1:40" x14ac:dyDescent="0.25">
      <c r="A3484" t="str">
        <f>"20190303153837464"</f>
        <v>20190303153837464</v>
      </c>
      <c r="B3484" t="str">
        <f>"1551598717451766"</f>
        <v>1551598717451766</v>
      </c>
      <c r="C3484" t="s">
        <v>40</v>
      </c>
      <c r="D3484">
        <v>4.7291040000000004</v>
      </c>
      <c r="E3484">
        <v>0.48547859999999998</v>
      </c>
      <c r="F3484" t="s">
        <v>44</v>
      </c>
      <c r="G3484">
        <v>-491.51159999999999</v>
      </c>
      <c r="H3484">
        <v>1.0432490000000001</v>
      </c>
      <c r="I3484">
        <v>276.6961</v>
      </c>
      <c r="J3484">
        <v>-491.36959999999999</v>
      </c>
      <c r="K3484">
        <v>1.1280429999999999</v>
      </c>
      <c r="L3484">
        <v>277.55689999999998</v>
      </c>
      <c r="M3484">
        <v>-0.62672349999999999</v>
      </c>
      <c r="N3484">
        <v>-1.5750690000000001E-2</v>
      </c>
      <c r="O3484">
        <v>-0.77908279999999996</v>
      </c>
      <c r="P3484">
        <v>-0.23135720000000001</v>
      </c>
      <c r="Q3484">
        <v>-9.1590080000000004E-2</v>
      </c>
      <c r="R3484">
        <v>-0.96854810000000002</v>
      </c>
      <c r="S3484">
        <v>-0.60360719999999901</v>
      </c>
      <c r="T3484">
        <v>-0.26385140000000001</v>
      </c>
      <c r="U3484">
        <v>-2.9290769999999999</v>
      </c>
      <c r="V3484">
        <v>-0.42548150000000001</v>
      </c>
      <c r="W3484">
        <v>-8.4448869999999995E-2</v>
      </c>
      <c r="X3484">
        <v>0.90101830000000005</v>
      </c>
      <c r="Y3484">
        <v>-0.45627450000000003</v>
      </c>
      <c r="Z3484">
        <v>4.059364E-2</v>
      </c>
      <c r="AA3484">
        <v>0.8889127</v>
      </c>
      <c r="AB3484">
        <v>16</v>
      </c>
      <c r="AC3484">
        <v>-0.14199999999999499</v>
      </c>
      <c r="AD3484">
        <v>-8.4794000000000203E-2</v>
      </c>
      <c r="AE3484">
        <v>-0.86079999999998302</v>
      </c>
      <c r="AF3484">
        <v>-0.424893240587076</v>
      </c>
      <c r="AG3484">
        <v>-8.4794000000000203E-2</v>
      </c>
      <c r="AH3484">
        <v>0.752613813208175</v>
      </c>
      <c r="AI3484">
        <v>95.603390259700404</v>
      </c>
      <c r="AJ3484">
        <v>119.447195514372</v>
      </c>
      <c r="AK3484">
        <v>0.86841916155986398</v>
      </c>
      <c r="AL3484">
        <v>94.844333265726107</v>
      </c>
      <c r="AM3484">
        <v>115.27775531038201</v>
      </c>
      <c r="AN3484">
        <v>1.0000000477107001</v>
      </c>
    </row>
    <row r="3485" spans="1:40" x14ac:dyDescent="0.25">
      <c r="A3485" t="str">
        <f>"20190303153837481"</f>
        <v>20190303153837481</v>
      </c>
      <c r="B3485" t="str">
        <f>"1551598717472262"</f>
        <v>1551598717472262</v>
      </c>
      <c r="C3485" t="s">
        <v>40</v>
      </c>
      <c r="D3485">
        <v>4.7226530000000002</v>
      </c>
      <c r="E3485">
        <v>0.4859272</v>
      </c>
      <c r="F3485" t="s">
        <v>44</v>
      </c>
      <c r="G3485">
        <v>-491.55680000000001</v>
      </c>
      <c r="H3485">
        <v>1.042306</v>
      </c>
      <c r="I3485">
        <v>276.61309999999997</v>
      </c>
      <c r="J3485">
        <v>-491.42910000000001</v>
      </c>
      <c r="K3485">
        <v>1.1281080000000001</v>
      </c>
      <c r="L3485">
        <v>277.46339999999998</v>
      </c>
      <c r="M3485">
        <v>-0.6186526</v>
      </c>
      <c r="N3485">
        <v>-1.5798050000000001E-2</v>
      </c>
      <c r="O3485">
        <v>-0.78550589999999998</v>
      </c>
      <c r="P3485">
        <v>-0.22314590000000001</v>
      </c>
      <c r="Q3485">
        <v>-9.2049790000000006E-2</v>
      </c>
      <c r="R3485">
        <v>-0.9704294</v>
      </c>
      <c r="S3485">
        <v>-0.58145139999999995</v>
      </c>
      <c r="T3485">
        <v>-0.26643109999999998</v>
      </c>
      <c r="U3485">
        <v>-2.9333499999999999</v>
      </c>
      <c r="V3485">
        <v>-0.42377350000000003</v>
      </c>
      <c r="W3485">
        <v>-8.4885459999999996E-2</v>
      </c>
      <c r="X3485">
        <v>0.90178190000000003</v>
      </c>
      <c r="Y3485">
        <v>-0.45381139999999998</v>
      </c>
      <c r="Z3485">
        <v>4.1857440000000003E-2</v>
      </c>
      <c r="AA3485">
        <v>0.89011409999999902</v>
      </c>
      <c r="AB3485">
        <v>16</v>
      </c>
      <c r="AC3485">
        <v>-0.127700000000004</v>
      </c>
      <c r="AD3485">
        <v>-8.5801999999999906E-2</v>
      </c>
      <c r="AE3485">
        <v>-0.85030000000000405</v>
      </c>
      <c r="AF3485">
        <v>-0.42158623351845598</v>
      </c>
      <c r="AG3485">
        <v>-8.5801999999999906E-2</v>
      </c>
      <c r="AH3485">
        <v>0.73964552654889504</v>
      </c>
      <c r="AI3485">
        <v>95.754980508996297</v>
      </c>
      <c r="AJ3485">
        <v>119.682455131135</v>
      </c>
      <c r="AK3485">
        <v>0.85567075469485998</v>
      </c>
      <c r="AL3485">
        <v>94.869438123865606</v>
      </c>
      <c r="AM3485">
        <v>115.17019420918299</v>
      </c>
      <c r="AN3485">
        <v>1.00000005789463</v>
      </c>
    </row>
    <row r="3486" spans="1:40" x14ac:dyDescent="0.25">
      <c r="A3486" t="str">
        <f>"20190303153837495"</f>
        <v>20190303153837495</v>
      </c>
      <c r="B3486" t="str">
        <f>"1551598717482021"</f>
        <v>1551598717482021</v>
      </c>
      <c r="C3486" t="s">
        <v>40</v>
      </c>
      <c r="D3486">
        <v>4.6903629999999996</v>
      </c>
      <c r="E3486">
        <v>0.48619430000000002</v>
      </c>
      <c r="F3486" t="s">
        <v>44</v>
      </c>
      <c r="G3486">
        <v>-491.61110000000002</v>
      </c>
      <c r="H3486">
        <v>1.04122</v>
      </c>
      <c r="I3486">
        <v>276.51010000000002</v>
      </c>
      <c r="J3486">
        <v>-491.48259999999999</v>
      </c>
      <c r="K3486">
        <v>1.1281669999999999</v>
      </c>
      <c r="L3486">
        <v>277.37759999999997</v>
      </c>
      <c r="M3486">
        <v>-0.61115430000000004</v>
      </c>
      <c r="N3486">
        <v>-1.5841060000000001E-2</v>
      </c>
      <c r="O3486">
        <v>-0.79135299999999997</v>
      </c>
      <c r="P3486">
        <v>-0.2147877</v>
      </c>
      <c r="Q3486">
        <v>-9.2609319999999995E-2</v>
      </c>
      <c r="R3486">
        <v>-0.97226000000000001</v>
      </c>
      <c r="S3486">
        <v>-0.56033330000000003</v>
      </c>
      <c r="T3486">
        <v>-0.26768710000000001</v>
      </c>
      <c r="U3486">
        <v>-2.9371640000000001</v>
      </c>
      <c r="V3486">
        <v>-0.42290699999999998</v>
      </c>
      <c r="W3486">
        <v>-8.5438819999999999E-2</v>
      </c>
      <c r="X3486">
        <v>0.9021363</v>
      </c>
      <c r="Y3486">
        <v>-0.45173400000000002</v>
      </c>
      <c r="Z3486">
        <v>4.2784879999999997E-2</v>
      </c>
      <c r="AA3486">
        <v>0.89112619999999898</v>
      </c>
      <c r="AB3486">
        <v>16</v>
      </c>
      <c r="AC3486">
        <v>-0.12850000000003001</v>
      </c>
      <c r="AD3486">
        <v>-8.6946999999999802E-2</v>
      </c>
      <c r="AE3486">
        <v>-0.86749999999994998</v>
      </c>
      <c r="AF3486">
        <v>-0.42436978284479498</v>
      </c>
      <c r="AG3486">
        <v>-8.6946999999999802E-2</v>
      </c>
      <c r="AH3486">
        <v>0.75768019148453603</v>
      </c>
      <c r="AI3486">
        <v>95.717392978811901</v>
      </c>
      <c r="AJ3486">
        <v>119.252791144982</v>
      </c>
      <c r="AK3486">
        <v>0.87277074078407402</v>
      </c>
      <c r="AL3486">
        <v>94.901259136172499</v>
      </c>
      <c r="AM3486">
        <v>115.11642869704001</v>
      </c>
      <c r="AN3486">
        <v>1.0000000131948401</v>
      </c>
    </row>
    <row r="3487" spans="1:40" x14ac:dyDescent="0.25">
      <c r="A3487" t="str">
        <f>"20190303153837509"</f>
        <v>20190303153837509</v>
      </c>
      <c r="B3487" t="str">
        <f>"1551598717501541"</f>
        <v>1551598717501541</v>
      </c>
      <c r="C3487" t="s">
        <v>40</v>
      </c>
      <c r="D3487">
        <v>4.7117279999999999</v>
      </c>
      <c r="E3487">
        <v>0.4867281</v>
      </c>
      <c r="F3487" t="s">
        <v>44</v>
      </c>
      <c r="G3487">
        <v>-491.65800000000002</v>
      </c>
      <c r="H3487">
        <v>1.040281</v>
      </c>
      <c r="I3487">
        <v>276.41879999999998</v>
      </c>
      <c r="J3487">
        <v>-491.53399999999999</v>
      </c>
      <c r="K3487">
        <v>1.12822</v>
      </c>
      <c r="L3487">
        <v>277.29349999999999</v>
      </c>
      <c r="M3487">
        <v>-0.60370979999999996</v>
      </c>
      <c r="N3487">
        <v>-1.588295E-2</v>
      </c>
      <c r="O3487">
        <v>-0.79704609999999998</v>
      </c>
      <c r="P3487">
        <v>-0.2066741</v>
      </c>
      <c r="Q3487">
        <v>-9.3070449999999999E-2</v>
      </c>
      <c r="R3487">
        <v>-0.97397350000000005</v>
      </c>
      <c r="S3487">
        <v>-0.53692629999999997</v>
      </c>
      <c r="T3487">
        <v>-0.26950380000000002</v>
      </c>
      <c r="U3487">
        <v>-2.941284</v>
      </c>
      <c r="V3487">
        <v>-0.42193009999999997</v>
      </c>
      <c r="W3487">
        <v>-8.5889560000000004E-2</v>
      </c>
      <c r="X3487">
        <v>0.90255079999999999</v>
      </c>
      <c r="Y3487">
        <v>-0.45046249999999999</v>
      </c>
      <c r="Z3487">
        <v>4.37957E-2</v>
      </c>
      <c r="AA3487">
        <v>0.89172050000000003</v>
      </c>
      <c r="AB3487">
        <v>16</v>
      </c>
      <c r="AC3487">
        <v>-0.12400000000002299</v>
      </c>
      <c r="AD3487">
        <v>-8.7938999999999906E-2</v>
      </c>
      <c r="AE3487">
        <v>-0.87470000000001802</v>
      </c>
      <c r="AF3487">
        <v>-0.42507353946904503</v>
      </c>
      <c r="AG3487">
        <v>-8.7938999999999906E-2</v>
      </c>
      <c r="AH3487">
        <v>0.76455798587134605</v>
      </c>
      <c r="AI3487">
        <v>95.740500393839895</v>
      </c>
      <c r="AJ3487">
        <v>119.072874375336</v>
      </c>
      <c r="AK3487">
        <v>0.87918695135755498</v>
      </c>
      <c r="AL3487">
        <v>94.927180052148998</v>
      </c>
      <c r="AM3487">
        <v>115.05544289031501</v>
      </c>
      <c r="AN3487">
        <v>0.99999998619182096</v>
      </c>
    </row>
    <row r="3488" spans="1:40" x14ac:dyDescent="0.25">
      <c r="A3488" t="str">
        <f>"20190303153837523"</f>
        <v>20190303153837523</v>
      </c>
      <c r="B3488" t="str">
        <f>"1551598717512278"</f>
        <v>1551598717512278</v>
      </c>
      <c r="C3488" t="s">
        <v>40</v>
      </c>
      <c r="D3488">
        <v>4.7289960000000004</v>
      </c>
      <c r="E3488">
        <v>0.48697489999999999</v>
      </c>
      <c r="F3488" t="s">
        <v>42</v>
      </c>
      <c r="G3488">
        <v>-493.68180000000001</v>
      </c>
      <c r="H3488" s="1">
        <v>-3.3238030000000001E-6</v>
      </c>
      <c r="I3488">
        <v>265.05340000000001</v>
      </c>
      <c r="J3488">
        <v>-491.5865</v>
      </c>
      <c r="K3488">
        <v>1.1282719999999999</v>
      </c>
      <c r="L3488">
        <v>277.2045</v>
      </c>
      <c r="M3488">
        <v>-0.59573619999999905</v>
      </c>
      <c r="N3488">
        <v>-1.5926740000000002E-2</v>
      </c>
      <c r="O3488">
        <v>-0.80302240000000003</v>
      </c>
      <c r="P3488">
        <v>-0.1992313</v>
      </c>
      <c r="Q3488">
        <v>-9.4782140000000001E-2</v>
      </c>
      <c r="R3488">
        <v>-0.97535839999999996</v>
      </c>
      <c r="S3488">
        <v>-0.51669309999999902</v>
      </c>
      <c r="T3488">
        <v>-0.27141670000000001</v>
      </c>
      <c r="U3488">
        <v>-2.9445800000000002</v>
      </c>
      <c r="V3488">
        <v>-0.41969309999999999</v>
      </c>
      <c r="W3488">
        <v>-8.7558990000000003E-2</v>
      </c>
      <c r="X3488">
        <v>0.90343300000000004</v>
      </c>
      <c r="Y3488">
        <v>-0.44768819999999998</v>
      </c>
      <c r="Z3488">
        <v>4.4926099999999997E-2</v>
      </c>
      <c r="AA3488">
        <v>0.89306039999999998</v>
      </c>
      <c r="AB3488">
        <v>16</v>
      </c>
      <c r="AC3488">
        <v>-2.0952999999999999</v>
      </c>
      <c r="AD3488">
        <v>-1.1282753238030001</v>
      </c>
      <c r="AE3488">
        <v>-12.1510999999999</v>
      </c>
      <c r="AF3488">
        <v>-5.5108399548215301</v>
      </c>
      <c r="AG3488">
        <v>-1.1282753238030001</v>
      </c>
      <c r="AH3488">
        <v>10.9158494254047</v>
      </c>
      <c r="AI3488">
        <v>95.271724183628393</v>
      </c>
      <c r="AJ3488">
        <v>116.78681587325499</v>
      </c>
      <c r="AK3488">
        <v>12.2799890428317</v>
      </c>
      <c r="AL3488">
        <v>95.023192879799694</v>
      </c>
      <c r="AM3488">
        <v>114.917396852845</v>
      </c>
      <c r="AN3488">
        <v>1.0000000302032099</v>
      </c>
    </row>
    <row r="3489" spans="1:40" x14ac:dyDescent="0.25">
      <c r="A3489" t="str">
        <f>"20190303153837536"</f>
        <v>20190303153837536</v>
      </c>
      <c r="B3489" t="str">
        <f>"1551598717531798"</f>
        <v>1551598717531798</v>
      </c>
      <c r="C3489" t="s">
        <v>40</v>
      </c>
      <c r="D3489">
        <v>4.7320349999999998</v>
      </c>
      <c r="E3489">
        <v>0.48750450000000001</v>
      </c>
      <c r="F3489" t="s">
        <v>42</v>
      </c>
      <c r="G3489">
        <v>-493.6078</v>
      </c>
      <c r="H3489" s="1">
        <v>-3.364892E-6</v>
      </c>
      <c r="I3489">
        <v>265.19510000000002</v>
      </c>
      <c r="J3489">
        <v>-491.63099999999997</v>
      </c>
      <c r="K3489">
        <v>1.12832</v>
      </c>
      <c r="L3489">
        <v>277.12759999999997</v>
      </c>
      <c r="M3489">
        <v>-0.58877089999999999</v>
      </c>
      <c r="N3489">
        <v>-1.5964200000000001E-2</v>
      </c>
      <c r="O3489">
        <v>-0.80814219999999903</v>
      </c>
      <c r="P3489">
        <v>-0.19260450000000001</v>
      </c>
      <c r="Q3489">
        <v>-9.5293219999999998E-2</v>
      </c>
      <c r="R3489">
        <v>-0.97663849999999996</v>
      </c>
      <c r="S3489">
        <v>-0.49609379999999997</v>
      </c>
      <c r="T3489">
        <v>-0.27691949999999999</v>
      </c>
      <c r="U3489">
        <v>-2.94754</v>
      </c>
      <c r="V3489">
        <v>-0.41797220000000002</v>
      </c>
      <c r="W3489">
        <v>-8.8036729999999994E-2</v>
      </c>
      <c r="X3489">
        <v>0.90418399999999999</v>
      </c>
      <c r="Y3489">
        <v>-0.44617879999999899</v>
      </c>
      <c r="Z3489">
        <v>4.6735829999999999E-2</v>
      </c>
      <c r="AA3489">
        <v>0.89372269999999898</v>
      </c>
      <c r="AB3489">
        <v>16</v>
      </c>
      <c r="AC3489">
        <v>-1.9768000000000201</v>
      </c>
      <c r="AD3489">
        <v>-1.1283233648919999</v>
      </c>
      <c r="AE3489">
        <v>-11.9324999999999</v>
      </c>
      <c r="AF3489">
        <v>-5.381829938409</v>
      </c>
      <c r="AG3489">
        <v>-1.1283233648919999</v>
      </c>
      <c r="AH3489">
        <v>10.715168229868899</v>
      </c>
      <c r="AI3489">
        <v>95.375658212528805</v>
      </c>
      <c r="AJ3489">
        <v>116.668674421887</v>
      </c>
      <c r="AK3489">
        <v>12.043755116080201</v>
      </c>
      <c r="AL3489">
        <v>95.050671804705104</v>
      </c>
      <c r="AM3489">
        <v>114.809426698423</v>
      </c>
      <c r="AN3489">
        <v>0.999999965828965</v>
      </c>
    </row>
    <row r="3490" spans="1:40" x14ac:dyDescent="0.25">
      <c r="A3490" t="str">
        <f>"20190303153837549"</f>
        <v>20190303153837549</v>
      </c>
      <c r="B3490" t="str">
        <f>"1551598717541558"</f>
        <v>1551598717541558</v>
      </c>
      <c r="C3490" t="s">
        <v>40</v>
      </c>
      <c r="D3490">
        <v>4.7639490000000002</v>
      </c>
      <c r="E3490">
        <v>0.48750450000000001</v>
      </c>
      <c r="F3490" t="s">
        <v>44</v>
      </c>
      <c r="G3490">
        <v>-491.79390000000001</v>
      </c>
      <c r="H3490">
        <v>1.033763</v>
      </c>
      <c r="I3490">
        <v>276.12869999999998</v>
      </c>
      <c r="J3490">
        <v>-491.6771</v>
      </c>
      <c r="K3490">
        <v>1.1283719999999999</v>
      </c>
      <c r="L3490">
        <v>277.04669999999999</v>
      </c>
      <c r="M3490">
        <v>-0.58137430000000001</v>
      </c>
      <c r="N3490">
        <v>-1.6003139999999999E-2</v>
      </c>
      <c r="O3490">
        <v>-0.81347910000000001</v>
      </c>
      <c r="P3490">
        <v>-0.18516640000000001</v>
      </c>
      <c r="Q3490">
        <v>-9.5551349999999993E-2</v>
      </c>
      <c r="R3490">
        <v>-0.97805120000000001</v>
      </c>
      <c r="S3490">
        <v>-0.48046879999999997</v>
      </c>
      <c r="T3490">
        <v>-0.27917170000000002</v>
      </c>
      <c r="U3490">
        <v>-2.9497680000000002</v>
      </c>
      <c r="V3490">
        <v>-0.4165799</v>
      </c>
      <c r="W3490">
        <v>-8.8269520000000004E-2</v>
      </c>
      <c r="X3490">
        <v>0.90480369999999999</v>
      </c>
      <c r="Y3490">
        <v>-0.44274289999999999</v>
      </c>
      <c r="Z3490">
        <v>4.7935079999999998E-2</v>
      </c>
      <c r="AA3490">
        <v>0.89536640000000001</v>
      </c>
      <c r="AB3490">
        <v>16</v>
      </c>
      <c r="AC3490">
        <v>-0.11680000000001101</v>
      </c>
      <c r="AD3490">
        <v>-9.4608999999999902E-2</v>
      </c>
      <c r="AE3490">
        <v>-0.91800000000000603</v>
      </c>
      <c r="AF3490">
        <v>-0.43420496777386303</v>
      </c>
      <c r="AG3490">
        <v>-9.4608999999999902E-2</v>
      </c>
      <c r="AH3490">
        <v>0.80635436772531499</v>
      </c>
      <c r="AI3490">
        <v>95.897979579064</v>
      </c>
      <c r="AJ3490">
        <v>118.301535442912</v>
      </c>
      <c r="AK3490">
        <v>0.920702005683812</v>
      </c>
      <c r="AL3490">
        <v>95.064061500258802</v>
      </c>
      <c r="AM3490">
        <v>114.721775533349</v>
      </c>
      <c r="AN3490">
        <v>1.00000002838936</v>
      </c>
    </row>
    <row r="3491" spans="1:40" x14ac:dyDescent="0.25">
      <c r="A3491" t="str">
        <f>"20190303153837563"</f>
        <v>20190303153837563</v>
      </c>
      <c r="B3491" t="str">
        <f>"1551598717552294"</f>
        <v>1551598717552294</v>
      </c>
      <c r="C3491" t="s">
        <v>40</v>
      </c>
      <c r="D3491">
        <v>4.7609399999999997</v>
      </c>
      <c r="E3491">
        <v>0.4881007</v>
      </c>
      <c r="F3491" t="s">
        <v>42</v>
      </c>
      <c r="G3491">
        <v>-493.5215</v>
      </c>
      <c r="H3491" s="1">
        <v>-3.3207179999999999E-6</v>
      </c>
      <c r="I3491">
        <v>265.14569999999998</v>
      </c>
      <c r="J3491">
        <v>-491.72140000000002</v>
      </c>
      <c r="K3491">
        <v>1.128417</v>
      </c>
      <c r="L3491">
        <v>276.96589999999998</v>
      </c>
      <c r="M3491">
        <v>-0.57388729999999999</v>
      </c>
      <c r="N3491">
        <v>-1.6041630000000001E-2</v>
      </c>
      <c r="O3491">
        <v>-0.81877730000000004</v>
      </c>
      <c r="P3491">
        <v>-0.17810979999999901</v>
      </c>
      <c r="Q3491">
        <v>-9.5986920000000003E-2</v>
      </c>
      <c r="R3491">
        <v>-0.97931760000000001</v>
      </c>
      <c r="S3491">
        <v>-0.45770260000000001</v>
      </c>
      <c r="T3491">
        <v>-0.28000930000000002</v>
      </c>
      <c r="U3491">
        <v>-2.9532780000000001</v>
      </c>
      <c r="V3491">
        <v>-0.41476570000000001</v>
      </c>
      <c r="W3491">
        <v>-8.8667330000000003E-2</v>
      </c>
      <c r="X3491">
        <v>0.90559789999999996</v>
      </c>
      <c r="Y3491">
        <v>-0.44142670000000001</v>
      </c>
      <c r="Z3491">
        <v>4.873773E-2</v>
      </c>
      <c r="AA3491">
        <v>0.89597269999999896</v>
      </c>
      <c r="AB3491">
        <v>16</v>
      </c>
      <c r="AC3491">
        <v>-1.80009999999998</v>
      </c>
      <c r="AD3491">
        <v>-1.1284203207179999</v>
      </c>
      <c r="AE3491">
        <v>-11.8202</v>
      </c>
      <c r="AF3491">
        <v>-5.2633830005403697</v>
      </c>
      <c r="AG3491">
        <v>-1.1284203207179999</v>
      </c>
      <c r="AH3491">
        <v>10.617968164931201</v>
      </c>
      <c r="AI3491">
        <v>95.439185461498298</v>
      </c>
      <c r="AJ3491">
        <v>116.36785824642899</v>
      </c>
      <c r="AK3491">
        <v>11.904527751325499</v>
      </c>
      <c r="AL3491">
        <v>95.086944105156604</v>
      </c>
      <c r="AM3491">
        <v>114.607877106814</v>
      </c>
      <c r="AN3491">
        <v>1.0000000188951099</v>
      </c>
    </row>
    <row r="3492" spans="1:40" x14ac:dyDescent="0.25">
      <c r="A3492" t="str">
        <f>"20190303153837575"</f>
        <v>20190303153837575</v>
      </c>
      <c r="B3492" t="str">
        <f>"1551598717562053"</f>
        <v>1551598717562053</v>
      </c>
      <c r="C3492" t="s">
        <v>40</v>
      </c>
      <c r="D3492">
        <v>4.7169059999999998</v>
      </c>
      <c r="E3492">
        <v>0.48839959999999999</v>
      </c>
      <c r="F3492" t="s">
        <v>42</v>
      </c>
      <c r="G3492">
        <v>-493.4905</v>
      </c>
      <c r="H3492" s="1">
        <v>-3.2934449999999999E-6</v>
      </c>
      <c r="I3492">
        <v>265.10129999999998</v>
      </c>
      <c r="J3492">
        <v>-491.76319999999998</v>
      </c>
      <c r="K3492">
        <v>1.128457</v>
      </c>
      <c r="L3492">
        <v>276.88839999999999</v>
      </c>
      <c r="M3492">
        <v>-0.566639</v>
      </c>
      <c r="N3492">
        <v>-1.6078160000000001E-2</v>
      </c>
      <c r="O3492">
        <v>-0.82380929999999997</v>
      </c>
      <c r="P3492">
        <v>-0.171602</v>
      </c>
      <c r="Q3492">
        <v>-9.6482230000000002E-2</v>
      </c>
      <c r="R3492">
        <v>-0.98043049999999998</v>
      </c>
      <c r="S3492">
        <v>-0.44070429999999999</v>
      </c>
      <c r="T3492">
        <v>-0.28110679999999999</v>
      </c>
      <c r="U3492">
        <v>-2.9556580000000001</v>
      </c>
      <c r="V3492">
        <v>-0.41274739999999999</v>
      </c>
      <c r="W3492">
        <v>-8.9119429999999999E-2</v>
      </c>
      <c r="X3492">
        <v>0.90647520000000004</v>
      </c>
      <c r="Y3492">
        <v>-0.43866280000000002</v>
      </c>
      <c r="Z3492">
        <v>4.963265E-2</v>
      </c>
      <c r="AA3492">
        <v>0.89728009999999903</v>
      </c>
      <c r="AB3492">
        <v>16</v>
      </c>
      <c r="AC3492">
        <v>-1.72730000000001</v>
      </c>
      <c r="AD3492">
        <v>-1.1284602934450001</v>
      </c>
      <c r="AE3492">
        <v>-11.787100000000001</v>
      </c>
      <c r="AF3492">
        <v>-5.2099955942361902</v>
      </c>
      <c r="AG3492">
        <v>-1.1284602934450001</v>
      </c>
      <c r="AH3492">
        <v>10.5953888807396</v>
      </c>
      <c r="AI3492">
        <v>95.459470436857004</v>
      </c>
      <c r="AJ3492">
        <v>116.18440325000699</v>
      </c>
      <c r="AK3492">
        <v>11.860849137390799</v>
      </c>
      <c r="AL3492">
        <v>95.1129506374714</v>
      </c>
      <c r="AM3492">
        <v>114.481304974189</v>
      </c>
      <c r="AN3492">
        <v>0.99999998861266204</v>
      </c>
    </row>
    <row r="3493" spans="1:40" x14ac:dyDescent="0.25">
      <c r="A3493" t="str">
        <f>"20190303153837591"</f>
        <v>20190303153837591</v>
      </c>
      <c r="B3493" t="str">
        <f>"1551598717581574"</f>
        <v>1551598717581574</v>
      </c>
      <c r="C3493" t="s">
        <v>40</v>
      </c>
      <c r="D3493">
        <v>4.7228110000000001</v>
      </c>
      <c r="E3493">
        <v>0.48896329999999999</v>
      </c>
      <c r="F3493" t="s">
        <v>42</v>
      </c>
      <c r="G3493">
        <v>-493.45389999999998</v>
      </c>
      <c r="H3493" s="1">
        <v>-3.2757580000000002E-6</v>
      </c>
      <c r="I3493">
        <v>265.08280000000002</v>
      </c>
      <c r="J3493">
        <v>-491.81470000000002</v>
      </c>
      <c r="K3493">
        <v>1.128506</v>
      </c>
      <c r="L3493">
        <v>276.79050000000001</v>
      </c>
      <c r="M3493">
        <v>-0.55738739999999998</v>
      </c>
      <c r="N3493">
        <v>-1.612386E-2</v>
      </c>
      <c r="O3493">
        <v>-0.83009639999999996</v>
      </c>
      <c r="P3493">
        <v>-0.16408610000000001</v>
      </c>
      <c r="Q3493">
        <v>-9.8297629999999997E-2</v>
      </c>
      <c r="R3493">
        <v>-0.98153659999999998</v>
      </c>
      <c r="S3493">
        <v>-0.4236145</v>
      </c>
      <c r="T3493">
        <v>-0.2827363</v>
      </c>
      <c r="U3493">
        <v>-2.957916</v>
      </c>
      <c r="V3493">
        <v>-0.4094122</v>
      </c>
      <c r="W3493">
        <v>-9.0861949999999997E-2</v>
      </c>
      <c r="X3493">
        <v>0.90781369999999895</v>
      </c>
      <c r="Y3493">
        <v>-0.4337956</v>
      </c>
      <c r="Z3493">
        <v>5.0869919999999999E-2</v>
      </c>
      <c r="AA3493">
        <v>0.89957419999999999</v>
      </c>
      <c r="AB3493">
        <v>16</v>
      </c>
      <c r="AC3493">
        <v>-1.63919999999995</v>
      </c>
      <c r="AD3493">
        <v>-1.128509275758</v>
      </c>
      <c r="AE3493">
        <v>-11.7076999999999</v>
      </c>
      <c r="AF3493">
        <v>-5.1190528925201599</v>
      </c>
      <c r="AG3493">
        <v>-1.128509275758</v>
      </c>
      <c r="AH3493">
        <v>10.5375444909525</v>
      </c>
      <c r="AI3493">
        <v>95.502274745696695</v>
      </c>
      <c r="AJ3493">
        <v>115.91010218600699</v>
      </c>
      <c r="AK3493">
        <v>11.769370399502799</v>
      </c>
      <c r="AL3493">
        <v>95.213196481881099</v>
      </c>
      <c r="AM3493">
        <v>114.274756947782</v>
      </c>
      <c r="AN3493">
        <v>0.99999997868716495</v>
      </c>
    </row>
    <row r="3494" spans="1:40" x14ac:dyDescent="0.25">
      <c r="A3494" t="str">
        <f>"20190303153837604"</f>
        <v>20190303153837604</v>
      </c>
      <c r="B3494" t="str">
        <f>"1551598717592310"</f>
        <v>1551598717592310</v>
      </c>
      <c r="C3494" t="s">
        <v>40</v>
      </c>
      <c r="D3494">
        <v>4.7248570000000001</v>
      </c>
      <c r="E3494">
        <v>0.4892495</v>
      </c>
      <c r="F3494" t="s">
        <v>42</v>
      </c>
      <c r="G3494">
        <v>-493.40199999999999</v>
      </c>
      <c r="H3494" s="1">
        <v>-3.3158909999999998E-6</v>
      </c>
      <c r="I3494">
        <v>265.20850000000002</v>
      </c>
      <c r="J3494">
        <v>-491.85469999999998</v>
      </c>
      <c r="K3494">
        <v>1.1285430000000001</v>
      </c>
      <c r="L3494">
        <v>276.71179999999998</v>
      </c>
      <c r="M3494">
        <v>-0.549849699999999</v>
      </c>
      <c r="N3494">
        <v>-1.6160109999999998E-2</v>
      </c>
      <c r="O3494">
        <v>-0.8351073</v>
      </c>
      <c r="P3494">
        <v>-0.15709619999999999</v>
      </c>
      <c r="Q3494">
        <v>-9.8776020000000006E-2</v>
      </c>
      <c r="R3494">
        <v>-0.98263129999999999</v>
      </c>
      <c r="S3494">
        <v>-0.40563959999999999</v>
      </c>
      <c r="T3494">
        <v>-0.28838419999999998</v>
      </c>
      <c r="U3494">
        <v>-2.9597169999999999</v>
      </c>
      <c r="V3494">
        <v>-0.40761599999999998</v>
      </c>
      <c r="W3494">
        <v>-9.1298500000000005E-2</v>
      </c>
      <c r="X3494">
        <v>0.90857790000000005</v>
      </c>
      <c r="Y3494">
        <v>-0.43108170000000001</v>
      </c>
      <c r="Z3494">
        <v>5.2857439999999999E-2</v>
      </c>
      <c r="AA3494">
        <v>0.90076339999999999</v>
      </c>
      <c r="AB3494">
        <v>16</v>
      </c>
      <c r="AC3494">
        <v>-1.5472999999999999</v>
      </c>
      <c r="AD3494">
        <v>-1.1285463158910001</v>
      </c>
      <c r="AE3494">
        <v>-11.5032999999999</v>
      </c>
      <c r="AF3494">
        <v>-4.9864408885232603</v>
      </c>
      <c r="AG3494">
        <v>-1.1285463158910001</v>
      </c>
      <c r="AH3494">
        <v>10.3606898150031</v>
      </c>
      <c r="AI3494">
        <v>95.605618838686794</v>
      </c>
      <c r="AJ3494">
        <v>115.700797492901</v>
      </c>
      <c r="AK3494">
        <v>11.553445501864701</v>
      </c>
      <c r="AL3494">
        <v>95.238313187684199</v>
      </c>
      <c r="AM3494">
        <v>114.16247174904299</v>
      </c>
      <c r="AN3494">
        <v>1.0000000099633299</v>
      </c>
    </row>
    <row r="3495" spans="1:40" x14ac:dyDescent="0.25">
      <c r="A3495" t="str">
        <f>"20190303153837615"</f>
        <v>20190303153837615</v>
      </c>
      <c r="B3495" t="str">
        <f>"1551598717611832"</f>
        <v>1551598717611832</v>
      </c>
      <c r="C3495" t="s">
        <v>40</v>
      </c>
      <c r="D3495">
        <v>4.8650650000000004</v>
      </c>
      <c r="E3495">
        <v>0.4895601</v>
      </c>
      <c r="F3495" t="s">
        <v>42</v>
      </c>
      <c r="G3495">
        <v>-493.36090000000002</v>
      </c>
      <c r="H3495" s="1">
        <v>-3.293497E-6</v>
      </c>
      <c r="I3495">
        <v>265.18189999999998</v>
      </c>
      <c r="J3495">
        <v>-491.89120000000003</v>
      </c>
      <c r="K3495">
        <v>1.128574</v>
      </c>
      <c r="L3495">
        <v>276.63839999999999</v>
      </c>
      <c r="M3495">
        <v>-0.54277519999999901</v>
      </c>
      <c r="N3495">
        <v>-1.619288E-2</v>
      </c>
      <c r="O3495">
        <v>-0.83972190000000002</v>
      </c>
      <c r="P3495">
        <v>-0.1505118</v>
      </c>
      <c r="Q3495">
        <v>-9.9422440000000001E-2</v>
      </c>
      <c r="R3495">
        <v>-0.98359620000000003</v>
      </c>
      <c r="S3495">
        <v>-0.38693240000000001</v>
      </c>
      <c r="T3495">
        <v>-0.28992269999999998</v>
      </c>
      <c r="U3495">
        <v>-2.9620359999999999</v>
      </c>
      <c r="V3495">
        <v>-0.40597480000000002</v>
      </c>
      <c r="W3495">
        <v>-9.190458E-2</v>
      </c>
      <c r="X3495">
        <v>0.90925129999999998</v>
      </c>
      <c r="Y3495">
        <v>-0.4291507</v>
      </c>
      <c r="Z3495">
        <v>5.3812770000000003E-2</v>
      </c>
      <c r="AA3495">
        <v>0.9016284</v>
      </c>
      <c r="AB3495">
        <v>16</v>
      </c>
      <c r="AC3495">
        <v>-1.46969999999998</v>
      </c>
      <c r="AD3495">
        <v>-1.128577293497</v>
      </c>
      <c r="AE3495">
        <v>-11.4565</v>
      </c>
      <c r="AF3495">
        <v>-4.9376780794154396</v>
      </c>
      <c r="AG3495">
        <v>-1.128577293497</v>
      </c>
      <c r="AH3495">
        <v>10.3208232767507</v>
      </c>
      <c r="AI3495">
        <v>95.6335393384322</v>
      </c>
      <c r="AJ3495">
        <v>115.56733891123601</v>
      </c>
      <c r="AK3495">
        <v>11.496684071211799</v>
      </c>
      <c r="AL3495">
        <v>95.273185899867599</v>
      </c>
      <c r="AM3495">
        <v>114.060451545448</v>
      </c>
      <c r="AN3495">
        <v>0.99999995830585198</v>
      </c>
    </row>
    <row r="3496" spans="1:40" x14ac:dyDescent="0.25">
      <c r="A3496" t="str">
        <f>"20190303153837629"</f>
        <v>20190303153837629</v>
      </c>
      <c r="B3496" t="str">
        <f>"1551598717621590"</f>
        <v>1551598717621590</v>
      </c>
      <c r="C3496" t="s">
        <v>40</v>
      </c>
      <c r="D3496">
        <v>4.7981389999999999</v>
      </c>
      <c r="E3496">
        <v>0.48970710000000001</v>
      </c>
      <c r="F3496" t="s">
        <v>42</v>
      </c>
      <c r="G3496">
        <v>-493.31880000000001</v>
      </c>
      <c r="H3496" s="1">
        <v>-3.2830780000000002E-6</v>
      </c>
      <c r="I3496">
        <v>265.18369999999999</v>
      </c>
      <c r="J3496">
        <v>-491.93400000000003</v>
      </c>
      <c r="K3496">
        <v>1.128611</v>
      </c>
      <c r="L3496">
        <v>276.55079999999998</v>
      </c>
      <c r="M3496">
        <v>-0.53425859999999903</v>
      </c>
      <c r="N3496">
        <v>-1.6230919999999999E-2</v>
      </c>
      <c r="O3496">
        <v>-0.84516530000000001</v>
      </c>
      <c r="P3496">
        <v>-0.14213239999999999</v>
      </c>
      <c r="Q3496">
        <v>-0.1002933</v>
      </c>
      <c r="R3496">
        <v>-0.98475380000000001</v>
      </c>
      <c r="S3496">
        <v>-0.36938480000000001</v>
      </c>
      <c r="T3496">
        <v>-0.29202939999999999</v>
      </c>
      <c r="U3496">
        <v>-2.9640200000000001</v>
      </c>
      <c r="V3496">
        <v>-0.40445759999999997</v>
      </c>
      <c r="W3496">
        <v>-9.2735789999999999E-2</v>
      </c>
      <c r="X3496">
        <v>0.90984290000000001</v>
      </c>
      <c r="Y3496">
        <v>-0.4253593</v>
      </c>
      <c r="Z3496">
        <v>5.5075209999999999E-2</v>
      </c>
      <c r="AA3496">
        <v>0.90334720000000002</v>
      </c>
      <c r="AB3496">
        <v>16</v>
      </c>
      <c r="AC3496">
        <v>-1.38479999999998</v>
      </c>
      <c r="AD3496">
        <v>-1.1286142830779999</v>
      </c>
      <c r="AE3496">
        <v>-11.367099999999899</v>
      </c>
      <c r="AF3496">
        <v>-4.8560604574357598</v>
      </c>
      <c r="AG3496">
        <v>-1.1286142830779999</v>
      </c>
      <c r="AH3496">
        <v>10.248727467620901</v>
      </c>
      <c r="AI3496">
        <v>95.683163797169399</v>
      </c>
      <c r="AJ3496">
        <v>115.35256838560301</v>
      </c>
      <c r="AK3496">
        <v>11.3969955721587</v>
      </c>
      <c r="AL3496">
        <v>95.321014820263102</v>
      </c>
      <c r="AM3496">
        <v>113.96685228997001</v>
      </c>
      <c r="AN3496">
        <v>0.99999998981254701</v>
      </c>
    </row>
    <row r="3497" spans="1:40" x14ac:dyDescent="0.25">
      <c r="A3497" t="str">
        <f>"20190303153837641"</f>
        <v>20190303153837641</v>
      </c>
      <c r="B3497" t="str">
        <f>"1551598717632326"</f>
        <v>1551598717632326</v>
      </c>
      <c r="C3497" t="s">
        <v>40</v>
      </c>
      <c r="D3497">
        <v>4.8159219999999996</v>
      </c>
      <c r="E3497">
        <v>0.48970710000000001</v>
      </c>
      <c r="F3497" t="s">
        <v>42</v>
      </c>
      <c r="G3497">
        <v>-493.25920000000002</v>
      </c>
      <c r="H3497" s="1">
        <v>-3.259368E-6</v>
      </c>
      <c r="I3497">
        <v>265.1653</v>
      </c>
      <c r="J3497">
        <v>-491.96910000000003</v>
      </c>
      <c r="K3497">
        <v>1.128638</v>
      </c>
      <c r="L3497">
        <v>276.47590000000002</v>
      </c>
      <c r="M3497">
        <v>-0.52689219999999903</v>
      </c>
      <c r="N3497">
        <v>-1.626213E-2</v>
      </c>
      <c r="O3497">
        <v>-0.84977669999999905</v>
      </c>
      <c r="P3497">
        <v>-0.13521079999999999</v>
      </c>
      <c r="Q3497">
        <v>-0.1006411</v>
      </c>
      <c r="R3497">
        <v>-0.98569280000000004</v>
      </c>
      <c r="S3497">
        <v>-0.34530640000000001</v>
      </c>
      <c r="T3497">
        <v>-0.2940758</v>
      </c>
      <c r="U3497">
        <v>-2.9666440000000001</v>
      </c>
      <c r="V3497">
        <v>-0.40291450000000001</v>
      </c>
      <c r="W3497">
        <v>-9.3039559999999993E-2</v>
      </c>
      <c r="X3497">
        <v>0.91049639999999998</v>
      </c>
      <c r="Y3497">
        <v>-0.42482310000000001</v>
      </c>
      <c r="Z3497">
        <v>5.6126790000000003E-2</v>
      </c>
      <c r="AA3497">
        <v>0.90353479999999997</v>
      </c>
      <c r="AB3497">
        <v>16</v>
      </c>
      <c r="AC3497">
        <v>-1.29009999999999</v>
      </c>
      <c r="AD3497">
        <v>-1.128641259368</v>
      </c>
      <c r="AE3497">
        <v>-11.310600000000001</v>
      </c>
      <c r="AF3497">
        <v>-4.8164694873449401</v>
      </c>
      <c r="AG3497">
        <v>-1.128641259368</v>
      </c>
      <c r="AH3497">
        <v>10.1924023918794</v>
      </c>
      <c r="AI3497">
        <v>95.717277447258994</v>
      </c>
      <c r="AJ3497">
        <v>115.293304839068</v>
      </c>
      <c r="AK3497">
        <v>11.3294870110196</v>
      </c>
      <c r="AL3497">
        <v>95.338494682007806</v>
      </c>
      <c r="AM3497">
        <v>113.87043427368</v>
      </c>
      <c r="AN3497">
        <v>1.00000007422409</v>
      </c>
    </row>
    <row r="3498" spans="1:40" x14ac:dyDescent="0.25">
      <c r="A3498" t="str">
        <f>"20190303153837658"</f>
        <v>20190303153837658</v>
      </c>
      <c r="B3498" t="str">
        <f>"1551598717651846"</f>
        <v>1551598717651846</v>
      </c>
      <c r="C3498" t="s">
        <v>40</v>
      </c>
      <c r="D3498">
        <v>4.7717260000000001</v>
      </c>
      <c r="E3498">
        <v>0.45700459999999898</v>
      </c>
      <c r="F3498" t="s">
        <v>42</v>
      </c>
      <c r="G3498">
        <v>-493.20850000000002</v>
      </c>
      <c r="H3498" s="1">
        <v>-3.2263910000000001E-6</v>
      </c>
      <c r="I3498">
        <v>265.11989999999997</v>
      </c>
      <c r="J3498">
        <v>-492.0154</v>
      </c>
      <c r="K3498">
        <v>1.1286719999999999</v>
      </c>
      <c r="L3498">
        <v>276.37490000000003</v>
      </c>
      <c r="M3498">
        <v>-0.51687780000000005</v>
      </c>
      <c r="N3498">
        <v>-1.6302589999999999E-2</v>
      </c>
      <c r="O3498">
        <v>-0.855904</v>
      </c>
      <c r="P3498">
        <v>-0.1263948</v>
      </c>
      <c r="Q3498">
        <v>-0.1005866</v>
      </c>
      <c r="R3498">
        <v>-0.9868673</v>
      </c>
      <c r="S3498">
        <v>-0.32403559999999998</v>
      </c>
      <c r="T3498">
        <v>-0.29508040000000002</v>
      </c>
      <c r="U3498">
        <v>-2.9689939999999999</v>
      </c>
      <c r="V3498">
        <v>-0.40036359999999999</v>
      </c>
      <c r="W3498">
        <v>-9.2910469999999995E-2</v>
      </c>
      <c r="X3498">
        <v>0.91163400000000006</v>
      </c>
      <c r="Y3498">
        <v>-0.42067779999999999</v>
      </c>
      <c r="Z3498">
        <v>5.7232669999999999E-2</v>
      </c>
      <c r="AA3498">
        <v>0.90540299999999996</v>
      </c>
      <c r="AB3498">
        <v>16</v>
      </c>
      <c r="AC3498">
        <v>-1.19310000000001</v>
      </c>
      <c r="AD3498">
        <v>-1.12867522639099</v>
      </c>
      <c r="AE3498">
        <v>-11.255000000000001</v>
      </c>
      <c r="AF3498">
        <v>-4.7496834304692701</v>
      </c>
      <c r="AG3498">
        <v>-1.12867522639099</v>
      </c>
      <c r="AH3498">
        <v>10.1503060404529</v>
      </c>
      <c r="AI3498">
        <v>95.751156504068106</v>
      </c>
      <c r="AJ3498">
        <v>115.076538734252</v>
      </c>
      <c r="AK3498">
        <v>11.263308269385</v>
      </c>
      <c r="AL3498">
        <v>95.331066810575095</v>
      </c>
      <c r="AM3498">
        <v>113.709708528158</v>
      </c>
      <c r="AN3498">
        <v>0.99999995879828896</v>
      </c>
    </row>
    <row r="3499" spans="1:40" x14ac:dyDescent="0.25">
      <c r="A3499" t="str">
        <f>"20190303153837671"</f>
        <v>20190303153837671</v>
      </c>
      <c r="B3499" t="str">
        <f>"1551598717661606"</f>
        <v>1551598717661606</v>
      </c>
      <c r="C3499" t="s">
        <v>40</v>
      </c>
      <c r="D3499">
        <v>4.7749540000000001</v>
      </c>
      <c r="E3499">
        <v>0.45326270000000002</v>
      </c>
      <c r="F3499" t="s">
        <v>44</v>
      </c>
      <c r="G3499">
        <v>-492.02780000000001</v>
      </c>
      <c r="H3499">
        <v>1.0570710000000001</v>
      </c>
      <c r="I3499">
        <v>275.45089999999999</v>
      </c>
      <c r="J3499">
        <v>-492.0514</v>
      </c>
      <c r="K3499">
        <v>1.128703</v>
      </c>
      <c r="L3499">
        <v>276.2944</v>
      </c>
      <c r="M3499">
        <v>-0.50883069999999997</v>
      </c>
      <c r="N3499">
        <v>-1.633358E-2</v>
      </c>
      <c r="O3499">
        <v>-0.86071169999999997</v>
      </c>
      <c r="P3499">
        <v>-0.1184143</v>
      </c>
      <c r="Q3499">
        <v>-0.10014530000000001</v>
      </c>
      <c r="R3499">
        <v>-0.98790160000000005</v>
      </c>
      <c r="S3499">
        <v>-3.9306639999999997E-2</v>
      </c>
      <c r="T3499">
        <v>-0.23322219999999999</v>
      </c>
      <c r="U3499">
        <v>-3.0111080000000001</v>
      </c>
      <c r="V3499">
        <v>-0.39921450000000003</v>
      </c>
      <c r="W3499">
        <v>-9.2429209999999998E-2</v>
      </c>
      <c r="X3499">
        <v>0.91218670000000002</v>
      </c>
      <c r="Y3499">
        <v>-0.49711810000000001</v>
      </c>
      <c r="Z3499">
        <v>3.9788589999999999E-2</v>
      </c>
      <c r="AA3499">
        <v>0.86677009999999899</v>
      </c>
      <c r="AB3499">
        <v>16</v>
      </c>
      <c r="AC3499">
        <v>2.35999999999876E-2</v>
      </c>
      <c r="AD3499">
        <v>-7.1632000000000098E-2</v>
      </c>
      <c r="AE3499">
        <v>-0.84350000000000502</v>
      </c>
      <c r="AF3499">
        <v>-0.44635493637228302</v>
      </c>
      <c r="AG3499">
        <v>-7.1632000000000098E-2</v>
      </c>
      <c r="AH3499">
        <v>0.70898805717288904</v>
      </c>
      <c r="AI3499">
        <v>94.886952629253798</v>
      </c>
      <c r="AJ3499">
        <v>122.19313245857001</v>
      </c>
      <c r="AK3499">
        <v>0.84084953342538804</v>
      </c>
      <c r="AL3499">
        <v>95.303373384656894</v>
      </c>
      <c r="AM3499">
        <v>113.636379619127</v>
      </c>
      <c r="AN3499">
        <v>0.99999997576418098</v>
      </c>
    </row>
    <row r="3500" spans="1:40" x14ac:dyDescent="0.25">
      <c r="A3500" t="str">
        <f>"20190303153837685"</f>
        <v>20190303153837685</v>
      </c>
      <c r="B3500" t="str">
        <f>"1551598717682102"</f>
        <v>1551598717682102</v>
      </c>
      <c r="C3500" t="s">
        <v>40</v>
      </c>
      <c r="D3500">
        <v>4.7637619999999998</v>
      </c>
      <c r="E3500">
        <v>0.45031199999999999</v>
      </c>
      <c r="F3500" t="s">
        <v>44</v>
      </c>
      <c r="G3500">
        <v>-492.04680000000002</v>
      </c>
      <c r="H3500">
        <v>1.0576559999999999</v>
      </c>
      <c r="I3500">
        <v>275.31819999999999</v>
      </c>
      <c r="J3500">
        <v>-492.09089999999998</v>
      </c>
      <c r="K3500">
        <v>1.128735</v>
      </c>
      <c r="L3500">
        <v>276.20249999999999</v>
      </c>
      <c r="M3500">
        <v>-0.49954310000000002</v>
      </c>
      <c r="N3500">
        <v>-1.6367139999999999E-2</v>
      </c>
      <c r="O3500">
        <v>-0.86613449999999903</v>
      </c>
      <c r="P3500">
        <v>-0.1086598</v>
      </c>
      <c r="Q3500">
        <v>-9.8797159999999995E-2</v>
      </c>
      <c r="R3500">
        <v>-0.98915739999999996</v>
      </c>
      <c r="S3500">
        <v>1.400757E-2</v>
      </c>
      <c r="T3500">
        <v>-0.21950539999999999</v>
      </c>
      <c r="U3500">
        <v>-3.0162049999999998</v>
      </c>
      <c r="V3500">
        <v>-0.39849509999999999</v>
      </c>
      <c r="W3500">
        <v>-9.1045360000000006E-2</v>
      </c>
      <c r="X3500">
        <v>0.91264029999999996</v>
      </c>
      <c r="Y3500">
        <v>-0.50313969999999997</v>
      </c>
      <c r="Z3500">
        <v>3.6746029999999999E-2</v>
      </c>
      <c r="AA3500">
        <v>0.86342350000000001</v>
      </c>
      <c r="AB3500">
        <v>16</v>
      </c>
      <c r="AC3500">
        <v>4.4099999999957597E-2</v>
      </c>
      <c r="AD3500">
        <v>-7.10790000000001E-2</v>
      </c>
      <c r="AE3500">
        <v>-0.88429999999999598</v>
      </c>
      <c r="AF3500">
        <v>-0.47693304866147102</v>
      </c>
      <c r="AG3500">
        <v>-7.10790000000001E-2</v>
      </c>
      <c r="AH3500">
        <v>0.73922835889411698</v>
      </c>
      <c r="AI3500">
        <v>94.619260950359205</v>
      </c>
      <c r="AJ3500">
        <v>122.829172624891</v>
      </c>
      <c r="AK3500">
        <v>0.88259612719511404</v>
      </c>
      <c r="AL3500">
        <v>95.2237489384665</v>
      </c>
      <c r="AM3500">
        <v>113.587998045004</v>
      </c>
      <c r="AN3500">
        <v>0.99999995974281397</v>
      </c>
    </row>
    <row r="3501" spans="1:40" x14ac:dyDescent="0.25">
      <c r="A3501" t="str">
        <f>"20190303153837703"</f>
        <v>20190303153837703</v>
      </c>
      <c r="B3501" t="str">
        <f>"1551598717691863"</f>
        <v>1551598717691863</v>
      </c>
      <c r="C3501" t="s">
        <v>40</v>
      </c>
      <c r="D3501">
        <v>4.7652570000000001</v>
      </c>
      <c r="E3501">
        <v>0.45001819999999998</v>
      </c>
      <c r="F3501" t="s">
        <v>44</v>
      </c>
      <c r="G3501">
        <v>-492.07130000000001</v>
      </c>
      <c r="H3501">
        <v>1.068892</v>
      </c>
      <c r="I3501">
        <v>275.32589999999999</v>
      </c>
      <c r="J3501">
        <v>-492.13900000000001</v>
      </c>
      <c r="K3501">
        <v>1.1287739999999999</v>
      </c>
      <c r="L3501">
        <v>276.08659999999998</v>
      </c>
      <c r="M3501">
        <v>-0.4877399</v>
      </c>
      <c r="N3501">
        <v>-1.6406899999999999E-2</v>
      </c>
      <c r="O3501">
        <v>-0.87283489999999997</v>
      </c>
      <c r="P3501">
        <v>-9.6953819999999996E-2</v>
      </c>
      <c r="Q3501">
        <v>-9.6740389999999996E-2</v>
      </c>
      <c r="R3501">
        <v>-0.99057629999999997</v>
      </c>
      <c r="S3501">
        <v>6.7596439999999994E-2</v>
      </c>
      <c r="T3501">
        <v>-0.20615230000000001</v>
      </c>
      <c r="U3501">
        <v>-3.0197449999999999</v>
      </c>
      <c r="V3501">
        <v>-0.397036</v>
      </c>
      <c r="W3501">
        <v>-8.8925489999999996E-2</v>
      </c>
      <c r="X3501">
        <v>0.91348490000000004</v>
      </c>
      <c r="Y3501">
        <v>-0.50675109999999901</v>
      </c>
      <c r="Z3501">
        <v>3.393877E-2</v>
      </c>
      <c r="AA3501">
        <v>0.86142410000000003</v>
      </c>
      <c r="AB3501">
        <v>16</v>
      </c>
      <c r="AC3501">
        <v>6.7700000000001995E-2</v>
      </c>
      <c r="AD3501">
        <v>-5.9881999999999901E-2</v>
      </c>
      <c r="AE3501">
        <v>-0.76069999999998505</v>
      </c>
      <c r="AF3501">
        <v>-0.42754395823284502</v>
      </c>
      <c r="AG3501">
        <v>-5.9881999999999901E-2</v>
      </c>
      <c r="AH3501">
        <v>0.62717448628772998</v>
      </c>
      <c r="AI3501">
        <v>94.510822129713802</v>
      </c>
      <c r="AJ3501">
        <v>124.282198818776</v>
      </c>
      <c r="AK3501">
        <v>0.76139840188674401</v>
      </c>
      <c r="AL3501">
        <v>95.101794365132406</v>
      </c>
      <c r="AM3501">
        <v>113.49163665287099</v>
      </c>
      <c r="AN3501">
        <v>0.99999999529787498</v>
      </c>
    </row>
    <row r="3502" spans="1:40" x14ac:dyDescent="0.25">
      <c r="A3502" t="str">
        <f>"20190303153837718"</f>
        <v>20190303153837718</v>
      </c>
      <c r="B3502" t="str">
        <f>"1551598717712358"</f>
        <v>1551598717712358</v>
      </c>
      <c r="C3502" t="s">
        <v>40</v>
      </c>
      <c r="D3502">
        <v>4.7678580000000004</v>
      </c>
      <c r="E3502">
        <v>0.45012649999999998</v>
      </c>
      <c r="F3502" t="s">
        <v>44</v>
      </c>
      <c r="G3502">
        <v>-492.108</v>
      </c>
      <c r="H3502">
        <v>1.0705169999999999</v>
      </c>
      <c r="I3502">
        <v>275.19929999999999</v>
      </c>
      <c r="J3502">
        <v>-492.17590000000001</v>
      </c>
      <c r="K3502">
        <v>1.128784</v>
      </c>
      <c r="L3502">
        <v>275.99439999999998</v>
      </c>
      <c r="M3502">
        <v>-0.47825190000000001</v>
      </c>
      <c r="N3502">
        <v>-1.643646E-2</v>
      </c>
      <c r="O3502">
        <v>-0.87806890000000004</v>
      </c>
      <c r="P3502">
        <v>-8.7183919999999998E-2</v>
      </c>
      <c r="Q3502">
        <v>-9.6330639999999995E-2</v>
      </c>
      <c r="R3502">
        <v>-0.99152390000000001</v>
      </c>
      <c r="S3502">
        <v>0.105834999999999</v>
      </c>
      <c r="T3502">
        <v>-0.19822300000000001</v>
      </c>
      <c r="U3502">
        <v>-3.0195620000000001</v>
      </c>
      <c r="V3502">
        <v>-0.39616849999999998</v>
      </c>
      <c r="W3502">
        <v>-8.8472930000000005E-2</v>
      </c>
      <c r="X3502">
        <v>0.91390539999999998</v>
      </c>
      <c r="Y3502">
        <v>-0.50832869999999997</v>
      </c>
      <c r="Z3502">
        <v>3.2390410000000001E-2</v>
      </c>
      <c r="AA3502">
        <v>0.86055369999999998</v>
      </c>
      <c r="AB3502">
        <v>16</v>
      </c>
      <c r="AC3502">
        <v>6.7900000000008703E-2</v>
      </c>
      <c r="AD3502">
        <v>-5.8266999999999999E-2</v>
      </c>
      <c r="AE3502">
        <v>-0.79509999999999004</v>
      </c>
      <c r="AF3502">
        <v>-0.43760531288385801</v>
      </c>
      <c r="AG3502">
        <v>-5.8266999999999999E-2</v>
      </c>
      <c r="AH3502">
        <v>0.66223850817238294</v>
      </c>
      <c r="AI3502">
        <v>94.198331183394501</v>
      </c>
      <c r="AJ3502">
        <v>123.45661396921</v>
      </c>
      <c r="AK3502">
        <v>0.79589779171672703</v>
      </c>
      <c r="AL3502">
        <v>95.075761904515005</v>
      </c>
      <c r="AM3502">
        <v>113.436231062112</v>
      </c>
      <c r="AN3502">
        <v>1.00000000994209</v>
      </c>
    </row>
    <row r="3503" spans="1:40" x14ac:dyDescent="0.25">
      <c r="A3503" t="str">
        <f>"20190303153837730"</f>
        <v>20190303153837730</v>
      </c>
      <c r="B3503" t="str">
        <f>"1551598717722118"</f>
        <v>1551598717722118</v>
      </c>
      <c r="C3503" t="s">
        <v>40</v>
      </c>
      <c r="D3503">
        <v>4.7744299999999997</v>
      </c>
      <c r="E3503">
        <v>0.45041609999999999</v>
      </c>
      <c r="F3503" t="s">
        <v>44</v>
      </c>
      <c r="G3503">
        <v>-492.13459999999998</v>
      </c>
      <c r="H3503">
        <v>1.0697289999999999</v>
      </c>
      <c r="I3503">
        <v>275.07029999999997</v>
      </c>
      <c r="J3503">
        <v>-492.20830000000001</v>
      </c>
      <c r="K3503">
        <v>1.128789</v>
      </c>
      <c r="L3503">
        <v>275.91149999999999</v>
      </c>
      <c r="M3503">
        <v>-0.46966980000000003</v>
      </c>
      <c r="N3503">
        <v>-1.6461659999999999E-2</v>
      </c>
      <c r="O3503">
        <v>-0.88268869999999899</v>
      </c>
      <c r="P3503">
        <v>-7.9239889999999993E-2</v>
      </c>
      <c r="Q3503">
        <v>-9.7094139999999995E-2</v>
      </c>
      <c r="R3503">
        <v>-0.99211590000000005</v>
      </c>
      <c r="S3503">
        <v>0.13476560000000001</v>
      </c>
      <c r="T3503">
        <v>-0.19293930000000001</v>
      </c>
      <c r="U3503">
        <v>-3.0187680000000001</v>
      </c>
      <c r="V3503">
        <v>-0.39453319999999997</v>
      </c>
      <c r="W3503">
        <v>-8.9177399999999907E-2</v>
      </c>
      <c r="X3503">
        <v>0.91454420000000003</v>
      </c>
      <c r="Y3503">
        <v>-0.50819190000000003</v>
      </c>
      <c r="Z3503">
        <v>3.1467580000000002E-2</v>
      </c>
      <c r="AA3503">
        <v>0.86066880000000001</v>
      </c>
      <c r="AB3503">
        <v>16</v>
      </c>
      <c r="AC3503">
        <v>7.3700000000030699E-2</v>
      </c>
      <c r="AD3503">
        <v>-5.90599999999998E-2</v>
      </c>
      <c r="AE3503">
        <v>-0.84120000000001405</v>
      </c>
      <c r="AF3503">
        <v>-0.45796248596616101</v>
      </c>
      <c r="AG3503">
        <v>-5.90599999999998E-2</v>
      </c>
      <c r="AH3503">
        <v>0.70455246878948397</v>
      </c>
      <c r="AI3503">
        <v>94.020333367264499</v>
      </c>
      <c r="AJ3503">
        <v>123.024060856632</v>
      </c>
      <c r="AK3503">
        <v>0.84238465289300102</v>
      </c>
      <c r="AL3503">
        <v>95.116284912632906</v>
      </c>
      <c r="AM3503">
        <v>113.335305644217</v>
      </c>
      <c r="AN3503">
        <v>1.0000000741633099</v>
      </c>
    </row>
    <row r="3504" spans="1:40" x14ac:dyDescent="0.25">
      <c r="A3504" t="str">
        <f>"20190303153837749"</f>
        <v>20190303153837749</v>
      </c>
      <c r="B3504" t="str">
        <f>"1551598717741638"</f>
        <v>1551598717741638</v>
      </c>
      <c r="C3504" t="s">
        <v>40</v>
      </c>
      <c r="D3504">
        <v>4.8014400000000004</v>
      </c>
      <c r="E3504">
        <v>0.4512603</v>
      </c>
      <c r="F3504" t="s">
        <v>44</v>
      </c>
      <c r="G3504">
        <v>-492.15820000000002</v>
      </c>
      <c r="H3504">
        <v>1.066595</v>
      </c>
      <c r="I3504">
        <v>274.94139999999999</v>
      </c>
      <c r="J3504">
        <v>-492.25170000000003</v>
      </c>
      <c r="K3504">
        <v>1.1287830000000001</v>
      </c>
      <c r="L3504">
        <v>275.79520000000002</v>
      </c>
      <c r="M3504">
        <v>-0.45752920000000002</v>
      </c>
      <c r="N3504">
        <v>-1.6493279999999999E-2</v>
      </c>
      <c r="O3504">
        <v>-0.88904169999999905</v>
      </c>
      <c r="P3504">
        <v>-6.9596809999999995E-2</v>
      </c>
      <c r="Q3504">
        <v>-9.9926109999999999E-2</v>
      </c>
      <c r="R3504">
        <v>-0.99255800000000005</v>
      </c>
      <c r="S3504">
        <v>0.15628049999999999</v>
      </c>
      <c r="T3504">
        <v>-0.19338050000000001</v>
      </c>
      <c r="U3504">
        <v>-3.0174259999999999</v>
      </c>
      <c r="V3504">
        <v>-0.39071080000000002</v>
      </c>
      <c r="W3504">
        <v>-9.1888090000000006E-2</v>
      </c>
      <c r="X3504">
        <v>0.91591579999999995</v>
      </c>
      <c r="Y3504">
        <v>-0.50252540000000001</v>
      </c>
      <c r="Z3504">
        <v>3.2247119999999997E-2</v>
      </c>
      <c r="AA3504">
        <v>0.86396090000000003</v>
      </c>
      <c r="AB3504">
        <v>16</v>
      </c>
      <c r="AC3504">
        <v>9.3500000000005898E-2</v>
      </c>
      <c r="AD3504">
        <v>-6.2187999999999903E-2</v>
      </c>
      <c r="AE3504">
        <v>-0.85380000000003498</v>
      </c>
      <c r="AF3504">
        <v>-0.47135724236876397</v>
      </c>
      <c r="AG3504">
        <v>-6.2187999999999903E-2</v>
      </c>
      <c r="AH3504">
        <v>0.71264629700956295</v>
      </c>
      <c r="AI3504">
        <v>94.162843223253603</v>
      </c>
      <c r="AJ3504">
        <v>123.48137625336</v>
      </c>
      <c r="AK3504">
        <v>0.85668532257704</v>
      </c>
      <c r="AL3504">
        <v>95.272236584797497</v>
      </c>
      <c r="AM3504">
        <v>113.102096098711</v>
      </c>
      <c r="AN3504">
        <v>1.00000005150506</v>
      </c>
    </row>
    <row r="3505" spans="1:40" x14ac:dyDescent="0.25">
      <c r="A3505" t="str">
        <f>"20190303153837762"</f>
        <v>20190303153837762</v>
      </c>
      <c r="B3505" t="str">
        <f>"1551598717752375"</f>
        <v>1551598717752375</v>
      </c>
      <c r="C3505" t="s">
        <v>40</v>
      </c>
      <c r="D3505">
        <v>4.7711810000000003</v>
      </c>
      <c r="E3505">
        <v>0.45175729999999997</v>
      </c>
      <c r="F3505" t="s">
        <v>44</v>
      </c>
      <c r="G3505">
        <v>-492.19380000000001</v>
      </c>
      <c r="H3505">
        <v>1.063849</v>
      </c>
      <c r="I3505">
        <v>274.81619999999998</v>
      </c>
      <c r="J3505">
        <v>-492.28129999999999</v>
      </c>
      <c r="K3505">
        <v>1.1287689999999999</v>
      </c>
      <c r="L3505">
        <v>275.71199999999999</v>
      </c>
      <c r="M3505">
        <v>-0.44879209999999897</v>
      </c>
      <c r="N3505">
        <v>-1.6511959999999999E-2</v>
      </c>
      <c r="O3505">
        <v>-0.89348379999999905</v>
      </c>
      <c r="P3505">
        <v>-6.154329E-2</v>
      </c>
      <c r="Q3505">
        <v>-0.1004177</v>
      </c>
      <c r="R3505">
        <v>-0.99304029999999999</v>
      </c>
      <c r="S3505">
        <v>0.17846679999999901</v>
      </c>
      <c r="T3505">
        <v>-0.19995379999999999</v>
      </c>
      <c r="U3505">
        <v>-3.0148619999999999</v>
      </c>
      <c r="V3505">
        <v>-0.38913569999999997</v>
      </c>
      <c r="W3505">
        <v>-9.2314709999999994E-2</v>
      </c>
      <c r="X3505">
        <v>0.9165432</v>
      </c>
      <c r="Y3505">
        <v>-0.50041099999999905</v>
      </c>
      <c r="Z3505">
        <v>3.4371779999999998E-2</v>
      </c>
      <c r="AA3505">
        <v>0.86510540000000002</v>
      </c>
      <c r="AB3505">
        <v>16</v>
      </c>
      <c r="AC3505">
        <v>8.7499999999977193E-2</v>
      </c>
      <c r="AD3505">
        <v>-6.4920000000000005E-2</v>
      </c>
      <c r="AE3505">
        <v>-0.89580000000000803</v>
      </c>
      <c r="AF3505">
        <v>-0.47778751835424998</v>
      </c>
      <c r="AG3505">
        <v>-6.4920000000000005E-2</v>
      </c>
      <c r="AH3505">
        <v>0.757277419749112</v>
      </c>
      <c r="AI3505">
        <v>94.146888826353603</v>
      </c>
      <c r="AJ3505">
        <v>122.248974477868</v>
      </c>
      <c r="AK3505">
        <v>0.89775531719783597</v>
      </c>
      <c r="AL3505">
        <v>95.296784624134105</v>
      </c>
      <c r="AM3505">
        <v>113.00456543693799</v>
      </c>
      <c r="AN3505">
        <v>1.00000001808155</v>
      </c>
    </row>
    <row r="3506" spans="1:40" x14ac:dyDescent="0.25">
      <c r="A3506" t="str">
        <f>"20190303153837773"</f>
        <v>20190303153837773</v>
      </c>
      <c r="B3506" t="str">
        <f>"1551598717762135"</f>
        <v>1551598717762135</v>
      </c>
      <c r="C3506" t="s">
        <v>40</v>
      </c>
      <c r="D3506">
        <v>4.7940860000000001</v>
      </c>
      <c r="E3506">
        <v>0.45233440000000003</v>
      </c>
      <c r="F3506" t="s">
        <v>44</v>
      </c>
      <c r="G3506">
        <v>-492.22289999999998</v>
      </c>
      <c r="H3506">
        <v>1.0693379999999999</v>
      </c>
      <c r="I3506">
        <v>274.8236</v>
      </c>
      <c r="J3506">
        <v>-492.30599999999998</v>
      </c>
      <c r="K3506">
        <v>1.128755</v>
      </c>
      <c r="L3506">
        <v>275.6413</v>
      </c>
      <c r="M3506">
        <v>-0.44133699999999998</v>
      </c>
      <c r="N3506">
        <v>-1.6526280000000001E-2</v>
      </c>
      <c r="O3506">
        <v>-0.89718940000000003</v>
      </c>
      <c r="P3506">
        <v>-5.489045E-2</v>
      </c>
      <c r="Q3506">
        <v>-9.93869E-2</v>
      </c>
      <c r="R3506">
        <v>-0.99353400000000003</v>
      </c>
      <c r="S3506">
        <v>0.19851679999999999</v>
      </c>
      <c r="T3506">
        <v>-0.2015229</v>
      </c>
      <c r="U3506">
        <v>-3.0129090000000001</v>
      </c>
      <c r="V3506">
        <v>-0.38771240000000001</v>
      </c>
      <c r="W3506">
        <v>-9.1221860000000002E-2</v>
      </c>
      <c r="X3506">
        <v>0.9172555</v>
      </c>
      <c r="Y3506">
        <v>-0.49896760000000001</v>
      </c>
      <c r="Z3506">
        <v>3.5153320000000002E-2</v>
      </c>
      <c r="AA3506">
        <v>0.86590739999999999</v>
      </c>
      <c r="AB3506">
        <v>16</v>
      </c>
      <c r="AC3506">
        <v>8.31000000000017E-2</v>
      </c>
      <c r="AD3506">
        <v>-5.9416999999999998E-2</v>
      </c>
      <c r="AE3506">
        <v>-0.81770000000000198</v>
      </c>
      <c r="AF3506">
        <v>-0.43323303252787099</v>
      </c>
      <c r="AG3506">
        <v>-5.9416999999999998E-2</v>
      </c>
      <c r="AH3506">
        <v>0.693427895375334</v>
      </c>
      <c r="AI3506">
        <v>94.156321798315204</v>
      </c>
      <c r="AJ3506">
        <v>121.995911023612</v>
      </c>
      <c r="AK3506">
        <v>0.81979478312987697</v>
      </c>
      <c r="AL3506">
        <v>95.233903729803203</v>
      </c>
      <c r="AM3506">
        <v>112.913171122482</v>
      </c>
      <c r="AN3506">
        <v>0.99999999256793404</v>
      </c>
    </row>
    <row r="3507" spans="1:40" x14ac:dyDescent="0.25">
      <c r="A3507" t="str">
        <f>"20190303153837786"</f>
        <v>20190303153837786</v>
      </c>
      <c r="B3507" t="str">
        <f>"1551598717781654"</f>
        <v>1551598717781654</v>
      </c>
      <c r="C3507" t="s">
        <v>40</v>
      </c>
      <c r="D3507">
        <v>4.795871</v>
      </c>
      <c r="E3507">
        <v>0.45336340000000003</v>
      </c>
      <c r="F3507" t="s">
        <v>44</v>
      </c>
      <c r="G3507">
        <v>-492.23869999999999</v>
      </c>
      <c r="H3507">
        <v>1.0659639999999999</v>
      </c>
      <c r="I3507">
        <v>274.6934</v>
      </c>
      <c r="J3507">
        <v>-492.33339999999998</v>
      </c>
      <c r="K3507">
        <v>1.1287419999999999</v>
      </c>
      <c r="L3507">
        <v>275.56049999999999</v>
      </c>
      <c r="M3507">
        <v>-0.43278670000000002</v>
      </c>
      <c r="N3507">
        <v>-1.6539890000000002E-2</v>
      </c>
      <c r="O3507">
        <v>-0.9013447</v>
      </c>
      <c r="P3507">
        <v>-4.6932769999999999E-2</v>
      </c>
      <c r="Q3507">
        <v>-9.7952220000000007E-2</v>
      </c>
      <c r="R3507">
        <v>-0.99408410000000003</v>
      </c>
      <c r="S3507">
        <v>0.21432499999999999</v>
      </c>
      <c r="T3507">
        <v>-0.19945289999999999</v>
      </c>
      <c r="U3507">
        <v>-3.011444</v>
      </c>
      <c r="V3507">
        <v>-0.38643090000000002</v>
      </c>
      <c r="W3507">
        <v>-8.9721129999999996E-2</v>
      </c>
      <c r="X3507">
        <v>0.91794410000000004</v>
      </c>
      <c r="Y3507">
        <v>-0.49528680000000003</v>
      </c>
      <c r="Z3507">
        <v>3.5088999999999898E-2</v>
      </c>
      <c r="AA3507">
        <v>0.86802069999999998</v>
      </c>
      <c r="AB3507">
        <v>16</v>
      </c>
      <c r="AC3507">
        <v>9.4699999999988904E-2</v>
      </c>
      <c r="AD3507">
        <v>-6.2778E-2</v>
      </c>
      <c r="AE3507">
        <v>-0.86709999999999299</v>
      </c>
      <c r="AF3507">
        <v>-0.45831561219572198</v>
      </c>
      <c r="AG3507">
        <v>-6.2778E-2</v>
      </c>
      <c r="AH3507">
        <v>0.73685545986962697</v>
      </c>
      <c r="AI3507">
        <v>94.137843137222404</v>
      </c>
      <c r="AJ3507">
        <v>121.881136481453</v>
      </c>
      <c r="AK3507">
        <v>0.87002887676560403</v>
      </c>
      <c r="AL3507">
        <v>95.147563874201197</v>
      </c>
      <c r="AM3507">
        <v>112.829843181504</v>
      </c>
      <c r="AN3507">
        <v>1.0000000461840399</v>
      </c>
    </row>
    <row r="3508" spans="1:40" x14ac:dyDescent="0.25">
      <c r="A3508" t="str">
        <f>"20190303153837803"</f>
        <v>20190303153837803</v>
      </c>
      <c r="B3508" t="str">
        <f>"1551598717792390"</f>
        <v>1551598717792390</v>
      </c>
      <c r="C3508" t="s">
        <v>40</v>
      </c>
      <c r="D3508">
        <v>4.8075599999999996</v>
      </c>
      <c r="E3508">
        <v>0.45391979999999998</v>
      </c>
      <c r="F3508" t="s">
        <v>44</v>
      </c>
      <c r="G3508">
        <v>-492.26749999999998</v>
      </c>
      <c r="H3508">
        <v>1.0724279999999999</v>
      </c>
      <c r="I3508">
        <v>274.70030000000003</v>
      </c>
      <c r="J3508">
        <v>-492.36790000000002</v>
      </c>
      <c r="K3508">
        <v>1.1287100000000001</v>
      </c>
      <c r="L3508">
        <v>275.45420000000001</v>
      </c>
      <c r="M3508">
        <v>-0.4215122</v>
      </c>
      <c r="N3508">
        <v>-1.6552020000000001E-2</v>
      </c>
      <c r="O3508">
        <v>-0.90667189999999998</v>
      </c>
      <c r="P3508">
        <v>-3.6272720000000001E-2</v>
      </c>
      <c r="Q3508">
        <v>-9.6294920000000006E-2</v>
      </c>
      <c r="R3508">
        <v>-0.99469229999999997</v>
      </c>
      <c r="S3508">
        <v>0.23080439999999999</v>
      </c>
      <c r="T3508">
        <v>-0.19695850000000001</v>
      </c>
      <c r="U3508">
        <v>-3.0093380000000001</v>
      </c>
      <c r="V3508">
        <v>-0.38493270000000002</v>
      </c>
      <c r="W3508">
        <v>-8.7975880000000006E-2</v>
      </c>
      <c r="X3508">
        <v>0.91874210000000001</v>
      </c>
      <c r="Y3508">
        <v>-0.48922660000000001</v>
      </c>
      <c r="Z3508">
        <v>3.5075620000000002E-2</v>
      </c>
      <c r="AA3508">
        <v>0.87145110000000003</v>
      </c>
      <c r="AB3508">
        <v>16</v>
      </c>
      <c r="AC3508">
        <v>0.100400000000036</v>
      </c>
      <c r="AD3508">
        <v>-5.6281999999999902E-2</v>
      </c>
      <c r="AE3508">
        <v>-0.75389999999998702</v>
      </c>
      <c r="AF3508">
        <v>-0.40663701636619298</v>
      </c>
      <c r="AG3508">
        <v>-5.6281999999999902E-2</v>
      </c>
      <c r="AH3508">
        <v>0.637815053482368</v>
      </c>
      <c r="AI3508">
        <v>94.255329695897402</v>
      </c>
      <c r="AJ3508">
        <v>122.51942163891999</v>
      </c>
      <c r="AK3508">
        <v>0.75850469283447197</v>
      </c>
      <c r="AL3508">
        <v>95.047171640271003</v>
      </c>
      <c r="AM3508">
        <v>112.732610281367</v>
      </c>
      <c r="AN3508">
        <v>0.999999992651737</v>
      </c>
    </row>
    <row r="3509" spans="1:40" x14ac:dyDescent="0.25">
      <c r="A3509" t="str">
        <f>"20190303153837817"</f>
        <v>20190303153837817</v>
      </c>
      <c r="B3509" t="str">
        <f>"1551598717811910"</f>
        <v>1551598717811910</v>
      </c>
      <c r="C3509" t="s">
        <v>40</v>
      </c>
      <c r="D3509">
        <v>4.7959069999999997</v>
      </c>
      <c r="E3509">
        <v>0.45503349999999998</v>
      </c>
      <c r="F3509" t="s">
        <v>44</v>
      </c>
      <c r="G3509">
        <v>-492.2919</v>
      </c>
      <c r="H3509">
        <v>1.071742</v>
      </c>
      <c r="I3509">
        <v>274.57240000000002</v>
      </c>
      <c r="J3509">
        <v>-492.3963</v>
      </c>
      <c r="K3509">
        <v>1.1286639999999999</v>
      </c>
      <c r="L3509">
        <v>275.363</v>
      </c>
      <c r="M3509">
        <v>-0.41180739999999999</v>
      </c>
      <c r="N3509">
        <v>-1.6557570000000001E-2</v>
      </c>
      <c r="O3509">
        <v>-0.91112079999999995</v>
      </c>
      <c r="P3509">
        <v>-2.7609080000000001E-2</v>
      </c>
      <c r="Q3509">
        <v>-9.6769469999999996E-2</v>
      </c>
      <c r="R3509">
        <v>-0.99492440000000004</v>
      </c>
      <c r="S3509">
        <v>0.25915529999999998</v>
      </c>
      <c r="T3509">
        <v>-0.19421939999999999</v>
      </c>
      <c r="U3509">
        <v>-3.0066220000000001</v>
      </c>
      <c r="V3509">
        <v>-0.38310860000000002</v>
      </c>
      <c r="W3509">
        <v>-8.8360690000000006E-2</v>
      </c>
      <c r="X3509">
        <v>0.91946729999999999</v>
      </c>
      <c r="Y3509">
        <v>-0.48814730000000001</v>
      </c>
      <c r="Z3509">
        <v>3.4796140000000003E-2</v>
      </c>
      <c r="AA3509">
        <v>0.87206729999999999</v>
      </c>
      <c r="AB3509">
        <v>16</v>
      </c>
      <c r="AC3509">
        <v>0.10439999999999799</v>
      </c>
      <c r="AD3509">
        <v>-5.6921999999999903E-2</v>
      </c>
      <c r="AE3509">
        <v>-0.79059999999998298</v>
      </c>
      <c r="AF3509">
        <v>-0.41862064893788897</v>
      </c>
      <c r="AG3509">
        <v>-5.6921999999999903E-2</v>
      </c>
      <c r="AH3509">
        <v>0.67399809669692101</v>
      </c>
      <c r="AI3509">
        <v>94.103512074633599</v>
      </c>
      <c r="AJ3509">
        <v>121.844442238212</v>
      </c>
      <c r="AK3509">
        <v>0.795460116003468</v>
      </c>
      <c r="AL3509">
        <v>95.069305977943202</v>
      </c>
      <c r="AM3509">
        <v>112.619717606371</v>
      </c>
      <c r="AN3509">
        <v>0.99999996335026198</v>
      </c>
    </row>
    <row r="3510" spans="1:40" x14ac:dyDescent="0.25">
      <c r="A3510" t="str">
        <f>"20190303153837832"</f>
        <v>20190303153837832</v>
      </c>
      <c r="B3510" t="str">
        <f>"1551598717821670"</f>
        <v>1551598717821670</v>
      </c>
      <c r="C3510" t="s">
        <v>40</v>
      </c>
      <c r="D3510">
        <v>4.8198869999999996</v>
      </c>
      <c r="E3510">
        <v>0.45562599999999998</v>
      </c>
      <c r="F3510" t="s">
        <v>44</v>
      </c>
      <c r="G3510">
        <v>-492.31209999999999</v>
      </c>
      <c r="H3510">
        <v>1.068951</v>
      </c>
      <c r="I3510">
        <v>274.44420000000002</v>
      </c>
      <c r="J3510">
        <v>-492.42570000000001</v>
      </c>
      <c r="K3510">
        <v>1.1286069999999999</v>
      </c>
      <c r="L3510">
        <v>275.26560000000001</v>
      </c>
      <c r="M3510">
        <v>-0.40142630000000001</v>
      </c>
      <c r="N3510">
        <v>-1.6558940000000001E-2</v>
      </c>
      <c r="O3510">
        <v>-0.91574169999999999</v>
      </c>
      <c r="P3510">
        <v>-1.8592709999999998E-2</v>
      </c>
      <c r="Q3510">
        <v>-9.7565719999999995E-2</v>
      </c>
      <c r="R3510">
        <v>-0.99505529999999998</v>
      </c>
      <c r="S3510">
        <v>0.2758179</v>
      </c>
      <c r="T3510">
        <v>-0.1951638</v>
      </c>
      <c r="U3510">
        <v>-3.0039370000000001</v>
      </c>
      <c r="V3510">
        <v>-0.38096020000000003</v>
      </c>
      <c r="W3510">
        <v>-8.905296E-2</v>
      </c>
      <c r="X3510">
        <v>0.92029289999999997</v>
      </c>
      <c r="Y3510">
        <v>-0.48309049999999998</v>
      </c>
      <c r="Z3510">
        <v>3.560746E-2</v>
      </c>
      <c r="AA3510">
        <v>0.87484599999999901</v>
      </c>
      <c r="AB3510">
        <v>16</v>
      </c>
      <c r="AC3510">
        <v>0.11360000000001901</v>
      </c>
      <c r="AD3510">
        <v>-5.9655999999999897E-2</v>
      </c>
      <c r="AE3510">
        <v>-0.82139999999998203</v>
      </c>
      <c r="AF3510">
        <v>-0.43158550667721801</v>
      </c>
      <c r="AG3510">
        <v>-5.9655999999999897E-2</v>
      </c>
      <c r="AH3510">
        <v>0.70304628118796297</v>
      </c>
      <c r="AI3510">
        <v>94.136133683111893</v>
      </c>
      <c r="AJ3510">
        <v>121.54489939487</v>
      </c>
      <c r="AK3510">
        <v>0.82710275141729195</v>
      </c>
      <c r="AL3510">
        <v>95.109126604131404</v>
      </c>
      <c r="AM3510">
        <v>112.487372589313</v>
      </c>
      <c r="AN3510">
        <v>1.0000000627296</v>
      </c>
    </row>
    <row r="3511" spans="1:40" x14ac:dyDescent="0.25">
      <c r="A3511" t="str">
        <f>"20190303153837848"</f>
        <v>20190303153837848</v>
      </c>
      <c r="B3511" t="str">
        <f>"1551598717842167"</f>
        <v>1551598717842167</v>
      </c>
      <c r="C3511" t="s">
        <v>40</v>
      </c>
      <c r="D3511">
        <v>4.8185320000000003</v>
      </c>
      <c r="E3511">
        <v>0.46890500000000002</v>
      </c>
      <c r="F3511" t="s">
        <v>44</v>
      </c>
      <c r="G3511">
        <v>-492.33139999999997</v>
      </c>
      <c r="H3511">
        <v>1.0661579999999999</v>
      </c>
      <c r="I3511">
        <v>274.31619999999998</v>
      </c>
      <c r="J3511">
        <v>-492.45530000000002</v>
      </c>
      <c r="K3511">
        <v>1.1285369999999999</v>
      </c>
      <c r="L3511">
        <v>275.16300000000001</v>
      </c>
      <c r="M3511">
        <v>-0.39048080000000002</v>
      </c>
      <c r="N3511">
        <v>-1.655419E-2</v>
      </c>
      <c r="O3511">
        <v>-0.92046229999999996</v>
      </c>
      <c r="P3511">
        <v>-1.479283E-2</v>
      </c>
      <c r="Q3511">
        <v>-9.9928080000000002E-2</v>
      </c>
      <c r="R3511">
        <v>-0.99488489999999996</v>
      </c>
      <c r="S3511">
        <v>0.29837039999999998</v>
      </c>
      <c r="T3511">
        <v>-0.19736480000000001</v>
      </c>
      <c r="U3511">
        <v>-3.0011290000000002</v>
      </c>
      <c r="V3511">
        <v>-0.37338670000000002</v>
      </c>
      <c r="W3511">
        <v>-9.1176090000000001E-2</v>
      </c>
      <c r="X3511">
        <v>0.92318429999999996</v>
      </c>
      <c r="Y3511">
        <v>-0.47923569999999999</v>
      </c>
      <c r="Z3511">
        <v>3.6749240000000002E-2</v>
      </c>
      <c r="AA3511">
        <v>0.87691649999999999</v>
      </c>
      <c r="AB3511">
        <v>16</v>
      </c>
      <c r="AC3511">
        <v>0.123900000000048</v>
      </c>
      <c r="AD3511">
        <v>-6.2379000000000101E-2</v>
      </c>
      <c r="AE3511">
        <v>-0.84680000000002997</v>
      </c>
      <c r="AF3511">
        <v>-0.44241491473949002</v>
      </c>
      <c r="AG3511">
        <v>-6.2379000000000101E-2</v>
      </c>
      <c r="AH3511">
        <v>0.727303097041057</v>
      </c>
      <c r="AI3511">
        <v>94.190889410609998</v>
      </c>
      <c r="AJ3511">
        <v>121.31194460388301</v>
      </c>
      <c r="AK3511">
        <v>0.85357594354015398</v>
      </c>
      <c r="AL3511">
        <v>95.231270396591199</v>
      </c>
      <c r="AM3511">
        <v>112.02112666629399</v>
      </c>
      <c r="AN3511">
        <v>0.99999997944553298</v>
      </c>
    </row>
    <row r="3512" spans="1:40" x14ac:dyDescent="0.25">
      <c r="A3512" t="str">
        <f>"20190303153837860"</f>
        <v>20190303153837860</v>
      </c>
      <c r="B3512" t="str">
        <f>"1551598717851927"</f>
        <v>1551598717851927</v>
      </c>
      <c r="C3512" t="s">
        <v>40</v>
      </c>
      <c r="D3512">
        <v>4.8229629999999997</v>
      </c>
      <c r="E3512">
        <v>0.46915410000000002</v>
      </c>
      <c r="F3512" t="s">
        <v>42</v>
      </c>
      <c r="G3512">
        <v>-491.31700000000001</v>
      </c>
      <c r="H3512" s="1">
        <v>-4.0929719999999997E-6</v>
      </c>
      <c r="I3512">
        <v>258.32769999999999</v>
      </c>
      <c r="J3512">
        <v>-492.47680000000003</v>
      </c>
      <c r="K3512">
        <v>1.1284730000000001</v>
      </c>
      <c r="L3512">
        <v>275.08449999999999</v>
      </c>
      <c r="M3512">
        <v>-0.38213170000000002</v>
      </c>
      <c r="N3512">
        <v>-1.654506E-2</v>
      </c>
      <c r="O3512">
        <v>-0.92395970000000005</v>
      </c>
      <c r="P3512">
        <v>-1.007421E-2</v>
      </c>
      <c r="Q3512">
        <v>-0.10056030000000001</v>
      </c>
      <c r="R3512">
        <v>-0.99488019999999999</v>
      </c>
      <c r="S3512">
        <v>0.2027283</v>
      </c>
      <c r="T3512">
        <v>-0.20098830000000001</v>
      </c>
      <c r="U3512">
        <v>-2.998291</v>
      </c>
      <c r="V3512">
        <v>-0.36938959999999998</v>
      </c>
      <c r="W3512">
        <v>-9.1667150000000003E-2</v>
      </c>
      <c r="X3512">
        <v>0.92474230000000002</v>
      </c>
      <c r="Y3512">
        <v>-0.44323790000000002</v>
      </c>
      <c r="Z3512">
        <v>3.8972039999999999E-2</v>
      </c>
      <c r="AA3512">
        <v>0.89555640000000003</v>
      </c>
      <c r="AB3512">
        <v>16</v>
      </c>
      <c r="AC3512">
        <v>1.1598000000000701</v>
      </c>
      <c r="AD3512">
        <v>-1.1284770929720001</v>
      </c>
      <c r="AE3512">
        <v>-16.756799999999998</v>
      </c>
      <c r="AF3512">
        <v>-7.4423444623947903</v>
      </c>
      <c r="AG3512">
        <v>-1.1284770929720001</v>
      </c>
      <c r="AH3512">
        <v>14.973884290713499</v>
      </c>
      <c r="AI3512">
        <v>93.860862513145506</v>
      </c>
      <c r="AJ3512">
        <v>116.42837043692199</v>
      </c>
      <c r="AK3512">
        <v>16.759449943180599</v>
      </c>
      <c r="AL3512">
        <v>95.259524632098802</v>
      </c>
      <c r="AM3512">
        <v>111.77430706853799</v>
      </c>
      <c r="AN3512">
        <v>0.99999993219328398</v>
      </c>
    </row>
    <row r="3513" spans="1:40" x14ac:dyDescent="0.25">
      <c r="A3513" t="str">
        <f>"20190303153837873"</f>
        <v>20190303153837873</v>
      </c>
      <c r="B3513" t="str">
        <f>"1551598717861687"</f>
        <v>1551598717861687</v>
      </c>
      <c r="C3513" t="s">
        <v>40</v>
      </c>
      <c r="D3513">
        <v>4.8356589999999997</v>
      </c>
      <c r="E3513">
        <v>0.4699083</v>
      </c>
      <c r="F3513" t="s">
        <v>42</v>
      </c>
      <c r="G3513">
        <v>-491.29829999999998</v>
      </c>
      <c r="H3513" s="1">
        <v>-4.203268E-6</v>
      </c>
      <c r="I3513">
        <v>258.66160000000002</v>
      </c>
      <c r="J3513">
        <v>-492.49810000000002</v>
      </c>
      <c r="K3513">
        <v>1.128403</v>
      </c>
      <c r="L3513">
        <v>275.00510000000003</v>
      </c>
      <c r="M3513">
        <v>-0.37367590000000001</v>
      </c>
      <c r="N3513">
        <v>-1.6533969999999999E-2</v>
      </c>
      <c r="O3513">
        <v>-0.92741209999999996</v>
      </c>
      <c r="P3513">
        <v>-4.6028029999999999E-3</v>
      </c>
      <c r="Q3513">
        <v>-0.1010259</v>
      </c>
      <c r="R3513">
        <v>-0.99487340000000002</v>
      </c>
      <c r="S3513">
        <v>0.21505740000000001</v>
      </c>
      <c r="T3513">
        <v>-0.20592189999999999</v>
      </c>
      <c r="U3513">
        <v>-2.996826</v>
      </c>
      <c r="V3513">
        <v>-0.36602050000000003</v>
      </c>
      <c r="W3513">
        <v>-9.2005219999999999E-2</v>
      </c>
      <c r="X3513">
        <v>0.92604750000000002</v>
      </c>
      <c r="Y3513">
        <v>-0.4387334</v>
      </c>
      <c r="Z3513">
        <v>4.0788360000000003E-2</v>
      </c>
      <c r="AA3513">
        <v>0.89769109999999996</v>
      </c>
      <c r="AB3513">
        <v>16</v>
      </c>
      <c r="AC3513">
        <v>1.19980000000003</v>
      </c>
      <c r="AD3513">
        <v>-1.1284072032679999</v>
      </c>
      <c r="AE3513">
        <v>-16.343499999999999</v>
      </c>
      <c r="AF3513">
        <v>-7.1867917407700599</v>
      </c>
      <c r="AG3513">
        <v>-1.1284072032679999</v>
      </c>
      <c r="AH3513">
        <v>14.6414114432728</v>
      </c>
      <c r="AI3513">
        <v>93.957665807933296</v>
      </c>
      <c r="AJ3513">
        <v>116.14428621596799</v>
      </c>
      <c r="AK3513">
        <v>16.349134759759799</v>
      </c>
      <c r="AL3513">
        <v>95.2789766221577</v>
      </c>
      <c r="AM3513">
        <v>111.566421623304</v>
      </c>
      <c r="AN3513">
        <v>0.99999996959187298</v>
      </c>
    </row>
    <row r="3514" spans="1:40" x14ac:dyDescent="0.25">
      <c r="A3514" t="str">
        <f>"20190303153837888"</f>
        <v>20190303153837888</v>
      </c>
      <c r="B3514" t="str">
        <f>"1551598717882183"</f>
        <v>1551598717882183</v>
      </c>
      <c r="C3514" t="s">
        <v>40</v>
      </c>
      <c r="D3514">
        <v>4.8210819999999996</v>
      </c>
      <c r="E3514">
        <v>0.47134350000000003</v>
      </c>
      <c r="F3514" t="s">
        <v>42</v>
      </c>
      <c r="G3514">
        <v>-491.27719999999999</v>
      </c>
      <c r="H3514" s="1">
        <v>-4.2323530000000001E-6</v>
      </c>
      <c r="I3514">
        <v>258.75799999999998</v>
      </c>
      <c r="J3514">
        <v>-492.52319999999997</v>
      </c>
      <c r="K3514">
        <v>1.1283049999999999</v>
      </c>
      <c r="L3514">
        <v>274.9076</v>
      </c>
      <c r="M3514">
        <v>-0.3633284</v>
      </c>
      <c r="N3514">
        <v>-1.6514270000000001E-2</v>
      </c>
      <c r="O3514">
        <v>-0.93151499999999998</v>
      </c>
      <c r="P3514">
        <v>3.1270489999999998E-3</v>
      </c>
      <c r="Q3514">
        <v>-0.10111100000000001</v>
      </c>
      <c r="R3514">
        <v>-0.99487040000000004</v>
      </c>
      <c r="S3514">
        <v>0.22509770000000001</v>
      </c>
      <c r="T3514">
        <v>-0.20804049999999999</v>
      </c>
      <c r="U3514">
        <v>-2.995422</v>
      </c>
      <c r="V3514">
        <v>-0.3629252</v>
      </c>
      <c r="W3514">
        <v>-9.1955200000000001E-2</v>
      </c>
      <c r="X3514">
        <v>0.92726989999999998</v>
      </c>
      <c r="Y3514">
        <v>-0.43174230000000002</v>
      </c>
      <c r="Z3514">
        <v>4.1958250000000002E-2</v>
      </c>
      <c r="AA3514">
        <v>0.90102059999999995</v>
      </c>
      <c r="AB3514">
        <v>16</v>
      </c>
      <c r="AC3514">
        <v>1.24599999999998</v>
      </c>
      <c r="AD3514">
        <v>-1.128309232353</v>
      </c>
      <c r="AE3514">
        <v>-16.1496</v>
      </c>
      <c r="AF3514">
        <v>-6.9952892066820898</v>
      </c>
      <c r="AG3514">
        <v>-1.128309232353</v>
      </c>
      <c r="AH3514">
        <v>14.5224059609163</v>
      </c>
      <c r="AI3514">
        <v>94.004005898825397</v>
      </c>
      <c r="AJ3514">
        <v>115.71962451459</v>
      </c>
      <c r="AK3514">
        <v>16.1588188832783</v>
      </c>
      <c r="AL3514">
        <v>95.276098518391294</v>
      </c>
      <c r="AM3514">
        <v>111.374933395903</v>
      </c>
      <c r="AN3514">
        <v>0.99999996352404397</v>
      </c>
    </row>
    <row r="3515" spans="1:40" x14ac:dyDescent="0.25">
      <c r="A3515" t="str">
        <f>"20190303153837905"</f>
        <v>20190303153837905</v>
      </c>
      <c r="B3515" t="str">
        <f>"1551598717891943"</f>
        <v>1551598717891943</v>
      </c>
      <c r="C3515" t="s">
        <v>40</v>
      </c>
      <c r="D3515">
        <v>4.8174910000000004</v>
      </c>
      <c r="E3515">
        <v>0.47192539999999999</v>
      </c>
      <c r="F3515" t="s">
        <v>42</v>
      </c>
      <c r="G3515">
        <v>-491.22550000000001</v>
      </c>
      <c r="H3515" s="1">
        <v>-4.1417219999999998E-6</v>
      </c>
      <c r="I3515">
        <v>258.51859999999999</v>
      </c>
      <c r="J3515">
        <v>-492.54969999999997</v>
      </c>
      <c r="K3515">
        <v>1.1281810000000001</v>
      </c>
      <c r="L3515">
        <v>274.79899999999998</v>
      </c>
      <c r="M3515">
        <v>-0.35187360000000001</v>
      </c>
      <c r="N3515">
        <v>-1.648403E-2</v>
      </c>
      <c r="O3515">
        <v>-0.93590229999999996</v>
      </c>
      <c r="P3515">
        <v>9.0522780000000004E-3</v>
      </c>
      <c r="Q3515">
        <v>-0.1007928</v>
      </c>
      <c r="R3515">
        <v>-0.99486640000000004</v>
      </c>
      <c r="S3515">
        <v>0.23706050000000001</v>
      </c>
      <c r="T3515">
        <v>-0.20611019999999999</v>
      </c>
      <c r="U3515">
        <v>-2.993805</v>
      </c>
      <c r="V3515">
        <v>-0.35711700000000002</v>
      </c>
      <c r="W3515">
        <v>-9.1432189999999997E-2</v>
      </c>
      <c r="X3515">
        <v>0.92957389999999995</v>
      </c>
      <c r="Y3515">
        <v>-0.4242919</v>
      </c>
      <c r="Z3515">
        <v>4.2037860000000003E-2</v>
      </c>
      <c r="AA3515">
        <v>0.90454920000000005</v>
      </c>
      <c r="AB3515">
        <v>16</v>
      </c>
      <c r="AC3515">
        <v>1.3241999999999601</v>
      </c>
      <c r="AD3515">
        <v>-1.1281851417219999</v>
      </c>
      <c r="AE3515">
        <v>-16.2804</v>
      </c>
      <c r="AF3515">
        <v>-6.9358245328658699</v>
      </c>
      <c r="AG3515">
        <v>-1.1281851417219999</v>
      </c>
      <c r="AH3515">
        <v>14.7027808618062</v>
      </c>
      <c r="AI3515">
        <v>93.969878487218097</v>
      </c>
      <c r="AJ3515">
        <v>115.254918318691</v>
      </c>
      <c r="AK3515">
        <v>16.295711973859898</v>
      </c>
      <c r="AL3515">
        <v>95.246005199433</v>
      </c>
      <c r="AM3515">
        <v>111.015416904885</v>
      </c>
      <c r="AN3515">
        <v>1.0000000163092</v>
      </c>
    </row>
    <row r="3516" spans="1:40" x14ac:dyDescent="0.25">
      <c r="A3516" t="str">
        <f>"20190303153837922"</f>
        <v>20190303153837922</v>
      </c>
      <c r="B3516" t="str">
        <f>"1551598717912438"</f>
        <v>1551598717912438</v>
      </c>
      <c r="C3516" t="s">
        <v>40</v>
      </c>
      <c r="D3516">
        <v>4.8117330000000003</v>
      </c>
      <c r="E3516">
        <v>0.47295199999999998</v>
      </c>
      <c r="F3516" t="s">
        <v>42</v>
      </c>
      <c r="G3516">
        <v>-491.1968</v>
      </c>
      <c r="H3516" s="1">
        <v>-4.174739E-6</v>
      </c>
      <c r="I3516">
        <v>258.63060000000002</v>
      </c>
      <c r="J3516">
        <v>-492.5763</v>
      </c>
      <c r="K3516">
        <v>1.1280479999999999</v>
      </c>
      <c r="L3516">
        <v>274.6848</v>
      </c>
      <c r="M3516">
        <v>-0.33989000000000003</v>
      </c>
      <c r="N3516">
        <v>-1.6444569999999999E-2</v>
      </c>
      <c r="O3516">
        <v>-0.94032150000000003</v>
      </c>
      <c r="P3516">
        <v>2.1844200000000001E-2</v>
      </c>
      <c r="Q3516">
        <v>-0.1007714</v>
      </c>
      <c r="R3516">
        <v>-0.9946699</v>
      </c>
      <c r="S3516">
        <v>0.25036619999999998</v>
      </c>
      <c r="T3516">
        <v>-0.2087773</v>
      </c>
      <c r="U3516">
        <v>-2.9920650000000002</v>
      </c>
      <c r="V3516">
        <v>-0.35722470000000001</v>
      </c>
      <c r="W3516">
        <v>-9.1339100000000006E-2</v>
      </c>
      <c r="X3516">
        <v>0.92954159999999997</v>
      </c>
      <c r="Y3516">
        <v>-0.4167497</v>
      </c>
      <c r="Z3516">
        <v>4.3437829999999997E-2</v>
      </c>
      <c r="AA3516">
        <v>0.90798279999999998</v>
      </c>
      <c r="AB3516">
        <v>15</v>
      </c>
      <c r="AC3516">
        <v>1.3794999999999999</v>
      </c>
      <c r="AD3516">
        <v>-1.128052174739</v>
      </c>
      <c r="AE3516">
        <v>-16.054199999999899</v>
      </c>
      <c r="AF3516">
        <v>-6.72180471678237</v>
      </c>
      <c r="AG3516">
        <v>-1.128052174739</v>
      </c>
      <c r="AH3516">
        <v>14.55785986883</v>
      </c>
      <c r="AI3516">
        <v>94.024149170496301</v>
      </c>
      <c r="AJ3516">
        <v>114.78420028726801</v>
      </c>
      <c r="AK3516">
        <v>16.074403389239102</v>
      </c>
      <c r="AL3516">
        <v>95.240649462308298</v>
      </c>
      <c r="AM3516">
        <v>111.02186785225101</v>
      </c>
      <c r="AN3516">
        <v>0.999999951804728</v>
      </c>
    </row>
    <row r="3517" spans="1:40" x14ac:dyDescent="0.25">
      <c r="A3517" t="str">
        <f>"20190303153837939"</f>
        <v>20190303153837939</v>
      </c>
      <c r="B3517" t="str">
        <f>"1551598717931960"</f>
        <v>1551598717931960</v>
      </c>
      <c r="C3517" t="s">
        <v>40</v>
      </c>
      <c r="D3517">
        <v>4.825691</v>
      </c>
      <c r="E3517">
        <v>0.47394979999999998</v>
      </c>
      <c r="F3517" t="s">
        <v>42</v>
      </c>
      <c r="G3517">
        <v>-491.0548</v>
      </c>
      <c r="H3517" s="1">
        <v>-4.1044190000000004E-6</v>
      </c>
      <c r="I3517">
        <v>258.50240000000002</v>
      </c>
      <c r="J3517">
        <v>-492.60090000000002</v>
      </c>
      <c r="K3517">
        <v>1.1279030000000001</v>
      </c>
      <c r="L3517">
        <v>274.57350000000002</v>
      </c>
      <c r="M3517">
        <v>-0.32830789999999999</v>
      </c>
      <c r="N3517">
        <v>-1.6398780000000002E-2</v>
      </c>
      <c r="O3517">
        <v>-0.94442870000000001</v>
      </c>
      <c r="P3517">
        <v>2.6438969999999999E-2</v>
      </c>
      <c r="Q3517">
        <v>-0.10143480000000001</v>
      </c>
      <c r="R3517">
        <v>-0.99449120000000002</v>
      </c>
      <c r="S3517">
        <v>0.28100589999999998</v>
      </c>
      <c r="T3517">
        <v>-0.20834259999999999</v>
      </c>
      <c r="U3517">
        <v>-2.9887700000000001</v>
      </c>
      <c r="V3517">
        <v>-0.35009289999999998</v>
      </c>
      <c r="W3517">
        <v>-9.1771809999999995E-2</v>
      </c>
      <c r="X3517">
        <v>0.93220860000000005</v>
      </c>
      <c r="Y3517">
        <v>-0.41489989999999999</v>
      </c>
      <c r="Z3517">
        <v>4.3834199999999997E-2</v>
      </c>
      <c r="AA3517">
        <v>0.90881060000000002</v>
      </c>
      <c r="AB3517">
        <v>15</v>
      </c>
      <c r="AC3517">
        <v>1.54610000000002</v>
      </c>
      <c r="AD3517">
        <v>-1.1279071044190001</v>
      </c>
      <c r="AE3517">
        <v>-16.071100000000001</v>
      </c>
      <c r="AF3517">
        <v>-6.7046331406547104</v>
      </c>
      <c r="AG3517">
        <v>-1.1279071044190001</v>
      </c>
      <c r="AH3517">
        <v>14.601120903833401</v>
      </c>
      <c r="AI3517">
        <v>94.015617516796794</v>
      </c>
      <c r="AJ3517">
        <v>114.663933995671</v>
      </c>
      <c r="AK3517">
        <v>16.106427649709399</v>
      </c>
      <c r="AL3517">
        <v>95.2655462929973</v>
      </c>
      <c r="AM3517">
        <v>110.583773367194</v>
      </c>
      <c r="AN3517">
        <v>0.99999998882752295</v>
      </c>
    </row>
    <row r="3518" spans="1:40" x14ac:dyDescent="0.25">
      <c r="A3518" t="str">
        <f>"20190303153837952"</f>
        <v>20190303153837952</v>
      </c>
      <c r="B3518" t="str">
        <f>"1551598717941719"</f>
        <v>1551598717941719</v>
      </c>
      <c r="C3518" t="s">
        <v>40</v>
      </c>
      <c r="D3518">
        <v>4.7976369999999999</v>
      </c>
      <c r="E3518">
        <v>0.47417160000000003</v>
      </c>
      <c r="F3518" t="s">
        <v>42</v>
      </c>
      <c r="G3518">
        <v>-491.03660000000002</v>
      </c>
      <c r="H3518" s="1">
        <v>-3.995397E-6</v>
      </c>
      <c r="I3518">
        <v>258.25959999999998</v>
      </c>
      <c r="J3518">
        <v>-492.61829999999998</v>
      </c>
      <c r="K3518">
        <v>1.1277919999999999</v>
      </c>
      <c r="L3518">
        <v>274.49119999999999</v>
      </c>
      <c r="M3518">
        <v>-0.31979289999999999</v>
      </c>
      <c r="N3518">
        <v>-1.6361589999999999E-2</v>
      </c>
      <c r="O3518">
        <v>-0.94734620000000003</v>
      </c>
      <c r="P3518">
        <v>3.095846E-2</v>
      </c>
      <c r="Q3518">
        <v>-0.1020812</v>
      </c>
      <c r="R3518">
        <v>-0.99429429999999996</v>
      </c>
      <c r="S3518">
        <v>0.286499</v>
      </c>
      <c r="T3518">
        <v>-0.20658099999999999</v>
      </c>
      <c r="U3518">
        <v>-2.9879760000000002</v>
      </c>
      <c r="V3518">
        <v>-0.34593269999999998</v>
      </c>
      <c r="W3518">
        <v>-9.2275620000000003E-2</v>
      </c>
      <c r="X3518">
        <v>0.93371079999999995</v>
      </c>
      <c r="Y3518">
        <v>-0.40838930000000001</v>
      </c>
      <c r="Z3518">
        <v>4.3779150000000003E-2</v>
      </c>
      <c r="AA3518">
        <v>0.91175740000000005</v>
      </c>
      <c r="AB3518">
        <v>15</v>
      </c>
      <c r="AC3518">
        <v>1.5816999999999499</v>
      </c>
      <c r="AD3518">
        <v>-1.12779599539699</v>
      </c>
      <c r="AE3518">
        <v>-16.2316</v>
      </c>
      <c r="AF3518">
        <v>-6.6582219666010296</v>
      </c>
      <c r="AG3518">
        <v>-1.12779599539699</v>
      </c>
      <c r="AH3518">
        <v>14.8023301698993</v>
      </c>
      <c r="AI3518">
        <v>93.974789168104806</v>
      </c>
      <c r="AJ3518">
        <v>114.21864609385599</v>
      </c>
      <c r="AK3518">
        <v>16.269997603640601</v>
      </c>
      <c r="AL3518">
        <v>95.294535212412995</v>
      </c>
      <c r="AM3518">
        <v>110.32928199011</v>
      </c>
      <c r="AN3518">
        <v>1.00000004050615</v>
      </c>
    </row>
    <row r="3519" spans="1:40" x14ac:dyDescent="0.25">
      <c r="A3519" t="str">
        <f>"20190303153837972"</f>
        <v>20190303153837972</v>
      </c>
      <c r="B3519" t="str">
        <f>"1551598717962217"</f>
        <v>1551598717962217</v>
      </c>
      <c r="C3519" t="s">
        <v>40</v>
      </c>
      <c r="D3519">
        <v>4.7756970000000001</v>
      </c>
      <c r="E3519">
        <v>0.47470250000000003</v>
      </c>
      <c r="F3519" t="s">
        <v>42</v>
      </c>
      <c r="G3519">
        <v>-490.99250000000001</v>
      </c>
      <c r="H3519" s="1">
        <v>-3.96787699999999E-6</v>
      </c>
      <c r="I3519">
        <v>258.22280000000001</v>
      </c>
      <c r="J3519">
        <v>-492.64449999999999</v>
      </c>
      <c r="K3519">
        <v>1.1276060000000001</v>
      </c>
      <c r="L3519">
        <v>274.36099999999999</v>
      </c>
      <c r="M3519">
        <v>-0.30646980000000001</v>
      </c>
      <c r="N3519">
        <v>-1.6294550000000001E-2</v>
      </c>
      <c r="O3519">
        <v>-0.95174119999999995</v>
      </c>
      <c r="P3519">
        <v>3.5068540000000002E-2</v>
      </c>
      <c r="Q3519">
        <v>-0.10404190000000001</v>
      </c>
      <c r="R3519">
        <v>-0.99395480000000003</v>
      </c>
      <c r="S3519">
        <v>0.29849239999999999</v>
      </c>
      <c r="T3519">
        <v>-0.20705009999999999</v>
      </c>
      <c r="U3519">
        <v>-2.986694</v>
      </c>
      <c r="V3519">
        <v>-0.3366362</v>
      </c>
      <c r="W3519">
        <v>-9.3961669999999997E-2</v>
      </c>
      <c r="X3519">
        <v>0.93693499999999996</v>
      </c>
      <c r="Y3519">
        <v>-0.39923409999999998</v>
      </c>
      <c r="Z3519">
        <v>4.4594889999999998E-2</v>
      </c>
      <c r="AA3519">
        <v>0.91576389999999996</v>
      </c>
      <c r="AB3519">
        <v>15</v>
      </c>
      <c r="AC3519">
        <v>1.6519999999999799</v>
      </c>
      <c r="AD3519">
        <v>-1.127609967877</v>
      </c>
      <c r="AE3519">
        <v>-16.138199999999902</v>
      </c>
      <c r="AF3519">
        <v>-6.4876660050354902</v>
      </c>
      <c r="AG3519">
        <v>-1.127609967877</v>
      </c>
      <c r="AH3519">
        <v>14.7836428632856</v>
      </c>
      <c r="AI3519">
        <v>93.9953181587573</v>
      </c>
      <c r="AJ3519">
        <v>113.69382734653701</v>
      </c>
      <c r="AK3519">
        <v>16.183862664448299</v>
      </c>
      <c r="AL3519">
        <v>95.391560774813101</v>
      </c>
      <c r="AM3519">
        <v>109.763116720745</v>
      </c>
      <c r="AN3519">
        <v>0.99999996040231298</v>
      </c>
    </row>
    <row r="3520" spans="1:40" x14ac:dyDescent="0.25">
      <c r="A3520" t="str">
        <f>"20190303153837987"</f>
        <v>20190303153837987</v>
      </c>
      <c r="B3520" t="str">
        <f>"1551598717981735"</f>
        <v>1551598717981735</v>
      </c>
      <c r="C3520" t="s">
        <v>40</v>
      </c>
      <c r="D3520">
        <v>4.9257229999999996</v>
      </c>
      <c r="E3520">
        <v>0.47488570000000002</v>
      </c>
      <c r="F3520" t="s">
        <v>42</v>
      </c>
      <c r="G3520">
        <v>-490.99919999999997</v>
      </c>
      <c r="H3520" s="1">
        <v>-4.014711E-6</v>
      </c>
      <c r="I3520">
        <v>258.32780000000002</v>
      </c>
      <c r="J3520">
        <v>-492.66329999999999</v>
      </c>
      <c r="K3520">
        <v>1.127467</v>
      </c>
      <c r="L3520">
        <v>274.26209999999998</v>
      </c>
      <c r="M3520">
        <v>-0.29646519999999998</v>
      </c>
      <c r="N3520">
        <v>-1.6238809999999999E-2</v>
      </c>
      <c r="O3520">
        <v>-0.95490569999999997</v>
      </c>
      <c r="P3520">
        <v>4.0564160000000002E-2</v>
      </c>
      <c r="Q3520">
        <v>-0.10492750000000001</v>
      </c>
      <c r="R3520">
        <v>-0.99365250000000005</v>
      </c>
      <c r="S3520">
        <v>0.30636600000000003</v>
      </c>
      <c r="T3520">
        <v>-0.2099694</v>
      </c>
      <c r="U3520">
        <v>-2.9855040000000002</v>
      </c>
      <c r="V3520">
        <v>-0.33197729999999998</v>
      </c>
      <c r="W3520">
        <v>-9.4695660000000001E-2</v>
      </c>
      <c r="X3520">
        <v>0.93852219999999997</v>
      </c>
      <c r="Y3520">
        <v>-0.3920265</v>
      </c>
      <c r="Z3520">
        <v>4.5970940000000002E-2</v>
      </c>
      <c r="AA3520">
        <v>0.91880459999999997</v>
      </c>
      <c r="AB3520">
        <v>15</v>
      </c>
      <c r="AC3520">
        <v>1.6641000000000099</v>
      </c>
      <c r="AD3520">
        <v>-1.1274710147110001</v>
      </c>
      <c r="AE3520">
        <v>-15.934299999999901</v>
      </c>
      <c r="AF3520">
        <v>-6.28273995171633</v>
      </c>
      <c r="AG3520">
        <v>-1.1274710147110001</v>
      </c>
      <c r="AH3520">
        <v>14.6517816455352</v>
      </c>
      <c r="AI3520">
        <v>94.045410120887993</v>
      </c>
      <c r="AJ3520">
        <v>113.20983852763</v>
      </c>
      <c r="AK3520">
        <v>15.981824601038101</v>
      </c>
      <c r="AL3520">
        <v>95.433803132124694</v>
      </c>
      <c r="AM3520">
        <v>109.47988065708</v>
      </c>
      <c r="AN3520">
        <v>1.00000005781548</v>
      </c>
    </row>
    <row r="3521" spans="1:40" x14ac:dyDescent="0.25">
      <c r="A3521" t="str">
        <f>"20190303153838005"</f>
        <v>20190303153838005</v>
      </c>
      <c r="B3521" t="str">
        <f>"1551598718002230"</f>
        <v>1551598718002230</v>
      </c>
      <c r="C3521" t="s">
        <v>40</v>
      </c>
      <c r="D3521">
        <v>4.9408599999999998</v>
      </c>
      <c r="E3521">
        <v>0.4752691</v>
      </c>
      <c r="F3521" t="s">
        <v>42</v>
      </c>
      <c r="G3521">
        <v>-490.97680000000003</v>
      </c>
      <c r="H3521" s="1">
        <v>-4.1246570000000004E-6</v>
      </c>
      <c r="I3521">
        <v>258.59809999999999</v>
      </c>
      <c r="J3521">
        <v>-492.6832</v>
      </c>
      <c r="K3521">
        <v>1.1273200000000001</v>
      </c>
      <c r="L3521">
        <v>274.1508</v>
      </c>
      <c r="M3521">
        <v>-0.28534589999999999</v>
      </c>
      <c r="N3521">
        <v>-1.6171520000000002E-2</v>
      </c>
      <c r="O3521">
        <v>-0.95828809999999998</v>
      </c>
      <c r="P3521">
        <v>4.2339309999999998E-2</v>
      </c>
      <c r="Q3521">
        <v>-0.1054348</v>
      </c>
      <c r="R3521">
        <v>-0.99352439999999997</v>
      </c>
      <c r="S3521">
        <v>0.32119750000000002</v>
      </c>
      <c r="T3521">
        <v>-0.2147385</v>
      </c>
      <c r="U3521">
        <v>-2.983368</v>
      </c>
      <c r="V3521">
        <v>-0.3227563</v>
      </c>
      <c r="W3521">
        <v>-9.4960139999999998E-2</v>
      </c>
      <c r="X3521">
        <v>0.94170640000000005</v>
      </c>
      <c r="Y3521">
        <v>-0.38590229999999998</v>
      </c>
      <c r="Z3521">
        <v>4.7935709999999999E-2</v>
      </c>
      <c r="AA3521">
        <v>0.92129340000000004</v>
      </c>
      <c r="AB3521">
        <v>15</v>
      </c>
      <c r="AC3521">
        <v>1.7063999999999699</v>
      </c>
      <c r="AD3521">
        <v>-1.127324124657</v>
      </c>
      <c r="AE3521">
        <v>-15.5527</v>
      </c>
      <c r="AF3521">
        <v>-6.0425469969888397</v>
      </c>
      <c r="AG3521">
        <v>-1.127324124657</v>
      </c>
      <c r="AH3521">
        <v>14.344470760301</v>
      </c>
      <c r="AI3521">
        <v>94.142460724719697</v>
      </c>
      <c r="AJ3521">
        <v>112.84305098347301</v>
      </c>
      <c r="AK3521">
        <v>15.605994850889299</v>
      </c>
      <c r="AL3521">
        <v>95.449025627828703</v>
      </c>
      <c r="AM3521">
        <v>108.918412359757</v>
      </c>
      <c r="AN3521">
        <v>1.00000000058973</v>
      </c>
    </row>
    <row r="3522" spans="1:40" x14ac:dyDescent="0.25">
      <c r="A3522" t="str">
        <f>"20190303153838019"</f>
        <v>20190303153838019</v>
      </c>
      <c r="B3522" t="str">
        <f>"1551598718011991"</f>
        <v>1551598718011991</v>
      </c>
      <c r="C3522" t="s">
        <v>40</v>
      </c>
      <c r="D3522">
        <v>4.9514839999999998</v>
      </c>
      <c r="E3522">
        <v>0.47551470000000001</v>
      </c>
      <c r="F3522" t="s">
        <v>42</v>
      </c>
      <c r="G3522">
        <v>-491.04070000000002</v>
      </c>
      <c r="H3522" s="1">
        <v>-4.2716629999999997E-6</v>
      </c>
      <c r="I3522">
        <v>258.99680000000001</v>
      </c>
      <c r="J3522">
        <v>-492.7</v>
      </c>
      <c r="K3522">
        <v>1.1271819999999999</v>
      </c>
      <c r="L3522">
        <v>274.05220000000003</v>
      </c>
      <c r="M3522">
        <v>-0.27565009999999901</v>
      </c>
      <c r="N3522">
        <v>-1.6107630000000001E-2</v>
      </c>
      <c r="O3522">
        <v>-0.96112330000000001</v>
      </c>
      <c r="P3522">
        <v>4.7611479999999998E-2</v>
      </c>
      <c r="Q3522">
        <v>-0.1052105</v>
      </c>
      <c r="R3522">
        <v>-0.99330989999999997</v>
      </c>
      <c r="S3522">
        <v>0.32324219999999998</v>
      </c>
      <c r="T3522">
        <v>-0.22185289999999999</v>
      </c>
      <c r="U3522">
        <v>-2.9822389999999999</v>
      </c>
      <c r="V3522">
        <v>-0.3182854</v>
      </c>
      <c r="W3522">
        <v>-9.4598429999999997E-2</v>
      </c>
      <c r="X3522">
        <v>0.94326319999999997</v>
      </c>
      <c r="Y3522">
        <v>-0.37721470000000001</v>
      </c>
      <c r="Z3522">
        <v>5.0602010000000003E-2</v>
      </c>
      <c r="AA3522">
        <v>0.92474239999999996</v>
      </c>
      <c r="AB3522">
        <v>15</v>
      </c>
      <c r="AC3522">
        <v>1.65929999999997</v>
      </c>
      <c r="AD3522">
        <v>-1.1271862716629999</v>
      </c>
      <c r="AE3522">
        <v>-15.055400000000001</v>
      </c>
      <c r="AF3522">
        <v>-5.71391416966798</v>
      </c>
      <c r="AG3522">
        <v>-1.1271862716629999</v>
      </c>
      <c r="AH3522">
        <v>13.937337885167199</v>
      </c>
      <c r="AI3522">
        <v>94.279510777452003</v>
      </c>
      <c r="AJ3522">
        <v>112.292241242581</v>
      </c>
      <c r="AK3522">
        <v>15.105255752706601</v>
      </c>
      <c r="AL3522">
        <v>95.428207666419297</v>
      </c>
      <c r="AM3522">
        <v>108.645943468637</v>
      </c>
      <c r="AN3522">
        <v>0.99999996164293103</v>
      </c>
    </row>
    <row r="3523" spans="1:40" x14ac:dyDescent="0.25">
      <c r="A3523" t="str">
        <f>"20190303153838034"</f>
        <v>20190303153838034</v>
      </c>
      <c r="B3523" t="str">
        <f>"1551598718032486"</f>
        <v>1551598718032486</v>
      </c>
      <c r="C3523" t="s">
        <v>40</v>
      </c>
      <c r="D3523">
        <v>4.9567290000000002</v>
      </c>
      <c r="E3523">
        <v>0.47567619999999999</v>
      </c>
      <c r="F3523" t="s">
        <v>42</v>
      </c>
      <c r="G3523">
        <v>-491.0016</v>
      </c>
      <c r="H3523" s="1">
        <v>-4.2782599999999999E-6</v>
      </c>
      <c r="I3523">
        <v>259.03660000000002</v>
      </c>
      <c r="J3523">
        <v>-492.71570000000003</v>
      </c>
      <c r="K3523">
        <v>1.127035</v>
      </c>
      <c r="L3523">
        <v>273.9556</v>
      </c>
      <c r="M3523">
        <v>-0.2662619</v>
      </c>
      <c r="N3523">
        <v>-1.6041670000000001E-2</v>
      </c>
      <c r="O3523">
        <v>-0.96376729999999999</v>
      </c>
      <c r="P3523">
        <v>5.2180570000000003E-2</v>
      </c>
      <c r="Q3523">
        <v>-0.1038594</v>
      </c>
      <c r="R3523">
        <v>-0.99322250000000001</v>
      </c>
      <c r="S3523">
        <v>0.33709719999999999</v>
      </c>
      <c r="T3523">
        <v>-0.22372400000000001</v>
      </c>
      <c r="U3523">
        <v>-2.9803160000000002</v>
      </c>
      <c r="V3523">
        <v>-0.31351659999999998</v>
      </c>
      <c r="W3523">
        <v>-9.3104190000000003E-2</v>
      </c>
      <c r="X3523">
        <v>0.94500740000000005</v>
      </c>
      <c r="Y3523">
        <v>-0.3724866</v>
      </c>
      <c r="Z3523">
        <v>5.1623530000000001E-2</v>
      </c>
      <c r="AA3523">
        <v>0.9266006</v>
      </c>
      <c r="AB3523">
        <v>15</v>
      </c>
      <c r="AC3523">
        <v>1.7141000000000299</v>
      </c>
      <c r="AD3523">
        <v>-1.1270392782600001</v>
      </c>
      <c r="AE3523">
        <v>-14.918999999999899</v>
      </c>
      <c r="AF3523">
        <v>-5.5935722798805498</v>
      </c>
      <c r="AG3523">
        <v>-1.1270392782600001</v>
      </c>
      <c r="AH3523">
        <v>13.845848382353299</v>
      </c>
      <c r="AI3523">
        <v>94.316094982539497</v>
      </c>
      <c r="AJ3523">
        <v>111.99817293855099</v>
      </c>
      <c r="AK3523">
        <v>14.975506195521501</v>
      </c>
      <c r="AL3523">
        <v>95.342214156063207</v>
      </c>
      <c r="AM3523">
        <v>108.35383135468</v>
      </c>
      <c r="AN3523">
        <v>1.00000001736293</v>
      </c>
    </row>
    <row r="3524" spans="1:40" x14ac:dyDescent="0.25">
      <c r="A3524" t="str">
        <f>"20190303153838050"</f>
        <v>20190303153838050</v>
      </c>
      <c r="B3524" t="str">
        <f>"1551598718042247"</f>
        <v>1551598718042247</v>
      </c>
      <c r="C3524" t="s">
        <v>40</v>
      </c>
      <c r="D3524">
        <v>4.9575879999999897</v>
      </c>
      <c r="E3524">
        <v>0.49749300000000002</v>
      </c>
      <c r="F3524" t="s">
        <v>42</v>
      </c>
      <c r="G3524">
        <v>-490.93419999999998</v>
      </c>
      <c r="H3524" s="1">
        <v>-4.1822240000000002E-6</v>
      </c>
      <c r="I3524">
        <v>258.78949999999998</v>
      </c>
      <c r="J3524">
        <v>-492.73180000000002</v>
      </c>
      <c r="K3524">
        <v>1.126876</v>
      </c>
      <c r="L3524">
        <v>273.85199999999998</v>
      </c>
      <c r="M3524">
        <v>-0.25634170000000001</v>
      </c>
      <c r="N3524">
        <v>-1.5967039999999998E-2</v>
      </c>
      <c r="O3524">
        <v>-0.96645449999999999</v>
      </c>
      <c r="P3524">
        <v>5.2341480000000003E-2</v>
      </c>
      <c r="Q3524">
        <v>-0.1029316</v>
      </c>
      <c r="R3524">
        <v>-0.99331060000000004</v>
      </c>
      <c r="S3524">
        <v>0.34991460000000002</v>
      </c>
      <c r="T3524">
        <v>-0.22137580000000001</v>
      </c>
      <c r="U3524">
        <v>-2.9789729999999999</v>
      </c>
      <c r="V3524">
        <v>-0.30402950000000001</v>
      </c>
      <c r="W3524">
        <v>-9.1943490000000003E-2</v>
      </c>
      <c r="X3524">
        <v>0.94821540000000004</v>
      </c>
      <c r="Y3524">
        <v>-0.36693550000000003</v>
      </c>
      <c r="Z3524">
        <v>5.138417E-2</v>
      </c>
      <c r="AA3524">
        <v>0.92882620000000005</v>
      </c>
      <c r="AB3524">
        <v>15</v>
      </c>
      <c r="AC3524">
        <v>1.7976000000000401</v>
      </c>
      <c r="AD3524">
        <v>-1.126880182224</v>
      </c>
      <c r="AE3524">
        <v>-15.0625</v>
      </c>
      <c r="AF3524">
        <v>-5.5684291090999798</v>
      </c>
      <c r="AG3524">
        <v>-1.126880182224</v>
      </c>
      <c r="AH3524">
        <v>14.020842372101599</v>
      </c>
      <c r="AI3524">
        <v>94.271856450471802</v>
      </c>
      <c r="AJ3524">
        <v>111.660683484929</v>
      </c>
      <c r="AK3524">
        <v>15.128161901284599</v>
      </c>
      <c r="AL3524">
        <v>95.275424571771694</v>
      </c>
      <c r="AM3524">
        <v>107.77758418154799</v>
      </c>
      <c r="AN3524">
        <v>0.99999999351039504</v>
      </c>
    </row>
    <row r="3525" spans="1:40" x14ac:dyDescent="0.25">
      <c r="A3525" t="str">
        <f>"20190303153838062"</f>
        <v>20190303153838062</v>
      </c>
      <c r="B3525" t="str">
        <f>"1551598718052006"</f>
        <v>1551598718052006</v>
      </c>
      <c r="C3525" t="s">
        <v>40</v>
      </c>
      <c r="D3525">
        <v>4.9790530000000004</v>
      </c>
      <c r="E3525">
        <v>0.50641099999999994</v>
      </c>
      <c r="F3525" t="s">
        <v>42</v>
      </c>
      <c r="G3525">
        <v>-491.69450000000001</v>
      </c>
      <c r="H3525" s="1">
        <v>-3.299449E-6</v>
      </c>
      <c r="I3525">
        <v>256.22919999999999</v>
      </c>
      <c r="J3525">
        <v>-492.74400000000003</v>
      </c>
      <c r="K3525">
        <v>1.126736</v>
      </c>
      <c r="L3525">
        <v>273.76740000000001</v>
      </c>
      <c r="M3525">
        <v>-0.2484239</v>
      </c>
      <c r="N3525">
        <v>-1.5901309999999998E-2</v>
      </c>
      <c r="O3525">
        <v>-0.96852099999999997</v>
      </c>
      <c r="P3525">
        <v>5.5108379999999998E-2</v>
      </c>
      <c r="Q3525">
        <v>-0.1022739</v>
      </c>
      <c r="R3525">
        <v>-0.99322889999999997</v>
      </c>
      <c r="S3525">
        <v>0.17605589999999999</v>
      </c>
      <c r="T3525">
        <v>-0.19126389999999999</v>
      </c>
      <c r="U3525">
        <v>-2.9910890000000001</v>
      </c>
      <c r="V3525">
        <v>-0.29897069999999998</v>
      </c>
      <c r="W3525">
        <v>-9.1152590000000006E-2</v>
      </c>
      <c r="X3525">
        <v>0.94989880000000004</v>
      </c>
      <c r="Y3525">
        <v>-0.304678</v>
      </c>
      <c r="Z3525">
        <v>4.3244270000000001E-2</v>
      </c>
      <c r="AA3525">
        <v>0.95147320000000002</v>
      </c>
      <c r="AB3525">
        <v>15</v>
      </c>
      <c r="AC3525">
        <v>1.0495000000000201</v>
      </c>
      <c r="AD3525">
        <v>-1.126739299449</v>
      </c>
      <c r="AE3525">
        <v>-17.5382</v>
      </c>
      <c r="AF3525">
        <v>-5.3520385231303997</v>
      </c>
      <c r="AG3525">
        <v>-1.126739299449</v>
      </c>
      <c r="AH3525">
        <v>16.658994220005201</v>
      </c>
      <c r="AI3525">
        <v>93.684411298262802</v>
      </c>
      <c r="AJ3525">
        <v>107.810664594767</v>
      </c>
      <c r="AK3525">
        <v>17.533851437267302</v>
      </c>
      <c r="AL3525">
        <v>95.229918196251504</v>
      </c>
      <c r="AM3525">
        <v>107.470849522847</v>
      </c>
      <c r="AN3525">
        <v>1.0000000021818101</v>
      </c>
    </row>
    <row r="3526" spans="1:40" x14ac:dyDescent="0.25">
      <c r="A3526" t="str">
        <f>"20190303153838076"</f>
        <v>20190303153838076</v>
      </c>
      <c r="B3526" t="str">
        <f>"1551598718071526"</f>
        <v>1551598718071526</v>
      </c>
      <c r="C3526" t="s">
        <v>40</v>
      </c>
      <c r="D3526">
        <v>4.9975680000000002</v>
      </c>
      <c r="E3526">
        <v>0.51361970000000001</v>
      </c>
      <c r="F3526" t="s">
        <v>42</v>
      </c>
      <c r="G3526">
        <v>-492.00709999999998</v>
      </c>
      <c r="H3526" s="1">
        <v>-2.5568470000000001E-6</v>
      </c>
      <c r="I3526">
        <v>254.30430000000001</v>
      </c>
      <c r="J3526">
        <v>-492.755</v>
      </c>
      <c r="K3526">
        <v>1.1266069999999999</v>
      </c>
      <c r="L3526">
        <v>273.68889999999999</v>
      </c>
      <c r="M3526">
        <v>-0.24115539999999999</v>
      </c>
      <c r="N3526">
        <v>-1.583973E-2</v>
      </c>
      <c r="O3526">
        <v>-0.97035740000000004</v>
      </c>
      <c r="P3526">
        <v>5.7706680000000003E-2</v>
      </c>
      <c r="Q3526">
        <v>-0.1020885</v>
      </c>
      <c r="R3526">
        <v>-0.99310030000000005</v>
      </c>
      <c r="S3526">
        <v>0.1134338</v>
      </c>
      <c r="T3526">
        <v>-0.17345769999999999</v>
      </c>
      <c r="U3526">
        <v>-2.9962770000000001</v>
      </c>
      <c r="V3526">
        <v>-0.29437249999999998</v>
      </c>
      <c r="W3526">
        <v>-9.0850719999999996E-2</v>
      </c>
      <c r="X3526">
        <v>0.95136270000000001</v>
      </c>
      <c r="Y3526">
        <v>-0.27752729999999998</v>
      </c>
      <c r="Z3526">
        <v>3.8184450000000002E-2</v>
      </c>
      <c r="AA3526">
        <v>0.9599586</v>
      </c>
      <c r="AB3526">
        <v>15</v>
      </c>
      <c r="AC3526">
        <v>0.747900000000015</v>
      </c>
      <c r="AD3526">
        <v>-1.12660955684699</v>
      </c>
      <c r="AE3526">
        <v>-19.384599999999899</v>
      </c>
      <c r="AF3526">
        <v>-5.3829525591834297</v>
      </c>
      <c r="AG3526">
        <v>-1.12660955684699</v>
      </c>
      <c r="AH3526">
        <v>18.569334406111501</v>
      </c>
      <c r="AI3526">
        <v>93.334937459427195</v>
      </c>
      <c r="AJ3526">
        <v>106.16602703880601</v>
      </c>
      <c r="AK3526">
        <v>19.3666106387771</v>
      </c>
      <c r="AL3526">
        <v>95.212550242977201</v>
      </c>
      <c r="AM3526">
        <v>107.193215093004</v>
      </c>
      <c r="AN3526">
        <v>1.00000000451602</v>
      </c>
    </row>
    <row r="3527" spans="1:40" x14ac:dyDescent="0.25">
      <c r="A3527" t="str">
        <f>"20190303153838088"</f>
        <v>20190303153838088</v>
      </c>
      <c r="B3527" t="str">
        <f>"1551598718082262"</f>
        <v>1551598718082262</v>
      </c>
      <c r="C3527" t="s">
        <v>40</v>
      </c>
      <c r="D3527">
        <v>4.9733510000000001</v>
      </c>
      <c r="E3527">
        <v>0.51590000000000003</v>
      </c>
      <c r="F3527" t="s">
        <v>42</v>
      </c>
      <c r="G3527">
        <v>-492.29599999999999</v>
      </c>
      <c r="H3527" s="1">
        <v>-1.7201630000000001E-6</v>
      </c>
      <c r="I3527">
        <v>252.1748</v>
      </c>
      <c r="J3527">
        <v>-492.76650000000001</v>
      </c>
      <c r="K3527">
        <v>1.1264700000000001</v>
      </c>
      <c r="L3527">
        <v>273.60419999999999</v>
      </c>
      <c r="M3527">
        <v>-0.2334048</v>
      </c>
      <c r="N3527">
        <v>-1.5772749999999999E-2</v>
      </c>
      <c r="O3527">
        <v>-0.9722518</v>
      </c>
      <c r="P3527">
        <v>6.1126420000000001E-2</v>
      </c>
      <c r="Q3527">
        <v>-0.1019997</v>
      </c>
      <c r="R3527">
        <v>-0.99290489999999998</v>
      </c>
      <c r="S3527">
        <v>6.4025879999999993E-2</v>
      </c>
      <c r="T3527">
        <v>-0.15714800000000001</v>
      </c>
      <c r="U3527">
        <v>-3.0009459999999999</v>
      </c>
      <c r="V3527">
        <v>-0.29009370000000001</v>
      </c>
      <c r="W3527">
        <v>-9.0653419999999998E-2</v>
      </c>
      <c r="X3527">
        <v>0.95269490000000001</v>
      </c>
      <c r="Y3527">
        <v>-0.25396639999999998</v>
      </c>
      <c r="Z3527">
        <v>3.3466410000000002E-2</v>
      </c>
      <c r="AA3527">
        <v>0.96663390000000005</v>
      </c>
      <c r="AB3527">
        <v>15</v>
      </c>
      <c r="AC3527">
        <v>0.47050000000001502</v>
      </c>
      <c r="AD3527">
        <v>-1.1264717201629999</v>
      </c>
      <c r="AE3527">
        <v>-21.429399999999902</v>
      </c>
      <c r="AF3527">
        <v>-5.4448099594063697</v>
      </c>
      <c r="AG3527">
        <v>-1.1264717201629999</v>
      </c>
      <c r="AH3527">
        <v>20.670442607301801</v>
      </c>
      <c r="AI3527">
        <v>93.016647311345295</v>
      </c>
      <c r="AJ3527">
        <v>104.757093515249</v>
      </c>
      <c r="AK3527">
        <v>21.405188427391501</v>
      </c>
      <c r="AL3527">
        <v>95.201199047019301</v>
      </c>
      <c r="AM3527">
        <v>106.93538809217399</v>
      </c>
      <c r="AN3527">
        <v>0.99999998491169795</v>
      </c>
    </row>
    <row r="3528" spans="1:40" x14ac:dyDescent="0.25">
      <c r="A3528" t="str">
        <f>"20190303153838106"</f>
        <v>20190303153838106</v>
      </c>
      <c r="B3528" t="str">
        <f>"1551598718101782"</f>
        <v>1551598718101782</v>
      </c>
      <c r="C3528" t="s">
        <v>40</v>
      </c>
      <c r="D3528">
        <v>4.9855479999999996</v>
      </c>
      <c r="E3528">
        <v>0.51883760000000001</v>
      </c>
      <c r="F3528" t="s">
        <v>42</v>
      </c>
      <c r="G3528">
        <v>-492.3673</v>
      </c>
      <c r="H3528" s="1">
        <v>-1.584982E-6</v>
      </c>
      <c r="I3528">
        <v>251.81540000000001</v>
      </c>
      <c r="J3528">
        <v>-492.78120000000001</v>
      </c>
      <c r="K3528">
        <v>1.126277</v>
      </c>
      <c r="L3528">
        <v>273.48809999999997</v>
      </c>
      <c r="M3528">
        <v>-0.22302859999999999</v>
      </c>
      <c r="N3528">
        <v>-1.5677489999999999E-2</v>
      </c>
      <c r="O3528">
        <v>-0.9746861</v>
      </c>
      <c r="P3528">
        <v>6.4466560000000006E-2</v>
      </c>
      <c r="Q3528">
        <v>-0.10052899999999999</v>
      </c>
      <c r="R3528">
        <v>-0.9928437</v>
      </c>
      <c r="S3528">
        <v>5.4992680000000002E-2</v>
      </c>
      <c r="T3528">
        <v>-0.1552075</v>
      </c>
      <c r="U3528">
        <v>-3.0021059999999999</v>
      </c>
      <c r="V3528">
        <v>-0.2832403</v>
      </c>
      <c r="W3528">
        <v>-8.9021139999999999E-2</v>
      </c>
      <c r="X3528">
        <v>0.95490850000000005</v>
      </c>
      <c r="Y3528">
        <v>-0.240729</v>
      </c>
      <c r="Z3528">
        <v>3.3220529999999998E-2</v>
      </c>
      <c r="AA3528">
        <v>0.97002370000000004</v>
      </c>
      <c r="AB3528">
        <v>15</v>
      </c>
      <c r="AC3528">
        <v>0.41390000000001198</v>
      </c>
      <c r="AD3528">
        <v>-1.1262785849820001</v>
      </c>
      <c r="AE3528">
        <v>-21.672699999999899</v>
      </c>
      <c r="AF3528">
        <v>-5.2235949570394</v>
      </c>
      <c r="AG3528">
        <v>-1.1262785849820001</v>
      </c>
      <c r="AH3528">
        <v>20.9777149377176</v>
      </c>
      <c r="AI3528">
        <v>92.982322823067904</v>
      </c>
      <c r="AJ3528">
        <v>103.982675532973</v>
      </c>
      <c r="AK3528">
        <v>21.647608914943401</v>
      </c>
      <c r="AL3528">
        <v>95.107296313717299</v>
      </c>
      <c r="AM3528">
        <v>106.52115293322299</v>
      </c>
      <c r="AN3528">
        <v>1.00000003714161</v>
      </c>
    </row>
    <row r="3529" spans="1:40" x14ac:dyDescent="0.25">
      <c r="A3529" t="str">
        <f>"20190303153838131"</f>
        <v>20190303153838131</v>
      </c>
      <c r="B3529" t="str">
        <f>"1551598718122278"</f>
        <v>1551598718122278</v>
      </c>
      <c r="C3529" t="s">
        <v>40</v>
      </c>
      <c r="D3529">
        <v>5.0274210000000004</v>
      </c>
      <c r="E3529">
        <v>0.52100239999999998</v>
      </c>
      <c r="F3529" t="s">
        <v>42</v>
      </c>
      <c r="G3529">
        <v>-492.4563</v>
      </c>
      <c r="H3529" s="1">
        <v>-9.5807879999999995E-7</v>
      </c>
      <c r="I3529">
        <v>250.2989</v>
      </c>
      <c r="J3529">
        <v>-492.79969999999997</v>
      </c>
      <c r="K3529">
        <v>1.1260079999999999</v>
      </c>
      <c r="L3529">
        <v>273.33159999999998</v>
      </c>
      <c r="M3529">
        <v>-0.20943970000000001</v>
      </c>
      <c r="N3529">
        <v>-1.554729E-2</v>
      </c>
      <c r="O3529">
        <v>-0.97769799999999996</v>
      </c>
      <c r="P3529">
        <v>7.1256559999999997E-2</v>
      </c>
      <c r="Q3529">
        <v>-9.8686990000000002E-2</v>
      </c>
      <c r="R3529">
        <v>-0.99256390000000005</v>
      </c>
      <c r="S3529">
        <v>4.2083740000000001E-2</v>
      </c>
      <c r="T3529">
        <v>-0.14590729999999999</v>
      </c>
      <c r="U3529">
        <v>-3.0041199999999999</v>
      </c>
      <c r="V3529">
        <v>-0.27659830000000002</v>
      </c>
      <c r="W3529">
        <v>-8.701238E-2</v>
      </c>
      <c r="X3529">
        <v>0.95703819999999995</v>
      </c>
      <c r="Y3529">
        <v>-0.223019</v>
      </c>
      <c r="Z3529">
        <v>3.0726549999999998E-2</v>
      </c>
      <c r="AA3529">
        <v>0.97432969999999997</v>
      </c>
      <c r="AB3529">
        <v>15</v>
      </c>
      <c r="AC3529">
        <v>0.343399999999974</v>
      </c>
      <c r="AD3529">
        <v>-1.1260089580788</v>
      </c>
      <c r="AE3529">
        <v>-23.032699999999899</v>
      </c>
      <c r="AF3529">
        <v>-5.14802582472905</v>
      </c>
      <c r="AG3529">
        <v>-1.1260089580788</v>
      </c>
      <c r="AH3529">
        <v>22.396300820765099</v>
      </c>
      <c r="AI3529">
        <v>92.805179444312898</v>
      </c>
      <c r="AJ3529">
        <v>102.945175329953</v>
      </c>
      <c r="AK3529">
        <v>23.007919430490801</v>
      </c>
      <c r="AL3529">
        <v>94.991754870049903</v>
      </c>
      <c r="AM3529">
        <v>106.120081795587</v>
      </c>
      <c r="AN3529">
        <v>0.99999994504769496</v>
      </c>
    </row>
    <row r="3530" spans="1:40" x14ac:dyDescent="0.25">
      <c r="A3530" t="str">
        <f>"20190303153838150"</f>
        <v>20190303153838150</v>
      </c>
      <c r="B3530" t="str">
        <f>"1551598718141799"</f>
        <v>1551598718141799</v>
      </c>
      <c r="C3530" t="s">
        <v>40</v>
      </c>
      <c r="D3530">
        <v>4.9729619999999999</v>
      </c>
      <c r="E3530">
        <v>0.52252869999999996</v>
      </c>
      <c r="F3530" t="s">
        <v>42</v>
      </c>
      <c r="G3530">
        <v>-492.43450000000001</v>
      </c>
      <c r="H3530" s="1">
        <v>-4.5473929999999999E-6</v>
      </c>
      <c r="I3530">
        <v>249.0805</v>
      </c>
      <c r="J3530">
        <v>-492.81450000000001</v>
      </c>
      <c r="K3530">
        <v>1.125772</v>
      </c>
      <c r="L3530">
        <v>273.19630000000001</v>
      </c>
      <c r="M3530">
        <v>-0.1981077</v>
      </c>
      <c r="N3530">
        <v>-1.5432919999999999E-2</v>
      </c>
      <c r="O3530">
        <v>-0.98005880000000001</v>
      </c>
      <c r="P3530">
        <v>7.502723E-2</v>
      </c>
      <c r="Q3530">
        <v>-9.8987030000000004E-2</v>
      </c>
      <c r="R3530">
        <v>-0.99225629999999998</v>
      </c>
      <c r="S3530">
        <v>4.5257569999999997E-2</v>
      </c>
      <c r="T3530">
        <v>-0.1395421</v>
      </c>
      <c r="U3530">
        <v>-3.005341</v>
      </c>
      <c r="V3530">
        <v>-0.2691962</v>
      </c>
      <c r="W3530">
        <v>-8.7156120000000004E-2</v>
      </c>
      <c r="X3530">
        <v>0.95913360000000003</v>
      </c>
      <c r="Y3530">
        <v>-0.21275649999999999</v>
      </c>
      <c r="Z3530">
        <v>2.9023589999999998E-2</v>
      </c>
      <c r="AA3530">
        <v>0.97667409999999999</v>
      </c>
      <c r="AB3530">
        <v>15</v>
      </c>
      <c r="AC3530">
        <v>0.37999999999999501</v>
      </c>
      <c r="AD3530">
        <v>-1.1257765473929999</v>
      </c>
      <c r="AE3530">
        <v>-24.1158</v>
      </c>
      <c r="AF3530">
        <v>-5.1393641706017297</v>
      </c>
      <c r="AG3530">
        <v>-1.1257765473929999</v>
      </c>
      <c r="AH3530">
        <v>23.511202850775099</v>
      </c>
      <c r="AI3530">
        <v>92.678230390066702</v>
      </c>
      <c r="AJ3530">
        <v>102.330455380453</v>
      </c>
      <c r="AK3530">
        <v>24.092677236102698</v>
      </c>
      <c r="AL3530">
        <v>95.000021582247598</v>
      </c>
      <c r="AM3530">
        <v>105.67762565386199</v>
      </c>
      <c r="AN3530">
        <v>1.0000000229984201</v>
      </c>
    </row>
    <row r="3531" spans="1:40" x14ac:dyDescent="0.25">
      <c r="A3531" t="str">
        <f>"20190303153838163"</f>
        <v>20190303153838163</v>
      </c>
      <c r="B3531" t="str">
        <f>"1551598718151558"</f>
        <v>1551598718151558</v>
      </c>
      <c r="C3531" t="s">
        <v>40</v>
      </c>
      <c r="D3531">
        <v>4.9658189999999998</v>
      </c>
      <c r="E3531">
        <v>0.52329929999999902</v>
      </c>
      <c r="F3531" t="s">
        <v>42</v>
      </c>
      <c r="G3531">
        <v>-492.45589999999999</v>
      </c>
      <c r="H3531" s="1">
        <v>-4.54756E-6</v>
      </c>
      <c r="I3531">
        <v>249.06989999999999</v>
      </c>
      <c r="J3531">
        <v>-492.82299999999998</v>
      </c>
      <c r="K3531">
        <v>1.125642</v>
      </c>
      <c r="L3531">
        <v>273.11160000000001</v>
      </c>
      <c r="M3531">
        <v>-0.19119820000000001</v>
      </c>
      <c r="N3531">
        <v>-1.536333E-2</v>
      </c>
      <c r="O3531">
        <v>-0.98143139999999995</v>
      </c>
      <c r="P3531">
        <v>7.7371280000000001E-2</v>
      </c>
      <c r="Q3531">
        <v>-0.1000452</v>
      </c>
      <c r="R3531">
        <v>-0.99197049999999998</v>
      </c>
      <c r="S3531">
        <v>4.4677729999999999E-2</v>
      </c>
      <c r="T3531">
        <v>-0.14026549999999999</v>
      </c>
      <c r="U3531">
        <v>-3.0060120000000001</v>
      </c>
      <c r="V3531">
        <v>-0.26470250000000001</v>
      </c>
      <c r="W3531">
        <v>-8.8134480000000001E-2</v>
      </c>
      <c r="X3531">
        <v>0.96029419999999999</v>
      </c>
      <c r="Y3531">
        <v>-0.2056791</v>
      </c>
      <c r="Z3531">
        <v>2.9445849999999999E-2</v>
      </c>
      <c r="AA3531">
        <v>0.97817639999999995</v>
      </c>
      <c r="AB3531">
        <v>15</v>
      </c>
      <c r="AC3531">
        <v>0.36710000000005</v>
      </c>
      <c r="AD3531">
        <v>-1.1256465475599999</v>
      </c>
      <c r="AE3531">
        <v>-24.041699999999999</v>
      </c>
      <c r="AF3531">
        <v>-4.9467558188889003</v>
      </c>
      <c r="AG3531">
        <v>-1.1256465475599999</v>
      </c>
      <c r="AH3531">
        <v>23.4764105987961</v>
      </c>
      <c r="AI3531">
        <v>92.686218275943403</v>
      </c>
      <c r="AJ3531">
        <v>101.89883194821699</v>
      </c>
      <c r="AK3531">
        <v>24.018312344646802</v>
      </c>
      <c r="AL3531">
        <v>95.056294021041097</v>
      </c>
      <c r="AM3531">
        <v>105.410725356437</v>
      </c>
      <c r="AN3531">
        <v>1.00000002531238</v>
      </c>
    </row>
    <row r="3532" spans="1:40" x14ac:dyDescent="0.25">
      <c r="A3532" t="str">
        <f>"20190303153838176"</f>
        <v>20190303153838176</v>
      </c>
      <c r="B3532" t="str">
        <f>"1551598718172054"</f>
        <v>1551598718172054</v>
      </c>
      <c r="C3532" t="s">
        <v>40</v>
      </c>
      <c r="D3532">
        <v>5.007587</v>
      </c>
      <c r="E3532">
        <v>0.52466519999999905</v>
      </c>
      <c r="F3532" t="s">
        <v>42</v>
      </c>
      <c r="G3532">
        <v>-492.46620000000001</v>
      </c>
      <c r="H3532" s="1">
        <v>-4.6817889999999997E-6</v>
      </c>
      <c r="I3532">
        <v>249.4589</v>
      </c>
      <c r="J3532">
        <v>-492.8313</v>
      </c>
      <c r="K3532">
        <v>1.1255170000000001</v>
      </c>
      <c r="L3532">
        <v>273.02640000000002</v>
      </c>
      <c r="M3532">
        <v>-0.18434519999999999</v>
      </c>
      <c r="N3532">
        <v>-1.5295939999999999E-2</v>
      </c>
      <c r="O3532">
        <v>-0.98274249999999996</v>
      </c>
      <c r="P3532">
        <v>7.9303960000000007E-2</v>
      </c>
      <c r="Q3532">
        <v>-0.1016937</v>
      </c>
      <c r="R3532">
        <v>-0.99165000000000003</v>
      </c>
      <c r="S3532">
        <v>4.534912E-2</v>
      </c>
      <c r="T3532">
        <v>-0.14307239999999999</v>
      </c>
      <c r="U3532">
        <v>-3.0063170000000001</v>
      </c>
      <c r="V3532">
        <v>-0.25985190000000002</v>
      </c>
      <c r="W3532">
        <v>-8.9707309999999998E-2</v>
      </c>
      <c r="X3532">
        <v>0.96147260000000001</v>
      </c>
      <c r="Y3532">
        <v>-0.19906460000000001</v>
      </c>
      <c r="Z3532">
        <v>3.0530499999999999E-2</v>
      </c>
      <c r="AA3532">
        <v>0.97951069999999996</v>
      </c>
      <c r="AB3532">
        <v>15</v>
      </c>
      <c r="AC3532">
        <v>0.36509999999998399</v>
      </c>
      <c r="AD3532">
        <v>-1.1255216817889999</v>
      </c>
      <c r="AE3532">
        <v>-23.567499999999999</v>
      </c>
      <c r="AF3532">
        <v>-4.6932037074449999</v>
      </c>
      <c r="AG3532">
        <v>-1.1255216817889999</v>
      </c>
      <c r="AH3532">
        <v>23.043637615900099</v>
      </c>
      <c r="AI3532">
        <v>92.740114810340401</v>
      </c>
      <c r="AJ3532">
        <v>101.511752698839</v>
      </c>
      <c r="AK3532">
        <v>23.543623227291899</v>
      </c>
      <c r="AL3532">
        <v>95.146769151344898</v>
      </c>
      <c r="AM3532">
        <v>105.123698562855</v>
      </c>
      <c r="AN3532">
        <v>0.99999998597590201</v>
      </c>
    </row>
    <row r="3533" spans="1:40" x14ac:dyDescent="0.25">
      <c r="A3533" t="str">
        <f>"20190303153838194"</f>
        <v>20190303153838194</v>
      </c>
      <c r="B3533" t="str">
        <f>"1551598718181815"</f>
        <v>1551598718181815</v>
      </c>
      <c r="C3533" t="s">
        <v>40</v>
      </c>
      <c r="D3533">
        <v>5.0335590000000003</v>
      </c>
      <c r="E3533">
        <v>0.52525429999999995</v>
      </c>
      <c r="F3533" t="s">
        <v>42</v>
      </c>
      <c r="G3533">
        <v>-492.5256</v>
      </c>
      <c r="H3533" s="1">
        <v>-8.3458789999999996E-7</v>
      </c>
      <c r="I3533">
        <v>249.96809999999999</v>
      </c>
      <c r="J3533">
        <v>-492.84160000000003</v>
      </c>
      <c r="K3533">
        <v>1.1253660000000001</v>
      </c>
      <c r="L3533">
        <v>272.91390000000001</v>
      </c>
      <c r="M3533">
        <v>-0.175457</v>
      </c>
      <c r="N3533">
        <v>-1.5210609999999999E-2</v>
      </c>
      <c r="O3533">
        <v>-0.98436959999999996</v>
      </c>
      <c r="P3533">
        <v>7.8317780000000004E-2</v>
      </c>
      <c r="Q3533">
        <v>-0.1031483</v>
      </c>
      <c r="R3533">
        <v>-0.99157810000000002</v>
      </c>
      <c r="S3533">
        <v>3.9855960000000003E-2</v>
      </c>
      <c r="T3533">
        <v>-0.14677770000000001</v>
      </c>
      <c r="U3533">
        <v>-3.0070190000000001</v>
      </c>
      <c r="V3533">
        <v>-0.2501968</v>
      </c>
      <c r="W3533">
        <v>-9.1025670000000003E-2</v>
      </c>
      <c r="X3533">
        <v>0.96390659999999895</v>
      </c>
      <c r="Y3533">
        <v>-0.1884084</v>
      </c>
      <c r="Z3533">
        <v>3.196446E-2</v>
      </c>
      <c r="AA3533">
        <v>0.98157039999999995</v>
      </c>
      <c r="AB3533">
        <v>15</v>
      </c>
      <c r="AC3533">
        <v>0.31600000000002998</v>
      </c>
      <c r="AD3533">
        <v>-1.1253668345879</v>
      </c>
      <c r="AE3533">
        <v>-22.945799999999998</v>
      </c>
      <c r="AF3533">
        <v>-4.3271573223290503</v>
      </c>
      <c r="AG3533">
        <v>-1.1253668345879</v>
      </c>
      <c r="AH3533">
        <v>22.480247107716099</v>
      </c>
      <c r="AI3533">
        <v>92.814272132270901</v>
      </c>
      <c r="AJ3533">
        <v>100.895438817886</v>
      </c>
      <c r="AK3533">
        <v>22.920563933475901</v>
      </c>
      <c r="AL3533">
        <v>95.2226157522134</v>
      </c>
      <c r="AM3533">
        <v>104.550889567742</v>
      </c>
      <c r="AN3533">
        <v>1.0000000224263701</v>
      </c>
    </row>
    <row r="3534" spans="1:40" x14ac:dyDescent="0.25">
      <c r="A3534" t="str">
        <f>"20190303153838206"</f>
        <v>20190303153838206</v>
      </c>
      <c r="B3534" t="str">
        <f>"1551598718202311"</f>
        <v>1551598718202311</v>
      </c>
      <c r="C3534" t="s">
        <v>40</v>
      </c>
      <c r="D3534">
        <v>4.9775159999999996</v>
      </c>
      <c r="E3534">
        <v>0.52631430000000001</v>
      </c>
      <c r="F3534" t="s">
        <v>42</v>
      </c>
      <c r="G3534">
        <v>-492.60489999999999</v>
      </c>
      <c r="H3534" s="1">
        <v>-1.146463E-6</v>
      </c>
      <c r="I3534">
        <v>250.64590000000001</v>
      </c>
      <c r="J3534">
        <v>-492.84840000000003</v>
      </c>
      <c r="K3534">
        <v>1.1252679999999999</v>
      </c>
      <c r="L3534">
        <v>272.8331</v>
      </c>
      <c r="M3534">
        <v>-0.169215899999999</v>
      </c>
      <c r="N3534">
        <v>-1.5151960000000001E-2</v>
      </c>
      <c r="O3534">
        <v>-0.98546250000000002</v>
      </c>
      <c r="P3534">
        <v>8.0303079999999999E-2</v>
      </c>
      <c r="Q3534">
        <v>-0.10354679999999999</v>
      </c>
      <c r="R3534">
        <v>-0.99137770000000003</v>
      </c>
      <c r="S3534">
        <v>3.1951899999999998E-2</v>
      </c>
      <c r="T3534">
        <v>-0.1519731</v>
      </c>
      <c r="U3534">
        <v>-3.0071409999999998</v>
      </c>
      <c r="V3534">
        <v>-0.24603069999999999</v>
      </c>
      <c r="W3534">
        <v>-9.1369610000000004E-2</v>
      </c>
      <c r="X3534">
        <v>0.96494590000000002</v>
      </c>
      <c r="Y3534">
        <v>-0.1795995</v>
      </c>
      <c r="Z3534">
        <v>3.3817310000000003E-2</v>
      </c>
      <c r="AA3534">
        <v>0.98315839999999999</v>
      </c>
      <c r="AB3534">
        <v>15</v>
      </c>
      <c r="AC3534">
        <v>0.24350000000003999</v>
      </c>
      <c r="AD3534">
        <v>-1.125269146463</v>
      </c>
      <c r="AE3534">
        <v>-22.187199999999901</v>
      </c>
      <c r="AF3534">
        <v>-3.9845978291544601</v>
      </c>
      <c r="AG3534">
        <v>-1.125269146463</v>
      </c>
      <c r="AH3534">
        <v>21.7699653517999</v>
      </c>
      <c r="AI3534">
        <v>92.910664193214302</v>
      </c>
      <c r="AJ3534">
        <v>100.37214693699499</v>
      </c>
      <c r="AK3534">
        <v>22.160204013741701</v>
      </c>
      <c r="AL3534">
        <v>95.242404378478994</v>
      </c>
      <c r="AM3534">
        <v>104.30385114916299</v>
      </c>
      <c r="AN3534">
        <v>1.0000000504504201</v>
      </c>
    </row>
    <row r="3535" spans="1:40" x14ac:dyDescent="0.25">
      <c r="A3535" t="str">
        <f>"20190303153838220"</f>
        <v>20190303153838220</v>
      </c>
      <c r="B3535" t="str">
        <f>"1551598718212071"</f>
        <v>1551598718212071</v>
      </c>
      <c r="C3535" t="s">
        <v>40</v>
      </c>
      <c r="D3535">
        <v>4.9960789999999999</v>
      </c>
      <c r="E3535">
        <v>0.52673080000000005</v>
      </c>
      <c r="F3535" t="s">
        <v>42</v>
      </c>
      <c r="G3535">
        <v>-492.63549999999998</v>
      </c>
      <c r="H3535" s="1">
        <v>-1.216604E-6</v>
      </c>
      <c r="I3535">
        <v>250.79040000000001</v>
      </c>
      <c r="J3535">
        <v>-492.85559999999998</v>
      </c>
      <c r="K3535">
        <v>1.125173</v>
      </c>
      <c r="L3535">
        <v>272.74310000000003</v>
      </c>
      <c r="M3535">
        <v>-0.1624225</v>
      </c>
      <c r="N3535">
        <v>-1.508936E-2</v>
      </c>
      <c r="O3535">
        <v>-0.98660610000000004</v>
      </c>
      <c r="P3535">
        <v>8.2655010000000001E-2</v>
      </c>
      <c r="Q3535">
        <v>-0.10309550000000001</v>
      </c>
      <c r="R3535">
        <v>-0.99123130000000004</v>
      </c>
      <c r="S3535">
        <v>2.9052729999999999E-2</v>
      </c>
      <c r="T3535">
        <v>-0.15354419999999999</v>
      </c>
      <c r="U3535">
        <v>-3.0077509999999998</v>
      </c>
      <c r="V3535">
        <v>-0.24170839999999999</v>
      </c>
      <c r="W3535">
        <v>-9.0864059999999996E-2</v>
      </c>
      <c r="X3535">
        <v>0.96608530000000004</v>
      </c>
      <c r="Y3535">
        <v>-0.17187040000000001</v>
      </c>
      <c r="Z3535">
        <v>3.4499750000000003E-2</v>
      </c>
      <c r="AA3535">
        <v>0.98451529999999998</v>
      </c>
      <c r="AB3535">
        <v>15</v>
      </c>
      <c r="AC3535">
        <v>0.22010000000000199</v>
      </c>
      <c r="AD3535">
        <v>-1.125174216604</v>
      </c>
      <c r="AE3535">
        <v>-21.9527</v>
      </c>
      <c r="AF3535">
        <v>-3.77328296906955</v>
      </c>
      <c r="AG3535">
        <v>-1.125174216604</v>
      </c>
      <c r="AH3535">
        <v>21.568720978133101</v>
      </c>
      <c r="AI3535">
        <v>92.941643908810903</v>
      </c>
      <c r="AJ3535">
        <v>99.923041130037305</v>
      </c>
      <c r="AK3535">
        <v>21.9251774454608</v>
      </c>
      <c r="AL3535">
        <v>95.213317675487005</v>
      </c>
      <c r="AM3535">
        <v>104.046685239339</v>
      </c>
      <c r="AN3535">
        <v>1.00000001745316</v>
      </c>
    </row>
    <row r="3536" spans="1:40" x14ac:dyDescent="0.25">
      <c r="A3536" t="str">
        <f>"20190303153838233"</f>
        <v>20190303153838233</v>
      </c>
      <c r="B3536" t="str">
        <f>"1551598718221831"</f>
        <v>1551598718221831</v>
      </c>
      <c r="C3536" t="s">
        <v>40</v>
      </c>
      <c r="D3536">
        <v>5.0164350000000004</v>
      </c>
      <c r="E3536">
        <v>0.52716130000000005</v>
      </c>
      <c r="F3536" t="s">
        <v>42</v>
      </c>
      <c r="G3536">
        <v>-492.61180000000002</v>
      </c>
      <c r="H3536" s="1">
        <v>-1.049397E-6</v>
      </c>
      <c r="I3536">
        <v>250.4153</v>
      </c>
      <c r="J3536">
        <v>-492.8621</v>
      </c>
      <c r="K3536">
        <v>1.1250869999999999</v>
      </c>
      <c r="L3536">
        <v>272.6574</v>
      </c>
      <c r="M3536">
        <v>-0.15606049999999999</v>
      </c>
      <c r="N3536">
        <v>-1.503169E-2</v>
      </c>
      <c r="O3536">
        <v>-0.98763319999999999</v>
      </c>
      <c r="P3536">
        <v>8.4333950000000005E-2</v>
      </c>
      <c r="Q3536">
        <v>-0.1026416</v>
      </c>
      <c r="R3536">
        <v>-0.99113709999999999</v>
      </c>
      <c r="S3536">
        <v>3.2836909999999997E-2</v>
      </c>
      <c r="T3536">
        <v>-0.1515851</v>
      </c>
      <c r="U3536">
        <v>-3.0080260000000001</v>
      </c>
      <c r="V3536">
        <v>-0.23715339999999999</v>
      </c>
      <c r="W3536">
        <v>-9.0354180000000006E-2</v>
      </c>
      <c r="X3536">
        <v>0.96726129999999999</v>
      </c>
      <c r="Y3536">
        <v>-0.16676070000000001</v>
      </c>
      <c r="Z3536">
        <v>3.4019679999999997E-2</v>
      </c>
      <c r="AA3536">
        <v>0.98541029999999996</v>
      </c>
      <c r="AB3536">
        <v>15</v>
      </c>
      <c r="AC3536">
        <v>0.25029999999998098</v>
      </c>
      <c r="AD3536">
        <v>-1.1250880493969999</v>
      </c>
      <c r="AE3536">
        <v>-22.242099999999901</v>
      </c>
      <c r="AF3536">
        <v>-3.70924797743558</v>
      </c>
      <c r="AG3536">
        <v>-1.1250880493969999</v>
      </c>
      <c r="AH3536">
        <v>21.874486921289598</v>
      </c>
      <c r="AI3536">
        <v>92.902977597681598</v>
      </c>
      <c r="AJ3536">
        <v>99.624076117667599</v>
      </c>
      <c r="AK3536">
        <v>22.215254257979499</v>
      </c>
      <c r="AL3536">
        <v>95.183983035137899</v>
      </c>
      <c r="AM3536">
        <v>103.77604485926101</v>
      </c>
      <c r="AN3536">
        <v>1.0000000177263599</v>
      </c>
    </row>
    <row r="3537" spans="1:40" x14ac:dyDescent="0.25">
      <c r="A3537" t="str">
        <f>"20190303153838252"</f>
        <v>20190303153838252</v>
      </c>
      <c r="B3537" t="str">
        <f>"1551598718242327"</f>
        <v>1551598718242327</v>
      </c>
      <c r="C3537" t="s">
        <v>40</v>
      </c>
      <c r="D3537">
        <v>5.0232789999999996</v>
      </c>
      <c r="E3537">
        <v>0.52770410000000001</v>
      </c>
      <c r="F3537" t="s">
        <v>42</v>
      </c>
      <c r="G3537">
        <v>-492.59789999999998</v>
      </c>
      <c r="H3537" s="1">
        <v>-7.8815179999999999E-7</v>
      </c>
      <c r="I3537">
        <v>249.815</v>
      </c>
      <c r="J3537">
        <v>-492.87020000000001</v>
      </c>
      <c r="K3537">
        <v>1.1249739999999999</v>
      </c>
      <c r="L3537">
        <v>272.5401</v>
      </c>
      <c r="M3537">
        <v>-0.14754619999999999</v>
      </c>
      <c r="N3537">
        <v>-1.495547E-2</v>
      </c>
      <c r="O3537">
        <v>-0.98894230000000005</v>
      </c>
      <c r="P3537">
        <v>8.2886290000000001E-2</v>
      </c>
      <c r="Q3537">
        <v>-0.1017319</v>
      </c>
      <c r="R3537">
        <v>-0.99135320000000005</v>
      </c>
      <c r="S3537">
        <v>3.4790040000000001E-2</v>
      </c>
      <c r="T3537">
        <v>-0.14818229999999999</v>
      </c>
      <c r="U3537">
        <v>-3.0085139999999999</v>
      </c>
      <c r="V3537">
        <v>-0.2274572</v>
      </c>
      <c r="W3537">
        <v>-8.9325619999999994E-2</v>
      </c>
      <c r="X3537">
        <v>0.9696825</v>
      </c>
      <c r="Y3537">
        <v>-0.1589052</v>
      </c>
      <c r="Z3537">
        <v>3.3117199999999999E-2</v>
      </c>
      <c r="AA3537">
        <v>0.98673829999999996</v>
      </c>
      <c r="AB3537">
        <v>15</v>
      </c>
      <c r="AC3537">
        <v>0.27230000000002902</v>
      </c>
      <c r="AD3537">
        <v>-1.1249747881518</v>
      </c>
      <c r="AE3537">
        <v>-22.725100000000001</v>
      </c>
      <c r="AF3537">
        <v>-3.6138406987182101</v>
      </c>
      <c r="AG3537">
        <v>-1.1249747881518</v>
      </c>
      <c r="AH3537">
        <v>22.381300425996599</v>
      </c>
      <c r="AI3537">
        <v>92.840764314832995</v>
      </c>
      <c r="AJ3537">
        <v>99.172211137817598</v>
      </c>
      <c r="AK3537">
        <v>22.699075347432199</v>
      </c>
      <c r="AL3537">
        <v>95.124811714179899</v>
      </c>
      <c r="AM3537">
        <v>103.20113260246799</v>
      </c>
      <c r="AN3537">
        <v>0.99999999751323698</v>
      </c>
    </row>
    <row r="3538" spans="1:40" x14ac:dyDescent="0.25">
      <c r="A3538" t="str">
        <f>"20190303153838263"</f>
        <v>20190303153838263</v>
      </c>
      <c r="B3538" t="str">
        <f>"1551598718252087"</f>
        <v>1551598718252087</v>
      </c>
      <c r="C3538" t="s">
        <v>40</v>
      </c>
      <c r="D3538">
        <v>5.0140459999999996</v>
      </c>
      <c r="E3538">
        <v>0.52789770000000003</v>
      </c>
      <c r="F3538" t="s">
        <v>42</v>
      </c>
      <c r="G3538">
        <v>-492.67099999999999</v>
      </c>
      <c r="H3538" s="1">
        <v>-4.6616609999999998E-6</v>
      </c>
      <c r="I3538">
        <v>249.29300000000001</v>
      </c>
      <c r="J3538">
        <v>-492.87560000000002</v>
      </c>
      <c r="K3538">
        <v>1.1248940000000001</v>
      </c>
      <c r="L3538">
        <v>272.45589999999999</v>
      </c>
      <c r="M3538">
        <v>-0.14157339999999999</v>
      </c>
      <c r="N3538">
        <v>-1.490329E-2</v>
      </c>
      <c r="O3538">
        <v>-0.98981560000000002</v>
      </c>
      <c r="P3538">
        <v>8.2498680000000005E-2</v>
      </c>
      <c r="Q3538">
        <v>-0.10191450000000001</v>
      </c>
      <c r="R3538">
        <v>-0.99136670000000005</v>
      </c>
      <c r="S3538">
        <v>2.5787350000000001E-2</v>
      </c>
      <c r="T3538">
        <v>-0.14561389999999999</v>
      </c>
      <c r="U3538">
        <v>-3.0090330000000001</v>
      </c>
      <c r="V3538">
        <v>-0.22124199999999999</v>
      </c>
      <c r="W3538">
        <v>-8.9437779999999995E-2</v>
      </c>
      <c r="X3538">
        <v>0.97110909999999995</v>
      </c>
      <c r="Y3538">
        <v>-0.1499907</v>
      </c>
      <c r="Z3538">
        <v>3.2430889999999997E-2</v>
      </c>
      <c r="AA3538">
        <v>0.98815540000000002</v>
      </c>
      <c r="AB3538">
        <v>15</v>
      </c>
      <c r="AC3538">
        <v>0.20460000000002701</v>
      </c>
      <c r="AD3538">
        <v>-1.1248986616609999</v>
      </c>
      <c r="AE3538">
        <v>-23.162899999999901</v>
      </c>
      <c r="AF3538">
        <v>-3.4739606146288602</v>
      </c>
      <c r="AG3538">
        <v>-1.1248986616609999</v>
      </c>
      <c r="AH3538">
        <v>22.846696169762598</v>
      </c>
      <c r="AI3538">
        <v>92.786804495026004</v>
      </c>
      <c r="AJ3538">
        <v>98.645897927118696</v>
      </c>
      <c r="AK3538">
        <v>23.1366662513087</v>
      </c>
      <c r="AL3538">
        <v>95.131263761420101</v>
      </c>
      <c r="AM3538">
        <v>102.83429899590899</v>
      </c>
      <c r="AN3538">
        <v>1.0000000115790599</v>
      </c>
    </row>
    <row r="3539" spans="1:40" x14ac:dyDescent="0.25">
      <c r="A3539" t="str">
        <f>"20190303153838277"</f>
        <v>20190303153838277</v>
      </c>
      <c r="B3539" t="str">
        <f>"1551598718271606"</f>
        <v>1551598718271606</v>
      </c>
      <c r="C3539" t="s">
        <v>40</v>
      </c>
      <c r="D3539">
        <v>5.0310370000000004</v>
      </c>
      <c r="E3539">
        <v>0.528227</v>
      </c>
      <c r="F3539" t="s">
        <v>42</v>
      </c>
      <c r="G3539">
        <v>-492.69819999999999</v>
      </c>
      <c r="H3539" s="1">
        <v>-4.7030590000000003E-6</v>
      </c>
      <c r="I3539">
        <v>249.40049999999999</v>
      </c>
      <c r="J3539">
        <v>-492.88040000000001</v>
      </c>
      <c r="K3539">
        <v>1.1248290000000001</v>
      </c>
      <c r="L3539">
        <v>272.37400000000002</v>
      </c>
      <c r="M3539">
        <v>-0.13584489999999999</v>
      </c>
      <c r="N3539">
        <v>-1.4855129999999999E-2</v>
      </c>
      <c r="O3539">
        <v>-0.99061889999999997</v>
      </c>
      <c r="P3539">
        <v>8.1617010000000004E-2</v>
      </c>
      <c r="Q3539">
        <v>-0.10239090000000001</v>
      </c>
      <c r="R3539">
        <v>-0.99139049999999995</v>
      </c>
      <c r="S3539">
        <v>2.3162840000000001E-2</v>
      </c>
      <c r="T3539">
        <v>-0.146816</v>
      </c>
      <c r="U3539">
        <v>-3.009064</v>
      </c>
      <c r="V3539">
        <v>-0.21476909999999999</v>
      </c>
      <c r="W3539">
        <v>-8.9844610000000005E-2</v>
      </c>
      <c r="X3539">
        <v>0.97252360000000004</v>
      </c>
      <c r="Y3539">
        <v>-0.1434088</v>
      </c>
      <c r="Z3539">
        <v>3.2952509999999997E-2</v>
      </c>
      <c r="AA3539">
        <v>0.98911479999999996</v>
      </c>
      <c r="AB3539">
        <v>15</v>
      </c>
      <c r="AC3539">
        <v>0.18220000000002301</v>
      </c>
      <c r="AD3539">
        <v>-1.1248337030589901</v>
      </c>
      <c r="AE3539">
        <v>-22.973500000000001</v>
      </c>
      <c r="AF3539">
        <v>-3.2937916617849101</v>
      </c>
      <c r="AG3539">
        <v>-1.1248337030589901</v>
      </c>
      <c r="AH3539">
        <v>22.6813668866806</v>
      </c>
      <c r="AI3539">
        <v>92.809710845333598</v>
      </c>
      <c r="AJ3539">
        <v>98.262741163646695</v>
      </c>
      <c r="AK3539">
        <v>22.946867285513999</v>
      </c>
      <c r="AL3539">
        <v>95.154667754432595</v>
      </c>
      <c r="AM3539">
        <v>102.453147814668</v>
      </c>
      <c r="AN3539">
        <v>0.99999998640891097</v>
      </c>
    </row>
    <row r="3540" spans="1:40" x14ac:dyDescent="0.25">
      <c r="A3540" t="str">
        <f>"20190303153838291"</f>
        <v>20190303153838291</v>
      </c>
      <c r="B3540" t="str">
        <f>"1551598718282343"</f>
        <v>1551598718282343</v>
      </c>
      <c r="C3540" t="s">
        <v>40</v>
      </c>
      <c r="D3540">
        <v>5.0402779999999998</v>
      </c>
      <c r="E3540">
        <v>0.52839069999999899</v>
      </c>
      <c r="F3540" t="s">
        <v>42</v>
      </c>
      <c r="G3540">
        <v>-492.74560000000002</v>
      </c>
      <c r="H3540" s="1">
        <v>-7.8944810000000001E-7</v>
      </c>
      <c r="I3540">
        <v>249.72640000000001</v>
      </c>
      <c r="J3540">
        <v>-492.8854</v>
      </c>
      <c r="K3540">
        <v>1.124757</v>
      </c>
      <c r="L3540">
        <v>272.28370000000001</v>
      </c>
      <c r="M3540">
        <v>-0.12960430000000001</v>
      </c>
      <c r="N3540">
        <v>-1.4804609999999999E-2</v>
      </c>
      <c r="O3540">
        <v>-0.99145539999999999</v>
      </c>
      <c r="P3540">
        <v>8.0951239999999994E-2</v>
      </c>
      <c r="Q3540">
        <v>-0.1026006</v>
      </c>
      <c r="R3540">
        <v>-0.99142339999999995</v>
      </c>
      <c r="S3540">
        <v>1.791382E-2</v>
      </c>
      <c r="T3540">
        <v>-0.14945649999999999</v>
      </c>
      <c r="U3540">
        <v>-3.0091860000000001</v>
      </c>
      <c r="V3540">
        <v>-0.2080079</v>
      </c>
      <c r="W3540">
        <v>-8.9985200000000001E-2</v>
      </c>
      <c r="X3540">
        <v>0.97397920000000004</v>
      </c>
      <c r="Y3540">
        <v>-0.13544990000000001</v>
      </c>
      <c r="Z3540">
        <v>3.3951589999999997E-2</v>
      </c>
      <c r="AA3540">
        <v>0.99020229999999998</v>
      </c>
      <c r="AB3540">
        <v>15</v>
      </c>
      <c r="AC3540">
        <v>0.139799999999979</v>
      </c>
      <c r="AD3540">
        <v>-1.1247577894481</v>
      </c>
      <c r="AE3540">
        <v>-22.557300000000001</v>
      </c>
      <c r="AF3540">
        <v>-3.0548689111553302</v>
      </c>
      <c r="AG3540">
        <v>-1.1247577894481</v>
      </c>
      <c r="AH3540">
        <v>22.2934597460101</v>
      </c>
      <c r="AI3540">
        <v>92.861562653357794</v>
      </c>
      <c r="AJ3540">
        <v>97.802635716165497</v>
      </c>
      <c r="AK3540">
        <v>22.529883523805399</v>
      </c>
      <c r="AL3540">
        <v>95.162755387526403</v>
      </c>
      <c r="AM3540">
        <v>102.055272077125</v>
      </c>
      <c r="AN3540">
        <v>1.00000005235704</v>
      </c>
    </row>
    <row r="3541" spans="1:40" x14ac:dyDescent="0.25">
      <c r="A3541" t="str">
        <f>"20190303153838307"</f>
        <v>20190303153838307</v>
      </c>
      <c r="B3541" t="str">
        <f>"1551598718301862"</f>
        <v>1551598718301862</v>
      </c>
      <c r="C3541" t="s">
        <v>40</v>
      </c>
      <c r="D3541">
        <v>5.0165419999999896</v>
      </c>
      <c r="E3541">
        <v>0.52875629999999996</v>
      </c>
      <c r="F3541" t="s">
        <v>42</v>
      </c>
      <c r="G3541">
        <v>-492.78109999999998</v>
      </c>
      <c r="H3541" s="1">
        <v>-8.423855E-7</v>
      </c>
      <c r="I3541">
        <v>249.8278</v>
      </c>
      <c r="J3541">
        <v>-492.89080000000001</v>
      </c>
      <c r="K3541">
        <v>1.1246799999999999</v>
      </c>
      <c r="L3541">
        <v>272.17529999999999</v>
      </c>
      <c r="M3541">
        <v>-0.12226099999999999</v>
      </c>
      <c r="N3541">
        <v>-1.4749089999999999E-2</v>
      </c>
      <c r="O3541">
        <v>-0.99238859999999995</v>
      </c>
      <c r="P3541">
        <v>7.119731E-2</v>
      </c>
      <c r="Q3541">
        <v>-0.1020216</v>
      </c>
      <c r="R3541">
        <v>-0.99223139999999999</v>
      </c>
      <c r="S3541">
        <v>1.397705E-2</v>
      </c>
      <c r="T3541">
        <v>-0.15072379999999999</v>
      </c>
      <c r="U3541">
        <v>-3.0092159999999999</v>
      </c>
      <c r="V3541">
        <v>-0.19124279999999999</v>
      </c>
      <c r="W3541">
        <v>-8.9227089999999995E-2</v>
      </c>
      <c r="X3541">
        <v>0.97747870000000003</v>
      </c>
      <c r="Y3541">
        <v>-0.1268186</v>
      </c>
      <c r="Z3541">
        <v>3.4519399999999999E-2</v>
      </c>
      <c r="AA3541">
        <v>0.99132509999999996</v>
      </c>
      <c r="AB3541">
        <v>15</v>
      </c>
      <c r="AC3541">
        <v>0.10970000000003199</v>
      </c>
      <c r="AD3541">
        <v>-1.1246808423854999</v>
      </c>
      <c r="AE3541">
        <v>-22.3475</v>
      </c>
      <c r="AF3541">
        <v>-2.8342228548605699</v>
      </c>
      <c r="AG3541">
        <v>-1.1246808423854999</v>
      </c>
      <c r="AH3541">
        <v>22.110398816712902</v>
      </c>
      <c r="AI3541">
        <v>92.888339302663397</v>
      </c>
      <c r="AJ3541">
        <v>97.304628443070499</v>
      </c>
      <c r="AK3541">
        <v>22.3196653653754</v>
      </c>
      <c r="AL3541">
        <v>95.119143994866803</v>
      </c>
      <c r="AM3541">
        <v>101.070031372497</v>
      </c>
      <c r="AN3541">
        <v>0.999999945547697</v>
      </c>
    </row>
    <row r="3542" spans="1:40" x14ac:dyDescent="0.25">
      <c r="A3542" t="str">
        <f>"20190303153838321"</f>
        <v>20190303153838321</v>
      </c>
      <c r="B3542" t="str">
        <f>"1551598718311623"</f>
        <v>1551598718311623</v>
      </c>
      <c r="C3542" t="s">
        <v>40</v>
      </c>
      <c r="D3542">
        <v>5.0132820000000002</v>
      </c>
      <c r="E3542">
        <v>0.52893009999999996</v>
      </c>
      <c r="F3542" t="s">
        <v>42</v>
      </c>
      <c r="G3542">
        <v>-493.02539999999999</v>
      </c>
      <c r="H3542" s="1">
        <v>-8.2600540000000001E-7</v>
      </c>
      <c r="I3542">
        <v>249.63810000000001</v>
      </c>
      <c r="J3542">
        <v>-492.89479999999998</v>
      </c>
      <c r="K3542">
        <v>1.12463</v>
      </c>
      <c r="L3542">
        <v>272.08350000000002</v>
      </c>
      <c r="M3542">
        <v>-0.11616</v>
      </c>
      <c r="N3542">
        <v>-1.4706199999999999E-2</v>
      </c>
      <c r="O3542">
        <v>-0.9931217</v>
      </c>
      <c r="P3542">
        <v>6.7183969999999996E-2</v>
      </c>
      <c r="Q3542">
        <v>-0.1010952</v>
      </c>
      <c r="R3542">
        <v>-0.99260599999999999</v>
      </c>
      <c r="S3542">
        <v>-1.7974850000000001E-2</v>
      </c>
      <c r="T3542">
        <v>-0.150175799999999</v>
      </c>
      <c r="U3542">
        <v>-3.0093380000000001</v>
      </c>
      <c r="V3542">
        <v>-0.18131910000000001</v>
      </c>
      <c r="W3542">
        <v>-8.8203770000000001E-2</v>
      </c>
      <c r="X3542">
        <v>0.97946080000000002</v>
      </c>
      <c r="Y3542">
        <v>-0.1101887</v>
      </c>
      <c r="Z3542">
        <v>3.4494980000000001E-2</v>
      </c>
      <c r="AA3542">
        <v>0.99331190000000003</v>
      </c>
      <c r="AB3542">
        <v>15</v>
      </c>
      <c r="AC3542">
        <v>-0.13060000000001501</v>
      </c>
      <c r="AD3542">
        <v>-1.1246308260053901</v>
      </c>
      <c r="AE3542">
        <v>-22.445399999999999</v>
      </c>
      <c r="AF3542">
        <v>-2.4716189058314102</v>
      </c>
      <c r="AG3542">
        <v>-1.1246308260053901</v>
      </c>
      <c r="AH3542">
        <v>22.252731120420101</v>
      </c>
      <c r="AI3542">
        <v>92.875556917738706</v>
      </c>
      <c r="AJ3542">
        <v>96.337885468299604</v>
      </c>
      <c r="AK3542">
        <v>22.417799553662299</v>
      </c>
      <c r="AL3542">
        <v>95.060279746790499</v>
      </c>
      <c r="AM3542">
        <v>100.487940439751</v>
      </c>
      <c r="AN3542">
        <v>0.99999998990183103</v>
      </c>
    </row>
    <row r="3543" spans="1:40" x14ac:dyDescent="0.25">
      <c r="A3543" t="str">
        <f>"20190303153838336"</f>
        <v>20190303153838336</v>
      </c>
      <c r="B3543" t="str">
        <f>"1551598718332118"</f>
        <v>1551598718332118</v>
      </c>
      <c r="C3543" t="s">
        <v>40</v>
      </c>
      <c r="D3543">
        <v>5.050891</v>
      </c>
      <c r="E3543">
        <v>0.52909479999999998</v>
      </c>
      <c r="F3543" t="s">
        <v>42</v>
      </c>
      <c r="G3543">
        <v>-493.1361</v>
      </c>
      <c r="H3543" s="1">
        <v>-4.6357569999999996E-6</v>
      </c>
      <c r="I3543">
        <v>248.97450000000001</v>
      </c>
      <c r="J3543">
        <v>-492.89830000000001</v>
      </c>
      <c r="K3543">
        <v>1.1245799999999999</v>
      </c>
      <c r="L3543">
        <v>271.995</v>
      </c>
      <c r="M3543">
        <v>-0.1103594</v>
      </c>
      <c r="N3543">
        <v>-1.466696E-2</v>
      </c>
      <c r="O3543">
        <v>-0.99378370000000005</v>
      </c>
      <c r="P3543">
        <v>6.1338280000000002E-2</v>
      </c>
      <c r="Q3543">
        <v>-9.965591E-2</v>
      </c>
      <c r="R3543">
        <v>-0.99312979999999995</v>
      </c>
      <c r="S3543">
        <v>-3.143311E-2</v>
      </c>
      <c r="T3543">
        <v>-0.14646429999999999</v>
      </c>
      <c r="U3543">
        <v>-3.0095519999999998</v>
      </c>
      <c r="V3543">
        <v>-0.16987629999999901</v>
      </c>
      <c r="W3543">
        <v>-8.6653170000000002E-2</v>
      </c>
      <c r="X3543">
        <v>0.98164819999999997</v>
      </c>
      <c r="Y3543">
        <v>-9.9944149999999995E-2</v>
      </c>
      <c r="Z3543">
        <v>3.3394430000000003E-2</v>
      </c>
      <c r="AA3543">
        <v>0.99443250000000005</v>
      </c>
      <c r="AB3543">
        <v>15</v>
      </c>
      <c r="AC3543">
        <v>-0.23779999999999199</v>
      </c>
      <c r="AD3543">
        <v>-1.124584635757</v>
      </c>
      <c r="AE3543">
        <v>-23.020499999999998</v>
      </c>
      <c r="AF3543">
        <v>-2.2989684511362598</v>
      </c>
      <c r="AG3543">
        <v>-1.124584635757</v>
      </c>
      <c r="AH3543">
        <v>22.851572301998399</v>
      </c>
      <c r="AI3543">
        <v>92.8032718076837</v>
      </c>
      <c r="AJ3543">
        <v>95.744877115269503</v>
      </c>
      <c r="AK3543">
        <v>22.994440702390701</v>
      </c>
      <c r="AL3543">
        <v>94.971095550936397</v>
      </c>
      <c r="AM3543">
        <v>99.817920734288293</v>
      </c>
      <c r="AN3543">
        <v>0.99999995886798798</v>
      </c>
    </row>
    <row r="3544" spans="1:40" x14ac:dyDescent="0.25">
      <c r="A3544" t="str">
        <f>"20190303153838351"</f>
        <v>20190303153838351</v>
      </c>
      <c r="B3544" t="str">
        <f>"1551598718341878"</f>
        <v>1551598718341878</v>
      </c>
      <c r="C3544" t="s">
        <v>40</v>
      </c>
      <c r="D3544">
        <v>5.0277919999999998</v>
      </c>
      <c r="E3544">
        <v>0.52902930000000004</v>
      </c>
      <c r="F3544" t="s">
        <v>42</v>
      </c>
      <c r="G3544">
        <v>-493.29169999999999</v>
      </c>
      <c r="H3544" s="1">
        <v>-4.356402E-6</v>
      </c>
      <c r="I3544">
        <v>248.07249999999999</v>
      </c>
      <c r="J3544">
        <v>-492.90210000000002</v>
      </c>
      <c r="K3544">
        <v>1.1245289999999999</v>
      </c>
      <c r="L3544">
        <v>271.88670000000002</v>
      </c>
      <c r="M3544">
        <v>-0.1033854</v>
      </c>
      <c r="N3544">
        <v>-1.4621510000000001E-2</v>
      </c>
      <c r="O3544">
        <v>-0.99453420000000003</v>
      </c>
      <c r="P3544">
        <v>4.0851730000000003E-2</v>
      </c>
      <c r="Q3544">
        <v>-9.7636940000000005E-2</v>
      </c>
      <c r="R3544">
        <v>-0.99438360000000003</v>
      </c>
      <c r="S3544">
        <v>-4.9499509999999997E-2</v>
      </c>
      <c r="T3544">
        <v>-0.14148289999999999</v>
      </c>
      <c r="U3544">
        <v>-3.009674</v>
      </c>
      <c r="V3544">
        <v>-0.14277999999999999</v>
      </c>
      <c r="W3544">
        <v>-8.4369070000000004E-2</v>
      </c>
      <c r="X3544">
        <v>0.98615200000000003</v>
      </c>
      <c r="Y3544">
        <v>-8.6994929999999998E-2</v>
      </c>
      <c r="Z3544">
        <v>3.1890210000000002E-2</v>
      </c>
      <c r="AA3544">
        <v>0.99569819999999998</v>
      </c>
      <c r="AB3544">
        <v>15</v>
      </c>
      <c r="AC3544">
        <v>-0.38959999999997302</v>
      </c>
      <c r="AD3544">
        <v>-1.1245333564019999</v>
      </c>
      <c r="AE3544">
        <v>-23.8142</v>
      </c>
      <c r="AF3544">
        <v>-2.0701763203516799</v>
      </c>
      <c r="AG3544">
        <v>-1.1245333564019999</v>
      </c>
      <c r="AH3544">
        <v>23.674069386446401</v>
      </c>
      <c r="AI3544">
        <v>92.709218878156804</v>
      </c>
      <c r="AJ3544">
        <v>94.997510828290899</v>
      </c>
      <c r="AK3544">
        <v>23.791001798606299</v>
      </c>
      <c r="AL3544">
        <v>94.839744832400001</v>
      </c>
      <c r="AM3544">
        <v>98.2383209475623</v>
      </c>
      <c r="AN3544">
        <v>1.0000000177383299</v>
      </c>
    </row>
    <row r="3545" spans="1:40" x14ac:dyDescent="0.25">
      <c r="A3545" t="str">
        <f>"20190303153838363"</f>
        <v>20190303153838363</v>
      </c>
      <c r="B3545" t="str">
        <f>"1551598718351639"</f>
        <v>1551598718351639</v>
      </c>
      <c r="C3545" t="s">
        <v>40</v>
      </c>
      <c r="D3545">
        <v>5.0491710000000003</v>
      </c>
      <c r="E3545">
        <v>0.52894649999999999</v>
      </c>
      <c r="F3545" t="s">
        <v>42</v>
      </c>
      <c r="G3545">
        <v>-493.82389999999998</v>
      </c>
      <c r="H3545" s="1">
        <v>-3.9487970000000003E-6</v>
      </c>
      <c r="I3545">
        <v>246.59729999999999</v>
      </c>
      <c r="J3545">
        <v>-492.90440000000001</v>
      </c>
      <c r="K3545">
        <v>1.124484</v>
      </c>
      <c r="L3545">
        <v>271.80869999999999</v>
      </c>
      <c r="M3545">
        <v>-9.846017E-2</v>
      </c>
      <c r="N3545">
        <v>-1.4590290000000001E-2</v>
      </c>
      <c r="O3545">
        <v>-0.99503399999999997</v>
      </c>
      <c r="P3545">
        <v>3.2298060000000003E-2</v>
      </c>
      <c r="Q3545">
        <v>-9.7413609999999998E-2</v>
      </c>
      <c r="R3545">
        <v>-0.99472000000000005</v>
      </c>
      <c r="S3545">
        <v>-0.1096497</v>
      </c>
      <c r="T3545">
        <v>-0.13377139999999901</v>
      </c>
      <c r="U3545">
        <v>-3.008362</v>
      </c>
      <c r="V3545">
        <v>-0.12943470000000001</v>
      </c>
      <c r="W3545">
        <v>-8.402801E-2</v>
      </c>
      <c r="X3545">
        <v>0.98802120000000004</v>
      </c>
      <c r="Y3545">
        <v>-6.2147250000000001E-2</v>
      </c>
      <c r="Z3545">
        <v>2.9487180000000002E-2</v>
      </c>
      <c r="AA3545">
        <v>0.9976313</v>
      </c>
      <c r="AB3545">
        <v>15</v>
      </c>
      <c r="AC3545">
        <v>-0.91949999999997001</v>
      </c>
      <c r="AD3545">
        <v>-1.1244879487970001</v>
      </c>
      <c r="AE3545">
        <v>-25.211400000000001</v>
      </c>
      <c r="AF3545">
        <v>-1.56444374422591</v>
      </c>
      <c r="AG3545">
        <v>-1.1244879487970001</v>
      </c>
      <c r="AH3545">
        <v>25.129489773267299</v>
      </c>
      <c r="AI3545">
        <v>92.557203490402202</v>
      </c>
      <c r="AJ3545">
        <v>93.562368029020007</v>
      </c>
      <c r="AK3545">
        <v>25.2032381578356</v>
      </c>
      <c r="AL3545">
        <v>94.820134127044895</v>
      </c>
      <c r="AM3545">
        <v>97.463472128214406</v>
      </c>
      <c r="AN3545">
        <v>0.99999996983904405</v>
      </c>
    </row>
    <row r="3546" spans="1:40" x14ac:dyDescent="0.25">
      <c r="A3546" t="str">
        <f>"20190303153838377"</f>
        <v>20190303153838377</v>
      </c>
      <c r="B3546" t="str">
        <f>"1551598718372135"</f>
        <v>1551598718372135</v>
      </c>
      <c r="C3546" t="s">
        <v>40</v>
      </c>
      <c r="D3546">
        <v>5.1077579999999996</v>
      </c>
      <c r="E3546">
        <v>0.52865519999999999</v>
      </c>
      <c r="F3546" t="s">
        <v>42</v>
      </c>
      <c r="G3546">
        <v>-494.04259999999999</v>
      </c>
      <c r="H3546" s="1">
        <v>-3.9100699999999996E-6</v>
      </c>
      <c r="I3546">
        <v>246.36949999999999</v>
      </c>
      <c r="J3546">
        <v>-492.90660000000003</v>
      </c>
      <c r="K3546">
        <v>1.124433</v>
      </c>
      <c r="L3546">
        <v>271.72539999999998</v>
      </c>
      <c r="M3546">
        <v>-9.3258759999999996E-2</v>
      </c>
      <c r="N3546">
        <v>-1.455818E-2</v>
      </c>
      <c r="O3546">
        <v>-0.99553570000000002</v>
      </c>
      <c r="P3546">
        <v>2.434764E-2</v>
      </c>
      <c r="Q3546">
        <v>-9.7374189999999999E-2</v>
      </c>
      <c r="R3546">
        <v>-0.99495029999999995</v>
      </c>
      <c r="S3546">
        <v>-0.134552</v>
      </c>
      <c r="T3546">
        <v>-0.1329311</v>
      </c>
      <c r="U3546">
        <v>-3.0072939999999999</v>
      </c>
      <c r="V3546">
        <v>-0.1163921</v>
      </c>
      <c r="W3546">
        <v>-8.388031E-2</v>
      </c>
      <c r="X3546">
        <v>0.98965499999999995</v>
      </c>
      <c r="Y3546">
        <v>-4.8671489999999998E-2</v>
      </c>
      <c r="Z3546">
        <v>2.9305029999999999E-2</v>
      </c>
      <c r="AA3546">
        <v>0.99838479999999996</v>
      </c>
      <c r="AB3546">
        <v>15</v>
      </c>
      <c r="AC3546">
        <v>-1.1359999999999599</v>
      </c>
      <c r="AD3546">
        <v>-1.12443691007</v>
      </c>
      <c r="AE3546">
        <v>-25.355899999999899</v>
      </c>
      <c r="AF3546">
        <v>-1.2314448227124</v>
      </c>
      <c r="AG3546">
        <v>-1.12443691007</v>
      </c>
      <c r="AH3546">
        <v>25.3016681811166</v>
      </c>
      <c r="AI3546">
        <v>92.541615210659401</v>
      </c>
      <c r="AJ3546">
        <v>92.786415413133994</v>
      </c>
      <c r="AK3546">
        <v>25.356561822602099</v>
      </c>
      <c r="AL3546">
        <v>94.811641300836698</v>
      </c>
      <c r="AM3546">
        <v>96.707672544076601</v>
      </c>
      <c r="AN3546">
        <v>1.00000002318655</v>
      </c>
    </row>
    <row r="3547" spans="1:40" x14ac:dyDescent="0.25">
      <c r="A3547" t="str">
        <f>"20190303153838395"</f>
        <v>20190303153838395</v>
      </c>
      <c r="B3547" t="str">
        <f>"1551598718391655"</f>
        <v>1551598718391655</v>
      </c>
      <c r="C3547" t="s">
        <v>40</v>
      </c>
      <c r="D3547">
        <v>4.9516159999999996</v>
      </c>
      <c r="E3547">
        <v>0.52842309999999904</v>
      </c>
      <c r="F3547" t="s">
        <v>42</v>
      </c>
      <c r="G3547">
        <v>-494.21620000000001</v>
      </c>
      <c r="H3547" s="1">
        <v>-3.9925499999999996E-6</v>
      </c>
      <c r="I3547">
        <v>246.5214</v>
      </c>
      <c r="J3547">
        <v>-492.90899999999999</v>
      </c>
      <c r="K3547">
        <v>1.124371</v>
      </c>
      <c r="L3547">
        <v>271.6071</v>
      </c>
      <c r="M3547">
        <v>-8.5991730000000002E-2</v>
      </c>
      <c r="N3547">
        <v>-1.4514829999999999E-2</v>
      </c>
      <c r="O3547">
        <v>-0.99619009999999997</v>
      </c>
      <c r="P3547">
        <v>9.4487700000000004E-3</v>
      </c>
      <c r="Q3547">
        <v>-9.6270960000000003E-2</v>
      </c>
      <c r="R3547">
        <v>-0.99531040000000004</v>
      </c>
      <c r="S3547">
        <v>-0.15618899999999999</v>
      </c>
      <c r="T3547">
        <v>-0.13410459999999999</v>
      </c>
      <c r="U3547">
        <v>-3.0059200000000001</v>
      </c>
      <c r="V3547">
        <v>-9.4386960000000006E-2</v>
      </c>
      <c r="W3547">
        <v>-8.2598290000000005E-2</v>
      </c>
      <c r="X3547">
        <v>0.99210319999999996</v>
      </c>
      <c r="Y3547">
        <v>-3.419519E-2</v>
      </c>
      <c r="Z3547">
        <v>2.9806220000000001E-2</v>
      </c>
      <c r="AA3547">
        <v>0.99897060000000004</v>
      </c>
      <c r="AB3547">
        <v>15</v>
      </c>
      <c r="AC3547">
        <v>-1.3072000000000199</v>
      </c>
      <c r="AD3547">
        <v>-1.12437499255</v>
      </c>
      <c r="AE3547">
        <v>-25.085699999999999</v>
      </c>
      <c r="AF3547">
        <v>-0.853323483092853</v>
      </c>
      <c r="AG3547">
        <v>-1.12437499255</v>
      </c>
      <c r="AH3547">
        <v>25.0549814509409</v>
      </c>
      <c r="AI3547">
        <v>92.568011963481993</v>
      </c>
      <c r="AJ3547">
        <v>91.950627796567005</v>
      </c>
      <c r="AK3547">
        <v>25.094710111847501</v>
      </c>
      <c r="AL3547">
        <v>94.737930946673202</v>
      </c>
      <c r="AM3547">
        <v>95.434662559198202</v>
      </c>
      <c r="AN3547">
        <v>1.0000000675895999</v>
      </c>
    </row>
    <row r="3548" spans="1:40" x14ac:dyDescent="0.25">
      <c r="A3548" t="str">
        <f>"20190303153838407"</f>
        <v>20190303153838407</v>
      </c>
      <c r="B3548" t="str">
        <f>"1551598718402390"</f>
        <v>1551598718402390</v>
      </c>
      <c r="C3548" t="s">
        <v>40</v>
      </c>
      <c r="D3548">
        <v>5.0041279999999997</v>
      </c>
      <c r="E3548">
        <v>0.52818889999999996</v>
      </c>
      <c r="F3548" t="s">
        <v>42</v>
      </c>
      <c r="G3548">
        <v>-494.63900000000001</v>
      </c>
      <c r="H3548" s="1">
        <v>-3.7239800000000001E-6</v>
      </c>
      <c r="I3548">
        <v>245.51179999999999</v>
      </c>
      <c r="J3548">
        <v>-492.91030000000001</v>
      </c>
      <c r="K3548">
        <v>1.1243299999999901</v>
      </c>
      <c r="L3548">
        <v>271.52530000000002</v>
      </c>
      <c r="M3548">
        <v>-8.103776E-2</v>
      </c>
      <c r="N3548">
        <v>-1.448635E-2</v>
      </c>
      <c r="O3548">
        <v>-0.99660590000000004</v>
      </c>
      <c r="P3548">
        <v>5.0004460000000004E-3</v>
      </c>
      <c r="Q3548">
        <v>-9.5362340000000004E-2</v>
      </c>
      <c r="R3548">
        <v>-0.99543029999999999</v>
      </c>
      <c r="S3548">
        <v>-0.1991272</v>
      </c>
      <c r="T3548">
        <v>-0.1294129</v>
      </c>
      <c r="U3548">
        <v>-3.0035099999999999</v>
      </c>
      <c r="V3548">
        <v>-8.5051810000000005E-2</v>
      </c>
      <c r="W3548">
        <v>-8.1623660000000001E-2</v>
      </c>
      <c r="X3548">
        <v>0.99302760000000001</v>
      </c>
      <c r="Y3548">
        <v>-1.4953839999999999E-2</v>
      </c>
      <c r="Z3548">
        <v>2.8347270000000001E-2</v>
      </c>
      <c r="AA3548">
        <v>0.99948630000000005</v>
      </c>
      <c r="AB3548">
        <v>15</v>
      </c>
      <c r="AC3548">
        <v>-1.7286999999999999</v>
      </c>
      <c r="AD3548">
        <v>-1.12433372397999</v>
      </c>
      <c r="AE3548">
        <v>-26.013500000000001</v>
      </c>
      <c r="AF3548">
        <v>-0.38456828138869997</v>
      </c>
      <c r="AG3548">
        <v>-1.12433372397999</v>
      </c>
      <c r="AH3548">
        <v>26.0196363609899</v>
      </c>
      <c r="AI3548">
        <v>92.473997129893306</v>
      </c>
      <c r="AJ3548">
        <v>90.846765686427602</v>
      </c>
      <c r="AK3548">
        <v>26.0467559485644</v>
      </c>
      <c r="AL3548">
        <v>94.681899763172694</v>
      </c>
      <c r="AM3548">
        <v>94.895378493728103</v>
      </c>
      <c r="AN3548">
        <v>1.0000000233089099</v>
      </c>
    </row>
    <row r="3549" spans="1:40" x14ac:dyDescent="0.25">
      <c r="A3549" t="str">
        <f>"20190303153838419"</f>
        <v>20190303153838419</v>
      </c>
      <c r="B3549" t="str">
        <f>"1551598718412150"</f>
        <v>1551598718412150</v>
      </c>
      <c r="C3549" t="s">
        <v>40</v>
      </c>
      <c r="D3549">
        <v>5.0151399999999997</v>
      </c>
      <c r="E3549">
        <v>0.527999199999999</v>
      </c>
      <c r="F3549" t="s">
        <v>42</v>
      </c>
      <c r="G3549">
        <v>-494.77710000000002</v>
      </c>
      <c r="H3549" s="1">
        <v>-3.5184730000000002E-6</v>
      </c>
      <c r="I3549">
        <v>244.83590000000001</v>
      </c>
      <c r="J3549">
        <v>-492.91109999999998</v>
      </c>
      <c r="K3549">
        <v>1.1242909999999999</v>
      </c>
      <c r="L3549">
        <v>271.44779999999997</v>
      </c>
      <c r="M3549">
        <v>-7.6434279999999993E-2</v>
      </c>
      <c r="N3549">
        <v>-1.4460860000000001E-2</v>
      </c>
      <c r="O3549">
        <v>-0.99696980000000002</v>
      </c>
      <c r="P3549">
        <v>1.6043920000000001E-3</v>
      </c>
      <c r="Q3549">
        <v>-9.4672999999999993E-2</v>
      </c>
      <c r="R3549">
        <v>-0.99550709999999998</v>
      </c>
      <c r="S3549">
        <v>-0.21002199999999999</v>
      </c>
      <c r="T3549">
        <v>-0.12649449999999901</v>
      </c>
      <c r="U3549">
        <v>-3.0027159999999999</v>
      </c>
      <c r="V3549">
        <v>-7.7104980000000004E-2</v>
      </c>
      <c r="W3549">
        <v>-8.0881259999999996E-2</v>
      </c>
      <c r="X3549">
        <v>0.99373690000000003</v>
      </c>
      <c r="Y3549">
        <v>-6.7102100000000003E-3</v>
      </c>
      <c r="Z3549">
        <v>2.7439499999999999E-2</v>
      </c>
      <c r="AA3549">
        <v>0.99960090000000001</v>
      </c>
      <c r="AB3549">
        <v>15</v>
      </c>
      <c r="AC3549">
        <v>-1.8660000000000401</v>
      </c>
      <c r="AD3549">
        <v>-1.124294518473</v>
      </c>
      <c r="AE3549">
        <v>-26.611899999999899</v>
      </c>
      <c r="AF3549">
        <v>-0.17342589739768599</v>
      </c>
      <c r="AG3549">
        <v>-1.124294518473</v>
      </c>
      <c r="AH3549">
        <v>26.629377464911599</v>
      </c>
      <c r="AI3549">
        <v>92.417545539814299</v>
      </c>
      <c r="AJ3549">
        <v>90.373137956891995</v>
      </c>
      <c r="AK3549">
        <v>26.6536650176837</v>
      </c>
      <c r="AL3549">
        <v>94.639222414419805</v>
      </c>
      <c r="AM3549">
        <v>94.436744039209302</v>
      </c>
      <c r="AN3549">
        <v>0.99999999129079897</v>
      </c>
    </row>
    <row r="3550" spans="1:40" x14ac:dyDescent="0.25">
      <c r="A3550" t="str">
        <f>"20190303153838431"</f>
        <v>20190303153838431</v>
      </c>
      <c r="B3550" t="str">
        <f>"1551598718421911"</f>
        <v>1551598718421911</v>
      </c>
      <c r="C3550" t="s">
        <v>40</v>
      </c>
      <c r="D3550">
        <v>5.0095179999999999</v>
      </c>
      <c r="E3550">
        <v>0.527999199999999</v>
      </c>
      <c r="F3550" t="s">
        <v>42</v>
      </c>
      <c r="G3550">
        <v>-494.90129999999999</v>
      </c>
      <c r="H3550" s="1">
        <v>-3.2686930000000002E-6</v>
      </c>
      <c r="I3550">
        <v>244.1686</v>
      </c>
      <c r="J3550">
        <v>-492.91180000000003</v>
      </c>
      <c r="K3550">
        <v>1.1242460000000001</v>
      </c>
      <c r="L3550">
        <v>271.37079999999997</v>
      </c>
      <c r="M3550">
        <v>-7.1897859999999994E-2</v>
      </c>
      <c r="N3550">
        <v>-1.443619E-2</v>
      </c>
      <c r="O3550">
        <v>-0.99730770000000002</v>
      </c>
      <c r="P3550">
        <v>-2.0401360000000001E-3</v>
      </c>
      <c r="Q3550">
        <v>-9.3881619999999999E-2</v>
      </c>
      <c r="R3550">
        <v>-0.99558139999999995</v>
      </c>
      <c r="S3550">
        <v>-0.21902469999999999</v>
      </c>
      <c r="T3550">
        <v>-0.1237311</v>
      </c>
      <c r="U3550">
        <v>-3.0021360000000001</v>
      </c>
      <c r="V3550">
        <v>-6.8974030000000006E-2</v>
      </c>
      <c r="W3550">
        <v>-8.0036880000000005E-2</v>
      </c>
      <c r="X3550">
        <v>0.99440260000000003</v>
      </c>
      <c r="Y3550">
        <v>8.3368319999999995E-4</v>
      </c>
      <c r="Z3550">
        <v>2.6574899999999999E-2</v>
      </c>
      <c r="AA3550">
        <v>0.99964649999999999</v>
      </c>
      <c r="AB3550">
        <v>15</v>
      </c>
      <c r="AC3550">
        <v>-1.9894999999999601</v>
      </c>
      <c r="AD3550">
        <v>-1.1242492686929999</v>
      </c>
      <c r="AE3550">
        <v>-27.202199999999898</v>
      </c>
      <c r="AF3550">
        <v>2.83185388797591E-2</v>
      </c>
      <c r="AG3550">
        <v>-1.1242492686929999</v>
      </c>
      <c r="AH3550">
        <v>27.228579620260799</v>
      </c>
      <c r="AI3550">
        <v>92.364358950476799</v>
      </c>
      <c r="AJ3550">
        <v>89.940410693565099</v>
      </c>
      <c r="AK3550">
        <v>27.2517941885426</v>
      </c>
      <c r="AL3550">
        <v>94.590685947090705</v>
      </c>
      <c r="AM3550">
        <v>93.967810741963504</v>
      </c>
      <c r="AN3550">
        <v>0.99999992493066403</v>
      </c>
    </row>
    <row r="3551" spans="1:40" x14ac:dyDescent="0.25">
      <c r="A3551" t="str">
        <f>"20190303153838443"</f>
        <v>20190303153838443</v>
      </c>
      <c r="B3551" t="str">
        <f>"1551598718431670"</f>
        <v>1551598718431670</v>
      </c>
      <c r="C3551" t="s">
        <v>40</v>
      </c>
      <c r="D3551">
        <v>4.9985710000000001</v>
      </c>
      <c r="E3551">
        <v>0.51612139999999995</v>
      </c>
      <c r="F3551" t="s">
        <v>42</v>
      </c>
      <c r="G3551">
        <v>-495.04289999999997</v>
      </c>
      <c r="H3551" s="1">
        <v>-3.0176990000000001E-6</v>
      </c>
      <c r="I3551">
        <v>243.4957</v>
      </c>
      <c r="J3551">
        <v>-492.91210000000001</v>
      </c>
      <c r="K3551">
        <v>1.12419</v>
      </c>
      <c r="L3551">
        <v>271.29070000000002</v>
      </c>
      <c r="M3551">
        <v>-6.7272219999999994E-2</v>
      </c>
      <c r="N3551">
        <v>-1.441107E-2</v>
      </c>
      <c r="O3551">
        <v>-0.99763069999999998</v>
      </c>
      <c r="P3551">
        <v>-5.2673080000000001E-3</v>
      </c>
      <c r="Q3551">
        <v>-9.3739840000000005E-2</v>
      </c>
      <c r="R3551">
        <v>-0.99558279999999999</v>
      </c>
      <c r="S3551">
        <v>-0.22946169999999999</v>
      </c>
      <c r="T3551">
        <v>-0.1210526</v>
      </c>
      <c r="U3551">
        <v>-3.0014340000000002</v>
      </c>
      <c r="V3551">
        <v>-6.1159579999999998E-2</v>
      </c>
      <c r="W3551">
        <v>-7.9847650000000006E-2</v>
      </c>
      <c r="X3551">
        <v>0.99492910000000001</v>
      </c>
      <c r="Y3551">
        <v>8.9432269999999998E-3</v>
      </c>
      <c r="Z3551">
        <v>2.5736229999999999E-2</v>
      </c>
      <c r="AA3551">
        <v>0.99962879999999998</v>
      </c>
      <c r="AB3551">
        <v>15</v>
      </c>
      <c r="AC3551">
        <v>-2.1307999999999598</v>
      </c>
      <c r="AD3551">
        <v>-1.124193017699</v>
      </c>
      <c r="AE3551">
        <v>-27.795000000000002</v>
      </c>
      <c r="AF3551">
        <v>0.25553111514620602</v>
      </c>
      <c r="AG3551">
        <v>-1.124193017699</v>
      </c>
      <c r="AH3551">
        <v>27.830119839969701</v>
      </c>
      <c r="AI3551">
        <v>92.313098363581801</v>
      </c>
      <c r="AJ3551">
        <v>89.473935322562099</v>
      </c>
      <c r="AK3551">
        <v>27.853988518683099</v>
      </c>
      <c r="AL3551">
        <v>94.579808582540096</v>
      </c>
      <c r="AM3551">
        <v>93.517619508590201</v>
      </c>
      <c r="AN3551">
        <v>1.0000000277315499</v>
      </c>
    </row>
    <row r="3552" spans="1:40" x14ac:dyDescent="0.25">
      <c r="A3552" t="str">
        <f>"20190303153838456"</f>
        <v>20190303153838456</v>
      </c>
      <c r="B3552" t="str">
        <f>"1551598718452167"</f>
        <v>1551598718452167</v>
      </c>
      <c r="C3552" t="s">
        <v>40</v>
      </c>
      <c r="D3552">
        <v>5.0743119999999999</v>
      </c>
      <c r="E3552">
        <v>0.50699419999999995</v>
      </c>
      <c r="F3552" t="s">
        <v>42</v>
      </c>
      <c r="G3552">
        <v>-494.279</v>
      </c>
      <c r="H3552" s="1">
        <v>-2.553954E-6</v>
      </c>
      <c r="I3552">
        <v>242.88849999999999</v>
      </c>
      <c r="J3552">
        <v>-492.91210000000001</v>
      </c>
      <c r="K3552">
        <v>1.1241380000000001</v>
      </c>
      <c r="L3552">
        <v>271.21429999999998</v>
      </c>
      <c r="M3552">
        <v>-6.2926179999999998E-2</v>
      </c>
      <c r="N3552">
        <v>-1.43873E-2</v>
      </c>
      <c r="O3552">
        <v>-0.99791439999999998</v>
      </c>
      <c r="P3552">
        <v>-8.3829249999999994E-3</v>
      </c>
      <c r="Q3552">
        <v>-9.349441E-2</v>
      </c>
      <c r="R3552">
        <v>-0.99558420000000003</v>
      </c>
      <c r="S3552">
        <v>-0.1444397</v>
      </c>
      <c r="T3552">
        <v>-0.118798</v>
      </c>
      <c r="U3552">
        <v>-3.0013730000000001</v>
      </c>
      <c r="V3552">
        <v>-5.3733570000000001E-2</v>
      </c>
      <c r="W3552">
        <v>-7.9559279999999996E-2</v>
      </c>
      <c r="X3552">
        <v>0.99538079999999995</v>
      </c>
      <c r="Y3552">
        <v>-1.489567E-2</v>
      </c>
      <c r="Z3552">
        <v>2.5049410000000001E-2</v>
      </c>
      <c r="AA3552">
        <v>0.99957530000000006</v>
      </c>
      <c r="AB3552">
        <v>15</v>
      </c>
      <c r="AC3552">
        <v>-1.36689999999998</v>
      </c>
      <c r="AD3552">
        <v>-1.1241405539539999</v>
      </c>
      <c r="AE3552">
        <v>-28.325799999999902</v>
      </c>
      <c r="AF3552">
        <v>-0.41777207950697898</v>
      </c>
      <c r="AG3552">
        <v>-1.1241405539539999</v>
      </c>
      <c r="AH3552">
        <v>28.311188394965399</v>
      </c>
      <c r="AI3552">
        <v>92.273577885439806</v>
      </c>
      <c r="AJ3552">
        <v>90.845419818935596</v>
      </c>
      <c r="AK3552">
        <v>28.3365773132657</v>
      </c>
      <c r="AL3552">
        <v>94.563233793912701</v>
      </c>
      <c r="AM3552">
        <v>93.089994689713606</v>
      </c>
      <c r="AN3552">
        <v>0.99999995629384997</v>
      </c>
    </row>
    <row r="3553" spans="1:40" x14ac:dyDescent="0.25">
      <c r="A3553" t="str">
        <f>"20190303153838467"</f>
        <v>20190303153838467</v>
      </c>
      <c r="B3553" t="str">
        <f>"1551598718461927"</f>
        <v>1551598718461927</v>
      </c>
      <c r="C3553" t="s">
        <v>40</v>
      </c>
      <c r="D3553">
        <v>5.0709299999999997</v>
      </c>
      <c r="E3553">
        <v>0.5063666</v>
      </c>
      <c r="F3553" t="s">
        <v>42</v>
      </c>
      <c r="G3553">
        <v>-493.36939999999998</v>
      </c>
      <c r="H3553" s="1">
        <v>-2.9247710000000002E-6</v>
      </c>
      <c r="I3553">
        <v>254.31700000000001</v>
      </c>
      <c r="J3553">
        <v>-492.91199999999998</v>
      </c>
      <c r="K3553">
        <v>1.1240810000000001</v>
      </c>
      <c r="L3553">
        <v>271.13499999999999</v>
      </c>
      <c r="M3553">
        <v>-5.846751E-2</v>
      </c>
      <c r="N3553">
        <v>-1.436292E-2</v>
      </c>
      <c r="O3553">
        <v>-0.99818609999999997</v>
      </c>
      <c r="P3553">
        <v>-1.047331E-2</v>
      </c>
      <c r="Q3553">
        <v>-9.3631809999999996E-2</v>
      </c>
      <c r="R3553">
        <v>-0.99555170000000004</v>
      </c>
      <c r="S3553">
        <v>-8.1024170000000006E-2</v>
      </c>
      <c r="T3553">
        <v>-0.19917989999999999</v>
      </c>
      <c r="U3553">
        <v>-2.9939269999999998</v>
      </c>
      <c r="V3553">
        <v>-4.7213919999999999E-2</v>
      </c>
      <c r="W3553">
        <v>-7.9663979999999995E-2</v>
      </c>
      <c r="X3553">
        <v>0.995703</v>
      </c>
      <c r="Y3553">
        <v>-3.1463669999999999E-2</v>
      </c>
      <c r="Z3553">
        <v>5.1855819999999997E-2</v>
      </c>
      <c r="AA3553">
        <v>0.99815880000000001</v>
      </c>
      <c r="AB3553">
        <v>15</v>
      </c>
      <c r="AC3553">
        <v>-0.45740000000000602</v>
      </c>
      <c r="AD3553">
        <v>-1.1240839247709999</v>
      </c>
      <c r="AE3553">
        <v>-16.817999999999898</v>
      </c>
      <c r="AF3553">
        <v>-0.52444937833481098</v>
      </c>
      <c r="AG3553">
        <v>-1.1240839247709999</v>
      </c>
      <c r="AH3553">
        <v>16.741236032705299</v>
      </c>
      <c r="AI3553">
        <v>93.839459618434901</v>
      </c>
      <c r="AJ3553">
        <v>91.794306707367696</v>
      </c>
      <c r="AK3553">
        <v>16.7871258922758</v>
      </c>
      <c r="AL3553">
        <v>94.569251636357194</v>
      </c>
      <c r="AM3553">
        <v>92.714799114566205</v>
      </c>
      <c r="AN3553">
        <v>0.99999998408010304</v>
      </c>
    </row>
    <row r="3554" spans="1:40" x14ac:dyDescent="0.25">
      <c r="A3554" t="str">
        <f>"20190303153838485"</f>
        <v>20190303153838485</v>
      </c>
      <c r="B3554" t="str">
        <f>"1551598718482423"</f>
        <v>1551598718482423</v>
      </c>
      <c r="C3554" t="s">
        <v>40</v>
      </c>
      <c r="D3554">
        <v>5.0933070000000003</v>
      </c>
      <c r="E3554">
        <v>0.50430229999999998</v>
      </c>
      <c r="F3554" t="s">
        <v>42</v>
      </c>
      <c r="G3554">
        <v>-493.37150000000003</v>
      </c>
      <c r="H3554" s="1">
        <v>-2.981117E-6</v>
      </c>
      <c r="I3554">
        <v>254.44710000000001</v>
      </c>
      <c r="J3554">
        <v>-492.91129999999998</v>
      </c>
      <c r="K3554">
        <v>1.123996</v>
      </c>
      <c r="L3554">
        <v>271.02800000000002</v>
      </c>
      <c r="M3554">
        <v>-5.260273E-2</v>
      </c>
      <c r="N3554">
        <v>-1.432983E-2</v>
      </c>
      <c r="O3554">
        <v>-0.99851279999999998</v>
      </c>
      <c r="P3554">
        <v>-1.513423E-2</v>
      </c>
      <c r="Q3554">
        <v>-9.2449439999999994E-2</v>
      </c>
      <c r="R3554">
        <v>-0.99560269999999995</v>
      </c>
      <c r="S3554">
        <v>-8.2427979999999998E-2</v>
      </c>
      <c r="T3554">
        <v>-0.20164319999999999</v>
      </c>
      <c r="U3554">
        <v>-2.9935610000000001</v>
      </c>
      <c r="V3554">
        <v>-3.6743190000000002E-2</v>
      </c>
      <c r="W3554">
        <v>-7.842731E-2</v>
      </c>
      <c r="X3554">
        <v>0.99624250000000003</v>
      </c>
      <c r="Y3554">
        <v>-2.5125330000000001E-2</v>
      </c>
      <c r="Z3554">
        <v>5.275005E-2</v>
      </c>
      <c r="AA3554">
        <v>0.99829159999999995</v>
      </c>
      <c r="AB3554">
        <v>15</v>
      </c>
      <c r="AC3554">
        <v>-0.46020000000004202</v>
      </c>
      <c r="AD3554">
        <v>-1.1239989811169999</v>
      </c>
      <c r="AE3554">
        <v>-16.5809</v>
      </c>
      <c r="AF3554">
        <v>-0.41084085966881301</v>
      </c>
      <c r="AG3554">
        <v>-1.1239989811169999</v>
      </c>
      <c r="AH3554">
        <v>16.506356008671499</v>
      </c>
      <c r="AI3554">
        <v>93.894335434878997</v>
      </c>
      <c r="AJ3554">
        <v>91.425789445520493</v>
      </c>
      <c r="AK3554">
        <v>16.549681344561598</v>
      </c>
      <c r="AL3554">
        <v>94.498173129188302</v>
      </c>
      <c r="AM3554">
        <v>92.112212572999695</v>
      </c>
      <c r="AN3554">
        <v>1.00000001188573</v>
      </c>
    </row>
    <row r="3555" spans="1:40" x14ac:dyDescent="0.25">
      <c r="A3555" t="str">
        <f>"20190303153838499"</f>
        <v>20190303153838499</v>
      </c>
      <c r="B3555" t="str">
        <f>"1551598718492183"</f>
        <v>1551598718492183</v>
      </c>
      <c r="C3555" t="s">
        <v>40</v>
      </c>
      <c r="D3555">
        <v>5.031911</v>
      </c>
      <c r="E3555">
        <v>0.50451889999999999</v>
      </c>
      <c r="F3555" t="s">
        <v>42</v>
      </c>
      <c r="G3555">
        <v>-493.36320000000001</v>
      </c>
      <c r="H3555" s="1">
        <v>-2.853874E-6</v>
      </c>
      <c r="I3555">
        <v>254.15559999999999</v>
      </c>
      <c r="J3555">
        <v>-492.91039999999998</v>
      </c>
      <c r="K3555">
        <v>1.123926</v>
      </c>
      <c r="L3555">
        <v>270.94110000000001</v>
      </c>
      <c r="M3555">
        <v>-4.7951000000000001E-2</v>
      </c>
      <c r="N3555">
        <v>-1.4302809999999999E-2</v>
      </c>
      <c r="O3555">
        <v>-0.9987473</v>
      </c>
      <c r="P3555">
        <v>-1.343433E-2</v>
      </c>
      <c r="Q3555">
        <v>-9.1926759999999996E-2</v>
      </c>
      <c r="R3555">
        <v>-0.99567530000000004</v>
      </c>
      <c r="S3555">
        <v>-8.0169679999999993E-2</v>
      </c>
      <c r="T3555">
        <v>-0.19942260000000001</v>
      </c>
      <c r="U3555">
        <v>-2.9935299999999998</v>
      </c>
      <c r="V3555">
        <v>-3.3826700000000001E-2</v>
      </c>
      <c r="W3555">
        <v>-7.7903890000000003E-2</v>
      </c>
      <c r="X3555">
        <v>0.99638680000000002</v>
      </c>
      <c r="Y3555">
        <v>-2.122222E-2</v>
      </c>
      <c r="Z3555">
        <v>5.2067820000000001E-2</v>
      </c>
      <c r="AA3555">
        <v>0.99841800000000003</v>
      </c>
      <c r="AB3555">
        <v>15</v>
      </c>
      <c r="AC3555">
        <v>-0.45280000000002402</v>
      </c>
      <c r="AD3555">
        <v>-1.123928853874</v>
      </c>
      <c r="AE3555">
        <v>-16.785499999999999</v>
      </c>
      <c r="AF3555">
        <v>-0.35111176704864</v>
      </c>
      <c r="AG3555">
        <v>-1.123928853874</v>
      </c>
      <c r="AH3555">
        <v>16.7130249757748</v>
      </c>
      <c r="AI3555">
        <v>93.846426690239397</v>
      </c>
      <c r="AJ3555">
        <v>91.203508260182403</v>
      </c>
      <c r="AK3555">
        <v>16.754453120958701</v>
      </c>
      <c r="AL3555">
        <v>94.468091572873902</v>
      </c>
      <c r="AM3555">
        <v>91.944408594236705</v>
      </c>
      <c r="AN3555">
        <v>0.99999995846212997</v>
      </c>
    </row>
    <row r="3556" spans="1:40" x14ac:dyDescent="0.25">
      <c r="A3556" t="str">
        <f>"20190303153838511"</f>
        <v>20190303153838511</v>
      </c>
      <c r="B3556" t="str">
        <f>"1551598718501943"</f>
        <v>1551598718501943</v>
      </c>
      <c r="C3556" t="s">
        <v>40</v>
      </c>
      <c r="D3556">
        <v>5.1206519999999998</v>
      </c>
      <c r="E3556">
        <v>0.50359869999999995</v>
      </c>
      <c r="F3556" t="s">
        <v>42</v>
      </c>
      <c r="G3556">
        <v>-493.36709999999999</v>
      </c>
      <c r="H3556" s="1">
        <v>-2.393852E-6</v>
      </c>
      <c r="I3556">
        <v>253.08090000000001</v>
      </c>
      <c r="J3556">
        <v>-492.9092</v>
      </c>
      <c r="K3556">
        <v>1.1238539999999999</v>
      </c>
      <c r="L3556">
        <v>270.85309999999998</v>
      </c>
      <c r="M3556">
        <v>-4.3321459999999999E-2</v>
      </c>
      <c r="N3556">
        <v>-1.4275599999999999E-2</v>
      </c>
      <c r="O3556">
        <v>-0.99895909999999999</v>
      </c>
      <c r="P3556">
        <v>-1.0193610000000001E-2</v>
      </c>
      <c r="Q3556">
        <v>-9.1044479999999997E-2</v>
      </c>
      <c r="R3556">
        <v>-0.99579479999999998</v>
      </c>
      <c r="S3556">
        <v>-7.6568600000000001E-2</v>
      </c>
      <c r="T3556">
        <v>-0.1884478</v>
      </c>
      <c r="U3556">
        <v>-2.9945979999999999</v>
      </c>
      <c r="V3556">
        <v>-3.247717E-2</v>
      </c>
      <c r="W3556">
        <v>-7.703198E-2</v>
      </c>
      <c r="X3556">
        <v>0.99649949999999998</v>
      </c>
      <c r="Y3556">
        <v>-1.7795430000000001E-2</v>
      </c>
      <c r="Z3556">
        <v>4.845555E-2</v>
      </c>
      <c r="AA3556">
        <v>0.99866679999999997</v>
      </c>
      <c r="AB3556">
        <v>15</v>
      </c>
      <c r="AC3556">
        <v>-0.45789999999999498</v>
      </c>
      <c r="AD3556">
        <v>-1.1238563938519901</v>
      </c>
      <c r="AE3556">
        <v>-17.772199999999899</v>
      </c>
      <c r="AF3556">
        <v>-0.31128219684680403</v>
      </c>
      <c r="AG3556">
        <v>-1.1238563938519901</v>
      </c>
      <c r="AH3556">
        <v>17.704598960357099</v>
      </c>
      <c r="AI3556">
        <v>93.631600873830493</v>
      </c>
      <c r="AJ3556">
        <v>91.007270411709001</v>
      </c>
      <c r="AK3556">
        <v>17.7429640744481</v>
      </c>
      <c r="AL3556">
        <v>94.417984161270098</v>
      </c>
      <c r="AM3556">
        <v>91.866680664057199</v>
      </c>
      <c r="AN3556">
        <v>0.99999997300708898</v>
      </c>
    </row>
    <row r="3557" spans="1:40" x14ac:dyDescent="0.25">
      <c r="A3557" t="str">
        <f>"20190303153838526"</f>
        <v>20190303153838526</v>
      </c>
      <c r="B3557" t="str">
        <f>"1551598718522439"</f>
        <v>1551598718522439</v>
      </c>
      <c r="C3557" t="s">
        <v>40</v>
      </c>
      <c r="D3557">
        <v>5.0745529999999999</v>
      </c>
      <c r="E3557">
        <v>0.50206010000000001</v>
      </c>
      <c r="F3557" t="s">
        <v>42</v>
      </c>
      <c r="G3557">
        <v>-493.25990000000002</v>
      </c>
      <c r="H3557" s="1">
        <v>-2.4453620000000001E-6</v>
      </c>
      <c r="I3557">
        <v>253.26740000000001</v>
      </c>
      <c r="J3557">
        <v>-492.9076</v>
      </c>
      <c r="K3557">
        <v>1.1237760000000001</v>
      </c>
      <c r="L3557">
        <v>270.7636</v>
      </c>
      <c r="M3557">
        <v>-3.8736260000000002E-2</v>
      </c>
      <c r="N3557">
        <v>-1.424797E-2</v>
      </c>
      <c r="O3557">
        <v>-0.99914789999999998</v>
      </c>
      <c r="P3557">
        <v>-7.201898E-3</v>
      </c>
      <c r="Q3557">
        <v>-8.9872779999999999E-2</v>
      </c>
      <c r="R3557">
        <v>-0.99592720000000001</v>
      </c>
      <c r="S3557">
        <v>-5.9722900000000002E-2</v>
      </c>
      <c r="T3557">
        <v>-0.19137509999999999</v>
      </c>
      <c r="U3557">
        <v>-2.9945680000000001</v>
      </c>
      <c r="V3557">
        <v>-3.0925620000000001E-2</v>
      </c>
      <c r="W3557">
        <v>-7.5869619999999999E-2</v>
      </c>
      <c r="X3557">
        <v>0.99663809999999997</v>
      </c>
      <c r="Y3557">
        <v>-1.8821649999999999E-2</v>
      </c>
      <c r="Z3557">
        <v>4.9473679999999999E-2</v>
      </c>
      <c r="AA3557">
        <v>0.99859799999999999</v>
      </c>
      <c r="AB3557">
        <v>15</v>
      </c>
      <c r="AC3557">
        <v>-0.35230000000001299</v>
      </c>
      <c r="AD3557">
        <v>-1.1237784453619999</v>
      </c>
      <c r="AE3557">
        <v>-17.496199999999899</v>
      </c>
      <c r="AF3557">
        <v>-0.324432714043139</v>
      </c>
      <c r="AG3557">
        <v>-1.1237784453619999</v>
      </c>
      <c r="AH3557">
        <v>17.4248573959857</v>
      </c>
      <c r="AI3557">
        <v>93.689419166686093</v>
      </c>
      <c r="AJ3557">
        <v>91.066664550664697</v>
      </c>
      <c r="AK3557">
        <v>17.464071399608901</v>
      </c>
      <c r="AL3557">
        <v>94.351190025549698</v>
      </c>
      <c r="AM3557">
        <v>91.777314288113701</v>
      </c>
      <c r="AN3557">
        <v>1.0000000477914599</v>
      </c>
    </row>
    <row r="3558" spans="1:40" x14ac:dyDescent="0.25">
      <c r="A3558" t="str">
        <f>"20190303153838541"</f>
        <v>20190303153838541</v>
      </c>
      <c r="B3558" t="str">
        <f>"1551598718532199"</f>
        <v>1551598718532199</v>
      </c>
      <c r="C3558" t="s">
        <v>40</v>
      </c>
      <c r="D3558">
        <v>5.0950030000000002</v>
      </c>
      <c r="E3558">
        <v>0.50142900000000001</v>
      </c>
      <c r="F3558" t="s">
        <v>42</v>
      </c>
      <c r="G3558">
        <v>-493.12819999999999</v>
      </c>
      <c r="H3558" s="1">
        <v>-2.5108199999999999E-6</v>
      </c>
      <c r="I3558">
        <v>253.5017</v>
      </c>
      <c r="J3558">
        <v>-492.90550000000002</v>
      </c>
      <c r="K3558">
        <v>1.123694</v>
      </c>
      <c r="L3558">
        <v>270.66160000000002</v>
      </c>
      <c r="M3558">
        <v>-3.3638969999999997E-2</v>
      </c>
      <c r="N3558">
        <v>-1.4217179999999999E-2</v>
      </c>
      <c r="O3558">
        <v>-0.99933280000000002</v>
      </c>
      <c r="P3558">
        <v>-5.2232110000000002E-3</v>
      </c>
      <c r="Q3558">
        <v>-8.8623170000000001E-2</v>
      </c>
      <c r="R3558">
        <v>-0.99605149999999998</v>
      </c>
      <c r="S3558">
        <v>-3.8269039999999997E-2</v>
      </c>
      <c r="T3558">
        <v>-0.19494300000000001</v>
      </c>
      <c r="U3558">
        <v>-2.9944459999999999</v>
      </c>
      <c r="V3558">
        <v>-2.7852869999999998E-2</v>
      </c>
      <c r="W3558">
        <v>-7.4622969999999997E-2</v>
      </c>
      <c r="X3558">
        <v>0.99682280000000001</v>
      </c>
      <c r="Y3558">
        <v>-2.0872580000000002E-2</v>
      </c>
      <c r="Z3558">
        <v>5.0708499999999997E-2</v>
      </c>
      <c r="AA3558">
        <v>0.99849529999999997</v>
      </c>
      <c r="AB3558">
        <v>15</v>
      </c>
      <c r="AC3558">
        <v>-0.222699999999974</v>
      </c>
      <c r="AD3558">
        <v>-1.1236965108200001</v>
      </c>
      <c r="AE3558">
        <v>-17.1599</v>
      </c>
      <c r="AF3558">
        <v>-0.35321147847173401</v>
      </c>
      <c r="AG3558">
        <v>-1.1236965108200001</v>
      </c>
      <c r="AH3558">
        <v>17.084430513787598</v>
      </c>
      <c r="AI3558">
        <v>93.762300943429096</v>
      </c>
      <c r="AJ3558">
        <v>91.184390917544405</v>
      </c>
      <c r="AK3558">
        <v>17.124988121963501</v>
      </c>
      <c r="AL3558">
        <v>94.279559232100794</v>
      </c>
      <c r="AM3558">
        <v>91.600521958341503</v>
      </c>
      <c r="AN3558">
        <v>1.0000000323093401</v>
      </c>
    </row>
    <row r="3559" spans="1:40" x14ac:dyDescent="0.25">
      <c r="A3559" t="str">
        <f>"20190303153838554"</f>
        <v>20190303153838554</v>
      </c>
      <c r="B3559" t="str">
        <f>"1551598718551719"</f>
        <v>1551598718551719</v>
      </c>
      <c r="C3559" t="s">
        <v>40</v>
      </c>
      <c r="D3559">
        <v>5.0461010000000002</v>
      </c>
      <c r="E3559">
        <v>0.5005269</v>
      </c>
      <c r="F3559" t="s">
        <v>42</v>
      </c>
      <c r="G3559">
        <v>-493.06290000000001</v>
      </c>
      <c r="H3559" s="1">
        <v>-2.444758E-6</v>
      </c>
      <c r="I3559">
        <v>253.38820000000001</v>
      </c>
      <c r="J3559">
        <v>-492.90359999999998</v>
      </c>
      <c r="K3559">
        <v>1.1236219999999999</v>
      </c>
      <c r="L3559">
        <v>270.57990000000001</v>
      </c>
      <c r="M3559">
        <v>-2.9645649999999999E-2</v>
      </c>
      <c r="N3559">
        <v>-1.419313E-2</v>
      </c>
      <c r="O3559">
        <v>-0.99945969999999995</v>
      </c>
      <c r="P3559">
        <v>-2.7659849999999999E-3</v>
      </c>
      <c r="Q3559">
        <v>-8.8659020000000005E-2</v>
      </c>
      <c r="R3559">
        <v>-0.99605829999999995</v>
      </c>
      <c r="S3559">
        <v>-2.7282710000000002E-2</v>
      </c>
      <c r="T3559">
        <v>-0.194798</v>
      </c>
      <c r="U3559">
        <v>-2.994415</v>
      </c>
      <c r="V3559">
        <v>-2.6343599999999998E-2</v>
      </c>
      <c r="W3559">
        <v>-7.4668730000000003E-2</v>
      </c>
      <c r="X3559">
        <v>0.99686039999999998</v>
      </c>
      <c r="Y3559">
        <v>-2.054077E-2</v>
      </c>
      <c r="Z3559">
        <v>5.0697779999999998E-2</v>
      </c>
      <c r="AA3559">
        <v>0.99850280000000002</v>
      </c>
      <c r="AB3559">
        <v>15</v>
      </c>
      <c r="AC3559">
        <v>-0.15930000000003</v>
      </c>
      <c r="AD3559">
        <v>-1.1236244447579999</v>
      </c>
      <c r="AE3559">
        <v>-17.191699999999901</v>
      </c>
      <c r="AF3559">
        <v>-0.34898982821365798</v>
      </c>
      <c r="AG3559">
        <v>-1.1236244447579999</v>
      </c>
      <c r="AH3559">
        <v>17.115757484755299</v>
      </c>
      <c r="AI3559">
        <v>93.755216232417297</v>
      </c>
      <c r="AJ3559">
        <v>91.168097520011599</v>
      </c>
      <c r="AK3559">
        <v>17.156149919781299</v>
      </c>
      <c r="AL3559">
        <v>94.2821884285446</v>
      </c>
      <c r="AM3559">
        <v>91.513778538790902</v>
      </c>
      <c r="AN3559">
        <v>1.0000000307944601</v>
      </c>
    </row>
    <row r="3560" spans="1:40" x14ac:dyDescent="0.25">
      <c r="A3560" t="str">
        <f>"20190303153838567"</f>
        <v>20190303153838567</v>
      </c>
      <c r="B3560" t="str">
        <f>"1551598718561479"</f>
        <v>1551598718561479</v>
      </c>
      <c r="C3560" t="s">
        <v>40</v>
      </c>
      <c r="D3560">
        <v>4.9442599999999999</v>
      </c>
      <c r="E3560">
        <v>0.50055839999999996</v>
      </c>
      <c r="F3560" t="s">
        <v>42</v>
      </c>
      <c r="G3560">
        <v>-492.97559999999999</v>
      </c>
      <c r="H3560" s="1">
        <v>-2.5856139999999998E-6</v>
      </c>
      <c r="I3560">
        <v>253.77070000000001</v>
      </c>
      <c r="J3560">
        <v>-492.9015</v>
      </c>
      <c r="K3560">
        <v>1.1235489999999999</v>
      </c>
      <c r="L3560">
        <v>270.4991</v>
      </c>
      <c r="M3560">
        <v>-2.5779529999999998E-2</v>
      </c>
      <c r="N3560">
        <v>-1.416983E-2</v>
      </c>
      <c r="O3560">
        <v>-0.99956719999999999</v>
      </c>
      <c r="P3560">
        <v>-1.015878E-3</v>
      </c>
      <c r="Q3560">
        <v>-8.8884759999999993E-2</v>
      </c>
      <c r="R3560">
        <v>-0.99604130000000002</v>
      </c>
      <c r="S3560">
        <v>-1.281738E-2</v>
      </c>
      <c r="T3560">
        <v>-0.2001396</v>
      </c>
      <c r="U3560">
        <v>-2.994049</v>
      </c>
      <c r="V3560">
        <v>-2.4252570000000001E-2</v>
      </c>
      <c r="W3560">
        <v>-7.4901090000000003E-2</v>
      </c>
      <c r="X3560">
        <v>0.996896</v>
      </c>
      <c r="Y3560">
        <v>-2.1495960000000001E-2</v>
      </c>
      <c r="Z3560">
        <v>5.2511540000000002E-2</v>
      </c>
      <c r="AA3560">
        <v>0.99838890000000002</v>
      </c>
      <c r="AB3560">
        <v>15</v>
      </c>
      <c r="AC3560">
        <v>-7.4099999999987107E-2</v>
      </c>
      <c r="AD3560">
        <v>-1.1235515856139999</v>
      </c>
      <c r="AE3560">
        <v>-16.728399999999901</v>
      </c>
      <c r="AF3560">
        <v>-0.35561407189004302</v>
      </c>
      <c r="AG3560">
        <v>-1.1235515856139999</v>
      </c>
      <c r="AH3560">
        <v>16.649643868949799</v>
      </c>
      <c r="AI3560">
        <v>93.859704229871696</v>
      </c>
      <c r="AJ3560">
        <v>91.223574998267594</v>
      </c>
      <c r="AK3560">
        <v>16.691299245311001</v>
      </c>
      <c r="AL3560">
        <v>94.295539204178098</v>
      </c>
      <c r="AM3560">
        <v>91.393621660672807</v>
      </c>
      <c r="AN3560">
        <v>0.99999999762539604</v>
      </c>
    </row>
    <row r="3561" spans="1:40" x14ac:dyDescent="0.25">
      <c r="A3561" t="str">
        <f>"20190303153838584"</f>
        <v>20190303153838584</v>
      </c>
      <c r="B3561" t="str">
        <f>"1551598718572215"</f>
        <v>1551598718572215</v>
      </c>
      <c r="C3561" t="s">
        <v>40</v>
      </c>
      <c r="D3561">
        <v>4.9786149999999996</v>
      </c>
      <c r="E3561">
        <v>0.50070020000000004</v>
      </c>
      <c r="F3561" t="s">
        <v>42</v>
      </c>
      <c r="G3561">
        <v>-492.94490000000002</v>
      </c>
      <c r="H3561" s="1">
        <v>-2.4828050000000001E-6</v>
      </c>
      <c r="I3561">
        <v>253.55009999999999</v>
      </c>
      <c r="J3561">
        <v>-492.89819999999997</v>
      </c>
      <c r="K3561">
        <v>1.123445</v>
      </c>
      <c r="L3561">
        <v>270.38630000000001</v>
      </c>
      <c r="M3561">
        <v>-2.056069E-2</v>
      </c>
      <c r="N3561">
        <v>-1.413796E-2</v>
      </c>
      <c r="O3561">
        <v>-0.99968869999999999</v>
      </c>
      <c r="P3561">
        <v>8.9184219999999996E-4</v>
      </c>
      <c r="Q3561">
        <v>-9.1410640000000001E-2</v>
      </c>
      <c r="R3561">
        <v>-0.99581310000000001</v>
      </c>
      <c r="S3561">
        <v>-7.6599119999999996E-3</v>
      </c>
      <c r="T3561">
        <v>-0.19848589999999999</v>
      </c>
      <c r="U3561">
        <v>-2.994202</v>
      </c>
      <c r="V3561">
        <v>-2.0960329999999999E-2</v>
      </c>
      <c r="W3561">
        <v>-7.7437500000000006E-2</v>
      </c>
      <c r="X3561">
        <v>0.99677689999999997</v>
      </c>
      <c r="Y3561">
        <v>-1.7998210000000001E-2</v>
      </c>
      <c r="Z3561">
        <v>5.2005259999999998E-2</v>
      </c>
      <c r="AA3561">
        <v>0.99848460000000006</v>
      </c>
      <c r="AB3561">
        <v>15</v>
      </c>
      <c r="AC3561">
        <v>-4.6700000000043901E-2</v>
      </c>
      <c r="AD3561">
        <v>-1.1234474828049901</v>
      </c>
      <c r="AE3561">
        <v>-16.836200000000002</v>
      </c>
      <c r="AF3561">
        <v>-0.298180662876117</v>
      </c>
      <c r="AG3561">
        <v>-1.1234474828049901</v>
      </c>
      <c r="AH3561">
        <v>16.758979412359398</v>
      </c>
      <c r="AI3561">
        <v>93.834511452060696</v>
      </c>
      <c r="AJ3561">
        <v>91.019315714231993</v>
      </c>
      <c r="AK3561">
        <v>16.799239176171699</v>
      </c>
      <c r="AL3561">
        <v>94.441288036835502</v>
      </c>
      <c r="AM3561">
        <v>91.204644170963903</v>
      </c>
      <c r="AN3561">
        <v>1.0000000451067801</v>
      </c>
    </row>
    <row r="3562" spans="1:40" x14ac:dyDescent="0.25">
      <c r="A3562" t="str">
        <f>"20190303153838597"</f>
        <v>20190303153838597</v>
      </c>
      <c r="B3562" t="str">
        <f>"1551598718591735"</f>
        <v>1551598718591735</v>
      </c>
      <c r="C3562" t="s">
        <v>40</v>
      </c>
      <c r="D3562">
        <v>5.0023359999999997</v>
      </c>
      <c r="E3562">
        <v>0.50065479999999996</v>
      </c>
      <c r="F3562" t="s">
        <v>42</v>
      </c>
      <c r="G3562">
        <v>-492.91609999999997</v>
      </c>
      <c r="H3562" s="1">
        <v>-2.6117809999999998E-6</v>
      </c>
      <c r="I3562">
        <v>253.86859999999999</v>
      </c>
      <c r="J3562">
        <v>-492.89569999999998</v>
      </c>
      <c r="K3562">
        <v>1.12337</v>
      </c>
      <c r="L3562">
        <v>270.30930000000001</v>
      </c>
      <c r="M3562">
        <v>-1.710486E-2</v>
      </c>
      <c r="N3562">
        <v>-1.411652E-2</v>
      </c>
      <c r="O3562">
        <v>-0.99975400000000003</v>
      </c>
      <c r="P3562">
        <v>3.3522909999999999E-3</v>
      </c>
      <c r="Q3562">
        <v>-9.2120419999999995E-2</v>
      </c>
      <c r="R3562">
        <v>-0.99574240000000003</v>
      </c>
      <c r="S3562">
        <v>-3.2348630000000001E-3</v>
      </c>
      <c r="T3562">
        <v>-0.20363310000000001</v>
      </c>
      <c r="U3562">
        <v>-2.9939580000000001</v>
      </c>
      <c r="V3562">
        <v>-1.9986719999999999E-2</v>
      </c>
      <c r="W3562">
        <v>-7.8160759999999996E-2</v>
      </c>
      <c r="X3562">
        <v>0.99674039999999997</v>
      </c>
      <c r="Y3562">
        <v>-1.601853E-2</v>
      </c>
      <c r="Z3562">
        <v>5.3748049999999999E-2</v>
      </c>
      <c r="AA3562">
        <v>0.99842600000000004</v>
      </c>
      <c r="AB3562">
        <v>15</v>
      </c>
      <c r="AC3562">
        <v>-2.0399999999994999E-2</v>
      </c>
      <c r="AD3562">
        <v>-1.1233726117809999</v>
      </c>
      <c r="AE3562">
        <v>-16.4407</v>
      </c>
      <c r="AF3562">
        <v>-0.25963470750654299</v>
      </c>
      <c r="AG3562">
        <v>-1.1233726117809999</v>
      </c>
      <c r="AH3562">
        <v>16.362250965908299</v>
      </c>
      <c r="AI3562">
        <v>93.927063546719594</v>
      </c>
      <c r="AJ3562">
        <v>90.909087914112106</v>
      </c>
      <c r="AK3562">
        <v>16.402823929970399</v>
      </c>
      <c r="AL3562">
        <v>94.482853971109094</v>
      </c>
      <c r="AM3562">
        <v>91.148745707283197</v>
      </c>
      <c r="AN3562">
        <v>0.99999999918614701</v>
      </c>
    </row>
    <row r="3563" spans="1:40" x14ac:dyDescent="0.25">
      <c r="A3563" t="str">
        <f>"20190303153838607"</f>
        <v>20190303153838607</v>
      </c>
      <c r="B3563" t="str">
        <f>"1551598718602470"</f>
        <v>1551598718602470</v>
      </c>
      <c r="C3563" t="s">
        <v>40</v>
      </c>
      <c r="D3563">
        <v>4.9458890000000002</v>
      </c>
      <c r="E3563">
        <v>0.50091819999999998</v>
      </c>
      <c r="F3563" t="s">
        <v>42</v>
      </c>
      <c r="G3563">
        <v>-492.87119999999999</v>
      </c>
      <c r="H3563" s="1">
        <v>-2.5969079999999999E-6</v>
      </c>
      <c r="I3563">
        <v>253.86179999999999</v>
      </c>
      <c r="J3563">
        <v>-492.89319999999998</v>
      </c>
      <c r="K3563">
        <v>1.1232930000000001</v>
      </c>
      <c r="L3563">
        <v>270.23779999999999</v>
      </c>
      <c r="M3563">
        <v>-1.394919E-2</v>
      </c>
      <c r="N3563">
        <v>-1.409696E-2</v>
      </c>
      <c r="O3563">
        <v>-0.99980340000000001</v>
      </c>
      <c r="P3563">
        <v>5.7199690000000001E-3</v>
      </c>
      <c r="Q3563">
        <v>-9.2792669999999994E-2</v>
      </c>
      <c r="R3563">
        <v>-0.99566920000000003</v>
      </c>
      <c r="S3563">
        <v>4.4555659999999898E-3</v>
      </c>
      <c r="T3563">
        <v>-0.2044821</v>
      </c>
      <c r="U3563">
        <v>-2.9938660000000001</v>
      </c>
      <c r="V3563">
        <v>-1.921952E-2</v>
      </c>
      <c r="W3563">
        <v>-7.8846180000000002E-2</v>
      </c>
      <c r="X3563">
        <v>0.99670150000000002</v>
      </c>
      <c r="Y3563">
        <v>-1.542751E-2</v>
      </c>
      <c r="Z3563">
        <v>5.4056449999999999E-2</v>
      </c>
      <c r="AA3563">
        <v>0.99841869999999999</v>
      </c>
      <c r="AB3563">
        <v>15</v>
      </c>
      <c r="AC3563">
        <v>2.1999999999991301E-2</v>
      </c>
      <c r="AD3563">
        <v>-1.1232955969080001</v>
      </c>
      <c r="AE3563">
        <v>-16.376000000000001</v>
      </c>
      <c r="AF3563">
        <v>-0.249279586108128</v>
      </c>
      <c r="AG3563">
        <v>-1.1232955969080001</v>
      </c>
      <c r="AH3563">
        <v>16.297417995247098</v>
      </c>
      <c r="AI3563">
        <v>93.942402269643196</v>
      </c>
      <c r="AJ3563">
        <v>90.876307800439704</v>
      </c>
      <c r="AK3563">
        <v>16.3379853905519</v>
      </c>
      <c r="AL3563">
        <v>94.522247237598805</v>
      </c>
      <c r="AM3563">
        <v>91.104704790110603</v>
      </c>
      <c r="AN3563">
        <v>0.99999999507593595</v>
      </c>
    </row>
    <row r="3564" spans="1:40" x14ac:dyDescent="0.25">
      <c r="A3564" t="str">
        <f>"20190303153838619"</f>
        <v>20190303153838619</v>
      </c>
      <c r="B3564" t="str">
        <f>"1551598718612231"</f>
        <v>1551598718612231</v>
      </c>
      <c r="C3564" t="s">
        <v>40</v>
      </c>
      <c r="D3564">
        <v>4.9093739999999997</v>
      </c>
      <c r="E3564">
        <v>0.5012141</v>
      </c>
      <c r="F3564" t="s">
        <v>42</v>
      </c>
      <c r="G3564">
        <v>-492.84109999999998</v>
      </c>
      <c r="H3564" s="1">
        <v>-2.5282939999999998E-6</v>
      </c>
      <c r="I3564">
        <v>253.72049999999999</v>
      </c>
      <c r="J3564">
        <v>-492.89069999999998</v>
      </c>
      <c r="K3564">
        <v>1.123224</v>
      </c>
      <c r="L3564">
        <v>270.16759999999999</v>
      </c>
      <c r="M3564">
        <v>-1.096688E-2</v>
      </c>
      <c r="N3564">
        <v>-1.407773E-2</v>
      </c>
      <c r="O3564">
        <v>-0.99984090000000003</v>
      </c>
      <c r="P3564">
        <v>8.7551169999999998E-3</v>
      </c>
      <c r="Q3564">
        <v>-9.3205270000000007E-2</v>
      </c>
      <c r="R3564">
        <v>-0.99560859999999995</v>
      </c>
      <c r="S3564">
        <v>9.4604489999999992E-3</v>
      </c>
      <c r="T3564">
        <v>-0.2036152</v>
      </c>
      <c r="U3564">
        <v>-2.9940190000000002</v>
      </c>
      <c r="V3564">
        <v>-1.9294430000000001E-2</v>
      </c>
      <c r="W3564">
        <v>-7.9275810000000002E-2</v>
      </c>
      <c r="X3564">
        <v>0.99666600000000005</v>
      </c>
      <c r="Y3564">
        <v>-1.4114760000000001E-2</v>
      </c>
      <c r="Z3564">
        <v>5.3788679999999998E-2</v>
      </c>
      <c r="AA3564">
        <v>0.99845260000000002</v>
      </c>
      <c r="AB3564">
        <v>15</v>
      </c>
      <c r="AC3564">
        <v>4.9599999999998E-2</v>
      </c>
      <c r="AD3564">
        <v>-1.1232265282939999</v>
      </c>
      <c r="AE3564">
        <v>-16.447099999999999</v>
      </c>
      <c r="AF3564">
        <v>-0.22892056973460401</v>
      </c>
      <c r="AG3564">
        <v>-1.1232265282939999</v>
      </c>
      <c r="AH3564">
        <v>16.369221780886601</v>
      </c>
      <c r="AI3564">
        <v>93.924997528611499</v>
      </c>
      <c r="AJ3564">
        <v>90.801218756710099</v>
      </c>
      <c r="AK3564">
        <v>16.409310289374201</v>
      </c>
      <c r="AL3564">
        <v>94.546940394931696</v>
      </c>
      <c r="AM3564">
        <v>91.109048905849605</v>
      </c>
      <c r="AN3564">
        <v>1.00000002231809</v>
      </c>
    </row>
    <row r="3565" spans="1:40" x14ac:dyDescent="0.25">
      <c r="A3565" t="str">
        <f>"20190303153838631"</f>
        <v>20190303153838631</v>
      </c>
      <c r="B3565" t="str">
        <f>"1551598718621991"</f>
        <v>1551598718621991</v>
      </c>
      <c r="C3565" t="s">
        <v>40</v>
      </c>
      <c r="D3565">
        <v>4.981992</v>
      </c>
      <c r="E3565">
        <v>0.50103209999999998</v>
      </c>
      <c r="F3565" t="s">
        <v>42</v>
      </c>
      <c r="G3565">
        <v>-492.80029999999999</v>
      </c>
      <c r="H3565" s="1">
        <v>-2.4179129999999999E-6</v>
      </c>
      <c r="I3565">
        <v>253.48849999999999</v>
      </c>
      <c r="J3565">
        <v>-492.88760000000002</v>
      </c>
      <c r="K3565">
        <v>1.1231450000000001</v>
      </c>
      <c r="L3565">
        <v>270.08710000000002</v>
      </c>
      <c r="M3565">
        <v>-7.588175E-3</v>
      </c>
      <c r="N3565">
        <v>-1.405611E-2</v>
      </c>
      <c r="O3565">
        <v>-0.99987239999999999</v>
      </c>
      <c r="P3565">
        <v>1.20541E-2</v>
      </c>
      <c r="Q3565">
        <v>-9.3334760000000003E-2</v>
      </c>
      <c r="R3565">
        <v>-0.99556180000000005</v>
      </c>
      <c r="S3565">
        <v>1.6235349999999999E-2</v>
      </c>
      <c r="T3565">
        <v>-0.20164170000000001</v>
      </c>
      <c r="U3565">
        <v>-2.9942319999999998</v>
      </c>
      <c r="V3565">
        <v>-1.92424E-2</v>
      </c>
      <c r="W3565">
        <v>-7.9423229999999997E-2</v>
      </c>
      <c r="X3565">
        <v>0.99665519999999996</v>
      </c>
      <c r="Y3565">
        <v>-1.2995690000000001E-2</v>
      </c>
      <c r="Z3565">
        <v>5.3153690000000003E-2</v>
      </c>
      <c r="AA3565">
        <v>0.99850179999999999</v>
      </c>
      <c r="AB3565">
        <v>15</v>
      </c>
      <c r="AC3565">
        <v>8.7300000000027397E-2</v>
      </c>
      <c r="AD3565">
        <v>-1.1231474179129901</v>
      </c>
      <c r="AE3565">
        <v>-16.598600000000001</v>
      </c>
      <c r="AF3565">
        <v>-0.21229104963436499</v>
      </c>
      <c r="AG3565">
        <v>-1.1231474179129901</v>
      </c>
      <c r="AH3565">
        <v>16.521815183162101</v>
      </c>
      <c r="AI3565">
        <v>93.888644495557003</v>
      </c>
      <c r="AJ3565">
        <v>90.7361607493674</v>
      </c>
      <c r="AK3565">
        <v>16.5613074531779</v>
      </c>
      <c r="AL3565">
        <v>94.555413969890196</v>
      </c>
      <c r="AM3565">
        <v>91.106070934282698</v>
      </c>
      <c r="AN3565">
        <v>0.999999953554215</v>
      </c>
    </row>
    <row r="3566" spans="1:40" x14ac:dyDescent="0.25">
      <c r="A3566" t="str">
        <f>"20190303153838643"</f>
        <v>20190303153838643</v>
      </c>
      <c r="B3566" t="str">
        <f>"1551598718631751"</f>
        <v>1551598718631751</v>
      </c>
      <c r="C3566" t="s">
        <v>40</v>
      </c>
      <c r="D3566">
        <v>4.6644699999999997</v>
      </c>
      <c r="E3566">
        <v>0.50103209999999998</v>
      </c>
      <c r="F3566" t="s">
        <v>42</v>
      </c>
      <c r="G3566">
        <v>-492.73329999999999</v>
      </c>
      <c r="H3566" s="1">
        <v>-2.4204230000000002E-6</v>
      </c>
      <c r="I3566">
        <v>253.5359</v>
      </c>
      <c r="J3566">
        <v>-492.8845</v>
      </c>
      <c r="K3566">
        <v>1.1230719999999901</v>
      </c>
      <c r="L3566">
        <v>270.00900000000001</v>
      </c>
      <c r="M3566">
        <v>-4.4325370000000003E-3</v>
      </c>
      <c r="N3566">
        <v>-1.4035540000000001E-2</v>
      </c>
      <c r="O3566">
        <v>-0.9998918</v>
      </c>
      <c r="P3566">
        <v>1.472918E-2</v>
      </c>
      <c r="Q3566">
        <v>-9.3493480000000004E-2</v>
      </c>
      <c r="R3566">
        <v>-0.99551100000000003</v>
      </c>
      <c r="S3566">
        <v>2.792358E-2</v>
      </c>
      <c r="T3566">
        <v>-0.20316960000000001</v>
      </c>
      <c r="U3566">
        <v>-2.9939879999999999</v>
      </c>
      <c r="V3566">
        <v>-1.8788280000000001E-2</v>
      </c>
      <c r="W3566">
        <v>-7.9597089999999995E-2</v>
      </c>
      <c r="X3566">
        <v>0.99665000000000004</v>
      </c>
      <c r="Y3566">
        <v>-1.373749E-2</v>
      </c>
      <c r="Z3566">
        <v>5.3687539999999999E-2</v>
      </c>
      <c r="AA3566">
        <v>0.99846330000000005</v>
      </c>
      <c r="AB3566">
        <v>15</v>
      </c>
      <c r="AC3566">
        <v>0.15120000000001699</v>
      </c>
      <c r="AD3566">
        <v>-1.1230744204230001</v>
      </c>
      <c r="AE3566">
        <v>-16.473099999999999</v>
      </c>
      <c r="AF3566">
        <v>-0.223186041442369</v>
      </c>
      <c r="AG3566">
        <v>-1.1230744204230001</v>
      </c>
      <c r="AH3566">
        <v>16.3960653337579</v>
      </c>
      <c r="AI3566">
        <v>93.918082654414306</v>
      </c>
      <c r="AJ3566">
        <v>90.779871770292004</v>
      </c>
      <c r="AK3566">
        <v>16.435999105371099</v>
      </c>
      <c r="AL3566">
        <v>94.565407025616906</v>
      </c>
      <c r="AM3566">
        <v>91.0799795874631</v>
      </c>
      <c r="AN3566">
        <v>0.99999995935091202</v>
      </c>
    </row>
    <row r="3567" spans="1:40" x14ac:dyDescent="0.25">
      <c r="A3567" t="str">
        <f>"20190303153838710"</f>
        <v>20190303153838710</v>
      </c>
      <c r="B3567" t="str">
        <f>"1551598718702022"</f>
        <v>1551598718702022</v>
      </c>
      <c r="C3567" t="s">
        <v>40</v>
      </c>
      <c r="D3567">
        <v>5.4403959999999998</v>
      </c>
      <c r="E3567">
        <v>0.50103209999999998</v>
      </c>
      <c r="F3567" t="s">
        <v>42</v>
      </c>
      <c r="G3567">
        <v>-492.68450000000001</v>
      </c>
      <c r="H3567" s="1">
        <v>-2.3913969999999998E-6</v>
      </c>
      <c r="I3567">
        <v>253.49850000000001</v>
      </c>
      <c r="J3567">
        <v>-492.86489999999998</v>
      </c>
      <c r="K3567">
        <v>1.122752</v>
      </c>
      <c r="L3567">
        <v>269.58609999999999</v>
      </c>
      <c r="M3567">
        <v>1.137961E-2</v>
      </c>
      <c r="N3567">
        <v>-1.393725E-2</v>
      </c>
      <c r="O3567">
        <v>-0.99983820000000001</v>
      </c>
      <c r="P3567">
        <v>2.7366749999999999E-2</v>
      </c>
      <c r="Q3567">
        <v>-9.4515870000000002E-2</v>
      </c>
      <c r="R3567">
        <v>-0.99514749999999996</v>
      </c>
      <c r="S3567">
        <v>3.6254880000000003E-2</v>
      </c>
      <c r="T3567">
        <v>-0.20364789999999999</v>
      </c>
      <c r="U3567">
        <v>-2.9938660000000001</v>
      </c>
      <c r="V3567">
        <v>-1.5746219999999998E-2</v>
      </c>
      <c r="W3567">
        <v>-8.0691399999999996E-2</v>
      </c>
      <c r="X3567">
        <v>0.99661480000000002</v>
      </c>
      <c r="Y3567">
        <v>-7.1011670000000002E-4</v>
      </c>
      <c r="Z3567">
        <v>5.3945050000000001E-2</v>
      </c>
      <c r="AA3567">
        <v>0.99854370000000003</v>
      </c>
      <c r="AB3567">
        <v>14</v>
      </c>
      <c r="AC3567">
        <v>0.18039999999996301</v>
      </c>
      <c r="AD3567">
        <v>-1.122754391397</v>
      </c>
      <c r="AE3567">
        <v>-16.087599999999899</v>
      </c>
      <c r="AF3567">
        <v>2.6869788899441202E-3</v>
      </c>
      <c r="AG3567">
        <v>-1.122754391397</v>
      </c>
      <c r="AH3567">
        <v>16.010638780798502</v>
      </c>
      <c r="AI3567">
        <v>94.011329596284298</v>
      </c>
      <c r="AJ3567">
        <v>89.990384359381395</v>
      </c>
      <c r="AK3567">
        <v>16.049957595347902</v>
      </c>
      <c r="AL3567">
        <v>94.628308281021702</v>
      </c>
      <c r="AM3567">
        <v>90.905181108015896</v>
      </c>
      <c r="AN3567">
        <v>1.0000000525286401</v>
      </c>
    </row>
    <row r="3568" spans="1:40" x14ac:dyDescent="0.25">
      <c r="A3568" t="str">
        <f>"20190303153838752"</f>
        <v>20190303153838752</v>
      </c>
      <c r="B3568" t="str">
        <f>"1551598718742039"</f>
        <v>1551598718742039</v>
      </c>
      <c r="C3568" t="s">
        <v>40</v>
      </c>
      <c r="D3568">
        <v>4.7088609999999997</v>
      </c>
      <c r="E3568">
        <v>0.50217559999999895</v>
      </c>
      <c r="F3568" t="s">
        <v>42</v>
      </c>
      <c r="G3568">
        <v>-492.46629999999999</v>
      </c>
      <c r="H3568" s="1">
        <v>-2.261683E-6</v>
      </c>
      <c r="I3568">
        <v>253.33150000000001</v>
      </c>
      <c r="J3568">
        <v>-492.85050000000001</v>
      </c>
      <c r="K3568">
        <v>1.12259</v>
      </c>
      <c r="L3568">
        <v>269.31670000000003</v>
      </c>
      <c r="M3568">
        <v>2.0241169999999999E-2</v>
      </c>
      <c r="N3568">
        <v>-1.388524E-2</v>
      </c>
      <c r="O3568">
        <v>-0.9996988</v>
      </c>
      <c r="P3568">
        <v>3.2478109999999998E-2</v>
      </c>
      <c r="Q3568">
        <v>-9.2361819999999997E-2</v>
      </c>
      <c r="R3568">
        <v>-0.99519570000000002</v>
      </c>
      <c r="S3568">
        <v>7.3394780000000007E-2</v>
      </c>
      <c r="T3568">
        <v>-0.20673349999999999</v>
      </c>
      <c r="U3568">
        <v>-2.9929809999999999</v>
      </c>
      <c r="V3568">
        <v>-1.2073759999999999E-2</v>
      </c>
      <c r="W3568">
        <v>-7.8567230000000002E-2</v>
      </c>
      <c r="X3568">
        <v>0.99683569999999999</v>
      </c>
      <c r="Y3568">
        <v>-4.2332639999999996E-3</v>
      </c>
      <c r="Z3568">
        <v>5.502137E-2</v>
      </c>
      <c r="AA3568">
        <v>0.99847620000000004</v>
      </c>
      <c r="AB3568">
        <v>14</v>
      </c>
      <c r="AC3568">
        <v>0.38420000000002102</v>
      </c>
      <c r="AD3568">
        <v>-1.122592261683</v>
      </c>
      <c r="AE3568">
        <v>-15.985200000000001</v>
      </c>
      <c r="AF3568">
        <v>-6.0234065262271402E-2</v>
      </c>
      <c r="AG3568">
        <v>-1.122592261683</v>
      </c>
      <c r="AH3568">
        <v>15.9112754596163</v>
      </c>
      <c r="AI3568">
        <v>94.035687460587198</v>
      </c>
      <c r="AJ3568">
        <v>90.216899094308602</v>
      </c>
      <c r="AK3568">
        <v>15.950941297628701</v>
      </c>
      <c r="AL3568">
        <v>94.506214826373693</v>
      </c>
      <c r="AM3568">
        <v>90.693937491807603</v>
      </c>
      <c r="AN3568">
        <v>0.99999999905244996</v>
      </c>
    </row>
    <row r="3569" spans="1:40" x14ac:dyDescent="0.25">
      <c r="A3569" t="str">
        <f>"20190303153838764"</f>
        <v>20190303153838764</v>
      </c>
      <c r="B3569" t="str">
        <f>"1551598718761558"</f>
        <v>1551598718761558</v>
      </c>
      <c r="C3569" t="s">
        <v>40</v>
      </c>
      <c r="D3569">
        <v>4.6443789999999998</v>
      </c>
      <c r="E3569">
        <v>0.50435759999999996</v>
      </c>
      <c r="F3569" t="s">
        <v>42</v>
      </c>
      <c r="G3569">
        <v>-492.37909999999999</v>
      </c>
      <c r="H3569" s="1">
        <v>-1.489726E-6</v>
      </c>
      <c r="I3569">
        <v>251.58609999999999</v>
      </c>
      <c r="J3569">
        <v>-492.84640000000002</v>
      </c>
      <c r="K3569">
        <v>1.1225499999999999</v>
      </c>
      <c r="L3569">
        <v>269.24450000000002</v>
      </c>
      <c r="M3569">
        <v>2.2471379999999999E-2</v>
      </c>
      <c r="N3569">
        <v>-1.387248E-2</v>
      </c>
      <c r="O3569">
        <v>-0.99965150000000003</v>
      </c>
      <c r="P3569">
        <v>3.3513319999999999E-2</v>
      </c>
      <c r="Q3569">
        <v>-9.1328279999999998E-2</v>
      </c>
      <c r="R3569">
        <v>-0.99525719999999995</v>
      </c>
      <c r="S3569">
        <v>7.9620360000000001E-2</v>
      </c>
      <c r="T3569">
        <v>-0.1895809</v>
      </c>
      <c r="U3569">
        <v>-2.9942929999999999</v>
      </c>
      <c r="V3569">
        <v>-1.089771E-2</v>
      </c>
      <c r="W3569">
        <v>-7.7540029999999996E-2</v>
      </c>
      <c r="X3569">
        <v>0.99692970000000003</v>
      </c>
      <c r="Y3569">
        <v>-4.0744659999999997E-3</v>
      </c>
      <c r="Z3569">
        <v>4.930557E-2</v>
      </c>
      <c r="AA3569">
        <v>0.99877539999999998</v>
      </c>
      <c r="AB3569">
        <v>14</v>
      </c>
      <c r="AC3569">
        <v>0.46730000000002198</v>
      </c>
      <c r="AD3569">
        <v>-1.1225514897259901</v>
      </c>
      <c r="AE3569">
        <v>-17.6584</v>
      </c>
      <c r="AF3569">
        <v>-7.0052381660217405E-2</v>
      </c>
      <c r="AG3569">
        <v>-1.1225514897259901</v>
      </c>
      <c r="AH3569">
        <v>17.593393462732699</v>
      </c>
      <c r="AI3569">
        <v>93.650795756606598</v>
      </c>
      <c r="AJ3569">
        <v>90.228135897216106</v>
      </c>
      <c r="AK3569">
        <v>17.629308628468301</v>
      </c>
      <c r="AL3569">
        <v>94.447180394543096</v>
      </c>
      <c r="AM3569">
        <v>90.626290821720701</v>
      </c>
      <c r="AN3569">
        <v>1.00000002153886</v>
      </c>
    </row>
    <row r="3570" spans="1:40" x14ac:dyDescent="0.25">
      <c r="A3570" t="str">
        <f>"20190303153838777"</f>
        <v>20190303153838777</v>
      </c>
      <c r="B3570" t="str">
        <f>"1551598718772297"</f>
        <v>1551598718772297</v>
      </c>
      <c r="C3570" t="s">
        <v>40</v>
      </c>
      <c r="D3570">
        <v>4.6449999999999996</v>
      </c>
      <c r="E3570">
        <v>0.50520540000000003</v>
      </c>
      <c r="F3570" t="s">
        <v>42</v>
      </c>
      <c r="G3570">
        <v>-492.39830000000001</v>
      </c>
      <c r="H3570" s="1">
        <v>-4.4926860000000002E-6</v>
      </c>
      <c r="I3570">
        <v>248.93860000000001</v>
      </c>
      <c r="J3570">
        <v>-492.84210000000002</v>
      </c>
      <c r="K3570">
        <v>1.122509</v>
      </c>
      <c r="L3570">
        <v>269.1705</v>
      </c>
      <c r="M3570">
        <v>2.46976E-2</v>
      </c>
      <c r="N3570">
        <v>-1.3859959999999999E-2</v>
      </c>
      <c r="O3570">
        <v>-0.99959889999999996</v>
      </c>
      <c r="P3570">
        <v>3.4314360000000002E-2</v>
      </c>
      <c r="Q3570">
        <v>-8.9726040000000007E-2</v>
      </c>
      <c r="R3570">
        <v>-0.99537520000000002</v>
      </c>
      <c r="S3570">
        <v>6.6131590000000004E-2</v>
      </c>
      <c r="T3570">
        <v>-0.1656744</v>
      </c>
      <c r="U3570">
        <v>-2.9968870000000001</v>
      </c>
      <c r="V3570">
        <v>-9.4912929999999996E-3</v>
      </c>
      <c r="W3570">
        <v>-7.5942759999999998E-2</v>
      </c>
      <c r="X3570">
        <v>0.99706700000000004</v>
      </c>
      <c r="Y3570">
        <v>2.656888E-3</v>
      </c>
      <c r="Z3570">
        <v>4.1325510000000003E-2</v>
      </c>
      <c r="AA3570">
        <v>0.99914219999999998</v>
      </c>
      <c r="AB3570">
        <v>14</v>
      </c>
      <c r="AC3570">
        <v>0.44380000000001002</v>
      </c>
      <c r="AD3570">
        <v>-1.1225134926860001</v>
      </c>
      <c r="AE3570">
        <v>-20.2319</v>
      </c>
      <c r="AF3570">
        <v>5.5890800347828597E-2</v>
      </c>
      <c r="AG3570">
        <v>-1.1225134926860001</v>
      </c>
      <c r="AH3570">
        <v>20.174615791616301</v>
      </c>
      <c r="AI3570">
        <v>93.184635294425902</v>
      </c>
      <c r="AJ3570">
        <v>89.841270891389399</v>
      </c>
      <c r="AK3570">
        <v>20.205897224873699</v>
      </c>
      <c r="AL3570">
        <v>94.355392994244198</v>
      </c>
      <c r="AM3570">
        <v>90.545394247355404</v>
      </c>
      <c r="AN3570">
        <v>0.99999999496411396</v>
      </c>
    </row>
    <row r="3571" spans="1:40" x14ac:dyDescent="0.25">
      <c r="A3571" t="str">
        <f>"20190303153838789"</f>
        <v>20190303153838789</v>
      </c>
      <c r="B3571" t="str">
        <f>"1551598718782056"</f>
        <v>1551598718782056</v>
      </c>
      <c r="C3571" t="s">
        <v>40</v>
      </c>
      <c r="D3571">
        <v>4.717937</v>
      </c>
      <c r="E3571">
        <v>0.50532879999999902</v>
      </c>
      <c r="F3571" t="s">
        <v>42</v>
      </c>
      <c r="G3571">
        <v>-492.38839999999999</v>
      </c>
      <c r="H3571" s="1">
        <v>-3.8748349999999996E-6</v>
      </c>
      <c r="I3571">
        <v>247.14009999999999</v>
      </c>
      <c r="J3571">
        <v>-492.8372</v>
      </c>
      <c r="K3571">
        <v>1.1224620000000001</v>
      </c>
      <c r="L3571">
        <v>269.08730000000003</v>
      </c>
      <c r="M3571">
        <v>2.7145510000000001E-2</v>
      </c>
      <c r="N3571">
        <v>-1.384644E-2</v>
      </c>
      <c r="O3571">
        <v>-0.99953579999999997</v>
      </c>
      <c r="P3571">
        <v>3.5326940000000001E-2</v>
      </c>
      <c r="Q3571">
        <v>-8.8376529999999995E-2</v>
      </c>
      <c r="R3571">
        <v>-0.99546080000000003</v>
      </c>
      <c r="S3571">
        <v>6.1737060000000003E-2</v>
      </c>
      <c r="T3571">
        <v>-0.15275920000000001</v>
      </c>
      <c r="U3571">
        <v>-2.9980470000000001</v>
      </c>
      <c r="V3571">
        <v>-8.0748239999999995E-3</v>
      </c>
      <c r="W3571">
        <v>-7.4599739999999998E-2</v>
      </c>
      <c r="X3571">
        <v>0.99718090000000004</v>
      </c>
      <c r="Y3571">
        <v>6.5730569999999898E-3</v>
      </c>
      <c r="Z3571">
        <v>3.7023340000000002E-2</v>
      </c>
      <c r="AA3571">
        <v>0.99929279999999998</v>
      </c>
      <c r="AB3571">
        <v>14</v>
      </c>
      <c r="AC3571">
        <v>0.44880000000000497</v>
      </c>
      <c r="AD3571">
        <v>-1.122465874835</v>
      </c>
      <c r="AE3571">
        <v>-21.947199999999999</v>
      </c>
      <c r="AF3571">
        <v>0.14680650850994301</v>
      </c>
      <c r="AG3571">
        <v>-1.122465874835</v>
      </c>
      <c r="AH3571">
        <v>21.894050474331401</v>
      </c>
      <c r="AI3571">
        <v>92.934809042528798</v>
      </c>
      <c r="AJ3571">
        <v>89.615819498832494</v>
      </c>
      <c r="AK3571">
        <v>21.9232964666284</v>
      </c>
      <c r="AL3571">
        <v>94.278224516605903</v>
      </c>
      <c r="AM3571">
        <v>90.463951148227295</v>
      </c>
      <c r="AN3571">
        <v>1.0000000356577501</v>
      </c>
    </row>
    <row r="3572" spans="1:40" x14ac:dyDescent="0.25">
      <c r="A3572" t="str">
        <f>"20190303153838801"</f>
        <v>20190303153838801</v>
      </c>
      <c r="B3572" t="str">
        <f>"1551598718791815"</f>
        <v>1551598718791815</v>
      </c>
      <c r="C3572" t="s">
        <v>40</v>
      </c>
      <c r="D3572">
        <v>4.7132389999999997</v>
      </c>
      <c r="E3572">
        <v>0.50549480000000002</v>
      </c>
      <c r="F3572" t="s">
        <v>42</v>
      </c>
      <c r="G3572">
        <v>-492.35219999999998</v>
      </c>
      <c r="H3572" s="1">
        <v>-3.4812639999999999E-6</v>
      </c>
      <c r="I3572">
        <v>246.24510000000001</v>
      </c>
      <c r="J3572">
        <v>-492.83260000000001</v>
      </c>
      <c r="K3572">
        <v>1.122404</v>
      </c>
      <c r="L3572">
        <v>269.01049999999998</v>
      </c>
      <c r="M3572">
        <v>2.9269710000000001E-2</v>
      </c>
      <c r="N3572">
        <v>-1.38339E-2</v>
      </c>
      <c r="O3572">
        <v>-0.99947580000000003</v>
      </c>
      <c r="P3572">
        <v>3.6023180000000002E-2</v>
      </c>
      <c r="Q3572">
        <v>-8.7286379999999997E-2</v>
      </c>
      <c r="R3572">
        <v>-0.99553179999999997</v>
      </c>
      <c r="S3572">
        <v>6.3659670000000002E-2</v>
      </c>
      <c r="T3572">
        <v>-0.14733889999999999</v>
      </c>
      <c r="U3572">
        <v>-2.9983520000000001</v>
      </c>
      <c r="V3572">
        <v>-6.6659930000000003E-3</v>
      </c>
      <c r="W3572">
        <v>-7.3515670000000005E-2</v>
      </c>
      <c r="X3572">
        <v>0.99727180000000004</v>
      </c>
      <c r="Y3572">
        <v>8.0579229999999998E-3</v>
      </c>
      <c r="Z3572">
        <v>3.5225260000000001E-2</v>
      </c>
      <c r="AA3572">
        <v>0.99934690000000004</v>
      </c>
      <c r="AB3572">
        <v>14</v>
      </c>
      <c r="AC3572">
        <v>0.48040000000003102</v>
      </c>
      <c r="AD3572">
        <v>-1.1224074812639999</v>
      </c>
      <c r="AE3572">
        <v>-22.7653999999999</v>
      </c>
      <c r="AF3572">
        <v>0.18575496981578399</v>
      </c>
      <c r="AG3572">
        <v>-1.1224074812639999</v>
      </c>
      <c r="AH3572">
        <v>22.714516779749498</v>
      </c>
      <c r="AI3572">
        <v>92.828798966476498</v>
      </c>
      <c r="AJ3572">
        <v>89.531456528370597</v>
      </c>
      <c r="AK3572">
        <v>22.742989601200801</v>
      </c>
      <c r="AL3572">
        <v>94.215940928888401</v>
      </c>
      <c r="AM3572">
        <v>90.382972402503299</v>
      </c>
      <c r="AN3572">
        <v>1.00000001613673</v>
      </c>
    </row>
    <row r="3573" spans="1:40" x14ac:dyDescent="0.25">
      <c r="A3573" t="str">
        <f>"20190303153838814"</f>
        <v>20190303153838814</v>
      </c>
      <c r="B3573" t="str">
        <f>"1551598718801575"</f>
        <v>1551598718801575</v>
      </c>
      <c r="C3573" t="s">
        <v>40</v>
      </c>
      <c r="D3573">
        <v>4.7220529999999998</v>
      </c>
      <c r="E3573">
        <v>0.50576069999999995</v>
      </c>
      <c r="F3573" t="s">
        <v>42</v>
      </c>
      <c r="G3573">
        <v>-492.32299999999998</v>
      </c>
      <c r="H3573" s="1">
        <v>-3.1172509999999999E-6</v>
      </c>
      <c r="I3573">
        <v>245.41470000000001</v>
      </c>
      <c r="J3573">
        <v>-492.82780000000002</v>
      </c>
      <c r="K3573">
        <v>1.122341</v>
      </c>
      <c r="L3573">
        <v>268.93220000000002</v>
      </c>
      <c r="M3573">
        <v>3.137889E-2</v>
      </c>
      <c r="N3573">
        <v>-1.382128E-2</v>
      </c>
      <c r="O3573">
        <v>-0.99941190000000002</v>
      </c>
      <c r="P3573">
        <v>3.6811679999999999E-2</v>
      </c>
      <c r="Q3573">
        <v>-8.7161520000000006E-2</v>
      </c>
      <c r="R3573">
        <v>-0.99551389999999995</v>
      </c>
      <c r="S3573">
        <v>6.4758300000000005E-2</v>
      </c>
      <c r="T3573">
        <v>-0.14264189999999999</v>
      </c>
      <c r="U3573">
        <v>-2.998688</v>
      </c>
      <c r="V3573">
        <v>-5.3644900000000004E-3</v>
      </c>
      <c r="W3573">
        <v>-7.3398710000000006E-2</v>
      </c>
      <c r="X3573">
        <v>0.99728819999999996</v>
      </c>
      <c r="Y3573">
        <v>9.8027879999999998E-3</v>
      </c>
      <c r="Z3573">
        <v>3.366711E-2</v>
      </c>
      <c r="AA3573">
        <v>0.99938499999999997</v>
      </c>
      <c r="AB3573">
        <v>14</v>
      </c>
      <c r="AC3573">
        <v>0.50479999999998804</v>
      </c>
      <c r="AD3573">
        <v>-1.122344117251</v>
      </c>
      <c r="AE3573">
        <v>-23.517499999999998</v>
      </c>
      <c r="AF3573">
        <v>0.232941946878193</v>
      </c>
      <c r="AG3573">
        <v>-1.122344117251</v>
      </c>
      <c r="AH3573">
        <v>23.468332525540401</v>
      </c>
      <c r="AI3573">
        <v>92.737879360977502</v>
      </c>
      <c r="AJ3573">
        <v>89.431312295816397</v>
      </c>
      <c r="AK3573">
        <v>23.496309280341901</v>
      </c>
      <c r="AL3573">
        <v>94.209221735273204</v>
      </c>
      <c r="AM3573">
        <v>90.308195436217204</v>
      </c>
      <c r="AN3573">
        <v>0.99999995112092999</v>
      </c>
    </row>
    <row r="3574" spans="1:40" x14ac:dyDescent="0.25">
      <c r="A3574" t="str">
        <f>"20190303153838831"</f>
        <v>20190303153838831</v>
      </c>
      <c r="B3574" t="str">
        <f>"1551598718822074"</f>
        <v>1551598718822074</v>
      </c>
      <c r="C3574" t="s">
        <v>40</v>
      </c>
      <c r="D3574">
        <v>4.6838629999999997</v>
      </c>
      <c r="E3574">
        <v>0.50615429999999995</v>
      </c>
      <c r="F3574" t="s">
        <v>42</v>
      </c>
      <c r="G3574">
        <v>-492.31509999999997</v>
      </c>
      <c r="H3574" s="1">
        <v>-2.9621739999999999E-6</v>
      </c>
      <c r="I3574">
        <v>245.0581</v>
      </c>
      <c r="J3574">
        <v>-492.82119999999998</v>
      </c>
      <c r="K3574">
        <v>1.122228</v>
      </c>
      <c r="L3574">
        <v>268.82569999999998</v>
      </c>
      <c r="M3574">
        <v>3.4101239999999998E-2</v>
      </c>
      <c r="N3574">
        <v>-1.3804230000000001E-2</v>
      </c>
      <c r="O3574">
        <v>-0.99932310000000002</v>
      </c>
      <c r="P3574">
        <v>3.6942660000000002E-2</v>
      </c>
      <c r="Q3574">
        <v>-8.9255609999999999E-2</v>
      </c>
      <c r="R3574">
        <v>-0.99532359999999998</v>
      </c>
      <c r="S3574">
        <v>6.4392089999999999E-2</v>
      </c>
      <c r="T3574">
        <v>-0.14097689999999999</v>
      </c>
      <c r="U3574">
        <v>-2.9988100000000002</v>
      </c>
      <c r="V3574">
        <v>-2.8013270000000002E-3</v>
      </c>
      <c r="W3574">
        <v>-7.5504740000000001E-2</v>
      </c>
      <c r="X3574">
        <v>0.99714150000000001</v>
      </c>
      <c r="Y3574">
        <v>1.2648E-2</v>
      </c>
      <c r="Z3574">
        <v>3.3122449999999998E-2</v>
      </c>
      <c r="AA3574">
        <v>0.99937129999999996</v>
      </c>
      <c r="AB3574">
        <v>14</v>
      </c>
      <c r="AC3574">
        <v>0.50610000000000299</v>
      </c>
      <c r="AD3574">
        <v>-1.1222309621740001</v>
      </c>
      <c r="AE3574">
        <v>-23.767599999999899</v>
      </c>
      <c r="AF3574">
        <v>0.304098574982203</v>
      </c>
      <c r="AG3574">
        <v>-1.1222309621740001</v>
      </c>
      <c r="AH3574">
        <v>23.7181799648618</v>
      </c>
      <c r="AI3574">
        <v>92.708719933006194</v>
      </c>
      <c r="AJ3574">
        <v>89.265432242707604</v>
      </c>
      <c r="AK3574">
        <v>23.7466616416148</v>
      </c>
      <c r="AL3574">
        <v>94.330224044715706</v>
      </c>
      <c r="AM3574">
        <v>90.160963907207503</v>
      </c>
      <c r="AN3574">
        <v>0.99999999210883905</v>
      </c>
    </row>
    <row r="3575" spans="1:40" x14ac:dyDescent="0.25">
      <c r="A3575" t="str">
        <f>"20190303153838843"</f>
        <v>20190303153838843</v>
      </c>
      <c r="B3575" t="str">
        <f>"1551598718831831"</f>
        <v>1551598718831831</v>
      </c>
      <c r="C3575" t="s">
        <v>40</v>
      </c>
      <c r="D3575">
        <v>4.6766680000000003</v>
      </c>
      <c r="E3575">
        <v>0.50621899999999997</v>
      </c>
      <c r="F3575" t="s">
        <v>42</v>
      </c>
      <c r="G3575">
        <v>-492.33890000000002</v>
      </c>
      <c r="H3575" s="1">
        <v>-3.1742550000000001E-6</v>
      </c>
      <c r="I3575">
        <v>245.5377</v>
      </c>
      <c r="J3575">
        <v>-492.81619999999998</v>
      </c>
      <c r="K3575">
        <v>1.122126</v>
      </c>
      <c r="L3575">
        <v>268.7466</v>
      </c>
      <c r="M3575">
        <v>3.5979320000000002E-2</v>
      </c>
      <c r="N3575">
        <v>-1.379148E-2</v>
      </c>
      <c r="O3575">
        <v>-0.99925750000000002</v>
      </c>
      <c r="P3575">
        <v>3.7221650000000002E-2</v>
      </c>
      <c r="Q3575">
        <v>-9.1206060000000005E-2</v>
      </c>
      <c r="R3575">
        <v>-0.99513640000000003</v>
      </c>
      <c r="S3575">
        <v>6.2103270000000002E-2</v>
      </c>
      <c r="T3575">
        <v>-0.14451339999999999</v>
      </c>
      <c r="U3575">
        <v>-2.9988709999999998</v>
      </c>
      <c r="V3575">
        <v>-1.2268439999999999E-3</v>
      </c>
      <c r="W3575">
        <v>-7.7466160000000006E-2</v>
      </c>
      <c r="X3575">
        <v>0.9969943</v>
      </c>
      <c r="Y3575">
        <v>1.528965E-2</v>
      </c>
      <c r="Z3575">
        <v>3.4303779999999999E-2</v>
      </c>
      <c r="AA3575">
        <v>0.99929449999999997</v>
      </c>
      <c r="AB3575">
        <v>14</v>
      </c>
      <c r="AC3575">
        <v>0.47729999999995698</v>
      </c>
      <c r="AD3575">
        <v>-1.1221291742549999</v>
      </c>
      <c r="AE3575">
        <v>-23.2089</v>
      </c>
      <c r="AF3575">
        <v>0.357293978208098</v>
      </c>
      <c r="AG3575">
        <v>-1.1221291742549999</v>
      </c>
      <c r="AH3575">
        <v>23.156935182734401</v>
      </c>
      <c r="AI3575">
        <v>92.773915429375606</v>
      </c>
      <c r="AJ3575">
        <v>89.116039640825605</v>
      </c>
      <c r="AK3575">
        <v>23.1868600704783</v>
      </c>
      <c r="AL3575">
        <v>94.442934958695105</v>
      </c>
      <c r="AM3575">
        <v>90.070504864311602</v>
      </c>
      <c r="AN3575">
        <v>1.00000007266191</v>
      </c>
    </row>
    <row r="3576" spans="1:40" x14ac:dyDescent="0.25">
      <c r="A3576" t="str">
        <f>"20190303153838856"</f>
        <v>20190303153838856</v>
      </c>
      <c r="B3576" t="str">
        <f>"1551598718852327"</f>
        <v>1551598718852327</v>
      </c>
      <c r="C3576" t="s">
        <v>40</v>
      </c>
      <c r="D3576">
        <v>4.7041399999999998</v>
      </c>
      <c r="E3576">
        <v>0.50630280000000005</v>
      </c>
      <c r="F3576" t="s">
        <v>42</v>
      </c>
      <c r="G3576">
        <v>-492.35050000000001</v>
      </c>
      <c r="H3576" s="1">
        <v>-3.5165889999999998E-6</v>
      </c>
      <c r="I3576">
        <v>246.32849999999999</v>
      </c>
      <c r="J3576">
        <v>-492.81139999999999</v>
      </c>
      <c r="K3576">
        <v>1.1220319999999999</v>
      </c>
      <c r="L3576">
        <v>268.67180000000002</v>
      </c>
      <c r="M3576">
        <v>3.7674409999999998E-2</v>
      </c>
      <c r="N3576">
        <v>-1.3777090000000001E-2</v>
      </c>
      <c r="O3576">
        <v>-0.99919519999999995</v>
      </c>
      <c r="P3576">
        <v>3.7258100000000002E-2</v>
      </c>
      <c r="Q3576">
        <v>-9.3296649999999995E-2</v>
      </c>
      <c r="R3576">
        <v>-0.99494119999999997</v>
      </c>
      <c r="S3576">
        <v>6.2286380000000002E-2</v>
      </c>
      <c r="T3576">
        <v>-0.15009059999999999</v>
      </c>
      <c r="U3576">
        <v>-2.998535</v>
      </c>
      <c r="V3576">
        <v>4.0726850000000003E-4</v>
      </c>
      <c r="W3576">
        <v>-7.9570169999999996E-2</v>
      </c>
      <c r="X3576">
        <v>0.99682919999999997</v>
      </c>
      <c r="Y3576">
        <v>1.6922980000000001E-2</v>
      </c>
      <c r="Z3576">
        <v>3.6170670000000002E-2</v>
      </c>
      <c r="AA3576">
        <v>0.99920229999999999</v>
      </c>
      <c r="AB3576">
        <v>14</v>
      </c>
      <c r="AC3576">
        <v>0.46089999999998099</v>
      </c>
      <c r="AD3576">
        <v>-1.1220355165889999</v>
      </c>
      <c r="AE3576">
        <v>-22.343299999999999</v>
      </c>
      <c r="AF3576">
        <v>0.38031902432918802</v>
      </c>
      <c r="AG3576">
        <v>-1.1220355165889999</v>
      </c>
      <c r="AH3576">
        <v>22.288615984998199</v>
      </c>
      <c r="AI3576">
        <v>92.881486308379706</v>
      </c>
      <c r="AJ3576">
        <v>89.022435466705005</v>
      </c>
      <c r="AK3576">
        <v>22.320080841866801</v>
      </c>
      <c r="AL3576">
        <v>94.563859456783703</v>
      </c>
      <c r="AM3576">
        <v>89.976591009893895</v>
      </c>
      <c r="AN3576">
        <v>1.0000000158970399</v>
      </c>
    </row>
    <row r="3577" spans="1:40" x14ac:dyDescent="0.25">
      <c r="A3577" t="str">
        <f>"20190303153838867"</f>
        <v>20190303153838867</v>
      </c>
      <c r="B3577" t="str">
        <f>"1551598718862088"</f>
        <v>1551598718862088</v>
      </c>
      <c r="C3577" t="s">
        <v>40</v>
      </c>
      <c r="D3577">
        <v>4.7024460000000001</v>
      </c>
      <c r="E3577">
        <v>0.50634880000000004</v>
      </c>
      <c r="F3577" t="s">
        <v>42</v>
      </c>
      <c r="G3577">
        <v>-492.37209999999999</v>
      </c>
      <c r="H3577" s="1">
        <v>-3.917039E-6</v>
      </c>
      <c r="I3577">
        <v>247.26070000000001</v>
      </c>
      <c r="J3577">
        <v>-492.80650000000003</v>
      </c>
      <c r="K3577">
        <v>1.121929</v>
      </c>
      <c r="L3577">
        <v>268.59379999999999</v>
      </c>
      <c r="M3577">
        <v>3.9368309999999997E-2</v>
      </c>
      <c r="N3577">
        <v>-1.375995E-2</v>
      </c>
      <c r="O3577">
        <v>-0.99912999999999996</v>
      </c>
      <c r="P3577">
        <v>3.7396699999999998E-2</v>
      </c>
      <c r="Q3577">
        <v>-9.5696809999999993E-2</v>
      </c>
      <c r="R3577">
        <v>-0.99470760000000003</v>
      </c>
      <c r="S3577">
        <v>6.1523439999999999E-2</v>
      </c>
      <c r="T3577">
        <v>-0.15712229999999999</v>
      </c>
      <c r="U3577">
        <v>-2.9982600000000001</v>
      </c>
      <c r="V3577">
        <v>1.9342230000000001E-3</v>
      </c>
      <c r="W3577">
        <v>-8.1987870000000004E-2</v>
      </c>
      <c r="X3577">
        <v>0.99663139999999995</v>
      </c>
      <c r="Y3577">
        <v>1.8870919999999999E-2</v>
      </c>
      <c r="Z3577">
        <v>3.8521199999999998E-2</v>
      </c>
      <c r="AA3577">
        <v>0.99907959999999996</v>
      </c>
      <c r="AB3577">
        <v>14</v>
      </c>
      <c r="AC3577">
        <v>0.43440000000003898</v>
      </c>
      <c r="AD3577">
        <v>-1.121932917039</v>
      </c>
      <c r="AE3577">
        <v>-21.333099999999899</v>
      </c>
      <c r="AF3577">
        <v>0.40474546095335001</v>
      </c>
      <c r="AG3577">
        <v>-1.121932917039</v>
      </c>
      <c r="AH3577">
        <v>21.274843707943699</v>
      </c>
      <c r="AI3577">
        <v>93.018162396413004</v>
      </c>
      <c r="AJ3577">
        <v>88.910102004562106</v>
      </c>
      <c r="AK3577">
        <v>21.308250213378201</v>
      </c>
      <c r="AL3577">
        <v>94.702837982993699</v>
      </c>
      <c r="AM3577">
        <v>89.888802745531095</v>
      </c>
      <c r="AN3577">
        <v>0.99999994975585305</v>
      </c>
    </row>
    <row r="3578" spans="1:40" x14ac:dyDescent="0.25">
      <c r="A3578" t="str">
        <f>"20190303153838879"</f>
        <v>20190303153838879</v>
      </c>
      <c r="B3578" t="str">
        <f>"1551598718871847"</f>
        <v>1551598718871847</v>
      </c>
      <c r="C3578" t="s">
        <v>40</v>
      </c>
      <c r="D3578">
        <v>4.6431699999999996</v>
      </c>
      <c r="E3578">
        <v>0.50649230000000001</v>
      </c>
      <c r="F3578" t="s">
        <v>42</v>
      </c>
      <c r="G3578">
        <v>-492.38350000000003</v>
      </c>
      <c r="H3578" s="1">
        <v>-4.2500409999999996E-6</v>
      </c>
      <c r="I3578">
        <v>248.23339999999999</v>
      </c>
      <c r="J3578">
        <v>-492.80180000000001</v>
      </c>
      <c r="K3578">
        <v>1.121818</v>
      </c>
      <c r="L3578">
        <v>268.51929999999999</v>
      </c>
      <c r="M3578">
        <v>4.0839090000000002E-2</v>
      </c>
      <c r="N3578">
        <v>-1.3689349999999999E-2</v>
      </c>
      <c r="O3578">
        <v>-0.99907199999999996</v>
      </c>
      <c r="P3578">
        <v>3.7452949999999999E-2</v>
      </c>
      <c r="Q3578">
        <v>-9.7267740000000005E-2</v>
      </c>
      <c r="R3578">
        <v>-0.99455329999999997</v>
      </c>
      <c r="S3578">
        <v>6.2286380000000002E-2</v>
      </c>
      <c r="T3578">
        <v>-0.1651878</v>
      </c>
      <c r="U3578">
        <v>-2.9977719999999999</v>
      </c>
      <c r="V3578">
        <v>3.321835E-3</v>
      </c>
      <c r="W3578">
        <v>-8.3629469999999997E-2</v>
      </c>
      <c r="X3578">
        <v>0.99649140000000003</v>
      </c>
      <c r="Y3578">
        <v>2.0086630000000001E-2</v>
      </c>
      <c r="Z3578">
        <v>4.1271830000000002E-2</v>
      </c>
      <c r="AA3578">
        <v>0.998946</v>
      </c>
      <c r="AB3578">
        <v>14</v>
      </c>
      <c r="AC3578">
        <v>0.41829999999998702</v>
      </c>
      <c r="AD3578">
        <v>-1.121822250041</v>
      </c>
      <c r="AE3578">
        <v>-20.285900000000002</v>
      </c>
      <c r="AF3578">
        <v>0.409333060760808</v>
      </c>
      <c r="AG3578">
        <v>-1.121822250041</v>
      </c>
      <c r="AH3578">
        <v>20.224235065538799</v>
      </c>
      <c r="AI3578">
        <v>93.174249059173405</v>
      </c>
      <c r="AJ3578">
        <v>88.840507192546696</v>
      </c>
      <c r="AK3578">
        <v>20.259460079219501</v>
      </c>
      <c r="AL3578">
        <v>94.797218583711796</v>
      </c>
      <c r="AM3578">
        <v>89.809003448755604</v>
      </c>
      <c r="AN3578">
        <v>1.0000000165570999</v>
      </c>
    </row>
    <row r="3579" spans="1:40" x14ac:dyDescent="0.25">
      <c r="A3579" t="str">
        <f>"20190303153838892"</f>
        <v>20190303153838892</v>
      </c>
      <c r="B3579" t="str">
        <f>"1551598718881612"</f>
        <v>1551598718881612</v>
      </c>
      <c r="C3579" t="s">
        <v>40</v>
      </c>
      <c r="D3579">
        <v>4.6774529999999999</v>
      </c>
      <c r="E3579">
        <v>0.50664279999999995</v>
      </c>
      <c r="F3579" t="s">
        <v>42</v>
      </c>
      <c r="G3579">
        <v>-492.39699999999999</v>
      </c>
      <c r="H3579" s="1">
        <v>-4.3906440000000003E-6</v>
      </c>
      <c r="I3579">
        <v>248.6395</v>
      </c>
      <c r="J3579">
        <v>-492.79689999999999</v>
      </c>
      <c r="K3579">
        <v>1.1216980000000001</v>
      </c>
      <c r="L3579">
        <v>268.44290000000001</v>
      </c>
      <c r="M3579">
        <v>4.2284849999999999E-2</v>
      </c>
      <c r="N3579">
        <v>-1.3583700000000001E-2</v>
      </c>
      <c r="O3579">
        <v>-0.99901329999999999</v>
      </c>
      <c r="P3579">
        <v>3.7694039999999998E-2</v>
      </c>
      <c r="Q3579">
        <v>-9.8460359999999997E-2</v>
      </c>
      <c r="R3579">
        <v>-0.99442719999999996</v>
      </c>
      <c r="S3579">
        <v>6.1035159999999998E-2</v>
      </c>
      <c r="T3579">
        <v>-0.1691549</v>
      </c>
      <c r="U3579">
        <v>-2.9975890000000001</v>
      </c>
      <c r="V3579">
        <v>4.499205E-3</v>
      </c>
      <c r="W3579">
        <v>-8.4928130000000004E-2</v>
      </c>
      <c r="X3579">
        <v>0.99637690000000001</v>
      </c>
      <c r="Y3579">
        <v>2.1949150000000001E-2</v>
      </c>
      <c r="Z3579">
        <v>4.2691060000000003E-2</v>
      </c>
      <c r="AA3579">
        <v>0.99884720000000005</v>
      </c>
      <c r="AB3579">
        <v>14</v>
      </c>
      <c r="AC3579">
        <v>0.39990000000000198</v>
      </c>
      <c r="AD3579">
        <v>-1.12170239064399</v>
      </c>
      <c r="AE3579">
        <v>-19.8034</v>
      </c>
      <c r="AF3579">
        <v>0.43651884656523499</v>
      </c>
      <c r="AG3579">
        <v>-1.12170239064399</v>
      </c>
      <c r="AH3579">
        <v>19.7392918843715</v>
      </c>
      <c r="AI3579">
        <v>93.251591283428695</v>
      </c>
      <c r="AJ3579">
        <v>88.733155582924695</v>
      </c>
      <c r="AK3579">
        <v>19.775955325925398</v>
      </c>
      <c r="AL3579">
        <v>94.871892182915602</v>
      </c>
      <c r="AM3579">
        <v>89.741278922087204</v>
      </c>
      <c r="AN3579">
        <v>0.99999997848226896</v>
      </c>
    </row>
    <row r="3580" spans="1:40" x14ac:dyDescent="0.25">
      <c r="A3580" t="str">
        <f>"20190303153838905"</f>
        <v>20190303153838905</v>
      </c>
      <c r="B3580" t="str">
        <f>"1551598718892350"</f>
        <v>1551598718892350</v>
      </c>
      <c r="C3580" t="s">
        <v>40</v>
      </c>
      <c r="D3580">
        <v>4.6457639999999998</v>
      </c>
      <c r="E3580">
        <v>0.50670870000000001</v>
      </c>
      <c r="F3580" t="s">
        <v>42</v>
      </c>
      <c r="G3580">
        <v>-492.40249999999997</v>
      </c>
      <c r="H3580" s="1">
        <v>-4.4649000000000002E-6</v>
      </c>
      <c r="I3580">
        <v>248.85480000000001</v>
      </c>
      <c r="J3580">
        <v>-492.79180000000002</v>
      </c>
      <c r="K3580">
        <v>1.1215550000000001</v>
      </c>
      <c r="L3580">
        <v>268.36270000000002</v>
      </c>
      <c r="M3580">
        <v>4.3652539999999997E-2</v>
      </c>
      <c r="N3580">
        <v>-1.33776E-2</v>
      </c>
      <c r="O3580">
        <v>-0.99895730000000005</v>
      </c>
      <c r="P3580">
        <v>3.7575699999999997E-2</v>
      </c>
      <c r="Q3580">
        <v>-9.8856109999999997E-2</v>
      </c>
      <c r="R3580">
        <v>-0.99439230000000001</v>
      </c>
      <c r="S3580">
        <v>6.0363769999999997E-2</v>
      </c>
      <c r="T3580">
        <v>-0.17165050000000001</v>
      </c>
      <c r="U3580">
        <v>-2.9974980000000002</v>
      </c>
      <c r="V3580">
        <v>5.9600169999999997E-3</v>
      </c>
      <c r="W3580">
        <v>-8.5529330000000001E-2</v>
      </c>
      <c r="X3580">
        <v>0.99631780000000003</v>
      </c>
      <c r="Y3580">
        <v>2.3540970000000001E-2</v>
      </c>
      <c r="Z3580">
        <v>4.372061E-2</v>
      </c>
      <c r="AA3580">
        <v>0.99876640000000005</v>
      </c>
      <c r="AB3580">
        <v>14</v>
      </c>
      <c r="AC3580">
        <v>0.389300000000048</v>
      </c>
      <c r="AD3580">
        <v>-1.12155946489999</v>
      </c>
      <c r="AE3580">
        <v>-19.507899999999999</v>
      </c>
      <c r="AF3580">
        <v>0.46119285120838699</v>
      </c>
      <c r="AG3580">
        <v>-1.12155946489999</v>
      </c>
      <c r="AH3580">
        <v>19.442058549698999</v>
      </c>
      <c r="AI3580">
        <v>93.300652071697797</v>
      </c>
      <c r="AJ3580">
        <v>88.641118730243903</v>
      </c>
      <c r="AK3580">
        <v>19.479841763454701</v>
      </c>
      <c r="AL3580">
        <v>94.906464225430298</v>
      </c>
      <c r="AM3580">
        <v>89.6572582094811</v>
      </c>
      <c r="AN3580">
        <v>0.99999997334486401</v>
      </c>
    </row>
    <row r="3581" spans="1:40" x14ac:dyDescent="0.25">
      <c r="A3581" t="str">
        <f>"20190303153838922"</f>
        <v>20190303153838922</v>
      </c>
      <c r="B3581" t="str">
        <f>"1551598718911867"</f>
        <v>1551598718911867</v>
      </c>
      <c r="C3581" t="s">
        <v>40</v>
      </c>
      <c r="D3581">
        <v>4.6679130000000004</v>
      </c>
      <c r="E3581">
        <v>0.50684439999999997</v>
      </c>
      <c r="F3581" t="s">
        <v>42</v>
      </c>
      <c r="G3581">
        <v>-492.40350000000001</v>
      </c>
      <c r="H3581" s="1">
        <v>-4.484238E-6</v>
      </c>
      <c r="I3581">
        <v>248.9111</v>
      </c>
      <c r="J3581">
        <v>-492.78489999999999</v>
      </c>
      <c r="K3581">
        <v>1.1213519999999999</v>
      </c>
      <c r="L3581">
        <v>268.25170000000003</v>
      </c>
      <c r="M3581">
        <v>4.5358929999999999E-2</v>
      </c>
      <c r="N3581">
        <v>-1.2976690000000001E-2</v>
      </c>
      <c r="O3581">
        <v>-0.99888659999999996</v>
      </c>
      <c r="P3581">
        <v>3.7716890000000003E-2</v>
      </c>
      <c r="Q3581">
        <v>-9.8129309999999997E-2</v>
      </c>
      <c r="R3581">
        <v>-0.99445870000000003</v>
      </c>
      <c r="S3581">
        <v>5.9844969999999997E-2</v>
      </c>
      <c r="T3581">
        <v>-0.17283270000000001</v>
      </c>
      <c r="U3581">
        <v>-2.9974980000000002</v>
      </c>
      <c r="V3581">
        <v>7.4974489999999998E-3</v>
      </c>
      <c r="W3581">
        <v>-8.5201760000000001E-2</v>
      </c>
      <c r="X3581">
        <v>0.99633550000000004</v>
      </c>
      <c r="Y3581">
        <v>2.54214E-2</v>
      </c>
      <c r="Z3581">
        <v>4.4505429999999999E-2</v>
      </c>
      <c r="AA3581">
        <v>0.99868570000000001</v>
      </c>
      <c r="AB3581">
        <v>14</v>
      </c>
      <c r="AC3581">
        <v>0.38139999999998497</v>
      </c>
      <c r="AD3581">
        <v>-1.1213564842379999</v>
      </c>
      <c r="AE3581">
        <v>-19.340599999999998</v>
      </c>
      <c r="AF3581">
        <v>0.49467304581683003</v>
      </c>
      <c r="AG3581">
        <v>-1.1213564842379999</v>
      </c>
      <c r="AH3581">
        <v>19.273227850043501</v>
      </c>
      <c r="AI3581">
        <v>93.328739903730593</v>
      </c>
      <c r="AJ3581">
        <v>88.529750347780904</v>
      </c>
      <c r="AK3581">
        <v>19.3121581794137</v>
      </c>
      <c r="AL3581">
        <v>94.887627003008802</v>
      </c>
      <c r="AM3581">
        <v>89.568855996024496</v>
      </c>
      <c r="AN3581">
        <v>0.99999999010442697</v>
      </c>
    </row>
    <row r="3582" spans="1:40" x14ac:dyDescent="0.25">
      <c r="A3582" t="str">
        <f>"20190303153838937"</f>
        <v>20190303153838937</v>
      </c>
      <c r="B3582" t="str">
        <f>"1551598718932364"</f>
        <v>1551598718932364</v>
      </c>
      <c r="C3582" t="s">
        <v>40</v>
      </c>
      <c r="D3582">
        <v>4.638795</v>
      </c>
      <c r="E3582">
        <v>0.50725100000000001</v>
      </c>
      <c r="F3582" t="s">
        <v>42</v>
      </c>
      <c r="G3582">
        <v>-492.39409999999998</v>
      </c>
      <c r="H3582" s="1">
        <v>-4.298739E-6</v>
      </c>
      <c r="I3582">
        <v>248.37090000000001</v>
      </c>
      <c r="J3582">
        <v>-492.77910000000003</v>
      </c>
      <c r="K3582">
        <v>1.1211739999999999</v>
      </c>
      <c r="L3582">
        <v>268.15769999999998</v>
      </c>
      <c r="M3582">
        <v>4.6639460000000001E-2</v>
      </c>
      <c r="N3582">
        <v>-1.2557280000000001E-2</v>
      </c>
      <c r="O3582">
        <v>-0.99883310000000003</v>
      </c>
      <c r="P3582">
        <v>3.8350830000000002E-2</v>
      </c>
      <c r="Q3582">
        <v>-9.6782469999999995E-2</v>
      </c>
      <c r="R3582">
        <v>-0.99456670000000003</v>
      </c>
      <c r="S3582">
        <v>5.892944E-2</v>
      </c>
      <c r="T3582">
        <v>-0.1690894</v>
      </c>
      <c r="U3582">
        <v>-2.997833</v>
      </c>
      <c r="V3582">
        <v>8.1253760000000001E-3</v>
      </c>
      <c r="W3582">
        <v>-8.4272620000000006E-2</v>
      </c>
      <c r="X3582">
        <v>0.99640960000000001</v>
      </c>
      <c r="Y3582">
        <v>2.700903E-2</v>
      </c>
      <c r="Z3582">
        <v>4.3670790000000001E-2</v>
      </c>
      <c r="AA3582">
        <v>0.99868080000000004</v>
      </c>
      <c r="AB3582">
        <v>14</v>
      </c>
      <c r="AC3582">
        <v>0.38500000000004703</v>
      </c>
      <c r="AD3582">
        <v>-1.121178298739</v>
      </c>
      <c r="AE3582">
        <v>-19.7867999999999</v>
      </c>
      <c r="AF3582">
        <v>0.53661498656260698</v>
      </c>
      <c r="AG3582">
        <v>-1.121178298739</v>
      </c>
      <c r="AH3582">
        <v>19.719931383579102</v>
      </c>
      <c r="AI3582">
        <v>93.252851437929905</v>
      </c>
      <c r="AJ3582">
        <v>88.441262911973098</v>
      </c>
      <c r="AK3582">
        <v>19.759066025357399</v>
      </c>
      <c r="AL3582">
        <v>94.834199020596003</v>
      </c>
      <c r="AM3582">
        <v>89.532783071607895</v>
      </c>
      <c r="AN3582">
        <v>0.999999993594482</v>
      </c>
    </row>
    <row r="3583" spans="1:40" x14ac:dyDescent="0.25">
      <c r="A3583" t="str">
        <f>"20190303153838953"</f>
        <v>20190303153838953</v>
      </c>
      <c r="B3583" t="str">
        <f>"1551598718942123"</f>
        <v>1551598718942123</v>
      </c>
      <c r="C3583" t="s">
        <v>40</v>
      </c>
      <c r="D3583">
        <v>4.623424</v>
      </c>
      <c r="E3583">
        <v>0.50736559999999997</v>
      </c>
      <c r="F3583" t="s">
        <v>42</v>
      </c>
      <c r="G3583">
        <v>-492.37869999999998</v>
      </c>
      <c r="H3583" s="1">
        <v>-3.9076170000000003E-6</v>
      </c>
      <c r="I3583">
        <v>247.2296</v>
      </c>
      <c r="J3583">
        <v>-492.77249999999998</v>
      </c>
      <c r="K3583">
        <v>1.1209769999999999</v>
      </c>
      <c r="L3583">
        <v>268.05079999999998</v>
      </c>
      <c r="M3583">
        <v>4.7922329999999999E-2</v>
      </c>
      <c r="N3583">
        <v>-1.2017440000000001E-2</v>
      </c>
      <c r="O3583">
        <v>-0.99877879999999997</v>
      </c>
      <c r="P3583">
        <v>3.8878500000000003E-2</v>
      </c>
      <c r="Q3583">
        <v>-9.3903970000000003E-2</v>
      </c>
      <c r="R3583">
        <v>-0.99482170000000003</v>
      </c>
      <c r="S3583">
        <v>5.7373050000000002E-2</v>
      </c>
      <c r="T3583">
        <v>-0.16064020000000001</v>
      </c>
      <c r="U3583">
        <v>-2.998535</v>
      </c>
      <c r="V3583">
        <v>8.8676369999999994E-3</v>
      </c>
      <c r="W3583">
        <v>-8.1930740000000002E-2</v>
      </c>
      <c r="X3583">
        <v>0.9965986</v>
      </c>
      <c r="Y3583">
        <v>2.881386E-2</v>
      </c>
      <c r="Z3583">
        <v>4.1389479999999999E-2</v>
      </c>
      <c r="AA3583">
        <v>0.99872749999999999</v>
      </c>
      <c r="AB3583">
        <v>14</v>
      </c>
      <c r="AC3583">
        <v>0.39379999999999798</v>
      </c>
      <c r="AD3583">
        <v>-1.1209809076170001</v>
      </c>
      <c r="AE3583">
        <v>-20.821199999999902</v>
      </c>
      <c r="AF3583">
        <v>0.60277838672534501</v>
      </c>
      <c r="AG3583">
        <v>-1.1209809076170001</v>
      </c>
      <c r="AH3583">
        <v>20.756006137802</v>
      </c>
      <c r="AI3583">
        <v>93.090100689461195</v>
      </c>
      <c r="AJ3583">
        <v>88.336531944206101</v>
      </c>
      <c r="AK3583">
        <v>20.794992925490899</v>
      </c>
      <c r="AL3583">
        <v>94.699553269328604</v>
      </c>
      <c r="AM3583">
        <v>89.490201204018803</v>
      </c>
      <c r="AN3583">
        <v>1.0000000253324299</v>
      </c>
    </row>
    <row r="3584" spans="1:40" x14ac:dyDescent="0.25">
      <c r="A3584" t="str">
        <f>"20190303153838966"</f>
        <v>20190303153838966</v>
      </c>
      <c r="B3584" t="str">
        <f>"1551598718961644"</f>
        <v>1551598718961644</v>
      </c>
      <c r="C3584" t="s">
        <v>40</v>
      </c>
      <c r="D3584">
        <v>4.5981800000000002</v>
      </c>
      <c r="E3584">
        <v>0.50752379999999997</v>
      </c>
      <c r="F3584" t="s">
        <v>42</v>
      </c>
      <c r="G3584">
        <v>-492.33940000000001</v>
      </c>
      <c r="H3584" s="1">
        <v>-3.220985E-6</v>
      </c>
      <c r="I3584">
        <v>245.6464</v>
      </c>
      <c r="J3584">
        <v>-492.76740000000001</v>
      </c>
      <c r="K3584">
        <v>1.1208180000000001</v>
      </c>
      <c r="L3584">
        <v>267.96660000000003</v>
      </c>
      <c r="M3584">
        <v>4.8798559999999998E-2</v>
      </c>
      <c r="N3584">
        <v>-1.155809E-2</v>
      </c>
      <c r="O3584">
        <v>-0.99874189999999996</v>
      </c>
      <c r="P3584">
        <v>3.9278199999999999E-2</v>
      </c>
      <c r="Q3584">
        <v>-9.2734360000000002E-2</v>
      </c>
      <c r="R3584">
        <v>-0.99491589999999996</v>
      </c>
      <c r="S3584">
        <v>5.7983399999999997E-2</v>
      </c>
      <c r="T3584">
        <v>-0.15006040000000001</v>
      </c>
      <c r="U3584">
        <v>-2.9991759999999998</v>
      </c>
      <c r="V3584">
        <v>9.3314049999999992E-3</v>
      </c>
      <c r="W3584">
        <v>-8.1219340000000001E-2</v>
      </c>
      <c r="X3584">
        <v>0.99665250000000005</v>
      </c>
      <c r="Y3584">
        <v>2.9489939999999999E-2</v>
      </c>
      <c r="Z3584">
        <v>3.8325070000000003E-2</v>
      </c>
      <c r="AA3584">
        <v>0.99883010000000005</v>
      </c>
      <c r="AB3584">
        <v>15</v>
      </c>
      <c r="AC3584">
        <v>0.42799999999999699</v>
      </c>
      <c r="AD3584">
        <v>-1.1208212209849999</v>
      </c>
      <c r="AE3584">
        <v>-22.3202</v>
      </c>
      <c r="AF3584">
        <v>0.66011227188258403</v>
      </c>
      <c r="AG3584">
        <v>-1.1208212209849999</v>
      </c>
      <c r="AH3584">
        <v>22.2583860893488</v>
      </c>
      <c r="AI3584">
        <v>92.881429900826404</v>
      </c>
      <c r="AJ3584">
        <v>88.301289028045304</v>
      </c>
      <c r="AK3584">
        <v>22.2963615803884</v>
      </c>
      <c r="AL3584">
        <v>94.6586571924163</v>
      </c>
      <c r="AM3584">
        <v>89.463569798310601</v>
      </c>
      <c r="AN3584">
        <v>0.99999993103277696</v>
      </c>
    </row>
    <row r="3585" spans="1:40" x14ac:dyDescent="0.25">
      <c r="A3585" t="str">
        <f>"20190303153838979"</f>
        <v>20190303153838979</v>
      </c>
      <c r="B3585" t="str">
        <f>"1551598718972380"</f>
        <v>1551598718972380</v>
      </c>
      <c r="C3585" t="s">
        <v>40</v>
      </c>
      <c r="D3585">
        <v>4.6063210000000003</v>
      </c>
      <c r="E3585">
        <v>0.50762529999999995</v>
      </c>
      <c r="F3585" t="s">
        <v>42</v>
      </c>
      <c r="G3585">
        <v>-492.31799999999998</v>
      </c>
      <c r="H3585" s="1">
        <v>-2.7735560000000001E-6</v>
      </c>
      <c r="I3585">
        <v>244.61670000000001</v>
      </c>
      <c r="J3585">
        <v>-492.76260000000002</v>
      </c>
      <c r="K3585">
        <v>1.1206700000000001</v>
      </c>
      <c r="L3585">
        <v>267.88440000000003</v>
      </c>
      <c r="M3585">
        <v>4.9525689999999997E-2</v>
      </c>
      <c r="N3585">
        <v>-1.108895E-2</v>
      </c>
      <c r="O3585">
        <v>-0.99871160000000003</v>
      </c>
      <c r="P3585">
        <v>3.9442209999999998E-2</v>
      </c>
      <c r="Q3585">
        <v>-9.1569150000000002E-2</v>
      </c>
      <c r="R3585">
        <v>-0.9950175</v>
      </c>
      <c r="S3585">
        <v>5.7739260000000001E-2</v>
      </c>
      <c r="T3585">
        <v>-0.14398729999999901</v>
      </c>
      <c r="U3585">
        <v>-2.9996640000000001</v>
      </c>
      <c r="V3585">
        <v>9.8842649999999997E-3</v>
      </c>
      <c r="W3585">
        <v>-8.0522170000000004E-2</v>
      </c>
      <c r="X3585">
        <v>0.99670380000000003</v>
      </c>
      <c r="Y3585">
        <v>3.0301249999999998E-2</v>
      </c>
      <c r="Z3585">
        <v>3.6768439999999999E-2</v>
      </c>
      <c r="AA3585">
        <v>0.99886430000000004</v>
      </c>
      <c r="AB3585">
        <v>15</v>
      </c>
      <c r="AC3585">
        <v>0.44459999999997901</v>
      </c>
      <c r="AD3585">
        <v>-1.120672773556</v>
      </c>
      <c r="AE3585">
        <v>-23.267700000000001</v>
      </c>
      <c r="AF3585">
        <v>0.706726188275145</v>
      </c>
      <c r="AG3585">
        <v>-1.120672773556</v>
      </c>
      <c r="AH3585">
        <v>23.207347238609099</v>
      </c>
      <c r="AI3585">
        <v>92.763361798336803</v>
      </c>
      <c r="AJ3585">
        <v>88.255728356306193</v>
      </c>
      <c r="AK3585">
        <v>23.245135732534699</v>
      </c>
      <c r="AL3585">
        <v>94.618580743569296</v>
      </c>
      <c r="AM3585">
        <v>89.431819058108701</v>
      </c>
      <c r="AN3585">
        <v>0.99999999174526899</v>
      </c>
    </row>
    <row r="3586" spans="1:40" x14ac:dyDescent="0.25">
      <c r="A3586" t="str">
        <f>"20190303153838993"</f>
        <v>20190303153838993</v>
      </c>
      <c r="B3586" t="str">
        <f>"1551598718982451"</f>
        <v>1551598718982451</v>
      </c>
      <c r="C3586" t="s">
        <v>40</v>
      </c>
      <c r="D3586">
        <v>4.6406830000000001</v>
      </c>
      <c r="E3586">
        <v>0.50776199999999905</v>
      </c>
      <c r="F3586" t="s">
        <v>42</v>
      </c>
      <c r="G3586">
        <v>-492.30329999999998</v>
      </c>
      <c r="H3586" s="1">
        <v>-2.400719E-6</v>
      </c>
      <c r="I3586">
        <v>243.7567</v>
      </c>
      <c r="J3586">
        <v>-492.75720000000001</v>
      </c>
      <c r="K3586">
        <v>1.120509</v>
      </c>
      <c r="L3586">
        <v>267.79430000000002</v>
      </c>
      <c r="M3586">
        <v>5.0235599999999998E-2</v>
      </c>
      <c r="N3586">
        <v>-1.056173E-2</v>
      </c>
      <c r="O3586">
        <v>-0.99868170000000001</v>
      </c>
      <c r="P3586">
        <v>3.949569E-2</v>
      </c>
      <c r="Q3586">
        <v>-9.0951169999999998E-2</v>
      </c>
      <c r="R3586">
        <v>-0.99507190000000001</v>
      </c>
      <c r="S3586">
        <v>5.7098389999999999E-2</v>
      </c>
      <c r="T3586">
        <v>-0.13933799999999999</v>
      </c>
      <c r="U3586">
        <v>-2.999908</v>
      </c>
      <c r="V3586">
        <v>1.0527409999999999E-2</v>
      </c>
      <c r="W3586">
        <v>-8.0431039999999995E-2</v>
      </c>
      <c r="X3586">
        <v>0.99670460000000005</v>
      </c>
      <c r="Y3586">
        <v>3.1226170000000001E-2</v>
      </c>
      <c r="Z3586">
        <v>3.5746189999999997E-2</v>
      </c>
      <c r="AA3586">
        <v>0.99887289999999995</v>
      </c>
      <c r="AB3586">
        <v>15</v>
      </c>
      <c r="AC3586">
        <v>0.453900000000032</v>
      </c>
      <c r="AD3586">
        <v>-1.120511400719</v>
      </c>
      <c r="AE3586">
        <v>-24.037600000000001</v>
      </c>
      <c r="AF3586">
        <v>0.75264870444389198</v>
      </c>
      <c r="AG3586">
        <v>-1.120511400719</v>
      </c>
      <c r="AH3586">
        <v>23.9779654156928</v>
      </c>
      <c r="AI3586">
        <v>92.674220492485901</v>
      </c>
      <c r="AJ3586">
        <v>88.202122703422702</v>
      </c>
      <c r="AK3586">
        <v>24.015929116892501</v>
      </c>
      <c r="AL3586">
        <v>94.613342262009596</v>
      </c>
      <c r="AM3586">
        <v>89.394852061975698</v>
      </c>
      <c r="AN3586">
        <v>1.00000001910897</v>
      </c>
    </row>
    <row r="3587" spans="1:40" x14ac:dyDescent="0.25">
      <c r="A3587" t="str">
        <f>"20190303153839007"</f>
        <v>20190303153839007</v>
      </c>
      <c r="B3587" t="str">
        <f>"1551598719001971"</f>
        <v>1551598719001971</v>
      </c>
      <c r="C3587" t="s">
        <v>40</v>
      </c>
      <c r="D3587">
        <v>4.6392530000000001</v>
      </c>
      <c r="E3587">
        <v>0.50807550000000001</v>
      </c>
      <c r="F3587" t="s">
        <v>42</v>
      </c>
      <c r="G3587">
        <v>-492.29230000000001</v>
      </c>
      <c r="H3587" s="1">
        <v>-2.1007489999999999E-6</v>
      </c>
      <c r="I3587">
        <v>243.0642</v>
      </c>
      <c r="J3587">
        <v>-492.75139999999999</v>
      </c>
      <c r="K3587">
        <v>1.1203339999999999</v>
      </c>
      <c r="L3587">
        <v>267.69439999999997</v>
      </c>
      <c r="M3587">
        <v>5.0865390000000003E-2</v>
      </c>
      <c r="N3587">
        <v>-9.9570370000000002E-3</v>
      </c>
      <c r="O3587">
        <v>-0.99865599999999999</v>
      </c>
      <c r="P3587">
        <v>3.9338129999999999E-2</v>
      </c>
      <c r="Q3587">
        <v>-9.0223419999999999E-2</v>
      </c>
      <c r="R3587">
        <v>-0.99514460000000005</v>
      </c>
      <c r="S3587">
        <v>5.6396479999999999E-2</v>
      </c>
      <c r="T3587">
        <v>-0.13593749999999999</v>
      </c>
      <c r="U3587">
        <v>-3.0001829999999998</v>
      </c>
      <c r="V3587">
        <v>1.130108E-2</v>
      </c>
      <c r="W3587">
        <v>-8.0307749999999997E-2</v>
      </c>
      <c r="X3587">
        <v>0.99670610000000004</v>
      </c>
      <c r="Y3587">
        <v>3.2091719999999997E-2</v>
      </c>
      <c r="Z3587">
        <v>3.521548E-2</v>
      </c>
      <c r="AA3587">
        <v>0.99886439999999999</v>
      </c>
      <c r="AB3587">
        <v>15</v>
      </c>
      <c r="AC3587">
        <v>0.45909999999997803</v>
      </c>
      <c r="AD3587">
        <v>-1.120336100749</v>
      </c>
      <c r="AE3587">
        <v>-24.630199999999899</v>
      </c>
      <c r="AF3587">
        <v>0.79274143111741002</v>
      </c>
      <c r="AG3587">
        <v>-1.120336100749</v>
      </c>
      <c r="AH3587">
        <v>24.570847493081899</v>
      </c>
      <c r="AI3587">
        <v>92.609303063750403</v>
      </c>
      <c r="AJ3587">
        <v>88.152078876699406</v>
      </c>
      <c r="AK3587">
        <v>24.609147455439</v>
      </c>
      <c r="AL3587">
        <v>94.606255200290093</v>
      </c>
      <c r="AM3587">
        <v>89.350383786775495</v>
      </c>
      <c r="AN3587">
        <v>1.00000004944821</v>
      </c>
    </row>
    <row r="3588" spans="1:40" x14ac:dyDescent="0.25">
      <c r="A3588" t="str">
        <f>"20190303153839023"</f>
        <v>20190303153839023</v>
      </c>
      <c r="B3588" t="str">
        <f>"1551598719011731"</f>
        <v>1551598719011731</v>
      </c>
      <c r="C3588" t="s">
        <v>40</v>
      </c>
      <c r="D3588">
        <v>4.6047320000000003</v>
      </c>
      <c r="E3588">
        <v>0.50823200000000002</v>
      </c>
      <c r="F3588" t="s">
        <v>42</v>
      </c>
      <c r="G3588">
        <v>-492.29700000000003</v>
      </c>
      <c r="H3588" s="1">
        <v>-1.728583E-6</v>
      </c>
      <c r="I3588">
        <v>242.19380000000001</v>
      </c>
      <c r="J3588">
        <v>-492.74560000000002</v>
      </c>
      <c r="K3588">
        <v>1.1201700000000001</v>
      </c>
      <c r="L3588">
        <v>267.59300000000002</v>
      </c>
      <c r="M3588">
        <v>5.132515E-2</v>
      </c>
      <c r="N3588">
        <v>-9.3302030000000005E-3</v>
      </c>
      <c r="O3588">
        <v>-0.99863849999999998</v>
      </c>
      <c r="P3588">
        <v>3.747176E-2</v>
      </c>
      <c r="Q3588">
        <v>-8.9958350000000006E-2</v>
      </c>
      <c r="R3588">
        <v>-0.99524040000000003</v>
      </c>
      <c r="S3588">
        <v>5.3466800000000002E-2</v>
      </c>
      <c r="T3588">
        <v>-0.131827799999999</v>
      </c>
      <c r="U3588">
        <v>-3.00061</v>
      </c>
      <c r="V3588">
        <v>1.361336E-2</v>
      </c>
      <c r="W3588">
        <v>-8.0670950000000005E-2</v>
      </c>
      <c r="X3588">
        <v>0.99664779999999997</v>
      </c>
      <c r="Y3588">
        <v>3.3529169999999997E-2</v>
      </c>
      <c r="Z3588">
        <v>3.4469939999999998E-2</v>
      </c>
      <c r="AA3588">
        <v>0.99884309999999998</v>
      </c>
      <c r="AB3588">
        <v>15</v>
      </c>
      <c r="AC3588">
        <v>0.44860000000005501</v>
      </c>
      <c r="AD3588">
        <v>-1.120171728583</v>
      </c>
      <c r="AE3588">
        <v>-25.3992</v>
      </c>
      <c r="AF3588">
        <v>0.85400512925486205</v>
      </c>
      <c r="AG3588">
        <v>-1.120171728583</v>
      </c>
      <c r="AH3588">
        <v>25.339475311297001</v>
      </c>
      <c r="AI3588">
        <v>92.5297684362978</v>
      </c>
      <c r="AJ3588">
        <v>88.069716308204605</v>
      </c>
      <c r="AK3588">
        <v>25.378595676556699</v>
      </c>
      <c r="AL3588">
        <v>94.627133079515204</v>
      </c>
      <c r="AM3588">
        <v>89.217437122363805</v>
      </c>
      <c r="AN3588">
        <v>0.999999981494615</v>
      </c>
    </row>
    <row r="3589" spans="1:40" x14ac:dyDescent="0.25">
      <c r="A3589" t="str">
        <f>"20190303153839037"</f>
        <v>20190303153839037</v>
      </c>
      <c r="B3589" t="str">
        <f>"1551598719032226"</f>
        <v>1551598719032226</v>
      </c>
      <c r="C3589" t="s">
        <v>40</v>
      </c>
      <c r="D3589">
        <v>4.6463190000000001</v>
      </c>
      <c r="E3589">
        <v>0.50851519999999995</v>
      </c>
      <c r="F3589" t="s">
        <v>42</v>
      </c>
      <c r="G3589">
        <v>-492.33819999999997</v>
      </c>
      <c r="H3589" s="1">
        <v>-1.53317E-6</v>
      </c>
      <c r="I3589">
        <v>241.71279999999999</v>
      </c>
      <c r="J3589">
        <v>-492.74040000000002</v>
      </c>
      <c r="K3589">
        <v>1.12002</v>
      </c>
      <c r="L3589">
        <v>267.49950000000001</v>
      </c>
      <c r="M3589">
        <v>5.1634199999999998E-2</v>
      </c>
      <c r="N3589">
        <v>-8.7489750000000008E-3</v>
      </c>
      <c r="O3589">
        <v>-0.99862810000000002</v>
      </c>
      <c r="P3589">
        <v>3.6151790000000003E-2</v>
      </c>
      <c r="Q3589">
        <v>-8.9430040000000002E-2</v>
      </c>
      <c r="R3589">
        <v>-0.99533749999999999</v>
      </c>
      <c r="S3589">
        <v>4.7241209999999999E-2</v>
      </c>
      <c r="T3589">
        <v>-0.12988269999999999</v>
      </c>
      <c r="U3589">
        <v>-3.0007929999999998</v>
      </c>
      <c r="V3589">
        <v>1.5231150000000001E-2</v>
      </c>
      <c r="W3589">
        <v>-8.0725190000000002E-2</v>
      </c>
      <c r="X3589">
        <v>0.99661999999999995</v>
      </c>
      <c r="Y3589">
        <v>3.5910940000000002E-2</v>
      </c>
      <c r="Z3589">
        <v>3.4400310000000003E-2</v>
      </c>
      <c r="AA3589">
        <v>0.9987627</v>
      </c>
      <c r="AB3589">
        <v>15</v>
      </c>
      <c r="AC3589">
        <v>0.40220000000005002</v>
      </c>
      <c r="AD3589">
        <v>-1.1200215331700001</v>
      </c>
      <c r="AE3589">
        <v>-25.7867</v>
      </c>
      <c r="AF3589">
        <v>0.92811218293811504</v>
      </c>
      <c r="AG3589">
        <v>-1.1200215331700001</v>
      </c>
      <c r="AH3589">
        <v>25.7245496194572</v>
      </c>
      <c r="AI3589">
        <v>92.491408318300003</v>
      </c>
      <c r="AJ3589">
        <v>87.933730361913504</v>
      </c>
      <c r="AK3589">
        <v>25.7656417265862</v>
      </c>
      <c r="AL3589">
        <v>94.630250958280996</v>
      </c>
      <c r="AM3589">
        <v>89.124427886910794</v>
      </c>
      <c r="AN3589">
        <v>0.99999998431542902</v>
      </c>
    </row>
    <row r="3590" spans="1:40" x14ac:dyDescent="0.25">
      <c r="A3590" t="str">
        <f>"20190303153839051"</f>
        <v>20190303153839051</v>
      </c>
      <c r="B3590" t="str">
        <f>"1551598719041988"</f>
        <v>1551598719041988</v>
      </c>
      <c r="C3590" t="s">
        <v>40</v>
      </c>
      <c r="D3590">
        <v>4.5867420000000001</v>
      </c>
      <c r="E3590">
        <v>0.5085925</v>
      </c>
      <c r="F3590" t="s">
        <v>42</v>
      </c>
      <c r="G3590">
        <v>-492.3836</v>
      </c>
      <c r="H3590" s="1">
        <v>-1.254836E-6</v>
      </c>
      <c r="I3590">
        <v>241.03579999999999</v>
      </c>
      <c r="J3590">
        <v>-492.73489999999998</v>
      </c>
      <c r="K3590">
        <v>1.1198650000000001</v>
      </c>
      <c r="L3590">
        <v>267.39830000000001</v>
      </c>
      <c r="M3590">
        <v>5.1851139999999997E-2</v>
      </c>
      <c r="N3590">
        <v>-8.1196440000000005E-3</v>
      </c>
      <c r="O3590">
        <v>-0.99862209999999996</v>
      </c>
      <c r="P3590">
        <v>3.4691590000000001E-2</v>
      </c>
      <c r="Q3590">
        <v>-8.8445789999999996E-2</v>
      </c>
      <c r="R3590">
        <v>-0.9954771</v>
      </c>
      <c r="S3590">
        <v>4.0466309999999998E-2</v>
      </c>
      <c r="T3590">
        <v>-0.12701789999999999</v>
      </c>
      <c r="U3590">
        <v>-3.00116</v>
      </c>
      <c r="V3590">
        <v>1.689885E-2</v>
      </c>
      <c r="W3590">
        <v>-8.0371929999999994E-2</v>
      </c>
      <c r="X3590">
        <v>0.99662169999999894</v>
      </c>
      <c r="Y3590">
        <v>3.8383899999999999E-2</v>
      </c>
      <c r="Z3590">
        <v>3.4071360000000002E-2</v>
      </c>
      <c r="AA3590">
        <v>0.99868199999999996</v>
      </c>
      <c r="AB3590">
        <v>15</v>
      </c>
      <c r="AC3590">
        <v>0.35129999999998002</v>
      </c>
      <c r="AD3590">
        <v>-1.1198662548360001</v>
      </c>
      <c r="AE3590">
        <v>-26.362500000000001</v>
      </c>
      <c r="AF3590">
        <v>1.0143129307782801</v>
      </c>
      <c r="AG3590">
        <v>-1.1198662548360001</v>
      </c>
      <c r="AH3590">
        <v>26.297805193043601</v>
      </c>
      <c r="AI3590">
        <v>92.436601816095404</v>
      </c>
      <c r="AJ3590">
        <v>87.791182330525302</v>
      </c>
      <c r="AK3590">
        <v>26.341174786283499</v>
      </c>
      <c r="AL3590">
        <v>94.609944524795395</v>
      </c>
      <c r="AM3590">
        <v>89.028578238580295</v>
      </c>
      <c r="AN3590">
        <v>1.0000000155870601</v>
      </c>
    </row>
    <row r="3591" spans="1:40" x14ac:dyDescent="0.25">
      <c r="A3591" t="str">
        <f>"20190303153839064"</f>
        <v>20190303153839064</v>
      </c>
      <c r="B3591" t="str">
        <f>"1551598719051747"</f>
        <v>1551598719051747</v>
      </c>
      <c r="C3591" t="s">
        <v>40</v>
      </c>
      <c r="D3591">
        <v>4.6379609999999998</v>
      </c>
      <c r="E3591">
        <v>0.50874410000000003</v>
      </c>
      <c r="F3591" t="s">
        <v>42</v>
      </c>
      <c r="G3591">
        <v>-492.41199999999998</v>
      </c>
      <c r="H3591" s="1">
        <v>-9.2777259999999996E-7</v>
      </c>
      <c r="I3591">
        <v>240.25579999999999</v>
      </c>
      <c r="J3591">
        <v>-492.72969999999998</v>
      </c>
      <c r="K3591">
        <v>1.119729</v>
      </c>
      <c r="L3591">
        <v>267.30220000000003</v>
      </c>
      <c r="M3591">
        <v>5.190736E-2</v>
      </c>
      <c r="N3591">
        <v>-7.5294749999999999E-3</v>
      </c>
      <c r="O3591">
        <v>-0.9986235</v>
      </c>
      <c r="P3591">
        <v>3.1348899999999999E-2</v>
      </c>
      <c r="Q3591">
        <v>-8.6896230000000005E-2</v>
      </c>
      <c r="R3591">
        <v>-0.9957239</v>
      </c>
      <c r="S3591">
        <v>3.5705569999999999E-2</v>
      </c>
      <c r="T3591">
        <v>-0.1238317</v>
      </c>
      <c r="U3591">
        <v>-3.0013429999999999</v>
      </c>
      <c r="V3591">
        <v>2.029394E-2</v>
      </c>
      <c r="W3591">
        <v>-7.9416459999999994E-2</v>
      </c>
      <c r="X3591">
        <v>0.99663489999999999</v>
      </c>
      <c r="Y3591">
        <v>4.0024860000000002E-2</v>
      </c>
      <c r="Z3591">
        <v>3.3600489999999997E-2</v>
      </c>
      <c r="AA3591">
        <v>0.99863360000000001</v>
      </c>
      <c r="AB3591">
        <v>15</v>
      </c>
      <c r="AC3591">
        <v>0.31770000000000198</v>
      </c>
      <c r="AD3591">
        <v>-1.1197299277726001</v>
      </c>
      <c r="AE3591">
        <v>-27.046399999999998</v>
      </c>
      <c r="AF3591">
        <v>1.0848162552710601</v>
      </c>
      <c r="AG3591">
        <v>-1.1197299277726001</v>
      </c>
      <c r="AH3591">
        <v>26.980190901845599</v>
      </c>
      <c r="AI3591">
        <v>92.374604961308293</v>
      </c>
      <c r="AJ3591">
        <v>87.697498484727404</v>
      </c>
      <c r="AK3591">
        <v>27.025197918218598</v>
      </c>
      <c r="AL3591">
        <v>94.555024768634894</v>
      </c>
      <c r="AM3591">
        <v>88.8334780900624</v>
      </c>
      <c r="AN3591">
        <v>0.99999997100883198</v>
      </c>
    </row>
    <row r="3592" spans="1:40" x14ac:dyDescent="0.25">
      <c r="A3592" t="str">
        <f>"20190303153839078"</f>
        <v>20190303153839078</v>
      </c>
      <c r="B3592" t="str">
        <f>"1551598719072243"</f>
        <v>1551598719072243</v>
      </c>
      <c r="C3592" t="s">
        <v>40</v>
      </c>
      <c r="D3592">
        <v>4.6745549999999998</v>
      </c>
      <c r="E3592">
        <v>0.50901059999999998</v>
      </c>
      <c r="F3592" t="s">
        <v>42</v>
      </c>
      <c r="G3592">
        <v>-492.4973</v>
      </c>
      <c r="H3592" s="1">
        <v>-4.5105880000000002E-6</v>
      </c>
      <c r="I3592">
        <v>238.93969999999999</v>
      </c>
      <c r="J3592">
        <v>-492.72519999999997</v>
      </c>
      <c r="K3592">
        <v>1.1196159999999999</v>
      </c>
      <c r="L3592">
        <v>267.21660000000003</v>
      </c>
      <c r="M3592">
        <v>5.1866580000000002E-2</v>
      </c>
      <c r="N3592">
        <v>-7.0139069999999998E-3</v>
      </c>
      <c r="O3592">
        <v>-0.99862960000000001</v>
      </c>
      <c r="P3592">
        <v>2.9727380000000001E-2</v>
      </c>
      <c r="Q3592">
        <v>-8.5726259999999999E-2</v>
      </c>
      <c r="R3592">
        <v>-0.99587539999999997</v>
      </c>
      <c r="S3592">
        <v>2.4597170000000002E-2</v>
      </c>
      <c r="T3592">
        <v>-0.1185076</v>
      </c>
      <c r="U3592">
        <v>-3.00177</v>
      </c>
      <c r="V3592">
        <v>2.18707E-2</v>
      </c>
      <c r="W3592">
        <v>-7.8764429999999996E-2</v>
      </c>
      <c r="X3592">
        <v>0.99665329999999996</v>
      </c>
      <c r="Y3592">
        <v>4.3680330000000003E-2</v>
      </c>
      <c r="Z3592">
        <v>3.2341490000000001E-2</v>
      </c>
      <c r="AA3592">
        <v>0.99852189999999996</v>
      </c>
      <c r="AB3592">
        <v>15</v>
      </c>
      <c r="AC3592">
        <v>0.22789999999997601</v>
      </c>
      <c r="AD3592">
        <v>-1.1196205105879999</v>
      </c>
      <c r="AE3592">
        <v>-28.276900000000001</v>
      </c>
      <c r="AF3592">
        <v>1.23712924218721</v>
      </c>
      <c r="AG3592">
        <v>-1.1196205105879999</v>
      </c>
      <c r="AH3592">
        <v>28.206440863359798</v>
      </c>
      <c r="AI3592">
        <v>92.270912334976202</v>
      </c>
      <c r="AJ3592">
        <v>87.488627319781202</v>
      </c>
      <c r="AK3592">
        <v>28.255748884568899</v>
      </c>
      <c r="AL3592">
        <v>94.517548755913694</v>
      </c>
      <c r="AM3592">
        <v>88.742895125304003</v>
      </c>
      <c r="AN3592">
        <v>0.999999981676302</v>
      </c>
    </row>
    <row r="3593" spans="1:40" x14ac:dyDescent="0.25">
      <c r="A3593" t="str">
        <f>"20190303153839089"</f>
        <v>20190303153839089</v>
      </c>
      <c r="B3593" t="str">
        <f>"1551598719082003"</f>
        <v>1551598719082003</v>
      </c>
      <c r="C3593" t="s">
        <v>40</v>
      </c>
      <c r="D3593">
        <v>4.6970999999999998</v>
      </c>
      <c r="E3593">
        <v>0.50914190000000004</v>
      </c>
      <c r="F3593" t="s">
        <v>42</v>
      </c>
      <c r="G3593">
        <v>-492.55500000000001</v>
      </c>
      <c r="H3593" s="1">
        <v>-4.1125199999999997E-6</v>
      </c>
      <c r="I3593">
        <v>237.7398</v>
      </c>
      <c r="J3593">
        <v>-492.7208</v>
      </c>
      <c r="K3593">
        <v>1.1195109999999999</v>
      </c>
      <c r="L3593">
        <v>267.13130000000001</v>
      </c>
      <c r="M3593">
        <v>5.1778009999999999E-2</v>
      </c>
      <c r="N3593">
        <v>-6.5063930000000001E-3</v>
      </c>
      <c r="O3593">
        <v>-0.99863760000000001</v>
      </c>
      <c r="P3593">
        <v>2.825186E-2</v>
      </c>
      <c r="Q3593">
        <v>-8.4744219999999995E-2</v>
      </c>
      <c r="R3593">
        <v>-0.99600259999999996</v>
      </c>
      <c r="S3593">
        <v>1.7333979999999999E-2</v>
      </c>
      <c r="T3593">
        <v>-0.11402950000000001</v>
      </c>
      <c r="U3593">
        <v>-3.0021059999999999</v>
      </c>
      <c r="V3593">
        <v>2.3253200000000002E-2</v>
      </c>
      <c r="W3593">
        <v>-7.8292440000000005E-2</v>
      </c>
      <c r="X3593">
        <v>0.99665919999999997</v>
      </c>
      <c r="Y3593">
        <v>4.6008300000000002E-2</v>
      </c>
      <c r="Z3593">
        <v>3.135752E-2</v>
      </c>
      <c r="AA3593">
        <v>0.99844880000000003</v>
      </c>
      <c r="AB3593">
        <v>16</v>
      </c>
      <c r="AC3593">
        <v>0.16579999999999001</v>
      </c>
      <c r="AD3593">
        <v>-1.11951511252</v>
      </c>
      <c r="AE3593">
        <v>-29.391500000000001</v>
      </c>
      <c r="AF3593">
        <v>1.3543229073716501</v>
      </c>
      <c r="AG3593">
        <v>-1.11951511252</v>
      </c>
      <c r="AH3593">
        <v>29.318123874280801</v>
      </c>
      <c r="AI3593">
        <v>92.184454701155005</v>
      </c>
      <c r="AJ3593">
        <v>87.355156042868003</v>
      </c>
      <c r="AK3593">
        <v>29.370731896435</v>
      </c>
      <c r="AL3593">
        <v>94.490421915303401</v>
      </c>
      <c r="AM3593">
        <v>88.663466353571494</v>
      </c>
      <c r="AN3593">
        <v>0.99999998920801603</v>
      </c>
    </row>
    <row r="3594" spans="1:40" x14ac:dyDescent="0.25">
      <c r="A3594" t="str">
        <f>"20190303153839101"</f>
        <v>20190303153839101</v>
      </c>
      <c r="B3594" t="str">
        <f>"1551598719091763"</f>
        <v>1551598719091763</v>
      </c>
      <c r="C3594" t="s">
        <v>40</v>
      </c>
      <c r="D3594">
        <v>4.6946349999999999</v>
      </c>
      <c r="E3594">
        <v>0.50926300000000002</v>
      </c>
      <c r="F3594" t="s">
        <v>42</v>
      </c>
      <c r="G3594">
        <v>-492.60210000000001</v>
      </c>
      <c r="H3594" s="1">
        <v>-3.7571169999999998E-6</v>
      </c>
      <c r="I3594">
        <v>236.73310000000001</v>
      </c>
      <c r="J3594">
        <v>-492.7165</v>
      </c>
      <c r="K3594">
        <v>1.1194090000000001</v>
      </c>
      <c r="L3594">
        <v>267.0453</v>
      </c>
      <c r="M3594">
        <v>5.155175E-2</v>
      </c>
      <c r="N3594">
        <v>-6.0120829999999997E-3</v>
      </c>
      <c r="O3594">
        <v>-0.99865230000000005</v>
      </c>
      <c r="P3594">
        <v>2.6974020000000001E-2</v>
      </c>
      <c r="Q3594">
        <v>-8.3583560000000001E-2</v>
      </c>
      <c r="R3594">
        <v>-0.99613600000000002</v>
      </c>
      <c r="S3594">
        <v>1.171875E-2</v>
      </c>
      <c r="T3594">
        <v>-0.11056829999999999</v>
      </c>
      <c r="U3594">
        <v>-3.0022579999999999</v>
      </c>
      <c r="V3594">
        <v>2.4302009999999999E-2</v>
      </c>
      <c r="W3594">
        <v>-7.7628379999999997E-2</v>
      </c>
      <c r="X3594">
        <v>0.99668619999999997</v>
      </c>
      <c r="Y3594">
        <v>4.7649869999999997E-2</v>
      </c>
      <c r="Z3594">
        <v>3.070092E-2</v>
      </c>
      <c r="AA3594">
        <v>0.99839219999999895</v>
      </c>
      <c r="AB3594">
        <v>16</v>
      </c>
      <c r="AC3594">
        <v>0.114399999999989</v>
      </c>
      <c r="AD3594">
        <v>-1.1194127571170001</v>
      </c>
      <c r="AE3594">
        <v>-30.312199999999901</v>
      </c>
      <c r="AF3594">
        <v>1.44645458220984</v>
      </c>
      <c r="AG3594">
        <v>-1.1194127571170001</v>
      </c>
      <c r="AH3594">
        <v>30.236555242489199</v>
      </c>
      <c r="AI3594">
        <v>92.117806899407597</v>
      </c>
      <c r="AJ3594">
        <v>87.261175775386505</v>
      </c>
      <c r="AK3594">
        <v>30.291823793084699</v>
      </c>
      <c r="AL3594">
        <v>94.452257577222397</v>
      </c>
      <c r="AM3594">
        <v>88.603244664817794</v>
      </c>
      <c r="AN3594">
        <v>1.0000000671709499</v>
      </c>
    </row>
    <row r="3595" spans="1:40" x14ac:dyDescent="0.25">
      <c r="A3595" t="str">
        <f>"20190303153839113"</f>
        <v>20190303153839113</v>
      </c>
      <c r="B3595" t="str">
        <f>"1551598719101524"</f>
        <v>1551598719101524</v>
      </c>
      <c r="C3595" t="s">
        <v>40</v>
      </c>
      <c r="D3595">
        <v>4.6774149999999999</v>
      </c>
      <c r="E3595">
        <v>0.50936939999999997</v>
      </c>
      <c r="F3595" t="s">
        <v>42</v>
      </c>
      <c r="G3595">
        <v>-492.64060000000001</v>
      </c>
      <c r="H3595" s="1">
        <v>-3.2602210000000001E-6</v>
      </c>
      <c r="I3595">
        <v>235.55099999999999</v>
      </c>
      <c r="J3595">
        <v>-492.7124</v>
      </c>
      <c r="K3595">
        <v>1.1193120000000001</v>
      </c>
      <c r="L3595">
        <v>266.96249999999998</v>
      </c>
      <c r="M3595">
        <v>5.1294279999999998E-2</v>
      </c>
      <c r="N3595">
        <v>-5.5421719999999997E-3</v>
      </c>
      <c r="O3595">
        <v>-0.99866829999999995</v>
      </c>
      <c r="P3595">
        <v>2.5702590000000001E-2</v>
      </c>
      <c r="Q3595">
        <v>-8.2740900000000006E-2</v>
      </c>
      <c r="R3595">
        <v>-0.99623969999999995</v>
      </c>
      <c r="S3595">
        <v>7.2326659999999996E-3</v>
      </c>
      <c r="T3595">
        <v>-0.1067176</v>
      </c>
      <c r="U3595">
        <v>-3.002472</v>
      </c>
      <c r="V3595">
        <v>2.5312009999999999E-2</v>
      </c>
      <c r="W3595">
        <v>-7.7258149999999998E-2</v>
      </c>
      <c r="X3595">
        <v>0.99668970000000001</v>
      </c>
      <c r="Y3595">
        <v>4.888468E-2</v>
      </c>
      <c r="Z3595">
        <v>2.9890529999999998E-2</v>
      </c>
      <c r="AA3595">
        <v>0.9983571</v>
      </c>
      <c r="AB3595">
        <v>16</v>
      </c>
      <c r="AC3595">
        <v>7.1799999999996006E-2</v>
      </c>
      <c r="AD3595">
        <v>-1.1193152602209999</v>
      </c>
      <c r="AE3595">
        <v>-31.411499999999901</v>
      </c>
      <c r="AF3595">
        <v>1.5375969933278499</v>
      </c>
      <c r="AG3595">
        <v>-1.1193152602209999</v>
      </c>
      <c r="AH3595">
        <v>31.334044012297699</v>
      </c>
      <c r="AI3595">
        <v>92.043394253173204</v>
      </c>
      <c r="AJ3595">
        <v>87.190684745691399</v>
      </c>
      <c r="AK3595">
        <v>31.3917088628552</v>
      </c>
      <c r="AL3595">
        <v>94.430981633392705</v>
      </c>
      <c r="AM3595">
        <v>88.545224581734004</v>
      </c>
      <c r="AN3595">
        <v>0.99999993883887395</v>
      </c>
    </row>
    <row r="3596" spans="1:40" x14ac:dyDescent="0.25">
      <c r="A3596" t="str">
        <f>"20190303153839127"</f>
        <v>20190303153839127</v>
      </c>
      <c r="B3596" t="str">
        <f>"1551598719122019"</f>
        <v>1551598719122019</v>
      </c>
      <c r="C3596" t="s">
        <v>40</v>
      </c>
      <c r="D3596">
        <v>4.6890169999999998</v>
      </c>
      <c r="E3596">
        <v>0.50954709999999903</v>
      </c>
      <c r="F3596" t="s">
        <v>42</v>
      </c>
      <c r="G3596">
        <v>-492.68610000000001</v>
      </c>
      <c r="H3596" s="1">
        <v>-2.8524579999999999E-6</v>
      </c>
      <c r="I3596">
        <v>234.57230000000001</v>
      </c>
      <c r="J3596">
        <v>-492.70729999999998</v>
      </c>
      <c r="K3596">
        <v>1.119197</v>
      </c>
      <c r="L3596">
        <v>266.85849999999999</v>
      </c>
      <c r="M3596">
        <v>5.0870079999999998E-2</v>
      </c>
      <c r="N3596">
        <v>-4.9700409999999997E-3</v>
      </c>
      <c r="O3596">
        <v>-0.99869300000000005</v>
      </c>
      <c r="P3596">
        <v>2.4453949999999999E-2</v>
      </c>
      <c r="Q3596">
        <v>-8.1775840000000002E-2</v>
      </c>
      <c r="R3596">
        <v>-0.99635110000000005</v>
      </c>
      <c r="S3596">
        <v>2.4414060000000001E-3</v>
      </c>
      <c r="T3596">
        <v>-0.1037624</v>
      </c>
      <c r="U3596">
        <v>-3.0026250000000001</v>
      </c>
      <c r="V3596">
        <v>2.6131769999999999E-2</v>
      </c>
      <c r="W3596">
        <v>-7.6867829999999998E-2</v>
      </c>
      <c r="X3596">
        <v>0.9966988</v>
      </c>
      <c r="Y3596">
        <v>5.0054069999999999E-2</v>
      </c>
      <c r="Z3596">
        <v>2.9480510000000001E-2</v>
      </c>
      <c r="AA3596">
        <v>0.99831130000000001</v>
      </c>
      <c r="AB3596">
        <v>16</v>
      </c>
      <c r="AC3596">
        <v>2.1199999999964799E-2</v>
      </c>
      <c r="AD3596">
        <v>-1.119199852458</v>
      </c>
      <c r="AE3596">
        <v>-32.286199999999901</v>
      </c>
      <c r="AF3596">
        <v>1.61930331700354</v>
      </c>
      <c r="AG3596">
        <v>-1.119199852458</v>
      </c>
      <c r="AH3596">
        <v>32.206774263002202</v>
      </c>
      <c r="AI3596">
        <v>91.987744340115</v>
      </c>
      <c r="AJ3596">
        <v>87.121686755498104</v>
      </c>
      <c r="AK3596">
        <v>32.266872485107399</v>
      </c>
      <c r="AL3596">
        <v>94.408550902515003</v>
      </c>
      <c r="AM3596">
        <v>88.498144870036995</v>
      </c>
      <c r="AN3596">
        <v>1.00000001530684</v>
      </c>
    </row>
    <row r="3597" spans="1:40" x14ac:dyDescent="0.25">
      <c r="A3597" t="str">
        <f>"20190303153839144"</f>
        <v>20190303153839144</v>
      </c>
      <c r="B3597" t="str">
        <f>"1551598719131779"</f>
        <v>1551598719131779</v>
      </c>
      <c r="C3597" t="s">
        <v>40</v>
      </c>
      <c r="D3597">
        <v>4.670547</v>
      </c>
      <c r="E3597">
        <v>0.5096543</v>
      </c>
      <c r="F3597" t="s">
        <v>42</v>
      </c>
      <c r="G3597">
        <v>-492.73989999999998</v>
      </c>
      <c r="H3597" s="1">
        <v>-2.4038350000000001E-6</v>
      </c>
      <c r="I3597">
        <v>233.4931</v>
      </c>
      <c r="J3597">
        <v>-492.70150000000001</v>
      </c>
      <c r="K3597">
        <v>1.1190629999999999</v>
      </c>
      <c r="L3597">
        <v>266.73239999999998</v>
      </c>
      <c r="M3597">
        <v>5.0208709999999997E-2</v>
      </c>
      <c r="N3597">
        <v>-4.3102660000000001E-3</v>
      </c>
      <c r="O3597">
        <v>-0.9987298</v>
      </c>
      <c r="P3597">
        <v>2.3351670000000001E-2</v>
      </c>
      <c r="Q3597">
        <v>-7.9760129999999999E-2</v>
      </c>
      <c r="R3597">
        <v>-0.99654069999999995</v>
      </c>
      <c r="S3597">
        <v>-2.9296880000000002E-3</v>
      </c>
      <c r="T3597">
        <v>-0.1007255</v>
      </c>
      <c r="U3597">
        <v>-3.0028079999999999</v>
      </c>
      <c r="V3597">
        <v>2.6572780000000001E-2</v>
      </c>
      <c r="W3597">
        <v>-7.5513979999999994E-2</v>
      </c>
      <c r="X3597">
        <v>0.99679059999999997</v>
      </c>
      <c r="Y3597">
        <v>5.1178950000000001E-2</v>
      </c>
      <c r="Z3597">
        <v>2.9131290000000001E-2</v>
      </c>
      <c r="AA3597">
        <v>0.99826459999999995</v>
      </c>
      <c r="AB3597">
        <v>16</v>
      </c>
      <c r="AC3597">
        <v>-3.8399999999967301E-2</v>
      </c>
      <c r="AD3597">
        <v>-1.1190654038350001</v>
      </c>
      <c r="AE3597">
        <v>-33.239299999999901</v>
      </c>
      <c r="AF3597">
        <v>1.7053359229360501</v>
      </c>
      <c r="AG3597">
        <v>-1.1190654038350001</v>
      </c>
      <c r="AH3597">
        <v>33.157864912905701</v>
      </c>
      <c r="AI3597">
        <v>91.930427712739899</v>
      </c>
      <c r="AJ3597">
        <v>87.055825602563004</v>
      </c>
      <c r="AK3597">
        <v>33.220543095660197</v>
      </c>
      <c r="AL3597">
        <v>94.330754995510404</v>
      </c>
      <c r="AM3597">
        <v>88.472951458174705</v>
      </c>
      <c r="AN3597">
        <v>0.99999998703036397</v>
      </c>
    </row>
    <row r="3598" spans="1:40" x14ac:dyDescent="0.25">
      <c r="A3598" t="str">
        <f>"20190303153839159"</f>
        <v>20190303153839159</v>
      </c>
      <c r="B3598" t="str">
        <f>"1551598719152274"</f>
        <v>1551598719152274</v>
      </c>
      <c r="C3598" t="s">
        <v>40</v>
      </c>
      <c r="D3598">
        <v>4.6816040000000001</v>
      </c>
      <c r="E3598">
        <v>0.50987950000000004</v>
      </c>
      <c r="F3598" t="s">
        <v>42</v>
      </c>
      <c r="G3598">
        <v>-492.77940000000001</v>
      </c>
      <c r="H3598" s="1">
        <v>-1.443454E-6</v>
      </c>
      <c r="I3598">
        <v>231.22989999999999</v>
      </c>
      <c r="J3598">
        <v>-492.69659999999999</v>
      </c>
      <c r="K3598">
        <v>1.118957</v>
      </c>
      <c r="L3598">
        <v>266.62380000000002</v>
      </c>
      <c r="M3598">
        <v>4.9538770000000003E-2</v>
      </c>
      <c r="N3598">
        <v>-3.7711519999999998E-3</v>
      </c>
      <c r="O3598">
        <v>-0.99876529999999997</v>
      </c>
      <c r="P3598">
        <v>2.2564130000000002E-2</v>
      </c>
      <c r="Q3598">
        <v>-7.8775300000000006E-2</v>
      </c>
      <c r="R3598">
        <v>-0.9966372</v>
      </c>
      <c r="S3598">
        <v>-6.5917969999999999E-3</v>
      </c>
      <c r="T3598">
        <v>-9.4657420000000006E-2</v>
      </c>
      <c r="U3598">
        <v>-3.0030209999999999</v>
      </c>
      <c r="V3598">
        <v>2.6686479999999999E-2</v>
      </c>
      <c r="W3598">
        <v>-7.5070040000000005E-2</v>
      </c>
      <c r="X3598">
        <v>0.99682110000000002</v>
      </c>
      <c r="Y3598">
        <v>5.1727049999999997E-2</v>
      </c>
      <c r="Z3598">
        <v>2.7656239999999999E-2</v>
      </c>
      <c r="AA3598">
        <v>0.99827829999999995</v>
      </c>
      <c r="AB3598">
        <v>16</v>
      </c>
      <c r="AC3598">
        <v>-8.2800000000020094E-2</v>
      </c>
      <c r="AD3598">
        <v>-1.1189584434540001</v>
      </c>
      <c r="AE3598">
        <v>-35.393900000000002</v>
      </c>
      <c r="AF3598">
        <v>1.8342474235073101</v>
      </c>
      <c r="AG3598">
        <v>-1.1189584434540001</v>
      </c>
      <c r="AH3598">
        <v>35.311048733368402</v>
      </c>
      <c r="AI3598">
        <v>91.812574702839001</v>
      </c>
      <c r="AJ3598">
        <v>87.026419041909406</v>
      </c>
      <c r="AK3598">
        <v>35.376357843327199</v>
      </c>
      <c r="AL3598">
        <v>94.305246679465697</v>
      </c>
      <c r="AM3598">
        <v>88.466467515065006</v>
      </c>
      <c r="AN3598">
        <v>0.99999999226280001</v>
      </c>
    </row>
    <row r="3599" spans="1:40" x14ac:dyDescent="0.25">
      <c r="A3599" t="str">
        <f>"20190303153839171"</f>
        <v>20190303153839171</v>
      </c>
      <c r="B3599" t="str">
        <f>"1551598719162035"</f>
        <v>1551598719162035</v>
      </c>
      <c r="C3599" t="s">
        <v>40</v>
      </c>
      <c r="D3599">
        <v>4.6915760000000004</v>
      </c>
      <c r="E3599">
        <v>0.51000310000000004</v>
      </c>
      <c r="F3599" t="s">
        <v>42</v>
      </c>
      <c r="G3599">
        <v>-492.82650000000001</v>
      </c>
      <c r="H3599" s="1">
        <v>-9.2881410000000001E-7</v>
      </c>
      <c r="I3599">
        <v>230.00110000000001</v>
      </c>
      <c r="J3599">
        <v>-492.69260000000003</v>
      </c>
      <c r="K3599">
        <v>1.1188689999999999</v>
      </c>
      <c r="L3599">
        <v>266.53230000000002</v>
      </c>
      <c r="M3599">
        <v>4.8926190000000001E-2</v>
      </c>
      <c r="N3599">
        <v>-3.3328979999999999E-3</v>
      </c>
      <c r="O3599">
        <v>-0.99879720000000005</v>
      </c>
      <c r="P3599">
        <v>2.2560130000000001E-2</v>
      </c>
      <c r="Q3599">
        <v>-7.7692079999999997E-2</v>
      </c>
      <c r="R3599">
        <v>-0.99672229999999995</v>
      </c>
      <c r="S3599">
        <v>-1.0650629999999999E-2</v>
      </c>
      <c r="T3599">
        <v>-9.1757060000000001E-2</v>
      </c>
      <c r="U3599">
        <v>-3.0031430000000001</v>
      </c>
      <c r="V3599">
        <v>2.6076459999999999E-2</v>
      </c>
      <c r="W3599">
        <v>-7.4425000000000005E-2</v>
      </c>
      <c r="X3599">
        <v>0.99688560000000004</v>
      </c>
      <c r="Y3599">
        <v>5.2464070000000002E-2</v>
      </c>
      <c r="Z3599">
        <v>2.7131639999999999E-2</v>
      </c>
      <c r="AA3599">
        <v>0.99825419999999998</v>
      </c>
      <c r="AB3599">
        <v>17</v>
      </c>
      <c r="AC3599">
        <v>-0.13389999999998201</v>
      </c>
      <c r="AD3599">
        <v>-1.1188699288141</v>
      </c>
      <c r="AE3599">
        <v>-36.531199999999998</v>
      </c>
      <c r="AF3599">
        <v>1.91928096934491</v>
      </c>
      <c r="AG3599">
        <v>-1.1188699288141</v>
      </c>
      <c r="AH3599">
        <v>36.4467096171946</v>
      </c>
      <c r="AI3599">
        <v>91.755927501751103</v>
      </c>
      <c r="AJ3599">
        <v>86.985592915656994</v>
      </c>
      <c r="AK3599">
        <v>36.514355413686303</v>
      </c>
      <c r="AL3599">
        <v>94.268184976747705</v>
      </c>
      <c r="AM3599">
        <v>88.501602915944602</v>
      </c>
      <c r="AN3599">
        <v>0.99999998093924503</v>
      </c>
    </row>
    <row r="3600" spans="1:40" x14ac:dyDescent="0.25">
      <c r="A3600" t="str">
        <f>"20190303153839182"</f>
        <v>20190303153839182</v>
      </c>
      <c r="B3600" t="str">
        <f>"1551598719171797"</f>
        <v>1551598719171797</v>
      </c>
      <c r="C3600" t="s">
        <v>40</v>
      </c>
      <c r="D3600">
        <v>4.686985</v>
      </c>
      <c r="E3600">
        <v>0.51008520000000002</v>
      </c>
      <c r="F3600" t="s">
        <v>51</v>
      </c>
      <c r="G3600">
        <v>-492.83850000000001</v>
      </c>
      <c r="H3600" s="1">
        <v>5.6299040000000002E-6</v>
      </c>
      <c r="I3600">
        <v>228.54689999999999</v>
      </c>
      <c r="J3600">
        <v>-492.68880000000001</v>
      </c>
      <c r="K3600">
        <v>1.1187929999999999</v>
      </c>
      <c r="L3600">
        <v>266.44150000000002</v>
      </c>
      <c r="M3600">
        <v>4.8247480000000002E-2</v>
      </c>
      <c r="N3600">
        <v>-2.9263679999999999E-3</v>
      </c>
      <c r="O3600">
        <v>-0.99883129999999998</v>
      </c>
      <c r="P3600">
        <v>2.2727029999999999E-2</v>
      </c>
      <c r="Q3600">
        <v>-7.6935630000000005E-2</v>
      </c>
      <c r="R3600">
        <v>-0.99677740000000004</v>
      </c>
      <c r="S3600">
        <v>-1.153564E-2</v>
      </c>
      <c r="T3600">
        <v>-8.8460449999999996E-2</v>
      </c>
      <c r="U3600">
        <v>-3.0032350000000001</v>
      </c>
      <c r="V3600">
        <v>2.5228299999999999E-2</v>
      </c>
      <c r="W3600">
        <v>-7.4074360000000006E-2</v>
      </c>
      <c r="X3600">
        <v>0.99693359999999998</v>
      </c>
      <c r="Y3600">
        <v>5.2080069999999999E-2</v>
      </c>
      <c r="Z3600">
        <v>2.6445280000000002E-2</v>
      </c>
      <c r="AA3600">
        <v>0.99829270000000003</v>
      </c>
      <c r="AB3600">
        <v>17</v>
      </c>
      <c r="AC3600">
        <v>-0.149699999999995</v>
      </c>
      <c r="AD3600">
        <v>-1.1187873700959901</v>
      </c>
      <c r="AE3600">
        <v>-37.894599999999997</v>
      </c>
      <c r="AF3600">
        <v>1.9761296651948099</v>
      </c>
      <c r="AG3600">
        <v>-1.1187873700959901</v>
      </c>
      <c r="AH3600">
        <v>37.810288674752101</v>
      </c>
      <c r="AI3600">
        <v>91.692549964163206</v>
      </c>
      <c r="AJ3600">
        <v>87.008196193835502</v>
      </c>
      <c r="AK3600">
        <v>37.878420021184098</v>
      </c>
      <c r="AL3600">
        <v>94.248038922401307</v>
      </c>
      <c r="AM3600">
        <v>88.550388232885297</v>
      </c>
      <c r="AN3600">
        <v>1.0000000403696201</v>
      </c>
    </row>
    <row r="3601" spans="1:40" x14ac:dyDescent="0.25">
      <c r="A3601" t="str">
        <f>"20190303153839200"</f>
        <v>20190303153839200</v>
      </c>
      <c r="B3601" t="str">
        <f>"1551598719192290"</f>
        <v>1551598719192290</v>
      </c>
      <c r="C3601" t="s">
        <v>40</v>
      </c>
      <c r="D3601">
        <v>4.66981</v>
      </c>
      <c r="E3601">
        <v>0.51023779999999996</v>
      </c>
      <c r="F3601" t="s">
        <v>51</v>
      </c>
      <c r="G3601">
        <v>-492.84160000000003</v>
      </c>
      <c r="H3601" s="1">
        <v>5.3291789999999998E-6</v>
      </c>
      <c r="I3601">
        <v>227.47219999999999</v>
      </c>
      <c r="J3601">
        <v>-492.68349999999998</v>
      </c>
      <c r="K3601">
        <v>1.1186910000000001</v>
      </c>
      <c r="L3601">
        <v>266.31310000000002</v>
      </c>
      <c r="M3601">
        <v>4.7233440000000002E-2</v>
      </c>
      <c r="N3601">
        <v>-2.383203E-3</v>
      </c>
      <c r="O3601">
        <v>-0.99888100000000002</v>
      </c>
      <c r="P3601">
        <v>2.4279419999999999E-2</v>
      </c>
      <c r="Q3601">
        <v>-7.5277040000000003E-2</v>
      </c>
      <c r="R3601">
        <v>-0.9968669</v>
      </c>
      <c r="S3601">
        <v>-1.177979E-2</v>
      </c>
      <c r="T3601">
        <v>-8.6223010000000003E-2</v>
      </c>
      <c r="U3601">
        <v>-3.0032960000000002</v>
      </c>
      <c r="V3601">
        <v>2.2663079999999999E-2</v>
      </c>
      <c r="W3601">
        <v>-7.2954130000000006E-2</v>
      </c>
      <c r="X3601">
        <v>0.99707780000000001</v>
      </c>
      <c r="Y3601">
        <v>5.1147829999999998E-2</v>
      </c>
      <c r="Z3601">
        <v>2.6248179999999999E-2</v>
      </c>
      <c r="AA3601">
        <v>0.99834610000000001</v>
      </c>
      <c r="AB3601">
        <v>17</v>
      </c>
      <c r="AC3601">
        <v>-0.15810000000004701</v>
      </c>
      <c r="AD3601">
        <v>-1.11868567082099</v>
      </c>
      <c r="AE3601">
        <v>-38.840899999999998</v>
      </c>
      <c r="AF3601">
        <v>1.9908666571675799</v>
      </c>
      <c r="AG3601">
        <v>-1.11868567082099</v>
      </c>
      <c r="AH3601">
        <v>38.757930208214603</v>
      </c>
      <c r="AI3601">
        <v>91.6511164052949</v>
      </c>
      <c r="AJ3601">
        <v>87.059489748192107</v>
      </c>
      <c r="AK3601">
        <v>38.825148572820098</v>
      </c>
      <c r="AL3601">
        <v>94.183680371330993</v>
      </c>
      <c r="AM3601">
        <v>88.697919771660196</v>
      </c>
      <c r="AN3601">
        <v>1.0000000297659899</v>
      </c>
    </row>
    <row r="3602" spans="1:40" x14ac:dyDescent="0.25">
      <c r="A3602" t="str">
        <f>"20190303153839210"</f>
        <v>20190303153839210</v>
      </c>
      <c r="B3602" t="str">
        <f>"1551598719202051"</f>
        <v>1551598719202051</v>
      </c>
      <c r="C3602" t="s">
        <v>40</v>
      </c>
      <c r="D3602">
        <v>4.5987070000000001</v>
      </c>
      <c r="E3602">
        <v>0.51026400000000005</v>
      </c>
      <c r="F3602" t="s">
        <v>51</v>
      </c>
      <c r="G3602">
        <v>-492.79430000000002</v>
      </c>
      <c r="H3602" s="1">
        <v>4.5256240000000002E-6</v>
      </c>
      <c r="I3602">
        <v>224.84440000000001</v>
      </c>
      <c r="J3602">
        <v>-492.68009999999998</v>
      </c>
      <c r="K3602">
        <v>1.1186290000000001</v>
      </c>
      <c r="L3602">
        <v>266.22609999999997</v>
      </c>
      <c r="M3602">
        <v>4.6517749999999997E-2</v>
      </c>
      <c r="N3602">
        <v>-2.0321689999999999E-3</v>
      </c>
      <c r="O3602">
        <v>-0.99891569999999996</v>
      </c>
      <c r="P3602">
        <v>2.539903E-2</v>
      </c>
      <c r="Q3602">
        <v>-7.4350879999999994E-2</v>
      </c>
      <c r="R3602">
        <v>-0.99690889999999999</v>
      </c>
      <c r="S3602">
        <v>-8.0261229999999996E-3</v>
      </c>
      <c r="T3602">
        <v>-8.1025360000000005E-2</v>
      </c>
      <c r="U3602">
        <v>-3.0035400000000001</v>
      </c>
      <c r="V3602">
        <v>2.082809E-2</v>
      </c>
      <c r="W3602">
        <v>-7.2375049999999996E-2</v>
      </c>
      <c r="X3602">
        <v>0.99716000000000005</v>
      </c>
      <c r="Y3602">
        <v>4.9184699999999998E-2</v>
      </c>
      <c r="Z3602">
        <v>2.4875040000000001E-2</v>
      </c>
      <c r="AA3602">
        <v>0.99847989999999998</v>
      </c>
      <c r="AB3602">
        <v>17</v>
      </c>
      <c r="AC3602">
        <v>-0.11420000000003901</v>
      </c>
      <c r="AD3602">
        <v>-1.1186244743760001</v>
      </c>
      <c r="AE3602">
        <v>-41.381699999999903</v>
      </c>
      <c r="AF3602">
        <v>2.0375744517237102</v>
      </c>
      <c r="AG3602">
        <v>-1.1186244743760001</v>
      </c>
      <c r="AH3602">
        <v>41.301410700661997</v>
      </c>
      <c r="AI3602">
        <v>91.5495596349935</v>
      </c>
      <c r="AJ3602">
        <v>87.175645115228505</v>
      </c>
      <c r="AK3602">
        <v>41.366768742865901</v>
      </c>
      <c r="AL3602">
        <v>94.150413665299695</v>
      </c>
      <c r="AM3602">
        <v>88.803413544894497</v>
      </c>
      <c r="AN3602">
        <v>1.0000000113977701</v>
      </c>
    </row>
    <row r="3603" spans="1:40" x14ac:dyDescent="0.25">
      <c r="A3603" t="str">
        <f>"20190303153839222"</f>
        <v>20190303153839222</v>
      </c>
      <c r="B3603" t="str">
        <f>"1551598719211811"</f>
        <v>1551598719211811</v>
      </c>
      <c r="C3603" t="s">
        <v>40</v>
      </c>
      <c r="D3603">
        <v>4.7052659999999999</v>
      </c>
      <c r="E3603">
        <v>0.51022920000000005</v>
      </c>
      <c r="F3603" t="s">
        <v>51</v>
      </c>
      <c r="G3603">
        <v>-492.74779999999998</v>
      </c>
      <c r="H3603" s="1">
        <v>4.2142280000000002E-6</v>
      </c>
      <c r="I3603">
        <v>223.48089999999999</v>
      </c>
      <c r="J3603">
        <v>-492.67680000000001</v>
      </c>
      <c r="K3603">
        <v>1.1185780000000001</v>
      </c>
      <c r="L3603">
        <v>266.13819999999998</v>
      </c>
      <c r="M3603">
        <v>4.5763119999999997E-2</v>
      </c>
      <c r="N3603">
        <v>-1.7059200000000001E-3</v>
      </c>
      <c r="O3603">
        <v>-0.99895089999999997</v>
      </c>
      <c r="P3603">
        <v>2.6488580000000001E-2</v>
      </c>
      <c r="Q3603">
        <v>-7.3536630000000006E-2</v>
      </c>
      <c r="R3603">
        <v>-0.99694070000000001</v>
      </c>
      <c r="S3603">
        <v>-4.7607420000000001E-3</v>
      </c>
      <c r="T3603">
        <v>-7.8602190000000002E-2</v>
      </c>
      <c r="U3603">
        <v>-3.003571</v>
      </c>
      <c r="V3603">
        <v>1.8984859999999999E-2</v>
      </c>
      <c r="W3603">
        <v>-7.1882639999999998E-2</v>
      </c>
      <c r="X3603">
        <v>0.99723240000000002</v>
      </c>
      <c r="Y3603">
        <v>4.7344890000000001E-2</v>
      </c>
      <c r="Z3603">
        <v>2.439941E-2</v>
      </c>
      <c r="AA3603">
        <v>0.99858060000000004</v>
      </c>
      <c r="AB3603">
        <v>17</v>
      </c>
      <c r="AC3603">
        <v>-7.0999999999969504E-2</v>
      </c>
      <c r="AD3603">
        <v>-1.118573785772</v>
      </c>
      <c r="AE3603">
        <v>-42.6572999999999</v>
      </c>
      <c r="AF3603">
        <v>2.0216694042033501</v>
      </c>
      <c r="AG3603">
        <v>-1.118573785772</v>
      </c>
      <c r="AH3603">
        <v>42.580081037268897</v>
      </c>
      <c r="AI3603">
        <v>91.503114893883605</v>
      </c>
      <c r="AJ3603">
        <v>87.281681970504707</v>
      </c>
      <c r="AK3603">
        <v>42.642721015836898</v>
      </c>
      <c r="AL3603">
        <v>94.122127023095402</v>
      </c>
      <c r="AM3603">
        <v>88.909360575839898</v>
      </c>
      <c r="AN3603">
        <v>0.999999999226174</v>
      </c>
    </row>
    <row r="3604" spans="1:40" x14ac:dyDescent="0.25">
      <c r="A3604" t="str">
        <f>"20190303153839234"</f>
        <v>20190303153839234</v>
      </c>
      <c r="B3604" t="str">
        <f>"1551598719221571"</f>
        <v>1551598719221571</v>
      </c>
      <c r="C3604" t="s">
        <v>40</v>
      </c>
      <c r="D3604">
        <v>4.7034710000000004</v>
      </c>
      <c r="E3604">
        <v>0.51000159999999894</v>
      </c>
      <c r="F3604" t="s">
        <v>51</v>
      </c>
      <c r="G3604">
        <v>-492.69049999999999</v>
      </c>
      <c r="H3604" s="1">
        <v>3.9434399999999996E-6</v>
      </c>
      <c r="I3604">
        <v>222.49959999999999</v>
      </c>
      <c r="J3604">
        <v>-492.67329999999998</v>
      </c>
      <c r="K3604">
        <v>1.1185309999999999</v>
      </c>
      <c r="L3604">
        <v>266.0455</v>
      </c>
      <c r="M3604">
        <v>4.4957179999999999E-2</v>
      </c>
      <c r="N3604">
        <v>-1.37579E-3</v>
      </c>
      <c r="O3604">
        <v>-0.99898799999999999</v>
      </c>
      <c r="P3604">
        <v>2.7563669999999998E-2</v>
      </c>
      <c r="Q3604">
        <v>-7.3095060000000003E-2</v>
      </c>
      <c r="R3604">
        <v>-0.9969441</v>
      </c>
      <c r="S3604">
        <v>-9.4604490000000003E-4</v>
      </c>
      <c r="T3604">
        <v>-7.6987979999999998E-2</v>
      </c>
      <c r="U3604">
        <v>-3.0035099999999999</v>
      </c>
      <c r="V3604">
        <v>1.7103150000000001E-2</v>
      </c>
      <c r="W3604">
        <v>-7.1766469999999999E-2</v>
      </c>
      <c r="X3604">
        <v>0.99727480000000002</v>
      </c>
      <c r="Y3604">
        <v>4.5270940000000003E-2</v>
      </c>
      <c r="Z3604">
        <v>2.4196889999999999E-2</v>
      </c>
      <c r="AA3604">
        <v>0.99868170000000001</v>
      </c>
      <c r="AB3604">
        <v>17</v>
      </c>
      <c r="AC3604">
        <v>-1.7200000000002501E-2</v>
      </c>
      <c r="AD3604">
        <v>-1.1185270565599901</v>
      </c>
      <c r="AE3604">
        <v>-43.545900000000003</v>
      </c>
      <c r="AF3604">
        <v>1.97358313465576</v>
      </c>
      <c r="AG3604">
        <v>-1.1185270565599901</v>
      </c>
      <c r="AH3604">
        <v>43.472415862070598</v>
      </c>
      <c r="AI3604">
        <v>91.472355401260899</v>
      </c>
      <c r="AJ3604">
        <v>87.400641480475301</v>
      </c>
      <c r="AK3604">
        <v>43.531564112152701</v>
      </c>
      <c r="AL3604">
        <v>94.115453794425406</v>
      </c>
      <c r="AM3604">
        <v>89.017480181361705</v>
      </c>
      <c r="AN3604">
        <v>0.99999998533561096</v>
      </c>
    </row>
    <row r="3605" spans="1:40" x14ac:dyDescent="0.25">
      <c r="A3605" t="str">
        <f>"20190303153839244"</f>
        <v>20190303153839244</v>
      </c>
      <c r="B3605" t="str">
        <f>"1551598719242067"</f>
        <v>1551598719242067</v>
      </c>
      <c r="C3605" t="s">
        <v>40</v>
      </c>
      <c r="D3605">
        <v>4.7052889999999996</v>
      </c>
      <c r="E3605">
        <v>0.50968500000000005</v>
      </c>
      <c r="F3605" t="s">
        <v>51</v>
      </c>
      <c r="G3605">
        <v>-492.61200000000002</v>
      </c>
      <c r="H3605" s="1">
        <v>3.61024E-6</v>
      </c>
      <c r="I3605">
        <v>221.37909999999999</v>
      </c>
      <c r="J3605">
        <v>-492.67</v>
      </c>
      <c r="K3605">
        <v>1.1184879999999999</v>
      </c>
      <c r="L3605">
        <v>265.9538</v>
      </c>
      <c r="M3605">
        <v>4.4145339999999998E-2</v>
      </c>
      <c r="N3605">
        <v>-1.068989E-3</v>
      </c>
      <c r="O3605">
        <v>-0.99902469999999999</v>
      </c>
      <c r="P3605">
        <v>2.8330930000000001E-2</v>
      </c>
      <c r="Q3605">
        <v>-7.2286989999999995E-2</v>
      </c>
      <c r="R3605">
        <v>-0.99698200000000003</v>
      </c>
      <c r="S3605">
        <v>4.1198729999999996E-3</v>
      </c>
      <c r="T3605">
        <v>-7.5214030000000001E-2</v>
      </c>
      <c r="U3605">
        <v>-3.0035400000000001</v>
      </c>
      <c r="V3605">
        <v>1.5526699999999999E-2</v>
      </c>
      <c r="W3605">
        <v>-7.1260799999999999E-2</v>
      </c>
      <c r="X3605">
        <v>0.99733689999999997</v>
      </c>
      <c r="Y3605">
        <v>4.2774779999999998E-2</v>
      </c>
      <c r="Z3605">
        <v>2.3917239999999999E-2</v>
      </c>
      <c r="AA3605">
        <v>0.99879839999999998</v>
      </c>
      <c r="AB3605">
        <v>18</v>
      </c>
      <c r="AC3605">
        <v>5.8000000000049498E-2</v>
      </c>
      <c r="AD3605">
        <v>-1.1184843897600001</v>
      </c>
      <c r="AE3605">
        <v>-44.5747</v>
      </c>
      <c r="AF3605">
        <v>1.9086209379905399</v>
      </c>
      <c r="AG3605">
        <v>-1.1184843897600001</v>
      </c>
      <c r="AH3605">
        <v>44.505783405763097</v>
      </c>
      <c r="AI3605">
        <v>91.438288083720295</v>
      </c>
      <c r="AJ3605">
        <v>87.544387471657004</v>
      </c>
      <c r="AK3605">
        <v>44.560729322754199</v>
      </c>
      <c r="AL3605">
        <v>94.086406457577795</v>
      </c>
      <c r="AM3605">
        <v>89.108082214762305</v>
      </c>
      <c r="AN3605">
        <v>1.0000000360655601</v>
      </c>
    </row>
    <row r="3606" spans="1:40" x14ac:dyDescent="0.25">
      <c r="A3606" t="str">
        <f>"20190303153839257"</f>
        <v>20190303153839257</v>
      </c>
      <c r="B3606" t="str">
        <f>"1551598719251827"</f>
        <v>1551598719251827</v>
      </c>
      <c r="C3606" t="s">
        <v>40</v>
      </c>
      <c r="D3606">
        <v>4.9241409999999997</v>
      </c>
      <c r="E3606">
        <v>0.48315130000000001</v>
      </c>
      <c r="F3606" t="s">
        <v>51</v>
      </c>
      <c r="G3606">
        <v>-492.52620000000002</v>
      </c>
      <c r="H3606" s="1">
        <v>3.1477459999999999E-6</v>
      </c>
      <c r="I3606">
        <v>219.83699999999999</v>
      </c>
      <c r="J3606">
        <v>-492.66660000000002</v>
      </c>
      <c r="K3606">
        <v>1.118457</v>
      </c>
      <c r="L3606">
        <v>265.85759999999999</v>
      </c>
      <c r="M3606">
        <v>4.3287890000000002E-2</v>
      </c>
      <c r="N3606">
        <v>-7.7090459999999998E-4</v>
      </c>
      <c r="O3606">
        <v>-0.99906269999999997</v>
      </c>
      <c r="P3606">
        <v>2.909078E-2</v>
      </c>
      <c r="Q3606">
        <v>-7.1870680000000006E-2</v>
      </c>
      <c r="R3606">
        <v>-0.99699040000000005</v>
      </c>
      <c r="S3606">
        <v>9.3688959999999998E-3</v>
      </c>
      <c r="T3606">
        <v>-7.2846530000000007E-2</v>
      </c>
      <c r="U3606">
        <v>-3.003571</v>
      </c>
      <c r="V3606">
        <v>1.391095E-2</v>
      </c>
      <c r="W3606">
        <v>-7.1137880000000001E-2</v>
      </c>
      <c r="X3606">
        <v>0.99736950000000002</v>
      </c>
      <c r="Y3606">
        <v>4.0171829999999999E-2</v>
      </c>
      <c r="Z3606">
        <v>2.343162E-2</v>
      </c>
      <c r="AA3606">
        <v>0.99891799999999997</v>
      </c>
      <c r="AB3606">
        <v>18</v>
      </c>
      <c r="AC3606">
        <v>0.140399999999999</v>
      </c>
      <c r="AD3606">
        <v>-1.118453852254</v>
      </c>
      <c r="AE3606">
        <v>-46.020599999999902</v>
      </c>
      <c r="AF3606">
        <v>1.85077300401765</v>
      </c>
      <c r="AG3606">
        <v>-1.118453852254</v>
      </c>
      <c r="AH3606">
        <v>45.9563957748191</v>
      </c>
      <c r="AI3606">
        <v>91.393019703359002</v>
      </c>
      <c r="AJ3606">
        <v>87.693809368182102</v>
      </c>
      <c r="AK3606">
        <v>46.0072452157683</v>
      </c>
      <c r="AL3606">
        <v>94.0793458231946</v>
      </c>
      <c r="AM3606">
        <v>89.200910950618194</v>
      </c>
      <c r="AN3606">
        <v>1.00000001601552</v>
      </c>
    </row>
    <row r="3607" spans="1:40" x14ac:dyDescent="0.25">
      <c r="A3607" t="str">
        <f>"20190303153839270"</f>
        <v>20190303153839270</v>
      </c>
      <c r="B3607" t="str">
        <f>"1551598719261586"</f>
        <v>1551598719261586</v>
      </c>
      <c r="C3607" t="s">
        <v>40</v>
      </c>
      <c r="D3607">
        <v>4.650487</v>
      </c>
      <c r="E3607">
        <v>0.48412909999999998</v>
      </c>
      <c r="F3607" t="s">
        <v>42</v>
      </c>
      <c r="G3607">
        <v>-489.9991</v>
      </c>
      <c r="H3607" s="1">
        <v>-1.6356860000000001E-7</v>
      </c>
      <c r="I3607">
        <v>229.9709</v>
      </c>
      <c r="J3607">
        <v>-492.66300000000001</v>
      </c>
      <c r="K3607">
        <v>1.1184270000000001</v>
      </c>
      <c r="L3607">
        <v>265.75209999999998</v>
      </c>
      <c r="M3607">
        <v>4.2345099999999997E-2</v>
      </c>
      <c r="N3607">
        <v>-4.5896279999999999E-4</v>
      </c>
      <c r="O3607">
        <v>-0.99910319999999997</v>
      </c>
      <c r="P3607">
        <v>2.9710190000000001E-2</v>
      </c>
      <c r="Q3607">
        <v>-7.1664759999999994E-2</v>
      </c>
      <c r="R3607">
        <v>-0.99698640000000005</v>
      </c>
      <c r="S3607">
        <v>0.22268679999999999</v>
      </c>
      <c r="T3607">
        <v>-9.3368889999999996E-2</v>
      </c>
      <c r="U3607">
        <v>-2.995819</v>
      </c>
      <c r="V3607">
        <v>1.2349850000000001E-2</v>
      </c>
      <c r="W3607">
        <v>-7.1239150000000001E-2</v>
      </c>
      <c r="X3607">
        <v>0.99738280000000001</v>
      </c>
      <c r="Y3607">
        <v>-3.179796E-2</v>
      </c>
      <c r="Z3607">
        <v>3.0600700000000002E-2</v>
      </c>
      <c r="AA3607">
        <v>0.99902579999999996</v>
      </c>
      <c r="AB3607">
        <v>18</v>
      </c>
      <c r="AC3607">
        <v>2.6639000000000101</v>
      </c>
      <c r="AD3607">
        <v>-1.1184271635686001</v>
      </c>
      <c r="AE3607">
        <v>-35.781199999999899</v>
      </c>
      <c r="AF3607">
        <v>-1.1452395839029701</v>
      </c>
      <c r="AG3607">
        <v>-1.1184271635686001</v>
      </c>
      <c r="AH3607">
        <v>35.827097925976503</v>
      </c>
      <c r="AI3607">
        <v>91.787129670494906</v>
      </c>
      <c r="AJ3607">
        <v>91.830878377304103</v>
      </c>
      <c r="AK3607">
        <v>35.862841477248502</v>
      </c>
      <c r="AL3607">
        <v>94.085163021565705</v>
      </c>
      <c r="AM3607">
        <v>89.290585196482496</v>
      </c>
      <c r="AN3607">
        <v>0.99999999251179195</v>
      </c>
    </row>
    <row r="3608" spans="1:40" x14ac:dyDescent="0.25">
      <c r="A3608" t="str">
        <f>"20190303153839283"</f>
        <v>20190303153839283</v>
      </c>
      <c r="B3608" t="str">
        <f>"1551598719272323"</f>
        <v>1551598719272323</v>
      </c>
      <c r="C3608" t="s">
        <v>40</v>
      </c>
      <c r="D3608">
        <v>4.6433879999999998</v>
      </c>
      <c r="E3608">
        <v>0.48485509999999898</v>
      </c>
      <c r="F3608" t="s">
        <v>51</v>
      </c>
      <c r="G3608">
        <v>-489.82960000000003</v>
      </c>
      <c r="H3608" s="1">
        <v>5.6592529999999999E-6</v>
      </c>
      <c r="I3608">
        <v>226.58359999999999</v>
      </c>
      <c r="J3608">
        <v>-492.65980000000002</v>
      </c>
      <c r="K3608">
        <v>1.118409</v>
      </c>
      <c r="L3608">
        <v>265.649</v>
      </c>
      <c r="M3608">
        <v>4.1430410000000001E-2</v>
      </c>
      <c r="N3608">
        <v>-1.8511910000000001E-4</v>
      </c>
      <c r="O3608">
        <v>-0.99914159999999996</v>
      </c>
      <c r="P3608">
        <v>2.9808609999999999E-2</v>
      </c>
      <c r="Q3608">
        <v>-7.1470870000000006E-2</v>
      </c>
      <c r="R3608">
        <v>-0.99699749999999998</v>
      </c>
      <c r="S3608">
        <v>0.2167664</v>
      </c>
      <c r="T3608">
        <v>-8.5562230000000003E-2</v>
      </c>
      <c r="U3608">
        <v>-2.9964900000000001</v>
      </c>
      <c r="V3608">
        <v>1.1339699999999999E-2</v>
      </c>
      <c r="W3608">
        <v>-7.1315630000000005E-2</v>
      </c>
      <c r="X3608">
        <v>0.99738930000000003</v>
      </c>
      <c r="Y3608">
        <v>-3.0738209999999998E-2</v>
      </c>
      <c r="Z3608">
        <v>2.8277119999999999E-2</v>
      </c>
      <c r="AA3608">
        <v>0.9991274</v>
      </c>
      <c r="AB3608">
        <v>18</v>
      </c>
      <c r="AC3608">
        <v>2.8301999999999898</v>
      </c>
      <c r="AD3608">
        <v>-1.118403340747</v>
      </c>
      <c r="AE3608">
        <v>-39.065399999999997</v>
      </c>
      <c r="AF3608">
        <v>-1.20828959907141</v>
      </c>
      <c r="AG3608">
        <v>-1.118403340747</v>
      </c>
      <c r="AH3608">
        <v>39.117220627277298</v>
      </c>
      <c r="AI3608">
        <v>91.636921405983699</v>
      </c>
      <c r="AJ3608">
        <v>91.7692435175653</v>
      </c>
      <c r="AK3608">
        <v>39.151854865266699</v>
      </c>
      <c r="AL3608">
        <v>94.089556302409406</v>
      </c>
      <c r="AM3608">
        <v>89.348610458964203</v>
      </c>
      <c r="AN3608">
        <v>0.99999996181643702</v>
      </c>
    </row>
    <row r="3609" spans="1:40" x14ac:dyDescent="0.25">
      <c r="A3609" t="str">
        <f>"20190303153839294"</f>
        <v>20190303153839294</v>
      </c>
      <c r="B3609" t="str">
        <f>"1551598719291843"</f>
        <v>1551598719291843</v>
      </c>
      <c r="C3609" t="s">
        <v>40</v>
      </c>
      <c r="D3609">
        <v>4.6339779999999999</v>
      </c>
      <c r="E3609">
        <v>0.48576540000000001</v>
      </c>
      <c r="F3609" t="s">
        <v>51</v>
      </c>
      <c r="G3609">
        <v>-489.7373</v>
      </c>
      <c r="H3609" s="1">
        <v>4.9078489999999997E-6</v>
      </c>
      <c r="I3609">
        <v>224.20580000000001</v>
      </c>
      <c r="J3609">
        <v>-492.6567</v>
      </c>
      <c r="K3609">
        <v>1.1183989999999999</v>
      </c>
      <c r="L3609">
        <v>265.55439999999999</v>
      </c>
      <c r="M3609">
        <v>4.0598839999999997E-2</v>
      </c>
      <c r="N3609" s="1">
        <v>5.242054E-5</v>
      </c>
      <c r="O3609">
        <v>-0.99917549999999999</v>
      </c>
      <c r="P3609">
        <v>2.9863879999999999E-2</v>
      </c>
      <c r="Q3609">
        <v>-7.1277339999999995E-2</v>
      </c>
      <c r="R3609">
        <v>-0.99700929999999999</v>
      </c>
      <c r="S3609">
        <v>0.2113342</v>
      </c>
      <c r="T3609">
        <v>-8.0875989999999995E-2</v>
      </c>
      <c r="U3609">
        <v>-2.996918</v>
      </c>
      <c r="V3609">
        <v>1.045637E-2</v>
      </c>
      <c r="W3609">
        <v>-7.1356509999999998E-2</v>
      </c>
      <c r="X3609">
        <v>0.99739610000000001</v>
      </c>
      <c r="Y3609">
        <v>-2.9760700000000001E-2</v>
      </c>
      <c r="Z3609">
        <v>2.6956210000000001E-2</v>
      </c>
      <c r="AA3609">
        <v>0.99919349999999996</v>
      </c>
      <c r="AB3609">
        <v>18</v>
      </c>
      <c r="AC3609">
        <v>2.9193999999999898</v>
      </c>
      <c r="AD3609">
        <v>-1.1183940921509901</v>
      </c>
      <c r="AE3609">
        <v>-41.348599999999898</v>
      </c>
      <c r="AF3609">
        <v>-1.23738702239728</v>
      </c>
      <c r="AG3609">
        <v>-1.1183940921509901</v>
      </c>
      <c r="AH3609">
        <v>41.402893738871498</v>
      </c>
      <c r="AI3609">
        <v>91.546633552577603</v>
      </c>
      <c r="AJ3609">
        <v>91.711859979998593</v>
      </c>
      <c r="AK3609">
        <v>41.436475983616603</v>
      </c>
      <c r="AL3609">
        <v>94.091904241651903</v>
      </c>
      <c r="AM3609">
        <v>89.399352050032107</v>
      </c>
      <c r="AN3609">
        <v>1.00000003374408</v>
      </c>
    </row>
    <row r="3610" spans="1:40" x14ac:dyDescent="0.25">
      <c r="A3610" t="str">
        <f>"20190303153839313"</f>
        <v>20190303153839313</v>
      </c>
      <c r="B3610" t="str">
        <f>"1551598719301605"</f>
        <v>1551598719301605</v>
      </c>
      <c r="C3610" t="s">
        <v>40</v>
      </c>
      <c r="D3610">
        <v>4.6470260000000003</v>
      </c>
      <c r="E3610">
        <v>0.4862514</v>
      </c>
      <c r="F3610" t="s">
        <v>51</v>
      </c>
      <c r="G3610">
        <v>-489.69159999999999</v>
      </c>
      <c r="H3610" s="1">
        <v>4.2111350000000001E-6</v>
      </c>
      <c r="I3610">
        <v>221.98949999999999</v>
      </c>
      <c r="J3610">
        <v>-492.65199999999999</v>
      </c>
      <c r="K3610">
        <v>1.118393</v>
      </c>
      <c r="L3610">
        <v>265.40100000000001</v>
      </c>
      <c r="M3610">
        <v>3.927568E-2</v>
      </c>
      <c r="N3610">
        <v>4.030153E-4</v>
      </c>
      <c r="O3610">
        <v>-0.99922840000000002</v>
      </c>
      <c r="P3610">
        <v>3.0604340000000001E-2</v>
      </c>
      <c r="Q3610">
        <v>-7.0879319999999996E-2</v>
      </c>
      <c r="R3610">
        <v>-0.99701510000000004</v>
      </c>
      <c r="S3610">
        <v>0.20401</v>
      </c>
      <c r="T3610">
        <v>-7.6948399999999903E-2</v>
      </c>
      <c r="U3610">
        <v>-2.9973749999999999</v>
      </c>
      <c r="V3610">
        <v>8.4003280000000003E-3</v>
      </c>
      <c r="W3610">
        <v>-7.130243E-2</v>
      </c>
      <c r="X3610">
        <v>0.99741939999999996</v>
      </c>
      <c r="Y3610">
        <v>-2.8645529999999999E-2</v>
      </c>
      <c r="Z3610">
        <v>2.6001280000000002E-2</v>
      </c>
      <c r="AA3610">
        <v>0.99925140000000001</v>
      </c>
      <c r="AB3610">
        <v>18</v>
      </c>
      <c r="AC3610">
        <v>2.9603999999999902</v>
      </c>
      <c r="AD3610">
        <v>-1.1183887888649999</v>
      </c>
      <c r="AE3610">
        <v>-43.411499999999997</v>
      </c>
      <c r="AF3610">
        <v>-1.2522722951569101</v>
      </c>
      <c r="AG3610">
        <v>-1.1183887888649999</v>
      </c>
      <c r="AH3610">
        <v>43.4655611296091</v>
      </c>
      <c r="AI3610">
        <v>91.473310356474101</v>
      </c>
      <c r="AJ3610">
        <v>91.650273761582397</v>
      </c>
      <c r="AK3610">
        <v>43.4979767770417</v>
      </c>
      <c r="AL3610">
        <v>94.088797785433002</v>
      </c>
      <c r="AM3610">
        <v>89.517462802895494</v>
      </c>
      <c r="AN3610">
        <v>1.00000003076538</v>
      </c>
    </row>
    <row r="3611" spans="1:40" x14ac:dyDescent="0.25">
      <c r="A3611" t="str">
        <f>"20190303153839327"</f>
        <v>20190303153839327</v>
      </c>
      <c r="B3611" t="str">
        <f>"1551598719322098"</f>
        <v>1551598719322098</v>
      </c>
      <c r="C3611" t="s">
        <v>40</v>
      </c>
      <c r="D3611">
        <v>4.6301329999999998</v>
      </c>
      <c r="E3611">
        <v>0.4869076</v>
      </c>
      <c r="F3611" t="s">
        <v>51</v>
      </c>
      <c r="G3611">
        <v>-489.59050000000002</v>
      </c>
      <c r="H3611" s="1">
        <v>3.5862149999999998E-6</v>
      </c>
      <c r="I3611">
        <v>220.0446</v>
      </c>
      <c r="J3611">
        <v>-492.64859999999999</v>
      </c>
      <c r="K3611">
        <v>1.1183970000000001</v>
      </c>
      <c r="L3611">
        <v>265.28219999999999</v>
      </c>
      <c r="M3611">
        <v>3.8278100000000002E-2</v>
      </c>
      <c r="N3611">
        <v>6.4756730000000004E-4</v>
      </c>
      <c r="O3611">
        <v>-0.99926700000000002</v>
      </c>
      <c r="P3611">
        <v>3.0841520000000001E-2</v>
      </c>
      <c r="Q3611">
        <v>-7.0305329999999999E-2</v>
      </c>
      <c r="R3611">
        <v>-0.99704870000000001</v>
      </c>
      <c r="S3611">
        <v>0.2023315</v>
      </c>
      <c r="T3611">
        <v>-7.391238E-2</v>
      </c>
      <c r="U3611">
        <v>-2.997528</v>
      </c>
      <c r="V3611">
        <v>7.1741579999999999E-3</v>
      </c>
      <c r="W3611">
        <v>-7.0968870000000003E-2</v>
      </c>
      <c r="X3611">
        <v>0.99745269999999997</v>
      </c>
      <c r="Y3611">
        <v>-2.9084430000000001E-2</v>
      </c>
      <c r="Z3611">
        <v>2.5236560000000002E-2</v>
      </c>
      <c r="AA3611">
        <v>0.99925830000000004</v>
      </c>
      <c r="AB3611">
        <v>19</v>
      </c>
      <c r="AC3611">
        <v>3.0580999999999601</v>
      </c>
      <c r="AD3611">
        <v>-1.11839341378499</v>
      </c>
      <c r="AE3611">
        <v>-45.237599999999901</v>
      </c>
      <c r="AF3611">
        <v>-1.3234439797608</v>
      </c>
      <c r="AG3611">
        <v>-1.11839341378499</v>
      </c>
      <c r="AH3611">
        <v>45.293946604064701</v>
      </c>
      <c r="AI3611">
        <v>91.413850845921502</v>
      </c>
      <c r="AJ3611">
        <v>91.673649391894699</v>
      </c>
      <c r="AK3611">
        <v>45.327076971358203</v>
      </c>
      <c r="AL3611">
        <v>94.069637918661101</v>
      </c>
      <c r="AM3611">
        <v>89.587908391962401</v>
      </c>
      <c r="AN3611">
        <v>0.99999996889468701</v>
      </c>
    </row>
    <row r="3612" spans="1:40" x14ac:dyDescent="0.25">
      <c r="A3612" t="str">
        <f>"20190303153839345"</f>
        <v>20190303153839345</v>
      </c>
      <c r="B3612" t="str">
        <f>"1551598719341619"</f>
        <v>1551598719341619</v>
      </c>
      <c r="C3612" t="s">
        <v>40</v>
      </c>
      <c r="D3612">
        <v>4.6166130000000001</v>
      </c>
      <c r="E3612">
        <v>0.48682789999999998</v>
      </c>
      <c r="F3612" t="s">
        <v>51</v>
      </c>
      <c r="G3612">
        <v>-489.43189999999998</v>
      </c>
      <c r="H3612" s="1">
        <v>3.3109450000000001E-6</v>
      </c>
      <c r="I3612">
        <v>216.62479999999999</v>
      </c>
      <c r="J3612">
        <v>-492.64429999999999</v>
      </c>
      <c r="K3612">
        <v>1.1184160000000001</v>
      </c>
      <c r="L3612">
        <v>265.13170000000002</v>
      </c>
      <c r="M3612">
        <v>3.7060129999999997E-2</v>
      </c>
      <c r="N3612">
        <v>9.2127569999999996E-4</v>
      </c>
      <c r="O3612">
        <v>-0.99931270000000005</v>
      </c>
      <c r="P3612">
        <v>3.1560629999999999E-2</v>
      </c>
      <c r="Q3612">
        <v>-7.0165569999999997E-2</v>
      </c>
      <c r="R3612">
        <v>-0.99703609999999998</v>
      </c>
      <c r="S3612">
        <v>0.1981812</v>
      </c>
      <c r="T3612">
        <v>-6.8906190000000006E-2</v>
      </c>
      <c r="U3612">
        <v>-2.9978639999999999</v>
      </c>
      <c r="V3612">
        <v>5.2457989999999998E-3</v>
      </c>
      <c r="W3612">
        <v>-7.1096960000000001E-2</v>
      </c>
      <c r="X3612">
        <v>0.9974556</v>
      </c>
      <c r="Y3612">
        <v>-2.892026E-2</v>
      </c>
      <c r="Z3612">
        <v>2.3845450000000001E-2</v>
      </c>
      <c r="AA3612">
        <v>0.99929730000000005</v>
      </c>
      <c r="AB3612">
        <v>19</v>
      </c>
      <c r="AC3612">
        <v>3.2124000000000001</v>
      </c>
      <c r="AD3612">
        <v>-1.1184126890549999</v>
      </c>
      <c r="AE3612">
        <v>-48.506900000000002</v>
      </c>
      <c r="AF3612">
        <v>-1.41177333144034</v>
      </c>
      <c r="AG3612">
        <v>-1.1184126890549999</v>
      </c>
      <c r="AH3612">
        <v>48.566923397917698</v>
      </c>
      <c r="AI3612">
        <v>91.318633273321595</v>
      </c>
      <c r="AJ3612">
        <v>91.665040241102304</v>
      </c>
      <c r="AK3612">
        <v>48.6003086329872</v>
      </c>
      <c r="AL3612">
        <v>94.076995454825905</v>
      </c>
      <c r="AM3612">
        <v>89.698673934118702</v>
      </c>
      <c r="AN3612">
        <v>0.99999998504987397</v>
      </c>
    </row>
    <row r="3613" spans="1:40" x14ac:dyDescent="0.25">
      <c r="A3613" t="str">
        <f>"20190303153839359"</f>
        <v>20190303153839359</v>
      </c>
      <c r="B3613" t="str">
        <f>"1551598719352355"</f>
        <v>1551598719352355</v>
      </c>
      <c r="C3613" t="s">
        <v>40</v>
      </c>
      <c r="D3613">
        <v>4.6114649999999999</v>
      </c>
      <c r="E3613">
        <v>0.48684949999999999</v>
      </c>
      <c r="F3613" t="s">
        <v>51</v>
      </c>
      <c r="G3613">
        <v>-489.32859999999999</v>
      </c>
      <c r="H3613" s="1">
        <v>3.2465810000000001E-6</v>
      </c>
      <c r="I3613">
        <v>215.57169999999999</v>
      </c>
      <c r="J3613">
        <v>-492.64109999999999</v>
      </c>
      <c r="K3613">
        <v>1.118431</v>
      </c>
      <c r="L3613">
        <v>265.01459999999997</v>
      </c>
      <c r="M3613">
        <v>3.6143540000000002E-2</v>
      </c>
      <c r="N3613">
        <v>1.111176E-3</v>
      </c>
      <c r="O3613">
        <v>-0.99934610000000001</v>
      </c>
      <c r="P3613">
        <v>3.1701970000000003E-2</v>
      </c>
      <c r="Q3613">
        <v>-7.0161689999999999E-2</v>
      </c>
      <c r="R3613">
        <v>-0.99703200000000003</v>
      </c>
      <c r="S3613">
        <v>0.2005615</v>
      </c>
      <c r="T3613">
        <v>-6.7651630000000004E-2</v>
      </c>
      <c r="U3613">
        <v>-2.997833</v>
      </c>
      <c r="V3613">
        <v>4.1947520000000004E-3</v>
      </c>
      <c r="W3613">
        <v>-7.1279670000000003E-2</v>
      </c>
      <c r="X3613">
        <v>0.99744759999999999</v>
      </c>
      <c r="Y3613">
        <v>-3.0628120000000002E-2</v>
      </c>
      <c r="Z3613">
        <v>2.36181E-2</v>
      </c>
      <c r="AA3613">
        <v>0.99925180000000002</v>
      </c>
      <c r="AB3613">
        <v>19</v>
      </c>
      <c r="AC3613">
        <v>3.3125</v>
      </c>
      <c r="AD3613">
        <v>-1.1184277534189999</v>
      </c>
      <c r="AE3613">
        <v>-49.442899999999902</v>
      </c>
      <c r="AF3613">
        <v>-1.5225177191180499</v>
      </c>
      <c r="AG3613">
        <v>-1.1184277534189999</v>
      </c>
      <c r="AH3613">
        <v>49.5051018127619</v>
      </c>
      <c r="AI3613">
        <v>91.293604489745704</v>
      </c>
      <c r="AJ3613">
        <v>91.761562917929396</v>
      </c>
      <c r="AK3613">
        <v>49.541134891487502</v>
      </c>
      <c r="AL3613">
        <v>94.087490324037901</v>
      </c>
      <c r="AM3613">
        <v>89.759044817175095</v>
      </c>
      <c r="AN3613">
        <v>1.0000000510227001</v>
      </c>
    </row>
    <row r="3614" spans="1:40" x14ac:dyDescent="0.25">
      <c r="A3614" t="str">
        <f>"20190303153839371"</f>
        <v>20190303153839371</v>
      </c>
      <c r="B3614" t="str">
        <f>"1551598719362114"</f>
        <v>1551598719362114</v>
      </c>
      <c r="C3614" t="s">
        <v>40</v>
      </c>
      <c r="D3614">
        <v>4.6376280000000003</v>
      </c>
      <c r="E3614">
        <v>0.48689880000000002</v>
      </c>
      <c r="F3614" t="s">
        <v>51</v>
      </c>
      <c r="G3614">
        <v>-489.3623</v>
      </c>
      <c r="H3614" s="1">
        <v>3.2767750000000001E-6</v>
      </c>
      <c r="I3614">
        <v>216.1259</v>
      </c>
      <c r="J3614">
        <v>-492.6379</v>
      </c>
      <c r="K3614">
        <v>1.1184459999999901</v>
      </c>
      <c r="L3614">
        <v>264.89859999999999</v>
      </c>
      <c r="M3614">
        <v>3.5256210000000003E-2</v>
      </c>
      <c r="N3614">
        <v>1.284802E-3</v>
      </c>
      <c r="O3614">
        <v>-0.99937770000000004</v>
      </c>
      <c r="P3614">
        <v>3.1685850000000002E-2</v>
      </c>
      <c r="Q3614">
        <v>-7.0493210000000001E-2</v>
      </c>
      <c r="R3614">
        <v>-0.99700949999999999</v>
      </c>
      <c r="S3614">
        <v>0.2010498</v>
      </c>
      <c r="T3614">
        <v>-6.8579440000000005E-2</v>
      </c>
      <c r="U3614">
        <v>-2.9977420000000001</v>
      </c>
      <c r="V3614">
        <v>3.3290250000000002E-3</v>
      </c>
      <c r="W3614">
        <v>-7.1782120000000005E-2</v>
      </c>
      <c r="X3614">
        <v>0.99741480000000005</v>
      </c>
      <c r="Y3614">
        <v>-3.1678940000000003E-2</v>
      </c>
      <c r="Z3614">
        <v>2.4101310000000001E-2</v>
      </c>
      <c r="AA3614">
        <v>0.99920750000000003</v>
      </c>
      <c r="AB3614">
        <v>19</v>
      </c>
      <c r="AC3614">
        <v>3.2755999999999901</v>
      </c>
      <c r="AD3614">
        <v>-1.1184427232249901</v>
      </c>
      <c r="AE3614">
        <v>-48.772699999999901</v>
      </c>
      <c r="AF3614">
        <v>-1.5532088727675299</v>
      </c>
      <c r="AG3614">
        <v>-1.1184427232249901</v>
      </c>
      <c r="AH3614">
        <v>48.832299739002899</v>
      </c>
      <c r="AI3614">
        <v>91.311395781765995</v>
      </c>
      <c r="AJ3614">
        <v>91.821792564706101</v>
      </c>
      <c r="AK3614">
        <v>48.8697950653305</v>
      </c>
      <c r="AL3614">
        <v>94.116352652317502</v>
      </c>
      <c r="AM3614">
        <v>89.808767250972295</v>
      </c>
      <c r="AN3614">
        <v>1.0000000192090901</v>
      </c>
    </row>
    <row r="3615" spans="1:40" x14ac:dyDescent="0.25">
      <c r="A3615" t="str">
        <f>"20190303153839382"</f>
        <v>20190303153839382</v>
      </c>
      <c r="B3615" t="str">
        <f>"1551598719371875"</f>
        <v>1551598719371875</v>
      </c>
      <c r="C3615" t="s">
        <v>40</v>
      </c>
      <c r="D3615">
        <v>4.6314609999999998</v>
      </c>
      <c r="E3615">
        <v>0.48692449999999998</v>
      </c>
      <c r="F3615" t="s">
        <v>51</v>
      </c>
      <c r="G3615">
        <v>-489.40089999999998</v>
      </c>
      <c r="H3615" s="1">
        <v>3.3042699999999901E-6</v>
      </c>
      <c r="I3615">
        <v>216.59790000000001</v>
      </c>
      <c r="J3615">
        <v>-492.63529999999997</v>
      </c>
      <c r="K3615">
        <v>1.1184540000000001</v>
      </c>
      <c r="L3615">
        <v>264.80020000000002</v>
      </c>
      <c r="M3615">
        <v>3.4526469999999997E-2</v>
      </c>
      <c r="N3615">
        <v>1.4144889999999999E-3</v>
      </c>
      <c r="O3615">
        <v>-0.99940300000000004</v>
      </c>
      <c r="P3615">
        <v>3.1607200000000002E-2</v>
      </c>
      <c r="Q3615">
        <v>-7.1169739999999995E-2</v>
      </c>
      <c r="R3615">
        <v>-0.99696379999999996</v>
      </c>
      <c r="S3615">
        <v>0.2008972</v>
      </c>
      <c r="T3615">
        <v>-6.9414500000000004E-2</v>
      </c>
      <c r="U3615">
        <v>-2.9977109999999998</v>
      </c>
      <c r="V3615">
        <v>2.6808869999999999E-3</v>
      </c>
      <c r="W3615">
        <v>-7.2586339999999999E-2</v>
      </c>
      <c r="X3615">
        <v>0.99735850000000004</v>
      </c>
      <c r="Y3615">
        <v>-3.235818E-2</v>
      </c>
      <c r="Z3615">
        <v>2.450944E-2</v>
      </c>
      <c r="AA3615">
        <v>0.99917579999999995</v>
      </c>
      <c r="AB3615">
        <v>19</v>
      </c>
      <c r="AC3615">
        <v>3.2343999999999902</v>
      </c>
      <c r="AD3615">
        <v>-1.11845069573</v>
      </c>
      <c r="AE3615">
        <v>-48.202300000000001</v>
      </c>
      <c r="AF3615">
        <v>-1.5673749477402099</v>
      </c>
      <c r="AG3615">
        <v>-1.11845069573</v>
      </c>
      <c r="AH3615">
        <v>48.259367489494302</v>
      </c>
      <c r="AI3615">
        <v>91.326939927578294</v>
      </c>
      <c r="AJ3615">
        <v>91.860207003947593</v>
      </c>
      <c r="AK3615">
        <v>48.297765441805304</v>
      </c>
      <c r="AL3615">
        <v>94.162551785124506</v>
      </c>
      <c r="AM3615">
        <v>89.845990042185903</v>
      </c>
      <c r="AN3615">
        <v>0.99999997071597502</v>
      </c>
    </row>
    <row r="3616" spans="1:40" x14ac:dyDescent="0.25">
      <c r="A3616" t="str">
        <f>"20190303153839395"</f>
        <v>20190303153839395</v>
      </c>
      <c r="B3616" t="str">
        <f>"1551598719392371"</f>
        <v>1551598719392371</v>
      </c>
      <c r="C3616" t="s">
        <v>40</v>
      </c>
      <c r="D3616">
        <v>4.6193589999999896</v>
      </c>
      <c r="E3616">
        <v>0.48696390000000001</v>
      </c>
      <c r="F3616" t="s">
        <v>51</v>
      </c>
      <c r="G3616">
        <v>-489.4948</v>
      </c>
      <c r="H3616" s="1">
        <v>3.3742790000000001E-6</v>
      </c>
      <c r="I3616">
        <v>217.8185</v>
      </c>
      <c r="J3616">
        <v>-492.6327</v>
      </c>
      <c r="K3616">
        <v>1.118465</v>
      </c>
      <c r="L3616">
        <v>264.69959999999998</v>
      </c>
      <c r="M3616">
        <v>3.3791439999999999E-2</v>
      </c>
      <c r="N3616">
        <v>1.5377170000000001E-3</v>
      </c>
      <c r="O3616">
        <v>-0.99942790000000004</v>
      </c>
      <c r="P3616">
        <v>3.1662650000000001E-2</v>
      </c>
      <c r="Q3616">
        <v>-7.1805919999999995E-2</v>
      </c>
      <c r="R3616">
        <v>-0.99691640000000004</v>
      </c>
      <c r="S3616">
        <v>0.20037840000000001</v>
      </c>
      <c r="T3616">
        <v>-7.1362969999999998E-2</v>
      </c>
      <c r="U3616">
        <v>-2.997681</v>
      </c>
      <c r="V3616">
        <v>1.8935169999999999E-3</v>
      </c>
      <c r="W3616">
        <v>-7.3343580000000005E-2</v>
      </c>
      <c r="X3616">
        <v>0.99730490000000005</v>
      </c>
      <c r="Y3616">
        <v>-3.292055E-2</v>
      </c>
      <c r="Z3616">
        <v>2.5281540000000002E-2</v>
      </c>
      <c r="AA3616">
        <v>0.99913819999999998</v>
      </c>
      <c r="AB3616">
        <v>19</v>
      </c>
      <c r="AC3616">
        <v>3.1379000000000001</v>
      </c>
      <c r="AD3616">
        <v>-1.1184616257210001</v>
      </c>
      <c r="AE3616">
        <v>-46.881099999999897</v>
      </c>
      <c r="AF3616">
        <v>-1.5510476086460601</v>
      </c>
      <c r="AG3616">
        <v>-1.1184616257210001</v>
      </c>
      <c r="AH3616">
        <v>46.933766277916099</v>
      </c>
      <c r="AI3616">
        <v>91.364392067693601</v>
      </c>
      <c r="AJ3616">
        <v>91.892798248875707</v>
      </c>
      <c r="AK3616">
        <v>46.9727061400826</v>
      </c>
      <c r="AL3616">
        <v>94.206054424267407</v>
      </c>
      <c r="AM3616">
        <v>89.891216415186605</v>
      </c>
      <c r="AN3616">
        <v>0.99999996484892695</v>
      </c>
    </row>
    <row r="3617" spans="1:40" x14ac:dyDescent="0.25">
      <c r="A3617" t="str">
        <f>"20190303153839412"</f>
        <v>20190303153839412</v>
      </c>
      <c r="B3617" t="str">
        <f>"1551598719402133"</f>
        <v>1551598719402133</v>
      </c>
      <c r="C3617" t="s">
        <v>40</v>
      </c>
      <c r="D3617">
        <v>4.6009719999999996</v>
      </c>
      <c r="E3617">
        <v>0.48708020000000002</v>
      </c>
      <c r="F3617" t="s">
        <v>51</v>
      </c>
      <c r="G3617">
        <v>-489.62959999999998</v>
      </c>
      <c r="H3617" s="1">
        <v>3.524449E-6</v>
      </c>
      <c r="I3617">
        <v>219.81720000000001</v>
      </c>
      <c r="J3617">
        <v>-492.62869999999998</v>
      </c>
      <c r="K3617">
        <v>1.11849</v>
      </c>
      <c r="L3617">
        <v>264.53750000000002</v>
      </c>
      <c r="M3617">
        <v>3.263394E-2</v>
      </c>
      <c r="N3617">
        <v>1.7128029999999999E-3</v>
      </c>
      <c r="O3617">
        <v>-0.99946590000000002</v>
      </c>
      <c r="P3617">
        <v>3.2226730000000002E-2</v>
      </c>
      <c r="Q3617">
        <v>-7.2401149999999997E-2</v>
      </c>
      <c r="R3617">
        <v>-0.99685500000000005</v>
      </c>
      <c r="S3617">
        <v>0.2005615</v>
      </c>
      <c r="T3617">
        <v>-7.4697139999999995E-2</v>
      </c>
      <c r="U3617">
        <v>-2.9974980000000002</v>
      </c>
      <c r="V3617">
        <v>1.781113E-4</v>
      </c>
      <c r="W3617">
        <v>-7.4109850000000005E-2</v>
      </c>
      <c r="X3617">
        <v>0.99725010000000003</v>
      </c>
      <c r="Y3617">
        <v>-3.4140749999999997E-2</v>
      </c>
      <c r="Z3617">
        <v>2.6567540000000001E-2</v>
      </c>
      <c r="AA3617">
        <v>0.99906379999999995</v>
      </c>
      <c r="AB3617">
        <v>20</v>
      </c>
      <c r="AC3617">
        <v>2.9990999999999901</v>
      </c>
      <c r="AD3617">
        <v>-1.118486475551</v>
      </c>
      <c r="AE3617">
        <v>-44.720300000000002</v>
      </c>
      <c r="AF3617">
        <v>-1.5371436223052599</v>
      </c>
      <c r="AG3617">
        <v>-1.118486475551</v>
      </c>
      <c r="AH3617">
        <v>44.766475554814299</v>
      </c>
      <c r="AI3617">
        <v>91.430389641048805</v>
      </c>
      <c r="AJ3617">
        <v>91.966588891886005</v>
      </c>
      <c r="AK3617">
        <v>44.806820419567501</v>
      </c>
      <c r="AL3617">
        <v>94.250077990625698</v>
      </c>
      <c r="AM3617">
        <v>89.989766834152107</v>
      </c>
      <c r="AN3617">
        <v>1.0000000317703299</v>
      </c>
    </row>
    <row r="3618" spans="1:40" x14ac:dyDescent="0.25">
      <c r="A3618" t="str">
        <f>"20190303153839424"</f>
        <v>20190303153839424</v>
      </c>
      <c r="B3618" t="str">
        <f>"1551598719421651"</f>
        <v>1551598719421651</v>
      </c>
      <c r="C3618" t="s">
        <v>40</v>
      </c>
      <c r="D3618">
        <v>4.5713339999999896</v>
      </c>
      <c r="E3618">
        <v>0.48743449999999999</v>
      </c>
      <c r="F3618" t="s">
        <v>51</v>
      </c>
      <c r="G3618">
        <v>-489.64909999999998</v>
      </c>
      <c r="H3618" s="1">
        <v>3.6672670000000002E-6</v>
      </c>
      <c r="I3618">
        <v>220.26429999999999</v>
      </c>
      <c r="J3618">
        <v>-492.62599999999998</v>
      </c>
      <c r="K3618">
        <v>1.1184989999999999</v>
      </c>
      <c r="L3618">
        <v>264.428</v>
      </c>
      <c r="M3618">
        <v>3.1869229999999998E-2</v>
      </c>
      <c r="N3618">
        <v>1.8142620000000001E-3</v>
      </c>
      <c r="O3618">
        <v>-0.99949060000000001</v>
      </c>
      <c r="P3618">
        <v>3.2431309999999998E-2</v>
      </c>
      <c r="Q3618">
        <v>-7.1967489999999995E-2</v>
      </c>
      <c r="R3618">
        <v>-0.99687959999999998</v>
      </c>
      <c r="S3618">
        <v>0.20172119999999999</v>
      </c>
      <c r="T3618">
        <v>-7.5724239999999998E-2</v>
      </c>
      <c r="U3618">
        <v>-2.9974059999999998</v>
      </c>
      <c r="V3618">
        <v>-7.8398719999999995E-4</v>
      </c>
      <c r="W3618">
        <v>-7.3775590000000002E-2</v>
      </c>
      <c r="X3618">
        <v>0.99727460000000001</v>
      </c>
      <c r="Y3618">
        <v>-3.529148E-2</v>
      </c>
      <c r="Z3618">
        <v>2.701133E-2</v>
      </c>
      <c r="AA3618">
        <v>0.99901189999999995</v>
      </c>
      <c r="AB3618">
        <v>20</v>
      </c>
      <c r="AC3618">
        <v>2.9769000000000001</v>
      </c>
      <c r="AD3618">
        <v>-1.1184953327329901</v>
      </c>
      <c r="AE3618">
        <v>-44.163699999999999</v>
      </c>
      <c r="AF3618">
        <v>-1.56692222421114</v>
      </c>
      <c r="AG3618">
        <v>-1.1184953327329901</v>
      </c>
      <c r="AH3618">
        <v>44.207911246521697</v>
      </c>
      <c r="AI3618">
        <v>91.448410467275195</v>
      </c>
      <c r="AJ3618">
        <v>92.029963865679306</v>
      </c>
      <c r="AK3618">
        <v>44.249810099551901</v>
      </c>
      <c r="AL3618">
        <v>94.230873696899906</v>
      </c>
      <c r="AM3618">
        <v>90.0450419057087</v>
      </c>
      <c r="AN3618">
        <v>1.0000000400604601</v>
      </c>
    </row>
    <row r="3619" spans="1:40" x14ac:dyDescent="0.25">
      <c r="A3619" t="str">
        <f>"20190303153839437"</f>
        <v>20190303153839437</v>
      </c>
      <c r="B3619" t="str">
        <f>"1551598719432387"</f>
        <v>1551598719432387</v>
      </c>
      <c r="C3619" t="s">
        <v>40</v>
      </c>
      <c r="D3619">
        <v>4.5901269999999998</v>
      </c>
      <c r="E3619">
        <v>0.48743449999999999</v>
      </c>
      <c r="F3619" t="s">
        <v>51</v>
      </c>
      <c r="G3619">
        <v>-489.55349999999999</v>
      </c>
      <c r="H3619" s="1">
        <v>3.3989819999999999E-6</v>
      </c>
      <c r="I3619">
        <v>218.14570000000001</v>
      </c>
      <c r="J3619">
        <v>-492.6234</v>
      </c>
      <c r="K3619">
        <v>1.1185069999999999</v>
      </c>
      <c r="L3619">
        <v>264.32240000000002</v>
      </c>
      <c r="M3619">
        <v>3.113989E-2</v>
      </c>
      <c r="N3619">
        <v>1.9003189999999999E-3</v>
      </c>
      <c r="O3619">
        <v>-0.99951310000000004</v>
      </c>
      <c r="P3619">
        <v>3.2881870000000001E-2</v>
      </c>
      <c r="Q3619">
        <v>-7.1531220000000006E-2</v>
      </c>
      <c r="R3619">
        <v>-0.99689620000000001</v>
      </c>
      <c r="S3619">
        <v>0.19900509999999999</v>
      </c>
      <c r="T3619">
        <v>-7.2444439999999999E-2</v>
      </c>
      <c r="U3619">
        <v>-2.997681</v>
      </c>
      <c r="V3619">
        <v>-1.9581400000000001E-3</v>
      </c>
      <c r="W3619">
        <v>-7.3423080000000002E-2</v>
      </c>
      <c r="X3619">
        <v>0.99729900000000005</v>
      </c>
      <c r="Y3619">
        <v>-3.5115210000000001E-2</v>
      </c>
      <c r="Z3619">
        <v>2.600601E-2</v>
      </c>
      <c r="AA3619">
        <v>0.99904479999999996</v>
      </c>
      <c r="AB3619">
        <v>20</v>
      </c>
      <c r="AC3619">
        <v>3.0699000000000098</v>
      </c>
      <c r="AD3619">
        <v>-1.1185036010179901</v>
      </c>
      <c r="AE3619">
        <v>-46.176699999999997</v>
      </c>
      <c r="AF3619">
        <v>-1.6295192019585201</v>
      </c>
      <c r="AG3619">
        <v>-1.1185036010179901</v>
      </c>
      <c r="AH3619">
        <v>46.222901965394897</v>
      </c>
      <c r="AI3619">
        <v>91.385314775770297</v>
      </c>
      <c r="AJ3619">
        <v>92.019040770504802</v>
      </c>
      <c r="AK3619">
        <v>46.265138595248402</v>
      </c>
      <c r="AL3619">
        <v>94.210621439685795</v>
      </c>
      <c r="AM3619">
        <v>90.112496867562996</v>
      </c>
      <c r="AN3619">
        <v>1.0000000391949699</v>
      </c>
    </row>
    <row r="3620" spans="1:40" x14ac:dyDescent="0.25">
      <c r="A3620" t="str">
        <f>"20190303153839448"</f>
        <v>20190303153839448</v>
      </c>
      <c r="B3620" t="str">
        <f>"1551598719442147"</f>
        <v>1551598719442147</v>
      </c>
      <c r="C3620" t="s">
        <v>40</v>
      </c>
      <c r="D3620">
        <v>4.5893179999999996</v>
      </c>
      <c r="E3620">
        <v>0.49195759999999999</v>
      </c>
      <c r="F3620" t="s">
        <v>51</v>
      </c>
      <c r="G3620">
        <v>-489.4735</v>
      </c>
      <c r="H3620" s="1">
        <v>3.3459640000000001E-6</v>
      </c>
      <c r="I3620">
        <v>217.25739999999999</v>
      </c>
      <c r="J3620">
        <v>-492.62079999999997</v>
      </c>
      <c r="K3620">
        <v>1.118511</v>
      </c>
      <c r="L3620">
        <v>264.2097</v>
      </c>
      <c r="M3620">
        <v>3.0367359999999999E-2</v>
      </c>
      <c r="N3620">
        <v>1.9848380000000001E-3</v>
      </c>
      <c r="O3620">
        <v>-0.99953709999999996</v>
      </c>
      <c r="P3620">
        <v>3.3167780000000001E-2</v>
      </c>
      <c r="Q3620">
        <v>-7.0912329999999996E-2</v>
      </c>
      <c r="R3620">
        <v>-0.99693129999999996</v>
      </c>
      <c r="S3620">
        <v>0.20062260000000001</v>
      </c>
      <c r="T3620">
        <v>-7.1238759999999998E-2</v>
      </c>
      <c r="U3620">
        <v>-2.99762</v>
      </c>
      <c r="V3620">
        <v>-3.0096960000000001E-3</v>
      </c>
      <c r="W3620">
        <v>-7.2886709999999993E-2</v>
      </c>
      <c r="X3620">
        <v>0.99733570000000005</v>
      </c>
      <c r="Y3620">
        <v>-3.6426220000000002E-2</v>
      </c>
      <c r="Z3620">
        <v>2.568981E-2</v>
      </c>
      <c r="AA3620">
        <v>0.99900610000000001</v>
      </c>
      <c r="AB3620">
        <v>20</v>
      </c>
      <c r="AC3620">
        <v>3.1472999999999698</v>
      </c>
      <c r="AD3620">
        <v>-1.1185076540359999</v>
      </c>
      <c r="AE3620">
        <v>-46.952300000000001</v>
      </c>
      <c r="AF3620">
        <v>-1.71905745237991</v>
      </c>
      <c r="AG3620">
        <v>-1.1185076540359999</v>
      </c>
      <c r="AH3620">
        <v>46.999668234018699</v>
      </c>
      <c r="AI3620">
        <v>91.362368634499603</v>
      </c>
      <c r="AJ3620">
        <v>92.094713720242794</v>
      </c>
      <c r="AK3620">
        <v>47.044394267590903</v>
      </c>
      <c r="AL3620">
        <v>94.179807242011705</v>
      </c>
      <c r="AM3620">
        <v>90.172903020473996</v>
      </c>
      <c r="AN3620">
        <v>1.00000001462956</v>
      </c>
    </row>
    <row r="3621" spans="1:40" x14ac:dyDescent="0.25">
      <c r="A3621" t="str">
        <f>"20190303153839461"</f>
        <v>20190303153839461</v>
      </c>
      <c r="B3621" t="str">
        <f>"1551598719451908"</f>
        <v>1551598719451908</v>
      </c>
      <c r="C3621" t="s">
        <v>40</v>
      </c>
      <c r="D3621">
        <v>4.5987770000000001</v>
      </c>
      <c r="E3621">
        <v>0.49191820000000003</v>
      </c>
      <c r="F3621" t="s">
        <v>42</v>
      </c>
      <c r="G3621">
        <v>-488.41750000000002</v>
      </c>
      <c r="H3621" s="1">
        <v>-3.9366940000000002E-6</v>
      </c>
      <c r="I3621">
        <v>188.155</v>
      </c>
      <c r="J3621">
        <v>-492.6182</v>
      </c>
      <c r="K3621">
        <v>1.118509</v>
      </c>
      <c r="L3621">
        <v>264.09399999999999</v>
      </c>
      <c r="M3621">
        <v>2.9582529999999999E-2</v>
      </c>
      <c r="N3621">
        <v>2.0532279999999998E-3</v>
      </c>
      <c r="O3621">
        <v>-0.99956020000000001</v>
      </c>
      <c r="P3621">
        <v>3.3794119999999997E-2</v>
      </c>
      <c r="Q3621">
        <v>-7.0513430000000002E-2</v>
      </c>
      <c r="R3621">
        <v>-0.9969382</v>
      </c>
      <c r="S3621">
        <v>0.16583249999999999</v>
      </c>
      <c r="T3621">
        <v>-4.412866E-2</v>
      </c>
      <c r="U3621">
        <v>-3.0005799999999998</v>
      </c>
      <c r="V3621">
        <v>-4.4170030000000001E-3</v>
      </c>
      <c r="W3621">
        <v>-7.2553629999999994E-2</v>
      </c>
      <c r="X3621">
        <v>0.99735469999999904</v>
      </c>
      <c r="Y3621">
        <v>-2.561356E-2</v>
      </c>
      <c r="Z3621">
        <v>1.673316E-2</v>
      </c>
      <c r="AA3621">
        <v>0.99953190000000003</v>
      </c>
      <c r="AB3621">
        <v>20</v>
      </c>
      <c r="AC3621">
        <v>4.2006999999999799</v>
      </c>
      <c r="AD3621">
        <v>-1.1185129366940001</v>
      </c>
      <c r="AE3621">
        <v>-75.938999999999993</v>
      </c>
      <c r="AF3621">
        <v>-1.9519667849191</v>
      </c>
      <c r="AG3621">
        <v>-1.1185129366940001</v>
      </c>
      <c r="AH3621">
        <v>76.013591523551497</v>
      </c>
      <c r="AI3621">
        <v>90.8427483793905</v>
      </c>
      <c r="AJ3621">
        <v>91.470985424249093</v>
      </c>
      <c r="AK3621">
        <v>76.046875950484093</v>
      </c>
      <c r="AL3621">
        <v>94.160672695291296</v>
      </c>
      <c r="AM3621">
        <v>90.253745207643703</v>
      </c>
      <c r="AN3621">
        <v>0.99999996837688299</v>
      </c>
    </row>
    <row r="3622" spans="1:40" x14ac:dyDescent="0.25">
      <c r="A3622" t="str">
        <f>"20190303153839480"</f>
        <v>20190303153839480</v>
      </c>
      <c r="B3622" t="str">
        <f>"1551598719472406"</f>
        <v>1551598719472406</v>
      </c>
      <c r="C3622" t="s">
        <v>40</v>
      </c>
      <c r="D3622">
        <v>4.5841979999999998</v>
      </c>
      <c r="E3622">
        <v>0.49205739999999998</v>
      </c>
      <c r="F3622" t="s">
        <v>42</v>
      </c>
      <c r="G3622">
        <v>-487.99189999999999</v>
      </c>
      <c r="H3622" s="1">
        <v>-1.245293E-6</v>
      </c>
      <c r="I3622">
        <v>181.70529999999999</v>
      </c>
      <c r="J3622">
        <v>-492.61439999999999</v>
      </c>
      <c r="K3622">
        <v>1.118498</v>
      </c>
      <c r="L3622">
        <v>263.9239</v>
      </c>
      <c r="M3622">
        <v>2.843273E-2</v>
      </c>
      <c r="N3622">
        <v>2.13803E-3</v>
      </c>
      <c r="O3622">
        <v>-0.99959330000000002</v>
      </c>
      <c r="P3622">
        <v>3.4923509999999998E-2</v>
      </c>
      <c r="Q3622">
        <v>-7.0559430000000006E-2</v>
      </c>
      <c r="R3622">
        <v>-0.996896</v>
      </c>
      <c r="S3622">
        <v>0.16848750000000001</v>
      </c>
      <c r="T3622">
        <v>-4.0736319999999999E-2</v>
      </c>
      <c r="U3622">
        <v>-3.00061</v>
      </c>
      <c r="V3622">
        <v>-6.693984E-3</v>
      </c>
      <c r="W3622">
        <v>-7.2680190000000006E-2</v>
      </c>
      <c r="X3622">
        <v>0.99733280000000002</v>
      </c>
      <c r="Y3622">
        <v>-2.7645469999999998E-2</v>
      </c>
      <c r="Z3622">
        <v>1.5689359999999999E-2</v>
      </c>
      <c r="AA3622">
        <v>0.99949469999999996</v>
      </c>
      <c r="AB3622">
        <v>20</v>
      </c>
      <c r="AC3622">
        <v>4.6224999999999996</v>
      </c>
      <c r="AD3622">
        <v>-1.118499245293</v>
      </c>
      <c r="AE3622">
        <v>-82.218599999999995</v>
      </c>
      <c r="AF3622">
        <v>-2.2825051824556701</v>
      </c>
      <c r="AG3622">
        <v>-1.118499245293</v>
      </c>
      <c r="AH3622">
        <v>82.301606748606702</v>
      </c>
      <c r="AI3622">
        <v>90.778316695069705</v>
      </c>
      <c r="AJ3622">
        <v>91.588600822541395</v>
      </c>
      <c r="AK3622">
        <v>82.340848573912396</v>
      </c>
      <c r="AL3622">
        <v>94.167943251316203</v>
      </c>
      <c r="AM3622">
        <v>90.384556962441295</v>
      </c>
      <c r="AN3622">
        <v>0.99999996669803304</v>
      </c>
    </row>
    <row r="3623" spans="1:40" x14ac:dyDescent="0.25">
      <c r="A3623" t="str">
        <f>"20190303153839491"</f>
        <v>20190303153839491</v>
      </c>
      <c r="B3623" t="str">
        <f>"1551598719482053"</f>
        <v>1551598719482053</v>
      </c>
      <c r="C3623" t="s">
        <v>40</v>
      </c>
      <c r="D3623">
        <v>4.5746330000000004</v>
      </c>
      <c r="E3623">
        <v>0.49218859999999998</v>
      </c>
      <c r="F3623" t="s">
        <v>42</v>
      </c>
      <c r="G3623">
        <v>-488.33800000000002</v>
      </c>
      <c r="H3623" s="1">
        <v>-4.1499860000000001E-6</v>
      </c>
      <c r="I3623">
        <v>188.61930000000001</v>
      </c>
      <c r="J3623">
        <v>-492.6121</v>
      </c>
      <c r="K3623">
        <v>1.1184889999999901</v>
      </c>
      <c r="L3623">
        <v>263.8134</v>
      </c>
      <c r="M3623">
        <v>2.7687050000000001E-2</v>
      </c>
      <c r="N3623">
        <v>2.1828220000000001E-3</v>
      </c>
      <c r="O3623">
        <v>-0.99961460000000002</v>
      </c>
      <c r="P3623">
        <v>3.5591499999999998E-2</v>
      </c>
      <c r="Q3623">
        <v>-7.0712800000000006E-2</v>
      </c>
      <c r="R3623">
        <v>-0.99686189999999997</v>
      </c>
      <c r="S3623">
        <v>0.17037959999999999</v>
      </c>
      <c r="T3623">
        <v>-4.4562699999999997E-2</v>
      </c>
      <c r="U3623">
        <v>-3.0002439999999999</v>
      </c>
      <c r="V3623">
        <v>-8.1072409999999994E-3</v>
      </c>
      <c r="W3623">
        <v>-7.2875640000000005E-2</v>
      </c>
      <c r="X3623">
        <v>0.99730810000000003</v>
      </c>
      <c r="Y3623">
        <v>-2.9025140000000001E-2</v>
      </c>
      <c r="Z3623">
        <v>1.7008619999999999E-2</v>
      </c>
      <c r="AA3623">
        <v>0.99943389999999999</v>
      </c>
      <c r="AB3623">
        <v>21</v>
      </c>
      <c r="AC3623">
        <v>4.2740999999999696</v>
      </c>
      <c r="AD3623">
        <v>-1.11849314998599</v>
      </c>
      <c r="AE3623">
        <v>-75.194099999999906</v>
      </c>
      <c r="AF3623">
        <v>-2.1900714123699898</v>
      </c>
      <c r="AG3623">
        <v>-1.11849314998599</v>
      </c>
      <c r="AH3623">
        <v>75.2670111433779</v>
      </c>
      <c r="AI3623">
        <v>90.851011798026505</v>
      </c>
      <c r="AJ3623">
        <v>91.666685729859793</v>
      </c>
      <c r="AK3623">
        <v>75.307173670077503</v>
      </c>
      <c r="AL3623">
        <v>94.179171279533904</v>
      </c>
      <c r="AM3623">
        <v>90.465754224966204</v>
      </c>
      <c r="AN3623">
        <v>1.0000000162938201</v>
      </c>
    </row>
    <row r="3624" spans="1:40" x14ac:dyDescent="0.25">
      <c r="A3624" t="str">
        <f>"20190303153839503"</f>
        <v>20190303153839503</v>
      </c>
      <c r="B3624" t="str">
        <f>"1551598719491798"</f>
        <v>1551598719491798</v>
      </c>
      <c r="C3624" t="s">
        <v>40</v>
      </c>
      <c r="D3624">
        <v>4.554837</v>
      </c>
      <c r="E3624">
        <v>0.49215029999999999</v>
      </c>
      <c r="F3624" t="s">
        <v>42</v>
      </c>
      <c r="G3624">
        <v>-488.35270000000003</v>
      </c>
      <c r="H3624" s="1">
        <v>-4.5447010000000001E-6</v>
      </c>
      <c r="I3624">
        <v>189.5454</v>
      </c>
      <c r="J3624">
        <v>-492.60980000000001</v>
      </c>
      <c r="K3624">
        <v>1.118474</v>
      </c>
      <c r="L3624">
        <v>263.70249999999999</v>
      </c>
      <c r="M3624">
        <v>2.6937340000000001E-2</v>
      </c>
      <c r="N3624">
        <v>2.2158999999999998E-3</v>
      </c>
      <c r="O3624">
        <v>-0.99963460000000004</v>
      </c>
      <c r="P3624">
        <v>3.6056249999999998E-2</v>
      </c>
      <c r="Q3624">
        <v>-7.0996749999999997E-2</v>
      </c>
      <c r="R3624">
        <v>-0.99682490000000001</v>
      </c>
      <c r="S3624">
        <v>0.17205809999999999</v>
      </c>
      <c r="T3624">
        <v>-4.5181159999999998E-2</v>
      </c>
      <c r="U3624">
        <v>-3.0000309999999999</v>
      </c>
      <c r="V3624">
        <v>-9.3225340000000004E-3</v>
      </c>
      <c r="W3624">
        <v>-7.319022E-2</v>
      </c>
      <c r="X3624">
        <v>0.99727440000000001</v>
      </c>
      <c r="Y3624">
        <v>-3.033595E-2</v>
      </c>
      <c r="Z3624">
        <v>1.724842E-2</v>
      </c>
      <c r="AA3624">
        <v>0.99939089999999997</v>
      </c>
      <c r="AB3624">
        <v>21</v>
      </c>
      <c r="AC3624">
        <v>4.2570999999999799</v>
      </c>
      <c r="AD3624">
        <v>-1.1184785447009999</v>
      </c>
      <c r="AE3624">
        <v>-74.1570999999999</v>
      </c>
      <c r="AF3624">
        <v>-2.2574432923543299</v>
      </c>
      <c r="AG3624">
        <v>-1.1184785447009999</v>
      </c>
      <c r="AH3624">
        <v>74.228035086293204</v>
      </c>
      <c r="AI3624">
        <v>90.862876701021804</v>
      </c>
      <c r="AJ3624">
        <v>91.741957990687993</v>
      </c>
      <c r="AK3624">
        <v>74.270776468575605</v>
      </c>
      <c r="AL3624">
        <v>94.197243827628597</v>
      </c>
      <c r="AM3624">
        <v>90.535586088101098</v>
      </c>
      <c r="AN3624">
        <v>0.99999997341959401</v>
      </c>
    </row>
    <row r="3625" spans="1:40" x14ac:dyDescent="0.25">
      <c r="A3625" t="str">
        <f>"20190303153839515"</f>
        <v>20190303153839515</v>
      </c>
      <c r="B3625" t="str">
        <f>"1551598719512293"</f>
        <v>1551598719512293</v>
      </c>
      <c r="C3625" t="s">
        <v>40</v>
      </c>
      <c r="D3625">
        <v>4.5679780000000001</v>
      </c>
      <c r="E3625">
        <v>0.49221110000000001</v>
      </c>
      <c r="F3625" t="s">
        <v>42</v>
      </c>
      <c r="G3625">
        <v>-488.44310000000002</v>
      </c>
      <c r="H3625" s="1">
        <v>-1.0887630000000001E-6</v>
      </c>
      <c r="I3625">
        <v>191.52690000000001</v>
      </c>
      <c r="J3625">
        <v>-492.60770000000002</v>
      </c>
      <c r="K3625">
        <v>1.118466</v>
      </c>
      <c r="L3625">
        <v>263.59809999999999</v>
      </c>
      <c r="M3625">
        <v>2.6231259999999999E-2</v>
      </c>
      <c r="N3625">
        <v>2.2405179999999999E-3</v>
      </c>
      <c r="O3625">
        <v>-0.99965349999999997</v>
      </c>
      <c r="P3625">
        <v>3.640094E-2</v>
      </c>
      <c r="Q3625">
        <v>-7.1045559999999994E-2</v>
      </c>
      <c r="R3625">
        <v>-0.99680869999999999</v>
      </c>
      <c r="S3625">
        <v>0.17318729999999999</v>
      </c>
      <c r="T3625">
        <v>-4.648936E-2</v>
      </c>
      <c r="U3625">
        <v>-2.9999690000000001</v>
      </c>
      <c r="V3625">
        <v>-1.037389E-2</v>
      </c>
      <c r="W3625">
        <v>-7.3261430000000002E-2</v>
      </c>
      <c r="X3625">
        <v>0.9972588</v>
      </c>
      <c r="Y3625">
        <v>-3.1417599999999997E-2</v>
      </c>
      <c r="Z3625">
        <v>1.770857E-2</v>
      </c>
      <c r="AA3625">
        <v>0.9993495</v>
      </c>
      <c r="AB3625">
        <v>21</v>
      </c>
      <c r="AC3625">
        <v>4.1646000000000001</v>
      </c>
      <c r="AD3625">
        <v>-1.1184670887629999</v>
      </c>
      <c r="AE3625">
        <v>-72.071199999999905</v>
      </c>
      <c r="AF3625">
        <v>-2.2720986518200301</v>
      </c>
      <c r="AG3625">
        <v>-1.1184670887629999</v>
      </c>
      <c r="AH3625">
        <v>72.1383274937875</v>
      </c>
      <c r="AI3625">
        <v>90.887829768080096</v>
      </c>
      <c r="AJ3625">
        <v>91.804015226430295</v>
      </c>
      <c r="AK3625">
        <v>72.182765910660294</v>
      </c>
      <c r="AL3625">
        <v>94.201334796577001</v>
      </c>
      <c r="AM3625">
        <v>90.595992410623893</v>
      </c>
      <c r="AN3625">
        <v>0.99999998444840799</v>
      </c>
    </row>
    <row r="3626" spans="1:40" x14ac:dyDescent="0.25">
      <c r="A3626" t="str">
        <f>"20190303153839528"</f>
        <v>20190303153839528</v>
      </c>
      <c r="B3626" t="str">
        <f>"1551598719522053"</f>
        <v>1551598719522053</v>
      </c>
      <c r="C3626" t="s">
        <v>40</v>
      </c>
      <c r="D3626">
        <v>4.562462</v>
      </c>
      <c r="E3626">
        <v>0.49217899999999998</v>
      </c>
      <c r="F3626" t="s">
        <v>42</v>
      </c>
      <c r="G3626">
        <v>-488.54610000000002</v>
      </c>
      <c r="H3626" s="1">
        <v>-1.9827870000000002E-6</v>
      </c>
      <c r="I3626">
        <v>193.65350000000001</v>
      </c>
      <c r="J3626">
        <v>-492.60509999999999</v>
      </c>
      <c r="K3626">
        <v>1.1184480000000001</v>
      </c>
      <c r="L3626">
        <v>263.46390000000002</v>
      </c>
      <c r="M3626">
        <v>2.5322219999999999E-2</v>
      </c>
      <c r="N3626">
        <v>2.263649E-3</v>
      </c>
      <c r="O3626">
        <v>-0.99967689999999998</v>
      </c>
      <c r="P3626">
        <v>3.6813640000000002E-2</v>
      </c>
      <c r="Q3626">
        <v>-7.1193039999999999E-2</v>
      </c>
      <c r="R3626">
        <v>-0.99678299999999997</v>
      </c>
      <c r="S3626">
        <v>0.1741943</v>
      </c>
      <c r="T3626">
        <v>-4.7969459999999998E-2</v>
      </c>
      <c r="U3626">
        <v>-2.9998170000000002</v>
      </c>
      <c r="V3626">
        <v>-1.1696659999999999E-2</v>
      </c>
      <c r="W3626">
        <v>-7.3429149999999999E-2</v>
      </c>
      <c r="X3626">
        <v>0.9972318</v>
      </c>
      <c r="Y3626">
        <v>-3.2663270000000001E-2</v>
      </c>
      <c r="Z3626">
        <v>1.822501E-2</v>
      </c>
      <c r="AA3626">
        <v>0.99930019999999997</v>
      </c>
      <c r="AB3626">
        <v>21</v>
      </c>
      <c r="AC3626">
        <v>4.0589999999999602</v>
      </c>
      <c r="AD3626">
        <v>-1.11844998278699</v>
      </c>
      <c r="AE3626">
        <v>-69.810400000000001</v>
      </c>
      <c r="AF3626">
        <v>-2.2893541656633301</v>
      </c>
      <c r="AG3626">
        <v>-1.11844998278699</v>
      </c>
      <c r="AH3626">
        <v>69.872923122133898</v>
      </c>
      <c r="AI3626">
        <v>90.916558635517802</v>
      </c>
      <c r="AJ3626">
        <v>91.876598517401206</v>
      </c>
      <c r="AK3626">
        <v>69.919363973733894</v>
      </c>
      <c r="AL3626">
        <v>94.210970511325201</v>
      </c>
      <c r="AM3626">
        <v>90.671998749597705</v>
      </c>
      <c r="AN3626">
        <v>0.99999995742805803</v>
      </c>
    </row>
    <row r="3627" spans="1:40" x14ac:dyDescent="0.25">
      <c r="A3627" t="str">
        <f>"20190303153839546"</f>
        <v>20190303153839546</v>
      </c>
      <c r="B3627" t="str">
        <f>"1551598719541573"</f>
        <v>1551598719541573</v>
      </c>
      <c r="C3627" t="s">
        <v>40</v>
      </c>
      <c r="D3627">
        <v>4.546926</v>
      </c>
      <c r="E3627">
        <v>0.49235820000000002</v>
      </c>
      <c r="F3627" t="s">
        <v>42</v>
      </c>
      <c r="G3627">
        <v>-488.55259999999998</v>
      </c>
      <c r="H3627" s="1">
        <v>-2.3444220000000001E-6</v>
      </c>
      <c r="I3627">
        <v>194.4992</v>
      </c>
      <c r="J3627">
        <v>-492.60210000000001</v>
      </c>
      <c r="K3627">
        <v>1.1184289999999999</v>
      </c>
      <c r="L3627">
        <v>263.29520000000002</v>
      </c>
      <c r="M3627">
        <v>2.4175200000000001E-2</v>
      </c>
      <c r="N3627">
        <v>2.2727279999999999E-3</v>
      </c>
      <c r="O3627">
        <v>-0.99970539999999997</v>
      </c>
      <c r="P3627">
        <v>3.7712030000000001E-2</v>
      </c>
      <c r="Q3627">
        <v>-7.0280759999999998E-2</v>
      </c>
      <c r="R3627">
        <v>-0.99681430000000004</v>
      </c>
      <c r="S3627">
        <v>0.1762695</v>
      </c>
      <c r="T3627">
        <v>-4.8648719999999999E-2</v>
      </c>
      <c r="U3627">
        <v>-2.9997250000000002</v>
      </c>
      <c r="V3627">
        <v>-1.374037E-2</v>
      </c>
      <c r="W3627">
        <v>-7.2521520000000006E-2</v>
      </c>
      <c r="X3627">
        <v>0.99727220000000005</v>
      </c>
      <c r="Y3627">
        <v>-3.450048E-2</v>
      </c>
      <c r="Z3627">
        <v>1.8460480000000001E-2</v>
      </c>
      <c r="AA3627">
        <v>0.99923419999999996</v>
      </c>
      <c r="AB3627">
        <v>21</v>
      </c>
      <c r="AC3627">
        <v>4.0495000000000196</v>
      </c>
      <c r="AD3627">
        <v>-1.118431344422</v>
      </c>
      <c r="AE3627">
        <v>-68.796000000000006</v>
      </c>
      <c r="AF3627">
        <v>-2.3845274834387</v>
      </c>
      <c r="AG3627">
        <v>-1.118431344422</v>
      </c>
      <c r="AH3627">
        <v>68.8556555820455</v>
      </c>
      <c r="AI3627">
        <v>90.930023522175205</v>
      </c>
      <c r="AJ3627">
        <v>91.983406909481602</v>
      </c>
      <c r="AK3627">
        <v>68.906009648104998</v>
      </c>
      <c r="AL3627">
        <v>94.158827916830504</v>
      </c>
      <c r="AM3627">
        <v>90.789368639352006</v>
      </c>
      <c r="AN3627">
        <v>1.00000000476184</v>
      </c>
    </row>
    <row r="3628" spans="1:40" x14ac:dyDescent="0.25">
      <c r="A3628" t="str">
        <f>"20190303153839561"</f>
        <v>20190303153839561</v>
      </c>
      <c r="B3628" t="str">
        <f>"1551598719552310"</f>
        <v>1551598719552310</v>
      </c>
      <c r="C3628" t="s">
        <v>40</v>
      </c>
      <c r="D3628">
        <v>4.5664059999999997</v>
      </c>
      <c r="E3628">
        <v>0.49239470000000002</v>
      </c>
      <c r="F3628" t="s">
        <v>42</v>
      </c>
      <c r="G3628">
        <v>-488.29660000000001</v>
      </c>
      <c r="H3628" s="1">
        <v>-7.5401189999999997E-7</v>
      </c>
      <c r="I3628">
        <v>190.53190000000001</v>
      </c>
      <c r="J3628">
        <v>-492.59980000000002</v>
      </c>
      <c r="K3628">
        <v>1.118417</v>
      </c>
      <c r="L3628">
        <v>263.1617</v>
      </c>
      <c r="M3628">
        <v>2.3268730000000001E-2</v>
      </c>
      <c r="N3628">
        <v>2.264753E-3</v>
      </c>
      <c r="O3628">
        <v>-0.99972700000000003</v>
      </c>
      <c r="P3628">
        <v>3.7657780000000002E-2</v>
      </c>
      <c r="Q3628">
        <v>-6.926177E-2</v>
      </c>
      <c r="R3628">
        <v>-0.99688770000000004</v>
      </c>
      <c r="S3628">
        <v>0.17749019999999999</v>
      </c>
      <c r="T3628">
        <v>-4.6106340000000003E-2</v>
      </c>
      <c r="U3628">
        <v>-2.999603</v>
      </c>
      <c r="V3628">
        <v>-1.458981E-2</v>
      </c>
      <c r="W3628">
        <v>-7.14925E-2</v>
      </c>
      <c r="X3628">
        <v>0.99733439999999995</v>
      </c>
      <c r="Y3628">
        <v>-3.5815140000000002E-2</v>
      </c>
      <c r="Z3628">
        <v>1.7607299999999999E-2</v>
      </c>
      <c r="AA3628">
        <v>0.99920330000000002</v>
      </c>
      <c r="AB3628">
        <v>21</v>
      </c>
      <c r="AC3628">
        <v>4.3032000000000004</v>
      </c>
      <c r="AD3628">
        <v>-1.11841775401189</v>
      </c>
      <c r="AE3628">
        <v>-72.629799999999904</v>
      </c>
      <c r="AF3628">
        <v>-2.61141082026713</v>
      </c>
      <c r="AG3628">
        <v>-1.11841775401189</v>
      </c>
      <c r="AH3628">
        <v>72.693088266370196</v>
      </c>
      <c r="AI3628">
        <v>90.880885159659698</v>
      </c>
      <c r="AJ3628">
        <v>92.057396490833497</v>
      </c>
      <c r="AK3628">
        <v>72.748576662687995</v>
      </c>
      <c r="AL3628">
        <v>94.099716095631294</v>
      </c>
      <c r="AM3628">
        <v>90.838108977310497</v>
      </c>
      <c r="AN3628">
        <v>0.99999997276772201</v>
      </c>
    </row>
    <row r="3629" spans="1:40" x14ac:dyDescent="0.25">
      <c r="A3629" t="str">
        <f>"20190303153839571"</f>
        <v>20190303153839571</v>
      </c>
      <c r="B3629" t="str">
        <f>"1551598719562070"</f>
        <v>1551598719562070</v>
      </c>
      <c r="C3629" t="s">
        <v>40</v>
      </c>
      <c r="D3629">
        <v>4.5674640000000002</v>
      </c>
      <c r="E3629">
        <v>0.49243229999999999</v>
      </c>
      <c r="F3629" t="s">
        <v>42</v>
      </c>
      <c r="G3629">
        <v>-488.06209999999999</v>
      </c>
      <c r="H3629" s="1">
        <v>-3.2273049999999999E-6</v>
      </c>
      <c r="I3629">
        <v>186.3544</v>
      </c>
      <c r="J3629">
        <v>-492.59780000000001</v>
      </c>
      <c r="K3629">
        <v>1.1184050000000001</v>
      </c>
      <c r="L3629">
        <v>263.04340000000002</v>
      </c>
      <c r="M3629">
        <v>2.2467589999999999E-2</v>
      </c>
      <c r="N3629">
        <v>2.2487509999999998E-3</v>
      </c>
      <c r="O3629">
        <v>-0.99974510000000005</v>
      </c>
      <c r="P3629">
        <v>3.7841800000000002E-2</v>
      </c>
      <c r="Q3629">
        <v>-6.7898420000000001E-2</v>
      </c>
      <c r="R3629">
        <v>-0.99697460000000004</v>
      </c>
      <c r="S3629">
        <v>0.1772156</v>
      </c>
      <c r="T3629">
        <v>-4.3679240000000001E-2</v>
      </c>
      <c r="U3629">
        <v>-2.9996640000000001</v>
      </c>
      <c r="V3629">
        <v>-1.557148E-2</v>
      </c>
      <c r="W3629">
        <v>-7.0110899999999907E-2</v>
      </c>
      <c r="X3629">
        <v>0.99741769999999996</v>
      </c>
      <c r="Y3629">
        <v>-3.652441E-2</v>
      </c>
      <c r="Z3629">
        <v>1.6783780000000002E-2</v>
      </c>
      <c r="AA3629">
        <v>0.99919179999999996</v>
      </c>
      <c r="AB3629">
        <v>21</v>
      </c>
      <c r="AC3629">
        <v>4.5357000000000198</v>
      </c>
      <c r="AD3629">
        <v>-1.11840822730499</v>
      </c>
      <c r="AE3629">
        <v>-76.688999999999993</v>
      </c>
      <c r="AF3629">
        <v>-2.8109380312558701</v>
      </c>
      <c r="AG3629">
        <v>-1.11840822730499</v>
      </c>
      <c r="AH3629">
        <v>76.755280235567199</v>
      </c>
      <c r="AI3629">
        <v>90.834243812535306</v>
      </c>
      <c r="AJ3629">
        <v>92.097353329056006</v>
      </c>
      <c r="AK3629">
        <v>76.814876512423794</v>
      </c>
      <c r="AL3629">
        <v>94.020356813689702</v>
      </c>
      <c r="AM3629">
        <v>90.894417265950395</v>
      </c>
      <c r="AN3629">
        <v>1.00000003878074</v>
      </c>
    </row>
    <row r="3630" spans="1:40" x14ac:dyDescent="0.25">
      <c r="A3630" t="str">
        <f>"20190303153839584"</f>
        <v>20190303153839584</v>
      </c>
      <c r="B3630" t="str">
        <f>"1551598719571829"</f>
        <v>1551598719571829</v>
      </c>
      <c r="C3630" t="s">
        <v>40</v>
      </c>
      <c r="D3630">
        <v>4.5395519999999996</v>
      </c>
      <c r="E3630">
        <v>0.4925388</v>
      </c>
      <c r="F3630" t="s">
        <v>42</v>
      </c>
      <c r="G3630">
        <v>-487.79020000000003</v>
      </c>
      <c r="H3630" s="1">
        <v>-1.303779E-6</v>
      </c>
      <c r="I3630">
        <v>181.75149999999999</v>
      </c>
      <c r="J3630">
        <v>-492.596</v>
      </c>
      <c r="K3630">
        <v>1.1183890000000001</v>
      </c>
      <c r="L3630">
        <v>262.92360000000002</v>
      </c>
      <c r="M3630">
        <v>2.166206E-2</v>
      </c>
      <c r="N3630">
        <v>2.2156229999999999E-3</v>
      </c>
      <c r="O3630">
        <v>-0.99976279999999995</v>
      </c>
      <c r="P3630">
        <v>3.7939380000000002E-2</v>
      </c>
      <c r="Q3630">
        <v>-6.6714590000000004E-2</v>
      </c>
      <c r="R3630">
        <v>-0.99705060000000001</v>
      </c>
      <c r="S3630">
        <v>0.17739869999999999</v>
      </c>
      <c r="T3630">
        <v>-4.1268230000000003E-2</v>
      </c>
      <c r="U3630">
        <v>-2.999603</v>
      </c>
      <c r="V3630">
        <v>-1.6470820000000001E-2</v>
      </c>
      <c r="W3630">
        <v>-6.8891859999999999E-2</v>
      </c>
      <c r="X3630">
        <v>0.99748809999999999</v>
      </c>
      <c r="Y3630">
        <v>-3.7392340000000003E-2</v>
      </c>
      <c r="Z3630">
        <v>1.594891E-2</v>
      </c>
      <c r="AA3630">
        <v>0.99917339999999999</v>
      </c>
      <c r="AB3630">
        <v>22</v>
      </c>
      <c r="AC3630">
        <v>4.8057999999999703</v>
      </c>
      <c r="AD3630">
        <v>-1.118390303779</v>
      </c>
      <c r="AE3630">
        <v>-81.1721</v>
      </c>
      <c r="AF3630">
        <v>-3.04573676636763</v>
      </c>
      <c r="AG3630">
        <v>-1.118390303779</v>
      </c>
      <c r="AH3630">
        <v>81.241788111289694</v>
      </c>
      <c r="AI3630">
        <v>90.788141463607602</v>
      </c>
      <c r="AJ3630">
        <v>92.147000689801601</v>
      </c>
      <c r="AK3630">
        <v>81.306552287262093</v>
      </c>
      <c r="AL3630">
        <v>93.950342037284202</v>
      </c>
      <c r="AM3630">
        <v>90.945998970716303</v>
      </c>
      <c r="AN3630">
        <v>0.99999994296366901</v>
      </c>
    </row>
    <row r="3631" spans="1:40" x14ac:dyDescent="0.25">
      <c r="A3631" t="str">
        <f>"20190303153839597"</f>
        <v>20190303153839597</v>
      </c>
      <c r="B3631" t="str">
        <f>"1551598719592326"</f>
        <v>1551598719592326</v>
      </c>
      <c r="C3631" t="s">
        <v>40</v>
      </c>
      <c r="D3631">
        <v>4.5571219999999997</v>
      </c>
      <c r="E3631">
        <v>0.49264989999999997</v>
      </c>
      <c r="F3631" t="s">
        <v>42</v>
      </c>
      <c r="G3631">
        <v>-487.49619999999999</v>
      </c>
      <c r="H3631" s="1">
        <v>-3.4287619999999999E-6</v>
      </c>
      <c r="I3631">
        <v>176.59</v>
      </c>
      <c r="J3631">
        <v>-492.5942</v>
      </c>
      <c r="K3631">
        <v>1.118384</v>
      </c>
      <c r="L3631">
        <v>262.80220000000003</v>
      </c>
      <c r="M3631">
        <v>2.0856719999999999E-2</v>
      </c>
      <c r="N3631">
        <v>2.1626639999999999E-3</v>
      </c>
      <c r="O3631">
        <v>-0.99978029999999996</v>
      </c>
      <c r="P3631">
        <v>3.8275030000000002E-2</v>
      </c>
      <c r="Q3631">
        <v>-6.5361249999999996E-2</v>
      </c>
      <c r="R3631">
        <v>-0.99712780000000001</v>
      </c>
      <c r="S3631">
        <v>0.17718510000000001</v>
      </c>
      <c r="T3631">
        <v>-3.8856630000000003E-2</v>
      </c>
      <c r="U3631">
        <v>-2.9995120000000002</v>
      </c>
      <c r="V3631">
        <v>-1.7607859999999999E-2</v>
      </c>
      <c r="W3631">
        <v>-6.7483080000000001E-2</v>
      </c>
      <c r="X3631">
        <v>0.99756500000000004</v>
      </c>
      <c r="Y3631">
        <v>-3.8128929999999998E-2</v>
      </c>
      <c r="Z3631">
        <v>1.5094150000000001E-2</v>
      </c>
      <c r="AA3631">
        <v>0.99915880000000001</v>
      </c>
      <c r="AB3631">
        <v>22</v>
      </c>
      <c r="AC3631">
        <v>5.0980000000000096</v>
      </c>
      <c r="AD3631">
        <v>-1.1183874287619999</v>
      </c>
      <c r="AE3631">
        <v>-86.212199999999996</v>
      </c>
      <c r="AF3631">
        <v>-3.2982303157967001</v>
      </c>
      <c r="AG3631">
        <v>-1.1183874287619999</v>
      </c>
      <c r="AH3631">
        <v>86.285304414318006</v>
      </c>
      <c r="AI3631">
        <v>90.742056103951498</v>
      </c>
      <c r="AJ3631">
        <v>92.189048530428295</v>
      </c>
      <c r="AK3631">
        <v>86.355560744681497</v>
      </c>
      <c r="AL3631">
        <v>93.869436482861204</v>
      </c>
      <c r="AM3631">
        <v>91.011213618575198</v>
      </c>
      <c r="AN3631">
        <v>0.99999996602253205</v>
      </c>
    </row>
    <row r="3632" spans="1:40" x14ac:dyDescent="0.25">
      <c r="A3632" t="str">
        <f>"20190303153839613"</f>
        <v>20190303153839613</v>
      </c>
      <c r="B3632" t="str">
        <f>"1551598719602086"</f>
        <v>1551598719602086</v>
      </c>
      <c r="C3632" t="s">
        <v>40</v>
      </c>
      <c r="D3632">
        <v>4.5437890000000003</v>
      </c>
      <c r="E3632">
        <v>0.49270059999999899</v>
      </c>
      <c r="F3632" t="s">
        <v>42</v>
      </c>
      <c r="G3632">
        <v>-487.0421</v>
      </c>
      <c r="H3632" s="1">
        <v>-4.8338810000000001E-6</v>
      </c>
      <c r="I3632">
        <v>168.7473</v>
      </c>
      <c r="J3632">
        <v>-492.59199999999998</v>
      </c>
      <c r="K3632">
        <v>1.118398</v>
      </c>
      <c r="L3632">
        <v>262.63979999999998</v>
      </c>
      <c r="M3632">
        <v>1.9797809999999999E-2</v>
      </c>
      <c r="N3632">
        <v>2.0571140000000001E-3</v>
      </c>
      <c r="O3632">
        <v>-0.99980210000000003</v>
      </c>
      <c r="P3632">
        <v>4.0200189999999997E-2</v>
      </c>
      <c r="Q3632">
        <v>-6.4289799999999994E-2</v>
      </c>
      <c r="R3632">
        <v>-0.99712179999999995</v>
      </c>
      <c r="S3632">
        <v>0.177063</v>
      </c>
      <c r="T3632">
        <v>-3.5666580000000003E-2</v>
      </c>
      <c r="U3632">
        <v>-2.9995120000000002</v>
      </c>
      <c r="V3632">
        <v>-2.058857E-2</v>
      </c>
      <c r="W3632">
        <v>-6.6299720000000006E-2</v>
      </c>
      <c r="X3632">
        <v>0.99758729999999995</v>
      </c>
      <c r="Y3632">
        <v>-3.9147710000000002E-2</v>
      </c>
      <c r="Z3632">
        <v>1.392732E-2</v>
      </c>
      <c r="AA3632">
        <v>0.99913640000000004</v>
      </c>
      <c r="AB3632">
        <v>22</v>
      </c>
      <c r="AC3632">
        <v>5.5498999999999796</v>
      </c>
      <c r="AD3632">
        <v>-1.1184028338809999</v>
      </c>
      <c r="AE3632">
        <v>-93.892499999999899</v>
      </c>
      <c r="AF3632">
        <v>-3.68942117539491</v>
      </c>
      <c r="AG3632">
        <v>-1.1184028338809999</v>
      </c>
      <c r="AH3632">
        <v>93.970686909891498</v>
      </c>
      <c r="AI3632">
        <v>90.681355163167694</v>
      </c>
      <c r="AJ3632">
        <v>92.248358015886595</v>
      </c>
      <c r="AK3632">
        <v>94.049734990722499</v>
      </c>
      <c r="AL3632">
        <v>93.801482684991001</v>
      </c>
      <c r="AM3632">
        <v>91.182323315620494</v>
      </c>
      <c r="AN3632">
        <v>0.99999998160400605</v>
      </c>
    </row>
    <row r="3633" spans="1:40" x14ac:dyDescent="0.25">
      <c r="A3633" t="str">
        <f>"20190303153839624"</f>
        <v>20190303153839624</v>
      </c>
      <c r="B3633" t="str">
        <f>"1551598719611846"</f>
        <v>1551598719611846</v>
      </c>
      <c r="C3633" t="s">
        <v>40</v>
      </c>
      <c r="D3633">
        <v>4.5524199999999997</v>
      </c>
      <c r="E3633">
        <v>0.49274240000000002</v>
      </c>
      <c r="F3633" t="s">
        <v>42</v>
      </c>
      <c r="G3633">
        <v>-486.37329999999997</v>
      </c>
      <c r="H3633" s="1">
        <v>-1.2563379999999999E-6</v>
      </c>
      <c r="I3633">
        <v>160.4032</v>
      </c>
      <c r="J3633">
        <v>-492.59050000000002</v>
      </c>
      <c r="K3633">
        <v>1.118414</v>
      </c>
      <c r="L3633">
        <v>262.52710000000002</v>
      </c>
      <c r="M3633">
        <v>1.9086289999999999E-2</v>
      </c>
      <c r="N3633">
        <v>1.9432259999999999E-3</v>
      </c>
      <c r="O3633">
        <v>-0.99981609999999999</v>
      </c>
      <c r="P3633">
        <v>4.1192659999999999E-2</v>
      </c>
      <c r="Q3633">
        <v>-6.4338069999999997E-2</v>
      </c>
      <c r="R3633">
        <v>-0.99707809999999997</v>
      </c>
      <c r="S3633">
        <v>0.18243409999999999</v>
      </c>
      <c r="T3633">
        <v>-3.2809619999999998E-2</v>
      </c>
      <c r="U3633">
        <v>-2.9992369999999999</v>
      </c>
      <c r="V3633">
        <v>-2.2291600000000002E-2</v>
      </c>
      <c r="W3633">
        <v>-6.623068E-2</v>
      </c>
      <c r="X3633">
        <v>0.99755530000000003</v>
      </c>
      <c r="Y3633">
        <v>-4.1647780000000002E-2</v>
      </c>
      <c r="Z3633">
        <v>1.2862800000000001E-2</v>
      </c>
      <c r="AA3633">
        <v>0.99904950000000003</v>
      </c>
      <c r="AB3633">
        <v>22</v>
      </c>
      <c r="AC3633">
        <v>6.21720000000004</v>
      </c>
      <c r="AD3633">
        <v>-1.1184152563380001</v>
      </c>
      <c r="AE3633">
        <v>-102.12390000000001</v>
      </c>
      <c r="AF3633">
        <v>-4.2663879032134302</v>
      </c>
      <c r="AG3633">
        <v>-1.1184152563380001</v>
      </c>
      <c r="AH3633">
        <v>102.211746899627</v>
      </c>
      <c r="AI3633">
        <v>90.626368053549697</v>
      </c>
      <c r="AJ3633">
        <v>92.390177366294395</v>
      </c>
      <c r="AK3633">
        <v>102.306862539615</v>
      </c>
      <c r="AL3633">
        <v>93.797518210318302</v>
      </c>
      <c r="AM3633">
        <v>91.280131605936305</v>
      </c>
      <c r="AN3633">
        <v>0.99999999748095603</v>
      </c>
    </row>
    <row r="3634" spans="1:40" x14ac:dyDescent="0.25">
      <c r="A3634" t="str">
        <f>"20190303153839636"</f>
        <v>20190303153839636</v>
      </c>
      <c r="B3634" t="str">
        <f>"1551598719632341"</f>
        <v>1551598719632341</v>
      </c>
      <c r="C3634" t="s">
        <v>40</v>
      </c>
      <c r="D3634">
        <v>4.5128769999999996</v>
      </c>
      <c r="E3634">
        <v>0.49292049999999998</v>
      </c>
      <c r="F3634" t="s">
        <v>42</v>
      </c>
      <c r="G3634">
        <v>-486.44869999999997</v>
      </c>
      <c r="H3634" s="1">
        <v>-2.3209760000000001E-6</v>
      </c>
      <c r="I3634">
        <v>163.20859999999999</v>
      </c>
      <c r="J3634">
        <v>-492.58909999999997</v>
      </c>
      <c r="K3634">
        <v>1.1184459999999901</v>
      </c>
      <c r="L3634">
        <v>262.41050000000001</v>
      </c>
      <c r="M3634">
        <v>1.8374479999999999E-2</v>
      </c>
      <c r="N3634">
        <v>1.7772980000000001E-3</v>
      </c>
      <c r="O3634">
        <v>-0.99982969999999904</v>
      </c>
      <c r="P3634">
        <v>4.222393E-2</v>
      </c>
      <c r="Q3634">
        <v>-6.5053089999999994E-2</v>
      </c>
      <c r="R3634">
        <v>-0.99698830000000005</v>
      </c>
      <c r="S3634">
        <v>0.18545529999999999</v>
      </c>
      <c r="T3634">
        <v>-3.3771040000000002E-2</v>
      </c>
      <c r="U3634">
        <v>-2.9989620000000001</v>
      </c>
      <c r="V3634">
        <v>-2.403545E-2</v>
      </c>
      <c r="W3634">
        <v>-6.6776639999999998E-2</v>
      </c>
      <c r="X3634">
        <v>0.99747839999999999</v>
      </c>
      <c r="Y3634">
        <v>-4.3367179999999998E-2</v>
      </c>
      <c r="Z3634">
        <v>1.301747E-2</v>
      </c>
      <c r="AA3634">
        <v>0.99897440000000004</v>
      </c>
      <c r="AB3634">
        <v>22</v>
      </c>
      <c r="AC3634">
        <v>6.1403999999999996</v>
      </c>
      <c r="AD3634">
        <v>-1.1184483209760001</v>
      </c>
      <c r="AE3634">
        <v>-99.201899999999995</v>
      </c>
      <c r="AF3634">
        <v>-4.3160307961544602</v>
      </c>
      <c r="AG3634">
        <v>-1.1184483209760001</v>
      </c>
      <c r="AH3634">
        <v>99.285406660654502</v>
      </c>
      <c r="AI3634">
        <v>90.644799718766805</v>
      </c>
      <c r="AJ3634">
        <v>92.489134742388401</v>
      </c>
      <c r="AK3634">
        <v>99.385466866396399</v>
      </c>
      <c r="AL3634">
        <v>93.828868845966895</v>
      </c>
      <c r="AM3634">
        <v>91.3803440790428</v>
      </c>
      <c r="AN3634">
        <v>0.99999999048647603</v>
      </c>
    </row>
    <row r="3635" spans="1:40" x14ac:dyDescent="0.25">
      <c r="A3635" t="str">
        <f>"20190303153839646"</f>
        <v>20190303153839646</v>
      </c>
      <c r="B3635" t="str">
        <f>"1551598719642102"</f>
        <v>1551598719642102</v>
      </c>
      <c r="C3635" t="s">
        <v>40</v>
      </c>
      <c r="D3635">
        <v>4.5160049999999998</v>
      </c>
      <c r="E3635">
        <v>0.49292049999999998</v>
      </c>
      <c r="F3635" t="s">
        <v>42</v>
      </c>
      <c r="G3635">
        <v>-486.98149999999998</v>
      </c>
      <c r="H3635" s="1">
        <v>-1.813452E-6</v>
      </c>
      <c r="I3635">
        <v>172.61189999999999</v>
      </c>
      <c r="J3635">
        <v>-492.58769999999998</v>
      </c>
      <c r="K3635">
        <v>1.1184829999999999</v>
      </c>
      <c r="L3635">
        <v>262.29610000000002</v>
      </c>
      <c r="M3635">
        <v>1.7693259999999999E-2</v>
      </c>
      <c r="N3635">
        <v>1.5802959999999999E-3</v>
      </c>
      <c r="O3635">
        <v>-0.99984229999999996</v>
      </c>
      <c r="P3635">
        <v>4.2967390000000001E-2</v>
      </c>
      <c r="Q3635">
        <v>-6.6219089999999994E-2</v>
      </c>
      <c r="R3635">
        <v>-0.99687979999999998</v>
      </c>
      <c r="S3635">
        <v>0.1872559</v>
      </c>
      <c r="T3635">
        <v>-3.7348869999999999E-2</v>
      </c>
      <c r="U3635">
        <v>-2.998688</v>
      </c>
      <c r="V3635">
        <v>-2.546066E-2</v>
      </c>
      <c r="W3635">
        <v>-6.7743499999999998E-2</v>
      </c>
      <c r="X3635">
        <v>0.99737790000000004</v>
      </c>
      <c r="Y3635">
        <v>-4.4650170000000003E-2</v>
      </c>
      <c r="Z3635">
        <v>1.4012149999999999E-2</v>
      </c>
      <c r="AA3635">
        <v>0.99890440000000003</v>
      </c>
      <c r="AB3635">
        <v>22</v>
      </c>
      <c r="AC3635">
        <v>5.6062000000000003</v>
      </c>
      <c r="AD3635">
        <v>-1.11848481345199</v>
      </c>
      <c r="AE3635">
        <v>-89.684200000000004</v>
      </c>
      <c r="AF3635">
        <v>-4.0178922119481904</v>
      </c>
      <c r="AG3635">
        <v>-1.11848481345199</v>
      </c>
      <c r="AH3635">
        <v>89.755447272196903</v>
      </c>
      <c r="AI3635">
        <v>90.713238486944206</v>
      </c>
      <c r="AJ3635">
        <v>92.5631277748695</v>
      </c>
      <c r="AK3635">
        <v>89.852294245260495</v>
      </c>
      <c r="AL3635">
        <v>93.884391342339697</v>
      </c>
      <c r="AM3635">
        <v>91.462305920702093</v>
      </c>
      <c r="AN3635">
        <v>1.00000005120414</v>
      </c>
    </row>
    <row r="3636" spans="1:40" x14ac:dyDescent="0.25">
      <c r="A3636" t="str">
        <f>"20190303153839658"</f>
        <v>20190303153839658</v>
      </c>
      <c r="B3636" t="str">
        <f>"1551598719651862"</f>
        <v>1551598719651862</v>
      </c>
      <c r="C3636" t="s">
        <v>40</v>
      </c>
      <c r="D3636">
        <v>4.5366669999999996</v>
      </c>
      <c r="E3636">
        <v>0.4929752</v>
      </c>
      <c r="F3636" t="s">
        <v>42</v>
      </c>
      <c r="G3636">
        <v>-487.40410000000003</v>
      </c>
      <c r="H3636" s="1">
        <v>-8.8322380000000001E-7</v>
      </c>
      <c r="I3636">
        <v>180.21369999999999</v>
      </c>
      <c r="J3636">
        <v>-492.5865</v>
      </c>
      <c r="K3636">
        <v>1.118554</v>
      </c>
      <c r="L3636">
        <v>262.1891</v>
      </c>
      <c r="M3636">
        <v>1.7096210000000001E-2</v>
      </c>
      <c r="N3636">
        <v>1.304188E-3</v>
      </c>
      <c r="O3636">
        <v>-0.9998532</v>
      </c>
      <c r="P3636">
        <v>4.3798320000000002E-2</v>
      </c>
      <c r="Q3636">
        <v>-6.7672709999999997E-2</v>
      </c>
      <c r="R3636">
        <v>-0.99674589999999996</v>
      </c>
      <c r="S3636">
        <v>0.18936159999999999</v>
      </c>
      <c r="T3636">
        <v>-4.0858749999999999E-2</v>
      </c>
      <c r="U3636">
        <v>-2.9985050000000002</v>
      </c>
      <c r="V3636">
        <v>-2.6888550000000001E-2</v>
      </c>
      <c r="W3636">
        <v>-6.8919889999999998E-2</v>
      </c>
      <c r="X3636">
        <v>0.99725980000000003</v>
      </c>
      <c r="Y3636">
        <v>-4.5948379999999997E-2</v>
      </c>
      <c r="Z3636">
        <v>1.490474E-2</v>
      </c>
      <c r="AA3636">
        <v>0.99883259999999996</v>
      </c>
      <c r="AB3636">
        <v>22</v>
      </c>
      <c r="AC3636">
        <v>5.1823999999999701</v>
      </c>
      <c r="AD3636">
        <v>-1.1185548832237999</v>
      </c>
      <c r="AE3636">
        <v>-81.975399999999993</v>
      </c>
      <c r="AF3636">
        <v>-3.7794721394744202</v>
      </c>
      <c r="AG3636">
        <v>-1.1185548832237999</v>
      </c>
      <c r="AH3636">
        <v>82.036805344359806</v>
      </c>
      <c r="AI3636">
        <v>90.780340115260401</v>
      </c>
      <c r="AJ3636">
        <v>92.637776906710201</v>
      </c>
      <c r="AK3636">
        <v>82.131437378072405</v>
      </c>
      <c r="AL3636">
        <v>93.951951531624999</v>
      </c>
      <c r="AM3636">
        <v>91.544459397770396</v>
      </c>
      <c r="AN3636">
        <v>1.0000000270273699</v>
      </c>
    </row>
    <row r="3637" spans="1:40" x14ac:dyDescent="0.25">
      <c r="A3637" t="str">
        <f>"20190303153839670"</f>
        <v>20190303153839670</v>
      </c>
      <c r="B3637" t="str">
        <f>"1551598719661621"</f>
        <v>1551598719661621</v>
      </c>
      <c r="C3637" t="s">
        <v>40</v>
      </c>
      <c r="D3637">
        <v>4.5294589999999904</v>
      </c>
      <c r="E3637">
        <v>0.49300620000000001</v>
      </c>
      <c r="F3637" t="s">
        <v>42</v>
      </c>
      <c r="G3637">
        <v>-487.91399999999999</v>
      </c>
      <c r="H3637" s="1">
        <v>-4.3719959999999997E-6</v>
      </c>
      <c r="I3637">
        <v>188.9615</v>
      </c>
      <c r="J3637">
        <v>-492.58519999999999</v>
      </c>
      <c r="K3637">
        <v>1.1186480000000001</v>
      </c>
      <c r="L3637">
        <v>262.06639999999999</v>
      </c>
      <c r="M3637">
        <v>1.6424680000000001E-2</v>
      </c>
      <c r="N3637">
        <v>9.5282660000000003E-4</v>
      </c>
      <c r="O3637">
        <v>-0.9998648</v>
      </c>
      <c r="P3637">
        <v>4.4347329999999997E-2</v>
      </c>
      <c r="Q3637">
        <v>-6.9360599999999994E-2</v>
      </c>
      <c r="R3637">
        <v>-0.99660559999999998</v>
      </c>
      <c r="S3637">
        <v>0.1913147</v>
      </c>
      <c r="T3637">
        <v>-4.5799140000000002E-2</v>
      </c>
      <c r="U3637">
        <v>-2.998291</v>
      </c>
      <c r="V3637">
        <v>-2.810849E-2</v>
      </c>
      <c r="W3637">
        <v>-7.0256620000000006E-2</v>
      </c>
      <c r="X3637">
        <v>0.99713280000000004</v>
      </c>
      <c r="Y3637">
        <v>-4.7270439999999997E-2</v>
      </c>
      <c r="Z3637">
        <v>1.619839E-2</v>
      </c>
      <c r="AA3637">
        <v>0.99875080000000005</v>
      </c>
      <c r="AB3637">
        <v>22</v>
      </c>
      <c r="AC3637">
        <v>4.67119999999999</v>
      </c>
      <c r="AD3637">
        <v>-1.11865237199599</v>
      </c>
      <c r="AE3637">
        <v>-73.104899999999901</v>
      </c>
      <c r="AF3637">
        <v>-3.4690359481837598</v>
      </c>
      <c r="AG3637">
        <v>-1.11865237199599</v>
      </c>
      <c r="AH3637">
        <v>73.154701912969301</v>
      </c>
      <c r="AI3637">
        <v>90.875092599753302</v>
      </c>
      <c r="AJ3637">
        <v>92.714963345537598</v>
      </c>
      <c r="AK3637">
        <v>73.245450408298794</v>
      </c>
      <c r="AL3637">
        <v>94.028726950426204</v>
      </c>
      <c r="AM3637">
        <v>91.614701132548404</v>
      </c>
      <c r="AN3637">
        <v>0.99999995034987099</v>
      </c>
    </row>
    <row r="3638" spans="1:40" x14ac:dyDescent="0.25">
      <c r="A3638" t="str">
        <f>"20190303153839681"</f>
        <v>20190303153839681</v>
      </c>
      <c r="B3638" t="str">
        <f>"1551598719672357"</f>
        <v>1551598719672357</v>
      </c>
      <c r="C3638" t="s">
        <v>40</v>
      </c>
      <c r="D3638">
        <v>4.5578589999999997</v>
      </c>
      <c r="E3638">
        <v>0.49300620000000001</v>
      </c>
      <c r="F3638" t="s">
        <v>42</v>
      </c>
      <c r="G3638">
        <v>-488.40890000000002</v>
      </c>
      <c r="H3638" s="1">
        <v>-3.533335E-6</v>
      </c>
      <c r="I3638">
        <v>197.21119999999999</v>
      </c>
      <c r="J3638">
        <v>-492.584</v>
      </c>
      <c r="K3638">
        <v>1.1187819999999999</v>
      </c>
      <c r="L3638">
        <v>261.94880000000001</v>
      </c>
      <c r="M3638">
        <v>1.5834609999999999E-2</v>
      </c>
      <c r="N3638">
        <v>4.7945030000000002E-4</v>
      </c>
      <c r="O3638">
        <v>-0.99987459999999995</v>
      </c>
      <c r="P3638">
        <v>4.5018170000000003E-2</v>
      </c>
      <c r="Q3638">
        <v>-7.0817749999999999E-2</v>
      </c>
      <c r="R3638">
        <v>-0.99647300000000005</v>
      </c>
      <c r="S3638">
        <v>0.19305420000000001</v>
      </c>
      <c r="T3638">
        <v>-5.171108E-2</v>
      </c>
      <c r="U3638">
        <v>-2.9980159999999998</v>
      </c>
      <c r="V3638">
        <v>-2.9364029999999999E-2</v>
      </c>
      <c r="W3638">
        <v>-7.1242330000000006E-2</v>
      </c>
      <c r="X3638">
        <v>0.99702670000000004</v>
      </c>
      <c r="Y3638">
        <v>-4.8441089999999999E-2</v>
      </c>
      <c r="Z3638">
        <v>1.7693819999999999E-2</v>
      </c>
      <c r="AA3638">
        <v>0.99866929999999998</v>
      </c>
      <c r="AB3638">
        <v>22</v>
      </c>
      <c r="AC3638">
        <v>4.17509999999998</v>
      </c>
      <c r="AD3638">
        <v>-1.1187855333350001</v>
      </c>
      <c r="AE3638">
        <v>-64.7376</v>
      </c>
      <c r="AF3638">
        <v>-3.1485454149183401</v>
      </c>
      <c r="AG3638">
        <v>-1.1187855333350001</v>
      </c>
      <c r="AH3638">
        <v>64.776328468067902</v>
      </c>
      <c r="AI3638">
        <v>90.988320140241299</v>
      </c>
      <c r="AJ3638">
        <v>92.782752595399998</v>
      </c>
      <c r="AK3638">
        <v>64.862452536906403</v>
      </c>
      <c r="AL3638">
        <v>94.085345744930393</v>
      </c>
      <c r="AM3638">
        <v>91.686964647331806</v>
      </c>
      <c r="AN3638">
        <v>0.99999997817727904</v>
      </c>
    </row>
    <row r="3639" spans="1:40" x14ac:dyDescent="0.25">
      <c r="A3639" t="str">
        <f>"20190303153839693"</f>
        <v>20190303153839693</v>
      </c>
      <c r="B3639" t="str">
        <f>"1551598719682118"</f>
        <v>1551598719682118</v>
      </c>
      <c r="C3639" t="s">
        <v>40</v>
      </c>
      <c r="D3639">
        <v>4.6738749999999998</v>
      </c>
      <c r="E3639">
        <v>0.49334309999999998</v>
      </c>
      <c r="F3639" t="s">
        <v>51</v>
      </c>
      <c r="G3639">
        <v>-488.70080000000002</v>
      </c>
      <c r="H3639" s="1">
        <v>6.6720589999999995E-7</v>
      </c>
      <c r="I3639">
        <v>202.13</v>
      </c>
      <c r="J3639">
        <v>-492.58280000000002</v>
      </c>
      <c r="K3639">
        <v>1.1189290000000001</v>
      </c>
      <c r="L3639">
        <v>261.83150000000001</v>
      </c>
      <c r="M3639">
        <v>1.5264420000000001E-2</v>
      </c>
      <c r="N3639" s="1">
        <v>-3.3678369999999997E-5</v>
      </c>
      <c r="O3639">
        <v>-0.99988350000000004</v>
      </c>
      <c r="P3639">
        <v>4.555298E-2</v>
      </c>
      <c r="Q3639">
        <v>-7.1931910000000002E-2</v>
      </c>
      <c r="R3639">
        <v>-0.9963689</v>
      </c>
      <c r="S3639">
        <v>0.19461059999999999</v>
      </c>
      <c r="T3639">
        <v>-5.606854E-2</v>
      </c>
      <c r="U3639">
        <v>-2.9978639999999999</v>
      </c>
      <c r="V3639">
        <v>-3.0461869999999999E-2</v>
      </c>
      <c r="W3639">
        <v>-7.1846380000000001E-2</v>
      </c>
      <c r="X3639">
        <v>0.99695040000000001</v>
      </c>
      <c r="Y3639">
        <v>-4.9528910000000002E-2</v>
      </c>
      <c r="Z3639">
        <v>1.863153E-2</v>
      </c>
      <c r="AA3639">
        <v>0.99859889999999996</v>
      </c>
      <c r="AB3639">
        <v>22</v>
      </c>
      <c r="AC3639">
        <v>3.8820000000000001</v>
      </c>
      <c r="AD3639">
        <v>-1.1189283327941</v>
      </c>
      <c r="AE3639">
        <v>-59.701500000000003</v>
      </c>
      <c r="AF3639">
        <v>-2.9692003694681302</v>
      </c>
      <c r="AG3639">
        <v>-1.1189283327941</v>
      </c>
      <c r="AH3639">
        <v>59.732907072821398</v>
      </c>
      <c r="AI3639">
        <v>91.071827028253395</v>
      </c>
      <c r="AJ3639">
        <v>92.845713490651093</v>
      </c>
      <c r="AK3639">
        <v>59.817124126944599</v>
      </c>
      <c r="AL3639">
        <v>94.120044238094295</v>
      </c>
      <c r="AM3639">
        <v>91.750130935214301</v>
      </c>
      <c r="AN3639">
        <v>0.99999996395157997</v>
      </c>
    </row>
    <row r="3640" spans="1:40" x14ac:dyDescent="0.25">
      <c r="A3640" t="str">
        <f>"20190303153839705"</f>
        <v>20190303153839705</v>
      </c>
      <c r="B3640" t="str">
        <f>"1551598719701638"</f>
        <v>1551598719701638</v>
      </c>
      <c r="C3640" t="s">
        <v>40</v>
      </c>
      <c r="D3640">
        <v>4.6503489999999896</v>
      </c>
      <c r="E3640">
        <v>0.52269309999999902</v>
      </c>
      <c r="F3640" t="s">
        <v>51</v>
      </c>
      <c r="G3640">
        <v>-489.16860000000003</v>
      </c>
      <c r="H3640" s="1">
        <v>2.7424460000000002E-6</v>
      </c>
      <c r="I3640">
        <v>208.92089999999999</v>
      </c>
      <c r="J3640">
        <v>-492.58159999999998</v>
      </c>
      <c r="K3640">
        <v>1.1191089999999999</v>
      </c>
      <c r="L3640">
        <v>261.70530000000002</v>
      </c>
      <c r="M3640">
        <v>1.4685129999999999E-2</v>
      </c>
      <c r="N3640">
        <v>-6.6502490000000004E-4</v>
      </c>
      <c r="O3640">
        <v>-0.99989209999999995</v>
      </c>
      <c r="P3640">
        <v>4.584266E-2</v>
      </c>
      <c r="Q3640">
        <v>-7.2714879999999996E-2</v>
      </c>
      <c r="R3640">
        <v>-0.99629880000000004</v>
      </c>
      <c r="S3640">
        <v>0.19342039999999999</v>
      </c>
      <c r="T3640">
        <v>-6.3388819999999999E-2</v>
      </c>
      <c r="U3640">
        <v>-2.9974669999999999</v>
      </c>
      <c r="V3640">
        <v>-3.1319560000000003E-2</v>
      </c>
      <c r="W3640">
        <v>-7.2003010000000006E-2</v>
      </c>
      <c r="X3640">
        <v>0.99691249999999998</v>
      </c>
      <c r="Y3640">
        <v>-4.9718610000000003E-2</v>
      </c>
      <c r="Z3640">
        <v>2.043975E-2</v>
      </c>
      <c r="AA3640">
        <v>0.9985541</v>
      </c>
      <c r="AB3640">
        <v>22</v>
      </c>
      <c r="AC3640">
        <v>3.4129999999999501</v>
      </c>
      <c r="AD3640">
        <v>-1.1191062575539901</v>
      </c>
      <c r="AE3640">
        <v>-52.784399999999998</v>
      </c>
      <c r="AF3640">
        <v>-2.6363060491102499</v>
      </c>
      <c r="AG3640">
        <v>-1.1191062575539901</v>
      </c>
      <c r="AH3640">
        <v>52.805191278661702</v>
      </c>
      <c r="AI3640">
        <v>91.212584240886102</v>
      </c>
      <c r="AJ3640">
        <v>92.858126183381501</v>
      </c>
      <c r="AK3640">
        <v>52.882801877135101</v>
      </c>
      <c r="AL3640">
        <v>94.129041876535496</v>
      </c>
      <c r="AM3640">
        <v>91.799444354476094</v>
      </c>
      <c r="AN3640">
        <v>0.99999994047194996</v>
      </c>
    </row>
    <row r="3641" spans="1:40" x14ac:dyDescent="0.25">
      <c r="A3641" t="str">
        <f>"20190303153839718"</f>
        <v>20190303153839718</v>
      </c>
      <c r="B3641" t="str">
        <f>"1551598719712374"</f>
        <v>1551598719712374</v>
      </c>
      <c r="C3641" t="s">
        <v>40</v>
      </c>
      <c r="D3641">
        <v>4.6215960000000003</v>
      </c>
      <c r="E3641">
        <v>0.52178630000000004</v>
      </c>
      <c r="F3641" t="s">
        <v>51</v>
      </c>
      <c r="G3641">
        <v>-493.18650000000002</v>
      </c>
      <c r="H3641" s="1">
        <v>2.8129350000000001E-6</v>
      </c>
      <c r="I3641">
        <v>216.2002</v>
      </c>
      <c r="J3641">
        <v>-492.5804</v>
      </c>
      <c r="K3641">
        <v>1.1193010000000001</v>
      </c>
      <c r="L3641">
        <v>261.58150000000001</v>
      </c>
      <c r="M3641">
        <v>1.416014E-2</v>
      </c>
      <c r="N3641">
        <v>-1.338253E-3</v>
      </c>
      <c r="O3641">
        <v>-0.99989899999999998</v>
      </c>
      <c r="P3641">
        <v>4.6222060000000002E-2</v>
      </c>
      <c r="Q3641">
        <v>-7.355776E-2</v>
      </c>
      <c r="R3641">
        <v>-0.99621939999999998</v>
      </c>
      <c r="S3641">
        <v>-3.9978029999999998E-2</v>
      </c>
      <c r="T3641">
        <v>-7.3965069999999994E-2</v>
      </c>
      <c r="U3641">
        <v>-3.007568</v>
      </c>
      <c r="V3641">
        <v>-3.2212350000000001E-2</v>
      </c>
      <c r="W3641">
        <v>-7.2178599999999996E-2</v>
      </c>
      <c r="X3641">
        <v>0.99687139999999996</v>
      </c>
      <c r="Y3641">
        <v>2.744481E-2</v>
      </c>
      <c r="Z3641">
        <v>2.3238140000000001E-2</v>
      </c>
      <c r="AA3641">
        <v>0.99935320000000005</v>
      </c>
      <c r="AB3641">
        <v>22</v>
      </c>
      <c r="AC3641">
        <v>-0.60610000000002595</v>
      </c>
      <c r="AD3641">
        <v>-1.1192981870649901</v>
      </c>
      <c r="AE3641">
        <v>-45.381300000000003</v>
      </c>
      <c r="AF3641">
        <v>1.24788628076972</v>
      </c>
      <c r="AG3641">
        <v>-1.1192981870649901</v>
      </c>
      <c r="AH3641">
        <v>45.3405905784034</v>
      </c>
      <c r="AI3641">
        <v>91.413607052713203</v>
      </c>
      <c r="AJ3641">
        <v>88.423475050111605</v>
      </c>
      <c r="AK3641">
        <v>45.371568218430603</v>
      </c>
      <c r="AL3641">
        <v>94.139128495451104</v>
      </c>
      <c r="AM3641">
        <v>91.850780078380595</v>
      </c>
      <c r="AN3641">
        <v>0.99999998696422099</v>
      </c>
    </row>
    <row r="3642" spans="1:40" x14ac:dyDescent="0.25">
      <c r="A3642" t="str">
        <f>"20190303153839731"</f>
        <v>20190303153839731</v>
      </c>
      <c r="B3642" t="str">
        <f>"1551598719722133"</f>
        <v>1551598719722133</v>
      </c>
      <c r="C3642" t="s">
        <v>40</v>
      </c>
      <c r="D3642">
        <v>4.6178140000000001</v>
      </c>
      <c r="E3642">
        <v>0.52092950000000005</v>
      </c>
      <c r="F3642" t="s">
        <v>51</v>
      </c>
      <c r="G3642">
        <v>-492.96449999999999</v>
      </c>
      <c r="H3642" s="1">
        <v>4.7696909999999998E-6</v>
      </c>
      <c r="I3642">
        <v>225.75409999999999</v>
      </c>
      <c r="J3642">
        <v>-492.57920000000001</v>
      </c>
      <c r="K3642">
        <v>1.119505</v>
      </c>
      <c r="L3642">
        <v>261.45260000000002</v>
      </c>
      <c r="M3642">
        <v>1.364279E-2</v>
      </c>
      <c r="N3642">
        <v>-2.0639679999999998E-3</v>
      </c>
      <c r="O3642">
        <v>-0.99990469999999998</v>
      </c>
      <c r="P3642">
        <v>4.6490070000000001E-2</v>
      </c>
      <c r="Q3642">
        <v>-7.4479160000000003E-2</v>
      </c>
      <c r="R3642">
        <v>-0.99613810000000003</v>
      </c>
      <c r="S3642">
        <v>-3.2226560000000001E-2</v>
      </c>
      <c r="T3642">
        <v>-9.3909140000000002E-2</v>
      </c>
      <c r="U3642">
        <v>-3.0059200000000001</v>
      </c>
      <c r="V3642">
        <v>-3.2984769999999997E-2</v>
      </c>
      <c r="W3642">
        <v>-7.2381459999999995E-2</v>
      </c>
      <c r="X3642">
        <v>0.99683140000000003</v>
      </c>
      <c r="Y3642">
        <v>2.4356059999999999E-2</v>
      </c>
      <c r="Z3642">
        <v>2.915309E-2</v>
      </c>
      <c r="AA3642">
        <v>0.99927820000000001</v>
      </c>
      <c r="AB3642">
        <v>22</v>
      </c>
      <c r="AC3642">
        <v>-0.385299999999972</v>
      </c>
      <c r="AD3642">
        <v>-1.119500230309</v>
      </c>
      <c r="AE3642">
        <v>-35.698500000000003</v>
      </c>
      <c r="AF3642">
        <v>0.87143546141519701</v>
      </c>
      <c r="AG3642">
        <v>-1.119500230309</v>
      </c>
      <c r="AH3642">
        <v>35.654860669442201</v>
      </c>
      <c r="AI3642">
        <v>91.797859835199603</v>
      </c>
      <c r="AJ3642">
        <v>88.599920606128094</v>
      </c>
      <c r="AK3642">
        <v>35.683073997154601</v>
      </c>
      <c r="AL3642">
        <v>94.150782129800604</v>
      </c>
      <c r="AM3642">
        <v>91.895203944686401</v>
      </c>
      <c r="AN3642">
        <v>0.99999995541482101</v>
      </c>
    </row>
    <row r="3643" spans="1:40" x14ac:dyDescent="0.25">
      <c r="A3643" t="str">
        <f>"20190303153839747"</f>
        <v>20190303153839747</v>
      </c>
      <c r="B3643" t="str">
        <f>"1551598719741654"</f>
        <v>1551598719741654</v>
      </c>
      <c r="C3643" t="s">
        <v>40</v>
      </c>
      <c r="D3643">
        <v>4.6597530000000003</v>
      </c>
      <c r="E3643">
        <v>0.51989960000000002</v>
      </c>
      <c r="F3643" t="s">
        <v>51</v>
      </c>
      <c r="G3643">
        <v>-492.84300000000002</v>
      </c>
      <c r="H3643" s="1">
        <v>5.8129870000000004E-6</v>
      </c>
      <c r="I3643">
        <v>229.38040000000001</v>
      </c>
      <c r="J3643">
        <v>-492.57760000000002</v>
      </c>
      <c r="K3643">
        <v>1.119772</v>
      </c>
      <c r="L3643">
        <v>261.28519999999997</v>
      </c>
      <c r="M3643">
        <v>1.3066629999999999E-2</v>
      </c>
      <c r="N3643">
        <v>-3.0453440000000002E-3</v>
      </c>
      <c r="O3643">
        <v>-0.99991010000000002</v>
      </c>
      <c r="P3643">
        <v>4.7736290000000001E-2</v>
      </c>
      <c r="Q3643">
        <v>-7.5835949999999999E-2</v>
      </c>
      <c r="R3643">
        <v>-0.99597720000000001</v>
      </c>
      <c r="S3643">
        <v>-2.471924E-2</v>
      </c>
      <c r="T3643">
        <v>-0.10489030000000001</v>
      </c>
      <c r="U3643">
        <v>-3.0049739999999998</v>
      </c>
      <c r="V3643">
        <v>-3.4789500000000001E-2</v>
      </c>
      <c r="W3643">
        <v>-7.2766830000000005E-2</v>
      </c>
      <c r="X3643">
        <v>0.99674200000000002</v>
      </c>
      <c r="Y3643">
        <v>2.1285970000000001E-2</v>
      </c>
      <c r="Z3643">
        <v>3.1831499999999999E-2</v>
      </c>
      <c r="AA3643">
        <v>0.9992666</v>
      </c>
      <c r="AB3643">
        <v>22</v>
      </c>
      <c r="AC3643">
        <v>-0.26539999999999903</v>
      </c>
      <c r="AD3643">
        <v>-1.119766187013</v>
      </c>
      <c r="AE3643">
        <v>-31.904799999999899</v>
      </c>
      <c r="AF3643">
        <v>0.68142811656916602</v>
      </c>
      <c r="AG3643">
        <v>-1.119766187013</v>
      </c>
      <c r="AH3643">
        <v>31.859366424605501</v>
      </c>
      <c r="AI3643">
        <v>92.012495307496906</v>
      </c>
      <c r="AJ3643">
        <v>88.774708745612301</v>
      </c>
      <c r="AK3643">
        <v>31.886320728000499</v>
      </c>
      <c r="AL3643">
        <v>94.172920532741202</v>
      </c>
      <c r="AM3643">
        <v>91.998995407443701</v>
      </c>
      <c r="AN3643">
        <v>0.99999996771124799</v>
      </c>
    </row>
    <row r="3644" spans="1:40" x14ac:dyDescent="0.25">
      <c r="A3644" t="str">
        <f>"20190303153839761"</f>
        <v>20190303153839761</v>
      </c>
      <c r="B3644" t="str">
        <f>"1551598719752389"</f>
        <v>1551598719752389</v>
      </c>
      <c r="C3644" t="s">
        <v>40</v>
      </c>
      <c r="D3644">
        <v>4.5862980000000002</v>
      </c>
      <c r="E3644">
        <v>0.51941009999999999</v>
      </c>
      <c r="F3644" t="s">
        <v>42</v>
      </c>
      <c r="G3644">
        <v>-492.70389999999998</v>
      </c>
      <c r="H3644" s="1">
        <v>-2.049031E-6</v>
      </c>
      <c r="I3644">
        <v>232.6884</v>
      </c>
      <c r="J3644">
        <v>-492.5763</v>
      </c>
      <c r="K3644">
        <v>1.119961</v>
      </c>
      <c r="L3644">
        <v>261.15350000000001</v>
      </c>
      <c r="M3644">
        <v>1.2707070000000001E-2</v>
      </c>
      <c r="N3644">
        <v>-3.8105719999999999E-3</v>
      </c>
      <c r="O3644">
        <v>-0.99991209999999997</v>
      </c>
      <c r="P3644">
        <v>4.819507E-2</v>
      </c>
      <c r="Q3644">
        <v>-7.6892699999999994E-2</v>
      </c>
      <c r="R3644">
        <v>-0.99587400000000004</v>
      </c>
      <c r="S3644">
        <v>-1.3275149999999999E-2</v>
      </c>
      <c r="T3644">
        <v>-0.11762019999999999</v>
      </c>
      <c r="U3644">
        <v>-3.003784</v>
      </c>
      <c r="V3644">
        <v>-3.5594309999999997E-2</v>
      </c>
      <c r="W3644">
        <v>-7.3067190000000004E-2</v>
      </c>
      <c r="X3644">
        <v>0.99669160000000001</v>
      </c>
      <c r="Y3644">
        <v>1.712195E-2</v>
      </c>
      <c r="Z3644">
        <v>3.5311519999999999E-2</v>
      </c>
      <c r="AA3644">
        <v>0.9992297</v>
      </c>
      <c r="AB3644">
        <v>22</v>
      </c>
      <c r="AC3644">
        <v>-0.12759999999997201</v>
      </c>
      <c r="AD3644">
        <v>-1.119963049031</v>
      </c>
      <c r="AE3644">
        <v>-28.4651</v>
      </c>
      <c r="AF3644">
        <v>0.48854403613295799</v>
      </c>
      <c r="AG3644">
        <v>-1.119963049031</v>
      </c>
      <c r="AH3644">
        <v>28.4171902747673</v>
      </c>
      <c r="AI3644">
        <v>92.256609336000395</v>
      </c>
      <c r="AJ3644">
        <v>89.015076653445604</v>
      </c>
      <c r="AK3644">
        <v>28.443447323043799</v>
      </c>
      <c r="AL3644">
        <v>94.190175870648702</v>
      </c>
      <c r="AM3644">
        <v>92.045304079719898</v>
      </c>
      <c r="AN3644">
        <v>0.99999995733471503</v>
      </c>
    </row>
    <row r="3645" spans="1:40" x14ac:dyDescent="0.25">
      <c r="A3645" t="str">
        <f>"20190303153839775"</f>
        <v>20190303153839775</v>
      </c>
      <c r="B3645" t="str">
        <f>"1551598719771910"</f>
        <v>1551598719771910</v>
      </c>
      <c r="C3645" t="s">
        <v>40</v>
      </c>
      <c r="D3645">
        <v>4.6333019999999996</v>
      </c>
      <c r="E3645">
        <v>0.51934769999999997</v>
      </c>
      <c r="F3645" t="s">
        <v>42</v>
      </c>
      <c r="G3645">
        <v>-492.64679999999998</v>
      </c>
      <c r="H3645" s="1">
        <v>-2.6694389999999998E-6</v>
      </c>
      <c r="I3645">
        <v>234.17</v>
      </c>
      <c r="J3645">
        <v>-492.57499999999999</v>
      </c>
      <c r="K3645">
        <v>1.120152</v>
      </c>
      <c r="L3645">
        <v>261.01280000000003</v>
      </c>
      <c r="M3645">
        <v>1.2392230000000001E-2</v>
      </c>
      <c r="N3645">
        <v>-4.6107379999999996E-3</v>
      </c>
      <c r="O3645">
        <v>-0.99991269999999999</v>
      </c>
      <c r="P3645">
        <v>4.844826E-2</v>
      </c>
      <c r="Q3645">
        <v>-7.7807890000000005E-2</v>
      </c>
      <c r="R3645">
        <v>-0.99579059999999997</v>
      </c>
      <c r="S3645">
        <v>-7.8430180000000002E-3</v>
      </c>
      <c r="T3645">
        <v>-0.1246483</v>
      </c>
      <c r="U3645">
        <v>-3.003174</v>
      </c>
      <c r="V3645">
        <v>-3.6147650000000003E-2</v>
      </c>
      <c r="W3645">
        <v>-7.3192190000000004E-2</v>
      </c>
      <c r="X3645">
        <v>0.99666259999999995</v>
      </c>
      <c r="Y3645">
        <v>1.5000319999999999E-2</v>
      </c>
      <c r="Z3645">
        <v>3.6855369999999998E-2</v>
      </c>
      <c r="AA3645">
        <v>0.99920799999999999</v>
      </c>
      <c r="AB3645">
        <v>22</v>
      </c>
      <c r="AC3645">
        <v>-7.1799999999996006E-2</v>
      </c>
      <c r="AD3645">
        <v>-1.1201546694390001</v>
      </c>
      <c r="AE3645">
        <v>-26.8428</v>
      </c>
      <c r="AF3645">
        <v>0.403737069364003</v>
      </c>
      <c r="AG3645">
        <v>-1.1201546694390001</v>
      </c>
      <c r="AH3645">
        <v>26.793191492097101</v>
      </c>
      <c r="AI3645">
        <v>92.393724126766699</v>
      </c>
      <c r="AJ3645">
        <v>89.136695622647494</v>
      </c>
      <c r="AK3645">
        <v>26.819635725282101</v>
      </c>
      <c r="AL3645">
        <v>94.197356708098894</v>
      </c>
      <c r="AM3645">
        <v>92.0771325984919</v>
      </c>
      <c r="AN3645">
        <v>1.00000004375813</v>
      </c>
    </row>
    <row r="3646" spans="1:40" x14ac:dyDescent="0.25">
      <c r="A3646" t="str">
        <f>"20190303153839791"</f>
        <v>20190303153839791</v>
      </c>
      <c r="B3646" t="str">
        <f>"1551598719781673"</f>
        <v>1551598719781673</v>
      </c>
      <c r="C3646" t="s">
        <v>40</v>
      </c>
      <c r="D3646">
        <v>4.6429710000000002</v>
      </c>
      <c r="E3646">
        <v>0.51931769999999999</v>
      </c>
      <c r="F3646" t="s">
        <v>42</v>
      </c>
      <c r="G3646">
        <v>-492.63299999999998</v>
      </c>
      <c r="H3646" s="1">
        <v>-3.1422359999999999E-6</v>
      </c>
      <c r="I3646">
        <v>235.2807</v>
      </c>
      <c r="J3646">
        <v>-492.57319999999999</v>
      </c>
      <c r="K3646">
        <v>1.120366</v>
      </c>
      <c r="L3646">
        <v>260.8467</v>
      </c>
      <c r="M3646">
        <v>1.214001E-2</v>
      </c>
      <c r="N3646">
        <v>-5.51704E-3</v>
      </c>
      <c r="O3646">
        <v>-0.99991110000000005</v>
      </c>
      <c r="P3646">
        <v>4.9421239999999998E-2</v>
      </c>
      <c r="Q3646">
        <v>-7.8442330000000005E-2</v>
      </c>
      <c r="R3646">
        <v>-0.99569300000000005</v>
      </c>
      <c r="S3646">
        <v>-6.7749019999999898E-3</v>
      </c>
      <c r="T3646">
        <v>-0.13071479999999999</v>
      </c>
      <c r="U3646">
        <v>-3.002777</v>
      </c>
      <c r="V3646">
        <v>-3.7354989999999998E-2</v>
      </c>
      <c r="W3646">
        <v>-7.2932220000000006E-2</v>
      </c>
      <c r="X3646">
        <v>0.99663710000000005</v>
      </c>
      <c r="Y3646">
        <v>1.439263E-2</v>
      </c>
      <c r="Z3646">
        <v>3.7970440000000001E-2</v>
      </c>
      <c r="AA3646">
        <v>0.99917520000000004</v>
      </c>
      <c r="AB3646">
        <v>22</v>
      </c>
      <c r="AC3646">
        <v>-5.9800000000052402E-2</v>
      </c>
      <c r="AD3646">
        <v>-1.120369142236</v>
      </c>
      <c r="AE3646">
        <v>-25.565999999999999</v>
      </c>
      <c r="AF3646">
        <v>0.36946228867836101</v>
      </c>
      <c r="AG3646">
        <v>-1.120369142236</v>
      </c>
      <c r="AH3646">
        <v>25.514391797818401</v>
      </c>
      <c r="AI3646">
        <v>92.514051552165498</v>
      </c>
      <c r="AJ3646">
        <v>89.170383891777007</v>
      </c>
      <c r="AK3646">
        <v>25.541650655551098</v>
      </c>
      <c r="AL3646">
        <v>94.182421765073101</v>
      </c>
      <c r="AM3646">
        <v>92.146500337402401</v>
      </c>
      <c r="AN3646">
        <v>1.0000000065442101</v>
      </c>
    </row>
    <row r="3647" spans="1:40" x14ac:dyDescent="0.25">
      <c r="A3647" t="str">
        <f>"20190303153839803"</f>
        <v>20190303153839803</v>
      </c>
      <c r="B3647" t="str">
        <f>"1551598719792406"</f>
        <v>1551598719792406</v>
      </c>
      <c r="C3647" t="s">
        <v>40</v>
      </c>
      <c r="D3647">
        <v>4.6163679999999996</v>
      </c>
      <c r="E3647">
        <v>0.51959759999999999</v>
      </c>
      <c r="F3647" t="s">
        <v>42</v>
      </c>
      <c r="G3647">
        <v>-492.60410000000002</v>
      </c>
      <c r="H3647" s="1">
        <v>-3.3196890000000001E-6</v>
      </c>
      <c r="I3647">
        <v>235.7122</v>
      </c>
      <c r="J3647">
        <v>-492.57190000000003</v>
      </c>
      <c r="K3647">
        <v>1.1205000000000001</v>
      </c>
      <c r="L3647">
        <v>260.72739999999999</v>
      </c>
      <c r="M3647">
        <v>1.2054560000000001E-2</v>
      </c>
      <c r="N3647">
        <v>-6.1255229999999999E-3</v>
      </c>
      <c r="O3647">
        <v>-0.99990869999999998</v>
      </c>
      <c r="P3647">
        <v>4.984007E-2</v>
      </c>
      <c r="Q3647">
        <v>-7.8746559999999993E-2</v>
      </c>
      <c r="R3647">
        <v>-0.99564810000000004</v>
      </c>
      <c r="S3647">
        <v>-3.692627E-3</v>
      </c>
      <c r="T3647">
        <v>-0.13384089999999901</v>
      </c>
      <c r="U3647">
        <v>-3.0025940000000002</v>
      </c>
      <c r="V3647">
        <v>-3.7846709999999999E-2</v>
      </c>
      <c r="W3647">
        <v>-7.2636489999999998E-2</v>
      </c>
      <c r="X3647">
        <v>0.99664010000000003</v>
      </c>
      <c r="Y3647">
        <v>1.328153E-2</v>
      </c>
      <c r="Z3647">
        <v>3.8403720000000002E-2</v>
      </c>
      <c r="AA3647">
        <v>0.99917409999999995</v>
      </c>
      <c r="AB3647">
        <v>22</v>
      </c>
      <c r="AC3647">
        <v>-3.2199999999988897E-2</v>
      </c>
      <c r="AD3647">
        <v>-1.120503319689</v>
      </c>
      <c r="AE3647">
        <v>-25.0152</v>
      </c>
      <c r="AF3647">
        <v>0.33308221418949302</v>
      </c>
      <c r="AG3647">
        <v>-1.120503319689</v>
      </c>
      <c r="AH3647">
        <v>24.962908601504001</v>
      </c>
      <c r="AI3647">
        <v>92.569866527049996</v>
      </c>
      <c r="AJ3647">
        <v>89.235542902519697</v>
      </c>
      <c r="AK3647">
        <v>24.990263650027501</v>
      </c>
      <c r="AL3647">
        <v>94.165432813882504</v>
      </c>
      <c r="AM3647">
        <v>92.174722162206294</v>
      </c>
      <c r="AN3647">
        <v>0.99999996103267597</v>
      </c>
    </row>
    <row r="3648" spans="1:40" x14ac:dyDescent="0.25">
      <c r="A3648" t="str">
        <f>"20190303153839816"</f>
        <v>20190303153839816</v>
      </c>
      <c r="B3648" t="str">
        <f>"1551598719811926"</f>
        <v>1551598719811926</v>
      </c>
      <c r="C3648" t="s">
        <v>40</v>
      </c>
      <c r="D3648">
        <v>4.5826719999999996</v>
      </c>
      <c r="E3648">
        <v>0.51974390000000004</v>
      </c>
      <c r="F3648" t="s">
        <v>42</v>
      </c>
      <c r="G3648">
        <v>-492.61180000000002</v>
      </c>
      <c r="H3648" s="1">
        <v>-3.3204539999999998E-6</v>
      </c>
      <c r="I3648">
        <v>235.70920000000001</v>
      </c>
      <c r="J3648">
        <v>-492.57049999999998</v>
      </c>
      <c r="K3648">
        <v>1.120633</v>
      </c>
      <c r="L3648">
        <v>260.6026</v>
      </c>
      <c r="M3648">
        <v>1.202227E-2</v>
      </c>
      <c r="N3648">
        <v>-6.7304349999999999E-3</v>
      </c>
      <c r="O3648">
        <v>-0.9999053</v>
      </c>
      <c r="P3648">
        <v>5.036413E-2</v>
      </c>
      <c r="Q3648">
        <v>-7.8879019999999994E-2</v>
      </c>
      <c r="R3648">
        <v>-0.99561149999999998</v>
      </c>
      <c r="S3648">
        <v>-4.7912600000000003E-3</v>
      </c>
      <c r="T3648">
        <v>-0.1344861</v>
      </c>
      <c r="U3648">
        <v>-3.0027469999999998</v>
      </c>
      <c r="V3648">
        <v>-3.8390720000000003E-2</v>
      </c>
      <c r="W3648">
        <v>-7.2172810000000004E-2</v>
      </c>
      <c r="X3648">
        <v>0.99665300000000001</v>
      </c>
      <c r="Y3648">
        <v>1.361452E-2</v>
      </c>
      <c r="Z3648">
        <v>3.8011110000000001E-2</v>
      </c>
      <c r="AA3648">
        <v>0.99918450000000003</v>
      </c>
      <c r="AB3648">
        <v>22</v>
      </c>
      <c r="AC3648">
        <v>-4.1300000000035197E-2</v>
      </c>
      <c r="AD3648">
        <v>-1.120636320454</v>
      </c>
      <c r="AE3648">
        <v>-24.8933999999999</v>
      </c>
      <c r="AF3648">
        <v>0.33989009537341702</v>
      </c>
      <c r="AG3648">
        <v>-1.120636320454</v>
      </c>
      <c r="AH3648">
        <v>24.840763009480799</v>
      </c>
      <c r="AI3648">
        <v>92.582780145872206</v>
      </c>
      <c r="AJ3648">
        <v>89.216084756239397</v>
      </c>
      <c r="AK3648">
        <v>24.868350526981999</v>
      </c>
      <c r="AL3648">
        <v>94.138795905385393</v>
      </c>
      <c r="AM3648">
        <v>92.2059225105492</v>
      </c>
      <c r="AN3648">
        <v>0.99999998214720698</v>
      </c>
    </row>
    <row r="3649" spans="1:40" x14ac:dyDescent="0.25">
      <c r="A3649" t="str">
        <f>"20190303153839830"</f>
        <v>20190303153839830</v>
      </c>
      <c r="B3649" t="str">
        <f>"1551598719821686"</f>
        <v>1551598719821686</v>
      </c>
      <c r="C3649" t="s">
        <v>40</v>
      </c>
      <c r="D3649">
        <v>4.5490969999999997</v>
      </c>
      <c r="E3649">
        <v>0.51979640000000005</v>
      </c>
      <c r="F3649" t="s">
        <v>42</v>
      </c>
      <c r="G3649">
        <v>-492.6071</v>
      </c>
      <c r="H3649" s="1">
        <v>-3.473619E-6</v>
      </c>
      <c r="I3649">
        <v>236.0692</v>
      </c>
      <c r="J3649">
        <v>-492.56880000000001</v>
      </c>
      <c r="K3649">
        <v>1.120771</v>
      </c>
      <c r="L3649">
        <v>260.45749999999998</v>
      </c>
      <c r="M3649">
        <v>1.205142E-2</v>
      </c>
      <c r="N3649">
        <v>-7.3978219999999897E-3</v>
      </c>
      <c r="O3649">
        <v>-0.99990009999999996</v>
      </c>
      <c r="P3649">
        <v>5.100296E-2</v>
      </c>
      <c r="Q3649">
        <v>-7.9298999999999994E-2</v>
      </c>
      <c r="R3649">
        <v>-0.99554529999999997</v>
      </c>
      <c r="S3649">
        <v>-4.4860840000000004E-3</v>
      </c>
      <c r="T3649">
        <v>-0.1371523</v>
      </c>
      <c r="U3649">
        <v>-3.0025940000000002</v>
      </c>
      <c r="V3649">
        <v>-3.8987340000000002E-2</v>
      </c>
      <c r="W3649">
        <v>-7.1935680000000002E-2</v>
      </c>
      <c r="X3649">
        <v>0.99664699999999995</v>
      </c>
      <c r="Y3649">
        <v>1.3541940000000001E-2</v>
      </c>
      <c r="Z3649">
        <v>3.8231849999999998E-2</v>
      </c>
      <c r="AA3649">
        <v>0.99917719999999999</v>
      </c>
      <c r="AB3649">
        <v>22</v>
      </c>
      <c r="AC3649">
        <v>-3.8299999999992403E-2</v>
      </c>
      <c r="AD3649">
        <v>-1.120774473619</v>
      </c>
      <c r="AE3649">
        <v>-24.388299999999902</v>
      </c>
      <c r="AF3649">
        <v>0.33151874934893999</v>
      </c>
      <c r="AG3649">
        <v>-1.120774473619</v>
      </c>
      <c r="AH3649">
        <v>24.3346749389632</v>
      </c>
      <c r="AI3649">
        <v>92.636745888575703</v>
      </c>
      <c r="AJ3649">
        <v>89.219490285104101</v>
      </c>
      <c r="AK3649">
        <v>24.362726540493899</v>
      </c>
      <c r="AL3649">
        <v>94.125173881273795</v>
      </c>
      <c r="AM3649">
        <v>92.240182980243006</v>
      </c>
      <c r="AN3649">
        <v>0.99999999867316802</v>
      </c>
    </row>
    <row r="3650" spans="1:40" x14ac:dyDescent="0.25">
      <c r="A3650" t="str">
        <f>"20190303153839842"</f>
        <v>20190303153839842</v>
      </c>
      <c r="B3650" t="str">
        <f>"1551598719832422"</f>
        <v>1551598719832422</v>
      </c>
      <c r="C3650" t="s">
        <v>40</v>
      </c>
      <c r="D3650">
        <v>4.5377169999999998</v>
      </c>
      <c r="E3650">
        <v>0.51975439999999995</v>
      </c>
      <c r="F3650" t="s">
        <v>42</v>
      </c>
      <c r="G3650">
        <v>-492.5917</v>
      </c>
      <c r="H3650" s="1">
        <v>-3.5458870000000001E-6</v>
      </c>
      <c r="I3650">
        <v>236.24719999999999</v>
      </c>
      <c r="J3650">
        <v>-492.56740000000002</v>
      </c>
      <c r="K3650">
        <v>1.1208739999999999</v>
      </c>
      <c r="L3650">
        <v>260.34010000000001</v>
      </c>
      <c r="M3650">
        <v>1.216333E-2</v>
      </c>
      <c r="N3650">
        <v>-7.8913090000000009E-3</v>
      </c>
      <c r="O3650">
        <v>-0.99989519999999998</v>
      </c>
      <c r="P3650">
        <v>5.1881499999999997E-2</v>
      </c>
      <c r="Q3650">
        <v>-7.9692849999999996E-2</v>
      </c>
      <c r="R3650">
        <v>-0.99546869999999998</v>
      </c>
      <c r="S3650">
        <v>-2.8381349999999999E-3</v>
      </c>
      <c r="T3650">
        <v>-0.13899739999999999</v>
      </c>
      <c r="U3650">
        <v>-3.0025330000000001</v>
      </c>
      <c r="V3650">
        <v>-3.9743210000000001E-2</v>
      </c>
      <c r="W3650">
        <v>-7.1844779999999997E-2</v>
      </c>
      <c r="X3650">
        <v>0.9966237</v>
      </c>
      <c r="Y3650">
        <v>1.310539E-2</v>
      </c>
      <c r="Z3650">
        <v>3.835239E-2</v>
      </c>
      <c r="AA3650">
        <v>0.99917829999999996</v>
      </c>
      <c r="AB3650">
        <v>22</v>
      </c>
      <c r="AC3650">
        <v>-2.4299999999982402E-2</v>
      </c>
      <c r="AD3650">
        <v>-1.1208775458869999</v>
      </c>
      <c r="AE3650">
        <v>-24.0929</v>
      </c>
      <c r="AF3650">
        <v>0.31667172358024298</v>
      </c>
      <c r="AG3650">
        <v>-1.1208775458869999</v>
      </c>
      <c r="AH3650">
        <v>24.038792426776201</v>
      </c>
      <c r="AI3650">
        <v>92.669414919242101</v>
      </c>
      <c r="AJ3650">
        <v>89.245265590404998</v>
      </c>
      <c r="AK3650">
        <v>24.0669937630569</v>
      </c>
      <c r="AL3650">
        <v>94.119952189784399</v>
      </c>
      <c r="AM3650">
        <v>92.283622485295197</v>
      </c>
      <c r="AN3650">
        <v>0.99999999727802102</v>
      </c>
    </row>
    <row r="3651" spans="1:40" x14ac:dyDescent="0.25">
      <c r="A3651" t="str">
        <f>"20190303153839859"</f>
        <v>20190303153839859</v>
      </c>
      <c r="B3651" t="str">
        <f>"1551598719851941"</f>
        <v>1551598719851941</v>
      </c>
      <c r="C3651" t="s">
        <v>40</v>
      </c>
      <c r="D3651">
        <v>4.5077939999999996</v>
      </c>
      <c r="E3651">
        <v>0.51977810000000002</v>
      </c>
      <c r="F3651" t="s">
        <v>42</v>
      </c>
      <c r="G3651">
        <v>-492.56470000000002</v>
      </c>
      <c r="H3651" s="1">
        <v>-3.6338849999999999E-6</v>
      </c>
      <c r="I3651">
        <v>236.4691</v>
      </c>
      <c r="J3651">
        <v>-492.5652</v>
      </c>
      <c r="K3651">
        <v>1.1210039999999999</v>
      </c>
      <c r="L3651">
        <v>260.17930000000001</v>
      </c>
      <c r="M3651">
        <v>1.23905E-2</v>
      </c>
      <c r="N3651">
        <v>-8.5276129999999999E-3</v>
      </c>
      <c r="O3651">
        <v>-0.99988690000000002</v>
      </c>
      <c r="P3651">
        <v>5.3502899999999999E-2</v>
      </c>
      <c r="Q3651">
        <v>-8.0286319999999994E-2</v>
      </c>
      <c r="R3651">
        <v>-0.99533470000000002</v>
      </c>
      <c r="S3651">
        <v>3.3569339999999902E-4</v>
      </c>
      <c r="T3651">
        <v>-0.14097699999999999</v>
      </c>
      <c r="U3651">
        <v>-3.0023499999999999</v>
      </c>
      <c r="V3651">
        <v>-4.1123800000000002E-2</v>
      </c>
      <c r="W3651">
        <v>-7.1814639999999999E-2</v>
      </c>
      <c r="X3651">
        <v>0.99656990000000001</v>
      </c>
      <c r="Y3651">
        <v>1.227633E-2</v>
      </c>
      <c r="Z3651">
        <v>3.8376790000000001E-2</v>
      </c>
      <c r="AA3651">
        <v>0.99918790000000002</v>
      </c>
      <c r="AB3651">
        <v>22</v>
      </c>
      <c r="AC3651">
        <v>4.9999999998817603E-4</v>
      </c>
      <c r="AD3651">
        <v>-1.1210076338849999</v>
      </c>
      <c r="AE3651">
        <v>-23.7102</v>
      </c>
      <c r="AF3651">
        <v>0.29263779587504202</v>
      </c>
      <c r="AG3651">
        <v>-1.1210076338849999</v>
      </c>
      <c r="AH3651">
        <v>23.6555074637538</v>
      </c>
      <c r="AI3651">
        <v>92.712944885327104</v>
      </c>
      <c r="AJ3651">
        <v>89.291240933430501</v>
      </c>
      <c r="AK3651">
        <v>23.683862192693901</v>
      </c>
      <c r="AL3651">
        <v>94.118220656716204</v>
      </c>
      <c r="AM3651">
        <v>92.362989419254205</v>
      </c>
      <c r="AN3651">
        <v>1.0000000375153799</v>
      </c>
    </row>
    <row r="3652" spans="1:40" x14ac:dyDescent="0.25">
      <c r="A3652" t="str">
        <f>"20190303153839871"</f>
        <v>20190303153839871</v>
      </c>
      <c r="B3652" t="str">
        <f>"1551598719861702"</f>
        <v>1551598719861702</v>
      </c>
      <c r="C3652" t="s">
        <v>40</v>
      </c>
      <c r="D3652">
        <v>4.5449380000000001</v>
      </c>
      <c r="E3652">
        <v>0.51980890000000002</v>
      </c>
      <c r="F3652" t="s">
        <v>42</v>
      </c>
      <c r="G3652">
        <v>-492.52640000000002</v>
      </c>
      <c r="H3652" s="1">
        <v>-3.7996309999999998E-6</v>
      </c>
      <c r="I3652">
        <v>236.8792</v>
      </c>
      <c r="J3652">
        <v>-492.56360000000001</v>
      </c>
      <c r="K3652">
        <v>1.1210929999999999</v>
      </c>
      <c r="L3652">
        <v>260.06150000000002</v>
      </c>
      <c r="M3652">
        <v>1.260554E-2</v>
      </c>
      <c r="N3652">
        <v>-8.9671290000000008E-3</v>
      </c>
      <c r="O3652">
        <v>-0.99988030000000006</v>
      </c>
      <c r="P3652">
        <v>5.4348929999999997E-2</v>
      </c>
      <c r="Q3652">
        <v>-8.1108860000000005E-2</v>
      </c>
      <c r="R3652">
        <v>-0.99522259999999996</v>
      </c>
      <c r="S3652">
        <v>5.0048829999999999E-3</v>
      </c>
      <c r="T3652">
        <v>-0.14443810000000001</v>
      </c>
      <c r="U3652">
        <v>-3.0021360000000001</v>
      </c>
      <c r="V3652">
        <v>-4.1744650000000001E-2</v>
      </c>
      <c r="W3652">
        <v>-7.2207160000000006E-2</v>
      </c>
      <c r="X3652">
        <v>0.9965157</v>
      </c>
      <c r="Y3652">
        <v>1.0937530000000001E-2</v>
      </c>
      <c r="Z3652">
        <v>3.9090399999999997E-2</v>
      </c>
      <c r="AA3652">
        <v>0.99917579999999995</v>
      </c>
      <c r="AB3652">
        <v>22</v>
      </c>
      <c r="AC3652">
        <v>3.7199999999984301E-2</v>
      </c>
      <c r="AD3652">
        <v>-1.121096799631</v>
      </c>
      <c r="AE3652">
        <v>-23.182300000000001</v>
      </c>
      <c r="AF3652">
        <v>0.25444505927183397</v>
      </c>
      <c r="AG3652">
        <v>-1.121096799631</v>
      </c>
      <c r="AH3652">
        <v>23.126840457534101</v>
      </c>
      <c r="AI3652">
        <v>92.775130164978904</v>
      </c>
      <c r="AJ3652">
        <v>89.369648445979706</v>
      </c>
      <c r="AK3652">
        <v>23.155395696696001</v>
      </c>
      <c r="AL3652">
        <v>94.140769027385502</v>
      </c>
      <c r="AM3652">
        <v>92.3987526498384</v>
      </c>
      <c r="AN3652">
        <v>1.00000001505268</v>
      </c>
    </row>
    <row r="3653" spans="1:40" x14ac:dyDescent="0.25">
      <c r="A3653" t="str">
        <f>"20190303153839883"</f>
        <v>20190303153839883</v>
      </c>
      <c r="B3653" t="str">
        <f>"1551598719872438"</f>
        <v>1551598719872438</v>
      </c>
      <c r="C3653" t="s">
        <v>40</v>
      </c>
      <c r="D3653">
        <v>4.5441570000000002</v>
      </c>
      <c r="E3653">
        <v>0.51972159999999901</v>
      </c>
      <c r="F3653" t="s">
        <v>42</v>
      </c>
      <c r="G3653">
        <v>-492.50839999999999</v>
      </c>
      <c r="H3653" s="1">
        <v>-3.9007800000000003E-6</v>
      </c>
      <c r="I3653">
        <v>237.14189999999999</v>
      </c>
      <c r="J3653">
        <v>-492.56180000000001</v>
      </c>
      <c r="K3653">
        <v>1.1211789999999999</v>
      </c>
      <c r="L3653">
        <v>259.93799999999999</v>
      </c>
      <c r="M3653">
        <v>1.2910899999999999E-2</v>
      </c>
      <c r="N3653">
        <v>-9.3859789999999992E-3</v>
      </c>
      <c r="O3653">
        <v>-0.9998726</v>
      </c>
      <c r="P3653">
        <v>5.5367640000000003E-2</v>
      </c>
      <c r="Q3653">
        <v>-8.1994120000000004E-2</v>
      </c>
      <c r="R3653">
        <v>-0.99509380000000003</v>
      </c>
      <c r="S3653">
        <v>7.2326659999999996E-3</v>
      </c>
      <c r="T3653">
        <v>-0.14684330000000001</v>
      </c>
      <c r="U3653">
        <v>-3.0020449999999999</v>
      </c>
      <c r="V3653">
        <v>-4.2447850000000002E-2</v>
      </c>
      <c r="W3653">
        <v>-7.2683800000000007E-2</v>
      </c>
      <c r="X3653">
        <v>0.99645130000000004</v>
      </c>
      <c r="Y3653">
        <v>1.0501399999999999E-2</v>
      </c>
      <c r="Z3653">
        <v>3.9471720000000002E-2</v>
      </c>
      <c r="AA3653">
        <v>0.99916550000000004</v>
      </c>
      <c r="AB3653">
        <v>22</v>
      </c>
      <c r="AC3653">
        <v>5.3400000000010502E-2</v>
      </c>
      <c r="AD3653">
        <v>-1.12118290078</v>
      </c>
      <c r="AE3653">
        <v>-22.796099999999999</v>
      </c>
      <c r="AF3653">
        <v>0.24035417503894599</v>
      </c>
      <c r="AG3653">
        <v>-1.12118290078</v>
      </c>
      <c r="AH3653">
        <v>22.7398823083604</v>
      </c>
      <c r="AI3653">
        <v>92.822507601924201</v>
      </c>
      <c r="AJ3653">
        <v>89.394422238954704</v>
      </c>
      <c r="AK3653">
        <v>22.768773981585898</v>
      </c>
      <c r="AL3653">
        <v>94.168150607050293</v>
      </c>
      <c r="AM3653">
        <v>92.439269341407893</v>
      </c>
      <c r="AN3653">
        <v>0.99999997401187601</v>
      </c>
    </row>
    <row r="3654" spans="1:40" x14ac:dyDescent="0.25">
      <c r="A3654" t="str">
        <f>"20190303153839895"</f>
        <v>20190303153839895</v>
      </c>
      <c r="B3654" t="str">
        <f>"1551598719891958"</f>
        <v>1551598719891958</v>
      </c>
      <c r="C3654" t="s">
        <v>40</v>
      </c>
      <c r="D3654">
        <v>4.5801249999999998</v>
      </c>
      <c r="E3654">
        <v>0.52002159999999997</v>
      </c>
      <c r="F3654" t="s">
        <v>42</v>
      </c>
      <c r="G3654">
        <v>-492.47739999999999</v>
      </c>
      <c r="H3654" s="1">
        <v>-4.0215130000000001E-6</v>
      </c>
      <c r="I3654">
        <v>237.5128</v>
      </c>
      <c r="J3654">
        <v>-492.56</v>
      </c>
      <c r="K3654">
        <v>1.1212580000000001</v>
      </c>
      <c r="L3654">
        <v>259.82139999999998</v>
      </c>
      <c r="M3654">
        <v>1.3239570000000001E-2</v>
      </c>
      <c r="N3654">
        <v>-9.7595700000000004E-3</v>
      </c>
      <c r="O3654">
        <v>-0.99986459999999999</v>
      </c>
      <c r="P3654">
        <v>5.626221E-2</v>
      </c>
      <c r="Q3654">
        <v>-8.3155889999999996E-2</v>
      </c>
      <c r="R3654">
        <v>-0.99494689999999997</v>
      </c>
      <c r="S3654">
        <v>1.1291499999999999E-2</v>
      </c>
      <c r="T3654">
        <v>-0.1500802</v>
      </c>
      <c r="U3654">
        <v>-3.0018009999999999</v>
      </c>
      <c r="V3654">
        <v>-4.3004559999999997E-2</v>
      </c>
      <c r="W3654">
        <v>-7.348172E-2</v>
      </c>
      <c r="X3654">
        <v>0.9963689</v>
      </c>
      <c r="Y3654">
        <v>9.4791660000000007E-3</v>
      </c>
      <c r="Z3654">
        <v>4.0176969999999999E-2</v>
      </c>
      <c r="AA3654">
        <v>0.99914760000000002</v>
      </c>
      <c r="AB3654">
        <v>22</v>
      </c>
      <c r="AC3654">
        <v>8.2600000000013496E-2</v>
      </c>
      <c r="AD3654">
        <v>-1.121262021513</v>
      </c>
      <c r="AE3654">
        <v>-22.308599999999899</v>
      </c>
      <c r="AF3654">
        <v>0.21224145591907601</v>
      </c>
      <c r="AG3654">
        <v>-1.121262021513</v>
      </c>
      <c r="AH3654">
        <v>22.251526895778799</v>
      </c>
      <c r="AI3654">
        <v>92.884582899443799</v>
      </c>
      <c r="AJ3654">
        <v>89.453512967685796</v>
      </c>
      <c r="AK3654">
        <v>22.280770277305599</v>
      </c>
      <c r="AL3654">
        <v>94.213990656062805</v>
      </c>
      <c r="AM3654">
        <v>92.471425442345804</v>
      </c>
      <c r="AN3654">
        <v>0.99999997012108</v>
      </c>
    </row>
    <row r="3655" spans="1:40" x14ac:dyDescent="0.25">
      <c r="A3655" t="str">
        <f>"20190303153839909"</f>
        <v>20190303153839909</v>
      </c>
      <c r="B3655" t="str">
        <f>"1551598719901718"</f>
        <v>1551598719901718</v>
      </c>
      <c r="C3655" t="s">
        <v>40</v>
      </c>
      <c r="D3655">
        <v>4.5257019999999999</v>
      </c>
      <c r="E3655">
        <v>0.52026019999999995</v>
      </c>
      <c r="F3655" t="s">
        <v>42</v>
      </c>
      <c r="G3655">
        <v>-492.47460000000001</v>
      </c>
      <c r="H3655" s="1">
        <v>-3.9074930000000003E-6</v>
      </c>
      <c r="I3655">
        <v>237.17920000000001</v>
      </c>
      <c r="J3655">
        <v>-492.55770000000001</v>
      </c>
      <c r="K3655">
        <v>1.121337</v>
      </c>
      <c r="L3655">
        <v>259.68239999999997</v>
      </c>
      <c r="M3655">
        <v>1.367849E-2</v>
      </c>
      <c r="N3655">
        <v>-1.01788E-2</v>
      </c>
      <c r="O3655">
        <v>-0.99985480000000004</v>
      </c>
      <c r="P3655">
        <v>5.7017140000000001E-2</v>
      </c>
      <c r="Q3655">
        <v>-8.432009E-2</v>
      </c>
      <c r="R3655">
        <v>-0.99480630000000003</v>
      </c>
      <c r="S3655">
        <v>1.132202E-2</v>
      </c>
      <c r="T3655">
        <v>-0.14867060000000001</v>
      </c>
      <c r="U3655">
        <v>-3.002167</v>
      </c>
      <c r="V3655">
        <v>-4.3310000000000001E-2</v>
      </c>
      <c r="W3655">
        <v>-7.4237460000000005E-2</v>
      </c>
      <c r="X3655">
        <v>0.99629970000000001</v>
      </c>
      <c r="Y3655">
        <v>9.9080950000000004E-3</v>
      </c>
      <c r="Z3655">
        <v>3.9283510000000001E-2</v>
      </c>
      <c r="AA3655">
        <v>0.99917900000000004</v>
      </c>
      <c r="AB3655">
        <v>22</v>
      </c>
      <c r="AC3655">
        <v>8.31000000000017E-2</v>
      </c>
      <c r="AD3655">
        <v>-1.1213409074930001</v>
      </c>
      <c r="AE3655">
        <v>-22.5031999999999</v>
      </c>
      <c r="AF3655">
        <v>0.22417683121488099</v>
      </c>
      <c r="AG3655">
        <v>-1.1213409074930001</v>
      </c>
      <c r="AH3655">
        <v>22.446496058965</v>
      </c>
      <c r="AI3655">
        <v>92.859757661575401</v>
      </c>
      <c r="AJ3655">
        <v>89.427796693199198</v>
      </c>
      <c r="AK3655">
        <v>22.475605575992802</v>
      </c>
      <c r="AL3655">
        <v>94.257409732651297</v>
      </c>
      <c r="AM3655">
        <v>92.489129409159702</v>
      </c>
      <c r="AN3655">
        <v>1.00000002439367</v>
      </c>
    </row>
    <row r="3656" spans="1:40" x14ac:dyDescent="0.25">
      <c r="A3656" t="str">
        <f>"20190303153839927"</f>
        <v>20190303153839927</v>
      </c>
      <c r="B3656" t="str">
        <f>"1551598719922214"</f>
        <v>1551598719922214</v>
      </c>
      <c r="C3656" t="s">
        <v>40</v>
      </c>
      <c r="D3656">
        <v>4.535164</v>
      </c>
      <c r="E3656">
        <v>0.5207543</v>
      </c>
      <c r="F3656" t="s">
        <v>42</v>
      </c>
      <c r="G3656">
        <v>-492.46359999999999</v>
      </c>
      <c r="H3656" s="1">
        <v>-3.751392E-6</v>
      </c>
      <c r="I3656">
        <v>236.8057</v>
      </c>
      <c r="J3656">
        <v>-492.55489999999998</v>
      </c>
      <c r="K3656">
        <v>1.1214189999999999</v>
      </c>
      <c r="L3656">
        <v>259.52420000000001</v>
      </c>
      <c r="M3656">
        <v>1.42747E-2</v>
      </c>
      <c r="N3656">
        <v>-1.060352E-2</v>
      </c>
      <c r="O3656">
        <v>-0.99984220000000001</v>
      </c>
      <c r="P3656">
        <v>5.9154619999999998E-2</v>
      </c>
      <c r="Q3656">
        <v>-8.5590659999999999E-2</v>
      </c>
      <c r="R3656">
        <v>-0.99457340000000005</v>
      </c>
      <c r="S3656">
        <v>1.235962E-2</v>
      </c>
      <c r="T3656">
        <v>-0.1471729</v>
      </c>
      <c r="U3656">
        <v>-3.0025019999999998</v>
      </c>
      <c r="V3656">
        <v>-4.48425E-2</v>
      </c>
      <c r="W3656">
        <v>-7.5096540000000003E-2</v>
      </c>
      <c r="X3656">
        <v>0.99616749999999998</v>
      </c>
      <c r="Y3656">
        <v>1.015921E-2</v>
      </c>
      <c r="Z3656">
        <v>3.8355790000000001E-2</v>
      </c>
      <c r="AA3656">
        <v>0.99921249999999995</v>
      </c>
      <c r="AB3656">
        <v>22</v>
      </c>
      <c r="AC3656">
        <v>9.1299999999989695E-2</v>
      </c>
      <c r="AD3656">
        <v>-1.1214227513920001</v>
      </c>
      <c r="AE3656">
        <v>-22.718499999999999</v>
      </c>
      <c r="AF3656">
        <v>0.23246080804222799</v>
      </c>
      <c r="AG3656">
        <v>-1.1214227513920001</v>
      </c>
      <c r="AH3656">
        <v>22.662270950602199</v>
      </c>
      <c r="AI3656">
        <v>92.832772195184006</v>
      </c>
      <c r="AJ3656">
        <v>89.412302671471195</v>
      </c>
      <c r="AK3656">
        <v>22.691191058495001</v>
      </c>
      <c r="AL3656">
        <v>94.306769221444199</v>
      </c>
      <c r="AM3656">
        <v>92.577430676821905</v>
      </c>
      <c r="AN3656">
        <v>1.00000001409123</v>
      </c>
    </row>
    <row r="3657" spans="1:40" x14ac:dyDescent="0.25">
      <c r="A3657" t="str">
        <f>"20190303153839942"</f>
        <v>20190303153839942</v>
      </c>
      <c r="B3657" t="str">
        <f>"1551598719931974"</f>
        <v>1551598719931974</v>
      </c>
      <c r="C3657" t="s">
        <v>40</v>
      </c>
      <c r="D3657">
        <v>4.5873019999999904</v>
      </c>
      <c r="E3657">
        <v>0.52079520000000001</v>
      </c>
      <c r="F3657" t="s">
        <v>42</v>
      </c>
      <c r="G3657">
        <v>-492.43430000000001</v>
      </c>
      <c r="H3657" s="1">
        <v>-3.2477510000000002E-6</v>
      </c>
      <c r="I3657">
        <v>235.6499</v>
      </c>
      <c r="J3657">
        <v>-492.55189999999999</v>
      </c>
      <c r="K3657">
        <v>1.1214839999999999</v>
      </c>
      <c r="L3657">
        <v>259.36360000000002</v>
      </c>
      <c r="M3657">
        <v>1.4941279999999999E-2</v>
      </c>
      <c r="N3657">
        <v>-1.0996229999999999E-2</v>
      </c>
      <c r="O3657">
        <v>-0.99982800000000005</v>
      </c>
      <c r="P3657">
        <v>6.077113E-2</v>
      </c>
      <c r="Q3657">
        <v>-8.5999880000000001E-2</v>
      </c>
      <c r="R3657">
        <v>-0.99444030000000005</v>
      </c>
      <c r="S3657">
        <v>1.516724E-2</v>
      </c>
      <c r="T3657">
        <v>-0.1410718</v>
      </c>
      <c r="U3657">
        <v>-3.0033259999999999</v>
      </c>
      <c r="V3657">
        <v>-4.57867E-2</v>
      </c>
      <c r="W3657">
        <v>-7.512336E-2</v>
      </c>
      <c r="X3657">
        <v>0.99612250000000002</v>
      </c>
      <c r="Y3657">
        <v>9.8925850000000006E-3</v>
      </c>
      <c r="Z3657">
        <v>3.5924280000000003E-2</v>
      </c>
      <c r="AA3657">
        <v>0.99930549999999996</v>
      </c>
      <c r="AB3657">
        <v>22</v>
      </c>
      <c r="AC3657">
        <v>0.117599999999981</v>
      </c>
      <c r="AD3657">
        <v>-1.1214872477509901</v>
      </c>
      <c r="AE3657">
        <v>-23.713699999999999</v>
      </c>
      <c r="AF3657">
        <v>0.23621923323209601</v>
      </c>
      <c r="AG3657">
        <v>-1.1214872477509901</v>
      </c>
      <c r="AH3657">
        <v>23.659893163362</v>
      </c>
      <c r="AI3657">
        <v>92.713673794608098</v>
      </c>
      <c r="AJ3657">
        <v>89.427980703935901</v>
      </c>
      <c r="AK3657">
        <v>23.687635544197299</v>
      </c>
      <c r="AL3657">
        <v>94.308310359589797</v>
      </c>
      <c r="AM3657">
        <v>92.631744053682098</v>
      </c>
      <c r="AN3657">
        <v>0.99999998806041401</v>
      </c>
    </row>
    <row r="3658" spans="1:40" x14ac:dyDescent="0.25">
      <c r="A3658" t="str">
        <f>"20190303153839956"</f>
        <v>20190303153839956</v>
      </c>
      <c r="B3658" t="str">
        <f>"1551598719941736"</f>
        <v>1551598719941736</v>
      </c>
      <c r="C3658" t="s">
        <v>40</v>
      </c>
      <c r="D3658">
        <v>4.4171009999999997</v>
      </c>
      <c r="E3658">
        <v>0.52079520000000001</v>
      </c>
      <c r="F3658" t="s">
        <v>42</v>
      </c>
      <c r="G3658">
        <v>-492.39729999999997</v>
      </c>
      <c r="H3658" s="1">
        <v>-3.3396050000000001E-6</v>
      </c>
      <c r="I3658">
        <v>235.8869</v>
      </c>
      <c r="J3658">
        <v>-492.54930000000002</v>
      </c>
      <c r="K3658">
        <v>1.1215299999999999</v>
      </c>
      <c r="L3658">
        <v>259.22949999999997</v>
      </c>
      <c r="M3658">
        <v>1.553649E-2</v>
      </c>
      <c r="N3658">
        <v>-1.1297669999999999E-2</v>
      </c>
      <c r="O3658">
        <v>-0.99981549999999997</v>
      </c>
      <c r="P3658">
        <v>6.2464909999999998E-2</v>
      </c>
      <c r="Q3658">
        <v>-8.6286399999999902E-2</v>
      </c>
      <c r="R3658">
        <v>-0.99431040000000004</v>
      </c>
      <c r="S3658">
        <v>1.977539E-2</v>
      </c>
      <c r="T3658">
        <v>-0.14346229999999999</v>
      </c>
      <c r="U3658">
        <v>-3.003174</v>
      </c>
      <c r="V3658">
        <v>-4.6882970000000003E-2</v>
      </c>
      <c r="W3658">
        <v>-7.51164E-2</v>
      </c>
      <c r="X3658">
        <v>0.99607210000000002</v>
      </c>
      <c r="Y3658">
        <v>8.954633E-3</v>
      </c>
      <c r="Z3658">
        <v>3.6418430000000002E-2</v>
      </c>
      <c r="AA3658">
        <v>0.99929650000000003</v>
      </c>
      <c r="AB3658">
        <v>22</v>
      </c>
      <c r="AC3658">
        <v>0.15200000000004299</v>
      </c>
      <c r="AD3658">
        <v>-1.121533339605</v>
      </c>
      <c r="AE3658">
        <v>-23.342599999999901</v>
      </c>
      <c r="AF3658">
        <v>0.21021829311450699</v>
      </c>
      <c r="AG3658">
        <v>-1.121533339605</v>
      </c>
      <c r="AH3658">
        <v>23.2883854514251</v>
      </c>
      <c r="AI3658">
        <v>92.757035556888397</v>
      </c>
      <c r="AJ3658">
        <v>89.482819714030498</v>
      </c>
      <c r="AK3658">
        <v>23.316323159897099</v>
      </c>
      <c r="AL3658">
        <v>94.307910151698707</v>
      </c>
      <c r="AM3658">
        <v>92.694800199719495</v>
      </c>
      <c r="AN3658">
        <v>1.0000000574116901</v>
      </c>
    </row>
    <row r="3659" spans="1:40" x14ac:dyDescent="0.25">
      <c r="A3659" t="str">
        <f>"20190303153839972"</f>
        <v>20190303153839972</v>
      </c>
      <c r="B3659" t="str">
        <f>"1551598719962229"</f>
        <v>1551598719962229</v>
      </c>
      <c r="C3659" t="s">
        <v>40</v>
      </c>
      <c r="D3659">
        <v>4.4443000000000001</v>
      </c>
      <c r="E3659">
        <v>0.52296989999999999</v>
      </c>
      <c r="F3659" t="s">
        <v>42</v>
      </c>
      <c r="G3659">
        <v>-492.35489999999999</v>
      </c>
      <c r="H3659" s="1">
        <v>-3.3251620000000002E-6</v>
      </c>
      <c r="I3659">
        <v>235.87960000000001</v>
      </c>
      <c r="J3659">
        <v>-492.54590000000002</v>
      </c>
      <c r="K3659">
        <v>1.121567</v>
      </c>
      <c r="L3659">
        <v>259.06950000000001</v>
      </c>
      <c r="M3659">
        <v>1.6283550000000001E-2</v>
      </c>
      <c r="N3659">
        <v>-1.162653E-2</v>
      </c>
      <c r="O3659">
        <v>-0.99979989999999996</v>
      </c>
      <c r="P3659">
        <v>6.5284510000000004E-2</v>
      </c>
      <c r="Q3659">
        <v>-8.7414110000000003E-2</v>
      </c>
      <c r="R3659">
        <v>-0.99403079999999999</v>
      </c>
      <c r="S3659">
        <v>2.4993899999999999E-2</v>
      </c>
      <c r="T3659">
        <v>-0.14424120000000001</v>
      </c>
      <c r="U3659">
        <v>-3.0030519999999998</v>
      </c>
      <c r="V3659">
        <v>-4.8956399999999997E-2</v>
      </c>
      <c r="W3659">
        <v>-7.5925629999999994E-2</v>
      </c>
      <c r="X3659">
        <v>0.99591090000000004</v>
      </c>
      <c r="Y3659">
        <v>7.965382E-3</v>
      </c>
      <c r="Z3659">
        <v>3.6349510000000002E-2</v>
      </c>
      <c r="AA3659">
        <v>0.99930739999999996</v>
      </c>
      <c r="AB3659">
        <v>22</v>
      </c>
      <c r="AC3659">
        <v>0.19100000000003001</v>
      </c>
      <c r="AD3659">
        <v>-1.1215703251619999</v>
      </c>
      <c r="AE3659">
        <v>-23.189899999999898</v>
      </c>
      <c r="AF3659">
        <v>0.186229130585298</v>
      </c>
      <c r="AG3659">
        <v>-1.1215703251619999</v>
      </c>
      <c r="AH3659">
        <v>23.135821165892001</v>
      </c>
      <c r="AI3659">
        <v>92.775302413709397</v>
      </c>
      <c r="AJ3659">
        <v>89.538814175273302</v>
      </c>
      <c r="AK3659">
        <v>23.163739385157498</v>
      </c>
      <c r="AL3659">
        <v>94.354408760275305</v>
      </c>
      <c r="AM3659">
        <v>92.814246728956405</v>
      </c>
      <c r="AN3659">
        <v>0.99999997556533304</v>
      </c>
    </row>
    <row r="3660" spans="1:40" x14ac:dyDescent="0.25">
      <c r="A3660" t="str">
        <f>"20190303153839986"</f>
        <v>20190303153839986</v>
      </c>
      <c r="B3660" t="str">
        <f>"1551598719981750"</f>
        <v>1551598719981750</v>
      </c>
      <c r="C3660" t="s">
        <v>40</v>
      </c>
      <c r="D3660">
        <v>6.4426199999999998</v>
      </c>
      <c r="E3660">
        <v>0.53804019999999997</v>
      </c>
      <c r="F3660" t="s">
        <v>42</v>
      </c>
      <c r="G3660">
        <v>-492.43740000000003</v>
      </c>
      <c r="H3660" s="1">
        <v>-4.2975869999999996E-6</v>
      </c>
      <c r="I3660">
        <v>238.3449</v>
      </c>
      <c r="J3660">
        <v>-492.54289999999997</v>
      </c>
      <c r="K3660">
        <v>1.1215790000000001</v>
      </c>
      <c r="L3660">
        <v>258.93270000000001</v>
      </c>
      <c r="M3660">
        <v>1.6948830000000002E-2</v>
      </c>
      <c r="N3660">
        <v>-1.187977E-2</v>
      </c>
      <c r="O3660">
        <v>-0.99978579999999995</v>
      </c>
      <c r="P3660">
        <v>6.7006120000000002E-2</v>
      </c>
      <c r="Q3660">
        <v>-8.7932140000000006E-2</v>
      </c>
      <c r="R3660">
        <v>-0.99387020000000004</v>
      </c>
      <c r="S3660">
        <v>1.5716549999999999E-2</v>
      </c>
      <c r="T3660">
        <v>-0.162498799999999</v>
      </c>
      <c r="U3660">
        <v>-3.0026860000000002</v>
      </c>
      <c r="V3660">
        <v>-5.0016239999999997E-2</v>
      </c>
      <c r="W3660">
        <v>-7.6195559999999996E-2</v>
      </c>
      <c r="X3660">
        <v>0.99583759999999999</v>
      </c>
      <c r="Y3660">
        <v>1.1716519999999999E-2</v>
      </c>
      <c r="Z3660">
        <v>4.2159189999999999E-2</v>
      </c>
      <c r="AA3660">
        <v>0.99904219999999999</v>
      </c>
      <c r="AB3660">
        <v>22</v>
      </c>
      <c r="AC3660">
        <v>0.105499999999949</v>
      </c>
      <c r="AD3660">
        <v>-1.1215832975869999</v>
      </c>
      <c r="AE3660">
        <v>-20.587800000000001</v>
      </c>
      <c r="AF3660">
        <v>0.24275844357280299</v>
      </c>
      <c r="AG3660">
        <v>-1.1215832975869999</v>
      </c>
      <c r="AH3660">
        <v>20.525714726577998</v>
      </c>
      <c r="AI3660">
        <v>93.127475230598606</v>
      </c>
      <c r="AJ3660">
        <v>89.322392132458006</v>
      </c>
      <c r="AK3660">
        <v>20.557768502252699</v>
      </c>
      <c r="AL3660">
        <v>94.369919625178994</v>
      </c>
      <c r="AM3660">
        <v>92.875281502052403</v>
      </c>
      <c r="AN3660">
        <v>0.99999995660060403</v>
      </c>
    </row>
    <row r="3661" spans="1:40" x14ac:dyDescent="0.25">
      <c r="A3661" t="str">
        <f>"20190303153840000"</f>
        <v>20190303153840000</v>
      </c>
      <c r="B3661" t="str">
        <f>"1551598719992487"</f>
        <v>1551598719992487</v>
      </c>
      <c r="C3661" t="s">
        <v>40</v>
      </c>
      <c r="D3661">
        <v>4.6406359999999998</v>
      </c>
      <c r="E3661">
        <v>0.53737100000000004</v>
      </c>
      <c r="F3661" t="s">
        <v>44</v>
      </c>
      <c r="G3661">
        <v>-492.57119999999998</v>
      </c>
      <c r="H3661">
        <v>0.94427550000000005</v>
      </c>
      <c r="I3661">
        <v>258.22370000000001</v>
      </c>
      <c r="J3661">
        <v>-492.53989999999999</v>
      </c>
      <c r="K3661">
        <v>1.121588</v>
      </c>
      <c r="L3661">
        <v>258.79939999999999</v>
      </c>
      <c r="M3661">
        <v>1.760801E-2</v>
      </c>
      <c r="N3661">
        <v>-1.210342E-2</v>
      </c>
      <c r="O3661">
        <v>-0.99977199999999999</v>
      </c>
      <c r="P3661">
        <v>6.8766939999999999E-2</v>
      </c>
      <c r="Q3661">
        <v>-8.8472690000000007E-2</v>
      </c>
      <c r="R3661">
        <v>-0.99370239999999999</v>
      </c>
      <c r="S3661">
        <v>-0.1160583</v>
      </c>
      <c r="T3661">
        <v>-0.74069419999999897</v>
      </c>
      <c r="U3661">
        <v>-2.9607999999999999</v>
      </c>
      <c r="V3661">
        <v>-5.1123250000000002E-2</v>
      </c>
      <c r="W3661">
        <v>-7.6516290000000001E-2</v>
      </c>
      <c r="X3661">
        <v>0.9957568</v>
      </c>
      <c r="Y3661">
        <v>5.561315E-2</v>
      </c>
      <c r="Z3661">
        <v>0.2305922</v>
      </c>
      <c r="AA3661">
        <v>0.97145990000000004</v>
      </c>
      <c r="AB3661">
        <v>22</v>
      </c>
      <c r="AC3661">
        <v>-3.12999999999874E-2</v>
      </c>
      <c r="AD3661">
        <v>-0.17731250000000001</v>
      </c>
      <c r="AE3661">
        <v>-0.575699999999983</v>
      </c>
      <c r="AF3661">
        <v>3.7852670274756098E-2</v>
      </c>
      <c r="AG3661">
        <v>-0.17731250000000001</v>
      </c>
      <c r="AH3661">
        <v>0.52536953186124702</v>
      </c>
      <c r="AI3661">
        <v>108.604670270081</v>
      </c>
      <c r="AJ3661">
        <v>85.878982478464295</v>
      </c>
      <c r="AK3661">
        <v>0.555774857573897</v>
      </c>
      <c r="AL3661">
        <v>94.3883498604431</v>
      </c>
      <c r="AM3661">
        <v>92.939047836352501</v>
      </c>
      <c r="AN3661">
        <v>0.99999996703608196</v>
      </c>
    </row>
    <row r="3662" spans="1:40" x14ac:dyDescent="0.25">
      <c r="A3662" t="str">
        <f>"20190303153840015"</f>
        <v>20190303153840015</v>
      </c>
      <c r="B3662" t="str">
        <f>"1551598720012006"</f>
        <v>1551598720012006</v>
      </c>
      <c r="C3662" t="s">
        <v>40</v>
      </c>
      <c r="D3662">
        <v>4.6550129999999896</v>
      </c>
      <c r="E3662">
        <v>0.53728109999999996</v>
      </c>
      <c r="F3662" t="s">
        <v>44</v>
      </c>
      <c r="G3662">
        <v>-492.5675</v>
      </c>
      <c r="H3662">
        <v>0.92685139999999999</v>
      </c>
      <c r="I3662">
        <v>258.0376</v>
      </c>
      <c r="J3662">
        <v>-492.53649999999999</v>
      </c>
      <c r="K3662">
        <v>1.1215919999999999</v>
      </c>
      <c r="L3662">
        <v>258.65179999999998</v>
      </c>
      <c r="M3662">
        <v>1.8342009999999999E-2</v>
      </c>
      <c r="N3662">
        <v>-1.2332559999999999E-2</v>
      </c>
      <c r="O3662">
        <v>-0.99975570000000002</v>
      </c>
      <c r="P3662">
        <v>7.2052569999999996E-2</v>
      </c>
      <c r="Q3662">
        <v>-8.9152729999999999E-2</v>
      </c>
      <c r="R3662">
        <v>-0.99340839999999997</v>
      </c>
      <c r="S3662">
        <v>-0.105957</v>
      </c>
      <c r="T3662">
        <v>-0.75654129999999997</v>
      </c>
      <c r="U3662">
        <v>-2.959015</v>
      </c>
      <c r="V3662">
        <v>-5.3684700000000002E-2</v>
      </c>
      <c r="W3662">
        <v>-7.6973680000000003E-2</v>
      </c>
      <c r="X3662">
        <v>0.99558679999999999</v>
      </c>
      <c r="Y3662">
        <v>5.3016569999999999E-2</v>
      </c>
      <c r="Z3662">
        <v>0.23542279999999999</v>
      </c>
      <c r="AA3662">
        <v>0.97044589999999997</v>
      </c>
      <c r="AB3662">
        <v>22</v>
      </c>
      <c r="AC3662">
        <v>-3.1000000000005901E-2</v>
      </c>
      <c r="AD3662">
        <v>-0.19474059999999899</v>
      </c>
      <c r="AE3662">
        <v>-0.61419999999998198</v>
      </c>
      <c r="AF3662">
        <v>3.8409798447308602E-2</v>
      </c>
      <c r="AG3662">
        <v>-0.19474059999999899</v>
      </c>
      <c r="AH3662">
        <v>0.55761382908524304</v>
      </c>
      <c r="AI3662">
        <v>109.209031053039</v>
      </c>
      <c r="AJ3662">
        <v>86.059551514695301</v>
      </c>
      <c r="AK3662">
        <v>0.59188883778310097</v>
      </c>
      <c r="AL3662">
        <v>94.414633593894493</v>
      </c>
      <c r="AM3662">
        <v>93.086552272468495</v>
      </c>
      <c r="AN3662">
        <v>1.0000000353805301</v>
      </c>
    </row>
    <row r="3663" spans="1:40" x14ac:dyDescent="0.25">
      <c r="A3663" t="str">
        <f>"20190303153840028"</f>
        <v>20190303153840028</v>
      </c>
      <c r="B3663" t="str">
        <f>"1551598720021766"</f>
        <v>1551598720021766</v>
      </c>
      <c r="C3663" t="s">
        <v>40</v>
      </c>
      <c r="D3663">
        <v>4.6400420000000002</v>
      </c>
      <c r="E3663">
        <v>0.53763649999999996</v>
      </c>
      <c r="F3663" t="s">
        <v>44</v>
      </c>
      <c r="G3663">
        <v>-492.56290000000001</v>
      </c>
      <c r="H3663">
        <v>0.91169869999999997</v>
      </c>
      <c r="I3663">
        <v>257.85050000000001</v>
      </c>
      <c r="J3663">
        <v>-492.5333</v>
      </c>
      <c r="K3663">
        <v>1.1215850000000001</v>
      </c>
      <c r="L3663">
        <v>258.51859999999999</v>
      </c>
      <c r="M3663">
        <v>1.9004679999999999E-2</v>
      </c>
      <c r="N3663">
        <v>-1.2523100000000001E-2</v>
      </c>
      <c r="O3663">
        <v>-0.9997414</v>
      </c>
      <c r="P3663">
        <v>7.4177370000000006E-2</v>
      </c>
      <c r="Q3663">
        <v>-8.9332399999999895E-2</v>
      </c>
      <c r="R3663">
        <v>-0.99323620000000001</v>
      </c>
      <c r="S3663">
        <v>-9.5703129999999997E-2</v>
      </c>
      <c r="T3663">
        <v>-0.77490619999999999</v>
      </c>
      <c r="U3663">
        <v>-2.9572750000000001</v>
      </c>
      <c r="V3663">
        <v>-5.5155879999999997E-2</v>
      </c>
      <c r="W3663">
        <v>-7.6965389999999995E-2</v>
      </c>
      <c r="X3663">
        <v>0.99550700000000003</v>
      </c>
      <c r="Y3663">
        <v>5.0294310000000002E-2</v>
      </c>
      <c r="Z3663">
        <v>0.24104700000000001</v>
      </c>
      <c r="AA3663">
        <v>0.9692094</v>
      </c>
      <c r="AB3663">
        <v>22</v>
      </c>
      <c r="AC3663">
        <v>-2.96000000000162E-2</v>
      </c>
      <c r="AD3663">
        <v>-0.2098863</v>
      </c>
      <c r="AE3663">
        <v>-0.66809999999998104</v>
      </c>
      <c r="AF3663">
        <v>3.8500403440753901E-2</v>
      </c>
      <c r="AG3663">
        <v>-0.2098863</v>
      </c>
      <c r="AH3663">
        <v>0.60757132426665195</v>
      </c>
      <c r="AI3663">
        <v>109.02213491384499</v>
      </c>
      <c r="AJ3663">
        <v>86.374145643273394</v>
      </c>
      <c r="AK3663">
        <v>0.64395454347642</v>
      </c>
      <c r="AL3663">
        <v>94.414157290102693</v>
      </c>
      <c r="AM3663">
        <v>93.171219758256598</v>
      </c>
      <c r="AN3663">
        <v>1.0000000147027099</v>
      </c>
    </row>
    <row r="3664" spans="1:40" x14ac:dyDescent="0.25">
      <c r="A3664" t="str">
        <f>"20190303153840041"</f>
        <v>20190303153840041</v>
      </c>
      <c r="B3664" t="str">
        <f>"1551598720032503"</f>
        <v>1551598720032503</v>
      </c>
      <c r="C3664" t="s">
        <v>40</v>
      </c>
      <c r="D3664">
        <v>4.6222960000000004</v>
      </c>
      <c r="E3664">
        <v>0.53811850000000006</v>
      </c>
      <c r="F3664" t="s">
        <v>44</v>
      </c>
      <c r="G3664">
        <v>-492.55500000000001</v>
      </c>
      <c r="H3664">
        <v>0.94234989999999996</v>
      </c>
      <c r="I3664">
        <v>257.83620000000002</v>
      </c>
      <c r="J3664">
        <v>-492.53030000000001</v>
      </c>
      <c r="K3664">
        <v>1.121577</v>
      </c>
      <c r="L3664">
        <v>258.3974</v>
      </c>
      <c r="M3664">
        <v>1.9597799999999999E-2</v>
      </c>
      <c r="N3664">
        <v>-1.267567E-2</v>
      </c>
      <c r="O3664">
        <v>-0.9997277</v>
      </c>
      <c r="P3664">
        <v>7.6049930000000002E-2</v>
      </c>
      <c r="Q3664">
        <v>-8.9262049999999996E-2</v>
      </c>
      <c r="R3664">
        <v>-0.99310050000000005</v>
      </c>
      <c r="S3664">
        <v>-9.1979980000000003E-2</v>
      </c>
      <c r="T3664">
        <v>-0.7771342</v>
      </c>
      <c r="U3664">
        <v>-2.9573969999999998</v>
      </c>
      <c r="V3664">
        <v>-5.6444170000000002E-2</v>
      </c>
      <c r="W3664">
        <v>-7.6743800000000001E-2</v>
      </c>
      <c r="X3664">
        <v>0.99545189999999995</v>
      </c>
      <c r="Y3664">
        <v>4.9662310000000001E-2</v>
      </c>
      <c r="Z3664">
        <v>0.24157680000000001</v>
      </c>
      <c r="AA3664">
        <v>0.96911009999999997</v>
      </c>
      <c r="AB3664">
        <v>22</v>
      </c>
      <c r="AC3664">
        <v>-2.4699999999995701E-2</v>
      </c>
      <c r="AD3664">
        <v>-0.1792271</v>
      </c>
      <c r="AE3664">
        <v>-0.56119999999998504</v>
      </c>
      <c r="AF3664">
        <v>3.2396575097418501E-2</v>
      </c>
      <c r="AG3664">
        <v>-0.1792271</v>
      </c>
      <c r="AH3664">
        <v>0.50881287983165502</v>
      </c>
      <c r="AI3664">
        <v>109.368296898116</v>
      </c>
      <c r="AJ3664">
        <v>86.356843815344604</v>
      </c>
      <c r="AK3664">
        <v>0.54042801383258698</v>
      </c>
      <c r="AL3664">
        <v>94.401423431570805</v>
      </c>
      <c r="AM3664">
        <v>93.245313483598395</v>
      </c>
      <c r="AN3664">
        <v>1.0000000201895101</v>
      </c>
    </row>
    <row r="3665" spans="1:40" x14ac:dyDescent="0.25">
      <c r="A3665" t="str">
        <f>"20190303153840054"</f>
        <v>20190303153840054</v>
      </c>
      <c r="B3665" t="str">
        <f>"1551598720052022"</f>
        <v>1551598720052022</v>
      </c>
      <c r="C3665" t="s">
        <v>40</v>
      </c>
      <c r="D3665">
        <v>4.6106360000000004</v>
      </c>
      <c r="E3665">
        <v>0.53911529999999996</v>
      </c>
      <c r="F3665" t="s">
        <v>44</v>
      </c>
      <c r="G3665">
        <v>-492.55329999999998</v>
      </c>
      <c r="H3665">
        <v>0.9258459</v>
      </c>
      <c r="I3665">
        <v>257.6506</v>
      </c>
      <c r="J3665">
        <v>-492.52719999999999</v>
      </c>
      <c r="K3665">
        <v>1.12157</v>
      </c>
      <c r="L3665">
        <v>258.27409999999998</v>
      </c>
      <c r="M3665">
        <v>2.0194340000000002E-2</v>
      </c>
      <c r="N3665">
        <v>-1.282286E-2</v>
      </c>
      <c r="O3665">
        <v>-0.99971399999999999</v>
      </c>
      <c r="P3665">
        <v>7.7821329999999994E-2</v>
      </c>
      <c r="Q3665">
        <v>-8.9225410000000005E-2</v>
      </c>
      <c r="R3665">
        <v>-0.99296689999999999</v>
      </c>
      <c r="S3665">
        <v>-9.0576169999999998E-2</v>
      </c>
      <c r="T3665">
        <v>-0.77534080000000005</v>
      </c>
      <c r="U3665">
        <v>-2.9580540000000002</v>
      </c>
      <c r="V3665">
        <v>-5.76283E-2</v>
      </c>
      <c r="W3665">
        <v>-7.656077E-2</v>
      </c>
      <c r="X3665">
        <v>0.99539809999999995</v>
      </c>
      <c r="Y3665">
        <v>4.9796750000000001E-2</v>
      </c>
      <c r="Z3665">
        <v>0.2408276</v>
      </c>
      <c r="AA3665">
        <v>0.96928959999999997</v>
      </c>
      <c r="AB3665">
        <v>22</v>
      </c>
      <c r="AC3665">
        <v>-2.6099999999985302E-2</v>
      </c>
      <c r="AD3665">
        <v>-0.19572410000000001</v>
      </c>
      <c r="AE3665">
        <v>-0.62349999999997796</v>
      </c>
      <c r="AF3665">
        <v>3.5222137668392599E-2</v>
      </c>
      <c r="AG3665">
        <v>-0.19572410000000001</v>
      </c>
      <c r="AH3665">
        <v>0.56706451951858605</v>
      </c>
      <c r="AI3665">
        <v>109.00827928411999</v>
      </c>
      <c r="AJ3665">
        <v>86.445747389399202</v>
      </c>
      <c r="AK3665">
        <v>0.60092486352254204</v>
      </c>
      <c r="AL3665">
        <v>94.390905839628203</v>
      </c>
      <c r="AM3665">
        <v>93.313424765721095</v>
      </c>
      <c r="AN3665">
        <v>0.99999997497374604</v>
      </c>
    </row>
    <row r="3666" spans="1:40" x14ac:dyDescent="0.25">
      <c r="A3666" t="str">
        <f>"20190303153840072"</f>
        <v>20190303153840072</v>
      </c>
      <c r="B3666" t="str">
        <f>"1551598720061782"</f>
        <v>1551598720061782</v>
      </c>
      <c r="C3666" t="s">
        <v>40</v>
      </c>
      <c r="D3666">
        <v>4.6563549999999996</v>
      </c>
      <c r="E3666">
        <v>0.53937819999999903</v>
      </c>
      <c r="F3666" t="s">
        <v>44</v>
      </c>
      <c r="G3666">
        <v>-492.55309999999997</v>
      </c>
      <c r="H3666">
        <v>0.91096460000000001</v>
      </c>
      <c r="I3666">
        <v>257.46420000000001</v>
      </c>
      <c r="J3666">
        <v>-492.52280000000002</v>
      </c>
      <c r="K3666">
        <v>1.121551</v>
      </c>
      <c r="L3666">
        <v>258.10219999999998</v>
      </c>
      <c r="M3666">
        <v>2.1005840000000001E-2</v>
      </c>
      <c r="N3666">
        <v>-1.300779E-2</v>
      </c>
      <c r="O3666">
        <v>-0.99969509999999995</v>
      </c>
      <c r="P3666">
        <v>8.0951010000000004E-2</v>
      </c>
      <c r="Q3666">
        <v>-8.85933E-2</v>
      </c>
      <c r="R3666">
        <v>-0.99277360000000003</v>
      </c>
      <c r="S3666">
        <v>-9.2956540000000004E-2</v>
      </c>
      <c r="T3666">
        <v>-0.769787</v>
      </c>
      <c r="U3666">
        <v>-2.9593660000000002</v>
      </c>
      <c r="V3666">
        <v>-5.9960939999999997E-2</v>
      </c>
      <c r="W3666">
        <v>-7.574525E-2</v>
      </c>
      <c r="X3666">
        <v>0.9953227</v>
      </c>
      <c r="Y3666">
        <v>5.1385199999999999E-2</v>
      </c>
      <c r="Z3666">
        <v>0.23881930000000001</v>
      </c>
      <c r="AA3666">
        <v>0.96970350000000005</v>
      </c>
      <c r="AB3666">
        <v>22</v>
      </c>
      <c r="AC3666">
        <v>-3.02999999999542E-2</v>
      </c>
      <c r="AD3666">
        <v>-0.21058639999999901</v>
      </c>
      <c r="AE3666">
        <v>-0.63799999999997603</v>
      </c>
      <c r="AF3666">
        <v>3.9411975118378399E-2</v>
      </c>
      <c r="AG3666">
        <v>-0.21058639999999901</v>
      </c>
      <c r="AH3666">
        <v>0.57474614322973705</v>
      </c>
      <c r="AI3666">
        <v>110.07940796983701</v>
      </c>
      <c r="AJ3666">
        <v>86.0772066391024</v>
      </c>
      <c r="AK3666">
        <v>0.61337840262365695</v>
      </c>
      <c r="AL3666">
        <v>94.344043936595199</v>
      </c>
      <c r="AM3666">
        <v>93.4474867219337</v>
      </c>
      <c r="AN3666">
        <v>0.99999996717926698</v>
      </c>
    </row>
    <row r="3667" spans="1:40" x14ac:dyDescent="0.25">
      <c r="A3667" t="str">
        <f>"20190303153840083"</f>
        <v>20190303153840083</v>
      </c>
      <c r="B3667" t="str">
        <f>"1551598720072519"</f>
        <v>1551598720072519</v>
      </c>
      <c r="C3667" t="s">
        <v>40</v>
      </c>
      <c r="D3667">
        <v>4.6293150000000001</v>
      </c>
      <c r="E3667">
        <v>0.53968359999999904</v>
      </c>
      <c r="F3667" t="s">
        <v>44</v>
      </c>
      <c r="G3667">
        <v>-492.54689999999999</v>
      </c>
      <c r="H3667">
        <v>0.9063369</v>
      </c>
      <c r="I3667">
        <v>257.27350000000001</v>
      </c>
      <c r="J3667">
        <v>-492.5197</v>
      </c>
      <c r="K3667">
        <v>1.12154</v>
      </c>
      <c r="L3667">
        <v>257.98880000000003</v>
      </c>
      <c r="M3667">
        <v>2.1524149999999999E-2</v>
      </c>
      <c r="N3667">
        <v>-1.3116640000000001E-2</v>
      </c>
      <c r="O3667">
        <v>-0.99968259999999998</v>
      </c>
      <c r="P3667">
        <v>8.2425360000000003E-2</v>
      </c>
      <c r="Q3667">
        <v>-8.8213970000000003E-2</v>
      </c>
      <c r="R3667">
        <v>-0.99268590000000001</v>
      </c>
      <c r="S3667">
        <v>-8.5540770000000002E-2</v>
      </c>
      <c r="T3667">
        <v>-0.76885369999999997</v>
      </c>
      <c r="U3667">
        <v>-2.9602050000000002</v>
      </c>
      <c r="V3667">
        <v>-6.0925199999999902E-2</v>
      </c>
      <c r="W3667">
        <v>-7.5256630000000005E-2</v>
      </c>
      <c r="X3667">
        <v>0.9953012</v>
      </c>
      <c r="Y3667">
        <v>4.947319E-2</v>
      </c>
      <c r="Z3667">
        <v>0.23837739999999999</v>
      </c>
      <c r="AA3667">
        <v>0.96991159999999998</v>
      </c>
      <c r="AB3667">
        <v>22</v>
      </c>
      <c r="AC3667">
        <v>-2.71999999999934E-2</v>
      </c>
      <c r="AD3667">
        <v>-0.21520309999999901</v>
      </c>
      <c r="AE3667">
        <v>-0.71530000000001304</v>
      </c>
      <c r="AF3667">
        <v>3.9060761496730101E-2</v>
      </c>
      <c r="AG3667">
        <v>-0.21520309999999901</v>
      </c>
      <c r="AH3667">
        <v>0.65531825828151202</v>
      </c>
      <c r="AI3667">
        <v>108.149814708769</v>
      </c>
      <c r="AJ3667">
        <v>86.588875802287404</v>
      </c>
      <c r="AK3667">
        <v>0.69085464243604</v>
      </c>
      <c r="AL3667">
        <v>94.315967968171904</v>
      </c>
      <c r="AM3667">
        <v>93.502865901125105</v>
      </c>
      <c r="AN3667">
        <v>0.99999995953771703</v>
      </c>
    </row>
    <row r="3668" spans="1:40" x14ac:dyDescent="0.25">
      <c r="A3668" t="str">
        <f>"20190303153840095"</f>
        <v>20190303153840095</v>
      </c>
      <c r="B3668" t="str">
        <f>"1551598720082278"</f>
        <v>1551598720082278</v>
      </c>
      <c r="C3668" t="s">
        <v>40</v>
      </c>
      <c r="D3668">
        <v>4.4786239999999999</v>
      </c>
      <c r="E3668">
        <v>0.53968359999999904</v>
      </c>
      <c r="F3668" t="s">
        <v>44</v>
      </c>
      <c r="G3668">
        <v>-492.54050000000001</v>
      </c>
      <c r="H3668">
        <v>0.93291400000000002</v>
      </c>
      <c r="I3668">
        <v>257.26130000000001</v>
      </c>
      <c r="J3668">
        <v>-492.51670000000001</v>
      </c>
      <c r="K3668">
        <v>1.1215310000000001</v>
      </c>
      <c r="L3668">
        <v>257.87490000000003</v>
      </c>
      <c r="M3668">
        <v>2.2034040000000001E-2</v>
      </c>
      <c r="N3668">
        <v>-1.321865E-2</v>
      </c>
      <c r="O3668">
        <v>-0.9996699</v>
      </c>
      <c r="P3668">
        <v>8.3696450000000006E-2</v>
      </c>
      <c r="Q3668">
        <v>-8.8147139999999999E-2</v>
      </c>
      <c r="R3668">
        <v>-0.99258519999999995</v>
      </c>
      <c r="S3668">
        <v>-8.3435060000000005E-2</v>
      </c>
      <c r="T3668">
        <v>-0.76782700000000004</v>
      </c>
      <c r="U3668">
        <v>-2.9608310000000002</v>
      </c>
      <c r="V3668">
        <v>-6.1694819999999997E-2</v>
      </c>
      <c r="W3668">
        <v>-7.5087130000000002E-2</v>
      </c>
      <c r="X3668">
        <v>0.9952666</v>
      </c>
      <c r="Y3668">
        <v>4.9290460000000001E-2</v>
      </c>
      <c r="Z3668">
        <v>0.2379127</v>
      </c>
      <c r="AA3668">
        <v>0.97003510000000004</v>
      </c>
      <c r="AB3668">
        <v>22</v>
      </c>
      <c r="AC3668">
        <v>-2.3799999999994201E-2</v>
      </c>
      <c r="AD3668">
        <v>-0.18861700000000001</v>
      </c>
      <c r="AE3668">
        <v>-0.61360000000001902</v>
      </c>
      <c r="AF3668">
        <v>3.4098338362568197E-2</v>
      </c>
      <c r="AG3668">
        <v>-0.18861700000000001</v>
      </c>
      <c r="AH3668">
        <v>0.56008316822587501</v>
      </c>
      <c r="AI3668">
        <v>108.579745254955</v>
      </c>
      <c r="AJ3668">
        <v>86.516084448667101</v>
      </c>
      <c r="AK3668">
        <v>0.59197316214337103</v>
      </c>
      <c r="AL3668">
        <v>94.3062287469876</v>
      </c>
      <c r="AM3668">
        <v>93.547125571990804</v>
      </c>
      <c r="AN3668">
        <v>0.99999996649101397</v>
      </c>
    </row>
    <row r="3669" spans="1:40" x14ac:dyDescent="0.25">
      <c r="A3669" t="str">
        <f>"20190303153840108"</f>
        <v>20190303153840108</v>
      </c>
      <c r="B3669" t="str">
        <f>"1551598720101799"</f>
        <v>1551598720101799</v>
      </c>
      <c r="C3669" t="s">
        <v>40</v>
      </c>
      <c r="D3669">
        <v>4.6798979999999997</v>
      </c>
      <c r="E3669">
        <v>0.57559569999999904</v>
      </c>
      <c r="F3669" t="s">
        <v>44</v>
      </c>
      <c r="G3669">
        <v>-492.5385</v>
      </c>
      <c r="H3669">
        <v>0.91481109999999999</v>
      </c>
      <c r="I3669">
        <v>257.07729999999998</v>
      </c>
      <c r="J3669">
        <v>-492.51319999999998</v>
      </c>
      <c r="K3669">
        <v>1.121521</v>
      </c>
      <c r="L3669">
        <v>257.74790000000002</v>
      </c>
      <c r="M3669">
        <v>2.2592250000000001E-2</v>
      </c>
      <c r="N3669">
        <v>-1.3325210000000001E-2</v>
      </c>
      <c r="O3669">
        <v>-0.99965630000000005</v>
      </c>
      <c r="P3669">
        <v>8.5075509999999993E-2</v>
      </c>
      <c r="Q3669">
        <v>-8.8262859999999999E-2</v>
      </c>
      <c r="R3669">
        <v>-0.99245799999999995</v>
      </c>
      <c r="S3669">
        <v>-7.9010010000000006E-2</v>
      </c>
      <c r="T3669">
        <v>-0.76768979999999998</v>
      </c>
      <c r="U3669">
        <v>-2.9609070000000002</v>
      </c>
      <c r="V3669">
        <v>-6.2524800000000005E-2</v>
      </c>
      <c r="W3669">
        <v>-7.5095549999999997E-2</v>
      </c>
      <c r="X3669">
        <v>0.99521420000000005</v>
      </c>
      <c r="Y3669">
        <v>4.840071E-2</v>
      </c>
      <c r="Z3669">
        <v>0.2377667</v>
      </c>
      <c r="AA3669">
        <v>0.97011570000000003</v>
      </c>
      <c r="AB3669">
        <v>22</v>
      </c>
      <c r="AC3669">
        <v>-2.5300000000015602E-2</v>
      </c>
      <c r="AD3669">
        <v>-0.2067099</v>
      </c>
      <c r="AE3669">
        <v>-0.67060000000003495</v>
      </c>
      <c r="AF3669">
        <v>3.6940321768515E-2</v>
      </c>
      <c r="AG3669">
        <v>-0.2067099</v>
      </c>
      <c r="AH3669">
        <v>0.61180838413081495</v>
      </c>
      <c r="AI3669">
        <v>108.636826357158</v>
      </c>
      <c r="AJ3669">
        <v>86.544738208980306</v>
      </c>
      <c r="AK3669">
        <v>0.64684083747327703</v>
      </c>
      <c r="AL3669">
        <v>94.306712407160106</v>
      </c>
      <c r="AM3669">
        <v>93.594909502490594</v>
      </c>
      <c r="AN3669">
        <v>0.99999999806324102</v>
      </c>
    </row>
    <row r="3670" spans="1:40" x14ac:dyDescent="0.25">
      <c r="A3670" t="str">
        <f>"20190303153840127"</f>
        <v>20190303153840127</v>
      </c>
      <c r="B3670" t="str">
        <f>"1551598720122294"</f>
        <v>1551598720122294</v>
      </c>
      <c r="C3670" t="s">
        <v>40</v>
      </c>
      <c r="D3670">
        <v>4.6861470000000001</v>
      </c>
      <c r="E3670">
        <v>0.58036460000000001</v>
      </c>
      <c r="F3670" t="s">
        <v>44</v>
      </c>
      <c r="G3670">
        <v>-492.59699999999998</v>
      </c>
      <c r="H3670">
        <v>0.96576930000000005</v>
      </c>
      <c r="I3670">
        <v>257.05169999999998</v>
      </c>
      <c r="J3670">
        <v>-492.50850000000003</v>
      </c>
      <c r="K3670">
        <v>1.1215029999999999</v>
      </c>
      <c r="L3670">
        <v>257.5763</v>
      </c>
      <c r="M3670">
        <v>2.3316139999999999E-2</v>
      </c>
      <c r="N3670">
        <v>-1.345146E-2</v>
      </c>
      <c r="O3670">
        <v>-0.99963760000000002</v>
      </c>
      <c r="P3670">
        <v>8.7206450000000005E-2</v>
      </c>
      <c r="Q3670">
        <v>-8.8595779999999999E-2</v>
      </c>
      <c r="R3670">
        <v>-0.99224299999999999</v>
      </c>
      <c r="S3670">
        <v>-0.35775759999999901</v>
      </c>
      <c r="T3670">
        <v>-0.67016409999999904</v>
      </c>
      <c r="U3670">
        <v>-2.9938660000000001</v>
      </c>
      <c r="V3670">
        <v>-6.3945500000000002E-2</v>
      </c>
      <c r="W3670">
        <v>-7.5301939999999998E-2</v>
      </c>
      <c r="X3670">
        <v>0.99510829999999995</v>
      </c>
      <c r="Y3670">
        <v>0.1390692</v>
      </c>
      <c r="Z3670">
        <v>0.20338780000000001</v>
      </c>
      <c r="AA3670">
        <v>0.96917140000000002</v>
      </c>
      <c r="AB3670">
        <v>22</v>
      </c>
      <c r="AC3670">
        <v>-8.8499999999953602E-2</v>
      </c>
      <c r="AD3670">
        <v>-0.155733699999999</v>
      </c>
      <c r="AE3670">
        <v>-0.52460000000002005</v>
      </c>
      <c r="AF3670">
        <v>9.2760227337971193E-2</v>
      </c>
      <c r="AG3670">
        <v>-0.155733699999999</v>
      </c>
      <c r="AH3670">
        <v>0.48116361557557602</v>
      </c>
      <c r="AI3670">
        <v>107.63071104768601</v>
      </c>
      <c r="AJ3670">
        <v>79.088206238797994</v>
      </c>
      <c r="AK3670">
        <v>0.51417494109032902</v>
      </c>
      <c r="AL3670">
        <v>94.318571386738896</v>
      </c>
      <c r="AM3670">
        <v>93.676762325503503</v>
      </c>
      <c r="AN3670">
        <v>0.999999968933451</v>
      </c>
    </row>
    <row r="3671" spans="1:40" x14ac:dyDescent="0.25">
      <c r="A3671" t="str">
        <f>"20190303153840139"</f>
        <v>20190303153840139</v>
      </c>
      <c r="B3671" t="str">
        <f>"1551598720132053"</f>
        <v>1551598720132053</v>
      </c>
      <c r="C3671" t="s">
        <v>40</v>
      </c>
      <c r="D3671">
        <v>4.6811309999999997</v>
      </c>
      <c r="E3671">
        <v>0.581557199999999</v>
      </c>
      <c r="F3671" t="s">
        <v>44</v>
      </c>
      <c r="G3671">
        <v>-492.60169999999999</v>
      </c>
      <c r="H3671">
        <v>0.95441469999999995</v>
      </c>
      <c r="I3671">
        <v>256.86470000000003</v>
      </c>
      <c r="J3671">
        <v>-492.505</v>
      </c>
      <c r="K3671">
        <v>1.1214949999999999</v>
      </c>
      <c r="L3671">
        <v>257.45400000000001</v>
      </c>
      <c r="M3671">
        <v>2.3812529999999998E-2</v>
      </c>
      <c r="N3671">
        <v>-1.353209E-2</v>
      </c>
      <c r="O3671">
        <v>-0.99962510000000004</v>
      </c>
      <c r="P3671">
        <v>8.8564500000000004E-2</v>
      </c>
      <c r="Q3671">
        <v>-8.8862780000000002E-2</v>
      </c>
      <c r="R3671">
        <v>-0.99209899999999995</v>
      </c>
      <c r="S3671">
        <v>-0.39059450000000001</v>
      </c>
      <c r="T3671">
        <v>-0.70337859999999996</v>
      </c>
      <c r="U3671">
        <v>-2.9950100000000002</v>
      </c>
      <c r="V3671">
        <v>-6.4816239999999997E-2</v>
      </c>
      <c r="W3671">
        <v>-7.5487520000000002E-2</v>
      </c>
      <c r="X3671">
        <v>0.99503790000000003</v>
      </c>
      <c r="Y3671">
        <v>0.1496721</v>
      </c>
      <c r="Z3671">
        <v>0.213117</v>
      </c>
      <c r="AA3671">
        <v>0.96549439999999997</v>
      </c>
      <c r="AB3671">
        <v>22</v>
      </c>
      <c r="AC3671">
        <v>-9.6699999999998398E-2</v>
      </c>
      <c r="AD3671">
        <v>-0.16708029999999999</v>
      </c>
      <c r="AE3671">
        <v>-0.58929999999997995</v>
      </c>
      <c r="AF3671">
        <v>0.102669819511212</v>
      </c>
      <c r="AG3671">
        <v>-0.16708029999999999</v>
      </c>
      <c r="AH3671">
        <v>0.54422897550969995</v>
      </c>
      <c r="AI3671">
        <v>106.78763065896899</v>
      </c>
      <c r="AJ3671">
        <v>79.316601610696907</v>
      </c>
      <c r="AK3671">
        <v>0.57848258078432502</v>
      </c>
      <c r="AL3671">
        <v>94.329234698472604</v>
      </c>
      <c r="AM3671">
        <v>93.726951241199501</v>
      </c>
      <c r="AN3671">
        <v>0.99999996653994805</v>
      </c>
    </row>
    <row r="3672" spans="1:40" x14ac:dyDescent="0.25">
      <c r="A3672" t="str">
        <f>"20190303153840153"</f>
        <v>20190303153840153</v>
      </c>
      <c r="B3672" t="str">
        <f>"1551598720141815"</f>
        <v>1551598720141815</v>
      </c>
      <c r="C3672" t="s">
        <v>40</v>
      </c>
      <c r="D3672">
        <v>4.6609230000000004</v>
      </c>
      <c r="E3672">
        <v>0.58258049999999995</v>
      </c>
      <c r="F3672" t="s">
        <v>44</v>
      </c>
      <c r="G3672">
        <v>-492.60759999999999</v>
      </c>
      <c r="H3672">
        <v>0.93717320000000004</v>
      </c>
      <c r="I3672">
        <v>256.68049999999999</v>
      </c>
      <c r="J3672">
        <v>-492.50119999999998</v>
      </c>
      <c r="K3672">
        <v>1.1214839999999999</v>
      </c>
      <c r="L3672">
        <v>257.3193</v>
      </c>
      <c r="M3672">
        <v>2.4345539999999999E-2</v>
      </c>
      <c r="N3672">
        <v>-1.3614889999999999E-2</v>
      </c>
      <c r="O3672">
        <v>-0.99961100000000003</v>
      </c>
      <c r="P3672">
        <v>8.9593699999999998E-2</v>
      </c>
      <c r="Q3672">
        <v>-8.8804129999999995E-2</v>
      </c>
      <c r="R3672">
        <v>-0.99201170000000005</v>
      </c>
      <c r="S3672">
        <v>-0.3962097</v>
      </c>
      <c r="T3672">
        <v>-0.71397999999999995</v>
      </c>
      <c r="U3672">
        <v>-2.9953159999999999</v>
      </c>
      <c r="V3672">
        <v>-6.5322259999999993E-2</v>
      </c>
      <c r="W3672">
        <v>-7.534362E-2</v>
      </c>
      <c r="X3672">
        <v>0.99501569999999995</v>
      </c>
      <c r="Y3672">
        <v>0.15186759999999999</v>
      </c>
      <c r="Z3672">
        <v>0.21618419999999999</v>
      </c>
      <c r="AA3672">
        <v>0.96446909999999997</v>
      </c>
      <c r="AB3672">
        <v>22</v>
      </c>
      <c r="AC3672">
        <v>-0.106400000000007</v>
      </c>
      <c r="AD3672">
        <v>-0.184310799999999</v>
      </c>
      <c r="AE3672">
        <v>-0.63880000000000303</v>
      </c>
      <c r="AF3672">
        <v>0.112786107276949</v>
      </c>
      <c r="AG3672">
        <v>-0.184310799999999</v>
      </c>
      <c r="AH3672">
        <v>0.58836242310242504</v>
      </c>
      <c r="AI3672">
        <v>107.10097997328199</v>
      </c>
      <c r="AJ3672">
        <v>79.148332097012798</v>
      </c>
      <c r="AK3672">
        <v>0.62678666060333799</v>
      </c>
      <c r="AL3672">
        <v>94.320966355997498</v>
      </c>
      <c r="AM3672">
        <v>93.756048122946893</v>
      </c>
      <c r="AN3672">
        <v>0.99999995098634897</v>
      </c>
    </row>
    <row r="3673" spans="1:40" x14ac:dyDescent="0.25">
      <c r="A3673" t="str">
        <f>"20190303153840168"</f>
        <v>20190303153840168</v>
      </c>
      <c r="B3673" t="str">
        <f>"1551598720162310"</f>
        <v>1551598720162310</v>
      </c>
      <c r="C3673" t="s">
        <v>40</v>
      </c>
      <c r="D3673">
        <v>4.6709519999999998</v>
      </c>
      <c r="E3673">
        <v>0.58382109999999998</v>
      </c>
      <c r="F3673" t="s">
        <v>44</v>
      </c>
      <c r="G3673">
        <v>-492.61180000000002</v>
      </c>
      <c r="H3673">
        <v>0.92325869999999999</v>
      </c>
      <c r="I3673">
        <v>256.49489999999997</v>
      </c>
      <c r="J3673">
        <v>-492.49709999999999</v>
      </c>
      <c r="K3673">
        <v>1.12147</v>
      </c>
      <c r="L3673">
        <v>257.18029999999999</v>
      </c>
      <c r="M3673">
        <v>2.4876550000000001E-2</v>
      </c>
      <c r="N3673">
        <v>-1.369216E-2</v>
      </c>
      <c r="O3673">
        <v>-0.99959679999999995</v>
      </c>
      <c r="P3673">
        <v>9.0587520000000005E-2</v>
      </c>
      <c r="Q3673">
        <v>-8.8324970000000003E-2</v>
      </c>
      <c r="R3673">
        <v>-0.99196419999999996</v>
      </c>
      <c r="S3673">
        <v>-0.40139770000000002</v>
      </c>
      <c r="T3673">
        <v>-0.72042109999999904</v>
      </c>
      <c r="U3673">
        <v>-2.9959560000000001</v>
      </c>
      <c r="V3673">
        <v>-6.5794740000000004E-2</v>
      </c>
      <c r="W3673">
        <v>-7.4783779999999994E-2</v>
      </c>
      <c r="X3673">
        <v>0.99502679999999999</v>
      </c>
      <c r="Y3673">
        <v>0.15394620000000001</v>
      </c>
      <c r="Z3673">
        <v>0.21795890000000001</v>
      </c>
      <c r="AA3673">
        <v>0.96373989999999998</v>
      </c>
      <c r="AB3673">
        <v>21</v>
      </c>
      <c r="AC3673">
        <v>-0.114700000000027</v>
      </c>
      <c r="AD3673">
        <v>-0.19821130000000001</v>
      </c>
      <c r="AE3673">
        <v>-0.685400000000015</v>
      </c>
      <c r="AF3673">
        <v>0.121807114238244</v>
      </c>
      <c r="AG3673">
        <v>-0.19821130000000001</v>
      </c>
      <c r="AH3673">
        <v>0.63100049056198504</v>
      </c>
      <c r="AI3673">
        <v>107.14123961802601</v>
      </c>
      <c r="AJ3673">
        <v>79.0741235118616</v>
      </c>
      <c r="AK3673">
        <v>0.67252235027261698</v>
      </c>
      <c r="AL3673">
        <v>94.2887991492331</v>
      </c>
      <c r="AM3673">
        <v>93.783095162500601</v>
      </c>
      <c r="AN3673">
        <v>0.999999947140496</v>
      </c>
    </row>
    <row r="3674" spans="1:40" x14ac:dyDescent="0.25">
      <c r="A3674" t="str">
        <f>"20190303153840182"</f>
        <v>20190303153840182</v>
      </c>
      <c r="B3674" t="str">
        <f>"1551598720172069"</f>
        <v>1551598720172069</v>
      </c>
      <c r="C3674" t="s">
        <v>40</v>
      </c>
      <c r="D3674">
        <v>4.6710379999999896</v>
      </c>
      <c r="E3674">
        <v>0.58410469999999903</v>
      </c>
      <c r="F3674" t="s">
        <v>44</v>
      </c>
      <c r="G3674">
        <v>-492.59249999999997</v>
      </c>
      <c r="H3674">
        <v>0.95289520000000005</v>
      </c>
      <c r="I3674">
        <v>256.48219999999998</v>
      </c>
      <c r="J3674">
        <v>-492.49299999999999</v>
      </c>
      <c r="K3674">
        <v>1.1214599999999999</v>
      </c>
      <c r="L3674">
        <v>257.03899999999999</v>
      </c>
      <c r="M3674">
        <v>2.539108E-2</v>
      </c>
      <c r="N3674">
        <v>-1.376147E-2</v>
      </c>
      <c r="O3674">
        <v>-0.99958290000000005</v>
      </c>
      <c r="P3674">
        <v>9.2010320000000007E-2</v>
      </c>
      <c r="Q3674">
        <v>-8.7423940000000006E-2</v>
      </c>
      <c r="R3674">
        <v>-0.99191300000000004</v>
      </c>
      <c r="S3674">
        <v>-0.4084778</v>
      </c>
      <c r="T3674">
        <v>-0.72378809999999905</v>
      </c>
      <c r="U3674">
        <v>-2.9971619999999999</v>
      </c>
      <c r="V3674">
        <v>-6.6712450000000006E-2</v>
      </c>
      <c r="W3674">
        <v>-7.3810269999999997E-2</v>
      </c>
      <c r="X3674">
        <v>0.99503839999999999</v>
      </c>
      <c r="Y3674">
        <v>0.15660769999999999</v>
      </c>
      <c r="Z3674">
        <v>0.21873980000000001</v>
      </c>
      <c r="AA3674">
        <v>0.96313389999999999</v>
      </c>
      <c r="AB3674">
        <v>21</v>
      </c>
      <c r="AC3674">
        <v>-9.9499999999920805E-2</v>
      </c>
      <c r="AD3674">
        <v>-0.16856479999999999</v>
      </c>
      <c r="AE3674">
        <v>-0.55680000000000895</v>
      </c>
      <c r="AF3674">
        <v>0.104340099009123</v>
      </c>
      <c r="AG3674">
        <v>-0.16856479999999999</v>
      </c>
      <c r="AH3674">
        <v>0.50889644649456001</v>
      </c>
      <c r="AI3674">
        <v>107.977509291262</v>
      </c>
      <c r="AJ3674">
        <v>78.413109641696295</v>
      </c>
      <c r="AK3674">
        <v>0.54614699606888295</v>
      </c>
      <c r="AL3674">
        <v>94.232866476836094</v>
      </c>
      <c r="AM3674">
        <v>93.835661038556594</v>
      </c>
      <c r="AN3674">
        <v>0.99999996220851695</v>
      </c>
    </row>
    <row r="3675" spans="1:40" x14ac:dyDescent="0.25">
      <c r="A3675" t="str">
        <f>"20190303153840195"</f>
        <v>20190303153840195</v>
      </c>
      <c r="B3675" t="str">
        <f>"1551598720192569"</f>
        <v>1551598720192569</v>
      </c>
      <c r="C3675" t="s">
        <v>40</v>
      </c>
      <c r="D3675">
        <v>4.6745510000000001</v>
      </c>
      <c r="E3675">
        <v>0.58460029999999996</v>
      </c>
      <c r="F3675" t="s">
        <v>44</v>
      </c>
      <c r="G3675">
        <v>-492.59399999999999</v>
      </c>
      <c r="H3675">
        <v>0.94243980000000005</v>
      </c>
      <c r="I3675">
        <v>256.29579999999999</v>
      </c>
      <c r="J3675">
        <v>-492.48950000000002</v>
      </c>
      <c r="K3675">
        <v>1.121448</v>
      </c>
      <c r="L3675">
        <v>256.92149999999998</v>
      </c>
      <c r="M3675">
        <v>2.5803759999999999E-2</v>
      </c>
      <c r="N3675">
        <v>-1.381487E-2</v>
      </c>
      <c r="O3675">
        <v>-0.99957169999999895</v>
      </c>
      <c r="P3675">
        <v>9.3079889999999998E-2</v>
      </c>
      <c r="Q3675">
        <v>-8.7101209999999998E-2</v>
      </c>
      <c r="R3675">
        <v>-0.99184170000000005</v>
      </c>
      <c r="S3675">
        <v>-0.40643309999999999</v>
      </c>
      <c r="T3675">
        <v>-0.72248669999999904</v>
      </c>
      <c r="U3675">
        <v>-2.9985200000000001</v>
      </c>
      <c r="V3675">
        <v>-6.7377629999999994E-2</v>
      </c>
      <c r="W3675">
        <v>-7.3431609999999994E-2</v>
      </c>
      <c r="X3675">
        <v>0.99502159999999995</v>
      </c>
      <c r="Y3675">
        <v>0.15632799999999999</v>
      </c>
      <c r="Z3675">
        <v>0.21820410000000001</v>
      </c>
      <c r="AA3675">
        <v>0.96330079999999996</v>
      </c>
      <c r="AB3675">
        <v>21</v>
      </c>
      <c r="AC3675">
        <v>-0.104499999999973</v>
      </c>
      <c r="AD3675">
        <v>-0.17900819999999901</v>
      </c>
      <c r="AE3675">
        <v>-0.62569999999999404</v>
      </c>
      <c r="AF3675">
        <v>0.11171640185669</v>
      </c>
      <c r="AG3675">
        <v>-0.17900819999999901</v>
      </c>
      <c r="AH3675">
        <v>0.57686064320629904</v>
      </c>
      <c r="AI3675">
        <v>106.943566255096</v>
      </c>
      <c r="AJ3675">
        <v>79.039623176105806</v>
      </c>
      <c r="AK3675">
        <v>0.61424155817677295</v>
      </c>
      <c r="AL3675">
        <v>94.211111806776898</v>
      </c>
      <c r="AM3675">
        <v>93.873855184853298</v>
      </c>
      <c r="AN3675">
        <v>0.99999996541908298</v>
      </c>
    </row>
    <row r="3676" spans="1:40" x14ac:dyDescent="0.25">
      <c r="A3676" t="str">
        <f>"20190303153840208"</f>
        <v>20190303153840208</v>
      </c>
      <c r="B3676" t="str">
        <f>"1551598720202326"</f>
        <v>1551598720202326</v>
      </c>
      <c r="C3676" t="s">
        <v>40</v>
      </c>
      <c r="D3676">
        <v>4.6731290000000003</v>
      </c>
      <c r="E3676">
        <v>0.58475120000000003</v>
      </c>
      <c r="F3676" t="s">
        <v>44</v>
      </c>
      <c r="G3676">
        <v>-492.5994</v>
      </c>
      <c r="H3676">
        <v>0.92619689999999999</v>
      </c>
      <c r="I3676">
        <v>256.1121</v>
      </c>
      <c r="J3676">
        <v>-492.48579999999998</v>
      </c>
      <c r="K3676">
        <v>1.1214360000000001</v>
      </c>
      <c r="L3676">
        <v>256.7989</v>
      </c>
      <c r="M3676">
        <v>2.621969E-2</v>
      </c>
      <c r="N3676">
        <v>-1.386663E-2</v>
      </c>
      <c r="O3676">
        <v>-0.99955989999999995</v>
      </c>
      <c r="P3676">
        <v>9.3924610000000006E-2</v>
      </c>
      <c r="Q3676">
        <v>-8.7129070000000003E-2</v>
      </c>
      <c r="R3676">
        <v>-0.99175939999999996</v>
      </c>
      <c r="S3676">
        <v>-0.40756229999999999</v>
      </c>
      <c r="T3676">
        <v>-0.72349200000000002</v>
      </c>
      <c r="U3676">
        <v>-2.9993590000000001</v>
      </c>
      <c r="V3676">
        <v>-6.7814730000000004E-2</v>
      </c>
      <c r="W3676">
        <v>-7.3404800000000006E-2</v>
      </c>
      <c r="X3676">
        <v>0.99499389999999999</v>
      </c>
      <c r="Y3676">
        <v>0.157051</v>
      </c>
      <c r="Z3676">
        <v>0.21837509999999999</v>
      </c>
      <c r="AA3676">
        <v>0.96314449999999996</v>
      </c>
      <c r="AB3676">
        <v>21</v>
      </c>
      <c r="AC3676">
        <v>-0.11360000000001901</v>
      </c>
      <c r="AD3676">
        <v>-0.1952391</v>
      </c>
      <c r="AE3676">
        <v>-0.68680000000000496</v>
      </c>
      <c r="AF3676">
        <v>0.121975804625027</v>
      </c>
      <c r="AG3676">
        <v>-0.1952391</v>
      </c>
      <c r="AH3676">
        <v>0.633735691952104</v>
      </c>
      <c r="AI3676">
        <v>106.831824653551</v>
      </c>
      <c r="AJ3676">
        <v>79.1054446455815</v>
      </c>
      <c r="AK3676">
        <v>0.67425316486965403</v>
      </c>
      <c r="AL3676">
        <v>94.209571481635194</v>
      </c>
      <c r="AM3676">
        <v>93.899017056158996</v>
      </c>
      <c r="AN3676">
        <v>0.99999998165261095</v>
      </c>
    </row>
    <row r="3677" spans="1:40" x14ac:dyDescent="0.25">
      <c r="A3677" t="str">
        <f>"20190303153840219"</f>
        <v>20190303153840219</v>
      </c>
      <c r="B3677" t="str">
        <f>"1551598720212086"</f>
        <v>1551598720212086</v>
      </c>
      <c r="C3677" t="s">
        <v>40</v>
      </c>
      <c r="D3677">
        <v>4.6811860000000003</v>
      </c>
      <c r="E3677">
        <v>0.58506420000000003</v>
      </c>
      <c r="F3677" t="s">
        <v>44</v>
      </c>
      <c r="G3677">
        <v>-492.5804</v>
      </c>
      <c r="H3677">
        <v>0.95288309999999998</v>
      </c>
      <c r="I3677">
        <v>256.10070000000002</v>
      </c>
      <c r="J3677">
        <v>-492.48250000000002</v>
      </c>
      <c r="K3677">
        <v>1.1214219999999999</v>
      </c>
      <c r="L3677">
        <v>256.68639999999999</v>
      </c>
      <c r="M3677">
        <v>2.6575970000000001E-2</v>
      </c>
      <c r="N3677">
        <v>-1.3908429999999999E-2</v>
      </c>
      <c r="O3677">
        <v>-0.99954989999999999</v>
      </c>
      <c r="P3677">
        <v>9.4917210000000002E-2</v>
      </c>
      <c r="Q3677">
        <v>-8.6954749999999997E-2</v>
      </c>
      <c r="R3677">
        <v>-0.99168029999999996</v>
      </c>
      <c r="S3677">
        <v>-0.40631099999999998</v>
      </c>
      <c r="T3677">
        <v>-0.72413459999999996</v>
      </c>
      <c r="U3677">
        <v>-2.9997250000000002</v>
      </c>
      <c r="V3677">
        <v>-6.8459190000000003E-2</v>
      </c>
      <c r="W3677">
        <v>-7.3186029999999999E-2</v>
      </c>
      <c r="X3677">
        <v>0.99496589999999996</v>
      </c>
      <c r="Y3677">
        <v>0.15698770000000001</v>
      </c>
      <c r="Z3677">
        <v>0.2185068</v>
      </c>
      <c r="AA3677">
        <v>0.96312489999999995</v>
      </c>
      <c r="AB3677">
        <v>21</v>
      </c>
      <c r="AC3677">
        <v>-9.7899999999981405E-2</v>
      </c>
      <c r="AD3677">
        <v>-0.16853889999999899</v>
      </c>
      <c r="AE3677">
        <v>-0.58569999999997402</v>
      </c>
      <c r="AF3677">
        <v>0.104976298954003</v>
      </c>
      <c r="AG3677">
        <v>-0.16853889999999899</v>
      </c>
      <c r="AH3677">
        <v>0.53943765854186798</v>
      </c>
      <c r="AI3677">
        <v>107.049798550597</v>
      </c>
      <c r="AJ3677">
        <v>78.987694314575094</v>
      </c>
      <c r="AK3677">
        <v>0.57482029505613597</v>
      </c>
      <c r="AL3677">
        <v>94.197003005517004</v>
      </c>
      <c r="AM3677">
        <v>93.9360648714012</v>
      </c>
      <c r="AN3677">
        <v>0.99999999892271296</v>
      </c>
    </row>
    <row r="3678" spans="1:40" x14ac:dyDescent="0.25">
      <c r="A3678" t="str">
        <f>"20190303153840232"</f>
        <v>20190303153840232</v>
      </c>
      <c r="B3678" t="str">
        <f>"1551598720221846"</f>
        <v>1551598720221846</v>
      </c>
      <c r="C3678" t="s">
        <v>40</v>
      </c>
      <c r="D3678">
        <v>4.6253359999999999</v>
      </c>
      <c r="E3678">
        <v>0.58524989999999999</v>
      </c>
      <c r="F3678" t="s">
        <v>44</v>
      </c>
      <c r="G3678">
        <v>-492.58679999999998</v>
      </c>
      <c r="H3678">
        <v>0.93606630000000002</v>
      </c>
      <c r="I3678">
        <v>255.9178</v>
      </c>
      <c r="J3678">
        <v>-492.47879999999998</v>
      </c>
      <c r="K3678">
        <v>1.121408</v>
      </c>
      <c r="L3678">
        <v>256.56459999999998</v>
      </c>
      <c r="M3678">
        <v>2.6948429999999999E-2</v>
      </c>
      <c r="N3678">
        <v>-1.3951369999999999E-2</v>
      </c>
      <c r="O3678">
        <v>-0.99953959999999997</v>
      </c>
      <c r="P3678">
        <v>9.600728E-2</v>
      </c>
      <c r="Q3678">
        <v>-8.6952160000000001E-2</v>
      </c>
      <c r="R3678">
        <v>-0.99157580000000001</v>
      </c>
      <c r="S3678">
        <v>-0.40594479999999999</v>
      </c>
      <c r="T3678">
        <v>-0.72373969999999999</v>
      </c>
      <c r="U3678">
        <v>-3.000534</v>
      </c>
      <c r="V3678">
        <v>-6.9186250000000005E-2</v>
      </c>
      <c r="W3678">
        <v>-7.3137649999999998E-2</v>
      </c>
      <c r="X3678">
        <v>0.9949192</v>
      </c>
      <c r="Y3678">
        <v>0.15721109999999999</v>
      </c>
      <c r="Z3678">
        <v>0.2182798</v>
      </c>
      <c r="AA3678">
        <v>0.96314</v>
      </c>
      <c r="AB3678">
        <v>21</v>
      </c>
      <c r="AC3678">
        <v>-0.108000000000004</v>
      </c>
      <c r="AD3678">
        <v>-0.185341699999999</v>
      </c>
      <c r="AE3678">
        <v>-0.64679999999998405</v>
      </c>
      <c r="AF3678">
        <v>0.11611675919874</v>
      </c>
      <c r="AG3678">
        <v>-0.185341699999999</v>
      </c>
      <c r="AH3678">
        <v>0.59603988945937902</v>
      </c>
      <c r="AI3678">
        <v>106.973094222923</v>
      </c>
      <c r="AJ3678">
        <v>78.976072413378802</v>
      </c>
      <c r="AK3678">
        <v>0.63490014754483803</v>
      </c>
      <c r="AL3678">
        <v>94.194223440614294</v>
      </c>
      <c r="AM3678">
        <v>93.977919847724905</v>
      </c>
      <c r="AN3678">
        <v>1.00000003378261</v>
      </c>
    </row>
    <row r="3679" spans="1:40" x14ac:dyDescent="0.25">
      <c r="A3679" t="str">
        <f>"20190303153840244"</f>
        <v>20190303153840244</v>
      </c>
      <c r="B3679" t="str">
        <f>"1551598720231607"</f>
        <v>1551598720231607</v>
      </c>
      <c r="C3679" t="s">
        <v>40</v>
      </c>
      <c r="D3679">
        <v>4.6464030000000003</v>
      </c>
      <c r="E3679">
        <v>0.58534619999999904</v>
      </c>
      <c r="F3679" t="s">
        <v>44</v>
      </c>
      <c r="G3679">
        <v>-492.59109999999998</v>
      </c>
      <c r="H3679">
        <v>0.92109129999999995</v>
      </c>
      <c r="I3679">
        <v>255.73400000000001</v>
      </c>
      <c r="J3679">
        <v>-492.47519999999997</v>
      </c>
      <c r="K3679">
        <v>1.1213959999999901</v>
      </c>
      <c r="L3679">
        <v>256.44900000000001</v>
      </c>
      <c r="M3679">
        <v>2.7276100000000001E-2</v>
      </c>
      <c r="N3679">
        <v>-1.3987980000000001E-2</v>
      </c>
      <c r="O3679">
        <v>-0.99953029999999998</v>
      </c>
      <c r="P3679">
        <v>9.6821980000000002E-2</v>
      </c>
      <c r="Q3679">
        <v>-8.6712429999999993E-2</v>
      </c>
      <c r="R3679">
        <v>-0.9915178</v>
      </c>
      <c r="S3679">
        <v>-0.40487669999999998</v>
      </c>
      <c r="T3679">
        <v>-0.72393240000000003</v>
      </c>
      <c r="U3679">
        <v>-3.0011749999999999</v>
      </c>
      <c r="V3679">
        <v>-6.9681530000000005E-2</v>
      </c>
      <c r="W3679">
        <v>-7.2857660000000005E-2</v>
      </c>
      <c r="X3679">
        <v>0.99490520000000005</v>
      </c>
      <c r="Y3679">
        <v>0.15717059999999999</v>
      </c>
      <c r="Z3679">
        <v>0.2182586</v>
      </c>
      <c r="AA3679">
        <v>0.96315139999999999</v>
      </c>
      <c r="AB3679">
        <v>21</v>
      </c>
      <c r="AC3679">
        <v>-0.11590000000001</v>
      </c>
      <c r="AD3679">
        <v>-0.200304699999999</v>
      </c>
      <c r="AE3679">
        <v>-0.71500000000000297</v>
      </c>
      <c r="AF3679">
        <v>0.12574512208830699</v>
      </c>
      <c r="AG3679">
        <v>-0.200304699999999</v>
      </c>
      <c r="AH3679">
        <v>0.66102219636128101</v>
      </c>
      <c r="AI3679">
        <v>106.57744715779</v>
      </c>
      <c r="AJ3679">
        <v>79.229409122707693</v>
      </c>
      <c r="AK3679">
        <v>0.70205708646333398</v>
      </c>
      <c r="AL3679">
        <v>94.178138191022597</v>
      </c>
      <c r="AM3679">
        <v>94.006360166260293</v>
      </c>
      <c r="AN3679">
        <v>1.00000005561542</v>
      </c>
    </row>
    <row r="3680" spans="1:40" x14ac:dyDescent="0.25">
      <c r="A3680" t="str">
        <f>"20190303153840261"</f>
        <v>20190303153840261</v>
      </c>
      <c r="B3680" t="str">
        <f>"1551598720252105"</f>
        <v>1551598720252105</v>
      </c>
      <c r="C3680" t="s">
        <v>40</v>
      </c>
      <c r="D3680">
        <v>4.6276650000000004</v>
      </c>
      <c r="E3680">
        <v>0.5858025</v>
      </c>
      <c r="F3680" t="s">
        <v>44</v>
      </c>
      <c r="G3680">
        <v>-492.57299999999998</v>
      </c>
      <c r="H3680">
        <v>0.94647110000000001</v>
      </c>
      <c r="I3680">
        <v>255.7234</v>
      </c>
      <c r="J3680">
        <v>-492.47030000000001</v>
      </c>
      <c r="K3680">
        <v>1.1213740000000001</v>
      </c>
      <c r="L3680">
        <v>256.28769999999997</v>
      </c>
      <c r="M3680">
        <v>2.769754E-2</v>
      </c>
      <c r="N3680">
        <v>-1.4034E-2</v>
      </c>
      <c r="O3680">
        <v>-0.99951800000000002</v>
      </c>
      <c r="P3680">
        <v>9.8956489999999994E-2</v>
      </c>
      <c r="Q3680">
        <v>-8.5912669999999997E-2</v>
      </c>
      <c r="R3680">
        <v>-0.99137640000000005</v>
      </c>
      <c r="S3680">
        <v>-0.40313719999999997</v>
      </c>
      <c r="T3680">
        <v>-0.72377799999999903</v>
      </c>
      <c r="U3680">
        <v>-3.001709</v>
      </c>
      <c r="V3680">
        <v>-7.1407470000000001E-2</v>
      </c>
      <c r="W3680">
        <v>-7.2007689999999999E-2</v>
      </c>
      <c r="X3680">
        <v>0.99484459999999997</v>
      </c>
      <c r="Y3680">
        <v>0.15701889999999999</v>
      </c>
      <c r="Z3680">
        <v>0.21813489999999999</v>
      </c>
      <c r="AA3680">
        <v>0.96320410000000001</v>
      </c>
      <c r="AB3680">
        <v>21</v>
      </c>
      <c r="AC3680">
        <v>-0.10270000000002701</v>
      </c>
      <c r="AD3680">
        <v>-0.174902899999999</v>
      </c>
      <c r="AE3680">
        <v>-0.56429999999997404</v>
      </c>
      <c r="AF3680">
        <v>0.108228049682564</v>
      </c>
      <c r="AG3680">
        <v>-0.174902899999999</v>
      </c>
      <c r="AH3680">
        <v>0.51349069404867398</v>
      </c>
      <c r="AI3680">
        <v>108.43286445455399</v>
      </c>
      <c r="AJ3680">
        <v>78.098014109694304</v>
      </c>
      <c r="AK3680">
        <v>0.55315190322468399</v>
      </c>
      <c r="AL3680">
        <v>94.129310653712906</v>
      </c>
      <c r="AM3680">
        <v>94.1055076092658</v>
      </c>
      <c r="AN3680">
        <v>0.999999956170047</v>
      </c>
    </row>
    <row r="3681" spans="1:40" x14ac:dyDescent="0.25">
      <c r="A3681" t="str">
        <f>"20190303153840273"</f>
        <v>20190303153840273</v>
      </c>
      <c r="B3681" t="str">
        <f>"1551598720261862"</f>
        <v>1551598720261862</v>
      </c>
      <c r="C3681" t="s">
        <v>40</v>
      </c>
      <c r="D3681">
        <v>4.6136480000000004</v>
      </c>
      <c r="E3681">
        <v>0.58603629999999995</v>
      </c>
      <c r="F3681" t="s">
        <v>44</v>
      </c>
      <c r="G3681">
        <v>-492.57060000000001</v>
      </c>
      <c r="H3681">
        <v>0.94076070000000001</v>
      </c>
      <c r="I3681">
        <v>255.53639999999999</v>
      </c>
      <c r="J3681">
        <v>-492.4667</v>
      </c>
      <c r="K3681">
        <v>1.1213569999999999</v>
      </c>
      <c r="L3681">
        <v>256.173</v>
      </c>
      <c r="M3681">
        <v>2.797301E-2</v>
      </c>
      <c r="N3681">
        <v>-1.406377E-2</v>
      </c>
      <c r="O3681">
        <v>-0.99950989999999995</v>
      </c>
      <c r="P3681">
        <v>0.1001205</v>
      </c>
      <c r="Q3681">
        <v>-8.5398639999999998E-2</v>
      </c>
      <c r="R3681">
        <v>-0.99130399999999996</v>
      </c>
      <c r="S3681">
        <v>-0.40014650000000002</v>
      </c>
      <c r="T3681">
        <v>-0.7221071</v>
      </c>
      <c r="U3681">
        <v>-3.0034179999999999</v>
      </c>
      <c r="V3681">
        <v>-7.2304030000000005E-2</v>
      </c>
      <c r="W3681">
        <v>-7.1460049999999997E-2</v>
      </c>
      <c r="X3681">
        <v>0.99481940000000002</v>
      </c>
      <c r="Y3681">
        <v>0.1562965</v>
      </c>
      <c r="Z3681">
        <v>0.2174992</v>
      </c>
      <c r="AA3681">
        <v>0.96346529999999997</v>
      </c>
      <c r="AB3681">
        <v>21</v>
      </c>
      <c r="AC3681">
        <v>-0.10390000000001</v>
      </c>
      <c r="AD3681">
        <v>-0.18059629999999999</v>
      </c>
      <c r="AE3681">
        <v>-0.63660000000001504</v>
      </c>
      <c r="AF3681">
        <v>0.11282428197812699</v>
      </c>
      <c r="AG3681">
        <v>-0.18059629999999999</v>
      </c>
      <c r="AH3681">
        <v>0.58739738030601796</v>
      </c>
      <c r="AI3681">
        <v>106.800774020959</v>
      </c>
      <c r="AJ3681">
        <v>79.127336883570905</v>
      </c>
      <c r="AK3681">
        <v>0.62480398891807898</v>
      </c>
      <c r="AL3681">
        <v>94.097851865297301</v>
      </c>
      <c r="AM3681">
        <v>94.156979862002999</v>
      </c>
      <c r="AN3681">
        <v>1.0000000250583001</v>
      </c>
    </row>
    <row r="3682" spans="1:40" x14ac:dyDescent="0.25">
      <c r="A3682" t="str">
        <f>"20190303153840288"</f>
        <v>20190303153840288</v>
      </c>
      <c r="B3682" t="str">
        <f>"1551598720282358"</f>
        <v>1551598720282358</v>
      </c>
      <c r="C3682" t="s">
        <v>40</v>
      </c>
      <c r="D3682">
        <v>4.6019160000000001</v>
      </c>
      <c r="E3682">
        <v>0.58641390000000004</v>
      </c>
      <c r="F3682" t="s">
        <v>44</v>
      </c>
      <c r="G3682">
        <v>-492.57549999999998</v>
      </c>
      <c r="H3682">
        <v>0.92491020000000002</v>
      </c>
      <c r="I3682">
        <v>255.35400000000001</v>
      </c>
      <c r="J3682">
        <v>-492.46269999999998</v>
      </c>
      <c r="K3682">
        <v>1.121337</v>
      </c>
      <c r="L3682">
        <v>256.04270000000002</v>
      </c>
      <c r="M3682">
        <v>2.8258390000000001E-2</v>
      </c>
      <c r="N3682">
        <v>-1.4094550000000001E-2</v>
      </c>
      <c r="O3682">
        <v>-0.99950130000000004</v>
      </c>
      <c r="P3682">
        <v>0.1012827</v>
      </c>
      <c r="Q3682">
        <v>-8.4919850000000005E-2</v>
      </c>
      <c r="R3682">
        <v>-0.99122659999999996</v>
      </c>
      <c r="S3682">
        <v>-0.39840700000000001</v>
      </c>
      <c r="T3682">
        <v>-0.72076790000000002</v>
      </c>
      <c r="U3682">
        <v>-3.0044710000000001</v>
      </c>
      <c r="V3682">
        <v>-7.3190439999999996E-2</v>
      </c>
      <c r="W3682">
        <v>-7.0945579999999994E-2</v>
      </c>
      <c r="X3682">
        <v>0.99479139999999999</v>
      </c>
      <c r="Y3682">
        <v>0.1560011</v>
      </c>
      <c r="Z3682">
        <v>0.21699679999999999</v>
      </c>
      <c r="AA3682">
        <v>0.96362650000000005</v>
      </c>
      <c r="AB3682">
        <v>21</v>
      </c>
      <c r="AC3682">
        <v>-0.112799999999992</v>
      </c>
      <c r="AD3682">
        <v>-0.19642680000000001</v>
      </c>
      <c r="AE3682">
        <v>-0.68870000000001097</v>
      </c>
      <c r="AF3682">
        <v>0.12251275638075899</v>
      </c>
      <c r="AG3682">
        <v>-0.19642680000000001</v>
      </c>
      <c r="AH3682">
        <v>0.63493629037663102</v>
      </c>
      <c r="AI3682">
        <v>106.896767884241</v>
      </c>
      <c r="AJ3682">
        <v>79.078831596227502</v>
      </c>
      <c r="AK3682">
        <v>0.67582316923252095</v>
      </c>
      <c r="AL3682">
        <v>94.068299908676096</v>
      </c>
      <c r="AM3682">
        <v>94.207878354863496</v>
      </c>
      <c r="AN3682">
        <v>1.0000000226714401</v>
      </c>
    </row>
    <row r="3683" spans="1:40" x14ac:dyDescent="0.25">
      <c r="A3683" t="str">
        <f>"20190303153840301"</f>
        <v>20190303153840301</v>
      </c>
      <c r="B3683" t="str">
        <f>"1551598720292119"</f>
        <v>1551598720292119</v>
      </c>
      <c r="C3683" t="s">
        <v>40</v>
      </c>
      <c r="D3683">
        <v>4.5941720000000004</v>
      </c>
      <c r="E3683">
        <v>0.58663920000000003</v>
      </c>
      <c r="F3683" t="s">
        <v>44</v>
      </c>
      <c r="G3683">
        <v>-492.5557</v>
      </c>
      <c r="H3683">
        <v>0.95332360000000005</v>
      </c>
      <c r="I3683">
        <v>255.34180000000001</v>
      </c>
      <c r="J3683">
        <v>-492.45850000000002</v>
      </c>
      <c r="K3683">
        <v>1.1213120000000001</v>
      </c>
      <c r="L3683">
        <v>255.90450000000001</v>
      </c>
      <c r="M3683">
        <v>2.8516079999999999E-2</v>
      </c>
      <c r="N3683">
        <v>-1.412326E-2</v>
      </c>
      <c r="O3683">
        <v>-0.99949370000000004</v>
      </c>
      <c r="P3683">
        <v>0.1027049</v>
      </c>
      <c r="Q3683">
        <v>-8.4339189999999994E-2</v>
      </c>
      <c r="R3683">
        <v>-0.99113010000000001</v>
      </c>
      <c r="S3683">
        <v>-0.39797969999999999</v>
      </c>
      <c r="T3683">
        <v>-0.72059269999999997</v>
      </c>
      <c r="U3683">
        <v>-3.0054470000000002</v>
      </c>
      <c r="V3683">
        <v>-7.4365280000000006E-2</v>
      </c>
      <c r="W3683">
        <v>-7.033093E-2</v>
      </c>
      <c r="X3683">
        <v>0.99474790000000002</v>
      </c>
      <c r="Y3683">
        <v>0.1560841</v>
      </c>
      <c r="Z3683">
        <v>0.2168428</v>
      </c>
      <c r="AA3683">
        <v>0.9636477</v>
      </c>
      <c r="AB3683">
        <v>21</v>
      </c>
      <c r="AC3683">
        <v>-9.7199999999986603E-2</v>
      </c>
      <c r="AD3683">
        <v>-0.16798840000000001</v>
      </c>
      <c r="AE3683">
        <v>-0.56270000000000597</v>
      </c>
      <c r="AF3683">
        <v>0.104190984707899</v>
      </c>
      <c r="AG3683">
        <v>-0.16798840000000001</v>
      </c>
      <c r="AH3683">
        <v>0.51511878582703896</v>
      </c>
      <c r="AI3683">
        <v>107.726107517478</v>
      </c>
      <c r="AJ3683">
        <v>78.565286791080794</v>
      </c>
      <c r="AK3683">
        <v>0.55174561832504398</v>
      </c>
      <c r="AL3683">
        <v>94.032994918912607</v>
      </c>
      <c r="AM3683">
        <v>94.275360276006396</v>
      </c>
      <c r="AN3683">
        <v>1.00000000956927</v>
      </c>
    </row>
    <row r="3684" spans="1:40" x14ac:dyDescent="0.25">
      <c r="A3684" t="str">
        <f>"20190303153840317"</f>
        <v>20190303153840317</v>
      </c>
      <c r="B3684" t="str">
        <f>"1551598720311638"</f>
        <v>1551598720311638</v>
      </c>
      <c r="C3684" t="s">
        <v>40</v>
      </c>
      <c r="D3684">
        <v>4.5706699999999998</v>
      </c>
      <c r="E3684">
        <v>0.58697829999999995</v>
      </c>
      <c r="F3684" t="s">
        <v>44</v>
      </c>
      <c r="G3684">
        <v>-492.55700000000002</v>
      </c>
      <c r="H3684">
        <v>0.94272180000000005</v>
      </c>
      <c r="I3684">
        <v>255.15770000000001</v>
      </c>
      <c r="J3684">
        <v>-492.45429999999999</v>
      </c>
      <c r="K3684">
        <v>1.1212879999999901</v>
      </c>
      <c r="L3684">
        <v>255.768</v>
      </c>
      <c r="M3684">
        <v>2.8737490000000001E-2</v>
      </c>
      <c r="N3684">
        <v>-1.4149119999999999E-2</v>
      </c>
      <c r="O3684">
        <v>-0.99948720000000002</v>
      </c>
      <c r="P3684">
        <v>0.1055162</v>
      </c>
      <c r="Q3684">
        <v>-8.3024180000000003E-2</v>
      </c>
      <c r="R3684">
        <v>-0.99094610000000005</v>
      </c>
      <c r="S3684">
        <v>-0.3957214</v>
      </c>
      <c r="T3684">
        <v>-0.719051</v>
      </c>
      <c r="U3684">
        <v>-3.0066679999999999</v>
      </c>
      <c r="V3684">
        <v>-7.6967359999999999E-2</v>
      </c>
      <c r="W3684">
        <v>-6.8985710000000006E-2</v>
      </c>
      <c r="X3684">
        <v>0.99464419999999998</v>
      </c>
      <c r="Y3684">
        <v>0.1555578</v>
      </c>
      <c r="Z3684">
        <v>0.2162792</v>
      </c>
      <c r="AA3684">
        <v>0.96385949999999998</v>
      </c>
      <c r="AB3684">
        <v>21</v>
      </c>
      <c r="AC3684">
        <v>-0.10269999999997</v>
      </c>
      <c r="AD3684">
        <v>-0.17856619999999901</v>
      </c>
      <c r="AE3684">
        <v>-0.61029999999999496</v>
      </c>
      <c r="AF3684">
        <v>0.110960358749653</v>
      </c>
      <c r="AG3684">
        <v>-0.17856619999999901</v>
      </c>
      <c r="AH3684">
        <v>0.56043962329146502</v>
      </c>
      <c r="AI3684">
        <v>107.35669098521601</v>
      </c>
      <c r="AJ3684">
        <v>78.800951790569997</v>
      </c>
      <c r="AK3684">
        <v>0.59857385538575802</v>
      </c>
      <c r="AL3684">
        <v>93.9557316710832</v>
      </c>
      <c r="AM3684">
        <v>94.424832810378405</v>
      </c>
      <c r="AN3684">
        <v>1.0000000436415999</v>
      </c>
    </row>
    <row r="3685" spans="1:40" x14ac:dyDescent="0.25">
      <c r="A3685" t="str">
        <f>"20190303153840330"</f>
        <v>20190303153840330</v>
      </c>
      <c r="B3685" t="str">
        <f>"1551598720322374"</f>
        <v>1551598720322374</v>
      </c>
      <c r="C3685" t="s">
        <v>40</v>
      </c>
      <c r="D3685">
        <v>4.5895409999999996</v>
      </c>
      <c r="E3685">
        <v>0.58710960000000001</v>
      </c>
      <c r="F3685" t="s">
        <v>44</v>
      </c>
      <c r="G3685">
        <v>-492.55709999999999</v>
      </c>
      <c r="H3685">
        <v>0.93204100000000001</v>
      </c>
      <c r="I3685">
        <v>254.97389999999999</v>
      </c>
      <c r="J3685">
        <v>-492.45060000000001</v>
      </c>
      <c r="K3685">
        <v>1.121264</v>
      </c>
      <c r="L3685">
        <v>255.64619999999999</v>
      </c>
      <c r="M3685">
        <v>2.8910120000000001E-2</v>
      </c>
      <c r="N3685">
        <v>-1.417036E-2</v>
      </c>
      <c r="O3685">
        <v>-0.99948170000000003</v>
      </c>
      <c r="P3685">
        <v>0.10724839999999999</v>
      </c>
      <c r="Q3685">
        <v>-8.2546530000000007E-2</v>
      </c>
      <c r="R3685">
        <v>-0.99079980000000001</v>
      </c>
      <c r="S3685">
        <v>-0.38973999999999998</v>
      </c>
      <c r="T3685">
        <v>-0.71706950000000003</v>
      </c>
      <c r="U3685">
        <v>-3.0088200000000001</v>
      </c>
      <c r="V3685">
        <v>-7.8537490000000001E-2</v>
      </c>
      <c r="W3685">
        <v>-6.8482119999999994E-2</v>
      </c>
      <c r="X3685">
        <v>0.9945562</v>
      </c>
      <c r="Y3685">
        <v>0.1537791</v>
      </c>
      <c r="Z3685">
        <v>0.21556030000000001</v>
      </c>
      <c r="AA3685">
        <v>0.96430579999999999</v>
      </c>
      <c r="AB3685">
        <v>21</v>
      </c>
      <c r="AC3685">
        <v>-0.106499999999982</v>
      </c>
      <c r="AD3685">
        <v>-0.189223</v>
      </c>
      <c r="AE3685">
        <v>-0.672300000000007</v>
      </c>
      <c r="AF3685">
        <v>0.116862738532603</v>
      </c>
      <c r="AG3685">
        <v>-0.189223</v>
      </c>
      <c r="AH3685">
        <v>0.62095343697342698</v>
      </c>
      <c r="AI3685">
        <v>106.671509077777</v>
      </c>
      <c r="AJ3685">
        <v>79.341666951148795</v>
      </c>
      <c r="AK3685">
        <v>0.65957972548847399</v>
      </c>
      <c r="AL3685">
        <v>93.926809915387395</v>
      </c>
      <c r="AM3685">
        <v>94.5151275108867</v>
      </c>
      <c r="AN3685">
        <v>0.99999998652681699</v>
      </c>
    </row>
    <row r="3686" spans="1:40" x14ac:dyDescent="0.25">
      <c r="A3686" t="str">
        <f>"20190303153840343"</f>
        <v>20190303153840343</v>
      </c>
      <c r="B3686" t="str">
        <f>"1551598720332134"</f>
        <v>1551598720332134</v>
      </c>
      <c r="C3686" t="s">
        <v>40</v>
      </c>
      <c r="D3686">
        <v>4.5473869999999996</v>
      </c>
      <c r="E3686">
        <v>0.58731089999999997</v>
      </c>
      <c r="F3686" t="s">
        <v>44</v>
      </c>
      <c r="G3686">
        <v>-492.56020000000001</v>
      </c>
      <c r="H3686">
        <v>0.91774270000000002</v>
      </c>
      <c r="I3686">
        <v>254.79169999999999</v>
      </c>
      <c r="J3686">
        <v>-492.44650000000001</v>
      </c>
      <c r="K3686">
        <v>1.121227</v>
      </c>
      <c r="L3686">
        <v>255.51150000000001</v>
      </c>
      <c r="M3686">
        <v>2.9051779999999999E-2</v>
      </c>
      <c r="N3686">
        <v>-1.419084E-2</v>
      </c>
      <c r="O3686">
        <v>-0.99947739999999996</v>
      </c>
      <c r="P3686">
        <v>0.1090262</v>
      </c>
      <c r="Q3686">
        <v>-8.2306199999999996E-2</v>
      </c>
      <c r="R3686">
        <v>-0.9906258</v>
      </c>
      <c r="S3686">
        <v>-0.38494869999999998</v>
      </c>
      <c r="T3686">
        <v>-0.71687819999999902</v>
      </c>
      <c r="U3686">
        <v>-3.0097960000000001</v>
      </c>
      <c r="V3686">
        <v>-8.0184939999999996E-2</v>
      </c>
      <c r="W3686">
        <v>-6.8216059999999995E-2</v>
      </c>
      <c r="X3686">
        <v>0.99444310000000002</v>
      </c>
      <c r="Y3686">
        <v>0.15237419999999999</v>
      </c>
      <c r="Z3686">
        <v>0.21545800000000001</v>
      </c>
      <c r="AA3686">
        <v>0.96455170000000001</v>
      </c>
      <c r="AB3686">
        <v>21</v>
      </c>
      <c r="AC3686">
        <v>-0.113699999999994</v>
      </c>
      <c r="AD3686">
        <v>-0.20348429999999901</v>
      </c>
      <c r="AE3686">
        <v>-0.71980000000001998</v>
      </c>
      <c r="AF3686">
        <v>0.12483223838829199</v>
      </c>
      <c r="AG3686">
        <v>-0.20348429999999901</v>
      </c>
      <c r="AH3686">
        <v>0.664389297741528</v>
      </c>
      <c r="AI3686">
        <v>106.752089765135</v>
      </c>
      <c r="AJ3686">
        <v>79.358748696250203</v>
      </c>
      <c r="AK3686">
        <v>0.70597598191510902</v>
      </c>
      <c r="AL3686">
        <v>93.911529751199495</v>
      </c>
      <c r="AM3686">
        <v>94.609957574600799</v>
      </c>
      <c r="AN3686">
        <v>1.00000006729116</v>
      </c>
    </row>
    <row r="3687" spans="1:40" x14ac:dyDescent="0.25">
      <c r="A3687" t="str">
        <f>"20190303153840367"</f>
        <v>20190303153840367</v>
      </c>
      <c r="B3687" t="str">
        <f>"1551598720351653"</f>
        <v>1551598720351653</v>
      </c>
      <c r="C3687" t="s">
        <v>40</v>
      </c>
      <c r="D3687">
        <v>4.6267579999999997</v>
      </c>
      <c r="E3687">
        <v>0.58722439999999998</v>
      </c>
      <c r="F3687" t="s">
        <v>44</v>
      </c>
      <c r="G3687">
        <v>-492.53949999999998</v>
      </c>
      <c r="H3687">
        <v>0.94698890000000002</v>
      </c>
      <c r="I3687">
        <v>254.77950000000001</v>
      </c>
      <c r="J3687">
        <v>-492.44119999999998</v>
      </c>
      <c r="K3687">
        <v>1.1211949999999999</v>
      </c>
      <c r="L3687">
        <v>255.33580000000001</v>
      </c>
      <c r="M3687">
        <v>2.919045E-2</v>
      </c>
      <c r="N3687">
        <v>-1.421475E-2</v>
      </c>
      <c r="O3687">
        <v>-0.9994729</v>
      </c>
      <c r="P3687">
        <v>0.11291039999999999</v>
      </c>
      <c r="Q3687">
        <v>-8.1322329999999998E-2</v>
      </c>
      <c r="R3687">
        <v>-0.99027160000000003</v>
      </c>
      <c r="S3687">
        <v>-0.38128659999999998</v>
      </c>
      <c r="T3687">
        <v>-0.71669569999999905</v>
      </c>
      <c r="U3687">
        <v>-3.0107729999999999</v>
      </c>
      <c r="V3687">
        <v>-8.3948079999999994E-2</v>
      </c>
      <c r="W3687">
        <v>-6.7202899999999996E-2</v>
      </c>
      <c r="X3687">
        <v>0.99420140000000001</v>
      </c>
      <c r="Y3687">
        <v>0.15132200000000001</v>
      </c>
      <c r="Z3687">
        <v>0.21534310000000001</v>
      </c>
      <c r="AA3687">
        <v>0.96474300000000002</v>
      </c>
      <c r="AB3687">
        <v>21</v>
      </c>
      <c r="AC3687">
        <v>-9.8299999999994697E-2</v>
      </c>
      <c r="AD3687">
        <v>-0.1742061</v>
      </c>
      <c r="AE3687">
        <v>-0.55629999999999302</v>
      </c>
      <c r="AF3687">
        <v>0.104555712017248</v>
      </c>
      <c r="AG3687">
        <v>-0.1742061</v>
      </c>
      <c r="AH3687">
        <v>0.50515564165640303</v>
      </c>
      <c r="AI3687">
        <v>108.659759057795</v>
      </c>
      <c r="AJ3687">
        <v>78.306198492039002</v>
      </c>
      <c r="AK3687">
        <v>0.54448313517494396</v>
      </c>
      <c r="AL3687">
        <v>93.853346822241306</v>
      </c>
      <c r="AM3687">
        <v>94.826475114351496</v>
      </c>
      <c r="AN3687">
        <v>0.99999996683302705</v>
      </c>
    </row>
    <row r="3688" spans="1:40" x14ac:dyDescent="0.25">
      <c r="A3688" t="str">
        <f>"20190303153840381"</f>
        <v>20190303153840381</v>
      </c>
      <c r="B3688" t="str">
        <f>"1551598720372150"</f>
        <v>1551598720372150</v>
      </c>
      <c r="C3688" t="s">
        <v>40</v>
      </c>
      <c r="D3688">
        <v>4.2629130000000002</v>
      </c>
      <c r="E3688">
        <v>0.54074860000000002</v>
      </c>
      <c r="F3688" t="s">
        <v>44</v>
      </c>
      <c r="G3688">
        <v>-492.53210000000001</v>
      </c>
      <c r="H3688">
        <v>0.9450248</v>
      </c>
      <c r="I3688">
        <v>254.59280000000001</v>
      </c>
      <c r="J3688">
        <v>-492.4359</v>
      </c>
      <c r="K3688">
        <v>1.12117</v>
      </c>
      <c r="L3688">
        <v>255.16059999999999</v>
      </c>
      <c r="M3688">
        <v>2.9271640000000002E-2</v>
      </c>
      <c r="N3688">
        <v>-1.4235390000000001E-2</v>
      </c>
      <c r="O3688">
        <v>-0.99947019999999998</v>
      </c>
      <c r="P3688">
        <v>0.115122</v>
      </c>
      <c r="Q3688">
        <v>-8.0809320000000004E-2</v>
      </c>
      <c r="R3688">
        <v>-0.99005940000000003</v>
      </c>
      <c r="S3688">
        <v>-0.36874390000000001</v>
      </c>
      <c r="T3688">
        <v>-0.71430680000000002</v>
      </c>
      <c r="U3688">
        <v>-3.0129239999999999</v>
      </c>
      <c r="V3688">
        <v>-8.6090970000000003E-2</v>
      </c>
      <c r="W3688">
        <v>-6.6662620000000006E-2</v>
      </c>
      <c r="X3688">
        <v>0.99405460000000001</v>
      </c>
      <c r="Y3688">
        <v>0.14738889999999999</v>
      </c>
      <c r="Z3688">
        <v>0.21456710000000001</v>
      </c>
      <c r="AA3688">
        <v>0.96552439999999995</v>
      </c>
      <c r="AB3688">
        <v>21</v>
      </c>
      <c r="AC3688">
        <v>-9.6200000000010194E-2</v>
      </c>
      <c r="AD3688">
        <v>-0.1761452</v>
      </c>
      <c r="AE3688">
        <v>-0.56779999999997699</v>
      </c>
      <c r="AF3688">
        <v>0.10313248649278201</v>
      </c>
      <c r="AG3688">
        <v>-0.1761452</v>
      </c>
      <c r="AH3688">
        <v>0.516426894641834</v>
      </c>
      <c r="AI3688">
        <v>108.494051628661</v>
      </c>
      <c r="AJ3688">
        <v>78.706378922897102</v>
      </c>
      <c r="AK3688">
        <v>0.55530188074832898</v>
      </c>
      <c r="AL3688">
        <v>93.8223211490902</v>
      </c>
      <c r="AM3688">
        <v>94.949800410567306</v>
      </c>
      <c r="AN3688">
        <v>1.0000000539009799</v>
      </c>
    </row>
    <row r="3689" spans="1:40" x14ac:dyDescent="0.25">
      <c r="A3689" t="str">
        <f>"20190303153840394"</f>
        <v>20190303153840394</v>
      </c>
      <c r="B3689" t="str">
        <f>"1551598720391670"</f>
        <v>1551598720391670</v>
      </c>
      <c r="C3689" t="s">
        <v>40</v>
      </c>
      <c r="D3689">
        <v>4.3496360000000003</v>
      </c>
      <c r="E3689">
        <v>0.50402159999999996</v>
      </c>
      <c r="F3689" t="s">
        <v>44</v>
      </c>
      <c r="G3689">
        <v>-492.43239999999997</v>
      </c>
      <c r="H3689">
        <v>0.99747920000000001</v>
      </c>
      <c r="I3689">
        <v>254.38239999999999</v>
      </c>
      <c r="J3689">
        <v>-492.43220000000002</v>
      </c>
      <c r="K3689">
        <v>1.121156</v>
      </c>
      <c r="L3689">
        <v>255.0368</v>
      </c>
      <c r="M3689">
        <v>2.9300010000000001E-2</v>
      </c>
      <c r="N3689">
        <v>-1.42483E-2</v>
      </c>
      <c r="O3689">
        <v>-0.9994693</v>
      </c>
      <c r="P3689">
        <v>0.120365</v>
      </c>
      <c r="Q3689">
        <v>-7.9648469999999999E-2</v>
      </c>
      <c r="R3689">
        <v>-0.98952960000000001</v>
      </c>
      <c r="S3689">
        <v>1.4312739999999999E-2</v>
      </c>
      <c r="T3689">
        <v>-0.47531250000000003</v>
      </c>
      <c r="U3689">
        <v>-2.9896090000000002</v>
      </c>
      <c r="V3689">
        <v>-9.1323699999999994E-2</v>
      </c>
      <c r="W3689">
        <v>-6.5488299999999999E-2</v>
      </c>
      <c r="X3689">
        <v>0.99366560000000004</v>
      </c>
      <c r="Y3689">
        <v>2.4536209999999999E-2</v>
      </c>
      <c r="Z3689">
        <v>0.1428044</v>
      </c>
      <c r="AA3689">
        <v>0.98944679999999996</v>
      </c>
      <c r="AB3689">
        <v>21</v>
      </c>
      <c r="AC3689">
        <v>-1.99999999949795E-4</v>
      </c>
      <c r="AD3689">
        <v>-0.1236768</v>
      </c>
      <c r="AE3689">
        <v>-0.65440000000000897</v>
      </c>
      <c r="AF3689">
        <v>1.8707581935359398E-2</v>
      </c>
      <c r="AG3689">
        <v>-0.1236768</v>
      </c>
      <c r="AH3689">
        <v>0.631555097512425</v>
      </c>
      <c r="AI3689">
        <v>101.07522221123</v>
      </c>
      <c r="AJ3689">
        <v>88.303311677701899</v>
      </c>
      <c r="AK3689">
        <v>0.64382277505074104</v>
      </c>
      <c r="AL3689">
        <v>93.754890296786897</v>
      </c>
      <c r="AM3689">
        <v>95.251066825854195</v>
      </c>
      <c r="AN3689">
        <v>1.0000000301209599</v>
      </c>
    </row>
    <row r="3690" spans="1:40" x14ac:dyDescent="0.25">
      <c r="A3690" t="str">
        <f>"20190303153840406"</f>
        <v>20190303153840406</v>
      </c>
      <c r="B3690" t="str">
        <f>"1551598720402406"</f>
        <v>1551598720402406</v>
      </c>
      <c r="C3690" t="s">
        <v>40</v>
      </c>
      <c r="D3690">
        <v>4.3116979999999998</v>
      </c>
      <c r="E3690">
        <v>0.50243909999999903</v>
      </c>
      <c r="F3690" t="s">
        <v>51</v>
      </c>
      <c r="G3690">
        <v>-489.40269999999998</v>
      </c>
      <c r="H3690" s="1">
        <v>5.9642429999999997E-6</v>
      </c>
      <c r="I3690">
        <v>227.9348</v>
      </c>
      <c r="J3690">
        <v>-492.42910000000001</v>
      </c>
      <c r="K3690">
        <v>1.121143</v>
      </c>
      <c r="L3690">
        <v>254.93049999999999</v>
      </c>
      <c r="M3690">
        <v>2.9307159999999999E-2</v>
      </c>
      <c r="N3690">
        <v>-1.425834E-2</v>
      </c>
      <c r="O3690">
        <v>-0.99946889999999999</v>
      </c>
      <c r="P3690">
        <v>0.12304039999999999</v>
      </c>
      <c r="Q3690">
        <v>-7.9104830000000001E-2</v>
      </c>
      <c r="R3690">
        <v>-0.98924420000000002</v>
      </c>
      <c r="S3690">
        <v>0.33325199999999999</v>
      </c>
      <c r="T3690">
        <v>-0.1233287</v>
      </c>
      <c r="U3690">
        <v>-2.981277</v>
      </c>
      <c r="V3690">
        <v>-9.4002429999999998E-2</v>
      </c>
      <c r="W3690">
        <v>-6.4932909999999996E-2</v>
      </c>
      <c r="X3690">
        <v>0.99345220000000001</v>
      </c>
      <c r="Y3690">
        <v>-8.1840910000000003E-2</v>
      </c>
      <c r="Z3690">
        <v>2.6881499999999999E-2</v>
      </c>
      <c r="AA3690">
        <v>0.99628280000000002</v>
      </c>
      <c r="AB3690">
        <v>21</v>
      </c>
      <c r="AC3690">
        <v>3.0264000000000202</v>
      </c>
      <c r="AD3690">
        <v>-1.1211370357570001</v>
      </c>
      <c r="AE3690">
        <v>-26.995699999999999</v>
      </c>
      <c r="AF3690">
        <v>-2.2300535734369</v>
      </c>
      <c r="AG3690">
        <v>-1.1211370357570001</v>
      </c>
      <c r="AH3690">
        <v>27.026769849867801</v>
      </c>
      <c r="AI3690">
        <v>92.367372179342894</v>
      </c>
      <c r="AJ3690">
        <v>94.716947804879396</v>
      </c>
      <c r="AK3690">
        <v>27.141782839582799</v>
      </c>
      <c r="AL3690">
        <v>93.723001005997205</v>
      </c>
      <c r="AM3690">
        <v>95.405347411879404</v>
      </c>
      <c r="AN3690">
        <v>1.0000000066659001</v>
      </c>
    </row>
    <row r="3691" spans="1:40" x14ac:dyDescent="0.25">
      <c r="A3691" t="str">
        <f>"20190303153840418"</f>
        <v>20190303153840418</v>
      </c>
      <c r="B3691" t="str">
        <f>"1551598720412167"</f>
        <v>1551598720412167</v>
      </c>
      <c r="C3691" t="s">
        <v>40</v>
      </c>
      <c r="D3691">
        <v>4.3474329999999997</v>
      </c>
      <c r="E3691">
        <v>0.50136009999999998</v>
      </c>
      <c r="F3691" t="s">
        <v>51</v>
      </c>
      <c r="G3691">
        <v>-487.00110000000001</v>
      </c>
      <c r="H3691" s="1">
        <v>2.4914130000000001E-6</v>
      </c>
      <c r="I3691">
        <v>209.35169999999999</v>
      </c>
      <c r="J3691">
        <v>-492.42590000000001</v>
      </c>
      <c r="K3691">
        <v>1.1211370000000001</v>
      </c>
      <c r="L3691">
        <v>254.82400000000001</v>
      </c>
      <c r="M3691">
        <v>2.9299680000000002E-2</v>
      </c>
      <c r="N3691">
        <v>-1.426732E-2</v>
      </c>
      <c r="O3691">
        <v>-0.9994691</v>
      </c>
      <c r="P3691">
        <v>0.12572169999999999</v>
      </c>
      <c r="Q3691">
        <v>-7.8758620000000001E-2</v>
      </c>
      <c r="R3691">
        <v>-0.98893489999999995</v>
      </c>
      <c r="S3691">
        <v>0.35519410000000001</v>
      </c>
      <c r="T3691">
        <v>-7.3364499999999999E-2</v>
      </c>
      <c r="U3691">
        <v>-2.9825590000000002</v>
      </c>
      <c r="V3691">
        <v>-9.6700709999999995E-2</v>
      </c>
      <c r="W3691">
        <v>-6.4577330000000002E-2</v>
      </c>
      <c r="X3691">
        <v>0.99321630000000005</v>
      </c>
      <c r="Y3691">
        <v>-8.9076290000000002E-2</v>
      </c>
      <c r="Z3691">
        <v>1.019867E-2</v>
      </c>
      <c r="AA3691">
        <v>0.99597259999999999</v>
      </c>
      <c r="AB3691">
        <v>21</v>
      </c>
      <c r="AC3691">
        <v>5.4248000000000003</v>
      </c>
      <c r="AD3691">
        <v>-1.1211345085869999</v>
      </c>
      <c r="AE3691">
        <v>-45.472299999999997</v>
      </c>
      <c r="AF3691">
        <v>-4.0875614872682702</v>
      </c>
      <c r="AG3691">
        <v>-1.1211345085869999</v>
      </c>
      <c r="AH3691">
        <v>45.584413306579599</v>
      </c>
      <c r="AI3691">
        <v>91.403259834601698</v>
      </c>
      <c r="AJ3691">
        <v>95.124017230149306</v>
      </c>
      <c r="AK3691">
        <v>45.781042342913302</v>
      </c>
      <c r="AL3691">
        <v>93.702585175065707</v>
      </c>
      <c r="AM3691">
        <v>95.560858016037599</v>
      </c>
      <c r="AN3691">
        <v>0.99999993872505899</v>
      </c>
    </row>
    <row r="3692" spans="1:40" x14ac:dyDescent="0.25">
      <c r="A3692" t="str">
        <f>"20190303153840430"</f>
        <v>20190303153840430</v>
      </c>
      <c r="B3692" t="str">
        <f>"1551598720421926"</f>
        <v>1551598720421926</v>
      </c>
      <c r="C3692" t="s">
        <v>40</v>
      </c>
      <c r="D3692">
        <v>4.3554579999999996</v>
      </c>
      <c r="E3692">
        <v>0.50065109999999902</v>
      </c>
      <c r="F3692" t="s">
        <v>42</v>
      </c>
      <c r="G3692">
        <v>-484.71789999999999</v>
      </c>
      <c r="H3692" s="1">
        <v>-2.5784909999999999E-6</v>
      </c>
      <c r="I3692">
        <v>193.09520000000001</v>
      </c>
      <c r="J3692">
        <v>-492.42239999999998</v>
      </c>
      <c r="K3692">
        <v>1.121132</v>
      </c>
      <c r="L3692">
        <v>254.70320000000001</v>
      </c>
      <c r="M3692">
        <v>2.9283569999999998E-2</v>
      </c>
      <c r="N3692">
        <v>-1.4276870000000001E-2</v>
      </c>
      <c r="O3692">
        <v>-0.9994693</v>
      </c>
      <c r="P3692">
        <v>0.12856029999999999</v>
      </c>
      <c r="Q3692">
        <v>-7.813581E-2</v>
      </c>
      <c r="R3692">
        <v>-0.98861889999999997</v>
      </c>
      <c r="S3692">
        <v>0.37234499999999998</v>
      </c>
      <c r="T3692">
        <v>-5.4158329999999998E-2</v>
      </c>
      <c r="U3692">
        <v>-2.981903</v>
      </c>
      <c r="V3692">
        <v>-9.9565870000000001E-2</v>
      </c>
      <c r="W3692">
        <v>-6.3944699999999993E-2</v>
      </c>
      <c r="X3692">
        <v>0.99297420000000003</v>
      </c>
      <c r="Y3692">
        <v>-9.4769329999999999E-2</v>
      </c>
      <c r="Z3692">
        <v>3.786396E-3</v>
      </c>
      <c r="AA3692">
        <v>0.99549200000000004</v>
      </c>
      <c r="AB3692">
        <v>21</v>
      </c>
      <c r="AC3692">
        <v>7.7044999999999897</v>
      </c>
      <c r="AD3692">
        <v>-1.1211345784909901</v>
      </c>
      <c r="AE3692">
        <v>-61.607999999999997</v>
      </c>
      <c r="AF3692">
        <v>-5.8949872118151196</v>
      </c>
      <c r="AG3692">
        <v>-1.1211345784909901</v>
      </c>
      <c r="AH3692">
        <v>61.787065422549702</v>
      </c>
      <c r="AI3692">
        <v>91.034827350589097</v>
      </c>
      <c r="AJ3692">
        <v>95.449985514749699</v>
      </c>
      <c r="AK3692">
        <v>62.077767924603997</v>
      </c>
      <c r="AL3692">
        <v>93.666262755086507</v>
      </c>
      <c r="AM3692">
        <v>95.725929242286</v>
      </c>
      <c r="AN3692">
        <v>1.0000000244962901</v>
      </c>
    </row>
    <row r="3693" spans="1:40" x14ac:dyDescent="0.25">
      <c r="A3693" t="str">
        <f>"20190303153840442"</f>
        <v>20190303153840442</v>
      </c>
      <c r="B3693" t="str">
        <f>"1551598720431686"</f>
        <v>1551598720431686</v>
      </c>
      <c r="C3693" t="s">
        <v>40</v>
      </c>
      <c r="D3693">
        <v>4.3194269999999904</v>
      </c>
      <c r="E3693">
        <v>0.49980720000000001</v>
      </c>
      <c r="F3693" t="s">
        <v>42</v>
      </c>
      <c r="G3693">
        <v>-483.09190000000001</v>
      </c>
      <c r="H3693" s="1">
        <v>-2.8977530000000002E-6</v>
      </c>
      <c r="I3693">
        <v>182.762</v>
      </c>
      <c r="J3693">
        <v>-492.41919999999999</v>
      </c>
      <c r="K3693">
        <v>1.1211390000000001</v>
      </c>
      <c r="L3693">
        <v>254.59209999999999</v>
      </c>
      <c r="M3693">
        <v>2.9256979999999998E-2</v>
      </c>
      <c r="N3693">
        <v>-1.4284379999999999E-2</v>
      </c>
      <c r="O3693">
        <v>-0.99946990000000002</v>
      </c>
      <c r="P3693">
        <v>0.13127239999999901</v>
      </c>
      <c r="Q3693">
        <v>-7.7701140000000002E-2</v>
      </c>
      <c r="R3693">
        <v>-0.98829639999999996</v>
      </c>
      <c r="S3693">
        <v>0.38656620000000003</v>
      </c>
      <c r="T3693">
        <v>-4.644918E-2</v>
      </c>
      <c r="U3693">
        <v>-2.9805600000000001</v>
      </c>
      <c r="V3693">
        <v>-0.10231320000000001</v>
      </c>
      <c r="W3693">
        <v>-6.350422E-2</v>
      </c>
      <c r="X3693">
        <v>0.99272320000000003</v>
      </c>
      <c r="Y3693">
        <v>-9.9525409999999995E-2</v>
      </c>
      <c r="Z3693">
        <v>1.211433E-3</v>
      </c>
      <c r="AA3693">
        <v>0.99503430000000004</v>
      </c>
      <c r="AB3693">
        <v>21</v>
      </c>
      <c r="AC3693">
        <v>9.3272999999999797</v>
      </c>
      <c r="AD3693">
        <v>-1.1211418977530001</v>
      </c>
      <c r="AE3693">
        <v>-71.830099999999902</v>
      </c>
      <c r="AF3693">
        <v>-7.2198305382010401</v>
      </c>
      <c r="AG3693">
        <v>-1.1211418977530001</v>
      </c>
      <c r="AH3693">
        <v>72.054998599122001</v>
      </c>
      <c r="AI3693">
        <v>90.886982718670794</v>
      </c>
      <c r="AJ3693">
        <v>95.7218753774915</v>
      </c>
      <c r="AK3693">
        <v>72.424482982446705</v>
      </c>
      <c r="AL3693">
        <v>93.640973566098197</v>
      </c>
      <c r="AM3693">
        <v>95.884308946803898</v>
      </c>
      <c r="AN3693">
        <v>1.0000000643351401</v>
      </c>
    </row>
    <row r="3694" spans="1:40" x14ac:dyDescent="0.25">
      <c r="A3694" t="str">
        <f>"20190303153840454"</f>
        <v>20190303153840454</v>
      </c>
      <c r="B3694" t="str">
        <f>"1551598720442423"</f>
        <v>1551598720442423</v>
      </c>
      <c r="C3694" t="s">
        <v>40</v>
      </c>
      <c r="D3694">
        <v>4.3290949999999997</v>
      </c>
      <c r="E3694">
        <v>0.49945149999999999</v>
      </c>
      <c r="F3694" t="s">
        <v>42</v>
      </c>
      <c r="G3694">
        <v>-482.80290000000002</v>
      </c>
      <c r="H3694" s="1">
        <v>-3.1209800000000001E-6</v>
      </c>
      <c r="I3694">
        <v>183.19200000000001</v>
      </c>
      <c r="J3694">
        <v>-492.416</v>
      </c>
      <c r="K3694">
        <v>1.1211420000000001</v>
      </c>
      <c r="L3694">
        <v>254.48429999999999</v>
      </c>
      <c r="M3694">
        <v>2.9228649999999998E-2</v>
      </c>
      <c r="N3694">
        <v>-1.4291170000000001E-2</v>
      </c>
      <c r="O3694">
        <v>-0.99947079999999999</v>
      </c>
      <c r="P3694">
        <v>0.13376830000000001</v>
      </c>
      <c r="Q3694">
        <v>-7.748882E-2</v>
      </c>
      <c r="R3694">
        <v>-0.98797860000000004</v>
      </c>
      <c r="S3694">
        <v>0.4011536</v>
      </c>
      <c r="T3694">
        <v>-4.6769619999999998E-2</v>
      </c>
      <c r="U3694">
        <v>-2.9785309999999998</v>
      </c>
      <c r="V3694">
        <v>-0.10484540000000001</v>
      </c>
      <c r="W3694">
        <v>-6.3287469999999998E-2</v>
      </c>
      <c r="X3694">
        <v>0.99247280000000004</v>
      </c>
      <c r="Y3694">
        <v>-0.1044272</v>
      </c>
      <c r="Z3694">
        <v>1.313994E-3</v>
      </c>
      <c r="AA3694">
        <v>0.99453170000000002</v>
      </c>
      <c r="AB3694">
        <v>21</v>
      </c>
      <c r="AC3694">
        <v>9.6130999999999691</v>
      </c>
      <c r="AD3694">
        <v>-1.1211451209799901</v>
      </c>
      <c r="AE3694">
        <v>-71.292299999999898</v>
      </c>
      <c r="AF3694">
        <v>-7.5231746042855896</v>
      </c>
      <c r="AG3694">
        <v>-1.1211451209799901</v>
      </c>
      <c r="AH3694">
        <v>71.525467895240496</v>
      </c>
      <c r="AI3694">
        <v>90.893098640560495</v>
      </c>
      <c r="AJ3694">
        <v>96.004393277182899</v>
      </c>
      <c r="AK3694">
        <v>71.928768098320305</v>
      </c>
      <c r="AL3694">
        <v>93.628529690128403</v>
      </c>
      <c r="AM3694">
        <v>96.030392699820695</v>
      </c>
      <c r="AN3694">
        <v>1.0000000602499901</v>
      </c>
    </row>
    <row r="3695" spans="1:40" x14ac:dyDescent="0.25">
      <c r="A3695" t="str">
        <f>"20190303153840465"</f>
        <v>20190303153840465</v>
      </c>
      <c r="B3695" t="str">
        <f>"1551598720461942"</f>
        <v>1551598720461942</v>
      </c>
      <c r="C3695" t="s">
        <v>40</v>
      </c>
      <c r="D3695">
        <v>4.2948750000000002</v>
      </c>
      <c r="E3695">
        <v>0.49926359999999997</v>
      </c>
      <c r="F3695" t="s">
        <v>42</v>
      </c>
      <c r="G3695">
        <v>-482.50229999999999</v>
      </c>
      <c r="H3695" s="1">
        <v>-3.0500550000000001E-6</v>
      </c>
      <c r="I3695">
        <v>182.74850000000001</v>
      </c>
      <c r="J3695">
        <v>-492.41269999999997</v>
      </c>
      <c r="K3695">
        <v>1.1211469999999999</v>
      </c>
      <c r="L3695">
        <v>254.3689</v>
      </c>
      <c r="M3695">
        <v>2.9194299999999999E-2</v>
      </c>
      <c r="N3695">
        <v>-1.429766E-2</v>
      </c>
      <c r="O3695">
        <v>-0.99947149999999996</v>
      </c>
      <c r="P3695">
        <v>0.13633339999999999</v>
      </c>
      <c r="Q3695">
        <v>-7.7336890000000005E-2</v>
      </c>
      <c r="R3695">
        <v>-0.98763970000000001</v>
      </c>
      <c r="S3695">
        <v>0.41143800000000003</v>
      </c>
      <c r="T3695">
        <v>-4.6529649999999999E-2</v>
      </c>
      <c r="U3695">
        <v>-2.9771730000000001</v>
      </c>
      <c r="V3695">
        <v>-0.1074532</v>
      </c>
      <c r="W3695">
        <v>-6.3132579999999994E-2</v>
      </c>
      <c r="X3695">
        <v>0.99220370000000002</v>
      </c>
      <c r="Y3695">
        <v>-0.10789269999999999</v>
      </c>
      <c r="Z3695">
        <v>1.228837E-3</v>
      </c>
      <c r="AA3695">
        <v>0.99416179999999998</v>
      </c>
      <c r="AB3695">
        <v>21</v>
      </c>
      <c r="AC3695">
        <v>9.9103999999999797</v>
      </c>
      <c r="AD3695">
        <v>-1.12115005005499</v>
      </c>
      <c r="AE3695">
        <v>-71.620399999999904</v>
      </c>
      <c r="AF3695">
        <v>-7.8131750577407502</v>
      </c>
      <c r="AG3695">
        <v>-1.12115005005499</v>
      </c>
      <c r="AH3695">
        <v>71.861943832472804</v>
      </c>
      <c r="AI3695">
        <v>90.888588584418201</v>
      </c>
      <c r="AJ3695">
        <v>96.205098117669195</v>
      </c>
      <c r="AK3695">
        <v>72.294132910624995</v>
      </c>
      <c r="AL3695">
        <v>93.619637410867796</v>
      </c>
      <c r="AM3695">
        <v>96.180902005359599</v>
      </c>
      <c r="AN3695">
        <v>1.0000000475706901</v>
      </c>
    </row>
    <row r="3696" spans="1:40" x14ac:dyDescent="0.25">
      <c r="A3696" t="str">
        <f>"20190303153840478"</f>
        <v>20190303153840478</v>
      </c>
      <c r="B3696" t="str">
        <f>"1551598720471702"</f>
        <v>1551598720471702</v>
      </c>
      <c r="C3696" t="s">
        <v>40</v>
      </c>
      <c r="D3696">
        <v>4.2632960000000004</v>
      </c>
      <c r="E3696">
        <v>0.49971189999999999</v>
      </c>
      <c r="F3696" t="s">
        <v>42</v>
      </c>
      <c r="G3696">
        <v>-482.33300000000003</v>
      </c>
      <c r="H3696" s="1">
        <v>-3.1985579999999999E-6</v>
      </c>
      <c r="I3696">
        <v>183.05260000000001</v>
      </c>
      <c r="J3696">
        <v>-492.40940000000001</v>
      </c>
      <c r="K3696">
        <v>1.121156</v>
      </c>
      <c r="L3696">
        <v>254.2587</v>
      </c>
      <c r="M3696">
        <v>2.916088E-2</v>
      </c>
      <c r="N3696">
        <v>-1.4303049999999999E-2</v>
      </c>
      <c r="O3696">
        <v>-0.99947249999999999</v>
      </c>
      <c r="P3696">
        <v>0.13856489999999999</v>
      </c>
      <c r="Q3696">
        <v>-7.7397439999999998E-2</v>
      </c>
      <c r="R3696">
        <v>-0.9873248</v>
      </c>
      <c r="S3696">
        <v>0.4205933</v>
      </c>
      <c r="T3696">
        <v>-4.6782259999999999E-2</v>
      </c>
      <c r="U3696">
        <v>-2.9758149999999999</v>
      </c>
      <c r="V3696">
        <v>-0.1097258</v>
      </c>
      <c r="W3696">
        <v>-6.3191949999999997E-2</v>
      </c>
      <c r="X3696">
        <v>0.99195109999999997</v>
      </c>
      <c r="Y3696">
        <v>-0.11098619999999999</v>
      </c>
      <c r="Z3696">
        <v>1.3092959999999999E-3</v>
      </c>
      <c r="AA3696">
        <v>0.99382110000000001</v>
      </c>
      <c r="AB3696">
        <v>21</v>
      </c>
      <c r="AC3696">
        <v>10.0763999999999</v>
      </c>
      <c r="AD3696">
        <v>-1.1211591985580001</v>
      </c>
      <c r="AE3696">
        <v>-71.206099999999907</v>
      </c>
      <c r="AF3696">
        <v>-7.9935264015025398</v>
      </c>
      <c r="AG3696">
        <v>-1.1211591985580001</v>
      </c>
      <c r="AH3696">
        <v>71.452312559994795</v>
      </c>
      <c r="AI3696">
        <v>90.893382855464907</v>
      </c>
      <c r="AJ3696">
        <v>96.3832627344039</v>
      </c>
      <c r="AK3696">
        <v>71.906789891158496</v>
      </c>
      <c r="AL3696">
        <v>93.623046114719799</v>
      </c>
      <c r="AM3696">
        <v>96.312176221302394</v>
      </c>
      <c r="AN3696">
        <v>0.99999997926082596</v>
      </c>
    </row>
    <row r="3697" spans="1:40" x14ac:dyDescent="0.25">
      <c r="A3697" t="str">
        <f>"20190303153840496"</f>
        <v>20190303153840496</v>
      </c>
      <c r="B3697" t="str">
        <f>"1551598720492199"</f>
        <v>1551598720492199</v>
      </c>
      <c r="C3697" t="s">
        <v>40</v>
      </c>
      <c r="D3697">
        <v>4.2831429999999999</v>
      </c>
      <c r="E3697">
        <v>0.50074229999999997</v>
      </c>
      <c r="F3697" t="s">
        <v>42</v>
      </c>
      <c r="G3697">
        <v>-481.42860000000002</v>
      </c>
      <c r="H3697" s="1">
        <v>-4.8455789999999999E-6</v>
      </c>
      <c r="I3697">
        <v>177.18530000000001</v>
      </c>
      <c r="J3697">
        <v>-492.4049</v>
      </c>
      <c r="K3697">
        <v>1.12117</v>
      </c>
      <c r="L3697">
        <v>254.10159999999999</v>
      </c>
      <c r="M3697">
        <v>2.91148E-2</v>
      </c>
      <c r="N3697">
        <v>-1.430989E-2</v>
      </c>
      <c r="O3697">
        <v>-0.99947390000000003</v>
      </c>
      <c r="P3697">
        <v>0.143037</v>
      </c>
      <c r="Q3697">
        <v>-7.7013189999999995E-2</v>
      </c>
      <c r="R3697">
        <v>-0.98671690000000001</v>
      </c>
      <c r="S3697">
        <v>0.4239502</v>
      </c>
      <c r="T3697">
        <v>-4.3286199999999997E-2</v>
      </c>
      <c r="U3697">
        <v>-2.9756770000000001</v>
      </c>
      <c r="V3697">
        <v>-0.11425780000000001</v>
      </c>
      <c r="W3697">
        <v>-6.2809089999999998E-2</v>
      </c>
      <c r="X3697">
        <v>0.99146369999999895</v>
      </c>
      <c r="Y3697">
        <v>-0.1121381</v>
      </c>
      <c r="Z3697">
        <v>1.3688280000000001E-4</v>
      </c>
      <c r="AA3697">
        <v>0.99369260000000004</v>
      </c>
      <c r="AB3697">
        <v>21</v>
      </c>
      <c r="AC3697">
        <v>10.976299999999901</v>
      </c>
      <c r="AD3697">
        <v>-1.121174845579</v>
      </c>
      <c r="AE3697">
        <v>-76.916299999999893</v>
      </c>
      <c r="AF3697">
        <v>-8.7301965510743802</v>
      </c>
      <c r="AG3697">
        <v>-1.121174845579</v>
      </c>
      <c r="AH3697">
        <v>77.187218854867595</v>
      </c>
      <c r="AI3697">
        <v>90.826913686119497</v>
      </c>
      <c r="AJ3697">
        <v>96.452968351943497</v>
      </c>
      <c r="AK3697">
        <v>77.687451492528496</v>
      </c>
      <c r="AL3697">
        <v>93.601065942555394</v>
      </c>
      <c r="AM3697">
        <v>96.573854405924394</v>
      </c>
      <c r="AN3697">
        <v>1.0000000475325701</v>
      </c>
    </row>
    <row r="3698" spans="1:40" x14ac:dyDescent="0.25">
      <c r="A3698" t="str">
        <f>"20190303153840508"</f>
        <v>20190303153840508</v>
      </c>
      <c r="B3698" t="str">
        <f>"1551598720501958"</f>
        <v>1551598720501958</v>
      </c>
      <c r="C3698" t="s">
        <v>40</v>
      </c>
      <c r="D3698">
        <v>4.2839140000000002</v>
      </c>
      <c r="E3698">
        <v>0.50068809999999997</v>
      </c>
      <c r="F3698" t="s">
        <v>42</v>
      </c>
      <c r="G3698">
        <v>-479.6943</v>
      </c>
      <c r="H3698">
        <v>7.9985440000000005E-2</v>
      </c>
      <c r="I3698">
        <v>165.85740000000001</v>
      </c>
      <c r="J3698">
        <v>-492.40120000000002</v>
      </c>
      <c r="K3698">
        <v>1.1211819999999999</v>
      </c>
      <c r="L3698">
        <v>253.97499999999999</v>
      </c>
      <c r="M3698">
        <v>2.9080399999999999E-2</v>
      </c>
      <c r="N3698">
        <v>-1.431471E-2</v>
      </c>
      <c r="O3698">
        <v>-0.9994748</v>
      </c>
      <c r="P3698">
        <v>0.1450272</v>
      </c>
      <c r="Q3698">
        <v>-7.6925569999999999E-2</v>
      </c>
      <c r="R3698">
        <v>-0.98643320000000001</v>
      </c>
      <c r="S3698">
        <v>0.42858889999999999</v>
      </c>
      <c r="T3698">
        <v>-3.5107729999999997E-2</v>
      </c>
      <c r="U3698">
        <v>-2.9755099999999999</v>
      </c>
      <c r="V3698">
        <v>-0.1162883</v>
      </c>
      <c r="W3698">
        <v>-6.2721750000000007E-2</v>
      </c>
      <c r="X3698">
        <v>0.99123309999999998</v>
      </c>
      <c r="Y3698">
        <v>-0.1136993</v>
      </c>
      <c r="Z3698">
        <v>-2.5930979999999998E-3</v>
      </c>
      <c r="AA3698">
        <v>0.99351179999999994</v>
      </c>
      <c r="AB3698">
        <v>21</v>
      </c>
      <c r="AC3698">
        <v>12.706899999999999</v>
      </c>
      <c r="AD3698">
        <v>-1.0411965599999999</v>
      </c>
      <c r="AE3698">
        <v>-88.117599999999896</v>
      </c>
      <c r="AF3698">
        <v>-10.1373812681404</v>
      </c>
      <c r="AG3698">
        <v>-1.0411965599999999</v>
      </c>
      <c r="AH3698">
        <v>88.437788883397104</v>
      </c>
      <c r="AI3698">
        <v>90.670136190723696</v>
      </c>
      <c r="AJ3698">
        <v>96.5391177359853</v>
      </c>
      <c r="AK3698">
        <v>89.022991928133493</v>
      </c>
      <c r="AL3698">
        <v>93.5960519329672</v>
      </c>
      <c r="AM3698">
        <v>96.691172248517105</v>
      </c>
      <c r="AN3698">
        <v>1.0000000225877801</v>
      </c>
    </row>
    <row r="3699" spans="1:40" x14ac:dyDescent="0.25">
      <c r="A3699" t="str">
        <f>"20190303153840521"</f>
        <v>20190303153840521</v>
      </c>
      <c r="B3699" t="str">
        <f>"1551598720511718"</f>
        <v>1551598720511718</v>
      </c>
      <c r="C3699" t="s">
        <v>40</v>
      </c>
      <c r="D3699">
        <v>4.236497</v>
      </c>
      <c r="E3699">
        <v>0.50103940000000002</v>
      </c>
      <c r="F3699" t="s">
        <v>42</v>
      </c>
      <c r="G3699">
        <v>-479.80599999999998</v>
      </c>
      <c r="H3699">
        <v>7.9985929999999997E-2</v>
      </c>
      <c r="I3699">
        <v>167.82490000000001</v>
      </c>
      <c r="J3699">
        <v>-492.39800000000002</v>
      </c>
      <c r="K3699">
        <v>1.121192</v>
      </c>
      <c r="L3699">
        <v>253.8631</v>
      </c>
      <c r="M3699">
        <v>2.905659E-2</v>
      </c>
      <c r="N3699">
        <v>-1.431815E-2</v>
      </c>
      <c r="O3699">
        <v>-0.99947549999999996</v>
      </c>
      <c r="P3699">
        <v>0.1469587</v>
      </c>
      <c r="Q3699">
        <v>-7.6656429999999998E-2</v>
      </c>
      <c r="R3699">
        <v>-0.9861683</v>
      </c>
      <c r="S3699">
        <v>0.43487550000000003</v>
      </c>
      <c r="T3699">
        <v>-3.5949349999999998E-2</v>
      </c>
      <c r="U3699">
        <v>-2.9745029999999999</v>
      </c>
      <c r="V3699">
        <v>-0.1182492</v>
      </c>
      <c r="W3699">
        <v>-6.2453969999999998E-2</v>
      </c>
      <c r="X3699">
        <v>0.99101799999999995</v>
      </c>
      <c r="Y3699">
        <v>-0.1158261</v>
      </c>
      <c r="Z3699">
        <v>-2.3151059999999999E-3</v>
      </c>
      <c r="AA3699">
        <v>0.99326680000000001</v>
      </c>
      <c r="AB3699">
        <v>21</v>
      </c>
      <c r="AC3699">
        <v>12.592000000000001</v>
      </c>
      <c r="AD3699">
        <v>-1.0412060700000001</v>
      </c>
      <c r="AE3699">
        <v>-86.038199999999904</v>
      </c>
      <c r="AF3699">
        <v>-10.0850038997581</v>
      </c>
      <c r="AG3699">
        <v>-1.0412060700000001</v>
      </c>
      <c r="AH3699">
        <v>86.355400906077406</v>
      </c>
      <c r="AI3699">
        <v>90.686131669504107</v>
      </c>
      <c r="AJ3699">
        <v>96.661106321649498</v>
      </c>
      <c r="AK3699">
        <v>86.948528908703807</v>
      </c>
      <c r="AL3699">
        <v>93.580679125354393</v>
      </c>
      <c r="AM3699">
        <v>96.804415415377605</v>
      </c>
      <c r="AN3699">
        <v>1.0000000239967</v>
      </c>
    </row>
    <row r="3700" spans="1:40" x14ac:dyDescent="0.25">
      <c r="A3700" t="str">
        <f>"20190303153840534"</f>
        <v>20190303153840534</v>
      </c>
      <c r="B3700" t="str">
        <f>"1551598720522454"</f>
        <v>1551598720522454</v>
      </c>
      <c r="C3700" t="s">
        <v>40</v>
      </c>
      <c r="D3700">
        <v>4.2436689999999997</v>
      </c>
      <c r="E3700">
        <v>0.50148400000000004</v>
      </c>
      <c r="F3700" t="s">
        <v>42</v>
      </c>
      <c r="G3700">
        <v>-478.79629999999997</v>
      </c>
      <c r="H3700">
        <v>7.9985890000000004E-2</v>
      </c>
      <c r="I3700">
        <v>161.56440000000001</v>
      </c>
      <c r="J3700">
        <v>-492.3947</v>
      </c>
      <c r="K3700">
        <v>1.1212009999999999</v>
      </c>
      <c r="L3700">
        <v>253.74770000000001</v>
      </c>
      <c r="M3700">
        <v>2.9034830000000001E-2</v>
      </c>
      <c r="N3700">
        <v>-1.43214E-2</v>
      </c>
      <c r="O3700">
        <v>-0.99947600000000003</v>
      </c>
      <c r="P3700">
        <v>0.14893049999999999</v>
      </c>
      <c r="Q3700">
        <v>-7.6400949999999995E-2</v>
      </c>
      <c r="R3700">
        <v>-0.98589210000000005</v>
      </c>
      <c r="S3700">
        <v>0.4382935</v>
      </c>
      <c r="T3700">
        <v>-3.355122E-2</v>
      </c>
      <c r="U3700">
        <v>-2.9741819999999999</v>
      </c>
      <c r="V3700">
        <v>-0.1202488</v>
      </c>
      <c r="W3700">
        <v>-6.2200230000000002E-2</v>
      </c>
      <c r="X3700">
        <v>0.99079329999999999</v>
      </c>
      <c r="Y3700">
        <v>-0.1169805</v>
      </c>
      <c r="Z3700">
        <v>-3.1172769999999999E-3</v>
      </c>
      <c r="AA3700">
        <v>0.99312929999999999</v>
      </c>
      <c r="AB3700">
        <v>21</v>
      </c>
      <c r="AC3700">
        <v>13.5984</v>
      </c>
      <c r="AD3700">
        <v>-1.04121511</v>
      </c>
      <c r="AE3700">
        <v>-92.183300000000003</v>
      </c>
      <c r="AF3700">
        <v>-10.9145025151489</v>
      </c>
      <c r="AG3700">
        <v>-1.04121511</v>
      </c>
      <c r="AH3700">
        <v>92.527742134536595</v>
      </c>
      <c r="AI3700">
        <v>90.640283645103494</v>
      </c>
      <c r="AJ3700">
        <v>96.7274788738669</v>
      </c>
      <c r="AK3700">
        <v>93.175069404716794</v>
      </c>
      <c r="AL3700">
        <v>93.5661126491988</v>
      </c>
      <c r="AM3700">
        <v>96.919926181141093</v>
      </c>
      <c r="AN3700">
        <v>1.00000000291919</v>
      </c>
    </row>
    <row r="3701" spans="1:40" x14ac:dyDescent="0.25">
      <c r="A3701" t="str">
        <f>"20190303153840552"</f>
        <v>20190303153840552</v>
      </c>
      <c r="B3701" t="str">
        <f>"1551598720541974"</f>
        <v>1551598720541974</v>
      </c>
      <c r="C3701" t="s">
        <v>40</v>
      </c>
      <c r="D3701">
        <v>4.2415149999999997</v>
      </c>
      <c r="E3701">
        <v>0.50221709999999997</v>
      </c>
      <c r="F3701" t="s">
        <v>63</v>
      </c>
      <c r="G3701">
        <v>-477.41160000000002</v>
      </c>
      <c r="H3701">
        <v>7.9987559999999999E-2</v>
      </c>
      <c r="I3701">
        <v>152.57259999999999</v>
      </c>
      <c r="J3701">
        <v>-492.3895</v>
      </c>
      <c r="K3701">
        <v>1.1212150000000001</v>
      </c>
      <c r="L3701">
        <v>253.5693</v>
      </c>
      <c r="M3701">
        <v>2.901128E-2</v>
      </c>
      <c r="N3701">
        <v>-1.432547E-2</v>
      </c>
      <c r="O3701">
        <v>-0.9994767</v>
      </c>
      <c r="P3701">
        <v>0.15257009999999999</v>
      </c>
      <c r="Q3701">
        <v>-7.6105010000000001E-2</v>
      </c>
      <c r="R3701">
        <v>-0.98535830000000002</v>
      </c>
      <c r="S3701">
        <v>0.44042969999999998</v>
      </c>
      <c r="T3701">
        <v>-3.060651E-2</v>
      </c>
      <c r="U3701">
        <v>-2.9740449999999998</v>
      </c>
      <c r="V3701">
        <v>-0.1239244</v>
      </c>
      <c r="W3701">
        <v>-6.1908959999999999E-2</v>
      </c>
      <c r="X3701">
        <v>0.99035850000000003</v>
      </c>
      <c r="Y3701">
        <v>-0.1177088</v>
      </c>
      <c r="Z3701">
        <v>-4.1023600000000002E-3</v>
      </c>
      <c r="AA3701">
        <v>0.99303969999999997</v>
      </c>
      <c r="AB3701">
        <v>21</v>
      </c>
      <c r="AC3701">
        <v>14.977899999999901</v>
      </c>
      <c r="AD3701">
        <v>-1.0412274399999999</v>
      </c>
      <c r="AE3701">
        <v>-100.9967</v>
      </c>
      <c r="AF3701">
        <v>-12.039998690454899</v>
      </c>
      <c r="AG3701">
        <v>-1.0412274399999999</v>
      </c>
      <c r="AH3701">
        <v>101.37820949235601</v>
      </c>
      <c r="AI3701">
        <v>90.584342085807293</v>
      </c>
      <c r="AJ3701">
        <v>96.7729047052282</v>
      </c>
      <c r="AK3701">
        <v>102.095969964166</v>
      </c>
      <c r="AL3701">
        <v>93.549392008793603</v>
      </c>
      <c r="AM3701">
        <v>97.132397990099903</v>
      </c>
      <c r="AN3701">
        <v>0.99999996738294505</v>
      </c>
    </row>
    <row r="3702" spans="1:40" x14ac:dyDescent="0.25">
      <c r="A3702" t="str">
        <f>"20190303153840567"</f>
        <v>20190303153840567</v>
      </c>
      <c r="B3702" t="str">
        <f>"1551598720562470"</f>
        <v>1551598720562470</v>
      </c>
      <c r="C3702" t="s">
        <v>40</v>
      </c>
      <c r="D3702">
        <v>4.1825679999999998</v>
      </c>
      <c r="E3702">
        <v>0.50279870000000004</v>
      </c>
      <c r="F3702" t="s">
        <v>63</v>
      </c>
      <c r="G3702">
        <v>-474.37740000000002</v>
      </c>
      <c r="H3702" s="1">
        <v>-5.2270899999999996E-6</v>
      </c>
      <c r="I3702">
        <v>133.47489999999999</v>
      </c>
      <c r="J3702">
        <v>-492.38560000000001</v>
      </c>
      <c r="K3702">
        <v>1.1212260000000001</v>
      </c>
      <c r="L3702">
        <v>253.43459999999999</v>
      </c>
      <c r="M3702">
        <v>2.900086E-2</v>
      </c>
      <c r="N3702">
        <v>-1.4327889999999999E-2</v>
      </c>
      <c r="O3702">
        <v>-0.99947699999999995</v>
      </c>
      <c r="P3702">
        <v>0.1545839</v>
      </c>
      <c r="Q3702">
        <v>-7.6073660000000001E-2</v>
      </c>
      <c r="R3702">
        <v>-0.98504689999999995</v>
      </c>
      <c r="S3702">
        <v>0.4459534</v>
      </c>
      <c r="T3702">
        <v>-2.7759909999999999E-2</v>
      </c>
      <c r="U3702">
        <v>-2.973373</v>
      </c>
      <c r="V3702">
        <v>-0.1259555</v>
      </c>
      <c r="W3702">
        <v>-6.1880579999999998E-2</v>
      </c>
      <c r="X3702">
        <v>0.99010399999999998</v>
      </c>
      <c r="Y3702">
        <v>-0.119556</v>
      </c>
      <c r="Z3702">
        <v>-5.0525600000000002E-3</v>
      </c>
      <c r="AA3702">
        <v>0.99281459999999999</v>
      </c>
      <c r="AB3702">
        <v>21</v>
      </c>
      <c r="AC3702">
        <v>18.008199999999899</v>
      </c>
      <c r="AD3702">
        <v>-1.12123122709</v>
      </c>
      <c r="AE3702">
        <v>-119.9597</v>
      </c>
      <c r="AF3702">
        <v>-14.5200928711951</v>
      </c>
      <c r="AG3702">
        <v>-1.12123122709</v>
      </c>
      <c r="AH3702">
        <v>120.421251436763</v>
      </c>
      <c r="AI3702">
        <v>90.529624360221007</v>
      </c>
      <c r="AJ3702">
        <v>96.875389516484205</v>
      </c>
      <c r="AK3702">
        <v>121.298672927814</v>
      </c>
      <c r="AL3702">
        <v>93.547762848249207</v>
      </c>
      <c r="AM3702">
        <v>97.249906732924401</v>
      </c>
      <c r="AN3702">
        <v>0.99999996248869205</v>
      </c>
    </row>
    <row r="3703" spans="1:40" x14ac:dyDescent="0.25">
      <c r="A3703" t="str">
        <f>"20190303153840584"</f>
        <v>20190303153840584</v>
      </c>
      <c r="B3703" t="str">
        <f>"1551598720581990"</f>
        <v>1551598720581990</v>
      </c>
      <c r="C3703" t="s">
        <v>40</v>
      </c>
      <c r="D3703">
        <v>4.1662850000000002</v>
      </c>
      <c r="E3703">
        <v>0.50345890000000004</v>
      </c>
      <c r="F3703" t="s">
        <v>63</v>
      </c>
      <c r="G3703">
        <v>-474.07060000000001</v>
      </c>
      <c r="H3703" s="1">
        <v>-5.0543890000000002E-6</v>
      </c>
      <c r="I3703">
        <v>131.70189999999999</v>
      </c>
      <c r="J3703">
        <v>-492.3811</v>
      </c>
      <c r="K3703">
        <v>1.1212340000000001</v>
      </c>
      <c r="L3703">
        <v>253.27799999999999</v>
      </c>
      <c r="M3703">
        <v>2.8994430000000002E-2</v>
      </c>
      <c r="N3703">
        <v>-1.4330000000000001E-2</v>
      </c>
      <c r="O3703">
        <v>-0.99947699999999995</v>
      </c>
      <c r="P3703">
        <v>0.1586351</v>
      </c>
      <c r="Q3703">
        <v>-7.6088660000000002E-2</v>
      </c>
      <c r="R3703">
        <v>-0.98440130000000003</v>
      </c>
      <c r="S3703">
        <v>0.44732670000000002</v>
      </c>
      <c r="T3703">
        <v>-2.7385E-2</v>
      </c>
      <c r="U3703">
        <v>-2.9732059999999998</v>
      </c>
      <c r="V3703">
        <v>-0.1300287</v>
      </c>
      <c r="W3703">
        <v>-6.1902699999999901E-2</v>
      </c>
      <c r="X3703">
        <v>0.98957600000000001</v>
      </c>
      <c r="Y3703">
        <v>-0.120018899999999</v>
      </c>
      <c r="Z3703">
        <v>-5.1794780000000004E-3</v>
      </c>
      <c r="AA3703">
        <v>0.99275809999999998</v>
      </c>
      <c r="AB3703">
        <v>21</v>
      </c>
      <c r="AC3703">
        <v>18.310499999999902</v>
      </c>
      <c r="AD3703">
        <v>-1.1212390543889901</v>
      </c>
      <c r="AE3703">
        <v>-121.5761</v>
      </c>
      <c r="AF3703">
        <v>-14.7761801023824</v>
      </c>
      <c r="AG3703">
        <v>-1.1212390543889901</v>
      </c>
      <c r="AH3703">
        <v>122.045782240295</v>
      </c>
      <c r="AI3703">
        <v>90.522547964894997</v>
      </c>
      <c r="AJ3703">
        <v>96.903246938076506</v>
      </c>
      <c r="AK3703">
        <v>122.94212312336499</v>
      </c>
      <c r="AL3703">
        <v>93.549032413230293</v>
      </c>
      <c r="AM3703">
        <v>97.485688673320595</v>
      </c>
      <c r="AN3703">
        <v>1.00000003343348</v>
      </c>
    </row>
    <row r="3704" spans="1:40" x14ac:dyDescent="0.25">
      <c r="A3704" t="str">
        <f>"20190303153840607"</f>
        <v>20190303153840607</v>
      </c>
      <c r="B3704" t="str">
        <f>"1551598720602486"</f>
        <v>1551598720602486</v>
      </c>
      <c r="C3704" t="s">
        <v>40</v>
      </c>
      <c r="D3704">
        <v>4.3875659999999996</v>
      </c>
      <c r="E3704">
        <v>0.5032567</v>
      </c>
      <c r="F3704" t="s">
        <v>63</v>
      </c>
      <c r="G3704">
        <v>-473.4905</v>
      </c>
      <c r="H3704" s="1">
        <v>-4.9879109999999901E-6</v>
      </c>
      <c r="I3704">
        <v>129.81059999999999</v>
      </c>
      <c r="J3704">
        <v>-492.37509999999997</v>
      </c>
      <c r="K3704">
        <v>1.1212500000000001</v>
      </c>
      <c r="L3704">
        <v>253.0718</v>
      </c>
      <c r="M3704">
        <v>2.8991670000000001E-2</v>
      </c>
      <c r="N3704">
        <v>-1.433195E-2</v>
      </c>
      <c r="O3704">
        <v>-0.99947699999999995</v>
      </c>
      <c r="P3704">
        <v>0.16314509999999999</v>
      </c>
      <c r="Q3704">
        <v>-7.5981450000000006E-2</v>
      </c>
      <c r="R3704">
        <v>-0.98367210000000005</v>
      </c>
      <c r="S3704">
        <v>0.45474239999999999</v>
      </c>
      <c r="T3704">
        <v>-2.6991009999999999E-2</v>
      </c>
      <c r="U3704">
        <v>-2.9721679999999999</v>
      </c>
      <c r="V3704">
        <v>-0.13455989999999901</v>
      </c>
      <c r="W3704">
        <v>-6.1804079999999997E-2</v>
      </c>
      <c r="X3704">
        <v>0.98897619999999997</v>
      </c>
      <c r="Y3704">
        <v>-0.12249309999999999</v>
      </c>
      <c r="Z3704">
        <v>-5.3120469999999899E-3</v>
      </c>
      <c r="AA3704">
        <v>0.99245510000000003</v>
      </c>
      <c r="AB3704">
        <v>21</v>
      </c>
      <c r="AC3704">
        <v>18.884599999999899</v>
      </c>
      <c r="AD3704">
        <v>-1.1212549879109901</v>
      </c>
      <c r="AE3704">
        <v>-123.2612</v>
      </c>
      <c r="AF3704">
        <v>-15.3015084091203</v>
      </c>
      <c r="AG3704">
        <v>-1.1212549879109901</v>
      </c>
      <c r="AH3704">
        <v>123.746924254357</v>
      </c>
      <c r="AI3704">
        <v>90.515211924306897</v>
      </c>
      <c r="AJ3704">
        <v>97.048936190140395</v>
      </c>
      <c r="AK3704">
        <v>124.694404985772</v>
      </c>
      <c r="AL3704">
        <v>93.543371119797797</v>
      </c>
      <c r="AM3704">
        <v>97.748074359205802</v>
      </c>
      <c r="AN3704">
        <v>1.00000001757954</v>
      </c>
    </row>
    <row r="3705" spans="1:40" x14ac:dyDescent="0.25">
      <c r="A3705" t="str">
        <f>"20190303153840619"</f>
        <v>20190303153840619</v>
      </c>
      <c r="B3705" t="str">
        <f>"1551598720612247"</f>
        <v>1551598720612247</v>
      </c>
      <c r="C3705" t="s">
        <v>40</v>
      </c>
      <c r="D3705">
        <v>4.2322040000000003</v>
      </c>
      <c r="E3705">
        <v>0.45307940000000002</v>
      </c>
      <c r="F3705" t="s">
        <v>63</v>
      </c>
      <c r="G3705">
        <v>-472.81360000000001</v>
      </c>
      <c r="H3705">
        <v>2.4157850000000002E-2</v>
      </c>
      <c r="I3705">
        <v>129.6163</v>
      </c>
      <c r="J3705">
        <v>-492.37189999999998</v>
      </c>
      <c r="K3705">
        <v>1.1212530000000001</v>
      </c>
      <c r="L3705">
        <v>252.9639</v>
      </c>
      <c r="M3705">
        <v>2.8991940000000001E-2</v>
      </c>
      <c r="N3705">
        <v>-1.433252E-2</v>
      </c>
      <c r="O3705">
        <v>-0.99947719999999995</v>
      </c>
      <c r="P3705">
        <v>0.16584689999999999</v>
      </c>
      <c r="Q3705">
        <v>-7.6105599999999995E-2</v>
      </c>
      <c r="R3705">
        <v>-0.98321060000000005</v>
      </c>
      <c r="S3705">
        <v>0.47055049999999998</v>
      </c>
      <c r="T3705">
        <v>-2.6390429999999999E-2</v>
      </c>
      <c r="U3705">
        <v>-2.9697110000000002</v>
      </c>
      <c r="V3705">
        <v>-0.13727320000000001</v>
      </c>
      <c r="W3705">
        <v>-6.193394E-2</v>
      </c>
      <c r="X3705">
        <v>0.98859509999999995</v>
      </c>
      <c r="Y3705">
        <v>-0.12777069999999999</v>
      </c>
      <c r="Z3705">
        <v>-5.5108319999999898E-3</v>
      </c>
      <c r="AA3705">
        <v>0.99178840000000001</v>
      </c>
      <c r="AB3705">
        <v>21</v>
      </c>
      <c r="AC3705">
        <v>19.5582999999999</v>
      </c>
      <c r="AD3705">
        <v>-1.0970951499999999</v>
      </c>
      <c r="AE3705">
        <v>-123.3476</v>
      </c>
      <c r="AF3705">
        <v>-15.9723918639052</v>
      </c>
      <c r="AG3705">
        <v>-1.0970951499999999</v>
      </c>
      <c r="AH3705">
        <v>123.85327313348201</v>
      </c>
      <c r="AI3705">
        <v>90.503345903522003</v>
      </c>
      <c r="AJ3705">
        <v>97.348431613820296</v>
      </c>
      <c r="AK3705">
        <v>124.883762697555</v>
      </c>
      <c r="AL3705">
        <v>93.550825864624798</v>
      </c>
      <c r="AM3705">
        <v>97.905361656638604</v>
      </c>
      <c r="AN3705">
        <v>1.00000000805308</v>
      </c>
    </row>
    <row r="3706" spans="1:40" x14ac:dyDescent="0.25">
      <c r="A3706" t="str">
        <f>"20190303153840631"</f>
        <v>20190303153840631</v>
      </c>
      <c r="B3706" t="str">
        <f>"1551598720622006"</f>
        <v>1551598720622006</v>
      </c>
      <c r="C3706" t="s">
        <v>40</v>
      </c>
      <c r="D3706">
        <v>4.2066499999999998</v>
      </c>
      <c r="E3706">
        <v>0.43504359999999997</v>
      </c>
      <c r="F3706" t="s">
        <v>51</v>
      </c>
      <c r="G3706">
        <v>-485.1336</v>
      </c>
      <c r="H3706" s="1">
        <v>5.1187739999999997E-6</v>
      </c>
      <c r="I3706">
        <v>228.8723</v>
      </c>
      <c r="J3706">
        <v>-492.36869999999999</v>
      </c>
      <c r="K3706">
        <v>1.1212530000000001</v>
      </c>
      <c r="L3706">
        <v>252.85040000000001</v>
      </c>
      <c r="M3706">
        <v>2.8992509999999999E-2</v>
      </c>
      <c r="N3706">
        <v>-1.433297E-2</v>
      </c>
      <c r="O3706">
        <v>-0.99947699999999995</v>
      </c>
      <c r="P3706">
        <v>0.16848239999999901</v>
      </c>
      <c r="Q3706">
        <v>-7.6248789999999997E-2</v>
      </c>
      <c r="R3706">
        <v>-0.9827515</v>
      </c>
      <c r="S3706">
        <v>0.86953740000000002</v>
      </c>
      <c r="T3706">
        <v>-0.1346947</v>
      </c>
      <c r="U3706">
        <v>-2.894104</v>
      </c>
      <c r="V3706">
        <v>-0.13992019999999999</v>
      </c>
      <c r="W3706">
        <v>-6.2082940000000003E-2</v>
      </c>
      <c r="X3706">
        <v>0.98821460000000005</v>
      </c>
      <c r="Y3706">
        <v>-0.25961410000000001</v>
      </c>
      <c r="Z3706">
        <v>3.041837E-2</v>
      </c>
      <c r="AA3706">
        <v>0.96523329999999996</v>
      </c>
      <c r="AB3706">
        <v>21</v>
      </c>
      <c r="AC3706">
        <v>7.2350999999999797</v>
      </c>
      <c r="AD3706">
        <v>-1.1212478812260001</v>
      </c>
      <c r="AE3706">
        <v>-23.978100000000001</v>
      </c>
      <c r="AF3706">
        <v>-6.52372677690476</v>
      </c>
      <c r="AG3706">
        <v>-1.1212478812260001</v>
      </c>
      <c r="AH3706">
        <v>24.129444370570699</v>
      </c>
      <c r="AI3706">
        <v>92.568422735355696</v>
      </c>
      <c r="AJ3706">
        <v>105.12899794493001</v>
      </c>
      <c r="AK3706">
        <v>25.020917119548699</v>
      </c>
      <c r="AL3706">
        <v>93.559379336475999</v>
      </c>
      <c r="AM3706">
        <v>98.058877047605804</v>
      </c>
      <c r="AN3706">
        <v>1.00000002473012</v>
      </c>
    </row>
    <row r="3707" spans="1:40" x14ac:dyDescent="0.25">
      <c r="A3707" t="str">
        <f>"20190303153840643"</f>
        <v>20190303153840643</v>
      </c>
      <c r="B3707" t="str">
        <f>"1551598720631766"</f>
        <v>1551598720631766</v>
      </c>
      <c r="C3707" t="s">
        <v>40</v>
      </c>
      <c r="D3707">
        <v>3.9799959999999999</v>
      </c>
      <c r="E3707">
        <v>0.43504359999999997</v>
      </c>
      <c r="F3707" t="s">
        <v>42</v>
      </c>
      <c r="G3707">
        <v>-485.28269999999998</v>
      </c>
      <c r="H3707" s="1">
        <v>-2.365673E-6</v>
      </c>
      <c r="I3707">
        <v>232.91139999999999</v>
      </c>
      <c r="J3707">
        <v>-492.36540000000002</v>
      </c>
      <c r="K3707">
        <v>1.1212530000000001</v>
      </c>
      <c r="L3707">
        <v>252.73949999999999</v>
      </c>
      <c r="M3707">
        <v>2.89933E-2</v>
      </c>
      <c r="N3707">
        <v>-1.433309E-2</v>
      </c>
      <c r="O3707">
        <v>-0.99947719999999995</v>
      </c>
      <c r="P3707">
        <v>0.1714579</v>
      </c>
      <c r="Q3707">
        <v>-7.6502500000000001E-2</v>
      </c>
      <c r="R3707">
        <v>-0.98221700000000001</v>
      </c>
      <c r="S3707">
        <v>1.0183719999999901</v>
      </c>
      <c r="T3707">
        <v>-0.16114400000000001</v>
      </c>
      <c r="U3707">
        <v>-2.8655849999999998</v>
      </c>
      <c r="V3707">
        <v>-0.14290849999999999</v>
      </c>
      <c r="W3707">
        <v>-6.2343530000000001E-2</v>
      </c>
      <c r="X3707">
        <v>0.98777040000000005</v>
      </c>
      <c r="Y3707">
        <v>-0.30700339999999998</v>
      </c>
      <c r="Z3707">
        <v>3.8886379999999998E-2</v>
      </c>
      <c r="AA3707">
        <v>0.95091369999999997</v>
      </c>
      <c r="AB3707">
        <v>20</v>
      </c>
      <c r="AC3707">
        <v>7.08270000000004</v>
      </c>
      <c r="AD3707">
        <v>-1.121255365673</v>
      </c>
      <c r="AE3707">
        <v>-19.828099999999999</v>
      </c>
      <c r="AF3707">
        <v>-6.4863861079407803</v>
      </c>
      <c r="AG3707">
        <v>-1.121255365673</v>
      </c>
      <c r="AH3707">
        <v>19.968505520633901</v>
      </c>
      <c r="AI3707">
        <v>93.056939953533103</v>
      </c>
      <c r="AJ3707">
        <v>107.99539413354699</v>
      </c>
      <c r="AK3707">
        <v>21.025499543742701</v>
      </c>
      <c r="AL3707">
        <v>93.574339256881501</v>
      </c>
      <c r="AM3707">
        <v>98.232308778697799</v>
      </c>
      <c r="AN3707">
        <v>0.999999959110634</v>
      </c>
    </row>
    <row r="3708" spans="1:40" x14ac:dyDescent="0.25">
      <c r="A3708" t="str">
        <f>"20190303153840656"</f>
        <v>20190303153840656</v>
      </c>
      <c r="B3708" t="str">
        <f>"1551598720652263"</f>
        <v>1551598720652263</v>
      </c>
      <c r="C3708" t="s">
        <v>40</v>
      </c>
      <c r="D3708">
        <v>4.1215869999999999</v>
      </c>
      <c r="E3708">
        <v>0.35237299999999999</v>
      </c>
      <c r="F3708" t="s">
        <v>42</v>
      </c>
      <c r="G3708">
        <v>-485.23880000000003</v>
      </c>
      <c r="H3708" s="1">
        <v>-2.3673109999999999E-6</v>
      </c>
      <c r="I3708">
        <v>232.8818</v>
      </c>
      <c r="J3708">
        <v>-492.3621</v>
      </c>
      <c r="K3708">
        <v>1.1212549999999999</v>
      </c>
      <c r="L3708">
        <v>252.6266</v>
      </c>
      <c r="M3708">
        <v>2.8993939999999999E-2</v>
      </c>
      <c r="N3708">
        <v>-1.433304E-2</v>
      </c>
      <c r="O3708">
        <v>-0.99947719999999995</v>
      </c>
      <c r="P3708">
        <v>0.174240899999999</v>
      </c>
      <c r="Q3708">
        <v>-7.6684550000000004E-2</v>
      </c>
      <c r="R3708">
        <v>-0.98171280000000005</v>
      </c>
      <c r="S3708">
        <v>1.0272829999999999</v>
      </c>
      <c r="T3708">
        <v>-0.1616243</v>
      </c>
      <c r="U3708">
        <v>-2.8623959999999999</v>
      </c>
      <c r="V3708">
        <v>-0.145704</v>
      </c>
      <c r="W3708">
        <v>-6.2532180000000007E-2</v>
      </c>
      <c r="X3708">
        <v>0.98734999999999995</v>
      </c>
      <c r="Y3708">
        <v>-0.30995679999999998</v>
      </c>
      <c r="Z3708">
        <v>3.9047699999999998E-2</v>
      </c>
      <c r="AA3708">
        <v>0.94994840000000003</v>
      </c>
      <c r="AB3708">
        <v>20</v>
      </c>
      <c r="AC3708">
        <v>7.1232999999999702</v>
      </c>
      <c r="AD3708">
        <v>-1.12125736731099</v>
      </c>
      <c r="AE3708">
        <v>-19.744800000000001</v>
      </c>
      <c r="AF3708">
        <v>-6.5291360709602699</v>
      </c>
      <c r="AG3708">
        <v>-1.12125736731099</v>
      </c>
      <c r="AH3708">
        <v>19.886306778524698</v>
      </c>
      <c r="AI3708">
        <v>93.066401111885199</v>
      </c>
      <c r="AJ3708">
        <v>108.176208638833</v>
      </c>
      <c r="AK3708">
        <v>20.960725970406202</v>
      </c>
      <c r="AL3708">
        <v>93.585169177017903</v>
      </c>
      <c r="AM3708">
        <v>98.394595469369804</v>
      </c>
      <c r="AN3708">
        <v>0.99999997582577504</v>
      </c>
    </row>
    <row r="3709" spans="1:40" x14ac:dyDescent="0.25">
      <c r="A3709" t="str">
        <f>"20190303153840668"</f>
        <v>20190303153840668</v>
      </c>
      <c r="B3709" t="str">
        <f>"1551598720662023"</f>
        <v>1551598720662023</v>
      </c>
      <c r="C3709" t="s">
        <v>40</v>
      </c>
      <c r="D3709">
        <v>4.1475960000000001</v>
      </c>
      <c r="E3709">
        <v>0.35132099999999999</v>
      </c>
      <c r="F3709" t="s">
        <v>44</v>
      </c>
      <c r="G3709">
        <v>-491.8553</v>
      </c>
      <c r="H3709">
        <v>1.0292159999999999</v>
      </c>
      <c r="I3709">
        <v>251.8015</v>
      </c>
      <c r="J3709">
        <v>-492.3587</v>
      </c>
      <c r="K3709">
        <v>1.1212599999999999</v>
      </c>
      <c r="L3709">
        <v>252.50880000000001</v>
      </c>
      <c r="M3709">
        <v>2.8994450000000001E-2</v>
      </c>
      <c r="N3709">
        <v>-1.433281E-2</v>
      </c>
      <c r="O3709">
        <v>-0.99947699999999995</v>
      </c>
      <c r="P3709">
        <v>0.177581399999999</v>
      </c>
      <c r="Q3709">
        <v>-7.6646359999999997E-2</v>
      </c>
      <c r="R3709">
        <v>-0.98111709999999996</v>
      </c>
      <c r="S3709">
        <v>1.6801759999999999</v>
      </c>
      <c r="T3709">
        <v>-0.30494589999999999</v>
      </c>
      <c r="U3709">
        <v>-2.7338559999999998</v>
      </c>
      <c r="V3709">
        <v>-0.14905979999999999</v>
      </c>
      <c r="W3709">
        <v>-6.2501780000000007E-2</v>
      </c>
      <c r="X3709">
        <v>0.98685089999999998</v>
      </c>
      <c r="Y3709">
        <v>-0.49659710000000001</v>
      </c>
      <c r="Z3709">
        <v>8.1140710000000005E-2</v>
      </c>
      <c r="AA3709">
        <v>0.86418019999999995</v>
      </c>
      <c r="AB3709">
        <v>20</v>
      </c>
      <c r="AC3709">
        <v>0.50339999999999896</v>
      </c>
      <c r="AD3709">
        <v>-9.2044000000000195E-2</v>
      </c>
      <c r="AE3709">
        <v>-0.70730000000000304</v>
      </c>
      <c r="AF3709">
        <v>-0.47731300707008201</v>
      </c>
      <c r="AG3709">
        <v>-9.2044000000000195E-2</v>
      </c>
      <c r="AH3709">
        <v>0.71357860589576005</v>
      </c>
      <c r="AI3709">
        <v>96.119585470561105</v>
      </c>
      <c r="AJ3709">
        <v>123.778579724251</v>
      </c>
      <c r="AK3709">
        <v>0.86342007820435895</v>
      </c>
      <c r="AL3709">
        <v>93.583423893157104</v>
      </c>
      <c r="AM3709">
        <v>98.589364598522494</v>
      </c>
      <c r="AN3709">
        <v>0.99999999765500902</v>
      </c>
    </row>
    <row r="3710" spans="1:40" x14ac:dyDescent="0.25">
      <c r="A3710" t="str">
        <f>"20190303153840690"</f>
        <v>20190303153840690</v>
      </c>
      <c r="B3710" t="str">
        <f>"1551598720682519"</f>
        <v>1551598720682519</v>
      </c>
      <c r="C3710" t="s">
        <v>40</v>
      </c>
      <c r="D3710">
        <v>4.1177169999999998</v>
      </c>
      <c r="E3710">
        <v>0.35174640000000001</v>
      </c>
      <c r="F3710" t="s">
        <v>44</v>
      </c>
      <c r="G3710">
        <v>-491.91019999999997</v>
      </c>
      <c r="H3710">
        <v>1.0383639999999901</v>
      </c>
      <c r="I3710">
        <v>251.78800000000001</v>
      </c>
      <c r="J3710">
        <v>-492.3537</v>
      </c>
      <c r="K3710">
        <v>1.1212690000000001</v>
      </c>
      <c r="L3710">
        <v>252.33410000000001</v>
      </c>
      <c r="M3710">
        <v>2.8994309999999999E-2</v>
      </c>
      <c r="N3710">
        <v>-1.4331979999999999E-2</v>
      </c>
      <c r="O3710">
        <v>-0.99947699999999995</v>
      </c>
      <c r="P3710">
        <v>0.18486820000000001</v>
      </c>
      <c r="Q3710">
        <v>-7.5578140000000002E-2</v>
      </c>
      <c r="R3710">
        <v>-0.97985330000000004</v>
      </c>
      <c r="S3710">
        <v>1.69714399999999</v>
      </c>
      <c r="T3710">
        <v>-0.3135078</v>
      </c>
      <c r="U3710">
        <v>-2.7260589999999998</v>
      </c>
      <c r="V3710">
        <v>-0.15637989999999999</v>
      </c>
      <c r="W3710">
        <v>-6.1449749999999997E-2</v>
      </c>
      <c r="X3710">
        <v>0.98578359999999998</v>
      </c>
      <c r="Y3710">
        <v>-0.50145240000000002</v>
      </c>
      <c r="Z3710">
        <v>8.3736389999999994E-2</v>
      </c>
      <c r="AA3710">
        <v>0.86112350000000004</v>
      </c>
      <c r="AB3710">
        <v>20</v>
      </c>
      <c r="AC3710">
        <v>0.44350000000002798</v>
      </c>
      <c r="AD3710">
        <v>-8.2905000000000201E-2</v>
      </c>
      <c r="AE3710">
        <v>-0.54610000000002401</v>
      </c>
      <c r="AF3710">
        <v>-0.42162273981031301</v>
      </c>
      <c r="AG3710">
        <v>-8.2905000000000201E-2</v>
      </c>
      <c r="AH3710">
        <v>0.55107748515164201</v>
      </c>
      <c r="AI3710">
        <v>96.813539895189194</v>
      </c>
      <c r="AJ3710">
        <v>127.41916707976701</v>
      </c>
      <c r="AK3710">
        <v>0.698802810806606</v>
      </c>
      <c r="AL3710">
        <v>93.523030817010394</v>
      </c>
      <c r="AM3710">
        <v>99.014010877731494</v>
      </c>
      <c r="AN3710">
        <v>1.00000002546401</v>
      </c>
    </row>
    <row r="3711" spans="1:40" x14ac:dyDescent="0.25">
      <c r="A3711" t="str">
        <f>"20190303153840703"</f>
        <v>20190303153840703</v>
      </c>
      <c r="B3711" t="str">
        <f>"1551598720692279"</f>
        <v>1551598720692279</v>
      </c>
      <c r="C3711" t="s">
        <v>40</v>
      </c>
      <c r="D3711">
        <v>4.1337609999999998</v>
      </c>
      <c r="E3711">
        <v>0.35228619999999999</v>
      </c>
      <c r="F3711" t="s">
        <v>44</v>
      </c>
      <c r="G3711">
        <v>-491.89530000000002</v>
      </c>
      <c r="H3711">
        <v>1.0358309999999999</v>
      </c>
      <c r="I3711">
        <v>251.60849999999999</v>
      </c>
      <c r="J3711">
        <v>-492.34960000000001</v>
      </c>
      <c r="K3711">
        <v>1.1212719999999901</v>
      </c>
      <c r="L3711">
        <v>252.19560000000001</v>
      </c>
      <c r="M3711">
        <v>2.8993370000000001E-2</v>
      </c>
      <c r="N3711">
        <v>-1.433101E-2</v>
      </c>
      <c r="O3711">
        <v>-0.99947719999999995</v>
      </c>
      <c r="P3711">
        <v>0.18901609999999999</v>
      </c>
      <c r="Q3711">
        <v>-7.4894520000000006E-2</v>
      </c>
      <c r="R3711">
        <v>-0.97911440000000005</v>
      </c>
      <c r="S3711">
        <v>1.7142029999999999</v>
      </c>
      <c r="T3711">
        <v>-0.3194958</v>
      </c>
      <c r="U3711">
        <v>-2.713654</v>
      </c>
      <c r="V3711">
        <v>-0.16054839999999901</v>
      </c>
      <c r="W3711">
        <v>-6.0775969999999999E-2</v>
      </c>
      <c r="X3711">
        <v>0.985155</v>
      </c>
      <c r="Y3711">
        <v>-0.50698949999999998</v>
      </c>
      <c r="Z3711">
        <v>8.5647580000000001E-2</v>
      </c>
      <c r="AA3711">
        <v>0.85768650000000002</v>
      </c>
      <c r="AB3711">
        <v>20</v>
      </c>
      <c r="AC3711">
        <v>0.45429999999998899</v>
      </c>
      <c r="AD3711">
        <v>-8.5440999999999795E-2</v>
      </c>
      <c r="AE3711">
        <v>-0.58710000000002005</v>
      </c>
      <c r="AF3711">
        <v>-0.43137079696241898</v>
      </c>
      <c r="AG3711">
        <v>-8.5440999999999795E-2</v>
      </c>
      <c r="AH3711">
        <v>0.59218146255549997</v>
      </c>
      <c r="AI3711">
        <v>96.651838066494904</v>
      </c>
      <c r="AJ3711">
        <v>126.07122689848001</v>
      </c>
      <c r="AK3711">
        <v>0.73760410353207995</v>
      </c>
      <c r="AL3711">
        <v>93.4843540701102</v>
      </c>
      <c r="AM3711">
        <v>99.255989614418297</v>
      </c>
      <c r="AN3711">
        <v>0.99999994064849795</v>
      </c>
    </row>
    <row r="3712" spans="1:40" x14ac:dyDescent="0.25">
      <c r="A3712" t="str">
        <f>"20190303153840720"</f>
        <v>20190303153840720</v>
      </c>
      <c r="B3712" t="str">
        <f>"1551598720711798"</f>
        <v>1551598720711798</v>
      </c>
      <c r="C3712" t="s">
        <v>40</v>
      </c>
      <c r="D3712">
        <v>4.1078830000000002</v>
      </c>
      <c r="E3712">
        <v>0.35365750000000001</v>
      </c>
      <c r="F3712" t="s">
        <v>44</v>
      </c>
      <c r="G3712">
        <v>-491.86509999999998</v>
      </c>
      <c r="H3712">
        <v>1.0313300000000001</v>
      </c>
      <c r="I3712">
        <v>251.43299999999999</v>
      </c>
      <c r="J3712">
        <v>-492.34530000000001</v>
      </c>
      <c r="K3712">
        <v>1.1212719999999901</v>
      </c>
      <c r="L3712">
        <v>252.04470000000001</v>
      </c>
      <c r="M3712">
        <v>2.8991610000000001E-2</v>
      </c>
      <c r="N3712">
        <v>-1.4329740000000001E-2</v>
      </c>
      <c r="O3712">
        <v>-0.99947719999999995</v>
      </c>
      <c r="P3712">
        <v>0.1976263</v>
      </c>
      <c r="Q3712">
        <v>-7.5083860000000002E-2</v>
      </c>
      <c r="R3712">
        <v>-0.97739799999999999</v>
      </c>
      <c r="S3712">
        <v>1.7208859999999999</v>
      </c>
      <c r="T3712">
        <v>-0.3193299</v>
      </c>
      <c r="U3712">
        <v>-2.7073520000000002</v>
      </c>
      <c r="V3712">
        <v>-0.16920650000000001</v>
      </c>
      <c r="W3712">
        <v>-6.098717E-2</v>
      </c>
      <c r="X3712">
        <v>0.98369189999999995</v>
      </c>
      <c r="Y3712">
        <v>-0.50939719999999999</v>
      </c>
      <c r="Z3712">
        <v>8.5656239999999995E-2</v>
      </c>
      <c r="AA3712">
        <v>0.85625790000000002</v>
      </c>
      <c r="AB3712">
        <v>20</v>
      </c>
      <c r="AC3712">
        <v>0.480200000000024</v>
      </c>
      <c r="AD3712">
        <v>-8.9941999999999897E-2</v>
      </c>
      <c r="AE3712">
        <v>-0.61170000000001301</v>
      </c>
      <c r="AF3712">
        <v>-0.456160391962393</v>
      </c>
      <c r="AG3712">
        <v>-8.9941999999999897E-2</v>
      </c>
      <c r="AH3712">
        <v>0.61711135999668199</v>
      </c>
      <c r="AI3712">
        <v>96.684737333383794</v>
      </c>
      <c r="AJ3712">
        <v>126.47131206624699</v>
      </c>
      <c r="AK3712">
        <v>0.77265664896915198</v>
      </c>
      <c r="AL3712">
        <v>93.4964771703888</v>
      </c>
      <c r="AM3712">
        <v>99.760031460039798</v>
      </c>
      <c r="AN3712">
        <v>1.00000001433623</v>
      </c>
    </row>
    <row r="3713" spans="1:40" x14ac:dyDescent="0.25">
      <c r="A3713" t="str">
        <f>"20190303153840733"</f>
        <v>20190303153840733</v>
      </c>
      <c r="B3713" t="str">
        <f>"1551598720722534"</f>
        <v>1551598720722534</v>
      </c>
      <c r="C3713" t="s">
        <v>40</v>
      </c>
      <c r="D3713">
        <v>4.1036130000000002</v>
      </c>
      <c r="E3713">
        <v>0.35420049999999997</v>
      </c>
      <c r="F3713" t="s">
        <v>44</v>
      </c>
      <c r="G3713">
        <v>-491.8383</v>
      </c>
      <c r="H3713">
        <v>1.026737</v>
      </c>
      <c r="I3713">
        <v>251.25710000000001</v>
      </c>
      <c r="J3713">
        <v>-492.3417</v>
      </c>
      <c r="K3713">
        <v>1.1212719999999901</v>
      </c>
      <c r="L3713">
        <v>251.92599999999999</v>
      </c>
      <c r="M3713">
        <v>2.8989709999999998E-2</v>
      </c>
      <c r="N3713">
        <v>-1.432861E-2</v>
      </c>
      <c r="O3713">
        <v>-0.99947719999999995</v>
      </c>
      <c r="P3713">
        <v>0.20178009999999999</v>
      </c>
      <c r="Q3713">
        <v>-7.5054010000000004E-2</v>
      </c>
      <c r="R3713">
        <v>-0.97655110000000001</v>
      </c>
      <c r="S3713">
        <v>1.7338560000000001</v>
      </c>
      <c r="T3713">
        <v>-0.323351</v>
      </c>
      <c r="U3713">
        <v>-2.6939700000000002</v>
      </c>
      <c r="V3713">
        <v>-0.17338489999999901</v>
      </c>
      <c r="W3713">
        <v>-6.0968590000000003E-2</v>
      </c>
      <c r="X3713">
        <v>0.98296519999999998</v>
      </c>
      <c r="Y3713">
        <v>-0.51416119999999998</v>
      </c>
      <c r="Z3713">
        <v>8.7047410000000006E-2</v>
      </c>
      <c r="AA3713">
        <v>0.85326489999999999</v>
      </c>
      <c r="AB3713">
        <v>20</v>
      </c>
      <c r="AC3713">
        <v>0.50339999999999896</v>
      </c>
      <c r="AD3713">
        <v>-9.45349999999998E-2</v>
      </c>
      <c r="AE3713">
        <v>-0.66889999999997896</v>
      </c>
      <c r="AF3713">
        <v>-0.477703658043656</v>
      </c>
      <c r="AG3713">
        <v>-9.45349999999998E-2</v>
      </c>
      <c r="AH3713">
        <v>0.67461130374455003</v>
      </c>
      <c r="AI3713">
        <v>96.524187641379299</v>
      </c>
      <c r="AJ3713">
        <v>125.302954609777</v>
      </c>
      <c r="AK3713">
        <v>0.83200845084242503</v>
      </c>
      <c r="AL3713">
        <v>93.4954105456777</v>
      </c>
      <c r="AM3713">
        <v>100.00348307768201</v>
      </c>
      <c r="AN3713">
        <v>1.00000003846281</v>
      </c>
    </row>
    <row r="3714" spans="1:40" x14ac:dyDescent="0.25">
      <c r="A3714" t="str">
        <f>"20190303153840754"</f>
        <v>20190303153840754</v>
      </c>
      <c r="B3714" t="str">
        <f>"1551598720742054"</f>
        <v>1551598720742054</v>
      </c>
      <c r="C3714" t="s">
        <v>40</v>
      </c>
      <c r="D3714">
        <v>4.0982830000000003</v>
      </c>
      <c r="E3714">
        <v>0.35565469999999999</v>
      </c>
      <c r="F3714" t="s">
        <v>44</v>
      </c>
      <c r="G3714">
        <v>-491.79719999999998</v>
      </c>
      <c r="H3714">
        <v>1.0200819999999999</v>
      </c>
      <c r="I3714">
        <v>251.08500000000001</v>
      </c>
      <c r="J3714">
        <v>-492.33609999999999</v>
      </c>
      <c r="K3714">
        <v>1.121278</v>
      </c>
      <c r="L3714">
        <v>251.73339999999999</v>
      </c>
      <c r="M3714">
        <v>2.8985400000000001E-2</v>
      </c>
      <c r="N3714">
        <v>-1.4326459999999999E-2</v>
      </c>
      <c r="O3714">
        <v>-0.99947739999999996</v>
      </c>
      <c r="P3714">
        <v>0.21068770000000001</v>
      </c>
      <c r="Q3714">
        <v>-7.5822410000000007E-2</v>
      </c>
      <c r="R3714">
        <v>-0.97460880000000005</v>
      </c>
      <c r="S3714">
        <v>1.74115</v>
      </c>
      <c r="T3714">
        <v>-0.32334839999999998</v>
      </c>
      <c r="U3714">
        <v>-2.6874690000000001</v>
      </c>
      <c r="V3714">
        <v>-0.1823497</v>
      </c>
      <c r="W3714">
        <v>-6.1762480000000002E-2</v>
      </c>
      <c r="X3714">
        <v>0.98129200000000005</v>
      </c>
      <c r="Y3714">
        <v>-0.51672929999999995</v>
      </c>
      <c r="Z3714">
        <v>8.710118E-2</v>
      </c>
      <c r="AA3714">
        <v>0.85170659999999898</v>
      </c>
      <c r="AB3714">
        <v>20</v>
      </c>
      <c r="AC3714">
        <v>0.53890000000001204</v>
      </c>
      <c r="AD3714">
        <v>-0.10119599999999999</v>
      </c>
      <c r="AE3714">
        <v>-0.64839999999997999</v>
      </c>
      <c r="AF3714">
        <v>-0.51249423863426502</v>
      </c>
      <c r="AG3714">
        <v>-0.10119599999999999</v>
      </c>
      <c r="AH3714">
        <v>0.65432286163182396</v>
      </c>
      <c r="AI3714">
        <v>96.941941338749601</v>
      </c>
      <c r="AJ3714">
        <v>128.06959794026599</v>
      </c>
      <c r="AK3714">
        <v>0.837274974129392</v>
      </c>
      <c r="AL3714">
        <v>93.540983104399601</v>
      </c>
      <c r="AM3714">
        <v>100.526979041761</v>
      </c>
      <c r="AN3714">
        <v>1.0000000031449201</v>
      </c>
    </row>
    <row r="3715" spans="1:40" x14ac:dyDescent="0.25">
      <c r="A3715" t="str">
        <f>"20190303153840770"</f>
        <v>20190303153840770</v>
      </c>
      <c r="B3715" t="str">
        <f>"1551598720762551"</f>
        <v>1551598720762551</v>
      </c>
      <c r="C3715" t="s">
        <v>40</v>
      </c>
      <c r="D3715">
        <v>4.1368470000000004</v>
      </c>
      <c r="E3715">
        <v>0.35701040000000001</v>
      </c>
      <c r="F3715" t="s">
        <v>44</v>
      </c>
      <c r="G3715">
        <v>-491.7921</v>
      </c>
      <c r="H3715">
        <v>1.021342</v>
      </c>
      <c r="I3715">
        <v>250.90450000000001</v>
      </c>
      <c r="J3715">
        <v>-492.33199999999999</v>
      </c>
      <c r="K3715">
        <v>1.1212799999999901</v>
      </c>
      <c r="L3715">
        <v>251.5934</v>
      </c>
      <c r="M3715">
        <v>2.8981590000000002E-2</v>
      </c>
      <c r="N3715">
        <v>-1.4324720000000001E-2</v>
      </c>
      <c r="O3715">
        <v>-0.99947770000000002</v>
      </c>
      <c r="P3715">
        <v>0.21527160000000001</v>
      </c>
      <c r="Q3715">
        <v>-7.6101680000000005E-2</v>
      </c>
      <c r="R3715">
        <v>-0.97358489999999998</v>
      </c>
      <c r="S3715">
        <v>1.7551570000000001</v>
      </c>
      <c r="T3715">
        <v>-0.32233390000000001</v>
      </c>
      <c r="U3715">
        <v>-2.673645</v>
      </c>
      <c r="V3715">
        <v>-0.1869653</v>
      </c>
      <c r="W3715">
        <v>-6.205579E-2</v>
      </c>
      <c r="X3715">
        <v>0.98040450000000001</v>
      </c>
      <c r="Y3715">
        <v>-0.52186069999999996</v>
      </c>
      <c r="Z3715">
        <v>8.6921709999999999E-2</v>
      </c>
      <c r="AA3715">
        <v>0.84859059999999897</v>
      </c>
      <c r="AB3715">
        <v>20</v>
      </c>
      <c r="AC3715">
        <v>0.53989999999998795</v>
      </c>
      <c r="AD3715">
        <v>-9.9937999999999805E-2</v>
      </c>
      <c r="AE3715">
        <v>-0.68889999999998897</v>
      </c>
      <c r="AF3715">
        <v>-0.513017313102196</v>
      </c>
      <c r="AG3715">
        <v>-9.9937999999999805E-2</v>
      </c>
      <c r="AH3715">
        <v>0.69519580220927402</v>
      </c>
      <c r="AI3715">
        <v>96.598075752746297</v>
      </c>
      <c r="AJ3715">
        <v>126.425341275116</v>
      </c>
      <c r="AK3715">
        <v>0.86975374146708495</v>
      </c>
      <c r="AL3715">
        <v>93.557820967067897</v>
      </c>
      <c r="AM3715">
        <v>100.796793649425</v>
      </c>
      <c r="AN3715">
        <v>0.99999996404843094</v>
      </c>
    </row>
    <row r="3716" spans="1:40" x14ac:dyDescent="0.25">
      <c r="A3716" t="str">
        <f>"20190303153840789"</f>
        <v>20190303153840789</v>
      </c>
      <c r="B3716" t="str">
        <f>"1551598720782070"</f>
        <v>1551598720782070</v>
      </c>
      <c r="C3716" t="s">
        <v>40</v>
      </c>
      <c r="D3716">
        <v>4.1170720000000003</v>
      </c>
      <c r="E3716">
        <v>0.35849120000000001</v>
      </c>
      <c r="F3716" t="s">
        <v>44</v>
      </c>
      <c r="G3716">
        <v>-491.7638</v>
      </c>
      <c r="H3716">
        <v>1.017431</v>
      </c>
      <c r="I3716">
        <v>250.73</v>
      </c>
      <c r="J3716">
        <v>-492.32679999999999</v>
      </c>
      <c r="K3716">
        <v>1.1212839999999999</v>
      </c>
      <c r="L3716">
        <v>251.41229999999999</v>
      </c>
      <c r="M3716">
        <v>2.897576E-2</v>
      </c>
      <c r="N3716">
        <v>-1.432219E-2</v>
      </c>
      <c r="O3716">
        <v>-0.99947739999999996</v>
      </c>
      <c r="P3716">
        <v>0.2250075</v>
      </c>
      <c r="Q3716">
        <v>-7.6549489999999998E-2</v>
      </c>
      <c r="R3716">
        <v>-0.97134529999999997</v>
      </c>
      <c r="S3716">
        <v>1.7568049999999999</v>
      </c>
      <c r="T3716">
        <v>-0.32088410000000001</v>
      </c>
      <c r="U3716">
        <v>-2.667862</v>
      </c>
      <c r="V3716">
        <v>-0.19676740000000001</v>
      </c>
      <c r="W3716">
        <v>-6.2533450000000004E-2</v>
      </c>
      <c r="X3716">
        <v>0.97845400000000005</v>
      </c>
      <c r="Y3716">
        <v>-0.52308980000000005</v>
      </c>
      <c r="Z3716">
        <v>8.6598620000000001E-2</v>
      </c>
      <c r="AA3716">
        <v>0.84786659999999903</v>
      </c>
      <c r="AB3716">
        <v>20</v>
      </c>
      <c r="AC3716">
        <v>0.56299999999998795</v>
      </c>
      <c r="AD3716">
        <v>-0.103852999999999</v>
      </c>
      <c r="AE3716">
        <v>-0.68229999999999702</v>
      </c>
      <c r="AF3716">
        <v>-0.53560891887488205</v>
      </c>
      <c r="AG3716">
        <v>-0.103852999999999</v>
      </c>
      <c r="AH3716">
        <v>0.68883409035788901</v>
      </c>
      <c r="AI3716">
        <v>96.787436134174598</v>
      </c>
      <c r="AJ3716">
        <v>127.867160729144</v>
      </c>
      <c r="AK3716">
        <v>0.87872337150351298</v>
      </c>
      <c r="AL3716">
        <v>93.585241868989996</v>
      </c>
      <c r="AM3716">
        <v>101.370537858074</v>
      </c>
      <c r="AN3716">
        <v>1.0000000360938299</v>
      </c>
    </row>
    <row r="3717" spans="1:40" x14ac:dyDescent="0.25">
      <c r="A3717" t="str">
        <f>"20190303153840801"</f>
        <v>20190303153840801</v>
      </c>
      <c r="B3717" t="str">
        <f>"1551598720791831"</f>
        <v>1551598720791831</v>
      </c>
      <c r="C3717" t="s">
        <v>40</v>
      </c>
      <c r="D3717">
        <v>4.1334989999999996</v>
      </c>
      <c r="E3717">
        <v>0.35917549999999998</v>
      </c>
      <c r="F3717" t="s">
        <v>44</v>
      </c>
      <c r="G3717">
        <v>-491.75170000000003</v>
      </c>
      <c r="H3717">
        <v>1.017795</v>
      </c>
      <c r="I3717">
        <v>250.55179999999999</v>
      </c>
      <c r="J3717">
        <v>-492.32350000000002</v>
      </c>
      <c r="K3717">
        <v>1.1212839999999999</v>
      </c>
      <c r="L3717">
        <v>251.30179999999999</v>
      </c>
      <c r="M3717">
        <v>2.897185E-2</v>
      </c>
      <c r="N3717">
        <v>-1.43205E-2</v>
      </c>
      <c r="O3717">
        <v>-0.99947770000000002</v>
      </c>
      <c r="P3717">
        <v>0.2303193</v>
      </c>
      <c r="Q3717">
        <v>-7.6726409999999995E-2</v>
      </c>
      <c r="R3717">
        <v>-0.970086</v>
      </c>
      <c r="S3717">
        <v>1.7724610000000001</v>
      </c>
      <c r="T3717">
        <v>-0.31906079999999998</v>
      </c>
      <c r="U3717">
        <v>-2.6528170000000002</v>
      </c>
      <c r="V3717">
        <v>-0.20211760000000001</v>
      </c>
      <c r="W3717">
        <v>-6.2727439999999995E-2</v>
      </c>
      <c r="X3717">
        <v>0.97735039999999995</v>
      </c>
      <c r="Y3717">
        <v>-0.52877269999999998</v>
      </c>
      <c r="Z3717">
        <v>8.616567E-2</v>
      </c>
      <c r="AA3717">
        <v>0.84437839999999997</v>
      </c>
      <c r="AB3717">
        <v>20</v>
      </c>
      <c r="AC3717">
        <v>0.57179999999999598</v>
      </c>
      <c r="AD3717">
        <v>-0.103488999999999</v>
      </c>
      <c r="AE3717">
        <v>-0.75</v>
      </c>
      <c r="AF3717">
        <v>-0.54328706490494705</v>
      </c>
      <c r="AG3717">
        <v>-0.103488999999999</v>
      </c>
      <c r="AH3717">
        <v>0.75713619494548701</v>
      </c>
      <c r="AI3717">
        <v>96.336902430203807</v>
      </c>
      <c r="AJ3717">
        <v>125.66152997017601</v>
      </c>
      <c r="AK3717">
        <v>0.93761720638572099</v>
      </c>
      <c r="AL3717">
        <v>93.596378561870097</v>
      </c>
      <c r="AM3717">
        <v>101.684150575796</v>
      </c>
      <c r="AN3717">
        <v>1.0000000301694301</v>
      </c>
    </row>
    <row r="3718" spans="1:40" x14ac:dyDescent="0.25">
      <c r="A3718" t="str">
        <f>"20190303153840823"</f>
        <v>20190303153840823</v>
      </c>
      <c r="B3718" t="str">
        <f>"1551598720812326"</f>
        <v>1551598720812326</v>
      </c>
      <c r="C3718" t="s">
        <v>40</v>
      </c>
      <c r="D3718">
        <v>4.1481529999999998</v>
      </c>
      <c r="E3718">
        <v>0.3598537</v>
      </c>
      <c r="F3718" t="s">
        <v>44</v>
      </c>
      <c r="G3718">
        <v>-491.80869999999999</v>
      </c>
      <c r="H3718">
        <v>1.0293840000000001</v>
      </c>
      <c r="I3718">
        <v>250.5378</v>
      </c>
      <c r="J3718">
        <v>-492.31799999999998</v>
      </c>
      <c r="K3718">
        <v>1.1212850000000001</v>
      </c>
      <c r="L3718">
        <v>251.11410000000001</v>
      </c>
      <c r="M3718">
        <v>2.8965040000000001E-2</v>
      </c>
      <c r="N3718">
        <v>-1.43175E-2</v>
      </c>
      <c r="O3718">
        <v>-0.99947790000000003</v>
      </c>
      <c r="P3718">
        <v>0.240845</v>
      </c>
      <c r="Q3718">
        <v>-7.6809150000000007E-2</v>
      </c>
      <c r="R3718">
        <v>-0.96751969999999998</v>
      </c>
      <c r="S3718">
        <v>1.781433</v>
      </c>
      <c r="T3718">
        <v>-0.31808150000000002</v>
      </c>
      <c r="U3718">
        <v>-2.6444239999999999</v>
      </c>
      <c r="V3718">
        <v>-0.21271970000000001</v>
      </c>
      <c r="W3718">
        <v>-6.2844839999999999E-2</v>
      </c>
      <c r="X3718">
        <v>0.97509020000000002</v>
      </c>
      <c r="Y3718">
        <v>-0.53199449999999904</v>
      </c>
      <c r="Z3718">
        <v>8.5931359999999998E-2</v>
      </c>
      <c r="AA3718">
        <v>0.84237619999999902</v>
      </c>
      <c r="AB3718">
        <v>20</v>
      </c>
      <c r="AC3718">
        <v>0.50930000000005204</v>
      </c>
      <c r="AD3718">
        <v>-9.1900999999999997E-2</v>
      </c>
      <c r="AE3718">
        <v>-0.57630000000000303</v>
      </c>
      <c r="AF3718">
        <v>-0.48546040271927099</v>
      </c>
      <c r="AG3718">
        <v>-9.1900999999999997E-2</v>
      </c>
      <c r="AH3718">
        <v>0.58249446399527405</v>
      </c>
      <c r="AI3718">
        <v>96.910454736052301</v>
      </c>
      <c r="AJ3718">
        <v>129.80837766799499</v>
      </c>
      <c r="AK3718">
        <v>0.76381764642779604</v>
      </c>
      <c r="AL3718">
        <v>93.603118415432405</v>
      </c>
      <c r="AM3718">
        <v>102.30648721875301</v>
      </c>
      <c r="AN3718">
        <v>1.0000000214093701</v>
      </c>
    </row>
    <row r="3719" spans="1:40" x14ac:dyDescent="0.25">
      <c r="A3719" t="str">
        <f>"20190303153840836"</f>
        <v>20190303153840836</v>
      </c>
      <c r="B3719" t="str">
        <f>"1551598720831847"</f>
        <v>1551598720831847</v>
      </c>
      <c r="C3719" t="s">
        <v>40</v>
      </c>
      <c r="D3719">
        <v>4.1734039999999997</v>
      </c>
      <c r="E3719">
        <v>0.36023549999999999</v>
      </c>
      <c r="F3719" t="s">
        <v>44</v>
      </c>
      <c r="G3719">
        <v>-491.79950000000002</v>
      </c>
      <c r="H3719">
        <v>1.0299769999999999</v>
      </c>
      <c r="I3719">
        <v>250.35929999999999</v>
      </c>
      <c r="J3719">
        <v>-492.31459999999998</v>
      </c>
      <c r="K3719">
        <v>1.121286</v>
      </c>
      <c r="L3719">
        <v>250.9967</v>
      </c>
      <c r="M3719">
        <v>2.896081E-2</v>
      </c>
      <c r="N3719">
        <v>-1.431551E-2</v>
      </c>
      <c r="O3719">
        <v>-0.99947839999999999</v>
      </c>
      <c r="P3719">
        <v>0.24580160000000001</v>
      </c>
      <c r="Q3719">
        <v>-7.6802969999999998E-2</v>
      </c>
      <c r="R3719">
        <v>-0.9662731</v>
      </c>
      <c r="S3719">
        <v>1.80481</v>
      </c>
      <c r="T3719">
        <v>-0.31766270000000002</v>
      </c>
      <c r="U3719">
        <v>-2.6262050000000001</v>
      </c>
      <c r="V3719">
        <v>-0.21771460000000001</v>
      </c>
      <c r="W3719">
        <v>-6.2856060000000005E-2</v>
      </c>
      <c r="X3719">
        <v>0.97398640000000003</v>
      </c>
      <c r="Y3719">
        <v>-0.53978760000000003</v>
      </c>
      <c r="Z3719">
        <v>8.587881E-2</v>
      </c>
      <c r="AA3719">
        <v>0.83740919999999897</v>
      </c>
      <c r="AB3719">
        <v>20</v>
      </c>
      <c r="AC3719">
        <v>0.51509999999996103</v>
      </c>
      <c r="AD3719">
        <v>-9.1308999999999793E-2</v>
      </c>
      <c r="AE3719">
        <v>-0.63740000000001296</v>
      </c>
      <c r="AF3719">
        <v>-0.490335362387956</v>
      </c>
      <c r="AG3719">
        <v>-9.1308999999999793E-2</v>
      </c>
      <c r="AH3719">
        <v>0.64405649896358597</v>
      </c>
      <c r="AI3719">
        <v>96.435835026024293</v>
      </c>
      <c r="AJ3719">
        <v>127.28287144836101</v>
      </c>
      <c r="AK3719">
        <v>0.81460105263028004</v>
      </c>
      <c r="AL3719">
        <v>93.603762554943103</v>
      </c>
      <c r="AM3719">
        <v>102.600159430598</v>
      </c>
      <c r="AN3719">
        <v>1.00000001935842</v>
      </c>
    </row>
    <row r="3720" spans="1:40" x14ac:dyDescent="0.25">
      <c r="A3720" t="str">
        <f>"20190303153840858"</f>
        <v>20190303153840858</v>
      </c>
      <c r="B3720" t="str">
        <f>"1551598720852343"</f>
        <v>1551598720852343</v>
      </c>
      <c r="C3720" t="s">
        <v>40</v>
      </c>
      <c r="D3720">
        <v>4.2211699999999999</v>
      </c>
      <c r="E3720">
        <v>0.39128829999999998</v>
      </c>
      <c r="F3720" t="s">
        <v>44</v>
      </c>
      <c r="G3720">
        <v>-491.75510000000003</v>
      </c>
      <c r="H3720">
        <v>1.02478</v>
      </c>
      <c r="I3720">
        <v>250.18989999999999</v>
      </c>
      <c r="J3720">
        <v>-492.3091</v>
      </c>
      <c r="K3720">
        <v>1.1212789999999999</v>
      </c>
      <c r="L3720">
        <v>250.80799999999999</v>
      </c>
      <c r="M3720">
        <v>2.8954130000000002E-2</v>
      </c>
      <c r="N3720">
        <v>-1.4312099999999999E-2</v>
      </c>
      <c r="O3720">
        <v>-0.99947839999999999</v>
      </c>
      <c r="P3720">
        <v>0.25494660000000002</v>
      </c>
      <c r="Q3720">
        <v>-7.6726790000000003E-2</v>
      </c>
      <c r="R3720">
        <v>-0.96390629999999999</v>
      </c>
      <c r="S3720">
        <v>1.8156129999999999</v>
      </c>
      <c r="T3720">
        <v>-0.31313839999999998</v>
      </c>
      <c r="U3720">
        <v>-2.6180110000000001</v>
      </c>
      <c r="V3720">
        <v>-0.22693079999999999</v>
      </c>
      <c r="W3720">
        <v>-6.2812779999999999E-2</v>
      </c>
      <c r="X3720">
        <v>0.97188319999999995</v>
      </c>
      <c r="Y3720">
        <v>-0.54341759999999995</v>
      </c>
      <c r="Z3720">
        <v>8.4495689999999998E-2</v>
      </c>
      <c r="AA3720">
        <v>0.83519929999999998</v>
      </c>
      <c r="AB3720">
        <v>20</v>
      </c>
      <c r="AC3720">
        <v>0.55399999999997296</v>
      </c>
      <c r="AD3720">
        <v>-9.6499000000000099E-2</v>
      </c>
      <c r="AE3720">
        <v>-0.61809999999999798</v>
      </c>
      <c r="AF3720">
        <v>-0.52872306439977601</v>
      </c>
      <c r="AG3720">
        <v>-9.6499000000000099E-2</v>
      </c>
      <c r="AH3720">
        <v>0.62542970185837699</v>
      </c>
      <c r="AI3720">
        <v>96.720166324744397</v>
      </c>
      <c r="AJ3720">
        <v>130.210365935043</v>
      </c>
      <c r="AK3720">
        <v>0.82463473598675696</v>
      </c>
      <c r="AL3720">
        <v>93.601277975729801</v>
      </c>
      <c r="AM3720">
        <v>103.142858655834</v>
      </c>
      <c r="AN3720">
        <v>0.99999999388110405</v>
      </c>
    </row>
    <row r="3721" spans="1:40" x14ac:dyDescent="0.25">
      <c r="A3721" t="str">
        <f>"20190303153840870"</f>
        <v>20190303153840870</v>
      </c>
      <c r="B3721" t="str">
        <f>"1551598720862103"</f>
        <v>1551598720862103</v>
      </c>
      <c r="C3721" t="s">
        <v>40</v>
      </c>
      <c r="D3721">
        <v>4.2294460000000003</v>
      </c>
      <c r="E3721">
        <v>0.39486080000000001</v>
      </c>
      <c r="F3721" t="s">
        <v>42</v>
      </c>
      <c r="G3721">
        <v>-479.95780000000002</v>
      </c>
      <c r="H3721">
        <v>8.7314979999999999E-4</v>
      </c>
      <c r="I3721">
        <v>230.2183</v>
      </c>
      <c r="J3721">
        <v>-492.30549999999999</v>
      </c>
      <c r="K3721">
        <v>1.1212759999999999</v>
      </c>
      <c r="L3721">
        <v>250.68520000000001</v>
      </c>
      <c r="M3721">
        <v>2.894979E-2</v>
      </c>
      <c r="N3721">
        <v>-1.4309799999999999E-2</v>
      </c>
      <c r="O3721">
        <v>-0.99947859999999999</v>
      </c>
      <c r="P3721">
        <v>0.25927280000000003</v>
      </c>
      <c r="Q3721">
        <v>-7.6467560000000004E-2</v>
      </c>
      <c r="R3721">
        <v>-0.96277230000000003</v>
      </c>
      <c r="S3721">
        <v>1.6053470000000001</v>
      </c>
      <c r="T3721">
        <v>-0.14562339999999999</v>
      </c>
      <c r="U3721">
        <v>-2.6761170000000001</v>
      </c>
      <c r="V3721">
        <v>-0.231292</v>
      </c>
      <c r="W3721">
        <v>-6.2570020000000004E-2</v>
      </c>
      <c r="X3721">
        <v>0.97087029999999996</v>
      </c>
      <c r="Y3721">
        <v>-0.4889039</v>
      </c>
      <c r="Z3721">
        <v>3.2762989999999999E-2</v>
      </c>
      <c r="AA3721">
        <v>0.8717222</v>
      </c>
      <c r="AB3721">
        <v>20</v>
      </c>
      <c r="AC3721">
        <v>12.3476999999999</v>
      </c>
      <c r="AD3721">
        <v>-1.1204028502000001</v>
      </c>
      <c r="AE3721">
        <v>-20.466899999999999</v>
      </c>
      <c r="AF3721">
        <v>-11.7241920115701</v>
      </c>
      <c r="AG3721">
        <v>-1.1204028502000001</v>
      </c>
      <c r="AH3721">
        <v>20.770186739103401</v>
      </c>
      <c r="AI3721">
        <v>92.689527611383298</v>
      </c>
      <c r="AJ3721">
        <v>119.443517930086</v>
      </c>
      <c r="AK3721">
        <v>23.877031600434101</v>
      </c>
      <c r="AL3721">
        <v>93.587341172045299</v>
      </c>
      <c r="AM3721">
        <v>103.399892177699</v>
      </c>
      <c r="AN3721">
        <v>1.0000000680444401</v>
      </c>
    </row>
    <row r="3722" spans="1:40" x14ac:dyDescent="0.25">
      <c r="A3722" t="str">
        <f>"20190303153840886"</f>
        <v>20190303153840886</v>
      </c>
      <c r="B3722" t="str">
        <f>"1551598720881623"</f>
        <v>1551598720881623</v>
      </c>
      <c r="C3722" t="s">
        <v>40</v>
      </c>
      <c r="D3722">
        <v>4.1945100000000002</v>
      </c>
      <c r="E3722">
        <v>0.39795320000000001</v>
      </c>
      <c r="F3722" t="s">
        <v>42</v>
      </c>
      <c r="G3722">
        <v>-480.03699999999998</v>
      </c>
      <c r="H3722" s="1">
        <v>-2.7798099999999999E-6</v>
      </c>
      <c r="I3722">
        <v>230.02680000000001</v>
      </c>
      <c r="J3722">
        <v>-492.30149999999998</v>
      </c>
      <c r="K3722">
        <v>1.121275</v>
      </c>
      <c r="L3722">
        <v>250.54589999999999</v>
      </c>
      <c r="M3722">
        <v>2.8944549999999999E-2</v>
      </c>
      <c r="N3722">
        <v>-1.4307149999999999E-2</v>
      </c>
      <c r="O3722">
        <v>-0.99947889999999995</v>
      </c>
      <c r="P3722">
        <v>0.26765749999999999</v>
      </c>
      <c r="Q3722">
        <v>-7.7203889999999997E-2</v>
      </c>
      <c r="R3722">
        <v>-0.9604163</v>
      </c>
      <c r="S3722">
        <v>1.5894779999999999</v>
      </c>
      <c r="T3722">
        <v>-0.1452695</v>
      </c>
      <c r="U3722">
        <v>-2.676437</v>
      </c>
      <c r="V3722">
        <v>-0.2397466</v>
      </c>
      <c r="W3722">
        <v>-6.3338870000000005E-2</v>
      </c>
      <c r="X3722">
        <v>0.96876709999999999</v>
      </c>
      <c r="Y3722">
        <v>-0.48504829999999999</v>
      </c>
      <c r="Z3722">
        <v>3.2765469999999998E-2</v>
      </c>
      <c r="AA3722">
        <v>0.87387329999999996</v>
      </c>
      <c r="AB3722">
        <v>20</v>
      </c>
      <c r="AC3722">
        <v>12.2644999999999</v>
      </c>
      <c r="AD3722">
        <v>-1.12127777981</v>
      </c>
      <c r="AE3722">
        <v>-20.519099999999899</v>
      </c>
      <c r="AF3722">
        <v>-11.639774663427101</v>
      </c>
      <c r="AG3722">
        <v>-1.12127777981</v>
      </c>
      <c r="AH3722">
        <v>20.8197218342928</v>
      </c>
      <c r="AI3722">
        <v>92.691417318610306</v>
      </c>
      <c r="AJ3722">
        <v>119.20844062177299</v>
      </c>
      <c r="AK3722">
        <v>23.8789119377786</v>
      </c>
      <c r="AL3722">
        <v>93.631480943961293</v>
      </c>
      <c r="AM3722">
        <v>103.90005465377401</v>
      </c>
      <c r="AN3722">
        <v>0.99999996935342295</v>
      </c>
    </row>
    <row r="3723" spans="1:40" x14ac:dyDescent="0.25">
      <c r="A3723" t="str">
        <f>"20190303153840900"</f>
        <v>20190303153840900</v>
      </c>
      <c r="B3723" t="str">
        <f>"1551598720892358"</f>
        <v>1551598720892358</v>
      </c>
      <c r="C3723" t="s">
        <v>40</v>
      </c>
      <c r="D3723">
        <v>4.190048</v>
      </c>
      <c r="E3723">
        <v>0.39927970000000002</v>
      </c>
      <c r="F3723" t="s">
        <v>42</v>
      </c>
      <c r="G3723">
        <v>-479.947</v>
      </c>
      <c r="H3723">
        <v>6.0804169999999998E-2</v>
      </c>
      <c r="I3723">
        <v>229.79480000000001</v>
      </c>
      <c r="J3723">
        <v>-492.29809999999998</v>
      </c>
      <c r="K3723">
        <v>1.1212740000000001</v>
      </c>
      <c r="L3723">
        <v>250.42939999999999</v>
      </c>
      <c r="M3723">
        <v>2.8940690000000002E-2</v>
      </c>
      <c r="N3723">
        <v>-1.4305E-2</v>
      </c>
      <c r="O3723">
        <v>-0.99947889999999995</v>
      </c>
      <c r="P3723">
        <v>0.27196520000000002</v>
      </c>
      <c r="Q3723">
        <v>-7.7480439999999998E-2</v>
      </c>
      <c r="R3723">
        <v>-0.95918300000000001</v>
      </c>
      <c r="S3723">
        <v>1.5894469999999901</v>
      </c>
      <c r="T3723">
        <v>-0.13643259999999999</v>
      </c>
      <c r="U3723">
        <v>-2.6696930000000001</v>
      </c>
      <c r="V3723">
        <v>-0.244092</v>
      </c>
      <c r="W3723">
        <v>-6.3633140000000005E-2</v>
      </c>
      <c r="X3723">
        <v>0.96766209999999997</v>
      </c>
      <c r="Y3723">
        <v>-0.48606539999999998</v>
      </c>
      <c r="Z3723">
        <v>2.9999100000000001E-2</v>
      </c>
      <c r="AA3723">
        <v>0.87340739999999994</v>
      </c>
      <c r="AB3723">
        <v>20</v>
      </c>
      <c r="AC3723">
        <v>12.351100000000001</v>
      </c>
      <c r="AD3723">
        <v>-1.0604698299999999</v>
      </c>
      <c r="AE3723">
        <v>-20.634599999999899</v>
      </c>
      <c r="AF3723">
        <v>-11.7258834415242</v>
      </c>
      <c r="AG3723">
        <v>-1.0604698299999999</v>
      </c>
      <c r="AH3723">
        <v>20.9427170360639</v>
      </c>
      <c r="AI3723">
        <v>92.529833938906194</v>
      </c>
      <c r="AJ3723">
        <v>119.24458141477599</v>
      </c>
      <c r="AK3723">
        <v>24.025368584002901</v>
      </c>
      <c r="AL3723">
        <v>93.648375304528301</v>
      </c>
      <c r="AM3723">
        <v>104.157468754107</v>
      </c>
      <c r="AN3723">
        <v>1.00000001037333</v>
      </c>
    </row>
    <row r="3724" spans="1:40" x14ac:dyDescent="0.25">
      <c r="A3724" t="str">
        <f>"20190303153840913"</f>
        <v>20190303153840913</v>
      </c>
      <c r="B3724" t="str">
        <f>"1551598720902119"</f>
        <v>1551598720902119</v>
      </c>
      <c r="C3724" t="s">
        <v>40</v>
      </c>
      <c r="D3724">
        <v>4.2034919999999998</v>
      </c>
      <c r="E3724">
        <v>0.40072679999999999</v>
      </c>
      <c r="F3724" t="s">
        <v>42</v>
      </c>
      <c r="G3724">
        <v>-479.93459999999999</v>
      </c>
      <c r="H3724">
        <v>7.3178370000000006E-2</v>
      </c>
      <c r="I3724">
        <v>229.7193</v>
      </c>
      <c r="J3724">
        <v>-492.2944</v>
      </c>
      <c r="K3724">
        <v>1.121275</v>
      </c>
      <c r="L3724">
        <v>250.30369999999999</v>
      </c>
      <c r="M3724">
        <v>2.893662E-2</v>
      </c>
      <c r="N3724">
        <v>-1.430265E-2</v>
      </c>
      <c r="O3724">
        <v>-0.99947889999999995</v>
      </c>
      <c r="P3724">
        <v>0.27623569999999997</v>
      </c>
      <c r="Q3724">
        <v>-7.7921969999999993E-2</v>
      </c>
      <c r="R3724">
        <v>-0.9579259</v>
      </c>
      <c r="S3724">
        <v>1.591278</v>
      </c>
      <c r="T3724">
        <v>-0.13489779999999901</v>
      </c>
      <c r="U3724">
        <v>-2.6655579999999999</v>
      </c>
      <c r="V3724">
        <v>-0.24840119999999999</v>
      </c>
      <c r="W3724">
        <v>-6.4092899999999994E-2</v>
      </c>
      <c r="X3724">
        <v>0.96653449999999996</v>
      </c>
      <c r="Y3724">
        <v>-0.4871144</v>
      </c>
      <c r="Z3724">
        <v>2.9542829999999999E-2</v>
      </c>
      <c r="AA3724">
        <v>0.87283840000000001</v>
      </c>
      <c r="AB3724">
        <v>20</v>
      </c>
      <c r="AC3724">
        <v>12.3598</v>
      </c>
      <c r="AD3724">
        <v>-1.0480966300000001</v>
      </c>
      <c r="AE3724">
        <v>-20.584399999999899</v>
      </c>
      <c r="AF3724">
        <v>-11.736554941696699</v>
      </c>
      <c r="AG3724">
        <v>-1.0480966300000001</v>
      </c>
      <c r="AH3724">
        <v>20.8936523426955</v>
      </c>
      <c r="AI3724">
        <v>92.504269774710195</v>
      </c>
      <c r="AJ3724">
        <v>119.324152882863</v>
      </c>
      <c r="AK3724">
        <v>23.987286980038199</v>
      </c>
      <c r="AL3724">
        <v>93.674771541430204</v>
      </c>
      <c r="AM3724">
        <v>104.41319735910901</v>
      </c>
      <c r="AN3724">
        <v>0.99999999784104998</v>
      </c>
    </row>
    <row r="3725" spans="1:40" x14ac:dyDescent="0.25">
      <c r="A3725" t="str">
        <f>"20190303153840932"</f>
        <v>20190303153840932</v>
      </c>
      <c r="B3725" t="str">
        <f>"1551598720922614"</f>
        <v>1551598720922614</v>
      </c>
      <c r="C3725" t="s">
        <v>40</v>
      </c>
      <c r="D3725">
        <v>4.2204269999999999</v>
      </c>
      <c r="E3725">
        <v>0.40329749999999998</v>
      </c>
      <c r="F3725" t="s">
        <v>51</v>
      </c>
      <c r="G3725">
        <v>-479.8861</v>
      </c>
      <c r="H3725">
        <v>8.0001310000000006E-2</v>
      </c>
      <c r="I3725">
        <v>229.5583</v>
      </c>
      <c r="J3725">
        <v>-492.28949999999998</v>
      </c>
      <c r="K3725">
        <v>1.1212740000000001</v>
      </c>
      <c r="L3725">
        <v>250.13460000000001</v>
      </c>
      <c r="M3725">
        <v>2.893109E-2</v>
      </c>
      <c r="N3725">
        <v>-1.4299340000000001E-2</v>
      </c>
      <c r="O3725">
        <v>-0.99947940000000002</v>
      </c>
      <c r="P3725">
        <v>0.28453610000000001</v>
      </c>
      <c r="Q3725">
        <v>-7.8187499999999993E-2</v>
      </c>
      <c r="R3725">
        <v>-0.95547210000000005</v>
      </c>
      <c r="S3725">
        <v>1.5920719999999999</v>
      </c>
      <c r="T3725">
        <v>-0.13360259999999999</v>
      </c>
      <c r="U3725">
        <v>-2.6617739999999999</v>
      </c>
      <c r="V3725">
        <v>-0.25677420000000001</v>
      </c>
      <c r="W3725">
        <v>-6.4392920000000006E-2</v>
      </c>
      <c r="X3725">
        <v>0.96432390000000001</v>
      </c>
      <c r="Y3725">
        <v>-0.4878633</v>
      </c>
      <c r="Z3725">
        <v>2.9167189999999999E-2</v>
      </c>
      <c r="AA3725">
        <v>0.872432599999999</v>
      </c>
      <c r="AB3725">
        <v>20</v>
      </c>
      <c r="AC3725">
        <v>12.4033999999999</v>
      </c>
      <c r="AD3725">
        <v>-1.04127268999999</v>
      </c>
      <c r="AE3725">
        <v>-20.5763</v>
      </c>
      <c r="AF3725">
        <v>-11.780722928116299</v>
      </c>
      <c r="AG3725">
        <v>-1.04127268999999</v>
      </c>
      <c r="AH3725">
        <v>20.887331507574199</v>
      </c>
      <c r="AI3725">
        <v>92.486311416614399</v>
      </c>
      <c r="AJ3725">
        <v>119.42355592514301</v>
      </c>
      <c r="AK3725">
        <v>24.0031310255827</v>
      </c>
      <c r="AL3725">
        <v>93.691996955371707</v>
      </c>
      <c r="AM3725">
        <v>104.910400529447</v>
      </c>
      <c r="AN3725">
        <v>1.00000001102148</v>
      </c>
    </row>
    <row r="3726" spans="1:40" x14ac:dyDescent="0.25">
      <c r="A3726" t="str">
        <f>"20190303153840947"</f>
        <v>20190303153840947</v>
      </c>
      <c r="B3726" t="str">
        <f>"1551598720942134"</f>
        <v>1551598720942134</v>
      </c>
      <c r="C3726" t="s">
        <v>40</v>
      </c>
      <c r="D3726">
        <v>4.2330519999999998</v>
      </c>
      <c r="E3726">
        <v>0.40426220000000002</v>
      </c>
      <c r="F3726" t="s">
        <v>51</v>
      </c>
      <c r="G3726">
        <v>-479.4871</v>
      </c>
      <c r="H3726">
        <v>8.0001169999999996E-2</v>
      </c>
      <c r="I3726">
        <v>228.83580000000001</v>
      </c>
      <c r="J3726">
        <v>-492.28559999999999</v>
      </c>
      <c r="K3726">
        <v>1.1212789999999999</v>
      </c>
      <c r="L3726">
        <v>250.00219999999999</v>
      </c>
      <c r="M3726">
        <v>2.892695E-2</v>
      </c>
      <c r="N3726">
        <v>-1.429675E-2</v>
      </c>
      <c r="O3726">
        <v>-0.99947940000000002</v>
      </c>
      <c r="P3726">
        <v>0.2885587</v>
      </c>
      <c r="Q3726">
        <v>-7.8208860000000005E-2</v>
      </c>
      <c r="R3726">
        <v>-0.95426259999999996</v>
      </c>
      <c r="S3726">
        <v>1.5953059999999999</v>
      </c>
      <c r="T3726">
        <v>-0.1297529</v>
      </c>
      <c r="U3726">
        <v>-2.6540370000000002</v>
      </c>
      <c r="V3726">
        <v>-0.26083430000000002</v>
      </c>
      <c r="W3726">
        <v>-6.4432310000000007E-2</v>
      </c>
      <c r="X3726">
        <v>0.96323099999999995</v>
      </c>
      <c r="Y3726">
        <v>-0.48978699999999997</v>
      </c>
      <c r="Z3726">
        <v>2.7991729999999999E-2</v>
      </c>
      <c r="AA3726">
        <v>0.87139270000000002</v>
      </c>
      <c r="AB3726">
        <v>20</v>
      </c>
      <c r="AC3726">
        <v>12.798499999999899</v>
      </c>
      <c r="AD3726">
        <v>-1.0412778300000001</v>
      </c>
      <c r="AE3726">
        <v>-21.1663999999999</v>
      </c>
      <c r="AF3726">
        <v>-12.159252651284801</v>
      </c>
      <c r="AG3726">
        <v>-1.0412778300000001</v>
      </c>
      <c r="AH3726">
        <v>21.489716100797299</v>
      </c>
      <c r="AI3726">
        <v>92.414848035408198</v>
      </c>
      <c r="AJ3726">
        <v>119.501931336588</v>
      </c>
      <c r="AK3726">
        <v>24.713145948055502</v>
      </c>
      <c r="AL3726">
        <v>93.694258547499999</v>
      </c>
      <c r="AM3726">
        <v>105.151809051572</v>
      </c>
      <c r="AN3726">
        <v>1.0000000069947099</v>
      </c>
    </row>
    <row r="3727" spans="1:40" x14ac:dyDescent="0.25">
      <c r="A3727" t="str">
        <f>"20190303153840966"</f>
        <v>20190303153840966</v>
      </c>
      <c r="B3727" t="str">
        <f>"1551598720961654"</f>
        <v>1551598720961654</v>
      </c>
      <c r="C3727" t="s">
        <v>40</v>
      </c>
      <c r="D3727">
        <v>4.2261300000000004</v>
      </c>
      <c r="E3727">
        <v>0.41846549999999999</v>
      </c>
      <c r="F3727" t="s">
        <v>51</v>
      </c>
      <c r="G3727">
        <v>-479.1841</v>
      </c>
      <c r="H3727">
        <v>8.0001059999999999E-2</v>
      </c>
      <c r="I3727">
        <v>228.29650000000001</v>
      </c>
      <c r="J3727">
        <v>-492.28089999999997</v>
      </c>
      <c r="K3727">
        <v>1.1212789999999999</v>
      </c>
      <c r="L3727">
        <v>249.8409</v>
      </c>
      <c r="M3727">
        <v>2.8922070000000001E-2</v>
      </c>
      <c r="N3727">
        <v>-1.4293490000000001E-2</v>
      </c>
      <c r="O3727">
        <v>-0.99947940000000002</v>
      </c>
      <c r="P3727">
        <v>0.29640470000000002</v>
      </c>
      <c r="Q3727">
        <v>-7.8045379999999998E-2</v>
      </c>
      <c r="R3727">
        <v>-0.95186809999999999</v>
      </c>
      <c r="S3727">
        <v>1.59939599999999</v>
      </c>
      <c r="T3727">
        <v>-0.12711549999999999</v>
      </c>
      <c r="U3727">
        <v>-2.64975</v>
      </c>
      <c r="V3727">
        <v>-0.26875110000000002</v>
      </c>
      <c r="W3727">
        <v>-6.4302709999999999E-2</v>
      </c>
      <c r="X3727">
        <v>0.9610609</v>
      </c>
      <c r="Y3727">
        <v>-0.49141289999999999</v>
      </c>
      <c r="Z3727">
        <v>2.7161279999999999E-2</v>
      </c>
      <c r="AA3727">
        <v>0.87050309999999897</v>
      </c>
      <c r="AB3727">
        <v>20</v>
      </c>
      <c r="AC3727">
        <v>13.096799999999901</v>
      </c>
      <c r="AD3727">
        <v>-1.0412779400000001</v>
      </c>
      <c r="AE3727">
        <v>-21.5444</v>
      </c>
      <c r="AF3727">
        <v>-12.446917659999301</v>
      </c>
      <c r="AG3727">
        <v>-1.0412779400000001</v>
      </c>
      <c r="AH3727">
        <v>21.876896452169301</v>
      </c>
      <c r="AI3727">
        <v>92.368972744073702</v>
      </c>
      <c r="AJ3727">
        <v>119.63782565260399</v>
      </c>
      <c r="AK3727">
        <v>25.191439366619601</v>
      </c>
      <c r="AL3727">
        <v>93.686817525238496</v>
      </c>
      <c r="AM3727">
        <v>105.62311939515899</v>
      </c>
      <c r="AN3727">
        <v>1.0000000228866801</v>
      </c>
    </row>
    <row r="3728" spans="1:40" x14ac:dyDescent="0.25">
      <c r="A3728" t="str">
        <f>"20190303153840990"</f>
        <v>20190303153840990</v>
      </c>
      <c r="B3728" t="str">
        <f>"1551598720982151"</f>
        <v>1551598720982151</v>
      </c>
      <c r="C3728" t="s">
        <v>40</v>
      </c>
      <c r="D3728">
        <v>4.2324890000000002</v>
      </c>
      <c r="E3728">
        <v>0.42016530000000002</v>
      </c>
      <c r="F3728" t="s">
        <v>51</v>
      </c>
      <c r="G3728">
        <v>-477.6558</v>
      </c>
      <c r="H3728">
        <v>8.0000310000000005E-2</v>
      </c>
      <c r="I3728">
        <v>224.02529999999999</v>
      </c>
      <c r="J3728">
        <v>-492.2747</v>
      </c>
      <c r="K3728">
        <v>1.1212799999999901</v>
      </c>
      <c r="L3728">
        <v>249.62700000000001</v>
      </c>
      <c r="M3728">
        <v>2.8915690000000001E-2</v>
      </c>
      <c r="N3728">
        <v>-1.4289049999999999E-2</v>
      </c>
      <c r="O3728">
        <v>-0.99947980000000003</v>
      </c>
      <c r="P3728">
        <v>0.30385099999999998</v>
      </c>
      <c r="Q3728">
        <v>-7.754598E-2</v>
      </c>
      <c r="R3728">
        <v>-0.94955869999999998</v>
      </c>
      <c r="S3728">
        <v>1.5135190000000001</v>
      </c>
      <c r="T3728">
        <v>-0.10775949999999999</v>
      </c>
      <c r="U3728">
        <v>-2.6716000000000002</v>
      </c>
      <c r="V3728">
        <v>-0.27626709999999999</v>
      </c>
      <c r="W3728">
        <v>-6.3837270000000002E-2</v>
      </c>
      <c r="X3728">
        <v>0.95895839999999999</v>
      </c>
      <c r="Y3728">
        <v>-0.46728639999999999</v>
      </c>
      <c r="Z3728">
        <v>2.11357E-2</v>
      </c>
      <c r="AA3728">
        <v>0.88385329999999995</v>
      </c>
      <c r="AB3728">
        <v>20</v>
      </c>
      <c r="AC3728">
        <v>14.618899999999901</v>
      </c>
      <c r="AD3728">
        <v>-1.0412796900000001</v>
      </c>
      <c r="AE3728">
        <v>-25.601700000000001</v>
      </c>
      <c r="AF3728">
        <v>-13.8551354942469</v>
      </c>
      <c r="AG3728">
        <v>-1.0412796900000001</v>
      </c>
      <c r="AH3728">
        <v>25.981339935025598</v>
      </c>
      <c r="AI3728">
        <v>92.025353513857496</v>
      </c>
      <c r="AJ3728">
        <v>118.06977564104</v>
      </c>
      <c r="AK3728">
        <v>29.4631815623517</v>
      </c>
      <c r="AL3728">
        <v>93.660095103374204</v>
      </c>
      <c r="AM3728">
        <v>106.071204820459</v>
      </c>
      <c r="AN3728">
        <v>0.99999996025700999</v>
      </c>
    </row>
    <row r="3729" spans="1:40" x14ac:dyDescent="0.25">
      <c r="A3729" t="str">
        <f>"20190303153841012"</f>
        <v>20190303153841012</v>
      </c>
      <c r="B3729" t="str">
        <f>"1551598721001672"</f>
        <v>1551598721001672</v>
      </c>
      <c r="C3729" t="s">
        <v>40</v>
      </c>
      <c r="D3729">
        <v>4.2266320000000004</v>
      </c>
      <c r="E3729">
        <v>0.4214831</v>
      </c>
      <c r="F3729" t="s">
        <v>51</v>
      </c>
      <c r="G3729">
        <v>-476.19670000000002</v>
      </c>
      <c r="H3729">
        <v>8.0000459999999995E-2</v>
      </c>
      <c r="I3729">
        <v>221.46799999999999</v>
      </c>
      <c r="J3729">
        <v>-492.26909999999998</v>
      </c>
      <c r="K3729">
        <v>1.1212789999999999</v>
      </c>
      <c r="L3729">
        <v>249.43299999999999</v>
      </c>
      <c r="M3729">
        <v>2.8909870000000001E-2</v>
      </c>
      <c r="N3729">
        <v>-1.428493E-2</v>
      </c>
      <c r="O3729">
        <v>-0.99947980000000003</v>
      </c>
      <c r="P3729">
        <v>0.31063099999999999</v>
      </c>
      <c r="Q3729">
        <v>-7.7050530000000006E-2</v>
      </c>
      <c r="R3729">
        <v>-0.94740259999999998</v>
      </c>
      <c r="S3729">
        <v>1.5213620000000001</v>
      </c>
      <c r="T3729">
        <v>-9.853017E-2</v>
      </c>
      <c r="U3729">
        <v>-2.66452</v>
      </c>
      <c r="V3729">
        <v>-0.28311229999999998</v>
      </c>
      <c r="W3729">
        <v>-6.3373680000000002E-2</v>
      </c>
      <c r="X3729">
        <v>0.95699069999999997</v>
      </c>
      <c r="Y3729">
        <v>-0.47029729999999997</v>
      </c>
      <c r="Z3729">
        <v>1.8143900000000001E-2</v>
      </c>
      <c r="AA3729">
        <v>0.88232149999999998</v>
      </c>
      <c r="AB3729">
        <v>20</v>
      </c>
      <c r="AC3729">
        <v>16.072399999999899</v>
      </c>
      <c r="AD3729">
        <v>-1.04127854</v>
      </c>
      <c r="AE3729">
        <v>-27.965</v>
      </c>
      <c r="AF3729">
        <v>-15.2412492432129</v>
      </c>
      <c r="AG3729">
        <v>-1.04127854</v>
      </c>
      <c r="AH3729">
        <v>28.388421083230799</v>
      </c>
      <c r="AI3729">
        <v>91.850965439454299</v>
      </c>
      <c r="AJ3729">
        <v>118.23057713017</v>
      </c>
      <c r="AK3729">
        <v>32.237903019433901</v>
      </c>
      <c r="AL3729">
        <v>93.633479317946396</v>
      </c>
      <c r="AM3729">
        <v>106.48011373497501</v>
      </c>
      <c r="AN3729">
        <v>0.99999999880726098</v>
      </c>
    </row>
    <row r="3730" spans="1:40" x14ac:dyDescent="0.25">
      <c r="A3730" t="str">
        <f>"20190303153841037"</f>
        <v>20190303153841037</v>
      </c>
      <c r="B3730" t="str">
        <f>"1551598721031926"</f>
        <v>1551598721031926</v>
      </c>
      <c r="C3730" t="s">
        <v>40</v>
      </c>
      <c r="D3730">
        <v>4.1949670000000001</v>
      </c>
      <c r="E3730">
        <v>0.42368790000000001</v>
      </c>
      <c r="F3730" t="s">
        <v>51</v>
      </c>
      <c r="G3730">
        <v>-475.28070000000002</v>
      </c>
      <c r="H3730">
        <v>8.000053E-2</v>
      </c>
      <c r="I3730">
        <v>219.94409999999999</v>
      </c>
      <c r="J3730">
        <v>-492.26280000000003</v>
      </c>
      <c r="K3730">
        <v>1.1212819999999999</v>
      </c>
      <c r="L3730">
        <v>249.21279999999999</v>
      </c>
      <c r="M3730">
        <v>2.890303E-2</v>
      </c>
      <c r="N3730">
        <v>-1.428016E-2</v>
      </c>
      <c r="O3730">
        <v>-0.99948049999999999</v>
      </c>
      <c r="P3730">
        <v>0.317125299999999</v>
      </c>
      <c r="Q3730">
        <v>-7.6548480000000002E-2</v>
      </c>
      <c r="R3730">
        <v>-0.94528959999999995</v>
      </c>
      <c r="S3730">
        <v>1.5307010000000001</v>
      </c>
      <c r="T3730">
        <v>-9.3822119999999995E-2</v>
      </c>
      <c r="U3730">
        <v>-2.6570279999999999</v>
      </c>
      <c r="V3730">
        <v>-0.28967130000000002</v>
      </c>
      <c r="W3730">
        <v>-6.2903580000000001E-2</v>
      </c>
      <c r="X3730">
        <v>0.95505689999999999</v>
      </c>
      <c r="Y3730">
        <v>-0.473719</v>
      </c>
      <c r="Z3730">
        <v>1.6626640000000002E-2</v>
      </c>
      <c r="AA3730">
        <v>0.880519099999999</v>
      </c>
      <c r="AB3730">
        <v>20</v>
      </c>
      <c r="AC3730">
        <v>16.982099999999999</v>
      </c>
      <c r="AD3730">
        <v>-1.0412814699999999</v>
      </c>
      <c r="AE3730">
        <v>-29.2686999999999</v>
      </c>
      <c r="AF3730">
        <v>-16.1137052819148</v>
      </c>
      <c r="AG3730">
        <v>-1.0412814699999999</v>
      </c>
      <c r="AH3730">
        <v>29.719212039353199</v>
      </c>
      <c r="AI3730">
        <v>91.764219388130002</v>
      </c>
      <c r="AJ3730">
        <v>118.466472495386</v>
      </c>
      <c r="AK3730">
        <v>33.8225860816734</v>
      </c>
      <c r="AL3730">
        <v>93.606490710438905</v>
      </c>
      <c r="AM3730">
        <v>106.872690250305</v>
      </c>
      <c r="AN3730">
        <v>1.0000000023290501</v>
      </c>
    </row>
    <row r="3731" spans="1:40" x14ac:dyDescent="0.25">
      <c r="A3731" t="str">
        <f>"20190303153841054"</f>
        <v>20190303153841054</v>
      </c>
      <c r="B3731" t="str">
        <f>"1551598721041687"</f>
        <v>1551598721041687</v>
      </c>
      <c r="C3731" t="s">
        <v>40</v>
      </c>
      <c r="D3731">
        <v>4.2236789999999997</v>
      </c>
      <c r="E3731">
        <v>0.42412460000000002</v>
      </c>
      <c r="F3731" t="s">
        <v>51</v>
      </c>
      <c r="G3731">
        <v>-473.31990000000002</v>
      </c>
      <c r="H3731" s="1">
        <v>4.5650049999999998E-6</v>
      </c>
      <c r="I3731">
        <v>216.41909999999999</v>
      </c>
      <c r="J3731">
        <v>-492.25839999999999</v>
      </c>
      <c r="K3731">
        <v>1.1212879999999901</v>
      </c>
      <c r="L3731">
        <v>249.06229999999999</v>
      </c>
      <c r="M3731">
        <v>2.8898170000000001E-2</v>
      </c>
      <c r="N3731">
        <v>-1.4276840000000001E-2</v>
      </c>
      <c r="O3731">
        <v>-0.99948049999999999</v>
      </c>
      <c r="P3731">
        <v>0.3236348</v>
      </c>
      <c r="Q3731">
        <v>-7.5883679999999995E-2</v>
      </c>
      <c r="R3731">
        <v>-0.94313449999999999</v>
      </c>
      <c r="S3731">
        <v>1.5320739999999999</v>
      </c>
      <c r="T3731">
        <v>-9.0687509999999999E-2</v>
      </c>
      <c r="U3731">
        <v>-2.6523129999999999</v>
      </c>
      <c r="V3731">
        <v>-0.29624489999999998</v>
      </c>
      <c r="W3731">
        <v>-6.226988E-2</v>
      </c>
      <c r="X3731">
        <v>0.95307989999999998</v>
      </c>
      <c r="Y3731">
        <v>-0.47475230000000002</v>
      </c>
      <c r="Z3731">
        <v>1.563544E-2</v>
      </c>
      <c r="AA3731">
        <v>0.8799806</v>
      </c>
      <c r="AB3731">
        <v>20</v>
      </c>
      <c r="AC3731">
        <v>18.938499999999902</v>
      </c>
      <c r="AD3731">
        <v>-1.1212834349949901</v>
      </c>
      <c r="AE3731">
        <v>-32.6432</v>
      </c>
      <c r="AF3731">
        <v>-17.971299657923002</v>
      </c>
      <c r="AG3731">
        <v>-1.1212834349949901</v>
      </c>
      <c r="AH3731">
        <v>33.147646217241302</v>
      </c>
      <c r="AI3731">
        <v>91.703338192387704</v>
      </c>
      <c r="AJ3731">
        <v>118.46474033563599</v>
      </c>
      <c r="AK3731">
        <v>37.7225574117112</v>
      </c>
      <c r="AL3731">
        <v>93.570111285775596</v>
      </c>
      <c r="AM3731">
        <v>107.266761368251</v>
      </c>
      <c r="AN3731">
        <v>0.99999993725761505</v>
      </c>
    </row>
    <row r="3732" spans="1:40" x14ac:dyDescent="0.25">
      <c r="A3732" t="str">
        <f>"20190303153841069"</f>
        <v>20190303153841069</v>
      </c>
      <c r="B3732" t="str">
        <f>"1551598721062183"</f>
        <v>1551598721062183</v>
      </c>
      <c r="C3732" t="s">
        <v>40</v>
      </c>
      <c r="D3732">
        <v>4.1920330000000003</v>
      </c>
      <c r="E3732">
        <v>0.4245217</v>
      </c>
      <c r="F3732" t="s">
        <v>51</v>
      </c>
      <c r="G3732">
        <v>-472.6823</v>
      </c>
      <c r="H3732" s="1">
        <v>4.8127270000000002E-6</v>
      </c>
      <c r="I3732">
        <v>215.6174</v>
      </c>
      <c r="J3732">
        <v>-492.25459999999998</v>
      </c>
      <c r="K3732">
        <v>1.1212899999999999</v>
      </c>
      <c r="L3732">
        <v>248.9341</v>
      </c>
      <c r="M3732">
        <v>2.889427E-2</v>
      </c>
      <c r="N3732">
        <v>-1.427399E-2</v>
      </c>
      <c r="O3732">
        <v>-0.99948079999999995</v>
      </c>
      <c r="P3732">
        <v>0.326576599999999</v>
      </c>
      <c r="Q3732">
        <v>-7.518975E-2</v>
      </c>
      <c r="R3732">
        <v>-0.94217519999999999</v>
      </c>
      <c r="S3732">
        <v>1.546967</v>
      </c>
      <c r="T3732">
        <v>-8.8607430000000001E-2</v>
      </c>
      <c r="U3732">
        <v>-2.6429290000000001</v>
      </c>
      <c r="V3732">
        <v>-0.2992165</v>
      </c>
      <c r="W3732">
        <v>-6.1590989999999998E-2</v>
      </c>
      <c r="X3732">
        <v>0.95219529999999997</v>
      </c>
      <c r="Y3732">
        <v>-0.47980800000000001</v>
      </c>
      <c r="Z3732">
        <v>1.496488E-2</v>
      </c>
      <c r="AA3732">
        <v>0.87724590000000002</v>
      </c>
      <c r="AB3732">
        <v>20</v>
      </c>
      <c r="AC3732">
        <v>19.572299999999899</v>
      </c>
      <c r="AD3732">
        <v>-1.1212851872730001</v>
      </c>
      <c r="AE3732">
        <v>-33.316699999999997</v>
      </c>
      <c r="AF3732">
        <v>-18.585716277915299</v>
      </c>
      <c r="AG3732">
        <v>-1.1212851872730001</v>
      </c>
      <c r="AH3732">
        <v>33.839875713108498</v>
      </c>
      <c r="AI3732">
        <v>91.663569859136103</v>
      </c>
      <c r="AJ3732">
        <v>118.776704757342</v>
      </c>
      <c r="AK3732">
        <v>38.624128706198597</v>
      </c>
      <c r="AL3732">
        <v>93.531138979733896</v>
      </c>
      <c r="AM3732">
        <v>107.444730624465</v>
      </c>
      <c r="AN3732">
        <v>0.99999992663175696</v>
      </c>
    </row>
    <row r="3733" spans="1:40" x14ac:dyDescent="0.25">
      <c r="A3733" t="str">
        <f>"20190303153841092"</f>
        <v>20190303153841092</v>
      </c>
      <c r="B3733" t="str">
        <f>"1551598721081703"</f>
        <v>1551598721081703</v>
      </c>
      <c r="C3733" t="s">
        <v>40</v>
      </c>
      <c r="D3733">
        <v>4.3415970000000002</v>
      </c>
      <c r="E3733">
        <v>0.44883089999999998</v>
      </c>
      <c r="F3733" t="s">
        <v>51</v>
      </c>
      <c r="G3733">
        <v>-471.97859999999997</v>
      </c>
      <c r="H3733" s="1">
        <v>5.0737710000000003E-6</v>
      </c>
      <c r="I3733">
        <v>214.4504</v>
      </c>
      <c r="J3733">
        <v>-492.24869999999999</v>
      </c>
      <c r="K3733">
        <v>1.121305</v>
      </c>
      <c r="L3733">
        <v>248.72919999999999</v>
      </c>
      <c r="M3733">
        <v>2.888806E-2</v>
      </c>
      <c r="N3733">
        <v>-1.4269449999999999E-2</v>
      </c>
      <c r="O3733">
        <v>-0.99948079999999995</v>
      </c>
      <c r="P3733">
        <v>0.33238139999999999</v>
      </c>
      <c r="Q3733">
        <v>-7.2766010000000006E-2</v>
      </c>
      <c r="R3733">
        <v>-0.9403338</v>
      </c>
      <c r="S3733">
        <v>1.5519099999999999</v>
      </c>
      <c r="T3733">
        <v>-8.5822220000000005E-2</v>
      </c>
      <c r="U3733">
        <v>-2.6393589999999998</v>
      </c>
      <c r="V3733">
        <v>-0.30507830000000002</v>
      </c>
      <c r="W3733">
        <v>-5.919526E-2</v>
      </c>
      <c r="X3733">
        <v>0.95048580000000005</v>
      </c>
      <c r="Y3733">
        <v>-0.48156070000000001</v>
      </c>
      <c r="Z3733">
        <v>1.4060929999999999E-2</v>
      </c>
      <c r="AA3733">
        <v>0.87629990000000002</v>
      </c>
      <c r="AB3733">
        <v>20</v>
      </c>
      <c r="AC3733">
        <v>20.270099999999999</v>
      </c>
      <c r="AD3733">
        <v>-1.121299926229</v>
      </c>
      <c r="AE3733">
        <v>-34.278799999999897</v>
      </c>
      <c r="AF3733">
        <v>-19.256023555246301</v>
      </c>
      <c r="AG3733">
        <v>-1.121299926229</v>
      </c>
      <c r="AH3733">
        <v>34.822507096432801</v>
      </c>
      <c r="AI3733">
        <v>91.614113223626205</v>
      </c>
      <c r="AJ3733">
        <v>118.941556938077</v>
      </c>
      <c r="AK3733">
        <v>39.807772572273898</v>
      </c>
      <c r="AL3733">
        <v>93.393622279942406</v>
      </c>
      <c r="AM3733">
        <v>107.795119583288</v>
      </c>
      <c r="AN3733">
        <v>1.00000005196949</v>
      </c>
    </row>
    <row r="3734" spans="1:40" x14ac:dyDescent="0.25">
      <c r="A3734" t="str">
        <f>"20190303153841112"</f>
        <v>20190303153841112</v>
      </c>
      <c r="B3734" t="str">
        <f>"1551598721102603"</f>
        <v>1551598721102603</v>
      </c>
      <c r="C3734" t="s">
        <v>40</v>
      </c>
      <c r="D3734">
        <v>4.2597839999999998</v>
      </c>
      <c r="E3734">
        <v>0.45884839999999999</v>
      </c>
      <c r="F3734" t="s">
        <v>51</v>
      </c>
      <c r="G3734">
        <v>-472.57190000000003</v>
      </c>
      <c r="H3734" s="1">
        <v>4.6356280000000001E-6</v>
      </c>
      <c r="I3734">
        <v>210.44589999999999</v>
      </c>
      <c r="J3734">
        <v>-492.24369999999999</v>
      </c>
      <c r="K3734">
        <v>1.1213139999999999</v>
      </c>
      <c r="L3734">
        <v>248.55860000000001</v>
      </c>
      <c r="M3734">
        <v>2.8883019999999999E-2</v>
      </c>
      <c r="N3734">
        <v>-1.4265669999999999E-2</v>
      </c>
      <c r="O3734">
        <v>-0.99948099999999995</v>
      </c>
      <c r="P3734">
        <v>0.33735579999999998</v>
      </c>
      <c r="Q3734">
        <v>-6.9425609999999999E-2</v>
      </c>
      <c r="R3734">
        <v>-0.93881369999999997</v>
      </c>
      <c r="S3734">
        <v>1.3850100000000001</v>
      </c>
      <c r="T3734">
        <v>-7.8925969999999998E-2</v>
      </c>
      <c r="U3734">
        <v>-2.6946870000000001</v>
      </c>
      <c r="V3734">
        <v>-0.31009910000000002</v>
      </c>
      <c r="W3734">
        <v>-5.5878089999999998E-2</v>
      </c>
      <c r="X3734">
        <v>0.94906069999999998</v>
      </c>
      <c r="Y3734">
        <v>-0.43110009999999999</v>
      </c>
      <c r="Z3734">
        <v>1.2037269999999999E-2</v>
      </c>
      <c r="AA3734">
        <v>0.90222380000000002</v>
      </c>
      <c r="AB3734">
        <v>20</v>
      </c>
      <c r="AC3734">
        <v>19.671799999999902</v>
      </c>
      <c r="AD3734">
        <v>-1.121309364372</v>
      </c>
      <c r="AE3734">
        <v>-38.112699999999997</v>
      </c>
      <c r="AF3734">
        <v>-18.5499904349955</v>
      </c>
      <c r="AG3734">
        <v>-1.121309364372</v>
      </c>
      <c r="AH3734">
        <v>38.638625464960803</v>
      </c>
      <c r="AI3734">
        <v>91.498611530501407</v>
      </c>
      <c r="AJ3734">
        <v>115.645163831823</v>
      </c>
      <c r="AK3734">
        <v>42.875434197808097</v>
      </c>
      <c r="AL3734">
        <v>93.203247110128203</v>
      </c>
      <c r="AM3734">
        <v>108.094449860331</v>
      </c>
      <c r="AN3734">
        <v>1.0000000125236701</v>
      </c>
    </row>
    <row r="3735" spans="1:40" x14ac:dyDescent="0.25">
      <c r="A3735" t="str">
        <f>"20190303153841135"</f>
        <v>20190303153841135</v>
      </c>
      <c r="B3735" t="str">
        <f>"1551598721131880"</f>
        <v>1551598721131880</v>
      </c>
      <c r="C3735" t="s">
        <v>40</v>
      </c>
      <c r="D3735">
        <v>4.2595799999999997</v>
      </c>
      <c r="E3735">
        <v>0.46570899999999998</v>
      </c>
      <c r="F3735" t="s">
        <v>51</v>
      </c>
      <c r="G3735">
        <v>-471.57960000000003</v>
      </c>
      <c r="H3735">
        <v>8.0000039999999994E-2</v>
      </c>
      <c r="I3735">
        <v>206.1584</v>
      </c>
      <c r="J3735">
        <v>-492.23770000000002</v>
      </c>
      <c r="K3735">
        <v>1.121324</v>
      </c>
      <c r="L3735">
        <v>248.35230000000001</v>
      </c>
      <c r="M3735">
        <v>2.887725E-2</v>
      </c>
      <c r="N3735">
        <v>-1.4261029999999999E-2</v>
      </c>
      <c r="O3735">
        <v>-0.99948150000000002</v>
      </c>
      <c r="P3735">
        <v>0.34111180000000002</v>
      </c>
      <c r="Q3735">
        <v>-6.7197779999999999E-2</v>
      </c>
      <c r="R3735">
        <v>-0.93761799999999995</v>
      </c>
      <c r="S3735">
        <v>1.323242</v>
      </c>
      <c r="T3735">
        <v>-6.6681389999999993E-2</v>
      </c>
      <c r="U3735">
        <v>-2.7151339999999999</v>
      </c>
      <c r="V3735">
        <v>-0.31389309999999998</v>
      </c>
      <c r="W3735">
        <v>-5.367007E-2</v>
      </c>
      <c r="X3735">
        <v>0.94794020000000001</v>
      </c>
      <c r="Y3735">
        <v>-0.41184009999999999</v>
      </c>
      <c r="Z3735">
        <v>8.0349989999999993E-3</v>
      </c>
      <c r="AA3735">
        <v>0.91122069999999999</v>
      </c>
      <c r="AB3735">
        <v>20</v>
      </c>
      <c r="AC3735">
        <v>20.658099999999902</v>
      </c>
      <c r="AD3735">
        <v>-1.0413239599999999</v>
      </c>
      <c r="AE3735">
        <v>-42.193899999999999</v>
      </c>
      <c r="AF3735">
        <v>-19.421373854653801</v>
      </c>
      <c r="AG3735">
        <v>-1.0413239599999999</v>
      </c>
      <c r="AH3735">
        <v>42.751905413062701</v>
      </c>
      <c r="AI3735">
        <v>91.270402592431495</v>
      </c>
      <c r="AJ3735">
        <v>114.431390956651</v>
      </c>
      <c r="AK3735">
        <v>46.968069307130001</v>
      </c>
      <c r="AL3735">
        <v>93.076546725848303</v>
      </c>
      <c r="AM3735">
        <v>108.32134679627799</v>
      </c>
      <c r="AN3735">
        <v>0.99999998870872697</v>
      </c>
    </row>
    <row r="3736" spans="1:40" x14ac:dyDescent="0.25">
      <c r="A3736" t="str">
        <f>"20190303153841157"</f>
        <v>20190303153841157</v>
      </c>
      <c r="B3736" t="str">
        <f>"1551598721152376"</f>
        <v>1551598721152376</v>
      </c>
      <c r="C3736" t="s">
        <v>40</v>
      </c>
      <c r="D3736">
        <v>4.2217200000000004</v>
      </c>
      <c r="E3736">
        <v>0.4683795</v>
      </c>
      <c r="F3736" t="s">
        <v>43</v>
      </c>
      <c r="G3736">
        <v>-467.4624</v>
      </c>
      <c r="H3736">
        <v>-0.05</v>
      </c>
      <c r="I3736">
        <v>195.6456</v>
      </c>
      <c r="J3736">
        <v>-492.23250000000002</v>
      </c>
      <c r="K3736">
        <v>1.121332</v>
      </c>
      <c r="L3736">
        <v>248.17160000000001</v>
      </c>
      <c r="M3736">
        <v>2.8871750000000002E-2</v>
      </c>
      <c r="N3736">
        <v>-1.425684E-2</v>
      </c>
      <c r="O3736">
        <v>-0.99948150000000002</v>
      </c>
      <c r="P3736">
        <v>0.34364889999999998</v>
      </c>
      <c r="Q3736">
        <v>-6.577703E-2</v>
      </c>
      <c r="R3736">
        <v>-0.93679199999999996</v>
      </c>
      <c r="S3736">
        <v>1.2826229999999901</v>
      </c>
      <c r="T3736">
        <v>-6.0639739999999998E-2</v>
      </c>
      <c r="U3736">
        <v>-2.7286380000000001</v>
      </c>
      <c r="V3736">
        <v>-0.31645859999999998</v>
      </c>
      <c r="W3736">
        <v>-5.2264150000000002E-2</v>
      </c>
      <c r="X3736">
        <v>0.94716549999999999</v>
      </c>
      <c r="Y3736">
        <v>-0.39899590000000001</v>
      </c>
      <c r="Z3736">
        <v>6.0566930000000001E-3</v>
      </c>
      <c r="AA3736">
        <v>0.91693270000000004</v>
      </c>
      <c r="AB3736">
        <v>19</v>
      </c>
      <c r="AC3736">
        <v>24.770099999999999</v>
      </c>
      <c r="AD3736">
        <v>-1.171332</v>
      </c>
      <c r="AE3736">
        <v>-52.526000000000003</v>
      </c>
      <c r="AF3736">
        <v>-23.233648307549199</v>
      </c>
      <c r="AG3736">
        <v>-1.171332</v>
      </c>
      <c r="AH3736">
        <v>53.197685594505003</v>
      </c>
      <c r="AI3736">
        <v>91.155957570814493</v>
      </c>
      <c r="AJ3736">
        <v>113.592900862417</v>
      </c>
      <c r="AK3736">
        <v>58.061761813993499</v>
      </c>
      <c r="AL3736">
        <v>92.995880060127206</v>
      </c>
      <c r="AM3736">
        <v>108.475050989282</v>
      </c>
      <c r="AN3736">
        <v>1.0000000356397101</v>
      </c>
    </row>
    <row r="3737" spans="1:40" x14ac:dyDescent="0.25">
      <c r="A3737" t="str">
        <f>"20190303153841179"</f>
        <v>20190303153841179</v>
      </c>
      <c r="B3737" t="str">
        <f>"1551598721171897"</f>
        <v>1551598721171897</v>
      </c>
      <c r="C3737" t="s">
        <v>40</v>
      </c>
      <c r="D3737">
        <v>4.2460990000000001</v>
      </c>
      <c r="E3737">
        <v>0.47025790000000001</v>
      </c>
      <c r="F3737" t="s">
        <v>64</v>
      </c>
      <c r="G3737">
        <v>-468.625</v>
      </c>
      <c r="H3737">
        <v>0.1245165</v>
      </c>
      <c r="I3737">
        <v>197.345</v>
      </c>
      <c r="J3737">
        <v>-492.22680000000003</v>
      </c>
      <c r="K3737">
        <v>1.1213390000000001</v>
      </c>
      <c r="L3737">
        <v>247.9727</v>
      </c>
      <c r="M3737">
        <v>2.886557E-2</v>
      </c>
      <c r="N3737">
        <v>-1.425221E-2</v>
      </c>
      <c r="O3737">
        <v>-0.99948199999999998</v>
      </c>
      <c r="P3737">
        <v>0.34567310000000001</v>
      </c>
      <c r="Q3737">
        <v>-6.5061900000000006E-2</v>
      </c>
      <c r="R3737">
        <v>-0.93609710000000002</v>
      </c>
      <c r="S3737">
        <v>1.269409</v>
      </c>
      <c r="T3737">
        <v>-5.3597930000000002E-2</v>
      </c>
      <c r="U3737">
        <v>-2.7330019999999999</v>
      </c>
      <c r="V3737">
        <v>-0.31850729999999999</v>
      </c>
      <c r="W3737">
        <v>-5.1562490000000002E-2</v>
      </c>
      <c r="X3737">
        <v>0.94651700000000005</v>
      </c>
      <c r="Y3737">
        <v>-0.39480579999999998</v>
      </c>
      <c r="Z3737">
        <v>3.7209840000000001E-3</v>
      </c>
      <c r="AA3737">
        <v>0.91875709999999999</v>
      </c>
      <c r="AB3737">
        <v>19</v>
      </c>
      <c r="AC3737">
        <v>23.601800000000001</v>
      </c>
      <c r="AD3737">
        <v>-0.99682249999999895</v>
      </c>
      <c r="AE3737">
        <v>-50.627699999999997</v>
      </c>
      <c r="AF3737">
        <v>-22.1233724222337</v>
      </c>
      <c r="AG3737">
        <v>-0.99682249999999895</v>
      </c>
      <c r="AH3737">
        <v>51.2716198487336</v>
      </c>
      <c r="AI3737">
        <v>91.022682400183101</v>
      </c>
      <c r="AJ3737">
        <v>113.339885391659</v>
      </c>
      <c r="AK3737">
        <v>55.849944174926598</v>
      </c>
      <c r="AL3737">
        <v>92.955623695235502</v>
      </c>
      <c r="AM3737">
        <v>108.598321793792</v>
      </c>
      <c r="AN3737">
        <v>1.00000001090864</v>
      </c>
    </row>
    <row r="3738" spans="1:40" x14ac:dyDescent="0.25">
      <c r="A3738" t="str">
        <f>"20190303153841201"</f>
        <v>20190303153841201</v>
      </c>
      <c r="B3738" t="str">
        <f>"1551598721192396"</f>
        <v>1551598721192396</v>
      </c>
      <c r="C3738" t="s">
        <v>40</v>
      </c>
      <c r="D3738">
        <v>4.2587729999999997</v>
      </c>
      <c r="E3738">
        <v>0.47165800000000002</v>
      </c>
      <c r="F3738" t="s">
        <v>64</v>
      </c>
      <c r="G3738">
        <v>-468.88979999999998</v>
      </c>
      <c r="H3738">
        <v>0.18122150000000001</v>
      </c>
      <c r="I3738">
        <v>197.345</v>
      </c>
      <c r="J3738">
        <v>-492.22129999999999</v>
      </c>
      <c r="K3738">
        <v>1.121343</v>
      </c>
      <c r="L3738">
        <v>247.7842</v>
      </c>
      <c r="M3738">
        <v>2.8859659999999999E-2</v>
      </c>
      <c r="N3738">
        <v>-1.4247849999999999E-2</v>
      </c>
      <c r="O3738">
        <v>-0.99948219999999999</v>
      </c>
      <c r="P3738">
        <v>0.34716570000000002</v>
      </c>
      <c r="Q3738">
        <v>-6.4515900000000001E-2</v>
      </c>
      <c r="R3738">
        <v>-0.93558249999999998</v>
      </c>
      <c r="S3738">
        <v>1.2609859999999999</v>
      </c>
      <c r="T3738">
        <v>-5.079591E-2</v>
      </c>
      <c r="U3738">
        <v>-2.7355960000000001</v>
      </c>
      <c r="V3738">
        <v>-0.32002000000000003</v>
      </c>
      <c r="W3738">
        <v>-5.1027240000000001E-2</v>
      </c>
      <c r="X3738">
        <v>0.94603559999999998</v>
      </c>
      <c r="Y3738">
        <v>-0.39215060000000002</v>
      </c>
      <c r="Z3738">
        <v>2.7958739999999998E-3</v>
      </c>
      <c r="AA3738">
        <v>0.91989679999999996</v>
      </c>
      <c r="AB3738">
        <v>19</v>
      </c>
      <c r="AC3738">
        <v>23.331499999999998</v>
      </c>
      <c r="AD3738">
        <v>-0.94012150000000005</v>
      </c>
      <c r="AE3738">
        <v>-50.4392</v>
      </c>
      <c r="AF3738">
        <v>-21.859718703795501</v>
      </c>
      <c r="AG3738">
        <v>-0.94012150000000005</v>
      </c>
      <c r="AH3738">
        <v>51.076977090445901</v>
      </c>
      <c r="AI3738">
        <v>90.969432591613597</v>
      </c>
      <c r="AJ3738">
        <v>113.169760990192</v>
      </c>
      <c r="AK3738">
        <v>55.5660752522775</v>
      </c>
      <c r="AL3738">
        <v>92.924915829221803</v>
      </c>
      <c r="AM3738">
        <v>108.689382447406</v>
      </c>
      <c r="AN3738">
        <v>0.99999996804468805</v>
      </c>
    </row>
    <row r="3739" spans="1:40" x14ac:dyDescent="0.25">
      <c r="A3739" t="str">
        <f>"20190303153841215"</f>
        <v>20190303153841215</v>
      </c>
      <c r="B3739" t="str">
        <f>"1551598721202153"</f>
        <v>1551598721202153</v>
      </c>
      <c r="C3739" t="s">
        <v>40</v>
      </c>
      <c r="D3739">
        <v>4.2580019999999896</v>
      </c>
      <c r="E3739">
        <v>0.47228819999999999</v>
      </c>
      <c r="F3739" t="s">
        <v>64</v>
      </c>
      <c r="G3739">
        <v>-469.09519999999998</v>
      </c>
      <c r="H3739">
        <v>0.17057130000000001</v>
      </c>
      <c r="I3739">
        <v>197.345</v>
      </c>
      <c r="J3739">
        <v>-492.21789999999999</v>
      </c>
      <c r="K3739">
        <v>1.121343</v>
      </c>
      <c r="L3739">
        <v>247.66550000000001</v>
      </c>
      <c r="M3739">
        <v>2.885596E-2</v>
      </c>
      <c r="N3739">
        <v>-1.424508E-2</v>
      </c>
      <c r="O3739">
        <v>-0.99948199999999998</v>
      </c>
      <c r="P3739">
        <v>0.34781770000000001</v>
      </c>
      <c r="Q3739">
        <v>-6.4347979999999999E-2</v>
      </c>
      <c r="R3739">
        <v>-0.93535140000000006</v>
      </c>
      <c r="S3739">
        <v>1.2550349999999999</v>
      </c>
      <c r="T3739">
        <v>-5.1595330000000002E-2</v>
      </c>
      <c r="U3739">
        <v>-2.7372740000000002</v>
      </c>
      <c r="V3739">
        <v>-0.32068210000000003</v>
      </c>
      <c r="W3739">
        <v>-5.0864890000000003E-2</v>
      </c>
      <c r="X3739">
        <v>0.9458202</v>
      </c>
      <c r="Y3739">
        <v>-0.390287</v>
      </c>
      <c r="Z3739">
        <v>3.0699009999999999E-3</v>
      </c>
      <c r="AA3739">
        <v>0.92068819999999996</v>
      </c>
      <c r="AB3739">
        <v>19</v>
      </c>
      <c r="AC3739">
        <v>23.122699999999998</v>
      </c>
      <c r="AD3739">
        <v>-0.950771699999999</v>
      </c>
      <c r="AE3739">
        <v>-50.320500000000003</v>
      </c>
      <c r="AF3739">
        <v>-21.6544926722672</v>
      </c>
      <c r="AG3739">
        <v>-0.950771699999999</v>
      </c>
      <c r="AH3739">
        <v>50.951818299600703</v>
      </c>
      <c r="AI3739">
        <v>90.9838765420686</v>
      </c>
      <c r="AJ3739">
        <v>113.025463334374</v>
      </c>
      <c r="AK3739">
        <v>55.370649334772303</v>
      </c>
      <c r="AL3739">
        <v>92.915601529108599</v>
      </c>
      <c r="AM3739">
        <v>108.72932401615699</v>
      </c>
      <c r="AN3739">
        <v>1.0000000485115801</v>
      </c>
    </row>
    <row r="3740" spans="1:40" x14ac:dyDescent="0.25">
      <c r="A3740" t="str">
        <f>"20190303153841234"</f>
        <v>20190303153841234</v>
      </c>
      <c r="B3740" t="str">
        <f>"1551598721221672"</f>
        <v>1551598721221672</v>
      </c>
      <c r="C3740" t="s">
        <v>40</v>
      </c>
      <c r="D3740">
        <v>4.2806660000000001</v>
      </c>
      <c r="E3740">
        <v>0.47333249999999999</v>
      </c>
      <c r="F3740" t="s">
        <v>64</v>
      </c>
      <c r="G3740">
        <v>-469.2054</v>
      </c>
      <c r="H3740">
        <v>0.15462779999999901</v>
      </c>
      <c r="I3740">
        <v>197.345</v>
      </c>
      <c r="J3740">
        <v>-492.21319999999997</v>
      </c>
      <c r="K3740">
        <v>1.1213409999999999</v>
      </c>
      <c r="L3740">
        <v>247.50370000000001</v>
      </c>
      <c r="M3740">
        <v>2.8851000000000002E-2</v>
      </c>
      <c r="N3740">
        <v>-1.424127E-2</v>
      </c>
      <c r="O3740">
        <v>-0.99948269999999995</v>
      </c>
      <c r="P3740">
        <v>0.34844720000000001</v>
      </c>
      <c r="Q3740">
        <v>-6.4805310000000005E-2</v>
      </c>
      <c r="R3740">
        <v>-0.93508599999999997</v>
      </c>
      <c r="S3740">
        <v>1.252197</v>
      </c>
      <c r="T3740">
        <v>-5.2600380000000002E-2</v>
      </c>
      <c r="U3740">
        <v>-2.7381129999999998</v>
      </c>
      <c r="V3740">
        <v>-0.32132329999999998</v>
      </c>
      <c r="W3740">
        <v>-5.1329230000000003E-2</v>
      </c>
      <c r="X3740">
        <v>0.94557740000000001</v>
      </c>
      <c r="Y3740">
        <v>-0.38939449999999998</v>
      </c>
      <c r="Z3740">
        <v>3.411126E-3</v>
      </c>
      <c r="AA3740">
        <v>0.92106480000000002</v>
      </c>
      <c r="AB3740">
        <v>19</v>
      </c>
      <c r="AC3740">
        <v>23.0077999999999</v>
      </c>
      <c r="AD3740">
        <v>-0.96671320000000005</v>
      </c>
      <c r="AE3740">
        <v>-50.158700000000003</v>
      </c>
      <c r="AF3740">
        <v>-21.544334077981201</v>
      </c>
      <c r="AG3740">
        <v>-0.96671320000000005</v>
      </c>
      <c r="AH3740">
        <v>50.7860956056712</v>
      </c>
      <c r="AI3740">
        <v>91.003915885480893</v>
      </c>
      <c r="AJ3740">
        <v>112.98749084383699</v>
      </c>
      <c r="AK3740">
        <v>55.175360190424598</v>
      </c>
      <c r="AL3740">
        <v>92.942241233280896</v>
      </c>
      <c r="AM3740">
        <v>108.768635393727</v>
      </c>
      <c r="AN3740">
        <v>0.99999998618302099</v>
      </c>
    </row>
    <row r="3741" spans="1:40" x14ac:dyDescent="0.25">
      <c r="A3741" t="str">
        <f>"20190303153841249"</f>
        <v>20190303153841249</v>
      </c>
      <c r="B3741" t="str">
        <f>"1551598721242168"</f>
        <v>1551598721242168</v>
      </c>
      <c r="C3741" t="s">
        <v>40</v>
      </c>
      <c r="D3741">
        <v>4.2541289999999998</v>
      </c>
      <c r="E3741">
        <v>0.47424480000000002</v>
      </c>
      <c r="F3741" t="s">
        <v>64</v>
      </c>
      <c r="G3741">
        <v>-469.4742</v>
      </c>
      <c r="H3741">
        <v>0.20062489999999999</v>
      </c>
      <c r="I3741">
        <v>197.51820000000001</v>
      </c>
      <c r="J3741">
        <v>-492.20949999999999</v>
      </c>
      <c r="K3741">
        <v>1.121346</v>
      </c>
      <c r="L3741">
        <v>247.37479999999999</v>
      </c>
      <c r="M3741">
        <v>2.8847060000000001E-2</v>
      </c>
      <c r="N3741">
        <v>-1.423818E-2</v>
      </c>
      <c r="O3741">
        <v>-0.99948269999999995</v>
      </c>
      <c r="P3741">
        <v>0.34899989999999997</v>
      </c>
      <c r="Q3741">
        <v>-6.4875059999999998E-2</v>
      </c>
      <c r="R3741">
        <v>-0.93487489999999995</v>
      </c>
      <c r="S3741">
        <v>1.2465820000000001</v>
      </c>
      <c r="T3741">
        <v>-5.0472499999999997E-2</v>
      </c>
      <c r="U3741">
        <v>-2.7402500000000001</v>
      </c>
      <c r="V3741">
        <v>-0.32188559999999999</v>
      </c>
      <c r="W3741">
        <v>-5.1404699999999998E-2</v>
      </c>
      <c r="X3741">
        <v>0.9453821</v>
      </c>
      <c r="Y3741">
        <v>-0.38756629999999997</v>
      </c>
      <c r="Z3741">
        <v>2.7050310000000001E-3</v>
      </c>
      <c r="AA3741">
        <v>0.92183789999999999</v>
      </c>
      <c r="AB3741">
        <v>19</v>
      </c>
      <c r="AC3741">
        <v>22.735299999999899</v>
      </c>
      <c r="AD3741">
        <v>-0.92072109999999996</v>
      </c>
      <c r="AE3741">
        <v>-49.856599999999901</v>
      </c>
      <c r="AF3741">
        <v>-21.281466281481801</v>
      </c>
      <c r="AG3741">
        <v>-0.92072109999999996</v>
      </c>
      <c r="AH3741">
        <v>50.477508710587699</v>
      </c>
      <c r="AI3741">
        <v>90.962909665248603</v>
      </c>
      <c r="AJ3741">
        <v>112.86043135381</v>
      </c>
      <c r="AK3741">
        <v>54.788022596743602</v>
      </c>
      <c r="AL3741">
        <v>92.946570877090807</v>
      </c>
      <c r="AM3741">
        <v>108.80278512670699</v>
      </c>
      <c r="AN3741">
        <v>1.0000000488349201</v>
      </c>
    </row>
    <row r="3742" spans="1:40" x14ac:dyDescent="0.25">
      <c r="A3742" t="str">
        <f>"20190303153841261"</f>
        <v>20190303153841261</v>
      </c>
      <c r="B3742" t="str">
        <f>"1551598721251929"</f>
        <v>1551598721251929</v>
      </c>
      <c r="C3742" t="s">
        <v>40</v>
      </c>
      <c r="D3742">
        <v>4.3204840000000004</v>
      </c>
      <c r="E3742">
        <v>0.4746494</v>
      </c>
      <c r="F3742" t="s">
        <v>64</v>
      </c>
      <c r="G3742">
        <v>-469.64</v>
      </c>
      <c r="H3742">
        <v>0.13129089999999999</v>
      </c>
      <c r="I3742">
        <v>197.51820000000001</v>
      </c>
      <c r="J3742">
        <v>-492.20620000000002</v>
      </c>
      <c r="K3742">
        <v>1.121345</v>
      </c>
      <c r="L3742">
        <v>247.26169999999999</v>
      </c>
      <c r="M3742">
        <v>2.8843569999999999E-2</v>
      </c>
      <c r="N3742">
        <v>-1.423543E-2</v>
      </c>
      <c r="O3742">
        <v>-0.99948269999999995</v>
      </c>
      <c r="P3742">
        <v>0.34914329999999999</v>
      </c>
      <c r="Q3742">
        <v>-6.5563339999999998E-2</v>
      </c>
      <c r="R3742">
        <v>-0.93477319999999997</v>
      </c>
      <c r="S3742">
        <v>1.2412110000000001</v>
      </c>
      <c r="T3742">
        <v>-5.4445859999999999E-2</v>
      </c>
      <c r="U3742">
        <v>-2.7418520000000002</v>
      </c>
      <c r="V3742">
        <v>-0.32203549999999997</v>
      </c>
      <c r="W3742">
        <v>-5.2096910000000003E-2</v>
      </c>
      <c r="X3742">
        <v>0.9452931</v>
      </c>
      <c r="Y3742">
        <v>-0.38586330000000002</v>
      </c>
      <c r="Z3742">
        <v>4.0380210000000001E-3</v>
      </c>
      <c r="AA3742">
        <v>0.92254720000000001</v>
      </c>
      <c r="AB3742">
        <v>19</v>
      </c>
      <c r="AC3742">
        <v>22.566199999999998</v>
      </c>
      <c r="AD3742">
        <v>-0.99005409999999905</v>
      </c>
      <c r="AE3742">
        <v>-49.743499999999898</v>
      </c>
      <c r="AF3742">
        <v>-21.114947006524201</v>
      </c>
      <c r="AG3742">
        <v>-0.99005409999999905</v>
      </c>
      <c r="AH3742">
        <v>50.357211390308002</v>
      </c>
      <c r="AI3742">
        <v>91.038730182259002</v>
      </c>
      <c r="AJ3742">
        <v>112.748467006167</v>
      </c>
      <c r="AK3742">
        <v>54.613825476864598</v>
      </c>
      <c r="AL3742">
        <v>92.9862849546289</v>
      </c>
      <c r="AM3742">
        <v>108.812572282003</v>
      </c>
      <c r="AN3742">
        <v>0.99999999809970397</v>
      </c>
    </row>
    <row r="3743" spans="1:40" x14ac:dyDescent="0.25">
      <c r="A3743" t="str">
        <f>"20190303153841278"</f>
        <v>20190303153841278</v>
      </c>
      <c r="B3743" t="str">
        <f>"1551598721272424"</f>
        <v>1551598721272424</v>
      </c>
      <c r="C3743" t="s">
        <v>40</v>
      </c>
      <c r="D3743">
        <v>4.324535</v>
      </c>
      <c r="E3743">
        <v>0.4753135</v>
      </c>
      <c r="F3743" t="s">
        <v>43</v>
      </c>
      <c r="G3743">
        <v>-467.41520000000003</v>
      </c>
      <c r="H3743">
        <v>-0.05</v>
      </c>
      <c r="I3743">
        <v>192.3715</v>
      </c>
      <c r="J3743">
        <v>-492.2022</v>
      </c>
      <c r="K3743">
        <v>1.121343</v>
      </c>
      <c r="L3743">
        <v>247.12180000000001</v>
      </c>
      <c r="M3743">
        <v>2.8839210000000001E-2</v>
      </c>
      <c r="N3743">
        <v>-1.423201E-2</v>
      </c>
      <c r="O3743">
        <v>-0.99948269999999995</v>
      </c>
      <c r="P3743">
        <v>0.34823599999999999</v>
      </c>
      <c r="Q3743">
        <v>-6.6515679999999994E-2</v>
      </c>
      <c r="R3743">
        <v>-0.93504410000000004</v>
      </c>
      <c r="S3743">
        <v>1.2386779999999999</v>
      </c>
      <c r="T3743">
        <v>-5.8525800000000003E-2</v>
      </c>
      <c r="U3743">
        <v>-2.742569</v>
      </c>
      <c r="V3743">
        <v>-0.32112499999999999</v>
      </c>
      <c r="W3743">
        <v>-5.3048919999999999E-2</v>
      </c>
      <c r="X3743">
        <v>0.94554990000000005</v>
      </c>
      <c r="Y3743">
        <v>-0.38506309999999999</v>
      </c>
      <c r="Z3743">
        <v>5.4058839999999997E-3</v>
      </c>
      <c r="AA3743">
        <v>0.92287439999999998</v>
      </c>
      <c r="AB3743">
        <v>19</v>
      </c>
      <c r="AC3743">
        <v>24.7869999999999</v>
      </c>
      <c r="AD3743">
        <v>-1.171343</v>
      </c>
      <c r="AE3743">
        <v>-54.750300000000003</v>
      </c>
      <c r="AF3743">
        <v>-23.1887642511577</v>
      </c>
      <c r="AG3743">
        <v>-1.171343</v>
      </c>
      <c r="AH3743">
        <v>55.421380400550497</v>
      </c>
      <c r="AI3743">
        <v>91.116974663977402</v>
      </c>
      <c r="AJ3743">
        <v>112.70483786022901</v>
      </c>
      <c r="AK3743">
        <v>60.0884368029486</v>
      </c>
      <c r="AL3743">
        <v>93.040906541220906</v>
      </c>
      <c r="AM3743">
        <v>108.758370298169</v>
      </c>
      <c r="AN3743">
        <v>1.00000003346408</v>
      </c>
    </row>
    <row r="3744" spans="1:40" x14ac:dyDescent="0.25">
      <c r="A3744" t="str">
        <f>"20190303153841301"</f>
        <v>20190303153841301</v>
      </c>
      <c r="B3744" t="str">
        <f>"1551598721291945"</f>
        <v>1551598721291945</v>
      </c>
      <c r="C3744" t="s">
        <v>40</v>
      </c>
      <c r="D3744">
        <v>4.3660959999999998</v>
      </c>
      <c r="E3744">
        <v>0.47598000000000001</v>
      </c>
      <c r="F3744" t="s">
        <v>43</v>
      </c>
      <c r="G3744">
        <v>-470.03559999999999</v>
      </c>
      <c r="H3744">
        <v>-0.05</v>
      </c>
      <c r="I3744">
        <v>197.6968</v>
      </c>
      <c r="J3744">
        <v>-492.19630000000001</v>
      </c>
      <c r="K3744">
        <v>1.1213409999999999</v>
      </c>
      <c r="L3744">
        <v>246.91810000000001</v>
      </c>
      <c r="M3744">
        <v>2.8832859999999998E-2</v>
      </c>
      <c r="N3744">
        <v>-1.422702E-2</v>
      </c>
      <c r="O3744">
        <v>-0.99948320000000002</v>
      </c>
      <c r="P3744">
        <v>0.34797159999999999</v>
      </c>
      <c r="Q3744">
        <v>-6.6752969999999995E-2</v>
      </c>
      <c r="R3744">
        <v>-0.93512600000000001</v>
      </c>
      <c r="S3744">
        <v>1.231201</v>
      </c>
      <c r="T3744">
        <v>-6.5060140000000002E-2</v>
      </c>
      <c r="U3744">
        <v>-2.7452239999999999</v>
      </c>
      <c r="V3744">
        <v>-0.32086429999999999</v>
      </c>
      <c r="W3744">
        <v>-5.3289789999999997E-2</v>
      </c>
      <c r="X3744">
        <v>0.94562480000000004</v>
      </c>
      <c r="Y3744">
        <v>-0.38263150000000001</v>
      </c>
      <c r="Z3744">
        <v>7.5961369999999898E-3</v>
      </c>
      <c r="AA3744">
        <v>0.92386979999999996</v>
      </c>
      <c r="AB3744">
        <v>19</v>
      </c>
      <c r="AC3744">
        <v>22.160699999999999</v>
      </c>
      <c r="AD3744">
        <v>-1.171341</v>
      </c>
      <c r="AE3744">
        <v>-49.221299999999999</v>
      </c>
      <c r="AF3744">
        <v>-20.722392966078001</v>
      </c>
      <c r="AG3744">
        <v>-1.171341</v>
      </c>
      <c r="AH3744">
        <v>49.8163957488729</v>
      </c>
      <c r="AI3744">
        <v>91.243683525661794</v>
      </c>
      <c r="AJ3744">
        <v>112.58610683925301</v>
      </c>
      <c r="AK3744">
        <v>53.967239093612797</v>
      </c>
      <c r="AL3744">
        <v>93.054727082725606</v>
      </c>
      <c r="AM3744">
        <v>108.742824569341</v>
      </c>
      <c r="AN3744">
        <v>0.99999998155388603</v>
      </c>
    </row>
    <row r="3745" spans="1:40" x14ac:dyDescent="0.25">
      <c r="A3745" t="str">
        <f>"20190303153841323"</f>
        <v>20190303153841323</v>
      </c>
      <c r="B3745" t="str">
        <f>"1551598721312443"</f>
        <v>1551598721312443</v>
      </c>
      <c r="C3745" t="s">
        <v>40</v>
      </c>
      <c r="D3745">
        <v>4.3377530000000002</v>
      </c>
      <c r="E3745">
        <v>0.47612729999999998</v>
      </c>
      <c r="F3745" t="s">
        <v>51</v>
      </c>
      <c r="G3745">
        <v>-473.76299999999998</v>
      </c>
      <c r="H3745">
        <v>7.9999580000000001E-2</v>
      </c>
      <c r="I3745">
        <v>205.60599999999999</v>
      </c>
      <c r="J3745">
        <v>-492.19119999999998</v>
      </c>
      <c r="K3745">
        <v>1.1213340000000001</v>
      </c>
      <c r="L3745">
        <v>246.74</v>
      </c>
      <c r="M3745">
        <v>2.882703E-2</v>
      </c>
      <c r="N3745">
        <v>-1.422266E-2</v>
      </c>
      <c r="O3745">
        <v>-0.99948340000000002</v>
      </c>
      <c r="P3745">
        <v>0.34817870000000001</v>
      </c>
      <c r="Q3745">
        <v>-6.6758200000000004E-2</v>
      </c>
      <c r="R3745">
        <v>-0.93504849999999995</v>
      </c>
      <c r="S3745">
        <v>1.2257389999999999</v>
      </c>
      <c r="T3745">
        <v>-6.9244979999999998E-2</v>
      </c>
      <c r="U3745">
        <v>-2.7470859999999999</v>
      </c>
      <c r="V3745">
        <v>-0.32107869999999999</v>
      </c>
      <c r="W3745">
        <v>-5.3300300000000002E-2</v>
      </c>
      <c r="X3745">
        <v>0.94555149999999999</v>
      </c>
      <c r="Y3745">
        <v>-0.38086370000000003</v>
      </c>
      <c r="Z3745">
        <v>9.0010530000000002E-3</v>
      </c>
      <c r="AA3745">
        <v>0.92458739999999995</v>
      </c>
      <c r="AB3745">
        <v>19</v>
      </c>
      <c r="AC3745">
        <v>18.428199999999901</v>
      </c>
      <c r="AD3745">
        <v>-1.0413344200000001</v>
      </c>
      <c r="AE3745">
        <v>-41.134</v>
      </c>
      <c r="AF3745">
        <v>-17.225455012774699</v>
      </c>
      <c r="AG3745">
        <v>-1.0413344200000001</v>
      </c>
      <c r="AH3745">
        <v>41.625967751299598</v>
      </c>
      <c r="AI3745">
        <v>91.324182009019694</v>
      </c>
      <c r="AJ3745">
        <v>112.480511631293</v>
      </c>
      <c r="AK3745">
        <v>45.061312331129898</v>
      </c>
      <c r="AL3745">
        <v>93.055329920207001</v>
      </c>
      <c r="AM3745">
        <v>108.755825314056</v>
      </c>
      <c r="AN3745">
        <v>1.0000000463630101</v>
      </c>
    </row>
    <row r="3746" spans="1:40" x14ac:dyDescent="0.25">
      <c r="A3746" t="str">
        <f>"20190303153841345"</f>
        <v>20190303153841345</v>
      </c>
      <c r="B3746" t="str">
        <f>"1551598721341720"</f>
        <v>1551598721341720</v>
      </c>
      <c r="C3746" t="s">
        <v>40</v>
      </c>
      <c r="D3746">
        <v>4.3780099999999997</v>
      </c>
      <c r="E3746">
        <v>0.4762768</v>
      </c>
      <c r="F3746" t="s">
        <v>51</v>
      </c>
      <c r="G3746">
        <v>-474.5059</v>
      </c>
      <c r="H3746">
        <v>7.9999559999999997E-2</v>
      </c>
      <c r="I3746">
        <v>207.0907</v>
      </c>
      <c r="J3746">
        <v>-492.1857</v>
      </c>
      <c r="K3746">
        <v>1.121335</v>
      </c>
      <c r="L3746">
        <v>246.54820000000001</v>
      </c>
      <c r="M3746">
        <v>2.8820930000000002E-2</v>
      </c>
      <c r="N3746">
        <v>-1.421796E-2</v>
      </c>
      <c r="O3746">
        <v>-0.99948340000000002</v>
      </c>
      <c r="P3746">
        <v>0.34914279999999998</v>
      </c>
      <c r="Q3746">
        <v>-6.6532270000000004E-2</v>
      </c>
      <c r="R3746">
        <v>-0.93470450000000005</v>
      </c>
      <c r="S3746">
        <v>1.2252809999999901</v>
      </c>
      <c r="T3746">
        <v>-7.2146420000000003E-2</v>
      </c>
      <c r="U3746">
        <v>-2.7470089999999998</v>
      </c>
      <c r="V3746">
        <v>-0.32205840000000002</v>
      </c>
      <c r="W3746">
        <v>-5.3083360000000003E-2</v>
      </c>
      <c r="X3746">
        <v>0.94523040000000003</v>
      </c>
      <c r="Y3746">
        <v>-0.38074419999999998</v>
      </c>
      <c r="Z3746">
        <v>9.9767320000000003E-3</v>
      </c>
      <c r="AA3746">
        <v>0.92462659999999997</v>
      </c>
      <c r="AB3746">
        <v>19</v>
      </c>
      <c r="AC3746">
        <v>17.6798</v>
      </c>
      <c r="AD3746">
        <v>-1.0413354399999999</v>
      </c>
      <c r="AE3746">
        <v>-39.457500000000003</v>
      </c>
      <c r="AF3746">
        <v>-16.5255516870557</v>
      </c>
      <c r="AG3746">
        <v>-1.0413354399999999</v>
      </c>
      <c r="AH3746">
        <v>39.927545657663998</v>
      </c>
      <c r="AI3746">
        <v>91.3804537638337</v>
      </c>
      <c r="AJ3746">
        <v>112.484100635559</v>
      </c>
      <c r="AK3746">
        <v>43.224844017127403</v>
      </c>
      <c r="AL3746">
        <v>93.042882746971003</v>
      </c>
      <c r="AM3746">
        <v>108.81497611981401</v>
      </c>
      <c r="AN3746">
        <v>0.99999998260180401</v>
      </c>
    </row>
    <row r="3747" spans="1:40" x14ac:dyDescent="0.25">
      <c r="A3747" t="str">
        <f>"20190303153841370"</f>
        <v>20190303153841370</v>
      </c>
      <c r="B3747" t="str">
        <f>"1551598721362216"</f>
        <v>1551598721362216</v>
      </c>
      <c r="C3747" t="s">
        <v>40</v>
      </c>
      <c r="D3747">
        <v>4.4230929999999997</v>
      </c>
      <c r="E3747">
        <v>0.47652509999999998</v>
      </c>
      <c r="F3747" t="s">
        <v>51</v>
      </c>
      <c r="G3747">
        <v>-474.57659999999998</v>
      </c>
      <c r="H3747">
        <v>7.9999550000000003E-2</v>
      </c>
      <c r="I3747">
        <v>207.13149999999999</v>
      </c>
      <c r="J3747">
        <v>-492.1798</v>
      </c>
      <c r="K3747">
        <v>1.1213329999999999</v>
      </c>
      <c r="L3747">
        <v>246.34559999999999</v>
      </c>
      <c r="M3747">
        <v>2.88151E-2</v>
      </c>
      <c r="N3747">
        <v>-1.421295E-2</v>
      </c>
      <c r="O3747">
        <v>-0.99948389999999998</v>
      </c>
      <c r="P3747">
        <v>0.34997119999999998</v>
      </c>
      <c r="Q3747">
        <v>-6.6107970000000002E-2</v>
      </c>
      <c r="R3747">
        <v>-0.93442510000000001</v>
      </c>
      <c r="S3747">
        <v>1.226807</v>
      </c>
      <c r="T3747">
        <v>-7.2548989999999994E-2</v>
      </c>
      <c r="U3747">
        <v>-2.746124</v>
      </c>
      <c r="V3747">
        <v>-0.32290010000000002</v>
      </c>
      <c r="W3747">
        <v>-5.2667249999999999E-2</v>
      </c>
      <c r="X3747">
        <v>0.94496650000000004</v>
      </c>
      <c r="Y3747">
        <v>-0.38128770000000001</v>
      </c>
      <c r="Z3747">
        <v>1.011797E-2</v>
      </c>
      <c r="AA3747">
        <v>0.92440100000000003</v>
      </c>
      <c r="AB3747">
        <v>19</v>
      </c>
      <c r="AC3747">
        <v>17.603200000000001</v>
      </c>
      <c r="AD3747">
        <v>-1.04133345</v>
      </c>
      <c r="AE3747">
        <v>-39.214100000000002</v>
      </c>
      <c r="AF3747">
        <v>-16.456158615964501</v>
      </c>
      <c r="AG3747">
        <v>-1.04133345</v>
      </c>
      <c r="AH3747">
        <v>39.681813085204901</v>
      </c>
      <c r="AI3747">
        <v>91.388596603479797</v>
      </c>
      <c r="AJ3747">
        <v>112.52392156268</v>
      </c>
      <c r="AK3747">
        <v>42.971337208388199</v>
      </c>
      <c r="AL3747">
        <v>93.019007949266793</v>
      </c>
      <c r="AM3747">
        <v>108.865571769079</v>
      </c>
      <c r="AN3747">
        <v>0.99999999996241096</v>
      </c>
    </row>
    <row r="3748" spans="1:40" x14ac:dyDescent="0.25">
      <c r="A3748" t="str">
        <f>"20190303153841392"</f>
        <v>20190303153841392</v>
      </c>
      <c r="B3748" t="str">
        <f>"1551598721381741"</f>
        <v>1551598721381741</v>
      </c>
      <c r="C3748" t="s">
        <v>40</v>
      </c>
      <c r="D3748">
        <v>4.5946619999999996</v>
      </c>
      <c r="E3748">
        <v>0.51739449999999998</v>
      </c>
      <c r="F3748" t="s">
        <v>51</v>
      </c>
      <c r="G3748">
        <v>-474.68369999999999</v>
      </c>
      <c r="H3748">
        <v>7.9999539999999994E-2</v>
      </c>
      <c r="I3748">
        <v>207.21299999999999</v>
      </c>
      <c r="J3748">
        <v>-492.17430000000002</v>
      </c>
      <c r="K3748">
        <v>1.1213390000000001</v>
      </c>
      <c r="L3748">
        <v>246.15649999999999</v>
      </c>
      <c r="M3748">
        <v>2.8809310000000001E-2</v>
      </c>
      <c r="N3748">
        <v>-1.420828E-2</v>
      </c>
      <c r="O3748">
        <v>-0.99948389999999998</v>
      </c>
      <c r="P3748">
        <v>0.34985460000000002</v>
      </c>
      <c r="Q3748">
        <v>-6.5415429999999997E-2</v>
      </c>
      <c r="R3748">
        <v>-0.93451740000000005</v>
      </c>
      <c r="S3748">
        <v>1.2275389999999999</v>
      </c>
      <c r="T3748">
        <v>-7.3060990000000006E-2</v>
      </c>
      <c r="U3748">
        <v>-2.7455750000000001</v>
      </c>
      <c r="V3748">
        <v>-0.32278659999999998</v>
      </c>
      <c r="W3748">
        <v>-5.1977839999999997E-2</v>
      </c>
      <c r="X3748">
        <v>0.94504339999999998</v>
      </c>
      <c r="Y3748">
        <v>-0.38156620000000002</v>
      </c>
      <c r="Z3748">
        <v>1.029542E-2</v>
      </c>
      <c r="AA3748">
        <v>0.9242842</v>
      </c>
      <c r="AB3748">
        <v>19</v>
      </c>
      <c r="AC3748">
        <v>17.490600000000001</v>
      </c>
      <c r="AD3748">
        <v>-1.0413394600000001</v>
      </c>
      <c r="AE3748">
        <v>-38.9435</v>
      </c>
      <c r="AF3748">
        <v>-16.351560871938499</v>
      </c>
      <c r="AG3748">
        <v>-1.0413394600000001</v>
      </c>
      <c r="AH3748">
        <v>39.407827851831797</v>
      </c>
      <c r="AI3748">
        <v>91.398141871255206</v>
      </c>
      <c r="AJ3748">
        <v>112.53511640417</v>
      </c>
      <c r="AK3748">
        <v>42.6782711320324</v>
      </c>
      <c r="AL3748">
        <v>92.979453614697704</v>
      </c>
      <c r="AM3748">
        <v>108.857983095965</v>
      </c>
      <c r="AN3748">
        <v>0.99999995643709105</v>
      </c>
    </row>
    <row r="3749" spans="1:40" x14ac:dyDescent="0.25">
      <c r="A3749" t="str">
        <f>"20190303153841412"</f>
        <v>20190303153841412</v>
      </c>
      <c r="B3749" t="str">
        <f>"1551598721402236"</f>
        <v>1551598721402236</v>
      </c>
      <c r="C3749" t="s">
        <v>40</v>
      </c>
      <c r="D3749">
        <v>4.7218080000000002</v>
      </c>
      <c r="E3749">
        <v>0.53033699999999995</v>
      </c>
      <c r="F3749" t="s">
        <v>51</v>
      </c>
      <c r="G3749">
        <v>-479.67450000000002</v>
      </c>
      <c r="H3749">
        <v>7.9999630000000002E-2</v>
      </c>
      <c r="I3749">
        <v>207.38310000000001</v>
      </c>
      <c r="J3749">
        <v>-492.16899999999998</v>
      </c>
      <c r="K3749">
        <v>1.1213569999999999</v>
      </c>
      <c r="L3749">
        <v>245.9727</v>
      </c>
      <c r="M3749">
        <v>2.8803789999999999E-2</v>
      </c>
      <c r="N3749">
        <v>-1.4203729999999999E-2</v>
      </c>
      <c r="O3749">
        <v>-0.99948440000000005</v>
      </c>
      <c r="P3749">
        <v>0.35054429999999998</v>
      </c>
      <c r="Q3749">
        <v>-6.2821429999999998E-2</v>
      </c>
      <c r="R3749">
        <v>-0.93443699999999996</v>
      </c>
      <c r="S3749">
        <v>0.92190550000000004</v>
      </c>
      <c r="T3749">
        <v>-7.6802250000000002E-2</v>
      </c>
      <c r="U3749">
        <v>-2.8596650000000001</v>
      </c>
      <c r="V3749">
        <v>-0.32348329999999997</v>
      </c>
      <c r="W3749">
        <v>-4.9389160000000001E-2</v>
      </c>
      <c r="X3749">
        <v>0.94494400000000001</v>
      </c>
      <c r="Y3749">
        <v>-0.2791902</v>
      </c>
      <c r="Z3749">
        <v>1.151023E-2</v>
      </c>
      <c r="AA3749">
        <v>0.96016679999999999</v>
      </c>
      <c r="AB3749">
        <v>19</v>
      </c>
      <c r="AC3749">
        <v>12.4945</v>
      </c>
      <c r="AD3749">
        <v>-1.0413573699999901</v>
      </c>
      <c r="AE3749">
        <v>-38.589599999999898</v>
      </c>
      <c r="AF3749">
        <v>-11.370181904966</v>
      </c>
      <c r="AG3749">
        <v>-1.0413573699999901</v>
      </c>
      <c r="AH3749">
        <v>38.907865707591597</v>
      </c>
      <c r="AI3749">
        <v>91.471616033834493</v>
      </c>
      <c r="AJ3749">
        <v>106.290131273078</v>
      </c>
      <c r="AK3749">
        <v>40.548581672409398</v>
      </c>
      <c r="AL3749">
        <v>92.8309422775271</v>
      </c>
      <c r="AM3749">
        <v>108.897647608657</v>
      </c>
      <c r="AN3749">
        <v>0.99999994882019605</v>
      </c>
    </row>
    <row r="3750" spans="1:40" x14ac:dyDescent="0.25">
      <c r="A3750" t="str">
        <f>"20190303153841434"</f>
        <v>20190303153841434</v>
      </c>
      <c r="B3750" t="str">
        <f>"1551598721432488"</f>
        <v>1551598721432488</v>
      </c>
      <c r="C3750" t="s">
        <v>40</v>
      </c>
      <c r="D3750">
        <v>4.5878420000000002</v>
      </c>
      <c r="E3750">
        <v>0.61580970000000002</v>
      </c>
      <c r="F3750" t="s">
        <v>51</v>
      </c>
      <c r="G3750">
        <v>-479.76420000000002</v>
      </c>
      <c r="H3750">
        <v>7.9999529999999999E-2</v>
      </c>
      <c r="I3750">
        <v>202.5446</v>
      </c>
      <c r="J3750">
        <v>-492.16390000000001</v>
      </c>
      <c r="K3750">
        <v>1.121375</v>
      </c>
      <c r="L3750">
        <v>245.79499999999999</v>
      </c>
      <c r="M3750">
        <v>2.8798420000000002E-2</v>
      </c>
      <c r="N3750">
        <v>-1.419932E-2</v>
      </c>
      <c r="O3750">
        <v>-0.99948440000000005</v>
      </c>
      <c r="P3750">
        <v>0.35138429999999998</v>
      </c>
      <c r="Q3750">
        <v>-5.9618869999999997E-2</v>
      </c>
      <c r="R3750">
        <v>-0.93433120000000003</v>
      </c>
      <c r="S3750">
        <v>0.82708740000000003</v>
      </c>
      <c r="T3750">
        <v>-6.9432140000000003E-2</v>
      </c>
      <c r="U3750">
        <v>-2.8955540000000002</v>
      </c>
      <c r="V3750">
        <v>-0.32433040000000002</v>
      </c>
      <c r="W3750">
        <v>-4.6192209999999997E-2</v>
      </c>
      <c r="X3750">
        <v>0.94481530000000002</v>
      </c>
      <c r="Y3750">
        <v>-0.24677289999999999</v>
      </c>
      <c r="Z3750">
        <v>8.9836659999999995E-3</v>
      </c>
      <c r="AA3750">
        <v>0.96903170000000005</v>
      </c>
      <c r="AB3750">
        <v>19</v>
      </c>
      <c r="AC3750">
        <v>12.3996999999999</v>
      </c>
      <c r="AD3750">
        <v>-1.04137547</v>
      </c>
      <c r="AE3750">
        <v>-43.2503999999999</v>
      </c>
      <c r="AF3750">
        <v>-11.1429179476887</v>
      </c>
      <c r="AG3750">
        <v>-1.04137547</v>
      </c>
      <c r="AH3750">
        <v>43.566246748467996</v>
      </c>
      <c r="AI3750">
        <v>91.326606704030894</v>
      </c>
      <c r="AJ3750">
        <v>104.346942447556</v>
      </c>
      <c r="AK3750">
        <v>44.980739644950702</v>
      </c>
      <c r="AL3750">
        <v>92.647560934197202</v>
      </c>
      <c r="AM3750">
        <v>108.946006646459</v>
      </c>
      <c r="AN3750">
        <v>0.99999993987146496</v>
      </c>
    </row>
    <row r="3751" spans="1:40" x14ac:dyDescent="0.25">
      <c r="A3751" t="str">
        <f>"20190303153841456"</f>
        <v>20190303153841456</v>
      </c>
      <c r="B3751" t="str">
        <f>"1551598721452008"</f>
        <v>1551598721452008</v>
      </c>
      <c r="C3751" t="s">
        <v>40</v>
      </c>
      <c r="D3751">
        <v>4.5879099999999999</v>
      </c>
      <c r="E3751">
        <v>0.620753</v>
      </c>
      <c r="F3751" t="s">
        <v>51</v>
      </c>
      <c r="G3751">
        <v>-490.25700000000001</v>
      </c>
      <c r="H3751" s="1">
        <v>3.2568089999999999E-6</v>
      </c>
      <c r="I3751">
        <v>214.46690000000001</v>
      </c>
      <c r="J3751">
        <v>-492.1585</v>
      </c>
      <c r="K3751">
        <v>1.1213930000000001</v>
      </c>
      <c r="L3751">
        <v>245.60730000000001</v>
      </c>
      <c r="M3751">
        <v>2.879263E-2</v>
      </c>
      <c r="N3751">
        <v>-1.419466E-2</v>
      </c>
      <c r="O3751">
        <v>-0.99948459999999995</v>
      </c>
      <c r="P3751">
        <v>0.35155579999999997</v>
      </c>
      <c r="Q3751">
        <v>-5.5903029999999999E-2</v>
      </c>
      <c r="R3751">
        <v>-0.93449629999999995</v>
      </c>
      <c r="S3751">
        <v>0.19064329999999999</v>
      </c>
      <c r="T3751">
        <v>-0.11210879999999999</v>
      </c>
      <c r="U3751">
        <v>-3.1320190000000001</v>
      </c>
      <c r="V3751">
        <v>-0.32450289999999998</v>
      </c>
      <c r="W3751">
        <v>-4.2478790000000002E-2</v>
      </c>
      <c r="X3751">
        <v>0.94493039999999995</v>
      </c>
      <c r="Y3751">
        <v>-3.1963770000000002E-2</v>
      </c>
      <c r="Z3751">
        <v>2.153037E-2</v>
      </c>
      <c r="AA3751">
        <v>0.99925710000000001</v>
      </c>
      <c r="AB3751">
        <v>19</v>
      </c>
      <c r="AC3751">
        <v>1.9015000000000499</v>
      </c>
      <c r="AD3751">
        <v>-1.121389743191</v>
      </c>
      <c r="AE3751">
        <v>-31.1404</v>
      </c>
      <c r="AF3751">
        <v>-1.0027116582740001</v>
      </c>
      <c r="AG3751">
        <v>-1.121389743191</v>
      </c>
      <c r="AH3751">
        <v>31.1420073119296</v>
      </c>
      <c r="AI3751">
        <v>92.0612003051599</v>
      </c>
      <c r="AJ3751">
        <v>91.844174795328101</v>
      </c>
      <c r="AK3751">
        <v>31.178318829629902</v>
      </c>
      <c r="AL3751">
        <v>92.434587892172402</v>
      </c>
      <c r="AM3751">
        <v>108.953220077455</v>
      </c>
      <c r="AN3751">
        <v>1.00000002027621</v>
      </c>
    </row>
    <row r="3752" spans="1:40" x14ac:dyDescent="0.25">
      <c r="A3752" t="str">
        <f>"20190303153841480"</f>
        <v>20190303153841480</v>
      </c>
      <c r="B3752" t="str">
        <f>"1551598721472504"</f>
        <v>1551598721472504</v>
      </c>
      <c r="C3752" t="s">
        <v>40</v>
      </c>
      <c r="D3752">
        <v>4.5712780000000004</v>
      </c>
      <c r="E3752">
        <v>0.622618</v>
      </c>
      <c r="F3752" t="s">
        <v>51</v>
      </c>
      <c r="G3752">
        <v>-490.33100000000002</v>
      </c>
      <c r="H3752" s="1">
        <v>2.7018289999999999E-6</v>
      </c>
      <c r="I3752">
        <v>208.44479999999999</v>
      </c>
      <c r="J3752">
        <v>-492.15280000000001</v>
      </c>
      <c r="K3752">
        <v>1.1214040000000001</v>
      </c>
      <c r="L3752">
        <v>245.40889999999999</v>
      </c>
      <c r="M3752">
        <v>2.8786389999999999E-2</v>
      </c>
      <c r="N3752">
        <v>-1.4189729999999999E-2</v>
      </c>
      <c r="O3752">
        <v>-0.99948479999999995</v>
      </c>
      <c r="P3752">
        <v>0.35119850000000002</v>
      </c>
      <c r="Q3752">
        <v>-5.4153100000000003E-2</v>
      </c>
      <c r="R3752">
        <v>-0.93473379999999995</v>
      </c>
      <c r="S3752">
        <v>0.1547241</v>
      </c>
      <c r="T3752">
        <v>-9.4943280000000005E-2</v>
      </c>
      <c r="U3752">
        <v>-3.1463930000000002</v>
      </c>
      <c r="V3752">
        <v>-0.3241444</v>
      </c>
      <c r="W3752">
        <v>-4.0730580000000002E-2</v>
      </c>
      <c r="X3752">
        <v>0.94513040000000004</v>
      </c>
      <c r="Y3752">
        <v>-2.0328189999999999E-2</v>
      </c>
      <c r="Z3752">
        <v>1.594522E-2</v>
      </c>
      <c r="AA3752">
        <v>0.99966619999999995</v>
      </c>
      <c r="AB3752">
        <v>19</v>
      </c>
      <c r="AC3752">
        <v>1.82180000000005</v>
      </c>
      <c r="AD3752">
        <v>-1.121401298171</v>
      </c>
      <c r="AE3752">
        <v>-36.964100000000002</v>
      </c>
      <c r="AF3752">
        <v>-0.75618038250606401</v>
      </c>
      <c r="AG3752">
        <v>-1.121401298171</v>
      </c>
      <c r="AH3752">
        <v>36.967285714405598</v>
      </c>
      <c r="AI3752">
        <v>91.737169425524201</v>
      </c>
      <c r="AJ3752">
        <v>91.1718443020237</v>
      </c>
      <c r="AK3752">
        <v>36.9920202575221</v>
      </c>
      <c r="AL3752">
        <v>92.334336018174</v>
      </c>
      <c r="AM3752">
        <v>108.930052050239</v>
      </c>
      <c r="AN3752">
        <v>1.0000000226013199</v>
      </c>
    </row>
    <row r="3753" spans="1:40" x14ac:dyDescent="0.25">
      <c r="A3753" t="str">
        <f>"20190303153841502"</f>
        <v>20190303153841502</v>
      </c>
      <c r="B3753" t="str">
        <f>"1551598721492024"</f>
        <v>1551598721492024</v>
      </c>
      <c r="C3753" t="s">
        <v>40</v>
      </c>
      <c r="D3753">
        <v>4.6403879999999997</v>
      </c>
      <c r="E3753">
        <v>0.62332460000000001</v>
      </c>
      <c r="F3753" t="s">
        <v>51</v>
      </c>
      <c r="G3753">
        <v>-490.47590000000002</v>
      </c>
      <c r="H3753" s="1">
        <v>2.3767110000000001E-6</v>
      </c>
      <c r="I3753">
        <v>207.43680000000001</v>
      </c>
      <c r="J3753">
        <v>-492.14729999999997</v>
      </c>
      <c r="K3753">
        <v>1.121405</v>
      </c>
      <c r="L3753">
        <v>245.21639999999999</v>
      </c>
      <c r="M3753">
        <v>2.8780340000000001E-2</v>
      </c>
      <c r="N3753">
        <v>-1.418495E-2</v>
      </c>
      <c r="O3753">
        <v>-0.99948510000000002</v>
      </c>
      <c r="P3753">
        <v>0.3495742</v>
      </c>
      <c r="Q3753">
        <v>-5.3787849999999998E-2</v>
      </c>
      <c r="R3753">
        <v>-0.93536350000000001</v>
      </c>
      <c r="S3753">
        <v>0.1391907</v>
      </c>
      <c r="T3753">
        <v>-9.307849E-2</v>
      </c>
      <c r="U3753">
        <v>-3.151764</v>
      </c>
      <c r="V3753">
        <v>-0.32250869999999998</v>
      </c>
      <c r="W3753">
        <v>-4.036174E-2</v>
      </c>
      <c r="X3753">
        <v>0.94570560000000004</v>
      </c>
      <c r="Y3753">
        <v>-1.533637E-2</v>
      </c>
      <c r="Z3753">
        <v>1.531215E-2</v>
      </c>
      <c r="AA3753">
        <v>0.99976520000000002</v>
      </c>
      <c r="AB3753">
        <v>19</v>
      </c>
      <c r="AC3753">
        <v>1.67139999999994</v>
      </c>
      <c r="AD3753">
        <v>-1.121402623289</v>
      </c>
      <c r="AE3753">
        <v>-37.779599999999903</v>
      </c>
      <c r="AF3753">
        <v>-0.58277589169521404</v>
      </c>
      <c r="AG3753">
        <v>-1.121402623289</v>
      </c>
      <c r="AH3753">
        <v>37.778834712731502</v>
      </c>
      <c r="AI3753">
        <v>91.700029674332001</v>
      </c>
      <c r="AJ3753">
        <v>90.883773972201297</v>
      </c>
      <c r="AK3753">
        <v>37.799967246485103</v>
      </c>
      <c r="AL3753">
        <v>92.313185687240605</v>
      </c>
      <c r="AM3753">
        <v>108.83062947610399</v>
      </c>
      <c r="AN3753">
        <v>1.0000000067514301</v>
      </c>
    </row>
    <row r="3754" spans="1:40" x14ac:dyDescent="0.25">
      <c r="A3754" t="str">
        <f>"20190303153841524"</f>
        <v>20190303153841524</v>
      </c>
      <c r="B3754" t="str">
        <f>"1551598721512524"</f>
        <v>1551598721512524</v>
      </c>
      <c r="C3754" t="s">
        <v>40</v>
      </c>
      <c r="D3754">
        <v>4.6621670000000002</v>
      </c>
      <c r="E3754">
        <v>0.62342529999999996</v>
      </c>
      <c r="F3754" t="s">
        <v>51</v>
      </c>
      <c r="G3754">
        <v>-490.71800000000002</v>
      </c>
      <c r="H3754" s="1">
        <v>2.9827459999999998E-6</v>
      </c>
      <c r="I3754">
        <v>210.06790000000001</v>
      </c>
      <c r="J3754">
        <v>-492.14240000000001</v>
      </c>
      <c r="K3754">
        <v>1.1213959999999901</v>
      </c>
      <c r="L3754">
        <v>245.0444</v>
      </c>
      <c r="M3754">
        <v>2.8774999999999998E-2</v>
      </c>
      <c r="N3754">
        <v>-1.4180730000000001E-2</v>
      </c>
      <c r="O3754">
        <v>-0.99948559999999997</v>
      </c>
      <c r="P3754">
        <v>0.34717740000000002</v>
      </c>
      <c r="Q3754">
        <v>-5.524341E-2</v>
      </c>
      <c r="R3754">
        <v>-0.93617110000000003</v>
      </c>
      <c r="S3754">
        <v>0.12823490000000001</v>
      </c>
      <c r="T3754">
        <v>-0.10061440000000001</v>
      </c>
      <c r="U3754">
        <v>-3.1535950000000001</v>
      </c>
      <c r="V3754">
        <v>-0.3200945</v>
      </c>
      <c r="W3754">
        <v>-4.1810769999999997E-2</v>
      </c>
      <c r="X3754">
        <v>0.94646260000000004</v>
      </c>
      <c r="Y3754">
        <v>-1.1848320000000001E-2</v>
      </c>
      <c r="Z3754">
        <v>1.7685949999999999E-2</v>
      </c>
      <c r="AA3754">
        <v>0.99977340000000003</v>
      </c>
      <c r="AB3754">
        <v>19</v>
      </c>
      <c r="AC3754">
        <v>1.4243999999999899</v>
      </c>
      <c r="AD3754">
        <v>-1.1213930172540001</v>
      </c>
      <c r="AE3754">
        <v>-34.976499999999902</v>
      </c>
      <c r="AF3754">
        <v>-0.41683257610754099</v>
      </c>
      <c r="AG3754">
        <v>-1.1213930172540001</v>
      </c>
      <c r="AH3754">
        <v>34.967120839920398</v>
      </c>
      <c r="AI3754">
        <v>91.836711520702494</v>
      </c>
      <c r="AJ3754">
        <v>90.682973479843497</v>
      </c>
      <c r="AK3754">
        <v>34.987580818473901</v>
      </c>
      <c r="AL3754">
        <v>92.396279078376395</v>
      </c>
      <c r="AM3754">
        <v>108.685582981599</v>
      </c>
      <c r="AN3754">
        <v>1.0000000413085</v>
      </c>
    </row>
    <row r="3755" spans="1:40" x14ac:dyDescent="0.25">
      <c r="A3755" t="str">
        <f>"20190303153841546"</f>
        <v>20190303153841546</v>
      </c>
      <c r="B3755" t="str">
        <f>"1551598721541801"</f>
        <v>1551598721541801</v>
      </c>
      <c r="C3755" t="s">
        <v>40</v>
      </c>
      <c r="D3755">
        <v>4.6397740000000001</v>
      </c>
      <c r="E3755">
        <v>0.62351480000000004</v>
      </c>
      <c r="F3755" t="s">
        <v>51</v>
      </c>
      <c r="G3755">
        <v>-490.97199999999998</v>
      </c>
      <c r="H3755" s="1">
        <v>3.115965E-6</v>
      </c>
      <c r="I3755">
        <v>214.1463</v>
      </c>
      <c r="J3755">
        <v>-492.13690000000003</v>
      </c>
      <c r="K3755">
        <v>1.1213850000000001</v>
      </c>
      <c r="L3755">
        <v>244.8544</v>
      </c>
      <c r="M3755">
        <v>2.8769159999999998E-2</v>
      </c>
      <c r="N3755">
        <v>-1.4176029999999999E-2</v>
      </c>
      <c r="O3755">
        <v>-0.99948579999999998</v>
      </c>
      <c r="P3755">
        <v>0.34405259999999999</v>
      </c>
      <c r="Q3755">
        <v>-5.627704E-2</v>
      </c>
      <c r="R3755">
        <v>-0.9372627</v>
      </c>
      <c r="S3755">
        <v>0.1194458</v>
      </c>
      <c r="T3755">
        <v>-0.1144497</v>
      </c>
      <c r="U3755">
        <v>-3.153473</v>
      </c>
      <c r="V3755">
        <v>-0.31694559999999999</v>
      </c>
      <c r="W3755">
        <v>-4.2834709999999998E-2</v>
      </c>
      <c r="X3755">
        <v>0.94747599999999998</v>
      </c>
      <c r="Y3755">
        <v>-9.0708339999999998E-3</v>
      </c>
      <c r="Z3755">
        <v>2.20705E-2</v>
      </c>
      <c r="AA3755">
        <v>0.99971529999999997</v>
      </c>
      <c r="AB3755">
        <v>19</v>
      </c>
      <c r="AC3755">
        <v>1.16490000000004</v>
      </c>
      <c r="AD3755">
        <v>-1.1213818840350001</v>
      </c>
      <c r="AE3755">
        <v>-30.708100000000002</v>
      </c>
      <c r="AF3755">
        <v>-0.28050939329728902</v>
      </c>
      <c r="AG3755">
        <v>-1.1213818840350001</v>
      </c>
      <c r="AH3755">
        <v>30.688038908016399</v>
      </c>
      <c r="AI3755">
        <v>92.092645759094694</v>
      </c>
      <c r="AJ3755">
        <v>90.523707520203502</v>
      </c>
      <c r="AK3755">
        <v>30.7098016090873</v>
      </c>
      <c r="AL3755">
        <v>92.454999115850796</v>
      </c>
      <c r="AM3755">
        <v>108.495897481591</v>
      </c>
      <c r="AN3755">
        <v>1.00000004815807</v>
      </c>
    </row>
    <row r="3756" spans="1:40" x14ac:dyDescent="0.25">
      <c r="A3756" t="str">
        <f>"20190303153841570"</f>
        <v>20190303153841570</v>
      </c>
      <c r="B3756" t="str">
        <f>"1551598721562296"</f>
        <v>1551598721562296</v>
      </c>
      <c r="C3756" t="s">
        <v>40</v>
      </c>
      <c r="D3756">
        <v>4.6423990000000002</v>
      </c>
      <c r="E3756">
        <v>0.62348079999999995</v>
      </c>
      <c r="F3756" t="s">
        <v>51</v>
      </c>
      <c r="G3756">
        <v>-491.19380000000001</v>
      </c>
      <c r="H3756" s="1">
        <v>3.214219E-6</v>
      </c>
      <c r="I3756">
        <v>217.29419999999999</v>
      </c>
      <c r="J3756">
        <v>-492.13130000000001</v>
      </c>
      <c r="K3756">
        <v>1.121386</v>
      </c>
      <c r="L3756">
        <v>244.66040000000001</v>
      </c>
      <c r="M3756">
        <v>2.8763210000000001E-2</v>
      </c>
      <c r="N3756">
        <v>-1.417122E-2</v>
      </c>
      <c r="O3756">
        <v>-0.99948579999999998</v>
      </c>
      <c r="P3756">
        <v>0.34136529999999998</v>
      </c>
      <c r="Q3756">
        <v>-5.7042719999999998E-2</v>
      </c>
      <c r="R3756">
        <v>-0.93819830000000004</v>
      </c>
      <c r="S3756">
        <v>0.107910199999999</v>
      </c>
      <c r="T3756">
        <v>-0.1283118</v>
      </c>
      <c r="U3756">
        <v>-3.1535190000000002</v>
      </c>
      <c r="V3756">
        <v>-0.31423770000000001</v>
      </c>
      <c r="W3756">
        <v>-4.3592890000000002E-2</v>
      </c>
      <c r="X3756">
        <v>0.94834289999999999</v>
      </c>
      <c r="Y3756">
        <v>-5.4214349999999996E-3</v>
      </c>
      <c r="Z3756">
        <v>2.6460790000000001E-2</v>
      </c>
      <c r="AA3756">
        <v>0.99963519999999995</v>
      </c>
      <c r="AB3756">
        <v>19</v>
      </c>
      <c r="AC3756">
        <v>0.9375</v>
      </c>
      <c r="AD3756">
        <v>-1.1213827857809999</v>
      </c>
      <c r="AE3756">
        <v>-27.366199999999999</v>
      </c>
      <c r="AF3756">
        <v>-0.14964225996935099</v>
      </c>
      <c r="AG3756">
        <v>-1.1213827857809999</v>
      </c>
      <c r="AH3756">
        <v>27.3359969649782</v>
      </c>
      <c r="AI3756">
        <v>92.349046772495797</v>
      </c>
      <c r="AJ3756">
        <v>90.313644470406004</v>
      </c>
      <c r="AK3756">
        <v>27.359397329391399</v>
      </c>
      <c r="AL3756">
        <v>92.498480457150293</v>
      </c>
      <c r="AM3756">
        <v>108.332848082677</v>
      </c>
      <c r="AN3756">
        <v>0.99999996407012504</v>
      </c>
    </row>
    <row r="3757" spans="1:40" x14ac:dyDescent="0.25">
      <c r="A3757" t="str">
        <f>"20190303153841591"</f>
        <v>20190303153841591</v>
      </c>
      <c r="B3757" t="str">
        <f>"1551598721581816"</f>
        <v>1551598721581816</v>
      </c>
      <c r="C3757" t="s">
        <v>40</v>
      </c>
      <c r="D3757">
        <v>4.6428900000000004</v>
      </c>
      <c r="E3757">
        <v>0.62339719999999998</v>
      </c>
      <c r="F3757" t="s">
        <v>51</v>
      </c>
      <c r="G3757">
        <v>-491.3098</v>
      </c>
      <c r="H3757" s="1">
        <v>3.2452240000000001E-6</v>
      </c>
      <c r="I3757">
        <v>218.47389999999999</v>
      </c>
      <c r="J3757">
        <v>-492.12599999999998</v>
      </c>
      <c r="K3757">
        <v>1.121378</v>
      </c>
      <c r="L3757">
        <v>244.4751</v>
      </c>
      <c r="M3757">
        <v>2.8757970000000001E-2</v>
      </c>
      <c r="N3757">
        <v>-1.416662E-2</v>
      </c>
      <c r="O3757">
        <v>-0.99948630000000005</v>
      </c>
      <c r="P3757">
        <v>0.33978330000000001</v>
      </c>
      <c r="Q3757">
        <v>-5.6469709999999999E-2</v>
      </c>
      <c r="R3757">
        <v>-0.93880710000000001</v>
      </c>
      <c r="S3757">
        <v>9.8937990000000003E-2</v>
      </c>
      <c r="T3757">
        <v>-0.135039299999999</v>
      </c>
      <c r="U3757">
        <v>-3.1534270000000002</v>
      </c>
      <c r="V3757">
        <v>-0.31264429999999999</v>
      </c>
      <c r="W3757">
        <v>-4.3016239999999997E-2</v>
      </c>
      <c r="X3757">
        <v>0.94889579999999996</v>
      </c>
      <c r="Y3757">
        <v>-2.5857660000000002E-3</v>
      </c>
      <c r="Z3757">
        <v>2.8595180000000001E-2</v>
      </c>
      <c r="AA3757">
        <v>0.99958769999999997</v>
      </c>
      <c r="AB3757">
        <v>19</v>
      </c>
      <c r="AC3757">
        <v>0.81619999999998005</v>
      </c>
      <c r="AD3757">
        <v>-1.121374754776</v>
      </c>
      <c r="AE3757">
        <v>-26.001200000000001</v>
      </c>
      <c r="AF3757">
        <v>-6.7919590731941204E-2</v>
      </c>
      <c r="AG3757">
        <v>-1.121374754776</v>
      </c>
      <c r="AH3757">
        <v>25.9656696556934</v>
      </c>
      <c r="AI3757">
        <v>92.472877553923098</v>
      </c>
      <c r="AJ3757">
        <v>90.149870851452803</v>
      </c>
      <c r="AK3757">
        <v>25.989961428983499</v>
      </c>
      <c r="AL3757">
        <v>92.4654096160737</v>
      </c>
      <c r="AM3757">
        <v>108.236132921395</v>
      </c>
      <c r="AN3757">
        <v>1.0000000472419299</v>
      </c>
    </row>
    <row r="3758" spans="1:40" x14ac:dyDescent="0.25">
      <c r="A3758" t="str">
        <f>"20190303153841614"</f>
        <v>20190303153841614</v>
      </c>
      <c r="B3758" t="str">
        <f>"1551598721602312"</f>
        <v>1551598721602312</v>
      </c>
      <c r="C3758" t="s">
        <v>40</v>
      </c>
      <c r="D3758">
        <v>4.6670360000000004</v>
      </c>
      <c r="E3758">
        <v>0.62317900000000004</v>
      </c>
      <c r="F3758" t="s">
        <v>51</v>
      </c>
      <c r="G3758">
        <v>-491.3503</v>
      </c>
      <c r="H3758" s="1">
        <v>3.2428850000000001E-6</v>
      </c>
      <c r="I3758">
        <v>218.5847</v>
      </c>
      <c r="J3758">
        <v>-492.12090000000001</v>
      </c>
      <c r="K3758">
        <v>1.121375</v>
      </c>
      <c r="L3758">
        <v>244.2963</v>
      </c>
      <c r="M3758">
        <v>2.8752489999999999E-2</v>
      </c>
      <c r="N3758">
        <v>-1.416216E-2</v>
      </c>
      <c r="O3758">
        <v>-0.99948650000000006</v>
      </c>
      <c r="P3758">
        <v>0.33931699999999998</v>
      </c>
      <c r="Q3758">
        <v>-5.6296899999999997E-2</v>
      </c>
      <c r="R3758">
        <v>-0.93898649999999995</v>
      </c>
      <c r="S3758">
        <v>9.4482419999999998E-2</v>
      </c>
      <c r="T3758">
        <v>-0.13656949999999901</v>
      </c>
      <c r="U3758">
        <v>-3.1531220000000002</v>
      </c>
      <c r="V3758">
        <v>-0.31217780000000001</v>
      </c>
      <c r="W3758">
        <v>-4.2845380000000002E-2</v>
      </c>
      <c r="X3758">
        <v>0.94905700000000004</v>
      </c>
      <c r="Y3758">
        <v>-1.1832639999999901E-3</v>
      </c>
      <c r="Z3758">
        <v>2.9088240000000001E-2</v>
      </c>
      <c r="AA3758">
        <v>0.99957620000000003</v>
      </c>
      <c r="AB3758">
        <v>19</v>
      </c>
      <c r="AC3758">
        <v>0.77060000000000095</v>
      </c>
      <c r="AD3758">
        <v>-1.1213717571149999</v>
      </c>
      <c r="AE3758">
        <v>-25.711600000000001</v>
      </c>
      <c r="AF3758">
        <v>-3.0876191198004499E-2</v>
      </c>
      <c r="AG3758">
        <v>-1.1213717571149999</v>
      </c>
      <c r="AH3758">
        <v>25.674334410787001</v>
      </c>
      <c r="AI3758">
        <v>92.500902754666001</v>
      </c>
      <c r="AJ3758">
        <v>90.068904399308906</v>
      </c>
      <c r="AK3758">
        <v>25.698830233957299</v>
      </c>
      <c r="AL3758">
        <v>92.455611271313899</v>
      </c>
      <c r="AM3758">
        <v>108.20783060602</v>
      </c>
      <c r="AN3758">
        <v>0.99999994732459097</v>
      </c>
    </row>
    <row r="3759" spans="1:40" x14ac:dyDescent="0.25">
      <c r="A3759" t="str">
        <f>"20190303153841635"</f>
        <v>20190303153841635</v>
      </c>
      <c r="B3759" t="str">
        <f>"1551598721632570"</f>
        <v>1551598721632570</v>
      </c>
      <c r="C3759" t="s">
        <v>40</v>
      </c>
      <c r="D3759">
        <v>4.635567</v>
      </c>
      <c r="E3759">
        <v>0.6230443</v>
      </c>
      <c r="F3759" t="s">
        <v>51</v>
      </c>
      <c r="G3759">
        <v>-491.3546</v>
      </c>
      <c r="H3759" s="1">
        <v>3.2487630000000002E-6</v>
      </c>
      <c r="I3759">
        <v>218.73689999999999</v>
      </c>
      <c r="J3759">
        <v>-492.1157</v>
      </c>
      <c r="K3759">
        <v>1.1213740000000001</v>
      </c>
      <c r="L3759">
        <v>244.11760000000001</v>
      </c>
      <c r="M3759">
        <v>2.874701E-2</v>
      </c>
      <c r="N3759">
        <v>-1.415771E-2</v>
      </c>
      <c r="O3759">
        <v>-0.99948669999999995</v>
      </c>
      <c r="P3759">
        <v>0.3400301</v>
      </c>
      <c r="Q3759">
        <v>-5.6514179999999997E-2</v>
      </c>
      <c r="R3759">
        <v>-0.93871559999999998</v>
      </c>
      <c r="S3759">
        <v>9.4512940000000004E-2</v>
      </c>
      <c r="T3759">
        <v>-0.13831209999999999</v>
      </c>
      <c r="U3759">
        <v>-3.152542</v>
      </c>
      <c r="V3759">
        <v>-0.31290370000000001</v>
      </c>
      <c r="W3759">
        <v>-4.3070410000000003E-2</v>
      </c>
      <c r="X3759">
        <v>0.94880779999999998</v>
      </c>
      <c r="Y3759">
        <v>-1.2034120000000001E-3</v>
      </c>
      <c r="Z3759">
        <v>2.965164E-2</v>
      </c>
      <c r="AA3759">
        <v>0.99955959999999999</v>
      </c>
      <c r="AB3759">
        <v>19</v>
      </c>
      <c r="AC3759">
        <v>0.761099999999999</v>
      </c>
      <c r="AD3759">
        <v>-1.1213707512369999</v>
      </c>
      <c r="AE3759">
        <v>-25.380700000000001</v>
      </c>
      <c r="AF3759">
        <v>-3.10326763422147E-2</v>
      </c>
      <c r="AG3759">
        <v>-1.1213707512369999</v>
      </c>
      <c r="AH3759">
        <v>25.342664346911899</v>
      </c>
      <c r="AI3759">
        <v>92.533588404700794</v>
      </c>
      <c r="AJ3759">
        <v>90.070159966938206</v>
      </c>
      <c r="AK3759">
        <v>25.3674805920685</v>
      </c>
      <c r="AL3759">
        <v>92.468516290776194</v>
      </c>
      <c r="AM3759">
        <v>108.251841373381</v>
      </c>
      <c r="AN3759">
        <v>1.0000000135160401</v>
      </c>
    </row>
    <row r="3760" spans="1:40" x14ac:dyDescent="0.25">
      <c r="A3760" t="str">
        <f>"20190303153841658"</f>
        <v>20190303153841658</v>
      </c>
      <c r="B3760" t="str">
        <f>"1551598721652088"</f>
        <v>1551598721652088</v>
      </c>
      <c r="C3760" t="s">
        <v>40</v>
      </c>
      <c r="D3760">
        <v>4.6276669999999998</v>
      </c>
      <c r="E3760">
        <v>0.62296629999999997</v>
      </c>
      <c r="F3760" t="s">
        <v>51</v>
      </c>
      <c r="G3760">
        <v>-491.33870000000002</v>
      </c>
      <c r="H3760" s="1">
        <v>3.264759E-6</v>
      </c>
      <c r="I3760">
        <v>219.0384</v>
      </c>
      <c r="J3760">
        <v>-492.11020000000002</v>
      </c>
      <c r="K3760">
        <v>1.1213740000000001</v>
      </c>
      <c r="L3760">
        <v>243.9248</v>
      </c>
      <c r="M3760">
        <v>2.8741039999999999E-2</v>
      </c>
      <c r="N3760">
        <v>-1.41529E-2</v>
      </c>
      <c r="O3760">
        <v>-0.99948700000000001</v>
      </c>
      <c r="P3760">
        <v>0.340918</v>
      </c>
      <c r="Q3760">
        <v>-5.7000629999999997E-2</v>
      </c>
      <c r="R3760">
        <v>-0.93836390000000003</v>
      </c>
      <c r="S3760">
        <v>9.765625E-2</v>
      </c>
      <c r="T3760">
        <v>-0.14093610000000001</v>
      </c>
      <c r="U3760">
        <v>-3.1520079999999999</v>
      </c>
      <c r="V3760">
        <v>-0.31380710000000001</v>
      </c>
      <c r="W3760">
        <v>-4.3566029999999999E-2</v>
      </c>
      <c r="X3760">
        <v>0.94848670000000002</v>
      </c>
      <c r="Y3760">
        <v>-2.2091189999999998E-3</v>
      </c>
      <c r="Z3760">
        <v>3.049313E-2</v>
      </c>
      <c r="AA3760">
        <v>0.99953250000000005</v>
      </c>
      <c r="AB3760">
        <v>19</v>
      </c>
      <c r="AC3760">
        <v>0.77150000000000296</v>
      </c>
      <c r="AD3760">
        <v>-1.1213707352409901</v>
      </c>
      <c r="AE3760">
        <v>-24.886399999999998</v>
      </c>
      <c r="AF3760">
        <v>-5.5735723875096899E-2</v>
      </c>
      <c r="AG3760">
        <v>-1.1213707352409901</v>
      </c>
      <c r="AH3760">
        <v>24.847891207839599</v>
      </c>
      <c r="AI3760">
        <v>92.5839651083175</v>
      </c>
      <c r="AJ3760">
        <v>90.128518608024606</v>
      </c>
      <c r="AK3760">
        <v>24.873244184733998</v>
      </c>
      <c r="AL3760">
        <v>92.496940045339102</v>
      </c>
      <c r="AM3760">
        <v>108.30681248621801</v>
      </c>
      <c r="AN3760">
        <v>0.99999995752862902</v>
      </c>
    </row>
    <row r="3761" spans="1:40" x14ac:dyDescent="0.25">
      <c r="A3761" t="str">
        <f>"20190303153841681"</f>
        <v>20190303153841681</v>
      </c>
      <c r="B3761" t="str">
        <f>"1551598721672588"</f>
        <v>1551598721672588</v>
      </c>
      <c r="C3761" t="s">
        <v>40</v>
      </c>
      <c r="D3761">
        <v>4.6312519999999999</v>
      </c>
      <c r="E3761">
        <v>0.62287060000000005</v>
      </c>
      <c r="F3761" t="s">
        <v>51</v>
      </c>
      <c r="G3761">
        <v>-491.32029999999997</v>
      </c>
      <c r="H3761" s="1">
        <v>3.2818789999999999E-6</v>
      </c>
      <c r="I3761">
        <v>219.3553</v>
      </c>
      <c r="J3761">
        <v>-492.10480000000001</v>
      </c>
      <c r="K3761">
        <v>1.1213799999999901</v>
      </c>
      <c r="L3761">
        <v>243.73840000000001</v>
      </c>
      <c r="M3761">
        <v>2.8735210000000001E-2</v>
      </c>
      <c r="N3761">
        <v>-1.4148269999999999E-2</v>
      </c>
      <c r="O3761">
        <v>-0.99948700000000001</v>
      </c>
      <c r="P3761">
        <v>0.34196140000000003</v>
      </c>
      <c r="Q3761">
        <v>-5.7635480000000003E-2</v>
      </c>
      <c r="R3761">
        <v>-0.93794509999999998</v>
      </c>
      <c r="S3761">
        <v>0.1013184</v>
      </c>
      <c r="T3761">
        <v>-0.14383750000000001</v>
      </c>
      <c r="U3761">
        <v>-3.1515049999999998</v>
      </c>
      <c r="V3761">
        <v>-0.31486750000000002</v>
      </c>
      <c r="W3761">
        <v>-4.4210760000000002E-2</v>
      </c>
      <c r="X3761">
        <v>0.94810539999999999</v>
      </c>
      <c r="Y3761">
        <v>-3.3787819999999999E-3</v>
      </c>
      <c r="Z3761">
        <v>3.1421739999999997E-2</v>
      </c>
      <c r="AA3761">
        <v>0.99950050000000001</v>
      </c>
      <c r="AB3761">
        <v>18</v>
      </c>
      <c r="AC3761">
        <v>0.78450000000003595</v>
      </c>
      <c r="AD3761">
        <v>-1.1213767181209999</v>
      </c>
      <c r="AE3761">
        <v>-24.383099999999999</v>
      </c>
      <c r="AF3761">
        <v>-8.3276445661798496E-2</v>
      </c>
      <c r="AG3761">
        <v>-1.1213767181209999</v>
      </c>
      <c r="AH3761">
        <v>24.344137852443499</v>
      </c>
      <c r="AI3761">
        <v>92.637365644394393</v>
      </c>
      <c r="AJ3761">
        <v>90.195996682524495</v>
      </c>
      <c r="AK3761">
        <v>24.370093731644101</v>
      </c>
      <c r="AL3761">
        <v>92.533915897410694</v>
      </c>
      <c r="AM3761">
        <v>108.371419340984</v>
      </c>
      <c r="AN3761">
        <v>0.99999999168259301</v>
      </c>
    </row>
    <row r="3762" spans="1:40" x14ac:dyDescent="0.25">
      <c r="A3762" t="str">
        <f>"20190303153841702"</f>
        <v>20190303153841702</v>
      </c>
      <c r="B3762" t="str">
        <f>"1551598721692105"</f>
        <v>1551598721692105</v>
      </c>
      <c r="C3762" t="s">
        <v>40</v>
      </c>
      <c r="D3762">
        <v>4.5982229999999999</v>
      </c>
      <c r="E3762">
        <v>0.62276759999999998</v>
      </c>
      <c r="F3762" t="s">
        <v>51</v>
      </c>
      <c r="G3762">
        <v>-491.29520000000002</v>
      </c>
      <c r="H3762" s="1">
        <v>3.2961289999999998E-6</v>
      </c>
      <c r="I3762">
        <v>219.5795</v>
      </c>
      <c r="J3762">
        <v>-492.09969999999998</v>
      </c>
      <c r="K3762">
        <v>1.1213869999999999</v>
      </c>
      <c r="L3762">
        <v>243.56180000000001</v>
      </c>
      <c r="M3762">
        <v>2.8729669999999999E-2</v>
      </c>
      <c r="N3762">
        <v>-1.4143879999999999E-2</v>
      </c>
      <c r="O3762">
        <v>-0.99948749999999997</v>
      </c>
      <c r="P3762">
        <v>0.34374559999999998</v>
      </c>
      <c r="Q3762">
        <v>-5.7941659999999999E-2</v>
      </c>
      <c r="R3762">
        <v>-0.9372741</v>
      </c>
      <c r="S3762">
        <v>0.1055908</v>
      </c>
      <c r="T3762">
        <v>-0.14625779999999999</v>
      </c>
      <c r="U3762">
        <v>-3.15097</v>
      </c>
      <c r="V3762">
        <v>-0.3166754</v>
      </c>
      <c r="W3762">
        <v>-4.4529859999999997E-2</v>
      </c>
      <c r="X3762">
        <v>0.94748810000000006</v>
      </c>
      <c r="Y3762">
        <v>-4.7421260000000002E-3</v>
      </c>
      <c r="Z3762">
        <v>3.219839E-2</v>
      </c>
      <c r="AA3762">
        <v>0.99947019999999998</v>
      </c>
      <c r="AB3762">
        <v>18</v>
      </c>
      <c r="AC3762">
        <v>0.80449999999996102</v>
      </c>
      <c r="AD3762">
        <v>-1.1213837038709999</v>
      </c>
      <c r="AE3762">
        <v>-23.982299999999999</v>
      </c>
      <c r="AF3762">
        <v>-0.11484478846980101</v>
      </c>
      <c r="AG3762">
        <v>-1.1213837038709999</v>
      </c>
      <c r="AH3762">
        <v>23.943223599700499</v>
      </c>
      <c r="AI3762">
        <v>92.681464297052599</v>
      </c>
      <c r="AJ3762">
        <v>90.274819770572805</v>
      </c>
      <c r="AK3762">
        <v>23.9697444100266</v>
      </c>
      <c r="AL3762">
        <v>92.552217089373798</v>
      </c>
      <c r="AM3762">
        <v>108.48098109768701</v>
      </c>
      <c r="AN3762">
        <v>0.99999995851919399</v>
      </c>
    </row>
    <row r="3763" spans="1:40" x14ac:dyDescent="0.25">
      <c r="A3763" t="str">
        <f>"20190303153841724"</f>
        <v>20190303153841724</v>
      </c>
      <c r="B3763" t="str">
        <f>"1551598721722361"</f>
        <v>1551598721722361</v>
      </c>
      <c r="C3763" t="s">
        <v>40</v>
      </c>
      <c r="D3763">
        <v>4.610538</v>
      </c>
      <c r="E3763">
        <v>0.62276609999999999</v>
      </c>
      <c r="F3763" t="s">
        <v>51</v>
      </c>
      <c r="G3763">
        <v>-491.25</v>
      </c>
      <c r="H3763" s="1">
        <v>3.343591E-6</v>
      </c>
      <c r="I3763">
        <v>219.73849999999999</v>
      </c>
      <c r="J3763">
        <v>-492.09460000000001</v>
      </c>
      <c r="K3763">
        <v>1.1213879999999901</v>
      </c>
      <c r="L3763">
        <v>243.3826</v>
      </c>
      <c r="M3763">
        <v>2.8724050000000001E-2</v>
      </c>
      <c r="N3763">
        <v>-1.413942E-2</v>
      </c>
      <c r="O3763">
        <v>-0.99948769999999998</v>
      </c>
      <c r="P3763">
        <v>0.3448002</v>
      </c>
      <c r="Q3763">
        <v>-5.7261449999999998E-2</v>
      </c>
      <c r="R3763">
        <v>-0.93692850000000005</v>
      </c>
      <c r="S3763">
        <v>0.1123657</v>
      </c>
      <c r="T3763">
        <v>-0.14829300000000001</v>
      </c>
      <c r="U3763">
        <v>-3.1504210000000001</v>
      </c>
      <c r="V3763">
        <v>-0.317745</v>
      </c>
      <c r="W3763">
        <v>-4.3858389999999997E-2</v>
      </c>
      <c r="X3763">
        <v>0.94716129999999998</v>
      </c>
      <c r="Y3763">
        <v>-6.898614E-3</v>
      </c>
      <c r="Z3763">
        <v>3.2853010000000002E-2</v>
      </c>
      <c r="AA3763">
        <v>0.9994364</v>
      </c>
      <c r="AB3763">
        <v>18</v>
      </c>
      <c r="AC3763">
        <v>0.84460000000001401</v>
      </c>
      <c r="AD3763">
        <v>-1.12138465640899</v>
      </c>
      <c r="AE3763">
        <v>-23.644100000000002</v>
      </c>
      <c r="AF3763">
        <v>-0.16465953351012499</v>
      </c>
      <c r="AG3763">
        <v>-1.12138465640899</v>
      </c>
      <c r="AH3763">
        <v>23.605574422365098</v>
      </c>
      <c r="AI3763">
        <v>92.719729692941698</v>
      </c>
      <c r="AJ3763">
        <v>90.399657434629106</v>
      </c>
      <c r="AK3763">
        <v>23.632768778106101</v>
      </c>
      <c r="AL3763">
        <v>92.513706995592301</v>
      </c>
      <c r="AM3763">
        <v>108.545101318451</v>
      </c>
      <c r="AN3763">
        <v>0.99999998580804095</v>
      </c>
    </row>
    <row r="3764" spans="1:40" x14ac:dyDescent="0.25">
      <c r="A3764" t="str">
        <f>"20190303153841748"</f>
        <v>20190303153841748</v>
      </c>
      <c r="B3764" t="str">
        <f>"1551598721741880"</f>
        <v>1551598721741880</v>
      </c>
      <c r="C3764" t="s">
        <v>40</v>
      </c>
      <c r="D3764">
        <v>4.4365600000000001</v>
      </c>
      <c r="E3764">
        <v>0.58201809999999998</v>
      </c>
      <c r="F3764" t="s">
        <v>51</v>
      </c>
      <c r="G3764">
        <v>-491.19400000000002</v>
      </c>
      <c r="H3764" s="1">
        <v>3.2848580000000002E-6</v>
      </c>
      <c r="I3764">
        <v>218.911</v>
      </c>
      <c r="J3764">
        <v>-492.08909999999997</v>
      </c>
      <c r="K3764">
        <v>1.1213930000000001</v>
      </c>
      <c r="L3764">
        <v>243.18960000000001</v>
      </c>
      <c r="M3764">
        <v>2.8718049999999998E-2</v>
      </c>
      <c r="N3764">
        <v>-1.4134620000000001E-2</v>
      </c>
      <c r="O3764">
        <v>-0.99948769999999998</v>
      </c>
      <c r="P3764">
        <v>0.34629320000000002</v>
      </c>
      <c r="Q3764">
        <v>-5.6998170000000001E-2</v>
      </c>
      <c r="R3764">
        <v>-0.93639340000000004</v>
      </c>
      <c r="S3764">
        <v>0.11593630000000001</v>
      </c>
      <c r="T3764">
        <v>-0.14436789999999999</v>
      </c>
      <c r="U3764">
        <v>-3.1504819999999998</v>
      </c>
      <c r="V3764">
        <v>-0.31925799999999999</v>
      </c>
      <c r="W3764">
        <v>-4.3606579999999999E-2</v>
      </c>
      <c r="X3764">
        <v>0.94666399999999995</v>
      </c>
      <c r="Y3764">
        <v>-8.0361809999999999E-3</v>
      </c>
      <c r="Z3764">
        <v>3.1614620000000003E-2</v>
      </c>
      <c r="AA3764">
        <v>0.99946780000000002</v>
      </c>
      <c r="AB3764">
        <v>18</v>
      </c>
      <c r="AC3764">
        <v>0.89509999999995604</v>
      </c>
      <c r="AD3764">
        <v>-1.121389715142</v>
      </c>
      <c r="AE3764">
        <v>-24.278600000000001</v>
      </c>
      <c r="AF3764">
        <v>-0.19700737803250201</v>
      </c>
      <c r="AG3764">
        <v>-1.121389715142</v>
      </c>
      <c r="AH3764">
        <v>24.242644138153899</v>
      </c>
      <c r="AI3764">
        <v>92.648350295956305</v>
      </c>
      <c r="AJ3764">
        <v>90.465602793209499</v>
      </c>
      <c r="AK3764">
        <v>24.269365908679902</v>
      </c>
      <c r="AL3764">
        <v>92.499265576566401</v>
      </c>
      <c r="AM3764">
        <v>108.63643762132</v>
      </c>
      <c r="AN3764">
        <v>0.99999996663964696</v>
      </c>
    </row>
    <row r="3765" spans="1:40" x14ac:dyDescent="0.25">
      <c r="A3765" t="str">
        <f>"20190303153841772"</f>
        <v>20190303153841772</v>
      </c>
      <c r="B3765" t="str">
        <f>"1551598721762377"</f>
        <v>1551598721762377</v>
      </c>
      <c r="C3765" t="s">
        <v>40</v>
      </c>
      <c r="D3765">
        <v>4.675713</v>
      </c>
      <c r="E3765">
        <v>0.52177039999999997</v>
      </c>
      <c r="F3765" t="s">
        <v>51</v>
      </c>
      <c r="G3765">
        <v>-486.6891</v>
      </c>
      <c r="H3765" s="1">
        <v>1.266129E-6</v>
      </c>
      <c r="I3765">
        <v>204.66990000000001</v>
      </c>
      <c r="J3765">
        <v>-492.08339999999998</v>
      </c>
      <c r="K3765">
        <v>1.1213919999999999</v>
      </c>
      <c r="L3765">
        <v>242.99590000000001</v>
      </c>
      <c r="M3765">
        <v>2.8712109999999999E-2</v>
      </c>
      <c r="N3765">
        <v>-1.412979E-2</v>
      </c>
      <c r="O3765">
        <v>-0.99948820000000005</v>
      </c>
      <c r="P3765">
        <v>0.3469255</v>
      </c>
      <c r="Q3765">
        <v>-5.7759940000000003E-2</v>
      </c>
      <c r="R3765">
        <v>-0.93611290000000003</v>
      </c>
      <c r="S3765">
        <v>0.42626950000000002</v>
      </c>
      <c r="T3765">
        <v>-8.8522669999999998E-2</v>
      </c>
      <c r="U3765">
        <v>-3.0407410000000001</v>
      </c>
      <c r="V3765">
        <v>-0.31990429999999997</v>
      </c>
      <c r="W3765">
        <v>-4.4376550000000001E-2</v>
      </c>
      <c r="X3765">
        <v>0.94641010000000003</v>
      </c>
      <c r="Y3765">
        <v>-0.110286</v>
      </c>
      <c r="Z3765">
        <v>1.475373E-2</v>
      </c>
      <c r="AA3765">
        <v>0.99379039999999996</v>
      </c>
      <c r="AB3765">
        <v>18</v>
      </c>
      <c r="AC3765">
        <v>5.3942999999999799</v>
      </c>
      <c r="AD3765">
        <v>-1.1213907338710001</v>
      </c>
      <c r="AE3765">
        <v>-38.325999999999901</v>
      </c>
      <c r="AF3765">
        <v>-4.2879461751504797</v>
      </c>
      <c r="AG3765">
        <v>-1.1213907338710001</v>
      </c>
      <c r="AH3765">
        <v>38.432829653228602</v>
      </c>
      <c r="AI3765">
        <v>91.660998421452504</v>
      </c>
      <c r="AJ3765">
        <v>96.366155377258394</v>
      </c>
      <c r="AK3765">
        <v>38.687548316391002</v>
      </c>
      <c r="AL3765">
        <v>92.543424127048993</v>
      </c>
      <c r="AM3765">
        <v>108.67621419691299</v>
      </c>
      <c r="AN3765">
        <v>1.00000005836519</v>
      </c>
    </row>
    <row r="3766" spans="1:40" x14ac:dyDescent="0.25">
      <c r="A3766" t="str">
        <f>"20190303153841793"</f>
        <v>20190303153841793</v>
      </c>
      <c r="B3766" t="str">
        <f>"1551598721781896"</f>
        <v>1551598721781896</v>
      </c>
      <c r="C3766" t="s">
        <v>40</v>
      </c>
      <c r="D3766">
        <v>4.4183070000000004</v>
      </c>
      <c r="E3766">
        <v>0.49580849999999999</v>
      </c>
      <c r="F3766" t="s">
        <v>43</v>
      </c>
      <c r="G3766">
        <v>-472.41199999999998</v>
      </c>
      <c r="H3766">
        <v>-0.05</v>
      </c>
      <c r="I3766">
        <v>178.68979999999999</v>
      </c>
      <c r="J3766">
        <v>-492.07839999999999</v>
      </c>
      <c r="K3766">
        <v>1.1213869999999999</v>
      </c>
      <c r="L3766">
        <v>242.82040000000001</v>
      </c>
      <c r="M3766">
        <v>2.870669E-2</v>
      </c>
      <c r="N3766">
        <v>-1.412542E-2</v>
      </c>
      <c r="O3766">
        <v>-0.99948820000000005</v>
      </c>
      <c r="P3766">
        <v>0.34804629999999998</v>
      </c>
      <c r="Q3766">
        <v>-5.7569349999999998E-2</v>
      </c>
      <c r="R3766">
        <v>-0.93570830000000005</v>
      </c>
      <c r="S3766">
        <v>0.879638699999999</v>
      </c>
      <c r="T3766">
        <v>-5.2380679999999999E-2</v>
      </c>
      <c r="U3766">
        <v>-2.8755489999999999</v>
      </c>
      <c r="V3766">
        <v>-0.32104120000000003</v>
      </c>
      <c r="W3766">
        <v>-4.4195379999999999E-2</v>
      </c>
      <c r="X3766">
        <v>0.94603349999999997</v>
      </c>
      <c r="Y3766">
        <v>-0.26488850000000003</v>
      </c>
      <c r="Z3766">
        <v>3.4123439999999999E-3</v>
      </c>
      <c r="AA3766">
        <v>0.96427300000000005</v>
      </c>
      <c r="AB3766">
        <v>18</v>
      </c>
      <c r="AC3766">
        <v>19.666399999999999</v>
      </c>
      <c r="AD3766">
        <v>-1.171387</v>
      </c>
      <c r="AE3766">
        <v>-64.130600000000001</v>
      </c>
      <c r="AF3766">
        <v>-17.811700952159502</v>
      </c>
      <c r="AG3766">
        <v>-1.171387</v>
      </c>
      <c r="AH3766">
        <v>64.649063522411097</v>
      </c>
      <c r="AI3766">
        <v>91.0007580711016</v>
      </c>
      <c r="AJ3766">
        <v>105.403609698626</v>
      </c>
      <c r="AK3766">
        <v>67.0681016030547</v>
      </c>
      <c r="AL3766">
        <v>92.533033720366205</v>
      </c>
      <c r="AM3766">
        <v>108.744900430843</v>
      </c>
      <c r="AN3766">
        <v>1.00000003341651</v>
      </c>
    </row>
    <row r="3767" spans="1:40" x14ac:dyDescent="0.25">
      <c r="A3767" t="str">
        <f>"20190303153841806"</f>
        <v>20190303153841806</v>
      </c>
      <c r="B3767" t="str">
        <f>"1551598721802392"</f>
        <v>1551598721802392</v>
      </c>
      <c r="C3767" t="s">
        <v>40</v>
      </c>
      <c r="D3767">
        <v>4.5084530000000003</v>
      </c>
      <c r="E3767">
        <v>0.4813384</v>
      </c>
      <c r="F3767" t="s">
        <v>51</v>
      </c>
      <c r="G3767">
        <v>-476.76839999999999</v>
      </c>
      <c r="H3767">
        <v>7.9999059999999997E-2</v>
      </c>
      <c r="I3767">
        <v>203.00110000000001</v>
      </c>
      <c r="J3767">
        <v>-492.07530000000003</v>
      </c>
      <c r="K3767">
        <v>1.1213900000000001</v>
      </c>
      <c r="L3767">
        <v>242.71</v>
      </c>
      <c r="M3767">
        <v>2.8703269999999999E-2</v>
      </c>
      <c r="N3767">
        <v>-1.412267E-2</v>
      </c>
      <c r="O3767">
        <v>-0.99948840000000005</v>
      </c>
      <c r="P3767">
        <v>0.34838239999999998</v>
      </c>
      <c r="Q3767">
        <v>-5.7105830000000003E-2</v>
      </c>
      <c r="R3767">
        <v>-0.93561150000000004</v>
      </c>
      <c r="S3767">
        <v>1.076965</v>
      </c>
      <c r="T3767">
        <v>-7.3255420000000002E-2</v>
      </c>
      <c r="U3767">
        <v>-2.801056</v>
      </c>
      <c r="V3767">
        <v>-0.32138329999999998</v>
      </c>
      <c r="W3767">
        <v>-4.3735759999999999E-2</v>
      </c>
      <c r="X3767">
        <v>0.94593870000000002</v>
      </c>
      <c r="Y3767">
        <v>-0.33182489999999998</v>
      </c>
      <c r="Z3767">
        <v>1.04674E-2</v>
      </c>
      <c r="AA3767">
        <v>0.94328290000000004</v>
      </c>
      <c r="AB3767">
        <v>18</v>
      </c>
      <c r="AC3767">
        <v>15.306900000000001</v>
      </c>
      <c r="AD3767">
        <v>-1.0413909400000001</v>
      </c>
      <c r="AE3767">
        <v>-39.7089</v>
      </c>
      <c r="AF3767">
        <v>-14.1522287707303</v>
      </c>
      <c r="AG3767">
        <v>-1.0413909400000001</v>
      </c>
      <c r="AH3767">
        <v>40.107920715378697</v>
      </c>
      <c r="AI3767">
        <v>91.402615627915793</v>
      </c>
      <c r="AJ3767">
        <v>109.43557854714</v>
      </c>
      <c r="AK3767">
        <v>42.544275506583801</v>
      </c>
      <c r="AL3767">
        <v>92.5066739467362</v>
      </c>
      <c r="AM3767">
        <v>108.765226596025</v>
      </c>
      <c r="AN3767">
        <v>1.0000000331896699</v>
      </c>
    </row>
    <row r="3768" spans="1:40" x14ac:dyDescent="0.25">
      <c r="A3768" t="str">
        <f>"20190303153841825"</f>
        <v>20190303153841825</v>
      </c>
      <c r="B3768" t="str">
        <f>"1551598721821914"</f>
        <v>1551598721821914</v>
      </c>
      <c r="C3768" t="s">
        <v>40</v>
      </c>
      <c r="D3768">
        <v>4.4964599999999999</v>
      </c>
      <c r="E3768">
        <v>0.47442830000000002</v>
      </c>
      <c r="F3768" t="s">
        <v>51</v>
      </c>
      <c r="G3768">
        <v>-477.75229999999999</v>
      </c>
      <c r="H3768">
        <v>5.6307570000000001E-2</v>
      </c>
      <c r="I3768">
        <v>209.37719999999999</v>
      </c>
      <c r="J3768">
        <v>-492.07089999999999</v>
      </c>
      <c r="K3768">
        <v>1.1213900000000001</v>
      </c>
      <c r="L3768">
        <v>242.55670000000001</v>
      </c>
      <c r="M3768">
        <v>2.8698899999999999E-2</v>
      </c>
      <c r="N3768">
        <v>-1.411886E-2</v>
      </c>
      <c r="O3768">
        <v>-0.99948840000000005</v>
      </c>
      <c r="P3768">
        <v>0.34970509999999999</v>
      </c>
      <c r="Q3768">
        <v>-5.565937E-2</v>
      </c>
      <c r="R3768">
        <v>-0.93520490000000001</v>
      </c>
      <c r="S3768">
        <v>1.1857599999999999</v>
      </c>
      <c r="T3768">
        <v>-8.8175539999999997E-2</v>
      </c>
      <c r="U3768">
        <v>-2.7595369999999999</v>
      </c>
      <c r="V3768">
        <v>-0.32272089999999998</v>
      </c>
      <c r="W3768">
        <v>-4.2298090000000003E-2</v>
      </c>
      <c r="X3768">
        <v>0.94554850000000001</v>
      </c>
      <c r="Y3768">
        <v>-0.36810349999999997</v>
      </c>
      <c r="Z3768">
        <v>1.5461330000000001E-2</v>
      </c>
      <c r="AA3768">
        <v>0.92965629999999999</v>
      </c>
      <c r="AB3768">
        <v>18</v>
      </c>
      <c r="AC3768">
        <v>14.3186</v>
      </c>
      <c r="AD3768">
        <v>-1.0650824299999999</v>
      </c>
      <c r="AE3768">
        <v>-33.179499999999997</v>
      </c>
      <c r="AF3768">
        <v>-13.3487952275024</v>
      </c>
      <c r="AG3768">
        <v>-1.0650824299999999</v>
      </c>
      <c r="AH3768">
        <v>33.5476577999992</v>
      </c>
      <c r="AI3768">
        <v>91.689669674883604</v>
      </c>
      <c r="AJ3768">
        <v>111.69787794410701</v>
      </c>
      <c r="AK3768">
        <v>36.121601272290398</v>
      </c>
      <c r="AL3768">
        <v>92.424225433640999</v>
      </c>
      <c r="AM3768">
        <v>108.845055130818</v>
      </c>
      <c r="AN3768">
        <v>0.99999993678335197</v>
      </c>
    </row>
    <row r="3769" spans="1:40" x14ac:dyDescent="0.25">
      <c r="A3769" t="str">
        <f>"20190303153841849"</f>
        <v>20190303153841849</v>
      </c>
      <c r="B3769" t="str">
        <f>"1551598721842409"</f>
        <v>1551598721842409</v>
      </c>
      <c r="C3769" t="s">
        <v>40</v>
      </c>
      <c r="D3769">
        <v>4.4965229999999998</v>
      </c>
      <c r="E3769">
        <v>0.46979900000000002</v>
      </c>
      <c r="F3769" t="s">
        <v>51</v>
      </c>
      <c r="G3769">
        <v>-477.84070000000003</v>
      </c>
      <c r="H3769" s="1">
        <v>2.3309189999999999E-6</v>
      </c>
      <c r="I3769">
        <v>211.17359999999999</v>
      </c>
      <c r="J3769">
        <v>-492.06540000000001</v>
      </c>
      <c r="K3769">
        <v>1.121389</v>
      </c>
      <c r="L3769">
        <v>242.36840000000001</v>
      </c>
      <c r="M3769">
        <v>2.8692720000000001E-2</v>
      </c>
      <c r="N3769">
        <v>-1.411419E-2</v>
      </c>
      <c r="O3769">
        <v>-0.99948890000000001</v>
      </c>
      <c r="P3769">
        <v>0.35114820000000002</v>
      </c>
      <c r="Q3769">
        <v>-5.5254699999999997E-2</v>
      </c>
      <c r="R3769">
        <v>-0.93468870000000004</v>
      </c>
      <c r="S3769">
        <v>1.241425</v>
      </c>
      <c r="T3769">
        <v>-9.7828869999999998E-2</v>
      </c>
      <c r="U3769">
        <v>-2.7378390000000001</v>
      </c>
      <c r="V3769">
        <v>-0.32418409999999998</v>
      </c>
      <c r="W3769">
        <v>-4.1904780000000003E-2</v>
      </c>
      <c r="X3769">
        <v>0.94506540000000006</v>
      </c>
      <c r="Y3769">
        <v>-0.386465</v>
      </c>
      <c r="Z3769">
        <v>1.8677920000000001E-2</v>
      </c>
      <c r="AA3769">
        <v>0.92211489999999996</v>
      </c>
      <c r="AB3769">
        <v>18</v>
      </c>
      <c r="AC3769">
        <v>14.224699999999901</v>
      </c>
      <c r="AD3769">
        <v>-1.1213866690809999</v>
      </c>
      <c r="AE3769">
        <v>-31.194800000000001</v>
      </c>
      <c r="AF3769">
        <v>-13.309451155481099</v>
      </c>
      <c r="AG3769">
        <v>-1.1213866690809999</v>
      </c>
      <c r="AH3769">
        <v>31.556380671033001</v>
      </c>
      <c r="AI3769">
        <v>91.8753561724333</v>
      </c>
      <c r="AJ3769">
        <v>112.86842915360501</v>
      </c>
      <c r="AK3769">
        <v>34.266662504201904</v>
      </c>
      <c r="AL3769">
        <v>92.401670336733901</v>
      </c>
      <c r="AM3769">
        <v>108.933414812772</v>
      </c>
      <c r="AN3769">
        <v>0.99999997577840805</v>
      </c>
    </row>
    <row r="3770" spans="1:40" x14ac:dyDescent="0.25">
      <c r="A3770" t="str">
        <f>"20190303153841871"</f>
        <v>20190303153841871</v>
      </c>
      <c r="B3770" t="str">
        <f>"1551598721861928"</f>
        <v>1551598721861928</v>
      </c>
      <c r="C3770" t="s">
        <v>40</v>
      </c>
      <c r="D3770">
        <v>4.4617060000000004</v>
      </c>
      <c r="E3770">
        <v>0.46649380000000001</v>
      </c>
      <c r="F3770" t="s">
        <v>51</v>
      </c>
      <c r="G3770">
        <v>-478.24689999999998</v>
      </c>
      <c r="H3770" s="1">
        <v>2.2294350000000001E-6</v>
      </c>
      <c r="I3770">
        <v>212.9727</v>
      </c>
      <c r="J3770">
        <v>-492.06029999999998</v>
      </c>
      <c r="K3770">
        <v>1.1213879999999901</v>
      </c>
      <c r="L3770">
        <v>242.1891</v>
      </c>
      <c r="M3770">
        <v>2.8686940000000001E-2</v>
      </c>
      <c r="N3770">
        <v>-1.410981E-2</v>
      </c>
      <c r="O3770">
        <v>-0.99948890000000001</v>
      </c>
      <c r="P3770">
        <v>0.35233799999999998</v>
      </c>
      <c r="Q3770">
        <v>-5.5838749999999999E-2</v>
      </c>
      <c r="R3770">
        <v>-0.93420570000000003</v>
      </c>
      <c r="S3770">
        <v>1.2798769999999999</v>
      </c>
      <c r="T3770">
        <v>-0.10386339999999999</v>
      </c>
      <c r="U3770">
        <v>-2.7226409999999999</v>
      </c>
      <c r="V3770">
        <v>-0.32539279999999998</v>
      </c>
      <c r="W3770">
        <v>-4.2499229999999999E-2</v>
      </c>
      <c r="X3770">
        <v>0.9446234</v>
      </c>
      <c r="Y3770">
        <v>-0.39906530000000001</v>
      </c>
      <c r="Z3770">
        <v>2.068101E-2</v>
      </c>
      <c r="AA3770">
        <v>0.91668919999999998</v>
      </c>
      <c r="AB3770">
        <v>18</v>
      </c>
      <c r="AC3770">
        <v>13.8134</v>
      </c>
      <c r="AD3770">
        <v>-1.1213857705650001</v>
      </c>
      <c r="AE3770">
        <v>-29.2164</v>
      </c>
      <c r="AF3770">
        <v>-12.9539043941045</v>
      </c>
      <c r="AG3770">
        <v>-1.1213857705650001</v>
      </c>
      <c r="AH3770">
        <v>29.565079610010901</v>
      </c>
      <c r="AI3770">
        <v>91.989713422233905</v>
      </c>
      <c r="AJ3770">
        <v>113.660572053034</v>
      </c>
      <c r="AK3770">
        <v>32.2979113480161</v>
      </c>
      <c r="AL3770">
        <v>92.435760093358695</v>
      </c>
      <c r="AM3770">
        <v>109.00720513839801</v>
      </c>
      <c r="AN3770">
        <v>1.00000001333499</v>
      </c>
    </row>
    <row r="3771" spans="1:40" x14ac:dyDescent="0.25">
      <c r="A3771" t="str">
        <f>"20190303153841885"</f>
        <v>20190303153841885</v>
      </c>
      <c r="B3771" t="str">
        <f>"1551598721882426"</f>
        <v>1551598721882426</v>
      </c>
      <c r="C3771" t="s">
        <v>40</v>
      </c>
      <c r="D3771">
        <v>4.4680809999999997</v>
      </c>
      <c r="E3771">
        <v>0.46418710000000002</v>
      </c>
      <c r="F3771" t="s">
        <v>51</v>
      </c>
      <c r="G3771">
        <v>-479.46339999999998</v>
      </c>
      <c r="H3771" s="1">
        <v>1.8258609999999999E-6</v>
      </c>
      <c r="I3771">
        <v>216.08160000000001</v>
      </c>
      <c r="J3771">
        <v>-492.05709999999999</v>
      </c>
      <c r="K3771">
        <v>1.1213850000000001</v>
      </c>
      <c r="L3771">
        <v>242.07599999999999</v>
      </c>
      <c r="M3771">
        <v>2.8681760000000001E-2</v>
      </c>
      <c r="N3771">
        <v>-1.4107059999999999E-2</v>
      </c>
      <c r="O3771">
        <v>-0.99948910000000002</v>
      </c>
      <c r="P3771">
        <v>0.35287679999999999</v>
      </c>
      <c r="Q3771">
        <v>-5.5875750000000002E-2</v>
      </c>
      <c r="R3771">
        <v>-0.93400019999999995</v>
      </c>
      <c r="S3771">
        <v>1.308044</v>
      </c>
      <c r="T3771">
        <v>-0.1164433</v>
      </c>
      <c r="U3771">
        <v>-2.7109679999999998</v>
      </c>
      <c r="V3771">
        <v>-0.32594220000000002</v>
      </c>
      <c r="W3771">
        <v>-4.2540939999999999E-2</v>
      </c>
      <c r="X3771">
        <v>0.9444321</v>
      </c>
      <c r="Y3771">
        <v>-0.40826950000000001</v>
      </c>
      <c r="Z3771">
        <v>2.4869579999999999E-2</v>
      </c>
      <c r="AA3771">
        <v>0.91252259999999996</v>
      </c>
      <c r="AB3771">
        <v>18</v>
      </c>
      <c r="AC3771">
        <v>12.5937</v>
      </c>
      <c r="AD3771">
        <v>-1.1213831741389999</v>
      </c>
      <c r="AE3771">
        <v>-25.994399999999899</v>
      </c>
      <c r="AF3771">
        <v>-11.8250554227278</v>
      </c>
      <c r="AG3771">
        <v>-1.1213831741389999</v>
      </c>
      <c r="AH3771">
        <v>26.305300786860901</v>
      </c>
      <c r="AI3771">
        <v>92.226631226731101</v>
      </c>
      <c r="AJ3771">
        <v>114.205407996364</v>
      </c>
      <c r="AK3771">
        <v>28.8627490974274</v>
      </c>
      <c r="AL3771">
        <v>92.438152046289702</v>
      </c>
      <c r="AM3771">
        <v>109.040567123399</v>
      </c>
      <c r="AN3771">
        <v>1.0000000204136601</v>
      </c>
    </row>
    <row r="3772" spans="1:40" x14ac:dyDescent="0.25">
      <c r="A3772" t="str">
        <f>"20190303153841899"</f>
        <v>20190303153841899</v>
      </c>
      <c r="B3772" t="str">
        <f>"1551598721892186"</f>
        <v>1551598721892186</v>
      </c>
      <c r="C3772" t="s">
        <v>40</v>
      </c>
      <c r="D3772">
        <v>4.5227579999999996</v>
      </c>
      <c r="E3772">
        <v>0.46300350000000001</v>
      </c>
      <c r="F3772" t="s">
        <v>51</v>
      </c>
      <c r="G3772">
        <v>-480.29750000000001</v>
      </c>
      <c r="H3772" s="1">
        <v>1.7557279999999999E-6</v>
      </c>
      <c r="I3772">
        <v>218.11359999999999</v>
      </c>
      <c r="J3772">
        <v>-492.05380000000002</v>
      </c>
      <c r="K3772">
        <v>1.1213850000000001</v>
      </c>
      <c r="L3772">
        <v>241.9639</v>
      </c>
      <c r="M3772">
        <v>2.8674959999999999E-2</v>
      </c>
      <c r="N3772">
        <v>-1.410434E-2</v>
      </c>
      <c r="O3772">
        <v>-0.99948959999999998</v>
      </c>
      <c r="P3772">
        <v>0.35334680000000002</v>
      </c>
      <c r="Q3772">
        <v>-5.5890960000000003E-2</v>
      </c>
      <c r="R3772">
        <v>-0.93382189999999998</v>
      </c>
      <c r="S3772">
        <v>1.3265990000000001</v>
      </c>
      <c r="T3772">
        <v>-0.1265039</v>
      </c>
      <c r="U3772">
        <v>-2.703217</v>
      </c>
      <c r="V3772">
        <v>-0.32642359999999998</v>
      </c>
      <c r="W3772">
        <v>-4.256016E-2</v>
      </c>
      <c r="X3772">
        <v>0.94426489999999996</v>
      </c>
      <c r="Y3772">
        <v>-0.41430119999999998</v>
      </c>
      <c r="Z3772">
        <v>2.8216669999999999E-2</v>
      </c>
      <c r="AA3772">
        <v>0.90970240000000002</v>
      </c>
      <c r="AB3772">
        <v>18</v>
      </c>
      <c r="AC3772">
        <v>11.7563</v>
      </c>
      <c r="AD3772">
        <v>-1.121383244272</v>
      </c>
      <c r="AE3772">
        <v>-23.850300000000001</v>
      </c>
      <c r="AF3772">
        <v>-11.0478416600311</v>
      </c>
      <c r="AG3772">
        <v>-1.121383244272</v>
      </c>
      <c r="AH3772">
        <v>24.134711253301202</v>
      </c>
      <c r="AI3772">
        <v>92.419167628568701</v>
      </c>
      <c r="AJ3772">
        <v>114.59628688659301</v>
      </c>
      <c r="AK3772">
        <v>26.566832573829299</v>
      </c>
      <c r="AL3772">
        <v>92.439254398285698</v>
      </c>
      <c r="AM3772">
        <v>109.06979202091</v>
      </c>
      <c r="AN3772">
        <v>0.99999996761409704</v>
      </c>
    </row>
    <row r="3773" spans="1:40" x14ac:dyDescent="0.25">
      <c r="A3773" t="str">
        <f>"20190303153841915"</f>
        <v>20190303153841915</v>
      </c>
      <c r="B3773" t="str">
        <f>"1551598721911705"</f>
        <v>1551598721911705</v>
      </c>
      <c r="C3773" t="s">
        <v>40</v>
      </c>
      <c r="D3773">
        <v>4.4810169999999996</v>
      </c>
      <c r="E3773">
        <v>0.46113739999999998</v>
      </c>
      <c r="F3773" t="s">
        <v>51</v>
      </c>
      <c r="G3773">
        <v>-480.8768</v>
      </c>
      <c r="H3773" s="1">
        <v>1.9142109999999999E-6</v>
      </c>
      <c r="I3773">
        <v>219.38849999999999</v>
      </c>
      <c r="J3773">
        <v>-492.05</v>
      </c>
      <c r="K3773">
        <v>1.121386</v>
      </c>
      <c r="L3773">
        <v>241.8323</v>
      </c>
      <c r="M3773">
        <v>2.8664229999999999E-2</v>
      </c>
      <c r="N3773">
        <v>-1.410112E-2</v>
      </c>
      <c r="O3773">
        <v>-0.99948959999999998</v>
      </c>
      <c r="P3773">
        <v>0.3546704</v>
      </c>
      <c r="Q3773">
        <v>-5.5715649999999999E-2</v>
      </c>
      <c r="R3773">
        <v>-0.93332990000000005</v>
      </c>
      <c r="S3773">
        <v>1.3362430000000001</v>
      </c>
      <c r="T3773">
        <v>-0.1340644</v>
      </c>
      <c r="U3773">
        <v>-2.6989589999999999</v>
      </c>
      <c r="V3773">
        <v>-0.32777109999999998</v>
      </c>
      <c r="W3773">
        <v>-4.2392520000000003E-2</v>
      </c>
      <c r="X3773">
        <v>0.94380560000000002</v>
      </c>
      <c r="Y3773">
        <v>-0.41744880000000001</v>
      </c>
      <c r="Z3773">
        <v>3.0735889999999998E-2</v>
      </c>
      <c r="AA3773">
        <v>0.90818049999999995</v>
      </c>
      <c r="AB3773">
        <v>18</v>
      </c>
      <c r="AC3773">
        <v>11.1732</v>
      </c>
      <c r="AD3773">
        <v>-1.1213840857889901</v>
      </c>
      <c r="AE3773">
        <v>-22.4438</v>
      </c>
      <c r="AF3773">
        <v>-10.504195118859201</v>
      </c>
      <c r="AG3773">
        <v>-1.1213840857889901</v>
      </c>
      <c r="AH3773">
        <v>22.709446585521398</v>
      </c>
      <c r="AI3773">
        <v>92.5661351924211</v>
      </c>
      <c r="AJ3773">
        <v>114.82277781462101</v>
      </c>
      <c r="AK3773">
        <v>25.046248852544299</v>
      </c>
      <c r="AL3773">
        <v>92.429640541212507</v>
      </c>
      <c r="AM3773">
        <v>109.151432472286</v>
      </c>
      <c r="AN3773">
        <v>1.0000000151692601</v>
      </c>
    </row>
    <row r="3774" spans="1:40" x14ac:dyDescent="0.25">
      <c r="A3774" t="str">
        <f>"20190303153841930"</f>
        <v>20190303153841930</v>
      </c>
      <c r="B3774" t="str">
        <f>"1551598721922441"</f>
        <v>1551598721922441</v>
      </c>
      <c r="C3774" t="s">
        <v>40</v>
      </c>
      <c r="D3774">
        <v>4.4991250000000003</v>
      </c>
      <c r="E3774">
        <v>0.46039150000000001</v>
      </c>
      <c r="F3774" t="s">
        <v>51</v>
      </c>
      <c r="G3774">
        <v>-481.17739999999998</v>
      </c>
      <c r="H3774" s="1">
        <v>2.1118369999999998E-6</v>
      </c>
      <c r="I3774">
        <v>220.22399999999999</v>
      </c>
      <c r="J3774">
        <v>-492.04649999999998</v>
      </c>
      <c r="K3774">
        <v>1.1213820000000001</v>
      </c>
      <c r="L3774">
        <v>241.709</v>
      </c>
      <c r="M3774">
        <v>2.8650519999999999E-2</v>
      </c>
      <c r="N3774">
        <v>-1.4098080000000001E-2</v>
      </c>
      <c r="O3774">
        <v>-0.99949030000000005</v>
      </c>
      <c r="P3774">
        <v>0.35512909999999998</v>
      </c>
      <c r="Q3774">
        <v>-5.5516250000000003E-2</v>
      </c>
      <c r="R3774">
        <v>-0.93316759999999999</v>
      </c>
      <c r="S3774">
        <v>1.354187</v>
      </c>
      <c r="T3774">
        <v>-0.13966889999999901</v>
      </c>
      <c r="U3774">
        <v>-2.6913299999999998</v>
      </c>
      <c r="V3774">
        <v>-0.32824769999999998</v>
      </c>
      <c r="W3774">
        <v>-4.2195339999999998E-2</v>
      </c>
      <c r="X3774">
        <v>0.94364879999999995</v>
      </c>
      <c r="Y3774">
        <v>-0.42328660000000001</v>
      </c>
      <c r="Z3774">
        <v>3.2593440000000001E-2</v>
      </c>
      <c r="AA3774">
        <v>0.90540929999999997</v>
      </c>
      <c r="AB3774">
        <v>18</v>
      </c>
      <c r="AC3774">
        <v>10.8691</v>
      </c>
      <c r="AD3774">
        <v>-1.1213798881629999</v>
      </c>
      <c r="AE3774">
        <v>-21.4849999999999</v>
      </c>
      <c r="AF3774">
        <v>-10.2268372152332</v>
      </c>
      <c r="AG3774">
        <v>-1.1213798881629999</v>
      </c>
      <c r="AH3774">
        <v>21.740458453865902</v>
      </c>
      <c r="AI3774">
        <v>92.672290835253406</v>
      </c>
      <c r="AJ3774">
        <v>115.19256423490501</v>
      </c>
      <c r="AK3774">
        <v>24.051886122812199</v>
      </c>
      <c r="AL3774">
        <v>92.418332809286099</v>
      </c>
      <c r="AM3774">
        <v>109.180201280476</v>
      </c>
      <c r="AN3774">
        <v>1.0000000285072199</v>
      </c>
    </row>
    <row r="3775" spans="1:40" x14ac:dyDescent="0.25">
      <c r="A3775" t="str">
        <f>"20190303153841943"</f>
        <v>20190303153841943</v>
      </c>
      <c r="B3775" t="str">
        <f>"1551598721932201"</f>
        <v>1551598721932201</v>
      </c>
      <c r="C3775" t="s">
        <v>40</v>
      </c>
      <c r="D3775">
        <v>4.507879</v>
      </c>
      <c r="E3775">
        <v>0.45974880000000001</v>
      </c>
      <c r="F3775" t="s">
        <v>51</v>
      </c>
      <c r="G3775">
        <v>-481.28680000000003</v>
      </c>
      <c r="H3775" s="1">
        <v>2.1819389999999998E-6</v>
      </c>
      <c r="I3775">
        <v>220.45330000000001</v>
      </c>
      <c r="J3775">
        <v>-492.04349999999999</v>
      </c>
      <c r="K3775">
        <v>1.1213770000000001</v>
      </c>
      <c r="L3775">
        <v>241.60149999999999</v>
      </c>
      <c r="M3775">
        <v>2.8632609999999999E-2</v>
      </c>
      <c r="N3775">
        <v>-1.4095460000000001E-2</v>
      </c>
      <c r="O3775">
        <v>-0.99949060000000001</v>
      </c>
      <c r="P3775">
        <v>0.35580349999999999</v>
      </c>
      <c r="Q3775">
        <v>-5.5147389999999998E-2</v>
      </c>
      <c r="R3775">
        <v>-0.93293250000000005</v>
      </c>
      <c r="S3775">
        <v>1.3609309999999999</v>
      </c>
      <c r="T3775">
        <v>-0.1418364</v>
      </c>
      <c r="U3775">
        <v>-2.688507</v>
      </c>
      <c r="V3775">
        <v>-0.32894610000000002</v>
      </c>
      <c r="W3775">
        <v>-4.182839E-2</v>
      </c>
      <c r="X3775">
        <v>0.94342190000000004</v>
      </c>
      <c r="Y3775">
        <v>-0.42547940000000001</v>
      </c>
      <c r="Z3775">
        <v>3.33117E-2</v>
      </c>
      <c r="AA3775">
        <v>0.90435480000000001</v>
      </c>
      <c r="AB3775">
        <v>18</v>
      </c>
      <c r="AC3775">
        <v>10.756699999999899</v>
      </c>
      <c r="AD3775">
        <v>-1.1213748180609999</v>
      </c>
      <c r="AE3775">
        <v>-21.1481999999999</v>
      </c>
      <c r="AF3775">
        <v>-10.124086157514</v>
      </c>
      <c r="AG3775">
        <v>-1.1213748180609999</v>
      </c>
      <c r="AH3775">
        <v>21.399749442747801</v>
      </c>
      <c r="AI3775">
        <v>92.711951356587605</v>
      </c>
      <c r="AJ3775">
        <v>115.318535111326</v>
      </c>
      <c r="AK3775">
        <v>23.700292787637299</v>
      </c>
      <c r="AL3775">
        <v>92.397289574249797</v>
      </c>
      <c r="AM3775">
        <v>109.22230340753801</v>
      </c>
      <c r="AN3775">
        <v>1.0000000161574001</v>
      </c>
    </row>
    <row r="3776" spans="1:40" x14ac:dyDescent="0.25">
      <c r="A3776" t="str">
        <f>"20190303153841962"</f>
        <v>20190303153841962</v>
      </c>
      <c r="B3776" t="str">
        <f>"1551598721951721"</f>
        <v>1551598721951721</v>
      </c>
      <c r="C3776" t="s">
        <v>40</v>
      </c>
      <c r="D3776">
        <v>4.4528160000000003</v>
      </c>
      <c r="E3776">
        <v>0.4585629</v>
      </c>
      <c r="F3776" t="s">
        <v>51</v>
      </c>
      <c r="G3776">
        <v>-481.32049999999998</v>
      </c>
      <c r="H3776" s="1">
        <v>2.2075710000000001E-6</v>
      </c>
      <c r="I3776">
        <v>220.54220000000001</v>
      </c>
      <c r="J3776">
        <v>-492.0394</v>
      </c>
      <c r="K3776">
        <v>1.121373</v>
      </c>
      <c r="L3776">
        <v>241.45849999999999</v>
      </c>
      <c r="M3776">
        <v>2.8601709999999999E-2</v>
      </c>
      <c r="N3776">
        <v>-1.409198E-2</v>
      </c>
      <c r="O3776">
        <v>-0.99949149999999998</v>
      </c>
      <c r="P3776">
        <v>0.35717539999999998</v>
      </c>
      <c r="Q3776">
        <v>-5.512305E-2</v>
      </c>
      <c r="R3776">
        <v>-0.93240959999999995</v>
      </c>
      <c r="S3776">
        <v>1.3674930000000001</v>
      </c>
      <c r="T3776">
        <v>-0.143008</v>
      </c>
      <c r="U3776">
        <v>-2.6856840000000002</v>
      </c>
      <c r="V3776">
        <v>-0.33036169999999998</v>
      </c>
      <c r="W3776">
        <v>-4.180826E-2</v>
      </c>
      <c r="X3776">
        <v>0.94292799999999999</v>
      </c>
      <c r="Y3776">
        <v>-0.4276375</v>
      </c>
      <c r="Z3776">
        <v>3.3699880000000002E-2</v>
      </c>
      <c r="AA3776">
        <v>0.90332190000000001</v>
      </c>
      <c r="AB3776">
        <v>18</v>
      </c>
      <c r="AC3776">
        <v>10.7189</v>
      </c>
      <c r="AD3776">
        <v>-1.121370792429</v>
      </c>
      <c r="AE3776">
        <v>-20.9162999999999</v>
      </c>
      <c r="AF3776">
        <v>-10.093235897566601</v>
      </c>
      <c r="AG3776">
        <v>-1.121370792429</v>
      </c>
      <c r="AH3776">
        <v>21.166167078230899</v>
      </c>
      <c r="AI3776">
        <v>92.737834378135105</v>
      </c>
      <c r="AJ3776">
        <v>115.49446916707301</v>
      </c>
      <c r="AK3776">
        <v>23.476318112549698</v>
      </c>
      <c r="AL3776">
        <v>92.396135243212299</v>
      </c>
      <c r="AM3776">
        <v>109.308281412307</v>
      </c>
      <c r="AN3776">
        <v>0.99999999830755804</v>
      </c>
    </row>
    <row r="3777" spans="1:40" x14ac:dyDescent="0.25">
      <c r="A3777" t="str">
        <f>"20190303153841985"</f>
        <v>20190303153841985</v>
      </c>
      <c r="B3777" t="str">
        <f>"1551598721981977"</f>
        <v>1551598721981977</v>
      </c>
      <c r="C3777" t="s">
        <v>40</v>
      </c>
      <c r="D3777">
        <v>4.4792560000000003</v>
      </c>
      <c r="E3777">
        <v>0.45715359999999999</v>
      </c>
      <c r="F3777" t="s">
        <v>51</v>
      </c>
      <c r="G3777">
        <v>-481.55009999999999</v>
      </c>
      <c r="H3777" s="1">
        <v>2.3699119999999999E-6</v>
      </c>
      <c r="I3777">
        <v>221.09219999999999</v>
      </c>
      <c r="J3777">
        <v>-492.03410000000002</v>
      </c>
      <c r="K3777">
        <v>1.1213550000000001</v>
      </c>
      <c r="L3777">
        <v>241.27269999999999</v>
      </c>
      <c r="M3777">
        <v>2.8545279999999999E-2</v>
      </c>
      <c r="N3777">
        <v>-1.408745E-2</v>
      </c>
      <c r="O3777">
        <v>-0.99949319999999997</v>
      </c>
      <c r="P3777">
        <v>0.35903289999999999</v>
      </c>
      <c r="Q3777">
        <v>-5.5262390000000002E-2</v>
      </c>
      <c r="R3777">
        <v>-0.9316875</v>
      </c>
      <c r="S3777">
        <v>1.38028</v>
      </c>
      <c r="T3777">
        <v>-0.1475601</v>
      </c>
      <c r="U3777">
        <v>-2.6799770000000001</v>
      </c>
      <c r="V3777">
        <v>-0.33229370000000003</v>
      </c>
      <c r="W3777">
        <v>-4.1951740000000001E-2</v>
      </c>
      <c r="X3777">
        <v>0.94224249999999998</v>
      </c>
      <c r="Y3777">
        <v>-0.43184440000000002</v>
      </c>
      <c r="Z3777">
        <v>3.5211050000000001E-2</v>
      </c>
      <c r="AA3777">
        <v>0.90126059999999997</v>
      </c>
      <c r="AB3777">
        <v>18</v>
      </c>
      <c r="AC3777">
        <v>10.484</v>
      </c>
      <c r="AD3777">
        <v>-1.1213526300879999</v>
      </c>
      <c r="AE3777">
        <v>-20.180499999999899</v>
      </c>
      <c r="AF3777">
        <v>-9.8795906291501296</v>
      </c>
      <c r="AG3777">
        <v>-1.1213526300879999</v>
      </c>
      <c r="AH3777">
        <v>20.4219196959227</v>
      </c>
      <c r="AI3777">
        <v>92.829768066339497</v>
      </c>
      <c r="AJ3777">
        <v>115.816482816814</v>
      </c>
      <c r="AK3777">
        <v>22.713840423568001</v>
      </c>
      <c r="AL3777">
        <v>92.404363280105102</v>
      </c>
      <c r="AM3777">
        <v>109.42584089473699</v>
      </c>
      <c r="AN3777">
        <v>0.99999999017748298</v>
      </c>
    </row>
    <row r="3778" spans="1:40" x14ac:dyDescent="0.25">
      <c r="A3778" t="str">
        <f>"20190303153842005"</f>
        <v>20190303153842005</v>
      </c>
      <c r="B3778" t="str">
        <f>"1551598722001722"</f>
        <v>1551598722001722</v>
      </c>
      <c r="C3778" t="s">
        <v>40</v>
      </c>
      <c r="D3778">
        <v>4.4880940000000002</v>
      </c>
      <c r="E3778">
        <v>0.4563816</v>
      </c>
      <c r="F3778" t="s">
        <v>51</v>
      </c>
      <c r="G3778">
        <v>-481.76369999999997</v>
      </c>
      <c r="H3778" s="1">
        <v>2.522385E-6</v>
      </c>
      <c r="I3778">
        <v>221.6104</v>
      </c>
      <c r="J3778">
        <v>-492.02949999999998</v>
      </c>
      <c r="K3778">
        <v>1.1213439999999999</v>
      </c>
      <c r="L3778">
        <v>241.11080000000001</v>
      </c>
      <c r="M3778">
        <v>2.8476930000000001E-2</v>
      </c>
      <c r="N3778">
        <v>-1.4083470000000001E-2</v>
      </c>
      <c r="O3778">
        <v>-0.99949529999999998</v>
      </c>
      <c r="P3778">
        <v>0.36063840000000003</v>
      </c>
      <c r="Q3778">
        <v>-5.5338949999999998E-2</v>
      </c>
      <c r="R3778">
        <v>-0.93106279999999997</v>
      </c>
      <c r="S3778">
        <v>1.3961790000000001</v>
      </c>
      <c r="T3778">
        <v>-0.15243909999999999</v>
      </c>
      <c r="U3778">
        <v>-2.6729280000000002</v>
      </c>
      <c r="V3778">
        <v>-0.3339818</v>
      </c>
      <c r="W3778">
        <v>-4.2030150000000002E-2</v>
      </c>
      <c r="X3778">
        <v>0.94164199999999998</v>
      </c>
      <c r="Y3778">
        <v>-0.4370541</v>
      </c>
      <c r="Z3778">
        <v>3.6825190000000001E-2</v>
      </c>
      <c r="AA3778">
        <v>0.89868099999999995</v>
      </c>
      <c r="AB3778">
        <v>18</v>
      </c>
      <c r="AC3778">
        <v>10.2658</v>
      </c>
      <c r="AD3778">
        <v>-1.1213414776149999</v>
      </c>
      <c r="AE3778">
        <v>-19.500399999999999</v>
      </c>
      <c r="AF3778">
        <v>-9.6812036177934093</v>
      </c>
      <c r="AG3778">
        <v>-1.1213414776149999</v>
      </c>
      <c r="AH3778">
        <v>19.733764617390602</v>
      </c>
      <c r="AI3778">
        <v>92.920414312746004</v>
      </c>
      <c r="AJ3778">
        <v>116.13214467995</v>
      </c>
      <c r="AK3778">
        <v>22.009192992319701</v>
      </c>
      <c r="AL3778">
        <v>92.408859745472299</v>
      </c>
      <c r="AM3778">
        <v>109.52858969734</v>
      </c>
      <c r="AN3778">
        <v>1.0000000162021301</v>
      </c>
    </row>
    <row r="3779" spans="1:40" x14ac:dyDescent="0.25">
      <c r="A3779" t="str">
        <f>"20190303153842029"</f>
        <v>20190303153842029</v>
      </c>
      <c r="B3779" t="str">
        <f>"1551598722022217"</f>
        <v>1551598722022217</v>
      </c>
      <c r="C3779" t="s">
        <v>40</v>
      </c>
      <c r="D3779">
        <v>4.4581049999999998</v>
      </c>
      <c r="E3779">
        <v>0.45575539999999998</v>
      </c>
      <c r="F3779" t="s">
        <v>51</v>
      </c>
      <c r="G3779">
        <v>-481.85719999999998</v>
      </c>
      <c r="H3779" s="1">
        <v>2.5828539999999999E-6</v>
      </c>
      <c r="I3779">
        <v>221.809</v>
      </c>
      <c r="J3779">
        <v>-492.02449999999999</v>
      </c>
      <c r="K3779">
        <v>1.1213299999999999</v>
      </c>
      <c r="L3779">
        <v>240.92850000000001</v>
      </c>
      <c r="M3779">
        <v>2.8376470000000001E-2</v>
      </c>
      <c r="N3779">
        <v>-1.4078899999999899E-2</v>
      </c>
      <c r="O3779">
        <v>-0.99949840000000001</v>
      </c>
      <c r="P3779">
        <v>0.36238399999999998</v>
      </c>
      <c r="Q3779">
        <v>-5.5555380000000001E-2</v>
      </c>
      <c r="R3779">
        <v>-0.93037190000000003</v>
      </c>
      <c r="S3779">
        <v>1.4061889999999999</v>
      </c>
      <c r="T3779">
        <v>-0.1550097</v>
      </c>
      <c r="U3779">
        <v>-2.6682130000000002</v>
      </c>
      <c r="V3779">
        <v>-0.3358429</v>
      </c>
      <c r="W3779">
        <v>-4.2247380000000001E-2</v>
      </c>
      <c r="X3779">
        <v>0.94097010000000003</v>
      </c>
      <c r="Y3779">
        <v>-0.44041669999999999</v>
      </c>
      <c r="Z3779">
        <v>3.7678799999999998E-2</v>
      </c>
      <c r="AA3779">
        <v>0.89700249999999904</v>
      </c>
      <c r="AB3779">
        <v>18</v>
      </c>
      <c r="AC3779">
        <v>10.167299999999999</v>
      </c>
      <c r="AD3779">
        <v>-1.1213274171459999</v>
      </c>
      <c r="AE3779">
        <v>-19.119499999999899</v>
      </c>
      <c r="AF3779">
        <v>-9.5948798552502392</v>
      </c>
      <c r="AG3779">
        <v>-1.1213274171459999</v>
      </c>
      <c r="AH3779">
        <v>19.348459323497</v>
      </c>
      <c r="AI3779">
        <v>92.972176202687805</v>
      </c>
      <c r="AJ3779">
        <v>116.37676278060999</v>
      </c>
      <c r="AK3779">
        <v>21.625955997507901</v>
      </c>
      <c r="AL3779">
        <v>92.421317183121602</v>
      </c>
      <c r="AM3779">
        <v>109.642058839123</v>
      </c>
      <c r="AN3779">
        <v>1.00000001184564</v>
      </c>
    </row>
    <row r="3780" spans="1:40" x14ac:dyDescent="0.25">
      <c r="A3780" t="str">
        <f>"20190303153842050"</f>
        <v>20190303153842050</v>
      </c>
      <c r="B3780" t="str">
        <f>"1551598722041737"</f>
        <v>1551598722041737</v>
      </c>
      <c r="C3780" t="s">
        <v>40</v>
      </c>
      <c r="D3780">
        <v>4.4657439999999999</v>
      </c>
      <c r="E3780">
        <v>0.45513619999999999</v>
      </c>
      <c r="F3780" t="s">
        <v>51</v>
      </c>
      <c r="G3780">
        <v>-482.02879999999999</v>
      </c>
      <c r="H3780" s="1">
        <v>2.6837280000000002E-6</v>
      </c>
      <c r="I3780">
        <v>222.1275</v>
      </c>
      <c r="J3780">
        <v>-492.0197</v>
      </c>
      <c r="K3780">
        <v>1.121319</v>
      </c>
      <c r="L3780">
        <v>240.75479999999999</v>
      </c>
      <c r="M3780">
        <v>2.8254439999999999E-2</v>
      </c>
      <c r="N3780">
        <v>-1.407432E-2</v>
      </c>
      <c r="O3780">
        <v>-0.99950209999999995</v>
      </c>
      <c r="P3780">
        <v>0.36388310000000001</v>
      </c>
      <c r="Q3780">
        <v>-5.533068E-2</v>
      </c>
      <c r="R3780">
        <v>-0.92980030000000002</v>
      </c>
      <c r="S3780">
        <v>1.4160459999999999</v>
      </c>
      <c r="T3780">
        <v>-0.15885350000000001</v>
      </c>
      <c r="U3780">
        <v>-2.6634519999999999</v>
      </c>
      <c r="V3780">
        <v>-0.33747389999999999</v>
      </c>
      <c r="W3780">
        <v>-4.202243E-2</v>
      </c>
      <c r="X3780">
        <v>0.94039640000000002</v>
      </c>
      <c r="Y3780">
        <v>-0.44374819999999998</v>
      </c>
      <c r="Z3780">
        <v>3.8956230000000001E-2</v>
      </c>
      <c r="AA3780">
        <v>0.8953044</v>
      </c>
      <c r="AB3780">
        <v>18</v>
      </c>
      <c r="AC3780">
        <v>9.9908999999999999</v>
      </c>
      <c r="AD3780">
        <v>-1.1213163162719999</v>
      </c>
      <c r="AE3780">
        <v>-18.627299999999899</v>
      </c>
      <c r="AF3780">
        <v>-9.4340058515714702</v>
      </c>
      <c r="AG3780">
        <v>-1.1213163162719999</v>
      </c>
      <c r="AH3780">
        <v>18.849132515556501</v>
      </c>
      <c r="AI3780">
        <v>93.045146496033894</v>
      </c>
      <c r="AJ3780">
        <v>116.58800143369</v>
      </c>
      <c r="AK3780">
        <v>21.107998798503601</v>
      </c>
      <c r="AL3780">
        <v>92.408417182103094</v>
      </c>
      <c r="AM3780">
        <v>109.741207377113</v>
      </c>
      <c r="AN3780">
        <v>0.99999995346863602</v>
      </c>
    </row>
    <row r="3781" spans="1:40" x14ac:dyDescent="0.25">
      <c r="A3781" t="str">
        <f>"20190303153842065"</f>
        <v>20190303153842065</v>
      </c>
      <c r="B3781" t="str">
        <f>"1551598722052473"</f>
        <v>1551598722052473</v>
      </c>
      <c r="C3781" t="s">
        <v>40</v>
      </c>
      <c r="D3781">
        <v>4.4454399999999996</v>
      </c>
      <c r="E3781">
        <v>0.45482699999999998</v>
      </c>
      <c r="F3781" t="s">
        <v>51</v>
      </c>
      <c r="G3781">
        <v>-482.03359999999998</v>
      </c>
      <c r="H3781" s="1">
        <v>2.68254E-6</v>
      </c>
      <c r="I3781">
        <v>222.1183</v>
      </c>
      <c r="J3781">
        <v>-492.01650000000001</v>
      </c>
      <c r="K3781">
        <v>1.12131</v>
      </c>
      <c r="L3781">
        <v>240.63939999999999</v>
      </c>
      <c r="M3781">
        <v>2.815838E-2</v>
      </c>
      <c r="N3781">
        <v>-1.407128E-2</v>
      </c>
      <c r="O3781">
        <v>-0.99950439999999996</v>
      </c>
      <c r="P3781">
        <v>0.36458020000000002</v>
      </c>
      <c r="Q3781">
        <v>-5.5222319999999998E-2</v>
      </c>
      <c r="R3781">
        <v>-0.92953319999999995</v>
      </c>
      <c r="S3781">
        <v>1.424957</v>
      </c>
      <c r="T3781">
        <v>-0.1600056</v>
      </c>
      <c r="U3781">
        <v>-2.659332</v>
      </c>
      <c r="V3781">
        <v>-0.3382694</v>
      </c>
      <c r="W3781">
        <v>-4.1912810000000002E-2</v>
      </c>
      <c r="X3781">
        <v>0.94011549999999999</v>
      </c>
      <c r="Y3781">
        <v>-0.44673119999999999</v>
      </c>
      <c r="Z3781">
        <v>3.9334250000000001E-2</v>
      </c>
      <c r="AA3781">
        <v>0.89380319999999902</v>
      </c>
      <c r="AB3781">
        <v>18</v>
      </c>
      <c r="AC3781">
        <v>9.9829000000000292</v>
      </c>
      <c r="AD3781">
        <v>-1.1213073174599999</v>
      </c>
      <c r="AE3781">
        <v>-18.521099999999901</v>
      </c>
      <c r="AF3781">
        <v>-9.4305801028104792</v>
      </c>
      <c r="AG3781">
        <v>-1.1213073174599999</v>
      </c>
      <c r="AH3781">
        <v>18.7416543868035</v>
      </c>
      <c r="AI3781">
        <v>93.059260482442198</v>
      </c>
      <c r="AJ3781">
        <v>116.711002928236</v>
      </c>
      <c r="AK3781">
        <v>21.010539743902498</v>
      </c>
      <c r="AL3781">
        <v>92.402130739411803</v>
      </c>
      <c r="AM3781">
        <v>109.78958616048099</v>
      </c>
      <c r="AN3781">
        <v>1.00000001197935</v>
      </c>
    </row>
    <row r="3782" spans="1:40" x14ac:dyDescent="0.25">
      <c r="A3782" t="str">
        <f>"20190303153842083"</f>
        <v>20190303153842083</v>
      </c>
      <c r="B3782" t="str">
        <f>"1551598722071993"</f>
        <v>1551598722071993</v>
      </c>
      <c r="C3782" t="s">
        <v>40</v>
      </c>
      <c r="D3782">
        <v>4.4380280000000001</v>
      </c>
      <c r="E3782">
        <v>0.45433859999999898</v>
      </c>
      <c r="F3782" t="s">
        <v>51</v>
      </c>
      <c r="G3782">
        <v>-482.03719999999998</v>
      </c>
      <c r="H3782" s="1">
        <v>2.6764829999999999E-6</v>
      </c>
      <c r="I3782">
        <v>222.08799999999999</v>
      </c>
      <c r="J3782">
        <v>-492.01260000000002</v>
      </c>
      <c r="K3782">
        <v>1.1213059999999999</v>
      </c>
      <c r="L3782">
        <v>240.49379999999999</v>
      </c>
      <c r="M3782">
        <v>2.8025399999999999E-2</v>
      </c>
      <c r="N3782">
        <v>-1.4067609999999999E-2</v>
      </c>
      <c r="O3782">
        <v>-0.99950830000000002</v>
      </c>
      <c r="P3782">
        <v>0.36589880000000002</v>
      </c>
      <c r="Q3782">
        <v>-5.4918010000000003E-2</v>
      </c>
      <c r="R3782">
        <v>-0.929033</v>
      </c>
      <c r="S3782">
        <v>1.4294129999999901</v>
      </c>
      <c r="T3782">
        <v>-0.16061329999999999</v>
      </c>
      <c r="U3782">
        <v>-2.657257</v>
      </c>
      <c r="V3782">
        <v>-0.33972760000000002</v>
      </c>
      <c r="W3782">
        <v>-4.1610139999999997E-2</v>
      </c>
      <c r="X3782">
        <v>0.93960299999999997</v>
      </c>
      <c r="Y3782">
        <v>-0.44829819999999998</v>
      </c>
      <c r="Z3782">
        <v>3.9534729999999997E-2</v>
      </c>
      <c r="AA3782">
        <v>0.89300939999999995</v>
      </c>
      <c r="AB3782">
        <v>18</v>
      </c>
      <c r="AC3782">
        <v>9.9754000000000307</v>
      </c>
      <c r="AD3782">
        <v>-1.121303323517</v>
      </c>
      <c r="AE3782">
        <v>-18.405799999999999</v>
      </c>
      <c r="AF3782">
        <v>-9.4285519410248693</v>
      </c>
      <c r="AG3782">
        <v>-1.121303323517</v>
      </c>
      <c r="AH3782">
        <v>18.6247315251047</v>
      </c>
      <c r="AI3782">
        <v>93.074650985885498</v>
      </c>
      <c r="AJ3782">
        <v>116.850278501943</v>
      </c>
      <c r="AK3782">
        <v>20.905394931217199</v>
      </c>
      <c r="AL3782">
        <v>92.384773860617102</v>
      </c>
      <c r="AM3782">
        <v>109.878219177951</v>
      </c>
      <c r="AN3782">
        <v>1.0000000217807801</v>
      </c>
    </row>
    <row r="3783" spans="1:40" x14ac:dyDescent="0.25">
      <c r="A3783" t="str">
        <f>"20190303153842098"</f>
        <v>20190303153842098</v>
      </c>
      <c r="B3783" t="str">
        <f>"1551598722092490"</f>
        <v>1551598722092490</v>
      </c>
      <c r="C3783" t="s">
        <v>40</v>
      </c>
      <c r="D3783">
        <v>4.4436910000000003</v>
      </c>
      <c r="E3783">
        <v>0.45391389999999998</v>
      </c>
      <c r="F3783" t="s">
        <v>51</v>
      </c>
      <c r="G3783">
        <v>-482.05630000000002</v>
      </c>
      <c r="H3783" s="1">
        <v>2.6829359999999999E-6</v>
      </c>
      <c r="I3783">
        <v>222.1019</v>
      </c>
      <c r="J3783">
        <v>-492.0095</v>
      </c>
      <c r="K3783">
        <v>1.121302</v>
      </c>
      <c r="L3783">
        <v>240.37950000000001</v>
      </c>
      <c r="M3783">
        <v>2.7912039999999999E-2</v>
      </c>
      <c r="N3783">
        <v>-1.4064790000000001E-2</v>
      </c>
      <c r="O3783">
        <v>-0.99951159999999994</v>
      </c>
      <c r="P3783">
        <v>0.366479</v>
      </c>
      <c r="Q3783">
        <v>-5.4659289999999999E-2</v>
      </c>
      <c r="R3783">
        <v>-0.92881950000000002</v>
      </c>
      <c r="S3783">
        <v>1.436615</v>
      </c>
      <c r="T3783">
        <v>-0.16179540000000001</v>
      </c>
      <c r="U3783">
        <v>-2.6538089999999999</v>
      </c>
      <c r="V3783">
        <v>-0.34042070000000002</v>
      </c>
      <c r="W3783">
        <v>-4.135196E-2</v>
      </c>
      <c r="X3783">
        <v>0.93936350000000002</v>
      </c>
      <c r="Y3783">
        <v>-0.4507486</v>
      </c>
      <c r="Z3783">
        <v>3.992453E-2</v>
      </c>
      <c r="AA3783">
        <v>0.89175769999999999</v>
      </c>
      <c r="AB3783">
        <v>18</v>
      </c>
      <c r="AC3783">
        <v>9.9531999999999794</v>
      </c>
      <c r="AD3783">
        <v>-1.121299317064</v>
      </c>
      <c r="AE3783">
        <v>-18.2776</v>
      </c>
      <c r="AF3783">
        <v>-9.4117852311387598</v>
      </c>
      <c r="AG3783">
        <v>-1.121299317064</v>
      </c>
      <c r="AH3783">
        <v>18.494632557052899</v>
      </c>
      <c r="AI3783">
        <v>93.092917493214799</v>
      </c>
      <c r="AJ3783">
        <v>116.971215215416</v>
      </c>
      <c r="AK3783">
        <v>20.781974083708501</v>
      </c>
      <c r="AL3783">
        <v>92.369968518143594</v>
      </c>
      <c r="AM3783">
        <v>109.920266625433</v>
      </c>
      <c r="AN3783">
        <v>1.0000000113582901</v>
      </c>
    </row>
    <row r="3784" spans="1:40" x14ac:dyDescent="0.25">
      <c r="A3784" t="str">
        <f>"20190303153842116"</f>
        <v>20190303153842116</v>
      </c>
      <c r="B3784" t="str">
        <f>"1551598722112009"</f>
        <v>1551598722112009</v>
      </c>
      <c r="C3784" t="s">
        <v>40</v>
      </c>
      <c r="D3784">
        <v>4.4043919999999996</v>
      </c>
      <c r="E3784">
        <v>0.45351330000000001</v>
      </c>
      <c r="F3784" t="s">
        <v>51</v>
      </c>
      <c r="G3784">
        <v>-482.02910000000003</v>
      </c>
      <c r="H3784" s="1">
        <v>2.6604049999999999E-6</v>
      </c>
      <c r="I3784">
        <v>222.02180000000001</v>
      </c>
      <c r="J3784">
        <v>-492.00560000000002</v>
      </c>
      <c r="K3784">
        <v>1.121297</v>
      </c>
      <c r="L3784">
        <v>240.23410000000001</v>
      </c>
      <c r="M3784">
        <v>2.7759329999999999E-2</v>
      </c>
      <c r="N3784">
        <v>-1.4061229999999999E-2</v>
      </c>
      <c r="O3784">
        <v>-0.99951570000000001</v>
      </c>
      <c r="P3784">
        <v>0.36787350000000002</v>
      </c>
      <c r="Q3784">
        <v>-5.4277520000000003E-2</v>
      </c>
      <c r="R3784">
        <v>-0.92829010000000001</v>
      </c>
      <c r="S3784">
        <v>1.441589</v>
      </c>
      <c r="T3784">
        <v>-0.161962299999999</v>
      </c>
      <c r="U3784">
        <v>-2.6516109999999999</v>
      </c>
      <c r="V3784">
        <v>-0.34197300000000003</v>
      </c>
      <c r="W3784">
        <v>-4.0975980000000002E-2</v>
      </c>
      <c r="X3784">
        <v>0.93881599999999998</v>
      </c>
      <c r="Y3784">
        <v>-0.45248369999999999</v>
      </c>
      <c r="Z3784">
        <v>3.9975299999999998E-2</v>
      </c>
      <c r="AA3784">
        <v>0.89087619999999901</v>
      </c>
      <c r="AB3784">
        <v>18</v>
      </c>
      <c r="AC3784">
        <v>9.9764999999999802</v>
      </c>
      <c r="AD3784">
        <v>-1.1212943395949999</v>
      </c>
      <c r="AE3784">
        <v>-18.212299999999999</v>
      </c>
      <c r="AF3784">
        <v>-9.4395206471427198</v>
      </c>
      <c r="AG3784">
        <v>-1.1212943395949999</v>
      </c>
      <c r="AH3784">
        <v>18.428516668900301</v>
      </c>
      <c r="AI3784">
        <v>93.099802466520302</v>
      </c>
      <c r="AJ3784">
        <v>117.122594722106</v>
      </c>
      <c r="AK3784">
        <v>20.735768074990101</v>
      </c>
      <c r="AL3784">
        <v>92.348408149839699</v>
      </c>
      <c r="AM3784">
        <v>110.01465262289101</v>
      </c>
      <c r="AN3784">
        <v>1.00000002276098</v>
      </c>
    </row>
    <row r="3785" spans="1:40" x14ac:dyDescent="0.25">
      <c r="A3785" t="str">
        <f>"20190303153842130"</f>
        <v>20190303153842130</v>
      </c>
      <c r="B3785" t="str">
        <f>"1551598722121770"</f>
        <v>1551598722121770</v>
      </c>
      <c r="C3785" t="s">
        <v>40</v>
      </c>
      <c r="D3785">
        <v>4.4158439999999999</v>
      </c>
      <c r="E3785">
        <v>0.45332909999999998</v>
      </c>
      <c r="F3785" t="s">
        <v>51</v>
      </c>
      <c r="G3785">
        <v>-481.97910000000002</v>
      </c>
      <c r="H3785" s="1">
        <v>2.6246210000000002E-6</v>
      </c>
      <c r="I3785">
        <v>221.90010000000001</v>
      </c>
      <c r="J3785">
        <v>-492.00259999999997</v>
      </c>
      <c r="K3785">
        <v>1.1212959999999901</v>
      </c>
      <c r="L3785">
        <v>240.1216</v>
      </c>
      <c r="M3785">
        <v>2.763672E-2</v>
      </c>
      <c r="N3785">
        <v>-1.405848E-2</v>
      </c>
      <c r="O3785">
        <v>-0.99951950000000001</v>
      </c>
      <c r="P3785">
        <v>0.36833900000000003</v>
      </c>
      <c r="Q3785">
        <v>-5.412285E-2</v>
      </c>
      <c r="R3785">
        <v>-0.92811509999999997</v>
      </c>
      <c r="S3785">
        <v>1.4483029999999999</v>
      </c>
      <c r="T3785">
        <v>-0.16196849999999999</v>
      </c>
      <c r="U3785">
        <v>-2.6483150000000002</v>
      </c>
      <c r="V3785">
        <v>-0.34255839999999999</v>
      </c>
      <c r="W3785">
        <v>-4.0824199999999998E-2</v>
      </c>
      <c r="X3785">
        <v>0.93860909999999997</v>
      </c>
      <c r="Y3785">
        <v>-0.45479609999999898</v>
      </c>
      <c r="Z3785">
        <v>3.9975129999999998E-2</v>
      </c>
      <c r="AA3785">
        <v>0.88969799999999999</v>
      </c>
      <c r="AB3785">
        <v>18</v>
      </c>
      <c r="AC3785">
        <v>10.023499999999901</v>
      </c>
      <c r="AD3785">
        <v>-1.12129337537899</v>
      </c>
      <c r="AE3785">
        <v>-18.221499999999899</v>
      </c>
      <c r="AF3785">
        <v>-9.4884546864408694</v>
      </c>
      <c r="AG3785">
        <v>-1.12129337537899</v>
      </c>
      <c r="AH3785">
        <v>18.437981651968901</v>
      </c>
      <c r="AI3785">
        <v>93.095209015122705</v>
      </c>
      <c r="AJ3785">
        <v>117.231012158675</v>
      </c>
      <c r="AK3785">
        <v>20.766493169735099</v>
      </c>
      <c r="AL3785">
        <v>92.339704666174299</v>
      </c>
      <c r="AM3785">
        <v>110.05025487986499</v>
      </c>
      <c r="AN3785">
        <v>0.999999957659504</v>
      </c>
    </row>
    <row r="3786" spans="1:40" x14ac:dyDescent="0.25">
      <c r="A3786" t="str">
        <f>"20190303153842144"</f>
        <v>20190303153842144</v>
      </c>
      <c r="B3786" t="str">
        <f>"1551598722132506"</f>
        <v>1551598722132506</v>
      </c>
      <c r="C3786" t="s">
        <v>40</v>
      </c>
      <c r="D3786">
        <v>4.4111560000000001</v>
      </c>
      <c r="E3786">
        <v>0.45315440000000001</v>
      </c>
      <c r="F3786" t="s">
        <v>51</v>
      </c>
      <c r="G3786">
        <v>-481.96660000000003</v>
      </c>
      <c r="H3786" s="1">
        <v>2.6038649999999998E-6</v>
      </c>
      <c r="I3786">
        <v>221.81620000000001</v>
      </c>
      <c r="J3786">
        <v>-491.99979999999999</v>
      </c>
      <c r="K3786">
        <v>1.121297</v>
      </c>
      <c r="L3786">
        <v>240.0137</v>
      </c>
      <c r="M3786">
        <v>2.75152E-2</v>
      </c>
      <c r="N3786">
        <v>-1.405581E-2</v>
      </c>
      <c r="O3786">
        <v>-0.99952280000000004</v>
      </c>
      <c r="P3786">
        <v>0.36916969999999999</v>
      </c>
      <c r="Q3786">
        <v>-5.3906839999999998E-2</v>
      </c>
      <c r="R3786">
        <v>-0.92779769999999995</v>
      </c>
      <c r="S3786">
        <v>1.4512020000000001</v>
      </c>
      <c r="T3786">
        <v>-0.16213859999999999</v>
      </c>
      <c r="U3786">
        <v>-2.646957</v>
      </c>
      <c r="V3786">
        <v>-0.34351179999999998</v>
      </c>
      <c r="W3786">
        <v>-4.06148E-2</v>
      </c>
      <c r="X3786">
        <v>0.93826969999999998</v>
      </c>
      <c r="Y3786">
        <v>-0.45584409999999997</v>
      </c>
      <c r="Z3786">
        <v>4.0030009999999998E-2</v>
      </c>
      <c r="AA3786">
        <v>0.88915900000000003</v>
      </c>
      <c r="AB3786">
        <v>18</v>
      </c>
      <c r="AC3786">
        <v>10.0331999999999</v>
      </c>
      <c r="AD3786">
        <v>-1.1212943961349999</v>
      </c>
      <c r="AE3786">
        <v>-18.197499999999899</v>
      </c>
      <c r="AF3786">
        <v>-9.5009795946789293</v>
      </c>
      <c r="AG3786">
        <v>-1.1212943961349999</v>
      </c>
      <c r="AH3786">
        <v>18.413088634170801</v>
      </c>
      <c r="AI3786">
        <v>93.097655573896404</v>
      </c>
      <c r="AJ3786">
        <v>117.293306110195</v>
      </c>
      <c r="AK3786">
        <v>20.750126443738601</v>
      </c>
      <c r="AL3786">
        <v>92.327696931616302</v>
      </c>
      <c r="AM3786">
        <v>110.108284836827</v>
      </c>
      <c r="AN3786">
        <v>0.99999997432818399</v>
      </c>
    </row>
    <row r="3787" spans="1:40" x14ac:dyDescent="0.25">
      <c r="A3787" t="str">
        <f>"20190303153842162"</f>
        <v>20190303153842162</v>
      </c>
      <c r="B3787" t="str">
        <f>"1551598722152025"</f>
        <v>1551598722152025</v>
      </c>
      <c r="C3787" t="s">
        <v>40</v>
      </c>
      <c r="D3787">
        <v>4.3848419999999999</v>
      </c>
      <c r="E3787">
        <v>0.45279469999999999</v>
      </c>
      <c r="F3787" t="s">
        <v>51</v>
      </c>
      <c r="G3787">
        <v>-481.93110000000001</v>
      </c>
      <c r="H3787" s="1">
        <v>2.5722679999999999E-6</v>
      </c>
      <c r="I3787">
        <v>221.70179999999999</v>
      </c>
      <c r="J3787">
        <v>-491.99590000000001</v>
      </c>
      <c r="K3787">
        <v>1.121297</v>
      </c>
      <c r="L3787">
        <v>239.86930000000001</v>
      </c>
      <c r="M3787">
        <v>2.7350940000000001E-2</v>
      </c>
      <c r="N3787">
        <v>-1.4052220000000001E-2</v>
      </c>
      <c r="O3787">
        <v>-0.9995271</v>
      </c>
      <c r="P3787">
        <v>0.37073</v>
      </c>
      <c r="Q3787">
        <v>-5.3935950000000003E-2</v>
      </c>
      <c r="R3787">
        <v>-0.92717309999999997</v>
      </c>
      <c r="S3787">
        <v>1.4544979999999901</v>
      </c>
      <c r="T3787">
        <v>-0.16198019999999999</v>
      </c>
      <c r="U3787">
        <v>-2.6453090000000001</v>
      </c>
      <c r="V3787">
        <v>-0.34524260000000001</v>
      </c>
      <c r="W3787">
        <v>-4.0656949999999997E-2</v>
      </c>
      <c r="X3787">
        <v>0.93763240000000003</v>
      </c>
      <c r="Y3787">
        <v>-0.45707510000000001</v>
      </c>
      <c r="Z3787">
        <v>3.9977289999999999E-2</v>
      </c>
      <c r="AA3787">
        <v>0.88852919999999902</v>
      </c>
      <c r="AB3787">
        <v>18</v>
      </c>
      <c r="AC3787">
        <v>10.0647999999999</v>
      </c>
      <c r="AD3787">
        <v>-1.1212944277320001</v>
      </c>
      <c r="AE3787">
        <v>-18.1675</v>
      </c>
      <c r="AF3787">
        <v>-9.5362907682209297</v>
      </c>
      <c r="AG3787">
        <v>-1.1212944277320001</v>
      </c>
      <c r="AH3787">
        <v>18.382430820441499</v>
      </c>
      <c r="AI3787">
        <v>93.099298309328702</v>
      </c>
      <c r="AJ3787">
        <v>117.41902117692101</v>
      </c>
      <c r="AK3787">
        <v>20.739139463295899</v>
      </c>
      <c r="AL3787">
        <v>92.330113934331393</v>
      </c>
      <c r="AM3787">
        <v>110.214048636379</v>
      </c>
      <c r="AN3787">
        <v>0.99999997898391102</v>
      </c>
    </row>
    <row r="3788" spans="1:40" x14ac:dyDescent="0.25">
      <c r="A3788" t="str">
        <f>"20190303153842185"</f>
        <v>20190303153842185</v>
      </c>
      <c r="B3788" t="str">
        <f>"1551598722182281"</f>
        <v>1551598722182281</v>
      </c>
      <c r="C3788" t="s">
        <v>40</v>
      </c>
      <c r="D3788">
        <v>4.3620510000000001</v>
      </c>
      <c r="E3788">
        <v>0.45228829999999998</v>
      </c>
      <c r="F3788" t="s">
        <v>51</v>
      </c>
      <c r="G3788">
        <v>-481.96929999999998</v>
      </c>
      <c r="H3788" s="1">
        <v>2.5892550000000002E-6</v>
      </c>
      <c r="I3788">
        <v>221.74799999999999</v>
      </c>
      <c r="J3788">
        <v>-491.9914</v>
      </c>
      <c r="K3788">
        <v>1.121291</v>
      </c>
      <c r="L3788">
        <v>239.69659999999999</v>
      </c>
      <c r="M3788">
        <v>2.715505E-2</v>
      </c>
      <c r="N3788">
        <v>-1.4047850000000001E-2</v>
      </c>
      <c r="O3788">
        <v>-0.99953259999999999</v>
      </c>
      <c r="P3788">
        <v>0.37302059999999998</v>
      </c>
      <c r="Q3788">
        <v>-5.538038E-2</v>
      </c>
      <c r="R3788">
        <v>-0.92616889999999996</v>
      </c>
      <c r="S3788">
        <v>1.46167</v>
      </c>
      <c r="T3788">
        <v>-0.16346040000000001</v>
      </c>
      <c r="U3788">
        <v>-2.6416930000000001</v>
      </c>
      <c r="V3788">
        <v>-0.34774319999999997</v>
      </c>
      <c r="W3788">
        <v>-4.2121789999999999E-2</v>
      </c>
      <c r="X3788">
        <v>0.93664320000000001</v>
      </c>
      <c r="Y3788">
        <v>-0.4595976</v>
      </c>
      <c r="Z3788">
        <v>4.0467679999999999E-2</v>
      </c>
      <c r="AA3788">
        <v>0.88720480000000002</v>
      </c>
      <c r="AB3788">
        <v>18</v>
      </c>
      <c r="AC3788">
        <v>10.0221</v>
      </c>
      <c r="AD3788">
        <v>-1.1212884107449901</v>
      </c>
      <c r="AE3788">
        <v>-17.948599999999999</v>
      </c>
      <c r="AF3788">
        <v>-9.5026882315336003</v>
      </c>
      <c r="AG3788">
        <v>-1.1212884107449901</v>
      </c>
      <c r="AH3788">
        <v>18.160127997790799</v>
      </c>
      <c r="AI3788">
        <v>93.131377313255896</v>
      </c>
      <c r="AJ3788">
        <v>117.62180732629599</v>
      </c>
      <c r="AK3788">
        <v>20.526778125705601</v>
      </c>
      <c r="AL3788">
        <v>92.414114948305695</v>
      </c>
      <c r="AM3788">
        <v>110.36821850007099</v>
      </c>
      <c r="AN3788">
        <v>1.00000003122264</v>
      </c>
    </row>
    <row r="3789" spans="1:40" x14ac:dyDescent="0.25">
      <c r="A3789" t="str">
        <f>"20190303153842217"</f>
        <v>20190303153842217</v>
      </c>
      <c r="B3789" t="str">
        <f>"1551598722212538"</f>
        <v>1551598722212538</v>
      </c>
      <c r="C3789" t="s">
        <v>40</v>
      </c>
      <c r="D3789">
        <v>4.3815140000000001</v>
      </c>
      <c r="E3789">
        <v>0.45184629999999998</v>
      </c>
      <c r="F3789" t="s">
        <v>51</v>
      </c>
      <c r="G3789">
        <v>-482.25229999999999</v>
      </c>
      <c r="H3789" s="1">
        <v>2.7515069999999998E-6</v>
      </c>
      <c r="I3789">
        <v>222.25470000000001</v>
      </c>
      <c r="J3789">
        <v>-491.98500000000001</v>
      </c>
      <c r="K3789">
        <v>1.121286</v>
      </c>
      <c r="L3789">
        <v>239.4496</v>
      </c>
      <c r="M3789">
        <v>2.6881700000000001E-2</v>
      </c>
      <c r="N3789">
        <v>-1.4041710000000001E-2</v>
      </c>
      <c r="O3789">
        <v>-0.99954019999999999</v>
      </c>
      <c r="P3789">
        <v>0.3746796</v>
      </c>
      <c r="Q3789">
        <v>-5.7343579999999998E-2</v>
      </c>
      <c r="R3789">
        <v>-0.92537979999999997</v>
      </c>
      <c r="S3789">
        <v>1.471954</v>
      </c>
      <c r="T3789">
        <v>-0.1694705</v>
      </c>
      <c r="U3789">
        <v>-2.6361539999999999</v>
      </c>
      <c r="V3789">
        <v>-0.34967890000000001</v>
      </c>
      <c r="W3789">
        <v>-4.4107420000000001E-2</v>
      </c>
      <c r="X3789">
        <v>0.93583079999999996</v>
      </c>
      <c r="Y3789">
        <v>-0.46322069999999999</v>
      </c>
      <c r="Z3789">
        <v>4.2466150000000001E-2</v>
      </c>
      <c r="AA3789">
        <v>0.88522500000000004</v>
      </c>
      <c r="AB3789">
        <v>18</v>
      </c>
      <c r="AC3789">
        <v>9.7327000000000208</v>
      </c>
      <c r="AD3789">
        <v>-1.121283248493</v>
      </c>
      <c r="AE3789">
        <v>-17.194899999999901</v>
      </c>
      <c r="AF3789">
        <v>-9.2371596329631291</v>
      </c>
      <c r="AG3789">
        <v>-1.121283248493</v>
      </c>
      <c r="AH3789">
        <v>17.394322649374601</v>
      </c>
      <c r="AI3789">
        <v>93.258490475010802</v>
      </c>
      <c r="AJ3789">
        <v>117.970291586519</v>
      </c>
      <c r="AK3789">
        <v>19.7267547923813</v>
      </c>
      <c r="AL3789">
        <v>92.527989042976898</v>
      </c>
      <c r="AM3789">
        <v>110.488509437958</v>
      </c>
      <c r="AN3789">
        <v>1.0000000419164501</v>
      </c>
    </row>
    <row r="3790" spans="1:40" x14ac:dyDescent="0.25">
      <c r="A3790" t="str">
        <f>"20190303153842239"</f>
        <v>20190303153842239</v>
      </c>
      <c r="B3790" t="str">
        <f>"1551598722232058"</f>
        <v>1551598722232058</v>
      </c>
      <c r="C3790" t="s">
        <v>40</v>
      </c>
      <c r="D3790">
        <v>4.3639609999999998</v>
      </c>
      <c r="E3790">
        <v>0.4515904</v>
      </c>
      <c r="F3790" t="s">
        <v>44</v>
      </c>
      <c r="G3790">
        <v>-491.49639999999999</v>
      </c>
      <c r="H3790">
        <v>1.063064</v>
      </c>
      <c r="I3790">
        <v>238.58019999999999</v>
      </c>
      <c r="J3790">
        <v>-491.9803</v>
      </c>
      <c r="K3790">
        <v>1.121283</v>
      </c>
      <c r="L3790">
        <v>239.26769999999999</v>
      </c>
      <c r="M3790">
        <v>2.668763E-2</v>
      </c>
      <c r="N3790">
        <v>-1.4037269999999999E-2</v>
      </c>
      <c r="O3790">
        <v>-0.99954520000000002</v>
      </c>
      <c r="P3790">
        <v>0.3752894</v>
      </c>
      <c r="Q3790">
        <v>-5.782342E-2</v>
      </c>
      <c r="R3790">
        <v>-0.92510250000000005</v>
      </c>
      <c r="S3790">
        <v>1.4800719999999901</v>
      </c>
      <c r="T3790">
        <v>-0.17622839999999901</v>
      </c>
      <c r="U3790">
        <v>-2.631729</v>
      </c>
      <c r="V3790">
        <v>-0.35047699999999998</v>
      </c>
      <c r="W3790">
        <v>-4.4599769999999997E-2</v>
      </c>
      <c r="X3790">
        <v>0.93550880000000003</v>
      </c>
      <c r="Y3790">
        <v>-0.46604459999999998</v>
      </c>
      <c r="Z3790">
        <v>4.4711439999999998E-2</v>
      </c>
      <c r="AA3790">
        <v>0.88363080000000005</v>
      </c>
      <c r="AB3790">
        <v>17</v>
      </c>
      <c r="AC3790">
        <v>0.48390000000000499</v>
      </c>
      <c r="AD3790">
        <v>-5.8219E-2</v>
      </c>
      <c r="AE3790">
        <v>-0.6875</v>
      </c>
      <c r="AF3790">
        <v>-0.463157040581614</v>
      </c>
      <c r="AG3790">
        <v>-5.8219E-2</v>
      </c>
      <c r="AH3790">
        <v>0.69682893388651002</v>
      </c>
      <c r="AI3790">
        <v>93.980270377874405</v>
      </c>
      <c r="AJ3790">
        <v>123.610551928955</v>
      </c>
      <c r="AK3790">
        <v>0.83873384294585995</v>
      </c>
      <c r="AL3790">
        <v>92.556226538032703</v>
      </c>
      <c r="AM3790">
        <v>110.537851270769</v>
      </c>
      <c r="AN3790">
        <v>0.99999999094524605</v>
      </c>
    </row>
    <row r="3791" spans="1:40" x14ac:dyDescent="0.25">
      <c r="A3791" t="str">
        <f>"20190303153842262"</f>
        <v>20190303153842262</v>
      </c>
      <c r="B3791" t="str">
        <f>"1551598722252557"</f>
        <v>1551598722252557</v>
      </c>
      <c r="C3791" t="s">
        <v>40</v>
      </c>
      <c r="D3791">
        <v>4.3566089999999997</v>
      </c>
      <c r="E3791">
        <v>0.45125510000000002</v>
      </c>
      <c r="F3791" t="s">
        <v>44</v>
      </c>
      <c r="G3791">
        <v>-491.49250000000001</v>
      </c>
      <c r="H3791">
        <v>1.0627679999999999</v>
      </c>
      <c r="I3791">
        <v>238.40270000000001</v>
      </c>
      <c r="J3791">
        <v>-491.97590000000002</v>
      </c>
      <c r="K3791">
        <v>1.1212879999999901</v>
      </c>
      <c r="L3791">
        <v>239.09370000000001</v>
      </c>
      <c r="M3791">
        <v>2.6507840000000001E-2</v>
      </c>
      <c r="N3791">
        <v>-1.4032970000000001E-2</v>
      </c>
      <c r="O3791">
        <v>-0.99955020000000006</v>
      </c>
      <c r="P3791">
        <v>0.37624740000000001</v>
      </c>
      <c r="Q3791">
        <v>-5.717291E-2</v>
      </c>
      <c r="R3791">
        <v>-0.92475370000000001</v>
      </c>
      <c r="S3791">
        <v>1.483643</v>
      </c>
      <c r="T3791">
        <v>-0.17789639999999901</v>
      </c>
      <c r="U3791">
        <v>-2.6299130000000002</v>
      </c>
      <c r="V3791">
        <v>-0.35161130000000002</v>
      </c>
      <c r="W3791">
        <v>-4.3961630000000002E-2</v>
      </c>
      <c r="X3791">
        <v>0.93511330000000004</v>
      </c>
      <c r="Y3791">
        <v>-0.46735989999999999</v>
      </c>
      <c r="Z3791">
        <v>4.5264369999999998E-2</v>
      </c>
      <c r="AA3791">
        <v>0.88290759999999902</v>
      </c>
      <c r="AB3791">
        <v>17</v>
      </c>
      <c r="AC3791">
        <v>0.48340000000001698</v>
      </c>
      <c r="AD3791">
        <v>-5.8519999999999898E-2</v>
      </c>
      <c r="AE3791">
        <v>-0.69100000000000195</v>
      </c>
      <c r="AF3791">
        <v>-0.462683321052758</v>
      </c>
      <c r="AG3791">
        <v>-5.8519999999999898E-2</v>
      </c>
      <c r="AH3791">
        <v>0.70020045804186504</v>
      </c>
      <c r="AI3791">
        <v>93.988671822518498</v>
      </c>
      <c r="AJ3791">
        <v>123.456207306042</v>
      </c>
      <c r="AK3791">
        <v>0.84129728837221796</v>
      </c>
      <c r="AL3791">
        <v>92.519627868009806</v>
      </c>
      <c r="AM3791">
        <v>110.606727603907</v>
      </c>
      <c r="AN3791">
        <v>1.0000000075184099</v>
      </c>
    </row>
    <row r="3792" spans="1:40" x14ac:dyDescent="0.25">
      <c r="A3792" t="str">
        <f>"20190303153842284"</f>
        <v>20190303153842284</v>
      </c>
      <c r="B3792" t="str">
        <f>"1551598722281834"</f>
        <v>1551598722281834</v>
      </c>
      <c r="C3792" t="s">
        <v>40</v>
      </c>
      <c r="D3792">
        <v>4.366924</v>
      </c>
      <c r="E3792">
        <v>0.4507948</v>
      </c>
      <c r="F3792" t="s">
        <v>51</v>
      </c>
      <c r="G3792">
        <v>-482.4932</v>
      </c>
      <c r="H3792" s="1">
        <v>2.8174229999999999E-6</v>
      </c>
      <c r="I3792">
        <v>222.3597</v>
      </c>
      <c r="J3792">
        <v>-491.97149999999999</v>
      </c>
      <c r="K3792">
        <v>1.1212930000000001</v>
      </c>
      <c r="L3792">
        <v>238.91990000000001</v>
      </c>
      <c r="M3792">
        <v>2.6332339999999999E-2</v>
      </c>
      <c r="N3792">
        <v>-1.402862E-2</v>
      </c>
      <c r="O3792">
        <v>-0.99955499999999997</v>
      </c>
      <c r="P3792">
        <v>0.37737769999999998</v>
      </c>
      <c r="Q3792">
        <v>-5.6647330000000003E-2</v>
      </c>
      <c r="R3792">
        <v>-0.92432550000000002</v>
      </c>
      <c r="S3792">
        <v>1.4888920000000001</v>
      </c>
      <c r="T3792">
        <v>-0.17605399999999999</v>
      </c>
      <c r="U3792">
        <v>-2.6274259999999998</v>
      </c>
      <c r="V3792">
        <v>-0.3529159</v>
      </c>
      <c r="W3792">
        <v>-4.3448800000000003E-2</v>
      </c>
      <c r="X3792">
        <v>0.93464570000000002</v>
      </c>
      <c r="Y3792">
        <v>-0.46922249999999999</v>
      </c>
      <c r="Z3792">
        <v>4.4648510000000002E-2</v>
      </c>
      <c r="AA3792">
        <v>0.88195059999999903</v>
      </c>
      <c r="AB3792">
        <v>17</v>
      </c>
      <c r="AC3792">
        <v>9.4782999999999902</v>
      </c>
      <c r="AD3792">
        <v>-1.1212901825769901</v>
      </c>
      <c r="AE3792">
        <v>-16.560199999999998</v>
      </c>
      <c r="AF3792">
        <v>-9.0077939442729598</v>
      </c>
      <c r="AG3792">
        <v>-1.1212901825769901</v>
      </c>
      <c r="AH3792">
        <v>16.746236166458299</v>
      </c>
      <c r="AI3792">
        <v>93.374720122415894</v>
      </c>
      <c r="AJ3792">
        <v>118.27579063675999</v>
      </c>
      <c r="AK3792">
        <v>19.048203830251801</v>
      </c>
      <c r="AL3792">
        <v>92.490216769897899</v>
      </c>
      <c r="AM3792">
        <v>110.686197547094</v>
      </c>
      <c r="AN3792">
        <v>1.00000000761137</v>
      </c>
    </row>
    <row r="3793" spans="1:40" x14ac:dyDescent="0.25">
      <c r="A3793" t="str">
        <f>"20190303153842306"</f>
        <v>20190303153842306</v>
      </c>
      <c r="B3793" t="str">
        <f>"1551598722302330"</f>
        <v>1551598722302330</v>
      </c>
      <c r="C3793" t="s">
        <v>40</v>
      </c>
      <c r="D3793">
        <v>4.3560030000000003</v>
      </c>
      <c r="E3793">
        <v>0.45053549999999998</v>
      </c>
      <c r="F3793" t="s">
        <v>51</v>
      </c>
      <c r="G3793">
        <v>-482.37</v>
      </c>
      <c r="H3793" s="1">
        <v>2.731477E-6</v>
      </c>
      <c r="I3793">
        <v>222.06979999999999</v>
      </c>
      <c r="J3793">
        <v>-491.96730000000002</v>
      </c>
      <c r="K3793">
        <v>1.1213059999999999</v>
      </c>
      <c r="L3793">
        <v>238.75399999999999</v>
      </c>
      <c r="M3793">
        <v>2.616682E-2</v>
      </c>
      <c r="N3793">
        <v>-1.4024470000000001E-2</v>
      </c>
      <c r="O3793">
        <v>-0.99955930000000004</v>
      </c>
      <c r="P3793">
        <v>0.37829439999999998</v>
      </c>
      <c r="Q3793">
        <v>-5.6501559999999999E-2</v>
      </c>
      <c r="R3793">
        <v>-0.92395970000000005</v>
      </c>
      <c r="S3793">
        <v>1.495422</v>
      </c>
      <c r="T3793">
        <v>-0.174639299999999</v>
      </c>
      <c r="U3793">
        <v>-2.624374</v>
      </c>
      <c r="V3793">
        <v>-0.35399629999999999</v>
      </c>
      <c r="W3793">
        <v>-4.3314329999999998E-2</v>
      </c>
      <c r="X3793">
        <v>0.9342433</v>
      </c>
      <c r="Y3793">
        <v>-0.47147630000000001</v>
      </c>
      <c r="Z3793">
        <v>4.4172089999999997E-2</v>
      </c>
      <c r="AA3793">
        <v>0.88077179999999999</v>
      </c>
      <c r="AB3793">
        <v>17</v>
      </c>
      <c r="AC3793">
        <v>9.5973000000000095</v>
      </c>
      <c r="AD3793">
        <v>-1.121303268523</v>
      </c>
      <c r="AE3793">
        <v>-16.684200000000001</v>
      </c>
      <c r="AF3793">
        <v>-9.1264240944668504</v>
      </c>
      <c r="AG3793">
        <v>-1.121303268523</v>
      </c>
      <c r="AH3793">
        <v>16.872379260836201</v>
      </c>
      <c r="AI3793">
        <v>93.345386528096</v>
      </c>
      <c r="AJ3793">
        <v>118.409360536638</v>
      </c>
      <c r="AK3793">
        <v>19.215257471435599</v>
      </c>
      <c r="AL3793">
        <v>92.482504896747002</v>
      </c>
      <c r="AM3793">
        <v>110.75231553195199</v>
      </c>
      <c r="AN3793">
        <v>1.00000002759596</v>
      </c>
    </row>
    <row r="3794" spans="1:40" x14ac:dyDescent="0.25">
      <c r="A3794" t="str">
        <f>"20190303153842328"</f>
        <v>20190303153842328</v>
      </c>
      <c r="B3794" t="str">
        <f>"1551598722321850"</f>
        <v>1551598722321850</v>
      </c>
      <c r="C3794" t="s">
        <v>40</v>
      </c>
      <c r="D3794">
        <v>4.3471019999999996</v>
      </c>
      <c r="E3794">
        <v>0.45026890000000003</v>
      </c>
      <c r="F3794" t="s">
        <v>51</v>
      </c>
      <c r="G3794">
        <v>-482.29480000000001</v>
      </c>
      <c r="H3794" s="1">
        <v>2.6673919999999999E-6</v>
      </c>
      <c r="I3794">
        <v>221.84020000000001</v>
      </c>
      <c r="J3794">
        <v>-491.96289999999999</v>
      </c>
      <c r="K3794">
        <v>1.1213070000000001</v>
      </c>
      <c r="L3794">
        <v>238.57830000000001</v>
      </c>
      <c r="M3794">
        <v>2.5992950000000001E-2</v>
      </c>
      <c r="N3794">
        <v>-1.4020110000000001E-2</v>
      </c>
      <c r="O3794">
        <v>-0.99956409999999996</v>
      </c>
      <c r="P3794">
        <v>0.37944660000000002</v>
      </c>
      <c r="Q3794">
        <v>-5.7060800000000002E-2</v>
      </c>
      <c r="R3794">
        <v>-0.92345290000000002</v>
      </c>
      <c r="S3794">
        <v>1.499603</v>
      </c>
      <c r="T3794">
        <v>-0.17384530000000001</v>
      </c>
      <c r="U3794">
        <v>-2.6222840000000001</v>
      </c>
      <c r="V3794">
        <v>-0.35532360000000002</v>
      </c>
      <c r="W3794">
        <v>-4.3886370000000001E-2</v>
      </c>
      <c r="X3794">
        <v>0.9337126</v>
      </c>
      <c r="Y3794">
        <v>-0.47299580000000002</v>
      </c>
      <c r="Z3794">
        <v>4.3906899999999999E-2</v>
      </c>
      <c r="AA3794">
        <v>0.87997000000000003</v>
      </c>
      <c r="AB3794">
        <v>17</v>
      </c>
      <c r="AC3794">
        <v>9.6680999999999795</v>
      </c>
      <c r="AD3794">
        <v>-1.1213043326080001</v>
      </c>
      <c r="AE3794">
        <v>-16.738099999999999</v>
      </c>
      <c r="AF3794">
        <v>-9.1987627607612801</v>
      </c>
      <c r="AG3794">
        <v>-1.1213043326080001</v>
      </c>
      <c r="AH3794">
        <v>16.926810166920301</v>
      </c>
      <c r="AI3794">
        <v>93.331125280056</v>
      </c>
      <c r="AJ3794">
        <v>118.521575317561</v>
      </c>
      <c r="AK3794">
        <v>19.2974470374205</v>
      </c>
      <c r="AL3794">
        <v>92.515311523106604</v>
      </c>
      <c r="AM3794">
        <v>110.834283277316</v>
      </c>
      <c r="AN3794">
        <v>1.00000004679374</v>
      </c>
    </row>
    <row r="3795" spans="1:40" x14ac:dyDescent="0.25">
      <c r="A3795" t="str">
        <f>"20190303153842353"</f>
        <v>20190303153842353</v>
      </c>
      <c r="B3795" t="str">
        <f>"1551598722342347"</f>
        <v>1551598722342347</v>
      </c>
      <c r="C3795" t="s">
        <v>40</v>
      </c>
      <c r="D3795">
        <v>4.3377520000000001</v>
      </c>
      <c r="E3795">
        <v>0.45003910000000003</v>
      </c>
      <c r="F3795" t="s">
        <v>51</v>
      </c>
      <c r="G3795">
        <v>-482.37459999999999</v>
      </c>
      <c r="H3795" s="1">
        <v>2.6925079999999999E-6</v>
      </c>
      <c r="I3795">
        <v>221.88980000000001</v>
      </c>
      <c r="J3795">
        <v>-491.95830000000001</v>
      </c>
      <c r="K3795">
        <v>1.12131</v>
      </c>
      <c r="L3795">
        <v>238.39449999999999</v>
      </c>
      <c r="M3795">
        <v>2.5810409999999999E-2</v>
      </c>
      <c r="N3795">
        <v>-1.401553E-2</v>
      </c>
      <c r="O3795">
        <v>-0.99956880000000004</v>
      </c>
      <c r="P3795">
        <v>0.3800442</v>
      </c>
      <c r="Q3795">
        <v>-5.7038070000000003E-2</v>
      </c>
      <c r="R3795">
        <v>-0.92320820000000003</v>
      </c>
      <c r="S3795">
        <v>1.5049440000000001</v>
      </c>
      <c r="T3795">
        <v>-0.17599529999999999</v>
      </c>
      <c r="U3795">
        <v>-2.619354</v>
      </c>
      <c r="V3795">
        <v>-0.35609780000000002</v>
      </c>
      <c r="W3795">
        <v>-4.387307E-2</v>
      </c>
      <c r="X3795">
        <v>0.93341819999999998</v>
      </c>
      <c r="Y3795">
        <v>-0.47491070000000002</v>
      </c>
      <c r="Z3795">
        <v>4.462145E-2</v>
      </c>
      <c r="AA3795">
        <v>0.87890199999999996</v>
      </c>
      <c r="AB3795">
        <v>17</v>
      </c>
      <c r="AC3795">
        <v>9.5837000000000199</v>
      </c>
      <c r="AD3795">
        <v>-1.1213073074919999</v>
      </c>
      <c r="AE3795">
        <v>-16.5046999999999</v>
      </c>
      <c r="AF3795">
        <v>-9.1229809906643506</v>
      </c>
      <c r="AG3795">
        <v>-1.1213073074919999</v>
      </c>
      <c r="AH3795">
        <v>16.688976780920999</v>
      </c>
      <c r="AI3795">
        <v>93.3739619284367</v>
      </c>
      <c r="AJ3795">
        <v>118.663094572669</v>
      </c>
      <c r="AK3795">
        <v>19.052770355724601</v>
      </c>
      <c r="AL3795">
        <v>92.514548840217699</v>
      </c>
      <c r="AM3795">
        <v>110.881786288581</v>
      </c>
      <c r="AN3795">
        <v>1.0000000127636499</v>
      </c>
    </row>
    <row r="3796" spans="1:40" x14ac:dyDescent="0.25">
      <c r="A3796" t="str">
        <f>"20190303153842375"</f>
        <v>20190303153842375</v>
      </c>
      <c r="B3796" t="str">
        <f>"1551598722361866"</f>
        <v>1551598722361866</v>
      </c>
      <c r="C3796" t="s">
        <v>40</v>
      </c>
      <c r="D3796">
        <v>4.3275610000000002</v>
      </c>
      <c r="E3796">
        <v>0.4498511</v>
      </c>
      <c r="F3796" t="s">
        <v>44</v>
      </c>
      <c r="G3796">
        <v>-491.46420000000001</v>
      </c>
      <c r="H3796">
        <v>1.0636760000000001</v>
      </c>
      <c r="I3796">
        <v>237.53720000000001</v>
      </c>
      <c r="J3796">
        <v>-491.95409999999998</v>
      </c>
      <c r="K3796">
        <v>1.1213229999999901</v>
      </c>
      <c r="L3796">
        <v>238.2251</v>
      </c>
      <c r="M3796">
        <v>2.5641799999999999E-2</v>
      </c>
      <c r="N3796">
        <v>-1.401116E-2</v>
      </c>
      <c r="O3796">
        <v>-0.99957309999999999</v>
      </c>
      <c r="P3796">
        <v>0.3797816</v>
      </c>
      <c r="Q3796">
        <v>-5.5930830000000001E-2</v>
      </c>
      <c r="R3796">
        <v>-0.92338419999999999</v>
      </c>
      <c r="S3796">
        <v>1.5087280000000001</v>
      </c>
      <c r="T3796">
        <v>-0.1759657</v>
      </c>
      <c r="U3796">
        <v>-2.6175380000000001</v>
      </c>
      <c r="V3796">
        <v>-0.35598760000000002</v>
      </c>
      <c r="W3796">
        <v>-4.2769080000000001E-2</v>
      </c>
      <c r="X3796">
        <v>0.93351139999999999</v>
      </c>
      <c r="Y3796">
        <v>-0.47627589999999997</v>
      </c>
      <c r="Z3796">
        <v>4.4608540000000002E-2</v>
      </c>
      <c r="AA3796">
        <v>0.87816360000000004</v>
      </c>
      <c r="AB3796">
        <v>17</v>
      </c>
      <c r="AC3796">
        <v>0.48989999999997702</v>
      </c>
      <c r="AD3796">
        <v>-5.7646999999999698E-2</v>
      </c>
      <c r="AE3796">
        <v>-0.68789999999998397</v>
      </c>
      <c r="AF3796">
        <v>-0.46990863529515903</v>
      </c>
      <c r="AG3796">
        <v>-5.7646999999999698E-2</v>
      </c>
      <c r="AH3796">
        <v>0.69698931635052896</v>
      </c>
      <c r="AI3796">
        <v>93.923110600626998</v>
      </c>
      <c r="AJ3796">
        <v>123.987760733504</v>
      </c>
      <c r="AK3796">
        <v>0.84257427520707995</v>
      </c>
      <c r="AL3796">
        <v>92.451235586206806</v>
      </c>
      <c r="AM3796">
        <v>110.873976480956</v>
      </c>
      <c r="AN3796">
        <v>0.99999994974388196</v>
      </c>
    </row>
    <row r="3797" spans="1:40" x14ac:dyDescent="0.25">
      <c r="A3797" t="str">
        <f>"20190303153842397"</f>
        <v>20190303153842397</v>
      </c>
      <c r="B3797" t="str">
        <f>"1551598722392122"</f>
        <v>1551598722392122</v>
      </c>
      <c r="C3797" t="s">
        <v>40</v>
      </c>
      <c r="D3797">
        <v>4.3141870000000004</v>
      </c>
      <c r="E3797">
        <v>0.44959959999999999</v>
      </c>
      <c r="F3797" t="s">
        <v>44</v>
      </c>
      <c r="G3797">
        <v>-491.44349999999997</v>
      </c>
      <c r="H3797">
        <v>1.0630459999999999</v>
      </c>
      <c r="I3797">
        <v>237.33920000000001</v>
      </c>
      <c r="J3797">
        <v>-491.94979999999998</v>
      </c>
      <c r="K3797">
        <v>1.121332</v>
      </c>
      <c r="L3797">
        <v>238.05009999999999</v>
      </c>
      <c r="M3797">
        <v>2.5466550000000001E-2</v>
      </c>
      <c r="N3797">
        <v>-1.4006680000000001E-2</v>
      </c>
      <c r="O3797">
        <v>-0.99957779999999996</v>
      </c>
      <c r="P3797">
        <v>0.37945040000000002</v>
      </c>
      <c r="Q3797">
        <v>-5.4403699999999902E-2</v>
      </c>
      <c r="R3797">
        <v>-0.92361159999999998</v>
      </c>
      <c r="S3797">
        <v>1.509247</v>
      </c>
      <c r="T3797">
        <v>-0.17219470000000001</v>
      </c>
      <c r="U3797">
        <v>-2.6178129999999999</v>
      </c>
      <c r="V3797">
        <v>-0.35581370000000001</v>
      </c>
      <c r="W3797">
        <v>-4.124444E-2</v>
      </c>
      <c r="X3797">
        <v>0.93364630000000004</v>
      </c>
      <c r="Y3797">
        <v>-0.47655219999999998</v>
      </c>
      <c r="Z3797">
        <v>4.3350329999999999E-2</v>
      </c>
      <c r="AA3797">
        <v>0.87807669999999904</v>
      </c>
      <c r="AB3797">
        <v>17</v>
      </c>
      <c r="AC3797">
        <v>0.50630000000000996</v>
      </c>
      <c r="AD3797">
        <v>-5.8285999999999998E-2</v>
      </c>
      <c r="AE3797">
        <v>-0.71089999999997999</v>
      </c>
      <c r="AF3797">
        <v>-0.485862875939512</v>
      </c>
      <c r="AG3797">
        <v>-5.8285999999999998E-2</v>
      </c>
      <c r="AH3797">
        <v>0.72035160623383998</v>
      </c>
      <c r="AI3797">
        <v>93.837709705408301</v>
      </c>
      <c r="AJ3797">
        <v>123.998883813828</v>
      </c>
      <c r="AK3797">
        <v>0.87084236726050901</v>
      </c>
      <c r="AL3797">
        <v>92.363802953326399</v>
      </c>
      <c r="AM3797">
        <v>110.861902406341</v>
      </c>
      <c r="AN3797">
        <v>0.99999995322114499</v>
      </c>
    </row>
    <row r="3798" spans="1:40" x14ac:dyDescent="0.25">
      <c r="A3798" t="str">
        <f>"20190303153842418"</f>
        <v>20190303153842418</v>
      </c>
      <c r="B3798" t="str">
        <f>"1551598722412618"</f>
        <v>1551598722412618</v>
      </c>
      <c r="C3798" t="s">
        <v>40</v>
      </c>
      <c r="D3798">
        <v>4.2794280000000002</v>
      </c>
      <c r="E3798">
        <v>0.44941530000000002</v>
      </c>
      <c r="F3798" t="s">
        <v>51</v>
      </c>
      <c r="G3798">
        <v>-481.80869999999999</v>
      </c>
      <c r="H3798" s="1">
        <v>2.2782259999999999E-6</v>
      </c>
      <c r="I3798">
        <v>220.4701</v>
      </c>
      <c r="J3798">
        <v>-491.94600000000003</v>
      </c>
      <c r="K3798">
        <v>1.1213340000000001</v>
      </c>
      <c r="L3798">
        <v>237.89410000000001</v>
      </c>
      <c r="M3798">
        <v>2.5309439999999999E-2</v>
      </c>
      <c r="N3798">
        <v>-1.400273E-2</v>
      </c>
      <c r="O3798">
        <v>-0.99958159999999896</v>
      </c>
      <c r="P3798">
        <v>0.3787509</v>
      </c>
      <c r="Q3798">
        <v>-5.4290749999999999E-2</v>
      </c>
      <c r="R3798">
        <v>-0.92390499999999998</v>
      </c>
      <c r="S3798">
        <v>1.510132</v>
      </c>
      <c r="T3798">
        <v>-0.1669785</v>
      </c>
      <c r="U3798">
        <v>-2.6178590000000002</v>
      </c>
      <c r="V3798">
        <v>-0.35525390000000001</v>
      </c>
      <c r="W3798">
        <v>-4.1132389999999998E-2</v>
      </c>
      <c r="X3798">
        <v>0.93386440000000004</v>
      </c>
      <c r="Y3798">
        <v>-0.4769485</v>
      </c>
      <c r="Z3798">
        <v>4.1613280000000002E-2</v>
      </c>
      <c r="AA3798">
        <v>0.87794559999999999</v>
      </c>
      <c r="AB3798">
        <v>17</v>
      </c>
      <c r="AC3798">
        <v>10.1372999999999</v>
      </c>
      <c r="AD3798">
        <v>-1.121331721774</v>
      </c>
      <c r="AE3798">
        <v>-17.423999999999999</v>
      </c>
      <c r="AF3798">
        <v>-9.6631169287212995</v>
      </c>
      <c r="AG3798">
        <v>-1.121331721774</v>
      </c>
      <c r="AH3798">
        <v>17.620489576145602</v>
      </c>
      <c r="AI3798">
        <v>93.193688577416793</v>
      </c>
      <c r="AJ3798">
        <v>118.740464769323</v>
      </c>
      <c r="AK3798">
        <v>20.127465476593201</v>
      </c>
      <c r="AL3798">
        <v>92.357377486910096</v>
      </c>
      <c r="AM3798">
        <v>110.827451696548</v>
      </c>
      <c r="AN3798">
        <v>0.99999996227984</v>
      </c>
    </row>
    <row r="3799" spans="1:40" x14ac:dyDescent="0.25">
      <c r="A3799" t="str">
        <f>"20190303153842440"</f>
        <v>20190303153842440</v>
      </c>
      <c r="B3799" t="str">
        <f>"1551598722432141"</f>
        <v>1551598722432141</v>
      </c>
      <c r="C3799" t="s">
        <v>40</v>
      </c>
      <c r="D3799">
        <v>4.3075159999999997</v>
      </c>
      <c r="E3799">
        <v>0.4492082</v>
      </c>
      <c r="F3799" t="s">
        <v>51</v>
      </c>
      <c r="G3799">
        <v>-481.7953</v>
      </c>
      <c r="H3799" s="1">
        <v>2.2350350000000001E-6</v>
      </c>
      <c r="I3799">
        <v>220.28540000000001</v>
      </c>
      <c r="J3799">
        <v>-491.9418</v>
      </c>
      <c r="K3799">
        <v>1.1213340000000001</v>
      </c>
      <c r="L3799">
        <v>237.71809999999999</v>
      </c>
      <c r="M3799">
        <v>2.5131239999999999E-2</v>
      </c>
      <c r="N3799">
        <v>-1.399827E-2</v>
      </c>
      <c r="O3799">
        <v>-0.99958639999999999</v>
      </c>
      <c r="P3799">
        <v>0.37869580000000003</v>
      </c>
      <c r="Q3799">
        <v>-5.3922369999999997E-2</v>
      </c>
      <c r="R3799">
        <v>-0.92394940000000003</v>
      </c>
      <c r="S3799">
        <v>1.50946</v>
      </c>
      <c r="T3799">
        <v>-0.166747799999999</v>
      </c>
      <c r="U3799">
        <v>-2.6185</v>
      </c>
      <c r="V3799">
        <v>-0.35536390000000001</v>
      </c>
      <c r="W3799">
        <v>-4.0768550000000001E-2</v>
      </c>
      <c r="X3799">
        <v>0.93383850000000002</v>
      </c>
      <c r="Y3799">
        <v>-0.47684510000000002</v>
      </c>
      <c r="Z3799">
        <v>4.1534139999999997E-2</v>
      </c>
      <c r="AA3799">
        <v>0.87800549999999999</v>
      </c>
      <c r="AB3799">
        <v>17</v>
      </c>
      <c r="AC3799">
        <v>10.1465</v>
      </c>
      <c r="AD3799">
        <v>-1.1213317649650001</v>
      </c>
      <c r="AE3799">
        <v>-17.432699999999901</v>
      </c>
      <c r="AF3799">
        <v>-9.6752448555775992</v>
      </c>
      <c r="AG3799">
        <v>-1.1213317649650001</v>
      </c>
      <c r="AH3799">
        <v>17.627732945149699</v>
      </c>
      <c r="AI3799">
        <v>93.191757604937195</v>
      </c>
      <c r="AJ3799">
        <v>118.760840240363</v>
      </c>
      <c r="AK3799">
        <v>20.139630501278202</v>
      </c>
      <c r="AL3799">
        <v>92.336513493526994</v>
      </c>
      <c r="AM3799">
        <v>110.833875365974</v>
      </c>
      <c r="AN3799">
        <v>0.99999996008727998</v>
      </c>
    </row>
    <row r="3800" spans="1:40" x14ac:dyDescent="0.25">
      <c r="A3800" t="str">
        <f>"20190303153842463"</f>
        <v>20190303153842463</v>
      </c>
      <c r="B3800" t="str">
        <f>"1551598722452637"</f>
        <v>1551598722452637</v>
      </c>
      <c r="C3800" t="s">
        <v>40</v>
      </c>
      <c r="D3800">
        <v>4.2814880000000004</v>
      </c>
      <c r="E3800">
        <v>0.44909860000000001</v>
      </c>
      <c r="F3800" t="s">
        <v>51</v>
      </c>
      <c r="G3800">
        <v>-481.71620000000001</v>
      </c>
      <c r="H3800" s="1">
        <v>2.1577199999999998E-6</v>
      </c>
      <c r="I3800">
        <v>219.99930000000001</v>
      </c>
      <c r="J3800">
        <v>-491.93770000000001</v>
      </c>
      <c r="K3800">
        <v>1.1213379999999999</v>
      </c>
      <c r="L3800">
        <v>237.547</v>
      </c>
      <c r="M3800">
        <v>2.4956969999999998E-2</v>
      </c>
      <c r="N3800">
        <v>-1.399388E-2</v>
      </c>
      <c r="O3800">
        <v>-0.99959070000000005</v>
      </c>
      <c r="P3800">
        <v>0.37894129999999998</v>
      </c>
      <c r="Q3800">
        <v>-5.375899E-2</v>
      </c>
      <c r="R3800">
        <v>-0.92385819999999996</v>
      </c>
      <c r="S3800">
        <v>1.510864</v>
      </c>
      <c r="T3800">
        <v>-0.16567899999999999</v>
      </c>
      <c r="U3800">
        <v>-2.6179960000000002</v>
      </c>
      <c r="V3800">
        <v>-0.35577399999999998</v>
      </c>
      <c r="W3800">
        <v>-4.0611359999999999E-2</v>
      </c>
      <c r="X3800">
        <v>0.9336892</v>
      </c>
      <c r="Y3800">
        <v>-0.47743279999999999</v>
      </c>
      <c r="Z3800">
        <v>4.1176989999999997E-2</v>
      </c>
      <c r="AA3800">
        <v>0.87770289999999995</v>
      </c>
      <c r="AB3800">
        <v>17</v>
      </c>
      <c r="AC3800">
        <v>10.221499999999899</v>
      </c>
      <c r="AD3800">
        <v>-1.1213358422799999</v>
      </c>
      <c r="AE3800">
        <v>-17.547699999999899</v>
      </c>
      <c r="AF3800">
        <v>-9.75060617574192</v>
      </c>
      <c r="AG3800">
        <v>-1.1213358422799999</v>
      </c>
      <c r="AH3800">
        <v>17.743257402784501</v>
      </c>
      <c r="AI3800">
        <v>93.170131013564301</v>
      </c>
      <c r="AJ3800">
        <v>118.79049655740199</v>
      </c>
      <c r="AK3800">
        <v>20.276954853406</v>
      </c>
      <c r="AL3800">
        <v>92.327499676995302</v>
      </c>
      <c r="AM3800">
        <v>110.85889907731401</v>
      </c>
      <c r="AN3800">
        <v>0.99999997191684398</v>
      </c>
    </row>
    <row r="3801" spans="1:40" x14ac:dyDescent="0.25">
      <c r="A3801" t="str">
        <f>"20190303153842486"</f>
        <v>20190303153842486</v>
      </c>
      <c r="B3801" t="str">
        <f>"1551598722472153"</f>
        <v>1551598722472153</v>
      </c>
      <c r="C3801" t="s">
        <v>40</v>
      </c>
      <c r="D3801">
        <v>4.3145879999999996</v>
      </c>
      <c r="E3801">
        <v>0.44892169999999998</v>
      </c>
      <c r="F3801" t="s">
        <v>51</v>
      </c>
      <c r="G3801">
        <v>-481.65780000000001</v>
      </c>
      <c r="H3801" s="1">
        <v>2.093419E-6</v>
      </c>
      <c r="I3801">
        <v>219.75530000000001</v>
      </c>
      <c r="J3801">
        <v>-491.93380000000002</v>
      </c>
      <c r="K3801">
        <v>1.12134</v>
      </c>
      <c r="L3801">
        <v>237.38480000000001</v>
      </c>
      <c r="M3801">
        <v>2.4791400000000002E-2</v>
      </c>
      <c r="N3801">
        <v>-1.3989690000000001E-2</v>
      </c>
      <c r="O3801">
        <v>-0.99959500000000001</v>
      </c>
      <c r="P3801">
        <v>0.37913780000000002</v>
      </c>
      <c r="Q3801">
        <v>-5.4270840000000001E-2</v>
      </c>
      <c r="R3801">
        <v>-0.92374780000000001</v>
      </c>
      <c r="S3801">
        <v>1.5122990000000001</v>
      </c>
      <c r="T3801">
        <v>-0.16496089999999999</v>
      </c>
      <c r="U3801">
        <v>-2.6173549999999999</v>
      </c>
      <c r="V3801">
        <v>-0.3561279</v>
      </c>
      <c r="W3801">
        <v>-4.1129510000000001E-2</v>
      </c>
      <c r="X3801">
        <v>0.93353160000000002</v>
      </c>
      <c r="Y3801">
        <v>-0.4780373</v>
      </c>
      <c r="Z3801">
        <v>4.0938000000000002E-2</v>
      </c>
      <c r="AA3801">
        <v>0.87738499999999997</v>
      </c>
      <c r="AB3801">
        <v>17</v>
      </c>
      <c r="AC3801">
        <v>10.276</v>
      </c>
      <c r="AD3801">
        <v>-1.1213379065809901</v>
      </c>
      <c r="AE3801">
        <v>-17.6295</v>
      </c>
      <c r="AF3801">
        <v>-9.8061265779549398</v>
      </c>
      <c r="AG3801">
        <v>-1.1213379065809901</v>
      </c>
      <c r="AH3801">
        <v>17.8250350821571</v>
      </c>
      <c r="AI3801">
        <v>93.154833234269006</v>
      </c>
      <c r="AJ3801">
        <v>118.81661078144</v>
      </c>
      <c r="AK3801">
        <v>20.375215160673498</v>
      </c>
      <c r="AL3801">
        <v>92.357212286491503</v>
      </c>
      <c r="AM3801">
        <v>110.881081100239</v>
      </c>
      <c r="AN3801">
        <v>0.999999982974904</v>
      </c>
    </row>
    <row r="3802" spans="1:40" x14ac:dyDescent="0.25">
      <c r="A3802" t="str">
        <f>"20190303153842507"</f>
        <v>20190303153842507</v>
      </c>
      <c r="B3802" t="str">
        <f>"1551598722502410"</f>
        <v>1551598722502410</v>
      </c>
      <c r="C3802" t="s">
        <v>40</v>
      </c>
      <c r="D3802">
        <v>4.2489089999999896</v>
      </c>
      <c r="E3802">
        <v>0.48257430000000001</v>
      </c>
      <c r="F3802" t="s">
        <v>51</v>
      </c>
      <c r="G3802">
        <v>-481.74430000000001</v>
      </c>
      <c r="H3802" s="1">
        <v>2.114193E-6</v>
      </c>
      <c r="I3802">
        <v>219.77979999999999</v>
      </c>
      <c r="J3802">
        <v>-491.92989999999998</v>
      </c>
      <c r="K3802">
        <v>1.121335</v>
      </c>
      <c r="L3802">
        <v>237.21360000000001</v>
      </c>
      <c r="M3802">
        <v>2.461708E-2</v>
      </c>
      <c r="N3802">
        <v>-1.3985279999999999E-2</v>
      </c>
      <c r="O3802">
        <v>-0.99959929999999997</v>
      </c>
      <c r="P3802">
        <v>0.37900980000000001</v>
      </c>
      <c r="Q3802">
        <v>-5.5245009999999997E-2</v>
      </c>
      <c r="R3802">
        <v>-0.92374250000000002</v>
      </c>
      <c r="S3802">
        <v>1.514313</v>
      </c>
      <c r="T3802">
        <v>-0.16664699999999999</v>
      </c>
      <c r="U3802">
        <v>-2.6163479999999999</v>
      </c>
      <c r="V3802">
        <v>-0.35616320000000001</v>
      </c>
      <c r="W3802">
        <v>-4.210904E-2</v>
      </c>
      <c r="X3802">
        <v>0.93347449999999998</v>
      </c>
      <c r="Y3802">
        <v>-0.47882910000000001</v>
      </c>
      <c r="Z3802">
        <v>4.1496850000000002E-2</v>
      </c>
      <c r="AA3802">
        <v>0.87692680000000001</v>
      </c>
      <c r="AB3802">
        <v>17</v>
      </c>
      <c r="AC3802">
        <v>10.1855999999999</v>
      </c>
      <c r="AD3802">
        <v>-1.121332885807</v>
      </c>
      <c r="AE3802">
        <v>-17.433800000000002</v>
      </c>
      <c r="AF3802">
        <v>-9.7233126837697998</v>
      </c>
      <c r="AG3802">
        <v>-1.121332885807</v>
      </c>
      <c r="AH3802">
        <v>17.624920762904601</v>
      </c>
      <c r="AI3802">
        <v>93.1884837312071</v>
      </c>
      <c r="AJ3802">
        <v>118.884633992017</v>
      </c>
      <c r="AK3802">
        <v>20.160308253739998</v>
      </c>
      <c r="AL3802">
        <v>92.413383807401999</v>
      </c>
      <c r="AM3802">
        <v>110.884139608884</v>
      </c>
      <c r="AN3802">
        <v>1.0000000192170999</v>
      </c>
    </row>
    <row r="3803" spans="1:40" x14ac:dyDescent="0.25">
      <c r="A3803" t="str">
        <f>"20190303153842529"</f>
        <v>20190303153842529</v>
      </c>
      <c r="B3803" t="str">
        <f>"1551598722521929"</f>
        <v>1551598722521929</v>
      </c>
      <c r="C3803" t="s">
        <v>40</v>
      </c>
      <c r="D3803">
        <v>4.2002040000000003</v>
      </c>
      <c r="E3803">
        <v>0.53342780000000001</v>
      </c>
      <c r="F3803" t="s">
        <v>51</v>
      </c>
      <c r="G3803">
        <v>-478.7509</v>
      </c>
      <c r="H3803">
        <v>3.2968839999999999E-2</v>
      </c>
      <c r="I3803">
        <v>208.89599999999999</v>
      </c>
      <c r="J3803">
        <v>-491.92579999999998</v>
      </c>
      <c r="K3803">
        <v>1.121327</v>
      </c>
      <c r="L3803">
        <v>237.04339999999999</v>
      </c>
      <c r="M3803">
        <v>2.44447E-2</v>
      </c>
      <c r="N3803">
        <v>-1.3980909999999999E-2</v>
      </c>
      <c r="O3803">
        <v>-0.99960360000000004</v>
      </c>
      <c r="P3803">
        <v>0.3787605</v>
      </c>
      <c r="Q3803">
        <v>-5.5927060000000001E-2</v>
      </c>
      <c r="R3803">
        <v>-0.92380370000000001</v>
      </c>
      <c r="S3803">
        <v>1.2666630000000001</v>
      </c>
      <c r="T3803">
        <v>-0.1046058</v>
      </c>
      <c r="U3803">
        <v>-2.7216800000000001</v>
      </c>
      <c r="V3803">
        <v>-0.35607309999999998</v>
      </c>
      <c r="W3803">
        <v>-4.2796349999999997E-2</v>
      </c>
      <c r="X3803">
        <v>0.93347760000000002</v>
      </c>
      <c r="Y3803">
        <v>-0.39942670000000002</v>
      </c>
      <c r="Z3803">
        <v>2.109161E-2</v>
      </c>
      <c r="AA3803">
        <v>0.91652250000000002</v>
      </c>
      <c r="AB3803">
        <v>17</v>
      </c>
      <c r="AC3803">
        <v>13.1748999999999</v>
      </c>
      <c r="AD3803">
        <v>-1.0883581600000001</v>
      </c>
      <c r="AE3803">
        <v>-28.147400000000001</v>
      </c>
      <c r="AF3803">
        <v>-12.4675502746821</v>
      </c>
      <c r="AG3803">
        <v>-1.0883581600000001</v>
      </c>
      <c r="AH3803">
        <v>28.4262134469705</v>
      </c>
      <c r="AI3803">
        <v>92.008135965446598</v>
      </c>
      <c r="AJ3803">
        <v>113.68194031657499</v>
      </c>
      <c r="AK3803">
        <v>31.059200637957399</v>
      </c>
      <c r="AL3803">
        <v>92.4527993386953</v>
      </c>
      <c r="AM3803">
        <v>110.879248611261</v>
      </c>
      <c r="AN3803">
        <v>1.00000000490934</v>
      </c>
    </row>
    <row r="3804" spans="1:40" x14ac:dyDescent="0.25">
      <c r="A3804" t="str">
        <f>"20190303153842552"</f>
        <v>20190303153842552</v>
      </c>
      <c r="B3804" t="str">
        <f>"1551598722542428"</f>
        <v>1551598722542428</v>
      </c>
      <c r="C3804" t="s">
        <v>40</v>
      </c>
      <c r="D3804">
        <v>4.3348259999999996</v>
      </c>
      <c r="E3804">
        <v>0.52984580000000003</v>
      </c>
      <c r="F3804" t="s">
        <v>43</v>
      </c>
      <c r="G3804">
        <v>-469.60599999999999</v>
      </c>
      <c r="H3804">
        <v>-0.05</v>
      </c>
      <c r="I3804">
        <v>165.01589999999999</v>
      </c>
      <c r="J3804">
        <v>-491.92189999999999</v>
      </c>
      <c r="K3804">
        <v>1.1213229999999901</v>
      </c>
      <c r="L3804">
        <v>236.8741</v>
      </c>
      <c r="M3804">
        <v>2.4276789999999999E-2</v>
      </c>
      <c r="N3804">
        <v>-1.3976580000000001E-2</v>
      </c>
      <c r="O3804">
        <v>-0.99960760000000004</v>
      </c>
      <c r="P3804">
        <v>0.37894670000000003</v>
      </c>
      <c r="Q3804">
        <v>-5.6434850000000002E-2</v>
      </c>
      <c r="R3804">
        <v>-0.92369650000000003</v>
      </c>
      <c r="S3804">
        <v>0.89208980000000004</v>
      </c>
      <c r="T3804">
        <v>-4.6816110000000001E-2</v>
      </c>
      <c r="U3804">
        <v>-2.8788299999999998</v>
      </c>
      <c r="V3804">
        <v>-0.35641859999999997</v>
      </c>
      <c r="W3804">
        <v>-4.3311839999999997E-2</v>
      </c>
      <c r="X3804">
        <v>0.93332199999999998</v>
      </c>
      <c r="Y3804">
        <v>-0.27265980000000001</v>
      </c>
      <c r="Z3804">
        <v>1.654431E-3</v>
      </c>
      <c r="AA3804">
        <v>0.96210910000000005</v>
      </c>
      <c r="AB3804">
        <v>17</v>
      </c>
      <c r="AC3804">
        <v>22.315899999999999</v>
      </c>
      <c r="AD3804">
        <v>-1.1713229999999999</v>
      </c>
      <c r="AE3804">
        <v>-71.858199999999997</v>
      </c>
      <c r="AF3804">
        <v>-20.5596825698034</v>
      </c>
      <c r="AG3804">
        <v>-1.1713229999999999</v>
      </c>
      <c r="AH3804">
        <v>72.361293207491499</v>
      </c>
      <c r="AI3804">
        <v>90.892071854976905</v>
      </c>
      <c r="AJ3804">
        <v>105.861195725279</v>
      </c>
      <c r="AK3804">
        <v>75.234495410030902</v>
      </c>
      <c r="AL3804">
        <v>92.482362053522394</v>
      </c>
      <c r="AM3804">
        <v>110.900942130536</v>
      </c>
      <c r="AN3804">
        <v>1.0000000447970701</v>
      </c>
    </row>
    <row r="3805" spans="1:40" x14ac:dyDescent="0.25">
      <c r="A3805" t="str">
        <f>"20190303153842575"</f>
        <v>20190303153842575</v>
      </c>
      <c r="B3805" t="str">
        <f>"1551598722572682"</f>
        <v>1551598722572682</v>
      </c>
      <c r="C3805" t="s">
        <v>40</v>
      </c>
      <c r="D3805">
        <v>4.3552460000000002</v>
      </c>
      <c r="E3805">
        <v>0.52716600000000002</v>
      </c>
      <c r="F3805" t="s">
        <v>42</v>
      </c>
      <c r="G3805">
        <v>-476.51310000000001</v>
      </c>
      <c r="H3805">
        <v>7.9986719999999997E-2</v>
      </c>
      <c r="I3805">
        <v>188.78399999999999</v>
      </c>
      <c r="J3805">
        <v>-491.9178</v>
      </c>
      <c r="K3805">
        <v>1.121321</v>
      </c>
      <c r="L3805">
        <v>236.7002</v>
      </c>
      <c r="M3805">
        <v>2.410729E-2</v>
      </c>
      <c r="N3805">
        <v>-1.3972099999999999E-2</v>
      </c>
      <c r="O3805">
        <v>-0.9996119</v>
      </c>
      <c r="P3805">
        <v>0.3800829</v>
      </c>
      <c r="Q3805">
        <v>-5.6666519999999998E-2</v>
      </c>
      <c r="R3805">
        <v>-0.92321540000000002</v>
      </c>
      <c r="S3805">
        <v>0.91867069999999995</v>
      </c>
      <c r="T3805">
        <v>-6.2084439999999998E-2</v>
      </c>
      <c r="U3805">
        <v>-2.8671259999999998</v>
      </c>
      <c r="V3805">
        <v>-0.35772379999999998</v>
      </c>
      <c r="W3805">
        <v>-4.3556839999999999E-2</v>
      </c>
      <c r="X3805">
        <v>0.9328111</v>
      </c>
      <c r="Y3805">
        <v>-0.28201229999999999</v>
      </c>
      <c r="Z3805">
        <v>6.763949E-3</v>
      </c>
      <c r="AA3805">
        <v>0.95938690000000004</v>
      </c>
      <c r="AB3805">
        <v>17</v>
      </c>
      <c r="AC3805">
        <v>15.404699999999901</v>
      </c>
      <c r="AD3805">
        <v>-1.0413342800000001</v>
      </c>
      <c r="AE3805">
        <v>-47.916199999999897</v>
      </c>
      <c r="AF3805">
        <v>-14.238884839011501</v>
      </c>
      <c r="AG3805">
        <v>-1.0413342800000001</v>
      </c>
      <c r="AH3805">
        <v>48.253018564956498</v>
      </c>
      <c r="AI3805">
        <v>91.185758284676794</v>
      </c>
      <c r="AJ3805">
        <v>106.440695409009</v>
      </c>
      <c r="AK3805">
        <v>50.320810994770099</v>
      </c>
      <c r="AL3805">
        <v>92.496412811172306</v>
      </c>
      <c r="AM3805">
        <v>110.981323133888</v>
      </c>
      <c r="AN3805">
        <v>1.00000003184021</v>
      </c>
    </row>
    <row r="3806" spans="1:40" x14ac:dyDescent="0.25">
      <c r="A3806" t="str">
        <f>"20190303153842597"</f>
        <v>20190303153842597</v>
      </c>
      <c r="B3806" t="str">
        <f>"1551598722592202"</f>
        <v>1551598722592202</v>
      </c>
      <c r="C3806" t="s">
        <v>40</v>
      </c>
      <c r="D3806">
        <v>4.3142170000000002</v>
      </c>
      <c r="E3806">
        <v>0.52630969999999999</v>
      </c>
      <c r="F3806" t="s">
        <v>42</v>
      </c>
      <c r="G3806">
        <v>-478.17079999999999</v>
      </c>
      <c r="H3806">
        <v>7.9985559999999997E-2</v>
      </c>
      <c r="I3806">
        <v>195.01179999999999</v>
      </c>
      <c r="J3806">
        <v>-491.91410000000002</v>
      </c>
      <c r="K3806">
        <v>1.121318</v>
      </c>
      <c r="L3806">
        <v>236.5368</v>
      </c>
      <c r="M3806">
        <v>2.395328E-2</v>
      </c>
      <c r="N3806">
        <v>-1.39679E-2</v>
      </c>
      <c r="O3806">
        <v>-0.9996157</v>
      </c>
      <c r="P3806">
        <v>0.38189669999999998</v>
      </c>
      <c r="Q3806">
        <v>-5.7033590000000002E-2</v>
      </c>
      <c r="R3806">
        <v>-0.92244380000000004</v>
      </c>
      <c r="S3806">
        <v>0.94219969999999997</v>
      </c>
      <c r="T3806">
        <v>-7.1371439999999994E-2</v>
      </c>
      <c r="U3806">
        <v>-2.8572540000000002</v>
      </c>
      <c r="V3806">
        <v>-0.35969889999999999</v>
      </c>
      <c r="W3806">
        <v>-4.3941290000000001E-2</v>
      </c>
      <c r="X3806">
        <v>0.93203320000000001</v>
      </c>
      <c r="Y3806">
        <v>-0.29023929999999998</v>
      </c>
      <c r="Z3806">
        <v>9.8808809999999993E-3</v>
      </c>
      <c r="AA3806">
        <v>0.95690310000000001</v>
      </c>
      <c r="AB3806">
        <v>17</v>
      </c>
      <c r="AC3806">
        <v>13.7433</v>
      </c>
      <c r="AD3806">
        <v>-1.0413324399999999</v>
      </c>
      <c r="AE3806">
        <v>-41.524999999999999</v>
      </c>
      <c r="AF3806">
        <v>-12.737379856051099</v>
      </c>
      <c r="AG3806">
        <v>-1.0413324399999999</v>
      </c>
      <c r="AH3806">
        <v>41.8186103333801</v>
      </c>
      <c r="AI3806">
        <v>91.3645685496152</v>
      </c>
      <c r="AJ3806">
        <v>106.94002254825701</v>
      </c>
      <c r="AK3806">
        <v>43.727810247747598</v>
      </c>
      <c r="AL3806">
        <v>92.518461336431997</v>
      </c>
      <c r="AM3806">
        <v>111.10306158721301</v>
      </c>
      <c r="AN3806">
        <v>1.0000000107651501</v>
      </c>
    </row>
    <row r="3807" spans="1:40" x14ac:dyDescent="0.25">
      <c r="A3807" t="str">
        <f>"20190303153842620"</f>
        <v>20190303153842620</v>
      </c>
      <c r="B3807" t="str">
        <f>"1551598722612305"</f>
        <v>1551598722612305</v>
      </c>
      <c r="C3807" t="s">
        <v>40</v>
      </c>
      <c r="D3807">
        <v>4.332999</v>
      </c>
      <c r="E3807">
        <v>0.52578139999999995</v>
      </c>
      <c r="F3807" t="s">
        <v>42</v>
      </c>
      <c r="G3807">
        <v>-478.79880000000003</v>
      </c>
      <c r="H3807">
        <v>7.9986199999999993E-2</v>
      </c>
      <c r="I3807">
        <v>197.30520000000001</v>
      </c>
      <c r="J3807">
        <v>-491.91019999999997</v>
      </c>
      <c r="K3807">
        <v>1.121327</v>
      </c>
      <c r="L3807">
        <v>236.36750000000001</v>
      </c>
      <c r="M3807">
        <v>2.3800760000000001E-2</v>
      </c>
      <c r="N3807">
        <v>-1.3970069999999999E-2</v>
      </c>
      <c r="O3807">
        <v>-0.99961909999999998</v>
      </c>
      <c r="P3807">
        <v>0.38371660000000002</v>
      </c>
      <c r="Q3807">
        <v>-5.7875179999999998E-2</v>
      </c>
      <c r="R3807">
        <v>-0.92163569999999995</v>
      </c>
      <c r="S3807">
        <v>0.95367429999999997</v>
      </c>
      <c r="T3807">
        <v>-7.5720190000000007E-2</v>
      </c>
      <c r="U3807">
        <v>-2.852722</v>
      </c>
      <c r="V3807">
        <v>-0.36167939999999998</v>
      </c>
      <c r="W3807">
        <v>-4.4796429999999998E-2</v>
      </c>
      <c r="X3807">
        <v>0.93122570000000005</v>
      </c>
      <c r="Y3807">
        <v>-0.2942921</v>
      </c>
      <c r="Z3807">
        <v>1.133488E-2</v>
      </c>
      <c r="AA3807">
        <v>0.95564830000000001</v>
      </c>
      <c r="AB3807">
        <v>17</v>
      </c>
      <c r="AC3807">
        <v>13.1113999999999</v>
      </c>
      <c r="AD3807">
        <v>-1.0413408</v>
      </c>
      <c r="AE3807">
        <v>-39.062299999999901</v>
      </c>
      <c r="AF3807">
        <v>-12.1701087124037</v>
      </c>
      <c r="AG3807">
        <v>-1.0413408</v>
      </c>
      <c r="AH3807">
        <v>39.338198229365801</v>
      </c>
      <c r="AI3807">
        <v>91.448640315434801</v>
      </c>
      <c r="AJ3807">
        <v>107.190565609949</v>
      </c>
      <c r="AK3807">
        <v>41.190894341666699</v>
      </c>
      <c r="AL3807">
        <v>92.567505559326406</v>
      </c>
      <c r="AM3807">
        <v>111.22570689929999</v>
      </c>
      <c r="AN3807">
        <v>1.0000000064327901</v>
      </c>
    </row>
    <row r="3808" spans="1:40" x14ac:dyDescent="0.25">
      <c r="A3808" t="str">
        <f>"20190303153842641"</f>
        <v>20190303153842641</v>
      </c>
      <c r="B3808" t="str">
        <f>"1551598722631824"</f>
        <v>1551598722631824</v>
      </c>
      <c r="C3808" t="s">
        <v>40</v>
      </c>
      <c r="D3808">
        <v>4.3440240000000001</v>
      </c>
      <c r="E3808">
        <v>0.52600630000000004</v>
      </c>
      <c r="F3808" t="s">
        <v>42</v>
      </c>
      <c r="G3808">
        <v>-479.2577</v>
      </c>
      <c r="H3808">
        <v>7.9986650000000006E-2</v>
      </c>
      <c r="I3808">
        <v>198.94040000000001</v>
      </c>
      <c r="J3808">
        <v>-491.90649999999999</v>
      </c>
      <c r="K3808">
        <v>1.1213489999999999</v>
      </c>
      <c r="L3808">
        <v>236.20320000000001</v>
      </c>
      <c r="M3808">
        <v>2.3662220000000001E-2</v>
      </c>
      <c r="N3808">
        <v>-1.402541E-2</v>
      </c>
      <c r="O3808">
        <v>-0.99962169999999895</v>
      </c>
      <c r="P3808">
        <v>0.3853723</v>
      </c>
      <c r="Q3808">
        <v>-5.7835850000000001E-2</v>
      </c>
      <c r="R3808">
        <v>-0.92094710000000002</v>
      </c>
      <c r="S3808">
        <v>0.9631653</v>
      </c>
      <c r="T3808">
        <v>-7.9271549999999996E-2</v>
      </c>
      <c r="U3808">
        <v>-2.8491209999999998</v>
      </c>
      <c r="V3808">
        <v>-0.3634792</v>
      </c>
      <c r="W3808">
        <v>-4.4720959999999997E-2</v>
      </c>
      <c r="X3808">
        <v>0.93052829999999997</v>
      </c>
      <c r="Y3808">
        <v>-0.29763770000000001</v>
      </c>
      <c r="Z3808">
        <v>1.2467799999999999E-2</v>
      </c>
      <c r="AA3808">
        <v>0.95459749999999999</v>
      </c>
      <c r="AB3808">
        <v>17</v>
      </c>
      <c r="AC3808">
        <v>12.6487999999999</v>
      </c>
      <c r="AD3808">
        <v>-1.04136235</v>
      </c>
      <c r="AE3808">
        <v>-37.262799999999999</v>
      </c>
      <c r="AF3808">
        <v>-11.755218240103799</v>
      </c>
      <c r="AG3808">
        <v>-1.04136235</v>
      </c>
      <c r="AH3808">
        <v>37.525413448973303</v>
      </c>
      <c r="AI3808">
        <v>91.516946497586204</v>
      </c>
      <c r="AJ3808">
        <v>107.39369679184099</v>
      </c>
      <c r="AK3808">
        <v>39.337339080482501</v>
      </c>
      <c r="AL3808">
        <v>92.563177112441707</v>
      </c>
      <c r="AM3808">
        <v>111.336409628626</v>
      </c>
      <c r="AN3808">
        <v>1.0000000050984199</v>
      </c>
    </row>
    <row r="3809" spans="1:40" x14ac:dyDescent="0.25">
      <c r="A3809" t="str">
        <f>"20190303153842663"</f>
        <v>20190303153842663</v>
      </c>
      <c r="B3809" t="str">
        <f>"1551598722652324"</f>
        <v>1551598722652324</v>
      </c>
      <c r="C3809" t="s">
        <v>40</v>
      </c>
      <c r="D3809">
        <v>4.2025839999999999</v>
      </c>
      <c r="E3809">
        <v>0.52618140000000002</v>
      </c>
      <c r="F3809" t="s">
        <v>42</v>
      </c>
      <c r="G3809">
        <v>-478.93110000000001</v>
      </c>
      <c r="H3809">
        <v>7.9986379999999996E-2</v>
      </c>
      <c r="I3809">
        <v>197.9545</v>
      </c>
      <c r="J3809">
        <v>-491.90280000000001</v>
      </c>
      <c r="K3809">
        <v>1.1214090000000001</v>
      </c>
      <c r="L3809">
        <v>236.04150000000001</v>
      </c>
      <c r="M3809">
        <v>2.353678E-2</v>
      </c>
      <c r="N3809">
        <v>-1.41981E-2</v>
      </c>
      <c r="O3809">
        <v>-0.99962240000000002</v>
      </c>
      <c r="P3809">
        <v>0.38708799999999999</v>
      </c>
      <c r="Q3809">
        <v>-5.6562300000000003E-2</v>
      </c>
      <c r="R3809">
        <v>-0.92030659999999997</v>
      </c>
      <c r="S3809">
        <v>0.96624759999999998</v>
      </c>
      <c r="T3809">
        <v>-7.7548030000000004E-2</v>
      </c>
      <c r="U3809">
        <v>-2.8482970000000001</v>
      </c>
      <c r="V3809">
        <v>-0.3653246</v>
      </c>
      <c r="W3809">
        <v>-4.3303059999999997E-2</v>
      </c>
      <c r="X3809">
        <v>0.92987249999999999</v>
      </c>
      <c r="Y3809">
        <v>-0.29876999999999998</v>
      </c>
      <c r="Z3809">
        <v>1.171929E-2</v>
      </c>
      <c r="AA3809">
        <v>0.95425320000000002</v>
      </c>
      <c r="AB3809">
        <v>17</v>
      </c>
      <c r="AC3809">
        <v>12.971699999999901</v>
      </c>
      <c r="AD3809">
        <v>-1.0414226200000001</v>
      </c>
      <c r="AE3809">
        <v>-38.087000000000003</v>
      </c>
      <c r="AF3809">
        <v>-12.063488412506</v>
      </c>
      <c r="AG3809">
        <v>-1.0414226200000001</v>
      </c>
      <c r="AH3809">
        <v>38.356093034909499</v>
      </c>
      <c r="AI3809">
        <v>91.483663683401801</v>
      </c>
      <c r="AJ3809">
        <v>107.459037486624</v>
      </c>
      <c r="AK3809">
        <v>40.2219117727483</v>
      </c>
      <c r="AL3809">
        <v>92.481858530353705</v>
      </c>
      <c r="AM3809">
        <v>111.448672923874</v>
      </c>
      <c r="AN3809">
        <v>1.0000000423133799</v>
      </c>
    </row>
    <row r="3810" spans="1:40" x14ac:dyDescent="0.25">
      <c r="A3810" t="str">
        <f>"20190303153842685"</f>
        <v>20190303153842685</v>
      </c>
      <c r="B3810" t="str">
        <f>"1551598722682578"</f>
        <v>1551598722682578</v>
      </c>
      <c r="C3810" t="s">
        <v>40</v>
      </c>
      <c r="D3810">
        <v>4.3623659999999997</v>
      </c>
      <c r="E3810">
        <v>0.52547759999999999</v>
      </c>
      <c r="F3810" t="s">
        <v>42</v>
      </c>
      <c r="G3810">
        <v>-477.83499999999998</v>
      </c>
      <c r="H3810">
        <v>7.9985500000000001E-2</v>
      </c>
      <c r="I3810">
        <v>194.78210000000001</v>
      </c>
      <c r="J3810">
        <v>-491.89920000000001</v>
      </c>
      <c r="K3810">
        <v>1.1215029999999999</v>
      </c>
      <c r="L3810">
        <v>235.8817</v>
      </c>
      <c r="M3810">
        <v>2.3423360000000001E-2</v>
      </c>
      <c r="N3810">
        <v>-1.449661E-2</v>
      </c>
      <c r="O3810">
        <v>-0.99962070000000003</v>
      </c>
      <c r="P3810">
        <v>0.38888859999999997</v>
      </c>
      <c r="Q3810">
        <v>-5.550165E-2</v>
      </c>
      <c r="R3810">
        <v>-0.91961159999999997</v>
      </c>
      <c r="S3810">
        <v>0.97073359999999997</v>
      </c>
      <c r="T3810">
        <v>-7.1862579999999995E-2</v>
      </c>
      <c r="U3810">
        <v>-2.8470759999999999</v>
      </c>
      <c r="V3810">
        <v>-0.3672453</v>
      </c>
      <c r="W3810">
        <v>-4.1983520000000003E-2</v>
      </c>
      <c r="X3810">
        <v>0.92917609999999995</v>
      </c>
      <c r="Y3810">
        <v>-0.30035869999999998</v>
      </c>
      <c r="Z3810">
        <v>9.5244530000000004E-3</v>
      </c>
      <c r="AA3810">
        <v>0.95377880000000004</v>
      </c>
      <c r="AB3810">
        <v>17</v>
      </c>
      <c r="AC3810">
        <v>14.0642</v>
      </c>
      <c r="AD3810">
        <v>-1.0415174999999901</v>
      </c>
      <c r="AE3810">
        <v>-41.099599999999903</v>
      </c>
      <c r="AF3810">
        <v>-13.090023741792599</v>
      </c>
      <c r="AG3810">
        <v>-1.0415174999999901</v>
      </c>
      <c r="AH3810">
        <v>41.393990773677302</v>
      </c>
      <c r="AI3810">
        <v>91.374269735787195</v>
      </c>
      <c r="AJ3810">
        <v>107.548519541624</v>
      </c>
      <c r="AK3810">
        <v>43.4269035556852</v>
      </c>
      <c r="AL3810">
        <v>92.406185780816301</v>
      </c>
      <c r="AM3810">
        <v>111.565793381216</v>
      </c>
      <c r="AN3810">
        <v>0.99999997556744402</v>
      </c>
    </row>
    <row r="3811" spans="1:40" x14ac:dyDescent="0.25">
      <c r="A3811" t="str">
        <f>"20190303153842707"</f>
        <v>20190303153842707</v>
      </c>
      <c r="B3811" t="str">
        <f>"1551598722702680"</f>
        <v>1551598722702680</v>
      </c>
      <c r="C3811" t="s">
        <v>40</v>
      </c>
      <c r="D3811">
        <v>4.2322989999999896</v>
      </c>
      <c r="E3811">
        <v>0.52544089999999999</v>
      </c>
      <c r="F3811" t="s">
        <v>42</v>
      </c>
      <c r="G3811">
        <v>-477.9622</v>
      </c>
      <c r="H3811">
        <v>7.9985710000000002E-2</v>
      </c>
      <c r="I3811">
        <v>195.5127</v>
      </c>
      <c r="J3811">
        <v>-491.8954</v>
      </c>
      <c r="K3811">
        <v>1.1216060000000001</v>
      </c>
      <c r="L3811">
        <v>235.7166</v>
      </c>
      <c r="M3811">
        <v>2.3319820000000002E-2</v>
      </c>
      <c r="N3811">
        <v>-1.4892259999999999E-2</v>
      </c>
      <c r="O3811">
        <v>-0.99961719999999998</v>
      </c>
      <c r="P3811">
        <v>0.38965699999999998</v>
      </c>
      <c r="Q3811">
        <v>-5.5221630000000001E-2</v>
      </c>
      <c r="R3811">
        <v>-0.91930319999999999</v>
      </c>
      <c r="S3811">
        <v>0.98144529999999996</v>
      </c>
      <c r="T3811">
        <v>-7.3344229999999996E-2</v>
      </c>
      <c r="U3811">
        <v>-2.8428040000000001</v>
      </c>
      <c r="V3811">
        <v>-0.36811569999999999</v>
      </c>
      <c r="W3811">
        <v>-4.1349839999999999E-2</v>
      </c>
      <c r="X3811">
        <v>0.92886009999999997</v>
      </c>
      <c r="Y3811">
        <v>-0.30410189999999998</v>
      </c>
      <c r="Z3811">
        <v>9.6300640000000007E-3</v>
      </c>
      <c r="AA3811">
        <v>0.95259079999999996</v>
      </c>
      <c r="AB3811">
        <v>17</v>
      </c>
      <c r="AC3811">
        <v>13.933199999999999</v>
      </c>
      <c r="AD3811">
        <v>-1.04162028999999</v>
      </c>
      <c r="AE3811">
        <v>-40.203899999999997</v>
      </c>
      <c r="AF3811">
        <v>-12.9839775608162</v>
      </c>
      <c r="AG3811">
        <v>-1.04162028999999</v>
      </c>
      <c r="AH3811">
        <v>40.493653422655697</v>
      </c>
      <c r="AI3811">
        <v>91.403161399764002</v>
      </c>
      <c r="AJ3811">
        <v>107.778047309887</v>
      </c>
      <c r="AK3811">
        <v>42.537096911313498</v>
      </c>
      <c r="AL3811">
        <v>92.369846899082404</v>
      </c>
      <c r="AM3811">
        <v>111.618872934373</v>
      </c>
      <c r="AN3811">
        <v>1.00000003161326</v>
      </c>
    </row>
    <row r="3812" spans="1:40" x14ac:dyDescent="0.25">
      <c r="A3812" t="str">
        <f>"20190303153842731"</f>
        <v>20190303153842731</v>
      </c>
      <c r="B3812" t="str">
        <f>"1551598722722200"</f>
        <v>1551598722722200</v>
      </c>
      <c r="C3812" t="s">
        <v>40</v>
      </c>
      <c r="D3812">
        <v>4.2133050000000001</v>
      </c>
      <c r="E3812">
        <v>0.52587839999999997</v>
      </c>
      <c r="F3812" t="s">
        <v>42</v>
      </c>
      <c r="G3812">
        <v>-477.69349999999997</v>
      </c>
      <c r="H3812">
        <v>7.9985479999999998E-2</v>
      </c>
      <c r="I3812">
        <v>194.69839999999999</v>
      </c>
      <c r="J3812">
        <v>-491.89150000000001</v>
      </c>
      <c r="K3812">
        <v>1.121699</v>
      </c>
      <c r="L3812">
        <v>235.54390000000001</v>
      </c>
      <c r="M3812">
        <v>2.3230440000000002E-2</v>
      </c>
      <c r="N3812">
        <v>-1.5332439999999999E-2</v>
      </c>
      <c r="O3812">
        <v>-0.99961259999999996</v>
      </c>
      <c r="P3812">
        <v>0.39099919999999999</v>
      </c>
      <c r="Q3812">
        <v>-5.4683580000000002E-2</v>
      </c>
      <c r="R3812">
        <v>-0.9187649</v>
      </c>
      <c r="S3812">
        <v>0.98397829999999997</v>
      </c>
      <c r="T3812">
        <v>-7.2168469999999998E-2</v>
      </c>
      <c r="U3812">
        <v>-2.8419340000000002</v>
      </c>
      <c r="V3812">
        <v>-0.36955159999999998</v>
      </c>
      <c r="W3812">
        <v>-4.0419620000000003E-2</v>
      </c>
      <c r="X3812">
        <v>0.92833069999999895</v>
      </c>
      <c r="Y3812">
        <v>-0.30503469999999999</v>
      </c>
      <c r="Z3812">
        <v>8.7994519999999993E-3</v>
      </c>
      <c r="AA3812">
        <v>0.95230060000000005</v>
      </c>
      <c r="AB3812">
        <v>16</v>
      </c>
      <c r="AC3812">
        <v>14.198</v>
      </c>
      <c r="AD3812">
        <v>-1.0417135200000001</v>
      </c>
      <c r="AE3812">
        <v>-40.845500000000001</v>
      </c>
      <c r="AF3812">
        <v>-13.237515109933099</v>
      </c>
      <c r="AG3812">
        <v>-1.0417135200000001</v>
      </c>
      <c r="AH3812">
        <v>41.140464528593597</v>
      </c>
      <c r="AI3812">
        <v>91.380782238766599</v>
      </c>
      <c r="AJ3812">
        <v>107.83629947647201</v>
      </c>
      <c r="AK3812">
        <v>43.230253237425302</v>
      </c>
      <c r="AL3812">
        <v>92.316504668627104</v>
      </c>
      <c r="AM3812">
        <v>111.706603717165</v>
      </c>
      <c r="AN3812">
        <v>1.00000000965299</v>
      </c>
    </row>
    <row r="3813" spans="1:40" x14ac:dyDescent="0.25">
      <c r="A3813" t="str">
        <f>"20190303153842753"</f>
        <v>20190303153842753</v>
      </c>
      <c r="B3813" t="str">
        <f>"1551598722741720"</f>
        <v>1551598722741720</v>
      </c>
      <c r="C3813" t="s">
        <v>40</v>
      </c>
      <c r="D3813">
        <v>4.2100660000000003</v>
      </c>
      <c r="E3813">
        <v>0.52624819999999894</v>
      </c>
      <c r="F3813" t="s">
        <v>42</v>
      </c>
      <c r="G3813">
        <v>-476.65570000000002</v>
      </c>
      <c r="H3813">
        <v>7.9986080000000001E-2</v>
      </c>
      <c r="I3813">
        <v>191.5762</v>
      </c>
      <c r="J3813">
        <v>-491.88810000000001</v>
      </c>
      <c r="K3813">
        <v>1.121759</v>
      </c>
      <c r="L3813">
        <v>235.39109999999999</v>
      </c>
      <c r="M3813">
        <v>2.3166320000000001E-2</v>
      </c>
      <c r="N3813">
        <v>-1.5700809999999999E-2</v>
      </c>
      <c r="O3813">
        <v>-0.99960830000000001</v>
      </c>
      <c r="P3813">
        <v>0.39220359999999999</v>
      </c>
      <c r="Q3813">
        <v>-5.5070170000000002E-2</v>
      </c>
      <c r="R3813">
        <v>-0.9182285</v>
      </c>
      <c r="S3813">
        <v>0.9848633</v>
      </c>
      <c r="T3813">
        <v>-6.7337750000000002E-2</v>
      </c>
      <c r="U3813">
        <v>-2.842133</v>
      </c>
      <c r="V3813">
        <v>-0.37082700000000002</v>
      </c>
      <c r="W3813">
        <v>-4.0479109999999999E-2</v>
      </c>
      <c r="X3813">
        <v>0.92781939999999996</v>
      </c>
      <c r="Y3813">
        <v>-0.30534549999999999</v>
      </c>
      <c r="Z3813">
        <v>6.8179579999999998E-3</v>
      </c>
      <c r="AA3813">
        <v>0.95221719999999999</v>
      </c>
      <c r="AB3813">
        <v>16</v>
      </c>
      <c r="AC3813">
        <v>15.232399999999901</v>
      </c>
      <c r="AD3813">
        <v>-1.0417729200000001</v>
      </c>
      <c r="AE3813">
        <v>-43.814900000000002</v>
      </c>
      <c r="AF3813">
        <v>-14.205990751123499</v>
      </c>
      <c r="AG3813">
        <v>-1.0417729200000001</v>
      </c>
      <c r="AH3813">
        <v>44.133800629209603</v>
      </c>
      <c r="AI3813">
        <v>91.287192620510893</v>
      </c>
      <c r="AJ3813">
        <v>107.84256755083</v>
      </c>
      <c r="AK3813">
        <v>46.375508859921602</v>
      </c>
      <c r="AL3813">
        <v>92.319915937647707</v>
      </c>
      <c r="AM3813">
        <v>111.785396593172</v>
      </c>
      <c r="AN3813">
        <v>1.0000000306458701</v>
      </c>
    </row>
    <row r="3814" spans="1:40" x14ac:dyDescent="0.25">
      <c r="A3814" t="str">
        <f>"20190303153842767"</f>
        <v>20190303153842767</v>
      </c>
      <c r="B3814" t="str">
        <f>"1551598722762216"</f>
        <v>1551598722762216</v>
      </c>
      <c r="C3814" t="s">
        <v>40</v>
      </c>
      <c r="D3814">
        <v>4.2066059999999998</v>
      </c>
      <c r="E3814">
        <v>0.52657619999999905</v>
      </c>
      <c r="F3814" t="s">
        <v>42</v>
      </c>
      <c r="G3814">
        <v>-476.5591</v>
      </c>
      <c r="H3814">
        <v>7.9985970000000003E-2</v>
      </c>
      <c r="I3814">
        <v>191.21199999999999</v>
      </c>
      <c r="J3814">
        <v>-491.88580000000002</v>
      </c>
      <c r="K3814">
        <v>1.121788</v>
      </c>
      <c r="L3814">
        <v>235.2911</v>
      </c>
      <c r="M3814">
        <v>2.3130290000000001E-2</v>
      </c>
      <c r="N3814">
        <v>-1.5921270000000001E-2</v>
      </c>
      <c r="O3814">
        <v>-0.99960599999999999</v>
      </c>
      <c r="P3814">
        <v>0.39286860000000001</v>
      </c>
      <c r="Q3814">
        <v>-5.504626E-2</v>
      </c>
      <c r="R3814">
        <v>-0.91794600000000004</v>
      </c>
      <c r="S3814">
        <v>0.98608399999999996</v>
      </c>
      <c r="T3814">
        <v>-6.7015409999999997E-2</v>
      </c>
      <c r="U3814">
        <v>-2.8419650000000001</v>
      </c>
      <c r="V3814">
        <v>-0.371531</v>
      </c>
      <c r="W3814">
        <v>-4.025873E-2</v>
      </c>
      <c r="X3814">
        <v>0.92754729999999996</v>
      </c>
      <c r="Y3814">
        <v>-0.30576130000000001</v>
      </c>
      <c r="Z3814">
        <v>6.4890709999999999E-3</v>
      </c>
      <c r="AA3814">
        <v>0.95208610000000005</v>
      </c>
      <c r="AB3814">
        <v>16</v>
      </c>
      <c r="AC3814">
        <v>15.326700000000001</v>
      </c>
      <c r="AD3814">
        <v>-1.0418020299999999</v>
      </c>
      <c r="AE3814">
        <v>-44.079099999999897</v>
      </c>
      <c r="AF3814">
        <v>-14.2957828093455</v>
      </c>
      <c r="AG3814">
        <v>-1.0418020299999999</v>
      </c>
      <c r="AH3814">
        <v>44.399733132273198</v>
      </c>
      <c r="AI3814">
        <v>91.279486051665103</v>
      </c>
      <c r="AJ3814">
        <v>107.847469692948</v>
      </c>
      <c r="AK3814">
        <v>46.656093490762501</v>
      </c>
      <c r="AL3814">
        <v>92.307278813930196</v>
      </c>
      <c r="AM3814">
        <v>111.82867311698</v>
      </c>
      <c r="AN3814">
        <v>1.00000002151975</v>
      </c>
    </row>
    <row r="3815" spans="1:40" x14ac:dyDescent="0.25">
      <c r="A3815" t="str">
        <f>"20190303153842788"</f>
        <v>20190303153842788</v>
      </c>
      <c r="B3815" t="str">
        <f>"1551598722782712"</f>
        <v>1551598722782712</v>
      </c>
      <c r="C3815" t="s">
        <v>40</v>
      </c>
      <c r="D3815">
        <v>4.1984849999999998</v>
      </c>
      <c r="E3815">
        <v>0.52679370000000003</v>
      </c>
      <c r="F3815" t="s">
        <v>42</v>
      </c>
      <c r="G3815">
        <v>-476.13139999999999</v>
      </c>
      <c r="H3815">
        <v>7.9985589999999995E-2</v>
      </c>
      <c r="I3815">
        <v>189.8732</v>
      </c>
      <c r="J3815">
        <v>-491.88240000000002</v>
      </c>
      <c r="K3815">
        <v>1.12182</v>
      </c>
      <c r="L3815">
        <v>235.14240000000001</v>
      </c>
      <c r="M3815">
        <v>2.3083699999999999E-2</v>
      </c>
      <c r="N3815">
        <v>-1.6214639999999999E-2</v>
      </c>
      <c r="O3815">
        <v>-0.99960210000000005</v>
      </c>
      <c r="P3815">
        <v>0.39458959999999998</v>
      </c>
      <c r="Q3815">
        <v>-5.558718E-2</v>
      </c>
      <c r="R3815">
        <v>-0.91717459999999995</v>
      </c>
      <c r="S3815">
        <v>0.98593140000000001</v>
      </c>
      <c r="T3815">
        <v>-6.5197469999999993E-2</v>
      </c>
      <c r="U3815">
        <v>-2.8423159999999998</v>
      </c>
      <c r="V3815">
        <v>-0.37331199999999998</v>
      </c>
      <c r="W3815">
        <v>-4.0543839999999998E-2</v>
      </c>
      <c r="X3815">
        <v>0.92681950000000002</v>
      </c>
      <c r="Y3815">
        <v>-0.30572440000000001</v>
      </c>
      <c r="Z3815">
        <v>5.5884280000000003E-3</v>
      </c>
      <c r="AA3815">
        <v>0.9521037</v>
      </c>
      <c r="AB3815">
        <v>16</v>
      </c>
      <c r="AC3815">
        <v>15.750999999999999</v>
      </c>
      <c r="AD3815">
        <v>-1.0418344100000001</v>
      </c>
      <c r="AE3815">
        <v>-45.269199999999998</v>
      </c>
      <c r="AF3815">
        <v>-14.6947412331486</v>
      </c>
      <c r="AG3815">
        <v>-1.0418344100000001</v>
      </c>
      <c r="AH3815">
        <v>45.599229701017997</v>
      </c>
      <c r="AI3815">
        <v>91.245776789703598</v>
      </c>
      <c r="AJ3815">
        <v>107.861979229341</v>
      </c>
      <c r="AK3815">
        <v>47.919835018218301</v>
      </c>
      <c r="AL3815">
        <v>92.323627767668498</v>
      </c>
      <c r="AM3815">
        <v>111.93899648915</v>
      </c>
      <c r="AN3815">
        <v>1.00000001894309</v>
      </c>
    </row>
    <row r="3816" spans="1:40" x14ac:dyDescent="0.25">
      <c r="A3816" t="str">
        <f>"20190303153842810"</f>
        <v>20190303153842810</v>
      </c>
      <c r="B3816" t="str">
        <f>"1551598722801880"</f>
        <v>1551598722801880</v>
      </c>
      <c r="C3816" t="s">
        <v>40</v>
      </c>
      <c r="D3816">
        <v>4.2063600000000001</v>
      </c>
      <c r="E3816">
        <v>0.52696699999999996</v>
      </c>
      <c r="F3816" t="s">
        <v>42</v>
      </c>
      <c r="G3816">
        <v>-476.50659999999999</v>
      </c>
      <c r="H3816">
        <v>7.9985909999999993E-2</v>
      </c>
      <c r="I3816">
        <v>191.00749999999999</v>
      </c>
      <c r="J3816">
        <v>-491.87889999999999</v>
      </c>
      <c r="K3816">
        <v>1.1218319999999999</v>
      </c>
      <c r="L3816">
        <v>234.98859999999999</v>
      </c>
      <c r="M3816">
        <v>2.304347E-2</v>
      </c>
      <c r="N3816">
        <v>-1.6472469999999999E-2</v>
      </c>
      <c r="O3816">
        <v>-0.99959900000000002</v>
      </c>
      <c r="P3816">
        <v>0.39690330000000001</v>
      </c>
      <c r="Q3816">
        <v>-5.6049620000000001E-2</v>
      </c>
      <c r="R3816">
        <v>-0.91614819999999997</v>
      </c>
      <c r="S3816">
        <v>0.98977660000000001</v>
      </c>
      <c r="T3816">
        <v>-6.7065E-2</v>
      </c>
      <c r="U3816">
        <v>-2.8410489999999999</v>
      </c>
      <c r="V3816">
        <v>-0.37568550000000001</v>
      </c>
      <c r="W3816">
        <v>-4.0787110000000001E-2</v>
      </c>
      <c r="X3816">
        <v>0.92584920000000004</v>
      </c>
      <c r="Y3816">
        <v>-0.30703859999999999</v>
      </c>
      <c r="Z3816">
        <v>5.9540219999999998E-3</v>
      </c>
      <c r="AA3816">
        <v>0.95167840000000004</v>
      </c>
      <c r="AB3816">
        <v>16</v>
      </c>
      <c r="AC3816">
        <v>15.3722999999999</v>
      </c>
      <c r="AD3816">
        <v>-1.0418460899999999</v>
      </c>
      <c r="AE3816">
        <v>-43.981099999999998</v>
      </c>
      <c r="AF3816">
        <v>-14.347428051516401</v>
      </c>
      <c r="AG3816">
        <v>-1.0418460899999999</v>
      </c>
      <c r="AH3816">
        <v>44.301544143712697</v>
      </c>
      <c r="AI3816">
        <v>91.281670802997596</v>
      </c>
      <c r="AJ3816">
        <v>107.944982681222</v>
      </c>
      <c r="AK3816">
        <v>46.578546010862297</v>
      </c>
      <c r="AL3816">
        <v>92.337577783543793</v>
      </c>
      <c r="AM3816">
        <v>112.08603335433899</v>
      </c>
      <c r="AN3816">
        <v>0.99999996219651999</v>
      </c>
    </row>
    <row r="3817" spans="1:40" x14ac:dyDescent="0.25">
      <c r="A3817" t="str">
        <f>"20190303153842833"</f>
        <v>20190303153842833</v>
      </c>
      <c r="B3817" t="str">
        <f>"1551598722822361"</f>
        <v>1551598722822361</v>
      </c>
      <c r="C3817" t="s">
        <v>40</v>
      </c>
      <c r="D3817">
        <v>4.2145250000000001</v>
      </c>
      <c r="E3817">
        <v>0.52707700000000002</v>
      </c>
      <c r="F3817" t="s">
        <v>42</v>
      </c>
      <c r="G3817">
        <v>-476.89510000000001</v>
      </c>
      <c r="H3817">
        <v>7.9986269999999998E-2</v>
      </c>
      <c r="I3817">
        <v>192.2628</v>
      </c>
      <c r="J3817">
        <v>-491.87520000000001</v>
      </c>
      <c r="K3817">
        <v>1.121829</v>
      </c>
      <c r="L3817">
        <v>234.8271</v>
      </c>
      <c r="M3817">
        <v>2.3008879999999999E-2</v>
      </c>
      <c r="N3817">
        <v>-1.665635E-2</v>
      </c>
      <c r="O3817">
        <v>-0.99959659999999995</v>
      </c>
      <c r="P3817">
        <v>0.39942179999999999</v>
      </c>
      <c r="Q3817">
        <v>-5.5632000000000001E-2</v>
      </c>
      <c r="R3817">
        <v>-0.9150779</v>
      </c>
      <c r="S3817">
        <v>0.99563599999999997</v>
      </c>
      <c r="T3817">
        <v>-6.9228289999999998E-2</v>
      </c>
      <c r="U3817">
        <v>-2.839035</v>
      </c>
      <c r="V3817">
        <v>-0.37825959999999997</v>
      </c>
      <c r="W3817">
        <v>-4.0219030000000003E-2</v>
      </c>
      <c r="X3817">
        <v>0.92482540000000002</v>
      </c>
      <c r="Y3817">
        <v>-0.30902570000000001</v>
      </c>
      <c r="Z3817">
        <v>6.4924659999999997E-3</v>
      </c>
      <c r="AA3817">
        <v>0.95103159999999998</v>
      </c>
      <c r="AB3817">
        <v>16</v>
      </c>
      <c r="AC3817">
        <v>14.980099999999901</v>
      </c>
      <c r="AD3817">
        <v>-1.0418427299999999</v>
      </c>
      <c r="AE3817">
        <v>-42.564300000000003</v>
      </c>
      <c r="AF3817">
        <v>-13.9891829367045</v>
      </c>
      <c r="AG3817">
        <v>-1.0418427299999999</v>
      </c>
      <c r="AH3817">
        <v>42.874895374648503</v>
      </c>
      <c r="AI3817">
        <v>91.323356969700399</v>
      </c>
      <c r="AJ3817">
        <v>108.07042307509801</v>
      </c>
      <c r="AK3817">
        <v>45.111410185203603</v>
      </c>
      <c r="AL3817">
        <v>92.3050024744431</v>
      </c>
      <c r="AM3817">
        <v>112.24488059532</v>
      </c>
      <c r="AN3817">
        <v>0.99999995792572904</v>
      </c>
    </row>
    <row r="3818" spans="1:40" x14ac:dyDescent="0.25">
      <c r="A3818" t="str">
        <f>"20190303153842853"</f>
        <v>20190303153842853</v>
      </c>
      <c r="B3818" t="str">
        <f>"1551598722841877"</f>
        <v>1551598722841877</v>
      </c>
      <c r="C3818" t="s">
        <v>40</v>
      </c>
      <c r="D3818">
        <v>4.2342259999999996</v>
      </c>
      <c r="E3818">
        <v>0.52719359999999904</v>
      </c>
      <c r="F3818" t="s">
        <v>42</v>
      </c>
      <c r="G3818">
        <v>-476.67970000000003</v>
      </c>
      <c r="H3818">
        <v>7.9986160000000001E-2</v>
      </c>
      <c r="I3818">
        <v>191.85120000000001</v>
      </c>
      <c r="J3818">
        <v>-491.87189999999998</v>
      </c>
      <c r="K3818">
        <v>1.1218060000000001</v>
      </c>
      <c r="L3818">
        <v>234.68260000000001</v>
      </c>
      <c r="M3818">
        <v>2.2981890000000001E-2</v>
      </c>
      <c r="N3818">
        <v>-1.6738159999999998E-2</v>
      </c>
      <c r="O3818">
        <v>-0.99959589999999998</v>
      </c>
      <c r="P3818">
        <v>0.40170129999999998</v>
      </c>
      <c r="Q3818">
        <v>-5.5828309999999999E-2</v>
      </c>
      <c r="R3818">
        <v>-0.91406770000000004</v>
      </c>
      <c r="S3818">
        <v>1.0029300000000001</v>
      </c>
      <c r="T3818">
        <v>-6.8763379999999999E-2</v>
      </c>
      <c r="U3818">
        <v>-2.836487</v>
      </c>
      <c r="V3818">
        <v>-0.38058649999999999</v>
      </c>
      <c r="W3818">
        <v>-4.0357009999999999E-2</v>
      </c>
      <c r="X3818">
        <v>0.92386429999999997</v>
      </c>
      <c r="Y3818">
        <v>-0.31149189999999999</v>
      </c>
      <c r="Z3818">
        <v>6.2569009999999996E-3</v>
      </c>
      <c r="AA3818">
        <v>0.95022819999999997</v>
      </c>
      <c r="AB3818">
        <v>16</v>
      </c>
      <c r="AC3818">
        <v>15.1921999999999</v>
      </c>
      <c r="AD3818">
        <v>-1.0418198399999901</v>
      </c>
      <c r="AE3818">
        <v>-42.831400000000002</v>
      </c>
      <c r="AF3818">
        <v>-14.1962415238559</v>
      </c>
      <c r="AG3818">
        <v>-1.0418198399999901</v>
      </c>
      <c r="AH3818">
        <v>43.146603878458301</v>
      </c>
      <c r="AI3818">
        <v>91.313930448273496</v>
      </c>
      <c r="AJ3818">
        <v>108.212414380269</v>
      </c>
      <c r="AK3818">
        <v>45.433997053167801</v>
      </c>
      <c r="AL3818">
        <v>92.312914453107197</v>
      </c>
      <c r="AM3818">
        <v>112.38924383952499</v>
      </c>
      <c r="AN3818">
        <v>1.00000000852644</v>
      </c>
    </row>
    <row r="3819" spans="1:40" x14ac:dyDescent="0.25">
      <c r="A3819" t="str">
        <f>"20190303153842876"</f>
        <v>20190303153842876</v>
      </c>
      <c r="B3819" t="str">
        <f>"1551598722872133"</f>
        <v>1551598722872133</v>
      </c>
      <c r="C3819" t="s">
        <v>40</v>
      </c>
      <c r="D3819">
        <v>4.2584879999999998</v>
      </c>
      <c r="E3819">
        <v>0.52743890000000004</v>
      </c>
      <c r="F3819" t="s">
        <v>42</v>
      </c>
      <c r="G3819">
        <v>-476.87810000000002</v>
      </c>
      <c r="H3819">
        <v>7.9986360000000006E-2</v>
      </c>
      <c r="I3819">
        <v>192.5558</v>
      </c>
      <c r="J3819">
        <v>-491.86840000000001</v>
      </c>
      <c r="K3819">
        <v>1.1217710000000001</v>
      </c>
      <c r="L3819">
        <v>234.52709999999999</v>
      </c>
      <c r="M3819">
        <v>2.295583E-2</v>
      </c>
      <c r="N3819">
        <v>-1.6757910000000001E-2</v>
      </c>
      <c r="O3819">
        <v>-0.99959609999999999</v>
      </c>
      <c r="P3819">
        <v>0.40453899999999998</v>
      </c>
      <c r="Q3819">
        <v>-5.6068449999999999E-2</v>
      </c>
      <c r="R3819">
        <v>-0.91280070000000002</v>
      </c>
      <c r="S3819">
        <v>1.00885</v>
      </c>
      <c r="T3819">
        <v>-7.009804E-2</v>
      </c>
      <c r="U3819">
        <v>-2.834473</v>
      </c>
      <c r="V3819">
        <v>-0.38347690000000001</v>
      </c>
      <c r="W3819">
        <v>-4.0599259999999998E-2</v>
      </c>
      <c r="X3819">
        <v>0.92265770000000003</v>
      </c>
      <c r="Y3819">
        <v>-0.31348799999999999</v>
      </c>
      <c r="Z3819">
        <v>6.6823309999999997E-3</v>
      </c>
      <c r="AA3819">
        <v>0.94956859999999998</v>
      </c>
      <c r="AB3819">
        <v>16</v>
      </c>
      <c r="AC3819">
        <v>14.9902999999999</v>
      </c>
      <c r="AD3819">
        <v>-1.0417846399999999</v>
      </c>
      <c r="AE3819">
        <v>-41.9712999999999</v>
      </c>
      <c r="AF3819">
        <v>-14.0150695409327</v>
      </c>
      <c r="AG3819">
        <v>-1.0417846399999999</v>
      </c>
      <c r="AH3819">
        <v>42.281297175303699</v>
      </c>
      <c r="AI3819">
        <v>91.339788742056996</v>
      </c>
      <c r="AJ3819">
        <v>108.338917552486</v>
      </c>
      <c r="AK3819">
        <v>44.555758104869803</v>
      </c>
      <c r="AL3819">
        <v>92.326805685786695</v>
      </c>
      <c r="AM3819">
        <v>112.56884858838499</v>
      </c>
      <c r="AN3819">
        <v>1.00000003205772</v>
      </c>
    </row>
    <row r="3820" spans="1:40" x14ac:dyDescent="0.25">
      <c r="A3820" t="str">
        <f>"20190303153842890"</f>
        <v>20190303153842890</v>
      </c>
      <c r="B3820" t="str">
        <f>"1551598722881893"</f>
        <v>1551598722881893</v>
      </c>
      <c r="C3820" t="s">
        <v>40</v>
      </c>
      <c r="D3820">
        <v>4.5110229999999998</v>
      </c>
      <c r="E3820">
        <v>0.52748779999999995</v>
      </c>
      <c r="F3820" t="s">
        <v>42</v>
      </c>
      <c r="G3820">
        <v>-477.05329999999998</v>
      </c>
      <c r="H3820">
        <v>7.9986539999999995E-2</v>
      </c>
      <c r="I3820">
        <v>193.22190000000001</v>
      </c>
      <c r="J3820">
        <v>-491.86599999999999</v>
      </c>
      <c r="K3820">
        <v>1.1217459999999999</v>
      </c>
      <c r="L3820">
        <v>234.4229</v>
      </c>
      <c r="M3820">
        <v>2.2939270000000001E-2</v>
      </c>
      <c r="N3820">
        <v>-1.674844E-2</v>
      </c>
      <c r="O3820">
        <v>-0.99959679999999995</v>
      </c>
      <c r="P3820">
        <v>0.40591290000000002</v>
      </c>
      <c r="Q3820">
        <v>-5.5975120000000003E-2</v>
      </c>
      <c r="R3820">
        <v>-0.91219629999999996</v>
      </c>
      <c r="S3820">
        <v>1.0157780000000001</v>
      </c>
      <c r="T3820">
        <v>-7.1428539999999999E-2</v>
      </c>
      <c r="U3820">
        <v>-2.8320310000000002</v>
      </c>
      <c r="V3820">
        <v>-0.38487929999999998</v>
      </c>
      <c r="W3820">
        <v>-4.0523980000000001E-2</v>
      </c>
      <c r="X3820">
        <v>0.92207689999999998</v>
      </c>
      <c r="Y3820">
        <v>-0.31581809999999899</v>
      </c>
      <c r="Z3820">
        <v>7.1360709999999999E-3</v>
      </c>
      <c r="AA3820">
        <v>0.94879290000000005</v>
      </c>
      <c r="AB3820">
        <v>16</v>
      </c>
      <c r="AC3820">
        <v>14.8127</v>
      </c>
      <c r="AD3820">
        <v>-1.04175946</v>
      </c>
      <c r="AE3820">
        <v>-41.200999999999901</v>
      </c>
      <c r="AF3820">
        <v>-13.8557035578889</v>
      </c>
      <c r="AG3820">
        <v>-1.04175946</v>
      </c>
      <c r="AH3820">
        <v>41.506496810918101</v>
      </c>
      <c r="AI3820">
        <v>91.363797124780604</v>
      </c>
      <c r="AJ3820">
        <v>108.460046661582</v>
      </c>
      <c r="AK3820">
        <v>43.770481621423301</v>
      </c>
      <c r="AL3820">
        <v>92.322488890925996</v>
      </c>
      <c r="AM3820">
        <v>112.65588995353799</v>
      </c>
      <c r="AN3820">
        <v>1.0000000390185599</v>
      </c>
    </row>
    <row r="3821" spans="1:40" x14ac:dyDescent="0.25">
      <c r="A3821" t="str">
        <f>"20190303153842910"</f>
        <v>20190303153842910</v>
      </c>
      <c r="B3821" t="str">
        <f>"1551598722902011"</f>
        <v>1551598722902011</v>
      </c>
      <c r="C3821" t="s">
        <v>40</v>
      </c>
      <c r="D3821">
        <v>4.2598240000000001</v>
      </c>
      <c r="E3821">
        <v>0.5275244</v>
      </c>
      <c r="F3821" t="s">
        <v>42</v>
      </c>
      <c r="G3821">
        <v>-477.04090000000002</v>
      </c>
      <c r="H3821">
        <v>7.9986550000000003E-2</v>
      </c>
      <c r="I3821">
        <v>193.24289999999999</v>
      </c>
      <c r="J3821">
        <v>-491.863</v>
      </c>
      <c r="K3821">
        <v>1.1217170000000001</v>
      </c>
      <c r="L3821">
        <v>234.2901</v>
      </c>
      <c r="M3821">
        <v>2.2918790000000001E-2</v>
      </c>
      <c r="N3821">
        <v>-1.6710280000000001E-2</v>
      </c>
      <c r="O3821">
        <v>-0.99959750000000003</v>
      </c>
      <c r="P3821">
        <v>0.40922960000000003</v>
      </c>
      <c r="Q3821">
        <v>-5.6696110000000001E-2</v>
      </c>
      <c r="R3821">
        <v>-0.91066849999999999</v>
      </c>
      <c r="S3821">
        <v>1.0191349999999999</v>
      </c>
      <c r="T3821">
        <v>-7.1614860000000002E-2</v>
      </c>
      <c r="U3821">
        <v>-2.8308870000000002</v>
      </c>
      <c r="V3821">
        <v>-0.38824900000000001</v>
      </c>
      <c r="W3821">
        <v>-4.1303310000000003E-2</v>
      </c>
      <c r="X3821">
        <v>0.92062849999999996</v>
      </c>
      <c r="Y3821">
        <v>-0.31695509999999999</v>
      </c>
      <c r="Z3821">
        <v>7.2361650000000001E-3</v>
      </c>
      <c r="AA3821">
        <v>0.9484129</v>
      </c>
      <c r="AB3821">
        <v>15</v>
      </c>
      <c r="AC3821">
        <v>14.822100000000001</v>
      </c>
      <c r="AD3821">
        <v>-1.04173045</v>
      </c>
      <c r="AE3821">
        <v>-41.047199999999997</v>
      </c>
      <c r="AF3821">
        <v>-13.869419255798</v>
      </c>
      <c r="AG3821">
        <v>-1.04173045</v>
      </c>
      <c r="AH3821">
        <v>41.352604932436797</v>
      </c>
      <c r="AI3821">
        <v>91.3681844779899</v>
      </c>
      <c r="AJ3821">
        <v>108.541148383796</v>
      </c>
      <c r="AK3821">
        <v>43.628934521963203</v>
      </c>
      <c r="AL3821">
        <v>92.367178621926499</v>
      </c>
      <c r="AM3821">
        <v>112.866207561755</v>
      </c>
      <c r="AN3821">
        <v>1.0000000422151001</v>
      </c>
    </row>
    <row r="3822" spans="1:40" x14ac:dyDescent="0.25">
      <c r="A3822" t="str">
        <f>"20190303153842933"</f>
        <v>20190303153842933</v>
      </c>
      <c r="B3822" t="str">
        <f>"1551598722922493"</f>
        <v>1551598722922493</v>
      </c>
      <c r="C3822" t="s">
        <v>40</v>
      </c>
      <c r="D3822">
        <v>4.2871090000000001</v>
      </c>
      <c r="E3822">
        <v>0.52752410000000005</v>
      </c>
      <c r="F3822" t="s">
        <v>42</v>
      </c>
      <c r="G3822">
        <v>-477.27300000000002</v>
      </c>
      <c r="H3822">
        <v>7.9986829999999995E-2</v>
      </c>
      <c r="I3822">
        <v>194.22669999999999</v>
      </c>
      <c r="J3822">
        <v>-491.85939999999999</v>
      </c>
      <c r="K3822">
        <v>1.121678</v>
      </c>
      <c r="L3822">
        <v>234.1369</v>
      </c>
      <c r="M3822">
        <v>2.2897359999999999E-2</v>
      </c>
      <c r="N3822">
        <v>-1.6618359999999999E-2</v>
      </c>
      <c r="O3822">
        <v>-0.99959969999999998</v>
      </c>
      <c r="P3822">
        <v>0.4119892</v>
      </c>
      <c r="Q3822">
        <v>-5.6782069999999997E-2</v>
      </c>
      <c r="R3822">
        <v>-0.9094179</v>
      </c>
      <c r="S3822">
        <v>1.029541</v>
      </c>
      <c r="T3822">
        <v>-7.3509569999999996E-2</v>
      </c>
      <c r="U3822">
        <v>-2.8270719999999998</v>
      </c>
      <c r="V3822">
        <v>-0.39105669999999998</v>
      </c>
      <c r="W3822">
        <v>-4.149307E-2</v>
      </c>
      <c r="X3822">
        <v>0.91943079999999999</v>
      </c>
      <c r="Y3822">
        <v>-0.3204632</v>
      </c>
      <c r="Z3822">
        <v>7.9612769999999992E-3</v>
      </c>
      <c r="AA3822">
        <v>0.9472275</v>
      </c>
      <c r="AB3822">
        <v>15</v>
      </c>
      <c r="AC3822">
        <v>14.5863999999999</v>
      </c>
      <c r="AD3822">
        <v>-1.04169117</v>
      </c>
      <c r="AE3822">
        <v>-39.910200000000003</v>
      </c>
      <c r="AF3822">
        <v>-13.6604006571679</v>
      </c>
      <c r="AG3822">
        <v>-1.04169117</v>
      </c>
      <c r="AH3822">
        <v>40.209604533453202</v>
      </c>
      <c r="AI3822">
        <v>91.405161464741596</v>
      </c>
      <c r="AJ3822">
        <v>108.764154637609</v>
      </c>
      <c r="AK3822">
        <v>42.479453425682301</v>
      </c>
      <c r="AL3822">
        <v>92.378060481682994</v>
      </c>
      <c r="AM3822">
        <v>113.041251607935</v>
      </c>
      <c r="AN3822">
        <v>1.0000000067307699</v>
      </c>
    </row>
    <row r="3823" spans="1:40" x14ac:dyDescent="0.25">
      <c r="A3823" t="str">
        <f>"20190303153842947"</f>
        <v>20190303153842947</v>
      </c>
      <c r="B3823" t="str">
        <f>"1551598722942013"</f>
        <v>1551598722942013</v>
      </c>
      <c r="C3823" t="s">
        <v>40</v>
      </c>
      <c r="D3823">
        <v>4.253736</v>
      </c>
      <c r="E3823">
        <v>0.52753039999999995</v>
      </c>
      <c r="F3823" t="s">
        <v>42</v>
      </c>
      <c r="G3823">
        <v>-477.20269999999999</v>
      </c>
      <c r="H3823">
        <v>7.9986860000000007E-2</v>
      </c>
      <c r="I3823">
        <v>194.2782</v>
      </c>
      <c r="J3823">
        <v>-491.8571</v>
      </c>
      <c r="K3823">
        <v>1.121659</v>
      </c>
      <c r="L3823">
        <v>234.03399999999999</v>
      </c>
      <c r="M3823">
        <v>2.2885780000000001E-2</v>
      </c>
      <c r="N3823">
        <v>-1.6522269999999999E-2</v>
      </c>
      <c r="O3823">
        <v>-0.99960159999999998</v>
      </c>
      <c r="P3823">
        <v>0.41359970000000001</v>
      </c>
      <c r="Q3823">
        <v>-5.6634490000000003E-2</v>
      </c>
      <c r="R3823">
        <v>-0.9086957</v>
      </c>
      <c r="S3823">
        <v>1.0383610000000001</v>
      </c>
      <c r="T3823">
        <v>-7.3799009999999998E-2</v>
      </c>
      <c r="U3823">
        <v>-2.823807</v>
      </c>
      <c r="V3823">
        <v>-0.3926943</v>
      </c>
      <c r="W3823">
        <v>-4.144519E-2</v>
      </c>
      <c r="X3823">
        <v>0.91873470000000002</v>
      </c>
      <c r="Y3823">
        <v>-0.32343250000000001</v>
      </c>
      <c r="Z3823">
        <v>8.1552020000000003E-3</v>
      </c>
      <c r="AA3823">
        <v>0.9462161</v>
      </c>
      <c r="AB3823">
        <v>15</v>
      </c>
      <c r="AC3823">
        <v>14.654400000000001</v>
      </c>
      <c r="AD3823">
        <v>-1.04167214</v>
      </c>
      <c r="AE3823">
        <v>-39.755800000000001</v>
      </c>
      <c r="AF3823">
        <v>-13.7322941797203</v>
      </c>
      <c r="AG3823">
        <v>-1.04167214</v>
      </c>
      <c r="AH3823">
        <v>40.056597131826102</v>
      </c>
      <c r="AI3823">
        <v>91.409168780985993</v>
      </c>
      <c r="AJ3823">
        <v>108.92285729543499</v>
      </c>
      <c r="AK3823">
        <v>42.357903135861903</v>
      </c>
      <c r="AL3823">
        <v>92.375314854289201</v>
      </c>
      <c r="AM3823">
        <v>113.14329184264599</v>
      </c>
      <c r="AN3823">
        <v>0.99999998300535697</v>
      </c>
    </row>
    <row r="3824" spans="1:40" x14ac:dyDescent="0.25">
      <c r="A3824" t="str">
        <f>"20190303153842965"</f>
        <v>20190303153842965</v>
      </c>
      <c r="B3824" t="str">
        <f>"1551598722962509"</f>
        <v>1551598722962509</v>
      </c>
      <c r="C3824" t="s">
        <v>40</v>
      </c>
      <c r="D3824">
        <v>4.4094160000000002</v>
      </c>
      <c r="E3824">
        <v>0.52730559999999904</v>
      </c>
      <c r="F3824" t="s">
        <v>42</v>
      </c>
      <c r="G3824">
        <v>-477.13459999999998</v>
      </c>
      <c r="H3824">
        <v>7.9986829999999995E-2</v>
      </c>
      <c r="I3824">
        <v>194.2062</v>
      </c>
      <c r="J3824">
        <v>-491.8544</v>
      </c>
      <c r="K3824">
        <v>1.1216299999999999</v>
      </c>
      <c r="L3824">
        <v>233.91579999999999</v>
      </c>
      <c r="M3824">
        <v>2.287579E-2</v>
      </c>
      <c r="N3824">
        <v>-1.636634E-2</v>
      </c>
      <c r="O3824">
        <v>-0.99960450000000001</v>
      </c>
      <c r="P3824">
        <v>0.41622110000000001</v>
      </c>
      <c r="Q3824">
        <v>-5.6105839999999997E-2</v>
      </c>
      <c r="R3824">
        <v>-0.90753139999999999</v>
      </c>
      <c r="S3824">
        <v>1.0431820000000001</v>
      </c>
      <c r="T3824">
        <v>-7.3808910000000005E-2</v>
      </c>
      <c r="U3824">
        <v>-2.8220519999999998</v>
      </c>
      <c r="V3824">
        <v>-0.39535049999999999</v>
      </c>
      <c r="W3824">
        <v>-4.1079520000000001E-2</v>
      </c>
      <c r="X3824">
        <v>0.91761130000000002</v>
      </c>
      <c r="Y3824">
        <v>-0.3250557</v>
      </c>
      <c r="Z3824">
        <v>8.3143929999999998E-3</v>
      </c>
      <c r="AA3824">
        <v>0.94565829999999995</v>
      </c>
      <c r="AB3824">
        <v>15</v>
      </c>
      <c r="AC3824">
        <v>14.719799999999999</v>
      </c>
      <c r="AD3824">
        <v>-1.04164317</v>
      </c>
      <c r="AE3824">
        <v>-39.709600000000002</v>
      </c>
      <c r="AF3824">
        <v>-13.799089033865499</v>
      </c>
      <c r="AG3824">
        <v>-1.04164317</v>
      </c>
      <c r="AH3824">
        <v>40.011772175956501</v>
      </c>
      <c r="AI3824">
        <v>91.409817501082202</v>
      </c>
      <c r="AJ3824">
        <v>109.028071165358</v>
      </c>
      <c r="AK3824">
        <v>42.337238824925699</v>
      </c>
      <c r="AL3824">
        <v>92.3543455572905</v>
      </c>
      <c r="AM3824">
        <v>113.30867120162701</v>
      </c>
      <c r="AN3824">
        <v>1.0000000213506799</v>
      </c>
    </row>
    <row r="3825" spans="1:40" x14ac:dyDescent="0.25">
      <c r="A3825" t="str">
        <f>"20190303153842983"</f>
        <v>20190303153842983</v>
      </c>
      <c r="B3825" t="str">
        <f>"1551598722972270"</f>
        <v>1551598722972270</v>
      </c>
      <c r="C3825" t="s">
        <v>40</v>
      </c>
      <c r="D3825">
        <v>4.3125280000000004</v>
      </c>
      <c r="E3825">
        <v>0.5273101</v>
      </c>
      <c r="F3825" t="s">
        <v>42</v>
      </c>
      <c r="G3825">
        <v>-477.31209999999999</v>
      </c>
      <c r="H3825">
        <v>7.9985589999999995E-2</v>
      </c>
      <c r="I3825">
        <v>194.99189999999999</v>
      </c>
      <c r="J3825">
        <v>-491.85180000000003</v>
      </c>
      <c r="K3825">
        <v>1.121597</v>
      </c>
      <c r="L3825">
        <v>233.80070000000001</v>
      </c>
      <c r="M3825">
        <v>2.286912E-2</v>
      </c>
      <c r="N3825">
        <v>-1.6184549999999999E-2</v>
      </c>
      <c r="O3825">
        <v>-0.99960729999999998</v>
      </c>
      <c r="P3825">
        <v>0.41725649999999997</v>
      </c>
      <c r="Q3825">
        <v>-5.5522870000000002E-2</v>
      </c>
      <c r="R3825">
        <v>-0.90709139999999999</v>
      </c>
      <c r="S3825">
        <v>1.0528869999999999</v>
      </c>
      <c r="T3825">
        <v>-7.5416800000000006E-2</v>
      </c>
      <c r="U3825">
        <v>-2.8181609999999999</v>
      </c>
      <c r="V3825">
        <v>-0.39640170000000002</v>
      </c>
      <c r="W3825">
        <v>-4.0672590000000002E-2</v>
      </c>
      <c r="X3825">
        <v>0.91717579999999999</v>
      </c>
      <c r="Y3825">
        <v>-0.32834239999999998</v>
      </c>
      <c r="Z3825">
        <v>9.035309E-3</v>
      </c>
      <c r="AA3825">
        <v>0.94451560000000001</v>
      </c>
      <c r="AB3825">
        <v>15</v>
      </c>
      <c r="AC3825">
        <v>14.5397</v>
      </c>
      <c r="AD3825">
        <v>-1.04161141</v>
      </c>
      <c r="AE3825">
        <v>-38.808799999999998</v>
      </c>
      <c r="AF3825">
        <v>-13.639640787135001</v>
      </c>
      <c r="AG3825">
        <v>-1.04161141</v>
      </c>
      <c r="AH3825">
        <v>39.106497905371398</v>
      </c>
      <c r="AI3825">
        <v>91.440653171429801</v>
      </c>
      <c r="AJ3825">
        <v>109.227849930842</v>
      </c>
      <c r="AK3825">
        <v>41.429976267846698</v>
      </c>
      <c r="AL3825">
        <v>92.331010715145098</v>
      </c>
      <c r="AM3825">
        <v>113.37391224141101</v>
      </c>
      <c r="AN3825">
        <v>1.0000000077229101</v>
      </c>
    </row>
    <row r="3826" spans="1:40" x14ac:dyDescent="0.25">
      <c r="A3826" t="str">
        <f>"20190303153843002"</f>
        <v>20190303153843002</v>
      </c>
      <c r="B3826" t="str">
        <f>"1551598722992765"</f>
        <v>1551598722992765</v>
      </c>
      <c r="C3826" t="s">
        <v>40</v>
      </c>
      <c r="D3826">
        <v>4.3282790000000002</v>
      </c>
      <c r="E3826">
        <v>0.52739639999999999</v>
      </c>
      <c r="F3826" t="s">
        <v>42</v>
      </c>
      <c r="G3826">
        <v>-476.96280000000002</v>
      </c>
      <c r="H3826">
        <v>7.9986810000000005E-2</v>
      </c>
      <c r="I3826">
        <v>194.09790000000001</v>
      </c>
      <c r="J3826">
        <v>-491.84870000000001</v>
      </c>
      <c r="K3826">
        <v>1.121559</v>
      </c>
      <c r="L3826">
        <v>233.6686</v>
      </c>
      <c r="M3826">
        <v>2.286796E-2</v>
      </c>
      <c r="N3826">
        <v>-1.5960780000000001E-2</v>
      </c>
      <c r="O3826">
        <v>-0.99961109999999997</v>
      </c>
      <c r="P3826">
        <v>0.41934670000000002</v>
      </c>
      <c r="Q3826">
        <v>-5.5396040000000001E-2</v>
      </c>
      <c r="R3826">
        <v>-0.90613480000000002</v>
      </c>
      <c r="S3826">
        <v>1.0563659999999999</v>
      </c>
      <c r="T3826">
        <v>-7.3901649999999999E-2</v>
      </c>
      <c r="U3826">
        <v>-2.8168950000000001</v>
      </c>
      <c r="V3826">
        <v>-0.39851360000000002</v>
      </c>
      <c r="W3826">
        <v>-4.0769819999999998E-2</v>
      </c>
      <c r="X3826">
        <v>0.91625579999999995</v>
      </c>
      <c r="Y3826">
        <v>-0.32950950000000001</v>
      </c>
      <c r="Z3826">
        <v>8.7533550000000009E-3</v>
      </c>
      <c r="AA3826">
        <v>0.9441117</v>
      </c>
      <c r="AB3826">
        <v>15</v>
      </c>
      <c r="AC3826">
        <v>14.8858999999999</v>
      </c>
      <c r="AD3826">
        <v>-1.0415721899999999</v>
      </c>
      <c r="AE3826">
        <v>-39.570699999999903</v>
      </c>
      <c r="AF3826">
        <v>-13.968511683752199</v>
      </c>
      <c r="AG3826">
        <v>-1.0415721899999999</v>
      </c>
      <c r="AH3826">
        <v>39.876599995046099</v>
      </c>
      <c r="AI3826">
        <v>91.412124582514906</v>
      </c>
      <c r="AJ3826">
        <v>109.30502328839999</v>
      </c>
      <c r="AK3826">
        <v>42.2652034000904</v>
      </c>
      <c r="AL3826">
        <v>92.336586274752705</v>
      </c>
      <c r="AM3826">
        <v>113.50600755941601</v>
      </c>
      <c r="AN3826">
        <v>0.99999997932071605</v>
      </c>
    </row>
    <row r="3827" spans="1:40" x14ac:dyDescent="0.25">
      <c r="A3827" t="str">
        <f>"20190303153843024"</f>
        <v>20190303153843024</v>
      </c>
      <c r="B3827" t="str">
        <f>"1551598723011817"</f>
        <v>1551598723011817</v>
      </c>
      <c r="C3827" t="s">
        <v>40</v>
      </c>
      <c r="D3827">
        <v>4.4280549999999996</v>
      </c>
      <c r="E3827">
        <v>0.52720659999999997</v>
      </c>
      <c r="F3827" t="s">
        <v>42</v>
      </c>
      <c r="G3827">
        <v>-476.87270000000001</v>
      </c>
      <c r="H3827">
        <v>7.9986769999999999E-2</v>
      </c>
      <c r="I3827">
        <v>193.97329999999999</v>
      </c>
      <c r="J3827">
        <v>-491.84519999999998</v>
      </c>
      <c r="K3827">
        <v>1.1215280000000001</v>
      </c>
      <c r="L3827">
        <v>233.5145</v>
      </c>
      <c r="M3827">
        <v>2.2881530000000001E-2</v>
      </c>
      <c r="N3827">
        <v>-1.5706649999999999E-2</v>
      </c>
      <c r="O3827">
        <v>-0.99961500000000003</v>
      </c>
      <c r="P3827">
        <v>0.42119609999999902</v>
      </c>
      <c r="Q3827">
        <v>-5.5474049999999997E-2</v>
      </c>
      <c r="R3827">
        <v>-0.90527190000000002</v>
      </c>
      <c r="S3827">
        <v>1.0619510000000001</v>
      </c>
      <c r="T3827">
        <v>-7.3857779999999998E-2</v>
      </c>
      <c r="U3827">
        <v>-2.8147890000000002</v>
      </c>
      <c r="V3827">
        <v>-0.40036939999999999</v>
      </c>
      <c r="W3827">
        <v>-4.1101720000000001E-2</v>
      </c>
      <c r="X3827">
        <v>0.91543160000000001</v>
      </c>
      <c r="Y3827">
        <v>-0.33137</v>
      </c>
      <c r="Z3827">
        <v>8.9928830000000001E-3</v>
      </c>
      <c r="AA3827">
        <v>0.94345800000000002</v>
      </c>
      <c r="AB3827">
        <v>15</v>
      </c>
      <c r="AC3827">
        <v>14.972499999999901</v>
      </c>
      <c r="AD3827">
        <v>-1.04154123</v>
      </c>
      <c r="AE3827">
        <v>-39.541200000000003</v>
      </c>
      <c r="AF3827">
        <v>-14.0551753815248</v>
      </c>
      <c r="AG3827">
        <v>-1.04154123</v>
      </c>
      <c r="AH3827">
        <v>39.849299312315601</v>
      </c>
      <c r="AI3827">
        <v>91.4119829885949</v>
      </c>
      <c r="AJ3827">
        <v>109.428164961354</v>
      </c>
      <c r="AK3827">
        <v>42.268184475107603</v>
      </c>
      <c r="AL3827">
        <v>92.355618623001405</v>
      </c>
      <c r="AM3827">
        <v>113.622446873588</v>
      </c>
      <c r="AN3827">
        <v>1.0000000110609299</v>
      </c>
    </row>
    <row r="3828" spans="1:40" x14ac:dyDescent="0.25">
      <c r="A3828" t="str">
        <f>"20190303153843045"</f>
        <v>20190303153843045</v>
      </c>
      <c r="B3828" t="str">
        <f>"1551598723042073"</f>
        <v>1551598723042073</v>
      </c>
      <c r="C3828" t="s">
        <v>40</v>
      </c>
      <c r="D3828">
        <v>4.3083179999999999</v>
      </c>
      <c r="E3828">
        <v>0.52704779999999996</v>
      </c>
      <c r="F3828" t="s">
        <v>42</v>
      </c>
      <c r="G3828">
        <v>-477.40690000000001</v>
      </c>
      <c r="H3828">
        <v>7.998574E-2</v>
      </c>
      <c r="I3828">
        <v>195.54060000000001</v>
      </c>
      <c r="J3828">
        <v>-491.84190000000001</v>
      </c>
      <c r="K3828">
        <v>1.1215139999999999</v>
      </c>
      <c r="L3828">
        <v>233.3708</v>
      </c>
      <c r="M3828">
        <v>2.2917529999999998E-2</v>
      </c>
      <c r="N3828">
        <v>-1.549121E-2</v>
      </c>
      <c r="O3828">
        <v>-0.9996176</v>
      </c>
      <c r="P3828">
        <v>0.42294540000000003</v>
      </c>
      <c r="Q3828">
        <v>-5.5520569999999998E-2</v>
      </c>
      <c r="R3828">
        <v>-0.90445299999999995</v>
      </c>
      <c r="S3828">
        <v>1.0690919999999999</v>
      </c>
      <c r="T3828">
        <v>-7.7121499999999996E-2</v>
      </c>
      <c r="U3828">
        <v>-2.811798</v>
      </c>
      <c r="V3828">
        <v>-0.40210289999999999</v>
      </c>
      <c r="W3828">
        <v>-4.1369389999999999E-2</v>
      </c>
      <c r="X3828">
        <v>0.91465940000000001</v>
      </c>
      <c r="Y3828">
        <v>-0.33375569999999999</v>
      </c>
      <c r="Z3828">
        <v>1.0299279999999999E-2</v>
      </c>
      <c r="AA3828">
        <v>0.94260330000000003</v>
      </c>
      <c r="AB3828">
        <v>15</v>
      </c>
      <c r="AC3828">
        <v>14.435</v>
      </c>
      <c r="AD3828">
        <v>-1.04152826</v>
      </c>
      <c r="AE3828">
        <v>-37.830199999999898</v>
      </c>
      <c r="AF3828">
        <v>-13.5551604534442</v>
      </c>
      <c r="AG3828">
        <v>-1.04152826</v>
      </c>
      <c r="AH3828">
        <v>38.1258897764694</v>
      </c>
      <c r="AI3828">
        <v>91.4744506731722</v>
      </c>
      <c r="AJ3828">
        <v>109.572176625986</v>
      </c>
      <c r="AK3828">
        <v>40.477285325012701</v>
      </c>
      <c r="AL3828">
        <v>92.370968081687494</v>
      </c>
      <c r="AM3828">
        <v>113.731268553036</v>
      </c>
      <c r="AN3828">
        <v>0.99999999331287104</v>
      </c>
    </row>
    <row r="3829" spans="1:40" x14ac:dyDescent="0.25">
      <c r="A3829" t="str">
        <f>"20190303153843066"</f>
        <v>20190303153843066</v>
      </c>
      <c r="B3829" t="str">
        <f>"1551598723062570"</f>
        <v>1551598723062570</v>
      </c>
      <c r="C3829" t="s">
        <v>40</v>
      </c>
      <c r="D3829">
        <v>4.3300190000000001</v>
      </c>
      <c r="E3829">
        <v>0.52708699999999997</v>
      </c>
      <c r="F3829" t="s">
        <v>42</v>
      </c>
      <c r="G3829">
        <v>-477.88589999999999</v>
      </c>
      <c r="H3829">
        <v>7.9986130000000003E-2</v>
      </c>
      <c r="I3829">
        <v>196.92699999999999</v>
      </c>
      <c r="J3829">
        <v>-491.83859999999999</v>
      </c>
      <c r="K3829">
        <v>1.1215189999999999</v>
      </c>
      <c r="L3829">
        <v>233.2311</v>
      </c>
      <c r="M3829">
        <v>2.298097E-2</v>
      </c>
      <c r="N3829">
        <v>-1.530055E-2</v>
      </c>
      <c r="O3829">
        <v>-0.99961900000000004</v>
      </c>
      <c r="P3829">
        <v>0.42462680000000003</v>
      </c>
      <c r="Q3829">
        <v>-5.553922E-2</v>
      </c>
      <c r="R3829">
        <v>-0.90366360000000001</v>
      </c>
      <c r="S3829">
        <v>1.0756840000000001</v>
      </c>
      <c r="T3829">
        <v>-8.0277680000000004E-2</v>
      </c>
      <c r="U3829">
        <v>-2.8089750000000002</v>
      </c>
      <c r="V3829">
        <v>-0.4037423</v>
      </c>
      <c r="W3829">
        <v>-4.1590750000000003E-2</v>
      </c>
      <c r="X3829">
        <v>0.91392689999999999</v>
      </c>
      <c r="Y3829">
        <v>-0.33593379999999901</v>
      </c>
      <c r="Z3829">
        <v>1.154558E-2</v>
      </c>
      <c r="AA3829">
        <v>0.94181479999999995</v>
      </c>
      <c r="AB3829">
        <v>15</v>
      </c>
      <c r="AC3829">
        <v>13.952699999999901</v>
      </c>
      <c r="AD3829">
        <v>-1.0415328699999999</v>
      </c>
      <c r="AE3829">
        <v>-36.304099999999899</v>
      </c>
      <c r="AF3829">
        <v>-13.105215061604801</v>
      </c>
      <c r="AG3829">
        <v>-1.0415328699999999</v>
      </c>
      <c r="AH3829">
        <v>36.588954651049796</v>
      </c>
      <c r="AI3829">
        <v>91.5350819480458</v>
      </c>
      <c r="AJ3829">
        <v>109.70620770827</v>
      </c>
      <c r="AK3829">
        <v>38.879082486431997</v>
      </c>
      <c r="AL3829">
        <v>92.383661968355895</v>
      </c>
      <c r="AM3829">
        <v>113.83423629441199</v>
      </c>
      <c r="AN3829">
        <v>1.0000000069192301</v>
      </c>
    </row>
    <row r="3830" spans="1:40" x14ac:dyDescent="0.25">
      <c r="A3830" t="str">
        <f>"20190303153843088"</f>
        <v>20190303153843088</v>
      </c>
      <c r="B3830" t="str">
        <f>"1551598723082090"</f>
        <v>1551598723082090</v>
      </c>
      <c r="C3830" t="s">
        <v>40</v>
      </c>
      <c r="D3830">
        <v>4.5042970000000002</v>
      </c>
      <c r="E3830">
        <v>0.52666440000000003</v>
      </c>
      <c r="F3830" t="s">
        <v>42</v>
      </c>
      <c r="G3830">
        <v>-477.83069999999998</v>
      </c>
      <c r="H3830">
        <v>7.9986100000000004E-2</v>
      </c>
      <c r="I3830">
        <v>196.84479999999999</v>
      </c>
      <c r="J3830">
        <v>-491.83499999999998</v>
      </c>
      <c r="K3830">
        <v>1.1215310000000001</v>
      </c>
      <c r="L3830">
        <v>233.08099999999999</v>
      </c>
      <c r="M3830">
        <v>2.3084899999999998E-2</v>
      </c>
      <c r="N3830">
        <v>-1.511036E-2</v>
      </c>
      <c r="O3830">
        <v>-0.99961949999999999</v>
      </c>
      <c r="P3830">
        <v>0.42667529999999998</v>
      </c>
      <c r="Q3830">
        <v>-5.6058820000000002E-2</v>
      </c>
      <c r="R3830">
        <v>-0.90266599999999997</v>
      </c>
      <c r="S3830">
        <v>1.0806579999999999</v>
      </c>
      <c r="T3830">
        <v>-8.0350759999999993E-2</v>
      </c>
      <c r="U3830">
        <v>-2.807083</v>
      </c>
      <c r="V3830">
        <v>-0.40571560000000001</v>
      </c>
      <c r="W3830">
        <v>-4.2321350000000001E-2</v>
      </c>
      <c r="X3830">
        <v>0.91301900000000002</v>
      </c>
      <c r="Y3830">
        <v>-0.33750219999999997</v>
      </c>
      <c r="Z3830">
        <v>1.176074E-2</v>
      </c>
      <c r="AA3830">
        <v>0.94125130000000001</v>
      </c>
      <c r="AB3830">
        <v>15</v>
      </c>
      <c r="AC3830">
        <v>14.004300000000001</v>
      </c>
      <c r="AD3830">
        <v>-1.0415449000000001</v>
      </c>
      <c r="AE3830">
        <v>-36.236199999999997</v>
      </c>
      <c r="AF3830">
        <v>-13.1545071167522</v>
      </c>
      <c r="AG3830">
        <v>-1.0415449000000001</v>
      </c>
      <c r="AH3830">
        <v>36.523612321039998</v>
      </c>
      <c r="AI3830">
        <v>91.536871725217793</v>
      </c>
      <c r="AJ3830">
        <v>109.807217698684</v>
      </c>
      <c r="AK3830">
        <v>38.8342648989398</v>
      </c>
      <c r="AL3830">
        <v>92.425559248464793</v>
      </c>
      <c r="AM3830">
        <v>113.95878805244401</v>
      </c>
      <c r="AN3830">
        <v>0.99999996955508996</v>
      </c>
    </row>
    <row r="3831" spans="1:40" x14ac:dyDescent="0.25">
      <c r="A3831" t="str">
        <f>"20190303153843112"</f>
        <v>20190303153843112</v>
      </c>
      <c r="B3831" t="str">
        <f>"1551598723102589"</f>
        <v>1551598723102589</v>
      </c>
      <c r="C3831" t="s">
        <v>40</v>
      </c>
      <c r="D3831">
        <v>4.4945329999999997</v>
      </c>
      <c r="E3831">
        <v>0.47799429999999998</v>
      </c>
      <c r="F3831" t="s">
        <v>42</v>
      </c>
      <c r="G3831">
        <v>-478.4787</v>
      </c>
      <c r="H3831">
        <v>7.9986619999999994E-2</v>
      </c>
      <c r="I3831">
        <v>198.72880000000001</v>
      </c>
      <c r="J3831">
        <v>-491.83120000000002</v>
      </c>
      <c r="K3831">
        <v>1.121545</v>
      </c>
      <c r="L3831">
        <v>232.92349999999999</v>
      </c>
      <c r="M3831">
        <v>2.3241310000000001E-2</v>
      </c>
      <c r="N3831">
        <v>-1.492855E-2</v>
      </c>
      <c r="O3831">
        <v>-0.99961880000000003</v>
      </c>
      <c r="P3831">
        <v>0.42816130000000002</v>
      </c>
      <c r="Q3831">
        <v>-5.6543259999999998E-2</v>
      </c>
      <c r="R3831">
        <v>-0.90193210000000001</v>
      </c>
      <c r="S3831">
        <v>1.089844</v>
      </c>
      <c r="T3831">
        <v>-8.4987880000000002E-2</v>
      </c>
      <c r="U3831">
        <v>-2.80307</v>
      </c>
      <c r="V3831">
        <v>-0.4070725</v>
      </c>
      <c r="W3831">
        <v>-4.3008409999999997E-2</v>
      </c>
      <c r="X3831">
        <v>0.91238269999999999</v>
      </c>
      <c r="Y3831">
        <v>-0.34047650000000002</v>
      </c>
      <c r="Z3831">
        <v>1.349474E-2</v>
      </c>
      <c r="AA3831">
        <v>0.9401562</v>
      </c>
      <c r="AB3831">
        <v>15</v>
      </c>
      <c r="AC3831">
        <v>13.352499999999999</v>
      </c>
      <c r="AD3831">
        <v>-1.0415583799999999</v>
      </c>
      <c r="AE3831">
        <v>-34.194699999999898</v>
      </c>
      <c r="AF3831">
        <v>-12.543976196864801</v>
      </c>
      <c r="AG3831">
        <v>-1.0415583799999999</v>
      </c>
      <c r="AH3831">
        <v>34.468077332658197</v>
      </c>
      <c r="AI3831">
        <v>91.6265368216106</v>
      </c>
      <c r="AJ3831">
        <v>109.997977320125</v>
      </c>
      <c r="AK3831">
        <v>36.694475574622501</v>
      </c>
      <c r="AL3831">
        <v>92.464960771443899</v>
      </c>
      <c r="AM3831">
        <v>114.04471815164401</v>
      </c>
      <c r="AN3831">
        <v>0.99999996742313302</v>
      </c>
    </row>
    <row r="3832" spans="1:40" x14ac:dyDescent="0.25">
      <c r="A3832" t="str">
        <f>"20190303153843134"</f>
        <v>20190303153843134</v>
      </c>
      <c r="B3832" t="str">
        <f>"1551598723122104"</f>
        <v>1551598723122104</v>
      </c>
      <c r="C3832" t="s">
        <v>40</v>
      </c>
      <c r="D3832">
        <v>4.4174410000000002</v>
      </c>
      <c r="E3832">
        <v>0.45974769999999998</v>
      </c>
      <c r="F3832" t="s">
        <v>51</v>
      </c>
      <c r="G3832">
        <v>-480.81180000000001</v>
      </c>
      <c r="H3832" s="1">
        <v>1.6162310000000001E-6</v>
      </c>
      <c r="I3832">
        <v>212.83519999999999</v>
      </c>
      <c r="J3832">
        <v>-491.82749999999999</v>
      </c>
      <c r="K3832">
        <v>1.1215660000000001</v>
      </c>
      <c r="L3832">
        <v>232.77330000000001</v>
      </c>
      <c r="M3832">
        <v>2.3432140000000001E-2</v>
      </c>
      <c r="N3832">
        <v>-1.4776930000000001E-2</v>
      </c>
      <c r="O3832">
        <v>-0.99961639999999996</v>
      </c>
      <c r="P3832">
        <v>0.42892580000000002</v>
      </c>
      <c r="Q3832">
        <v>-5.6699729999999997E-2</v>
      </c>
      <c r="R3832">
        <v>-0.90155859999999999</v>
      </c>
      <c r="S3832">
        <v>1.4436040000000001</v>
      </c>
      <c r="T3832">
        <v>-0.14692929999999901</v>
      </c>
      <c r="U3832">
        <v>-2.6316989999999998</v>
      </c>
      <c r="V3832">
        <v>-0.40766920000000001</v>
      </c>
      <c r="W3832">
        <v>-4.3331729999999999E-2</v>
      </c>
      <c r="X3832">
        <v>0.91210100000000005</v>
      </c>
      <c r="Y3832">
        <v>-0.45977289999999998</v>
      </c>
      <c r="Z3832">
        <v>3.4482390000000002E-2</v>
      </c>
      <c r="AA3832">
        <v>0.88736680000000001</v>
      </c>
      <c r="AB3832">
        <v>15</v>
      </c>
      <c r="AC3832">
        <v>11.015699999999899</v>
      </c>
      <c r="AD3832">
        <v>-1.1215643837689999</v>
      </c>
      <c r="AE3832">
        <v>-19.938099999999999</v>
      </c>
      <c r="AF3832">
        <v>-10.5199279808397</v>
      </c>
      <c r="AG3832">
        <v>-1.1215643837689999</v>
      </c>
      <c r="AH3832">
        <v>20.141943779164599</v>
      </c>
      <c r="AI3832">
        <v>92.825630743315301</v>
      </c>
      <c r="AJ3832">
        <v>117.577597617324</v>
      </c>
      <c r="AK3832">
        <v>22.751366785141101</v>
      </c>
      <c r="AL3832">
        <v>92.483502787059393</v>
      </c>
      <c r="AM3832">
        <v>114.082551801761</v>
      </c>
      <c r="AN3832">
        <v>1.0000000248272101</v>
      </c>
    </row>
    <row r="3833" spans="1:40" x14ac:dyDescent="0.25">
      <c r="A3833" t="str">
        <f>"20190303153843155"</f>
        <v>20190303153843155</v>
      </c>
      <c r="B3833" t="str">
        <f>"1551598723152361"</f>
        <v>1551598723152361</v>
      </c>
      <c r="C3833" t="s">
        <v>40</v>
      </c>
      <c r="D3833">
        <v>4.4086959999999999</v>
      </c>
      <c r="E3833">
        <v>0.44995000000000002</v>
      </c>
      <c r="F3833" t="s">
        <v>44</v>
      </c>
      <c r="G3833">
        <v>-491.28500000000003</v>
      </c>
      <c r="H3833">
        <v>1.0628959999999901</v>
      </c>
      <c r="I3833">
        <v>231.88980000000001</v>
      </c>
      <c r="J3833">
        <v>-491.82400000000001</v>
      </c>
      <c r="K3833">
        <v>1.121594</v>
      </c>
      <c r="L3833">
        <v>232.63399999999999</v>
      </c>
      <c r="M3833">
        <v>2.3640959999999999E-2</v>
      </c>
      <c r="N3833">
        <v>-1.466778E-2</v>
      </c>
      <c r="O3833">
        <v>-0.99961299999999997</v>
      </c>
      <c r="P3833">
        <v>0.4295042</v>
      </c>
      <c r="Q3833">
        <v>-5.6968249999999998E-2</v>
      </c>
      <c r="R3833">
        <v>-0.90126660000000003</v>
      </c>
      <c r="S3833">
        <v>1.5769040000000001</v>
      </c>
      <c r="T3833">
        <v>-0.17040569999999999</v>
      </c>
      <c r="U3833">
        <v>-2.566589</v>
      </c>
      <c r="V3833">
        <v>-0.40806199999999998</v>
      </c>
      <c r="W3833">
        <v>-4.3719279999999999E-2</v>
      </c>
      <c r="X3833">
        <v>0.91190680000000002</v>
      </c>
      <c r="Y3833">
        <v>-0.50248760000000003</v>
      </c>
      <c r="Z3833">
        <v>4.2273560000000002E-2</v>
      </c>
      <c r="AA3833">
        <v>0.86355040000000005</v>
      </c>
      <c r="AB3833">
        <v>15</v>
      </c>
      <c r="AC3833">
        <v>0.53899999999998705</v>
      </c>
      <c r="AD3833">
        <v>-5.8698000000000097E-2</v>
      </c>
      <c r="AE3833">
        <v>-0.74420000000000597</v>
      </c>
      <c r="AF3833">
        <v>-0.51913545782718096</v>
      </c>
      <c r="AG3833">
        <v>-5.8698000000000097E-2</v>
      </c>
      <c r="AH3833">
        <v>0.75366043816140704</v>
      </c>
      <c r="AI3833">
        <v>93.669928134352503</v>
      </c>
      <c r="AJ3833">
        <v>124.55980011514001</v>
      </c>
      <c r="AK3833">
        <v>0.91703387877825004</v>
      </c>
      <c r="AL3833">
        <v>92.505728912602706</v>
      </c>
      <c r="AM3833">
        <v>114.107662992044</v>
      </c>
      <c r="AN3833">
        <v>0.99999999158697905</v>
      </c>
    </row>
    <row r="3834" spans="1:40" x14ac:dyDescent="0.25">
      <c r="A3834" t="str">
        <f>"20190303153843177"</f>
        <v>20190303153843177</v>
      </c>
      <c r="B3834" t="str">
        <f>"1551598723172857"</f>
        <v>1551598723172857</v>
      </c>
      <c r="C3834" t="s">
        <v>40</v>
      </c>
      <c r="D3834">
        <v>4.3735749999999998</v>
      </c>
      <c r="E3834">
        <v>0.4469458</v>
      </c>
      <c r="F3834" t="s">
        <v>44</v>
      </c>
      <c r="G3834">
        <v>-491.30560000000003</v>
      </c>
      <c r="H3834">
        <v>1.063353</v>
      </c>
      <c r="I3834">
        <v>231.83779999999999</v>
      </c>
      <c r="J3834">
        <v>-491.8202</v>
      </c>
      <c r="K3834">
        <v>1.1216159999999999</v>
      </c>
      <c r="L3834">
        <v>232.4873</v>
      </c>
      <c r="M3834">
        <v>2.3892340000000001E-2</v>
      </c>
      <c r="N3834">
        <v>-1.459184E-2</v>
      </c>
      <c r="O3834">
        <v>-0.99960800000000005</v>
      </c>
      <c r="P3834">
        <v>0.43053900000000001</v>
      </c>
      <c r="Q3834">
        <v>-5.6459540000000003E-2</v>
      </c>
      <c r="R3834">
        <v>-0.90080459999999996</v>
      </c>
      <c r="S3834">
        <v>1.6484989999999999</v>
      </c>
      <c r="T3834">
        <v>-0.18515609999999999</v>
      </c>
      <c r="U3834">
        <v>-2.5313870000000001</v>
      </c>
      <c r="V3834">
        <v>-0.4088774</v>
      </c>
      <c r="W3834">
        <v>-4.3296269999999998E-2</v>
      </c>
      <c r="X3834">
        <v>0.91156170000000003</v>
      </c>
      <c r="Y3834">
        <v>-0.52466099999999904</v>
      </c>
      <c r="Z3834">
        <v>4.7110529999999998E-2</v>
      </c>
      <c r="AA3834">
        <v>0.850006699999999</v>
      </c>
      <c r="AB3834">
        <v>15</v>
      </c>
      <c r="AC3834">
        <v>0.51459999999997297</v>
      </c>
      <c r="AD3834">
        <v>-5.8262999999999898E-2</v>
      </c>
      <c r="AE3834">
        <v>-0.64950000000001695</v>
      </c>
      <c r="AF3834">
        <v>-0.496478957156328</v>
      </c>
      <c r="AG3834">
        <v>-5.8262999999999898E-2</v>
      </c>
      <c r="AH3834">
        <v>0.65835622202363198</v>
      </c>
      <c r="AI3834">
        <v>94.041699422216098</v>
      </c>
      <c r="AJ3834">
        <v>127.020641288561</v>
      </c>
      <c r="AK3834">
        <v>0.82663102237048003</v>
      </c>
      <c r="AL3834">
        <v>92.481469196954293</v>
      </c>
      <c r="AM3834">
        <v>114.158430972514</v>
      </c>
      <c r="AN3834">
        <v>1.00000001406678</v>
      </c>
    </row>
    <row r="3835" spans="1:40" x14ac:dyDescent="0.25">
      <c r="A3835" t="str">
        <f>"20190303153843214"</f>
        <v>20190303153843214</v>
      </c>
      <c r="B3835" t="str">
        <f>"1551598723202137"</f>
        <v>1551598723202137</v>
      </c>
      <c r="C3835" t="s">
        <v>40</v>
      </c>
      <c r="D3835">
        <v>4.3691209999999998</v>
      </c>
      <c r="E3835">
        <v>0.44380019999999998</v>
      </c>
      <c r="F3835" t="s">
        <v>44</v>
      </c>
      <c r="G3835">
        <v>-491.30119999999999</v>
      </c>
      <c r="H3835">
        <v>1.0636049999999999</v>
      </c>
      <c r="I3835">
        <v>231.70519999999999</v>
      </c>
      <c r="J3835">
        <v>-491.81389999999999</v>
      </c>
      <c r="K3835">
        <v>1.121678</v>
      </c>
      <c r="L3835">
        <v>232.24600000000001</v>
      </c>
      <c r="M3835">
        <v>2.4368629999999999E-2</v>
      </c>
      <c r="N3835">
        <v>-1.458478E-2</v>
      </c>
      <c r="O3835">
        <v>-0.99959659999999995</v>
      </c>
      <c r="P3835">
        <v>0.4318399</v>
      </c>
      <c r="Q3835">
        <v>-5.5301419999999997E-2</v>
      </c>
      <c r="R3835">
        <v>-0.90025339999999998</v>
      </c>
      <c r="S3835">
        <v>1.672607</v>
      </c>
      <c r="T3835">
        <v>-0.18686440000000001</v>
      </c>
      <c r="U3835">
        <v>-2.5192410000000001</v>
      </c>
      <c r="V3835">
        <v>-0.40975630000000002</v>
      </c>
      <c r="W3835">
        <v>-4.2162529999999997E-2</v>
      </c>
      <c r="X3835">
        <v>0.91122009999999998</v>
      </c>
      <c r="Y3835">
        <v>-0.5317596</v>
      </c>
      <c r="Z3835">
        <v>4.763879E-2</v>
      </c>
      <c r="AA3835">
        <v>0.84555440000000004</v>
      </c>
      <c r="AB3835">
        <v>15</v>
      </c>
      <c r="AC3835">
        <v>0.51269999999999505</v>
      </c>
      <c r="AD3835">
        <v>-5.8073000000000201E-2</v>
      </c>
      <c r="AE3835">
        <v>-0.54079999999998996</v>
      </c>
      <c r="AF3835">
        <v>-0.49635342352363099</v>
      </c>
      <c r="AG3835">
        <v>-5.8073000000000201E-2</v>
      </c>
      <c r="AH3835">
        <v>0.54979560860104404</v>
      </c>
      <c r="AI3835">
        <v>94.482960323984003</v>
      </c>
      <c r="AJ3835">
        <v>132.07560573606401</v>
      </c>
      <c r="AK3835">
        <v>0.74297671942640398</v>
      </c>
      <c r="AL3835">
        <v>92.416451359559602</v>
      </c>
      <c r="AM3835">
        <v>114.212435996284</v>
      </c>
      <c r="AN3835">
        <v>0.99999998748484997</v>
      </c>
    </row>
    <row r="3836" spans="1:40" x14ac:dyDescent="0.25">
      <c r="A3836" t="str">
        <f>"20190303153843233"</f>
        <v>20190303153843233</v>
      </c>
      <c r="B3836" t="str">
        <f>"1551598723222633"</f>
        <v>1551598723222633</v>
      </c>
      <c r="C3836" t="s">
        <v>40</v>
      </c>
      <c r="D3836">
        <v>4.3475320000000002</v>
      </c>
      <c r="E3836">
        <v>0.4422952</v>
      </c>
      <c r="F3836" t="s">
        <v>44</v>
      </c>
      <c r="G3836">
        <v>-491.2722</v>
      </c>
      <c r="H3836">
        <v>1.062878</v>
      </c>
      <c r="I3836">
        <v>231.44659999999999</v>
      </c>
      <c r="J3836">
        <v>-491.81040000000002</v>
      </c>
      <c r="K3836">
        <v>1.1217239999999999</v>
      </c>
      <c r="L3836">
        <v>232.11449999999999</v>
      </c>
      <c r="M3836">
        <v>2.465842E-2</v>
      </c>
      <c r="N3836">
        <v>-1.4660589999999999E-2</v>
      </c>
      <c r="O3836">
        <v>-0.99958849999999999</v>
      </c>
      <c r="P3836">
        <v>0.43295410000000001</v>
      </c>
      <c r="Q3836">
        <v>-5.482472E-2</v>
      </c>
      <c r="R3836">
        <v>-0.89974719999999997</v>
      </c>
      <c r="S3836">
        <v>1.699066</v>
      </c>
      <c r="T3836">
        <v>-0.1843351</v>
      </c>
      <c r="U3836">
        <v>-2.5060730000000002</v>
      </c>
      <c r="V3836">
        <v>-0.41061829999999999</v>
      </c>
      <c r="W3836">
        <v>-4.1629600000000003E-2</v>
      </c>
      <c r="X3836">
        <v>0.91085649999999996</v>
      </c>
      <c r="Y3836">
        <v>-0.5397035</v>
      </c>
      <c r="Z3836">
        <v>4.6664379999999998E-2</v>
      </c>
      <c r="AA3836">
        <v>0.84056090000000006</v>
      </c>
      <c r="AB3836">
        <v>15</v>
      </c>
      <c r="AC3836">
        <v>0.538200000000017</v>
      </c>
      <c r="AD3836">
        <v>-5.8845999999999898E-2</v>
      </c>
      <c r="AE3836">
        <v>-0.66790000000000205</v>
      </c>
      <c r="AF3836">
        <v>-0.51912190954849602</v>
      </c>
      <c r="AG3836">
        <v>-5.8845999999999898E-2</v>
      </c>
      <c r="AH3836">
        <v>0.67777944712219995</v>
      </c>
      <c r="AI3836">
        <v>93.943005884372496</v>
      </c>
      <c r="AJ3836">
        <v>127.449070174013</v>
      </c>
      <c r="AK3836">
        <v>0.85576596545466299</v>
      </c>
      <c r="AL3836">
        <v>92.385889884667193</v>
      </c>
      <c r="AM3836">
        <v>114.26607071674501</v>
      </c>
      <c r="AN3836">
        <v>0.999999987741649</v>
      </c>
    </row>
    <row r="3837" spans="1:40" x14ac:dyDescent="0.25">
      <c r="A3837" t="str">
        <f>"20190303153843255"</f>
        <v>20190303153843255</v>
      </c>
      <c r="B3837" t="str">
        <f>"1551598723251914"</f>
        <v>1551598723251914</v>
      </c>
      <c r="C3837" t="s">
        <v>40</v>
      </c>
      <c r="D3837">
        <v>4.341691</v>
      </c>
      <c r="E3837">
        <v>0.44062829999999897</v>
      </c>
      <c r="F3837" t="s">
        <v>44</v>
      </c>
      <c r="G3837">
        <v>-491.2636</v>
      </c>
      <c r="H3837">
        <v>1.063043</v>
      </c>
      <c r="I3837">
        <v>231.31700000000001</v>
      </c>
      <c r="J3837">
        <v>-491.80650000000003</v>
      </c>
      <c r="K3837">
        <v>1.1217680000000001</v>
      </c>
      <c r="L3837">
        <v>231.97239999999999</v>
      </c>
      <c r="M3837">
        <v>2.499154E-2</v>
      </c>
      <c r="N3837">
        <v>-1.4792899999999999E-2</v>
      </c>
      <c r="O3837">
        <v>-0.99957850000000004</v>
      </c>
      <c r="P3837">
        <v>0.43393199999999998</v>
      </c>
      <c r="Q3837">
        <v>-5.4983360000000002E-2</v>
      </c>
      <c r="R3837">
        <v>-0.89926669999999997</v>
      </c>
      <c r="S3837">
        <v>1.7130430000000001</v>
      </c>
      <c r="T3837">
        <v>-0.18384490000000001</v>
      </c>
      <c r="U3837">
        <v>-2.4987339999999998</v>
      </c>
      <c r="V3837">
        <v>-0.41130349999999999</v>
      </c>
      <c r="W3837">
        <v>-4.1680780000000001E-2</v>
      </c>
      <c r="X3837">
        <v>0.91054500000000005</v>
      </c>
      <c r="Y3837">
        <v>-0.54377310000000001</v>
      </c>
      <c r="Z3837">
        <v>4.6346640000000001E-2</v>
      </c>
      <c r="AA3837">
        <v>0.83795149999999996</v>
      </c>
      <c r="AB3837">
        <v>15</v>
      </c>
      <c r="AC3837">
        <v>0.54290000000003102</v>
      </c>
      <c r="AD3837">
        <v>-5.8725000000000097E-2</v>
      </c>
      <c r="AE3837">
        <v>-0.65539999999998599</v>
      </c>
      <c r="AF3837">
        <v>-0.52385487434507205</v>
      </c>
      <c r="AG3837">
        <v>-5.8725000000000097E-2</v>
      </c>
      <c r="AH3837">
        <v>0.66559547718914203</v>
      </c>
      <c r="AI3837">
        <v>93.966048897993204</v>
      </c>
      <c r="AJ3837">
        <v>128.20440585989999</v>
      </c>
      <c r="AK3837">
        <v>0.84905235071503904</v>
      </c>
      <c r="AL3837">
        <v>92.388824736788706</v>
      </c>
      <c r="AM3837">
        <v>114.309233557491</v>
      </c>
      <c r="AN3837">
        <v>1.0000000267793201</v>
      </c>
    </row>
    <row r="3838" spans="1:40" x14ac:dyDescent="0.25">
      <c r="A3838" t="str">
        <f>"20190303153843279"</f>
        <v>20190303153843279</v>
      </c>
      <c r="B3838" t="str">
        <f>"1551598723272409"</f>
        <v>1551598723272409</v>
      </c>
      <c r="C3838" t="s">
        <v>40</v>
      </c>
      <c r="D3838">
        <v>4.3434980000000003</v>
      </c>
      <c r="E3838">
        <v>0.43964839999999999</v>
      </c>
      <c r="F3838" t="s">
        <v>44</v>
      </c>
      <c r="G3838">
        <v>-491.26159999999999</v>
      </c>
      <c r="H3838">
        <v>1.0633189999999999</v>
      </c>
      <c r="I3838">
        <v>231.18639999999999</v>
      </c>
      <c r="J3838">
        <v>-491.8023</v>
      </c>
      <c r="K3838">
        <v>1.121815</v>
      </c>
      <c r="L3838">
        <v>231.82259999999999</v>
      </c>
      <c r="M3838">
        <v>2.5369920000000001E-2</v>
      </c>
      <c r="N3838">
        <v>-1.496156E-2</v>
      </c>
      <c r="O3838">
        <v>-0.99956610000000001</v>
      </c>
      <c r="P3838">
        <v>0.43442619999999998</v>
      </c>
      <c r="Q3838">
        <v>-5.4747480000000001E-2</v>
      </c>
      <c r="R3838">
        <v>-0.89904200000000001</v>
      </c>
      <c r="S3838">
        <v>1.727814</v>
      </c>
      <c r="T3838">
        <v>-0.18522830000000001</v>
      </c>
      <c r="U3838">
        <v>-2.4910429999999999</v>
      </c>
      <c r="V3838">
        <v>-0.41145799999999999</v>
      </c>
      <c r="W3838">
        <v>-4.1303619999999999E-2</v>
      </c>
      <c r="X3838">
        <v>0.91049239999999998</v>
      </c>
      <c r="Y3838">
        <v>-0.54800309999999997</v>
      </c>
      <c r="Z3838">
        <v>4.660914E-2</v>
      </c>
      <c r="AA3838">
        <v>0.83517669999999999</v>
      </c>
      <c r="AB3838">
        <v>15</v>
      </c>
      <c r="AC3838">
        <v>0.54070000000001495</v>
      </c>
      <c r="AD3838">
        <v>-5.8495999999999798E-2</v>
      </c>
      <c r="AE3838">
        <v>-0.63620000000000199</v>
      </c>
      <c r="AF3838">
        <v>-0.521822386279304</v>
      </c>
      <c r="AG3838">
        <v>-5.8495999999999798E-2</v>
      </c>
      <c r="AH3838">
        <v>0.64654065867031396</v>
      </c>
      <c r="AI3838">
        <v>94.0272593711192</v>
      </c>
      <c r="AJ3838">
        <v>128.90696830268399</v>
      </c>
      <c r="AK3838">
        <v>0.83290768285090899</v>
      </c>
      <c r="AL3838">
        <v>92.367196397820194</v>
      </c>
      <c r="AM3838">
        <v>114.318549489334</v>
      </c>
      <c r="AN3838">
        <v>1.0000000426234299</v>
      </c>
    </row>
    <row r="3839" spans="1:40" x14ac:dyDescent="0.25">
      <c r="A3839" t="str">
        <f>"20190303153843301"</f>
        <v>20190303153843301</v>
      </c>
      <c r="B3839" t="str">
        <f>"1551598723291929"</f>
        <v>1551598723291929</v>
      </c>
      <c r="C3839" t="s">
        <v>40</v>
      </c>
      <c r="D3839">
        <v>4.3199050000000003</v>
      </c>
      <c r="E3839">
        <v>0.43880649999999899</v>
      </c>
      <c r="F3839" t="s">
        <v>44</v>
      </c>
      <c r="G3839">
        <v>-491.26010000000002</v>
      </c>
      <c r="H3839">
        <v>1.0640829999999999</v>
      </c>
      <c r="I3839">
        <v>231.04589999999999</v>
      </c>
      <c r="J3839">
        <v>-491.79809999999998</v>
      </c>
      <c r="K3839">
        <v>1.121869</v>
      </c>
      <c r="L3839">
        <v>231.67529999999999</v>
      </c>
      <c r="M3839">
        <v>2.577687E-2</v>
      </c>
      <c r="N3839">
        <v>-1.516322E-2</v>
      </c>
      <c r="O3839">
        <v>-0.99955300000000002</v>
      </c>
      <c r="P3839">
        <v>0.43479139999999999</v>
      </c>
      <c r="Q3839">
        <v>-5.4792649999999998E-2</v>
      </c>
      <c r="R3839">
        <v>-0.89886339999999998</v>
      </c>
      <c r="S3839">
        <v>1.7361150000000001</v>
      </c>
      <c r="T3839">
        <v>-0.18482419999999999</v>
      </c>
      <c r="U3839">
        <v>-2.48671</v>
      </c>
      <c r="V3839">
        <v>-0.41145579999999998</v>
      </c>
      <c r="W3839">
        <v>-4.1179739999999999E-2</v>
      </c>
      <c r="X3839">
        <v>0.91049899999999995</v>
      </c>
      <c r="Y3839">
        <v>-0.55022329999999997</v>
      </c>
      <c r="Z3839">
        <v>4.6263459999999999E-2</v>
      </c>
      <c r="AA3839">
        <v>0.833735</v>
      </c>
      <c r="AB3839">
        <v>15</v>
      </c>
      <c r="AC3839">
        <v>0.53799999999995396</v>
      </c>
      <c r="AD3839">
        <v>-5.7786000000000101E-2</v>
      </c>
      <c r="AE3839">
        <v>-0.62940000000000396</v>
      </c>
      <c r="AF3839">
        <v>-0.51906720518399896</v>
      </c>
      <c r="AG3839">
        <v>-5.7786000000000101E-2</v>
      </c>
      <c r="AH3839">
        <v>0.63994345839075695</v>
      </c>
      <c r="AI3839">
        <v>94.011559351331599</v>
      </c>
      <c r="AJ3839">
        <v>129.04599817805499</v>
      </c>
      <c r="AK3839">
        <v>0.82601308417642505</v>
      </c>
      <c r="AL3839">
        <v>92.360092564697197</v>
      </c>
      <c r="AM3839">
        <v>114.318278666776</v>
      </c>
      <c r="AN3839">
        <v>1.00000003767055</v>
      </c>
    </row>
    <row r="3840" spans="1:40" x14ac:dyDescent="0.25">
      <c r="A3840" t="str">
        <f>"20190303153843323"</f>
        <v>20190303153843323</v>
      </c>
      <c r="B3840" t="str">
        <f>"1551598723312429"</f>
        <v>1551598723312429</v>
      </c>
      <c r="C3840" t="s">
        <v>40</v>
      </c>
      <c r="D3840">
        <v>4.3317889999999997</v>
      </c>
      <c r="E3840">
        <v>0.43801699999999999</v>
      </c>
      <c r="F3840" t="s">
        <v>44</v>
      </c>
      <c r="G3840">
        <v>-491.24770000000001</v>
      </c>
      <c r="H3840">
        <v>1.063612</v>
      </c>
      <c r="I3840">
        <v>230.89099999999999</v>
      </c>
      <c r="J3840">
        <v>-491.79399999999998</v>
      </c>
      <c r="K3840">
        <v>1.121931</v>
      </c>
      <c r="L3840">
        <v>231.53579999999999</v>
      </c>
      <c r="M3840">
        <v>2.6201240000000001E-2</v>
      </c>
      <c r="N3840">
        <v>-1.5403439999999999E-2</v>
      </c>
      <c r="O3840">
        <v>-0.99953820000000004</v>
      </c>
      <c r="P3840">
        <v>0.43520419999999999</v>
      </c>
      <c r="Q3840">
        <v>-5.5525329999999998E-2</v>
      </c>
      <c r="R3840">
        <v>-0.89861829999999998</v>
      </c>
      <c r="S3840">
        <v>1.74292</v>
      </c>
      <c r="T3840">
        <v>-0.18444840000000001</v>
      </c>
      <c r="U3840">
        <v>-2.4832920000000001</v>
      </c>
      <c r="V3840">
        <v>-0.41148620000000002</v>
      </c>
      <c r="W3840">
        <v>-4.1711699999999997E-2</v>
      </c>
      <c r="X3840">
        <v>0.91046099999999996</v>
      </c>
      <c r="Y3840">
        <v>-0.55194270000000001</v>
      </c>
      <c r="Z3840">
        <v>4.5890500000000001E-2</v>
      </c>
      <c r="AA3840">
        <v>0.83261839999999998</v>
      </c>
      <c r="AB3840">
        <v>14</v>
      </c>
      <c r="AC3840">
        <v>0.54630000000002998</v>
      </c>
      <c r="AD3840">
        <v>-5.8319000000000003E-2</v>
      </c>
      <c r="AE3840">
        <v>-0.64480000000000304</v>
      </c>
      <c r="AF3840">
        <v>-0.52670763657700104</v>
      </c>
      <c r="AG3840">
        <v>-5.8319000000000003E-2</v>
      </c>
      <c r="AH3840">
        <v>0.65577119946901197</v>
      </c>
      <c r="AI3840">
        <v>93.966324342139401</v>
      </c>
      <c r="AJ3840">
        <v>128.77101674824499</v>
      </c>
      <c r="AK3840">
        <v>0.84312389732622195</v>
      </c>
      <c r="AL3840">
        <v>92.390597938819795</v>
      </c>
      <c r="AM3840">
        <v>114.320764674673</v>
      </c>
      <c r="AN3840">
        <v>0.99999999561416497</v>
      </c>
    </row>
    <row r="3841" spans="1:40" x14ac:dyDescent="0.25">
      <c r="A3841" t="str">
        <f>"20190303153843345"</f>
        <v>20190303153843345</v>
      </c>
      <c r="B3841" t="str">
        <f>"1551598723342681"</f>
        <v>1551598723342681</v>
      </c>
      <c r="C3841" t="s">
        <v>40</v>
      </c>
      <c r="D3841">
        <v>4.3055529999999997</v>
      </c>
      <c r="E3841">
        <v>0.43726310000000002</v>
      </c>
      <c r="F3841" t="s">
        <v>44</v>
      </c>
      <c r="G3841">
        <v>-491.24459999999999</v>
      </c>
      <c r="H3841">
        <v>1.06342</v>
      </c>
      <c r="I3841">
        <v>230.75729999999999</v>
      </c>
      <c r="J3841">
        <v>-491.78980000000001</v>
      </c>
      <c r="K3841">
        <v>1.1220019999999999</v>
      </c>
      <c r="L3841">
        <v>231.3972</v>
      </c>
      <c r="M3841">
        <v>2.6667389999999999E-2</v>
      </c>
      <c r="N3841">
        <v>-1.56852E-2</v>
      </c>
      <c r="O3841">
        <v>-0.99952160000000001</v>
      </c>
      <c r="P3841">
        <v>0.43704150000000003</v>
      </c>
      <c r="Q3841">
        <v>-5.6090349999999997E-2</v>
      </c>
      <c r="R3841">
        <v>-0.89769109999999996</v>
      </c>
      <c r="S3841">
        <v>1.7503359999999999</v>
      </c>
      <c r="T3841">
        <v>-0.18633330000000001</v>
      </c>
      <c r="U3841">
        <v>-2.4792480000000001</v>
      </c>
      <c r="V3841">
        <v>-0.41292069999999997</v>
      </c>
      <c r="W3841">
        <v>-4.2052859999999997E-2</v>
      </c>
      <c r="X3841">
        <v>0.90979560000000004</v>
      </c>
      <c r="Y3841">
        <v>-0.553836199999999</v>
      </c>
      <c r="Z3841">
        <v>4.6227799999999999E-2</v>
      </c>
      <c r="AA3841">
        <v>0.83134129999999995</v>
      </c>
      <c r="AB3841">
        <v>14</v>
      </c>
      <c r="AC3841">
        <v>0.545200000000022</v>
      </c>
      <c r="AD3841">
        <v>-5.8581999999999898E-2</v>
      </c>
      <c r="AE3841">
        <v>-0.63990000000001102</v>
      </c>
      <c r="AF3841">
        <v>-0.52538818469508497</v>
      </c>
      <c r="AG3841">
        <v>-5.8581999999999898E-2</v>
      </c>
      <c r="AH3841">
        <v>0.65105167075875703</v>
      </c>
      <c r="AI3841">
        <v>94.005531817207199</v>
      </c>
      <c r="AJ3841">
        <v>128.90296937827799</v>
      </c>
      <c r="AK3841">
        <v>0.83864943411354298</v>
      </c>
      <c r="AL3841">
        <v>92.410162145665595</v>
      </c>
      <c r="AM3841">
        <v>114.411443043226</v>
      </c>
      <c r="AN3841">
        <v>0.99999999065101397</v>
      </c>
    </row>
    <row r="3842" spans="1:40" x14ac:dyDescent="0.25">
      <c r="A3842" t="str">
        <f>"20190303153843367"</f>
        <v>20190303153843367</v>
      </c>
      <c r="B3842" t="str">
        <f>"1551598723362201"</f>
        <v>1551598723362201</v>
      </c>
      <c r="C3842" t="s">
        <v>40</v>
      </c>
      <c r="D3842">
        <v>4.2998960000000004</v>
      </c>
      <c r="E3842">
        <v>0.42677300000000001</v>
      </c>
      <c r="F3842" t="s">
        <v>44</v>
      </c>
      <c r="G3842">
        <v>-491.2355</v>
      </c>
      <c r="H3842">
        <v>1.0631109999999999</v>
      </c>
      <c r="I3842">
        <v>230.6181</v>
      </c>
      <c r="J3842">
        <v>-491.78559999999999</v>
      </c>
      <c r="K3842">
        <v>1.122074</v>
      </c>
      <c r="L3842">
        <v>231.25919999999999</v>
      </c>
      <c r="M3842">
        <v>2.7185819999999999E-2</v>
      </c>
      <c r="N3842">
        <v>-1.5991640000000001E-2</v>
      </c>
      <c r="O3842">
        <v>-0.99950249999999996</v>
      </c>
      <c r="P3842">
        <v>0.43994939999999999</v>
      </c>
      <c r="Q3842">
        <v>-5.7105870000000003E-2</v>
      </c>
      <c r="R3842">
        <v>-0.89620509999999998</v>
      </c>
      <c r="S3842">
        <v>1.760254</v>
      </c>
      <c r="T3842">
        <v>-0.18693689999999999</v>
      </c>
      <c r="U3842">
        <v>-2.473236</v>
      </c>
      <c r="V3842">
        <v>-0.41539330000000002</v>
      </c>
      <c r="W3842">
        <v>-4.2835379999999999E-2</v>
      </c>
      <c r="X3842">
        <v>0.90863280000000002</v>
      </c>
      <c r="Y3842">
        <v>-0.55656319999999904</v>
      </c>
      <c r="Z3842">
        <v>4.6122209999999997E-2</v>
      </c>
      <c r="AA3842">
        <v>0.82952399999999904</v>
      </c>
      <c r="AB3842">
        <v>14</v>
      </c>
      <c r="AC3842">
        <v>0.55009999999998604</v>
      </c>
      <c r="AD3842">
        <v>-5.89629999999998E-2</v>
      </c>
      <c r="AE3842">
        <v>-0.64109999999999401</v>
      </c>
      <c r="AF3842">
        <v>-0.52988406384603404</v>
      </c>
      <c r="AG3842">
        <v>-5.89629999999998E-2</v>
      </c>
      <c r="AH3842">
        <v>0.65264026297747602</v>
      </c>
      <c r="AI3842">
        <v>94.012074268040706</v>
      </c>
      <c r="AJ3842">
        <v>129.07343297668601</v>
      </c>
      <c r="AK3842">
        <v>0.84272953510975102</v>
      </c>
      <c r="AL3842">
        <v>92.455037622338196</v>
      </c>
      <c r="AM3842">
        <v>114.568126090292</v>
      </c>
      <c r="AN3842">
        <v>1.0000000143502299</v>
      </c>
    </row>
    <row r="3843" spans="1:40" x14ac:dyDescent="0.25">
      <c r="A3843" t="str">
        <f>"20190303153843391"</f>
        <v>20190303153843391</v>
      </c>
      <c r="B3843" t="str">
        <f>"1551598723381721"</f>
        <v>1551598723381721</v>
      </c>
      <c r="C3843" t="s">
        <v>40</v>
      </c>
      <c r="D3843">
        <v>4.267093</v>
      </c>
      <c r="E3843">
        <v>0.4257918</v>
      </c>
      <c r="F3843" t="s">
        <v>44</v>
      </c>
      <c r="G3843">
        <v>-491.20760000000001</v>
      </c>
      <c r="H3843">
        <v>1.063067</v>
      </c>
      <c r="I3843">
        <v>230.49719999999999</v>
      </c>
      <c r="J3843">
        <v>-491.78070000000002</v>
      </c>
      <c r="K3843">
        <v>1.122158</v>
      </c>
      <c r="L3843">
        <v>231.1095</v>
      </c>
      <c r="M3843">
        <v>2.7822690000000001E-2</v>
      </c>
      <c r="N3843">
        <v>-1.6334060000000001E-2</v>
      </c>
      <c r="O3843">
        <v>-0.99947940000000002</v>
      </c>
      <c r="P3843">
        <v>0.44406830000000003</v>
      </c>
      <c r="Q3843">
        <v>-5.910518E-2</v>
      </c>
      <c r="R3843">
        <v>-0.89404139999999999</v>
      </c>
      <c r="S3843">
        <v>1.8437190000000001</v>
      </c>
      <c r="T3843">
        <v>-0.18819279999999999</v>
      </c>
      <c r="U3843">
        <v>-2.4304350000000001</v>
      </c>
      <c r="V3843">
        <v>-0.41898730000000001</v>
      </c>
      <c r="W3843">
        <v>-4.4587740000000001E-2</v>
      </c>
      <c r="X3843">
        <v>0.9068967</v>
      </c>
      <c r="Y3843">
        <v>-0.58100719999999995</v>
      </c>
      <c r="Z3843">
        <v>4.5943890000000001E-2</v>
      </c>
      <c r="AA3843">
        <v>0.81260059999999901</v>
      </c>
      <c r="AB3843">
        <v>14</v>
      </c>
      <c r="AC3843">
        <v>0.57310000000001005</v>
      </c>
      <c r="AD3843">
        <v>-5.9090999999999998E-2</v>
      </c>
      <c r="AE3843">
        <v>-0.61230000000000395</v>
      </c>
      <c r="AF3843">
        <v>-0.55309418294664603</v>
      </c>
      <c r="AG3843">
        <v>-5.9090999999999998E-2</v>
      </c>
      <c r="AH3843">
        <v>0.62490790807324403</v>
      </c>
      <c r="AI3843">
        <v>94.050262246154105</v>
      </c>
      <c r="AJ3843">
        <v>131.511434462897</v>
      </c>
      <c r="AK3843">
        <v>0.83660911724825004</v>
      </c>
      <c r="AL3843">
        <v>92.5555364981509</v>
      </c>
      <c r="AM3843">
        <v>114.796990431152</v>
      </c>
      <c r="AN3843">
        <v>1.00000002429524</v>
      </c>
    </row>
    <row r="3844" spans="1:40" x14ac:dyDescent="0.25">
      <c r="A3844" t="str">
        <f>"20190303153843414"</f>
        <v>20190303153843414</v>
      </c>
      <c r="B3844" t="str">
        <f>"1551598723402217"</f>
        <v>1551598723402217</v>
      </c>
      <c r="C3844" t="s">
        <v>40</v>
      </c>
      <c r="D3844">
        <v>4.2687920000000004</v>
      </c>
      <c r="E3844">
        <v>0.42566920000000003</v>
      </c>
      <c r="F3844" t="s">
        <v>44</v>
      </c>
      <c r="G3844">
        <v>-491.17160000000001</v>
      </c>
      <c r="H3844">
        <v>1.058651</v>
      </c>
      <c r="I3844">
        <v>230.3186</v>
      </c>
      <c r="J3844">
        <v>-491.77589999999998</v>
      </c>
      <c r="K3844">
        <v>1.1222430000000001</v>
      </c>
      <c r="L3844">
        <v>230.96639999999999</v>
      </c>
      <c r="M3844">
        <v>2.8518209999999999E-2</v>
      </c>
      <c r="N3844">
        <v>-1.6702040000000001E-2</v>
      </c>
      <c r="O3844">
        <v>-0.99945390000000001</v>
      </c>
      <c r="P3844">
        <v>0.44785700000000001</v>
      </c>
      <c r="Q3844">
        <v>-6.1657450000000003E-2</v>
      </c>
      <c r="R3844">
        <v>-0.89197700000000002</v>
      </c>
      <c r="S3844">
        <v>1.8617859999999999</v>
      </c>
      <c r="T3844">
        <v>-0.1941514</v>
      </c>
      <c r="U3844">
        <v>-2.4179080000000002</v>
      </c>
      <c r="V3844">
        <v>-0.42219719999999999</v>
      </c>
      <c r="W3844">
        <v>-4.6871580000000003E-2</v>
      </c>
      <c r="X3844">
        <v>0.90529139999999997</v>
      </c>
      <c r="Y3844">
        <v>-0.58621140000000005</v>
      </c>
      <c r="Z3844">
        <v>4.7544120000000002E-2</v>
      </c>
      <c r="AA3844">
        <v>0.80876179999999998</v>
      </c>
      <c r="AB3844">
        <v>14</v>
      </c>
      <c r="AC3844">
        <v>0.60429999999996598</v>
      </c>
      <c r="AD3844">
        <v>-6.3591999999999996E-2</v>
      </c>
      <c r="AE3844">
        <v>-0.64779999999998905</v>
      </c>
      <c r="AF3844">
        <v>-0.58257565074904005</v>
      </c>
      <c r="AG3844">
        <v>-6.3591999999999996E-2</v>
      </c>
      <c r="AH3844">
        <v>0.66136460512781103</v>
      </c>
      <c r="AI3844">
        <v>94.126855473176903</v>
      </c>
      <c r="AJ3844">
        <v>131.37582886859201</v>
      </c>
      <c r="AK3844">
        <v>0.88365234805636805</v>
      </c>
      <c r="AL3844">
        <v>92.686528099681695</v>
      </c>
      <c r="AM3844">
        <v>115.002749333902</v>
      </c>
      <c r="AN3844">
        <v>0.99999996980674699</v>
      </c>
    </row>
    <row r="3845" spans="1:40" x14ac:dyDescent="0.25">
      <c r="A3845" t="str">
        <f>"20190303153843435"</f>
        <v>20190303153843435</v>
      </c>
      <c r="B3845" t="str">
        <f>"1551598723432473"</f>
        <v>1551598723432473</v>
      </c>
      <c r="C3845" t="s">
        <v>40</v>
      </c>
      <c r="D3845">
        <v>4.2722350000000002</v>
      </c>
      <c r="E3845">
        <v>0.42568610000000001</v>
      </c>
      <c r="F3845" t="s">
        <v>44</v>
      </c>
      <c r="G3845">
        <v>-491.1764</v>
      </c>
      <c r="H3845">
        <v>1.056818</v>
      </c>
      <c r="I3845">
        <v>230.19499999999999</v>
      </c>
      <c r="J3845">
        <v>-491.7715</v>
      </c>
      <c r="K3845">
        <v>1.1223240000000001</v>
      </c>
      <c r="L3845">
        <v>230.84119999999999</v>
      </c>
      <c r="M3845">
        <v>2.918575E-2</v>
      </c>
      <c r="N3845">
        <v>-1.7093649999999998E-2</v>
      </c>
      <c r="O3845">
        <v>-0.99942819999999999</v>
      </c>
      <c r="P3845">
        <v>0.45149410000000001</v>
      </c>
      <c r="Q3845">
        <v>-6.2755340000000007E-2</v>
      </c>
      <c r="R3845">
        <v>-0.89006469999999904</v>
      </c>
      <c r="S3845">
        <v>1.872833</v>
      </c>
      <c r="T3845">
        <v>-0.2042822</v>
      </c>
      <c r="U3845">
        <v>-2.4088590000000001</v>
      </c>
      <c r="V3845">
        <v>-0.42528060000000001</v>
      </c>
      <c r="W3845">
        <v>-4.7671640000000001E-2</v>
      </c>
      <c r="X3845">
        <v>0.90380519999999998</v>
      </c>
      <c r="Y3845">
        <v>-0.58933290000000005</v>
      </c>
      <c r="Z3845">
        <v>5.0519620000000001E-2</v>
      </c>
      <c r="AA3845">
        <v>0.806309099999999</v>
      </c>
      <c r="AB3845">
        <v>14</v>
      </c>
      <c r="AC3845">
        <v>0.59510000000000196</v>
      </c>
      <c r="AD3845">
        <v>-6.55059999999998E-2</v>
      </c>
      <c r="AE3845">
        <v>-0.646199999999993</v>
      </c>
      <c r="AF3845">
        <v>-0.57279886526684798</v>
      </c>
      <c r="AG3845">
        <v>-6.55059999999998E-2</v>
      </c>
      <c r="AH3845">
        <v>0.65962784207606595</v>
      </c>
      <c r="AI3845">
        <v>94.288154979289601</v>
      </c>
      <c r="AJ3845">
        <v>130.96996160620699</v>
      </c>
      <c r="AK3845">
        <v>0.87606989796985701</v>
      </c>
      <c r="AL3845">
        <v>92.732419365797298</v>
      </c>
      <c r="AM3845">
        <v>115.199073849382</v>
      </c>
      <c r="AN3845">
        <v>1.00000000677184</v>
      </c>
    </row>
    <row r="3846" spans="1:40" x14ac:dyDescent="0.25">
      <c r="A3846" t="str">
        <f>"20190303153843456"</f>
        <v>20190303153843456</v>
      </c>
      <c r="B3846" t="str">
        <f>"1551598723451994"</f>
        <v>1551598723451994</v>
      </c>
      <c r="C3846" t="s">
        <v>40</v>
      </c>
      <c r="D3846">
        <v>4.2420169999999997</v>
      </c>
      <c r="E3846">
        <v>0.42557859999999997</v>
      </c>
      <c r="F3846" t="s">
        <v>44</v>
      </c>
      <c r="G3846">
        <v>-491.1712</v>
      </c>
      <c r="H3846">
        <v>1.056209</v>
      </c>
      <c r="I3846">
        <v>230.0753</v>
      </c>
      <c r="J3846">
        <v>-491.76690000000002</v>
      </c>
      <c r="K3846">
        <v>1.122422</v>
      </c>
      <c r="L3846">
        <v>230.7115</v>
      </c>
      <c r="M3846">
        <v>2.9949420000000001E-2</v>
      </c>
      <c r="N3846">
        <v>-1.7576709999999999E-2</v>
      </c>
      <c r="O3846">
        <v>-0.99939699999999998</v>
      </c>
      <c r="P3846">
        <v>0.4548159</v>
      </c>
      <c r="Q3846">
        <v>-6.1753370000000002E-2</v>
      </c>
      <c r="R3846">
        <v>-0.88844230000000002</v>
      </c>
      <c r="S3846">
        <v>1.8824160000000001</v>
      </c>
      <c r="T3846">
        <v>-0.20726720000000001</v>
      </c>
      <c r="U3846">
        <v>-2.401062</v>
      </c>
      <c r="V3846">
        <v>-0.42795709999999998</v>
      </c>
      <c r="W3846">
        <v>-4.6284730000000003E-2</v>
      </c>
      <c r="X3846">
        <v>0.90261309999999995</v>
      </c>
      <c r="Y3846">
        <v>-0.5919411</v>
      </c>
      <c r="Z3846">
        <v>5.105415E-2</v>
      </c>
      <c r="AA3846">
        <v>0.80436260000000004</v>
      </c>
      <c r="AB3846">
        <v>14</v>
      </c>
      <c r="AC3846">
        <v>0.59570000000002199</v>
      </c>
      <c r="AD3846">
        <v>-6.6212999999999994E-2</v>
      </c>
      <c r="AE3846">
        <v>-0.63620000000000199</v>
      </c>
      <c r="AF3846">
        <v>-0.57306840985039997</v>
      </c>
      <c r="AG3846">
        <v>-6.6212999999999994E-2</v>
      </c>
      <c r="AH3846">
        <v>0.65000656598898898</v>
      </c>
      <c r="AI3846">
        <v>94.369453981936005</v>
      </c>
      <c r="AJ3846">
        <v>131.400522556319</v>
      </c>
      <c r="AK3846">
        <v>0.86908003058767003</v>
      </c>
      <c r="AL3846">
        <v>92.652867504114397</v>
      </c>
      <c r="AM3846">
        <v>115.367093099462</v>
      </c>
      <c r="AN3846">
        <v>0.99999998198159601</v>
      </c>
    </row>
    <row r="3847" spans="1:40" x14ac:dyDescent="0.25">
      <c r="A3847" t="str">
        <f>"20190303153843480"</f>
        <v>20190303153843480</v>
      </c>
      <c r="B3847" t="str">
        <f>"1551598723472490"</f>
        <v>1551598723472490</v>
      </c>
      <c r="C3847" t="s">
        <v>40</v>
      </c>
      <c r="D3847">
        <v>4.2371919999999896</v>
      </c>
      <c r="E3847">
        <v>0.42519259999999898</v>
      </c>
      <c r="F3847" t="s">
        <v>44</v>
      </c>
      <c r="G3847">
        <v>-491.1703</v>
      </c>
      <c r="H3847">
        <v>1.05847</v>
      </c>
      <c r="I3847">
        <v>229.9564</v>
      </c>
      <c r="J3847">
        <v>-491.76170000000002</v>
      </c>
      <c r="K3847">
        <v>1.1225689999999999</v>
      </c>
      <c r="L3847">
        <v>230.57419999999999</v>
      </c>
      <c r="M3847">
        <v>3.0856729999999999E-2</v>
      </c>
      <c r="N3847">
        <v>-1.8214850000000001E-2</v>
      </c>
      <c r="O3847">
        <v>-0.99935790000000002</v>
      </c>
      <c r="P3847">
        <v>0.45778059999999998</v>
      </c>
      <c r="Q3847">
        <v>-5.9623919999999997E-2</v>
      </c>
      <c r="R3847">
        <v>-0.88706390000000002</v>
      </c>
      <c r="S3847">
        <v>1.8921809999999999</v>
      </c>
      <c r="T3847">
        <v>-0.2027516</v>
      </c>
      <c r="U3847">
        <v>-2.393967</v>
      </c>
      <c r="V3847">
        <v>-0.43014340000000001</v>
      </c>
      <c r="W3847">
        <v>-4.3631589999999998E-2</v>
      </c>
      <c r="X3847">
        <v>0.9017056</v>
      </c>
      <c r="Y3847">
        <v>-0.59443959999999996</v>
      </c>
      <c r="Z3847">
        <v>4.8956159999999999E-2</v>
      </c>
      <c r="AA3847">
        <v>0.80264869999999899</v>
      </c>
      <c r="AB3847">
        <v>13</v>
      </c>
      <c r="AC3847">
        <v>0.59140000000002102</v>
      </c>
      <c r="AD3847">
        <v>-6.40990000000001E-2</v>
      </c>
      <c r="AE3847">
        <v>-0.61779999999998803</v>
      </c>
      <c r="AF3847">
        <v>-0.56885639347979799</v>
      </c>
      <c r="AG3847">
        <v>-6.40990000000001E-2</v>
      </c>
      <c r="AH3847">
        <v>0.63220610909973296</v>
      </c>
      <c r="AI3847">
        <v>94.310222353925695</v>
      </c>
      <c r="AJ3847">
        <v>131.98074745076701</v>
      </c>
      <c r="AK3847">
        <v>0.85287211385228601</v>
      </c>
      <c r="AL3847">
        <v>92.500699764073204</v>
      </c>
      <c r="AM3847">
        <v>115.502686071407</v>
      </c>
      <c r="AN3847">
        <v>1.0000000246404199</v>
      </c>
    </row>
    <row r="3848" spans="1:40" x14ac:dyDescent="0.25">
      <c r="A3848" t="str">
        <f>"20190303153843501"</f>
        <v>20190303153843501</v>
      </c>
      <c r="B3848" t="str">
        <f>"1551598723492009"</f>
        <v>1551598723492009</v>
      </c>
      <c r="C3848" t="s">
        <v>40</v>
      </c>
      <c r="D3848">
        <v>4.2397410000000004</v>
      </c>
      <c r="E3848">
        <v>0.42486309999999999</v>
      </c>
      <c r="F3848" t="s">
        <v>44</v>
      </c>
      <c r="G3848">
        <v>-491.17410000000001</v>
      </c>
      <c r="H3848">
        <v>1.0618780000000001</v>
      </c>
      <c r="I3848">
        <v>229.8374</v>
      </c>
      <c r="J3848">
        <v>-491.75670000000002</v>
      </c>
      <c r="K3848">
        <v>1.1227309999999999</v>
      </c>
      <c r="L3848">
        <v>230.4462</v>
      </c>
      <c r="M3848">
        <v>3.1811699999999998E-2</v>
      </c>
      <c r="N3848">
        <v>-1.8953290000000001E-2</v>
      </c>
      <c r="O3848">
        <v>-0.99931409999999998</v>
      </c>
      <c r="P3848">
        <v>0.4596519</v>
      </c>
      <c r="Q3848">
        <v>-6.0573589999999997E-2</v>
      </c>
      <c r="R3848">
        <v>-0.88603089999999995</v>
      </c>
      <c r="S3848">
        <v>1.9031979999999999</v>
      </c>
      <c r="T3848">
        <v>-0.19660069999999999</v>
      </c>
      <c r="U3848">
        <v>-2.386612</v>
      </c>
      <c r="V3848">
        <v>-0.43118069999999997</v>
      </c>
      <c r="W3848">
        <v>-4.3966039999999998E-2</v>
      </c>
      <c r="X3848">
        <v>0.90119369999999999</v>
      </c>
      <c r="Y3848">
        <v>-0.59720909999999905</v>
      </c>
      <c r="Z3848">
        <v>4.6208779999999998E-2</v>
      </c>
      <c r="AA3848">
        <v>0.80075339999999995</v>
      </c>
      <c r="AB3848">
        <v>13</v>
      </c>
      <c r="AC3848">
        <v>0.582600000000013</v>
      </c>
      <c r="AD3848">
        <v>-6.0852999999999803E-2</v>
      </c>
      <c r="AE3848">
        <v>-0.60880000000000201</v>
      </c>
      <c r="AF3848">
        <v>-0.560014014115081</v>
      </c>
      <c r="AG3848">
        <v>-6.0852999999999803E-2</v>
      </c>
      <c r="AH3848">
        <v>0.62377549267361498</v>
      </c>
      <c r="AI3848">
        <v>94.151977046628204</v>
      </c>
      <c r="AJ3848">
        <v>131.916903838232</v>
      </c>
      <c r="AK3848">
        <v>0.84048477016213496</v>
      </c>
      <c r="AL3848">
        <v>92.519880939981604</v>
      </c>
      <c r="AM3848">
        <v>115.569020311961</v>
      </c>
      <c r="AN3848">
        <v>0.99999994682272897</v>
      </c>
    </row>
    <row r="3849" spans="1:40" x14ac:dyDescent="0.25">
      <c r="A3849" t="str">
        <f>"20190303153843524"</f>
        <v>20190303153843524</v>
      </c>
      <c r="B3849" t="str">
        <f>"1551598723512509"</f>
        <v>1551598723512509</v>
      </c>
      <c r="C3849" t="s">
        <v>40</v>
      </c>
      <c r="D3849">
        <v>4.2572369999999999</v>
      </c>
      <c r="E3849">
        <v>0.42475449999999998</v>
      </c>
      <c r="F3849" t="s">
        <v>44</v>
      </c>
      <c r="G3849">
        <v>-491.17599999999999</v>
      </c>
      <c r="H3849">
        <v>1.0622689999999999</v>
      </c>
      <c r="I3849">
        <v>229.72229999999999</v>
      </c>
      <c r="J3849">
        <v>-491.7516</v>
      </c>
      <c r="K3849">
        <v>1.1229020000000001</v>
      </c>
      <c r="L3849">
        <v>230.32419999999999</v>
      </c>
      <c r="M3849">
        <v>3.28402E-2</v>
      </c>
      <c r="N3849">
        <v>-1.9751769999999998E-2</v>
      </c>
      <c r="O3849">
        <v>-0.99926539999999997</v>
      </c>
      <c r="P3849">
        <v>0.46093479999999998</v>
      </c>
      <c r="Q3849">
        <v>-6.3808680000000007E-2</v>
      </c>
      <c r="R3849">
        <v>-0.88513699999999995</v>
      </c>
      <c r="S3849">
        <v>1.910461</v>
      </c>
      <c r="T3849">
        <v>-0.1988596</v>
      </c>
      <c r="U3849">
        <v>-2.3811800000000001</v>
      </c>
      <c r="V3849">
        <v>-0.43155710000000003</v>
      </c>
      <c r="W3849">
        <v>-4.6537769999999999E-2</v>
      </c>
      <c r="X3849">
        <v>0.90088440000000003</v>
      </c>
      <c r="Y3849">
        <v>-0.59873460000000001</v>
      </c>
      <c r="Z3849">
        <v>4.6188E-2</v>
      </c>
      <c r="AA3849">
        <v>0.79961459999999995</v>
      </c>
      <c r="AB3849">
        <v>13</v>
      </c>
      <c r="AC3849">
        <v>0.57560000000000799</v>
      </c>
      <c r="AD3849">
        <v>-6.0632999999999902E-2</v>
      </c>
      <c r="AE3849">
        <v>-0.60189999999999999</v>
      </c>
      <c r="AF3849">
        <v>-0.55259007969771301</v>
      </c>
      <c r="AG3849">
        <v>-6.0632999999999902E-2</v>
      </c>
      <c r="AH3849">
        <v>0.61721025648194805</v>
      </c>
      <c r="AI3849">
        <v>94.186004157783501</v>
      </c>
      <c r="AJ3849">
        <v>131.83817472986101</v>
      </c>
      <c r="AK3849">
        <v>0.83065074343904499</v>
      </c>
      <c r="AL3849">
        <v>92.667381224470802</v>
      </c>
      <c r="AM3849">
        <v>115.59615238581399</v>
      </c>
      <c r="AN3849">
        <v>0.99999999838017095</v>
      </c>
    </row>
    <row r="3850" spans="1:40" x14ac:dyDescent="0.25">
      <c r="A3850" t="str">
        <f>"20190303153843545"</f>
        <v>20190303153843545</v>
      </c>
      <c r="B3850" t="str">
        <f>"1551598723541785"</f>
        <v>1551598723541785</v>
      </c>
      <c r="C3850" t="s">
        <v>40</v>
      </c>
      <c r="D3850">
        <v>4.2321169999999997</v>
      </c>
      <c r="E3850">
        <v>0.42470809999999998</v>
      </c>
      <c r="F3850" t="s">
        <v>44</v>
      </c>
      <c r="G3850">
        <v>-491.17630000000003</v>
      </c>
      <c r="H3850">
        <v>1.060894</v>
      </c>
      <c r="I3850">
        <v>229.61</v>
      </c>
      <c r="J3850">
        <v>-491.74630000000002</v>
      </c>
      <c r="K3850">
        <v>1.123078</v>
      </c>
      <c r="L3850">
        <v>230.20429999999999</v>
      </c>
      <c r="M3850">
        <v>3.398354E-2</v>
      </c>
      <c r="N3850">
        <v>-2.0551429999999999E-2</v>
      </c>
      <c r="O3850">
        <v>-0.99921119999999997</v>
      </c>
      <c r="P3850">
        <v>0.46183299999999999</v>
      </c>
      <c r="Q3850">
        <v>-6.5844539999999993E-2</v>
      </c>
      <c r="R3850">
        <v>-0.88451959999999996</v>
      </c>
      <c r="S3850">
        <v>1.914642</v>
      </c>
      <c r="T3850">
        <v>-0.20641580000000001</v>
      </c>
      <c r="U3850">
        <v>-2.3773499999999999</v>
      </c>
      <c r="V3850">
        <v>-0.43143749999999997</v>
      </c>
      <c r="W3850">
        <v>-4.7914110000000003E-2</v>
      </c>
      <c r="X3850">
        <v>0.90086949999999999</v>
      </c>
      <c r="Y3850">
        <v>-0.59921349999999995</v>
      </c>
      <c r="Z3850">
        <v>4.7927230000000001E-2</v>
      </c>
      <c r="AA3850">
        <v>0.79915340000000001</v>
      </c>
      <c r="AB3850">
        <v>13</v>
      </c>
      <c r="AC3850">
        <v>0.56999999999999296</v>
      </c>
      <c r="AD3850">
        <v>-6.2184000000000003E-2</v>
      </c>
      <c r="AE3850">
        <v>-0.59429999999997496</v>
      </c>
      <c r="AF3850">
        <v>-0.54635433547059797</v>
      </c>
      <c r="AG3850">
        <v>-6.2184000000000003E-2</v>
      </c>
      <c r="AH3850">
        <v>0.60985357552511799</v>
      </c>
      <c r="AI3850">
        <v>94.343036479391301</v>
      </c>
      <c r="AJ3850">
        <v>131.85645885911401</v>
      </c>
      <c r="AK3850">
        <v>0.82115241783988502</v>
      </c>
      <c r="AL3850">
        <v>92.746327875773005</v>
      </c>
      <c r="AM3850">
        <v>115.590334452403</v>
      </c>
      <c r="AN3850">
        <v>0.99999996718679496</v>
      </c>
    </row>
    <row r="3851" spans="1:40" x14ac:dyDescent="0.25">
      <c r="A3851" t="str">
        <f>"20190303153843571"</f>
        <v>20190303153843571</v>
      </c>
      <c r="B3851" t="str">
        <f>"1551598723562282"</f>
        <v>1551598723562282</v>
      </c>
      <c r="C3851" t="s">
        <v>40</v>
      </c>
      <c r="D3851">
        <v>4.2677459999999998</v>
      </c>
      <c r="E3851">
        <v>0.42453479999999999</v>
      </c>
      <c r="F3851" t="s">
        <v>44</v>
      </c>
      <c r="G3851">
        <v>-491.17759999999998</v>
      </c>
      <c r="H3851">
        <v>1.060535</v>
      </c>
      <c r="I3851">
        <v>229.49979999999999</v>
      </c>
      <c r="J3851">
        <v>-491.74020000000002</v>
      </c>
      <c r="K3851">
        <v>1.123251</v>
      </c>
      <c r="L3851">
        <v>230.07480000000001</v>
      </c>
      <c r="M3851">
        <v>3.5389190000000001E-2</v>
      </c>
      <c r="N3851">
        <v>-2.136358E-2</v>
      </c>
      <c r="O3851">
        <v>-0.99914530000000001</v>
      </c>
      <c r="P3851">
        <v>0.46374949999999998</v>
      </c>
      <c r="Q3851">
        <v>-6.3766400000000001E-2</v>
      </c>
      <c r="R3851">
        <v>-0.88366869999999997</v>
      </c>
      <c r="S3851">
        <v>1.9175420000000001</v>
      </c>
      <c r="T3851">
        <v>-0.21078939999999999</v>
      </c>
      <c r="U3851">
        <v>-2.374771</v>
      </c>
      <c r="V3851">
        <v>-0.4321123</v>
      </c>
      <c r="W3851">
        <v>-4.5181440000000003E-2</v>
      </c>
      <c r="X3851">
        <v>0.90068729999999997</v>
      </c>
      <c r="Y3851">
        <v>-0.59905069999999905</v>
      </c>
      <c r="Z3851">
        <v>4.8610010000000002E-2</v>
      </c>
      <c r="AA3851">
        <v>0.79923420000000001</v>
      </c>
      <c r="AB3851">
        <v>12</v>
      </c>
      <c r="AC3851">
        <v>0.56260000000003096</v>
      </c>
      <c r="AD3851">
        <v>-6.2715999999999994E-2</v>
      </c>
      <c r="AE3851">
        <v>-0.57500000000001705</v>
      </c>
      <c r="AF3851">
        <v>-0.53862030358337398</v>
      </c>
      <c r="AG3851">
        <v>-6.2715999999999994E-2</v>
      </c>
      <c r="AH3851">
        <v>0.59096233160883704</v>
      </c>
      <c r="AI3851">
        <v>94.484809390181098</v>
      </c>
      <c r="AJ3851">
        <v>132.34695494307101</v>
      </c>
      <c r="AK3851">
        <v>0.80204838100254205</v>
      </c>
      <c r="AL3851">
        <v>92.589587363152205</v>
      </c>
      <c r="AM3851">
        <v>115.629754333376</v>
      </c>
      <c r="AN3851">
        <v>1.0000000073565201</v>
      </c>
    </row>
    <row r="3852" spans="1:40" x14ac:dyDescent="0.25">
      <c r="A3852" t="str">
        <f>"20190303153843593"</f>
        <v>20190303153843593</v>
      </c>
      <c r="B3852" t="str">
        <f>"1551598723582781"</f>
        <v>1551598723582781</v>
      </c>
      <c r="C3852" t="s">
        <v>40</v>
      </c>
      <c r="D3852">
        <v>4.2499539999999998</v>
      </c>
      <c r="E3852">
        <v>0.42439909999999997</v>
      </c>
      <c r="F3852" t="s">
        <v>44</v>
      </c>
      <c r="G3852">
        <v>-491.11470000000003</v>
      </c>
      <c r="H3852">
        <v>1.0567610000000001</v>
      </c>
      <c r="I3852">
        <v>229.3038</v>
      </c>
      <c r="J3852">
        <v>-491.73410000000001</v>
      </c>
      <c r="K3852">
        <v>1.123386</v>
      </c>
      <c r="L3852">
        <v>229.95400000000001</v>
      </c>
      <c r="M3852">
        <v>3.6900269999999999E-2</v>
      </c>
      <c r="N3852">
        <v>-2.2041560000000002E-2</v>
      </c>
      <c r="O3852">
        <v>-0.99907579999999996</v>
      </c>
      <c r="P3852">
        <v>0.46731709999999899</v>
      </c>
      <c r="Q3852">
        <v>-5.8896749999999998E-2</v>
      </c>
      <c r="R3852">
        <v>-0.88212570000000001</v>
      </c>
      <c r="S3852">
        <v>1.9237059999999999</v>
      </c>
      <c r="T3852">
        <v>-0.20440140000000001</v>
      </c>
      <c r="U3852">
        <v>-2.3706360000000002</v>
      </c>
      <c r="V3852">
        <v>-0.43437550000000003</v>
      </c>
      <c r="W3852">
        <v>-3.9784750000000001E-2</v>
      </c>
      <c r="X3852">
        <v>0.89985289999999996</v>
      </c>
      <c r="Y3852">
        <v>-0.59984879999999996</v>
      </c>
      <c r="Z3852">
        <v>4.5866179999999999E-2</v>
      </c>
      <c r="AA3852">
        <v>0.79879769999999894</v>
      </c>
      <c r="AB3852">
        <v>12</v>
      </c>
      <c r="AC3852">
        <v>0.61939999999998396</v>
      </c>
      <c r="AD3852">
        <v>-6.6624999999999907E-2</v>
      </c>
      <c r="AE3852">
        <v>-0.65020000000001199</v>
      </c>
      <c r="AF3852">
        <v>-0.59172245219181496</v>
      </c>
      <c r="AG3852">
        <v>-6.6624999999999907E-2</v>
      </c>
      <c r="AH3852">
        <v>0.66893641339953203</v>
      </c>
      <c r="AI3852">
        <v>94.266389175981999</v>
      </c>
      <c r="AJ3852">
        <v>131.49507532205601</v>
      </c>
      <c r="AK3852">
        <v>0.89557259684780599</v>
      </c>
      <c r="AL3852">
        <v>92.280099871271602</v>
      </c>
      <c r="AM3852">
        <v>115.767455988994</v>
      </c>
      <c r="AN3852">
        <v>1.0000000714856001</v>
      </c>
    </row>
    <row r="3853" spans="1:40" x14ac:dyDescent="0.25">
      <c r="A3853" t="str">
        <f>"20190303153843614"</f>
        <v>20190303153843614</v>
      </c>
      <c r="B3853" t="str">
        <f>"1551598723612058"</f>
        <v>1551598723612058</v>
      </c>
      <c r="C3853" t="s">
        <v>40</v>
      </c>
      <c r="D3853">
        <v>4.2416419999999997</v>
      </c>
      <c r="E3853">
        <v>0.42415039999999998</v>
      </c>
      <c r="F3853" t="s">
        <v>44</v>
      </c>
      <c r="G3853">
        <v>-491.11360000000002</v>
      </c>
      <c r="H3853">
        <v>1.0615619999999999</v>
      </c>
      <c r="I3853">
        <v>229.19589999999999</v>
      </c>
      <c r="J3853">
        <v>-491.72809999999998</v>
      </c>
      <c r="K3853">
        <v>1.1234569999999999</v>
      </c>
      <c r="L3853">
        <v>229.84289999999999</v>
      </c>
      <c r="M3853">
        <v>3.8429810000000002E-2</v>
      </c>
      <c r="N3853">
        <v>-2.2600189999999999E-2</v>
      </c>
      <c r="O3853">
        <v>-0.99900580000000005</v>
      </c>
      <c r="P3853">
        <v>0.47030569999999999</v>
      </c>
      <c r="Q3853">
        <v>-5.6487919999999997E-2</v>
      </c>
      <c r="R3853">
        <v>-0.88069419999999898</v>
      </c>
      <c r="S3853">
        <v>1.9345399999999999</v>
      </c>
      <c r="T3853">
        <v>-0.19272349999999999</v>
      </c>
      <c r="U3853">
        <v>-2.3631440000000001</v>
      </c>
      <c r="V3853">
        <v>-0.43604110000000001</v>
      </c>
      <c r="W3853">
        <v>-3.6929040000000003E-2</v>
      </c>
      <c r="X3853">
        <v>0.89916870000000004</v>
      </c>
      <c r="Y3853">
        <v>-0.602182</v>
      </c>
      <c r="Z3853">
        <v>4.1490079999999999E-2</v>
      </c>
      <c r="AA3853">
        <v>0.79727999999999999</v>
      </c>
      <c r="AB3853">
        <v>12</v>
      </c>
      <c r="AC3853">
        <v>0.61449999999996396</v>
      </c>
      <c r="AD3853">
        <v>-6.1894999999999797E-2</v>
      </c>
      <c r="AE3853">
        <v>-0.64699999999999103</v>
      </c>
      <c r="AF3853">
        <v>-0.58635417138678103</v>
      </c>
      <c r="AG3853">
        <v>-6.1894999999999797E-2</v>
      </c>
      <c r="AH3853">
        <v>0.66693402911805799</v>
      </c>
      <c r="AI3853">
        <v>93.986985670011407</v>
      </c>
      <c r="AJ3853">
        <v>131.32124541835501</v>
      </c>
      <c r="AK3853">
        <v>0.89019279064892798</v>
      </c>
      <c r="AL3853">
        <v>92.116359408949904</v>
      </c>
      <c r="AM3853">
        <v>115.87051078689301</v>
      </c>
      <c r="AN3853">
        <v>0.99999997297210996</v>
      </c>
    </row>
    <row r="3854" spans="1:40" x14ac:dyDescent="0.25">
      <c r="A3854" t="str">
        <f>"20190303153843636"</f>
        <v>20190303153843636</v>
      </c>
      <c r="B3854" t="str">
        <f>"1551598723632554"</f>
        <v>1551598723632554</v>
      </c>
      <c r="C3854" t="s">
        <v>40</v>
      </c>
      <c r="D3854">
        <v>4.2220950000000004</v>
      </c>
      <c r="E3854">
        <v>0.42386550000000001</v>
      </c>
      <c r="F3854" t="s">
        <v>51</v>
      </c>
      <c r="G3854">
        <v>-480.005</v>
      </c>
      <c r="H3854" s="1">
        <v>1.595506E-6</v>
      </c>
      <c r="I3854">
        <v>215.6353</v>
      </c>
      <c r="J3854">
        <v>-491.72230000000002</v>
      </c>
      <c r="K3854">
        <v>1.1234930000000001</v>
      </c>
      <c r="L3854">
        <v>229.73869999999999</v>
      </c>
      <c r="M3854">
        <v>3.9983749999999998E-2</v>
      </c>
      <c r="N3854">
        <v>-2.3066119999999999E-2</v>
      </c>
      <c r="O3854">
        <v>-0.99893430000000005</v>
      </c>
      <c r="P3854">
        <v>0.4730299</v>
      </c>
      <c r="Q3854">
        <v>-5.7745520000000002E-2</v>
      </c>
      <c r="R3854">
        <v>-0.87915219999999905</v>
      </c>
      <c r="S3854">
        <v>1.9442140000000001</v>
      </c>
      <c r="T3854">
        <v>-0.18631790000000001</v>
      </c>
      <c r="U3854">
        <v>-2.3562319999999999</v>
      </c>
      <c r="V3854">
        <v>-0.43742389999999998</v>
      </c>
      <c r="W3854">
        <v>-3.7806050000000001E-2</v>
      </c>
      <c r="X3854">
        <v>0.89846039999999905</v>
      </c>
      <c r="Y3854">
        <v>-0.60409809999999997</v>
      </c>
      <c r="Z3854">
        <v>3.8947240000000001E-2</v>
      </c>
      <c r="AA3854">
        <v>0.79595769999999899</v>
      </c>
      <c r="AB3854">
        <v>11</v>
      </c>
      <c r="AC3854">
        <v>11.7173</v>
      </c>
      <c r="AD3854">
        <v>-1.1234914044939901</v>
      </c>
      <c r="AE3854">
        <v>-14.103399999999899</v>
      </c>
      <c r="AF3854">
        <v>-11.1021862436184</v>
      </c>
      <c r="AG3854">
        <v>-1.1234914044939901</v>
      </c>
      <c r="AH3854">
        <v>14.506279727610799</v>
      </c>
      <c r="AI3854">
        <v>93.519440624193294</v>
      </c>
      <c r="AJ3854">
        <v>127.428151187808</v>
      </c>
      <c r="AK3854">
        <v>18.301719150387299</v>
      </c>
      <c r="AL3854">
        <v>92.166643383098901</v>
      </c>
      <c r="AM3854">
        <v>115.959570759806</v>
      </c>
      <c r="AN3854">
        <v>1.0000000280379799</v>
      </c>
    </row>
    <row r="3855" spans="1:40" x14ac:dyDescent="0.25">
      <c r="A3855" t="str">
        <f>"20190303153843658"</f>
        <v>20190303153843658</v>
      </c>
      <c r="B3855" t="str">
        <f>"1551598723652074"</f>
        <v>1551598723652074</v>
      </c>
      <c r="C3855" t="s">
        <v>40</v>
      </c>
      <c r="D3855">
        <v>4.224742</v>
      </c>
      <c r="E3855">
        <v>0.42368359999999999</v>
      </c>
      <c r="F3855" t="s">
        <v>51</v>
      </c>
      <c r="G3855">
        <v>-480.16829999999999</v>
      </c>
      <c r="H3855" s="1">
        <v>1.6335900000000001E-6</v>
      </c>
      <c r="I3855">
        <v>215.84379999999999</v>
      </c>
      <c r="J3855">
        <v>-491.71570000000003</v>
      </c>
      <c r="K3855">
        <v>1.123497</v>
      </c>
      <c r="L3855">
        <v>229.62819999999999</v>
      </c>
      <c r="M3855">
        <v>4.1764669999999997E-2</v>
      </c>
      <c r="N3855">
        <v>-2.3469429999999999E-2</v>
      </c>
      <c r="O3855">
        <v>-0.99885199999999996</v>
      </c>
      <c r="P3855">
        <v>0.47623280000000001</v>
      </c>
      <c r="Q3855">
        <v>-5.911454E-2</v>
      </c>
      <c r="R3855">
        <v>-0.87733050000000001</v>
      </c>
      <c r="S3855">
        <v>1.953217</v>
      </c>
      <c r="T3855">
        <v>-0.1899277</v>
      </c>
      <c r="U3855">
        <v>-2.3489529999999998</v>
      </c>
      <c r="V3855">
        <v>-0.43909619999999999</v>
      </c>
      <c r="W3855">
        <v>-3.8846760000000001E-2</v>
      </c>
      <c r="X3855">
        <v>0.89759990000000001</v>
      </c>
      <c r="Y3855">
        <v>-0.60565159999999996</v>
      </c>
      <c r="Z3855">
        <v>3.9791170000000001E-2</v>
      </c>
      <c r="AA3855">
        <v>0.79473439999999995</v>
      </c>
      <c r="AB3855">
        <v>11</v>
      </c>
      <c r="AC3855">
        <v>11.5474</v>
      </c>
      <c r="AD3855">
        <v>-1.12349536641</v>
      </c>
      <c r="AE3855">
        <v>-13.7844</v>
      </c>
      <c r="AF3855">
        <v>-10.9188367242909</v>
      </c>
      <c r="AG3855">
        <v>-1.12349536641</v>
      </c>
      <c r="AH3855">
        <v>14.199343519404801</v>
      </c>
      <c r="AI3855">
        <v>93.589050048988597</v>
      </c>
      <c r="AJ3855">
        <v>127.559121822164</v>
      </c>
      <c r="AK3855">
        <v>17.947272595916399</v>
      </c>
      <c r="AL3855">
        <v>92.226315441775</v>
      </c>
      <c r="AM3855">
        <v>116.067382168016</v>
      </c>
      <c r="AN3855">
        <v>1.0000000620484699</v>
      </c>
    </row>
    <row r="3856" spans="1:40" x14ac:dyDescent="0.25">
      <c r="A3856" t="str">
        <f>"20190303153843681"</f>
        <v>20190303153843681</v>
      </c>
      <c r="B3856" t="str">
        <f>"1551598723672570"</f>
        <v>1551598723672570</v>
      </c>
      <c r="C3856" t="s">
        <v>40</v>
      </c>
      <c r="D3856">
        <v>4.1900629999999897</v>
      </c>
      <c r="E3856">
        <v>0.4235932</v>
      </c>
      <c r="F3856" t="s">
        <v>44</v>
      </c>
      <c r="G3856">
        <v>-491.07060000000001</v>
      </c>
      <c r="H3856">
        <v>1.059796</v>
      </c>
      <c r="I3856">
        <v>228.85890000000001</v>
      </c>
      <c r="J3856">
        <v>-491.709</v>
      </c>
      <c r="K3856">
        <v>1.1234729999999999</v>
      </c>
      <c r="L3856">
        <v>229.52180000000001</v>
      </c>
      <c r="M3856">
        <v>4.360526E-2</v>
      </c>
      <c r="N3856">
        <v>-2.370823E-2</v>
      </c>
      <c r="O3856">
        <v>-0.99876750000000003</v>
      </c>
      <c r="P3856">
        <v>0.4792573</v>
      </c>
      <c r="Q3856">
        <v>-5.933136E-2</v>
      </c>
      <c r="R3856">
        <v>-0.87566659999999996</v>
      </c>
      <c r="S3856">
        <v>1.962952</v>
      </c>
      <c r="T3856">
        <v>-0.1938192</v>
      </c>
      <c r="U3856">
        <v>-2.340897</v>
      </c>
      <c r="V3856">
        <v>-0.44053700000000001</v>
      </c>
      <c r="W3856">
        <v>-3.8878870000000003E-2</v>
      </c>
      <c r="X3856">
        <v>0.89689219999999903</v>
      </c>
      <c r="Y3856">
        <v>-0.60742680000000004</v>
      </c>
      <c r="Z3856">
        <v>4.0895710000000002E-2</v>
      </c>
      <c r="AA3856">
        <v>0.79332230000000004</v>
      </c>
      <c r="AB3856">
        <v>11</v>
      </c>
      <c r="AC3856">
        <v>0.63839999999998998</v>
      </c>
      <c r="AD3856">
        <v>-6.36769999999999E-2</v>
      </c>
      <c r="AE3856">
        <v>-0.66290000000000704</v>
      </c>
      <c r="AF3856">
        <v>-0.60597741558043206</v>
      </c>
      <c r="AG3856">
        <v>-6.36769999999999E-2</v>
      </c>
      <c r="AH3856">
        <v>0.68682653206605504</v>
      </c>
      <c r="AI3856">
        <v>93.976873141147905</v>
      </c>
      <c r="AJ3856">
        <v>131.42150819870301</v>
      </c>
      <c r="AK3856">
        <v>0.91814708716655202</v>
      </c>
      <c r="AL3856">
        <v>92.2281567012149</v>
      </c>
      <c r="AM3856">
        <v>116.159424234589</v>
      </c>
      <c r="AN3856">
        <v>1.00000001666115</v>
      </c>
    </row>
    <row r="3857" spans="1:40" x14ac:dyDescent="0.25">
      <c r="A3857" t="str">
        <f>"20190303153843702"</f>
        <v>20190303153843702</v>
      </c>
      <c r="B3857" t="str">
        <f>"1551598723692090"</f>
        <v>1551598723692090</v>
      </c>
      <c r="C3857" t="s">
        <v>40</v>
      </c>
      <c r="D3857">
        <v>4.191058</v>
      </c>
      <c r="E3857">
        <v>0.42340290000000003</v>
      </c>
      <c r="F3857" t="s">
        <v>44</v>
      </c>
      <c r="G3857">
        <v>-491.06209999999999</v>
      </c>
      <c r="H3857">
        <v>1.0594509999999999</v>
      </c>
      <c r="I3857">
        <v>228.75630000000001</v>
      </c>
      <c r="J3857">
        <v>-491.70240000000001</v>
      </c>
      <c r="K3857">
        <v>1.123426</v>
      </c>
      <c r="L3857">
        <v>229.4213</v>
      </c>
      <c r="M3857">
        <v>4.5458789999999999E-2</v>
      </c>
      <c r="N3857">
        <v>-2.3755829999999999E-2</v>
      </c>
      <c r="O3857">
        <v>-0.99868380000000001</v>
      </c>
      <c r="P3857">
        <v>0.4806223</v>
      </c>
      <c r="Q3857">
        <v>-6.0103520000000001E-2</v>
      </c>
      <c r="R3857">
        <v>-0.87486589999999997</v>
      </c>
      <c r="S3857">
        <v>1.9716800000000001</v>
      </c>
      <c r="T3857">
        <v>-0.1951735</v>
      </c>
      <c r="U3857">
        <v>-2.3336329999999998</v>
      </c>
      <c r="V3857">
        <v>-0.44027100000000002</v>
      </c>
      <c r="W3857">
        <v>-3.9619509999999997E-2</v>
      </c>
      <c r="X3857">
        <v>0.89699039999999997</v>
      </c>
      <c r="Y3857">
        <v>-0.60888359999999997</v>
      </c>
      <c r="Z3857">
        <v>4.1350730000000002E-2</v>
      </c>
      <c r="AA3857">
        <v>0.79218109999999997</v>
      </c>
      <c r="AB3857">
        <v>11</v>
      </c>
      <c r="AC3857">
        <v>0.64030000000002396</v>
      </c>
      <c r="AD3857">
        <v>-6.3975000000000101E-2</v>
      </c>
      <c r="AE3857">
        <v>-0.66499999999999204</v>
      </c>
      <c r="AF3857">
        <v>-0.60648636907607301</v>
      </c>
      <c r="AG3857">
        <v>-6.3975000000000101E-2</v>
      </c>
      <c r="AH3857">
        <v>0.69011329904129703</v>
      </c>
      <c r="AI3857">
        <v>93.983273423486906</v>
      </c>
      <c r="AJ3857">
        <v>131.30969927226201</v>
      </c>
      <c r="AK3857">
        <v>0.92096410462826495</v>
      </c>
      <c r="AL3857">
        <v>92.270624967547604</v>
      </c>
      <c r="AM3857">
        <v>116.14325141642701</v>
      </c>
      <c r="AN3857">
        <v>1.0000000183529001</v>
      </c>
    </row>
    <row r="3858" spans="1:40" x14ac:dyDescent="0.25">
      <c r="A3858" t="str">
        <f>"20190303153843724"</f>
        <v>20190303153843724</v>
      </c>
      <c r="B3858" t="str">
        <f>"1551598723722346"</f>
        <v>1551598723722346</v>
      </c>
      <c r="C3858" t="s">
        <v>40</v>
      </c>
      <c r="D3858">
        <v>4.2302099999999996</v>
      </c>
      <c r="E3858">
        <v>0.42317090000000002</v>
      </c>
      <c r="F3858" t="s">
        <v>44</v>
      </c>
      <c r="G3858">
        <v>-491.05540000000002</v>
      </c>
      <c r="H3858">
        <v>1.059285</v>
      </c>
      <c r="I3858">
        <v>228.6585</v>
      </c>
      <c r="J3858">
        <v>-491.69540000000001</v>
      </c>
      <c r="K3858">
        <v>1.1233470000000001</v>
      </c>
      <c r="L3858">
        <v>229.32159999999999</v>
      </c>
      <c r="M3858">
        <v>4.7412139999999998E-2</v>
      </c>
      <c r="N3858">
        <v>-2.3636330000000001E-2</v>
      </c>
      <c r="O3858">
        <v>-0.99859589999999998</v>
      </c>
      <c r="P3858">
        <v>0.48249510000000001</v>
      </c>
      <c r="Q3858">
        <v>-6.1510490000000001E-2</v>
      </c>
      <c r="R3858">
        <v>-0.87373650000000003</v>
      </c>
      <c r="S3858">
        <v>1.9767760000000001</v>
      </c>
      <c r="T3858">
        <v>-0.1958992</v>
      </c>
      <c r="U3858">
        <v>-2.3296969999999999</v>
      </c>
      <c r="V3858">
        <v>-0.4404382</v>
      </c>
      <c r="W3858">
        <v>-4.1154110000000001E-2</v>
      </c>
      <c r="X3858">
        <v>0.89683919999999995</v>
      </c>
      <c r="Y3858">
        <v>-0.60899289999999995</v>
      </c>
      <c r="Z3858">
        <v>4.1756689999999999E-2</v>
      </c>
      <c r="AA3858">
        <v>0.7920758</v>
      </c>
      <c r="AB3858">
        <v>11</v>
      </c>
      <c r="AC3858">
        <v>0.63999999999998602</v>
      </c>
      <c r="AD3858">
        <v>-6.40619999999998E-2</v>
      </c>
      <c r="AE3858">
        <v>-0.66309999999998503</v>
      </c>
      <c r="AF3858">
        <v>-0.60490908905372698</v>
      </c>
      <c r="AG3858">
        <v>-6.40619999999998E-2</v>
      </c>
      <c r="AH3858">
        <v>0.68937496013787403</v>
      </c>
      <c r="AI3858">
        <v>93.995589436149601</v>
      </c>
      <c r="AJ3858">
        <v>131.26613263921601</v>
      </c>
      <c r="AK3858">
        <v>0.91937847567196496</v>
      </c>
      <c r="AL3858">
        <v>92.3586228939579</v>
      </c>
      <c r="AM3858">
        <v>116.155678852534</v>
      </c>
      <c r="AN3858">
        <v>1.0000000097228801</v>
      </c>
    </row>
    <row r="3859" spans="1:40" x14ac:dyDescent="0.25">
      <c r="A3859" t="str">
        <f>"20190303153843739"</f>
        <v>20190303153843739</v>
      </c>
      <c r="B3859" t="str">
        <f>"1551598723732106"</f>
        <v>1551598723732106</v>
      </c>
      <c r="C3859" t="s">
        <v>40</v>
      </c>
      <c r="D3859">
        <v>4.2356819999999997</v>
      </c>
      <c r="E3859">
        <v>0.42306100000000002</v>
      </c>
      <c r="F3859" t="s">
        <v>44</v>
      </c>
      <c r="G3859">
        <v>-491.06389999999999</v>
      </c>
      <c r="H3859">
        <v>1.0596589999999999</v>
      </c>
      <c r="I3859">
        <v>228.58170000000001</v>
      </c>
      <c r="J3859">
        <v>-491.69060000000002</v>
      </c>
      <c r="K3859">
        <v>1.123292</v>
      </c>
      <c r="L3859">
        <v>229.2543</v>
      </c>
      <c r="M3859">
        <v>4.8804790000000001E-2</v>
      </c>
      <c r="N3859">
        <v>-2.347952E-2</v>
      </c>
      <c r="O3859">
        <v>-0.99853250000000005</v>
      </c>
      <c r="P3859">
        <v>0.48397020000000002</v>
      </c>
      <c r="Q3859">
        <v>-6.2136120000000003E-2</v>
      </c>
      <c r="R3859">
        <v>-0.87287590000000004</v>
      </c>
      <c r="S3859">
        <v>1.983368</v>
      </c>
      <c r="T3859">
        <v>-0.20005110000000001</v>
      </c>
      <c r="U3859">
        <v>-2.3241580000000002</v>
      </c>
      <c r="V3859">
        <v>-0.44070179999999998</v>
      </c>
      <c r="W3859">
        <v>-4.1935849999999997E-2</v>
      </c>
      <c r="X3859">
        <v>0.89667339999999995</v>
      </c>
      <c r="Y3859">
        <v>-0.61007119999999904</v>
      </c>
      <c r="Z3859">
        <v>4.3324649999999999E-2</v>
      </c>
      <c r="AA3859">
        <v>0.79116119999999901</v>
      </c>
      <c r="AB3859">
        <v>10</v>
      </c>
      <c r="AC3859">
        <v>0.62670000000002701</v>
      </c>
      <c r="AD3859">
        <v>-6.3632999999999995E-2</v>
      </c>
      <c r="AE3859">
        <v>-0.67259999999998799</v>
      </c>
      <c r="AF3859">
        <v>-0.59028949462189595</v>
      </c>
      <c r="AG3859">
        <v>-6.3632999999999995E-2</v>
      </c>
      <c r="AH3859">
        <v>0.69904325705289305</v>
      </c>
      <c r="AI3859">
        <v>93.978476159851994</v>
      </c>
      <c r="AJ3859">
        <v>130.178578424265</v>
      </c>
      <c r="AK3859">
        <v>0.91714356639573602</v>
      </c>
      <c r="AL3859">
        <v>92.403452170956797</v>
      </c>
      <c r="AM3859">
        <v>116.173438626649</v>
      </c>
      <c r="AN3859">
        <v>0.999999939153009</v>
      </c>
    </row>
    <row r="3860" spans="1:40" x14ac:dyDescent="0.25">
      <c r="A3860" t="str">
        <f>"20190303153843759"</f>
        <v>20190303153843759</v>
      </c>
      <c r="B3860" t="str">
        <f>"1551598723752602"</f>
        <v>1551598723752602</v>
      </c>
      <c r="C3860" t="s">
        <v>40</v>
      </c>
      <c r="D3860">
        <v>4.2254990000000001</v>
      </c>
      <c r="E3860">
        <v>0.42294340000000002</v>
      </c>
      <c r="F3860" t="s">
        <v>44</v>
      </c>
      <c r="G3860">
        <v>-491.0772</v>
      </c>
      <c r="H3860">
        <v>1.06084</v>
      </c>
      <c r="I3860">
        <v>228.53829999999999</v>
      </c>
      <c r="J3860">
        <v>-491.68380000000002</v>
      </c>
      <c r="K3860">
        <v>1.1232279999999999</v>
      </c>
      <c r="L3860">
        <v>229.16419999999999</v>
      </c>
      <c r="M3860">
        <v>5.0756120000000002E-2</v>
      </c>
      <c r="N3860">
        <v>-2.321024E-2</v>
      </c>
      <c r="O3860">
        <v>-0.99844129999999998</v>
      </c>
      <c r="P3860">
        <v>0.48660530000000002</v>
      </c>
      <c r="Q3860">
        <v>-6.3039910000000005E-2</v>
      </c>
      <c r="R3860">
        <v>-0.87134439999999902</v>
      </c>
      <c r="S3860">
        <v>1.9881899999999999</v>
      </c>
      <c r="T3860">
        <v>-0.20239599999999999</v>
      </c>
      <c r="U3860">
        <v>-2.3201749999999999</v>
      </c>
      <c r="V3860">
        <v>-0.4416564</v>
      </c>
      <c r="W3860">
        <v>-4.3111120000000003E-2</v>
      </c>
      <c r="X3860">
        <v>0.896147899999999</v>
      </c>
      <c r="Y3860">
        <v>-0.61011590000000004</v>
      </c>
      <c r="Z3860">
        <v>4.4417230000000002E-2</v>
      </c>
      <c r="AA3860">
        <v>0.79106619999999905</v>
      </c>
      <c r="AB3860">
        <v>10</v>
      </c>
      <c r="AC3860">
        <v>0.60660000000001402</v>
      </c>
      <c r="AD3860">
        <v>-6.2388000000000103E-2</v>
      </c>
      <c r="AE3860">
        <v>-0.62590000000000101</v>
      </c>
      <c r="AF3860">
        <v>-0.57111489431584195</v>
      </c>
      <c r="AG3860">
        <v>-6.2388000000000103E-2</v>
      </c>
      <c r="AH3860">
        <v>0.65254658094407902</v>
      </c>
      <c r="AI3860">
        <v>94.115003937922793</v>
      </c>
      <c r="AJ3860">
        <v>131.19271927745999</v>
      </c>
      <c r="AK3860">
        <v>0.86941447270861705</v>
      </c>
      <c r="AL3860">
        <v>92.470851000173397</v>
      </c>
      <c r="AM3860">
        <v>116.235863754056</v>
      </c>
      <c r="AN3860">
        <v>1.00000000150151</v>
      </c>
    </row>
    <row r="3861" spans="1:40" x14ac:dyDescent="0.25">
      <c r="A3861" t="str">
        <f>"20190303153843781"</f>
        <v>20190303153843781</v>
      </c>
      <c r="B3861" t="str">
        <f>"1551598723772125"</f>
        <v>1551598723772125</v>
      </c>
      <c r="C3861" t="s">
        <v>40</v>
      </c>
      <c r="D3861">
        <v>4.2370099999999997</v>
      </c>
      <c r="E3861">
        <v>0.41765669999999999</v>
      </c>
      <c r="F3861" t="s">
        <v>44</v>
      </c>
      <c r="G3861">
        <v>-491.07080000000002</v>
      </c>
      <c r="H3861">
        <v>1.059858</v>
      </c>
      <c r="I3861">
        <v>228.4538</v>
      </c>
      <c r="J3861">
        <v>-491.67610000000002</v>
      </c>
      <c r="K3861">
        <v>1.1231599999999999</v>
      </c>
      <c r="L3861">
        <v>229.0658</v>
      </c>
      <c r="M3861">
        <v>5.3016180000000003E-2</v>
      </c>
      <c r="N3861">
        <v>-2.2854530000000001E-2</v>
      </c>
      <c r="O3861">
        <v>-0.99833209999999994</v>
      </c>
      <c r="P3861">
        <v>0.48966660000000001</v>
      </c>
      <c r="Q3861">
        <v>-6.3396040000000001E-2</v>
      </c>
      <c r="R3861">
        <v>-0.86960230000000005</v>
      </c>
      <c r="S3861">
        <v>1.9958800000000001</v>
      </c>
      <c r="T3861">
        <v>-0.2063673</v>
      </c>
      <c r="U3861">
        <v>-2.3133849999999998</v>
      </c>
      <c r="V3861">
        <v>-0.44277610000000001</v>
      </c>
      <c r="W3861">
        <v>-4.3823260000000003E-2</v>
      </c>
      <c r="X3861">
        <v>0.89556069999999999</v>
      </c>
      <c r="Y3861">
        <v>-0.61093090000000005</v>
      </c>
      <c r="Z3861">
        <v>4.6149570000000001E-2</v>
      </c>
      <c r="AA3861">
        <v>0.79033769999999903</v>
      </c>
      <c r="AB3861">
        <v>10</v>
      </c>
      <c r="AC3861">
        <v>0.60529999999999895</v>
      </c>
      <c r="AD3861">
        <v>-6.33019999999999E-2</v>
      </c>
      <c r="AE3861">
        <v>-0.61199999999999399</v>
      </c>
      <c r="AF3861">
        <v>-0.56891707086221199</v>
      </c>
      <c r="AG3861">
        <v>-6.33019999999999E-2</v>
      </c>
      <c r="AH3861">
        <v>0.639777867116743</v>
      </c>
      <c r="AI3861">
        <v>94.228669642858193</v>
      </c>
      <c r="AJ3861">
        <v>131.64482527873</v>
      </c>
      <c r="AK3861">
        <v>0.858480923477562</v>
      </c>
      <c r="AL3861">
        <v>92.511692070957594</v>
      </c>
      <c r="AM3861">
        <v>116.308351408001</v>
      </c>
      <c r="AN3861">
        <v>1.0000000601163599</v>
      </c>
    </row>
    <row r="3862" spans="1:40" x14ac:dyDescent="0.25">
      <c r="A3862" t="str">
        <f>"20190303153843805"</f>
        <v>20190303153843805</v>
      </c>
      <c r="B3862" t="str">
        <f>"1551598723802377"</f>
        <v>1551598723802377</v>
      </c>
      <c r="C3862" t="s">
        <v>40</v>
      </c>
      <c r="D3862">
        <v>4.250013</v>
      </c>
      <c r="E3862">
        <v>0.41830319999999999</v>
      </c>
      <c r="F3862" t="s">
        <v>44</v>
      </c>
      <c r="G3862">
        <v>-491.05520000000001</v>
      </c>
      <c r="H3862">
        <v>1.0543629999999999</v>
      </c>
      <c r="I3862">
        <v>228.37039999999999</v>
      </c>
      <c r="J3862">
        <v>-491.66759999999999</v>
      </c>
      <c r="K3862">
        <v>1.123103</v>
      </c>
      <c r="L3862">
        <v>228.9639</v>
      </c>
      <c r="M3862">
        <v>5.5516299999999998E-2</v>
      </c>
      <c r="N3862">
        <v>-2.2408839999999999E-2</v>
      </c>
      <c r="O3862">
        <v>-0.99820640000000005</v>
      </c>
      <c r="P3862">
        <v>0.49311169999999999</v>
      </c>
      <c r="Q3862">
        <v>-6.2860260000000001E-2</v>
      </c>
      <c r="R3862">
        <v>-0.86769219999999903</v>
      </c>
      <c r="S3862">
        <v>2.040009</v>
      </c>
      <c r="T3862">
        <v>-0.22602949999999999</v>
      </c>
      <c r="U3862">
        <v>-2.2846829999999998</v>
      </c>
      <c r="V3862">
        <v>-0.44407809999999998</v>
      </c>
      <c r="W3862">
        <v>-4.3736230000000001E-2</v>
      </c>
      <c r="X3862">
        <v>0.89492000000000005</v>
      </c>
      <c r="Y3862">
        <v>-0.62208459999999999</v>
      </c>
      <c r="Z3862">
        <v>5.3024050000000003E-2</v>
      </c>
      <c r="AA3862">
        <v>0.78115239999999997</v>
      </c>
      <c r="AB3862">
        <v>10</v>
      </c>
      <c r="AC3862">
        <v>0.61239999999997896</v>
      </c>
      <c r="AD3862">
        <v>-6.8739999999999996E-2</v>
      </c>
      <c r="AE3862">
        <v>-0.59350000000000502</v>
      </c>
      <c r="AF3862">
        <v>-0.57476357584024496</v>
      </c>
      <c r="AG3862">
        <v>-6.8739999999999996E-2</v>
      </c>
      <c r="AH3862">
        <v>0.62254620340342803</v>
      </c>
      <c r="AI3862">
        <v>94.638151729018901</v>
      </c>
      <c r="AJ3862">
        <v>132.71463418752401</v>
      </c>
      <c r="AK3862">
        <v>0.85008360240901504</v>
      </c>
      <c r="AL3862">
        <v>92.506700955805101</v>
      </c>
      <c r="AM3862">
        <v>116.39157301364899</v>
      </c>
      <c r="AN3862">
        <v>1.0000000115571099</v>
      </c>
    </row>
    <row r="3863" spans="1:40" x14ac:dyDescent="0.25">
      <c r="A3863" t="str">
        <f>"20190303153843829"</f>
        <v>20190303153843829</v>
      </c>
      <c r="B3863" t="str">
        <f>"1551598723821898"</f>
        <v>1551598723821898</v>
      </c>
      <c r="C3863" t="s">
        <v>40</v>
      </c>
      <c r="D3863">
        <v>4.2301929999999999</v>
      </c>
      <c r="E3863">
        <v>0.41809679999999999</v>
      </c>
      <c r="F3863" t="s">
        <v>44</v>
      </c>
      <c r="G3863">
        <v>-491.05619999999999</v>
      </c>
      <c r="H3863">
        <v>1.056322</v>
      </c>
      <c r="I3863">
        <v>228.28229999999999</v>
      </c>
      <c r="J3863">
        <v>-491.65879999999999</v>
      </c>
      <c r="K3863">
        <v>1.1230560000000001</v>
      </c>
      <c r="L3863">
        <v>228.86170000000001</v>
      </c>
      <c r="M3863">
        <v>5.8209499999999997E-2</v>
      </c>
      <c r="N3863">
        <v>-2.1811580000000001E-2</v>
      </c>
      <c r="O3863">
        <v>-0.99806620000000001</v>
      </c>
      <c r="P3863">
        <v>0.49635190000000001</v>
      </c>
      <c r="Q3863">
        <v>-6.2214279999999997E-2</v>
      </c>
      <c r="R3863">
        <v>-0.86588949999999998</v>
      </c>
      <c r="S3863">
        <v>2.044495</v>
      </c>
      <c r="T3863">
        <v>-0.22332060000000001</v>
      </c>
      <c r="U3863">
        <v>-2.279404</v>
      </c>
      <c r="V3863">
        <v>-0.44500000000000001</v>
      </c>
      <c r="W3863">
        <v>-4.3693559999999999E-2</v>
      </c>
      <c r="X3863">
        <v>0.89446409999999998</v>
      </c>
      <c r="Y3863">
        <v>-0.62175769999999997</v>
      </c>
      <c r="Z3863">
        <v>5.2815750000000002E-2</v>
      </c>
      <c r="AA3863">
        <v>0.78142679999999998</v>
      </c>
      <c r="AB3863">
        <v>10</v>
      </c>
      <c r="AC3863">
        <v>0.60259999999999503</v>
      </c>
      <c r="AD3863">
        <v>-6.6734000000000002E-2</v>
      </c>
      <c r="AE3863">
        <v>-0.57940000000002101</v>
      </c>
      <c r="AF3863">
        <v>-0.56424736508357798</v>
      </c>
      <c r="AG3863">
        <v>-6.6734000000000002E-2</v>
      </c>
      <c r="AH3863">
        <v>0.60961758550281397</v>
      </c>
      <c r="AI3863">
        <v>94.593151568530104</v>
      </c>
      <c r="AJ3863">
        <v>132.78660324116299</v>
      </c>
      <c r="AK3863">
        <v>0.83334393638763604</v>
      </c>
      <c r="AL3863">
        <v>92.504253642354897</v>
      </c>
      <c r="AM3863">
        <v>116.45055611458299</v>
      </c>
      <c r="AN3863">
        <v>1.00000007668713</v>
      </c>
    </row>
    <row r="3864" spans="1:40" x14ac:dyDescent="0.25">
      <c r="A3864" t="str">
        <f>"20190303153843848"</f>
        <v>20190303153843848</v>
      </c>
      <c r="B3864" t="str">
        <f>"1551598723842395"</f>
        <v>1551598723842395</v>
      </c>
      <c r="C3864" t="s">
        <v>40</v>
      </c>
      <c r="D3864">
        <v>4.2292180000000004</v>
      </c>
      <c r="E3864">
        <v>0.4155006</v>
      </c>
      <c r="F3864" t="s">
        <v>44</v>
      </c>
      <c r="G3864">
        <v>-491.05579999999998</v>
      </c>
      <c r="H3864">
        <v>1.0569809999999999</v>
      </c>
      <c r="I3864">
        <v>228.19499999999999</v>
      </c>
      <c r="J3864">
        <v>-491.65100000000001</v>
      </c>
      <c r="K3864">
        <v>1.1230039999999999</v>
      </c>
      <c r="L3864">
        <v>228.7773</v>
      </c>
      <c r="M3864">
        <v>6.0620229999999997E-2</v>
      </c>
      <c r="N3864">
        <v>-2.1150269999999999E-2</v>
      </c>
      <c r="O3864">
        <v>-0.99793699999999996</v>
      </c>
      <c r="P3864">
        <v>0.49960890000000002</v>
      </c>
      <c r="Q3864">
        <v>-6.203438E-2</v>
      </c>
      <c r="R3864">
        <v>-0.864027399999999</v>
      </c>
      <c r="S3864">
        <v>2.0543520000000002</v>
      </c>
      <c r="T3864">
        <v>-0.22504250000000001</v>
      </c>
      <c r="U3864">
        <v>-2.2708590000000002</v>
      </c>
      <c r="V3864">
        <v>-0.44619760000000003</v>
      </c>
      <c r="W3864">
        <v>-4.4191660000000001E-2</v>
      </c>
      <c r="X3864">
        <v>0.89384269999999999</v>
      </c>
      <c r="Y3864">
        <v>-0.62316649999999996</v>
      </c>
      <c r="Z3864">
        <v>5.4102240000000003E-2</v>
      </c>
      <c r="AA3864">
        <v>0.78021569999999996</v>
      </c>
      <c r="AB3864">
        <v>10</v>
      </c>
      <c r="AC3864">
        <v>0.59520000000003304</v>
      </c>
      <c r="AD3864">
        <v>-6.6023000000000095E-2</v>
      </c>
      <c r="AE3864">
        <v>-0.58230000000000304</v>
      </c>
      <c r="AF3864">
        <v>-0.55530659128527105</v>
      </c>
      <c r="AG3864">
        <v>-6.6023000000000095E-2</v>
      </c>
      <c r="AH3864">
        <v>0.613460984226881</v>
      </c>
      <c r="AI3864">
        <v>94.561930860923596</v>
      </c>
      <c r="AJ3864">
        <v>132.151481888755</v>
      </c>
      <c r="AK3864">
        <v>0.83009567281276697</v>
      </c>
      <c r="AL3864">
        <v>92.532820490027902</v>
      </c>
      <c r="AM3864">
        <v>116.527924958185</v>
      </c>
      <c r="AN3864">
        <v>0.99999998670130197</v>
      </c>
    </row>
    <row r="3865" spans="1:40" x14ac:dyDescent="0.25">
      <c r="A3865" t="str">
        <f>"20190303153843871"</f>
        <v>20190303153843871</v>
      </c>
      <c r="B3865" t="str">
        <f>"1551598723861913"</f>
        <v>1551598723861913</v>
      </c>
      <c r="C3865" t="s">
        <v>40</v>
      </c>
      <c r="D3865">
        <v>4.2001249999999999</v>
      </c>
      <c r="E3865">
        <v>0.38695580000000002</v>
      </c>
      <c r="F3865" t="s">
        <v>44</v>
      </c>
      <c r="G3865">
        <v>-491.03730000000002</v>
      </c>
      <c r="H3865">
        <v>1.0580160000000001</v>
      </c>
      <c r="I3865">
        <v>228.113</v>
      </c>
      <c r="J3865">
        <v>-491.64150000000001</v>
      </c>
      <c r="K3865">
        <v>1.1229549999999999</v>
      </c>
      <c r="L3865">
        <v>228.68049999999999</v>
      </c>
      <c r="M3865">
        <v>6.3590889999999997E-2</v>
      </c>
      <c r="N3865">
        <v>-2.0302629999999999E-2</v>
      </c>
      <c r="O3865">
        <v>-0.99776969999999998</v>
      </c>
      <c r="P3865">
        <v>0.5036252</v>
      </c>
      <c r="Q3865">
        <v>-6.2470289999999998E-2</v>
      </c>
      <c r="R3865">
        <v>-0.86166100000000001</v>
      </c>
      <c r="S3865">
        <v>2.080902</v>
      </c>
      <c r="T3865">
        <v>-0.22040199999999999</v>
      </c>
      <c r="U3865">
        <v>-2.2529599999999999</v>
      </c>
      <c r="V3865">
        <v>-0.44768400000000003</v>
      </c>
      <c r="W3865">
        <v>-4.5505700000000003E-2</v>
      </c>
      <c r="X3865">
        <v>0.89303319999999997</v>
      </c>
      <c r="Y3865">
        <v>-0.6289439</v>
      </c>
      <c r="Z3865">
        <v>5.3392790000000002E-2</v>
      </c>
      <c r="AA3865">
        <v>0.7756151</v>
      </c>
      <c r="AB3865">
        <v>10</v>
      </c>
      <c r="AC3865">
        <v>0.60419999999999097</v>
      </c>
      <c r="AD3865">
        <v>-6.4938999999999802E-2</v>
      </c>
      <c r="AE3865">
        <v>-0.56749999999999501</v>
      </c>
      <c r="AF3865">
        <v>-0.56342342321134398</v>
      </c>
      <c r="AG3865">
        <v>-6.4938999999999802E-2</v>
      </c>
      <c r="AH3865">
        <v>0.60109134367711403</v>
      </c>
      <c r="AI3865">
        <v>94.506860787110398</v>
      </c>
      <c r="AJ3865">
        <v>133.14733080968301</v>
      </c>
      <c r="AK3865">
        <v>0.82642230789575599</v>
      </c>
      <c r="AL3865">
        <v>92.608185202862003</v>
      </c>
      <c r="AM3865">
        <v>116.624938860719</v>
      </c>
      <c r="AN3865">
        <v>1.00000001444536</v>
      </c>
    </row>
    <row r="3866" spans="1:40" x14ac:dyDescent="0.25">
      <c r="A3866" t="str">
        <f>"20190303153843893"</f>
        <v>20190303153843893</v>
      </c>
      <c r="B3866" t="str">
        <f>"1551598723882411"</f>
        <v>1551598723882411</v>
      </c>
      <c r="C3866" t="s">
        <v>40</v>
      </c>
      <c r="D3866">
        <v>4.1669879999999999</v>
      </c>
      <c r="E3866">
        <v>0.38657469999999999</v>
      </c>
      <c r="F3866" t="s">
        <v>51</v>
      </c>
      <c r="G3866">
        <v>-480.01909999999998</v>
      </c>
      <c r="H3866" s="1">
        <v>1.695513E-6</v>
      </c>
      <c r="I3866">
        <v>217.86580000000001</v>
      </c>
      <c r="J3866">
        <v>-491.63189999999997</v>
      </c>
      <c r="K3866">
        <v>1.122924</v>
      </c>
      <c r="L3866">
        <v>228.5864</v>
      </c>
      <c r="M3866">
        <v>6.6683800000000001E-2</v>
      </c>
      <c r="N3866">
        <v>-1.9507690000000001E-2</v>
      </c>
      <c r="O3866">
        <v>-0.99758360000000001</v>
      </c>
      <c r="P3866">
        <v>0.50759989999999999</v>
      </c>
      <c r="Q3866">
        <v>-6.334178E-2</v>
      </c>
      <c r="R3866">
        <v>-0.85926150000000001</v>
      </c>
      <c r="S3866">
        <v>2.287598</v>
      </c>
      <c r="T3866">
        <v>-0.2210268</v>
      </c>
      <c r="U3866">
        <v>-2.1286160000000001</v>
      </c>
      <c r="V3866">
        <v>-0.44902900000000001</v>
      </c>
      <c r="W3866">
        <v>-4.7207989999999998E-2</v>
      </c>
      <c r="X3866">
        <v>0.89226930000000004</v>
      </c>
      <c r="Y3866">
        <v>-0.68350169999999999</v>
      </c>
      <c r="Z3866">
        <v>5.335939E-2</v>
      </c>
      <c r="AA3866">
        <v>0.72799609999999904</v>
      </c>
      <c r="AB3866">
        <v>10</v>
      </c>
      <c r="AC3866">
        <v>11.612799999999901</v>
      </c>
      <c r="AD3866">
        <v>-1.122922304487</v>
      </c>
      <c r="AE3866">
        <v>-10.7205999999999</v>
      </c>
      <c r="AF3866">
        <v>-10.8173088456022</v>
      </c>
      <c r="AG3866">
        <v>-1.122922304487</v>
      </c>
      <c r="AH3866">
        <v>11.4136443368229</v>
      </c>
      <c r="AI3866">
        <v>94.084477463018501</v>
      </c>
      <c r="AJ3866">
        <v>133.463434522054</v>
      </c>
      <c r="AK3866">
        <v>15.765354490481601</v>
      </c>
      <c r="AL3866">
        <v>92.705824061650702</v>
      </c>
      <c r="AM3866">
        <v>116.713543363428</v>
      </c>
      <c r="AN3866">
        <v>1.0000000704416601</v>
      </c>
    </row>
    <row r="3867" spans="1:40" x14ac:dyDescent="0.25">
      <c r="A3867" t="str">
        <f>"20190303153843915"</f>
        <v>20190303153843915</v>
      </c>
      <c r="B3867" t="str">
        <f>"1551598723912666"</f>
        <v>1551598723912666</v>
      </c>
      <c r="C3867" t="s">
        <v>40</v>
      </c>
      <c r="D3867">
        <v>4.1638060000000001</v>
      </c>
      <c r="E3867">
        <v>0.38642959999999998</v>
      </c>
      <c r="F3867" t="s">
        <v>51</v>
      </c>
      <c r="G3867">
        <v>-480.13200000000001</v>
      </c>
      <c r="H3867" s="1">
        <v>1.7217299999999999E-6</v>
      </c>
      <c r="I3867">
        <v>218.0076</v>
      </c>
      <c r="J3867">
        <v>-491.62150000000003</v>
      </c>
      <c r="K3867">
        <v>1.1229209999999901</v>
      </c>
      <c r="L3867">
        <v>228.4915</v>
      </c>
      <c r="M3867">
        <v>6.9988369999999994E-2</v>
      </c>
      <c r="N3867">
        <v>-1.8794330000000001E-2</v>
      </c>
      <c r="O3867">
        <v>-0.99737089999999995</v>
      </c>
      <c r="P3867">
        <v>0.51110429999999996</v>
      </c>
      <c r="Q3867">
        <v>-6.4648189999999994E-2</v>
      </c>
      <c r="R3867">
        <v>-0.85708419999999896</v>
      </c>
      <c r="S3867">
        <v>2.3002319999999998</v>
      </c>
      <c r="T3867">
        <v>-0.22460930000000001</v>
      </c>
      <c r="U3867">
        <v>-2.1159970000000001</v>
      </c>
      <c r="V3867">
        <v>-0.44970880000000002</v>
      </c>
      <c r="W3867">
        <v>-4.9239930000000001E-2</v>
      </c>
      <c r="X3867">
        <v>0.89181690000000002</v>
      </c>
      <c r="Y3867">
        <v>-0.68517980000000001</v>
      </c>
      <c r="Z3867">
        <v>5.5316299999999999E-2</v>
      </c>
      <c r="AA3867">
        <v>0.72627050000000004</v>
      </c>
      <c r="AB3867">
        <v>10</v>
      </c>
      <c r="AC3867">
        <v>11.4895</v>
      </c>
      <c r="AD3867">
        <v>-1.1229192782699999</v>
      </c>
      <c r="AE3867">
        <v>-10.4839</v>
      </c>
      <c r="AF3867">
        <v>-10.6718110133073</v>
      </c>
      <c r="AG3867">
        <v>-1.1229192782699999</v>
      </c>
      <c r="AH3867">
        <v>11.204057509226899</v>
      </c>
      <c r="AI3867">
        <v>94.150798569179898</v>
      </c>
      <c r="AJ3867">
        <v>133.60625133226799</v>
      </c>
      <c r="AK3867">
        <v>15.513845515516801</v>
      </c>
      <c r="AL3867">
        <v>92.822381525984994</v>
      </c>
      <c r="AM3867">
        <v>116.760044256076</v>
      </c>
      <c r="AN3867">
        <v>0.99999997931472695</v>
      </c>
    </row>
    <row r="3868" spans="1:40" x14ac:dyDescent="0.25">
      <c r="A3868" t="str">
        <f>"20190303153843938"</f>
        <v>20190303153843938</v>
      </c>
      <c r="B3868" t="str">
        <f>"1551598723932186"</f>
        <v>1551598723932186</v>
      </c>
      <c r="C3868" t="s">
        <v>40</v>
      </c>
      <c r="D3868">
        <v>4.1972290000000001</v>
      </c>
      <c r="E3868">
        <v>0.38650489999999998</v>
      </c>
      <c r="F3868" t="s">
        <v>51</v>
      </c>
      <c r="G3868">
        <v>-480.25889999999998</v>
      </c>
      <c r="H3868" s="1">
        <v>1.7496890000000001E-6</v>
      </c>
      <c r="I3868">
        <v>218.13229999999999</v>
      </c>
      <c r="J3868">
        <v>-491.61079999999998</v>
      </c>
      <c r="K3868">
        <v>1.122924</v>
      </c>
      <c r="L3868">
        <v>228.39769999999999</v>
      </c>
      <c r="M3868">
        <v>7.3456199999999999E-2</v>
      </c>
      <c r="N3868">
        <v>-1.8166410000000001E-2</v>
      </c>
      <c r="O3868">
        <v>-0.99713300000000005</v>
      </c>
      <c r="P3868">
        <v>0.51532520000000004</v>
      </c>
      <c r="Q3868">
        <v>-6.6451990000000002E-2</v>
      </c>
      <c r="R3868">
        <v>-0.85441449999999997</v>
      </c>
      <c r="S3868">
        <v>2.3096920000000001</v>
      </c>
      <c r="T3868">
        <v>-0.2282566</v>
      </c>
      <c r="U3868">
        <v>-2.105728</v>
      </c>
      <c r="V3868">
        <v>-0.45100109999999899</v>
      </c>
      <c r="W3868">
        <v>-5.1681959999999999E-2</v>
      </c>
      <c r="X3868">
        <v>0.89102579999999998</v>
      </c>
      <c r="Y3868">
        <v>-0.68583039999999995</v>
      </c>
      <c r="Z3868">
        <v>5.7227029999999998E-2</v>
      </c>
      <c r="AA3868">
        <v>0.72550789999999998</v>
      </c>
      <c r="AB3868">
        <v>10</v>
      </c>
      <c r="AC3868">
        <v>11.351900000000001</v>
      </c>
      <c r="AD3868">
        <v>-1.1229222503109999</v>
      </c>
      <c r="AE3868">
        <v>-10.2654</v>
      </c>
      <c r="AF3868">
        <v>-10.5104617107223</v>
      </c>
      <c r="AG3868">
        <v>-1.1229222503109999</v>
      </c>
      <c r="AH3868">
        <v>11.0123827988538</v>
      </c>
      <c r="AI3868">
        <v>94.218749572324498</v>
      </c>
      <c r="AJ3868">
        <v>133.66408232246499</v>
      </c>
      <c r="AK3868">
        <v>15.2644467525454</v>
      </c>
      <c r="AL3868">
        <v>92.962478002891501</v>
      </c>
      <c r="AM3868">
        <v>116.846681937192</v>
      </c>
      <c r="AN3868">
        <v>0.99999999672814499</v>
      </c>
    </row>
    <row r="3869" spans="1:40" x14ac:dyDescent="0.25">
      <c r="A3869" t="str">
        <f>"20190303153843960"</f>
        <v>20190303153843960</v>
      </c>
      <c r="B3869" t="str">
        <f>"1551598723952682"</f>
        <v>1551598723952682</v>
      </c>
      <c r="C3869" t="s">
        <v>40</v>
      </c>
      <c r="D3869">
        <v>4.1391819999999999</v>
      </c>
      <c r="E3869">
        <v>0.38666610000000001</v>
      </c>
      <c r="F3869" t="s">
        <v>51</v>
      </c>
      <c r="G3869">
        <v>-480.57040000000001</v>
      </c>
      <c r="H3869" s="1">
        <v>1.8180209999999999E-6</v>
      </c>
      <c r="I3869">
        <v>218.43129999999999</v>
      </c>
      <c r="J3869">
        <v>-491.5994</v>
      </c>
      <c r="K3869">
        <v>1.122935</v>
      </c>
      <c r="L3869">
        <v>228.3038</v>
      </c>
      <c r="M3869">
        <v>7.7157310000000007E-2</v>
      </c>
      <c r="N3869">
        <v>-1.7590749999999999E-2</v>
      </c>
      <c r="O3869">
        <v>-0.99686379999999997</v>
      </c>
      <c r="P3869">
        <v>0.52028009999999902</v>
      </c>
      <c r="Q3869">
        <v>-6.702938E-2</v>
      </c>
      <c r="R3869">
        <v>-0.85136129999999999</v>
      </c>
      <c r="S3869">
        <v>2.319458</v>
      </c>
      <c r="T3869">
        <v>-0.23591380000000001</v>
      </c>
      <c r="U3869">
        <v>-2.093842</v>
      </c>
      <c r="V3869">
        <v>-0.45286080000000001</v>
      </c>
      <c r="W3869">
        <v>-5.285169E-2</v>
      </c>
      <c r="X3869">
        <v>0.89001330000000001</v>
      </c>
      <c r="Y3869">
        <v>-0.68656779999999995</v>
      </c>
      <c r="Z3869">
        <v>6.0424310000000002E-2</v>
      </c>
      <c r="AA3869">
        <v>0.72455059999999905</v>
      </c>
      <c r="AB3869">
        <v>10</v>
      </c>
      <c r="AC3869">
        <v>11.0289999999999</v>
      </c>
      <c r="AD3869">
        <v>-1.1229331819790001</v>
      </c>
      <c r="AE3869">
        <v>-9.8725000000000005</v>
      </c>
      <c r="AF3869">
        <v>-10.175695747770799</v>
      </c>
      <c r="AG3869">
        <v>-1.1229331819790001</v>
      </c>
      <c r="AH3869">
        <v>10.632965760844501</v>
      </c>
      <c r="AI3869">
        <v>94.3631678955349</v>
      </c>
      <c r="AJ3869">
        <v>133.741128746356</v>
      </c>
      <c r="AK3869">
        <v>14.760275192342499</v>
      </c>
      <c r="AL3869">
        <v>93.0295905040674</v>
      </c>
      <c r="AM3869">
        <v>116.96811872369901</v>
      </c>
      <c r="AN3869">
        <v>0.99999993974469104</v>
      </c>
    </row>
    <row r="3870" spans="1:40" x14ac:dyDescent="0.25">
      <c r="A3870" t="str">
        <f>"20190303153843983"</f>
        <v>20190303153843983</v>
      </c>
      <c r="B3870" t="str">
        <f>"1551598723972205"</f>
        <v>1551598723972205</v>
      </c>
      <c r="C3870" t="s">
        <v>40</v>
      </c>
      <c r="D3870">
        <v>4.1591709999999997</v>
      </c>
      <c r="E3870">
        <v>0.3865265</v>
      </c>
      <c r="F3870" t="s">
        <v>51</v>
      </c>
      <c r="G3870">
        <v>-480.71039999999999</v>
      </c>
      <c r="H3870" s="1">
        <v>1.8493630000000001E-6</v>
      </c>
      <c r="I3870">
        <v>218.58019999999999</v>
      </c>
      <c r="J3870">
        <v>-491.58659999999998</v>
      </c>
      <c r="K3870">
        <v>1.122962</v>
      </c>
      <c r="L3870">
        <v>228.20349999999999</v>
      </c>
      <c r="M3870">
        <v>8.1370579999999998E-2</v>
      </c>
      <c r="N3870">
        <v>-1.7028919999999999E-2</v>
      </c>
      <c r="O3870">
        <v>-0.99653860000000005</v>
      </c>
      <c r="P3870">
        <v>0.52625290000000002</v>
      </c>
      <c r="Q3870">
        <v>-6.7564990000000005E-2</v>
      </c>
      <c r="R3870">
        <v>-0.847639699999999</v>
      </c>
      <c r="S3870">
        <v>2.3302309999999999</v>
      </c>
      <c r="T3870">
        <v>-0.24030589999999999</v>
      </c>
      <c r="U3870">
        <v>-2.0808260000000001</v>
      </c>
      <c r="V3870">
        <v>-0.45534370000000002</v>
      </c>
      <c r="W3870">
        <v>-5.3987880000000002E-2</v>
      </c>
      <c r="X3870">
        <v>0.88867739999999995</v>
      </c>
      <c r="Y3870">
        <v>-0.68732919999999997</v>
      </c>
      <c r="Z3870">
        <v>6.2559160000000003E-2</v>
      </c>
      <c r="AA3870">
        <v>0.72364709999999999</v>
      </c>
      <c r="AB3870">
        <v>10</v>
      </c>
      <c r="AC3870">
        <v>10.8761999999999</v>
      </c>
      <c r="AD3870">
        <v>-1.1229601506369999</v>
      </c>
      <c r="AE3870">
        <v>-9.6233000000000004</v>
      </c>
      <c r="AF3870">
        <v>-9.9971797250386203</v>
      </c>
      <c r="AG3870">
        <v>-1.1229601506369999</v>
      </c>
      <c r="AH3870">
        <v>10.4142397420538</v>
      </c>
      <c r="AI3870">
        <v>94.447996506425596</v>
      </c>
      <c r="AJ3870">
        <v>133.82945651093399</v>
      </c>
      <c r="AK3870">
        <v>14.4796764936105</v>
      </c>
      <c r="AL3870">
        <v>93.094782150228497</v>
      </c>
      <c r="AM3870">
        <v>117.12985616914899</v>
      </c>
      <c r="AN3870">
        <v>1.00000004879367</v>
      </c>
    </row>
    <row r="3871" spans="1:40" x14ac:dyDescent="0.25">
      <c r="A3871" t="str">
        <f>"20190303153844007"</f>
        <v>20190303153844007</v>
      </c>
      <c r="B3871" t="str">
        <f>"1551598724002458"</f>
        <v>1551598724002458</v>
      </c>
      <c r="C3871" t="s">
        <v>40</v>
      </c>
      <c r="D3871">
        <v>4.1403040000000004</v>
      </c>
      <c r="E3871">
        <v>0.38666070000000002</v>
      </c>
      <c r="F3871" t="s">
        <v>51</v>
      </c>
      <c r="G3871">
        <v>-480.68830000000003</v>
      </c>
      <c r="H3871" s="1">
        <v>1.8469320000000001E-6</v>
      </c>
      <c r="I3871">
        <v>218.61439999999999</v>
      </c>
      <c r="J3871">
        <v>-491.57350000000002</v>
      </c>
      <c r="K3871">
        <v>1.1230150000000001</v>
      </c>
      <c r="L3871">
        <v>228.10550000000001</v>
      </c>
      <c r="M3871">
        <v>8.5743849999999996E-2</v>
      </c>
      <c r="N3871">
        <v>-1.6543240000000001E-2</v>
      </c>
      <c r="O3871">
        <v>-0.99617999999999995</v>
      </c>
      <c r="P3871">
        <v>0.53161199999999997</v>
      </c>
      <c r="Q3871">
        <v>-6.8765359999999998E-2</v>
      </c>
      <c r="R3871">
        <v>-0.8441921</v>
      </c>
      <c r="S3871">
        <v>2.34552</v>
      </c>
      <c r="T3871">
        <v>-0.2416818</v>
      </c>
      <c r="U3871">
        <v>-2.0637509999999999</v>
      </c>
      <c r="V3871">
        <v>-0.45706229999999998</v>
      </c>
      <c r="W3871">
        <v>-5.5728449999999999E-2</v>
      </c>
      <c r="X3871">
        <v>0.88768709999999995</v>
      </c>
      <c r="Y3871">
        <v>-0.68941609999999998</v>
      </c>
      <c r="Z3871">
        <v>6.3627959999999997E-2</v>
      </c>
      <c r="AA3871">
        <v>0.72156569999999998</v>
      </c>
      <c r="AB3871">
        <v>10</v>
      </c>
      <c r="AC3871">
        <v>10.8851999999999</v>
      </c>
      <c r="AD3871">
        <v>-1.1230131530680001</v>
      </c>
      <c r="AE3871">
        <v>-9.4911000000000101</v>
      </c>
      <c r="AF3871">
        <v>-9.9708950891917905</v>
      </c>
      <c r="AG3871">
        <v>-1.1230131530680001</v>
      </c>
      <c r="AH3871">
        <v>10.327157735474399</v>
      </c>
      <c r="AI3871">
        <v>94.473192412683005</v>
      </c>
      <c r="AJ3871">
        <v>133.994472497689</v>
      </c>
      <c r="AK3871">
        <v>14.398961570717599</v>
      </c>
      <c r="AL3871">
        <v>93.194660039268697</v>
      </c>
      <c r="AM3871">
        <v>117.24354141196299</v>
      </c>
      <c r="AN3871">
        <v>0.99999999686355101</v>
      </c>
    </row>
    <row r="3872" spans="1:40" x14ac:dyDescent="0.25">
      <c r="A3872" t="str">
        <f>"20190303153844029"</f>
        <v>20190303153844029</v>
      </c>
      <c r="B3872" t="str">
        <f>"1551598724022486"</f>
        <v>1551598724022486</v>
      </c>
      <c r="C3872" t="s">
        <v>40</v>
      </c>
      <c r="D3872">
        <v>4.1507829999999997</v>
      </c>
      <c r="E3872">
        <v>0.38676509999999997</v>
      </c>
      <c r="F3872" t="s">
        <v>51</v>
      </c>
      <c r="G3872">
        <v>-480.64269999999999</v>
      </c>
      <c r="H3872" s="1">
        <v>1.838392E-6</v>
      </c>
      <c r="I3872">
        <v>218.60419999999999</v>
      </c>
      <c r="J3872">
        <v>-491.5609</v>
      </c>
      <c r="K3872">
        <v>1.123089</v>
      </c>
      <c r="L3872">
        <v>228.01660000000001</v>
      </c>
      <c r="M3872">
        <v>8.9941170000000001E-2</v>
      </c>
      <c r="N3872">
        <v>-1.6163960000000002E-2</v>
      </c>
      <c r="O3872">
        <v>-0.99581589999999998</v>
      </c>
      <c r="P3872">
        <v>0.53671329999999995</v>
      </c>
      <c r="Q3872">
        <v>-7.0523710000000003E-2</v>
      </c>
      <c r="R3872">
        <v>-0.84081219999999901</v>
      </c>
      <c r="S3872">
        <v>2.357605</v>
      </c>
      <c r="T3872">
        <v>-0.24221609999999999</v>
      </c>
      <c r="U3872">
        <v>-2.0492859999999999</v>
      </c>
      <c r="V3872">
        <v>-0.45868789999999998</v>
      </c>
      <c r="W3872">
        <v>-5.7937349999999999E-2</v>
      </c>
      <c r="X3872">
        <v>0.88670669999999996</v>
      </c>
      <c r="Y3872">
        <v>-0.69069950000000002</v>
      </c>
      <c r="Z3872">
        <v>6.43209E-2</v>
      </c>
      <c r="AA3872">
        <v>0.72027580000000002</v>
      </c>
      <c r="AB3872">
        <v>10</v>
      </c>
      <c r="AC3872">
        <v>10.918200000000001</v>
      </c>
      <c r="AD3872">
        <v>-1.123087161608</v>
      </c>
      <c r="AE3872">
        <v>-9.4124000000000194</v>
      </c>
      <c r="AF3872">
        <v>-9.9667677785456092</v>
      </c>
      <c r="AG3872">
        <v>-1.123087161608</v>
      </c>
      <c r="AH3872">
        <v>10.293883587557399</v>
      </c>
      <c r="AI3872">
        <v>94.481816235433598</v>
      </c>
      <c r="AJ3872">
        <v>134.075018535108</v>
      </c>
      <c r="AK3872">
        <v>14.3722588356252</v>
      </c>
      <c r="AL3872">
        <v>93.3214254304159</v>
      </c>
      <c r="AM3872">
        <v>117.3522463747</v>
      </c>
      <c r="AN3872">
        <v>1.00000004897816</v>
      </c>
    </row>
    <row r="3873" spans="1:40" x14ac:dyDescent="0.25">
      <c r="A3873" t="str">
        <f>"20190303153844051"</f>
        <v>20190303153844051</v>
      </c>
      <c r="B3873" t="str">
        <f>"1551598724042006"</f>
        <v>1551598724042006</v>
      </c>
      <c r="C3873" t="s">
        <v>40</v>
      </c>
      <c r="D3873">
        <v>4.132879</v>
      </c>
      <c r="E3873">
        <v>0.38696370000000002</v>
      </c>
      <c r="F3873" t="s">
        <v>51</v>
      </c>
      <c r="G3873">
        <v>-480.73390000000001</v>
      </c>
      <c r="H3873" s="1">
        <v>1.859525E-6</v>
      </c>
      <c r="I3873">
        <v>218.71729999999999</v>
      </c>
      <c r="J3873">
        <v>-491.54660000000001</v>
      </c>
      <c r="K3873">
        <v>1.1231690000000001</v>
      </c>
      <c r="L3873">
        <v>227.92179999999999</v>
      </c>
      <c r="M3873">
        <v>9.4678970000000001E-2</v>
      </c>
      <c r="N3873">
        <v>-1.581842E-2</v>
      </c>
      <c r="O3873">
        <v>-0.9953824</v>
      </c>
      <c r="P3873">
        <v>0.54262359999999998</v>
      </c>
      <c r="Q3873">
        <v>-7.2448780000000004E-2</v>
      </c>
      <c r="R3873">
        <v>-0.83684579999999997</v>
      </c>
      <c r="S3873">
        <v>2.3692929999999999</v>
      </c>
      <c r="T3873">
        <v>-0.24576880000000001</v>
      </c>
      <c r="U3873">
        <v>-2.0349729999999999</v>
      </c>
      <c r="V3873">
        <v>-0.4607057</v>
      </c>
      <c r="W3873">
        <v>-6.0298369999999997E-2</v>
      </c>
      <c r="X3873">
        <v>0.88550229999999996</v>
      </c>
      <c r="Y3873">
        <v>-0.6914498</v>
      </c>
      <c r="Z3873">
        <v>6.5987100000000007E-2</v>
      </c>
      <c r="AA3873">
        <v>0.71940459999999995</v>
      </c>
      <c r="AB3873">
        <v>10</v>
      </c>
      <c r="AC3873">
        <v>10.8127</v>
      </c>
      <c r="AD3873">
        <v>-1.1231671404750001</v>
      </c>
      <c r="AE3873">
        <v>-9.2044999999999906</v>
      </c>
      <c r="AF3873">
        <v>-9.8310282955279895</v>
      </c>
      <c r="AG3873">
        <v>-1.1231671404750001</v>
      </c>
      <c r="AH3873">
        <v>10.1236681314381</v>
      </c>
      <c r="AI3873">
        <v>94.550673159272705</v>
      </c>
      <c r="AJ3873">
        <v>134.159805526876</v>
      </c>
      <c r="AK3873">
        <v>14.1562452016208</v>
      </c>
      <c r="AL3873">
        <v>93.456939189706105</v>
      </c>
      <c r="AM3873">
        <v>117.486883345919</v>
      </c>
      <c r="AN3873">
        <v>0.99999997937121798</v>
      </c>
    </row>
    <row r="3874" spans="1:40" x14ac:dyDescent="0.25">
      <c r="A3874" t="str">
        <f>"20190303153844073"</f>
        <v>20190303153844073</v>
      </c>
      <c r="B3874" t="str">
        <f>"1551598724062505"</f>
        <v>1551598724062505</v>
      </c>
      <c r="C3874" t="s">
        <v>40</v>
      </c>
      <c r="D3874">
        <v>4.1407160000000003</v>
      </c>
      <c r="E3874">
        <v>0.38718629999999998</v>
      </c>
      <c r="F3874" t="s">
        <v>51</v>
      </c>
      <c r="G3874">
        <v>-480.79750000000001</v>
      </c>
      <c r="H3874" s="1">
        <v>1.875069E-6</v>
      </c>
      <c r="I3874">
        <v>218.81479999999999</v>
      </c>
      <c r="J3874">
        <v>-491.53269999999998</v>
      </c>
      <c r="K3874">
        <v>1.1232390000000001</v>
      </c>
      <c r="L3874">
        <v>227.83340000000001</v>
      </c>
      <c r="M3874">
        <v>9.9338109999999993E-2</v>
      </c>
      <c r="N3874">
        <v>-1.5538440000000001E-2</v>
      </c>
      <c r="O3874">
        <v>-0.99493240000000005</v>
      </c>
      <c r="P3874">
        <v>0.54873619999999901</v>
      </c>
      <c r="Q3874">
        <v>-7.4167070000000002E-2</v>
      </c>
      <c r="R3874">
        <v>-0.83269939999999998</v>
      </c>
      <c r="S3874">
        <v>2.3824459999999998</v>
      </c>
      <c r="T3874">
        <v>-0.2489401</v>
      </c>
      <c r="U3874">
        <v>-2.018478</v>
      </c>
      <c r="V3874">
        <v>-0.46303499999999997</v>
      </c>
      <c r="W3874">
        <v>-6.2380779999999997E-2</v>
      </c>
      <c r="X3874">
        <v>0.88414210000000004</v>
      </c>
      <c r="Y3874">
        <v>-0.6928607</v>
      </c>
      <c r="Z3874">
        <v>6.7473850000000002E-2</v>
      </c>
      <c r="AA3874">
        <v>0.71790769999999904</v>
      </c>
      <c r="AB3874">
        <v>10</v>
      </c>
      <c r="AC3874">
        <v>10.735199999999899</v>
      </c>
      <c r="AD3874">
        <v>-1.12323712493099</v>
      </c>
      <c r="AE3874">
        <v>-9.0186000000000099</v>
      </c>
      <c r="AF3874">
        <v>-9.7236819134250094</v>
      </c>
      <c r="AG3874">
        <v>-1.12323712493099</v>
      </c>
      <c r="AH3874">
        <v>9.9764942657557292</v>
      </c>
      <c r="AI3874">
        <v>94.609616301071298</v>
      </c>
      <c r="AJ3874">
        <v>134.26476364569501</v>
      </c>
      <c r="AK3874">
        <v>13.976483442803</v>
      </c>
      <c r="AL3874">
        <v>93.576477494164294</v>
      </c>
      <c r="AM3874">
        <v>117.64154844994501</v>
      </c>
      <c r="AN3874">
        <v>1.0000000129654001</v>
      </c>
    </row>
    <row r="3875" spans="1:40" x14ac:dyDescent="0.25">
      <c r="A3875" t="str">
        <f>"20190303153844093"</f>
        <v>20190303153844093</v>
      </c>
      <c r="B3875" t="str">
        <f>"1551598724082021"</f>
        <v>1551598724082021</v>
      </c>
      <c r="C3875" t="s">
        <v>40</v>
      </c>
      <c r="D3875">
        <v>4.1434439999999997</v>
      </c>
      <c r="E3875">
        <v>0.3874823</v>
      </c>
      <c r="F3875" t="s">
        <v>51</v>
      </c>
      <c r="G3875">
        <v>-480.7955</v>
      </c>
      <c r="H3875" s="1">
        <v>1.876864E-6</v>
      </c>
      <c r="I3875">
        <v>218.86420000000001</v>
      </c>
      <c r="J3875">
        <v>-491.51819999999998</v>
      </c>
      <c r="K3875">
        <v>1.1232789999999999</v>
      </c>
      <c r="L3875">
        <v>227.74690000000001</v>
      </c>
      <c r="M3875">
        <v>0.10408530000000001</v>
      </c>
      <c r="N3875">
        <v>-1.5296229999999999E-2</v>
      </c>
      <c r="O3875">
        <v>-0.99445070000000002</v>
      </c>
      <c r="P3875">
        <v>0.5546025</v>
      </c>
      <c r="Q3875">
        <v>-7.5345549999999997E-2</v>
      </c>
      <c r="R3875">
        <v>-0.82869720000000002</v>
      </c>
      <c r="S3875">
        <v>2.395966</v>
      </c>
      <c r="T3875">
        <v>-0.2506466</v>
      </c>
      <c r="U3875">
        <v>-2.0014500000000002</v>
      </c>
      <c r="V3875">
        <v>-0.46505279999999999</v>
      </c>
      <c r="W3875">
        <v>-6.3853560000000004E-2</v>
      </c>
      <c r="X3875">
        <v>0.88297719999999902</v>
      </c>
      <c r="Y3875">
        <v>-0.69437890000000002</v>
      </c>
      <c r="Z3875">
        <v>6.8445409999999998E-2</v>
      </c>
      <c r="AA3875">
        <v>0.71634719999999996</v>
      </c>
      <c r="AB3875">
        <v>10</v>
      </c>
      <c r="AC3875">
        <v>10.7226999999999</v>
      </c>
      <c r="AD3875">
        <v>-1.1232771231359999</v>
      </c>
      <c r="AE3875">
        <v>-8.8826999999999998</v>
      </c>
      <c r="AF3875">
        <v>-9.6768018302016294</v>
      </c>
      <c r="AG3875">
        <v>-1.1232771231359999</v>
      </c>
      <c r="AH3875">
        <v>9.8863077092365597</v>
      </c>
      <c r="AI3875">
        <v>94.642052488728197</v>
      </c>
      <c r="AJ3875">
        <v>134.38642965918601</v>
      </c>
      <c r="AK3875">
        <v>13.8795290005844</v>
      </c>
      <c r="AL3875">
        <v>93.661029994783604</v>
      </c>
      <c r="AM3875">
        <v>117.77520275029499</v>
      </c>
      <c r="AN3875">
        <v>1.00000005981617</v>
      </c>
    </row>
    <row r="3876" spans="1:40" x14ac:dyDescent="0.25">
      <c r="A3876" t="str">
        <f>"20190303153844116"</f>
        <v>20190303153844116</v>
      </c>
      <c r="B3876" t="str">
        <f>"1551598724112278"</f>
        <v>1551598724112278</v>
      </c>
      <c r="C3876" t="s">
        <v>40</v>
      </c>
      <c r="D3876">
        <v>4.1369300000000004</v>
      </c>
      <c r="E3876">
        <v>0.3923374</v>
      </c>
      <c r="F3876" t="s">
        <v>51</v>
      </c>
      <c r="G3876">
        <v>-480.69799999999998</v>
      </c>
      <c r="H3876" s="1">
        <v>1.8579090000000001E-6</v>
      </c>
      <c r="I3876">
        <v>218.8261</v>
      </c>
      <c r="J3876">
        <v>-491.5027</v>
      </c>
      <c r="K3876">
        <v>1.1232949999999999</v>
      </c>
      <c r="L3876">
        <v>227.65710000000001</v>
      </c>
      <c r="M3876">
        <v>0.1092048</v>
      </c>
      <c r="N3876">
        <v>-1.5075170000000001E-2</v>
      </c>
      <c r="O3876">
        <v>-0.99390500000000004</v>
      </c>
      <c r="P3876">
        <v>0.56022910000000004</v>
      </c>
      <c r="Q3876">
        <v>-7.7113760000000003E-2</v>
      </c>
      <c r="R3876">
        <v>-0.82474049999999999</v>
      </c>
      <c r="S3876">
        <v>2.4083559999999999</v>
      </c>
      <c r="T3876">
        <v>-0.2500175</v>
      </c>
      <c r="U3876">
        <v>-1.9855959999999999</v>
      </c>
      <c r="V3876">
        <v>-0.4665185</v>
      </c>
      <c r="W3876">
        <v>-6.5863610000000003E-2</v>
      </c>
      <c r="X3876">
        <v>0.88205579999999995</v>
      </c>
      <c r="Y3876">
        <v>-0.69529600000000003</v>
      </c>
      <c r="Z3876">
        <v>6.8632609999999997E-2</v>
      </c>
      <c r="AA3876">
        <v>0.71543900000000005</v>
      </c>
      <c r="AB3876">
        <v>9</v>
      </c>
      <c r="AC3876">
        <v>10.804699999999899</v>
      </c>
      <c r="AD3876">
        <v>-1.123293142091</v>
      </c>
      <c r="AE3876">
        <v>-8.8310000000000102</v>
      </c>
      <c r="AF3876">
        <v>-9.7126328140900693</v>
      </c>
      <c r="AG3876">
        <v>-1.123293142091</v>
      </c>
      <c r="AH3876">
        <v>9.8941199656886898</v>
      </c>
      <c r="AI3876">
        <v>94.631897263499894</v>
      </c>
      <c r="AJ3876">
        <v>134.46966481527099</v>
      </c>
      <c r="AK3876">
        <v>13.910091069430401</v>
      </c>
      <c r="AL3876">
        <v>93.776440691111901</v>
      </c>
      <c r="AM3876">
        <v>117.874322110782</v>
      </c>
      <c r="AN3876">
        <v>0.99999998013906</v>
      </c>
    </row>
    <row r="3877" spans="1:40" x14ac:dyDescent="0.25">
      <c r="A3877" t="str">
        <f>"20190303153844139"</f>
        <v>20190303153844139</v>
      </c>
      <c r="B3877" t="str">
        <f>"1551598724132775"</f>
        <v>1551598724132775</v>
      </c>
      <c r="C3877" t="s">
        <v>40</v>
      </c>
      <c r="D3877">
        <v>4.1452119999999999</v>
      </c>
      <c r="E3877">
        <v>0.39234609999999998</v>
      </c>
      <c r="F3877" t="s">
        <v>51</v>
      </c>
      <c r="G3877">
        <v>-479.76260000000002</v>
      </c>
      <c r="H3877" s="1">
        <v>1.771656E-6</v>
      </c>
      <c r="I3877">
        <v>217.87649999999999</v>
      </c>
      <c r="J3877">
        <v>-491.48579999999998</v>
      </c>
      <c r="K3877">
        <v>1.1232879999999901</v>
      </c>
      <c r="L3877">
        <v>227.5643</v>
      </c>
      <c r="M3877">
        <v>0.1146853</v>
      </c>
      <c r="N3877">
        <v>-1.487685E-2</v>
      </c>
      <c r="O3877">
        <v>-0.99329049999999997</v>
      </c>
      <c r="P3877">
        <v>0.56590459999999998</v>
      </c>
      <c r="Q3877">
        <v>-7.8491290000000005E-2</v>
      </c>
      <c r="R3877">
        <v>-0.82072639999999997</v>
      </c>
      <c r="S3877">
        <v>2.391022</v>
      </c>
      <c r="T3877">
        <v>-0.22877259999999999</v>
      </c>
      <c r="U3877">
        <v>-1.991943</v>
      </c>
      <c r="V3877">
        <v>-0.46774260000000001</v>
      </c>
      <c r="W3877">
        <v>-6.7441199999999896E-2</v>
      </c>
      <c r="X3877">
        <v>0.88128799999999996</v>
      </c>
      <c r="Y3877">
        <v>-0.68800360000000005</v>
      </c>
      <c r="Z3877">
        <v>6.2131400000000003E-2</v>
      </c>
      <c r="AA3877">
        <v>0.72304269999999904</v>
      </c>
      <c r="AB3877">
        <v>9</v>
      </c>
      <c r="AC3877">
        <v>11.723199999999901</v>
      </c>
      <c r="AD3877">
        <v>-1.1232862283439999</v>
      </c>
      <c r="AE3877">
        <v>-9.68780000000001</v>
      </c>
      <c r="AF3877">
        <v>-10.4775010900058</v>
      </c>
      <c r="AG3877">
        <v>-1.1232862283439999</v>
      </c>
      <c r="AH3877">
        <v>10.9089786626182</v>
      </c>
      <c r="AI3877">
        <v>94.247211567851593</v>
      </c>
      <c r="AJ3877">
        <v>133.84420013464</v>
      </c>
      <c r="AK3877">
        <v>15.1672547451186</v>
      </c>
      <c r="AL3877">
        <v>93.867031336016595</v>
      </c>
      <c r="AM3877">
        <v>117.957076431722</v>
      </c>
      <c r="AN3877">
        <v>0.99999999712809995</v>
      </c>
    </row>
    <row r="3878" spans="1:40" x14ac:dyDescent="0.25">
      <c r="A3878" t="str">
        <f>"20190303153844162"</f>
        <v>20190303153844162</v>
      </c>
      <c r="B3878" t="str">
        <f>"1551598724152297"</f>
        <v>1551598724152297</v>
      </c>
      <c r="C3878" t="s">
        <v>40</v>
      </c>
      <c r="D3878">
        <v>4.1106160000000003</v>
      </c>
      <c r="E3878">
        <v>0.39245350000000001</v>
      </c>
      <c r="F3878" t="s">
        <v>51</v>
      </c>
      <c r="G3878">
        <v>-479.8587</v>
      </c>
      <c r="H3878" s="1">
        <v>1.7351079999999999E-6</v>
      </c>
      <c r="I3878">
        <v>218.01580000000001</v>
      </c>
      <c r="J3878">
        <v>-491.4683</v>
      </c>
      <c r="K3878">
        <v>1.1232799999999901</v>
      </c>
      <c r="L3878">
        <v>227.4717</v>
      </c>
      <c r="M3878">
        <v>0.120341</v>
      </c>
      <c r="N3878">
        <v>-1.4706530000000001E-2</v>
      </c>
      <c r="O3878">
        <v>-0.9926239</v>
      </c>
      <c r="P3878">
        <v>0.5718164</v>
      </c>
      <c r="Q3878">
        <v>-7.9661270000000006E-2</v>
      </c>
      <c r="R3878">
        <v>-0.81650519999999904</v>
      </c>
      <c r="S3878">
        <v>2.4048769999999999</v>
      </c>
      <c r="T3878">
        <v>-0.23233429999999999</v>
      </c>
      <c r="U3878">
        <v>-1.97496</v>
      </c>
      <c r="V3878">
        <v>-0.46909240000000002</v>
      </c>
      <c r="W3878">
        <v>-6.8783720000000007E-2</v>
      </c>
      <c r="X3878">
        <v>0.88046650000000004</v>
      </c>
      <c r="Y3878">
        <v>-0.68889829999999996</v>
      </c>
      <c r="Z3878">
        <v>6.364649E-2</v>
      </c>
      <c r="AA3878">
        <v>0.72205839999999999</v>
      </c>
      <c r="AB3878">
        <v>9</v>
      </c>
      <c r="AC3878">
        <v>11.6096</v>
      </c>
      <c r="AD3878">
        <v>-1.1232782648919999</v>
      </c>
      <c r="AE3878">
        <v>-9.4558999999999802</v>
      </c>
      <c r="AF3878">
        <v>-10.329024434983401</v>
      </c>
      <c r="AG3878">
        <v>-1.1232782648919999</v>
      </c>
      <c r="AH3878">
        <v>10.724073263097599</v>
      </c>
      <c r="AI3878">
        <v>94.314303012782105</v>
      </c>
      <c r="AJ3878">
        <v>133.92500501040101</v>
      </c>
      <c r="AK3878">
        <v>14.9317194988102</v>
      </c>
      <c r="AL3878">
        <v>93.944130841822101</v>
      </c>
      <c r="AM3878">
        <v>118.047669641962</v>
      </c>
      <c r="AN3878">
        <v>1.00000006874852</v>
      </c>
    </row>
    <row r="3879" spans="1:40" x14ac:dyDescent="0.25">
      <c r="A3879" t="str">
        <f>"20190303153844183"</f>
        <v>20190303153844183</v>
      </c>
      <c r="B3879" t="str">
        <f>"1551598724172794"</f>
        <v>1551598724172794</v>
      </c>
      <c r="C3879" t="s">
        <v>40</v>
      </c>
      <c r="D3879">
        <v>4.1331610000000003</v>
      </c>
      <c r="E3879">
        <v>0.39282909999999999</v>
      </c>
      <c r="F3879" t="s">
        <v>51</v>
      </c>
      <c r="G3879">
        <v>-479.99349999999998</v>
      </c>
      <c r="H3879" s="1">
        <v>1.7047479999999901E-6</v>
      </c>
      <c r="I3879">
        <v>218.18119999999999</v>
      </c>
      <c r="J3879">
        <v>-491.45119999999997</v>
      </c>
      <c r="K3879">
        <v>1.1232799999999901</v>
      </c>
      <c r="L3879">
        <v>227.38489999999999</v>
      </c>
      <c r="M3879">
        <v>0.1258088</v>
      </c>
      <c r="N3879">
        <v>-1.456989E-2</v>
      </c>
      <c r="O3879">
        <v>-0.99194760000000004</v>
      </c>
      <c r="P3879">
        <v>0.57704309999999903</v>
      </c>
      <c r="Q3879">
        <v>-8.0966189999999993E-2</v>
      </c>
      <c r="R3879">
        <v>-0.81269069999999899</v>
      </c>
      <c r="S3879">
        <v>2.4180299999999999</v>
      </c>
      <c r="T3879">
        <v>-0.23670330000000001</v>
      </c>
      <c r="U3879">
        <v>-1.9577329999999999</v>
      </c>
      <c r="V3879">
        <v>-0.46989649999999999</v>
      </c>
      <c r="W3879">
        <v>-7.0234160000000004E-2</v>
      </c>
      <c r="X3879">
        <v>0.87992300000000001</v>
      </c>
      <c r="Y3879">
        <v>-0.68985050000000003</v>
      </c>
      <c r="Z3879">
        <v>6.5408869999999994E-2</v>
      </c>
      <c r="AA3879">
        <v>0.72099099999999905</v>
      </c>
      <c r="AB3879">
        <v>9</v>
      </c>
      <c r="AC3879">
        <v>11.4576999999999</v>
      </c>
      <c r="AD3879">
        <v>-1.12327829525199</v>
      </c>
      <c r="AE3879">
        <v>-9.2036999999999907</v>
      </c>
      <c r="AF3879">
        <v>-10.149323884181999</v>
      </c>
      <c r="AG3879">
        <v>-1.12327829525199</v>
      </c>
      <c r="AH3879">
        <v>10.5107868971636</v>
      </c>
      <c r="AI3879">
        <v>94.396149760770001</v>
      </c>
      <c r="AJ3879">
        <v>133.99767273447901</v>
      </c>
      <c r="AK3879">
        <v>14.654254352651201</v>
      </c>
      <c r="AL3879">
        <v>94.027436611612302</v>
      </c>
      <c r="AM3879">
        <v>118.103109634731</v>
      </c>
      <c r="AN3879">
        <v>1.0000000219360701</v>
      </c>
    </row>
    <row r="3880" spans="1:40" x14ac:dyDescent="0.25">
      <c r="A3880" t="str">
        <f>"20190303153844205"</f>
        <v>20190303153844205</v>
      </c>
      <c r="B3880" t="str">
        <f>"1551598724202070"</f>
        <v>1551598724202070</v>
      </c>
      <c r="C3880" t="s">
        <v>40</v>
      </c>
      <c r="D3880">
        <v>4.1022189999999998</v>
      </c>
      <c r="E3880">
        <v>0.39283079999999998</v>
      </c>
      <c r="F3880" t="s">
        <v>51</v>
      </c>
      <c r="G3880">
        <v>-480.09230000000002</v>
      </c>
      <c r="H3880" s="1">
        <v>1.727209E-6</v>
      </c>
      <c r="I3880">
        <v>218.29390000000001</v>
      </c>
      <c r="J3880">
        <v>-491.43340000000001</v>
      </c>
      <c r="K3880">
        <v>1.123289</v>
      </c>
      <c r="L3880">
        <v>227.29830000000001</v>
      </c>
      <c r="M3880">
        <v>0.13143550000000001</v>
      </c>
      <c r="N3880">
        <v>-1.4453239999999999E-2</v>
      </c>
      <c r="O3880">
        <v>-0.99121939999999997</v>
      </c>
      <c r="P3880">
        <v>0.5830533</v>
      </c>
      <c r="Q3880">
        <v>-8.329963E-2</v>
      </c>
      <c r="R3880">
        <v>-0.80815230000000005</v>
      </c>
      <c r="S3880">
        <v>2.4281619999999999</v>
      </c>
      <c r="T3880">
        <v>-0.24012149999999999</v>
      </c>
      <c r="U3880">
        <v>-1.9433750000000001</v>
      </c>
      <c r="V3880">
        <v>-0.47144190000000002</v>
      </c>
      <c r="W3880">
        <v>-7.2720859999999998E-2</v>
      </c>
      <c r="X3880">
        <v>0.87889379999999995</v>
      </c>
      <c r="Y3880">
        <v>-0.68974369999999996</v>
      </c>
      <c r="Z3880">
        <v>6.6843639999999996E-2</v>
      </c>
      <c r="AA3880">
        <v>0.72096159999999998</v>
      </c>
      <c r="AB3880">
        <v>9</v>
      </c>
      <c r="AC3880">
        <v>11.3410999999999</v>
      </c>
      <c r="AD3880">
        <v>-1.1232872727909999</v>
      </c>
      <c r="AE3880">
        <v>-9.0044000000000004</v>
      </c>
      <c r="AF3880">
        <v>-9.9989068582431102</v>
      </c>
      <c r="AG3880">
        <v>-1.1232872727909999</v>
      </c>
      <c r="AH3880">
        <v>10.3547417511581</v>
      </c>
      <c r="AI3880">
        <v>94.462113194527504</v>
      </c>
      <c r="AJ3880">
        <v>133.99842228705299</v>
      </c>
      <c r="AK3880">
        <v>14.438164335891599</v>
      </c>
      <c r="AL3880">
        <v>94.170279304803103</v>
      </c>
      <c r="AM3880">
        <v>118.209274184026</v>
      </c>
      <c r="AN3880">
        <v>1.00000005011659</v>
      </c>
    </row>
    <row r="3881" spans="1:40" x14ac:dyDescent="0.25">
      <c r="A3881" t="str">
        <f>"20190303153844241"</f>
        <v>20190303153844241</v>
      </c>
      <c r="B3881" t="str">
        <f>"1551598724232326"</f>
        <v>1551598724232326</v>
      </c>
      <c r="C3881" t="s">
        <v>40</v>
      </c>
      <c r="D3881">
        <v>4.1606009999999998</v>
      </c>
      <c r="E3881">
        <v>0.39555839999999998</v>
      </c>
      <c r="F3881" t="s">
        <v>51</v>
      </c>
      <c r="G3881">
        <v>-480.26119999999997</v>
      </c>
      <c r="H3881" s="1">
        <v>1.7659699999999999E-6</v>
      </c>
      <c r="I3881">
        <v>218.49549999999999</v>
      </c>
      <c r="J3881">
        <v>-491.40309999999999</v>
      </c>
      <c r="K3881">
        <v>1.1233310000000001</v>
      </c>
      <c r="L3881">
        <v>227.1585</v>
      </c>
      <c r="M3881">
        <v>0.14089409999999999</v>
      </c>
      <c r="N3881">
        <v>-1.4303049999999999E-2</v>
      </c>
      <c r="O3881">
        <v>-0.98992159999999996</v>
      </c>
      <c r="P3881">
        <v>0.59198629999999997</v>
      </c>
      <c r="Q3881">
        <v>-8.6702909999999994E-2</v>
      </c>
      <c r="R3881">
        <v>-0.80127099999999996</v>
      </c>
      <c r="S3881">
        <v>2.4426269999999999</v>
      </c>
      <c r="T3881">
        <v>-0.245589</v>
      </c>
      <c r="U3881">
        <v>-1.9245909999999999</v>
      </c>
      <c r="V3881">
        <v>-0.4728251</v>
      </c>
      <c r="W3881">
        <v>-7.6349249999999994E-2</v>
      </c>
      <c r="X3881">
        <v>0.87784240000000002</v>
      </c>
      <c r="Y3881">
        <v>-0.68822320000000003</v>
      </c>
      <c r="Z3881">
        <v>6.9068080000000004E-2</v>
      </c>
      <c r="AA3881">
        <v>0.72220379999999995</v>
      </c>
      <c r="AB3881">
        <v>9</v>
      </c>
      <c r="AC3881">
        <v>11.1419</v>
      </c>
      <c r="AD3881">
        <v>-1.1233292340299901</v>
      </c>
      <c r="AE3881">
        <v>-8.6630000000000091</v>
      </c>
      <c r="AF3881">
        <v>-9.7482873967062496</v>
      </c>
      <c r="AG3881">
        <v>-1.1233292340299901</v>
      </c>
      <c r="AH3881">
        <v>10.082680258741201</v>
      </c>
      <c r="AI3881">
        <v>94.579445346469797</v>
      </c>
      <c r="AJ3881">
        <v>134.033961203139</v>
      </c>
      <c r="AK3881">
        <v>14.069520849581901</v>
      </c>
      <c r="AL3881">
        <v>94.378750812677794</v>
      </c>
      <c r="AM3881">
        <v>118.307876033132</v>
      </c>
      <c r="AN3881">
        <v>1.0000000312016599</v>
      </c>
    </row>
    <row r="3882" spans="1:40" x14ac:dyDescent="0.25">
      <c r="A3882" t="str">
        <f>"20190303153844262"</f>
        <v>20190303153844262</v>
      </c>
      <c r="B3882" t="str">
        <f>"1551598724251845"</f>
        <v>1551598724251845</v>
      </c>
      <c r="C3882" t="s">
        <v>40</v>
      </c>
      <c r="D3882">
        <v>4.1490589999999896</v>
      </c>
      <c r="E3882">
        <v>0.3956056</v>
      </c>
      <c r="F3882" t="s">
        <v>51</v>
      </c>
      <c r="G3882">
        <v>-480.08440000000002</v>
      </c>
      <c r="H3882" s="1">
        <v>1.7270829999999999E-6</v>
      </c>
      <c r="I3882">
        <v>218.32329999999999</v>
      </c>
      <c r="J3882">
        <v>-491.38339999999999</v>
      </c>
      <c r="K3882">
        <v>1.1233580000000001</v>
      </c>
      <c r="L3882">
        <v>227.07169999999999</v>
      </c>
      <c r="M3882">
        <v>0.14697879999999899</v>
      </c>
      <c r="N3882">
        <v>-1.4228319999999999E-2</v>
      </c>
      <c r="O3882">
        <v>-0.98903739999999996</v>
      </c>
      <c r="P3882">
        <v>0.59790519999999903</v>
      </c>
      <c r="Q3882">
        <v>-8.8232720000000001E-2</v>
      </c>
      <c r="R3882">
        <v>-0.79669609999999902</v>
      </c>
      <c r="S3882">
        <v>2.4468380000000001</v>
      </c>
      <c r="T3882">
        <v>-0.24283669999999999</v>
      </c>
      <c r="U3882">
        <v>-1.9099429999999999</v>
      </c>
      <c r="V3882">
        <v>-0.47393849999999998</v>
      </c>
      <c r="W3882">
        <v>-7.7999730000000003E-2</v>
      </c>
      <c r="X3882">
        <v>0.87709649999999995</v>
      </c>
      <c r="Y3882">
        <v>-0.68709180000000003</v>
      </c>
      <c r="Z3882">
        <v>6.8523940000000005E-2</v>
      </c>
      <c r="AA3882">
        <v>0.72333219999999898</v>
      </c>
      <c r="AB3882">
        <v>9</v>
      </c>
      <c r="AC3882">
        <v>11.2989999999999</v>
      </c>
      <c r="AD3882">
        <v>-1.1233562729169999</v>
      </c>
      <c r="AE3882">
        <v>-8.7484000000000002</v>
      </c>
      <c r="AF3882">
        <v>-9.8295596469881694</v>
      </c>
      <c r="AG3882">
        <v>-1.1233562729169999</v>
      </c>
      <c r="AH3882">
        <v>10.2509027035026</v>
      </c>
      <c r="AI3882">
        <v>94.522541791660501</v>
      </c>
      <c r="AJ3882">
        <v>133.797954127818</v>
      </c>
      <c r="AK3882">
        <v>14.2465146055545</v>
      </c>
      <c r="AL3882">
        <v>94.473599531464998</v>
      </c>
      <c r="AM3882">
        <v>118.38454010846399</v>
      </c>
      <c r="AN3882">
        <v>0.99999996498728505</v>
      </c>
    </row>
    <row r="3883" spans="1:40" x14ac:dyDescent="0.25">
      <c r="A3883" t="str">
        <f>"20190303153844285"</f>
        <v>20190303153844285</v>
      </c>
      <c r="B3883" t="str">
        <f>"1551598724282102"</f>
        <v>1551598724282102</v>
      </c>
      <c r="C3883" t="s">
        <v>40</v>
      </c>
      <c r="D3883">
        <v>4.1642400000000004</v>
      </c>
      <c r="E3883">
        <v>0.39616669999999998</v>
      </c>
      <c r="F3883" t="s">
        <v>51</v>
      </c>
      <c r="G3883">
        <v>-480.14830000000001</v>
      </c>
      <c r="H3883" s="1">
        <v>1.74331E-6</v>
      </c>
      <c r="I3883">
        <v>218.43520000000001</v>
      </c>
      <c r="J3883">
        <v>-491.36290000000002</v>
      </c>
      <c r="K3883">
        <v>1.123367</v>
      </c>
      <c r="L3883">
        <v>226.9854</v>
      </c>
      <c r="M3883">
        <v>0.15318419999999999</v>
      </c>
      <c r="N3883">
        <v>-1.4164889999999999E-2</v>
      </c>
      <c r="O3883">
        <v>-0.98809619999999998</v>
      </c>
      <c r="P3883">
        <v>0.60370230000000003</v>
      </c>
      <c r="Q3883">
        <v>-8.8503230000000002E-2</v>
      </c>
      <c r="R3883">
        <v>-0.7922825</v>
      </c>
      <c r="S3883">
        <v>2.4607239999999999</v>
      </c>
      <c r="T3883">
        <v>-0.24603900000000001</v>
      </c>
      <c r="U3883">
        <v>-1.8915709999999999</v>
      </c>
      <c r="V3883">
        <v>-0.47482980000000002</v>
      </c>
      <c r="W3883">
        <v>-7.8360920000000001E-2</v>
      </c>
      <c r="X3883">
        <v>0.87658210000000003</v>
      </c>
      <c r="Y3883">
        <v>-0.68783509999999903</v>
      </c>
      <c r="Z3883">
        <v>6.9840830000000007E-2</v>
      </c>
      <c r="AA3883">
        <v>0.72249929999999996</v>
      </c>
      <c r="AB3883">
        <v>9</v>
      </c>
      <c r="AC3883">
        <v>11.214600000000001</v>
      </c>
      <c r="AD3883">
        <v>-1.1233652566900001</v>
      </c>
      <c r="AE3883">
        <v>-8.5501999999999896</v>
      </c>
      <c r="AF3883">
        <v>-9.71070853445441</v>
      </c>
      <c r="AG3883">
        <v>-1.1233652566900001</v>
      </c>
      <c r="AH3883">
        <v>10.103228959349901</v>
      </c>
      <c r="AI3883">
        <v>94.583264357105705</v>
      </c>
      <c r="AJ3883">
        <v>133.86510077099501</v>
      </c>
      <c r="AK3883">
        <v>14.0582731921851</v>
      </c>
      <c r="AL3883">
        <v>94.494357684021494</v>
      </c>
      <c r="AM3883">
        <v>118.443661172932</v>
      </c>
      <c r="AN3883">
        <v>0.99999997539584795</v>
      </c>
    </row>
    <row r="3884" spans="1:40" x14ac:dyDescent="0.25">
      <c r="A3884" t="str">
        <f>"20190303153844308"</f>
        <v>20190303153844308</v>
      </c>
      <c r="B3884" t="str">
        <f>"1551598724302598"</f>
        <v>1551598724302598</v>
      </c>
      <c r="C3884" t="s">
        <v>40</v>
      </c>
      <c r="D3884">
        <v>4.1730980000000004</v>
      </c>
      <c r="E3884">
        <v>0.39618779999999998</v>
      </c>
      <c r="F3884" t="s">
        <v>51</v>
      </c>
      <c r="G3884">
        <v>-480.07260000000002</v>
      </c>
      <c r="H3884" s="1">
        <v>1.7288390000000001E-6</v>
      </c>
      <c r="I3884">
        <v>218.41139999999999</v>
      </c>
      <c r="J3884">
        <v>-491.34120000000001</v>
      </c>
      <c r="K3884">
        <v>1.1233610000000001</v>
      </c>
      <c r="L3884">
        <v>226.89670000000001</v>
      </c>
      <c r="M3884">
        <v>0.159722799999999</v>
      </c>
      <c r="N3884">
        <v>-1.4109450000000001E-2</v>
      </c>
      <c r="O3884">
        <v>-0.98706099999999997</v>
      </c>
      <c r="P3884">
        <v>0.60929040000000001</v>
      </c>
      <c r="Q3884">
        <v>-8.8801660000000004E-2</v>
      </c>
      <c r="R3884">
        <v>-0.78795879999999996</v>
      </c>
      <c r="S3884">
        <v>2.4708860000000001</v>
      </c>
      <c r="T3884">
        <v>-0.24584710000000001</v>
      </c>
      <c r="U3884">
        <v>-1.876404</v>
      </c>
      <c r="V3884">
        <v>-0.4752268</v>
      </c>
      <c r="W3884">
        <v>-7.8725550000000005E-2</v>
      </c>
      <c r="X3884">
        <v>0.87633419999999895</v>
      </c>
      <c r="Y3884">
        <v>-0.68727669999999996</v>
      </c>
      <c r="Z3884">
        <v>7.0027270000000003E-2</v>
      </c>
      <c r="AA3884">
        <v>0.7230124</v>
      </c>
      <c r="AB3884">
        <v>9</v>
      </c>
      <c r="AC3884">
        <v>11.2685999999999</v>
      </c>
      <c r="AD3884">
        <v>-1.1233592711609901</v>
      </c>
      <c r="AE3884">
        <v>-8.48530000000002</v>
      </c>
      <c r="AF3884">
        <v>-9.7069117852245395</v>
      </c>
      <c r="AG3884">
        <v>-1.1233592711609901</v>
      </c>
      <c r="AH3884">
        <v>10.1122431537963</v>
      </c>
      <c r="AI3884">
        <v>94.581979762351907</v>
      </c>
      <c r="AJ3884">
        <v>133.82837892333501</v>
      </c>
      <c r="AK3884">
        <v>14.0621312061769</v>
      </c>
      <c r="AL3884">
        <v>94.515314405028207</v>
      </c>
      <c r="AM3884">
        <v>118.470510222638</v>
      </c>
      <c r="AN3884">
        <v>0.99999992687533801</v>
      </c>
    </row>
    <row r="3885" spans="1:40" x14ac:dyDescent="0.25">
      <c r="A3885" t="str">
        <f>"20190303153844328"</f>
        <v>20190303153844328</v>
      </c>
      <c r="B3885" t="str">
        <f>"1551598724322118"</f>
        <v>1551598724322118</v>
      </c>
      <c r="C3885" t="s">
        <v>40</v>
      </c>
      <c r="D3885">
        <v>4.1627789999999996</v>
      </c>
      <c r="E3885">
        <v>0.39641140000000002</v>
      </c>
      <c r="F3885" t="s">
        <v>51</v>
      </c>
      <c r="G3885">
        <v>-480.02609999999999</v>
      </c>
      <c r="H3885" s="1">
        <v>1.7214040000000001E-6</v>
      </c>
      <c r="I3885">
        <v>218.4297</v>
      </c>
      <c r="J3885">
        <v>-491.32049999999998</v>
      </c>
      <c r="K3885">
        <v>1.1233500000000001</v>
      </c>
      <c r="L3885">
        <v>226.815</v>
      </c>
      <c r="M3885">
        <v>0.16590009999999999</v>
      </c>
      <c r="N3885">
        <v>-1.406663E-2</v>
      </c>
      <c r="O3885">
        <v>-0.98604230000000004</v>
      </c>
      <c r="P3885">
        <v>0.6142107</v>
      </c>
      <c r="Q3885">
        <v>-9.0944079999999997E-2</v>
      </c>
      <c r="R3885">
        <v>-0.78388449999999998</v>
      </c>
      <c r="S3885">
        <v>2.4840390000000001</v>
      </c>
      <c r="T3885">
        <v>-0.2466141</v>
      </c>
      <c r="U3885">
        <v>-1.858765</v>
      </c>
      <c r="V3885">
        <v>-0.47525440000000002</v>
      </c>
      <c r="W3885">
        <v>-8.0916450000000001E-2</v>
      </c>
      <c r="X3885">
        <v>0.87611969999999995</v>
      </c>
      <c r="Y3885">
        <v>-0.68784230000000002</v>
      </c>
      <c r="Z3885">
        <v>7.0498259999999993E-2</v>
      </c>
      <c r="AA3885">
        <v>0.72242850000000003</v>
      </c>
      <c r="AB3885">
        <v>9</v>
      </c>
      <c r="AC3885">
        <v>11.2943999999999</v>
      </c>
      <c r="AD3885">
        <v>-1.1233482785959901</v>
      </c>
      <c r="AE3885">
        <v>-8.3853000000000009</v>
      </c>
      <c r="AF3885">
        <v>-9.6848350237829397</v>
      </c>
      <c r="AG3885">
        <v>-1.1233482785959901</v>
      </c>
      <c r="AH3885">
        <v>10.0787307857616</v>
      </c>
      <c r="AI3885">
        <v>94.594815770784606</v>
      </c>
      <c r="AJ3885">
        <v>133.85822338821299</v>
      </c>
      <c r="AK3885">
        <v>14.0227941240245</v>
      </c>
      <c r="AL3885">
        <v>94.641245369884402</v>
      </c>
      <c r="AM3885">
        <v>118.47778288322399</v>
      </c>
      <c r="AN3885">
        <v>0.99999997266402596</v>
      </c>
    </row>
    <row r="3886" spans="1:40" x14ac:dyDescent="0.25">
      <c r="A3886" t="str">
        <f>"20190303153844353"</f>
        <v>20190303153844353</v>
      </c>
      <c r="B3886" t="str">
        <f>"1551598724342613"</f>
        <v>1551598724342613</v>
      </c>
      <c r="C3886" t="s">
        <v>40</v>
      </c>
      <c r="D3886">
        <v>4.1711080000000003</v>
      </c>
      <c r="E3886">
        <v>0.39678819999999998</v>
      </c>
      <c r="F3886" t="s">
        <v>51</v>
      </c>
      <c r="G3886">
        <v>-480.20280000000002</v>
      </c>
      <c r="H3886" s="1">
        <v>1.760096E-6</v>
      </c>
      <c r="I3886">
        <v>218.59809999999999</v>
      </c>
      <c r="J3886">
        <v>-491.29640000000001</v>
      </c>
      <c r="K3886">
        <v>1.1233409999999999</v>
      </c>
      <c r="L3886">
        <v>226.7234</v>
      </c>
      <c r="M3886">
        <v>0.17300689999999999</v>
      </c>
      <c r="N3886">
        <v>-1.402747E-2</v>
      </c>
      <c r="O3886">
        <v>-0.98482080000000005</v>
      </c>
      <c r="P3886">
        <v>0.61972919999999998</v>
      </c>
      <c r="Q3886">
        <v>-9.2844670000000004E-2</v>
      </c>
      <c r="R3886">
        <v>-0.77930429999999995</v>
      </c>
      <c r="S3886">
        <v>2.4942929999999999</v>
      </c>
      <c r="T3886">
        <v>-0.25202609999999998</v>
      </c>
      <c r="U3886">
        <v>-1.843475</v>
      </c>
      <c r="V3886">
        <v>-0.47514889999999999</v>
      </c>
      <c r="W3886">
        <v>-8.2863599999999996E-2</v>
      </c>
      <c r="X3886">
        <v>0.87599499999999997</v>
      </c>
      <c r="Y3886">
        <v>-0.6867818</v>
      </c>
      <c r="Z3886">
        <v>7.2553939999999997E-2</v>
      </c>
      <c r="AA3886">
        <v>0.72323349999999997</v>
      </c>
      <c r="AB3886">
        <v>9</v>
      </c>
      <c r="AC3886">
        <v>11.093599999999901</v>
      </c>
      <c r="AD3886">
        <v>-1.1233392399040001</v>
      </c>
      <c r="AE3886">
        <v>-8.12530000000001</v>
      </c>
      <c r="AF3886">
        <v>-9.4572972523400196</v>
      </c>
      <c r="AG3886">
        <v>-1.1233392399040001</v>
      </c>
      <c r="AH3886">
        <v>9.8564318376283495</v>
      </c>
      <c r="AI3886">
        <v>94.701251990872294</v>
      </c>
      <c r="AJ3886">
        <v>133.81610266194301</v>
      </c>
      <c r="AK3886">
        <v>13.705896940253099</v>
      </c>
      <c r="AL3886">
        <v>94.753184478458607</v>
      </c>
      <c r="AM3886">
        <v>118.475869757035</v>
      </c>
      <c r="AN3886">
        <v>1.0000000467005801</v>
      </c>
    </row>
    <row r="3887" spans="1:40" x14ac:dyDescent="0.25">
      <c r="A3887" t="str">
        <f>"20190303153844372"</f>
        <v>20190303153844372</v>
      </c>
      <c r="B3887" t="str">
        <f>"1551598724362134"</f>
        <v>1551598724362134</v>
      </c>
      <c r="C3887" t="s">
        <v>40</v>
      </c>
      <c r="D3887">
        <v>4.2015019999999996</v>
      </c>
      <c r="E3887">
        <v>0.3969974</v>
      </c>
      <c r="F3887" t="s">
        <v>51</v>
      </c>
      <c r="G3887">
        <v>-480.19299999999998</v>
      </c>
      <c r="H3887" s="1">
        <v>1.75953E-6</v>
      </c>
      <c r="I3887">
        <v>218.6249</v>
      </c>
      <c r="J3887">
        <v>-491.2747</v>
      </c>
      <c r="K3887">
        <v>1.12334</v>
      </c>
      <c r="L3887">
        <v>226.6439</v>
      </c>
      <c r="M3887">
        <v>0.17929970000000001</v>
      </c>
      <c r="N3887">
        <v>-1.399925E-2</v>
      </c>
      <c r="O3887">
        <v>-0.98369499999999999</v>
      </c>
      <c r="P3887">
        <v>0.62416729999999998</v>
      </c>
      <c r="Q3887">
        <v>-9.2404249999999993E-2</v>
      </c>
      <c r="R3887">
        <v>-0.77580729999999998</v>
      </c>
      <c r="S3887">
        <v>2.505188</v>
      </c>
      <c r="T3887">
        <v>-0.2534517</v>
      </c>
      <c r="U3887">
        <v>-1.8272090000000001</v>
      </c>
      <c r="V3887">
        <v>-0.47453980000000001</v>
      </c>
      <c r="W3887">
        <v>-8.2448709999999995E-2</v>
      </c>
      <c r="X3887">
        <v>0.87636420000000004</v>
      </c>
      <c r="Y3887">
        <v>-0.68666859999999996</v>
      </c>
      <c r="Z3887">
        <v>7.3245580000000005E-2</v>
      </c>
      <c r="AA3887">
        <v>0.72327129999999995</v>
      </c>
      <c r="AB3887">
        <v>9</v>
      </c>
      <c r="AC3887">
        <v>11.0816999999999</v>
      </c>
      <c r="AD3887">
        <v>-1.1233382404700001</v>
      </c>
      <c r="AE3887">
        <v>-8.0190000000000001</v>
      </c>
      <c r="AF3887">
        <v>-9.4007349643409999</v>
      </c>
      <c r="AG3887">
        <v>-1.1233382404700001</v>
      </c>
      <c r="AH3887">
        <v>9.8100022367537498</v>
      </c>
      <c r="AI3887">
        <v>94.726275115635204</v>
      </c>
      <c r="AJ3887">
        <v>133.77955017942801</v>
      </c>
      <c r="AK3887">
        <v>13.6334827009608</v>
      </c>
      <c r="AL3887">
        <v>94.729331579021604</v>
      </c>
      <c r="AM3887">
        <v>118.434967974683</v>
      </c>
      <c r="AN3887">
        <v>1.00000001130317</v>
      </c>
    </row>
    <row r="3888" spans="1:40" x14ac:dyDescent="0.25">
      <c r="A3888" t="str">
        <f>"20190303153844396"</f>
        <v>20190303153844396</v>
      </c>
      <c r="B3888" t="str">
        <f>"1551598724392390"</f>
        <v>1551598724392390</v>
      </c>
      <c r="C3888" t="s">
        <v>40</v>
      </c>
      <c r="D3888">
        <v>4.1592659999999997</v>
      </c>
      <c r="E3888">
        <v>0.40148470000000003</v>
      </c>
      <c r="F3888" t="s">
        <v>51</v>
      </c>
      <c r="G3888">
        <v>-479.91930000000002</v>
      </c>
      <c r="H3888" s="1">
        <v>1.7271350000000001E-6</v>
      </c>
      <c r="I3888">
        <v>218.44839999999999</v>
      </c>
      <c r="J3888">
        <v>-491.25029999999998</v>
      </c>
      <c r="K3888">
        <v>1.123335</v>
      </c>
      <c r="L3888">
        <v>226.55760000000001</v>
      </c>
      <c r="M3888">
        <v>0.1862383</v>
      </c>
      <c r="N3888">
        <v>-1.3971829999999999E-2</v>
      </c>
      <c r="O3888">
        <v>-0.98240539999999998</v>
      </c>
      <c r="P3888">
        <v>0.62848479999999995</v>
      </c>
      <c r="Q3888">
        <v>-8.9594980000000005E-2</v>
      </c>
      <c r="R3888">
        <v>-0.77264480000000002</v>
      </c>
      <c r="S3888">
        <v>2.5141909999999998</v>
      </c>
      <c r="T3888">
        <v>-0.2487193</v>
      </c>
      <c r="U3888">
        <v>-1.814575</v>
      </c>
      <c r="V3888">
        <v>-0.47319630000000001</v>
      </c>
      <c r="W3888">
        <v>-7.9639899999999902E-2</v>
      </c>
      <c r="X3888">
        <v>0.87734990000000002</v>
      </c>
      <c r="Y3888">
        <v>-0.68525959999999997</v>
      </c>
      <c r="Z3888">
        <v>7.1831790000000006E-2</v>
      </c>
      <c r="AA3888">
        <v>0.7247479</v>
      </c>
      <c r="AB3888">
        <v>9</v>
      </c>
      <c r="AC3888">
        <v>11.3309999999999</v>
      </c>
      <c r="AD3888">
        <v>-1.1233332728650001</v>
      </c>
      <c r="AE3888">
        <v>-8.1092000000000102</v>
      </c>
      <c r="AF3888">
        <v>-9.5601935854255302</v>
      </c>
      <c r="AG3888">
        <v>-1.1233332728650001</v>
      </c>
      <c r="AH3888">
        <v>10.012693048830601</v>
      </c>
      <c r="AI3888">
        <v>94.6390054911802</v>
      </c>
      <c r="AJ3888">
        <v>133.67563265077499</v>
      </c>
      <c r="AK3888">
        <v>13.889319678185799</v>
      </c>
      <c r="AL3888">
        <v>94.567867256832102</v>
      </c>
      <c r="AM3888">
        <v>118.340084430727</v>
      </c>
      <c r="AN3888">
        <v>1.00000004951785</v>
      </c>
    </row>
    <row r="3889" spans="1:40" x14ac:dyDescent="0.25">
      <c r="A3889" t="str">
        <f>"20190303153844420"</f>
        <v>20190303153844420</v>
      </c>
      <c r="B3889" t="str">
        <f>"1551598724411910"</f>
        <v>1551598724411910</v>
      </c>
      <c r="C3889" t="s">
        <v>40</v>
      </c>
      <c r="D3889">
        <v>4.1842980000000001</v>
      </c>
      <c r="E3889">
        <v>0.40200219999999998</v>
      </c>
      <c r="F3889" t="s">
        <v>51</v>
      </c>
      <c r="G3889">
        <v>-478.91419999999999</v>
      </c>
      <c r="H3889" s="1">
        <v>2.133284E-6</v>
      </c>
      <c r="I3889">
        <v>217.5427</v>
      </c>
      <c r="J3889">
        <v>-491.22300000000001</v>
      </c>
      <c r="K3889">
        <v>1.12331</v>
      </c>
      <c r="L3889">
        <v>226.46369999999999</v>
      </c>
      <c r="M3889">
        <v>0.19389899999999999</v>
      </c>
      <c r="N3889">
        <v>-1.394389E-2</v>
      </c>
      <c r="O3889">
        <v>-0.98092259999999998</v>
      </c>
      <c r="P3889">
        <v>0.63214609999999904</v>
      </c>
      <c r="Q3889">
        <v>-8.5816790000000004E-2</v>
      </c>
      <c r="R3889">
        <v>-0.77008279999999996</v>
      </c>
      <c r="S3889">
        <v>2.4973749999999999</v>
      </c>
      <c r="T3889">
        <v>-0.22741169999999999</v>
      </c>
      <c r="U3889">
        <v>-1.8250120000000001</v>
      </c>
      <c r="V3889">
        <v>-0.47045429999999999</v>
      </c>
      <c r="W3889">
        <v>-7.5829099999999997E-2</v>
      </c>
      <c r="X3889">
        <v>0.87916019999999995</v>
      </c>
      <c r="Y3889">
        <v>-0.67564930000000001</v>
      </c>
      <c r="Z3889">
        <v>6.4884220000000006E-2</v>
      </c>
      <c r="AA3889">
        <v>0.73436239999999997</v>
      </c>
      <c r="AB3889">
        <v>9</v>
      </c>
      <c r="AC3889">
        <v>12.3088</v>
      </c>
      <c r="AD3889">
        <v>-1.1233078667159999</v>
      </c>
      <c r="AE3889">
        <v>-8.9209999999999905</v>
      </c>
      <c r="AF3889">
        <v>-10.289029824187301</v>
      </c>
      <c r="AG3889">
        <v>-1.1233078667159999</v>
      </c>
      <c r="AH3889">
        <v>11.0780658424608</v>
      </c>
      <c r="AI3889">
        <v>94.249108470795406</v>
      </c>
      <c r="AJ3889">
        <v>132.88516409758699</v>
      </c>
      <c r="AK3889">
        <v>15.1607881753008</v>
      </c>
      <c r="AL3889">
        <v>94.348861993032202</v>
      </c>
      <c r="AM3889">
        <v>118.15202985418</v>
      </c>
      <c r="AN3889">
        <v>0.99999997902966897</v>
      </c>
    </row>
    <row r="3890" spans="1:40" x14ac:dyDescent="0.25">
      <c r="A3890" t="str">
        <f>"20190303153844443"</f>
        <v>20190303153844443</v>
      </c>
      <c r="B3890" t="str">
        <f>"1551598724432406"</f>
        <v>1551598724432406</v>
      </c>
      <c r="C3890" t="s">
        <v>40</v>
      </c>
      <c r="D3890">
        <v>4.1909380000000001</v>
      </c>
      <c r="E3890">
        <v>0.40198630000000002</v>
      </c>
      <c r="F3890" t="s">
        <v>51</v>
      </c>
      <c r="G3890">
        <v>-478.41109999999998</v>
      </c>
      <c r="H3890" s="1">
        <v>2.3397600000000002E-6</v>
      </c>
      <c r="I3890">
        <v>217.16200000000001</v>
      </c>
      <c r="J3890">
        <v>-491.19869999999997</v>
      </c>
      <c r="K3890">
        <v>1.123281</v>
      </c>
      <c r="L3890">
        <v>226.3826</v>
      </c>
      <c r="M3890">
        <v>0.2006039</v>
      </c>
      <c r="N3890">
        <v>-1.392155E-2</v>
      </c>
      <c r="O3890">
        <v>-0.97957349999999999</v>
      </c>
      <c r="P3890">
        <v>0.63412619999999997</v>
      </c>
      <c r="Q3890">
        <v>-8.3263229999999994E-2</v>
      </c>
      <c r="R3890">
        <v>-0.76873369999999996</v>
      </c>
      <c r="S3890">
        <v>2.5025629999999999</v>
      </c>
      <c r="T3890">
        <v>-0.21941649999999999</v>
      </c>
      <c r="U3890">
        <v>-1.81691</v>
      </c>
      <c r="V3890">
        <v>-0.46666360000000001</v>
      </c>
      <c r="W3890">
        <v>-7.3224159999999996E-2</v>
      </c>
      <c r="X3890">
        <v>0.88139849999999997</v>
      </c>
      <c r="Y3890">
        <v>-0.67303599999999997</v>
      </c>
      <c r="Z3890">
        <v>6.2314559999999998E-2</v>
      </c>
      <c r="AA3890">
        <v>0.73697999999999997</v>
      </c>
      <c r="AB3890">
        <v>9</v>
      </c>
      <c r="AC3890">
        <v>12.7875999999999</v>
      </c>
      <c r="AD3890">
        <v>-1.12327866023999</v>
      </c>
      <c r="AE3890">
        <v>-9.2205999999999904</v>
      </c>
      <c r="AF3890">
        <v>-10.6238076033334</v>
      </c>
      <c r="AG3890">
        <v>-1.12327866023999</v>
      </c>
      <c r="AH3890">
        <v>11.540037579708899</v>
      </c>
      <c r="AI3890">
        <v>94.096080753686905</v>
      </c>
      <c r="AJ3890">
        <v>132.63280075187299</v>
      </c>
      <c r="AK3890">
        <v>15.7257594500962</v>
      </c>
      <c r="AL3890">
        <v>94.199193547672905</v>
      </c>
      <c r="AM3890">
        <v>117.89934587994399</v>
      </c>
      <c r="AN3890">
        <v>1.00000000448745</v>
      </c>
    </row>
    <row r="3891" spans="1:40" x14ac:dyDescent="0.25">
      <c r="A3891" t="str">
        <f>"20190303153844464"</f>
        <v>20190303153844464</v>
      </c>
      <c r="B3891" t="str">
        <f>"1551598724451926"</f>
        <v>1551598724451926</v>
      </c>
      <c r="C3891" t="s">
        <v>40</v>
      </c>
      <c r="D3891">
        <v>4.2079930000000001</v>
      </c>
      <c r="E3891">
        <v>0.4019703</v>
      </c>
      <c r="F3891" t="s">
        <v>51</v>
      </c>
      <c r="G3891">
        <v>-477.78190000000001</v>
      </c>
      <c r="H3891" s="1">
        <v>2.598064E-6</v>
      </c>
      <c r="I3891">
        <v>216.6885</v>
      </c>
      <c r="J3891">
        <v>-491.17439999999999</v>
      </c>
      <c r="K3891">
        <v>1.1232470000000001</v>
      </c>
      <c r="L3891">
        <v>226.30420000000001</v>
      </c>
      <c r="M3891">
        <v>0.20718329999999999</v>
      </c>
      <c r="N3891">
        <v>-1.390251E-2</v>
      </c>
      <c r="O3891">
        <v>-0.9782035</v>
      </c>
      <c r="P3891">
        <v>0.63566909999999999</v>
      </c>
      <c r="Q3891">
        <v>-8.4129010000000004E-2</v>
      </c>
      <c r="R3891">
        <v>-0.76736389999999999</v>
      </c>
      <c r="S3891">
        <v>2.5072019999999999</v>
      </c>
      <c r="T3891">
        <v>-0.20990819999999999</v>
      </c>
      <c r="U3891">
        <v>-1.8115540000000001</v>
      </c>
      <c r="V3891">
        <v>-0.46252860000000001</v>
      </c>
      <c r="W3891">
        <v>-7.4040839999999997E-2</v>
      </c>
      <c r="X3891">
        <v>0.88350740000000005</v>
      </c>
      <c r="Y3891">
        <v>-0.66991669999999903</v>
      </c>
      <c r="Z3891">
        <v>5.9178799999999997E-2</v>
      </c>
      <c r="AA3891">
        <v>0.74007400000000001</v>
      </c>
      <c r="AB3891">
        <v>9</v>
      </c>
      <c r="AC3891">
        <v>13.392499999999901</v>
      </c>
      <c r="AD3891">
        <v>-1.1232444019359999</v>
      </c>
      <c r="AE3891">
        <v>-9.6157000000000004</v>
      </c>
      <c r="AF3891">
        <v>-11.0581228171154</v>
      </c>
      <c r="AG3891">
        <v>-1.1232444019359999</v>
      </c>
      <c r="AH3891">
        <v>12.125706864748899</v>
      </c>
      <c r="AI3891">
        <v>93.915524357426307</v>
      </c>
      <c r="AJ3891">
        <v>132.36346924601199</v>
      </c>
      <c r="AK3891">
        <v>16.449210473293501</v>
      </c>
      <c r="AL3891">
        <v>94.246113086067197</v>
      </c>
      <c r="AM3891">
        <v>117.63269248823499</v>
      </c>
      <c r="AN3891">
        <v>1.0000000388303101</v>
      </c>
    </row>
    <row r="3892" spans="1:40" x14ac:dyDescent="0.25">
      <c r="A3892" t="str">
        <f>"20190303153844485"</f>
        <v>20190303153844485</v>
      </c>
      <c r="B3892" t="str">
        <f>"1551598724472425"</f>
        <v>1551598724472425</v>
      </c>
      <c r="C3892" t="s">
        <v>40</v>
      </c>
      <c r="D3892">
        <v>4.228281</v>
      </c>
      <c r="E3892">
        <v>0.40218209999999999</v>
      </c>
      <c r="F3892" t="s">
        <v>51</v>
      </c>
      <c r="G3892">
        <v>-477.90530000000001</v>
      </c>
      <c r="H3892" s="1">
        <v>2.546503E-6</v>
      </c>
      <c r="I3892">
        <v>216.761</v>
      </c>
      <c r="J3892">
        <v>-491.14949999999999</v>
      </c>
      <c r="K3892">
        <v>1.1232169999999999</v>
      </c>
      <c r="L3892">
        <v>226.22550000000001</v>
      </c>
      <c r="M3892">
        <v>0.21387500000000001</v>
      </c>
      <c r="N3892">
        <v>-1.388677E-2</v>
      </c>
      <c r="O3892">
        <v>-0.97676240000000003</v>
      </c>
      <c r="P3892">
        <v>0.63761299999999999</v>
      </c>
      <c r="Q3892">
        <v>-8.7835999999999997E-2</v>
      </c>
      <c r="R3892">
        <v>-0.76533309999999999</v>
      </c>
      <c r="S3892">
        <v>2.511139</v>
      </c>
      <c r="T3892">
        <v>-0.2125708</v>
      </c>
      <c r="U3892">
        <v>-1.8060149999999999</v>
      </c>
      <c r="V3892">
        <v>-0.45879370000000003</v>
      </c>
      <c r="W3892">
        <v>-7.7714350000000001E-2</v>
      </c>
      <c r="X3892">
        <v>0.88513770000000003</v>
      </c>
      <c r="Y3892">
        <v>-0.666412</v>
      </c>
      <c r="Z3892">
        <v>6.0185599999999999E-2</v>
      </c>
      <c r="AA3892">
        <v>0.74315050000000005</v>
      </c>
      <c r="AB3892">
        <v>9</v>
      </c>
      <c r="AC3892">
        <v>13.2441999999999</v>
      </c>
      <c r="AD3892">
        <v>-1.1232144534970001</v>
      </c>
      <c r="AE3892">
        <v>-9.4645000000000099</v>
      </c>
      <c r="AF3892">
        <v>-10.8615557226888</v>
      </c>
      <c r="AG3892">
        <v>-1.1232144534970001</v>
      </c>
      <c r="AH3892">
        <v>12.021101689602499</v>
      </c>
      <c r="AI3892">
        <v>93.965907767220003</v>
      </c>
      <c r="AJ3892">
        <v>132.09909953408999</v>
      </c>
      <c r="AK3892">
        <v>16.24013205788</v>
      </c>
      <c r="AL3892">
        <v>94.457198682967601</v>
      </c>
      <c r="AM3892">
        <v>117.399076257942</v>
      </c>
      <c r="AN3892">
        <v>0.99999996365845001</v>
      </c>
    </row>
    <row r="3893" spans="1:40" x14ac:dyDescent="0.25">
      <c r="A3893" t="str">
        <f>"20190303153844507"</f>
        <v>20190303153844507</v>
      </c>
      <c r="B3893" t="str">
        <f>"1551598724502678"</f>
        <v>1551598724502678</v>
      </c>
      <c r="C3893" t="s">
        <v>40</v>
      </c>
      <c r="D3893">
        <v>4.1895810000000004</v>
      </c>
      <c r="E3893">
        <v>0.40221509999999999</v>
      </c>
      <c r="F3893" t="s">
        <v>51</v>
      </c>
      <c r="G3893">
        <v>-478.37810000000002</v>
      </c>
      <c r="H3893" s="1">
        <v>2.3508570000000001E-6</v>
      </c>
      <c r="I3893">
        <v>217.08189999999999</v>
      </c>
      <c r="J3893">
        <v>-491.1223</v>
      </c>
      <c r="K3893">
        <v>1.12321</v>
      </c>
      <c r="L3893">
        <v>226.1422</v>
      </c>
      <c r="M3893">
        <v>0.221058</v>
      </c>
      <c r="N3893">
        <v>-1.3873730000000001E-2</v>
      </c>
      <c r="O3893">
        <v>-0.97516210000000003</v>
      </c>
      <c r="P3893">
        <v>0.64016770000000001</v>
      </c>
      <c r="Q3893">
        <v>-9.0200760000000005E-2</v>
      </c>
      <c r="R3893">
        <v>-0.76292150000000003</v>
      </c>
      <c r="S3893">
        <v>2.5140989999999999</v>
      </c>
      <c r="T3893">
        <v>-0.22111049999999999</v>
      </c>
      <c r="U3893">
        <v>-1.799957</v>
      </c>
      <c r="V3893">
        <v>-0.45528859999999899</v>
      </c>
      <c r="W3893">
        <v>-8.0054849999999997E-2</v>
      </c>
      <c r="X3893">
        <v>0.88673749999999996</v>
      </c>
      <c r="Y3893">
        <v>-0.66236349999999999</v>
      </c>
      <c r="Z3893">
        <v>6.3213660000000005E-2</v>
      </c>
      <c r="AA3893">
        <v>0.74651099999999904</v>
      </c>
      <c r="AB3893">
        <v>9</v>
      </c>
      <c r="AC3893">
        <v>12.7441999999999</v>
      </c>
      <c r="AD3893">
        <v>-1.1232076491429901</v>
      </c>
      <c r="AE3893">
        <v>-9.0603000000000105</v>
      </c>
      <c r="AF3893">
        <v>-10.372292030234499</v>
      </c>
      <c r="AG3893">
        <v>-1.1232076491429901</v>
      </c>
      <c r="AH3893">
        <v>11.593766957054401</v>
      </c>
      <c r="AI3893">
        <v>94.129734436222193</v>
      </c>
      <c r="AJ3893">
        <v>131.81720986529899</v>
      </c>
      <c r="AK3893">
        <v>15.5968416558625</v>
      </c>
      <c r="AL3893">
        <v>94.591718792362897</v>
      </c>
      <c r="AM3893">
        <v>117.177885174309</v>
      </c>
      <c r="AN3893">
        <v>0.99999994110236401</v>
      </c>
    </row>
    <row r="3894" spans="1:40" x14ac:dyDescent="0.25">
      <c r="A3894" t="str">
        <f>"20190303153844530"</f>
        <v>20190303153844530</v>
      </c>
      <c r="B3894" t="str">
        <f>"1551598724522198"</f>
        <v>1551598724522198</v>
      </c>
      <c r="C3894" t="s">
        <v>40</v>
      </c>
      <c r="D3894">
        <v>4.2139300000000004</v>
      </c>
      <c r="E3894">
        <v>0.4021709</v>
      </c>
      <c r="F3894" t="s">
        <v>51</v>
      </c>
      <c r="G3894">
        <v>-478.71589999999998</v>
      </c>
      <c r="H3894" s="1">
        <v>2.21178E-6</v>
      </c>
      <c r="I3894">
        <v>217.32660000000001</v>
      </c>
      <c r="J3894">
        <v>-491.0949</v>
      </c>
      <c r="K3894">
        <v>1.1232260000000001</v>
      </c>
      <c r="L3894">
        <v>226.0607</v>
      </c>
      <c r="M3894">
        <v>0.22817470000000001</v>
      </c>
      <c r="N3894">
        <v>-1.386387E-2</v>
      </c>
      <c r="O3894">
        <v>-0.97352150000000004</v>
      </c>
      <c r="P3894">
        <v>0.64253009999999999</v>
      </c>
      <c r="Q3894">
        <v>-8.8375229999999999E-2</v>
      </c>
      <c r="R3894">
        <v>-0.76114709999999997</v>
      </c>
      <c r="S3894">
        <v>2.520111</v>
      </c>
      <c r="T3894">
        <v>-0.22815759999999999</v>
      </c>
      <c r="U3894">
        <v>-1.79070999999999</v>
      </c>
      <c r="V3894">
        <v>-0.45152029999999899</v>
      </c>
      <c r="W3894">
        <v>-7.8199740000000004E-2</v>
      </c>
      <c r="X3894">
        <v>0.88882739999999905</v>
      </c>
      <c r="Y3894">
        <v>-0.65941969999999905</v>
      </c>
      <c r="Z3894">
        <v>6.5726270000000003E-2</v>
      </c>
      <c r="AA3894">
        <v>0.74889640000000002</v>
      </c>
      <c r="AB3894">
        <v>9</v>
      </c>
      <c r="AC3894">
        <v>12.379</v>
      </c>
      <c r="AD3894">
        <v>-1.12322378822</v>
      </c>
      <c r="AE3894">
        <v>-8.7340999999999802</v>
      </c>
      <c r="AF3894">
        <v>-10.0042978225901</v>
      </c>
      <c r="AG3894">
        <v>-1.12322378822</v>
      </c>
      <c r="AH3894">
        <v>11.2665681834238</v>
      </c>
      <c r="AI3894">
        <v>94.263368033782498</v>
      </c>
      <c r="AJ3894">
        <v>131.603897227217</v>
      </c>
      <c r="AK3894">
        <v>15.1090424988893</v>
      </c>
      <c r="AL3894">
        <v>94.485094376400298</v>
      </c>
      <c r="AM3894">
        <v>116.930363591625</v>
      </c>
      <c r="AN3894">
        <v>0.99999996381945799</v>
      </c>
    </row>
    <row r="3895" spans="1:40" x14ac:dyDescent="0.25">
      <c r="A3895" t="str">
        <f>"20190303153844553"</f>
        <v>20190303153844553</v>
      </c>
      <c r="B3895" t="str">
        <f>"1551598724542694"</f>
        <v>1551598724542694</v>
      </c>
      <c r="C3895" t="s">
        <v>40</v>
      </c>
      <c r="D3895">
        <v>4.2162699999999997</v>
      </c>
      <c r="E3895">
        <v>0.402223</v>
      </c>
      <c r="F3895" t="s">
        <v>51</v>
      </c>
      <c r="G3895">
        <v>-478.45519999999999</v>
      </c>
      <c r="H3895" s="1">
        <v>2.319139E-6</v>
      </c>
      <c r="I3895">
        <v>217.13810000000001</v>
      </c>
      <c r="J3895">
        <v>-491.06569999999999</v>
      </c>
      <c r="K3895">
        <v>1.1232530000000001</v>
      </c>
      <c r="L3895">
        <v>225.97669999999999</v>
      </c>
      <c r="M3895">
        <v>0.23560970000000001</v>
      </c>
      <c r="N3895">
        <v>-1.3855370000000001E-2</v>
      </c>
      <c r="O3895">
        <v>-0.97174910000000003</v>
      </c>
      <c r="P3895">
        <v>0.64528160000000001</v>
      </c>
      <c r="Q3895">
        <v>-8.3555450000000003E-2</v>
      </c>
      <c r="R3895">
        <v>-0.75936190000000003</v>
      </c>
      <c r="S3895">
        <v>2.5259399999999999</v>
      </c>
      <c r="T3895">
        <v>-0.224467</v>
      </c>
      <c r="U3895">
        <v>-1.78311199999999</v>
      </c>
      <c r="V3895">
        <v>-0.44783849999999997</v>
      </c>
      <c r="W3895">
        <v>-7.3343270000000002E-2</v>
      </c>
      <c r="X3895">
        <v>0.89110119999999904</v>
      </c>
      <c r="Y3895">
        <v>-0.65606399999999998</v>
      </c>
      <c r="Z3895">
        <v>6.4554360000000005E-2</v>
      </c>
      <c r="AA3895">
        <v>0.75193940000000004</v>
      </c>
      <c r="AB3895">
        <v>9</v>
      </c>
      <c r="AC3895">
        <v>12.6105</v>
      </c>
      <c r="AD3895">
        <v>-1.1232506808609899</v>
      </c>
      <c r="AE3895">
        <v>-8.83859999999998</v>
      </c>
      <c r="AF3895">
        <v>-10.1189215425649</v>
      </c>
      <c r="AG3895">
        <v>-1.1232506808609899</v>
      </c>
      <c r="AH3895">
        <v>11.499982555560599</v>
      </c>
      <c r="AI3895">
        <v>94.193915560319198</v>
      </c>
      <c r="AJ3895">
        <v>131.344792039602</v>
      </c>
      <c r="AK3895">
        <v>15.3591622185209</v>
      </c>
      <c r="AL3895">
        <v>94.206036664582399</v>
      </c>
      <c r="AM3895">
        <v>116.682615684507</v>
      </c>
      <c r="AN3895">
        <v>0.99999995298899003</v>
      </c>
    </row>
    <row r="3896" spans="1:40" x14ac:dyDescent="0.25">
      <c r="A3896" t="str">
        <f>"20190303153844573"</f>
        <v>20190303153844573</v>
      </c>
      <c r="B3896" t="str">
        <f>"1551598724562217"</f>
        <v>1551598724562217</v>
      </c>
      <c r="C3896" t="s">
        <v>40</v>
      </c>
      <c r="D3896">
        <v>4.2176749999999998</v>
      </c>
      <c r="E3896">
        <v>0.4022367</v>
      </c>
      <c r="F3896" t="s">
        <v>51</v>
      </c>
      <c r="G3896">
        <v>-477.83080000000001</v>
      </c>
      <c r="H3896" s="1">
        <v>2.5765709999999999E-6</v>
      </c>
      <c r="I3896">
        <v>216.69319999999999</v>
      </c>
      <c r="J3896">
        <v>-491.03870000000001</v>
      </c>
      <c r="K3896">
        <v>1.1232759999999999</v>
      </c>
      <c r="L3896">
        <v>225.9008</v>
      </c>
      <c r="M3896">
        <v>0.2423825</v>
      </c>
      <c r="N3896">
        <v>-1.384722E-2</v>
      </c>
      <c r="O3896">
        <v>-0.970082</v>
      </c>
      <c r="P3896">
        <v>0.64860329999999999</v>
      </c>
      <c r="Q3896">
        <v>-7.8274360000000001E-2</v>
      </c>
      <c r="R3896">
        <v>-0.75709119999999996</v>
      </c>
      <c r="S3896">
        <v>2.5315859999999999</v>
      </c>
      <c r="T3896">
        <v>-0.21485660000000001</v>
      </c>
      <c r="U3896">
        <v>-1.775757</v>
      </c>
      <c r="V3896">
        <v>-0.44541890000000001</v>
      </c>
      <c r="W3896">
        <v>-6.8025779999999994E-2</v>
      </c>
      <c r="X3896">
        <v>0.89273429999999998</v>
      </c>
      <c r="Y3896">
        <v>-0.65323430000000005</v>
      </c>
      <c r="Z3896">
        <v>6.1352900000000002E-2</v>
      </c>
      <c r="AA3896">
        <v>0.75466599999999995</v>
      </c>
      <c r="AB3896">
        <v>9</v>
      </c>
      <c r="AC3896">
        <v>13.207899999999899</v>
      </c>
      <c r="AD3896">
        <v>-1.1232734234289901</v>
      </c>
      <c r="AE3896">
        <v>-9.20760000000001</v>
      </c>
      <c r="AF3896">
        <v>-10.5307426483635</v>
      </c>
      <c r="AG3896">
        <v>-1.1232734234289901</v>
      </c>
      <c r="AH3896">
        <v>12.075876700452399</v>
      </c>
      <c r="AI3896">
        <v>94.010194719848698</v>
      </c>
      <c r="AJ3896">
        <v>131.089986442277</v>
      </c>
      <c r="AK3896">
        <v>16.061914020264599</v>
      </c>
      <c r="AL3896">
        <v>93.900602324125998</v>
      </c>
      <c r="AM3896">
        <v>116.516343467849</v>
      </c>
      <c r="AN3896">
        <v>1.0000000168091501</v>
      </c>
    </row>
    <row r="3897" spans="1:40" x14ac:dyDescent="0.25">
      <c r="A3897" t="str">
        <f>"20190303153844596"</f>
        <v>20190303153844596</v>
      </c>
      <c r="B3897" t="str">
        <f>"1551598724592469"</f>
        <v>1551598724592469</v>
      </c>
      <c r="C3897" t="s">
        <v>40</v>
      </c>
      <c r="D3897">
        <v>4.1917939999999998</v>
      </c>
      <c r="E3897">
        <v>0.40224290000000001</v>
      </c>
      <c r="F3897" t="s">
        <v>51</v>
      </c>
      <c r="G3897">
        <v>-476.91239999999999</v>
      </c>
      <c r="H3897" s="1">
        <v>2.9569489999999999E-6</v>
      </c>
      <c r="I3897">
        <v>216.0779</v>
      </c>
      <c r="J3897">
        <v>-491.01010000000002</v>
      </c>
      <c r="K3897">
        <v>1.123264</v>
      </c>
      <c r="L3897">
        <v>225.82230000000001</v>
      </c>
      <c r="M3897">
        <v>0.2494555</v>
      </c>
      <c r="N3897">
        <v>-1.383742E-2</v>
      </c>
      <c r="O3897">
        <v>-0.96828749999999997</v>
      </c>
      <c r="P3897">
        <v>0.653344699999999</v>
      </c>
      <c r="Q3897">
        <v>-7.5748659999999995E-2</v>
      </c>
      <c r="R3897">
        <v>-0.75326169999999903</v>
      </c>
      <c r="S3897">
        <v>2.5396420000000002</v>
      </c>
      <c r="T3897">
        <v>-0.2019435</v>
      </c>
      <c r="U3897">
        <v>-1.7659910000000001</v>
      </c>
      <c r="V3897">
        <v>-0.44446160000000001</v>
      </c>
      <c r="W3897">
        <v>-6.5470459999999994E-2</v>
      </c>
      <c r="X3897">
        <v>0.89340219999999904</v>
      </c>
      <c r="Y3897">
        <v>-0.6510205</v>
      </c>
      <c r="Z3897">
        <v>5.7017869999999998E-2</v>
      </c>
      <c r="AA3897">
        <v>0.75691560000000002</v>
      </c>
      <c r="AB3897">
        <v>9</v>
      </c>
      <c r="AC3897">
        <v>14.0977</v>
      </c>
      <c r="AD3897">
        <v>-1.1232610430509999</v>
      </c>
      <c r="AE3897">
        <v>-9.7444000000000095</v>
      </c>
      <c r="AF3897">
        <v>-11.172907377319101</v>
      </c>
      <c r="AG3897">
        <v>-1.1232610430509999</v>
      </c>
      <c r="AH3897">
        <v>12.8979593277107</v>
      </c>
      <c r="AI3897">
        <v>93.766067610422795</v>
      </c>
      <c r="AJ3897">
        <v>130.90087438297101</v>
      </c>
      <c r="AK3897">
        <v>17.101255201074299</v>
      </c>
      <c r="AL3897">
        <v>93.753866081365601</v>
      </c>
      <c r="AM3897">
        <v>116.45003689740901</v>
      </c>
      <c r="AN3897">
        <v>0.99999999298600495</v>
      </c>
    </row>
    <row r="3898" spans="1:40" x14ac:dyDescent="0.25">
      <c r="A3898" t="str">
        <f>"20190303153844620"</f>
        <v>20190303153844620</v>
      </c>
      <c r="B3898" t="str">
        <f>"1551598724612750"</f>
        <v>1551598724612750</v>
      </c>
      <c r="C3898" t="s">
        <v>40</v>
      </c>
      <c r="D3898">
        <v>4.267099</v>
      </c>
      <c r="E3898">
        <v>0.40226339999999999</v>
      </c>
      <c r="F3898" t="s">
        <v>51</v>
      </c>
      <c r="G3898">
        <v>-476.4468</v>
      </c>
      <c r="H3898" s="1">
        <v>3.1523100000000001E-6</v>
      </c>
      <c r="I3898">
        <v>215.82339999999999</v>
      </c>
      <c r="J3898">
        <v>-490.9778</v>
      </c>
      <c r="K3898">
        <v>1.1232329999999999</v>
      </c>
      <c r="L3898">
        <v>225.73589999999999</v>
      </c>
      <c r="M3898">
        <v>0.25727680000000003</v>
      </c>
      <c r="N3898">
        <v>-1.3825E-2</v>
      </c>
      <c r="O3898">
        <v>-0.96623899999999996</v>
      </c>
      <c r="P3898">
        <v>0.6589121</v>
      </c>
      <c r="Q3898">
        <v>-7.6595750000000004E-2</v>
      </c>
      <c r="R3898">
        <v>-0.74831000000000003</v>
      </c>
      <c r="S3898">
        <v>2.5502319999999998</v>
      </c>
      <c r="T3898">
        <v>-0.19669890000000001</v>
      </c>
      <c r="U3898">
        <v>-1.7509459999999999</v>
      </c>
      <c r="V3898">
        <v>-0.44388670000000002</v>
      </c>
      <c r="W3898">
        <v>-6.6284789999999996E-2</v>
      </c>
      <c r="X3898">
        <v>0.89362790000000003</v>
      </c>
      <c r="Y3898">
        <v>-0.64947699999999997</v>
      </c>
      <c r="Z3898">
        <v>5.5334929999999997E-2</v>
      </c>
      <c r="AA3898">
        <v>0.75836519999999996</v>
      </c>
      <c r="AB3898">
        <v>9</v>
      </c>
      <c r="AC3898">
        <v>14.531000000000001</v>
      </c>
      <c r="AD3898">
        <v>-1.12322984769</v>
      </c>
      <c r="AE3898">
        <v>-9.9124999999999908</v>
      </c>
      <c r="AF3898">
        <v>-11.444592547089</v>
      </c>
      <c r="AG3898">
        <v>-1.12322984769</v>
      </c>
      <c r="AH3898">
        <v>13.2635205782291</v>
      </c>
      <c r="AI3898">
        <v>93.668588419509305</v>
      </c>
      <c r="AJ3898">
        <v>130.78967264466399</v>
      </c>
      <c r="AK3898">
        <v>17.554524259823602</v>
      </c>
      <c r="AL3898">
        <v>93.800625494394296</v>
      </c>
      <c r="AM3898">
        <v>116.414707856875</v>
      </c>
      <c r="AN3898">
        <v>0.99999994974032003</v>
      </c>
    </row>
    <row r="3899" spans="1:40" x14ac:dyDescent="0.25">
      <c r="A3899" t="str">
        <f>"20190303153844643"</f>
        <v>20190303153844643</v>
      </c>
      <c r="B3899" t="str">
        <f>"1551598724632270"</f>
        <v>1551598724632270</v>
      </c>
      <c r="C3899" t="s">
        <v>40</v>
      </c>
      <c r="D3899">
        <v>4.279439</v>
      </c>
      <c r="E3899">
        <v>0.40213700000000002</v>
      </c>
      <c r="F3899" t="s">
        <v>51</v>
      </c>
      <c r="G3899">
        <v>-476.5718</v>
      </c>
      <c r="H3899" s="1">
        <v>3.1047090000000001E-6</v>
      </c>
      <c r="I3899">
        <v>216.00239999999999</v>
      </c>
      <c r="J3899">
        <v>-490.94690000000003</v>
      </c>
      <c r="K3899">
        <v>1.123183</v>
      </c>
      <c r="L3899">
        <v>225.65539999999999</v>
      </c>
      <c r="M3899">
        <v>0.26459769999999999</v>
      </c>
      <c r="N3899">
        <v>-1.381198E-2</v>
      </c>
      <c r="O3899">
        <v>-0.96426020000000001</v>
      </c>
      <c r="P3899">
        <v>0.6642962</v>
      </c>
      <c r="Q3899">
        <v>-7.9126940000000007E-2</v>
      </c>
      <c r="R3899">
        <v>-0.74326979999999998</v>
      </c>
      <c r="S3899">
        <v>2.5630799999999998</v>
      </c>
      <c r="T3899">
        <v>-0.19984250000000001</v>
      </c>
      <c r="U3899">
        <v>-1.7317659999999999</v>
      </c>
      <c r="V3899">
        <v>-0.44362439999999997</v>
      </c>
      <c r="W3899">
        <v>-6.8786669999999994E-2</v>
      </c>
      <c r="X3899">
        <v>0.89356919999999995</v>
      </c>
      <c r="Y3899">
        <v>-0.64931890000000003</v>
      </c>
      <c r="Z3899">
        <v>5.6532760000000001E-2</v>
      </c>
      <c r="AA3899">
        <v>0.75841219999999998</v>
      </c>
      <c r="AB3899">
        <v>9</v>
      </c>
      <c r="AC3899">
        <v>14.3751</v>
      </c>
      <c r="AD3899">
        <v>-1.1231798952909999</v>
      </c>
      <c r="AE3899">
        <v>-9.6529999999999898</v>
      </c>
      <c r="AF3899">
        <v>-11.2608703564267</v>
      </c>
      <c r="AG3899">
        <v>-1.1231798952909999</v>
      </c>
      <c r="AH3899">
        <v>13.0579277378715</v>
      </c>
      <c r="AI3899">
        <v>93.7269125121923</v>
      </c>
      <c r="AJ3899">
        <v>130.77376314673299</v>
      </c>
      <c r="AK3899">
        <v>17.279415819665601</v>
      </c>
      <c r="AL3899">
        <v>93.944300281568701</v>
      </c>
      <c r="AM3899">
        <v>116.40271599925001</v>
      </c>
      <c r="AN3899">
        <v>1.0000000647168401</v>
      </c>
    </row>
    <row r="3900" spans="1:40" x14ac:dyDescent="0.25">
      <c r="A3900" t="str">
        <f>"20190303153844664"</f>
        <v>20190303153844664</v>
      </c>
      <c r="B3900" t="str">
        <f>"1551598724652766"</f>
        <v>1551598724652766</v>
      </c>
      <c r="C3900" t="s">
        <v>40</v>
      </c>
      <c r="D3900">
        <v>4.2764490000000004</v>
      </c>
      <c r="E3900">
        <v>0.4020108</v>
      </c>
      <c r="F3900" t="s">
        <v>51</v>
      </c>
      <c r="G3900">
        <v>-477.02690000000001</v>
      </c>
      <c r="H3900" s="1">
        <v>2.920577E-6</v>
      </c>
      <c r="I3900">
        <v>216.4075</v>
      </c>
      <c r="J3900">
        <v>-490.91759999999999</v>
      </c>
      <c r="K3900">
        <v>1.12313</v>
      </c>
      <c r="L3900">
        <v>225.5804</v>
      </c>
      <c r="M3900">
        <v>0.27143139999999999</v>
      </c>
      <c r="N3900">
        <v>-1.3798599999999999E-2</v>
      </c>
      <c r="O3900">
        <v>-0.96235890000000002</v>
      </c>
      <c r="P3900">
        <v>0.66950339999999997</v>
      </c>
      <c r="Q3900">
        <v>-8.0871970000000001E-2</v>
      </c>
      <c r="R3900">
        <v>-0.73839350000000004</v>
      </c>
      <c r="S3900">
        <v>2.5762939999999999</v>
      </c>
      <c r="T3900">
        <v>-0.20787739999999999</v>
      </c>
      <c r="U3900">
        <v>-1.7115939999999901</v>
      </c>
      <c r="V3900">
        <v>-0.44361529999999999</v>
      </c>
      <c r="W3900">
        <v>-7.050592E-2</v>
      </c>
      <c r="X3900">
        <v>0.89343969999999995</v>
      </c>
      <c r="Y3900">
        <v>-0.64969600000000005</v>
      </c>
      <c r="Z3900">
        <v>5.940405E-2</v>
      </c>
      <c r="AA3900">
        <v>0.75786960000000003</v>
      </c>
      <c r="AB3900">
        <v>9</v>
      </c>
      <c r="AC3900">
        <v>13.890699999999899</v>
      </c>
      <c r="AD3900">
        <v>-1.1231270794229999</v>
      </c>
      <c r="AE3900">
        <v>-9.1728999999999896</v>
      </c>
      <c r="AF3900">
        <v>-10.829760746212999</v>
      </c>
      <c r="AG3900">
        <v>-1.1231270794229999</v>
      </c>
      <c r="AH3900">
        <v>12.542097801411799</v>
      </c>
      <c r="AI3900">
        <v>93.877457964228796</v>
      </c>
      <c r="AJ3900">
        <v>130.80971677018999</v>
      </c>
      <c r="AK3900">
        <v>16.608713060226201</v>
      </c>
      <c r="AL3900">
        <v>94.043045861304094</v>
      </c>
      <c r="AM3900">
        <v>116.40555548061</v>
      </c>
      <c r="AN3900">
        <v>1.0000000583426101</v>
      </c>
    </row>
    <row r="3901" spans="1:40" x14ac:dyDescent="0.25">
      <c r="A3901" t="str">
        <f>"20190303153844686"</f>
        <v>20190303153844686</v>
      </c>
      <c r="B3901" t="str">
        <f>"1551598724682046"</f>
        <v>1551598724682046</v>
      </c>
      <c r="C3901" t="s">
        <v>40</v>
      </c>
      <c r="D3901">
        <v>4.2701019999999996</v>
      </c>
      <c r="E3901">
        <v>0.40189710000000001</v>
      </c>
      <c r="F3901" t="s">
        <v>51</v>
      </c>
      <c r="G3901">
        <v>-477.3725</v>
      </c>
      <c r="H3901" s="1">
        <v>2.781265E-6</v>
      </c>
      <c r="I3901">
        <v>216.72649999999999</v>
      </c>
      <c r="J3901">
        <v>-490.88709999999998</v>
      </c>
      <c r="K3901">
        <v>1.123081</v>
      </c>
      <c r="L3901">
        <v>225.5043</v>
      </c>
      <c r="M3901">
        <v>0.27836680000000003</v>
      </c>
      <c r="N3901">
        <v>-1.378352E-2</v>
      </c>
      <c r="O3901">
        <v>-0.96037600000000001</v>
      </c>
      <c r="P3901">
        <v>0.67525599999999997</v>
      </c>
      <c r="Q3901">
        <v>-8.1508070000000002E-2</v>
      </c>
      <c r="R3901">
        <v>-0.73306629999999995</v>
      </c>
      <c r="S3901">
        <v>2.5887150000000001</v>
      </c>
      <c r="T3901">
        <v>-0.21465119999999999</v>
      </c>
      <c r="U3901">
        <v>-1.6921539999999999</v>
      </c>
      <c r="V3901">
        <v>-0.44417770000000001</v>
      </c>
      <c r="W3901">
        <v>-7.1121749999999997E-2</v>
      </c>
      <c r="X3901">
        <v>0.89311130000000005</v>
      </c>
      <c r="Y3901">
        <v>-0.64974119999999902</v>
      </c>
      <c r="Z3901">
        <v>6.1843469999999998E-2</v>
      </c>
      <c r="AA3901">
        <v>0.75763570000000002</v>
      </c>
      <c r="AB3901">
        <v>9</v>
      </c>
      <c r="AC3901">
        <v>13.5145999999999</v>
      </c>
      <c r="AD3901">
        <v>-1.1230782187349999</v>
      </c>
      <c r="AE3901">
        <v>-8.7778000000000098</v>
      </c>
      <c r="AF3901">
        <v>-10.485721761240701</v>
      </c>
      <c r="AG3901">
        <v>-1.1230782187349999</v>
      </c>
      <c r="AH3901">
        <v>12.134227437867001</v>
      </c>
      <c r="AI3901">
        <v>94.005874024662404</v>
      </c>
      <c r="AJ3901">
        <v>130.83174447737201</v>
      </c>
      <c r="AK3901">
        <v>16.076415678049599</v>
      </c>
      <c r="AL3901">
        <v>94.078419510633097</v>
      </c>
      <c r="AM3901">
        <v>116.442879123566</v>
      </c>
      <c r="AN3901">
        <v>0.99999996334401997</v>
      </c>
    </row>
    <row r="3902" spans="1:40" x14ac:dyDescent="0.25">
      <c r="A3902" t="str">
        <f>"20190303153844709"</f>
        <v>20190303153844709</v>
      </c>
      <c r="B3902" t="str">
        <f>"1551598724702541"</f>
        <v>1551598724702541</v>
      </c>
      <c r="C3902" t="s">
        <v>40</v>
      </c>
      <c r="D3902">
        <v>4.2934549999999998</v>
      </c>
      <c r="E3902">
        <v>0.40189140000000001</v>
      </c>
      <c r="F3902" t="s">
        <v>51</v>
      </c>
      <c r="G3902">
        <v>-477.49599999999998</v>
      </c>
      <c r="H3902" s="1">
        <v>2.7344629999999999E-6</v>
      </c>
      <c r="I3902">
        <v>216.90880000000001</v>
      </c>
      <c r="J3902">
        <v>-490.85480000000001</v>
      </c>
      <c r="K3902">
        <v>1.1230340000000001</v>
      </c>
      <c r="L3902">
        <v>225.42509999999999</v>
      </c>
      <c r="M3902">
        <v>0.28558030000000001</v>
      </c>
      <c r="N3902">
        <v>-1.37663E-2</v>
      </c>
      <c r="O3902">
        <v>-0.95825590000000005</v>
      </c>
      <c r="P3902">
        <v>0.68063719999999905</v>
      </c>
      <c r="Q3902">
        <v>-8.1765729999999995E-2</v>
      </c>
      <c r="R3902">
        <v>-0.72804369999999996</v>
      </c>
      <c r="S3902">
        <v>2.602722</v>
      </c>
      <c r="T3902">
        <v>-0.2182839</v>
      </c>
      <c r="U3902">
        <v>-1.6706540000000001</v>
      </c>
      <c r="V3902">
        <v>-0.44405459999999902</v>
      </c>
      <c r="W3902">
        <v>-7.1350280000000002E-2</v>
      </c>
      <c r="X3902">
        <v>0.89315429999999996</v>
      </c>
      <c r="Y3902">
        <v>-0.65024459999999995</v>
      </c>
      <c r="Z3902">
        <v>6.3212240000000003E-2</v>
      </c>
      <c r="AA3902">
        <v>0.75709059999999995</v>
      </c>
      <c r="AB3902">
        <v>9</v>
      </c>
      <c r="AC3902">
        <v>13.3588</v>
      </c>
      <c r="AD3902">
        <v>-1.1230312655370001</v>
      </c>
      <c r="AE3902">
        <v>-8.5162999999999691</v>
      </c>
      <c r="AF3902">
        <v>-10.3181951978799</v>
      </c>
      <c r="AG3902">
        <v>-1.1230312655370001</v>
      </c>
      <c r="AH3902">
        <v>11.9170566220153</v>
      </c>
      <c r="AI3902">
        <v>94.075063530678904</v>
      </c>
      <c r="AJ3902">
        <v>130.88713399047299</v>
      </c>
      <c r="AK3902">
        <v>15.8032461822641</v>
      </c>
      <c r="AL3902">
        <v>94.091546609677906</v>
      </c>
      <c r="AM3902">
        <v>116.435447871119</v>
      </c>
      <c r="AN3902">
        <v>0.99999997692286302</v>
      </c>
    </row>
    <row r="3903" spans="1:40" x14ac:dyDescent="0.25">
      <c r="A3903" t="str">
        <f>"20190303153844732"</f>
        <v>20190303153844732</v>
      </c>
      <c r="B3903" t="str">
        <f>"1551598724722654"</f>
        <v>1551598724722654</v>
      </c>
      <c r="C3903" t="s">
        <v>40</v>
      </c>
      <c r="D3903">
        <v>4.2955730000000001</v>
      </c>
      <c r="E3903">
        <v>0.40193230000000002</v>
      </c>
      <c r="F3903" t="s">
        <v>44</v>
      </c>
      <c r="G3903">
        <v>-490.07769999999999</v>
      </c>
      <c r="H3903">
        <v>1.0584249999999999</v>
      </c>
      <c r="I3903">
        <v>224.9342</v>
      </c>
      <c r="J3903">
        <v>-490.82150000000001</v>
      </c>
      <c r="K3903">
        <v>1.1229819999999999</v>
      </c>
      <c r="L3903">
        <v>225.34520000000001</v>
      </c>
      <c r="M3903">
        <v>0.29283710000000002</v>
      </c>
      <c r="N3903">
        <v>-1.373984E-2</v>
      </c>
      <c r="O3903">
        <v>-0.95606360000000001</v>
      </c>
      <c r="P3903">
        <v>0.68460449999999995</v>
      </c>
      <c r="Q3903">
        <v>-8.2303570000000006E-2</v>
      </c>
      <c r="R3903">
        <v>-0.72425340000000005</v>
      </c>
      <c r="S3903">
        <v>2.614868</v>
      </c>
      <c r="T3903">
        <v>-0.21735550000000001</v>
      </c>
      <c r="U3903">
        <v>-1.6516109999999999</v>
      </c>
      <c r="V3903">
        <v>-0.44218639999999998</v>
      </c>
      <c r="W3903">
        <v>-7.1849880000000005E-2</v>
      </c>
      <c r="X3903">
        <v>0.89404069999999902</v>
      </c>
      <c r="Y3903">
        <v>-0.65003650000000002</v>
      </c>
      <c r="Z3903">
        <v>6.3014840000000003E-2</v>
      </c>
      <c r="AA3903">
        <v>0.75728580000000001</v>
      </c>
      <c r="AB3903">
        <v>9</v>
      </c>
      <c r="AC3903">
        <v>0.743800000000021</v>
      </c>
      <c r="AD3903">
        <v>-6.4556999999999906E-2</v>
      </c>
      <c r="AE3903">
        <v>-0.41100000000000098</v>
      </c>
      <c r="AF3903">
        <v>-0.58742976438356398</v>
      </c>
      <c r="AG3903">
        <v>-6.4556999999999906E-2</v>
      </c>
      <c r="AH3903">
        <v>0.60730725532869401</v>
      </c>
      <c r="AI3903">
        <v>94.369236640868493</v>
      </c>
      <c r="AJ3903">
        <v>134.04682683138</v>
      </c>
      <c r="AK3903">
        <v>0.84738623820994396</v>
      </c>
      <c r="AL3903">
        <v>94.120245163021707</v>
      </c>
      <c r="AM3903">
        <v>116.316683515957</v>
      </c>
      <c r="AN3903">
        <v>0.99999999542873197</v>
      </c>
    </row>
    <row r="3904" spans="1:40" x14ac:dyDescent="0.25">
      <c r="A3904" t="str">
        <f>"20190303153844752"</f>
        <v>20190303153844752</v>
      </c>
      <c r="B3904" t="str">
        <f>"1551598724742174"</f>
        <v>1551598724742174</v>
      </c>
      <c r="C3904" t="s">
        <v>40</v>
      </c>
      <c r="D3904">
        <v>4.2988819999999999</v>
      </c>
      <c r="E3904">
        <v>0.40207280000000001</v>
      </c>
      <c r="F3904" t="s">
        <v>51</v>
      </c>
      <c r="G3904">
        <v>-477.27030000000002</v>
      </c>
      <c r="H3904" s="1">
        <v>2.8336709999999999E-6</v>
      </c>
      <c r="I3904">
        <v>216.88839999999999</v>
      </c>
      <c r="J3904">
        <v>-490.79050000000001</v>
      </c>
      <c r="K3904">
        <v>1.1229359999999999</v>
      </c>
      <c r="L3904">
        <v>225.2722</v>
      </c>
      <c r="M3904">
        <v>0.2994579</v>
      </c>
      <c r="N3904">
        <v>-1.3685879999999999E-2</v>
      </c>
      <c r="O3904">
        <v>-0.95401139999999995</v>
      </c>
      <c r="P3904">
        <v>0.68745749999999906</v>
      </c>
      <c r="Q3904">
        <v>-8.2811010000000004E-2</v>
      </c>
      <c r="R3904">
        <v>-0.72148780000000001</v>
      </c>
      <c r="S3904">
        <v>2.6237490000000001</v>
      </c>
      <c r="T3904">
        <v>-0.21742810000000001</v>
      </c>
      <c r="U3904">
        <v>-1.6373899999999999</v>
      </c>
      <c r="V3904">
        <v>-0.43953819999999999</v>
      </c>
      <c r="W3904">
        <v>-7.2349499999999997E-2</v>
      </c>
      <c r="X3904">
        <v>0.89530540000000003</v>
      </c>
      <c r="Y3904">
        <v>-0.64887629999999996</v>
      </c>
      <c r="Z3904">
        <v>6.3154210000000002E-2</v>
      </c>
      <c r="AA3904">
        <v>0.75826850000000001</v>
      </c>
      <c r="AB3904">
        <v>9</v>
      </c>
      <c r="AC3904">
        <v>13.5201999999999</v>
      </c>
      <c r="AD3904">
        <v>-1.1229331663290001</v>
      </c>
      <c r="AE3904">
        <v>-8.3838000000000008</v>
      </c>
      <c r="AF3904">
        <v>-10.3372971966546</v>
      </c>
      <c r="AG3904">
        <v>-1.1229331663290001</v>
      </c>
      <c r="AH3904">
        <v>11.9883678298623</v>
      </c>
      <c r="AI3904">
        <v>94.057661805070794</v>
      </c>
      <c r="AJ3904">
        <v>130.770451535359</v>
      </c>
      <c r="AK3904">
        <v>15.8695196982165</v>
      </c>
      <c r="AL3904">
        <v>94.148945877297507</v>
      </c>
      <c r="AM3904">
        <v>116.148111863853</v>
      </c>
      <c r="AN3904">
        <v>1.0000000193393199</v>
      </c>
    </row>
    <row r="3905" spans="1:40" x14ac:dyDescent="0.25">
      <c r="A3905" t="str">
        <f>"20190303153844775"</f>
        <v>20190303153844775</v>
      </c>
      <c r="B3905" t="str">
        <f>"1551598724772430"</f>
        <v>1551598724772430</v>
      </c>
      <c r="C3905" t="s">
        <v>40</v>
      </c>
      <c r="D3905">
        <v>4.3012889999999997</v>
      </c>
      <c r="E3905">
        <v>0.40218959999999998</v>
      </c>
      <c r="F3905" t="s">
        <v>51</v>
      </c>
      <c r="G3905">
        <v>-477.23079999999999</v>
      </c>
      <c r="H3905" s="1">
        <v>2.850682E-6</v>
      </c>
      <c r="I3905">
        <v>216.87639999999999</v>
      </c>
      <c r="J3905">
        <v>-490.75790000000001</v>
      </c>
      <c r="K3905">
        <v>1.122903</v>
      </c>
      <c r="L3905">
        <v>225.197</v>
      </c>
      <c r="M3905">
        <v>0.30627880000000002</v>
      </c>
      <c r="N3905">
        <v>-1.359579E-2</v>
      </c>
      <c r="O3905">
        <v>-0.95184489999999999</v>
      </c>
      <c r="P3905">
        <v>0.69049340000000003</v>
      </c>
      <c r="Q3905">
        <v>-8.2250100000000007E-2</v>
      </c>
      <c r="R3905">
        <v>-0.71864749999999999</v>
      </c>
      <c r="S3905">
        <v>2.6291500000000001</v>
      </c>
      <c r="T3905">
        <v>-0.2177297</v>
      </c>
      <c r="U3905">
        <v>-1.627899</v>
      </c>
      <c r="V3905">
        <v>-0.43689109999999998</v>
      </c>
      <c r="W3905">
        <v>-7.1825829999999993E-2</v>
      </c>
      <c r="X3905">
        <v>0.89664219999999895</v>
      </c>
      <c r="Y3905">
        <v>-0.64610119999999904</v>
      </c>
      <c r="Z3905">
        <v>6.3378740000000003E-2</v>
      </c>
      <c r="AA3905">
        <v>0.76061579999999995</v>
      </c>
      <c r="AB3905">
        <v>9</v>
      </c>
      <c r="AC3905">
        <v>13.527100000000001</v>
      </c>
      <c r="AD3905">
        <v>-1.122900149318</v>
      </c>
      <c r="AE3905">
        <v>-8.3206000000000095</v>
      </c>
      <c r="AF3905">
        <v>-10.276853647617701</v>
      </c>
      <c r="AG3905">
        <v>-1.122900149318</v>
      </c>
      <c r="AH3905">
        <v>12.0040857270556</v>
      </c>
      <c r="AI3905">
        <v>94.064572335470203</v>
      </c>
      <c r="AJ3905">
        <v>130.56726129648899</v>
      </c>
      <c r="AK3905">
        <v>15.842117907097901</v>
      </c>
      <c r="AL3905">
        <v>94.1188635742229</v>
      </c>
      <c r="AM3905">
        <v>115.977771992051</v>
      </c>
      <c r="AN3905">
        <v>1.00000000896761</v>
      </c>
    </row>
    <row r="3906" spans="1:40" x14ac:dyDescent="0.25">
      <c r="A3906" t="str">
        <f>"20190303153844798"</f>
        <v>20190303153844798</v>
      </c>
      <c r="B3906" t="str">
        <f>"1551598724791950"</f>
        <v>1551598724791950</v>
      </c>
      <c r="C3906" t="s">
        <v>40</v>
      </c>
      <c r="D3906">
        <v>4.3034239999999997</v>
      </c>
      <c r="E3906">
        <v>0.402252</v>
      </c>
      <c r="F3906" t="s">
        <v>51</v>
      </c>
      <c r="G3906">
        <v>-477.20760000000001</v>
      </c>
      <c r="H3906" s="1">
        <v>2.8611349999999999E-6</v>
      </c>
      <c r="I3906">
        <v>216.88050000000001</v>
      </c>
      <c r="J3906">
        <v>-490.72280000000001</v>
      </c>
      <c r="K3906">
        <v>1.1228659999999999</v>
      </c>
      <c r="L3906">
        <v>225.1172</v>
      </c>
      <c r="M3906">
        <v>0.31350539999999999</v>
      </c>
      <c r="N3906">
        <v>-1.346631E-2</v>
      </c>
      <c r="O3906">
        <v>-0.94949130000000004</v>
      </c>
      <c r="P3906">
        <v>0.6943184</v>
      </c>
      <c r="Q3906">
        <v>-8.2650070000000006E-2</v>
      </c>
      <c r="R3906">
        <v>-0.7149065</v>
      </c>
      <c r="S3906">
        <v>2.635345</v>
      </c>
      <c r="T3906">
        <v>-0.21838830000000001</v>
      </c>
      <c r="U3906">
        <v>-1.617432</v>
      </c>
      <c r="V3906">
        <v>-0.43487480000000001</v>
      </c>
      <c r="W3906">
        <v>-7.2316679999999994E-2</v>
      </c>
      <c r="X3906">
        <v>0.8975824</v>
      </c>
      <c r="Y3906">
        <v>-0.6432793</v>
      </c>
      <c r="Z3906">
        <v>6.3751349999999998E-2</v>
      </c>
      <c r="AA3906">
        <v>0.76297280000000001</v>
      </c>
      <c r="AB3906">
        <v>9</v>
      </c>
      <c r="AC3906">
        <v>13.515199999999901</v>
      </c>
      <c r="AD3906">
        <v>-1.1228631388650001</v>
      </c>
      <c r="AE3906">
        <v>-8.2366999999999795</v>
      </c>
      <c r="AF3906">
        <v>-10.199903232799199</v>
      </c>
      <c r="AG3906">
        <v>-1.1228631388650001</v>
      </c>
      <c r="AH3906">
        <v>11.998462378116001</v>
      </c>
      <c r="AI3906">
        <v>94.078385490891307</v>
      </c>
      <c r="AJ3906">
        <v>130.36789145650201</v>
      </c>
      <c r="AK3906">
        <v>15.7880317654278</v>
      </c>
      <c r="AL3906">
        <v>94.147060657328694</v>
      </c>
      <c r="AM3906">
        <v>115.84998801111099</v>
      </c>
      <c r="AN3906">
        <v>0.99999997933551099</v>
      </c>
    </row>
    <row r="3907" spans="1:40" x14ac:dyDescent="0.25">
      <c r="A3907" t="str">
        <f>"20190303153844822"</f>
        <v>20190303153844822</v>
      </c>
      <c r="B3907" t="str">
        <f>"1551598724811994"</f>
        <v>1551598724811994</v>
      </c>
      <c r="C3907" t="s">
        <v>40</v>
      </c>
      <c r="D3907">
        <v>4.3751150000000001</v>
      </c>
      <c r="E3907">
        <v>0.40231319999999998</v>
      </c>
      <c r="F3907" t="s">
        <v>51</v>
      </c>
      <c r="G3907">
        <v>-477.32870000000003</v>
      </c>
      <c r="H3907" s="1">
        <v>2.8123300000000001E-6</v>
      </c>
      <c r="I3907">
        <v>216.9924</v>
      </c>
      <c r="J3907">
        <v>-490.68549999999999</v>
      </c>
      <c r="K3907">
        <v>1.1228199999999999</v>
      </c>
      <c r="L3907">
        <v>225.03450000000001</v>
      </c>
      <c r="M3907">
        <v>0.32099349999999999</v>
      </c>
      <c r="N3907">
        <v>-1.3293050000000001E-2</v>
      </c>
      <c r="O3907">
        <v>-0.94698819999999995</v>
      </c>
      <c r="P3907">
        <v>0.69815590000000005</v>
      </c>
      <c r="Q3907">
        <v>-8.463582E-2</v>
      </c>
      <c r="R3907">
        <v>-0.71092580000000005</v>
      </c>
      <c r="S3907">
        <v>2.643402</v>
      </c>
      <c r="T3907">
        <v>-0.22160379999999999</v>
      </c>
      <c r="U3907">
        <v>-1.603485</v>
      </c>
      <c r="V3907">
        <v>-0.4326856</v>
      </c>
      <c r="W3907">
        <v>-7.4438760000000007E-2</v>
      </c>
      <c r="X3907">
        <v>0.89846649999999995</v>
      </c>
      <c r="Y3907">
        <v>-0.64114329999999997</v>
      </c>
      <c r="Z3907">
        <v>6.504836E-2</v>
      </c>
      <c r="AA3907">
        <v>0.76465950000000005</v>
      </c>
      <c r="AB3907">
        <v>9</v>
      </c>
      <c r="AC3907">
        <v>13.3567999999999</v>
      </c>
      <c r="AD3907">
        <v>-1.1228171876699999</v>
      </c>
      <c r="AE3907">
        <v>-8.0420999999999996</v>
      </c>
      <c r="AF3907">
        <v>-10.016210300934199</v>
      </c>
      <c r="AG3907">
        <v>-1.1228171876699999</v>
      </c>
      <c r="AH3907">
        <v>11.842848227945099</v>
      </c>
      <c r="AI3907">
        <v>94.140447230434802</v>
      </c>
      <c r="AJ3907">
        <v>130.22321380124799</v>
      </c>
      <c r="AK3907">
        <v>15.5511491980371</v>
      </c>
      <c r="AL3907">
        <v>94.268975458791701</v>
      </c>
      <c r="AM3907">
        <v>115.714644849276</v>
      </c>
      <c r="AN3907">
        <v>1.00000000452997</v>
      </c>
    </row>
    <row r="3908" spans="1:40" x14ac:dyDescent="0.25">
      <c r="A3908" t="str">
        <f>"20190303153844845"</f>
        <v>20190303153844845</v>
      </c>
      <c r="B3908" t="str">
        <f>"1551598724832471"</f>
        <v>1551598724832471</v>
      </c>
      <c r="C3908" t="s">
        <v>40</v>
      </c>
      <c r="D3908">
        <v>4.3773049999999998</v>
      </c>
      <c r="E3908">
        <v>0.42953340000000001</v>
      </c>
      <c r="F3908" t="s">
        <v>44</v>
      </c>
      <c r="G3908">
        <v>-489.88159999999999</v>
      </c>
      <c r="H3908">
        <v>1.053901</v>
      </c>
      <c r="I3908">
        <v>224.55269999999999</v>
      </c>
      <c r="J3908">
        <v>-490.65159999999997</v>
      </c>
      <c r="K3908">
        <v>1.1227739999999999</v>
      </c>
      <c r="L3908">
        <v>224.9606</v>
      </c>
      <c r="M3908">
        <v>0.32767960000000002</v>
      </c>
      <c r="N3908">
        <v>-1.3079479999999999E-2</v>
      </c>
      <c r="O3908">
        <v>-0.94469860000000005</v>
      </c>
      <c r="P3908">
        <v>0.70112719999999995</v>
      </c>
      <c r="Q3908">
        <v>-8.7495100000000006E-2</v>
      </c>
      <c r="R3908">
        <v>-0.70764819999999995</v>
      </c>
      <c r="S3908">
        <v>2.6516419999999998</v>
      </c>
      <c r="T3908">
        <v>-0.2272711</v>
      </c>
      <c r="U3908">
        <v>-1.588776</v>
      </c>
      <c r="V3908">
        <v>-0.4301991</v>
      </c>
      <c r="W3908">
        <v>-7.7477069999999995E-2</v>
      </c>
      <c r="X3908">
        <v>0.89940319999999996</v>
      </c>
      <c r="Y3908">
        <v>-0.63976940000000004</v>
      </c>
      <c r="Z3908">
        <v>6.7220290000000002E-2</v>
      </c>
      <c r="AA3908">
        <v>0.76562169999999996</v>
      </c>
      <c r="AB3908">
        <v>9</v>
      </c>
      <c r="AC3908">
        <v>0.76999999999998103</v>
      </c>
      <c r="AD3908">
        <v>-6.8872999999999907E-2</v>
      </c>
      <c r="AE3908">
        <v>-0.40790000000001198</v>
      </c>
      <c r="AF3908">
        <v>-0.590121392606339</v>
      </c>
      <c r="AG3908">
        <v>-6.8872999999999907E-2</v>
      </c>
      <c r="AH3908">
        <v>0.63375100743190105</v>
      </c>
      <c r="AI3908">
        <v>94.547382402717801</v>
      </c>
      <c r="AJ3908">
        <v>132.958337279815</v>
      </c>
      <c r="AK3908">
        <v>0.86869274635028204</v>
      </c>
      <c r="AL3908">
        <v>94.443562089423096</v>
      </c>
      <c r="AM3908">
        <v>115.56254408855401</v>
      </c>
      <c r="AN3908">
        <v>1.0000000390934101</v>
      </c>
    </row>
    <row r="3909" spans="1:40" x14ac:dyDescent="0.25">
      <c r="A3909" t="str">
        <f>"20190303153844866"</f>
        <v>20190303153844866</v>
      </c>
      <c r="B3909" t="str">
        <f>"1551598724862727"</f>
        <v>1551598724862727</v>
      </c>
      <c r="C3909" t="s">
        <v>40</v>
      </c>
      <c r="D3909">
        <v>4.3654469999999996</v>
      </c>
      <c r="E3909">
        <v>0.43455840000000001</v>
      </c>
      <c r="F3909" t="s">
        <v>44</v>
      </c>
      <c r="G3909">
        <v>-489.91320000000002</v>
      </c>
      <c r="H3909">
        <v>1.0519940000000001</v>
      </c>
      <c r="I3909">
        <v>224.45070000000001</v>
      </c>
      <c r="J3909">
        <v>-490.6157</v>
      </c>
      <c r="K3909">
        <v>1.1227309999999999</v>
      </c>
      <c r="L3909">
        <v>224.8837</v>
      </c>
      <c r="M3909">
        <v>0.33465460000000002</v>
      </c>
      <c r="N3909">
        <v>-1.2766E-2</v>
      </c>
      <c r="O3909">
        <v>-0.94225460000000005</v>
      </c>
      <c r="P3909">
        <v>0.70434189999999997</v>
      </c>
      <c r="Q3909">
        <v>-8.865953E-2</v>
      </c>
      <c r="R3909">
        <v>-0.70430300000000001</v>
      </c>
      <c r="S3909">
        <v>2.503784</v>
      </c>
      <c r="T3909">
        <v>-0.2399869</v>
      </c>
      <c r="U3909">
        <v>-1.72905</v>
      </c>
      <c r="V3909">
        <v>-0.42768630000000002</v>
      </c>
      <c r="W3909">
        <v>-7.8924090000000002E-2</v>
      </c>
      <c r="X3909">
        <v>0.90047509999999997</v>
      </c>
      <c r="Y3909">
        <v>-0.58277970000000001</v>
      </c>
      <c r="Z3909">
        <v>7.1961949999999997E-2</v>
      </c>
      <c r="AA3909">
        <v>0.80943759999999998</v>
      </c>
      <c r="AB3909">
        <v>9</v>
      </c>
      <c r="AC3909">
        <v>0.70249999999998602</v>
      </c>
      <c r="AD3909">
        <v>-7.07369999999998E-2</v>
      </c>
      <c r="AE3909">
        <v>-0.432999999999992</v>
      </c>
      <c r="AF3909">
        <v>-0.51329889882658597</v>
      </c>
      <c r="AG3909">
        <v>-7.07369999999998E-2</v>
      </c>
      <c r="AH3909">
        <v>0.63845224598362904</v>
      </c>
      <c r="AI3909">
        <v>94.935154020693403</v>
      </c>
      <c r="AJ3909">
        <v>128.798370976575</v>
      </c>
      <c r="AK3909">
        <v>0.82225346038014802</v>
      </c>
      <c r="AL3909">
        <v>94.526725108948099</v>
      </c>
      <c r="AM3909">
        <v>115.40567404883301</v>
      </c>
      <c r="AN3909">
        <v>0.99999999445501397</v>
      </c>
    </row>
    <row r="3910" spans="1:40" x14ac:dyDescent="0.25">
      <c r="A3910" t="str">
        <f>"20190303153844887"</f>
        <v>20190303153844887</v>
      </c>
      <c r="B3910" t="str">
        <f>"1551598724882248"</f>
        <v>1551598724882248</v>
      </c>
      <c r="C3910" t="s">
        <v>40</v>
      </c>
      <c r="D3910">
        <v>4.3525489999999998</v>
      </c>
      <c r="E3910">
        <v>0.43605120000000003</v>
      </c>
      <c r="F3910" t="s">
        <v>44</v>
      </c>
      <c r="G3910">
        <v>-489.8947</v>
      </c>
      <c r="H3910">
        <v>1.051374</v>
      </c>
      <c r="I3910">
        <v>224.3767</v>
      </c>
      <c r="J3910">
        <v>-490.58260000000001</v>
      </c>
      <c r="K3910">
        <v>1.122695</v>
      </c>
      <c r="L3910">
        <v>224.81379999999999</v>
      </c>
      <c r="M3910">
        <v>0.3409954</v>
      </c>
      <c r="N3910">
        <v>-1.2390150000000001E-2</v>
      </c>
      <c r="O3910">
        <v>-0.93998349999999997</v>
      </c>
      <c r="P3910">
        <v>0.70736469999999996</v>
      </c>
      <c r="Q3910">
        <v>-8.8365170000000007E-2</v>
      </c>
      <c r="R3910">
        <v>-0.70130400000000004</v>
      </c>
      <c r="S3910">
        <v>2.4831850000000002</v>
      </c>
      <c r="T3910">
        <v>-0.24566209999999999</v>
      </c>
      <c r="U3910">
        <v>-1.74528499999999</v>
      </c>
      <c r="V3910">
        <v>-0.42547509999999999</v>
      </c>
      <c r="W3910">
        <v>-7.8983319999999996E-2</v>
      </c>
      <c r="X3910">
        <v>0.90151689999999995</v>
      </c>
      <c r="Y3910">
        <v>-0.57043120000000003</v>
      </c>
      <c r="Z3910">
        <v>7.4199879999999996E-2</v>
      </c>
      <c r="AA3910">
        <v>0.81798700000000002</v>
      </c>
      <c r="AB3910">
        <v>9</v>
      </c>
      <c r="AC3910">
        <v>0.68790000000001295</v>
      </c>
      <c r="AD3910">
        <v>-7.1320999999999898E-2</v>
      </c>
      <c r="AE3910">
        <v>-0.437099999999986</v>
      </c>
      <c r="AF3910">
        <v>-0.49382215556867398</v>
      </c>
      <c r="AG3910">
        <v>-7.1320999999999898E-2</v>
      </c>
      <c r="AH3910">
        <v>0.64058161289543403</v>
      </c>
      <c r="AI3910">
        <v>95.039196113340495</v>
      </c>
      <c r="AJ3910">
        <v>127.62850561905699</v>
      </c>
      <c r="AK3910">
        <v>0.81196786214185102</v>
      </c>
      <c r="AL3910">
        <v>94.530129007313406</v>
      </c>
      <c r="AM3910">
        <v>115.26518586938801</v>
      </c>
      <c r="AN3910">
        <v>1.0000000732719101</v>
      </c>
    </row>
    <row r="3911" spans="1:40" x14ac:dyDescent="0.25">
      <c r="A3911" t="str">
        <f>"20190303153844911"</f>
        <v>20190303153844911</v>
      </c>
      <c r="B3911" t="str">
        <f>"1551598724902744"</f>
        <v>1551598724902744</v>
      </c>
      <c r="C3911" t="s">
        <v>40</v>
      </c>
      <c r="D3911">
        <v>4.3490699999999904</v>
      </c>
      <c r="E3911">
        <v>0.4373765</v>
      </c>
      <c r="F3911" t="s">
        <v>44</v>
      </c>
      <c r="G3911">
        <v>-489.86399999999998</v>
      </c>
      <c r="H3911">
        <v>1.0524340000000001</v>
      </c>
      <c r="I3911">
        <v>224.3092</v>
      </c>
      <c r="J3911">
        <v>-490.54289999999997</v>
      </c>
      <c r="K3911">
        <v>1.1226510000000001</v>
      </c>
      <c r="L3911">
        <v>224.73169999999999</v>
      </c>
      <c r="M3911">
        <v>0.34844550000000002</v>
      </c>
      <c r="N3911">
        <v>-1.1875810000000001E-2</v>
      </c>
      <c r="O3911">
        <v>-0.93725400000000003</v>
      </c>
      <c r="P3911">
        <v>0.71211979999999997</v>
      </c>
      <c r="Q3911">
        <v>-8.6053710000000005E-2</v>
      </c>
      <c r="R3911">
        <v>-0.69676439999999995</v>
      </c>
      <c r="S3911">
        <v>2.482208</v>
      </c>
      <c r="T3911">
        <v>-0.24271699999999999</v>
      </c>
      <c r="U3911">
        <v>-1.7434689999999999</v>
      </c>
      <c r="V3911">
        <v>-0.42435420000000001</v>
      </c>
      <c r="W3911">
        <v>-7.7172899999999905E-2</v>
      </c>
      <c r="X3911">
        <v>0.9022017</v>
      </c>
      <c r="Y3911">
        <v>-0.56420990000000004</v>
      </c>
      <c r="Z3911">
        <v>7.3565920000000007E-2</v>
      </c>
      <c r="AA3911">
        <v>0.8223473</v>
      </c>
      <c r="AB3911">
        <v>9</v>
      </c>
      <c r="AC3911">
        <v>0.678899999999941</v>
      </c>
      <c r="AD3911">
        <v>-7.0216999999999904E-2</v>
      </c>
      <c r="AE3911">
        <v>-0.422499999999985</v>
      </c>
      <c r="AF3911">
        <v>-0.48537524904915302</v>
      </c>
      <c r="AG3911">
        <v>-7.0216999999999904E-2</v>
      </c>
      <c r="AH3911">
        <v>0.62775342760159403</v>
      </c>
      <c r="AI3911">
        <v>95.056859949718103</v>
      </c>
      <c r="AJ3911">
        <v>127.710984128335</v>
      </c>
      <c r="AK3911">
        <v>0.796614037877866</v>
      </c>
      <c r="AL3911">
        <v>94.4260821568663</v>
      </c>
      <c r="AM3911">
        <v>115.190136296955</v>
      </c>
      <c r="AN3911">
        <v>1.0000000255174599</v>
      </c>
    </row>
    <row r="3912" spans="1:40" x14ac:dyDescent="0.25">
      <c r="A3912" t="str">
        <f>"20190303153844933"</f>
        <v>20190303153844933</v>
      </c>
      <c r="B3912" t="str">
        <f>"1551598724922773"</f>
        <v>1551598724922773</v>
      </c>
      <c r="C3912" t="s">
        <v>40</v>
      </c>
      <c r="D3912">
        <v>4.3317329999999998</v>
      </c>
      <c r="E3912">
        <v>0.43824459999999998</v>
      </c>
      <c r="F3912" t="s">
        <v>44</v>
      </c>
      <c r="G3912">
        <v>-489.76979999999998</v>
      </c>
      <c r="H3912">
        <v>1.049811</v>
      </c>
      <c r="I3912">
        <v>224.19220000000001</v>
      </c>
      <c r="J3912">
        <v>-490.50420000000003</v>
      </c>
      <c r="K3912">
        <v>1.122609</v>
      </c>
      <c r="L3912">
        <v>224.65299999999999</v>
      </c>
      <c r="M3912">
        <v>0.35554409999999997</v>
      </c>
      <c r="N3912">
        <v>-1.1362860000000001E-2</v>
      </c>
      <c r="O3912">
        <v>-0.93459040000000004</v>
      </c>
      <c r="P3912">
        <v>0.71701530000000002</v>
      </c>
      <c r="Q3912">
        <v>-8.4118219999999994E-2</v>
      </c>
      <c r="R3912">
        <v>-0.69196309999999905</v>
      </c>
      <c r="S3912">
        <v>2.4869080000000001</v>
      </c>
      <c r="T3912">
        <v>-0.2342398</v>
      </c>
      <c r="U3912">
        <v>-1.735031</v>
      </c>
      <c r="V3912">
        <v>-0.4237901</v>
      </c>
      <c r="W3912">
        <v>-7.5733910000000002E-2</v>
      </c>
      <c r="X3912">
        <v>0.90258870000000002</v>
      </c>
      <c r="Y3912">
        <v>-0.5607299</v>
      </c>
      <c r="Z3912">
        <v>7.1063860000000006E-2</v>
      </c>
      <c r="AA3912">
        <v>0.8249436</v>
      </c>
      <c r="AB3912">
        <v>9</v>
      </c>
      <c r="AC3912">
        <v>0.73440000000005001</v>
      </c>
      <c r="AD3912">
        <v>-7.2797999999999904E-2</v>
      </c>
      <c r="AE3912">
        <v>-0.46079999999997701</v>
      </c>
      <c r="AF3912">
        <v>-0.51890380790084301</v>
      </c>
      <c r="AG3912">
        <v>-7.2797999999999904E-2</v>
      </c>
      <c r="AH3912">
        <v>0.68697218710100105</v>
      </c>
      <c r="AI3912">
        <v>94.833312254648504</v>
      </c>
      <c r="AJ3912">
        <v>127.065541484025</v>
      </c>
      <c r="AK3912">
        <v>0.86399739380875895</v>
      </c>
      <c r="AL3912">
        <v>94.343392111040004</v>
      </c>
      <c r="AM3912">
        <v>115.151340450701</v>
      </c>
      <c r="AN3912">
        <v>1.0000000176747901</v>
      </c>
    </row>
    <row r="3913" spans="1:40" x14ac:dyDescent="0.25">
      <c r="A3913" t="str">
        <f>"20190303153844954"</f>
        <v>20190303153844954</v>
      </c>
      <c r="B3913" t="str">
        <f>"1551598724952050"</f>
        <v>1551598724952050</v>
      </c>
      <c r="C3913" t="s">
        <v>40</v>
      </c>
      <c r="D3913">
        <v>4.3374009999999998</v>
      </c>
      <c r="E3913">
        <v>0.4391061</v>
      </c>
      <c r="F3913" t="s">
        <v>44</v>
      </c>
      <c r="G3913">
        <v>-489.73719999999997</v>
      </c>
      <c r="H3913">
        <v>1.052543</v>
      </c>
      <c r="I3913">
        <v>224.12309999999999</v>
      </c>
      <c r="J3913">
        <v>-490.46589999999998</v>
      </c>
      <c r="K3913">
        <v>1.1225670000000001</v>
      </c>
      <c r="L3913">
        <v>224.57669999999999</v>
      </c>
      <c r="M3913">
        <v>0.3623711</v>
      </c>
      <c r="N3913">
        <v>-1.0884090000000001E-2</v>
      </c>
      <c r="O3913">
        <v>-0.93197059999999998</v>
      </c>
      <c r="P3913">
        <v>0.72188589999999997</v>
      </c>
      <c r="Q3913">
        <v>-8.3192219999999997E-2</v>
      </c>
      <c r="R3913">
        <v>-0.68699319999999997</v>
      </c>
      <c r="S3913">
        <v>2.494202</v>
      </c>
      <c r="T3913">
        <v>-0.22784360000000001</v>
      </c>
      <c r="U3913">
        <v>-1.7232510000000001</v>
      </c>
      <c r="V3913">
        <v>-0.42352240000000002</v>
      </c>
      <c r="W3913">
        <v>-7.5265079999999998E-2</v>
      </c>
      <c r="X3913">
        <v>0.90275349999999999</v>
      </c>
      <c r="Y3913">
        <v>-0.55856790000000001</v>
      </c>
      <c r="Z3913">
        <v>6.9257979999999997E-2</v>
      </c>
      <c r="AA3913">
        <v>0.82656229999999997</v>
      </c>
      <c r="AB3913">
        <v>9</v>
      </c>
      <c r="AC3913">
        <v>0.72870000000000301</v>
      </c>
      <c r="AD3913">
        <v>-7.0024000000000003E-2</v>
      </c>
      <c r="AE3913">
        <v>-0.45359999999999401</v>
      </c>
      <c r="AF3913">
        <v>-0.51138239513238704</v>
      </c>
      <c r="AG3913">
        <v>-7.0024000000000003E-2</v>
      </c>
      <c r="AH3913">
        <v>0.68230126315765804</v>
      </c>
      <c r="AI3913">
        <v>94.694775512297696</v>
      </c>
      <c r="AJ3913">
        <v>126.85142946270901</v>
      </c>
      <c r="AK3913">
        <v>0.85554095654964002</v>
      </c>
      <c r="AL3913">
        <v>94.316453455064305</v>
      </c>
      <c r="AM3913">
        <v>115.13339259331001</v>
      </c>
      <c r="AN3913">
        <v>0.99999996866570695</v>
      </c>
    </row>
    <row r="3914" spans="1:40" x14ac:dyDescent="0.25">
      <c r="A3914" t="str">
        <f>"20190303153844976"</f>
        <v>20190303153844976</v>
      </c>
      <c r="B3914" t="str">
        <f>"1551598724972546"</f>
        <v>1551598724972546</v>
      </c>
      <c r="C3914" t="s">
        <v>40</v>
      </c>
      <c r="D3914">
        <v>4.3584899999999998</v>
      </c>
      <c r="E3914">
        <v>0.43966880000000003</v>
      </c>
      <c r="F3914" t="s">
        <v>44</v>
      </c>
      <c r="G3914">
        <v>-489.70249999999999</v>
      </c>
      <c r="H3914">
        <v>1.054476</v>
      </c>
      <c r="I3914">
        <v>224.05439999999999</v>
      </c>
      <c r="J3914">
        <v>-490.42720000000003</v>
      </c>
      <c r="K3914">
        <v>1.1225290000000001</v>
      </c>
      <c r="L3914">
        <v>224.50040000000001</v>
      </c>
      <c r="M3914">
        <v>0.36912339999999999</v>
      </c>
      <c r="N3914">
        <v>-1.043735E-2</v>
      </c>
      <c r="O3914">
        <v>-0.92932179999999998</v>
      </c>
      <c r="P3914">
        <v>0.72647569999999995</v>
      </c>
      <c r="Q3914">
        <v>-8.3085450000000005E-2</v>
      </c>
      <c r="R3914">
        <v>-0.68215099999999995</v>
      </c>
      <c r="S3914">
        <v>2.501617</v>
      </c>
      <c r="T3914">
        <v>-0.22308430000000001</v>
      </c>
      <c r="U3914">
        <v>-1.7111510000000001</v>
      </c>
      <c r="V3914">
        <v>-0.42301879999999997</v>
      </c>
      <c r="W3914">
        <v>-7.5571269999999996E-2</v>
      </c>
      <c r="X3914">
        <v>0.90296410000000005</v>
      </c>
      <c r="Y3914">
        <v>-0.55650849999999996</v>
      </c>
      <c r="Z3914">
        <v>6.7980840000000001E-2</v>
      </c>
      <c r="AA3914">
        <v>0.82805609999999996</v>
      </c>
      <c r="AB3914">
        <v>9</v>
      </c>
      <c r="AC3914">
        <v>0.72470000000004098</v>
      </c>
      <c r="AD3914">
        <v>-6.80530000000001E-2</v>
      </c>
      <c r="AE3914">
        <v>-0.44600000000002599</v>
      </c>
      <c r="AF3914">
        <v>-0.50564420277686695</v>
      </c>
      <c r="AG3914">
        <v>-6.80530000000001E-2</v>
      </c>
      <c r="AH3914">
        <v>0.67768408362361399</v>
      </c>
      <c r="AI3914">
        <v>94.601532208474694</v>
      </c>
      <c r="AJ3914">
        <v>126.727928805148</v>
      </c>
      <c r="AK3914">
        <v>0.84827058643314401</v>
      </c>
      <c r="AL3914">
        <v>94.334046629925894</v>
      </c>
      <c r="AM3914">
        <v>115.102055732122</v>
      </c>
      <c r="AN3914">
        <v>1.0000000439458301</v>
      </c>
    </row>
    <row r="3915" spans="1:40" x14ac:dyDescent="0.25">
      <c r="A3915" t="str">
        <f>"20190303153845000"</f>
        <v>20190303153845000</v>
      </c>
      <c r="B3915" t="str">
        <f>"1551598724992066"</f>
        <v>1551598724992066</v>
      </c>
      <c r="C3915" t="s">
        <v>40</v>
      </c>
      <c r="D3915">
        <v>4.3355620000000004</v>
      </c>
      <c r="E3915">
        <v>0.44022539999999999</v>
      </c>
      <c r="F3915" t="s">
        <v>44</v>
      </c>
      <c r="G3915">
        <v>-489.6662</v>
      </c>
      <c r="H3915">
        <v>1.055132</v>
      </c>
      <c r="I3915">
        <v>223.9855</v>
      </c>
      <c r="J3915">
        <v>-490.38240000000002</v>
      </c>
      <c r="K3915">
        <v>1.122479</v>
      </c>
      <c r="L3915">
        <v>224.41380000000001</v>
      </c>
      <c r="M3915">
        <v>0.3767006</v>
      </c>
      <c r="N3915">
        <v>-9.973315E-3</v>
      </c>
      <c r="O3915">
        <v>-0.92628149999999998</v>
      </c>
      <c r="P3915">
        <v>0.73159439999999998</v>
      </c>
      <c r="Q3915">
        <v>-8.3190609999999998E-2</v>
      </c>
      <c r="R3915">
        <v>-0.67664559999999996</v>
      </c>
      <c r="S3915">
        <v>2.5100099999999999</v>
      </c>
      <c r="T3915">
        <v>-0.22222829999999999</v>
      </c>
      <c r="U3915">
        <v>-1.6976469999999999</v>
      </c>
      <c r="V3915">
        <v>-0.42245159999999998</v>
      </c>
      <c r="W3915">
        <v>-7.609428E-2</v>
      </c>
      <c r="X3915">
        <v>0.90318569999999998</v>
      </c>
      <c r="Y3915">
        <v>-0.55407689999999998</v>
      </c>
      <c r="Z3915">
        <v>6.8033029999999994E-2</v>
      </c>
      <c r="AA3915">
        <v>0.82968090000000005</v>
      </c>
      <c r="AB3915">
        <v>9</v>
      </c>
      <c r="AC3915">
        <v>0.71620000000001405</v>
      </c>
      <c r="AD3915">
        <v>-6.7347000000000004E-2</v>
      </c>
      <c r="AE3915">
        <v>-0.42830000000000701</v>
      </c>
      <c r="AF3915">
        <v>-0.498837873745344</v>
      </c>
      <c r="AG3915">
        <v>-6.7347000000000004E-2</v>
      </c>
      <c r="AH3915">
        <v>0.662239177633273</v>
      </c>
      <c r="AI3915">
        <v>94.643908643586499</v>
      </c>
      <c r="AJ3915">
        <v>126.98923003345401</v>
      </c>
      <c r="AK3915">
        <v>0.83182664725540501</v>
      </c>
      <c r="AL3915">
        <v>94.364099398259697</v>
      </c>
      <c r="AM3915">
        <v>115.067139301048</v>
      </c>
      <c r="AN3915">
        <v>1.0000000512378799</v>
      </c>
    </row>
    <row r="3916" spans="1:40" x14ac:dyDescent="0.25">
      <c r="A3916" t="str">
        <f>"20190303153845024"</f>
        <v>20190303153845024</v>
      </c>
      <c r="B3916" t="str">
        <f>"1551598725012561"</f>
        <v>1551598725012561</v>
      </c>
      <c r="C3916" t="s">
        <v>40</v>
      </c>
      <c r="D3916">
        <v>4.3374600000000001</v>
      </c>
      <c r="E3916">
        <v>0.44068570000000001</v>
      </c>
      <c r="F3916" t="s">
        <v>44</v>
      </c>
      <c r="G3916">
        <v>-489.63310000000001</v>
      </c>
      <c r="H3916">
        <v>1.0563359999999999</v>
      </c>
      <c r="I3916">
        <v>223.9135</v>
      </c>
      <c r="J3916">
        <v>-490.33870000000002</v>
      </c>
      <c r="K3916">
        <v>1.122439</v>
      </c>
      <c r="L3916">
        <v>224.3304</v>
      </c>
      <c r="M3916">
        <v>0.38389430000000002</v>
      </c>
      <c r="N3916">
        <v>-9.5728359999999995E-3</v>
      </c>
      <c r="O3916">
        <v>-0.92332789999999998</v>
      </c>
      <c r="P3916">
        <v>0.7369272</v>
      </c>
      <c r="Q3916">
        <v>-8.4321019999999997E-2</v>
      </c>
      <c r="R3916">
        <v>-0.67069299999999998</v>
      </c>
      <c r="S3916">
        <v>2.519806</v>
      </c>
      <c r="T3916">
        <v>-0.2223792</v>
      </c>
      <c r="U3916">
        <v>-1.6818850000000001</v>
      </c>
      <c r="V3916">
        <v>-0.42262369999999999</v>
      </c>
      <c r="W3916">
        <v>-7.7588219999999999E-2</v>
      </c>
      <c r="X3916">
        <v>0.90297799999999995</v>
      </c>
      <c r="Y3916">
        <v>-0.55267369999999905</v>
      </c>
      <c r="Z3916">
        <v>6.838901E-2</v>
      </c>
      <c r="AA3916">
        <v>0.83058699999999996</v>
      </c>
      <c r="AB3916">
        <v>9</v>
      </c>
      <c r="AC3916">
        <v>0.705600000000004</v>
      </c>
      <c r="AD3916">
        <v>-6.6102999999999801E-2</v>
      </c>
      <c r="AE3916">
        <v>-0.41689999999999799</v>
      </c>
      <c r="AF3916">
        <v>-0.48830028888395099</v>
      </c>
      <c r="AG3916">
        <v>-6.6102999999999801E-2</v>
      </c>
      <c r="AH3916">
        <v>0.65160197250458896</v>
      </c>
      <c r="AI3916">
        <v>94.641179697578096</v>
      </c>
      <c r="AJ3916">
        <v>126.84731373261199</v>
      </c>
      <c r="AK3916">
        <v>0.81694057880914595</v>
      </c>
      <c r="AL3916">
        <v>94.449949934869906</v>
      </c>
      <c r="AM3916">
        <v>115.08115533831899</v>
      </c>
      <c r="AN3916">
        <v>0.99999999608422896</v>
      </c>
    </row>
    <row r="3917" spans="1:40" x14ac:dyDescent="0.25">
      <c r="A3917" t="str">
        <f>"20190303153845047"</f>
        <v>20190303153845047</v>
      </c>
      <c r="B3917" t="str">
        <f>"1551598725042817"</f>
        <v>1551598725042817</v>
      </c>
      <c r="C3917" t="s">
        <v>40</v>
      </c>
      <c r="D3917">
        <v>4.3509169999999999</v>
      </c>
      <c r="E3917">
        <v>0.4414708</v>
      </c>
      <c r="F3917" t="s">
        <v>44</v>
      </c>
      <c r="G3917">
        <v>-489.59690000000001</v>
      </c>
      <c r="H3917">
        <v>1.056389</v>
      </c>
      <c r="I3917">
        <v>223.8425</v>
      </c>
      <c r="J3917">
        <v>-490.29390000000001</v>
      </c>
      <c r="K3917">
        <v>1.1224229999999999</v>
      </c>
      <c r="L3917">
        <v>224.24639999999999</v>
      </c>
      <c r="M3917">
        <v>0.39105319999999999</v>
      </c>
      <c r="N3917">
        <v>-9.2178850000000003E-3</v>
      </c>
      <c r="O3917">
        <v>-0.92032190000000003</v>
      </c>
      <c r="P3917">
        <v>0.74269909999999995</v>
      </c>
      <c r="Q3917">
        <v>-8.4408179999999999E-2</v>
      </c>
      <c r="R3917">
        <v>-0.66428390000000004</v>
      </c>
      <c r="S3917">
        <v>2.5305179999999998</v>
      </c>
      <c r="T3917">
        <v>-0.22532820000000001</v>
      </c>
      <c r="U3917">
        <v>-1.6641999999999999</v>
      </c>
      <c r="V3917">
        <v>-0.42342180000000001</v>
      </c>
      <c r="W3917">
        <v>-7.8004809999999994E-2</v>
      </c>
      <c r="X3917">
        <v>0.90256820000000004</v>
      </c>
      <c r="Y3917">
        <v>-0.55180059999999997</v>
      </c>
      <c r="Z3917">
        <v>6.9668049999999995E-2</v>
      </c>
      <c r="AA3917">
        <v>0.831061099999999</v>
      </c>
      <c r="AB3917">
        <v>9</v>
      </c>
      <c r="AC3917">
        <v>0.69700000000000195</v>
      </c>
      <c r="AD3917">
        <v>-6.6033999999999898E-2</v>
      </c>
      <c r="AE3917">
        <v>-0.40389999999999199</v>
      </c>
      <c r="AF3917">
        <v>-0.48031114343887898</v>
      </c>
      <c r="AG3917">
        <v>-6.6033999999999898E-2</v>
      </c>
      <c r="AH3917">
        <v>0.640009027525556</v>
      </c>
      <c r="AI3917">
        <v>94.717501328012702</v>
      </c>
      <c r="AJ3917">
        <v>126.88733269584399</v>
      </c>
      <c r="AK3917">
        <v>0.80291396735999798</v>
      </c>
      <c r="AL3917">
        <v>94.473891042488404</v>
      </c>
      <c r="AM3917">
        <v>115.132681483097</v>
      </c>
      <c r="AN3917">
        <v>1.0000000633748001</v>
      </c>
    </row>
    <row r="3918" spans="1:40" x14ac:dyDescent="0.25">
      <c r="A3918" t="str">
        <f>"20190303153845069"</f>
        <v>20190303153845069</v>
      </c>
      <c r="B3918" t="str">
        <f>"1551598725062337"</f>
        <v>1551598725062337</v>
      </c>
      <c r="C3918" t="s">
        <v>40</v>
      </c>
      <c r="D3918">
        <v>4.3416439999999996</v>
      </c>
      <c r="E3918">
        <v>0.44195420000000002</v>
      </c>
      <c r="F3918" t="s">
        <v>44</v>
      </c>
      <c r="G3918">
        <v>-489.56029999999998</v>
      </c>
      <c r="H3918">
        <v>1.0574170000000001</v>
      </c>
      <c r="I3918">
        <v>223.77070000000001</v>
      </c>
      <c r="J3918">
        <v>-490.25049999999999</v>
      </c>
      <c r="K3918">
        <v>1.1224270000000001</v>
      </c>
      <c r="L3918">
        <v>224.166</v>
      </c>
      <c r="M3918">
        <v>0.39781870000000003</v>
      </c>
      <c r="N3918">
        <v>-8.9240710000000004E-3</v>
      </c>
      <c r="O3918">
        <v>-0.91742060000000003</v>
      </c>
      <c r="P3918">
        <v>0.74836190000000002</v>
      </c>
      <c r="Q3918">
        <v>-8.3628209999999994E-2</v>
      </c>
      <c r="R3918">
        <v>-0.65799739999999995</v>
      </c>
      <c r="S3918">
        <v>2.5407099999999998</v>
      </c>
      <c r="T3918">
        <v>-0.22506010000000001</v>
      </c>
      <c r="U3918">
        <v>-1.6469419999999999</v>
      </c>
      <c r="V3918">
        <v>-0.42446879999999998</v>
      </c>
      <c r="W3918">
        <v>-7.7506530000000004E-2</v>
      </c>
      <c r="X3918">
        <v>0.90211920000000001</v>
      </c>
      <c r="Y3918">
        <v>-0.55115959999999997</v>
      </c>
      <c r="Z3918">
        <v>6.9801479999999999E-2</v>
      </c>
      <c r="AA3918">
        <v>0.83147510000000002</v>
      </c>
      <c r="AB3918">
        <v>9</v>
      </c>
      <c r="AC3918">
        <v>0.69020000000000403</v>
      </c>
      <c r="AD3918">
        <v>-6.5009999999999998E-2</v>
      </c>
      <c r="AE3918">
        <v>-0.39529999999999099</v>
      </c>
      <c r="AF3918">
        <v>-0.472806385486023</v>
      </c>
      <c r="AG3918">
        <v>-6.5009999999999998E-2</v>
      </c>
      <c r="AH3918">
        <v>0.63302733278843804</v>
      </c>
      <c r="AI3918">
        <v>94.703699324835597</v>
      </c>
      <c r="AJ3918">
        <v>126.75595309314799</v>
      </c>
      <c r="AK3918">
        <v>0.79277725895336004</v>
      </c>
      <c r="AL3918">
        <v>94.445255120226804</v>
      </c>
      <c r="AM3918">
        <v>115.19811383772399</v>
      </c>
      <c r="AN3918">
        <v>1.0000000376873499</v>
      </c>
    </row>
    <row r="3919" spans="1:40" x14ac:dyDescent="0.25">
      <c r="A3919" t="str">
        <f>"20190303153845089"</f>
        <v>20190303153845089</v>
      </c>
      <c r="B3919" t="str">
        <f>"1551598725081858"</f>
        <v>1551598725081858</v>
      </c>
      <c r="C3919" t="s">
        <v>40</v>
      </c>
      <c r="D3919">
        <v>4.3175249999999998</v>
      </c>
      <c r="E3919">
        <v>0.4421891</v>
      </c>
      <c r="F3919" t="s">
        <v>44</v>
      </c>
      <c r="G3919">
        <v>-489.5204</v>
      </c>
      <c r="H3919">
        <v>1.059013</v>
      </c>
      <c r="I3919">
        <v>223.7</v>
      </c>
      <c r="J3919">
        <v>-490.20920000000001</v>
      </c>
      <c r="K3919">
        <v>1.122447</v>
      </c>
      <c r="L3919">
        <v>224.0908</v>
      </c>
      <c r="M3919">
        <v>0.40408440000000001</v>
      </c>
      <c r="N3919">
        <v>-8.6845220000000001E-3</v>
      </c>
      <c r="O3919">
        <v>-0.91468059999999995</v>
      </c>
      <c r="P3919">
        <v>0.75383849999999997</v>
      </c>
      <c r="Q3919">
        <v>-8.2678940000000006E-2</v>
      </c>
      <c r="R3919">
        <v>-0.65183740000000001</v>
      </c>
      <c r="S3919">
        <v>2.5522459999999998</v>
      </c>
      <c r="T3919">
        <v>-0.2216022</v>
      </c>
      <c r="U3919">
        <v>-1.628387</v>
      </c>
      <c r="V3919">
        <v>-0.42579339999999999</v>
      </c>
      <c r="W3919">
        <v>-7.6798850000000002E-2</v>
      </c>
      <c r="X3919">
        <v>0.9015552</v>
      </c>
      <c r="Y3919">
        <v>-0.55152599999999996</v>
      </c>
      <c r="Z3919">
        <v>6.8809659999999995E-2</v>
      </c>
      <c r="AA3919">
        <v>0.83131489999999997</v>
      </c>
      <c r="AB3919">
        <v>10</v>
      </c>
      <c r="AC3919">
        <v>0.68880000000001396</v>
      </c>
      <c r="AD3919">
        <v>-6.3433999999999893E-2</v>
      </c>
      <c r="AE3919">
        <v>-0.39080000000001203</v>
      </c>
      <c r="AF3919">
        <v>-0.46912370612125498</v>
      </c>
      <c r="AG3919">
        <v>-6.3433999999999893E-2</v>
      </c>
      <c r="AH3919">
        <v>0.63176109161372995</v>
      </c>
      <c r="AI3919">
        <v>94.608838020211095</v>
      </c>
      <c r="AJ3919">
        <v>126.59628883908699</v>
      </c>
      <c r="AK3919">
        <v>0.78944474213076699</v>
      </c>
      <c r="AL3919">
        <v>94.404587295170003</v>
      </c>
      <c r="AM3919">
        <v>115.280788058581</v>
      </c>
      <c r="AN3919">
        <v>0.99999993074595805</v>
      </c>
    </row>
    <row r="3920" spans="1:40" x14ac:dyDescent="0.25">
      <c r="A3920" t="str">
        <f>"20190303153845111"</f>
        <v>20190303153845111</v>
      </c>
      <c r="B3920" t="str">
        <f>"1551598725102354"</f>
        <v>1551598725102354</v>
      </c>
      <c r="C3920" t="s">
        <v>40</v>
      </c>
      <c r="D3920">
        <v>4.35738</v>
      </c>
      <c r="E3920">
        <v>0.44925920000000003</v>
      </c>
      <c r="F3920" t="s">
        <v>44</v>
      </c>
      <c r="G3920">
        <v>-489.47649999999999</v>
      </c>
      <c r="H3920">
        <v>1.0599769999999999</v>
      </c>
      <c r="I3920">
        <v>223.63120000000001</v>
      </c>
      <c r="J3920">
        <v>-490.1635</v>
      </c>
      <c r="K3920">
        <v>1.1224620000000001</v>
      </c>
      <c r="L3920">
        <v>224.00890000000001</v>
      </c>
      <c r="M3920">
        <v>0.41084569999999998</v>
      </c>
      <c r="N3920">
        <v>-8.4554360000000002E-3</v>
      </c>
      <c r="O3920">
        <v>-0.91166570000000002</v>
      </c>
      <c r="P3920">
        <v>0.75960030000000001</v>
      </c>
      <c r="Q3920">
        <v>-8.1096119999999994E-2</v>
      </c>
      <c r="R3920">
        <v>-0.64531470000000002</v>
      </c>
      <c r="S3920">
        <v>2.5643919999999998</v>
      </c>
      <c r="T3920">
        <v>-0.21870780000000001</v>
      </c>
      <c r="U3920">
        <v>-1.6089020000000001</v>
      </c>
      <c r="V3920">
        <v>-0.42704760000000003</v>
      </c>
      <c r="W3920">
        <v>-7.5456510000000004E-2</v>
      </c>
      <c r="X3920">
        <v>0.90107530000000002</v>
      </c>
      <c r="Y3920">
        <v>-0.55171759999999903</v>
      </c>
      <c r="Z3920">
        <v>6.7986809999999995E-2</v>
      </c>
      <c r="AA3920">
        <v>0.83125539999999998</v>
      </c>
      <c r="AB3920">
        <v>10</v>
      </c>
      <c r="AC3920">
        <v>0.68700000000001105</v>
      </c>
      <c r="AD3920">
        <v>-6.2485000000000103E-2</v>
      </c>
      <c r="AE3920">
        <v>-0.37770000000000398</v>
      </c>
      <c r="AF3920">
        <v>-0.46818066170386002</v>
      </c>
      <c r="AG3920">
        <v>-6.2485000000000103E-2</v>
      </c>
      <c r="AH3920">
        <v>0.62265414894948001</v>
      </c>
      <c r="AI3920">
        <v>94.585790381885801</v>
      </c>
      <c r="AJ3920">
        <v>126.939917704412</v>
      </c>
      <c r="AK3920">
        <v>0.78153419401998403</v>
      </c>
      <c r="AL3920">
        <v>94.327452655958894</v>
      </c>
      <c r="AM3920">
        <v>115.357727825921</v>
      </c>
      <c r="AN3920">
        <v>1.0000000169186101</v>
      </c>
    </row>
    <row r="3921" spans="1:40" x14ac:dyDescent="0.25">
      <c r="A3921" t="str">
        <f>"20190303153845135"</f>
        <v>20190303153845135</v>
      </c>
      <c r="B3921" t="str">
        <f>"1551598725122384"</f>
        <v>1551598725122384</v>
      </c>
      <c r="C3921" t="s">
        <v>40</v>
      </c>
      <c r="D3921">
        <v>4.3214259999999998</v>
      </c>
      <c r="E3921">
        <v>0.44975979999999999</v>
      </c>
      <c r="F3921" t="s">
        <v>44</v>
      </c>
      <c r="G3921">
        <v>-489.37310000000002</v>
      </c>
      <c r="H3921">
        <v>1.0563800000000001</v>
      </c>
      <c r="I3921">
        <v>223.50229999999999</v>
      </c>
      <c r="J3921">
        <v>-490.11430000000001</v>
      </c>
      <c r="K3921">
        <v>1.122495</v>
      </c>
      <c r="L3921">
        <v>223.922</v>
      </c>
      <c r="M3921">
        <v>0.41795529999999997</v>
      </c>
      <c r="N3921">
        <v>-8.2429389999999995E-3</v>
      </c>
      <c r="O3921">
        <v>-0.90843030000000002</v>
      </c>
      <c r="P3921">
        <v>0.76468599999999998</v>
      </c>
      <c r="Q3921">
        <v>-8.060544E-2</v>
      </c>
      <c r="R3921">
        <v>-0.63934199999999997</v>
      </c>
      <c r="S3921">
        <v>2.5424190000000002</v>
      </c>
      <c r="T3921">
        <v>-0.21257970000000001</v>
      </c>
      <c r="U3921">
        <v>-1.629532</v>
      </c>
      <c r="V3921">
        <v>-0.42711280000000001</v>
      </c>
      <c r="W3921">
        <v>-7.519294E-2</v>
      </c>
      <c r="X3921">
        <v>0.90106640000000005</v>
      </c>
      <c r="Y3921">
        <v>-0.5372304</v>
      </c>
      <c r="Z3921">
        <v>6.5908759999999997E-2</v>
      </c>
      <c r="AA3921">
        <v>0.84085650000000001</v>
      </c>
      <c r="AB3921">
        <v>10</v>
      </c>
      <c r="AC3921">
        <v>0.74119999999999198</v>
      </c>
      <c r="AD3921">
        <v>-6.6115000000000104E-2</v>
      </c>
      <c r="AE3921">
        <v>-0.41970000000000601</v>
      </c>
      <c r="AF3921">
        <v>-0.494947576175293</v>
      </c>
      <c r="AG3921">
        <v>-6.6115000000000104E-2</v>
      </c>
      <c r="AH3921">
        <v>0.68694134975160004</v>
      </c>
      <c r="AI3921">
        <v>94.465032186944498</v>
      </c>
      <c r="AJ3921">
        <v>125.77309768590401</v>
      </c>
      <c r="AK3921">
        <v>0.84925421069627205</v>
      </c>
      <c r="AL3921">
        <v>94.312308300673394</v>
      </c>
      <c r="AM3921">
        <v>115.36133217511799</v>
      </c>
      <c r="AN3921">
        <v>0.99999998967932102</v>
      </c>
    </row>
    <row r="3922" spans="1:40" x14ac:dyDescent="0.25">
      <c r="A3922" t="str">
        <f>"20190303153845155"</f>
        <v>20190303153845155</v>
      </c>
      <c r="B3922" t="str">
        <f>"1551598725152636"</f>
        <v>1551598725152636</v>
      </c>
      <c r="C3922" t="s">
        <v>40</v>
      </c>
      <c r="D3922">
        <v>4.315264</v>
      </c>
      <c r="E3922">
        <v>0.45032709999999998</v>
      </c>
      <c r="F3922" t="s">
        <v>44</v>
      </c>
      <c r="G3922">
        <v>-489.33269999999999</v>
      </c>
      <c r="H3922">
        <v>1.057275</v>
      </c>
      <c r="I3922">
        <v>223.428</v>
      </c>
      <c r="J3922">
        <v>-490.06880000000001</v>
      </c>
      <c r="K3922">
        <v>1.122539</v>
      </c>
      <c r="L3922">
        <v>223.84280000000001</v>
      </c>
      <c r="M3922">
        <v>0.42440719999999998</v>
      </c>
      <c r="N3922">
        <v>-8.0728520000000002E-3</v>
      </c>
      <c r="O3922">
        <v>-0.90543560000000001</v>
      </c>
      <c r="P3922">
        <v>0.76830159999999903</v>
      </c>
      <c r="Q3922">
        <v>-8.1526810000000005E-2</v>
      </c>
      <c r="R3922">
        <v>-0.63487490000000002</v>
      </c>
      <c r="S3922">
        <v>2.55246</v>
      </c>
      <c r="T3922">
        <v>-0.21291879999999999</v>
      </c>
      <c r="U3922">
        <v>-1.612579</v>
      </c>
      <c r="V3922">
        <v>-0.42585410000000001</v>
      </c>
      <c r="W3922">
        <v>-7.6298389999999994E-2</v>
      </c>
      <c r="X3922">
        <v>0.90156910000000001</v>
      </c>
      <c r="Y3922">
        <v>-0.53670899999999999</v>
      </c>
      <c r="Z3922">
        <v>6.6122719999999996E-2</v>
      </c>
      <c r="AA3922">
        <v>0.84117249999999999</v>
      </c>
      <c r="AB3922">
        <v>10</v>
      </c>
      <c r="AC3922">
        <v>0.73610000000002096</v>
      </c>
      <c r="AD3922">
        <v>-6.5263999999999905E-2</v>
      </c>
      <c r="AE3922">
        <v>-0.41480000000001299</v>
      </c>
      <c r="AF3922">
        <v>-0.48755403772320799</v>
      </c>
      <c r="AG3922">
        <v>-6.5263999999999905E-2</v>
      </c>
      <c r="AH3922">
        <v>0.68392263299210398</v>
      </c>
      <c r="AI3922">
        <v>94.443125923225793</v>
      </c>
      <c r="AJ3922">
        <v>125.48427030752499</v>
      </c>
      <c r="AK3922">
        <v>0.84244791964551502</v>
      </c>
      <c r="AL3922">
        <v>94.375828359349896</v>
      </c>
      <c r="AM3922">
        <v>115.28360091190901</v>
      </c>
      <c r="AN3922">
        <v>1.0000000004391001</v>
      </c>
    </row>
    <row r="3923" spans="1:40" x14ac:dyDescent="0.25">
      <c r="A3923" t="str">
        <f>"20190303153845178"</f>
        <v>20190303153845178</v>
      </c>
      <c r="B3923" t="str">
        <f>"1551598725172157"</f>
        <v>1551598725172157</v>
      </c>
      <c r="C3923" t="s">
        <v>40</v>
      </c>
      <c r="D3923">
        <v>4.3451320000000004</v>
      </c>
      <c r="E3923">
        <v>0.45079829999999999</v>
      </c>
      <c r="F3923" t="s">
        <v>44</v>
      </c>
      <c r="G3923">
        <v>-489.2894</v>
      </c>
      <c r="H3923">
        <v>1.056227</v>
      </c>
      <c r="I3923">
        <v>223.35489999999999</v>
      </c>
      <c r="J3923">
        <v>-490.01819999999998</v>
      </c>
      <c r="K3923">
        <v>1.122598</v>
      </c>
      <c r="L3923">
        <v>223.75630000000001</v>
      </c>
      <c r="M3923">
        <v>0.43142459999999999</v>
      </c>
      <c r="N3923">
        <v>-7.9114509999999999E-3</v>
      </c>
      <c r="O3923">
        <v>-0.90211430000000004</v>
      </c>
      <c r="P3923">
        <v>0.77183840000000004</v>
      </c>
      <c r="Q3923">
        <v>-7.970613E-2</v>
      </c>
      <c r="R3923">
        <v>-0.630803</v>
      </c>
      <c r="S3923">
        <v>2.5585629999999999</v>
      </c>
      <c r="T3923">
        <v>-0.21762300000000001</v>
      </c>
      <c r="U3923">
        <v>-1.601089</v>
      </c>
      <c r="V3923">
        <v>-0.42379329999999998</v>
      </c>
      <c r="W3923">
        <v>-7.4655669999999993E-2</v>
      </c>
      <c r="X3923">
        <v>0.90267699999999995</v>
      </c>
      <c r="Y3923">
        <v>-0.53367640000000005</v>
      </c>
      <c r="Z3923">
        <v>6.7749809999999994E-2</v>
      </c>
      <c r="AA3923">
        <v>0.84297069999999996</v>
      </c>
      <c r="AB3923">
        <v>10</v>
      </c>
      <c r="AC3923">
        <v>0.72879999999997802</v>
      </c>
      <c r="AD3923">
        <v>-6.6370999999999902E-2</v>
      </c>
      <c r="AE3923">
        <v>-0.40140000000002302</v>
      </c>
      <c r="AF3923">
        <v>-0.48123996760990501</v>
      </c>
      <c r="AG3923">
        <v>-6.6370999999999902E-2</v>
      </c>
      <c r="AH3923">
        <v>0.67227424400650904</v>
      </c>
      <c r="AI3923">
        <v>94.589731001973902</v>
      </c>
      <c r="AJ3923">
        <v>125.596556035611</v>
      </c>
      <c r="AK3923">
        <v>0.82942731762385702</v>
      </c>
      <c r="AL3923">
        <v>94.281438190857003</v>
      </c>
      <c r="AM3923">
        <v>115.1493506395</v>
      </c>
      <c r="AN3923">
        <v>0.99999999825851904</v>
      </c>
    </row>
    <row r="3924" spans="1:40" x14ac:dyDescent="0.25">
      <c r="A3924" t="str">
        <f>"20190303153845200"</f>
        <v>20190303153845200</v>
      </c>
      <c r="B3924" t="str">
        <f>"1551598725192653"</f>
        <v>1551598725192653</v>
      </c>
      <c r="C3924" t="s">
        <v>40</v>
      </c>
      <c r="D3924">
        <v>4.3383969999999996</v>
      </c>
      <c r="E3924">
        <v>0.45115650000000002</v>
      </c>
      <c r="F3924" t="s">
        <v>44</v>
      </c>
      <c r="G3924">
        <v>-489.2482</v>
      </c>
      <c r="H3924">
        <v>1.0585209999999901</v>
      </c>
      <c r="I3924">
        <v>223.27889999999999</v>
      </c>
      <c r="J3924">
        <v>-489.96780000000001</v>
      </c>
      <c r="K3924">
        <v>1.1226700000000001</v>
      </c>
      <c r="L3924">
        <v>223.6713</v>
      </c>
      <c r="M3924">
        <v>0.43829430000000003</v>
      </c>
      <c r="N3924">
        <v>-7.7738490000000002E-3</v>
      </c>
      <c r="O3924">
        <v>-0.89879809999999905</v>
      </c>
      <c r="P3924">
        <v>0.77492830000000001</v>
      </c>
      <c r="Q3924">
        <v>-7.4810500000000002E-2</v>
      </c>
      <c r="R3924">
        <v>-0.62760660000000001</v>
      </c>
      <c r="S3924">
        <v>2.5650019999999998</v>
      </c>
      <c r="T3924">
        <v>-0.21346960000000001</v>
      </c>
      <c r="U3924">
        <v>-1.590317</v>
      </c>
      <c r="V3924">
        <v>-0.42109249999999998</v>
      </c>
      <c r="W3924">
        <v>-6.9910029999999998E-2</v>
      </c>
      <c r="X3924">
        <v>0.90431950000000005</v>
      </c>
      <c r="Y3924">
        <v>-0.53082180000000001</v>
      </c>
      <c r="Z3924">
        <v>6.6342219999999993E-2</v>
      </c>
      <c r="AA3924">
        <v>0.84488280000000004</v>
      </c>
      <c r="AB3924">
        <v>10</v>
      </c>
      <c r="AC3924">
        <v>0.71960000000001401</v>
      </c>
      <c r="AD3924">
        <v>-6.4149000000000206E-2</v>
      </c>
      <c r="AE3924">
        <v>-0.39240000000000902</v>
      </c>
      <c r="AF3924">
        <v>-0.47191201614464701</v>
      </c>
      <c r="AG3924">
        <v>-6.4149000000000206E-2</v>
      </c>
      <c r="AH3924">
        <v>0.66403749005816903</v>
      </c>
      <c r="AI3924">
        <v>94.502448934797499</v>
      </c>
      <c r="AJ3924">
        <v>125.40029439489901</v>
      </c>
      <c r="AK3924">
        <v>0.81716695563725505</v>
      </c>
      <c r="AL3924">
        <v>94.008819528653405</v>
      </c>
      <c r="AM3924">
        <v>114.968839461587</v>
      </c>
      <c r="AN3924">
        <v>1.00000003196555</v>
      </c>
    </row>
    <row r="3925" spans="1:40" x14ac:dyDescent="0.25">
      <c r="A3925" t="str">
        <f>"20190303153845222"</f>
        <v>20190303153845222</v>
      </c>
      <c r="B3925" t="str">
        <f>"1551598725212172"</f>
        <v>1551598725212172</v>
      </c>
      <c r="C3925" t="s">
        <v>40</v>
      </c>
      <c r="D3925">
        <v>4.4150869999999998</v>
      </c>
      <c r="E3925">
        <v>0.4512061</v>
      </c>
      <c r="F3925" t="s">
        <v>44</v>
      </c>
      <c r="G3925">
        <v>-489.20600000000002</v>
      </c>
      <c r="H3925">
        <v>1.06271</v>
      </c>
      <c r="I3925">
        <v>223.20259999999999</v>
      </c>
      <c r="J3925">
        <v>-489.91590000000002</v>
      </c>
      <c r="K3925">
        <v>1.122725</v>
      </c>
      <c r="L3925">
        <v>223.5855</v>
      </c>
      <c r="M3925">
        <v>0.44520310000000002</v>
      </c>
      <c r="N3925">
        <v>-7.65248199999999E-3</v>
      </c>
      <c r="O3925">
        <v>-0.89539690000000005</v>
      </c>
      <c r="P3925">
        <v>0.77779100000000001</v>
      </c>
      <c r="Q3925">
        <v>-7.1046150000000002E-2</v>
      </c>
      <c r="R3925">
        <v>-0.62449489999999996</v>
      </c>
      <c r="S3925">
        <v>2.5709230000000001</v>
      </c>
      <c r="T3925">
        <v>-0.20234450000000001</v>
      </c>
      <c r="U3925">
        <v>-1.5816349999999999</v>
      </c>
      <c r="V3925">
        <v>-0.41808010000000001</v>
      </c>
      <c r="W3925">
        <v>-6.6275979999999998E-2</v>
      </c>
      <c r="X3925">
        <v>0.90598920000000005</v>
      </c>
      <c r="Y3925">
        <v>-0.52746579999999998</v>
      </c>
      <c r="Z3925">
        <v>6.2543580000000001E-2</v>
      </c>
      <c r="AA3925">
        <v>0.847270999999999</v>
      </c>
      <c r="AB3925">
        <v>10</v>
      </c>
      <c r="AC3925">
        <v>0.70990000000006104</v>
      </c>
      <c r="AD3925">
        <v>-6.0014999999999902E-2</v>
      </c>
      <c r="AE3925">
        <v>-0.38290000000000601</v>
      </c>
      <c r="AF3925">
        <v>-0.462626348650372</v>
      </c>
      <c r="AG3925">
        <v>-6.0014999999999902E-2</v>
      </c>
      <c r="AH3925">
        <v>0.65528853587034297</v>
      </c>
      <c r="AI3925">
        <v>94.278826323590707</v>
      </c>
      <c r="AJ3925">
        <v>125.221662361157</v>
      </c>
      <c r="AK3925">
        <v>0.80438050941931305</v>
      </c>
      <c r="AL3925">
        <v>93.800119593606993</v>
      </c>
      <c r="AM3925">
        <v>114.771555557098</v>
      </c>
      <c r="AN3925">
        <v>0.99999995302880396</v>
      </c>
    </row>
    <row r="3926" spans="1:40" x14ac:dyDescent="0.25">
      <c r="A3926" t="str">
        <f>"20190303153845249"</f>
        <v>20190303153845249</v>
      </c>
      <c r="B3926" t="str">
        <f>"1551598725242429"</f>
        <v>1551598725242429</v>
      </c>
      <c r="C3926" t="s">
        <v>40</v>
      </c>
      <c r="D3926">
        <v>4.3289710000000001</v>
      </c>
      <c r="E3926">
        <v>0.45200889999999999</v>
      </c>
      <c r="F3926" t="s">
        <v>44</v>
      </c>
      <c r="G3926">
        <v>-489.1626</v>
      </c>
      <c r="H3926">
        <v>1.066778</v>
      </c>
      <c r="I3926">
        <v>223.126</v>
      </c>
      <c r="J3926">
        <v>-489.8569</v>
      </c>
      <c r="K3926">
        <v>1.1227529999999999</v>
      </c>
      <c r="L3926">
        <v>223.48929999999999</v>
      </c>
      <c r="M3926">
        <v>0.45291169999999997</v>
      </c>
      <c r="N3926">
        <v>-7.5325449999999999E-3</v>
      </c>
      <c r="O3926">
        <v>-0.89152359999999897</v>
      </c>
      <c r="P3926">
        <v>0.77990019999999904</v>
      </c>
      <c r="Q3926">
        <v>-6.8471340000000006E-2</v>
      </c>
      <c r="R3926">
        <v>-0.62214759999999902</v>
      </c>
      <c r="S3926">
        <v>2.5778500000000002</v>
      </c>
      <c r="T3926">
        <v>-0.19138179999999999</v>
      </c>
      <c r="U3926">
        <v>-1.5715479999999999</v>
      </c>
      <c r="V3926">
        <v>-0.41320220000000002</v>
      </c>
      <c r="W3926">
        <v>-6.3811480000000004E-2</v>
      </c>
      <c r="X3926">
        <v>0.90840080000000001</v>
      </c>
      <c r="Y3926">
        <v>-0.52378159999999996</v>
      </c>
      <c r="Z3926">
        <v>5.8791429999999999E-2</v>
      </c>
      <c r="AA3926">
        <v>0.84982139999999995</v>
      </c>
      <c r="AB3926">
        <v>10</v>
      </c>
      <c r="AC3926">
        <v>0.69429999999999803</v>
      </c>
      <c r="AD3926">
        <v>-5.5975000000000101E-2</v>
      </c>
      <c r="AE3926">
        <v>-0.363300000000009</v>
      </c>
      <c r="AF3926">
        <v>-0.45214775878809299</v>
      </c>
      <c r="AG3926">
        <v>-5.5975000000000101E-2</v>
      </c>
      <c r="AH3926">
        <v>0.63512441394502595</v>
      </c>
      <c r="AI3926">
        <v>94.106619333390597</v>
      </c>
      <c r="AJ3926">
        <v>125.447224733905</v>
      </c>
      <c r="AK3926">
        <v>0.78163534822262803</v>
      </c>
      <c r="AL3926">
        <v>93.658614323712698</v>
      </c>
      <c r="AM3926">
        <v>114.459255613184</v>
      </c>
      <c r="AN3926">
        <v>0.99999998825263503</v>
      </c>
    </row>
    <row r="3927" spans="1:40" x14ac:dyDescent="0.25">
      <c r="A3927" t="str">
        <f>"20190303153845281"</f>
        <v>20190303153845281</v>
      </c>
      <c r="B3927" t="str">
        <f>"1551598725272684"</f>
        <v>1551598725272684</v>
      </c>
      <c r="C3927" t="s">
        <v>40</v>
      </c>
      <c r="D3927">
        <v>4.3306370000000003</v>
      </c>
      <c r="E3927">
        <v>0.4523896</v>
      </c>
      <c r="F3927" t="s">
        <v>44</v>
      </c>
      <c r="G3927">
        <v>-489.12349999999998</v>
      </c>
      <c r="H3927">
        <v>1.0696209999999999</v>
      </c>
      <c r="I3927">
        <v>223.04349999999999</v>
      </c>
      <c r="J3927">
        <v>-489.77850000000001</v>
      </c>
      <c r="K3927">
        <v>1.1227389999999999</v>
      </c>
      <c r="L3927">
        <v>223.3647</v>
      </c>
      <c r="M3927">
        <v>0.46283489999999999</v>
      </c>
      <c r="N3927">
        <v>-7.3927769999999997E-3</v>
      </c>
      <c r="O3927">
        <v>-0.88641380000000003</v>
      </c>
      <c r="P3927">
        <v>0.78367319999999996</v>
      </c>
      <c r="Q3927">
        <v>-7.3813820000000002E-2</v>
      </c>
      <c r="R3927">
        <v>-0.61677280000000001</v>
      </c>
      <c r="S3927">
        <v>2.5790709999999999</v>
      </c>
      <c r="T3927">
        <v>-0.18691830000000001</v>
      </c>
      <c r="U3927">
        <v>-1.568451</v>
      </c>
      <c r="V3927">
        <v>-0.4088405</v>
      </c>
      <c r="W3927">
        <v>-6.9283040000000004E-2</v>
      </c>
      <c r="X3927">
        <v>0.90997209999999995</v>
      </c>
      <c r="Y3927">
        <v>-0.51526660000000002</v>
      </c>
      <c r="Z3927">
        <v>5.715311E-2</v>
      </c>
      <c r="AA3927">
        <v>0.8551221</v>
      </c>
      <c r="AB3927">
        <v>10</v>
      </c>
      <c r="AC3927">
        <v>0.655000000000029</v>
      </c>
      <c r="AD3927">
        <v>-5.3117999999999901E-2</v>
      </c>
      <c r="AE3927">
        <v>-0.32120000000000398</v>
      </c>
      <c r="AF3927">
        <v>-0.42967224235754398</v>
      </c>
      <c r="AG3927">
        <v>-5.3117999999999901E-2</v>
      </c>
      <c r="AH3927">
        <v>0.58478861269528004</v>
      </c>
      <c r="AI3927">
        <v>94.186506077572702</v>
      </c>
      <c r="AJ3927">
        <v>126.306509641554</v>
      </c>
      <c r="AK3927">
        <v>0.72761080208764795</v>
      </c>
      <c r="AL3927">
        <v>93.972808621855194</v>
      </c>
      <c r="AM3927">
        <v>114.193861499915</v>
      </c>
      <c r="AN3927">
        <v>0.99999995842514899</v>
      </c>
    </row>
    <row r="3928" spans="1:40" x14ac:dyDescent="0.25">
      <c r="A3928" t="str">
        <f>"20190303153845302"</f>
        <v>20190303153845302</v>
      </c>
      <c r="B3928" t="str">
        <f>"1551598725292205"</f>
        <v>1551598725292205</v>
      </c>
      <c r="C3928" t="s">
        <v>40</v>
      </c>
      <c r="D3928">
        <v>4.3349799999999998</v>
      </c>
      <c r="E3928">
        <v>0.45243559999999999</v>
      </c>
      <c r="F3928" t="s">
        <v>44</v>
      </c>
      <c r="G3928">
        <v>-489.01310000000001</v>
      </c>
      <c r="H3928">
        <v>1.062022</v>
      </c>
      <c r="I3928">
        <v>222.90520000000001</v>
      </c>
      <c r="J3928">
        <v>-489.72190000000001</v>
      </c>
      <c r="K3928">
        <v>1.1227149999999999</v>
      </c>
      <c r="L3928">
        <v>223.27619999999999</v>
      </c>
      <c r="M3928">
        <v>0.46982449999999998</v>
      </c>
      <c r="N3928">
        <v>-7.299463E-3</v>
      </c>
      <c r="O3928">
        <v>-0.88272980000000001</v>
      </c>
      <c r="P3928">
        <v>0.78748050000000003</v>
      </c>
      <c r="Q3928">
        <v>-7.7331349999999993E-2</v>
      </c>
      <c r="R3928">
        <v>-0.61146919999999905</v>
      </c>
      <c r="S3928">
        <v>2.5866389999999999</v>
      </c>
      <c r="T3928">
        <v>-0.2052187</v>
      </c>
      <c r="U3928">
        <v>-1.5529170000000001</v>
      </c>
      <c r="V3928">
        <v>-0.4074719</v>
      </c>
      <c r="W3928">
        <v>-7.2892940000000003E-2</v>
      </c>
      <c r="X3928">
        <v>0.910304</v>
      </c>
      <c r="Y3928">
        <v>-0.51302109999999901</v>
      </c>
      <c r="Z3928">
        <v>6.3256339999999994E-2</v>
      </c>
      <c r="AA3928">
        <v>0.85604199999999997</v>
      </c>
      <c r="AB3928">
        <v>11</v>
      </c>
      <c r="AC3928">
        <v>0.70879999999999599</v>
      </c>
      <c r="AD3928">
        <v>-6.0692999999999803E-2</v>
      </c>
      <c r="AE3928">
        <v>-0.37099999999998001</v>
      </c>
      <c r="AF3928">
        <v>-0.448802948961602</v>
      </c>
      <c r="AG3928">
        <v>-6.0692999999999803E-2</v>
      </c>
      <c r="AH3928">
        <v>0.65674210292629898</v>
      </c>
      <c r="AI3928">
        <v>94.363247874442806</v>
      </c>
      <c r="AJ3928">
        <v>124.34783268179299</v>
      </c>
      <c r="AK3928">
        <v>0.79775805668240496</v>
      </c>
      <c r="AL3928">
        <v>94.180164993581897</v>
      </c>
      <c r="AM3928">
        <v>114.114329128007</v>
      </c>
      <c r="AN3928">
        <v>1.0000000512037199</v>
      </c>
    </row>
    <row r="3929" spans="1:40" x14ac:dyDescent="0.25">
      <c r="A3929" t="str">
        <f>"20190303153845323"</f>
        <v>20190303153845323</v>
      </c>
      <c r="B3929" t="str">
        <f>"1551598725312700"</f>
        <v>1551598725312700</v>
      </c>
      <c r="C3929" t="s">
        <v>40</v>
      </c>
      <c r="D3929">
        <v>4.3263639999999999</v>
      </c>
      <c r="E3929">
        <v>0.4524318</v>
      </c>
      <c r="F3929" t="s">
        <v>44</v>
      </c>
      <c r="G3929">
        <v>-488.9649</v>
      </c>
      <c r="H3929">
        <v>1.0596380000000001</v>
      </c>
      <c r="I3929">
        <v>222.8279</v>
      </c>
      <c r="J3929">
        <v>-489.66820000000001</v>
      </c>
      <c r="K3929">
        <v>1.1226929999999999</v>
      </c>
      <c r="L3929">
        <v>223.1935</v>
      </c>
      <c r="M3929">
        <v>0.4763058</v>
      </c>
      <c r="N3929">
        <v>-7.2177639999999998E-3</v>
      </c>
      <c r="O3929">
        <v>-0.87925019999999998</v>
      </c>
      <c r="P3929">
        <v>0.79132550000000001</v>
      </c>
      <c r="Q3929">
        <v>-7.9559379999999999E-2</v>
      </c>
      <c r="R3929">
        <v>-0.60619679999999998</v>
      </c>
      <c r="S3929">
        <v>2.595917</v>
      </c>
      <c r="T3929">
        <v>-0.21616850000000001</v>
      </c>
      <c r="U3929">
        <v>-1.5357970000000001</v>
      </c>
      <c r="V3929">
        <v>-0.4066457</v>
      </c>
      <c r="W3929">
        <v>-7.5202290000000005E-2</v>
      </c>
      <c r="X3929">
        <v>0.91048560000000001</v>
      </c>
      <c r="Y3929">
        <v>-0.5120034</v>
      </c>
      <c r="Z3929">
        <v>6.6885299999999995E-2</v>
      </c>
      <c r="AA3929">
        <v>0.85637549999999996</v>
      </c>
      <c r="AB3929">
        <v>11</v>
      </c>
      <c r="AC3929">
        <v>0.70330000000001203</v>
      </c>
      <c r="AD3929">
        <v>-6.3055E-2</v>
      </c>
      <c r="AE3929">
        <v>-0.36559999999999998</v>
      </c>
      <c r="AF3929">
        <v>-0.44145718492347102</v>
      </c>
      <c r="AG3929">
        <v>-6.3055E-2</v>
      </c>
      <c r="AH3929">
        <v>0.65232874129792395</v>
      </c>
      <c r="AI3929">
        <v>94.576938528635097</v>
      </c>
      <c r="AJ3929">
        <v>124.087797993026</v>
      </c>
      <c r="AK3929">
        <v>0.79018552623348504</v>
      </c>
      <c r="AL3929">
        <v>94.312845195533299</v>
      </c>
      <c r="AM3929">
        <v>114.066736638112</v>
      </c>
      <c r="AN3929">
        <v>1.00000006877854</v>
      </c>
    </row>
    <row r="3930" spans="1:40" x14ac:dyDescent="0.25">
      <c r="A3930" t="str">
        <f>"20190303153845347"</f>
        <v>20190303153845347</v>
      </c>
      <c r="B3930" t="str">
        <f>"1551598725341981"</f>
        <v>1551598725341981</v>
      </c>
      <c r="C3930" t="s">
        <v>40</v>
      </c>
      <c r="D3930">
        <v>4.3706509999999996</v>
      </c>
      <c r="E3930">
        <v>0.45234859999999999</v>
      </c>
      <c r="F3930" t="s">
        <v>44</v>
      </c>
      <c r="G3930">
        <v>-488.91250000000002</v>
      </c>
      <c r="H3930">
        <v>1.0573699999999999</v>
      </c>
      <c r="I3930">
        <v>222.75299999999999</v>
      </c>
      <c r="J3930">
        <v>-489.6087</v>
      </c>
      <c r="K3930">
        <v>1.1226719999999999</v>
      </c>
      <c r="L3930">
        <v>223.10319999999999</v>
      </c>
      <c r="M3930">
        <v>0.48332009999999997</v>
      </c>
      <c r="N3930">
        <v>-7.1349630000000002E-3</v>
      </c>
      <c r="O3930">
        <v>-0.87541469999999899</v>
      </c>
      <c r="P3930">
        <v>0.79615689999999995</v>
      </c>
      <c r="Q3930">
        <v>-8.0879259999999994E-2</v>
      </c>
      <c r="R3930">
        <v>-0.59966079999999999</v>
      </c>
      <c r="S3930">
        <v>2.6054379999999999</v>
      </c>
      <c r="T3930">
        <v>-0.2251813</v>
      </c>
      <c r="U3930">
        <v>-1.5182800000000001</v>
      </c>
      <c r="V3930">
        <v>-0.40673700000000002</v>
      </c>
      <c r="W3930">
        <v>-7.660981E-2</v>
      </c>
      <c r="X3930">
        <v>0.91032740000000001</v>
      </c>
      <c r="Y3930">
        <v>-0.51060240000000001</v>
      </c>
      <c r="Z3930">
        <v>6.9830459999999997E-2</v>
      </c>
      <c r="AA3930">
        <v>0.85697659999999998</v>
      </c>
      <c r="AB3930">
        <v>11</v>
      </c>
      <c r="AC3930">
        <v>0.69619999999997595</v>
      </c>
      <c r="AD3930">
        <v>-6.5301999999999694E-2</v>
      </c>
      <c r="AE3930">
        <v>-0.35020000000000001</v>
      </c>
      <c r="AF3930">
        <v>-0.43714680139615703</v>
      </c>
      <c r="AG3930">
        <v>-6.5301999999999694E-2</v>
      </c>
      <c r="AH3930">
        <v>0.63859019991074195</v>
      </c>
      <c r="AI3930">
        <v>94.823321853519204</v>
      </c>
      <c r="AJ3930">
        <v>124.393583597335</v>
      </c>
      <c r="AK3930">
        <v>0.77663319565734001</v>
      </c>
      <c r="AL3930">
        <v>94.393723735308399</v>
      </c>
      <c r="AM3930">
        <v>114.07523436359899</v>
      </c>
      <c r="AN3930">
        <v>1.0000000126739901</v>
      </c>
    </row>
    <row r="3931" spans="1:40" x14ac:dyDescent="0.25">
      <c r="A3931" t="str">
        <f>"20190303153845367"</f>
        <v>20190303153845367</v>
      </c>
      <c r="B3931" t="str">
        <f>"1551598725362477"</f>
        <v>1551598725362477</v>
      </c>
      <c r="C3931" t="s">
        <v>40</v>
      </c>
      <c r="D3931">
        <v>4.3732069999999998</v>
      </c>
      <c r="E3931">
        <v>0.45239970000000002</v>
      </c>
      <c r="F3931" t="s">
        <v>44</v>
      </c>
      <c r="G3931">
        <v>-488.8614</v>
      </c>
      <c r="H3931">
        <v>1.055966</v>
      </c>
      <c r="I3931">
        <v>222.67580000000001</v>
      </c>
      <c r="J3931">
        <v>-489.55329999999998</v>
      </c>
      <c r="K3931">
        <v>1.122655</v>
      </c>
      <c r="L3931">
        <v>223.0204</v>
      </c>
      <c r="M3931">
        <v>0.48968689999999998</v>
      </c>
      <c r="N3931">
        <v>-7.0651239999999999E-3</v>
      </c>
      <c r="O3931">
        <v>-0.87186969999999997</v>
      </c>
      <c r="P3931">
        <v>0.80074919999999905</v>
      </c>
      <c r="Q3931">
        <v>-8.2765499999999895E-2</v>
      </c>
      <c r="R3931">
        <v>-0.59325459999999997</v>
      </c>
      <c r="S3931">
        <v>2.617645</v>
      </c>
      <c r="T3931">
        <v>-0.23352319999999999</v>
      </c>
      <c r="U3931">
        <v>-1.495895</v>
      </c>
      <c r="V3931">
        <v>-0.40722530000000001</v>
      </c>
      <c r="W3931">
        <v>-7.8573989999999996E-2</v>
      </c>
      <c r="X3931">
        <v>0.90994160000000002</v>
      </c>
      <c r="Y3931">
        <v>-0.51139250000000003</v>
      </c>
      <c r="Z3931">
        <v>7.2589009999999995E-2</v>
      </c>
      <c r="AA3931">
        <v>0.85627600000000004</v>
      </c>
      <c r="AB3931">
        <v>11</v>
      </c>
      <c r="AC3931">
        <v>0.69189999999997498</v>
      </c>
      <c r="AD3931">
        <v>-6.6688999999999998E-2</v>
      </c>
      <c r="AE3931">
        <v>-0.34459999999998497</v>
      </c>
      <c r="AF3931">
        <v>-0.43130092076325899</v>
      </c>
      <c r="AG3931">
        <v>-6.6688999999999998E-2</v>
      </c>
      <c r="AH3931">
        <v>0.63455321252878605</v>
      </c>
      <c r="AI3931">
        <v>94.967612525510702</v>
      </c>
      <c r="AJ3931">
        <v>124.20364421833</v>
      </c>
      <c r="AK3931">
        <v>0.77014653573384195</v>
      </c>
      <c r="AL3931">
        <v>94.506603269779902</v>
      </c>
      <c r="AM3931">
        <v>114.10990263446701</v>
      </c>
      <c r="AN3931">
        <v>1.0000000161375799</v>
      </c>
    </row>
    <row r="3932" spans="1:40" x14ac:dyDescent="0.25">
      <c r="A3932" t="str">
        <f>"20190303153845392"</f>
        <v>20190303153845392</v>
      </c>
      <c r="B3932" t="str">
        <f>"1551598725381997"</f>
        <v>1551598725381997</v>
      </c>
      <c r="C3932" t="s">
        <v>40</v>
      </c>
      <c r="D3932">
        <v>4.3704589999999897</v>
      </c>
      <c r="E3932">
        <v>0.4524572</v>
      </c>
      <c r="F3932" t="s">
        <v>44</v>
      </c>
      <c r="G3932">
        <v>-488.80590000000001</v>
      </c>
      <c r="H3932">
        <v>1.0543709999999999</v>
      </c>
      <c r="I3932">
        <v>222.6011</v>
      </c>
      <c r="J3932">
        <v>-489.48750000000001</v>
      </c>
      <c r="K3932">
        <v>1.1226449999999999</v>
      </c>
      <c r="L3932">
        <v>222.92349999999999</v>
      </c>
      <c r="M3932">
        <v>0.49706440000000002</v>
      </c>
      <c r="N3932">
        <v>-6.9904219999999996E-3</v>
      </c>
      <c r="O3932">
        <v>-0.8676855</v>
      </c>
      <c r="P3932">
        <v>0.80596290000000004</v>
      </c>
      <c r="Q3932">
        <v>-8.3833539999999998E-2</v>
      </c>
      <c r="R3932">
        <v>-0.58599999999999997</v>
      </c>
      <c r="S3932">
        <v>2.6288149999999999</v>
      </c>
      <c r="T3932">
        <v>-0.24019740000000001</v>
      </c>
      <c r="U3932">
        <v>-1.475174</v>
      </c>
      <c r="V3932">
        <v>-0.4076186</v>
      </c>
      <c r="W3932">
        <v>-7.9728800000000002E-2</v>
      </c>
      <c r="X3932">
        <v>0.90966499999999995</v>
      </c>
      <c r="Y3932">
        <v>-0.51063779999999903</v>
      </c>
      <c r="Z3932">
        <v>7.4723010000000006E-2</v>
      </c>
      <c r="AA3932">
        <v>0.85654279999999905</v>
      </c>
      <c r="AB3932">
        <v>11</v>
      </c>
      <c r="AC3932">
        <v>0.68160000000000298</v>
      </c>
      <c r="AD3932">
        <v>-6.8274000000000098E-2</v>
      </c>
      <c r="AE3932">
        <v>-0.32239999999998697</v>
      </c>
      <c r="AF3932">
        <v>-0.42766495112661601</v>
      </c>
      <c r="AG3932">
        <v>-6.8274000000000098E-2</v>
      </c>
      <c r="AH3932">
        <v>0.61352566913039897</v>
      </c>
      <c r="AI3932">
        <v>95.216138712837605</v>
      </c>
      <c r="AJ3932">
        <v>124.878857586527</v>
      </c>
      <c r="AK3932">
        <v>0.75098095593698999</v>
      </c>
      <c r="AL3932">
        <v>94.572977288270096</v>
      </c>
      <c r="AM3932">
        <v>114.137031330767</v>
      </c>
      <c r="AN3932">
        <v>1.0000000084201901</v>
      </c>
    </row>
    <row r="3933" spans="1:40" x14ac:dyDescent="0.25">
      <c r="A3933" t="str">
        <f>"20190303153845413"</f>
        <v>20190303153845413</v>
      </c>
      <c r="B3933" t="str">
        <f>"1551598725402496"</f>
        <v>1551598725402496</v>
      </c>
      <c r="C3933" t="s">
        <v>40</v>
      </c>
      <c r="D3933">
        <v>4.4085960000000002</v>
      </c>
      <c r="E3933">
        <v>0.45253670000000001</v>
      </c>
      <c r="F3933" t="s">
        <v>44</v>
      </c>
      <c r="G3933">
        <v>-488.66750000000002</v>
      </c>
      <c r="H3933">
        <v>1.046916</v>
      </c>
      <c r="I3933">
        <v>222.47290000000001</v>
      </c>
      <c r="J3933">
        <v>-489.42899999999997</v>
      </c>
      <c r="K3933">
        <v>1.1226560000000001</v>
      </c>
      <c r="L3933">
        <v>222.83879999999999</v>
      </c>
      <c r="M3933">
        <v>0.50346139999999995</v>
      </c>
      <c r="N3933">
        <v>-6.9316839999999996E-3</v>
      </c>
      <c r="O3933">
        <v>-0.86398999999999904</v>
      </c>
      <c r="P3933">
        <v>0.81042720000000001</v>
      </c>
      <c r="Q3933">
        <v>-8.4047839999999999E-2</v>
      </c>
      <c r="R3933">
        <v>-0.57977900000000004</v>
      </c>
      <c r="S3933">
        <v>2.6412960000000001</v>
      </c>
      <c r="T3933">
        <v>-0.2439907</v>
      </c>
      <c r="U3933">
        <v>-1.451843</v>
      </c>
      <c r="V3933">
        <v>-0.40787449999999997</v>
      </c>
      <c r="W3933">
        <v>-8.0020170000000002E-2</v>
      </c>
      <c r="X3933">
        <v>0.90952469999999996</v>
      </c>
      <c r="Y3933">
        <v>-0.51171610000000001</v>
      </c>
      <c r="Z3933">
        <v>7.5943899999999995E-2</v>
      </c>
      <c r="AA3933">
        <v>0.85579159999999899</v>
      </c>
      <c r="AB3933">
        <v>11</v>
      </c>
      <c r="AC3933">
        <v>0.76150000000001195</v>
      </c>
      <c r="AD3933">
        <v>-7.5739999999999905E-2</v>
      </c>
      <c r="AE3933">
        <v>-0.36589999999998202</v>
      </c>
      <c r="AF3933">
        <v>-0.46994623460187901</v>
      </c>
      <c r="AG3933">
        <v>-7.5739999999999905E-2</v>
      </c>
      <c r="AH3933">
        <v>0.69395918343903495</v>
      </c>
      <c r="AI3933">
        <v>95.163791310468</v>
      </c>
      <c r="AJ3933">
        <v>124.105691730914</v>
      </c>
      <c r="AK3933">
        <v>0.84152561416504501</v>
      </c>
      <c r="AL3933">
        <v>94.589725073433698</v>
      </c>
      <c r="AM3933">
        <v>114.153752190183</v>
      </c>
      <c r="AN3933">
        <v>1.00000000763358</v>
      </c>
    </row>
    <row r="3934" spans="1:40" x14ac:dyDescent="0.25">
      <c r="A3934" t="str">
        <f>"20190303153845435"</f>
        <v>20190303153845435</v>
      </c>
      <c r="B3934" t="str">
        <f>"1551598725432749"</f>
        <v>1551598725432749</v>
      </c>
      <c r="C3934" t="s">
        <v>40</v>
      </c>
      <c r="D3934">
        <v>4.3774499999999996</v>
      </c>
      <c r="E3934">
        <v>0.45249</v>
      </c>
      <c r="F3934" t="s">
        <v>44</v>
      </c>
      <c r="G3934">
        <v>-488.61020000000002</v>
      </c>
      <c r="H3934">
        <v>1.0468930000000001</v>
      </c>
      <c r="I3934">
        <v>222.3965</v>
      </c>
      <c r="J3934">
        <v>-489.3673</v>
      </c>
      <c r="K3934">
        <v>1.122689</v>
      </c>
      <c r="L3934">
        <v>222.75059999999999</v>
      </c>
      <c r="M3934">
        <v>0.51008779999999998</v>
      </c>
      <c r="N3934">
        <v>-6.877775E-3</v>
      </c>
      <c r="O3934">
        <v>-0.86009480000000005</v>
      </c>
      <c r="P3934">
        <v>0.814878199999999</v>
      </c>
      <c r="Q3934">
        <v>-8.3444320000000002E-2</v>
      </c>
      <c r="R3934">
        <v>-0.57359459999999995</v>
      </c>
      <c r="S3934">
        <v>2.652069</v>
      </c>
      <c r="T3934">
        <v>-0.2453158</v>
      </c>
      <c r="U3934">
        <v>-1.4317169999999999</v>
      </c>
      <c r="V3934">
        <v>-0.40785510000000003</v>
      </c>
      <c r="W3934">
        <v>-7.9499650000000005E-2</v>
      </c>
      <c r="X3934">
        <v>0.90957900000000003</v>
      </c>
      <c r="Y3934">
        <v>-0.511571</v>
      </c>
      <c r="Z3934">
        <v>7.6293269999999996E-2</v>
      </c>
      <c r="AA3934">
        <v>0.85584720000000003</v>
      </c>
      <c r="AB3934">
        <v>11</v>
      </c>
      <c r="AC3934">
        <v>0.75709999999997901</v>
      </c>
      <c r="AD3934">
        <v>-7.5795999999999905E-2</v>
      </c>
      <c r="AE3934">
        <v>-0.35409999999998798</v>
      </c>
      <c r="AF3934">
        <v>-0.46672855196915097</v>
      </c>
      <c r="AG3934">
        <v>-7.5795999999999905E-2</v>
      </c>
      <c r="AH3934">
        <v>0.68512904698916</v>
      </c>
      <c r="AI3934">
        <v>95.224078883286396</v>
      </c>
      <c r="AJ3934">
        <v>124.26375606424099</v>
      </c>
      <c r="AK3934">
        <v>0.83245563597557304</v>
      </c>
      <c r="AL3934">
        <v>94.559806340832907</v>
      </c>
      <c r="AM3934">
        <v>114.15145765843</v>
      </c>
      <c r="AN3934">
        <v>0.99999996709356498</v>
      </c>
    </row>
    <row r="3935" spans="1:40" x14ac:dyDescent="0.25">
      <c r="A3935" t="str">
        <f>"20190303153845460"</f>
        <v>20190303153845460</v>
      </c>
      <c r="B3935" t="str">
        <f>"1551598725452268"</f>
        <v>1551598725452268</v>
      </c>
      <c r="C3935" t="s">
        <v>40</v>
      </c>
      <c r="D3935">
        <v>4.3875820000000001</v>
      </c>
      <c r="E3935">
        <v>0.45243060000000002</v>
      </c>
      <c r="F3935" t="s">
        <v>44</v>
      </c>
      <c r="G3935">
        <v>-488.55290000000002</v>
      </c>
      <c r="H3935">
        <v>1.048044</v>
      </c>
      <c r="I3935">
        <v>222.31899999999999</v>
      </c>
      <c r="J3935">
        <v>-489.29649999999998</v>
      </c>
      <c r="K3935">
        <v>1.1227510000000001</v>
      </c>
      <c r="L3935">
        <v>222.65110000000001</v>
      </c>
      <c r="M3935">
        <v>0.51753159999999998</v>
      </c>
      <c r="N3935">
        <v>-6.8258640000000001E-3</v>
      </c>
      <c r="O3935">
        <v>-0.85563709999999904</v>
      </c>
      <c r="P3935">
        <v>0.81934259999999903</v>
      </c>
      <c r="Q3935">
        <v>-8.2061319999999993E-2</v>
      </c>
      <c r="R3935">
        <v>-0.56740119999999905</v>
      </c>
      <c r="S3935">
        <v>2.663116</v>
      </c>
      <c r="T3935">
        <v>-0.24410129999999999</v>
      </c>
      <c r="U3935">
        <v>-1.411346</v>
      </c>
      <c r="V3935">
        <v>-0.40697539999999999</v>
      </c>
      <c r="W3935">
        <v>-7.8209349999999997E-2</v>
      </c>
      <c r="X3935">
        <v>0.91008480000000003</v>
      </c>
      <c r="Y3935">
        <v>-0.510741</v>
      </c>
      <c r="Z3935">
        <v>7.5754050000000003E-2</v>
      </c>
      <c r="AA3935">
        <v>0.85639069999999995</v>
      </c>
      <c r="AB3935">
        <v>11</v>
      </c>
      <c r="AC3935">
        <v>0.74359999999995796</v>
      </c>
      <c r="AD3935">
        <v>-7.4706999999999996E-2</v>
      </c>
      <c r="AE3935">
        <v>-0.33209999999999601</v>
      </c>
      <c r="AF3935">
        <v>-0.46051496593396601</v>
      </c>
      <c r="AG3935">
        <v>-7.4706999999999996E-2</v>
      </c>
      <c r="AH3935">
        <v>0.66342625582805603</v>
      </c>
      <c r="AI3935">
        <v>95.285140052848405</v>
      </c>
      <c r="AJ3935">
        <v>124.7663100879</v>
      </c>
      <c r="AK3935">
        <v>0.81104227178377997</v>
      </c>
      <c r="AL3935">
        <v>94.485646468711494</v>
      </c>
      <c r="AM3935">
        <v>114.093431490963</v>
      </c>
      <c r="AN3935">
        <v>1.0000000109118099</v>
      </c>
    </row>
    <row r="3936" spans="1:40" x14ac:dyDescent="0.25">
      <c r="A3936" t="str">
        <f>"20190303153845482"</f>
        <v>20190303153845482</v>
      </c>
      <c r="B3936" t="str">
        <f>"1551598725472764"</f>
        <v>1551598725472764</v>
      </c>
      <c r="C3936" t="s">
        <v>40</v>
      </c>
      <c r="D3936">
        <v>4.4128309999999997</v>
      </c>
      <c r="E3936">
        <v>0.45246530000000001</v>
      </c>
      <c r="F3936" t="s">
        <v>44</v>
      </c>
      <c r="G3936">
        <v>-488.49939999999998</v>
      </c>
      <c r="H3936">
        <v>1.051272</v>
      </c>
      <c r="I3936">
        <v>222.23660000000001</v>
      </c>
      <c r="J3936">
        <v>-489.23020000000002</v>
      </c>
      <c r="K3936">
        <v>1.122816</v>
      </c>
      <c r="L3936">
        <v>222.55959999999999</v>
      </c>
      <c r="M3936">
        <v>0.52437959999999995</v>
      </c>
      <c r="N3936">
        <v>-6.7855540000000001E-3</v>
      </c>
      <c r="O3936">
        <v>-0.85145769999999998</v>
      </c>
      <c r="P3936">
        <v>0.82282109999999997</v>
      </c>
      <c r="Q3936">
        <v>-7.9547880000000001E-2</v>
      </c>
      <c r="R3936">
        <v>-0.56270580000000003</v>
      </c>
      <c r="S3936">
        <v>2.6745299999999999</v>
      </c>
      <c r="T3936">
        <v>-0.23978340000000001</v>
      </c>
      <c r="U3936">
        <v>-1.3905639999999999</v>
      </c>
      <c r="V3936">
        <v>-0.40509230000000002</v>
      </c>
      <c r="W3936">
        <v>-7.5775640000000005E-2</v>
      </c>
      <c r="X3936">
        <v>0.9111302</v>
      </c>
      <c r="Y3936">
        <v>-0.5107005</v>
      </c>
      <c r="Z3936">
        <v>7.4210170000000006E-2</v>
      </c>
      <c r="AA3936">
        <v>0.85655000000000003</v>
      </c>
      <c r="AB3936">
        <v>11</v>
      </c>
      <c r="AC3936">
        <v>0.73080000000004397</v>
      </c>
      <c r="AD3936">
        <v>-7.1543999999999996E-2</v>
      </c>
      <c r="AE3936">
        <v>-0.32299999999997903</v>
      </c>
      <c r="AF3936">
        <v>-0.44927882473729402</v>
      </c>
      <c r="AG3936">
        <v>-7.1543999999999996E-2</v>
      </c>
      <c r="AH3936">
        <v>0.65301677238832201</v>
      </c>
      <c r="AI3936">
        <v>95.157546770296904</v>
      </c>
      <c r="AJ3936">
        <v>124.52816730289901</v>
      </c>
      <c r="AK3936">
        <v>0.79586488257353505</v>
      </c>
      <c r="AL3936">
        <v>94.345790117107896</v>
      </c>
      <c r="AM3936">
        <v>113.970131297046</v>
      </c>
      <c r="AN3936">
        <v>0.99999998024436898</v>
      </c>
    </row>
    <row r="3937" spans="1:40" x14ac:dyDescent="0.25">
      <c r="A3937" t="str">
        <f>"20190303153845503"</f>
        <v>20190303153845503</v>
      </c>
      <c r="B3937" t="str">
        <f>"1551598725492285"</f>
        <v>1551598725492285</v>
      </c>
      <c r="C3937" t="s">
        <v>40</v>
      </c>
      <c r="D3937">
        <v>4.4094699999999998</v>
      </c>
      <c r="E3937">
        <v>0.45254050000000001</v>
      </c>
      <c r="F3937" t="s">
        <v>44</v>
      </c>
      <c r="G3937">
        <v>-488.4425</v>
      </c>
      <c r="H3937">
        <v>1.054449</v>
      </c>
      <c r="I3937">
        <v>222.1559</v>
      </c>
      <c r="J3937">
        <v>-489.16609999999997</v>
      </c>
      <c r="K3937">
        <v>1.122881</v>
      </c>
      <c r="L3937">
        <v>222.4725</v>
      </c>
      <c r="M3937">
        <v>0.53088859999999904</v>
      </c>
      <c r="N3937">
        <v>-6.7530309999999996E-3</v>
      </c>
      <c r="O3937">
        <v>-0.84741489999999997</v>
      </c>
      <c r="P3937">
        <v>0.8262216</v>
      </c>
      <c r="Q3937">
        <v>-7.8339499999999895E-2</v>
      </c>
      <c r="R3937">
        <v>-0.55787189999999998</v>
      </c>
      <c r="S3937">
        <v>2.6829529999999999</v>
      </c>
      <c r="T3937">
        <v>-0.23290559999999999</v>
      </c>
      <c r="U3937">
        <v>-1.3753359999999999</v>
      </c>
      <c r="V3937">
        <v>-0.40354600000000002</v>
      </c>
      <c r="W3937">
        <v>-7.4646729999999994E-2</v>
      </c>
      <c r="X3937">
        <v>0.91190930000000003</v>
      </c>
      <c r="Y3937">
        <v>-0.50923790000000002</v>
      </c>
      <c r="Z3937">
        <v>7.1789729999999996E-2</v>
      </c>
      <c r="AA3937">
        <v>0.85762640000000001</v>
      </c>
      <c r="AB3937">
        <v>11</v>
      </c>
      <c r="AC3937">
        <v>0.72359999999997604</v>
      </c>
      <c r="AD3937">
        <v>-6.8432000000000007E-2</v>
      </c>
      <c r="AE3937">
        <v>-0.316599999999993</v>
      </c>
      <c r="AF3937">
        <v>-0.44180367061150899</v>
      </c>
      <c r="AG3937">
        <v>-6.8432000000000007E-2</v>
      </c>
      <c r="AH3937">
        <v>0.64759599615498598</v>
      </c>
      <c r="AI3937">
        <v>94.988802976905305</v>
      </c>
      <c r="AJ3937">
        <v>124.302634455854</v>
      </c>
      <c r="AK3937">
        <v>0.786926931948432</v>
      </c>
      <c r="AL3937">
        <v>94.280924354644895</v>
      </c>
      <c r="AM3937">
        <v>113.870763233486</v>
      </c>
      <c r="AN3937">
        <v>1.00000003992109</v>
      </c>
    </row>
    <row r="3938" spans="1:40" x14ac:dyDescent="0.25">
      <c r="A3938" t="str">
        <f>"20190303153845525"</f>
        <v>20190303153845525</v>
      </c>
      <c r="B3938" t="str">
        <f>"1551598725522541"</f>
        <v>1551598725522541</v>
      </c>
      <c r="C3938" t="s">
        <v>40</v>
      </c>
      <c r="D3938">
        <v>4.4052210000000001</v>
      </c>
      <c r="E3938">
        <v>0.45257320000000001</v>
      </c>
      <c r="F3938" t="s">
        <v>44</v>
      </c>
      <c r="G3938">
        <v>-488.38299999999998</v>
      </c>
      <c r="H3938">
        <v>1.05579</v>
      </c>
      <c r="I3938">
        <v>222.07650000000001</v>
      </c>
      <c r="J3938">
        <v>-489.09989999999999</v>
      </c>
      <c r="K3938">
        <v>1.122935</v>
      </c>
      <c r="L3938">
        <v>222.38390000000001</v>
      </c>
      <c r="M3938">
        <v>0.5375299</v>
      </c>
      <c r="N3938">
        <v>-6.7247080000000002E-3</v>
      </c>
      <c r="O3938">
        <v>-0.84321780000000002</v>
      </c>
      <c r="P3938">
        <v>0.83037450000000002</v>
      </c>
      <c r="Q3938">
        <v>-7.81921E-2</v>
      </c>
      <c r="R3938">
        <v>-0.55169179999999995</v>
      </c>
      <c r="S3938">
        <v>2.6909179999999999</v>
      </c>
      <c r="T3938">
        <v>-0.2304541</v>
      </c>
      <c r="U3938">
        <v>-1.3599699999999999</v>
      </c>
      <c r="V3938">
        <v>-0.40318549999999997</v>
      </c>
      <c r="W3938">
        <v>-7.4588719999999997E-2</v>
      </c>
      <c r="X3938">
        <v>0.91207340000000003</v>
      </c>
      <c r="Y3938">
        <v>-0.50747200000000003</v>
      </c>
      <c r="Z3938">
        <v>7.0814820000000001E-2</v>
      </c>
      <c r="AA3938">
        <v>0.8587534</v>
      </c>
      <c r="AB3938">
        <v>12</v>
      </c>
      <c r="AC3938">
        <v>0.71689999999995202</v>
      </c>
      <c r="AD3938">
        <v>-6.7144999999999996E-2</v>
      </c>
      <c r="AE3938">
        <v>-0.30740000000000101</v>
      </c>
      <c r="AF3938">
        <v>-0.43604508186027702</v>
      </c>
      <c r="AG3938">
        <v>-6.7144999999999996E-2</v>
      </c>
      <c r="AH3938">
        <v>0.63983388022427101</v>
      </c>
      <c r="AI3938">
        <v>94.9561949635019</v>
      </c>
      <c r="AJ3938">
        <v>124.27432565921301</v>
      </c>
      <c r="AK3938">
        <v>0.77719441500977204</v>
      </c>
      <c r="AL3938">
        <v>94.277591695469596</v>
      </c>
      <c r="AM3938">
        <v>113.848006689692</v>
      </c>
      <c r="AN3938">
        <v>0.99999995577452305</v>
      </c>
    </row>
    <row r="3939" spans="1:40" x14ac:dyDescent="0.25">
      <c r="A3939" t="str">
        <f>"20190303153845546"</f>
        <v>20190303153845546</v>
      </c>
      <c r="B3939" t="str">
        <f>"1551598725542061"</f>
        <v>1551598725542061</v>
      </c>
      <c r="C3939" t="s">
        <v>40</v>
      </c>
      <c r="D3939">
        <v>4.4010699999999998</v>
      </c>
      <c r="E3939">
        <v>0.45268150000000001</v>
      </c>
      <c r="F3939" t="s">
        <v>44</v>
      </c>
      <c r="G3939">
        <v>-488.32170000000002</v>
      </c>
      <c r="H3939">
        <v>1.0561259999999999</v>
      </c>
      <c r="I3939">
        <v>221.99770000000001</v>
      </c>
      <c r="J3939">
        <v>-489.03359999999998</v>
      </c>
      <c r="K3939">
        <v>1.1229929999999999</v>
      </c>
      <c r="L3939">
        <v>222.29669999999999</v>
      </c>
      <c r="M3939">
        <v>0.5440758</v>
      </c>
      <c r="N3939">
        <v>-6.7031620000000004E-3</v>
      </c>
      <c r="O3939">
        <v>-0.83900949999999996</v>
      </c>
      <c r="P3939">
        <v>0.83476249999999996</v>
      </c>
      <c r="Q3939">
        <v>-7.9192529999999997E-2</v>
      </c>
      <c r="R3939">
        <v>-0.54488590000000003</v>
      </c>
      <c r="S3939">
        <v>2.7006230000000002</v>
      </c>
      <c r="T3939">
        <v>-0.23182800000000001</v>
      </c>
      <c r="U3939">
        <v>-1.340149</v>
      </c>
      <c r="V3939">
        <v>-0.40344550000000001</v>
      </c>
      <c r="W3939">
        <v>-7.5674820000000004E-2</v>
      </c>
      <c r="X3939">
        <v>0.91186900000000004</v>
      </c>
      <c r="Y3939">
        <v>-0.50703100000000001</v>
      </c>
      <c r="Z3939">
        <v>7.1125620000000001E-2</v>
      </c>
      <c r="AA3939">
        <v>0.85898819999999998</v>
      </c>
      <c r="AB3939">
        <v>12</v>
      </c>
      <c r="AC3939">
        <v>0.71189999999995701</v>
      </c>
      <c r="AD3939">
        <v>-6.6866999999999996E-2</v>
      </c>
      <c r="AE3939">
        <v>-0.29899999999997801</v>
      </c>
      <c r="AF3939">
        <v>-0.43138672122140298</v>
      </c>
      <c r="AG3939">
        <v>-6.6866999999999996E-2</v>
      </c>
      <c r="AH3939">
        <v>0.63345506033485</v>
      </c>
      <c r="AI3939">
        <v>94.986363920701507</v>
      </c>
      <c r="AJ3939">
        <v>124.255099561542</v>
      </c>
      <c r="AK3939">
        <v>0.76930553904088095</v>
      </c>
      <c r="AL3939">
        <v>94.339996786693803</v>
      </c>
      <c r="AM3939">
        <v>113.86641951028901</v>
      </c>
      <c r="AN3939">
        <v>1.0000000115066401</v>
      </c>
    </row>
    <row r="3940" spans="1:40" x14ac:dyDescent="0.25">
      <c r="A3940" t="str">
        <f>"20190303153845572"</f>
        <v>20190303153845572</v>
      </c>
      <c r="B3940" t="str">
        <f>"1551598725562557"</f>
        <v>1551598725562557</v>
      </c>
      <c r="C3940" t="s">
        <v>40</v>
      </c>
      <c r="D3940">
        <v>4.4346969999999999</v>
      </c>
      <c r="E3940">
        <v>0.45281139999999998</v>
      </c>
      <c r="F3940" t="s">
        <v>44</v>
      </c>
      <c r="G3940">
        <v>-488.25850000000003</v>
      </c>
      <c r="H3940">
        <v>1.0555730000000001</v>
      </c>
      <c r="I3940">
        <v>221.9195</v>
      </c>
      <c r="J3940">
        <v>-488.95460000000003</v>
      </c>
      <c r="K3940">
        <v>1.123051</v>
      </c>
      <c r="L3940">
        <v>222.19460000000001</v>
      </c>
      <c r="M3940">
        <v>0.55175779999999996</v>
      </c>
      <c r="N3940">
        <v>-6.687218E-3</v>
      </c>
      <c r="O3940">
        <v>-0.83397779999999999</v>
      </c>
      <c r="P3940">
        <v>0.83975859999999902</v>
      </c>
      <c r="Q3940">
        <v>-7.9037899999999994E-2</v>
      </c>
      <c r="R3940">
        <v>-0.53717649999999995</v>
      </c>
      <c r="S3940">
        <v>2.7107239999999999</v>
      </c>
      <c r="T3940">
        <v>-0.23569689999999999</v>
      </c>
      <c r="U3940">
        <v>-1.31871</v>
      </c>
      <c r="V3940">
        <v>-0.4034682</v>
      </c>
      <c r="W3940">
        <v>-7.5601879999999996E-2</v>
      </c>
      <c r="X3940">
        <v>0.91186500000000004</v>
      </c>
      <c r="Y3940">
        <v>-0.50578829999999997</v>
      </c>
      <c r="Z3940">
        <v>7.2188600000000006E-2</v>
      </c>
      <c r="AA3940">
        <v>0.85963199999999995</v>
      </c>
      <c r="AB3940">
        <v>12</v>
      </c>
      <c r="AC3940">
        <v>0.69610000000000105</v>
      </c>
      <c r="AD3940">
        <v>-6.7478000000000093E-2</v>
      </c>
      <c r="AE3940">
        <v>-0.275100000000009</v>
      </c>
      <c r="AF3940">
        <v>-0.425296313431127</v>
      </c>
      <c r="AG3940">
        <v>-6.7478000000000093E-2</v>
      </c>
      <c r="AH3940">
        <v>0.60857335913029698</v>
      </c>
      <c r="AI3940">
        <v>95.193062576373094</v>
      </c>
      <c r="AJ3940">
        <v>124.94744715638799</v>
      </c>
      <c r="AK3940">
        <v>0.74551443188260402</v>
      </c>
      <c r="AL3940">
        <v>94.335805652556402</v>
      </c>
      <c r="AM3940">
        <v>113.867705319251</v>
      </c>
      <c r="AN3940">
        <v>1.0000000054478799</v>
      </c>
    </row>
    <row r="3941" spans="1:40" x14ac:dyDescent="0.25">
      <c r="A3941" t="str">
        <f>"20190303153845592"</f>
        <v>20190303153845592</v>
      </c>
      <c r="B3941" t="str">
        <f>"1551598725582080"</f>
        <v>1551598725582080</v>
      </c>
      <c r="C3941" t="s">
        <v>40</v>
      </c>
      <c r="D3941">
        <v>4.391991</v>
      </c>
      <c r="E3941">
        <v>0.45294200000000001</v>
      </c>
      <c r="F3941" t="s">
        <v>44</v>
      </c>
      <c r="G3941">
        <v>-488.1028</v>
      </c>
      <c r="H3941">
        <v>1.049334</v>
      </c>
      <c r="I3941">
        <v>221.7893</v>
      </c>
      <c r="J3941">
        <v>-488.88679999999999</v>
      </c>
      <c r="K3941">
        <v>1.1230960000000001</v>
      </c>
      <c r="L3941">
        <v>222.1086</v>
      </c>
      <c r="M3941">
        <v>0.55824209999999996</v>
      </c>
      <c r="N3941">
        <v>-6.6827400000000004E-3</v>
      </c>
      <c r="O3941">
        <v>-0.82965119999999903</v>
      </c>
      <c r="P3941">
        <v>0.84409519999999905</v>
      </c>
      <c r="Q3941">
        <v>-7.8070490000000006E-2</v>
      </c>
      <c r="R3941">
        <v>-0.5304797</v>
      </c>
      <c r="S3941">
        <v>2.7221980000000001</v>
      </c>
      <c r="T3941">
        <v>-0.23552329999999999</v>
      </c>
      <c r="U3941">
        <v>-1.2946169999999999</v>
      </c>
      <c r="V3941">
        <v>-0.40368559999999998</v>
      </c>
      <c r="W3941">
        <v>-7.4689999999999895E-2</v>
      </c>
      <c r="X3941">
        <v>0.91184399999999999</v>
      </c>
      <c r="Y3941">
        <v>-0.50668899999999994</v>
      </c>
      <c r="Z3941">
        <v>7.2006280000000006E-2</v>
      </c>
      <c r="AA3941">
        <v>0.85911659999999901</v>
      </c>
      <c r="AB3941">
        <v>12</v>
      </c>
      <c r="AC3941">
        <v>0.78399999999999104</v>
      </c>
      <c r="AD3941">
        <v>-7.37619999999998E-2</v>
      </c>
      <c r="AE3941">
        <v>-0.31929999999999797</v>
      </c>
      <c r="AF3941">
        <v>-0.46865214898100999</v>
      </c>
      <c r="AG3941">
        <v>-7.37619999999998E-2</v>
      </c>
      <c r="AH3941">
        <v>0.69729095317192702</v>
      </c>
      <c r="AI3941">
        <v>95.017496638138198</v>
      </c>
      <c r="AJ3941">
        <v>123.905211795638</v>
      </c>
      <c r="AK3941">
        <v>0.84338030731333402</v>
      </c>
      <c r="AL3941">
        <v>94.283410353889096</v>
      </c>
      <c r="AM3941">
        <v>113.879616322735</v>
      </c>
      <c r="AN3941">
        <v>1.00000007004167</v>
      </c>
    </row>
    <row r="3942" spans="1:40" x14ac:dyDescent="0.25">
      <c r="A3942" t="str">
        <f>"20190303153845614"</f>
        <v>20190303153845614</v>
      </c>
      <c r="B3942" t="str">
        <f>"1551598725602576"</f>
        <v>1551598725602576</v>
      </c>
      <c r="C3942" t="s">
        <v>40</v>
      </c>
      <c r="D3942">
        <v>4.3820690000000004</v>
      </c>
      <c r="E3942">
        <v>0.45311489999999999</v>
      </c>
      <c r="F3942" t="s">
        <v>44</v>
      </c>
      <c r="G3942">
        <v>-488.03539999999998</v>
      </c>
      <c r="H3942">
        <v>1.0504849999999999</v>
      </c>
      <c r="I3942">
        <v>221.71190000000001</v>
      </c>
      <c r="J3942">
        <v>-488.81360000000001</v>
      </c>
      <c r="K3942">
        <v>1.123129</v>
      </c>
      <c r="L3942">
        <v>222.01730000000001</v>
      </c>
      <c r="M3942">
        <v>0.56513990000000003</v>
      </c>
      <c r="N3942">
        <v>-6.6862800000000002E-3</v>
      </c>
      <c r="O3942">
        <v>-0.82496819999999904</v>
      </c>
      <c r="P3942">
        <v>0.84837850000000004</v>
      </c>
      <c r="Q3942">
        <v>-7.7359650000000002E-2</v>
      </c>
      <c r="R3942">
        <v>-0.52370779999999995</v>
      </c>
      <c r="S3942">
        <v>2.7322690000000001</v>
      </c>
      <c r="T3942">
        <v>-0.2330662</v>
      </c>
      <c r="U3942">
        <v>-1.2734829999999999</v>
      </c>
      <c r="V3942">
        <v>-0.4034296</v>
      </c>
      <c r="W3942">
        <v>-7.4020500000000003E-2</v>
      </c>
      <c r="X3942">
        <v>0.91201180000000004</v>
      </c>
      <c r="Y3942">
        <v>-0.50624910000000001</v>
      </c>
      <c r="Z3942">
        <v>7.102145E-2</v>
      </c>
      <c r="AA3942">
        <v>0.8594579</v>
      </c>
      <c r="AB3942">
        <v>12</v>
      </c>
      <c r="AC3942">
        <v>0.77820000000002598</v>
      </c>
      <c r="AD3942">
        <v>-7.2643999999999903E-2</v>
      </c>
      <c r="AE3942">
        <v>-0.30539999999999101</v>
      </c>
      <c r="AF3942">
        <v>-0.46588899500704301</v>
      </c>
      <c r="AG3942">
        <v>-7.2643999999999903E-2</v>
      </c>
      <c r="AH3942">
        <v>0.68656820085168502</v>
      </c>
      <c r="AI3942">
        <v>95.003650313515195</v>
      </c>
      <c r="AJ3942">
        <v>124.15989054779899</v>
      </c>
      <c r="AK3942">
        <v>0.83288990918691697</v>
      </c>
      <c r="AL3942">
        <v>94.244944648584607</v>
      </c>
      <c r="AM3942">
        <v>113.86226459013599</v>
      </c>
      <c r="AN3942">
        <v>0.99999999995782496</v>
      </c>
    </row>
    <row r="3943" spans="1:40" x14ac:dyDescent="0.25">
      <c r="A3943" t="str">
        <f>"20190303153845635"</f>
        <v>20190303153845635</v>
      </c>
      <c r="B3943" t="str">
        <f>"1551598725632829"</f>
        <v>1551598725632829</v>
      </c>
      <c r="C3943" t="s">
        <v>40</v>
      </c>
      <c r="D3943">
        <v>4.3884349999999896</v>
      </c>
      <c r="E3943">
        <v>0.45337830000000001</v>
      </c>
      <c r="F3943" t="s">
        <v>44</v>
      </c>
      <c r="G3943">
        <v>-487.96969999999999</v>
      </c>
      <c r="H3943">
        <v>1.0520499999999999</v>
      </c>
      <c r="I3943">
        <v>221.63159999999999</v>
      </c>
      <c r="J3943">
        <v>-488.74259999999998</v>
      </c>
      <c r="K3943">
        <v>1.123167</v>
      </c>
      <c r="L3943">
        <v>221.93010000000001</v>
      </c>
      <c r="M3943">
        <v>0.5717295</v>
      </c>
      <c r="N3943">
        <v>-6.7028590000000002E-3</v>
      </c>
      <c r="O3943">
        <v>-0.8204148</v>
      </c>
      <c r="P3943">
        <v>0.85221139999999995</v>
      </c>
      <c r="Q3943">
        <v>-7.8474189999999999E-2</v>
      </c>
      <c r="R3943">
        <v>-0.51727889999999999</v>
      </c>
      <c r="S3943">
        <v>2.74173</v>
      </c>
      <c r="T3943">
        <v>-0.2308761</v>
      </c>
      <c r="U3943">
        <v>-1.2528079999999999</v>
      </c>
      <c r="V3943">
        <v>-0.40292129999999998</v>
      </c>
      <c r="W3943">
        <v>-7.5156200000000006E-2</v>
      </c>
      <c r="X3943">
        <v>0.91214360000000005</v>
      </c>
      <c r="Y3943">
        <v>-0.50589249999999997</v>
      </c>
      <c r="Z3943">
        <v>7.0127330000000002E-2</v>
      </c>
      <c r="AA3943">
        <v>0.85974119999999998</v>
      </c>
      <c r="AB3943">
        <v>12</v>
      </c>
      <c r="AC3943">
        <v>0.77289999999999204</v>
      </c>
      <c r="AD3943">
        <v>-7.1117000000000097E-2</v>
      </c>
      <c r="AE3943">
        <v>-0.29850000000001797</v>
      </c>
      <c r="AF3943">
        <v>-0.46005826914583597</v>
      </c>
      <c r="AG3943">
        <v>-7.1117000000000097E-2</v>
      </c>
      <c r="AH3943">
        <v>0.681775983718797</v>
      </c>
      <c r="AI3943">
        <v>94.941880898472704</v>
      </c>
      <c r="AJ3943">
        <v>124.011236444679</v>
      </c>
      <c r="AK3943">
        <v>0.82554813952561001</v>
      </c>
      <c r="AL3943">
        <v>94.310197288864202</v>
      </c>
      <c r="AM3943">
        <v>113.832491480703</v>
      </c>
      <c r="AN3943">
        <v>0.99999998770654497</v>
      </c>
    </row>
    <row r="3944" spans="1:40" x14ac:dyDescent="0.25">
      <c r="A3944" t="str">
        <f>"20190303153845660"</f>
        <v>20190303153845660</v>
      </c>
      <c r="B3944" t="str">
        <f>"1551598725652349"</f>
        <v>1551598725652349</v>
      </c>
      <c r="C3944" t="s">
        <v>40</v>
      </c>
      <c r="D3944">
        <v>4.4003259999999997</v>
      </c>
      <c r="E3944">
        <v>0.45352999999999999</v>
      </c>
      <c r="F3944" t="s">
        <v>44</v>
      </c>
      <c r="G3944">
        <v>-487.90140000000002</v>
      </c>
      <c r="H3944">
        <v>1.051444</v>
      </c>
      <c r="I3944">
        <v>221.55279999999999</v>
      </c>
      <c r="J3944">
        <v>-488.65870000000001</v>
      </c>
      <c r="K3944">
        <v>1.12322099999999</v>
      </c>
      <c r="L3944">
        <v>221.8289</v>
      </c>
      <c r="M3944">
        <v>0.57937799999999995</v>
      </c>
      <c r="N3944">
        <v>-6.7486209999999998E-3</v>
      </c>
      <c r="O3944">
        <v>-0.81503119999999996</v>
      </c>
      <c r="P3944">
        <v>0.8565199</v>
      </c>
      <c r="Q3944">
        <v>-8.0300460000000004E-2</v>
      </c>
      <c r="R3944">
        <v>-0.50982959999999899</v>
      </c>
      <c r="S3944">
        <v>2.7497250000000002</v>
      </c>
      <c r="T3944">
        <v>-0.2344733</v>
      </c>
      <c r="U3944">
        <v>-1.233795</v>
      </c>
      <c r="V3944">
        <v>-0.40218409999999999</v>
      </c>
      <c r="W3944">
        <v>-7.697532E-2</v>
      </c>
      <c r="X3944">
        <v>0.9123173</v>
      </c>
      <c r="Y3944">
        <v>-0.50363610000000003</v>
      </c>
      <c r="Z3944">
        <v>7.0994409999999994E-2</v>
      </c>
      <c r="AA3944">
        <v>0.86099389999999998</v>
      </c>
      <c r="AB3944">
        <v>12</v>
      </c>
      <c r="AC3944">
        <v>0.75729999999998598</v>
      </c>
      <c r="AD3944">
        <v>-7.1776999999999702E-2</v>
      </c>
      <c r="AE3944">
        <v>-0.276100000000013</v>
      </c>
      <c r="AF3944">
        <v>-0.45366993017330798</v>
      </c>
      <c r="AG3944">
        <v>-7.1776999999999702E-2</v>
      </c>
      <c r="AH3944">
        <v>0.65858597750346204</v>
      </c>
      <c r="AI3944">
        <v>95.128707502064501</v>
      </c>
      <c r="AJ3944">
        <v>124.56118935353901</v>
      </c>
      <c r="AK3944">
        <v>0.80293451354182399</v>
      </c>
      <c r="AL3944">
        <v>94.414727760512903</v>
      </c>
      <c r="AM3944">
        <v>113.789706373095</v>
      </c>
      <c r="AN3944">
        <v>1.0000000530305999</v>
      </c>
    </row>
    <row r="3945" spans="1:40" x14ac:dyDescent="0.25">
      <c r="A3945" t="str">
        <f>"20190303153845683"</f>
        <v>20190303153845683</v>
      </c>
      <c r="B3945" t="str">
        <f>"1551598725672846"</f>
        <v>1551598725672846</v>
      </c>
      <c r="C3945" t="s">
        <v>40</v>
      </c>
      <c r="D3945">
        <v>4.3985399999999997</v>
      </c>
      <c r="E3945">
        <v>0.45371220000000001</v>
      </c>
      <c r="F3945" t="s">
        <v>44</v>
      </c>
      <c r="G3945">
        <v>-487.8372</v>
      </c>
      <c r="H3945">
        <v>1.0515350000000001</v>
      </c>
      <c r="I3945">
        <v>221.4683</v>
      </c>
      <c r="J3945">
        <v>-488.57659999999998</v>
      </c>
      <c r="K3945">
        <v>1.1232690000000001</v>
      </c>
      <c r="L3945">
        <v>221.73179999999999</v>
      </c>
      <c r="M3945">
        <v>0.58671640000000003</v>
      </c>
      <c r="N3945">
        <v>-6.8162229999999997E-3</v>
      </c>
      <c r="O3945">
        <v>-0.80976380000000003</v>
      </c>
      <c r="P3945">
        <v>0.86077250000000005</v>
      </c>
      <c r="Q3945">
        <v>-8.1309210000000007E-2</v>
      </c>
      <c r="R3945">
        <v>-0.50245379999999995</v>
      </c>
      <c r="S3945">
        <v>2.7593079999999999</v>
      </c>
      <c r="T3945">
        <v>-0.24072679999999999</v>
      </c>
      <c r="U3945">
        <v>-1.2107699999999999</v>
      </c>
      <c r="V3945">
        <v>-0.40168920000000002</v>
      </c>
      <c r="W3945">
        <v>-7.7953289999999995E-2</v>
      </c>
      <c r="X3945">
        <v>0.91245220000000005</v>
      </c>
      <c r="Y3945">
        <v>-0.50281679999999995</v>
      </c>
      <c r="Z3945">
        <v>7.2731199999999996E-2</v>
      </c>
      <c r="AA3945">
        <v>0.86132779999999998</v>
      </c>
      <c r="AB3945">
        <v>12</v>
      </c>
      <c r="AC3945">
        <v>0.73939999999998895</v>
      </c>
      <c r="AD3945">
        <v>-7.1733999999999895E-2</v>
      </c>
      <c r="AE3945">
        <v>-0.26349999999999302</v>
      </c>
      <c r="AF3945">
        <v>-0.44047127781941098</v>
      </c>
      <c r="AG3945">
        <v>-7.1733999999999895E-2</v>
      </c>
      <c r="AH3945">
        <v>0.64184549121714396</v>
      </c>
      <c r="AI3945">
        <v>95.264941341924597</v>
      </c>
      <c r="AJ3945">
        <v>124.46015345297199</v>
      </c>
      <c r="AK3945">
        <v>0.781745705415541</v>
      </c>
      <c r="AL3945">
        <v>94.470930552836506</v>
      </c>
      <c r="AM3945">
        <v>113.760553487091</v>
      </c>
      <c r="AN3945">
        <v>0.999999973051651</v>
      </c>
    </row>
    <row r="3946" spans="1:40" x14ac:dyDescent="0.25">
      <c r="A3946" t="str">
        <f>"20190303153845704"</f>
        <v>20190303153845704</v>
      </c>
      <c r="B3946" t="str">
        <f>"1551598725692365"</f>
        <v>1551598725692365</v>
      </c>
      <c r="C3946" t="s">
        <v>40</v>
      </c>
      <c r="D3946">
        <v>4.351667</v>
      </c>
      <c r="E3946">
        <v>0.46194429999999997</v>
      </c>
      <c r="F3946" t="s">
        <v>44</v>
      </c>
      <c r="G3946">
        <v>-487.77030000000002</v>
      </c>
      <c r="H3946">
        <v>1.0518459999999901</v>
      </c>
      <c r="I3946">
        <v>221.38550000000001</v>
      </c>
      <c r="J3946">
        <v>-488.50510000000003</v>
      </c>
      <c r="K3946">
        <v>1.1233139999999999</v>
      </c>
      <c r="L3946">
        <v>221.64840000000001</v>
      </c>
      <c r="M3946">
        <v>0.59301359999999903</v>
      </c>
      <c r="N3946">
        <v>-6.8806819999999999E-3</v>
      </c>
      <c r="O3946">
        <v>-0.80516290000000001</v>
      </c>
      <c r="P3946">
        <v>0.86458619999999997</v>
      </c>
      <c r="Q3946">
        <v>-8.0221940000000005E-2</v>
      </c>
      <c r="R3946">
        <v>-0.49603950000000002</v>
      </c>
      <c r="S3946">
        <v>2.7685240000000002</v>
      </c>
      <c r="T3946">
        <v>-0.24517520000000001</v>
      </c>
      <c r="U3946">
        <v>-1.188248</v>
      </c>
      <c r="V3946">
        <v>-0.40144180000000002</v>
      </c>
      <c r="W3946">
        <v>-7.6834479999999997E-2</v>
      </c>
      <c r="X3946">
        <v>0.91265600000000002</v>
      </c>
      <c r="Y3946">
        <v>-0.50293109999999996</v>
      </c>
      <c r="Z3946">
        <v>7.3934949999999999E-2</v>
      </c>
      <c r="AA3946">
        <v>0.86115849999999905</v>
      </c>
      <c r="AB3946">
        <v>12</v>
      </c>
      <c r="AC3946">
        <v>0.734800000000007</v>
      </c>
      <c r="AD3946">
        <v>-7.1468000000000004E-2</v>
      </c>
      <c r="AE3946">
        <v>-0.26290000000000102</v>
      </c>
      <c r="AF3946">
        <v>-0.43211691218709303</v>
      </c>
      <c r="AG3946">
        <v>-7.1468000000000004E-2</v>
      </c>
      <c r="AH3946">
        <v>0.64205463643042004</v>
      </c>
      <c r="AI3946">
        <v>95.276010989448096</v>
      </c>
      <c r="AJ3946">
        <v>123.941422269117</v>
      </c>
      <c r="AK3946">
        <v>0.77721738077831604</v>
      </c>
      <c r="AL3946">
        <v>94.406634420832205</v>
      </c>
      <c r="AM3946">
        <v>113.742822813125</v>
      </c>
      <c r="AN3946">
        <v>1.0000000152200501</v>
      </c>
    </row>
    <row r="3947" spans="1:40" x14ac:dyDescent="0.25">
      <c r="A3947" t="str">
        <f>"20190303153845725"</f>
        <v>20190303153845725</v>
      </c>
      <c r="B3947" t="str">
        <f>"1551598725722621"</f>
        <v>1551598725722621</v>
      </c>
      <c r="C3947" t="s">
        <v>40</v>
      </c>
      <c r="D3947">
        <v>4.3251609999999996</v>
      </c>
      <c r="E3947">
        <v>0.46222380000000002</v>
      </c>
      <c r="F3947" t="s">
        <v>44</v>
      </c>
      <c r="G3947">
        <v>-487.71019999999999</v>
      </c>
      <c r="H3947">
        <v>1.051906</v>
      </c>
      <c r="I3947">
        <v>221.2937</v>
      </c>
      <c r="J3947">
        <v>-488.42750000000001</v>
      </c>
      <c r="K3947">
        <v>1.123373</v>
      </c>
      <c r="L3947">
        <v>221.55959999999999</v>
      </c>
      <c r="M3947">
        <v>0.59973750000000003</v>
      </c>
      <c r="N3947">
        <v>-6.9424129999999997E-3</v>
      </c>
      <c r="O3947">
        <v>-0.80016690000000001</v>
      </c>
      <c r="P3947">
        <v>0.86871160000000003</v>
      </c>
      <c r="Q3947">
        <v>-7.9127680000000006E-2</v>
      </c>
      <c r="R3947">
        <v>-0.4889578</v>
      </c>
      <c r="S3947">
        <v>2.7446899999999999</v>
      </c>
      <c r="T3947">
        <v>-0.24648800000000001</v>
      </c>
      <c r="U3947">
        <v>-1.224075</v>
      </c>
      <c r="V3947">
        <v>-0.40133649999999998</v>
      </c>
      <c r="W3947">
        <v>-7.5718830000000001E-2</v>
      </c>
      <c r="X3947">
        <v>0.91279549999999998</v>
      </c>
      <c r="Y3947">
        <v>-0.48344979999999999</v>
      </c>
      <c r="Z3947">
        <v>7.3656180000000002E-2</v>
      </c>
      <c r="AA3947">
        <v>0.87226780000000004</v>
      </c>
      <c r="AB3947">
        <v>12</v>
      </c>
      <c r="AC3947">
        <v>0.71730000000002203</v>
      </c>
      <c r="AD3947">
        <v>-7.1466999999999906E-2</v>
      </c>
      <c r="AE3947">
        <v>-0.26589999999998698</v>
      </c>
      <c r="AF3947">
        <v>-0.41091318668332699</v>
      </c>
      <c r="AG3947">
        <v>-7.1466999999999906E-2</v>
      </c>
      <c r="AH3947">
        <v>0.63740848566873898</v>
      </c>
      <c r="AI3947">
        <v>95.383454228187503</v>
      </c>
      <c r="AJ3947">
        <v>122.808347677898</v>
      </c>
      <c r="AK3947">
        <v>0.76173929705757004</v>
      </c>
      <c r="AL3947">
        <v>94.342525783375095</v>
      </c>
      <c r="AM3947">
        <v>113.734056902826</v>
      </c>
      <c r="AN3947">
        <v>0.99999997613453395</v>
      </c>
    </row>
    <row r="3948" spans="1:40" x14ac:dyDescent="0.25">
      <c r="A3948" t="str">
        <f>"20190303153845748"</f>
        <v>20190303153845748</v>
      </c>
      <c r="B3948" t="str">
        <f>"1551598725742141"</f>
        <v>1551598725742141</v>
      </c>
      <c r="C3948" t="s">
        <v>40</v>
      </c>
      <c r="D3948">
        <v>4.3652629999999997</v>
      </c>
      <c r="E3948">
        <v>0.46246389999999998</v>
      </c>
      <c r="F3948" t="s">
        <v>44</v>
      </c>
      <c r="G3948">
        <v>-487.63670000000002</v>
      </c>
      <c r="H3948">
        <v>1.051685</v>
      </c>
      <c r="I3948">
        <v>221.2141</v>
      </c>
      <c r="J3948">
        <v>-488.34359999999998</v>
      </c>
      <c r="K3948">
        <v>1.1234280000000001</v>
      </c>
      <c r="L3948">
        <v>221.46510000000001</v>
      </c>
      <c r="M3948">
        <v>0.60690269999999902</v>
      </c>
      <c r="N3948">
        <v>-6.9923569999999899E-3</v>
      </c>
      <c r="O3948">
        <v>-0.794745699999999</v>
      </c>
      <c r="P3948">
        <v>0.87286810000000004</v>
      </c>
      <c r="Q3948">
        <v>-7.8222470000000002E-2</v>
      </c>
      <c r="R3948">
        <v>-0.48164600000000002</v>
      </c>
      <c r="S3948">
        <v>2.753479</v>
      </c>
      <c r="T3948">
        <v>-0.24963260000000001</v>
      </c>
      <c r="U3948">
        <v>-1.2030179999999999</v>
      </c>
      <c r="V3948">
        <v>-0.40086310000000003</v>
      </c>
      <c r="W3948">
        <v>-7.4806849999999994E-2</v>
      </c>
      <c r="X3948">
        <v>0.91307870000000002</v>
      </c>
      <c r="Y3948">
        <v>-0.48214590000000002</v>
      </c>
      <c r="Z3948">
        <v>7.4340970000000006E-2</v>
      </c>
      <c r="AA3948">
        <v>0.87293109999999996</v>
      </c>
      <c r="AB3948">
        <v>13</v>
      </c>
      <c r="AC3948">
        <v>0.706899999999961</v>
      </c>
      <c r="AD3948">
        <v>-7.1743000000000098E-2</v>
      </c>
      <c r="AE3948">
        <v>-0.251000000000004</v>
      </c>
      <c r="AF3948">
        <v>-0.40577149939533402</v>
      </c>
      <c r="AG3948">
        <v>-7.1743000000000098E-2</v>
      </c>
      <c r="AH3948">
        <v>0.62281901103488502</v>
      </c>
      <c r="AI3948">
        <v>95.512793356351693</v>
      </c>
      <c r="AJ3948">
        <v>123.084560830009</v>
      </c>
      <c r="AK3948">
        <v>0.74679387268309205</v>
      </c>
      <c r="AL3948">
        <v>94.290124444057199</v>
      </c>
      <c r="AM3948">
        <v>113.702608097466</v>
      </c>
      <c r="AN3948">
        <v>1.0000000010711101</v>
      </c>
    </row>
    <row r="3949" spans="1:40" x14ac:dyDescent="0.25">
      <c r="A3949" t="str">
        <f>"20190303153845771"</f>
        <v>20190303153845771</v>
      </c>
      <c r="B3949" t="str">
        <f>"1551598725762637"</f>
        <v>1551598725762637</v>
      </c>
      <c r="C3949" t="s">
        <v>40</v>
      </c>
      <c r="D3949">
        <v>4.337485</v>
      </c>
      <c r="E3949">
        <v>0.46287200000000001</v>
      </c>
      <c r="F3949" t="s">
        <v>44</v>
      </c>
      <c r="G3949">
        <v>-487.55149999999998</v>
      </c>
      <c r="H3949">
        <v>1.053223</v>
      </c>
      <c r="I3949">
        <v>221.12610000000001</v>
      </c>
      <c r="J3949">
        <v>-488.26049999999998</v>
      </c>
      <c r="K3949">
        <v>1.123475</v>
      </c>
      <c r="L3949">
        <v>221.3732</v>
      </c>
      <c r="M3949">
        <v>0.61388120000000002</v>
      </c>
      <c r="N3949">
        <v>-7.0251189999999998E-3</v>
      </c>
      <c r="O3949">
        <v>-0.78936729999999999</v>
      </c>
      <c r="P3949">
        <v>0.87681779999999998</v>
      </c>
      <c r="Q3949">
        <v>-7.7456949999999997E-2</v>
      </c>
      <c r="R3949">
        <v>-0.4745434</v>
      </c>
      <c r="S3949">
        <v>2.7629700000000001</v>
      </c>
      <c r="T3949">
        <v>-0.2448323</v>
      </c>
      <c r="U3949">
        <v>-1.181702</v>
      </c>
      <c r="V3949">
        <v>-0.4002829</v>
      </c>
      <c r="W3949">
        <v>-7.4051660000000005E-2</v>
      </c>
      <c r="X3949">
        <v>0.9133947</v>
      </c>
      <c r="Y3949">
        <v>-0.48135129999999998</v>
      </c>
      <c r="Z3949">
        <v>7.2538930000000001E-2</v>
      </c>
      <c r="AA3949">
        <v>0.87352109999999905</v>
      </c>
      <c r="AB3949">
        <v>13</v>
      </c>
      <c r="AC3949">
        <v>0.70900000000000296</v>
      </c>
      <c r="AD3949">
        <v>-7.0251999999999898E-2</v>
      </c>
      <c r="AE3949">
        <v>-0.247099999999988</v>
      </c>
      <c r="AF3949">
        <v>-0.40444065696146803</v>
      </c>
      <c r="AG3949">
        <v>-7.0251999999999898E-2</v>
      </c>
      <c r="AH3949">
        <v>0.62483966182684003</v>
      </c>
      <c r="AI3949">
        <v>95.391914238995199</v>
      </c>
      <c r="AJ3949">
        <v>122.913815316171</v>
      </c>
      <c r="AK3949">
        <v>0.74761767735875795</v>
      </c>
      <c r="AL3949">
        <v>94.246735054753799</v>
      </c>
      <c r="AM3949">
        <v>113.66478727250001</v>
      </c>
      <c r="AN3949">
        <v>0.99999996318462703</v>
      </c>
    </row>
    <row r="3950" spans="1:40" x14ac:dyDescent="0.25">
      <c r="A3950" t="str">
        <f>"20190303153845793"</f>
        <v>20190303153845793</v>
      </c>
      <c r="B3950" t="str">
        <f>"1551598725782160"</f>
        <v>1551598725782160</v>
      </c>
      <c r="C3950" t="s">
        <v>40</v>
      </c>
      <c r="D3950">
        <v>4.346419</v>
      </c>
      <c r="E3950">
        <v>0.46334809999999998</v>
      </c>
      <c r="F3950" t="s">
        <v>44</v>
      </c>
      <c r="G3950">
        <v>-487.38819999999998</v>
      </c>
      <c r="H3950">
        <v>1.046624</v>
      </c>
      <c r="I3950">
        <v>221.00720000000001</v>
      </c>
      <c r="J3950">
        <v>-488.17329999999998</v>
      </c>
      <c r="K3950">
        <v>1.123518</v>
      </c>
      <c r="L3950">
        <v>221.27869999999999</v>
      </c>
      <c r="M3950">
        <v>0.62106649999999997</v>
      </c>
      <c r="N3950">
        <v>-7.0488180000000001E-3</v>
      </c>
      <c r="O3950">
        <v>-0.78372649999999999</v>
      </c>
      <c r="P3950">
        <v>0.88089599999999901</v>
      </c>
      <c r="Q3950">
        <v>-7.6415789999999997E-2</v>
      </c>
      <c r="R3950">
        <v>-0.46710099999999999</v>
      </c>
      <c r="S3950">
        <v>2.7709350000000001</v>
      </c>
      <c r="T3950">
        <v>-0.24410560000000001</v>
      </c>
      <c r="U3950">
        <v>-1.162247</v>
      </c>
      <c r="V3950">
        <v>-0.39974520000000002</v>
      </c>
      <c r="W3950">
        <v>-7.3030170000000005E-2</v>
      </c>
      <c r="X3950">
        <v>0.91371239999999998</v>
      </c>
      <c r="Y3950">
        <v>-0.47949540000000002</v>
      </c>
      <c r="Z3950">
        <v>7.1987289999999995E-2</v>
      </c>
      <c r="AA3950">
        <v>0.8745868</v>
      </c>
      <c r="AB3950">
        <v>13</v>
      </c>
      <c r="AC3950">
        <v>0.78509999999999902</v>
      </c>
      <c r="AD3950">
        <v>-7.6894000000000004E-2</v>
      </c>
      <c r="AE3950">
        <v>-0.27149999999997398</v>
      </c>
      <c r="AF3950">
        <v>-0.442900359462365</v>
      </c>
      <c r="AG3950">
        <v>-7.6894000000000004E-2</v>
      </c>
      <c r="AH3950">
        <v>0.694448283174117</v>
      </c>
      <c r="AI3950">
        <v>95.333460652787295</v>
      </c>
      <c r="AJ3950">
        <v>122.528630704509</v>
      </c>
      <c r="AK3950">
        <v>0.82724351532748197</v>
      </c>
      <c r="AL3950">
        <v>94.188048960628805</v>
      </c>
      <c r="AM3950">
        <v>113.6291685165</v>
      </c>
      <c r="AN3950">
        <v>0.99999999028351405</v>
      </c>
    </row>
    <row r="3951" spans="1:40" x14ac:dyDescent="0.25">
      <c r="A3951" t="str">
        <f>"20190303153845817"</f>
        <v>20190303153845817</v>
      </c>
      <c r="B3951" t="str">
        <f>"1551598725812414"</f>
        <v>1551598725812414</v>
      </c>
      <c r="C3951" t="s">
        <v>40</v>
      </c>
      <c r="D3951">
        <v>4.3835480000000002</v>
      </c>
      <c r="E3951">
        <v>0.46380919999999998</v>
      </c>
      <c r="F3951" t="s">
        <v>44</v>
      </c>
      <c r="G3951">
        <v>-487.31369999999998</v>
      </c>
      <c r="H3951">
        <v>1.0488090000000001</v>
      </c>
      <c r="I3951">
        <v>220.9255</v>
      </c>
      <c r="J3951">
        <v>-488.0813</v>
      </c>
      <c r="K3951">
        <v>1.123559</v>
      </c>
      <c r="L3951">
        <v>221.1807</v>
      </c>
      <c r="M3951">
        <v>0.6285269</v>
      </c>
      <c r="N3951">
        <v>-7.0669319999999997E-3</v>
      </c>
      <c r="O3951">
        <v>-0.7777558</v>
      </c>
      <c r="P3951">
        <v>0.88481129999999997</v>
      </c>
      <c r="Q3951">
        <v>-7.6029040000000006E-2</v>
      </c>
      <c r="R3951">
        <v>-0.45970470000000002</v>
      </c>
      <c r="S3951">
        <v>2.779175</v>
      </c>
      <c r="T3951">
        <v>-0.24150569999999999</v>
      </c>
      <c r="U3951">
        <v>-1.141815</v>
      </c>
      <c r="V3951">
        <v>-0.39868959999999998</v>
      </c>
      <c r="W3951">
        <v>-7.2661240000000002E-2</v>
      </c>
      <c r="X3951">
        <v>0.91420290000000004</v>
      </c>
      <c r="Y3951">
        <v>-0.47761130000000002</v>
      </c>
      <c r="Z3951">
        <v>7.08395E-2</v>
      </c>
      <c r="AA3951">
        <v>0.87571069999999995</v>
      </c>
      <c r="AB3951">
        <v>13</v>
      </c>
      <c r="AC3951">
        <v>0.76760000000001505</v>
      </c>
      <c r="AD3951">
        <v>-7.4749999999999803E-2</v>
      </c>
      <c r="AE3951">
        <v>-0.25520000000000198</v>
      </c>
      <c r="AF3951">
        <v>-0.43291935251489699</v>
      </c>
      <c r="AG3951">
        <v>-7.4749999999999803E-2</v>
      </c>
      <c r="AH3951">
        <v>0.67519185265299697</v>
      </c>
      <c r="AI3951">
        <v>95.3244320701356</v>
      </c>
      <c r="AJ3951">
        <v>122.667171047426</v>
      </c>
      <c r="AK3951">
        <v>0.805537563476033</v>
      </c>
      <c r="AL3951">
        <v>94.166854488667099</v>
      </c>
      <c r="AM3951">
        <v>113.562316851156</v>
      </c>
      <c r="AN3951">
        <v>0.99999999765745295</v>
      </c>
    </row>
    <row r="3952" spans="1:40" x14ac:dyDescent="0.25">
      <c r="A3952" t="str">
        <f>"20190303153845836"</f>
        <v>20190303153845836</v>
      </c>
      <c r="B3952" t="str">
        <f>"1551598725831933"</f>
        <v>1551598725831933</v>
      </c>
      <c r="C3952" t="s">
        <v>40</v>
      </c>
      <c r="D3952">
        <v>4.3276659999999998</v>
      </c>
      <c r="E3952">
        <v>0.46436559999999999</v>
      </c>
      <c r="F3952" t="s">
        <v>44</v>
      </c>
      <c r="G3952">
        <v>-487.23970000000003</v>
      </c>
      <c r="H3952">
        <v>1.0530440000000001</v>
      </c>
      <c r="I3952">
        <v>220.8416</v>
      </c>
      <c r="J3952">
        <v>-488.0043</v>
      </c>
      <c r="K3952">
        <v>1.123586</v>
      </c>
      <c r="L3952">
        <v>221.1001</v>
      </c>
      <c r="M3952">
        <v>0.63465669999999996</v>
      </c>
      <c r="N3952">
        <v>-7.0789329999999999E-3</v>
      </c>
      <c r="O3952">
        <v>-0.77276199999999995</v>
      </c>
      <c r="P3952">
        <v>0.88777229999999996</v>
      </c>
      <c r="Q3952">
        <v>-7.5689259999999994E-2</v>
      </c>
      <c r="R3952">
        <v>-0.45401730000000001</v>
      </c>
      <c r="S3952">
        <v>2.7874759999999998</v>
      </c>
      <c r="T3952">
        <v>-0.23345109999999999</v>
      </c>
      <c r="U3952">
        <v>-1.122131</v>
      </c>
      <c r="V3952">
        <v>-0.3973469</v>
      </c>
      <c r="W3952">
        <v>-7.2329439999999995E-2</v>
      </c>
      <c r="X3952">
        <v>0.9148136</v>
      </c>
      <c r="Y3952">
        <v>-0.47710930000000001</v>
      </c>
      <c r="Z3952">
        <v>6.8091929999999995E-2</v>
      </c>
      <c r="AA3952">
        <v>0.87620219999999904</v>
      </c>
      <c r="AB3952">
        <v>13</v>
      </c>
      <c r="AC3952">
        <v>0.76459999999997297</v>
      </c>
      <c r="AD3952">
        <v>-7.0541999999999799E-2</v>
      </c>
      <c r="AE3952">
        <v>-0.25849999999999701</v>
      </c>
      <c r="AF3952">
        <v>-0.42357012795690802</v>
      </c>
      <c r="AG3952">
        <v>-7.0541999999999799E-2</v>
      </c>
      <c r="AH3952">
        <v>0.67984137446926296</v>
      </c>
      <c r="AI3952">
        <v>95.0329262276923</v>
      </c>
      <c r="AJ3952">
        <v>121.924663932462</v>
      </c>
      <c r="AK3952">
        <v>0.80409708462454199</v>
      </c>
      <c r="AL3952">
        <v>94.147793523758395</v>
      </c>
      <c r="AM3952">
        <v>113.47759058979899</v>
      </c>
      <c r="AN3952">
        <v>1.00000001478764</v>
      </c>
    </row>
    <row r="3953" spans="1:40" x14ac:dyDescent="0.25">
      <c r="A3953" t="str">
        <f>"20190303153845863"</f>
        <v>20190303153845863</v>
      </c>
      <c r="B3953" t="str">
        <f>"1551598725852429"</f>
        <v>1551598725852429</v>
      </c>
      <c r="C3953" t="s">
        <v>40</v>
      </c>
      <c r="D3953">
        <v>4.3234240000000002</v>
      </c>
      <c r="E3953">
        <v>0.46482040000000002</v>
      </c>
      <c r="F3953" t="s">
        <v>44</v>
      </c>
      <c r="G3953">
        <v>-487.15899999999999</v>
      </c>
      <c r="H3953">
        <v>1.054724</v>
      </c>
      <c r="I3953">
        <v>220.7645</v>
      </c>
      <c r="J3953">
        <v>-487.90190000000001</v>
      </c>
      <c r="K3953">
        <v>1.123605</v>
      </c>
      <c r="L3953">
        <v>220.99459999999999</v>
      </c>
      <c r="M3953">
        <v>0.64266380000000001</v>
      </c>
      <c r="N3953">
        <v>-7.0951390000000003E-3</v>
      </c>
      <c r="O3953">
        <v>-0.76611549999999995</v>
      </c>
      <c r="P3953">
        <v>0.8918275</v>
      </c>
      <c r="Q3953">
        <v>-7.6349899999999901E-2</v>
      </c>
      <c r="R3953">
        <v>-0.44588610000000001</v>
      </c>
      <c r="S3953">
        <v>2.7927550000000001</v>
      </c>
      <c r="T3953">
        <v>-0.22749169999999999</v>
      </c>
      <c r="U3953">
        <v>-1.108765</v>
      </c>
      <c r="V3953">
        <v>-0.39613199999999998</v>
      </c>
      <c r="W3953">
        <v>-7.2998359999999998E-2</v>
      </c>
      <c r="X3953">
        <v>0.91528730000000003</v>
      </c>
      <c r="Y3953">
        <v>-0.4723212</v>
      </c>
      <c r="Z3953">
        <v>6.5801670000000007E-2</v>
      </c>
      <c r="AA3953">
        <v>0.8789669</v>
      </c>
      <c r="AB3953">
        <v>13</v>
      </c>
      <c r="AC3953">
        <v>0.74290000000001999</v>
      </c>
      <c r="AD3953">
        <v>-6.8880999999999901E-2</v>
      </c>
      <c r="AE3953">
        <v>-0.230099999999993</v>
      </c>
      <c r="AF3953">
        <v>-0.41800192655298601</v>
      </c>
      <c r="AG3953">
        <v>-6.8880999999999901E-2</v>
      </c>
      <c r="AH3953">
        <v>0.64864637710366702</v>
      </c>
      <c r="AI3953">
        <v>95.100860652672793</v>
      </c>
      <c r="AJ3953">
        <v>122.798618336408</v>
      </c>
      <c r="AK3953">
        <v>0.77473371250560696</v>
      </c>
      <c r="AL3953">
        <v>94.186221120553896</v>
      </c>
      <c r="AM3953">
        <v>113.402731981404</v>
      </c>
      <c r="AN3953">
        <v>1.00000008176398</v>
      </c>
    </row>
    <row r="3954" spans="1:40" x14ac:dyDescent="0.25">
      <c r="A3954" t="str">
        <f>"20190303153845885"</f>
        <v>20190303153845885</v>
      </c>
      <c r="B3954" t="str">
        <f>"1551598725871949"</f>
        <v>1551598725871949</v>
      </c>
      <c r="C3954" t="s">
        <v>40</v>
      </c>
      <c r="D3954">
        <v>4.3423059999999998</v>
      </c>
      <c r="E3954">
        <v>0.46537060000000002</v>
      </c>
      <c r="F3954" t="s">
        <v>44</v>
      </c>
      <c r="G3954">
        <v>-487.07549999999998</v>
      </c>
      <c r="H3954">
        <v>1.057005</v>
      </c>
      <c r="I3954">
        <v>220.6738</v>
      </c>
      <c r="J3954">
        <v>-487.81009999999998</v>
      </c>
      <c r="K3954">
        <v>1.1236060000000001</v>
      </c>
      <c r="L3954">
        <v>220.90190000000001</v>
      </c>
      <c r="M3954">
        <v>0.64967919999999901</v>
      </c>
      <c r="N3954">
        <v>-7.1131279999999998E-3</v>
      </c>
      <c r="O3954">
        <v>-0.76017559999999995</v>
      </c>
      <c r="P3954">
        <v>0.89556270000000004</v>
      </c>
      <c r="Q3954">
        <v>-7.9523609999999995E-2</v>
      </c>
      <c r="R3954">
        <v>-0.43777189999999999</v>
      </c>
      <c r="S3954">
        <v>2.8012700000000001</v>
      </c>
      <c r="T3954">
        <v>-0.22568489999999999</v>
      </c>
      <c r="U3954">
        <v>-1.0867309999999999</v>
      </c>
      <c r="V3954">
        <v>-0.39578839999999998</v>
      </c>
      <c r="W3954">
        <v>-7.6176489999999999E-2</v>
      </c>
      <c r="X3954">
        <v>0.91517689999999996</v>
      </c>
      <c r="Y3954">
        <v>-0.4711902</v>
      </c>
      <c r="Z3954">
        <v>6.4945000000000003E-2</v>
      </c>
      <c r="AA3954">
        <v>0.87963740000000001</v>
      </c>
      <c r="AB3954">
        <v>13</v>
      </c>
      <c r="AC3954">
        <v>0.73460000000000003</v>
      </c>
      <c r="AD3954">
        <v>-6.6600999999999896E-2</v>
      </c>
      <c r="AE3954">
        <v>-0.22810000000001199</v>
      </c>
      <c r="AF3954">
        <v>-0.40719073872407002</v>
      </c>
      <c r="AG3954">
        <v>-6.6600999999999896E-2</v>
      </c>
      <c r="AH3954">
        <v>0.64582494561780002</v>
      </c>
      <c r="AI3954">
        <v>94.985520647545599</v>
      </c>
      <c r="AJ3954">
        <v>122.231311341119</v>
      </c>
      <c r="AK3954">
        <v>0.76637448501753302</v>
      </c>
      <c r="AL3954">
        <v>94.368823458929398</v>
      </c>
      <c r="AM3954">
        <v>113.38713176422699</v>
      </c>
      <c r="AN3954">
        <v>1.0000000367484401</v>
      </c>
    </row>
    <row r="3955" spans="1:40" x14ac:dyDescent="0.25">
      <c r="A3955" t="str">
        <f>"20190303153845905"</f>
        <v>20190303153845905</v>
      </c>
      <c r="B3955" t="str">
        <f>"1551598725892445"</f>
        <v>1551598725892445</v>
      </c>
      <c r="C3955" t="s">
        <v>40</v>
      </c>
      <c r="D3955">
        <v>4.3467320000000003</v>
      </c>
      <c r="E3955">
        <v>0.46557809999999999</v>
      </c>
      <c r="F3955" t="s">
        <v>44</v>
      </c>
      <c r="G3955">
        <v>-486.9735</v>
      </c>
      <c r="H3955">
        <v>1.0542940000000001</v>
      </c>
      <c r="I3955">
        <v>220.58459999999999</v>
      </c>
      <c r="J3955">
        <v>-487.72829999999999</v>
      </c>
      <c r="K3955">
        <v>1.123604</v>
      </c>
      <c r="L3955">
        <v>220.82069999999999</v>
      </c>
      <c r="M3955">
        <v>0.65579469999999995</v>
      </c>
      <c r="N3955">
        <v>-7.1348389999999996E-3</v>
      </c>
      <c r="O3955">
        <v>-0.75490559999999995</v>
      </c>
      <c r="P3955">
        <v>0.8988159</v>
      </c>
      <c r="Q3955">
        <v>-8.2263320000000001E-2</v>
      </c>
      <c r="R3955">
        <v>-0.43053770000000002</v>
      </c>
      <c r="S3955">
        <v>2.808411</v>
      </c>
      <c r="T3955">
        <v>-0.2327321</v>
      </c>
      <c r="U3955">
        <v>-1.065323</v>
      </c>
      <c r="V3955">
        <v>-0.39556750000000002</v>
      </c>
      <c r="W3955">
        <v>-7.8908190000000003E-2</v>
      </c>
      <c r="X3955">
        <v>0.91504090000000005</v>
      </c>
      <c r="Y3955">
        <v>-0.47051589999999999</v>
      </c>
      <c r="Z3955">
        <v>6.6846069999999994E-2</v>
      </c>
      <c r="AA3955">
        <v>0.87985590000000002</v>
      </c>
      <c r="AB3955">
        <v>13</v>
      </c>
      <c r="AC3955">
        <v>0.75479999999998804</v>
      </c>
      <c r="AD3955">
        <v>-6.9309999999999899E-2</v>
      </c>
      <c r="AE3955">
        <v>-0.23609999999999301</v>
      </c>
      <c r="AF3955">
        <v>-0.41181721783377401</v>
      </c>
      <c r="AG3955">
        <v>-6.9309999999999899E-2</v>
      </c>
      <c r="AH3955">
        <v>0.66811274667693499</v>
      </c>
      <c r="AI3955">
        <v>95.046778263433396</v>
      </c>
      <c r="AJ3955">
        <v>121.649215555514</v>
      </c>
      <c r="AK3955">
        <v>0.78789081684999196</v>
      </c>
      <c r="AL3955">
        <v>94.525811234960599</v>
      </c>
      <c r="AM3955">
        <v>113.378581346498</v>
      </c>
      <c r="AN3955">
        <v>0.999999999089068</v>
      </c>
    </row>
    <row r="3956" spans="1:40" x14ac:dyDescent="0.25">
      <c r="A3956" t="str">
        <f>"20190303153845927"</f>
        <v>20190303153845927</v>
      </c>
      <c r="B3956" t="str">
        <f>"1551598725922701"</f>
        <v>1551598725922701</v>
      </c>
      <c r="C3956" t="s">
        <v>40</v>
      </c>
      <c r="D3956">
        <v>4.3285819999999999</v>
      </c>
      <c r="E3956">
        <v>0.47029029999999999</v>
      </c>
      <c r="F3956" t="s">
        <v>44</v>
      </c>
      <c r="G3956">
        <v>-486.88690000000003</v>
      </c>
      <c r="H3956">
        <v>1.0518459999999901</v>
      </c>
      <c r="I3956">
        <v>220.50839999999999</v>
      </c>
      <c r="J3956">
        <v>-487.6354</v>
      </c>
      <c r="K3956">
        <v>1.1236120000000001</v>
      </c>
      <c r="L3956">
        <v>220.72989999999999</v>
      </c>
      <c r="M3956">
        <v>0.66259959999999996</v>
      </c>
      <c r="N3956">
        <v>-7.1675569999999997E-3</v>
      </c>
      <c r="O3956">
        <v>-0.74893969999999999</v>
      </c>
      <c r="P3956">
        <v>0.90252549999999998</v>
      </c>
      <c r="Q3956">
        <v>-8.3408800000000005E-2</v>
      </c>
      <c r="R3956">
        <v>-0.42248190000000002</v>
      </c>
      <c r="S3956">
        <v>2.8155209999999999</v>
      </c>
      <c r="T3956">
        <v>-0.24002950000000001</v>
      </c>
      <c r="U3956">
        <v>-1.0443119999999999</v>
      </c>
      <c r="V3956">
        <v>-0.3953815</v>
      </c>
      <c r="W3956">
        <v>-8.0029130000000004E-2</v>
      </c>
      <c r="X3956">
        <v>0.9150239</v>
      </c>
      <c r="Y3956">
        <v>-0.46886430000000001</v>
      </c>
      <c r="Z3956">
        <v>6.8722160000000004E-2</v>
      </c>
      <c r="AA3956">
        <v>0.88059270000000001</v>
      </c>
      <c r="AB3956">
        <v>13</v>
      </c>
      <c r="AC3956">
        <v>0.74849999999997796</v>
      </c>
      <c r="AD3956">
        <v>-7.1766000000000205E-2</v>
      </c>
      <c r="AE3956">
        <v>-0.22149999999999101</v>
      </c>
      <c r="AF3956">
        <v>-0.41035749369963198</v>
      </c>
      <c r="AG3956">
        <v>-7.1766000000000205E-2</v>
      </c>
      <c r="AH3956">
        <v>0.65631521144766802</v>
      </c>
      <c r="AI3956">
        <v>95.297077612521605</v>
      </c>
      <c r="AJ3956">
        <v>122.015456954775</v>
      </c>
      <c r="AK3956">
        <v>0.77736303499011405</v>
      </c>
      <c r="AL3956">
        <v>94.5902402920143</v>
      </c>
      <c r="AM3956">
        <v>113.36915550574101</v>
      </c>
      <c r="AN3956">
        <v>0.99999996488100695</v>
      </c>
    </row>
    <row r="3957" spans="1:40" x14ac:dyDescent="0.25">
      <c r="A3957" t="str">
        <f>"20190303153845950"</f>
        <v>20190303153845950</v>
      </c>
      <c r="B3957" t="str">
        <f>"1551598725942221"</f>
        <v>1551598725942221</v>
      </c>
      <c r="C3957" t="s">
        <v>40</v>
      </c>
      <c r="D3957">
        <v>4.3664300000000003</v>
      </c>
      <c r="E3957">
        <v>0.44367659999999998</v>
      </c>
      <c r="F3957" t="s">
        <v>44</v>
      </c>
      <c r="G3957">
        <v>-486.7543</v>
      </c>
      <c r="H3957">
        <v>1.059048</v>
      </c>
      <c r="I3957">
        <v>220.399</v>
      </c>
      <c r="J3957">
        <v>-487.53890000000001</v>
      </c>
      <c r="K3957">
        <v>1.1236139999999999</v>
      </c>
      <c r="L3957">
        <v>220.63720000000001</v>
      </c>
      <c r="M3957">
        <v>0.66950240000000005</v>
      </c>
      <c r="N3957">
        <v>-7.2182660000000001E-3</v>
      </c>
      <c r="O3957">
        <v>-0.74277479999999996</v>
      </c>
      <c r="P3957">
        <v>0.90658870000000003</v>
      </c>
      <c r="Q3957">
        <v>-8.4025219999999998E-2</v>
      </c>
      <c r="R3957">
        <v>-0.41356609999999999</v>
      </c>
      <c r="S3957">
        <v>2.810638</v>
      </c>
      <c r="T3957">
        <v>-0.20601800000000001</v>
      </c>
      <c r="U3957">
        <v>-1.0559689999999999</v>
      </c>
      <c r="V3957">
        <v>-0.39588400000000001</v>
      </c>
      <c r="W3957">
        <v>-8.0604750000000003E-2</v>
      </c>
      <c r="X3957">
        <v>0.91475609999999996</v>
      </c>
      <c r="Y3957">
        <v>-0.45777580000000001</v>
      </c>
      <c r="Z3957">
        <v>5.782114E-2</v>
      </c>
      <c r="AA3957">
        <v>0.88718549999999996</v>
      </c>
      <c r="AB3957">
        <v>13</v>
      </c>
      <c r="AC3957">
        <v>0.78460000000001096</v>
      </c>
      <c r="AD3957">
        <v>-6.4565999999999901E-2</v>
      </c>
      <c r="AE3957">
        <v>-0.23820000000000599</v>
      </c>
      <c r="AF3957">
        <v>-0.420708103777021</v>
      </c>
      <c r="AG3957">
        <v>-6.4565999999999901E-2</v>
      </c>
      <c r="AH3957">
        <v>0.69791150077150399</v>
      </c>
      <c r="AI3957">
        <v>94.530137569871698</v>
      </c>
      <c r="AJ3957">
        <v>121.08199731240801</v>
      </c>
      <c r="AK3957">
        <v>0.81746225591692601</v>
      </c>
      <c r="AL3957">
        <v>94.623327644712404</v>
      </c>
      <c r="AM3957">
        <v>113.401777177626</v>
      </c>
      <c r="AN3957">
        <v>0.99999999483288604</v>
      </c>
    </row>
    <row r="3958" spans="1:40" x14ac:dyDescent="0.25">
      <c r="A3958" t="str">
        <f>"20190303153845972"</f>
        <v>20190303153845972</v>
      </c>
      <c r="B3958" t="str">
        <f>"1551598725962718"</f>
        <v>1551598725962718</v>
      </c>
      <c r="C3958" t="s">
        <v>40</v>
      </c>
      <c r="D3958">
        <v>4.311496</v>
      </c>
      <c r="E3958">
        <v>0.42621989999999998</v>
      </c>
      <c r="F3958" t="s">
        <v>44</v>
      </c>
      <c r="G3958">
        <v>-486.60520000000002</v>
      </c>
      <c r="H3958">
        <v>1.0382549999999999</v>
      </c>
      <c r="I3958">
        <v>220.37029999999999</v>
      </c>
      <c r="J3958">
        <v>-487.44119999999998</v>
      </c>
      <c r="K3958">
        <v>1.1236189999999999</v>
      </c>
      <c r="L3958">
        <v>220.54499999999999</v>
      </c>
      <c r="M3958">
        <v>0.67630119999999905</v>
      </c>
      <c r="N3958">
        <v>-7.3073679999999998E-3</v>
      </c>
      <c r="O3958">
        <v>-0.73658900000000005</v>
      </c>
      <c r="P3958">
        <v>0.91069909999999998</v>
      </c>
      <c r="Q3958">
        <v>-8.3936940000000002E-2</v>
      </c>
      <c r="R3958">
        <v>-0.40445239999999999</v>
      </c>
      <c r="S3958">
        <v>2.9055179999999998</v>
      </c>
      <c r="T3958">
        <v>-0.2656403</v>
      </c>
      <c r="U3958">
        <v>-0.8306732</v>
      </c>
      <c r="V3958">
        <v>-0.39665840000000002</v>
      </c>
      <c r="W3958">
        <v>-8.0435149999999997E-2</v>
      </c>
      <c r="X3958">
        <v>0.91443560000000002</v>
      </c>
      <c r="Y3958">
        <v>-0.51854069999999997</v>
      </c>
      <c r="Z3958">
        <v>7.7186290000000005E-2</v>
      </c>
      <c r="AA3958">
        <v>0.85156200000000004</v>
      </c>
      <c r="AB3958">
        <v>14</v>
      </c>
      <c r="AC3958">
        <v>0.835999999999955</v>
      </c>
      <c r="AD3958">
        <v>-8.5364000000000204E-2</v>
      </c>
      <c r="AE3958">
        <v>-0.17470000000000099</v>
      </c>
      <c r="AF3958">
        <v>-0.492729389845601</v>
      </c>
      <c r="AG3958">
        <v>-8.5364000000000204E-2</v>
      </c>
      <c r="AH3958">
        <v>0.68722291603679198</v>
      </c>
      <c r="AI3958">
        <v>95.764452754107595</v>
      </c>
      <c r="AJ3958">
        <v>125.64000333278</v>
      </c>
      <c r="AK3958">
        <v>0.84990858357809795</v>
      </c>
      <c r="AL3958">
        <v>94.613578217257896</v>
      </c>
      <c r="AM3958">
        <v>113.449946813943</v>
      </c>
      <c r="AN3958">
        <v>1.00000008309671</v>
      </c>
    </row>
    <row r="3959" spans="1:40" x14ac:dyDescent="0.25">
      <c r="A3959" t="str">
        <f>"20190303153845996"</f>
        <v>20190303153845996</v>
      </c>
      <c r="B3959" t="str">
        <f>"1551598725991997"</f>
        <v>1551598725991997</v>
      </c>
      <c r="C3959" t="s">
        <v>40</v>
      </c>
      <c r="D3959">
        <v>4.2833699999999997</v>
      </c>
      <c r="E3959">
        <v>0.41490100000000002</v>
      </c>
      <c r="F3959" t="s">
        <v>44</v>
      </c>
      <c r="G3959">
        <v>-486.4932</v>
      </c>
      <c r="H3959">
        <v>1.0440879999999999</v>
      </c>
      <c r="I3959">
        <v>220.32929999999999</v>
      </c>
      <c r="J3959">
        <v>-487.33710000000002</v>
      </c>
      <c r="K3959">
        <v>1.12364</v>
      </c>
      <c r="L3959">
        <v>220.4485</v>
      </c>
      <c r="M3959">
        <v>0.68335959999999996</v>
      </c>
      <c r="N3959">
        <v>-7.4421289999999996E-3</v>
      </c>
      <c r="O3959">
        <v>-0.73004409999999997</v>
      </c>
      <c r="P3959">
        <v>0.91470410000000002</v>
      </c>
      <c r="Q3959">
        <v>-8.3973010000000001E-2</v>
      </c>
      <c r="R3959">
        <v>-0.39530399999999999</v>
      </c>
      <c r="S3959">
        <v>2.971222</v>
      </c>
      <c r="T3959">
        <v>-0.24920890000000001</v>
      </c>
      <c r="U3959">
        <v>-0.67539979999999999</v>
      </c>
      <c r="V3959">
        <v>-0.39702179999999998</v>
      </c>
      <c r="W3959">
        <v>-8.0343510000000007E-2</v>
      </c>
      <c r="X3959">
        <v>0.91428580000000004</v>
      </c>
      <c r="Y3959">
        <v>-0.5570098</v>
      </c>
      <c r="Z3959">
        <v>7.2692339999999994E-2</v>
      </c>
      <c r="AA3959">
        <v>0.82731849999999996</v>
      </c>
      <c r="AB3959">
        <v>14</v>
      </c>
      <c r="AC3959">
        <v>0.84390000000001897</v>
      </c>
      <c r="AD3959">
        <v>-7.9551999999999998E-2</v>
      </c>
      <c r="AE3959">
        <v>-0.119200000000006</v>
      </c>
      <c r="AF3959">
        <v>-0.53002470730879303</v>
      </c>
      <c r="AG3959">
        <v>-7.9551999999999998E-2</v>
      </c>
      <c r="AH3959">
        <v>0.65799401850149497</v>
      </c>
      <c r="AI3959">
        <v>95.378757871314093</v>
      </c>
      <c r="AJ3959">
        <v>128.85199972661101</v>
      </c>
      <c r="AK3959">
        <v>0.84865236666465305</v>
      </c>
      <c r="AL3959">
        <v>94.608311167815003</v>
      </c>
      <c r="AM3959">
        <v>113.472537009427</v>
      </c>
      <c r="AN3959">
        <v>0.99999995667799901</v>
      </c>
    </row>
    <row r="3960" spans="1:40" x14ac:dyDescent="0.25">
      <c r="A3960" t="str">
        <f>"20190303153846019"</f>
        <v>20190303153846019</v>
      </c>
      <c r="B3960" t="str">
        <f>"1551598726012494"</f>
        <v>1551598726012494</v>
      </c>
      <c r="C3960" t="s">
        <v>40</v>
      </c>
      <c r="D3960">
        <v>4.2548649999999997</v>
      </c>
      <c r="E3960">
        <v>0.41205449999999999</v>
      </c>
      <c r="F3960" t="s">
        <v>44</v>
      </c>
      <c r="G3960">
        <v>-486.39269999999999</v>
      </c>
      <c r="H3960">
        <v>1.0526879999999901</v>
      </c>
      <c r="I3960">
        <v>220.27180000000001</v>
      </c>
      <c r="J3960">
        <v>-487.2353</v>
      </c>
      <c r="K3960">
        <v>1.123672</v>
      </c>
      <c r="L3960">
        <v>220.35579999999999</v>
      </c>
      <c r="M3960">
        <v>0.6900887</v>
      </c>
      <c r="N3960">
        <v>-7.62409E-3</v>
      </c>
      <c r="O3960">
        <v>-0.72368480000000002</v>
      </c>
      <c r="P3960">
        <v>0.91818949999999999</v>
      </c>
      <c r="Q3960">
        <v>-8.4170640000000005E-2</v>
      </c>
      <c r="R3960">
        <v>-0.3870963</v>
      </c>
      <c r="S3960">
        <v>3.0151669999999999</v>
      </c>
      <c r="T3960">
        <v>-0.22655239999999999</v>
      </c>
      <c r="U3960">
        <v>-0.56420899999999996</v>
      </c>
      <c r="V3960">
        <v>-0.39673350000000002</v>
      </c>
      <c r="W3960">
        <v>-8.0362710000000004E-2</v>
      </c>
      <c r="X3960">
        <v>0.91440929999999998</v>
      </c>
      <c r="Y3960">
        <v>-0.58157859999999995</v>
      </c>
      <c r="Z3960">
        <v>6.5866540000000001E-2</v>
      </c>
      <c r="AA3960">
        <v>0.81081939999999997</v>
      </c>
      <c r="AB3960">
        <v>14</v>
      </c>
      <c r="AC3960">
        <v>0.84260000000000401</v>
      </c>
      <c r="AD3960">
        <v>-7.0984000000000103E-2</v>
      </c>
      <c r="AE3960">
        <v>-8.3999999999974706E-2</v>
      </c>
      <c r="AF3960">
        <v>-0.54797460172255497</v>
      </c>
      <c r="AG3960">
        <v>-7.0984000000000103E-2</v>
      </c>
      <c r="AH3960">
        <v>0.63779493365664897</v>
      </c>
      <c r="AI3960">
        <v>94.825329172796998</v>
      </c>
      <c r="AJ3960">
        <v>130.66819977179901</v>
      </c>
      <c r="AK3960">
        <v>0.84385856029732997</v>
      </c>
      <c r="AL3960">
        <v>94.609414608219694</v>
      </c>
      <c r="AM3960">
        <v>113.454508754982</v>
      </c>
      <c r="AN3960">
        <v>1.0000000015536401</v>
      </c>
    </row>
    <row r="3961" spans="1:40" x14ac:dyDescent="0.25">
      <c r="A3961" t="str">
        <f>"20190303153846040"</f>
        <v>20190303153846040</v>
      </c>
      <c r="B3961" t="str">
        <f>"1551598726032122"</f>
        <v>1551598726032122</v>
      </c>
      <c r="C3961" t="s">
        <v>40</v>
      </c>
      <c r="D3961">
        <v>4.2857949999999896</v>
      </c>
      <c r="E3961">
        <v>0.41086080000000003</v>
      </c>
      <c r="F3961" t="s">
        <v>44</v>
      </c>
      <c r="G3961">
        <v>-486.3039</v>
      </c>
      <c r="H3961">
        <v>1.055544</v>
      </c>
      <c r="I3961">
        <v>220.1969</v>
      </c>
      <c r="J3961">
        <v>-487.14060000000001</v>
      </c>
      <c r="K3961">
        <v>1.1237079999999999</v>
      </c>
      <c r="L3961">
        <v>220.27099999999999</v>
      </c>
      <c r="M3961">
        <v>0.69619409999999904</v>
      </c>
      <c r="N3961">
        <v>-7.8536439999999999E-3</v>
      </c>
      <c r="O3961">
        <v>-0.71781090000000003</v>
      </c>
      <c r="P3961">
        <v>0.92118509999999998</v>
      </c>
      <c r="Q3961">
        <v>-8.4098759999999995E-2</v>
      </c>
      <c r="R3961">
        <v>-0.3799285</v>
      </c>
      <c r="S3961">
        <v>3.029175</v>
      </c>
      <c r="T3961">
        <v>-0.2215666</v>
      </c>
      <c r="U3961">
        <v>-0.51660159999999999</v>
      </c>
      <c r="V3961">
        <v>-0.39612249999999999</v>
      </c>
      <c r="W3961">
        <v>-8.0061430000000003E-2</v>
      </c>
      <c r="X3961">
        <v>0.91470059999999997</v>
      </c>
      <c r="Y3961">
        <v>-0.58784499999999995</v>
      </c>
      <c r="Z3961">
        <v>6.4120930000000007E-2</v>
      </c>
      <c r="AA3961">
        <v>0.80642849999999999</v>
      </c>
      <c r="AB3961">
        <v>14</v>
      </c>
      <c r="AC3961">
        <v>0.83670000000000699</v>
      </c>
      <c r="AD3961">
        <v>-6.8163999999999794E-2</v>
      </c>
      <c r="AE3961">
        <v>-7.4099999999987107E-2</v>
      </c>
      <c r="AF3961">
        <v>-0.54542938841634803</v>
      </c>
      <c r="AG3961">
        <v>-6.8163999999999794E-2</v>
      </c>
      <c r="AH3961">
        <v>0.63155586763094096</v>
      </c>
      <c r="AI3961">
        <v>94.669806541981998</v>
      </c>
      <c r="AJ3961">
        <v>130.814812387811</v>
      </c>
      <c r="AK3961">
        <v>0.83725883846233795</v>
      </c>
      <c r="AL3961">
        <v>94.592096614522703</v>
      </c>
      <c r="AM3961">
        <v>113.41562560760801</v>
      </c>
      <c r="AN3961">
        <v>1.00000002761012</v>
      </c>
    </row>
    <row r="3962" spans="1:40" x14ac:dyDescent="0.25">
      <c r="A3962" t="str">
        <f>"20190303153846064"</f>
        <v>20190303153846064</v>
      </c>
      <c r="B3962" t="str">
        <f>"1551598726052618"</f>
        <v>1551598726052618</v>
      </c>
      <c r="C3962" t="s">
        <v>40</v>
      </c>
      <c r="D3962">
        <v>4.3092439999999996</v>
      </c>
      <c r="E3962">
        <v>0.41052549999999999</v>
      </c>
      <c r="F3962" t="s">
        <v>44</v>
      </c>
      <c r="G3962">
        <v>-486.214</v>
      </c>
      <c r="H3962">
        <v>1.0578780000000001</v>
      </c>
      <c r="I3962">
        <v>220.12309999999999</v>
      </c>
      <c r="J3962">
        <v>-487.03440000000001</v>
      </c>
      <c r="K3962">
        <v>1.1237469999999901</v>
      </c>
      <c r="L3962">
        <v>220.17740000000001</v>
      </c>
      <c r="M3962">
        <v>0.70287029999999995</v>
      </c>
      <c r="N3962">
        <v>-8.1743860000000005E-3</v>
      </c>
      <c r="O3962">
        <v>-0.71127109999999905</v>
      </c>
      <c r="P3962">
        <v>0.92436370000000001</v>
      </c>
      <c r="Q3962">
        <v>-8.3803160000000002E-2</v>
      </c>
      <c r="R3962">
        <v>-0.37219479999999999</v>
      </c>
      <c r="S3962">
        <v>3.03714</v>
      </c>
      <c r="T3962">
        <v>-0.2157724</v>
      </c>
      <c r="U3962">
        <v>-0.48455809999999999</v>
      </c>
      <c r="V3962">
        <v>-0.39526790000000001</v>
      </c>
      <c r="W3962">
        <v>-7.9443749999999994E-2</v>
      </c>
      <c r="X3962">
        <v>0.9151241</v>
      </c>
      <c r="Y3962">
        <v>-0.58909339999999999</v>
      </c>
      <c r="Z3962">
        <v>6.1946979999999999E-2</v>
      </c>
      <c r="AA3962">
        <v>0.80568700000000004</v>
      </c>
      <c r="AB3962">
        <v>14</v>
      </c>
      <c r="AC3962">
        <v>0.82040000000000601</v>
      </c>
      <c r="AD3962">
        <v>-6.5868999999999706E-2</v>
      </c>
      <c r="AE3962">
        <v>-5.4300000000011998E-2</v>
      </c>
      <c r="AF3962">
        <v>-0.54190113566522102</v>
      </c>
      <c r="AG3962">
        <v>-6.5868999999999706E-2</v>
      </c>
      <c r="AH3962">
        <v>0.61135357191824502</v>
      </c>
      <c r="AI3962">
        <v>94.609659912472907</v>
      </c>
      <c r="AJ3962">
        <v>131.553639769851</v>
      </c>
      <c r="AK3962">
        <v>0.81960280373694006</v>
      </c>
      <c r="AL3962">
        <v>94.556592873107405</v>
      </c>
      <c r="AM3962">
        <v>113.360877265132</v>
      </c>
      <c r="AN3962">
        <v>1.0000000702926299</v>
      </c>
    </row>
    <row r="3963" spans="1:40" x14ac:dyDescent="0.25">
      <c r="A3963" t="str">
        <f>"20190303153846086"</f>
        <v>20190303153846086</v>
      </c>
      <c r="B3963" t="str">
        <f>"1551598726082873"</f>
        <v>1551598726082873</v>
      </c>
      <c r="C3963" t="s">
        <v>40</v>
      </c>
      <c r="D3963">
        <v>4.2947340000000001</v>
      </c>
      <c r="E3963">
        <v>0.41041840000000002</v>
      </c>
      <c r="F3963" t="s">
        <v>44</v>
      </c>
      <c r="G3963">
        <v>-486.12909999999999</v>
      </c>
      <c r="H3963">
        <v>1.0611170000000001</v>
      </c>
      <c r="I3963">
        <v>220.0412</v>
      </c>
      <c r="J3963">
        <v>-486.93470000000002</v>
      </c>
      <c r="K3963">
        <v>1.1237950000000001</v>
      </c>
      <c r="L3963">
        <v>220.09100000000001</v>
      </c>
      <c r="M3963">
        <v>0.70900659999999904</v>
      </c>
      <c r="N3963">
        <v>-8.504948E-3</v>
      </c>
      <c r="O3963">
        <v>-0.70515079999999997</v>
      </c>
      <c r="P3963">
        <v>0.9269906</v>
      </c>
      <c r="Q3963">
        <v>-8.2729650000000002E-2</v>
      </c>
      <c r="R3963">
        <v>-0.3658476</v>
      </c>
      <c r="S3963">
        <v>3.0423580000000001</v>
      </c>
      <c r="T3963">
        <v>-0.21038760000000001</v>
      </c>
      <c r="U3963">
        <v>-0.45704650000000002</v>
      </c>
      <c r="V3963">
        <v>-0.39369399999999999</v>
      </c>
      <c r="W3963">
        <v>-7.8033889999999995E-2</v>
      </c>
      <c r="X3963">
        <v>0.91592340000000005</v>
      </c>
      <c r="Y3963">
        <v>-0.58957809999999999</v>
      </c>
      <c r="Z3963">
        <v>5.9934500000000002E-2</v>
      </c>
      <c r="AA3963">
        <v>0.80548469999999905</v>
      </c>
      <c r="AB3963">
        <v>14</v>
      </c>
      <c r="AC3963">
        <v>0.80560000000002596</v>
      </c>
      <c r="AD3963">
        <v>-6.2677999999999998E-2</v>
      </c>
      <c r="AE3963">
        <v>-4.9799999999976301E-2</v>
      </c>
      <c r="AF3963">
        <v>-0.52958659712831602</v>
      </c>
      <c r="AG3963">
        <v>-6.2677999999999998E-2</v>
      </c>
      <c r="AH3963">
        <v>0.602679745504618</v>
      </c>
      <c r="AI3963">
        <v>94.467040837502793</v>
      </c>
      <c r="AJ3963">
        <v>131.306411496919</v>
      </c>
      <c r="AK3963">
        <v>0.80474428931397801</v>
      </c>
      <c r="AL3963">
        <v>94.475562742906206</v>
      </c>
      <c r="AM3963">
        <v>113.259623616704</v>
      </c>
      <c r="AN3963">
        <v>0.99999996414604497</v>
      </c>
    </row>
    <row r="3964" spans="1:40" x14ac:dyDescent="0.25">
      <c r="A3964" t="str">
        <f>"20190303153846108"</f>
        <v>20190303153846108</v>
      </c>
      <c r="B3964" t="str">
        <f>"1551598726102394"</f>
        <v>1551598726102394</v>
      </c>
      <c r="C3964" t="s">
        <v>40</v>
      </c>
      <c r="D3964">
        <v>4.2869809999999999</v>
      </c>
      <c r="E3964">
        <v>0.41053030000000001</v>
      </c>
      <c r="F3964" t="s">
        <v>44</v>
      </c>
      <c r="G3964">
        <v>-486.04109999999997</v>
      </c>
      <c r="H3964">
        <v>1.064452</v>
      </c>
      <c r="I3964">
        <v>219.9633</v>
      </c>
      <c r="J3964">
        <v>-486.83460000000002</v>
      </c>
      <c r="K3964">
        <v>1.123842</v>
      </c>
      <c r="L3964">
        <v>220.00579999999999</v>
      </c>
      <c r="M3964">
        <v>0.71504100000000004</v>
      </c>
      <c r="N3964">
        <v>-8.8311880000000002E-3</v>
      </c>
      <c r="O3964">
        <v>-0.69902679999999995</v>
      </c>
      <c r="P3964">
        <v>0.92958399999999997</v>
      </c>
      <c r="Q3964">
        <v>-8.1851869999999993E-2</v>
      </c>
      <c r="R3964">
        <v>-0.3594078</v>
      </c>
      <c r="S3964">
        <v>3.0463559999999998</v>
      </c>
      <c r="T3964">
        <v>-0.20232919999999999</v>
      </c>
      <c r="U3964">
        <v>-0.4355774</v>
      </c>
      <c r="V3964">
        <v>-0.39223829999999998</v>
      </c>
      <c r="W3964">
        <v>-7.683479E-2</v>
      </c>
      <c r="X3964">
        <v>0.91664909999999999</v>
      </c>
      <c r="Y3964">
        <v>-0.58856330000000001</v>
      </c>
      <c r="Z3964">
        <v>5.7081060000000003E-2</v>
      </c>
      <c r="AA3964">
        <v>0.80643359999999997</v>
      </c>
      <c r="AB3964">
        <v>14</v>
      </c>
      <c r="AC3964">
        <v>0.79350000000005105</v>
      </c>
      <c r="AD3964">
        <v>-5.9389999999999998E-2</v>
      </c>
      <c r="AE3964">
        <v>-4.2499999999989699E-2</v>
      </c>
      <c r="AF3964">
        <v>-0.52139650688681105</v>
      </c>
      <c r="AG3964">
        <v>-5.9389999999999998E-2</v>
      </c>
      <c r="AH3964">
        <v>0.59380005720164797</v>
      </c>
      <c r="AI3964">
        <v>94.298039892940295</v>
      </c>
      <c r="AJ3964">
        <v>131.28531516371001</v>
      </c>
      <c r="AK3964">
        <v>0.79245188966046898</v>
      </c>
      <c r="AL3964">
        <v>94.406652210830501</v>
      </c>
      <c r="AM3964">
        <v>113.16630133628</v>
      </c>
      <c r="AN3964">
        <v>1.00000002073602</v>
      </c>
    </row>
    <row r="3965" spans="1:40" x14ac:dyDescent="0.25">
      <c r="A3965" t="str">
        <f>"20190303153846129"</f>
        <v>20190303153846129</v>
      </c>
      <c r="B3965" t="str">
        <f>"1551598726122890"</f>
        <v>1551598726122890</v>
      </c>
      <c r="C3965" t="s">
        <v>40</v>
      </c>
      <c r="D3965">
        <v>4.293234</v>
      </c>
      <c r="E3965">
        <v>0.41081590000000001</v>
      </c>
      <c r="F3965" t="s">
        <v>44</v>
      </c>
      <c r="G3965">
        <v>-485.95280000000002</v>
      </c>
      <c r="H3965">
        <v>1.066522</v>
      </c>
      <c r="I3965">
        <v>219.8854</v>
      </c>
      <c r="J3965">
        <v>-486.73669999999998</v>
      </c>
      <c r="K3965">
        <v>1.1238969999999999</v>
      </c>
      <c r="L3965">
        <v>219.9238</v>
      </c>
      <c r="M3965">
        <v>0.72084280000000001</v>
      </c>
      <c r="N3965">
        <v>-9.1398E-3</v>
      </c>
      <c r="O3965">
        <v>-0.6930385</v>
      </c>
      <c r="P3965">
        <v>0.93229249999999997</v>
      </c>
      <c r="Q3965">
        <v>-8.151224E-2</v>
      </c>
      <c r="R3965">
        <v>-0.35240149999999998</v>
      </c>
      <c r="S3965">
        <v>3.0492249999999999</v>
      </c>
      <c r="T3965">
        <v>-0.19811490000000001</v>
      </c>
      <c r="U3965">
        <v>-0.4153442</v>
      </c>
      <c r="V3965">
        <v>-0.39151920000000001</v>
      </c>
      <c r="W3965">
        <v>-7.6208429999999994E-2</v>
      </c>
      <c r="X3965">
        <v>0.91700879999999996</v>
      </c>
      <c r="Y3965">
        <v>-0.5872967</v>
      </c>
      <c r="Z3965">
        <v>5.54276E-2</v>
      </c>
      <c r="AA3965">
        <v>0.80747159999999996</v>
      </c>
      <c r="AB3965">
        <v>14</v>
      </c>
      <c r="AC3965">
        <v>0.78389999999995996</v>
      </c>
      <c r="AD3965">
        <v>-5.7374999999999898E-2</v>
      </c>
      <c r="AE3965">
        <v>-3.8399999999995701E-2</v>
      </c>
      <c r="AF3965">
        <v>-0.51287309178658103</v>
      </c>
      <c r="AG3965">
        <v>-5.7374999999999898E-2</v>
      </c>
      <c r="AH3965">
        <v>0.58856060394679899</v>
      </c>
      <c r="AI3965">
        <v>94.203382198934605</v>
      </c>
      <c r="AJ3965">
        <v>131.06897043364</v>
      </c>
      <c r="AK3965">
        <v>0.782773456002404</v>
      </c>
      <c r="AL3965">
        <v>94.370658657981906</v>
      </c>
      <c r="AM3965">
        <v>113.120180291419</v>
      </c>
      <c r="AN3965">
        <v>1.00000007402456</v>
      </c>
    </row>
    <row r="3966" spans="1:40" x14ac:dyDescent="0.25">
      <c r="A3966" t="str">
        <f>"20190303153846152"</f>
        <v>20190303153846152</v>
      </c>
      <c r="B3966" t="str">
        <f>"1551598726142410"</f>
        <v>1551598726142410</v>
      </c>
      <c r="C3966" t="s">
        <v>40</v>
      </c>
      <c r="D3966">
        <v>4.2842929999999999</v>
      </c>
      <c r="E3966">
        <v>0.4111185</v>
      </c>
      <c r="F3966" t="s">
        <v>44</v>
      </c>
      <c r="G3966">
        <v>-485.86219999999997</v>
      </c>
      <c r="H3966">
        <v>1.0679160000000001</v>
      </c>
      <c r="I3966">
        <v>219.81049999999999</v>
      </c>
      <c r="J3966">
        <v>-486.63060000000002</v>
      </c>
      <c r="K3966">
        <v>1.1239490000000001</v>
      </c>
      <c r="L3966">
        <v>219.8366</v>
      </c>
      <c r="M3966">
        <v>0.72700279999999995</v>
      </c>
      <c r="N3966">
        <v>-9.4923549999999992E-3</v>
      </c>
      <c r="O3966">
        <v>-0.68656899999999998</v>
      </c>
      <c r="P3966">
        <v>0.93497330000000001</v>
      </c>
      <c r="Q3966">
        <v>-8.2139039999999996E-2</v>
      </c>
      <c r="R3966">
        <v>-0.34507749999999998</v>
      </c>
      <c r="S3966">
        <v>3.0515750000000001</v>
      </c>
      <c r="T3966">
        <v>-0.19530420000000001</v>
      </c>
      <c r="U3966">
        <v>-0.39480589999999999</v>
      </c>
      <c r="V3966">
        <v>-0.39047939999999998</v>
      </c>
      <c r="W3966">
        <v>-7.6505450000000003E-2</v>
      </c>
      <c r="X3966">
        <v>0.9174272</v>
      </c>
      <c r="Y3966">
        <v>-0.58557630000000005</v>
      </c>
      <c r="Z3966">
        <v>5.4164320000000002E-2</v>
      </c>
      <c r="AA3966">
        <v>0.80880569999999996</v>
      </c>
      <c r="AB3966">
        <v>14</v>
      </c>
      <c r="AC3966">
        <v>0.76840000000004205</v>
      </c>
      <c r="AD3966">
        <v>-5.6032999999999999E-2</v>
      </c>
      <c r="AE3966">
        <v>-2.6100000000013699E-2</v>
      </c>
      <c r="AF3966">
        <v>-0.50592055180018403</v>
      </c>
      <c r="AG3966">
        <v>-5.6032999999999999E-2</v>
      </c>
      <c r="AH3966">
        <v>0.57352807085725799</v>
      </c>
      <c r="AI3966">
        <v>94.190386599003901</v>
      </c>
      <c r="AJ3966">
        <v>131.41615888209699</v>
      </c>
      <c r="AK3966">
        <v>0.76683097869351302</v>
      </c>
      <c r="AL3966">
        <v>94.387726994570997</v>
      </c>
      <c r="AM3966">
        <v>113.055787272099</v>
      </c>
      <c r="AN3966">
        <v>0.99999995650194995</v>
      </c>
    </row>
    <row r="3967" spans="1:40" x14ac:dyDescent="0.25">
      <c r="A3967" t="str">
        <f>"20190303153846173"</f>
        <v>20190303153846173</v>
      </c>
      <c r="B3967" t="str">
        <f>"1551598726161930"</f>
        <v>1551598726161930</v>
      </c>
      <c r="C3967" t="s">
        <v>40</v>
      </c>
      <c r="D3967">
        <v>4.2705089999999997</v>
      </c>
      <c r="E3967">
        <v>0.4113985</v>
      </c>
      <c r="F3967" t="s">
        <v>44</v>
      </c>
      <c r="G3967">
        <v>-485.6474</v>
      </c>
      <c r="H3967">
        <v>1.0609459999999999</v>
      </c>
      <c r="I3967">
        <v>219.7165</v>
      </c>
      <c r="J3967">
        <v>-486.53140000000002</v>
      </c>
      <c r="K3967">
        <v>1.123996</v>
      </c>
      <c r="L3967">
        <v>219.75649999999999</v>
      </c>
      <c r="M3967">
        <v>0.73265669999999905</v>
      </c>
      <c r="N3967">
        <v>-9.8646470000000007E-3</v>
      </c>
      <c r="O3967">
        <v>-0.68052699999999999</v>
      </c>
      <c r="P3967">
        <v>0.93744530000000004</v>
      </c>
      <c r="Q3967">
        <v>-8.2436460000000003E-2</v>
      </c>
      <c r="R3967">
        <v>-0.33823170000000002</v>
      </c>
      <c r="S3967">
        <v>3.053741</v>
      </c>
      <c r="T3967">
        <v>-0.19567989999999999</v>
      </c>
      <c r="U3967">
        <v>-0.37316890000000003</v>
      </c>
      <c r="V3967">
        <v>-0.38957979999999998</v>
      </c>
      <c r="W3967">
        <v>-7.6446699999999895E-2</v>
      </c>
      <c r="X3967">
        <v>0.91781449999999998</v>
      </c>
      <c r="Y3967">
        <v>-0.58459589999999995</v>
      </c>
      <c r="Z3967">
        <v>5.3893870000000003E-2</v>
      </c>
      <c r="AA3967">
        <v>0.80953260000000005</v>
      </c>
      <c r="AB3967">
        <v>14</v>
      </c>
      <c r="AC3967">
        <v>0.884000000000014</v>
      </c>
      <c r="AD3967">
        <v>-6.3049999999999995E-2</v>
      </c>
      <c r="AE3967">
        <v>-3.9999999999992E-2</v>
      </c>
      <c r="AF3967">
        <v>-0.56941667393103701</v>
      </c>
      <c r="AG3967">
        <v>-6.3049999999999995E-2</v>
      </c>
      <c r="AH3967">
        <v>0.67151335273353696</v>
      </c>
      <c r="AI3967">
        <v>94.096092353597101</v>
      </c>
      <c r="AJ3967">
        <v>130.296621885999</v>
      </c>
      <c r="AK3967">
        <v>0.88268954562185697</v>
      </c>
      <c r="AL3967">
        <v>94.384350844443503</v>
      </c>
      <c r="AM3967">
        <v>112.999505889324</v>
      </c>
      <c r="AN3967">
        <v>0.99999998745958996</v>
      </c>
    </row>
    <row r="3968" spans="1:40" x14ac:dyDescent="0.25">
      <c r="A3968" t="str">
        <f>"20190303153846197"</f>
        <v>20190303153846197</v>
      </c>
      <c r="B3968" t="str">
        <f>"1551598726192186"</f>
        <v>1551598726192186</v>
      </c>
      <c r="C3968" t="s">
        <v>40</v>
      </c>
      <c r="D3968">
        <v>4.2808529999999996</v>
      </c>
      <c r="E3968">
        <v>0.41216079999999999</v>
      </c>
      <c r="F3968" t="s">
        <v>44</v>
      </c>
      <c r="G3968">
        <v>-485.55619999999999</v>
      </c>
      <c r="H3968">
        <v>1.061957</v>
      </c>
      <c r="I3968">
        <v>219.64340000000001</v>
      </c>
      <c r="J3968">
        <v>-486.4255</v>
      </c>
      <c r="K3968">
        <v>1.124034</v>
      </c>
      <c r="L3968">
        <v>219.67250000000001</v>
      </c>
      <c r="M3968">
        <v>0.73858649999999904</v>
      </c>
      <c r="N3968">
        <v>-1.029247E-2</v>
      </c>
      <c r="O3968">
        <v>-0.67408040000000002</v>
      </c>
      <c r="P3968">
        <v>0.93995669999999998</v>
      </c>
      <c r="Q3968">
        <v>-8.2572759999999995E-2</v>
      </c>
      <c r="R3968">
        <v>-0.33115420000000001</v>
      </c>
      <c r="S3968">
        <v>3.0556950000000001</v>
      </c>
      <c r="T3968">
        <v>-0.19431909999999999</v>
      </c>
      <c r="U3968">
        <v>-0.35324100000000003</v>
      </c>
      <c r="V3968">
        <v>-0.38845800000000003</v>
      </c>
      <c r="W3968">
        <v>-7.6161789999999993E-2</v>
      </c>
      <c r="X3968">
        <v>0.91831359999999995</v>
      </c>
      <c r="Y3968">
        <v>-0.58281119999999897</v>
      </c>
      <c r="Z3968">
        <v>5.3042319999999997E-2</v>
      </c>
      <c r="AA3968">
        <v>0.8108746</v>
      </c>
      <c r="AB3968">
        <v>14</v>
      </c>
      <c r="AC3968">
        <v>0.86930000000000895</v>
      </c>
      <c r="AD3968">
        <v>-6.2076999999999903E-2</v>
      </c>
      <c r="AE3968">
        <v>-2.9099999999999598E-2</v>
      </c>
      <c r="AF3968">
        <v>-0.56165411782276198</v>
      </c>
      <c r="AG3968">
        <v>-6.2076999999999903E-2</v>
      </c>
      <c r="AH3968">
        <v>0.65835046405836795</v>
      </c>
      <c r="AI3968">
        <v>94.103021297173797</v>
      </c>
      <c r="AJ3968">
        <v>130.468267254816</v>
      </c>
      <c r="AK3968">
        <v>0.86760257925050799</v>
      </c>
      <c r="AL3968">
        <v>94.367978690396697</v>
      </c>
      <c r="AM3968">
        <v>112.928962614846</v>
      </c>
      <c r="AN3968">
        <v>1.0000000519824801</v>
      </c>
    </row>
    <row r="3969" spans="1:40" x14ac:dyDescent="0.25">
      <c r="A3969" t="str">
        <f>"20190303153846217"</f>
        <v>20190303153846217</v>
      </c>
      <c r="B3969" t="str">
        <f>"1551598726212681"</f>
        <v>1551598726212681</v>
      </c>
      <c r="C3969" t="s">
        <v>40</v>
      </c>
      <c r="D3969">
        <v>4.2706819999999999</v>
      </c>
      <c r="E3969">
        <v>0.41258040000000001</v>
      </c>
      <c r="F3969" t="s">
        <v>44</v>
      </c>
      <c r="G3969">
        <v>-485.46690000000001</v>
      </c>
      <c r="H3969">
        <v>1.0627979999999999</v>
      </c>
      <c r="I3969">
        <v>219.56729999999999</v>
      </c>
      <c r="J3969">
        <v>-486.32530000000003</v>
      </c>
      <c r="K3969">
        <v>1.124061</v>
      </c>
      <c r="L3969">
        <v>219.5943</v>
      </c>
      <c r="M3969">
        <v>0.74411000000000005</v>
      </c>
      <c r="N3969">
        <v>-1.070231E-2</v>
      </c>
      <c r="O3969">
        <v>-0.66797150000000005</v>
      </c>
      <c r="P3969">
        <v>0.9423996</v>
      </c>
      <c r="Q3969">
        <v>-8.3285810000000002E-2</v>
      </c>
      <c r="R3969">
        <v>-0.32395429999999997</v>
      </c>
      <c r="S3969">
        <v>3.0561829999999999</v>
      </c>
      <c r="T3969">
        <v>-0.1952701</v>
      </c>
      <c r="U3969">
        <v>-0.33584589999999998</v>
      </c>
      <c r="V3969">
        <v>-0.38787899999999997</v>
      </c>
      <c r="W3969">
        <v>-7.6472380000000006E-2</v>
      </c>
      <c r="X3969">
        <v>0.91853240000000003</v>
      </c>
      <c r="Y3969">
        <v>-0.580690699999999</v>
      </c>
      <c r="Z3969">
        <v>5.290284E-2</v>
      </c>
      <c r="AA3969">
        <v>0.8124036</v>
      </c>
      <c r="AB3969">
        <v>14</v>
      </c>
      <c r="AC3969">
        <v>0.85840000000001704</v>
      </c>
      <c r="AD3969">
        <v>-6.1262999999999998E-2</v>
      </c>
      <c r="AE3969">
        <v>-2.7000000000015199E-2</v>
      </c>
      <c r="AF3969">
        <v>-0.55052607397666597</v>
      </c>
      <c r="AG3969">
        <v>-6.1262999999999998E-2</v>
      </c>
      <c r="AH3969">
        <v>0.65349154453969804</v>
      </c>
      <c r="AI3969">
        <v>94.100891259461307</v>
      </c>
      <c r="AJ3969">
        <v>130.11205826389099</v>
      </c>
      <c r="AK3969">
        <v>0.85666989679925198</v>
      </c>
      <c r="AL3969">
        <v>94.385826655031394</v>
      </c>
      <c r="AM3969">
        <v>112.893421406228</v>
      </c>
      <c r="AN3969">
        <v>0.99999995669681097</v>
      </c>
    </row>
    <row r="3970" spans="1:40" x14ac:dyDescent="0.25">
      <c r="A3970" t="str">
        <f>"20190303153846240"</f>
        <v>20190303153846240</v>
      </c>
      <c r="B3970" t="str">
        <f>"1551598726232202"</f>
        <v>1551598726232202</v>
      </c>
      <c r="C3970" t="s">
        <v>40</v>
      </c>
      <c r="D3970">
        <v>4.2609459999999997</v>
      </c>
      <c r="E3970">
        <v>0.4129506</v>
      </c>
      <c r="F3970" t="s">
        <v>44</v>
      </c>
      <c r="G3970">
        <v>-485.37479999999999</v>
      </c>
      <c r="H3970">
        <v>1.062859</v>
      </c>
      <c r="I3970">
        <v>219.49610000000001</v>
      </c>
      <c r="J3970">
        <v>-486.21370000000002</v>
      </c>
      <c r="K3970">
        <v>1.1240920000000001</v>
      </c>
      <c r="L3970">
        <v>219.50880000000001</v>
      </c>
      <c r="M3970">
        <v>0.75017489999999998</v>
      </c>
      <c r="N3970">
        <v>-1.1140250000000001E-2</v>
      </c>
      <c r="O3970">
        <v>-0.66114569999999995</v>
      </c>
      <c r="P3970">
        <v>0.94513670000000005</v>
      </c>
      <c r="Q3970">
        <v>-8.4609989999999996E-2</v>
      </c>
      <c r="R3970">
        <v>-0.31552789999999997</v>
      </c>
      <c r="S3970">
        <v>3.057404</v>
      </c>
      <c r="T3970">
        <v>-0.1968403</v>
      </c>
      <c r="U3970">
        <v>-0.31571959999999999</v>
      </c>
      <c r="V3970">
        <v>-0.38761060000000003</v>
      </c>
      <c r="W3970">
        <v>-7.7373269999999994E-2</v>
      </c>
      <c r="X3970">
        <v>0.91857029999999995</v>
      </c>
      <c r="Y3970">
        <v>-0.57856909999999995</v>
      </c>
      <c r="Z3970">
        <v>5.28987E-2</v>
      </c>
      <c r="AA3970">
        <v>0.81391610000000003</v>
      </c>
      <c r="AB3970">
        <v>14</v>
      </c>
      <c r="AC3970">
        <v>0.83890000000002296</v>
      </c>
      <c r="AD3970">
        <v>-6.1233000000000003E-2</v>
      </c>
      <c r="AE3970">
        <v>-1.26999999999952E-2</v>
      </c>
      <c r="AF3970">
        <v>-0.542253327889057</v>
      </c>
      <c r="AG3970">
        <v>-6.1233000000000003E-2</v>
      </c>
      <c r="AH3970">
        <v>0.63437872063255596</v>
      </c>
      <c r="AI3970">
        <v>94.196409512516098</v>
      </c>
      <c r="AJ3970">
        <v>130.52311212840999</v>
      </c>
      <c r="AK3970">
        <v>0.83679418800990502</v>
      </c>
      <c r="AL3970">
        <v>94.437597063486393</v>
      </c>
      <c r="AM3970">
        <v>112.878364663353</v>
      </c>
      <c r="AN3970">
        <v>0.99999999809247098</v>
      </c>
    </row>
    <row r="3971" spans="1:40" x14ac:dyDescent="0.25">
      <c r="A3971" t="str">
        <f>"20190303153846262"</f>
        <v>20190303153846262</v>
      </c>
      <c r="B3971" t="str">
        <f>"1551598726252697"</f>
        <v>1551598726252697</v>
      </c>
      <c r="C3971" t="s">
        <v>40</v>
      </c>
      <c r="D3971">
        <v>4.2871620000000004</v>
      </c>
      <c r="E3971">
        <v>0.41334280000000001</v>
      </c>
      <c r="F3971" t="s">
        <v>44</v>
      </c>
      <c r="G3971">
        <v>-485.28539999999998</v>
      </c>
      <c r="H3971">
        <v>1.063134</v>
      </c>
      <c r="I3971">
        <v>219.4205</v>
      </c>
      <c r="J3971">
        <v>-486.10719999999998</v>
      </c>
      <c r="K3971">
        <v>1.124117</v>
      </c>
      <c r="L3971">
        <v>219.42869999999999</v>
      </c>
      <c r="M3971">
        <v>0.75586769999999903</v>
      </c>
      <c r="N3971">
        <v>-1.152487E-2</v>
      </c>
      <c r="O3971">
        <v>-0.65462319999999996</v>
      </c>
      <c r="P3971">
        <v>0.94778589999999996</v>
      </c>
      <c r="Q3971">
        <v>-8.5538020000000006E-2</v>
      </c>
      <c r="R3971">
        <v>-0.307222</v>
      </c>
      <c r="S3971">
        <v>3.0589599999999999</v>
      </c>
      <c r="T3971">
        <v>-0.2009031</v>
      </c>
      <c r="U3971">
        <v>-0.29124450000000002</v>
      </c>
      <c r="V3971">
        <v>-0.38766129999999999</v>
      </c>
      <c r="W3971">
        <v>-7.7940040000000002E-2</v>
      </c>
      <c r="X3971">
        <v>0.91850100000000001</v>
      </c>
      <c r="Y3971">
        <v>-0.57792900000000003</v>
      </c>
      <c r="Z3971">
        <v>5.3703929999999997E-2</v>
      </c>
      <c r="AA3971">
        <v>0.81431819999999999</v>
      </c>
      <c r="AB3971">
        <v>14</v>
      </c>
      <c r="AC3971">
        <v>0.82179999999999598</v>
      </c>
      <c r="AD3971">
        <v>-6.0983000000000002E-2</v>
      </c>
      <c r="AE3971">
        <v>-8.1999999999879895E-3</v>
      </c>
      <c r="AF3971">
        <v>-0.52889432885685395</v>
      </c>
      <c r="AG3971">
        <v>-6.0983000000000002E-2</v>
      </c>
      <c r="AH3971">
        <v>0.62315038191136995</v>
      </c>
      <c r="AI3971">
        <v>94.267017366027204</v>
      </c>
      <c r="AJ3971">
        <v>130.32268838553099</v>
      </c>
      <c r="AK3971">
        <v>0.81961243027557196</v>
      </c>
      <c r="AL3971">
        <v>94.470168900645703</v>
      </c>
      <c r="AM3971">
        <v>112.882597587449</v>
      </c>
      <c r="AN3971">
        <v>1.00000001017694</v>
      </c>
    </row>
    <row r="3972" spans="1:40" x14ac:dyDescent="0.25">
      <c r="A3972" t="str">
        <f>"20190303153846287"</f>
        <v>20190303153846287</v>
      </c>
      <c r="B3972" t="str">
        <f>"1551598726281978"</f>
        <v>1551598726281978</v>
      </c>
      <c r="C3972" t="s">
        <v>40</v>
      </c>
      <c r="D3972">
        <v>4.2890379999999997</v>
      </c>
      <c r="E3972">
        <v>0.41418090000000002</v>
      </c>
      <c r="F3972" t="s">
        <v>44</v>
      </c>
      <c r="G3972">
        <v>-485.19389999999999</v>
      </c>
      <c r="H3972">
        <v>1.0635019999999999</v>
      </c>
      <c r="I3972">
        <v>219.34880000000001</v>
      </c>
      <c r="J3972">
        <v>-485.99110000000002</v>
      </c>
      <c r="K3972">
        <v>1.12415</v>
      </c>
      <c r="L3972">
        <v>219.34309999999999</v>
      </c>
      <c r="M3972">
        <v>0.76197340000000002</v>
      </c>
      <c r="N3972">
        <v>-1.190243E-2</v>
      </c>
      <c r="O3972">
        <v>-0.64749899999999905</v>
      </c>
      <c r="P3972">
        <v>0.9506502</v>
      </c>
      <c r="Q3972">
        <v>-8.6319160000000006E-2</v>
      </c>
      <c r="R3972">
        <v>-0.29801620000000001</v>
      </c>
      <c r="S3972">
        <v>3.060333</v>
      </c>
      <c r="T3972">
        <v>-0.20305480000000001</v>
      </c>
      <c r="U3972">
        <v>-0.26742549999999998</v>
      </c>
      <c r="V3972">
        <v>-0.38790160000000001</v>
      </c>
      <c r="W3972">
        <v>-7.8376399999999902E-2</v>
      </c>
      <c r="X3972">
        <v>0.91836240000000002</v>
      </c>
      <c r="Y3972">
        <v>-0.57656649999999998</v>
      </c>
      <c r="Z3972">
        <v>5.3900240000000002E-2</v>
      </c>
      <c r="AA3972">
        <v>0.81527050000000001</v>
      </c>
      <c r="AB3972">
        <v>14</v>
      </c>
      <c r="AC3972">
        <v>0.79720000000003199</v>
      </c>
      <c r="AD3972">
        <v>-6.0648000000000001E-2</v>
      </c>
      <c r="AE3972">
        <v>5.7000000000186901E-3</v>
      </c>
      <c r="AF3972">
        <v>-0.51757096432387695</v>
      </c>
      <c r="AG3972">
        <v>-6.0648000000000001E-2</v>
      </c>
      <c r="AH3972">
        <v>0.60032294481339898</v>
      </c>
      <c r="AI3972">
        <v>94.375437584862794</v>
      </c>
      <c r="AJ3972">
        <v>130.766407524486</v>
      </c>
      <c r="AK3972">
        <v>0.79495001168914903</v>
      </c>
      <c r="AL3972">
        <v>94.495247227643205</v>
      </c>
      <c r="AM3972">
        <v>112.898418812662</v>
      </c>
      <c r="AN3972">
        <v>1.00000000454664</v>
      </c>
    </row>
    <row r="3973" spans="1:40" x14ac:dyDescent="0.25">
      <c r="A3973" t="str">
        <f>"20190303153846319"</f>
        <v>20190303153846319</v>
      </c>
      <c r="B3973" t="str">
        <f>"1551598726312233"</f>
        <v>1551598726312233</v>
      </c>
      <c r="C3973" t="s">
        <v>40</v>
      </c>
      <c r="D3973">
        <v>4.2769269999999997</v>
      </c>
      <c r="E3973">
        <v>0.426647</v>
      </c>
      <c r="F3973" t="s">
        <v>44</v>
      </c>
      <c r="G3973">
        <v>-485.10480000000001</v>
      </c>
      <c r="H3973">
        <v>1.0650489999999999</v>
      </c>
      <c r="I3973">
        <v>219.27250000000001</v>
      </c>
      <c r="J3973">
        <v>-485.84019999999998</v>
      </c>
      <c r="K3973">
        <v>1.1241859999999999</v>
      </c>
      <c r="L3973">
        <v>219.23439999999999</v>
      </c>
      <c r="M3973">
        <v>0.76975469999999901</v>
      </c>
      <c r="N3973">
        <v>-1.2321469999999999E-2</v>
      </c>
      <c r="O3973">
        <v>-0.63822089999999998</v>
      </c>
      <c r="P3973">
        <v>0.95442629999999995</v>
      </c>
      <c r="Q3973">
        <v>-8.5950079999999998E-2</v>
      </c>
      <c r="R3973">
        <v>-0.28580270000000002</v>
      </c>
      <c r="S3973">
        <v>3.0606689999999999</v>
      </c>
      <c r="T3973">
        <v>-0.20415849999999999</v>
      </c>
      <c r="U3973">
        <v>-0.2440338</v>
      </c>
      <c r="V3973">
        <v>-0.38858209999999999</v>
      </c>
      <c r="W3973">
        <v>-7.7627970000000004E-2</v>
      </c>
      <c r="X3973">
        <v>0.91813829999999996</v>
      </c>
      <c r="Y3973">
        <v>-0.57287129999999997</v>
      </c>
      <c r="Z3973">
        <v>5.3622709999999997E-2</v>
      </c>
      <c r="AA3973">
        <v>0.81788950000000005</v>
      </c>
      <c r="AB3973">
        <v>14</v>
      </c>
      <c r="AC3973">
        <v>0.73539999999996997</v>
      </c>
      <c r="AD3973">
        <v>-5.9137000000000203E-2</v>
      </c>
      <c r="AE3973">
        <v>3.8100000000014199E-2</v>
      </c>
      <c r="AF3973">
        <v>-0.49551745282355703</v>
      </c>
      <c r="AG3973">
        <v>-5.9137000000000203E-2</v>
      </c>
      <c r="AH3973">
        <v>0.53833069722902904</v>
      </c>
      <c r="AI3973">
        <v>94.620883924710299</v>
      </c>
      <c r="AJ3973">
        <v>132.62864845011799</v>
      </c>
      <c r="AK3973">
        <v>0.73405358823510902</v>
      </c>
      <c r="AL3973">
        <v>94.452234118013905</v>
      </c>
      <c r="AM3973">
        <v>112.939455900073</v>
      </c>
      <c r="AN3973">
        <v>1.0000000440468</v>
      </c>
    </row>
    <row r="3974" spans="1:40" x14ac:dyDescent="0.25">
      <c r="A3974" t="str">
        <f>"20190303153846341"</f>
        <v>20190303153846341</v>
      </c>
      <c r="B3974" t="str">
        <f>"1551598726332730"</f>
        <v>1551598726332730</v>
      </c>
      <c r="C3974" t="s">
        <v>40</v>
      </c>
      <c r="D3974">
        <v>4.2729220000000003</v>
      </c>
      <c r="E3974">
        <v>0.42835240000000002</v>
      </c>
      <c r="F3974" t="s">
        <v>44</v>
      </c>
      <c r="G3974">
        <v>-484.91480000000001</v>
      </c>
      <c r="H3974">
        <v>1.0664530000000001</v>
      </c>
      <c r="I3974">
        <v>219.14269999999999</v>
      </c>
      <c r="J3974">
        <v>-485.73020000000002</v>
      </c>
      <c r="K3974">
        <v>1.1242000000000001</v>
      </c>
      <c r="L3974">
        <v>219.15700000000001</v>
      </c>
      <c r="M3974">
        <v>0.77532780000000001</v>
      </c>
      <c r="N3974">
        <v>-1.258339E-2</v>
      </c>
      <c r="O3974">
        <v>-0.63143369999999999</v>
      </c>
      <c r="P3974">
        <v>0.95697209999999999</v>
      </c>
      <c r="Q3974">
        <v>-8.6103589999999994E-2</v>
      </c>
      <c r="R3974">
        <v>-0.27711140000000001</v>
      </c>
      <c r="S3974">
        <v>3.0360109999999998</v>
      </c>
      <c r="T3974">
        <v>-0.18943670000000001</v>
      </c>
      <c r="U3974">
        <v>-0.30125429999999997</v>
      </c>
      <c r="V3974">
        <v>-0.38886110000000002</v>
      </c>
      <c r="W3974">
        <v>-7.75343E-2</v>
      </c>
      <c r="X3974">
        <v>0.91802810000000001</v>
      </c>
      <c r="Y3974">
        <v>-0.54999489999999995</v>
      </c>
      <c r="Z3974">
        <v>4.8572299999999999E-2</v>
      </c>
      <c r="AA3974">
        <v>0.83375440000000001</v>
      </c>
      <c r="AB3974">
        <v>14</v>
      </c>
      <c r="AC3974">
        <v>0.815400000000011</v>
      </c>
      <c r="AD3974">
        <v>-5.7746999999999903E-2</v>
      </c>
      <c r="AE3974">
        <v>-1.4300000000019899E-2</v>
      </c>
      <c r="AF3974">
        <v>-0.50131016030725795</v>
      </c>
      <c r="AG3974">
        <v>-5.7746999999999903E-2</v>
      </c>
      <c r="AH3974">
        <v>0.63808319884653997</v>
      </c>
      <c r="AI3974">
        <v>94.070569208062494</v>
      </c>
      <c r="AJ3974">
        <v>128.15495442661799</v>
      </c>
      <c r="AK3974">
        <v>0.81350891911921996</v>
      </c>
      <c r="AL3974">
        <v>94.446850937784504</v>
      </c>
      <c r="AM3974">
        <v>112.95669005393999</v>
      </c>
      <c r="AN3974">
        <v>1.0000000575796499</v>
      </c>
    </row>
    <row r="3975" spans="1:40" x14ac:dyDescent="0.25">
      <c r="A3975" t="str">
        <f>"20190303153846363"</f>
        <v>20190303153846363</v>
      </c>
      <c r="B3975" t="str">
        <f>"1551598726352253"</f>
        <v>1551598726352253</v>
      </c>
      <c r="C3975" t="s">
        <v>40</v>
      </c>
      <c r="D3975">
        <v>4.2479709999999997</v>
      </c>
      <c r="E3975">
        <v>0.42932910000000002</v>
      </c>
      <c r="F3975" t="s">
        <v>44</v>
      </c>
      <c r="G3975">
        <v>-484.82350000000002</v>
      </c>
      <c r="H3975">
        <v>1.0683279999999999</v>
      </c>
      <c r="I3975">
        <v>219.07089999999999</v>
      </c>
      <c r="J3975">
        <v>-485.62110000000001</v>
      </c>
      <c r="K3975">
        <v>1.124188</v>
      </c>
      <c r="L3975">
        <v>219.08150000000001</v>
      </c>
      <c r="M3975">
        <v>0.78077390000000002</v>
      </c>
      <c r="N3975">
        <v>-1.2809020000000001E-2</v>
      </c>
      <c r="O3975">
        <v>-0.62468279999999998</v>
      </c>
      <c r="P3975">
        <v>0.95944600000000002</v>
      </c>
      <c r="Q3975">
        <v>-8.5389339999999994E-2</v>
      </c>
      <c r="R3975">
        <v>-0.26864969999999999</v>
      </c>
      <c r="S3975">
        <v>3.035034</v>
      </c>
      <c r="T3975">
        <v>-0.18694479999999999</v>
      </c>
      <c r="U3975">
        <v>-0.28695680000000001</v>
      </c>
      <c r="V3975">
        <v>-0.38905580000000001</v>
      </c>
      <c r="W3975">
        <v>-7.6595289999999996E-2</v>
      </c>
      <c r="X3975">
        <v>0.91802439999999996</v>
      </c>
      <c r="Y3975">
        <v>-0.54668050000000001</v>
      </c>
      <c r="Z3975">
        <v>4.7488549999999997E-2</v>
      </c>
      <c r="AA3975">
        <v>0.83599349999999994</v>
      </c>
      <c r="AB3975">
        <v>14</v>
      </c>
      <c r="AC3975">
        <v>0.79759999999998799</v>
      </c>
      <c r="AD3975">
        <v>-5.5859999999999799E-2</v>
      </c>
      <c r="AE3975">
        <v>-1.06000000000108E-2</v>
      </c>
      <c r="AF3975">
        <v>-0.48761955142580599</v>
      </c>
      <c r="AG3975">
        <v>-5.5859999999999799E-2</v>
      </c>
      <c r="AH3975">
        <v>0.62634672700204097</v>
      </c>
      <c r="AI3975">
        <v>94.025402253288405</v>
      </c>
      <c r="AJ3975">
        <v>127.90124894712299</v>
      </c>
      <c r="AK3975">
        <v>0.79574078000242898</v>
      </c>
      <c r="AL3975">
        <v>94.392889288164</v>
      </c>
      <c r="AM3975">
        <v>112.967075220838</v>
      </c>
      <c r="AN3975">
        <v>1.0000000264795901</v>
      </c>
    </row>
    <row r="3976" spans="1:40" x14ac:dyDescent="0.25">
      <c r="A3976" t="str">
        <f>"20190303153846386"</f>
        <v>20190303153846386</v>
      </c>
      <c r="B3976" t="str">
        <f>"1551598726382506"</f>
        <v>1551598726382506</v>
      </c>
      <c r="C3976" t="s">
        <v>40</v>
      </c>
      <c r="D3976">
        <v>4.2758050000000001</v>
      </c>
      <c r="E3976">
        <v>0.43091780000000002</v>
      </c>
      <c r="F3976" t="s">
        <v>44</v>
      </c>
      <c r="G3976">
        <v>-484.7294</v>
      </c>
      <c r="H3976">
        <v>1.0702560000000001</v>
      </c>
      <c r="I3976">
        <v>219.00280000000001</v>
      </c>
      <c r="J3976">
        <v>-485.51459999999997</v>
      </c>
      <c r="K3976">
        <v>1.1241650000000001</v>
      </c>
      <c r="L3976">
        <v>219.00919999999999</v>
      </c>
      <c r="M3976">
        <v>0.78600459999999905</v>
      </c>
      <c r="N3976">
        <v>-1.2999709999999999E-2</v>
      </c>
      <c r="O3976">
        <v>-0.61808409999999903</v>
      </c>
      <c r="P3976">
        <v>0.96178379999999997</v>
      </c>
      <c r="Q3976">
        <v>-8.6240839999999999E-2</v>
      </c>
      <c r="R3976">
        <v>-0.2598743</v>
      </c>
      <c r="S3976">
        <v>3.0354920000000001</v>
      </c>
      <c r="T3976">
        <v>-0.1836004</v>
      </c>
      <c r="U3976">
        <v>-0.26779170000000002</v>
      </c>
      <c r="V3976">
        <v>-0.38966269999999997</v>
      </c>
      <c r="W3976">
        <v>-7.7255870000000004E-2</v>
      </c>
      <c r="X3976">
        <v>0.91771159999999996</v>
      </c>
      <c r="Y3976">
        <v>-0.54495629999999995</v>
      </c>
      <c r="Z3976">
        <v>4.6236079999999999E-2</v>
      </c>
      <c r="AA3976">
        <v>0.83718869999999901</v>
      </c>
      <c r="AB3976">
        <v>13</v>
      </c>
      <c r="AC3976">
        <v>0.78519999999997403</v>
      </c>
      <c r="AD3976">
        <v>-5.3908999999999901E-2</v>
      </c>
      <c r="AE3976">
        <v>-6.39999999998508E-3</v>
      </c>
      <c r="AF3976">
        <v>-0.47807639166390797</v>
      </c>
      <c r="AG3976">
        <v>-5.3908999999999901E-2</v>
      </c>
      <c r="AH3976">
        <v>0.61826486256975099</v>
      </c>
      <c r="AI3976">
        <v>93.945881298380101</v>
      </c>
      <c r="AJ3976">
        <v>127.713167431345</v>
      </c>
      <c r="AK3976">
        <v>0.78339942356104397</v>
      </c>
      <c r="AL3976">
        <v>94.430850180481798</v>
      </c>
      <c r="AM3976">
        <v>113.00620175017499</v>
      </c>
      <c r="AN3976">
        <v>1.0000000349976499</v>
      </c>
    </row>
    <row r="3977" spans="1:40" x14ac:dyDescent="0.25">
      <c r="A3977" t="str">
        <f>"20190303153846407"</f>
        <v>20190303153846407</v>
      </c>
      <c r="B3977" t="str">
        <f>"1551598726402026"</f>
        <v>1551598726402026</v>
      </c>
      <c r="C3977" t="s">
        <v>40</v>
      </c>
      <c r="D3977">
        <v>4.3486919999999998</v>
      </c>
      <c r="E3977">
        <v>0.43200739999999999</v>
      </c>
      <c r="F3977" t="s">
        <v>44</v>
      </c>
      <c r="G3977">
        <v>-484.63679999999999</v>
      </c>
      <c r="H3977">
        <v>1.0678350000000001</v>
      </c>
      <c r="I3977">
        <v>218.93610000000001</v>
      </c>
      <c r="J3977">
        <v>-485.41090000000003</v>
      </c>
      <c r="K3977">
        <v>1.1241399999999999</v>
      </c>
      <c r="L3977">
        <v>218.94</v>
      </c>
      <c r="M3977">
        <v>0.79101219999999905</v>
      </c>
      <c r="N3977">
        <v>-1.316062E-2</v>
      </c>
      <c r="O3977">
        <v>-0.61165909999999901</v>
      </c>
      <c r="P3977">
        <v>0.96344229999999997</v>
      </c>
      <c r="Q3977">
        <v>-8.6906849999999994E-2</v>
      </c>
      <c r="R3977">
        <v>-0.25342930000000002</v>
      </c>
      <c r="S3977">
        <v>3.0336609999999999</v>
      </c>
      <c r="T3977">
        <v>-0.1946282</v>
      </c>
      <c r="U3977">
        <v>-0.2517548</v>
      </c>
      <c r="V3977">
        <v>-0.38829609999999998</v>
      </c>
      <c r="W3977">
        <v>-7.7731099999999997E-2</v>
      </c>
      <c r="X3977">
        <v>0.91825049999999997</v>
      </c>
      <c r="Y3977">
        <v>-0.54226430000000003</v>
      </c>
      <c r="Z3977">
        <v>4.898599E-2</v>
      </c>
      <c r="AA3977">
        <v>0.83877869999999999</v>
      </c>
      <c r="AB3977">
        <v>13</v>
      </c>
      <c r="AC3977">
        <v>0.77410000000003198</v>
      </c>
      <c r="AD3977">
        <v>-5.63049999999998E-2</v>
      </c>
      <c r="AE3977">
        <v>-3.8999999999873498E-3</v>
      </c>
      <c r="AF3977">
        <v>-0.467965295072239</v>
      </c>
      <c r="AG3977">
        <v>-5.63049999999998E-2</v>
      </c>
      <c r="AH3977">
        <v>0.61152592726649502</v>
      </c>
      <c r="AI3977">
        <v>94.182022363379403</v>
      </c>
      <c r="AJ3977">
        <v>127.42473266695499</v>
      </c>
      <c r="AK3977">
        <v>0.77209178867294903</v>
      </c>
      <c r="AL3977">
        <v>94.458161212958601</v>
      </c>
      <c r="AM3977">
        <v>112.921806207825</v>
      </c>
      <c r="AN3977">
        <v>0.99999998296633397</v>
      </c>
    </row>
    <row r="3978" spans="1:40" x14ac:dyDescent="0.25">
      <c r="A3978" t="str">
        <f>"20190303153846430"</f>
        <v>20190303153846430</v>
      </c>
      <c r="B3978" t="str">
        <f>"1551598726422677"</f>
        <v>1551598726422677</v>
      </c>
      <c r="C3978" t="s">
        <v>40</v>
      </c>
      <c r="D3978">
        <v>4.2989540000000002</v>
      </c>
      <c r="E3978">
        <v>0.43326789999999998</v>
      </c>
      <c r="F3978" t="s">
        <v>44</v>
      </c>
      <c r="G3978">
        <v>-484.54239999999999</v>
      </c>
      <c r="H3978">
        <v>1.067358</v>
      </c>
      <c r="I3978">
        <v>218.87119999999999</v>
      </c>
      <c r="J3978">
        <v>-485.29939999999999</v>
      </c>
      <c r="K3978">
        <v>1.1241159999999999</v>
      </c>
      <c r="L3978">
        <v>218.86689999999999</v>
      </c>
      <c r="M3978">
        <v>0.79631260000000004</v>
      </c>
      <c r="N3978">
        <v>-1.3310270000000001E-2</v>
      </c>
      <c r="O3978">
        <v>-0.60473880000000002</v>
      </c>
      <c r="P3978">
        <v>0.96484550000000002</v>
      </c>
      <c r="Q3978">
        <v>-8.9039510000000002E-2</v>
      </c>
      <c r="R3978">
        <v>-0.24727569999999999</v>
      </c>
      <c r="S3978">
        <v>3.032867</v>
      </c>
      <c r="T3978">
        <v>-0.19825580000000001</v>
      </c>
      <c r="U3978">
        <v>-0.23983760000000001</v>
      </c>
      <c r="V3978">
        <v>-0.38602570000000003</v>
      </c>
      <c r="W3978">
        <v>-7.967378E-2</v>
      </c>
      <c r="X3978">
        <v>0.91904090000000005</v>
      </c>
      <c r="Y3978">
        <v>-0.53813610000000001</v>
      </c>
      <c r="Z3978">
        <v>4.9562960000000003E-2</v>
      </c>
      <c r="AA3978">
        <v>0.84139940000000002</v>
      </c>
      <c r="AB3978">
        <v>13</v>
      </c>
      <c r="AC3978">
        <v>0.757000000000005</v>
      </c>
      <c r="AD3978">
        <v>-5.6757999999999802E-2</v>
      </c>
      <c r="AE3978">
        <v>4.3000000000006297E-3</v>
      </c>
      <c r="AF3978">
        <v>-0.458673878207085</v>
      </c>
      <c r="AG3978">
        <v>-5.6757999999999802E-2</v>
      </c>
      <c r="AH3978">
        <v>0.59690597749913898</v>
      </c>
      <c r="AI3978">
        <v>94.311817945452901</v>
      </c>
      <c r="AJ3978">
        <v>127.53935895622899</v>
      </c>
      <c r="AK3978">
        <v>0.75491717630991195</v>
      </c>
      <c r="AL3978">
        <v>94.569815017093404</v>
      </c>
      <c r="AM3978">
        <v>112.783917229748</v>
      </c>
      <c r="AN3978">
        <v>0.99999996407639302</v>
      </c>
    </row>
    <row r="3979" spans="1:40" x14ac:dyDescent="0.25">
      <c r="A3979" t="str">
        <f>"20190303153846452"</f>
        <v>20190303153846452</v>
      </c>
      <c r="B3979" t="str">
        <f>"1551598726442197"</f>
        <v>1551598726442197</v>
      </c>
      <c r="C3979" t="s">
        <v>40</v>
      </c>
      <c r="D3979">
        <v>4.3323210000000003</v>
      </c>
      <c r="E3979">
        <v>0.43421569999999998</v>
      </c>
      <c r="F3979" t="s">
        <v>44</v>
      </c>
      <c r="G3979">
        <v>-484.32990000000001</v>
      </c>
      <c r="H3979">
        <v>1.059725</v>
      </c>
      <c r="I3979">
        <v>218.79300000000001</v>
      </c>
      <c r="J3979">
        <v>-485.18819999999999</v>
      </c>
      <c r="K3979">
        <v>1.1241019999999999</v>
      </c>
      <c r="L3979">
        <v>218.7955</v>
      </c>
      <c r="M3979">
        <v>0.80149759999999903</v>
      </c>
      <c r="N3979">
        <v>-1.3436689999999999E-2</v>
      </c>
      <c r="O3979">
        <v>-0.59784700000000002</v>
      </c>
      <c r="P3979">
        <v>0.96608369999999999</v>
      </c>
      <c r="Q3979">
        <v>-9.0398590000000001E-2</v>
      </c>
      <c r="R3979">
        <v>-0.24188989999999999</v>
      </c>
      <c r="S3979">
        <v>3.031647</v>
      </c>
      <c r="T3979">
        <v>-0.20133889999999999</v>
      </c>
      <c r="U3979">
        <v>-0.2306213</v>
      </c>
      <c r="V3979">
        <v>-0.38314700000000002</v>
      </c>
      <c r="W3979">
        <v>-8.0860059999999997E-2</v>
      </c>
      <c r="X3979">
        <v>0.92014130000000005</v>
      </c>
      <c r="Y3979">
        <v>-0.5333329</v>
      </c>
      <c r="Z3979">
        <v>4.9957769999999999E-2</v>
      </c>
      <c r="AA3979">
        <v>0.84442890000000004</v>
      </c>
      <c r="AB3979">
        <v>13</v>
      </c>
      <c r="AC3979">
        <v>0.85829999999998496</v>
      </c>
      <c r="AD3979">
        <v>-6.4376999999999907E-2</v>
      </c>
      <c r="AE3979">
        <v>-2.4999999999977202E-3</v>
      </c>
      <c r="AF3979">
        <v>-0.50831484098094404</v>
      </c>
      <c r="AG3979">
        <v>-6.4376999999999907E-2</v>
      </c>
      <c r="AH3979">
        <v>0.68562510972497603</v>
      </c>
      <c r="AI3979">
        <v>94.313474329374003</v>
      </c>
      <c r="AJ3979">
        <v>126.55282704797</v>
      </c>
      <c r="AK3979">
        <v>0.85592649612911698</v>
      </c>
      <c r="AL3979">
        <v>94.638003746945699</v>
      </c>
      <c r="AM3979">
        <v>112.60685366258301</v>
      </c>
      <c r="AN3979">
        <v>0.99999999243894599</v>
      </c>
    </row>
    <row r="3980" spans="1:40" x14ac:dyDescent="0.25">
      <c r="A3980" t="str">
        <f>"20190303153846475"</f>
        <v>20190303153846475</v>
      </c>
      <c r="B3980" t="str">
        <f>"1551598726462696"</f>
        <v>1551598726462696</v>
      </c>
      <c r="C3980" t="s">
        <v>40</v>
      </c>
      <c r="D3980">
        <v>4.3910390000000001</v>
      </c>
      <c r="E3980">
        <v>0.43463010000000002</v>
      </c>
      <c r="F3980" t="s">
        <v>44</v>
      </c>
      <c r="G3980">
        <v>-484.2371</v>
      </c>
      <c r="H3980">
        <v>1.0588390000000001</v>
      </c>
      <c r="I3980">
        <v>218.726</v>
      </c>
      <c r="J3980">
        <v>-485.08109999999999</v>
      </c>
      <c r="K3980">
        <v>1.124096</v>
      </c>
      <c r="L3980">
        <v>218.72800000000001</v>
      </c>
      <c r="M3980">
        <v>0.8064055</v>
      </c>
      <c r="N3980">
        <v>-1.35412999999999E-2</v>
      </c>
      <c r="O3980">
        <v>-0.59120819999999996</v>
      </c>
      <c r="P3980">
        <v>0.96774179999999999</v>
      </c>
      <c r="Q3980">
        <v>-8.9924130000000005E-2</v>
      </c>
      <c r="R3980">
        <v>-0.23535110000000001</v>
      </c>
      <c r="S3980">
        <v>3.030548</v>
      </c>
      <c r="T3980">
        <v>-0.2078969</v>
      </c>
      <c r="U3980">
        <v>-0.22079470000000001</v>
      </c>
      <c r="V3980">
        <v>-0.38180730000000002</v>
      </c>
      <c r="W3980">
        <v>-8.0254850000000003E-2</v>
      </c>
      <c r="X3980">
        <v>0.92075099999999999</v>
      </c>
      <c r="Y3980">
        <v>-0.52892359999999905</v>
      </c>
      <c r="Z3980">
        <v>5.1303769999999999E-2</v>
      </c>
      <c r="AA3980">
        <v>0.84711729999999996</v>
      </c>
      <c r="AB3980">
        <v>13</v>
      </c>
      <c r="AC3980">
        <v>0.84399999999999398</v>
      </c>
      <c r="AD3980">
        <v>-6.5257000000000107E-2</v>
      </c>
      <c r="AE3980">
        <v>-1.9999999999811202E-3</v>
      </c>
      <c r="AF3980">
        <v>-0.494456497948906</v>
      </c>
      <c r="AG3980">
        <v>-6.5257000000000107E-2</v>
      </c>
      <c r="AH3980">
        <v>0.67779907696169595</v>
      </c>
      <c r="AI3980">
        <v>94.447552696882795</v>
      </c>
      <c r="AJ3980">
        <v>126.110865281732</v>
      </c>
      <c r="AK3980">
        <v>0.841520821574264</v>
      </c>
      <c r="AL3980">
        <v>94.60321453025</v>
      </c>
      <c r="AM3980">
        <v>112.522291022264</v>
      </c>
      <c r="AN3980">
        <v>1.0000000296414</v>
      </c>
    </row>
    <row r="3981" spans="1:40" x14ac:dyDescent="0.25">
      <c r="A3981" t="str">
        <f>"20190303153846498"</f>
        <v>20190303153846498</v>
      </c>
      <c r="B3981" t="str">
        <f>"1551598726492948"</f>
        <v>1551598726492948</v>
      </c>
      <c r="C3981" t="s">
        <v>40</v>
      </c>
      <c r="D3981">
        <v>4.323232</v>
      </c>
      <c r="E3981">
        <v>0.44379360000000001</v>
      </c>
      <c r="F3981" t="s">
        <v>44</v>
      </c>
      <c r="G3981">
        <v>-484.14150000000001</v>
      </c>
      <c r="H3981">
        <v>1.0597460000000001</v>
      </c>
      <c r="I3981">
        <v>218.66499999999999</v>
      </c>
      <c r="J3981">
        <v>-484.96600000000001</v>
      </c>
      <c r="K3981">
        <v>1.124093</v>
      </c>
      <c r="L3981">
        <v>218.6568</v>
      </c>
      <c r="M3981">
        <v>0.81158960000000002</v>
      </c>
      <c r="N3981">
        <v>-1.363727E-2</v>
      </c>
      <c r="O3981">
        <v>-0.58406880000000005</v>
      </c>
      <c r="P3981">
        <v>0.96980980000000006</v>
      </c>
      <c r="Q3981">
        <v>-8.8057259999999998E-2</v>
      </c>
      <c r="R3981">
        <v>-0.22740930000000001</v>
      </c>
      <c r="S3981">
        <v>3.0313110000000001</v>
      </c>
      <c r="T3981">
        <v>-0.20760629999999999</v>
      </c>
      <c r="U3981">
        <v>-0.20315549999999999</v>
      </c>
      <c r="V3981">
        <v>-0.38134940000000001</v>
      </c>
      <c r="W3981">
        <v>-7.8276199999999893E-2</v>
      </c>
      <c r="X3981">
        <v>0.92111100000000001</v>
      </c>
      <c r="Y3981">
        <v>-0.52638260000000003</v>
      </c>
      <c r="Z3981">
        <v>5.0823859999999998E-2</v>
      </c>
      <c r="AA3981">
        <v>0.84872749999999997</v>
      </c>
      <c r="AB3981">
        <v>13</v>
      </c>
      <c r="AC3981">
        <v>0.82450000000000001</v>
      </c>
      <c r="AD3981">
        <v>-6.4347000000000099E-2</v>
      </c>
      <c r="AE3981">
        <v>8.1999999999879895E-3</v>
      </c>
      <c r="AF3981">
        <v>-0.48530952348893303</v>
      </c>
      <c r="AG3981">
        <v>-6.4347000000000099E-2</v>
      </c>
      <c r="AH3981">
        <v>0.66040602976849305</v>
      </c>
      <c r="AI3981">
        <v>94.489372868745207</v>
      </c>
      <c r="AJ3981">
        <v>126.31087803457299</v>
      </c>
      <c r="AK3981">
        <v>0.82207176946580396</v>
      </c>
      <c r="AL3981">
        <v>94.489488512862394</v>
      </c>
      <c r="AM3981">
        <v>112.490056537241</v>
      </c>
      <c r="AN3981">
        <v>1.0000000013438901</v>
      </c>
    </row>
    <row r="3982" spans="1:40" x14ac:dyDescent="0.25">
      <c r="A3982" t="str">
        <f>"20190303153846521"</f>
        <v>20190303153846521</v>
      </c>
      <c r="B3982" t="str">
        <f>"1551598726512469"</f>
        <v>1551598726512469</v>
      </c>
      <c r="C3982" t="s">
        <v>40</v>
      </c>
      <c r="D3982">
        <v>4.3385429999999996</v>
      </c>
      <c r="E3982">
        <v>0.4477411</v>
      </c>
      <c r="F3982" t="s">
        <v>44</v>
      </c>
      <c r="G3982">
        <v>-484.05590000000001</v>
      </c>
      <c r="H3982">
        <v>1.061677</v>
      </c>
      <c r="I3982">
        <v>218.5812</v>
      </c>
      <c r="J3982">
        <v>-484.85090000000002</v>
      </c>
      <c r="K3982">
        <v>1.1240829999999999</v>
      </c>
      <c r="L3982">
        <v>218.58690000000001</v>
      </c>
      <c r="M3982">
        <v>0.81668689999999999</v>
      </c>
      <c r="N3982">
        <v>-1.3718849999999999E-2</v>
      </c>
      <c r="O3982">
        <v>-0.57691800000000004</v>
      </c>
      <c r="P3982">
        <v>0.97152119999999997</v>
      </c>
      <c r="Q3982">
        <v>-8.7867860000000006E-2</v>
      </c>
      <c r="R3982">
        <v>-0.2200597</v>
      </c>
      <c r="S3982">
        <v>3.0161739999999999</v>
      </c>
      <c r="T3982">
        <v>-0.20679339999999999</v>
      </c>
      <c r="U3982">
        <v>-0.2494507</v>
      </c>
      <c r="V3982">
        <v>-0.38025019999999998</v>
      </c>
      <c r="W3982">
        <v>-7.7983259999999999E-2</v>
      </c>
      <c r="X3982">
        <v>0.92159009999999997</v>
      </c>
      <c r="Y3982">
        <v>-0.50559739999999997</v>
      </c>
      <c r="Z3982">
        <v>4.9642640000000002E-2</v>
      </c>
      <c r="AA3982">
        <v>0.8613402</v>
      </c>
      <c r="AB3982">
        <v>13</v>
      </c>
      <c r="AC3982">
        <v>0.79500000000001503</v>
      </c>
      <c r="AD3982">
        <v>-6.2405999999999899E-2</v>
      </c>
      <c r="AE3982">
        <v>-5.7000000000186901E-3</v>
      </c>
      <c r="AF3982">
        <v>-0.45125692402615603</v>
      </c>
      <c r="AG3982">
        <v>-6.2405999999999899E-2</v>
      </c>
      <c r="AH3982">
        <v>0.64861935184338604</v>
      </c>
      <c r="AI3982">
        <v>94.515832863624595</v>
      </c>
      <c r="AJ3982">
        <v>124.827076258972</v>
      </c>
      <c r="AK3982">
        <v>0.79261237935278495</v>
      </c>
      <c r="AL3982">
        <v>94.472653018424097</v>
      </c>
      <c r="AM3982">
        <v>112.421156607686</v>
      </c>
      <c r="AN3982">
        <v>0.99999995792913698</v>
      </c>
    </row>
    <row r="3983" spans="1:40" x14ac:dyDescent="0.25">
      <c r="A3983" t="str">
        <f>"20190303153846547"</f>
        <v>20190303153846547</v>
      </c>
      <c r="B3983" t="str">
        <f>"1551598726542339"</f>
        <v>1551598726542339</v>
      </c>
      <c r="C3983" t="s">
        <v>40</v>
      </c>
      <c r="D3983">
        <v>4.3587989999999897</v>
      </c>
      <c r="E3983">
        <v>0.49309809999999998</v>
      </c>
      <c r="F3983" t="s">
        <v>44</v>
      </c>
      <c r="G3983">
        <v>-483.96429999999998</v>
      </c>
      <c r="H3983">
        <v>1.067334</v>
      </c>
      <c r="I3983">
        <v>218.51070000000001</v>
      </c>
      <c r="J3983">
        <v>-484.72770000000003</v>
      </c>
      <c r="K3983">
        <v>1.1240709999999901</v>
      </c>
      <c r="L3983">
        <v>218.5136</v>
      </c>
      <c r="M3983">
        <v>0.822044</v>
      </c>
      <c r="N3983">
        <v>-1.379258E-2</v>
      </c>
      <c r="O3983">
        <v>-0.56925729999999997</v>
      </c>
      <c r="P3983">
        <v>0.97306619999999999</v>
      </c>
      <c r="Q3983">
        <v>-8.9825799999999997E-2</v>
      </c>
      <c r="R3983">
        <v>-0.21230640000000001</v>
      </c>
      <c r="S3983">
        <v>3.0120849999999999</v>
      </c>
      <c r="T3983">
        <v>-0.1927654</v>
      </c>
      <c r="U3983">
        <v>-0.25822450000000002</v>
      </c>
      <c r="V3983">
        <v>-0.37887150000000003</v>
      </c>
      <c r="W3983">
        <v>-7.984339E-2</v>
      </c>
      <c r="X3983">
        <v>0.9219986</v>
      </c>
      <c r="Y3983">
        <v>-0.49522909999999998</v>
      </c>
      <c r="Z3983">
        <v>4.530236E-2</v>
      </c>
      <c r="AA3983">
        <v>0.86758049999999998</v>
      </c>
      <c r="AB3983">
        <v>13</v>
      </c>
      <c r="AC3983">
        <v>0.76340000000004604</v>
      </c>
      <c r="AD3983">
        <v>-5.6736999999999801E-2</v>
      </c>
      <c r="AE3983">
        <v>-2.8999999999825801E-3</v>
      </c>
      <c r="AF3983">
        <v>-0.42985377315985202</v>
      </c>
      <c r="AG3983">
        <v>-5.6736999999999801E-2</v>
      </c>
      <c r="AH3983">
        <v>0.62580227072106298</v>
      </c>
      <c r="AI3983">
        <v>94.273851701613694</v>
      </c>
      <c r="AJ3983">
        <v>124.48456257078701</v>
      </c>
      <c r="AK3983">
        <v>0.76132899295140499</v>
      </c>
      <c r="AL3983">
        <v>94.579563850672898</v>
      </c>
      <c r="AM3983">
        <v>112.338944862227</v>
      </c>
      <c r="AN3983">
        <v>0.99999999942045104</v>
      </c>
    </row>
    <row r="3984" spans="1:40" x14ac:dyDescent="0.25">
      <c r="A3984" t="str">
        <f>"20190303153846566"</f>
        <v>20190303153846566</v>
      </c>
      <c r="B3984" t="str">
        <f>"1551598726562835"</f>
        <v>1551598726562835</v>
      </c>
      <c r="C3984" t="s">
        <v>40</v>
      </c>
      <c r="D3984">
        <v>4.4394030000000004</v>
      </c>
      <c r="E3984">
        <v>0.49541940000000001</v>
      </c>
      <c r="F3984" t="s">
        <v>55</v>
      </c>
      <c r="G3984">
        <v>-460.4479</v>
      </c>
      <c r="H3984" s="1">
        <v>-1.2548240000000001E-6</v>
      </c>
      <c r="I3984">
        <v>213.6189</v>
      </c>
      <c r="J3984">
        <v>-484.63290000000001</v>
      </c>
      <c r="K3984">
        <v>1.124064</v>
      </c>
      <c r="L3984">
        <v>218.45830000000001</v>
      </c>
      <c r="M3984">
        <v>0.82610110000000003</v>
      </c>
      <c r="N3984">
        <v>-1.384054E-2</v>
      </c>
      <c r="O3984">
        <v>-0.56335190000000002</v>
      </c>
      <c r="P3984">
        <v>0.97390790000000005</v>
      </c>
      <c r="Q3984">
        <v>-9.2003580000000001E-2</v>
      </c>
      <c r="R3984">
        <v>-0.20745820000000001</v>
      </c>
      <c r="S3984">
        <v>2.9411010000000002</v>
      </c>
      <c r="T3984">
        <v>-0.13616339999999999</v>
      </c>
      <c r="U3984">
        <v>-0.59291079999999996</v>
      </c>
      <c r="V3984">
        <v>-0.37673060000000003</v>
      </c>
      <c r="W3984">
        <v>-8.1940810000000003E-2</v>
      </c>
      <c r="X3984">
        <v>0.92269159999999995</v>
      </c>
      <c r="Y3984">
        <v>-0.38830480000000001</v>
      </c>
      <c r="Z3984">
        <v>2.7643279999999999E-2</v>
      </c>
      <c r="AA3984">
        <v>0.9211163</v>
      </c>
      <c r="AB3984">
        <v>13</v>
      </c>
      <c r="AC3984">
        <v>24.184999999999999</v>
      </c>
      <c r="AD3984">
        <v>-1.124065254824</v>
      </c>
      <c r="AE3984">
        <v>-4.8394000000000101</v>
      </c>
      <c r="AF3984">
        <v>-9.6077988635557698</v>
      </c>
      <c r="AG3984">
        <v>-1.124065254824</v>
      </c>
      <c r="AH3984">
        <v>22.6606492472492</v>
      </c>
      <c r="AI3984">
        <v>92.6148245332909</v>
      </c>
      <c r="AJ3984">
        <v>112.97626637297201</v>
      </c>
      <c r="AK3984">
        <v>24.6389599213624</v>
      </c>
      <c r="AL3984">
        <v>94.7001322329522</v>
      </c>
      <c r="AM3984">
        <v>112.209960608225</v>
      </c>
      <c r="AN3984">
        <v>1.00000001501518</v>
      </c>
    </row>
    <row r="3985" spans="1:40" x14ac:dyDescent="0.25">
      <c r="A3985" t="str">
        <f>"20190303153846587"</f>
        <v>20190303153846587</v>
      </c>
      <c r="B3985" t="str">
        <f>"1551598726582355"</f>
        <v>1551598726582355</v>
      </c>
      <c r="C3985" t="s">
        <v>40</v>
      </c>
      <c r="D3985">
        <v>4.3784910000000004</v>
      </c>
      <c r="E3985">
        <v>0.49536970000000002</v>
      </c>
      <c r="F3985" t="s">
        <v>55</v>
      </c>
      <c r="G3985">
        <v>-460.14870000000002</v>
      </c>
      <c r="H3985" s="1">
        <v>-1.4083050000000001E-6</v>
      </c>
      <c r="I3985">
        <v>213.4879</v>
      </c>
      <c r="J3985">
        <v>-484.52800000000002</v>
      </c>
      <c r="K3985">
        <v>1.124058</v>
      </c>
      <c r="L3985">
        <v>218.3981</v>
      </c>
      <c r="M3985">
        <v>0.8305188</v>
      </c>
      <c r="N3985">
        <v>-1.3886249999999999E-2</v>
      </c>
      <c r="O3985">
        <v>-0.55681749999999997</v>
      </c>
      <c r="P3985">
        <v>0.97513179999999999</v>
      </c>
      <c r="Q3985">
        <v>-9.1620969999999996E-2</v>
      </c>
      <c r="R3985">
        <v>-0.20180129999999999</v>
      </c>
      <c r="S3985">
        <v>2.9404599999999999</v>
      </c>
      <c r="T3985">
        <v>-0.13499639999999999</v>
      </c>
      <c r="U3985">
        <v>-0.5969238</v>
      </c>
      <c r="V3985">
        <v>-0.3748359</v>
      </c>
      <c r="W3985">
        <v>-8.1478040000000002E-2</v>
      </c>
      <c r="X3985">
        <v>0.92350390000000004</v>
      </c>
      <c r="Y3985">
        <v>-0.37979980000000002</v>
      </c>
      <c r="Z3985">
        <v>2.6954949999999998E-2</v>
      </c>
      <c r="AA3985">
        <v>0.9246759</v>
      </c>
      <c r="AB3985">
        <v>13</v>
      </c>
      <c r="AC3985">
        <v>24.379300000000001</v>
      </c>
      <c r="AD3985">
        <v>-1.124059408305</v>
      </c>
      <c r="AE3985">
        <v>-4.9101999999999997</v>
      </c>
      <c r="AF3985">
        <v>-9.4783588527501195</v>
      </c>
      <c r="AG3985">
        <v>-1.124059408305</v>
      </c>
      <c r="AH3985">
        <v>22.936908027473699</v>
      </c>
      <c r="AI3985">
        <v>92.593257414261302</v>
      </c>
      <c r="AJ3985">
        <v>112.452181606134</v>
      </c>
      <c r="AK3985">
        <v>24.843601710615399</v>
      </c>
      <c r="AL3985">
        <v>94.673528399303393</v>
      </c>
      <c r="AM3985">
        <v>112.091470031094</v>
      </c>
      <c r="AN3985">
        <v>1.00000003812313</v>
      </c>
    </row>
    <row r="3986" spans="1:40" x14ac:dyDescent="0.25">
      <c r="A3986" t="str">
        <f>"20190303153846610"</f>
        <v>20190303153846610</v>
      </c>
      <c r="B3986" t="str">
        <f>"1551598726602852"</f>
        <v>1551598726602852</v>
      </c>
      <c r="C3986" t="s">
        <v>40</v>
      </c>
      <c r="D3986">
        <v>4.3972889999999998</v>
      </c>
      <c r="E3986">
        <v>0.49555129999999997</v>
      </c>
      <c r="F3986" t="s">
        <v>55</v>
      </c>
      <c r="G3986">
        <v>-463.38819999999998</v>
      </c>
      <c r="H3986" s="1">
        <v>2.8232359999999999E-7</v>
      </c>
      <c r="I3986">
        <v>214.2491</v>
      </c>
      <c r="J3986">
        <v>-484.41149999999999</v>
      </c>
      <c r="K3986">
        <v>1.12406299999999</v>
      </c>
      <c r="L3986">
        <v>218.33260000000001</v>
      </c>
      <c r="M3986">
        <v>0.83534319999999895</v>
      </c>
      <c r="N3986">
        <v>-1.3929209999999999E-2</v>
      </c>
      <c r="O3986">
        <v>-0.54955229999999999</v>
      </c>
      <c r="P3986">
        <v>0.97662110000000002</v>
      </c>
      <c r="Q3986">
        <v>-9.0148690000000004E-2</v>
      </c>
      <c r="R3986">
        <v>-0.1951523</v>
      </c>
      <c r="S3986">
        <v>2.9423219999999999</v>
      </c>
      <c r="T3986">
        <v>-0.1564516</v>
      </c>
      <c r="U3986">
        <v>-0.57748409999999994</v>
      </c>
      <c r="V3986">
        <v>-0.37316440000000001</v>
      </c>
      <c r="W3986">
        <v>-7.9928260000000001E-2</v>
      </c>
      <c r="X3986">
        <v>0.92431589999999997</v>
      </c>
      <c r="Y3986">
        <v>-0.3774652</v>
      </c>
      <c r="Z3986">
        <v>3.1820859999999999E-2</v>
      </c>
      <c r="AA3986">
        <v>0.92547690000000005</v>
      </c>
      <c r="AB3986">
        <v>13</v>
      </c>
      <c r="AC3986">
        <v>21.023299999999999</v>
      </c>
      <c r="AD3986">
        <v>-1.12406271767639</v>
      </c>
      <c r="AE3986">
        <v>-4.0835000000000097</v>
      </c>
      <c r="AF3986">
        <v>-8.1206976665594297</v>
      </c>
      <c r="AG3986">
        <v>-1.12406271767639</v>
      </c>
      <c r="AH3986">
        <v>19.753271999464602</v>
      </c>
      <c r="AI3986">
        <v>93.012761624885002</v>
      </c>
      <c r="AJ3986">
        <v>112.347880241401</v>
      </c>
      <c r="AK3986">
        <v>21.386935317379301</v>
      </c>
      <c r="AL3986">
        <v>94.584441949861301</v>
      </c>
      <c r="AM3986">
        <v>111.984892975083</v>
      </c>
      <c r="AN3986">
        <v>1.0000000395833899</v>
      </c>
    </row>
    <row r="3987" spans="1:40" x14ac:dyDescent="0.25">
      <c r="A3987" t="str">
        <f>"20190303153846632"</f>
        <v>20190303153846632</v>
      </c>
      <c r="B3987" t="str">
        <f>"1551598726621962"</f>
        <v>1551598726621962</v>
      </c>
      <c r="C3987" t="s">
        <v>40</v>
      </c>
      <c r="D3987">
        <v>4.3938670000000002</v>
      </c>
      <c r="E3987">
        <v>0.49576379999999998</v>
      </c>
      <c r="F3987" t="s">
        <v>55</v>
      </c>
      <c r="G3987">
        <v>-464.17500000000001</v>
      </c>
      <c r="H3987" s="1">
        <v>6.9007310000000001E-7</v>
      </c>
      <c r="I3987">
        <v>214.4991</v>
      </c>
      <c r="J3987">
        <v>-484.29969999999997</v>
      </c>
      <c r="K3987">
        <v>1.1240589999999999</v>
      </c>
      <c r="L3987">
        <v>218.27099999999999</v>
      </c>
      <c r="M3987">
        <v>0.83989550000000002</v>
      </c>
      <c r="N3987">
        <v>-1.396325E-2</v>
      </c>
      <c r="O3987">
        <v>-0.54256859999999996</v>
      </c>
      <c r="P3987">
        <v>0.97793649999999999</v>
      </c>
      <c r="Q3987">
        <v>-8.8211129999999999E-2</v>
      </c>
      <c r="R3987">
        <v>-0.18936510000000001</v>
      </c>
      <c r="S3987">
        <v>2.9451900000000002</v>
      </c>
      <c r="T3987">
        <v>-0.1635942</v>
      </c>
      <c r="U3987">
        <v>-0.55792240000000004</v>
      </c>
      <c r="V3987">
        <v>-0.37104720000000002</v>
      </c>
      <c r="W3987">
        <v>-7.7915769999999995E-2</v>
      </c>
      <c r="X3987">
        <v>0.92533949999999998</v>
      </c>
      <c r="Y3987">
        <v>-0.37575330000000001</v>
      </c>
      <c r="Z3987">
        <v>3.3237650000000001E-2</v>
      </c>
      <c r="AA3987">
        <v>0.92612349999999999</v>
      </c>
      <c r="AB3987">
        <v>13</v>
      </c>
      <c r="AC3987">
        <v>20.124699999999901</v>
      </c>
      <c r="AD3987">
        <v>-1.1240583099268999</v>
      </c>
      <c r="AE3987">
        <v>-3.77189999999998</v>
      </c>
      <c r="AF3987">
        <v>-7.7284911063859596</v>
      </c>
      <c r="AG3987">
        <v>-1.1240583099268999</v>
      </c>
      <c r="AH3987">
        <v>18.894061743129601</v>
      </c>
      <c r="AI3987">
        <v>93.151762403551203</v>
      </c>
      <c r="AJ3987">
        <v>112.24669140507</v>
      </c>
      <c r="AK3987">
        <v>20.444526187192398</v>
      </c>
      <c r="AL3987">
        <v>94.468773952217802</v>
      </c>
      <c r="AM3987">
        <v>111.85004180613601</v>
      </c>
      <c r="AN3987">
        <v>1.0000000410513901</v>
      </c>
    </row>
    <row r="3988" spans="1:40" x14ac:dyDescent="0.25">
      <c r="A3988" t="str">
        <f>"20190303153846654"</f>
        <v>20190303153846654</v>
      </c>
      <c r="B3988" t="str">
        <f>"1551598726642441"</f>
        <v>1551598726642441</v>
      </c>
      <c r="C3988" t="s">
        <v>40</v>
      </c>
      <c r="D3988">
        <v>4.4098350000000002</v>
      </c>
      <c r="E3988">
        <v>0.4961045</v>
      </c>
      <c r="F3988" t="s">
        <v>55</v>
      </c>
      <c r="G3988">
        <v>-464.2047</v>
      </c>
      <c r="H3988" s="1">
        <v>7.0226019999999902E-7</v>
      </c>
      <c r="I3988">
        <v>214.58099999999999</v>
      </c>
      <c r="J3988">
        <v>-484.1934</v>
      </c>
      <c r="K3988">
        <v>1.124055</v>
      </c>
      <c r="L3988">
        <v>218.21360000000001</v>
      </c>
      <c r="M3988">
        <v>0.84414639999999996</v>
      </c>
      <c r="N3988">
        <v>-1.3990499999999999E-2</v>
      </c>
      <c r="O3988">
        <v>-0.53593049999999998</v>
      </c>
      <c r="P3988">
        <v>0.97892900000000005</v>
      </c>
      <c r="Q3988">
        <v>-8.8151750000000001E-2</v>
      </c>
      <c r="R3988">
        <v>-0.18419489999999999</v>
      </c>
      <c r="S3988">
        <v>2.947937</v>
      </c>
      <c r="T3988">
        <v>-0.16489909999999999</v>
      </c>
      <c r="U3988">
        <v>-0.54132080000000005</v>
      </c>
      <c r="V3988">
        <v>-0.36865009999999998</v>
      </c>
      <c r="W3988">
        <v>-7.7787579999999995E-2</v>
      </c>
      <c r="X3988">
        <v>0.92630780000000001</v>
      </c>
      <c r="Y3988">
        <v>-0.37363649999999998</v>
      </c>
      <c r="Z3988">
        <v>3.3254890000000002E-2</v>
      </c>
      <c r="AA3988">
        <v>0.92697890000000005</v>
      </c>
      <c r="AB3988">
        <v>13</v>
      </c>
      <c r="AC3988">
        <v>19.988699999999898</v>
      </c>
      <c r="AD3988">
        <v>-1.1240542977398</v>
      </c>
      <c r="AE3988">
        <v>-3.63260000000002</v>
      </c>
      <c r="AF3988">
        <v>-7.6235175029807696</v>
      </c>
      <c r="AG3988">
        <v>-1.1240542977398</v>
      </c>
      <c r="AH3988">
        <v>18.764606351913098</v>
      </c>
      <c r="AI3988">
        <v>93.176521097694703</v>
      </c>
      <c r="AJ3988">
        <v>112.11048664609299</v>
      </c>
      <c r="AK3988">
        <v>20.285264817713902</v>
      </c>
      <c r="AL3988">
        <v>94.461407155330306</v>
      </c>
      <c r="AM3988">
        <v>111.701466064597</v>
      </c>
      <c r="AN3988">
        <v>0.999999972086552</v>
      </c>
    </row>
    <row r="3989" spans="1:40" x14ac:dyDescent="0.25">
      <c r="A3989" t="str">
        <f>"20190303153846676"</f>
        <v>20190303153846676</v>
      </c>
      <c r="B3989" t="str">
        <f>"1551598726672696"</f>
        <v>1551598726672696</v>
      </c>
      <c r="C3989" t="s">
        <v>40</v>
      </c>
      <c r="D3989">
        <v>4.4298260000000003</v>
      </c>
      <c r="E3989">
        <v>0.49656670000000003</v>
      </c>
      <c r="F3989" t="s">
        <v>55</v>
      </c>
      <c r="G3989">
        <v>-464.65949999999998</v>
      </c>
      <c r="H3989" s="1">
        <v>9.3845979999999996E-7</v>
      </c>
      <c r="I3989">
        <v>214.71430000000001</v>
      </c>
      <c r="J3989">
        <v>-484.0829</v>
      </c>
      <c r="K3989">
        <v>1.1240319999999999</v>
      </c>
      <c r="L3989">
        <v>218.155</v>
      </c>
      <c r="M3989">
        <v>0.84849619999999903</v>
      </c>
      <c r="N3989">
        <v>-1.401403E-2</v>
      </c>
      <c r="O3989">
        <v>-0.52901580000000004</v>
      </c>
      <c r="P3989">
        <v>0.97988810000000004</v>
      </c>
      <c r="Q3989">
        <v>-8.908249E-2</v>
      </c>
      <c r="R3989">
        <v>-0.17855969999999999</v>
      </c>
      <c r="S3989">
        <v>2.9498600000000001</v>
      </c>
      <c r="T3989">
        <v>-0.16974539999999999</v>
      </c>
      <c r="U3989">
        <v>-0.52844239999999998</v>
      </c>
      <c r="V3989">
        <v>-0.36636560000000001</v>
      </c>
      <c r="W3989">
        <v>-7.8655230000000007E-2</v>
      </c>
      <c r="X3989">
        <v>0.92714050000000003</v>
      </c>
      <c r="Y3989">
        <v>-0.37002629999999997</v>
      </c>
      <c r="Z3989">
        <v>3.4024539999999999E-2</v>
      </c>
      <c r="AA3989">
        <v>0.92839799999999995</v>
      </c>
      <c r="AB3989">
        <v>13</v>
      </c>
      <c r="AC3989">
        <v>19.423400000000001</v>
      </c>
      <c r="AD3989">
        <v>-1.1240310615401901</v>
      </c>
      <c r="AE3989">
        <v>-3.4406999999999899</v>
      </c>
      <c r="AF3989">
        <v>-7.3327775421897998</v>
      </c>
      <c r="AG3989">
        <v>-1.1240310615401901</v>
      </c>
      <c r="AH3989">
        <v>18.243426767568199</v>
      </c>
      <c r="AI3989">
        <v>93.271914369831293</v>
      </c>
      <c r="AJ3989">
        <v>111.897207031303</v>
      </c>
      <c r="AK3989">
        <v>19.694052212131801</v>
      </c>
      <c r="AL3989">
        <v>94.511272717609202</v>
      </c>
      <c r="AM3989">
        <v>111.561776344135</v>
      </c>
      <c r="AN3989">
        <v>0.99999995240497996</v>
      </c>
    </row>
    <row r="3990" spans="1:40" x14ac:dyDescent="0.25">
      <c r="A3990" t="str">
        <f>"20190303153846700"</f>
        <v>20190303153846700</v>
      </c>
      <c r="B3990" t="str">
        <f>"1551598726692216"</f>
        <v>1551598726692216</v>
      </c>
      <c r="C3990" t="s">
        <v>40</v>
      </c>
      <c r="D3990">
        <v>4.4358050000000002</v>
      </c>
      <c r="E3990">
        <v>0.49684970000000001</v>
      </c>
      <c r="F3990" t="s">
        <v>55</v>
      </c>
      <c r="G3990">
        <v>-464.81689999999998</v>
      </c>
      <c r="H3990" s="1">
        <v>1.0187559999999999E-6</v>
      </c>
      <c r="I3990">
        <v>214.79349999999999</v>
      </c>
      <c r="J3990">
        <v>-483.96409999999997</v>
      </c>
      <c r="K3990">
        <v>1.124017</v>
      </c>
      <c r="L3990">
        <v>218.0934</v>
      </c>
      <c r="M3990">
        <v>0.85308660000000003</v>
      </c>
      <c r="N3990">
        <v>-1.4034649999999999E-2</v>
      </c>
      <c r="O3990">
        <v>-0.52158070000000001</v>
      </c>
      <c r="P3990">
        <v>0.98094239999999999</v>
      </c>
      <c r="Q3990">
        <v>-9.0363789999999999E-2</v>
      </c>
      <c r="R3990">
        <v>-0.17200760000000001</v>
      </c>
      <c r="S3990">
        <v>2.952026</v>
      </c>
      <c r="T3990">
        <v>-0.17222870000000001</v>
      </c>
      <c r="U3990">
        <v>-0.51507570000000003</v>
      </c>
      <c r="V3990">
        <v>-0.36439379999999999</v>
      </c>
      <c r="W3990">
        <v>-7.9879329999999998E-2</v>
      </c>
      <c r="X3990">
        <v>0.92781279999999999</v>
      </c>
      <c r="Y3990">
        <v>-0.36607869999999998</v>
      </c>
      <c r="Z3990">
        <v>3.4197739999999997E-2</v>
      </c>
      <c r="AA3990">
        <v>0.92995530000000004</v>
      </c>
      <c r="AB3990">
        <v>13</v>
      </c>
      <c r="AC3990">
        <v>19.147200000000002</v>
      </c>
      <c r="AD3990">
        <v>-1.124015981244</v>
      </c>
      <c r="AE3990">
        <v>-3.2999000000000001</v>
      </c>
      <c r="AF3990">
        <v>-7.1484912200761599</v>
      </c>
      <c r="AG3990">
        <v>-1.124015981244</v>
      </c>
      <c r="AH3990">
        <v>17.996929900987499</v>
      </c>
      <c r="AI3990">
        <v>93.321987604116302</v>
      </c>
      <c r="AJ3990">
        <v>111.663280240764</v>
      </c>
      <c r="AK3990">
        <v>19.3972633252904</v>
      </c>
      <c r="AL3990">
        <v>94.581629333592701</v>
      </c>
      <c r="AM3990">
        <v>111.442167836859</v>
      </c>
      <c r="AN3990">
        <v>1.00000007034176</v>
      </c>
    </row>
    <row r="3991" spans="1:40" x14ac:dyDescent="0.25">
      <c r="A3991" t="str">
        <f>"20190303153846722"</f>
        <v>20190303153846722</v>
      </c>
      <c r="B3991" t="str">
        <f>"1551598726712713"</f>
        <v>1551598726712713</v>
      </c>
      <c r="C3991" t="s">
        <v>40</v>
      </c>
      <c r="D3991">
        <v>4.4880149999999999</v>
      </c>
      <c r="E3991">
        <v>0.49712089999999998</v>
      </c>
      <c r="F3991" t="s">
        <v>55</v>
      </c>
      <c r="G3991">
        <v>-464.92219999999998</v>
      </c>
      <c r="H3991" s="1">
        <v>1.0707810000000001E-6</v>
      </c>
      <c r="I3991">
        <v>214.8861</v>
      </c>
      <c r="J3991">
        <v>-483.84969999999998</v>
      </c>
      <c r="K3991">
        <v>1.1240000000000001</v>
      </c>
      <c r="L3991">
        <v>218.0352</v>
      </c>
      <c r="M3991">
        <v>0.85742750000000001</v>
      </c>
      <c r="N3991">
        <v>-1.405059E-2</v>
      </c>
      <c r="O3991">
        <v>-0.51441309999999996</v>
      </c>
      <c r="P3991">
        <v>0.98198280000000004</v>
      </c>
      <c r="Q3991">
        <v>-9.0770450000000003E-2</v>
      </c>
      <c r="R3991">
        <v>-0.1657431</v>
      </c>
      <c r="S3991">
        <v>2.9549259999999999</v>
      </c>
      <c r="T3991">
        <v>-0.174425</v>
      </c>
      <c r="U3991">
        <v>-0.49771120000000002</v>
      </c>
      <c r="V3991">
        <v>-0.36252319999999999</v>
      </c>
      <c r="W3991">
        <v>-8.0233719999999994E-2</v>
      </c>
      <c r="X3991">
        <v>0.92851470000000003</v>
      </c>
      <c r="Y3991">
        <v>-0.36372290000000002</v>
      </c>
      <c r="Z3991">
        <v>3.4354990000000002E-2</v>
      </c>
      <c r="AA3991">
        <v>0.93087350000000002</v>
      </c>
      <c r="AB3991">
        <v>13</v>
      </c>
      <c r="AC3991">
        <v>18.927499999999998</v>
      </c>
      <c r="AD3991">
        <v>-1.123998929219</v>
      </c>
      <c r="AE3991">
        <v>-3.1490999999999998</v>
      </c>
      <c r="AF3991">
        <v>-7.0130575981768404</v>
      </c>
      <c r="AG3991">
        <v>-1.123998929219</v>
      </c>
      <c r="AH3991">
        <v>17.7896124081064</v>
      </c>
      <c r="AI3991">
        <v>93.363987378532997</v>
      </c>
      <c r="AJ3991">
        <v>111.515452683158</v>
      </c>
      <c r="AK3991">
        <v>19.155068783454801</v>
      </c>
      <c r="AL3991">
        <v>94.601999932525402</v>
      </c>
      <c r="AM3991">
        <v>111.327336740915</v>
      </c>
      <c r="AN3991">
        <v>1.00000003423968</v>
      </c>
    </row>
    <row r="3992" spans="1:40" x14ac:dyDescent="0.25">
      <c r="A3992" t="str">
        <f>"20190303153846743"</f>
        <v>20190303153846743</v>
      </c>
      <c r="B3992" t="str">
        <f>"1551598726732235"</f>
        <v>1551598726732235</v>
      </c>
      <c r="C3992" t="s">
        <v>40</v>
      </c>
      <c r="D3992">
        <v>4.4873430000000001</v>
      </c>
      <c r="E3992">
        <v>0.49725900000000001</v>
      </c>
      <c r="F3992" t="s">
        <v>55</v>
      </c>
      <c r="G3992">
        <v>-464.86470000000003</v>
      </c>
      <c r="H3992" s="1">
        <v>1.0374189999999999E-6</v>
      </c>
      <c r="I3992">
        <v>214.94839999999999</v>
      </c>
      <c r="J3992">
        <v>-483.74079999999998</v>
      </c>
      <c r="K3992">
        <v>1.123988</v>
      </c>
      <c r="L3992">
        <v>217.98089999999999</v>
      </c>
      <c r="M3992">
        <v>0.86148570000000002</v>
      </c>
      <c r="N3992">
        <v>-1.406249E-2</v>
      </c>
      <c r="O3992">
        <v>-0.50758709999999996</v>
      </c>
      <c r="P3992">
        <v>0.98299389999999998</v>
      </c>
      <c r="Q3992">
        <v>-9.0381879999999998E-2</v>
      </c>
      <c r="R3992">
        <v>-0.15985629999999901</v>
      </c>
      <c r="S3992">
        <v>2.9576720000000001</v>
      </c>
      <c r="T3992">
        <v>-0.1751076</v>
      </c>
      <c r="U3992">
        <v>-0.48088069999999999</v>
      </c>
      <c r="V3992">
        <v>-0.36073860000000002</v>
      </c>
      <c r="W3992">
        <v>-7.9796549999999994E-2</v>
      </c>
      <c r="X3992">
        <v>0.92924709999999999</v>
      </c>
      <c r="Y3992">
        <v>-0.36162329999999998</v>
      </c>
      <c r="Z3992">
        <v>3.4185029999999998E-2</v>
      </c>
      <c r="AA3992">
        <v>0.93169740000000001</v>
      </c>
      <c r="AB3992">
        <v>13</v>
      </c>
      <c r="AC3992">
        <v>18.876099999999902</v>
      </c>
      <c r="AD3992">
        <v>-1.1239869625809999</v>
      </c>
      <c r="AE3992">
        <v>-3.03249999999999</v>
      </c>
      <c r="AF3992">
        <v>-6.94549172345104</v>
      </c>
      <c r="AG3992">
        <v>-1.1239869625809999</v>
      </c>
      <c r="AH3992">
        <v>17.741186510441501</v>
      </c>
      <c r="AI3992">
        <v>93.376243508100501</v>
      </c>
      <c r="AJ3992">
        <v>111.379831232946</v>
      </c>
      <c r="AK3992">
        <v>19.085410678600901</v>
      </c>
      <c r="AL3992">
        <v>94.576871523792803</v>
      </c>
      <c r="AM3992">
        <v>111.21647348800001</v>
      </c>
      <c r="AN3992">
        <v>0.99999999989013599</v>
      </c>
    </row>
    <row r="3993" spans="1:40" x14ac:dyDescent="0.25">
      <c r="A3993" t="str">
        <f>"20190303153846766"</f>
        <v>20190303153846766</v>
      </c>
      <c r="B3993" t="str">
        <f>"1551598726762487"</f>
        <v>1551598726762487</v>
      </c>
      <c r="C3993" t="s">
        <v>40</v>
      </c>
      <c r="D3993">
        <v>4.4816919999999998</v>
      </c>
      <c r="E3993">
        <v>0.49760569999999998</v>
      </c>
      <c r="F3993" t="s">
        <v>55</v>
      </c>
      <c r="G3993">
        <v>-464.6619</v>
      </c>
      <c r="H3993" s="1">
        <v>9.2775289999999996E-7</v>
      </c>
      <c r="I3993">
        <v>214.98949999999999</v>
      </c>
      <c r="J3993">
        <v>-483.63209999999998</v>
      </c>
      <c r="K3993">
        <v>1.1239790000000001</v>
      </c>
      <c r="L3993">
        <v>217.92769999999999</v>
      </c>
      <c r="M3993">
        <v>0.86545989999999995</v>
      </c>
      <c r="N3993">
        <v>-1.407161E-2</v>
      </c>
      <c r="O3993">
        <v>-0.50078080000000003</v>
      </c>
      <c r="P3993">
        <v>0.98396680000000003</v>
      </c>
      <c r="Q3993">
        <v>-8.9816729999999997E-2</v>
      </c>
      <c r="R3993">
        <v>-0.15408629999999901</v>
      </c>
      <c r="S3993">
        <v>2.9603579999999998</v>
      </c>
      <c r="T3993">
        <v>-0.174402799999999</v>
      </c>
      <c r="U3993">
        <v>-0.46415709999999999</v>
      </c>
      <c r="V3993">
        <v>-0.35890060000000001</v>
      </c>
      <c r="W3993">
        <v>-7.9182890000000006E-2</v>
      </c>
      <c r="X3993">
        <v>0.93001100000000003</v>
      </c>
      <c r="Y3993">
        <v>-0.35956139999999998</v>
      </c>
      <c r="Z3993">
        <v>3.3707040000000001E-2</v>
      </c>
      <c r="AA3993">
        <v>0.93251249999999997</v>
      </c>
      <c r="AB3993">
        <v>13</v>
      </c>
      <c r="AC3993">
        <v>18.970199999999899</v>
      </c>
      <c r="AD3993">
        <v>-1.1239780722471</v>
      </c>
      <c r="AE3993">
        <v>-2.9381999999999899</v>
      </c>
      <c r="AF3993">
        <v>-6.9339341629747597</v>
      </c>
      <c r="AG3993">
        <v>-1.1239780722471</v>
      </c>
      <c r="AH3993">
        <v>17.829984432631701</v>
      </c>
      <c r="AI3993">
        <v>93.362391015890594</v>
      </c>
      <c r="AJ3993">
        <v>111.250648779453</v>
      </c>
      <c r="AK3993">
        <v>19.1637969763628</v>
      </c>
      <c r="AL3993">
        <v>94.541599713552699</v>
      </c>
      <c r="AM3993">
        <v>111.102103165374</v>
      </c>
      <c r="AN3993">
        <v>1.0000000154350499</v>
      </c>
    </row>
    <row r="3994" spans="1:40" x14ac:dyDescent="0.25">
      <c r="A3994" t="str">
        <f>"20190303153846787"</f>
        <v>20190303153846787</v>
      </c>
      <c r="B3994" t="str">
        <f>"1551598726782008"</f>
        <v>1551598726782008</v>
      </c>
      <c r="C3994" t="s">
        <v>40</v>
      </c>
      <c r="D3994">
        <v>4.4422490000000003</v>
      </c>
      <c r="E3994">
        <v>0.49776029999999999</v>
      </c>
      <c r="F3994" t="s">
        <v>55</v>
      </c>
      <c r="G3994">
        <v>-464.26100000000002</v>
      </c>
      <c r="H3994" s="1">
        <v>7.1446189999999996E-7</v>
      </c>
      <c r="I3994">
        <v>214.98849999999999</v>
      </c>
      <c r="J3994">
        <v>-483.5206</v>
      </c>
      <c r="K3994">
        <v>1.1239709999999901</v>
      </c>
      <c r="L3994">
        <v>217.87430000000001</v>
      </c>
      <c r="M3994">
        <v>0.8694615</v>
      </c>
      <c r="N3994">
        <v>-1.407812E-2</v>
      </c>
      <c r="O3994">
        <v>-0.49379990000000001</v>
      </c>
      <c r="P3994">
        <v>0.98485230000000001</v>
      </c>
      <c r="Q3994">
        <v>-8.9503260000000001E-2</v>
      </c>
      <c r="R3994">
        <v>-0.14851059999999999</v>
      </c>
      <c r="S3994">
        <v>2.9627690000000002</v>
      </c>
      <c r="T3994">
        <v>-0.17191020000000001</v>
      </c>
      <c r="U3994">
        <v>-0.44955440000000002</v>
      </c>
      <c r="V3994">
        <v>-0.3567073</v>
      </c>
      <c r="W3994">
        <v>-7.8816280000000002E-2</v>
      </c>
      <c r="X3994">
        <v>0.93088559999999998</v>
      </c>
      <c r="Y3994">
        <v>-0.35670390000000002</v>
      </c>
      <c r="Z3994">
        <v>3.2806710000000003E-2</v>
      </c>
      <c r="AA3994">
        <v>0.93364130000000001</v>
      </c>
      <c r="AB3994">
        <v>13</v>
      </c>
      <c r="AC3994">
        <v>19.259599999999999</v>
      </c>
      <c r="AD3994">
        <v>-1.12397028553809</v>
      </c>
      <c r="AE3994">
        <v>-2.8858000000000099</v>
      </c>
      <c r="AF3994">
        <v>-6.9787449553777599</v>
      </c>
      <c r="AG3994">
        <v>-1.12397028553809</v>
      </c>
      <c r="AH3994">
        <v>18.111960208547501</v>
      </c>
      <c r="AI3994">
        <v>93.314121479013707</v>
      </c>
      <c r="AJ3994">
        <v>111.07224323263399</v>
      </c>
      <c r="AK3994">
        <v>19.442461082666199</v>
      </c>
      <c r="AL3994">
        <v>94.520528487585295</v>
      </c>
      <c r="AM3994">
        <v>110.96639976253699</v>
      </c>
      <c r="AN3994">
        <v>1.00000005207684</v>
      </c>
    </row>
    <row r="3995" spans="1:40" x14ac:dyDescent="0.25">
      <c r="A3995" t="str">
        <f>"20190303153846810"</f>
        <v>20190303153846810</v>
      </c>
      <c r="B3995" t="str">
        <f>"1551598726802504"</f>
        <v>1551598726802504</v>
      </c>
      <c r="C3995" t="s">
        <v>40</v>
      </c>
      <c r="D3995">
        <v>4.465446</v>
      </c>
      <c r="E3995">
        <v>0.48325509999999999</v>
      </c>
      <c r="F3995" t="s">
        <v>55</v>
      </c>
      <c r="G3995">
        <v>-464.2457</v>
      </c>
      <c r="H3995" s="1">
        <v>7.0344729999999996E-7</v>
      </c>
      <c r="I3995">
        <v>215.05410000000001</v>
      </c>
      <c r="J3995">
        <v>-483.40879999999999</v>
      </c>
      <c r="K3995">
        <v>1.1239600000000001</v>
      </c>
      <c r="L3995">
        <v>217.8219</v>
      </c>
      <c r="M3995">
        <v>0.87338979999999999</v>
      </c>
      <c r="N3995">
        <v>-1.408161E-2</v>
      </c>
      <c r="O3995">
        <v>-0.48681849999999999</v>
      </c>
      <c r="P3995">
        <v>0.98589800000000005</v>
      </c>
      <c r="Q3995">
        <v>-8.7131899999999998E-2</v>
      </c>
      <c r="R3995">
        <v>-0.1428759</v>
      </c>
      <c r="S3995">
        <v>2.964966</v>
      </c>
      <c r="T3995">
        <v>-0.17289570000000001</v>
      </c>
      <c r="U3995">
        <v>-0.4338226</v>
      </c>
      <c r="V3995">
        <v>-0.35469889999999998</v>
      </c>
      <c r="W3995">
        <v>-7.6390959999999994E-2</v>
      </c>
      <c r="X3995">
        <v>0.93185469999999904</v>
      </c>
      <c r="Y3995">
        <v>-0.35416560000000002</v>
      </c>
      <c r="Z3995">
        <v>3.2681950000000001E-2</v>
      </c>
      <c r="AA3995">
        <v>0.93461150000000004</v>
      </c>
      <c r="AB3995">
        <v>13</v>
      </c>
      <c r="AC3995">
        <v>19.163099999999901</v>
      </c>
      <c r="AD3995">
        <v>-1.1239592965526899</v>
      </c>
      <c r="AE3995">
        <v>-2.76779999999999</v>
      </c>
      <c r="AF3995">
        <v>-6.8890530067937297</v>
      </c>
      <c r="AG3995">
        <v>-1.1239592965526899</v>
      </c>
      <c r="AH3995">
        <v>18.025321411644001</v>
      </c>
      <c r="AI3995">
        <v>93.333456077670405</v>
      </c>
      <c r="AJ3995">
        <v>110.91623256802301</v>
      </c>
      <c r="AK3995">
        <v>19.329628755457101</v>
      </c>
      <c r="AL3995">
        <v>94.381147601920503</v>
      </c>
      <c r="AM3995">
        <v>110.838704509514</v>
      </c>
      <c r="AN3995">
        <v>1.0000000351715099</v>
      </c>
    </row>
    <row r="3996" spans="1:40" x14ac:dyDescent="0.25">
      <c r="A3996" t="str">
        <f>"20190303153846832"</f>
        <v>20190303153846832</v>
      </c>
      <c r="B3996" t="str">
        <f>"1551598726823001"</f>
        <v>1551598726823001</v>
      </c>
      <c r="C3996" t="s">
        <v>40</v>
      </c>
      <c r="D3996">
        <v>4.4725640000000002</v>
      </c>
      <c r="E3996">
        <v>0.4802786</v>
      </c>
      <c r="F3996" t="s">
        <v>55</v>
      </c>
      <c r="G3996">
        <v>-465.11900000000003</v>
      </c>
      <c r="H3996" s="1">
        <v>1.1278330000000001E-6</v>
      </c>
      <c r="I3996">
        <v>215.97669999999999</v>
      </c>
      <c r="J3996">
        <v>-483.29309999999998</v>
      </c>
      <c r="K3996">
        <v>1.1239600000000001</v>
      </c>
      <c r="L3996">
        <v>217.7687</v>
      </c>
      <c r="M3996">
        <v>0.87736959999999997</v>
      </c>
      <c r="N3996">
        <v>-1.408213E-2</v>
      </c>
      <c r="O3996">
        <v>-0.4796086</v>
      </c>
      <c r="P3996">
        <v>0.98671980000000004</v>
      </c>
      <c r="Q3996">
        <v>-8.1845630000000003E-2</v>
      </c>
      <c r="R3996">
        <v>-0.1403045</v>
      </c>
      <c r="S3996">
        <v>2.9830930000000002</v>
      </c>
      <c r="T3996">
        <v>-0.18331939999999999</v>
      </c>
      <c r="U3996">
        <v>-0.30094910000000002</v>
      </c>
      <c r="V3996">
        <v>-0.3497133</v>
      </c>
      <c r="W3996">
        <v>-7.1009909999999996E-2</v>
      </c>
      <c r="X3996">
        <v>0.93416169999999998</v>
      </c>
      <c r="Y3996">
        <v>-0.38782080000000002</v>
      </c>
      <c r="Z3996">
        <v>3.5860469999999998E-2</v>
      </c>
      <c r="AA3996">
        <v>0.92103699999999999</v>
      </c>
      <c r="AB3996">
        <v>13</v>
      </c>
      <c r="AC3996">
        <v>18.1740999999999</v>
      </c>
      <c r="AD3996">
        <v>-1.123958872167</v>
      </c>
      <c r="AE3996">
        <v>-1.792</v>
      </c>
      <c r="AF3996">
        <v>-7.1179545821688297</v>
      </c>
      <c r="AG3996">
        <v>-1.123958872167</v>
      </c>
      <c r="AH3996">
        <v>16.743106447694</v>
      </c>
      <c r="AI3996">
        <v>93.535163437403895</v>
      </c>
      <c r="AJ3996">
        <v>113.03167813334299</v>
      </c>
      <c r="AK3996">
        <v>18.228005225447799</v>
      </c>
      <c r="AL3996">
        <v>94.071995400278496</v>
      </c>
      <c r="AM3996">
        <v>110.52391832614801</v>
      </c>
      <c r="AN3996">
        <v>0.99999994063099196</v>
      </c>
    </row>
    <row r="3997" spans="1:40" x14ac:dyDescent="0.25">
      <c r="A3997" t="str">
        <f>"20190303153846856"</f>
        <v>20190303153846856</v>
      </c>
      <c r="B3997" t="str">
        <f>"1551598726852280"</f>
        <v>1551598726852280</v>
      </c>
      <c r="C3997" t="s">
        <v>40</v>
      </c>
      <c r="D3997">
        <v>4.5075059999999896</v>
      </c>
      <c r="E3997">
        <v>0.47924519999999998</v>
      </c>
      <c r="F3997" t="s">
        <v>55</v>
      </c>
      <c r="G3997">
        <v>-458.79399999999998</v>
      </c>
      <c r="H3997" s="1">
        <v>3.1020859999999999E-6</v>
      </c>
      <c r="I3997">
        <v>215.55119999999999</v>
      </c>
      <c r="J3997">
        <v>-483.17829999999998</v>
      </c>
      <c r="K3997">
        <v>1.123958</v>
      </c>
      <c r="L3997">
        <v>217.71709999999999</v>
      </c>
      <c r="M3997">
        <v>0.88122809999999996</v>
      </c>
      <c r="N3997">
        <v>-1.4080530000000001E-2</v>
      </c>
      <c r="O3997">
        <v>-0.47248190000000001</v>
      </c>
      <c r="P3997">
        <v>0.98719849999999998</v>
      </c>
      <c r="Q3997">
        <v>-7.5534279999999995E-2</v>
      </c>
      <c r="R3997">
        <v>-0.14047709999999999</v>
      </c>
      <c r="S3997">
        <v>2.9905089999999999</v>
      </c>
      <c r="T3997">
        <v>-0.1371974</v>
      </c>
      <c r="U3997">
        <v>-0.27067570000000002</v>
      </c>
      <c r="V3997">
        <v>-0.34226050000000002</v>
      </c>
      <c r="W3997">
        <v>-6.4576759999999997E-2</v>
      </c>
      <c r="X3997">
        <v>0.93738339999999998</v>
      </c>
      <c r="Y3997">
        <v>-0.39043689999999998</v>
      </c>
      <c r="Z3997">
        <v>2.5632240000000001E-2</v>
      </c>
      <c r="AA3997">
        <v>0.9202728</v>
      </c>
      <c r="AB3997">
        <v>13</v>
      </c>
      <c r="AC3997">
        <v>24.3842999999999</v>
      </c>
      <c r="AD3997">
        <v>-1.1239548979139999</v>
      </c>
      <c r="AE3997">
        <v>-2.1658999999999899</v>
      </c>
      <c r="AF3997">
        <v>-9.5932174963598502</v>
      </c>
      <c r="AG3997">
        <v>-1.1239548979139999</v>
      </c>
      <c r="AH3997">
        <v>22.466348269774901</v>
      </c>
      <c r="AI3997">
        <v>92.634286982860303</v>
      </c>
      <c r="AJ3997">
        <v>113.12266936482401</v>
      </c>
      <c r="AK3997">
        <v>24.454649887574</v>
      </c>
      <c r="AL3997">
        <v>93.702552134972706</v>
      </c>
      <c r="AM3997">
        <v>110.058314839395</v>
      </c>
      <c r="AN3997">
        <v>1.0000000231939501</v>
      </c>
    </row>
    <row r="3998" spans="1:40" x14ac:dyDescent="0.25">
      <c r="A3998" t="str">
        <f>"20190303153846878"</f>
        <v>20190303153846878</v>
      </c>
      <c r="B3998" t="str">
        <f>"1551598726872777"</f>
        <v>1551598726872777</v>
      </c>
      <c r="C3998" t="s">
        <v>40</v>
      </c>
      <c r="D3998">
        <v>4.5028899999999998</v>
      </c>
      <c r="E3998">
        <v>0.47891800000000001</v>
      </c>
      <c r="F3998" t="s">
        <v>55</v>
      </c>
      <c r="G3998">
        <v>-452.84379999999999</v>
      </c>
      <c r="H3998" s="1">
        <v>-4.2544500000000001E-8</v>
      </c>
      <c r="I3998">
        <v>215.05260000000001</v>
      </c>
      <c r="J3998">
        <v>-483.06270000000001</v>
      </c>
      <c r="K3998">
        <v>1.1239319999999999</v>
      </c>
      <c r="L3998">
        <v>217.6661</v>
      </c>
      <c r="M3998">
        <v>0.88502899999999995</v>
      </c>
      <c r="N3998">
        <v>-1.4077040000000001E-2</v>
      </c>
      <c r="O3998">
        <v>-0.4653236</v>
      </c>
      <c r="P3998">
        <v>0.98734840000000001</v>
      </c>
      <c r="Q3998">
        <v>-7.4708769999999994E-2</v>
      </c>
      <c r="R3998">
        <v>-0.13986419999999999</v>
      </c>
      <c r="S3998">
        <v>2.9929809999999999</v>
      </c>
      <c r="T3998">
        <v>-0.1108961</v>
      </c>
      <c r="U3998">
        <v>-0.26289370000000001</v>
      </c>
      <c r="V3998">
        <v>-0.33528269999999999</v>
      </c>
      <c r="W3998">
        <v>-6.3644709999999993E-2</v>
      </c>
      <c r="X3998">
        <v>0.93996539999999995</v>
      </c>
      <c r="Y3998">
        <v>-0.38568170000000002</v>
      </c>
      <c r="Z3998">
        <v>1.9672060000000002E-2</v>
      </c>
      <c r="AA3998">
        <v>0.92242219999999997</v>
      </c>
      <c r="AB3998">
        <v>13</v>
      </c>
      <c r="AC3998">
        <v>30.218900000000001</v>
      </c>
      <c r="AD3998">
        <v>-1.1239320425445001</v>
      </c>
      <c r="AE3998">
        <v>-2.6134999999999802</v>
      </c>
      <c r="AF3998">
        <v>-11.7335942533236</v>
      </c>
      <c r="AG3998">
        <v>-1.1239320425445001</v>
      </c>
      <c r="AH3998">
        <v>27.925146602722599</v>
      </c>
      <c r="AI3998">
        <v>92.125017793754395</v>
      </c>
      <c r="AJ3998">
        <v>112.79118267880099</v>
      </c>
      <c r="AK3998">
        <v>30.310959571109599</v>
      </c>
      <c r="AL3998">
        <v>93.649039434382104</v>
      </c>
      <c r="AM3998">
        <v>109.631157437762</v>
      </c>
      <c r="AN3998">
        <v>1.0000000456137099</v>
      </c>
    </row>
    <row r="3999" spans="1:40" x14ac:dyDescent="0.25">
      <c r="A3999" t="str">
        <f>"20190303153846901"</f>
        <v>20190303153846901</v>
      </c>
      <c r="B3999" t="str">
        <f>"1551598726892296"</f>
        <v>1551598726892296</v>
      </c>
      <c r="C3999" t="s">
        <v>40</v>
      </c>
      <c r="D3999">
        <v>4.5431429999999997</v>
      </c>
      <c r="E3999">
        <v>0.47854209999999903</v>
      </c>
      <c r="F3999" t="s">
        <v>55</v>
      </c>
      <c r="G3999">
        <v>-452.24579999999997</v>
      </c>
      <c r="H3999" s="1">
        <v>-3.58609999999999E-7</v>
      </c>
      <c r="I3999">
        <v>215.0042</v>
      </c>
      <c r="J3999">
        <v>-482.9479</v>
      </c>
      <c r="K3999">
        <v>1.1238950000000001</v>
      </c>
      <c r="L3999">
        <v>217.6165</v>
      </c>
      <c r="M3999">
        <v>0.88871679999999997</v>
      </c>
      <c r="N3999">
        <v>-1.4071999999999999E-2</v>
      </c>
      <c r="O3999">
        <v>-0.4582407</v>
      </c>
      <c r="P3999">
        <v>0.98733539999999997</v>
      </c>
      <c r="Q3999">
        <v>-7.7368569999999998E-2</v>
      </c>
      <c r="R3999">
        <v>-0.13850309999999999</v>
      </c>
      <c r="S3999">
        <v>2.9935610000000001</v>
      </c>
      <c r="T3999">
        <v>-0.1091791</v>
      </c>
      <c r="U3999">
        <v>-0.25857540000000001</v>
      </c>
      <c r="V3999">
        <v>-0.3289649</v>
      </c>
      <c r="W3999">
        <v>-6.6212729999999997E-2</v>
      </c>
      <c r="X3999">
        <v>0.94201800000000002</v>
      </c>
      <c r="Y3999">
        <v>-0.37966369999999999</v>
      </c>
      <c r="Z3999">
        <v>1.9032819999999999E-2</v>
      </c>
      <c r="AA3999">
        <v>0.9249288</v>
      </c>
      <c r="AB3999">
        <v>13</v>
      </c>
      <c r="AC3999">
        <v>30.702100000000002</v>
      </c>
      <c r="AD3999">
        <v>-1.12389535861</v>
      </c>
      <c r="AE3999">
        <v>-2.6122999999999998</v>
      </c>
      <c r="AF3999">
        <v>-11.7329100476643</v>
      </c>
      <c r="AG3999">
        <v>-1.12389535861</v>
      </c>
      <c r="AH3999">
        <v>28.447506542499799</v>
      </c>
      <c r="AI3999">
        <v>92.091695463152107</v>
      </c>
      <c r="AJ3999">
        <v>112.413244763479</v>
      </c>
      <c r="AK3999">
        <v>30.792611897162299</v>
      </c>
      <c r="AL3999">
        <v>93.796487586648396</v>
      </c>
      <c r="AM3999">
        <v>109.249863790655</v>
      </c>
      <c r="AN3999">
        <v>0.99999997168503096</v>
      </c>
    </row>
    <row r="4000" spans="1:40" x14ac:dyDescent="0.25">
      <c r="A4000" t="str">
        <f>"20190303153846924"</f>
        <v>20190303153846924</v>
      </c>
      <c r="B4000" t="str">
        <f>"1551598726912793"</f>
        <v>1551598726912793</v>
      </c>
      <c r="C4000" t="s">
        <v>40</v>
      </c>
      <c r="D4000">
        <v>4.521382</v>
      </c>
      <c r="E4000">
        <v>0.47844140000000002</v>
      </c>
      <c r="F4000" t="s">
        <v>55</v>
      </c>
      <c r="G4000">
        <v>-454.74299999999999</v>
      </c>
      <c r="H4000" s="1">
        <v>9.5968459999999993E-7</v>
      </c>
      <c r="I4000">
        <v>215.24639999999999</v>
      </c>
      <c r="J4000">
        <v>-482.83089999999999</v>
      </c>
      <c r="K4000">
        <v>1.123853</v>
      </c>
      <c r="L4000">
        <v>217.56710000000001</v>
      </c>
      <c r="M4000">
        <v>0.89238269999999997</v>
      </c>
      <c r="N4000">
        <v>-1.4065350000000001E-2</v>
      </c>
      <c r="O4000">
        <v>-0.45106020000000002</v>
      </c>
      <c r="P4000">
        <v>0.9875659</v>
      </c>
      <c r="Q4000">
        <v>-7.993604E-2</v>
      </c>
      <c r="R4000">
        <v>-0.13536529999999899</v>
      </c>
      <c r="S4000">
        <v>2.9938660000000001</v>
      </c>
      <c r="T4000">
        <v>-0.1192983</v>
      </c>
      <c r="U4000">
        <v>-0.2515869</v>
      </c>
      <c r="V4000">
        <v>-0.32426110000000002</v>
      </c>
      <c r="W4000">
        <v>-6.8709359999999997E-2</v>
      </c>
      <c r="X4000">
        <v>0.943469</v>
      </c>
      <c r="Y4000">
        <v>-0.37426799999999999</v>
      </c>
      <c r="Z4000">
        <v>2.0878620000000001E-2</v>
      </c>
      <c r="AA4000">
        <v>0.92708550000000001</v>
      </c>
      <c r="AB4000">
        <v>13</v>
      </c>
      <c r="AC4000">
        <v>28.087899999999902</v>
      </c>
      <c r="AD4000">
        <v>-1.1238520403154</v>
      </c>
      <c r="AE4000">
        <v>-2.3207000000000102</v>
      </c>
      <c r="AF4000">
        <v>-10.5826022414586</v>
      </c>
      <c r="AG4000">
        <v>-1.1238520403154</v>
      </c>
      <c r="AH4000">
        <v>26.073055636774399</v>
      </c>
      <c r="AI4000">
        <v>92.287148888325902</v>
      </c>
      <c r="AJ4000">
        <v>112.09138252401399</v>
      </c>
      <c r="AK4000">
        <v>28.1612986889415</v>
      </c>
      <c r="AL4000">
        <v>93.939860513219998</v>
      </c>
      <c r="AM4000">
        <v>108.967346297316</v>
      </c>
      <c r="AN4000">
        <v>0.99999999554290897</v>
      </c>
    </row>
    <row r="4001" spans="1:40" x14ac:dyDescent="0.25">
      <c r="A4001" t="str">
        <f>"20190303153846945"</f>
        <v>20190303153846945</v>
      </c>
      <c r="B4001" t="str">
        <f>"1551598726932312"</f>
        <v>1551598726932312</v>
      </c>
      <c r="C4001" t="s">
        <v>40</v>
      </c>
      <c r="D4001">
        <v>4.5653959999999998</v>
      </c>
      <c r="E4001">
        <v>0.47811799999999999</v>
      </c>
      <c r="F4001" t="s">
        <v>55</v>
      </c>
      <c r="G4001">
        <v>-456.17619999999999</v>
      </c>
      <c r="H4001" s="1">
        <v>1.7148519999999901E-6</v>
      </c>
      <c r="I4001">
        <v>215.41739999999999</v>
      </c>
      <c r="J4001">
        <v>-482.72710000000001</v>
      </c>
      <c r="K4001">
        <v>1.1238239999999999</v>
      </c>
      <c r="L4001">
        <v>217.524</v>
      </c>
      <c r="M4001">
        <v>0.89556420000000003</v>
      </c>
      <c r="N4001">
        <v>-1.4058340000000001E-2</v>
      </c>
      <c r="O4001">
        <v>-0.44471040000000001</v>
      </c>
      <c r="P4001">
        <v>0.98774139999999999</v>
      </c>
      <c r="Q4001">
        <v>-8.1083740000000001E-2</v>
      </c>
      <c r="R4001">
        <v>-0.13339000000000001</v>
      </c>
      <c r="S4001">
        <v>2.9944459999999999</v>
      </c>
      <c r="T4001">
        <v>-0.1262556</v>
      </c>
      <c r="U4001">
        <v>-0.24150089999999999</v>
      </c>
      <c r="V4001">
        <v>-0.31940429999999997</v>
      </c>
      <c r="W4001">
        <v>-6.9787760000000004E-2</v>
      </c>
      <c r="X4001">
        <v>0.94504529999999998</v>
      </c>
      <c r="Y4001">
        <v>-0.3707358</v>
      </c>
      <c r="Z4001">
        <v>2.208516E-2</v>
      </c>
      <c r="AA4001">
        <v>0.92847579999999996</v>
      </c>
      <c r="AB4001">
        <v>13</v>
      </c>
      <c r="AC4001">
        <v>26.550899999999999</v>
      </c>
      <c r="AD4001">
        <v>-1.123822285148</v>
      </c>
      <c r="AE4001">
        <v>-2.10660000000001</v>
      </c>
      <c r="AF4001">
        <v>-9.9042120598796899</v>
      </c>
      <c r="AG4001">
        <v>-1.123822285148</v>
      </c>
      <c r="AH4001">
        <v>24.673374607507402</v>
      </c>
      <c r="AI4001">
        <v>92.420429302556499</v>
      </c>
      <c r="AJ4001">
        <v>111.871165126614</v>
      </c>
      <c r="AK4001">
        <v>26.610746092096999</v>
      </c>
      <c r="AL4001">
        <v>94.001796834711996</v>
      </c>
      <c r="AM4001">
        <v>108.67410999278</v>
      </c>
      <c r="AN4001">
        <v>1.00000002867819</v>
      </c>
    </row>
    <row r="4002" spans="1:40" x14ac:dyDescent="0.25">
      <c r="A4002" t="str">
        <f>"20190303153846966"</f>
        <v>20190303153846966</v>
      </c>
      <c r="B4002" t="str">
        <f>"1551598726962568"</f>
        <v>1551598726962568</v>
      </c>
      <c r="C4002" t="s">
        <v>40</v>
      </c>
      <c r="D4002">
        <v>4.5416470000000002</v>
      </c>
      <c r="E4002">
        <v>0.47781430000000003</v>
      </c>
      <c r="F4002" t="s">
        <v>55</v>
      </c>
      <c r="G4002">
        <v>-457.9572</v>
      </c>
      <c r="H4002" s="1">
        <v>2.6546590000000001E-6</v>
      </c>
      <c r="I4002">
        <v>215.5993</v>
      </c>
      <c r="J4002">
        <v>-482.61649999999997</v>
      </c>
      <c r="K4002">
        <v>1.123794</v>
      </c>
      <c r="L4002">
        <v>217.47909999999999</v>
      </c>
      <c r="M4002">
        <v>0.89887510000000004</v>
      </c>
      <c r="N4002">
        <v>-1.405033E-2</v>
      </c>
      <c r="O4002">
        <v>-0.43797999999999998</v>
      </c>
      <c r="P4002">
        <v>0.98792930000000001</v>
      </c>
      <c r="Q4002">
        <v>-8.1399959999999993E-2</v>
      </c>
      <c r="R4002">
        <v>-0.131795</v>
      </c>
      <c r="S4002">
        <v>2.994659</v>
      </c>
      <c r="T4002">
        <v>-0.13586909999999999</v>
      </c>
      <c r="U4002">
        <v>-0.2326965</v>
      </c>
      <c r="V4002">
        <v>-0.31383359999999999</v>
      </c>
      <c r="W4002">
        <v>-7.002746E-2</v>
      </c>
      <c r="X4002">
        <v>0.94689210000000001</v>
      </c>
      <c r="Y4002">
        <v>-0.36639450000000001</v>
      </c>
      <c r="Z4002">
        <v>2.3762579999999998E-2</v>
      </c>
      <c r="AA4002">
        <v>0.93015610000000004</v>
      </c>
      <c r="AB4002">
        <v>13</v>
      </c>
      <c r="AC4002">
        <v>24.659299999999899</v>
      </c>
      <c r="AD4002">
        <v>-1.123791345341</v>
      </c>
      <c r="AE4002">
        <v>-1.8797999999999799</v>
      </c>
      <c r="AF4002">
        <v>-9.0926973941875904</v>
      </c>
      <c r="AG4002">
        <v>-1.123791345341</v>
      </c>
      <c r="AH4002">
        <v>22.943835041205201</v>
      </c>
      <c r="AI4002">
        <v>92.607145688586598</v>
      </c>
      <c r="AJ4002">
        <v>111.618542791057</v>
      </c>
      <c r="AK4002">
        <v>24.705457277455199</v>
      </c>
      <c r="AL4002">
        <v>94.015564384975306</v>
      </c>
      <c r="AM4002">
        <v>108.337026025047</v>
      </c>
      <c r="AN4002">
        <v>1.0000000113427101</v>
      </c>
    </row>
    <row r="4003" spans="1:40" x14ac:dyDescent="0.25">
      <c r="A4003" t="str">
        <f>"20190303153846989"</f>
        <v>20190303153846989</v>
      </c>
      <c r="B4003" t="str">
        <f>"1551598726982088"</f>
        <v>1551598726982088</v>
      </c>
      <c r="C4003" t="s">
        <v>40</v>
      </c>
      <c r="D4003">
        <v>4.5461729999999996</v>
      </c>
      <c r="E4003">
        <v>0.47756720000000003</v>
      </c>
      <c r="F4003" t="s">
        <v>55</v>
      </c>
      <c r="G4003">
        <v>-458.12299999999999</v>
      </c>
      <c r="H4003" s="1">
        <v>2.7413349999999998E-6</v>
      </c>
      <c r="I4003">
        <v>215.63550000000001</v>
      </c>
      <c r="J4003">
        <v>-482.49790000000002</v>
      </c>
      <c r="K4003">
        <v>1.123759</v>
      </c>
      <c r="L4003">
        <v>217.43190000000001</v>
      </c>
      <c r="M4003">
        <v>0.90234150000000002</v>
      </c>
      <c r="N4003">
        <v>-1.404125E-2</v>
      </c>
      <c r="O4003">
        <v>-0.43079329999999999</v>
      </c>
      <c r="P4003">
        <v>0.98811789999999999</v>
      </c>
      <c r="Q4003">
        <v>-8.2113920000000007E-2</v>
      </c>
      <c r="R4003">
        <v>-0.12992500000000001</v>
      </c>
      <c r="S4003">
        <v>2.9952700000000001</v>
      </c>
      <c r="T4003">
        <v>-0.13742699999999999</v>
      </c>
      <c r="U4003">
        <v>-0.2254486</v>
      </c>
      <c r="V4003">
        <v>-0.3080463</v>
      </c>
      <c r="W4003">
        <v>-7.0665329999999998E-2</v>
      </c>
      <c r="X4003">
        <v>0.94874329999999996</v>
      </c>
      <c r="Y4003">
        <v>-0.36121110000000001</v>
      </c>
      <c r="Z4003">
        <v>2.3735900000000001E-2</v>
      </c>
      <c r="AA4003">
        <v>0.93218199999999996</v>
      </c>
      <c r="AB4003">
        <v>13</v>
      </c>
      <c r="AC4003">
        <v>24.374899999999901</v>
      </c>
      <c r="AD4003">
        <v>-1.1237562586650001</v>
      </c>
      <c r="AE4003">
        <v>-1.7964</v>
      </c>
      <c r="AF4003">
        <v>-8.8617181642389298</v>
      </c>
      <c r="AG4003">
        <v>-1.1237562586650001</v>
      </c>
      <c r="AH4003">
        <v>22.722567730143702</v>
      </c>
      <c r="AI4003">
        <v>92.638066585673201</v>
      </c>
      <c r="AJ4003">
        <v>111.30560141189</v>
      </c>
      <c r="AK4003">
        <v>24.415322262920402</v>
      </c>
      <c r="AL4003">
        <v>94.052202535227195</v>
      </c>
      <c r="AM4003">
        <v>107.988031813315</v>
      </c>
      <c r="AN4003">
        <v>0.99999998055129402</v>
      </c>
    </row>
    <row r="4004" spans="1:40" x14ac:dyDescent="0.25">
      <c r="A4004" t="str">
        <f>"20190303153847013"</f>
        <v>20190303153847013</v>
      </c>
      <c r="B4004" t="str">
        <f>"1551598727002584"</f>
        <v>1551598727002584</v>
      </c>
      <c r="C4004" t="s">
        <v>40</v>
      </c>
      <c r="D4004">
        <v>4.5781809999999998</v>
      </c>
      <c r="E4004">
        <v>0.47752169999999999</v>
      </c>
      <c r="F4004" t="s">
        <v>55</v>
      </c>
      <c r="G4004">
        <v>-458.46159999999998</v>
      </c>
      <c r="H4004" s="1">
        <v>2.9193710000000002E-6</v>
      </c>
      <c r="I4004">
        <v>215.684</v>
      </c>
      <c r="J4004">
        <v>-482.38119999999998</v>
      </c>
      <c r="K4004">
        <v>1.1237269999999999</v>
      </c>
      <c r="L4004">
        <v>217.38659999999999</v>
      </c>
      <c r="M4004">
        <v>0.90566869999999999</v>
      </c>
      <c r="N4004">
        <v>-1.403189E-2</v>
      </c>
      <c r="O4004">
        <v>-0.42375429999999997</v>
      </c>
      <c r="P4004">
        <v>0.98840530000000004</v>
      </c>
      <c r="Q4004">
        <v>-8.2317699999999994E-2</v>
      </c>
      <c r="R4004">
        <v>-0.12758910000000001</v>
      </c>
      <c r="S4004">
        <v>2.9957889999999998</v>
      </c>
      <c r="T4004">
        <v>-0.1400602</v>
      </c>
      <c r="U4004">
        <v>-0.21784970000000001</v>
      </c>
      <c r="V4004">
        <v>-0.30289919999999998</v>
      </c>
      <c r="W4004">
        <v>-7.0803099999999994E-2</v>
      </c>
      <c r="X4004">
        <v>0.95038880000000003</v>
      </c>
      <c r="Y4004">
        <v>-0.3562922</v>
      </c>
      <c r="Z4004">
        <v>2.3922300000000001E-2</v>
      </c>
      <c r="AA4004">
        <v>0.93406829999999996</v>
      </c>
      <c r="AB4004">
        <v>13</v>
      </c>
      <c r="AC4004">
        <v>23.919599999999999</v>
      </c>
      <c r="AD4004">
        <v>-1.1237240806290001</v>
      </c>
      <c r="AE4004">
        <v>-1.7025999999999599</v>
      </c>
      <c r="AF4004">
        <v>-8.5760539740411197</v>
      </c>
      <c r="AG4004">
        <v>-1.1237240806290001</v>
      </c>
      <c r="AH4004">
        <v>22.337864534948601</v>
      </c>
      <c r="AI4004">
        <v>92.688837958337501</v>
      </c>
      <c r="AJ4004">
        <v>111.00302052414</v>
      </c>
      <c r="AK4004">
        <v>23.953948517035101</v>
      </c>
      <c r="AL4004">
        <v>94.060116170660507</v>
      </c>
      <c r="AM4004">
        <v>107.677643490946</v>
      </c>
      <c r="AN4004">
        <v>0.99999993774784302</v>
      </c>
    </row>
    <row r="4005" spans="1:40" x14ac:dyDescent="0.25">
      <c r="A4005" t="str">
        <f>"20190303153847036"</f>
        <v>20190303153847036</v>
      </c>
      <c r="B4005" t="str">
        <f>"1551598727032841"</f>
        <v>1551598727032841</v>
      </c>
      <c r="C4005" t="s">
        <v>40</v>
      </c>
      <c r="D4005">
        <v>4.5887510000000002</v>
      </c>
      <c r="E4005">
        <v>0.4729524</v>
      </c>
      <c r="F4005" t="s">
        <v>55</v>
      </c>
      <c r="G4005">
        <v>-458.60079999999999</v>
      </c>
      <c r="H4005" s="1">
        <v>2.9919269999999998E-6</v>
      </c>
      <c r="I4005">
        <v>215.7191</v>
      </c>
      <c r="J4005">
        <v>-482.26350000000002</v>
      </c>
      <c r="K4005">
        <v>1.1237029999999999</v>
      </c>
      <c r="L4005">
        <v>217.34190000000001</v>
      </c>
      <c r="M4005">
        <v>0.908945</v>
      </c>
      <c r="N4005">
        <v>-1.402286E-2</v>
      </c>
      <c r="O4005">
        <v>-0.4166803</v>
      </c>
      <c r="P4005">
        <v>0.98879720000000004</v>
      </c>
      <c r="Q4005">
        <v>-8.2072790000000007E-2</v>
      </c>
      <c r="R4005">
        <v>-0.1246773</v>
      </c>
      <c r="S4005">
        <v>2.9962770000000001</v>
      </c>
      <c r="T4005">
        <v>-0.1415865</v>
      </c>
      <c r="U4005">
        <v>-0.21009829999999999</v>
      </c>
      <c r="V4005">
        <v>-0.29830410000000002</v>
      </c>
      <c r="W4005">
        <v>-7.0501190000000005E-2</v>
      </c>
      <c r="X4005">
        <v>0.95186360000000003</v>
      </c>
      <c r="Y4005">
        <v>-0.35141270000000002</v>
      </c>
      <c r="Z4005">
        <v>2.3877900000000001E-2</v>
      </c>
      <c r="AA4005">
        <v>0.93591610000000003</v>
      </c>
      <c r="AB4005">
        <v>12</v>
      </c>
      <c r="AC4005">
        <v>23.662700000000001</v>
      </c>
      <c r="AD4005">
        <v>-1.123700008073</v>
      </c>
      <c r="AE4005">
        <v>-1.62280000000001</v>
      </c>
      <c r="AF4005">
        <v>-8.3667890770522195</v>
      </c>
      <c r="AG4005">
        <v>-1.123700008073</v>
      </c>
      <c r="AH4005">
        <v>22.136774055155001</v>
      </c>
      <c r="AI4005">
        <v>92.718550747543702</v>
      </c>
      <c r="AJ4005">
        <v>110.704527820618</v>
      </c>
      <c r="AK4005">
        <v>23.691826158762201</v>
      </c>
      <c r="AL4005">
        <v>94.042774277058996</v>
      </c>
      <c r="AM4005">
        <v>107.400445570282</v>
      </c>
      <c r="AN4005">
        <v>1.0000000334365899</v>
      </c>
    </row>
    <row r="4006" spans="1:40" x14ac:dyDescent="0.25">
      <c r="A4006" t="str">
        <f>"20190303153847057"</f>
        <v>20190303153847057</v>
      </c>
      <c r="B4006" t="str">
        <f>"1551598727052360"</f>
        <v>1551598727052360</v>
      </c>
      <c r="C4006" t="s">
        <v>40</v>
      </c>
      <c r="D4006">
        <v>4.6049670000000003</v>
      </c>
      <c r="E4006">
        <v>0.47410200000000002</v>
      </c>
      <c r="F4006" t="s">
        <v>55</v>
      </c>
      <c r="G4006">
        <v>-463.85890000000001</v>
      </c>
      <c r="H4006" s="1">
        <v>4.4124330000000001E-7</v>
      </c>
      <c r="I4006">
        <v>216.3432</v>
      </c>
      <c r="J4006">
        <v>-482.15589999999997</v>
      </c>
      <c r="K4006">
        <v>1.123691</v>
      </c>
      <c r="L4006">
        <v>217.30189999999999</v>
      </c>
      <c r="M4006">
        <v>0.91187359999999995</v>
      </c>
      <c r="N4006">
        <v>-1.4014769999999999E-2</v>
      </c>
      <c r="O4006">
        <v>-0.41023189999999998</v>
      </c>
      <c r="P4006">
        <v>0.98894179999999998</v>
      </c>
      <c r="Q4006">
        <v>-8.2948640000000004E-2</v>
      </c>
      <c r="R4006">
        <v>-0.12293759999999999</v>
      </c>
      <c r="S4006">
        <v>2.998291</v>
      </c>
      <c r="T4006">
        <v>-0.1830618</v>
      </c>
      <c r="U4006">
        <v>-0.16268920000000001</v>
      </c>
      <c r="V4006">
        <v>-0.29320649999999998</v>
      </c>
      <c r="W4006">
        <v>-7.1319510000000003E-2</v>
      </c>
      <c r="X4006">
        <v>0.95338529999999999</v>
      </c>
      <c r="Y4006">
        <v>-0.3590354</v>
      </c>
      <c r="Z4006">
        <v>3.1933690000000001E-2</v>
      </c>
      <c r="AA4006">
        <v>0.93277750000000004</v>
      </c>
      <c r="AB4006">
        <v>12</v>
      </c>
      <c r="AC4006">
        <v>18.296999999999901</v>
      </c>
      <c r="AD4006">
        <v>-1.1236905587567001</v>
      </c>
      <c r="AE4006">
        <v>-0.958699999999993</v>
      </c>
      <c r="AF4006">
        <v>-6.6075975020728803</v>
      </c>
      <c r="AG4006">
        <v>-1.1236905587567001</v>
      </c>
      <c r="AH4006">
        <v>17.015516036859299</v>
      </c>
      <c r="AI4006">
        <v>93.522709965991297</v>
      </c>
      <c r="AJ4006">
        <v>111.22257420023099</v>
      </c>
      <c r="AK4006">
        <v>18.287996369801</v>
      </c>
      <c r="AL4006">
        <v>94.089778909688704</v>
      </c>
      <c r="AM4006">
        <v>107.094887709544</v>
      </c>
      <c r="AN4006">
        <v>1.00000002720248</v>
      </c>
    </row>
    <row r="4007" spans="1:40" x14ac:dyDescent="0.25">
      <c r="A4007" t="str">
        <f>"20190303153847078"</f>
        <v>20190303153847078</v>
      </c>
      <c r="B4007" t="str">
        <f>"1551598727072856"</f>
        <v>1551598727072856</v>
      </c>
      <c r="C4007" t="s">
        <v>40</v>
      </c>
      <c r="D4007">
        <v>4.5763259999999999</v>
      </c>
      <c r="E4007">
        <v>0.47434340000000003</v>
      </c>
      <c r="F4007" t="s">
        <v>55</v>
      </c>
      <c r="G4007">
        <v>-462.4239</v>
      </c>
      <c r="H4007" s="1">
        <v>-3.1628049999999998E-7</v>
      </c>
      <c r="I4007">
        <v>216.2029</v>
      </c>
      <c r="J4007">
        <v>-482.04860000000002</v>
      </c>
      <c r="K4007">
        <v>1.1236660000000001</v>
      </c>
      <c r="L4007">
        <v>217.2627</v>
      </c>
      <c r="M4007">
        <v>0.91473320000000002</v>
      </c>
      <c r="N4007">
        <v>-1.4006680000000001E-2</v>
      </c>
      <c r="O4007">
        <v>-0.40381539999999999</v>
      </c>
      <c r="P4007">
        <v>0.98904639999999999</v>
      </c>
      <c r="Q4007">
        <v>-8.3543539999999999E-2</v>
      </c>
      <c r="R4007">
        <v>-0.1216863</v>
      </c>
      <c r="S4007">
        <v>2.9985050000000002</v>
      </c>
      <c r="T4007">
        <v>-0.17075709999999999</v>
      </c>
      <c r="U4007">
        <v>-0.167007399999999</v>
      </c>
      <c r="V4007">
        <v>-0.28769620000000001</v>
      </c>
      <c r="W4007">
        <v>-7.1853150000000005E-2</v>
      </c>
      <c r="X4007">
        <v>0.9550225</v>
      </c>
      <c r="Y4007">
        <v>-0.35131899999999999</v>
      </c>
      <c r="Z4007">
        <v>2.9047170000000001E-2</v>
      </c>
      <c r="AA4007">
        <v>0.93580509999999995</v>
      </c>
      <c r="AB4007">
        <v>12</v>
      </c>
      <c r="AC4007">
        <v>19.624700000000001</v>
      </c>
      <c r="AD4007">
        <v>-1.1236663162805001</v>
      </c>
      <c r="AE4007">
        <v>-1.0597999999999901</v>
      </c>
      <c r="AF4007">
        <v>-6.9333400684939299</v>
      </c>
      <c r="AG4007">
        <v>-1.1236663162805001</v>
      </c>
      <c r="AH4007">
        <v>18.321241719796902</v>
      </c>
      <c r="AI4007">
        <v>93.282965520427993</v>
      </c>
      <c r="AJ4007">
        <v>110.728235182197</v>
      </c>
      <c r="AK4007">
        <v>19.621460920404299</v>
      </c>
      <c r="AL4007">
        <v>94.120433081454905</v>
      </c>
      <c r="AM4007">
        <v>106.76468971841901</v>
      </c>
      <c r="AN4007">
        <v>0.99999997708280597</v>
      </c>
    </row>
    <row r="4008" spans="1:40" x14ac:dyDescent="0.25">
      <c r="A4008" t="str">
        <f>"20190303153847102"</f>
        <v>20190303153847102</v>
      </c>
      <c r="B4008" t="str">
        <f>"1551598727092376"</f>
        <v>1551598727092376</v>
      </c>
      <c r="C4008" t="s">
        <v>40</v>
      </c>
      <c r="D4008">
        <v>4.576568</v>
      </c>
      <c r="E4008">
        <v>0.47432950000000002</v>
      </c>
      <c r="F4008" t="s">
        <v>55</v>
      </c>
      <c r="G4008">
        <v>-461.78579999999999</v>
      </c>
      <c r="H4008" s="1">
        <v>-6.5329909999999997E-7</v>
      </c>
      <c r="I4008">
        <v>216.14519999999999</v>
      </c>
      <c r="J4008">
        <v>-481.9271</v>
      </c>
      <c r="K4008">
        <v>1.123642</v>
      </c>
      <c r="L4008">
        <v>217.21950000000001</v>
      </c>
      <c r="M4008">
        <v>0.91788970000000003</v>
      </c>
      <c r="N4008">
        <v>-1.39967999999999E-2</v>
      </c>
      <c r="O4008">
        <v>-0.39658919999999998</v>
      </c>
      <c r="P4008">
        <v>0.9893189</v>
      </c>
      <c r="Q4008">
        <v>-8.3527160000000003E-2</v>
      </c>
      <c r="R4008">
        <v>-0.1194645</v>
      </c>
      <c r="S4008">
        <v>2.99884</v>
      </c>
      <c r="T4008">
        <v>-0.1662999</v>
      </c>
      <c r="U4008">
        <v>-0.16539000000000001</v>
      </c>
      <c r="V4008">
        <v>-0.28231650000000003</v>
      </c>
      <c r="W4008">
        <v>-7.1774270000000001E-2</v>
      </c>
      <c r="X4008">
        <v>0.95663260000000006</v>
      </c>
      <c r="Y4008">
        <v>-0.34451130000000002</v>
      </c>
      <c r="Z4008">
        <v>2.7705339999999998E-2</v>
      </c>
      <c r="AA4008">
        <v>0.93837329999999997</v>
      </c>
      <c r="AB4008">
        <v>12</v>
      </c>
      <c r="AC4008">
        <v>20.141300000000001</v>
      </c>
      <c r="AD4008">
        <v>-1.1236426532991</v>
      </c>
      <c r="AE4008">
        <v>-1.07430000000002</v>
      </c>
      <c r="AF4008">
        <v>-6.98075312447755</v>
      </c>
      <c r="AG4008">
        <v>-1.1236426532991</v>
      </c>
      <c r="AH4008">
        <v>18.856874952902</v>
      </c>
      <c r="AI4008">
        <v>93.198458572410601</v>
      </c>
      <c r="AJ4008">
        <v>110.314386720268</v>
      </c>
      <c r="AK4008">
        <v>20.138898182040599</v>
      </c>
      <c r="AL4008">
        <v>94.115901624616399</v>
      </c>
      <c r="AM4008">
        <v>106.442113398543</v>
      </c>
      <c r="AN4008">
        <v>1.0000000416945201</v>
      </c>
    </row>
    <row r="4009" spans="1:40" x14ac:dyDescent="0.25">
      <c r="A4009" t="str">
        <f>"20190303153847124"</f>
        <v>20190303153847124</v>
      </c>
      <c r="B4009" t="str">
        <f>"1551598727112872"</f>
        <v>1551598727112872</v>
      </c>
      <c r="C4009" t="s">
        <v>40</v>
      </c>
      <c r="D4009">
        <v>4.644476</v>
      </c>
      <c r="E4009">
        <v>0.47395389999999998</v>
      </c>
      <c r="F4009" t="s">
        <v>55</v>
      </c>
      <c r="G4009">
        <v>-461.13420000000002</v>
      </c>
      <c r="H4009" s="1">
        <v>-9.9896119999999995E-7</v>
      </c>
      <c r="I4009">
        <v>216.12039999999999</v>
      </c>
      <c r="J4009">
        <v>-481.81450000000001</v>
      </c>
      <c r="K4009">
        <v>1.123613</v>
      </c>
      <c r="L4009">
        <v>217.18029999999999</v>
      </c>
      <c r="M4009">
        <v>0.9207379</v>
      </c>
      <c r="N4009">
        <v>-1.398683E-2</v>
      </c>
      <c r="O4009">
        <v>-0.38993060000000002</v>
      </c>
      <c r="P4009">
        <v>0.9896336</v>
      </c>
      <c r="Q4009">
        <v>-8.3175449999999998E-2</v>
      </c>
      <c r="R4009">
        <v>-0.1170771</v>
      </c>
      <c r="S4009">
        <v>2.9995120000000002</v>
      </c>
      <c r="T4009">
        <v>-0.16209319999999999</v>
      </c>
      <c r="U4009">
        <v>-0.1585541</v>
      </c>
      <c r="V4009">
        <v>-0.27771600000000002</v>
      </c>
      <c r="W4009">
        <v>-7.1366170000000007E-2</v>
      </c>
      <c r="X4009">
        <v>0.95800870000000005</v>
      </c>
      <c r="Y4009">
        <v>-0.33991680000000002</v>
      </c>
      <c r="Z4009">
        <v>2.653287E-2</v>
      </c>
      <c r="AA4009">
        <v>0.94008119999999995</v>
      </c>
      <c r="AB4009">
        <v>12</v>
      </c>
      <c r="AC4009">
        <v>20.6802999999999</v>
      </c>
      <c r="AD4009">
        <v>-1.1236139989612</v>
      </c>
      <c r="AE4009">
        <v>-1.0598999999999901</v>
      </c>
      <c r="AF4009">
        <v>-7.0678759563847002</v>
      </c>
      <c r="AG4009">
        <v>-1.1236139989612</v>
      </c>
      <c r="AH4009">
        <v>19.399211754663</v>
      </c>
      <c r="AI4009">
        <v>93.115027726491903</v>
      </c>
      <c r="AJ4009">
        <v>110.01861983501399</v>
      </c>
      <c r="AK4009">
        <v>20.677204735064102</v>
      </c>
      <c r="AL4009">
        <v>94.092459320756603</v>
      </c>
      <c r="AM4009">
        <v>106.166282226211</v>
      </c>
      <c r="AN4009">
        <v>0.99999998807607904</v>
      </c>
    </row>
    <row r="4010" spans="1:40" x14ac:dyDescent="0.25">
      <c r="A4010" t="str">
        <f>"20190303153847146"</f>
        <v>20190303153847146</v>
      </c>
      <c r="B4010" t="str">
        <f>"1551598727142152"</f>
        <v>1551598727142152</v>
      </c>
      <c r="C4010" t="s">
        <v>40</v>
      </c>
      <c r="D4010">
        <v>4.5771410000000001</v>
      </c>
      <c r="E4010">
        <v>0.4740511</v>
      </c>
      <c r="F4010" t="s">
        <v>55</v>
      </c>
      <c r="G4010">
        <v>-461.51639999999998</v>
      </c>
      <c r="H4010" s="1">
        <v>-7.9800240000000005E-7</v>
      </c>
      <c r="I4010">
        <v>216.1764</v>
      </c>
      <c r="J4010">
        <v>-481.70400000000001</v>
      </c>
      <c r="K4010">
        <v>1.1235759999999999</v>
      </c>
      <c r="L4010">
        <v>217.14250000000001</v>
      </c>
      <c r="M4010">
        <v>0.92346689999999998</v>
      </c>
      <c r="N4010">
        <v>-1.397605E-2</v>
      </c>
      <c r="O4010">
        <v>-0.38342369999999998</v>
      </c>
      <c r="P4010">
        <v>0.99002179999999995</v>
      </c>
      <c r="Q4010">
        <v>-8.2542749999999998E-2</v>
      </c>
      <c r="R4010">
        <v>-0.11420859999999999</v>
      </c>
      <c r="S4010">
        <v>2.999908</v>
      </c>
      <c r="T4010">
        <v>-0.16606209999999999</v>
      </c>
      <c r="U4010">
        <v>-0.1483612</v>
      </c>
      <c r="V4010">
        <v>-0.27376460000000002</v>
      </c>
      <c r="W4010">
        <v>-7.0681450000000007E-2</v>
      </c>
      <c r="X4010">
        <v>0.95919600000000005</v>
      </c>
      <c r="Y4010">
        <v>-0.33643590000000001</v>
      </c>
      <c r="Z4010">
        <v>2.6906309999999999E-2</v>
      </c>
      <c r="AA4010">
        <v>0.94132190000000004</v>
      </c>
      <c r="AB4010">
        <v>12</v>
      </c>
      <c r="AC4010">
        <v>20.1876</v>
      </c>
      <c r="AD4010">
        <v>-1.1235767980023901</v>
      </c>
      <c r="AE4010">
        <v>-0.96610000000001095</v>
      </c>
      <c r="AF4010">
        <v>-6.8278092120481997</v>
      </c>
      <c r="AG4010">
        <v>-1.1235767980023901</v>
      </c>
      <c r="AH4010">
        <v>18.956275256239898</v>
      </c>
      <c r="AI4010">
        <v>93.191791737138601</v>
      </c>
      <c r="AJ4010">
        <v>109.808375007625</v>
      </c>
      <c r="AK4010">
        <v>20.179736743760301</v>
      </c>
      <c r="AL4010">
        <v>94.053128602801294</v>
      </c>
      <c r="AM4010">
        <v>105.92930205376599</v>
      </c>
      <c r="AN4010">
        <v>0.99999994500162903</v>
      </c>
    </row>
    <row r="4011" spans="1:40" x14ac:dyDescent="0.25">
      <c r="A4011" t="str">
        <f>"20190303153847167"</f>
        <v>20190303153847167</v>
      </c>
      <c r="B4011" t="str">
        <f>"1551598727162648"</f>
        <v>1551598727162648</v>
      </c>
      <c r="C4011" t="s">
        <v>40</v>
      </c>
      <c r="D4011">
        <v>4.6021239999999999</v>
      </c>
      <c r="E4011">
        <v>0.48752450000000003</v>
      </c>
      <c r="F4011" t="s">
        <v>55</v>
      </c>
      <c r="G4011">
        <v>-461.41460000000001</v>
      </c>
      <c r="H4011" s="1">
        <v>-8.5298500000000004E-7</v>
      </c>
      <c r="I4011">
        <v>216.19380000000001</v>
      </c>
      <c r="J4011">
        <v>-481.5949</v>
      </c>
      <c r="K4011">
        <v>1.123532</v>
      </c>
      <c r="L4011">
        <v>217.1062</v>
      </c>
      <c r="M4011">
        <v>0.92608570000000001</v>
      </c>
      <c r="N4011">
        <v>-1.3964509999999999E-2</v>
      </c>
      <c r="O4011">
        <v>-0.37705499999999997</v>
      </c>
      <c r="P4011">
        <v>0.99020770000000002</v>
      </c>
      <c r="Q4011">
        <v>-8.2989149999999998E-2</v>
      </c>
      <c r="R4011">
        <v>-0.1122581</v>
      </c>
      <c r="S4011">
        <v>3.0001829999999998</v>
      </c>
      <c r="T4011">
        <v>-0.1661426</v>
      </c>
      <c r="U4011">
        <v>-0.14028929999999901</v>
      </c>
      <c r="V4011">
        <v>-0.26904020000000001</v>
      </c>
      <c r="W4011">
        <v>-7.1068880000000001E-2</v>
      </c>
      <c r="X4011">
        <v>0.96050329999999995</v>
      </c>
      <c r="Y4011">
        <v>-0.33249109999999998</v>
      </c>
      <c r="Z4011">
        <v>2.6554629999999999E-2</v>
      </c>
      <c r="AA4011">
        <v>0.94273249999999997</v>
      </c>
      <c r="AB4011">
        <v>12</v>
      </c>
      <c r="AC4011">
        <v>20.1802999999999</v>
      </c>
      <c r="AD4011">
        <v>-1.1235328529849999</v>
      </c>
      <c r="AE4011">
        <v>-0.91239999999999</v>
      </c>
      <c r="AF4011">
        <v>-6.7439200326714204</v>
      </c>
      <c r="AG4011">
        <v>-1.1235328529849999</v>
      </c>
      <c r="AH4011">
        <v>18.975867269489601</v>
      </c>
      <c r="AI4011">
        <v>93.193219221595697</v>
      </c>
      <c r="AJ4011">
        <v>109.56493640328701</v>
      </c>
      <c r="AK4011">
        <v>20.169936095785999</v>
      </c>
      <c r="AL4011">
        <v>94.075382439554303</v>
      </c>
      <c r="AM4011">
        <v>105.64773777409501</v>
      </c>
      <c r="AN4011">
        <v>1.0000000021156901</v>
      </c>
    </row>
    <row r="4012" spans="1:40" x14ac:dyDescent="0.25">
      <c r="A4012" t="str">
        <f>"20190303153847190"</f>
        <v>20190303153847190</v>
      </c>
      <c r="B4012" t="str">
        <f>"1551598727182168"</f>
        <v>1551598727182168</v>
      </c>
      <c r="C4012" t="s">
        <v>40</v>
      </c>
      <c r="D4012">
        <v>4.6178939999999997</v>
      </c>
      <c r="E4012">
        <v>0.48861979999999999</v>
      </c>
      <c r="F4012" t="s">
        <v>55</v>
      </c>
      <c r="G4012">
        <v>-452.34070000000003</v>
      </c>
      <c r="H4012" s="1">
        <v>-2.9607199999999998E-7</v>
      </c>
      <c r="I4012">
        <v>214.7277</v>
      </c>
      <c r="J4012">
        <v>-481.47239999999999</v>
      </c>
      <c r="K4012">
        <v>1.123483</v>
      </c>
      <c r="L4012">
        <v>217.06620000000001</v>
      </c>
      <c r="M4012">
        <v>0.92894390000000004</v>
      </c>
      <c r="N4012">
        <v>-1.3949329999999999E-2</v>
      </c>
      <c r="O4012">
        <v>-0.36995749999999999</v>
      </c>
      <c r="P4012">
        <v>0.99046769999999995</v>
      </c>
      <c r="Q4012">
        <v>-8.3192100000000005E-2</v>
      </c>
      <c r="R4012">
        <v>-0.1097848</v>
      </c>
      <c r="S4012">
        <v>2.9924930000000001</v>
      </c>
      <c r="T4012">
        <v>-0.11492910000000001</v>
      </c>
      <c r="U4012">
        <v>-0.2433014</v>
      </c>
      <c r="V4012">
        <v>-0.2640921</v>
      </c>
      <c r="W4012">
        <v>-7.1210140000000005E-2</v>
      </c>
      <c r="X4012">
        <v>0.96186510000000003</v>
      </c>
      <c r="Y4012">
        <v>-0.29310350000000002</v>
      </c>
      <c r="Z4012">
        <v>1.6266679999999999E-2</v>
      </c>
      <c r="AA4012">
        <v>0.95594230000000002</v>
      </c>
      <c r="AB4012">
        <v>12</v>
      </c>
      <c r="AC4012">
        <v>29.131699999999899</v>
      </c>
      <c r="AD4012">
        <v>-1.123483296072</v>
      </c>
      <c r="AE4012">
        <v>-2.33850000000001</v>
      </c>
      <c r="AF4012">
        <v>-8.5932942712655596</v>
      </c>
      <c r="AG4012">
        <v>-1.123483296072</v>
      </c>
      <c r="AH4012">
        <v>27.8883663222643</v>
      </c>
      <c r="AI4012">
        <v>92.204730702518106</v>
      </c>
      <c r="AJ4012">
        <v>107.125732657261</v>
      </c>
      <c r="AK4012">
        <v>29.203902089856498</v>
      </c>
      <c r="AL4012">
        <v>94.083496624774199</v>
      </c>
      <c r="AM4012">
        <v>105.352944889204</v>
      </c>
      <c r="AN4012">
        <v>0.99999999595961897</v>
      </c>
    </row>
    <row r="4013" spans="1:40" x14ac:dyDescent="0.25">
      <c r="A4013" t="str">
        <f>"20190303153847213"</f>
        <v>20190303153847213</v>
      </c>
      <c r="B4013" t="str">
        <f>"1551598727202665"</f>
        <v>1551598727202665</v>
      </c>
      <c r="C4013" t="s">
        <v>40</v>
      </c>
      <c r="D4013">
        <v>4.6063369999999999</v>
      </c>
      <c r="E4013">
        <v>0.4878943</v>
      </c>
      <c r="F4013" t="s">
        <v>55</v>
      </c>
      <c r="G4013">
        <v>-451.84649999999999</v>
      </c>
      <c r="H4013" s="1">
        <v>-5.5539019999999898E-7</v>
      </c>
      <c r="I4013">
        <v>214.6446</v>
      </c>
      <c r="J4013">
        <v>-481.35950000000003</v>
      </c>
      <c r="K4013">
        <v>1.123443</v>
      </c>
      <c r="L4013">
        <v>217.03020000000001</v>
      </c>
      <c r="M4013">
        <v>0.93150029999999995</v>
      </c>
      <c r="N4013">
        <v>-1.3919890000000001E-2</v>
      </c>
      <c r="O4013">
        <v>-0.36347420000000003</v>
      </c>
      <c r="P4013">
        <v>0.99064540000000001</v>
      </c>
      <c r="Q4013">
        <v>-8.3176819999999999E-2</v>
      </c>
      <c r="R4013">
        <v>-0.108181399999999</v>
      </c>
      <c r="S4013">
        <v>2.9922490000000002</v>
      </c>
      <c r="T4013">
        <v>-0.1134732</v>
      </c>
      <c r="U4013">
        <v>-0.2445831</v>
      </c>
      <c r="V4013">
        <v>-0.25895390000000001</v>
      </c>
      <c r="W4013">
        <v>-7.115051E-2</v>
      </c>
      <c r="X4013">
        <v>0.9632655</v>
      </c>
      <c r="Y4013">
        <v>-0.28603779999999901</v>
      </c>
      <c r="Z4013">
        <v>1.5711039999999999E-2</v>
      </c>
      <c r="AA4013">
        <v>0.95808950000000004</v>
      </c>
      <c r="AB4013">
        <v>12</v>
      </c>
      <c r="AC4013">
        <v>29.513000000000002</v>
      </c>
      <c r="AD4013">
        <v>-1.1234435553902</v>
      </c>
      <c r="AE4013">
        <v>-2.3856000000000099</v>
      </c>
      <c r="AF4013">
        <v>-8.4936231907983206</v>
      </c>
      <c r="AG4013">
        <v>-1.1234435553902</v>
      </c>
      <c r="AH4013">
        <v>28.3204486387754</v>
      </c>
      <c r="AI4013">
        <v>92.176016750861095</v>
      </c>
      <c r="AJ4013">
        <v>106.69458276672999</v>
      </c>
      <c r="AK4013">
        <v>29.588030881268999</v>
      </c>
      <c r="AL4013">
        <v>94.080071493473298</v>
      </c>
      <c r="AM4013">
        <v>105.047033160539</v>
      </c>
      <c r="AN4013">
        <v>0.99999997044435895</v>
      </c>
    </row>
    <row r="4014" spans="1:40" x14ac:dyDescent="0.25">
      <c r="A4014" t="str">
        <f>"20190303153847236"</f>
        <v>20190303153847236</v>
      </c>
      <c r="B4014" t="str">
        <f>"1551598727232921"</f>
        <v>1551598727232921</v>
      </c>
      <c r="C4014" t="s">
        <v>40</v>
      </c>
      <c r="D4014">
        <v>4.6406530000000004</v>
      </c>
      <c r="E4014">
        <v>0.48882629999999999</v>
      </c>
      <c r="F4014" t="s">
        <v>55</v>
      </c>
      <c r="G4014">
        <v>-453.13200000000001</v>
      </c>
      <c r="H4014" s="1">
        <v>1.2079880000000001E-7</v>
      </c>
      <c r="I4014">
        <v>214.82480000000001</v>
      </c>
      <c r="J4014">
        <v>-481.24369999999999</v>
      </c>
      <c r="K4014">
        <v>1.123402</v>
      </c>
      <c r="L4014">
        <v>216.9941</v>
      </c>
      <c r="M4014">
        <v>0.93404909999999997</v>
      </c>
      <c r="N4014">
        <v>-1.386304E-2</v>
      </c>
      <c r="O4014">
        <v>-0.35687540000000001</v>
      </c>
      <c r="P4014">
        <v>0.99104740000000002</v>
      </c>
      <c r="Q4014">
        <v>-8.2021200000000002E-2</v>
      </c>
      <c r="R4014">
        <v>-0.1053448</v>
      </c>
      <c r="S4014">
        <v>2.9927980000000001</v>
      </c>
      <c r="T4014">
        <v>-0.1191121</v>
      </c>
      <c r="U4014">
        <v>-0.2338257</v>
      </c>
      <c r="V4014">
        <v>-0.25494480000000003</v>
      </c>
      <c r="W4014">
        <v>-6.9993940000000004E-2</v>
      </c>
      <c r="X4014">
        <v>0.96441900000000003</v>
      </c>
      <c r="Y4014">
        <v>-0.28265859999999998</v>
      </c>
      <c r="Z4014">
        <v>1.6423139999999999E-2</v>
      </c>
      <c r="AA4014">
        <v>0.95908000000000004</v>
      </c>
      <c r="AB4014">
        <v>12</v>
      </c>
      <c r="AC4014">
        <v>28.111699999999999</v>
      </c>
      <c r="AD4014">
        <v>-1.1234018792011999</v>
      </c>
      <c r="AE4014">
        <v>-2.16929999999999</v>
      </c>
      <c r="AF4014">
        <v>-7.9942201434499403</v>
      </c>
      <c r="AG4014">
        <v>-1.1234018792011999</v>
      </c>
      <c r="AH4014">
        <v>26.991626810859302</v>
      </c>
      <c r="AI4014">
        <v>92.285282827361698</v>
      </c>
      <c r="AJ4014">
        <v>106.497923647435</v>
      </c>
      <c r="AK4014">
        <v>28.1729924818226</v>
      </c>
      <c r="AL4014">
        <v>94.013639131304004</v>
      </c>
      <c r="AM4014">
        <v>104.807458322166</v>
      </c>
      <c r="AN4014">
        <v>1.0000000051223801</v>
      </c>
    </row>
    <row r="4015" spans="1:40" x14ac:dyDescent="0.25">
      <c r="A4015" t="str">
        <f>"20190303153847256"</f>
        <v>20190303153847256</v>
      </c>
      <c r="B4015" t="str">
        <f>"1551598727252441"</f>
        <v>1551598727252441</v>
      </c>
      <c r="C4015" t="s">
        <v>40</v>
      </c>
      <c r="D4015">
        <v>4.6456269999999904</v>
      </c>
      <c r="E4015">
        <v>0.48875950000000001</v>
      </c>
      <c r="F4015" t="s">
        <v>55</v>
      </c>
      <c r="G4015">
        <v>-451.49979999999999</v>
      </c>
      <c r="H4015" s="1">
        <v>-7.414873E-7</v>
      </c>
      <c r="I4015">
        <v>214.68090000000001</v>
      </c>
      <c r="J4015">
        <v>-481.142</v>
      </c>
      <c r="K4015">
        <v>1.1233660000000001</v>
      </c>
      <c r="L4015">
        <v>216.96299999999999</v>
      </c>
      <c r="M4015">
        <v>0.93623670000000003</v>
      </c>
      <c r="N4015">
        <v>-1.3768300000000001E-2</v>
      </c>
      <c r="O4015">
        <v>-0.35110049999999998</v>
      </c>
      <c r="P4015">
        <v>0.9913594</v>
      </c>
      <c r="Q4015">
        <v>-8.0741469999999996E-2</v>
      </c>
      <c r="R4015">
        <v>-0.1033815</v>
      </c>
      <c r="S4015">
        <v>2.9930110000000001</v>
      </c>
      <c r="T4015">
        <v>-0.11304350000000001</v>
      </c>
      <c r="U4015">
        <v>-0.2327728</v>
      </c>
      <c r="V4015">
        <v>-0.25094680000000003</v>
      </c>
      <c r="W4015">
        <v>-6.8760420000000003E-2</v>
      </c>
      <c r="X4015">
        <v>0.96555570000000002</v>
      </c>
      <c r="Y4015">
        <v>-0.27711980000000003</v>
      </c>
      <c r="Z4015">
        <v>1.5186969999999999E-2</v>
      </c>
      <c r="AA4015">
        <v>0.9607154</v>
      </c>
      <c r="AB4015">
        <v>12</v>
      </c>
      <c r="AC4015">
        <v>29.642199999999999</v>
      </c>
      <c r="AD4015">
        <v>-1.1233667414873001</v>
      </c>
      <c r="AE4015">
        <v>-2.2820999999999798</v>
      </c>
      <c r="AF4015">
        <v>-8.2597953111696594</v>
      </c>
      <c r="AG4015">
        <v>-1.1233667414873001</v>
      </c>
      <c r="AH4015">
        <v>28.515351515065699</v>
      </c>
      <c r="AI4015">
        <v>92.167020220025506</v>
      </c>
      <c r="AJ4015">
        <v>106.15425957764</v>
      </c>
      <c r="AK4015">
        <v>29.708777212232398</v>
      </c>
      <c r="AL4015">
        <v>93.942792752918706</v>
      </c>
      <c r="AM4015">
        <v>104.568786671287</v>
      </c>
      <c r="AN4015">
        <v>1.0000000507956499</v>
      </c>
    </row>
    <row r="4016" spans="1:40" x14ac:dyDescent="0.25">
      <c r="A4016" t="str">
        <f>"20190303153847279"</f>
        <v>20190303153847279</v>
      </c>
      <c r="B4016" t="str">
        <f>"1551598727272937"</f>
        <v>1551598727272937</v>
      </c>
      <c r="C4016" t="s">
        <v>40</v>
      </c>
      <c r="D4016">
        <v>4.6313069999999996</v>
      </c>
      <c r="E4016">
        <v>0.488923</v>
      </c>
      <c r="F4016" t="s">
        <v>55</v>
      </c>
      <c r="G4016">
        <v>-450.52760000000001</v>
      </c>
      <c r="H4016" s="1">
        <v>-1.2575790000000001E-6</v>
      </c>
      <c r="I4016">
        <v>214.6514</v>
      </c>
      <c r="J4016">
        <v>-481.02460000000002</v>
      </c>
      <c r="K4016">
        <v>1.1233200000000001</v>
      </c>
      <c r="L4016">
        <v>216.928</v>
      </c>
      <c r="M4016">
        <v>0.93869389999999997</v>
      </c>
      <c r="N4016">
        <v>-1.358258E-2</v>
      </c>
      <c r="O4016">
        <v>-0.34448420000000002</v>
      </c>
      <c r="P4016">
        <v>0.99165619999999999</v>
      </c>
      <c r="Q4016">
        <v>-7.9476530000000004E-2</v>
      </c>
      <c r="R4016">
        <v>-0.1014979</v>
      </c>
      <c r="S4016">
        <v>2.9936219999999998</v>
      </c>
      <c r="T4016">
        <v>-0.1098481</v>
      </c>
      <c r="U4016">
        <v>-0.22604369999999999</v>
      </c>
      <c r="V4016">
        <v>-0.24600900000000001</v>
      </c>
      <c r="W4016">
        <v>-6.762841E-2</v>
      </c>
      <c r="X4016">
        <v>0.96690540000000003</v>
      </c>
      <c r="Y4016">
        <v>-0.27252310000000002</v>
      </c>
      <c r="Z4016">
        <v>1.446335E-2</v>
      </c>
      <c r="AA4016">
        <v>0.96204049999999997</v>
      </c>
      <c r="AB4016">
        <v>12</v>
      </c>
      <c r="AC4016">
        <v>30.497</v>
      </c>
      <c r="AD4016">
        <v>-1.1233212575789999</v>
      </c>
      <c r="AE4016">
        <v>-2.2766000000000002</v>
      </c>
      <c r="AF4016">
        <v>-8.3581988234869193</v>
      </c>
      <c r="AG4016">
        <v>-1.1233212575789999</v>
      </c>
      <c r="AH4016">
        <v>29.3746800158229</v>
      </c>
      <c r="AI4016">
        <v>92.106457009972004</v>
      </c>
      <c r="AJ4016">
        <v>105.88304181469</v>
      </c>
      <c r="AK4016">
        <v>30.5613017434246</v>
      </c>
      <c r="AL4016">
        <v>93.877782052799105</v>
      </c>
      <c r="AM4016">
        <v>104.274841801684</v>
      </c>
      <c r="AN4016">
        <v>1.0000000412346399</v>
      </c>
    </row>
    <row r="4017" spans="1:40" x14ac:dyDescent="0.25">
      <c r="A4017" t="str">
        <f>"20190303153847303"</f>
        <v>20190303153847303</v>
      </c>
      <c r="B4017" t="str">
        <f>"1551598727292457"</f>
        <v>1551598727292457</v>
      </c>
      <c r="C4017" t="s">
        <v>40</v>
      </c>
      <c r="D4017">
        <v>4.6165969999999996</v>
      </c>
      <c r="E4017">
        <v>0.48915120000000001</v>
      </c>
      <c r="F4017" t="s">
        <v>55</v>
      </c>
      <c r="G4017">
        <v>-449.67500000000001</v>
      </c>
      <c r="H4017" s="1">
        <v>3.611926E-6</v>
      </c>
      <c r="I4017">
        <v>214.6121</v>
      </c>
      <c r="J4017">
        <v>-480.90210000000002</v>
      </c>
      <c r="K4017">
        <v>1.1232679999999999</v>
      </c>
      <c r="L4017">
        <v>216.89230000000001</v>
      </c>
      <c r="M4017">
        <v>0.94118979999999997</v>
      </c>
      <c r="N4017">
        <v>-1.329748E-2</v>
      </c>
      <c r="O4017">
        <v>-0.337617</v>
      </c>
      <c r="P4017">
        <v>0.99171690000000001</v>
      </c>
      <c r="Q4017">
        <v>-7.9883540000000003E-2</v>
      </c>
      <c r="R4017">
        <v>-0.10058010000000001</v>
      </c>
      <c r="S4017">
        <v>2.994049</v>
      </c>
      <c r="T4017">
        <v>-0.1072824</v>
      </c>
      <c r="U4017">
        <v>-0.22117609999999999</v>
      </c>
      <c r="V4017">
        <v>-0.23982519999999999</v>
      </c>
      <c r="W4017">
        <v>-6.8260130000000002E-2</v>
      </c>
      <c r="X4017">
        <v>0.96841339999999998</v>
      </c>
      <c r="Y4017">
        <v>-0.26707560000000002</v>
      </c>
      <c r="Z4017">
        <v>1.384843E-2</v>
      </c>
      <c r="AA4017">
        <v>0.96357610000000005</v>
      </c>
      <c r="AB4017">
        <v>12</v>
      </c>
      <c r="AC4017">
        <v>31.2271</v>
      </c>
      <c r="AD4017">
        <v>-1.1232643880740001</v>
      </c>
      <c r="AE4017">
        <v>-2.2801999999999998</v>
      </c>
      <c r="AF4017">
        <v>-8.3866461084238004</v>
      </c>
      <c r="AG4017">
        <v>-1.1232643880740001</v>
      </c>
      <c r="AH4017">
        <v>30.124353454282101</v>
      </c>
      <c r="AI4017">
        <v>92.057264519223096</v>
      </c>
      <c r="AJ4017">
        <v>105.557248697584</v>
      </c>
      <c r="AK4017">
        <v>31.290161822399899</v>
      </c>
      <c r="AL4017">
        <v>93.914060772242095</v>
      </c>
      <c r="AM4017">
        <v>103.909316190146</v>
      </c>
      <c r="AN4017">
        <v>1.0000000426011</v>
      </c>
    </row>
    <row r="4018" spans="1:40" x14ac:dyDescent="0.25">
      <c r="A4018" t="str">
        <f>"20190303153847327"</f>
        <v>20190303153847327</v>
      </c>
      <c r="B4018" t="str">
        <f>"1551598727322712"</f>
        <v>1551598727322712</v>
      </c>
      <c r="C4018" t="s">
        <v>40</v>
      </c>
      <c r="D4018">
        <v>4.6572550000000001</v>
      </c>
      <c r="E4018">
        <v>0.48910330000000002</v>
      </c>
      <c r="F4018" t="s">
        <v>55</v>
      </c>
      <c r="G4018">
        <v>-449.92790000000002</v>
      </c>
      <c r="H4018" s="1">
        <v>3.746415E-6</v>
      </c>
      <c r="I4018">
        <v>214.61429999999999</v>
      </c>
      <c r="J4018">
        <v>-480.77629999999999</v>
      </c>
      <c r="K4018">
        <v>1.1232009999999999</v>
      </c>
      <c r="L4018">
        <v>216.85640000000001</v>
      </c>
      <c r="M4018">
        <v>0.94367939999999995</v>
      </c>
      <c r="N4018">
        <v>-1.291576E-2</v>
      </c>
      <c r="O4018">
        <v>-0.33060909999999999</v>
      </c>
      <c r="P4018">
        <v>0.99148119999999995</v>
      </c>
      <c r="Q4018">
        <v>-8.0346790000000001E-2</v>
      </c>
      <c r="R4018">
        <v>-0.102515</v>
      </c>
      <c r="S4018">
        <v>2.9939269999999998</v>
      </c>
      <c r="T4018">
        <v>-0.10857319999999999</v>
      </c>
      <c r="U4018">
        <v>-0.2201843</v>
      </c>
      <c r="V4018">
        <v>-0.23071449999999999</v>
      </c>
      <c r="W4018">
        <v>-6.9018159999999995E-2</v>
      </c>
      <c r="X4018">
        <v>0.97057059999999995</v>
      </c>
      <c r="Y4018">
        <v>-0.26021480000000002</v>
      </c>
      <c r="Z4018">
        <v>1.3815569999999999E-2</v>
      </c>
      <c r="AA4018">
        <v>0.96545190000000003</v>
      </c>
      <c r="AB4018">
        <v>12</v>
      </c>
      <c r="AC4018">
        <v>30.848399999999899</v>
      </c>
      <c r="AD4018">
        <v>-1.1231972535850001</v>
      </c>
      <c r="AE4018">
        <v>-2.2421000000000202</v>
      </c>
      <c r="AF4018">
        <v>-8.0729663016040298</v>
      </c>
      <c r="AG4018">
        <v>-1.1231972535850001</v>
      </c>
      <c r="AH4018">
        <v>29.8154297002602</v>
      </c>
      <c r="AI4018">
        <v>92.082490309582795</v>
      </c>
      <c r="AJ4018">
        <v>105.150405077248</v>
      </c>
      <c r="AK4018">
        <v>30.909451712841101</v>
      </c>
      <c r="AL4018">
        <v>93.957595580661803</v>
      </c>
      <c r="AM4018">
        <v>103.37161666183</v>
      </c>
      <c r="AN4018">
        <v>0.99999998825219705</v>
      </c>
    </row>
    <row r="4019" spans="1:40" x14ac:dyDescent="0.25">
      <c r="A4019" t="str">
        <f>"20190303153847357"</f>
        <v>20190303153847357</v>
      </c>
      <c r="B4019" t="str">
        <f>"1551598727352969"</f>
        <v>1551598727352969</v>
      </c>
      <c r="C4019" t="s">
        <v>40</v>
      </c>
      <c r="D4019">
        <v>4.6220369999999997</v>
      </c>
      <c r="E4019">
        <v>0.4893595</v>
      </c>
      <c r="F4019" t="s">
        <v>55</v>
      </c>
      <c r="G4019">
        <v>-451.36410000000001</v>
      </c>
      <c r="H4019" s="1">
        <v>-8.1203209999999999E-7</v>
      </c>
      <c r="I4019">
        <v>214.6429</v>
      </c>
      <c r="J4019">
        <v>-480.6223</v>
      </c>
      <c r="K4019">
        <v>1.1230990000000001</v>
      </c>
      <c r="L4019">
        <v>216.81379999999999</v>
      </c>
      <c r="M4019">
        <v>0.94662120000000005</v>
      </c>
      <c r="N4019">
        <v>-1.233508E-2</v>
      </c>
      <c r="O4019">
        <v>-0.32211210000000001</v>
      </c>
      <c r="P4019">
        <v>0.99149129999999996</v>
      </c>
      <c r="Q4019">
        <v>-7.9513130000000001E-2</v>
      </c>
      <c r="R4019">
        <v>-0.1030652</v>
      </c>
      <c r="S4019">
        <v>2.9932249999999998</v>
      </c>
      <c r="T4019">
        <v>-0.1143063</v>
      </c>
      <c r="U4019">
        <v>-0.22526550000000001</v>
      </c>
      <c r="V4019">
        <v>-0.22147049999999999</v>
      </c>
      <c r="W4019">
        <v>-6.867094E-2</v>
      </c>
      <c r="X4019">
        <v>0.97274620000000001</v>
      </c>
      <c r="Y4019">
        <v>-0.2498455</v>
      </c>
      <c r="Z4019">
        <v>1.434682E-2</v>
      </c>
      <c r="AA4019">
        <v>0.96817940000000002</v>
      </c>
      <c r="AB4019">
        <v>12</v>
      </c>
      <c r="AC4019">
        <v>29.258199999999899</v>
      </c>
      <c r="AD4019">
        <v>-1.1230998120321001</v>
      </c>
      <c r="AE4019">
        <v>-2.1708999999999801</v>
      </c>
      <c r="AF4019">
        <v>-7.3591766228168796</v>
      </c>
      <c r="AG4019">
        <v>-1.1230998120321001</v>
      </c>
      <c r="AH4019">
        <v>28.356311845277599</v>
      </c>
      <c r="AI4019">
        <v>92.195454880575198</v>
      </c>
      <c r="AJ4019">
        <v>104.54873009929899</v>
      </c>
      <c r="AK4019">
        <v>29.3172177264527</v>
      </c>
      <c r="AL4019">
        <v>93.937653881518997</v>
      </c>
      <c r="AM4019">
        <v>102.82620913736299</v>
      </c>
      <c r="AN4019">
        <v>1.00000002499258</v>
      </c>
    </row>
    <row r="4020" spans="1:40" x14ac:dyDescent="0.25">
      <c r="A4020" t="str">
        <f>"20190303153847380"</f>
        <v>20190303153847380</v>
      </c>
      <c r="B4020" t="str">
        <f>"1551598727372488"</f>
        <v>1551598727372488</v>
      </c>
      <c r="C4020" t="s">
        <v>40</v>
      </c>
      <c r="D4020">
        <v>4.6204799999999997</v>
      </c>
      <c r="E4020">
        <v>0.4894674</v>
      </c>
      <c r="F4020" t="s">
        <v>55</v>
      </c>
      <c r="G4020">
        <v>-450.49220000000003</v>
      </c>
      <c r="H4020" s="1">
        <v>-1.2703449999999999E-6</v>
      </c>
      <c r="I4020">
        <v>214.51300000000001</v>
      </c>
      <c r="J4020">
        <v>-480.50020000000001</v>
      </c>
      <c r="K4020">
        <v>1.1230199999999999</v>
      </c>
      <c r="L4020">
        <v>216.78100000000001</v>
      </c>
      <c r="M4020">
        <v>0.94886680000000001</v>
      </c>
      <c r="N4020">
        <v>-1.183E-2</v>
      </c>
      <c r="O4020">
        <v>-0.31545499999999999</v>
      </c>
      <c r="P4020">
        <v>0.99162790000000001</v>
      </c>
      <c r="Q4020">
        <v>-7.7928620000000004E-2</v>
      </c>
      <c r="R4020">
        <v>-0.1029635</v>
      </c>
      <c r="S4020">
        <v>2.9930110000000001</v>
      </c>
      <c r="T4020">
        <v>-0.11156480000000001</v>
      </c>
      <c r="U4020">
        <v>-0.2285614</v>
      </c>
      <c r="V4020">
        <v>-0.2147829</v>
      </c>
      <c r="W4020">
        <v>-6.7522699999999894E-2</v>
      </c>
      <c r="X4020">
        <v>0.97432490000000005</v>
      </c>
      <c r="Y4020">
        <v>-0.2419934</v>
      </c>
      <c r="Z4020">
        <v>1.3699050000000001E-2</v>
      </c>
      <c r="AA4020">
        <v>0.97018119999999997</v>
      </c>
      <c r="AB4020">
        <v>12</v>
      </c>
      <c r="AC4020">
        <v>30.0079999999999</v>
      </c>
      <c r="AD4020">
        <v>-1.123021270345</v>
      </c>
      <c r="AE4020">
        <v>-2.26799999999997</v>
      </c>
      <c r="AF4020">
        <v>-7.3044832943484597</v>
      </c>
      <c r="AG4020">
        <v>-1.123021270345</v>
      </c>
      <c r="AH4020">
        <v>29.1504942917582</v>
      </c>
      <c r="AI4020">
        <v>92.140124406417399</v>
      </c>
      <c r="AJ4020">
        <v>104.067427985069</v>
      </c>
      <c r="AK4020">
        <v>30.072711391307799</v>
      </c>
      <c r="AL4020">
        <v>93.871711561037401</v>
      </c>
      <c r="AM4020">
        <v>102.431615093083</v>
      </c>
      <c r="AN4020">
        <v>1.00000000995385</v>
      </c>
    </row>
    <row r="4021" spans="1:40" x14ac:dyDescent="0.25">
      <c r="A4021" t="str">
        <f>"20190303153847403"</f>
        <v>20190303153847403</v>
      </c>
      <c r="B4021" t="str">
        <f>"1551598727392985"</f>
        <v>1551598727392985</v>
      </c>
      <c r="C4021" t="s">
        <v>40</v>
      </c>
      <c r="D4021">
        <v>4.6757739999999997</v>
      </c>
      <c r="E4021">
        <v>0.48940020000000001</v>
      </c>
      <c r="F4021" t="s">
        <v>55</v>
      </c>
      <c r="G4021">
        <v>-449.07139999999998</v>
      </c>
      <c r="H4021" s="1">
        <v>3.3008549999999998E-6</v>
      </c>
      <c r="I4021">
        <v>214.38</v>
      </c>
      <c r="J4021">
        <v>-480.37430000000001</v>
      </c>
      <c r="K4021">
        <v>1.122949</v>
      </c>
      <c r="L4021">
        <v>216.74789999999999</v>
      </c>
      <c r="M4021">
        <v>0.95110729999999999</v>
      </c>
      <c r="N4021">
        <v>-1.130921E-2</v>
      </c>
      <c r="O4021">
        <v>-0.30865340000000002</v>
      </c>
      <c r="P4021">
        <v>0.99166290000000001</v>
      </c>
      <c r="Q4021">
        <v>-7.6650129999999997E-2</v>
      </c>
      <c r="R4021">
        <v>-0.1035842</v>
      </c>
      <c r="S4021">
        <v>2.9932249999999998</v>
      </c>
      <c r="T4021">
        <v>-0.1069539</v>
      </c>
      <c r="U4021">
        <v>-0.22866819999999999</v>
      </c>
      <c r="V4021">
        <v>-0.2072301</v>
      </c>
      <c r="W4021">
        <v>-6.6694160000000002E-2</v>
      </c>
      <c r="X4021">
        <v>0.9760162</v>
      </c>
      <c r="Y4021">
        <v>-0.23504240000000001</v>
      </c>
      <c r="Z4021">
        <v>1.282384E-2</v>
      </c>
      <c r="AA4021">
        <v>0.97190049999999995</v>
      </c>
      <c r="AB4021">
        <v>12</v>
      </c>
      <c r="AC4021">
        <v>31.302900000000001</v>
      </c>
      <c r="AD4021">
        <v>-1.122945699145</v>
      </c>
      <c r="AE4021">
        <v>-2.3678999999999899</v>
      </c>
      <c r="AF4021">
        <v>-7.4006239817185699</v>
      </c>
      <c r="AG4021">
        <v>-1.122945699145</v>
      </c>
      <c r="AH4021">
        <v>30.466244958638999</v>
      </c>
      <c r="AI4021">
        <v>92.051292368515305</v>
      </c>
      <c r="AJ4021">
        <v>103.65340042155999</v>
      </c>
      <c r="AK4021">
        <v>31.372317801555699</v>
      </c>
      <c r="AL4021">
        <v>93.824132403074401</v>
      </c>
      <c r="AM4021">
        <v>101.987162757473</v>
      </c>
      <c r="AN4021">
        <v>1.00000002399327</v>
      </c>
    </row>
    <row r="4022" spans="1:40" x14ac:dyDescent="0.25">
      <c r="A4022" t="str">
        <f>"20190303153847425"</f>
        <v>20190303153847425</v>
      </c>
      <c r="B4022" t="str">
        <f>"1551598727412508"</f>
        <v>1551598727412508</v>
      </c>
      <c r="C4022" t="s">
        <v>40</v>
      </c>
      <c r="D4022">
        <v>4.6104620000000001</v>
      </c>
      <c r="E4022">
        <v>0.4894249</v>
      </c>
      <c r="F4022" t="s">
        <v>55</v>
      </c>
      <c r="G4022">
        <v>-448.49590000000001</v>
      </c>
      <c r="H4022" s="1">
        <v>2.9981839999999999E-6</v>
      </c>
      <c r="I4022">
        <v>214.29839999999999</v>
      </c>
      <c r="J4022">
        <v>-480.25889999999998</v>
      </c>
      <c r="K4022">
        <v>1.122897</v>
      </c>
      <c r="L4022">
        <v>216.7183</v>
      </c>
      <c r="M4022">
        <v>0.95308669999999995</v>
      </c>
      <c r="N4022">
        <v>-1.0858720000000001E-2</v>
      </c>
      <c r="O4022">
        <v>-0.30250300000000002</v>
      </c>
      <c r="P4022">
        <v>0.99152779999999996</v>
      </c>
      <c r="Q4022">
        <v>-7.6791680000000001E-2</v>
      </c>
      <c r="R4022">
        <v>-0.1047651</v>
      </c>
      <c r="S4022">
        <v>2.993042</v>
      </c>
      <c r="T4022">
        <v>-0.1054326</v>
      </c>
      <c r="U4022">
        <v>-0.2299805</v>
      </c>
      <c r="V4022">
        <v>-0.1997543</v>
      </c>
      <c r="W4022">
        <v>-6.7222160000000003E-2</v>
      </c>
      <c r="X4022">
        <v>0.9775374</v>
      </c>
      <c r="Y4022">
        <v>-0.2283424</v>
      </c>
      <c r="Z4022">
        <v>1.240715E-2</v>
      </c>
      <c r="AA4022">
        <v>0.97350179999999997</v>
      </c>
      <c r="AB4022">
        <v>13</v>
      </c>
      <c r="AC4022">
        <v>31.762999999999899</v>
      </c>
      <c r="AD4022">
        <v>-1.1228940018160001</v>
      </c>
      <c r="AE4022">
        <v>-2.4199000000000099</v>
      </c>
      <c r="AF4022">
        <v>-7.2933954059126398</v>
      </c>
      <c r="AG4022">
        <v>-1.1228940018160001</v>
      </c>
      <c r="AH4022">
        <v>30.968264062528199</v>
      </c>
      <c r="AI4022">
        <v>92.021353198718003</v>
      </c>
      <c r="AJ4022">
        <v>103.252343988037</v>
      </c>
      <c r="AK4022">
        <v>31.835324508048899</v>
      </c>
      <c r="AL4022">
        <v>93.854452774625898</v>
      </c>
      <c r="AM4022">
        <v>101.54907375845301</v>
      </c>
      <c r="AN4022">
        <v>0.99999998378115695</v>
      </c>
    </row>
    <row r="4023" spans="1:40" x14ac:dyDescent="0.25">
      <c r="A4023" t="str">
        <f>"20190303153847446"</f>
        <v>20190303153847446</v>
      </c>
      <c r="B4023" t="str">
        <f>"1551598727442761"</f>
        <v>1551598727442761</v>
      </c>
      <c r="C4023" t="s">
        <v>40</v>
      </c>
      <c r="D4023">
        <v>4.6409010000000004</v>
      </c>
      <c r="E4023">
        <v>0.4894636</v>
      </c>
      <c r="F4023" t="s">
        <v>55</v>
      </c>
      <c r="G4023">
        <v>-448.49290000000002</v>
      </c>
      <c r="H4023" s="1">
        <v>2.9993069999999998E-6</v>
      </c>
      <c r="I4023">
        <v>214.23699999999999</v>
      </c>
      <c r="J4023">
        <v>-480.14139999999998</v>
      </c>
      <c r="K4023">
        <v>1.122844</v>
      </c>
      <c r="L4023">
        <v>216.68889999999999</v>
      </c>
      <c r="M4023">
        <v>0.9550305</v>
      </c>
      <c r="N4023">
        <v>-1.043499E-2</v>
      </c>
      <c r="O4023">
        <v>-0.29632399999999998</v>
      </c>
      <c r="P4023">
        <v>0.99134619999999996</v>
      </c>
      <c r="Q4023">
        <v>-7.8653799999999996E-2</v>
      </c>
      <c r="R4023">
        <v>-0.1051021</v>
      </c>
      <c r="S4023">
        <v>2.992737</v>
      </c>
      <c r="T4023">
        <v>-0.1057903</v>
      </c>
      <c r="U4023">
        <v>-0.23376459999999999</v>
      </c>
      <c r="V4023">
        <v>-0.19303400000000001</v>
      </c>
      <c r="W4023">
        <v>-6.9453810000000005E-2</v>
      </c>
      <c r="X4023">
        <v>0.97873089999999996</v>
      </c>
      <c r="Y4023">
        <v>-0.2208022</v>
      </c>
      <c r="Z4023">
        <v>1.222384E-2</v>
      </c>
      <c r="AA4023">
        <v>0.97524200000000005</v>
      </c>
      <c r="AB4023">
        <v>13</v>
      </c>
      <c r="AC4023">
        <v>31.648499999999899</v>
      </c>
      <c r="AD4023">
        <v>-1.1228410006930001</v>
      </c>
      <c r="AE4023">
        <v>-2.45189999999999</v>
      </c>
      <c r="AF4023">
        <v>-7.0281600328952596</v>
      </c>
      <c r="AG4023">
        <v>-1.1228410006930001</v>
      </c>
      <c r="AH4023">
        <v>30.914842926785202</v>
      </c>
      <c r="AI4023">
        <v>92.028382714069295</v>
      </c>
      <c r="AJ4023">
        <v>102.80789526455899</v>
      </c>
      <c r="AK4023">
        <v>31.723545176235</v>
      </c>
      <c r="AL4023">
        <v>93.982616220895494</v>
      </c>
      <c r="AM4023">
        <v>101.15718467048301</v>
      </c>
      <c r="AN4023">
        <v>1.0000000657471599</v>
      </c>
    </row>
    <row r="4024" spans="1:40" x14ac:dyDescent="0.25">
      <c r="A4024" t="str">
        <f>"20190303153847492"</f>
        <v>20190303153847492</v>
      </c>
      <c r="B4024" t="str">
        <f>"1551598727482777"</f>
        <v>1551598727482777</v>
      </c>
      <c r="C4024" t="s">
        <v>40</v>
      </c>
      <c r="D4024">
        <v>4.3535839999999997</v>
      </c>
      <c r="E4024">
        <v>0.4894636</v>
      </c>
      <c r="F4024" t="s">
        <v>55</v>
      </c>
      <c r="G4024">
        <v>-450.04730000000001</v>
      </c>
      <c r="H4024" s="1">
        <v>-1.4987280000000001E-6</v>
      </c>
      <c r="I4024">
        <v>214.3212</v>
      </c>
      <c r="J4024">
        <v>-479.89069999999998</v>
      </c>
      <c r="K4024">
        <v>1.1227579999999999</v>
      </c>
      <c r="L4024">
        <v>216.6284</v>
      </c>
      <c r="M4024">
        <v>0.95895929999999996</v>
      </c>
      <c r="N4024">
        <v>-9.5684029999999996E-3</v>
      </c>
      <c r="O4024">
        <v>-0.28338259999999899</v>
      </c>
      <c r="P4024">
        <v>0.99103580000000002</v>
      </c>
      <c r="Q4024">
        <v>-8.4253729999999999E-2</v>
      </c>
      <c r="R4024">
        <v>-0.10368049999999999</v>
      </c>
      <c r="S4024">
        <v>2.9923709999999999</v>
      </c>
      <c r="T4024">
        <v>-0.1116489</v>
      </c>
      <c r="U4024">
        <v>-0.2354279</v>
      </c>
      <c r="V4024">
        <v>-0.1810261</v>
      </c>
      <c r="W4024">
        <v>-7.5834869999999999E-2</v>
      </c>
      <c r="X4024">
        <v>0.98055020000000004</v>
      </c>
      <c r="Y4024">
        <v>-0.2070224</v>
      </c>
      <c r="Z4024">
        <v>1.2518369999999999E-2</v>
      </c>
      <c r="AA4024">
        <v>0.97825609999999996</v>
      </c>
      <c r="AB4024">
        <v>13</v>
      </c>
      <c r="AC4024">
        <v>29.8433999999999</v>
      </c>
      <c r="AD4024">
        <v>-1.1227594987279901</v>
      </c>
      <c r="AE4024">
        <v>-2.3071999999999901</v>
      </c>
      <c r="AF4024">
        <v>-6.2361005814008603</v>
      </c>
      <c r="AG4024">
        <v>-1.1227594987279901</v>
      </c>
      <c r="AH4024">
        <v>29.2326337860984</v>
      </c>
      <c r="AI4024">
        <v>92.151164179991994</v>
      </c>
      <c r="AJ4024">
        <v>102.04221028129101</v>
      </c>
      <c r="AK4024">
        <v>29.911476349813899</v>
      </c>
      <c r="AL4024">
        <v>94.349193298041598</v>
      </c>
      <c r="AM4024">
        <v>100.459990896755</v>
      </c>
      <c r="AN4024">
        <v>1.0000000355545799</v>
      </c>
    </row>
    <row r="4025" spans="1:40" x14ac:dyDescent="0.25">
      <c r="A4025" t="str">
        <f>"20190303153847626"</f>
        <v>20190303153847626</v>
      </c>
      <c r="B4025" t="str">
        <f>"1551598727622345"</f>
        <v>1551598727622345</v>
      </c>
      <c r="C4025" t="s">
        <v>40</v>
      </c>
      <c r="D4025">
        <v>4.6724329999999998</v>
      </c>
      <c r="E4025">
        <v>0.4893729</v>
      </c>
      <c r="F4025" t="s">
        <v>55</v>
      </c>
      <c r="G4025">
        <v>-453.7355</v>
      </c>
      <c r="H4025" s="1">
        <v>4.5142349999999999E-7</v>
      </c>
      <c r="I4025">
        <v>214.60749999999999</v>
      </c>
      <c r="J4025">
        <v>-479.11540000000002</v>
      </c>
      <c r="K4025">
        <v>1.1226879999999999</v>
      </c>
      <c r="L4025">
        <v>216.4614</v>
      </c>
      <c r="M4025">
        <v>0.9696707</v>
      </c>
      <c r="N4025">
        <v>-6.4250310000000003E-3</v>
      </c>
      <c r="O4025">
        <v>-0.24433070000000001</v>
      </c>
      <c r="P4025">
        <v>0.99233150000000003</v>
      </c>
      <c r="Q4025">
        <v>-7.8708139999999996E-2</v>
      </c>
      <c r="R4025">
        <v>-9.5307799999999998E-2</v>
      </c>
      <c r="S4025">
        <v>2.992035</v>
      </c>
      <c r="T4025">
        <v>-0.128438</v>
      </c>
      <c r="U4025">
        <v>-0.2311859</v>
      </c>
      <c r="V4025">
        <v>-0.14960479999999901</v>
      </c>
      <c r="W4025">
        <v>-7.3277179999999997E-2</v>
      </c>
      <c r="X4025">
        <v>0.98602679999999998</v>
      </c>
      <c r="Y4025">
        <v>-0.16857339999999901</v>
      </c>
      <c r="Z4025">
        <v>1.293385E-2</v>
      </c>
      <c r="AA4025">
        <v>0.98560420000000004</v>
      </c>
      <c r="AB4025">
        <v>14</v>
      </c>
      <c r="AC4025">
        <v>25.379899999999999</v>
      </c>
      <c r="AD4025">
        <v>-1.1226875485765</v>
      </c>
      <c r="AE4025">
        <v>-1.8539000000000101</v>
      </c>
      <c r="AF4025">
        <v>-4.3949527956591998</v>
      </c>
      <c r="AG4025">
        <v>-1.1226875485765</v>
      </c>
      <c r="AH4025">
        <v>25.014938441377499</v>
      </c>
      <c r="AI4025">
        <v>92.531033708843296</v>
      </c>
      <c r="AJ4025">
        <v>99.964774226686501</v>
      </c>
      <c r="AK4025">
        <v>25.422886984638598</v>
      </c>
      <c r="AL4025">
        <v>94.202239589347002</v>
      </c>
      <c r="AM4025">
        <v>98.627394823639605</v>
      </c>
      <c r="AN4025">
        <v>0.99999999580501597</v>
      </c>
    </row>
    <row r="4026" spans="1:40" x14ac:dyDescent="0.25">
      <c r="A4026" t="str">
        <f>"20190303153847647"</f>
        <v>20190303153847647</v>
      </c>
      <c r="B4026" t="str">
        <f>"1551598727642841"</f>
        <v>1551598727642841</v>
      </c>
      <c r="C4026" t="s">
        <v>40</v>
      </c>
      <c r="D4026">
        <v>4.6919370000000002</v>
      </c>
      <c r="E4026">
        <v>0.48883789999999999</v>
      </c>
      <c r="F4026" t="s">
        <v>55</v>
      </c>
      <c r="G4026">
        <v>-448.25130000000001</v>
      </c>
      <c r="H4026" s="1">
        <v>2.8658839999999999E-6</v>
      </c>
      <c r="I4026">
        <v>214.3484</v>
      </c>
      <c r="J4026">
        <v>-478.98180000000002</v>
      </c>
      <c r="K4026">
        <v>1.1226879999999999</v>
      </c>
      <c r="L4026">
        <v>216.43559999999999</v>
      </c>
      <c r="M4026">
        <v>0.97130110000000003</v>
      </c>
      <c r="N4026">
        <v>-5.9217590000000004E-3</v>
      </c>
      <c r="O4026">
        <v>-0.23777970000000001</v>
      </c>
      <c r="P4026">
        <v>0.99273210000000001</v>
      </c>
      <c r="Q4026">
        <v>-7.7577170000000001E-2</v>
      </c>
      <c r="R4026">
        <v>-9.2005199999999995E-2</v>
      </c>
      <c r="S4026">
        <v>2.9948730000000001</v>
      </c>
      <c r="T4026">
        <v>-0.1089392</v>
      </c>
      <c r="U4026">
        <v>-0.2050323</v>
      </c>
      <c r="V4026">
        <v>-0.14624579999999901</v>
      </c>
      <c r="W4026">
        <v>-7.2636190000000003E-2</v>
      </c>
      <c r="X4026">
        <v>0.98657799999999995</v>
      </c>
      <c r="Y4026">
        <v>-0.17064949999999901</v>
      </c>
      <c r="Z4026">
        <v>1.074197E-2</v>
      </c>
      <c r="AA4026">
        <v>0.98527319999999996</v>
      </c>
      <c r="AB4026">
        <v>14</v>
      </c>
      <c r="AC4026">
        <v>30.730499999999999</v>
      </c>
      <c r="AD4026">
        <v>-1.122685134116</v>
      </c>
      <c r="AE4026">
        <v>-2.08719999999999</v>
      </c>
      <c r="AF4026">
        <v>-5.2728765008536502</v>
      </c>
      <c r="AG4026">
        <v>-1.122685134116</v>
      </c>
      <c r="AH4026">
        <v>30.305131222157499</v>
      </c>
      <c r="AI4026">
        <v>92.090236562283394</v>
      </c>
      <c r="AJ4026">
        <v>99.870245861435706</v>
      </c>
      <c r="AK4026">
        <v>30.780913353827</v>
      </c>
      <c r="AL4026">
        <v>94.165415416605896</v>
      </c>
      <c r="AM4026">
        <v>98.431861640906106</v>
      </c>
      <c r="AN4026">
        <v>1.00000000009967</v>
      </c>
    </row>
    <row r="4027" spans="1:40" x14ac:dyDescent="0.25">
      <c r="A4027" t="str">
        <f>"20190303153847670"</f>
        <v>20190303153847670</v>
      </c>
      <c r="B4027" t="str">
        <f>"1551598727662361"</f>
        <v>1551598727662361</v>
      </c>
      <c r="C4027" t="s">
        <v>40</v>
      </c>
      <c r="D4027">
        <v>4.7852240000000004</v>
      </c>
      <c r="E4027">
        <v>0.4881027</v>
      </c>
      <c r="F4027" t="s">
        <v>55</v>
      </c>
      <c r="G4027">
        <v>-447.0822</v>
      </c>
      <c r="H4027" s="1">
        <v>2.2411329999999999E-6</v>
      </c>
      <c r="I4027">
        <v>214.4068</v>
      </c>
      <c r="J4027">
        <v>-478.84359999999998</v>
      </c>
      <c r="K4027">
        <v>1.122689</v>
      </c>
      <c r="L4027">
        <v>216.40979999999999</v>
      </c>
      <c r="M4027">
        <v>0.97291850000000002</v>
      </c>
      <c r="N4027">
        <v>-5.4497570000000004E-3</v>
      </c>
      <c r="O4027">
        <v>-0.23108480000000001</v>
      </c>
      <c r="P4027">
        <v>0.99315430000000005</v>
      </c>
      <c r="Q4027">
        <v>-7.6406829999999995E-2</v>
      </c>
      <c r="R4027">
        <v>-8.8355619999999996E-2</v>
      </c>
      <c r="S4027">
        <v>2.9960629999999999</v>
      </c>
      <c r="T4027">
        <v>-0.10544439999999999</v>
      </c>
      <c r="U4027">
        <v>-0.19055179999999999</v>
      </c>
      <c r="V4027">
        <v>-0.14309479999999999</v>
      </c>
      <c r="W4027">
        <v>-7.1925799999999998E-2</v>
      </c>
      <c r="X4027">
        <v>0.98709199999999997</v>
      </c>
      <c r="Y4027">
        <v>-0.16864889999999999</v>
      </c>
      <c r="Z4027">
        <v>1.020688E-2</v>
      </c>
      <c r="AA4027">
        <v>0.98562340000000004</v>
      </c>
      <c r="AB4027">
        <v>14</v>
      </c>
      <c r="AC4027">
        <v>31.761399999999899</v>
      </c>
      <c r="AD4027">
        <v>-1.122686758867</v>
      </c>
      <c r="AE4027">
        <v>-2.0029999999999801</v>
      </c>
      <c r="AF4027">
        <v>-5.3841996537823098</v>
      </c>
      <c r="AG4027">
        <v>-1.122686758867</v>
      </c>
      <c r="AH4027">
        <v>31.325593049858199</v>
      </c>
      <c r="AI4027">
        <v>92.0229229045501</v>
      </c>
      <c r="AJ4027">
        <v>99.752626311561698</v>
      </c>
      <c r="AK4027">
        <v>31.804760829090501</v>
      </c>
      <c r="AL4027">
        <v>94.124606201521004</v>
      </c>
      <c r="AM4027">
        <v>98.248480478804495</v>
      </c>
      <c r="AN4027">
        <v>1.00000002947833</v>
      </c>
    </row>
    <row r="4028" spans="1:40" x14ac:dyDescent="0.25">
      <c r="A4028" t="str">
        <f>"20190303153847692"</f>
        <v>20190303153847692</v>
      </c>
      <c r="B4028" t="str">
        <f>"1551598727682857"</f>
        <v>1551598727682857</v>
      </c>
      <c r="C4028" t="s">
        <v>40</v>
      </c>
      <c r="D4028">
        <v>4.734146</v>
      </c>
      <c r="E4028">
        <v>0.4873034</v>
      </c>
      <c r="F4028" t="s">
        <v>55</v>
      </c>
      <c r="G4028">
        <v>-446.39019999999999</v>
      </c>
      <c r="H4028" s="1">
        <v>1.8675300000000001E-6</v>
      </c>
      <c r="I4028">
        <v>214.53</v>
      </c>
      <c r="J4028">
        <v>-478.70069999999998</v>
      </c>
      <c r="K4028">
        <v>1.1226940000000001</v>
      </c>
      <c r="L4028">
        <v>216.38419999999999</v>
      </c>
      <c r="M4028">
        <v>0.97452079999999996</v>
      </c>
      <c r="N4028">
        <v>-5.0173500000000003E-3</v>
      </c>
      <c r="O4028">
        <v>-0.2242412</v>
      </c>
      <c r="P4028">
        <v>0.99369810000000003</v>
      </c>
      <c r="Q4028">
        <v>-7.5262780000000001E-2</v>
      </c>
      <c r="R4028">
        <v>-8.3065840000000002E-2</v>
      </c>
      <c r="S4028">
        <v>2.9972530000000002</v>
      </c>
      <c r="T4028">
        <v>-0.1036863</v>
      </c>
      <c r="U4028">
        <v>-0.1736145</v>
      </c>
      <c r="V4028">
        <v>-0.14142950000000001</v>
      </c>
      <c r="W4028">
        <v>-7.1212730000000002E-2</v>
      </c>
      <c r="X4028">
        <v>0.98738360000000003</v>
      </c>
      <c r="Y4028">
        <v>-0.16730449999999999</v>
      </c>
      <c r="Z4028">
        <v>9.863854E-3</v>
      </c>
      <c r="AA4028">
        <v>0.98585590000000001</v>
      </c>
      <c r="AB4028">
        <v>14</v>
      </c>
      <c r="AC4028">
        <v>32.310499999999898</v>
      </c>
      <c r="AD4028">
        <v>-1.1226921324700001</v>
      </c>
      <c r="AE4028">
        <v>-1.8541999999999901</v>
      </c>
      <c r="AF4028">
        <v>-5.4319203493464796</v>
      </c>
      <c r="AG4028">
        <v>-1.1226921324700001</v>
      </c>
      <c r="AH4028">
        <v>31.8650965330494</v>
      </c>
      <c r="AI4028">
        <v>91.989177143101003</v>
      </c>
      <c r="AJ4028">
        <v>99.674001591720497</v>
      </c>
      <c r="AK4028">
        <v>32.344251009514998</v>
      </c>
      <c r="AL4028">
        <v>94.083645525323305</v>
      </c>
      <c r="AM4028">
        <v>98.151409407783902</v>
      </c>
      <c r="AN4028">
        <v>0.99999996496663002</v>
      </c>
    </row>
    <row r="4029" spans="1:40" x14ac:dyDescent="0.25">
      <c r="A4029" t="str">
        <f>"20190303153847717"</f>
        <v>20190303153847717</v>
      </c>
      <c r="B4029" t="str">
        <f>"1551598727712137"</f>
        <v>1551598727712137</v>
      </c>
      <c r="C4029" t="s">
        <v>40</v>
      </c>
      <c r="D4029">
        <v>4.7990950000000003</v>
      </c>
      <c r="E4029">
        <v>0.48624709999999899</v>
      </c>
      <c r="F4029" t="s">
        <v>55</v>
      </c>
      <c r="G4029">
        <v>-446.38440000000003</v>
      </c>
      <c r="H4029" s="1">
        <v>1.8546499999999999E-6</v>
      </c>
      <c r="I4029">
        <v>214.7535</v>
      </c>
      <c r="J4029">
        <v>-478.54880000000003</v>
      </c>
      <c r="K4029">
        <v>1.1227100000000001</v>
      </c>
      <c r="L4029">
        <v>216.358</v>
      </c>
      <c r="M4029">
        <v>0.97615090000000004</v>
      </c>
      <c r="N4029">
        <v>-4.613018E-3</v>
      </c>
      <c r="O4029">
        <v>-0.2170445</v>
      </c>
      <c r="P4029">
        <v>0.99435839999999998</v>
      </c>
      <c r="Q4029">
        <v>-7.4330069999999998E-2</v>
      </c>
      <c r="R4029">
        <v>-7.5674610000000003E-2</v>
      </c>
      <c r="S4029">
        <v>2.9985659999999998</v>
      </c>
      <c r="T4029">
        <v>-0.1041723</v>
      </c>
      <c r="U4029">
        <v>-0.1513062</v>
      </c>
      <c r="V4029">
        <v>-0.14149500000000001</v>
      </c>
      <c r="W4029">
        <v>-7.0697490000000002E-2</v>
      </c>
      <c r="X4029">
        <v>0.98741129999999999</v>
      </c>
      <c r="Y4029">
        <v>-0.16736699999999999</v>
      </c>
      <c r="Z4029">
        <v>9.7606659999999994E-3</v>
      </c>
      <c r="AA4029">
        <v>0.98584629999999995</v>
      </c>
      <c r="AB4029">
        <v>15</v>
      </c>
      <c r="AC4029">
        <v>32.164400000000001</v>
      </c>
      <c r="AD4029">
        <v>-1.1227081453500001</v>
      </c>
      <c r="AE4029">
        <v>-1.6045</v>
      </c>
      <c r="AF4029">
        <v>-5.4083560620415296</v>
      </c>
      <c r="AG4029">
        <v>-1.1227081453500001</v>
      </c>
      <c r="AH4029">
        <v>31.707355195486599</v>
      </c>
      <c r="AI4029">
        <v>91.999058895587197</v>
      </c>
      <c r="AJ4029">
        <v>99.679840639153895</v>
      </c>
      <c r="AK4029">
        <v>32.184890280474903</v>
      </c>
      <c r="AL4029">
        <v>94.0540496162875</v>
      </c>
      <c r="AM4029">
        <v>98.154908086630499</v>
      </c>
      <c r="AN4029">
        <v>1.0000000227424899</v>
      </c>
    </row>
    <row r="4030" spans="1:40" x14ac:dyDescent="0.25">
      <c r="A4030" t="str">
        <f>"20190303153847738"</f>
        <v>20190303153847738</v>
      </c>
      <c r="B4030" t="str">
        <f>"1551598727732931"</f>
        <v>1551598727732931</v>
      </c>
      <c r="C4030" t="s">
        <v>40</v>
      </c>
      <c r="D4030">
        <v>4.7147569999999996</v>
      </c>
      <c r="E4030">
        <v>0.4856818</v>
      </c>
      <c r="F4030" t="s">
        <v>55</v>
      </c>
      <c r="G4030">
        <v>-446.96269999999998</v>
      </c>
      <c r="H4030" s="1">
        <v>2.1475880000000001E-6</v>
      </c>
      <c r="I4030">
        <v>215.09229999999999</v>
      </c>
      <c r="J4030">
        <v>-478.40289999999999</v>
      </c>
      <c r="K4030">
        <v>1.1227339999999999</v>
      </c>
      <c r="L4030">
        <v>216.3338</v>
      </c>
      <c r="M4030">
        <v>0.97765150000000001</v>
      </c>
      <c r="N4030">
        <v>-4.2745170000000002E-3</v>
      </c>
      <c r="O4030">
        <v>-0.21018919999999999</v>
      </c>
      <c r="P4030">
        <v>0.99500809999999995</v>
      </c>
      <c r="Q4030">
        <v>-7.4501800000000007E-2</v>
      </c>
      <c r="R4030">
        <v>-6.6399459999999993E-2</v>
      </c>
      <c r="S4030">
        <v>2.999908</v>
      </c>
      <c r="T4030">
        <v>-0.1066298</v>
      </c>
      <c r="U4030">
        <v>-0.1202087</v>
      </c>
      <c r="V4030">
        <v>-0.1437571</v>
      </c>
      <c r="W4030">
        <v>-7.1237739999999994E-2</v>
      </c>
      <c r="X4030">
        <v>0.98704559999999997</v>
      </c>
      <c r="Y4030">
        <v>-0.17065729999999901</v>
      </c>
      <c r="Z4030">
        <v>9.9076000000000008E-3</v>
      </c>
      <c r="AA4030">
        <v>0.98528059999999995</v>
      </c>
      <c r="AB4030">
        <v>15</v>
      </c>
      <c r="AC4030">
        <v>31.440200000000001</v>
      </c>
      <c r="AD4030">
        <v>-1.122731852412</v>
      </c>
      <c r="AE4030">
        <v>-1.2415</v>
      </c>
      <c r="AF4030">
        <v>-5.3878249134716096</v>
      </c>
      <c r="AG4030">
        <v>-1.122731852412</v>
      </c>
      <c r="AH4030">
        <v>30.959370051816101</v>
      </c>
      <c r="AI4030">
        <v>92.046175896793997</v>
      </c>
      <c r="AJ4030">
        <v>99.872249665413406</v>
      </c>
      <c r="AK4030">
        <v>31.444741660823599</v>
      </c>
      <c r="AL4030">
        <v>94.085082129286803</v>
      </c>
      <c r="AM4030">
        <v>98.286512958693905</v>
      </c>
      <c r="AN4030">
        <v>0.99999996794003798</v>
      </c>
    </row>
    <row r="4031" spans="1:40" x14ac:dyDescent="0.25">
      <c r="A4031" t="str">
        <f>"20190303153847759"</f>
        <v>20190303153847759</v>
      </c>
      <c r="B4031" t="str">
        <f>"1551598727752452"</f>
        <v>1551598727752452</v>
      </c>
      <c r="C4031" t="s">
        <v>40</v>
      </c>
      <c r="D4031">
        <v>4.7067750000000004</v>
      </c>
      <c r="E4031">
        <v>0.4853037</v>
      </c>
      <c r="F4031" t="s">
        <v>55</v>
      </c>
      <c r="G4031">
        <v>-447.88720000000001</v>
      </c>
      <c r="H4031" s="1">
        <v>2.624376E-6</v>
      </c>
      <c r="I4031">
        <v>215.4402</v>
      </c>
      <c r="J4031">
        <v>-478.26830000000001</v>
      </c>
      <c r="K4031">
        <v>1.1227549999999999</v>
      </c>
      <c r="L4031">
        <v>216.31229999999999</v>
      </c>
      <c r="M4031">
        <v>0.97898130000000005</v>
      </c>
      <c r="N4031">
        <v>-4.0024049999999997E-3</v>
      </c>
      <c r="O4031">
        <v>-0.20391139999999999</v>
      </c>
      <c r="P4031">
        <v>0.9955001</v>
      </c>
      <c r="Q4031">
        <v>-7.5383809999999996E-2</v>
      </c>
      <c r="R4031">
        <v>-5.7420529999999997E-2</v>
      </c>
      <c r="S4031">
        <v>3.0008849999999998</v>
      </c>
      <c r="T4031">
        <v>-0.1104084</v>
      </c>
      <c r="U4031">
        <v>-8.7875369999999994E-2</v>
      </c>
      <c r="V4031">
        <v>-0.1462965</v>
      </c>
      <c r="W4031">
        <v>-7.2423600000000005E-2</v>
      </c>
      <c r="X4031">
        <v>0.98658610000000002</v>
      </c>
      <c r="Y4031">
        <v>-0.17493139999999999</v>
      </c>
      <c r="Z4031">
        <v>1.019863E-2</v>
      </c>
      <c r="AA4031">
        <v>0.98452779999999995</v>
      </c>
      <c r="AB4031">
        <v>15</v>
      </c>
      <c r="AC4031">
        <v>30.3811</v>
      </c>
      <c r="AD4031">
        <v>-1.1227523756240001</v>
      </c>
      <c r="AE4031">
        <v>-0.872099999999989</v>
      </c>
      <c r="AF4031">
        <v>-5.3340463153931497</v>
      </c>
      <c r="AG4031">
        <v>-1.1227523756240001</v>
      </c>
      <c r="AH4031">
        <v>29.879821801114101</v>
      </c>
      <c r="AI4031">
        <v>92.1184515211595</v>
      </c>
      <c r="AJ4031">
        <v>100.12163119633099</v>
      </c>
      <c r="AK4031">
        <v>30.372954644849099</v>
      </c>
      <c r="AL4031">
        <v>94.153202790926201</v>
      </c>
      <c r="AM4031">
        <v>98.434674472557404</v>
      </c>
      <c r="AN4031">
        <v>0.99999998823120995</v>
      </c>
    </row>
    <row r="4032" spans="1:40" x14ac:dyDescent="0.25">
      <c r="A4032" t="str">
        <f>"20190303153847782"</f>
        <v>20190303153847782</v>
      </c>
      <c r="B4032" t="str">
        <f>"1551598727772947"</f>
        <v>1551598727772947</v>
      </c>
      <c r="C4032" t="s">
        <v>40</v>
      </c>
      <c r="D4032">
        <v>4.7127619999999997</v>
      </c>
      <c r="E4032">
        <v>0.48503950000000001</v>
      </c>
      <c r="F4032" t="s">
        <v>55</v>
      </c>
      <c r="G4032">
        <v>-448.6671</v>
      </c>
      <c r="H4032" s="1">
        <v>3.026073E-6</v>
      </c>
      <c r="I4032">
        <v>215.7449</v>
      </c>
      <c r="J4032">
        <v>-478.11439999999999</v>
      </c>
      <c r="K4032">
        <v>1.122787</v>
      </c>
      <c r="L4032">
        <v>216.28880000000001</v>
      </c>
      <c r="M4032">
        <v>0.98044039999999999</v>
      </c>
      <c r="N4032">
        <v>-3.731055E-3</v>
      </c>
      <c r="O4032">
        <v>-0.19678119999999999</v>
      </c>
      <c r="P4032">
        <v>0.9960523</v>
      </c>
      <c r="Q4032">
        <v>-7.4462849999999997E-2</v>
      </c>
      <c r="R4032">
        <v>-4.8323709999999999E-2</v>
      </c>
      <c r="S4032">
        <v>3.0015869999999998</v>
      </c>
      <c r="T4032">
        <v>-0.1138479</v>
      </c>
      <c r="U4032">
        <v>-5.7540889999999997E-2</v>
      </c>
      <c r="V4032">
        <v>-0.1481372</v>
      </c>
      <c r="W4032">
        <v>-7.1801710000000005E-2</v>
      </c>
      <c r="X4032">
        <v>0.98635689999999998</v>
      </c>
      <c r="Y4032">
        <v>-0.177701</v>
      </c>
      <c r="Z4032">
        <v>1.038235E-2</v>
      </c>
      <c r="AA4032">
        <v>0.98402979999999995</v>
      </c>
      <c r="AB4032">
        <v>15</v>
      </c>
      <c r="AC4032">
        <v>29.447299999999899</v>
      </c>
      <c r="AD4032">
        <v>-1.122783973927</v>
      </c>
      <c r="AE4032">
        <v>-0.54390000000000704</v>
      </c>
      <c r="AF4032">
        <v>-5.2538144182925297</v>
      </c>
      <c r="AG4032">
        <v>-1.122783973927</v>
      </c>
      <c r="AH4032">
        <v>28.936498345158</v>
      </c>
      <c r="AI4032">
        <v>92.186347165436104</v>
      </c>
      <c r="AJ4032">
        <v>100.290725386834</v>
      </c>
      <c r="AK4032">
        <v>29.431006545364699</v>
      </c>
      <c r="AL4032">
        <v>94.117477956986903</v>
      </c>
      <c r="AM4032">
        <v>98.541199344030602</v>
      </c>
      <c r="AN4032">
        <v>1.0000000248801799</v>
      </c>
    </row>
    <row r="4033" spans="1:40" x14ac:dyDescent="0.25">
      <c r="A4033" t="str">
        <f>"20190303153847803"</f>
        <v>20190303153847803</v>
      </c>
      <c r="B4033" t="str">
        <f>"1551598727792468"</f>
        <v>1551598727792468</v>
      </c>
      <c r="C4033" t="s">
        <v>40</v>
      </c>
      <c r="D4033">
        <v>4.8021250000000002</v>
      </c>
      <c r="E4033">
        <v>0.48473480000000002</v>
      </c>
      <c r="F4033" t="s">
        <v>55</v>
      </c>
      <c r="G4033">
        <v>-447.9341</v>
      </c>
      <c r="H4033" s="1">
        <v>2.6247009999999999E-6</v>
      </c>
      <c r="I4033">
        <v>216.0044</v>
      </c>
      <c r="J4033">
        <v>-477.9717</v>
      </c>
      <c r="K4033">
        <v>1.122816</v>
      </c>
      <c r="L4033">
        <v>216.2679</v>
      </c>
      <c r="M4033">
        <v>0.98173569999999999</v>
      </c>
      <c r="N4033">
        <v>-3.5048670000000001E-3</v>
      </c>
      <c r="O4033">
        <v>-0.1902179</v>
      </c>
      <c r="P4033">
        <v>0.99642810000000004</v>
      </c>
      <c r="Q4033">
        <v>-7.3277949999999994E-2</v>
      </c>
      <c r="R4033">
        <v>-4.1968329999999998E-2</v>
      </c>
      <c r="S4033">
        <v>3.0021969999999998</v>
      </c>
      <c r="T4033">
        <v>-0.1116897</v>
      </c>
      <c r="U4033">
        <v>-2.8289789999999999E-2</v>
      </c>
      <c r="V4033">
        <v>-0.14784710000000001</v>
      </c>
      <c r="W4033">
        <v>-7.0853429999999995E-2</v>
      </c>
      <c r="X4033">
        <v>0.98646900000000004</v>
      </c>
      <c r="Y4033">
        <v>-0.18071680000000001</v>
      </c>
      <c r="Z4033">
        <v>1.004729E-2</v>
      </c>
      <c r="AA4033">
        <v>0.98348389999999997</v>
      </c>
      <c r="AB4033">
        <v>15</v>
      </c>
      <c r="AC4033">
        <v>30.037600000000001</v>
      </c>
      <c r="AD4033">
        <v>-1.1228133752989999</v>
      </c>
      <c r="AE4033">
        <v>-0.26349999999999302</v>
      </c>
      <c r="AF4033">
        <v>-5.4474240059268597</v>
      </c>
      <c r="AG4033">
        <v>-1.1228133752989999</v>
      </c>
      <c r="AH4033">
        <v>29.498072351152999</v>
      </c>
      <c r="AI4033">
        <v>92.143640376022006</v>
      </c>
      <c r="AJ4033">
        <v>100.462963302641</v>
      </c>
      <c r="AK4033">
        <v>30.0178515322125</v>
      </c>
      <c r="AL4033">
        <v>94.0630067495253</v>
      </c>
      <c r="AM4033">
        <v>98.523764437748198</v>
      </c>
      <c r="AN4033">
        <v>1.0000000307410799</v>
      </c>
    </row>
    <row r="4034" spans="1:40" x14ac:dyDescent="0.25">
      <c r="A4034" t="str">
        <f>"20190303153847827"</f>
        <v>20190303153847827</v>
      </c>
      <c r="B4034" t="str">
        <f>"1551598727822724"</f>
        <v>1551598727822724</v>
      </c>
      <c r="C4034" t="s">
        <v>40</v>
      </c>
      <c r="D4034">
        <v>4.8111519999999999</v>
      </c>
      <c r="E4034">
        <v>0.4842397</v>
      </c>
      <c r="F4034" t="s">
        <v>55</v>
      </c>
      <c r="G4034">
        <v>-447.84140000000002</v>
      </c>
      <c r="H4034" s="1">
        <v>2.5668129999999999E-6</v>
      </c>
      <c r="I4034">
        <v>216.19990000000001</v>
      </c>
      <c r="J4034">
        <v>-477.81349999999998</v>
      </c>
      <c r="K4034">
        <v>1.12283</v>
      </c>
      <c r="L4034">
        <v>216.2457</v>
      </c>
      <c r="M4034">
        <v>0.98311249999999994</v>
      </c>
      <c r="N4034">
        <v>-3.2591410000000001E-3</v>
      </c>
      <c r="O4034">
        <v>-0.18297330000000001</v>
      </c>
      <c r="P4034">
        <v>0.99668299999999999</v>
      </c>
      <c r="Q4034">
        <v>-7.2866130000000001E-2</v>
      </c>
      <c r="R4034">
        <v>-3.6244520000000002E-2</v>
      </c>
      <c r="S4034">
        <v>3.0022579999999999</v>
      </c>
      <c r="T4034">
        <v>-0.1118799</v>
      </c>
      <c r="U4034">
        <v>-6.7749019999999898E-3</v>
      </c>
      <c r="V4034">
        <v>-0.1462376</v>
      </c>
      <c r="W4034">
        <v>-7.0689329999999995E-2</v>
      </c>
      <c r="X4034">
        <v>0.98672059999999995</v>
      </c>
      <c r="Y4034">
        <v>-0.18051449999999999</v>
      </c>
      <c r="Z4034">
        <v>9.8446469999999998E-3</v>
      </c>
      <c r="AA4034">
        <v>0.98352309999999998</v>
      </c>
      <c r="AB4034">
        <v>15</v>
      </c>
      <c r="AC4034">
        <v>29.972099999999902</v>
      </c>
      <c r="AD4034">
        <v>-1.1228274331870001</v>
      </c>
      <c r="AE4034">
        <v>-4.5799999999985602E-2</v>
      </c>
      <c r="AF4034">
        <v>-5.4314735842816004</v>
      </c>
      <c r="AG4034">
        <v>-1.1228274331870001</v>
      </c>
      <c r="AH4034">
        <v>29.433174922772999</v>
      </c>
      <c r="AI4034">
        <v>92.1484409818693</v>
      </c>
      <c r="AJ4034">
        <v>100.455497770501</v>
      </c>
      <c r="AK4034">
        <v>29.9511841631682</v>
      </c>
      <c r="AL4034">
        <v>94.053581084654297</v>
      </c>
      <c r="AM4034">
        <v>98.430194675605094</v>
      </c>
      <c r="AN4034">
        <v>0.99999997974698396</v>
      </c>
    </row>
    <row r="4035" spans="1:40" x14ac:dyDescent="0.25">
      <c r="A4035" t="str">
        <f>"20190303153847849"</f>
        <v>20190303153847849</v>
      </c>
      <c r="B4035" t="str">
        <f>"1551598727842243"</f>
        <v>1551598727842243</v>
      </c>
      <c r="C4035" t="s">
        <v>40</v>
      </c>
      <c r="D4035">
        <v>4.7394049999999996</v>
      </c>
      <c r="E4035">
        <v>0.48420249999999998</v>
      </c>
      <c r="F4035" t="s">
        <v>55</v>
      </c>
      <c r="G4035">
        <v>-448.08199999999999</v>
      </c>
      <c r="H4035" s="1">
        <v>2.686631E-6</v>
      </c>
      <c r="I4035">
        <v>216.38749999999999</v>
      </c>
      <c r="J4035">
        <v>-477.65800000000002</v>
      </c>
      <c r="K4035">
        <v>1.1228370000000001</v>
      </c>
      <c r="L4035">
        <v>216.22499999999999</v>
      </c>
      <c r="M4035">
        <v>0.98440669999999997</v>
      </c>
      <c r="N4035">
        <v>-2.999603E-3</v>
      </c>
      <c r="O4035">
        <v>-0.17588199999999901</v>
      </c>
      <c r="P4035">
        <v>0.99680210000000002</v>
      </c>
      <c r="Q4035">
        <v>-7.3370379999999999E-2</v>
      </c>
      <c r="R4035">
        <v>-3.1660840000000003E-2</v>
      </c>
      <c r="S4035">
        <v>3.0021969999999998</v>
      </c>
      <c r="T4035">
        <v>-0.1133798</v>
      </c>
      <c r="U4035">
        <v>1.4312739999999999E-2</v>
      </c>
      <c r="V4035">
        <v>-0.14364150000000001</v>
      </c>
      <c r="W4035">
        <v>-7.1447410000000003E-2</v>
      </c>
      <c r="X4035">
        <v>0.98704729999999996</v>
      </c>
      <c r="Y4035">
        <v>-0.18032989999999999</v>
      </c>
      <c r="Z4035">
        <v>9.7595470000000004E-3</v>
      </c>
      <c r="AA4035">
        <v>0.98355780000000004</v>
      </c>
      <c r="AB4035">
        <v>16</v>
      </c>
      <c r="AC4035">
        <v>29.576000000000001</v>
      </c>
      <c r="AD4035">
        <v>-1.122834313369</v>
      </c>
      <c r="AE4035">
        <v>0.16249999999999401</v>
      </c>
      <c r="AF4035">
        <v>-5.35415948850037</v>
      </c>
      <c r="AG4035">
        <v>-1.122834313369</v>
      </c>
      <c r="AH4035">
        <v>29.044501809685201</v>
      </c>
      <c r="AI4035">
        <v>92.177251903750005</v>
      </c>
      <c r="AJ4035">
        <v>100.444833215839</v>
      </c>
      <c r="AK4035">
        <v>29.555217239878001</v>
      </c>
      <c r="AL4035">
        <v>94.097125923648903</v>
      </c>
      <c r="AM4035">
        <v>98.279927849312301</v>
      </c>
      <c r="AN4035">
        <v>0.99999999267762396</v>
      </c>
    </row>
    <row r="4036" spans="1:40" x14ac:dyDescent="0.25">
      <c r="A4036" t="str">
        <f>"20190303153847872"</f>
        <v>20190303153847872</v>
      </c>
      <c r="B4036" t="str">
        <f>"1551598727862739"</f>
        <v>1551598727862739</v>
      </c>
      <c r="C4036" t="s">
        <v>40</v>
      </c>
      <c r="D4036">
        <v>4.7294549999999997</v>
      </c>
      <c r="E4036">
        <v>0.48424040000000002</v>
      </c>
      <c r="F4036" t="s">
        <v>55</v>
      </c>
      <c r="G4036">
        <v>-448.20400000000001</v>
      </c>
      <c r="H4036" s="1">
        <v>2.7465610000000001E-6</v>
      </c>
      <c r="I4036">
        <v>216.50200000000001</v>
      </c>
      <c r="J4036">
        <v>-477.49599999999998</v>
      </c>
      <c r="K4036">
        <v>1.1228359999999999</v>
      </c>
      <c r="L4036">
        <v>216.2046</v>
      </c>
      <c r="M4036">
        <v>0.98569479999999998</v>
      </c>
      <c r="N4036">
        <v>-2.693544E-3</v>
      </c>
      <c r="O4036">
        <v>-0.1685188</v>
      </c>
      <c r="P4036">
        <v>0.99694150000000004</v>
      </c>
      <c r="Q4036">
        <v>-7.3051409999999997E-2</v>
      </c>
      <c r="R4036">
        <v>-2.777522E-2</v>
      </c>
      <c r="S4036">
        <v>3.0021059999999999</v>
      </c>
      <c r="T4036">
        <v>-0.1144454</v>
      </c>
      <c r="U4036">
        <v>2.8228759999999999E-2</v>
      </c>
      <c r="V4036">
        <v>-0.1401057</v>
      </c>
      <c r="W4036">
        <v>-7.1422029999999997E-2</v>
      </c>
      <c r="X4036">
        <v>0.98755720000000002</v>
      </c>
      <c r="Y4036">
        <v>-0.1775371</v>
      </c>
      <c r="Z4036">
        <v>9.566504E-3</v>
      </c>
      <c r="AA4036">
        <v>0.98406760000000004</v>
      </c>
      <c r="AB4036">
        <v>16</v>
      </c>
      <c r="AC4036">
        <v>29.291999999999899</v>
      </c>
      <c r="AD4036">
        <v>-1.122833253439</v>
      </c>
      <c r="AE4036">
        <v>0.29740000000000999</v>
      </c>
      <c r="AF4036">
        <v>-5.2217451764092697</v>
      </c>
      <c r="AG4036">
        <v>-1.122833253439</v>
      </c>
      <c r="AH4036">
        <v>28.780672771239299</v>
      </c>
      <c r="AI4036">
        <v>92.198320025608894</v>
      </c>
      <c r="AJ4036">
        <v>100.283446046856</v>
      </c>
      <c r="AK4036">
        <v>29.272077178901</v>
      </c>
      <c r="AL4036">
        <v>94.095668131820304</v>
      </c>
      <c r="AM4036">
        <v>98.074721373267394</v>
      </c>
      <c r="AN4036">
        <v>0.99999996840682404</v>
      </c>
    </row>
    <row r="4037" spans="1:40" x14ac:dyDescent="0.25">
      <c r="A4037" t="str">
        <f>"20190303153847893"</f>
        <v>20190303153847893</v>
      </c>
      <c r="B4037" t="str">
        <f>"1551598727882263"</f>
        <v>1551598727882263</v>
      </c>
      <c r="C4037" t="s">
        <v>40</v>
      </c>
      <c r="D4037">
        <v>4.7993790000000001</v>
      </c>
      <c r="E4037">
        <v>0.48413499999999998</v>
      </c>
      <c r="F4037" t="s">
        <v>55</v>
      </c>
      <c r="G4037">
        <v>-447.75940000000003</v>
      </c>
      <c r="H4037" s="1">
        <v>2.505808E-6</v>
      </c>
      <c r="I4037">
        <v>216.59649999999999</v>
      </c>
      <c r="J4037">
        <v>-477.34179999999998</v>
      </c>
      <c r="K4037">
        <v>1.122833</v>
      </c>
      <c r="L4037">
        <v>216.18620000000001</v>
      </c>
      <c r="M4037">
        <v>0.98686399999999996</v>
      </c>
      <c r="N4037">
        <v>-2.3781369999999998E-3</v>
      </c>
      <c r="O4037">
        <v>-0.1615357</v>
      </c>
      <c r="P4037">
        <v>0.99707420000000002</v>
      </c>
      <c r="Q4037">
        <v>-7.2374659999999993E-2</v>
      </c>
      <c r="R4037">
        <v>-2.4596900000000001E-2</v>
      </c>
      <c r="S4037">
        <v>3.002014</v>
      </c>
      <c r="T4037">
        <v>-0.113354</v>
      </c>
      <c r="U4037">
        <v>3.9566039999999997E-2</v>
      </c>
      <c r="V4037">
        <v>-0.13626250000000001</v>
      </c>
      <c r="W4037">
        <v>-7.1045170000000005E-2</v>
      </c>
      <c r="X4037">
        <v>0.98812199999999994</v>
      </c>
      <c r="Y4037">
        <v>-0.17429529999999999</v>
      </c>
      <c r="Z4037">
        <v>9.1899830000000005E-3</v>
      </c>
      <c r="AA4037">
        <v>0.98465060000000004</v>
      </c>
      <c r="AB4037">
        <v>16</v>
      </c>
      <c r="AC4037">
        <v>29.5823999999999</v>
      </c>
      <c r="AD4037">
        <v>-1.122830494192</v>
      </c>
      <c r="AE4037">
        <v>0.41029999999997802</v>
      </c>
      <c r="AF4037">
        <v>-5.1760831251964898</v>
      </c>
      <c r="AG4037">
        <v>-1.122830494192</v>
      </c>
      <c r="AH4037">
        <v>29.085715396598001</v>
      </c>
      <c r="AI4037">
        <v>92.176595720133804</v>
      </c>
      <c r="AJ4037">
        <v>100.090697773261</v>
      </c>
      <c r="AK4037">
        <v>29.564022476136898</v>
      </c>
      <c r="AL4037">
        <v>94.074020579850895</v>
      </c>
      <c r="AM4037">
        <v>97.851595444277905</v>
      </c>
      <c r="AN4037">
        <v>0.99999998598528905</v>
      </c>
    </row>
    <row r="4038" spans="1:40" x14ac:dyDescent="0.25">
      <c r="A4038" t="str">
        <f>"20190303153847918"</f>
        <v>20190303153847918</v>
      </c>
      <c r="B4038" t="str">
        <f>"1551598727912515"</f>
        <v>1551598727912515</v>
      </c>
      <c r="C4038" t="s">
        <v>40</v>
      </c>
      <c r="D4038">
        <v>4.7913139999999999</v>
      </c>
      <c r="E4038">
        <v>0.4839368</v>
      </c>
      <c r="F4038" t="s">
        <v>55</v>
      </c>
      <c r="G4038">
        <v>-447.48329999999999</v>
      </c>
      <c r="H4038" s="1">
        <v>2.3549429999999998E-6</v>
      </c>
      <c r="I4038">
        <v>216.6874</v>
      </c>
      <c r="J4038">
        <v>-477.16669999999999</v>
      </c>
      <c r="K4038">
        <v>1.1228419999999999</v>
      </c>
      <c r="L4038">
        <v>216.16650000000001</v>
      </c>
      <c r="M4038">
        <v>0.98812370000000005</v>
      </c>
      <c r="N4038">
        <v>-2.0080739999999999E-3</v>
      </c>
      <c r="O4038">
        <v>-0.1536476</v>
      </c>
      <c r="P4038">
        <v>0.9972818</v>
      </c>
      <c r="Q4038">
        <v>-7.0683949999999995E-2</v>
      </c>
      <c r="R4038">
        <v>-2.0814470000000002E-2</v>
      </c>
      <c r="S4038">
        <v>3.001862</v>
      </c>
      <c r="T4038">
        <v>-0.1128854</v>
      </c>
      <c r="U4038">
        <v>5.0384520000000002E-2</v>
      </c>
      <c r="V4038">
        <v>-0.132134</v>
      </c>
      <c r="W4038">
        <v>-6.9710659999999994E-2</v>
      </c>
      <c r="X4038">
        <v>0.98877749999999998</v>
      </c>
      <c r="Y4038">
        <v>-0.16998579999999999</v>
      </c>
      <c r="Z4038">
        <v>8.8164279999999994E-3</v>
      </c>
      <c r="AA4038">
        <v>0.98540709999999998</v>
      </c>
      <c r="AB4038">
        <v>16</v>
      </c>
      <c r="AC4038">
        <v>29.683399999999999</v>
      </c>
      <c r="AD4038">
        <v>-1.122839645057</v>
      </c>
      <c r="AE4038">
        <v>0.52089999999998304</v>
      </c>
      <c r="AF4038">
        <v>-5.06825695832742</v>
      </c>
      <c r="AG4038">
        <v>-1.122839645057</v>
      </c>
      <c r="AH4038">
        <v>29.2091116975391</v>
      </c>
      <c r="AI4038">
        <v>92.169067750781906</v>
      </c>
      <c r="AJ4038">
        <v>99.843741036362601</v>
      </c>
      <c r="AK4038">
        <v>29.666819910861101</v>
      </c>
      <c r="AL4038">
        <v>93.997368831225799</v>
      </c>
      <c r="AM4038">
        <v>97.611552077221205</v>
      </c>
      <c r="AN4038">
        <v>0.99999995728994096</v>
      </c>
    </row>
    <row r="4039" spans="1:40" x14ac:dyDescent="0.25">
      <c r="A4039" t="str">
        <f>"20190303153847940"</f>
        <v>20190303153847940</v>
      </c>
      <c r="B4039" t="str">
        <f>"1551598727933011"</f>
        <v>1551598727933011</v>
      </c>
      <c r="C4039" t="s">
        <v>40</v>
      </c>
      <c r="D4039">
        <v>4.6940280000000003</v>
      </c>
      <c r="E4039">
        <v>0.48404580000000003</v>
      </c>
      <c r="F4039" t="s">
        <v>55</v>
      </c>
      <c r="G4039">
        <v>-446.72250000000003</v>
      </c>
      <c r="H4039" s="1">
        <v>1.944625E-6</v>
      </c>
      <c r="I4039">
        <v>216.8116</v>
      </c>
      <c r="J4039">
        <v>-477.00189999999998</v>
      </c>
      <c r="K4039">
        <v>1.1228670000000001</v>
      </c>
      <c r="L4039">
        <v>216.14920000000001</v>
      </c>
      <c r="M4039">
        <v>0.98924040000000002</v>
      </c>
      <c r="N4039">
        <v>-1.6625730000000001E-3</v>
      </c>
      <c r="O4039">
        <v>-0.1462908</v>
      </c>
      <c r="P4039">
        <v>0.9973881</v>
      </c>
      <c r="Q4039">
        <v>-6.9785100000000003E-2</v>
      </c>
      <c r="R4039">
        <v>-1.8644129999999998E-2</v>
      </c>
      <c r="S4039">
        <v>3.0016780000000001</v>
      </c>
      <c r="T4039">
        <v>-0.1107075</v>
      </c>
      <c r="U4039">
        <v>6.3598630000000003E-2</v>
      </c>
      <c r="V4039">
        <v>-0.12692790000000001</v>
      </c>
      <c r="W4039">
        <v>-6.913598E-2</v>
      </c>
      <c r="X4039">
        <v>0.98949960000000003</v>
      </c>
      <c r="Y4039">
        <v>-0.16700429999999999</v>
      </c>
      <c r="Z4039">
        <v>8.354083E-3</v>
      </c>
      <c r="AA4039">
        <v>0.98592080000000004</v>
      </c>
      <c r="AB4039">
        <v>17</v>
      </c>
      <c r="AC4039">
        <v>30.2793999999999</v>
      </c>
      <c r="AD4039">
        <v>-1.1228650553749999</v>
      </c>
      <c r="AE4039">
        <v>0.662399999999991</v>
      </c>
      <c r="AF4039">
        <v>-5.0778969767909299</v>
      </c>
      <c r="AG4039">
        <v>-1.1228650553749999</v>
      </c>
      <c r="AH4039">
        <v>29.815756541603399</v>
      </c>
      <c r="AI4039">
        <v>92.126161089176605</v>
      </c>
      <c r="AJ4039">
        <v>99.665261437654195</v>
      </c>
      <c r="AK4039">
        <v>30.265908243230498</v>
      </c>
      <c r="AL4039">
        <v>93.964362417577902</v>
      </c>
      <c r="AM4039">
        <v>97.309688937756206</v>
      </c>
      <c r="AN4039">
        <v>0.99999996696456395</v>
      </c>
    </row>
    <row r="4040" spans="1:40" x14ac:dyDescent="0.25">
      <c r="A4040" t="str">
        <f>"20190303153847961"</f>
        <v>20190303153847961</v>
      </c>
      <c r="B4040" t="str">
        <f>"1551598727952531"</f>
        <v>1551598727952531</v>
      </c>
      <c r="C4040" t="s">
        <v>40</v>
      </c>
      <c r="D4040">
        <v>4.6805649999999996</v>
      </c>
      <c r="E4040">
        <v>0.48419879999999998</v>
      </c>
      <c r="F4040" t="s">
        <v>55</v>
      </c>
      <c r="G4040">
        <v>-445.82260000000002</v>
      </c>
      <c r="H4040" s="1">
        <v>1.4633539999999901E-6</v>
      </c>
      <c r="I4040">
        <v>216.86689999999999</v>
      </c>
      <c r="J4040">
        <v>-476.84160000000003</v>
      </c>
      <c r="K4040">
        <v>1.122889</v>
      </c>
      <c r="L4040">
        <v>216.13339999999999</v>
      </c>
      <c r="M4040">
        <v>0.99026049999999999</v>
      </c>
      <c r="N4040">
        <v>-1.338175E-3</v>
      </c>
      <c r="O4040">
        <v>-0.13922109999999999</v>
      </c>
      <c r="P4040">
        <v>0.99749849999999995</v>
      </c>
      <c r="Q4040">
        <v>-6.8521789999999999E-2</v>
      </c>
      <c r="R4040">
        <v>-1.7378660000000001E-2</v>
      </c>
      <c r="S4040">
        <v>3.0015869999999998</v>
      </c>
      <c r="T4040">
        <v>-0.10809680000000001</v>
      </c>
      <c r="U4040">
        <v>6.9091799999999995E-2</v>
      </c>
      <c r="V4040">
        <v>-0.1211208</v>
      </c>
      <c r="W4040">
        <v>-6.8170410000000001E-2</v>
      </c>
      <c r="X4040">
        <v>0.99029420000000001</v>
      </c>
      <c r="Y4040">
        <v>-0.1617806</v>
      </c>
      <c r="Z4040">
        <v>7.8347450000000006E-3</v>
      </c>
      <c r="AA4040">
        <v>0.98679570000000005</v>
      </c>
      <c r="AB4040">
        <v>17</v>
      </c>
      <c r="AC4040">
        <v>31.018999999999998</v>
      </c>
      <c r="AD4040">
        <v>-1.1228875366460001</v>
      </c>
      <c r="AE4040">
        <v>0.73349999999999205</v>
      </c>
      <c r="AF4040">
        <v>-5.0382608371283002</v>
      </c>
      <c r="AG4040">
        <v>-1.1228875366460001</v>
      </c>
      <c r="AH4040">
        <v>30.5747527160262</v>
      </c>
      <c r="AI4040">
        <v>92.075334714073804</v>
      </c>
      <c r="AJ4040">
        <v>99.357392959653694</v>
      </c>
      <c r="AK4040">
        <v>31.007425761082601</v>
      </c>
      <c r="AL4040">
        <v>93.908908250887393</v>
      </c>
      <c r="AM4040">
        <v>96.973093187133699</v>
      </c>
      <c r="AN4040">
        <v>1.00000002777292</v>
      </c>
    </row>
    <row r="4041" spans="1:40" x14ac:dyDescent="0.25">
      <c r="A4041" t="str">
        <f>"20190303153847983"</f>
        <v>20190303153847983</v>
      </c>
      <c r="B4041" t="str">
        <f>"1551598727973028"</f>
        <v>1551598727973028</v>
      </c>
      <c r="C4041" t="s">
        <v>40</v>
      </c>
      <c r="D4041">
        <v>4.597925</v>
      </c>
      <c r="E4041">
        <v>0.48436790000000002</v>
      </c>
      <c r="F4041" t="s">
        <v>55</v>
      </c>
      <c r="G4041">
        <v>-444.66250000000002</v>
      </c>
      <c r="H4041" s="1">
        <v>8.4431930000000003E-7</v>
      </c>
      <c r="I4041">
        <v>216.90520000000001</v>
      </c>
      <c r="J4041">
        <v>-476.67090000000002</v>
      </c>
      <c r="K4041">
        <v>1.1229290000000001</v>
      </c>
      <c r="L4041">
        <v>216.11770000000001</v>
      </c>
      <c r="M4041">
        <v>0.99127560000000003</v>
      </c>
      <c r="N4041">
        <v>-1.013414E-3</v>
      </c>
      <c r="O4041">
        <v>-0.13180249999999999</v>
      </c>
      <c r="P4041">
        <v>0.99755780000000005</v>
      </c>
      <c r="Q4041">
        <v>-6.7993029999999996E-2</v>
      </c>
      <c r="R4041">
        <v>-1.5983210000000001E-2</v>
      </c>
      <c r="S4041">
        <v>3.0015559999999999</v>
      </c>
      <c r="T4041">
        <v>-0.10473929999999999</v>
      </c>
      <c r="U4041">
        <v>7.1990970000000001E-2</v>
      </c>
      <c r="V4041">
        <v>-0.1150823</v>
      </c>
      <c r="W4041">
        <v>-6.7937049999999999E-2</v>
      </c>
      <c r="X4041">
        <v>0.99103010000000002</v>
      </c>
      <c r="Y4041">
        <v>-0.15536050000000001</v>
      </c>
      <c r="Z4041">
        <v>7.243378E-3</v>
      </c>
      <c r="AA4041">
        <v>0.98783129999999997</v>
      </c>
      <c r="AB4041">
        <v>17</v>
      </c>
      <c r="AC4041">
        <v>32.008399999999902</v>
      </c>
      <c r="AD4041">
        <v>-1.1229281556807</v>
      </c>
      <c r="AE4041">
        <v>0.78749999999999398</v>
      </c>
      <c r="AF4041">
        <v>-4.9932767953700603</v>
      </c>
      <c r="AG4041">
        <v>-1.1229281556807</v>
      </c>
      <c r="AH4041">
        <v>31.586511738511302</v>
      </c>
      <c r="AI4041">
        <v>92.011104763133602</v>
      </c>
      <c r="AJ4041">
        <v>98.983126299734295</v>
      </c>
      <c r="AK4041">
        <v>31.9984609724454</v>
      </c>
      <c r="AL4041">
        <v>93.895506673521894</v>
      </c>
      <c r="AM4041">
        <v>96.623743618303607</v>
      </c>
      <c r="AN4041">
        <v>1.0000000188210001</v>
      </c>
    </row>
    <row r="4042" spans="1:40" x14ac:dyDescent="0.25">
      <c r="A4042" t="str">
        <f>"20190303153848007"</f>
        <v>20190303153848007</v>
      </c>
      <c r="B4042" t="str">
        <f>"1551598728002308"</f>
        <v>1551598728002308</v>
      </c>
      <c r="C4042" t="s">
        <v>40</v>
      </c>
      <c r="D4042">
        <v>4.5553499999999998</v>
      </c>
      <c r="E4042">
        <v>0.48441139999999999</v>
      </c>
      <c r="F4042" t="s">
        <v>55</v>
      </c>
      <c r="G4042">
        <v>-443.9633</v>
      </c>
      <c r="H4042" s="1">
        <v>4.708954E-7</v>
      </c>
      <c r="I4042">
        <v>216.93559999999999</v>
      </c>
      <c r="J4042">
        <v>-476.4905</v>
      </c>
      <c r="K4042">
        <v>1.1229659999999999</v>
      </c>
      <c r="L4042">
        <v>216.10249999999999</v>
      </c>
      <c r="M4042">
        <v>0.99226910000000001</v>
      </c>
      <c r="N4042">
        <v>-7.0088639999999998E-4</v>
      </c>
      <c r="O4042">
        <v>-0.1241029</v>
      </c>
      <c r="P4042">
        <v>0.99765309999999996</v>
      </c>
      <c r="Q4042">
        <v>-6.7029099999999994E-2</v>
      </c>
      <c r="R4042">
        <v>-1.3985259999999999E-2</v>
      </c>
      <c r="S4042">
        <v>3.0015260000000001</v>
      </c>
      <c r="T4042">
        <v>-0.1030495</v>
      </c>
      <c r="U4042">
        <v>7.5057979999999996E-2</v>
      </c>
      <c r="V4042">
        <v>-0.1093732</v>
      </c>
      <c r="W4042">
        <v>-6.7255490000000001E-2</v>
      </c>
      <c r="X4042">
        <v>0.99172280000000002</v>
      </c>
      <c r="Y4042">
        <v>-0.14871039999999999</v>
      </c>
      <c r="Z4042">
        <v>6.7689169999999898E-3</v>
      </c>
      <c r="AA4042">
        <v>0.9888576</v>
      </c>
      <c r="AB4042">
        <v>17</v>
      </c>
      <c r="AC4042">
        <v>32.527199999999901</v>
      </c>
      <c r="AD4042">
        <v>-1.1229655291045999</v>
      </c>
      <c r="AE4042">
        <v>0.83310000000000095</v>
      </c>
      <c r="AF4042">
        <v>-4.8575944932786399</v>
      </c>
      <c r="AG4042">
        <v>-1.1229655291045999</v>
      </c>
      <c r="AH4042">
        <v>32.134077971314802</v>
      </c>
      <c r="AI4042">
        <v>91.9789927860121</v>
      </c>
      <c r="AJ4042">
        <v>98.596116419650201</v>
      </c>
      <c r="AK4042">
        <v>32.518552287997501</v>
      </c>
      <c r="AL4042">
        <v>93.856366885985594</v>
      </c>
      <c r="AM4042">
        <v>96.293492055197703</v>
      </c>
      <c r="AN4042">
        <v>0.99999995492660898</v>
      </c>
    </row>
    <row r="4043" spans="1:40" x14ac:dyDescent="0.25">
      <c r="A4043" t="str">
        <f>"20190303153848030"</f>
        <v>20190303153848030</v>
      </c>
      <c r="B4043" t="str">
        <f>"1551598728022805"</f>
        <v>1551598728022805</v>
      </c>
      <c r="C4043" t="s">
        <v>40</v>
      </c>
      <c r="D4043">
        <v>4.5144789999999997</v>
      </c>
      <c r="E4043">
        <v>0.48445510000000003</v>
      </c>
      <c r="F4043" t="s">
        <v>55</v>
      </c>
      <c r="G4043">
        <v>-443.31810000000002</v>
      </c>
      <c r="H4043" s="1">
        <v>1.2500239999999999E-7</v>
      </c>
      <c r="I4043">
        <v>216.99369999999999</v>
      </c>
      <c r="J4043">
        <v>-476.31150000000002</v>
      </c>
      <c r="K4043">
        <v>1.1229880000000001</v>
      </c>
      <c r="L4043">
        <v>216.08869999999999</v>
      </c>
      <c r="M4043">
        <v>0.99317869999999997</v>
      </c>
      <c r="N4043">
        <v>-4.2612059999999998E-4</v>
      </c>
      <c r="O4043">
        <v>-0.11660189999999999</v>
      </c>
      <c r="P4043">
        <v>0.99766779999999999</v>
      </c>
      <c r="Q4043">
        <v>-6.6916749999999997E-2</v>
      </c>
      <c r="R4043">
        <v>-1.3460939999999999E-2</v>
      </c>
      <c r="S4043">
        <v>3.0013429999999999</v>
      </c>
      <c r="T4043">
        <v>-0.1016024</v>
      </c>
      <c r="U4043">
        <v>8.0627439999999995E-2</v>
      </c>
      <c r="V4043">
        <v>-0.10238940000000001</v>
      </c>
      <c r="W4043">
        <v>-6.7370570000000005E-2</v>
      </c>
      <c r="X4043">
        <v>0.99246040000000002</v>
      </c>
      <c r="Y4043">
        <v>-0.14308290000000001</v>
      </c>
      <c r="Z4043">
        <v>6.3416840000000002E-3</v>
      </c>
      <c r="AA4043">
        <v>0.98969039999999997</v>
      </c>
      <c r="AB4043">
        <v>18</v>
      </c>
      <c r="AC4043">
        <v>32.993400000000001</v>
      </c>
      <c r="AD4043">
        <v>-1.1229878749976001</v>
      </c>
      <c r="AE4043">
        <v>0.90500000000000103</v>
      </c>
      <c r="AF4043">
        <v>-4.74043234803076</v>
      </c>
      <c r="AG4043">
        <v>-1.1229878749976001</v>
      </c>
      <c r="AH4043">
        <v>32.625050790645197</v>
      </c>
      <c r="AI4043">
        <v>91.950930878416102</v>
      </c>
      <c r="AJ4043">
        <v>98.2672427374835</v>
      </c>
      <c r="AK4043">
        <v>32.9867661298562</v>
      </c>
      <c r="AL4043">
        <v>93.862975243974901</v>
      </c>
      <c r="AM4043">
        <v>95.890208964819195</v>
      </c>
      <c r="AN4043">
        <v>1.0000000142513199</v>
      </c>
    </row>
    <row r="4044" spans="1:40" x14ac:dyDescent="0.25">
      <c r="A4044" t="str">
        <f>"20190303153848052"</f>
        <v>20190303153848052</v>
      </c>
      <c r="B4044" t="str">
        <f>"1551598728042324"</f>
        <v>1551598728042324</v>
      </c>
      <c r="C4044" t="s">
        <v>40</v>
      </c>
      <c r="D4044">
        <v>4.5096509999999999</v>
      </c>
      <c r="E4044">
        <v>0.48450520000000002</v>
      </c>
      <c r="F4044" t="s">
        <v>55</v>
      </c>
      <c r="G4044">
        <v>-443.34660000000002</v>
      </c>
      <c r="H4044" s="1">
        <v>1.4035410000000001E-7</v>
      </c>
      <c r="I4044">
        <v>216.9905</v>
      </c>
      <c r="J4044">
        <v>-476.13479999999998</v>
      </c>
      <c r="K4044">
        <v>1.122994</v>
      </c>
      <c r="L4044">
        <v>216.07640000000001</v>
      </c>
      <c r="M4044">
        <v>0.99400230000000001</v>
      </c>
      <c r="N4044">
        <v>-1.933835E-4</v>
      </c>
      <c r="O4044">
        <v>-0.1093592</v>
      </c>
      <c r="P4044">
        <v>0.99770720000000002</v>
      </c>
      <c r="Q4044">
        <v>-6.6334790000000005E-2</v>
      </c>
      <c r="R4044">
        <v>-1.341819E-2</v>
      </c>
      <c r="S4044">
        <v>3.0012819999999998</v>
      </c>
      <c r="T4044">
        <v>-0.10224220000000001</v>
      </c>
      <c r="U4044">
        <v>8.2107540000000007E-2</v>
      </c>
      <c r="V4044">
        <v>-9.5197509999999999E-2</v>
      </c>
      <c r="W4044">
        <v>-6.6965109999999994E-2</v>
      </c>
      <c r="X4044">
        <v>0.99320350000000002</v>
      </c>
      <c r="Y4044">
        <v>-0.13635949999999999</v>
      </c>
      <c r="Z4044">
        <v>6.0330139999999997E-3</v>
      </c>
      <c r="AA4044">
        <v>0.99064110000000005</v>
      </c>
      <c r="AB4044">
        <v>18</v>
      </c>
      <c r="AC4044">
        <v>32.788199999999897</v>
      </c>
      <c r="AD4044">
        <v>-1.1229938596458999</v>
      </c>
      <c r="AE4044">
        <v>0.91409999999999003</v>
      </c>
      <c r="AF4044">
        <v>-4.4890469837348004</v>
      </c>
      <c r="AG4044">
        <v>-1.1229938596458999</v>
      </c>
      <c r="AH4044">
        <v>32.4535405237704</v>
      </c>
      <c r="AI4044">
        <v>91.963145511776204</v>
      </c>
      <c r="AJ4044">
        <v>97.875309063474702</v>
      </c>
      <c r="AK4044">
        <v>32.781777721151599</v>
      </c>
      <c r="AL4044">
        <v>93.839691408278497</v>
      </c>
      <c r="AM4044">
        <v>95.475014676313407</v>
      </c>
      <c r="AN4044">
        <v>1.00000004213988</v>
      </c>
    </row>
    <row r="4045" spans="1:40" x14ac:dyDescent="0.25">
      <c r="A4045" t="str">
        <f>"20190303153848072"</f>
        <v>20190303153848072</v>
      </c>
      <c r="B4045" t="str">
        <f>"1551598728062820"</f>
        <v>1551598728062820</v>
      </c>
      <c r="C4045" t="s">
        <v>40</v>
      </c>
      <c r="D4045">
        <v>4.4920619999999998</v>
      </c>
      <c r="E4045">
        <v>0.48456129999999997</v>
      </c>
      <c r="F4045" t="s">
        <v>55</v>
      </c>
      <c r="G4045">
        <v>-442.94920000000002</v>
      </c>
      <c r="H4045" s="1">
        <v>-7.08150299999999E-8</v>
      </c>
      <c r="I4045">
        <v>216.98230000000001</v>
      </c>
      <c r="J4045">
        <v>-475.96440000000001</v>
      </c>
      <c r="K4045">
        <v>1.1229929999999999</v>
      </c>
      <c r="L4045">
        <v>216.06559999999999</v>
      </c>
      <c r="M4045">
        <v>0.99473330000000004</v>
      </c>
      <c r="N4045" s="1">
        <v>1.376029E-6</v>
      </c>
      <c r="O4045">
        <v>-0.1024972</v>
      </c>
      <c r="P4045">
        <v>0.99773540000000005</v>
      </c>
      <c r="Q4045">
        <v>-6.5902199999999994E-2</v>
      </c>
      <c r="R4045">
        <v>-1.344894E-2</v>
      </c>
      <c r="S4045">
        <v>3.0012210000000001</v>
      </c>
      <c r="T4045">
        <v>-0.1015605</v>
      </c>
      <c r="U4045">
        <v>8.1924440000000001E-2</v>
      </c>
      <c r="V4045">
        <v>-8.8313310000000006E-2</v>
      </c>
      <c r="W4045">
        <v>-6.6670339999999995E-2</v>
      </c>
      <c r="X4045">
        <v>0.9938591</v>
      </c>
      <c r="Y4045">
        <v>-0.12946959999999999</v>
      </c>
      <c r="Z4045">
        <v>5.6531029999999996E-3</v>
      </c>
      <c r="AA4045">
        <v>0.99156730000000004</v>
      </c>
      <c r="AB4045">
        <v>18</v>
      </c>
      <c r="AC4045">
        <v>33.015199999999901</v>
      </c>
      <c r="AD4045">
        <v>-1.12299307081503</v>
      </c>
      <c r="AE4045">
        <v>0.91670000000001906</v>
      </c>
      <c r="AF4045">
        <v>-4.2908769038441203</v>
      </c>
      <c r="AG4045">
        <v>-1.12299307081503</v>
      </c>
      <c r="AH4045">
        <v>32.709544258532198</v>
      </c>
      <c r="AI4045">
        <v>91.949631622751696</v>
      </c>
      <c r="AJ4045">
        <v>97.473454453039693</v>
      </c>
      <c r="AK4045">
        <v>33.008893099313703</v>
      </c>
      <c r="AL4045">
        <v>93.822764501185205</v>
      </c>
      <c r="AM4045">
        <v>95.077907871358903</v>
      </c>
      <c r="AN4045">
        <v>1.00000004280583</v>
      </c>
    </row>
    <row r="4046" spans="1:40" x14ac:dyDescent="0.25">
      <c r="A4046" t="str">
        <f>"20190303153848095"</f>
        <v>20190303153848095</v>
      </c>
      <c r="B4046" t="str">
        <f>"1551598728082339"</f>
        <v>1551598728082339</v>
      </c>
      <c r="C4046" t="s">
        <v>40</v>
      </c>
      <c r="D4046">
        <v>4.4591379999999896</v>
      </c>
      <c r="E4046">
        <v>0.48460560000000003</v>
      </c>
      <c r="F4046" t="s">
        <v>55</v>
      </c>
      <c r="G4046">
        <v>-442.63889999999998</v>
      </c>
      <c r="H4046" s="1">
        <v>-2.354001E-7</v>
      </c>
      <c r="I4046">
        <v>216.97020000000001</v>
      </c>
      <c r="J4046">
        <v>-475.78449999999998</v>
      </c>
      <c r="K4046">
        <v>1.122978</v>
      </c>
      <c r="L4046">
        <v>216.05539999999999</v>
      </c>
      <c r="M4046">
        <v>0.99544010000000005</v>
      </c>
      <c r="N4046">
        <v>1.7757849999999999E-4</v>
      </c>
      <c r="O4046">
        <v>-9.5389119999999994E-2</v>
      </c>
      <c r="P4046">
        <v>0.99776659999999995</v>
      </c>
      <c r="Q4046">
        <v>-6.5553020000000004E-2</v>
      </c>
      <c r="R4046">
        <v>-1.2841299999999899E-2</v>
      </c>
      <c r="S4046">
        <v>3.0011899999999998</v>
      </c>
      <c r="T4046">
        <v>-0.1011331</v>
      </c>
      <c r="U4046">
        <v>8.1466670000000005E-2</v>
      </c>
      <c r="V4046">
        <v>-8.1820649999999995E-2</v>
      </c>
      <c r="W4046">
        <v>-6.6441100000000003E-2</v>
      </c>
      <c r="X4046">
        <v>0.99442989999999998</v>
      </c>
      <c r="Y4046">
        <v>-0.1222414</v>
      </c>
      <c r="Z4046">
        <v>5.2750030000000003E-3</v>
      </c>
      <c r="AA4046">
        <v>0.99248639999999999</v>
      </c>
      <c r="AB4046">
        <v>18</v>
      </c>
      <c r="AC4046">
        <v>33.145600000000002</v>
      </c>
      <c r="AD4046">
        <v>-1.1229782354001001</v>
      </c>
      <c r="AE4046">
        <v>0.91480000000001305</v>
      </c>
      <c r="AF4046">
        <v>-4.0676924538794497</v>
      </c>
      <c r="AG4046">
        <v>-1.1229782354001001</v>
      </c>
      <c r="AH4046">
        <v>32.869495113010998</v>
      </c>
      <c r="AI4046">
        <v>91.941933020710593</v>
      </c>
      <c r="AJ4046">
        <v>97.054646344967907</v>
      </c>
      <c r="AK4046">
        <v>33.139265396215201</v>
      </c>
      <c r="AL4046">
        <v>93.809601251246804</v>
      </c>
      <c r="AM4046">
        <v>94.703641507880107</v>
      </c>
      <c r="AN4046">
        <v>0.99999993227481798</v>
      </c>
    </row>
    <row r="4047" spans="1:40" x14ac:dyDescent="0.25">
      <c r="A4047" t="str">
        <f>"20190303153848118"</f>
        <v>20190303153848118</v>
      </c>
      <c r="B4047" t="str">
        <f>"1551598728112598"</f>
        <v>1551598728112598</v>
      </c>
      <c r="C4047" t="s">
        <v>40</v>
      </c>
      <c r="D4047">
        <v>4.4105879999999997</v>
      </c>
      <c r="E4047">
        <v>0.4847109</v>
      </c>
      <c r="F4047" t="s">
        <v>55</v>
      </c>
      <c r="G4047">
        <v>-442.44240000000002</v>
      </c>
      <c r="H4047" s="1">
        <v>-3.4036089999999999E-7</v>
      </c>
      <c r="I4047">
        <v>216.97909999999999</v>
      </c>
      <c r="J4047">
        <v>-475.5915</v>
      </c>
      <c r="K4047">
        <v>1.1229549999999999</v>
      </c>
      <c r="L4047">
        <v>216.04560000000001</v>
      </c>
      <c r="M4047">
        <v>0.99612710000000004</v>
      </c>
      <c r="N4047">
        <v>3.3615439999999999E-4</v>
      </c>
      <c r="O4047">
        <v>-8.7924669999999996E-2</v>
      </c>
      <c r="P4047">
        <v>0.99779329999999999</v>
      </c>
      <c r="Q4047">
        <v>-6.5175579999999997E-2</v>
      </c>
      <c r="R4047">
        <v>-1.267502E-2</v>
      </c>
      <c r="S4047">
        <v>3.00116</v>
      </c>
      <c r="T4047">
        <v>-0.1010803</v>
      </c>
      <c r="U4047">
        <v>8.3145140000000006E-2</v>
      </c>
      <c r="V4047">
        <v>-7.4536030000000003E-2</v>
      </c>
      <c r="W4047">
        <v>-6.6156279999999998E-2</v>
      </c>
      <c r="X4047">
        <v>0.9950215</v>
      </c>
      <c r="Y4047">
        <v>-0.1153619</v>
      </c>
      <c r="Z4047">
        <v>4.9099199999999999E-3</v>
      </c>
      <c r="AA4047">
        <v>0.99331139999999996</v>
      </c>
      <c r="AB4047">
        <v>19</v>
      </c>
      <c r="AC4047">
        <v>33.149099999999898</v>
      </c>
      <c r="AD4047">
        <v>-1.1229553403608901</v>
      </c>
      <c r="AE4047">
        <v>0.93349999999998001</v>
      </c>
      <c r="AF4047">
        <v>-3.84010510730017</v>
      </c>
      <c r="AG4047">
        <v>-1.1229553403608901</v>
      </c>
      <c r="AH4047">
        <v>32.900913661299299</v>
      </c>
      <c r="AI4047">
        <v>91.941657621437301</v>
      </c>
      <c r="AJ4047">
        <v>96.657285941580298</v>
      </c>
      <c r="AK4047">
        <v>33.143288244829101</v>
      </c>
      <c r="AL4047">
        <v>93.793245913702606</v>
      </c>
      <c r="AM4047">
        <v>94.283966506676194</v>
      </c>
      <c r="AN4047">
        <v>1.00000002930692</v>
      </c>
    </row>
    <row r="4048" spans="1:40" x14ac:dyDescent="0.25">
      <c r="A4048" t="str">
        <f>"20190303153848140"</f>
        <v>20190303153848140</v>
      </c>
      <c r="B4048" t="str">
        <f>"1551598728132115"</f>
        <v>1551598728132115</v>
      </c>
      <c r="C4048" t="s">
        <v>40</v>
      </c>
      <c r="D4048">
        <v>4.4097309999999998</v>
      </c>
      <c r="E4048">
        <v>0.48477740000000002</v>
      </c>
      <c r="F4048" t="s">
        <v>55</v>
      </c>
      <c r="G4048">
        <v>-442.26490000000001</v>
      </c>
      <c r="H4048" s="1">
        <v>-4.34286E-7</v>
      </c>
      <c r="I4048">
        <v>216.96770000000001</v>
      </c>
      <c r="J4048">
        <v>-475.39800000000002</v>
      </c>
      <c r="K4048">
        <v>1.122908</v>
      </c>
      <c r="L4048">
        <v>216.03700000000001</v>
      </c>
      <c r="M4048">
        <v>0.9967433</v>
      </c>
      <c r="N4048">
        <v>4.6673230000000002E-4</v>
      </c>
      <c r="O4048">
        <v>-8.0639639999999999E-2</v>
      </c>
      <c r="P4048">
        <v>0.99781330000000001</v>
      </c>
      <c r="Q4048">
        <v>-6.4962610000000004E-2</v>
      </c>
      <c r="R4048">
        <v>-1.220123E-2</v>
      </c>
      <c r="S4048">
        <v>3.0010680000000001</v>
      </c>
      <c r="T4048">
        <v>-0.1011225</v>
      </c>
      <c r="U4048">
        <v>8.3038329999999994E-2</v>
      </c>
      <c r="V4048">
        <v>-6.7739279999999999E-2</v>
      </c>
      <c r="W4048">
        <v>-6.6009709999999999E-2</v>
      </c>
      <c r="X4048">
        <v>0.99551699999999999</v>
      </c>
      <c r="Y4048">
        <v>-0.10807029999999999</v>
      </c>
      <c r="Z4048">
        <v>4.546731E-3</v>
      </c>
      <c r="AA4048">
        <v>0.99413289999999999</v>
      </c>
      <c r="AB4048">
        <v>19</v>
      </c>
      <c r="AC4048">
        <v>33.133099999999999</v>
      </c>
      <c r="AD4048">
        <v>-1.1229084342860001</v>
      </c>
      <c r="AE4048">
        <v>0.93070000000000097</v>
      </c>
      <c r="AF4048">
        <v>-3.5953839600332498</v>
      </c>
      <c r="AG4048">
        <v>-1.1229084342860001</v>
      </c>
      <c r="AH4048">
        <v>32.912371843486298</v>
      </c>
      <c r="AI4048">
        <v>91.942519289407798</v>
      </c>
      <c r="AJ4048">
        <v>96.234333466890305</v>
      </c>
      <c r="AK4048">
        <v>33.127208296742502</v>
      </c>
      <c r="AL4048">
        <v>93.784829806364002</v>
      </c>
      <c r="AM4048">
        <v>93.892652211429905</v>
      </c>
      <c r="AN4048">
        <v>0.99999999457910105</v>
      </c>
    </row>
    <row r="4049" spans="1:40" x14ac:dyDescent="0.25">
      <c r="A4049" t="str">
        <f>"20190303153848162"</f>
        <v>20190303153848162</v>
      </c>
      <c r="B4049" t="str">
        <f>"1551598728152611"</f>
        <v>1551598728152611</v>
      </c>
      <c r="C4049" t="s">
        <v>40</v>
      </c>
      <c r="D4049">
        <v>4.402755</v>
      </c>
      <c r="E4049">
        <v>0.48486410000000002</v>
      </c>
      <c r="F4049" t="s">
        <v>55</v>
      </c>
      <c r="G4049">
        <v>-442.07150000000001</v>
      </c>
      <c r="H4049" s="1">
        <v>-5.3729999999999897E-7</v>
      </c>
      <c r="I4049">
        <v>216.9691</v>
      </c>
      <c r="J4049">
        <v>-475.21210000000002</v>
      </c>
      <c r="K4049">
        <v>1.122846</v>
      </c>
      <c r="L4049">
        <v>216.02969999999999</v>
      </c>
      <c r="M4049">
        <v>0.99726959999999998</v>
      </c>
      <c r="N4049">
        <v>5.6852170000000002E-4</v>
      </c>
      <c r="O4049">
        <v>-7.3845389999999997E-2</v>
      </c>
      <c r="P4049">
        <v>0.99784799999999996</v>
      </c>
      <c r="Q4049">
        <v>-6.4488909999999997E-2</v>
      </c>
      <c r="R4049">
        <v>-1.185216E-2</v>
      </c>
      <c r="S4049">
        <v>3.0009459999999999</v>
      </c>
      <c r="T4049">
        <v>-0.1011142</v>
      </c>
      <c r="U4049">
        <v>8.3938600000000002E-2</v>
      </c>
      <c r="V4049">
        <v>-6.1315559999999998E-2</v>
      </c>
      <c r="W4049">
        <v>-6.5574919999999995E-2</v>
      </c>
      <c r="X4049">
        <v>0.99596200000000001</v>
      </c>
      <c r="Y4049">
        <v>-0.1016</v>
      </c>
      <c r="Z4049">
        <v>4.209829E-3</v>
      </c>
      <c r="AA4049">
        <v>0.99481640000000005</v>
      </c>
      <c r="AB4049">
        <v>19</v>
      </c>
      <c r="AC4049">
        <v>33.140599999999999</v>
      </c>
      <c r="AD4049">
        <v>-1.1228465373000001</v>
      </c>
      <c r="AE4049">
        <v>0.93940000000000601</v>
      </c>
      <c r="AF4049">
        <v>-3.3802387341885902</v>
      </c>
      <c r="AG4049">
        <v>-1.1228465373000001</v>
      </c>
      <c r="AH4049">
        <v>32.942959641462203</v>
      </c>
      <c r="AI4049">
        <v>91.941957748841801</v>
      </c>
      <c r="AJ4049">
        <v>95.858549914540006</v>
      </c>
      <c r="AK4049">
        <v>33.134957193052799</v>
      </c>
      <c r="AL4049">
        <v>93.759864111303699</v>
      </c>
      <c r="AM4049">
        <v>93.522920008261593</v>
      </c>
      <c r="AN4049">
        <v>0.99999998673755996</v>
      </c>
    </row>
    <row r="4050" spans="1:40" x14ac:dyDescent="0.25">
      <c r="A4050" t="str">
        <f>"20190303153848183"</f>
        <v>20190303153848183</v>
      </c>
      <c r="B4050" t="str">
        <f>"1551598728172131"</f>
        <v>1551598728172131</v>
      </c>
      <c r="C4050" t="s">
        <v>40</v>
      </c>
      <c r="D4050">
        <v>4.3785109999999996</v>
      </c>
      <c r="E4050">
        <v>0.48493560000000002</v>
      </c>
      <c r="F4050" t="s">
        <v>55</v>
      </c>
      <c r="G4050">
        <v>-441.6105</v>
      </c>
      <c r="H4050" s="1">
        <v>-7.8287290000000001E-7</v>
      </c>
      <c r="I4050">
        <v>216.97569999999999</v>
      </c>
      <c r="J4050">
        <v>-475.02499999999998</v>
      </c>
      <c r="K4050">
        <v>1.122757</v>
      </c>
      <c r="L4050">
        <v>216.02350000000001</v>
      </c>
      <c r="M4050">
        <v>0.99773559999999994</v>
      </c>
      <c r="N4050">
        <v>6.4957699999999895E-4</v>
      </c>
      <c r="O4050">
        <v>-6.7256179999999999E-2</v>
      </c>
      <c r="P4050">
        <v>0.99785860000000004</v>
      </c>
      <c r="Q4050">
        <v>-6.4206449999999998E-2</v>
      </c>
      <c r="R4050">
        <v>-1.248807E-2</v>
      </c>
      <c r="S4050">
        <v>3.0010680000000001</v>
      </c>
      <c r="T4050">
        <v>-0.1002852</v>
      </c>
      <c r="U4050">
        <v>8.4487919999999994E-2</v>
      </c>
      <c r="V4050">
        <v>-5.4115330000000003E-2</v>
      </c>
      <c r="W4050">
        <v>-6.5302550000000001E-2</v>
      </c>
      <c r="X4050">
        <v>0.99639710000000004</v>
      </c>
      <c r="Y4050">
        <v>-9.5216239999999994E-2</v>
      </c>
      <c r="Z4050">
        <v>3.848532E-3</v>
      </c>
      <c r="AA4050">
        <v>0.99544920000000003</v>
      </c>
      <c r="AB4050">
        <v>19</v>
      </c>
      <c r="AC4050">
        <v>33.414499999999897</v>
      </c>
      <c r="AD4050">
        <v>-1.1227577828728901</v>
      </c>
      <c r="AE4050">
        <v>0.95219999999997595</v>
      </c>
      <c r="AF4050">
        <v>-3.1937729979247802</v>
      </c>
      <c r="AG4050">
        <v>-1.1227577828728901</v>
      </c>
      <c r="AH4050">
        <v>33.237304326016101</v>
      </c>
      <c r="AI4050">
        <v>91.925854757201293</v>
      </c>
      <c r="AJ4050">
        <v>95.488700657764497</v>
      </c>
      <c r="AK4050">
        <v>33.409267724113398</v>
      </c>
      <c r="AL4050">
        <v>93.744224752067595</v>
      </c>
      <c r="AM4050">
        <v>93.108737290977302</v>
      </c>
      <c r="AN4050">
        <v>1.00000003643296</v>
      </c>
    </row>
    <row r="4051" spans="1:40" x14ac:dyDescent="0.25">
      <c r="A4051" t="str">
        <f>"20190303153848207"</f>
        <v>20190303153848207</v>
      </c>
      <c r="B4051" t="str">
        <f>"1551598728202387"</f>
        <v>1551598728202387</v>
      </c>
      <c r="C4051" t="s">
        <v>40</v>
      </c>
      <c r="D4051">
        <v>4.3390029999999999</v>
      </c>
      <c r="E4051">
        <v>0.48506670000000002</v>
      </c>
      <c r="F4051" t="s">
        <v>55</v>
      </c>
      <c r="G4051">
        <v>-441.21539999999999</v>
      </c>
      <c r="H4051" s="1">
        <v>-9.918606E-7</v>
      </c>
      <c r="I4051">
        <v>216.94589999999999</v>
      </c>
      <c r="J4051">
        <v>-474.82670000000002</v>
      </c>
      <c r="K4051">
        <v>1.1226480000000001</v>
      </c>
      <c r="L4051">
        <v>216.01779999999999</v>
      </c>
      <c r="M4051">
        <v>0.99816360000000004</v>
      </c>
      <c r="N4051">
        <v>7.122799E-4</v>
      </c>
      <c r="O4051">
        <v>-6.0574410000000002E-2</v>
      </c>
      <c r="P4051">
        <v>0.99783900000000003</v>
      </c>
      <c r="Q4051">
        <v>-6.4361360000000006E-2</v>
      </c>
      <c r="R4051">
        <v>-1.323445E-2</v>
      </c>
      <c r="S4051">
        <v>3.001007</v>
      </c>
      <c r="T4051">
        <v>-9.9658250000000004E-2</v>
      </c>
      <c r="U4051">
        <v>8.1878660000000006E-2</v>
      </c>
      <c r="V4051">
        <v>-4.6711570000000001E-2</v>
      </c>
      <c r="W4051">
        <v>-6.5446900000000002E-2</v>
      </c>
      <c r="X4051">
        <v>0.99676209999999998</v>
      </c>
      <c r="Y4051">
        <v>-8.7693300000000002E-2</v>
      </c>
      <c r="Z4051">
        <v>3.4774250000000001E-3</v>
      </c>
      <c r="AA4051">
        <v>0.99614139999999995</v>
      </c>
      <c r="AB4051">
        <v>20</v>
      </c>
      <c r="AC4051">
        <v>33.6113</v>
      </c>
      <c r="AD4051">
        <v>-1.1226489918606</v>
      </c>
      <c r="AE4051">
        <v>0.92810000000000004</v>
      </c>
      <c r="AF4051">
        <v>-2.9590818496729701</v>
      </c>
      <c r="AG4051">
        <v>-1.1226489918606</v>
      </c>
      <c r="AH4051">
        <v>33.456064011080301</v>
      </c>
      <c r="AI4051">
        <v>91.914423503798204</v>
      </c>
      <c r="AJ4051">
        <v>95.054475702597699</v>
      </c>
      <c r="AK4051">
        <v>33.605427021025797</v>
      </c>
      <c r="AL4051">
        <v>93.752513356229798</v>
      </c>
      <c r="AM4051">
        <v>92.6831067660098</v>
      </c>
      <c r="AN4051">
        <v>0.99999997574394195</v>
      </c>
    </row>
    <row r="4052" spans="1:40" x14ac:dyDescent="0.25">
      <c r="A4052" t="str">
        <f>"20190303153848228"</f>
        <v>20190303153848228</v>
      </c>
      <c r="B4052" t="str">
        <f>"1551598728222884"</f>
        <v>1551598728222884</v>
      </c>
      <c r="C4052" t="s">
        <v>40</v>
      </c>
      <c r="D4052">
        <v>4.3566349999999998</v>
      </c>
      <c r="E4052">
        <v>0.48516720000000002</v>
      </c>
      <c r="F4052" t="s">
        <v>55</v>
      </c>
      <c r="G4052">
        <v>-441.17090000000002</v>
      </c>
      <c r="H4052" s="1">
        <v>-1.013442E-6</v>
      </c>
      <c r="I4052">
        <v>216.89789999999999</v>
      </c>
      <c r="J4052">
        <v>-474.63389999999998</v>
      </c>
      <c r="K4052">
        <v>1.12252</v>
      </c>
      <c r="L4052">
        <v>216.01320000000001</v>
      </c>
      <c r="M4052">
        <v>0.99851809999999996</v>
      </c>
      <c r="N4052">
        <v>7.4690089999999998E-4</v>
      </c>
      <c r="O4052">
        <v>-5.4416619999999999E-2</v>
      </c>
      <c r="P4052">
        <v>0.99778429999999996</v>
      </c>
      <c r="Q4052">
        <v>-6.4942589999999994E-2</v>
      </c>
      <c r="R4052">
        <v>-1.447059E-2</v>
      </c>
      <c r="S4052">
        <v>3.0010680000000001</v>
      </c>
      <c r="T4052">
        <v>-0.100106</v>
      </c>
      <c r="U4052">
        <v>7.8475950000000003E-2</v>
      </c>
      <c r="V4052">
        <v>-3.9340960000000001E-2</v>
      </c>
      <c r="W4052">
        <v>-6.5991499999999995E-2</v>
      </c>
      <c r="X4052">
        <v>0.99704429999999999</v>
      </c>
      <c r="Y4052">
        <v>-8.0424410000000002E-2</v>
      </c>
      <c r="Z4052">
        <v>3.1653330000000002E-3</v>
      </c>
      <c r="AA4052">
        <v>0.99675570000000002</v>
      </c>
      <c r="AB4052">
        <v>20</v>
      </c>
      <c r="AC4052">
        <v>33.462999999999901</v>
      </c>
      <c r="AD4052">
        <v>-1.1225210134420001</v>
      </c>
      <c r="AE4052">
        <v>0.88469999999998095</v>
      </c>
      <c r="AF4052">
        <v>-2.7012953262207602</v>
      </c>
      <c r="AG4052">
        <v>-1.1225210134420001</v>
      </c>
      <c r="AH4052">
        <v>33.327799270113601</v>
      </c>
      <c r="AI4052">
        <v>91.922761967942904</v>
      </c>
      <c r="AJ4052">
        <v>94.633826083556599</v>
      </c>
      <c r="AK4052">
        <v>33.455930028233702</v>
      </c>
      <c r="AL4052">
        <v>93.783784291149701</v>
      </c>
      <c r="AM4052">
        <v>92.259580916393901</v>
      </c>
      <c r="AN4052">
        <v>0.99999996268422997</v>
      </c>
    </row>
    <row r="4053" spans="1:40" x14ac:dyDescent="0.25">
      <c r="A4053" t="str">
        <f>"20190303153848251"</f>
        <v>20190303153848251</v>
      </c>
      <c r="B4053" t="str">
        <f>"1551598728242064"</f>
        <v>1551598728242064</v>
      </c>
      <c r="C4053" t="s">
        <v>40</v>
      </c>
      <c r="D4053">
        <v>4.3606600000000002</v>
      </c>
      <c r="E4053">
        <v>0.48526750000000002</v>
      </c>
      <c r="F4053" t="s">
        <v>55</v>
      </c>
      <c r="G4053">
        <v>-441.53969999999998</v>
      </c>
      <c r="H4053" s="1">
        <v>-8.1408049999999996E-7</v>
      </c>
      <c r="I4053">
        <v>216.82679999999999</v>
      </c>
      <c r="J4053">
        <v>-474.42689999999999</v>
      </c>
      <c r="K4053">
        <v>1.122363</v>
      </c>
      <c r="L4053">
        <v>216.00919999999999</v>
      </c>
      <c r="M4053">
        <v>0.99883599999999995</v>
      </c>
      <c r="N4053">
        <v>7.4382660000000005E-4</v>
      </c>
      <c r="O4053">
        <v>-4.8233329999999998E-2</v>
      </c>
      <c r="P4053">
        <v>0.99773100000000003</v>
      </c>
      <c r="Q4053">
        <v>-6.5626740000000003E-2</v>
      </c>
      <c r="R4053">
        <v>-1.504895E-2</v>
      </c>
      <c r="S4053">
        <v>3.001099</v>
      </c>
      <c r="T4053">
        <v>-0.101794</v>
      </c>
      <c r="U4053">
        <v>7.3776250000000002E-2</v>
      </c>
      <c r="V4053">
        <v>-3.2608140000000001E-2</v>
      </c>
      <c r="W4053">
        <v>-6.6607849999999996E-2</v>
      </c>
      <c r="X4053">
        <v>0.99724630000000003</v>
      </c>
      <c r="Y4053">
        <v>-7.2696010000000005E-2</v>
      </c>
      <c r="Z4053">
        <v>2.8762340000000001E-3</v>
      </c>
      <c r="AA4053">
        <v>0.99734999999999996</v>
      </c>
      <c r="AB4053">
        <v>20</v>
      </c>
      <c r="AC4053">
        <v>32.8872</v>
      </c>
      <c r="AD4053">
        <v>-1.1223638140804999</v>
      </c>
      <c r="AE4053">
        <v>0.817599999999998</v>
      </c>
      <c r="AF4053">
        <v>-2.4001140308886</v>
      </c>
      <c r="AG4053">
        <v>-1.1223638140804999</v>
      </c>
      <c r="AH4053">
        <v>32.771341705135498</v>
      </c>
      <c r="AI4053">
        <v>91.956282756050598</v>
      </c>
      <c r="AJ4053">
        <v>94.188761086312297</v>
      </c>
      <c r="AK4053">
        <v>32.878276795586203</v>
      </c>
      <c r="AL4053">
        <v>93.819176123601906</v>
      </c>
      <c r="AM4053">
        <v>91.872800510132706</v>
      </c>
      <c r="AN4053">
        <v>1.0000000396697799</v>
      </c>
    </row>
    <row r="4054" spans="1:40" x14ac:dyDescent="0.25">
      <c r="A4054" t="str">
        <f>"20190303153848273"</f>
        <v>20190303153848273</v>
      </c>
      <c r="B4054" t="str">
        <f>"1551598728262563"</f>
        <v>1551598728262563</v>
      </c>
      <c r="C4054" t="s">
        <v>40</v>
      </c>
      <c r="D4054">
        <v>4.3274049999999997</v>
      </c>
      <c r="E4054">
        <v>0.48536020000000002</v>
      </c>
      <c r="F4054" t="s">
        <v>55</v>
      </c>
      <c r="G4054">
        <v>-442.07619999999997</v>
      </c>
      <c r="H4054" s="1">
        <v>-5.263405E-7</v>
      </c>
      <c r="I4054">
        <v>216.7758</v>
      </c>
      <c r="J4054">
        <v>-474.22609999999997</v>
      </c>
      <c r="K4054">
        <v>1.122204</v>
      </c>
      <c r="L4054">
        <v>216.006</v>
      </c>
      <c r="M4054">
        <v>0.99908859999999999</v>
      </c>
      <c r="N4054">
        <v>6.7946059999999999E-4</v>
      </c>
      <c r="O4054">
        <v>-4.26792E-2</v>
      </c>
      <c r="P4054">
        <v>0.99780290000000005</v>
      </c>
      <c r="Q4054">
        <v>-6.4409279999999999E-2</v>
      </c>
      <c r="R4054">
        <v>-1.552015E-2</v>
      </c>
      <c r="S4054">
        <v>3.0010680000000001</v>
      </c>
      <c r="T4054">
        <v>-0.104118</v>
      </c>
      <c r="U4054">
        <v>7.1121219999999999E-2</v>
      </c>
      <c r="V4054">
        <v>-2.6632610000000001E-2</v>
      </c>
      <c r="W4054">
        <v>-6.5271040000000002E-2</v>
      </c>
      <c r="X4054">
        <v>0.99751210000000001</v>
      </c>
      <c r="Y4054">
        <v>-6.6271880000000005E-2</v>
      </c>
      <c r="Z4054">
        <v>2.6354579999999998E-3</v>
      </c>
      <c r="AA4054">
        <v>0.99779810000000002</v>
      </c>
      <c r="AB4054">
        <v>20</v>
      </c>
      <c r="AC4054">
        <v>32.149900000000002</v>
      </c>
      <c r="AD4054">
        <v>-1.1222045263405001</v>
      </c>
      <c r="AE4054">
        <v>0.76980000000003201</v>
      </c>
      <c r="AF4054">
        <v>-2.1386267246343502</v>
      </c>
      <c r="AG4054">
        <v>-1.1222045263405001</v>
      </c>
      <c r="AH4054">
        <v>32.048726102385899</v>
      </c>
      <c r="AI4054">
        <v>92.000978682089496</v>
      </c>
      <c r="AJ4054">
        <v>93.817714605750794</v>
      </c>
      <c r="AK4054">
        <v>32.139600371691103</v>
      </c>
      <c r="AL4054">
        <v>93.742415649525299</v>
      </c>
      <c r="AM4054">
        <v>91.529378664611997</v>
      </c>
      <c r="AN4054">
        <v>0.99999999711225096</v>
      </c>
    </row>
    <row r="4055" spans="1:40" x14ac:dyDescent="0.25">
      <c r="A4055" t="str">
        <f>"20190303153848294"</f>
        <v>20190303153848294</v>
      </c>
      <c r="B4055" t="str">
        <f>"1551598728282080"</f>
        <v>1551598728282080</v>
      </c>
      <c r="C4055" t="s">
        <v>40</v>
      </c>
      <c r="D4055">
        <v>4.3223479999999999</v>
      </c>
      <c r="E4055">
        <v>0.4854426</v>
      </c>
      <c r="F4055" t="s">
        <v>55</v>
      </c>
      <c r="G4055">
        <v>-440.81200000000001</v>
      </c>
      <c r="H4055" s="1">
        <v>-1.199303E-6</v>
      </c>
      <c r="I4055">
        <v>216.78020000000001</v>
      </c>
      <c r="J4055">
        <v>-474.0299</v>
      </c>
      <c r="K4055">
        <v>1.122072</v>
      </c>
      <c r="L4055">
        <v>216.00360000000001</v>
      </c>
      <c r="M4055">
        <v>0.99929290000000004</v>
      </c>
      <c r="N4055">
        <v>5.465194E-4</v>
      </c>
      <c r="O4055">
        <v>-3.7596449999999997E-2</v>
      </c>
      <c r="P4055">
        <v>0.99794590000000005</v>
      </c>
      <c r="Q4055">
        <v>-6.2112180000000003E-2</v>
      </c>
      <c r="R4055">
        <v>-1.569709E-2</v>
      </c>
      <c r="S4055">
        <v>3.0012210000000001</v>
      </c>
      <c r="T4055">
        <v>-0.100795</v>
      </c>
      <c r="U4055">
        <v>6.9534299999999993E-2</v>
      </c>
      <c r="V4055">
        <v>-2.142873E-2</v>
      </c>
      <c r="W4055">
        <v>-6.2797019999999995E-2</v>
      </c>
      <c r="X4055">
        <v>0.99779620000000002</v>
      </c>
      <c r="Y4055">
        <v>-6.0676939999999999E-2</v>
      </c>
      <c r="Z4055">
        <v>2.284491E-3</v>
      </c>
      <c r="AA4055">
        <v>0.99815480000000001</v>
      </c>
      <c r="AB4055">
        <v>21</v>
      </c>
      <c r="AC4055">
        <v>33.2179</v>
      </c>
      <c r="AD4055">
        <v>-1.122073199303</v>
      </c>
      <c r="AE4055">
        <v>0.77660000000000196</v>
      </c>
      <c r="AF4055">
        <v>-2.0226195781042899</v>
      </c>
      <c r="AG4055">
        <v>-1.122073199303</v>
      </c>
      <c r="AH4055">
        <v>33.127438814877301</v>
      </c>
      <c r="AI4055">
        <v>91.936344376828899</v>
      </c>
      <c r="AJ4055">
        <v>93.493897772954398</v>
      </c>
      <c r="AK4055">
        <v>33.2080899880701</v>
      </c>
      <c r="AL4055">
        <v>93.600373342967202</v>
      </c>
      <c r="AM4055">
        <v>91.230298414486597</v>
      </c>
      <c r="AN4055">
        <v>0.99999995646236495</v>
      </c>
    </row>
    <row r="4056" spans="1:40" x14ac:dyDescent="0.25">
      <c r="A4056" t="str">
        <f>"20190303153848319"</f>
        <v>20190303153848319</v>
      </c>
      <c r="B4056" t="str">
        <f>"1551598728312337"</f>
        <v>1551598728312337</v>
      </c>
      <c r="C4056" t="s">
        <v>40</v>
      </c>
      <c r="D4056">
        <v>4.314673</v>
      </c>
      <c r="E4056">
        <v>0.48560209999999998</v>
      </c>
      <c r="F4056" t="s">
        <v>57</v>
      </c>
      <c r="G4056">
        <v>-438.21559999999999</v>
      </c>
      <c r="H4056" s="1">
        <v>5.6676559999999996E-6</v>
      </c>
      <c r="I4056">
        <v>216.81970000000001</v>
      </c>
      <c r="J4056">
        <v>-473.8107</v>
      </c>
      <c r="K4056">
        <v>1.1219619999999999</v>
      </c>
      <c r="L4056">
        <v>216.0016</v>
      </c>
      <c r="M4056">
        <v>0.99947770000000002</v>
      </c>
      <c r="N4056">
        <v>2.6818620000000002E-4</v>
      </c>
      <c r="O4056">
        <v>-3.2318689999999997E-2</v>
      </c>
      <c r="P4056">
        <v>0.99805250000000001</v>
      </c>
      <c r="Q4056">
        <v>-6.0639890000000002E-2</v>
      </c>
      <c r="R4056">
        <v>-1.464499E-2</v>
      </c>
      <c r="S4056">
        <v>3.0014340000000002</v>
      </c>
      <c r="T4056">
        <v>-9.4035389999999996E-2</v>
      </c>
      <c r="U4056">
        <v>6.8389889999999995E-2</v>
      </c>
      <c r="V4056">
        <v>-1.7253069999999999E-2</v>
      </c>
      <c r="W4056">
        <v>-6.1012129999999998E-2</v>
      </c>
      <c r="X4056">
        <v>0.99798790000000004</v>
      </c>
      <c r="Y4056">
        <v>-5.503533E-2</v>
      </c>
      <c r="Z4056">
        <v>1.875222E-3</v>
      </c>
      <c r="AA4056">
        <v>0.9984826</v>
      </c>
      <c r="AB4056">
        <v>21</v>
      </c>
      <c r="AC4056">
        <v>35.595100000000002</v>
      </c>
      <c r="AD4056">
        <v>-1.1219563323440001</v>
      </c>
      <c r="AE4056">
        <v>0.81810000000001504</v>
      </c>
      <c r="AF4056">
        <v>-1.96610722855152</v>
      </c>
      <c r="AG4056">
        <v>-1.1219563323440001</v>
      </c>
      <c r="AH4056">
        <v>35.514800110177603</v>
      </c>
      <c r="AI4056">
        <v>91.806677990816695</v>
      </c>
      <c r="AJ4056">
        <v>93.168672663590897</v>
      </c>
      <c r="AK4056">
        <v>35.586871041322603</v>
      </c>
      <c r="AL4056">
        <v>93.497909996649796</v>
      </c>
      <c r="AM4056">
        <v>90.990422460893498</v>
      </c>
      <c r="AN4056">
        <v>0.99999999848898502</v>
      </c>
    </row>
    <row r="4057" spans="1:40" x14ac:dyDescent="0.25">
      <c r="A4057" t="str">
        <f>"20190303153848341"</f>
        <v>20190303153848341</v>
      </c>
      <c r="B4057" t="str">
        <f>"1551598728332757"</f>
        <v>1551598728332757</v>
      </c>
      <c r="C4057" t="s">
        <v>40</v>
      </c>
      <c r="D4057">
        <v>4.3364379999999896</v>
      </c>
      <c r="E4057">
        <v>0.48568450000000002</v>
      </c>
      <c r="F4057" t="s">
        <v>57</v>
      </c>
      <c r="G4057">
        <v>-436.41520000000003</v>
      </c>
      <c r="H4057" s="1">
        <v>4.8638659999999996E-6</v>
      </c>
      <c r="I4057">
        <v>216.8809</v>
      </c>
      <c r="J4057">
        <v>-473.58940000000001</v>
      </c>
      <c r="K4057">
        <v>1.1218669999999999</v>
      </c>
      <c r="L4057">
        <v>216.00020000000001</v>
      </c>
      <c r="M4057">
        <v>0.99962390000000001</v>
      </c>
      <c r="N4057">
        <v>-2.204436E-4</v>
      </c>
      <c r="O4057">
        <v>-2.742723E-2</v>
      </c>
      <c r="P4057">
        <v>0.99795339999999999</v>
      </c>
      <c r="Q4057">
        <v>-6.2544710000000003E-2</v>
      </c>
      <c r="R4057">
        <v>-1.332795E-2</v>
      </c>
      <c r="S4057">
        <v>3.0014340000000002</v>
      </c>
      <c r="T4057">
        <v>-9.0050340000000006E-2</v>
      </c>
      <c r="U4057">
        <v>7.0571899999999896E-2</v>
      </c>
      <c r="V4057">
        <v>-1.370507E-2</v>
      </c>
      <c r="W4057">
        <v>-6.2401060000000001E-2</v>
      </c>
      <c r="X4057">
        <v>0.99795710000000004</v>
      </c>
      <c r="Y4057">
        <v>-5.0881820000000001E-2</v>
      </c>
      <c r="Z4057">
        <v>1.585152E-3</v>
      </c>
      <c r="AA4057">
        <v>0.99870340000000002</v>
      </c>
      <c r="AB4057">
        <v>21</v>
      </c>
      <c r="AC4057">
        <v>37.1741999999999</v>
      </c>
      <c r="AD4057">
        <v>-1.121862136134</v>
      </c>
      <c r="AE4057">
        <v>0.88069999999999005</v>
      </c>
      <c r="AF4057">
        <v>-1.89822609166805</v>
      </c>
      <c r="AG4057">
        <v>-1.121862136134</v>
      </c>
      <c r="AH4057">
        <v>37.102288327647102</v>
      </c>
      <c r="AI4057">
        <v>91.729664288539098</v>
      </c>
      <c r="AJ4057">
        <v>92.928811191077003</v>
      </c>
      <c r="AK4057">
        <v>37.167749946633002</v>
      </c>
      <c r="AL4057">
        <v>93.577641597588993</v>
      </c>
      <c r="AM4057">
        <v>90.786800664336297</v>
      </c>
      <c r="AN4057">
        <v>1.00000004733661</v>
      </c>
    </row>
    <row r="4058" spans="1:40" x14ac:dyDescent="0.25">
      <c r="A4058" t="str">
        <f>"20190303153848363"</f>
        <v>20190303153848363</v>
      </c>
      <c r="B4058" t="str">
        <f>"1551598728352277"</f>
        <v>1551598728352277</v>
      </c>
      <c r="C4058" t="s">
        <v>40</v>
      </c>
      <c r="D4058">
        <v>4.3267230000000003</v>
      </c>
      <c r="E4058">
        <v>0.4857784</v>
      </c>
      <c r="F4058" t="s">
        <v>57</v>
      </c>
      <c r="G4058">
        <v>-438.5795</v>
      </c>
      <c r="H4058" s="1">
        <v>5.82518E-6</v>
      </c>
      <c r="I4058">
        <v>216.86359999999999</v>
      </c>
      <c r="J4058">
        <v>-473.39319999999998</v>
      </c>
      <c r="K4058">
        <v>1.121793</v>
      </c>
      <c r="L4058">
        <v>215.99950000000001</v>
      </c>
      <c r="M4058">
        <v>0.99972399999999995</v>
      </c>
      <c r="N4058">
        <v>-8.8283280000000001E-4</v>
      </c>
      <c r="O4058">
        <v>-2.3478220000000001E-2</v>
      </c>
      <c r="P4058">
        <v>0.99759200000000003</v>
      </c>
      <c r="Q4058">
        <v>-6.7887059999999999E-2</v>
      </c>
      <c r="R4058">
        <v>-1.4200529999999999E-2</v>
      </c>
      <c r="S4058">
        <v>3.0011290000000002</v>
      </c>
      <c r="T4058">
        <v>-9.6168400000000001E-2</v>
      </c>
      <c r="U4058">
        <v>7.4005130000000002E-2</v>
      </c>
      <c r="V4058">
        <v>-8.8907869999999903E-3</v>
      </c>
      <c r="W4058">
        <v>-6.7051509999999995E-2</v>
      </c>
      <c r="X4058">
        <v>0.99770990000000004</v>
      </c>
      <c r="Y4058">
        <v>-4.8079169999999997E-2</v>
      </c>
      <c r="Z4058">
        <v>1.5225579999999901E-3</v>
      </c>
      <c r="AA4058">
        <v>0.99884240000000002</v>
      </c>
      <c r="AB4058">
        <v>21</v>
      </c>
      <c r="AC4058">
        <v>34.813699999999898</v>
      </c>
      <c r="AD4058">
        <v>-1.1217871748199999</v>
      </c>
      <c r="AE4058">
        <v>0.864099999999979</v>
      </c>
      <c r="AF4058">
        <v>-1.67948307743165</v>
      </c>
      <c r="AG4058">
        <v>-1.1217871748199999</v>
      </c>
      <c r="AH4058">
        <v>34.747759814482698</v>
      </c>
      <c r="AI4058">
        <v>91.846924483888202</v>
      </c>
      <c r="AJ4058">
        <v>92.767155759305396</v>
      </c>
      <c r="AK4058">
        <v>34.806405760979501</v>
      </c>
      <c r="AL4058">
        <v>93.844653085457907</v>
      </c>
      <c r="AM4058">
        <v>90.510560322651997</v>
      </c>
      <c r="AN4058">
        <v>0.99999999782238402</v>
      </c>
    </row>
    <row r="4059" spans="1:40" x14ac:dyDescent="0.25">
      <c r="A4059" t="str">
        <f>"20190303153848396"</f>
        <v>20190303153848396</v>
      </c>
      <c r="B4059" t="str">
        <f>"1551598728392293"</f>
        <v>1551598728392293</v>
      </c>
      <c r="C4059" t="s">
        <v>40</v>
      </c>
      <c r="D4059">
        <v>4.3227120000000001</v>
      </c>
      <c r="E4059">
        <v>0.48601319999999998</v>
      </c>
      <c r="F4059" t="s">
        <v>55</v>
      </c>
      <c r="G4059">
        <v>-443.4717</v>
      </c>
      <c r="H4059" s="1">
        <v>2.1953230000000001E-7</v>
      </c>
      <c r="I4059">
        <v>216.70179999999999</v>
      </c>
      <c r="J4059">
        <v>-473.0831</v>
      </c>
      <c r="K4059">
        <v>1.121702</v>
      </c>
      <c r="L4059">
        <v>215.99889999999999</v>
      </c>
      <c r="M4059">
        <v>0.99983489999999997</v>
      </c>
      <c r="N4059">
        <v>-2.3489029999999998E-3</v>
      </c>
      <c r="O4059">
        <v>-1.802057E-2</v>
      </c>
      <c r="P4059">
        <v>0.99721539999999997</v>
      </c>
      <c r="Q4059">
        <v>-7.3400859999999998E-2</v>
      </c>
      <c r="R4059">
        <v>-1.317398E-2</v>
      </c>
      <c r="S4059">
        <v>3.00061</v>
      </c>
      <c r="T4059">
        <v>-0.1124964</v>
      </c>
      <c r="U4059">
        <v>7.0434570000000002E-2</v>
      </c>
      <c r="V4059">
        <v>-4.5106970000000001E-3</v>
      </c>
      <c r="W4059">
        <v>-7.1076970000000003E-2</v>
      </c>
      <c r="X4059">
        <v>0.99746069999999998</v>
      </c>
      <c r="Y4059">
        <v>-4.1436760000000003E-2</v>
      </c>
      <c r="Z4059">
        <v>1.4580490000000001E-3</v>
      </c>
      <c r="AA4059">
        <v>0.99914009999999998</v>
      </c>
      <c r="AB4059">
        <v>21</v>
      </c>
      <c r="AC4059">
        <v>29.6114</v>
      </c>
      <c r="AD4059">
        <v>-1.1217017804676901</v>
      </c>
      <c r="AE4059">
        <v>0.70289999999999897</v>
      </c>
      <c r="AF4059">
        <v>-1.23463097894339</v>
      </c>
      <c r="AG4059">
        <v>-1.1217017804676901</v>
      </c>
      <c r="AH4059">
        <v>29.551543749735199</v>
      </c>
      <c r="AI4059">
        <v>92.171866336924396</v>
      </c>
      <c r="AJ4059">
        <v>92.392363328351607</v>
      </c>
      <c r="AK4059">
        <v>29.598585549498601</v>
      </c>
      <c r="AL4059">
        <v>94.075846880637599</v>
      </c>
      <c r="AM4059">
        <v>90.259100071860701</v>
      </c>
      <c r="AN4059">
        <v>1.00000006504814</v>
      </c>
    </row>
    <row r="4060" spans="1:40" x14ac:dyDescent="0.25">
      <c r="A4060" t="str">
        <f>"20190303153848416"</f>
        <v>20190303153848416</v>
      </c>
      <c r="B4060" t="str">
        <f>"1551598728412790"</f>
        <v>1551598728412790</v>
      </c>
      <c r="C4060" t="s">
        <v>40</v>
      </c>
      <c r="D4060">
        <v>4.3241620000000003</v>
      </c>
      <c r="E4060">
        <v>0.48614309999999999</v>
      </c>
      <c r="F4060" t="s">
        <v>55</v>
      </c>
      <c r="G4060">
        <v>-447.03190000000001</v>
      </c>
      <c r="H4060" s="1">
        <v>2.117811E-6</v>
      </c>
      <c r="I4060">
        <v>216.61689999999999</v>
      </c>
      <c r="J4060">
        <v>-472.8843</v>
      </c>
      <c r="K4060">
        <v>1.1216619999999999</v>
      </c>
      <c r="L4060">
        <v>215.99889999999999</v>
      </c>
      <c r="M4060">
        <v>0.99988120000000003</v>
      </c>
      <c r="N4060">
        <v>-3.4606469999999999E-3</v>
      </c>
      <c r="O4060">
        <v>-1.501751E-2</v>
      </c>
      <c r="P4060">
        <v>0.9971352</v>
      </c>
      <c r="Q4060">
        <v>-7.4454870000000006E-2</v>
      </c>
      <c r="R4060">
        <v>-1.3341230000000001E-2</v>
      </c>
      <c r="S4060">
        <v>2.9997859999999998</v>
      </c>
      <c r="T4060">
        <v>-0.12916369999999999</v>
      </c>
      <c r="U4060">
        <v>7.1151729999999996E-2</v>
      </c>
      <c r="V4060">
        <v>-1.390102E-3</v>
      </c>
      <c r="W4060">
        <v>-7.1008619999999995E-2</v>
      </c>
      <c r="X4060">
        <v>0.99747470000000005</v>
      </c>
      <c r="Y4060">
        <v>-3.867251E-2</v>
      </c>
      <c r="Z4060">
        <v>1.4933289999999901E-3</v>
      </c>
      <c r="AA4060">
        <v>0.99925079999999999</v>
      </c>
      <c r="AB4060">
        <v>21</v>
      </c>
      <c r="AC4060">
        <v>25.8523999999999</v>
      </c>
      <c r="AD4060">
        <v>-1.121659882189</v>
      </c>
      <c r="AE4060">
        <v>0.617999999999995</v>
      </c>
      <c r="AF4060">
        <v>-1.0042819059531001</v>
      </c>
      <c r="AG4060">
        <v>-1.121659882189</v>
      </c>
      <c r="AH4060">
        <v>25.791680228422202</v>
      </c>
      <c r="AI4060">
        <v>92.488295993873294</v>
      </c>
      <c r="AJ4060">
        <v>92.229868685983604</v>
      </c>
      <c r="AK4060">
        <v>25.835585382242101</v>
      </c>
      <c r="AL4060">
        <v>94.071921194852806</v>
      </c>
      <c r="AM4060">
        <v>90.079848567717804</v>
      </c>
      <c r="AN4060">
        <v>0.99999996681898196</v>
      </c>
    </row>
    <row r="4061" spans="1:40" x14ac:dyDescent="0.25">
      <c r="A4061" t="str">
        <f>"20190303153848440"</f>
        <v>20190303153848440</v>
      </c>
      <c r="B4061" t="str">
        <f>"1551598728432353"</f>
        <v>1551598728432353</v>
      </c>
      <c r="C4061" t="s">
        <v>40</v>
      </c>
      <c r="D4061">
        <v>4.3119620000000003</v>
      </c>
      <c r="E4061">
        <v>0.48628320000000003</v>
      </c>
      <c r="F4061" t="s">
        <v>55</v>
      </c>
      <c r="G4061">
        <v>-447.39400000000001</v>
      </c>
      <c r="H4061" s="1">
        <v>2.3116910000000002E-6</v>
      </c>
      <c r="I4061">
        <v>216.589</v>
      </c>
      <c r="J4061">
        <v>-472.66879999999998</v>
      </c>
      <c r="K4061">
        <v>1.121624</v>
      </c>
      <c r="L4061">
        <v>215.999</v>
      </c>
      <c r="M4061">
        <v>0.9999152</v>
      </c>
      <c r="N4061">
        <v>-4.6867970000000004E-3</v>
      </c>
      <c r="O4061">
        <v>-1.216165E-2</v>
      </c>
      <c r="P4061">
        <v>0.99693149999999997</v>
      </c>
      <c r="Q4061">
        <v>-7.706694E-2</v>
      </c>
      <c r="R4061">
        <v>-1.373542E-2</v>
      </c>
      <c r="S4061">
        <v>2.9996640000000001</v>
      </c>
      <c r="T4061">
        <v>-0.13199539999999901</v>
      </c>
      <c r="U4061">
        <v>6.9442749999999998E-2</v>
      </c>
      <c r="V4061">
        <v>1.820599E-3</v>
      </c>
      <c r="W4061">
        <v>-7.2388250000000001E-2</v>
      </c>
      <c r="X4061">
        <v>0.99737489999999995</v>
      </c>
      <c r="Y4061">
        <v>-3.5253659999999999E-2</v>
      </c>
      <c r="Z4061">
        <v>1.3356970000000001E-3</v>
      </c>
      <c r="AA4061">
        <v>0.99937750000000003</v>
      </c>
      <c r="AB4061">
        <v>21</v>
      </c>
      <c r="AC4061">
        <v>25.2747999999999</v>
      </c>
      <c r="AD4061">
        <v>-1.121621688309</v>
      </c>
      <c r="AE4061">
        <v>0.59000000000000297</v>
      </c>
      <c r="AF4061">
        <v>-0.895580242036355</v>
      </c>
      <c r="AG4061">
        <v>-1.121621688309</v>
      </c>
      <c r="AH4061">
        <v>25.2161236035952</v>
      </c>
      <c r="AI4061">
        <v>92.545254171097994</v>
      </c>
      <c r="AJ4061">
        <v>92.034071923000994</v>
      </c>
      <c r="AK4061">
        <v>25.256939418175801</v>
      </c>
      <c r="AL4061">
        <v>94.151171871929506</v>
      </c>
      <c r="AM4061">
        <v>89.895412925442898</v>
      </c>
      <c r="AN4061">
        <v>1.00000003223439</v>
      </c>
    </row>
    <row r="4062" spans="1:40" x14ac:dyDescent="0.25">
      <c r="A4062" t="str">
        <f>"20190303153848463"</f>
        <v>20190303153848463</v>
      </c>
      <c r="B4062" t="str">
        <f>"1551598728452836"</f>
        <v>1551598728452836</v>
      </c>
      <c r="C4062" t="s">
        <v>40</v>
      </c>
      <c r="D4062">
        <v>4.3134240000000004</v>
      </c>
      <c r="E4062">
        <v>0.48645959999999999</v>
      </c>
      <c r="F4062" t="s">
        <v>55</v>
      </c>
      <c r="G4062">
        <v>-448.61040000000003</v>
      </c>
      <c r="H4062" s="1">
        <v>2.961212E-6</v>
      </c>
      <c r="I4062">
        <v>216.5384</v>
      </c>
      <c r="J4062">
        <v>-472.4495</v>
      </c>
      <c r="K4062">
        <v>1.1215790000000001</v>
      </c>
      <c r="L4062">
        <v>215.99930000000001</v>
      </c>
      <c r="M4062">
        <v>0.99993560000000004</v>
      </c>
      <c r="N4062">
        <v>-5.8737529999999998E-3</v>
      </c>
      <c r="O4062">
        <v>-9.7161620000000004E-3</v>
      </c>
      <c r="P4062">
        <v>0.9966024</v>
      </c>
      <c r="Q4062">
        <v>-8.0895439999999999E-2</v>
      </c>
      <c r="R4062">
        <v>-1.54807E-2</v>
      </c>
      <c r="S4062">
        <v>2.999298</v>
      </c>
      <c r="T4062">
        <v>-0.139829799999999</v>
      </c>
      <c r="U4062">
        <v>6.7245479999999996E-2</v>
      </c>
      <c r="V4062">
        <v>5.9799909999999996E-3</v>
      </c>
      <c r="W4062">
        <v>-7.5025250000000002E-2</v>
      </c>
      <c r="X4062">
        <v>0.99716369999999999</v>
      </c>
      <c r="Y4062">
        <v>-3.2080320000000002E-2</v>
      </c>
      <c r="Z4062">
        <v>1.2372360000000001E-3</v>
      </c>
      <c r="AA4062">
        <v>0.9994845</v>
      </c>
      <c r="AB4062">
        <v>21</v>
      </c>
      <c r="AC4062">
        <v>23.839099999999899</v>
      </c>
      <c r="AD4062">
        <v>-1.1215760387880001</v>
      </c>
      <c r="AE4062">
        <v>0.53909999999999003</v>
      </c>
      <c r="AF4062">
        <v>-0.76900178425745602</v>
      </c>
      <c r="AG4062">
        <v>-1.1215760387880001</v>
      </c>
      <c r="AH4062">
        <v>23.7801264229794</v>
      </c>
      <c r="AI4062">
        <v>92.698912795539798</v>
      </c>
      <c r="AJ4062">
        <v>91.852185593943602</v>
      </c>
      <c r="AK4062">
        <v>23.818977921981801</v>
      </c>
      <c r="AL4062">
        <v>94.302673125655005</v>
      </c>
      <c r="AM4062">
        <v>89.656401312556795</v>
      </c>
      <c r="AN4062">
        <v>0.999999996513806</v>
      </c>
    </row>
    <row r="4063" spans="1:40" x14ac:dyDescent="0.25">
      <c r="A4063" t="str">
        <f>"20190303153848485"</f>
        <v>20190303153848485</v>
      </c>
      <c r="B4063" t="str">
        <f>"1551598728472359"</f>
        <v>1551598728472359</v>
      </c>
      <c r="C4063" t="s">
        <v>40</v>
      </c>
      <c r="D4063">
        <v>4.2107700000000001</v>
      </c>
      <c r="E4063">
        <v>0.48664420000000003</v>
      </c>
      <c r="F4063" t="s">
        <v>55</v>
      </c>
      <c r="G4063">
        <v>-450.13490000000002</v>
      </c>
      <c r="H4063" s="1">
        <v>-1.5452489999999999E-6</v>
      </c>
      <c r="I4063">
        <v>216.45140000000001</v>
      </c>
      <c r="J4063">
        <v>-472.24869999999999</v>
      </c>
      <c r="K4063">
        <v>1.1215120000000001</v>
      </c>
      <c r="L4063">
        <v>215.99979999999999</v>
      </c>
      <c r="M4063">
        <v>0.99994530000000004</v>
      </c>
      <c r="N4063">
        <v>-6.8728069999999999E-3</v>
      </c>
      <c r="O4063">
        <v>-7.8796330000000005E-3</v>
      </c>
      <c r="P4063">
        <v>0.99631040000000004</v>
      </c>
      <c r="Q4063">
        <v>-8.4036390000000002E-2</v>
      </c>
      <c r="R4063">
        <v>-1.7419790000000001E-2</v>
      </c>
      <c r="S4063">
        <v>2.9989620000000001</v>
      </c>
      <c r="T4063">
        <v>-0.15073410000000001</v>
      </c>
      <c r="U4063">
        <v>6.0760500000000002E-2</v>
      </c>
      <c r="V4063">
        <v>9.7263019999999992E-3</v>
      </c>
      <c r="W4063">
        <v>-7.7166479999999996E-2</v>
      </c>
      <c r="X4063">
        <v>0.99697080000000005</v>
      </c>
      <c r="Y4063">
        <v>-2.8086219999999999E-2</v>
      </c>
      <c r="Z4063">
        <v>1.1435550000000001E-3</v>
      </c>
      <c r="AA4063">
        <v>0.99960479999999996</v>
      </c>
      <c r="AB4063">
        <v>21</v>
      </c>
      <c r="AC4063">
        <v>22.113799999999902</v>
      </c>
      <c r="AD4063">
        <v>-1.1215135452489999</v>
      </c>
      <c r="AE4063">
        <v>0.45160000000001299</v>
      </c>
      <c r="AF4063">
        <v>-0.62423382763538904</v>
      </c>
      <c r="AG4063">
        <v>-1.1215135452489999</v>
      </c>
      <c r="AH4063">
        <v>22.0528571402828</v>
      </c>
      <c r="AI4063">
        <v>92.9101453824495</v>
      </c>
      <c r="AJ4063">
        <v>91.621396070901497</v>
      </c>
      <c r="AK4063">
        <v>22.090178101442799</v>
      </c>
      <c r="AL4063">
        <v>94.425713236401506</v>
      </c>
      <c r="AM4063">
        <v>89.441048447977195</v>
      </c>
      <c r="AN4063">
        <v>1.00000002131941</v>
      </c>
    </row>
    <row r="4064" spans="1:40" x14ac:dyDescent="0.25">
      <c r="A4064" t="str">
        <f>"20190303153848507"</f>
        <v>20190303153848507</v>
      </c>
      <c r="B4064" t="str">
        <f>"1551598728502612"</f>
        <v>1551598728502612</v>
      </c>
      <c r="C4064" t="s">
        <v>40</v>
      </c>
      <c r="D4064">
        <v>4.2580359999999997</v>
      </c>
      <c r="E4064">
        <v>0.48700490000000002</v>
      </c>
      <c r="F4064" t="s">
        <v>55</v>
      </c>
      <c r="G4064">
        <v>-451.13200000000001</v>
      </c>
      <c r="H4064" s="1">
        <v>-1.0112229999999999E-6</v>
      </c>
      <c r="I4064">
        <v>216.37469999999999</v>
      </c>
      <c r="J4064">
        <v>-472.04250000000002</v>
      </c>
      <c r="K4064">
        <v>1.121432</v>
      </c>
      <c r="L4064">
        <v>216.00030000000001</v>
      </c>
      <c r="M4064">
        <v>0.99994959999999999</v>
      </c>
      <c r="N4064">
        <v>-7.8047819999999997E-3</v>
      </c>
      <c r="O4064">
        <v>-6.3255119999999897E-3</v>
      </c>
      <c r="P4064">
        <v>0.99614800000000003</v>
      </c>
      <c r="Q4064">
        <v>-8.5238250000000002E-2</v>
      </c>
      <c r="R4064">
        <v>-2.0586730000000001E-2</v>
      </c>
      <c r="S4064">
        <v>2.9985659999999998</v>
      </c>
      <c r="T4064">
        <v>-0.1592549</v>
      </c>
      <c r="U4064">
        <v>5.3237920000000001E-2</v>
      </c>
      <c r="V4064">
        <v>1.441095E-2</v>
      </c>
      <c r="W4064">
        <v>-7.7436699999999997E-2</v>
      </c>
      <c r="X4064">
        <v>0.99689309999999998</v>
      </c>
      <c r="Y4064">
        <v>-2.403069E-2</v>
      </c>
      <c r="Z4064">
        <v>1.0178559999999999E-3</v>
      </c>
      <c r="AA4064">
        <v>0.99971069999999995</v>
      </c>
      <c r="AB4064">
        <v>21</v>
      </c>
      <c r="AC4064">
        <v>20.910499999999999</v>
      </c>
      <c r="AD4064">
        <v>-1.121433011223</v>
      </c>
      <c r="AE4064">
        <v>0.37439999999998003</v>
      </c>
      <c r="AF4064">
        <v>-0.50521352281163401</v>
      </c>
      <c r="AG4064">
        <v>-1.121433011223</v>
      </c>
      <c r="AH4064">
        <v>20.847770321847499</v>
      </c>
      <c r="AI4064">
        <v>93.078156941905604</v>
      </c>
      <c r="AJ4064">
        <v>91.388203043363404</v>
      </c>
      <c r="AK4064">
        <v>20.884022124456799</v>
      </c>
      <c r="AL4064">
        <v>94.441242327835695</v>
      </c>
      <c r="AM4064">
        <v>89.171797752573198</v>
      </c>
      <c r="AN4064">
        <v>0.99999998540720103</v>
      </c>
    </row>
    <row r="4065" spans="1:40" x14ac:dyDescent="0.25">
      <c r="A4065" t="str">
        <f>"20190303153848530"</f>
        <v>20190303153848530</v>
      </c>
      <c r="B4065" t="str">
        <f>"1551598728522131"</f>
        <v>1551598728522131</v>
      </c>
      <c r="C4065" t="s">
        <v>40</v>
      </c>
      <c r="D4065">
        <v>4.2486750000000004</v>
      </c>
      <c r="E4065">
        <v>0.48722660000000001</v>
      </c>
      <c r="F4065" t="s">
        <v>55</v>
      </c>
      <c r="G4065">
        <v>-451.06420000000003</v>
      </c>
      <c r="H4065" s="1">
        <v>-1.0434269999999999E-6</v>
      </c>
      <c r="I4065">
        <v>216.285</v>
      </c>
      <c r="J4065">
        <v>-471.82459999999998</v>
      </c>
      <c r="K4065">
        <v>1.121332</v>
      </c>
      <c r="L4065">
        <v>216.0008</v>
      </c>
      <c r="M4065">
        <v>0.99995009999999995</v>
      </c>
      <c r="N4065">
        <v>-8.6862659999999998E-3</v>
      </c>
      <c r="O4065">
        <v>-4.9427100000000003E-3</v>
      </c>
      <c r="P4065">
        <v>0.9960542</v>
      </c>
      <c r="Q4065">
        <v>-8.5158940000000002E-2</v>
      </c>
      <c r="R4065">
        <v>-2.498564E-2</v>
      </c>
      <c r="S4065">
        <v>2.9987490000000001</v>
      </c>
      <c r="T4065">
        <v>-0.160303</v>
      </c>
      <c r="U4065">
        <v>4.0695189999999999E-2</v>
      </c>
      <c r="V4065">
        <v>2.015438E-2</v>
      </c>
      <c r="W4065">
        <v>-7.647843E-2</v>
      </c>
      <c r="X4065">
        <v>0.99686750000000002</v>
      </c>
      <c r="Y4065">
        <v>-1.847613E-2</v>
      </c>
      <c r="Z4065">
        <v>7.9489169999999996E-4</v>
      </c>
      <c r="AA4065">
        <v>0.99982899999999997</v>
      </c>
      <c r="AB4065">
        <v>21</v>
      </c>
      <c r="AC4065">
        <v>20.760399999999901</v>
      </c>
      <c r="AD4065">
        <v>-1.1213330434269999</v>
      </c>
      <c r="AE4065">
        <v>0.28419999999999801</v>
      </c>
      <c r="AF4065">
        <v>-0.38568803170190902</v>
      </c>
      <c r="AG4065">
        <v>-1.1213330434269999</v>
      </c>
      <c r="AH4065">
        <v>20.698367259543701</v>
      </c>
      <c r="AI4065">
        <v>93.100427587183802</v>
      </c>
      <c r="AJ4065">
        <v>91.067511222070394</v>
      </c>
      <c r="AK4065">
        <v>20.732306920915299</v>
      </c>
      <c r="AL4065">
        <v>94.386174206173493</v>
      </c>
      <c r="AM4065">
        <v>88.841768226125694</v>
      </c>
      <c r="AN4065">
        <v>0.99999998092234899</v>
      </c>
    </row>
    <row r="4066" spans="1:40" x14ac:dyDescent="0.25">
      <c r="A4066" t="str">
        <f>"20190303153848554"</f>
        <v>20190303153848554</v>
      </c>
      <c r="B4066" t="str">
        <f>"1551598728542628"</f>
        <v>1551598728542628</v>
      </c>
      <c r="C4066" t="s">
        <v>40</v>
      </c>
      <c r="D4066">
        <v>4.2465640000000002</v>
      </c>
      <c r="E4066">
        <v>0.48752119999999999</v>
      </c>
      <c r="F4066" t="s">
        <v>55</v>
      </c>
      <c r="G4066">
        <v>-450.57929999999999</v>
      </c>
      <c r="H4066" s="1">
        <v>-1.2969299999999901E-6</v>
      </c>
      <c r="I4066">
        <v>216.18119999999999</v>
      </c>
      <c r="J4066">
        <v>-471.60879999999997</v>
      </c>
      <c r="K4066">
        <v>1.1212679999999999</v>
      </c>
      <c r="L4066">
        <v>216.00129999999999</v>
      </c>
      <c r="M4066">
        <v>0.99994850000000002</v>
      </c>
      <c r="N4066">
        <v>-9.4518139999999994E-3</v>
      </c>
      <c r="O4066">
        <v>-3.733512E-3</v>
      </c>
      <c r="P4066">
        <v>0.99599150000000003</v>
      </c>
      <c r="Q4066">
        <v>-8.4202139999999995E-2</v>
      </c>
      <c r="R4066">
        <v>-3.0186270000000001E-2</v>
      </c>
      <c r="S4066">
        <v>2.998993</v>
      </c>
      <c r="T4066">
        <v>-0.1582876</v>
      </c>
      <c r="U4066">
        <v>2.5466920000000001E-2</v>
      </c>
      <c r="V4066">
        <v>2.6536239999999999E-2</v>
      </c>
      <c r="W4066">
        <v>-7.4759069999999997E-2</v>
      </c>
      <c r="X4066">
        <v>0.99684850000000003</v>
      </c>
      <c r="Y4066">
        <v>-1.2201470000000001E-2</v>
      </c>
      <c r="Z4066">
        <v>5.4112870000000001E-4</v>
      </c>
      <c r="AA4066">
        <v>0.99992539999999996</v>
      </c>
      <c r="AB4066">
        <v>21</v>
      </c>
      <c r="AC4066">
        <v>21.029499999999899</v>
      </c>
      <c r="AD4066">
        <v>-1.12126929693</v>
      </c>
      <c r="AE4066">
        <v>0.179900000000003</v>
      </c>
      <c r="AF4066">
        <v>-0.257683617257919</v>
      </c>
      <c r="AG4066">
        <v>-1.12126929693</v>
      </c>
      <c r="AH4066">
        <v>20.969073063322</v>
      </c>
      <c r="AI4066">
        <v>93.060604319014004</v>
      </c>
      <c r="AJ4066">
        <v>90.704057854409598</v>
      </c>
      <c r="AK4066">
        <v>21.000611201052699</v>
      </c>
      <c r="AL4066">
        <v>94.287379120683198</v>
      </c>
      <c r="AM4066">
        <v>88.475138829135403</v>
      </c>
      <c r="AN4066">
        <v>1.00000001126642</v>
      </c>
    </row>
    <row r="4067" spans="1:40" x14ac:dyDescent="0.25">
      <c r="A4067" t="str">
        <f>"20190303153848574"</f>
        <v>20190303153848574</v>
      </c>
      <c r="B4067" t="str">
        <f>"1551598728562148"</f>
        <v>1551598728562148</v>
      </c>
      <c r="C4067" t="s">
        <v>40</v>
      </c>
      <c r="D4067">
        <v>4.3192240000000002</v>
      </c>
      <c r="E4067">
        <v>0.48769410000000002</v>
      </c>
      <c r="F4067" t="s">
        <v>55</v>
      </c>
      <c r="G4067">
        <v>-449.6497</v>
      </c>
      <c r="H4067" s="1">
        <v>3.5354620000000001E-6</v>
      </c>
      <c r="I4067">
        <v>216.05459999999999</v>
      </c>
      <c r="J4067">
        <v>-471.41500000000002</v>
      </c>
      <c r="K4067">
        <v>1.1212500000000001</v>
      </c>
      <c r="L4067">
        <v>216.0018</v>
      </c>
      <c r="M4067">
        <v>0.9999458</v>
      </c>
      <c r="N4067">
        <v>-1.006168E-2</v>
      </c>
      <c r="O4067">
        <v>-2.7135649999999998E-3</v>
      </c>
      <c r="P4067">
        <v>0.99595800000000001</v>
      </c>
      <c r="Q4067">
        <v>-8.2465529999999995E-2</v>
      </c>
      <c r="R4067">
        <v>-3.5600130000000001E-2</v>
      </c>
      <c r="S4067">
        <v>2.9994200000000002</v>
      </c>
      <c r="T4067">
        <v>-0.15315509999999999</v>
      </c>
      <c r="U4067">
        <v>7.27844199999999E-3</v>
      </c>
      <c r="V4067">
        <v>3.295559E-2</v>
      </c>
      <c r="W4067">
        <v>-7.2412820000000003E-2</v>
      </c>
      <c r="X4067">
        <v>0.99683010000000005</v>
      </c>
      <c r="Y4067">
        <v>-5.1300130000000001E-3</v>
      </c>
      <c r="Z4067">
        <v>2.6789590000000002E-4</v>
      </c>
      <c r="AA4067">
        <v>0.99998679999999995</v>
      </c>
      <c r="AB4067">
        <v>21</v>
      </c>
      <c r="AC4067">
        <v>21.7653</v>
      </c>
      <c r="AD4067">
        <v>-1.121246464538</v>
      </c>
      <c r="AE4067">
        <v>5.2799999999990598E-2</v>
      </c>
      <c r="AF4067">
        <v>-0.11156826440718701</v>
      </c>
      <c r="AG4067">
        <v>-1.121246464538</v>
      </c>
      <c r="AH4067">
        <v>21.707469013103101</v>
      </c>
      <c r="AI4067">
        <v>92.956807277886398</v>
      </c>
      <c r="AJ4067">
        <v>90.294476264762295</v>
      </c>
      <c r="AK4067">
        <v>21.7366936783563</v>
      </c>
      <c r="AL4067">
        <v>94.152583601247997</v>
      </c>
      <c r="AM4067">
        <v>88.106468960153805</v>
      </c>
      <c r="AN4067">
        <v>0.999999967839304</v>
      </c>
    </row>
    <row r="4068" spans="1:40" x14ac:dyDescent="0.25">
      <c r="A4068" t="str">
        <f>"20190303153848597"</f>
        <v>20190303153848597</v>
      </c>
      <c r="B4068" t="str">
        <f>"1551598728592404"</f>
        <v>1551598728592404</v>
      </c>
      <c r="C4068" t="s">
        <v>40</v>
      </c>
      <c r="D4068">
        <v>4.2757750000000003</v>
      </c>
      <c r="E4068">
        <v>0.48786849999999998</v>
      </c>
      <c r="F4068" t="s">
        <v>55</v>
      </c>
      <c r="G4068">
        <v>-448.46280000000002</v>
      </c>
      <c r="H4068" s="1">
        <v>2.909782E-6</v>
      </c>
      <c r="I4068">
        <v>215.9187</v>
      </c>
      <c r="J4068">
        <v>-471.2097</v>
      </c>
      <c r="K4068">
        <v>1.1212869999999999</v>
      </c>
      <c r="L4068">
        <v>216.0025</v>
      </c>
      <c r="M4068">
        <v>0.9999422</v>
      </c>
      <c r="N4068">
        <v>-1.0630229999999999E-2</v>
      </c>
      <c r="O4068">
        <v>-1.66719E-3</v>
      </c>
      <c r="P4068">
        <v>0.99598399999999998</v>
      </c>
      <c r="Q4068">
        <v>-8.0256629999999995E-2</v>
      </c>
      <c r="R4068">
        <v>-3.9687710000000001E-2</v>
      </c>
      <c r="S4068">
        <v>2.9996640000000001</v>
      </c>
      <c r="T4068">
        <v>-0.1465381</v>
      </c>
      <c r="U4068">
        <v>-1.0864260000000001E-2</v>
      </c>
      <c r="V4068">
        <v>3.8085769999999998E-2</v>
      </c>
      <c r="W4068">
        <v>-6.9631670000000007E-2</v>
      </c>
      <c r="X4068">
        <v>0.99684550000000005</v>
      </c>
      <c r="Y4068">
        <v>1.9529040000000001E-3</v>
      </c>
      <c r="Z4068" s="1">
        <v>5.620692E-6</v>
      </c>
      <c r="AA4068">
        <v>0.9999981</v>
      </c>
      <c r="AB4068">
        <v>21</v>
      </c>
      <c r="AC4068">
        <v>22.746899999999901</v>
      </c>
      <c r="AD4068">
        <v>-1.1212840902179999</v>
      </c>
      <c r="AE4068">
        <v>-8.3799999999996502E-2</v>
      </c>
      <c r="AF4068">
        <v>4.5763141966937697E-2</v>
      </c>
      <c r="AG4068">
        <v>-1.1212840902179999</v>
      </c>
      <c r="AH4068">
        <v>22.6918700679993</v>
      </c>
      <c r="AI4068">
        <v>92.828876741400293</v>
      </c>
      <c r="AJ4068">
        <v>89.884450627939799</v>
      </c>
      <c r="AK4068">
        <v>22.7196025374367</v>
      </c>
      <c r="AL4068">
        <v>93.992831749770403</v>
      </c>
      <c r="AM4068">
        <v>87.812004938518896</v>
      </c>
      <c r="AN4068">
        <v>1.00000002310686</v>
      </c>
    </row>
    <row r="4069" spans="1:40" x14ac:dyDescent="0.25">
      <c r="A4069" t="str">
        <f>"20190303153848618"</f>
        <v>20190303153848618</v>
      </c>
      <c r="B4069" t="str">
        <f>"1551598728612900"</f>
        <v>1551598728612900</v>
      </c>
      <c r="C4069" t="s">
        <v>40</v>
      </c>
      <c r="D4069">
        <v>4.3432469999999999</v>
      </c>
      <c r="E4069">
        <v>0.48792720000000001</v>
      </c>
      <c r="F4069" t="s">
        <v>55</v>
      </c>
      <c r="G4069">
        <v>-446.92340000000002</v>
      </c>
      <c r="H4069" s="1">
        <v>2.095659E-6</v>
      </c>
      <c r="I4069">
        <v>215.80179999999999</v>
      </c>
      <c r="J4069">
        <v>-471.00909999999999</v>
      </c>
      <c r="K4069">
        <v>1.1213630000000001</v>
      </c>
      <c r="L4069">
        <v>216.0033</v>
      </c>
      <c r="M4069">
        <v>0.99993799999999999</v>
      </c>
      <c r="N4069">
        <v>-1.111881E-2</v>
      </c>
      <c r="O4069">
        <v>-6.5359290000000002E-4</v>
      </c>
      <c r="P4069">
        <v>0.99618580000000001</v>
      </c>
      <c r="Q4069">
        <v>-7.5644520000000007E-2</v>
      </c>
      <c r="R4069">
        <v>-4.3497309999999997E-2</v>
      </c>
      <c r="S4069">
        <v>2.9999690000000001</v>
      </c>
      <c r="T4069">
        <v>-0.13850670000000001</v>
      </c>
      <c r="U4069">
        <v>-2.478027E-2</v>
      </c>
      <c r="V4069">
        <v>4.2908769999999999E-2</v>
      </c>
      <c r="W4069">
        <v>-6.4521419999999996E-2</v>
      </c>
      <c r="X4069">
        <v>0.99699340000000003</v>
      </c>
      <c r="Y4069">
        <v>7.5966409999999899E-3</v>
      </c>
      <c r="Z4069">
        <v>-1.946374E-4</v>
      </c>
      <c r="AA4069">
        <v>0.99997119999999995</v>
      </c>
      <c r="AB4069">
        <v>21</v>
      </c>
      <c r="AC4069">
        <v>24.0856999999999</v>
      </c>
      <c r="AD4069">
        <v>-1.121360904341</v>
      </c>
      <c r="AE4069">
        <v>-0.20150000000001</v>
      </c>
      <c r="AF4069">
        <v>0.185355000698295</v>
      </c>
      <c r="AG4069">
        <v>-1.121360904341</v>
      </c>
      <c r="AH4069">
        <v>24.033735506360902</v>
      </c>
      <c r="AI4069">
        <v>92.671277586184999</v>
      </c>
      <c r="AJ4069">
        <v>89.558127420584995</v>
      </c>
      <c r="AK4069">
        <v>24.060595361374201</v>
      </c>
      <c r="AL4069">
        <v>93.699374816907607</v>
      </c>
      <c r="AM4069">
        <v>87.535615412841295</v>
      </c>
      <c r="AN4069">
        <v>1.0000000079126401</v>
      </c>
    </row>
    <row r="4070" spans="1:40" x14ac:dyDescent="0.25">
      <c r="A4070" t="str">
        <f>"20190303153848642"</f>
        <v>20190303153848642</v>
      </c>
      <c r="B4070" t="str">
        <f>"1551598728632420"</f>
        <v>1551598728632420</v>
      </c>
      <c r="C4070" t="s">
        <v>40</v>
      </c>
      <c r="D4070">
        <v>4.3665960000000004</v>
      </c>
      <c r="E4070">
        <v>0.4880044</v>
      </c>
      <c r="F4070" t="s">
        <v>55</v>
      </c>
      <c r="G4070">
        <v>-443.98829999999998</v>
      </c>
      <c r="H4070" s="1">
        <v>5.3942609999999999E-7</v>
      </c>
      <c r="I4070">
        <v>215.67160000000001</v>
      </c>
      <c r="J4070">
        <v>-470.79860000000002</v>
      </c>
      <c r="K4070">
        <v>1.1214249999999999</v>
      </c>
      <c r="L4070">
        <v>216.00450000000001</v>
      </c>
      <c r="M4070">
        <v>0.99993319999999997</v>
      </c>
      <c r="N4070">
        <v>-1.156804E-2</v>
      </c>
      <c r="O4070">
        <v>3.9853380000000002E-4</v>
      </c>
      <c r="P4070">
        <v>0.99642770000000003</v>
      </c>
      <c r="Q4070">
        <v>-7.0271819999999999E-2</v>
      </c>
      <c r="R4070">
        <v>-4.6843650000000001E-2</v>
      </c>
      <c r="S4070">
        <v>3.0004580000000001</v>
      </c>
      <c r="T4070">
        <v>-0.1245185</v>
      </c>
      <c r="U4070">
        <v>-3.6834720000000001E-2</v>
      </c>
      <c r="V4070">
        <v>4.7304609999999997E-2</v>
      </c>
      <c r="W4070">
        <v>-5.8689070000000003E-2</v>
      </c>
      <c r="X4070">
        <v>0.99715489999999996</v>
      </c>
      <c r="Y4070">
        <v>1.265986E-2</v>
      </c>
      <c r="Z4070">
        <v>-3.4776099999999998E-4</v>
      </c>
      <c r="AA4070">
        <v>0.99991980000000003</v>
      </c>
      <c r="AB4070">
        <v>21</v>
      </c>
      <c r="AC4070">
        <v>26.810300000000002</v>
      </c>
      <c r="AD4070">
        <v>-1.1214244605739001</v>
      </c>
      <c r="AE4070">
        <v>-0.33289999999999498</v>
      </c>
      <c r="AF4070">
        <v>0.342985505165252</v>
      </c>
      <c r="AG4070">
        <v>-1.1214244605739001</v>
      </c>
      <c r="AH4070">
        <v>26.763347478331799</v>
      </c>
      <c r="AI4070">
        <v>92.399178880649799</v>
      </c>
      <c r="AJ4070">
        <v>89.265766505414405</v>
      </c>
      <c r="AK4070">
        <v>26.7890276069039</v>
      </c>
      <c r="AL4070">
        <v>93.364569347307594</v>
      </c>
      <c r="AM4070">
        <v>87.283948546472601</v>
      </c>
      <c r="AN4070">
        <v>1.0000000138293601</v>
      </c>
    </row>
    <row r="4071" spans="1:40" x14ac:dyDescent="0.25">
      <c r="A4071" t="str">
        <f>"20190303153848664"</f>
        <v>20190303153848664</v>
      </c>
      <c r="B4071" t="str">
        <f>"1551598728652916"</f>
        <v>1551598728652916</v>
      </c>
      <c r="C4071" t="s">
        <v>40</v>
      </c>
      <c r="D4071">
        <v>4.3831170000000004</v>
      </c>
      <c r="E4071">
        <v>0.48805169999999998</v>
      </c>
      <c r="F4071" t="s">
        <v>57</v>
      </c>
      <c r="G4071">
        <v>-439.78210000000001</v>
      </c>
      <c r="H4071" s="1">
        <v>6.4763640000000002E-6</v>
      </c>
      <c r="I4071">
        <v>215.51519999999999</v>
      </c>
      <c r="J4071">
        <v>-470.59100000000001</v>
      </c>
      <c r="K4071">
        <v>1.121451</v>
      </c>
      <c r="L4071">
        <v>216.00579999999999</v>
      </c>
      <c r="M4071">
        <v>0.99992760000000003</v>
      </c>
      <c r="N4071">
        <v>-1.1953139999999999E-2</v>
      </c>
      <c r="O4071">
        <v>1.3936739999999999E-3</v>
      </c>
      <c r="P4071">
        <v>0.99666679999999996</v>
      </c>
      <c r="Q4071">
        <v>-6.4579170000000005E-2</v>
      </c>
      <c r="R4071">
        <v>-4.9849909999999997E-2</v>
      </c>
      <c r="S4071">
        <v>3.0009160000000001</v>
      </c>
      <c r="T4071">
        <v>-0.1084999</v>
      </c>
      <c r="U4071">
        <v>-4.7332760000000001E-2</v>
      </c>
      <c r="V4071">
        <v>5.1296170000000002E-2</v>
      </c>
      <c r="W4071">
        <v>-5.2606340000000001E-2</v>
      </c>
      <c r="X4071">
        <v>0.99729699999999999</v>
      </c>
      <c r="Y4071">
        <v>1.7149080000000001E-2</v>
      </c>
      <c r="Z4071">
        <v>-4.4615939999999998E-4</v>
      </c>
      <c r="AA4071">
        <v>0.99985279999999999</v>
      </c>
      <c r="AB4071">
        <v>21</v>
      </c>
      <c r="AC4071">
        <v>30.808899999999898</v>
      </c>
      <c r="AD4071">
        <v>-1.121444523636</v>
      </c>
      <c r="AE4071">
        <v>-0.49059999999999998</v>
      </c>
      <c r="AF4071">
        <v>0.53283434763997195</v>
      </c>
      <c r="AG4071">
        <v>-1.121444523636</v>
      </c>
      <c r="AH4071">
        <v>30.7674309680508</v>
      </c>
      <c r="AI4071">
        <v>92.087141620293096</v>
      </c>
      <c r="AJ4071">
        <v>89.007843462693998</v>
      </c>
      <c r="AK4071">
        <v>30.792472434596501</v>
      </c>
      <c r="AL4071">
        <v>93.015513172870101</v>
      </c>
      <c r="AM4071">
        <v>87.055574900324601</v>
      </c>
      <c r="AN4071">
        <v>1.0000000151369299</v>
      </c>
    </row>
    <row r="4072" spans="1:40" x14ac:dyDescent="0.25">
      <c r="A4072" t="str">
        <f>"20190303153848686"</f>
        <v>20190303153848686</v>
      </c>
      <c r="B4072" t="str">
        <f>"1551598728682196"</f>
        <v>1551598728682196</v>
      </c>
      <c r="C4072" t="s">
        <v>40</v>
      </c>
      <c r="D4072">
        <v>4.3478539999999999</v>
      </c>
      <c r="E4072">
        <v>0.48809560000000002</v>
      </c>
      <c r="F4072" t="s">
        <v>57</v>
      </c>
      <c r="G4072">
        <v>-433.90859999999998</v>
      </c>
      <c r="H4072" s="1">
        <v>3.8891679999999999E-6</v>
      </c>
      <c r="I4072">
        <v>215.31540000000001</v>
      </c>
      <c r="J4072">
        <v>-470.39370000000002</v>
      </c>
      <c r="K4072">
        <v>1.1214150000000001</v>
      </c>
      <c r="L4072">
        <v>216.00710000000001</v>
      </c>
      <c r="M4072">
        <v>0.99992219999999998</v>
      </c>
      <c r="N4072">
        <v>-1.227023E-2</v>
      </c>
      <c r="O4072">
        <v>2.245276E-3</v>
      </c>
      <c r="P4072">
        <v>0.99683960000000005</v>
      </c>
      <c r="Q4072">
        <v>-5.933882E-2</v>
      </c>
      <c r="R4072">
        <v>-5.2819480000000002E-2</v>
      </c>
      <c r="S4072">
        <v>3.0012509999999999</v>
      </c>
      <c r="T4072">
        <v>-9.1753479999999998E-2</v>
      </c>
      <c r="U4072">
        <v>-5.6488040000000003E-2</v>
      </c>
      <c r="V4072">
        <v>5.5100950000000003E-2</v>
      </c>
      <c r="W4072">
        <v>-4.7053560000000001E-2</v>
      </c>
      <c r="X4072">
        <v>0.99737149999999997</v>
      </c>
      <c r="Y4072">
        <v>2.104901E-2</v>
      </c>
      <c r="Z4072">
        <v>-4.9192110000000002E-4</v>
      </c>
      <c r="AA4072">
        <v>0.99977830000000001</v>
      </c>
      <c r="AB4072">
        <v>21</v>
      </c>
      <c r="AC4072">
        <v>36.485100000000003</v>
      </c>
      <c r="AD4072">
        <v>-1.121411110832</v>
      </c>
      <c r="AE4072">
        <v>-0.69169999999999698</v>
      </c>
      <c r="AF4072">
        <v>0.77289364466236199</v>
      </c>
      <c r="AG4072">
        <v>-1.121411110832</v>
      </c>
      <c r="AH4072">
        <v>36.449033442483099</v>
      </c>
      <c r="AI4072">
        <v>91.761841925369197</v>
      </c>
      <c r="AJ4072">
        <v>88.785237790851298</v>
      </c>
      <c r="AK4072">
        <v>36.474470062726098</v>
      </c>
      <c r="AL4072">
        <v>92.6969661388665</v>
      </c>
      <c r="AM4072">
        <v>86.837842437615805</v>
      </c>
      <c r="AN4072">
        <v>1.00000003060591</v>
      </c>
    </row>
    <row r="4073" spans="1:40" x14ac:dyDescent="0.25">
      <c r="A4073" t="str">
        <f>"20190303153848707"</f>
        <v>20190303153848707</v>
      </c>
      <c r="B4073" t="str">
        <f>"1551598728702692"</f>
        <v>1551598728702692</v>
      </c>
      <c r="C4073" t="s">
        <v>40</v>
      </c>
      <c r="D4073">
        <v>4.3746650000000002</v>
      </c>
      <c r="E4073">
        <v>0.48812539999999999</v>
      </c>
      <c r="F4073" t="s">
        <v>57</v>
      </c>
      <c r="G4073">
        <v>-426.3503</v>
      </c>
      <c r="H4073" s="1">
        <v>2.80048E-6</v>
      </c>
      <c r="I4073">
        <v>215.0472</v>
      </c>
      <c r="J4073">
        <v>-470.19639999999998</v>
      </c>
      <c r="K4073">
        <v>1.1213</v>
      </c>
      <c r="L4073">
        <v>216.00839999999999</v>
      </c>
      <c r="M4073">
        <v>0.9999171</v>
      </c>
      <c r="N4073">
        <v>-1.2545270000000001E-2</v>
      </c>
      <c r="O4073">
        <v>2.9234410000000001E-3</v>
      </c>
      <c r="P4073">
        <v>0.99697429999999998</v>
      </c>
      <c r="Q4073">
        <v>-5.4628299999999998E-2</v>
      </c>
      <c r="R4073">
        <v>-5.5303930000000001E-2</v>
      </c>
      <c r="S4073">
        <v>3.0014949999999998</v>
      </c>
      <c r="T4073">
        <v>-7.6422809999999994E-2</v>
      </c>
      <c r="U4073">
        <v>-6.5414429999999996E-2</v>
      </c>
      <c r="V4073">
        <v>5.824344E-2</v>
      </c>
      <c r="W4073">
        <v>-4.2084040000000003E-2</v>
      </c>
      <c r="X4073">
        <v>0.99741489999999999</v>
      </c>
      <c r="Y4073">
        <v>2.4699470000000001E-2</v>
      </c>
      <c r="Z4073">
        <v>-5.0709400000000003E-4</v>
      </c>
      <c r="AA4073">
        <v>0.99969479999999999</v>
      </c>
      <c r="AB4073">
        <v>20</v>
      </c>
      <c r="AC4073">
        <v>43.8460999999999</v>
      </c>
      <c r="AD4073">
        <v>-1.1212971995200001</v>
      </c>
      <c r="AE4073">
        <v>-0.96119999999999095</v>
      </c>
      <c r="AF4073">
        <v>1.08867580266846</v>
      </c>
      <c r="AG4073">
        <v>-1.1212971995200001</v>
      </c>
      <c r="AH4073">
        <v>43.8144613608616</v>
      </c>
      <c r="AI4073">
        <v>91.465538192895494</v>
      </c>
      <c r="AJ4073">
        <v>88.576641259331097</v>
      </c>
      <c r="AK4073">
        <v>43.842325973371899</v>
      </c>
      <c r="AL4073">
        <v>92.411950372502801</v>
      </c>
      <c r="AM4073">
        <v>86.658042737264196</v>
      </c>
      <c r="AN4073">
        <v>0.99999992373387903</v>
      </c>
    </row>
    <row r="4074" spans="1:40" x14ac:dyDescent="0.25">
      <c r="A4074" t="str">
        <f>"20190303153848732"</f>
        <v>20190303153848732</v>
      </c>
      <c r="B4074" t="str">
        <f>"1551598728722212"</f>
        <v>1551598728722212</v>
      </c>
      <c r="C4074" t="s">
        <v>40</v>
      </c>
      <c r="D4074">
        <v>4.3364229999999999</v>
      </c>
      <c r="E4074">
        <v>0.48817579999999999</v>
      </c>
      <c r="F4074" t="s">
        <v>57</v>
      </c>
      <c r="G4074">
        <v>-416.37470000000002</v>
      </c>
      <c r="H4074" s="1">
        <v>3.3295149999999998E-6</v>
      </c>
      <c r="I4074">
        <v>214.69649999999999</v>
      </c>
      <c r="J4074">
        <v>-469.9701</v>
      </c>
      <c r="K4074">
        <v>1.1211089999999999</v>
      </c>
      <c r="L4074">
        <v>216.00970000000001</v>
      </c>
      <c r="M4074">
        <v>0.99991220000000003</v>
      </c>
      <c r="N4074">
        <v>-1.281526E-2</v>
      </c>
      <c r="O4074">
        <v>3.3685870000000001E-3</v>
      </c>
      <c r="P4074">
        <v>0.99707990000000002</v>
      </c>
      <c r="Q4074">
        <v>-5.2130540000000003E-2</v>
      </c>
      <c r="R4074">
        <v>-5.5804899999999998E-2</v>
      </c>
      <c r="S4074">
        <v>3.0015869999999998</v>
      </c>
      <c r="T4074">
        <v>-6.2533740000000004E-2</v>
      </c>
      <c r="U4074">
        <v>-7.3165889999999997E-2</v>
      </c>
      <c r="V4074">
        <v>5.9166410000000003E-2</v>
      </c>
      <c r="W4074">
        <v>-3.934667E-2</v>
      </c>
      <c r="X4074">
        <v>0.99747240000000004</v>
      </c>
      <c r="Y4074">
        <v>2.7726399999999998E-2</v>
      </c>
      <c r="Z4074">
        <v>-4.9347080000000003E-4</v>
      </c>
      <c r="AA4074">
        <v>0.99961540000000004</v>
      </c>
      <c r="AB4074">
        <v>20</v>
      </c>
      <c r="AC4074">
        <v>53.595399999999898</v>
      </c>
      <c r="AD4074">
        <v>-1.121105670485</v>
      </c>
      <c r="AE4074">
        <v>-1.3132000000000199</v>
      </c>
      <c r="AF4074">
        <v>1.4930952166086</v>
      </c>
      <c r="AG4074">
        <v>-1.121105670485</v>
      </c>
      <c r="AH4074">
        <v>53.567247027962701</v>
      </c>
      <c r="AI4074">
        <v>91.198499521605896</v>
      </c>
      <c r="AJ4074">
        <v>88.403391723071493</v>
      </c>
      <c r="AK4074">
        <v>53.599777661899203</v>
      </c>
      <c r="AL4074">
        <v>92.254980214544304</v>
      </c>
      <c r="AM4074">
        <v>86.605401665867006</v>
      </c>
      <c r="AN4074">
        <v>1.00000000663706</v>
      </c>
    </row>
    <row r="4075" spans="1:40" x14ac:dyDescent="0.25">
      <c r="A4075" t="str">
        <f>"20190303153848756"</f>
        <v>20190303153848756</v>
      </c>
      <c r="B4075" t="str">
        <f>"1551598728752467"</f>
        <v>1551598728752467</v>
      </c>
      <c r="C4075" t="s">
        <v>40</v>
      </c>
      <c r="D4075">
        <v>4.3245979999999999</v>
      </c>
      <c r="E4075">
        <v>0.4882589</v>
      </c>
      <c r="F4075" t="s">
        <v>57</v>
      </c>
      <c r="G4075">
        <v>-409.1968</v>
      </c>
      <c r="H4075" s="1">
        <v>4.3496130000000004E-6</v>
      </c>
      <c r="I4075">
        <v>214.49160000000001</v>
      </c>
      <c r="J4075">
        <v>-469.75599999999997</v>
      </c>
      <c r="K4075">
        <v>1.120906</v>
      </c>
      <c r="L4075">
        <v>216.01050000000001</v>
      </c>
      <c r="M4075">
        <v>0.9999093</v>
      </c>
      <c r="N4075">
        <v>-1.3033930000000001E-2</v>
      </c>
      <c r="O4075">
        <v>3.3950780000000002E-3</v>
      </c>
      <c r="P4075">
        <v>0.99728360000000005</v>
      </c>
      <c r="Q4075">
        <v>-4.9377289999999997E-2</v>
      </c>
      <c r="R4075">
        <v>-5.4659920000000001E-2</v>
      </c>
      <c r="S4075">
        <v>3.001709</v>
      </c>
      <c r="T4075">
        <v>-5.5373550000000001E-2</v>
      </c>
      <c r="U4075">
        <v>-7.4981690000000004E-2</v>
      </c>
      <c r="V4075">
        <v>5.8027670000000003E-2</v>
      </c>
      <c r="W4075">
        <v>-3.6405750000000001E-2</v>
      </c>
      <c r="X4075">
        <v>0.99765090000000001</v>
      </c>
      <c r="Y4075">
        <v>2.8357759999999999E-2</v>
      </c>
      <c r="Z4075">
        <v>-4.6474059999999999E-4</v>
      </c>
      <c r="AA4075">
        <v>0.99959770000000003</v>
      </c>
      <c r="AB4075">
        <v>20</v>
      </c>
      <c r="AC4075">
        <v>60.559199999999898</v>
      </c>
      <c r="AD4075">
        <v>-1.120901650387</v>
      </c>
      <c r="AE4075">
        <v>-1.5188999999999999</v>
      </c>
      <c r="AF4075">
        <v>1.7239216897630301</v>
      </c>
      <c r="AG4075">
        <v>-1.120901650387</v>
      </c>
      <c r="AH4075">
        <v>60.532968742237799</v>
      </c>
      <c r="AI4075">
        <v>91.060406862431606</v>
      </c>
      <c r="AJ4075">
        <v>88.368711324419905</v>
      </c>
      <c r="AK4075">
        <v>60.567884487168698</v>
      </c>
      <c r="AL4075">
        <v>92.086356963647702</v>
      </c>
      <c r="AM4075">
        <v>86.671181388753595</v>
      </c>
      <c r="AN4075">
        <v>0.99999995369474903</v>
      </c>
    </row>
    <row r="4076" spans="1:40" x14ac:dyDescent="0.25">
      <c r="A4076" t="str">
        <f>"20190303153848775"</f>
        <v>20190303153848775</v>
      </c>
      <c r="B4076" t="str">
        <f>"1551598728772964"</f>
        <v>1551598728772964</v>
      </c>
      <c r="C4076" t="s">
        <v>40</v>
      </c>
      <c r="D4076">
        <v>4.3413019999999998</v>
      </c>
      <c r="E4076">
        <v>0.48832170000000003</v>
      </c>
      <c r="F4076" t="s">
        <v>55</v>
      </c>
      <c r="G4076">
        <v>-399.4153</v>
      </c>
      <c r="H4076" s="1">
        <v>3.4735779999999999E-6</v>
      </c>
      <c r="I4076">
        <v>214.32509999999999</v>
      </c>
      <c r="J4076">
        <v>-469.58120000000002</v>
      </c>
      <c r="K4076">
        <v>1.1207609999999999</v>
      </c>
      <c r="L4076">
        <v>216.01089999999999</v>
      </c>
      <c r="M4076">
        <v>0.99990809999999997</v>
      </c>
      <c r="N4076">
        <v>-1.3190729999999999E-2</v>
      </c>
      <c r="O4076">
        <v>3.1560540000000002E-3</v>
      </c>
      <c r="P4076">
        <v>0.99760459999999995</v>
      </c>
      <c r="Q4076">
        <v>-4.6197719999999998E-2</v>
      </c>
      <c r="R4076">
        <v>-5.1488279999999997E-2</v>
      </c>
      <c r="S4076">
        <v>3.001862</v>
      </c>
      <c r="T4076">
        <v>-4.7835709999999997E-2</v>
      </c>
      <c r="U4076">
        <v>-7.1929930000000003E-2</v>
      </c>
      <c r="V4076">
        <v>5.4606160000000001E-2</v>
      </c>
      <c r="W4076">
        <v>-3.3087369999999998E-2</v>
      </c>
      <c r="X4076">
        <v>0.99795959999999995</v>
      </c>
      <c r="Y4076">
        <v>2.71039E-2</v>
      </c>
      <c r="Z4076">
        <v>-4.033819E-4</v>
      </c>
      <c r="AA4076">
        <v>0.99963250000000003</v>
      </c>
      <c r="AB4076">
        <v>20</v>
      </c>
      <c r="AC4076">
        <v>70.165899999999993</v>
      </c>
      <c r="AD4076">
        <v>-1.120757526422</v>
      </c>
      <c r="AE4076">
        <v>-1.6858</v>
      </c>
      <c r="AF4076">
        <v>1.90677201689076</v>
      </c>
      <c r="AG4076">
        <v>-1.120757526422</v>
      </c>
      <c r="AH4076">
        <v>70.142344062655695</v>
      </c>
      <c r="AI4076">
        <v>90.915074984643795</v>
      </c>
      <c r="AJ4076">
        <v>88.4428366203785</v>
      </c>
      <c r="AK4076">
        <v>70.177206467352306</v>
      </c>
      <c r="AL4076">
        <v>91.896112761189599</v>
      </c>
      <c r="AM4076">
        <v>86.868023900273101</v>
      </c>
      <c r="AN4076">
        <v>0.99999998499781095</v>
      </c>
    </row>
    <row r="4077" spans="1:40" x14ac:dyDescent="0.25">
      <c r="A4077" t="str">
        <f>"20190303153848797"</f>
        <v>20190303153848797</v>
      </c>
      <c r="B4077" t="str">
        <f>"1551598728792484"</f>
        <v>1551598728792484</v>
      </c>
      <c r="C4077" t="s">
        <v>40</v>
      </c>
      <c r="D4077">
        <v>4.3834359999999997</v>
      </c>
      <c r="E4077">
        <v>0.48837550000000002</v>
      </c>
      <c r="F4077" t="s">
        <v>55</v>
      </c>
      <c r="G4077">
        <v>-382.63389999999998</v>
      </c>
      <c r="H4077" s="1">
        <v>-1.1671029999999999E-7</v>
      </c>
      <c r="I4077">
        <v>214.19470000000001</v>
      </c>
      <c r="J4077">
        <v>-469.38560000000001</v>
      </c>
      <c r="K4077">
        <v>1.120609</v>
      </c>
      <c r="L4077">
        <v>216.011</v>
      </c>
      <c r="M4077">
        <v>0.99990780000000001</v>
      </c>
      <c r="N4077">
        <v>-1.3344099999999999E-2</v>
      </c>
      <c r="O4077">
        <v>2.5836959999999999E-3</v>
      </c>
      <c r="P4077">
        <v>0.99777660000000001</v>
      </c>
      <c r="Q4077">
        <v>-4.5617539999999998E-2</v>
      </c>
      <c r="R4077">
        <v>-4.8591769999999999E-2</v>
      </c>
      <c r="S4077">
        <v>3.0021969999999998</v>
      </c>
      <c r="T4077">
        <v>-3.8698669999999998E-2</v>
      </c>
      <c r="U4077">
        <v>-6.2713619999999998E-2</v>
      </c>
      <c r="V4077">
        <v>5.1125869999999997E-2</v>
      </c>
      <c r="W4077">
        <v>-3.2370309999999999E-2</v>
      </c>
      <c r="X4077">
        <v>0.99816749999999999</v>
      </c>
      <c r="Y4077">
        <v>2.3464019999999999E-2</v>
      </c>
      <c r="Z4077">
        <v>-3.0661909999999998E-4</v>
      </c>
      <c r="AA4077">
        <v>0.99972459999999996</v>
      </c>
      <c r="AB4077">
        <v>20</v>
      </c>
      <c r="AC4077">
        <v>86.7517</v>
      </c>
      <c r="AD4077">
        <v>-1.1206091167103001</v>
      </c>
      <c r="AE4077">
        <v>-1.81629999999998</v>
      </c>
      <c r="AF4077">
        <v>2.0401136118821701</v>
      </c>
      <c r="AG4077">
        <v>-1.1206091167103001</v>
      </c>
      <c r="AH4077">
        <v>86.732251404200397</v>
      </c>
      <c r="AI4077">
        <v>90.740034389426995</v>
      </c>
      <c r="AJ4077">
        <v>88.652538736038906</v>
      </c>
      <c r="AK4077">
        <v>86.763478849013794</v>
      </c>
      <c r="AL4077">
        <v>91.855006152077607</v>
      </c>
      <c r="AM4077">
        <v>87.067887936582807</v>
      </c>
      <c r="AN4077">
        <v>1.0000000248045</v>
      </c>
    </row>
    <row r="4078" spans="1:40" x14ac:dyDescent="0.25">
      <c r="A4078" t="str">
        <f>"20190303153848822"</f>
        <v>20190303153848822</v>
      </c>
      <c r="B4078" t="str">
        <f>"1551598728812980"</f>
        <v>1551598728812980</v>
      </c>
      <c r="C4078" t="s">
        <v>40</v>
      </c>
      <c r="D4078">
        <v>4.3906140000000002</v>
      </c>
      <c r="E4078">
        <v>0.48843540000000002</v>
      </c>
      <c r="F4078" t="s">
        <v>55</v>
      </c>
      <c r="G4078">
        <v>-378.0403</v>
      </c>
      <c r="H4078" s="1">
        <v>2.741849E-6</v>
      </c>
      <c r="I4078">
        <v>214.3443</v>
      </c>
      <c r="J4078">
        <v>-469.15390000000002</v>
      </c>
      <c r="K4078">
        <v>1.1204339999999999</v>
      </c>
      <c r="L4078">
        <v>216.01050000000001</v>
      </c>
      <c r="M4078">
        <v>0.99990789999999996</v>
      </c>
      <c r="N4078">
        <v>-1.349971E-2</v>
      </c>
      <c r="O4078">
        <v>1.5130110000000001E-3</v>
      </c>
      <c r="P4078">
        <v>0.99781839999999999</v>
      </c>
      <c r="Q4078">
        <v>-4.8003730000000001E-2</v>
      </c>
      <c r="R4078">
        <v>-4.5322979999999999E-2</v>
      </c>
      <c r="S4078">
        <v>3.0022890000000002</v>
      </c>
      <c r="T4078">
        <v>-3.6831500000000003E-2</v>
      </c>
      <c r="U4078">
        <v>-5.4779050000000003E-2</v>
      </c>
      <c r="V4078">
        <v>4.677046E-2</v>
      </c>
      <c r="W4078">
        <v>-3.4614609999999997E-2</v>
      </c>
      <c r="X4078">
        <v>0.99830569999999996</v>
      </c>
      <c r="Y4078">
        <v>1.9752479999999999E-2</v>
      </c>
      <c r="Z4078">
        <v>-2.5263400000000001E-4</v>
      </c>
      <c r="AA4078">
        <v>0.9998049</v>
      </c>
      <c r="AB4078">
        <v>20</v>
      </c>
      <c r="AC4078">
        <v>91.113600000000005</v>
      </c>
      <c r="AD4078">
        <v>-1.1204312581510001</v>
      </c>
      <c r="AE4078">
        <v>-1.6661999999999999</v>
      </c>
      <c r="AF4078">
        <v>1.8037938361875501</v>
      </c>
      <c r="AG4078">
        <v>-1.1204312581510001</v>
      </c>
      <c r="AH4078">
        <v>91.097203535484695</v>
      </c>
      <c r="AI4078">
        <v>90.704524003346606</v>
      </c>
      <c r="AJ4078">
        <v>88.865648271226902</v>
      </c>
      <c r="AK4078">
        <v>91.121948675350694</v>
      </c>
      <c r="AL4078">
        <v>91.983667407459293</v>
      </c>
      <c r="AM4078">
        <v>87.317663376122397</v>
      </c>
      <c r="AN4078">
        <v>0.99999995890327598</v>
      </c>
    </row>
    <row r="4079" spans="1:40" x14ac:dyDescent="0.25">
      <c r="A4079" t="str">
        <f>"20190303153848843"</f>
        <v>20190303153848843</v>
      </c>
      <c r="B4079" t="str">
        <f>"1551598728832503"</f>
        <v>1551598728832503</v>
      </c>
      <c r="C4079" t="s">
        <v>40</v>
      </c>
      <c r="D4079">
        <v>4.476966</v>
      </c>
      <c r="E4079">
        <v>0.48846840000000002</v>
      </c>
      <c r="F4079" t="s">
        <v>55</v>
      </c>
      <c r="G4079">
        <v>-392.2466</v>
      </c>
      <c r="H4079" s="1">
        <v>-3.412752E-7</v>
      </c>
      <c r="I4079">
        <v>214.8356</v>
      </c>
      <c r="J4079">
        <v>-468.97280000000001</v>
      </c>
      <c r="K4079">
        <v>1.1203160000000001</v>
      </c>
      <c r="L4079">
        <v>216.00970000000001</v>
      </c>
      <c r="M4079">
        <v>0.9999074</v>
      </c>
      <c r="N4079">
        <v>-1.3604389999999999E-2</v>
      </c>
      <c r="O4079">
        <v>4.3111750000000002E-4</v>
      </c>
      <c r="P4079">
        <v>0.99781030000000004</v>
      </c>
      <c r="Q4079">
        <v>-5.0737150000000002E-2</v>
      </c>
      <c r="R4079">
        <v>-4.2438070000000001E-2</v>
      </c>
      <c r="S4079">
        <v>3.0023499999999999</v>
      </c>
      <c r="T4079">
        <v>-4.3740149999999998E-2</v>
      </c>
      <c r="U4079">
        <v>-4.586792E-2</v>
      </c>
      <c r="V4079">
        <v>4.2790189999999999E-2</v>
      </c>
      <c r="W4079">
        <v>-3.7247799999999998E-2</v>
      </c>
      <c r="X4079">
        <v>0.99838950000000004</v>
      </c>
      <c r="Y4079">
        <v>1.5703439999999999E-2</v>
      </c>
      <c r="Z4079">
        <v>-2.2163129999999999E-4</v>
      </c>
      <c r="AA4079">
        <v>0.99987669999999995</v>
      </c>
      <c r="AB4079">
        <v>20</v>
      </c>
      <c r="AC4079">
        <v>76.726200000000006</v>
      </c>
      <c r="AD4079">
        <v>-1.1203163412752</v>
      </c>
      <c r="AE4079">
        <v>-1.1741000000000099</v>
      </c>
      <c r="AF4079">
        <v>1.2069236987324501</v>
      </c>
      <c r="AG4079">
        <v>-1.1203163412752</v>
      </c>
      <c r="AH4079">
        <v>76.709335790309296</v>
      </c>
      <c r="AI4079">
        <v>90.836624281972405</v>
      </c>
      <c r="AJ4079">
        <v>89.098598259246998</v>
      </c>
      <c r="AK4079">
        <v>76.727009396362504</v>
      </c>
      <c r="AL4079">
        <v>92.134635536531306</v>
      </c>
      <c r="AM4079">
        <v>87.545849831527804</v>
      </c>
      <c r="AN4079">
        <v>0.99999999633766301</v>
      </c>
    </row>
    <row r="4080" spans="1:40" x14ac:dyDescent="0.25">
      <c r="A4080" t="str">
        <f>"20190303153848865"</f>
        <v>20190303153848865</v>
      </c>
      <c r="B4080" t="str">
        <f>"1551598728862756"</f>
        <v>1551598728862756</v>
      </c>
      <c r="C4080" t="s">
        <v>40</v>
      </c>
      <c r="D4080">
        <v>4.4201560000000004</v>
      </c>
      <c r="E4080">
        <v>0.48838559999999998</v>
      </c>
      <c r="F4080" t="s">
        <v>57</v>
      </c>
      <c r="G4080">
        <v>-404.52179999999998</v>
      </c>
      <c r="H4080" s="1">
        <v>6.2759749999999997E-6</v>
      </c>
      <c r="I4080">
        <v>215.2022</v>
      </c>
      <c r="J4080">
        <v>-468.76830000000001</v>
      </c>
      <c r="K4080">
        <v>1.120233</v>
      </c>
      <c r="L4080">
        <v>216.00829999999999</v>
      </c>
      <c r="M4080">
        <v>0.99990570000000001</v>
      </c>
      <c r="N4080">
        <v>-1.370705E-2</v>
      </c>
      <c r="O4080">
        <v>-9.5456459999999996E-4</v>
      </c>
      <c r="P4080">
        <v>0.99774689999999999</v>
      </c>
      <c r="Q4080">
        <v>-5.330389E-2</v>
      </c>
      <c r="R4080">
        <v>-4.0740619999999998E-2</v>
      </c>
      <c r="S4080">
        <v>3.002319</v>
      </c>
      <c r="T4080">
        <v>-5.2187320000000002E-2</v>
      </c>
      <c r="U4080">
        <v>-3.7612920000000001E-2</v>
      </c>
      <c r="V4080">
        <v>3.9695210000000002E-2</v>
      </c>
      <c r="W4080">
        <v>-3.9715060000000003E-2</v>
      </c>
      <c r="X4080">
        <v>0.99842229999999998</v>
      </c>
      <c r="Y4080">
        <v>1.156927E-2</v>
      </c>
      <c r="Z4080">
        <v>-1.76340299999999E-4</v>
      </c>
      <c r="AA4080">
        <v>0.99993310000000002</v>
      </c>
      <c r="AB4080">
        <v>20</v>
      </c>
      <c r="AC4080">
        <v>64.246499999999997</v>
      </c>
      <c r="AD4080">
        <v>-1.1202267240249999</v>
      </c>
      <c r="AE4080">
        <v>-0.80609999999998605</v>
      </c>
      <c r="AF4080">
        <v>0.74454011726322999</v>
      </c>
      <c r="AG4080">
        <v>-1.1202267240249999</v>
      </c>
      <c r="AH4080">
        <v>64.227716350366904</v>
      </c>
      <c r="AI4080">
        <v>90.999155023064702</v>
      </c>
      <c r="AJ4080">
        <v>89.335845984394894</v>
      </c>
      <c r="AK4080">
        <v>64.241799441505506</v>
      </c>
      <c r="AL4080">
        <v>92.276103836613004</v>
      </c>
      <c r="AM4080">
        <v>87.723237175702906</v>
      </c>
      <c r="AN4080">
        <v>1.0000000424125099</v>
      </c>
    </row>
    <row r="4081" spans="1:40" x14ac:dyDescent="0.25">
      <c r="A4081" t="str">
        <f>"20190303153848887"</f>
        <v>20190303153848887</v>
      </c>
      <c r="B4081" t="str">
        <f>"1551598728882279"</f>
        <v>1551598728882279</v>
      </c>
      <c r="C4081" t="s">
        <v>40</v>
      </c>
      <c r="D4081">
        <v>4.4034769999999996</v>
      </c>
      <c r="E4081">
        <v>0.48840929999999999</v>
      </c>
      <c r="F4081" t="s">
        <v>57</v>
      </c>
      <c r="G4081">
        <v>-413.73559999999998</v>
      </c>
      <c r="H4081" s="1">
        <v>2.7975369999999999E-6</v>
      </c>
      <c r="I4081">
        <v>215.42670000000001</v>
      </c>
      <c r="J4081">
        <v>-468.57819999999998</v>
      </c>
      <c r="K4081">
        <v>1.1202030000000001</v>
      </c>
      <c r="L4081">
        <v>216.00649999999999</v>
      </c>
      <c r="M4081">
        <v>0.99990219999999996</v>
      </c>
      <c r="N4081">
        <v>-1.378861E-2</v>
      </c>
      <c r="O4081">
        <v>-2.3335090000000001E-3</v>
      </c>
      <c r="P4081">
        <v>0.99773040000000002</v>
      </c>
      <c r="Q4081">
        <v>-5.2592779999999999E-2</v>
      </c>
      <c r="R4081">
        <v>-4.2048799999999997E-2</v>
      </c>
      <c r="S4081">
        <v>3.0021969999999998</v>
      </c>
      <c r="T4081">
        <v>-6.1111930000000002E-2</v>
      </c>
      <c r="U4081">
        <v>-3.1723019999999998E-2</v>
      </c>
      <c r="V4081">
        <v>3.962454E-2</v>
      </c>
      <c r="W4081">
        <v>-3.8926790000000003E-2</v>
      </c>
      <c r="X4081">
        <v>0.99845609999999996</v>
      </c>
      <c r="Y4081">
        <v>8.2295739999999999E-3</v>
      </c>
      <c r="Z4081">
        <v>-1.2518149999999999E-4</v>
      </c>
      <c r="AA4081">
        <v>0.99996609999999997</v>
      </c>
      <c r="AB4081">
        <v>20</v>
      </c>
      <c r="AC4081">
        <v>54.842599999999997</v>
      </c>
      <c r="AD4081">
        <v>-1.120200202463</v>
      </c>
      <c r="AE4081">
        <v>-0.579799999999977</v>
      </c>
      <c r="AF4081">
        <v>0.45162215127309902</v>
      </c>
      <c r="AG4081">
        <v>-1.120200202463</v>
      </c>
      <c r="AH4081">
        <v>54.820934439359696</v>
      </c>
      <c r="AI4081">
        <v>91.170568083579695</v>
      </c>
      <c r="AJ4081">
        <v>89.528000423269603</v>
      </c>
      <c r="AK4081">
        <v>54.834238062233503</v>
      </c>
      <c r="AL4081">
        <v>92.230904451341402</v>
      </c>
      <c r="AM4081">
        <v>87.727363133621395</v>
      </c>
      <c r="AN4081">
        <v>0.99999999138856199</v>
      </c>
    </row>
    <row r="4082" spans="1:40" x14ac:dyDescent="0.25">
      <c r="A4082" t="str">
        <f>"20190303153848909"</f>
        <v>20190303153848909</v>
      </c>
      <c r="B4082" t="str">
        <f>"1551598728902772"</f>
        <v>1551598728902772</v>
      </c>
      <c r="C4082" t="s">
        <v>40</v>
      </c>
      <c r="D4082">
        <v>4.4788829999999997</v>
      </c>
      <c r="E4082">
        <v>0.48842799999999997</v>
      </c>
      <c r="F4082" t="s">
        <v>57</v>
      </c>
      <c r="G4082">
        <v>-411.3596</v>
      </c>
      <c r="H4082" s="1">
        <v>2.3852219999999998E-6</v>
      </c>
      <c r="I4082">
        <v>215.322</v>
      </c>
      <c r="J4082">
        <v>-468.37509999999997</v>
      </c>
      <c r="K4082">
        <v>1.1202319999999999</v>
      </c>
      <c r="L4082">
        <v>216.0043</v>
      </c>
      <c r="M4082">
        <v>0.99989649999999997</v>
      </c>
      <c r="N4082">
        <v>-1.386306E-2</v>
      </c>
      <c r="O4082">
        <v>-3.8578689999999999E-3</v>
      </c>
      <c r="P4082">
        <v>0.99782090000000001</v>
      </c>
      <c r="Q4082">
        <v>-4.9360340000000003E-2</v>
      </c>
      <c r="R4082">
        <v>-4.3787E-2</v>
      </c>
      <c r="S4082">
        <v>3.0022579999999999</v>
      </c>
      <c r="T4082">
        <v>-5.877686E-2</v>
      </c>
      <c r="U4082">
        <v>-3.5919189999999997E-2</v>
      </c>
      <c r="V4082">
        <v>3.9848370000000001E-2</v>
      </c>
      <c r="W4082">
        <v>-3.5619739999999997E-2</v>
      </c>
      <c r="X4082">
        <v>0.99857059999999997</v>
      </c>
      <c r="Y4082">
        <v>8.1025590000000005E-3</v>
      </c>
      <c r="Z4082">
        <v>-1.13445E-4</v>
      </c>
      <c r="AA4082">
        <v>0.99996719999999895</v>
      </c>
      <c r="AB4082">
        <v>20</v>
      </c>
      <c r="AC4082">
        <v>57.015499999999903</v>
      </c>
      <c r="AD4082">
        <v>-1.120229614778</v>
      </c>
      <c r="AE4082">
        <v>-0.68229999999999702</v>
      </c>
      <c r="AF4082">
        <v>0.46213708475292198</v>
      </c>
      <c r="AG4082">
        <v>-1.120229614778</v>
      </c>
      <c r="AH4082">
        <v>56.9957088423984</v>
      </c>
      <c r="AI4082">
        <v>91.125945415219704</v>
      </c>
      <c r="AJ4082">
        <v>89.535440039183896</v>
      </c>
      <c r="AK4082">
        <v>57.008589804716102</v>
      </c>
      <c r="AL4082">
        <v>92.041292678774596</v>
      </c>
      <c r="AM4082">
        <v>87.714800882617993</v>
      </c>
      <c r="AN4082">
        <v>0.99999995082684101</v>
      </c>
    </row>
    <row r="4083" spans="1:40" x14ac:dyDescent="0.25">
      <c r="A4083" t="str">
        <f>"20190303153848934"</f>
        <v>20190303153848934</v>
      </c>
      <c r="B4083" t="str">
        <f>"1551598728922292"</f>
        <v>1551598728922292</v>
      </c>
      <c r="C4083" t="s">
        <v>40</v>
      </c>
      <c r="D4083">
        <v>4.4510949999999996</v>
      </c>
      <c r="E4083">
        <v>0.48843740000000002</v>
      </c>
      <c r="F4083" t="s">
        <v>55</v>
      </c>
      <c r="G4083">
        <v>-399.79480000000001</v>
      </c>
      <c r="H4083" s="1">
        <v>3.6755100000000001E-6</v>
      </c>
      <c r="I4083">
        <v>215.05279999999999</v>
      </c>
      <c r="J4083">
        <v>-468.16030000000001</v>
      </c>
      <c r="K4083">
        <v>1.1202970000000001</v>
      </c>
      <c r="L4083">
        <v>216.00149999999999</v>
      </c>
      <c r="M4083">
        <v>0.99988790000000005</v>
      </c>
      <c r="N4083">
        <v>-1.392789E-2</v>
      </c>
      <c r="O4083">
        <v>-5.4982989999999999E-3</v>
      </c>
      <c r="P4083">
        <v>0.99790469999999998</v>
      </c>
      <c r="Q4083">
        <v>-4.492405E-2</v>
      </c>
      <c r="R4083">
        <v>-4.6563979999999998E-2</v>
      </c>
      <c r="S4083">
        <v>3.0022890000000002</v>
      </c>
      <c r="T4083">
        <v>-4.9041029999999999E-2</v>
      </c>
      <c r="U4083">
        <v>-4.1656489999999997E-2</v>
      </c>
      <c r="V4083">
        <v>4.1000809999999999E-2</v>
      </c>
      <c r="W4083">
        <v>-3.1116789999999998E-2</v>
      </c>
      <c r="X4083">
        <v>0.99867450000000002</v>
      </c>
      <c r="Y4083">
        <v>8.3730119999999904E-3</v>
      </c>
      <c r="Z4083">
        <v>-1.1347809999999999E-4</v>
      </c>
      <c r="AA4083">
        <v>0.99996499999999999</v>
      </c>
      <c r="AB4083">
        <v>20</v>
      </c>
      <c r="AC4083">
        <v>68.365499999999997</v>
      </c>
      <c r="AD4083">
        <v>-1.12029332449</v>
      </c>
      <c r="AE4083">
        <v>-0.94870000000000199</v>
      </c>
      <c r="AF4083">
        <v>0.57260150792752995</v>
      </c>
      <c r="AG4083">
        <v>-1.12029332449</v>
      </c>
      <c r="AH4083">
        <v>68.351332435327905</v>
      </c>
      <c r="AI4083">
        <v>90.938973367631107</v>
      </c>
      <c r="AJ4083">
        <v>89.520025709311298</v>
      </c>
      <c r="AK4083">
        <v>68.3629108164982</v>
      </c>
      <c r="AL4083">
        <v>91.783148505394294</v>
      </c>
      <c r="AM4083">
        <v>87.649028953866207</v>
      </c>
      <c r="AN4083">
        <v>1.0000000389954</v>
      </c>
    </row>
    <row r="4084" spans="1:40" x14ac:dyDescent="0.25">
      <c r="A4084" t="str">
        <f>"20190303153848956"</f>
        <v>20190303153848956</v>
      </c>
      <c r="B4084" t="str">
        <f>"1551598728952548"</f>
        <v>1551598728952548</v>
      </c>
      <c r="C4084" t="s">
        <v>40</v>
      </c>
      <c r="D4084">
        <v>4.4289579999999997</v>
      </c>
      <c r="E4084">
        <v>0.48849330000000002</v>
      </c>
      <c r="F4084" t="s">
        <v>55</v>
      </c>
      <c r="G4084">
        <v>-374.41820000000001</v>
      </c>
      <c r="H4084" s="1">
        <v>8.1433719999999897E-7</v>
      </c>
      <c r="I4084">
        <v>214.43510000000001</v>
      </c>
      <c r="J4084">
        <v>-467.9538</v>
      </c>
      <c r="K4084">
        <v>1.120363</v>
      </c>
      <c r="L4084">
        <v>215.99860000000001</v>
      </c>
      <c r="M4084">
        <v>0.99987749999999997</v>
      </c>
      <c r="N4084">
        <v>-1.398081E-2</v>
      </c>
      <c r="O4084">
        <v>-7.0708899999999998E-3</v>
      </c>
      <c r="P4084">
        <v>0.99785889999999999</v>
      </c>
      <c r="Q4084">
        <v>-4.291317E-2</v>
      </c>
      <c r="R4084">
        <v>-4.9359119999999999E-2</v>
      </c>
      <c r="S4084">
        <v>3.0023499999999999</v>
      </c>
      <c r="T4084">
        <v>-3.5880570000000001E-2</v>
      </c>
      <c r="U4084">
        <v>-5.0170899999999997E-2</v>
      </c>
      <c r="V4084">
        <v>4.2234439999999998E-2</v>
      </c>
      <c r="W4084">
        <v>-2.9051299999999999E-2</v>
      </c>
      <c r="X4084">
        <v>0.9986853</v>
      </c>
      <c r="Y4084">
        <v>9.635724E-3</v>
      </c>
      <c r="Z4084">
        <v>-1.3930729999999999E-4</v>
      </c>
      <c r="AA4084">
        <v>0.9999536</v>
      </c>
      <c r="AB4084">
        <v>20</v>
      </c>
      <c r="AC4084">
        <v>93.535600000000002</v>
      </c>
      <c r="AD4084">
        <v>-1.1203621856628001</v>
      </c>
      <c r="AE4084">
        <v>-1.5634999999999999</v>
      </c>
      <c r="AF4084">
        <v>0.90188711965494395</v>
      </c>
      <c r="AG4084">
        <v>-1.1203621856628001</v>
      </c>
      <c r="AH4084">
        <v>93.530902467489398</v>
      </c>
      <c r="AI4084">
        <v>90.686254162576205</v>
      </c>
      <c r="AJ4084">
        <v>89.447533139282299</v>
      </c>
      <c r="AK4084">
        <v>93.541960254137706</v>
      </c>
      <c r="AL4084">
        <v>91.6647510589966</v>
      </c>
      <c r="AM4084">
        <v>87.578402211798505</v>
      </c>
      <c r="AN4084">
        <v>1.0000000271949401</v>
      </c>
    </row>
    <row r="4085" spans="1:40" x14ac:dyDescent="0.25">
      <c r="A4085" t="str">
        <f>"20190303153848977"</f>
        <v>20190303153848977</v>
      </c>
      <c r="B4085" t="str">
        <f>"1551598728973044"</f>
        <v>1551598728973044</v>
      </c>
      <c r="C4085" t="s">
        <v>40</v>
      </c>
      <c r="D4085">
        <v>4.4242410000000003</v>
      </c>
      <c r="E4085">
        <v>0.4885795</v>
      </c>
      <c r="F4085" t="s">
        <v>55</v>
      </c>
      <c r="G4085">
        <v>-357.94540000000001</v>
      </c>
      <c r="H4085" s="1">
        <v>2.725392E-6</v>
      </c>
      <c r="I4085">
        <v>213.83750000000001</v>
      </c>
      <c r="J4085">
        <v>-467.76569999999998</v>
      </c>
      <c r="K4085">
        <v>1.1204149999999999</v>
      </c>
      <c r="L4085">
        <v>215.99549999999999</v>
      </c>
      <c r="M4085">
        <v>0.99986580000000003</v>
      </c>
      <c r="N4085">
        <v>-1.4022E-2</v>
      </c>
      <c r="O4085">
        <v>-8.4766819999999993E-3</v>
      </c>
      <c r="P4085">
        <v>0.99769059999999998</v>
      </c>
      <c r="Q4085">
        <v>-4.4457200000000002E-2</v>
      </c>
      <c r="R4085">
        <v>-5.1353179999999998E-2</v>
      </c>
      <c r="S4085">
        <v>3.002167</v>
      </c>
      <c r="T4085">
        <v>-3.0575040000000001E-2</v>
      </c>
      <c r="U4085">
        <v>-5.8975220000000002E-2</v>
      </c>
      <c r="V4085">
        <v>4.2825759999999997E-2</v>
      </c>
      <c r="W4085">
        <v>-3.0552579999999999E-2</v>
      </c>
      <c r="X4085">
        <v>0.99861529999999998</v>
      </c>
      <c r="Y4085">
        <v>1.116253E-2</v>
      </c>
      <c r="Z4085">
        <v>-1.67654199999999E-4</v>
      </c>
      <c r="AA4085">
        <v>0.99993770000000004</v>
      </c>
      <c r="AB4085">
        <v>20</v>
      </c>
      <c r="AC4085">
        <v>109.82029999999899</v>
      </c>
      <c r="AD4085">
        <v>-1.1204122746080001</v>
      </c>
      <c r="AE4085">
        <v>-2.1579999999999799</v>
      </c>
      <c r="AF4085">
        <v>1.2267915619832399</v>
      </c>
      <c r="AG4085">
        <v>-1.1204122746080001</v>
      </c>
      <c r="AH4085">
        <v>109.823221510756</v>
      </c>
      <c r="AI4085">
        <v>90.584472594836996</v>
      </c>
      <c r="AJ4085">
        <v>89.359998236747899</v>
      </c>
      <c r="AK4085">
        <v>109.835787993724</v>
      </c>
      <c r="AL4085">
        <v>91.750806323601196</v>
      </c>
      <c r="AM4085">
        <v>87.544366975339003</v>
      </c>
      <c r="AN4085">
        <v>1.0000000116291601</v>
      </c>
    </row>
    <row r="4086" spans="1:40" x14ac:dyDescent="0.25">
      <c r="A4086" t="str">
        <f>"20190303153849000"</f>
        <v>20190303153849000</v>
      </c>
      <c r="B4086" t="str">
        <f>"1551598728992564"</f>
        <v>1551598728992564</v>
      </c>
      <c r="C4086" t="s">
        <v>40</v>
      </c>
      <c r="D4086">
        <v>4.4514680000000002</v>
      </c>
      <c r="E4086">
        <v>0.4886547</v>
      </c>
      <c r="F4086" t="s">
        <v>55</v>
      </c>
      <c r="G4086">
        <v>-373.44760000000002</v>
      </c>
      <c r="H4086" s="1">
        <v>2.9783390000000003E-7</v>
      </c>
      <c r="I4086">
        <v>213.93700000000001</v>
      </c>
      <c r="J4086">
        <v>-467.56689999999998</v>
      </c>
      <c r="K4086">
        <v>1.120449</v>
      </c>
      <c r="L4086">
        <v>215.99209999999999</v>
      </c>
      <c r="M4086">
        <v>0.99985190000000002</v>
      </c>
      <c r="N4086">
        <v>-1.4058930000000001E-2</v>
      </c>
      <c r="O4086">
        <v>-9.929874E-3</v>
      </c>
      <c r="P4086">
        <v>0.99742339999999996</v>
      </c>
      <c r="Q4086">
        <v>-4.8088600000000002E-2</v>
      </c>
      <c r="R4086">
        <v>-5.3237069999999997E-2</v>
      </c>
      <c r="S4086">
        <v>3.0019840000000002</v>
      </c>
      <c r="T4086">
        <v>-3.5660860000000003E-2</v>
      </c>
      <c r="U4086">
        <v>-6.5521239999999994E-2</v>
      </c>
      <c r="V4086">
        <v>4.3256370000000002E-2</v>
      </c>
      <c r="W4086">
        <v>-3.4146749999999997E-2</v>
      </c>
      <c r="X4086">
        <v>0.99848029999999999</v>
      </c>
      <c r="Y4086">
        <v>1.188941E-2</v>
      </c>
      <c r="Z4086">
        <v>-1.7586859999999999E-4</v>
      </c>
      <c r="AA4086">
        <v>0.99992930000000002</v>
      </c>
      <c r="AB4086">
        <v>20</v>
      </c>
      <c r="AC4086">
        <v>94.119299999999896</v>
      </c>
      <c r="AD4086">
        <v>-1.1204487021661</v>
      </c>
      <c r="AE4086">
        <v>-2.0550999999999799</v>
      </c>
      <c r="AF4086">
        <v>1.1201548575079201</v>
      </c>
      <c r="AG4086">
        <v>-1.1204487021661</v>
      </c>
      <c r="AH4086">
        <v>94.121735238967105</v>
      </c>
      <c r="AI4086">
        <v>90.681982798243297</v>
      </c>
      <c r="AJ4086">
        <v>89.318147761094295</v>
      </c>
      <c r="AK4086">
        <v>94.135068898860496</v>
      </c>
      <c r="AL4086">
        <v>91.956845042125096</v>
      </c>
      <c r="AM4086">
        <v>87.519371510089101</v>
      </c>
      <c r="AN4086">
        <v>1.00000001178461</v>
      </c>
    </row>
    <row r="4087" spans="1:40" x14ac:dyDescent="0.25">
      <c r="A4087" t="str">
        <f>"20190303153849022"</f>
        <v>20190303153849022</v>
      </c>
      <c r="B4087" t="str">
        <f>"1551598729013061"</f>
        <v>1551598729013061</v>
      </c>
      <c r="C4087" t="s">
        <v>40</v>
      </c>
      <c r="D4087">
        <v>4.4116739999999997</v>
      </c>
      <c r="E4087">
        <v>0.48868620000000002</v>
      </c>
      <c r="F4087" t="s">
        <v>55</v>
      </c>
      <c r="G4087">
        <v>-396.28300000000002</v>
      </c>
      <c r="H4087" s="1">
        <v>1.806709E-6</v>
      </c>
      <c r="I4087">
        <v>214.29079999999999</v>
      </c>
      <c r="J4087">
        <v>-467.36349999999999</v>
      </c>
      <c r="K4087">
        <v>1.12046</v>
      </c>
      <c r="L4087">
        <v>215.98830000000001</v>
      </c>
      <c r="M4087">
        <v>0.99983610000000001</v>
      </c>
      <c r="N4087">
        <v>-1.408037E-2</v>
      </c>
      <c r="O4087">
        <v>-1.1396669999999999E-2</v>
      </c>
      <c r="P4087">
        <v>0.99714729999999996</v>
      </c>
      <c r="Q4087">
        <v>-5.2576119999999997E-2</v>
      </c>
      <c r="R4087">
        <v>-5.4161059999999997E-2</v>
      </c>
      <c r="S4087">
        <v>3.0016479999999999</v>
      </c>
      <c r="T4087">
        <v>-4.7180180000000002E-2</v>
      </c>
      <c r="U4087">
        <v>-7.1640010000000004E-2</v>
      </c>
      <c r="V4087">
        <v>4.2711939999999997E-2</v>
      </c>
      <c r="W4087">
        <v>-3.8611930000000003E-2</v>
      </c>
      <c r="X4087">
        <v>0.99834100000000003</v>
      </c>
      <c r="Y4087">
        <v>1.2461099999999999E-2</v>
      </c>
      <c r="Z4087">
        <v>-1.6704090000000001E-4</v>
      </c>
      <c r="AA4087">
        <v>0.99992230000000004</v>
      </c>
      <c r="AB4087">
        <v>20</v>
      </c>
      <c r="AC4087">
        <v>71.080499999999901</v>
      </c>
      <c r="AD4087">
        <v>-1.120458193291</v>
      </c>
      <c r="AE4087">
        <v>-1.69750000000001</v>
      </c>
      <c r="AF4087">
        <v>0.887008290920836</v>
      </c>
      <c r="AG4087">
        <v>-1.120458193291</v>
      </c>
      <c r="AH4087">
        <v>71.077579338817102</v>
      </c>
      <c r="AI4087">
        <v>90.903058491516106</v>
      </c>
      <c r="AJ4087">
        <v>89.285017949223899</v>
      </c>
      <c r="AK4087">
        <v>71.091943952440303</v>
      </c>
      <c r="AL4087">
        <v>92.212850772696598</v>
      </c>
      <c r="AM4087">
        <v>87.550213378353007</v>
      </c>
      <c r="AN4087">
        <v>0.99999997161894305</v>
      </c>
    </row>
    <row r="4088" spans="1:40" x14ac:dyDescent="0.25">
      <c r="A4088" t="str">
        <f>"20190303153849045"</f>
        <v>20190303153849045</v>
      </c>
      <c r="B4088" t="str">
        <f>"1551598729042340"</f>
        <v>1551598729042340</v>
      </c>
      <c r="C4088" t="s">
        <v>40</v>
      </c>
      <c r="D4088">
        <v>4.4867369999999998</v>
      </c>
      <c r="E4088">
        <v>0.48875849999999998</v>
      </c>
      <c r="F4088" t="s">
        <v>57</v>
      </c>
      <c r="G4088">
        <v>-412.42489999999998</v>
      </c>
      <c r="H4088" s="1">
        <v>2.6350510000000001E-6</v>
      </c>
      <c r="I4088">
        <v>214.6258</v>
      </c>
      <c r="J4088">
        <v>-467.16520000000003</v>
      </c>
      <c r="K4088">
        <v>1.120431</v>
      </c>
      <c r="L4088">
        <v>215.98429999999999</v>
      </c>
      <c r="M4088">
        <v>0.99981929999999997</v>
      </c>
      <c r="N4088">
        <v>-1.4025279999999999E-2</v>
      </c>
      <c r="O4088">
        <v>-1.284274E-2</v>
      </c>
      <c r="P4088">
        <v>0.99706649999999997</v>
      </c>
      <c r="Q4088">
        <v>-5.4021109999999997E-2</v>
      </c>
      <c r="R4088">
        <v>-5.42225E-2</v>
      </c>
      <c r="S4088">
        <v>3.0012509999999999</v>
      </c>
      <c r="T4088">
        <v>-6.1209680000000002E-2</v>
      </c>
      <c r="U4088">
        <v>-7.4432369999999998E-2</v>
      </c>
      <c r="V4088">
        <v>4.1328620000000003E-2</v>
      </c>
      <c r="W4088">
        <v>-4.0109079999999998E-2</v>
      </c>
      <c r="X4088">
        <v>0.99834020000000001</v>
      </c>
      <c r="Y4088">
        <v>1.1946790000000001E-2</v>
      </c>
      <c r="Z4088">
        <v>-1.238729E-4</v>
      </c>
      <c r="AA4088">
        <v>0.9999287</v>
      </c>
      <c r="AB4088">
        <v>20</v>
      </c>
      <c r="AC4088">
        <v>54.740299999999998</v>
      </c>
      <c r="AD4088">
        <v>-1.1204283649490001</v>
      </c>
      <c r="AE4088">
        <v>-1.35849999999999</v>
      </c>
      <c r="AF4088">
        <v>0.65502919257314096</v>
      </c>
      <c r="AG4088">
        <v>-1.1204283649490001</v>
      </c>
      <c r="AH4088">
        <v>54.730318467669498</v>
      </c>
      <c r="AI4088">
        <v>91.172700201098493</v>
      </c>
      <c r="AJ4088">
        <v>89.3142993236509</v>
      </c>
      <c r="AK4088">
        <v>54.745704694858297</v>
      </c>
      <c r="AL4088">
        <v>92.298697678854595</v>
      </c>
      <c r="AM4088">
        <v>87.629461177298296</v>
      </c>
      <c r="AN4088">
        <v>0.99999997403279495</v>
      </c>
    </row>
    <row r="4089" spans="1:40" x14ac:dyDescent="0.25">
      <c r="A4089" t="str">
        <f>"20190303153849067"</f>
        <v>20190303153849067</v>
      </c>
      <c r="B4089" t="str">
        <f>"1551598729062837"</f>
        <v>1551598729062837</v>
      </c>
      <c r="C4089" t="s">
        <v>40</v>
      </c>
      <c r="D4089">
        <v>4.5010149999999998</v>
      </c>
      <c r="E4089">
        <v>0.48878539999999998</v>
      </c>
      <c r="F4089" t="s">
        <v>57</v>
      </c>
      <c r="G4089">
        <v>-416.46300000000002</v>
      </c>
      <c r="H4089" s="1">
        <v>3.343147E-6</v>
      </c>
      <c r="I4089">
        <v>214.71960000000001</v>
      </c>
      <c r="J4089">
        <v>-466.96690000000001</v>
      </c>
      <c r="K4089">
        <v>1.120371</v>
      </c>
      <c r="L4089">
        <v>215.98</v>
      </c>
      <c r="M4089">
        <v>0.99980190000000002</v>
      </c>
      <c r="N4089">
        <v>-1.382384E-2</v>
      </c>
      <c r="O4089">
        <v>-1.4326820000000001E-2</v>
      </c>
      <c r="P4089">
        <v>0.99714420000000004</v>
      </c>
      <c r="Q4089">
        <v>-5.2599840000000002E-2</v>
      </c>
      <c r="R4089">
        <v>-5.4194890000000003E-2</v>
      </c>
      <c r="S4089">
        <v>3.00116</v>
      </c>
      <c r="T4089">
        <v>-6.6320299999999999E-2</v>
      </c>
      <c r="U4089">
        <v>-7.4859620000000002E-2</v>
      </c>
      <c r="V4089">
        <v>3.9819340000000002E-2</v>
      </c>
      <c r="W4089">
        <v>-3.8885969999999999E-2</v>
      </c>
      <c r="X4089">
        <v>0.9984499</v>
      </c>
      <c r="Y4089">
        <v>1.06058E-2</v>
      </c>
      <c r="Z4089" s="1">
        <v>-7.2036099999999898E-5</v>
      </c>
      <c r="AA4089">
        <v>0.99994369999999999</v>
      </c>
      <c r="AB4089">
        <v>20</v>
      </c>
      <c r="AC4089">
        <v>50.503899999999902</v>
      </c>
      <c r="AD4089">
        <v>-1.1203676568529899</v>
      </c>
      <c r="AE4089">
        <v>-1.26039999999997</v>
      </c>
      <c r="AF4089">
        <v>0.53637745787257596</v>
      </c>
      <c r="AG4089">
        <v>-1.1203676568529899</v>
      </c>
      <c r="AH4089">
        <v>50.4919421889837</v>
      </c>
      <c r="AI4089">
        <v>91.271057985460004</v>
      </c>
      <c r="AJ4089">
        <v>89.391368062330201</v>
      </c>
      <c r="AK4089">
        <v>50.507218795727702</v>
      </c>
      <c r="AL4089">
        <v>92.228563956272794</v>
      </c>
      <c r="AM4089">
        <v>87.716188155239806</v>
      </c>
      <c r="AN4089">
        <v>0.999999950655442</v>
      </c>
    </row>
    <row r="4090" spans="1:40" x14ac:dyDescent="0.25">
      <c r="A4090" t="str">
        <f>"20190303153849087"</f>
        <v>20190303153849087</v>
      </c>
      <c r="B4090" t="str">
        <f>"1551598729082356"</f>
        <v>1551598729082356</v>
      </c>
      <c r="C4090" t="s">
        <v>40</v>
      </c>
      <c r="D4090">
        <v>4.4535799999999997</v>
      </c>
      <c r="E4090">
        <v>0.4888342</v>
      </c>
      <c r="F4090" t="s">
        <v>57</v>
      </c>
      <c r="G4090">
        <v>-413.25349999999997</v>
      </c>
      <c r="H4090" s="1">
        <v>2.7809279999999998E-6</v>
      </c>
      <c r="I4090">
        <v>214.6386</v>
      </c>
      <c r="J4090">
        <v>-466.78680000000003</v>
      </c>
      <c r="K4090">
        <v>1.1202780000000001</v>
      </c>
      <c r="L4090">
        <v>215.97579999999999</v>
      </c>
      <c r="M4090">
        <v>0.99978500000000003</v>
      </c>
      <c r="N4090">
        <v>-1.3503080000000001E-2</v>
      </c>
      <c r="O4090">
        <v>-1.573637E-2</v>
      </c>
      <c r="P4090">
        <v>0.99728380000000005</v>
      </c>
      <c r="Q4090">
        <v>-5.0631570000000001E-2</v>
      </c>
      <c r="R4090">
        <v>-5.3490620000000003E-2</v>
      </c>
      <c r="S4090">
        <v>3.0011899999999998</v>
      </c>
      <c r="T4090">
        <v>-6.2599660000000001E-2</v>
      </c>
      <c r="U4090">
        <v>-7.4951169999999998E-2</v>
      </c>
      <c r="V4090">
        <v>3.7707160000000003E-2</v>
      </c>
      <c r="W4090">
        <v>-3.7233860000000001E-2</v>
      </c>
      <c r="X4090">
        <v>0.99859489999999995</v>
      </c>
      <c r="Y4090">
        <v>9.2271650000000007E-3</v>
      </c>
      <c r="Z4090" s="1">
        <v>-4.2881730000000002E-5</v>
      </c>
      <c r="AA4090">
        <v>0.9999574</v>
      </c>
      <c r="AB4090">
        <v>20</v>
      </c>
      <c r="AC4090">
        <v>53.533299999999997</v>
      </c>
      <c r="AD4090">
        <v>-1.120275219072</v>
      </c>
      <c r="AE4090">
        <v>-1.33719999999999</v>
      </c>
      <c r="AF4090">
        <v>0.49432142853609301</v>
      </c>
      <c r="AG4090">
        <v>-1.120275219072</v>
      </c>
      <c r="AH4090">
        <v>53.524289558564</v>
      </c>
      <c r="AI4090">
        <v>91.198987152208701</v>
      </c>
      <c r="AJ4090">
        <v>89.470862171023697</v>
      </c>
      <c r="AK4090">
        <v>53.538294173331501</v>
      </c>
      <c r="AL4090">
        <v>92.133836308952098</v>
      </c>
      <c r="AM4090">
        <v>87.837526324891201</v>
      </c>
      <c r="AN4090">
        <v>0.99999998227588704</v>
      </c>
    </row>
    <row r="4091" spans="1:40" x14ac:dyDescent="0.25">
      <c r="A4091" t="str">
        <f>"20190303153849111"</f>
        <v>20190303153849111</v>
      </c>
      <c r="B4091" t="str">
        <f>"1551598729102852"</f>
        <v>1551598729102852</v>
      </c>
      <c r="C4091" t="s">
        <v>40</v>
      </c>
      <c r="D4091">
        <v>4.4932059999999998</v>
      </c>
      <c r="E4091">
        <v>0.48888619999999999</v>
      </c>
      <c r="F4091" t="s">
        <v>57</v>
      </c>
      <c r="G4091">
        <v>-407.90989999999999</v>
      </c>
      <c r="H4091" s="1">
        <v>4.9103869999999999E-6</v>
      </c>
      <c r="I4091">
        <v>214.53960000000001</v>
      </c>
      <c r="J4091">
        <v>-466.57670000000002</v>
      </c>
      <c r="K4091">
        <v>1.120142</v>
      </c>
      <c r="L4091">
        <v>215.97040000000001</v>
      </c>
      <c r="M4091">
        <v>0.99976259999999995</v>
      </c>
      <c r="N4091">
        <v>-1.3012889999999999E-2</v>
      </c>
      <c r="O4091">
        <v>-1.74799E-2</v>
      </c>
      <c r="P4091">
        <v>0.99740720000000005</v>
      </c>
      <c r="Q4091">
        <v>-4.916736E-2</v>
      </c>
      <c r="R4091">
        <v>-5.255133E-2</v>
      </c>
      <c r="S4091">
        <v>3.0013429999999999</v>
      </c>
      <c r="T4091">
        <v>-5.7107690000000003E-2</v>
      </c>
      <c r="U4091">
        <v>-7.3211670000000006E-2</v>
      </c>
      <c r="V4091">
        <v>3.502371E-2</v>
      </c>
      <c r="W4091">
        <v>-3.6254920000000003E-2</v>
      </c>
      <c r="X4091">
        <v>0.99872859999999997</v>
      </c>
      <c r="Y4091">
        <v>6.9040209999999998E-3</v>
      </c>
      <c r="Z4091" s="1">
        <v>-5.5704239999999999E-6</v>
      </c>
      <c r="AA4091">
        <v>0.99997619999999998</v>
      </c>
      <c r="AB4091">
        <v>20</v>
      </c>
      <c r="AC4091">
        <v>58.666800000000002</v>
      </c>
      <c r="AD4091">
        <v>-1.1201370896130001</v>
      </c>
      <c r="AE4091">
        <v>-1.4308000000000001</v>
      </c>
      <c r="AF4091">
        <v>0.40485729181011798</v>
      </c>
      <c r="AG4091">
        <v>-1.1201370896130001</v>
      </c>
      <c r="AH4091">
        <v>58.661475075081903</v>
      </c>
      <c r="AI4091">
        <v>91.093900233528004</v>
      </c>
      <c r="AJ4091">
        <v>89.604574453557504</v>
      </c>
      <c r="AK4091">
        <v>58.673565380933802</v>
      </c>
      <c r="AL4091">
        <v>92.077709343850202</v>
      </c>
      <c r="AM4091">
        <v>87.991557701975097</v>
      </c>
      <c r="AN4091">
        <v>0.99999994797216396</v>
      </c>
    </row>
    <row r="4092" spans="1:40" x14ac:dyDescent="0.25">
      <c r="A4092" t="str">
        <f>"20190303153849135"</f>
        <v>20190303153849135</v>
      </c>
      <c r="B4092" t="str">
        <f>"1551598729122375"</f>
        <v>1551598729122375</v>
      </c>
      <c r="C4092" t="s">
        <v>40</v>
      </c>
      <c r="D4092">
        <v>4.454072</v>
      </c>
      <c r="E4092">
        <v>0.48895159999999999</v>
      </c>
      <c r="F4092" t="s">
        <v>57</v>
      </c>
      <c r="G4092">
        <v>-403.42200000000003</v>
      </c>
      <c r="H4092" s="1">
        <v>6.9121560000000001E-6</v>
      </c>
      <c r="I4092">
        <v>214.4836</v>
      </c>
      <c r="J4092">
        <v>-466.36680000000001</v>
      </c>
      <c r="K4092">
        <v>1.1199870000000001</v>
      </c>
      <c r="L4092">
        <v>215.96459999999999</v>
      </c>
      <c r="M4092">
        <v>0.9997357</v>
      </c>
      <c r="N4092">
        <v>-1.243262E-2</v>
      </c>
      <c r="O4092">
        <v>-1.9340909999999999E-2</v>
      </c>
      <c r="P4092">
        <v>0.99746670000000004</v>
      </c>
      <c r="Q4092">
        <v>-4.9536299999999998E-2</v>
      </c>
      <c r="R4092">
        <v>-5.1050999999999999E-2</v>
      </c>
      <c r="S4092">
        <v>3.0014340000000002</v>
      </c>
      <c r="T4092">
        <v>-5.3234579999999997E-2</v>
      </c>
      <c r="U4092">
        <v>-7.0663450000000003E-2</v>
      </c>
      <c r="V4092">
        <v>3.1657669999999999E-2</v>
      </c>
      <c r="W4092">
        <v>-3.7198469999999997E-2</v>
      </c>
      <c r="X4092">
        <v>0.99880630000000004</v>
      </c>
      <c r="Y4092">
        <v>4.1944089999999996E-3</v>
      </c>
      <c r="Z4092" s="1">
        <v>3.920362E-5</v>
      </c>
      <c r="AA4092">
        <v>0.99999119999999997</v>
      </c>
      <c r="AB4092">
        <v>20</v>
      </c>
      <c r="AC4092">
        <v>62.944800000000001</v>
      </c>
      <c r="AD4092">
        <v>-1.119980087844</v>
      </c>
      <c r="AE4092">
        <v>-1.4809999999999901</v>
      </c>
      <c r="AF4092">
        <v>0.26313592822938903</v>
      </c>
      <c r="AG4092">
        <v>-1.119980087844</v>
      </c>
      <c r="AH4092">
        <v>62.941754399817</v>
      </c>
      <c r="AI4092">
        <v>91.019399616313805</v>
      </c>
      <c r="AJ4092">
        <v>89.760469176047195</v>
      </c>
      <c r="AK4092">
        <v>62.952267972176998</v>
      </c>
      <c r="AL4092">
        <v>92.131807211344395</v>
      </c>
      <c r="AM4092">
        <v>88.184589099174005</v>
      </c>
      <c r="AN4092">
        <v>0.99999997957992903</v>
      </c>
    </row>
    <row r="4093" spans="1:40" x14ac:dyDescent="0.25">
      <c r="A4093" t="str">
        <f>"20190303153849156"</f>
        <v>20190303153849156</v>
      </c>
      <c r="B4093" t="str">
        <f>"1551598729152628"</f>
        <v>1551598729152628</v>
      </c>
      <c r="C4093" t="s">
        <v>40</v>
      </c>
      <c r="D4093">
        <v>4.4794900000000002</v>
      </c>
      <c r="E4093">
        <v>0.48906129999999998</v>
      </c>
      <c r="F4093" t="s">
        <v>57</v>
      </c>
      <c r="G4093">
        <v>-405.07</v>
      </c>
      <c r="H4093" s="1">
        <v>6.1567679999999899E-6</v>
      </c>
      <c r="I4093">
        <v>214.60249999999999</v>
      </c>
      <c r="J4093">
        <v>-466.16609999999997</v>
      </c>
      <c r="K4093">
        <v>1.1198490000000001</v>
      </c>
      <c r="L4093">
        <v>215.95869999999999</v>
      </c>
      <c r="M4093">
        <v>0.99970519999999996</v>
      </c>
      <c r="N4093">
        <v>-1.1834219999999999E-2</v>
      </c>
      <c r="O4093">
        <v>-2.120652E-2</v>
      </c>
      <c r="P4093">
        <v>0.9975562</v>
      </c>
      <c r="Q4093">
        <v>-4.8776380000000001E-2</v>
      </c>
      <c r="R4093">
        <v>-5.002769E-2</v>
      </c>
      <c r="S4093">
        <v>3.0014949999999998</v>
      </c>
      <c r="T4093">
        <v>-5.4841639999999997E-2</v>
      </c>
      <c r="U4093">
        <v>-6.6696169999999999E-2</v>
      </c>
      <c r="V4093">
        <v>2.8765829999999999E-2</v>
      </c>
      <c r="W4093">
        <v>-3.7031359999999999E-2</v>
      </c>
      <c r="X4093">
        <v>0.99890000000000001</v>
      </c>
      <c r="Y4093">
        <v>1.00789E-3</v>
      </c>
      <c r="Z4093">
        <v>1.2121550000000001E-4</v>
      </c>
      <c r="AA4093">
        <v>0.99999950000000004</v>
      </c>
      <c r="AB4093">
        <v>20</v>
      </c>
      <c r="AC4093">
        <v>61.0960999999999</v>
      </c>
      <c r="AD4093">
        <v>-1.11984284323199</v>
      </c>
      <c r="AE4093">
        <v>-1.3562000000000001</v>
      </c>
      <c r="AF4093">
        <v>6.0148533976064997E-2</v>
      </c>
      <c r="AG4093">
        <v>-1.11984284323199</v>
      </c>
      <c r="AH4093">
        <v>61.0906069912361</v>
      </c>
      <c r="AI4093">
        <v>91.0501623007235</v>
      </c>
      <c r="AJ4093">
        <v>89.943587792021304</v>
      </c>
      <c r="AK4093">
        <v>61.1008995710975</v>
      </c>
      <c r="AL4093">
        <v>92.122225863709602</v>
      </c>
      <c r="AM4093">
        <v>88.350480253101793</v>
      </c>
      <c r="AN4093">
        <v>1.0000000022995099</v>
      </c>
    </row>
    <row r="4094" spans="1:40" x14ac:dyDescent="0.25">
      <c r="A4094" t="str">
        <f>"20190303153849178"</f>
        <v>20190303153849178</v>
      </c>
      <c r="B4094" t="str">
        <f>"1551598729172148"</f>
        <v>1551598729172148</v>
      </c>
      <c r="C4094" t="s">
        <v>40</v>
      </c>
      <c r="D4094">
        <v>4.3484499999999997</v>
      </c>
      <c r="E4094">
        <v>0.48921819999999999</v>
      </c>
      <c r="F4094" t="s">
        <v>57</v>
      </c>
      <c r="G4094">
        <v>-402.97019999999998</v>
      </c>
      <c r="H4094" s="1">
        <v>7.0880559999999996E-6</v>
      </c>
      <c r="I4094">
        <v>214.602</v>
      </c>
      <c r="J4094">
        <v>-465.96640000000002</v>
      </c>
      <c r="K4094">
        <v>1.119707</v>
      </c>
      <c r="L4094">
        <v>215.95230000000001</v>
      </c>
      <c r="M4094">
        <v>0.99966949999999999</v>
      </c>
      <c r="N4094">
        <v>-1.11979E-2</v>
      </c>
      <c r="O4094">
        <v>-2.314101E-2</v>
      </c>
      <c r="P4094">
        <v>0.99764589999999997</v>
      </c>
      <c r="Q4094">
        <v>-4.7703009999999997E-2</v>
      </c>
      <c r="R4094">
        <v>-4.9267970000000001E-2</v>
      </c>
      <c r="S4094">
        <v>3.0015559999999999</v>
      </c>
      <c r="T4094">
        <v>-5.318809E-2</v>
      </c>
      <c r="U4094">
        <v>-6.4437869999999994E-2</v>
      </c>
      <c r="V4094">
        <v>2.606895E-2</v>
      </c>
      <c r="W4094">
        <v>-3.6588589999999997E-2</v>
      </c>
      <c r="X4094">
        <v>0.99899039999999995</v>
      </c>
      <c r="Y4094">
        <v>-1.678749E-3</v>
      </c>
      <c r="Z4094">
        <v>1.7506809999999999E-4</v>
      </c>
      <c r="AA4094">
        <v>0.99999859999999896</v>
      </c>
      <c r="AB4094">
        <v>20</v>
      </c>
      <c r="AC4094">
        <v>62.996200000000002</v>
      </c>
      <c r="AD4094">
        <v>-1.1196999119439901</v>
      </c>
      <c r="AE4094">
        <v>-1.3503000000000001</v>
      </c>
      <c r="AF4094">
        <v>-0.10791465952559701</v>
      </c>
      <c r="AG4094">
        <v>-1.1196999119439901</v>
      </c>
      <c r="AH4094">
        <v>62.990686695346596</v>
      </c>
      <c r="AI4094">
        <v>91.018360535660406</v>
      </c>
      <c r="AJ4094">
        <v>90.098158137555004</v>
      </c>
      <c r="AK4094">
        <v>63.000730026070897</v>
      </c>
      <c r="AL4094">
        <v>92.096839670598499</v>
      </c>
      <c r="AM4094">
        <v>88.505188927718393</v>
      </c>
      <c r="AN4094">
        <v>1.00000006718222</v>
      </c>
    </row>
    <row r="4095" spans="1:40" x14ac:dyDescent="0.25">
      <c r="A4095" t="str">
        <f>"20190303153849200"</f>
        <v>20190303153849200</v>
      </c>
      <c r="B4095" t="str">
        <f>"1551598729192645"</f>
        <v>1551598729192645</v>
      </c>
      <c r="C4095" t="s">
        <v>40</v>
      </c>
      <c r="D4095">
        <v>4.3392730000000004</v>
      </c>
      <c r="E4095">
        <v>0.51555529999999905</v>
      </c>
      <c r="F4095" t="s">
        <v>55</v>
      </c>
      <c r="G4095">
        <v>-397.00380000000001</v>
      </c>
      <c r="H4095" s="1">
        <v>2.1902889999999999E-6</v>
      </c>
      <c r="I4095">
        <v>214.5016</v>
      </c>
      <c r="J4095">
        <v>-465.76209999999998</v>
      </c>
      <c r="K4095">
        <v>1.1195660000000001</v>
      </c>
      <c r="L4095">
        <v>215.9453</v>
      </c>
      <c r="M4095">
        <v>0.99962759999999995</v>
      </c>
      <c r="N4095">
        <v>-1.050275E-2</v>
      </c>
      <c r="O4095">
        <v>-2.5192889999999999E-2</v>
      </c>
      <c r="P4095">
        <v>0.9977528</v>
      </c>
      <c r="Q4095">
        <v>-4.6160039999999999E-2</v>
      </c>
      <c r="R4095">
        <v>-4.8572770000000001E-2</v>
      </c>
      <c r="S4095">
        <v>3.0015559999999999</v>
      </c>
      <c r="T4095">
        <v>-4.8734550000000001E-2</v>
      </c>
      <c r="U4095">
        <v>-6.3140870000000002E-2</v>
      </c>
      <c r="V4095">
        <v>2.331975E-2</v>
      </c>
      <c r="W4095">
        <v>-3.5734099999999998E-2</v>
      </c>
      <c r="X4095">
        <v>0.99908920000000001</v>
      </c>
      <c r="Y4095">
        <v>-4.1626750000000002E-3</v>
      </c>
      <c r="Z4095">
        <v>1.9995829999999999E-4</v>
      </c>
      <c r="AA4095">
        <v>0.99999130000000003</v>
      </c>
      <c r="AB4095">
        <v>20</v>
      </c>
      <c r="AC4095">
        <v>68.758299999999906</v>
      </c>
      <c r="AD4095">
        <v>-1.1195638097109999</v>
      </c>
      <c r="AE4095">
        <v>-1.4437</v>
      </c>
      <c r="AF4095">
        <v>-0.28899723286146101</v>
      </c>
      <c r="AG4095">
        <v>-1.1195638097109999</v>
      </c>
      <c r="AH4095">
        <v>68.754626892115695</v>
      </c>
      <c r="AI4095">
        <v>90.932883341770804</v>
      </c>
      <c r="AJ4095">
        <v>90.240830689756095</v>
      </c>
      <c r="AK4095">
        <v>68.764348768810805</v>
      </c>
      <c r="AL4095">
        <v>92.047849132365201</v>
      </c>
      <c r="AM4095">
        <v>88.662901478267898</v>
      </c>
      <c r="AN4095">
        <v>0.99999998309975602</v>
      </c>
    </row>
    <row r="4096" spans="1:40" x14ac:dyDescent="0.25">
      <c r="A4096" t="str">
        <f>"20190303153849222"</f>
        <v>20190303153849222</v>
      </c>
      <c r="B4096" t="str">
        <f>"1551598729212167"</f>
        <v>1551598729212167</v>
      </c>
      <c r="C4096" t="s">
        <v>40</v>
      </c>
      <c r="D4096">
        <v>4.3599009999999998</v>
      </c>
      <c r="E4096">
        <v>0.51549400000000001</v>
      </c>
      <c r="F4096" t="s">
        <v>65</v>
      </c>
      <c r="G4096">
        <v>-281.62490000000003</v>
      </c>
      <c r="H4096">
        <v>11.14859</v>
      </c>
      <c r="I4096">
        <v>199.161</v>
      </c>
      <c r="J4096">
        <v>-465.56319999999999</v>
      </c>
      <c r="K4096">
        <v>1.119434</v>
      </c>
      <c r="L4096">
        <v>215.93799999999999</v>
      </c>
      <c r="M4096">
        <v>0.99958089999999999</v>
      </c>
      <c r="N4096">
        <v>-9.7980510000000003E-3</v>
      </c>
      <c r="O4096">
        <v>-2.7245019999999998E-2</v>
      </c>
      <c r="P4096">
        <v>0.99780530000000001</v>
      </c>
      <c r="Q4096">
        <v>-4.6039669999999998E-2</v>
      </c>
      <c r="R4096">
        <v>-4.7596760000000002E-2</v>
      </c>
      <c r="S4096">
        <v>3.001007</v>
      </c>
      <c r="T4096">
        <v>0.16344919999999999</v>
      </c>
      <c r="U4096">
        <v>-0.27354430000000002</v>
      </c>
      <c r="V4096">
        <v>2.0287400000000001E-2</v>
      </c>
      <c r="W4096">
        <v>-3.6310719999999998E-2</v>
      </c>
      <c r="X4096">
        <v>0.99913459999999998</v>
      </c>
      <c r="Y4096">
        <v>6.3586249999999997E-2</v>
      </c>
      <c r="Z4096">
        <v>-3.3101579999999999E-4</v>
      </c>
      <c r="AA4096">
        <v>0.99797630000000004</v>
      </c>
      <c r="AB4096">
        <v>20</v>
      </c>
      <c r="AC4096">
        <v>183.9383</v>
      </c>
      <c r="AD4096">
        <v>10.029156</v>
      </c>
      <c r="AE4096">
        <v>-16.777000000000001</v>
      </c>
      <c r="AF4096">
        <v>11.7245602887093</v>
      </c>
      <c r="AG4096">
        <v>10.029156</v>
      </c>
      <c r="AH4096">
        <v>183.78525208072699</v>
      </c>
      <c r="AI4096">
        <v>86.882793188820301</v>
      </c>
      <c r="AJ4096">
        <v>86.349768466856602</v>
      </c>
      <c r="AK4096">
        <v>184.43174392281901</v>
      </c>
      <c r="AL4096">
        <v>92.080908450949096</v>
      </c>
      <c r="AM4096">
        <v>88.8367706514654</v>
      </c>
      <c r="AN4096">
        <v>0.99999999795141903</v>
      </c>
    </row>
    <row r="4097" spans="1:40" x14ac:dyDescent="0.25">
      <c r="A4097" t="str">
        <f>"20190303153849245"</f>
        <v>20190303153849245</v>
      </c>
      <c r="B4097" t="str">
        <f>"1551598729232661"</f>
        <v>1551598729232661</v>
      </c>
      <c r="C4097" t="s">
        <v>40</v>
      </c>
      <c r="D4097">
        <v>4.3559590000000004</v>
      </c>
      <c r="E4097">
        <v>0.51518770000000003</v>
      </c>
      <c r="F4097" t="s">
        <v>65</v>
      </c>
      <c r="G4097">
        <v>-281.51839999999999</v>
      </c>
      <c r="H4097">
        <v>11.016859999999999</v>
      </c>
      <c r="I4097">
        <v>199.42699999999999</v>
      </c>
      <c r="J4097">
        <v>-465.3503</v>
      </c>
      <c r="K4097">
        <v>1.1192959999999901</v>
      </c>
      <c r="L4097">
        <v>215.9298</v>
      </c>
      <c r="M4097">
        <v>0.99952450000000004</v>
      </c>
      <c r="N4097">
        <v>-9.0401530000000004E-3</v>
      </c>
      <c r="O4097">
        <v>-2.9479330000000002E-2</v>
      </c>
      <c r="P4097">
        <v>0.99785369999999995</v>
      </c>
      <c r="Q4097">
        <v>-4.6359520000000001E-2</v>
      </c>
      <c r="R4097">
        <v>-4.624619E-2</v>
      </c>
      <c r="S4097">
        <v>3.0011899999999998</v>
      </c>
      <c r="T4097">
        <v>0.16139519999999999</v>
      </c>
      <c r="U4097">
        <v>-0.26924130000000002</v>
      </c>
      <c r="V4097">
        <v>1.6697500000000001E-2</v>
      </c>
      <c r="W4097">
        <v>-3.7378420000000002E-2</v>
      </c>
      <c r="X4097">
        <v>0.99916170000000004</v>
      </c>
      <c r="Y4097">
        <v>5.9937530000000003E-2</v>
      </c>
      <c r="Z4097">
        <v>-5.105531E-4</v>
      </c>
      <c r="AA4097">
        <v>0.99820200000000003</v>
      </c>
      <c r="AB4097">
        <v>21</v>
      </c>
      <c r="AC4097">
        <v>183.83189999999999</v>
      </c>
      <c r="AD4097">
        <v>9.8975639999999991</v>
      </c>
      <c r="AE4097">
        <v>-16.502799999999901</v>
      </c>
      <c r="AF4097">
        <v>11.044405053469299</v>
      </c>
      <c r="AG4097">
        <v>9.8975639999999991</v>
      </c>
      <c r="AH4097">
        <v>183.710231901273</v>
      </c>
      <c r="AI4097">
        <v>86.921663891795006</v>
      </c>
      <c r="AJ4097">
        <v>86.559597816213994</v>
      </c>
      <c r="AK4097">
        <v>184.30786733435599</v>
      </c>
      <c r="AL4097">
        <v>92.142124659222603</v>
      </c>
      <c r="AM4097">
        <v>89.042590170304507</v>
      </c>
      <c r="AN4097">
        <v>1.0000000277674099</v>
      </c>
    </row>
    <row r="4098" spans="1:40" x14ac:dyDescent="0.25">
      <c r="A4098" t="str">
        <f>"20190303153849266"</f>
        <v>20190303153849266</v>
      </c>
      <c r="B4098" t="str">
        <f>"1551598729262917"</f>
        <v>1551598729262917</v>
      </c>
      <c r="C4098" t="s">
        <v>40</v>
      </c>
      <c r="D4098">
        <v>4.3868460000000002</v>
      </c>
      <c r="E4098">
        <v>0.51482299999999903</v>
      </c>
      <c r="F4098" t="s">
        <v>65</v>
      </c>
      <c r="G4098">
        <v>-281.33109999999999</v>
      </c>
      <c r="H4098">
        <v>10.579639999999999</v>
      </c>
      <c r="I4098">
        <v>199.89429999999999</v>
      </c>
      <c r="J4098">
        <v>-465.15129999999999</v>
      </c>
      <c r="K4098">
        <v>1.1191789999999999</v>
      </c>
      <c r="L4098">
        <v>215.92169999999999</v>
      </c>
      <c r="M4098">
        <v>0.99946639999999998</v>
      </c>
      <c r="N4098">
        <v>-8.3504010000000004E-3</v>
      </c>
      <c r="O4098">
        <v>-3.1582949999999999E-2</v>
      </c>
      <c r="P4098">
        <v>0.99787729999999997</v>
      </c>
      <c r="Q4098">
        <v>-4.704059E-2</v>
      </c>
      <c r="R4098">
        <v>-4.504006E-2</v>
      </c>
      <c r="S4098">
        <v>3.0014949999999998</v>
      </c>
      <c r="T4098">
        <v>0.154305</v>
      </c>
      <c r="U4098">
        <v>-0.26155089999999998</v>
      </c>
      <c r="V4098">
        <v>1.338286E-2</v>
      </c>
      <c r="W4098">
        <v>-3.8739410000000002E-2</v>
      </c>
      <c r="X4098">
        <v>0.99915980000000004</v>
      </c>
      <c r="Y4098">
        <v>5.5298439999999997E-2</v>
      </c>
      <c r="Z4098">
        <v>-6.9556580000000004E-4</v>
      </c>
      <c r="AA4098">
        <v>0.99846970000000002</v>
      </c>
      <c r="AB4098">
        <v>21</v>
      </c>
      <c r="AC4098">
        <v>183.8202</v>
      </c>
      <c r="AD4098">
        <v>9.4604610000000005</v>
      </c>
      <c r="AE4098">
        <v>-16.0274</v>
      </c>
      <c r="AF4098">
        <v>10.186839540543501</v>
      </c>
      <c r="AG4098">
        <v>9.4604610000000005</v>
      </c>
      <c r="AH4098">
        <v>183.75166527135801</v>
      </c>
      <c r="AI4098">
        <v>87.057237727985296</v>
      </c>
      <c r="AJ4098">
        <v>86.826880060416499</v>
      </c>
      <c r="AK4098">
        <v>184.27682033330899</v>
      </c>
      <c r="AL4098">
        <v>92.2201600794901</v>
      </c>
      <c r="AM4098">
        <v>89.232619700433602</v>
      </c>
      <c r="AN4098">
        <v>1.00000007438248</v>
      </c>
    </row>
    <row r="4099" spans="1:40" x14ac:dyDescent="0.25">
      <c r="A4099" t="str">
        <f>"20190303153849289"</f>
        <v>20190303153849289</v>
      </c>
      <c r="B4099" t="str">
        <f>"1551598729282437"</f>
        <v>1551598729282437</v>
      </c>
      <c r="C4099" t="s">
        <v>40</v>
      </c>
      <c r="D4099">
        <v>4.3802079999999997</v>
      </c>
      <c r="E4099">
        <v>0.51487240000000001</v>
      </c>
      <c r="F4099" t="s">
        <v>65</v>
      </c>
      <c r="G4099">
        <v>-281.13060000000002</v>
      </c>
      <c r="H4099">
        <v>10.01437</v>
      </c>
      <c r="I4099">
        <v>200.3947</v>
      </c>
      <c r="J4099">
        <v>-464.93619999999999</v>
      </c>
      <c r="K4099">
        <v>1.119083</v>
      </c>
      <c r="L4099">
        <v>215.91239999999999</v>
      </c>
      <c r="M4099">
        <v>0.9993976</v>
      </c>
      <c r="N4099">
        <v>-7.6319019999999899E-3</v>
      </c>
      <c r="O4099">
        <v>-3.3856410000000003E-2</v>
      </c>
      <c r="P4099">
        <v>0.99786529999999996</v>
      </c>
      <c r="Q4099">
        <v>-4.8343379999999998E-2</v>
      </c>
      <c r="R4099">
        <v>-4.3910820000000003E-2</v>
      </c>
      <c r="S4099">
        <v>3.0018009999999999</v>
      </c>
      <c r="T4099">
        <v>0.14510039999999999</v>
      </c>
      <c r="U4099">
        <v>-0.25328060000000002</v>
      </c>
      <c r="V4099">
        <v>9.9749959999999999E-3</v>
      </c>
      <c r="W4099">
        <v>-4.0750300000000003E-2</v>
      </c>
      <c r="X4099">
        <v>0.9991196</v>
      </c>
      <c r="Y4099">
        <v>5.0295350000000003E-2</v>
      </c>
      <c r="Z4099">
        <v>-8.6940659999999996E-4</v>
      </c>
      <c r="AA4099">
        <v>0.99873400000000001</v>
      </c>
      <c r="AB4099">
        <v>21</v>
      </c>
      <c r="AC4099">
        <v>183.8056</v>
      </c>
      <c r="AD4099">
        <v>8.8952869999999997</v>
      </c>
      <c r="AE4099">
        <v>-15.5176999999999</v>
      </c>
      <c r="AF4099">
        <v>9.2640808072965903</v>
      </c>
      <c r="AG4099">
        <v>8.8952869999999997</v>
      </c>
      <c r="AH4099">
        <v>183.79818407340699</v>
      </c>
      <c r="AI4099">
        <v>87.232723617378298</v>
      </c>
      <c r="AJ4099">
        <v>87.114531235392903</v>
      </c>
      <c r="AK4099">
        <v>184.24636168103501</v>
      </c>
      <c r="AL4099">
        <v>92.335466809435303</v>
      </c>
      <c r="AM4099">
        <v>89.427990219103407</v>
      </c>
      <c r="AN4099">
        <v>1.0000000312997199</v>
      </c>
    </row>
    <row r="4100" spans="1:40" x14ac:dyDescent="0.25">
      <c r="A4100" t="str">
        <f>"20190303153849312"</f>
        <v>20190303153849312</v>
      </c>
      <c r="B4100" t="str">
        <f>"1551598729302933"</f>
        <v>1551598729302933</v>
      </c>
      <c r="C4100" t="s">
        <v>40</v>
      </c>
      <c r="D4100">
        <v>4.4179539999999999</v>
      </c>
      <c r="E4100">
        <v>0.51495329999999995</v>
      </c>
      <c r="F4100" t="s">
        <v>49</v>
      </c>
      <c r="G4100">
        <v>-356.51580000000001</v>
      </c>
      <c r="H4100">
        <v>6.1142640000000004</v>
      </c>
      <c r="I4100">
        <v>206.92529999999999</v>
      </c>
      <c r="J4100">
        <v>-464.71350000000001</v>
      </c>
      <c r="K4100">
        <v>1.1189960000000001</v>
      </c>
      <c r="L4100">
        <v>215.9023</v>
      </c>
      <c r="M4100">
        <v>0.99932089999999996</v>
      </c>
      <c r="N4100">
        <v>-6.9199259999999999E-3</v>
      </c>
      <c r="O4100">
        <v>-3.6195850000000002E-2</v>
      </c>
      <c r="P4100">
        <v>0.99796790000000002</v>
      </c>
      <c r="Q4100">
        <v>-4.7703509999999998E-2</v>
      </c>
      <c r="R4100">
        <v>-4.224497E-2</v>
      </c>
      <c r="S4100">
        <v>3.002167</v>
      </c>
      <c r="T4100">
        <v>0.1383182</v>
      </c>
      <c r="U4100">
        <v>-0.24885560000000001</v>
      </c>
      <c r="V4100">
        <v>5.967605E-3</v>
      </c>
      <c r="W4100">
        <v>-4.0809169999999999E-2</v>
      </c>
      <c r="X4100">
        <v>0.99914910000000001</v>
      </c>
      <c r="Y4100">
        <v>4.6490410000000003E-2</v>
      </c>
      <c r="Z4100">
        <v>-1.0056760000000001E-3</v>
      </c>
      <c r="AA4100">
        <v>0.99891819999999998</v>
      </c>
      <c r="AB4100">
        <v>21</v>
      </c>
      <c r="AC4100">
        <v>108.1977</v>
      </c>
      <c r="AD4100">
        <v>4.9952680000000003</v>
      </c>
      <c r="AE4100">
        <v>-8.9770000000000003</v>
      </c>
      <c r="AF4100">
        <v>5.0440385310428404</v>
      </c>
      <c r="AG4100">
        <v>4.9952680000000003</v>
      </c>
      <c r="AH4100">
        <v>108.222636756374</v>
      </c>
      <c r="AI4100">
        <v>87.360117196179601</v>
      </c>
      <c r="AJ4100">
        <v>87.331490585392501</v>
      </c>
      <c r="AK4100">
        <v>108.455217180164</v>
      </c>
      <c r="AL4100">
        <v>92.338842781358593</v>
      </c>
      <c r="AM4100">
        <v>89.657794302536701</v>
      </c>
      <c r="AN4100">
        <v>0.99999996234816602</v>
      </c>
    </row>
    <row r="4101" spans="1:40" x14ac:dyDescent="0.25">
      <c r="A4101" t="str">
        <f>"20190303153849335"</f>
        <v>20190303153849335</v>
      </c>
      <c r="B4101" t="str">
        <f>"1551598729322452"</f>
        <v>1551598729322452</v>
      </c>
      <c r="C4101" t="s">
        <v>40</v>
      </c>
      <c r="D4101">
        <v>4.4340149999999996</v>
      </c>
      <c r="E4101">
        <v>0.5050945</v>
      </c>
      <c r="F4101" t="s">
        <v>65</v>
      </c>
      <c r="G4101">
        <v>-280.88499999999999</v>
      </c>
      <c r="H4101">
        <v>9.5642859999999992</v>
      </c>
      <c r="I4101">
        <v>201.00739999999999</v>
      </c>
      <c r="J4101">
        <v>-464.50360000000001</v>
      </c>
      <c r="K4101">
        <v>1.118935</v>
      </c>
      <c r="L4101">
        <v>215.89240000000001</v>
      </c>
      <c r="M4101">
        <v>0.99924380000000002</v>
      </c>
      <c r="N4101">
        <v>-6.2716760000000003E-3</v>
      </c>
      <c r="O4101">
        <v>-3.8378639999999999E-2</v>
      </c>
      <c r="P4101">
        <v>0.9981409</v>
      </c>
      <c r="Q4101">
        <v>-4.5986600000000002E-2</v>
      </c>
      <c r="R4101">
        <v>-4.0006849999999997E-2</v>
      </c>
      <c r="S4101">
        <v>3.00238</v>
      </c>
      <c r="T4101">
        <v>0.1379322</v>
      </c>
      <c r="U4101">
        <v>-0.24327090000000001</v>
      </c>
      <c r="V4101">
        <v>1.54541799999999E-3</v>
      </c>
      <c r="W4101">
        <v>-3.9725669999999998E-2</v>
      </c>
      <c r="X4101">
        <v>0.99920940000000003</v>
      </c>
      <c r="Y4101">
        <v>4.2461350000000002E-2</v>
      </c>
      <c r="Z4101">
        <v>-1.158818E-3</v>
      </c>
      <c r="AA4101">
        <v>0.99909749999999997</v>
      </c>
      <c r="AB4101">
        <v>21</v>
      </c>
      <c r="AC4101">
        <v>183.61859999999999</v>
      </c>
      <c r="AD4101">
        <v>8.4453509999999898</v>
      </c>
      <c r="AE4101">
        <v>-14.885</v>
      </c>
      <c r="AF4101">
        <v>7.8104493630104201</v>
      </c>
      <c r="AG4101">
        <v>8.4453509999999898</v>
      </c>
      <c r="AH4101">
        <v>183.668589853486</v>
      </c>
      <c r="AI4101">
        <v>87.369684298302602</v>
      </c>
      <c r="AJ4101">
        <v>87.564981969013999</v>
      </c>
      <c r="AK4101">
        <v>184.028470546091</v>
      </c>
      <c r="AL4101">
        <v>92.2767123873451</v>
      </c>
      <c r="AM4101">
        <v>89.9113840818749</v>
      </c>
      <c r="AN4101">
        <v>0.99999997111105099</v>
      </c>
    </row>
    <row r="4102" spans="1:40" x14ac:dyDescent="0.25">
      <c r="A4102" t="str">
        <f>"20190303153849358"</f>
        <v>20190303153849358</v>
      </c>
      <c r="B4102" t="str">
        <f>"1551598729352708"</f>
        <v>1551598729352708</v>
      </c>
      <c r="C4102" t="s">
        <v>40</v>
      </c>
      <c r="D4102">
        <v>4.4707059999999998</v>
      </c>
      <c r="E4102">
        <v>0.50584319999999905</v>
      </c>
      <c r="F4102" t="s">
        <v>57</v>
      </c>
      <c r="G4102">
        <v>-415.86099999999999</v>
      </c>
      <c r="H4102" s="1">
        <v>3.3608129999999998E-6</v>
      </c>
      <c r="I4102">
        <v>213.2961</v>
      </c>
      <c r="J4102">
        <v>-464.27719999999999</v>
      </c>
      <c r="K4102">
        <v>1.1188750000000001</v>
      </c>
      <c r="L4102">
        <v>215.88120000000001</v>
      </c>
      <c r="M4102">
        <v>0.99915549999999997</v>
      </c>
      <c r="N4102">
        <v>-5.6008919999999997E-3</v>
      </c>
      <c r="O4102">
        <v>-4.0705999999999999E-2</v>
      </c>
      <c r="P4102">
        <v>0.99832089999999996</v>
      </c>
      <c r="Q4102">
        <v>-4.393478E-2</v>
      </c>
      <c r="R4102">
        <v>-3.7750909999999999E-2</v>
      </c>
      <c r="S4102">
        <v>2.9960019999999998</v>
      </c>
      <c r="T4102">
        <v>-6.8917389999999995E-2</v>
      </c>
      <c r="U4102">
        <v>-0.1599121</v>
      </c>
      <c r="V4102">
        <v>-3.0383770000000001E-3</v>
      </c>
      <c r="W4102">
        <v>-3.8329330000000002E-2</v>
      </c>
      <c r="X4102">
        <v>0.9992605</v>
      </c>
      <c r="Y4102">
        <v>1.2608340000000001E-2</v>
      </c>
      <c r="Z4102">
        <v>5.2697849999999995E-4</v>
      </c>
      <c r="AA4102">
        <v>0.99992040000000004</v>
      </c>
      <c r="AB4102">
        <v>21</v>
      </c>
      <c r="AC4102">
        <v>48.416200000000003</v>
      </c>
      <c r="AD4102">
        <v>-1.1188716391869999</v>
      </c>
      <c r="AE4102">
        <v>-2.5851000000000099</v>
      </c>
      <c r="AF4102">
        <v>0.611770842445579</v>
      </c>
      <c r="AG4102">
        <v>-1.1188716391869999</v>
      </c>
      <c r="AH4102">
        <v>48.4554966123792</v>
      </c>
      <c r="AI4102">
        <v>91.322659582359705</v>
      </c>
      <c r="AJ4102">
        <v>89.276655333393194</v>
      </c>
      <c r="AK4102">
        <v>48.472273407185398</v>
      </c>
      <c r="AL4102">
        <v>92.196647019522899</v>
      </c>
      <c r="AM4102">
        <v>90.1742144737769</v>
      </c>
      <c r="AN4102">
        <v>0.99999995806664499</v>
      </c>
    </row>
    <row r="4103" spans="1:40" x14ac:dyDescent="0.25">
      <c r="A4103" t="str">
        <f>"20190303153849380"</f>
        <v>20190303153849380</v>
      </c>
      <c r="B4103" t="str">
        <f>"1551598729372229"</f>
        <v>1551598729372229</v>
      </c>
      <c r="C4103" t="s">
        <v>40</v>
      </c>
      <c r="D4103">
        <v>4.4552670000000001</v>
      </c>
      <c r="E4103">
        <v>0.50630929999999996</v>
      </c>
      <c r="F4103" t="s">
        <v>57</v>
      </c>
      <c r="G4103">
        <v>-410.01679999999999</v>
      </c>
      <c r="H4103" s="1">
        <v>2.3494330000000002E-6</v>
      </c>
      <c r="I4103">
        <v>213.0069</v>
      </c>
      <c r="J4103">
        <v>-464.0598</v>
      </c>
      <c r="K4103">
        <v>1.1188100000000001</v>
      </c>
      <c r="L4103">
        <v>215.87</v>
      </c>
      <c r="M4103">
        <v>0.99906640000000002</v>
      </c>
      <c r="N4103">
        <v>-4.9822979999999996E-3</v>
      </c>
      <c r="O4103">
        <v>-4.2912550000000001E-2</v>
      </c>
      <c r="P4103">
        <v>0.99854419999999999</v>
      </c>
      <c r="Q4103">
        <v>-4.1190350000000001E-2</v>
      </c>
      <c r="R4103">
        <v>-3.4828890000000001E-2</v>
      </c>
      <c r="S4103">
        <v>2.9963380000000002</v>
      </c>
      <c r="T4103">
        <v>-6.1785819999999998E-2</v>
      </c>
      <c r="U4103">
        <v>-0.1587219</v>
      </c>
      <c r="V4103">
        <v>-8.1673709999999997E-3</v>
      </c>
      <c r="W4103">
        <v>-3.618656E-2</v>
      </c>
      <c r="X4103">
        <v>0.99931170000000002</v>
      </c>
      <c r="Y4103">
        <v>9.9986669999999993E-3</v>
      </c>
      <c r="Z4103">
        <v>5.4202570000000004E-4</v>
      </c>
      <c r="AA4103">
        <v>0.99994989999999995</v>
      </c>
      <c r="AB4103">
        <v>22</v>
      </c>
      <c r="AC4103">
        <v>54.042999999999999</v>
      </c>
      <c r="AD4103">
        <v>-1.1188076505669999</v>
      </c>
      <c r="AE4103">
        <v>-2.8631000000000002</v>
      </c>
      <c r="AF4103">
        <v>0.54107954683830095</v>
      </c>
      <c r="AG4103">
        <v>-1.1188076505669999</v>
      </c>
      <c r="AH4103">
        <v>54.092962263106102</v>
      </c>
      <c r="AI4103">
        <v>91.184823495979501</v>
      </c>
      <c r="AJ4103">
        <v>89.426902517054799</v>
      </c>
      <c r="AK4103">
        <v>54.107236706680901</v>
      </c>
      <c r="AL4103">
        <v>92.073789875837804</v>
      </c>
      <c r="AM4103">
        <v>90.468267777660699</v>
      </c>
      <c r="AN4103">
        <v>1.0000000234152799</v>
      </c>
    </row>
    <row r="4104" spans="1:40" x14ac:dyDescent="0.25">
      <c r="A4104" t="str">
        <f>"20190303153849401"</f>
        <v>20190303153849401</v>
      </c>
      <c r="B4104" t="str">
        <f>"1551598729392725"</f>
        <v>1551598729392725</v>
      </c>
      <c r="C4104" t="s">
        <v>40</v>
      </c>
      <c r="D4104">
        <v>4.5096800000000004</v>
      </c>
      <c r="E4104">
        <v>0.50839279999999998</v>
      </c>
      <c r="F4104" t="s">
        <v>57</v>
      </c>
      <c r="G4104">
        <v>-403.7115</v>
      </c>
      <c r="H4104" s="1">
        <v>7.1368379999999998E-6</v>
      </c>
      <c r="I4104">
        <v>212.77510000000001</v>
      </c>
      <c r="J4104">
        <v>-463.84640000000002</v>
      </c>
      <c r="K4104">
        <v>1.1187549999999999</v>
      </c>
      <c r="L4104">
        <v>215.8586</v>
      </c>
      <c r="M4104">
        <v>0.9989749</v>
      </c>
      <c r="N4104">
        <v>-4.3952399999999999E-3</v>
      </c>
      <c r="O4104">
        <v>-4.5056359999999997E-2</v>
      </c>
      <c r="P4104">
        <v>0.99878809999999996</v>
      </c>
      <c r="Q4104">
        <v>-3.895618E-2</v>
      </c>
      <c r="R4104">
        <v>-3.0084570000000001E-2</v>
      </c>
      <c r="S4104">
        <v>2.9967649999999999</v>
      </c>
      <c r="T4104">
        <v>-5.5557250000000002E-2</v>
      </c>
      <c r="U4104">
        <v>-0.1536865</v>
      </c>
      <c r="V4104">
        <v>-1.5056419999999999E-2</v>
      </c>
      <c r="W4104">
        <v>-3.4517270000000003E-2</v>
      </c>
      <c r="X4104">
        <v>0.99929069999999998</v>
      </c>
      <c r="Y4104">
        <v>6.1703399999999999E-3</v>
      </c>
      <c r="Z4104">
        <v>5.6550709999999996E-4</v>
      </c>
      <c r="AA4104">
        <v>0.9999808</v>
      </c>
      <c r="AB4104">
        <v>22</v>
      </c>
      <c r="AC4104">
        <v>60.134900000000002</v>
      </c>
      <c r="AD4104">
        <v>-1.118747863162</v>
      </c>
      <c r="AE4104">
        <v>-3.0834999999999799</v>
      </c>
      <c r="AF4104">
        <v>0.37075495360253602</v>
      </c>
      <c r="AG4104">
        <v>-1.118747863162</v>
      </c>
      <c r="AH4104">
        <v>60.191982963009998</v>
      </c>
      <c r="AI4104">
        <v>91.064775285137003</v>
      </c>
      <c r="AJ4104">
        <v>89.647088791785905</v>
      </c>
      <c r="AK4104">
        <v>60.203520404011499</v>
      </c>
      <c r="AL4104">
        <v>91.978086779535303</v>
      </c>
      <c r="AM4104">
        <v>90.863216328402103</v>
      </c>
      <c r="AN4104">
        <v>1.0000000204089701</v>
      </c>
    </row>
    <row r="4105" spans="1:40" x14ac:dyDescent="0.25">
      <c r="A4105" t="str">
        <f>"20190303153849435"</f>
        <v>20190303153849435</v>
      </c>
      <c r="B4105" t="str">
        <f>"1551598729432740"</f>
        <v>1551598729432740</v>
      </c>
      <c r="C4105" t="s">
        <v>40</v>
      </c>
      <c r="D4105">
        <v>4.5205690000000001</v>
      </c>
      <c r="E4105">
        <v>0.50985420000000004</v>
      </c>
      <c r="F4105" t="s">
        <v>66</v>
      </c>
      <c r="G4105">
        <v>-168.41299999999899</v>
      </c>
      <c r="H4105">
        <v>1.80055099999999</v>
      </c>
      <c r="I4105">
        <v>200.65100000000001</v>
      </c>
      <c r="J4105">
        <v>-463.50400000000002</v>
      </c>
      <c r="K4105">
        <v>1.1186389999999999</v>
      </c>
      <c r="L4105">
        <v>215.83940000000001</v>
      </c>
      <c r="M4105">
        <v>0.99881949999999997</v>
      </c>
      <c r="N4105">
        <v>-3.5014199999999999E-3</v>
      </c>
      <c r="O4105">
        <v>-4.8448369999999998E-2</v>
      </c>
      <c r="P4105">
        <v>0.99878500000000003</v>
      </c>
      <c r="Q4105">
        <v>-4.0527220000000003E-2</v>
      </c>
      <c r="R4105">
        <v>-2.8037619999999999E-2</v>
      </c>
      <c r="S4105">
        <v>2.9992679999999998</v>
      </c>
      <c r="T4105">
        <v>6.9220069999999896E-3</v>
      </c>
      <c r="U4105">
        <v>-0.15438840000000001</v>
      </c>
      <c r="V4105">
        <v>-2.0502670000000001E-2</v>
      </c>
      <c r="W4105">
        <v>-3.6964139999999999E-2</v>
      </c>
      <c r="X4105">
        <v>0.99910620000000006</v>
      </c>
      <c r="Y4105">
        <v>2.9631589999999999E-3</v>
      </c>
      <c r="Z4105">
        <v>-2.8307480000000002E-4</v>
      </c>
      <c r="AA4105">
        <v>0.99999559999999998</v>
      </c>
      <c r="AB4105">
        <v>22</v>
      </c>
      <c r="AC4105">
        <v>295.09100000000001</v>
      </c>
      <c r="AD4105">
        <v>0.68191199999999896</v>
      </c>
      <c r="AE4105">
        <v>-15.1884</v>
      </c>
      <c r="AF4105">
        <v>0.8737928892672</v>
      </c>
      <c r="AG4105">
        <v>0.68191199999999896</v>
      </c>
      <c r="AH4105">
        <v>295.478750946704</v>
      </c>
      <c r="AI4105">
        <v>89.867772422639305</v>
      </c>
      <c r="AJ4105">
        <v>89.830564808386697</v>
      </c>
      <c r="AK4105">
        <v>295.48082979952102</v>
      </c>
      <c r="AL4105">
        <v>92.118371907212506</v>
      </c>
      <c r="AM4105">
        <v>91.175602359087804</v>
      </c>
      <c r="AN4105">
        <v>0.99999995300075295</v>
      </c>
    </row>
    <row r="4106" spans="1:40" x14ac:dyDescent="0.25">
      <c r="A4106" t="str">
        <f>"20190303153849456"</f>
        <v>20190303153849456</v>
      </c>
      <c r="B4106" t="str">
        <f>"1551598729452261"</f>
        <v>1551598729452261</v>
      </c>
      <c r="C4106" t="s">
        <v>40</v>
      </c>
      <c r="D4106">
        <v>4.5415039999999998</v>
      </c>
      <c r="E4106">
        <v>0.5102274</v>
      </c>
      <c r="F4106" t="s">
        <v>57</v>
      </c>
      <c r="G4106">
        <v>-280.10379999999998</v>
      </c>
      <c r="H4106">
        <v>7.9999979999999998E-2</v>
      </c>
      <c r="I4106">
        <v>206.04920000000001</v>
      </c>
      <c r="J4106">
        <v>-463.28809999999999</v>
      </c>
      <c r="K4106">
        <v>1.1185560000000001</v>
      </c>
      <c r="L4106">
        <v>215.82669999999999</v>
      </c>
      <c r="M4106">
        <v>0.99871679999999996</v>
      </c>
      <c r="N4106">
        <v>-2.9783449999999999E-3</v>
      </c>
      <c r="O4106">
        <v>-5.0559229999999997E-2</v>
      </c>
      <c r="P4106">
        <v>0.99866790000000005</v>
      </c>
      <c r="Q4106">
        <v>-4.3599619999999999E-2</v>
      </c>
      <c r="R4106">
        <v>-2.7600039999999999E-2</v>
      </c>
      <c r="S4106">
        <v>2.9985050000000002</v>
      </c>
      <c r="T4106">
        <v>-1.6981240000000002E-2</v>
      </c>
      <c r="U4106">
        <v>-0.1600647</v>
      </c>
      <c r="V4106">
        <v>-2.3058189999999999E-2</v>
      </c>
      <c r="W4106">
        <v>-4.0550750000000003E-2</v>
      </c>
      <c r="X4106">
        <v>0.9989114</v>
      </c>
      <c r="Y4106">
        <v>2.7499859999999998E-3</v>
      </c>
      <c r="Z4106">
        <v>1.234811E-4</v>
      </c>
      <c r="AA4106">
        <v>0.9999962</v>
      </c>
      <c r="AB4106">
        <v>23</v>
      </c>
      <c r="AC4106">
        <v>183.18430000000001</v>
      </c>
      <c r="AD4106">
        <v>-1.0385560199999999</v>
      </c>
      <c r="AE4106">
        <v>-9.7774999999999697</v>
      </c>
      <c r="AF4106">
        <v>0.50328236844231999</v>
      </c>
      <c r="AG4106">
        <v>-1.0385560199999999</v>
      </c>
      <c r="AH4106">
        <v>183.43848256593199</v>
      </c>
      <c r="AI4106">
        <v>90.324381319448406</v>
      </c>
      <c r="AJ4106">
        <v>89.842803522689294</v>
      </c>
      <c r="AK4106">
        <v>183.442112879896</v>
      </c>
      <c r="AL4106">
        <v>92.324024018267906</v>
      </c>
      <c r="AM4106">
        <v>91.322341895226401</v>
      </c>
      <c r="AN4106">
        <v>1.0000000142507901</v>
      </c>
    </row>
    <row r="4107" spans="1:40" x14ac:dyDescent="0.25">
      <c r="A4107" t="str">
        <f>"20190303153849478"</f>
        <v>20190303153849478</v>
      </c>
      <c r="B4107" t="str">
        <f>"1551598729472756"</f>
        <v>1551598729472756</v>
      </c>
      <c r="C4107" t="s">
        <v>40</v>
      </c>
      <c r="D4107">
        <v>4.5388010000000003</v>
      </c>
      <c r="E4107">
        <v>0.51094070000000003</v>
      </c>
      <c r="F4107" t="s">
        <v>55</v>
      </c>
      <c r="G4107">
        <v>-363.73919999999998</v>
      </c>
      <c r="H4107" s="1">
        <v>4.5300889999999998E-7</v>
      </c>
      <c r="I4107">
        <v>210.45150000000001</v>
      </c>
      <c r="J4107">
        <v>-463.0573</v>
      </c>
      <c r="K4107">
        <v>1.1184769999999999</v>
      </c>
      <c r="L4107">
        <v>215.8126</v>
      </c>
      <c r="M4107">
        <v>0.99860289999999996</v>
      </c>
      <c r="N4107">
        <v>-2.4596129999999998E-3</v>
      </c>
      <c r="O4107">
        <v>-5.2786699999999999E-2</v>
      </c>
      <c r="P4107">
        <v>0.99864600000000003</v>
      </c>
      <c r="Q4107">
        <v>-4.4634050000000002E-2</v>
      </c>
      <c r="R4107">
        <v>-2.6733400000000001E-2</v>
      </c>
      <c r="S4107">
        <v>2.9980769999999999</v>
      </c>
      <c r="T4107">
        <v>-3.3687109999999999E-2</v>
      </c>
      <c r="U4107">
        <v>-0.16188050000000001</v>
      </c>
      <c r="V4107">
        <v>-2.6156289999999999E-2</v>
      </c>
      <c r="W4107">
        <v>-4.2092650000000002E-2</v>
      </c>
      <c r="X4107">
        <v>0.99877130000000003</v>
      </c>
      <c r="Y4107">
        <v>1.1329230000000001E-3</v>
      </c>
      <c r="Z4107">
        <v>4.5467279999999999E-4</v>
      </c>
      <c r="AA4107">
        <v>0.99999919999999998</v>
      </c>
      <c r="AB4107">
        <v>23</v>
      </c>
      <c r="AC4107">
        <v>99.318100000000001</v>
      </c>
      <c r="AD4107">
        <v>-1.1184765469911</v>
      </c>
      <c r="AE4107">
        <v>-5.3610999999999898</v>
      </c>
      <c r="AF4107">
        <v>0.11092155382209</v>
      </c>
      <c r="AG4107">
        <v>-1.1184765469911</v>
      </c>
      <c r="AH4107">
        <v>99.450050639280306</v>
      </c>
      <c r="AI4107">
        <v>90.644356072699296</v>
      </c>
      <c r="AJ4107">
        <v>89.936095213478197</v>
      </c>
      <c r="AK4107">
        <v>99.4564018328266</v>
      </c>
      <c r="AL4107">
        <v>92.412443879388206</v>
      </c>
      <c r="AM4107">
        <v>91.500145786604406</v>
      </c>
      <c r="AN4107">
        <v>1.00000002619713</v>
      </c>
    </row>
    <row r="4108" spans="1:40" x14ac:dyDescent="0.25">
      <c r="A4108" t="str">
        <f>"20190303153849502"</f>
        <v>20190303153849502</v>
      </c>
      <c r="B4108" t="str">
        <f>"1551598729492276"</f>
        <v>1551598729492276</v>
      </c>
      <c r="C4108" t="s">
        <v>40</v>
      </c>
      <c r="D4108">
        <v>4.5556749999999999</v>
      </c>
      <c r="E4108">
        <v>0.51159769999999904</v>
      </c>
      <c r="F4108" t="s">
        <v>55</v>
      </c>
      <c r="G4108">
        <v>-382.94869999999997</v>
      </c>
      <c r="H4108" s="1">
        <v>1.7284060000000001E-7</v>
      </c>
      <c r="I4108">
        <v>211.40270000000001</v>
      </c>
      <c r="J4108">
        <v>-462.8152</v>
      </c>
      <c r="K4108">
        <v>1.1184179999999999</v>
      </c>
      <c r="L4108">
        <v>215.79740000000001</v>
      </c>
      <c r="M4108">
        <v>0.99848000000000003</v>
      </c>
      <c r="N4108">
        <v>-1.9636660000000002E-3</v>
      </c>
      <c r="O4108">
        <v>-5.5080339999999998E-2</v>
      </c>
      <c r="P4108">
        <v>0.99868630000000003</v>
      </c>
      <c r="Q4108">
        <v>-4.4047969999999999E-2</v>
      </c>
      <c r="R4108">
        <v>-2.6183950000000001E-2</v>
      </c>
      <c r="S4108">
        <v>2.9977420000000001</v>
      </c>
      <c r="T4108">
        <v>-4.1854500000000003E-2</v>
      </c>
      <c r="U4108">
        <v>-0.165023799999999</v>
      </c>
      <c r="V4108">
        <v>-2.9001900000000001E-2</v>
      </c>
      <c r="W4108">
        <v>-4.1992080000000001E-2</v>
      </c>
      <c r="X4108">
        <v>0.9986969</v>
      </c>
      <c r="Y4108">
        <v>-1.105104E-4</v>
      </c>
      <c r="Z4108">
        <v>6.6055490000000003E-4</v>
      </c>
      <c r="AA4108">
        <v>0.99999979999999999</v>
      </c>
      <c r="AB4108">
        <v>23</v>
      </c>
      <c r="AC4108">
        <v>79.866500000000002</v>
      </c>
      <c r="AD4108">
        <v>-1.1184178271593901</v>
      </c>
      <c r="AE4108">
        <v>-4.3947000000000003</v>
      </c>
      <c r="AF4108">
        <v>-1.10517791474E-2</v>
      </c>
      <c r="AG4108">
        <v>-1.1184178271593901</v>
      </c>
      <c r="AH4108">
        <v>79.971683143444693</v>
      </c>
      <c r="AI4108">
        <v>90.8012391492924</v>
      </c>
      <c r="AJ4108">
        <v>90.007918056396093</v>
      </c>
      <c r="AK4108">
        <v>79.979504158086996</v>
      </c>
      <c r="AL4108">
        <v>92.4066766753281</v>
      </c>
      <c r="AM4108">
        <v>91.663387160153206</v>
      </c>
      <c r="AN4108">
        <v>0.99999997152797204</v>
      </c>
    </row>
    <row r="4109" spans="1:40" x14ac:dyDescent="0.25">
      <c r="A4109" t="str">
        <f>"20190303153849524"</f>
        <v>20190303153849524</v>
      </c>
      <c r="B4109" t="str">
        <f>"1551598729512772"</f>
        <v>1551598729512772</v>
      </c>
      <c r="C4109" t="s">
        <v>40</v>
      </c>
      <c r="D4109">
        <v>4.5714550000000003</v>
      </c>
      <c r="E4109">
        <v>0.5119783</v>
      </c>
      <c r="F4109" t="s">
        <v>55</v>
      </c>
      <c r="G4109">
        <v>-382.3845</v>
      </c>
      <c r="H4109" s="1">
        <v>-1.2182180000000001E-7</v>
      </c>
      <c r="I4109">
        <v>211.27459999999999</v>
      </c>
      <c r="J4109">
        <v>-462.5804</v>
      </c>
      <c r="K4109">
        <v>1.118379</v>
      </c>
      <c r="L4109">
        <v>215.78210000000001</v>
      </c>
      <c r="M4109">
        <v>0.99835929999999995</v>
      </c>
      <c r="N4109">
        <v>-1.5322980000000001E-3</v>
      </c>
      <c r="O4109">
        <v>-5.72422E-2</v>
      </c>
      <c r="P4109">
        <v>0.99873749999999994</v>
      </c>
      <c r="Q4109">
        <v>-4.3119820000000003E-2</v>
      </c>
      <c r="R4109">
        <v>-2.5776710000000001E-2</v>
      </c>
      <c r="S4109">
        <v>2.997681</v>
      </c>
      <c r="T4109">
        <v>-4.1683789999999998E-2</v>
      </c>
      <c r="U4109">
        <v>-0.16856380000000001</v>
      </c>
      <c r="V4109">
        <v>-3.157165E-2</v>
      </c>
      <c r="W4109">
        <v>-4.148657E-2</v>
      </c>
      <c r="X4109">
        <v>0.99864010000000003</v>
      </c>
      <c r="Y4109">
        <v>-1.096823E-3</v>
      </c>
      <c r="Z4109">
        <v>7.1541039999999903E-4</v>
      </c>
      <c r="AA4109">
        <v>0.99999919999999998</v>
      </c>
      <c r="AB4109">
        <v>23</v>
      </c>
      <c r="AC4109">
        <v>80.195899999999995</v>
      </c>
      <c r="AD4109">
        <v>-1.1183791218218</v>
      </c>
      <c r="AE4109">
        <v>-4.5075000000000198</v>
      </c>
      <c r="AF4109">
        <v>-9.0467755749121304E-2</v>
      </c>
      <c r="AG4109">
        <v>-1.1183791218218</v>
      </c>
      <c r="AH4109">
        <v>80.306854826889904</v>
      </c>
      <c r="AI4109">
        <v>90.797867392974496</v>
      </c>
      <c r="AJ4109">
        <v>90.064545155017299</v>
      </c>
      <c r="AK4109">
        <v>80.314692855430394</v>
      </c>
      <c r="AL4109">
        <v>92.377687809006702</v>
      </c>
      <c r="AM4109">
        <v>91.810782477558803</v>
      </c>
      <c r="AN4109">
        <v>0.99999997695104803</v>
      </c>
    </row>
    <row r="4110" spans="1:40" x14ac:dyDescent="0.25">
      <c r="A4110" t="str">
        <f>"20190303153849547"</f>
        <v>20190303153849547</v>
      </c>
      <c r="B4110" t="str">
        <f>"1551598729543028"</f>
        <v>1551598729543028</v>
      </c>
      <c r="C4110" t="s">
        <v>40</v>
      </c>
      <c r="D4110">
        <v>4.5239839999999996</v>
      </c>
      <c r="E4110">
        <v>0.52008540000000003</v>
      </c>
      <c r="F4110" t="s">
        <v>55</v>
      </c>
      <c r="G4110">
        <v>-378.92430000000002</v>
      </c>
      <c r="H4110" s="1">
        <v>3.2122949999999998E-6</v>
      </c>
      <c r="I4110">
        <v>211.0299</v>
      </c>
      <c r="J4110">
        <v>-462.33530000000002</v>
      </c>
      <c r="K4110">
        <v>1.1183639999999999</v>
      </c>
      <c r="L4110">
        <v>215.76570000000001</v>
      </c>
      <c r="M4110">
        <v>0.99823320000000004</v>
      </c>
      <c r="N4110">
        <v>-1.1312099999999999E-3</v>
      </c>
      <c r="O4110">
        <v>-5.9410310000000001E-2</v>
      </c>
      <c r="P4110">
        <v>0.99875340000000001</v>
      </c>
      <c r="Q4110">
        <v>-4.2505599999999998E-2</v>
      </c>
      <c r="R4110">
        <v>-2.6176990000000001E-2</v>
      </c>
      <c r="S4110">
        <v>2.997681</v>
      </c>
      <c r="T4110">
        <v>-4.0075180000000002E-2</v>
      </c>
      <c r="U4110">
        <v>-0.1702881</v>
      </c>
      <c r="V4110">
        <v>-3.3338569999999998E-2</v>
      </c>
      <c r="W4110">
        <v>-4.1268890000000003E-2</v>
      </c>
      <c r="X4110">
        <v>0.99859169999999997</v>
      </c>
      <c r="Y4110">
        <v>-2.6950289999999998E-3</v>
      </c>
      <c r="Z4110">
        <v>7.4519850000000004E-4</v>
      </c>
      <c r="AA4110">
        <v>0.99999610000000005</v>
      </c>
      <c r="AB4110">
        <v>23</v>
      </c>
      <c r="AC4110">
        <v>83.411000000000001</v>
      </c>
      <c r="AD4110">
        <v>-1.1183607877049999</v>
      </c>
      <c r="AE4110">
        <v>-4.73580000000001</v>
      </c>
      <c r="AF4110">
        <v>-0.22799982490037801</v>
      </c>
      <c r="AG4110">
        <v>-1.1183607877049999</v>
      </c>
      <c r="AH4110">
        <v>83.530054167470098</v>
      </c>
      <c r="AI4110">
        <v>90.767068652222505</v>
      </c>
      <c r="AJ4110">
        <v>90.156391557313995</v>
      </c>
      <c r="AK4110">
        <v>83.5378516840846</v>
      </c>
      <c r="AL4110">
        <v>92.3652049598536</v>
      </c>
      <c r="AM4110">
        <v>91.912143015014294</v>
      </c>
      <c r="AN4110">
        <v>0.99999998242018295</v>
      </c>
    </row>
    <row r="4111" spans="1:40" x14ac:dyDescent="0.25">
      <c r="A4111" t="str">
        <f>"20190303153849571"</f>
        <v>20190303153849571</v>
      </c>
      <c r="B4111" t="str">
        <f>"1551598729562548"</f>
        <v>1551598729562548</v>
      </c>
      <c r="C4111" t="s">
        <v>40</v>
      </c>
      <c r="D4111">
        <v>4.5500809999999996</v>
      </c>
      <c r="E4111">
        <v>0.51502680000000001</v>
      </c>
      <c r="F4111" t="s">
        <v>66</v>
      </c>
      <c r="G4111">
        <v>-168.41550000000001</v>
      </c>
      <c r="H4111">
        <v>1.490227</v>
      </c>
      <c r="I4111">
        <v>192.75129999999999</v>
      </c>
      <c r="J4111">
        <v>-462.08359999999999</v>
      </c>
      <c r="K4111">
        <v>1.1183780000000001</v>
      </c>
      <c r="L4111">
        <v>215.7484</v>
      </c>
      <c r="M4111">
        <v>0.99810650000000001</v>
      </c>
      <c r="N4111">
        <v>-7.6975809999999998E-4</v>
      </c>
      <c r="O4111">
        <v>-6.1506110000000003E-2</v>
      </c>
      <c r="P4111">
        <v>0.9987277</v>
      </c>
      <c r="Q4111">
        <v>-4.2542209999999997E-2</v>
      </c>
      <c r="R4111">
        <v>-2.707536E-2</v>
      </c>
      <c r="S4111">
        <v>2.9977109999999998</v>
      </c>
      <c r="T4111">
        <v>3.7930009999999998E-3</v>
      </c>
      <c r="U4111">
        <v>-0.23472599999999999</v>
      </c>
      <c r="V4111">
        <v>-3.4533139999999997E-2</v>
      </c>
      <c r="W4111">
        <v>-4.166653E-2</v>
      </c>
      <c r="X4111">
        <v>0.99853460000000005</v>
      </c>
      <c r="Y4111">
        <v>1.6596670000000001E-2</v>
      </c>
      <c r="Z4111">
        <v>-1.208582E-4</v>
      </c>
      <c r="AA4111">
        <v>0.99986229999999998</v>
      </c>
      <c r="AB4111">
        <v>24</v>
      </c>
      <c r="AC4111">
        <v>293.66809999999998</v>
      </c>
      <c r="AD4111">
        <v>0.37184899999999899</v>
      </c>
      <c r="AE4111">
        <v>-22.9971</v>
      </c>
      <c r="AF4111">
        <v>4.8911657450110999</v>
      </c>
      <c r="AG4111">
        <v>0.37184899999999899</v>
      </c>
      <c r="AH4111">
        <v>294.52609310717799</v>
      </c>
      <c r="AI4111">
        <v>89.927672181818593</v>
      </c>
      <c r="AJ4111">
        <v>89.048582104497001</v>
      </c>
      <c r="AK4111">
        <v>294.566938564059</v>
      </c>
      <c r="AL4111">
        <v>92.388007644105997</v>
      </c>
      <c r="AM4111">
        <v>91.980717454418695</v>
      </c>
      <c r="AN4111">
        <v>0.99999999243882998</v>
      </c>
    </row>
    <row r="4112" spans="1:40" x14ac:dyDescent="0.25">
      <c r="A4112" t="str">
        <f>"20190303153849591"</f>
        <v>20190303153849591</v>
      </c>
      <c r="B4112" t="str">
        <f>"1551598729583045"</f>
        <v>1551598729583045</v>
      </c>
      <c r="C4112" t="s">
        <v>40</v>
      </c>
      <c r="D4112">
        <v>4.5831629999999999</v>
      </c>
      <c r="E4112">
        <v>0.48698259999999999</v>
      </c>
      <c r="F4112" t="s">
        <v>57</v>
      </c>
      <c r="G4112">
        <v>-289.2516</v>
      </c>
      <c r="H4112">
        <v>7.9999539999999994E-2</v>
      </c>
      <c r="I4112">
        <v>204.3416</v>
      </c>
      <c r="J4112">
        <v>-461.86160000000001</v>
      </c>
      <c r="K4112">
        <v>1.118412</v>
      </c>
      <c r="L4112">
        <v>215.7328</v>
      </c>
      <c r="M4112">
        <v>0.99799959999999999</v>
      </c>
      <c r="N4112">
        <v>-4.9187229999999996E-4</v>
      </c>
      <c r="O4112">
        <v>-6.3218960000000005E-2</v>
      </c>
      <c r="P4112">
        <v>0.99866449999999996</v>
      </c>
      <c r="Q4112">
        <v>-4.259578E-2</v>
      </c>
      <c r="R4112">
        <v>-2.9235790000000001E-2</v>
      </c>
      <c r="S4112">
        <v>2.997681</v>
      </c>
      <c r="T4112">
        <v>-1.8010140000000001E-2</v>
      </c>
      <c r="U4112">
        <v>-0.19784550000000001</v>
      </c>
      <c r="V4112">
        <v>-3.4081750000000001E-2</v>
      </c>
      <c r="W4112">
        <v>-4.2004100000000003E-2</v>
      </c>
      <c r="X4112">
        <v>0.99853599999999998</v>
      </c>
      <c r="Y4112">
        <v>2.6436879999999999E-3</v>
      </c>
      <c r="Z4112">
        <v>3.3934040000000001E-4</v>
      </c>
      <c r="AA4112">
        <v>0.99999640000000001</v>
      </c>
      <c r="AB4112">
        <v>24</v>
      </c>
      <c r="AC4112">
        <v>172.61</v>
      </c>
      <c r="AD4112">
        <v>-1.03841246</v>
      </c>
      <c r="AE4112">
        <v>-11.3911999999999</v>
      </c>
      <c r="AF4112">
        <v>0.45617195675048799</v>
      </c>
      <c r="AG4112">
        <v>-1.03841246</v>
      </c>
      <c r="AH4112">
        <v>172.97863151347499</v>
      </c>
      <c r="AI4112">
        <v>90.343948436079003</v>
      </c>
      <c r="AJ4112">
        <v>89.848902335303293</v>
      </c>
      <c r="AK4112">
        <v>172.98234983247801</v>
      </c>
      <c r="AL4112">
        <v>92.407365845903698</v>
      </c>
      <c r="AM4112">
        <v>91.954844558022302</v>
      </c>
      <c r="AN4112">
        <v>1.0000000266979301</v>
      </c>
    </row>
    <row r="4113" spans="1:40" x14ac:dyDescent="0.25">
      <c r="A4113" t="str">
        <f>"20190303153849614"</f>
        <v>20190303153849614</v>
      </c>
      <c r="B4113" t="str">
        <f>"1551598729602568"</f>
        <v>1551598729602568</v>
      </c>
      <c r="C4113" t="s">
        <v>40</v>
      </c>
      <c r="D4113">
        <v>4.6123989999999999</v>
      </c>
      <c r="E4113">
        <v>0.48484149999999998</v>
      </c>
      <c r="F4113" t="s">
        <v>57</v>
      </c>
      <c r="G4113">
        <v>-411.46019999999999</v>
      </c>
      <c r="H4113" s="1">
        <v>2.3409290000000001E-6</v>
      </c>
      <c r="I4113">
        <v>216.03290000000001</v>
      </c>
      <c r="J4113">
        <v>-461.60289999999998</v>
      </c>
      <c r="K4113">
        <v>1.118468</v>
      </c>
      <c r="L4113">
        <v>215.71430000000001</v>
      </c>
      <c r="M4113">
        <v>0.99788149999999998</v>
      </c>
      <c r="N4113">
        <v>-2.1221259999999999E-4</v>
      </c>
      <c r="O4113">
        <v>-6.505938E-2</v>
      </c>
      <c r="P4113">
        <v>0.99863599999999997</v>
      </c>
      <c r="Q4113">
        <v>-4.1842799999999999E-2</v>
      </c>
      <c r="R4113">
        <v>-3.123093E-2</v>
      </c>
      <c r="S4113">
        <v>3.0016780000000001</v>
      </c>
      <c r="T4113">
        <v>-6.6607479999999997E-2</v>
      </c>
      <c r="U4113">
        <v>1.7868040000000002E-2</v>
      </c>
      <c r="V4113">
        <v>-3.3920529999999997E-2</v>
      </c>
      <c r="W4113">
        <v>-4.1537299999999999E-2</v>
      </c>
      <c r="X4113">
        <v>0.99856100000000003</v>
      </c>
      <c r="Y4113">
        <v>-7.0964879999999994E-2</v>
      </c>
      <c r="Z4113">
        <v>2.22376E-3</v>
      </c>
      <c r="AA4113">
        <v>0.99747629999999998</v>
      </c>
      <c r="AB4113">
        <v>24</v>
      </c>
      <c r="AC4113">
        <v>50.142699999999898</v>
      </c>
      <c r="AD4113">
        <v>-1.118465659071</v>
      </c>
      <c r="AE4113">
        <v>0.31860000000000299</v>
      </c>
      <c r="AF4113">
        <v>-3.57839731016138</v>
      </c>
      <c r="AG4113">
        <v>-1.118465659071</v>
      </c>
      <c r="AH4113">
        <v>49.990867935958697</v>
      </c>
      <c r="AI4113">
        <v>91.278417604109904</v>
      </c>
      <c r="AJ4113">
        <v>94.094306998705406</v>
      </c>
      <c r="AK4113">
        <v>50.131255417457403</v>
      </c>
      <c r="AL4113">
        <v>92.380596852449401</v>
      </c>
      <c r="AM4113">
        <v>91.945555830138503</v>
      </c>
      <c r="AN4113">
        <v>1.00000001018388</v>
      </c>
    </row>
    <row r="4114" spans="1:40" x14ac:dyDescent="0.25">
      <c r="A4114" t="str">
        <f>"20190303153849634"</f>
        <v>20190303153849634</v>
      </c>
      <c r="B4114" t="str">
        <f>"1551598729632821"</f>
        <v>1551598729632821</v>
      </c>
      <c r="C4114" t="s">
        <v>40</v>
      </c>
      <c r="D4114">
        <v>4.581372</v>
      </c>
      <c r="E4114">
        <v>0.4840875</v>
      </c>
      <c r="F4114" t="s">
        <v>57</v>
      </c>
      <c r="G4114">
        <v>-412.62049999999999</v>
      </c>
      <c r="H4114" s="1">
        <v>2.5334530000000002E-6</v>
      </c>
      <c r="I4114">
        <v>216.1848</v>
      </c>
      <c r="J4114">
        <v>-461.37389999999999</v>
      </c>
      <c r="K4114">
        <v>1.118522</v>
      </c>
      <c r="L4114">
        <v>215.6977</v>
      </c>
      <c r="M4114">
        <v>0.99778259999999996</v>
      </c>
      <c r="N4114" s="1">
        <v>1.0574E-6</v>
      </c>
      <c r="O4114">
        <v>-6.6559549999999995E-2</v>
      </c>
      <c r="P4114">
        <v>0.99866600000000005</v>
      </c>
      <c r="Q4114">
        <v>-3.9770260000000002E-2</v>
      </c>
      <c r="R4114">
        <v>-3.2941730000000002E-2</v>
      </c>
      <c r="S4114">
        <v>3.0021360000000001</v>
      </c>
      <c r="T4114">
        <v>-6.8550829999999993E-2</v>
      </c>
      <c r="U4114">
        <v>2.8839110000000001E-2</v>
      </c>
      <c r="V4114">
        <v>-3.3704989999999997E-2</v>
      </c>
      <c r="W4114">
        <v>-3.9684219999999999E-2</v>
      </c>
      <c r="X4114">
        <v>0.99864359999999996</v>
      </c>
      <c r="Y4114">
        <v>-7.6103760000000006E-2</v>
      </c>
      <c r="Z4114">
        <v>2.3876409999999998E-3</v>
      </c>
      <c r="AA4114">
        <v>0.99709709999999996</v>
      </c>
      <c r="AB4114">
        <v>25</v>
      </c>
      <c r="AC4114">
        <v>48.753399999999999</v>
      </c>
      <c r="AD4114">
        <v>-1.118519466547</v>
      </c>
      <c r="AE4114">
        <v>0.48709999999999798</v>
      </c>
      <c r="AF4114">
        <v>-3.7290611200028798</v>
      </c>
      <c r="AG4114">
        <v>-1.118519466547</v>
      </c>
      <c r="AH4114">
        <v>48.587294465691699</v>
      </c>
      <c r="AI4114">
        <v>91.314897358093603</v>
      </c>
      <c r="AJ4114">
        <v>94.388830883852506</v>
      </c>
      <c r="AK4114">
        <v>48.743021717263296</v>
      </c>
      <c r="AL4114">
        <v>92.274335647066096</v>
      </c>
      <c r="AM4114">
        <v>91.933042887312496</v>
      </c>
      <c r="AN4114">
        <v>0.99999995174443301</v>
      </c>
    </row>
    <row r="4115" spans="1:40" x14ac:dyDescent="0.25">
      <c r="A4115" t="str">
        <f>"20190303153849657"</f>
        <v>20190303153849657</v>
      </c>
      <c r="B4115" t="str">
        <f>"1551598729652341"</f>
        <v>1551598729652341</v>
      </c>
      <c r="C4115" t="s">
        <v>40</v>
      </c>
      <c r="D4115">
        <v>4.5956809999999999</v>
      </c>
      <c r="E4115">
        <v>0.48403360000000001</v>
      </c>
      <c r="F4115" t="s">
        <v>57</v>
      </c>
      <c r="G4115">
        <v>-410.51819999999998</v>
      </c>
      <c r="H4115" s="1">
        <v>2.1594469999999998E-6</v>
      </c>
      <c r="I4115">
        <v>216.19730000000001</v>
      </c>
      <c r="J4115">
        <v>-461.13099999999997</v>
      </c>
      <c r="K4115">
        <v>1.118576</v>
      </c>
      <c r="L4115">
        <v>215.6798</v>
      </c>
      <c r="M4115">
        <v>0.99768449999999997</v>
      </c>
      <c r="N4115">
        <v>1.934575E-4</v>
      </c>
      <c r="O4115">
        <v>-6.8012829999999996E-2</v>
      </c>
      <c r="P4115">
        <v>0.99862499999999998</v>
      </c>
      <c r="Q4115">
        <v>-3.8124169999999999E-2</v>
      </c>
      <c r="R4115">
        <v>-3.598171E-2</v>
      </c>
      <c r="S4115">
        <v>3.00238</v>
      </c>
      <c r="T4115">
        <v>-6.6034200000000001E-2</v>
      </c>
      <c r="U4115">
        <v>2.9495239999999999E-2</v>
      </c>
      <c r="V4115">
        <v>-3.2112469999999997E-2</v>
      </c>
      <c r="W4115">
        <v>-3.8240490000000002E-2</v>
      </c>
      <c r="X4115">
        <v>0.99875250000000004</v>
      </c>
      <c r="Y4115">
        <v>-7.7774930000000006E-2</v>
      </c>
      <c r="Z4115">
        <v>2.355715E-3</v>
      </c>
      <c r="AA4115">
        <v>0.99696819999999997</v>
      </c>
      <c r="AB4115">
        <v>25</v>
      </c>
      <c r="AC4115">
        <v>50.612799999999901</v>
      </c>
      <c r="AD4115">
        <v>-1.1185738405529999</v>
      </c>
      <c r="AE4115">
        <v>0.51750000000001195</v>
      </c>
      <c r="AF4115">
        <v>-3.9566888886282401</v>
      </c>
      <c r="AG4115">
        <v>-1.1185738405529999</v>
      </c>
      <c r="AH4115">
        <v>50.435774607698299</v>
      </c>
      <c r="AI4115">
        <v>91.266617613433894</v>
      </c>
      <c r="AJ4115">
        <v>94.485669433776096</v>
      </c>
      <c r="AK4115">
        <v>50.603102223843003</v>
      </c>
      <c r="AL4115">
        <v>92.191552923905704</v>
      </c>
      <c r="AM4115">
        <v>91.841572730158802</v>
      </c>
      <c r="AN4115">
        <v>1.00000005103059</v>
      </c>
    </row>
    <row r="4116" spans="1:40" x14ac:dyDescent="0.25">
      <c r="A4116" t="str">
        <f>"20190303153849680"</f>
        <v>20190303153849680</v>
      </c>
      <c r="B4116" t="str">
        <f>"1551598729672838"</f>
        <v>1551598729672838</v>
      </c>
      <c r="C4116" t="s">
        <v>40</v>
      </c>
      <c r="D4116">
        <v>4.6060059999999998</v>
      </c>
      <c r="E4116">
        <v>0.48383409999999899</v>
      </c>
      <c r="F4116" t="s">
        <v>57</v>
      </c>
      <c r="G4116">
        <v>-406.9316</v>
      </c>
      <c r="H4116" s="1">
        <v>5.0312680000000004E-6</v>
      </c>
      <c r="I4116">
        <v>216.05420000000001</v>
      </c>
      <c r="J4116">
        <v>-460.85840000000002</v>
      </c>
      <c r="K4116">
        <v>1.11863</v>
      </c>
      <c r="L4116">
        <v>215.65950000000001</v>
      </c>
      <c r="M4116">
        <v>0.99758279999999999</v>
      </c>
      <c r="N4116">
        <v>3.7225490000000001E-4</v>
      </c>
      <c r="O4116">
        <v>-6.9487289999999993E-2</v>
      </c>
      <c r="P4116">
        <v>0.99850950000000005</v>
      </c>
      <c r="Q4116">
        <v>-3.7505780000000002E-2</v>
      </c>
      <c r="R4116">
        <v>-3.9650249999999998E-2</v>
      </c>
      <c r="S4116">
        <v>3.0025330000000001</v>
      </c>
      <c r="T4116">
        <v>-6.1966420000000001E-2</v>
      </c>
      <c r="U4116">
        <v>2.0736689999999999E-2</v>
      </c>
      <c r="V4116">
        <v>-2.9912169999999998E-2</v>
      </c>
      <c r="W4116">
        <v>-3.7812230000000002E-2</v>
      </c>
      <c r="X4116">
        <v>0.99883710000000003</v>
      </c>
      <c r="Y4116">
        <v>-7.6343910000000001E-2</v>
      </c>
      <c r="Z4116">
        <v>2.2324990000000002E-3</v>
      </c>
      <c r="AA4116">
        <v>0.9970791</v>
      </c>
      <c r="AB4116">
        <v>25</v>
      </c>
      <c r="AC4116">
        <v>53.9268</v>
      </c>
      <c r="AD4116">
        <v>-1.118624968732</v>
      </c>
      <c r="AE4116">
        <v>0.3947</v>
      </c>
      <c r="AF4116">
        <v>-4.13919232270917</v>
      </c>
      <c r="AG4116">
        <v>-1.118624968732</v>
      </c>
      <c r="AH4116">
        <v>53.7458984842538</v>
      </c>
      <c r="AI4116">
        <v>91.188817942866905</v>
      </c>
      <c r="AJ4116">
        <v>94.403890220680594</v>
      </c>
      <c r="AK4116">
        <v>53.916656413252902</v>
      </c>
      <c r="AL4116">
        <v>92.166997725547105</v>
      </c>
      <c r="AM4116">
        <v>91.715323785513206</v>
      </c>
      <c r="AN4116">
        <v>1.0000000274940399</v>
      </c>
    </row>
    <row r="4117" spans="1:40" x14ac:dyDescent="0.25">
      <c r="A4117" t="str">
        <f>"20190303153849703"</f>
        <v>20190303153849703</v>
      </c>
      <c r="B4117" t="str">
        <f>"1551598729692357"</f>
        <v>1551598729692357</v>
      </c>
      <c r="C4117" t="s">
        <v>40</v>
      </c>
      <c r="D4117">
        <v>4.596527</v>
      </c>
      <c r="E4117">
        <v>0.48386430000000002</v>
      </c>
      <c r="F4117" t="s">
        <v>57</v>
      </c>
      <c r="G4117">
        <v>-405.47140000000002</v>
      </c>
      <c r="H4117" s="1">
        <v>5.7179949999999998E-6</v>
      </c>
      <c r="I4117">
        <v>215.86439999999999</v>
      </c>
      <c r="J4117">
        <v>-460.60899999999998</v>
      </c>
      <c r="K4117">
        <v>1.1186720000000001</v>
      </c>
      <c r="L4117">
        <v>215.64080000000001</v>
      </c>
      <c r="M4117">
        <v>0.99749730000000003</v>
      </c>
      <c r="N4117">
        <v>5.0511619999999997E-4</v>
      </c>
      <c r="O4117">
        <v>-7.0703310000000005E-2</v>
      </c>
      <c r="P4117">
        <v>0.99834520000000004</v>
      </c>
      <c r="Q4117">
        <v>-3.9020689999999997E-2</v>
      </c>
      <c r="R4117">
        <v>-4.224543E-2</v>
      </c>
      <c r="S4117">
        <v>3.0026250000000001</v>
      </c>
      <c r="T4117">
        <v>-6.0642599999999901E-2</v>
      </c>
      <c r="U4117">
        <v>1.1108399999999999E-2</v>
      </c>
      <c r="V4117">
        <v>-2.8525760000000001E-2</v>
      </c>
      <c r="W4117">
        <v>-3.9468110000000001E-2</v>
      </c>
      <c r="X4117">
        <v>0.99881359999999997</v>
      </c>
      <c r="Y4117">
        <v>-7.4363189999999996E-2</v>
      </c>
      <c r="Z4117">
        <v>2.1947709999999999E-3</v>
      </c>
      <c r="AA4117">
        <v>0.99722880000000003</v>
      </c>
      <c r="AB4117">
        <v>25</v>
      </c>
      <c r="AC4117">
        <v>55.137599999999999</v>
      </c>
      <c r="AD4117">
        <v>-1.118666282005</v>
      </c>
      <c r="AE4117">
        <v>0.22359999999997601</v>
      </c>
      <c r="AF4117">
        <v>-4.11975580867513</v>
      </c>
      <c r="AG4117">
        <v>-1.118666282005</v>
      </c>
      <c r="AH4117">
        <v>54.961179561358598</v>
      </c>
      <c r="AI4117">
        <v>91.162762059537101</v>
      </c>
      <c r="AJ4117">
        <v>94.286735179861097</v>
      </c>
      <c r="AK4117">
        <v>55.126718213126999</v>
      </c>
      <c r="AL4117">
        <v>92.261943572076703</v>
      </c>
      <c r="AM4117">
        <v>91.635902337870405</v>
      </c>
      <c r="AN4117">
        <v>1.00000002911775</v>
      </c>
    </row>
    <row r="4118" spans="1:40" x14ac:dyDescent="0.25">
      <c r="A4118" t="str">
        <f>"20190303153849724"</f>
        <v>20190303153849724</v>
      </c>
      <c r="B4118" t="str">
        <f>"1551598729712872"</f>
        <v>1551598729712872</v>
      </c>
      <c r="C4118" t="s">
        <v>40</v>
      </c>
      <c r="D4118">
        <v>4.6054690000000003</v>
      </c>
      <c r="E4118">
        <v>0.48381879999999999</v>
      </c>
      <c r="F4118" t="s">
        <v>57</v>
      </c>
      <c r="G4118">
        <v>-408.75869999999998</v>
      </c>
      <c r="H4118" s="1">
        <v>4.2955190000000001E-6</v>
      </c>
      <c r="I4118">
        <v>215.69370000000001</v>
      </c>
      <c r="J4118">
        <v>-460.3546</v>
      </c>
      <c r="K4118">
        <v>1.118708</v>
      </c>
      <c r="L4118">
        <v>215.6215</v>
      </c>
      <c r="M4118">
        <v>0.99741729999999995</v>
      </c>
      <c r="N4118">
        <v>6.1338780000000002E-4</v>
      </c>
      <c r="O4118">
        <v>-7.1821029999999994E-2</v>
      </c>
      <c r="P4118">
        <v>0.99816130000000003</v>
      </c>
      <c r="Q4118">
        <v>-4.286127E-2</v>
      </c>
      <c r="R4118">
        <v>-4.2859220000000003E-2</v>
      </c>
      <c r="S4118">
        <v>3.0025330000000001</v>
      </c>
      <c r="T4118">
        <v>-6.4779519999999993E-2</v>
      </c>
      <c r="U4118">
        <v>3.067017E-3</v>
      </c>
      <c r="V4118">
        <v>-2.9020130000000002E-2</v>
      </c>
      <c r="W4118">
        <v>-4.3420979999999998E-2</v>
      </c>
      <c r="X4118">
        <v>0.9986353</v>
      </c>
      <c r="Y4118">
        <v>-7.2805729999999999E-2</v>
      </c>
      <c r="Z4118">
        <v>2.3554119999999999E-3</v>
      </c>
      <c r="AA4118">
        <v>0.99734339999999999</v>
      </c>
      <c r="AB4118">
        <v>25</v>
      </c>
      <c r="AC4118">
        <v>51.5959</v>
      </c>
      <c r="AD4118">
        <v>-1.118703704481</v>
      </c>
      <c r="AE4118">
        <v>7.2200000000009298E-2</v>
      </c>
      <c r="AF4118">
        <v>-3.7759100065759998</v>
      </c>
      <c r="AG4118">
        <v>-1.118703704481</v>
      </c>
      <c r="AH4118">
        <v>51.4332905930831</v>
      </c>
      <c r="AI4118">
        <v>91.242676551524596</v>
      </c>
      <c r="AJ4118">
        <v>94.198764841713299</v>
      </c>
      <c r="AK4118">
        <v>51.5838383177203</v>
      </c>
      <c r="AL4118">
        <v>92.488621299803398</v>
      </c>
      <c r="AM4118">
        <v>91.664534754661005</v>
      </c>
      <c r="AN4118">
        <v>1.0000000059277301</v>
      </c>
    </row>
    <row r="4119" spans="1:40" x14ac:dyDescent="0.25">
      <c r="A4119" t="str">
        <f>"20190303153849747"</f>
        <v>20190303153849747</v>
      </c>
      <c r="B4119" t="str">
        <f>"1551598729743109"</f>
        <v>1551598729743109</v>
      </c>
      <c r="C4119" t="s">
        <v>40</v>
      </c>
      <c r="D4119">
        <v>4.6020339999999997</v>
      </c>
      <c r="E4119">
        <v>0.48354760000000002</v>
      </c>
      <c r="F4119" t="s">
        <v>57</v>
      </c>
      <c r="G4119">
        <v>-416.58920000000001</v>
      </c>
      <c r="H4119" s="1">
        <v>3.2845110000000002E-6</v>
      </c>
      <c r="I4119">
        <v>215.6464</v>
      </c>
      <c r="J4119">
        <v>-460.08960000000002</v>
      </c>
      <c r="K4119">
        <v>1.1187450000000001</v>
      </c>
      <c r="L4119">
        <v>215.60120000000001</v>
      </c>
      <c r="M4119">
        <v>0.99734199999999995</v>
      </c>
      <c r="N4119">
        <v>7.0014280000000001E-4</v>
      </c>
      <c r="O4119">
        <v>-7.2860980000000006E-2</v>
      </c>
      <c r="P4119">
        <v>0.99806719999999904</v>
      </c>
      <c r="Q4119">
        <v>-4.5968700000000001E-2</v>
      </c>
      <c r="R4119">
        <v>-4.1819710000000003E-2</v>
      </c>
      <c r="S4119">
        <v>3.0022890000000002</v>
      </c>
      <c r="T4119">
        <v>-7.6742770000000002E-2</v>
      </c>
      <c r="U4119">
        <v>1.708984E-3</v>
      </c>
      <c r="V4119">
        <v>-3.1088419999999999E-2</v>
      </c>
      <c r="W4119">
        <v>-4.6616789999999998E-2</v>
      </c>
      <c r="X4119">
        <v>0.99842889999999995</v>
      </c>
      <c r="Y4119">
        <v>-7.3380299999999996E-2</v>
      </c>
      <c r="Z4119">
        <v>2.823941E-3</v>
      </c>
      <c r="AA4119">
        <v>0.99729999999999996</v>
      </c>
      <c r="AB4119">
        <v>26</v>
      </c>
      <c r="AC4119">
        <v>43.500399999999999</v>
      </c>
      <c r="AD4119">
        <v>-1.118741715489</v>
      </c>
      <c r="AE4119">
        <v>4.5199999999994099E-2</v>
      </c>
      <c r="AF4119">
        <v>-3.2124372269595902</v>
      </c>
      <c r="AG4119">
        <v>-1.118741715489</v>
      </c>
      <c r="AH4119">
        <v>43.352813120514597</v>
      </c>
      <c r="AI4119">
        <v>91.474179217361197</v>
      </c>
      <c r="AJ4119">
        <v>94.237863953764403</v>
      </c>
      <c r="AK4119">
        <v>43.486063760995798</v>
      </c>
      <c r="AL4119">
        <v>92.671913807728899</v>
      </c>
      <c r="AM4119">
        <v>91.783461933403501</v>
      </c>
      <c r="AN4119">
        <v>0.999999941661603</v>
      </c>
    </row>
    <row r="4120" spans="1:40" x14ac:dyDescent="0.25">
      <c r="A4120" t="str">
        <f>"20190303153849771"</f>
        <v>20190303153849771</v>
      </c>
      <c r="B4120" t="str">
        <f>"1551598729762629"</f>
        <v>1551598729762629</v>
      </c>
      <c r="C4120" t="s">
        <v>40</v>
      </c>
      <c r="D4120">
        <v>4.649305</v>
      </c>
      <c r="E4120">
        <v>0.48329569999999999</v>
      </c>
      <c r="F4120" t="s">
        <v>57</v>
      </c>
      <c r="G4120">
        <v>-422.47519999999997</v>
      </c>
      <c r="H4120" s="1">
        <v>3.4318470000000001E-6</v>
      </c>
      <c r="I4120">
        <v>215.68799999999999</v>
      </c>
      <c r="J4120">
        <v>-459.82319999999999</v>
      </c>
      <c r="K4120">
        <v>1.118797</v>
      </c>
      <c r="L4120">
        <v>215.58070000000001</v>
      </c>
      <c r="M4120">
        <v>0.99727449999999995</v>
      </c>
      <c r="N4120">
        <v>7.6291130000000001E-4</v>
      </c>
      <c r="O4120">
        <v>-7.3777819999999994E-2</v>
      </c>
      <c r="P4120">
        <v>0.99800750000000005</v>
      </c>
      <c r="Q4120">
        <v>-4.8210799999999998E-2</v>
      </c>
      <c r="R4120">
        <v>-4.0707479999999997E-2</v>
      </c>
      <c r="S4120">
        <v>3.0019840000000002</v>
      </c>
      <c r="T4120">
        <v>-8.9286210000000005E-2</v>
      </c>
      <c r="U4120">
        <v>6.9274899999999997E-3</v>
      </c>
      <c r="V4120">
        <v>-3.310569E-2</v>
      </c>
      <c r="W4120">
        <v>-4.8924009999999997E-2</v>
      </c>
      <c r="X4120">
        <v>0.99825370000000002</v>
      </c>
      <c r="Y4120">
        <v>-7.6011960000000003E-2</v>
      </c>
      <c r="Z4120">
        <v>3.3498379999999999E-3</v>
      </c>
      <c r="AA4120">
        <v>0.99710129999999997</v>
      </c>
      <c r="AB4120">
        <v>26</v>
      </c>
      <c r="AC4120">
        <v>37.347999999999999</v>
      </c>
      <c r="AD4120">
        <v>-1.1187935681529999</v>
      </c>
      <c r="AE4120">
        <v>0.10729999999997999</v>
      </c>
      <c r="AF4120">
        <v>-2.85989582859035</v>
      </c>
      <c r="AG4120">
        <v>-1.1187935681529999</v>
      </c>
      <c r="AH4120">
        <v>37.2049133939434</v>
      </c>
      <c r="AI4120">
        <v>91.717366167323107</v>
      </c>
      <c r="AJ4120">
        <v>94.395611931846702</v>
      </c>
      <c r="AK4120">
        <v>37.3314382772665</v>
      </c>
      <c r="AL4120">
        <v>92.804258749446902</v>
      </c>
      <c r="AM4120">
        <v>91.899438374206895</v>
      </c>
      <c r="AN4120">
        <v>0.99999999751427304</v>
      </c>
    </row>
    <row r="4121" spans="1:40" x14ac:dyDescent="0.25">
      <c r="A4121" t="str">
        <f>"20190303153849791"</f>
        <v>20190303153849791</v>
      </c>
      <c r="B4121" t="str">
        <f>"1551598729783126"</f>
        <v>1551598729783126</v>
      </c>
      <c r="C4121" t="s">
        <v>40</v>
      </c>
      <c r="D4121">
        <v>4.6389069999999997</v>
      </c>
      <c r="E4121">
        <v>0.48317369999999998</v>
      </c>
      <c r="F4121" t="s">
        <v>57</v>
      </c>
      <c r="G4121">
        <v>-424.76440000000002</v>
      </c>
      <c r="H4121" s="1">
        <v>3.0225089999999999E-6</v>
      </c>
      <c r="I4121">
        <v>215.72540000000001</v>
      </c>
      <c r="J4121">
        <v>-459.56279999999998</v>
      </c>
      <c r="K4121">
        <v>1.118857</v>
      </c>
      <c r="L4121">
        <v>215.56059999999999</v>
      </c>
      <c r="M4121">
        <v>0.99721689999999996</v>
      </c>
      <c r="N4121">
        <v>7.997751E-4</v>
      </c>
      <c r="O4121">
        <v>-7.4552499999999994E-2</v>
      </c>
      <c r="P4121">
        <v>0.99808260000000004</v>
      </c>
      <c r="Q4121">
        <v>-4.778777E-2</v>
      </c>
      <c r="R4121">
        <v>-3.9339939999999997E-2</v>
      </c>
      <c r="S4121">
        <v>3.001862</v>
      </c>
      <c r="T4121">
        <v>-9.5795149999999996E-2</v>
      </c>
      <c r="U4121">
        <v>1.2390139999999999E-2</v>
      </c>
      <c r="V4121">
        <v>-3.5241630000000003E-2</v>
      </c>
      <c r="W4121">
        <v>-4.8540529999999998E-2</v>
      </c>
      <c r="X4121">
        <v>0.99819930000000001</v>
      </c>
      <c r="Y4121">
        <v>-7.8589010000000001E-2</v>
      </c>
      <c r="Z4121">
        <v>3.658784E-3</v>
      </c>
      <c r="AA4121">
        <v>0.99690040000000002</v>
      </c>
      <c r="AB4121">
        <v>26</v>
      </c>
      <c r="AC4121">
        <v>34.798399999999901</v>
      </c>
      <c r="AD4121">
        <v>-1.118853977491</v>
      </c>
      <c r="AE4121">
        <v>0.16480000000001299</v>
      </c>
      <c r="AF4121">
        <v>-2.75580075527406</v>
      </c>
      <c r="AG4121">
        <v>-1.118853977491</v>
      </c>
      <c r="AH4121">
        <v>34.653449644802699</v>
      </c>
      <c r="AI4121">
        <v>91.843447295572204</v>
      </c>
      <c r="AJ4121">
        <v>94.546853455039795</v>
      </c>
      <c r="AK4121">
        <v>34.780854565559402</v>
      </c>
      <c r="AL4121">
        <v>92.782260823276005</v>
      </c>
      <c r="AM4121">
        <v>92.021999355706598</v>
      </c>
      <c r="AN4121">
        <v>0.99999999902911296</v>
      </c>
    </row>
    <row r="4122" spans="1:40" x14ac:dyDescent="0.25">
      <c r="A4122" t="str">
        <f>"20190303153849815"</f>
        <v>20190303153849815</v>
      </c>
      <c r="B4122" t="str">
        <f>"1551598729802648"</f>
        <v>1551598729802648</v>
      </c>
      <c r="C4122" t="s">
        <v>40</v>
      </c>
      <c r="D4122">
        <v>4.6207570000000002</v>
      </c>
      <c r="E4122">
        <v>0.48313010000000001</v>
      </c>
      <c r="F4122" t="s">
        <v>57</v>
      </c>
      <c r="G4122">
        <v>-424.01870000000002</v>
      </c>
      <c r="H4122" s="1">
        <v>3.1510220000000002E-6</v>
      </c>
      <c r="I4122">
        <v>215.76849999999999</v>
      </c>
      <c r="J4122">
        <v>-459.2955</v>
      </c>
      <c r="K4122">
        <v>1.118932</v>
      </c>
      <c r="L4122">
        <v>215.53980000000001</v>
      </c>
      <c r="M4122">
        <v>0.9971643</v>
      </c>
      <c r="N4122">
        <v>8.151333E-4</v>
      </c>
      <c r="O4122">
        <v>-7.5251979999999996E-2</v>
      </c>
      <c r="P4122">
        <v>0.99835980000000002</v>
      </c>
      <c r="Q4122">
        <v>-4.3561599999999999E-2</v>
      </c>
      <c r="R4122">
        <v>-3.7154590000000001E-2</v>
      </c>
      <c r="S4122">
        <v>3.0018919999999998</v>
      </c>
      <c r="T4122">
        <v>-9.4493149999999998E-2</v>
      </c>
      <c r="U4122">
        <v>1.7562870000000001E-2</v>
      </c>
      <c r="V4122">
        <v>-3.8130039999999997E-2</v>
      </c>
      <c r="W4122">
        <v>-4.4331629999999997E-2</v>
      </c>
      <c r="X4122">
        <v>0.99828890000000003</v>
      </c>
      <c r="Y4122">
        <v>-8.1006359999999999E-2</v>
      </c>
      <c r="Z4122">
        <v>3.6695809999999999E-3</v>
      </c>
      <c r="AA4122">
        <v>0.9967068</v>
      </c>
      <c r="AB4122">
        <v>27</v>
      </c>
      <c r="AC4122">
        <v>35.276799999999902</v>
      </c>
      <c r="AD4122">
        <v>-1.118928848978</v>
      </c>
      <c r="AE4122">
        <v>0.22869999999997501</v>
      </c>
      <c r="AF4122">
        <v>-2.8798040898030002</v>
      </c>
      <c r="AG4122">
        <v>-1.118928848978</v>
      </c>
      <c r="AH4122">
        <v>35.124228395302403</v>
      </c>
      <c r="AI4122">
        <v>91.818518062566795</v>
      </c>
      <c r="AJ4122">
        <v>94.687145843479797</v>
      </c>
      <c r="AK4122">
        <v>35.259845344670602</v>
      </c>
      <c r="AL4122">
        <v>92.540848113943795</v>
      </c>
      <c r="AM4122">
        <v>92.187371698976193</v>
      </c>
      <c r="AN4122">
        <v>0.99999996061603302</v>
      </c>
    </row>
    <row r="4123" spans="1:40" x14ac:dyDescent="0.25">
      <c r="A4123" t="str">
        <f>"20190303153849835"</f>
        <v>20190303153849835</v>
      </c>
      <c r="B4123" t="str">
        <f>"1551598729832901"</f>
        <v>1551598729832901</v>
      </c>
      <c r="C4123" t="s">
        <v>40</v>
      </c>
      <c r="D4123">
        <v>4.5816819999999998</v>
      </c>
      <c r="E4123">
        <v>0.482904</v>
      </c>
      <c r="F4123" t="s">
        <v>57</v>
      </c>
      <c r="G4123">
        <v>-418.06270000000001</v>
      </c>
      <c r="H4123" s="1">
        <v>3.5257930000000002E-6</v>
      </c>
      <c r="I4123">
        <v>215.87620000000001</v>
      </c>
      <c r="J4123">
        <v>-459.03919999999999</v>
      </c>
      <c r="K4123">
        <v>1.1189960000000001</v>
      </c>
      <c r="L4123">
        <v>215.5198</v>
      </c>
      <c r="M4123">
        <v>0.99711989999999995</v>
      </c>
      <c r="N4123">
        <v>8.0869470000000001E-4</v>
      </c>
      <c r="O4123">
        <v>-7.5838829999999996E-2</v>
      </c>
      <c r="P4123">
        <v>0.99858860000000005</v>
      </c>
      <c r="Q4123">
        <v>-3.9625750000000001E-2</v>
      </c>
      <c r="R4123">
        <v>-3.5363190000000003E-2</v>
      </c>
      <c r="S4123">
        <v>3.0022579999999999</v>
      </c>
      <c r="T4123">
        <v>-8.1471799999999997E-2</v>
      </c>
      <c r="U4123">
        <v>2.4490359999999999E-2</v>
      </c>
      <c r="V4123">
        <v>-4.0511579999999998E-2</v>
      </c>
      <c r="W4123">
        <v>-4.0391719999999999E-2</v>
      </c>
      <c r="X4123">
        <v>0.99836230000000004</v>
      </c>
      <c r="Y4123">
        <v>-8.391034E-2</v>
      </c>
      <c r="Z4123">
        <v>3.2220130000000001E-3</v>
      </c>
      <c r="AA4123">
        <v>0.99646809999999997</v>
      </c>
      <c r="AB4123">
        <v>27</v>
      </c>
      <c r="AC4123">
        <v>40.976499999999902</v>
      </c>
      <c r="AD4123">
        <v>-1.1189924742070001</v>
      </c>
      <c r="AE4123">
        <v>0.35640000000000699</v>
      </c>
      <c r="AF4123">
        <v>-3.46040365301937</v>
      </c>
      <c r="AG4123">
        <v>-1.1189924742070001</v>
      </c>
      <c r="AH4123">
        <v>40.801037851541899</v>
      </c>
      <c r="AI4123">
        <v>91.565359742389205</v>
      </c>
      <c r="AJ4123">
        <v>94.847748933010493</v>
      </c>
      <c r="AK4123">
        <v>40.962802972478698</v>
      </c>
      <c r="AL4123">
        <v>92.3149048771498</v>
      </c>
      <c r="AM4123">
        <v>92.323675315714993</v>
      </c>
      <c r="AN4123">
        <v>0.99999998060997197</v>
      </c>
    </row>
    <row r="4124" spans="1:40" x14ac:dyDescent="0.25">
      <c r="A4124" t="str">
        <f>"20190303153849858"</f>
        <v>20190303153849858</v>
      </c>
      <c r="B4124" t="str">
        <f>"1551598729852875"</f>
        <v>1551598729852875</v>
      </c>
      <c r="C4124" t="s">
        <v>40</v>
      </c>
      <c r="D4124">
        <v>4.5613619999999999</v>
      </c>
      <c r="E4124">
        <v>0.48289280000000001</v>
      </c>
      <c r="F4124" t="s">
        <v>57</v>
      </c>
      <c r="G4124">
        <v>-411.04579999999999</v>
      </c>
      <c r="H4124" s="1">
        <v>2.268086E-6</v>
      </c>
      <c r="I4124">
        <v>216.02520000000001</v>
      </c>
      <c r="J4124">
        <v>-458.7654</v>
      </c>
      <c r="K4124">
        <v>1.119051</v>
      </c>
      <c r="L4124">
        <v>215.4984</v>
      </c>
      <c r="M4124">
        <v>0.99707900000000005</v>
      </c>
      <c r="N4124">
        <v>7.7383300000000003E-4</v>
      </c>
      <c r="O4124">
        <v>-7.6374059999999994E-2</v>
      </c>
      <c r="P4124">
        <v>0.99866129999999997</v>
      </c>
      <c r="Q4124">
        <v>-3.815673E-2</v>
      </c>
      <c r="R4124">
        <v>-3.4928750000000001E-2</v>
      </c>
      <c r="S4124">
        <v>3.0026250000000001</v>
      </c>
      <c r="T4124">
        <v>-7.0007920000000001E-2</v>
      </c>
      <c r="U4124">
        <v>3.1616209999999999E-2</v>
      </c>
      <c r="V4124">
        <v>-4.1480419999999997E-2</v>
      </c>
      <c r="W4124">
        <v>-3.8892210000000003E-2</v>
      </c>
      <c r="X4124">
        <v>0.99838210000000005</v>
      </c>
      <c r="Y4124">
        <v>-8.6823109999999995E-2</v>
      </c>
      <c r="Z4124">
        <v>2.8168210000000002E-3</v>
      </c>
      <c r="AA4124">
        <v>0.99621979999999999</v>
      </c>
      <c r="AB4124">
        <v>27</v>
      </c>
      <c r="AC4124">
        <v>47.7196</v>
      </c>
      <c r="AD4124">
        <v>-1.1190487319139999</v>
      </c>
      <c r="AE4124">
        <v>0.52680000000000804</v>
      </c>
      <c r="AF4124">
        <v>-4.1675102483817303</v>
      </c>
      <c r="AG4124">
        <v>-1.1190487319139999</v>
      </c>
      <c r="AH4124">
        <v>47.513862448805398</v>
      </c>
      <c r="AI4124">
        <v>91.344025291952306</v>
      </c>
      <c r="AJ4124">
        <v>95.012668088918502</v>
      </c>
      <c r="AK4124">
        <v>47.709407212192097</v>
      </c>
      <c r="AL4124">
        <v>92.228921590344498</v>
      </c>
      <c r="AM4124">
        <v>92.379136086152002</v>
      </c>
      <c r="AN4124">
        <v>1.0000000234212301</v>
      </c>
    </row>
    <row r="4125" spans="1:40" x14ac:dyDescent="0.25">
      <c r="A4125" t="str">
        <f>"20190303153849882"</f>
        <v>20190303153849882</v>
      </c>
      <c r="B4125" t="str">
        <f>"1551598729872396"</f>
        <v>1551598729872396</v>
      </c>
      <c r="C4125" t="s">
        <v>40</v>
      </c>
      <c r="D4125">
        <v>4.6202569999999996</v>
      </c>
      <c r="E4125">
        <v>0.4839735</v>
      </c>
      <c r="F4125" t="s">
        <v>57</v>
      </c>
      <c r="G4125">
        <v>-407.95429999999999</v>
      </c>
      <c r="H4125" s="1">
        <v>4.5780970000000004E-6</v>
      </c>
      <c r="I4125">
        <v>216.05260000000001</v>
      </c>
      <c r="J4125">
        <v>-458.4785</v>
      </c>
      <c r="K4125">
        <v>1.1191230000000001</v>
      </c>
      <c r="L4125">
        <v>215.4759</v>
      </c>
      <c r="M4125">
        <v>0.99704389999999998</v>
      </c>
      <c r="N4125">
        <v>6.9350170000000004E-4</v>
      </c>
      <c r="O4125">
        <v>-7.6831819999999995E-2</v>
      </c>
      <c r="P4125">
        <v>0.99862839999999997</v>
      </c>
      <c r="Q4125">
        <v>-3.8355159999999999E-2</v>
      </c>
      <c r="R4125">
        <v>-3.563968E-2</v>
      </c>
      <c r="S4125">
        <v>3.0026549999999999</v>
      </c>
      <c r="T4125">
        <v>-6.6129450000000006E-2</v>
      </c>
      <c r="U4125">
        <v>3.2745360000000001E-2</v>
      </c>
      <c r="V4125">
        <v>-4.1221720000000003E-2</v>
      </c>
      <c r="W4125">
        <v>-3.9016469999999998E-2</v>
      </c>
      <c r="X4125">
        <v>0.99838789999999999</v>
      </c>
      <c r="Y4125">
        <v>-8.7659459999999995E-2</v>
      </c>
      <c r="Z4125">
        <v>2.67884E-3</v>
      </c>
      <c r="AA4125">
        <v>0.99614689999999995</v>
      </c>
      <c r="AB4125">
        <v>27</v>
      </c>
      <c r="AC4125">
        <v>50.5242</v>
      </c>
      <c r="AD4125">
        <v>-1.1191184219029999</v>
      </c>
      <c r="AE4125">
        <v>0.57670000000001598</v>
      </c>
      <c r="AF4125">
        <v>-4.4546768901698899</v>
      </c>
      <c r="AG4125">
        <v>-1.1191184219029999</v>
      </c>
      <c r="AH4125">
        <v>50.305866578702599</v>
      </c>
      <c r="AI4125">
        <v>91.269442015273398</v>
      </c>
      <c r="AJ4125">
        <v>95.060447021979201</v>
      </c>
      <c r="AK4125">
        <v>50.515114416106002</v>
      </c>
      <c r="AL4125">
        <v>92.236046720264</v>
      </c>
      <c r="AM4125">
        <v>92.364301353255399</v>
      </c>
      <c r="AN4125">
        <v>0.99999995699871302</v>
      </c>
    </row>
    <row r="4126" spans="1:40" x14ac:dyDescent="0.25">
      <c r="A4126" t="str">
        <f>"20190303153849903"</f>
        <v>20190303153849903</v>
      </c>
      <c r="B4126" t="str">
        <f>"1551598729892892"</f>
        <v>1551598729892892</v>
      </c>
      <c r="C4126" t="s">
        <v>40</v>
      </c>
      <c r="D4126">
        <v>4.5996550000000003</v>
      </c>
      <c r="E4126">
        <v>0.48485640000000002</v>
      </c>
      <c r="F4126" t="s">
        <v>57</v>
      </c>
      <c r="G4126">
        <v>-411.03109999999998</v>
      </c>
      <c r="H4126" s="1">
        <v>2.2834349999999999E-6</v>
      </c>
      <c r="I4126">
        <v>215.81979999999999</v>
      </c>
      <c r="J4126">
        <v>-458.21089999999998</v>
      </c>
      <c r="K4126">
        <v>1.1191979999999999</v>
      </c>
      <c r="L4126">
        <v>215.45490000000001</v>
      </c>
      <c r="M4126">
        <v>0.99701830000000002</v>
      </c>
      <c r="N4126">
        <v>5.5476910000000002E-4</v>
      </c>
      <c r="O4126">
        <v>-7.7162980000000006E-2</v>
      </c>
      <c r="P4126">
        <v>0.99856659999999997</v>
      </c>
      <c r="Q4126">
        <v>-3.9287679999999998E-2</v>
      </c>
      <c r="R4126">
        <v>-3.6354240000000003E-2</v>
      </c>
      <c r="S4126">
        <v>3.0021969999999998</v>
      </c>
      <c r="T4126">
        <v>-7.0811509999999994E-2</v>
      </c>
      <c r="U4126">
        <v>2.1759029999999999E-2</v>
      </c>
      <c r="V4126">
        <v>-4.0830999999999999E-2</v>
      </c>
      <c r="W4126">
        <v>-3.9816579999999997E-2</v>
      </c>
      <c r="X4126">
        <v>0.99837240000000005</v>
      </c>
      <c r="Y4126">
        <v>-8.4341520000000003E-2</v>
      </c>
      <c r="Z4126">
        <v>2.8324439999999999E-3</v>
      </c>
      <c r="AA4126">
        <v>0.99643289999999995</v>
      </c>
      <c r="AB4126">
        <v>27</v>
      </c>
      <c r="AC4126">
        <v>47.1798</v>
      </c>
      <c r="AD4126">
        <v>-1.1191957165649999</v>
      </c>
      <c r="AE4126">
        <v>0.36489999999997702</v>
      </c>
      <c r="AF4126">
        <v>-4.0020947471448203</v>
      </c>
      <c r="AG4126">
        <v>-1.1191957165649999</v>
      </c>
      <c r="AH4126">
        <v>46.984538227947198</v>
      </c>
      <c r="AI4126">
        <v>91.359635087992501</v>
      </c>
      <c r="AJ4126">
        <v>94.868643647306996</v>
      </c>
      <c r="AK4126">
        <v>47.1679572793918</v>
      </c>
      <c r="AL4126">
        <v>92.281925228397199</v>
      </c>
      <c r="AM4126">
        <v>92.341952716527899</v>
      </c>
      <c r="AN4126">
        <v>0.99999998984282801</v>
      </c>
    </row>
    <row r="4127" spans="1:40" x14ac:dyDescent="0.25">
      <c r="A4127" t="str">
        <f>"20190303153849925"</f>
        <v>20190303153849925</v>
      </c>
      <c r="B4127" t="str">
        <f>"1551598729912415"</f>
        <v>1551598729912415</v>
      </c>
      <c r="C4127" t="s">
        <v>40</v>
      </c>
      <c r="D4127">
        <v>4.6009500000000001</v>
      </c>
      <c r="E4127">
        <v>0.48557630000000002</v>
      </c>
      <c r="F4127" t="s">
        <v>57</v>
      </c>
      <c r="G4127">
        <v>-414.91660000000002</v>
      </c>
      <c r="H4127" s="1">
        <v>2.9888940000000001E-6</v>
      </c>
      <c r="I4127">
        <v>215.63409999999999</v>
      </c>
      <c r="J4127">
        <v>-457.94139999999999</v>
      </c>
      <c r="K4127">
        <v>1.1192979999999999</v>
      </c>
      <c r="L4127">
        <v>215.43379999999999</v>
      </c>
      <c r="M4127">
        <v>0.99699979999999999</v>
      </c>
      <c r="N4127">
        <v>3.2009909999999999E-4</v>
      </c>
      <c r="O4127">
        <v>-7.7406180000000005E-2</v>
      </c>
      <c r="P4127">
        <v>0.99848899999999996</v>
      </c>
      <c r="Q4127">
        <v>-4.0302249999999998E-2</v>
      </c>
      <c r="R4127">
        <v>-3.7358309999999999E-2</v>
      </c>
      <c r="S4127">
        <v>3.001709</v>
      </c>
      <c r="T4127">
        <v>-7.7596659999999998E-2</v>
      </c>
      <c r="U4127">
        <v>1.242065E-2</v>
      </c>
      <c r="V4127">
        <v>-4.006183E-2</v>
      </c>
      <c r="W4127">
        <v>-4.0603479999999997E-2</v>
      </c>
      <c r="X4127">
        <v>0.99837189999999998</v>
      </c>
      <c r="Y4127">
        <v>-8.1477569999999999E-2</v>
      </c>
      <c r="Z4127">
        <v>3.063947E-3</v>
      </c>
      <c r="AA4127">
        <v>0.99667050000000001</v>
      </c>
      <c r="AB4127">
        <v>28</v>
      </c>
      <c r="AC4127">
        <v>43.0247999999999</v>
      </c>
      <c r="AD4127">
        <v>-1.1192950111059901</v>
      </c>
      <c r="AE4127">
        <v>0.20029999999999801</v>
      </c>
      <c r="AF4127">
        <v>-3.5276964679836902</v>
      </c>
      <c r="AG4127">
        <v>-1.1192950111059901</v>
      </c>
      <c r="AH4127">
        <v>42.851205250770001</v>
      </c>
      <c r="AI4127">
        <v>91.491211952903399</v>
      </c>
      <c r="AJ4127">
        <v>94.7062235933236</v>
      </c>
      <c r="AK4127">
        <v>43.010734185034899</v>
      </c>
      <c r="AL4127">
        <v>92.327047697481404</v>
      </c>
      <c r="AM4127">
        <v>92.297884157403999</v>
      </c>
      <c r="AN4127">
        <v>1.00000002176033</v>
      </c>
    </row>
    <row r="4128" spans="1:40" x14ac:dyDescent="0.25">
      <c r="A4128" t="str">
        <f>"20190303153849948"</f>
        <v>20190303153849948</v>
      </c>
      <c r="B4128" t="str">
        <f>"1551598729942948"</f>
        <v>1551598729942948</v>
      </c>
      <c r="C4128" t="s">
        <v>40</v>
      </c>
      <c r="D4128">
        <v>4.6406619999999998</v>
      </c>
      <c r="E4128">
        <v>0.48655690000000001</v>
      </c>
      <c r="F4128" t="s">
        <v>57</v>
      </c>
      <c r="G4128">
        <v>-417.8057</v>
      </c>
      <c r="H4128" s="1">
        <v>3.5144889999999999E-6</v>
      </c>
      <c r="I4128">
        <v>215.48400000000001</v>
      </c>
      <c r="J4128">
        <v>-457.65730000000002</v>
      </c>
      <c r="K4128">
        <v>1.1194280000000001</v>
      </c>
      <c r="L4128">
        <v>215.41159999999999</v>
      </c>
      <c r="M4128">
        <v>0.99698659999999995</v>
      </c>
      <c r="N4128" s="1">
        <v>-6.8290329999999994E-5</v>
      </c>
      <c r="O4128">
        <v>-7.7575119999999997E-2</v>
      </c>
      <c r="P4128">
        <v>0.99839120000000003</v>
      </c>
      <c r="Q4128">
        <v>-4.2146990000000002E-2</v>
      </c>
      <c r="R4128">
        <v>-3.79385E-2</v>
      </c>
      <c r="S4128">
        <v>3.0012819999999998</v>
      </c>
      <c r="T4128">
        <v>-8.3698869999999995E-2</v>
      </c>
      <c r="U4128">
        <v>3.7536620000000001E-3</v>
      </c>
      <c r="V4128">
        <v>-3.9638590000000001E-2</v>
      </c>
      <c r="W4128">
        <v>-4.2066989999999999E-2</v>
      </c>
      <c r="X4128">
        <v>0.99832810000000005</v>
      </c>
      <c r="Y4128">
        <v>-7.8761310000000001E-2</v>
      </c>
      <c r="Z4128">
        <v>3.2567770000000002E-3</v>
      </c>
      <c r="AA4128">
        <v>0.9968882</v>
      </c>
      <c r="AB4128">
        <v>28</v>
      </c>
      <c r="AC4128">
        <v>39.851599999999998</v>
      </c>
      <c r="AD4128">
        <v>-1.119424485511</v>
      </c>
      <c r="AE4128">
        <v>7.2400000000015993E-2</v>
      </c>
      <c r="AF4128">
        <v>-3.16117991381953</v>
      </c>
      <c r="AG4128">
        <v>-1.119424485511</v>
      </c>
      <c r="AH4128">
        <v>39.694570745200103</v>
      </c>
      <c r="AI4128">
        <v>91.610271580663095</v>
      </c>
      <c r="AJ4128">
        <v>94.553288098802796</v>
      </c>
      <c r="AK4128">
        <v>39.8359776618071</v>
      </c>
      <c r="AL4128">
        <v>92.410972616837896</v>
      </c>
      <c r="AM4128">
        <v>92.273733030565495</v>
      </c>
      <c r="AN4128">
        <v>0.99999992235722601</v>
      </c>
    </row>
    <row r="4129" spans="1:40" x14ac:dyDescent="0.25">
      <c r="A4129" t="str">
        <f>"20190303153849972"</f>
        <v>20190303153849972</v>
      </c>
      <c r="B4129" t="str">
        <f>"1551598729962469"</f>
        <v>1551598729962469</v>
      </c>
      <c r="C4129" t="s">
        <v>40</v>
      </c>
      <c r="D4129">
        <v>4.6231260000000001</v>
      </c>
      <c r="E4129">
        <v>0.4871663</v>
      </c>
      <c r="F4129" t="s">
        <v>57</v>
      </c>
      <c r="G4129">
        <v>-420.86380000000003</v>
      </c>
      <c r="H4129" s="1">
        <v>3.7479780000000002E-6</v>
      </c>
      <c r="I4129">
        <v>215.3416</v>
      </c>
      <c r="J4129">
        <v>-457.35890000000001</v>
      </c>
      <c r="K4129">
        <v>1.1195980000000001</v>
      </c>
      <c r="L4129">
        <v>215.38829999999999</v>
      </c>
      <c r="M4129">
        <v>0.99697860000000005</v>
      </c>
      <c r="N4129">
        <v>-6.8375149999999997E-4</v>
      </c>
      <c r="O4129">
        <v>-7.7672530000000004E-2</v>
      </c>
      <c r="P4129">
        <v>0.99829860000000004</v>
      </c>
      <c r="Q4129">
        <v>-4.4213519999999999E-2</v>
      </c>
      <c r="R4129">
        <v>-3.801413E-2</v>
      </c>
      <c r="S4129">
        <v>3.0007320000000002</v>
      </c>
      <c r="T4129">
        <v>-9.1295719999999997E-2</v>
      </c>
      <c r="U4129">
        <v>-5.7067869999999996E-3</v>
      </c>
      <c r="V4129">
        <v>-3.964848E-2</v>
      </c>
      <c r="W4129">
        <v>-4.3524569999999999E-2</v>
      </c>
      <c r="X4129">
        <v>0.99826530000000002</v>
      </c>
      <c r="Y4129">
        <v>-7.5706259999999997E-2</v>
      </c>
      <c r="Z4129">
        <v>3.4849109999999998E-3</v>
      </c>
      <c r="AA4129">
        <v>0.99712409999999996</v>
      </c>
      <c r="AB4129">
        <v>28</v>
      </c>
      <c r="AC4129">
        <v>36.495099999999901</v>
      </c>
      <c r="AD4129">
        <v>-1.1195942520219999</v>
      </c>
      <c r="AE4129">
        <v>-4.6699999999987002E-2</v>
      </c>
      <c r="AF4129">
        <v>-2.7854872371130601</v>
      </c>
      <c r="AG4129">
        <v>-1.1195942520219999</v>
      </c>
      <c r="AH4129">
        <v>36.354258593014798</v>
      </c>
      <c r="AI4129">
        <v>91.758816260863199</v>
      </c>
      <c r="AJ4129">
        <v>94.381479590102003</v>
      </c>
      <c r="AK4129">
        <v>36.478000881148503</v>
      </c>
      <c r="AL4129">
        <v>92.4945622016279</v>
      </c>
      <c r="AM4129">
        <v>92.274442665129897</v>
      </c>
      <c r="AN4129">
        <v>0.99999999967204201</v>
      </c>
    </row>
    <row r="4130" spans="1:40" x14ac:dyDescent="0.25">
      <c r="A4130" t="str">
        <f>"20190303153849994"</f>
        <v>20190303153849994</v>
      </c>
      <c r="B4130" t="str">
        <f>"1551598729982964"</f>
        <v>1551598729982964</v>
      </c>
      <c r="C4130" t="s">
        <v>40</v>
      </c>
      <c r="D4130">
        <v>4.5794449999999998</v>
      </c>
      <c r="E4130">
        <v>0.4881779</v>
      </c>
      <c r="F4130" t="s">
        <v>57</v>
      </c>
      <c r="G4130">
        <v>-422.2371</v>
      </c>
      <c r="H4130" s="1">
        <v>3.5113580000000001E-6</v>
      </c>
      <c r="I4130">
        <v>215.26159999999999</v>
      </c>
      <c r="J4130">
        <v>-457.07839999999999</v>
      </c>
      <c r="K4130">
        <v>1.119775</v>
      </c>
      <c r="L4130">
        <v>215.3664</v>
      </c>
      <c r="M4130">
        <v>0.99697519999999995</v>
      </c>
      <c r="N4130">
        <v>-1.4409879999999901E-3</v>
      </c>
      <c r="O4130">
        <v>-7.7705789999999997E-2</v>
      </c>
      <c r="P4130">
        <v>0.99822809999999995</v>
      </c>
      <c r="Q4130">
        <v>-4.6240650000000001E-2</v>
      </c>
      <c r="R4130">
        <v>-3.7448820000000001E-2</v>
      </c>
      <c r="S4130">
        <v>3.0004580000000001</v>
      </c>
      <c r="T4130">
        <v>-9.5647099999999999E-2</v>
      </c>
      <c r="U4130">
        <v>-1.081848E-2</v>
      </c>
      <c r="V4130">
        <v>-4.0235989999999999E-2</v>
      </c>
      <c r="W4130">
        <v>-4.4799430000000001E-2</v>
      </c>
      <c r="X4130">
        <v>0.9981854</v>
      </c>
      <c r="Y4130">
        <v>-7.4035470000000006E-2</v>
      </c>
      <c r="Z4130">
        <v>3.5955190000000001E-3</v>
      </c>
      <c r="AA4130">
        <v>0.9972491</v>
      </c>
      <c r="AB4130">
        <v>28</v>
      </c>
      <c r="AC4130">
        <v>34.841299999999897</v>
      </c>
      <c r="AD4130">
        <v>-1.119771488642</v>
      </c>
      <c r="AE4130">
        <v>-0.104800000000011</v>
      </c>
      <c r="AF4130">
        <v>-2.6002048819672399</v>
      </c>
      <c r="AG4130">
        <v>-1.119771488642</v>
      </c>
      <c r="AH4130">
        <v>34.708244079439702</v>
      </c>
      <c r="AI4130">
        <v>91.842698614486906</v>
      </c>
      <c r="AJ4130">
        <v>94.2843707698012</v>
      </c>
      <c r="AK4130">
        <v>34.823514479342002</v>
      </c>
      <c r="AL4130">
        <v>92.567677614611995</v>
      </c>
      <c r="AM4130">
        <v>92.308293657922206</v>
      </c>
      <c r="AN4130">
        <v>1.00000000829638</v>
      </c>
    </row>
    <row r="4131" spans="1:40" x14ac:dyDescent="0.25">
      <c r="A4131" t="str">
        <f>"20190303153850016"</f>
        <v>20190303153850016</v>
      </c>
      <c r="B4131" t="str">
        <f>"1551598730012244"</f>
        <v>1551598730012244</v>
      </c>
      <c r="C4131" t="s">
        <v>40</v>
      </c>
      <c r="D4131">
        <v>4.6178429999999997</v>
      </c>
      <c r="E4131">
        <v>0.48933599999999999</v>
      </c>
      <c r="F4131" t="s">
        <v>57</v>
      </c>
      <c r="G4131">
        <v>-421.83519999999999</v>
      </c>
      <c r="H4131" s="1">
        <v>3.5908570000000001E-6</v>
      </c>
      <c r="I4131">
        <v>215.1678</v>
      </c>
      <c r="J4131">
        <v>-456.80680000000001</v>
      </c>
      <c r="K4131">
        <v>1.1199399999999999</v>
      </c>
      <c r="L4131">
        <v>215.34530000000001</v>
      </c>
      <c r="M4131">
        <v>0.9969751</v>
      </c>
      <c r="N4131">
        <v>-2.276873E-3</v>
      </c>
      <c r="O4131">
        <v>-7.7688839999999995E-2</v>
      </c>
      <c r="P4131">
        <v>0.99822529999999998</v>
      </c>
      <c r="Q4131">
        <v>-4.7341889999999998E-2</v>
      </c>
      <c r="R4131">
        <v>-3.6122309999999998E-2</v>
      </c>
      <c r="S4131">
        <v>3.0003359999999999</v>
      </c>
      <c r="T4131">
        <v>-9.5328570000000001E-2</v>
      </c>
      <c r="U4131">
        <v>-1.690674E-2</v>
      </c>
      <c r="V4131">
        <v>-4.1539140000000002E-2</v>
      </c>
      <c r="W4131">
        <v>-4.5068629999999998E-2</v>
      </c>
      <c r="X4131">
        <v>0.99811989999999995</v>
      </c>
      <c r="Y4131">
        <v>-7.1997309999999995E-2</v>
      </c>
      <c r="Z4131">
        <v>3.5142070000000001E-3</v>
      </c>
      <c r="AA4131">
        <v>0.99739860000000002</v>
      </c>
      <c r="AB4131">
        <v>28</v>
      </c>
      <c r="AC4131">
        <v>34.971600000000002</v>
      </c>
      <c r="AD4131">
        <v>-1.119936409143</v>
      </c>
      <c r="AE4131">
        <v>-0.17750000000000901</v>
      </c>
      <c r="AF4131">
        <v>-2.5373443263438902</v>
      </c>
      <c r="AG4131">
        <v>-1.119936409143</v>
      </c>
      <c r="AH4131">
        <v>34.843959806415498</v>
      </c>
      <c r="AI4131">
        <v>91.8360789517657</v>
      </c>
      <c r="AJ4131">
        <v>94.164938919403397</v>
      </c>
      <c r="AK4131">
        <v>34.954168689614903</v>
      </c>
      <c r="AL4131">
        <v>92.583117233392997</v>
      </c>
      <c r="AM4131">
        <v>92.383125277896497</v>
      </c>
      <c r="AN4131">
        <v>1.0000000081690099</v>
      </c>
    </row>
    <row r="4132" spans="1:40" x14ac:dyDescent="0.25">
      <c r="A4132" t="str">
        <f>"20190303153850038"</f>
        <v>20190303153850038</v>
      </c>
      <c r="B4132" t="str">
        <f>"1551598730032740"</f>
        <v>1551598730032740</v>
      </c>
      <c r="C4132" t="s">
        <v>40</v>
      </c>
      <c r="D4132">
        <v>4.6098420000000004</v>
      </c>
      <c r="E4132">
        <v>0.48971700000000001</v>
      </c>
      <c r="F4132" t="s">
        <v>57</v>
      </c>
      <c r="G4132">
        <v>-421.08510000000001</v>
      </c>
      <c r="H4132" s="1">
        <v>3.7313160000000002E-6</v>
      </c>
      <c r="I4132">
        <v>215.0831</v>
      </c>
      <c r="J4132">
        <v>-456.53109999999998</v>
      </c>
      <c r="K4132">
        <v>1.1201080000000001</v>
      </c>
      <c r="L4132">
        <v>215.32390000000001</v>
      </c>
      <c r="M4132">
        <v>0.99697829999999998</v>
      </c>
      <c r="N4132">
        <v>-3.2031759999999999E-3</v>
      </c>
      <c r="O4132">
        <v>-7.7615210000000004E-2</v>
      </c>
      <c r="P4132">
        <v>0.99824009999999996</v>
      </c>
      <c r="Q4132">
        <v>-4.7989759999999999E-2</v>
      </c>
      <c r="R4132">
        <v>-3.4845109999999999E-2</v>
      </c>
      <c r="S4132">
        <v>3.0000610000000001</v>
      </c>
      <c r="T4132">
        <v>-9.4057080000000001E-2</v>
      </c>
      <c r="U4132">
        <v>-2.2018429999999999E-2</v>
      </c>
      <c r="V4132">
        <v>-4.2738529999999997E-2</v>
      </c>
      <c r="W4132">
        <v>-4.4793939999999997E-2</v>
      </c>
      <c r="X4132">
        <v>0.99808160000000001</v>
      </c>
      <c r="Y4132">
        <v>-7.0227819999999996E-2</v>
      </c>
      <c r="Z4132">
        <v>3.3950709999999999E-3</v>
      </c>
      <c r="AA4132">
        <v>0.9975252</v>
      </c>
      <c r="AB4132">
        <v>28</v>
      </c>
      <c r="AC4132">
        <v>35.445999999999898</v>
      </c>
      <c r="AD4132">
        <v>-1.1201042686839999</v>
      </c>
      <c r="AE4132">
        <v>-0.24080000000000701</v>
      </c>
      <c r="AF4132">
        <v>-2.5085841970017801</v>
      </c>
      <c r="AG4132">
        <v>-1.1201042686839999</v>
      </c>
      <c r="AH4132">
        <v>35.322491307980599</v>
      </c>
      <c r="AI4132">
        <v>91.811725899307802</v>
      </c>
      <c r="AJ4132">
        <v>94.062294632251096</v>
      </c>
      <c r="AK4132">
        <v>35.429169062349402</v>
      </c>
      <c r="AL4132">
        <v>92.567362818333706</v>
      </c>
      <c r="AM4132">
        <v>92.451946172792404</v>
      </c>
      <c r="AN4132">
        <v>0.99999997963292198</v>
      </c>
    </row>
    <row r="4133" spans="1:40" x14ac:dyDescent="0.25">
      <c r="A4133" t="str">
        <f>"20190303153850061"</f>
        <v>20190303153850061</v>
      </c>
      <c r="B4133" t="str">
        <f>"1551598730052260"</f>
        <v>1551598730052260</v>
      </c>
      <c r="C4133" t="s">
        <v>40</v>
      </c>
      <c r="D4133">
        <v>4.6050180000000003</v>
      </c>
      <c r="E4133">
        <v>0.49010579999999998</v>
      </c>
      <c r="F4133" t="s">
        <v>57</v>
      </c>
      <c r="G4133">
        <v>-422.37619999999998</v>
      </c>
      <c r="H4133" s="1">
        <v>3.5024149999999999E-6</v>
      </c>
      <c r="I4133">
        <v>215.08170000000001</v>
      </c>
      <c r="J4133">
        <v>-456.2448</v>
      </c>
      <c r="K4133">
        <v>1.12029</v>
      </c>
      <c r="L4133">
        <v>215.30170000000001</v>
      </c>
      <c r="M4133">
        <v>0.99698399999999998</v>
      </c>
      <c r="N4133">
        <v>-4.2377090000000001E-3</v>
      </c>
      <c r="O4133">
        <v>-7.7491560000000001E-2</v>
      </c>
      <c r="P4133">
        <v>0.99825699999999995</v>
      </c>
      <c r="Q4133">
        <v>-4.8773360000000002E-2</v>
      </c>
      <c r="R4133">
        <v>-3.3232419999999999E-2</v>
      </c>
      <c r="S4133">
        <v>2.9997859999999998</v>
      </c>
      <c r="T4133">
        <v>-9.8377469999999995E-2</v>
      </c>
      <c r="U4133">
        <v>-2.1270750000000001E-2</v>
      </c>
      <c r="V4133">
        <v>-4.4220990000000002E-2</v>
      </c>
      <c r="W4133">
        <v>-4.4548009999999999E-2</v>
      </c>
      <c r="X4133">
        <v>0.99802800000000003</v>
      </c>
      <c r="Y4133">
        <v>-7.0346839999999994E-2</v>
      </c>
      <c r="Z4133">
        <v>3.5122270000000001E-3</v>
      </c>
      <c r="AA4133">
        <v>0.99751639999999997</v>
      </c>
      <c r="AB4133">
        <v>28</v>
      </c>
      <c r="AC4133">
        <v>33.868600000000001</v>
      </c>
      <c r="AD4133">
        <v>-1.120286497585</v>
      </c>
      <c r="AE4133">
        <v>-0.219999999999998</v>
      </c>
      <c r="AF4133">
        <v>-2.4025871699659298</v>
      </c>
      <c r="AG4133">
        <v>-1.120286497585</v>
      </c>
      <c r="AH4133">
        <v>33.746882381784602</v>
      </c>
      <c r="AI4133">
        <v>91.896538056309495</v>
      </c>
      <c r="AJ4133">
        <v>94.072264466211095</v>
      </c>
      <c r="AK4133">
        <v>33.850842492262402</v>
      </c>
      <c r="AL4133">
        <v>92.553258049877797</v>
      </c>
      <c r="AM4133">
        <v>92.537022988511694</v>
      </c>
      <c r="AN4133">
        <v>0.99999995496776894</v>
      </c>
    </row>
    <row r="4134" spans="1:40" x14ac:dyDescent="0.25">
      <c r="A4134" t="str">
        <f>"20190303153850083"</f>
        <v>20190303153850083</v>
      </c>
      <c r="B4134" t="str">
        <f>"1551598730072756"</f>
        <v>1551598730072756</v>
      </c>
      <c r="C4134" t="s">
        <v>40</v>
      </c>
      <c r="D4134">
        <v>4.5966800000000001</v>
      </c>
      <c r="E4134">
        <v>0.49042370000000002</v>
      </c>
      <c r="F4134" t="s">
        <v>57</v>
      </c>
      <c r="G4134">
        <v>-423.59129999999999</v>
      </c>
      <c r="H4134" s="1">
        <v>3.286425E-6</v>
      </c>
      <c r="I4134">
        <v>215.08690000000001</v>
      </c>
      <c r="J4134">
        <v>-455.95620000000002</v>
      </c>
      <c r="K4134">
        <v>1.12049</v>
      </c>
      <c r="L4134">
        <v>215.27930000000001</v>
      </c>
      <c r="M4134">
        <v>0.99699099999999996</v>
      </c>
      <c r="N4134">
        <v>-5.3399390000000001E-3</v>
      </c>
      <c r="O4134">
        <v>-7.7333609999999997E-2</v>
      </c>
      <c r="P4134">
        <v>0.9982839</v>
      </c>
      <c r="Q4134">
        <v>-4.9027170000000002E-2</v>
      </c>
      <c r="R4134">
        <v>-3.2027989999999999E-2</v>
      </c>
      <c r="S4134">
        <v>2.9995120000000002</v>
      </c>
      <c r="T4134">
        <v>-0.102908399999999</v>
      </c>
      <c r="U4134">
        <v>-1.9729610000000002E-2</v>
      </c>
      <c r="V4134">
        <v>-4.5262480000000001E-2</v>
      </c>
      <c r="W4134">
        <v>-4.3706250000000002E-2</v>
      </c>
      <c r="X4134">
        <v>0.99801859999999998</v>
      </c>
      <c r="Y4134">
        <v>-7.0694859999999998E-2</v>
      </c>
      <c r="Z4134">
        <v>3.638198E-3</v>
      </c>
      <c r="AA4134">
        <v>0.99749140000000003</v>
      </c>
      <c r="AB4134">
        <v>28</v>
      </c>
      <c r="AC4134">
        <v>32.364899999999999</v>
      </c>
      <c r="AD4134">
        <v>-1.1204867135750001</v>
      </c>
      <c r="AE4134">
        <v>-0.19239999999999199</v>
      </c>
      <c r="AF4134">
        <v>-2.3083397532089101</v>
      </c>
      <c r="AG4134">
        <v>-1.1204867135750001</v>
      </c>
      <c r="AH4134">
        <v>32.244206664694403</v>
      </c>
      <c r="AI4134">
        <v>91.985152035737499</v>
      </c>
      <c r="AJ4134">
        <v>94.094778235587597</v>
      </c>
      <c r="AK4134">
        <v>32.346140207559003</v>
      </c>
      <c r="AL4134">
        <v>92.504981545115996</v>
      </c>
      <c r="AM4134">
        <v>92.596718372881597</v>
      </c>
      <c r="AN4134">
        <v>1.0000000271653799</v>
      </c>
    </row>
    <row r="4135" spans="1:40" x14ac:dyDescent="0.25">
      <c r="A4135" t="str">
        <f>"20190303153850104"</f>
        <v>20190303153850104</v>
      </c>
      <c r="B4135" t="str">
        <f>"1551598730092279"</f>
        <v>1551598730092279</v>
      </c>
      <c r="C4135" t="s">
        <v>40</v>
      </c>
      <c r="D4135">
        <v>4.6002349999999996</v>
      </c>
      <c r="E4135">
        <v>0.49073220000000001</v>
      </c>
      <c r="F4135" t="s">
        <v>57</v>
      </c>
      <c r="G4135">
        <v>-424.40750000000003</v>
      </c>
      <c r="H4135" s="1">
        <v>3.1420819999999999E-6</v>
      </c>
      <c r="I4135">
        <v>215.08189999999999</v>
      </c>
      <c r="J4135">
        <v>-455.70310000000001</v>
      </c>
      <c r="K4135">
        <v>1.1206590000000001</v>
      </c>
      <c r="L4135">
        <v>215.25989999999999</v>
      </c>
      <c r="M4135">
        <v>0.99699859999999896</v>
      </c>
      <c r="N4135">
        <v>-6.3182119999999897E-3</v>
      </c>
      <c r="O4135">
        <v>-7.7160619999999999E-2</v>
      </c>
      <c r="P4135">
        <v>0.99827089999999996</v>
      </c>
      <c r="Q4135">
        <v>-4.978059E-2</v>
      </c>
      <c r="R4135">
        <v>-3.1263369999999999E-2</v>
      </c>
      <c r="S4135">
        <v>2.9993590000000001</v>
      </c>
      <c r="T4135">
        <v>-0.1065255</v>
      </c>
      <c r="U4135">
        <v>-1.876831E-2</v>
      </c>
      <c r="V4135">
        <v>-4.5846829999999998E-2</v>
      </c>
      <c r="W4135">
        <v>-4.3488390000000002E-2</v>
      </c>
      <c r="X4135">
        <v>0.99800140000000004</v>
      </c>
      <c r="Y4135">
        <v>-7.0836620000000003E-2</v>
      </c>
      <c r="Z4135">
        <v>3.7309399999999999E-3</v>
      </c>
      <c r="AA4135">
        <v>0.9974809</v>
      </c>
      <c r="AB4135">
        <v>28</v>
      </c>
      <c r="AC4135">
        <v>31.295599999999901</v>
      </c>
      <c r="AD4135">
        <v>-1.1206558579179999</v>
      </c>
      <c r="AE4135">
        <v>-0.17799999999999699</v>
      </c>
      <c r="AF4135">
        <v>-2.2345017982370501</v>
      </c>
      <c r="AG4135">
        <v>-1.1206558579179999</v>
      </c>
      <c r="AH4135">
        <v>31.1760540903181</v>
      </c>
      <c r="AI4135">
        <v>92.053407309378102</v>
      </c>
      <c r="AJ4135">
        <v>94.099587607261199</v>
      </c>
      <c r="AK4135">
        <v>31.276112553842999</v>
      </c>
      <c r="AL4135">
        <v>92.492487316892195</v>
      </c>
      <c r="AM4135">
        <v>92.630241147992606</v>
      </c>
      <c r="AN4135">
        <v>0.99999998314390004</v>
      </c>
    </row>
    <row r="4136" spans="1:40" x14ac:dyDescent="0.25">
      <c r="A4136" t="str">
        <f>"20190303153850126"</f>
        <v>20190303153850126</v>
      </c>
      <c r="B4136" t="str">
        <f>"1551598730122532"</f>
        <v>1551598730122532</v>
      </c>
      <c r="C4136" t="s">
        <v>40</v>
      </c>
      <c r="D4136">
        <v>4.6223070000000002</v>
      </c>
      <c r="E4136">
        <v>0.49121199999999998</v>
      </c>
      <c r="F4136" t="s">
        <v>57</v>
      </c>
      <c r="G4136">
        <v>-425.40370000000001</v>
      </c>
      <c r="H4136" s="1">
        <v>2.9664300000000001E-6</v>
      </c>
      <c r="I4136">
        <v>215.06979999999999</v>
      </c>
      <c r="J4136">
        <v>-455.4289</v>
      </c>
      <c r="K4136">
        <v>1.1208279999999999</v>
      </c>
      <c r="L4136">
        <v>215.2389</v>
      </c>
      <c r="M4136">
        <v>0.99700999999999995</v>
      </c>
      <c r="N4136">
        <v>-7.340671E-3</v>
      </c>
      <c r="O4136">
        <v>-7.6924149999999997E-2</v>
      </c>
      <c r="P4136">
        <v>0.9982278</v>
      </c>
      <c r="Q4136">
        <v>-5.0933489999999998E-2</v>
      </c>
      <c r="R4136">
        <v>-3.0779460000000002E-2</v>
      </c>
      <c r="S4136">
        <v>2.9990839999999999</v>
      </c>
      <c r="T4136">
        <v>-0.1109245</v>
      </c>
      <c r="U4136">
        <v>-1.8814089999999999E-2</v>
      </c>
      <c r="V4136">
        <v>-4.6084489999999999E-2</v>
      </c>
      <c r="W4136">
        <v>-4.3626980000000003E-2</v>
      </c>
      <c r="X4136">
        <v>0.99798439999999999</v>
      </c>
      <c r="Y4136">
        <v>-7.0578630000000003E-2</v>
      </c>
      <c r="Z4136">
        <v>3.8407839999999999E-3</v>
      </c>
      <c r="AA4136">
        <v>0.99749880000000002</v>
      </c>
      <c r="AB4136">
        <v>28</v>
      </c>
      <c r="AC4136">
        <v>30.025199999999899</v>
      </c>
      <c r="AD4136">
        <v>-1.1208250335700001</v>
      </c>
      <c r="AE4136">
        <v>-0.16910000000001399</v>
      </c>
      <c r="AF4136">
        <v>-2.13814673372329</v>
      </c>
      <c r="AG4136">
        <v>-1.1208250335700001</v>
      </c>
      <c r="AH4136">
        <v>29.907562633664998</v>
      </c>
      <c r="AI4136">
        <v>92.140771136769303</v>
      </c>
      <c r="AJ4136">
        <v>94.089223482194797</v>
      </c>
      <c r="AK4136">
        <v>30.004836658402301</v>
      </c>
      <c r="AL4136">
        <v>92.500435495173605</v>
      </c>
      <c r="AM4136">
        <v>92.643901422272094</v>
      </c>
      <c r="AN4136">
        <v>0.99999997812291996</v>
      </c>
    </row>
    <row r="4137" spans="1:40" x14ac:dyDescent="0.25">
      <c r="A4137" t="str">
        <f>"20190303153850149"</f>
        <v>20190303153850149</v>
      </c>
      <c r="B4137" t="str">
        <f>"1551598730143029"</f>
        <v>1551598730143029</v>
      </c>
      <c r="C4137" t="s">
        <v>40</v>
      </c>
      <c r="D4137">
        <v>4.5863009999999997</v>
      </c>
      <c r="E4137">
        <v>0.49152649999999998</v>
      </c>
      <c r="F4137" t="s">
        <v>57</v>
      </c>
      <c r="G4137">
        <v>-426.82850000000002</v>
      </c>
      <c r="H4137" s="1">
        <v>2.716731E-6</v>
      </c>
      <c r="I4137">
        <v>215.0351</v>
      </c>
      <c r="J4137">
        <v>-455.14609999999999</v>
      </c>
      <c r="K4137">
        <v>1.1209800000000001</v>
      </c>
      <c r="L4137">
        <v>215.2174</v>
      </c>
      <c r="M4137">
        <v>0.99702619999999997</v>
      </c>
      <c r="N4137">
        <v>-8.3204569999999999E-3</v>
      </c>
      <c r="O4137">
        <v>-7.6612159999999999E-2</v>
      </c>
      <c r="P4137">
        <v>0.99817120000000004</v>
      </c>
      <c r="Q4137">
        <v>-5.2275040000000002E-2</v>
      </c>
      <c r="R4137">
        <v>-3.0359540000000001E-2</v>
      </c>
      <c r="S4137">
        <v>2.9986570000000001</v>
      </c>
      <c r="T4137">
        <v>-0.1175147</v>
      </c>
      <c r="U4137">
        <v>-2.1362300000000001E-2</v>
      </c>
      <c r="V4137">
        <v>-4.6181300000000002E-2</v>
      </c>
      <c r="W4137">
        <v>-4.3997389999999997E-2</v>
      </c>
      <c r="X4137">
        <v>0.99796370000000001</v>
      </c>
      <c r="Y4137">
        <v>-6.9409079999999998E-2</v>
      </c>
      <c r="Z4137">
        <v>4.0093899999999998E-3</v>
      </c>
      <c r="AA4137">
        <v>0.99758020000000003</v>
      </c>
      <c r="AB4137">
        <v>28</v>
      </c>
      <c r="AC4137">
        <v>28.317599999999899</v>
      </c>
      <c r="AD4137">
        <v>-1.1209772832689999</v>
      </c>
      <c r="AE4137">
        <v>-0.18229999999999699</v>
      </c>
      <c r="AF4137">
        <v>-1.98467359817934</v>
      </c>
      <c r="AG4137">
        <v>-1.1209772832689999</v>
      </c>
      <c r="AH4137">
        <v>28.204139562245</v>
      </c>
      <c r="AI4137">
        <v>92.270422066875895</v>
      </c>
      <c r="AJ4137">
        <v>94.025163948707203</v>
      </c>
      <c r="AK4137">
        <v>28.296095274922799</v>
      </c>
      <c r="AL4137">
        <v>92.521678731421503</v>
      </c>
      <c r="AM4137">
        <v>92.649502455263402</v>
      </c>
      <c r="AN4137">
        <v>1.00000001465709</v>
      </c>
    </row>
    <row r="4138" spans="1:40" x14ac:dyDescent="0.25">
      <c r="A4138" t="str">
        <f>"20190303153850173"</f>
        <v>20190303153850173</v>
      </c>
      <c r="B4138" t="str">
        <f>"1551598730162549"</f>
        <v>1551598730162549</v>
      </c>
      <c r="C4138" t="s">
        <v>40</v>
      </c>
      <c r="D4138">
        <v>4.5955879999999896</v>
      </c>
      <c r="E4138">
        <v>0.49178899999999998</v>
      </c>
      <c r="F4138" t="s">
        <v>57</v>
      </c>
      <c r="G4138">
        <v>-427.94529999999997</v>
      </c>
      <c r="H4138" s="1">
        <v>2.5207420000000002E-6</v>
      </c>
      <c r="I4138">
        <v>215.01079999999999</v>
      </c>
      <c r="J4138">
        <v>-454.85289999999998</v>
      </c>
      <c r="K4138">
        <v>1.1211089999999999</v>
      </c>
      <c r="L4138">
        <v>215.1953</v>
      </c>
      <c r="M4138">
        <v>0.99704999999999999</v>
      </c>
      <c r="N4138">
        <v>-9.2301109999999992E-3</v>
      </c>
      <c r="O4138">
        <v>-7.6198500000000002E-2</v>
      </c>
      <c r="P4138">
        <v>0.99810920000000003</v>
      </c>
      <c r="Q4138">
        <v>-5.3671320000000002E-2</v>
      </c>
      <c r="R4138">
        <v>-2.9963989999999999E-2</v>
      </c>
      <c r="S4138">
        <v>2.998291</v>
      </c>
      <c r="T4138">
        <v>-0.1235634</v>
      </c>
      <c r="U4138">
        <v>-2.2766109999999999E-2</v>
      </c>
      <c r="V4138">
        <v>-4.615126E-2</v>
      </c>
      <c r="W4138">
        <v>-4.4492780000000003E-2</v>
      </c>
      <c r="X4138">
        <v>0.99794309999999997</v>
      </c>
      <c r="Y4138">
        <v>-6.8518800000000005E-2</v>
      </c>
      <c r="Z4138">
        <v>4.1603389999999999E-3</v>
      </c>
      <c r="AA4138">
        <v>0.99764109999999995</v>
      </c>
      <c r="AB4138">
        <v>28</v>
      </c>
      <c r="AC4138">
        <v>26.907599999999999</v>
      </c>
      <c r="AD4138">
        <v>-1.1211064792580001</v>
      </c>
      <c r="AE4138">
        <v>-0.18450000000001399</v>
      </c>
      <c r="AF4138">
        <v>-1.86320810633648</v>
      </c>
      <c r="AG4138">
        <v>-1.1211064792580001</v>
      </c>
      <c r="AH4138">
        <v>26.7969066200321</v>
      </c>
      <c r="AI4138">
        <v>92.389932192279403</v>
      </c>
      <c r="AJ4138">
        <v>93.977415189325001</v>
      </c>
      <c r="AK4138">
        <v>26.884988908089099</v>
      </c>
      <c r="AL4138">
        <v>92.550090377386496</v>
      </c>
      <c r="AM4138">
        <v>92.647836040005402</v>
      </c>
      <c r="AN4138">
        <v>0.99999998855466199</v>
      </c>
    </row>
    <row r="4139" spans="1:40" x14ac:dyDescent="0.25">
      <c r="A4139" t="str">
        <f>"20190303153850193"</f>
        <v>20190303153850193</v>
      </c>
      <c r="B4139" t="str">
        <f>"1551598730183044"</f>
        <v>1551598730183044</v>
      </c>
      <c r="C4139" t="s">
        <v>40</v>
      </c>
      <c r="D4139">
        <v>4.5929869999999999</v>
      </c>
      <c r="E4139">
        <v>0.49204009999999998</v>
      </c>
      <c r="F4139" t="s">
        <v>57</v>
      </c>
      <c r="G4139">
        <v>-428.96</v>
      </c>
      <c r="H4139" s="1">
        <v>2.342452E-6</v>
      </c>
      <c r="I4139">
        <v>214.9915</v>
      </c>
      <c r="J4139">
        <v>-454.59160000000003</v>
      </c>
      <c r="K4139">
        <v>1.1212029999999999</v>
      </c>
      <c r="L4139">
        <v>215.17580000000001</v>
      </c>
      <c r="M4139">
        <v>0.99707630000000003</v>
      </c>
      <c r="N4139">
        <v>-9.9580190000000002E-3</v>
      </c>
      <c r="O4139">
        <v>-7.5763090000000005E-2</v>
      </c>
      <c r="P4139">
        <v>0.9980289</v>
      </c>
      <c r="Q4139">
        <v>-5.5145739999999999E-2</v>
      </c>
      <c r="R4139">
        <v>-2.9960239999999999E-2</v>
      </c>
      <c r="S4139">
        <v>2.997986</v>
      </c>
      <c r="T4139">
        <v>-0.12980619999999901</v>
      </c>
      <c r="U4139">
        <v>-2.3590090000000001E-2</v>
      </c>
      <c r="V4139">
        <v>-4.5708110000000003E-2</v>
      </c>
      <c r="W4139">
        <v>-4.5246550000000003E-2</v>
      </c>
      <c r="X4139">
        <v>0.99792959999999997</v>
      </c>
      <c r="Y4139">
        <v>-6.7798629999999999E-2</v>
      </c>
      <c r="Z4139">
        <v>4.3262320000000002E-3</v>
      </c>
      <c r="AA4139">
        <v>0.99768970000000001</v>
      </c>
      <c r="AB4139">
        <v>28</v>
      </c>
      <c r="AC4139">
        <v>25.631599999999999</v>
      </c>
      <c r="AD4139">
        <v>-1.121200657548</v>
      </c>
      <c r="AE4139">
        <v>-0.18430000000000701</v>
      </c>
      <c r="AF4139">
        <v>-1.7548972008842401</v>
      </c>
      <c r="AG4139">
        <v>-1.121200657548</v>
      </c>
      <c r="AH4139">
        <v>25.523053038553801</v>
      </c>
      <c r="AI4139">
        <v>92.509408579796698</v>
      </c>
      <c r="AJ4139">
        <v>93.933314767044706</v>
      </c>
      <c r="AK4139">
        <v>25.607869718291401</v>
      </c>
      <c r="AL4139">
        <v>92.593321770756404</v>
      </c>
      <c r="AM4139">
        <v>92.622482289460194</v>
      </c>
      <c r="AN4139">
        <v>0.99999998408141699</v>
      </c>
    </row>
    <row r="4140" spans="1:40" x14ac:dyDescent="0.25">
      <c r="A4140" t="str">
        <f>"20190303153850216"</f>
        <v>20190303153850216</v>
      </c>
      <c r="B4140" t="str">
        <f>"1551598730212325"</f>
        <v>1551598730212325</v>
      </c>
      <c r="C4140" t="s">
        <v>40</v>
      </c>
      <c r="D4140">
        <v>4.5469980000000003</v>
      </c>
      <c r="E4140">
        <v>0.49249710000000002</v>
      </c>
      <c r="F4140" t="s">
        <v>57</v>
      </c>
      <c r="G4140">
        <v>-429.5163</v>
      </c>
      <c r="H4140" s="1">
        <v>2.2464440000000002E-6</v>
      </c>
      <c r="I4140">
        <v>214.96100000000001</v>
      </c>
      <c r="J4140">
        <v>-454.32170000000002</v>
      </c>
      <c r="K4140">
        <v>1.121283</v>
      </c>
      <c r="L4140">
        <v>215.1558</v>
      </c>
      <c r="M4140">
        <v>0.99710770000000004</v>
      </c>
      <c r="N4140">
        <v>-1.062753E-2</v>
      </c>
      <c r="O4140">
        <v>-7.5255989999999995E-2</v>
      </c>
      <c r="P4140">
        <v>0.99791929999999995</v>
      </c>
      <c r="Q4140">
        <v>-5.7025819999999998E-2</v>
      </c>
      <c r="R4140">
        <v>-3.0086829999999998E-2</v>
      </c>
      <c r="S4140">
        <v>2.9977109999999998</v>
      </c>
      <c r="T4140">
        <v>-0.1340374</v>
      </c>
      <c r="U4140">
        <v>-2.5680540000000002E-2</v>
      </c>
      <c r="V4140">
        <v>-4.5060799999999998E-2</v>
      </c>
      <c r="W4140">
        <v>-4.646368E-2</v>
      </c>
      <c r="X4140">
        <v>0.99790310000000004</v>
      </c>
      <c r="Y4140">
        <v>-6.6589480000000006E-2</v>
      </c>
      <c r="Z4140">
        <v>4.4024379999999998E-3</v>
      </c>
      <c r="AA4140">
        <v>0.99777070000000001</v>
      </c>
      <c r="AB4140">
        <v>28</v>
      </c>
      <c r="AC4140">
        <v>24.805399999999999</v>
      </c>
      <c r="AD4140">
        <v>-1.1212807535560001</v>
      </c>
      <c r="AE4140">
        <v>-0.19480000000001399</v>
      </c>
      <c r="AF4140">
        <v>-1.66920216489165</v>
      </c>
      <c r="AG4140">
        <v>-1.1212807535560001</v>
      </c>
      <c r="AH4140">
        <v>24.6992454313013</v>
      </c>
      <c r="AI4140">
        <v>92.593385555564197</v>
      </c>
      <c r="AJ4140">
        <v>93.866232972424996</v>
      </c>
      <c r="AK4140">
        <v>24.780965099673502</v>
      </c>
      <c r="AL4140">
        <v>92.663131650448094</v>
      </c>
      <c r="AM4140">
        <v>92.585462486908</v>
      </c>
      <c r="AN4140">
        <v>0.99999997312269495</v>
      </c>
    </row>
    <row r="4141" spans="1:40" x14ac:dyDescent="0.25">
      <c r="A4141" t="str">
        <f>"20190303153850237"</f>
        <v>20190303153850237</v>
      </c>
      <c r="B4141" t="str">
        <f>"1551598730232821"</f>
        <v>1551598730232821</v>
      </c>
      <c r="C4141" t="s">
        <v>40</v>
      </c>
      <c r="D4141">
        <v>4.5412309999999998</v>
      </c>
      <c r="E4141">
        <v>0.49280410000000002</v>
      </c>
      <c r="F4141" t="s">
        <v>57</v>
      </c>
      <c r="G4141">
        <v>-430.08330000000001</v>
      </c>
      <c r="H4141" s="1">
        <v>2.227722E-6</v>
      </c>
      <c r="I4141">
        <v>214.9161</v>
      </c>
      <c r="J4141">
        <v>-454.05520000000001</v>
      </c>
      <c r="K4141">
        <v>1.1213439999999999</v>
      </c>
      <c r="L4141">
        <v>215.13630000000001</v>
      </c>
      <c r="M4141">
        <v>0.997143</v>
      </c>
      <c r="N4141">
        <v>-1.121203E-2</v>
      </c>
      <c r="O4141">
        <v>-7.4699570000000007E-2</v>
      </c>
      <c r="P4141">
        <v>0.99780709999999995</v>
      </c>
      <c r="Q4141">
        <v>-5.8916219999999998E-2</v>
      </c>
      <c r="R4141">
        <v>-3.0168589999999999E-2</v>
      </c>
      <c r="S4141">
        <v>2.9974669999999999</v>
      </c>
      <c r="T4141">
        <v>-0.13866419999999999</v>
      </c>
      <c r="U4141">
        <v>-2.964783E-2</v>
      </c>
      <c r="V4141">
        <v>-4.4408999999999997E-2</v>
      </c>
      <c r="W4141">
        <v>-4.7775329999999998E-2</v>
      </c>
      <c r="X4141">
        <v>0.99787040000000005</v>
      </c>
      <c r="Y4141">
        <v>-6.4706100000000003E-2</v>
      </c>
      <c r="Z4141">
        <v>4.4719429999999999E-3</v>
      </c>
      <c r="AA4141">
        <v>0.99789430000000001</v>
      </c>
      <c r="AB4141">
        <v>28</v>
      </c>
      <c r="AC4141">
        <v>23.971900000000002</v>
      </c>
      <c r="AD4141">
        <v>-1.1213417722779999</v>
      </c>
      <c r="AE4141">
        <v>-0.220200000000005</v>
      </c>
      <c r="AF4141">
        <v>-1.5677883562675199</v>
      </c>
      <c r="AG4141">
        <v>-1.1213417722779999</v>
      </c>
      <c r="AH4141">
        <v>23.869141835124498</v>
      </c>
      <c r="AI4141">
        <v>92.683930114789703</v>
      </c>
      <c r="AJ4141">
        <v>93.757940336002903</v>
      </c>
      <c r="AK4141">
        <v>23.946843208356199</v>
      </c>
      <c r="AL4141">
        <v>92.738367192695804</v>
      </c>
      <c r="AM4141">
        <v>92.548197073411998</v>
      </c>
      <c r="AN4141">
        <v>0.99999998831688397</v>
      </c>
    </row>
    <row r="4142" spans="1:40" x14ac:dyDescent="0.25">
      <c r="A4142" t="str">
        <f>"20190303153850261"</f>
        <v>20190303153850261</v>
      </c>
      <c r="B4142" t="str">
        <f>"1551598730252340"</f>
        <v>1551598730252340</v>
      </c>
      <c r="C4142" t="s">
        <v>40</v>
      </c>
      <c r="D4142">
        <v>4.6197689999999998</v>
      </c>
      <c r="E4142">
        <v>0.4930523</v>
      </c>
      <c r="F4142" t="s">
        <v>57</v>
      </c>
      <c r="G4142">
        <v>-430.46010000000001</v>
      </c>
      <c r="H4142" s="1">
        <v>2.3978050000000001E-6</v>
      </c>
      <c r="I4142">
        <v>214.8818</v>
      </c>
      <c r="J4142">
        <v>-453.7697</v>
      </c>
      <c r="K4142">
        <v>1.121402</v>
      </c>
      <c r="L4142">
        <v>215.1156</v>
      </c>
      <c r="M4142">
        <v>0.99718609999999996</v>
      </c>
      <c r="N4142">
        <v>-1.176026E-2</v>
      </c>
      <c r="O4142">
        <v>-7.4038889999999996E-2</v>
      </c>
      <c r="P4142">
        <v>0.99770619999999999</v>
      </c>
      <c r="Q4142">
        <v>-6.062787E-2</v>
      </c>
      <c r="R4142">
        <v>-3.011231E-2</v>
      </c>
      <c r="S4142">
        <v>2.9971920000000001</v>
      </c>
      <c r="T4142">
        <v>-0.14243939999999999</v>
      </c>
      <c r="U4142">
        <v>-3.233337E-2</v>
      </c>
      <c r="V4142">
        <v>-4.3790799999999998E-2</v>
      </c>
      <c r="W4142">
        <v>-4.894457E-2</v>
      </c>
      <c r="X4142">
        <v>0.99784110000000004</v>
      </c>
      <c r="Y4142">
        <v>-6.3145989999999999E-2</v>
      </c>
      <c r="Z4142">
        <v>4.513937E-3</v>
      </c>
      <c r="AA4142">
        <v>0.9979941</v>
      </c>
      <c r="AB4142">
        <v>28</v>
      </c>
      <c r="AC4142">
        <v>23.3095999999999</v>
      </c>
      <c r="AD4142">
        <v>-1.1213996021949999</v>
      </c>
      <c r="AE4142">
        <v>-0.23380000000000201</v>
      </c>
      <c r="AF4142">
        <v>-1.48933123597878</v>
      </c>
      <c r="AG4142">
        <v>-1.1213996021949999</v>
      </c>
      <c r="AH4142">
        <v>23.209214480045901</v>
      </c>
      <c r="AI4142">
        <v>92.760539900996406</v>
      </c>
      <c r="AJ4142">
        <v>93.671626044576499</v>
      </c>
      <c r="AK4142">
        <v>23.283970481407099</v>
      </c>
      <c r="AL4142">
        <v>92.805438064057498</v>
      </c>
      <c r="AM4142">
        <v>92.512844112762394</v>
      </c>
      <c r="AN4142">
        <v>1.00000003297316</v>
      </c>
    </row>
    <row r="4143" spans="1:40" x14ac:dyDescent="0.25">
      <c r="A4143" t="str">
        <f>"20190303153850283"</f>
        <v>20190303153850283</v>
      </c>
      <c r="B4143" t="str">
        <f>"1551598730272840"</f>
        <v>1551598730272840</v>
      </c>
      <c r="C4143" t="s">
        <v>40</v>
      </c>
      <c r="D4143">
        <v>4.5342019999999996</v>
      </c>
      <c r="E4143">
        <v>0.49299929999999997</v>
      </c>
      <c r="F4143" t="s">
        <v>57</v>
      </c>
      <c r="G4143">
        <v>-430.94</v>
      </c>
      <c r="H4143" s="1">
        <v>2.6128779999999998E-6</v>
      </c>
      <c r="I4143">
        <v>214.8562</v>
      </c>
      <c r="J4143">
        <v>-453.49419999999998</v>
      </c>
      <c r="K4143">
        <v>1.121462</v>
      </c>
      <c r="L4143">
        <v>215.0959</v>
      </c>
      <c r="M4143">
        <v>0.99723269999999997</v>
      </c>
      <c r="N4143">
        <v>-1.2220979999999999E-2</v>
      </c>
      <c r="O4143">
        <v>-7.3332519999999998E-2</v>
      </c>
      <c r="P4143">
        <v>0.99766730000000003</v>
      </c>
      <c r="Q4143">
        <v>-6.1346489999999997E-2</v>
      </c>
      <c r="R4143">
        <v>-2.9945449999999998E-2</v>
      </c>
      <c r="S4143">
        <v>2.9969480000000002</v>
      </c>
      <c r="T4143">
        <v>-0.14721110000000001</v>
      </c>
      <c r="U4143">
        <v>-3.4057619999999997E-2</v>
      </c>
      <c r="V4143">
        <v>-4.3242580000000003E-2</v>
      </c>
      <c r="W4143">
        <v>-4.9207750000000001E-2</v>
      </c>
      <c r="X4143">
        <v>0.99785199999999996</v>
      </c>
      <c r="Y4143">
        <v>-6.1857629999999997E-2</v>
      </c>
      <c r="Z4143">
        <v>4.597098E-3</v>
      </c>
      <c r="AA4143">
        <v>0.99807440000000003</v>
      </c>
      <c r="AB4143">
        <v>28</v>
      </c>
      <c r="AC4143">
        <v>22.554199999999899</v>
      </c>
      <c r="AD4143">
        <v>-1.121459387122</v>
      </c>
      <c r="AE4143">
        <v>-0.239699999999999</v>
      </c>
      <c r="AF4143">
        <v>-1.4115358334124899</v>
      </c>
      <c r="AG4143">
        <v>-1.121459387122</v>
      </c>
      <c r="AH4143">
        <v>22.4555319367837</v>
      </c>
      <c r="AI4143">
        <v>92.853430258814001</v>
      </c>
      <c r="AJ4143">
        <v>93.596832091110898</v>
      </c>
      <c r="AK4143">
        <v>22.527783271549001</v>
      </c>
      <c r="AL4143">
        <v>92.820535540089594</v>
      </c>
      <c r="AM4143">
        <v>92.481398145933198</v>
      </c>
      <c r="AN4143">
        <v>0.99999996864455798</v>
      </c>
    </row>
    <row r="4144" spans="1:40" x14ac:dyDescent="0.25">
      <c r="A4144" t="str">
        <f>"20190303153850305"</f>
        <v>20190303153850305</v>
      </c>
      <c r="B4144" t="str">
        <f>"1551598730303092"</f>
        <v>1551598730303092</v>
      </c>
      <c r="C4144" t="s">
        <v>40</v>
      </c>
      <c r="D4144">
        <v>4.5557059999999998</v>
      </c>
      <c r="E4144">
        <v>0.49274879999999999</v>
      </c>
      <c r="F4144" t="s">
        <v>57</v>
      </c>
      <c r="G4144">
        <v>-431.02640000000002</v>
      </c>
      <c r="H4144" s="1">
        <v>2.651948E-6</v>
      </c>
      <c r="I4144">
        <v>214.84719999999999</v>
      </c>
      <c r="J4144">
        <v>-453.23099999999999</v>
      </c>
      <c r="K4144">
        <v>1.121523</v>
      </c>
      <c r="L4144">
        <v>215.07740000000001</v>
      </c>
      <c r="M4144">
        <v>0.99728240000000001</v>
      </c>
      <c r="N4144">
        <v>-1.260441E-2</v>
      </c>
      <c r="O4144">
        <v>-7.2587230000000003E-2</v>
      </c>
      <c r="P4144">
        <v>0.99767729999999999</v>
      </c>
      <c r="Q4144">
        <v>-6.1478280000000003E-2</v>
      </c>
      <c r="R4144">
        <v>-2.933496E-2</v>
      </c>
      <c r="S4144">
        <v>2.996826</v>
      </c>
      <c r="T4144">
        <v>-0.14958369999999999</v>
      </c>
      <c r="U4144">
        <v>-3.3172609999999998E-2</v>
      </c>
      <c r="V4144">
        <v>-4.3102250000000002E-2</v>
      </c>
      <c r="W4144">
        <v>-4.8961989999999997E-2</v>
      </c>
      <c r="X4144">
        <v>0.99787020000000004</v>
      </c>
      <c r="Y4144">
        <v>-6.1403119999999999E-2</v>
      </c>
      <c r="Z4144">
        <v>4.6215470000000002E-3</v>
      </c>
      <c r="AA4144">
        <v>0.99810239999999995</v>
      </c>
      <c r="AB4144">
        <v>27</v>
      </c>
      <c r="AC4144">
        <v>22.2045999999999</v>
      </c>
      <c r="AD4144">
        <v>-1.121520348052</v>
      </c>
      <c r="AE4144">
        <v>-0.230200000000024</v>
      </c>
      <c r="AF4144">
        <v>-1.37878877582709</v>
      </c>
      <c r="AG4144">
        <v>-1.121520348052</v>
      </c>
      <c r="AH4144">
        <v>22.106337816646601</v>
      </c>
      <c r="AI4144">
        <v>92.898672527506093</v>
      </c>
      <c r="AJ4144">
        <v>93.568957409746005</v>
      </c>
      <c r="AK4144">
        <v>22.177669806432299</v>
      </c>
      <c r="AL4144">
        <v>92.806437424068207</v>
      </c>
      <c r="AM4144">
        <v>92.473310521110307</v>
      </c>
      <c r="AN4144">
        <v>1.00000000823393</v>
      </c>
    </row>
    <row r="4145" spans="1:40" x14ac:dyDescent="0.25">
      <c r="A4145" t="str">
        <f>"20190303153850326"</f>
        <v>20190303153850326</v>
      </c>
      <c r="B4145" t="str">
        <f>"1551598730322613"</f>
        <v>1551598730322613</v>
      </c>
      <c r="C4145" t="s">
        <v>40</v>
      </c>
      <c r="D4145">
        <v>4.5653100000000002</v>
      </c>
      <c r="E4145">
        <v>0.4925947</v>
      </c>
      <c r="F4145" t="s">
        <v>57</v>
      </c>
      <c r="G4145">
        <v>-431.04070000000002</v>
      </c>
      <c r="H4145" s="1">
        <v>2.657242E-6</v>
      </c>
      <c r="I4145">
        <v>214.8595</v>
      </c>
      <c r="J4145">
        <v>-452.96530000000001</v>
      </c>
      <c r="K4145">
        <v>1.121599</v>
      </c>
      <c r="L4145">
        <v>215.059</v>
      </c>
      <c r="M4145">
        <v>0.99733799999999995</v>
      </c>
      <c r="N4145">
        <v>-1.294208E-2</v>
      </c>
      <c r="O4145">
        <v>-7.1760329999999997E-2</v>
      </c>
      <c r="P4145">
        <v>0.99764180000000002</v>
      </c>
      <c r="Q4145">
        <v>-6.2357990000000002E-2</v>
      </c>
      <c r="R4145">
        <v>-2.8678519999999999E-2</v>
      </c>
      <c r="S4145">
        <v>2.996826</v>
      </c>
      <c r="T4145">
        <v>-0.15146319999999999</v>
      </c>
      <c r="U4145">
        <v>-2.9418949999999999E-2</v>
      </c>
      <c r="V4145">
        <v>-4.2919810000000003E-2</v>
      </c>
      <c r="W4145">
        <v>-4.9511029999999998E-2</v>
      </c>
      <c r="X4145">
        <v>0.99785100000000004</v>
      </c>
      <c r="Y4145">
        <v>-6.1822330000000002E-2</v>
      </c>
      <c r="Z4145">
        <v>4.6544630000000002E-3</v>
      </c>
      <c r="AA4145">
        <v>0.99807630000000003</v>
      </c>
      <c r="AB4145">
        <v>27</v>
      </c>
      <c r="AC4145">
        <v>21.924600000000002</v>
      </c>
      <c r="AD4145">
        <v>-1.121596342758</v>
      </c>
      <c r="AE4145">
        <v>-0.19950000000002799</v>
      </c>
      <c r="AF4145">
        <v>-1.37087529209416</v>
      </c>
      <c r="AG4145">
        <v>-1.121596342758</v>
      </c>
      <c r="AH4145">
        <v>21.82527138423</v>
      </c>
      <c r="AI4145">
        <v>92.936054888356793</v>
      </c>
      <c r="AJ4145">
        <v>93.594105050328693</v>
      </c>
      <c r="AK4145">
        <v>21.897026017654799</v>
      </c>
      <c r="AL4145">
        <v>92.837933222274202</v>
      </c>
      <c r="AM4145">
        <v>92.462901924597404</v>
      </c>
      <c r="AN4145">
        <v>1.0000000351915399</v>
      </c>
    </row>
    <row r="4146" spans="1:40" x14ac:dyDescent="0.25">
      <c r="A4146" t="str">
        <f>"20190303153850350"</f>
        <v>20190303153850350</v>
      </c>
      <c r="B4146" t="str">
        <f>"1551598730343109"</f>
        <v>1551598730343109</v>
      </c>
      <c r="C4146" t="s">
        <v>40</v>
      </c>
      <c r="D4146">
        <v>4.5922020000000003</v>
      </c>
      <c r="E4146">
        <v>0.49241990000000002</v>
      </c>
      <c r="F4146" t="s">
        <v>57</v>
      </c>
      <c r="G4146">
        <v>-431.2688</v>
      </c>
      <c r="H4146" s="1">
        <v>2.757589E-6</v>
      </c>
      <c r="I4146">
        <v>214.86850000000001</v>
      </c>
      <c r="J4146">
        <v>-452.6789</v>
      </c>
      <c r="K4146">
        <v>1.121678</v>
      </c>
      <c r="L4146">
        <v>215.0394</v>
      </c>
      <c r="M4146">
        <v>0.99740419999999996</v>
      </c>
      <c r="N4146">
        <v>-1.3256489999999999E-2</v>
      </c>
      <c r="O4146">
        <v>-7.0777160000000006E-2</v>
      </c>
      <c r="P4146">
        <v>0.99762519999999999</v>
      </c>
      <c r="Q4146">
        <v>-6.3179899999999997E-2</v>
      </c>
      <c r="R4146">
        <v>-2.742526E-2</v>
      </c>
      <c r="S4146">
        <v>2.996613</v>
      </c>
      <c r="T4146">
        <v>-0.15490889999999999</v>
      </c>
      <c r="U4146">
        <v>-2.630615E-2</v>
      </c>
      <c r="V4146">
        <v>-4.3177060000000003E-2</v>
      </c>
      <c r="W4146">
        <v>-5.0027410000000001E-2</v>
      </c>
      <c r="X4146">
        <v>0.99781410000000004</v>
      </c>
      <c r="Y4146">
        <v>-6.1868479999999997E-2</v>
      </c>
      <c r="Z4146">
        <v>4.7237210000000002E-3</v>
      </c>
      <c r="AA4146">
        <v>0.99807319999999999</v>
      </c>
      <c r="AB4146">
        <v>27</v>
      </c>
      <c r="AC4146">
        <v>21.4101</v>
      </c>
      <c r="AD4146">
        <v>-1.1216752424109999</v>
      </c>
      <c r="AE4146">
        <v>-0.17089999999998801</v>
      </c>
      <c r="AF4146">
        <v>-1.3413263743233901</v>
      </c>
      <c r="AG4146">
        <v>-1.1216752424109999</v>
      </c>
      <c r="AH4146">
        <v>21.310008049379899</v>
      </c>
      <c r="AI4146">
        <v>93.007104503728797</v>
      </c>
      <c r="AJ4146">
        <v>93.601645164243095</v>
      </c>
      <c r="AK4146">
        <v>21.3816218949014</v>
      </c>
      <c r="AL4146">
        <v>92.867556458747103</v>
      </c>
      <c r="AM4146">
        <v>92.4777370778163</v>
      </c>
      <c r="AN4146">
        <v>0.99999998921017996</v>
      </c>
    </row>
    <row r="4147" spans="1:40" x14ac:dyDescent="0.25">
      <c r="A4147" t="str">
        <f>"20190303153850374"</f>
        <v>20190303153850374</v>
      </c>
      <c r="B4147" t="str">
        <f>"1551598730362628"</f>
        <v>1551598730362628</v>
      </c>
      <c r="C4147" t="s">
        <v>40</v>
      </c>
      <c r="D4147">
        <v>4.5501319999999996</v>
      </c>
      <c r="E4147">
        <v>0.49226700000000001</v>
      </c>
      <c r="F4147" t="s">
        <v>57</v>
      </c>
      <c r="G4147">
        <v>-431.42230000000001</v>
      </c>
      <c r="H4147" s="1">
        <v>2.8238800000000001E-6</v>
      </c>
      <c r="I4147">
        <v>214.88919999999999</v>
      </c>
      <c r="J4147">
        <v>-452.3947</v>
      </c>
      <c r="K4147">
        <v>1.1217649999999999</v>
      </c>
      <c r="L4147">
        <v>215.0205</v>
      </c>
      <c r="M4147">
        <v>0.99747660000000005</v>
      </c>
      <c r="N4147">
        <v>-1.352162E-2</v>
      </c>
      <c r="O4147">
        <v>-6.9697399999999896E-2</v>
      </c>
      <c r="P4147">
        <v>0.99767220000000001</v>
      </c>
      <c r="Q4147">
        <v>-6.3032409999999997E-2</v>
      </c>
      <c r="R4147">
        <v>-2.6029569999999998E-2</v>
      </c>
      <c r="S4147">
        <v>2.9965820000000001</v>
      </c>
      <c r="T4147">
        <v>-0.15812470000000001</v>
      </c>
      <c r="U4147">
        <v>-2.1179199999999999E-2</v>
      </c>
      <c r="V4147">
        <v>-4.3486730000000001E-2</v>
      </c>
      <c r="W4147">
        <v>-4.962308E-2</v>
      </c>
      <c r="X4147">
        <v>0.99782090000000001</v>
      </c>
      <c r="Y4147">
        <v>-6.2488879999999997E-2</v>
      </c>
      <c r="Z4147">
        <v>4.8005720000000003E-3</v>
      </c>
      <c r="AA4147">
        <v>0.99803410000000004</v>
      </c>
      <c r="AB4147">
        <v>27</v>
      </c>
      <c r="AC4147">
        <v>20.9724</v>
      </c>
      <c r="AD4147">
        <v>-1.1217621761199901</v>
      </c>
      <c r="AE4147">
        <v>-0.13130000000000999</v>
      </c>
      <c r="AF4147">
        <v>-1.32707814622285</v>
      </c>
      <c r="AG4147">
        <v>-1.1217621761199901</v>
      </c>
      <c r="AH4147">
        <v>20.8708342651388</v>
      </c>
      <c r="AI4147">
        <v>93.070375139857902</v>
      </c>
      <c r="AJ4147">
        <v>93.638271012218993</v>
      </c>
      <c r="AK4147">
        <v>20.943046810548999</v>
      </c>
      <c r="AL4147">
        <v>92.844361081379404</v>
      </c>
      <c r="AM4147">
        <v>92.495468274674593</v>
      </c>
      <c r="AN4147">
        <v>1.0000000471157899</v>
      </c>
    </row>
    <row r="4148" spans="1:40" x14ac:dyDescent="0.25">
      <c r="A4148" t="str">
        <f>"20190303153850396"</f>
        <v>20190303153850396</v>
      </c>
      <c r="B4148" t="str">
        <f>"1551598730392885"</f>
        <v>1551598730392885</v>
      </c>
      <c r="C4148" t="s">
        <v>40</v>
      </c>
      <c r="D4148">
        <v>4.5318820000000004</v>
      </c>
      <c r="E4148">
        <v>0.4920968</v>
      </c>
      <c r="F4148" t="s">
        <v>57</v>
      </c>
      <c r="G4148">
        <v>-431.17849999999999</v>
      </c>
      <c r="H4148" s="1">
        <v>2.7140370000000002E-6</v>
      </c>
      <c r="I4148">
        <v>214.90889999999999</v>
      </c>
      <c r="J4148">
        <v>-452.12459999999999</v>
      </c>
      <c r="K4148">
        <v>1.1218549999999901</v>
      </c>
      <c r="L4148">
        <v>215.00280000000001</v>
      </c>
      <c r="M4148">
        <v>0.99755000000000005</v>
      </c>
      <c r="N4148">
        <v>-1.3739060000000001E-2</v>
      </c>
      <c r="O4148">
        <v>-6.859635E-2</v>
      </c>
      <c r="P4148">
        <v>0.99779370000000001</v>
      </c>
      <c r="Q4148">
        <v>-6.1774830000000003E-2</v>
      </c>
      <c r="R4148">
        <v>-2.4322880000000002E-2</v>
      </c>
      <c r="S4148">
        <v>2.9965519999999999</v>
      </c>
      <c r="T4148">
        <v>-0.15843670000000001</v>
      </c>
      <c r="U4148">
        <v>-1.5762330000000001E-2</v>
      </c>
      <c r="V4148">
        <v>-4.4092720000000002E-2</v>
      </c>
      <c r="W4148">
        <v>-4.8155049999999998E-2</v>
      </c>
      <c r="X4148">
        <v>0.99786620000000004</v>
      </c>
      <c r="Y4148">
        <v>-6.3190620000000003E-2</v>
      </c>
      <c r="Z4148">
        <v>4.7832949999999999E-3</v>
      </c>
      <c r="AA4148">
        <v>0.99799000000000004</v>
      </c>
      <c r="AB4148">
        <v>27</v>
      </c>
      <c r="AC4148">
        <v>20.946100000000001</v>
      </c>
      <c r="AD4148">
        <v>-1.12185228596299</v>
      </c>
      <c r="AE4148">
        <v>-9.3900000000019204E-2</v>
      </c>
      <c r="AF4148">
        <v>-1.3394405000985601</v>
      </c>
      <c r="AG4148">
        <v>-1.12185228596299</v>
      </c>
      <c r="AH4148">
        <v>20.843404369200901</v>
      </c>
      <c r="AI4148">
        <v>93.074522274306801</v>
      </c>
      <c r="AJ4148">
        <v>93.676890096438896</v>
      </c>
      <c r="AK4148">
        <v>20.916504466637001</v>
      </c>
      <c r="AL4148">
        <v>92.760148543158394</v>
      </c>
      <c r="AM4148">
        <v>92.530083167689995</v>
      </c>
      <c r="AN4148">
        <v>1.0000000149499699</v>
      </c>
    </row>
    <row r="4149" spans="1:40" x14ac:dyDescent="0.25">
      <c r="A4149" t="str">
        <f>"20190303153850417"</f>
        <v>20190303153850417</v>
      </c>
      <c r="B4149" t="str">
        <f>"1551598730412405"</f>
        <v>1551598730412405</v>
      </c>
      <c r="C4149" t="s">
        <v>40</v>
      </c>
      <c r="D4149">
        <v>4.53017</v>
      </c>
      <c r="E4149">
        <v>0.49199219999999999</v>
      </c>
      <c r="F4149" t="s">
        <v>57</v>
      </c>
      <c r="G4149">
        <v>-430.49889999999999</v>
      </c>
      <c r="H4149" s="1">
        <v>2.4104210000000002E-6</v>
      </c>
      <c r="I4149">
        <v>214.93459999999999</v>
      </c>
      <c r="J4149">
        <v>-451.87369999999999</v>
      </c>
      <c r="K4149">
        <v>1.121931</v>
      </c>
      <c r="L4149">
        <v>214.98679999999999</v>
      </c>
      <c r="M4149">
        <v>0.9976218</v>
      </c>
      <c r="N4149">
        <v>-1.391439E-2</v>
      </c>
      <c r="O4149">
        <v>-6.7505460000000003E-2</v>
      </c>
      <c r="P4149">
        <v>0.99795630000000002</v>
      </c>
      <c r="Q4149">
        <v>-5.9604690000000002E-2</v>
      </c>
      <c r="R4149">
        <v>-2.3035630000000001E-2</v>
      </c>
      <c r="S4149">
        <v>2.9967649999999999</v>
      </c>
      <c r="T4149">
        <v>-0.15545989999999901</v>
      </c>
      <c r="U4149">
        <v>-9.4604489999999992E-3</v>
      </c>
      <c r="V4149">
        <v>-4.4297450000000002E-2</v>
      </c>
      <c r="W4149">
        <v>-4.5813800000000002E-2</v>
      </c>
      <c r="X4149">
        <v>0.99796739999999995</v>
      </c>
      <c r="Y4149">
        <v>-6.4204010000000006E-2</v>
      </c>
      <c r="Z4149">
        <v>4.6692920000000002E-3</v>
      </c>
      <c r="AA4149">
        <v>0.99792590000000003</v>
      </c>
      <c r="AB4149">
        <v>27</v>
      </c>
      <c r="AC4149">
        <v>21.3748</v>
      </c>
      <c r="AD4149">
        <v>-1.1219285895790001</v>
      </c>
      <c r="AE4149">
        <v>-5.2199999999999101E-2</v>
      </c>
      <c r="AF4149">
        <v>-1.3871529854284199</v>
      </c>
      <c r="AG4149">
        <v>-1.1219285895790001</v>
      </c>
      <c r="AH4149">
        <v>21.270954945023</v>
      </c>
      <c r="AI4149">
        <v>93.0128588483784</v>
      </c>
      <c r="AJ4149">
        <v>93.731173821633803</v>
      </c>
      <c r="AK4149">
        <v>21.3456422118965</v>
      </c>
      <c r="AL4149">
        <v>92.625856369412901</v>
      </c>
      <c r="AM4149">
        <v>92.541557984735903</v>
      </c>
      <c r="AN4149">
        <v>1.00000004990484</v>
      </c>
    </row>
    <row r="4150" spans="1:40" x14ac:dyDescent="0.25">
      <c r="A4150" t="str">
        <f>"20190303153850439"</f>
        <v>20190303153850439</v>
      </c>
      <c r="B4150" t="str">
        <f>"1551598730432901"</f>
        <v>1551598730432901</v>
      </c>
      <c r="C4150" t="s">
        <v>40</v>
      </c>
      <c r="D4150">
        <v>4.5238800000000001</v>
      </c>
      <c r="E4150">
        <v>0.49190469999999997</v>
      </c>
      <c r="F4150" t="s">
        <v>57</v>
      </c>
      <c r="G4150">
        <v>-429.34859999999998</v>
      </c>
      <c r="H4150" s="1">
        <v>2.277131E-6</v>
      </c>
      <c r="I4150">
        <v>214.9502</v>
      </c>
      <c r="J4150">
        <v>-451.60379999999998</v>
      </c>
      <c r="K4150">
        <v>1.122009</v>
      </c>
      <c r="L4150">
        <v>214.9699</v>
      </c>
      <c r="M4150">
        <v>0.99770340000000002</v>
      </c>
      <c r="N4150">
        <v>-1.407751E-2</v>
      </c>
      <c r="O4150">
        <v>-6.6254980000000005E-2</v>
      </c>
      <c r="P4150">
        <v>0.99813379999999996</v>
      </c>
      <c r="Q4150">
        <v>-5.7170659999999998E-2</v>
      </c>
      <c r="R4150">
        <v>-2.1456300000000001E-2</v>
      </c>
      <c r="S4150">
        <v>2.997131</v>
      </c>
      <c r="T4150">
        <v>-0.14928039999999901</v>
      </c>
      <c r="U4150">
        <v>-4.8675539999999996E-3</v>
      </c>
      <c r="V4150">
        <v>-4.4635719999999997E-2</v>
      </c>
      <c r="W4150">
        <v>-4.3221299999999997E-2</v>
      </c>
      <c r="X4150">
        <v>0.99806790000000001</v>
      </c>
      <c r="Y4150">
        <v>-6.4496239999999996E-2</v>
      </c>
      <c r="Z4150">
        <v>4.4228130000000003E-3</v>
      </c>
      <c r="AA4150">
        <v>0.99790820000000002</v>
      </c>
      <c r="AB4150">
        <v>27</v>
      </c>
      <c r="AC4150">
        <v>22.255199999999999</v>
      </c>
      <c r="AD4150">
        <v>-1.1220067228690001</v>
      </c>
      <c r="AE4150">
        <v>-1.97000000000002E-2</v>
      </c>
      <c r="AF4150">
        <v>-1.4513184306828399</v>
      </c>
      <c r="AG4150">
        <v>-1.1220067228690001</v>
      </c>
      <c r="AH4150">
        <v>22.151292482513998</v>
      </c>
      <c r="AI4150">
        <v>92.893473161847197</v>
      </c>
      <c r="AJ4150">
        <v>93.748573209732697</v>
      </c>
      <c r="AK4150">
        <v>22.227122686467698</v>
      </c>
      <c r="AL4150">
        <v>92.477169790524897</v>
      </c>
      <c r="AM4150">
        <v>92.560682892638297</v>
      </c>
      <c r="AN4150">
        <v>0.99999998064200901</v>
      </c>
    </row>
    <row r="4151" spans="1:40" x14ac:dyDescent="0.25">
      <c r="A4151" t="str">
        <f>"20190303153850473"</f>
        <v>20190303153850473</v>
      </c>
      <c r="B4151" t="str">
        <f>"1551598730462180"</f>
        <v>1551598730462180</v>
      </c>
      <c r="C4151" t="s">
        <v>40</v>
      </c>
      <c r="D4151">
        <v>4.5286460000000002</v>
      </c>
      <c r="E4151">
        <v>0.4917532</v>
      </c>
      <c r="F4151" t="s">
        <v>57</v>
      </c>
      <c r="G4151">
        <v>-427.94760000000002</v>
      </c>
      <c r="H4151" s="1">
        <v>2.5233620000000001E-6</v>
      </c>
      <c r="I4151">
        <v>214.97620000000001</v>
      </c>
      <c r="J4151">
        <v>-451.19200000000001</v>
      </c>
      <c r="K4151">
        <v>1.1221129999999999</v>
      </c>
      <c r="L4151">
        <v>214.94499999999999</v>
      </c>
      <c r="M4151">
        <v>0.99783469999999996</v>
      </c>
      <c r="N4151">
        <v>-1.428426E-2</v>
      </c>
      <c r="O4151">
        <v>-6.4202110000000007E-2</v>
      </c>
      <c r="P4151">
        <v>0.99822940000000004</v>
      </c>
      <c r="Q4151">
        <v>-5.6030660000000003E-2</v>
      </c>
      <c r="R4151">
        <v>-1.9970970000000001E-2</v>
      </c>
      <c r="S4151">
        <v>2.9974980000000002</v>
      </c>
      <c r="T4151">
        <v>-0.14217050000000001</v>
      </c>
      <c r="U4151">
        <v>7.9345700000000002E-4</v>
      </c>
      <c r="V4151">
        <v>-4.4067130000000003E-2</v>
      </c>
      <c r="W4151">
        <v>-4.1880699999999903E-2</v>
      </c>
      <c r="X4151">
        <v>0.99815030000000005</v>
      </c>
      <c r="Y4151">
        <v>-6.4343529999999996E-2</v>
      </c>
      <c r="Z4151">
        <v>4.1095259999999996E-3</v>
      </c>
      <c r="AA4151">
        <v>0.99791929999999995</v>
      </c>
      <c r="AB4151">
        <v>27</v>
      </c>
      <c r="AC4151">
        <v>23.244399999999899</v>
      </c>
      <c r="AD4151">
        <v>-1.1221104766379999</v>
      </c>
      <c r="AE4151">
        <v>3.1200000000012499E-2</v>
      </c>
      <c r="AF4151">
        <v>-1.5200849537710801</v>
      </c>
      <c r="AG4151">
        <v>-1.1221104766379999</v>
      </c>
      <c r="AH4151">
        <v>23.140504712010301</v>
      </c>
      <c r="AI4151">
        <v>92.770204527602999</v>
      </c>
      <c r="AJ4151">
        <v>93.758323478750697</v>
      </c>
      <c r="AK4151">
        <v>23.217509524387701</v>
      </c>
      <c r="AL4151">
        <v>92.400289472308103</v>
      </c>
      <c r="AM4151">
        <v>92.527897917543896</v>
      </c>
      <c r="AN4151">
        <v>0.99999996318450701</v>
      </c>
    </row>
    <row r="4152" spans="1:40" x14ac:dyDescent="0.25">
      <c r="A4152" t="str">
        <f>"20190303153850494"</f>
        <v>20190303153850494</v>
      </c>
      <c r="B4152" t="str">
        <f>"1551598730482677"</f>
        <v>1551598730482677</v>
      </c>
      <c r="C4152" t="s">
        <v>40</v>
      </c>
      <c r="D4152">
        <v>4.46183</v>
      </c>
      <c r="E4152">
        <v>0.49186210000000002</v>
      </c>
      <c r="F4152" t="s">
        <v>57</v>
      </c>
      <c r="G4152">
        <v>-427.10449999999997</v>
      </c>
      <c r="H4152" s="1">
        <v>2.6711129999999999E-6</v>
      </c>
      <c r="I4152">
        <v>214.99690000000001</v>
      </c>
      <c r="J4152">
        <v>-450.94209999999998</v>
      </c>
      <c r="K4152">
        <v>1.122182</v>
      </c>
      <c r="L4152">
        <v>214.93039999999999</v>
      </c>
      <c r="M4152">
        <v>0.99791779999999997</v>
      </c>
      <c r="N4152">
        <v>-1.4388E-2</v>
      </c>
      <c r="O4152">
        <v>-6.2876230000000005E-2</v>
      </c>
      <c r="P4152">
        <v>0.99826510000000002</v>
      </c>
      <c r="Q4152">
        <v>-5.5779000000000002E-2</v>
      </c>
      <c r="R4152">
        <v>-1.8873729999999998E-2</v>
      </c>
      <c r="S4152">
        <v>2.9976500000000001</v>
      </c>
      <c r="T4152">
        <v>-0.13964489999999999</v>
      </c>
      <c r="U4152">
        <v>6.4544679999999997E-3</v>
      </c>
      <c r="V4152">
        <v>-4.3835510000000001E-2</v>
      </c>
      <c r="W4152">
        <v>-4.1529629999999998E-2</v>
      </c>
      <c r="X4152">
        <v>0.99817520000000004</v>
      </c>
      <c r="Y4152">
        <v>-6.4906870000000005E-2</v>
      </c>
      <c r="Z4152">
        <v>3.9995909999999898E-3</v>
      </c>
      <c r="AA4152">
        <v>0.99788330000000003</v>
      </c>
      <c r="AB4152">
        <v>27</v>
      </c>
      <c r="AC4152">
        <v>23.837599999999998</v>
      </c>
      <c r="AD4152">
        <v>-1.1221793288869999</v>
      </c>
      <c r="AE4152">
        <v>6.6500000000019099E-2</v>
      </c>
      <c r="AF4152">
        <v>-1.5618803598726001</v>
      </c>
      <c r="AG4152">
        <v>-1.1221793288869999</v>
      </c>
      <c r="AH4152">
        <v>23.733644904075302</v>
      </c>
      <c r="AI4152">
        <v>92.701221126082402</v>
      </c>
      <c r="AJ4152">
        <v>93.765131804968703</v>
      </c>
      <c r="AK4152">
        <v>23.811439627571399</v>
      </c>
      <c r="AL4152">
        <v>92.380157048073897</v>
      </c>
      <c r="AM4152">
        <v>92.514565556824806</v>
      </c>
      <c r="AN4152">
        <v>0.99999999599996803</v>
      </c>
    </row>
    <row r="4153" spans="1:40" x14ac:dyDescent="0.25">
      <c r="A4153" t="str">
        <f>"20190303153850607"</f>
        <v>20190303153850607</v>
      </c>
      <c r="B4153" t="str">
        <f>"1551598730602725"</f>
        <v>1551598730602725</v>
      </c>
      <c r="C4153" t="s">
        <v>40</v>
      </c>
      <c r="D4153">
        <v>4.4452170000000004</v>
      </c>
      <c r="E4153">
        <v>0.49186210000000002</v>
      </c>
      <c r="F4153" t="s">
        <v>57</v>
      </c>
      <c r="G4153">
        <v>-426.45100000000002</v>
      </c>
      <c r="H4153" s="1">
        <v>2.78644E-6</v>
      </c>
      <c r="I4153">
        <v>215.0035</v>
      </c>
      <c r="J4153">
        <v>-449.60899999999998</v>
      </c>
      <c r="K4153">
        <v>1.1224229999999999</v>
      </c>
      <c r="L4153">
        <v>214.85929999999999</v>
      </c>
      <c r="M4153">
        <v>0.9983765</v>
      </c>
      <c r="N4153">
        <v>-1.474252E-2</v>
      </c>
      <c r="O4153">
        <v>-5.5018909999999997E-2</v>
      </c>
      <c r="P4153">
        <v>0.9983379</v>
      </c>
      <c r="Q4153">
        <v>-5.5655370000000003E-2</v>
      </c>
      <c r="R4153">
        <v>-1.4977600000000001E-2</v>
      </c>
      <c r="S4153">
        <v>2.9977109999999998</v>
      </c>
      <c r="T4153">
        <v>-0.1373547</v>
      </c>
      <c r="U4153">
        <v>8.9569090000000007E-3</v>
      </c>
      <c r="V4153">
        <v>-3.9861149999999998E-2</v>
      </c>
      <c r="W4153">
        <v>-4.1055800000000003E-2</v>
      </c>
      <c r="X4153">
        <v>0.99836139999999995</v>
      </c>
      <c r="Y4153">
        <v>-5.7901210000000002E-2</v>
      </c>
      <c r="Z4153">
        <v>3.4605059999999999E-3</v>
      </c>
      <c r="AA4153">
        <v>0.99831630000000005</v>
      </c>
      <c r="AB4153">
        <v>27</v>
      </c>
      <c r="AC4153">
        <v>23.158000000000001</v>
      </c>
      <c r="AD4153">
        <v>-1.1224202135600001</v>
      </c>
      <c r="AE4153">
        <v>0.14420000000001201</v>
      </c>
      <c r="AF4153">
        <v>-1.4149241727997699</v>
      </c>
      <c r="AG4153">
        <v>-1.1224202135600001</v>
      </c>
      <c r="AH4153">
        <v>23.060809686866399</v>
      </c>
      <c r="AI4153">
        <v>92.781290261313401</v>
      </c>
      <c r="AJ4153">
        <v>93.511051132243495</v>
      </c>
      <c r="AK4153">
        <v>23.1314241015215</v>
      </c>
      <c r="AL4153">
        <v>92.352985433609604</v>
      </c>
      <c r="AM4153">
        <v>92.286409732772498</v>
      </c>
      <c r="AN4153">
        <v>0.99999998750146102</v>
      </c>
    </row>
    <row r="4154" spans="1:40" x14ac:dyDescent="0.25">
      <c r="A4154" t="str">
        <f>"20190303153850629"</f>
        <v>20190303153850629</v>
      </c>
      <c r="B4154" t="str">
        <f>"1551598730622245"</f>
        <v>1551598730622245</v>
      </c>
      <c r="C4154" t="s">
        <v>40</v>
      </c>
      <c r="D4154">
        <v>4.3844390000000004</v>
      </c>
      <c r="E4154">
        <v>0.51428850000000004</v>
      </c>
      <c r="F4154" t="s">
        <v>57</v>
      </c>
      <c r="G4154">
        <v>-425.03219999999999</v>
      </c>
      <c r="H4154" s="1">
        <v>3.0359419999999999E-6</v>
      </c>
      <c r="I4154">
        <v>215.02850000000001</v>
      </c>
      <c r="J4154">
        <v>-449.34249999999997</v>
      </c>
      <c r="K4154">
        <v>1.122449</v>
      </c>
      <c r="L4154">
        <v>214.84649999999999</v>
      </c>
      <c r="M4154">
        <v>0.99846769999999996</v>
      </c>
      <c r="N4154">
        <v>-1.4770780000000001E-2</v>
      </c>
      <c r="O4154">
        <v>-5.3329210000000002E-2</v>
      </c>
      <c r="P4154">
        <v>0.99830209999999997</v>
      </c>
      <c r="Q4154">
        <v>-5.6705510000000001E-2</v>
      </c>
      <c r="R4154">
        <v>-1.332509E-2</v>
      </c>
      <c r="S4154">
        <v>2.997681</v>
      </c>
      <c r="T4154">
        <v>-0.13690329999999901</v>
      </c>
      <c r="U4154">
        <v>2.0645139999999999E-2</v>
      </c>
      <c r="V4154">
        <v>-3.9816610000000002E-2</v>
      </c>
      <c r="W4154">
        <v>-4.2080119999999999E-2</v>
      </c>
      <c r="X4154">
        <v>0.99832050000000006</v>
      </c>
      <c r="Y4154">
        <v>-6.0102530000000001E-2</v>
      </c>
      <c r="Z4154">
        <v>3.4616820000000002E-3</v>
      </c>
      <c r="AA4154">
        <v>0.99818620000000002</v>
      </c>
      <c r="AB4154">
        <v>27</v>
      </c>
      <c r="AC4154">
        <v>24.310299999999899</v>
      </c>
      <c r="AD4154">
        <v>-1.122445964058</v>
      </c>
      <c r="AE4154">
        <v>0.18200000000001601</v>
      </c>
      <c r="AF4154">
        <v>-1.47518689047476</v>
      </c>
      <c r="AG4154">
        <v>-1.122445964058</v>
      </c>
      <c r="AH4154">
        <v>24.214373791017199</v>
      </c>
      <c r="AI4154">
        <v>92.649114692206894</v>
      </c>
      <c r="AJ4154">
        <v>93.486261856636304</v>
      </c>
      <c r="AK4154">
        <v>24.2852210077479</v>
      </c>
      <c r="AL4154">
        <v>92.411725486798701</v>
      </c>
      <c r="AM4154">
        <v>92.283951121899904</v>
      </c>
      <c r="AN4154">
        <v>0.99999995982567702</v>
      </c>
    </row>
    <row r="4155" spans="1:40" x14ac:dyDescent="0.25">
      <c r="A4155" t="str">
        <f>"20190303153850651"</f>
        <v>20190303153850651</v>
      </c>
      <c r="B4155" t="str">
        <f>"1551598730642740"</f>
        <v>1551598730642740</v>
      </c>
      <c r="C4155" t="s">
        <v>40</v>
      </c>
      <c r="D4155">
        <v>4.4602700000000004</v>
      </c>
      <c r="E4155">
        <v>0.51057759999999996</v>
      </c>
      <c r="F4155" t="s">
        <v>51</v>
      </c>
      <c r="G4155">
        <v>-202.42400000000001</v>
      </c>
      <c r="H4155">
        <v>8.0001939999999994E-2</v>
      </c>
      <c r="I4155">
        <v>202.45189999999999</v>
      </c>
      <c r="J4155">
        <v>-449.07350000000002</v>
      </c>
      <c r="K4155">
        <v>1.1224419999999999</v>
      </c>
      <c r="L4155">
        <v>214.83410000000001</v>
      </c>
      <c r="M4155">
        <v>0.99856</v>
      </c>
      <c r="N4155">
        <v>-1.470774E-2</v>
      </c>
      <c r="O4155">
        <v>-5.1594849999999998E-2</v>
      </c>
      <c r="P4155">
        <v>0.99829590000000001</v>
      </c>
      <c r="Q4155">
        <v>-5.7336459999999999E-2</v>
      </c>
      <c r="R4155">
        <v>-1.0875269999999999E-2</v>
      </c>
      <c r="S4155">
        <v>3.00238</v>
      </c>
      <c r="T4155">
        <v>-1.2675519999999999E-2</v>
      </c>
      <c r="U4155">
        <v>-0.15071109999999999</v>
      </c>
      <c r="V4155">
        <v>-4.0526109999999997E-2</v>
      </c>
      <c r="W4155">
        <v>-4.2778410000000003E-2</v>
      </c>
      <c r="X4155">
        <v>0.99826230000000005</v>
      </c>
      <c r="Y4155">
        <v>-1.465357E-3</v>
      </c>
      <c r="Z4155">
        <v>-5.2749579999999995E-4</v>
      </c>
      <c r="AA4155">
        <v>0.99999879999999997</v>
      </c>
      <c r="AB4155">
        <v>27</v>
      </c>
      <c r="AC4155">
        <v>246.64949999999999</v>
      </c>
      <c r="AD4155">
        <v>-1.0424400599999999</v>
      </c>
      <c r="AE4155">
        <v>-12.382199999999999</v>
      </c>
      <c r="AF4155">
        <v>-0.36150690898357801</v>
      </c>
      <c r="AG4155">
        <v>-1.0424400599999999</v>
      </c>
      <c r="AH4155">
        <v>246.95544281382399</v>
      </c>
      <c r="AI4155">
        <v>90.241853333612895</v>
      </c>
      <c r="AJ4155">
        <v>90.083872641633704</v>
      </c>
      <c r="AK4155">
        <v>246.95790755490299</v>
      </c>
      <c r="AL4155">
        <v>92.451770549791107</v>
      </c>
      <c r="AM4155">
        <v>92.324740417703396</v>
      </c>
      <c r="AN4155">
        <v>0.99999998877757501</v>
      </c>
    </row>
    <row r="4156" spans="1:40" x14ac:dyDescent="0.25">
      <c r="A4156" t="str">
        <f>"20190303153850673"</f>
        <v>20190303153850673</v>
      </c>
      <c r="B4156" t="str">
        <f>"1551598730662264"</f>
        <v>1551598730662264</v>
      </c>
      <c r="C4156" t="s">
        <v>40</v>
      </c>
      <c r="D4156">
        <v>4.4518050000000002</v>
      </c>
      <c r="E4156">
        <v>0.50772799999999996</v>
      </c>
      <c r="F4156" t="s">
        <v>55</v>
      </c>
      <c r="G4156">
        <v>-352.64839999999998</v>
      </c>
      <c r="H4156" s="1">
        <v>2.3112350000000001E-8</v>
      </c>
      <c r="I4156">
        <v>211.17230000000001</v>
      </c>
      <c r="J4156">
        <v>-448.81380000000001</v>
      </c>
      <c r="K4156">
        <v>1.1224080000000001</v>
      </c>
      <c r="L4156">
        <v>214.82259999999999</v>
      </c>
      <c r="M4156">
        <v>0.99864830000000004</v>
      </c>
      <c r="N4156">
        <v>-1.4529739999999999E-2</v>
      </c>
      <c r="O4156">
        <v>-4.990518E-2</v>
      </c>
      <c r="P4156">
        <v>0.99834440000000002</v>
      </c>
      <c r="Q4156">
        <v>-5.6939099999999999E-2</v>
      </c>
      <c r="R4156">
        <v>-8.1800629999999996E-3</v>
      </c>
      <c r="S4156">
        <v>3.0018919999999998</v>
      </c>
      <c r="T4156">
        <v>-3.4943699999999897E-2</v>
      </c>
      <c r="U4156">
        <v>-0.1139984</v>
      </c>
      <c r="V4156">
        <v>-4.1531319999999997E-2</v>
      </c>
      <c r="W4156">
        <v>-4.2563330000000003E-2</v>
      </c>
      <c r="X4156">
        <v>0.99823019999999996</v>
      </c>
      <c r="Y4156">
        <v>-1.1971600000000001E-2</v>
      </c>
      <c r="Z4156" s="1">
        <v>1.1751889999999899E-5</v>
      </c>
      <c r="AA4156">
        <v>0.99992840000000005</v>
      </c>
      <c r="AB4156">
        <v>27</v>
      </c>
      <c r="AC4156">
        <v>96.165400000000005</v>
      </c>
      <c r="AD4156">
        <v>-1.12240797688764</v>
      </c>
      <c r="AE4156">
        <v>-3.6502999999999801</v>
      </c>
      <c r="AF4156">
        <v>-1.15375053137865</v>
      </c>
      <c r="AG4156">
        <v>-1.12240797688764</v>
      </c>
      <c r="AH4156">
        <v>96.214648685379998</v>
      </c>
      <c r="AI4156">
        <v>90.668315078105707</v>
      </c>
      <c r="AJ4156">
        <v>90.6870249876511</v>
      </c>
      <c r="AK4156">
        <v>96.228112117022903</v>
      </c>
      <c r="AL4156">
        <v>92.4394360874374</v>
      </c>
      <c r="AM4156">
        <v>92.382414185073401</v>
      </c>
      <c r="AN4156">
        <v>1.00000000989683</v>
      </c>
    </row>
    <row r="4157" spans="1:40" x14ac:dyDescent="0.25">
      <c r="A4157" t="str">
        <f>"20190303153850695"</f>
        <v>20190303153850695</v>
      </c>
      <c r="B4157" t="str">
        <f>"1551598730692517"</f>
        <v>1551598730692517</v>
      </c>
      <c r="C4157" t="s">
        <v>40</v>
      </c>
      <c r="D4157">
        <v>4.4933180000000004</v>
      </c>
      <c r="E4157">
        <v>0.50430710000000001</v>
      </c>
      <c r="F4157" t="s">
        <v>55</v>
      </c>
      <c r="G4157">
        <v>-380.39949999999999</v>
      </c>
      <c r="H4157" s="1">
        <v>-1.2501520000000001E-6</v>
      </c>
      <c r="I4157">
        <v>212.9229</v>
      </c>
      <c r="J4157">
        <v>-448.55919999999998</v>
      </c>
      <c r="K4157">
        <v>1.1223639999999999</v>
      </c>
      <c r="L4157">
        <v>214.81180000000001</v>
      </c>
      <c r="M4157">
        <v>0.99873339999999999</v>
      </c>
      <c r="N4157">
        <v>-1.4278870000000001E-2</v>
      </c>
      <c r="O4157">
        <v>-4.8246839999999999E-2</v>
      </c>
      <c r="P4157">
        <v>0.99839330000000004</v>
      </c>
      <c r="Q4157">
        <v>-5.640005E-2</v>
      </c>
      <c r="R4157">
        <v>-5.4892539999999998E-3</v>
      </c>
      <c r="S4157">
        <v>3.001465</v>
      </c>
      <c r="T4157">
        <v>-4.9242260000000003E-2</v>
      </c>
      <c r="U4157">
        <v>-8.3343509999999996E-2</v>
      </c>
      <c r="V4157">
        <v>-4.2565680000000002E-2</v>
      </c>
      <c r="W4157">
        <v>-4.2278589999999998E-2</v>
      </c>
      <c r="X4157">
        <v>0.99819869999999999</v>
      </c>
      <c r="Y4157">
        <v>-2.0503319999999998E-2</v>
      </c>
      <c r="Z4157">
        <v>4.1643170000000001E-4</v>
      </c>
      <c r="AA4157">
        <v>0.9997897</v>
      </c>
      <c r="AB4157">
        <v>27</v>
      </c>
      <c r="AC4157">
        <v>68.159699999999901</v>
      </c>
      <c r="AD4157">
        <v>-1.1223652501519901</v>
      </c>
      <c r="AE4157">
        <v>-1.8889</v>
      </c>
      <c r="AF4157">
        <v>-1.40174573699717</v>
      </c>
      <c r="AG4157">
        <v>-1.1223652501519901</v>
      </c>
      <c r="AH4157">
        <v>68.152985057423294</v>
      </c>
      <c r="AI4157">
        <v>90.943280555777406</v>
      </c>
      <c r="AJ4157">
        <v>91.178272565123393</v>
      </c>
      <c r="AK4157">
        <v>68.176637986214203</v>
      </c>
      <c r="AL4157">
        <v>92.423107059566306</v>
      </c>
      <c r="AM4157">
        <v>92.441755517100205</v>
      </c>
      <c r="AN4157">
        <v>0.99999998048396999</v>
      </c>
    </row>
    <row r="4158" spans="1:40" x14ac:dyDescent="0.25">
      <c r="A4158" t="str">
        <f>"20190303153850717"</f>
        <v>20190303153850717</v>
      </c>
      <c r="B4158" t="str">
        <f>"1551598730713013"</f>
        <v>1551598730713013</v>
      </c>
      <c r="C4158" t="s">
        <v>40</v>
      </c>
      <c r="D4158">
        <v>4.5172720000000002</v>
      </c>
      <c r="E4158">
        <v>0.50275159999999997</v>
      </c>
      <c r="F4158" t="s">
        <v>55</v>
      </c>
      <c r="G4158">
        <v>-397.37329999999997</v>
      </c>
      <c r="H4158" s="1">
        <v>2.3868869999999998E-6</v>
      </c>
      <c r="I4158">
        <v>213.9862</v>
      </c>
      <c r="J4158">
        <v>-448.2903</v>
      </c>
      <c r="K4158">
        <v>1.122306</v>
      </c>
      <c r="L4158">
        <v>214.80080000000001</v>
      </c>
      <c r="M4158">
        <v>0.99882130000000002</v>
      </c>
      <c r="N4158">
        <v>-1.396786E-2</v>
      </c>
      <c r="O4158">
        <v>-4.648774E-2</v>
      </c>
      <c r="P4158">
        <v>0.99843000000000004</v>
      </c>
      <c r="Q4158">
        <v>-5.5938549999999997E-2</v>
      </c>
      <c r="R4158">
        <v>-2.9682810000000001E-3</v>
      </c>
      <c r="S4158">
        <v>3.0008240000000002</v>
      </c>
      <c r="T4158">
        <v>-6.5799469999999999E-2</v>
      </c>
      <c r="U4158">
        <v>-4.840088E-2</v>
      </c>
      <c r="V4158">
        <v>-4.3329409999999999E-2</v>
      </c>
      <c r="W4158">
        <v>-4.2129409999999999E-2</v>
      </c>
      <c r="X4158">
        <v>0.99817219999999995</v>
      </c>
      <c r="Y4158">
        <v>-3.036316E-2</v>
      </c>
      <c r="Z4158">
        <v>9.1419859999999995E-4</v>
      </c>
      <c r="AA4158">
        <v>0.9995385</v>
      </c>
      <c r="AB4158">
        <v>27</v>
      </c>
      <c r="AC4158">
        <v>50.917000000000002</v>
      </c>
      <c r="AD4158">
        <v>-1.122303613113</v>
      </c>
      <c r="AE4158">
        <v>-0.81460000000001198</v>
      </c>
      <c r="AF4158">
        <v>-1.5527736161194099</v>
      </c>
      <c r="AG4158">
        <v>-1.122303613113</v>
      </c>
      <c r="AH4158">
        <v>50.875102551728702</v>
      </c>
      <c r="AI4158">
        <v>91.263150616422706</v>
      </c>
      <c r="AJ4158">
        <v>91.748198232346098</v>
      </c>
      <c r="AK4158">
        <v>50.911165091282697</v>
      </c>
      <c r="AL4158">
        <v>92.4145519259651</v>
      </c>
      <c r="AM4158">
        <v>92.485577889038495</v>
      </c>
      <c r="AN4158">
        <v>1.00000003290536</v>
      </c>
    </row>
    <row r="4159" spans="1:40" x14ac:dyDescent="0.25">
      <c r="A4159" t="str">
        <f>"20190303153850740"</f>
        <v>20190303153850740</v>
      </c>
      <c r="B4159" t="str">
        <f>"1551598730732533"</f>
        <v>1551598730732533</v>
      </c>
      <c r="C4159" t="s">
        <v>40</v>
      </c>
      <c r="D4159">
        <v>4.5252790000000003</v>
      </c>
      <c r="E4159">
        <v>0.50148320000000002</v>
      </c>
      <c r="F4159" t="s">
        <v>57</v>
      </c>
      <c r="G4159">
        <v>-403.57769999999999</v>
      </c>
      <c r="H4159" s="1">
        <v>6.8661290000000004E-6</v>
      </c>
      <c r="I4159">
        <v>214.37219999999999</v>
      </c>
      <c r="J4159">
        <v>-448.0179</v>
      </c>
      <c r="K4159">
        <v>1.1222479999999999</v>
      </c>
      <c r="L4159">
        <v>214.7901</v>
      </c>
      <c r="M4159">
        <v>0.99890749999999995</v>
      </c>
      <c r="N4159">
        <v>-1.363611E-2</v>
      </c>
      <c r="O4159">
        <v>-4.4700400000000001E-2</v>
      </c>
      <c r="P4159">
        <v>0.99844409999999895</v>
      </c>
      <c r="Q4159">
        <v>-5.5762270000000003E-2</v>
      </c>
      <c r="R4159">
        <v>-4.5575900000000003E-4</v>
      </c>
      <c r="S4159">
        <v>3.0004270000000002</v>
      </c>
      <c r="T4159">
        <v>-7.5311660000000002E-2</v>
      </c>
      <c r="U4159">
        <v>-2.8762820000000001E-2</v>
      </c>
      <c r="V4159">
        <v>-4.4054950000000002E-2</v>
      </c>
      <c r="W4159">
        <v>-4.2285629999999998E-2</v>
      </c>
      <c r="X4159">
        <v>0.99813379999999996</v>
      </c>
      <c r="Y4159">
        <v>-3.5106289999999998E-2</v>
      </c>
      <c r="Z4159">
        <v>1.191697E-3</v>
      </c>
      <c r="AA4159">
        <v>0.99938289999999996</v>
      </c>
      <c r="AB4159">
        <v>27</v>
      </c>
      <c r="AC4159">
        <v>44.440199999999997</v>
      </c>
      <c r="AD4159">
        <v>-1.1222411338710001</v>
      </c>
      <c r="AE4159">
        <v>-0.41790000000000299</v>
      </c>
      <c r="AF4159">
        <v>-1.56819700350039</v>
      </c>
      <c r="AG4159">
        <v>-1.1222411338710001</v>
      </c>
      <c r="AH4159">
        <v>44.386150221116402</v>
      </c>
      <c r="AI4159">
        <v>91.447431591966804</v>
      </c>
      <c r="AJ4159">
        <v>92.023462529098495</v>
      </c>
      <c r="AK4159">
        <v>44.428020420179102</v>
      </c>
      <c r="AL4159">
        <v>92.423510740641902</v>
      </c>
      <c r="AM4159">
        <v>92.527241844031195</v>
      </c>
      <c r="AN4159">
        <v>0.99999999791321903</v>
      </c>
    </row>
    <row r="4160" spans="1:40" x14ac:dyDescent="0.25">
      <c r="A4160" t="str">
        <f>"20190303153850763"</f>
        <v>20190303153850763</v>
      </c>
      <c r="B4160" t="str">
        <f>"1551598730753028"</f>
        <v>1551598730753028</v>
      </c>
      <c r="C4160" t="s">
        <v>40</v>
      </c>
      <c r="D4160">
        <v>4.5420369999999997</v>
      </c>
      <c r="E4160">
        <v>0.50065000000000004</v>
      </c>
      <c r="F4160" t="s">
        <v>57</v>
      </c>
      <c r="G4160">
        <v>-408.32709999999997</v>
      </c>
      <c r="H4160" s="1">
        <v>4.7047320000000001E-6</v>
      </c>
      <c r="I4160">
        <v>214.6395</v>
      </c>
      <c r="J4160">
        <v>-447.74540000000002</v>
      </c>
      <c r="K4160">
        <v>1.1221989999999999</v>
      </c>
      <c r="L4160">
        <v>214.7799</v>
      </c>
      <c r="M4160">
        <v>0.99899020000000005</v>
      </c>
      <c r="N4160">
        <v>-1.3302069999999999E-2</v>
      </c>
      <c r="O4160">
        <v>-4.2913159999999999E-2</v>
      </c>
      <c r="P4160">
        <v>0.99846400000000002</v>
      </c>
      <c r="Q4160">
        <v>-5.5377990000000002E-2</v>
      </c>
      <c r="R4160">
        <v>1.730231E-3</v>
      </c>
      <c r="S4160">
        <v>2.9999690000000001</v>
      </c>
      <c r="T4160">
        <v>-8.4823129999999997E-2</v>
      </c>
      <c r="U4160">
        <v>-1.138306E-2</v>
      </c>
      <c r="V4160">
        <v>-4.4456269999999999E-2</v>
      </c>
      <c r="W4160">
        <v>-4.2235050000000003E-2</v>
      </c>
      <c r="X4160">
        <v>0.99811819999999896</v>
      </c>
      <c r="Y4160">
        <v>-3.9098000000000001E-2</v>
      </c>
      <c r="Z4160">
        <v>1.4546239999999901E-3</v>
      </c>
      <c r="AA4160">
        <v>0.99923430000000002</v>
      </c>
      <c r="AB4160">
        <v>27</v>
      </c>
      <c r="AC4160">
        <v>39.418300000000002</v>
      </c>
      <c r="AD4160">
        <v>-1.122194295268</v>
      </c>
      <c r="AE4160">
        <v>-0.140399999999999</v>
      </c>
      <c r="AF4160">
        <v>-1.5501865577698399</v>
      </c>
      <c r="AG4160">
        <v>-1.122194295268</v>
      </c>
      <c r="AH4160">
        <v>39.356110417778901</v>
      </c>
      <c r="AI4160">
        <v>91.632015977620298</v>
      </c>
      <c r="AJ4160">
        <v>92.255641005950807</v>
      </c>
      <c r="AK4160">
        <v>39.4026119136362</v>
      </c>
      <c r="AL4160">
        <v>92.420610001958707</v>
      </c>
      <c r="AM4160">
        <v>92.550273384297199</v>
      </c>
      <c r="AN4160">
        <v>1.00000005028102</v>
      </c>
    </row>
    <row r="4161" spans="1:40" x14ac:dyDescent="0.25">
      <c r="A4161" t="str">
        <f>"20190303153850787"</f>
        <v>20190303153850787</v>
      </c>
      <c r="B4161" t="str">
        <f>"1551598730782308"</f>
        <v>1551598730782308</v>
      </c>
      <c r="C4161" t="s">
        <v>40</v>
      </c>
      <c r="D4161">
        <v>4.5482769999999997</v>
      </c>
      <c r="E4161">
        <v>0.49975700000000001</v>
      </c>
      <c r="F4161" t="s">
        <v>57</v>
      </c>
      <c r="G4161">
        <v>-410.58010000000002</v>
      </c>
      <c r="H4161" s="1">
        <v>2.2925029999999999E-6</v>
      </c>
      <c r="I4161">
        <v>214.80099999999999</v>
      </c>
      <c r="J4161">
        <v>-447.47480000000002</v>
      </c>
      <c r="K4161">
        <v>1.1221650000000001</v>
      </c>
      <c r="L4161">
        <v>214.77019999999999</v>
      </c>
      <c r="M4161">
        <v>0.99906919999999999</v>
      </c>
      <c r="N4161">
        <v>-1.296664E-2</v>
      </c>
      <c r="O4161">
        <v>-4.1145910000000001E-2</v>
      </c>
      <c r="P4161">
        <v>0.9985195</v>
      </c>
      <c r="Q4161">
        <v>-5.4296749999999998E-2</v>
      </c>
      <c r="R4161">
        <v>3.3378230000000002E-3</v>
      </c>
      <c r="S4161">
        <v>2.999603</v>
      </c>
      <c r="T4161">
        <v>-9.0572239999999998E-2</v>
      </c>
      <c r="U4161">
        <v>1.708984E-3</v>
      </c>
      <c r="V4161">
        <v>-4.4302500000000002E-2</v>
      </c>
      <c r="W4161">
        <v>-4.1487160000000002E-2</v>
      </c>
      <c r="X4161">
        <v>0.99815640000000005</v>
      </c>
      <c r="Y4161">
        <v>-4.1685359999999998E-2</v>
      </c>
      <c r="Z4161">
        <v>1.6078139999999999E-3</v>
      </c>
      <c r="AA4161">
        <v>0.9991295</v>
      </c>
      <c r="AB4161">
        <v>27</v>
      </c>
      <c r="AC4161">
        <v>36.8947</v>
      </c>
      <c r="AD4161">
        <v>-1.12216270749699</v>
      </c>
      <c r="AE4161">
        <v>3.07999999999992E-2</v>
      </c>
      <c r="AF4161">
        <v>-1.5475356525295501</v>
      </c>
      <c r="AG4161">
        <v>-1.12216270749699</v>
      </c>
      <c r="AH4161">
        <v>36.828113748818701</v>
      </c>
      <c r="AI4161">
        <v>91.743740242516097</v>
      </c>
      <c r="AJ4161">
        <v>92.406181595648505</v>
      </c>
      <c r="AK4161">
        <v>36.877690790420601</v>
      </c>
      <c r="AL4161">
        <v>92.377721475027897</v>
      </c>
      <c r="AM4161">
        <v>92.541366682161794</v>
      </c>
      <c r="AN4161">
        <v>1.00000004740603</v>
      </c>
    </row>
    <row r="4162" spans="1:40" x14ac:dyDescent="0.25">
      <c r="A4162" t="str">
        <f>"20190303153850807"</f>
        <v>20190303153850807</v>
      </c>
      <c r="B4162" t="str">
        <f>"1551598730802806"</f>
        <v>1551598730802806</v>
      </c>
      <c r="C4162" t="s">
        <v>40</v>
      </c>
      <c r="D4162">
        <v>4.5155960000000004</v>
      </c>
      <c r="E4162">
        <v>0.4994191</v>
      </c>
      <c r="F4162" t="s">
        <v>57</v>
      </c>
      <c r="G4162">
        <v>-411.28629999999998</v>
      </c>
      <c r="H4162" s="1">
        <v>2.4062349999999998E-6</v>
      </c>
      <c r="I4162">
        <v>214.9331</v>
      </c>
      <c r="J4162">
        <v>-447.233</v>
      </c>
      <c r="K4162">
        <v>1.122136</v>
      </c>
      <c r="L4162">
        <v>214.7619</v>
      </c>
      <c r="M4162">
        <v>0.99913649999999998</v>
      </c>
      <c r="N4162">
        <v>-1.2653920000000001E-2</v>
      </c>
      <c r="O4162">
        <v>-3.9574369999999998E-2</v>
      </c>
      <c r="P4162">
        <v>0.99858179999999996</v>
      </c>
      <c r="Q4162">
        <v>-5.30768E-2</v>
      </c>
      <c r="R4162">
        <v>4.1962500000000003E-3</v>
      </c>
      <c r="S4162">
        <v>2.99939</v>
      </c>
      <c r="T4162">
        <v>-9.3007679999999995E-2</v>
      </c>
      <c r="U4162">
        <v>1.350403E-2</v>
      </c>
      <c r="V4162">
        <v>-4.35959E-2</v>
      </c>
      <c r="W4162">
        <v>-4.0576429999999997E-2</v>
      </c>
      <c r="X4162">
        <v>0.99822489999999997</v>
      </c>
      <c r="Y4162">
        <v>-4.403936E-2</v>
      </c>
      <c r="Z4162">
        <v>1.6872180000000001E-3</v>
      </c>
      <c r="AA4162">
        <v>0.99902840000000004</v>
      </c>
      <c r="AB4162">
        <v>27</v>
      </c>
      <c r="AC4162">
        <v>35.9467</v>
      </c>
      <c r="AD4162">
        <v>-1.1221335937649899</v>
      </c>
      <c r="AE4162">
        <v>0.17119999999999799</v>
      </c>
      <c r="AF4162">
        <v>-1.5921962567239101</v>
      </c>
      <c r="AG4162">
        <v>-1.1221335937649899</v>
      </c>
      <c r="AH4162">
        <v>35.876799886246303</v>
      </c>
      <c r="AI4162">
        <v>91.789719442105493</v>
      </c>
      <c r="AJ4162">
        <v>92.541093557020403</v>
      </c>
      <c r="AK4162">
        <v>35.929640170755199</v>
      </c>
      <c r="AL4162">
        <v>92.325496618834293</v>
      </c>
      <c r="AM4162">
        <v>92.500713792677701</v>
      </c>
      <c r="AN4162">
        <v>1.00000000007418</v>
      </c>
    </row>
    <row r="4163" spans="1:40" x14ac:dyDescent="0.25">
      <c r="A4163" t="str">
        <f>"20190303153850831"</f>
        <v>20190303153850831</v>
      </c>
      <c r="B4163" t="str">
        <f>"1551598730822325"</f>
        <v>1551598730822325</v>
      </c>
      <c r="C4163" t="s">
        <v>40</v>
      </c>
      <c r="D4163">
        <v>4.5244350000000004</v>
      </c>
      <c r="E4163">
        <v>0.49912030000000002</v>
      </c>
      <c r="F4163" t="s">
        <v>57</v>
      </c>
      <c r="G4163">
        <v>-410.82749999999999</v>
      </c>
      <c r="H4163" s="1">
        <v>2.3199469999999998E-6</v>
      </c>
      <c r="I4163">
        <v>214.98920000000001</v>
      </c>
      <c r="J4163">
        <v>-446.95609999999999</v>
      </c>
      <c r="K4163">
        <v>1.122101</v>
      </c>
      <c r="L4163">
        <v>214.75290000000001</v>
      </c>
      <c r="M4163">
        <v>0.99921079999999995</v>
      </c>
      <c r="N4163">
        <v>-1.227322E-2</v>
      </c>
      <c r="O4163">
        <v>-3.7779989999999999E-2</v>
      </c>
      <c r="P4163">
        <v>0.99865139999999997</v>
      </c>
      <c r="Q4163">
        <v>-5.1713629999999997E-2</v>
      </c>
      <c r="R4163">
        <v>4.61006E-3</v>
      </c>
      <c r="S4163">
        <v>2.999298</v>
      </c>
      <c r="T4163">
        <v>-9.2448119999999995E-2</v>
      </c>
      <c r="U4163">
        <v>1.8722530000000001E-2</v>
      </c>
      <c r="V4163">
        <v>-4.22224E-2</v>
      </c>
      <c r="W4163">
        <v>-3.9588310000000002E-2</v>
      </c>
      <c r="X4163">
        <v>0.99832359999999998</v>
      </c>
      <c r="Y4163">
        <v>-4.3984120000000002E-2</v>
      </c>
      <c r="Z4163">
        <v>1.648058E-3</v>
      </c>
      <c r="AA4163">
        <v>0.99903090000000005</v>
      </c>
      <c r="AB4163">
        <v>27</v>
      </c>
      <c r="AC4163">
        <v>36.128599999999999</v>
      </c>
      <c r="AD4163">
        <v>-1.122098680053</v>
      </c>
      <c r="AE4163">
        <v>0.23629999999999901</v>
      </c>
      <c r="AF4163">
        <v>-1.5996291301235199</v>
      </c>
      <c r="AG4163">
        <v>-1.122098680053</v>
      </c>
      <c r="AH4163">
        <v>36.059093031704897</v>
      </c>
      <c r="AI4163">
        <v>91.780623602281395</v>
      </c>
      <c r="AJ4163">
        <v>92.540051333704795</v>
      </c>
      <c r="AK4163">
        <v>36.111993978051999</v>
      </c>
      <c r="AL4163">
        <v>92.268836004967199</v>
      </c>
      <c r="AM4163">
        <v>92.4217843404804</v>
      </c>
      <c r="AN4163">
        <v>0.99999998783368704</v>
      </c>
    </row>
    <row r="4164" spans="1:40" x14ac:dyDescent="0.25">
      <c r="A4164" t="str">
        <f>"20190303153850852"</f>
        <v>20190303153850852</v>
      </c>
      <c r="B4164" t="str">
        <f>"1551598730842821"</f>
        <v>1551598730842821</v>
      </c>
      <c r="C4164" t="s">
        <v>40</v>
      </c>
      <c r="D4164">
        <v>4.5524639999999996</v>
      </c>
      <c r="E4164">
        <v>0.49891829999999998</v>
      </c>
      <c r="F4164" t="s">
        <v>57</v>
      </c>
      <c r="G4164">
        <v>-410.18920000000003</v>
      </c>
      <c r="H4164" s="1">
        <v>2.2035160000000002E-6</v>
      </c>
      <c r="I4164">
        <v>215.0258</v>
      </c>
      <c r="J4164">
        <v>-446.68639999999999</v>
      </c>
      <c r="K4164">
        <v>1.1220680000000001</v>
      </c>
      <c r="L4164">
        <v>214.74459999999999</v>
      </c>
      <c r="M4164">
        <v>0.9992799</v>
      </c>
      <c r="N4164">
        <v>-1.1890990000000001E-2</v>
      </c>
      <c r="O4164">
        <v>-3.6032630000000003E-2</v>
      </c>
      <c r="P4164">
        <v>0.99870320000000001</v>
      </c>
      <c r="Q4164">
        <v>-5.0649649999999997E-2</v>
      </c>
      <c r="R4164">
        <v>5.1822919999999998E-3</v>
      </c>
      <c r="S4164">
        <v>2.9992070000000002</v>
      </c>
      <c r="T4164">
        <v>-9.1533539999999997E-2</v>
      </c>
      <c r="U4164">
        <v>2.2262569999999999E-2</v>
      </c>
      <c r="V4164">
        <v>-4.1052419999999999E-2</v>
      </c>
      <c r="W4164">
        <v>-3.8901869999999998E-2</v>
      </c>
      <c r="X4164">
        <v>0.99839940000000005</v>
      </c>
      <c r="Y4164">
        <v>-4.341764E-2</v>
      </c>
      <c r="Z4164">
        <v>1.5914179999999901E-3</v>
      </c>
      <c r="AA4164">
        <v>0.99905569999999999</v>
      </c>
      <c r="AB4164">
        <v>27</v>
      </c>
      <c r="AC4164">
        <v>36.4971999999999</v>
      </c>
      <c r="AD4164">
        <v>-1.122065796484</v>
      </c>
      <c r="AE4164">
        <v>0.281200000000012</v>
      </c>
      <c r="AF4164">
        <v>-1.59469321864506</v>
      </c>
      <c r="AG4164">
        <v>-1.122065796484</v>
      </c>
      <c r="AH4164">
        <v>36.428932689133298</v>
      </c>
      <c r="AI4164">
        <v>91.762551299193703</v>
      </c>
      <c r="AJ4164">
        <v>92.506548723981197</v>
      </c>
      <c r="AK4164">
        <v>36.481080233219998</v>
      </c>
      <c r="AL4164">
        <v>92.229475518238601</v>
      </c>
      <c r="AM4164">
        <v>92.354574890989497</v>
      </c>
      <c r="AN4164">
        <v>1.0000000092988499</v>
      </c>
    </row>
    <row r="4165" spans="1:40" x14ac:dyDescent="0.25">
      <c r="A4165" t="str">
        <f>"20190303153850874"</f>
        <v>20190303153850874</v>
      </c>
      <c r="B4165" t="str">
        <f>"1551598730862344"</f>
        <v>1551598730862344</v>
      </c>
      <c r="C4165" t="s">
        <v>40</v>
      </c>
      <c r="D4165">
        <v>4.5407409999999997</v>
      </c>
      <c r="E4165">
        <v>0.49874740000000001</v>
      </c>
      <c r="F4165" t="s">
        <v>57</v>
      </c>
      <c r="G4165">
        <v>-409.85770000000002</v>
      </c>
      <c r="H4165" s="1">
        <v>3.9391540000000003E-6</v>
      </c>
      <c r="I4165">
        <v>215.0598</v>
      </c>
      <c r="J4165">
        <v>-446.4264</v>
      </c>
      <c r="K4165">
        <v>1.122039</v>
      </c>
      <c r="L4165">
        <v>214.7371</v>
      </c>
      <c r="M4165">
        <v>0.99934350000000005</v>
      </c>
      <c r="N4165">
        <v>-1.1534259999999999E-2</v>
      </c>
      <c r="O4165">
        <v>-3.4346120000000001E-2</v>
      </c>
      <c r="P4165">
        <v>0.99874160000000001</v>
      </c>
      <c r="Q4165">
        <v>-4.9807629999999999E-2</v>
      </c>
      <c r="R4165">
        <v>5.918324E-3</v>
      </c>
      <c r="S4165">
        <v>2.9991150000000002</v>
      </c>
      <c r="T4165">
        <v>-9.1374159999999996E-2</v>
      </c>
      <c r="U4165">
        <v>2.5665279999999999E-2</v>
      </c>
      <c r="V4165">
        <v>-4.0106240000000001E-2</v>
      </c>
      <c r="W4165">
        <v>-3.8412780000000001E-2</v>
      </c>
      <c r="X4165">
        <v>0.99845680000000003</v>
      </c>
      <c r="Y4165">
        <v>-4.2865840000000002E-2</v>
      </c>
      <c r="Z4165">
        <v>1.5500360000000001E-3</v>
      </c>
      <c r="AA4165">
        <v>0.99907959999999996</v>
      </c>
      <c r="AB4165">
        <v>27</v>
      </c>
      <c r="AC4165">
        <v>36.5686999999999</v>
      </c>
      <c r="AD4165">
        <v>-1.1220350608459999</v>
      </c>
      <c r="AE4165">
        <v>0.32269999999999699</v>
      </c>
      <c r="AF4165">
        <v>-1.5771013820212301</v>
      </c>
      <c r="AG4165">
        <v>-1.1220350608459999</v>
      </c>
      <c r="AH4165">
        <v>36.501675740218097</v>
      </c>
      <c r="AI4165">
        <v>91.759036254968393</v>
      </c>
      <c r="AJ4165">
        <v>92.473998408648697</v>
      </c>
      <c r="AK4165">
        <v>36.552955329097102</v>
      </c>
      <c r="AL4165">
        <v>92.201431746902202</v>
      </c>
      <c r="AM4165">
        <v>92.300233312544506</v>
      </c>
      <c r="AN4165">
        <v>1.0000000168102501</v>
      </c>
    </row>
    <row r="4166" spans="1:40" x14ac:dyDescent="0.25">
      <c r="A4166" t="str">
        <f>"20190303153850897"</f>
        <v>20190303153850897</v>
      </c>
      <c r="B4166" t="str">
        <f>"1551598730892596"</f>
        <v>1551598730892596</v>
      </c>
      <c r="C4166" t="s">
        <v>40</v>
      </c>
      <c r="D4166">
        <v>4.541499</v>
      </c>
      <c r="E4166">
        <v>0.49862190000000001</v>
      </c>
      <c r="F4166" t="s">
        <v>57</v>
      </c>
      <c r="G4166">
        <v>-409.70620000000002</v>
      </c>
      <c r="H4166" s="1">
        <v>3.9993699999999998E-6</v>
      </c>
      <c r="I4166">
        <v>215.0934</v>
      </c>
      <c r="J4166">
        <v>-446.15179999999998</v>
      </c>
      <c r="K4166">
        <v>1.122007</v>
      </c>
      <c r="L4166">
        <v>214.7296</v>
      </c>
      <c r="M4166">
        <v>0.99940720000000005</v>
      </c>
      <c r="N4166">
        <v>-1.118398E-2</v>
      </c>
      <c r="O4166">
        <v>-3.2564570000000001E-2</v>
      </c>
      <c r="P4166">
        <v>0.99873820000000002</v>
      </c>
      <c r="Q4166">
        <v>-4.9713529999999999E-2</v>
      </c>
      <c r="R4166">
        <v>7.1270989999999996E-3</v>
      </c>
      <c r="S4166">
        <v>2.9990540000000001</v>
      </c>
      <c r="T4166">
        <v>-9.1640230000000003E-2</v>
      </c>
      <c r="U4166">
        <v>2.9098510000000001E-2</v>
      </c>
      <c r="V4166">
        <v>-3.9533579999999999E-2</v>
      </c>
      <c r="W4166">
        <v>-3.8666930000000002E-2</v>
      </c>
      <c r="X4166">
        <v>0.99846979999999996</v>
      </c>
      <c r="Y4166">
        <v>-4.2229000000000003E-2</v>
      </c>
      <c r="Z4166">
        <v>1.511772E-3</v>
      </c>
      <c r="AA4166">
        <v>0.99910679999999996</v>
      </c>
      <c r="AB4166">
        <v>27</v>
      </c>
      <c r="AC4166">
        <v>36.445599999999899</v>
      </c>
      <c r="AD4166">
        <v>-1.1220030006299999</v>
      </c>
      <c r="AE4166">
        <v>0.36379999999999701</v>
      </c>
      <c r="AF4166">
        <v>-1.5490484069555499</v>
      </c>
      <c r="AG4166">
        <v>-1.1220030006299999</v>
      </c>
      <c r="AH4166">
        <v>36.379944363163197</v>
      </c>
      <c r="AI4166">
        <v>91.764915386529296</v>
      </c>
      <c r="AJ4166">
        <v>92.438166353513793</v>
      </c>
      <c r="AK4166">
        <v>36.430190688045599</v>
      </c>
      <c r="AL4166">
        <v>92.216004358372103</v>
      </c>
      <c r="AM4166">
        <v>92.267394293828701</v>
      </c>
      <c r="AN4166">
        <v>0.99999998846764004</v>
      </c>
    </row>
    <row r="4167" spans="1:40" x14ac:dyDescent="0.25">
      <c r="A4167" t="str">
        <f>"20190303153850918"</f>
        <v>20190303153850918</v>
      </c>
      <c r="B4167" t="str">
        <f>"1551598730913093"</f>
        <v>1551598730913093</v>
      </c>
      <c r="C4167" t="s">
        <v>40</v>
      </c>
      <c r="D4167">
        <v>4.5485600000000002</v>
      </c>
      <c r="E4167">
        <v>0.49863109999999999</v>
      </c>
      <c r="F4167" t="s">
        <v>57</v>
      </c>
      <c r="G4167">
        <v>-410.38749999999999</v>
      </c>
      <c r="H4167" s="1">
        <v>2.2295960000000001E-6</v>
      </c>
      <c r="I4167">
        <v>215.12989999999999</v>
      </c>
      <c r="J4167">
        <v>-445.8954</v>
      </c>
      <c r="K4167">
        <v>1.1219859999999999</v>
      </c>
      <c r="L4167">
        <v>214.72300000000001</v>
      </c>
      <c r="M4167">
        <v>0.99946310000000005</v>
      </c>
      <c r="N4167">
        <v>-1.0887269999999999E-2</v>
      </c>
      <c r="O4167">
        <v>-3.090116E-2</v>
      </c>
      <c r="P4167">
        <v>0.99871480000000001</v>
      </c>
      <c r="Q4167">
        <v>-4.9978439999999999E-2</v>
      </c>
      <c r="R4167">
        <v>8.4219059999999998E-3</v>
      </c>
      <c r="S4167">
        <v>2.9988709999999998</v>
      </c>
      <c r="T4167">
        <v>-9.4081280000000003E-2</v>
      </c>
      <c r="U4167">
        <v>3.3569340000000003E-2</v>
      </c>
      <c r="V4167">
        <v>-3.9164209999999998E-2</v>
      </c>
      <c r="W4167">
        <v>-3.9227539999999998E-2</v>
      </c>
      <c r="X4167">
        <v>0.99846250000000003</v>
      </c>
      <c r="Y4167">
        <v>-4.2054660000000001E-2</v>
      </c>
      <c r="Z4167">
        <v>1.5212069999999999E-3</v>
      </c>
      <c r="AA4167">
        <v>0.99911419999999995</v>
      </c>
      <c r="AB4167">
        <v>27</v>
      </c>
      <c r="AC4167">
        <v>35.507899999999999</v>
      </c>
      <c r="AD4167">
        <v>-1.1219837704039901</v>
      </c>
      <c r="AE4167">
        <v>0.40690000000000698</v>
      </c>
      <c r="AF4167">
        <v>-1.5025060780088899</v>
      </c>
      <c r="AG4167">
        <v>-1.1219837704039901</v>
      </c>
      <c r="AH4167">
        <v>35.442983445217699</v>
      </c>
      <c r="AI4167">
        <v>91.811524884438597</v>
      </c>
      <c r="AJ4167">
        <v>92.427440780482996</v>
      </c>
      <c r="AK4167">
        <v>35.492554819193799</v>
      </c>
      <c r="AL4167">
        <v>92.248149310543496</v>
      </c>
      <c r="AM4167">
        <v>92.246247791924105</v>
      </c>
      <c r="AN4167">
        <v>0.99999999957281205</v>
      </c>
    </row>
    <row r="4168" spans="1:40" x14ac:dyDescent="0.25">
      <c r="A4168" t="str">
        <f>"20190303153850941"</f>
        <v>20190303153850941</v>
      </c>
      <c r="B4168" t="str">
        <f>"1551598730932616"</f>
        <v>1551598730932616</v>
      </c>
      <c r="C4168" t="s">
        <v>40</v>
      </c>
      <c r="D4168">
        <v>4.5414339999999997</v>
      </c>
      <c r="E4168">
        <v>0.49880600000000003</v>
      </c>
      <c r="F4168" t="s">
        <v>57</v>
      </c>
      <c r="G4168">
        <v>-410.87119999999999</v>
      </c>
      <c r="H4168" s="1">
        <v>2.3126429999999998E-6</v>
      </c>
      <c r="I4168">
        <v>215.16120000000001</v>
      </c>
      <c r="J4168">
        <v>-445.6157</v>
      </c>
      <c r="K4168">
        <v>1.121972</v>
      </c>
      <c r="L4168">
        <v>214.71629999999999</v>
      </c>
      <c r="M4168">
        <v>0.99952050000000003</v>
      </c>
      <c r="N4168">
        <v>-1.060474E-2</v>
      </c>
      <c r="O4168">
        <v>-2.909277E-2</v>
      </c>
      <c r="P4168">
        <v>0.99870639999999999</v>
      </c>
      <c r="Q4168">
        <v>-4.9870919999999999E-2</v>
      </c>
      <c r="R4168">
        <v>9.9304249999999997E-3</v>
      </c>
      <c r="S4168">
        <v>2.9987180000000002</v>
      </c>
      <c r="T4168">
        <v>-9.6062300000000003E-2</v>
      </c>
      <c r="U4168">
        <v>3.7521359999999997E-2</v>
      </c>
      <c r="V4168">
        <v>-3.8864950000000002E-2</v>
      </c>
      <c r="W4168">
        <v>-3.9401690000000003E-2</v>
      </c>
      <c r="X4168">
        <v>0.99846729999999995</v>
      </c>
      <c r="Y4168">
        <v>-4.1563259999999998E-2</v>
      </c>
      <c r="Z4168">
        <v>1.509161E-3</v>
      </c>
      <c r="AA4168">
        <v>0.99913470000000004</v>
      </c>
      <c r="AB4168">
        <v>27</v>
      </c>
      <c r="AC4168">
        <v>34.744500000000002</v>
      </c>
      <c r="AD4168">
        <v>-1.121969687357</v>
      </c>
      <c r="AE4168">
        <v>0.444900000000018</v>
      </c>
      <c r="AF4168">
        <v>-1.45406619619711</v>
      </c>
      <c r="AG4168">
        <v>-1.121969687357</v>
      </c>
      <c r="AH4168">
        <v>34.6806892617128</v>
      </c>
      <c r="AI4168">
        <v>91.851328428646099</v>
      </c>
      <c r="AJ4168">
        <v>92.400848758849605</v>
      </c>
      <c r="AK4168">
        <v>34.729286375474999</v>
      </c>
      <c r="AL4168">
        <v>92.258135172610395</v>
      </c>
      <c r="AM4168">
        <v>92.229090528548795</v>
      </c>
      <c r="AN4168">
        <v>0.99999996334132302</v>
      </c>
    </row>
    <row r="4169" spans="1:40" x14ac:dyDescent="0.25">
      <c r="A4169" t="str">
        <f>"20190303153850964"</f>
        <v>20190303153850964</v>
      </c>
      <c r="B4169" t="str">
        <f>"1551598730953108"</f>
        <v>1551598730953108</v>
      </c>
      <c r="C4169" t="s">
        <v>40</v>
      </c>
      <c r="D4169">
        <v>4.5653499999999996</v>
      </c>
      <c r="E4169">
        <v>0.4989015</v>
      </c>
      <c r="F4169" t="s">
        <v>57</v>
      </c>
      <c r="G4169">
        <v>-410.70030000000003</v>
      </c>
      <c r="H4169" s="1">
        <v>2.2799890000000001E-6</v>
      </c>
      <c r="I4169">
        <v>215.18799999999999</v>
      </c>
      <c r="J4169">
        <v>-445.33409999999998</v>
      </c>
      <c r="K4169">
        <v>1.1219650000000001</v>
      </c>
      <c r="L4169">
        <v>214.71</v>
      </c>
      <c r="M4169">
        <v>0.99957379999999996</v>
      </c>
      <c r="N4169">
        <v>-1.0374059999999999E-2</v>
      </c>
      <c r="O4169">
        <v>-2.7288799999999998E-2</v>
      </c>
      <c r="P4169">
        <v>0.99871810000000005</v>
      </c>
      <c r="Q4169">
        <v>-4.9266200000000003E-2</v>
      </c>
      <c r="R4169">
        <v>1.162901E-2</v>
      </c>
      <c r="S4169">
        <v>2.998596</v>
      </c>
      <c r="T4169">
        <v>-9.6356629999999999E-2</v>
      </c>
      <c r="U4169">
        <v>4.0512079999999999E-2</v>
      </c>
      <c r="V4169">
        <v>-3.8763159999999998E-2</v>
      </c>
      <c r="W4169">
        <v>-3.902688E-2</v>
      </c>
      <c r="X4169">
        <v>0.99848599999999998</v>
      </c>
      <c r="Y4169">
        <v>-4.0757590000000003E-2</v>
      </c>
      <c r="Z4169">
        <v>1.4596839999999999E-3</v>
      </c>
      <c r="AA4169">
        <v>0.99916799999999995</v>
      </c>
      <c r="AB4169">
        <v>27</v>
      </c>
      <c r="AC4169">
        <v>34.633799999999901</v>
      </c>
      <c r="AD4169">
        <v>-1.1219627200109901</v>
      </c>
      <c r="AE4169">
        <v>0.47799999999998</v>
      </c>
      <c r="AF4169">
        <v>-1.4214961465549401</v>
      </c>
      <c r="AG4169">
        <v>-1.1219627200109901</v>
      </c>
      <c r="AH4169">
        <v>34.571582134190898</v>
      </c>
      <c r="AI4169">
        <v>91.857217864263006</v>
      </c>
      <c r="AJ4169">
        <v>92.354531456702603</v>
      </c>
      <c r="AK4169">
        <v>34.618979518479101</v>
      </c>
      <c r="AL4169">
        <v>92.236643558931704</v>
      </c>
      <c r="AM4169">
        <v>92.223216655832104</v>
      </c>
      <c r="AN4169">
        <v>0.99999998606585905</v>
      </c>
    </row>
    <row r="4170" spans="1:40" x14ac:dyDescent="0.25">
      <c r="A4170" t="str">
        <f>"20190303153850988"</f>
        <v>20190303153850988</v>
      </c>
      <c r="B4170" t="str">
        <f>"1551598730972629"</f>
        <v>1551598730972629</v>
      </c>
      <c r="C4170" t="s">
        <v>40</v>
      </c>
      <c r="D4170">
        <v>4.5431569999999999</v>
      </c>
      <c r="E4170">
        <v>0.49898989999999999</v>
      </c>
      <c r="F4170" t="s">
        <v>57</v>
      </c>
      <c r="G4170">
        <v>-409.93090000000001</v>
      </c>
      <c r="H4170" s="1">
        <v>3.8696059999999999E-6</v>
      </c>
      <c r="I4170">
        <v>215.23910000000001</v>
      </c>
      <c r="J4170">
        <v>-445.0591</v>
      </c>
      <c r="K4170">
        <v>1.121966</v>
      </c>
      <c r="L4170">
        <v>214.70439999999999</v>
      </c>
      <c r="M4170">
        <v>0.99962119999999999</v>
      </c>
      <c r="N4170">
        <v>-1.021793E-2</v>
      </c>
      <c r="O4170">
        <v>-2.5557320000000001E-2</v>
      </c>
      <c r="P4170">
        <v>0.99872419999999995</v>
      </c>
      <c r="Q4170">
        <v>-4.8822820000000003E-2</v>
      </c>
      <c r="R4170">
        <v>1.2899219999999999E-2</v>
      </c>
      <c r="S4170">
        <v>2.9986269999999999</v>
      </c>
      <c r="T4170">
        <v>-9.5029349999999999E-2</v>
      </c>
      <c r="U4170">
        <v>4.4815059999999997E-2</v>
      </c>
      <c r="V4170">
        <v>-3.8305560000000002E-2</v>
      </c>
      <c r="W4170">
        <v>-3.8736960000000001E-2</v>
      </c>
      <c r="X4170">
        <v>0.99851500000000004</v>
      </c>
      <c r="Y4170">
        <v>-4.0461700000000003E-2</v>
      </c>
      <c r="Z4170">
        <v>1.3963020000000001E-3</v>
      </c>
      <c r="AA4170">
        <v>0.99918010000000002</v>
      </c>
      <c r="AB4170">
        <v>27</v>
      </c>
      <c r="AC4170">
        <v>35.1281999999999</v>
      </c>
      <c r="AD4170">
        <v>-1.1219621303939999</v>
      </c>
      <c r="AE4170">
        <v>0.53470000000001505</v>
      </c>
      <c r="AF4170">
        <v>-1.43089546433311</v>
      </c>
      <c r="AG4170">
        <v>-1.1219621303939999</v>
      </c>
      <c r="AH4170">
        <v>35.067294244812302</v>
      </c>
      <c r="AI4170">
        <v>91.831004659329906</v>
      </c>
      <c r="AJ4170">
        <v>92.336616418058796</v>
      </c>
      <c r="AK4170">
        <v>35.114404259564701</v>
      </c>
      <c r="AL4170">
        <v>92.220019683291099</v>
      </c>
      <c r="AM4170">
        <v>92.1969336583999</v>
      </c>
      <c r="AN4170">
        <v>1.00000003661097</v>
      </c>
    </row>
    <row r="4171" spans="1:40" x14ac:dyDescent="0.25">
      <c r="A4171" t="str">
        <f>"20190303153851011"</f>
        <v>20190303153851011</v>
      </c>
      <c r="B4171" t="str">
        <f>"1551598731002885"</f>
        <v>1551598731002885</v>
      </c>
      <c r="C4171" t="s">
        <v>40</v>
      </c>
      <c r="D4171">
        <v>4.492146</v>
      </c>
      <c r="E4171">
        <v>0.49931249999999999</v>
      </c>
      <c r="F4171" t="s">
        <v>57</v>
      </c>
      <c r="G4171">
        <v>-409.3467</v>
      </c>
      <c r="H4171" s="1">
        <v>4.1213249999999999E-6</v>
      </c>
      <c r="I4171">
        <v>215.2747</v>
      </c>
      <c r="J4171">
        <v>-444.78379999999999</v>
      </c>
      <c r="K4171">
        <v>1.121969</v>
      </c>
      <c r="L4171">
        <v>214.69919999999999</v>
      </c>
      <c r="M4171">
        <v>0.99966319999999997</v>
      </c>
      <c r="N4171">
        <v>-1.016455E-2</v>
      </c>
      <c r="O4171">
        <v>-2.3876640000000001E-2</v>
      </c>
      <c r="P4171">
        <v>0.99871049999999995</v>
      </c>
      <c r="Q4171">
        <v>-4.8752879999999998E-2</v>
      </c>
      <c r="R4171">
        <v>1.415683E-2</v>
      </c>
      <c r="S4171">
        <v>2.998596</v>
      </c>
      <c r="T4171">
        <v>-9.4205860000000002E-2</v>
      </c>
      <c r="U4171">
        <v>4.788208E-2</v>
      </c>
      <c r="V4171">
        <v>-3.7886589999999998E-2</v>
      </c>
      <c r="W4171">
        <v>-3.8716769999999998E-2</v>
      </c>
      <c r="X4171">
        <v>0.99853179999999997</v>
      </c>
      <c r="Y4171">
        <v>-3.980504E-2</v>
      </c>
      <c r="Z4171">
        <v>1.3346829999999999E-3</v>
      </c>
      <c r="AA4171">
        <v>0.99920659999999994</v>
      </c>
      <c r="AB4171">
        <v>27</v>
      </c>
      <c r="AC4171">
        <v>35.437099999999901</v>
      </c>
      <c r="AD4171">
        <v>-1.1219648786750001</v>
      </c>
      <c r="AE4171">
        <v>0.57550000000000501</v>
      </c>
      <c r="AF4171">
        <v>-1.4200754271351099</v>
      </c>
      <c r="AG4171">
        <v>-1.1219648786750001</v>
      </c>
      <c r="AH4171">
        <v>35.377801111762501</v>
      </c>
      <c r="AI4171">
        <v>91.814998042596002</v>
      </c>
      <c r="AJ4171">
        <v>92.298635555662301</v>
      </c>
      <c r="AK4171">
        <v>35.424062879787797</v>
      </c>
      <c r="AL4171">
        <v>92.218861941649706</v>
      </c>
      <c r="AM4171">
        <v>92.172891165265597</v>
      </c>
      <c r="AN4171">
        <v>1.0000000687961399</v>
      </c>
    </row>
    <row r="4172" spans="1:40" x14ac:dyDescent="0.25">
      <c r="A4172" t="str">
        <f>"20190303153851033"</f>
        <v>20190303153851033</v>
      </c>
      <c r="B4172" t="str">
        <f>"1551598731022405"</f>
        <v>1551598731022405</v>
      </c>
      <c r="C4172" t="s">
        <v>40</v>
      </c>
      <c r="D4172">
        <v>4.4863359999999997</v>
      </c>
      <c r="E4172">
        <v>0.4995503</v>
      </c>
      <c r="F4172" t="s">
        <v>57</v>
      </c>
      <c r="G4172">
        <v>-408.73970000000003</v>
      </c>
      <c r="H4172" s="1">
        <v>4.3869719999999997E-6</v>
      </c>
      <c r="I4172">
        <v>215.29179999999999</v>
      </c>
      <c r="J4172">
        <v>-444.50779999999997</v>
      </c>
      <c r="K4172">
        <v>1.1219809999999999</v>
      </c>
      <c r="L4172">
        <v>214.6944</v>
      </c>
      <c r="M4172">
        <v>0.99969949999999996</v>
      </c>
      <c r="N4172">
        <v>-1.026433E-2</v>
      </c>
      <c r="O4172">
        <v>-2.2265900000000002E-2</v>
      </c>
      <c r="P4172">
        <v>0.99864730000000002</v>
      </c>
      <c r="Q4172">
        <v>-4.9753989999999998E-2</v>
      </c>
      <c r="R4172">
        <v>1.510411E-2</v>
      </c>
      <c r="S4172">
        <v>2.9986269999999999</v>
      </c>
      <c r="T4172">
        <v>-9.3340039999999999E-2</v>
      </c>
      <c r="U4172">
        <v>4.9301150000000002E-2</v>
      </c>
      <c r="V4172">
        <v>-3.7224399999999998E-2</v>
      </c>
      <c r="W4172">
        <v>-3.9612990000000001E-2</v>
      </c>
      <c r="X4172">
        <v>0.99852149999999995</v>
      </c>
      <c r="Y4172">
        <v>-3.8669269999999999E-2</v>
      </c>
      <c r="Z4172">
        <v>1.2645499999999999E-3</v>
      </c>
      <c r="AA4172">
        <v>0.99925120000000001</v>
      </c>
      <c r="AB4172">
        <v>27</v>
      </c>
      <c r="AC4172">
        <v>35.768099999999897</v>
      </c>
      <c r="AD4172">
        <v>-1.121976613028</v>
      </c>
      <c r="AE4172">
        <v>0.59739999999999305</v>
      </c>
      <c r="AF4172">
        <v>-1.3923330745335101</v>
      </c>
      <c r="AG4172">
        <v>-1.121976613028</v>
      </c>
      <c r="AH4172">
        <v>35.710801166350798</v>
      </c>
      <c r="AI4172">
        <v>91.798185018299506</v>
      </c>
      <c r="AJ4172">
        <v>92.232781673532699</v>
      </c>
      <c r="AK4172">
        <v>35.755541428613</v>
      </c>
      <c r="AL4172">
        <v>92.270251112178698</v>
      </c>
      <c r="AM4172">
        <v>92.134970362728694</v>
      </c>
      <c r="AN4172">
        <v>1.00000001544717</v>
      </c>
    </row>
    <row r="4173" spans="1:40" x14ac:dyDescent="0.25">
      <c r="A4173" t="str">
        <f>"20190303153851054"</f>
        <v>20190303153851054</v>
      </c>
      <c r="B4173" t="str">
        <f>"1551598731042901"</f>
        <v>1551598731042901</v>
      </c>
      <c r="C4173" t="s">
        <v>40</v>
      </c>
      <c r="D4173">
        <v>4.4559579999999999</v>
      </c>
      <c r="E4173">
        <v>0.49976569999999998</v>
      </c>
      <c r="F4173" t="s">
        <v>57</v>
      </c>
      <c r="G4173">
        <v>-409.548</v>
      </c>
      <c r="H4173" s="1">
        <v>4.0311140000000002E-6</v>
      </c>
      <c r="I4173">
        <v>215.2792</v>
      </c>
      <c r="J4173">
        <v>-444.24439999999998</v>
      </c>
      <c r="K4173">
        <v>1.1220000000000001</v>
      </c>
      <c r="L4173">
        <v>214.6902</v>
      </c>
      <c r="M4173">
        <v>0.99972890000000003</v>
      </c>
      <c r="N4173">
        <v>-1.0472749999999999E-2</v>
      </c>
      <c r="O4173">
        <v>-2.0797039999999999E-2</v>
      </c>
      <c r="P4173">
        <v>0.99856920000000005</v>
      </c>
      <c r="Q4173">
        <v>-5.0952989999999997E-2</v>
      </c>
      <c r="R4173">
        <v>1.6240649999999999E-2</v>
      </c>
      <c r="S4173">
        <v>2.9985050000000002</v>
      </c>
      <c r="T4173">
        <v>-9.6232059999999994E-2</v>
      </c>
      <c r="U4173">
        <v>5.0155640000000001E-2</v>
      </c>
      <c r="V4173">
        <v>-3.6894879999999998E-2</v>
      </c>
      <c r="W4173">
        <v>-4.0599169999999997E-2</v>
      </c>
      <c r="X4173">
        <v>0.99849410000000005</v>
      </c>
      <c r="Y4173">
        <v>-3.7485749999999998E-2</v>
      </c>
      <c r="Z4173">
        <v>1.247164E-3</v>
      </c>
      <c r="AA4173">
        <v>0.99929639999999997</v>
      </c>
      <c r="AB4173">
        <v>27</v>
      </c>
      <c r="AC4173">
        <v>34.696399999999898</v>
      </c>
      <c r="AD4173">
        <v>-1.121995968886</v>
      </c>
      <c r="AE4173">
        <v>0.58899999999999797</v>
      </c>
      <c r="AF4173">
        <v>-1.3091259845190399</v>
      </c>
      <c r="AG4173">
        <v>-1.121995968886</v>
      </c>
      <c r="AH4173">
        <v>34.640431230738699</v>
      </c>
      <c r="AI4173">
        <v>91.853826724029005</v>
      </c>
      <c r="AJ4173">
        <v>92.1642835424108</v>
      </c>
      <c r="AK4173">
        <v>34.683312437670601</v>
      </c>
      <c r="AL4173">
        <v>92.326800608263596</v>
      </c>
      <c r="AM4173">
        <v>92.116146327320806</v>
      </c>
      <c r="AN4173">
        <v>0.99999999625485603</v>
      </c>
    </row>
    <row r="4174" spans="1:40" x14ac:dyDescent="0.25">
      <c r="A4174" t="str">
        <f>"20190303153851076"</f>
        <v>20190303153851076</v>
      </c>
      <c r="B4174" t="str">
        <f>"1551598731073157"</f>
        <v>1551598731073157</v>
      </c>
      <c r="C4174" t="s">
        <v>40</v>
      </c>
      <c r="D4174">
        <v>4.4329530000000004</v>
      </c>
      <c r="E4174">
        <v>0.50016300000000002</v>
      </c>
      <c r="F4174" t="s">
        <v>57</v>
      </c>
      <c r="G4174">
        <v>-410.4556</v>
      </c>
      <c r="H4174" s="1">
        <v>2.2291310000000002E-6</v>
      </c>
      <c r="I4174">
        <v>215.27330000000001</v>
      </c>
      <c r="J4174">
        <v>-443.98610000000002</v>
      </c>
      <c r="K4174">
        <v>1.1220270000000001</v>
      </c>
      <c r="L4174">
        <v>214.68639999999999</v>
      </c>
      <c r="M4174">
        <v>0.99975320000000001</v>
      </c>
      <c r="N4174">
        <v>-1.077817E-2</v>
      </c>
      <c r="O4174">
        <v>-1.9432910000000001E-2</v>
      </c>
      <c r="P4174">
        <v>0.99849829999999995</v>
      </c>
      <c r="Q4174">
        <v>-5.184739E-2</v>
      </c>
      <c r="R4174">
        <v>1.770149E-2</v>
      </c>
      <c r="S4174">
        <v>2.9983219999999999</v>
      </c>
      <c r="T4174">
        <v>-9.956276E-2</v>
      </c>
      <c r="U4174">
        <v>5.1742549999999998E-2</v>
      </c>
      <c r="V4174">
        <v>-3.6996359999999999E-2</v>
      </c>
      <c r="W4174">
        <v>-4.1184199999999997E-2</v>
      </c>
      <c r="X4174">
        <v>0.99846639999999998</v>
      </c>
      <c r="Y4174">
        <v>-3.6650839999999997E-2</v>
      </c>
      <c r="Z4174">
        <v>1.24157E-3</v>
      </c>
      <c r="AA4174">
        <v>0.99932739999999998</v>
      </c>
      <c r="AB4174">
        <v>27</v>
      </c>
      <c r="AC4174">
        <v>33.530500000000004</v>
      </c>
      <c r="AD4174">
        <v>-1.1220247708689901</v>
      </c>
      <c r="AE4174">
        <v>0.58690000000001397</v>
      </c>
      <c r="AF4174">
        <v>-1.2370373508425301</v>
      </c>
      <c r="AG4174">
        <v>-1.1220247708689901</v>
      </c>
      <c r="AH4174">
        <v>33.475288838371497</v>
      </c>
      <c r="AI4174">
        <v>91.918412866745598</v>
      </c>
      <c r="AJ4174">
        <v>92.116330745383493</v>
      </c>
      <c r="AK4174">
        <v>33.516923543282203</v>
      </c>
      <c r="AL4174">
        <v>92.360348385104004</v>
      </c>
      <c r="AM4174">
        <v>92.122020325329402</v>
      </c>
      <c r="AN4174">
        <v>1.0000000104559199</v>
      </c>
    </row>
    <row r="4175" spans="1:40" x14ac:dyDescent="0.25">
      <c r="A4175" t="str">
        <f>"20190303153851098"</f>
        <v>20190303153851098</v>
      </c>
      <c r="B4175" t="str">
        <f>"1551598731092677"</f>
        <v>1551598731092677</v>
      </c>
      <c r="C4175" t="s">
        <v>40</v>
      </c>
      <c r="D4175">
        <v>4.4293719999999999</v>
      </c>
      <c r="E4175">
        <v>0.50041599999999997</v>
      </c>
      <c r="F4175" t="s">
        <v>57</v>
      </c>
      <c r="G4175">
        <v>-410.84100000000001</v>
      </c>
      <c r="H4175" s="1">
        <v>2.2974039999999999E-6</v>
      </c>
      <c r="I4175">
        <v>215.27440000000001</v>
      </c>
      <c r="J4175">
        <v>-443.71300000000002</v>
      </c>
      <c r="K4175">
        <v>1.1220399999999999</v>
      </c>
      <c r="L4175">
        <v>214.68260000000001</v>
      </c>
      <c r="M4175">
        <v>0.9997741</v>
      </c>
      <c r="N4175">
        <v>-1.117077E-2</v>
      </c>
      <c r="O4175">
        <v>-1.808193E-2</v>
      </c>
      <c r="P4175">
        <v>0.99844960000000005</v>
      </c>
      <c r="Q4175">
        <v>-5.2138339999999998E-2</v>
      </c>
      <c r="R4175">
        <v>1.94942E-2</v>
      </c>
      <c r="S4175">
        <v>2.998291</v>
      </c>
      <c r="T4175">
        <v>-0.1014978</v>
      </c>
      <c r="U4175">
        <v>5.3192139999999999E-2</v>
      </c>
      <c r="V4175">
        <v>-3.7446920000000002E-2</v>
      </c>
      <c r="W4175">
        <v>-4.107806E-2</v>
      </c>
      <c r="X4175">
        <v>0.99845399999999995</v>
      </c>
      <c r="Y4175">
        <v>-3.5783429999999998E-2</v>
      </c>
      <c r="Z4175">
        <v>1.2153520000000001E-3</v>
      </c>
      <c r="AA4175">
        <v>0.99935879999999999</v>
      </c>
      <c r="AB4175">
        <v>27</v>
      </c>
      <c r="AC4175">
        <v>32.872</v>
      </c>
      <c r="AD4175">
        <v>-1.122037702596</v>
      </c>
      <c r="AE4175">
        <v>0.59180000000000599</v>
      </c>
      <c r="AF4175">
        <v>-1.1847496250794201</v>
      </c>
      <c r="AG4175">
        <v>-1.122037702596</v>
      </c>
      <c r="AH4175">
        <v>32.817700019557897</v>
      </c>
      <c r="AI4175">
        <v>91.956907081166904</v>
      </c>
      <c r="AJ4175">
        <v>92.067533281408302</v>
      </c>
      <c r="AK4175">
        <v>32.8582415058059</v>
      </c>
      <c r="AL4175">
        <v>92.354261803873101</v>
      </c>
      <c r="AM4175">
        <v>92.147865930897794</v>
      </c>
      <c r="AN4175">
        <v>1.0000000344734199</v>
      </c>
    </row>
    <row r="4176" spans="1:40" x14ac:dyDescent="0.25">
      <c r="A4176" t="str">
        <f>"20190303153851120"</f>
        <v>20190303153851120</v>
      </c>
      <c r="B4176" t="str">
        <f>"1551598731112197"</f>
        <v>1551598731112197</v>
      </c>
      <c r="C4176" t="s">
        <v>40</v>
      </c>
      <c r="D4176">
        <v>4.4046209999999997</v>
      </c>
      <c r="E4176">
        <v>0.5006486</v>
      </c>
      <c r="F4176" t="s">
        <v>57</v>
      </c>
      <c r="G4176">
        <v>-410.60129999999998</v>
      </c>
      <c r="H4176" s="1">
        <v>2.251955E-6</v>
      </c>
      <c r="I4176">
        <v>215.30779999999999</v>
      </c>
      <c r="J4176">
        <v>-443.45499999999998</v>
      </c>
      <c r="K4176">
        <v>1.1220270000000001</v>
      </c>
      <c r="L4176">
        <v>214.67930000000001</v>
      </c>
      <c r="M4176">
        <v>0.99979030000000002</v>
      </c>
      <c r="N4176">
        <v>-1.156186E-2</v>
      </c>
      <c r="O4176">
        <v>-1.6901469999999998E-2</v>
      </c>
      <c r="P4176">
        <v>0.99839100000000003</v>
      </c>
      <c r="Q4176">
        <v>-5.2362989999999998E-2</v>
      </c>
      <c r="R4176">
        <v>2.17602E-2</v>
      </c>
      <c r="S4176">
        <v>2.998291</v>
      </c>
      <c r="T4176">
        <v>-0.1016015</v>
      </c>
      <c r="U4176">
        <v>5.6610109999999998E-2</v>
      </c>
      <c r="V4176">
        <v>-3.8540770000000002E-2</v>
      </c>
      <c r="W4176">
        <v>-4.0908479999999997E-2</v>
      </c>
      <c r="X4176">
        <v>0.99841930000000001</v>
      </c>
      <c r="Y4176">
        <v>-3.5742599999999999E-2</v>
      </c>
      <c r="Z4176">
        <v>1.189252E-3</v>
      </c>
      <c r="AA4176">
        <v>0.99936029999999998</v>
      </c>
      <c r="AB4176">
        <v>27</v>
      </c>
      <c r="AC4176">
        <v>32.853700000000003</v>
      </c>
      <c r="AD4176">
        <v>-1.1220247480450001</v>
      </c>
      <c r="AE4176">
        <v>0.62849999999997397</v>
      </c>
      <c r="AF4176">
        <v>-1.1823446142105001</v>
      </c>
      <c r="AG4176">
        <v>-1.1220247480450001</v>
      </c>
      <c r="AH4176">
        <v>32.800140164379698</v>
      </c>
      <c r="AI4176">
        <v>91.957935131851798</v>
      </c>
      <c r="AJ4176">
        <v>92.064443546461902</v>
      </c>
      <c r="AK4176">
        <v>32.840616211102599</v>
      </c>
      <c r="AL4176">
        <v>92.344537500530393</v>
      </c>
      <c r="AM4176">
        <v>92.210621946738598</v>
      </c>
      <c r="AN4176">
        <v>0.99999999665029604</v>
      </c>
    </row>
    <row r="4177" spans="1:40" x14ac:dyDescent="0.25">
      <c r="A4177" t="str">
        <f>"20190303153851142"</f>
        <v>20190303153851142</v>
      </c>
      <c r="B4177" t="str">
        <f>"1551598731132696"</f>
        <v>1551598731132696</v>
      </c>
      <c r="C4177" t="s">
        <v>40</v>
      </c>
      <c r="D4177">
        <v>4.3933269999999904</v>
      </c>
      <c r="E4177">
        <v>0.50087929999999903</v>
      </c>
      <c r="F4177" t="s">
        <v>57</v>
      </c>
      <c r="G4177">
        <v>-410.40910000000002</v>
      </c>
      <c r="H4177" s="1">
        <v>2.2135570000000002E-6</v>
      </c>
      <c r="I4177">
        <v>215.3571</v>
      </c>
      <c r="J4177">
        <v>-443.17910000000001</v>
      </c>
      <c r="K4177">
        <v>1.12201</v>
      </c>
      <c r="L4177">
        <v>214.67599999999999</v>
      </c>
      <c r="M4177">
        <v>0.99980440000000004</v>
      </c>
      <c r="N4177">
        <v>-1.1969870000000001E-2</v>
      </c>
      <c r="O4177">
        <v>-1.5746260000000002E-2</v>
      </c>
      <c r="P4177">
        <v>0.99834239999999996</v>
      </c>
      <c r="Q4177">
        <v>-5.2481100000000003E-2</v>
      </c>
      <c r="R4177">
        <v>2.3629850000000001E-2</v>
      </c>
      <c r="S4177">
        <v>2.9981689999999999</v>
      </c>
      <c r="T4177">
        <v>-0.10179829999999999</v>
      </c>
      <c r="U4177">
        <v>6.149292E-2</v>
      </c>
      <c r="V4177">
        <v>-3.926582E-2</v>
      </c>
      <c r="W4177">
        <v>-4.0613469999999999E-2</v>
      </c>
      <c r="X4177">
        <v>0.99840309999999999</v>
      </c>
      <c r="Y4177">
        <v>-3.621535E-2</v>
      </c>
      <c r="Z4177">
        <v>1.177443E-3</v>
      </c>
      <c r="AA4177">
        <v>0.99934330000000005</v>
      </c>
      <c r="AB4177">
        <v>27</v>
      </c>
      <c r="AC4177">
        <v>32.769999999999897</v>
      </c>
      <c r="AD4177">
        <v>-1.122007786443</v>
      </c>
      <c r="AE4177">
        <v>0.68110000000001403</v>
      </c>
      <c r="AF4177">
        <v>-1.1956563765841599</v>
      </c>
      <c r="AG4177">
        <v>-1.122007786443</v>
      </c>
      <c r="AH4177">
        <v>32.716873608414303</v>
      </c>
      <c r="AI4177">
        <v>91.962849210380199</v>
      </c>
      <c r="AJ4177">
        <v>92.092974743568902</v>
      </c>
      <c r="AK4177">
        <v>32.757935135668497</v>
      </c>
      <c r="AL4177">
        <v>92.327620595434794</v>
      </c>
      <c r="AM4177">
        <v>92.252203449366405</v>
      </c>
      <c r="AN4177">
        <v>1.00000000432766</v>
      </c>
    </row>
    <row r="4178" spans="1:40" x14ac:dyDescent="0.25">
      <c r="A4178" t="str">
        <f>"20190303153851164"</f>
        <v>20190303153851164</v>
      </c>
      <c r="B4178" t="str">
        <f>"1551598731153189"</f>
        <v>1551598731153189</v>
      </c>
      <c r="C4178" t="s">
        <v>40</v>
      </c>
      <c r="D4178">
        <v>4.3587790000000002</v>
      </c>
      <c r="E4178">
        <v>0.50774109999999995</v>
      </c>
      <c r="F4178" t="s">
        <v>57</v>
      </c>
      <c r="G4178">
        <v>-410.07859999999999</v>
      </c>
      <c r="H4178" s="1">
        <v>2.1513160000000001E-6</v>
      </c>
      <c r="I4178">
        <v>215.39840000000001</v>
      </c>
      <c r="J4178">
        <v>-442.91669999999999</v>
      </c>
      <c r="K4178">
        <v>1.1219760000000001</v>
      </c>
      <c r="L4178">
        <v>214.673</v>
      </c>
      <c r="M4178">
        <v>0.99981520000000002</v>
      </c>
      <c r="N4178">
        <v>-1.2332930000000001E-2</v>
      </c>
      <c r="O4178">
        <v>-1.474958E-2</v>
      </c>
      <c r="P4178">
        <v>0.99832489999999996</v>
      </c>
      <c r="Q4178">
        <v>-5.2231720000000002E-2</v>
      </c>
      <c r="R4178">
        <v>2.4891190000000001E-2</v>
      </c>
      <c r="S4178">
        <v>2.9981080000000002</v>
      </c>
      <c r="T4178">
        <v>-0.10162690000000001</v>
      </c>
      <c r="U4178">
        <v>6.5429689999999999E-2</v>
      </c>
      <c r="V4178">
        <v>-3.9540079999999998E-2</v>
      </c>
      <c r="W4178">
        <v>-3.9994990000000001E-2</v>
      </c>
      <c r="X4178">
        <v>0.99841729999999995</v>
      </c>
      <c r="Y4178">
        <v>-3.653124E-2</v>
      </c>
      <c r="Z4178">
        <v>1.1622049999999999E-3</v>
      </c>
      <c r="AA4178">
        <v>0.99933179999999999</v>
      </c>
      <c r="AB4178">
        <v>27</v>
      </c>
      <c r="AC4178">
        <v>32.838099999999997</v>
      </c>
      <c r="AD4178">
        <v>-1.1219738486839901</v>
      </c>
      <c r="AE4178">
        <v>0.72540000000000704</v>
      </c>
      <c r="AF4178">
        <v>-1.2082962360304399</v>
      </c>
      <c r="AG4178">
        <v>-1.1219738486839901</v>
      </c>
      <c r="AH4178">
        <v>32.785572831660801</v>
      </c>
      <c r="AI4178">
        <v>91.958658081426904</v>
      </c>
      <c r="AJ4178">
        <v>92.1106526483387</v>
      </c>
      <c r="AK4178">
        <v>32.827010083333398</v>
      </c>
      <c r="AL4178">
        <v>92.292155354211701</v>
      </c>
      <c r="AM4178">
        <v>92.267885825201802</v>
      </c>
      <c r="AN4178">
        <v>1.0000000610453901</v>
      </c>
    </row>
    <row r="4179" spans="1:40" x14ac:dyDescent="0.25">
      <c r="A4179" t="str">
        <f>"20190303153851189"</f>
        <v>20190303153851189</v>
      </c>
      <c r="B4179" t="str">
        <f>"1551598731182469"</f>
        <v>1551598731182469</v>
      </c>
      <c r="C4179" t="s">
        <v>40</v>
      </c>
      <c r="D4179">
        <v>4.4375519999999904</v>
      </c>
      <c r="E4179">
        <v>0.50880099999999995</v>
      </c>
      <c r="F4179" t="s">
        <v>57</v>
      </c>
      <c r="G4179">
        <v>-404.85750000000002</v>
      </c>
      <c r="H4179" s="1">
        <v>6.1977839999999997E-6</v>
      </c>
      <c r="I4179">
        <v>214.86</v>
      </c>
      <c r="J4179">
        <v>-442.6311</v>
      </c>
      <c r="K4179">
        <v>1.121934</v>
      </c>
      <c r="L4179">
        <v>214.67</v>
      </c>
      <c r="M4179">
        <v>0.99982479999999996</v>
      </c>
      <c r="N4179">
        <v>-1.2694810000000001E-2</v>
      </c>
      <c r="O4179">
        <v>-1.376282E-2</v>
      </c>
      <c r="P4179">
        <v>0.99830410000000003</v>
      </c>
      <c r="Q4179">
        <v>-5.2493070000000003E-2</v>
      </c>
      <c r="R4179">
        <v>2.5173669999999999E-2</v>
      </c>
      <c r="S4179">
        <v>2.9999690000000001</v>
      </c>
      <c r="T4179">
        <v>-8.8438030000000001E-2</v>
      </c>
      <c r="U4179">
        <v>1.473999E-2</v>
      </c>
      <c r="V4179">
        <v>-3.8844679999999999E-2</v>
      </c>
      <c r="W4179">
        <v>-3.9886449999999997E-2</v>
      </c>
      <c r="X4179">
        <v>0.99844880000000003</v>
      </c>
      <c r="Y4179">
        <v>-1.8663079999999999E-2</v>
      </c>
      <c r="Z4179">
        <v>6.2445640000000004E-4</v>
      </c>
      <c r="AA4179">
        <v>0.99982570000000004</v>
      </c>
      <c r="AB4179">
        <v>27</v>
      </c>
      <c r="AC4179">
        <v>37.773599999999902</v>
      </c>
      <c r="AD4179">
        <v>-1.121927802216</v>
      </c>
      <c r="AE4179">
        <v>0.19000000000002601</v>
      </c>
      <c r="AF4179">
        <v>-0.70926942061029996</v>
      </c>
      <c r="AG4179">
        <v>-1.121927802216</v>
      </c>
      <c r="AH4179">
        <v>37.734119535117003</v>
      </c>
      <c r="AI4179">
        <v>91.702741554119498</v>
      </c>
      <c r="AJ4179">
        <v>91.076833378391299</v>
      </c>
      <c r="AK4179">
        <v>37.7574570408932</v>
      </c>
      <c r="AL4179">
        <v>92.285931822063802</v>
      </c>
      <c r="AM4179">
        <v>92.227970358196501</v>
      </c>
      <c r="AN4179">
        <v>0.99999992213966904</v>
      </c>
    </row>
    <row r="4180" spans="1:40" x14ac:dyDescent="0.25">
      <c r="A4180" t="str">
        <f>"20190303153851210"</f>
        <v>20190303153851210</v>
      </c>
      <c r="B4180" t="str">
        <f>"1551598731202965"</f>
        <v>1551598731202965</v>
      </c>
      <c r="C4180" t="s">
        <v>40</v>
      </c>
      <c r="D4180">
        <v>4.4406179999999997</v>
      </c>
      <c r="E4180">
        <v>0.52351610000000004</v>
      </c>
      <c r="F4180" t="s">
        <v>55</v>
      </c>
      <c r="G4180">
        <v>-383.38659999999999</v>
      </c>
      <c r="H4180" s="1">
        <v>2.56387E-7</v>
      </c>
      <c r="I4180">
        <v>214.822</v>
      </c>
      <c r="J4180">
        <v>-442.37619999999998</v>
      </c>
      <c r="K4180">
        <v>1.1218969999999999</v>
      </c>
      <c r="L4180">
        <v>214.66739999999999</v>
      </c>
      <c r="M4180">
        <v>0.9998319</v>
      </c>
      <c r="N4180">
        <v>-1.298408E-2</v>
      </c>
      <c r="O4180">
        <v>-1.2955919999999999E-2</v>
      </c>
      <c r="P4180">
        <v>0.99831579999999998</v>
      </c>
      <c r="Q4180">
        <v>-5.2418840000000001E-2</v>
      </c>
      <c r="R4180">
        <v>2.4858080000000001E-2</v>
      </c>
      <c r="S4180">
        <v>3.0019230000000001</v>
      </c>
      <c r="T4180">
        <v>-5.6848410000000002E-2</v>
      </c>
      <c r="U4180">
        <v>7.7056879999999996E-3</v>
      </c>
      <c r="V4180">
        <v>-3.7730670000000001E-2</v>
      </c>
      <c r="W4180">
        <v>-3.9515630000000003E-2</v>
      </c>
      <c r="X4180">
        <v>0.99850640000000002</v>
      </c>
      <c r="Y4180">
        <v>-1.551875E-2</v>
      </c>
      <c r="Z4180">
        <v>3.2479489999999998E-4</v>
      </c>
      <c r="AA4180">
        <v>0.99987950000000003</v>
      </c>
      <c r="AB4180">
        <v>27</v>
      </c>
      <c r="AC4180">
        <v>58.989600000000003</v>
      </c>
      <c r="AD4180">
        <v>-1.1218967436129901</v>
      </c>
      <c r="AE4180">
        <v>0.154600000000016</v>
      </c>
      <c r="AF4180">
        <v>-0.91858363320783898</v>
      </c>
      <c r="AG4180">
        <v>-1.1218967436129901</v>
      </c>
      <c r="AH4180">
        <v>58.961318454881997</v>
      </c>
      <c r="AI4180">
        <v>91.089941635145607</v>
      </c>
      <c r="AJ4180">
        <v>90.892563279461299</v>
      </c>
      <c r="AK4180">
        <v>58.979144806724101</v>
      </c>
      <c r="AL4180">
        <v>92.264668323897993</v>
      </c>
      <c r="AM4180">
        <v>92.164012274710004</v>
      </c>
      <c r="AN4180">
        <v>1.00000005965695</v>
      </c>
    </row>
    <row r="4181" spans="1:40" x14ac:dyDescent="0.25">
      <c r="A4181" t="str">
        <f>"20190303153851233"</f>
        <v>20190303153851233</v>
      </c>
      <c r="B4181" t="str">
        <f>"1551598731222486"</f>
        <v>1551598731222486</v>
      </c>
      <c r="C4181" t="s">
        <v>40</v>
      </c>
      <c r="D4181">
        <v>4.4164219999999998</v>
      </c>
      <c r="E4181">
        <v>0.52268249999999905</v>
      </c>
      <c r="F4181" t="s">
        <v>57</v>
      </c>
      <c r="G4181">
        <v>-415.27670000000001</v>
      </c>
      <c r="H4181" s="1">
        <v>3.2258449999999999E-6</v>
      </c>
      <c r="I4181">
        <v>213.65440000000001</v>
      </c>
      <c r="J4181">
        <v>-442.0992</v>
      </c>
      <c r="K4181">
        <v>1.121858</v>
      </c>
      <c r="L4181">
        <v>214.66480000000001</v>
      </c>
      <c r="M4181">
        <v>0.99983860000000002</v>
      </c>
      <c r="N4181">
        <v>-1.326155E-2</v>
      </c>
      <c r="O4181">
        <v>-1.2136299999999999E-2</v>
      </c>
      <c r="P4181">
        <v>0.99830140000000001</v>
      </c>
      <c r="Q4181">
        <v>-5.2887719999999999E-2</v>
      </c>
      <c r="R4181">
        <v>2.4448850000000001E-2</v>
      </c>
      <c r="S4181">
        <v>3.0013429999999999</v>
      </c>
      <c r="T4181">
        <v>-0.1242529</v>
      </c>
      <c r="U4181">
        <v>-0.1121979</v>
      </c>
      <c r="V4181">
        <v>-3.6507690000000002E-2</v>
      </c>
      <c r="W4181">
        <v>-3.9700840000000001E-2</v>
      </c>
      <c r="X4181">
        <v>0.99854449999999995</v>
      </c>
      <c r="Y4181">
        <v>2.5201149999999999E-2</v>
      </c>
      <c r="Z4181">
        <v>-3.4736879999999997E-4</v>
      </c>
      <c r="AA4181">
        <v>0.99968239999999997</v>
      </c>
      <c r="AB4181">
        <v>27</v>
      </c>
      <c r="AC4181">
        <v>26.822499999999899</v>
      </c>
      <c r="AD4181">
        <v>-1.121854774155</v>
      </c>
      <c r="AE4181">
        <v>-1.0104</v>
      </c>
      <c r="AF4181">
        <v>0.68357698497659003</v>
      </c>
      <c r="AG4181">
        <v>-1.121854774155</v>
      </c>
      <c r="AH4181">
        <v>26.785996358277899</v>
      </c>
      <c r="AI4181">
        <v>92.397488410521802</v>
      </c>
      <c r="AJ4181">
        <v>88.538132519666902</v>
      </c>
      <c r="AK4181">
        <v>26.818192268204101</v>
      </c>
      <c r="AL4181">
        <v>92.2752884455615</v>
      </c>
      <c r="AM4181">
        <v>92.093852898544498</v>
      </c>
      <c r="AN4181">
        <v>1.00000004330304</v>
      </c>
    </row>
    <row r="4182" spans="1:40" x14ac:dyDescent="0.25">
      <c r="A4182" t="str">
        <f>"20190303153851253"</f>
        <v>20190303153851253</v>
      </c>
      <c r="B4182" t="str">
        <f>"1551598731242981"</f>
        <v>1551598731242981</v>
      </c>
      <c r="C4182" t="s">
        <v>40</v>
      </c>
      <c r="D4182">
        <v>4.4133779999999998</v>
      </c>
      <c r="E4182">
        <v>0.52277439999999997</v>
      </c>
      <c r="F4182" t="s">
        <v>57</v>
      </c>
      <c r="G4182">
        <v>-419.41129999999998</v>
      </c>
      <c r="H4182" s="1">
        <v>3.9418299999999997E-6</v>
      </c>
      <c r="I4182">
        <v>213.8536</v>
      </c>
      <c r="J4182">
        <v>-441.84750000000003</v>
      </c>
      <c r="K4182">
        <v>1.121818</v>
      </c>
      <c r="L4182">
        <v>214.6626</v>
      </c>
      <c r="M4182">
        <v>0.99984399999999996</v>
      </c>
      <c r="N4182">
        <v>-1.348482E-2</v>
      </c>
      <c r="O4182">
        <v>-1.142286E-2</v>
      </c>
      <c r="P4182">
        <v>0.99831669999999995</v>
      </c>
      <c r="Q4182">
        <v>-5.2958499999999999E-2</v>
      </c>
      <c r="R4182">
        <v>2.364755E-2</v>
      </c>
      <c r="S4182">
        <v>2.9998469999999999</v>
      </c>
      <c r="T4182">
        <v>-0.148334299999999</v>
      </c>
      <c r="U4182">
        <v>-0.107254</v>
      </c>
      <c r="V4182">
        <v>-3.4997540000000001E-2</v>
      </c>
      <c r="W4182">
        <v>-3.9543109999999999E-2</v>
      </c>
      <c r="X4182">
        <v>0.99860479999999996</v>
      </c>
      <c r="Y4182">
        <v>2.428104E-2</v>
      </c>
      <c r="Z4182">
        <v>-3.5332590000000002E-4</v>
      </c>
      <c r="AA4182">
        <v>0.99970510000000001</v>
      </c>
      <c r="AB4182">
        <v>27</v>
      </c>
      <c r="AC4182">
        <v>22.436199999999999</v>
      </c>
      <c r="AD4182">
        <v>-1.12181405817</v>
      </c>
      <c r="AE4182">
        <v>-0.80899999999999705</v>
      </c>
      <c r="AF4182">
        <v>0.55126200154028404</v>
      </c>
      <c r="AG4182">
        <v>-1.12181405817</v>
      </c>
      <c r="AH4182">
        <v>22.3880799336164</v>
      </c>
      <c r="AI4182">
        <v>92.867689916717495</v>
      </c>
      <c r="AJ4182">
        <v>88.589490243964207</v>
      </c>
      <c r="AK4182">
        <v>22.422945383901901</v>
      </c>
      <c r="AL4182">
        <v>92.266244142452905</v>
      </c>
      <c r="AM4182">
        <v>92.007191404505093</v>
      </c>
      <c r="AN4182">
        <v>1.0000000159687801</v>
      </c>
    </row>
    <row r="4183" spans="1:40" x14ac:dyDescent="0.25">
      <c r="A4183" t="str">
        <f>"20190303153851276"</f>
        <v>20190303153851276</v>
      </c>
      <c r="B4183" t="str">
        <f>"1551598731272261"</f>
        <v>1551598731272261</v>
      </c>
      <c r="C4183" t="s">
        <v>40</v>
      </c>
      <c r="D4183">
        <v>4.3446639999999999</v>
      </c>
      <c r="E4183">
        <v>0.52335209999999999</v>
      </c>
      <c r="F4183" t="s">
        <v>57</v>
      </c>
      <c r="G4183">
        <v>-420.51830000000001</v>
      </c>
      <c r="H4183" s="1">
        <v>3.937376E-6</v>
      </c>
      <c r="I4183">
        <v>213.87610000000001</v>
      </c>
      <c r="J4183">
        <v>-441.5926</v>
      </c>
      <c r="K4183">
        <v>1.1217980000000001</v>
      </c>
      <c r="L4183">
        <v>214.66050000000001</v>
      </c>
      <c r="M4183">
        <v>0.99984890000000004</v>
      </c>
      <c r="N4183">
        <v>-1.3684160000000001E-2</v>
      </c>
      <c r="O4183">
        <v>-1.071942E-2</v>
      </c>
      <c r="P4183">
        <v>0.99826459999999995</v>
      </c>
      <c r="Q4183">
        <v>-5.4131230000000002E-2</v>
      </c>
      <c r="R4183">
        <v>2.3191280000000002E-2</v>
      </c>
      <c r="S4183">
        <v>2.9993590000000001</v>
      </c>
      <c r="T4183">
        <v>-0.15775159999999999</v>
      </c>
      <c r="U4183">
        <v>-0.11059570000000001</v>
      </c>
      <c r="V4183">
        <v>-3.3839580000000001E-2</v>
      </c>
      <c r="W4183">
        <v>-4.0513639999999997E-2</v>
      </c>
      <c r="X4183">
        <v>0.99860579999999999</v>
      </c>
      <c r="Y4183">
        <v>2.6095500000000001E-2</v>
      </c>
      <c r="Z4183">
        <v>-4.4771820000000001E-4</v>
      </c>
      <c r="AA4183">
        <v>0.99965939999999998</v>
      </c>
      <c r="AB4183">
        <v>27</v>
      </c>
      <c r="AC4183">
        <v>21.074299999999901</v>
      </c>
      <c r="AD4183">
        <v>-1.1217940626239999</v>
      </c>
      <c r="AE4183">
        <v>-0.78440000000000498</v>
      </c>
      <c r="AF4183">
        <v>0.55685384492958001</v>
      </c>
      <c r="AG4183">
        <v>-1.1217940626239999</v>
      </c>
      <c r="AH4183">
        <v>21.022015031485399</v>
      </c>
      <c r="AI4183">
        <v>93.053498280309896</v>
      </c>
      <c r="AJ4183">
        <v>88.482642322841301</v>
      </c>
      <c r="AK4183">
        <v>21.059288309616399</v>
      </c>
      <c r="AL4183">
        <v>92.321896037732401</v>
      </c>
      <c r="AM4183">
        <v>91.940829385870501</v>
      </c>
      <c r="AN4183">
        <v>1.0000000079971301</v>
      </c>
    </row>
    <row r="4184" spans="1:40" x14ac:dyDescent="0.25">
      <c r="A4184" t="str">
        <f>"20190303153851298"</f>
        <v>20190303153851298</v>
      </c>
      <c r="B4184" t="str">
        <f>"1551598731292758"</f>
        <v>1551598731292758</v>
      </c>
      <c r="C4184" t="s">
        <v>40</v>
      </c>
      <c r="D4184">
        <v>4.4123900000000003</v>
      </c>
      <c r="E4184">
        <v>0.52363470000000001</v>
      </c>
      <c r="F4184" t="s">
        <v>57</v>
      </c>
      <c r="G4184">
        <v>-421.09070000000003</v>
      </c>
      <c r="H4184" s="1">
        <v>3.8369590000000002E-6</v>
      </c>
      <c r="I4184">
        <v>213.86330000000001</v>
      </c>
      <c r="J4184">
        <v>-441.31990000000002</v>
      </c>
      <c r="K4184">
        <v>1.1217870000000001</v>
      </c>
      <c r="L4184">
        <v>214.6584</v>
      </c>
      <c r="M4184">
        <v>0.99985409999999997</v>
      </c>
      <c r="N4184">
        <v>-1.387012E-2</v>
      </c>
      <c r="O4184">
        <v>-9.9776499999999994E-3</v>
      </c>
      <c r="P4184">
        <v>0.99825129999999995</v>
      </c>
      <c r="Q4184">
        <v>-5.471753E-2</v>
      </c>
      <c r="R4184">
        <v>2.236989E-2</v>
      </c>
      <c r="S4184">
        <v>2.998993</v>
      </c>
      <c r="T4184">
        <v>-0.1640944</v>
      </c>
      <c r="U4184">
        <v>-0.11660769999999999</v>
      </c>
      <c r="V4184">
        <v>-3.2278599999999998E-2</v>
      </c>
      <c r="W4184">
        <v>-4.0910849999999999E-2</v>
      </c>
      <c r="X4184">
        <v>0.99864129999999995</v>
      </c>
      <c r="Y4184">
        <v>2.8834200000000001E-2</v>
      </c>
      <c r="Z4184">
        <v>-5.811875E-4</v>
      </c>
      <c r="AA4184">
        <v>0.99958400000000003</v>
      </c>
      <c r="AB4184">
        <v>27</v>
      </c>
      <c r="AC4184">
        <v>20.229199999999899</v>
      </c>
      <c r="AD4184">
        <v>-1.121783163041</v>
      </c>
      <c r="AE4184">
        <v>-0.79509999999999004</v>
      </c>
      <c r="AF4184">
        <v>0.59138536540891895</v>
      </c>
      <c r="AG4184">
        <v>-1.121783163041</v>
      </c>
      <c r="AH4184">
        <v>20.1741847175483</v>
      </c>
      <c r="AI4184">
        <v>93.181283869911496</v>
      </c>
      <c r="AJ4184">
        <v>88.320914306698299</v>
      </c>
      <c r="AK4184">
        <v>20.214001660558498</v>
      </c>
      <c r="AL4184">
        <v>92.344673336762199</v>
      </c>
      <c r="AM4184">
        <v>91.851299252200604</v>
      </c>
      <c r="AN4184">
        <v>1.00000002586568</v>
      </c>
    </row>
    <row r="4185" spans="1:40" x14ac:dyDescent="0.25">
      <c r="A4185" t="str">
        <f>"20190303153851312"</f>
        <v>20190303153851312</v>
      </c>
      <c r="B4185" t="str">
        <f>"1551598731302517"</f>
        <v>1551598731302517</v>
      </c>
      <c r="C4185" t="s">
        <v>40</v>
      </c>
      <c r="D4185">
        <v>4.3786880000000004</v>
      </c>
      <c r="E4185">
        <v>0.52381899999999904</v>
      </c>
      <c r="F4185" t="s">
        <v>57</v>
      </c>
      <c r="G4185">
        <v>-421.04899999999998</v>
      </c>
      <c r="H4185" s="1">
        <v>3.8465740000000003E-6</v>
      </c>
      <c r="I4185">
        <v>213.83799999999999</v>
      </c>
      <c r="J4185">
        <v>-441.15879999999999</v>
      </c>
      <c r="K4185">
        <v>1.121794</v>
      </c>
      <c r="L4185">
        <v>214.65729999999999</v>
      </c>
      <c r="M4185">
        <v>0.99985690000000005</v>
      </c>
      <c r="N4185">
        <v>-1.396938E-2</v>
      </c>
      <c r="O4185">
        <v>-9.5402709999999995E-3</v>
      </c>
      <c r="P4185">
        <v>0.9982413</v>
      </c>
      <c r="Q4185">
        <v>-5.4964810000000003E-2</v>
      </c>
      <c r="R4185">
        <v>2.2212220000000001E-2</v>
      </c>
      <c r="S4185">
        <v>2.99884</v>
      </c>
      <c r="T4185">
        <v>-0.16595389999999999</v>
      </c>
      <c r="U4185">
        <v>-0.1213684</v>
      </c>
      <c r="V4185">
        <v>-3.16846E-2</v>
      </c>
      <c r="W4185">
        <v>-4.105777E-2</v>
      </c>
      <c r="X4185">
        <v>0.99865420000000005</v>
      </c>
      <c r="Y4185">
        <v>3.0852520000000001E-2</v>
      </c>
      <c r="Z4185">
        <v>-6.7433229999999905E-4</v>
      </c>
      <c r="AA4185">
        <v>0.99952370000000001</v>
      </c>
      <c r="AB4185">
        <v>27</v>
      </c>
      <c r="AC4185">
        <v>20.1097999999999</v>
      </c>
      <c r="AD4185">
        <v>-1.121790153426</v>
      </c>
      <c r="AE4185">
        <v>-0.81929999999999803</v>
      </c>
      <c r="AF4185">
        <v>0.62544801471497002</v>
      </c>
      <c r="AG4185">
        <v>-1.121790153426</v>
      </c>
      <c r="AH4185">
        <v>20.054400435782298</v>
      </c>
      <c r="AI4185">
        <v>93.200085260096103</v>
      </c>
      <c r="AJ4185">
        <v>88.213662892157799</v>
      </c>
      <c r="AK4185">
        <v>20.095486438654302</v>
      </c>
      <c r="AL4185">
        <v>92.3530985304198</v>
      </c>
      <c r="AM4185">
        <v>91.817230714146206</v>
      </c>
      <c r="AN4185">
        <v>0.99999993276608401</v>
      </c>
    </row>
    <row r="4186" spans="1:40" x14ac:dyDescent="0.25">
      <c r="A4186" t="str">
        <f>"20190303153851333"</f>
        <v>20190303153851333</v>
      </c>
      <c r="B4186" t="str">
        <f>"1551598731323013"</f>
        <v>1551598731323013</v>
      </c>
      <c r="C4186" t="s">
        <v>40</v>
      </c>
      <c r="D4186">
        <v>4.267487</v>
      </c>
      <c r="E4186">
        <v>0.52555079999999998</v>
      </c>
      <c r="F4186" t="s">
        <v>57</v>
      </c>
      <c r="G4186">
        <v>-420.76459999999997</v>
      </c>
      <c r="H4186" s="1">
        <v>3.8986939999999999E-6</v>
      </c>
      <c r="I4186">
        <v>213.81880000000001</v>
      </c>
      <c r="J4186">
        <v>-440.91050000000001</v>
      </c>
      <c r="K4186">
        <v>1.121791</v>
      </c>
      <c r="L4186">
        <v>214.6557</v>
      </c>
      <c r="M4186">
        <v>0.99986120000000001</v>
      </c>
      <c r="N4186">
        <v>-1.410455E-2</v>
      </c>
      <c r="O4186">
        <v>-8.8649390000000005E-3</v>
      </c>
      <c r="P4186">
        <v>0.99824869999999999</v>
      </c>
      <c r="Q4186">
        <v>-5.5097229999999997E-2</v>
      </c>
      <c r="R4186">
        <v>2.1538729999999999E-2</v>
      </c>
      <c r="S4186">
        <v>2.998901</v>
      </c>
      <c r="T4186">
        <v>-0.16495589999999999</v>
      </c>
      <c r="U4186">
        <v>-0.123291</v>
      </c>
      <c r="V4186">
        <v>-3.033742E-2</v>
      </c>
      <c r="W4186">
        <v>-4.1052749999999999E-2</v>
      </c>
      <c r="X4186">
        <v>0.99869629999999998</v>
      </c>
      <c r="Y4186">
        <v>3.2163780000000003E-2</v>
      </c>
      <c r="Z4186">
        <v>-7.4860770000000001E-4</v>
      </c>
      <c r="AA4186">
        <v>0.99948230000000005</v>
      </c>
      <c r="AB4186">
        <v>27</v>
      </c>
      <c r="AC4186">
        <v>20.145900000000001</v>
      </c>
      <c r="AD4186">
        <v>-1.1217871013059999</v>
      </c>
      <c r="AE4186">
        <v>-0.83689999999998499</v>
      </c>
      <c r="AF4186">
        <v>0.65622596409487</v>
      </c>
      <c r="AG4186">
        <v>-1.1217871013059999</v>
      </c>
      <c r="AH4186">
        <v>20.090342968433099</v>
      </c>
      <c r="AI4186">
        <v>93.194213280650899</v>
      </c>
      <c r="AJ4186">
        <v>88.129170066764203</v>
      </c>
      <c r="AK4186">
        <v>20.1323351702151</v>
      </c>
      <c r="AL4186">
        <v>92.352810519940903</v>
      </c>
      <c r="AM4186">
        <v>91.739940132029702</v>
      </c>
      <c r="AN4186">
        <v>0.99999999348425395</v>
      </c>
    </row>
    <row r="4187" spans="1:40" x14ac:dyDescent="0.25">
      <c r="A4187" t="str">
        <f>"20190303153851355"</f>
        <v>20190303153851355</v>
      </c>
      <c r="B4187" t="str">
        <f>"1551598731352293"</f>
        <v>1551598731352293</v>
      </c>
      <c r="C4187" t="s">
        <v>40</v>
      </c>
      <c r="D4187">
        <v>4.381532</v>
      </c>
      <c r="E4187">
        <v>0.52611490000000005</v>
      </c>
      <c r="F4187" t="s">
        <v>57</v>
      </c>
      <c r="G4187">
        <v>-417.87950000000001</v>
      </c>
      <c r="H4187" s="1">
        <v>3.6930859999999999E-6</v>
      </c>
      <c r="I4187">
        <v>213.5908</v>
      </c>
      <c r="J4187">
        <v>-440.65620000000001</v>
      </c>
      <c r="K4187">
        <v>1.121783</v>
      </c>
      <c r="L4187">
        <v>214.6542</v>
      </c>
      <c r="M4187">
        <v>0.99986560000000002</v>
      </c>
      <c r="N4187">
        <v>-1.4224789999999999E-2</v>
      </c>
      <c r="O4187">
        <v>-8.1680380000000007E-3</v>
      </c>
      <c r="P4187">
        <v>0.99824270000000004</v>
      </c>
      <c r="Q4187">
        <v>-5.5146929999999997E-2</v>
      </c>
      <c r="R4187">
        <v>2.1697480000000002E-2</v>
      </c>
      <c r="S4187">
        <v>3.0001530000000001</v>
      </c>
      <c r="T4187">
        <v>-0.14613019999999999</v>
      </c>
      <c r="U4187">
        <v>-0.1387177</v>
      </c>
      <c r="V4187">
        <v>-2.9800799999999999E-2</v>
      </c>
      <c r="W4187">
        <v>-4.0981370000000003E-2</v>
      </c>
      <c r="X4187">
        <v>0.99871540000000003</v>
      </c>
      <c r="Y4187">
        <v>3.7972600000000002E-2</v>
      </c>
      <c r="Z4187">
        <v>-9.1289140000000001E-4</v>
      </c>
      <c r="AA4187">
        <v>0.99927840000000001</v>
      </c>
      <c r="AB4187">
        <v>26</v>
      </c>
      <c r="AC4187">
        <v>22.776700000000002</v>
      </c>
      <c r="AD4187">
        <v>-1.1217793069140001</v>
      </c>
      <c r="AE4187">
        <v>-1.0633999999999999</v>
      </c>
      <c r="AF4187">
        <v>0.87518646513773801</v>
      </c>
      <c r="AG4187">
        <v>-1.1217793069140001</v>
      </c>
      <c r="AH4187">
        <v>22.729611996198301</v>
      </c>
      <c r="AI4187">
        <v>92.823349346494894</v>
      </c>
      <c r="AJ4187">
        <v>87.794958763391506</v>
      </c>
      <c r="AK4187">
        <v>22.7740993600164</v>
      </c>
      <c r="AL4187">
        <v>92.348717274783297</v>
      </c>
      <c r="AM4187">
        <v>91.709149150450301</v>
      </c>
      <c r="AN4187">
        <v>1.00000000528243</v>
      </c>
    </row>
    <row r="4188" spans="1:40" x14ac:dyDescent="0.25">
      <c r="A4188" t="str">
        <f>"20190303153851376"</f>
        <v>20190303153851376</v>
      </c>
      <c r="B4188" t="str">
        <f>"1551598731372790"</f>
        <v>1551598731372790</v>
      </c>
      <c r="C4188" t="s">
        <v>40</v>
      </c>
      <c r="D4188">
        <v>4.4009600000000004</v>
      </c>
      <c r="E4188">
        <v>0.52620719999999899</v>
      </c>
      <c r="F4188" t="s">
        <v>57</v>
      </c>
      <c r="G4188">
        <v>-416.59890000000001</v>
      </c>
      <c r="H4188" s="1">
        <v>3.4728999999999998E-6</v>
      </c>
      <c r="I4188">
        <v>213.51130000000001</v>
      </c>
      <c r="J4188">
        <v>-440.40719999999999</v>
      </c>
      <c r="K4188">
        <v>1.1217839999999999</v>
      </c>
      <c r="L4188">
        <v>214.65299999999999</v>
      </c>
      <c r="M4188">
        <v>0.99986929999999996</v>
      </c>
      <c r="N4188">
        <v>-1.432656E-2</v>
      </c>
      <c r="O4188">
        <v>-7.4801900000000003E-3</v>
      </c>
      <c r="P4188">
        <v>0.99820759999999997</v>
      </c>
      <c r="Q4188">
        <v>-5.5778849999999998E-2</v>
      </c>
      <c r="R4188">
        <v>2.168585E-2</v>
      </c>
      <c r="S4188">
        <v>3.0006409999999999</v>
      </c>
      <c r="T4188">
        <v>-0.13991879999999901</v>
      </c>
      <c r="U4188">
        <v>-0.14256289999999999</v>
      </c>
      <c r="V4188">
        <v>-2.9101539999999999E-2</v>
      </c>
      <c r="W4188">
        <v>-4.151088E-2</v>
      </c>
      <c r="X4188">
        <v>0.99871410000000005</v>
      </c>
      <c r="Y4188">
        <v>3.9930680000000003E-2</v>
      </c>
      <c r="Z4188">
        <v>-9.7504150000000001E-4</v>
      </c>
      <c r="AA4188">
        <v>0.99920200000000003</v>
      </c>
      <c r="AB4188">
        <v>26</v>
      </c>
      <c r="AC4188">
        <v>23.8082999999999</v>
      </c>
      <c r="AD4188">
        <v>-1.1217805270999901</v>
      </c>
      <c r="AE4188">
        <v>-1.14169999999998</v>
      </c>
      <c r="AF4188">
        <v>0.96142964257046704</v>
      </c>
      <c r="AG4188">
        <v>-1.1217805270999901</v>
      </c>
      <c r="AH4188">
        <v>23.763540032371001</v>
      </c>
      <c r="AI4188">
        <v>92.700489448338502</v>
      </c>
      <c r="AJ4188">
        <v>87.683180443805597</v>
      </c>
      <c r="AK4188">
        <v>23.809421945496499</v>
      </c>
      <c r="AL4188">
        <v>92.3790819269678</v>
      </c>
      <c r="AM4188">
        <v>91.669069998293693</v>
      </c>
      <c r="AN4188">
        <v>0.99999995316377599</v>
      </c>
    </row>
    <row r="4189" spans="1:40" x14ac:dyDescent="0.25">
      <c r="A4189" t="str">
        <f>"20190303153851392"</f>
        <v>20190303153851392</v>
      </c>
      <c r="B4189" t="str">
        <f>"1551598731382549"</f>
        <v>1551598731382549</v>
      </c>
      <c r="C4189" t="s">
        <v>40</v>
      </c>
      <c r="D4189">
        <v>4.3676820000000003</v>
      </c>
      <c r="E4189">
        <v>0.52618169999999898</v>
      </c>
      <c r="F4189" t="s">
        <v>57</v>
      </c>
      <c r="G4189">
        <v>-416.67689999999999</v>
      </c>
      <c r="H4189" s="1">
        <v>3.485964E-6</v>
      </c>
      <c r="I4189">
        <v>213.52010000000001</v>
      </c>
      <c r="J4189">
        <v>-440.2133</v>
      </c>
      <c r="K4189">
        <v>1.1217809999999999</v>
      </c>
      <c r="L4189">
        <v>214.65209999999999</v>
      </c>
      <c r="M4189">
        <v>0.99987230000000005</v>
      </c>
      <c r="N4189">
        <v>-1.439669E-2</v>
      </c>
      <c r="O4189">
        <v>-6.9413740000000002E-3</v>
      </c>
      <c r="P4189">
        <v>0.99819219999999997</v>
      </c>
      <c r="Q4189">
        <v>-5.5977939999999997E-2</v>
      </c>
      <c r="R4189">
        <v>2.1878390000000001E-2</v>
      </c>
      <c r="S4189">
        <v>3.0005489999999999</v>
      </c>
      <c r="T4189">
        <v>-0.1418421</v>
      </c>
      <c r="U4189">
        <v>-0.1432495</v>
      </c>
      <c r="V4189">
        <v>-2.875612E-2</v>
      </c>
      <c r="W4189">
        <v>-4.163948E-2</v>
      </c>
      <c r="X4189">
        <v>0.99871880000000002</v>
      </c>
      <c r="Y4189">
        <v>4.0695990000000001E-2</v>
      </c>
      <c r="Z4189">
        <v>-1.026246E-3</v>
      </c>
      <c r="AA4189">
        <v>0.99917100000000003</v>
      </c>
      <c r="AB4189">
        <v>26</v>
      </c>
      <c r="AC4189">
        <v>23.5364</v>
      </c>
      <c r="AD4189">
        <v>-1.121777514036</v>
      </c>
      <c r="AE4189">
        <v>-1.1319999999999699</v>
      </c>
      <c r="AF4189">
        <v>0.96639064489300797</v>
      </c>
      <c r="AG4189">
        <v>-1.121777514036</v>
      </c>
      <c r="AH4189">
        <v>23.490453350192901</v>
      </c>
      <c r="AI4189">
        <v>92.731753475171601</v>
      </c>
      <c r="AJ4189">
        <v>87.6441961916195</v>
      </c>
      <c r="AK4189">
        <v>23.5370706390392</v>
      </c>
      <c r="AL4189">
        <v>92.386456426343798</v>
      </c>
      <c r="AM4189">
        <v>91.649262263798093</v>
      </c>
      <c r="AN4189">
        <v>1.0000000011027801</v>
      </c>
    </row>
    <row r="4190" spans="1:40" x14ac:dyDescent="0.25">
      <c r="A4190" t="str">
        <f>"20190303153851411"</f>
        <v>20190303153851411</v>
      </c>
      <c r="B4190" t="str">
        <f>"1551598731403045"</f>
        <v>1551598731403045</v>
      </c>
      <c r="C4190" t="s">
        <v>40</v>
      </c>
      <c r="D4190">
        <v>4.3649009999999997</v>
      </c>
      <c r="E4190">
        <v>0.5261922</v>
      </c>
      <c r="F4190" t="s">
        <v>57</v>
      </c>
      <c r="G4190">
        <v>-416.62549999999999</v>
      </c>
      <c r="H4190" s="1">
        <v>3.4759320000000001E-6</v>
      </c>
      <c r="I4190">
        <v>213.53049999999999</v>
      </c>
      <c r="J4190">
        <v>-439.98820000000001</v>
      </c>
      <c r="K4190">
        <v>1.1217779999999999</v>
      </c>
      <c r="L4190">
        <v>214.65129999999999</v>
      </c>
      <c r="M4190">
        <v>0.99987539999999997</v>
      </c>
      <c r="N4190">
        <v>-1.4468160000000001E-2</v>
      </c>
      <c r="O4190">
        <v>-6.3125730000000001E-3</v>
      </c>
      <c r="P4190">
        <v>0.9981776</v>
      </c>
      <c r="Q4190">
        <v>-5.6140099999999998E-2</v>
      </c>
      <c r="R4190">
        <v>2.2136039999999999E-2</v>
      </c>
      <c r="S4190">
        <v>3.0005799999999998</v>
      </c>
      <c r="T4190">
        <v>-0.1427001</v>
      </c>
      <c r="U4190">
        <v>-0.1426849</v>
      </c>
      <c r="V4190">
        <v>-2.8385980000000002E-2</v>
      </c>
      <c r="W4190">
        <v>-4.1729740000000001E-2</v>
      </c>
      <c r="X4190">
        <v>0.99872559999999999</v>
      </c>
      <c r="Y4190">
        <v>4.113464E-2</v>
      </c>
      <c r="Z4190">
        <v>-1.066394E-3</v>
      </c>
      <c r="AA4190">
        <v>0.99915299999999996</v>
      </c>
      <c r="AB4190">
        <v>26</v>
      </c>
      <c r="AC4190">
        <v>23.3627</v>
      </c>
      <c r="AD4190">
        <v>-1.1217745240679999</v>
      </c>
      <c r="AE4190">
        <v>-1.1208</v>
      </c>
      <c r="AF4190">
        <v>0.97104986144283301</v>
      </c>
      <c r="AG4190">
        <v>-1.1217745240679999</v>
      </c>
      <c r="AH4190">
        <v>23.315679423106499</v>
      </c>
      <c r="AI4190">
        <v>92.752134250703406</v>
      </c>
      <c r="AJ4190">
        <v>87.615127453115605</v>
      </c>
      <c r="AK4190">
        <v>23.3628385021455</v>
      </c>
      <c r="AL4190">
        <v>92.391632493802703</v>
      </c>
      <c r="AM4190">
        <v>91.628033883743399</v>
      </c>
      <c r="AN4190">
        <v>0.99999997957819298</v>
      </c>
    </row>
    <row r="4191" spans="1:40" x14ac:dyDescent="0.25">
      <c r="A4191" t="str">
        <f>"20190303153851433"</f>
        <v>20190303153851433</v>
      </c>
      <c r="B4191" t="str">
        <f>"1551598731422565"</f>
        <v>1551598731422565</v>
      </c>
      <c r="C4191" t="s">
        <v>40</v>
      </c>
      <c r="D4191">
        <v>4.4049670000000001</v>
      </c>
      <c r="E4191">
        <v>0.52628169999999996</v>
      </c>
      <c r="F4191" t="s">
        <v>57</v>
      </c>
      <c r="G4191">
        <v>-416.60169999999999</v>
      </c>
      <c r="H4191" s="1">
        <v>3.4704799999999999E-6</v>
      </c>
      <c r="I4191">
        <v>213.5446</v>
      </c>
      <c r="J4191">
        <v>-439.73239999999998</v>
      </c>
      <c r="K4191">
        <v>1.1217809999999999</v>
      </c>
      <c r="L4191">
        <v>214.65049999999999</v>
      </c>
      <c r="M4191">
        <v>0.99987879999999996</v>
      </c>
      <c r="N4191">
        <v>-1.453803E-2</v>
      </c>
      <c r="O4191">
        <v>-5.5956779999999998E-3</v>
      </c>
      <c r="P4191">
        <v>0.99816570000000004</v>
      </c>
      <c r="Q4191">
        <v>-5.5911809999999999E-2</v>
      </c>
      <c r="R4191">
        <v>2.3227419999999999E-2</v>
      </c>
      <c r="S4191">
        <v>3.0005489999999999</v>
      </c>
      <c r="T4191">
        <v>-0.1439271</v>
      </c>
      <c r="U4191">
        <v>-0.141983</v>
      </c>
      <c r="V4191">
        <v>-2.8762079999999999E-2</v>
      </c>
      <c r="W4191">
        <v>-4.1432089999999998E-2</v>
      </c>
      <c r="X4191">
        <v>0.99872729999999998</v>
      </c>
      <c r="Y4191">
        <v>4.1616239999999999E-2</v>
      </c>
      <c r="Z4191">
        <v>-1.1130770000000001E-3</v>
      </c>
      <c r="AA4191">
        <v>0.9991331</v>
      </c>
      <c r="AB4191">
        <v>26</v>
      </c>
      <c r="AC4191">
        <v>23.130699999999901</v>
      </c>
      <c r="AD4191">
        <v>-1.1217775295200001</v>
      </c>
      <c r="AE4191">
        <v>-1.1058999999999899</v>
      </c>
      <c r="AF4191">
        <v>0.97415110077782496</v>
      </c>
      <c r="AG4191">
        <v>-1.1217775295200001</v>
      </c>
      <c r="AH4191">
        <v>23.082360982552</v>
      </c>
      <c r="AI4191">
        <v>92.779852562555902</v>
      </c>
      <c r="AJ4191">
        <v>87.583364865453902</v>
      </c>
      <c r="AK4191">
        <v>23.1301263230818</v>
      </c>
      <c r="AL4191">
        <v>92.374563480960006</v>
      </c>
      <c r="AM4191">
        <v>91.6495898696799</v>
      </c>
      <c r="AN4191">
        <v>1.0000000475464901</v>
      </c>
    </row>
    <row r="4192" spans="1:40" x14ac:dyDescent="0.25">
      <c r="A4192" t="str">
        <f>"20190303153851454"</f>
        <v>20190303153851454</v>
      </c>
      <c r="B4192" t="str">
        <f>"1551598731443061"</f>
        <v>1551598731443061</v>
      </c>
      <c r="C4192" t="s">
        <v>40</v>
      </c>
      <c r="D4192">
        <v>4.4163600000000001</v>
      </c>
      <c r="E4192">
        <v>0.52630909999999997</v>
      </c>
      <c r="F4192" t="s">
        <v>57</v>
      </c>
      <c r="G4192">
        <v>-416.27550000000002</v>
      </c>
      <c r="H4192" s="1">
        <v>3.411267E-6</v>
      </c>
      <c r="I4192">
        <v>213.5599</v>
      </c>
      <c r="J4192">
        <v>-439.4819</v>
      </c>
      <c r="K4192">
        <v>1.121783</v>
      </c>
      <c r="L4192">
        <v>214.6499</v>
      </c>
      <c r="M4192">
        <v>0.99988160000000004</v>
      </c>
      <c r="N4192">
        <v>-1.4596700000000001E-2</v>
      </c>
      <c r="O4192">
        <v>-4.891589E-3</v>
      </c>
      <c r="P4192">
        <v>0.99819000000000002</v>
      </c>
      <c r="Q4192">
        <v>-5.5061980000000003E-2</v>
      </c>
      <c r="R4192">
        <v>2.419168E-2</v>
      </c>
      <c r="S4192">
        <v>3.0007320000000002</v>
      </c>
      <c r="T4192">
        <v>-0.14350350000000001</v>
      </c>
      <c r="U4192">
        <v>-0.1395111</v>
      </c>
      <c r="V4192">
        <v>-2.902509E-2</v>
      </c>
      <c r="W4192">
        <v>-4.0523429999999999E-2</v>
      </c>
      <c r="X4192">
        <v>0.99875689999999995</v>
      </c>
      <c r="Y4192">
        <v>4.149568E-2</v>
      </c>
      <c r="Z4192">
        <v>-1.1320519999999999E-3</v>
      </c>
      <c r="AA4192">
        <v>0.99913810000000003</v>
      </c>
      <c r="AB4192">
        <v>26</v>
      </c>
      <c r="AC4192">
        <v>23.206399999999899</v>
      </c>
      <c r="AD4192">
        <v>-1.121779588733</v>
      </c>
      <c r="AE4192">
        <v>-1.0900000000000001</v>
      </c>
      <c r="AF4192">
        <v>0.97418734767632498</v>
      </c>
      <c r="AG4192">
        <v>-1.121779588733</v>
      </c>
      <c r="AH4192">
        <v>23.157462204319099</v>
      </c>
      <c r="AI4192">
        <v>92.770872207186599</v>
      </c>
      <c r="AJ4192">
        <v>87.591103407544594</v>
      </c>
      <c r="AK4192">
        <v>23.205074578172301</v>
      </c>
      <c r="AL4192">
        <v>92.322457501654497</v>
      </c>
      <c r="AM4192">
        <v>91.664616510010802</v>
      </c>
      <c r="AN4192">
        <v>0.99999997476304103</v>
      </c>
    </row>
    <row r="4193" spans="1:40" x14ac:dyDescent="0.25">
      <c r="A4193" t="str">
        <f>"20190303153851470"</f>
        <v>20190303153851470</v>
      </c>
      <c r="B4193" t="str">
        <f>"1551598731462544"</f>
        <v>1551598731462544</v>
      </c>
      <c r="C4193" t="s">
        <v>40</v>
      </c>
      <c r="D4193">
        <v>4.3573309999999896</v>
      </c>
      <c r="E4193">
        <v>0.5046754</v>
      </c>
      <c r="F4193" t="s">
        <v>57</v>
      </c>
      <c r="G4193">
        <v>-415.25830000000002</v>
      </c>
      <c r="H4193" s="1">
        <v>3.2320179999999998E-6</v>
      </c>
      <c r="I4193">
        <v>213.54640000000001</v>
      </c>
      <c r="J4193">
        <v>-439.30549999999999</v>
      </c>
      <c r="K4193">
        <v>1.1217859999999999</v>
      </c>
      <c r="L4193">
        <v>214.64959999999999</v>
      </c>
      <c r="M4193">
        <v>0.99988339999999998</v>
      </c>
      <c r="N4193">
        <v>-1.463151E-2</v>
      </c>
      <c r="O4193">
        <v>-4.3955870000000003E-3</v>
      </c>
      <c r="P4193">
        <v>0.99817040000000001</v>
      </c>
      <c r="Q4193">
        <v>-5.5011070000000002E-2</v>
      </c>
      <c r="R4193">
        <v>2.5097359999999999E-2</v>
      </c>
      <c r="S4193">
        <v>3.001099</v>
      </c>
      <c r="T4193">
        <v>-0.1389792</v>
      </c>
      <c r="U4193">
        <v>-0.13670350000000001</v>
      </c>
      <c r="V4193">
        <v>-2.9435240000000001E-2</v>
      </c>
      <c r="W4193">
        <v>-4.0438370000000001E-2</v>
      </c>
      <c r="X4193">
        <v>0.99874839999999998</v>
      </c>
      <c r="Y4193">
        <v>4.10564E-2</v>
      </c>
      <c r="Z4193">
        <v>-1.111316E-3</v>
      </c>
      <c r="AA4193">
        <v>0.99915620000000005</v>
      </c>
      <c r="AB4193">
        <v>26</v>
      </c>
      <c r="AC4193">
        <v>24.047199999999901</v>
      </c>
      <c r="AD4193">
        <v>-1.1217827679820001</v>
      </c>
      <c r="AE4193">
        <v>-1.10319999999998</v>
      </c>
      <c r="AF4193">
        <v>0.99531507138605602</v>
      </c>
      <c r="AG4193">
        <v>-1.1217827679820001</v>
      </c>
      <c r="AH4193">
        <v>23.9997001497408</v>
      </c>
      <c r="AI4193">
        <v>92.673849678774602</v>
      </c>
      <c r="AJ4193">
        <v>87.625191483224796</v>
      </c>
      <c r="AK4193">
        <v>24.0465102654696</v>
      </c>
      <c r="AL4193">
        <v>92.317579794465402</v>
      </c>
      <c r="AM4193">
        <v>91.688139845263606</v>
      </c>
      <c r="AN4193">
        <v>1.00000003081233</v>
      </c>
    </row>
    <row r="4194" spans="1:40" x14ac:dyDescent="0.25">
      <c r="A4194" t="str">
        <f>"20190303153851488"</f>
        <v>20190303153851488</v>
      </c>
      <c r="B4194" t="str">
        <f>"1551598731483040"</f>
        <v>1551598731483040</v>
      </c>
      <c r="C4194" t="s">
        <v>40</v>
      </c>
      <c r="D4194">
        <v>4.3588789999999999</v>
      </c>
      <c r="E4194">
        <v>0.50440109999999905</v>
      </c>
      <c r="F4194" t="s">
        <v>55</v>
      </c>
      <c r="G4194">
        <v>-388.024</v>
      </c>
      <c r="H4194" s="1">
        <v>2.702233E-6</v>
      </c>
      <c r="I4194">
        <v>215.32490000000001</v>
      </c>
      <c r="J4194">
        <v>-439.09019999999998</v>
      </c>
      <c r="K4194">
        <v>1.1217779999999999</v>
      </c>
      <c r="L4194">
        <v>214.64930000000001</v>
      </c>
      <c r="M4194">
        <v>0.99988619999999995</v>
      </c>
      <c r="N4194">
        <v>-1.461644E-2</v>
      </c>
      <c r="O4194">
        <v>-3.7859970000000001E-3</v>
      </c>
      <c r="P4194">
        <v>0.99819860000000005</v>
      </c>
      <c r="Q4194">
        <v>-5.4145779999999998E-2</v>
      </c>
      <c r="R4194">
        <v>2.5847350000000002E-2</v>
      </c>
      <c r="S4194">
        <v>3.0008849999999998</v>
      </c>
      <c r="T4194">
        <v>-6.5644380000000002E-2</v>
      </c>
      <c r="U4194">
        <v>3.9520260000000001E-2</v>
      </c>
      <c r="V4194">
        <v>-2.9578159999999999E-2</v>
      </c>
      <c r="W4194">
        <v>-3.9587780000000003E-2</v>
      </c>
      <c r="X4194">
        <v>0.99877819999999995</v>
      </c>
      <c r="Y4194">
        <v>-1.6947509999999999E-2</v>
      </c>
      <c r="Z4194">
        <v>3.366957E-4</v>
      </c>
      <c r="AA4194">
        <v>0.99985639999999998</v>
      </c>
      <c r="AB4194">
        <v>26</v>
      </c>
      <c r="AC4194">
        <v>51.066199999999903</v>
      </c>
      <c r="AD4194">
        <v>-1.1217752977669999</v>
      </c>
      <c r="AE4194">
        <v>0.67560000000000198</v>
      </c>
      <c r="AF4194">
        <v>-0.868533215501338</v>
      </c>
      <c r="AG4194">
        <v>-1.1217752977669999</v>
      </c>
      <c r="AH4194">
        <v>51.038651318680003</v>
      </c>
      <c r="AI4194">
        <v>91.2589153951443</v>
      </c>
      <c r="AJ4194">
        <v>90.974917706762099</v>
      </c>
      <c r="AK4194">
        <v>51.0583652127142</v>
      </c>
      <c r="AL4194">
        <v>92.268805640482498</v>
      </c>
      <c r="AM4194">
        <v>91.6962810868811</v>
      </c>
      <c r="AN4194">
        <v>0.999999976334776</v>
      </c>
    </row>
    <row r="4195" spans="1:40" x14ac:dyDescent="0.25">
      <c r="A4195" t="str">
        <f>"20190303153851511"</f>
        <v>20190303153851511</v>
      </c>
      <c r="B4195" t="str">
        <f>"1551598731502559"</f>
        <v>1551598731502559</v>
      </c>
      <c r="C4195" t="s">
        <v>40</v>
      </c>
      <c r="D4195">
        <v>4.3876970000000002</v>
      </c>
      <c r="E4195">
        <v>0.50417100000000004</v>
      </c>
      <c r="F4195" t="s">
        <v>55</v>
      </c>
      <c r="G4195">
        <v>-362.01209999999998</v>
      </c>
      <c r="H4195" s="1">
        <v>-4.6605480000000002E-7</v>
      </c>
      <c r="I4195">
        <v>215.78309999999999</v>
      </c>
      <c r="J4195">
        <v>-438.8245</v>
      </c>
      <c r="K4195">
        <v>1.121742</v>
      </c>
      <c r="L4195">
        <v>214.6491</v>
      </c>
      <c r="M4195">
        <v>0.99989130000000004</v>
      </c>
      <c r="N4195">
        <v>-1.443639E-2</v>
      </c>
      <c r="O4195">
        <v>-3.0270779999999999E-3</v>
      </c>
      <c r="P4195">
        <v>0.99819559999999996</v>
      </c>
      <c r="Q4195">
        <v>-5.3823250000000003E-2</v>
      </c>
      <c r="R4195">
        <v>2.6623600000000001E-2</v>
      </c>
      <c r="S4195">
        <v>3.0018919999999998</v>
      </c>
      <c r="T4195">
        <v>-4.3688890000000001E-2</v>
      </c>
      <c r="U4195">
        <v>4.4158940000000001E-2</v>
      </c>
      <c r="V4195">
        <v>-2.959643E-2</v>
      </c>
      <c r="W4195">
        <v>-3.9445239999999999E-2</v>
      </c>
      <c r="X4195">
        <v>0.99878330000000004</v>
      </c>
      <c r="Y4195">
        <v>-1.7732040000000001E-2</v>
      </c>
      <c r="Z4195">
        <v>2.5739179999999999E-4</v>
      </c>
      <c r="AA4195">
        <v>0.99984280000000003</v>
      </c>
      <c r="AB4195">
        <v>26</v>
      </c>
      <c r="AC4195">
        <v>76.812399999999997</v>
      </c>
      <c r="AD4195">
        <v>-1.1217424660548001</v>
      </c>
      <c r="AE4195">
        <v>1.1339999999999799</v>
      </c>
      <c r="AF4195">
        <v>-1.36624482981733</v>
      </c>
      <c r="AG4195">
        <v>-1.1217424660548001</v>
      </c>
      <c r="AH4195">
        <v>76.792241256301594</v>
      </c>
      <c r="AI4195">
        <v>90.836756027852104</v>
      </c>
      <c r="AJ4195">
        <v>91.019267094512102</v>
      </c>
      <c r="AK4195">
        <v>76.812585220529996</v>
      </c>
      <c r="AL4195">
        <v>92.260632312079807</v>
      </c>
      <c r="AM4195">
        <v>91.697319580528301</v>
      </c>
      <c r="AN4195">
        <v>0.99999997799314599</v>
      </c>
    </row>
    <row r="4196" spans="1:40" x14ac:dyDescent="0.25">
      <c r="A4196" t="str">
        <f>"20190303153851533"</f>
        <v>20190303153851533</v>
      </c>
      <c r="B4196" t="str">
        <f>"1551598731523055"</f>
        <v>1551598731523055</v>
      </c>
      <c r="C4196" t="s">
        <v>40</v>
      </c>
      <c r="D4196">
        <v>4.378781</v>
      </c>
      <c r="E4196">
        <v>0.50349719999999998</v>
      </c>
      <c r="F4196" t="s">
        <v>55</v>
      </c>
      <c r="G4196">
        <v>-349.07960000000003</v>
      </c>
      <c r="H4196" s="1">
        <v>3.294916E-6</v>
      </c>
      <c r="I4196">
        <v>216.0942</v>
      </c>
      <c r="J4196">
        <v>-438.56569999999999</v>
      </c>
      <c r="K4196">
        <v>1.121664</v>
      </c>
      <c r="L4196">
        <v>214.64920000000001</v>
      </c>
      <c r="M4196">
        <v>0.99989810000000001</v>
      </c>
      <c r="N4196">
        <v>-1.409593E-2</v>
      </c>
      <c r="O4196">
        <v>-2.2921920000000002E-3</v>
      </c>
      <c r="P4196">
        <v>0.99825949999999997</v>
      </c>
      <c r="Q4196">
        <v>-5.2727889999999999E-2</v>
      </c>
      <c r="R4196">
        <v>2.6416709999999999E-2</v>
      </c>
      <c r="S4196">
        <v>3.002075</v>
      </c>
      <c r="T4196">
        <v>-3.7523510000000003E-2</v>
      </c>
      <c r="U4196">
        <v>4.8339840000000002E-2</v>
      </c>
      <c r="V4196">
        <v>-2.865666E-2</v>
      </c>
      <c r="W4196">
        <v>-3.8687920000000001E-2</v>
      </c>
      <c r="X4196">
        <v>0.99884030000000001</v>
      </c>
      <c r="Y4196">
        <v>-1.8389079999999999E-2</v>
      </c>
      <c r="Z4196">
        <v>2.4088110000000001E-4</v>
      </c>
      <c r="AA4196">
        <v>0.99983089999999997</v>
      </c>
      <c r="AB4196">
        <v>26</v>
      </c>
      <c r="AC4196">
        <v>89.486099999999894</v>
      </c>
      <c r="AD4196">
        <v>-1.121660705084</v>
      </c>
      <c r="AE4196">
        <v>1.4449999999999901</v>
      </c>
      <c r="AF4196">
        <v>-1.64987674106765</v>
      </c>
      <c r="AG4196">
        <v>-1.121660705084</v>
      </c>
      <c r="AH4196">
        <v>89.468499329081396</v>
      </c>
      <c r="AI4196">
        <v>90.718153711417699</v>
      </c>
      <c r="AJ4196">
        <v>91.056464133157107</v>
      </c>
      <c r="AK4196">
        <v>89.490740237165795</v>
      </c>
      <c r="AL4196">
        <v>92.217207978000204</v>
      </c>
      <c r="AM4196">
        <v>91.643361210435501</v>
      </c>
      <c r="AN4196">
        <v>0.999999952110185</v>
      </c>
    </row>
    <row r="4197" spans="1:40" x14ac:dyDescent="0.25">
      <c r="A4197" t="str">
        <f>"20190303153851554"</f>
        <v>20190303153851554</v>
      </c>
      <c r="B4197" t="str">
        <f>"1551598731542576"</f>
        <v>1551598731542576</v>
      </c>
      <c r="C4197" t="s">
        <v>40</v>
      </c>
      <c r="D4197">
        <v>4.3470430000000002</v>
      </c>
      <c r="E4197">
        <v>0.50400040000000002</v>
      </c>
      <c r="F4197" t="s">
        <v>55</v>
      </c>
      <c r="G4197">
        <v>-343.03969999999998</v>
      </c>
      <c r="H4197" s="1">
        <v>8.0805709999999996E-8</v>
      </c>
      <c r="I4197">
        <v>216.34030000000001</v>
      </c>
      <c r="J4197">
        <v>-438.31439999999998</v>
      </c>
      <c r="K4197">
        <v>1.121577</v>
      </c>
      <c r="L4197">
        <v>214.64940000000001</v>
      </c>
      <c r="M4197">
        <v>0.99990520000000005</v>
      </c>
      <c r="N4197">
        <v>-1.368861E-2</v>
      </c>
      <c r="O4197">
        <v>-1.5740870000000001E-3</v>
      </c>
      <c r="P4197">
        <v>0.99831190000000003</v>
      </c>
      <c r="Q4197">
        <v>-5.2068330000000003E-2</v>
      </c>
      <c r="R4197">
        <v>2.5738759999999999E-2</v>
      </c>
      <c r="S4197">
        <v>3.0019840000000002</v>
      </c>
      <c r="T4197">
        <v>-3.5249229999999999E-2</v>
      </c>
      <c r="U4197">
        <v>5.3146359999999997E-2</v>
      </c>
      <c r="V4197">
        <v>-2.7262809999999998E-2</v>
      </c>
      <c r="W4197">
        <v>-3.8432349999999997E-2</v>
      </c>
      <c r="X4197">
        <v>0.99888920000000003</v>
      </c>
      <c r="Y4197">
        <v>-1.9272060000000001E-2</v>
      </c>
      <c r="Z4197">
        <v>2.41998E-4</v>
      </c>
      <c r="AA4197">
        <v>0.99981430000000004</v>
      </c>
      <c r="AB4197">
        <v>26</v>
      </c>
      <c r="AC4197">
        <v>95.274699999999996</v>
      </c>
      <c r="AD4197">
        <v>-1.1215769191942899</v>
      </c>
      <c r="AE4197">
        <v>1.6908999999999901</v>
      </c>
      <c r="AF4197">
        <v>-1.8406276089518701</v>
      </c>
      <c r="AG4197">
        <v>-1.1215769191942899</v>
      </c>
      <c r="AH4197">
        <v>95.258723201863603</v>
      </c>
      <c r="AI4197">
        <v>90.674443886041402</v>
      </c>
      <c r="AJ4197">
        <v>91.106954495450395</v>
      </c>
      <c r="AK4197">
        <v>95.283105484811799</v>
      </c>
      <c r="AL4197">
        <v>92.202553956792997</v>
      </c>
      <c r="AM4197">
        <v>91.563392877523</v>
      </c>
      <c r="AN4197">
        <v>0.99999997010612796</v>
      </c>
    </row>
    <row r="4198" spans="1:40" x14ac:dyDescent="0.25">
      <c r="A4198" t="str">
        <f>"20190303153851577"</f>
        <v>20190303153851577</v>
      </c>
      <c r="B4198" t="str">
        <f>"1551598731572447"</f>
        <v>1551598731572447</v>
      </c>
      <c r="C4198" t="s">
        <v>40</v>
      </c>
      <c r="D4198">
        <v>4.3235469999999996</v>
      </c>
      <c r="E4198">
        <v>0.50456080000000003</v>
      </c>
      <c r="F4198" t="s">
        <v>57</v>
      </c>
      <c r="G4198">
        <v>-305.88990000000001</v>
      </c>
      <c r="H4198" s="1">
        <v>1.6084909999999999E-6</v>
      </c>
      <c r="I4198">
        <v>216.72890000000001</v>
      </c>
      <c r="J4198">
        <v>-438.05459999999999</v>
      </c>
      <c r="K4198">
        <v>1.121491</v>
      </c>
      <c r="L4198">
        <v>214.6499</v>
      </c>
      <c r="M4198">
        <v>0.99991200000000002</v>
      </c>
      <c r="N4198">
        <v>-1.325135E-2</v>
      </c>
      <c r="O4198">
        <v>-8.2588089999999996E-4</v>
      </c>
      <c r="P4198">
        <v>0.99832790000000005</v>
      </c>
      <c r="Q4198">
        <v>-5.2183889999999997E-2</v>
      </c>
      <c r="R4198">
        <v>2.486729E-2</v>
      </c>
      <c r="S4198">
        <v>3.0025330000000001</v>
      </c>
      <c r="T4198">
        <v>-2.5430080000000001E-2</v>
      </c>
      <c r="U4198">
        <v>4.7149660000000003E-2</v>
      </c>
      <c r="V4198">
        <v>-2.5644210000000001E-2</v>
      </c>
      <c r="W4198">
        <v>-3.8981849999999998E-2</v>
      </c>
      <c r="X4198">
        <v>0.99891079999999999</v>
      </c>
      <c r="Y4198">
        <v>-1.6525680000000001E-2</v>
      </c>
      <c r="Z4198">
        <v>1.7553759999999901E-4</v>
      </c>
      <c r="AA4198">
        <v>0.99986339999999996</v>
      </c>
      <c r="AB4198">
        <v>26</v>
      </c>
      <c r="AC4198">
        <v>132.16469999999899</v>
      </c>
      <c r="AD4198">
        <v>-1.1214893915090001</v>
      </c>
      <c r="AE4198">
        <v>2.0790000000000002</v>
      </c>
      <c r="AF4198">
        <v>-2.1880036542064398</v>
      </c>
      <c r="AG4198">
        <v>-1.1214893915090001</v>
      </c>
      <c r="AH4198">
        <v>132.15342447997199</v>
      </c>
      <c r="AI4198">
        <v>90.486149051132799</v>
      </c>
      <c r="AJ4198">
        <v>90.948533286153605</v>
      </c>
      <c r="AK4198">
        <v>132.17629401760999</v>
      </c>
      <c r="AL4198">
        <v>92.234061537924902</v>
      </c>
      <c r="AM4198">
        <v>91.470584102808701</v>
      </c>
      <c r="AN4198">
        <v>0.99999999824629304</v>
      </c>
    </row>
    <row r="4199" spans="1:40" x14ac:dyDescent="0.25">
      <c r="A4199" t="str">
        <f>"20190303153851602"</f>
        <v>20190303153851602</v>
      </c>
      <c r="B4199" t="str">
        <f>"1551598731592943"</f>
        <v>1551598731592943</v>
      </c>
      <c r="C4199" t="s">
        <v>40</v>
      </c>
      <c r="D4199">
        <v>4.3313959999999998</v>
      </c>
      <c r="E4199">
        <v>0.50485829999999998</v>
      </c>
      <c r="F4199" t="s">
        <v>55</v>
      </c>
      <c r="G4199">
        <v>-254.84549999999999</v>
      </c>
      <c r="H4199" s="1">
        <v>9.3295349999999999E-7</v>
      </c>
      <c r="I4199">
        <v>217.10560000000001</v>
      </c>
      <c r="J4199">
        <v>-437.75420000000003</v>
      </c>
      <c r="K4199">
        <v>1.12141</v>
      </c>
      <c r="L4199">
        <v>214.65049999999999</v>
      </c>
      <c r="M4199">
        <v>0.99991859999999999</v>
      </c>
      <c r="N4199">
        <v>-1.2761160000000001E-2</v>
      </c>
      <c r="O4199" s="1">
        <v>4.2240929999999999E-5</v>
      </c>
      <c r="P4199">
        <v>0.99829239999999997</v>
      </c>
      <c r="Q4199">
        <v>-5.3024109999999999E-2</v>
      </c>
      <c r="R4199">
        <v>2.4508410000000001E-2</v>
      </c>
      <c r="S4199">
        <v>3.0030519999999998</v>
      </c>
      <c r="T4199">
        <v>-1.838279E-2</v>
      </c>
      <c r="U4199">
        <v>4.0252690000000001E-2</v>
      </c>
      <c r="V4199">
        <v>-2.441782E-2</v>
      </c>
      <c r="W4199">
        <v>-4.031009E-2</v>
      </c>
      <c r="X4199">
        <v>0.99888880000000002</v>
      </c>
      <c r="Y4199">
        <v>-1.335972E-2</v>
      </c>
      <c r="Z4199">
        <v>1.2642059999999999E-4</v>
      </c>
      <c r="AA4199">
        <v>0.99991079999999999</v>
      </c>
      <c r="AB4199">
        <v>26</v>
      </c>
      <c r="AC4199">
        <v>182.90870000000001</v>
      </c>
      <c r="AD4199">
        <v>-1.1214090670465</v>
      </c>
      <c r="AE4199">
        <v>2.4551000000000101</v>
      </c>
      <c r="AF4199">
        <v>-2.4472811612659902</v>
      </c>
      <c r="AG4199">
        <v>-1.1214090670465</v>
      </c>
      <c r="AH4199">
        <v>182.90192971044399</v>
      </c>
      <c r="AI4199">
        <v>90.351256277367796</v>
      </c>
      <c r="AJ4199">
        <v>90.766588493870103</v>
      </c>
      <c r="AK4199">
        <v>182.92173909949099</v>
      </c>
      <c r="AL4199">
        <v>92.310224002441103</v>
      </c>
      <c r="AM4199">
        <v>91.400315492936102</v>
      </c>
      <c r="AN4199">
        <v>0.99999998402739998</v>
      </c>
    </row>
    <row r="4200" spans="1:40" x14ac:dyDescent="0.25">
      <c r="A4200" t="str">
        <f>"20190303153851624"</f>
        <v>20190303153851624</v>
      </c>
      <c r="B4200" t="str">
        <f>"1551598731612463"</f>
        <v>1551598731612463</v>
      </c>
      <c r="C4200" t="s">
        <v>40</v>
      </c>
      <c r="D4200">
        <v>4.3732790000000001</v>
      </c>
      <c r="E4200">
        <v>0.50498599999999905</v>
      </c>
      <c r="F4200" t="s">
        <v>55</v>
      </c>
      <c r="G4200">
        <v>-244.5617</v>
      </c>
      <c r="H4200" s="1">
        <v>7.8575790000000002E-7</v>
      </c>
      <c r="I4200">
        <v>217.0171</v>
      </c>
      <c r="J4200">
        <v>-437.50060000000002</v>
      </c>
      <c r="K4200">
        <v>1.1213610000000001</v>
      </c>
      <c r="L4200">
        <v>214.65129999999999</v>
      </c>
      <c r="M4200">
        <v>0.99992329999999996</v>
      </c>
      <c r="N4200">
        <v>-1.2373210000000001E-2</v>
      </c>
      <c r="O4200">
        <v>7.7237429999999895E-4</v>
      </c>
      <c r="P4200">
        <v>0.99830229999999998</v>
      </c>
      <c r="Q4200">
        <v>-5.3252170000000001E-2</v>
      </c>
      <c r="R4200">
        <v>2.359787E-2</v>
      </c>
      <c r="S4200">
        <v>3.0032649999999999</v>
      </c>
      <c r="T4200">
        <v>-1.743281E-2</v>
      </c>
      <c r="U4200">
        <v>3.6788939999999999E-2</v>
      </c>
      <c r="V4200">
        <v>-2.2777289999999999E-2</v>
      </c>
      <c r="W4200">
        <v>-4.0923380000000002E-2</v>
      </c>
      <c r="X4200">
        <v>0.99890259999999997</v>
      </c>
      <c r="Y4200">
        <v>-1.147576E-2</v>
      </c>
      <c r="Z4200">
        <v>1.093817E-4</v>
      </c>
      <c r="AA4200">
        <v>0.99993410000000005</v>
      </c>
      <c r="AB4200">
        <v>26</v>
      </c>
      <c r="AC4200">
        <v>192.93889999999999</v>
      </c>
      <c r="AD4200">
        <v>-1.1213602142421</v>
      </c>
      <c r="AE4200">
        <v>2.3658000000000001</v>
      </c>
      <c r="AF4200">
        <v>-2.2166919930028199</v>
      </c>
      <c r="AG4200">
        <v>-1.1213602142421</v>
      </c>
      <c r="AH4200">
        <v>192.93415366233199</v>
      </c>
      <c r="AI4200">
        <v>90.332985336461107</v>
      </c>
      <c r="AJ4200">
        <v>90.658263480884301</v>
      </c>
      <c r="AK4200">
        <v>192.950145948434</v>
      </c>
      <c r="AL4200">
        <v>92.345391994773195</v>
      </c>
      <c r="AM4200">
        <v>91.306249951308899</v>
      </c>
      <c r="AN4200">
        <v>0.99999996612856301</v>
      </c>
    </row>
    <row r="4201" spans="1:40" x14ac:dyDescent="0.25">
      <c r="A4201" t="str">
        <f>"20190303153851645"</f>
        <v>20190303153851645</v>
      </c>
      <c r="B4201" t="str">
        <f>"1551598731632959"</f>
        <v>1551598731632959</v>
      </c>
      <c r="C4201" t="s">
        <v>40</v>
      </c>
      <c r="D4201">
        <v>4.3713550000000003</v>
      </c>
      <c r="E4201">
        <v>0.50477929999999904</v>
      </c>
      <c r="F4201" t="s">
        <v>55</v>
      </c>
      <c r="G4201">
        <v>-232.0513</v>
      </c>
      <c r="H4201" s="1">
        <v>-5.4547230000000001E-7</v>
      </c>
      <c r="I4201">
        <v>216.91</v>
      </c>
      <c r="J4201">
        <v>-437.25349999999997</v>
      </c>
      <c r="K4201">
        <v>1.121337</v>
      </c>
      <c r="L4201">
        <v>214.6523</v>
      </c>
      <c r="M4201">
        <v>0.99992669999999995</v>
      </c>
      <c r="N4201">
        <v>-1.202512E-2</v>
      </c>
      <c r="O4201">
        <v>1.4800999999999901E-3</v>
      </c>
      <c r="P4201">
        <v>0.99839500000000003</v>
      </c>
      <c r="Q4201">
        <v>-5.1729740000000003E-2</v>
      </c>
      <c r="R4201">
        <v>2.306165E-2</v>
      </c>
      <c r="S4201">
        <v>3.0035099999999999</v>
      </c>
      <c r="T4201">
        <v>-1.6393419999999999E-2</v>
      </c>
      <c r="U4201">
        <v>3.3020019999999997E-2</v>
      </c>
      <c r="V4201">
        <v>-2.1535599999999998E-2</v>
      </c>
      <c r="W4201">
        <v>-3.9746219999999999E-2</v>
      </c>
      <c r="X4201">
        <v>0.99897769999999997</v>
      </c>
      <c r="Y4201">
        <v>-9.5125999999999995E-3</v>
      </c>
      <c r="Z4201" s="1">
        <v>9.2880069999999997E-5</v>
      </c>
      <c r="AA4201">
        <v>0.99995480000000003</v>
      </c>
      <c r="AB4201">
        <v>26</v>
      </c>
      <c r="AC4201">
        <v>205.2022</v>
      </c>
      <c r="AD4201">
        <v>-1.1213375454723</v>
      </c>
      <c r="AE4201">
        <v>2.2576999999999998</v>
      </c>
      <c r="AF4201">
        <v>-1.9538974800584601</v>
      </c>
      <c r="AG4201">
        <v>-1.1213375454723</v>
      </c>
      <c r="AH4201">
        <v>205.19919028985001</v>
      </c>
      <c r="AI4201">
        <v>90.313082896870199</v>
      </c>
      <c r="AJ4201">
        <v>90.545551353386998</v>
      </c>
      <c r="AK4201">
        <v>205.211556226406</v>
      </c>
      <c r="AL4201">
        <v>92.277890692799801</v>
      </c>
      <c r="AM4201">
        <v>91.234970408790204</v>
      </c>
      <c r="AN4201">
        <v>0.99999999458446898</v>
      </c>
    </row>
    <row r="4202" spans="1:40" x14ac:dyDescent="0.25">
      <c r="A4202" t="str">
        <f>"20190303153851668"</f>
        <v>20190303153851668</v>
      </c>
      <c r="B4202" t="str">
        <f>"1551598731662240"</f>
        <v>1551598731662240</v>
      </c>
      <c r="C4202" t="s">
        <v>40</v>
      </c>
      <c r="D4202">
        <v>4.3729509999999996</v>
      </c>
      <c r="E4202">
        <v>0.50475420000000004</v>
      </c>
      <c r="F4202" t="s">
        <v>51</v>
      </c>
      <c r="G4202">
        <v>-184.2972</v>
      </c>
      <c r="H4202" s="1">
        <v>2.722855E-6</v>
      </c>
      <c r="I4202">
        <v>217.4205</v>
      </c>
      <c r="J4202">
        <v>-436.9855</v>
      </c>
      <c r="K4202">
        <v>1.1213229999999901</v>
      </c>
      <c r="L4202">
        <v>214.65350000000001</v>
      </c>
      <c r="M4202">
        <v>0.99992939999999997</v>
      </c>
      <c r="N4202">
        <v>-1.1684299999999899E-2</v>
      </c>
      <c r="O4202">
        <v>2.2445E-3</v>
      </c>
      <c r="P4202">
        <v>0.99847980000000003</v>
      </c>
      <c r="Q4202">
        <v>-5.0081760000000003E-2</v>
      </c>
      <c r="R4202">
        <v>2.3030439999999999E-2</v>
      </c>
      <c r="S4202">
        <v>3.003387</v>
      </c>
      <c r="T4202">
        <v>-1.3313770000000001E-2</v>
      </c>
      <c r="U4202">
        <v>3.2867430000000003E-2</v>
      </c>
      <c r="V4202">
        <v>-2.074163E-2</v>
      </c>
      <c r="W4202">
        <v>-3.843705E-2</v>
      </c>
      <c r="X4202">
        <v>0.99904570000000004</v>
      </c>
      <c r="Y4202">
        <v>-8.6980010000000003E-3</v>
      </c>
      <c r="Z4202" s="1">
        <v>8.6373809999999997E-5</v>
      </c>
      <c r="AA4202">
        <v>0.99996220000000002</v>
      </c>
      <c r="AB4202">
        <v>26</v>
      </c>
      <c r="AC4202">
        <v>252.6883</v>
      </c>
      <c r="AD4202">
        <v>-1.1213202771449999</v>
      </c>
      <c r="AE4202">
        <v>2.7669999999999901</v>
      </c>
      <c r="AF4202">
        <v>-2.1997522123335802</v>
      </c>
      <c r="AG4202">
        <v>-1.1213202771449999</v>
      </c>
      <c r="AH4202">
        <v>252.68889902810301</v>
      </c>
      <c r="AI4202">
        <v>90.254241732248303</v>
      </c>
      <c r="AJ4202">
        <v>90.498768780652199</v>
      </c>
      <c r="AK4202">
        <v>252.70096153555599</v>
      </c>
      <c r="AL4202">
        <v>92.202823454346898</v>
      </c>
      <c r="AM4202">
        <v>91.189372171780306</v>
      </c>
      <c r="AN4202">
        <v>0.99999996635812405</v>
      </c>
    </row>
    <row r="4203" spans="1:40" x14ac:dyDescent="0.25">
      <c r="A4203" t="str">
        <f>"20190303153851690"</f>
        <v>20190303153851690</v>
      </c>
      <c r="B4203" t="str">
        <f>"1551598731682735"</f>
        <v>1551598731682735</v>
      </c>
      <c r="C4203" t="s">
        <v>40</v>
      </c>
      <c r="D4203">
        <v>4.3594249999999999</v>
      </c>
      <c r="E4203">
        <v>0.50486809999999904</v>
      </c>
      <c r="F4203" t="s">
        <v>67</v>
      </c>
      <c r="G4203">
        <v>-107.39749999999999</v>
      </c>
      <c r="H4203">
        <v>0.32814510000000002</v>
      </c>
      <c r="I4203">
        <v>218.3004</v>
      </c>
      <c r="J4203">
        <v>-436.72160000000002</v>
      </c>
      <c r="K4203">
        <v>1.1213139999999999</v>
      </c>
      <c r="L4203">
        <v>214.6549</v>
      </c>
      <c r="M4203">
        <v>0.99993069999999895</v>
      </c>
      <c r="N4203">
        <v>-1.1384450000000001E-2</v>
      </c>
      <c r="O4203">
        <v>2.9971249999999998E-3</v>
      </c>
      <c r="P4203">
        <v>0.99852929999999995</v>
      </c>
      <c r="Q4203">
        <v>-4.9243439999999999E-2</v>
      </c>
      <c r="R4203">
        <v>2.2680639999999998E-2</v>
      </c>
      <c r="S4203">
        <v>3.0034480000000001</v>
      </c>
      <c r="T4203">
        <v>-7.2275400000000002E-3</v>
      </c>
      <c r="U4203">
        <v>3.3233640000000002E-2</v>
      </c>
      <c r="V4203">
        <v>-1.9639670000000001E-2</v>
      </c>
      <c r="W4203">
        <v>-3.7896590000000001E-2</v>
      </c>
      <c r="X4203">
        <v>0.99908859999999999</v>
      </c>
      <c r="Y4203">
        <v>-8.0672880000000006E-3</v>
      </c>
      <c r="Z4203" s="1">
        <v>8.2539390000000004E-5</v>
      </c>
      <c r="AA4203">
        <v>0.99996750000000001</v>
      </c>
      <c r="AB4203">
        <v>26</v>
      </c>
      <c r="AC4203">
        <v>329.32409999999999</v>
      </c>
      <c r="AD4203">
        <v>-0.79316889999999995</v>
      </c>
      <c r="AE4203">
        <v>3.64549999999999</v>
      </c>
      <c r="AF4203">
        <v>-2.65837874098857</v>
      </c>
      <c r="AG4203">
        <v>-0.79316889999999995</v>
      </c>
      <c r="AH4203">
        <v>329.33163727566199</v>
      </c>
      <c r="AI4203">
        <v>90.137987538771199</v>
      </c>
      <c r="AJ4203">
        <v>90.462483882345495</v>
      </c>
      <c r="AK4203">
        <v>329.343321482465</v>
      </c>
      <c r="AL4203">
        <v>92.171834833844102</v>
      </c>
      <c r="AM4203">
        <v>91.126151667695098</v>
      </c>
      <c r="AN4203">
        <v>0.99999994941064696</v>
      </c>
    </row>
    <row r="4204" spans="1:40" x14ac:dyDescent="0.25">
      <c r="A4204" t="str">
        <f>"20190303153851712"</f>
        <v>20190303153851712</v>
      </c>
      <c r="B4204" t="str">
        <f>"1551598731702259"</f>
        <v>1551598731702259</v>
      </c>
      <c r="C4204" t="s">
        <v>40</v>
      </c>
      <c r="D4204">
        <v>4.3756599999999999</v>
      </c>
      <c r="E4204">
        <v>0.5049207</v>
      </c>
      <c r="F4204" t="s">
        <v>67</v>
      </c>
      <c r="G4204">
        <v>-107.39749999999999</v>
      </c>
      <c r="H4204">
        <v>0.70561370000000001</v>
      </c>
      <c r="I4204">
        <v>218.05950000000001</v>
      </c>
      <c r="J4204">
        <v>-436.45440000000002</v>
      </c>
      <c r="K4204">
        <v>1.12131</v>
      </c>
      <c r="L4204">
        <v>214.65649999999999</v>
      </c>
      <c r="M4204">
        <v>0.99993149999999997</v>
      </c>
      <c r="N4204">
        <v>-1.109573E-2</v>
      </c>
      <c r="O4204">
        <v>3.7619049999999998E-3</v>
      </c>
      <c r="P4204">
        <v>0.9985619</v>
      </c>
      <c r="Q4204">
        <v>-4.8858079999999998E-2</v>
      </c>
      <c r="R4204">
        <v>2.2076080000000001E-2</v>
      </c>
      <c r="S4204">
        <v>3.0035400000000001</v>
      </c>
      <c r="T4204">
        <v>-3.7908550000000001E-3</v>
      </c>
      <c r="U4204">
        <v>3.1051639999999998E-2</v>
      </c>
      <c r="V4204">
        <v>-1.8271019999999999E-2</v>
      </c>
      <c r="W4204">
        <v>-3.7797730000000002E-2</v>
      </c>
      <c r="X4204">
        <v>0.99911839999999996</v>
      </c>
      <c r="Y4204">
        <v>-6.5759159999999898E-3</v>
      </c>
      <c r="Z4204" s="1">
        <v>7.7628080000000002E-5</v>
      </c>
      <c r="AA4204">
        <v>0.99997840000000005</v>
      </c>
      <c r="AB4204">
        <v>27</v>
      </c>
      <c r="AC4204">
        <v>329.05689999999998</v>
      </c>
      <c r="AD4204">
        <v>-0.41569629999999902</v>
      </c>
      <c r="AE4204">
        <v>3.40300000000002</v>
      </c>
      <c r="AF4204">
        <v>-2.1650156255030102</v>
      </c>
      <c r="AG4204">
        <v>-0.41569629999999902</v>
      </c>
      <c r="AH4204">
        <v>329.06684875257599</v>
      </c>
      <c r="AI4204">
        <v>90.072377741771007</v>
      </c>
      <c r="AJ4204">
        <v>90.376958264223902</v>
      </c>
      <c r="AK4204">
        <v>329.074233333488</v>
      </c>
      <c r="AL4204">
        <v>92.166166319907404</v>
      </c>
      <c r="AM4204">
        <v>91.047659277261801</v>
      </c>
      <c r="AN4204">
        <v>1.0000000378917699</v>
      </c>
    </row>
    <row r="4205" spans="1:40" x14ac:dyDescent="0.25">
      <c r="A4205" t="str">
        <f>"20190303153851734"</f>
        <v>20190303153851734</v>
      </c>
      <c r="B4205" t="str">
        <f>"1551598731722751"</f>
        <v>1551598731722751</v>
      </c>
      <c r="C4205" t="s">
        <v>40</v>
      </c>
      <c r="D4205">
        <v>4.365024</v>
      </c>
      <c r="E4205">
        <v>0.50494969999999995</v>
      </c>
      <c r="F4205" t="s">
        <v>67</v>
      </c>
      <c r="G4205">
        <v>-107.39749999999999</v>
      </c>
      <c r="H4205">
        <v>0.91640120000000003</v>
      </c>
      <c r="I4205">
        <v>217.80090000000001</v>
      </c>
      <c r="J4205">
        <v>-436.19619999999998</v>
      </c>
      <c r="K4205">
        <v>1.1212949999999999</v>
      </c>
      <c r="L4205">
        <v>214.6583</v>
      </c>
      <c r="M4205">
        <v>0.99993129999999997</v>
      </c>
      <c r="N4205">
        <v>-1.0818629999999999E-2</v>
      </c>
      <c r="O4205">
        <v>4.5043349999999999E-3</v>
      </c>
      <c r="P4205">
        <v>0.99859969999999998</v>
      </c>
      <c r="Q4205">
        <v>-4.8553569999999997E-2</v>
      </c>
      <c r="R4205">
        <v>2.1001280000000001E-2</v>
      </c>
      <c r="S4205">
        <v>3.0036010000000002</v>
      </c>
      <c r="T4205">
        <v>-1.869917E-3</v>
      </c>
      <c r="U4205">
        <v>2.870178E-2</v>
      </c>
      <c r="V4205">
        <v>-1.6454429999999999E-2</v>
      </c>
      <c r="W4205">
        <v>-3.7767439999999999E-2</v>
      </c>
      <c r="X4205">
        <v>0.99915109999999996</v>
      </c>
      <c r="Y4205">
        <v>-5.0510809999999998E-3</v>
      </c>
      <c r="Z4205" s="1">
        <v>7.4824060000000005E-5</v>
      </c>
      <c r="AA4205">
        <v>0.99998719999999996</v>
      </c>
      <c r="AB4205">
        <v>27</v>
      </c>
      <c r="AC4205">
        <v>328.7987</v>
      </c>
      <c r="AD4205">
        <v>-0.20489379999999999</v>
      </c>
      <c r="AE4205">
        <v>3.1426000000000101</v>
      </c>
      <c r="AF4205">
        <v>-1.66146125251597</v>
      </c>
      <c r="AG4205">
        <v>-0.20489379999999999</v>
      </c>
      <c r="AH4205">
        <v>328.80939256667602</v>
      </c>
      <c r="AI4205">
        <v>90.035702747146601</v>
      </c>
      <c r="AJ4205">
        <v>90.289510912930794</v>
      </c>
      <c r="AK4205">
        <v>328.81365402767199</v>
      </c>
      <c r="AL4205">
        <v>92.164429620383203</v>
      </c>
      <c r="AM4205">
        <v>90.943485102629793</v>
      </c>
      <c r="AN4205">
        <v>1.0000000242109901</v>
      </c>
    </row>
    <row r="4206" spans="1:40" x14ac:dyDescent="0.25">
      <c r="A4206" t="str">
        <f>"20190303153851755"</f>
        <v>20190303153851755</v>
      </c>
      <c r="B4206" t="str">
        <f>"1551598731753008"</f>
        <v>1551598731753008</v>
      </c>
      <c r="C4206" t="s">
        <v>40</v>
      </c>
      <c r="D4206">
        <v>4.3713870000000004</v>
      </c>
      <c r="E4206">
        <v>0.50491109999999995</v>
      </c>
      <c r="F4206" t="s">
        <v>67</v>
      </c>
      <c r="G4206">
        <v>-107.39749999999999</v>
      </c>
      <c r="H4206">
        <v>1.0832040000000001</v>
      </c>
      <c r="I4206">
        <v>217.39930000000001</v>
      </c>
      <c r="J4206">
        <v>-435.94209999999998</v>
      </c>
      <c r="K4206">
        <v>1.1212709999999999</v>
      </c>
      <c r="L4206">
        <v>214.6602</v>
      </c>
      <c r="M4206">
        <v>0.99993109999999996</v>
      </c>
      <c r="N4206">
        <v>-1.051318E-2</v>
      </c>
      <c r="O4206">
        <v>5.2378429999999998E-3</v>
      </c>
      <c r="P4206">
        <v>0.99864399999999998</v>
      </c>
      <c r="Q4206">
        <v>-4.8357619999999997E-2</v>
      </c>
      <c r="R4206">
        <v>1.9283290000000002E-2</v>
      </c>
      <c r="S4206">
        <v>3.0036619999999998</v>
      </c>
      <c r="T4206">
        <v>-3.474951E-4</v>
      </c>
      <c r="U4206">
        <v>2.503967E-2</v>
      </c>
      <c r="V4206">
        <v>-1.400356E-2</v>
      </c>
      <c r="W4206">
        <v>-3.7873129999999998E-2</v>
      </c>
      <c r="X4206">
        <v>0.99918439999999997</v>
      </c>
      <c r="Y4206">
        <v>-3.098309E-3</v>
      </c>
      <c r="Z4206" s="1">
        <v>7.0928039999999999E-5</v>
      </c>
      <c r="AA4206">
        <v>0.99999519999999997</v>
      </c>
      <c r="AB4206">
        <v>27</v>
      </c>
      <c r="AC4206">
        <v>328.5446</v>
      </c>
      <c r="AD4206">
        <v>-3.8066999999999802E-2</v>
      </c>
      <c r="AE4206">
        <v>2.7391000000000001</v>
      </c>
      <c r="AF4206">
        <v>-1.01810240961613</v>
      </c>
      <c r="AG4206">
        <v>-3.8066999999999802E-2</v>
      </c>
      <c r="AH4206">
        <v>328.55443601823498</v>
      </c>
      <c r="AI4206">
        <v>90.0066383762275</v>
      </c>
      <c r="AJ4206">
        <v>90.177543743386593</v>
      </c>
      <c r="AK4206">
        <v>328.556015633367</v>
      </c>
      <c r="AL4206">
        <v>92.170489665652696</v>
      </c>
      <c r="AM4206">
        <v>90.802947243936401</v>
      </c>
      <c r="AN4206">
        <v>0.99999996943601399</v>
      </c>
    </row>
    <row r="4207" spans="1:40" x14ac:dyDescent="0.25">
      <c r="A4207" t="str">
        <f>"20190303153851779"</f>
        <v>20190303153851779</v>
      </c>
      <c r="B4207" t="str">
        <f>"1551598731772529"</f>
        <v>1551598731772529</v>
      </c>
      <c r="C4207" t="s">
        <v>40</v>
      </c>
      <c r="D4207">
        <v>4.3850439999999997</v>
      </c>
      <c r="E4207">
        <v>0.50510580000000005</v>
      </c>
      <c r="F4207" t="s">
        <v>67</v>
      </c>
      <c r="G4207">
        <v>-107.39749999999999</v>
      </c>
      <c r="H4207">
        <v>1.164326</v>
      </c>
      <c r="I4207">
        <v>216.85830000000001</v>
      </c>
      <c r="J4207">
        <v>-435.66239999999999</v>
      </c>
      <c r="K4207">
        <v>1.121218</v>
      </c>
      <c r="L4207">
        <v>214.6626</v>
      </c>
      <c r="M4207">
        <v>0.99993069999999895</v>
      </c>
      <c r="N4207">
        <v>-1.0094840000000001E-2</v>
      </c>
      <c r="O4207">
        <v>6.0478569999999898E-3</v>
      </c>
      <c r="P4207">
        <v>0.99868570000000001</v>
      </c>
      <c r="Q4207">
        <v>-4.8149339999999999E-2</v>
      </c>
      <c r="R4207">
        <v>1.7565270000000001E-2</v>
      </c>
      <c r="S4207">
        <v>3.0037229999999999</v>
      </c>
      <c r="T4207">
        <v>3.9410589999999999E-4</v>
      </c>
      <c r="U4207">
        <v>2.0095829999999999E-2</v>
      </c>
      <c r="V4207">
        <v>-1.147539E-2</v>
      </c>
      <c r="W4207">
        <v>-3.8079259999999997E-2</v>
      </c>
      <c r="X4207">
        <v>0.99920880000000001</v>
      </c>
      <c r="Y4207">
        <v>-6.4231990000000001E-4</v>
      </c>
      <c r="Z4207" s="1">
        <v>6.5047119999999997E-5</v>
      </c>
      <c r="AA4207">
        <v>0.99999979999999999</v>
      </c>
      <c r="AB4207">
        <v>27</v>
      </c>
      <c r="AC4207">
        <v>328.26490000000001</v>
      </c>
      <c r="AD4207">
        <v>4.3107999999999903E-2</v>
      </c>
      <c r="AE4207">
        <v>2.1957000000000102</v>
      </c>
      <c r="AF4207">
        <v>-0.21025938650522999</v>
      </c>
      <c r="AG4207">
        <v>4.3107999999999903E-2</v>
      </c>
      <c r="AH4207">
        <v>328.27217022600399</v>
      </c>
      <c r="AI4207">
        <v>89.992476042240398</v>
      </c>
      <c r="AJ4207">
        <v>90.036698127026895</v>
      </c>
      <c r="AK4207">
        <v>328.27224039233101</v>
      </c>
      <c r="AL4207">
        <v>92.182308568799797</v>
      </c>
      <c r="AM4207">
        <v>90.657983107572804</v>
      </c>
      <c r="AN4207">
        <v>0.999999970307619</v>
      </c>
    </row>
    <row r="4208" spans="1:40" x14ac:dyDescent="0.25">
      <c r="A4208" t="str">
        <f>"20190303153851803"</f>
        <v>20190303153851803</v>
      </c>
      <c r="B4208" t="str">
        <f>"1551598731793024"</f>
        <v>1551598731793024</v>
      </c>
      <c r="C4208" t="s">
        <v>40</v>
      </c>
      <c r="D4208">
        <v>4.276249</v>
      </c>
      <c r="E4208">
        <v>0.50553000000000003</v>
      </c>
      <c r="F4208" t="s">
        <v>67</v>
      </c>
      <c r="G4208">
        <v>-107.39749999999999</v>
      </c>
      <c r="H4208">
        <v>1.1009199999999999</v>
      </c>
      <c r="I4208">
        <v>216.1317</v>
      </c>
      <c r="J4208">
        <v>-435.37079999999997</v>
      </c>
      <c r="K4208">
        <v>1.1211340000000001</v>
      </c>
      <c r="L4208">
        <v>214.6652</v>
      </c>
      <c r="M4208">
        <v>0.99993069999999895</v>
      </c>
      <c r="N4208">
        <v>-9.5572469999999996E-3</v>
      </c>
      <c r="O4208">
        <v>6.8942209999999999E-3</v>
      </c>
      <c r="P4208">
        <v>0.99874010000000002</v>
      </c>
      <c r="Q4208">
        <v>-4.7629879999999999E-2</v>
      </c>
      <c r="R4208">
        <v>1.580266E-2</v>
      </c>
      <c r="S4208">
        <v>3.0036619999999998</v>
      </c>
      <c r="T4208">
        <v>-1.8525120000000001E-4</v>
      </c>
      <c r="U4208">
        <v>1.344299E-2</v>
      </c>
      <c r="V4208">
        <v>-8.8672079999999997E-3</v>
      </c>
      <c r="W4208">
        <v>-3.8093160000000001E-2</v>
      </c>
      <c r="X4208">
        <v>0.99923490000000004</v>
      </c>
      <c r="Y4208">
        <v>2.4187710000000001E-3</v>
      </c>
      <c r="Z4208" s="1">
        <v>5.3833089999999997E-5</v>
      </c>
      <c r="AA4208">
        <v>0.99999709999999997</v>
      </c>
      <c r="AB4208">
        <v>27</v>
      </c>
      <c r="AC4208">
        <v>327.97329999999999</v>
      </c>
      <c r="AD4208">
        <v>-2.0213999999999899E-2</v>
      </c>
      <c r="AE4208">
        <v>1.4664999999999899</v>
      </c>
      <c r="AF4208">
        <v>0.79475822584925904</v>
      </c>
      <c r="AG4208">
        <v>-2.0213999999999899E-2</v>
      </c>
      <c r="AH4208">
        <v>327.97561445523797</v>
      </c>
      <c r="AI4208">
        <v>90.003531279260301</v>
      </c>
      <c r="AJ4208">
        <v>89.861159790734604</v>
      </c>
      <c r="AK4208">
        <v>327.97657801515902</v>
      </c>
      <c r="AL4208">
        <v>92.183105382606399</v>
      </c>
      <c r="AM4208">
        <v>90.5084292582806</v>
      </c>
      <c r="AN4208">
        <v>1.00000005079725</v>
      </c>
    </row>
    <row r="4209" spans="1:40" x14ac:dyDescent="0.25">
      <c r="A4209" t="str">
        <f>"20190303153851868"</f>
        <v>20190303153851868</v>
      </c>
      <c r="B4209" t="str">
        <f>"1551598731862320"</f>
        <v>1551598731862320</v>
      </c>
      <c r="C4209" t="s">
        <v>40</v>
      </c>
      <c r="D4209">
        <v>4.4274969999999998</v>
      </c>
      <c r="E4209">
        <v>0.50614150000000002</v>
      </c>
      <c r="F4209" t="s">
        <v>67</v>
      </c>
      <c r="G4209">
        <v>-107.39749999999999</v>
      </c>
      <c r="H4209">
        <v>1.4695640000000001</v>
      </c>
      <c r="I4209">
        <v>215.20830000000001</v>
      </c>
      <c r="J4209">
        <v>-434.58440000000002</v>
      </c>
      <c r="K4209">
        <v>1.1208739999999999</v>
      </c>
      <c r="L4209">
        <v>214.67359999999999</v>
      </c>
      <c r="M4209">
        <v>0.99992709999999996</v>
      </c>
      <c r="N4209">
        <v>-7.8748840000000004E-3</v>
      </c>
      <c r="O4209">
        <v>9.1679380000000005E-3</v>
      </c>
      <c r="P4209">
        <v>0.99883960000000005</v>
      </c>
      <c r="Q4209">
        <v>-4.69288E-2</v>
      </c>
      <c r="R4209">
        <v>1.083871E-2</v>
      </c>
      <c r="S4209">
        <v>3.003876</v>
      </c>
      <c r="T4209">
        <v>3.1917099999999999E-3</v>
      </c>
      <c r="U4209">
        <v>4.9743649999999997E-3</v>
      </c>
      <c r="V4209">
        <v>-1.62984E-3</v>
      </c>
      <c r="W4209">
        <v>-3.9063309999999997E-2</v>
      </c>
      <c r="X4209">
        <v>0.9992354</v>
      </c>
      <c r="Y4209">
        <v>7.5119599999999998E-3</v>
      </c>
      <c r="Z4209" s="1">
        <v>5.6351819999999999E-5</v>
      </c>
      <c r="AA4209">
        <v>0.99997179999999997</v>
      </c>
      <c r="AB4209">
        <v>27</v>
      </c>
      <c r="AC4209">
        <v>327.18689999999998</v>
      </c>
      <c r="AD4209">
        <v>0.348689999999999</v>
      </c>
      <c r="AE4209">
        <v>0.53470000000001505</v>
      </c>
      <c r="AF4209">
        <v>2.4650414950774699</v>
      </c>
      <c r="AG4209">
        <v>0.348689999999999</v>
      </c>
      <c r="AH4209">
        <v>327.17767930760402</v>
      </c>
      <c r="AI4209">
        <v>89.938938711155203</v>
      </c>
      <c r="AJ4209">
        <v>89.568326904359793</v>
      </c>
      <c r="AK4209">
        <v>327.18715110987802</v>
      </c>
      <c r="AL4209">
        <v>92.238732424710506</v>
      </c>
      <c r="AM4209">
        <v>90.093454325645695</v>
      </c>
      <c r="AN4209">
        <v>0.99999999158986996</v>
      </c>
    </row>
    <row r="4210" spans="1:40" x14ac:dyDescent="0.25">
      <c r="A4210" t="str">
        <f>"20190303153851890"</f>
        <v>20190303153851890</v>
      </c>
      <c r="B4210" t="str">
        <f>"1551598731882816"</f>
        <v>1551598731882816</v>
      </c>
      <c r="C4210" t="s">
        <v>40</v>
      </c>
      <c r="D4210">
        <v>4.2997589999999999</v>
      </c>
      <c r="E4210">
        <v>0.50751809999999997</v>
      </c>
      <c r="F4210" t="s">
        <v>67</v>
      </c>
      <c r="G4210">
        <v>-107.39749999999999</v>
      </c>
      <c r="H4210">
        <v>2.6082079999999999</v>
      </c>
      <c r="I4210">
        <v>213.08320000000001</v>
      </c>
      <c r="J4210">
        <v>-434.29919999999998</v>
      </c>
      <c r="K4210">
        <v>1.120803</v>
      </c>
      <c r="L4210">
        <v>214.67699999999999</v>
      </c>
      <c r="M4210">
        <v>0.99992360000000002</v>
      </c>
      <c r="N4210">
        <v>-7.2907950000000001E-3</v>
      </c>
      <c r="O4210">
        <v>9.9833549999999993E-3</v>
      </c>
      <c r="P4210">
        <v>0.9988399</v>
      </c>
      <c r="Q4210">
        <v>-4.7246379999999998E-2</v>
      </c>
      <c r="R4210">
        <v>9.3214479999999995E-3</v>
      </c>
      <c r="S4210">
        <v>3.0042420000000001</v>
      </c>
      <c r="T4210">
        <v>1.3657209999999999E-2</v>
      </c>
      <c r="U4210">
        <v>-1.460266E-2</v>
      </c>
      <c r="V4210">
        <v>7.0348000000000003E-4</v>
      </c>
      <c r="W4210">
        <v>-3.9961589999999998E-2</v>
      </c>
      <c r="X4210">
        <v>0.99920089999999995</v>
      </c>
      <c r="Y4210">
        <v>1.484328E-2</v>
      </c>
      <c r="Z4210" s="1">
        <v>9.7797620000000002E-5</v>
      </c>
      <c r="AA4210">
        <v>0.9998899</v>
      </c>
      <c r="AB4210">
        <v>27</v>
      </c>
      <c r="AC4210">
        <v>326.90170000000001</v>
      </c>
      <c r="AD4210">
        <v>1.4874050000000001</v>
      </c>
      <c r="AE4210">
        <v>-1.5938000000000101</v>
      </c>
      <c r="AF4210">
        <v>4.8572824293649104</v>
      </c>
      <c r="AG4210">
        <v>1.4874050000000001</v>
      </c>
      <c r="AH4210">
        <v>326.86272938171101</v>
      </c>
      <c r="AI4210">
        <v>89.739303306743906</v>
      </c>
      <c r="AJ4210">
        <v>89.148629454775005</v>
      </c>
      <c r="AK4210">
        <v>326.90220162166901</v>
      </c>
      <c r="AL4210">
        <v>92.290240442031703</v>
      </c>
      <c r="AM4210">
        <v>89.959661337062201</v>
      </c>
      <c r="AN4210">
        <v>0.99999993106012097</v>
      </c>
    </row>
    <row r="4211" spans="1:40" x14ac:dyDescent="0.25">
      <c r="A4211" t="str">
        <f>"20190303153851914"</f>
        <v>20190303153851914</v>
      </c>
      <c r="B4211" t="str">
        <f>"1551598731902339"</f>
        <v>1551598731902339</v>
      </c>
      <c r="C4211" t="s">
        <v>40</v>
      </c>
      <c r="D4211">
        <v>4.4305680000000001</v>
      </c>
      <c r="E4211">
        <v>0.50812100000000004</v>
      </c>
      <c r="F4211" t="s">
        <v>67</v>
      </c>
      <c r="G4211">
        <v>-107.39749999999999</v>
      </c>
      <c r="H4211">
        <v>2.6551179999999999</v>
      </c>
      <c r="I4211">
        <v>211.43950000000001</v>
      </c>
      <c r="J4211">
        <v>-434.00869999999998</v>
      </c>
      <c r="K4211">
        <v>1.120749</v>
      </c>
      <c r="L4211">
        <v>214.6807</v>
      </c>
      <c r="M4211">
        <v>0.99991890000000005</v>
      </c>
      <c r="N4211">
        <v>-6.7484290000000002E-3</v>
      </c>
      <c r="O4211">
        <v>1.080619E-2</v>
      </c>
      <c r="P4211">
        <v>0.99888480000000002</v>
      </c>
      <c r="Q4211">
        <v>-4.645643E-2</v>
      </c>
      <c r="R4211">
        <v>8.4373859999999998E-3</v>
      </c>
      <c r="S4211">
        <v>3.0044249999999999</v>
      </c>
      <c r="T4211">
        <v>1.410174E-2</v>
      </c>
      <c r="U4211">
        <v>-2.9754639999999999E-2</v>
      </c>
      <c r="V4211">
        <v>2.4102339999999998E-3</v>
      </c>
      <c r="W4211">
        <v>-3.9711089999999998E-2</v>
      </c>
      <c r="X4211">
        <v>0.99920830000000005</v>
      </c>
      <c r="Y4211">
        <v>2.070783E-2</v>
      </c>
      <c r="Z4211">
        <v>1.023631E-4</v>
      </c>
      <c r="AA4211">
        <v>0.99978549999999999</v>
      </c>
      <c r="AB4211">
        <v>28</v>
      </c>
      <c r="AC4211">
        <v>326.6112</v>
      </c>
      <c r="AD4211">
        <v>1.5343690000000001</v>
      </c>
      <c r="AE4211">
        <v>-3.2411999999999899</v>
      </c>
      <c r="AF4211">
        <v>6.7703641754800303</v>
      </c>
      <c r="AG4211">
        <v>1.5343690000000001</v>
      </c>
      <c r="AH4211">
        <v>326.549896786403</v>
      </c>
      <c r="AI4211">
        <v>89.730842565586499</v>
      </c>
      <c r="AJ4211">
        <v>88.812255864623793</v>
      </c>
      <c r="AK4211">
        <v>326.62367827594397</v>
      </c>
      <c r="AL4211">
        <v>92.275876281759807</v>
      </c>
      <c r="AM4211">
        <v>89.861794614791407</v>
      </c>
      <c r="AN4211">
        <v>1.0000000033429</v>
      </c>
    </row>
    <row r="4212" spans="1:40" x14ac:dyDescent="0.25">
      <c r="A4212" t="str">
        <f>"20190303153851934"</f>
        <v>20190303153851934</v>
      </c>
      <c r="B4212" t="str">
        <f>"1551598731922831"</f>
        <v>1551598731922831</v>
      </c>
      <c r="C4212" t="s">
        <v>40</v>
      </c>
      <c r="D4212">
        <v>4.4514430000000003</v>
      </c>
      <c r="E4212">
        <v>0.50840819999999998</v>
      </c>
      <c r="F4212" t="s">
        <v>67</v>
      </c>
      <c r="G4212">
        <v>-107.39749999999999</v>
      </c>
      <c r="H4212">
        <v>2.7839589999999999</v>
      </c>
      <c r="I4212">
        <v>210.6465</v>
      </c>
      <c r="J4212">
        <v>-433.74970000000002</v>
      </c>
      <c r="K4212">
        <v>1.1207119999999999</v>
      </c>
      <c r="L4212">
        <v>214.6842</v>
      </c>
      <c r="M4212">
        <v>0.99991370000000002</v>
      </c>
      <c r="N4212">
        <v>-6.3124359999999899E-3</v>
      </c>
      <c r="O4212">
        <v>1.1535139999999999E-2</v>
      </c>
      <c r="P4212">
        <v>0.99893030000000005</v>
      </c>
      <c r="Q4212">
        <v>-4.5559089999999997E-2</v>
      </c>
      <c r="R4212">
        <v>7.9406459999999904E-3</v>
      </c>
      <c r="S4212">
        <v>3.0043950000000001</v>
      </c>
      <c r="T4212">
        <v>1.5299800000000001E-2</v>
      </c>
      <c r="U4212">
        <v>-3.7109379999999997E-2</v>
      </c>
      <c r="V4212">
        <v>3.6353980000000002E-3</v>
      </c>
      <c r="W4212">
        <v>-3.9247509999999999E-2</v>
      </c>
      <c r="X4212">
        <v>0.99922290000000002</v>
      </c>
      <c r="Y4212">
        <v>2.3883749999999999E-2</v>
      </c>
      <c r="Z4212">
        <v>1.169766E-4</v>
      </c>
      <c r="AA4212">
        <v>0.99971469999999996</v>
      </c>
      <c r="AB4212">
        <v>28</v>
      </c>
      <c r="AC4212">
        <v>326.35219999999998</v>
      </c>
      <c r="AD4212">
        <v>1.6632469999999899</v>
      </c>
      <c r="AE4212">
        <v>-4.0377000000000001</v>
      </c>
      <c r="AF4212">
        <v>7.8018214691817498</v>
      </c>
      <c r="AG4212">
        <v>1.6632469999999899</v>
      </c>
      <c r="AH4212">
        <v>326.27543652909202</v>
      </c>
      <c r="AI4212">
        <v>89.708010577765194</v>
      </c>
      <c r="AJ4212">
        <v>88.630217829491698</v>
      </c>
      <c r="AK4212">
        <v>326.372938968705</v>
      </c>
      <c r="AL4212">
        <v>92.249294402689202</v>
      </c>
      <c r="AM4212">
        <v>89.791545967149403</v>
      </c>
      <c r="AN4212">
        <v>0.99999999352211399</v>
      </c>
    </row>
    <row r="4213" spans="1:40" x14ac:dyDescent="0.25">
      <c r="A4213" t="str">
        <f>"20190303153851956"</f>
        <v>20190303153851956</v>
      </c>
      <c r="B4213" t="str">
        <f>"1551598731953087"</f>
        <v>1551598731953087</v>
      </c>
      <c r="C4213" t="s">
        <v>40</v>
      </c>
      <c r="D4213">
        <v>4.5190510000000002</v>
      </c>
      <c r="E4213">
        <v>0.50848539999999998</v>
      </c>
      <c r="F4213" t="s">
        <v>67</v>
      </c>
      <c r="G4213">
        <v>-107.39749999999999</v>
      </c>
      <c r="H4213">
        <v>2.7131530000000001</v>
      </c>
      <c r="I4213">
        <v>210.2236</v>
      </c>
      <c r="J4213">
        <v>-433.47430000000003</v>
      </c>
      <c r="K4213">
        <v>1.1206830000000001</v>
      </c>
      <c r="L4213">
        <v>214.68819999999999</v>
      </c>
      <c r="M4213">
        <v>0.99990699999999999</v>
      </c>
      <c r="N4213">
        <v>-5.9074219999999998E-3</v>
      </c>
      <c r="O4213">
        <v>1.2306009999999999E-2</v>
      </c>
      <c r="P4213">
        <v>0.99895610000000001</v>
      </c>
      <c r="Q4213">
        <v>-4.4766210000000001E-2</v>
      </c>
      <c r="R4213">
        <v>9.1146160000000007E-3</v>
      </c>
      <c r="S4213">
        <v>3.004181</v>
      </c>
      <c r="T4213">
        <v>1.46594E-2</v>
      </c>
      <c r="U4213">
        <v>-4.1061399999999998E-2</v>
      </c>
      <c r="V4213">
        <v>3.2323199999999999E-3</v>
      </c>
      <c r="W4213">
        <v>-3.8859589999999999E-2</v>
      </c>
      <c r="X4213">
        <v>0.9992394</v>
      </c>
      <c r="Y4213">
        <v>2.5970199999999999E-2</v>
      </c>
      <c r="Z4213">
        <v>1.1938610000000001E-4</v>
      </c>
      <c r="AA4213">
        <v>0.99966270000000002</v>
      </c>
      <c r="AB4213">
        <v>28</v>
      </c>
      <c r="AC4213">
        <v>326.07679999999999</v>
      </c>
      <c r="AD4213">
        <v>1.5924699999999901</v>
      </c>
      <c r="AE4213">
        <v>-4.4645999999999901</v>
      </c>
      <c r="AF4213">
        <v>8.4768334692694793</v>
      </c>
      <c r="AG4213">
        <v>1.5924699999999901</v>
      </c>
      <c r="AH4213">
        <v>325.989392014136</v>
      </c>
      <c r="AI4213">
        <v>89.720204844002595</v>
      </c>
      <c r="AJ4213">
        <v>88.510450439060406</v>
      </c>
      <c r="AK4213">
        <v>326.10347494639302</v>
      </c>
      <c r="AL4213">
        <v>92.227051358247294</v>
      </c>
      <c r="AM4213">
        <v>89.814661383367906</v>
      </c>
      <c r="AN4213">
        <v>0.99999994706995299</v>
      </c>
    </row>
    <row r="4214" spans="1:40" x14ac:dyDescent="0.25">
      <c r="A4214" t="str">
        <f>"20190303153851980"</f>
        <v>20190303153851980</v>
      </c>
      <c r="B4214" t="str">
        <f>"1551598731972608"</f>
        <v>1551598731972608</v>
      </c>
      <c r="C4214" t="s">
        <v>40</v>
      </c>
      <c r="D4214">
        <v>4.5110710000000003</v>
      </c>
      <c r="E4214">
        <v>0.508386</v>
      </c>
      <c r="F4214" t="s">
        <v>67</v>
      </c>
      <c r="G4214">
        <v>-107.39749999999999</v>
      </c>
      <c r="H4214">
        <v>2.38015</v>
      </c>
      <c r="I4214">
        <v>210.54249999999999</v>
      </c>
      <c r="J4214">
        <v>-433.17779999999999</v>
      </c>
      <c r="K4214">
        <v>1.1206670000000001</v>
      </c>
      <c r="L4214">
        <v>214.6927</v>
      </c>
      <c r="M4214">
        <v>0.99989839999999997</v>
      </c>
      <c r="N4214">
        <v>-5.5459380000000003E-3</v>
      </c>
      <c r="O4214">
        <v>1.3132670000000001E-2</v>
      </c>
      <c r="P4214">
        <v>0.99901910000000005</v>
      </c>
      <c r="Q4214">
        <v>-4.3245859999999997E-2</v>
      </c>
      <c r="R4214">
        <v>9.5243099999999994E-3</v>
      </c>
      <c r="S4214">
        <v>3.0040279999999999</v>
      </c>
      <c r="T4214">
        <v>1.1603469999999999E-2</v>
      </c>
      <c r="U4214">
        <v>-3.8192749999999998E-2</v>
      </c>
      <c r="V4214">
        <v>3.6485649999999999E-3</v>
      </c>
      <c r="W4214">
        <v>-3.7699469999999999E-2</v>
      </c>
      <c r="X4214">
        <v>0.99928249999999996</v>
      </c>
      <c r="Y4214">
        <v>2.5843040000000001E-2</v>
      </c>
      <c r="Z4214">
        <v>1.017982E-4</v>
      </c>
      <c r="AA4214">
        <v>0.99966600000000005</v>
      </c>
      <c r="AB4214">
        <v>28</v>
      </c>
      <c r="AC4214">
        <v>325.78030000000001</v>
      </c>
      <c r="AD4214">
        <v>1.2594829999999999</v>
      </c>
      <c r="AE4214">
        <v>-4.1502000000000097</v>
      </c>
      <c r="AF4214">
        <v>8.4281470329945591</v>
      </c>
      <c r="AG4214">
        <v>1.2594829999999999</v>
      </c>
      <c r="AH4214">
        <v>325.69283357479702</v>
      </c>
      <c r="AI4214">
        <v>89.778507404480493</v>
      </c>
      <c r="AJ4214">
        <v>88.5176538844958</v>
      </c>
      <c r="AK4214">
        <v>325.80429985164</v>
      </c>
      <c r="AL4214">
        <v>92.160532420186399</v>
      </c>
      <c r="AM4214">
        <v>89.790803454639402</v>
      </c>
      <c r="AN4214">
        <v>1.0000000384355401</v>
      </c>
    </row>
    <row r="4215" spans="1:40" x14ac:dyDescent="0.25">
      <c r="A4215" t="str">
        <f>"20190303153852004"</f>
        <v>20190303153852004</v>
      </c>
      <c r="B4215" t="str">
        <f>"1551598731993104"</f>
        <v>1551598731993104</v>
      </c>
      <c r="C4215" t="s">
        <v>40</v>
      </c>
      <c r="D4215">
        <v>4.4960079999999998</v>
      </c>
      <c r="E4215">
        <v>0.50829199999999997</v>
      </c>
      <c r="F4215" t="s">
        <v>67</v>
      </c>
      <c r="G4215">
        <v>-107.39749999999999</v>
      </c>
      <c r="H4215">
        <v>2.4285060000000001</v>
      </c>
      <c r="I4215">
        <v>210.79859999999999</v>
      </c>
      <c r="J4215">
        <v>-432.87299999999999</v>
      </c>
      <c r="K4215">
        <v>1.1206739999999999</v>
      </c>
      <c r="L4215">
        <v>214.69749999999999</v>
      </c>
      <c r="M4215">
        <v>0.99988849999999996</v>
      </c>
      <c r="N4215">
        <v>-5.2665979999999999E-3</v>
      </c>
      <c r="O4215">
        <v>1.397967E-2</v>
      </c>
      <c r="P4215">
        <v>0.99904800000000005</v>
      </c>
      <c r="Q4215">
        <v>-4.247455E-2</v>
      </c>
      <c r="R4215">
        <v>9.9633169999999993E-3</v>
      </c>
      <c r="S4215">
        <v>3.003784</v>
      </c>
      <c r="T4215">
        <v>1.205909E-2</v>
      </c>
      <c r="U4215">
        <v>-3.5903930000000001E-2</v>
      </c>
      <c r="V4215">
        <v>4.0563190000000001E-3</v>
      </c>
      <c r="W4215">
        <v>-3.7206500000000003E-2</v>
      </c>
      <c r="X4215">
        <v>0.9992993</v>
      </c>
      <c r="Y4215">
        <v>2.5929210000000001E-2</v>
      </c>
      <c r="Z4215">
        <v>1.135075E-4</v>
      </c>
      <c r="AA4215">
        <v>0.99966379999999999</v>
      </c>
      <c r="AB4215">
        <v>28</v>
      </c>
      <c r="AC4215">
        <v>325.47550000000001</v>
      </c>
      <c r="AD4215">
        <v>1.3078319999999899</v>
      </c>
      <c r="AE4215">
        <v>-3.89889999999999</v>
      </c>
      <c r="AF4215">
        <v>8.4484853728979807</v>
      </c>
      <c r="AG4215">
        <v>1.3078319999999899</v>
      </c>
      <c r="AH4215">
        <v>325.38393452984099</v>
      </c>
      <c r="AI4215">
        <v>89.769787020897397</v>
      </c>
      <c r="AJ4215">
        <v>88.512668363127005</v>
      </c>
      <c r="AK4215">
        <v>325.49622452457999</v>
      </c>
      <c r="AL4215">
        <v>92.132267712042704</v>
      </c>
      <c r="AM4215">
        <v>89.7674283544345</v>
      </c>
      <c r="AN4215">
        <v>0.99999993417328203</v>
      </c>
    </row>
    <row r="4216" spans="1:40" x14ac:dyDescent="0.25">
      <c r="A4216" t="str">
        <f>"20190303153852027"</f>
        <v>20190303153852027</v>
      </c>
      <c r="B4216" t="str">
        <f>"1551598732022384"</f>
        <v>1551598732022384</v>
      </c>
      <c r="C4216" t="s">
        <v>40</v>
      </c>
      <c r="D4216">
        <v>4.5401439999999997</v>
      </c>
      <c r="E4216">
        <v>0.50809170000000003</v>
      </c>
      <c r="F4216" t="s">
        <v>67</v>
      </c>
      <c r="G4216">
        <v>-107.39749999999999</v>
      </c>
      <c r="H4216">
        <v>2.3172860000000002</v>
      </c>
      <c r="I4216">
        <v>211.0583</v>
      </c>
      <c r="J4216">
        <v>-432.58479999999997</v>
      </c>
      <c r="K4216">
        <v>1.120703</v>
      </c>
      <c r="L4216">
        <v>214.70240000000001</v>
      </c>
      <c r="M4216">
        <v>0.99987780000000004</v>
      </c>
      <c r="N4216">
        <v>-5.1263369999999999E-3</v>
      </c>
      <c r="O4216">
        <v>1.477849E-2</v>
      </c>
      <c r="P4216">
        <v>0.99905690000000003</v>
      </c>
      <c r="Q4216">
        <v>-4.2032989999999999E-2</v>
      </c>
      <c r="R4216">
        <v>1.0902190000000001E-2</v>
      </c>
      <c r="S4216">
        <v>3.0036619999999998</v>
      </c>
      <c r="T4216">
        <v>1.104343E-2</v>
      </c>
      <c r="U4216">
        <v>-3.3584589999999998E-2</v>
      </c>
      <c r="V4216">
        <v>3.916274E-3</v>
      </c>
      <c r="W4216">
        <v>-3.690512E-2</v>
      </c>
      <c r="X4216">
        <v>0.99931110000000001</v>
      </c>
      <c r="Y4216">
        <v>2.595656E-2</v>
      </c>
      <c r="Z4216">
        <v>1.112723E-4</v>
      </c>
      <c r="AA4216">
        <v>0.99966310000000003</v>
      </c>
      <c r="AB4216">
        <v>28</v>
      </c>
      <c r="AC4216">
        <v>325.18729999999999</v>
      </c>
      <c r="AD4216">
        <v>1.196583</v>
      </c>
      <c r="AE4216">
        <v>-3.6440999999999999</v>
      </c>
      <c r="AF4216">
        <v>8.4494273270721401</v>
      </c>
      <c r="AG4216">
        <v>1.196583</v>
      </c>
      <c r="AH4216">
        <v>325.09352986539801</v>
      </c>
      <c r="AI4216">
        <v>89.789181588220401</v>
      </c>
      <c r="AJ4216">
        <v>88.511174432007394</v>
      </c>
      <c r="AK4216">
        <v>325.20551624069299</v>
      </c>
      <c r="AL4216">
        <v>92.114987902155804</v>
      </c>
      <c r="AM4216">
        <v>89.775460491838601</v>
      </c>
      <c r="AN4216">
        <v>0.999999999833733</v>
      </c>
    </row>
    <row r="4217" spans="1:40" x14ac:dyDescent="0.25">
      <c r="A4217" t="str">
        <f>"20190303153852048"</f>
        <v>20190303153852048</v>
      </c>
      <c r="B4217" t="str">
        <f>"1551598732042880"</f>
        <v>1551598732042880</v>
      </c>
      <c r="C4217" t="s">
        <v>40</v>
      </c>
      <c r="D4217">
        <v>4.5061819999999999</v>
      </c>
      <c r="E4217">
        <v>0.50789839999999997</v>
      </c>
      <c r="F4217" t="s">
        <v>67</v>
      </c>
      <c r="G4217">
        <v>-107.39749999999999</v>
      </c>
      <c r="H4217">
        <v>1.882671</v>
      </c>
      <c r="I4217">
        <v>211.52709999999999</v>
      </c>
      <c r="J4217">
        <v>-432.30799999999999</v>
      </c>
      <c r="K4217">
        <v>1.120765</v>
      </c>
      <c r="L4217">
        <v>214.7073</v>
      </c>
      <c r="M4217">
        <v>0.99986589999999997</v>
      </c>
      <c r="N4217">
        <v>-5.1651010000000001E-3</v>
      </c>
      <c r="O4217">
        <v>1.5543070000000001E-2</v>
      </c>
      <c r="P4217">
        <v>0.99905679999999997</v>
      </c>
      <c r="Q4217">
        <v>-4.1849169999999998E-2</v>
      </c>
      <c r="R4217">
        <v>1.1600040000000001E-2</v>
      </c>
      <c r="S4217">
        <v>3.003479</v>
      </c>
      <c r="T4217">
        <v>7.0381159999999996E-3</v>
      </c>
      <c r="U4217">
        <v>-2.9327389999999998E-2</v>
      </c>
      <c r="V4217">
        <v>3.9827600000000001E-3</v>
      </c>
      <c r="W4217">
        <v>-3.6682359999999997E-2</v>
      </c>
      <c r="X4217">
        <v>0.99931899999999996</v>
      </c>
      <c r="Y4217">
        <v>2.5305009999999999E-2</v>
      </c>
      <c r="Z4217" s="1">
        <v>8.0996530000000005E-5</v>
      </c>
      <c r="AA4217">
        <v>0.99967969999999895</v>
      </c>
      <c r="AB4217">
        <v>29</v>
      </c>
      <c r="AC4217">
        <v>324.91050000000001</v>
      </c>
      <c r="AD4217">
        <v>0.76190599999999997</v>
      </c>
      <c r="AE4217">
        <v>-3.1802000000000099</v>
      </c>
      <c r="AF4217">
        <v>8.2299443681464908</v>
      </c>
      <c r="AG4217">
        <v>0.76190599999999997</v>
      </c>
      <c r="AH4217">
        <v>324.82003279671102</v>
      </c>
      <c r="AI4217">
        <v>89.865648948736805</v>
      </c>
      <c r="AJ4217">
        <v>88.548611028831402</v>
      </c>
      <c r="AK4217">
        <v>324.92517014092999</v>
      </c>
      <c r="AL4217">
        <v>92.102216128234801</v>
      </c>
      <c r="AM4217">
        <v>89.771650363290902</v>
      </c>
      <c r="AN4217">
        <v>0.99999996083669196</v>
      </c>
    </row>
    <row r="4218" spans="1:40" x14ac:dyDescent="0.25">
      <c r="A4218" t="str">
        <f>"20190303153852070"</f>
        <v>20190303153852070</v>
      </c>
      <c r="B4218" t="str">
        <f>"1551598732062400"</f>
        <v>1551598732062400</v>
      </c>
      <c r="C4218" t="s">
        <v>40</v>
      </c>
      <c r="D4218">
        <v>4.4692100000000003</v>
      </c>
      <c r="E4218">
        <v>0.50787320000000002</v>
      </c>
      <c r="F4218" t="s">
        <v>67</v>
      </c>
      <c r="G4218">
        <v>-107.39749999999999</v>
      </c>
      <c r="H4218">
        <v>1.507098</v>
      </c>
      <c r="I4218">
        <v>211.9059</v>
      </c>
      <c r="J4218">
        <v>-432.03579999999999</v>
      </c>
      <c r="K4218">
        <v>1.1208659999999999</v>
      </c>
      <c r="L4218">
        <v>214.7123</v>
      </c>
      <c r="M4218">
        <v>0.99985259999999998</v>
      </c>
      <c r="N4218">
        <v>-5.41539E-3</v>
      </c>
      <c r="O4218">
        <v>1.62922E-2</v>
      </c>
      <c r="P4218">
        <v>0.99904360000000003</v>
      </c>
      <c r="Q4218">
        <v>-4.1865619999999999E-2</v>
      </c>
      <c r="R4218">
        <v>1.2616860000000001E-2</v>
      </c>
      <c r="S4218">
        <v>3.0032960000000002</v>
      </c>
      <c r="T4218">
        <v>3.57151E-3</v>
      </c>
      <c r="U4218">
        <v>-2.5894170000000001E-2</v>
      </c>
      <c r="V4218">
        <v>3.7151089999999999E-3</v>
      </c>
      <c r="W4218">
        <v>-3.6448990000000001E-2</v>
      </c>
      <c r="X4218">
        <v>0.99932860000000001</v>
      </c>
      <c r="Y4218">
        <v>2.4911989999999998E-2</v>
      </c>
      <c r="Z4218" s="1">
        <v>5.4959430000000003E-5</v>
      </c>
      <c r="AA4218">
        <v>0.99968959999999996</v>
      </c>
      <c r="AB4218">
        <v>29</v>
      </c>
      <c r="AC4218">
        <v>324.63830000000002</v>
      </c>
      <c r="AD4218">
        <v>0.38623200000000002</v>
      </c>
      <c r="AE4218">
        <v>-2.8063999999999898</v>
      </c>
      <c r="AF4218">
        <v>8.09516575759808</v>
      </c>
      <c r="AG4218">
        <v>0.38623200000000002</v>
      </c>
      <c r="AH4218">
        <v>324.54902811366497</v>
      </c>
      <c r="AI4218">
        <v>89.931835961552196</v>
      </c>
      <c r="AJ4218">
        <v>88.571178340611894</v>
      </c>
      <c r="AK4218">
        <v>324.65020026688001</v>
      </c>
      <c r="AL4218">
        <v>92.088836001019999</v>
      </c>
      <c r="AM4218">
        <v>89.7869979048711</v>
      </c>
      <c r="AN4218">
        <v>0.99999999084242996</v>
      </c>
    </row>
    <row r="4219" spans="1:40" x14ac:dyDescent="0.25">
      <c r="A4219" t="str">
        <f>"20190303153852091"</f>
        <v>20190303153852091</v>
      </c>
      <c r="B4219" t="str">
        <f>"1551598732082895"</f>
        <v>1551598732082895</v>
      </c>
      <c r="C4219" t="s">
        <v>40</v>
      </c>
      <c r="D4219">
        <v>4.5168400000000002</v>
      </c>
      <c r="E4219">
        <v>0.50785599999999997</v>
      </c>
      <c r="F4219" t="s">
        <v>67</v>
      </c>
      <c r="G4219">
        <v>-107.39749999999999</v>
      </c>
      <c r="H4219">
        <v>1.267228</v>
      </c>
      <c r="I4219">
        <v>212.29259999999999</v>
      </c>
      <c r="J4219">
        <v>-431.7466</v>
      </c>
      <c r="K4219">
        <v>1.1210100000000001</v>
      </c>
      <c r="L4219">
        <v>214.71789999999999</v>
      </c>
      <c r="M4219">
        <v>0.99983650000000002</v>
      </c>
      <c r="N4219">
        <v>-5.9299690000000002E-3</v>
      </c>
      <c r="O4219">
        <v>1.7088900000000001E-2</v>
      </c>
      <c r="P4219">
        <v>0.99899309999999997</v>
      </c>
      <c r="Q4219">
        <v>-4.2558789999999999E-2</v>
      </c>
      <c r="R4219">
        <v>1.420222E-2</v>
      </c>
      <c r="S4219">
        <v>3.0032350000000001</v>
      </c>
      <c r="T4219">
        <v>1.354456E-3</v>
      </c>
      <c r="U4219">
        <v>-2.2384640000000001E-2</v>
      </c>
      <c r="V4219">
        <v>2.9265900000000002E-3</v>
      </c>
      <c r="W4219">
        <v>-3.6629139999999998E-2</v>
      </c>
      <c r="X4219">
        <v>0.99932460000000001</v>
      </c>
      <c r="Y4219">
        <v>2.4540619999999999E-2</v>
      </c>
      <c r="Z4219" s="1">
        <v>4.1814609999999897E-5</v>
      </c>
      <c r="AA4219">
        <v>0.9996988</v>
      </c>
      <c r="AB4219">
        <v>29</v>
      </c>
      <c r="AC4219">
        <v>324.34910000000002</v>
      </c>
      <c r="AD4219">
        <v>0.14621799999999899</v>
      </c>
      <c r="AE4219">
        <v>-2.4252999999999898</v>
      </c>
      <c r="AF4219">
        <v>7.9678103891809799</v>
      </c>
      <c r="AG4219">
        <v>0.14621799999999899</v>
      </c>
      <c r="AH4219">
        <v>324.26022264395601</v>
      </c>
      <c r="AI4219">
        <v>89.974171529296498</v>
      </c>
      <c r="AJ4219">
        <v>88.592395778015202</v>
      </c>
      <c r="AK4219">
        <v>324.35813443046101</v>
      </c>
      <c r="AL4219">
        <v>92.0991648031046</v>
      </c>
      <c r="AM4219">
        <v>89.832205895867702</v>
      </c>
      <c r="AN4219">
        <v>0.99999995749566295</v>
      </c>
    </row>
    <row r="4220" spans="1:40" x14ac:dyDescent="0.25">
      <c r="A4220" t="str">
        <f>"20190303153852106"</f>
        <v>20190303153852106</v>
      </c>
      <c r="B4220" t="str">
        <f>"1551598732102416"</f>
        <v>1551598732102416</v>
      </c>
      <c r="C4220" t="s">
        <v>40</v>
      </c>
      <c r="D4220">
        <v>4.4467429999999997</v>
      </c>
      <c r="E4220">
        <v>0.50826130000000003</v>
      </c>
      <c r="F4220" t="s">
        <v>67</v>
      </c>
      <c r="G4220">
        <v>-107.39749999999999</v>
      </c>
      <c r="H4220">
        <v>0.9522872</v>
      </c>
      <c r="I4220">
        <v>212.85239999999999</v>
      </c>
      <c r="J4220">
        <v>-431.55470000000003</v>
      </c>
      <c r="K4220">
        <v>1.121113</v>
      </c>
      <c r="L4220">
        <v>214.7217</v>
      </c>
      <c r="M4220">
        <v>0.99982459999999995</v>
      </c>
      <c r="N4220">
        <v>-6.3590030000000002E-3</v>
      </c>
      <c r="O4220">
        <v>1.761397E-2</v>
      </c>
      <c r="P4220">
        <v>0.99894210000000006</v>
      </c>
      <c r="Q4220">
        <v>-4.3471759999999998E-2</v>
      </c>
      <c r="R4220">
        <v>1.500282E-2</v>
      </c>
      <c r="S4220">
        <v>3.0032040000000002</v>
      </c>
      <c r="T4220">
        <v>-1.5617610000000001E-3</v>
      </c>
      <c r="U4220">
        <v>-1.7272949999999999E-2</v>
      </c>
      <c r="V4220">
        <v>2.6511500000000001E-3</v>
      </c>
      <c r="W4220">
        <v>-3.7113960000000001E-2</v>
      </c>
      <c r="X4220">
        <v>0.99930750000000002</v>
      </c>
      <c r="Y4220">
        <v>2.3364220000000002E-2</v>
      </c>
      <c r="Z4220" s="1">
        <v>2.248802E-5</v>
      </c>
      <c r="AA4220">
        <v>0.99972700000000003</v>
      </c>
      <c r="AB4220">
        <v>29</v>
      </c>
      <c r="AC4220">
        <v>324.15719999999999</v>
      </c>
      <c r="AD4220">
        <v>-0.1688258</v>
      </c>
      <c r="AE4220">
        <v>-1.8693</v>
      </c>
      <c r="AF4220">
        <v>7.5788188034122097</v>
      </c>
      <c r="AG4220">
        <v>-0.1688258</v>
      </c>
      <c r="AH4220">
        <v>324.07389449876501</v>
      </c>
      <c r="AI4220">
        <v>90.029839987302196</v>
      </c>
      <c r="AJ4220">
        <v>88.660320370548902</v>
      </c>
      <c r="AK4220">
        <v>324.16254578868597</v>
      </c>
      <c r="AL4220">
        <v>92.126961804310994</v>
      </c>
      <c r="AM4220">
        <v>89.847995387322101</v>
      </c>
      <c r="AN4220">
        <v>0.99999997708972599</v>
      </c>
    </row>
    <row r="4221" spans="1:40" x14ac:dyDescent="0.25">
      <c r="A4221" t="str">
        <f>"20190303153852228"</f>
        <v>20190303153852228</v>
      </c>
      <c r="B4221" t="str">
        <f>"1551598732222465"</f>
        <v>1551598732222465</v>
      </c>
      <c r="C4221" t="s">
        <v>40</v>
      </c>
      <c r="D4221">
        <v>4.3339449999999999</v>
      </c>
      <c r="E4221">
        <v>0.5087914</v>
      </c>
      <c r="F4221" t="s">
        <v>67</v>
      </c>
      <c r="G4221">
        <v>-107.39749999999999</v>
      </c>
      <c r="H4221">
        <v>1.1270439999999999</v>
      </c>
      <c r="I4221">
        <v>212.78829999999999</v>
      </c>
      <c r="J4221">
        <v>-430.02659999999997</v>
      </c>
      <c r="K4221">
        <v>1.121648</v>
      </c>
      <c r="L4221">
        <v>214.7559</v>
      </c>
      <c r="M4221">
        <v>0.99970919999999996</v>
      </c>
      <c r="N4221">
        <v>-1.0429529999999999E-2</v>
      </c>
      <c r="O4221">
        <v>2.1738159999999999E-2</v>
      </c>
      <c r="P4221">
        <v>0.99862640000000003</v>
      </c>
      <c r="Q4221">
        <v>-4.7806000000000001E-2</v>
      </c>
      <c r="R4221">
        <v>2.1447330000000001E-2</v>
      </c>
      <c r="S4221">
        <v>3.0034480000000001</v>
      </c>
      <c r="T4221" s="1">
        <v>5.5432320000000003E-5</v>
      </c>
      <c r="U4221">
        <v>-1.791382E-2</v>
      </c>
      <c r="V4221">
        <v>3.192243E-4</v>
      </c>
      <c r="W4221">
        <v>-3.7385370000000001E-2</v>
      </c>
      <c r="X4221">
        <v>0.99930090000000005</v>
      </c>
      <c r="Y4221">
        <v>2.7700679999999998E-2</v>
      </c>
      <c r="Z4221" s="1">
        <v>8.2931759999999995E-5</v>
      </c>
      <c r="AA4221">
        <v>0.99961630000000001</v>
      </c>
      <c r="AB4221">
        <v>28</v>
      </c>
      <c r="AC4221">
        <v>322.62909999999999</v>
      </c>
      <c r="AD4221">
        <v>5.3960000000001698E-3</v>
      </c>
      <c r="AE4221">
        <v>-1.9676</v>
      </c>
      <c r="AF4221">
        <v>8.9808801427281697</v>
      </c>
      <c r="AG4221">
        <v>5.3960000000001698E-3</v>
      </c>
      <c r="AH4221">
        <v>322.51007945519802</v>
      </c>
      <c r="AI4221">
        <v>89.999041740881495</v>
      </c>
      <c r="AJ4221">
        <v>88.404906956305993</v>
      </c>
      <c r="AK4221">
        <v>322.63509974497998</v>
      </c>
      <c r="AL4221">
        <v>92.142523142326695</v>
      </c>
      <c r="AM4221">
        <v>89.981696999886694</v>
      </c>
      <c r="AN4221">
        <v>1.0000000282674999</v>
      </c>
    </row>
    <row r="4222" spans="1:40" x14ac:dyDescent="0.25">
      <c r="A4222" t="str">
        <f>"20190303153852248"</f>
        <v>20190303153852248</v>
      </c>
      <c r="B4222" t="str">
        <f>"1551598732242959"</f>
        <v>1551598732242959</v>
      </c>
      <c r="C4222" t="s">
        <v>40</v>
      </c>
      <c r="D4222">
        <v>4.430847</v>
      </c>
      <c r="E4222">
        <v>0.5093626</v>
      </c>
      <c r="F4222" t="s">
        <v>51</v>
      </c>
      <c r="G4222">
        <v>-178.3235</v>
      </c>
      <c r="H4222">
        <v>7.9981990000000003E-2</v>
      </c>
      <c r="I4222">
        <v>214.57820000000001</v>
      </c>
      <c r="J4222">
        <v>-429.7586</v>
      </c>
      <c r="K4222">
        <v>1.121653</v>
      </c>
      <c r="L4222">
        <v>214.76249999999999</v>
      </c>
      <c r="M4222">
        <v>0.99968869999999999</v>
      </c>
      <c r="N4222">
        <v>-1.101474E-2</v>
      </c>
      <c r="O4222">
        <v>2.2385530000000001E-2</v>
      </c>
      <c r="P4222">
        <v>0.99857839999999998</v>
      </c>
      <c r="Q4222">
        <v>-4.850703E-2</v>
      </c>
      <c r="R4222">
        <v>2.2099339999999999E-2</v>
      </c>
      <c r="S4222">
        <v>3.003571</v>
      </c>
      <c r="T4222">
        <v>-1.2430190000000001E-2</v>
      </c>
      <c r="U4222">
        <v>-2.120972E-3</v>
      </c>
      <c r="V4222">
        <v>3.1083860000000001E-4</v>
      </c>
      <c r="W4222">
        <v>-3.7501949999999999E-2</v>
      </c>
      <c r="X4222">
        <v>0.99929650000000003</v>
      </c>
      <c r="Y4222">
        <v>2.30916E-2</v>
      </c>
      <c r="Z4222" s="1">
        <v>-2.1002519999999999E-5</v>
      </c>
      <c r="AA4222">
        <v>0.99973330000000005</v>
      </c>
      <c r="AB4222">
        <v>28</v>
      </c>
      <c r="AC4222">
        <v>251.43510000000001</v>
      </c>
      <c r="AD4222">
        <v>-1.04167101</v>
      </c>
      <c r="AE4222">
        <v>-0.18429999999997901</v>
      </c>
      <c r="AF4222">
        <v>5.8130036696078298</v>
      </c>
      <c r="AG4222">
        <v>-1.04167101</v>
      </c>
      <c r="AH4222">
        <v>251.36364567240199</v>
      </c>
      <c r="AI4222">
        <v>90.237373458950401</v>
      </c>
      <c r="AJ4222">
        <v>88.675221229970603</v>
      </c>
      <c r="AK4222">
        <v>251.43300987713801</v>
      </c>
      <c r="AL4222">
        <v>92.149207445409601</v>
      </c>
      <c r="AM4222">
        <v>89.982177722712507</v>
      </c>
      <c r="AN4222">
        <v>0.99999999389334304</v>
      </c>
    </row>
    <row r="4223" spans="1:40" x14ac:dyDescent="0.25">
      <c r="A4223" t="str">
        <f>"20190303153852271"</f>
        <v>20190303153852271</v>
      </c>
      <c r="B4223" t="str">
        <f>"1551598732262481"</f>
        <v>1551598732262481</v>
      </c>
      <c r="C4223" t="s">
        <v>40</v>
      </c>
      <c r="D4223">
        <v>4.3796790000000003</v>
      </c>
      <c r="E4223">
        <v>0.50945750000000001</v>
      </c>
      <c r="F4223" t="s">
        <v>43</v>
      </c>
      <c r="G4223">
        <v>-138.51480000000001</v>
      </c>
      <c r="H4223">
        <v>-0.05</v>
      </c>
      <c r="I4223">
        <v>214.3083</v>
      </c>
      <c r="J4223">
        <v>-429.47239999999999</v>
      </c>
      <c r="K4223">
        <v>1.121626</v>
      </c>
      <c r="L4223">
        <v>214.7697</v>
      </c>
      <c r="M4223">
        <v>0.99966840000000001</v>
      </c>
      <c r="N4223">
        <v>-1.157148E-2</v>
      </c>
      <c r="O4223">
        <v>2.3006970000000002E-2</v>
      </c>
      <c r="P4223">
        <v>0.99851199999999996</v>
      </c>
      <c r="Q4223">
        <v>-4.9557650000000002E-2</v>
      </c>
      <c r="R4223">
        <v>2.2755270000000001E-2</v>
      </c>
      <c r="S4223">
        <v>3.0038149999999999</v>
      </c>
      <c r="T4223">
        <v>-1.208413E-2</v>
      </c>
      <c r="U4223">
        <v>-4.6844479999999999E-3</v>
      </c>
      <c r="V4223">
        <v>2.7060540000000002E-4</v>
      </c>
      <c r="W4223">
        <v>-3.7996780000000001E-2</v>
      </c>
      <c r="X4223">
        <v>0.99927779999999999</v>
      </c>
      <c r="Y4223">
        <v>2.456614E-2</v>
      </c>
      <c r="Z4223" s="1">
        <v>-1.7851370000000001E-5</v>
      </c>
      <c r="AA4223">
        <v>0.99969819999999998</v>
      </c>
      <c r="AB4223">
        <v>28</v>
      </c>
      <c r="AC4223">
        <v>290.95760000000001</v>
      </c>
      <c r="AD4223">
        <v>-1.1716260000000001</v>
      </c>
      <c r="AE4223">
        <v>-0.46139999999999698</v>
      </c>
      <c r="AF4223">
        <v>7.1556623730226301</v>
      </c>
      <c r="AG4223">
        <v>-1.1716260000000001</v>
      </c>
      <c r="AH4223">
        <v>290.86524205468299</v>
      </c>
      <c r="AI4223">
        <v>90.230720442476695</v>
      </c>
      <c r="AJ4223">
        <v>88.5907337399114</v>
      </c>
      <c r="AK4223">
        <v>290.95560700390303</v>
      </c>
      <c r="AL4223">
        <v>92.177579379900806</v>
      </c>
      <c r="AM4223">
        <v>89.9844842475691</v>
      </c>
      <c r="AN4223">
        <v>0.99999997504524496</v>
      </c>
    </row>
    <row r="4224" spans="1:40" x14ac:dyDescent="0.25">
      <c r="A4224" t="str">
        <f>"20190303153852293"</f>
        <v>20190303153852293</v>
      </c>
      <c r="B4224" t="str">
        <f>"1551598732282975"</f>
        <v>1551598732282975</v>
      </c>
      <c r="C4224" t="s">
        <v>40</v>
      </c>
      <c r="D4224">
        <v>4.3440349999999999</v>
      </c>
      <c r="E4224">
        <v>0.5095906</v>
      </c>
      <c r="F4224" t="s">
        <v>55</v>
      </c>
      <c r="G4224">
        <v>-210.76589999999999</v>
      </c>
      <c r="H4224" s="1">
        <v>-1.1248030000000001E-6</v>
      </c>
      <c r="I4224">
        <v>214.5153</v>
      </c>
      <c r="J4224">
        <v>-429.18599999999998</v>
      </c>
      <c r="K4224">
        <v>1.1215679999999999</v>
      </c>
      <c r="L4224">
        <v>214.77690000000001</v>
      </c>
      <c r="M4224">
        <v>0.99965020000000004</v>
      </c>
      <c r="N4224">
        <v>-1.2060080000000001E-2</v>
      </c>
      <c r="O4224">
        <v>2.3542170000000001E-2</v>
      </c>
      <c r="P4224">
        <v>0.99844699999999997</v>
      </c>
      <c r="Q4224">
        <v>-5.0683690000000003E-2</v>
      </c>
      <c r="R4224">
        <v>2.3131720000000001E-2</v>
      </c>
      <c r="S4224">
        <v>3.0037229999999999</v>
      </c>
      <c r="T4224">
        <v>-1.540446E-2</v>
      </c>
      <c r="U4224">
        <v>-3.4942630000000001E-3</v>
      </c>
      <c r="V4224">
        <v>4.2158480000000002E-4</v>
      </c>
      <c r="W4224">
        <v>-3.8635019999999999E-2</v>
      </c>
      <c r="X4224">
        <v>0.99925330000000001</v>
      </c>
      <c r="Y4224">
        <v>2.4705189999999998E-2</v>
      </c>
      <c r="Z4224" s="1">
        <v>-4.9105759999999997E-5</v>
      </c>
      <c r="AA4224">
        <v>0.99969479999999999</v>
      </c>
      <c r="AB4224">
        <v>28</v>
      </c>
      <c r="AC4224">
        <v>218.42009999999999</v>
      </c>
      <c r="AD4224">
        <v>-1.121569124803</v>
      </c>
      <c r="AE4224">
        <v>-0.26160000000001499</v>
      </c>
      <c r="AF4224">
        <v>5.4038415950626497</v>
      </c>
      <c r="AG4224">
        <v>-1.121569124803</v>
      </c>
      <c r="AH4224">
        <v>218.34763859378501</v>
      </c>
      <c r="AI4224">
        <v>90.294214043277293</v>
      </c>
      <c r="AJ4224">
        <v>88.582287731968094</v>
      </c>
      <c r="AK4224">
        <v>218.41737728662599</v>
      </c>
      <c r="AL4224">
        <v>92.214174657222202</v>
      </c>
      <c r="AM4224">
        <v>89.975826921648704</v>
      </c>
      <c r="AN4224">
        <v>1.00000000003251</v>
      </c>
    </row>
    <row r="4225" spans="1:40" x14ac:dyDescent="0.25">
      <c r="A4225" t="str">
        <f>"20190303153852316"</f>
        <v>20190303153852316</v>
      </c>
      <c r="B4225" t="str">
        <f>"1551598732312256"</f>
        <v>1551598732312256</v>
      </c>
      <c r="C4225" t="s">
        <v>40</v>
      </c>
      <c r="D4225">
        <v>4.3321180000000004</v>
      </c>
      <c r="E4225">
        <v>0.50971029999999995</v>
      </c>
      <c r="F4225" t="s">
        <v>55</v>
      </c>
      <c r="G4225">
        <v>-242.76230000000001</v>
      </c>
      <c r="H4225" s="1">
        <v>-6.5048180000000006E-8</v>
      </c>
      <c r="I4225">
        <v>214.5762</v>
      </c>
      <c r="J4225">
        <v>-428.90109999999999</v>
      </c>
      <c r="K4225">
        <v>1.1214980000000001</v>
      </c>
      <c r="L4225">
        <v>214.7842</v>
      </c>
      <c r="M4225">
        <v>0.99963400000000002</v>
      </c>
      <c r="N4225">
        <v>-1.2486260000000001E-2</v>
      </c>
      <c r="O4225">
        <v>2.3998019999999998E-2</v>
      </c>
      <c r="P4225">
        <v>0.99838539999999998</v>
      </c>
      <c r="Q4225">
        <v>-5.1607599999999997E-2</v>
      </c>
      <c r="R4225">
        <v>2.3737899999999999E-2</v>
      </c>
      <c r="S4225">
        <v>3.0038149999999999</v>
      </c>
      <c r="T4225">
        <v>-1.8071650000000002E-2</v>
      </c>
      <c r="U4225">
        <v>-3.2348630000000001E-3</v>
      </c>
      <c r="V4225">
        <v>2.6300990000000001E-4</v>
      </c>
      <c r="W4225">
        <v>-3.9133750000000002E-2</v>
      </c>
      <c r="X4225">
        <v>0.99923399999999996</v>
      </c>
      <c r="Y4225">
        <v>2.5074599999999999E-2</v>
      </c>
      <c r="Z4225" s="1">
        <v>-7.6666820000000004E-5</v>
      </c>
      <c r="AA4225">
        <v>0.99968559999999995</v>
      </c>
      <c r="AB4225">
        <v>28</v>
      </c>
      <c r="AC4225">
        <v>186.1388</v>
      </c>
      <c r="AD4225">
        <v>-1.1214980650481701</v>
      </c>
      <c r="AE4225">
        <v>-0.20799999999999799</v>
      </c>
      <c r="AF4225">
        <v>4.6750813982639503</v>
      </c>
      <c r="AG4225">
        <v>-1.1214980650481701</v>
      </c>
      <c r="AH4225">
        <v>186.073438095038</v>
      </c>
      <c r="AI4225">
        <v>90.345218840734603</v>
      </c>
      <c r="AJ4225">
        <v>88.560750565493393</v>
      </c>
      <c r="AK4225">
        <v>186.13553800523499</v>
      </c>
      <c r="AL4225">
        <v>92.242771289679595</v>
      </c>
      <c r="AM4225">
        <v>89.984919091131601</v>
      </c>
      <c r="AN4225">
        <v>1.00000005315963</v>
      </c>
    </row>
    <row r="4226" spans="1:40" x14ac:dyDescent="0.25">
      <c r="A4226" t="str">
        <f>"20190303153852336"</f>
        <v>20190303153852336</v>
      </c>
      <c r="B4226" t="str">
        <f>"1551598732332752"</f>
        <v>1551598732332752</v>
      </c>
      <c r="C4226" t="s">
        <v>40</v>
      </c>
      <c r="D4226">
        <v>4.3283990000000001</v>
      </c>
      <c r="E4226">
        <v>0.5097701</v>
      </c>
      <c r="F4226" t="s">
        <v>55</v>
      </c>
      <c r="G4226">
        <v>-262.1259</v>
      </c>
      <c r="H4226" s="1">
        <v>-4.07486E-7</v>
      </c>
      <c r="I4226">
        <v>214.66220000000001</v>
      </c>
      <c r="J4226">
        <v>-428.64440000000002</v>
      </c>
      <c r="K4226">
        <v>1.1214299999999999</v>
      </c>
      <c r="L4226">
        <v>214.79069999999999</v>
      </c>
      <c r="M4226">
        <v>0.99962189999999995</v>
      </c>
      <c r="N4226">
        <v>-1.2823950000000001E-2</v>
      </c>
      <c r="O4226">
        <v>2.432571E-2</v>
      </c>
      <c r="P4226">
        <v>0.99833709999999998</v>
      </c>
      <c r="Q4226">
        <v>-5.2503189999999998E-2</v>
      </c>
      <c r="R4226">
        <v>2.3800200000000001E-2</v>
      </c>
      <c r="S4226">
        <v>3.003876</v>
      </c>
      <c r="T4226">
        <v>-2.0199890000000002E-2</v>
      </c>
      <c r="U4226">
        <v>-2.1972659999999998E-3</v>
      </c>
      <c r="V4226">
        <v>5.211104E-4</v>
      </c>
      <c r="W4226">
        <v>-3.9692280000000003E-2</v>
      </c>
      <c r="X4226">
        <v>0.99921179999999998</v>
      </c>
      <c r="Y4226">
        <v>2.505686E-2</v>
      </c>
      <c r="Z4226" s="1">
        <v>-9.6501000000000003E-5</v>
      </c>
      <c r="AA4226">
        <v>0.99968599999999996</v>
      </c>
      <c r="AB4226">
        <v>28</v>
      </c>
      <c r="AC4226">
        <v>166.51849999999999</v>
      </c>
      <c r="AD4226">
        <v>-1.121430407486</v>
      </c>
      <c r="AE4226">
        <v>-0.128499999999974</v>
      </c>
      <c r="AF4226">
        <v>4.1792859990642199</v>
      </c>
      <c r="AG4226">
        <v>-1.121430407486</v>
      </c>
      <c r="AH4226">
        <v>166.45854102996299</v>
      </c>
      <c r="AI4226">
        <v>90.385873959389698</v>
      </c>
      <c r="AJ4226">
        <v>88.561773088390197</v>
      </c>
      <c r="AK4226">
        <v>166.514773877409</v>
      </c>
      <c r="AL4226">
        <v>92.274797739625001</v>
      </c>
      <c r="AM4226">
        <v>89.970119023941194</v>
      </c>
      <c r="AN4226">
        <v>0.999999984953443</v>
      </c>
    </row>
    <row r="4227" spans="1:40" x14ac:dyDescent="0.25">
      <c r="A4227" t="str">
        <f>"20190303153852351"</f>
        <v>20190303153852351</v>
      </c>
      <c r="B4227" t="str">
        <f>"1551598732342513"</f>
        <v>1551598732342513</v>
      </c>
      <c r="C4227" t="s">
        <v>40</v>
      </c>
      <c r="D4227">
        <v>4.3254809999999999</v>
      </c>
      <c r="E4227">
        <v>0.50975079999999995</v>
      </c>
      <c r="F4227" t="s">
        <v>55</v>
      </c>
      <c r="G4227">
        <v>-279.75540000000001</v>
      </c>
      <c r="H4227" s="1">
        <v>3.6521959999999998E-6</v>
      </c>
      <c r="I4227">
        <v>214.6705</v>
      </c>
      <c r="J4227">
        <v>-428.45589999999999</v>
      </c>
      <c r="K4227">
        <v>1.1213799999999901</v>
      </c>
      <c r="L4227">
        <v>214.79560000000001</v>
      </c>
      <c r="M4227">
        <v>0.99961440000000001</v>
      </c>
      <c r="N4227">
        <v>-1.304817E-2</v>
      </c>
      <c r="O4227">
        <v>2.4512510000000001E-2</v>
      </c>
      <c r="P4227">
        <v>0.99830540000000001</v>
      </c>
      <c r="Q4227">
        <v>-5.2957480000000001E-2</v>
      </c>
      <c r="R4227">
        <v>2.4122109999999999E-2</v>
      </c>
      <c r="S4227">
        <v>3.003876</v>
      </c>
      <c r="T4227">
        <v>-2.262509E-2</v>
      </c>
      <c r="U4227">
        <v>-2.426147E-3</v>
      </c>
      <c r="V4227">
        <v>3.8035679999999999E-4</v>
      </c>
      <c r="W4227">
        <v>-3.9922920000000001E-2</v>
      </c>
      <c r="X4227">
        <v>0.9992027</v>
      </c>
      <c r="Y4227">
        <v>2.5319689999999999E-2</v>
      </c>
      <c r="Z4227">
        <v>-1.252812E-4</v>
      </c>
      <c r="AA4227">
        <v>0.9996794</v>
      </c>
      <c r="AB4227">
        <v>28</v>
      </c>
      <c r="AC4227">
        <v>148.70049999999901</v>
      </c>
      <c r="AD4227">
        <v>-1.12137634780399</v>
      </c>
      <c r="AE4227">
        <v>-0.12510000000000299</v>
      </c>
      <c r="AF4227">
        <v>3.7701806992545199</v>
      </c>
      <c r="AG4227">
        <v>-1.12137634780399</v>
      </c>
      <c r="AH4227">
        <v>148.64429128778701</v>
      </c>
      <c r="AI4227">
        <v>90.432093671346394</v>
      </c>
      <c r="AJ4227">
        <v>88.547074121500799</v>
      </c>
      <c r="AK4227">
        <v>148.69632503820301</v>
      </c>
      <c r="AL4227">
        <v>92.288022863981098</v>
      </c>
      <c r="AM4227">
        <v>89.978189772408996</v>
      </c>
      <c r="AN4227">
        <v>1.00000000994995</v>
      </c>
    </row>
    <row r="4228" spans="1:40" x14ac:dyDescent="0.25">
      <c r="A4228" t="str">
        <f>"20190303153852371"</f>
        <v>20190303153852371</v>
      </c>
      <c r="B4228" t="str">
        <f>"1551598732363008"</f>
        <v>1551598732363008</v>
      </c>
      <c r="C4228" t="s">
        <v>40</v>
      </c>
      <c r="D4228">
        <v>4.3281460000000003</v>
      </c>
      <c r="E4228">
        <v>0.50972569999999995</v>
      </c>
      <c r="F4228" t="s">
        <v>57</v>
      </c>
      <c r="G4228">
        <v>-287.54880000000003</v>
      </c>
      <c r="H4228" s="1">
        <v>3.7290420000000001E-6</v>
      </c>
      <c r="I4228">
        <v>214.7362</v>
      </c>
      <c r="J4228">
        <v>-428.2099</v>
      </c>
      <c r="K4228">
        <v>1.1213010000000001</v>
      </c>
      <c r="L4228">
        <v>214.80179999999999</v>
      </c>
      <c r="M4228">
        <v>0.99960709999999997</v>
      </c>
      <c r="N4228">
        <v>-1.330749E-2</v>
      </c>
      <c r="O4228">
        <v>2.4672570000000001E-2</v>
      </c>
      <c r="P4228">
        <v>0.99825790000000003</v>
      </c>
      <c r="Q4228">
        <v>-5.3839600000000001E-2</v>
      </c>
      <c r="R4228">
        <v>2.4138389999999999E-2</v>
      </c>
      <c r="S4228">
        <v>3.0038450000000001</v>
      </c>
      <c r="T4228">
        <v>-2.39054E-2</v>
      </c>
      <c r="U4228">
        <v>-1.266479E-3</v>
      </c>
      <c r="V4228">
        <v>5.1622599999999995E-4</v>
      </c>
      <c r="W4228">
        <v>-4.0546449999999998E-2</v>
      </c>
      <c r="X4228">
        <v>0.99917750000000005</v>
      </c>
      <c r="Y4228">
        <v>2.5093770000000001E-2</v>
      </c>
      <c r="Z4228">
        <v>-1.3479240000000001E-4</v>
      </c>
      <c r="AA4228">
        <v>0.99968509999999999</v>
      </c>
      <c r="AB4228">
        <v>28</v>
      </c>
      <c r="AC4228">
        <v>140.66109999999901</v>
      </c>
      <c r="AD4228">
        <v>-1.121297270958</v>
      </c>
      <c r="AE4228">
        <v>-6.5599999999989195E-2</v>
      </c>
      <c r="AF4228">
        <v>3.5361331742081199</v>
      </c>
      <c r="AG4228">
        <v>-1.121297270958</v>
      </c>
      <c r="AH4228">
        <v>140.60771935878</v>
      </c>
      <c r="AI4228">
        <v>90.456759656678997</v>
      </c>
      <c r="AJ4228">
        <v>88.559376327720599</v>
      </c>
      <c r="AK4228">
        <v>140.65664679876701</v>
      </c>
      <c r="AL4228">
        <v>92.323777526049795</v>
      </c>
      <c r="AM4228">
        <v>89.970398083980797</v>
      </c>
      <c r="AN4228">
        <v>0.99999997880156699</v>
      </c>
    </row>
    <row r="4229" spans="1:40" x14ac:dyDescent="0.25">
      <c r="A4229" t="str">
        <f>"20190303153852384"</f>
        <v>20190303153852384</v>
      </c>
      <c r="B4229" t="str">
        <f>"1551598732372768"</f>
        <v>1551598732372768</v>
      </c>
      <c r="C4229" t="s">
        <v>40</v>
      </c>
      <c r="D4229">
        <v>4.2988879999999998</v>
      </c>
      <c r="E4229">
        <v>0.50972959999999901</v>
      </c>
      <c r="F4229" t="s">
        <v>57</v>
      </c>
      <c r="G4229">
        <v>-300.77170000000001</v>
      </c>
      <c r="H4229" s="1">
        <v>2.516364E-6</v>
      </c>
      <c r="I4229">
        <v>214.7636</v>
      </c>
      <c r="J4229">
        <v>-428.04039999999998</v>
      </c>
      <c r="K4229">
        <v>1.121254</v>
      </c>
      <c r="L4229">
        <v>214.80609999999999</v>
      </c>
      <c r="M4229">
        <v>0.99960329999999997</v>
      </c>
      <c r="N4229">
        <v>-1.3466580000000001E-2</v>
      </c>
      <c r="O4229">
        <v>2.4736870000000001E-2</v>
      </c>
      <c r="P4229">
        <v>0.99821990000000005</v>
      </c>
      <c r="Q4229">
        <v>-5.4457039999999998E-2</v>
      </c>
      <c r="R4229">
        <v>2.4321929999999999E-2</v>
      </c>
      <c r="S4229">
        <v>3.0038450000000001</v>
      </c>
      <c r="T4229">
        <v>-2.643013E-2</v>
      </c>
      <c r="U4229">
        <v>-9.0026859999999995E-4</v>
      </c>
      <c r="V4229">
        <v>3.9174449999999998E-4</v>
      </c>
      <c r="W4229">
        <v>-4.1005409999999999E-2</v>
      </c>
      <c r="X4229">
        <v>0.99915889999999996</v>
      </c>
      <c r="Y4229">
        <v>2.5036010000000001E-2</v>
      </c>
      <c r="Z4229">
        <v>-1.6319999999999901E-4</v>
      </c>
      <c r="AA4229">
        <v>0.99968650000000003</v>
      </c>
      <c r="AB4229">
        <v>28</v>
      </c>
      <c r="AC4229">
        <v>127.268699999999</v>
      </c>
      <c r="AD4229">
        <v>-1.1212514836359999</v>
      </c>
      <c r="AE4229">
        <v>-4.2499999999989699E-2</v>
      </c>
      <c r="AF4229">
        <v>3.19075409218634</v>
      </c>
      <c r="AG4229">
        <v>-1.1212514836359999</v>
      </c>
      <c r="AH4229">
        <v>127.218822417121</v>
      </c>
      <c r="AI4229">
        <v>90.504808316343599</v>
      </c>
      <c r="AJ4229">
        <v>88.563275304544803</v>
      </c>
      <c r="AK4229">
        <v>127.26376897517</v>
      </c>
      <c r="AL4229">
        <v>92.350095713586299</v>
      </c>
      <c r="AM4229">
        <v>89.977535800013996</v>
      </c>
      <c r="AN4229">
        <v>1.0000000522811101</v>
      </c>
    </row>
    <row r="4230" spans="1:40" x14ac:dyDescent="0.25">
      <c r="A4230" t="str">
        <f>"20190303153852405"</f>
        <v>20190303153852405</v>
      </c>
      <c r="B4230" t="str">
        <f>"1551598732392291"</f>
        <v>1551598732392291</v>
      </c>
      <c r="C4230" t="s">
        <v>40</v>
      </c>
      <c r="D4230">
        <v>4.289949</v>
      </c>
      <c r="E4230">
        <v>0.50972059999999997</v>
      </c>
      <c r="F4230" t="s">
        <v>57</v>
      </c>
      <c r="G4230">
        <v>-309.08269999999999</v>
      </c>
      <c r="H4230" s="1">
        <v>1.0421369999999999E-6</v>
      </c>
      <c r="I4230">
        <v>214.78919999999999</v>
      </c>
      <c r="J4230">
        <v>-427.78410000000002</v>
      </c>
      <c r="K4230">
        <v>1.1211880000000001</v>
      </c>
      <c r="L4230">
        <v>214.8126</v>
      </c>
      <c r="M4230">
        <v>0.99959940000000003</v>
      </c>
      <c r="N4230">
        <v>-1.3684089999999999E-2</v>
      </c>
      <c r="O4230">
        <v>2.477878E-2</v>
      </c>
      <c r="P4230">
        <v>0.99816050000000001</v>
      </c>
      <c r="Q4230">
        <v>-5.553632E-2</v>
      </c>
      <c r="R4230">
        <v>2.431755E-2</v>
      </c>
      <c r="S4230">
        <v>3.0038450000000001</v>
      </c>
      <c r="T4230">
        <v>-2.831316E-2</v>
      </c>
      <c r="U4230">
        <v>-4.2724609999999998E-4</v>
      </c>
      <c r="V4230">
        <v>4.3009500000000002E-4</v>
      </c>
      <c r="W4230">
        <v>-4.1868099999999998E-2</v>
      </c>
      <c r="X4230">
        <v>0.99912299999999998</v>
      </c>
      <c r="Y4230">
        <v>2.4920339999999999E-2</v>
      </c>
      <c r="Z4230">
        <v>-1.823785E-4</v>
      </c>
      <c r="AA4230">
        <v>0.99968939999999995</v>
      </c>
      <c r="AB4230">
        <v>28</v>
      </c>
      <c r="AC4230">
        <v>118.70140000000001</v>
      </c>
      <c r="AD4230">
        <v>-1.1211869578629901</v>
      </c>
      <c r="AE4230">
        <v>-2.3400000000009399E-2</v>
      </c>
      <c r="AF4230">
        <v>2.9646793161140002</v>
      </c>
      <c r="AG4230">
        <v>-1.1211869578629901</v>
      </c>
      <c r="AH4230">
        <v>118.653781238081</v>
      </c>
      <c r="AI4230">
        <v>90.541216024989893</v>
      </c>
      <c r="AJ4230">
        <v>88.568707416199004</v>
      </c>
      <c r="AK4230">
        <v>118.696108553466</v>
      </c>
      <c r="AL4230">
        <v>92.399566953058695</v>
      </c>
      <c r="AM4230">
        <v>89.975335742678794</v>
      </c>
      <c r="AN4230">
        <v>0.99999994595415798</v>
      </c>
    </row>
    <row r="4231" spans="1:40" x14ac:dyDescent="0.25">
      <c r="A4231" t="str">
        <f>"20190303153852430"</f>
        <v>20190303153852430</v>
      </c>
      <c r="B4231" t="str">
        <f>"1551598732422544"</f>
        <v>1551598732422544</v>
      </c>
      <c r="C4231" t="s">
        <v>40</v>
      </c>
      <c r="D4231">
        <v>4.2922200000000004</v>
      </c>
      <c r="E4231">
        <v>0.50978690000000004</v>
      </c>
      <c r="F4231" t="s">
        <v>55</v>
      </c>
      <c r="G4231">
        <v>-320.67680000000001</v>
      </c>
      <c r="H4231" s="1">
        <v>-1.176634E-6</v>
      </c>
      <c r="I4231">
        <v>214.79679999999999</v>
      </c>
      <c r="J4231">
        <v>-427.48820000000001</v>
      </c>
      <c r="K4231">
        <v>1.1211169999999999</v>
      </c>
      <c r="L4231">
        <v>214.81989999999999</v>
      </c>
      <c r="M4231">
        <v>0.99959750000000003</v>
      </c>
      <c r="N4231">
        <v>-1.390252E-2</v>
      </c>
      <c r="O4231">
        <v>2.473098E-2</v>
      </c>
      <c r="P4231">
        <v>0.99808240000000004</v>
      </c>
      <c r="Q4231">
        <v>-5.6955110000000003E-2</v>
      </c>
      <c r="R4231">
        <v>2.424306E-2</v>
      </c>
      <c r="S4231">
        <v>3.0037539999999998</v>
      </c>
      <c r="T4231">
        <v>-3.1442999999999999E-2</v>
      </c>
      <c r="U4231">
        <v>-4.4250490000000001E-4</v>
      </c>
      <c r="V4231">
        <v>4.4737530000000001E-4</v>
      </c>
      <c r="W4231">
        <v>-4.3069700000000002E-2</v>
      </c>
      <c r="X4231">
        <v>0.99907199999999996</v>
      </c>
      <c r="Y4231">
        <v>2.487733E-2</v>
      </c>
      <c r="Z4231">
        <v>-2.1813719999999999E-4</v>
      </c>
      <c r="AA4231">
        <v>0.99969050000000004</v>
      </c>
      <c r="AB4231">
        <v>28</v>
      </c>
      <c r="AC4231">
        <v>106.81140000000001</v>
      </c>
      <c r="AD4231">
        <v>-1.1211181766339999</v>
      </c>
      <c r="AE4231">
        <v>-2.3099999999999399E-2</v>
      </c>
      <c r="AF4231">
        <v>2.6646052008317298</v>
      </c>
      <c r="AG4231">
        <v>-1.1211181766339999</v>
      </c>
      <c r="AH4231">
        <v>106.766390714141</v>
      </c>
      <c r="AI4231">
        <v>90.601434450327403</v>
      </c>
      <c r="AJ4231">
        <v>88.570346482927206</v>
      </c>
      <c r="AK4231">
        <v>106.80552051727901</v>
      </c>
      <c r="AL4231">
        <v>92.4684755317964</v>
      </c>
      <c r="AM4231">
        <v>89.974343475910501</v>
      </c>
      <c r="AN4231">
        <v>1.00000003019337</v>
      </c>
    </row>
    <row r="4232" spans="1:40" x14ac:dyDescent="0.25">
      <c r="A4232" t="str">
        <f>"20190303153852461"</f>
        <v>20190303153852461</v>
      </c>
      <c r="B4232" t="str">
        <f>"1551598732452800"</f>
        <v>1551598732452800</v>
      </c>
      <c r="C4232" t="s">
        <v>40</v>
      </c>
      <c r="D4232">
        <v>4.2641119999999999</v>
      </c>
      <c r="E4232">
        <v>0.50986299999999996</v>
      </c>
      <c r="F4232" t="s">
        <v>55</v>
      </c>
      <c r="G4232">
        <v>-332.13760000000002</v>
      </c>
      <c r="H4232" s="1">
        <v>-4.0613569999999998E-7</v>
      </c>
      <c r="I4232">
        <v>214.77340000000001</v>
      </c>
      <c r="J4232">
        <v>-427.09109999999998</v>
      </c>
      <c r="K4232">
        <v>1.1210230000000001</v>
      </c>
      <c r="L4232">
        <v>214.8295</v>
      </c>
      <c r="M4232">
        <v>0.9996003</v>
      </c>
      <c r="N4232">
        <v>-1.414164E-2</v>
      </c>
      <c r="O4232">
        <v>2.4478960000000001E-2</v>
      </c>
      <c r="P4232">
        <v>0.99795140000000004</v>
      </c>
      <c r="Q4232">
        <v>-5.954537E-2</v>
      </c>
      <c r="R4232">
        <v>2.3396529999999999E-2</v>
      </c>
      <c r="S4232">
        <v>3.003784</v>
      </c>
      <c r="T4232">
        <v>-3.5318019999999999E-2</v>
      </c>
      <c r="U4232">
        <v>-1.4648440000000001E-3</v>
      </c>
      <c r="V4232">
        <v>1.027231E-3</v>
      </c>
      <c r="W4232">
        <v>-4.5423199999999997E-2</v>
      </c>
      <c r="X4232">
        <v>0.9989673</v>
      </c>
      <c r="Y4232">
        <v>2.4965060000000001E-2</v>
      </c>
      <c r="Z4232">
        <v>-2.6487899999999998E-4</v>
      </c>
      <c r="AA4232">
        <v>0.99968829999999997</v>
      </c>
      <c r="AB4232">
        <v>28</v>
      </c>
      <c r="AC4232">
        <v>94.953499999999906</v>
      </c>
      <c r="AD4232">
        <v>-1.1210234061356901</v>
      </c>
      <c r="AE4232">
        <v>-5.6099999999986397E-2</v>
      </c>
      <c r="AF4232">
        <v>2.3803468317344998</v>
      </c>
      <c r="AG4232">
        <v>-1.1210234061356901</v>
      </c>
      <c r="AH4232">
        <v>94.910438819188002</v>
      </c>
      <c r="AI4232">
        <v>90.676498138921502</v>
      </c>
      <c r="AJ4232">
        <v>88.563327232985301</v>
      </c>
      <c r="AK4232">
        <v>94.946901694406407</v>
      </c>
      <c r="AL4232">
        <v>92.603453460502195</v>
      </c>
      <c r="AM4232">
        <v>89.941083176455805</v>
      </c>
      <c r="AN4232">
        <v>0.999999994385528</v>
      </c>
    </row>
    <row r="4233" spans="1:40" x14ac:dyDescent="0.25">
      <c r="A4233" t="str">
        <f>"20190303153852483"</f>
        <v>20190303153852483</v>
      </c>
      <c r="B4233" t="str">
        <f>"1551598732473299"</f>
        <v>1551598732473299</v>
      </c>
      <c r="C4233" t="s">
        <v>40</v>
      </c>
      <c r="D4233">
        <v>4.3762619999999997</v>
      </c>
      <c r="E4233">
        <v>0.50980749999999997</v>
      </c>
      <c r="F4233" t="s">
        <v>55</v>
      </c>
      <c r="G4233">
        <v>-348.3184</v>
      </c>
      <c r="H4233" s="1">
        <v>2.8898459999999998E-6</v>
      </c>
      <c r="I4233">
        <v>214.70830000000001</v>
      </c>
      <c r="J4233">
        <v>-426.8229</v>
      </c>
      <c r="K4233">
        <v>1.120959</v>
      </c>
      <c r="L4233">
        <v>214.83580000000001</v>
      </c>
      <c r="M4233">
        <v>0.99960470000000001</v>
      </c>
      <c r="N4233">
        <v>-1.4277929999999999E-2</v>
      </c>
      <c r="O4233">
        <v>2.422359E-2</v>
      </c>
      <c r="P4233">
        <v>0.99790719999999999</v>
      </c>
      <c r="Q4233">
        <v>-6.0557130000000001E-2</v>
      </c>
      <c r="R4233">
        <v>2.2679499999999998E-2</v>
      </c>
      <c r="S4233">
        <v>3.0036619999999998</v>
      </c>
      <c r="T4233">
        <v>-4.2745350000000001E-2</v>
      </c>
      <c r="U4233">
        <v>-4.6234129999999998E-3</v>
      </c>
      <c r="V4233">
        <v>1.4808639999999999E-3</v>
      </c>
      <c r="W4233">
        <v>-4.6299949999999999E-2</v>
      </c>
      <c r="X4233">
        <v>0.99892650000000005</v>
      </c>
      <c r="Y4233">
        <v>2.5759609999999999E-2</v>
      </c>
      <c r="Z4233">
        <v>-3.6599169999999999E-4</v>
      </c>
      <c r="AA4233">
        <v>0.99966809999999995</v>
      </c>
      <c r="AB4233">
        <v>28</v>
      </c>
      <c r="AC4233">
        <v>78.504499999999993</v>
      </c>
      <c r="AD4233">
        <v>-1.120956110154</v>
      </c>
      <c r="AE4233">
        <v>-0.127499999999997</v>
      </c>
      <c r="AF4233">
        <v>2.02890341314759</v>
      </c>
      <c r="AG4233">
        <v>-1.120956110154</v>
      </c>
      <c r="AH4233">
        <v>78.462373215465604</v>
      </c>
      <c r="AI4233">
        <v>90.818229491706006</v>
      </c>
      <c r="AJ4233">
        <v>88.518758756253106</v>
      </c>
      <c r="AK4233">
        <v>78.496605036547805</v>
      </c>
      <c r="AL4233">
        <v>92.653740393128302</v>
      </c>
      <c r="AM4233">
        <v>89.915061623575497</v>
      </c>
      <c r="AN4233">
        <v>1.00000001536521</v>
      </c>
    </row>
    <row r="4234" spans="1:40" x14ac:dyDescent="0.25">
      <c r="A4234" t="str">
        <f>"20190303153852505"</f>
        <v>20190303153852505</v>
      </c>
      <c r="B4234" t="str">
        <f>"1551598732492816"</f>
        <v>1551598732492816</v>
      </c>
      <c r="C4234" t="s">
        <v>40</v>
      </c>
      <c r="D4234">
        <v>4.3603769999999997</v>
      </c>
      <c r="E4234">
        <v>0.50971520000000003</v>
      </c>
      <c r="F4234" t="s">
        <v>55</v>
      </c>
      <c r="G4234">
        <v>-357.0951</v>
      </c>
      <c r="H4234" s="1">
        <v>2.235767E-6</v>
      </c>
      <c r="I4234">
        <v>214.68700000000001</v>
      </c>
      <c r="J4234">
        <v>-426.55110000000002</v>
      </c>
      <c r="K4234">
        <v>1.1209089999999999</v>
      </c>
      <c r="L4234">
        <v>214.84209999999999</v>
      </c>
      <c r="M4234">
        <v>0.99961069999999996</v>
      </c>
      <c r="N4234">
        <v>-1.4396829999999999E-2</v>
      </c>
      <c r="O4234">
        <v>2.3905309999999999E-2</v>
      </c>
      <c r="P4234">
        <v>0.9978783</v>
      </c>
      <c r="Q4234">
        <v>-6.1474399999999998E-2</v>
      </c>
      <c r="R4234">
        <v>2.1449989999999999E-2</v>
      </c>
      <c r="S4234">
        <v>3.003479</v>
      </c>
      <c r="T4234">
        <v>-4.828441E-2</v>
      </c>
      <c r="U4234">
        <v>-6.4086909999999898E-3</v>
      </c>
      <c r="V4234">
        <v>2.385079E-3</v>
      </c>
      <c r="W4234">
        <v>-4.70999E-2</v>
      </c>
      <c r="X4234">
        <v>0.99888739999999998</v>
      </c>
      <c r="Y4234">
        <v>2.6034470000000001E-2</v>
      </c>
      <c r="Z4234">
        <v>-4.3675030000000001E-4</v>
      </c>
      <c r="AA4234">
        <v>0.99966100000000002</v>
      </c>
      <c r="AB4234">
        <v>28</v>
      </c>
      <c r="AC4234">
        <v>69.456000000000003</v>
      </c>
      <c r="AD4234">
        <v>-1.120906764233</v>
      </c>
      <c r="AE4234">
        <v>-0.15509999999997601</v>
      </c>
      <c r="AF4234">
        <v>1.8151219999158501</v>
      </c>
      <c r="AG4234">
        <v>-1.120906764233</v>
      </c>
      <c r="AH4234">
        <v>69.414360485014399</v>
      </c>
      <c r="AI4234">
        <v>90.924818795916707</v>
      </c>
      <c r="AJ4234">
        <v>88.502109146155803</v>
      </c>
      <c r="AK4234">
        <v>69.447134868129794</v>
      </c>
      <c r="AL4234">
        <v>92.699624083283695</v>
      </c>
      <c r="AM4234">
        <v>89.863193087826104</v>
      </c>
      <c r="AN4234">
        <v>1.0000000635302999</v>
      </c>
    </row>
    <row r="4235" spans="1:40" x14ac:dyDescent="0.25">
      <c r="A4235" t="str">
        <f>"20190303153852526"</f>
        <v>20190303153852526</v>
      </c>
      <c r="B4235" t="str">
        <f>"1551598732523072"</f>
        <v>1551598732523072</v>
      </c>
      <c r="C4235" t="s">
        <v>40</v>
      </c>
      <c r="D4235">
        <v>4.3865730000000003</v>
      </c>
      <c r="E4235">
        <v>0.5095807</v>
      </c>
      <c r="F4235" t="s">
        <v>55</v>
      </c>
      <c r="G4235">
        <v>-363.6884</v>
      </c>
      <c r="H4235" s="1">
        <v>4.2602569999999998E-7</v>
      </c>
      <c r="I4235">
        <v>214.64599999999999</v>
      </c>
      <c r="J4235">
        <v>-426.28710000000001</v>
      </c>
      <c r="K4235">
        <v>1.1208750000000001</v>
      </c>
      <c r="L4235">
        <v>214.84800000000001</v>
      </c>
      <c r="M4235">
        <v>0.9996178</v>
      </c>
      <c r="N4235">
        <v>-1.449607E-2</v>
      </c>
      <c r="O4235">
        <v>2.3545549999999998E-2</v>
      </c>
      <c r="P4235">
        <v>0.9978977</v>
      </c>
      <c r="Q4235">
        <v>-6.151119E-2</v>
      </c>
      <c r="R4235">
        <v>2.0412960000000001E-2</v>
      </c>
      <c r="S4235">
        <v>3.0032649999999999</v>
      </c>
      <c r="T4235">
        <v>-5.3551439999999999E-2</v>
      </c>
      <c r="U4235">
        <v>-9.3688959999999998E-3</v>
      </c>
      <c r="V4235">
        <v>3.0587040000000002E-3</v>
      </c>
      <c r="W4235">
        <v>-4.703831E-2</v>
      </c>
      <c r="X4235">
        <v>0.99888840000000001</v>
      </c>
      <c r="Y4235">
        <v>2.6658790000000002E-2</v>
      </c>
      <c r="Z4235">
        <v>-5.0935249999999998E-4</v>
      </c>
      <c r="AA4235">
        <v>0.99964450000000005</v>
      </c>
      <c r="AB4235">
        <v>28</v>
      </c>
      <c r="AC4235">
        <v>62.598700000000001</v>
      </c>
      <c r="AD4235">
        <v>-1.1208745739743</v>
      </c>
      <c r="AE4235">
        <v>-0.20199999999999799</v>
      </c>
      <c r="AF4235">
        <v>1.6754823125385201</v>
      </c>
      <c r="AG4235">
        <v>-1.1208745739743</v>
      </c>
      <c r="AH4235">
        <v>62.5565287798361</v>
      </c>
      <c r="AI4235">
        <v>91.026135837838098</v>
      </c>
      <c r="AJ4235">
        <v>88.465785714263504</v>
      </c>
      <c r="AK4235">
        <v>62.588999782491101</v>
      </c>
      <c r="AL4235">
        <v>92.696091500454401</v>
      </c>
      <c r="AM4235">
        <v>89.824554692760302</v>
      </c>
      <c r="AN4235">
        <v>0.99999999696618702</v>
      </c>
    </row>
    <row r="4236" spans="1:40" x14ac:dyDescent="0.25">
      <c r="A4236" t="str">
        <f>"20190303153852550"</f>
        <v>20190303153852550</v>
      </c>
      <c r="B4236" t="str">
        <f>"1551598732542592"</f>
        <v>1551598732542592</v>
      </c>
      <c r="C4236" t="s">
        <v>40</v>
      </c>
      <c r="D4236">
        <v>4.359661</v>
      </c>
      <c r="E4236">
        <v>0.50950379999999995</v>
      </c>
      <c r="F4236" t="s">
        <v>55</v>
      </c>
      <c r="G4236">
        <v>-367.25619999999998</v>
      </c>
      <c r="H4236" s="1">
        <v>2.3245949999999998E-6</v>
      </c>
      <c r="I4236">
        <v>214.6224</v>
      </c>
      <c r="J4236">
        <v>-425.99529999999999</v>
      </c>
      <c r="K4236">
        <v>1.1208560000000001</v>
      </c>
      <c r="L4236">
        <v>214.8544</v>
      </c>
      <c r="M4236">
        <v>0.99962660000000003</v>
      </c>
      <c r="N4236">
        <v>-1.458973E-2</v>
      </c>
      <c r="O4236">
        <v>2.31051E-2</v>
      </c>
      <c r="P4236">
        <v>0.99792380000000003</v>
      </c>
      <c r="Q4236">
        <v>-6.136461E-2</v>
      </c>
      <c r="R4236">
        <v>1.9557290000000001E-2</v>
      </c>
      <c r="S4236">
        <v>3.003082</v>
      </c>
      <c r="T4236">
        <v>-5.7022209999999997E-2</v>
      </c>
      <c r="U4236">
        <v>-1.147461E-2</v>
      </c>
      <c r="V4236">
        <v>3.4716769999999998E-3</v>
      </c>
      <c r="W4236">
        <v>-4.6798609999999997E-2</v>
      </c>
      <c r="X4236">
        <v>0.99889830000000002</v>
      </c>
      <c r="Y4236">
        <v>2.6918480000000002E-2</v>
      </c>
      <c r="Z4236">
        <v>-5.5347399999999998E-4</v>
      </c>
      <c r="AA4236">
        <v>0.99963749999999996</v>
      </c>
      <c r="AB4236">
        <v>28</v>
      </c>
      <c r="AC4236">
        <v>58.739100000000001</v>
      </c>
      <c r="AD4236">
        <v>-1.12085367540499</v>
      </c>
      <c r="AE4236">
        <v>-0.23199999999999901</v>
      </c>
      <c r="AF4236">
        <v>1.5886768099444499</v>
      </c>
      <c r="AG4236">
        <v>-1.12085367540499</v>
      </c>
      <c r="AH4236">
        <v>58.6966825683945</v>
      </c>
      <c r="AI4236">
        <v>91.0935691244553</v>
      </c>
      <c r="AJ4236">
        <v>88.449618360044894</v>
      </c>
      <c r="AK4236">
        <v>58.728874938168197</v>
      </c>
      <c r="AL4236">
        <v>92.682342584457899</v>
      </c>
      <c r="AM4236">
        <v>89.800868978312096</v>
      </c>
      <c r="AN4236">
        <v>0.99999998809100699</v>
      </c>
    </row>
    <row r="4237" spans="1:40" x14ac:dyDescent="0.25">
      <c r="A4237" t="str">
        <f>"20190303153852571"</f>
        <v>20190303153852571</v>
      </c>
      <c r="B4237" t="str">
        <f>"1551598732563091"</f>
        <v>1551598732563091</v>
      </c>
      <c r="C4237" t="s">
        <v>40</v>
      </c>
      <c r="D4237">
        <v>4.3502049999999999</v>
      </c>
      <c r="E4237">
        <v>0.50942959999999904</v>
      </c>
      <c r="F4237" t="s">
        <v>55</v>
      </c>
      <c r="G4237">
        <v>-368.48700000000002</v>
      </c>
      <c r="H4237" s="1">
        <v>2.9795699999999998E-6</v>
      </c>
      <c r="I4237">
        <v>214.59610000000001</v>
      </c>
      <c r="J4237">
        <v>-425.72269999999997</v>
      </c>
      <c r="K4237">
        <v>1.120849</v>
      </c>
      <c r="L4237">
        <v>214.86019999999999</v>
      </c>
      <c r="M4237">
        <v>0.99963559999999996</v>
      </c>
      <c r="N4237">
        <v>-1.466339E-2</v>
      </c>
      <c r="O4237">
        <v>2.2667440000000001E-2</v>
      </c>
      <c r="P4237">
        <v>0.99794519999999998</v>
      </c>
      <c r="Q4237">
        <v>-6.112041E-2</v>
      </c>
      <c r="R4237">
        <v>1.923097E-2</v>
      </c>
      <c r="S4237">
        <v>3.0028990000000002</v>
      </c>
      <c r="T4237">
        <v>-5.8527349999999999E-2</v>
      </c>
      <c r="U4237">
        <v>-1.3488770000000001E-2</v>
      </c>
      <c r="V4237">
        <v>3.3596009999999998E-3</v>
      </c>
      <c r="W4237">
        <v>-4.6480689999999998E-2</v>
      </c>
      <c r="X4237">
        <v>0.99891350000000001</v>
      </c>
      <c r="Y4237">
        <v>2.7151060000000001E-2</v>
      </c>
      <c r="Z4237">
        <v>-5.729935E-4</v>
      </c>
      <c r="AA4237">
        <v>0.99963120000000005</v>
      </c>
      <c r="AB4237">
        <v>28</v>
      </c>
      <c r="AC4237">
        <v>57.235700000000001</v>
      </c>
      <c r="AD4237">
        <v>-1.1208460204299999</v>
      </c>
      <c r="AE4237">
        <v>-0.26409999999998401</v>
      </c>
      <c r="AF4237">
        <v>1.5609597153724</v>
      </c>
      <c r="AG4237">
        <v>-1.1208460204299999</v>
      </c>
      <c r="AH4237">
        <v>57.193070918058098</v>
      </c>
      <c r="AI4237">
        <v>91.122297329989706</v>
      </c>
      <c r="AJ4237">
        <v>88.436625185904802</v>
      </c>
      <c r="AK4237">
        <v>57.225346238118597</v>
      </c>
      <c r="AL4237">
        <v>92.6641073381913</v>
      </c>
      <c r="AM4237">
        <v>89.807300399517402</v>
      </c>
      <c r="AN4237">
        <v>0.99999996097200095</v>
      </c>
    </row>
    <row r="4238" spans="1:40" x14ac:dyDescent="0.25">
      <c r="A4238" t="str">
        <f>"20190303153852595"</f>
        <v>20190303153852595</v>
      </c>
      <c r="B4238" t="str">
        <f>"1551598732592368"</f>
        <v>1551598732592368</v>
      </c>
      <c r="C4238" t="s">
        <v>40</v>
      </c>
      <c r="D4238">
        <v>4.3756269999999997</v>
      </c>
      <c r="E4238">
        <v>0.50932440000000001</v>
      </c>
      <c r="F4238" t="s">
        <v>55</v>
      </c>
      <c r="G4238">
        <v>-369.16199999999998</v>
      </c>
      <c r="H4238" s="1">
        <v>3.3388020000000002E-6</v>
      </c>
      <c r="I4238">
        <v>214.59639999999999</v>
      </c>
      <c r="J4238">
        <v>-425.4418</v>
      </c>
      <c r="K4238">
        <v>1.12086</v>
      </c>
      <c r="L4238">
        <v>214.86600000000001</v>
      </c>
      <c r="M4238">
        <v>0.99964489999999995</v>
      </c>
      <c r="N4238">
        <v>-1.4727779999999999E-2</v>
      </c>
      <c r="O4238">
        <v>2.220658E-2</v>
      </c>
      <c r="P4238">
        <v>0.99790840000000003</v>
      </c>
      <c r="Q4238">
        <v>-6.1958880000000001E-2</v>
      </c>
      <c r="R4238">
        <v>1.8439379999999998E-2</v>
      </c>
      <c r="S4238">
        <v>3.0028380000000001</v>
      </c>
      <c r="T4238">
        <v>-5.9506419999999997E-2</v>
      </c>
      <c r="U4238">
        <v>-1.400757E-2</v>
      </c>
      <c r="V4238">
        <v>3.688378E-3</v>
      </c>
      <c r="W4238">
        <v>-4.7255869999999998E-2</v>
      </c>
      <c r="X4238">
        <v>0.99887599999999999</v>
      </c>
      <c r="Y4238">
        <v>2.6862850000000001E-2</v>
      </c>
      <c r="Z4238">
        <v>-5.7691739999999995E-4</v>
      </c>
      <c r="AA4238">
        <v>0.99963900000000006</v>
      </c>
      <c r="AB4238">
        <v>27</v>
      </c>
      <c r="AC4238">
        <v>56.279800000000002</v>
      </c>
      <c r="AD4238">
        <v>-1.120856661198</v>
      </c>
      <c r="AE4238">
        <v>-0.26959999999999601</v>
      </c>
      <c r="AF4238">
        <v>1.5188485509493801</v>
      </c>
      <c r="AG4238">
        <v>-1.120856661198</v>
      </c>
      <c r="AH4238">
        <v>56.2376255371776</v>
      </c>
      <c r="AI4238">
        <v>91.141379182979193</v>
      </c>
      <c r="AJ4238">
        <v>88.452949225315706</v>
      </c>
      <c r="AK4238">
        <v>56.269296660216803</v>
      </c>
      <c r="AL4238">
        <v>92.7085706600827</v>
      </c>
      <c r="AM4238">
        <v>89.788434668381996</v>
      </c>
      <c r="AN4238">
        <v>0.99999999237886295</v>
      </c>
    </row>
    <row r="4239" spans="1:40" x14ac:dyDescent="0.25">
      <c r="A4239" t="str">
        <f>"20190303153852617"</f>
        <v>20190303153852617</v>
      </c>
      <c r="B4239" t="str">
        <f>"1551598732612864"</f>
        <v>1551598732612864</v>
      </c>
      <c r="C4239" t="s">
        <v>40</v>
      </c>
      <c r="D4239">
        <v>4.35372</v>
      </c>
      <c r="E4239">
        <v>0.50924799999999903</v>
      </c>
      <c r="F4239" t="s">
        <v>55</v>
      </c>
      <c r="G4239">
        <v>-373.31380000000001</v>
      </c>
      <c r="H4239" s="1">
        <v>2.2666039999999999E-7</v>
      </c>
      <c r="I4239">
        <v>214.59370000000001</v>
      </c>
      <c r="J4239">
        <v>-425.17079999999999</v>
      </c>
      <c r="K4239">
        <v>1.1208670000000001</v>
      </c>
      <c r="L4239">
        <v>214.8716</v>
      </c>
      <c r="M4239">
        <v>0.99965409999999999</v>
      </c>
      <c r="N4239">
        <v>-1.4780669999999999E-2</v>
      </c>
      <c r="O4239">
        <v>2.1759520000000001E-2</v>
      </c>
      <c r="P4239">
        <v>0.99789550000000005</v>
      </c>
      <c r="Q4239">
        <v>-6.2338579999999998E-2</v>
      </c>
      <c r="R4239">
        <v>1.7855490000000002E-2</v>
      </c>
      <c r="S4239">
        <v>3.0025330000000001</v>
      </c>
      <c r="T4239">
        <v>-6.4560649999999997E-2</v>
      </c>
      <c r="U4239">
        <v>-1.5686039999999998E-2</v>
      </c>
      <c r="V4239">
        <v>3.8250179999999999E-3</v>
      </c>
      <c r="W4239">
        <v>-4.7583170000000001E-2</v>
      </c>
      <c r="X4239">
        <v>0.99885990000000002</v>
      </c>
      <c r="Y4239">
        <v>2.6973549999999999E-2</v>
      </c>
      <c r="Z4239">
        <v>-6.3551039999999997E-4</v>
      </c>
      <c r="AA4239">
        <v>0.99963590000000002</v>
      </c>
      <c r="AB4239">
        <v>27</v>
      </c>
      <c r="AC4239">
        <v>51.8569999999999</v>
      </c>
      <c r="AD4239">
        <v>-1.1208667733396001</v>
      </c>
      <c r="AE4239">
        <v>-0.27789999999998799</v>
      </c>
      <c r="AF4239">
        <v>1.40568404356032</v>
      </c>
      <c r="AG4239">
        <v>-1.1208667733396001</v>
      </c>
      <c r="AH4239">
        <v>51.8144652084356</v>
      </c>
      <c r="AI4239">
        <v>91.238791359412403</v>
      </c>
      <c r="AJ4239">
        <v>88.445993555378806</v>
      </c>
      <c r="AK4239">
        <v>51.845646825843303</v>
      </c>
      <c r="AL4239">
        <v>92.727344819714205</v>
      </c>
      <c r="AM4239">
        <v>89.780593537976102</v>
      </c>
      <c r="AN4239">
        <v>0.99999994432897799</v>
      </c>
    </row>
    <row r="4240" spans="1:40" x14ac:dyDescent="0.25">
      <c r="A4240" t="str">
        <f>"20190303153852641"</f>
        <v>20190303153852641</v>
      </c>
      <c r="B4240" t="str">
        <f>"1551598732632384"</f>
        <v>1551598732632384</v>
      </c>
      <c r="C4240" t="s">
        <v>40</v>
      </c>
      <c r="D4240">
        <v>4.3719010000000003</v>
      </c>
      <c r="E4240">
        <v>0.50905100000000003</v>
      </c>
      <c r="F4240" t="s">
        <v>55</v>
      </c>
      <c r="G4240">
        <v>-375.21910000000003</v>
      </c>
      <c r="H4240" s="1">
        <v>1.240544E-6</v>
      </c>
      <c r="I4240">
        <v>214.59030000000001</v>
      </c>
      <c r="J4240">
        <v>-424.88810000000001</v>
      </c>
      <c r="K4240">
        <v>1.1208720000000001</v>
      </c>
      <c r="L4240">
        <v>214.87719999999999</v>
      </c>
      <c r="M4240">
        <v>0.99966319999999997</v>
      </c>
      <c r="N4240">
        <v>-1.482722E-2</v>
      </c>
      <c r="O4240">
        <v>2.1295399999999999E-2</v>
      </c>
      <c r="P4240">
        <v>0.99784680000000003</v>
      </c>
      <c r="Q4240">
        <v>-6.3309959999999998E-2</v>
      </c>
      <c r="R4240">
        <v>1.7132330000000001E-2</v>
      </c>
      <c r="S4240">
        <v>3.0024109999999999</v>
      </c>
      <c r="T4240">
        <v>-6.7371009999999995E-2</v>
      </c>
      <c r="U4240">
        <v>-1.690674E-2</v>
      </c>
      <c r="V4240">
        <v>4.082876E-3</v>
      </c>
      <c r="W4240">
        <v>-4.8509089999999998E-2</v>
      </c>
      <c r="X4240">
        <v>0.99881439999999999</v>
      </c>
      <c r="Y4240">
        <v>2.691522E-2</v>
      </c>
      <c r="Z4240">
        <v>-6.6352479999999905E-4</v>
      </c>
      <c r="AA4240">
        <v>0.99963749999999996</v>
      </c>
      <c r="AB4240">
        <v>27</v>
      </c>
      <c r="AC4240">
        <v>49.668999999999897</v>
      </c>
      <c r="AD4240">
        <v>-1.1208707594559999</v>
      </c>
      <c r="AE4240">
        <v>-0.28689999999997401</v>
      </c>
      <c r="AF4240">
        <v>1.34398809413774</v>
      </c>
      <c r="AG4240">
        <v>-1.1208707594559999</v>
      </c>
      <c r="AH4240">
        <v>49.626351711151301</v>
      </c>
      <c r="AI4240">
        <v>91.2933999413641</v>
      </c>
      <c r="AJ4240">
        <v>88.448686536006207</v>
      </c>
      <c r="AK4240">
        <v>49.6571992707551</v>
      </c>
      <c r="AL4240">
        <v>92.780457306489197</v>
      </c>
      <c r="AM4240">
        <v>89.765792062939298</v>
      </c>
      <c r="AN4240">
        <v>1.0000000036682</v>
      </c>
    </row>
    <row r="4241" spans="1:40" x14ac:dyDescent="0.25">
      <c r="A4241" t="str">
        <f>"20190303153852662"</f>
        <v>20190303153852662</v>
      </c>
      <c r="B4241" t="str">
        <f>"1551598732652880"</f>
        <v>1551598732652880</v>
      </c>
      <c r="C4241" t="s">
        <v>40</v>
      </c>
      <c r="D4241">
        <v>4.341316</v>
      </c>
      <c r="E4241">
        <v>0.50878710000000005</v>
      </c>
      <c r="F4241" t="s">
        <v>55</v>
      </c>
      <c r="G4241">
        <v>-378.53269999999998</v>
      </c>
      <c r="H4241" s="1">
        <v>3.0038899999999999E-6</v>
      </c>
      <c r="I4241">
        <v>214.60409999999999</v>
      </c>
      <c r="J4241">
        <v>-424.62580000000003</v>
      </c>
      <c r="K4241">
        <v>1.1208819999999999</v>
      </c>
      <c r="L4241">
        <v>214.88229999999999</v>
      </c>
      <c r="M4241">
        <v>0.99967189999999995</v>
      </c>
      <c r="N4241">
        <v>-1.4863599999999999E-2</v>
      </c>
      <c r="O4241">
        <v>2.086899E-2</v>
      </c>
      <c r="P4241">
        <v>0.99785360000000001</v>
      </c>
      <c r="Q4241">
        <v>-6.3433229999999993E-2</v>
      </c>
      <c r="R4241">
        <v>1.6273650000000001E-2</v>
      </c>
      <c r="S4241">
        <v>3.002167</v>
      </c>
      <c r="T4241">
        <v>-7.2592139999999999E-2</v>
      </c>
      <c r="U4241">
        <v>-1.768494E-2</v>
      </c>
      <c r="V4241">
        <v>4.515949E-3</v>
      </c>
      <c r="W4241">
        <v>-4.8596470000000003E-2</v>
      </c>
      <c r="X4241">
        <v>0.99880829999999998</v>
      </c>
      <c r="Y4241">
        <v>2.674675E-2</v>
      </c>
      <c r="Z4241">
        <v>-7.1646820000000001E-4</v>
      </c>
      <c r="AA4241">
        <v>0.99964200000000003</v>
      </c>
      <c r="AB4241">
        <v>27</v>
      </c>
      <c r="AC4241">
        <v>46.0931</v>
      </c>
      <c r="AD4241">
        <v>-1.1208789961100001</v>
      </c>
      <c r="AE4241">
        <v>-0.278199999999998</v>
      </c>
      <c r="AF4241">
        <v>1.2394290376760599</v>
      </c>
      <c r="AG4241">
        <v>-1.1208789961100001</v>
      </c>
      <c r="AH4241">
        <v>46.050022433149103</v>
      </c>
      <c r="AI4241">
        <v>91.393826085058095</v>
      </c>
      <c r="AJ4241">
        <v>88.458265407247893</v>
      </c>
      <c r="AK4241">
        <v>46.080333333830097</v>
      </c>
      <c r="AL4241">
        <v>92.785469690477797</v>
      </c>
      <c r="AM4241">
        <v>89.740948232920601</v>
      </c>
      <c r="AN4241">
        <v>1.0000000154203601</v>
      </c>
    </row>
    <row r="4242" spans="1:40" x14ac:dyDescent="0.25">
      <c r="A4242" t="str">
        <f>"20190303153852684"</f>
        <v>20190303153852684</v>
      </c>
      <c r="B4242" t="str">
        <f>"1551598732672403"</f>
        <v>1551598732672403</v>
      </c>
      <c r="C4242" t="s">
        <v>40</v>
      </c>
      <c r="D4242">
        <v>4.3392189999999999</v>
      </c>
      <c r="E4242">
        <v>0.50848119999999997</v>
      </c>
      <c r="F4242" t="s">
        <v>55</v>
      </c>
      <c r="G4242">
        <v>-379.3236</v>
      </c>
      <c r="H4242" s="1">
        <v>3.4247680000000002E-6</v>
      </c>
      <c r="I4242">
        <v>214.60919999999999</v>
      </c>
      <c r="J4242">
        <v>-424.36</v>
      </c>
      <c r="K4242">
        <v>1.1209</v>
      </c>
      <c r="L4242">
        <v>214.88740000000001</v>
      </c>
      <c r="M4242">
        <v>0.99968009999999996</v>
      </c>
      <c r="N4242">
        <v>-1.489467E-2</v>
      </c>
      <c r="O4242">
        <v>2.0441089999999999E-2</v>
      </c>
      <c r="P4242">
        <v>0.99790190000000001</v>
      </c>
      <c r="Q4242">
        <v>-6.2693479999999996E-2</v>
      </c>
      <c r="R4242">
        <v>1.6171660000000001E-2</v>
      </c>
      <c r="S4242">
        <v>3.002014</v>
      </c>
      <c r="T4242">
        <v>-7.427657E-2</v>
      </c>
      <c r="U4242">
        <v>-1.8096919999999999E-2</v>
      </c>
      <c r="V4242">
        <v>4.1927429999999996E-3</v>
      </c>
      <c r="W4242">
        <v>-4.7824770000000003E-2</v>
      </c>
      <c r="X4242">
        <v>0.99884689999999998</v>
      </c>
      <c r="Y4242">
        <v>2.6455920000000001E-2</v>
      </c>
      <c r="Z4242">
        <v>-7.2551110000000001E-4</v>
      </c>
      <c r="AA4242">
        <v>0.99964969999999997</v>
      </c>
      <c r="AB4242">
        <v>27</v>
      </c>
      <c r="AC4242">
        <v>45.0364</v>
      </c>
      <c r="AD4242">
        <v>-1.1208965752319999</v>
      </c>
      <c r="AE4242">
        <v>-0.27820000000002598</v>
      </c>
      <c r="AF4242">
        <v>1.19809497624686</v>
      </c>
      <c r="AG4242">
        <v>-1.1208965752319999</v>
      </c>
      <c r="AH4242">
        <v>44.993430666950999</v>
      </c>
      <c r="AI4242">
        <v>91.426577572450597</v>
      </c>
      <c r="AJ4242">
        <v>88.474675818934102</v>
      </c>
      <c r="AK4242">
        <v>45.023334437669099</v>
      </c>
      <c r="AL4242">
        <v>92.741203219072403</v>
      </c>
      <c r="AM4242">
        <v>89.759497609101601</v>
      </c>
      <c r="AN4242">
        <v>0.99999995867951197</v>
      </c>
    </row>
    <row r="4243" spans="1:40" x14ac:dyDescent="0.25">
      <c r="A4243" t="str">
        <f>"20190303153852705"</f>
        <v>20190303153852705</v>
      </c>
      <c r="B4243" t="str">
        <f>"1551598732702658"</f>
        <v>1551598732702658</v>
      </c>
      <c r="C4243" t="s">
        <v>40</v>
      </c>
      <c r="D4243">
        <v>4.3394599999999999</v>
      </c>
      <c r="E4243">
        <v>0.50802890000000001</v>
      </c>
      <c r="F4243" t="s">
        <v>55</v>
      </c>
      <c r="G4243">
        <v>-378.83330000000001</v>
      </c>
      <c r="H4243" s="1">
        <v>3.163858E-6</v>
      </c>
      <c r="I4243">
        <v>214.64529999999999</v>
      </c>
      <c r="J4243">
        <v>-424.09710000000001</v>
      </c>
      <c r="K4243">
        <v>1.120908</v>
      </c>
      <c r="L4243">
        <v>214.89230000000001</v>
      </c>
      <c r="M4243">
        <v>0.99968829999999997</v>
      </c>
      <c r="N4243">
        <v>-1.4920539999999999E-2</v>
      </c>
      <c r="O4243">
        <v>2.0020739999999999E-2</v>
      </c>
      <c r="P4243">
        <v>0.99797729999999996</v>
      </c>
      <c r="Q4243">
        <v>-6.146182E-2</v>
      </c>
      <c r="R4243">
        <v>1.6239190000000001E-2</v>
      </c>
      <c r="S4243">
        <v>3.0019529999999999</v>
      </c>
      <c r="T4243">
        <v>-7.3910000000000003E-2</v>
      </c>
      <c r="U4243">
        <v>-1.596069E-2</v>
      </c>
      <c r="V4243">
        <v>3.7084330000000001E-3</v>
      </c>
      <c r="W4243">
        <v>-4.6565809999999999E-2</v>
      </c>
      <c r="X4243">
        <v>0.99890829999999997</v>
      </c>
      <c r="Y4243">
        <v>2.532504E-2</v>
      </c>
      <c r="Z4243">
        <v>-6.9479850000000001E-4</v>
      </c>
      <c r="AA4243">
        <v>0.99967899999999998</v>
      </c>
      <c r="AB4243">
        <v>27</v>
      </c>
      <c r="AC4243">
        <v>45.263800000000003</v>
      </c>
      <c r="AD4243">
        <v>-1.120904836142</v>
      </c>
      <c r="AE4243">
        <v>-0.24700000000001399</v>
      </c>
      <c r="AF4243">
        <v>1.1525592910895599</v>
      </c>
      <c r="AG4243">
        <v>-1.120904836142</v>
      </c>
      <c r="AH4243">
        <v>45.2220483919236</v>
      </c>
      <c r="AI4243">
        <v>91.419421172921503</v>
      </c>
      <c r="AJ4243">
        <v>88.540037604947898</v>
      </c>
      <c r="AK4243">
        <v>45.250618574033297</v>
      </c>
      <c r="AL4243">
        <v>92.668989645662606</v>
      </c>
      <c r="AM4243">
        <v>89.787291202451499</v>
      </c>
      <c r="AN4243">
        <v>0.99999995947257903</v>
      </c>
    </row>
    <row r="4244" spans="1:40" x14ac:dyDescent="0.25">
      <c r="A4244" t="str">
        <f>"20190303153852728"</f>
        <v>20190303153852728</v>
      </c>
      <c r="B4244" t="str">
        <f>"1551598732723152"</f>
        <v>1551598732723152</v>
      </c>
      <c r="C4244" t="s">
        <v>40</v>
      </c>
      <c r="D4244">
        <v>4.2992720000000002</v>
      </c>
      <c r="E4244">
        <v>0.50774659999999905</v>
      </c>
      <c r="F4244" t="s">
        <v>55</v>
      </c>
      <c r="G4244">
        <v>-377.08330000000001</v>
      </c>
      <c r="H4244" s="1">
        <v>2.2325589999999999E-6</v>
      </c>
      <c r="I4244">
        <v>214.7004</v>
      </c>
      <c r="J4244">
        <v>-423.8295</v>
      </c>
      <c r="K4244">
        <v>1.120919</v>
      </c>
      <c r="L4244">
        <v>214.89709999999999</v>
      </c>
      <c r="M4244">
        <v>0.99969629999999998</v>
      </c>
      <c r="N4244">
        <v>-1.494241E-2</v>
      </c>
      <c r="O4244">
        <v>1.9595410000000001E-2</v>
      </c>
      <c r="P4244">
        <v>0.99795180000000006</v>
      </c>
      <c r="Q4244">
        <v>-6.1760540000000003E-2</v>
      </c>
      <c r="R4244">
        <v>1.6670509999999999E-2</v>
      </c>
      <c r="S4244">
        <v>3.0018310000000001</v>
      </c>
      <c r="T4244">
        <v>-7.1569800000000003E-2</v>
      </c>
      <c r="U4244">
        <v>-1.2252809999999999E-2</v>
      </c>
      <c r="V4244">
        <v>2.851929E-3</v>
      </c>
      <c r="W4244">
        <v>-4.6842170000000002E-2</v>
      </c>
      <c r="X4244">
        <v>0.99889819999999996</v>
      </c>
      <c r="Y4244">
        <v>2.3666679999999999E-2</v>
      </c>
      <c r="Z4244">
        <v>-6.3325529999999999E-4</v>
      </c>
      <c r="AA4244">
        <v>0.99971969999999999</v>
      </c>
      <c r="AB4244">
        <v>27</v>
      </c>
      <c r="AC4244">
        <v>46.746199999999902</v>
      </c>
      <c r="AD4244">
        <v>-1.1209167674410001</v>
      </c>
      <c r="AE4244">
        <v>-0.19669999999999199</v>
      </c>
      <c r="AF4244">
        <v>1.1121360342016899</v>
      </c>
      <c r="AG4244">
        <v>-1.1209167674410001</v>
      </c>
      <c r="AH4244">
        <v>46.706512560765702</v>
      </c>
      <c r="AI4244">
        <v>91.374396894364807</v>
      </c>
      <c r="AJ4244">
        <v>88.635979031465993</v>
      </c>
      <c r="AK4244">
        <v>46.733196087439403</v>
      </c>
      <c r="AL4244">
        <v>92.684841182243503</v>
      </c>
      <c r="AM4244">
        <v>89.836416712752794</v>
      </c>
      <c r="AN4244">
        <v>0.999999968176284</v>
      </c>
    </row>
    <row r="4245" spans="1:40" x14ac:dyDescent="0.25">
      <c r="A4245" t="str">
        <f>"20190303153852751"</f>
        <v>20190303153852751</v>
      </c>
      <c r="B4245" t="str">
        <f>"1551598732742672"</f>
        <v>1551598732742672</v>
      </c>
      <c r="C4245" t="s">
        <v>40</v>
      </c>
      <c r="D4245">
        <v>4.3163210000000003</v>
      </c>
      <c r="E4245">
        <v>0.50748779999999905</v>
      </c>
      <c r="F4245" t="s">
        <v>55</v>
      </c>
      <c r="G4245">
        <v>-377.87349999999998</v>
      </c>
      <c r="H4245" s="1">
        <v>2.6531219999999998E-6</v>
      </c>
      <c r="I4245">
        <v>214.76609999999999</v>
      </c>
      <c r="J4245">
        <v>-423.55070000000001</v>
      </c>
      <c r="K4245">
        <v>1.1209290000000001</v>
      </c>
      <c r="L4245">
        <v>214.90209999999999</v>
      </c>
      <c r="M4245">
        <v>0.9997045</v>
      </c>
      <c r="N4245">
        <v>-1.496098E-2</v>
      </c>
      <c r="O4245">
        <v>1.9153710000000001E-2</v>
      </c>
      <c r="P4245">
        <v>0.99790029999999996</v>
      </c>
      <c r="Q4245">
        <v>-6.2472569999999998E-2</v>
      </c>
      <c r="R4245">
        <v>1.7089070000000001E-2</v>
      </c>
      <c r="S4245">
        <v>3.001709</v>
      </c>
      <c r="T4245">
        <v>-7.3215009999999997E-2</v>
      </c>
      <c r="U4245">
        <v>-8.560181E-3</v>
      </c>
      <c r="V4245">
        <v>1.9913600000000002E-3</v>
      </c>
      <c r="W4245">
        <v>-4.7535500000000001E-2</v>
      </c>
      <c r="X4245">
        <v>0.99886759999999997</v>
      </c>
      <c r="Y4245">
        <v>2.1995609999999999E-2</v>
      </c>
      <c r="Z4245">
        <v>-6.1331829999999995E-4</v>
      </c>
      <c r="AA4245">
        <v>0.99975789999999998</v>
      </c>
      <c r="AB4245">
        <v>27</v>
      </c>
      <c r="AC4245">
        <v>45.677199999999999</v>
      </c>
      <c r="AD4245">
        <v>-1.120926346878</v>
      </c>
      <c r="AE4245">
        <v>-0.13599999999999501</v>
      </c>
      <c r="AF4245">
        <v>1.01035246356681</v>
      </c>
      <c r="AG4245">
        <v>-1.120926346878</v>
      </c>
      <c r="AH4245">
        <v>45.638729169122598</v>
      </c>
      <c r="AI4245">
        <v>91.406606139688407</v>
      </c>
      <c r="AJ4245">
        <v>88.731790327535506</v>
      </c>
      <c r="AK4245">
        <v>45.663671426510199</v>
      </c>
      <c r="AL4245">
        <v>92.724610186145696</v>
      </c>
      <c r="AM4245">
        <v>89.885774278460602</v>
      </c>
      <c r="AN4245">
        <v>1.00000003580232</v>
      </c>
    </row>
    <row r="4246" spans="1:40" x14ac:dyDescent="0.25">
      <c r="A4246" t="str">
        <f>"20190303153852772"</f>
        <v>20190303153852772</v>
      </c>
      <c r="B4246" t="str">
        <f>"1551598732763168"</f>
        <v>1551598732763168</v>
      </c>
      <c r="C4246" t="s">
        <v>40</v>
      </c>
      <c r="D4246">
        <v>4.2737869999999996</v>
      </c>
      <c r="E4246">
        <v>0.50722869999999998</v>
      </c>
      <c r="F4246" t="s">
        <v>55</v>
      </c>
      <c r="G4246">
        <v>-379.35039999999998</v>
      </c>
      <c r="H4246" s="1">
        <v>3.439007E-6</v>
      </c>
      <c r="I4246">
        <v>214.82300000000001</v>
      </c>
      <c r="J4246">
        <v>-423.28210000000001</v>
      </c>
      <c r="K4246">
        <v>1.120938</v>
      </c>
      <c r="L4246">
        <v>214.9068</v>
      </c>
      <c r="M4246">
        <v>0.9997125</v>
      </c>
      <c r="N4246">
        <v>-1.49754E-2</v>
      </c>
      <c r="O4246">
        <v>1.8728379999999999E-2</v>
      </c>
      <c r="P4246">
        <v>0.99783429999999995</v>
      </c>
      <c r="Q4246">
        <v>-6.3494099999999998E-2</v>
      </c>
      <c r="R4246">
        <v>1.718923E-2</v>
      </c>
      <c r="S4246">
        <v>3.001617</v>
      </c>
      <c r="T4246">
        <v>-7.6121330000000001E-2</v>
      </c>
      <c r="U4246">
        <v>-5.3710939999999999E-3</v>
      </c>
      <c r="V4246">
        <v>1.4644790000000001E-3</v>
      </c>
      <c r="W4246">
        <v>-4.8543000000000003E-2</v>
      </c>
      <c r="X4246">
        <v>0.99882000000000004</v>
      </c>
      <c r="Y4246">
        <v>2.050803E-2</v>
      </c>
      <c r="Z4246">
        <v>-6.0799179999999995E-4</v>
      </c>
      <c r="AA4246">
        <v>0.9997895</v>
      </c>
      <c r="AB4246">
        <v>27</v>
      </c>
      <c r="AC4246">
        <v>43.931699999999999</v>
      </c>
      <c r="AD4246">
        <v>-1.1209345609929999</v>
      </c>
      <c r="AE4246">
        <v>-8.3800000000024896E-2</v>
      </c>
      <c r="AF4246">
        <v>0.90605723112727099</v>
      </c>
      <c r="AG4246">
        <v>-1.1209345609929999</v>
      </c>
      <c r="AH4246">
        <v>43.893847074192998</v>
      </c>
      <c r="AI4246">
        <v>91.462555643443096</v>
      </c>
      <c r="AJ4246">
        <v>88.817467882153196</v>
      </c>
      <c r="AK4246">
        <v>43.917504994805299</v>
      </c>
      <c r="AL4246">
        <v>92.782402563940494</v>
      </c>
      <c r="AM4246">
        <v>89.915992465351394</v>
      </c>
      <c r="AN4246">
        <v>0.99999997997387002</v>
      </c>
    </row>
    <row r="4247" spans="1:40" x14ac:dyDescent="0.25">
      <c r="A4247" t="str">
        <f>"20190303153852795"</f>
        <v>20190303153852795</v>
      </c>
      <c r="B4247" t="str">
        <f>"1551598732782692"</f>
        <v>1551598732782692</v>
      </c>
      <c r="C4247" t="s">
        <v>40</v>
      </c>
      <c r="D4247">
        <v>4.2904549999999997</v>
      </c>
      <c r="E4247">
        <v>0.50698299999999996</v>
      </c>
      <c r="F4247" t="s">
        <v>55</v>
      </c>
      <c r="G4247">
        <v>-381.26170000000002</v>
      </c>
      <c r="H4247" s="1">
        <v>-8.7599689999999898E-7</v>
      </c>
      <c r="I4247">
        <v>214.85929999999999</v>
      </c>
      <c r="J4247">
        <v>-423.02</v>
      </c>
      <c r="K4247">
        <v>1.1209450000000001</v>
      </c>
      <c r="L4247">
        <v>214.91120000000001</v>
      </c>
      <c r="M4247">
        <v>0.9997201</v>
      </c>
      <c r="N4247">
        <v>-1.4984610000000001E-2</v>
      </c>
      <c r="O4247">
        <v>1.8313329999999999E-2</v>
      </c>
      <c r="P4247">
        <v>0.99783949999999999</v>
      </c>
      <c r="Q4247">
        <v>-6.3578399999999993E-2</v>
      </c>
      <c r="R4247">
        <v>1.657467E-2</v>
      </c>
      <c r="S4247">
        <v>3.0014949999999998</v>
      </c>
      <c r="T4247">
        <v>-8.0068109999999998E-2</v>
      </c>
      <c r="U4247">
        <v>-3.3874510000000001E-3</v>
      </c>
      <c r="V4247">
        <v>1.6647999999999999E-3</v>
      </c>
      <c r="W4247">
        <v>-4.861832E-2</v>
      </c>
      <c r="X4247">
        <v>0.99881600000000004</v>
      </c>
      <c r="Y4247">
        <v>1.9431730000000001E-2</v>
      </c>
      <c r="Z4247">
        <v>-6.1877060000000003E-4</v>
      </c>
      <c r="AA4247">
        <v>0.99981100000000001</v>
      </c>
      <c r="AB4247">
        <v>27</v>
      </c>
      <c r="AC4247">
        <v>41.758299999999899</v>
      </c>
      <c r="AD4247">
        <v>-1.1209458759969</v>
      </c>
      <c r="AE4247">
        <v>-5.1900000000017599E-2</v>
      </c>
      <c r="AF4247">
        <v>0.81612253571844795</v>
      </c>
      <c r="AG4247">
        <v>-1.1209458759969</v>
      </c>
      <c r="AH4247">
        <v>41.720282008385702</v>
      </c>
      <c r="AI4247">
        <v>91.5387658156816</v>
      </c>
      <c r="AJ4247">
        <v>88.879336104776996</v>
      </c>
      <c r="AK4247">
        <v>41.743316908332197</v>
      </c>
      <c r="AL4247">
        <v>92.786723247096404</v>
      </c>
      <c r="AM4247">
        <v>89.904501003786606</v>
      </c>
      <c r="AN4247">
        <v>0.99999995722733004</v>
      </c>
    </row>
    <row r="4248" spans="1:40" x14ac:dyDescent="0.25">
      <c r="A4248" t="str">
        <f>"20190303153852820"</f>
        <v>20190303153852820</v>
      </c>
      <c r="B4248" t="str">
        <f>"1551598732812945"</f>
        <v>1551598732812945</v>
      </c>
      <c r="C4248" t="s">
        <v>40</v>
      </c>
      <c r="D4248">
        <v>4.3129540000000004</v>
      </c>
      <c r="E4248">
        <v>0.50663959999999997</v>
      </c>
      <c r="F4248" t="s">
        <v>55</v>
      </c>
      <c r="G4248">
        <v>-381.44330000000002</v>
      </c>
      <c r="H4248" s="1">
        <v>-7.7967770000000003E-7</v>
      </c>
      <c r="I4248">
        <v>214.8664</v>
      </c>
      <c r="J4248">
        <v>-422.7201</v>
      </c>
      <c r="K4248">
        <v>1.1209469999999999</v>
      </c>
      <c r="L4248">
        <v>214.9162</v>
      </c>
      <c r="M4248">
        <v>0.99972890000000003</v>
      </c>
      <c r="N4248">
        <v>-1.4971440000000001E-2</v>
      </c>
      <c r="O4248">
        <v>1.7838380000000001E-2</v>
      </c>
      <c r="P4248">
        <v>0.99783129999999998</v>
      </c>
      <c r="Q4248">
        <v>-6.3787269999999993E-2</v>
      </c>
      <c r="R4248">
        <v>1.6255559999999999E-2</v>
      </c>
      <c r="S4248">
        <v>3.001404</v>
      </c>
      <c r="T4248">
        <v>-8.0920580000000006E-2</v>
      </c>
      <c r="U4248">
        <v>-3.2348630000000001E-3</v>
      </c>
      <c r="V4248">
        <v>1.509741E-3</v>
      </c>
      <c r="W4248">
        <v>-4.8840399999999999E-2</v>
      </c>
      <c r="X4248">
        <v>0.99880550000000001</v>
      </c>
      <c r="Y4248">
        <v>1.8906019999999999E-2</v>
      </c>
      <c r="Z4248">
        <v>-6.1015250000000004E-4</v>
      </c>
      <c r="AA4248">
        <v>0.99982110000000002</v>
      </c>
      <c r="AB4248">
        <v>27</v>
      </c>
      <c r="AC4248">
        <v>41.276799999999902</v>
      </c>
      <c r="AD4248">
        <v>-1.1209477796777001</v>
      </c>
      <c r="AE4248">
        <v>-4.9800000000004702E-2</v>
      </c>
      <c r="AF4248">
        <v>0.78560638912106295</v>
      </c>
      <c r="AG4248">
        <v>-1.1209477796777001</v>
      </c>
      <c r="AH4248">
        <v>41.238928821377797</v>
      </c>
      <c r="AI4248">
        <v>91.556735972823205</v>
      </c>
      <c r="AJ4248">
        <v>88.908640746023096</v>
      </c>
      <c r="AK4248">
        <v>41.261640195925999</v>
      </c>
      <c r="AL4248">
        <v>92.799462381463499</v>
      </c>
      <c r="AM4248">
        <v>89.913394828543701</v>
      </c>
      <c r="AN4248">
        <v>1.0000000454101401</v>
      </c>
    </row>
    <row r="4249" spans="1:40" x14ac:dyDescent="0.25">
      <c r="A4249" t="str">
        <f>"20190303153852841"</f>
        <v>20190303153852841</v>
      </c>
      <c r="B4249" t="str">
        <f>"1551598732832464"</f>
        <v>1551598732832464</v>
      </c>
      <c r="C4249" t="s">
        <v>40</v>
      </c>
      <c r="D4249">
        <v>4.245539</v>
      </c>
      <c r="E4249">
        <v>0.50642100000000001</v>
      </c>
      <c r="F4249" t="s">
        <v>55</v>
      </c>
      <c r="G4249">
        <v>-381.78480000000002</v>
      </c>
      <c r="H4249" s="1">
        <v>-5.9929139999999996E-7</v>
      </c>
      <c r="I4249">
        <v>214.89760000000001</v>
      </c>
      <c r="J4249">
        <v>-422.47019999999998</v>
      </c>
      <c r="K4249">
        <v>1.1209359999999999</v>
      </c>
      <c r="L4249">
        <v>214.92009999999999</v>
      </c>
      <c r="M4249">
        <v>0.99973650000000003</v>
      </c>
      <c r="N4249">
        <v>-1.492915E-2</v>
      </c>
      <c r="O4249">
        <v>1.7444310000000001E-2</v>
      </c>
      <c r="P4249">
        <v>0.99782680000000001</v>
      </c>
      <c r="Q4249">
        <v>-6.4029740000000002E-2</v>
      </c>
      <c r="R4249">
        <v>1.5559949999999999E-2</v>
      </c>
      <c r="S4249">
        <v>3.0012819999999998</v>
      </c>
      <c r="T4249">
        <v>-8.2185389999999997E-2</v>
      </c>
      <c r="U4249">
        <v>-1.3580319999999999E-3</v>
      </c>
      <c r="V4249">
        <v>1.8118419999999999E-3</v>
      </c>
      <c r="W4249">
        <v>-4.912557E-2</v>
      </c>
      <c r="X4249">
        <v>0.99879099999999998</v>
      </c>
      <c r="Y4249">
        <v>1.788696E-2</v>
      </c>
      <c r="Z4249">
        <v>-5.95569E-4</v>
      </c>
      <c r="AA4249">
        <v>0.99983979999999995</v>
      </c>
      <c r="AB4249">
        <v>27</v>
      </c>
      <c r="AC4249">
        <v>40.685399999999902</v>
      </c>
      <c r="AD4249">
        <v>-1.1209365992914</v>
      </c>
      <c r="AE4249">
        <v>-2.2499999999979502E-2</v>
      </c>
      <c r="AF4249">
        <v>0.73174886868082001</v>
      </c>
      <c r="AG4249">
        <v>-1.1209365992914</v>
      </c>
      <c r="AH4249">
        <v>40.6479603882158</v>
      </c>
      <c r="AI4249">
        <v>91.579372399987506</v>
      </c>
      <c r="AJ4249">
        <v>88.968666736572601</v>
      </c>
      <c r="AK4249">
        <v>40.669996791103998</v>
      </c>
      <c r="AL4249">
        <v>92.815821089816197</v>
      </c>
      <c r="AM4249">
        <v>89.896063554964101</v>
      </c>
      <c r="AN4249">
        <v>1.00000003304012</v>
      </c>
    </row>
    <row r="4250" spans="1:40" x14ac:dyDescent="0.25">
      <c r="A4250" t="str">
        <f>"20190303153852863"</f>
        <v>20190303153852863</v>
      </c>
      <c r="B4250" t="str">
        <f>"1551598732852960"</f>
        <v>1551598732852960</v>
      </c>
      <c r="C4250" t="s">
        <v>40</v>
      </c>
      <c r="D4250">
        <v>4.2913209999999999</v>
      </c>
      <c r="E4250">
        <v>0.50619740000000002</v>
      </c>
      <c r="F4250" t="s">
        <v>55</v>
      </c>
      <c r="G4250">
        <v>-382.23989999999998</v>
      </c>
      <c r="H4250" s="1">
        <v>-3.5707000000000001E-7</v>
      </c>
      <c r="I4250">
        <v>214.89599999999999</v>
      </c>
      <c r="J4250">
        <v>-422.19929999999999</v>
      </c>
      <c r="K4250">
        <v>1.120924</v>
      </c>
      <c r="L4250">
        <v>214.92439999999999</v>
      </c>
      <c r="M4250">
        <v>0.99974470000000004</v>
      </c>
      <c r="N4250">
        <v>-1.4860480000000001E-2</v>
      </c>
      <c r="O4250">
        <v>1.7020779999999999E-2</v>
      </c>
      <c r="P4250">
        <v>0.99781350000000002</v>
      </c>
      <c r="Q4250">
        <v>-6.4491290000000007E-2</v>
      </c>
      <c r="R4250">
        <v>1.446564E-2</v>
      </c>
      <c r="S4250">
        <v>3.0011899999999998</v>
      </c>
      <c r="T4250">
        <v>-8.3621979999999999E-2</v>
      </c>
      <c r="U4250">
        <v>-1.8005370000000001E-3</v>
      </c>
      <c r="V4250">
        <v>2.4827590000000002E-3</v>
      </c>
      <c r="W4250">
        <v>-4.9656649999999997E-2</v>
      </c>
      <c r="X4250">
        <v>0.99876330000000002</v>
      </c>
      <c r="Y4250">
        <v>1.7610600000000001E-2</v>
      </c>
      <c r="Z4250">
        <v>-5.9739459999999999E-4</v>
      </c>
      <c r="AA4250">
        <v>0.99984470000000003</v>
      </c>
      <c r="AB4250">
        <v>27</v>
      </c>
      <c r="AC4250">
        <v>39.959400000000002</v>
      </c>
      <c r="AD4250">
        <v>-1.12092435707</v>
      </c>
      <c r="AE4250">
        <v>-2.84000000000048E-2</v>
      </c>
      <c r="AF4250">
        <v>0.70805398949666398</v>
      </c>
      <c r="AG4250">
        <v>-1.12092435707</v>
      </c>
      <c r="AH4250">
        <v>39.921712571580599</v>
      </c>
      <c r="AI4250">
        <v>91.608079160505199</v>
      </c>
      <c r="AJ4250">
        <v>88.983905007944998</v>
      </c>
      <c r="AK4250">
        <v>39.943722241601598</v>
      </c>
      <c r="AL4250">
        <v>92.8462869001455</v>
      </c>
      <c r="AM4250">
        <v>89.857572540720199</v>
      </c>
      <c r="AN4250">
        <v>1.00000003820418</v>
      </c>
    </row>
    <row r="4251" spans="1:40" x14ac:dyDescent="0.25">
      <c r="A4251" t="str">
        <f>"20190303153852885"</f>
        <v>20190303153852885</v>
      </c>
      <c r="B4251" t="str">
        <f>"1551598732872484"</f>
        <v>1551598732872484</v>
      </c>
      <c r="C4251" t="s">
        <v>40</v>
      </c>
      <c r="D4251">
        <v>4.2480729999999998</v>
      </c>
      <c r="E4251">
        <v>0.50602609999999904</v>
      </c>
      <c r="F4251" t="s">
        <v>55</v>
      </c>
      <c r="G4251">
        <v>-382.90300000000002</v>
      </c>
      <c r="H4251" s="1">
        <v>-3.5348129999999998E-9</v>
      </c>
      <c r="I4251">
        <v>214.881</v>
      </c>
      <c r="J4251">
        <v>-421.94200000000001</v>
      </c>
      <c r="K4251">
        <v>1.120914</v>
      </c>
      <c r="L4251">
        <v>214.92830000000001</v>
      </c>
      <c r="M4251">
        <v>0.99975259999999999</v>
      </c>
      <c r="N4251">
        <v>-1.4787369999999999E-2</v>
      </c>
      <c r="O4251">
        <v>1.6624429999999999E-2</v>
      </c>
      <c r="P4251">
        <v>0.99780049999999998</v>
      </c>
      <c r="Q4251">
        <v>-6.4768370000000006E-2</v>
      </c>
      <c r="R4251">
        <v>1.411434E-2</v>
      </c>
      <c r="S4251">
        <v>3.0010680000000001</v>
      </c>
      <c r="T4251">
        <v>-8.5605260000000002E-2</v>
      </c>
      <c r="U4251">
        <v>-3.3111569999999999E-3</v>
      </c>
      <c r="V4251">
        <v>2.438469E-3</v>
      </c>
      <c r="W4251">
        <v>-5.000694E-2</v>
      </c>
      <c r="X4251">
        <v>0.99874589999999996</v>
      </c>
      <c r="Y4251">
        <v>1.7716889999999999E-2</v>
      </c>
      <c r="Z4251">
        <v>-6.1194600000000004E-4</v>
      </c>
      <c r="AA4251">
        <v>0.99984289999999998</v>
      </c>
      <c r="AB4251">
        <v>27</v>
      </c>
      <c r="AC4251">
        <v>39.038999999999902</v>
      </c>
      <c r="AD4251">
        <v>-1.12091400353481</v>
      </c>
      <c r="AE4251">
        <v>-4.7300000000035397E-2</v>
      </c>
      <c r="AF4251">
        <v>0.695791834413787</v>
      </c>
      <c r="AG4251">
        <v>-1.12091400353481</v>
      </c>
      <c r="AH4251">
        <v>39.000664605919503</v>
      </c>
      <c r="AI4251">
        <v>91.646016996356593</v>
      </c>
      <c r="AJ4251">
        <v>88.977922371826594</v>
      </c>
      <c r="AK4251">
        <v>39.022972902939799</v>
      </c>
      <c r="AL4251">
        <v>92.866382094783006</v>
      </c>
      <c r="AM4251">
        <v>89.860110860470698</v>
      </c>
      <c r="AN4251">
        <v>1.0000000064730099</v>
      </c>
    </row>
    <row r="4252" spans="1:40" x14ac:dyDescent="0.25">
      <c r="A4252" t="str">
        <f>"20190303153852907"</f>
        <v>20190303153852907</v>
      </c>
      <c r="B4252" t="str">
        <f>"1551598732902736"</f>
        <v>1551598732902736</v>
      </c>
      <c r="C4252" t="s">
        <v>40</v>
      </c>
      <c r="D4252">
        <v>4.2450890000000001</v>
      </c>
      <c r="E4252">
        <v>0.50579090000000004</v>
      </c>
      <c r="F4252" t="s">
        <v>55</v>
      </c>
      <c r="G4252">
        <v>-383.06509999999997</v>
      </c>
      <c r="H4252" s="1">
        <v>8.2348039999999898E-8</v>
      </c>
      <c r="I4252">
        <v>214.88980000000001</v>
      </c>
      <c r="J4252">
        <v>-421.6832</v>
      </c>
      <c r="K4252">
        <v>1.1209100000000001</v>
      </c>
      <c r="L4252">
        <v>214.93219999999999</v>
      </c>
      <c r="M4252">
        <v>0.99976019999999999</v>
      </c>
      <c r="N4252">
        <v>-1.4702659999999999E-2</v>
      </c>
      <c r="O4252">
        <v>1.6230990000000001E-2</v>
      </c>
      <c r="P4252">
        <v>0.99777439999999995</v>
      </c>
      <c r="Q4252">
        <v>-6.5198859999999997E-2</v>
      </c>
      <c r="R4252">
        <v>1.398025E-2</v>
      </c>
      <c r="S4252">
        <v>3.0010379999999999</v>
      </c>
      <c r="T4252">
        <v>-8.6526989999999998E-2</v>
      </c>
      <c r="U4252">
        <v>-2.9754640000000001E-3</v>
      </c>
      <c r="V4252">
        <v>2.1796099999999998E-3</v>
      </c>
      <c r="W4252">
        <v>-5.0522160000000003E-2</v>
      </c>
      <c r="X4252">
        <v>0.99872059999999996</v>
      </c>
      <c r="Y4252">
        <v>1.721166E-2</v>
      </c>
      <c r="Z4252">
        <v>-6.0388130000000001E-4</v>
      </c>
      <c r="AA4252">
        <v>0.99985170000000001</v>
      </c>
      <c r="AB4252">
        <v>27</v>
      </c>
      <c r="AC4252">
        <v>38.618099999999998</v>
      </c>
      <c r="AD4252">
        <v>-1.1209099176519599</v>
      </c>
      <c r="AE4252">
        <v>-4.23999999999864E-2</v>
      </c>
      <c r="AF4252">
        <v>0.66870877220047298</v>
      </c>
      <c r="AG4252">
        <v>-1.1209099176519599</v>
      </c>
      <c r="AH4252">
        <v>38.579820734008301</v>
      </c>
      <c r="AI4252">
        <v>91.663971131188504</v>
      </c>
      <c r="AJ4252">
        <v>89.006984653347899</v>
      </c>
      <c r="AK4252">
        <v>38.601893455292199</v>
      </c>
      <c r="AL4252">
        <v>92.895939296986995</v>
      </c>
      <c r="AM4252">
        <v>89.874957765246407</v>
      </c>
      <c r="AN4252">
        <v>1.00000003810758</v>
      </c>
    </row>
    <row r="4253" spans="1:40" x14ac:dyDescent="0.25">
      <c r="A4253" t="str">
        <f>"20190303153852930"</f>
        <v>20190303153852930</v>
      </c>
      <c r="B4253" t="str">
        <f>"1551598732922256"</f>
        <v>1551598732922256</v>
      </c>
      <c r="C4253" t="s">
        <v>40</v>
      </c>
      <c r="D4253">
        <v>4.2560409999999997</v>
      </c>
      <c r="E4253">
        <v>0.50564399999999998</v>
      </c>
      <c r="F4253" t="s">
        <v>55</v>
      </c>
      <c r="G4253">
        <v>-383.43490000000003</v>
      </c>
      <c r="H4253" s="1">
        <v>2.7801100000000001E-7</v>
      </c>
      <c r="I4253">
        <v>214.91560000000001</v>
      </c>
      <c r="J4253">
        <v>-421.41059999999999</v>
      </c>
      <c r="K4253">
        <v>1.1208990000000001</v>
      </c>
      <c r="L4253">
        <v>214.93610000000001</v>
      </c>
      <c r="M4253">
        <v>0.99976860000000001</v>
      </c>
      <c r="N4253">
        <v>-1.4577970000000001E-2</v>
      </c>
      <c r="O4253">
        <v>1.582209E-2</v>
      </c>
      <c r="P4253">
        <v>0.99779510000000005</v>
      </c>
      <c r="Q4253">
        <v>-6.4902760000000004E-2</v>
      </c>
      <c r="R4253">
        <v>1.387408E-2</v>
      </c>
      <c r="S4253">
        <v>3.0009459999999999</v>
      </c>
      <c r="T4253">
        <v>-8.7946179999999999E-2</v>
      </c>
      <c r="U4253">
        <v>-1.296997E-3</v>
      </c>
      <c r="V4253">
        <v>1.8789569999999999E-3</v>
      </c>
      <c r="W4253">
        <v>-5.0350079999999998E-2</v>
      </c>
      <c r="X4253">
        <v>0.99872989999999995</v>
      </c>
      <c r="Y4253">
        <v>1.6243750000000001E-2</v>
      </c>
      <c r="Z4253">
        <v>-5.8933729999999999E-4</v>
      </c>
      <c r="AA4253">
        <v>0.99986790000000003</v>
      </c>
      <c r="AB4253">
        <v>27</v>
      </c>
      <c r="AC4253">
        <v>37.975699999999897</v>
      </c>
      <c r="AD4253">
        <v>-1.1208987219890001</v>
      </c>
      <c r="AE4253">
        <v>-2.0499999999998401E-2</v>
      </c>
      <c r="AF4253">
        <v>0.62087528936841796</v>
      </c>
      <c r="AG4253">
        <v>-1.1208987219890001</v>
      </c>
      <c r="AH4253">
        <v>37.937569462240603</v>
      </c>
      <c r="AI4253">
        <v>91.692135194931495</v>
      </c>
      <c r="AJ4253">
        <v>89.062397545867896</v>
      </c>
      <c r="AK4253">
        <v>37.959202794213603</v>
      </c>
      <c r="AL4253">
        <v>92.886067278308005</v>
      </c>
      <c r="AM4253">
        <v>89.892206913028602</v>
      </c>
      <c r="AN4253">
        <v>1.00000003709471</v>
      </c>
    </row>
    <row r="4254" spans="1:40" x14ac:dyDescent="0.25">
      <c r="A4254" t="str">
        <f>"20190303153852952"</f>
        <v>20190303153852952</v>
      </c>
      <c r="B4254" t="str">
        <f>"1551598732942753"</f>
        <v>1551598732942753</v>
      </c>
      <c r="C4254" t="s">
        <v>40</v>
      </c>
      <c r="D4254">
        <v>4.2465869999999999</v>
      </c>
      <c r="E4254">
        <v>0.50565190000000004</v>
      </c>
      <c r="F4254" t="s">
        <v>55</v>
      </c>
      <c r="G4254">
        <v>-383.09410000000003</v>
      </c>
      <c r="H4254" s="1">
        <v>9.6083979999999996E-8</v>
      </c>
      <c r="I4254">
        <v>214.92789999999999</v>
      </c>
      <c r="J4254">
        <v>-421.13619999999997</v>
      </c>
      <c r="K4254">
        <v>1.120871</v>
      </c>
      <c r="L4254">
        <v>214.94</v>
      </c>
      <c r="M4254">
        <v>0.99977769999999999</v>
      </c>
      <c r="N4254">
        <v>-1.439258E-2</v>
      </c>
      <c r="O4254">
        <v>1.541847E-2</v>
      </c>
      <c r="P4254">
        <v>0.99785360000000001</v>
      </c>
      <c r="Q4254">
        <v>-6.4067449999999998E-2</v>
      </c>
      <c r="R4254">
        <v>1.355668E-2</v>
      </c>
      <c r="S4254">
        <v>3.0009160000000001</v>
      </c>
      <c r="T4254">
        <v>-8.7787749999999998E-2</v>
      </c>
      <c r="U4254">
        <v>-6.408691E-4</v>
      </c>
      <c r="V4254">
        <v>1.7951359999999999E-3</v>
      </c>
      <c r="W4254">
        <v>-4.9699159999999999E-2</v>
      </c>
      <c r="X4254">
        <v>0.99876259999999994</v>
      </c>
      <c r="Y4254">
        <v>1.5621929999999999E-2</v>
      </c>
      <c r="Z4254">
        <v>-5.6994360000000004E-4</v>
      </c>
      <c r="AA4254">
        <v>0.99987780000000004</v>
      </c>
      <c r="AB4254">
        <v>27</v>
      </c>
      <c r="AC4254">
        <v>38.042099999999898</v>
      </c>
      <c r="AD4254">
        <v>-1.1208709039160101</v>
      </c>
      <c r="AE4254">
        <v>-1.21000000000037E-2</v>
      </c>
      <c r="AF4254">
        <v>0.59819089961207805</v>
      </c>
      <c r="AG4254">
        <v>-1.1208709039160101</v>
      </c>
      <c r="AH4254">
        <v>38.0043977919388</v>
      </c>
      <c r="AI4254">
        <v>91.6891364618062</v>
      </c>
      <c r="AJ4254">
        <v>89.098236365566507</v>
      </c>
      <c r="AK4254">
        <v>38.0256286662501</v>
      </c>
      <c r="AL4254">
        <v>92.848725720361699</v>
      </c>
      <c r="AM4254">
        <v>89.897018965572201</v>
      </c>
      <c r="AN4254">
        <v>0.999999980088361</v>
      </c>
    </row>
    <row r="4255" spans="1:40" x14ac:dyDescent="0.25">
      <c r="A4255" t="str">
        <f>"20190303153852973"</f>
        <v>20190303153852973</v>
      </c>
      <c r="B4255" t="str">
        <f>"1551598732962272"</f>
        <v>1551598732962272</v>
      </c>
      <c r="C4255" t="s">
        <v>40</v>
      </c>
      <c r="D4255">
        <v>4.234807</v>
      </c>
      <c r="E4255">
        <v>0.50565769999999999</v>
      </c>
      <c r="F4255" t="s">
        <v>55</v>
      </c>
      <c r="G4255">
        <v>-381.85579999999999</v>
      </c>
      <c r="H4255" s="1">
        <v>-5.6241959999999995E-7</v>
      </c>
      <c r="I4255">
        <v>214.9178</v>
      </c>
      <c r="J4255">
        <v>-420.88249999999999</v>
      </c>
      <c r="K4255">
        <v>1.120843</v>
      </c>
      <c r="L4255">
        <v>214.9435</v>
      </c>
      <c r="M4255">
        <v>0.99978599999999995</v>
      </c>
      <c r="N4255">
        <v>-1.418967E-2</v>
      </c>
      <c r="O4255">
        <v>1.505656E-2</v>
      </c>
      <c r="P4255">
        <v>0.99790630000000002</v>
      </c>
      <c r="Q4255">
        <v>-6.3261670000000006E-2</v>
      </c>
      <c r="R4255">
        <v>1.344658E-2</v>
      </c>
      <c r="S4255">
        <v>3.0009769999999998</v>
      </c>
      <c r="T4255">
        <v>-8.5633280000000006E-2</v>
      </c>
      <c r="U4255">
        <v>-1.693726E-3</v>
      </c>
      <c r="V4255">
        <v>1.5455039999999901E-3</v>
      </c>
      <c r="W4255">
        <v>-4.9095239999999998E-2</v>
      </c>
      <c r="X4255">
        <v>0.99879289999999998</v>
      </c>
      <c r="Y4255">
        <v>1.561134E-2</v>
      </c>
      <c r="Z4255">
        <v>-5.4938929999999995E-4</v>
      </c>
      <c r="AA4255">
        <v>0.99987800000000004</v>
      </c>
      <c r="AB4255">
        <v>27</v>
      </c>
      <c r="AC4255">
        <v>39.026699999999998</v>
      </c>
      <c r="AD4255">
        <v>-1.1208435624196</v>
      </c>
      <c r="AE4255">
        <v>-2.57000000000005E-2</v>
      </c>
      <c r="AF4255">
        <v>0.61285856838752595</v>
      </c>
      <c r="AG4255">
        <v>-1.1208435624196</v>
      </c>
      <c r="AH4255">
        <v>38.989728165850998</v>
      </c>
      <c r="AI4255">
        <v>91.646433605044294</v>
      </c>
      <c r="AJ4255">
        <v>89.099472615032397</v>
      </c>
      <c r="AK4255">
        <v>39.010649678814801</v>
      </c>
      <c r="AL4255">
        <v>92.814081319044206</v>
      </c>
      <c r="AM4255">
        <v>89.911342195417603</v>
      </c>
      <c r="AN4255">
        <v>0.99999999413184004</v>
      </c>
    </row>
    <row r="4256" spans="1:40" x14ac:dyDescent="0.25">
      <c r="A4256" t="str">
        <f>"20190303153852997"</f>
        <v>20190303153852997</v>
      </c>
      <c r="B4256" t="str">
        <f>"1551598732992529"</f>
        <v>1551598732992529</v>
      </c>
      <c r="C4256" t="s">
        <v>40</v>
      </c>
      <c r="D4256">
        <v>4.2119540000000004</v>
      </c>
      <c r="E4256">
        <v>0.5056853</v>
      </c>
      <c r="F4256" t="s">
        <v>55</v>
      </c>
      <c r="G4256">
        <v>-380.64749999999998</v>
      </c>
      <c r="H4256" s="1">
        <v>-1.205403E-6</v>
      </c>
      <c r="I4256">
        <v>214.9179</v>
      </c>
      <c r="J4256">
        <v>-420.61099999999999</v>
      </c>
      <c r="K4256">
        <v>1.1208180000000001</v>
      </c>
      <c r="L4256">
        <v>214.94710000000001</v>
      </c>
      <c r="M4256">
        <v>0.99979510000000005</v>
      </c>
      <c r="N4256">
        <v>-1.39442E-2</v>
      </c>
      <c r="O4256">
        <v>1.467912E-2</v>
      </c>
      <c r="P4256">
        <v>0.99797829999999998</v>
      </c>
      <c r="Q4256">
        <v>-6.2163799999999998E-2</v>
      </c>
      <c r="R4256">
        <v>1.324795E-2</v>
      </c>
      <c r="S4256">
        <v>3.0009769999999998</v>
      </c>
      <c r="T4256">
        <v>-8.3599450000000006E-2</v>
      </c>
      <c r="U4256">
        <v>-1.907349E-3</v>
      </c>
      <c r="V4256">
        <v>1.3701029999999999E-3</v>
      </c>
      <c r="W4256">
        <v>-4.8241510000000001E-2</v>
      </c>
      <c r="X4256">
        <v>0.99883480000000002</v>
      </c>
      <c r="Y4256">
        <v>1.530572E-2</v>
      </c>
      <c r="Z4256">
        <v>-5.2404519999999996E-4</v>
      </c>
      <c r="AA4256">
        <v>0.99988270000000001</v>
      </c>
      <c r="AB4256">
        <v>27</v>
      </c>
      <c r="AC4256">
        <v>39.963500000000003</v>
      </c>
      <c r="AD4256">
        <v>-1.120819205403</v>
      </c>
      <c r="AE4256">
        <v>-2.9200000000002901E-2</v>
      </c>
      <c r="AF4256">
        <v>0.61539879779423201</v>
      </c>
      <c r="AG4256">
        <v>-1.120819205403</v>
      </c>
      <c r="AH4256">
        <v>39.927358529178001</v>
      </c>
      <c r="AI4256">
        <v>91.607762993055402</v>
      </c>
      <c r="AJ4256">
        <v>89.116972335937405</v>
      </c>
      <c r="AK4256">
        <v>39.947827356303698</v>
      </c>
      <c r="AL4256">
        <v>92.765108033467001</v>
      </c>
      <c r="AM4256">
        <v>89.921407353685197</v>
      </c>
      <c r="AN4256">
        <v>1.00000003908017</v>
      </c>
    </row>
    <row r="4257" spans="1:40" x14ac:dyDescent="0.25">
      <c r="A4257" t="str">
        <f>"20190303153853021"</f>
        <v>20190303153853021</v>
      </c>
      <c r="B4257" t="str">
        <f>"1551598733013024"</f>
        <v>1551598733013024</v>
      </c>
      <c r="C4257" t="s">
        <v>40</v>
      </c>
      <c r="D4257">
        <v>4.1860689999999998</v>
      </c>
      <c r="E4257">
        <v>0.50570109999999902</v>
      </c>
      <c r="F4257" t="s">
        <v>55</v>
      </c>
      <c r="G4257">
        <v>-379.01139999999998</v>
      </c>
      <c r="H4257" s="1">
        <v>3.2586270000000001E-6</v>
      </c>
      <c r="I4257">
        <v>214.9084</v>
      </c>
      <c r="J4257">
        <v>-420.32560000000001</v>
      </c>
      <c r="K4257">
        <v>1.1208009999999999</v>
      </c>
      <c r="L4257">
        <v>214.95089999999999</v>
      </c>
      <c r="M4257">
        <v>0.99980449999999998</v>
      </c>
      <c r="N4257">
        <v>-1.366304E-2</v>
      </c>
      <c r="O4257">
        <v>1.429222E-2</v>
      </c>
      <c r="P4257">
        <v>0.99802820000000003</v>
      </c>
      <c r="Q4257">
        <v>-6.1365089999999997E-2</v>
      </c>
      <c r="R4257">
        <v>1.319886E-2</v>
      </c>
      <c r="S4257">
        <v>3.0010379999999999</v>
      </c>
      <c r="T4257">
        <v>-8.0856799999999895E-2</v>
      </c>
      <c r="U4257">
        <v>-2.792358E-3</v>
      </c>
      <c r="V4257">
        <v>1.0359340000000001E-3</v>
      </c>
      <c r="W4257">
        <v>-4.7722790000000001E-2</v>
      </c>
      <c r="X4257">
        <v>0.99886010000000003</v>
      </c>
      <c r="Y4257">
        <v>1.521434E-2</v>
      </c>
      <c r="Z4257">
        <v>-4.9861679999999996E-4</v>
      </c>
      <c r="AA4257">
        <v>0.99988410000000005</v>
      </c>
      <c r="AB4257">
        <v>27</v>
      </c>
      <c r="AC4257">
        <v>41.3142</v>
      </c>
      <c r="AD4257">
        <v>-1.1207977413729999</v>
      </c>
      <c r="AE4257">
        <v>-4.2499999999989699E-2</v>
      </c>
      <c r="AF4257">
        <v>0.63255688257481901</v>
      </c>
      <c r="AG4257">
        <v>-1.1207977413729999</v>
      </c>
      <c r="AH4257">
        <v>41.278992179142499</v>
      </c>
      <c r="AI4257">
        <v>91.555117270701103</v>
      </c>
      <c r="AJ4257">
        <v>89.122071512082201</v>
      </c>
      <c r="AK4257">
        <v>41.299049760405701</v>
      </c>
      <c r="AL4257">
        <v>92.735353351880406</v>
      </c>
      <c r="AM4257">
        <v>89.940577639678096</v>
      </c>
      <c r="AN4257">
        <v>1.00000001860832</v>
      </c>
    </row>
    <row r="4258" spans="1:40" x14ac:dyDescent="0.25">
      <c r="A4258" t="str">
        <f>"20190303153853043"</f>
        <v>20190303153853043</v>
      </c>
      <c r="B4258" t="str">
        <f>"1551598733032545"</f>
        <v>1551598733032545</v>
      </c>
      <c r="C4258" t="s">
        <v>40</v>
      </c>
      <c r="D4258">
        <v>4.1871119999999999</v>
      </c>
      <c r="E4258">
        <v>0.50572159999999999</v>
      </c>
      <c r="F4258" t="s">
        <v>55</v>
      </c>
      <c r="G4258">
        <v>-377.6728</v>
      </c>
      <c r="H4258" s="1">
        <v>2.5462950000000002E-6</v>
      </c>
      <c r="I4258">
        <v>214.90440000000001</v>
      </c>
      <c r="J4258">
        <v>-420.05959999999999</v>
      </c>
      <c r="K4258">
        <v>1.1207830000000001</v>
      </c>
      <c r="L4258">
        <v>214.95429999999999</v>
      </c>
      <c r="M4258">
        <v>0.99981330000000002</v>
      </c>
      <c r="N4258">
        <v>-1.3385859999999999E-2</v>
      </c>
      <c r="O4258">
        <v>1.3942360000000001E-2</v>
      </c>
      <c r="P4258">
        <v>0.99804950000000003</v>
      </c>
      <c r="Q4258">
        <v>-6.1166100000000001E-2</v>
      </c>
      <c r="R4258">
        <v>1.249743E-2</v>
      </c>
      <c r="S4258">
        <v>3.00116</v>
      </c>
      <c r="T4258">
        <v>-7.8862189999999999E-2</v>
      </c>
      <c r="U4258">
        <v>-3.2653809999999999E-3</v>
      </c>
      <c r="V4258">
        <v>1.390147E-3</v>
      </c>
      <c r="W4258">
        <v>-4.7800710000000003E-2</v>
      </c>
      <c r="X4258">
        <v>0.99885590000000002</v>
      </c>
      <c r="Y4258">
        <v>1.5022539999999999E-2</v>
      </c>
      <c r="Z4258">
        <v>-4.7758490000000001E-4</v>
      </c>
      <c r="AA4258">
        <v>0.99988699999999997</v>
      </c>
      <c r="AB4258">
        <v>27</v>
      </c>
      <c r="AC4258">
        <v>42.386800000000001</v>
      </c>
      <c r="AD4258">
        <v>-1.1207804537049999</v>
      </c>
      <c r="AE4258">
        <v>-4.98999999999796E-2</v>
      </c>
      <c r="AF4258">
        <v>0.640472270321361</v>
      </c>
      <c r="AG4258">
        <v>-1.1207804537049999</v>
      </c>
      <c r="AH4258">
        <v>42.352372237919298</v>
      </c>
      <c r="AI4258">
        <v>91.515704224112497</v>
      </c>
      <c r="AJ4258">
        <v>89.133612615329099</v>
      </c>
      <c r="AK4258">
        <v>42.372040164874399</v>
      </c>
      <c r="AL4258">
        <v>92.739823060287904</v>
      </c>
      <c r="AM4258">
        <v>89.920259264046507</v>
      </c>
      <c r="AN4258">
        <v>0.99999997467499702</v>
      </c>
    </row>
    <row r="4259" spans="1:40" x14ac:dyDescent="0.25">
      <c r="A4259" t="str">
        <f>"20190303153853066"</f>
        <v>20190303153853066</v>
      </c>
      <c r="B4259" t="str">
        <f>"1551598733062800"</f>
        <v>1551598733062800</v>
      </c>
      <c r="C4259" t="s">
        <v>40</v>
      </c>
      <c r="D4259">
        <v>4.1859599999999997</v>
      </c>
      <c r="E4259">
        <v>0.50575439999999905</v>
      </c>
      <c r="F4259" t="s">
        <v>55</v>
      </c>
      <c r="G4259">
        <v>-377.22399999999999</v>
      </c>
      <c r="H4259" s="1">
        <v>2.307472E-6</v>
      </c>
      <c r="I4259">
        <v>214.8785</v>
      </c>
      <c r="J4259">
        <v>-419.78109999999998</v>
      </c>
      <c r="K4259">
        <v>1.12076</v>
      </c>
      <c r="L4259">
        <v>214.95779999999999</v>
      </c>
      <c r="M4259">
        <v>0.99982210000000005</v>
      </c>
      <c r="N4259">
        <v>-1.3081550000000001E-2</v>
      </c>
      <c r="O4259">
        <v>1.3591799999999999E-2</v>
      </c>
      <c r="P4259">
        <v>0.99811119999999998</v>
      </c>
      <c r="Q4259">
        <v>-6.0291400000000002E-2</v>
      </c>
      <c r="R4259">
        <v>1.179177E-2</v>
      </c>
      <c r="S4259">
        <v>3.0011290000000002</v>
      </c>
      <c r="T4259">
        <v>-7.8523759999999998E-2</v>
      </c>
      <c r="U4259">
        <v>-5.3100589999999998E-3</v>
      </c>
      <c r="V4259">
        <v>1.7484579999999901E-3</v>
      </c>
      <c r="W4259">
        <v>-4.7229569999999998E-2</v>
      </c>
      <c r="X4259">
        <v>0.99888250000000001</v>
      </c>
      <c r="Y4259">
        <v>1.535309E-2</v>
      </c>
      <c r="Z4259">
        <v>-4.7903159999999998E-4</v>
      </c>
      <c r="AA4259">
        <v>0.99988200000000005</v>
      </c>
      <c r="AB4259">
        <v>27</v>
      </c>
      <c r="AC4259">
        <v>42.557099999999899</v>
      </c>
      <c r="AD4259">
        <v>-1.1207576925280001</v>
      </c>
      <c r="AE4259">
        <v>-7.9299999999989199E-2</v>
      </c>
      <c r="AF4259">
        <v>0.65731385617778004</v>
      </c>
      <c r="AG4259">
        <v>-1.1207576925280001</v>
      </c>
      <c r="AH4259">
        <v>42.522598731376704</v>
      </c>
      <c r="AI4259">
        <v>91.509600986202599</v>
      </c>
      <c r="AJ4259">
        <v>89.114393014257601</v>
      </c>
      <c r="AK4259">
        <v>42.542444243138704</v>
      </c>
      <c r="AL4259">
        <v>92.707062159739806</v>
      </c>
      <c r="AM4259">
        <v>89.899708762801097</v>
      </c>
      <c r="AN4259">
        <v>0.99999996909700495</v>
      </c>
    </row>
    <row r="4260" spans="1:40" x14ac:dyDescent="0.25">
      <c r="A4260" t="str">
        <f>"20190303153853086"</f>
        <v>20190303153853086</v>
      </c>
      <c r="B4260" t="str">
        <f>"1551598733083297"</f>
        <v>1551598733083297</v>
      </c>
      <c r="C4260" t="s">
        <v>40</v>
      </c>
      <c r="D4260">
        <v>4.1908919999999998</v>
      </c>
      <c r="E4260">
        <v>0.50576809999999905</v>
      </c>
      <c r="F4260" t="s">
        <v>55</v>
      </c>
      <c r="G4260">
        <v>-375.72660000000002</v>
      </c>
      <c r="H4260" s="1">
        <v>1.510615E-6</v>
      </c>
      <c r="I4260">
        <v>214.8442</v>
      </c>
      <c r="J4260">
        <v>-419.5419</v>
      </c>
      <c r="K4260">
        <v>1.1207370000000001</v>
      </c>
      <c r="L4260">
        <v>214.9607</v>
      </c>
      <c r="M4260">
        <v>0.99982950000000004</v>
      </c>
      <c r="N4260">
        <v>-1.2808180000000001E-2</v>
      </c>
      <c r="O4260">
        <v>1.330425E-2</v>
      </c>
      <c r="P4260">
        <v>0.99817650000000002</v>
      </c>
      <c r="Q4260">
        <v>-5.934304E-2</v>
      </c>
      <c r="R4260">
        <v>1.1066350000000001E-2</v>
      </c>
      <c r="S4260">
        <v>3.00116</v>
      </c>
      <c r="T4260">
        <v>-7.6350210000000002E-2</v>
      </c>
      <c r="U4260">
        <v>-7.7362059999999998E-3</v>
      </c>
      <c r="V4260">
        <v>2.188663E-3</v>
      </c>
      <c r="W4260">
        <v>-4.6553879999999999E-2</v>
      </c>
      <c r="X4260">
        <v>0.99891339999999995</v>
      </c>
      <c r="Y4260">
        <v>1.5874010000000001E-2</v>
      </c>
      <c r="Z4260">
        <v>-4.7157660000000001E-4</v>
      </c>
      <c r="AA4260">
        <v>0.99987389999999998</v>
      </c>
      <c r="AB4260">
        <v>27</v>
      </c>
      <c r="AC4260">
        <v>43.815299999999901</v>
      </c>
      <c r="AD4260">
        <v>-1.1207354893849999</v>
      </c>
      <c r="AE4260">
        <v>-0.116500000000002</v>
      </c>
      <c r="AF4260">
        <v>0.699009853713079</v>
      </c>
      <c r="AG4260">
        <v>-1.1207354893849999</v>
      </c>
      <c r="AH4260">
        <v>43.7812270122039</v>
      </c>
      <c r="AI4260">
        <v>91.466181280873599</v>
      </c>
      <c r="AJ4260">
        <v>89.085294894554906</v>
      </c>
      <c r="AK4260">
        <v>43.801147262450598</v>
      </c>
      <c r="AL4260">
        <v>92.668305210353594</v>
      </c>
      <c r="AM4260">
        <v>89.874462639096507</v>
      </c>
      <c r="AN4260">
        <v>1.0000000173441701</v>
      </c>
    </row>
    <row r="4261" spans="1:40" x14ac:dyDescent="0.25">
      <c r="A4261" t="str">
        <f>"20190303153853108"</f>
        <v>20190303153853108</v>
      </c>
      <c r="B4261" t="str">
        <f>"1551598733102817"</f>
        <v>1551598733102817</v>
      </c>
      <c r="C4261" t="s">
        <v>40</v>
      </c>
      <c r="D4261">
        <v>4.1739369999999996</v>
      </c>
      <c r="E4261">
        <v>0.50576100000000002</v>
      </c>
      <c r="F4261" t="s">
        <v>55</v>
      </c>
      <c r="G4261">
        <v>-373.95389999999998</v>
      </c>
      <c r="H4261" s="1">
        <v>5.6727460000000003E-7</v>
      </c>
      <c r="I4261">
        <v>214.80680000000001</v>
      </c>
      <c r="J4261">
        <v>-419.27949999999998</v>
      </c>
      <c r="K4261">
        <v>1.120706</v>
      </c>
      <c r="L4261">
        <v>214.96379999999999</v>
      </c>
      <c r="M4261">
        <v>0.99983750000000005</v>
      </c>
      <c r="N4261">
        <v>-1.2494959999999999E-2</v>
      </c>
      <c r="O4261">
        <v>1.299844E-2</v>
      </c>
      <c r="P4261">
        <v>0.99824310000000005</v>
      </c>
      <c r="Q4261">
        <v>-5.8277219999999998E-2</v>
      </c>
      <c r="R4261">
        <v>1.070143E-2</v>
      </c>
      <c r="S4261">
        <v>3.0011899999999998</v>
      </c>
      <c r="T4261">
        <v>-7.3781369999999999E-2</v>
      </c>
      <c r="U4261">
        <v>-1.013184E-2</v>
      </c>
      <c r="V4261">
        <v>2.2500129999999999E-3</v>
      </c>
      <c r="W4261">
        <v>-4.5800269999999997E-2</v>
      </c>
      <c r="X4261">
        <v>0.99894810000000001</v>
      </c>
      <c r="Y4261">
        <v>1.636661E-2</v>
      </c>
      <c r="Z4261">
        <v>-4.6051399999999998E-4</v>
      </c>
      <c r="AA4261">
        <v>0.99986589999999997</v>
      </c>
      <c r="AB4261">
        <v>27</v>
      </c>
      <c r="AC4261">
        <v>45.325600000000001</v>
      </c>
      <c r="AD4261">
        <v>-1.12070543272539</v>
      </c>
      <c r="AE4261">
        <v>-0.15699999999998199</v>
      </c>
      <c r="AF4261">
        <v>0.74573888210374295</v>
      </c>
      <c r="AG4261">
        <v>-1.12070543272539</v>
      </c>
      <c r="AH4261">
        <v>45.292039898912201</v>
      </c>
      <c r="AI4261">
        <v>91.417244501921104</v>
      </c>
      <c r="AJ4261">
        <v>89.056703338488404</v>
      </c>
      <c r="AK4261">
        <v>45.312040180860002</v>
      </c>
      <c r="AL4261">
        <v>92.625080429687102</v>
      </c>
      <c r="AM4261">
        <v>89.870948219689097</v>
      </c>
      <c r="AN4261">
        <v>1.0000000168920899</v>
      </c>
    </row>
    <row r="4262" spans="1:40" x14ac:dyDescent="0.25">
      <c r="A4262" t="str">
        <f>"20190303153853131"</f>
        <v>20190303153853131</v>
      </c>
      <c r="B4262" t="str">
        <f>"1551598733122337"</f>
        <v>1551598733122337</v>
      </c>
      <c r="C4262" t="s">
        <v>40</v>
      </c>
      <c r="D4262">
        <v>4.1874279999999997</v>
      </c>
      <c r="E4262">
        <v>0.50576589999999999</v>
      </c>
      <c r="F4262" t="s">
        <v>55</v>
      </c>
      <c r="G4262">
        <v>-371.846</v>
      </c>
      <c r="H4262" s="1">
        <v>-5.5442499999999999E-7</v>
      </c>
      <c r="I4262">
        <v>214.7912</v>
      </c>
      <c r="J4262">
        <v>-419.00330000000002</v>
      </c>
      <c r="K4262">
        <v>1.1206609999999999</v>
      </c>
      <c r="L4262">
        <v>214.96709999999999</v>
      </c>
      <c r="M4262">
        <v>0.99984580000000001</v>
      </c>
      <c r="N4262">
        <v>-1.214575E-2</v>
      </c>
      <c r="O4262">
        <v>1.268353E-2</v>
      </c>
      <c r="P4262">
        <v>0.99828090000000003</v>
      </c>
      <c r="Q4262">
        <v>-5.7702789999999997E-2</v>
      </c>
      <c r="R4262">
        <v>1.028331E-2</v>
      </c>
      <c r="S4262">
        <v>3.0012509999999999</v>
      </c>
      <c r="T4262">
        <v>-7.0910219999999996E-2</v>
      </c>
      <c r="U4262">
        <v>-1.0925290000000001E-2</v>
      </c>
      <c r="V4262">
        <v>2.354302E-3</v>
      </c>
      <c r="W4262">
        <v>-4.5574400000000001E-2</v>
      </c>
      <c r="X4262">
        <v>0.99895820000000002</v>
      </c>
      <c r="Y4262">
        <v>1.6316589999999999E-2</v>
      </c>
      <c r="Z4262">
        <v>-4.3741830000000001E-4</v>
      </c>
      <c r="AA4262">
        <v>0.99986679999999994</v>
      </c>
      <c r="AB4262">
        <v>27</v>
      </c>
      <c r="AC4262">
        <v>47.157299999999999</v>
      </c>
      <c r="AD4262">
        <v>-1.120661554425</v>
      </c>
      <c r="AE4262">
        <v>-0.17589999999998401</v>
      </c>
      <c r="AF4262">
        <v>0.77361410821329402</v>
      </c>
      <c r="AG4262">
        <v>-1.120661554425</v>
      </c>
      <c r="AH4262">
        <v>47.1246619806995</v>
      </c>
      <c r="AI4262">
        <v>91.362098513508002</v>
      </c>
      <c r="AJ4262">
        <v>89.059497928128096</v>
      </c>
      <c r="AK4262">
        <v>47.144332935180898</v>
      </c>
      <c r="AL4262">
        <v>92.612125478029995</v>
      </c>
      <c r="AM4262">
        <v>89.864968005110597</v>
      </c>
      <c r="AN4262">
        <v>1.00000002701025</v>
      </c>
    </row>
    <row r="4263" spans="1:40" x14ac:dyDescent="0.25">
      <c r="A4263" t="str">
        <f>"20190303153853152"</f>
        <v>20190303153853152</v>
      </c>
      <c r="B4263" t="str">
        <f>"1551598733142832"</f>
        <v>1551598733142832</v>
      </c>
      <c r="C4263" t="s">
        <v>40</v>
      </c>
      <c r="D4263">
        <v>4.1706789999999998</v>
      </c>
      <c r="E4263">
        <v>0.50578610000000002</v>
      </c>
      <c r="F4263" t="s">
        <v>55</v>
      </c>
      <c r="G4263">
        <v>-370.51530000000002</v>
      </c>
      <c r="H4263" s="1">
        <v>-1.262593E-6</v>
      </c>
      <c r="I4263">
        <v>214.7679</v>
      </c>
      <c r="J4263">
        <v>-418.74110000000002</v>
      </c>
      <c r="K4263">
        <v>1.1206149999999999</v>
      </c>
      <c r="L4263">
        <v>214.9701</v>
      </c>
      <c r="M4263">
        <v>0.99985380000000001</v>
      </c>
      <c r="N4263">
        <v>-1.179377E-2</v>
      </c>
      <c r="O4263">
        <v>1.23859E-2</v>
      </c>
      <c r="P4263">
        <v>0.99827999999999995</v>
      </c>
      <c r="Q4263">
        <v>-5.7798919999999997E-2</v>
      </c>
      <c r="R4263">
        <v>9.8363679999999998E-3</v>
      </c>
      <c r="S4263">
        <v>3.0012819999999998</v>
      </c>
      <c r="T4263">
        <v>-6.9365979999999994E-2</v>
      </c>
      <c r="U4263">
        <v>-1.2329100000000001E-2</v>
      </c>
      <c r="V4263">
        <v>2.5035280000000001E-3</v>
      </c>
      <c r="W4263">
        <v>-4.6022300000000002E-2</v>
      </c>
      <c r="X4263">
        <v>0.99893719999999997</v>
      </c>
      <c r="Y4263">
        <v>1.6486810000000001E-2</v>
      </c>
      <c r="Z4263">
        <v>-4.2788860000000001E-4</v>
      </c>
      <c r="AA4263">
        <v>0.99986399999999998</v>
      </c>
      <c r="AB4263">
        <v>27</v>
      </c>
      <c r="AC4263">
        <v>48.2257999999999</v>
      </c>
      <c r="AD4263">
        <v>-1.1206162625929901</v>
      </c>
      <c r="AE4263">
        <v>-0.20220000000000399</v>
      </c>
      <c r="AF4263">
        <v>0.79911445653139301</v>
      </c>
      <c r="AG4263">
        <v>-1.1206162625929901</v>
      </c>
      <c r="AH4263">
        <v>48.193573820929203</v>
      </c>
      <c r="AI4263">
        <v>91.331841351952505</v>
      </c>
      <c r="AJ4263">
        <v>89.050045750325197</v>
      </c>
      <c r="AK4263">
        <v>48.213223521726597</v>
      </c>
      <c r="AL4263">
        <v>92.637815483511702</v>
      </c>
      <c r="AM4263">
        <v>89.856406100428202</v>
      </c>
      <c r="AN4263">
        <v>0.999999924646785</v>
      </c>
    </row>
    <row r="4264" spans="1:40" x14ac:dyDescent="0.25">
      <c r="A4264" t="str">
        <f>"20190303153853174"</f>
        <v>20190303153853174</v>
      </c>
      <c r="B4264" t="str">
        <f>"1551598733163246"</f>
        <v>1551598733163246</v>
      </c>
      <c r="C4264" t="s">
        <v>40</v>
      </c>
      <c r="D4264">
        <v>4.1386219999999998</v>
      </c>
      <c r="E4264">
        <v>0.50579739999999995</v>
      </c>
      <c r="F4264" t="s">
        <v>55</v>
      </c>
      <c r="G4264">
        <v>-370.62689999999998</v>
      </c>
      <c r="H4264" s="1">
        <v>-1.20317E-6</v>
      </c>
      <c r="I4264">
        <v>214.74700000000001</v>
      </c>
      <c r="J4264">
        <v>-418.47559999999999</v>
      </c>
      <c r="K4264">
        <v>1.120563</v>
      </c>
      <c r="L4264">
        <v>214.97309999999999</v>
      </c>
      <c r="M4264">
        <v>0.99986169999999996</v>
      </c>
      <c r="N4264">
        <v>-1.1430030000000001E-2</v>
      </c>
      <c r="O4264">
        <v>1.208421E-2</v>
      </c>
      <c r="P4264">
        <v>0.99825750000000002</v>
      </c>
      <c r="Q4264">
        <v>-5.827326E-2</v>
      </c>
      <c r="R4264">
        <v>9.3113759999999997E-3</v>
      </c>
      <c r="S4264">
        <v>3.0012509999999999</v>
      </c>
      <c r="T4264">
        <v>-6.9901469999999993E-2</v>
      </c>
      <c r="U4264">
        <v>-1.3916019999999999E-2</v>
      </c>
      <c r="V4264">
        <v>2.7263130000000002E-3</v>
      </c>
      <c r="W4264">
        <v>-4.6860449999999998E-2</v>
      </c>
      <c r="X4264">
        <v>0.9988977</v>
      </c>
      <c r="Y4264">
        <v>1.671361E-2</v>
      </c>
      <c r="Z4264">
        <v>-4.3343960000000002E-4</v>
      </c>
      <c r="AA4264">
        <v>0.99986019999999998</v>
      </c>
      <c r="AB4264">
        <v>27</v>
      </c>
      <c r="AC4264">
        <v>47.848700000000001</v>
      </c>
      <c r="AD4264">
        <v>-1.1205642031700001</v>
      </c>
      <c r="AE4264">
        <v>-0.22609999999997399</v>
      </c>
      <c r="AF4264">
        <v>0.80389409320341998</v>
      </c>
      <c r="AG4264">
        <v>-1.1205642031700001</v>
      </c>
      <c r="AH4264">
        <v>47.816249365178997</v>
      </c>
      <c r="AI4264">
        <v>91.342279754145693</v>
      </c>
      <c r="AJ4264">
        <v>89.036825336752102</v>
      </c>
      <c r="AK4264">
        <v>47.836132924803799</v>
      </c>
      <c r="AL4264">
        <v>92.685889682697905</v>
      </c>
      <c r="AM4264">
        <v>89.843621783628905</v>
      </c>
      <c r="AN4264">
        <v>0.99999997481103298</v>
      </c>
    </row>
    <row r="4265" spans="1:40" x14ac:dyDescent="0.25">
      <c r="A4265" t="str">
        <f>"20190303153853196"</f>
        <v>20190303153853196</v>
      </c>
      <c r="B4265" t="str">
        <f>"1551598733192522"</f>
        <v>1551598733192522</v>
      </c>
      <c r="C4265" t="s">
        <v>40</v>
      </c>
      <c r="D4265">
        <v>4.1428750000000001</v>
      </c>
      <c r="E4265">
        <v>0.50580890000000001</v>
      </c>
      <c r="F4265" t="s">
        <v>55</v>
      </c>
      <c r="G4265">
        <v>-371.4889</v>
      </c>
      <c r="H4265" s="1">
        <v>-7.4446399999999999E-7</v>
      </c>
      <c r="I4265">
        <v>214.73060000000001</v>
      </c>
      <c r="J4265">
        <v>-418.21089999999998</v>
      </c>
      <c r="K4265">
        <v>1.120512</v>
      </c>
      <c r="L4265">
        <v>214.976</v>
      </c>
      <c r="M4265">
        <v>0.99986949999999997</v>
      </c>
      <c r="N4265">
        <v>-1.1055880000000001E-2</v>
      </c>
      <c r="O4265">
        <v>1.178191E-2</v>
      </c>
      <c r="P4265">
        <v>0.99823870000000003</v>
      </c>
      <c r="Q4265">
        <v>-5.8684840000000002E-2</v>
      </c>
      <c r="R4265">
        <v>8.7030630000000005E-3</v>
      </c>
      <c r="S4265">
        <v>3.0011899999999998</v>
      </c>
      <c r="T4265">
        <v>-7.1573970000000001E-2</v>
      </c>
      <c r="U4265">
        <v>-1.548767E-2</v>
      </c>
      <c r="V4265">
        <v>3.032107E-3</v>
      </c>
      <c r="W4265">
        <v>-4.7646239999999999E-2</v>
      </c>
      <c r="X4265">
        <v>0.99885959999999996</v>
      </c>
      <c r="Y4265">
        <v>1.693455E-2</v>
      </c>
      <c r="Z4265">
        <v>-4.4622100000000001E-4</v>
      </c>
      <c r="AA4265">
        <v>0.99985650000000004</v>
      </c>
      <c r="AB4265">
        <v>27</v>
      </c>
      <c r="AC4265">
        <v>46.721999999999902</v>
      </c>
      <c r="AD4265">
        <v>-1.120512744464</v>
      </c>
      <c r="AE4265">
        <v>-0.24539999999998899</v>
      </c>
      <c r="AF4265">
        <v>0.795433501535183</v>
      </c>
      <c r="AG4265">
        <v>-1.120512744464</v>
      </c>
      <c r="AH4265">
        <v>46.6890121741556</v>
      </c>
      <c r="AI4265">
        <v>91.374606498369801</v>
      </c>
      <c r="AJ4265">
        <v>89.023955065123801</v>
      </c>
      <c r="AK4265">
        <v>46.7092295062156</v>
      </c>
      <c r="AL4265">
        <v>92.730962609452206</v>
      </c>
      <c r="AM4265">
        <v>89.826075255699095</v>
      </c>
      <c r="AN4265">
        <v>0.99999992918557501</v>
      </c>
    </row>
    <row r="4266" spans="1:40" x14ac:dyDescent="0.25">
      <c r="A4266" t="str">
        <f>"20190303153853219"</f>
        <v>20190303153853219</v>
      </c>
      <c r="B4266" t="str">
        <f>"1551598733213018"</f>
        <v>1551598733213018</v>
      </c>
      <c r="C4266" t="s">
        <v>40</v>
      </c>
      <c r="D4266">
        <v>4.1252399999999998</v>
      </c>
      <c r="E4266">
        <v>0.50581599999999904</v>
      </c>
      <c r="F4266" t="s">
        <v>55</v>
      </c>
      <c r="G4266">
        <v>-372.31459999999998</v>
      </c>
      <c r="H4266" s="1">
        <v>-3.0506219999999999E-7</v>
      </c>
      <c r="I4266">
        <v>214.71019999999999</v>
      </c>
      <c r="J4266">
        <v>-417.92989999999998</v>
      </c>
      <c r="K4266">
        <v>1.1204590000000001</v>
      </c>
      <c r="L4266">
        <v>214.97890000000001</v>
      </c>
      <c r="M4266">
        <v>0.99987780000000004</v>
      </c>
      <c r="N4266">
        <v>-1.0640180000000001E-2</v>
      </c>
      <c r="O4266">
        <v>1.145969E-2</v>
      </c>
      <c r="P4266">
        <v>0.99825379999999997</v>
      </c>
      <c r="Q4266">
        <v>-5.8435059999999997E-2</v>
      </c>
      <c r="R4266">
        <v>8.6438209999999994E-3</v>
      </c>
      <c r="S4266">
        <v>3.001099</v>
      </c>
      <c r="T4266">
        <v>-7.3268890000000003E-2</v>
      </c>
      <c r="U4266">
        <v>-1.7379760000000001E-2</v>
      </c>
      <c r="V4266">
        <v>2.7694659999999999E-3</v>
      </c>
      <c r="W4266">
        <v>-4.7811399999999997E-2</v>
      </c>
      <c r="X4266">
        <v>0.99885259999999998</v>
      </c>
      <c r="Y4266">
        <v>1.724235E-2</v>
      </c>
      <c r="Z4266">
        <v>-4.6000270000000001E-4</v>
      </c>
      <c r="AA4266">
        <v>0.99985119999999905</v>
      </c>
      <c r="AB4266">
        <v>27</v>
      </c>
      <c r="AC4266">
        <v>45.615299999999898</v>
      </c>
      <c r="AD4266">
        <v>-1.1204593050622</v>
      </c>
      <c r="AE4266">
        <v>-0.26870000000002298</v>
      </c>
      <c r="AF4266">
        <v>0.79097188593352097</v>
      </c>
      <c r="AG4266">
        <v>-1.1204593050622</v>
      </c>
      <c r="AH4266">
        <v>45.581724074900301</v>
      </c>
      <c r="AI4266">
        <v>91.407910898584802</v>
      </c>
      <c r="AJ4266">
        <v>89.005855885135801</v>
      </c>
      <c r="AK4266">
        <v>45.602353395619701</v>
      </c>
      <c r="AL4266">
        <v>92.740436024166101</v>
      </c>
      <c r="AM4266">
        <v>89.841139416677905</v>
      </c>
      <c r="AN4266">
        <v>1.00000005821932</v>
      </c>
    </row>
    <row r="4267" spans="1:40" x14ac:dyDescent="0.25">
      <c r="A4267" t="str">
        <f>"20190303153853243"</f>
        <v>20190303153853243</v>
      </c>
      <c r="B4267" t="str">
        <f>"1551598733232538"</f>
        <v>1551598733232538</v>
      </c>
      <c r="C4267" t="s">
        <v>40</v>
      </c>
      <c r="D4267">
        <v>4.1577699999999904</v>
      </c>
      <c r="E4267">
        <v>0.50583140000000004</v>
      </c>
      <c r="F4267" t="s">
        <v>55</v>
      </c>
      <c r="G4267">
        <v>-371.73669999999998</v>
      </c>
      <c r="H4267" s="1">
        <v>-6.125996E-7</v>
      </c>
      <c r="I4267">
        <v>214.7055</v>
      </c>
      <c r="J4267">
        <v>-417.63990000000001</v>
      </c>
      <c r="K4267">
        <v>1.1203970000000001</v>
      </c>
      <c r="L4267">
        <v>214.9819</v>
      </c>
      <c r="M4267">
        <v>0.99988619999999995</v>
      </c>
      <c r="N4267">
        <v>-1.019396E-2</v>
      </c>
      <c r="O4267">
        <v>1.1125400000000001E-2</v>
      </c>
      <c r="P4267">
        <v>0.99829869999999998</v>
      </c>
      <c r="Q4267">
        <v>-5.7633190000000001E-2</v>
      </c>
      <c r="R4267">
        <v>8.8691719999999998E-3</v>
      </c>
      <c r="S4267">
        <v>3.0010680000000001</v>
      </c>
      <c r="T4267">
        <v>-7.2793720000000006E-2</v>
      </c>
      <c r="U4267">
        <v>-1.7761229999999999E-2</v>
      </c>
      <c r="V4267">
        <v>2.2105889999999998E-3</v>
      </c>
      <c r="W4267">
        <v>-4.745448E-2</v>
      </c>
      <c r="X4267">
        <v>0.99887099999999995</v>
      </c>
      <c r="Y4267">
        <v>1.7035390000000001E-2</v>
      </c>
      <c r="Z4267">
        <v>-4.4983080000000002E-4</v>
      </c>
      <c r="AA4267">
        <v>0.99985480000000004</v>
      </c>
      <c r="AB4267">
        <v>27</v>
      </c>
      <c r="AC4267">
        <v>45.903199999999998</v>
      </c>
      <c r="AD4267">
        <v>-1.12039761259959</v>
      </c>
      <c r="AE4267">
        <v>-0.27639999999999498</v>
      </c>
      <c r="AF4267">
        <v>0.78663225038199502</v>
      </c>
      <c r="AG4267">
        <v>-1.12039761259959</v>
      </c>
      <c r="AH4267">
        <v>45.8699578908627</v>
      </c>
      <c r="AI4267">
        <v>91.398995422279796</v>
      </c>
      <c r="AJ4267">
        <v>89.017520562929505</v>
      </c>
      <c r="AK4267">
        <v>45.890381541420901</v>
      </c>
      <c r="AL4267">
        <v>92.719962813913298</v>
      </c>
      <c r="AM4267">
        <v>89.873199629221801</v>
      </c>
      <c r="AN4267">
        <v>1.0000000445083901</v>
      </c>
    </row>
    <row r="4268" spans="1:40" x14ac:dyDescent="0.25">
      <c r="A4268" t="str">
        <f>"20190303153853265"</f>
        <v>20190303153853265</v>
      </c>
      <c r="B4268" t="str">
        <f>"1551598733262795"</f>
        <v>1551598733262795</v>
      </c>
      <c r="C4268" t="s">
        <v>40</v>
      </c>
      <c r="D4268">
        <v>4.1471049999999998</v>
      </c>
      <c r="E4268">
        <v>0.50585939999999996</v>
      </c>
      <c r="F4268" t="s">
        <v>55</v>
      </c>
      <c r="G4268">
        <v>-370.0652</v>
      </c>
      <c r="H4268" s="1">
        <v>-1.5020909999999999E-6</v>
      </c>
      <c r="I4268">
        <v>214.71</v>
      </c>
      <c r="J4268">
        <v>-417.37380000000002</v>
      </c>
      <c r="K4268">
        <v>1.1203449999999999</v>
      </c>
      <c r="L4268">
        <v>214.9845</v>
      </c>
      <c r="M4268">
        <v>0.9998937</v>
      </c>
      <c r="N4268">
        <v>-9.7778310000000007E-3</v>
      </c>
      <c r="O4268">
        <v>1.0818080000000001E-2</v>
      </c>
      <c r="P4268">
        <v>0.99833970000000005</v>
      </c>
      <c r="Q4268">
        <v>-5.6781110000000003E-2</v>
      </c>
      <c r="R4268">
        <v>9.6885919999999993E-3</v>
      </c>
      <c r="S4268">
        <v>3.0011899999999998</v>
      </c>
      <c r="T4268">
        <v>-7.0678950000000004E-2</v>
      </c>
      <c r="U4268">
        <v>-1.715088E-2</v>
      </c>
      <c r="V4268">
        <v>1.0850980000000001E-3</v>
      </c>
      <c r="W4268">
        <v>-4.701698E-2</v>
      </c>
      <c r="X4268">
        <v>0.99889349999999999</v>
      </c>
      <c r="Y4268">
        <v>1.6525169999999999E-2</v>
      </c>
      <c r="Z4268">
        <v>-4.2432519999999999E-4</v>
      </c>
      <c r="AA4268">
        <v>0.99986339999999996</v>
      </c>
      <c r="AB4268">
        <v>27</v>
      </c>
      <c r="AC4268">
        <v>47.308599999999998</v>
      </c>
      <c r="AD4268">
        <v>-1.120346502091</v>
      </c>
      <c r="AE4268">
        <v>-0.27449999999998898</v>
      </c>
      <c r="AF4268">
        <v>0.78585589951722301</v>
      </c>
      <c r="AG4268">
        <v>-1.120346502091</v>
      </c>
      <c r="AH4268">
        <v>47.276348973727302</v>
      </c>
      <c r="AI4268">
        <v>91.357343656327998</v>
      </c>
      <c r="AJ4268">
        <v>89.047682806860493</v>
      </c>
      <c r="AK4268">
        <v>47.296151197166097</v>
      </c>
      <c r="AL4268">
        <v>92.694868022070395</v>
      </c>
      <c r="AM4268">
        <v>89.937759619716203</v>
      </c>
      <c r="AN4268">
        <v>0.99999999909411996</v>
      </c>
    </row>
    <row r="4269" spans="1:40" x14ac:dyDescent="0.25">
      <c r="A4269" t="str">
        <f>"20190303153853287"</f>
        <v>20190303153853287</v>
      </c>
      <c r="B4269" t="str">
        <f>"1551598733283291"</f>
        <v>1551598733283291</v>
      </c>
      <c r="C4269" t="s">
        <v>40</v>
      </c>
      <c r="D4269">
        <v>4.1496709999999997</v>
      </c>
      <c r="E4269">
        <v>0.50587329999999997</v>
      </c>
      <c r="F4269" t="s">
        <v>55</v>
      </c>
      <c r="G4269">
        <v>-368.21289999999999</v>
      </c>
      <c r="H4269" s="1">
        <v>2.8336840000000001E-6</v>
      </c>
      <c r="I4269">
        <v>214.7424</v>
      </c>
      <c r="J4269">
        <v>-417.1071</v>
      </c>
      <c r="K4269">
        <v>1.1202920000000001</v>
      </c>
      <c r="L4269">
        <v>214.9871</v>
      </c>
      <c r="M4269">
        <v>0.99990089999999998</v>
      </c>
      <c r="N4269">
        <v>-9.3631579999999999E-3</v>
      </c>
      <c r="O4269">
        <v>1.0509650000000001E-2</v>
      </c>
      <c r="P4269">
        <v>0.99838130000000003</v>
      </c>
      <c r="Q4269">
        <v>-5.5883710000000003E-2</v>
      </c>
      <c r="R4269">
        <v>1.0575879999999999E-2</v>
      </c>
      <c r="S4269">
        <v>3.0012509999999999</v>
      </c>
      <c r="T4269">
        <v>-6.8396330000000005E-2</v>
      </c>
      <c r="U4269">
        <v>-1.478577E-2</v>
      </c>
      <c r="V4269">
        <v>-1.098554E-4</v>
      </c>
      <c r="W4269">
        <v>-4.6532669999999998E-2</v>
      </c>
      <c r="X4269">
        <v>0.99891669999999999</v>
      </c>
      <c r="Y4269">
        <v>1.542958E-2</v>
      </c>
      <c r="Z4269">
        <v>-3.8911529999999998E-4</v>
      </c>
      <c r="AA4269">
        <v>0.99988089999999996</v>
      </c>
      <c r="AB4269">
        <v>27</v>
      </c>
      <c r="AC4269">
        <v>48.894199999999998</v>
      </c>
      <c r="AD4269">
        <v>-1.120289166316</v>
      </c>
      <c r="AE4269">
        <v>-0.24469999999999401</v>
      </c>
      <c r="AF4269">
        <v>0.75817193975705699</v>
      </c>
      <c r="AG4269">
        <v>-1.120289166316</v>
      </c>
      <c r="AH4269">
        <v>48.863275848157798</v>
      </c>
      <c r="AI4269">
        <v>91.313233210995506</v>
      </c>
      <c r="AJ4269">
        <v>89.111059053105393</v>
      </c>
      <c r="AK4269">
        <v>48.881996676890701</v>
      </c>
      <c r="AL4269">
        <v>92.667088861598302</v>
      </c>
      <c r="AM4269">
        <v>90.0063010767077</v>
      </c>
      <c r="AN4269">
        <v>0.99999993749221106</v>
      </c>
    </row>
    <row r="4270" spans="1:40" x14ac:dyDescent="0.25">
      <c r="A4270" t="str">
        <f>"20190303153853309"</f>
        <v>20190303153853309</v>
      </c>
      <c r="B4270" t="str">
        <f>"1551598733302810"</f>
        <v>1551598733302810</v>
      </c>
      <c r="C4270" t="s">
        <v>40</v>
      </c>
      <c r="D4270">
        <v>4.1406450000000001</v>
      </c>
      <c r="E4270">
        <v>0.50589949999999995</v>
      </c>
      <c r="F4270" t="s">
        <v>55</v>
      </c>
      <c r="G4270">
        <v>-366.10770000000002</v>
      </c>
      <c r="H4270" s="1">
        <v>1.71344E-6</v>
      </c>
      <c r="I4270">
        <v>214.77709999999999</v>
      </c>
      <c r="J4270">
        <v>-416.8338</v>
      </c>
      <c r="K4270">
        <v>1.1202460000000001</v>
      </c>
      <c r="L4270">
        <v>214.9897</v>
      </c>
      <c r="M4270">
        <v>0.99990809999999997</v>
      </c>
      <c r="N4270">
        <v>-8.936566E-3</v>
      </c>
      <c r="O4270">
        <v>1.0193260000000001E-2</v>
      </c>
      <c r="P4270">
        <v>0.99842419999999998</v>
      </c>
      <c r="Q4270">
        <v>-5.4920280000000002E-2</v>
      </c>
      <c r="R4270">
        <v>1.152747E-2</v>
      </c>
      <c r="S4270">
        <v>3.0012819999999998</v>
      </c>
      <c r="T4270">
        <v>-6.5928459999999994E-2</v>
      </c>
      <c r="U4270">
        <v>-1.235962E-2</v>
      </c>
      <c r="V4270">
        <v>-1.376426E-3</v>
      </c>
      <c r="W4270">
        <v>-4.5994199999999902E-2</v>
      </c>
      <c r="X4270">
        <v>0.99894079999999996</v>
      </c>
      <c r="Y4270">
        <v>1.4305729999999999E-2</v>
      </c>
      <c r="Z4270">
        <v>-3.5383499999999999E-4</v>
      </c>
      <c r="AA4270">
        <v>0.99989760000000005</v>
      </c>
      <c r="AB4270">
        <v>27</v>
      </c>
      <c r="AC4270">
        <v>50.726099999999903</v>
      </c>
      <c r="AD4270">
        <v>-1.12024428655999</v>
      </c>
      <c r="AE4270">
        <v>-0.212600000000008</v>
      </c>
      <c r="AF4270">
        <v>0.72931824492646502</v>
      </c>
      <c r="AG4270">
        <v>-1.12024428655999</v>
      </c>
      <c r="AH4270">
        <v>50.696572421354297</v>
      </c>
      <c r="AI4270">
        <v>91.265730312401402</v>
      </c>
      <c r="AJ4270">
        <v>89.175802760518906</v>
      </c>
      <c r="AK4270">
        <v>50.714192368976697</v>
      </c>
      <c r="AL4270">
        <v>92.636203457155304</v>
      </c>
      <c r="AM4270">
        <v>90.078946971335</v>
      </c>
      <c r="AN4270">
        <v>1.0000000414434</v>
      </c>
    </row>
    <row r="4271" spans="1:40" x14ac:dyDescent="0.25">
      <c r="A4271" t="str">
        <f>"20190303153853334"</f>
        <v>20190303153853334</v>
      </c>
      <c r="B4271" t="str">
        <f>"1551598733323306"</f>
        <v>1551598733323306</v>
      </c>
      <c r="C4271" t="s">
        <v>40</v>
      </c>
      <c r="D4271">
        <v>4.1197999999999997</v>
      </c>
      <c r="E4271">
        <v>0.50593080000000001</v>
      </c>
      <c r="F4271" t="s">
        <v>55</v>
      </c>
      <c r="G4271">
        <v>-363.62920000000003</v>
      </c>
      <c r="H4271" s="1">
        <v>3.9450749999999999E-7</v>
      </c>
      <c r="I4271">
        <v>214.8176</v>
      </c>
      <c r="J4271">
        <v>-416.53930000000003</v>
      </c>
      <c r="K4271">
        <v>1.1201859999999999</v>
      </c>
      <c r="L4271">
        <v>214.9923</v>
      </c>
      <c r="M4271">
        <v>0.99991580000000002</v>
      </c>
      <c r="N4271">
        <v>-8.4555429999999994E-3</v>
      </c>
      <c r="O4271">
        <v>9.852296E-3</v>
      </c>
      <c r="P4271">
        <v>0.99846699999999999</v>
      </c>
      <c r="Q4271">
        <v>-5.3912109999999999E-2</v>
      </c>
      <c r="R4271">
        <v>1.2549090000000001E-2</v>
      </c>
      <c r="S4271">
        <v>3.0013730000000001</v>
      </c>
      <c r="T4271">
        <v>-6.3195230000000005E-2</v>
      </c>
      <c r="U4271">
        <v>-9.7045900000000008E-3</v>
      </c>
      <c r="V4271">
        <v>-2.7383239999999999E-3</v>
      </c>
      <c r="W4271">
        <v>-4.5465329999999998E-2</v>
      </c>
      <c r="X4271">
        <v>0.99896220000000002</v>
      </c>
      <c r="Y4271">
        <v>1.3080960000000001E-2</v>
      </c>
      <c r="Z4271">
        <v>-3.1712640000000001E-4</v>
      </c>
      <c r="AA4271">
        <v>0.99991439999999998</v>
      </c>
      <c r="AB4271">
        <v>28</v>
      </c>
      <c r="AC4271">
        <v>52.9101</v>
      </c>
      <c r="AD4271">
        <v>-1.1201856054924999</v>
      </c>
      <c r="AE4271">
        <v>-0.17470000000000099</v>
      </c>
      <c r="AF4271">
        <v>0.695684253802198</v>
      </c>
      <c r="AG4271">
        <v>-1.1201856054924999</v>
      </c>
      <c r="AH4271">
        <v>52.882107373447703</v>
      </c>
      <c r="AI4271">
        <v>91.213392639633696</v>
      </c>
      <c r="AJ4271">
        <v>89.246295686690402</v>
      </c>
      <c r="AK4271">
        <v>52.898545089903898</v>
      </c>
      <c r="AL4271">
        <v>92.6058697200165</v>
      </c>
      <c r="AM4271">
        <v>90.157057008936505</v>
      </c>
      <c r="AN4271">
        <v>1.00000003583958</v>
      </c>
    </row>
    <row r="4272" spans="1:40" x14ac:dyDescent="0.25">
      <c r="A4272" t="str">
        <f>"20190303153853354"</f>
        <v>20190303153853354</v>
      </c>
      <c r="B4272" t="str">
        <f>"1551598733342826"</f>
        <v>1551598733342826</v>
      </c>
      <c r="C4272" t="s">
        <v>40</v>
      </c>
      <c r="D4272">
        <v>4.101934</v>
      </c>
      <c r="E4272">
        <v>0.50595179999999995</v>
      </c>
      <c r="F4272" t="s">
        <v>55</v>
      </c>
      <c r="G4272">
        <v>-360.8254</v>
      </c>
      <c r="H4272" s="1">
        <v>-1.097558E-6</v>
      </c>
      <c r="I4272">
        <v>214.86490000000001</v>
      </c>
      <c r="J4272">
        <v>-416.26650000000001</v>
      </c>
      <c r="K4272">
        <v>1.120117</v>
      </c>
      <c r="L4272">
        <v>214.99469999999999</v>
      </c>
      <c r="M4272">
        <v>0.99992259999999999</v>
      </c>
      <c r="N4272">
        <v>-7.9887640000000006E-3</v>
      </c>
      <c r="O4272">
        <v>9.5366070000000008E-3</v>
      </c>
      <c r="P4272">
        <v>0.99845870000000003</v>
      </c>
      <c r="Q4272">
        <v>-5.383454E-2</v>
      </c>
      <c r="R4272">
        <v>1.3503650000000001E-2</v>
      </c>
      <c r="S4272">
        <v>3.0014340000000002</v>
      </c>
      <c r="T4272">
        <v>-6.0346959999999998E-2</v>
      </c>
      <c r="U4272">
        <v>-6.8664549999999996E-3</v>
      </c>
      <c r="V4272">
        <v>-4.0086560000000002E-3</v>
      </c>
      <c r="W4272">
        <v>-4.58533E-2</v>
      </c>
      <c r="X4272">
        <v>0.99894019999999994</v>
      </c>
      <c r="Y4272">
        <v>1.182046E-2</v>
      </c>
      <c r="Z4272">
        <v>-2.8158149999999999E-4</v>
      </c>
      <c r="AA4272">
        <v>0.99993010000000004</v>
      </c>
      <c r="AB4272">
        <v>28</v>
      </c>
      <c r="AC4272">
        <v>55.441099999999999</v>
      </c>
      <c r="AD4272">
        <v>-1.1201180975579901</v>
      </c>
      <c r="AE4272">
        <v>-0.12979999999998801</v>
      </c>
      <c r="AF4272">
        <v>0.65826226323683101</v>
      </c>
      <c r="AG4272">
        <v>-1.1201180975579901</v>
      </c>
      <c r="AH4272">
        <v>55.414721099395997</v>
      </c>
      <c r="AI4272">
        <v>91.157901260576494</v>
      </c>
      <c r="AJ4272">
        <v>89.319424966483595</v>
      </c>
      <c r="AK4272">
        <v>55.429949380127702</v>
      </c>
      <c r="AL4272">
        <v>92.628121910073105</v>
      </c>
      <c r="AM4272">
        <v>90.2299215082719</v>
      </c>
      <c r="AN4272">
        <v>1.00000005880992</v>
      </c>
    </row>
    <row r="4273" spans="1:40" x14ac:dyDescent="0.25">
      <c r="A4273" t="str">
        <f>"20190303153853376"</f>
        <v>20190303153853376</v>
      </c>
      <c r="B4273" t="str">
        <f>"1551598733363326"</f>
        <v>1551598733363326</v>
      </c>
      <c r="C4273" t="s">
        <v>40</v>
      </c>
      <c r="D4273">
        <v>4.1516890000000002</v>
      </c>
      <c r="E4273">
        <v>0.50597749999999997</v>
      </c>
      <c r="F4273" t="s">
        <v>55</v>
      </c>
      <c r="G4273">
        <v>-360.47210000000001</v>
      </c>
      <c r="H4273" s="1">
        <v>-1.2855400000000001E-6</v>
      </c>
      <c r="I4273">
        <v>214.91810000000001</v>
      </c>
      <c r="J4273">
        <v>-416.00380000000001</v>
      </c>
      <c r="K4273">
        <v>1.1200490000000001</v>
      </c>
      <c r="L4273">
        <v>214.99690000000001</v>
      </c>
      <c r="M4273">
        <v>0.99992899999999996</v>
      </c>
      <c r="N4273">
        <v>-7.5338799999999997E-3</v>
      </c>
      <c r="O4273">
        <v>9.232802E-3</v>
      </c>
      <c r="P4273">
        <v>0.99848239999999999</v>
      </c>
      <c r="Q4273">
        <v>-5.3159329999999998E-2</v>
      </c>
      <c r="R4273">
        <v>1.4388339999999999E-2</v>
      </c>
      <c r="S4273">
        <v>3.001465</v>
      </c>
      <c r="T4273">
        <v>-6.0256839999999999E-2</v>
      </c>
      <c r="U4273">
        <v>-4.1198729999999996E-3</v>
      </c>
      <c r="V4273">
        <v>-5.1961999999999998E-3</v>
      </c>
      <c r="W4273">
        <v>-4.5631539999999998E-2</v>
      </c>
      <c r="X4273">
        <v>0.99894479999999997</v>
      </c>
      <c r="Y4273">
        <v>1.0601960000000001E-2</v>
      </c>
      <c r="Z4273">
        <v>-2.621333E-4</v>
      </c>
      <c r="AA4273">
        <v>0.99994380000000005</v>
      </c>
      <c r="AB4273">
        <v>28</v>
      </c>
      <c r="AC4273">
        <v>55.531700000000001</v>
      </c>
      <c r="AD4273">
        <v>-1.1200502855399901</v>
      </c>
      <c r="AE4273">
        <v>-7.8800000000000994E-2</v>
      </c>
      <c r="AF4273">
        <v>0.591283840345314</v>
      </c>
      <c r="AG4273">
        <v>-1.1200502855399901</v>
      </c>
      <c r="AH4273">
        <v>55.506024922370699</v>
      </c>
      <c r="AI4273">
        <v>91.155943102087605</v>
      </c>
      <c r="AJ4273">
        <v>89.389673693826893</v>
      </c>
      <c r="AK4273">
        <v>55.520473087905401</v>
      </c>
      <c r="AL4273">
        <v>92.615402902644703</v>
      </c>
      <c r="AM4273">
        <v>90.298032127854896</v>
      </c>
      <c r="AN4273">
        <v>0.99999997569212495</v>
      </c>
    </row>
    <row r="4274" spans="1:40" x14ac:dyDescent="0.25">
      <c r="A4274" t="str">
        <f>"20190303153853398"</f>
        <v>20190303153853398</v>
      </c>
      <c r="B4274" t="str">
        <f>"1551598733392603"</f>
        <v>1551598733392603</v>
      </c>
      <c r="C4274" t="s">
        <v>40</v>
      </c>
      <c r="D4274">
        <v>4.1554580000000003</v>
      </c>
      <c r="E4274">
        <v>0.50591330000000001</v>
      </c>
      <c r="F4274" t="s">
        <v>55</v>
      </c>
      <c r="G4274">
        <v>-358.4332</v>
      </c>
      <c r="H4274" s="1">
        <v>2.9356089999999999E-6</v>
      </c>
      <c r="I4274">
        <v>214.96729999999999</v>
      </c>
      <c r="J4274">
        <v>-415.71699999999998</v>
      </c>
      <c r="K4274">
        <v>1.1199809999999999</v>
      </c>
      <c r="L4274">
        <v>214.9992</v>
      </c>
      <c r="M4274">
        <v>0.99993569999999998</v>
      </c>
      <c r="N4274">
        <v>-7.0402219999999996E-3</v>
      </c>
      <c r="O4274">
        <v>8.9016240000000003E-3</v>
      </c>
      <c r="P4274">
        <v>0.9985231</v>
      </c>
      <c r="Q4274">
        <v>-5.2134519999999997E-2</v>
      </c>
      <c r="R4274">
        <v>1.528849E-2</v>
      </c>
      <c r="S4274">
        <v>3.001465</v>
      </c>
      <c r="T4274">
        <v>-5.8394069999999999E-2</v>
      </c>
      <c r="U4274">
        <v>-1.5411379999999901E-3</v>
      </c>
      <c r="V4274">
        <v>-6.4267219999999898E-3</v>
      </c>
      <c r="W4274">
        <v>-4.5098800000000001E-2</v>
      </c>
      <c r="X4274">
        <v>0.99896189999999996</v>
      </c>
      <c r="Y4274">
        <v>9.4121719999999999E-3</v>
      </c>
      <c r="Z4274">
        <v>-2.3518350000000001E-4</v>
      </c>
      <c r="AA4274">
        <v>0.9999557</v>
      </c>
      <c r="AB4274">
        <v>28</v>
      </c>
      <c r="AC4274">
        <v>57.2837999999999</v>
      </c>
      <c r="AD4274">
        <v>-1.11997806439099</v>
      </c>
      <c r="AE4274">
        <v>-3.1900000000007298E-2</v>
      </c>
      <c r="AF4274">
        <v>0.541623130286638</v>
      </c>
      <c r="AG4274">
        <v>-1.11997806439099</v>
      </c>
      <c r="AH4274">
        <v>57.259358540111798</v>
      </c>
      <c r="AI4274">
        <v>91.120497448391305</v>
      </c>
      <c r="AJ4274">
        <v>89.458048522675497</v>
      </c>
      <c r="AK4274">
        <v>57.272871823447602</v>
      </c>
      <c r="AL4274">
        <v>92.584847521329806</v>
      </c>
      <c r="AM4274">
        <v>90.368601612065703</v>
      </c>
      <c r="AN4274">
        <v>1.0000000410843499</v>
      </c>
    </row>
    <row r="4275" spans="1:40" x14ac:dyDescent="0.25">
      <c r="A4275" t="str">
        <f>"20190303153853421"</f>
        <v>20190303153853421</v>
      </c>
      <c r="B4275" t="str">
        <f>"1551598733413098"</f>
        <v>1551598733413098</v>
      </c>
      <c r="C4275" t="s">
        <v>40</v>
      </c>
      <c r="D4275">
        <v>4.0753019999999998</v>
      </c>
      <c r="E4275">
        <v>0.50582470000000002</v>
      </c>
      <c r="F4275" t="s">
        <v>55</v>
      </c>
      <c r="G4275">
        <v>-353.65260000000001</v>
      </c>
      <c r="H4275" s="1">
        <v>3.886626E-7</v>
      </c>
      <c r="I4275">
        <v>215.03489999999999</v>
      </c>
      <c r="J4275">
        <v>-415.42149999999998</v>
      </c>
      <c r="K4275">
        <v>1.11991</v>
      </c>
      <c r="L4275">
        <v>215.00149999999999</v>
      </c>
      <c r="M4275">
        <v>0.99994179999999999</v>
      </c>
      <c r="N4275">
        <v>-6.5489629999999997E-3</v>
      </c>
      <c r="O4275">
        <v>8.5622059999999993E-3</v>
      </c>
      <c r="P4275">
        <v>0.99853809999999998</v>
      </c>
      <c r="Q4275">
        <v>-5.1657799999999997E-2</v>
      </c>
      <c r="R4275">
        <v>1.5907589999999999E-2</v>
      </c>
      <c r="S4275">
        <v>3.0015260000000001</v>
      </c>
      <c r="T4275">
        <v>-5.4163929999999999E-2</v>
      </c>
      <c r="U4275">
        <v>1.7242430000000001E-3</v>
      </c>
      <c r="V4275">
        <v>-7.3855919999999999E-3</v>
      </c>
      <c r="W4275">
        <v>-4.5112090000000001E-2</v>
      </c>
      <c r="X4275">
        <v>0.99895469999999997</v>
      </c>
      <c r="Y4275">
        <v>7.9856179999999999E-3</v>
      </c>
      <c r="Z4275">
        <v>-1.9662130000000001E-4</v>
      </c>
      <c r="AA4275">
        <v>0.99996810000000003</v>
      </c>
      <c r="AB4275">
        <v>28</v>
      </c>
      <c r="AC4275">
        <v>61.768899999999903</v>
      </c>
      <c r="AD4275">
        <v>-1.1199096113374001</v>
      </c>
      <c r="AE4275">
        <v>3.3400000000000298E-2</v>
      </c>
      <c r="AF4275">
        <v>0.49532784020544202</v>
      </c>
      <c r="AG4275">
        <v>-1.1199096113374001</v>
      </c>
      <c r="AH4275">
        <v>61.746624315204599</v>
      </c>
      <c r="AI4275">
        <v>91.039036489562207</v>
      </c>
      <c r="AJ4275">
        <v>89.540386437518293</v>
      </c>
      <c r="AK4275">
        <v>61.758765867930499</v>
      </c>
      <c r="AL4275">
        <v>92.585609682804005</v>
      </c>
      <c r="AM4275">
        <v>90.423598328189399</v>
      </c>
      <c r="AN4275">
        <v>1.0000000701427201</v>
      </c>
    </row>
    <row r="4276" spans="1:40" x14ac:dyDescent="0.25">
      <c r="A4276" t="str">
        <f>"20190303153853445"</f>
        <v>20190303153853445</v>
      </c>
      <c r="B4276" t="str">
        <f>"1551598733432618"</f>
        <v>1551598733432618</v>
      </c>
      <c r="C4276" t="s">
        <v>40</v>
      </c>
      <c r="D4276">
        <v>4.1569089999999997</v>
      </c>
      <c r="E4276">
        <v>0.50571599999999906</v>
      </c>
      <c r="F4276" t="s">
        <v>55</v>
      </c>
      <c r="G4276">
        <v>-350.8141</v>
      </c>
      <c r="H4276" s="1">
        <v>-1.124502E-6</v>
      </c>
      <c r="I4276">
        <v>215.09479999999999</v>
      </c>
      <c r="J4276">
        <v>-415.12020000000001</v>
      </c>
      <c r="K4276">
        <v>1.11985</v>
      </c>
      <c r="L4276">
        <v>215.00380000000001</v>
      </c>
      <c r="M4276">
        <v>0.99994780000000005</v>
      </c>
      <c r="N4276">
        <v>-6.086101E-3</v>
      </c>
      <c r="O4276">
        <v>8.2173230000000003E-3</v>
      </c>
      <c r="P4276">
        <v>0.99854019999999999</v>
      </c>
      <c r="Q4276">
        <v>-5.159511E-2</v>
      </c>
      <c r="R4276">
        <v>1.6004029999999999E-2</v>
      </c>
      <c r="S4276">
        <v>3.001617</v>
      </c>
      <c r="T4276">
        <v>-5.2030319999999998E-2</v>
      </c>
      <c r="U4276">
        <v>4.333496E-3</v>
      </c>
      <c r="V4276">
        <v>-7.8270159999999991E-3</v>
      </c>
      <c r="W4276">
        <v>-4.5511450000000002E-2</v>
      </c>
      <c r="X4276">
        <v>0.99893310000000002</v>
      </c>
      <c r="Y4276">
        <v>6.7719010000000003E-3</v>
      </c>
      <c r="Z4276">
        <v>-1.7171520000000001E-4</v>
      </c>
      <c r="AA4276">
        <v>0.99997709999999995</v>
      </c>
      <c r="AB4276">
        <v>28</v>
      </c>
      <c r="AC4276">
        <v>64.306100000000001</v>
      </c>
      <c r="AD4276">
        <v>-1.119851124502</v>
      </c>
      <c r="AE4276">
        <v>9.0999999999979694E-2</v>
      </c>
      <c r="AF4276">
        <v>0.43730419267970599</v>
      </c>
      <c r="AG4276">
        <v>-1.119851124502</v>
      </c>
      <c r="AH4276">
        <v>64.285181423366097</v>
      </c>
      <c r="AI4276">
        <v>90.997971361069204</v>
      </c>
      <c r="AJ4276">
        <v>89.610247687308998</v>
      </c>
      <c r="AK4276">
        <v>64.296421767724098</v>
      </c>
      <c r="AL4276">
        <v>92.608515173235901</v>
      </c>
      <c r="AM4276">
        <v>90.448924763801102</v>
      </c>
      <c r="AN4276">
        <v>0.99999994626808597</v>
      </c>
    </row>
    <row r="4277" spans="1:40" x14ac:dyDescent="0.25">
      <c r="A4277" t="str">
        <f>"20190303153853465"</f>
        <v>20190303153853465</v>
      </c>
      <c r="B4277" t="str">
        <f>"1551598733462875"</f>
        <v>1551598733462875</v>
      </c>
      <c r="C4277" t="s">
        <v>40</v>
      </c>
      <c r="D4277">
        <v>4.1710500000000001</v>
      </c>
      <c r="E4277">
        <v>0.50556109999999999</v>
      </c>
      <c r="F4277" t="s">
        <v>55</v>
      </c>
      <c r="G4277">
        <v>-350.0419</v>
      </c>
      <c r="H4277" s="1">
        <v>-1.5364809999999999E-6</v>
      </c>
      <c r="I4277">
        <v>215.1189</v>
      </c>
      <c r="J4277">
        <v>-414.84739999999999</v>
      </c>
      <c r="K4277">
        <v>1.119802</v>
      </c>
      <c r="L4277">
        <v>215.00569999999999</v>
      </c>
      <c r="M4277">
        <v>0.99995250000000002</v>
      </c>
      <c r="N4277">
        <v>-5.7174110000000004E-3</v>
      </c>
      <c r="O4277">
        <v>7.9065469999999999E-3</v>
      </c>
      <c r="P4277">
        <v>0.99858250000000004</v>
      </c>
      <c r="Q4277">
        <v>-5.0551550000000001E-2</v>
      </c>
      <c r="R4277">
        <v>1.667095E-2</v>
      </c>
      <c r="S4277">
        <v>3.0016479999999999</v>
      </c>
      <c r="T4277">
        <v>-5.1651599999999999E-2</v>
      </c>
      <c r="U4277">
        <v>5.3100589999999998E-3</v>
      </c>
      <c r="V4277">
        <v>-8.8032779999999995E-3</v>
      </c>
      <c r="W4277">
        <v>-4.4835279999999998E-2</v>
      </c>
      <c r="X4277">
        <v>0.99895560000000005</v>
      </c>
      <c r="Y4277">
        <v>6.1359419999999897E-3</v>
      </c>
      <c r="Z4277">
        <v>-1.6117049999999901E-4</v>
      </c>
      <c r="AA4277">
        <v>0.99998120000000001</v>
      </c>
      <c r="AB4277">
        <v>29</v>
      </c>
      <c r="AC4277">
        <v>64.805499999999995</v>
      </c>
      <c r="AD4277">
        <v>-1.119803536481</v>
      </c>
      <c r="AE4277">
        <v>0.113200000000006</v>
      </c>
      <c r="AF4277">
        <v>0.39908043565240903</v>
      </c>
      <c r="AG4277">
        <v>-1.119803536481</v>
      </c>
      <c r="AH4277">
        <v>64.785025909888404</v>
      </c>
      <c r="AI4277">
        <v>90.990235169083505</v>
      </c>
      <c r="AJ4277">
        <v>89.647058326964</v>
      </c>
      <c r="AK4277">
        <v>64.795932027399303</v>
      </c>
      <c r="AL4277">
        <v>92.569733767437498</v>
      </c>
      <c r="AM4277">
        <v>90.504904941644298</v>
      </c>
      <c r="AN4277">
        <v>0.99999999540379103</v>
      </c>
    </row>
    <row r="4278" spans="1:40" x14ac:dyDescent="0.25">
      <c r="A4278" t="str">
        <f>"20190303153853499"</f>
        <v>20190303153853499</v>
      </c>
      <c r="B4278" t="str">
        <f>"1551598733493131"</f>
        <v>1551598733493131</v>
      </c>
      <c r="C4278" t="s">
        <v>40</v>
      </c>
      <c r="D4278">
        <v>4.0752610000000002</v>
      </c>
      <c r="E4278">
        <v>0.50545720000000005</v>
      </c>
      <c r="F4278" t="s">
        <v>55</v>
      </c>
      <c r="G4278">
        <v>-345.00709999999998</v>
      </c>
      <c r="H4278" s="1">
        <v>1.1277499999999999E-6</v>
      </c>
      <c r="I4278">
        <v>215.20740000000001</v>
      </c>
      <c r="J4278">
        <v>-414.41969999999998</v>
      </c>
      <c r="K4278">
        <v>1.1197870000000001</v>
      </c>
      <c r="L4278">
        <v>215.0086</v>
      </c>
      <c r="M4278">
        <v>0.99995849999999997</v>
      </c>
      <c r="N4278">
        <v>-5.2935339999999999E-3</v>
      </c>
      <c r="O4278">
        <v>7.4258090000000002E-3</v>
      </c>
      <c r="P4278">
        <v>0.99857850000000004</v>
      </c>
      <c r="Q4278">
        <v>-5.0441739999999999E-2</v>
      </c>
      <c r="R4278">
        <v>1.7231400000000001E-2</v>
      </c>
      <c r="S4278">
        <v>3.001709</v>
      </c>
      <c r="T4278">
        <v>-4.8128600000000001E-2</v>
      </c>
      <c r="U4278">
        <v>8.6669920000000001E-3</v>
      </c>
      <c r="V4278">
        <v>-9.8444120000000003E-3</v>
      </c>
      <c r="W4278">
        <v>-4.5148199999999999E-2</v>
      </c>
      <c r="X4278">
        <v>0.99893180000000004</v>
      </c>
      <c r="Y4278">
        <v>4.5374170000000002E-3</v>
      </c>
      <c r="Z4278">
        <v>-1.2813080000000001E-4</v>
      </c>
      <c r="AA4278">
        <v>0.99998969999999998</v>
      </c>
      <c r="AB4278">
        <v>29</v>
      </c>
      <c r="AC4278">
        <v>69.412599999999998</v>
      </c>
      <c r="AD4278">
        <v>-1.11978587225</v>
      </c>
      <c r="AE4278">
        <v>0.198800000000005</v>
      </c>
      <c r="AF4278">
        <v>0.31657498191322397</v>
      </c>
      <c r="AG4278">
        <v>-1.11978587225</v>
      </c>
      <c r="AH4278">
        <v>69.394102619300696</v>
      </c>
      <c r="AI4278">
        <v>90.924470043513196</v>
      </c>
      <c r="AJ4278">
        <v>89.7386192219588</v>
      </c>
      <c r="AK4278">
        <v>69.403858815320206</v>
      </c>
      <c r="AL4278">
        <v>92.587680907628396</v>
      </c>
      <c r="AM4278">
        <v>90.564628136299802</v>
      </c>
      <c r="AN4278">
        <v>1.0000000067310499</v>
      </c>
    </row>
    <row r="4279" spans="1:40" x14ac:dyDescent="0.25">
      <c r="A4279" t="str">
        <f>"20190303153853521"</f>
        <v>20190303153853521</v>
      </c>
      <c r="B4279" t="str">
        <f>"1551598733512654"</f>
        <v>1551598733512654</v>
      </c>
      <c r="C4279" t="s">
        <v>40</v>
      </c>
      <c r="D4279">
        <v>4.148072</v>
      </c>
      <c r="E4279">
        <v>0.50537759999999998</v>
      </c>
      <c r="F4279" t="s">
        <v>55</v>
      </c>
      <c r="G4279">
        <v>-342.81270000000001</v>
      </c>
      <c r="H4279" s="1">
        <v>-4.000147E-8</v>
      </c>
      <c r="I4279">
        <v>215.28120000000001</v>
      </c>
      <c r="J4279">
        <v>-414.12299999999999</v>
      </c>
      <c r="K4279">
        <v>1.1197979999999901</v>
      </c>
      <c r="L4279">
        <v>215.01050000000001</v>
      </c>
      <c r="M4279">
        <v>0.99996169999999995</v>
      </c>
      <c r="N4279">
        <v>-5.1353429999999997E-3</v>
      </c>
      <c r="O4279">
        <v>7.098081E-3</v>
      </c>
      <c r="P4279">
        <v>0.99859580000000003</v>
      </c>
      <c r="Q4279">
        <v>-5.0099699999999997E-2</v>
      </c>
      <c r="R4279">
        <v>1.722154E-2</v>
      </c>
      <c r="S4279">
        <v>3.0017399999999999</v>
      </c>
      <c r="T4279">
        <v>-4.6941040000000003E-2</v>
      </c>
      <c r="U4279">
        <v>1.1428829999999999E-2</v>
      </c>
      <c r="V4279">
        <v>-1.0161730000000001E-2</v>
      </c>
      <c r="W4279">
        <v>-4.4963860000000001E-2</v>
      </c>
      <c r="X4279">
        <v>0.99893699999999996</v>
      </c>
      <c r="Y4279">
        <v>3.2899169999999998E-3</v>
      </c>
      <c r="Z4279">
        <v>-1.087114E-4</v>
      </c>
      <c r="AA4279">
        <v>0.99999459999999996</v>
      </c>
      <c r="AB4279">
        <v>29</v>
      </c>
      <c r="AC4279">
        <v>71.310299999999998</v>
      </c>
      <c r="AD4279">
        <v>-1.11979804000146</v>
      </c>
      <c r="AE4279">
        <v>0.27070000000000499</v>
      </c>
      <c r="AF4279">
        <v>0.235421688287135</v>
      </c>
      <c r="AG4279">
        <v>-1.11979804000146</v>
      </c>
      <c r="AH4279">
        <v>71.292845175524107</v>
      </c>
      <c r="AI4279">
        <v>90.899866967169501</v>
      </c>
      <c r="AJ4279">
        <v>89.810799806302001</v>
      </c>
      <c r="AK4279">
        <v>71.302027630656895</v>
      </c>
      <c r="AL4279">
        <v>92.577108104336304</v>
      </c>
      <c r="AM4279">
        <v>90.582823701413901</v>
      </c>
      <c r="AN4279">
        <v>1.00000006971584</v>
      </c>
    </row>
    <row r="4280" spans="1:40" x14ac:dyDescent="0.25">
      <c r="A4280" t="str">
        <f>"20190303153853542"</f>
        <v>20190303153853542</v>
      </c>
      <c r="B4280" t="str">
        <f>"1551598733533153"</f>
        <v>1551598733533153</v>
      </c>
      <c r="C4280" t="s">
        <v>40</v>
      </c>
      <c r="D4280">
        <v>4.1514059999999997</v>
      </c>
      <c r="E4280">
        <v>0.50530509999999995</v>
      </c>
      <c r="F4280" t="s">
        <v>55</v>
      </c>
      <c r="G4280">
        <v>-340.72250000000003</v>
      </c>
      <c r="H4280" s="1">
        <v>-1.152323E-6</v>
      </c>
      <c r="I4280">
        <v>215.30260000000001</v>
      </c>
      <c r="J4280">
        <v>-413.84699999999998</v>
      </c>
      <c r="K4280">
        <v>1.1198349999999999</v>
      </c>
      <c r="L4280">
        <v>215.0121</v>
      </c>
      <c r="M4280">
        <v>0.99996379999999996</v>
      </c>
      <c r="N4280">
        <v>-5.11963E-3</v>
      </c>
      <c r="O4280">
        <v>6.7999260000000004E-3</v>
      </c>
      <c r="P4280">
        <v>0.99860009999999999</v>
      </c>
      <c r="Q4280">
        <v>-4.9979219999999998E-2</v>
      </c>
      <c r="R4280">
        <v>1.732527E-2</v>
      </c>
      <c r="S4280">
        <v>3.001709</v>
      </c>
      <c r="T4280">
        <v>-4.5794130000000002E-2</v>
      </c>
      <c r="U4280">
        <v>1.1947630000000001E-2</v>
      </c>
      <c r="V4280">
        <v>-1.0563329999999999E-2</v>
      </c>
      <c r="W4280">
        <v>-4.4858790000000003E-2</v>
      </c>
      <c r="X4280">
        <v>0.99893750000000003</v>
      </c>
      <c r="Y4280">
        <v>2.8190200000000002E-3</v>
      </c>
      <c r="Z4280" s="1">
        <v>-9.7639220000000007E-5</v>
      </c>
      <c r="AA4280">
        <v>0.999996</v>
      </c>
      <c r="AB4280">
        <v>29</v>
      </c>
      <c r="AC4280">
        <v>73.124499999999898</v>
      </c>
      <c r="AD4280">
        <v>-1.119836152323</v>
      </c>
      <c r="AE4280">
        <v>0.29050000000000797</v>
      </c>
      <c r="AF4280">
        <v>0.206705932946324</v>
      </c>
      <c r="AG4280">
        <v>-1.119836152323</v>
      </c>
      <c r="AH4280">
        <v>73.107639677023798</v>
      </c>
      <c r="AI4280">
        <v>90.877563709636604</v>
      </c>
      <c r="AJ4280">
        <v>89.838001253346704</v>
      </c>
      <c r="AK4280">
        <v>73.116507982098696</v>
      </c>
      <c r="AL4280">
        <v>92.571082105318197</v>
      </c>
      <c r="AM4280">
        <v>90.605855390082695</v>
      </c>
      <c r="AN4280">
        <v>1.0000000119436001</v>
      </c>
    </row>
    <row r="4281" spans="1:40" x14ac:dyDescent="0.25">
      <c r="A4281" t="str">
        <f>"20190303153853565"</f>
        <v>20190303153853565</v>
      </c>
      <c r="B4281" t="str">
        <f>"1551598733552670"</f>
        <v>1551598733552670</v>
      </c>
      <c r="C4281" t="s">
        <v>40</v>
      </c>
      <c r="D4281">
        <v>4.1749609999999997</v>
      </c>
      <c r="E4281">
        <v>0.50526079999999995</v>
      </c>
      <c r="F4281" t="s">
        <v>55</v>
      </c>
      <c r="G4281">
        <v>-339.18720000000002</v>
      </c>
      <c r="H4281" s="1">
        <v>3.3209409999999999E-6</v>
      </c>
      <c r="I4281">
        <v>215.3313</v>
      </c>
      <c r="J4281">
        <v>-413.55349999999999</v>
      </c>
      <c r="K4281">
        <v>1.1199159999999999</v>
      </c>
      <c r="L4281">
        <v>215.0138</v>
      </c>
      <c r="M4281">
        <v>0.99996479999999999</v>
      </c>
      <c r="N4281">
        <v>-5.3106990000000003E-3</v>
      </c>
      <c r="O4281">
        <v>6.4957640000000002E-3</v>
      </c>
      <c r="P4281">
        <v>0.99860629999999995</v>
      </c>
      <c r="Q4281">
        <v>-4.9948869999999999E-2</v>
      </c>
      <c r="R4281">
        <v>1.705539E-2</v>
      </c>
      <c r="S4281">
        <v>3.00177</v>
      </c>
      <c r="T4281">
        <v>-4.5023920000000002E-2</v>
      </c>
      <c r="U4281">
        <v>1.2832639999999999E-2</v>
      </c>
      <c r="V4281">
        <v>-1.0597250000000001E-2</v>
      </c>
      <c r="W4281">
        <v>-4.4637639999999999E-2</v>
      </c>
      <c r="X4281">
        <v>0.99894700000000003</v>
      </c>
      <c r="Y4281">
        <v>2.220259E-3</v>
      </c>
      <c r="Z4281" s="1">
        <v>-8.5473850000000005E-5</v>
      </c>
      <c r="AA4281">
        <v>0.99999760000000004</v>
      </c>
      <c r="AB4281">
        <v>29</v>
      </c>
      <c r="AC4281">
        <v>74.366299999999896</v>
      </c>
      <c r="AD4281">
        <v>-1.1199126790589999</v>
      </c>
      <c r="AE4281">
        <v>0.31749999999999501</v>
      </c>
      <c r="AF4281">
        <v>0.16554190347658801</v>
      </c>
      <c r="AG4281">
        <v>-1.1199126790589999</v>
      </c>
      <c r="AH4281">
        <v>74.349932226161002</v>
      </c>
      <c r="AI4281">
        <v>90.862963244976996</v>
      </c>
      <c r="AJ4281">
        <v>89.872429786492106</v>
      </c>
      <c r="AK4281">
        <v>74.358550487252401</v>
      </c>
      <c r="AL4281">
        <v>92.558398559457501</v>
      </c>
      <c r="AM4281">
        <v>90.607794932072395</v>
      </c>
      <c r="AN4281">
        <v>0.99999996471066499</v>
      </c>
    </row>
    <row r="4282" spans="1:40" x14ac:dyDescent="0.25">
      <c r="A4282" t="str">
        <f>"20190303153853587"</f>
        <v>20190303153853587</v>
      </c>
      <c r="B4282" t="str">
        <f>"1551598733582923"</f>
        <v>1551598733582923</v>
      </c>
      <c r="C4282" t="s">
        <v>40</v>
      </c>
      <c r="D4282">
        <v>4.1981529999999996</v>
      </c>
      <c r="E4282">
        <v>0.50521380000000005</v>
      </c>
      <c r="F4282" t="s">
        <v>55</v>
      </c>
      <c r="G4282">
        <v>-337.70319999999998</v>
      </c>
      <c r="H4282" s="1">
        <v>2.531467E-6</v>
      </c>
      <c r="I4282">
        <v>215.3254</v>
      </c>
      <c r="J4282">
        <v>-413.26130000000001</v>
      </c>
      <c r="K4282">
        <v>1.120044</v>
      </c>
      <c r="L4282">
        <v>215.0154</v>
      </c>
      <c r="M4282">
        <v>0.99996410000000002</v>
      </c>
      <c r="N4282">
        <v>-5.7660510000000003E-3</v>
      </c>
      <c r="O4282">
        <v>6.2115979999999996E-3</v>
      </c>
      <c r="P4282">
        <v>0.99855700000000003</v>
      </c>
      <c r="Q4282">
        <v>-5.0969340000000002E-2</v>
      </c>
      <c r="R4282">
        <v>1.6916460000000001E-2</v>
      </c>
      <c r="S4282">
        <v>3.00177</v>
      </c>
      <c r="T4282">
        <v>-4.4320459999999999E-2</v>
      </c>
      <c r="U4282">
        <v>1.2329100000000001E-2</v>
      </c>
      <c r="V4282">
        <v>-1.074131E-2</v>
      </c>
      <c r="W4282">
        <v>-4.5203670000000001E-2</v>
      </c>
      <c r="X4282">
        <v>0.99892000000000003</v>
      </c>
      <c r="Y4282">
        <v>2.1039159999999999E-3</v>
      </c>
      <c r="Z4282" s="1">
        <v>-7.7488299999999995E-5</v>
      </c>
      <c r="AA4282">
        <v>0.99999780000000005</v>
      </c>
      <c r="AB4282">
        <v>29</v>
      </c>
      <c r="AC4282">
        <v>75.558099999999996</v>
      </c>
      <c r="AD4282">
        <v>-1.120041468533</v>
      </c>
      <c r="AE4282">
        <v>0.310000000000002</v>
      </c>
      <c r="AF4282">
        <v>0.15931531113959799</v>
      </c>
      <c r="AG4282">
        <v>-1.120041468533</v>
      </c>
      <c r="AH4282">
        <v>75.541968700743894</v>
      </c>
      <c r="AI4282">
        <v>90.849445752967199</v>
      </c>
      <c r="AJ4282">
        <v>89.879165428647894</v>
      </c>
      <c r="AK4282">
        <v>75.550439505298499</v>
      </c>
      <c r="AL4282">
        <v>92.5908624816404</v>
      </c>
      <c r="AM4282">
        <v>90.616073370489502</v>
      </c>
      <c r="AN4282">
        <v>0.99999995696099098</v>
      </c>
    </row>
    <row r="4283" spans="1:40" x14ac:dyDescent="0.25">
      <c r="A4283" t="str">
        <f>"20190303153853611"</f>
        <v>20190303153853611</v>
      </c>
      <c r="B4283" t="str">
        <f>"1551598733602444"</f>
        <v>1551598733602444</v>
      </c>
      <c r="C4283" t="s">
        <v>40</v>
      </c>
      <c r="D4283">
        <v>4.1871130000000001</v>
      </c>
      <c r="E4283">
        <v>0.50517639999999997</v>
      </c>
      <c r="F4283" t="s">
        <v>55</v>
      </c>
      <c r="G4283">
        <v>-340.89510000000001</v>
      </c>
      <c r="H4283" s="1">
        <v>-1.060446E-6</v>
      </c>
      <c r="I4283">
        <v>215.31120000000001</v>
      </c>
      <c r="J4283">
        <v>-412.9597</v>
      </c>
      <c r="K4283">
        <v>1.1202270000000001</v>
      </c>
      <c r="L4283">
        <v>215.017</v>
      </c>
      <c r="M4283">
        <v>0.9999614</v>
      </c>
      <c r="N4283">
        <v>-6.4846649999999997E-3</v>
      </c>
      <c r="O4283">
        <v>5.9496180000000003E-3</v>
      </c>
      <c r="P4283">
        <v>0.99848959999999998</v>
      </c>
      <c r="Q4283">
        <v>-5.2308170000000001E-2</v>
      </c>
      <c r="R4283">
        <v>1.681175E-2</v>
      </c>
      <c r="S4283">
        <v>3.0018009999999999</v>
      </c>
      <c r="T4283">
        <v>-4.6460269999999998E-2</v>
      </c>
      <c r="U4283">
        <v>1.2268070000000001E-2</v>
      </c>
      <c r="V4283">
        <v>-1.0897230000000001E-2</v>
      </c>
      <c r="W4283">
        <v>-4.582543E-2</v>
      </c>
      <c r="X4283">
        <v>0.99888999999999994</v>
      </c>
      <c r="Y4283">
        <v>1.8623400000000001E-3</v>
      </c>
      <c r="Z4283" s="1">
        <v>-7.394813E-5</v>
      </c>
      <c r="AA4283">
        <v>0.99999830000000001</v>
      </c>
      <c r="AB4283">
        <v>29</v>
      </c>
      <c r="AC4283">
        <v>72.064599999999899</v>
      </c>
      <c r="AD4283">
        <v>-1.120228060446</v>
      </c>
      <c r="AE4283">
        <v>0.294200000000017</v>
      </c>
      <c r="AF4283">
        <v>0.13453850069422499</v>
      </c>
      <c r="AG4283">
        <v>-1.120228060446</v>
      </c>
      <c r="AH4283">
        <v>72.047665567866105</v>
      </c>
      <c r="AI4283">
        <v>90.890786065794899</v>
      </c>
      <c r="AJ4283">
        <v>89.893008617958699</v>
      </c>
      <c r="AK4283">
        <v>72.056499535396895</v>
      </c>
      <c r="AL4283">
        <v>92.626523614447606</v>
      </c>
      <c r="AM4283">
        <v>90.625034307895703</v>
      </c>
      <c r="AN4283">
        <v>0.99999997587817802</v>
      </c>
    </row>
    <row r="4284" spans="1:40" x14ac:dyDescent="0.25">
      <c r="A4284" t="str">
        <f>"20190303153853634"</f>
        <v>20190303153853634</v>
      </c>
      <c r="B4284" t="str">
        <f>"1551598733622939"</f>
        <v>1551598733622939</v>
      </c>
      <c r="C4284" t="s">
        <v>40</v>
      </c>
      <c r="D4284">
        <v>4.1339350000000001</v>
      </c>
      <c r="E4284">
        <v>0.50513580000000002</v>
      </c>
      <c r="F4284" t="s">
        <v>55</v>
      </c>
      <c r="G4284">
        <v>-345.60489999999999</v>
      </c>
      <c r="H4284" s="1">
        <v>1.4458410000000001E-6</v>
      </c>
      <c r="I4284">
        <v>215.2919</v>
      </c>
      <c r="J4284">
        <v>-412.64460000000003</v>
      </c>
      <c r="K4284">
        <v>1.1204259999999999</v>
      </c>
      <c r="L4284">
        <v>215.01859999999999</v>
      </c>
      <c r="M4284">
        <v>0.99995650000000003</v>
      </c>
      <c r="N4284">
        <v>-7.3769990000000004E-3</v>
      </c>
      <c r="O4284">
        <v>5.7120460000000001E-3</v>
      </c>
      <c r="P4284">
        <v>0.99844909999999998</v>
      </c>
      <c r="Q4284">
        <v>-5.3106639999999997E-2</v>
      </c>
      <c r="R4284">
        <v>1.6715460000000001E-2</v>
      </c>
      <c r="S4284">
        <v>3.001709</v>
      </c>
      <c r="T4284">
        <v>-4.9923540000000002E-2</v>
      </c>
      <c r="U4284">
        <v>1.2252809999999999E-2</v>
      </c>
      <c r="V4284">
        <v>-1.103493E-2</v>
      </c>
      <c r="W4284">
        <v>-4.5733509999999998E-2</v>
      </c>
      <c r="X4284">
        <v>0.99889269999999997</v>
      </c>
      <c r="Y4284">
        <v>1.6297410000000001E-3</v>
      </c>
      <c r="Z4284" s="1">
        <v>-7.2420319999999996E-5</v>
      </c>
      <c r="AA4284">
        <v>0.99999870000000002</v>
      </c>
      <c r="AB4284">
        <v>29</v>
      </c>
      <c r="AC4284">
        <v>67.039699999999996</v>
      </c>
      <c r="AD4284">
        <v>-1.1204245541590001</v>
      </c>
      <c r="AE4284">
        <v>0.27330000000000598</v>
      </c>
      <c r="AF4284">
        <v>0.10961810169783801</v>
      </c>
      <c r="AG4284">
        <v>-1.1204245541590001</v>
      </c>
      <c r="AH4284">
        <v>67.021447328533597</v>
      </c>
      <c r="AI4284">
        <v>90.957746149266598</v>
      </c>
      <c r="AJ4284">
        <v>89.906288968151799</v>
      </c>
      <c r="AK4284">
        <v>67.030901600091795</v>
      </c>
      <c r="AL4284">
        <v>92.621251461439101</v>
      </c>
      <c r="AM4284">
        <v>90.632930041452497</v>
      </c>
      <c r="AN4284">
        <v>0.99999997486515702</v>
      </c>
    </row>
    <row r="4285" spans="1:40" x14ac:dyDescent="0.25">
      <c r="A4285" t="str">
        <f>"20190303153853656"</f>
        <v>20190303153853656</v>
      </c>
      <c r="B4285" t="str">
        <f>"1551598733653195"</f>
        <v>1551598733653195</v>
      </c>
      <c r="C4285" t="s">
        <v>40</v>
      </c>
      <c r="D4285">
        <v>4.1436229999999998</v>
      </c>
      <c r="E4285">
        <v>0.50504669999999996</v>
      </c>
      <c r="F4285" t="s">
        <v>55</v>
      </c>
      <c r="G4285">
        <v>-347.76139999999998</v>
      </c>
      <c r="H4285" s="1">
        <v>2.5934500000000001E-6</v>
      </c>
      <c r="I4285">
        <v>215.28639999999999</v>
      </c>
      <c r="J4285">
        <v>-412.37090000000001</v>
      </c>
      <c r="K4285">
        <v>1.1205849999999999</v>
      </c>
      <c r="L4285">
        <v>215.01990000000001</v>
      </c>
      <c r="M4285">
        <v>0.99995129999999999</v>
      </c>
      <c r="N4285">
        <v>-8.1735419999999902E-3</v>
      </c>
      <c r="O4285">
        <v>5.5319920000000003E-3</v>
      </c>
      <c r="P4285">
        <v>0.99843479999999996</v>
      </c>
      <c r="Q4285">
        <v>-5.3233370000000002E-2</v>
      </c>
      <c r="R4285">
        <v>1.7158980000000001E-2</v>
      </c>
      <c r="S4285">
        <v>3.001709</v>
      </c>
      <c r="T4285">
        <v>-5.1834459999999999E-2</v>
      </c>
      <c r="U4285">
        <v>1.2390139999999999E-2</v>
      </c>
      <c r="V4285">
        <v>-1.165448E-2</v>
      </c>
      <c r="W4285">
        <v>-4.5065099999999997E-2</v>
      </c>
      <c r="X4285">
        <v>0.99891609999999997</v>
      </c>
      <c r="Y4285">
        <v>1.4039979999999901E-3</v>
      </c>
      <c r="Z4285" s="1">
        <v>-6.8164930000000004E-5</v>
      </c>
      <c r="AA4285">
        <v>0.99999899999999997</v>
      </c>
      <c r="AB4285">
        <v>29</v>
      </c>
      <c r="AC4285">
        <v>64.609499999999997</v>
      </c>
      <c r="AD4285">
        <v>-1.1205824065500001</v>
      </c>
      <c r="AE4285">
        <v>0.26649999999997898</v>
      </c>
      <c r="AF4285">
        <v>9.09079070168336E-2</v>
      </c>
      <c r="AG4285">
        <v>-1.1205824065500001</v>
      </c>
      <c r="AH4285">
        <v>64.590556361681905</v>
      </c>
      <c r="AI4285">
        <v>90.993924531450403</v>
      </c>
      <c r="AJ4285">
        <v>89.919359171827097</v>
      </c>
      <c r="AK4285">
        <v>64.600340094221195</v>
      </c>
      <c r="AL4285">
        <v>92.582914710725007</v>
      </c>
      <c r="AM4285">
        <v>90.668446749761401</v>
      </c>
      <c r="AN4285">
        <v>1.00000003249064</v>
      </c>
    </row>
    <row r="4286" spans="1:40" x14ac:dyDescent="0.25">
      <c r="A4286" t="str">
        <f>"20190303153853677"</f>
        <v>20190303153853677</v>
      </c>
      <c r="B4286" t="str">
        <f>"1551598733672716"</f>
        <v>1551598733672716</v>
      </c>
      <c r="C4286" t="s">
        <v>40</v>
      </c>
      <c r="D4286">
        <v>4.0836480000000002</v>
      </c>
      <c r="E4286">
        <v>0.50501229999999997</v>
      </c>
      <c r="F4286" t="s">
        <v>55</v>
      </c>
      <c r="G4286">
        <v>-347.66469999999998</v>
      </c>
      <c r="H4286" s="1">
        <v>2.541993E-6</v>
      </c>
      <c r="I4286">
        <v>215.33080000000001</v>
      </c>
      <c r="J4286">
        <v>-412.09829999999999</v>
      </c>
      <c r="K4286">
        <v>1.1207210000000001</v>
      </c>
      <c r="L4286">
        <v>215.0213</v>
      </c>
      <c r="M4286">
        <v>0.99994550000000004</v>
      </c>
      <c r="N4286">
        <v>-8.9430510000000005E-3</v>
      </c>
      <c r="O4286">
        <v>5.3888299999999998E-3</v>
      </c>
      <c r="P4286">
        <v>0.99844109999999997</v>
      </c>
      <c r="Q4286">
        <v>-5.3054459999999998E-2</v>
      </c>
      <c r="R4286">
        <v>1.7335219999999998E-2</v>
      </c>
      <c r="S4286">
        <v>3.0016780000000001</v>
      </c>
      <c r="T4286">
        <v>-5.1983120000000001E-2</v>
      </c>
      <c r="U4286">
        <v>1.441956E-2</v>
      </c>
      <c r="V4286">
        <v>-1.197079E-2</v>
      </c>
      <c r="W4286">
        <v>-4.4118129999999998E-2</v>
      </c>
      <c r="X4286">
        <v>0.99895460000000003</v>
      </c>
      <c r="Y4286">
        <v>5.8495559999999995E-4</v>
      </c>
      <c r="Z4286" s="1">
        <v>-5.2804560000000003E-5</v>
      </c>
      <c r="AA4286">
        <v>0.99999979999999999</v>
      </c>
      <c r="AB4286">
        <v>29</v>
      </c>
      <c r="AC4286">
        <v>64.433599999999998</v>
      </c>
      <c r="AD4286">
        <v>-1.12071845800699</v>
      </c>
      <c r="AE4286">
        <v>0.30950000000001399</v>
      </c>
      <c r="AF4286">
        <v>3.7728679481644198E-2</v>
      </c>
      <c r="AG4286">
        <v>-1.12071845800699</v>
      </c>
      <c r="AH4286">
        <v>64.414845303610406</v>
      </c>
      <c r="AI4286">
        <v>90.996757010971706</v>
      </c>
      <c r="AJ4286">
        <v>89.966441061163493</v>
      </c>
      <c r="AK4286">
        <v>64.424604995323307</v>
      </c>
      <c r="AL4286">
        <v>92.528603382113999</v>
      </c>
      <c r="AM4286">
        <v>90.686560647204701</v>
      </c>
      <c r="AN4286">
        <v>1.00000000103454</v>
      </c>
    </row>
    <row r="4287" spans="1:40" x14ac:dyDescent="0.25">
      <c r="A4287" t="str">
        <f>"20190303153853700"</f>
        <v>20190303153853700</v>
      </c>
      <c r="B4287" t="str">
        <f>"1551598733693211"</f>
        <v>1551598733693211</v>
      </c>
      <c r="C4287" t="s">
        <v>40</v>
      </c>
      <c r="D4287">
        <v>4.1531820000000002</v>
      </c>
      <c r="E4287">
        <v>0.50495509999999999</v>
      </c>
      <c r="F4287" t="s">
        <v>55</v>
      </c>
      <c r="G4287">
        <v>-346.10129999999998</v>
      </c>
      <c r="H4287" s="1">
        <v>1.7100120000000001E-6</v>
      </c>
      <c r="I4287">
        <v>215.3588</v>
      </c>
      <c r="J4287">
        <v>-411.8082</v>
      </c>
      <c r="K4287">
        <v>1.1208419999999999</v>
      </c>
      <c r="L4287">
        <v>215.02269999999999</v>
      </c>
      <c r="M4287">
        <v>0.99993889999999996</v>
      </c>
      <c r="N4287">
        <v>-9.7100239999999994E-3</v>
      </c>
      <c r="O4287">
        <v>5.2849519999999999E-3</v>
      </c>
      <c r="P4287">
        <v>0.998394</v>
      </c>
      <c r="Q4287">
        <v>-5.3922030000000003E-2</v>
      </c>
      <c r="R4287">
        <v>1.737843E-2</v>
      </c>
      <c r="S4287">
        <v>3.0017399999999999</v>
      </c>
      <c r="T4287">
        <v>-5.0973650000000002E-2</v>
      </c>
      <c r="U4287">
        <v>1.5350340000000001E-2</v>
      </c>
      <c r="V4287">
        <v>-1.2114110000000001E-2</v>
      </c>
      <c r="W4287">
        <v>-4.4220839999999997E-2</v>
      </c>
      <c r="X4287">
        <v>0.99894830000000001</v>
      </c>
      <c r="Y4287">
        <v>1.7127630000000001E-4</v>
      </c>
      <c r="Z4287" s="1">
        <v>-4.0707210000000003E-5</v>
      </c>
      <c r="AA4287">
        <v>1</v>
      </c>
      <c r="AB4287">
        <v>29</v>
      </c>
      <c r="AC4287">
        <v>65.706900000000005</v>
      </c>
      <c r="AD4287">
        <v>-1.1208402899879999</v>
      </c>
      <c r="AE4287">
        <v>0.336100000000016</v>
      </c>
      <c r="AF4287">
        <v>1.1175623367039301E-2</v>
      </c>
      <c r="AG4287">
        <v>-1.1208402899879999</v>
      </c>
      <c r="AH4287">
        <v>65.688644956535299</v>
      </c>
      <c r="AI4287">
        <v>90.977538598556805</v>
      </c>
      <c r="AJ4287">
        <v>89.990252256739197</v>
      </c>
      <c r="AK4287">
        <v>65.698207616920399</v>
      </c>
      <c r="AL4287">
        <v>92.5344940587119</v>
      </c>
      <c r="AM4287">
        <v>90.694784058599197</v>
      </c>
      <c r="AN4287">
        <v>0.99999997021214304</v>
      </c>
    </row>
    <row r="4288" spans="1:40" x14ac:dyDescent="0.25">
      <c r="A4288" t="str">
        <f>"20190303153853722"</f>
        <v>20190303153853722</v>
      </c>
      <c r="B4288" t="str">
        <f>"1551598733712734"</f>
        <v>1551598733712734</v>
      </c>
      <c r="C4288" t="s">
        <v>40</v>
      </c>
      <c r="D4288">
        <v>4.0513180000000002</v>
      </c>
      <c r="E4288">
        <v>0.50493250000000001</v>
      </c>
      <c r="F4288" t="s">
        <v>55</v>
      </c>
      <c r="G4288">
        <v>-348.84539999999998</v>
      </c>
      <c r="H4288" s="1">
        <v>3.1703029999999998E-6</v>
      </c>
      <c r="I4288">
        <v>215.3588</v>
      </c>
      <c r="J4288">
        <v>-411.50819999999999</v>
      </c>
      <c r="K4288">
        <v>1.1209450000000001</v>
      </c>
      <c r="L4288">
        <v>215.02420000000001</v>
      </c>
      <c r="M4288">
        <v>0.99993189999999998</v>
      </c>
      <c r="N4288">
        <v>-1.043529E-2</v>
      </c>
      <c r="O4288">
        <v>5.2217239999999996E-3</v>
      </c>
      <c r="P4288">
        <v>0.9983379</v>
      </c>
      <c r="Q4288">
        <v>-5.4811369999999998E-2</v>
      </c>
      <c r="R4288">
        <v>1.78029E-2</v>
      </c>
      <c r="S4288">
        <v>3.0016479999999999</v>
      </c>
      <c r="T4288">
        <v>-5.3434130000000003E-2</v>
      </c>
      <c r="U4288">
        <v>1.6021730000000001E-2</v>
      </c>
      <c r="V4288">
        <v>-1.2598450000000001E-2</v>
      </c>
      <c r="W4288">
        <v>-4.4387070000000001E-2</v>
      </c>
      <c r="X4288">
        <v>0.99893500000000002</v>
      </c>
      <c r="Y4288">
        <v>-1.156743E-4</v>
      </c>
      <c r="Z4288" s="1">
        <v>-3.682334E-5</v>
      </c>
      <c r="AA4288">
        <v>1</v>
      </c>
      <c r="AB4288">
        <v>29</v>
      </c>
      <c r="AC4288">
        <v>62.662799999999997</v>
      </c>
      <c r="AD4288">
        <v>-1.120941829697</v>
      </c>
      <c r="AE4288">
        <v>0.33459999999999401</v>
      </c>
      <c r="AF4288">
        <v>-7.3674109886047098E-3</v>
      </c>
      <c r="AG4288">
        <v>-1.120941829697</v>
      </c>
      <c r="AH4288">
        <v>62.643647652750602</v>
      </c>
      <c r="AI4288">
        <v>91.025137972845997</v>
      </c>
      <c r="AJ4288">
        <v>90.006738457440704</v>
      </c>
      <c r="AK4288">
        <v>62.653676317565598</v>
      </c>
      <c r="AL4288">
        <v>92.544027536233699</v>
      </c>
      <c r="AM4288">
        <v>90.722569281598197</v>
      </c>
      <c r="AN4288">
        <v>1.0000000335752901</v>
      </c>
    </row>
    <row r="4289" spans="1:40" x14ac:dyDescent="0.25">
      <c r="A4289" t="str">
        <f>"20190303153853744"</f>
        <v>20190303153853744</v>
      </c>
      <c r="B4289" t="str">
        <f>"1551598733733231"</f>
        <v>1551598733733231</v>
      </c>
      <c r="C4289" t="s">
        <v>40</v>
      </c>
      <c r="D4289">
        <v>4.0332189999999999</v>
      </c>
      <c r="E4289">
        <v>0.50492570000000003</v>
      </c>
      <c r="F4289" t="s">
        <v>55</v>
      </c>
      <c r="G4289">
        <v>-350.98009999999999</v>
      </c>
      <c r="H4289" s="1">
        <v>-1.048469E-6</v>
      </c>
      <c r="I4289">
        <v>215.3768</v>
      </c>
      <c r="J4289">
        <v>-411.22489999999999</v>
      </c>
      <c r="K4289">
        <v>1.1210230000000001</v>
      </c>
      <c r="L4289">
        <v>215.0257</v>
      </c>
      <c r="M4289">
        <v>0.99992559999999997</v>
      </c>
      <c r="N4289">
        <v>-1.105066E-2</v>
      </c>
      <c r="O4289">
        <v>5.197414E-3</v>
      </c>
      <c r="P4289">
        <v>0.99833729999999998</v>
      </c>
      <c r="Q4289">
        <v>-5.4622039999999997E-2</v>
      </c>
      <c r="R4289">
        <v>1.8422210000000001E-2</v>
      </c>
      <c r="S4289">
        <v>3.001617</v>
      </c>
      <c r="T4289">
        <v>-5.5588249999999999E-2</v>
      </c>
      <c r="U4289">
        <v>1.748657E-2</v>
      </c>
      <c r="V4289">
        <v>-1.3238629999999999E-2</v>
      </c>
      <c r="W4289">
        <v>-4.3583810000000001E-2</v>
      </c>
      <c r="X4289">
        <v>0.99896200000000002</v>
      </c>
      <c r="Y4289">
        <v>-6.2787010000000002E-4</v>
      </c>
      <c r="Z4289" s="1">
        <v>-2.952573E-5</v>
      </c>
      <c r="AA4289">
        <v>0.99999979999999999</v>
      </c>
      <c r="AB4289">
        <v>29</v>
      </c>
      <c r="AC4289">
        <v>60.244799999999998</v>
      </c>
      <c r="AD4289">
        <v>-1.1210240484689999</v>
      </c>
      <c r="AE4289">
        <v>0.35110000000000202</v>
      </c>
      <c r="AF4289">
        <v>-3.7945884289014901E-2</v>
      </c>
      <c r="AG4289">
        <v>-1.1210240484689999</v>
      </c>
      <c r="AH4289">
        <v>60.2249588897606</v>
      </c>
      <c r="AI4289">
        <v>91.066377106485405</v>
      </c>
      <c r="AJ4289">
        <v>90.0361002941642</v>
      </c>
      <c r="AK4289">
        <v>60.235403278144801</v>
      </c>
      <c r="AL4289">
        <v>92.497959767617303</v>
      </c>
      <c r="AM4289">
        <v>90.759261338411505</v>
      </c>
      <c r="AN4289">
        <v>0.99999994363119404</v>
      </c>
    </row>
    <row r="4290" spans="1:40" x14ac:dyDescent="0.25">
      <c r="A4290" t="str">
        <f>"20190303153853766"</f>
        <v>20190303153853766</v>
      </c>
      <c r="B4290" t="str">
        <f>"1551598733762507"</f>
        <v>1551598733762507</v>
      </c>
      <c r="C4290" t="s">
        <v>40</v>
      </c>
      <c r="D4290">
        <v>4.1237500000000002</v>
      </c>
      <c r="E4290">
        <v>0.5048608</v>
      </c>
      <c r="F4290" t="s">
        <v>55</v>
      </c>
      <c r="G4290">
        <v>-349.11059999999998</v>
      </c>
      <c r="H4290" s="1">
        <v>3.3114120000000001E-6</v>
      </c>
      <c r="I4290">
        <v>215.4289</v>
      </c>
      <c r="J4290">
        <v>-410.94299999999998</v>
      </c>
      <c r="K4290">
        <v>1.121084</v>
      </c>
      <c r="L4290">
        <v>215.02709999999999</v>
      </c>
      <c r="M4290">
        <v>0.99991920000000001</v>
      </c>
      <c r="N4290">
        <v>-1.159659E-2</v>
      </c>
      <c r="O4290">
        <v>5.2118609999999999E-3</v>
      </c>
      <c r="P4290">
        <v>0.99833039999999995</v>
      </c>
      <c r="Q4290">
        <v>-5.4585809999999998E-2</v>
      </c>
      <c r="R4290">
        <v>1.8904839999999999E-2</v>
      </c>
      <c r="S4290">
        <v>3.0016780000000001</v>
      </c>
      <c r="T4290">
        <v>-5.4173350000000002E-2</v>
      </c>
      <c r="U4290">
        <v>1.9485470000000001E-2</v>
      </c>
      <c r="V4290">
        <v>-1.370388E-2</v>
      </c>
      <c r="W4290">
        <v>-4.3003149999999997E-2</v>
      </c>
      <c r="X4290">
        <v>0.99898089999999995</v>
      </c>
      <c r="Y4290">
        <v>-1.2789660000000001E-3</v>
      </c>
      <c r="Z4290" s="1">
        <v>-1.4655479999999899E-5</v>
      </c>
      <c r="AA4290">
        <v>0.99999919999999998</v>
      </c>
      <c r="AB4290">
        <v>29</v>
      </c>
      <c r="AC4290">
        <v>61.8324</v>
      </c>
      <c r="AD4290">
        <v>-1.121080688588</v>
      </c>
      <c r="AE4290">
        <v>0.40180000000000798</v>
      </c>
      <c r="AF4290">
        <v>-7.9484876882098904E-2</v>
      </c>
      <c r="AG4290">
        <v>-1.121080688588</v>
      </c>
      <c r="AH4290">
        <v>61.813335213445903</v>
      </c>
      <c r="AI4290">
        <v>91.039033037017802</v>
      </c>
      <c r="AJ4290">
        <v>90.0736757765074</v>
      </c>
      <c r="AK4290">
        <v>61.823551741757797</v>
      </c>
      <c r="AL4290">
        <v>92.464659152364206</v>
      </c>
      <c r="AM4290">
        <v>90.785926178587999</v>
      </c>
      <c r="AN4290">
        <v>0.99999995290089205</v>
      </c>
    </row>
    <row r="4291" spans="1:40" x14ac:dyDescent="0.25">
      <c r="A4291" t="str">
        <f>"20190303153853789"</f>
        <v>20190303153853789</v>
      </c>
      <c r="B4291" t="str">
        <f>"1551598733783003"</f>
        <v>1551598733783003</v>
      </c>
      <c r="C4291" t="s">
        <v>40</v>
      </c>
      <c r="D4291">
        <v>4.0903739999999997</v>
      </c>
      <c r="E4291">
        <v>0.50484070000000003</v>
      </c>
      <c r="F4291" t="s">
        <v>55</v>
      </c>
      <c r="G4291">
        <v>-348.21010000000001</v>
      </c>
      <c r="H4291" s="1">
        <v>2.832247E-6</v>
      </c>
      <c r="I4291">
        <v>215.47450000000001</v>
      </c>
      <c r="J4291">
        <v>-410.64940000000001</v>
      </c>
      <c r="K4291">
        <v>1.1211310000000001</v>
      </c>
      <c r="L4291">
        <v>215.02869999999999</v>
      </c>
      <c r="M4291">
        <v>0.99991289999999999</v>
      </c>
      <c r="N4291">
        <v>-1.209907E-2</v>
      </c>
      <c r="O4291">
        <v>5.2713930000000001E-3</v>
      </c>
      <c r="P4291">
        <v>0.99830030000000003</v>
      </c>
      <c r="Q4291">
        <v>-5.4899709999999997E-2</v>
      </c>
      <c r="R4291">
        <v>1.9569860000000001E-2</v>
      </c>
      <c r="S4291">
        <v>3.001709</v>
      </c>
      <c r="T4291">
        <v>-5.3642750000000003E-2</v>
      </c>
      <c r="U4291">
        <v>2.1408079999999999E-2</v>
      </c>
      <c r="V4291">
        <v>-1.430563E-2</v>
      </c>
      <c r="W4291">
        <v>-4.2816460000000001E-2</v>
      </c>
      <c r="X4291">
        <v>0.99898050000000005</v>
      </c>
      <c r="Y4291">
        <v>-1.859629E-3</v>
      </c>
      <c r="Z4291" s="1">
        <v>-2.5479510000000001E-6</v>
      </c>
      <c r="AA4291">
        <v>0.99999830000000001</v>
      </c>
      <c r="AB4291">
        <v>29</v>
      </c>
      <c r="AC4291">
        <v>62.439300000000003</v>
      </c>
      <c r="AD4291">
        <v>-1.1211281677529901</v>
      </c>
      <c r="AE4291">
        <v>0.44580000000001901</v>
      </c>
      <c r="AF4291">
        <v>-0.116590032948515</v>
      </c>
      <c r="AG4291">
        <v>-1.1211281677529901</v>
      </c>
      <c r="AH4291">
        <v>62.420659138400801</v>
      </c>
      <c r="AI4291">
        <v>91.028968536704696</v>
      </c>
      <c r="AJ4291">
        <v>90.107017598742303</v>
      </c>
      <c r="AK4291">
        <v>62.430835401079896</v>
      </c>
      <c r="AL4291">
        <v>92.453952700039196</v>
      </c>
      <c r="AM4291">
        <v>90.820432631823707</v>
      </c>
      <c r="AN4291">
        <v>0.99999996983843797</v>
      </c>
    </row>
    <row r="4292" spans="1:40" x14ac:dyDescent="0.25">
      <c r="A4292" t="str">
        <f>"20190303153853812"</f>
        <v>20190303153853812</v>
      </c>
      <c r="B4292" t="str">
        <f>"1551598733802526"</f>
        <v>1551598733802526</v>
      </c>
      <c r="C4292" t="s">
        <v>40</v>
      </c>
      <c r="D4292">
        <v>4.1590389999999999</v>
      </c>
      <c r="E4292">
        <v>0.50481480000000001</v>
      </c>
      <c r="F4292" t="s">
        <v>55</v>
      </c>
      <c r="G4292">
        <v>-348.44869999999997</v>
      </c>
      <c r="H4292" s="1">
        <v>2.9592E-6</v>
      </c>
      <c r="I4292">
        <v>215.52070000000001</v>
      </c>
      <c r="J4292">
        <v>-410.35820000000001</v>
      </c>
      <c r="K4292">
        <v>1.1211709999999999</v>
      </c>
      <c r="L4292">
        <v>215.03030000000001</v>
      </c>
      <c r="M4292">
        <v>0.99990710000000005</v>
      </c>
      <c r="N4292">
        <v>-1.2529210000000001E-2</v>
      </c>
      <c r="O4292">
        <v>5.3785159999999999E-3</v>
      </c>
      <c r="P4292">
        <v>0.99826340000000002</v>
      </c>
      <c r="Q4292">
        <v>-5.5316499999999998E-2</v>
      </c>
      <c r="R4292">
        <v>2.0258040000000001E-2</v>
      </c>
      <c r="S4292">
        <v>3.0016780000000001</v>
      </c>
      <c r="T4292">
        <v>-5.4103369999999998E-2</v>
      </c>
      <c r="U4292">
        <v>2.3742679999999999E-2</v>
      </c>
      <c r="V4292">
        <v>-1.488344E-2</v>
      </c>
      <c r="W4292">
        <v>-4.2805169999999997E-2</v>
      </c>
      <c r="X4292">
        <v>0.99897259999999999</v>
      </c>
      <c r="Y4292">
        <v>-2.530053E-3</v>
      </c>
      <c r="Z4292" s="1">
        <v>9.1068629999999996E-6</v>
      </c>
      <c r="AA4292">
        <v>0.99999680000000002</v>
      </c>
      <c r="AB4292">
        <v>29</v>
      </c>
      <c r="AC4292">
        <v>61.909500000000001</v>
      </c>
      <c r="AD4292">
        <v>-1.1211680408</v>
      </c>
      <c r="AE4292">
        <v>0.49039999999999401</v>
      </c>
      <c r="AF4292">
        <v>-0.15733395328920699</v>
      </c>
      <c r="AG4292">
        <v>-1.1211680408</v>
      </c>
      <c r="AH4292">
        <v>61.890945452781502</v>
      </c>
      <c r="AI4292">
        <v>91.037808736853094</v>
      </c>
      <c r="AJ4292">
        <v>90.145652195377806</v>
      </c>
      <c r="AK4292">
        <v>61.901299669617202</v>
      </c>
      <c r="AL4292">
        <v>92.453305095628295</v>
      </c>
      <c r="AM4292">
        <v>90.853572168741493</v>
      </c>
      <c r="AN4292">
        <v>1.00000002745786</v>
      </c>
    </row>
    <row r="4293" spans="1:40" x14ac:dyDescent="0.25">
      <c r="A4293" t="str">
        <f>"20190303153853835"</f>
        <v>20190303153853835</v>
      </c>
      <c r="B4293" t="str">
        <f>"1551598733823019"</f>
        <v>1551598733823019</v>
      </c>
      <c r="C4293" t="s">
        <v>40</v>
      </c>
      <c r="D4293">
        <v>4.0879969999999997</v>
      </c>
      <c r="E4293">
        <v>0.50484410000000002</v>
      </c>
      <c r="F4293" t="s">
        <v>55</v>
      </c>
      <c r="G4293">
        <v>-349.47570000000002</v>
      </c>
      <c r="H4293" s="1">
        <v>3.5057249999999998E-6</v>
      </c>
      <c r="I4293">
        <v>215.559</v>
      </c>
      <c r="J4293">
        <v>-410.05770000000001</v>
      </c>
      <c r="K4293">
        <v>1.1212059999999999</v>
      </c>
      <c r="L4293">
        <v>215.03210000000001</v>
      </c>
      <c r="M4293">
        <v>0.9999015</v>
      </c>
      <c r="N4293">
        <v>-1.291527E-2</v>
      </c>
      <c r="O4293">
        <v>5.5272709999999899E-3</v>
      </c>
      <c r="P4293">
        <v>0.99822409999999995</v>
      </c>
      <c r="Q4293">
        <v>-5.5676580000000003E-2</v>
      </c>
      <c r="R4293">
        <v>2.1190759999999999E-2</v>
      </c>
      <c r="S4293">
        <v>3.0016479999999999</v>
      </c>
      <c r="T4293">
        <v>-5.5276159999999998E-2</v>
      </c>
      <c r="U4293">
        <v>2.606201E-2</v>
      </c>
      <c r="V4293">
        <v>-1.5664190000000001E-2</v>
      </c>
      <c r="W4293">
        <v>-4.2781300000000001E-2</v>
      </c>
      <c r="X4293">
        <v>0.99896169999999995</v>
      </c>
      <c r="Y4293">
        <v>-3.1537599999999998E-3</v>
      </c>
      <c r="Z4293" s="1">
        <v>1.9017720000000001E-5</v>
      </c>
      <c r="AA4293">
        <v>0.99999510000000003</v>
      </c>
      <c r="AB4293">
        <v>29</v>
      </c>
      <c r="AC4293">
        <v>60.582000000000001</v>
      </c>
      <c r="AD4293">
        <v>-1.1212024942750001</v>
      </c>
      <c r="AE4293">
        <v>0.52690000000001103</v>
      </c>
      <c r="AF4293">
        <v>-0.191945209065499</v>
      </c>
      <c r="AG4293">
        <v>-1.1212024942750001</v>
      </c>
      <c r="AH4293">
        <v>60.563244675452196</v>
      </c>
      <c r="AI4293">
        <v>91.060585694485496</v>
      </c>
      <c r="AJ4293">
        <v>90.181588909473405</v>
      </c>
      <c r="AK4293">
        <v>60.573926268776198</v>
      </c>
      <c r="AL4293">
        <v>92.451936155077505</v>
      </c>
      <c r="AM4293">
        <v>90.898351187782694</v>
      </c>
      <c r="AN4293">
        <v>1.00000004227246</v>
      </c>
    </row>
    <row r="4294" spans="1:40" x14ac:dyDescent="0.25">
      <c r="A4294" t="str">
        <f>"20190303153853857"</f>
        <v>20190303153853857</v>
      </c>
      <c r="B4294" t="str">
        <f>"1551598733853275"</f>
        <v>1551598733853275</v>
      </c>
      <c r="C4294" t="s">
        <v>40</v>
      </c>
      <c r="D4294">
        <v>4.0704320000000003</v>
      </c>
      <c r="E4294">
        <v>0.50487599999999999</v>
      </c>
      <c r="F4294" t="s">
        <v>55</v>
      </c>
      <c r="G4294">
        <v>-349.71300000000002</v>
      </c>
      <c r="H4294" s="1">
        <v>3.632005E-6</v>
      </c>
      <c r="I4294">
        <v>215.60759999999999</v>
      </c>
      <c r="J4294">
        <v>-409.78640000000001</v>
      </c>
      <c r="K4294">
        <v>1.121237</v>
      </c>
      <c r="L4294">
        <v>215.03380000000001</v>
      </c>
      <c r="M4294">
        <v>0.99989649999999997</v>
      </c>
      <c r="N4294">
        <v>-1.321931E-2</v>
      </c>
      <c r="O4294">
        <v>5.6875759999999997E-3</v>
      </c>
      <c r="P4294">
        <v>0.99821850000000001</v>
      </c>
      <c r="Q4294">
        <v>-5.5455270000000001E-2</v>
      </c>
      <c r="R4294">
        <v>2.2013930000000001E-2</v>
      </c>
      <c r="S4294">
        <v>3.0015869999999998</v>
      </c>
      <c r="T4294">
        <v>-5.5769440000000003E-2</v>
      </c>
      <c r="U4294">
        <v>2.862549E-2</v>
      </c>
      <c r="V4294">
        <v>-1.6324760000000001E-2</v>
      </c>
      <c r="W4294">
        <v>-4.2257370000000002E-2</v>
      </c>
      <c r="X4294">
        <v>0.99897340000000001</v>
      </c>
      <c r="Y4294">
        <v>-3.8473280000000001E-3</v>
      </c>
      <c r="Z4294" s="1">
        <v>3.0696589999999999E-5</v>
      </c>
      <c r="AA4294">
        <v>0.99999260000000001</v>
      </c>
      <c r="AB4294">
        <v>29</v>
      </c>
      <c r="AC4294">
        <v>60.0733999999999</v>
      </c>
      <c r="AD4294">
        <v>-1.121233367995</v>
      </c>
      <c r="AE4294">
        <v>0.573799999999977</v>
      </c>
      <c r="AF4294">
        <v>-0.232008035774035</v>
      </c>
      <c r="AG4294">
        <v>-1.121233367995</v>
      </c>
      <c r="AH4294">
        <v>60.054773256134801</v>
      </c>
      <c r="AI4294">
        <v>91.069590213956801</v>
      </c>
      <c r="AJ4294">
        <v>90.221348186168299</v>
      </c>
      <c r="AK4294">
        <v>60.065687233560702</v>
      </c>
      <c r="AL4294">
        <v>92.421890063421003</v>
      </c>
      <c r="AM4294">
        <v>90.936217724489794</v>
      </c>
      <c r="AN4294">
        <v>1.0000000185079601</v>
      </c>
    </row>
    <row r="4295" spans="1:40" x14ac:dyDescent="0.25">
      <c r="A4295" t="str">
        <f>"20190303153853879"</f>
        <v>20190303153853879</v>
      </c>
      <c r="B4295" t="str">
        <f>"1551598733872795"</f>
        <v>1551598733872795</v>
      </c>
      <c r="C4295" t="s">
        <v>40</v>
      </c>
      <c r="D4295">
        <v>4.0556320000000001</v>
      </c>
      <c r="E4295">
        <v>0.50490440000000003</v>
      </c>
      <c r="F4295" t="s">
        <v>55</v>
      </c>
      <c r="G4295">
        <v>-347.67790000000002</v>
      </c>
      <c r="H4295" s="1">
        <v>2.5490390000000001E-6</v>
      </c>
      <c r="I4295">
        <v>215.6747</v>
      </c>
      <c r="J4295">
        <v>-409.50749999999999</v>
      </c>
      <c r="K4295">
        <v>1.1212580000000001</v>
      </c>
      <c r="L4295">
        <v>215.03559999999999</v>
      </c>
      <c r="M4295">
        <v>0.99989189999999994</v>
      </c>
      <c r="N4295">
        <v>-1.349127E-2</v>
      </c>
      <c r="O4295">
        <v>5.873166E-3</v>
      </c>
      <c r="P4295">
        <v>0.9981949</v>
      </c>
      <c r="Q4295">
        <v>-5.5514050000000002E-2</v>
      </c>
      <c r="R4295">
        <v>2.2922089999999999E-2</v>
      </c>
      <c r="S4295">
        <v>3.001617</v>
      </c>
      <c r="T4295">
        <v>-5.4187770000000003E-2</v>
      </c>
      <c r="U4295">
        <v>3.0975340000000001E-2</v>
      </c>
      <c r="V4295">
        <v>-1.7046099999999901E-2</v>
      </c>
      <c r="W4295">
        <v>-4.2045569999999997E-2</v>
      </c>
      <c r="X4295">
        <v>0.99897029999999998</v>
      </c>
      <c r="Y4295">
        <v>-4.4442329999999997E-3</v>
      </c>
      <c r="Z4295" s="1">
        <v>4.3319319999999998E-5</v>
      </c>
      <c r="AA4295">
        <v>0.99999009999999999</v>
      </c>
      <c r="AB4295">
        <v>29</v>
      </c>
      <c r="AC4295">
        <v>61.8295999999999</v>
      </c>
      <c r="AD4295">
        <v>-1.121255450961</v>
      </c>
      <c r="AE4295">
        <v>0.63910000000001299</v>
      </c>
      <c r="AF4295">
        <v>-0.27582977571793399</v>
      </c>
      <c r="AG4295">
        <v>-1.121255450961</v>
      </c>
      <c r="AH4295">
        <v>61.811961747003302</v>
      </c>
      <c r="AI4295">
        <v>91.039208574017096</v>
      </c>
      <c r="AJ4295">
        <v>90.255675061367299</v>
      </c>
      <c r="AK4295">
        <v>61.822745902009899</v>
      </c>
      <c r="AL4295">
        <v>92.409743995083204</v>
      </c>
      <c r="AM4295">
        <v>90.977581427390504</v>
      </c>
      <c r="AN4295">
        <v>1.00000002988196</v>
      </c>
    </row>
    <row r="4296" spans="1:40" x14ac:dyDescent="0.25">
      <c r="A4296" t="str">
        <f>"20190303153853901"</f>
        <v>20190303153853901</v>
      </c>
      <c r="B4296" t="str">
        <f>"1551598733893292"</f>
        <v>1551598733893292</v>
      </c>
      <c r="C4296" t="s">
        <v>40</v>
      </c>
      <c r="D4296">
        <v>4.0425630000000004</v>
      </c>
      <c r="E4296">
        <v>0.50493169999999998</v>
      </c>
      <c r="F4296" t="s">
        <v>55</v>
      </c>
      <c r="G4296">
        <v>-347.01600000000002</v>
      </c>
      <c r="H4296" s="1">
        <v>2.1967710000000001E-6</v>
      </c>
      <c r="I4296">
        <v>215.73249999999999</v>
      </c>
      <c r="J4296">
        <v>-409.22289999999998</v>
      </c>
      <c r="K4296">
        <v>1.1212719999999901</v>
      </c>
      <c r="L4296">
        <v>215.03749999999999</v>
      </c>
      <c r="M4296">
        <v>0.99988730000000003</v>
      </c>
      <c r="N4296">
        <v>-1.373194E-2</v>
      </c>
      <c r="O4296">
        <v>6.0782569999999897E-3</v>
      </c>
      <c r="P4296">
        <v>0.9981276</v>
      </c>
      <c r="Q4296">
        <v>-5.6351129999999999E-2</v>
      </c>
      <c r="R4296">
        <v>2.3796459999999998E-2</v>
      </c>
      <c r="S4296">
        <v>3.0016780000000001</v>
      </c>
      <c r="T4296">
        <v>-5.3857679999999998E-2</v>
      </c>
      <c r="U4296">
        <v>3.3477779999999999E-2</v>
      </c>
      <c r="V4296">
        <v>-1.771491E-2</v>
      </c>
      <c r="W4296">
        <v>-4.2643599999999997E-2</v>
      </c>
      <c r="X4296">
        <v>0.99893330000000002</v>
      </c>
      <c r="Y4296">
        <v>-5.0722830000000003E-3</v>
      </c>
      <c r="Z4296" s="1">
        <v>5.4754930000000002E-5</v>
      </c>
      <c r="AA4296">
        <v>0.99998710000000002</v>
      </c>
      <c r="AB4296">
        <v>28</v>
      </c>
      <c r="AC4296">
        <v>62.206899999999997</v>
      </c>
      <c r="AD4296">
        <v>-1.1212698032289901</v>
      </c>
      <c r="AE4296">
        <v>0.69499999999999296</v>
      </c>
      <c r="AF4296">
        <v>-0.31673910858354798</v>
      </c>
      <c r="AG4296">
        <v>-1.1212698032289901</v>
      </c>
      <c r="AH4296">
        <v>62.189772806623701</v>
      </c>
      <c r="AI4296">
        <v>91.032906723630603</v>
      </c>
      <c r="AJ4296">
        <v>90.291810958547501</v>
      </c>
      <c r="AK4296">
        <v>62.200686582818498</v>
      </c>
      <c r="AL4296">
        <v>92.444039383600099</v>
      </c>
      <c r="AM4296">
        <v>91.015966928562804</v>
      </c>
      <c r="AN4296">
        <v>1.00000001625307</v>
      </c>
    </row>
    <row r="4297" spans="1:40" x14ac:dyDescent="0.25">
      <c r="A4297" t="str">
        <f>"20190303153853923"</f>
        <v>20190303153853923</v>
      </c>
      <c r="B4297" t="str">
        <f>"1551598733912814"</f>
        <v>1551598733912814</v>
      </c>
      <c r="C4297" t="s">
        <v>40</v>
      </c>
      <c r="D4297">
        <v>4.1088620000000002</v>
      </c>
      <c r="E4297">
        <v>0.50496989999999997</v>
      </c>
      <c r="F4297" t="s">
        <v>55</v>
      </c>
      <c r="G4297">
        <v>-348.90600000000001</v>
      </c>
      <c r="H4297" s="1">
        <v>3.2025229999999998E-6</v>
      </c>
      <c r="I4297">
        <v>215.7602</v>
      </c>
      <c r="J4297">
        <v>-408.93849999999998</v>
      </c>
      <c r="K4297">
        <v>1.12127</v>
      </c>
      <c r="L4297">
        <v>215.0394</v>
      </c>
      <c r="M4297">
        <v>0.99988310000000002</v>
      </c>
      <c r="N4297">
        <v>-1.3939460000000001E-2</v>
      </c>
      <c r="O4297">
        <v>6.2920429999999998E-3</v>
      </c>
      <c r="P4297">
        <v>0.99805900000000003</v>
      </c>
      <c r="Q4297">
        <v>-5.7411120000000003E-2</v>
      </c>
      <c r="R4297">
        <v>2.4136169999999998E-2</v>
      </c>
      <c r="S4297">
        <v>3.001617</v>
      </c>
      <c r="T4297">
        <v>-5.5798889999999997E-2</v>
      </c>
      <c r="U4297">
        <v>3.5964969999999999E-2</v>
      </c>
      <c r="V4297">
        <v>-1.7840959999999999E-2</v>
      </c>
      <c r="W4297">
        <v>-4.3497349999999997E-2</v>
      </c>
      <c r="X4297">
        <v>0.99889419999999995</v>
      </c>
      <c r="Y4297">
        <v>-5.6869109999999898E-3</v>
      </c>
      <c r="Z4297" s="1">
        <v>6.325534E-5</v>
      </c>
      <c r="AA4297">
        <v>0.99998379999999998</v>
      </c>
      <c r="AB4297">
        <v>28</v>
      </c>
      <c r="AC4297">
        <v>60.032499999999899</v>
      </c>
      <c r="AD4297">
        <v>-1.1212667974770001</v>
      </c>
      <c r="AE4297">
        <v>0.720799999999997</v>
      </c>
      <c r="AF4297">
        <v>-0.34290236954375303</v>
      </c>
      <c r="AG4297">
        <v>-1.1212667974770001</v>
      </c>
      <c r="AH4297">
        <v>60.014913674639097</v>
      </c>
      <c r="AI4297">
        <v>91.070322851688701</v>
      </c>
      <c r="AJ4297">
        <v>90.327362709827497</v>
      </c>
      <c r="AK4297">
        <v>60.026366578700603</v>
      </c>
      <c r="AL4297">
        <v>92.493001203492099</v>
      </c>
      <c r="AM4297">
        <v>91.023234527128196</v>
      </c>
      <c r="AN4297">
        <v>0.99999997105219096</v>
      </c>
    </row>
    <row r="4298" spans="1:40" x14ac:dyDescent="0.25">
      <c r="A4298" t="str">
        <f>"20190303153853945"</f>
        <v>20190303153853945</v>
      </c>
      <c r="B4298" t="str">
        <f>"1551598733943067"</f>
        <v>1551598733943067</v>
      </c>
      <c r="C4298" t="s">
        <v>40</v>
      </c>
      <c r="D4298">
        <v>4.2103320000000002</v>
      </c>
      <c r="E4298">
        <v>0.50500920000000005</v>
      </c>
      <c r="F4298" t="s">
        <v>55</v>
      </c>
      <c r="G4298">
        <v>-351.3723</v>
      </c>
      <c r="H4298" s="1">
        <v>-8.5564110000000002E-7</v>
      </c>
      <c r="I4298">
        <v>215.73949999999999</v>
      </c>
      <c r="J4298">
        <v>-408.6694</v>
      </c>
      <c r="K4298">
        <v>1.121275</v>
      </c>
      <c r="L4298">
        <v>215.04140000000001</v>
      </c>
      <c r="M4298">
        <v>0.99987939999999997</v>
      </c>
      <c r="N4298">
        <v>-1.4108819999999999E-2</v>
      </c>
      <c r="O4298">
        <v>6.4969600000000004E-3</v>
      </c>
      <c r="P4298">
        <v>0.99800630000000001</v>
      </c>
      <c r="Q4298">
        <v>-5.8236009999999998E-2</v>
      </c>
      <c r="R4298">
        <v>2.4337060000000001E-2</v>
      </c>
      <c r="S4298">
        <v>3.0015559999999999</v>
      </c>
      <c r="T4298">
        <v>-5.8464049999999997E-2</v>
      </c>
      <c r="U4298">
        <v>3.649902E-2</v>
      </c>
      <c r="V4298">
        <v>-1.783711E-2</v>
      </c>
      <c r="W4298">
        <v>-4.4153730000000002E-2</v>
      </c>
      <c r="X4298">
        <v>0.99886549999999996</v>
      </c>
      <c r="Y4298">
        <v>-5.6599930000000003E-3</v>
      </c>
      <c r="Z4298" s="1">
        <v>6.0189090000000002E-5</v>
      </c>
      <c r="AA4298">
        <v>0.99998399999999998</v>
      </c>
      <c r="AB4298">
        <v>28</v>
      </c>
      <c r="AC4298">
        <v>57.2971</v>
      </c>
      <c r="AD4298">
        <v>-1.1212758556411</v>
      </c>
      <c r="AE4298">
        <v>0.69809999999998196</v>
      </c>
      <c r="AF4298">
        <v>-0.32566655554271201</v>
      </c>
      <c r="AG4298">
        <v>-1.1212758556411</v>
      </c>
      <c r="AH4298">
        <v>57.278494024681102</v>
      </c>
      <c r="AI4298">
        <v>91.121452872276606</v>
      </c>
      <c r="AJ4298">
        <v>90.325761324860693</v>
      </c>
      <c r="AK4298">
        <v>57.290393575059902</v>
      </c>
      <c r="AL4298">
        <v>92.530645102222493</v>
      </c>
      <c r="AM4298">
        <v>91.023043152184499</v>
      </c>
      <c r="AN4298">
        <v>1.00000000072815</v>
      </c>
    </row>
    <row r="4299" spans="1:40" x14ac:dyDescent="0.25">
      <c r="A4299" t="str">
        <f>"20190303153853967"</f>
        <v>20190303153853967</v>
      </c>
      <c r="B4299" t="str">
        <f>"1551598733962587"</f>
        <v>1551598733962587</v>
      </c>
      <c r="C4299" t="s">
        <v>40</v>
      </c>
      <c r="D4299">
        <v>4.1243129999999999</v>
      </c>
      <c r="E4299">
        <v>0.52002669999999995</v>
      </c>
      <c r="F4299" t="s">
        <v>55</v>
      </c>
      <c r="G4299">
        <v>-353.14729999999997</v>
      </c>
      <c r="H4299" s="1">
        <v>8.9767849999999999E-8</v>
      </c>
      <c r="I4299">
        <v>215.72130000000001</v>
      </c>
      <c r="J4299">
        <v>-408.39240000000001</v>
      </c>
      <c r="K4299">
        <v>1.1212819999999999</v>
      </c>
      <c r="L4299">
        <v>215.04339999999999</v>
      </c>
      <c r="M4299">
        <v>0.99987590000000004</v>
      </c>
      <c r="N4299">
        <v>-1.425971E-2</v>
      </c>
      <c r="O4299">
        <v>6.7066139999999996E-3</v>
      </c>
      <c r="P4299">
        <v>0.99798149999999997</v>
      </c>
      <c r="Q4299">
        <v>-5.8820020000000001E-2</v>
      </c>
      <c r="R4299">
        <v>2.3947630000000001E-2</v>
      </c>
      <c r="S4299">
        <v>3.0015559999999999</v>
      </c>
      <c r="T4299">
        <v>-6.061685E-2</v>
      </c>
      <c r="U4299">
        <v>3.675842E-2</v>
      </c>
      <c r="V4299">
        <v>-1.7238070000000001E-2</v>
      </c>
      <c r="W4299">
        <v>-4.4587120000000001E-2</v>
      </c>
      <c r="X4299">
        <v>0.99885679999999999</v>
      </c>
      <c r="Y4299">
        <v>-5.536661E-3</v>
      </c>
      <c r="Z4299" s="1">
        <v>5.5599310000000002E-5</v>
      </c>
      <c r="AA4299">
        <v>0.99998469999999995</v>
      </c>
      <c r="AB4299">
        <v>28</v>
      </c>
      <c r="AC4299">
        <v>55.245100000000001</v>
      </c>
      <c r="AD4299">
        <v>-1.1212819102321401</v>
      </c>
      <c r="AE4299">
        <v>0.67790000000002204</v>
      </c>
      <c r="AF4299">
        <v>-0.307213003070054</v>
      </c>
      <c r="AG4299">
        <v>-1.1212819102321401</v>
      </c>
      <c r="AH4299">
        <v>55.225657524850099</v>
      </c>
      <c r="AI4299">
        <v>91.163135117229203</v>
      </c>
      <c r="AJ4299">
        <v>90.318725529257804</v>
      </c>
      <c r="AK4299">
        <v>55.237893714401402</v>
      </c>
      <c r="AL4299">
        <v>92.555500913010704</v>
      </c>
      <c r="AM4299">
        <v>90.988700905355401</v>
      </c>
      <c r="AN4299">
        <v>1.0000000346167199</v>
      </c>
    </row>
    <row r="4300" spans="1:40" x14ac:dyDescent="0.25">
      <c r="A4300" t="str">
        <f>"20190303153853991"</f>
        <v>20190303153853991</v>
      </c>
      <c r="B4300" t="str">
        <f>"1551598733983083"</f>
        <v>1551598733983083</v>
      </c>
      <c r="C4300" t="s">
        <v>40</v>
      </c>
      <c r="D4300">
        <v>4.1711900000000002</v>
      </c>
      <c r="E4300">
        <v>0.52127650000000003</v>
      </c>
      <c r="F4300" t="s">
        <v>44</v>
      </c>
      <c r="G4300">
        <v>-407.6377</v>
      </c>
      <c r="H4300">
        <v>1.032564</v>
      </c>
      <c r="I4300">
        <v>215.0197</v>
      </c>
      <c r="J4300">
        <v>-408.08699999999999</v>
      </c>
      <c r="K4300">
        <v>1.1212949999999999</v>
      </c>
      <c r="L4300">
        <v>215.04570000000001</v>
      </c>
      <c r="M4300">
        <v>0.99987230000000005</v>
      </c>
      <c r="N4300">
        <v>-1.4401570000000001E-2</v>
      </c>
      <c r="O4300">
        <v>6.9350779999999999E-3</v>
      </c>
      <c r="P4300">
        <v>0.99800840000000002</v>
      </c>
      <c r="Q4300">
        <v>-5.849787E-2</v>
      </c>
      <c r="R4300">
        <v>2.361046E-2</v>
      </c>
      <c r="S4300">
        <v>2.9875790000000002</v>
      </c>
      <c r="T4300">
        <v>-0.35124929999999999</v>
      </c>
      <c r="U4300">
        <v>-9.3475340000000004E-2</v>
      </c>
      <c r="V4300">
        <v>-1.6672570000000001E-2</v>
      </c>
      <c r="W4300">
        <v>-4.4122670000000003E-2</v>
      </c>
      <c r="X4300">
        <v>0.99888699999999997</v>
      </c>
      <c r="Y4300">
        <v>3.7874779999999997E-2</v>
      </c>
      <c r="Z4300">
        <v>-3.2049719999999999E-3</v>
      </c>
      <c r="AA4300">
        <v>0.99927739999999998</v>
      </c>
      <c r="AB4300">
        <v>28</v>
      </c>
      <c r="AC4300">
        <v>0.44929999999999298</v>
      </c>
      <c r="AD4300">
        <v>-8.8731000000000101E-2</v>
      </c>
      <c r="AE4300">
        <v>-2.60000000000104E-2</v>
      </c>
      <c r="AF4300">
        <v>2.8026220168062499E-2</v>
      </c>
      <c r="AG4300">
        <v>-8.8731000000000101E-2</v>
      </c>
      <c r="AH4300">
        <v>0.43230473276404802</v>
      </c>
      <c r="AI4300">
        <v>101.57528791732</v>
      </c>
      <c r="AJ4300">
        <v>86.290718061342304</v>
      </c>
      <c r="AK4300">
        <v>0.44220588117765203</v>
      </c>
      <c r="AL4300">
        <v>92.528863731554097</v>
      </c>
      <c r="AM4300">
        <v>90.956243497714198</v>
      </c>
      <c r="AN4300">
        <v>1.00000001168366</v>
      </c>
    </row>
    <row r="4301" spans="1:40" x14ac:dyDescent="0.25">
      <c r="A4301" t="str">
        <f>"20190303153854014"</f>
        <v>20190303153854014</v>
      </c>
      <c r="B4301" t="str">
        <f>"1551598734002603"</f>
        <v>1551598734002603</v>
      </c>
      <c r="C4301" t="s">
        <v>40</v>
      </c>
      <c r="D4301">
        <v>4.1697430000000004</v>
      </c>
      <c r="E4301">
        <v>0.52147219999999905</v>
      </c>
      <c r="F4301" t="s">
        <v>44</v>
      </c>
      <c r="G4301">
        <v>-407.15050000000002</v>
      </c>
      <c r="H4301">
        <v>1.0003919999999999</v>
      </c>
      <c r="I4301">
        <v>215.01240000000001</v>
      </c>
      <c r="J4301">
        <v>-407.80520000000001</v>
      </c>
      <c r="K4301">
        <v>1.1213089999999999</v>
      </c>
      <c r="L4301">
        <v>215.0479</v>
      </c>
      <c r="M4301">
        <v>0.99986929999999996</v>
      </c>
      <c r="N4301">
        <v>-1.4511980000000001E-2</v>
      </c>
      <c r="O4301">
        <v>7.1432450000000003E-3</v>
      </c>
      <c r="P4301">
        <v>0.99804619999999999</v>
      </c>
      <c r="Q4301">
        <v>-5.8017190000000003E-2</v>
      </c>
      <c r="R4301">
        <v>2.3184759999999999E-2</v>
      </c>
      <c r="S4301">
        <v>2.9859010000000001</v>
      </c>
      <c r="T4301">
        <v>-0.38549719999999998</v>
      </c>
      <c r="U4301">
        <v>-0.1055145</v>
      </c>
      <c r="V4301">
        <v>-1.6039500000000002E-2</v>
      </c>
      <c r="W4301">
        <v>-4.3530939999999997E-2</v>
      </c>
      <c r="X4301">
        <v>0.99892329999999996</v>
      </c>
      <c r="Y4301">
        <v>4.201966E-2</v>
      </c>
      <c r="Z4301">
        <v>-3.8217659999999999E-3</v>
      </c>
      <c r="AA4301">
        <v>0.99910940000000004</v>
      </c>
      <c r="AB4301">
        <v>28</v>
      </c>
      <c r="AC4301">
        <v>0.65469999999999096</v>
      </c>
      <c r="AD4301">
        <v>-0.120917</v>
      </c>
      <c r="AE4301">
        <v>-3.5499999999984697E-2</v>
      </c>
      <c r="AF4301">
        <v>3.8854791567010903E-2</v>
      </c>
      <c r="AG4301">
        <v>-0.120917</v>
      </c>
      <c r="AH4301">
        <v>0.63290419365969697</v>
      </c>
      <c r="AI4301">
        <v>100.796230705653</v>
      </c>
      <c r="AJ4301">
        <v>86.486948396349803</v>
      </c>
      <c r="AK4301">
        <v>0.64552175336602502</v>
      </c>
      <c r="AL4301">
        <v>92.4949275616367</v>
      </c>
      <c r="AM4301">
        <v>90.919907153121898</v>
      </c>
      <c r="AN4301">
        <v>0.99999998379021104</v>
      </c>
    </row>
    <row r="4302" spans="1:40" x14ac:dyDescent="0.25">
      <c r="A4302" t="str">
        <f>"20190303153854036"</f>
        <v>20190303153854036</v>
      </c>
      <c r="B4302" t="str">
        <f>"1551598734032859"</f>
        <v>1551598734032859</v>
      </c>
      <c r="C4302" t="s">
        <v>40</v>
      </c>
      <c r="D4302">
        <v>4.1684020000000004</v>
      </c>
      <c r="E4302">
        <v>0.52198820000000001</v>
      </c>
      <c r="F4302" t="s">
        <v>44</v>
      </c>
      <c r="G4302">
        <v>-406.90069999999997</v>
      </c>
      <c r="H4302">
        <v>0.99826230000000005</v>
      </c>
      <c r="I4302">
        <v>215.0145</v>
      </c>
      <c r="J4302">
        <v>-407.51280000000003</v>
      </c>
      <c r="K4302">
        <v>1.1213150000000001</v>
      </c>
      <c r="L4302">
        <v>215.05019999999999</v>
      </c>
      <c r="M4302">
        <v>0.99986660000000005</v>
      </c>
      <c r="N4302">
        <v>-1.4588500000000001E-2</v>
      </c>
      <c r="O4302">
        <v>7.3580240000000003E-3</v>
      </c>
      <c r="P4302">
        <v>0.99807449999999998</v>
      </c>
      <c r="Q4302">
        <v>-5.7615420000000001E-2</v>
      </c>
      <c r="R4302">
        <v>2.2979079999999999E-2</v>
      </c>
      <c r="S4302">
        <v>2.984772</v>
      </c>
      <c r="T4302">
        <v>-0.4061226</v>
      </c>
      <c r="U4302">
        <v>-0.1091766</v>
      </c>
      <c r="V4302">
        <v>-1.561923E-2</v>
      </c>
      <c r="W4302">
        <v>-4.3052159999999999E-2</v>
      </c>
      <c r="X4302">
        <v>0.99895069999999997</v>
      </c>
      <c r="Y4302">
        <v>4.3409589999999998E-2</v>
      </c>
      <c r="Z4302">
        <v>-4.1465219999999997E-3</v>
      </c>
      <c r="AA4302">
        <v>0.99904879999999996</v>
      </c>
      <c r="AB4302">
        <v>28</v>
      </c>
      <c r="AC4302">
        <v>0.61210000000005405</v>
      </c>
      <c r="AD4302">
        <v>-0.1230527</v>
      </c>
      <c r="AE4302">
        <v>-3.5699999999991398E-2</v>
      </c>
      <c r="AF4302">
        <v>3.86467630360742E-2</v>
      </c>
      <c r="AG4302">
        <v>-0.1230527</v>
      </c>
      <c r="AH4302">
        <v>0.58813221050618303</v>
      </c>
      <c r="AI4302">
        <v>101.79259468093299</v>
      </c>
      <c r="AJ4302">
        <v>86.240441279024395</v>
      </c>
      <c r="AK4302">
        <v>0.60210882430449897</v>
      </c>
      <c r="AL4302">
        <v>92.467469767277507</v>
      </c>
      <c r="AM4302">
        <v>90.895782986392604</v>
      </c>
      <c r="AN4302">
        <v>0.99999997492847303</v>
      </c>
    </row>
    <row r="4303" spans="1:40" x14ac:dyDescent="0.25">
      <c r="A4303" t="str">
        <f>"20190303153854060"</f>
        <v>20190303153854060</v>
      </c>
      <c r="B4303" t="str">
        <f>"1551598734053355"</f>
        <v>1551598734053355</v>
      </c>
      <c r="C4303" t="s">
        <v>40</v>
      </c>
      <c r="D4303">
        <v>4.1918230000000003</v>
      </c>
      <c r="E4303">
        <v>0.5219222</v>
      </c>
      <c r="F4303" t="s">
        <v>44</v>
      </c>
      <c r="G4303">
        <v>-406.64920000000001</v>
      </c>
      <c r="H4303">
        <v>1.0001420000000001</v>
      </c>
      <c r="I4303">
        <v>215.017</v>
      </c>
      <c r="J4303">
        <v>-407.2303</v>
      </c>
      <c r="K4303">
        <v>1.1213</v>
      </c>
      <c r="L4303">
        <v>215.05250000000001</v>
      </c>
      <c r="M4303">
        <v>0.99986549999999996</v>
      </c>
      <c r="N4303">
        <v>-1.4548699999999999E-2</v>
      </c>
      <c r="O4303">
        <v>7.5694439999999998E-3</v>
      </c>
      <c r="P4303">
        <v>0.99810399999999999</v>
      </c>
      <c r="Q4303">
        <v>-5.7165550000000002E-2</v>
      </c>
      <c r="R4303">
        <v>2.2818169999999999E-2</v>
      </c>
      <c r="S4303">
        <v>2.984283</v>
      </c>
      <c r="T4303">
        <v>-0.41878209999999999</v>
      </c>
      <c r="U4303">
        <v>-0.1142731</v>
      </c>
      <c r="V4303">
        <v>-1.5247E-2</v>
      </c>
      <c r="W4303">
        <v>-4.2641579999999998E-2</v>
      </c>
      <c r="X4303">
        <v>0.99897409999999998</v>
      </c>
      <c r="Y4303">
        <v>4.5278199999999998E-2</v>
      </c>
      <c r="Z4303">
        <v>-4.4386540000000002E-3</v>
      </c>
      <c r="AA4303">
        <v>0.99896450000000003</v>
      </c>
      <c r="AB4303">
        <v>28</v>
      </c>
      <c r="AC4303">
        <v>0.58109999999999196</v>
      </c>
      <c r="AD4303">
        <v>-0.121157999999999</v>
      </c>
      <c r="AE4303">
        <v>-3.5500000000013097E-2</v>
      </c>
      <c r="AF4303">
        <v>3.8241812968173097E-2</v>
      </c>
      <c r="AG4303">
        <v>-0.121157999999999</v>
      </c>
      <c r="AH4303">
        <v>0.55670395456698196</v>
      </c>
      <c r="AI4303">
        <v>102.250085753333</v>
      </c>
      <c r="AJ4303">
        <v>86.070339053395301</v>
      </c>
      <c r="AK4303">
        <v>0.571017504332055</v>
      </c>
      <c r="AL4303">
        <v>92.443923546479795</v>
      </c>
      <c r="AM4303">
        <v>90.874417991336699</v>
      </c>
      <c r="AN4303">
        <v>1.0000000139123499</v>
      </c>
    </row>
    <row r="4304" spans="1:40" x14ac:dyDescent="0.25">
      <c r="A4304" t="str">
        <f>"20190303153854081"</f>
        <v>20190303153854081</v>
      </c>
      <c r="B4304" t="str">
        <f>"1551598734072876"</f>
        <v>1551598734072876</v>
      </c>
      <c r="C4304" t="s">
        <v>40</v>
      </c>
      <c r="D4304">
        <v>4.2126710000000003</v>
      </c>
      <c r="E4304">
        <v>0.52178480000000005</v>
      </c>
      <c r="F4304" t="s">
        <v>44</v>
      </c>
      <c r="G4304">
        <v>-406.3974</v>
      </c>
      <c r="H4304">
        <v>1.0025839999999999</v>
      </c>
      <c r="I4304">
        <v>215.02019999999999</v>
      </c>
      <c r="J4304">
        <v>-406.96260000000001</v>
      </c>
      <c r="K4304">
        <v>1.1212439999999999</v>
      </c>
      <c r="L4304">
        <v>215.0548</v>
      </c>
      <c r="M4304">
        <v>0.9998667</v>
      </c>
      <c r="N4304">
        <v>-1.4364770000000001E-2</v>
      </c>
      <c r="O4304">
        <v>7.7691670000000004E-3</v>
      </c>
      <c r="P4304">
        <v>0.99812540000000005</v>
      </c>
      <c r="Q4304">
        <v>-5.6751620000000003E-2</v>
      </c>
      <c r="R4304">
        <v>2.2916530000000001E-2</v>
      </c>
      <c r="S4304">
        <v>2.9839479999999998</v>
      </c>
      <c r="T4304">
        <v>-0.42540800000000001</v>
      </c>
      <c r="U4304">
        <v>-0.11485289999999999</v>
      </c>
      <c r="V4304">
        <v>-1.514569E-2</v>
      </c>
      <c r="W4304">
        <v>-4.2411169999999998E-2</v>
      </c>
      <c r="X4304">
        <v>0.99898540000000002</v>
      </c>
      <c r="Y4304">
        <v>4.5653440000000003E-2</v>
      </c>
      <c r="Z4304">
        <v>-4.5572210000000002E-3</v>
      </c>
      <c r="AA4304">
        <v>0.99894700000000003</v>
      </c>
      <c r="AB4304">
        <v>28</v>
      </c>
      <c r="AC4304">
        <v>0.56520000000000403</v>
      </c>
      <c r="AD4304">
        <v>-0.11866</v>
      </c>
      <c r="AE4304">
        <v>-3.4600000000011698E-2</v>
      </c>
      <c r="AF4304">
        <v>3.73504224240538E-2</v>
      </c>
      <c r="AG4304">
        <v>-0.11866</v>
      </c>
      <c r="AH4304">
        <v>0.54115124659654801</v>
      </c>
      <c r="AI4304">
        <v>102.339242303281</v>
      </c>
      <c r="AJ4304">
        <v>86.051689710735204</v>
      </c>
      <c r="AK4304">
        <v>0.55526563134076001</v>
      </c>
      <c r="AL4304">
        <v>92.430710193003904</v>
      </c>
      <c r="AM4304">
        <v>90.868598915367102</v>
      </c>
      <c r="AN4304">
        <v>0.99999996433975202</v>
      </c>
    </row>
    <row r="4305" spans="1:40" x14ac:dyDescent="0.25">
      <c r="A4305" t="str">
        <f>"20190303153854103"</f>
        <v>20190303153854103</v>
      </c>
      <c r="B4305" t="str">
        <f>"1551598734092395"</f>
        <v>1551598734092395</v>
      </c>
      <c r="C4305" t="s">
        <v>40</v>
      </c>
      <c r="D4305">
        <v>4.2265990000000002</v>
      </c>
      <c r="E4305">
        <v>0.52153720000000003</v>
      </c>
      <c r="F4305" t="s">
        <v>44</v>
      </c>
      <c r="G4305">
        <v>-406.14609999999999</v>
      </c>
      <c r="H4305">
        <v>1.0036529999999999</v>
      </c>
      <c r="I4305">
        <v>215.02340000000001</v>
      </c>
      <c r="J4305">
        <v>-406.68349999999998</v>
      </c>
      <c r="K4305">
        <v>1.12117</v>
      </c>
      <c r="L4305">
        <v>215.05719999999999</v>
      </c>
      <c r="M4305">
        <v>0.99986980000000003</v>
      </c>
      <c r="N4305">
        <v>-1.404004E-2</v>
      </c>
      <c r="O4305">
        <v>7.9725950000000007E-3</v>
      </c>
      <c r="P4305">
        <v>0.99812080000000003</v>
      </c>
      <c r="Q4305">
        <v>-5.643331E-2</v>
      </c>
      <c r="R4305">
        <v>2.3884519999999999E-2</v>
      </c>
      <c r="S4305">
        <v>2.983765</v>
      </c>
      <c r="T4305">
        <v>-0.42983929999999998</v>
      </c>
      <c r="U4305">
        <v>-0.11369319999999999</v>
      </c>
      <c r="V4305">
        <v>-1.5910230000000001E-2</v>
      </c>
      <c r="W4305">
        <v>-4.241752E-2</v>
      </c>
      <c r="X4305">
        <v>0.99897329999999995</v>
      </c>
      <c r="Y4305">
        <v>4.5460889999999997E-2</v>
      </c>
      <c r="Z4305">
        <v>-4.6084969999999996E-3</v>
      </c>
      <c r="AA4305">
        <v>0.9989555</v>
      </c>
      <c r="AB4305">
        <v>28</v>
      </c>
      <c r="AC4305">
        <v>0.537399999999991</v>
      </c>
      <c r="AD4305">
        <v>-0.117516999999999</v>
      </c>
      <c r="AE4305">
        <v>-3.3799999999985099E-2</v>
      </c>
      <c r="AF4305">
        <v>3.6352315653857402E-2</v>
      </c>
      <c r="AG4305">
        <v>-0.117516999999999</v>
      </c>
      <c r="AH4305">
        <v>0.51269322685345697</v>
      </c>
      <c r="AI4305">
        <v>102.878790889722</v>
      </c>
      <c r="AJ4305">
        <v>85.944252456508096</v>
      </c>
      <c r="AK4305">
        <v>0.52724385345284797</v>
      </c>
      <c r="AL4305">
        <v>92.431074218953995</v>
      </c>
      <c r="AM4305">
        <v>90.9124487762912</v>
      </c>
      <c r="AN4305">
        <v>1.0000000177672399</v>
      </c>
    </row>
    <row r="4306" spans="1:40" x14ac:dyDescent="0.25">
      <c r="A4306" t="str">
        <f>"20190303153854124"</f>
        <v>20190303153854124</v>
      </c>
      <c r="B4306" t="str">
        <f>"1551598734122651"</f>
        <v>1551598734122651</v>
      </c>
      <c r="C4306" t="s">
        <v>40</v>
      </c>
      <c r="D4306">
        <v>4.2309239999999999</v>
      </c>
      <c r="E4306">
        <v>0.52127920000000005</v>
      </c>
      <c r="F4306" t="s">
        <v>44</v>
      </c>
      <c r="G4306">
        <v>-405.89359999999999</v>
      </c>
      <c r="H4306">
        <v>1.006354</v>
      </c>
      <c r="I4306">
        <v>215.02799999999999</v>
      </c>
      <c r="J4306">
        <v>-406.4085</v>
      </c>
      <c r="K4306">
        <v>1.1210800000000001</v>
      </c>
      <c r="L4306">
        <v>215.05959999999999</v>
      </c>
      <c r="M4306">
        <v>0.99987380000000003</v>
      </c>
      <c r="N4306">
        <v>-1.3630099999999999E-2</v>
      </c>
      <c r="O4306">
        <v>8.1762380000000006E-3</v>
      </c>
      <c r="P4306">
        <v>0.99810189999999999</v>
      </c>
      <c r="Q4306">
        <v>-5.622924E-2</v>
      </c>
      <c r="R4306">
        <v>2.5121060000000001E-2</v>
      </c>
      <c r="S4306">
        <v>2.9837340000000001</v>
      </c>
      <c r="T4306">
        <v>-0.43373499999999998</v>
      </c>
      <c r="U4306">
        <v>-0.10899349999999999</v>
      </c>
      <c r="V4306">
        <v>-1.694375E-2</v>
      </c>
      <c r="W4306">
        <v>-4.2623319999999999E-2</v>
      </c>
      <c r="X4306">
        <v>0.99894749999999999</v>
      </c>
      <c r="Y4306">
        <v>4.4097909999999997E-2</v>
      </c>
      <c r="Z4306">
        <v>-4.5608430000000002E-3</v>
      </c>
      <c r="AA4306">
        <v>0.99901680000000004</v>
      </c>
      <c r="AB4306">
        <v>28</v>
      </c>
      <c r="AC4306">
        <v>0.51490000000001102</v>
      </c>
      <c r="AD4306">
        <v>-0.114725999999999</v>
      </c>
      <c r="AE4306">
        <v>-3.1599999999997401E-2</v>
      </c>
      <c r="AF4306">
        <v>3.4121656364837098E-2</v>
      </c>
      <c r="AG4306">
        <v>-0.114725999999999</v>
      </c>
      <c r="AH4306">
        <v>0.49037113095054202</v>
      </c>
      <c r="AI4306">
        <v>103.137272452441</v>
      </c>
      <c r="AJ4306">
        <v>86.019584754545306</v>
      </c>
      <c r="AK4306">
        <v>0.50476745990484895</v>
      </c>
      <c r="AL4306">
        <v>92.442876473710101</v>
      </c>
      <c r="AM4306">
        <v>90.971735032391194</v>
      </c>
      <c r="AN4306">
        <v>0.99999997291406695</v>
      </c>
    </row>
    <row r="4307" spans="1:40" x14ac:dyDescent="0.25">
      <c r="A4307" t="str">
        <f>"20190303153854147"</f>
        <v>20190303153854147</v>
      </c>
      <c r="B4307" t="str">
        <f>"1551598734143148"</f>
        <v>1551598734143148</v>
      </c>
      <c r="C4307" t="s">
        <v>40</v>
      </c>
      <c r="D4307">
        <v>4.2400260000000003</v>
      </c>
      <c r="E4307">
        <v>0.52119519999999997</v>
      </c>
      <c r="F4307" t="s">
        <v>44</v>
      </c>
      <c r="G4307">
        <v>-405.64089999999999</v>
      </c>
      <c r="H4307">
        <v>1.0084360000000001</v>
      </c>
      <c r="I4307">
        <v>215.03299999999999</v>
      </c>
      <c r="J4307">
        <v>-406.14</v>
      </c>
      <c r="K4307">
        <v>1.120995</v>
      </c>
      <c r="L4307">
        <v>215.06200000000001</v>
      </c>
      <c r="M4307">
        <v>0.99987839999999995</v>
      </c>
      <c r="N4307">
        <v>-1.316939E-2</v>
      </c>
      <c r="O4307">
        <v>8.3786850000000003E-3</v>
      </c>
      <c r="P4307">
        <v>0.99809990000000004</v>
      </c>
      <c r="Q4307">
        <v>-5.5920119999999997E-2</v>
      </c>
      <c r="R4307">
        <v>2.5881299999999999E-2</v>
      </c>
      <c r="S4307">
        <v>2.9836429999999998</v>
      </c>
      <c r="T4307">
        <v>-0.43792150000000002</v>
      </c>
      <c r="U4307">
        <v>-0.10345459999999999</v>
      </c>
      <c r="V4307">
        <v>-1.750237E-2</v>
      </c>
      <c r="W4307">
        <v>-4.2774390000000002E-2</v>
      </c>
      <c r="X4307">
        <v>0.99893149999999997</v>
      </c>
      <c r="Y4307">
        <v>4.2456340000000002E-2</v>
      </c>
      <c r="Z4307">
        <v>-4.4926250000000001E-3</v>
      </c>
      <c r="AA4307">
        <v>0.99908819999999998</v>
      </c>
      <c r="AB4307">
        <v>28</v>
      </c>
      <c r="AC4307">
        <v>0.49909999999999799</v>
      </c>
      <c r="AD4307">
        <v>-0.11255899999999899</v>
      </c>
      <c r="AE4307">
        <v>-2.90000000000247E-2</v>
      </c>
      <c r="AF4307">
        <v>3.1580340590687601E-2</v>
      </c>
      <c r="AG4307">
        <v>-0.11255899999999899</v>
      </c>
      <c r="AH4307">
        <v>0.47477325977895701</v>
      </c>
      <c r="AI4307">
        <v>103.30904869059999</v>
      </c>
      <c r="AJ4307">
        <v>86.194480877377998</v>
      </c>
      <c r="AK4307">
        <v>0.48895449133223101</v>
      </c>
      <c r="AL4307">
        <v>92.451539831236403</v>
      </c>
      <c r="AM4307">
        <v>91.003781875016699</v>
      </c>
      <c r="AN4307">
        <v>1.00000006154386</v>
      </c>
    </row>
    <row r="4308" spans="1:40" x14ac:dyDescent="0.25">
      <c r="A4308" t="str">
        <f>"20190303153854169"</f>
        <v>20190303153854169</v>
      </c>
      <c r="B4308" t="str">
        <f>"1551598734162667"</f>
        <v>1551598734162667</v>
      </c>
      <c r="C4308" t="s">
        <v>40</v>
      </c>
      <c r="D4308">
        <v>4.2355530000000003</v>
      </c>
      <c r="E4308">
        <v>0.52118969999999998</v>
      </c>
      <c r="F4308" t="s">
        <v>44</v>
      </c>
      <c r="G4308">
        <v>-405.38780000000003</v>
      </c>
      <c r="H4308">
        <v>1.0101719999999901</v>
      </c>
      <c r="I4308">
        <v>215.03639999999999</v>
      </c>
      <c r="J4308">
        <v>-405.85180000000003</v>
      </c>
      <c r="K4308">
        <v>1.1209020000000001</v>
      </c>
      <c r="L4308">
        <v>215.06469999999999</v>
      </c>
      <c r="M4308">
        <v>0.99988339999999998</v>
      </c>
      <c r="N4308">
        <v>-1.2621459999999999E-2</v>
      </c>
      <c r="O4308">
        <v>8.5966080000000004E-3</v>
      </c>
      <c r="P4308">
        <v>0.99807829999999997</v>
      </c>
      <c r="Q4308">
        <v>-5.6202229999999999E-2</v>
      </c>
      <c r="R4308">
        <v>2.6097519999999999E-2</v>
      </c>
      <c r="S4308">
        <v>2.983673</v>
      </c>
      <c r="T4308">
        <v>-0.43972090000000003</v>
      </c>
      <c r="U4308">
        <v>-0.1005096</v>
      </c>
      <c r="V4308">
        <v>-1.7501739999999998E-2</v>
      </c>
      <c r="W4308">
        <v>-4.3603889999999999E-2</v>
      </c>
      <c r="X4308">
        <v>0.99889559999999999</v>
      </c>
      <c r="Y4308">
        <v>4.1692220000000002E-2</v>
      </c>
      <c r="Z4308">
        <v>-4.4714489999999997E-3</v>
      </c>
      <c r="AA4308">
        <v>0.99912049999999997</v>
      </c>
      <c r="AB4308">
        <v>28</v>
      </c>
      <c r="AC4308">
        <v>0.46399999999999803</v>
      </c>
      <c r="AD4308">
        <v>-0.11073</v>
      </c>
      <c r="AE4308">
        <v>-2.8300000000001501E-2</v>
      </c>
      <c r="AF4308">
        <v>3.0554466443333001E-2</v>
      </c>
      <c r="AG4308">
        <v>-0.11073</v>
      </c>
      <c r="AH4308">
        <v>0.438840172560168</v>
      </c>
      <c r="AI4308">
        <v>104.128678927614</v>
      </c>
      <c r="AJ4308">
        <v>86.017180255694697</v>
      </c>
      <c r="AK4308">
        <v>0.45362474069684</v>
      </c>
      <c r="AL4308">
        <v>92.499111183460101</v>
      </c>
      <c r="AM4308">
        <v>91.003781818086694</v>
      </c>
      <c r="AN4308">
        <v>1.0000000149127499</v>
      </c>
    </row>
    <row r="4309" spans="1:40" x14ac:dyDescent="0.25">
      <c r="A4309" t="str">
        <f>"20190303153854191"</f>
        <v>20190303153854191</v>
      </c>
      <c r="B4309" t="str">
        <f>"1551598734183163"</f>
        <v>1551598734183163</v>
      </c>
      <c r="C4309" t="s">
        <v>40</v>
      </c>
      <c r="D4309">
        <v>4.2536750000000003</v>
      </c>
      <c r="E4309">
        <v>0.52116169999999995</v>
      </c>
      <c r="F4309" t="s">
        <v>44</v>
      </c>
      <c r="G4309">
        <v>-405.13310000000001</v>
      </c>
      <c r="H4309">
        <v>1.0138879999999999</v>
      </c>
      <c r="I4309">
        <v>215.04050000000001</v>
      </c>
      <c r="J4309">
        <v>-405.5668</v>
      </c>
      <c r="K4309">
        <v>1.120814</v>
      </c>
      <c r="L4309">
        <v>215.06739999999999</v>
      </c>
      <c r="M4309">
        <v>0.99988880000000002</v>
      </c>
      <c r="N4309">
        <v>-1.2029629999999999E-2</v>
      </c>
      <c r="O4309">
        <v>8.8091460000000003E-3</v>
      </c>
      <c r="P4309">
        <v>0.99808620000000003</v>
      </c>
      <c r="Q4309">
        <v>-5.6317619999999999E-2</v>
      </c>
      <c r="R4309">
        <v>2.554379E-2</v>
      </c>
      <c r="S4309">
        <v>2.9833370000000001</v>
      </c>
      <c r="T4309">
        <v>-0.44428529999999999</v>
      </c>
      <c r="U4309">
        <v>-9.9807740000000006E-2</v>
      </c>
      <c r="V4309">
        <v>-1.6735779999999999E-2</v>
      </c>
      <c r="W4309">
        <v>-4.4310120000000001E-2</v>
      </c>
      <c r="X4309">
        <v>0.99887760000000003</v>
      </c>
      <c r="Y4309">
        <v>4.1661419999999998E-2</v>
      </c>
      <c r="Z4309">
        <v>-4.535397E-3</v>
      </c>
      <c r="AA4309">
        <v>0.9991215</v>
      </c>
      <c r="AB4309">
        <v>28</v>
      </c>
      <c r="AC4309">
        <v>0.43369999999998698</v>
      </c>
      <c r="AD4309">
        <v>-0.10692599999999999</v>
      </c>
      <c r="AE4309">
        <v>-2.6899999999983399E-2</v>
      </c>
      <c r="AF4309">
        <v>2.8965852291968699E-2</v>
      </c>
      <c r="AG4309">
        <v>-0.10692599999999999</v>
      </c>
      <c r="AH4309">
        <v>0.408699107143281</v>
      </c>
      <c r="AI4309">
        <v>104.626295229211</v>
      </c>
      <c r="AJ4309">
        <v>85.946037977548798</v>
      </c>
      <c r="AK4309">
        <v>0.42344675019973299</v>
      </c>
      <c r="AL4309">
        <v>92.539614454673497</v>
      </c>
      <c r="AM4309">
        <v>90.959877216901504</v>
      </c>
      <c r="AN4309">
        <v>0.99999996642418998</v>
      </c>
    </row>
    <row r="4310" spans="1:40" x14ac:dyDescent="0.25">
      <c r="A4310" t="str">
        <f>"20190303153854213"</f>
        <v>20190303153854213</v>
      </c>
      <c r="B4310" t="str">
        <f>"1551598734202683"</f>
        <v>1551598734202683</v>
      </c>
      <c r="C4310" t="s">
        <v>40</v>
      </c>
      <c r="D4310">
        <v>4.2748889999999999</v>
      </c>
      <c r="E4310">
        <v>0.52055470000000004</v>
      </c>
      <c r="F4310" t="s">
        <v>44</v>
      </c>
      <c r="G4310">
        <v>-404.64049999999997</v>
      </c>
      <c r="H4310">
        <v>0.98195969999999999</v>
      </c>
      <c r="I4310">
        <v>215.0359</v>
      </c>
      <c r="J4310">
        <v>-405.28089999999997</v>
      </c>
      <c r="K4310">
        <v>1.1207320000000001</v>
      </c>
      <c r="L4310">
        <v>215.0701</v>
      </c>
      <c r="M4310">
        <v>0.99989430000000001</v>
      </c>
      <c r="N4310">
        <v>-1.141123E-2</v>
      </c>
      <c r="O4310">
        <v>9.0191209999999997E-3</v>
      </c>
      <c r="P4310">
        <v>0.99813050000000003</v>
      </c>
      <c r="Q4310">
        <v>-5.5741400000000003E-2</v>
      </c>
      <c r="R4310">
        <v>2.5068400000000001E-2</v>
      </c>
      <c r="S4310">
        <v>2.983063</v>
      </c>
      <c r="T4310">
        <v>-0.44716240000000002</v>
      </c>
      <c r="U4310">
        <v>-0.10122680000000001</v>
      </c>
      <c r="V4310">
        <v>-1.6049879999999999E-2</v>
      </c>
      <c r="W4310">
        <v>-4.4351000000000002E-2</v>
      </c>
      <c r="X4310">
        <v>0.99888710000000003</v>
      </c>
      <c r="Y4310">
        <v>4.2332679999999998E-2</v>
      </c>
      <c r="Z4310">
        <v>-4.6391339999999996E-3</v>
      </c>
      <c r="AA4310">
        <v>0.9990928</v>
      </c>
      <c r="AB4310">
        <v>28</v>
      </c>
      <c r="AC4310">
        <v>0.64039999999999897</v>
      </c>
      <c r="AD4310">
        <v>-0.13877229999999999</v>
      </c>
      <c r="AE4310">
        <v>-3.4199999999998398E-2</v>
      </c>
      <c r="AF4310">
        <v>3.8186781624121403E-2</v>
      </c>
      <c r="AG4310">
        <v>-0.13877229999999999</v>
      </c>
      <c r="AH4310">
        <v>0.61143576738729999</v>
      </c>
      <c r="AI4310">
        <v>102.763250995601</v>
      </c>
      <c r="AJ4310">
        <v>86.426274908740197</v>
      </c>
      <c r="AK4310">
        <v>0.62814781634468397</v>
      </c>
      <c r="AL4310">
        <v>92.541958864156996</v>
      </c>
      <c r="AM4310">
        <v>90.920535724361898</v>
      </c>
      <c r="AN4310">
        <v>1.0000000241977101</v>
      </c>
    </row>
    <row r="4311" spans="1:40" x14ac:dyDescent="0.25">
      <c r="A4311" t="str">
        <f>"20190303153854235"</f>
        <v>20190303153854235</v>
      </c>
      <c r="B4311" t="str">
        <f>"1551598734223179"</f>
        <v>1551598734223179</v>
      </c>
      <c r="C4311" t="s">
        <v>40</v>
      </c>
      <c r="D4311">
        <v>4.2275679999999998</v>
      </c>
      <c r="E4311">
        <v>0.51168990000000003</v>
      </c>
      <c r="F4311" t="s">
        <v>44</v>
      </c>
      <c r="G4311">
        <v>-404.38189999999997</v>
      </c>
      <c r="H4311">
        <v>0.98838409999999999</v>
      </c>
      <c r="I4311">
        <v>215.04040000000001</v>
      </c>
      <c r="J4311">
        <v>-405.00630000000001</v>
      </c>
      <c r="K4311">
        <v>1.120663</v>
      </c>
      <c r="L4311">
        <v>215.0728</v>
      </c>
      <c r="M4311">
        <v>0.99989899999999998</v>
      </c>
      <c r="N4311">
        <v>-1.082287E-2</v>
      </c>
      <c r="O4311">
        <v>9.2188589999999994E-3</v>
      </c>
      <c r="P4311">
        <v>0.99819950000000002</v>
      </c>
      <c r="Q4311">
        <v>-5.4722069999999998E-2</v>
      </c>
      <c r="R4311">
        <v>2.456531E-2</v>
      </c>
      <c r="S4311">
        <v>2.9835210000000001</v>
      </c>
      <c r="T4311">
        <v>-0.43923869999999998</v>
      </c>
      <c r="U4311">
        <v>-9.7702029999999995E-2</v>
      </c>
      <c r="V4311">
        <v>-1.534666E-2</v>
      </c>
      <c r="W4311">
        <v>-4.391859E-2</v>
      </c>
      <c r="X4311">
        <v>0.99891719999999895</v>
      </c>
      <c r="Y4311">
        <v>4.1378819999999997E-2</v>
      </c>
      <c r="Z4311">
        <v>-4.504442E-3</v>
      </c>
      <c r="AA4311">
        <v>0.9991333</v>
      </c>
      <c r="AB4311">
        <v>29</v>
      </c>
      <c r="AC4311">
        <v>0.62440000000003604</v>
      </c>
      <c r="AD4311">
        <v>-0.13227889999999901</v>
      </c>
      <c r="AE4311">
        <v>-3.2399999999995502E-2</v>
      </c>
      <c r="AF4311">
        <v>3.6520564326442503E-2</v>
      </c>
      <c r="AG4311">
        <v>-0.13227889999999901</v>
      </c>
      <c r="AH4311">
        <v>0.59733805761895997</v>
      </c>
      <c r="AI4311">
        <v>102.463946530973</v>
      </c>
      <c r="AJ4311">
        <v>86.501356623972598</v>
      </c>
      <c r="AK4311">
        <v>0.61289820858273303</v>
      </c>
      <c r="AL4311">
        <v>92.5171595744482</v>
      </c>
      <c r="AM4311">
        <v>90.880182738737304</v>
      </c>
      <c r="AN4311">
        <v>0.99999996748829101</v>
      </c>
    </row>
    <row r="4312" spans="1:40" x14ac:dyDescent="0.25">
      <c r="A4312" t="str">
        <f>"20190303153854260"</f>
        <v>20190303153854260</v>
      </c>
      <c r="B4312" t="str">
        <f>"1551598734252461"</f>
        <v>1551598734252461</v>
      </c>
      <c r="C4312" t="s">
        <v>40</v>
      </c>
      <c r="D4312">
        <v>4.2532230000000002</v>
      </c>
      <c r="E4312">
        <v>0.5100247</v>
      </c>
      <c r="F4312" t="s">
        <v>55</v>
      </c>
      <c r="G4312">
        <v>-367.29079999999999</v>
      </c>
      <c r="H4312" s="1">
        <v>2.3429879999999999E-6</v>
      </c>
      <c r="I4312">
        <v>214.85839999999999</v>
      </c>
      <c r="J4312">
        <v>-404.70249999999999</v>
      </c>
      <c r="K4312">
        <v>1.120603</v>
      </c>
      <c r="L4312">
        <v>215.07579999999999</v>
      </c>
      <c r="M4312">
        <v>0.9999036</v>
      </c>
      <c r="N4312">
        <v>-1.020076E-2</v>
      </c>
      <c r="O4312">
        <v>9.4393970000000004E-3</v>
      </c>
      <c r="P4312">
        <v>0.99822129999999998</v>
      </c>
      <c r="Q4312">
        <v>-5.4439969999999997E-2</v>
      </c>
      <c r="R4312">
        <v>2.4312489999999999E-2</v>
      </c>
      <c r="S4312">
        <v>3.0009459999999999</v>
      </c>
      <c r="T4312">
        <v>-8.9168670000000005E-2</v>
      </c>
      <c r="U4312">
        <v>-1.7059330000000001E-2</v>
      </c>
      <c r="V4312">
        <v>-1.487345E-2</v>
      </c>
      <c r="W4312">
        <v>-4.4257629999999999E-2</v>
      </c>
      <c r="X4312">
        <v>0.99890939999999995</v>
      </c>
      <c r="Y4312">
        <v>1.511328E-2</v>
      </c>
      <c r="Z4312">
        <v>-4.8572710000000001E-4</v>
      </c>
      <c r="AA4312">
        <v>0.99988569999999999</v>
      </c>
      <c r="AB4312">
        <v>29</v>
      </c>
      <c r="AC4312">
        <v>37.411700000000003</v>
      </c>
      <c r="AD4312">
        <v>-1.120600657012</v>
      </c>
      <c r="AE4312">
        <v>-0.21739999999999701</v>
      </c>
      <c r="AF4312">
        <v>0.57004109125182001</v>
      </c>
      <c r="AG4312">
        <v>-1.120600657012</v>
      </c>
      <c r="AH4312">
        <v>37.3744497877016</v>
      </c>
      <c r="AI4312">
        <v>91.717189120056901</v>
      </c>
      <c r="AJ4312">
        <v>89.126183352653001</v>
      </c>
      <c r="AK4312">
        <v>37.395590510267901</v>
      </c>
      <c r="AL4312">
        <v>92.536604028232404</v>
      </c>
      <c r="AM4312">
        <v>90.853053282742394</v>
      </c>
      <c r="AN4312">
        <v>0.99999997336823898</v>
      </c>
    </row>
    <row r="4313" spans="1:40" x14ac:dyDescent="0.25">
      <c r="A4313" t="str">
        <f>"20190303153854281"</f>
        <v>20190303153854281</v>
      </c>
      <c r="B4313" t="str">
        <f>"1551598734272954"</f>
        <v>1551598734272954</v>
      </c>
      <c r="C4313" t="s">
        <v>40</v>
      </c>
      <c r="D4313">
        <v>4.2464769999999996</v>
      </c>
      <c r="E4313">
        <v>0.50989700000000004</v>
      </c>
      <c r="F4313" t="s">
        <v>55</v>
      </c>
      <c r="G4313">
        <v>-344.72890000000001</v>
      </c>
      <c r="H4313" s="1">
        <v>9.7969630000000004E-7</v>
      </c>
      <c r="I4313">
        <v>215.01079999999999</v>
      </c>
      <c r="J4313">
        <v>-404.40969999999999</v>
      </c>
      <c r="K4313">
        <v>1.120555</v>
      </c>
      <c r="L4313">
        <v>215.0788</v>
      </c>
      <c r="M4313">
        <v>0.99990699999999999</v>
      </c>
      <c r="N4313">
        <v>-9.6442430000000003E-3</v>
      </c>
      <c r="O4313">
        <v>9.6521539999999996E-3</v>
      </c>
      <c r="P4313">
        <v>0.99823830000000002</v>
      </c>
      <c r="Q4313">
        <v>-5.4382119999999999E-2</v>
      </c>
      <c r="R4313">
        <v>2.372763E-2</v>
      </c>
      <c r="S4313">
        <v>3.00238</v>
      </c>
      <c r="T4313">
        <v>-5.6099299999999998E-2</v>
      </c>
      <c r="U4313">
        <v>-3.2501219999999998E-3</v>
      </c>
      <c r="V4313">
        <v>-1.407578E-2</v>
      </c>
      <c r="W4313">
        <v>-4.4755389999999999E-2</v>
      </c>
      <c r="X4313">
        <v>0.99889879999999998</v>
      </c>
      <c r="Y4313">
        <v>1.0731829999999999E-2</v>
      </c>
      <c r="Z4313">
        <v>-2.3925659999999999E-4</v>
      </c>
      <c r="AA4313">
        <v>0.99994240000000001</v>
      </c>
      <c r="AB4313">
        <v>29</v>
      </c>
      <c r="AC4313">
        <v>59.680799999999898</v>
      </c>
      <c r="AD4313">
        <v>-1.1205540203037001</v>
      </c>
      <c r="AE4313">
        <v>-6.8000000000011995E-2</v>
      </c>
      <c r="AF4313">
        <v>0.64384486838992905</v>
      </c>
      <c r="AG4313">
        <v>-1.1205540203037001</v>
      </c>
      <c r="AH4313">
        <v>59.656332615485198</v>
      </c>
      <c r="AI4313">
        <v>91.076025405043794</v>
      </c>
      <c r="AJ4313">
        <v>89.381655562631494</v>
      </c>
      <c r="AK4313">
        <v>59.670329299044198</v>
      </c>
      <c r="AL4313">
        <v>92.565151815401904</v>
      </c>
      <c r="AM4313">
        <v>90.807318433111504</v>
      </c>
      <c r="AN4313">
        <v>0.99999999257905003</v>
      </c>
    </row>
    <row r="4314" spans="1:40" x14ac:dyDescent="0.25">
      <c r="A4314" t="str">
        <f>"20190303153854304"</f>
        <v>20190303153854304</v>
      </c>
      <c r="B4314" t="str">
        <f>"1551598734292478"</f>
        <v>1551598734292478</v>
      </c>
      <c r="C4314" t="s">
        <v>40</v>
      </c>
      <c r="D4314">
        <v>4.250858</v>
      </c>
      <c r="E4314">
        <v>0.50994729999999999</v>
      </c>
      <c r="F4314" t="s">
        <v>55</v>
      </c>
      <c r="G4314">
        <v>-339.00850000000003</v>
      </c>
      <c r="H4314" s="1">
        <v>3.2409429999999999E-6</v>
      </c>
      <c r="I4314">
        <v>214.9864</v>
      </c>
      <c r="J4314">
        <v>-404.12240000000003</v>
      </c>
      <c r="K4314">
        <v>1.12052</v>
      </c>
      <c r="L4314">
        <v>215.08170000000001</v>
      </c>
      <c r="M4314">
        <v>0.99990959999999995</v>
      </c>
      <c r="N4314">
        <v>-9.14739E-3</v>
      </c>
      <c r="O4314">
        <v>9.8597719999999993E-3</v>
      </c>
      <c r="P4314">
        <v>0.99823320000000004</v>
      </c>
      <c r="Q4314">
        <v>-5.4626399999999999E-2</v>
      </c>
      <c r="R4314">
        <v>2.33831E-2</v>
      </c>
      <c r="S4314">
        <v>3.0026250000000001</v>
      </c>
      <c r="T4314">
        <v>-5.1445480000000002E-2</v>
      </c>
      <c r="U4314">
        <v>-4.2419429999999998E-3</v>
      </c>
      <c r="V4314">
        <v>-1.3523749999999999E-2</v>
      </c>
      <c r="W4314">
        <v>-4.5495889999999997E-2</v>
      </c>
      <c r="X4314">
        <v>0.99887300000000001</v>
      </c>
      <c r="Y4314">
        <v>1.1270000000000001E-2</v>
      </c>
      <c r="Z4314">
        <v>-2.2682E-4</v>
      </c>
      <c r="AA4314">
        <v>0.99993650000000001</v>
      </c>
      <c r="AB4314">
        <v>29</v>
      </c>
      <c r="AC4314">
        <v>65.113900000000001</v>
      </c>
      <c r="AD4314">
        <v>-1.120516759057</v>
      </c>
      <c r="AE4314">
        <v>-9.5300000000008794E-2</v>
      </c>
      <c r="AF4314">
        <v>0.73711212137662896</v>
      </c>
      <c r="AG4314">
        <v>-1.120516759057</v>
      </c>
      <c r="AH4314">
        <v>65.090519435674395</v>
      </c>
      <c r="AI4314">
        <v>90.986171656122494</v>
      </c>
      <c r="AJ4314">
        <v>89.351186490499003</v>
      </c>
      <c r="AK4314">
        <v>65.104336357056198</v>
      </c>
      <c r="AL4314">
        <v>92.607622536713706</v>
      </c>
      <c r="AM4314">
        <v>90.775680650695804</v>
      </c>
      <c r="AN4314">
        <v>1.00000001897497</v>
      </c>
    </row>
    <row r="4315" spans="1:40" x14ac:dyDescent="0.25">
      <c r="A4315" t="str">
        <f>"20190303153854325"</f>
        <v>20190303153854325</v>
      </c>
      <c r="B4315" t="str">
        <f>"1551598734322731"</f>
        <v>1551598734322731</v>
      </c>
      <c r="C4315" t="s">
        <v>40</v>
      </c>
      <c r="D4315">
        <v>4.2270310000000002</v>
      </c>
      <c r="E4315">
        <v>0.5101329</v>
      </c>
      <c r="F4315" t="s">
        <v>55</v>
      </c>
      <c r="G4315">
        <v>-337.19159999999999</v>
      </c>
      <c r="H4315" s="1">
        <v>2.27533E-6</v>
      </c>
      <c r="I4315">
        <v>214.95660000000001</v>
      </c>
      <c r="J4315">
        <v>-403.8408</v>
      </c>
      <c r="K4315">
        <v>1.1204829999999999</v>
      </c>
      <c r="L4315">
        <v>215.0847</v>
      </c>
      <c r="M4315">
        <v>0.99991149999999995</v>
      </c>
      <c r="N4315">
        <v>-8.7115449999999994E-3</v>
      </c>
      <c r="O4315">
        <v>1.0059419999999999E-2</v>
      </c>
      <c r="P4315">
        <v>0.99822909999999998</v>
      </c>
      <c r="Q4315">
        <v>-5.4681029999999999E-2</v>
      </c>
      <c r="R4315">
        <v>2.3425640000000001E-2</v>
      </c>
      <c r="S4315">
        <v>3.0027159999999999</v>
      </c>
      <c r="T4315">
        <v>-5.0269719999999997E-2</v>
      </c>
      <c r="U4315">
        <v>-5.6152340000000002E-3</v>
      </c>
      <c r="V4315">
        <v>-1.336675E-2</v>
      </c>
      <c r="W4315">
        <v>-4.5985829999999998E-2</v>
      </c>
      <c r="X4315">
        <v>0.99885270000000004</v>
      </c>
      <c r="Y4315">
        <v>1.1926880000000001E-2</v>
      </c>
      <c r="Z4315">
        <v>-2.3254929999999999E-4</v>
      </c>
      <c r="AA4315">
        <v>0.99992879999999995</v>
      </c>
      <c r="AB4315">
        <v>29</v>
      </c>
      <c r="AC4315">
        <v>66.649199999999993</v>
      </c>
      <c r="AD4315">
        <v>-1.1204807246699999</v>
      </c>
      <c r="AE4315">
        <v>-0.128099999999989</v>
      </c>
      <c r="AF4315">
        <v>0.79834558921901599</v>
      </c>
      <c r="AG4315">
        <v>-1.1204807246699999</v>
      </c>
      <c r="AH4315">
        <v>66.625708435742197</v>
      </c>
      <c r="AI4315">
        <v>90.9634142669439</v>
      </c>
      <c r="AJ4315">
        <v>89.313483565246003</v>
      </c>
      <c r="AK4315">
        <v>66.639911894439905</v>
      </c>
      <c r="AL4315">
        <v>92.635723383565093</v>
      </c>
      <c r="AM4315">
        <v>90.766692274950898</v>
      </c>
      <c r="AN4315">
        <v>1.00000004143182</v>
      </c>
    </row>
    <row r="4316" spans="1:40" x14ac:dyDescent="0.25">
      <c r="A4316" t="str">
        <f>"20190303153854347"</f>
        <v>20190303153854347</v>
      </c>
      <c r="B4316" t="str">
        <f>"1551598734343228"</f>
        <v>1551598734343228</v>
      </c>
      <c r="C4316" t="s">
        <v>40</v>
      </c>
      <c r="D4316">
        <v>4.278435</v>
      </c>
      <c r="E4316">
        <v>0.50937829999999995</v>
      </c>
      <c r="F4316" t="s">
        <v>55</v>
      </c>
      <c r="G4316">
        <v>-335.7681</v>
      </c>
      <c r="H4316" s="1">
        <v>1.5189890000000001E-6</v>
      </c>
      <c r="I4316">
        <v>214.93010000000001</v>
      </c>
      <c r="J4316">
        <v>-403.55650000000003</v>
      </c>
      <c r="K4316">
        <v>1.1204620000000001</v>
      </c>
      <c r="L4316">
        <v>215.08779999999999</v>
      </c>
      <c r="M4316">
        <v>0.99991300000000005</v>
      </c>
      <c r="N4316">
        <v>-8.3222869999999994E-3</v>
      </c>
      <c r="O4316">
        <v>1.0252209999999999E-2</v>
      </c>
      <c r="P4316">
        <v>0.99822169999999999</v>
      </c>
      <c r="Q4316">
        <v>-5.456043E-2</v>
      </c>
      <c r="R4316">
        <v>2.4014669999999998E-2</v>
      </c>
      <c r="S4316">
        <v>3.0028380000000001</v>
      </c>
      <c r="T4316">
        <v>-4.9426909999999998E-2</v>
      </c>
      <c r="U4316">
        <v>-6.8206789999999996E-3</v>
      </c>
      <c r="V4316">
        <v>-1.3763330000000001E-2</v>
      </c>
      <c r="W4316">
        <v>-4.625406E-2</v>
      </c>
      <c r="X4316">
        <v>0.99883489999999997</v>
      </c>
      <c r="Y4316">
        <v>1.252093E-2</v>
      </c>
      <c r="Z4316">
        <v>-2.3856570000000001E-4</v>
      </c>
      <c r="AA4316">
        <v>0.99992159999999997</v>
      </c>
      <c r="AB4316">
        <v>29</v>
      </c>
      <c r="AC4316">
        <v>67.788399999999996</v>
      </c>
      <c r="AD4316">
        <v>-1.1204604810109999</v>
      </c>
      <c r="AE4316">
        <v>-0.157699999999977</v>
      </c>
      <c r="AF4316">
        <v>0.85246366912413496</v>
      </c>
      <c r="AG4316">
        <v>-1.1204604810109999</v>
      </c>
      <c r="AH4316">
        <v>67.764706999582103</v>
      </c>
      <c r="AI4316">
        <v>90.947199987101499</v>
      </c>
      <c r="AJ4316">
        <v>89.279270930471597</v>
      </c>
      <c r="AK4316">
        <v>67.779330483089794</v>
      </c>
      <c r="AL4316">
        <v>92.6511082778066</v>
      </c>
      <c r="AM4316">
        <v>90.789450605981202</v>
      </c>
      <c r="AN4316">
        <v>1.0000000123885899</v>
      </c>
    </row>
    <row r="4317" spans="1:40" x14ac:dyDescent="0.25">
      <c r="A4317" t="str">
        <f>"20190303153854370"</f>
        <v>20190303153854370</v>
      </c>
      <c r="B4317" t="str">
        <f>"1551598734362748"</f>
        <v>1551598734362748</v>
      </c>
      <c r="C4317" t="s">
        <v>40</v>
      </c>
      <c r="D4317">
        <v>4.2554569999999998</v>
      </c>
      <c r="E4317">
        <v>0.50871429999999995</v>
      </c>
      <c r="F4317" t="s">
        <v>55</v>
      </c>
      <c r="G4317">
        <v>-340.47640000000001</v>
      </c>
      <c r="H4317" s="1">
        <v>-1.2832460000000001E-6</v>
      </c>
      <c r="I4317">
        <v>215.10120000000001</v>
      </c>
      <c r="J4317">
        <v>-403.25220000000002</v>
      </c>
      <c r="K4317">
        <v>1.120436</v>
      </c>
      <c r="L4317">
        <v>215.09110000000001</v>
      </c>
      <c r="M4317">
        <v>0.99991390000000002</v>
      </c>
      <c r="N4317">
        <v>-7.9602249999999996E-3</v>
      </c>
      <c r="O4317">
        <v>1.0443040000000001E-2</v>
      </c>
      <c r="P4317">
        <v>0.99821740000000003</v>
      </c>
      <c r="Q4317">
        <v>-5.4227490000000003E-2</v>
      </c>
      <c r="R4317">
        <v>2.493457E-2</v>
      </c>
      <c r="S4317">
        <v>3.0024109999999999</v>
      </c>
      <c r="T4317">
        <v>-5.3330540000000003E-2</v>
      </c>
      <c r="U4317">
        <v>6.408691E-4</v>
      </c>
      <c r="V4317">
        <v>-1.449392E-2</v>
      </c>
      <c r="W4317">
        <v>-4.6282690000000001E-2</v>
      </c>
      <c r="X4317">
        <v>0.99882320000000002</v>
      </c>
      <c r="Y4317">
        <v>1.0227099999999999E-2</v>
      </c>
      <c r="Z4317">
        <v>-2.3388320000000001E-4</v>
      </c>
      <c r="AA4317">
        <v>0.99994769999999999</v>
      </c>
      <c r="AB4317">
        <v>29</v>
      </c>
      <c r="AC4317">
        <v>62.775799999999997</v>
      </c>
      <c r="AD4317">
        <v>-1.1204372832459999</v>
      </c>
      <c r="AE4317">
        <v>1.00999999999942E-2</v>
      </c>
      <c r="AF4317">
        <v>0.64528587512178404</v>
      </c>
      <c r="AG4317">
        <v>-1.1204372832459999</v>
      </c>
      <c r="AH4317">
        <v>62.752491692426503</v>
      </c>
      <c r="AI4317">
        <v>91.0228456676506</v>
      </c>
      <c r="AJ4317">
        <v>89.410846435655799</v>
      </c>
      <c r="AK4317">
        <v>62.765810654960603</v>
      </c>
      <c r="AL4317">
        <v>92.652750519212105</v>
      </c>
      <c r="AM4317">
        <v>90.831360508666194</v>
      </c>
      <c r="AN4317">
        <v>0.99999997298442</v>
      </c>
    </row>
    <row r="4318" spans="1:40" x14ac:dyDescent="0.25">
      <c r="A4318" t="str">
        <f>"20190303153854393"</f>
        <v>20190303153854393</v>
      </c>
      <c r="B4318" t="str">
        <f>"1551598734383247"</f>
        <v>1551598734383247</v>
      </c>
      <c r="C4318" t="s">
        <v>40</v>
      </c>
      <c r="D4318">
        <v>4.2548649999999997</v>
      </c>
      <c r="E4318">
        <v>0.50824929999999902</v>
      </c>
      <c r="F4318" t="s">
        <v>55</v>
      </c>
      <c r="G4318">
        <v>-342.93099999999998</v>
      </c>
      <c r="H4318" s="1">
        <v>2.2925870000000001E-8</v>
      </c>
      <c r="I4318">
        <v>215.2637</v>
      </c>
      <c r="J4318">
        <v>-402.9556</v>
      </c>
      <c r="K4318">
        <v>1.120412</v>
      </c>
      <c r="L4318">
        <v>215.09440000000001</v>
      </c>
      <c r="M4318">
        <v>0.99991450000000004</v>
      </c>
      <c r="N4318">
        <v>-7.6595550000000002E-3</v>
      </c>
      <c r="O4318">
        <v>1.060642E-2</v>
      </c>
      <c r="P4318">
        <v>0.99820969999999998</v>
      </c>
      <c r="Q4318">
        <v>-5.392127E-2</v>
      </c>
      <c r="R4318">
        <v>2.5883440000000001E-2</v>
      </c>
      <c r="S4318">
        <v>3.0021360000000001</v>
      </c>
      <c r="T4318">
        <v>-5.5763130000000001E-2</v>
      </c>
      <c r="U4318">
        <v>8.5906980000000008E-3</v>
      </c>
      <c r="V4318">
        <v>-1.5280729999999999E-2</v>
      </c>
      <c r="W4318">
        <v>-4.6276530000000003E-2</v>
      </c>
      <c r="X4318">
        <v>0.99881180000000003</v>
      </c>
      <c r="Y4318">
        <v>7.7428189999999997E-3</v>
      </c>
      <c r="Z4318">
        <v>-2.1730959999999999E-4</v>
      </c>
      <c r="AA4318">
        <v>0.99997000000000003</v>
      </c>
      <c r="AB4318">
        <v>29</v>
      </c>
      <c r="AC4318">
        <v>60.0246</v>
      </c>
      <c r="AD4318">
        <v>-1.1204119770741201</v>
      </c>
      <c r="AE4318">
        <v>0.16929999999999201</v>
      </c>
      <c r="AF4318">
        <v>0.46721148094391701</v>
      </c>
      <c r="AG4318">
        <v>-1.1204119770741201</v>
      </c>
      <c r="AH4318">
        <v>60.002113684319298</v>
      </c>
      <c r="AI4318">
        <v>91.069720195097204</v>
      </c>
      <c r="AJ4318">
        <v>89.5538706328865</v>
      </c>
      <c r="AK4318">
        <v>60.014392075170399</v>
      </c>
      <c r="AL4318">
        <v>92.652397087426806</v>
      </c>
      <c r="AM4318">
        <v>90.8764944900432</v>
      </c>
      <c r="AN4318">
        <v>1.0000000148787</v>
      </c>
    </row>
    <row r="4319" spans="1:40" x14ac:dyDescent="0.25">
      <c r="A4319" t="str">
        <f>"20190303153854414"</f>
        <v>20190303153854414</v>
      </c>
      <c r="B4319" t="str">
        <f>"1551598734402767"</f>
        <v>1551598734402767</v>
      </c>
      <c r="C4319" t="s">
        <v>40</v>
      </c>
      <c r="D4319">
        <v>4.2404729999999997</v>
      </c>
      <c r="E4319">
        <v>0.50788159999999904</v>
      </c>
      <c r="F4319" t="s">
        <v>55</v>
      </c>
      <c r="G4319">
        <v>-343.4683</v>
      </c>
      <c r="H4319" s="1">
        <v>3.0885620000000001E-7</v>
      </c>
      <c r="I4319">
        <v>215.3974</v>
      </c>
      <c r="J4319">
        <v>-402.67059999999998</v>
      </c>
      <c r="K4319">
        <v>1.1203879999999999</v>
      </c>
      <c r="L4319">
        <v>215.0975</v>
      </c>
      <c r="M4319">
        <v>0.99991479999999999</v>
      </c>
      <c r="N4319">
        <v>-7.4114940000000002E-3</v>
      </c>
      <c r="O4319">
        <v>1.0745009999999999E-2</v>
      </c>
      <c r="P4319">
        <v>0.99815900000000002</v>
      </c>
      <c r="Q4319">
        <v>-5.4065099999999998E-2</v>
      </c>
      <c r="R4319">
        <v>2.749716E-2</v>
      </c>
      <c r="S4319">
        <v>3.0019230000000001</v>
      </c>
      <c r="T4319">
        <v>-5.6539649999999997E-2</v>
      </c>
      <c r="U4319">
        <v>1.528931E-2</v>
      </c>
      <c r="V4319">
        <v>-1.6758749999999999E-2</v>
      </c>
      <c r="W4319">
        <v>-4.6668179999999997E-2</v>
      </c>
      <c r="X4319">
        <v>0.99876989999999999</v>
      </c>
      <c r="Y4319">
        <v>5.6502590000000004E-3</v>
      </c>
      <c r="Z4319">
        <v>-1.9686479999999999E-4</v>
      </c>
      <c r="AA4319">
        <v>0.99998399999999998</v>
      </c>
      <c r="AB4319">
        <v>29</v>
      </c>
      <c r="AC4319">
        <v>59.202299999999902</v>
      </c>
      <c r="AD4319">
        <v>-1.1203876911438</v>
      </c>
      <c r="AE4319">
        <v>0.29990000000000799</v>
      </c>
      <c r="AF4319">
        <v>0.33614370861686899</v>
      </c>
      <c r="AG4319">
        <v>-1.1203876911438</v>
      </c>
      <c r="AH4319">
        <v>59.180909790051899</v>
      </c>
      <c r="AI4319">
        <v>91.084552160863893</v>
      </c>
      <c r="AJ4319">
        <v>89.6745672080704</v>
      </c>
      <c r="AK4319">
        <v>59.192468648887903</v>
      </c>
      <c r="AL4319">
        <v>92.674861172312603</v>
      </c>
      <c r="AM4319">
        <v>90.961298038211197</v>
      </c>
      <c r="AN4319">
        <v>1.0000000439360399</v>
      </c>
    </row>
    <row r="4320" spans="1:40" x14ac:dyDescent="0.25">
      <c r="A4320" t="str">
        <f>"20190303153854437"</f>
        <v>20190303153854437</v>
      </c>
      <c r="B4320" t="str">
        <f>"1551598734433020"</f>
        <v>1551598734433020</v>
      </c>
      <c r="C4320" t="s">
        <v>40</v>
      </c>
      <c r="D4320">
        <v>4.2206080000000004</v>
      </c>
      <c r="E4320">
        <v>0.50737010000000005</v>
      </c>
      <c r="F4320" t="s">
        <v>55</v>
      </c>
      <c r="G4320">
        <v>-344.96530000000001</v>
      </c>
      <c r="H4320" s="1">
        <v>1.105505E-6</v>
      </c>
      <c r="I4320">
        <v>215.54429999999999</v>
      </c>
      <c r="J4320">
        <v>-402.36750000000001</v>
      </c>
      <c r="K4320">
        <v>1.1203650000000001</v>
      </c>
      <c r="L4320">
        <v>215.1009</v>
      </c>
      <c r="M4320">
        <v>0.9999152</v>
      </c>
      <c r="N4320">
        <v>-7.1902900000000002E-3</v>
      </c>
      <c r="O4320">
        <v>1.0866229999999999E-2</v>
      </c>
      <c r="P4320">
        <v>0.99812940000000006</v>
      </c>
      <c r="Q4320">
        <v>-5.3915940000000002E-2</v>
      </c>
      <c r="R4320">
        <v>2.882492E-2</v>
      </c>
      <c r="S4320">
        <v>3.0017399999999999</v>
      </c>
      <c r="T4320">
        <v>-5.8280829999999999E-2</v>
      </c>
      <c r="U4320">
        <v>2.3239139999999998E-2</v>
      </c>
      <c r="V4320">
        <v>-1.7967400000000001E-2</v>
      </c>
      <c r="W4320">
        <v>-4.6739570000000001E-2</v>
      </c>
      <c r="X4320">
        <v>0.99874549999999995</v>
      </c>
      <c r="Y4320">
        <v>3.1233620000000002E-3</v>
      </c>
      <c r="Z4320">
        <v>-1.743669E-4</v>
      </c>
      <c r="AA4320">
        <v>0.99999510000000003</v>
      </c>
      <c r="AB4320">
        <v>30</v>
      </c>
      <c r="AC4320">
        <v>57.402199999999901</v>
      </c>
      <c r="AD4320">
        <v>-1.1203638944949901</v>
      </c>
      <c r="AE4320">
        <v>0.44339999999999602</v>
      </c>
      <c r="AF4320">
        <v>0.18031906731306499</v>
      </c>
      <c r="AG4320">
        <v>-1.1203638944949901</v>
      </c>
      <c r="AH4320">
        <v>57.381771117735298</v>
      </c>
      <c r="AI4320">
        <v>91.118537289071895</v>
      </c>
      <c r="AJ4320">
        <v>89.819951749241298</v>
      </c>
      <c r="AK4320">
        <v>57.392990746521299</v>
      </c>
      <c r="AL4320">
        <v>92.678956119201601</v>
      </c>
      <c r="AM4320">
        <v>91.030638088487805</v>
      </c>
      <c r="AN4320">
        <v>0.99999999431839703</v>
      </c>
    </row>
    <row r="4321" spans="1:40" x14ac:dyDescent="0.25">
      <c r="A4321" t="str">
        <f>"20190303153854461"</f>
        <v>20190303153854461</v>
      </c>
      <c r="B4321" t="str">
        <f>"1551598734452539"</f>
        <v>1551598734452539</v>
      </c>
      <c r="C4321" t="s">
        <v>40</v>
      </c>
      <c r="D4321">
        <v>4.2559069999999997</v>
      </c>
      <c r="E4321">
        <v>0.50711279999999903</v>
      </c>
      <c r="F4321" t="s">
        <v>55</v>
      </c>
      <c r="G4321">
        <v>-346.65219999999999</v>
      </c>
      <c r="H4321" s="1">
        <v>2.0031649999999998E-6</v>
      </c>
      <c r="I4321">
        <v>215.6816</v>
      </c>
      <c r="J4321">
        <v>-402.05950000000001</v>
      </c>
      <c r="K4321">
        <v>1.1203379999999901</v>
      </c>
      <c r="L4321">
        <v>215.1044</v>
      </c>
      <c r="M4321">
        <v>0.99991540000000001</v>
      </c>
      <c r="N4321">
        <v>-7.0045530000000002E-3</v>
      </c>
      <c r="O4321">
        <v>1.095688E-2</v>
      </c>
      <c r="P4321">
        <v>0.99810920000000003</v>
      </c>
      <c r="Q4321">
        <v>-5.3989000000000002E-2</v>
      </c>
      <c r="R4321">
        <v>2.9378390000000001E-2</v>
      </c>
      <c r="S4321">
        <v>3.001465</v>
      </c>
      <c r="T4321">
        <v>-6.0355539999999999E-2</v>
      </c>
      <c r="U4321">
        <v>3.1280519999999999E-2</v>
      </c>
      <c r="V4321">
        <v>-1.8433419999999999E-2</v>
      </c>
      <c r="W4321">
        <v>-4.6997369999999997E-2</v>
      </c>
      <c r="X4321">
        <v>0.99872490000000003</v>
      </c>
      <c r="Y4321">
        <v>5.3490540000000004E-4</v>
      </c>
      <c r="Z4321">
        <v>-1.5080089999999999E-4</v>
      </c>
      <c r="AA4321">
        <v>0.99999979999999999</v>
      </c>
      <c r="AB4321">
        <v>30</v>
      </c>
      <c r="AC4321">
        <v>55.407299999999999</v>
      </c>
      <c r="AD4321">
        <v>-1.12033599683499</v>
      </c>
      <c r="AE4321">
        <v>0.57720000000000404</v>
      </c>
      <c r="AF4321">
        <v>2.9928469103006099E-2</v>
      </c>
      <c r="AG4321">
        <v>-1.12033599683499</v>
      </c>
      <c r="AH4321">
        <v>55.387655577954398</v>
      </c>
      <c r="AI4321">
        <v>91.158773775308205</v>
      </c>
      <c r="AJ4321">
        <v>89.969040487774606</v>
      </c>
      <c r="AK4321">
        <v>55.398993121546603</v>
      </c>
      <c r="AL4321">
        <v>92.693743246889198</v>
      </c>
      <c r="AM4321">
        <v>91.057385534920698</v>
      </c>
      <c r="AN4321">
        <v>0.99999998481991104</v>
      </c>
    </row>
    <row r="4322" spans="1:40" x14ac:dyDescent="0.25">
      <c r="A4322" t="str">
        <f>"20190303153854483"</f>
        <v>20190303153854483</v>
      </c>
      <c r="B4322" t="str">
        <f>"1551598734473035"</f>
        <v>1551598734473035</v>
      </c>
      <c r="C4322" t="s">
        <v>40</v>
      </c>
      <c r="D4322">
        <v>4.211938</v>
      </c>
      <c r="E4322">
        <v>0.50710080000000002</v>
      </c>
      <c r="F4322" t="s">
        <v>55</v>
      </c>
      <c r="G4322">
        <v>-347.41050000000001</v>
      </c>
      <c r="H4322" s="1">
        <v>2.4066899999999999E-6</v>
      </c>
      <c r="I4322">
        <v>215.74119999999999</v>
      </c>
      <c r="J4322">
        <v>-401.75639999999999</v>
      </c>
      <c r="K4322">
        <v>1.1203110000000001</v>
      </c>
      <c r="L4322">
        <v>215.1078</v>
      </c>
      <c r="M4322">
        <v>0.99991589999999997</v>
      </c>
      <c r="N4322">
        <v>-6.8544089999999997E-3</v>
      </c>
      <c r="O4322">
        <v>1.101509E-2</v>
      </c>
      <c r="P4322">
        <v>0.99809999999999999</v>
      </c>
      <c r="Q4322">
        <v>-5.4020390000000001E-2</v>
      </c>
      <c r="R4322">
        <v>2.9640590000000001E-2</v>
      </c>
      <c r="S4322">
        <v>3.001312</v>
      </c>
      <c r="T4322">
        <v>-6.1528560000000003E-2</v>
      </c>
      <c r="U4322">
        <v>3.497314E-2</v>
      </c>
      <c r="V4322">
        <v>-1.8639940000000001E-2</v>
      </c>
      <c r="W4322">
        <v>-4.7177780000000002E-2</v>
      </c>
      <c r="X4322">
        <v>0.99871259999999995</v>
      </c>
      <c r="Y4322">
        <v>-6.3736979999999999E-4</v>
      </c>
      <c r="Z4322">
        <v>-1.4156250000000001E-4</v>
      </c>
      <c r="AA4322">
        <v>0.99999979999999999</v>
      </c>
      <c r="AB4322">
        <v>30</v>
      </c>
      <c r="AC4322">
        <v>54.345899999999901</v>
      </c>
      <c r="AD4322">
        <v>-1.1203085933100001</v>
      </c>
      <c r="AE4322">
        <v>0.63339999999999397</v>
      </c>
      <c r="AF4322">
        <v>-3.4707817783310599E-2</v>
      </c>
      <c r="AG4322">
        <v>-1.1203085933100001</v>
      </c>
      <c r="AH4322">
        <v>54.3264967947812</v>
      </c>
      <c r="AI4322">
        <v>91.181372777899497</v>
      </c>
      <c r="AJ4322">
        <v>90.036604812050498</v>
      </c>
      <c r="AK4322">
        <v>54.338058025386097</v>
      </c>
      <c r="AL4322">
        <v>92.704091351637601</v>
      </c>
      <c r="AM4322">
        <v>91.069242451837795</v>
      </c>
      <c r="AN4322">
        <v>1.00000002384384</v>
      </c>
    </row>
    <row r="4323" spans="1:40" x14ac:dyDescent="0.25">
      <c r="A4323" t="str">
        <f>"20190303153854505"</f>
        <v>20190303153854505</v>
      </c>
      <c r="B4323" t="str">
        <f>"1551598734492555"</f>
        <v>1551598734492555</v>
      </c>
      <c r="C4323" t="s">
        <v>40</v>
      </c>
      <c r="D4323">
        <v>4.2563089999999999</v>
      </c>
      <c r="E4323">
        <v>0.50704689999999997</v>
      </c>
      <c r="F4323" t="s">
        <v>55</v>
      </c>
      <c r="G4323">
        <v>-347.59739999999999</v>
      </c>
      <c r="H4323" s="1">
        <v>2.5061719999999999E-6</v>
      </c>
      <c r="I4323">
        <v>215.7535</v>
      </c>
      <c r="J4323">
        <v>-401.46530000000001</v>
      </c>
      <c r="K4323">
        <v>1.1202890000000001</v>
      </c>
      <c r="L4323">
        <v>215.11099999999999</v>
      </c>
      <c r="M4323">
        <v>0.99991629999999998</v>
      </c>
      <c r="N4323">
        <v>-6.7343819999999997E-3</v>
      </c>
      <c r="O4323">
        <v>1.1048840000000001E-2</v>
      </c>
      <c r="P4323">
        <v>0.99812409999999996</v>
      </c>
      <c r="Q4323">
        <v>-5.3589240000000003E-2</v>
      </c>
      <c r="R4323">
        <v>2.9600410000000001E-2</v>
      </c>
      <c r="S4323">
        <v>3.0012509999999999</v>
      </c>
      <c r="T4323">
        <v>-6.2082529999999997E-2</v>
      </c>
      <c r="U4323">
        <v>3.5781859999999999E-2</v>
      </c>
      <c r="V4323">
        <v>-1.856735E-2</v>
      </c>
      <c r="W4323">
        <v>-4.6865520000000001E-2</v>
      </c>
      <c r="X4323">
        <v>0.99872859999999997</v>
      </c>
      <c r="Y4323">
        <v>-8.732592E-4</v>
      </c>
      <c r="Z4323">
        <v>-1.4213760000000001E-4</v>
      </c>
      <c r="AA4323">
        <v>0.99999959999999999</v>
      </c>
      <c r="AB4323">
        <v>30</v>
      </c>
      <c r="AC4323">
        <v>53.867899999999999</v>
      </c>
      <c r="AD4323">
        <v>-1.1202864938279999</v>
      </c>
      <c r="AE4323">
        <v>0.64250000000001195</v>
      </c>
      <c r="AF4323">
        <v>-4.7249052688152E-2</v>
      </c>
      <c r="AG4323">
        <v>-1.1202864938279999</v>
      </c>
      <c r="AH4323">
        <v>53.848424005000403</v>
      </c>
      <c r="AI4323">
        <v>91.191834415906996</v>
      </c>
      <c r="AJ4323">
        <v>90.050273906066593</v>
      </c>
      <c r="AK4323">
        <v>53.8600969375617</v>
      </c>
      <c r="AL4323">
        <v>92.686180504866897</v>
      </c>
      <c r="AM4323">
        <v>91.065062375361094</v>
      </c>
      <c r="AN4323">
        <v>0.99999996995442597</v>
      </c>
    </row>
    <row r="4324" spans="1:40" x14ac:dyDescent="0.25">
      <c r="A4324" t="str">
        <f>"20190303153854537"</f>
        <v>20190303153854537</v>
      </c>
      <c r="B4324" t="str">
        <f>"1551598734532572"</f>
        <v>1551598734532572</v>
      </c>
      <c r="C4324" t="s">
        <v>40</v>
      </c>
      <c r="D4324">
        <v>4.1732849999999999</v>
      </c>
      <c r="E4324">
        <v>0.50703589999999998</v>
      </c>
      <c r="F4324" t="s">
        <v>55</v>
      </c>
      <c r="G4324">
        <v>-346.5514</v>
      </c>
      <c r="H4324" s="1">
        <v>1.9495460000000001E-6</v>
      </c>
      <c r="I4324">
        <v>215.7724</v>
      </c>
      <c r="J4324">
        <v>-401.02850000000001</v>
      </c>
      <c r="K4324">
        <v>1.1202650000000001</v>
      </c>
      <c r="L4324">
        <v>215.11580000000001</v>
      </c>
      <c r="M4324">
        <v>0.99991699999999994</v>
      </c>
      <c r="N4324">
        <v>-6.5838320000000004E-3</v>
      </c>
      <c r="O4324">
        <v>1.1072510000000001E-2</v>
      </c>
      <c r="P4324">
        <v>0.99813220000000002</v>
      </c>
      <c r="Q4324">
        <v>-5.3662399999999999E-2</v>
      </c>
      <c r="R4324">
        <v>2.919799E-2</v>
      </c>
      <c r="S4324">
        <v>3.0012819999999998</v>
      </c>
      <c r="T4324">
        <v>-6.122851E-2</v>
      </c>
      <c r="U4324">
        <v>3.6148069999999997E-2</v>
      </c>
      <c r="V4324">
        <v>-1.814379E-2</v>
      </c>
      <c r="W4324">
        <v>-4.7088199999999997E-2</v>
      </c>
      <c r="X4324">
        <v>0.998726</v>
      </c>
      <c r="Y4324">
        <v>-9.7144460000000001E-4</v>
      </c>
      <c r="Z4324">
        <v>-1.398479E-4</v>
      </c>
      <c r="AA4324">
        <v>0.99999950000000004</v>
      </c>
      <c r="AB4324">
        <v>30</v>
      </c>
      <c r="AC4324">
        <v>54.4771</v>
      </c>
      <c r="AD4324">
        <v>-1.1202630504539901</v>
      </c>
      <c r="AE4324">
        <v>0.65659999999999696</v>
      </c>
      <c r="AF4324">
        <v>-5.3325878247793002E-2</v>
      </c>
      <c r="AG4324">
        <v>-1.1202630504539901</v>
      </c>
      <c r="AH4324">
        <v>54.458005074544097</v>
      </c>
      <c r="AI4324">
        <v>91.178472517289507</v>
      </c>
      <c r="AJ4324">
        <v>90.056104640294805</v>
      </c>
      <c r="AK4324">
        <v>54.469552500920898</v>
      </c>
      <c r="AL4324">
        <v>92.698952989283001</v>
      </c>
      <c r="AM4324">
        <v>91.040774195453196</v>
      </c>
      <c r="AN4324">
        <v>1.0000000593853999</v>
      </c>
    </row>
    <row r="4325" spans="1:40" x14ac:dyDescent="0.25">
      <c r="A4325" t="str">
        <f>"20190303153854560"</f>
        <v>20190303153854560</v>
      </c>
      <c r="B4325" t="str">
        <f>"1551598734553068"</f>
        <v>1551598734553068</v>
      </c>
      <c r="C4325" t="s">
        <v>40</v>
      </c>
      <c r="D4325">
        <v>4.2174829999999996</v>
      </c>
      <c r="E4325">
        <v>0.50713770000000002</v>
      </c>
      <c r="F4325" t="s">
        <v>55</v>
      </c>
      <c r="G4325">
        <v>-347.12830000000002</v>
      </c>
      <c r="H4325" s="1">
        <v>2.25652E-6</v>
      </c>
      <c r="I4325">
        <v>215.74119999999999</v>
      </c>
      <c r="J4325">
        <v>-400.71510000000001</v>
      </c>
      <c r="K4325">
        <v>1.1202479999999999</v>
      </c>
      <c r="L4325">
        <v>215.11930000000001</v>
      </c>
      <c r="M4325">
        <v>0.99991770000000002</v>
      </c>
      <c r="N4325">
        <v>-6.4902859999999996E-3</v>
      </c>
      <c r="O4325">
        <v>1.1077470000000001E-2</v>
      </c>
      <c r="P4325">
        <v>0.99813960000000002</v>
      </c>
      <c r="Q4325">
        <v>-5.3597220000000001E-2</v>
      </c>
      <c r="R4325">
        <v>2.9066390000000001E-2</v>
      </c>
      <c r="S4325">
        <v>3.0012509999999999</v>
      </c>
      <c r="T4325">
        <v>-6.2378049999999997E-2</v>
      </c>
      <c r="U4325">
        <v>3.482056E-2</v>
      </c>
      <c r="V4325">
        <v>-1.8007559999999999E-2</v>
      </c>
      <c r="W4325">
        <v>-4.7116100000000001E-2</v>
      </c>
      <c r="X4325">
        <v>0.99872709999999998</v>
      </c>
      <c r="Y4325">
        <v>-5.2454439999999997E-4</v>
      </c>
      <c r="Z4325">
        <v>-1.511505E-4</v>
      </c>
      <c r="AA4325">
        <v>0.99999990000000005</v>
      </c>
      <c r="AB4325">
        <v>30</v>
      </c>
      <c r="AC4325">
        <v>53.586799999999897</v>
      </c>
      <c r="AD4325">
        <v>-1.1202457434799999</v>
      </c>
      <c r="AE4325">
        <v>0.62189999999998202</v>
      </c>
      <c r="AF4325">
        <v>-2.8230903612360199E-2</v>
      </c>
      <c r="AG4325">
        <v>-1.1202457434799999</v>
      </c>
      <c r="AH4325">
        <v>53.566993942043503</v>
      </c>
      <c r="AI4325">
        <v>91.198050977350704</v>
      </c>
      <c r="AJ4325">
        <v>90.030196047230504</v>
      </c>
      <c r="AK4325">
        <v>53.578713940301199</v>
      </c>
      <c r="AL4325">
        <v>92.7005534519934</v>
      </c>
      <c r="AM4325">
        <v>91.0329602563869</v>
      </c>
      <c r="AN4325">
        <v>1.0000000096853801</v>
      </c>
    </row>
    <row r="4326" spans="1:40" x14ac:dyDescent="0.25">
      <c r="A4326" t="str">
        <f>"20190303153854582"</f>
        <v>20190303153854582</v>
      </c>
      <c r="B4326" t="str">
        <f>"1551598734572587"</f>
        <v>1551598734572587</v>
      </c>
      <c r="C4326" t="s">
        <v>40</v>
      </c>
      <c r="D4326">
        <v>4.236669</v>
      </c>
      <c r="E4326">
        <v>0.50722219999999996</v>
      </c>
      <c r="F4326" t="s">
        <v>55</v>
      </c>
      <c r="G4326">
        <v>-346.00119999999998</v>
      </c>
      <c r="H4326" s="1">
        <v>1.65674E-6</v>
      </c>
      <c r="I4326">
        <v>215.73599999999999</v>
      </c>
      <c r="J4326">
        <v>-400.40839999999997</v>
      </c>
      <c r="K4326">
        <v>1.120228</v>
      </c>
      <c r="L4326">
        <v>215.12270000000001</v>
      </c>
      <c r="M4326">
        <v>0.99991819999999998</v>
      </c>
      <c r="N4326">
        <v>-6.4069829999999998E-3</v>
      </c>
      <c r="O4326">
        <v>1.107754E-2</v>
      </c>
      <c r="P4326">
        <v>0.99818459999999998</v>
      </c>
      <c r="Q4326">
        <v>-5.3174949999999999E-2</v>
      </c>
      <c r="R4326">
        <v>2.8285000000000001E-2</v>
      </c>
      <c r="S4326">
        <v>3.0012819999999998</v>
      </c>
      <c r="T4326">
        <v>-6.1449999999999998E-2</v>
      </c>
      <c r="U4326">
        <v>3.3828740000000003E-2</v>
      </c>
      <c r="V4326">
        <v>-1.722634E-2</v>
      </c>
      <c r="W4326">
        <v>-4.6776690000000003E-2</v>
      </c>
      <c r="X4326">
        <v>0.9987568</v>
      </c>
      <c r="Y4326">
        <v>-1.9400179999999999E-4</v>
      </c>
      <c r="Z4326">
        <v>-1.5319349999999999E-4</v>
      </c>
      <c r="AA4326">
        <v>0.99999990000000005</v>
      </c>
      <c r="AB4326">
        <v>30</v>
      </c>
      <c r="AC4326">
        <v>54.407199999999897</v>
      </c>
      <c r="AD4326">
        <v>-1.1202263432599999</v>
      </c>
      <c r="AE4326">
        <v>0.61329999999998097</v>
      </c>
      <c r="AF4326">
        <v>-1.0547642524897999E-2</v>
      </c>
      <c r="AG4326">
        <v>-1.1202263432599999</v>
      </c>
      <c r="AH4326">
        <v>54.3876016960496</v>
      </c>
      <c r="AI4326">
        <v>91.179959478994704</v>
      </c>
      <c r="AJ4326">
        <v>90.011111638941003</v>
      </c>
      <c r="AK4326">
        <v>54.399138196859703</v>
      </c>
      <c r="AL4326">
        <v>92.681085317730904</v>
      </c>
      <c r="AM4326">
        <v>90.988127163057698</v>
      </c>
      <c r="AN4326">
        <v>0.99999997553169495</v>
      </c>
    </row>
    <row r="4327" spans="1:40" x14ac:dyDescent="0.25">
      <c r="A4327" t="str">
        <f>"20190303153854604"</f>
        <v>20190303153854604</v>
      </c>
      <c r="B4327" t="str">
        <f>"1551598734593084"</f>
        <v>1551598734593084</v>
      </c>
      <c r="C4327" t="s">
        <v>40</v>
      </c>
      <c r="D4327">
        <v>4.2415620000000001</v>
      </c>
      <c r="E4327">
        <v>0.5072951</v>
      </c>
      <c r="F4327" t="s">
        <v>55</v>
      </c>
      <c r="G4327">
        <v>-344.51280000000003</v>
      </c>
      <c r="H4327" s="1">
        <v>8.6471819999999895E-7</v>
      </c>
      <c r="I4327">
        <v>215.6936</v>
      </c>
      <c r="J4327">
        <v>-400.11239999999998</v>
      </c>
      <c r="K4327">
        <v>1.120214</v>
      </c>
      <c r="L4327">
        <v>215.126</v>
      </c>
      <c r="M4327">
        <v>0.9999188</v>
      </c>
      <c r="N4327">
        <v>-6.3317809999999999E-3</v>
      </c>
      <c r="O4327">
        <v>1.107592E-2</v>
      </c>
      <c r="P4327">
        <v>0.99825629999999999</v>
      </c>
      <c r="Q4327">
        <v>-5.248212E-2</v>
      </c>
      <c r="R4327">
        <v>2.7025569999999999E-2</v>
      </c>
      <c r="S4327">
        <v>3.0013730000000001</v>
      </c>
      <c r="T4327">
        <v>-6.0151820000000002E-2</v>
      </c>
      <c r="U4327">
        <v>3.065491E-2</v>
      </c>
      <c r="V4327">
        <v>-1.5967599999999998E-2</v>
      </c>
      <c r="W4327">
        <v>-4.6158570000000003E-2</v>
      </c>
      <c r="X4327">
        <v>0.99880650000000004</v>
      </c>
      <c r="Y4327">
        <v>8.6182999999999995E-4</v>
      </c>
      <c r="Z4327">
        <v>-1.6318029999999999E-4</v>
      </c>
      <c r="AA4327">
        <v>0.99999959999999999</v>
      </c>
      <c r="AB4327">
        <v>30</v>
      </c>
      <c r="AC4327">
        <v>55.599599999999903</v>
      </c>
      <c r="AD4327">
        <v>-1.1202131352818001</v>
      </c>
      <c r="AE4327">
        <v>0.56760000000002697</v>
      </c>
      <c r="AF4327">
        <v>4.8244187186785997E-2</v>
      </c>
      <c r="AG4327">
        <v>-1.1202131352818001</v>
      </c>
      <c r="AH4327">
        <v>55.579916648884698</v>
      </c>
      <c r="AI4327">
        <v>91.1546395832803</v>
      </c>
      <c r="AJ4327">
        <v>89.950266431036994</v>
      </c>
      <c r="AK4327">
        <v>55.591225383751301</v>
      </c>
      <c r="AL4327">
        <v>92.645631283760693</v>
      </c>
      <c r="AM4327">
        <v>90.915891277646594</v>
      </c>
      <c r="AN4327">
        <v>1.00000000113822</v>
      </c>
    </row>
    <row r="4328" spans="1:40" x14ac:dyDescent="0.25">
      <c r="A4328" t="str">
        <f>"20190303153854626"</f>
        <v>20190303153854626</v>
      </c>
      <c r="B4328" t="str">
        <f>"1551598734612603"</f>
        <v>1551598734612603</v>
      </c>
      <c r="C4328" t="s">
        <v>40</v>
      </c>
      <c r="D4328">
        <v>4.1715780000000002</v>
      </c>
      <c r="E4328">
        <v>0.50752240000000004</v>
      </c>
      <c r="F4328" t="s">
        <v>55</v>
      </c>
      <c r="G4328">
        <v>-342.04349999999999</v>
      </c>
      <c r="H4328" s="1">
        <v>-4.4933179999999998E-7</v>
      </c>
      <c r="I4328">
        <v>215.63140000000001</v>
      </c>
      <c r="J4328">
        <v>-399.81700000000001</v>
      </c>
      <c r="K4328">
        <v>1.1202030000000001</v>
      </c>
      <c r="L4328">
        <v>215.1292</v>
      </c>
      <c r="M4328">
        <v>0.999919</v>
      </c>
      <c r="N4328">
        <v>-6.2631459999999998E-3</v>
      </c>
      <c r="O4328">
        <v>1.107464E-2</v>
      </c>
      <c r="P4328">
        <v>0.99832580000000004</v>
      </c>
      <c r="Q4328">
        <v>-5.1567979999999999E-2</v>
      </c>
      <c r="R4328">
        <v>2.6203359999999998E-2</v>
      </c>
      <c r="S4328">
        <v>3.001465</v>
      </c>
      <c r="T4328">
        <v>-5.7901620000000001E-2</v>
      </c>
      <c r="U4328">
        <v>2.6123049999999998E-2</v>
      </c>
      <c r="V4328">
        <v>-1.5146140000000001E-2</v>
      </c>
      <c r="W4328">
        <v>-4.531259E-2</v>
      </c>
      <c r="X4328">
        <v>0.99885800000000002</v>
      </c>
      <c r="Y4328">
        <v>2.3703489999999999E-3</v>
      </c>
      <c r="Z4328">
        <v>-1.7453830000000001E-4</v>
      </c>
      <c r="AA4328">
        <v>0.99999720000000003</v>
      </c>
      <c r="AB4328">
        <v>31</v>
      </c>
      <c r="AC4328">
        <v>57.773499999999899</v>
      </c>
      <c r="AD4328">
        <v>-1.1202034493318</v>
      </c>
      <c r="AE4328">
        <v>0.50220000000001597</v>
      </c>
      <c r="AF4328">
        <v>0.13761236829869</v>
      </c>
      <c r="AG4328">
        <v>-1.1202034493318</v>
      </c>
      <c r="AH4328">
        <v>57.753807431927498</v>
      </c>
      <c r="AI4328">
        <v>91.111176969784594</v>
      </c>
      <c r="AJ4328">
        <v>89.863479251992899</v>
      </c>
      <c r="AK4328">
        <v>57.764834162455301</v>
      </c>
      <c r="AL4328">
        <v>92.5971095048357</v>
      </c>
      <c r="AM4328">
        <v>90.868735491055205</v>
      </c>
      <c r="AN4328">
        <v>0.99999997026670295</v>
      </c>
    </row>
    <row r="4329" spans="1:40" x14ac:dyDescent="0.25">
      <c r="A4329" t="str">
        <f>"20190303153854650"</f>
        <v>20190303153854650</v>
      </c>
      <c r="B4329" t="str">
        <f>"1551598734642860"</f>
        <v>1551598734642860</v>
      </c>
      <c r="C4329" t="s">
        <v>40</v>
      </c>
      <c r="D4329">
        <v>4.2031729999999996</v>
      </c>
      <c r="E4329">
        <v>0.5078298</v>
      </c>
      <c r="F4329" t="s">
        <v>55</v>
      </c>
      <c r="G4329">
        <v>-335.34840000000003</v>
      </c>
      <c r="H4329" s="1">
        <v>1.2662649999999999E-6</v>
      </c>
      <c r="I4329">
        <v>215.6018</v>
      </c>
      <c r="J4329">
        <v>-399.48739999999998</v>
      </c>
      <c r="K4329">
        <v>1.1201829999999999</v>
      </c>
      <c r="L4329">
        <v>215.13290000000001</v>
      </c>
      <c r="M4329">
        <v>0.99991949999999996</v>
      </c>
      <c r="N4329">
        <v>-6.196521E-3</v>
      </c>
      <c r="O4329">
        <v>1.107437E-2</v>
      </c>
      <c r="P4329">
        <v>0.99832259999999995</v>
      </c>
      <c r="Q4329">
        <v>-5.1846400000000001E-2</v>
      </c>
      <c r="R4329">
        <v>2.5771829999999999E-2</v>
      </c>
      <c r="S4329">
        <v>3.00177</v>
      </c>
      <c r="T4329">
        <v>-5.2158469999999998E-2</v>
      </c>
      <c r="U4329">
        <v>2.2003169999999999E-2</v>
      </c>
      <c r="V4329">
        <v>-1.4715809999999999E-2</v>
      </c>
      <c r="W4329">
        <v>-4.5657570000000001E-2</v>
      </c>
      <c r="X4329">
        <v>0.99884870000000003</v>
      </c>
      <c r="Y4329">
        <v>3.7434040000000001E-3</v>
      </c>
      <c r="Z4329">
        <v>-1.679036E-4</v>
      </c>
      <c r="AA4329">
        <v>0.99999300000000002</v>
      </c>
      <c r="AB4329">
        <v>31</v>
      </c>
      <c r="AC4329">
        <v>64.138999999999896</v>
      </c>
      <c r="AD4329">
        <v>-1.120181733735</v>
      </c>
      <c r="AE4329">
        <v>0.46889999999998999</v>
      </c>
      <c r="AF4329">
        <v>0.241367774995426</v>
      </c>
      <c r="AG4329">
        <v>-1.120181733735</v>
      </c>
      <c r="AH4329">
        <v>64.120702298719493</v>
      </c>
      <c r="AI4329">
        <v>91.000842171009893</v>
      </c>
      <c r="AJ4329">
        <v>89.784324110575795</v>
      </c>
      <c r="AK4329">
        <v>64.130940495211902</v>
      </c>
      <c r="AL4329">
        <v>92.616895942677502</v>
      </c>
      <c r="AM4329">
        <v>90.844064581151002</v>
      </c>
      <c r="AN4329">
        <v>0.99999994712697404</v>
      </c>
    </row>
    <row r="4330" spans="1:40" x14ac:dyDescent="0.25">
      <c r="A4330" t="str">
        <f>"20190303153854673"</f>
        <v>20190303153854673</v>
      </c>
      <c r="B4330" t="str">
        <f>"1551598734663355"</f>
        <v>1551598734663355</v>
      </c>
      <c r="C4330" t="s">
        <v>40</v>
      </c>
      <c r="D4330">
        <v>4.1933930000000004</v>
      </c>
      <c r="E4330">
        <v>0.51387890000000003</v>
      </c>
      <c r="F4330" t="s">
        <v>55</v>
      </c>
      <c r="G4330">
        <v>-330.03820000000002</v>
      </c>
      <c r="H4330" s="1">
        <v>-1.557771E-6</v>
      </c>
      <c r="I4330">
        <v>215.56180000000001</v>
      </c>
      <c r="J4330">
        <v>-399.16640000000001</v>
      </c>
      <c r="K4330">
        <v>1.120163</v>
      </c>
      <c r="L4330">
        <v>215.13640000000001</v>
      </c>
      <c r="M4330">
        <v>0.99991989999999997</v>
      </c>
      <c r="N4330">
        <v>-6.1502559999999998E-3</v>
      </c>
      <c r="O4330">
        <v>1.1075339999999999E-2</v>
      </c>
      <c r="P4330">
        <v>0.99827829999999995</v>
      </c>
      <c r="Q4330">
        <v>-5.280377E-2</v>
      </c>
      <c r="R4330">
        <v>2.5546429999999998E-2</v>
      </c>
      <c r="S4330">
        <v>3.0020449999999999</v>
      </c>
      <c r="T4330">
        <v>-4.8421619999999999E-2</v>
      </c>
      <c r="U4330">
        <v>1.8539429999999999E-2</v>
      </c>
      <c r="V4330">
        <v>-1.448938E-2</v>
      </c>
      <c r="W4330">
        <v>-4.6661370000000001E-2</v>
      </c>
      <c r="X4330">
        <v>0.99880570000000002</v>
      </c>
      <c r="Y4330">
        <v>4.8987989999999997E-3</v>
      </c>
      <c r="Z4330">
        <v>-1.6507840000000001E-4</v>
      </c>
      <c r="AA4330">
        <v>0.99998799999999999</v>
      </c>
      <c r="AB4330">
        <v>31</v>
      </c>
      <c r="AC4330">
        <v>69.128199999999893</v>
      </c>
      <c r="AD4330">
        <v>-1.120164557771</v>
      </c>
      <c r="AE4330">
        <v>0.425399999999996</v>
      </c>
      <c r="AF4330">
        <v>0.34016946164717399</v>
      </c>
      <c r="AG4330">
        <v>-1.120164557771</v>
      </c>
      <c r="AH4330">
        <v>69.110525507285701</v>
      </c>
      <c r="AI4330">
        <v>90.928574980570701</v>
      </c>
      <c r="AJ4330">
        <v>89.717986270066106</v>
      </c>
      <c r="AK4330">
        <v>69.1204399565881</v>
      </c>
      <c r="AL4330">
        <v>92.674470610633904</v>
      </c>
      <c r="AM4330">
        <v>90.831114693764405</v>
      </c>
      <c r="AN4330">
        <v>1.0000000259677699</v>
      </c>
    </row>
    <row r="4331" spans="1:40" x14ac:dyDescent="0.25">
      <c r="A4331" t="str">
        <f>"20190303153854695"</f>
        <v>20190303153854695</v>
      </c>
      <c r="B4331" t="str">
        <f>"1551598734682875"</f>
        <v>1551598734682875</v>
      </c>
      <c r="C4331" t="s">
        <v>40</v>
      </c>
      <c r="D4331">
        <v>4.2036089999999904</v>
      </c>
      <c r="E4331">
        <v>0.51352819999999999</v>
      </c>
      <c r="F4331" t="s">
        <v>67</v>
      </c>
      <c r="G4331">
        <v>-107.39749999999999</v>
      </c>
      <c r="H4331">
        <v>3.7433920000000001</v>
      </c>
      <c r="I4331">
        <v>212.44210000000001</v>
      </c>
      <c r="J4331">
        <v>-398.86059999999998</v>
      </c>
      <c r="K4331">
        <v>1.1201479999999999</v>
      </c>
      <c r="L4331">
        <v>215.13980000000001</v>
      </c>
      <c r="M4331">
        <v>0.99992009999999998</v>
      </c>
      <c r="N4331">
        <v>-6.1238909999999898E-3</v>
      </c>
      <c r="O4331">
        <v>1.107672E-2</v>
      </c>
      <c r="P4331">
        <v>0.9982432</v>
      </c>
      <c r="Q4331">
        <v>-5.3367129999999999E-2</v>
      </c>
      <c r="R4331">
        <v>2.5742580000000001E-2</v>
      </c>
      <c r="S4331">
        <v>3.0073240000000001</v>
      </c>
      <c r="T4331">
        <v>2.7038690000000001E-2</v>
      </c>
      <c r="U4331">
        <v>-2.7771000000000001E-2</v>
      </c>
      <c r="V4331">
        <v>-1.468472E-2</v>
      </c>
      <c r="W4331">
        <v>-4.7251219999999997E-2</v>
      </c>
      <c r="X4331">
        <v>0.99877510000000003</v>
      </c>
      <c r="Y4331">
        <v>2.0308420000000001E-2</v>
      </c>
      <c r="Z4331">
        <v>1.9652210000000001E-4</v>
      </c>
      <c r="AA4331">
        <v>0.99979379999999995</v>
      </c>
      <c r="AB4331">
        <v>31</v>
      </c>
      <c r="AC4331">
        <v>291.4631</v>
      </c>
      <c r="AD4331">
        <v>2.6232440000000001</v>
      </c>
      <c r="AE4331">
        <v>-2.69769999999999</v>
      </c>
      <c r="AF4331">
        <v>5.9255695738472296</v>
      </c>
      <c r="AG4331">
        <v>2.6232440000000001</v>
      </c>
      <c r="AH4331">
        <v>291.39173414136798</v>
      </c>
      <c r="AI4331">
        <v>89.484317269931594</v>
      </c>
      <c r="AJ4331">
        <v>88.835027557213706</v>
      </c>
      <c r="AK4331">
        <v>291.46378250096802</v>
      </c>
      <c r="AL4331">
        <v>92.708303890118401</v>
      </c>
      <c r="AM4331">
        <v>90.842343647360494</v>
      </c>
      <c r="AN4331">
        <v>1.0000000095864801</v>
      </c>
    </row>
    <row r="4332" spans="1:40" x14ac:dyDescent="0.25">
      <c r="A4332" t="str">
        <f>"20190303153854716"</f>
        <v>20190303153854716</v>
      </c>
      <c r="B4332" t="str">
        <f>"1551598734703371"</f>
        <v>1551598734703371</v>
      </c>
      <c r="C4332" t="s">
        <v>40</v>
      </c>
      <c r="D4332">
        <v>4.2171209999999997</v>
      </c>
      <c r="E4332">
        <v>0.51343349999999999</v>
      </c>
      <c r="F4332" t="s">
        <v>67</v>
      </c>
      <c r="G4332">
        <v>-107.39749999999999</v>
      </c>
      <c r="H4332">
        <v>3.4271129999999999</v>
      </c>
      <c r="I4332">
        <v>212.76320000000001</v>
      </c>
      <c r="J4332">
        <v>-398.56909999999999</v>
      </c>
      <c r="K4332">
        <v>1.1201449999999999</v>
      </c>
      <c r="L4332">
        <v>215.1431</v>
      </c>
      <c r="M4332">
        <v>0.99992000000000003</v>
      </c>
      <c r="N4332">
        <v>-6.1219919999999997E-3</v>
      </c>
      <c r="O4332">
        <v>1.1078090000000001E-2</v>
      </c>
      <c r="P4332">
        <v>0.99819939999999996</v>
      </c>
      <c r="Q4332">
        <v>-5.3692799999999999E-2</v>
      </c>
      <c r="R4332">
        <v>2.6742269999999999E-2</v>
      </c>
      <c r="S4332">
        <v>3.0072019999999999</v>
      </c>
      <c r="T4332">
        <v>2.3802879999999998E-2</v>
      </c>
      <c r="U4332">
        <v>-2.452087E-2</v>
      </c>
      <c r="V4332">
        <v>-1.568365E-2</v>
      </c>
      <c r="W4332">
        <v>-4.7578919999999997E-2</v>
      </c>
      <c r="X4332">
        <v>0.99874439999999998</v>
      </c>
      <c r="Y4332">
        <v>1.9229980000000001E-2</v>
      </c>
      <c r="Z4332">
        <v>1.7273939999999999E-4</v>
      </c>
      <c r="AA4332">
        <v>0.99981500000000001</v>
      </c>
      <c r="AB4332">
        <v>31</v>
      </c>
      <c r="AC4332">
        <v>291.17160000000001</v>
      </c>
      <c r="AD4332">
        <v>2.3069679999999901</v>
      </c>
      <c r="AE4332">
        <v>-2.3798999999999899</v>
      </c>
      <c r="AF4332">
        <v>5.6050874206814196</v>
      </c>
      <c r="AG4332">
        <v>2.3069679999999901</v>
      </c>
      <c r="AH4332">
        <v>291.10909358005398</v>
      </c>
      <c r="AI4332">
        <v>89.546038674162602</v>
      </c>
      <c r="AJ4332">
        <v>88.8969490031634</v>
      </c>
      <c r="AK4332">
        <v>291.17218869828002</v>
      </c>
      <c r="AL4332">
        <v>92.727100738528193</v>
      </c>
      <c r="AM4332">
        <v>90.899662715577406</v>
      </c>
      <c r="AN4332">
        <v>1.0000000535185201</v>
      </c>
    </row>
    <row r="4333" spans="1:40" x14ac:dyDescent="0.25">
      <c r="A4333" t="str">
        <f>"20190303153854738"</f>
        <v>20190303153854738</v>
      </c>
      <c r="B4333" t="str">
        <f>"1551598734732652"</f>
        <v>1551598734732652</v>
      </c>
      <c r="C4333" t="s">
        <v>40</v>
      </c>
      <c r="D4333">
        <v>4.2379619999999996</v>
      </c>
      <c r="E4333">
        <v>0.51359579999999905</v>
      </c>
      <c r="F4333" t="s">
        <v>67</v>
      </c>
      <c r="G4333">
        <v>-107.39749999999999</v>
      </c>
      <c r="H4333">
        <v>3.1738029999999999</v>
      </c>
      <c r="I4333">
        <v>213.1071</v>
      </c>
      <c r="J4333">
        <v>-398.25920000000002</v>
      </c>
      <c r="K4333">
        <v>1.1201460000000001</v>
      </c>
      <c r="L4333">
        <v>215.1465</v>
      </c>
      <c r="M4333">
        <v>0.99991969999999997</v>
      </c>
      <c r="N4333">
        <v>-6.1549300000000003E-3</v>
      </c>
      <c r="O4333">
        <v>1.10793E-2</v>
      </c>
      <c r="P4333">
        <v>0.99818530000000005</v>
      </c>
      <c r="Q4333">
        <v>-5.3377760000000003E-2</v>
      </c>
      <c r="R4333">
        <v>2.7871969999999999E-2</v>
      </c>
      <c r="S4333">
        <v>3.0070800000000002</v>
      </c>
      <c r="T4333">
        <v>2.1209720000000001E-2</v>
      </c>
      <c r="U4333">
        <v>-2.1026610000000001E-2</v>
      </c>
      <c r="V4333">
        <v>-1.681212E-2</v>
      </c>
      <c r="W4333">
        <v>-4.7230950000000001E-2</v>
      </c>
      <c r="X4333">
        <v>0.99874249999999998</v>
      </c>
      <c r="Y4333">
        <v>1.8069979999999999E-2</v>
      </c>
      <c r="Z4333">
        <v>1.54447199999999E-4</v>
      </c>
      <c r="AA4333">
        <v>0.99983670000000002</v>
      </c>
      <c r="AB4333">
        <v>31</v>
      </c>
      <c r="AC4333">
        <v>290.86169999999998</v>
      </c>
      <c r="AD4333">
        <v>2.0536569999999998</v>
      </c>
      <c r="AE4333">
        <v>-2.0394000000000001</v>
      </c>
      <c r="AF4333">
        <v>5.2616175423477802</v>
      </c>
      <c r="AG4333">
        <v>2.0536569999999998</v>
      </c>
      <c r="AH4333">
        <v>290.80675486759498</v>
      </c>
      <c r="AI4333">
        <v>89.595454140301499</v>
      </c>
      <c r="AJ4333">
        <v>88.963450526982101</v>
      </c>
      <c r="AK4333">
        <v>290.86160077063602</v>
      </c>
      <c r="AL4333">
        <v>92.707141244286902</v>
      </c>
      <c r="AM4333">
        <v>90.964385267290893</v>
      </c>
      <c r="AN4333">
        <v>0.99999999566152298</v>
      </c>
    </row>
    <row r="4334" spans="1:40" x14ac:dyDescent="0.25">
      <c r="A4334" t="str">
        <f>"20190303153854760"</f>
        <v>20190303153854760</v>
      </c>
      <c r="B4334" t="str">
        <f>"1551598734753148"</f>
        <v>1551598734753148</v>
      </c>
      <c r="C4334" t="s">
        <v>40</v>
      </c>
      <c r="D4334">
        <v>4.2220219999999999</v>
      </c>
      <c r="E4334">
        <v>0.51363669999999995</v>
      </c>
      <c r="F4334" t="s">
        <v>67</v>
      </c>
      <c r="G4334">
        <v>-107.39749999999999</v>
      </c>
      <c r="H4334">
        <v>3.2322860000000002</v>
      </c>
      <c r="I4334">
        <v>213.30459999999999</v>
      </c>
      <c r="J4334">
        <v>-397.93880000000001</v>
      </c>
      <c r="K4334">
        <v>1.1201589999999999</v>
      </c>
      <c r="L4334">
        <v>215.15010000000001</v>
      </c>
      <c r="M4334">
        <v>0.99991920000000001</v>
      </c>
      <c r="N4334">
        <v>-6.2389849999999998E-3</v>
      </c>
      <c r="O4334">
        <v>1.108022E-2</v>
      </c>
      <c r="P4334">
        <v>0.99817020000000001</v>
      </c>
      <c r="Q4334">
        <v>-5.3393999999999997E-2</v>
      </c>
      <c r="R4334">
        <v>2.8382370000000001E-2</v>
      </c>
      <c r="S4334">
        <v>3.0071720000000002</v>
      </c>
      <c r="T4334">
        <v>2.183759E-2</v>
      </c>
      <c r="U4334">
        <v>-1.9042969999999999E-2</v>
      </c>
      <c r="V4334">
        <v>-1.7322230000000001E-2</v>
      </c>
      <c r="W4334">
        <v>-4.7163240000000002E-2</v>
      </c>
      <c r="X4334">
        <v>0.99873699999999999</v>
      </c>
      <c r="Y4334">
        <v>1.7411139999999999E-2</v>
      </c>
      <c r="Z4334">
        <v>1.584903E-4</v>
      </c>
      <c r="AA4334">
        <v>0.99984839999999997</v>
      </c>
      <c r="AB4334">
        <v>31</v>
      </c>
      <c r="AC4334">
        <v>290.54129999999998</v>
      </c>
      <c r="AD4334">
        <v>2.1121270000000001</v>
      </c>
      <c r="AE4334">
        <v>-1.8455000000000099</v>
      </c>
      <c r="AF4334">
        <v>5.0644430869660004</v>
      </c>
      <c r="AG4334">
        <v>2.1121270000000001</v>
      </c>
      <c r="AH4334">
        <v>290.48766383174097</v>
      </c>
      <c r="AI4334">
        <v>89.583474760001096</v>
      </c>
      <c r="AJ4334">
        <v>89.001190562021904</v>
      </c>
      <c r="AK4334">
        <v>290.539485272945</v>
      </c>
      <c r="AL4334">
        <v>92.7032573719449</v>
      </c>
      <c r="AM4334">
        <v>90.993646143762405</v>
      </c>
      <c r="AN4334">
        <v>1.0000000130142299</v>
      </c>
    </row>
    <row r="4335" spans="1:40" x14ac:dyDescent="0.25">
      <c r="A4335" t="str">
        <f>"20190303153854784"</f>
        <v>20190303153854784</v>
      </c>
      <c r="B4335" t="str">
        <f>"1551598734772489"</f>
        <v>1551598734772489</v>
      </c>
      <c r="C4335" t="s">
        <v>40</v>
      </c>
      <c r="D4335">
        <v>4.2561689999999999</v>
      </c>
      <c r="E4335">
        <v>0.51367779999999996</v>
      </c>
      <c r="F4335" t="s">
        <v>67</v>
      </c>
      <c r="G4335">
        <v>-107.39749999999999</v>
      </c>
      <c r="H4335">
        <v>3.0664570000000002</v>
      </c>
      <c r="I4335">
        <v>213.434</v>
      </c>
      <c r="J4335">
        <v>-397.61790000000002</v>
      </c>
      <c r="K4335">
        <v>1.12019</v>
      </c>
      <c r="L4335">
        <v>215.15360000000001</v>
      </c>
      <c r="M4335">
        <v>0.99991819999999998</v>
      </c>
      <c r="N4335">
        <v>-6.4010969999999997E-3</v>
      </c>
      <c r="O4335">
        <v>1.1080889999999999E-2</v>
      </c>
      <c r="P4335">
        <v>0.99812190000000001</v>
      </c>
      <c r="Q4335">
        <v>-5.4095940000000002E-2</v>
      </c>
      <c r="R4335">
        <v>2.8752509999999998E-2</v>
      </c>
      <c r="S4335">
        <v>3.00705</v>
      </c>
      <c r="T4335">
        <v>2.014434E-2</v>
      </c>
      <c r="U4335">
        <v>-1.7761229999999999E-2</v>
      </c>
      <c r="V4335">
        <v>-1.7692280000000001E-2</v>
      </c>
      <c r="W4335">
        <v>-4.7703509999999998E-2</v>
      </c>
      <c r="X4335">
        <v>0.99870490000000001</v>
      </c>
      <c r="Y4335">
        <v>1.6986020000000001E-2</v>
      </c>
      <c r="Z4335">
        <v>1.4768639999999901E-4</v>
      </c>
      <c r="AA4335">
        <v>0.99985570000000001</v>
      </c>
      <c r="AB4335">
        <v>31</v>
      </c>
      <c r="AC4335">
        <v>290.22039999999998</v>
      </c>
      <c r="AD4335">
        <v>1.946267</v>
      </c>
      <c r="AE4335">
        <v>-1.71959999999998</v>
      </c>
      <c r="AF4335">
        <v>4.9352384238198699</v>
      </c>
      <c r="AG4335">
        <v>1.946267</v>
      </c>
      <c r="AH4335">
        <v>290.170476827958</v>
      </c>
      <c r="AI4335">
        <v>89.615760055142701</v>
      </c>
      <c r="AJ4335">
        <v>89.025603588177702</v>
      </c>
      <c r="AK4335">
        <v>290.21896932505899</v>
      </c>
      <c r="AL4335">
        <v>92.734247317927995</v>
      </c>
      <c r="AM4335">
        <v>91.014901350539205</v>
      </c>
      <c r="AN4335">
        <v>1.0000000594609599</v>
      </c>
    </row>
    <row r="4336" spans="1:40" x14ac:dyDescent="0.25">
      <c r="A4336" t="str">
        <f>"20190303153854806"</f>
        <v>20190303153854806</v>
      </c>
      <c r="B4336" t="str">
        <f>"1551598734802742"</f>
        <v>1551598734802742</v>
      </c>
      <c r="C4336" t="s">
        <v>40</v>
      </c>
      <c r="D4336">
        <v>4.2795439999999996</v>
      </c>
      <c r="E4336">
        <v>0.51369799999999999</v>
      </c>
      <c r="F4336" t="s">
        <v>67</v>
      </c>
      <c r="G4336">
        <v>-107.39749999999999</v>
      </c>
      <c r="H4336">
        <v>2.7750309999999998</v>
      </c>
      <c r="I4336">
        <v>213.50129999999999</v>
      </c>
      <c r="J4336">
        <v>-397.303</v>
      </c>
      <c r="K4336">
        <v>1.1202490000000001</v>
      </c>
      <c r="L4336">
        <v>215.15710000000001</v>
      </c>
      <c r="M4336">
        <v>0.99991640000000004</v>
      </c>
      <c r="N4336">
        <v>-6.6803059999999996E-3</v>
      </c>
      <c r="O4336">
        <v>1.108145E-2</v>
      </c>
      <c r="P4336">
        <v>0.99810920000000003</v>
      </c>
      <c r="Q4336">
        <v>-5.4556739999999999E-2</v>
      </c>
      <c r="R4336">
        <v>2.8312549999999999E-2</v>
      </c>
      <c r="S4336">
        <v>3.0070800000000002</v>
      </c>
      <c r="T4336">
        <v>1.7146939999999999E-2</v>
      </c>
      <c r="U4336">
        <v>-1.7120360000000001E-2</v>
      </c>
      <c r="V4336">
        <v>-1.725163E-2</v>
      </c>
      <c r="W4336">
        <v>-4.7885579999999997E-2</v>
      </c>
      <c r="X4336">
        <v>0.99870380000000003</v>
      </c>
      <c r="Y4336">
        <v>1.677362E-2</v>
      </c>
      <c r="Z4336">
        <v>1.29009E-4</v>
      </c>
      <c r="AA4336">
        <v>0.99985930000000001</v>
      </c>
      <c r="AB4336">
        <v>31</v>
      </c>
      <c r="AC4336">
        <v>289.90550000000002</v>
      </c>
      <c r="AD4336">
        <v>1.654782</v>
      </c>
      <c r="AE4336">
        <v>-1.6558000000000199</v>
      </c>
      <c r="AF4336">
        <v>4.8681843363690396</v>
      </c>
      <c r="AG4336">
        <v>1.654782</v>
      </c>
      <c r="AH4336">
        <v>289.85990589568303</v>
      </c>
      <c r="AI4336">
        <v>89.672953643790905</v>
      </c>
      <c r="AJ4336">
        <v>89.037810371532899</v>
      </c>
      <c r="AK4336">
        <v>289.90550627412102</v>
      </c>
      <c r="AL4336">
        <v>92.744691357873904</v>
      </c>
      <c r="AM4336">
        <v>90.989630050108303</v>
      </c>
      <c r="AN4336">
        <v>0.99999996382201595</v>
      </c>
    </row>
    <row r="4337" spans="1:40" x14ac:dyDescent="0.25">
      <c r="A4337" t="str">
        <f>"20190303153854829"</f>
        <v>20190303153854829</v>
      </c>
      <c r="B4337" t="str">
        <f>"1551598734823239"</f>
        <v>1551598734823239</v>
      </c>
      <c r="C4337" t="s">
        <v>40</v>
      </c>
      <c r="D4337">
        <v>4.2625609999999998</v>
      </c>
      <c r="E4337">
        <v>0.51371709999999904</v>
      </c>
      <c r="F4337" t="s">
        <v>67</v>
      </c>
      <c r="G4337">
        <v>-107.39749999999999</v>
      </c>
      <c r="H4337">
        <v>2.544346</v>
      </c>
      <c r="I4337">
        <v>213.36969999999999</v>
      </c>
      <c r="J4337">
        <v>-396.97949999999997</v>
      </c>
      <c r="K4337">
        <v>1.1203379999999901</v>
      </c>
      <c r="L4337">
        <v>215.16069999999999</v>
      </c>
      <c r="M4337">
        <v>0.99991319999999995</v>
      </c>
      <c r="N4337">
        <v>-7.127909E-3</v>
      </c>
      <c r="O4337">
        <v>1.108202E-2</v>
      </c>
      <c r="P4337">
        <v>0.99809289999999995</v>
      </c>
      <c r="Q4337">
        <v>-5.5159659999999999E-2</v>
      </c>
      <c r="R4337">
        <v>2.7713350000000001E-2</v>
      </c>
      <c r="S4337">
        <v>3.0069889999999999</v>
      </c>
      <c r="T4337">
        <v>1.47717E-2</v>
      </c>
      <c r="U4337">
        <v>-1.8539429999999999E-2</v>
      </c>
      <c r="V4337">
        <v>-1.665194E-2</v>
      </c>
      <c r="W4337">
        <v>-4.804162E-2</v>
      </c>
      <c r="X4337">
        <v>0.99870650000000005</v>
      </c>
      <c r="Y4337">
        <v>1.7246330000000001E-2</v>
      </c>
      <c r="Z4337">
        <v>1.143239E-4</v>
      </c>
      <c r="AA4337">
        <v>0.9998513</v>
      </c>
      <c r="AB4337">
        <v>31</v>
      </c>
      <c r="AC4337">
        <v>289.58199999999999</v>
      </c>
      <c r="AD4337">
        <v>1.4240079999999999</v>
      </c>
      <c r="AE4337">
        <v>-1.7909999999999899</v>
      </c>
      <c r="AF4337">
        <v>5.0000041123164998</v>
      </c>
      <c r="AG4337">
        <v>1.4240079999999999</v>
      </c>
      <c r="AH4337">
        <v>289.537367041636</v>
      </c>
      <c r="AI4337">
        <v>89.718251123465905</v>
      </c>
      <c r="AJ4337">
        <v>89.010660822069894</v>
      </c>
      <c r="AK4337">
        <v>289.58403746289298</v>
      </c>
      <c r="AL4337">
        <v>92.753642052046601</v>
      </c>
      <c r="AM4337">
        <v>90.955233077619397</v>
      </c>
      <c r="AN4337">
        <v>0.99999997875011803</v>
      </c>
    </row>
    <row r="4338" spans="1:40" x14ac:dyDescent="0.25">
      <c r="A4338" t="str">
        <f>"20190303153854852"</f>
        <v>20190303153854852</v>
      </c>
      <c r="B4338" t="str">
        <f>"1551598734842759"</f>
        <v>1551598734842759</v>
      </c>
      <c r="C4338" t="s">
        <v>40</v>
      </c>
      <c r="D4338">
        <v>4.2650600000000001</v>
      </c>
      <c r="E4338">
        <v>0.51376060000000001</v>
      </c>
      <c r="F4338" t="s">
        <v>67</v>
      </c>
      <c r="G4338">
        <v>-107.39749999999999</v>
      </c>
      <c r="H4338">
        <v>2.2955739999999998</v>
      </c>
      <c r="I4338">
        <v>213.1754</v>
      </c>
      <c r="J4338">
        <v>-396.6628</v>
      </c>
      <c r="K4338">
        <v>1.12046</v>
      </c>
      <c r="L4338">
        <v>215.16419999999999</v>
      </c>
      <c r="M4338">
        <v>0.99990869999999998</v>
      </c>
      <c r="N4338">
        <v>-7.7455450000000004E-3</v>
      </c>
      <c r="O4338">
        <v>1.1082069999999999E-2</v>
      </c>
      <c r="P4338">
        <v>0.99807460000000003</v>
      </c>
      <c r="Q4338">
        <v>-5.5851659999999997E-2</v>
      </c>
      <c r="R4338">
        <v>2.6980299999999999E-2</v>
      </c>
      <c r="S4338">
        <v>3.0069889999999999</v>
      </c>
      <c r="T4338">
        <v>1.2204049999999999E-2</v>
      </c>
      <c r="U4338">
        <v>-2.061462E-2</v>
      </c>
      <c r="V4338">
        <v>-1.5919450000000002E-2</v>
      </c>
      <c r="W4338">
        <v>-4.811696E-2</v>
      </c>
      <c r="X4338">
        <v>0.99871489999999996</v>
      </c>
      <c r="Y4338">
        <v>1.7936500000000001E-2</v>
      </c>
      <c r="Z4338" s="1">
        <v>9.7744819999999994E-5</v>
      </c>
      <c r="AA4338">
        <v>0.99983909999999998</v>
      </c>
      <c r="AB4338">
        <v>31</v>
      </c>
      <c r="AC4338">
        <v>289.26530000000002</v>
      </c>
      <c r="AD4338">
        <v>1.175114</v>
      </c>
      <c r="AE4338">
        <v>-1.9887999999999899</v>
      </c>
      <c r="AF4338">
        <v>5.1943462689187099</v>
      </c>
      <c r="AG4338">
        <v>1.175114</v>
      </c>
      <c r="AH4338">
        <v>289.22072221558602</v>
      </c>
      <c r="AI4338">
        <v>89.767244041850503</v>
      </c>
      <c r="AJ4338">
        <v>88.971089887560694</v>
      </c>
      <c r="AK4338">
        <v>289.26975003442601</v>
      </c>
      <c r="AL4338">
        <v>92.757963486766897</v>
      </c>
      <c r="AM4338">
        <v>90.913213629065794</v>
      </c>
      <c r="AN4338">
        <v>1.00000006110497</v>
      </c>
    </row>
    <row r="4339" spans="1:40" x14ac:dyDescent="0.25">
      <c r="A4339" t="str">
        <f>"20190303153854874"</f>
        <v>20190303153854874</v>
      </c>
      <c r="B4339" t="str">
        <f>"1551598734863254"</f>
        <v>1551598734863254</v>
      </c>
      <c r="C4339" t="s">
        <v>40</v>
      </c>
      <c r="D4339">
        <v>4.2611739999999996</v>
      </c>
      <c r="E4339">
        <v>0.51379960000000002</v>
      </c>
      <c r="F4339" t="s">
        <v>67</v>
      </c>
      <c r="G4339">
        <v>-107.39749999999999</v>
      </c>
      <c r="H4339">
        <v>2.0903659999999999</v>
      </c>
      <c r="I4339">
        <v>212.95359999999999</v>
      </c>
      <c r="J4339">
        <v>-396.3383</v>
      </c>
      <c r="K4339">
        <v>1.1205909999999999</v>
      </c>
      <c r="L4339">
        <v>215.1678</v>
      </c>
      <c r="M4339">
        <v>0.99990270000000003</v>
      </c>
      <c r="N4339">
        <v>-8.4829209999999992E-3</v>
      </c>
      <c r="O4339">
        <v>1.108219E-2</v>
      </c>
      <c r="P4339">
        <v>0.99803949999999997</v>
      </c>
      <c r="Q4339">
        <v>-5.6700830000000001E-2</v>
      </c>
      <c r="R4339">
        <v>2.650978E-2</v>
      </c>
      <c r="S4339">
        <v>3.0069889999999999</v>
      </c>
      <c r="T4339">
        <v>1.008296E-2</v>
      </c>
      <c r="U4339">
        <v>-2.2979739999999999E-2</v>
      </c>
      <c r="V4339">
        <v>-1.544885E-2</v>
      </c>
      <c r="W4339">
        <v>-4.8229979999999999E-2</v>
      </c>
      <c r="X4339">
        <v>0.99871679999999996</v>
      </c>
      <c r="Y4339">
        <v>1.8723070000000001E-2</v>
      </c>
      <c r="Z4339" s="1">
        <v>8.3143819999999895E-5</v>
      </c>
      <c r="AA4339">
        <v>0.99982470000000001</v>
      </c>
      <c r="AB4339">
        <v>31</v>
      </c>
      <c r="AC4339">
        <v>288.94080000000002</v>
      </c>
      <c r="AD4339">
        <v>0.96977500000000005</v>
      </c>
      <c r="AE4339">
        <v>-2.2141999999999999</v>
      </c>
      <c r="AF4339">
        <v>5.4162147752977798</v>
      </c>
      <c r="AG4339">
        <v>0.96977500000000005</v>
      </c>
      <c r="AH4339">
        <v>288.89526183111099</v>
      </c>
      <c r="AI4339">
        <v>89.807701783846298</v>
      </c>
      <c r="AJ4339">
        <v>88.925943282784502</v>
      </c>
      <c r="AK4339">
        <v>288.94765642674702</v>
      </c>
      <c r="AL4339">
        <v>92.764446689790802</v>
      </c>
      <c r="AM4339">
        <v>90.886220511554598</v>
      </c>
      <c r="AN4339">
        <v>1.0000000222696801</v>
      </c>
    </row>
    <row r="4340" spans="1:40" x14ac:dyDescent="0.25">
      <c r="A4340" t="str">
        <f>"20190303153854898"</f>
        <v>20190303153854898</v>
      </c>
      <c r="B4340" t="str">
        <f>"1551598734892535"</f>
        <v>1551598734892535</v>
      </c>
      <c r="C4340" t="s">
        <v>40</v>
      </c>
      <c r="D4340">
        <v>4.2730959999999998</v>
      </c>
      <c r="E4340">
        <v>0.51377740000000005</v>
      </c>
      <c r="F4340" t="s">
        <v>67</v>
      </c>
      <c r="G4340">
        <v>-107.39749999999999</v>
      </c>
      <c r="H4340">
        <v>1.828516</v>
      </c>
      <c r="I4340">
        <v>212.7867</v>
      </c>
      <c r="J4340">
        <v>-396.02390000000003</v>
      </c>
      <c r="K4340">
        <v>1.120711</v>
      </c>
      <c r="L4340">
        <v>215.1713</v>
      </c>
      <c r="M4340">
        <v>0.99989609999999995</v>
      </c>
      <c r="N4340">
        <v>-9.2266410000000007E-3</v>
      </c>
      <c r="O4340">
        <v>1.1082359999999999E-2</v>
      </c>
      <c r="P4340">
        <v>0.99801459999999997</v>
      </c>
      <c r="Q4340">
        <v>-5.7322320000000003E-2</v>
      </c>
      <c r="R4340">
        <v>2.610181E-2</v>
      </c>
      <c r="S4340">
        <v>3.0069889999999999</v>
      </c>
      <c r="T4340">
        <v>7.3678490000000001E-3</v>
      </c>
      <c r="U4340">
        <v>-2.478027E-2</v>
      </c>
      <c r="V4340">
        <v>-1.5041290000000001E-2</v>
      </c>
      <c r="W4340">
        <v>-4.8108909999999998E-2</v>
      </c>
      <c r="X4340">
        <v>0.99872879999999997</v>
      </c>
      <c r="Y4340">
        <v>1.9321970000000001E-2</v>
      </c>
      <c r="Z4340" s="1">
        <v>6.3936809999999995E-5</v>
      </c>
      <c r="AA4340">
        <v>0.99981330000000002</v>
      </c>
      <c r="AB4340">
        <v>31</v>
      </c>
      <c r="AC4340">
        <v>288.62639999999999</v>
      </c>
      <c r="AD4340">
        <v>0.70780500000000002</v>
      </c>
      <c r="AE4340">
        <v>-2.3845999999999998</v>
      </c>
      <c r="AF4340">
        <v>5.5832175466886298</v>
      </c>
      <c r="AG4340">
        <v>0.70780500000000002</v>
      </c>
      <c r="AH4340">
        <v>288.58051009925799</v>
      </c>
      <c r="AI4340">
        <v>89.859496505618395</v>
      </c>
      <c r="AJ4340">
        <v>88.891626822726096</v>
      </c>
      <c r="AK4340">
        <v>288.63538264606399</v>
      </c>
      <c r="AL4340">
        <v>92.757501995078897</v>
      </c>
      <c r="AM4340">
        <v>90.862834121973293</v>
      </c>
      <c r="AN4340">
        <v>0.999999961787845</v>
      </c>
    </row>
    <row r="4341" spans="1:40" x14ac:dyDescent="0.25">
      <c r="A4341" t="str">
        <f>"20190303153854917"</f>
        <v>20190303153854917</v>
      </c>
      <c r="B4341" t="str">
        <f>"1551598734913031"</f>
        <v>1551598734913031</v>
      </c>
      <c r="C4341" t="s">
        <v>40</v>
      </c>
      <c r="D4341">
        <v>4.2877090000000004</v>
      </c>
      <c r="E4341">
        <v>0.51380040000000005</v>
      </c>
      <c r="F4341" t="s">
        <v>67</v>
      </c>
      <c r="G4341">
        <v>-107.39749999999999</v>
      </c>
      <c r="H4341">
        <v>1.6088</v>
      </c>
      <c r="I4341">
        <v>212.696</v>
      </c>
      <c r="J4341">
        <v>-395.74509999999998</v>
      </c>
      <c r="K4341">
        <v>1.1207990000000001</v>
      </c>
      <c r="L4341">
        <v>215.17429999999999</v>
      </c>
      <c r="M4341">
        <v>0.9998899</v>
      </c>
      <c r="N4341">
        <v>-9.8717279999999998E-3</v>
      </c>
      <c r="O4341">
        <v>1.1082450000000001E-2</v>
      </c>
      <c r="P4341">
        <v>0.9979924</v>
      </c>
      <c r="Q4341">
        <v>-5.775255E-2</v>
      </c>
      <c r="R4341">
        <v>2.6000800000000001E-2</v>
      </c>
      <c r="S4341">
        <v>3.0069270000000001</v>
      </c>
      <c r="T4341">
        <v>5.0854680000000001E-3</v>
      </c>
      <c r="U4341">
        <v>-2.5787350000000001E-2</v>
      </c>
      <c r="V4341">
        <v>-1.494001E-2</v>
      </c>
      <c r="W4341">
        <v>-4.789504E-2</v>
      </c>
      <c r="X4341">
        <v>0.99874059999999998</v>
      </c>
      <c r="Y4341">
        <v>1.965712E-2</v>
      </c>
      <c r="Z4341" s="1">
        <v>4.7739820000000001E-5</v>
      </c>
      <c r="AA4341">
        <v>0.9998068</v>
      </c>
      <c r="AB4341">
        <v>31</v>
      </c>
      <c r="AC4341">
        <v>288.3476</v>
      </c>
      <c r="AD4341">
        <v>0.48800100000000002</v>
      </c>
      <c r="AE4341">
        <v>-2.4782999999999902</v>
      </c>
      <c r="AF4341">
        <v>5.6738849812522902</v>
      </c>
      <c r="AG4341">
        <v>0.48800100000000002</v>
      </c>
      <c r="AH4341">
        <v>288.301597529329</v>
      </c>
      <c r="AI4341">
        <v>89.903035716595099</v>
      </c>
      <c r="AJ4341">
        <v>88.872542835527796</v>
      </c>
      <c r="AK4341">
        <v>288.35783716368798</v>
      </c>
      <c r="AL4341">
        <v>92.745234002439901</v>
      </c>
      <c r="AM4341">
        <v>90.857015003953904</v>
      </c>
      <c r="AN4341">
        <v>0.99999996242188005</v>
      </c>
    </row>
    <row r="4342" spans="1:40" x14ac:dyDescent="0.25">
      <c r="A4342" t="str">
        <f>"20190303153854941"</f>
        <v>20190303153854941</v>
      </c>
      <c r="B4342" t="str">
        <f>"1551598734932551"</f>
        <v>1551598734932551</v>
      </c>
      <c r="C4342" t="s">
        <v>40</v>
      </c>
      <c r="D4342">
        <v>4.2627319999999997</v>
      </c>
      <c r="E4342">
        <v>0.51376670000000002</v>
      </c>
      <c r="F4342" t="s">
        <v>67</v>
      </c>
      <c r="G4342">
        <v>-107.39749999999999</v>
      </c>
      <c r="H4342">
        <v>1.4182349999999999</v>
      </c>
      <c r="I4342">
        <v>212.6371</v>
      </c>
      <c r="J4342">
        <v>-395.42329999999998</v>
      </c>
      <c r="K4342">
        <v>1.120879</v>
      </c>
      <c r="L4342">
        <v>215.17789999999999</v>
      </c>
      <c r="M4342">
        <v>0.99988270000000001</v>
      </c>
      <c r="N4342">
        <v>-1.0573290000000001E-2</v>
      </c>
      <c r="O4342">
        <v>1.108251E-2</v>
      </c>
      <c r="P4342">
        <v>0.99799130000000003</v>
      </c>
      <c r="Q4342">
        <v>-5.7874729999999999E-2</v>
      </c>
      <c r="R4342">
        <v>2.576991E-2</v>
      </c>
      <c r="S4342">
        <v>3.0068969999999999</v>
      </c>
      <c r="T4342">
        <v>3.1021830000000001E-3</v>
      </c>
      <c r="U4342">
        <v>-2.6458740000000001E-2</v>
      </c>
      <c r="V4342">
        <v>-1.4709440000000001E-2</v>
      </c>
      <c r="W4342">
        <v>-4.7316530000000002E-2</v>
      </c>
      <c r="X4342">
        <v>0.99877159999999998</v>
      </c>
      <c r="Y4342">
        <v>1.9880519999999999E-2</v>
      </c>
      <c r="Z4342" s="1">
        <v>3.3762179999999999E-5</v>
      </c>
      <c r="AA4342">
        <v>0.99980239999999998</v>
      </c>
      <c r="AB4342">
        <v>31</v>
      </c>
      <c r="AC4342">
        <v>288.0258</v>
      </c>
      <c r="AD4342">
        <v>0.29735599999999901</v>
      </c>
      <c r="AE4342">
        <v>-2.5407999999999902</v>
      </c>
      <c r="AF4342">
        <v>5.7328650369633296</v>
      </c>
      <c r="AG4342">
        <v>0.29735599999999901</v>
      </c>
      <c r="AH4342">
        <v>287.97964259275199</v>
      </c>
      <c r="AI4342">
        <v>89.940850461809802</v>
      </c>
      <c r="AJ4342">
        <v>88.859552751147802</v>
      </c>
      <c r="AK4342">
        <v>288.03685304136297</v>
      </c>
      <c r="AL4342">
        <v>92.712050187765399</v>
      </c>
      <c r="AM4342">
        <v>90.843764385418098</v>
      </c>
      <c r="AN4342">
        <v>0.99999996530145596</v>
      </c>
    </row>
    <row r="4343" spans="1:40" x14ac:dyDescent="0.25">
      <c r="A4343" t="str">
        <f>"20190303153854962"</f>
        <v>20190303153854962</v>
      </c>
      <c r="B4343" t="str">
        <f>"1551598734953045"</f>
        <v>1551598734953045</v>
      </c>
      <c r="C4343" t="s">
        <v>40</v>
      </c>
      <c r="D4343">
        <v>4.263738</v>
      </c>
      <c r="E4343">
        <v>0.51381840000000001</v>
      </c>
      <c r="F4343" t="s">
        <v>67</v>
      </c>
      <c r="G4343">
        <v>-107.39749999999999</v>
      </c>
      <c r="H4343">
        <v>1.3259890000000001</v>
      </c>
      <c r="I4343">
        <v>212.5821</v>
      </c>
      <c r="J4343">
        <v>-395.10789999999997</v>
      </c>
      <c r="K4343">
        <v>1.120941</v>
      </c>
      <c r="L4343">
        <v>215.1814</v>
      </c>
      <c r="M4343">
        <v>0.99987579999999998</v>
      </c>
      <c r="N4343">
        <v>-1.12038E-2</v>
      </c>
      <c r="O4343">
        <v>1.1082720000000001E-2</v>
      </c>
      <c r="P4343">
        <v>0.99794050000000001</v>
      </c>
      <c r="Q4343">
        <v>-5.8596410000000002E-2</v>
      </c>
      <c r="R4343">
        <v>2.609682E-2</v>
      </c>
      <c r="S4343">
        <v>3.0069270000000001</v>
      </c>
      <c r="T4343">
        <v>2.1418330000000001E-3</v>
      </c>
      <c r="U4343">
        <v>-2.709961E-2</v>
      </c>
      <c r="V4343">
        <v>-1.5036549999999999E-2</v>
      </c>
      <c r="W4343">
        <v>-4.7408899999999997E-2</v>
      </c>
      <c r="X4343">
        <v>0.99876240000000005</v>
      </c>
      <c r="Y4343">
        <v>2.0093730000000001E-2</v>
      </c>
      <c r="Z4343" s="1">
        <v>2.6651669999999999E-5</v>
      </c>
      <c r="AA4343">
        <v>0.99979810000000002</v>
      </c>
      <c r="AB4343">
        <v>31</v>
      </c>
      <c r="AC4343">
        <v>287.71039999999999</v>
      </c>
      <c r="AD4343">
        <v>0.20504799999999901</v>
      </c>
      <c r="AE4343">
        <v>-2.5992999999999902</v>
      </c>
      <c r="AF4343">
        <v>5.7879514046992302</v>
      </c>
      <c r="AG4343">
        <v>0.20504799999999901</v>
      </c>
      <c r="AH4343">
        <v>287.66377275890301</v>
      </c>
      <c r="AI4343">
        <v>89.959167588146101</v>
      </c>
      <c r="AJ4343">
        <v>88.847333315897302</v>
      </c>
      <c r="AK4343">
        <v>287.72206829513698</v>
      </c>
      <c r="AL4343">
        <v>92.717348405528497</v>
      </c>
      <c r="AM4343">
        <v>90.8625332423278</v>
      </c>
      <c r="AN4343">
        <v>1.0000000166444301</v>
      </c>
    </row>
    <row r="4344" spans="1:40" x14ac:dyDescent="0.25">
      <c r="A4344" t="str">
        <f>"20190303153854986"</f>
        <v>20190303153854986</v>
      </c>
      <c r="B4344" t="str">
        <f>"1551598734972567"</f>
        <v>1551598734972567</v>
      </c>
      <c r="C4344" t="s">
        <v>40</v>
      </c>
      <c r="D4344">
        <v>4.2744770000000001</v>
      </c>
      <c r="E4344">
        <v>0.51386549999999998</v>
      </c>
      <c r="F4344" t="s">
        <v>67</v>
      </c>
      <c r="G4344">
        <v>-107.39749999999999</v>
      </c>
      <c r="H4344">
        <v>1.028154</v>
      </c>
      <c r="I4344">
        <v>212.68180000000001</v>
      </c>
      <c r="J4344">
        <v>-394.7955</v>
      </c>
      <c r="K4344">
        <v>1.120986</v>
      </c>
      <c r="L4344">
        <v>215.1849</v>
      </c>
      <c r="M4344">
        <v>0.99986949999999997</v>
      </c>
      <c r="N4344">
        <v>-1.176658E-2</v>
      </c>
      <c r="O4344">
        <v>1.108278E-2</v>
      </c>
      <c r="P4344">
        <v>0.99788209999999999</v>
      </c>
      <c r="Q4344">
        <v>-5.9481319999999997E-2</v>
      </c>
      <c r="R4344">
        <v>2.6336809999999999E-2</v>
      </c>
      <c r="S4344">
        <v>3.0068049999999999</v>
      </c>
      <c r="T4344">
        <v>-9.6917149999999996E-4</v>
      </c>
      <c r="U4344">
        <v>-2.6123049999999998E-2</v>
      </c>
      <c r="V4344">
        <v>-1.5277300000000001E-2</v>
      </c>
      <c r="W4344">
        <v>-4.7732249999999997E-2</v>
      </c>
      <c r="X4344">
        <v>0.99874339999999995</v>
      </c>
      <c r="Y4344">
        <v>1.9769470000000001E-2</v>
      </c>
      <c r="Z4344" s="1">
        <v>7.3348639999999997E-6</v>
      </c>
      <c r="AA4344">
        <v>0.99980460000000004</v>
      </c>
      <c r="AB4344">
        <v>31</v>
      </c>
      <c r="AC4344">
        <v>287.397999999999</v>
      </c>
      <c r="AD4344">
        <v>-9.2831999999999998E-2</v>
      </c>
      <c r="AE4344">
        <v>-2.5030999999999799</v>
      </c>
      <c r="AF4344">
        <v>5.6883345078642096</v>
      </c>
      <c r="AG4344">
        <v>-9.2831999999999998E-2</v>
      </c>
      <c r="AH4344">
        <v>287.35257355482099</v>
      </c>
      <c r="AI4344">
        <v>90.018506323812503</v>
      </c>
      <c r="AJ4344">
        <v>88.8659402159264</v>
      </c>
      <c r="AK4344">
        <v>287.40888520682898</v>
      </c>
      <c r="AL4344">
        <v>92.735895844028803</v>
      </c>
      <c r="AM4344">
        <v>90.876357782585202</v>
      </c>
      <c r="AN4344">
        <v>1.0000000713144499</v>
      </c>
    </row>
    <row r="4345" spans="1:40" x14ac:dyDescent="0.25">
      <c r="A4345" t="str">
        <f>"20190303153855008"</f>
        <v>20190303153855008</v>
      </c>
      <c r="B4345" t="str">
        <f>"1551598735002823"</f>
        <v>1551598735002823</v>
      </c>
      <c r="C4345" t="s">
        <v>40</v>
      </c>
      <c r="D4345">
        <v>4.2479750000000003</v>
      </c>
      <c r="E4345">
        <v>0.51390000000000002</v>
      </c>
      <c r="F4345" t="s">
        <v>67</v>
      </c>
      <c r="G4345">
        <v>-107.39749999999999</v>
      </c>
      <c r="H4345">
        <v>0.6823977</v>
      </c>
      <c r="I4345">
        <v>212.68940000000001</v>
      </c>
      <c r="J4345">
        <v>-394.49790000000002</v>
      </c>
      <c r="K4345">
        <v>1.1210070000000001</v>
      </c>
      <c r="L4345">
        <v>215.18819999999999</v>
      </c>
      <c r="M4345">
        <v>0.99986370000000002</v>
      </c>
      <c r="N4345">
        <v>-1.2244349999999999E-2</v>
      </c>
      <c r="O4345">
        <v>1.108255E-2</v>
      </c>
      <c r="P4345">
        <v>0.99784890000000004</v>
      </c>
      <c r="Q4345">
        <v>-5.9894570000000001E-2</v>
      </c>
      <c r="R4345">
        <v>2.666222E-2</v>
      </c>
      <c r="S4345">
        <v>3.0067750000000002</v>
      </c>
      <c r="T4345">
        <v>-4.5880080000000002E-3</v>
      </c>
      <c r="U4345">
        <v>-2.6107789999999999E-2</v>
      </c>
      <c r="V4345">
        <v>-1.56031E-2</v>
      </c>
      <c r="W4345">
        <v>-4.766861E-2</v>
      </c>
      <c r="X4345">
        <v>0.99874130000000005</v>
      </c>
      <c r="Y4345">
        <v>1.9764239999999999E-2</v>
      </c>
      <c r="Z4345" s="1">
        <v>-1.7294609999999999E-5</v>
      </c>
      <c r="AA4345">
        <v>0.99980469999999999</v>
      </c>
      <c r="AB4345">
        <v>31</v>
      </c>
      <c r="AC4345">
        <v>287.10039999999998</v>
      </c>
      <c r="AD4345">
        <v>-0.43860929999999898</v>
      </c>
      <c r="AE4345">
        <v>-2.4987999999999801</v>
      </c>
      <c r="AF4345">
        <v>5.6806760759819603</v>
      </c>
      <c r="AG4345">
        <v>-0.43860929999999898</v>
      </c>
      <c r="AH4345">
        <v>287.054400499331</v>
      </c>
      <c r="AI4345">
        <v>90.087528784537895</v>
      </c>
      <c r="AJ4345">
        <v>88.866290554370806</v>
      </c>
      <c r="AK4345">
        <v>287.11093901979501</v>
      </c>
      <c r="AL4345">
        <v>92.732245666048001</v>
      </c>
      <c r="AM4345">
        <v>90.895045649509299</v>
      </c>
      <c r="AN4345">
        <v>0.999999968717315</v>
      </c>
    </row>
    <row r="4346" spans="1:40" x14ac:dyDescent="0.25">
      <c r="A4346" t="str">
        <f>"20190303153855030"</f>
        <v>20190303153855030</v>
      </c>
      <c r="B4346" t="str">
        <f>"1551598735023319"</f>
        <v>1551598735023319</v>
      </c>
      <c r="C4346" t="s">
        <v>40</v>
      </c>
      <c r="D4346">
        <v>4.2334709999999998</v>
      </c>
      <c r="E4346">
        <v>0.51389649999999998</v>
      </c>
      <c r="F4346" t="s">
        <v>67</v>
      </c>
      <c r="G4346">
        <v>-107.39749999999999</v>
      </c>
      <c r="H4346">
        <v>0.5375394</v>
      </c>
      <c r="I4346">
        <v>212.72730000000001</v>
      </c>
      <c r="J4346">
        <v>-394.19499999999999</v>
      </c>
      <c r="K4346">
        <v>1.1210290000000001</v>
      </c>
      <c r="L4346">
        <v>215.19149999999999</v>
      </c>
      <c r="M4346">
        <v>0.99985829999999998</v>
      </c>
      <c r="N4346">
        <v>-1.267539E-2</v>
      </c>
      <c r="O4346">
        <v>1.108251E-2</v>
      </c>
      <c r="P4346">
        <v>0.99779419999999996</v>
      </c>
      <c r="Q4346">
        <v>-6.0818700000000003E-2</v>
      </c>
      <c r="R4346">
        <v>2.6613410000000001E-2</v>
      </c>
      <c r="S4346">
        <v>3.0067750000000002</v>
      </c>
      <c r="T4346">
        <v>-6.1100719999999898E-3</v>
      </c>
      <c r="U4346">
        <v>-2.5772090000000001E-2</v>
      </c>
      <c r="V4346">
        <v>-1.5555100000000001E-2</v>
      </c>
      <c r="W4346">
        <v>-4.8162839999999998E-2</v>
      </c>
      <c r="X4346">
        <v>0.99871840000000001</v>
      </c>
      <c r="Y4346">
        <v>1.9652570000000001E-2</v>
      </c>
      <c r="Z4346" s="1">
        <v>-2.6568690000000001E-5</v>
      </c>
      <c r="AA4346">
        <v>0.99980690000000005</v>
      </c>
      <c r="AB4346">
        <v>31</v>
      </c>
      <c r="AC4346">
        <v>286.79750000000001</v>
      </c>
      <c r="AD4346">
        <v>-0.58348959999999905</v>
      </c>
      <c r="AE4346">
        <v>-2.4641999999999702</v>
      </c>
      <c r="AF4346">
        <v>5.6427166414317202</v>
      </c>
      <c r="AG4346">
        <v>-0.58348959999999905</v>
      </c>
      <c r="AH4346">
        <v>286.75138556037501</v>
      </c>
      <c r="AI4346">
        <v>90.116564299712607</v>
      </c>
      <c r="AJ4346">
        <v>88.8726745750064</v>
      </c>
      <c r="AK4346">
        <v>286.807492635747</v>
      </c>
      <c r="AL4346">
        <v>92.7605953503287</v>
      </c>
      <c r="AM4346">
        <v>90.892313112331806</v>
      </c>
      <c r="AN4346">
        <v>1.00000003139571</v>
      </c>
    </row>
    <row r="4347" spans="1:40" x14ac:dyDescent="0.25">
      <c r="A4347" t="str">
        <f>"20190303153855053"</f>
        <v>20190303153855053</v>
      </c>
      <c r="B4347" t="str">
        <f>"1551598735042839"</f>
        <v>1551598735042839</v>
      </c>
      <c r="C4347" t="s">
        <v>40</v>
      </c>
      <c r="D4347">
        <v>4.2224079999999997</v>
      </c>
      <c r="E4347">
        <v>0.513876</v>
      </c>
      <c r="F4347" t="s">
        <v>67</v>
      </c>
      <c r="G4347">
        <v>-107.39749999999999</v>
      </c>
      <c r="H4347">
        <v>0.2592545</v>
      </c>
      <c r="I4347">
        <v>212.73179999999999</v>
      </c>
      <c r="J4347">
        <v>-393.87150000000003</v>
      </c>
      <c r="K4347">
        <v>1.121038</v>
      </c>
      <c r="L4347">
        <v>215.1951</v>
      </c>
      <c r="M4347">
        <v>0.99985360000000001</v>
      </c>
      <c r="N4347">
        <v>-1.3045050000000001E-2</v>
      </c>
      <c r="O4347">
        <v>1.108224E-2</v>
      </c>
      <c r="P4347">
        <v>0.99777420000000006</v>
      </c>
      <c r="Q4347">
        <v>-6.1131530000000003E-2</v>
      </c>
      <c r="R4347">
        <v>2.663807E-2</v>
      </c>
      <c r="S4347">
        <v>3.0067750000000002</v>
      </c>
      <c r="T4347">
        <v>-9.0342760000000008E-3</v>
      </c>
      <c r="U4347">
        <v>-2.5787350000000001E-2</v>
      </c>
      <c r="V4347">
        <v>-1.557943E-2</v>
      </c>
      <c r="W4347">
        <v>-4.8106669999999997E-2</v>
      </c>
      <c r="X4347">
        <v>0.99872070000000002</v>
      </c>
      <c r="Y4347">
        <v>1.9657319999999999E-2</v>
      </c>
      <c r="Z4347" s="1">
        <v>-4.6479549999999998E-5</v>
      </c>
      <c r="AA4347">
        <v>0.9998068</v>
      </c>
      <c r="AB4347">
        <v>31</v>
      </c>
      <c r="AC4347">
        <v>286.47399999999999</v>
      </c>
      <c r="AD4347">
        <v>-0.86178349999999904</v>
      </c>
      <c r="AE4347">
        <v>-2.4632999999999998</v>
      </c>
      <c r="AF4347">
        <v>5.6381411369408996</v>
      </c>
      <c r="AG4347">
        <v>-0.86178349999999904</v>
      </c>
      <c r="AH4347">
        <v>286.42651163251099</v>
      </c>
      <c r="AI4347">
        <v>90.172354314776996</v>
      </c>
      <c r="AJ4347">
        <v>88.872311171177401</v>
      </c>
      <c r="AK4347">
        <v>286.48329422891197</v>
      </c>
      <c r="AL4347">
        <v>92.757373388723707</v>
      </c>
      <c r="AM4347">
        <v>90.893706510626501</v>
      </c>
      <c r="AN4347">
        <v>1.0000000034730501</v>
      </c>
    </row>
    <row r="4348" spans="1:40" x14ac:dyDescent="0.25">
      <c r="A4348" t="str">
        <f>"20190303153855075"</f>
        <v>20190303153855075</v>
      </c>
      <c r="B4348" t="str">
        <f>"1551598735062358"</f>
        <v>1551598735062358</v>
      </c>
      <c r="C4348" t="s">
        <v>40</v>
      </c>
      <c r="D4348">
        <v>4.3316780000000001</v>
      </c>
      <c r="E4348">
        <v>0.51329590000000003</v>
      </c>
      <c r="F4348" t="s">
        <v>67</v>
      </c>
      <c r="G4348">
        <v>-107.39749999999999</v>
      </c>
      <c r="H4348">
        <v>0.15586140000000001</v>
      </c>
      <c r="I4348">
        <v>212.78319999999999</v>
      </c>
      <c r="J4348">
        <v>-393.56470000000002</v>
      </c>
      <c r="K4348">
        <v>1.1210230000000001</v>
      </c>
      <c r="L4348">
        <v>215.1985</v>
      </c>
      <c r="M4348">
        <v>0.99985040000000003</v>
      </c>
      <c r="N4348">
        <v>-1.3285399999999999E-2</v>
      </c>
      <c r="O4348">
        <v>1.10823E-2</v>
      </c>
      <c r="P4348">
        <v>0.99776480000000001</v>
      </c>
      <c r="Q4348">
        <v>-6.1420669999999997E-2</v>
      </c>
      <c r="R4348">
        <v>2.6326329999999998E-2</v>
      </c>
      <c r="S4348">
        <v>3.0067140000000001</v>
      </c>
      <c r="T4348">
        <v>-1.0129569999999999E-2</v>
      </c>
      <c r="U4348">
        <v>-2.5314329999999999E-2</v>
      </c>
      <c r="V4348">
        <v>-1.526842E-2</v>
      </c>
      <c r="W4348">
        <v>-4.815589E-2</v>
      </c>
      <c r="X4348">
        <v>0.99872309999999997</v>
      </c>
      <c r="Y4348">
        <v>1.950025E-2</v>
      </c>
      <c r="Z4348" s="1">
        <v>-5.24881699999999E-5</v>
      </c>
      <c r="AA4348">
        <v>0.99980990000000003</v>
      </c>
      <c r="AB4348">
        <v>31</v>
      </c>
      <c r="AC4348">
        <v>286.16719999999998</v>
      </c>
      <c r="AD4348">
        <v>-0.96516159999999895</v>
      </c>
      <c r="AE4348">
        <v>-2.4152999999999998</v>
      </c>
      <c r="AF4348">
        <v>5.5867585539020004</v>
      </c>
      <c r="AG4348">
        <v>-0.96516159999999895</v>
      </c>
      <c r="AH4348">
        <v>286.11959932298998</v>
      </c>
      <c r="AI4348">
        <v>90.1932371563543</v>
      </c>
      <c r="AJ4348">
        <v>88.881387308326197</v>
      </c>
      <c r="AK4348">
        <v>286.17576508992198</v>
      </c>
      <c r="AL4348">
        <v>92.760196844961399</v>
      </c>
      <c r="AM4348">
        <v>90.875866274700599</v>
      </c>
      <c r="AN4348">
        <v>0.99999997243229799</v>
      </c>
    </row>
    <row r="4349" spans="1:40" x14ac:dyDescent="0.25">
      <c r="A4349" t="str">
        <f>"20190303153855097"</f>
        <v>20190303153855097</v>
      </c>
      <c r="B4349" t="str">
        <f>"1551598735093121"</f>
        <v>1551598735093121</v>
      </c>
      <c r="C4349" t="s">
        <v>40</v>
      </c>
      <c r="D4349">
        <v>4.2963789999999999</v>
      </c>
      <c r="E4349">
        <v>0.51226369999999999</v>
      </c>
      <c r="F4349" t="s">
        <v>43</v>
      </c>
      <c r="G4349">
        <v>-134.53970000000001</v>
      </c>
      <c r="H4349">
        <v>-0.05</v>
      </c>
      <c r="I4349">
        <v>213.3107</v>
      </c>
      <c r="J4349">
        <v>-393.26580000000001</v>
      </c>
      <c r="K4349">
        <v>1.120995</v>
      </c>
      <c r="L4349">
        <v>215.20179999999999</v>
      </c>
      <c r="M4349">
        <v>0.99984850000000003</v>
      </c>
      <c r="N4349">
        <v>-1.342193E-2</v>
      </c>
      <c r="O4349">
        <v>1.108257E-2</v>
      </c>
      <c r="P4349">
        <v>0.99777720000000003</v>
      </c>
      <c r="Q4349">
        <v>-6.1370979999999999E-2</v>
      </c>
      <c r="R4349">
        <v>2.5968789999999999E-2</v>
      </c>
      <c r="S4349">
        <v>3.0064389999999999</v>
      </c>
      <c r="T4349">
        <v>-1.359177E-2</v>
      </c>
      <c r="U4349">
        <v>-2.191162E-2</v>
      </c>
      <c r="V4349">
        <v>-1.490995E-2</v>
      </c>
      <c r="W4349">
        <v>-4.7969739999999997E-2</v>
      </c>
      <c r="X4349">
        <v>0.99873749999999994</v>
      </c>
      <c r="Y4349">
        <v>1.8369679999999999E-2</v>
      </c>
      <c r="Z4349" s="1">
        <v>-6.6156160000000006E-5</v>
      </c>
      <c r="AA4349">
        <v>0.99983129999999998</v>
      </c>
      <c r="AB4349">
        <v>31</v>
      </c>
      <c r="AC4349">
        <v>258.72609999999997</v>
      </c>
      <c r="AD4349">
        <v>-1.170995</v>
      </c>
      <c r="AE4349">
        <v>-1.89109999999999</v>
      </c>
      <c r="AF4349">
        <v>4.7584947995836604</v>
      </c>
      <c r="AG4349">
        <v>-1.170995</v>
      </c>
      <c r="AH4349">
        <v>258.68394892869298</v>
      </c>
      <c r="AI4349">
        <v>90.259317460901599</v>
      </c>
      <c r="AJ4349">
        <v>88.946162201502602</v>
      </c>
      <c r="AK4349">
        <v>258.73036144872998</v>
      </c>
      <c r="AL4349">
        <v>92.749518823948407</v>
      </c>
      <c r="AM4349">
        <v>90.855293560387693</v>
      </c>
      <c r="AN4349">
        <v>0.99999999823545904</v>
      </c>
    </row>
    <row r="4350" spans="1:40" x14ac:dyDescent="0.25">
      <c r="A4350" t="str">
        <f>"20190303153855118"</f>
        <v>20190303153855118</v>
      </c>
      <c r="B4350" t="str">
        <f>"1551598735112641"</f>
        <v>1551598735112641</v>
      </c>
      <c r="C4350" t="s">
        <v>40</v>
      </c>
      <c r="D4350">
        <v>4.2681459999999998</v>
      </c>
      <c r="E4350">
        <v>0.51166699999999998</v>
      </c>
      <c r="F4350" t="s">
        <v>55</v>
      </c>
      <c r="G4350">
        <v>-221.93360000000001</v>
      </c>
      <c r="H4350" s="1">
        <v>-4.9628900000000003E-7</v>
      </c>
      <c r="I4350">
        <v>214.35210000000001</v>
      </c>
      <c r="J4350">
        <v>-392.9751</v>
      </c>
      <c r="K4350">
        <v>1.12096</v>
      </c>
      <c r="L4350">
        <v>215.20509999999999</v>
      </c>
      <c r="M4350">
        <v>0.99984810000000002</v>
      </c>
      <c r="N4350">
        <v>-1.3455780000000001E-2</v>
      </c>
      <c r="O4350">
        <v>1.108252E-2</v>
      </c>
      <c r="P4350">
        <v>0.99781799999999998</v>
      </c>
      <c r="Q4350">
        <v>-6.0678849999999999E-2</v>
      </c>
      <c r="R4350">
        <v>2.602349E-2</v>
      </c>
      <c r="S4350">
        <v>3.0058590000000001</v>
      </c>
      <c r="T4350">
        <v>-1.966679E-2</v>
      </c>
      <c r="U4350">
        <v>-1.490784E-2</v>
      </c>
      <c r="V4350">
        <v>-1.4964760000000001E-2</v>
      </c>
      <c r="W4350">
        <v>-4.7243300000000002E-2</v>
      </c>
      <c r="X4350">
        <v>0.99877130000000003</v>
      </c>
      <c r="Y4350">
        <v>1.6041299999999901E-2</v>
      </c>
      <c r="Z4350" s="1">
        <v>-8.3786280000000006E-5</v>
      </c>
      <c r="AA4350">
        <v>0.99987130000000002</v>
      </c>
      <c r="AB4350">
        <v>31</v>
      </c>
      <c r="AC4350">
        <v>171.04149999999899</v>
      </c>
      <c r="AD4350">
        <v>-1.1209604962890001</v>
      </c>
      <c r="AE4350">
        <v>-0.85299999999998</v>
      </c>
      <c r="AF4350">
        <v>2.7485719271277298</v>
      </c>
      <c r="AG4350">
        <v>-1.1209604962890001</v>
      </c>
      <c r="AH4350">
        <v>171.014194558936</v>
      </c>
      <c r="AI4350">
        <v>90.375507380808799</v>
      </c>
      <c r="AJ4350">
        <v>89.079210859303899</v>
      </c>
      <c r="AK4350">
        <v>171.03995422331701</v>
      </c>
      <c r="AL4350">
        <v>92.707849649030905</v>
      </c>
      <c r="AM4350">
        <v>90.858408162080707</v>
      </c>
      <c r="AN4350">
        <v>0.99999999157021802</v>
      </c>
    </row>
    <row r="4351" spans="1:40" x14ac:dyDescent="0.25">
      <c r="A4351" t="str">
        <f>"20190303153855140"</f>
        <v>20190303153855140</v>
      </c>
      <c r="B4351" t="str">
        <f>"1551598735133138"</f>
        <v>1551598735133138</v>
      </c>
      <c r="C4351" t="s">
        <v>40</v>
      </c>
      <c r="D4351">
        <v>4.193047</v>
      </c>
      <c r="E4351">
        <v>0.51123399999999997</v>
      </c>
      <c r="F4351" t="s">
        <v>55</v>
      </c>
      <c r="G4351">
        <v>-234.05529999999999</v>
      </c>
      <c r="H4351" s="1">
        <v>6.1874549999999999E-7</v>
      </c>
      <c r="I4351">
        <v>214.67339999999999</v>
      </c>
      <c r="J4351">
        <v>-392.66239999999999</v>
      </c>
      <c r="K4351">
        <v>1.120911</v>
      </c>
      <c r="L4351">
        <v>215.20859999999999</v>
      </c>
      <c r="M4351">
        <v>0.99984899999999999</v>
      </c>
      <c r="N4351">
        <v>-1.3385040000000001E-2</v>
      </c>
      <c r="O4351">
        <v>1.108252E-2</v>
      </c>
      <c r="P4351">
        <v>0.99783860000000002</v>
      </c>
      <c r="Q4351">
        <v>-6.0298369999999997E-2</v>
      </c>
      <c r="R4351">
        <v>2.612366E-2</v>
      </c>
      <c r="S4351">
        <v>3.0055239999999999</v>
      </c>
      <c r="T4351">
        <v>-2.1199820000000001E-2</v>
      </c>
      <c r="U4351">
        <v>-1.005554E-2</v>
      </c>
      <c r="V4351">
        <v>-1.506452E-2</v>
      </c>
      <c r="W4351">
        <v>-4.6933229999999999E-2</v>
      </c>
      <c r="X4351">
        <v>0.99878440000000002</v>
      </c>
      <c r="Y4351">
        <v>1.442766E-2</v>
      </c>
      <c r="Z4351" s="1">
        <v>-7.7268669999999999E-5</v>
      </c>
      <c r="AA4351">
        <v>0.99989589999999995</v>
      </c>
      <c r="AB4351">
        <v>31</v>
      </c>
      <c r="AC4351">
        <v>158.6071</v>
      </c>
      <c r="AD4351">
        <v>-1.1209103812545</v>
      </c>
      <c r="AE4351">
        <v>-0.53520000000000301</v>
      </c>
      <c r="AF4351">
        <v>2.29297643859528</v>
      </c>
      <c r="AG4351">
        <v>-1.1209103812545</v>
      </c>
      <c r="AH4351">
        <v>158.58350537361099</v>
      </c>
      <c r="AI4351">
        <v>90.404932734460999</v>
      </c>
      <c r="AJ4351">
        <v>89.171611714914405</v>
      </c>
      <c r="AK4351">
        <v>158.604042690005</v>
      </c>
      <c r="AL4351">
        <v>92.6900642682848</v>
      </c>
      <c r="AM4351">
        <v>90.8641183955163</v>
      </c>
      <c r="AN4351">
        <v>0.99999997276221098</v>
      </c>
    </row>
    <row r="4352" spans="1:40" x14ac:dyDescent="0.25">
      <c r="A4352" t="str">
        <f>"20190303153855163"</f>
        <v>20190303153855163</v>
      </c>
      <c r="B4352" t="str">
        <f>"1551598735152660"</f>
        <v>1551598735152660</v>
      </c>
      <c r="C4352" t="s">
        <v>40</v>
      </c>
      <c r="D4352">
        <v>4.1904440000000003</v>
      </c>
      <c r="E4352">
        <v>0.51094759999999995</v>
      </c>
      <c r="F4352" t="s">
        <v>55</v>
      </c>
      <c r="G4352">
        <v>-236.02420000000001</v>
      </c>
      <c r="H4352" s="1">
        <v>1.657131E-6</v>
      </c>
      <c r="I4352">
        <v>214.88730000000001</v>
      </c>
      <c r="J4352">
        <v>-392.34820000000002</v>
      </c>
      <c r="K4352">
        <v>1.1208530000000001</v>
      </c>
      <c r="L4352">
        <v>215.21209999999999</v>
      </c>
      <c r="M4352">
        <v>0.99985100000000005</v>
      </c>
      <c r="N4352">
        <v>-1.3229899999999999E-2</v>
      </c>
      <c r="O4352">
        <v>1.1082669999999999E-2</v>
      </c>
      <c r="P4352">
        <v>0.99782969999999904</v>
      </c>
      <c r="Q4352">
        <v>-6.0250020000000001E-2</v>
      </c>
      <c r="R4352">
        <v>2.657108E-2</v>
      </c>
      <c r="S4352">
        <v>3.0053709999999998</v>
      </c>
      <c r="T4352">
        <v>-2.1506549999999999E-2</v>
      </c>
      <c r="U4352">
        <v>-6.1645509999999999E-3</v>
      </c>
      <c r="V4352">
        <v>-1.551164E-2</v>
      </c>
      <c r="W4352">
        <v>-4.7039869999999998E-2</v>
      </c>
      <c r="X4352">
        <v>0.99877260000000001</v>
      </c>
      <c r="Y4352">
        <v>1.3133509999999999E-2</v>
      </c>
      <c r="Z4352" s="1">
        <v>-6.6549399999999895E-5</v>
      </c>
      <c r="AA4352">
        <v>0.99991379999999996</v>
      </c>
      <c r="AB4352">
        <v>31</v>
      </c>
      <c r="AC4352">
        <v>156.32399999999899</v>
      </c>
      <c r="AD4352">
        <v>-1.1208513428689999</v>
      </c>
      <c r="AE4352">
        <v>-0.32479999999998199</v>
      </c>
      <c r="AF4352">
        <v>2.0573133332182998</v>
      </c>
      <c r="AG4352">
        <v>-1.1208513428689999</v>
      </c>
      <c r="AH4352">
        <v>156.302762327376</v>
      </c>
      <c r="AI4352">
        <v>90.410826959778404</v>
      </c>
      <c r="AJ4352">
        <v>89.245895831474698</v>
      </c>
      <c r="AK4352">
        <v>156.320319719005</v>
      </c>
      <c r="AL4352">
        <v>92.6961808825411</v>
      </c>
      <c r="AM4352">
        <v>90.889772165596</v>
      </c>
      <c r="AN4352">
        <v>1.00000003342793</v>
      </c>
    </row>
    <row r="4353" spans="1:40" x14ac:dyDescent="0.25">
      <c r="A4353" t="str">
        <f>"20190303153855185"</f>
        <v>20190303153855185</v>
      </c>
      <c r="B4353" t="str">
        <f>"1551598735172696"</f>
        <v>1551598735172696</v>
      </c>
      <c r="C4353" t="s">
        <v>40</v>
      </c>
      <c r="D4353">
        <v>4.1655139999999999</v>
      </c>
      <c r="E4353">
        <v>0.51068970000000002</v>
      </c>
      <c r="F4353" t="s">
        <v>55</v>
      </c>
      <c r="G4353">
        <v>-230.04329999999999</v>
      </c>
      <c r="H4353" s="1">
        <v>-1.534159E-6</v>
      </c>
      <c r="I4353">
        <v>215.08349999999999</v>
      </c>
      <c r="J4353">
        <v>-392.0573</v>
      </c>
      <c r="K4353">
        <v>1.1208</v>
      </c>
      <c r="L4353">
        <v>215.21530000000001</v>
      </c>
      <c r="M4353">
        <v>0.9998534</v>
      </c>
      <c r="N4353">
        <v>-1.304467E-2</v>
      </c>
      <c r="O4353">
        <v>1.1082949999999999E-2</v>
      </c>
      <c r="P4353">
        <v>0.9978359</v>
      </c>
      <c r="Q4353">
        <v>-5.9971740000000003E-2</v>
      </c>
      <c r="R4353">
        <v>2.696488E-2</v>
      </c>
      <c r="S4353">
        <v>3.005341</v>
      </c>
      <c r="T4353">
        <v>-2.0754459999999999E-2</v>
      </c>
      <c r="U4353">
        <v>-2.380371E-3</v>
      </c>
      <c r="V4353">
        <v>-1.5905570000000001E-2</v>
      </c>
      <c r="W4353">
        <v>-4.6946479999999999E-2</v>
      </c>
      <c r="X4353">
        <v>0.99877079999999996</v>
      </c>
      <c r="Y4353">
        <v>1.1874859999999999E-2</v>
      </c>
      <c r="Z4353" s="1">
        <v>-5.0412479999999997E-5</v>
      </c>
      <c r="AA4353">
        <v>0.99992950000000003</v>
      </c>
      <c r="AB4353">
        <v>31</v>
      </c>
      <c r="AC4353">
        <v>162.01400000000001</v>
      </c>
      <c r="AD4353">
        <v>-1.1208015341590001</v>
      </c>
      <c r="AE4353">
        <v>-0.13180000000002601</v>
      </c>
      <c r="AF4353">
        <v>1.9274456781342899</v>
      </c>
      <c r="AG4353">
        <v>-1.1208015341590001</v>
      </c>
      <c r="AH4353">
        <v>161.994834203392</v>
      </c>
      <c r="AI4353">
        <v>90.396380714448696</v>
      </c>
      <c r="AJ4353">
        <v>89.318315967971998</v>
      </c>
      <c r="AK4353">
        <v>162.010177308419</v>
      </c>
      <c r="AL4353">
        <v>92.690824107432505</v>
      </c>
      <c r="AM4353">
        <v>90.912366484150397</v>
      </c>
      <c r="AN4353">
        <v>1.00000003503702</v>
      </c>
    </row>
    <row r="4354" spans="1:40" x14ac:dyDescent="0.25">
      <c r="A4354" t="str">
        <f>"20190303153855206"</f>
        <v>20190303153855206</v>
      </c>
      <c r="B4354" t="str">
        <f>"1551598735202940"</f>
        <v>1551598735202940</v>
      </c>
      <c r="C4354" t="s">
        <v>40</v>
      </c>
      <c r="D4354">
        <v>4.2713519999999896</v>
      </c>
      <c r="E4354">
        <v>0.51025240000000005</v>
      </c>
      <c r="F4354" t="s">
        <v>55</v>
      </c>
      <c r="G4354">
        <v>-215.29060000000001</v>
      </c>
      <c r="H4354" s="1">
        <v>1.2503680000000001E-6</v>
      </c>
      <c r="I4354">
        <v>215.2628</v>
      </c>
      <c r="J4354">
        <v>-391.75549999999998</v>
      </c>
      <c r="K4354">
        <v>1.120763</v>
      </c>
      <c r="L4354">
        <v>215.21860000000001</v>
      </c>
      <c r="M4354">
        <v>0.99985619999999997</v>
      </c>
      <c r="N4354">
        <v>-1.2837039999999999E-2</v>
      </c>
      <c r="O4354">
        <v>1.108312E-2</v>
      </c>
      <c r="P4354">
        <v>0.99779180000000001</v>
      </c>
      <c r="Q4354">
        <v>-6.0345580000000003E-2</v>
      </c>
      <c r="R4354">
        <v>2.7753139999999999E-2</v>
      </c>
      <c r="S4354">
        <v>3.0053709999999998</v>
      </c>
      <c r="T4354">
        <v>-1.9055720000000002E-2</v>
      </c>
      <c r="U4354">
        <v>8.0871580000000005E-4</v>
      </c>
      <c r="V4354">
        <v>-1.6693779999999998E-2</v>
      </c>
      <c r="W4354">
        <v>-4.7528099999999997E-2</v>
      </c>
      <c r="X4354">
        <v>0.99873040000000002</v>
      </c>
      <c r="Y4354">
        <v>1.081407E-2</v>
      </c>
      <c r="Z4354" s="1">
        <v>-3.1685859999999998E-5</v>
      </c>
      <c r="AA4354">
        <v>0.99994150000000004</v>
      </c>
      <c r="AB4354">
        <v>31</v>
      </c>
      <c r="AC4354">
        <v>176.46489999999901</v>
      </c>
      <c r="AD4354">
        <v>-1.1207617496319999</v>
      </c>
      <c r="AE4354">
        <v>4.4199999999989303E-2</v>
      </c>
      <c r="AF4354">
        <v>1.91166838692906</v>
      </c>
      <c r="AG4354">
        <v>-1.1207617496319999</v>
      </c>
      <c r="AH4354">
        <v>176.447432250589</v>
      </c>
      <c r="AI4354">
        <v>90.363906039362405</v>
      </c>
      <c r="AJ4354">
        <v>89.379269827071795</v>
      </c>
      <c r="AK4354">
        <v>176.46134684612099</v>
      </c>
      <c r="AL4354">
        <v>92.724185795515396</v>
      </c>
      <c r="AM4354">
        <v>90.957609856843902</v>
      </c>
      <c r="AN4354">
        <v>1.0000000072322199</v>
      </c>
    </row>
    <row r="4355" spans="1:40" x14ac:dyDescent="0.25">
      <c r="A4355" t="str">
        <f>"20190303153855230"</f>
        <v>20190303153855230</v>
      </c>
      <c r="B4355" t="str">
        <f>"1551598735222461"</f>
        <v>1551598735222461</v>
      </c>
      <c r="C4355" t="s">
        <v>40</v>
      </c>
      <c r="D4355">
        <v>4.263172</v>
      </c>
      <c r="E4355">
        <v>0.50995469999999998</v>
      </c>
      <c r="F4355" t="s">
        <v>55</v>
      </c>
      <c r="G4355">
        <v>-231.78919999999999</v>
      </c>
      <c r="H4355" s="1">
        <v>-6.2648099999999996E-7</v>
      </c>
      <c r="I4355">
        <v>215.5727</v>
      </c>
      <c r="J4355">
        <v>-391.43880000000001</v>
      </c>
      <c r="K4355">
        <v>1.12073</v>
      </c>
      <c r="L4355">
        <v>215.22210000000001</v>
      </c>
      <c r="M4355">
        <v>0.99985889999999999</v>
      </c>
      <c r="N4355">
        <v>-1.2622319999999999E-2</v>
      </c>
      <c r="O4355">
        <v>1.108349E-2</v>
      </c>
      <c r="P4355">
        <v>0.99778319999999998</v>
      </c>
      <c r="Q4355">
        <v>-6.028741E-2</v>
      </c>
      <c r="R4355">
        <v>2.8175370000000002E-2</v>
      </c>
      <c r="S4355">
        <v>3.005188</v>
      </c>
      <c r="T4355">
        <v>-2.10551E-2</v>
      </c>
      <c r="U4355">
        <v>6.6528319999999896E-3</v>
      </c>
      <c r="V4355">
        <v>-1.711559E-2</v>
      </c>
      <c r="W4355">
        <v>-4.768443E-2</v>
      </c>
      <c r="X4355">
        <v>0.99871580000000004</v>
      </c>
      <c r="Y4355">
        <v>8.8699260000000002E-3</v>
      </c>
      <c r="Z4355" s="1">
        <v>-2.4798239999999999E-5</v>
      </c>
      <c r="AA4355">
        <v>0.99996070000000004</v>
      </c>
      <c r="AB4355">
        <v>31</v>
      </c>
      <c r="AC4355">
        <v>159.64959999999999</v>
      </c>
      <c r="AD4355">
        <v>-1.120730626481</v>
      </c>
      <c r="AE4355">
        <v>0.35059999999998498</v>
      </c>
      <c r="AF4355">
        <v>1.4189673456229199</v>
      </c>
      <c r="AG4355">
        <v>-1.120730626481</v>
      </c>
      <c r="AH4355">
        <v>159.63581159500299</v>
      </c>
      <c r="AI4355">
        <v>90.402225182436993</v>
      </c>
      <c r="AJ4355">
        <v>89.490723928065705</v>
      </c>
      <c r="AK4355">
        <v>159.64605178036999</v>
      </c>
      <c r="AL4355">
        <v>92.733153035151503</v>
      </c>
      <c r="AM4355">
        <v>90.981815930962</v>
      </c>
      <c r="AN4355">
        <v>0.99999999872755596</v>
      </c>
    </row>
    <row r="4356" spans="1:40" x14ac:dyDescent="0.25">
      <c r="A4356" t="str">
        <f>"20190303153855252"</f>
        <v>20190303153855252</v>
      </c>
      <c r="B4356" t="str">
        <f>"1551598735242956"</f>
        <v>1551598735242956</v>
      </c>
      <c r="C4356" t="s">
        <v>40</v>
      </c>
      <c r="D4356">
        <v>4.2658189999999996</v>
      </c>
      <c r="E4356">
        <v>0.50968179999999996</v>
      </c>
      <c r="F4356" t="s">
        <v>55</v>
      </c>
      <c r="G4356">
        <v>-238.1046</v>
      </c>
      <c r="H4356" s="1">
        <v>2.7267699999999999E-6</v>
      </c>
      <c r="I4356">
        <v>215.74459999999999</v>
      </c>
      <c r="J4356">
        <v>-391.12729999999999</v>
      </c>
      <c r="K4356">
        <v>1.120714</v>
      </c>
      <c r="L4356">
        <v>215.22559999999999</v>
      </c>
      <c r="M4356">
        <v>0.99986120000000001</v>
      </c>
      <c r="N4356">
        <v>-1.2433700000000001E-2</v>
      </c>
      <c r="O4356">
        <v>1.1083859999999999E-2</v>
      </c>
      <c r="P4356">
        <v>0.99778800000000001</v>
      </c>
      <c r="Q4356">
        <v>-6.0049739999999997E-2</v>
      </c>
      <c r="R4356">
        <v>2.8518149999999999E-2</v>
      </c>
      <c r="S4356">
        <v>3.0050349999999999</v>
      </c>
      <c r="T4356">
        <v>-2.1963949999999999E-2</v>
      </c>
      <c r="U4356">
        <v>1.023865E-2</v>
      </c>
      <c r="V4356">
        <v>-1.7458040000000001E-2</v>
      </c>
      <c r="W4356">
        <v>-4.7635070000000002E-2</v>
      </c>
      <c r="X4356">
        <v>0.99871220000000005</v>
      </c>
      <c r="Y4356">
        <v>7.6770190000000002E-3</v>
      </c>
      <c r="Z4356" s="1">
        <v>-1.8973139999999999E-5</v>
      </c>
      <c r="AA4356">
        <v>0.99997060000000004</v>
      </c>
      <c r="AB4356">
        <v>31</v>
      </c>
      <c r="AC4356">
        <v>153.02269999999999</v>
      </c>
      <c r="AD4356">
        <v>-1.12071127323</v>
      </c>
      <c r="AE4356">
        <v>0.51900000000000501</v>
      </c>
      <c r="AF4356">
        <v>1.17718215977787</v>
      </c>
      <c r="AG4356">
        <v>-1.12071127323</v>
      </c>
      <c r="AH4356">
        <v>153.01084449485401</v>
      </c>
      <c r="AI4356">
        <v>90.419636777107499</v>
      </c>
      <c r="AJ4356">
        <v>89.559206152875205</v>
      </c>
      <c r="AK4356">
        <v>153.01947681463199</v>
      </c>
      <c r="AL4356">
        <v>92.730321774488104</v>
      </c>
      <c r="AM4356">
        <v>91.001459824942899</v>
      </c>
      <c r="AN4356">
        <v>0.999999970741692</v>
      </c>
    </row>
    <row r="4357" spans="1:40" x14ac:dyDescent="0.25">
      <c r="A4357" t="str">
        <f>"20190303153855276"</f>
        <v>20190303153855276</v>
      </c>
      <c r="B4357" t="str">
        <f>"1551598735273212"</f>
        <v>1551598735273212</v>
      </c>
      <c r="C4357" t="s">
        <v>40</v>
      </c>
      <c r="D4357">
        <v>4.2653840000000001</v>
      </c>
      <c r="E4357">
        <v>0.50937479999999902</v>
      </c>
      <c r="F4357" t="s">
        <v>55</v>
      </c>
      <c r="G4357">
        <v>-240.95519999999999</v>
      </c>
      <c r="H4357" s="1">
        <v>-1.084371E-6</v>
      </c>
      <c r="I4357">
        <v>215.89510000000001</v>
      </c>
      <c r="J4357">
        <v>-390.80439999999999</v>
      </c>
      <c r="K4357">
        <v>1.1207039999999999</v>
      </c>
      <c r="L4357">
        <v>215.22919999999999</v>
      </c>
      <c r="M4357">
        <v>0.99986339999999996</v>
      </c>
      <c r="N4357">
        <v>-1.226881E-2</v>
      </c>
      <c r="O4357">
        <v>1.10837E-2</v>
      </c>
      <c r="P4357">
        <v>0.99781750000000002</v>
      </c>
      <c r="Q4357">
        <v>-5.9522129999999999E-2</v>
      </c>
      <c r="R4357">
        <v>2.8591399999999999E-2</v>
      </c>
      <c r="S4357">
        <v>3.0049130000000002</v>
      </c>
      <c r="T4357">
        <v>-2.2425290000000001E-2</v>
      </c>
      <c r="U4357">
        <v>1.339722E-2</v>
      </c>
      <c r="V4357">
        <v>-1.75312E-2</v>
      </c>
      <c r="W4357">
        <v>-4.7271809999999997E-2</v>
      </c>
      <c r="X4357">
        <v>0.99872819999999995</v>
      </c>
      <c r="Y4357">
        <v>6.6256889999999997E-3</v>
      </c>
      <c r="Z4357" s="1">
        <v>-1.2091300000000001E-5</v>
      </c>
      <c r="AA4357">
        <v>0.99997809999999998</v>
      </c>
      <c r="AB4357">
        <v>31</v>
      </c>
      <c r="AC4357">
        <v>149.8492</v>
      </c>
      <c r="AD4357">
        <v>-1.120705084371</v>
      </c>
      <c r="AE4357">
        <v>0.66590000000002103</v>
      </c>
      <c r="AF4357">
        <v>0.99509368644394303</v>
      </c>
      <c r="AG4357">
        <v>-1.120705084371</v>
      </c>
      <c r="AH4357">
        <v>149.83899426707299</v>
      </c>
      <c r="AI4357">
        <v>90.428520349688199</v>
      </c>
      <c r="AJ4357">
        <v>89.619499379568893</v>
      </c>
      <c r="AK4357">
        <v>149.84648942934501</v>
      </c>
      <c r="AL4357">
        <v>92.709484977009495</v>
      </c>
      <c r="AM4357">
        <v>91.005639594094603</v>
      </c>
      <c r="AN4357">
        <v>0.99999999223467795</v>
      </c>
    </row>
    <row r="4358" spans="1:40" x14ac:dyDescent="0.25">
      <c r="A4358" t="str">
        <f>"20190303153855299"</f>
        <v>20190303153855299</v>
      </c>
      <c r="B4358" t="str">
        <f>"1551598735292732"</f>
        <v>1551598735292732</v>
      </c>
      <c r="C4358" t="s">
        <v>40</v>
      </c>
      <c r="D4358">
        <v>4.250521</v>
      </c>
      <c r="E4358">
        <v>0.50918469999999905</v>
      </c>
      <c r="F4358" t="s">
        <v>55</v>
      </c>
      <c r="G4358">
        <v>-232.2131</v>
      </c>
      <c r="H4358" s="1">
        <v>-4.2296550000000002E-7</v>
      </c>
      <c r="I4358">
        <v>216.0772</v>
      </c>
      <c r="J4358">
        <v>-390.4819</v>
      </c>
      <c r="K4358">
        <v>1.120714</v>
      </c>
      <c r="L4358">
        <v>215.23269999999999</v>
      </c>
      <c r="M4358">
        <v>0.99986470000000005</v>
      </c>
      <c r="N4358">
        <v>-1.215952E-2</v>
      </c>
      <c r="O4358">
        <v>1.1083900000000001E-2</v>
      </c>
      <c r="P4358">
        <v>0.9978669</v>
      </c>
      <c r="Q4358">
        <v>-5.8655600000000002E-2</v>
      </c>
      <c r="R4358">
        <v>2.866001E-2</v>
      </c>
      <c r="S4358">
        <v>3.0048520000000001</v>
      </c>
      <c r="T4358">
        <v>-2.123415E-2</v>
      </c>
      <c r="U4358">
        <v>1.6067499999999998E-2</v>
      </c>
      <c r="V4358">
        <v>-1.759898E-2</v>
      </c>
      <c r="W4358">
        <v>-4.6513869999999999E-2</v>
      </c>
      <c r="X4358">
        <v>0.99876259999999994</v>
      </c>
      <c r="Y4358">
        <v>5.7372480000000003E-3</v>
      </c>
      <c r="Z4358" s="1">
        <v>1.3058930000000001E-6</v>
      </c>
      <c r="AA4358">
        <v>0.99998350000000003</v>
      </c>
      <c r="AB4358">
        <v>31</v>
      </c>
      <c r="AC4358">
        <v>158.2688</v>
      </c>
      <c r="AD4358">
        <v>-1.1207144229654999</v>
      </c>
      <c r="AE4358">
        <v>0.84450000000001002</v>
      </c>
      <c r="AF4358">
        <v>0.909871404926199</v>
      </c>
      <c r="AG4358">
        <v>-1.1207144229654999</v>
      </c>
      <c r="AH4358">
        <v>158.26050219494701</v>
      </c>
      <c r="AI4358">
        <v>90.405723924378407</v>
      </c>
      <c r="AJ4358">
        <v>89.6705986881489</v>
      </c>
      <c r="AK4358">
        <v>158.26708571837699</v>
      </c>
      <c r="AL4358">
        <v>92.666010372694302</v>
      </c>
      <c r="AM4358">
        <v>91.009492081410897</v>
      </c>
      <c r="AN4358">
        <v>0.99999999767908798</v>
      </c>
    </row>
    <row r="4359" spans="1:40" x14ac:dyDescent="0.25">
      <c r="A4359" t="str">
        <f>"20190303153855319"</f>
        <v>20190303153855319</v>
      </c>
      <c r="B4359" t="str">
        <f>"1551598735313229"</f>
        <v>1551598735313229</v>
      </c>
      <c r="C4359" t="s">
        <v>40</v>
      </c>
      <c r="D4359">
        <v>4.2408950000000001</v>
      </c>
      <c r="E4359">
        <v>0.50892820000000005</v>
      </c>
      <c r="F4359" t="s">
        <v>55</v>
      </c>
      <c r="G4359">
        <v>-216.358</v>
      </c>
      <c r="H4359" s="1">
        <v>1.7746360000000001E-6</v>
      </c>
      <c r="I4359">
        <v>216.2638</v>
      </c>
      <c r="J4359">
        <v>-390.209</v>
      </c>
      <c r="K4359">
        <v>1.1207469999999999</v>
      </c>
      <c r="L4359">
        <v>215.23580000000001</v>
      </c>
      <c r="M4359">
        <v>0.999865</v>
      </c>
      <c r="N4359">
        <v>-1.214352E-2</v>
      </c>
      <c r="O4359">
        <v>1.1083819999999999E-2</v>
      </c>
      <c r="P4359">
        <v>0.99786629999999998</v>
      </c>
      <c r="Q4359">
        <v>-5.8661900000000003E-2</v>
      </c>
      <c r="R4359">
        <v>2.8667870000000002E-2</v>
      </c>
      <c r="S4359">
        <v>3.0047299999999999</v>
      </c>
      <c r="T4359">
        <v>-1.933932E-2</v>
      </c>
      <c r="U4359">
        <v>1.7791749999999999E-2</v>
      </c>
      <c r="V4359">
        <v>-1.7607049999999999E-2</v>
      </c>
      <c r="W4359">
        <v>-4.6536170000000002E-2</v>
      </c>
      <c r="X4359">
        <v>0.99876140000000002</v>
      </c>
      <c r="Y4359">
        <v>5.1631749999999999E-3</v>
      </c>
      <c r="Z4359" s="1">
        <v>1.5301599999999999E-5</v>
      </c>
      <c r="AA4359">
        <v>0.99998659999999995</v>
      </c>
      <c r="AB4359">
        <v>31</v>
      </c>
      <c r="AC4359">
        <v>173.851</v>
      </c>
      <c r="AD4359">
        <v>-1.120745225364</v>
      </c>
      <c r="AE4359">
        <v>1.02799999999999</v>
      </c>
      <c r="AF4359">
        <v>0.89910075473462003</v>
      </c>
      <c r="AG4359">
        <v>-1.120745225364</v>
      </c>
      <c r="AH4359">
        <v>173.84448975938</v>
      </c>
      <c r="AI4359">
        <v>90.369365880224095</v>
      </c>
      <c r="AJ4359">
        <v>89.703676433038694</v>
      </c>
      <c r="AK4359">
        <v>173.85042729808401</v>
      </c>
      <c r="AL4359">
        <v>92.667289504247293</v>
      </c>
      <c r="AM4359">
        <v>91.009956100639599</v>
      </c>
      <c r="AN4359">
        <v>0.99999997872896496</v>
      </c>
    </row>
    <row r="4360" spans="1:40" x14ac:dyDescent="0.25">
      <c r="A4360" t="str">
        <f>"20190303153855342"</f>
        <v>20190303153855342</v>
      </c>
      <c r="B4360" t="str">
        <f>"1551598735332749"</f>
        <v>1551598735332749</v>
      </c>
      <c r="C4360" t="s">
        <v>40</v>
      </c>
      <c r="D4360">
        <v>4.1394789999999997</v>
      </c>
      <c r="E4360">
        <v>0.50882240000000001</v>
      </c>
      <c r="F4360" t="s">
        <v>55</v>
      </c>
      <c r="G4360">
        <v>-232.40940000000001</v>
      </c>
      <c r="H4360" s="1">
        <v>-3.27326E-7</v>
      </c>
      <c r="I4360">
        <v>216.28</v>
      </c>
      <c r="J4360">
        <v>-389.88200000000001</v>
      </c>
      <c r="K4360">
        <v>1.1208009999999999</v>
      </c>
      <c r="L4360">
        <v>215.23939999999999</v>
      </c>
      <c r="M4360">
        <v>0.99986359999999996</v>
      </c>
      <c r="N4360">
        <v>-1.224869E-2</v>
      </c>
      <c r="O4360">
        <v>1.108401E-2</v>
      </c>
      <c r="P4360">
        <v>0.99783100000000002</v>
      </c>
      <c r="Q4360">
        <v>-5.8953180000000001E-2</v>
      </c>
      <c r="R4360">
        <v>2.9288419999999999E-2</v>
      </c>
      <c r="S4360">
        <v>3.0046080000000002</v>
      </c>
      <c r="T4360">
        <v>-2.1339770000000001E-2</v>
      </c>
      <c r="U4360">
        <v>1.9882199999999999E-2</v>
      </c>
      <c r="V4360">
        <v>-1.8227440000000001E-2</v>
      </c>
      <c r="W4360">
        <v>-4.6722710000000001E-2</v>
      </c>
      <c r="X4360">
        <v>0.99874160000000001</v>
      </c>
      <c r="Y4360">
        <v>4.4674559999999999E-3</v>
      </c>
      <c r="Z4360" s="1">
        <v>1.3827209999999999E-5</v>
      </c>
      <c r="AA4360">
        <v>0.99999000000000005</v>
      </c>
      <c r="AB4360">
        <v>31</v>
      </c>
      <c r="AC4360">
        <v>157.47259999999901</v>
      </c>
      <c r="AD4360">
        <v>-1.120801327326</v>
      </c>
      <c r="AE4360">
        <v>1.04060000000001</v>
      </c>
      <c r="AF4360">
        <v>0.70498695199549699</v>
      </c>
      <c r="AG4360">
        <v>-1.120801327326</v>
      </c>
      <c r="AH4360">
        <v>157.46648339305199</v>
      </c>
      <c r="AI4360">
        <v>90.407803974403805</v>
      </c>
      <c r="AJ4360">
        <v>89.743485050180396</v>
      </c>
      <c r="AK4360">
        <v>157.472050200637</v>
      </c>
      <c r="AL4360">
        <v>92.677988994024005</v>
      </c>
      <c r="AM4360">
        <v>91.045555182768894</v>
      </c>
      <c r="AN4360">
        <v>1.00000001738462</v>
      </c>
    </row>
    <row r="4361" spans="1:40" x14ac:dyDescent="0.25">
      <c r="A4361" t="str">
        <f>"20190303153855363"</f>
        <v>20190303153855363</v>
      </c>
      <c r="B4361" t="str">
        <f>"1551598735353248"</f>
        <v>1551598735353248</v>
      </c>
      <c r="C4361" t="s">
        <v>40</v>
      </c>
      <c r="D4361">
        <v>4.1335110000000004</v>
      </c>
      <c r="E4361">
        <v>0.50863840000000005</v>
      </c>
      <c r="F4361" t="s">
        <v>55</v>
      </c>
      <c r="G4361">
        <v>-234.04310000000001</v>
      </c>
      <c r="H4361" s="1">
        <v>5.3613420000000001E-7</v>
      </c>
      <c r="I4361">
        <v>216.41470000000001</v>
      </c>
      <c r="J4361">
        <v>-389.58850000000001</v>
      </c>
      <c r="K4361">
        <v>1.1208739999999999</v>
      </c>
      <c r="L4361">
        <v>215.24260000000001</v>
      </c>
      <c r="M4361">
        <v>0.99986129999999995</v>
      </c>
      <c r="N4361">
        <v>-1.24444E-2</v>
      </c>
      <c r="O4361">
        <v>1.108379E-2</v>
      </c>
      <c r="P4361">
        <v>0.99778889999999998</v>
      </c>
      <c r="Q4361">
        <v>-5.9659299999999998E-2</v>
      </c>
      <c r="R4361">
        <v>2.929561E-2</v>
      </c>
      <c r="S4361">
        <v>3.004578</v>
      </c>
      <c r="T4361">
        <v>-2.1609070000000001E-2</v>
      </c>
      <c r="U4361">
        <v>2.26593E-2</v>
      </c>
      <c r="V4361">
        <v>-1.8235580000000001E-2</v>
      </c>
      <c r="W4361">
        <v>-4.7233829999999997E-2</v>
      </c>
      <c r="X4361">
        <v>0.99871739999999998</v>
      </c>
      <c r="Y4361">
        <v>3.5430169999999999E-3</v>
      </c>
      <c r="Z4361" s="1">
        <v>2.344064E-5</v>
      </c>
      <c r="AA4361">
        <v>0.99999369999999999</v>
      </c>
      <c r="AB4361">
        <v>31</v>
      </c>
      <c r="AC4361">
        <v>155.5454</v>
      </c>
      <c r="AD4361">
        <v>-1.1208734638658</v>
      </c>
      <c r="AE4361">
        <v>1.1720999999999999</v>
      </c>
      <c r="AF4361">
        <v>0.55210911389809403</v>
      </c>
      <c r="AG4361">
        <v>-1.1208734638658</v>
      </c>
      <c r="AH4361">
        <v>155.540759726017</v>
      </c>
      <c r="AI4361">
        <v>90.412880859956203</v>
      </c>
      <c r="AJ4361">
        <v>89.796623153597807</v>
      </c>
      <c r="AK4361">
        <v>155.54577820674601</v>
      </c>
      <c r="AL4361">
        <v>92.707306406888804</v>
      </c>
      <c r="AM4361">
        <v>91.046047343109095</v>
      </c>
      <c r="AN4361">
        <v>1.00000000806858</v>
      </c>
    </row>
    <row r="4362" spans="1:40" x14ac:dyDescent="0.25">
      <c r="A4362" t="str">
        <f>"20190303153855385"</f>
        <v>20190303153855385</v>
      </c>
      <c r="B4362" t="str">
        <f>"1551598735372764"</f>
        <v>1551598735372764</v>
      </c>
      <c r="C4362" t="s">
        <v>40</v>
      </c>
      <c r="D4362">
        <v>4.2332150000000004</v>
      </c>
      <c r="E4362">
        <v>0.50848400000000005</v>
      </c>
      <c r="F4362" t="s">
        <v>55</v>
      </c>
      <c r="G4362">
        <v>-251.91309999999999</v>
      </c>
      <c r="H4362" s="1">
        <v>-5.9441739999999999E-7</v>
      </c>
      <c r="I4362">
        <v>216.34739999999999</v>
      </c>
      <c r="J4362">
        <v>-389.29230000000001</v>
      </c>
      <c r="K4362">
        <v>1.1209420000000001</v>
      </c>
      <c r="L4362">
        <v>215.24590000000001</v>
      </c>
      <c r="M4362">
        <v>0.99985809999999997</v>
      </c>
      <c r="N4362">
        <v>-1.269552E-2</v>
      </c>
      <c r="O4362">
        <v>1.1083859999999999E-2</v>
      </c>
      <c r="P4362">
        <v>0.99775449999999999</v>
      </c>
      <c r="Q4362">
        <v>-6.0200400000000001E-2</v>
      </c>
      <c r="R4362">
        <v>2.936536E-2</v>
      </c>
      <c r="S4362">
        <v>3.004486</v>
      </c>
      <c r="T4362">
        <v>-2.446079E-2</v>
      </c>
      <c r="U4362">
        <v>2.4108890000000001E-2</v>
      </c>
      <c r="V4362">
        <v>-1.8305800000000001E-2</v>
      </c>
      <c r="W4362">
        <v>-4.7524480000000001E-2</v>
      </c>
      <c r="X4362">
        <v>0.99870230000000004</v>
      </c>
      <c r="Y4362">
        <v>3.0604790000000001E-3</v>
      </c>
      <c r="Z4362" s="1">
        <v>1.8603730000000002E-5</v>
      </c>
      <c r="AA4362">
        <v>0.99999530000000003</v>
      </c>
      <c r="AB4362">
        <v>31</v>
      </c>
      <c r="AC4362">
        <v>137.3792</v>
      </c>
      <c r="AD4362">
        <v>-1.1209425944173901</v>
      </c>
      <c r="AE4362">
        <v>1.1014999999999799</v>
      </c>
      <c r="AF4362">
        <v>0.42135397927481399</v>
      </c>
      <c r="AG4362">
        <v>-1.1209425944173901</v>
      </c>
      <c r="AH4362">
        <v>137.37382422441499</v>
      </c>
      <c r="AI4362">
        <v>90.467509386508894</v>
      </c>
      <c r="AJ4362">
        <v>89.824262525095605</v>
      </c>
      <c r="AK4362">
        <v>137.379043647553</v>
      </c>
      <c r="AL4362">
        <v>92.723978220929496</v>
      </c>
      <c r="AM4362">
        <v>91.050090345057995</v>
      </c>
      <c r="AN4362">
        <v>0.99999998126909995</v>
      </c>
    </row>
    <row r="4363" spans="1:40" x14ac:dyDescent="0.25">
      <c r="A4363" t="str">
        <f>"20190303153855408"</f>
        <v>20190303153855408</v>
      </c>
      <c r="B4363" t="str">
        <f>"1551598735403020"</f>
        <v>1551598735403020</v>
      </c>
      <c r="C4363" t="s">
        <v>40</v>
      </c>
      <c r="D4363">
        <v>4.2559750000000003</v>
      </c>
      <c r="E4363">
        <v>0.5082738</v>
      </c>
      <c r="F4363" t="s">
        <v>55</v>
      </c>
      <c r="G4363">
        <v>-263.697</v>
      </c>
      <c r="H4363" s="1">
        <v>3.567184E-7</v>
      </c>
      <c r="I4363">
        <v>216.30609999999999</v>
      </c>
      <c r="J4363">
        <v>-388.98379999999997</v>
      </c>
      <c r="K4363">
        <v>1.121014</v>
      </c>
      <c r="L4363">
        <v>215.24940000000001</v>
      </c>
      <c r="M4363">
        <v>0.99985449999999998</v>
      </c>
      <c r="N4363">
        <v>-1.297736E-2</v>
      </c>
      <c r="O4363">
        <v>1.10837E-2</v>
      </c>
      <c r="P4363">
        <v>0.99775060000000004</v>
      </c>
      <c r="Q4363">
        <v>-6.055791E-2</v>
      </c>
      <c r="R4363">
        <v>2.8759239999999998E-2</v>
      </c>
      <c r="S4363">
        <v>3.0044249999999999</v>
      </c>
      <c r="T4363">
        <v>-2.6814580000000001E-2</v>
      </c>
      <c r="U4363">
        <v>2.5360110000000002E-2</v>
      </c>
      <c r="V4363">
        <v>-1.769952E-2</v>
      </c>
      <c r="W4363">
        <v>-4.7600610000000002E-2</v>
      </c>
      <c r="X4363">
        <v>0.99870959999999998</v>
      </c>
      <c r="Y4363">
        <v>2.6437850000000001E-3</v>
      </c>
      <c r="Z4363" s="1">
        <v>1.5975860000000001E-5</v>
      </c>
      <c r="AA4363">
        <v>0.99999649999999995</v>
      </c>
      <c r="AB4363">
        <v>31</v>
      </c>
      <c r="AC4363">
        <v>125.286799999999</v>
      </c>
      <c r="AD4363">
        <v>-1.1210136432816</v>
      </c>
      <c r="AE4363">
        <v>1.05669999999997</v>
      </c>
      <c r="AF4363">
        <v>0.33209639069702601</v>
      </c>
      <c r="AG4363">
        <v>-1.1210136432816</v>
      </c>
      <c r="AH4363">
        <v>125.28078679394901</v>
      </c>
      <c r="AI4363">
        <v>90.512667683554497</v>
      </c>
      <c r="AJ4363">
        <v>89.848119751660093</v>
      </c>
      <c r="AK4363">
        <v>125.28624225872601</v>
      </c>
      <c r="AL4363">
        <v>92.728345099496096</v>
      </c>
      <c r="AM4363">
        <v>91.015311802397093</v>
      </c>
      <c r="AN4363">
        <v>0.99999997810638097</v>
      </c>
    </row>
    <row r="4364" spans="1:40" x14ac:dyDescent="0.25">
      <c r="A4364" t="str">
        <f>"20190303153855431"</f>
        <v>20190303153855431</v>
      </c>
      <c r="B4364" t="str">
        <f>"1551598735422544"</f>
        <v>1551598735422544</v>
      </c>
      <c r="C4364" t="s">
        <v>40</v>
      </c>
      <c r="D4364">
        <v>4.1593839999999904</v>
      </c>
      <c r="E4364">
        <v>0.50813160000000002</v>
      </c>
      <c r="F4364" t="s">
        <v>55</v>
      </c>
      <c r="G4364">
        <v>-270.98899999999998</v>
      </c>
      <c r="H4364" s="1">
        <v>-1.081348E-6</v>
      </c>
      <c r="I4364">
        <v>216.23759999999999</v>
      </c>
      <c r="J4364">
        <v>-388.67070000000001</v>
      </c>
      <c r="K4364">
        <v>1.1210739999999999</v>
      </c>
      <c r="L4364">
        <v>215.25280000000001</v>
      </c>
      <c r="M4364">
        <v>0.99985060000000003</v>
      </c>
      <c r="N4364">
        <v>-1.326125E-2</v>
      </c>
      <c r="O4364">
        <v>1.1083829999999999E-2</v>
      </c>
      <c r="P4364">
        <v>0.99779019999999996</v>
      </c>
      <c r="Q4364">
        <v>-6.015728E-2</v>
      </c>
      <c r="R4364">
        <v>2.821096E-2</v>
      </c>
      <c r="S4364">
        <v>3.0043030000000002</v>
      </c>
      <c r="T4364">
        <v>-2.8542519999999998E-2</v>
      </c>
      <c r="U4364">
        <v>2.5161739999999998E-2</v>
      </c>
      <c r="V4364">
        <v>-1.715098E-2</v>
      </c>
      <c r="W4364">
        <v>-4.6916060000000002E-2</v>
      </c>
      <c r="X4364">
        <v>0.99875159999999996</v>
      </c>
      <c r="Y4364">
        <v>2.7096220000000001E-3</v>
      </c>
      <c r="Z4364" s="1">
        <v>1.0859750000000001E-5</v>
      </c>
      <c r="AA4364">
        <v>0.99999629999999995</v>
      </c>
      <c r="AB4364">
        <v>31</v>
      </c>
      <c r="AC4364">
        <v>117.681699999999</v>
      </c>
      <c r="AD4364">
        <v>-1.1210750813479999</v>
      </c>
      <c r="AE4364">
        <v>0.98479999999997803</v>
      </c>
      <c r="AF4364">
        <v>0.319710200554924</v>
      </c>
      <c r="AG4364">
        <v>-1.1210750813479999</v>
      </c>
      <c r="AH4364">
        <v>117.674707795458</v>
      </c>
      <c r="AI4364">
        <v>90.545832589217298</v>
      </c>
      <c r="AJ4364">
        <v>89.844333583395397</v>
      </c>
      <c r="AK4364">
        <v>117.680482148471</v>
      </c>
      <c r="AL4364">
        <v>92.689079299422701</v>
      </c>
      <c r="AM4364">
        <v>90.983810379795401</v>
      </c>
      <c r="AN4364">
        <v>1.0000000156517199</v>
      </c>
    </row>
    <row r="4365" spans="1:40" x14ac:dyDescent="0.25">
      <c r="A4365" t="str">
        <f>"20190303153855452"</f>
        <v>20190303153855452</v>
      </c>
      <c r="B4365" t="str">
        <f>"1551598735443036"</f>
        <v>1551598735443036</v>
      </c>
      <c r="C4365" t="s">
        <v>40</v>
      </c>
      <c r="D4365">
        <v>4.2795730000000001</v>
      </c>
      <c r="E4365">
        <v>0.50792660000000001</v>
      </c>
      <c r="F4365" t="s">
        <v>55</v>
      </c>
      <c r="G4365">
        <v>-267.93400000000003</v>
      </c>
      <c r="H4365" s="1">
        <v>2.614027E-6</v>
      </c>
      <c r="I4365">
        <v>216.24680000000001</v>
      </c>
      <c r="J4365">
        <v>-388.36799999999999</v>
      </c>
      <c r="K4365">
        <v>1.121122</v>
      </c>
      <c r="L4365">
        <v>215.2561</v>
      </c>
      <c r="M4365">
        <v>0.99984720000000005</v>
      </c>
      <c r="N4365">
        <v>-1.3520799999999999E-2</v>
      </c>
      <c r="O4365">
        <v>1.10841E-2</v>
      </c>
      <c r="P4365">
        <v>0.99784059999999997</v>
      </c>
      <c r="Q4365">
        <v>-5.9632770000000002E-2</v>
      </c>
      <c r="R4365">
        <v>2.7537039999999999E-2</v>
      </c>
      <c r="S4365">
        <v>3.0042719999999998</v>
      </c>
      <c r="T4365">
        <v>-2.7895449999999999E-2</v>
      </c>
      <c r="U4365">
        <v>2.47345E-2</v>
      </c>
      <c r="V4365">
        <v>-1.6476270000000001E-2</v>
      </c>
      <c r="W4365">
        <v>-4.6131779999999997E-2</v>
      </c>
      <c r="X4365">
        <v>0.99879949999999995</v>
      </c>
      <c r="Y4365">
        <v>2.8520099999999999E-3</v>
      </c>
      <c r="Z4365" s="1">
        <v>1.4440340000000001E-5</v>
      </c>
      <c r="AA4365">
        <v>0.99999590000000005</v>
      </c>
      <c r="AB4365">
        <v>31</v>
      </c>
      <c r="AC4365">
        <v>120.434</v>
      </c>
      <c r="AD4365">
        <v>-1.121119385973</v>
      </c>
      <c r="AE4365">
        <v>0.99070000000000402</v>
      </c>
      <c r="AF4365">
        <v>0.34435550381234398</v>
      </c>
      <c r="AG4365">
        <v>-1.121119385973</v>
      </c>
      <c r="AH4365">
        <v>120.42714715180701</v>
      </c>
      <c r="AI4365">
        <v>90.533378830901199</v>
      </c>
      <c r="AJ4365">
        <v>89.836165983224802</v>
      </c>
      <c r="AK4365">
        <v>120.432857893989</v>
      </c>
      <c r="AL4365">
        <v>92.6440946300946</v>
      </c>
      <c r="AM4365">
        <v>90.945069674126799</v>
      </c>
      <c r="AN4365">
        <v>1.0000000248996599</v>
      </c>
    </row>
    <row r="4366" spans="1:40" x14ac:dyDescent="0.25">
      <c r="A4366" t="str">
        <f>"20190303153855467"</f>
        <v>20190303153855467</v>
      </c>
      <c r="B4366" t="str">
        <f>"1551598735462556"</f>
        <v>1551598735462556</v>
      </c>
      <c r="C4366" t="s">
        <v>40</v>
      </c>
      <c r="D4366">
        <v>4.2585759999999997</v>
      </c>
      <c r="E4366">
        <v>0.50773500000000005</v>
      </c>
      <c r="F4366" t="s">
        <v>55</v>
      </c>
      <c r="G4366">
        <v>-268.81740000000002</v>
      </c>
      <c r="H4366" s="1">
        <v>3.0854269999999998E-6</v>
      </c>
      <c r="I4366">
        <v>216.21680000000001</v>
      </c>
      <c r="J4366">
        <v>-388.16829999999999</v>
      </c>
      <c r="K4366">
        <v>1.121148</v>
      </c>
      <c r="L4366">
        <v>215.25839999999999</v>
      </c>
      <c r="M4366">
        <v>0.99984499999999998</v>
      </c>
      <c r="N4366">
        <v>-1.3682420000000001E-2</v>
      </c>
      <c r="O4366">
        <v>1.1084109999999999E-2</v>
      </c>
      <c r="P4366">
        <v>0.99785760000000001</v>
      </c>
      <c r="Q4366">
        <v>-5.9534629999999998E-2</v>
      </c>
      <c r="R4366">
        <v>2.7126219999999999E-2</v>
      </c>
      <c r="S4366">
        <v>3.0041500000000001</v>
      </c>
      <c r="T4366">
        <v>-2.8172249999999999E-2</v>
      </c>
      <c r="U4366">
        <v>2.4139399999999998E-2</v>
      </c>
      <c r="V4366">
        <v>-1.606544E-2</v>
      </c>
      <c r="W4366">
        <v>-4.5872059999999999E-2</v>
      </c>
      <c r="X4366">
        <v>0.99881819999999999</v>
      </c>
      <c r="Y4366">
        <v>3.049763E-3</v>
      </c>
      <c r="Z4366" s="1">
        <v>1.25640899999999E-5</v>
      </c>
      <c r="AA4366">
        <v>0.99999539999999998</v>
      </c>
      <c r="AB4366">
        <v>30</v>
      </c>
      <c r="AC4366">
        <v>119.350899999999</v>
      </c>
      <c r="AD4366">
        <v>-1.1211449145729999</v>
      </c>
      <c r="AE4366">
        <v>0.95840000000001102</v>
      </c>
      <c r="AF4366">
        <v>0.36464900204638701</v>
      </c>
      <c r="AG4366">
        <v>-1.1211449145729999</v>
      </c>
      <c r="AH4366">
        <v>119.34366046558399</v>
      </c>
      <c r="AI4366">
        <v>90.538232882885694</v>
      </c>
      <c r="AJ4366">
        <v>89.824935956190302</v>
      </c>
      <c r="AK4366">
        <v>119.34948356879799</v>
      </c>
      <c r="AL4366">
        <v>92.629197880423007</v>
      </c>
      <c r="AM4366">
        <v>90.921491559931496</v>
      </c>
      <c r="AN4366">
        <v>1.00000007045113</v>
      </c>
    </row>
    <row r="4367" spans="1:40" x14ac:dyDescent="0.25">
      <c r="A4367" t="str">
        <f>"20190303153855487"</f>
        <v>20190303153855487</v>
      </c>
      <c r="B4367" t="str">
        <f>"1551598735483052"</f>
        <v>1551598735483052</v>
      </c>
      <c r="C4367" t="s">
        <v>40</v>
      </c>
      <c r="D4367">
        <v>4.194655</v>
      </c>
      <c r="E4367">
        <v>0.50767280000000004</v>
      </c>
      <c r="F4367" t="s">
        <v>55</v>
      </c>
      <c r="G4367">
        <v>-274.0856</v>
      </c>
      <c r="H4367" s="1">
        <v>5.6872550000000002E-7</v>
      </c>
      <c r="I4367">
        <v>216.18610000000001</v>
      </c>
      <c r="J4367">
        <v>-387.90339999999998</v>
      </c>
      <c r="K4367">
        <v>1.121176</v>
      </c>
      <c r="L4367">
        <v>215.26130000000001</v>
      </c>
      <c r="M4367">
        <v>0.99984220000000001</v>
      </c>
      <c r="N4367">
        <v>-1.388E-2</v>
      </c>
      <c r="O4367">
        <v>1.10841E-2</v>
      </c>
      <c r="P4367">
        <v>0.99785270000000004</v>
      </c>
      <c r="Q4367">
        <v>-5.9742740000000003E-2</v>
      </c>
      <c r="R4367">
        <v>2.684862E-2</v>
      </c>
      <c r="S4367">
        <v>3.0040279999999999</v>
      </c>
      <c r="T4367">
        <v>-2.9522059999999999E-2</v>
      </c>
      <c r="U4367">
        <v>2.4429320000000001E-2</v>
      </c>
      <c r="V4367">
        <v>-1.578777E-2</v>
      </c>
      <c r="W4367">
        <v>-4.5882899999999997E-2</v>
      </c>
      <c r="X4367">
        <v>0.99882199999999999</v>
      </c>
      <c r="Y4367">
        <v>2.9529539999999998E-3</v>
      </c>
      <c r="Z4367" s="1">
        <v>9.9308080000000001E-6</v>
      </c>
      <c r="AA4367">
        <v>0.99999559999999998</v>
      </c>
      <c r="AB4367">
        <v>30</v>
      </c>
      <c r="AC4367">
        <v>113.817799999999</v>
      </c>
      <c r="AD4367">
        <v>-1.1211754312744999</v>
      </c>
      <c r="AE4367">
        <v>0.92480000000000395</v>
      </c>
      <c r="AF4367">
        <v>0.33691358963316198</v>
      </c>
      <c r="AG4367">
        <v>-1.1211754312744999</v>
      </c>
      <c r="AH4367">
        <v>113.81001554465099</v>
      </c>
      <c r="AI4367">
        <v>90.564416590203905</v>
      </c>
      <c r="AJ4367">
        <v>89.830386892882004</v>
      </c>
      <c r="AK4367">
        <v>113.81603658267299</v>
      </c>
      <c r="AL4367">
        <v>92.629819962109096</v>
      </c>
      <c r="AM4367">
        <v>90.905564021234099</v>
      </c>
      <c r="AN4367">
        <v>0.99999994093898903</v>
      </c>
    </row>
    <row r="4368" spans="1:40" x14ac:dyDescent="0.25">
      <c r="A4368" t="str">
        <f>"20190303153855509"</f>
        <v>20190303153855509</v>
      </c>
      <c r="B4368" t="str">
        <f>"1551598735502573"</f>
        <v>1551598735502573</v>
      </c>
      <c r="C4368" t="s">
        <v>40</v>
      </c>
      <c r="D4368">
        <v>4.3236949999999998</v>
      </c>
      <c r="E4368">
        <v>0.50783069999999997</v>
      </c>
      <c r="F4368" t="s">
        <v>55</v>
      </c>
      <c r="G4368">
        <v>-274.60649999999998</v>
      </c>
      <c r="H4368" s="1">
        <v>8.4656190000000004E-7</v>
      </c>
      <c r="I4368">
        <v>216.17169999999999</v>
      </c>
      <c r="J4368">
        <v>-387.60719999999998</v>
      </c>
      <c r="K4368">
        <v>1.121184</v>
      </c>
      <c r="L4368">
        <v>215.2646</v>
      </c>
      <c r="M4368">
        <v>0.99984010000000001</v>
      </c>
      <c r="N4368">
        <v>-1.403633E-2</v>
      </c>
      <c r="O4368">
        <v>1.1083829999999999E-2</v>
      </c>
      <c r="P4368">
        <v>0.99785990000000002</v>
      </c>
      <c r="Q4368">
        <v>-5.9765850000000002E-2</v>
      </c>
      <c r="R4368">
        <v>2.6525739999999999E-2</v>
      </c>
      <c r="S4368">
        <v>3.0040279999999999</v>
      </c>
      <c r="T4368">
        <v>-2.972758E-2</v>
      </c>
      <c r="U4368">
        <v>2.4139399999999998E-2</v>
      </c>
      <c r="V4368">
        <v>-1.546495E-2</v>
      </c>
      <c r="W4368">
        <v>-4.5749810000000002E-2</v>
      </c>
      <c r="X4368">
        <v>0.99883319999999998</v>
      </c>
      <c r="Y4368">
        <v>3.0491870000000001E-3</v>
      </c>
      <c r="Z4368" s="1">
        <v>9.421003E-6</v>
      </c>
      <c r="AA4368">
        <v>0.99999539999999998</v>
      </c>
      <c r="AB4368">
        <v>30</v>
      </c>
      <c r="AC4368">
        <v>113.00069999999999</v>
      </c>
      <c r="AD4368">
        <v>-1.1211831534381</v>
      </c>
      <c r="AE4368">
        <v>0.90709999999998503</v>
      </c>
      <c r="AF4368">
        <v>0.34552560713267499</v>
      </c>
      <c r="AG4368">
        <v>-1.1211831534381</v>
      </c>
      <c r="AH4368">
        <v>112.992689634347</v>
      </c>
      <c r="AI4368">
        <v>90.568502745409404</v>
      </c>
      <c r="AJ4368">
        <v>89.824793113972007</v>
      </c>
      <c r="AK4368">
        <v>112.998780304978</v>
      </c>
      <c r="AL4368">
        <v>92.622186333036893</v>
      </c>
      <c r="AM4368">
        <v>90.887040569977501</v>
      </c>
      <c r="AN4368">
        <v>0.99999998560788905</v>
      </c>
    </row>
    <row r="4369" spans="1:40" x14ac:dyDescent="0.25">
      <c r="A4369" t="str">
        <f>"20190303153855532"</f>
        <v>20190303153855532</v>
      </c>
      <c r="B4369" t="str">
        <f>"1551598735523076"</f>
        <v>1551598735523076</v>
      </c>
      <c r="C4369" t="s">
        <v>40</v>
      </c>
      <c r="D4369">
        <v>4.302956</v>
      </c>
      <c r="E4369">
        <v>0.50798480000000001</v>
      </c>
      <c r="F4369" t="s">
        <v>55</v>
      </c>
      <c r="G4369">
        <v>-275.61180000000002</v>
      </c>
      <c r="H4369" s="1">
        <v>1.3854210000000001E-6</v>
      </c>
      <c r="I4369">
        <v>216.08260000000001</v>
      </c>
      <c r="J4369">
        <v>-387.29930000000002</v>
      </c>
      <c r="K4369">
        <v>1.1211500000000001</v>
      </c>
      <c r="L4369">
        <v>215.268</v>
      </c>
      <c r="M4369">
        <v>0.99984019999999996</v>
      </c>
      <c r="N4369">
        <v>-1.4033449999999999E-2</v>
      </c>
      <c r="O4369">
        <v>1.10835E-2</v>
      </c>
      <c r="P4369">
        <v>0.99786030000000003</v>
      </c>
      <c r="Q4369">
        <v>-5.9674749999999999E-2</v>
      </c>
      <c r="R4369">
        <v>2.672424E-2</v>
      </c>
      <c r="S4369">
        <v>3.0040589999999998</v>
      </c>
      <c r="T4369">
        <v>-3.0073519999999999E-2</v>
      </c>
      <c r="U4369">
        <v>2.1942139999999999E-2</v>
      </c>
      <c r="V4369">
        <v>-1.566362E-2</v>
      </c>
      <c r="W4369">
        <v>-4.566154E-2</v>
      </c>
      <c r="X4369">
        <v>0.99883409999999995</v>
      </c>
      <c r="Y4369">
        <v>3.7802259999999998E-3</v>
      </c>
      <c r="Z4369" s="1">
        <v>-8.4778090000000002E-7</v>
      </c>
      <c r="AA4369">
        <v>0.99999280000000002</v>
      </c>
      <c r="AB4369">
        <v>30</v>
      </c>
      <c r="AC4369">
        <v>111.6875</v>
      </c>
      <c r="AD4369">
        <v>-1.1211486145789999</v>
      </c>
      <c r="AE4369">
        <v>0.81460000000001198</v>
      </c>
      <c r="AF4369">
        <v>0.423417571008186</v>
      </c>
      <c r="AG4369">
        <v>-1.1211486145789999</v>
      </c>
      <c r="AH4369">
        <v>111.678415006889</v>
      </c>
      <c r="AI4369">
        <v>90.5751734952579</v>
      </c>
      <c r="AJ4369">
        <v>89.782769807878907</v>
      </c>
      <c r="AK4369">
        <v>111.684845145195</v>
      </c>
      <c r="AL4369">
        <v>92.617123657121596</v>
      </c>
      <c r="AM4369">
        <v>90.898433243709306</v>
      </c>
      <c r="AN4369">
        <v>0.99999994227474098</v>
      </c>
    </row>
    <row r="4370" spans="1:40" x14ac:dyDescent="0.25">
      <c r="A4370" t="str">
        <f>"20190303153855554"</f>
        <v>20190303153855554</v>
      </c>
      <c r="B4370" t="str">
        <f>"1551598735542592"</f>
        <v>1551598735542592</v>
      </c>
      <c r="C4370" t="s">
        <v>40</v>
      </c>
      <c r="D4370">
        <v>4.3171189999999999</v>
      </c>
      <c r="E4370">
        <v>0.50812429999999997</v>
      </c>
      <c r="F4370" t="s">
        <v>55</v>
      </c>
      <c r="G4370">
        <v>-279.33800000000002</v>
      </c>
      <c r="H4370" s="1">
        <v>3.3706419999999999E-6</v>
      </c>
      <c r="I4370">
        <v>216.02969999999999</v>
      </c>
      <c r="J4370">
        <v>-387.00369999999998</v>
      </c>
      <c r="K4370">
        <v>1.1210789999999999</v>
      </c>
      <c r="L4370">
        <v>215.2713</v>
      </c>
      <c r="M4370">
        <v>0.99984269999999997</v>
      </c>
      <c r="N4370">
        <v>-1.384614E-2</v>
      </c>
      <c r="O4370">
        <v>1.1083809999999999E-2</v>
      </c>
      <c r="P4370">
        <v>0.99789669999999997</v>
      </c>
      <c r="Q4370">
        <v>-5.8905880000000001E-2</v>
      </c>
      <c r="R4370">
        <v>2.7057560000000001E-2</v>
      </c>
      <c r="S4370">
        <v>3.0039980000000002</v>
      </c>
      <c r="T4370">
        <v>-3.119564E-2</v>
      </c>
      <c r="U4370">
        <v>2.1194459999999998E-2</v>
      </c>
      <c r="V4370">
        <v>-1.5996010000000001E-2</v>
      </c>
      <c r="W4370">
        <v>-4.5079290000000001E-2</v>
      </c>
      <c r="X4370">
        <v>0.99885539999999995</v>
      </c>
      <c r="Y4370">
        <v>4.0292110000000004E-3</v>
      </c>
      <c r="Z4370" s="1">
        <v>-1.043429E-5</v>
      </c>
      <c r="AA4370">
        <v>0.99999190000000004</v>
      </c>
      <c r="AB4370">
        <v>30</v>
      </c>
      <c r="AC4370">
        <v>107.6657</v>
      </c>
      <c r="AD4370">
        <v>-1.121075629358</v>
      </c>
      <c r="AE4370">
        <v>0.75839999999999397</v>
      </c>
      <c r="AF4370">
        <v>0.43506000348727297</v>
      </c>
      <c r="AG4370">
        <v>-1.121075629358</v>
      </c>
      <c r="AH4370">
        <v>107.65582026730399</v>
      </c>
      <c r="AI4370">
        <v>90.596624091405701</v>
      </c>
      <c r="AJ4370">
        <v>89.768456863028007</v>
      </c>
      <c r="AK4370">
        <v>107.662536312309</v>
      </c>
      <c r="AL4370">
        <v>92.583728487532198</v>
      </c>
      <c r="AM4370">
        <v>90.917475668171605</v>
      </c>
      <c r="AN4370">
        <v>1.0000000624159899</v>
      </c>
    </row>
    <row r="4371" spans="1:40" x14ac:dyDescent="0.25">
      <c r="A4371" t="str">
        <f>"20190303153855586"</f>
        <v>20190303153855586</v>
      </c>
      <c r="B4371" t="str">
        <f>"1551598735582605"</f>
        <v>1551598735582605</v>
      </c>
      <c r="C4371" t="s">
        <v>40</v>
      </c>
      <c r="D4371">
        <v>4.3706370000000003</v>
      </c>
      <c r="E4371">
        <v>0.50843519999999998</v>
      </c>
      <c r="F4371" t="s">
        <v>55</v>
      </c>
      <c r="G4371">
        <v>-275.10750000000002</v>
      </c>
      <c r="H4371" s="1">
        <v>1.118394E-6</v>
      </c>
      <c r="I4371">
        <v>216.0522</v>
      </c>
      <c r="J4371">
        <v>-386.56060000000002</v>
      </c>
      <c r="K4371">
        <v>1.1209340000000001</v>
      </c>
      <c r="L4371">
        <v>215.27619999999999</v>
      </c>
      <c r="M4371">
        <v>0.99984969999999995</v>
      </c>
      <c r="N4371">
        <v>-1.332475E-2</v>
      </c>
      <c r="O4371">
        <v>1.1084419999999999E-2</v>
      </c>
      <c r="P4371">
        <v>0.9979555</v>
      </c>
      <c r="Q4371">
        <v>-5.7404499999999997E-2</v>
      </c>
      <c r="R4371">
        <v>2.8094259999999999E-2</v>
      </c>
      <c r="S4371">
        <v>3.0039370000000001</v>
      </c>
      <c r="T4371">
        <v>-3.0096169999999998E-2</v>
      </c>
      <c r="U4371">
        <v>2.0965580000000001E-2</v>
      </c>
      <c r="V4371">
        <v>-1.7031729999999998E-2</v>
      </c>
      <c r="W4371">
        <v>-4.4097909999999997E-2</v>
      </c>
      <c r="X4371">
        <v>0.99888200000000005</v>
      </c>
      <c r="Y4371">
        <v>4.1058209999999999E-3</v>
      </c>
      <c r="Z4371" s="1">
        <v>-1.1264940000000001E-5</v>
      </c>
      <c r="AA4371">
        <v>0.99999159999999998</v>
      </c>
      <c r="AB4371">
        <v>30</v>
      </c>
      <c r="AC4371">
        <v>111.45310000000001</v>
      </c>
      <c r="AD4371">
        <v>-1.120932881606</v>
      </c>
      <c r="AE4371">
        <v>0.77600000000001002</v>
      </c>
      <c r="AF4371">
        <v>0.459503961831292</v>
      </c>
      <c r="AG4371">
        <v>-1.120932881606</v>
      </c>
      <c r="AH4371">
        <v>111.44358183353999</v>
      </c>
      <c r="AI4371">
        <v>90.576273757333993</v>
      </c>
      <c r="AJ4371">
        <v>89.763759491087697</v>
      </c>
      <c r="AK4371">
        <v>111.45016629106</v>
      </c>
      <c r="AL4371">
        <v>92.527443791838607</v>
      </c>
      <c r="AM4371">
        <v>90.976843805565494</v>
      </c>
      <c r="AN4371">
        <v>0.99999997770857996</v>
      </c>
    </row>
    <row r="4372" spans="1:40" x14ac:dyDescent="0.25">
      <c r="A4372" t="str">
        <f>"20190303153855608"</f>
        <v>20190303153855608</v>
      </c>
      <c r="B4372" t="str">
        <f>"1551598735603100"</f>
        <v>1551598735603100</v>
      </c>
      <c r="C4372" t="s">
        <v>40</v>
      </c>
      <c r="D4372">
        <v>4.3647499999999999</v>
      </c>
      <c r="E4372">
        <v>0.50861780000000001</v>
      </c>
      <c r="F4372" t="s">
        <v>55</v>
      </c>
      <c r="G4372">
        <v>-267.57490000000001</v>
      </c>
      <c r="H4372" s="1">
        <v>2.4278759999999998E-6</v>
      </c>
      <c r="I4372">
        <v>216.13390000000001</v>
      </c>
      <c r="J4372">
        <v>-386.24860000000001</v>
      </c>
      <c r="K4372">
        <v>1.1208180000000001</v>
      </c>
      <c r="L4372">
        <v>215.27969999999999</v>
      </c>
      <c r="M4372">
        <v>0.99985659999999998</v>
      </c>
      <c r="N4372">
        <v>-1.280884E-2</v>
      </c>
      <c r="O4372">
        <v>1.108462E-2</v>
      </c>
      <c r="P4372">
        <v>0.99798679999999995</v>
      </c>
      <c r="Q4372">
        <v>-5.6424790000000002E-2</v>
      </c>
      <c r="R4372">
        <v>2.895764E-2</v>
      </c>
      <c r="S4372">
        <v>3.0039060000000002</v>
      </c>
      <c r="T4372">
        <v>-2.829897E-2</v>
      </c>
      <c r="U4372">
        <v>2.165222E-2</v>
      </c>
      <c r="V4372">
        <v>-1.7894670000000001E-2</v>
      </c>
      <c r="W4372">
        <v>-4.3633079999999998E-2</v>
      </c>
      <c r="X4372">
        <v>0.99888739999999998</v>
      </c>
      <c r="Y4372">
        <v>3.8773750000000002E-3</v>
      </c>
      <c r="Z4372" s="1">
        <v>-5.527231E-6</v>
      </c>
      <c r="AA4372">
        <v>0.99999249999999995</v>
      </c>
      <c r="AB4372">
        <v>30</v>
      </c>
      <c r="AC4372">
        <v>118.6737</v>
      </c>
      <c r="AD4372">
        <v>-1.1208155721240001</v>
      </c>
      <c r="AE4372">
        <v>0.85420000000001906</v>
      </c>
      <c r="AF4372">
        <v>0.461372025856643</v>
      </c>
      <c r="AG4372">
        <v>-1.1208155721240001</v>
      </c>
      <c r="AH4372">
        <v>118.665292930136</v>
      </c>
      <c r="AI4372">
        <v>90.5411490202317</v>
      </c>
      <c r="AJ4372">
        <v>89.777234471728093</v>
      </c>
      <c r="AK4372">
        <v>118.671482833442</v>
      </c>
      <c r="AL4372">
        <v>92.500785149245502</v>
      </c>
      <c r="AM4372">
        <v>91.026321289944804</v>
      </c>
      <c r="AN4372">
        <v>1.00000005138172</v>
      </c>
    </row>
    <row r="4373" spans="1:40" x14ac:dyDescent="0.25">
      <c r="A4373" t="str">
        <f>"20190303153855633"</f>
        <v>20190303153855633</v>
      </c>
      <c r="B4373" t="str">
        <f>"1551598735622620"</f>
        <v>1551598735622620</v>
      </c>
      <c r="C4373" t="s">
        <v>40</v>
      </c>
      <c r="D4373">
        <v>4.3608640000000003</v>
      </c>
      <c r="E4373">
        <v>0.50874989999999998</v>
      </c>
      <c r="F4373" t="s">
        <v>55</v>
      </c>
      <c r="G4373">
        <v>-257.72949999999997</v>
      </c>
      <c r="H4373" s="1">
        <v>2.504849E-6</v>
      </c>
      <c r="I4373">
        <v>216.255</v>
      </c>
      <c r="J4373">
        <v>-385.92349999999999</v>
      </c>
      <c r="K4373">
        <v>1.120692</v>
      </c>
      <c r="L4373">
        <v>215.2833</v>
      </c>
      <c r="M4373">
        <v>0.99986450000000004</v>
      </c>
      <c r="N4373">
        <v>-1.217558E-2</v>
      </c>
      <c r="O4373">
        <v>1.1084989999999999E-2</v>
      </c>
      <c r="P4373">
        <v>0.99798849999999995</v>
      </c>
      <c r="Q4373">
        <v>-5.6222429999999997E-2</v>
      </c>
      <c r="R4373">
        <v>2.9295640000000001E-2</v>
      </c>
      <c r="S4373">
        <v>3.0039060000000002</v>
      </c>
      <c r="T4373">
        <v>-2.6197080000000001E-2</v>
      </c>
      <c r="U4373">
        <v>2.2796629999999998E-2</v>
      </c>
      <c r="V4373">
        <v>-1.823203E-2</v>
      </c>
      <c r="W4373">
        <v>-4.406326E-2</v>
      </c>
      <c r="X4373">
        <v>0.99886240000000004</v>
      </c>
      <c r="Y4373">
        <v>3.4967990000000001E-3</v>
      </c>
      <c r="Z4373" s="1">
        <v>1.770153E-6</v>
      </c>
      <c r="AA4373">
        <v>0.99999389999999999</v>
      </c>
      <c r="AB4373">
        <v>30</v>
      </c>
      <c r="AC4373">
        <v>128.19399999999999</v>
      </c>
      <c r="AD4373">
        <v>-1.120689495151</v>
      </c>
      <c r="AE4373">
        <v>0.97169999999999801</v>
      </c>
      <c r="AF4373">
        <v>0.44945981275368402</v>
      </c>
      <c r="AG4373">
        <v>-1.120689495151</v>
      </c>
      <c r="AH4373">
        <v>128.18709849586401</v>
      </c>
      <c r="AI4373">
        <v>90.500898674130895</v>
      </c>
      <c r="AJ4373">
        <v>89.799105798460204</v>
      </c>
      <c r="AK4373">
        <v>128.19278520984</v>
      </c>
      <c r="AL4373">
        <v>92.5254564141797</v>
      </c>
      <c r="AM4373">
        <v>91.045691963398099</v>
      </c>
      <c r="AN4373">
        <v>1.00000003596675</v>
      </c>
    </row>
    <row r="4374" spans="1:40" x14ac:dyDescent="0.25">
      <c r="A4374" t="str">
        <f>"20190303153855653"</f>
        <v>20190303153855653</v>
      </c>
      <c r="B4374" t="str">
        <f>"1551598735643117"</f>
        <v>1551598735643117</v>
      </c>
      <c r="C4374" t="s">
        <v>40</v>
      </c>
      <c r="D4374">
        <v>4.3666530000000003</v>
      </c>
      <c r="E4374">
        <v>0.50888959999999905</v>
      </c>
      <c r="F4374" t="s">
        <v>55</v>
      </c>
      <c r="G4374">
        <v>-259.76429999999999</v>
      </c>
      <c r="H4374" s="1">
        <v>3.5884010000000001E-6</v>
      </c>
      <c r="I4374">
        <v>216.23750000000001</v>
      </c>
      <c r="J4374">
        <v>-385.63049999999998</v>
      </c>
      <c r="K4374">
        <v>1.120582</v>
      </c>
      <c r="L4374">
        <v>215.28649999999999</v>
      </c>
      <c r="M4374">
        <v>0.99987139999999997</v>
      </c>
      <c r="N4374">
        <v>-1.1583899999999999E-2</v>
      </c>
      <c r="O4374">
        <v>1.10857E-2</v>
      </c>
      <c r="P4374">
        <v>0.99793180000000004</v>
      </c>
      <c r="Q4374">
        <v>-5.717001E-2</v>
      </c>
      <c r="R4374">
        <v>2.9392040000000001E-2</v>
      </c>
      <c r="S4374">
        <v>3.003876</v>
      </c>
      <c r="T4374">
        <v>-2.6683809999999999E-2</v>
      </c>
      <c r="U4374">
        <v>2.2720339999999999E-2</v>
      </c>
      <c r="V4374">
        <v>-1.8328400000000002E-2</v>
      </c>
      <c r="W4374">
        <v>-4.5602459999999997E-2</v>
      </c>
      <c r="X4374">
        <v>0.99879150000000005</v>
      </c>
      <c r="Y4374">
        <v>3.5227710000000001E-3</v>
      </c>
      <c r="Z4374" s="1">
        <v>-6.099278E-6</v>
      </c>
      <c r="AA4374">
        <v>0.99999380000000004</v>
      </c>
      <c r="AB4374">
        <v>31</v>
      </c>
      <c r="AC4374">
        <v>125.86620000000001</v>
      </c>
      <c r="AD4374">
        <v>-1.1205784115989901</v>
      </c>
      <c r="AE4374">
        <v>0.95100000000002105</v>
      </c>
      <c r="AF4374">
        <v>0.44443185219659997</v>
      </c>
      <c r="AG4374">
        <v>-1.1205784115989901</v>
      </c>
      <c r="AH4374">
        <v>125.85903261329599</v>
      </c>
      <c r="AI4374">
        <v>90.510112906226496</v>
      </c>
      <c r="AJ4374">
        <v>89.797678696200606</v>
      </c>
      <c r="AK4374">
        <v>125.864805668632</v>
      </c>
      <c r="AL4374">
        <v>92.613734974074504</v>
      </c>
      <c r="AM4374">
        <v>91.051292600152195</v>
      </c>
      <c r="AN4374">
        <v>0.99999998753843</v>
      </c>
    </row>
    <row r="4375" spans="1:40" x14ac:dyDescent="0.25">
      <c r="A4375" t="str">
        <f>"20190303153855678"</f>
        <v>20190303153855678</v>
      </c>
      <c r="B4375" t="str">
        <f>"1551598735673374"</f>
        <v>1551598735673374</v>
      </c>
      <c r="C4375" t="s">
        <v>40</v>
      </c>
      <c r="D4375">
        <v>4.3485529999999999</v>
      </c>
      <c r="E4375">
        <v>0.50907570000000002</v>
      </c>
      <c r="F4375" t="s">
        <v>55</v>
      </c>
      <c r="G4375">
        <v>-275.96850000000001</v>
      </c>
      <c r="H4375" s="1">
        <v>1.5752340000000001E-6</v>
      </c>
      <c r="I4375">
        <v>216.0831</v>
      </c>
      <c r="J4375">
        <v>-385.30739999999997</v>
      </c>
      <c r="K4375">
        <v>1.12049</v>
      </c>
      <c r="L4375">
        <v>215.2901</v>
      </c>
      <c r="M4375">
        <v>0.99987859999999995</v>
      </c>
      <c r="N4375">
        <v>-1.094725E-2</v>
      </c>
      <c r="O4375">
        <v>1.108612E-2</v>
      </c>
      <c r="P4375">
        <v>0.99795319999999998</v>
      </c>
      <c r="Q4375">
        <v>-5.696271E-2</v>
      </c>
      <c r="R4375">
        <v>2.9070889999999999E-2</v>
      </c>
      <c r="S4375">
        <v>3.0038149999999999</v>
      </c>
      <c r="T4375">
        <v>-3.069448E-2</v>
      </c>
      <c r="U4375">
        <v>2.182007E-2</v>
      </c>
      <c r="V4375">
        <v>-1.800705E-2</v>
      </c>
      <c r="W4375">
        <v>-4.6030889999999998E-2</v>
      </c>
      <c r="X4375">
        <v>0.99877769999999999</v>
      </c>
      <c r="Y4375">
        <v>3.8225920000000001E-3</v>
      </c>
      <c r="Z4375" s="1">
        <v>-3.2363590000000002E-5</v>
      </c>
      <c r="AA4375">
        <v>0.99999269999999996</v>
      </c>
      <c r="AB4375">
        <v>31</v>
      </c>
      <c r="AC4375">
        <v>109.338899999999</v>
      </c>
      <c r="AD4375">
        <v>-1.1204884247660001</v>
      </c>
      <c r="AE4375">
        <v>0.79300000000000603</v>
      </c>
      <c r="AF4375">
        <v>0.419221544816193</v>
      </c>
      <c r="AG4375">
        <v>-1.1204884247660001</v>
      </c>
      <c r="AH4375">
        <v>109.329490817254</v>
      </c>
      <c r="AI4375">
        <v>90.587184095769004</v>
      </c>
      <c r="AJ4375">
        <v>89.780301661532903</v>
      </c>
      <c r="AK4375">
        <v>109.336036160882</v>
      </c>
      <c r="AL4375">
        <v>92.638307989773196</v>
      </c>
      <c r="AM4375">
        <v>91.0328786888698</v>
      </c>
      <c r="AN4375">
        <v>0.99999999535059203</v>
      </c>
    </row>
    <row r="4376" spans="1:40" x14ac:dyDescent="0.25">
      <c r="A4376" t="str">
        <f>"20190303153855705"</f>
        <v>20190303153855705</v>
      </c>
      <c r="B4376" t="str">
        <f>"1551598735692893"</f>
        <v>1551598735692893</v>
      </c>
      <c r="C4376" t="s">
        <v>40</v>
      </c>
      <c r="D4376">
        <v>4.3664740000000002</v>
      </c>
      <c r="E4376">
        <v>0.5091966</v>
      </c>
      <c r="F4376" t="s">
        <v>55</v>
      </c>
      <c r="G4376">
        <v>-278.91160000000002</v>
      </c>
      <c r="H4376" s="1">
        <v>3.1458180000000001E-6</v>
      </c>
      <c r="I4376">
        <v>215.98240000000001</v>
      </c>
      <c r="J4376">
        <v>-384.93389999999999</v>
      </c>
      <c r="K4376">
        <v>1.120404</v>
      </c>
      <c r="L4376">
        <v>215.29419999999999</v>
      </c>
      <c r="M4376">
        <v>0.99988600000000005</v>
      </c>
      <c r="N4376">
        <v>-1.026008E-2</v>
      </c>
      <c r="O4376">
        <v>1.1086840000000001E-2</v>
      </c>
      <c r="P4376">
        <v>0.99795999999999996</v>
      </c>
      <c r="Q4376">
        <v>-5.6997779999999998E-2</v>
      </c>
      <c r="R4376">
        <v>2.8762679999999999E-2</v>
      </c>
      <c r="S4376">
        <v>3.0038149999999999</v>
      </c>
      <c r="T4376">
        <v>-3.1634089999999997E-2</v>
      </c>
      <c r="U4376">
        <v>1.954651E-2</v>
      </c>
      <c r="V4376">
        <v>-1.769832E-2</v>
      </c>
      <c r="W4376">
        <v>-4.6752299999999997E-2</v>
      </c>
      <c r="X4376">
        <v>0.99874969999999996</v>
      </c>
      <c r="Y4376">
        <v>4.5799909999999899E-3</v>
      </c>
      <c r="Z4376" s="1">
        <v>-5.0608639999999998E-5</v>
      </c>
      <c r="AA4376">
        <v>0.99998949999999998</v>
      </c>
      <c r="AB4376">
        <v>31</v>
      </c>
      <c r="AC4376">
        <v>106.02229999999901</v>
      </c>
      <c r="AD4376">
        <v>-1.1204008541820001</v>
      </c>
      <c r="AE4376">
        <v>0.68820000000002302</v>
      </c>
      <c r="AF4376">
        <v>0.487301918316558</v>
      </c>
      <c r="AG4376">
        <v>-1.1204008541820001</v>
      </c>
      <c r="AH4376">
        <v>106.011575206176</v>
      </c>
      <c r="AI4376">
        <v>90.605510974984199</v>
      </c>
      <c r="AJ4376">
        <v>89.736631150244406</v>
      </c>
      <c r="AK4376">
        <v>106.01861553014299</v>
      </c>
      <c r="AL4376">
        <v>92.679686315893406</v>
      </c>
      <c r="AM4376">
        <v>91.015202226562806</v>
      </c>
      <c r="AN4376">
        <v>0.999999985668101</v>
      </c>
    </row>
    <row r="4377" spans="1:40" x14ac:dyDescent="0.25">
      <c r="A4377" t="str">
        <f>"20190303153855722"</f>
        <v>20190303153855722</v>
      </c>
      <c r="B4377" t="str">
        <f>"1551598735713392"</f>
        <v>1551598735713392</v>
      </c>
      <c r="C4377" t="s">
        <v>40</v>
      </c>
      <c r="D4377">
        <v>4.3568319999999998</v>
      </c>
      <c r="E4377">
        <v>0.50933709999999999</v>
      </c>
      <c r="F4377" t="s">
        <v>57</v>
      </c>
      <c r="G4377">
        <v>-282.44080000000002</v>
      </c>
      <c r="H4377" s="1">
        <v>5.8566869999999996E-6</v>
      </c>
      <c r="I4377">
        <v>215.88990000000001</v>
      </c>
      <c r="J4377">
        <v>-384.69490000000002</v>
      </c>
      <c r="K4377">
        <v>1.1203719999999999</v>
      </c>
      <c r="L4377">
        <v>215.29689999999999</v>
      </c>
      <c r="M4377">
        <v>0.99988999999999995</v>
      </c>
      <c r="N4377">
        <v>-9.8638349999999996E-3</v>
      </c>
      <c r="O4377">
        <v>1.108719E-2</v>
      </c>
      <c r="P4377">
        <v>0.99797360000000002</v>
      </c>
      <c r="Q4377">
        <v>-5.688505E-2</v>
      </c>
      <c r="R4377">
        <v>2.8517730000000002E-2</v>
      </c>
      <c r="S4377">
        <v>3.003784</v>
      </c>
      <c r="T4377">
        <v>-3.2835719999999999E-2</v>
      </c>
      <c r="U4377">
        <v>1.7456050000000001E-2</v>
      </c>
      <c r="V4377">
        <v>-1.7452820000000001E-2</v>
      </c>
      <c r="W4377">
        <v>-4.7035250000000001E-2</v>
      </c>
      <c r="X4377">
        <v>0.99874070000000004</v>
      </c>
      <c r="Y4377">
        <v>5.2760369999999999E-3</v>
      </c>
      <c r="Z4377" s="1">
        <v>-6.6684990000000002E-5</v>
      </c>
      <c r="AA4377">
        <v>0.99998609999999999</v>
      </c>
      <c r="AB4377">
        <v>31</v>
      </c>
      <c r="AC4377">
        <v>102.25409999999999</v>
      </c>
      <c r="AD4377">
        <v>-1.1203661433130001</v>
      </c>
      <c r="AE4377">
        <v>0.59300000000001696</v>
      </c>
      <c r="AF4377">
        <v>0.54073719854647695</v>
      </c>
      <c r="AG4377">
        <v>-1.1203661433130001</v>
      </c>
      <c r="AH4377">
        <v>102.242115737489</v>
      </c>
      <c r="AI4377">
        <v>90.627811584870997</v>
      </c>
      <c r="AJ4377">
        <v>89.696977412731201</v>
      </c>
      <c r="AK4377">
        <v>102.249683850323</v>
      </c>
      <c r="AL4377">
        <v>92.695916105776703</v>
      </c>
      <c r="AM4377">
        <v>91.001131883535294</v>
      </c>
      <c r="AN4377">
        <v>0.99999995075250103</v>
      </c>
    </row>
    <row r="4378" spans="1:40" x14ac:dyDescent="0.25">
      <c r="A4378" t="str">
        <f>"20190303153855743"</f>
        <v>20190303153855743</v>
      </c>
      <c r="B4378" t="str">
        <f>"1551598735732908"</f>
        <v>1551598735732908</v>
      </c>
      <c r="C4378" t="s">
        <v>40</v>
      </c>
      <c r="D4378">
        <v>4.3575460000000001</v>
      </c>
      <c r="E4378">
        <v>0.50948760000000004</v>
      </c>
      <c r="F4378" t="s">
        <v>57</v>
      </c>
      <c r="G4378">
        <v>-284.03660000000002</v>
      </c>
      <c r="H4378" s="1">
        <v>5.1577889999999999E-6</v>
      </c>
      <c r="I4378">
        <v>215.81639999999999</v>
      </c>
      <c r="J4378">
        <v>-384.38709999999998</v>
      </c>
      <c r="K4378">
        <v>1.120344</v>
      </c>
      <c r="L4378">
        <v>215.30029999999999</v>
      </c>
      <c r="M4378">
        <v>0.99989419999999996</v>
      </c>
      <c r="N4378">
        <v>-9.4164820000000003E-3</v>
      </c>
      <c r="O4378">
        <v>1.108783E-2</v>
      </c>
      <c r="P4378">
        <v>0.99801530000000005</v>
      </c>
      <c r="Q4378">
        <v>-5.6397019999999999E-2</v>
      </c>
      <c r="R4378">
        <v>2.8013840000000002E-2</v>
      </c>
      <c r="S4378">
        <v>3.0037539999999998</v>
      </c>
      <c r="T4378">
        <v>-3.3432959999999998E-2</v>
      </c>
      <c r="U4378">
        <v>1.550293E-2</v>
      </c>
      <c r="V4378">
        <v>-1.6947569999999999E-2</v>
      </c>
      <c r="W4378">
        <v>-4.6993739999999999E-2</v>
      </c>
      <c r="X4378">
        <v>0.99875139999999996</v>
      </c>
      <c r="Y4378">
        <v>5.9266809999999996E-3</v>
      </c>
      <c r="Z4378" s="1">
        <v>-7.9881210000000004E-5</v>
      </c>
      <c r="AA4378">
        <v>0.99998240000000005</v>
      </c>
      <c r="AB4378">
        <v>31</v>
      </c>
      <c r="AC4378">
        <v>100.350499999999</v>
      </c>
      <c r="AD4378">
        <v>-1.1203388422110001</v>
      </c>
      <c r="AE4378">
        <v>0.51609999999999401</v>
      </c>
      <c r="AF4378">
        <v>0.59657597890780201</v>
      </c>
      <c r="AG4378">
        <v>-1.1203388422110001</v>
      </c>
      <c r="AH4378">
        <v>100.337547595901</v>
      </c>
      <c r="AI4378">
        <v>90.639709530187801</v>
      </c>
      <c r="AJ4378">
        <v>89.659341056321395</v>
      </c>
      <c r="AK4378">
        <v>100.345575485816</v>
      </c>
      <c r="AL4378">
        <v>92.693535004726201</v>
      </c>
      <c r="AM4378">
        <v>90.972144871695406</v>
      </c>
      <c r="AN4378">
        <v>0.99999999536502604</v>
      </c>
    </row>
    <row r="4379" spans="1:40" x14ac:dyDescent="0.25">
      <c r="A4379" t="str">
        <f>"20190303153855766"</f>
        <v>20190303153855766</v>
      </c>
      <c r="B4379" t="str">
        <f>"1551598735753404"</f>
        <v>1551598735753404</v>
      </c>
      <c r="C4379" t="s">
        <v>40</v>
      </c>
      <c r="D4379">
        <v>4.3403199999999904</v>
      </c>
      <c r="E4379">
        <v>0.50962859999999999</v>
      </c>
      <c r="F4379" t="s">
        <v>57</v>
      </c>
      <c r="G4379">
        <v>-281.87849999999997</v>
      </c>
      <c r="H4379" s="1">
        <v>6.1249749999999997E-6</v>
      </c>
      <c r="I4379">
        <v>215.73099999999999</v>
      </c>
      <c r="J4379">
        <v>-384.08100000000002</v>
      </c>
      <c r="K4379">
        <v>1.1203339999999999</v>
      </c>
      <c r="L4379">
        <v>215.30369999999999</v>
      </c>
      <c r="M4379">
        <v>0.99989740000000005</v>
      </c>
      <c r="N4379">
        <v>-9.065811E-3</v>
      </c>
      <c r="O4379">
        <v>1.108846E-2</v>
      </c>
      <c r="P4379">
        <v>0.99808600000000003</v>
      </c>
      <c r="Q4379">
        <v>-5.5357910000000003E-2</v>
      </c>
      <c r="R4379">
        <v>2.7563609999999999E-2</v>
      </c>
      <c r="S4379">
        <v>3.0037229999999999</v>
      </c>
      <c r="T4379">
        <v>-3.2828330000000003E-2</v>
      </c>
      <c r="U4379">
        <v>1.261902E-2</v>
      </c>
      <c r="V4379">
        <v>-1.649567E-2</v>
      </c>
      <c r="W4379">
        <v>-4.6304329999999998E-2</v>
      </c>
      <c r="X4379">
        <v>0.99879119999999999</v>
      </c>
      <c r="Y4379">
        <v>6.8872200000000003E-3</v>
      </c>
      <c r="Z4379" s="1">
        <v>-8.9508569999999997E-5</v>
      </c>
      <c r="AA4379">
        <v>0.99997630000000004</v>
      </c>
      <c r="AB4379">
        <v>31</v>
      </c>
      <c r="AC4379">
        <v>102.2025</v>
      </c>
      <c r="AD4379">
        <v>-1.1203278750250001</v>
      </c>
      <c r="AE4379">
        <v>0.42730000000000201</v>
      </c>
      <c r="AF4379">
        <v>0.70595637789614296</v>
      </c>
      <c r="AG4379">
        <v>-1.1203278750250001</v>
      </c>
      <c r="AH4379">
        <v>102.188675499859</v>
      </c>
      <c r="AI4379">
        <v>90.628112219920595</v>
      </c>
      <c r="AJ4379">
        <v>89.604186302222899</v>
      </c>
      <c r="AK4379">
        <v>102.197254901345</v>
      </c>
      <c r="AL4379">
        <v>92.653991580139504</v>
      </c>
      <c r="AM4379">
        <v>90.946190106532597</v>
      </c>
      <c r="AN4379">
        <v>1.00000002965146</v>
      </c>
    </row>
    <row r="4380" spans="1:40" x14ac:dyDescent="0.25">
      <c r="A4380" t="str">
        <f>"20190303153855788"</f>
        <v>20190303153855788</v>
      </c>
      <c r="B4380" t="str">
        <f>"1551598735782684"</f>
        <v>1551598735782684</v>
      </c>
      <c r="C4380" t="s">
        <v>40</v>
      </c>
      <c r="D4380">
        <v>4.3509390000000003</v>
      </c>
      <c r="E4380">
        <v>0.50982609999999995</v>
      </c>
      <c r="F4380" t="s">
        <v>55</v>
      </c>
      <c r="G4380">
        <v>-273.1807</v>
      </c>
      <c r="H4380" s="1">
        <v>1.091296E-7</v>
      </c>
      <c r="I4380">
        <v>215.684</v>
      </c>
      <c r="J4380">
        <v>-383.76690000000002</v>
      </c>
      <c r="K4380">
        <v>1.1203540000000001</v>
      </c>
      <c r="L4380">
        <v>215.30719999999999</v>
      </c>
      <c r="M4380">
        <v>0.9998996</v>
      </c>
      <c r="N4380">
        <v>-8.8369940000000008E-3</v>
      </c>
      <c r="O4380">
        <v>1.1088850000000001E-2</v>
      </c>
      <c r="P4380">
        <v>0.99808470000000005</v>
      </c>
      <c r="Q4380">
        <v>-5.565254E-2</v>
      </c>
      <c r="R4380">
        <v>2.7023510000000001E-2</v>
      </c>
      <c r="S4380">
        <v>3.003784</v>
      </c>
      <c r="T4380">
        <v>-3.0344719999999999E-2</v>
      </c>
      <c r="U4380">
        <v>1.029968E-2</v>
      </c>
      <c r="V4380">
        <v>-1.5955670000000002E-2</v>
      </c>
      <c r="W4380">
        <v>-4.6827599999999997E-2</v>
      </c>
      <c r="X4380">
        <v>0.99877550000000004</v>
      </c>
      <c r="Y4380">
        <v>7.6598029999999998E-3</v>
      </c>
      <c r="Z4380" s="1">
        <v>-8.6556970000000003E-5</v>
      </c>
      <c r="AA4380">
        <v>0.99997069999999999</v>
      </c>
      <c r="AB4380">
        <v>31</v>
      </c>
      <c r="AC4380">
        <v>110.58620000000001</v>
      </c>
      <c r="AD4380">
        <v>-1.1203538908703901</v>
      </c>
      <c r="AE4380">
        <v>0.376800000000031</v>
      </c>
      <c r="AF4380">
        <v>0.84945748844179403</v>
      </c>
      <c r="AG4380">
        <v>-1.1203538908703901</v>
      </c>
      <c r="AH4380">
        <v>110.572229928713</v>
      </c>
      <c r="AI4380">
        <v>90.5805025274814</v>
      </c>
      <c r="AJ4380">
        <v>89.559840915400599</v>
      </c>
      <c r="AK4380">
        <v>110.581168388987</v>
      </c>
      <c r="AL4380">
        <v>92.684005505149202</v>
      </c>
      <c r="AM4380">
        <v>90.915235498318495</v>
      </c>
      <c r="AN4380">
        <v>0.99999995346357795</v>
      </c>
    </row>
    <row r="4381" spans="1:40" x14ac:dyDescent="0.25">
      <c r="A4381" t="str">
        <f>"20190303153855811"</f>
        <v>20190303153855811</v>
      </c>
      <c r="B4381" t="str">
        <f>"1551598735803181"</f>
        <v>1551598735803181</v>
      </c>
      <c r="C4381" t="s">
        <v>40</v>
      </c>
      <c r="D4381">
        <v>4.3246659999999997</v>
      </c>
      <c r="E4381">
        <v>0.50994980000000001</v>
      </c>
      <c r="F4381" t="s">
        <v>55</v>
      </c>
      <c r="G4381">
        <v>-278.57</v>
      </c>
      <c r="H4381" s="1">
        <v>2.9827720000000001E-6</v>
      </c>
      <c r="I4381">
        <v>215.55350000000001</v>
      </c>
      <c r="J4381">
        <v>-383.44110000000001</v>
      </c>
      <c r="K4381">
        <v>1.1204130000000001</v>
      </c>
      <c r="L4381">
        <v>215.3108</v>
      </c>
      <c r="M4381">
        <v>0.99989989999999995</v>
      </c>
      <c r="N4381">
        <v>-8.8021219999999904E-3</v>
      </c>
      <c r="O4381">
        <v>1.1089359999999999E-2</v>
      </c>
      <c r="P4381">
        <v>0.99807869999999999</v>
      </c>
      <c r="Q4381">
        <v>-5.5819819999999999E-2</v>
      </c>
      <c r="R4381">
        <v>2.6891559999999998E-2</v>
      </c>
      <c r="S4381">
        <v>3.003784</v>
      </c>
      <c r="T4381">
        <v>-3.1990409999999997E-2</v>
      </c>
      <c r="U4381">
        <v>7.0343019999999897E-3</v>
      </c>
      <c r="V4381">
        <v>-1.58236E-2</v>
      </c>
      <c r="W4381">
        <v>-4.7029769999999999E-2</v>
      </c>
      <c r="X4381">
        <v>0.99876819999999999</v>
      </c>
      <c r="Y4381">
        <v>8.7471760000000006E-3</v>
      </c>
      <c r="Z4381">
        <v>-1.0556049999999999E-4</v>
      </c>
      <c r="AA4381">
        <v>0.99996169999999995</v>
      </c>
      <c r="AB4381">
        <v>31</v>
      </c>
      <c r="AC4381">
        <v>104.8711</v>
      </c>
      <c r="AD4381">
        <v>-1.1204100172279901</v>
      </c>
      <c r="AE4381">
        <v>0.24270000000001299</v>
      </c>
      <c r="AF4381">
        <v>0.92020817486361595</v>
      </c>
      <c r="AG4381">
        <v>-1.1204100172279901</v>
      </c>
      <c r="AH4381">
        <v>104.855374340013</v>
      </c>
      <c r="AI4381">
        <v>90.612175113438099</v>
      </c>
      <c r="AJ4381">
        <v>89.49718656268</v>
      </c>
      <c r="AK4381">
        <v>104.86539767566801</v>
      </c>
      <c r="AL4381">
        <v>92.695601505380097</v>
      </c>
      <c r="AM4381">
        <v>90.907667717583905</v>
      </c>
      <c r="AN4381">
        <v>1.00000005145722</v>
      </c>
    </row>
    <row r="4382" spans="1:40" x14ac:dyDescent="0.25">
      <c r="A4382" t="str">
        <f>"20190303153855832"</f>
        <v>20190303153855832</v>
      </c>
      <c r="B4382" t="str">
        <f>"1551598735822701"</f>
        <v>1551598735822701</v>
      </c>
      <c r="C4382" t="s">
        <v>40</v>
      </c>
      <c r="D4382">
        <v>4.3055859999999999</v>
      </c>
      <c r="E4382">
        <v>0.51004559999999999</v>
      </c>
      <c r="F4382" t="s">
        <v>57</v>
      </c>
      <c r="G4382">
        <v>-281.91039999999998</v>
      </c>
      <c r="H4382" s="1">
        <v>6.1383930000000004E-6</v>
      </c>
      <c r="I4382">
        <v>215.5001</v>
      </c>
      <c r="J4382">
        <v>-383.13600000000002</v>
      </c>
      <c r="K4382">
        <v>1.1205069999999999</v>
      </c>
      <c r="L4382">
        <v>215.3142</v>
      </c>
      <c r="M4382">
        <v>0.99989830000000002</v>
      </c>
      <c r="N4382">
        <v>-8.9772719999999997E-3</v>
      </c>
      <c r="O4382">
        <v>1.1089709999999999E-2</v>
      </c>
      <c r="P4382">
        <v>0.9980213</v>
      </c>
      <c r="Q4382">
        <v>-5.669387E-2</v>
      </c>
      <c r="R4382">
        <v>2.7193740000000001E-2</v>
      </c>
      <c r="S4382">
        <v>3.003784</v>
      </c>
      <c r="T4382">
        <v>-3.3147219999999998E-2</v>
      </c>
      <c r="U4382">
        <v>5.5999760000000004E-3</v>
      </c>
      <c r="V4382">
        <v>-1.6125480000000001E-2</v>
      </c>
      <c r="W4382">
        <v>-4.7729319999999999E-2</v>
      </c>
      <c r="X4382">
        <v>0.99873009999999995</v>
      </c>
      <c r="Y4382">
        <v>9.2249040000000008E-3</v>
      </c>
      <c r="Z4382">
        <v>-1.1512E-4</v>
      </c>
      <c r="AA4382">
        <v>0.9999574</v>
      </c>
      <c r="AB4382">
        <v>31</v>
      </c>
      <c r="AC4382">
        <v>101.2256</v>
      </c>
      <c r="AD4382">
        <v>-1.120500861607</v>
      </c>
      <c r="AE4382">
        <v>0.18590000000000301</v>
      </c>
      <c r="AF4382">
        <v>0.93660435314217005</v>
      </c>
      <c r="AG4382">
        <v>-1.120500861607</v>
      </c>
      <c r="AH4382">
        <v>101.209035384869</v>
      </c>
      <c r="AI4382">
        <v>90.634277352233795</v>
      </c>
      <c r="AJ4382">
        <v>89.469790967969601</v>
      </c>
      <c r="AK4382">
        <v>101.21957119762401</v>
      </c>
      <c r="AL4382">
        <v>92.735728064537099</v>
      </c>
      <c r="AM4382">
        <v>90.925016350844899</v>
      </c>
      <c r="AN4382">
        <v>0.99999996586944995</v>
      </c>
    </row>
    <row r="4383" spans="1:40" x14ac:dyDescent="0.25">
      <c r="A4383" t="str">
        <f>"20190303153855855"</f>
        <v>20190303153855855</v>
      </c>
      <c r="B4383" t="str">
        <f>"1551598735843197"</f>
        <v>1551598735843197</v>
      </c>
      <c r="C4383" t="s">
        <v>40</v>
      </c>
      <c r="D4383">
        <v>4.2477070000000001</v>
      </c>
      <c r="E4383">
        <v>0.50999810000000001</v>
      </c>
      <c r="F4383" t="s">
        <v>57</v>
      </c>
      <c r="G4383">
        <v>-290.6343</v>
      </c>
      <c r="H4383" s="1">
        <v>1.00693E-6</v>
      </c>
      <c r="I4383">
        <v>215.49600000000001</v>
      </c>
      <c r="J4383">
        <v>-382.8288</v>
      </c>
      <c r="K4383">
        <v>1.1206100000000001</v>
      </c>
      <c r="L4383">
        <v>215.3176</v>
      </c>
      <c r="M4383">
        <v>0.99989519999999998</v>
      </c>
      <c r="N4383">
        <v>-9.3033279999999996E-3</v>
      </c>
      <c r="O4383">
        <v>1.1090040000000001E-2</v>
      </c>
      <c r="P4383">
        <v>0.99795259999999997</v>
      </c>
      <c r="Q4383">
        <v>-5.7617710000000003E-2</v>
      </c>
      <c r="R4383">
        <v>2.776437E-2</v>
      </c>
      <c r="S4383">
        <v>3.0037539999999998</v>
      </c>
      <c r="T4383">
        <v>-3.6385540000000001E-2</v>
      </c>
      <c r="U4383">
        <v>5.905151E-3</v>
      </c>
      <c r="V4383">
        <v>-1.6696949999999999E-2</v>
      </c>
      <c r="W4383">
        <v>-4.8328019999999999E-2</v>
      </c>
      <c r="X4383">
        <v>0.99869200000000002</v>
      </c>
      <c r="Y4383">
        <v>9.1234750000000007E-3</v>
      </c>
      <c r="Z4383">
        <v>-1.288517E-4</v>
      </c>
      <c r="AA4383">
        <v>0.99995840000000003</v>
      </c>
      <c r="AB4383">
        <v>31</v>
      </c>
      <c r="AC4383">
        <v>92.194500000000005</v>
      </c>
      <c r="AD4383">
        <v>-1.1206089930700001</v>
      </c>
      <c r="AE4383">
        <v>0.17839999999998199</v>
      </c>
      <c r="AF4383">
        <v>0.84397125138772899</v>
      </c>
      <c r="AG4383">
        <v>-1.1206089930700001</v>
      </c>
      <c r="AH4383">
        <v>92.177190219568303</v>
      </c>
      <c r="AI4383">
        <v>90.696488058457106</v>
      </c>
      <c r="AJ4383">
        <v>89.475416429678702</v>
      </c>
      <c r="AK4383">
        <v>92.187864975619206</v>
      </c>
      <c r="AL4383">
        <v>92.770070453855595</v>
      </c>
      <c r="AM4383">
        <v>90.957828485056694</v>
      </c>
      <c r="AN4383">
        <v>1.0000000482602101</v>
      </c>
    </row>
    <row r="4384" spans="1:40" x14ac:dyDescent="0.25">
      <c r="A4384" t="str">
        <f>"20190303153855878"</f>
        <v>20190303153855878</v>
      </c>
      <c r="B4384" t="str">
        <f>"1551598735872477"</f>
        <v>1551598735872477</v>
      </c>
      <c r="C4384" t="s">
        <v>40</v>
      </c>
      <c r="D4384">
        <v>4.1627450000000001</v>
      </c>
      <c r="E4384">
        <v>0.50998969999999999</v>
      </c>
      <c r="F4384" t="s">
        <v>57</v>
      </c>
      <c r="G4384">
        <v>-297.07600000000002</v>
      </c>
      <c r="H4384" s="1">
        <v>2.14958E-6</v>
      </c>
      <c r="I4384">
        <v>215.55199999999999</v>
      </c>
      <c r="J4384">
        <v>-382.50659999999999</v>
      </c>
      <c r="K4384">
        <v>1.1207229999999999</v>
      </c>
      <c r="L4384">
        <v>215.3212</v>
      </c>
      <c r="M4384">
        <v>0.99989079999999997</v>
      </c>
      <c r="N4384">
        <v>-9.7712100000000007E-3</v>
      </c>
      <c r="O4384">
        <v>1.1090340000000001E-2</v>
      </c>
      <c r="P4384">
        <v>0.99783109999999997</v>
      </c>
      <c r="Q4384">
        <v>-5.9381549999999998E-2</v>
      </c>
      <c r="R4384">
        <v>2.8406850000000001E-2</v>
      </c>
      <c r="S4384">
        <v>3.0036930000000002</v>
      </c>
      <c r="T4384">
        <v>-3.9251920000000003E-2</v>
      </c>
      <c r="U4384">
        <v>8.2092290000000002E-3</v>
      </c>
      <c r="V4384">
        <v>-1.734016E-2</v>
      </c>
      <c r="W4384">
        <v>-4.9625580000000002E-2</v>
      </c>
      <c r="X4384">
        <v>0.99861739999999999</v>
      </c>
      <c r="Y4384">
        <v>8.356657E-3</v>
      </c>
      <c r="Z4384">
        <v>-1.319797E-4</v>
      </c>
      <c r="AA4384">
        <v>0.99996510000000005</v>
      </c>
      <c r="AB4384">
        <v>31</v>
      </c>
      <c r="AC4384">
        <v>85.430599999999998</v>
      </c>
      <c r="AD4384">
        <v>-1.1207208504199999</v>
      </c>
      <c r="AE4384">
        <v>0.23080000000001599</v>
      </c>
      <c r="AF4384">
        <v>0.71659046845350705</v>
      </c>
      <c r="AG4384">
        <v>-1.1207208504199999</v>
      </c>
      <c r="AH4384">
        <v>85.413206244463794</v>
      </c>
      <c r="AI4384">
        <v>90.751717837766705</v>
      </c>
      <c r="AJ4384">
        <v>89.519317351247295</v>
      </c>
      <c r="AK4384">
        <v>85.423564185085098</v>
      </c>
      <c r="AL4384">
        <v>92.844504502227693</v>
      </c>
      <c r="AM4384">
        <v>90.994793550405006</v>
      </c>
      <c r="AN4384">
        <v>1.0000000454609499</v>
      </c>
    </row>
    <row r="4385" spans="1:40" x14ac:dyDescent="0.25">
      <c r="A4385" t="str">
        <f>"20190303153855900"</f>
        <v>20190303153855900</v>
      </c>
      <c r="B4385" t="str">
        <f>"1551598735892973"</f>
        <v>1551598735892973</v>
      </c>
      <c r="C4385" t="s">
        <v>40</v>
      </c>
      <c r="D4385">
        <v>4.2438019999999996</v>
      </c>
      <c r="E4385">
        <v>0.50991549999999997</v>
      </c>
      <c r="F4385" t="s">
        <v>57</v>
      </c>
      <c r="G4385">
        <v>-303.5994</v>
      </c>
      <c r="H4385" s="1">
        <v>2.014787E-6</v>
      </c>
      <c r="I4385">
        <v>215.5849</v>
      </c>
      <c r="J4385">
        <v>-382.1841</v>
      </c>
      <c r="K4385">
        <v>1.1208370000000001</v>
      </c>
      <c r="L4385">
        <v>215.32480000000001</v>
      </c>
      <c r="M4385">
        <v>0.99988540000000004</v>
      </c>
      <c r="N4385">
        <v>-1.031118E-2</v>
      </c>
      <c r="O4385">
        <v>1.1090269999999999E-2</v>
      </c>
      <c r="P4385">
        <v>0.99778599999999995</v>
      </c>
      <c r="Q4385">
        <v>-6.0023699999999999E-2</v>
      </c>
      <c r="R4385">
        <v>2.86462E-2</v>
      </c>
      <c r="S4385">
        <v>3.0036619999999998</v>
      </c>
      <c r="T4385">
        <v>-4.2661070000000002E-2</v>
      </c>
      <c r="U4385">
        <v>1.004028E-2</v>
      </c>
      <c r="V4385">
        <v>-1.7580539999999999E-2</v>
      </c>
      <c r="W4385">
        <v>-4.9728849999999998E-2</v>
      </c>
      <c r="X4385">
        <v>0.99860800000000005</v>
      </c>
      <c r="Y4385">
        <v>7.74691099999999E-3</v>
      </c>
      <c r="Z4385">
        <v>-1.3810299999999999E-4</v>
      </c>
      <c r="AA4385">
        <v>0.99997000000000003</v>
      </c>
      <c r="AB4385">
        <v>31</v>
      </c>
      <c r="AC4385">
        <v>78.584699999999998</v>
      </c>
      <c r="AD4385">
        <v>-1.120834985213</v>
      </c>
      <c r="AE4385">
        <v>0.260099999999994</v>
      </c>
      <c r="AF4385">
        <v>0.61136345086996002</v>
      </c>
      <c r="AG4385">
        <v>-1.120834985213</v>
      </c>
      <c r="AH4385">
        <v>78.566768962218802</v>
      </c>
      <c r="AI4385">
        <v>90.817302469896603</v>
      </c>
      <c r="AJ4385">
        <v>89.554164706433198</v>
      </c>
      <c r="AK4385">
        <v>78.577141851150301</v>
      </c>
      <c r="AL4385">
        <v>92.850428921872293</v>
      </c>
      <c r="AM4385">
        <v>91.008590655324994</v>
      </c>
      <c r="AN4385">
        <v>0.99999998578650695</v>
      </c>
    </row>
    <row r="4386" spans="1:40" x14ac:dyDescent="0.25">
      <c r="A4386" t="str">
        <f>"20190303153855922"</f>
        <v>20190303153855922</v>
      </c>
      <c r="B4386" t="str">
        <f>"1551598735912493"</f>
        <v>1551598735912493</v>
      </c>
      <c r="C4386" t="s">
        <v>40</v>
      </c>
      <c r="D4386">
        <v>4.264068</v>
      </c>
      <c r="E4386">
        <v>0.50985130000000001</v>
      </c>
      <c r="F4386" t="s">
        <v>57</v>
      </c>
      <c r="G4386">
        <v>-306.34440000000001</v>
      </c>
      <c r="H4386" s="1">
        <v>1.527862E-6</v>
      </c>
      <c r="I4386">
        <v>215.61019999999999</v>
      </c>
      <c r="J4386">
        <v>-381.88279999999997</v>
      </c>
      <c r="K4386">
        <v>1.1209290000000001</v>
      </c>
      <c r="L4386">
        <v>215.32810000000001</v>
      </c>
      <c r="M4386">
        <v>0.99987999999999999</v>
      </c>
      <c r="N4386">
        <v>-1.082896E-2</v>
      </c>
      <c r="O4386">
        <v>1.1090300000000001E-2</v>
      </c>
      <c r="P4386">
        <v>0.99777930000000004</v>
      </c>
      <c r="Q4386">
        <v>-5.9945440000000003E-2</v>
      </c>
      <c r="R4386">
        <v>2.9038120000000001E-2</v>
      </c>
      <c r="S4386">
        <v>3.0036619999999998</v>
      </c>
      <c r="T4386">
        <v>-4.4391159999999999E-2</v>
      </c>
      <c r="U4386">
        <v>1.1306760000000001E-2</v>
      </c>
      <c r="V4386">
        <v>-1.7971999999999998E-2</v>
      </c>
      <c r="W4386">
        <v>-4.913352E-2</v>
      </c>
      <c r="X4386">
        <v>0.99863049999999998</v>
      </c>
      <c r="Y4386">
        <v>7.32532699999999E-3</v>
      </c>
      <c r="Z4386">
        <v>-1.3758579999999999E-4</v>
      </c>
      <c r="AA4386">
        <v>0.99997320000000001</v>
      </c>
      <c r="AB4386">
        <v>31</v>
      </c>
      <c r="AC4386">
        <v>75.538399999999896</v>
      </c>
      <c r="AD4386">
        <v>-1.120927472138</v>
      </c>
      <c r="AE4386">
        <v>0.28209999999998497</v>
      </c>
      <c r="AF4386">
        <v>0.55558753768034697</v>
      </c>
      <c r="AG4386">
        <v>-1.120927472138</v>
      </c>
      <c r="AH4386">
        <v>75.520253246668304</v>
      </c>
      <c r="AI4386">
        <v>90.850340898694796</v>
      </c>
      <c r="AJ4386">
        <v>89.578493908344598</v>
      </c>
      <c r="AK4386">
        <v>75.530615026959296</v>
      </c>
      <c r="AL4386">
        <v>92.816277275820696</v>
      </c>
      <c r="AM4386">
        <v>91.031020585401194</v>
      </c>
      <c r="AN4386">
        <v>0.99999998555091996</v>
      </c>
    </row>
    <row r="4387" spans="1:40" x14ac:dyDescent="0.25">
      <c r="A4387" t="str">
        <f>"20190303153855944"</f>
        <v>20190303153855944</v>
      </c>
      <c r="B4387" t="str">
        <f>"1551598735932988"</f>
        <v>1551598735932988</v>
      </c>
      <c r="C4387" t="s">
        <v>40</v>
      </c>
      <c r="D4387">
        <v>4.2419460000000004</v>
      </c>
      <c r="E4387">
        <v>0.50978749999999995</v>
      </c>
      <c r="F4387" t="s">
        <v>57</v>
      </c>
      <c r="G4387">
        <v>-305.46140000000003</v>
      </c>
      <c r="H4387" s="1">
        <v>1.6844989999999999E-6</v>
      </c>
      <c r="I4387">
        <v>215.66120000000001</v>
      </c>
      <c r="J4387">
        <v>-381.57170000000002</v>
      </c>
      <c r="K4387">
        <v>1.1209990000000001</v>
      </c>
      <c r="L4387">
        <v>215.33160000000001</v>
      </c>
      <c r="M4387">
        <v>0.99987429999999999</v>
      </c>
      <c r="N4387">
        <v>-1.133843E-2</v>
      </c>
      <c r="O4387">
        <v>1.1090829999999999E-2</v>
      </c>
      <c r="P4387">
        <v>0.99782590000000004</v>
      </c>
      <c r="Q4387">
        <v>-5.909988E-2</v>
      </c>
      <c r="R4387">
        <v>2.9171160000000002E-2</v>
      </c>
      <c r="S4387">
        <v>3.0036619999999998</v>
      </c>
      <c r="T4387">
        <v>-4.4056890000000001E-2</v>
      </c>
      <c r="U4387">
        <v>1.3092039999999999E-2</v>
      </c>
      <c r="V4387">
        <v>-1.8103669999999999E-2</v>
      </c>
      <c r="W4387">
        <v>-4.7778630000000002E-2</v>
      </c>
      <c r="X4387">
        <v>0.99869390000000002</v>
      </c>
      <c r="Y4387">
        <v>6.7317039999999998E-3</v>
      </c>
      <c r="Z4387">
        <v>-1.24442E-4</v>
      </c>
      <c r="AA4387">
        <v>0.99997740000000002</v>
      </c>
      <c r="AB4387">
        <v>31</v>
      </c>
      <c r="AC4387">
        <v>76.110299999999995</v>
      </c>
      <c r="AD4387">
        <v>-1.120997315501</v>
      </c>
      <c r="AE4387">
        <v>0.329599999999999</v>
      </c>
      <c r="AF4387">
        <v>0.51448925521899302</v>
      </c>
      <c r="AG4387">
        <v>-1.120997315501</v>
      </c>
      <c r="AH4387">
        <v>76.092767400405506</v>
      </c>
      <c r="AI4387">
        <v>90.844000074394103</v>
      </c>
      <c r="AJ4387">
        <v>89.612609519349505</v>
      </c>
      <c r="AK4387">
        <v>76.102763319260006</v>
      </c>
      <c r="AL4387">
        <v>92.738556389541102</v>
      </c>
      <c r="AM4387">
        <v>91.0385066854695</v>
      </c>
      <c r="AN4387">
        <v>1.00000002312467</v>
      </c>
    </row>
    <row r="4388" spans="1:40" x14ac:dyDescent="0.25">
      <c r="A4388" t="str">
        <f>"20190303153855966"</f>
        <v>20190303153855966</v>
      </c>
      <c r="B4388" t="str">
        <f>"1551598735963245"</f>
        <v>1551598735963245</v>
      </c>
      <c r="C4388" t="s">
        <v>40</v>
      </c>
      <c r="D4388">
        <v>4.2278339999999996</v>
      </c>
      <c r="E4388">
        <v>0.50969449999999905</v>
      </c>
      <c r="F4388" t="s">
        <v>57</v>
      </c>
      <c r="G4388">
        <v>-300.13380000000001</v>
      </c>
      <c r="H4388" s="1">
        <v>2.6295239999999998E-6</v>
      </c>
      <c r="I4388">
        <v>215.71260000000001</v>
      </c>
      <c r="J4388">
        <v>-381.2706</v>
      </c>
      <c r="K4388">
        <v>1.1210469999999999</v>
      </c>
      <c r="L4388">
        <v>215.3349</v>
      </c>
      <c r="M4388">
        <v>0.99986920000000001</v>
      </c>
      <c r="N4388">
        <v>-1.178006E-2</v>
      </c>
      <c r="O4388">
        <v>1.1090920000000001E-2</v>
      </c>
      <c r="P4388">
        <v>0.99787709999999996</v>
      </c>
      <c r="Q4388">
        <v>-5.8354780000000002E-2</v>
      </c>
      <c r="R4388">
        <v>2.8917430000000001E-2</v>
      </c>
      <c r="S4388">
        <v>3.0036930000000002</v>
      </c>
      <c r="T4388">
        <v>-4.1345949999999999E-2</v>
      </c>
      <c r="U4388">
        <v>1.4053339999999999E-2</v>
      </c>
      <c r="V4388">
        <v>-1.7849420000000001E-2</v>
      </c>
      <c r="W4388">
        <v>-4.659195E-2</v>
      </c>
      <c r="X4388">
        <v>0.99875449999999999</v>
      </c>
      <c r="Y4388">
        <v>6.4120660000000001E-3</v>
      </c>
      <c r="Z4388">
        <v>-1.03899E-4</v>
      </c>
      <c r="AA4388">
        <v>0.99997939999999996</v>
      </c>
      <c r="AB4388">
        <v>31</v>
      </c>
      <c r="AC4388">
        <v>81.136799999999994</v>
      </c>
      <c r="AD4388">
        <v>-1.12104437047599</v>
      </c>
      <c r="AE4388">
        <v>0.37770000000000398</v>
      </c>
      <c r="AF4388">
        <v>0.52216766815929105</v>
      </c>
      <c r="AG4388">
        <v>-1.12104437047599</v>
      </c>
      <c r="AH4388">
        <v>81.1205125171075</v>
      </c>
      <c r="AI4388">
        <v>90.791731835104102</v>
      </c>
      <c r="AJ4388">
        <v>89.631195742525406</v>
      </c>
      <c r="AK4388">
        <v>81.129938682291893</v>
      </c>
      <c r="AL4388">
        <v>92.670488926068103</v>
      </c>
      <c r="AM4388">
        <v>91.023862792696804</v>
      </c>
      <c r="AN4388">
        <v>0.99999998143469404</v>
      </c>
    </row>
    <row r="4389" spans="1:40" x14ac:dyDescent="0.25">
      <c r="A4389" t="str">
        <f>"20190303153855990"</f>
        <v>20190303153855990</v>
      </c>
      <c r="B4389" t="str">
        <f>"1551598735982765"</f>
        <v>1551598735982765</v>
      </c>
      <c r="C4389" t="s">
        <v>40</v>
      </c>
      <c r="D4389">
        <v>4.2553729999999996</v>
      </c>
      <c r="E4389">
        <v>0.50965009999999999</v>
      </c>
      <c r="F4389" t="s">
        <v>57</v>
      </c>
      <c r="G4389">
        <v>-295.0025</v>
      </c>
      <c r="H4389" s="1">
        <v>1.7817640000000001E-6</v>
      </c>
      <c r="I4389">
        <v>215.73240000000001</v>
      </c>
      <c r="J4389">
        <v>-380.94900000000001</v>
      </c>
      <c r="K4389">
        <v>1.1210709999999999</v>
      </c>
      <c r="L4389">
        <v>215.33850000000001</v>
      </c>
      <c r="M4389">
        <v>0.99986450000000004</v>
      </c>
      <c r="N4389">
        <v>-1.2172540000000001E-2</v>
      </c>
      <c r="O4389">
        <v>1.1090859999999999E-2</v>
      </c>
      <c r="P4389">
        <v>0.99785970000000002</v>
      </c>
      <c r="Q4389">
        <v>-5.8786249999999998E-2</v>
      </c>
      <c r="R4389">
        <v>2.8647369999999998E-2</v>
      </c>
      <c r="S4389">
        <v>3.0037229999999999</v>
      </c>
      <c r="T4389">
        <v>-3.9033060000000001E-2</v>
      </c>
      <c r="U4389">
        <v>1.383972E-2</v>
      </c>
      <c r="V4389">
        <v>-1.7579830000000001E-2</v>
      </c>
      <c r="W4389">
        <v>-4.6631609999999997E-2</v>
      </c>
      <c r="X4389">
        <v>0.99875740000000002</v>
      </c>
      <c r="Y4389">
        <v>6.4833069999999998E-3</v>
      </c>
      <c r="Z4389" s="1">
        <v>-9.0690699999999996E-5</v>
      </c>
      <c r="AA4389">
        <v>0.99997899999999995</v>
      </c>
      <c r="AB4389">
        <v>31</v>
      </c>
      <c r="AC4389">
        <v>85.9465</v>
      </c>
      <c r="AD4389">
        <v>-1.121069218236</v>
      </c>
      <c r="AE4389">
        <v>0.39390000000000203</v>
      </c>
      <c r="AF4389">
        <v>0.55932020237896496</v>
      </c>
      <c r="AG4389">
        <v>-1.121069218236</v>
      </c>
      <c r="AH4389">
        <v>85.930961994644406</v>
      </c>
      <c r="AI4389">
        <v>90.747431764712701</v>
      </c>
      <c r="AJ4389">
        <v>89.627069990924497</v>
      </c>
      <c r="AK4389">
        <v>85.940094627629307</v>
      </c>
      <c r="AL4389">
        <v>92.672763831310206</v>
      </c>
      <c r="AM4389">
        <v>91.008399097567704</v>
      </c>
      <c r="AN4389">
        <v>0.99999995076438897</v>
      </c>
    </row>
    <row r="4390" spans="1:40" x14ac:dyDescent="0.25">
      <c r="A4390" t="str">
        <f>"20190303153856013"</f>
        <v>20190303153856013</v>
      </c>
      <c r="B4390" t="str">
        <f>"1551598736003261"</f>
        <v>1551598736003261</v>
      </c>
      <c r="C4390" t="s">
        <v>40</v>
      </c>
      <c r="D4390">
        <v>4.2303649999999999</v>
      </c>
      <c r="E4390">
        <v>0.50960430000000001</v>
      </c>
      <c r="F4390" t="s">
        <v>57</v>
      </c>
      <c r="G4390">
        <v>-296.90320000000003</v>
      </c>
      <c r="H4390" s="1">
        <v>2.118926E-6</v>
      </c>
      <c r="I4390">
        <v>215.71080000000001</v>
      </c>
      <c r="J4390">
        <v>-380.62419999999997</v>
      </c>
      <c r="K4390">
        <v>1.121067</v>
      </c>
      <c r="L4390">
        <v>215.34209999999999</v>
      </c>
      <c r="M4390">
        <v>0.99986120000000001</v>
      </c>
      <c r="N4390">
        <v>-1.2442989999999999E-2</v>
      </c>
      <c r="O4390">
        <v>1.1090839999999999E-2</v>
      </c>
      <c r="P4390">
        <v>0.99785349999999995</v>
      </c>
      <c r="Q4390">
        <v>-5.9250980000000002E-2</v>
      </c>
      <c r="R4390">
        <v>2.789084E-2</v>
      </c>
      <c r="S4390">
        <v>3.0036930000000002</v>
      </c>
      <c r="T4390">
        <v>-4.0065650000000001E-2</v>
      </c>
      <c r="U4390">
        <v>1.330566E-2</v>
      </c>
      <c r="V4390">
        <v>-1.6822920000000002E-2</v>
      </c>
      <c r="W4390">
        <v>-4.6826380000000001E-2</v>
      </c>
      <c r="X4390">
        <v>0.99876140000000002</v>
      </c>
      <c r="Y4390">
        <v>6.6609859999999998E-3</v>
      </c>
      <c r="Z4390" s="1">
        <v>-9.5786819999999902E-5</v>
      </c>
      <c r="AA4390">
        <v>0.99997780000000003</v>
      </c>
      <c r="AB4390">
        <v>31</v>
      </c>
      <c r="AC4390">
        <v>83.720999999999904</v>
      </c>
      <c r="AD4390">
        <v>-1.121064881074</v>
      </c>
      <c r="AE4390">
        <v>0.36870000000001801</v>
      </c>
      <c r="AF4390">
        <v>0.55983028974636795</v>
      </c>
      <c r="AG4390">
        <v>-1.121064881074</v>
      </c>
      <c r="AH4390">
        <v>83.704930999741904</v>
      </c>
      <c r="AI4390">
        <v>90.767302583855496</v>
      </c>
      <c r="AJ4390">
        <v>89.616803523867304</v>
      </c>
      <c r="AK4390">
        <v>83.714309828681294</v>
      </c>
      <c r="AL4390">
        <v>92.683935329171405</v>
      </c>
      <c r="AM4390">
        <v>90.964986407444897</v>
      </c>
      <c r="AN4390">
        <v>1.00000002731559</v>
      </c>
    </row>
    <row r="4391" spans="1:40" x14ac:dyDescent="0.25">
      <c r="A4391" t="str">
        <f>"20190303153856035"</f>
        <v>20190303153856035</v>
      </c>
      <c r="B4391" t="str">
        <f>"1551598736022781"</f>
        <v>1551598736022781</v>
      </c>
      <c r="C4391" t="s">
        <v>40</v>
      </c>
      <c r="D4391">
        <v>4.218153</v>
      </c>
      <c r="E4391">
        <v>0.5095596</v>
      </c>
      <c r="F4391" t="s">
        <v>57</v>
      </c>
      <c r="G4391">
        <v>-298.85739999999998</v>
      </c>
      <c r="H4391" s="1">
        <v>2.465562E-6</v>
      </c>
      <c r="I4391">
        <v>215.65940000000001</v>
      </c>
      <c r="J4391">
        <v>-380.31650000000002</v>
      </c>
      <c r="K4391">
        <v>1.1210420000000001</v>
      </c>
      <c r="L4391">
        <v>215.34549999999999</v>
      </c>
      <c r="M4391">
        <v>0.99985919999999895</v>
      </c>
      <c r="N4391">
        <v>-1.260531E-2</v>
      </c>
      <c r="O4391">
        <v>1.1090640000000001E-2</v>
      </c>
      <c r="P4391">
        <v>0.99788920000000003</v>
      </c>
      <c r="Q4391">
        <v>-5.8903209999999998E-2</v>
      </c>
      <c r="R4391">
        <v>2.7347719999999999E-2</v>
      </c>
      <c r="S4391">
        <v>3.0036930000000002</v>
      </c>
      <c r="T4391">
        <v>-4.1182160000000002E-2</v>
      </c>
      <c r="U4391">
        <v>1.165771E-2</v>
      </c>
      <c r="V4391">
        <v>-1.6279910000000002E-2</v>
      </c>
      <c r="W4391">
        <v>-4.631615E-2</v>
      </c>
      <c r="X4391">
        <v>0.99879410000000002</v>
      </c>
      <c r="Y4391">
        <v>7.2092700000000003E-3</v>
      </c>
      <c r="Z4391">
        <v>-1.071016E-4</v>
      </c>
      <c r="AA4391">
        <v>0.99997400000000003</v>
      </c>
      <c r="AB4391">
        <v>31</v>
      </c>
      <c r="AC4391">
        <v>81.459100000000007</v>
      </c>
      <c r="AD4391">
        <v>-1.121039534438</v>
      </c>
      <c r="AE4391">
        <v>0.313900000000018</v>
      </c>
      <c r="AF4391">
        <v>0.58951285487835103</v>
      </c>
      <c r="AG4391">
        <v>-1.121039534438</v>
      </c>
      <c r="AH4391">
        <v>81.442146553199393</v>
      </c>
      <c r="AI4391">
        <v>90.788597774504495</v>
      </c>
      <c r="AJ4391">
        <v>89.585276050604193</v>
      </c>
      <c r="AK4391">
        <v>81.451995004644601</v>
      </c>
      <c r="AL4391">
        <v>92.654669787871995</v>
      </c>
      <c r="AM4391">
        <v>90.933813628042302</v>
      </c>
      <c r="AN4391">
        <v>0.99999993770761797</v>
      </c>
    </row>
    <row r="4392" spans="1:40" x14ac:dyDescent="0.25">
      <c r="A4392" t="str">
        <f>"20190303153856055"</f>
        <v>20190303153856055</v>
      </c>
      <c r="B4392" t="str">
        <f>"1551598736053037"</f>
        <v>1551598736053037</v>
      </c>
      <c r="C4392" t="s">
        <v>40</v>
      </c>
      <c r="D4392">
        <v>4.2221500000000001</v>
      </c>
      <c r="E4392">
        <v>0.50946670000000005</v>
      </c>
      <c r="F4392" t="s">
        <v>57</v>
      </c>
      <c r="G4392">
        <v>-296.49979999999999</v>
      </c>
      <c r="H4392" s="1">
        <v>2.047357E-6</v>
      </c>
      <c r="I4392">
        <v>215.63499999999999</v>
      </c>
      <c r="J4392">
        <v>-380.02980000000002</v>
      </c>
      <c r="K4392">
        <v>1.1210100000000001</v>
      </c>
      <c r="L4392">
        <v>215.34870000000001</v>
      </c>
      <c r="M4392">
        <v>0.99985820000000003</v>
      </c>
      <c r="N4392">
        <v>-1.266806E-2</v>
      </c>
      <c r="O4392">
        <v>1.1090890000000001E-2</v>
      </c>
      <c r="P4392">
        <v>0.99794380000000005</v>
      </c>
      <c r="Q4392">
        <v>-5.8078879999999999E-2</v>
      </c>
      <c r="R4392">
        <v>2.711007E-2</v>
      </c>
      <c r="S4392">
        <v>3.0037229999999999</v>
      </c>
      <c r="T4392">
        <v>-4.0174479999999999E-2</v>
      </c>
      <c r="U4392">
        <v>1.037598E-2</v>
      </c>
      <c r="V4392">
        <v>-1.6041E-2</v>
      </c>
      <c r="W4392">
        <v>-4.542856E-2</v>
      </c>
      <c r="X4392">
        <v>0.99883880000000003</v>
      </c>
      <c r="Y4392">
        <v>7.636248E-3</v>
      </c>
      <c r="Z4392">
        <v>-1.072608E-4</v>
      </c>
      <c r="AA4392">
        <v>0.9999709</v>
      </c>
      <c r="AB4392">
        <v>31</v>
      </c>
      <c r="AC4392">
        <v>83.53</v>
      </c>
      <c r="AD4392">
        <v>-1.1210079526429999</v>
      </c>
      <c r="AE4392">
        <v>0.28629999999998201</v>
      </c>
      <c r="AF4392">
        <v>0.64009875594603904</v>
      </c>
      <c r="AG4392">
        <v>-1.1210079526429999</v>
      </c>
      <c r="AH4392">
        <v>83.512996009267297</v>
      </c>
      <c r="AI4392">
        <v>90.769021399603702</v>
      </c>
      <c r="AJ4392">
        <v>89.560855905264702</v>
      </c>
      <c r="AK4392">
        <v>83.522972215379994</v>
      </c>
      <c r="AL4392">
        <v>92.603760847588205</v>
      </c>
      <c r="AM4392">
        <v>90.920070983668097</v>
      </c>
      <c r="AN4392">
        <v>1.00000000806505</v>
      </c>
    </row>
    <row r="4393" spans="1:40" x14ac:dyDescent="0.25">
      <c r="A4393" t="str">
        <f>"20190303153856079"</f>
        <v>20190303153856079</v>
      </c>
      <c r="B4393" t="str">
        <f>"1551598736072557"</f>
        <v>1551598736072557</v>
      </c>
      <c r="C4393" t="s">
        <v>40</v>
      </c>
      <c r="D4393">
        <v>4.2353820000000004</v>
      </c>
      <c r="E4393">
        <v>0.50942860000000001</v>
      </c>
      <c r="F4393" t="s">
        <v>57</v>
      </c>
      <c r="G4393">
        <v>-290.66480000000001</v>
      </c>
      <c r="H4393" s="1">
        <v>1.0123400000000001E-6</v>
      </c>
      <c r="I4393">
        <v>215.65780000000001</v>
      </c>
      <c r="J4393">
        <v>-379.709</v>
      </c>
      <c r="K4393">
        <v>1.1209519999999999</v>
      </c>
      <c r="L4393">
        <v>215.35220000000001</v>
      </c>
      <c r="M4393">
        <v>0.99985889999999999</v>
      </c>
      <c r="N4393">
        <v>-1.262783E-2</v>
      </c>
      <c r="O4393">
        <v>1.109067E-2</v>
      </c>
      <c r="P4393">
        <v>0.99796050000000003</v>
      </c>
      <c r="Q4393">
        <v>-5.7805429999999998E-2</v>
      </c>
      <c r="R4393">
        <v>2.7088689999999999E-2</v>
      </c>
      <c r="S4393">
        <v>3.0036930000000002</v>
      </c>
      <c r="T4393">
        <v>-3.7678839999999998E-2</v>
      </c>
      <c r="U4393">
        <v>1.039124E-2</v>
      </c>
      <c r="V4393">
        <v>-1.6020220000000002E-2</v>
      </c>
      <c r="W4393">
        <v>-4.5195100000000002E-2</v>
      </c>
      <c r="X4393">
        <v>0.99884969999999995</v>
      </c>
      <c r="Y4393">
        <v>7.6310340000000001E-3</v>
      </c>
      <c r="Z4393" s="1">
        <v>-9.5103479999999994E-5</v>
      </c>
      <c r="AA4393">
        <v>0.9999709</v>
      </c>
      <c r="AB4393">
        <v>31</v>
      </c>
      <c r="AC4393">
        <v>89.044199999999904</v>
      </c>
      <c r="AD4393">
        <v>-1.1209509876599999</v>
      </c>
      <c r="AE4393">
        <v>0.30559999999999798</v>
      </c>
      <c r="AF4393">
        <v>0.68194917296705604</v>
      </c>
      <c r="AG4393">
        <v>-1.1209509876599999</v>
      </c>
      <c r="AH4393">
        <v>89.028003601938295</v>
      </c>
      <c r="AI4393">
        <v>90.721351491183995</v>
      </c>
      <c r="AJ4393">
        <v>89.561126345591603</v>
      </c>
      <c r="AK4393">
        <v>89.037671864992006</v>
      </c>
      <c r="AL4393">
        <v>92.590370884737098</v>
      </c>
      <c r="AM4393">
        <v>90.918869274582903</v>
      </c>
      <c r="AN4393">
        <v>0.99999998385147304</v>
      </c>
    </row>
    <row r="4394" spans="1:40" x14ac:dyDescent="0.25">
      <c r="A4394" t="str">
        <f>"20190303153856102"</f>
        <v>20190303153856102</v>
      </c>
      <c r="B4394" t="str">
        <f>"1551598736093052"</f>
        <v>1551598736093052</v>
      </c>
      <c r="C4394" t="s">
        <v>40</v>
      </c>
      <c r="D4394">
        <v>4.1341929999999998</v>
      </c>
      <c r="E4394">
        <v>0.50946219999999998</v>
      </c>
      <c r="F4394" t="s">
        <v>57</v>
      </c>
      <c r="G4394">
        <v>-288.041</v>
      </c>
      <c r="H4394" s="1">
        <v>3.3986209999999999E-6</v>
      </c>
      <c r="I4394">
        <v>215.67679999999999</v>
      </c>
      <c r="J4394">
        <v>-379.38749999999999</v>
      </c>
      <c r="K4394">
        <v>1.120878</v>
      </c>
      <c r="L4394">
        <v>215.35579999999999</v>
      </c>
      <c r="M4394">
        <v>0.99986079999999999</v>
      </c>
      <c r="N4394">
        <v>-1.247592E-2</v>
      </c>
      <c r="O4394">
        <v>1.109098E-2</v>
      </c>
      <c r="P4394">
        <v>0.99796739999999995</v>
      </c>
      <c r="Q4394">
        <v>-5.7502829999999998E-2</v>
      </c>
      <c r="R4394">
        <v>2.7478039999999999E-2</v>
      </c>
      <c r="S4394">
        <v>3.0037539999999998</v>
      </c>
      <c r="T4394">
        <v>-3.6731E-2</v>
      </c>
      <c r="U4394">
        <v>1.063538E-2</v>
      </c>
      <c r="V4394">
        <v>-1.640898E-2</v>
      </c>
      <c r="W4394">
        <v>-4.5044109999999998E-2</v>
      </c>
      <c r="X4394">
        <v>0.99885020000000002</v>
      </c>
      <c r="Y4394">
        <v>7.5501819999999999E-3</v>
      </c>
      <c r="Z4394" s="1">
        <v>-9.0502880000000002E-5</v>
      </c>
      <c r="AA4394">
        <v>0.99997150000000001</v>
      </c>
      <c r="AB4394">
        <v>31</v>
      </c>
      <c r="AC4394">
        <v>91.346500000000006</v>
      </c>
      <c r="AD4394">
        <v>-1.1208746013789901</v>
      </c>
      <c r="AE4394">
        <v>0.32099999999999701</v>
      </c>
      <c r="AF4394">
        <v>0.69211645657712695</v>
      </c>
      <c r="AG4394">
        <v>-1.1208746013789901</v>
      </c>
      <c r="AH4394">
        <v>91.330689944263298</v>
      </c>
      <c r="AI4394">
        <v>90.703118703317998</v>
      </c>
      <c r="AJ4394">
        <v>89.565813059853994</v>
      </c>
      <c r="AK4394">
        <v>91.340190008323503</v>
      </c>
      <c r="AL4394">
        <v>92.581711000311302</v>
      </c>
      <c r="AM4394">
        <v>90.941162887231201</v>
      </c>
      <c r="AN4394">
        <v>0.99999997425518505</v>
      </c>
    </row>
    <row r="4395" spans="1:40" x14ac:dyDescent="0.25">
      <c r="A4395" t="str">
        <f>"20190303153856124"</f>
        <v>20190303153856124</v>
      </c>
      <c r="B4395" t="str">
        <f>"1551598736112573"</f>
        <v>1551598736112573</v>
      </c>
      <c r="C4395" t="s">
        <v>40</v>
      </c>
      <c r="D4395">
        <v>4.1372790000000004</v>
      </c>
      <c r="E4395">
        <v>0.50949069999999996</v>
      </c>
      <c r="F4395" t="s">
        <v>57</v>
      </c>
      <c r="G4395">
        <v>-282.04930000000002</v>
      </c>
      <c r="H4395" s="1">
        <v>6.0498479999999997E-6</v>
      </c>
      <c r="I4395">
        <v>215.7261</v>
      </c>
      <c r="J4395">
        <v>-379.08609999999999</v>
      </c>
      <c r="K4395">
        <v>1.1208020000000001</v>
      </c>
      <c r="L4395">
        <v>215.35910000000001</v>
      </c>
      <c r="M4395">
        <v>0.99986370000000002</v>
      </c>
      <c r="N4395">
        <v>-1.223548E-2</v>
      </c>
      <c r="O4395">
        <v>1.1091119999999999E-2</v>
      </c>
      <c r="P4395">
        <v>0.99793220000000005</v>
      </c>
      <c r="Q4395">
        <v>-5.7954459999999999E-2</v>
      </c>
      <c r="R4395">
        <v>2.7801909999999999E-2</v>
      </c>
      <c r="S4395">
        <v>3.003784</v>
      </c>
      <c r="T4395">
        <v>-3.4589290000000002E-2</v>
      </c>
      <c r="U4395">
        <v>1.1428829999999999E-2</v>
      </c>
      <c r="V4395">
        <v>-1.6732799999999999E-2</v>
      </c>
      <c r="W4395">
        <v>-4.5736260000000001E-2</v>
      </c>
      <c r="X4395">
        <v>0.99881339999999996</v>
      </c>
      <c r="Y4395">
        <v>7.2863199999999998E-3</v>
      </c>
      <c r="Z4395" s="1">
        <v>-7.8527709999999998E-5</v>
      </c>
      <c r="AA4395">
        <v>0.99997349999999996</v>
      </c>
      <c r="AB4395">
        <v>31</v>
      </c>
      <c r="AC4395">
        <v>97.0367999999999</v>
      </c>
      <c r="AD4395">
        <v>-1.120795950152</v>
      </c>
      <c r="AE4395">
        <v>0.36699999999999</v>
      </c>
      <c r="AF4395">
        <v>0.709255246889964</v>
      </c>
      <c r="AG4395">
        <v>-1.120795950152</v>
      </c>
      <c r="AH4395">
        <v>97.021958008314996</v>
      </c>
      <c r="AI4395">
        <v>90.661832713644202</v>
      </c>
      <c r="AJ4395">
        <v>89.581160706115298</v>
      </c>
      <c r="AK4395">
        <v>97.031023710637797</v>
      </c>
      <c r="AL4395">
        <v>92.621409123823497</v>
      </c>
      <c r="AM4395">
        <v>90.959768006389794</v>
      </c>
      <c r="AN4395">
        <v>1.0000000000470901</v>
      </c>
    </row>
    <row r="4396" spans="1:40" x14ac:dyDescent="0.25">
      <c r="A4396" t="str">
        <f>"20190303153856145"</f>
        <v>20190303153856145</v>
      </c>
      <c r="B4396" t="str">
        <f>"1551598736133069"</f>
        <v>1551598736133069</v>
      </c>
      <c r="C4396" t="s">
        <v>40</v>
      </c>
      <c r="D4396">
        <v>4.1284299999999998</v>
      </c>
      <c r="E4396">
        <v>0.50952370000000002</v>
      </c>
      <c r="F4396" t="s">
        <v>57</v>
      </c>
      <c r="G4396">
        <v>-282.03149999999999</v>
      </c>
      <c r="H4396" s="1">
        <v>6.0539179999999998E-6</v>
      </c>
      <c r="I4396">
        <v>215.75790000000001</v>
      </c>
      <c r="J4396">
        <v>-378.78300000000002</v>
      </c>
      <c r="K4396">
        <v>1.1207129999999901</v>
      </c>
      <c r="L4396">
        <v>215.36250000000001</v>
      </c>
      <c r="M4396">
        <v>0.99986779999999997</v>
      </c>
      <c r="N4396">
        <v>-1.19037E-2</v>
      </c>
      <c r="O4396">
        <v>1.1091480000000001E-2</v>
      </c>
      <c r="P4396">
        <v>0.99790500000000004</v>
      </c>
      <c r="Q4396">
        <v>-5.8226640000000003E-2</v>
      </c>
      <c r="R4396">
        <v>2.8206760000000001E-2</v>
      </c>
      <c r="S4396">
        <v>3.0038450000000001</v>
      </c>
      <c r="T4396">
        <v>-3.4688709999999998E-2</v>
      </c>
      <c r="U4396">
        <v>1.234436E-2</v>
      </c>
      <c r="V4396">
        <v>-1.7138110000000002E-2</v>
      </c>
      <c r="W4396">
        <v>-4.6340100000000002E-2</v>
      </c>
      <c r="X4396">
        <v>0.99877870000000002</v>
      </c>
      <c r="Y4396">
        <v>6.9819950000000004E-3</v>
      </c>
      <c r="Z4396" s="1">
        <v>-7.7914480000000006E-5</v>
      </c>
      <c r="AA4396">
        <v>0.99997559999999996</v>
      </c>
      <c r="AB4396">
        <v>31</v>
      </c>
      <c r="AC4396">
        <v>96.751499999999993</v>
      </c>
      <c r="AD4396">
        <v>-1.1207069460819901</v>
      </c>
      <c r="AE4396">
        <v>0.39539999999999498</v>
      </c>
      <c r="AF4396">
        <v>0.67772657763556698</v>
      </c>
      <c r="AG4396">
        <v>-1.1207069460819901</v>
      </c>
      <c r="AH4396">
        <v>96.736954249349395</v>
      </c>
      <c r="AI4396">
        <v>90.663731151510305</v>
      </c>
      <c r="AJ4396">
        <v>89.598599753521796</v>
      </c>
      <c r="AK4396">
        <v>96.745819624486899</v>
      </c>
      <c r="AL4396">
        <v>92.6560433163325</v>
      </c>
      <c r="AM4396">
        <v>90.983045610292194</v>
      </c>
      <c r="AN4396">
        <v>1.00000000562803</v>
      </c>
    </row>
    <row r="4397" spans="1:40" x14ac:dyDescent="0.25">
      <c r="A4397" t="str">
        <f>"20190303153856167"</f>
        <v>20190303153856167</v>
      </c>
      <c r="B4397" t="str">
        <f>"1551598736162349"</f>
        <v>1551598736162349</v>
      </c>
      <c r="C4397" t="s">
        <v>40</v>
      </c>
      <c r="D4397">
        <v>4.1341070000000002</v>
      </c>
      <c r="E4397">
        <v>0.50952559999999902</v>
      </c>
      <c r="F4397" t="s">
        <v>57</v>
      </c>
      <c r="G4397">
        <v>-280.64109999999999</v>
      </c>
      <c r="H4397" s="1">
        <v>6.6658889999999999E-6</v>
      </c>
      <c r="I4397">
        <v>215.79669999999999</v>
      </c>
      <c r="J4397">
        <v>-378.4794</v>
      </c>
      <c r="K4397">
        <v>1.120622</v>
      </c>
      <c r="L4397">
        <v>215.36590000000001</v>
      </c>
      <c r="M4397">
        <v>0.9998726</v>
      </c>
      <c r="N4397">
        <v>-1.149362E-2</v>
      </c>
      <c r="O4397">
        <v>1.109189E-2</v>
      </c>
      <c r="P4397">
        <v>0.99791839999999998</v>
      </c>
      <c r="Q4397">
        <v>-5.8188160000000003E-2</v>
      </c>
      <c r="R4397">
        <v>2.7813350000000001E-2</v>
      </c>
      <c r="S4397">
        <v>3.0039370000000001</v>
      </c>
      <c r="T4397">
        <v>-3.430271E-2</v>
      </c>
      <c r="U4397">
        <v>1.3290410000000001E-2</v>
      </c>
      <c r="V4397">
        <v>-1.6743959999999999E-2</v>
      </c>
      <c r="W4397">
        <v>-4.6711120000000002E-2</v>
      </c>
      <c r="X4397">
        <v>0.99876810000000005</v>
      </c>
      <c r="Y4397">
        <v>6.6676259999999899E-3</v>
      </c>
      <c r="Z4397" s="1">
        <v>-7.5551029999999998E-5</v>
      </c>
      <c r="AA4397">
        <v>0.99997780000000003</v>
      </c>
      <c r="AB4397">
        <v>31</v>
      </c>
      <c r="AC4397">
        <v>97.838300000000004</v>
      </c>
      <c r="AD4397">
        <v>-1.1206153341109999</v>
      </c>
      <c r="AE4397">
        <v>0.43079999999997598</v>
      </c>
      <c r="AF4397">
        <v>0.65442381265036897</v>
      </c>
      <c r="AG4397">
        <v>-1.1206153341109999</v>
      </c>
      <c r="AH4397">
        <v>97.824226046945995</v>
      </c>
      <c r="AI4397">
        <v>90.656302501966593</v>
      </c>
      <c r="AJ4397">
        <v>89.616708818918198</v>
      </c>
      <c r="AK4397">
        <v>97.832833194881999</v>
      </c>
      <c r="AL4397">
        <v>92.677324247982099</v>
      </c>
      <c r="AM4397">
        <v>90.9604515591747</v>
      </c>
      <c r="AN4397">
        <v>1.00000000325287</v>
      </c>
    </row>
    <row r="4398" spans="1:40" x14ac:dyDescent="0.25">
      <c r="A4398" t="str">
        <f>"20190303153856191"</f>
        <v>20190303153856191</v>
      </c>
      <c r="B4398" t="str">
        <f>"1551598736182844"</f>
        <v>1551598736182844</v>
      </c>
      <c r="C4398" t="s">
        <v>40</v>
      </c>
      <c r="D4398">
        <v>4.1435969999999998</v>
      </c>
      <c r="E4398">
        <v>0.50955929999999905</v>
      </c>
      <c r="F4398" t="s">
        <v>55</v>
      </c>
      <c r="G4398">
        <v>-276.68860000000001</v>
      </c>
      <c r="H4398" s="1">
        <v>1.972004E-6</v>
      </c>
      <c r="I4398">
        <v>215.77279999999999</v>
      </c>
      <c r="J4398">
        <v>-378.1454</v>
      </c>
      <c r="K4398">
        <v>1.1205309999999999</v>
      </c>
      <c r="L4398">
        <v>215.36959999999999</v>
      </c>
      <c r="M4398">
        <v>0.9998783</v>
      </c>
      <c r="N4398">
        <v>-1.0978419999999999E-2</v>
      </c>
      <c r="O4398">
        <v>1.10925E-2</v>
      </c>
      <c r="P4398">
        <v>0.99797650000000004</v>
      </c>
      <c r="Q4398">
        <v>-5.742469E-2</v>
      </c>
      <c r="R4398">
        <v>2.7307640000000001E-2</v>
      </c>
      <c r="S4398">
        <v>3.0039980000000002</v>
      </c>
      <c r="T4398">
        <v>-3.3071160000000002E-2</v>
      </c>
      <c r="U4398">
        <v>1.2008670000000001E-2</v>
      </c>
      <c r="V4398">
        <v>-1.6237410000000001E-2</v>
      </c>
      <c r="W4398">
        <v>-4.6461740000000001E-2</v>
      </c>
      <c r="X4398">
        <v>0.99878809999999996</v>
      </c>
      <c r="Y4398">
        <v>7.0949380000000003E-3</v>
      </c>
      <c r="Z4398" s="1">
        <v>-7.8329469999999994E-5</v>
      </c>
      <c r="AA4398">
        <v>0.99997480000000005</v>
      </c>
      <c r="AB4398">
        <v>31</v>
      </c>
      <c r="AC4398">
        <v>101.4568</v>
      </c>
      <c r="AD4398">
        <v>-1.1205290279959901</v>
      </c>
      <c r="AE4398">
        <v>0.403199999999998</v>
      </c>
      <c r="AF4398">
        <v>0.72221399294103505</v>
      </c>
      <c r="AG4398">
        <v>-1.1205290279959901</v>
      </c>
      <c r="AH4398">
        <v>101.442656373959</v>
      </c>
      <c r="AI4398">
        <v>90.632843703684202</v>
      </c>
      <c r="AJ4398">
        <v>89.592093542585403</v>
      </c>
      <c r="AK4398">
        <v>101.45141551777</v>
      </c>
      <c r="AL4398">
        <v>92.663020284221403</v>
      </c>
      <c r="AM4398">
        <v>90.931381857328503</v>
      </c>
      <c r="AN4398">
        <v>1.00000000773447</v>
      </c>
    </row>
    <row r="4399" spans="1:40" x14ac:dyDescent="0.25">
      <c r="A4399" t="str">
        <f>"20190303153856212"</f>
        <v>20190303153856212</v>
      </c>
      <c r="B4399" t="str">
        <f>"1551598736202365"</f>
        <v>1551598736202365</v>
      </c>
      <c r="C4399" t="s">
        <v>40</v>
      </c>
      <c r="D4399">
        <v>4.1469009999999997</v>
      </c>
      <c r="E4399">
        <v>0.50955030000000001</v>
      </c>
      <c r="F4399" t="s">
        <v>55</v>
      </c>
      <c r="G4399">
        <v>-264.40649999999999</v>
      </c>
      <c r="H4399" s="1">
        <v>7.5795749999999998E-7</v>
      </c>
      <c r="I4399">
        <v>215.76410000000001</v>
      </c>
      <c r="J4399">
        <v>-377.84309999999999</v>
      </c>
      <c r="K4399">
        <v>1.120457</v>
      </c>
      <c r="L4399">
        <v>215.37289999999999</v>
      </c>
      <c r="M4399">
        <v>0.99988339999999998</v>
      </c>
      <c r="N4399">
        <v>-1.0490299999999999E-2</v>
      </c>
      <c r="O4399">
        <v>1.1092950000000001E-2</v>
      </c>
      <c r="P4399">
        <v>0.99804990000000005</v>
      </c>
      <c r="Q4399">
        <v>-5.6156600000000001E-2</v>
      </c>
      <c r="R4399">
        <v>2.7255330000000001E-2</v>
      </c>
      <c r="S4399">
        <v>3.004089</v>
      </c>
      <c r="T4399">
        <v>-2.9595610000000001E-2</v>
      </c>
      <c r="U4399">
        <v>1.042175E-2</v>
      </c>
      <c r="V4399">
        <v>-1.6183699999999999E-2</v>
      </c>
      <c r="W4399">
        <v>-4.5680539999999999E-2</v>
      </c>
      <c r="X4399">
        <v>0.99882499999999996</v>
      </c>
      <c r="Y4399">
        <v>7.6237789999999998E-3</v>
      </c>
      <c r="Z4399" s="1">
        <v>-7.0450249999999995E-5</v>
      </c>
      <c r="AA4399">
        <v>0.9999709</v>
      </c>
      <c r="AB4399">
        <v>31</v>
      </c>
      <c r="AC4399">
        <v>113.4366</v>
      </c>
      <c r="AD4399">
        <v>-1.1204562420424999</v>
      </c>
      <c r="AE4399">
        <v>0.39120000000002603</v>
      </c>
      <c r="AF4399">
        <v>0.86715530208621405</v>
      </c>
      <c r="AG4399">
        <v>-1.1204562420424999</v>
      </c>
      <c r="AH4399">
        <v>113.422893728277</v>
      </c>
      <c r="AI4399">
        <v>90.565965543746699</v>
      </c>
      <c r="AJ4399">
        <v>89.5619634682309</v>
      </c>
      <c r="AK4399">
        <v>113.43174248068399</v>
      </c>
      <c r="AL4399">
        <v>92.618213256975594</v>
      </c>
      <c r="AM4399">
        <v>90.9282672898225</v>
      </c>
      <c r="AN4399">
        <v>1.00000000225269</v>
      </c>
    </row>
    <row r="4400" spans="1:40" x14ac:dyDescent="0.25">
      <c r="A4400" t="str">
        <f>"20190303153856234"</f>
        <v>20190303153856234</v>
      </c>
      <c r="B4400" t="str">
        <f>"1551598736222861"</f>
        <v>1551598736222861</v>
      </c>
      <c r="C4400" t="s">
        <v>40</v>
      </c>
      <c r="D4400">
        <v>4.1545050000000003</v>
      </c>
      <c r="E4400">
        <v>0.50957350000000001</v>
      </c>
      <c r="F4400" t="s">
        <v>55</v>
      </c>
      <c r="G4400">
        <v>-243.7989</v>
      </c>
      <c r="H4400" s="1">
        <v>4.3150600000000003E-7</v>
      </c>
      <c r="I4400">
        <v>215.83590000000001</v>
      </c>
      <c r="J4400">
        <v>-377.5369</v>
      </c>
      <c r="K4400">
        <v>1.1203890000000001</v>
      </c>
      <c r="L4400">
        <v>215.37629999999999</v>
      </c>
      <c r="M4400">
        <v>0.99988840000000001</v>
      </c>
      <c r="N4400">
        <v>-1.00045E-2</v>
      </c>
      <c r="O4400">
        <v>1.1093509999999999E-2</v>
      </c>
      <c r="P4400">
        <v>0.99809429999999999</v>
      </c>
      <c r="Q4400">
        <v>-5.5424260000000003E-2</v>
      </c>
      <c r="R4400">
        <v>2.713231E-2</v>
      </c>
      <c r="S4400">
        <v>3.0042110000000002</v>
      </c>
      <c r="T4400">
        <v>-2.5111789999999998E-2</v>
      </c>
      <c r="U4400">
        <v>1.037598E-2</v>
      </c>
      <c r="V4400">
        <v>-1.6059569999999999E-2</v>
      </c>
      <c r="W4400">
        <v>-4.5433050000000003E-2</v>
      </c>
      <c r="X4400">
        <v>0.99883829999999996</v>
      </c>
      <c r="Y4400">
        <v>7.6398250000000003E-3</v>
      </c>
      <c r="Z4400" s="1">
        <v>-5.1883630000000001E-5</v>
      </c>
      <c r="AA4400">
        <v>0.99997080000000005</v>
      </c>
      <c r="AB4400">
        <v>32</v>
      </c>
      <c r="AC4400">
        <v>133.738</v>
      </c>
      <c r="AD4400">
        <v>-1.12038856849399</v>
      </c>
      <c r="AE4400">
        <v>0.45960000000002299</v>
      </c>
      <c r="AF4400">
        <v>1.02405453193175</v>
      </c>
      <c r="AG4400">
        <v>-1.12038856849399</v>
      </c>
      <c r="AH4400">
        <v>133.72548340406999</v>
      </c>
      <c r="AI4400">
        <v>90.480014360346402</v>
      </c>
      <c r="AJ4400">
        <v>89.561244018166406</v>
      </c>
      <c r="AK4400">
        <v>133.73409763362901</v>
      </c>
      <c r="AL4400">
        <v>92.604018364708494</v>
      </c>
      <c r="AM4400">
        <v>90.921136389270401</v>
      </c>
      <c r="AN4400">
        <v>1.00000001068388</v>
      </c>
    </row>
    <row r="4401" spans="1:40" x14ac:dyDescent="0.25">
      <c r="A4401" t="str">
        <f>"20190303153856247"</f>
        <v>20190303153856247</v>
      </c>
      <c r="B4401" t="str">
        <f>"1551598736242382"</f>
        <v>1551598736242382</v>
      </c>
      <c r="C4401" t="s">
        <v>40</v>
      </c>
      <c r="D4401">
        <v>4.1815870000000004</v>
      </c>
      <c r="E4401">
        <v>0.50959860000000001</v>
      </c>
      <c r="F4401" t="s">
        <v>55</v>
      </c>
      <c r="G4401">
        <v>-222.30009999999999</v>
      </c>
      <c r="H4401" s="1">
        <v>-3.685149E-7</v>
      </c>
      <c r="I4401">
        <v>215.8912</v>
      </c>
      <c r="J4401">
        <v>-377.34910000000002</v>
      </c>
      <c r="K4401">
        <v>1.1203529999999999</v>
      </c>
      <c r="L4401">
        <v>215.3784</v>
      </c>
      <c r="M4401">
        <v>0.99989139999999999</v>
      </c>
      <c r="N4401">
        <v>-9.7169660000000005E-3</v>
      </c>
      <c r="O4401">
        <v>1.1093759999999999E-2</v>
      </c>
      <c r="P4401">
        <v>0.99809570000000003</v>
      </c>
      <c r="Q4401">
        <v>-5.5279830000000002E-2</v>
      </c>
      <c r="R4401">
        <v>2.7376859999999999E-2</v>
      </c>
      <c r="S4401">
        <v>3.0042420000000001</v>
      </c>
      <c r="T4401">
        <v>-2.16825E-2</v>
      </c>
      <c r="U4401">
        <v>9.9639889999999995E-3</v>
      </c>
      <c r="V4401">
        <v>-1.63037999999999E-2</v>
      </c>
      <c r="W4401">
        <v>-4.5575770000000002E-2</v>
      </c>
      <c r="X4401">
        <v>0.99882780000000004</v>
      </c>
      <c r="Y4401">
        <v>7.77729599999999E-3</v>
      </c>
      <c r="Z4401" s="1">
        <v>-3.8114590000000002E-5</v>
      </c>
      <c r="AA4401">
        <v>0.99996980000000002</v>
      </c>
      <c r="AB4401">
        <v>32</v>
      </c>
      <c r="AC4401">
        <v>155.04900000000001</v>
      </c>
      <c r="AD4401">
        <v>-1.1203533685148901</v>
      </c>
      <c r="AE4401">
        <v>0.51279999999999804</v>
      </c>
      <c r="AF4401">
        <v>1.2073258669165701</v>
      </c>
      <c r="AG4401">
        <v>-1.1203533685148901</v>
      </c>
      <c r="AH4401">
        <v>155.037052159616</v>
      </c>
      <c r="AI4401">
        <v>90.414020101472701</v>
      </c>
      <c r="AJ4401">
        <v>89.553827440297397</v>
      </c>
      <c r="AK4401">
        <v>155.04580087755599</v>
      </c>
      <c r="AL4401">
        <v>92.612204205542199</v>
      </c>
      <c r="AM4401">
        <v>90.935152165232594</v>
      </c>
      <c r="AN4401">
        <v>0.999999969379186</v>
      </c>
    </row>
    <row r="4402" spans="1:40" x14ac:dyDescent="0.25">
      <c r="A4402" t="str">
        <f>"20190303153856268"</f>
        <v>20190303153856268</v>
      </c>
      <c r="B4402" t="str">
        <f>"1551598736262877"</f>
        <v>1551598736262877</v>
      </c>
      <c r="C4402" t="s">
        <v>40</v>
      </c>
      <c r="D4402">
        <v>4.1713079999999998</v>
      </c>
      <c r="E4402">
        <v>0.50962099999999999</v>
      </c>
      <c r="F4402" t="s">
        <v>55</v>
      </c>
      <c r="G4402">
        <v>-210.16380000000001</v>
      </c>
      <c r="H4402" s="1">
        <v>-1.5088249999999999E-6</v>
      </c>
      <c r="I4402">
        <v>215.97110000000001</v>
      </c>
      <c r="J4402">
        <v>-377.0505</v>
      </c>
      <c r="K4402">
        <v>1.120306</v>
      </c>
      <c r="L4402">
        <v>215.3817</v>
      </c>
      <c r="M4402">
        <v>0.99989550000000005</v>
      </c>
      <c r="N4402">
        <v>-9.2876629999999998E-3</v>
      </c>
      <c r="O4402">
        <v>1.1094339999999999E-2</v>
      </c>
      <c r="P4402">
        <v>0.99808249999999998</v>
      </c>
      <c r="Q4402">
        <v>-5.531929E-2</v>
      </c>
      <c r="R4402">
        <v>2.777686E-2</v>
      </c>
      <c r="S4402">
        <v>3.0043030000000002</v>
      </c>
      <c r="T4402">
        <v>-2.013266E-2</v>
      </c>
      <c r="U4402">
        <v>1.0650629999999999E-2</v>
      </c>
      <c r="V4402">
        <v>-1.6703510000000001E-2</v>
      </c>
      <c r="W4402">
        <v>-4.6044109999999999E-2</v>
      </c>
      <c r="X4402">
        <v>0.99879969999999996</v>
      </c>
      <c r="Y4402">
        <v>7.5494239999999999E-3</v>
      </c>
      <c r="Z4402" s="1">
        <v>-3.1653799999999998E-5</v>
      </c>
      <c r="AA4402">
        <v>0.99997150000000001</v>
      </c>
      <c r="AB4402">
        <v>32</v>
      </c>
      <c r="AC4402">
        <v>166.88669999999999</v>
      </c>
      <c r="AD4402">
        <v>-1.1203075088249901</v>
      </c>
      <c r="AE4402">
        <v>0.58940000000001103</v>
      </c>
      <c r="AF4402">
        <v>1.26215672249097</v>
      </c>
      <c r="AG4402">
        <v>-1.1203075088249901</v>
      </c>
      <c r="AH4402">
        <v>166.875447509498</v>
      </c>
      <c r="AI4402">
        <v>90.384634725042105</v>
      </c>
      <c r="AJ4402">
        <v>89.5666536004275</v>
      </c>
      <c r="AK4402">
        <v>166.88398098679701</v>
      </c>
      <c r="AL4402">
        <v>92.639066353111403</v>
      </c>
      <c r="AM4402">
        <v>90.958101429023102</v>
      </c>
      <c r="AN4402">
        <v>0.99999995401605002</v>
      </c>
    </row>
    <row r="4403" spans="1:40" x14ac:dyDescent="0.25">
      <c r="A4403" t="str">
        <f>"20190303153856292"</f>
        <v>20190303153856292</v>
      </c>
      <c r="B4403" t="str">
        <f>"1551598736282397"</f>
        <v>1551598736282397</v>
      </c>
      <c r="C4403" t="s">
        <v>40</v>
      </c>
      <c r="D4403">
        <v>4.1752659999999997</v>
      </c>
      <c r="E4403">
        <v>0.50960360000000005</v>
      </c>
      <c r="F4403" t="s">
        <v>51</v>
      </c>
      <c r="G4403">
        <v>-202.33519999999999</v>
      </c>
      <c r="H4403" s="1">
        <v>3.1265250000000001E-6</v>
      </c>
      <c r="I4403">
        <v>216.05789999999999</v>
      </c>
      <c r="J4403">
        <v>-376.71480000000003</v>
      </c>
      <c r="K4403">
        <v>1.1202639999999999</v>
      </c>
      <c r="L4403">
        <v>215.38550000000001</v>
      </c>
      <c r="M4403">
        <v>0.99989930000000005</v>
      </c>
      <c r="N4403">
        <v>-8.8513310000000005E-3</v>
      </c>
      <c r="O4403">
        <v>1.109534E-2</v>
      </c>
      <c r="P4403">
        <v>0.99808079999999999</v>
      </c>
      <c r="Q4403">
        <v>-5.5191099999999903E-2</v>
      </c>
      <c r="R4403">
        <v>2.807815E-2</v>
      </c>
      <c r="S4403">
        <v>3.0043639999999998</v>
      </c>
      <c r="T4403">
        <v>-1.9264460000000001E-2</v>
      </c>
      <c r="U4403">
        <v>1.1627200000000001E-2</v>
      </c>
      <c r="V4403">
        <v>-1.7003319999999999E-2</v>
      </c>
      <c r="W4403">
        <v>-4.6351749999999997E-2</v>
      </c>
      <c r="X4403">
        <v>0.99878040000000001</v>
      </c>
      <c r="Y4403">
        <v>7.2254700000000003E-3</v>
      </c>
      <c r="Z4403" s="1">
        <v>-2.807425E-5</v>
      </c>
      <c r="AA4403">
        <v>0.99997389999999997</v>
      </c>
      <c r="AB4403">
        <v>32</v>
      </c>
      <c r="AC4403">
        <v>174.37960000000001</v>
      </c>
      <c r="AD4403">
        <v>-1.1202608734749999</v>
      </c>
      <c r="AE4403">
        <v>0.67239999999998101</v>
      </c>
      <c r="AF4403">
        <v>1.2624659770481801</v>
      </c>
      <c r="AG4403">
        <v>-1.1202608734749999</v>
      </c>
      <c r="AH4403">
        <v>174.36912967638699</v>
      </c>
      <c r="AI4403">
        <v>90.368090698321197</v>
      </c>
      <c r="AJ4403">
        <v>89.585174804089803</v>
      </c>
      <c r="AK4403">
        <v>174.37729837587401</v>
      </c>
      <c r="AL4403">
        <v>92.656711697964894</v>
      </c>
      <c r="AM4403">
        <v>90.975313867064799</v>
      </c>
      <c r="AN4403">
        <v>0.99999994252161994</v>
      </c>
    </row>
    <row r="4404" spans="1:40" x14ac:dyDescent="0.25">
      <c r="A4404" t="str">
        <f>"20190303153856314"</f>
        <v>20190303153856314</v>
      </c>
      <c r="B4404" t="str">
        <f>"1551598736302893"</f>
        <v>1551598736302893</v>
      </c>
      <c r="C4404" t="s">
        <v>40</v>
      </c>
      <c r="D4404">
        <v>4.2770390000000003</v>
      </c>
      <c r="E4404">
        <v>0.50958029999999999</v>
      </c>
      <c r="F4404" t="s">
        <v>51</v>
      </c>
      <c r="G4404">
        <v>-194.18379999999999</v>
      </c>
      <c r="H4404" s="1">
        <v>3.0882879999999998E-6</v>
      </c>
      <c r="I4404">
        <v>216.15119999999999</v>
      </c>
      <c r="J4404">
        <v>-376.39010000000002</v>
      </c>
      <c r="K4404">
        <v>1.1202379999999901</v>
      </c>
      <c r="L4404">
        <v>215.38910000000001</v>
      </c>
      <c r="M4404">
        <v>0.99990270000000003</v>
      </c>
      <c r="N4404">
        <v>-8.4724980000000002E-3</v>
      </c>
      <c r="O4404">
        <v>1.1095809999999999E-2</v>
      </c>
      <c r="P4404">
        <v>0.99807999999999997</v>
      </c>
      <c r="Q4404">
        <v>-5.5027659999999999E-2</v>
      </c>
      <c r="R4404">
        <v>2.8441689999999999E-2</v>
      </c>
      <c r="S4404">
        <v>3.0044249999999999</v>
      </c>
      <c r="T4404">
        <v>-1.8439290000000001E-2</v>
      </c>
      <c r="U4404">
        <v>1.260376E-2</v>
      </c>
      <c r="V4404">
        <v>-1.7367009999999999E-2</v>
      </c>
      <c r="W4404">
        <v>-4.6566629999999998E-2</v>
      </c>
      <c r="X4404">
        <v>0.99876419999999999</v>
      </c>
      <c r="Y4404">
        <v>6.901005E-3</v>
      </c>
      <c r="Z4404" s="1">
        <v>-2.4496400000000001E-5</v>
      </c>
      <c r="AA4404">
        <v>0.99997619999999998</v>
      </c>
      <c r="AB4404">
        <v>32</v>
      </c>
      <c r="AC4404">
        <v>182.2063</v>
      </c>
      <c r="AD4404">
        <v>-1.1202349117119901</v>
      </c>
      <c r="AE4404">
        <v>0.76209999999997502</v>
      </c>
      <c r="AF4404">
        <v>1.2596980422617601</v>
      </c>
      <c r="AG4404">
        <v>-1.1202349117119901</v>
      </c>
      <c r="AH4404">
        <v>182.19665201843401</v>
      </c>
      <c r="AI4404">
        <v>90.352269863421299</v>
      </c>
      <c r="AJ4404">
        <v>89.603866314461101</v>
      </c>
      <c r="AK4404">
        <v>182.20445047292699</v>
      </c>
      <c r="AL4404">
        <v>92.669036582640103</v>
      </c>
      <c r="AM4404">
        <v>90.996187193707598</v>
      </c>
      <c r="AN4404">
        <v>0.99999999563376796</v>
      </c>
    </row>
    <row r="4405" spans="1:40" x14ac:dyDescent="0.25">
      <c r="A4405" t="str">
        <f>"20190303153856335"</f>
        <v>20190303153856335</v>
      </c>
      <c r="B4405" t="str">
        <f>"1551598736322413"</f>
        <v>1551598736322413</v>
      </c>
      <c r="C4405" t="s">
        <v>40</v>
      </c>
      <c r="D4405">
        <v>4.1919740000000001</v>
      </c>
      <c r="E4405">
        <v>0.50959109999999996</v>
      </c>
      <c r="F4405" t="s">
        <v>51</v>
      </c>
      <c r="G4405">
        <v>-185.5393</v>
      </c>
      <c r="H4405" s="1">
        <v>3.0441760000000002E-6</v>
      </c>
      <c r="I4405">
        <v>216.2653</v>
      </c>
      <c r="J4405">
        <v>-376.09800000000001</v>
      </c>
      <c r="K4405">
        <v>1.1202179999999999</v>
      </c>
      <c r="L4405">
        <v>215.39230000000001</v>
      </c>
      <c r="M4405">
        <v>0.99990520000000005</v>
      </c>
      <c r="N4405">
        <v>-8.1630590000000003E-3</v>
      </c>
      <c r="O4405">
        <v>1.1096470000000001E-2</v>
      </c>
      <c r="P4405">
        <v>0.99810710000000002</v>
      </c>
      <c r="Q4405">
        <v>-5.4526709999999999E-2</v>
      </c>
      <c r="R4405">
        <v>2.8448290000000001E-2</v>
      </c>
      <c r="S4405">
        <v>3.0043950000000001</v>
      </c>
      <c r="T4405">
        <v>-1.763487E-2</v>
      </c>
      <c r="U4405">
        <v>1.3793949999999999E-2</v>
      </c>
      <c r="V4405">
        <v>-1.73724E-2</v>
      </c>
      <c r="W4405">
        <v>-4.637455E-2</v>
      </c>
      <c r="X4405">
        <v>0.99877300000000002</v>
      </c>
      <c r="Y4405">
        <v>6.5054960000000004E-3</v>
      </c>
      <c r="Z4405" s="1">
        <v>-2.019196E-5</v>
      </c>
      <c r="AA4405">
        <v>0.99997879999999995</v>
      </c>
      <c r="AB4405">
        <v>32</v>
      </c>
      <c r="AC4405">
        <v>190.55869999999999</v>
      </c>
      <c r="AD4405">
        <v>-1.120214955824</v>
      </c>
      <c r="AE4405">
        <v>0.87299999999999001</v>
      </c>
      <c r="AF4405">
        <v>1.24161001228832</v>
      </c>
      <c r="AG4405">
        <v>-1.120214955824</v>
      </c>
      <c r="AH4405">
        <v>190.55006965693201</v>
      </c>
      <c r="AI4405">
        <v>90.336822166445998</v>
      </c>
      <c r="AJ4405">
        <v>89.626670266406506</v>
      </c>
      <c r="AK4405">
        <v>190.557407421573</v>
      </c>
      <c r="AL4405">
        <v>92.658019421960205</v>
      </c>
      <c r="AM4405">
        <v>90.996487528413894</v>
      </c>
      <c r="AN4405">
        <v>0.99999995234923</v>
      </c>
    </row>
    <row r="4406" spans="1:40" x14ac:dyDescent="0.25">
      <c r="A4406" t="str">
        <f>"20190303153856357"</f>
        <v>20190303153856357</v>
      </c>
      <c r="B4406" t="str">
        <f>"1551598736352669"</f>
        <v>1551598736352669</v>
      </c>
      <c r="C4406" t="s">
        <v>40</v>
      </c>
      <c r="D4406">
        <v>4.2822740000000001</v>
      </c>
      <c r="E4406">
        <v>0.50957140000000001</v>
      </c>
      <c r="F4406" t="s">
        <v>43</v>
      </c>
      <c r="G4406">
        <v>-144.3801</v>
      </c>
      <c r="H4406">
        <v>-0.05</v>
      </c>
      <c r="I4406">
        <v>216.47970000000001</v>
      </c>
      <c r="J4406">
        <v>-375.77620000000002</v>
      </c>
      <c r="K4406">
        <v>1.1201920000000001</v>
      </c>
      <c r="L4406">
        <v>215.39590000000001</v>
      </c>
      <c r="M4406">
        <v>0.99990769999999995</v>
      </c>
      <c r="N4406">
        <v>-7.8464350000000006E-3</v>
      </c>
      <c r="O4406">
        <v>1.10971E-2</v>
      </c>
      <c r="P4406">
        <v>0.99811830000000001</v>
      </c>
      <c r="Q4406">
        <v>-5.4411149999999998E-2</v>
      </c>
      <c r="R4406">
        <v>2.8271629999999999E-2</v>
      </c>
      <c r="S4406">
        <v>3.004486</v>
      </c>
      <c r="T4406">
        <v>-1.51732E-2</v>
      </c>
      <c r="U4406">
        <v>1.409912E-2</v>
      </c>
      <c r="V4406">
        <v>-1.719507E-2</v>
      </c>
      <c r="W4406">
        <v>-4.6575190000000002E-2</v>
      </c>
      <c r="X4406">
        <v>0.99876679999999995</v>
      </c>
      <c r="Y4406">
        <v>6.4047169999999999E-3</v>
      </c>
      <c r="Z4406" s="1">
        <v>-1.0265049999999999E-5</v>
      </c>
      <c r="AA4406">
        <v>0.99997950000000002</v>
      </c>
      <c r="AB4406">
        <v>32</v>
      </c>
      <c r="AC4406">
        <v>231.39609999999999</v>
      </c>
      <c r="AD4406">
        <v>-1.1701919999999999</v>
      </c>
      <c r="AE4406">
        <v>1.0837999999999901</v>
      </c>
      <c r="AF4406">
        <v>1.4841333401346299</v>
      </c>
      <c r="AG4406">
        <v>-1.1701919999999999</v>
      </c>
      <c r="AH4406">
        <v>231.38796094935199</v>
      </c>
      <c r="AI4406">
        <v>90.289751946793501</v>
      </c>
      <c r="AJ4406">
        <v>89.632507196153696</v>
      </c>
      <c r="AK4406">
        <v>231.395679461366</v>
      </c>
      <c r="AL4406">
        <v>92.669527502763302</v>
      </c>
      <c r="AM4406">
        <v>90.986323952853098</v>
      </c>
      <c r="AN4406">
        <v>1.00000001976904</v>
      </c>
    </row>
    <row r="4407" spans="1:40" x14ac:dyDescent="0.25">
      <c r="A4407" t="str">
        <f>"20190303153856380"</f>
        <v>20190303153856380</v>
      </c>
      <c r="B4407" t="str">
        <f>"1551598736373166"</f>
        <v>1551598736373166</v>
      </c>
      <c r="C4407" t="s">
        <v>40</v>
      </c>
      <c r="D4407">
        <v>4.2341150000000001</v>
      </c>
      <c r="E4407">
        <v>0.50955249999999996</v>
      </c>
      <c r="F4407" t="s">
        <v>43</v>
      </c>
      <c r="G4407">
        <v>-124.858</v>
      </c>
      <c r="H4407">
        <v>-0.05</v>
      </c>
      <c r="I4407">
        <v>216.52619999999999</v>
      </c>
      <c r="J4407">
        <v>-375.43990000000002</v>
      </c>
      <c r="K4407">
        <v>1.1201749999999999</v>
      </c>
      <c r="L4407">
        <v>215.39959999999999</v>
      </c>
      <c r="M4407">
        <v>0.99990990000000002</v>
      </c>
      <c r="N4407">
        <v>-7.5651980000000004E-3</v>
      </c>
      <c r="O4407">
        <v>1.1097660000000001E-2</v>
      </c>
      <c r="P4407">
        <v>0.99812959999999995</v>
      </c>
      <c r="Q4407">
        <v>-5.430919E-2</v>
      </c>
      <c r="R4407">
        <v>2.807109E-2</v>
      </c>
      <c r="S4407">
        <v>3.0045169999999999</v>
      </c>
      <c r="T4407">
        <v>-1.401198E-2</v>
      </c>
      <c r="U4407">
        <v>1.3534549999999999E-2</v>
      </c>
      <c r="V4407">
        <v>-1.6993950000000001E-2</v>
      </c>
      <c r="W4407">
        <v>-4.6754070000000002E-2</v>
      </c>
      <c r="X4407">
        <v>0.99876189999999998</v>
      </c>
      <c r="Y4407">
        <v>6.593224E-3</v>
      </c>
      <c r="Z4407" s="1">
        <v>-8.1093409999999992E-6</v>
      </c>
      <c r="AA4407">
        <v>0.99997820000000004</v>
      </c>
      <c r="AB4407">
        <v>32</v>
      </c>
      <c r="AC4407">
        <v>250.58189999999999</v>
      </c>
      <c r="AD4407">
        <v>-1.170175</v>
      </c>
      <c r="AE4407">
        <v>1.1265999999999901</v>
      </c>
      <c r="AF4407">
        <v>1.6543853377009099</v>
      </c>
      <c r="AG4407">
        <v>-1.170175</v>
      </c>
      <c r="AH4407">
        <v>250.57350680956199</v>
      </c>
      <c r="AI4407">
        <v>90.267562764354807</v>
      </c>
      <c r="AJ4407">
        <v>89.621716112602201</v>
      </c>
      <c r="AK4407">
        <v>250.58170047953899</v>
      </c>
      <c r="AL4407">
        <v>92.679787707760497</v>
      </c>
      <c r="AM4407">
        <v>90.974794557943099</v>
      </c>
      <c r="AN4407">
        <v>1.0000000351448799</v>
      </c>
    </row>
    <row r="4408" spans="1:40" x14ac:dyDescent="0.25">
      <c r="A4408" t="str">
        <f>"20190303153856402"</f>
        <v>20190303153856402</v>
      </c>
      <c r="B4408" t="str">
        <f>"1551598736392685"</f>
        <v>1551598736392685</v>
      </c>
      <c r="C4408" t="s">
        <v>40</v>
      </c>
      <c r="D4408">
        <v>4.2024809999999997</v>
      </c>
      <c r="E4408">
        <v>0.50952940000000002</v>
      </c>
      <c r="F4408" t="s">
        <v>43</v>
      </c>
      <c r="G4408">
        <v>-111.93340000000001</v>
      </c>
      <c r="H4408">
        <v>-0.05</v>
      </c>
      <c r="I4408">
        <v>216.55179999999999</v>
      </c>
      <c r="J4408">
        <v>-375.11840000000001</v>
      </c>
      <c r="K4408">
        <v>1.1201890000000001</v>
      </c>
      <c r="L4408">
        <v>215.4032</v>
      </c>
      <c r="M4408">
        <v>0.99991090000000005</v>
      </c>
      <c r="N4408">
        <v>-7.4320080000000004E-3</v>
      </c>
      <c r="O4408">
        <v>1.1098169999999999E-2</v>
      </c>
      <c r="P4408">
        <v>0.99813260000000004</v>
      </c>
      <c r="Q4408">
        <v>-5.436742E-2</v>
      </c>
      <c r="R4408">
        <v>2.785172E-2</v>
      </c>
      <c r="S4408">
        <v>3.004486</v>
      </c>
      <c r="T4408">
        <v>-1.334226E-2</v>
      </c>
      <c r="U4408">
        <v>1.313782E-2</v>
      </c>
      <c r="V4408">
        <v>-1.6774250000000001E-2</v>
      </c>
      <c r="W4408">
        <v>-4.694533E-2</v>
      </c>
      <c r="X4408">
        <v>0.99875659999999999</v>
      </c>
      <c r="Y4408">
        <v>6.7257230000000003E-3</v>
      </c>
      <c r="Z4408" s="1">
        <v>-6.7257069999999998E-6</v>
      </c>
      <c r="AA4408">
        <v>0.99997740000000002</v>
      </c>
      <c r="AB4408">
        <v>32</v>
      </c>
      <c r="AC4408">
        <v>263.185</v>
      </c>
      <c r="AD4408">
        <v>-1.1701889999999999</v>
      </c>
      <c r="AE4408">
        <v>1.1485999999999801</v>
      </c>
      <c r="AF4408">
        <v>1.7723879360377</v>
      </c>
      <c r="AG4408">
        <v>-1.1701889999999999</v>
      </c>
      <c r="AH4408">
        <v>263.17633545701102</v>
      </c>
      <c r="AI4408">
        <v>90.254752877385002</v>
      </c>
      <c r="AJ4408">
        <v>89.614141548886593</v>
      </c>
      <c r="AK4408">
        <v>263.18490504942099</v>
      </c>
      <c r="AL4408">
        <v>92.690758258407001</v>
      </c>
      <c r="AM4408">
        <v>90.962199776673998</v>
      </c>
      <c r="AN4408">
        <v>0.99999999275771501</v>
      </c>
    </row>
    <row r="4409" spans="1:40" x14ac:dyDescent="0.25">
      <c r="A4409" t="str">
        <f>"20190303153856424"</f>
        <v>20190303153856424</v>
      </c>
      <c r="B4409" t="str">
        <f>"1551598736413184"</f>
        <v>1551598736413184</v>
      </c>
      <c r="C4409" t="s">
        <v>40</v>
      </c>
      <c r="D4409">
        <v>4.2994110000000001</v>
      </c>
      <c r="E4409">
        <v>0.50950609999999996</v>
      </c>
      <c r="F4409" t="s">
        <v>43</v>
      </c>
      <c r="G4409">
        <v>-108.5309</v>
      </c>
      <c r="H4409">
        <v>-0.05</v>
      </c>
      <c r="I4409">
        <v>216.5378</v>
      </c>
      <c r="J4409">
        <v>-374.7996</v>
      </c>
      <c r="K4409">
        <v>1.1202460000000001</v>
      </c>
      <c r="L4409">
        <v>215.4067</v>
      </c>
      <c r="M4409">
        <v>0.99991039999999998</v>
      </c>
      <c r="N4409">
        <v>-7.4987480000000004E-3</v>
      </c>
      <c r="O4409">
        <v>1.109893E-2</v>
      </c>
      <c r="P4409">
        <v>0.99809579999999998</v>
      </c>
      <c r="Q4409">
        <v>-5.5028199999999902E-2</v>
      </c>
      <c r="R4409">
        <v>2.7876250000000002E-2</v>
      </c>
      <c r="S4409">
        <v>3.0045169999999999</v>
      </c>
      <c r="T4409">
        <v>-1.318836E-2</v>
      </c>
      <c r="U4409">
        <v>1.2786870000000001E-2</v>
      </c>
      <c r="V4409">
        <v>-1.6798069999999998E-2</v>
      </c>
      <c r="W4409">
        <v>-4.7539690000000003E-2</v>
      </c>
      <c r="X4409">
        <v>0.99872810000000001</v>
      </c>
      <c r="Y4409">
        <v>6.8433299999999999E-3</v>
      </c>
      <c r="Z4409" s="1">
        <v>-6.1647819999999998E-6</v>
      </c>
      <c r="AA4409">
        <v>0.99997659999999999</v>
      </c>
      <c r="AB4409">
        <v>32</v>
      </c>
      <c r="AC4409">
        <v>266.26870000000002</v>
      </c>
      <c r="AD4409">
        <v>-1.1702459999999999</v>
      </c>
      <c r="AE4409">
        <v>1.1311</v>
      </c>
      <c r="AF4409">
        <v>1.8243148592126699</v>
      </c>
      <c r="AG4409">
        <v>-1.1702459999999999</v>
      </c>
      <c r="AH4409">
        <v>266.25970966360597</v>
      </c>
      <c r="AI4409">
        <v>90.251814859242103</v>
      </c>
      <c r="AJ4409">
        <v>89.607436264142294</v>
      </c>
      <c r="AK4409">
        <v>266.26853098057501</v>
      </c>
      <c r="AL4409">
        <v>92.724850604334193</v>
      </c>
      <c r="AM4409">
        <v>90.963593366753102</v>
      </c>
      <c r="AN4409">
        <v>1.0000000075053099</v>
      </c>
    </row>
    <row r="4410" spans="1:40" x14ac:dyDescent="0.25">
      <c r="A4410" t="str">
        <f>"20190303153856447"</f>
        <v>20190303153856447</v>
      </c>
      <c r="B4410" t="str">
        <f>"1551598736442462"</f>
        <v>1551598736442462</v>
      </c>
      <c r="C4410" t="s">
        <v>40</v>
      </c>
      <c r="D4410">
        <v>4.2060890000000004</v>
      </c>
      <c r="E4410">
        <v>0.50947609999999999</v>
      </c>
      <c r="F4410" t="s">
        <v>43</v>
      </c>
      <c r="G4410">
        <v>-136.60509999999999</v>
      </c>
      <c r="H4410">
        <v>-0.05</v>
      </c>
      <c r="I4410">
        <v>216.45179999999999</v>
      </c>
      <c r="J4410">
        <v>-374.47050000000002</v>
      </c>
      <c r="K4410">
        <v>1.1203989999999999</v>
      </c>
      <c r="L4410">
        <v>215.41040000000001</v>
      </c>
      <c r="M4410">
        <v>0.99990639999999997</v>
      </c>
      <c r="N4410">
        <v>-7.9962119999999904E-3</v>
      </c>
      <c r="O4410">
        <v>1.109947E-2</v>
      </c>
      <c r="P4410">
        <v>0.99802610000000003</v>
      </c>
      <c r="Q4410">
        <v>-5.6022639999999999E-2</v>
      </c>
      <c r="R4410">
        <v>2.8380579999999999E-2</v>
      </c>
      <c r="S4410">
        <v>3.004578</v>
      </c>
      <c r="T4410">
        <v>-1.4761450000000001E-2</v>
      </c>
      <c r="U4410">
        <v>1.318359E-2</v>
      </c>
      <c r="V4410">
        <v>-1.7302930000000001E-2</v>
      </c>
      <c r="W4410">
        <v>-4.8037730000000001E-2</v>
      </c>
      <c r="X4410">
        <v>0.99869569999999996</v>
      </c>
      <c r="Y4410">
        <v>6.7119320000000003E-3</v>
      </c>
      <c r="Z4410" s="1">
        <v>-9.0964570000000008E-6</v>
      </c>
      <c r="AA4410">
        <v>0.99997749999999996</v>
      </c>
      <c r="AB4410">
        <v>33</v>
      </c>
      <c r="AC4410">
        <v>237.86539999999999</v>
      </c>
      <c r="AD4410">
        <v>-1.170399</v>
      </c>
      <c r="AE4410">
        <v>1.0413999999999799</v>
      </c>
      <c r="AF4410">
        <v>1.59888979799621</v>
      </c>
      <c r="AG4410">
        <v>-1.170399</v>
      </c>
      <c r="AH4410">
        <v>237.856547133737</v>
      </c>
      <c r="AI4410">
        <v>90.2819214676191</v>
      </c>
      <c r="AJ4410">
        <v>89.614859213928199</v>
      </c>
      <c r="AK4410">
        <v>237.864800457716</v>
      </c>
      <c r="AL4410">
        <v>92.753418695332101</v>
      </c>
      <c r="AM4410">
        <v>90.992580306609298</v>
      </c>
      <c r="AN4410">
        <v>1.00000005804431</v>
      </c>
    </row>
    <row r="4411" spans="1:40" x14ac:dyDescent="0.25">
      <c r="A4411" t="str">
        <f>"20190303153856469"</f>
        <v>20190303153856469</v>
      </c>
      <c r="B4411" t="str">
        <f>"1551598736462957"</f>
        <v>1551598736462957</v>
      </c>
      <c r="C4411" t="s">
        <v>40</v>
      </c>
      <c r="D4411">
        <v>4.2270810000000001</v>
      </c>
      <c r="E4411">
        <v>0.50947379999999998</v>
      </c>
      <c r="F4411" t="s">
        <v>51</v>
      </c>
      <c r="G4411">
        <v>-179.95769999999999</v>
      </c>
      <c r="H4411">
        <v>5.3301149999999999E-3</v>
      </c>
      <c r="I4411">
        <v>216.38040000000001</v>
      </c>
      <c r="J4411">
        <v>-374.15230000000003</v>
      </c>
      <c r="K4411">
        <v>1.120557</v>
      </c>
      <c r="L4411">
        <v>215.41390000000001</v>
      </c>
      <c r="M4411">
        <v>0.9999015</v>
      </c>
      <c r="N4411">
        <v>-8.6018099999999997E-3</v>
      </c>
      <c r="O4411">
        <v>1.1099950000000001E-2</v>
      </c>
      <c r="P4411">
        <v>0.99798010000000004</v>
      </c>
      <c r="Q4411">
        <v>-5.676747E-2</v>
      </c>
      <c r="R4411">
        <v>2.8516860000000002E-2</v>
      </c>
      <c r="S4411">
        <v>3.0045470000000001</v>
      </c>
      <c r="T4411">
        <v>-1.7223949999999998E-2</v>
      </c>
      <c r="U4411">
        <v>1.498413E-2</v>
      </c>
      <c r="V4411">
        <v>-1.7439010000000001E-2</v>
      </c>
      <c r="W4411">
        <v>-4.8178060000000002E-2</v>
      </c>
      <c r="X4411">
        <v>0.99868650000000003</v>
      </c>
      <c r="Y4411">
        <v>6.1131479999999997E-3</v>
      </c>
      <c r="Z4411" s="1">
        <v>-1.1961409999999999E-5</v>
      </c>
      <c r="AA4411">
        <v>0.99998129999999996</v>
      </c>
      <c r="AB4411">
        <v>33</v>
      </c>
      <c r="AC4411">
        <v>194.19460000000001</v>
      </c>
      <c r="AD4411">
        <v>-1.115226885</v>
      </c>
      <c r="AE4411">
        <v>0.96649999999999603</v>
      </c>
      <c r="AF4411">
        <v>1.18915020402525</v>
      </c>
      <c r="AG4411">
        <v>-1.115226885</v>
      </c>
      <c r="AH4411">
        <v>194.186959846017</v>
      </c>
      <c r="AI4411">
        <v>90.329043171853897</v>
      </c>
      <c r="AJ4411">
        <v>89.649140002496196</v>
      </c>
      <c r="AK4411">
        <v>194.19380315409501</v>
      </c>
      <c r="AL4411">
        <v>92.761468534041001</v>
      </c>
      <c r="AM4411">
        <v>91.000394151499293</v>
      </c>
      <c r="AN4411">
        <v>0.99999998490869602</v>
      </c>
    </row>
    <row r="4412" spans="1:40" x14ac:dyDescent="0.25">
      <c r="A4412" t="str">
        <f>"20190303153856494"</f>
        <v>20190303153856494</v>
      </c>
      <c r="B4412" t="str">
        <f>"1551598736482477"</f>
        <v>1551598736482477</v>
      </c>
      <c r="C4412" t="s">
        <v>40</v>
      </c>
      <c r="D4412">
        <v>4.2209859999999999</v>
      </c>
      <c r="E4412">
        <v>0.5094514</v>
      </c>
      <c r="F4412" t="s">
        <v>51</v>
      </c>
      <c r="G4412">
        <v>-196.10310000000001</v>
      </c>
      <c r="H4412" s="1">
        <v>2.7349630000000001E-6</v>
      </c>
      <c r="I4412">
        <v>216.29830000000001</v>
      </c>
      <c r="J4412">
        <v>-373.80799999999999</v>
      </c>
      <c r="K4412">
        <v>1.120635</v>
      </c>
      <c r="L4412">
        <v>215.4177</v>
      </c>
      <c r="M4412">
        <v>0.99989720000000004</v>
      </c>
      <c r="N4412">
        <v>-9.0686489999999998E-3</v>
      </c>
      <c r="O4412">
        <v>1.1100179999999999E-2</v>
      </c>
      <c r="P4412">
        <v>0.99793880000000001</v>
      </c>
      <c r="Q4412">
        <v>-5.743972E-2</v>
      </c>
      <c r="R4412">
        <v>2.861878E-2</v>
      </c>
      <c r="S4412">
        <v>3.004578</v>
      </c>
      <c r="T4412">
        <v>-1.890934E-2</v>
      </c>
      <c r="U4412">
        <v>1.49231E-2</v>
      </c>
      <c r="V4412">
        <v>-1.754122E-2</v>
      </c>
      <c r="W4412">
        <v>-4.8384360000000001E-2</v>
      </c>
      <c r="X4412">
        <v>0.99867479999999997</v>
      </c>
      <c r="Y4412">
        <v>6.1337409999999998E-3</v>
      </c>
      <c r="Z4412" s="1">
        <v>-1.6303469999999999E-5</v>
      </c>
      <c r="AA4412">
        <v>0.99998120000000001</v>
      </c>
      <c r="AB4412">
        <v>32</v>
      </c>
      <c r="AC4412">
        <v>177.70490000000001</v>
      </c>
      <c r="AD4412">
        <v>-1.120632265037</v>
      </c>
      <c r="AE4412">
        <v>0.88060000000001504</v>
      </c>
      <c r="AF4412">
        <v>1.0920484573754501</v>
      </c>
      <c r="AG4412">
        <v>-1.120632265037</v>
      </c>
      <c r="AH4412">
        <v>177.696659751949</v>
      </c>
      <c r="AI4412">
        <v>90.361320441622695</v>
      </c>
      <c r="AJ4412">
        <v>89.647888823444603</v>
      </c>
      <c r="AK4412">
        <v>177.703548848937</v>
      </c>
      <c r="AL4412">
        <v>92.773302278198301</v>
      </c>
      <c r="AM4412">
        <v>91.0062680437902</v>
      </c>
      <c r="AN4412">
        <v>1.00000004842336</v>
      </c>
    </row>
    <row r="4413" spans="1:40" x14ac:dyDescent="0.25">
      <c r="A4413" t="str">
        <f>"20190303153856515"</f>
        <v>20190303153856515</v>
      </c>
      <c r="B4413" t="str">
        <f>"1551598736512733"</f>
        <v>1551598736512733</v>
      </c>
      <c r="C4413" t="s">
        <v>40</v>
      </c>
      <c r="D4413">
        <v>4.2664339999999896</v>
      </c>
      <c r="E4413">
        <v>0.50947429999999905</v>
      </c>
      <c r="F4413" t="s">
        <v>51</v>
      </c>
      <c r="G4413">
        <v>-208.96629999999999</v>
      </c>
      <c r="H4413" s="1">
        <v>6.0476000000000003E-6</v>
      </c>
      <c r="I4413">
        <v>216.2816</v>
      </c>
      <c r="J4413">
        <v>-373.48320000000001</v>
      </c>
      <c r="K4413">
        <v>1.1206670000000001</v>
      </c>
      <c r="L4413">
        <v>215.4213</v>
      </c>
      <c r="M4413">
        <v>0.99989399999999995</v>
      </c>
      <c r="N4413">
        <v>-9.4167079999999993E-3</v>
      </c>
      <c r="O4413">
        <v>1.1100570000000001E-2</v>
      </c>
      <c r="P4413">
        <v>0.99790190000000001</v>
      </c>
      <c r="Q4413">
        <v>-5.8137950000000001E-2</v>
      </c>
      <c r="R4413">
        <v>2.8490499999999998E-2</v>
      </c>
      <c r="S4413">
        <v>3.0045470000000001</v>
      </c>
      <c r="T4413">
        <v>-2.0425559999999999E-2</v>
      </c>
      <c r="U4413">
        <v>1.5747069999999998E-2</v>
      </c>
      <c r="V4413">
        <v>-1.74133E-2</v>
      </c>
      <c r="W4413">
        <v>-4.8735309999999997E-2</v>
      </c>
      <c r="X4413">
        <v>0.99865990000000004</v>
      </c>
      <c r="Y4413">
        <v>5.8598629999999999E-3</v>
      </c>
      <c r="Z4413" s="1">
        <v>-1.8435510000000001E-5</v>
      </c>
      <c r="AA4413">
        <v>0.99998279999999995</v>
      </c>
      <c r="AB4413">
        <v>32</v>
      </c>
      <c r="AC4413">
        <v>164.51689999999999</v>
      </c>
      <c r="AD4413">
        <v>-1.1206609524</v>
      </c>
      <c r="AE4413">
        <v>0.86029999999999496</v>
      </c>
      <c r="AF4413">
        <v>0.96602061121221205</v>
      </c>
      <c r="AG4413">
        <v>-1.1206609524</v>
      </c>
      <c r="AH4413">
        <v>164.508679767193</v>
      </c>
      <c r="AI4413">
        <v>90.390295775135499</v>
      </c>
      <c r="AJ4413">
        <v>89.663554118528296</v>
      </c>
      <c r="AK4413">
        <v>164.51533301044199</v>
      </c>
      <c r="AL4413">
        <v>92.793434187221493</v>
      </c>
      <c r="AM4413">
        <v>90.998946190065894</v>
      </c>
      <c r="AN4413">
        <v>0.99999997466284696</v>
      </c>
    </row>
    <row r="4414" spans="1:40" x14ac:dyDescent="0.25">
      <c r="A4414" t="str">
        <f>"20190303153856536"</f>
        <v>20190303153856536</v>
      </c>
      <c r="B4414" t="str">
        <f>"1551598736533230"</f>
        <v>1551598736533230</v>
      </c>
      <c r="C4414" t="s">
        <v>40</v>
      </c>
      <c r="D4414">
        <v>4.2642519999999999</v>
      </c>
      <c r="E4414">
        <v>0.50951950000000001</v>
      </c>
      <c r="F4414" t="s">
        <v>55</v>
      </c>
      <c r="G4414">
        <v>-218.12450000000001</v>
      </c>
      <c r="H4414" s="1">
        <v>2.7173210000000002E-6</v>
      </c>
      <c r="I4414">
        <v>216.20240000000001</v>
      </c>
      <c r="J4414">
        <v>-373.18790000000001</v>
      </c>
      <c r="K4414">
        <v>1.120689</v>
      </c>
      <c r="L4414">
        <v>215.4246</v>
      </c>
      <c r="M4414">
        <v>0.99989130000000004</v>
      </c>
      <c r="N4414">
        <v>-9.7112819999999999E-3</v>
      </c>
      <c r="O4414">
        <v>1.1100799999999999E-2</v>
      </c>
      <c r="P4414">
        <v>0.9978958</v>
      </c>
      <c r="Q4414">
        <v>-5.8339340000000003E-2</v>
      </c>
      <c r="R4414">
        <v>2.829483E-2</v>
      </c>
      <c r="S4414">
        <v>3.0046080000000002</v>
      </c>
      <c r="T4414">
        <v>-2.1673439999999999E-2</v>
      </c>
      <c r="U4414">
        <v>1.51062E-2</v>
      </c>
      <c r="V4414">
        <v>-1.7217659999999999E-2</v>
      </c>
      <c r="W4414">
        <v>-4.864255E-2</v>
      </c>
      <c r="X4414">
        <v>0.99866779999999999</v>
      </c>
      <c r="Y4414">
        <v>6.0734769999999999E-3</v>
      </c>
      <c r="Z4414" s="1">
        <v>-2.3660590000000001E-5</v>
      </c>
      <c r="AA4414">
        <v>0.99998160000000003</v>
      </c>
      <c r="AB4414">
        <v>32</v>
      </c>
      <c r="AC4414">
        <v>155.0634</v>
      </c>
      <c r="AD4414">
        <v>-1.1206862826790001</v>
      </c>
      <c r="AE4414">
        <v>0.77780000000001304</v>
      </c>
      <c r="AF4414">
        <v>0.943607479461961</v>
      </c>
      <c r="AG4414">
        <v>-1.1206862826790001</v>
      </c>
      <c r="AH4414">
        <v>155.05438052059</v>
      </c>
      <c r="AI4414">
        <v>90.414101729547198</v>
      </c>
      <c r="AJ4414">
        <v>89.651321952395904</v>
      </c>
      <c r="AK4414">
        <v>155.06130159212299</v>
      </c>
      <c r="AL4414">
        <v>92.7881131603163</v>
      </c>
      <c r="AM4414">
        <v>90.987717363490802</v>
      </c>
      <c r="AN4414">
        <v>0.99999996012160797</v>
      </c>
    </row>
    <row r="4415" spans="1:40" x14ac:dyDescent="0.25">
      <c r="A4415" t="str">
        <f>"20190303153856559"</f>
        <v>20190303153856559</v>
      </c>
      <c r="B4415" t="str">
        <f>"1551598736552750"</f>
        <v>1551598736552750</v>
      </c>
      <c r="C4415" t="s">
        <v>40</v>
      </c>
      <c r="D4415">
        <v>4.2929779999999997</v>
      </c>
      <c r="E4415">
        <v>0.50952039999999998</v>
      </c>
      <c r="F4415" t="s">
        <v>55</v>
      </c>
      <c r="G4415">
        <v>-215.51509999999999</v>
      </c>
      <c r="H4415" s="1">
        <v>1.3302199999999999E-6</v>
      </c>
      <c r="I4415">
        <v>216.16849999999999</v>
      </c>
      <c r="J4415">
        <v>-372.8535</v>
      </c>
      <c r="K4415">
        <v>1.120703</v>
      </c>
      <c r="L4415">
        <v>215.42830000000001</v>
      </c>
      <c r="M4415">
        <v>0.9998882</v>
      </c>
      <c r="N4415">
        <v>-1.0020660000000001E-2</v>
      </c>
      <c r="O4415">
        <v>1.1101099999999999E-2</v>
      </c>
      <c r="P4415">
        <v>0.99789139999999998</v>
      </c>
      <c r="Q4415">
        <v>-5.849319E-2</v>
      </c>
      <c r="R4415">
        <v>2.8132890000000001E-2</v>
      </c>
      <c r="S4415">
        <v>3.0046689999999998</v>
      </c>
      <c r="T4415">
        <v>-2.135623E-2</v>
      </c>
      <c r="U4415">
        <v>1.4175419999999999E-2</v>
      </c>
      <c r="V4415">
        <v>-1.7054929999999999E-2</v>
      </c>
      <c r="W4415">
        <v>-4.8487469999999998E-2</v>
      </c>
      <c r="X4415">
        <v>0.99867810000000001</v>
      </c>
      <c r="Y4415">
        <v>6.3836429999999996E-3</v>
      </c>
      <c r="Z4415" s="1">
        <v>-2.232649E-5</v>
      </c>
      <c r="AA4415">
        <v>0.99997959999999997</v>
      </c>
      <c r="AB4415">
        <v>32</v>
      </c>
      <c r="AC4415">
        <v>157.33840000000001</v>
      </c>
      <c r="AD4415">
        <v>-1.1207016697799901</v>
      </c>
      <c r="AE4415">
        <v>0.74019999999998698</v>
      </c>
      <c r="AF4415">
        <v>1.0065115091202701</v>
      </c>
      <c r="AG4415">
        <v>-1.1207016697799901</v>
      </c>
      <c r="AH4415">
        <v>157.32893946081899</v>
      </c>
      <c r="AI4415">
        <v>90.408119930433401</v>
      </c>
      <c r="AJ4415">
        <v>89.633455389934497</v>
      </c>
      <c r="AK4415">
        <v>157.33615042169001</v>
      </c>
      <c r="AL4415">
        <v>92.779217327270501</v>
      </c>
      <c r="AM4415">
        <v>90.978373843024201</v>
      </c>
      <c r="AN4415">
        <v>0.99999992640195501</v>
      </c>
    </row>
    <row r="4416" spans="1:40" x14ac:dyDescent="0.25">
      <c r="A4416" t="str">
        <f>"20190303153856582"</f>
        <v>20190303153856582</v>
      </c>
      <c r="B4416" t="str">
        <f>"1551598736573249"</f>
        <v>1551598736573249</v>
      </c>
      <c r="C4416" t="s">
        <v>40</v>
      </c>
      <c r="D4416">
        <v>4.2531089999999896</v>
      </c>
      <c r="E4416">
        <v>0.50957149999999996</v>
      </c>
      <c r="F4416" t="s">
        <v>55</v>
      </c>
      <c r="G4416">
        <v>-216.35409999999999</v>
      </c>
      <c r="H4416" s="1">
        <v>1.7777069999999999E-6</v>
      </c>
      <c r="I4416">
        <v>216.14590000000001</v>
      </c>
      <c r="J4416">
        <v>-372.52390000000003</v>
      </c>
      <c r="K4416">
        <v>1.1206959999999999</v>
      </c>
      <c r="L4416">
        <v>215.43199999999999</v>
      </c>
      <c r="M4416">
        <v>0.99988540000000004</v>
      </c>
      <c r="N4416">
        <v>-1.0290789999999999E-2</v>
      </c>
      <c r="O4416">
        <v>1.1101369999999999E-2</v>
      </c>
      <c r="P4416">
        <v>0.99787720000000002</v>
      </c>
      <c r="Q4416">
        <v>-5.8893349999999997E-2</v>
      </c>
      <c r="R4416">
        <v>2.7799669999999999E-2</v>
      </c>
      <c r="S4416">
        <v>3.0047299999999999</v>
      </c>
      <c r="T4416">
        <v>-2.1517040000000001E-2</v>
      </c>
      <c r="U4416">
        <v>1.377869E-2</v>
      </c>
      <c r="V4416">
        <v>-1.6721469999999999E-2</v>
      </c>
      <c r="W4416">
        <v>-4.8618019999999998E-2</v>
      </c>
      <c r="X4416">
        <v>0.9986775</v>
      </c>
      <c r="Y4416">
        <v>6.5160469999999996E-3</v>
      </c>
      <c r="Z4416" s="1">
        <v>-2.2107160000000001E-5</v>
      </c>
      <c r="AA4416">
        <v>0.99997879999999995</v>
      </c>
      <c r="AB4416">
        <v>32</v>
      </c>
      <c r="AC4416">
        <v>156.16980000000001</v>
      </c>
      <c r="AD4416">
        <v>-1.1206942222930001</v>
      </c>
      <c r="AE4416">
        <v>0.71389999999999498</v>
      </c>
      <c r="AF4416">
        <v>1.01988205666692</v>
      </c>
      <c r="AG4416">
        <v>-1.1206942222930001</v>
      </c>
      <c r="AH4416">
        <v>156.16005958239199</v>
      </c>
      <c r="AI4416">
        <v>90.411171573538198</v>
      </c>
      <c r="AJ4416">
        <v>89.625806324630403</v>
      </c>
      <c r="AK4416">
        <v>156.167411209015</v>
      </c>
      <c r="AL4416">
        <v>92.786705823294199</v>
      </c>
      <c r="AM4416">
        <v>90.959248748622102</v>
      </c>
      <c r="AN4416">
        <v>1.0000000342169599</v>
      </c>
    </row>
    <row r="4417" spans="1:40" x14ac:dyDescent="0.25">
      <c r="A4417" t="str">
        <f>"20190303153856615"</f>
        <v>20190303153856615</v>
      </c>
      <c r="B4417" t="str">
        <f>"1551598736602525"</f>
        <v>1551598736602525</v>
      </c>
      <c r="C4417" t="s">
        <v>40</v>
      </c>
      <c r="D4417">
        <v>4.2209310000000002</v>
      </c>
      <c r="E4417">
        <v>0.50965020000000005</v>
      </c>
      <c r="F4417" t="s">
        <v>55</v>
      </c>
      <c r="G4417">
        <v>-217.2534</v>
      </c>
      <c r="H4417" s="1">
        <v>2.2590369999999998E-6</v>
      </c>
      <c r="I4417">
        <v>216.08170000000001</v>
      </c>
      <c r="J4417">
        <v>-372.04759999999999</v>
      </c>
      <c r="K4417">
        <v>1.120695</v>
      </c>
      <c r="L4417">
        <v>215.43719999999999</v>
      </c>
      <c r="M4417">
        <v>0.99988200000000005</v>
      </c>
      <c r="N4417">
        <v>-1.0620859999999999E-2</v>
      </c>
      <c r="O4417">
        <v>1.110146E-2</v>
      </c>
      <c r="P4417">
        <v>0.9978245</v>
      </c>
      <c r="Q4417">
        <v>-5.9310000000000002E-2</v>
      </c>
      <c r="R4417">
        <v>2.8786630000000001E-2</v>
      </c>
      <c r="S4417">
        <v>3.004791</v>
      </c>
      <c r="T4417">
        <v>-2.1687629999999999E-2</v>
      </c>
      <c r="U4417">
        <v>1.2573239999999999E-2</v>
      </c>
      <c r="V4417">
        <v>-1.7709519999999999E-2</v>
      </c>
      <c r="W4417">
        <v>-4.8705390000000001E-2</v>
      </c>
      <c r="X4417">
        <v>0.99865619999999999</v>
      </c>
      <c r="Y4417">
        <v>6.9173799999999999E-3</v>
      </c>
      <c r="Z4417" s="1">
        <v>-2.391053E-5</v>
      </c>
      <c r="AA4417">
        <v>0.99997610000000003</v>
      </c>
      <c r="AB4417">
        <v>32</v>
      </c>
      <c r="AC4417">
        <v>154.79419999999999</v>
      </c>
      <c r="AD4417">
        <v>-1.1206927409630001</v>
      </c>
      <c r="AE4417">
        <v>0.64450000000002095</v>
      </c>
      <c r="AF4417">
        <v>1.0740219250534999</v>
      </c>
      <c r="AG4417">
        <v>-1.1206927409630001</v>
      </c>
      <c r="AH4417">
        <v>154.78370231983001</v>
      </c>
      <c r="AI4417">
        <v>90.414825950962296</v>
      </c>
      <c r="AJ4417">
        <v>89.602439178703904</v>
      </c>
      <c r="AK4417">
        <v>154.791485486602</v>
      </c>
      <c r="AL4417">
        <v>92.791717721522602</v>
      </c>
      <c r="AM4417">
        <v>91.015939630146306</v>
      </c>
      <c r="AN4417">
        <v>1.00000002395606</v>
      </c>
    </row>
    <row r="4418" spans="1:40" x14ac:dyDescent="0.25">
      <c r="A4418" t="str">
        <f>"20190303153856635"</f>
        <v>20190303153856635</v>
      </c>
      <c r="B4418" t="str">
        <f>"1551598736632781"</f>
        <v>1551598736632781</v>
      </c>
      <c r="C4418" t="s">
        <v>40</v>
      </c>
      <c r="D4418">
        <v>4.3246159999999998</v>
      </c>
      <c r="E4418">
        <v>0.50965260000000001</v>
      </c>
      <c r="F4418" t="s">
        <v>55</v>
      </c>
      <c r="G4418">
        <v>-213.4665</v>
      </c>
      <c r="H4418" s="1">
        <v>2.378253E-7</v>
      </c>
      <c r="I4418">
        <v>216.2192</v>
      </c>
      <c r="J4418">
        <v>-371.74099999999999</v>
      </c>
      <c r="K4418">
        <v>1.120689</v>
      </c>
      <c r="L4418">
        <v>215.44059999999999</v>
      </c>
      <c r="M4418">
        <v>0.99988010000000005</v>
      </c>
      <c r="N4418">
        <v>-1.080064E-2</v>
      </c>
      <c r="O4418">
        <v>1.11015E-2</v>
      </c>
      <c r="P4418">
        <v>0.99780449999999998</v>
      </c>
      <c r="Q4418">
        <v>-5.9468220000000002E-2</v>
      </c>
      <c r="R4418">
        <v>2.9153970000000001E-2</v>
      </c>
      <c r="S4418">
        <v>3.0048219999999999</v>
      </c>
      <c r="T4418">
        <v>-2.1235110000000001E-2</v>
      </c>
      <c r="U4418">
        <v>1.4816279999999999E-2</v>
      </c>
      <c r="V4418">
        <v>-1.8076209999999999E-2</v>
      </c>
      <c r="W4418">
        <v>-4.8684199999999997E-2</v>
      </c>
      <c r="X4418">
        <v>0.99865060000000005</v>
      </c>
      <c r="Y4418">
        <v>6.1710699999999999E-3</v>
      </c>
      <c r="Z4418" s="1">
        <v>-1.3674810000000001E-5</v>
      </c>
      <c r="AA4418">
        <v>0.99998100000000001</v>
      </c>
      <c r="AB4418">
        <v>32</v>
      </c>
      <c r="AC4418">
        <v>158.27449999999999</v>
      </c>
      <c r="AD4418">
        <v>-1.1206887621746999</v>
      </c>
      <c r="AE4418">
        <v>0.77860000000001095</v>
      </c>
      <c r="AF4418">
        <v>0.97858568272451396</v>
      </c>
      <c r="AG4418">
        <v>-1.1206887621746999</v>
      </c>
      <c r="AH4418">
        <v>158.26545498166701</v>
      </c>
      <c r="AI4418">
        <v>90.4057008884228</v>
      </c>
      <c r="AJ4418">
        <v>89.645733713675298</v>
      </c>
      <c r="AK4418">
        <v>158.27244805648999</v>
      </c>
      <c r="AL4418">
        <v>92.790502358402605</v>
      </c>
      <c r="AM4418">
        <v>91.036976752456098</v>
      </c>
      <c r="AN4418">
        <v>0.99999996078898101</v>
      </c>
    </row>
    <row r="4419" spans="1:40" x14ac:dyDescent="0.25">
      <c r="A4419" t="str">
        <f>"20190303153856659"</f>
        <v>20190303153856659</v>
      </c>
      <c r="B4419" t="str">
        <f>"1551598736653278"</f>
        <v>1551598736653278</v>
      </c>
      <c r="C4419" t="s">
        <v>40</v>
      </c>
      <c r="D4419">
        <v>4.2233539999999996</v>
      </c>
      <c r="E4419">
        <v>0.50970269999999995</v>
      </c>
      <c r="F4419" t="s">
        <v>55</v>
      </c>
      <c r="G4419">
        <v>-211.04820000000001</v>
      </c>
      <c r="H4419" s="1">
        <v>-1.052105E-6</v>
      </c>
      <c r="I4419">
        <v>216.28919999999999</v>
      </c>
      <c r="J4419">
        <v>-371.41379999999998</v>
      </c>
      <c r="K4419">
        <v>1.1206860000000001</v>
      </c>
      <c r="L4419">
        <v>215.4442</v>
      </c>
      <c r="M4419">
        <v>0.9998783</v>
      </c>
      <c r="N4419">
        <v>-1.09686E-2</v>
      </c>
      <c r="O4419">
        <v>1.110158E-2</v>
      </c>
      <c r="P4419">
        <v>0.99778230000000001</v>
      </c>
      <c r="Q4419">
        <v>-5.9833789999999998E-2</v>
      </c>
      <c r="R4419">
        <v>2.916931E-2</v>
      </c>
      <c r="S4419">
        <v>3.004883</v>
      </c>
      <c r="T4419">
        <v>-2.09564E-2</v>
      </c>
      <c r="U4419">
        <v>1.586914E-2</v>
      </c>
      <c r="V4419">
        <v>-1.8092219999999999E-2</v>
      </c>
      <c r="W4419">
        <v>-4.8882219999999997E-2</v>
      </c>
      <c r="X4419">
        <v>0.99864070000000005</v>
      </c>
      <c r="Y4419">
        <v>5.8209230000000004E-3</v>
      </c>
      <c r="Z4419" s="1">
        <v>-7.8685809999999992E-6</v>
      </c>
      <c r="AA4419">
        <v>0.99998310000000001</v>
      </c>
      <c r="AB4419">
        <v>32</v>
      </c>
      <c r="AC4419">
        <v>160.36559999999901</v>
      </c>
      <c r="AD4419">
        <v>-1.1206870521050001</v>
      </c>
      <c r="AE4419">
        <v>0.84499999999999797</v>
      </c>
      <c r="AF4419">
        <v>0.93542488781144095</v>
      </c>
      <c r="AG4419">
        <v>-1.1206870521050001</v>
      </c>
      <c r="AH4419">
        <v>160.35726666943501</v>
      </c>
      <c r="AI4419">
        <v>90.400409047926004</v>
      </c>
      <c r="AJ4419">
        <v>89.665775731137799</v>
      </c>
      <c r="AK4419">
        <v>160.36391094283599</v>
      </c>
      <c r="AL4419">
        <v>92.801861416917106</v>
      </c>
      <c r="AM4419">
        <v>91.037905283152895</v>
      </c>
      <c r="AN4419">
        <v>1.00000002377657</v>
      </c>
    </row>
    <row r="4420" spans="1:40" x14ac:dyDescent="0.25">
      <c r="A4420" t="str">
        <f>"20190303153856682"</f>
        <v>20190303153856682</v>
      </c>
      <c r="B4420" t="str">
        <f>"1551598736672802"</f>
        <v>1551598736672802</v>
      </c>
      <c r="C4420" t="s">
        <v>40</v>
      </c>
      <c r="D4420">
        <v>4.1941769999999998</v>
      </c>
      <c r="E4420">
        <v>0.50975439999999905</v>
      </c>
      <c r="F4420" t="s">
        <v>55</v>
      </c>
      <c r="G4420">
        <v>-212.38120000000001</v>
      </c>
      <c r="H4420" s="1">
        <v>-3.4166650000000002E-7</v>
      </c>
      <c r="I4420">
        <v>216.26390000000001</v>
      </c>
      <c r="J4420">
        <v>-371.07659999999998</v>
      </c>
      <c r="K4420">
        <v>1.1206849999999999</v>
      </c>
      <c r="L4420">
        <v>215.44800000000001</v>
      </c>
      <c r="M4420">
        <v>0.9998766</v>
      </c>
      <c r="N4420">
        <v>-1.111933E-2</v>
      </c>
      <c r="O4420">
        <v>1.1101750000000001E-2</v>
      </c>
      <c r="P4420">
        <v>0.99780950000000002</v>
      </c>
      <c r="Q4420">
        <v>-5.9496189999999997E-2</v>
      </c>
      <c r="R4420">
        <v>2.8927620000000001E-2</v>
      </c>
      <c r="S4420">
        <v>3.0049739999999998</v>
      </c>
      <c r="T4420">
        <v>-2.1175739999999998E-2</v>
      </c>
      <c r="U4420">
        <v>1.548767E-2</v>
      </c>
      <c r="V4420">
        <v>-1.7850270000000001E-2</v>
      </c>
      <c r="W4420">
        <v>-4.8393859999999997E-2</v>
      </c>
      <c r="X4420">
        <v>0.99866880000000002</v>
      </c>
      <c r="Y4420">
        <v>5.9481899999999999E-3</v>
      </c>
      <c r="Z4420" s="1">
        <v>-8.8089540000000007E-6</v>
      </c>
      <c r="AA4420">
        <v>0.99998229999999999</v>
      </c>
      <c r="AB4420">
        <v>32</v>
      </c>
      <c r="AC4420">
        <v>158.69539999999901</v>
      </c>
      <c r="AD4420">
        <v>-1.1206853416664999</v>
      </c>
      <c r="AE4420">
        <v>0.81590000000002705</v>
      </c>
      <c r="AF4420">
        <v>0.94600860061989001</v>
      </c>
      <c r="AG4420">
        <v>-1.1206853416664999</v>
      </c>
      <c r="AH4420">
        <v>158.68676396697401</v>
      </c>
      <c r="AI4420">
        <v>90.404623109372693</v>
      </c>
      <c r="AJ4420">
        <v>89.658436174804095</v>
      </c>
      <c r="AK4420">
        <v>158.693540908941</v>
      </c>
      <c r="AL4420">
        <v>92.773847402628803</v>
      </c>
      <c r="AM4420">
        <v>91.023999386750305</v>
      </c>
      <c r="AN4420">
        <v>0.99999998495910603</v>
      </c>
    </row>
    <row r="4421" spans="1:40" x14ac:dyDescent="0.25">
      <c r="A4421" t="str">
        <f>"20190303153856705"</f>
        <v>20190303153856705</v>
      </c>
      <c r="B4421" t="str">
        <f>"1551598736692918"</f>
        <v>1551598736692918</v>
      </c>
      <c r="C4421" t="s">
        <v>40</v>
      </c>
      <c r="D4421">
        <v>4.2077559999999998</v>
      </c>
      <c r="E4421">
        <v>0.50978959999999995</v>
      </c>
      <c r="F4421" t="s">
        <v>51</v>
      </c>
      <c r="G4421">
        <v>-196.27699999999999</v>
      </c>
      <c r="H4421" s="1">
        <v>2.7053600000000001E-6</v>
      </c>
      <c r="I4421">
        <v>216.2841</v>
      </c>
      <c r="J4421">
        <v>-370.74090000000001</v>
      </c>
      <c r="K4421">
        <v>1.1206799999999999</v>
      </c>
      <c r="L4421">
        <v>215.45169999999999</v>
      </c>
      <c r="M4421">
        <v>0.99987519999999996</v>
      </c>
      <c r="N4421">
        <v>-1.1249210000000001E-2</v>
      </c>
      <c r="O4421">
        <v>1.1102020000000001E-2</v>
      </c>
      <c r="P4421">
        <v>0.99783140000000003</v>
      </c>
      <c r="Q4421">
        <v>-5.9298339999999998E-2</v>
      </c>
      <c r="R4421">
        <v>2.8575380000000001E-2</v>
      </c>
      <c r="S4421">
        <v>3.0050349999999999</v>
      </c>
      <c r="T4421">
        <v>-1.926601E-2</v>
      </c>
      <c r="U4421">
        <v>1.4373779999999999E-2</v>
      </c>
      <c r="V4421">
        <v>-1.7497200000000001E-2</v>
      </c>
      <c r="W4421">
        <v>-4.80661E-2</v>
      </c>
      <c r="X4421">
        <v>0.99869090000000005</v>
      </c>
      <c r="Y4421">
        <v>6.319229E-3</v>
      </c>
      <c r="Z4421" s="1">
        <v>-2.0813639999999999E-6</v>
      </c>
      <c r="AA4421">
        <v>0.99997999999999998</v>
      </c>
      <c r="AB4421">
        <v>32</v>
      </c>
      <c r="AC4421">
        <v>174.4639</v>
      </c>
      <c r="AD4421">
        <v>-1.1206772946400001</v>
      </c>
      <c r="AE4421">
        <v>0.83240000000000602</v>
      </c>
      <c r="AF4421">
        <v>1.1046297912205201</v>
      </c>
      <c r="AG4421">
        <v>-1.1206772946400001</v>
      </c>
      <c r="AH4421">
        <v>174.45519025311199</v>
      </c>
      <c r="AI4421">
        <v>90.368048143408998</v>
      </c>
      <c r="AJ4421">
        <v>89.637214696459296</v>
      </c>
      <c r="AK4421">
        <v>174.46228684395899</v>
      </c>
      <c r="AL4421">
        <v>92.755046194732401</v>
      </c>
      <c r="AM4421">
        <v>91.003727135589401</v>
      </c>
      <c r="AN4421">
        <v>1.00000000785993</v>
      </c>
    </row>
    <row r="4422" spans="1:40" x14ac:dyDescent="0.25">
      <c r="A4422" t="str">
        <f>"20190303153856726"</f>
        <v>20190303153856726</v>
      </c>
      <c r="B4422" t="str">
        <f>"1551598736723175"</f>
        <v>1551598736723175</v>
      </c>
      <c r="C4422" t="s">
        <v>40</v>
      </c>
      <c r="D4422">
        <v>4.2199689999999999</v>
      </c>
      <c r="E4422">
        <v>0.50986009999999904</v>
      </c>
      <c r="F4422" t="s">
        <v>51</v>
      </c>
      <c r="G4422">
        <v>-184.60390000000001</v>
      </c>
      <c r="H4422" s="1">
        <v>2.8791449999999999E-6</v>
      </c>
      <c r="I4422">
        <v>216.2551</v>
      </c>
      <c r="J4422">
        <v>-370.44150000000002</v>
      </c>
      <c r="K4422">
        <v>1.120682</v>
      </c>
      <c r="L4422">
        <v>215.45500000000001</v>
      </c>
      <c r="M4422">
        <v>0.99987389999999998</v>
      </c>
      <c r="N4422">
        <v>-1.1363689999999999E-2</v>
      </c>
      <c r="O4422">
        <v>1.109783E-2</v>
      </c>
      <c r="P4422">
        <v>0.99782570000000004</v>
      </c>
      <c r="Q4422">
        <v>-5.94919E-2</v>
      </c>
      <c r="R4422">
        <v>2.8368230000000001E-2</v>
      </c>
      <c r="S4422">
        <v>3.0050659999999998</v>
      </c>
      <c r="T4422">
        <v>-1.8092629999999998E-2</v>
      </c>
      <c r="U4422">
        <v>1.2969970000000001E-2</v>
      </c>
      <c r="V4422">
        <v>-1.729427E-2</v>
      </c>
      <c r="W4422">
        <v>-4.8145340000000002E-2</v>
      </c>
      <c r="X4422">
        <v>0.99869059999999998</v>
      </c>
      <c r="Y4422">
        <v>6.7821979999999997E-3</v>
      </c>
      <c r="Z4422" s="1">
        <v>3.5063930000000002E-7</v>
      </c>
      <c r="AA4422">
        <v>0.999977</v>
      </c>
      <c r="AB4422">
        <v>32</v>
      </c>
      <c r="AC4422">
        <v>185.83760000000001</v>
      </c>
      <c r="AD4422">
        <v>-1.120679120855</v>
      </c>
      <c r="AE4422">
        <v>0.80009999999998604</v>
      </c>
      <c r="AF4422">
        <v>1.26243052274983</v>
      </c>
      <c r="AG4422">
        <v>-1.120679120855</v>
      </c>
      <c r="AH4422">
        <v>185.828276364418</v>
      </c>
      <c r="AI4422">
        <v>90.345522893721906</v>
      </c>
      <c r="AJ4422">
        <v>89.610765220604605</v>
      </c>
      <c r="AK4422">
        <v>185.83594364139401</v>
      </c>
      <c r="AL4422">
        <v>92.759591623913494</v>
      </c>
      <c r="AM4422">
        <v>90.992088691407602</v>
      </c>
      <c r="AN4422">
        <v>0.99999999003345397</v>
      </c>
    </row>
    <row r="4423" spans="1:40" x14ac:dyDescent="0.25">
      <c r="A4423" t="str">
        <f>"20190303153856748"</f>
        <v>20190303153856748</v>
      </c>
      <c r="B4423" t="str">
        <f>"1551598736742695"</f>
        <v>1551598736742695</v>
      </c>
      <c r="C4423" t="s">
        <v>40</v>
      </c>
      <c r="D4423">
        <v>4.2003459999999997</v>
      </c>
      <c r="E4423">
        <v>0.50989209999999996</v>
      </c>
      <c r="F4423" t="s">
        <v>51</v>
      </c>
      <c r="G4423">
        <v>-179.95769999999999</v>
      </c>
      <c r="H4423">
        <v>1.7151369999999999E-2</v>
      </c>
      <c r="I4423">
        <v>216.2114</v>
      </c>
      <c r="J4423">
        <v>-370.1112</v>
      </c>
      <c r="K4423">
        <v>1.1204379999999901</v>
      </c>
      <c r="L4423">
        <v>215.45869999999999</v>
      </c>
      <c r="M4423">
        <v>0.99988250000000001</v>
      </c>
      <c r="N4423">
        <v>-1.058751E-2</v>
      </c>
      <c r="O4423">
        <v>1.109021E-2</v>
      </c>
      <c r="P4423">
        <v>0.99789119999999998</v>
      </c>
      <c r="Q4423">
        <v>-5.837697E-2</v>
      </c>
      <c r="R4423">
        <v>2.8374300000000002E-2</v>
      </c>
      <c r="S4423">
        <v>3.0051570000000001</v>
      </c>
      <c r="T4423">
        <v>-1.74098E-2</v>
      </c>
      <c r="U4423">
        <v>1.1932369999999999E-2</v>
      </c>
      <c r="V4423">
        <v>-1.7307409999999999E-2</v>
      </c>
      <c r="W4423">
        <v>-4.7804909999999999E-2</v>
      </c>
      <c r="X4423">
        <v>0.99870680000000001</v>
      </c>
      <c r="Y4423">
        <v>7.1199219999999999E-3</v>
      </c>
      <c r="Z4423" s="1">
        <v>-5.1399690000000001E-6</v>
      </c>
      <c r="AA4423">
        <v>0.99997469999999999</v>
      </c>
      <c r="AB4423">
        <v>32</v>
      </c>
      <c r="AC4423">
        <v>190.15350000000001</v>
      </c>
      <c r="AD4423">
        <v>-1.1032866299999999</v>
      </c>
      <c r="AE4423">
        <v>0.75270000000000403</v>
      </c>
      <c r="AF4423">
        <v>1.35626098363101</v>
      </c>
      <c r="AG4423">
        <v>-1.1032866299999999</v>
      </c>
      <c r="AH4423">
        <v>190.143751713889</v>
      </c>
      <c r="AI4423">
        <v>90.332439796573695</v>
      </c>
      <c r="AJ4423">
        <v>89.591326500256599</v>
      </c>
      <c r="AK4423">
        <v>190.15178937121999</v>
      </c>
      <c r="AL4423">
        <v>92.740063732732395</v>
      </c>
      <c r="AM4423">
        <v>90.992826217230601</v>
      </c>
      <c r="AN4423">
        <v>1.00000006411362</v>
      </c>
    </row>
    <row r="4424" spans="1:40" x14ac:dyDescent="0.25">
      <c r="A4424" t="str">
        <f>"20190303153856771"</f>
        <v>20190303153856771</v>
      </c>
      <c r="B4424" t="str">
        <f>"1551598736763194"</f>
        <v>1551598736763194</v>
      </c>
      <c r="C4424" t="s">
        <v>40</v>
      </c>
      <c r="D4424">
        <v>4.1871229999999997</v>
      </c>
      <c r="E4424">
        <v>0.50991969999999998</v>
      </c>
      <c r="F4424" t="s">
        <v>43</v>
      </c>
      <c r="G4424">
        <v>-104.79810000000001</v>
      </c>
      <c r="H4424">
        <v>-0.05</v>
      </c>
      <c r="I4424">
        <v>216.51480000000001</v>
      </c>
      <c r="J4424">
        <v>-369.7713</v>
      </c>
      <c r="K4424">
        <v>1.120115</v>
      </c>
      <c r="L4424">
        <v>215.4624</v>
      </c>
      <c r="M4424">
        <v>0.99989519999999998</v>
      </c>
      <c r="N4424">
        <v>-9.3216730000000008E-3</v>
      </c>
      <c r="O4424">
        <v>1.1077989999999999E-2</v>
      </c>
      <c r="P4424">
        <v>0.99800359999999999</v>
      </c>
      <c r="Q4424">
        <v>-5.6693260000000002E-2</v>
      </c>
      <c r="R4424">
        <v>2.7834310000000001E-2</v>
      </c>
      <c r="S4424">
        <v>3.0052189999999999</v>
      </c>
      <c r="T4424">
        <v>-1.3257619999999999E-2</v>
      </c>
      <c r="U4424">
        <v>1.196289E-2</v>
      </c>
      <c r="V4424">
        <v>-1.6779140000000001E-2</v>
      </c>
      <c r="W4424">
        <v>-4.738444E-2</v>
      </c>
      <c r="X4424">
        <v>0.99873579999999995</v>
      </c>
      <c r="Y4424">
        <v>7.0976059999999898E-3</v>
      </c>
      <c r="Z4424" s="1">
        <v>5.6628210000000002E-6</v>
      </c>
      <c r="AA4424">
        <v>0.99997480000000005</v>
      </c>
      <c r="AB4424">
        <v>32</v>
      </c>
      <c r="AC4424">
        <v>264.97320000000002</v>
      </c>
      <c r="AD4424">
        <v>-1.170115</v>
      </c>
      <c r="AE4424">
        <v>1.0524</v>
      </c>
      <c r="AF4424">
        <v>1.88312582370487</v>
      </c>
      <c r="AG4424">
        <v>-1.170115</v>
      </c>
      <c r="AH4424">
        <v>264.96343114286901</v>
      </c>
      <c r="AI4424">
        <v>90.253018017735897</v>
      </c>
      <c r="AJ4424">
        <v>89.592799108368496</v>
      </c>
      <c r="AK4424">
        <v>264.97270647178601</v>
      </c>
      <c r="AL4424">
        <v>92.715945388108096</v>
      </c>
      <c r="AM4424">
        <v>90.962500263869103</v>
      </c>
      <c r="AN4424">
        <v>1.0000000114474401</v>
      </c>
    </row>
    <row r="4425" spans="1:40" x14ac:dyDescent="0.25">
      <c r="A4425" t="str">
        <f>"20190303153856793"</f>
        <v>20190303153856793</v>
      </c>
      <c r="B4425" t="str">
        <f>"1551598736783290"</f>
        <v>1551598736783290</v>
      </c>
      <c r="C4425" t="s">
        <v>40</v>
      </c>
      <c r="D4425">
        <v>4.2771049999999997</v>
      </c>
      <c r="E4425">
        <v>0.51004110000000003</v>
      </c>
      <c r="F4425" t="s">
        <v>67</v>
      </c>
      <c r="G4425">
        <v>-107.39749999999999</v>
      </c>
      <c r="H4425">
        <v>0.4344807</v>
      </c>
      <c r="I4425">
        <v>216.30840000000001</v>
      </c>
      <c r="J4425">
        <v>-369.45119999999997</v>
      </c>
      <c r="K4425">
        <v>1.1198549999999901</v>
      </c>
      <c r="L4425">
        <v>215.46600000000001</v>
      </c>
      <c r="M4425">
        <v>0.99990610000000002</v>
      </c>
      <c r="N4425">
        <v>-8.1070929999999992E-3</v>
      </c>
      <c r="O4425">
        <v>1.105884E-2</v>
      </c>
      <c r="P4425">
        <v>0.99812630000000002</v>
      </c>
      <c r="Q4425">
        <v>-5.4965569999999998E-2</v>
      </c>
      <c r="R4425">
        <v>2.6886509999999999E-2</v>
      </c>
      <c r="S4425">
        <v>3.00528</v>
      </c>
      <c r="T4425">
        <v>-7.8527930000000003E-3</v>
      </c>
      <c r="U4425">
        <v>9.6893310000000007E-3</v>
      </c>
      <c r="V4425">
        <v>-1.5849430000000001E-2</v>
      </c>
      <c r="W4425">
        <v>-4.686887E-2</v>
      </c>
      <c r="X4425">
        <v>0.99877530000000003</v>
      </c>
      <c r="Y4425">
        <v>7.8349839999999997E-3</v>
      </c>
      <c r="Z4425" s="1">
        <v>1.8765699999999999E-5</v>
      </c>
      <c r="AA4425">
        <v>0.99996929999999995</v>
      </c>
      <c r="AB4425">
        <v>33</v>
      </c>
      <c r="AC4425">
        <v>262.05369999999999</v>
      </c>
      <c r="AD4425">
        <v>-0.68537429999999899</v>
      </c>
      <c r="AE4425">
        <v>0.84240000000002602</v>
      </c>
      <c r="AF4425">
        <v>2.05574229949812</v>
      </c>
      <c r="AG4425">
        <v>-0.68537429999999899</v>
      </c>
      <c r="AH4425">
        <v>262.04519796940502</v>
      </c>
      <c r="AI4425">
        <v>90.149851083771395</v>
      </c>
      <c r="AJ4425">
        <v>89.550524328601597</v>
      </c>
      <c r="AK4425">
        <v>262.05415774827497</v>
      </c>
      <c r="AL4425">
        <v>92.686372582433805</v>
      </c>
      <c r="AM4425">
        <v>90.9091426585845</v>
      </c>
      <c r="AN4425">
        <v>0.99999999764824499</v>
      </c>
    </row>
    <row r="4426" spans="1:40" x14ac:dyDescent="0.25">
      <c r="A4426" t="str">
        <f>"20190303153856816"</f>
        <v>20190303153856816</v>
      </c>
      <c r="B4426" t="str">
        <f>"1551598736802807"</f>
        <v>1551598736802807</v>
      </c>
      <c r="C4426" t="s">
        <v>40</v>
      </c>
      <c r="D4426">
        <v>4.2711449999999997</v>
      </c>
      <c r="E4426">
        <v>0.51016530000000004</v>
      </c>
      <c r="F4426" t="s">
        <v>67</v>
      </c>
      <c r="G4426">
        <v>-107.39749999999999</v>
      </c>
      <c r="H4426">
        <v>0.86921919999999897</v>
      </c>
      <c r="I4426">
        <v>215.9769</v>
      </c>
      <c r="J4426">
        <v>-369.11160000000001</v>
      </c>
      <c r="K4426">
        <v>1.1196219999999999</v>
      </c>
      <c r="L4426">
        <v>215.46969999999999</v>
      </c>
      <c r="M4426">
        <v>0.99991580000000002</v>
      </c>
      <c r="N4426">
        <v>-6.8486290000000002E-3</v>
      </c>
      <c r="O4426">
        <v>1.102819E-2</v>
      </c>
      <c r="P4426">
        <v>0.99822370000000005</v>
      </c>
      <c r="Q4426">
        <v>-5.3729239999999998E-2</v>
      </c>
      <c r="R4426">
        <v>2.5745319999999999E-2</v>
      </c>
      <c r="S4426">
        <v>3.0053100000000001</v>
      </c>
      <c r="T4426">
        <v>-2.873778E-3</v>
      </c>
      <c r="U4426">
        <v>5.859375E-3</v>
      </c>
      <c r="V4426">
        <v>-1.473879E-2</v>
      </c>
      <c r="W4426">
        <v>-4.6888760000000002E-2</v>
      </c>
      <c r="X4426">
        <v>0.9987914</v>
      </c>
      <c r="Y4426">
        <v>9.0786510000000001E-3</v>
      </c>
      <c r="Z4426" s="1">
        <v>2.955567E-5</v>
      </c>
      <c r="AA4426">
        <v>0.99995880000000004</v>
      </c>
      <c r="AB4426">
        <v>33</v>
      </c>
      <c r="AC4426">
        <v>261.71409999999997</v>
      </c>
      <c r="AD4426">
        <v>-0.25040279999999998</v>
      </c>
      <c r="AE4426">
        <v>0.50720000000001098</v>
      </c>
      <c r="AF4426">
        <v>2.3791289877417601</v>
      </c>
      <c r="AG4426">
        <v>-0.25040279999999998</v>
      </c>
      <c r="AH4426">
        <v>261.70353786862898</v>
      </c>
      <c r="AI4426">
        <v>90.054819382798499</v>
      </c>
      <c r="AJ4426">
        <v>89.479142330346306</v>
      </c>
      <c r="AK4426">
        <v>261.71447168481097</v>
      </c>
      <c r="AL4426">
        <v>92.687513378288998</v>
      </c>
      <c r="AM4426">
        <v>90.845430961270296</v>
      </c>
      <c r="AN4426">
        <v>1.00000002422948</v>
      </c>
    </row>
    <row r="4427" spans="1:40" x14ac:dyDescent="0.25">
      <c r="A4427" t="str">
        <f>"20190303153856837"</f>
        <v>20190303153856837</v>
      </c>
      <c r="B4427" t="str">
        <f>"1551598736833063"</f>
        <v>1551598736833063</v>
      </c>
      <c r="C4427" t="s">
        <v>40</v>
      </c>
      <c r="D4427">
        <v>4.275385</v>
      </c>
      <c r="E4427">
        <v>0.51035350000000002</v>
      </c>
      <c r="F4427" t="s">
        <v>67</v>
      </c>
      <c r="G4427">
        <v>-107.39749999999999</v>
      </c>
      <c r="H4427">
        <v>1.160566</v>
      </c>
      <c r="I4427">
        <v>215.60130000000001</v>
      </c>
      <c r="J4427">
        <v>-368.78129999999999</v>
      </c>
      <c r="K4427">
        <v>1.119437</v>
      </c>
      <c r="L4427">
        <v>215.47329999999999</v>
      </c>
      <c r="M4427">
        <v>0.99992360000000002</v>
      </c>
      <c r="N4427">
        <v>-5.6720349999999998E-3</v>
      </c>
      <c r="O4427">
        <v>1.098147E-2</v>
      </c>
      <c r="P4427">
        <v>0.99830459999999999</v>
      </c>
      <c r="Q4427">
        <v>-5.3123030000000002E-2</v>
      </c>
      <c r="R4427">
        <v>2.3794119999999998E-2</v>
      </c>
      <c r="S4427">
        <v>3.0053100000000001</v>
      </c>
      <c r="T4427">
        <v>4.7075749999999999E-4</v>
      </c>
      <c r="U4427">
        <v>1.5106200000000001E-3</v>
      </c>
      <c r="V4427">
        <v>-1.28348E-2</v>
      </c>
      <c r="W4427">
        <v>-4.7457260000000001E-2</v>
      </c>
      <c r="X4427">
        <v>0.99879079999999998</v>
      </c>
      <c r="Y4427">
        <v>1.047884E-2</v>
      </c>
      <c r="Z4427" s="1">
        <v>3.5111170000000001E-5</v>
      </c>
      <c r="AA4427">
        <v>0.99994510000000003</v>
      </c>
      <c r="AB4427">
        <v>34</v>
      </c>
      <c r="AC4427">
        <v>261.38380000000001</v>
      </c>
      <c r="AD4427">
        <v>4.1128999999999902E-2</v>
      </c>
      <c r="AE4427">
        <v>0.12800000000001399</v>
      </c>
      <c r="AF4427">
        <v>2.7424322250295501</v>
      </c>
      <c r="AG4427">
        <v>4.1128999999999902E-2</v>
      </c>
      <c r="AH4427">
        <v>261.36943770980901</v>
      </c>
      <c r="AI4427">
        <v>89.990984453237203</v>
      </c>
      <c r="AJ4427">
        <v>89.398843156557703</v>
      </c>
      <c r="AK4427">
        <v>261.38382810503998</v>
      </c>
      <c r="AL4427">
        <v>92.720122416343997</v>
      </c>
      <c r="AM4427">
        <v>90.736229645737893</v>
      </c>
      <c r="AN4427">
        <v>0.99999999289119301</v>
      </c>
    </row>
    <row r="4428" spans="1:40" x14ac:dyDescent="0.25">
      <c r="A4428" t="str">
        <f>"20190303153856860"</f>
        <v>20190303153856860</v>
      </c>
      <c r="B4428" t="str">
        <f>"1551598736852586"</f>
        <v>1551598736852586</v>
      </c>
      <c r="C4428" t="s">
        <v>40</v>
      </c>
      <c r="D4428">
        <v>4.2665129999999998</v>
      </c>
      <c r="E4428">
        <v>0.51047909999999996</v>
      </c>
      <c r="F4428" t="s">
        <v>67</v>
      </c>
      <c r="G4428">
        <v>-107.39749999999999</v>
      </c>
      <c r="H4428">
        <v>1.2835700000000001</v>
      </c>
      <c r="I4428">
        <v>214.97040000000001</v>
      </c>
      <c r="J4428">
        <v>-368.43549999999999</v>
      </c>
      <c r="K4428">
        <v>1.119281</v>
      </c>
      <c r="L4428">
        <v>215.47710000000001</v>
      </c>
      <c r="M4428">
        <v>0.99993030000000005</v>
      </c>
      <c r="N4428">
        <v>-4.5338369999999998E-3</v>
      </c>
      <c r="O4428">
        <v>1.0905400000000001E-2</v>
      </c>
      <c r="P4428">
        <v>0.9983071</v>
      </c>
      <c r="Q4428">
        <v>-5.3455740000000002E-2</v>
      </c>
      <c r="R4428">
        <v>2.2926160000000001E-2</v>
      </c>
      <c r="S4428">
        <v>3.0054020000000001</v>
      </c>
      <c r="T4428">
        <v>1.887798E-3</v>
      </c>
      <c r="U4428">
        <v>-5.7830809999999998E-3</v>
      </c>
      <c r="V4428">
        <v>-1.204526E-2</v>
      </c>
      <c r="W4428">
        <v>-4.8926409999999997E-2</v>
      </c>
      <c r="X4428">
        <v>0.9987298</v>
      </c>
      <c r="Y4428">
        <v>1.2829470000000001E-2</v>
      </c>
      <c r="Z4428" s="1">
        <v>3.1239840000000001E-5</v>
      </c>
      <c r="AA4428">
        <v>0.99991770000000002</v>
      </c>
      <c r="AB4428">
        <v>34</v>
      </c>
      <c r="AC4428">
        <v>261.03800000000001</v>
      </c>
      <c r="AD4428">
        <v>0.16428899999999999</v>
      </c>
      <c r="AE4428">
        <v>-0.50669999999999504</v>
      </c>
      <c r="AF4428">
        <v>3.3534214779968998</v>
      </c>
      <c r="AG4428">
        <v>0.16428899999999999</v>
      </c>
      <c r="AH4428">
        <v>261.01684767761998</v>
      </c>
      <c r="AI4428">
        <v>89.963939920346306</v>
      </c>
      <c r="AJ4428">
        <v>89.263931316824497</v>
      </c>
      <c r="AK4428">
        <v>261.03844007740798</v>
      </c>
      <c r="AL4428">
        <v>92.804396283489595</v>
      </c>
      <c r="AM4428">
        <v>90.690986793328406</v>
      </c>
      <c r="AN4428">
        <v>1.00000004764599</v>
      </c>
    </row>
    <row r="4429" spans="1:40" x14ac:dyDescent="0.25">
      <c r="A4429" t="str">
        <f>"20190303153856882"</f>
        <v>20190303153856882</v>
      </c>
      <c r="B4429" t="str">
        <f>"1551598736873079"</f>
        <v>1551598736873079</v>
      </c>
      <c r="C4429" t="s">
        <v>40</v>
      </c>
      <c r="D4429">
        <v>4.2570139999999999</v>
      </c>
      <c r="E4429">
        <v>0.51060609999999995</v>
      </c>
      <c r="F4429" t="s">
        <v>67</v>
      </c>
      <c r="G4429">
        <v>-107.39749999999999</v>
      </c>
      <c r="H4429">
        <v>1.1767080000000001</v>
      </c>
      <c r="I4429">
        <v>214.6474</v>
      </c>
      <c r="J4429">
        <v>-368.089</v>
      </c>
      <c r="K4429">
        <v>1.1191580000000001</v>
      </c>
      <c r="L4429">
        <v>215.48079999999999</v>
      </c>
      <c r="M4429">
        <v>0.99993560000000004</v>
      </c>
      <c r="N4429">
        <v>-3.5421340000000002E-3</v>
      </c>
      <c r="O4429">
        <v>1.0787629999999999E-2</v>
      </c>
      <c r="P4429">
        <v>0.99829749999999995</v>
      </c>
      <c r="Q4429">
        <v>-5.3583980000000003E-2</v>
      </c>
      <c r="R4429">
        <v>2.3040390000000001E-2</v>
      </c>
      <c r="S4429">
        <v>3.005341</v>
      </c>
      <c r="T4429">
        <v>6.6173079999999997E-4</v>
      </c>
      <c r="U4429">
        <v>-9.5520020000000004E-3</v>
      </c>
      <c r="V4429">
        <v>-1.2280309999999999E-2</v>
      </c>
      <c r="W4429">
        <v>-5.00443E-2</v>
      </c>
      <c r="X4429">
        <v>0.99867150000000005</v>
      </c>
      <c r="Y4429">
        <v>1.3965719999999999E-2</v>
      </c>
      <c r="Z4429" s="1">
        <v>1.7390050000000001E-5</v>
      </c>
      <c r="AA4429">
        <v>0.99990250000000003</v>
      </c>
      <c r="AB4429">
        <v>34</v>
      </c>
      <c r="AC4429">
        <v>260.69150000000002</v>
      </c>
      <c r="AD4429">
        <v>5.75499999999999E-2</v>
      </c>
      <c r="AE4429">
        <v>-0.83339999999998304</v>
      </c>
      <c r="AF4429">
        <v>3.6456122421138701</v>
      </c>
      <c r="AG4429">
        <v>5.75499999999999E-2</v>
      </c>
      <c r="AH4429">
        <v>260.66732747927102</v>
      </c>
      <c r="AI4429">
        <v>89.987351504101298</v>
      </c>
      <c r="AJ4429">
        <v>89.198731271738495</v>
      </c>
      <c r="AK4429">
        <v>260.69282578507602</v>
      </c>
      <c r="AL4429">
        <v>92.868525363022599</v>
      </c>
      <c r="AM4429">
        <v>90.704510415715703</v>
      </c>
      <c r="AN4429">
        <v>1.0000000014442101</v>
      </c>
    </row>
    <row r="4430" spans="1:40" x14ac:dyDescent="0.25">
      <c r="A4430" t="str">
        <f>"20190303153856906"</f>
        <v>20190303153856906</v>
      </c>
      <c r="B4430" t="str">
        <f>"1551598736903335"</f>
        <v>1551598736903335</v>
      </c>
      <c r="C4430" t="s">
        <v>40</v>
      </c>
      <c r="D4430">
        <v>4.279598</v>
      </c>
      <c r="E4430">
        <v>0.51078489999999999</v>
      </c>
      <c r="F4430" t="s">
        <v>67</v>
      </c>
      <c r="G4430">
        <v>-107.39749999999999</v>
      </c>
      <c r="H4430">
        <v>1.1239669999999999</v>
      </c>
      <c r="I4430">
        <v>214.60319999999999</v>
      </c>
      <c r="J4430">
        <v>-367.73219999999998</v>
      </c>
      <c r="K4430">
        <v>1.11907</v>
      </c>
      <c r="L4430">
        <v>215.4845</v>
      </c>
      <c r="M4430">
        <v>0.9999401</v>
      </c>
      <c r="N4430">
        <v>-2.736091E-3</v>
      </c>
      <c r="O4430">
        <v>1.0605079999999999E-2</v>
      </c>
      <c r="P4430">
        <v>0.9982915</v>
      </c>
      <c r="Q4430">
        <v>-5.3078460000000001E-2</v>
      </c>
      <c r="R4430">
        <v>2.443447E-2</v>
      </c>
      <c r="S4430">
        <v>3.005341</v>
      </c>
      <c r="T4430" s="1">
        <v>5.6028369999999998E-5</v>
      </c>
      <c r="U4430">
        <v>-1.011658E-2</v>
      </c>
      <c r="V4430">
        <v>-1.3862040000000001E-2</v>
      </c>
      <c r="W4430">
        <v>-5.0341950000000003E-2</v>
      </c>
      <c r="X4430">
        <v>0.99863579999999996</v>
      </c>
      <c r="Y4430">
        <v>1.3971010000000001E-2</v>
      </c>
      <c r="Z4430" s="1">
        <v>1.0231580000000001E-5</v>
      </c>
      <c r="AA4430">
        <v>0.99990239999999997</v>
      </c>
      <c r="AB4430">
        <v>34</v>
      </c>
      <c r="AC4430">
        <v>260.3347</v>
      </c>
      <c r="AD4430">
        <v>4.8969999999999196E-3</v>
      </c>
      <c r="AE4430">
        <v>-0.88130000000000996</v>
      </c>
      <c r="AF4430">
        <v>3.6421308751661701</v>
      </c>
      <c r="AG4430">
        <v>4.8969999999999196E-3</v>
      </c>
      <c r="AH4430">
        <v>260.31071347239401</v>
      </c>
      <c r="AI4430">
        <v>89.998922249609194</v>
      </c>
      <c r="AJ4430">
        <v>89.198399830269295</v>
      </c>
      <c r="AK4430">
        <v>260.336191663394</v>
      </c>
      <c r="AL4430">
        <v>92.885601081635102</v>
      </c>
      <c r="AM4430">
        <v>90.795270289512402</v>
      </c>
      <c r="AN4430">
        <v>0.99999996456220097</v>
      </c>
    </row>
    <row r="4431" spans="1:40" x14ac:dyDescent="0.25">
      <c r="A4431" t="str">
        <f>"20190303153856927"</f>
        <v>20190303153856927</v>
      </c>
      <c r="B4431" t="str">
        <f>"1551598736922855"</f>
        <v>1551598736922855</v>
      </c>
      <c r="C4431" t="s">
        <v>40</v>
      </c>
      <c r="D4431">
        <v>4.2755029999999996</v>
      </c>
      <c r="E4431">
        <v>0.51089569999999995</v>
      </c>
      <c r="F4431" t="s">
        <v>67</v>
      </c>
      <c r="G4431">
        <v>-107.39749999999999</v>
      </c>
      <c r="H4431">
        <v>1.2249479999999999</v>
      </c>
      <c r="I4431">
        <v>214.86189999999999</v>
      </c>
      <c r="J4431">
        <v>-367.3913</v>
      </c>
      <c r="K4431">
        <v>1.1190310000000001</v>
      </c>
      <c r="L4431">
        <v>215.488</v>
      </c>
      <c r="M4431">
        <v>0.9999439</v>
      </c>
      <c r="N4431">
        <v>-2.229052E-3</v>
      </c>
      <c r="O4431">
        <v>1.035354E-2</v>
      </c>
      <c r="P4431">
        <v>0.99832100000000001</v>
      </c>
      <c r="Q4431">
        <v>-5.1979839999999999E-2</v>
      </c>
      <c r="R4431">
        <v>2.5559990000000001E-2</v>
      </c>
      <c r="S4431">
        <v>3.0053100000000001</v>
      </c>
      <c r="T4431">
        <v>1.222849E-3</v>
      </c>
      <c r="U4431">
        <v>-7.1868899999999996E-3</v>
      </c>
      <c r="V4431">
        <v>-1.524532E-2</v>
      </c>
      <c r="W4431">
        <v>-4.9746949999999998E-2</v>
      </c>
      <c r="X4431">
        <v>0.99864549999999996</v>
      </c>
      <c r="Y4431">
        <v>1.2744760000000001E-2</v>
      </c>
      <c r="Z4431" s="1">
        <v>1.5680049999999999E-5</v>
      </c>
      <c r="AA4431">
        <v>0.9999188</v>
      </c>
      <c r="AB4431">
        <v>35</v>
      </c>
      <c r="AC4431">
        <v>259.99380000000002</v>
      </c>
      <c r="AD4431">
        <v>0.105917</v>
      </c>
      <c r="AE4431">
        <v>-0.62610000000000798</v>
      </c>
      <c r="AF4431">
        <v>3.31792882979535</v>
      </c>
      <c r="AG4431">
        <v>0.105917</v>
      </c>
      <c r="AH4431">
        <v>259.973338923656</v>
      </c>
      <c r="AI4431">
        <v>89.976658750501102</v>
      </c>
      <c r="AJ4431">
        <v>89.268798104771193</v>
      </c>
      <c r="AK4431">
        <v>259.99453229105501</v>
      </c>
      <c r="AL4431">
        <v>92.851467200836495</v>
      </c>
      <c r="AM4431">
        <v>90.874609305107796</v>
      </c>
      <c r="AN4431">
        <v>1.00000000674322</v>
      </c>
    </row>
    <row r="4432" spans="1:40" x14ac:dyDescent="0.25">
      <c r="A4432" t="str">
        <f>"20190303153856950"</f>
        <v>20190303153856950</v>
      </c>
      <c r="B4432" t="str">
        <f>"1551598736943352"</f>
        <v>1551598736943352</v>
      </c>
      <c r="C4432" t="s">
        <v>40</v>
      </c>
      <c r="D4432">
        <v>4.255471</v>
      </c>
      <c r="E4432">
        <v>0.51101799999999997</v>
      </c>
      <c r="F4432" t="s">
        <v>67</v>
      </c>
      <c r="G4432">
        <v>-107.39749999999999</v>
      </c>
      <c r="H4432">
        <v>1.501816</v>
      </c>
      <c r="I4432">
        <v>215.0642</v>
      </c>
      <c r="J4432">
        <v>-367.04939999999999</v>
      </c>
      <c r="K4432">
        <v>1.1190279999999999</v>
      </c>
      <c r="L4432">
        <v>215.4913</v>
      </c>
      <c r="M4432">
        <v>0.99994780000000005</v>
      </c>
      <c r="N4432">
        <v>-2.0001440000000001E-3</v>
      </c>
      <c r="O4432">
        <v>1.001432E-2</v>
      </c>
      <c r="P4432">
        <v>0.99835620000000003</v>
      </c>
      <c r="Q4432">
        <v>-5.0782670000000002E-2</v>
      </c>
      <c r="R4432">
        <v>2.6571560000000001E-2</v>
      </c>
      <c r="S4432">
        <v>3.0054020000000001</v>
      </c>
      <c r="T4432">
        <v>4.4254059999999998E-3</v>
      </c>
      <c r="U4432">
        <v>-4.8980710000000004E-3</v>
      </c>
      <c r="V4432">
        <v>-1.66042E-2</v>
      </c>
      <c r="W4432">
        <v>-4.8774489999999997E-2</v>
      </c>
      <c r="X4432">
        <v>0.9986718</v>
      </c>
      <c r="Y4432">
        <v>1.164394E-2</v>
      </c>
      <c r="Z4432" s="1">
        <v>3.1703979999999999E-5</v>
      </c>
      <c r="AA4432">
        <v>0.99993220000000005</v>
      </c>
      <c r="AB4432">
        <v>35</v>
      </c>
      <c r="AC4432">
        <v>259.65190000000001</v>
      </c>
      <c r="AD4432">
        <v>0.38278799999999902</v>
      </c>
      <c r="AE4432">
        <v>-0.42709999999999498</v>
      </c>
      <c r="AF4432">
        <v>3.0273145632975198</v>
      </c>
      <c r="AG4432">
        <v>0.38278799999999902</v>
      </c>
      <c r="AH4432">
        <v>259.63403841215398</v>
      </c>
      <c r="AI4432">
        <v>89.915532530456204</v>
      </c>
      <c r="AJ4432">
        <v>89.331965527607693</v>
      </c>
      <c r="AK4432">
        <v>259.65196910927199</v>
      </c>
      <c r="AL4432">
        <v>92.795681617631402</v>
      </c>
      <c r="AM4432">
        <v>90.952528082871197</v>
      </c>
      <c r="AN4432">
        <v>1.00000000722382</v>
      </c>
    </row>
    <row r="4433" spans="1:40" x14ac:dyDescent="0.25">
      <c r="A4433" t="str">
        <f>"20190303153856971"</f>
        <v>20190303153856971</v>
      </c>
      <c r="B4433" t="str">
        <f>"1551598736962871"</f>
        <v>1551598736962871</v>
      </c>
      <c r="C4433" t="s">
        <v>40</v>
      </c>
      <c r="D4433">
        <v>4.3025679999999999</v>
      </c>
      <c r="E4433">
        <v>0.51113989999999998</v>
      </c>
      <c r="F4433" t="s">
        <v>67</v>
      </c>
      <c r="G4433">
        <v>-107.39749999999999</v>
      </c>
      <c r="H4433">
        <v>1.803167</v>
      </c>
      <c r="I4433">
        <v>215.24340000000001</v>
      </c>
      <c r="J4433">
        <v>-366.69909999999999</v>
      </c>
      <c r="K4433">
        <v>1.119048</v>
      </c>
      <c r="L4433">
        <v>215.49440000000001</v>
      </c>
      <c r="M4433">
        <v>0.99995230000000002</v>
      </c>
      <c r="N4433">
        <v>-2.0442289999999998E-3</v>
      </c>
      <c r="O4433">
        <v>9.5627980000000008E-3</v>
      </c>
      <c r="P4433">
        <v>0.99832270000000001</v>
      </c>
      <c r="Q4433">
        <v>-5.1128769999999997E-2</v>
      </c>
      <c r="R4433">
        <v>2.716472E-2</v>
      </c>
      <c r="S4433">
        <v>3.0054020000000001</v>
      </c>
      <c r="T4433">
        <v>7.9193119999999995E-3</v>
      </c>
      <c r="U4433">
        <v>-2.8686520000000002E-3</v>
      </c>
      <c r="V4433">
        <v>-1.7659680000000001E-2</v>
      </c>
      <c r="W4433">
        <v>-4.9071999999999998E-2</v>
      </c>
      <c r="X4433">
        <v>0.9986391</v>
      </c>
      <c r="Y4433">
        <v>1.0517149999999999E-2</v>
      </c>
      <c r="Z4433" s="1">
        <v>4.7853319999999999E-5</v>
      </c>
      <c r="AA4433">
        <v>0.99994470000000002</v>
      </c>
      <c r="AB4433">
        <v>35</v>
      </c>
      <c r="AC4433">
        <v>259.30160000000001</v>
      </c>
      <c r="AD4433">
        <v>0.68411899999999903</v>
      </c>
      <c r="AE4433">
        <v>-0.251000000000004</v>
      </c>
      <c r="AF4433">
        <v>2.73062323601473</v>
      </c>
      <c r="AG4433">
        <v>0.68411899999999903</v>
      </c>
      <c r="AH4433">
        <v>259.28553841752102</v>
      </c>
      <c r="AI4433">
        <v>89.8488351212943</v>
      </c>
      <c r="AJ4433">
        <v>89.396621176101505</v>
      </c>
      <c r="AK4433">
        <v>259.300819039445</v>
      </c>
      <c r="AL4433">
        <v>92.812748173332295</v>
      </c>
      <c r="AM4433">
        <v>91.013098406037201</v>
      </c>
      <c r="AN4433">
        <v>0.99999998876525598</v>
      </c>
    </row>
    <row r="4434" spans="1:40" x14ac:dyDescent="0.25">
      <c r="A4434" t="str">
        <f>"20190303153856995"</f>
        <v>20190303153856995</v>
      </c>
      <c r="B4434" t="str">
        <f>"1551598736982974"</f>
        <v>1551598736982974</v>
      </c>
      <c r="C4434" t="s">
        <v>40</v>
      </c>
      <c r="D4434">
        <v>4.267417</v>
      </c>
      <c r="E4434">
        <v>0.51124740000000002</v>
      </c>
      <c r="F4434" t="s">
        <v>67</v>
      </c>
      <c r="G4434">
        <v>-107.39749999999999</v>
      </c>
      <c r="H4434">
        <v>1.69165099999999</v>
      </c>
      <c r="I4434">
        <v>215.3338</v>
      </c>
      <c r="J4434">
        <v>-366.32580000000002</v>
      </c>
      <c r="K4434">
        <v>1.1190899999999999</v>
      </c>
      <c r="L4434">
        <v>215.4974</v>
      </c>
      <c r="M4434">
        <v>0.99995699999999998</v>
      </c>
      <c r="N4434">
        <v>-2.2782710000000001E-3</v>
      </c>
      <c r="O4434">
        <v>8.9846909999999995E-3</v>
      </c>
      <c r="P4434">
        <v>0.99824409999999997</v>
      </c>
      <c r="Q4434">
        <v>-5.2571109999999997E-2</v>
      </c>
      <c r="R4434">
        <v>2.729591E-2</v>
      </c>
      <c r="S4434">
        <v>3.0054319999999999</v>
      </c>
      <c r="T4434">
        <v>6.6373350000000003E-3</v>
      </c>
      <c r="U4434">
        <v>-1.8615719999999999E-3</v>
      </c>
      <c r="V4434">
        <v>-1.838095E-2</v>
      </c>
      <c r="W4434">
        <v>-5.0276130000000002E-2</v>
      </c>
      <c r="X4434">
        <v>0.99856619999999996</v>
      </c>
      <c r="Y4434">
        <v>9.6040029999999998E-3</v>
      </c>
      <c r="Z4434" s="1">
        <v>3.9976409999999898E-5</v>
      </c>
      <c r="AA4434">
        <v>0.99995389999999995</v>
      </c>
      <c r="AB4434">
        <v>35</v>
      </c>
      <c r="AC4434">
        <v>258.92829999999998</v>
      </c>
      <c r="AD4434">
        <v>0.57256099999999899</v>
      </c>
      <c r="AE4434">
        <v>-0.16360000000000199</v>
      </c>
      <c r="AF4434">
        <v>2.4899781220144401</v>
      </c>
      <c r="AG4434">
        <v>0.57256099999999899</v>
      </c>
      <c r="AH4434">
        <v>258.91511286020602</v>
      </c>
      <c r="AI4434">
        <v>89.873303037156305</v>
      </c>
      <c r="AJ4434">
        <v>89.449005359487501</v>
      </c>
      <c r="AK4434">
        <v>258.92771864858298</v>
      </c>
      <c r="AL4434">
        <v>92.881824983261694</v>
      </c>
      <c r="AM4434">
        <v>91.0545439412614</v>
      </c>
      <c r="AN4434">
        <v>1.0000000021765501</v>
      </c>
    </row>
    <row r="4435" spans="1:40" x14ac:dyDescent="0.25">
      <c r="A4435" t="str">
        <f>"20190303153857017"</f>
        <v>20190303153857017</v>
      </c>
      <c r="B4435" t="str">
        <f>"1551598737013230"</f>
        <v>1551598737013230</v>
      </c>
      <c r="C4435" t="s">
        <v>40</v>
      </c>
      <c r="D4435">
        <v>4.2780319999999996</v>
      </c>
      <c r="E4435">
        <v>0.51141939999999997</v>
      </c>
      <c r="F4435" t="s">
        <v>67</v>
      </c>
      <c r="G4435">
        <v>-107.39749999999999</v>
      </c>
      <c r="H4435">
        <v>1.295871</v>
      </c>
      <c r="I4435">
        <v>215.28970000000001</v>
      </c>
      <c r="J4435">
        <v>-365.98520000000002</v>
      </c>
      <c r="K4435">
        <v>1.119138</v>
      </c>
      <c r="L4435">
        <v>215.4999</v>
      </c>
      <c r="M4435">
        <v>0.99996149999999995</v>
      </c>
      <c r="N4435">
        <v>-2.6275119999999998E-3</v>
      </c>
      <c r="O4435">
        <v>8.3757599999999995E-3</v>
      </c>
      <c r="P4435">
        <v>0.99818640000000003</v>
      </c>
      <c r="Q4435">
        <v>-5.3988330000000001E-2</v>
      </c>
      <c r="R4435">
        <v>2.6632980000000001E-2</v>
      </c>
      <c r="S4435">
        <v>3.0054630000000002</v>
      </c>
      <c r="T4435">
        <v>2.0525460000000001E-3</v>
      </c>
      <c r="U4435">
        <v>-2.4108889999999998E-3</v>
      </c>
      <c r="V4435">
        <v>-1.833663E-2</v>
      </c>
      <c r="W4435">
        <v>-5.134155E-2</v>
      </c>
      <c r="X4435">
        <v>0.99851279999999998</v>
      </c>
      <c r="Y4435">
        <v>9.1778889999999998E-3</v>
      </c>
      <c r="Z4435" s="1">
        <v>1.880413E-5</v>
      </c>
      <c r="AA4435">
        <v>0.99995789999999996</v>
      </c>
      <c r="AB4435">
        <v>35</v>
      </c>
      <c r="AC4435">
        <v>258.58769999999998</v>
      </c>
      <c r="AD4435">
        <v>0.176733</v>
      </c>
      <c r="AE4435">
        <v>-0.21019999999998601</v>
      </c>
      <c r="AF4435">
        <v>2.37606744386802</v>
      </c>
      <c r="AG4435">
        <v>0.176733</v>
      </c>
      <c r="AH4435">
        <v>258.57674800679399</v>
      </c>
      <c r="AI4435">
        <v>89.960840926275594</v>
      </c>
      <c r="AJ4435">
        <v>89.473522635535602</v>
      </c>
      <c r="AK4435">
        <v>258.58772503895102</v>
      </c>
      <c r="AL4435">
        <v>92.9429480107339</v>
      </c>
      <c r="AM4435">
        <v>91.052058053366807</v>
      </c>
      <c r="AN4435">
        <v>0.99999999925999905</v>
      </c>
    </row>
    <row r="4436" spans="1:40" x14ac:dyDescent="0.25">
      <c r="A4436" t="str">
        <f>"20190303153857039"</f>
        <v>20190303153857039</v>
      </c>
      <c r="B4436" t="str">
        <f>"1551598737032750"</f>
        <v>1551598737032750</v>
      </c>
      <c r="C4436" t="s">
        <v>40</v>
      </c>
      <c r="D4436">
        <v>4.2682640000000003</v>
      </c>
      <c r="E4436">
        <v>0.51152659999999905</v>
      </c>
      <c r="F4436" t="s">
        <v>67</v>
      </c>
      <c r="G4436">
        <v>-107.39749999999999</v>
      </c>
      <c r="H4436">
        <v>0.89404729999999999</v>
      </c>
      <c r="I4436">
        <v>214.99189999999999</v>
      </c>
      <c r="J4436">
        <v>-365.62759999999997</v>
      </c>
      <c r="K4436">
        <v>1.1192</v>
      </c>
      <c r="L4436">
        <v>215.50229999999999</v>
      </c>
      <c r="M4436">
        <v>0.99996580000000002</v>
      </c>
      <c r="N4436">
        <v>-3.1385620000000001E-3</v>
      </c>
      <c r="O4436">
        <v>7.6590080000000001E-3</v>
      </c>
      <c r="P4436">
        <v>0.9981582</v>
      </c>
      <c r="Q4436">
        <v>-5.5282440000000002E-2</v>
      </c>
      <c r="R4436">
        <v>2.499057E-2</v>
      </c>
      <c r="S4436">
        <v>3.005493</v>
      </c>
      <c r="T4436">
        <v>-2.6155710000000001E-3</v>
      </c>
      <c r="U4436">
        <v>-5.905151E-3</v>
      </c>
      <c r="V4436">
        <v>-1.742032E-2</v>
      </c>
      <c r="W4436">
        <v>-5.2123860000000001E-2</v>
      </c>
      <c r="X4436">
        <v>0.99848870000000001</v>
      </c>
      <c r="Y4436">
        <v>9.6237189999999993E-3</v>
      </c>
      <c r="Z4436" s="1">
        <v>-1.9168279999999999E-6</v>
      </c>
      <c r="AA4436">
        <v>0.99995369999999995</v>
      </c>
      <c r="AB4436">
        <v>35</v>
      </c>
      <c r="AC4436">
        <v>258.23009999999999</v>
      </c>
      <c r="AD4436">
        <v>-0.22515270000000001</v>
      </c>
      <c r="AE4436">
        <v>-0.51040000000000396</v>
      </c>
      <c r="AF4436">
        <v>2.4881791700130398</v>
      </c>
      <c r="AG4436">
        <v>-0.22515270000000001</v>
      </c>
      <c r="AH4436">
        <v>258.21842039487899</v>
      </c>
      <c r="AI4436">
        <v>90.049956534096495</v>
      </c>
      <c r="AJ4436">
        <v>89.447917957315894</v>
      </c>
      <c r="AK4436">
        <v>258.23050625467698</v>
      </c>
      <c r="AL4436">
        <v>92.987831098702898</v>
      </c>
      <c r="AM4436">
        <v>90.999520136424096</v>
      </c>
      <c r="AN4436">
        <v>1.00000002417894</v>
      </c>
    </row>
    <row r="4437" spans="1:40" x14ac:dyDescent="0.25">
      <c r="A4437" t="str">
        <f>"20190303153857062"</f>
        <v>20190303153857062</v>
      </c>
      <c r="B4437" t="str">
        <f>"1551598737053246"</f>
        <v>1551598737053246</v>
      </c>
      <c r="C4437" t="s">
        <v>40</v>
      </c>
      <c r="D4437">
        <v>4.2861440000000002</v>
      </c>
      <c r="E4437">
        <v>0.51164169999999998</v>
      </c>
      <c r="F4437" t="s">
        <v>67</v>
      </c>
      <c r="G4437">
        <v>-107.39749999999999</v>
      </c>
      <c r="H4437">
        <v>0.53236139999999998</v>
      </c>
      <c r="I4437">
        <v>214.48089999999999</v>
      </c>
      <c r="J4437">
        <v>-365.26600000000002</v>
      </c>
      <c r="K4437">
        <v>1.1192820000000001</v>
      </c>
      <c r="L4437">
        <v>215.5043</v>
      </c>
      <c r="M4437">
        <v>0.9999692</v>
      </c>
      <c r="N4437">
        <v>-3.795302E-3</v>
      </c>
      <c r="O4437">
        <v>6.8717810000000004E-3</v>
      </c>
      <c r="P4437">
        <v>0.99814950000000002</v>
      </c>
      <c r="Q4437">
        <v>-5.6184919999999999E-2</v>
      </c>
      <c r="R4437">
        <v>2.3255959999999999E-2</v>
      </c>
      <c r="S4437">
        <v>3.0054319999999999</v>
      </c>
      <c r="T4437">
        <v>-6.8293809999999998E-3</v>
      </c>
      <c r="U4437">
        <v>-1.1886600000000001E-2</v>
      </c>
      <c r="V4437">
        <v>-1.6479290000000001E-2</v>
      </c>
      <c r="W4437">
        <v>-5.236971E-2</v>
      </c>
      <c r="X4437">
        <v>0.99849180000000004</v>
      </c>
      <c r="Y4437">
        <v>1.082661E-2</v>
      </c>
      <c r="Z4437" s="1">
        <v>-2.2380560000000001E-5</v>
      </c>
      <c r="AA4437">
        <v>0.99994139999999998</v>
      </c>
      <c r="AB4437">
        <v>35</v>
      </c>
      <c r="AC4437">
        <v>257.86849999999998</v>
      </c>
      <c r="AD4437">
        <v>-0.58692059999999902</v>
      </c>
      <c r="AE4437">
        <v>-1.0234000000000001</v>
      </c>
      <c r="AF4437">
        <v>2.7953899528913202</v>
      </c>
      <c r="AG4437">
        <v>-0.58692059999999902</v>
      </c>
      <c r="AH4437">
        <v>257.85404299446799</v>
      </c>
      <c r="AI4437">
        <v>90.130407260278503</v>
      </c>
      <c r="AJ4437">
        <v>89.378882058803995</v>
      </c>
      <c r="AK4437">
        <v>257.869862856</v>
      </c>
      <c r="AL4437">
        <v>93.001936561229698</v>
      </c>
      <c r="AM4437">
        <v>90.945534105898304</v>
      </c>
      <c r="AN4437">
        <v>1.0000000140958101</v>
      </c>
    </row>
    <row r="4438" spans="1:40" x14ac:dyDescent="0.25">
      <c r="A4438" t="str">
        <f>"20190303153857084"</f>
        <v>20190303153857084</v>
      </c>
      <c r="B4438" t="str">
        <f>"1551598737072770"</f>
        <v>1551598737072770</v>
      </c>
      <c r="C4438" t="s">
        <v>40</v>
      </c>
      <c r="D4438">
        <v>4.3056109999999999</v>
      </c>
      <c r="E4438">
        <v>0.51176630000000001</v>
      </c>
      <c r="F4438" t="s">
        <v>67</v>
      </c>
      <c r="G4438">
        <v>-107.39749999999999</v>
      </c>
      <c r="H4438">
        <v>0.2663373</v>
      </c>
      <c r="I4438">
        <v>213.94370000000001</v>
      </c>
      <c r="J4438">
        <v>-364.91699999999997</v>
      </c>
      <c r="K4438">
        <v>1.119375</v>
      </c>
      <c r="L4438">
        <v>215.506</v>
      </c>
      <c r="M4438">
        <v>0.99997130000000001</v>
      </c>
      <c r="N4438">
        <v>-4.5452929999999997E-3</v>
      </c>
      <c r="O4438">
        <v>6.0734040000000001E-3</v>
      </c>
      <c r="P4438">
        <v>0.99812529999999999</v>
      </c>
      <c r="Q4438">
        <v>-5.7476060000000002E-2</v>
      </c>
      <c r="R4438">
        <v>2.1037409999999999E-2</v>
      </c>
      <c r="S4438">
        <v>3.0054630000000002</v>
      </c>
      <c r="T4438">
        <v>-9.9405050000000005E-3</v>
      </c>
      <c r="U4438">
        <v>-1.818848E-2</v>
      </c>
      <c r="V4438">
        <v>-1.5065250000000001E-2</v>
      </c>
      <c r="W4438">
        <v>-5.291262E-2</v>
      </c>
      <c r="X4438">
        <v>0.99848550000000003</v>
      </c>
      <c r="Y4438">
        <v>1.212478E-2</v>
      </c>
      <c r="Z4438" s="1">
        <v>-4.0088980000000001E-5</v>
      </c>
      <c r="AA4438">
        <v>0.99992650000000005</v>
      </c>
      <c r="AB4438">
        <v>35</v>
      </c>
      <c r="AC4438">
        <v>257.51949999999999</v>
      </c>
      <c r="AD4438">
        <v>-0.85303770000000001</v>
      </c>
      <c r="AE4438">
        <v>-1.5622999999999601</v>
      </c>
      <c r="AF4438">
        <v>3.1262728858029698</v>
      </c>
      <c r="AG4438">
        <v>-0.85303770000000001</v>
      </c>
      <c r="AH4438">
        <v>257.502436409251</v>
      </c>
      <c r="AI4438">
        <v>90.189791134551996</v>
      </c>
      <c r="AJ4438">
        <v>89.304420398907695</v>
      </c>
      <c r="AK4438">
        <v>257.52282619638697</v>
      </c>
      <c r="AL4438">
        <v>93.033086243581295</v>
      </c>
      <c r="AM4438">
        <v>90.864418912856493</v>
      </c>
      <c r="AN4438">
        <v>1.0000000004115299</v>
      </c>
    </row>
    <row r="4439" spans="1:40" x14ac:dyDescent="0.25">
      <c r="A4439" t="str">
        <f>"20190303153857106"</f>
        <v>20190303153857106</v>
      </c>
      <c r="B4439" t="str">
        <f>"1551598737103022"</f>
        <v>1551598737103022</v>
      </c>
      <c r="C4439" t="s">
        <v>40</v>
      </c>
      <c r="D4439">
        <v>4.3117739999999998</v>
      </c>
      <c r="E4439">
        <v>0.51192119999999997</v>
      </c>
      <c r="F4439" t="s">
        <v>43</v>
      </c>
      <c r="G4439">
        <v>-116.1472</v>
      </c>
      <c r="H4439">
        <v>-0.05</v>
      </c>
      <c r="I4439">
        <v>213.3689</v>
      </c>
      <c r="J4439">
        <v>-364.5625</v>
      </c>
      <c r="K4439">
        <v>1.1194809999999999</v>
      </c>
      <c r="L4439">
        <v>215.50729999999999</v>
      </c>
      <c r="M4439">
        <v>0.99997159999999996</v>
      </c>
      <c r="N4439">
        <v>-5.4091180000000001E-3</v>
      </c>
      <c r="O4439">
        <v>5.2485700000000001E-3</v>
      </c>
      <c r="P4439">
        <v>0.99812100000000004</v>
      </c>
      <c r="Q4439">
        <v>-5.8233300000000002E-2</v>
      </c>
      <c r="R4439">
        <v>1.9069880000000001E-2</v>
      </c>
      <c r="S4439">
        <v>3.0053709999999998</v>
      </c>
      <c r="T4439">
        <v>-1.412714E-2</v>
      </c>
      <c r="U4439">
        <v>-2.581787E-2</v>
      </c>
      <c r="V4439">
        <v>-1.3925969999999999E-2</v>
      </c>
      <c r="W4439">
        <v>-5.2808040000000001E-2</v>
      </c>
      <c r="X4439">
        <v>0.99850760000000005</v>
      </c>
      <c r="Y4439">
        <v>1.383827E-2</v>
      </c>
      <c r="Z4439" s="1">
        <v>-6.6232579999999999E-5</v>
      </c>
      <c r="AA4439">
        <v>0.99990420000000002</v>
      </c>
      <c r="AB4439">
        <v>35</v>
      </c>
      <c r="AC4439">
        <v>248.4153</v>
      </c>
      <c r="AD4439">
        <v>-1.169481</v>
      </c>
      <c r="AE4439">
        <v>-2.1383999999999901</v>
      </c>
      <c r="AF4439">
        <v>3.44213842359932</v>
      </c>
      <c r="AG4439">
        <v>-1.169481</v>
      </c>
      <c r="AH4439">
        <v>248.39514977356299</v>
      </c>
      <c r="AI4439">
        <v>90.269729090616195</v>
      </c>
      <c r="AJ4439">
        <v>89.206073944220606</v>
      </c>
      <c r="AK4439">
        <v>248.421751128534</v>
      </c>
      <c r="AL4439">
        <v>93.027085788952704</v>
      </c>
      <c r="AM4439">
        <v>90.799040066184304</v>
      </c>
      <c r="AN4439">
        <v>1.00000002449342</v>
      </c>
    </row>
    <row r="4440" spans="1:40" x14ac:dyDescent="0.25">
      <c r="A4440" t="str">
        <f>"20190303153857129"</f>
        <v>20190303153857129</v>
      </c>
      <c r="B4440" t="str">
        <f>"1551598737122544"</f>
        <v>1551598737122544</v>
      </c>
      <c r="C4440" t="s">
        <v>40</v>
      </c>
      <c r="D4440">
        <v>4.3244999999999996</v>
      </c>
      <c r="E4440">
        <v>0.51202289999999995</v>
      </c>
      <c r="F4440" t="s">
        <v>51</v>
      </c>
      <c r="G4440">
        <v>-178.99719999999999</v>
      </c>
      <c r="H4440">
        <v>7.9981860000000002E-2</v>
      </c>
      <c r="I4440">
        <v>213.477</v>
      </c>
      <c r="J4440">
        <v>-364.20839999999998</v>
      </c>
      <c r="K4440">
        <v>1.119599</v>
      </c>
      <c r="L4440">
        <v>215.50839999999999</v>
      </c>
      <c r="M4440">
        <v>0.99997029999999998</v>
      </c>
      <c r="N4440">
        <v>-6.3392860000000004E-3</v>
      </c>
      <c r="O4440">
        <v>4.4174949999999996E-3</v>
      </c>
      <c r="P4440">
        <v>0.99812310000000004</v>
      </c>
      <c r="Q4440">
        <v>-5.8707919999999997E-2</v>
      </c>
      <c r="R4440">
        <v>1.7436210000000001E-2</v>
      </c>
      <c r="S4440">
        <v>3.00528</v>
      </c>
      <c r="T4440">
        <v>-1.6834970000000001E-2</v>
      </c>
      <c r="U4440">
        <v>-3.2882689999999999E-2</v>
      </c>
      <c r="V4440">
        <v>-1.3124490000000001E-2</v>
      </c>
      <c r="W4440">
        <v>-5.2354579999999998E-2</v>
      </c>
      <c r="X4440">
        <v>0.99854229999999999</v>
      </c>
      <c r="Y4440">
        <v>1.535769E-2</v>
      </c>
      <c r="Z4440" s="1">
        <v>-8.8436799999999993E-5</v>
      </c>
      <c r="AA4440">
        <v>0.99988200000000005</v>
      </c>
      <c r="AB4440">
        <v>35</v>
      </c>
      <c r="AC4440">
        <v>185.21119999999999</v>
      </c>
      <c r="AD4440">
        <v>-1.0396171400000001</v>
      </c>
      <c r="AE4440">
        <v>-2.0313999999999899</v>
      </c>
      <c r="AF4440">
        <v>2.8494762764466501</v>
      </c>
      <c r="AG4440">
        <v>-1.0396171400000001</v>
      </c>
      <c r="AH4440">
        <v>185.19458461547299</v>
      </c>
      <c r="AI4440">
        <v>90.321596873487493</v>
      </c>
      <c r="AJ4440">
        <v>89.118494296411498</v>
      </c>
      <c r="AK4440">
        <v>185.21942254997299</v>
      </c>
      <c r="AL4440">
        <v>93.001068558858094</v>
      </c>
      <c r="AM4440">
        <v>90.753032282129794</v>
      </c>
      <c r="AN4440">
        <v>0.99999998958701297</v>
      </c>
    </row>
    <row r="4441" spans="1:40" x14ac:dyDescent="0.25">
      <c r="A4441" t="str">
        <f>"20190303153857151"</f>
        <v>20190303153857151</v>
      </c>
      <c r="B4441" t="str">
        <f>"1551598737143039"</f>
        <v>1551598737143039</v>
      </c>
      <c r="C4441" t="s">
        <v>40</v>
      </c>
      <c r="D4441">
        <v>4.2917809999999896</v>
      </c>
      <c r="E4441">
        <v>0.5121154</v>
      </c>
      <c r="F4441" t="s">
        <v>51</v>
      </c>
      <c r="G4441">
        <v>-181.08449999999999</v>
      </c>
      <c r="H4441" s="1">
        <v>2.5244899999999999E-6</v>
      </c>
      <c r="I4441">
        <v>213.17089999999999</v>
      </c>
      <c r="J4441">
        <v>-363.84589999999997</v>
      </c>
      <c r="K4441">
        <v>1.1197170000000001</v>
      </c>
      <c r="L4441">
        <v>215.50919999999999</v>
      </c>
      <c r="M4441">
        <v>0.99996719999999895</v>
      </c>
      <c r="N4441">
        <v>-7.2858009999999997E-3</v>
      </c>
      <c r="O4441">
        <v>3.5609119999999998E-3</v>
      </c>
      <c r="P4441">
        <v>0.99807659999999998</v>
      </c>
      <c r="Q4441">
        <v>-5.9683670000000001E-2</v>
      </c>
      <c r="R4441">
        <v>1.6765559999999999E-2</v>
      </c>
      <c r="S4441">
        <v>3.0052490000000001</v>
      </c>
      <c r="T4441">
        <v>-1.8373730000000001E-2</v>
      </c>
      <c r="U4441">
        <v>-3.8360600000000002E-2</v>
      </c>
      <c r="V4441">
        <v>-1.331064E-2</v>
      </c>
      <c r="W4441">
        <v>-5.2384859999999998E-2</v>
      </c>
      <c r="X4441">
        <v>0.99853829999999999</v>
      </c>
      <c r="Y4441">
        <v>1.6323460000000001E-2</v>
      </c>
      <c r="Z4441">
        <v>-1.051931E-4</v>
      </c>
      <c r="AA4441">
        <v>0.99986679999999994</v>
      </c>
      <c r="AB4441">
        <v>35</v>
      </c>
      <c r="AC4441">
        <v>182.76140000000001</v>
      </c>
      <c r="AD4441">
        <v>-1.1197144755099999</v>
      </c>
      <c r="AE4441">
        <v>-2.3382999999999998</v>
      </c>
      <c r="AF4441">
        <v>2.9889874813686199</v>
      </c>
      <c r="AG4441">
        <v>-1.1197144755099999</v>
      </c>
      <c r="AH4441">
        <v>182.74505615973601</v>
      </c>
      <c r="AI4441">
        <v>90.351011036336899</v>
      </c>
      <c r="AJ4441">
        <v>89.062950855006903</v>
      </c>
      <c r="AK4441">
        <v>182.77292840433401</v>
      </c>
      <c r="AL4441">
        <v>93.002805702644395</v>
      </c>
      <c r="AM4441">
        <v>90.7637146491968</v>
      </c>
      <c r="AN4441">
        <v>1.00000004163065</v>
      </c>
    </row>
    <row r="4442" spans="1:40" x14ac:dyDescent="0.25">
      <c r="A4442" t="str">
        <f>"20190303153857173"</f>
        <v>20190303153857173</v>
      </c>
      <c r="B4442" t="str">
        <f>"1551598737162562"</f>
        <v>1551598737162562</v>
      </c>
      <c r="C4442" t="s">
        <v>40</v>
      </c>
      <c r="D4442">
        <v>4.3172889999999997</v>
      </c>
      <c r="E4442">
        <v>0.51220759999999999</v>
      </c>
      <c r="F4442" t="s">
        <v>51</v>
      </c>
      <c r="G4442">
        <v>-207.45910000000001</v>
      </c>
      <c r="H4442" s="1">
        <v>5.6341799999999996E-6</v>
      </c>
      <c r="I4442">
        <v>213.36519999999999</v>
      </c>
      <c r="J4442">
        <v>-363.50069999999999</v>
      </c>
      <c r="K4442">
        <v>1.119804</v>
      </c>
      <c r="L4442">
        <v>215.50960000000001</v>
      </c>
      <c r="M4442">
        <v>0.9999633</v>
      </c>
      <c r="N4442">
        <v>-8.1307519999999998E-3</v>
      </c>
      <c r="O4442">
        <v>2.7496949999999999E-3</v>
      </c>
      <c r="P4442">
        <v>0.99804930000000003</v>
      </c>
      <c r="Q4442">
        <v>-6.027333E-2</v>
      </c>
      <c r="R4442">
        <v>1.628868E-2</v>
      </c>
      <c r="S4442">
        <v>3.005188</v>
      </c>
      <c r="T4442">
        <v>-2.1516799999999999E-2</v>
      </c>
      <c r="U4442">
        <v>-4.1198730000000003E-2</v>
      </c>
      <c r="V4442">
        <v>-1.364364E-2</v>
      </c>
      <c r="W4442">
        <v>-5.2130269999999999E-2</v>
      </c>
      <c r="X4442">
        <v>0.99854710000000002</v>
      </c>
      <c r="Y4442">
        <v>1.6456490000000001E-2</v>
      </c>
      <c r="Z4442">
        <v>-1.2314769999999999E-4</v>
      </c>
      <c r="AA4442">
        <v>0.99986459999999999</v>
      </c>
      <c r="AB4442">
        <v>35</v>
      </c>
      <c r="AC4442">
        <v>156.04159999999999</v>
      </c>
      <c r="AD4442">
        <v>-1.1197983658199999</v>
      </c>
      <c r="AE4442">
        <v>-2.1444000000000099</v>
      </c>
      <c r="AF4442">
        <v>2.5733403257078602</v>
      </c>
      <c r="AG4442">
        <v>-1.1197983658199999</v>
      </c>
      <c r="AH4442">
        <v>156.02707969583099</v>
      </c>
      <c r="AI4442">
        <v>90.4111459038199</v>
      </c>
      <c r="AJ4442">
        <v>89.055111628300594</v>
      </c>
      <c r="AK4442">
        <v>156.05231695563199</v>
      </c>
      <c r="AL4442">
        <v>92.988198899741406</v>
      </c>
      <c r="AM4442">
        <v>90.782811694872194</v>
      </c>
      <c r="AN4442">
        <v>1.0000000124405599</v>
      </c>
    </row>
    <row r="4443" spans="1:40" x14ac:dyDescent="0.25">
      <c r="A4443" t="str">
        <f>"20190303153857195"</f>
        <v>20190303153857195</v>
      </c>
      <c r="B4443" t="str">
        <f>"1551598737183054"</f>
        <v>1551598737183054</v>
      </c>
      <c r="C4443" t="s">
        <v>40</v>
      </c>
      <c r="D4443">
        <v>4.3000949999999998</v>
      </c>
      <c r="E4443">
        <v>0.5123008</v>
      </c>
      <c r="F4443" t="s">
        <v>55</v>
      </c>
      <c r="G4443">
        <v>-220.6704</v>
      </c>
      <c r="H4443" s="1">
        <v>-1.129087E-6</v>
      </c>
      <c r="I4443">
        <v>213.45070000000001</v>
      </c>
      <c r="J4443">
        <v>-363.15780000000001</v>
      </c>
      <c r="K4443">
        <v>1.119872</v>
      </c>
      <c r="L4443">
        <v>215.50980000000001</v>
      </c>
      <c r="M4443">
        <v>0.99995849999999997</v>
      </c>
      <c r="N4443">
        <v>-8.9003740000000008E-3</v>
      </c>
      <c r="O4443">
        <v>1.9582879999999999E-3</v>
      </c>
      <c r="P4443">
        <v>0.9980059</v>
      </c>
      <c r="Q4443">
        <v>-6.1051670000000002E-2</v>
      </c>
      <c r="R4443">
        <v>1.6032499999999901E-2</v>
      </c>
      <c r="S4443">
        <v>3.0051570000000001</v>
      </c>
      <c r="T4443">
        <v>-2.356076E-2</v>
      </c>
      <c r="U4443">
        <v>-4.3319700000000003E-2</v>
      </c>
      <c r="V4443">
        <v>-1.417739E-2</v>
      </c>
      <c r="W4443">
        <v>-5.2139449999999997E-2</v>
      </c>
      <c r="X4443">
        <v>0.99853910000000001</v>
      </c>
      <c r="Y4443">
        <v>1.637069E-2</v>
      </c>
      <c r="Z4443">
        <v>-1.3495320000000001E-4</v>
      </c>
      <c r="AA4443">
        <v>0.99986600000000003</v>
      </c>
      <c r="AB4443">
        <v>35</v>
      </c>
      <c r="AC4443">
        <v>142.48740000000001</v>
      </c>
      <c r="AD4443">
        <v>-1.1198731290870001</v>
      </c>
      <c r="AE4443">
        <v>-2.0590999999999999</v>
      </c>
      <c r="AF4443">
        <v>2.33799407212262</v>
      </c>
      <c r="AG4443">
        <v>-1.1198731290870001</v>
      </c>
      <c r="AH4443">
        <v>142.47429535173899</v>
      </c>
      <c r="AI4443">
        <v>90.450285052611093</v>
      </c>
      <c r="AJ4443">
        <v>89.059864306011093</v>
      </c>
      <c r="AK4443">
        <v>142.49787776693699</v>
      </c>
      <c r="AL4443">
        <v>92.988725845563593</v>
      </c>
      <c r="AM4443">
        <v>90.813438386914001</v>
      </c>
      <c r="AN4443">
        <v>0.99999992743115895</v>
      </c>
    </row>
    <row r="4444" spans="1:40" x14ac:dyDescent="0.25">
      <c r="A4444" t="str">
        <f>"20190303153857217"</f>
        <v>20190303153857217</v>
      </c>
      <c r="B4444" t="str">
        <f>"1551598737213310"</f>
        <v>1551598737213310</v>
      </c>
      <c r="C4444" t="s">
        <v>40</v>
      </c>
      <c r="D4444">
        <v>4.2871860000000002</v>
      </c>
      <c r="E4444">
        <v>0.51243539999999999</v>
      </c>
      <c r="F4444" t="s">
        <v>55</v>
      </c>
      <c r="G4444">
        <v>-234.50989999999999</v>
      </c>
      <c r="H4444" s="1">
        <v>9.0881169999999997E-7</v>
      </c>
      <c r="I4444">
        <v>213.57230000000001</v>
      </c>
      <c r="J4444">
        <v>-362.80700000000002</v>
      </c>
      <c r="K4444">
        <v>1.1199269999999999</v>
      </c>
      <c r="L4444">
        <v>215.50960000000001</v>
      </c>
      <c r="M4444">
        <v>0.99995330000000004</v>
      </c>
      <c r="N4444">
        <v>-9.6144249999999994E-3</v>
      </c>
      <c r="O4444">
        <v>1.1717469999999999E-3</v>
      </c>
      <c r="P4444">
        <v>0.99798299999999995</v>
      </c>
      <c r="Q4444">
        <v>-6.1540579999999998E-2</v>
      </c>
      <c r="R4444">
        <v>1.5587989999999999E-2</v>
      </c>
      <c r="S4444">
        <v>3.005096</v>
      </c>
      <c r="T4444">
        <v>-2.6159169999999999E-2</v>
      </c>
      <c r="U4444">
        <v>-4.5257569999999997E-2</v>
      </c>
      <c r="V4444">
        <v>-1.451705E-2</v>
      </c>
      <c r="W4444">
        <v>-5.1915070000000001E-2</v>
      </c>
      <c r="X4444">
        <v>0.99854600000000004</v>
      </c>
      <c r="Y4444">
        <v>1.6228929999999999E-2</v>
      </c>
      <c r="Z4444">
        <v>-1.4758969999999999E-4</v>
      </c>
      <c r="AA4444">
        <v>0.99986830000000004</v>
      </c>
      <c r="AB4444">
        <v>35</v>
      </c>
      <c r="AC4444">
        <v>128.29709999999901</v>
      </c>
      <c r="AD4444">
        <v>-1.1199260911883</v>
      </c>
      <c r="AE4444">
        <v>-1.93729999999999</v>
      </c>
      <c r="AF4444">
        <v>2.0874783036155198</v>
      </c>
      <c r="AG4444">
        <v>-1.1199260911883</v>
      </c>
      <c r="AH4444">
        <v>128.284968923679</v>
      </c>
      <c r="AI4444">
        <v>90.500112491815699</v>
      </c>
      <c r="AJ4444">
        <v>89.067754056419702</v>
      </c>
      <c r="AK4444">
        <v>128.306839458647</v>
      </c>
      <c r="AL4444">
        <v>92.975852116797</v>
      </c>
      <c r="AM4444">
        <v>90.832918166056103</v>
      </c>
      <c r="AN4444">
        <v>1.0000000166748999</v>
      </c>
    </row>
    <row r="4445" spans="1:40" x14ac:dyDescent="0.25">
      <c r="A4445" t="str">
        <f>"20190303153857240"</f>
        <v>20190303153857240</v>
      </c>
      <c r="B4445" t="str">
        <f>"1551598737232831"</f>
        <v>1551598737232831</v>
      </c>
      <c r="C4445" t="s">
        <v>40</v>
      </c>
      <c r="D4445">
        <v>4.3304720000000003</v>
      </c>
      <c r="E4445">
        <v>0.51253439999999995</v>
      </c>
      <c r="F4445" t="s">
        <v>55</v>
      </c>
      <c r="G4445">
        <v>-242.01400000000001</v>
      </c>
      <c r="H4445" s="1">
        <v>-4.2070979999999998E-7</v>
      </c>
      <c r="I4445">
        <v>213.6027</v>
      </c>
      <c r="J4445">
        <v>-362.44670000000002</v>
      </c>
      <c r="K4445">
        <v>1.1199699999999999</v>
      </c>
      <c r="L4445">
        <v>215.50919999999999</v>
      </c>
      <c r="M4445">
        <v>0.99994720000000004</v>
      </c>
      <c r="N4445">
        <v>-1.0272659999999999E-2</v>
      </c>
      <c r="O4445">
        <v>3.921641E-4</v>
      </c>
      <c r="P4445">
        <v>0.99794899999999997</v>
      </c>
      <c r="Q4445">
        <v>-6.2184419999999997E-2</v>
      </c>
      <c r="R4445">
        <v>1.520358E-2</v>
      </c>
      <c r="S4445">
        <v>3.0050659999999998</v>
      </c>
      <c r="T4445">
        <v>-2.7861360000000002E-2</v>
      </c>
      <c r="U4445">
        <v>-4.7439580000000002E-2</v>
      </c>
      <c r="V4445">
        <v>-1.49094E-2</v>
      </c>
      <c r="W4445">
        <v>-5.1901709999999997E-2</v>
      </c>
      <c r="X4445">
        <v>0.99854089999999995</v>
      </c>
      <c r="Y4445">
        <v>1.617524E-2</v>
      </c>
      <c r="Z4445">
        <v>-1.5767750000000001E-4</v>
      </c>
      <c r="AA4445">
        <v>0.99986920000000001</v>
      </c>
      <c r="AB4445">
        <v>35</v>
      </c>
      <c r="AC4445">
        <v>120.4327</v>
      </c>
      <c r="AD4445">
        <v>-1.1199704207098</v>
      </c>
      <c r="AE4445">
        <v>-1.9064999999999901</v>
      </c>
      <c r="AF4445">
        <v>1.95356281987652</v>
      </c>
      <c r="AG4445">
        <v>-1.1199704207098</v>
      </c>
      <c r="AH4445">
        <v>120.421531387347</v>
      </c>
      <c r="AI4445">
        <v>90.532789160829793</v>
      </c>
      <c r="AJ4445">
        <v>89.070589074285905</v>
      </c>
      <c r="AK4445">
        <v>120.44258367831701</v>
      </c>
      <c r="AL4445">
        <v>92.975085651537498</v>
      </c>
      <c r="AM4445">
        <v>90.855430380094504</v>
      </c>
      <c r="AN4445">
        <v>1.0000000033410399</v>
      </c>
    </row>
    <row r="4446" spans="1:40" x14ac:dyDescent="0.25">
      <c r="A4446" t="str">
        <f>"20190303153857262"</f>
        <v>20190303153857262</v>
      </c>
      <c r="B4446" t="str">
        <f>"1551598737253326"</f>
        <v>1551598737253326</v>
      </c>
      <c r="C4446" t="s">
        <v>40</v>
      </c>
      <c r="D4446">
        <v>4.3097799999999999</v>
      </c>
      <c r="E4446">
        <v>0.51263110000000001</v>
      </c>
      <c r="F4446" t="s">
        <v>55</v>
      </c>
      <c r="G4446">
        <v>-250.59909999999999</v>
      </c>
      <c r="H4446" s="1">
        <v>-1.1768840000000001E-6</v>
      </c>
      <c r="I4446">
        <v>213.67599999999999</v>
      </c>
      <c r="J4446">
        <v>-362.09440000000001</v>
      </c>
      <c r="K4446">
        <v>1.120009</v>
      </c>
      <c r="L4446">
        <v>215.5086</v>
      </c>
      <c r="M4446">
        <v>0.99994119999999997</v>
      </c>
      <c r="N4446">
        <v>-1.0844919999999999E-2</v>
      </c>
      <c r="O4446">
        <v>-3.3976889999999999E-4</v>
      </c>
      <c r="P4446">
        <v>0.99789419999999995</v>
      </c>
      <c r="Q4446">
        <v>-6.3085359999999993E-2</v>
      </c>
      <c r="R4446">
        <v>1.508407E-2</v>
      </c>
      <c r="S4446">
        <v>3.0050659999999998</v>
      </c>
      <c r="T4446">
        <v>-3.0090809999999999E-2</v>
      </c>
      <c r="U4446">
        <v>-4.925537E-2</v>
      </c>
      <c r="V4446">
        <v>-1.551811E-2</v>
      </c>
      <c r="W4446">
        <v>-5.2231510000000002E-2</v>
      </c>
      <c r="X4446">
        <v>0.99851440000000002</v>
      </c>
      <c r="Y4446">
        <v>1.6047160000000001E-2</v>
      </c>
      <c r="Z4446">
        <v>-1.6764629999999999E-4</v>
      </c>
      <c r="AA4446">
        <v>0.99987119999999996</v>
      </c>
      <c r="AB4446">
        <v>35</v>
      </c>
      <c r="AC4446">
        <v>111.4953</v>
      </c>
      <c r="AD4446">
        <v>-1.1200101768840001</v>
      </c>
      <c r="AE4446">
        <v>-1.83260000000001</v>
      </c>
      <c r="AF4446">
        <v>1.79453399722454</v>
      </c>
      <c r="AG4446">
        <v>-1.1200101768840001</v>
      </c>
      <c r="AH4446">
        <v>111.484669468878</v>
      </c>
      <c r="AI4446">
        <v>90.575517571544907</v>
      </c>
      <c r="AJ4446">
        <v>89.077807326924301</v>
      </c>
      <c r="AK4446">
        <v>111.504736678082</v>
      </c>
      <c r="AL4446">
        <v>92.994007550779997</v>
      </c>
      <c r="AM4446">
        <v>90.890373375193803</v>
      </c>
      <c r="AN4446">
        <v>0.99999997469110502</v>
      </c>
    </row>
    <row r="4447" spans="1:40" x14ac:dyDescent="0.25">
      <c r="A4447" t="str">
        <f>"20190303153857284"</f>
        <v>20190303153857284</v>
      </c>
      <c r="B4447" t="str">
        <f>"1551598737272846"</f>
        <v>1551598737272846</v>
      </c>
      <c r="C4447" t="s">
        <v>40</v>
      </c>
      <c r="D4447">
        <v>4.375229</v>
      </c>
      <c r="E4447">
        <v>0.5127237</v>
      </c>
      <c r="F4447" t="s">
        <v>55</v>
      </c>
      <c r="G4447">
        <v>-260.23480000000001</v>
      </c>
      <c r="H4447" s="1">
        <v>-1.37585199999999E-6</v>
      </c>
      <c r="I4447">
        <v>213.79349999999999</v>
      </c>
      <c r="J4447">
        <v>-361.74639999999999</v>
      </c>
      <c r="K4447">
        <v>1.1200490000000001</v>
      </c>
      <c r="L4447">
        <v>215.5078</v>
      </c>
      <c r="M4447">
        <v>0.99993520000000002</v>
      </c>
      <c r="N4447">
        <v>-1.134494E-2</v>
      </c>
      <c r="O4447">
        <v>-1.030097E-3</v>
      </c>
      <c r="P4447">
        <v>0.99786470000000005</v>
      </c>
      <c r="Q4447">
        <v>-6.3589179999999995E-2</v>
      </c>
      <c r="R4447">
        <v>1.4908350000000001E-2</v>
      </c>
      <c r="S4447">
        <v>3.0049440000000001</v>
      </c>
      <c r="T4447">
        <v>-3.3041239999999999E-2</v>
      </c>
      <c r="U4447">
        <v>-5.059814E-2</v>
      </c>
      <c r="V4447">
        <v>-1.6027090000000001E-2</v>
      </c>
      <c r="W4447">
        <v>-5.2236669999999999E-2</v>
      </c>
      <c r="X4447">
        <v>0.99850609999999995</v>
      </c>
      <c r="Y4447">
        <v>1.5803950000000001E-2</v>
      </c>
      <c r="Z4447">
        <v>-1.76900999999999E-4</v>
      </c>
      <c r="AA4447">
        <v>0.99987510000000002</v>
      </c>
      <c r="AB4447">
        <v>35</v>
      </c>
      <c r="AC4447">
        <v>101.5116</v>
      </c>
      <c r="AD4447">
        <v>-1.120050375852</v>
      </c>
      <c r="AE4447">
        <v>-1.7142999999999999</v>
      </c>
      <c r="AF4447">
        <v>1.6095296818581599</v>
      </c>
      <c r="AG4447">
        <v>-1.120050375852</v>
      </c>
      <c r="AH4447">
        <v>101.50095864347</v>
      </c>
      <c r="AI4447">
        <v>90.632146629200903</v>
      </c>
      <c r="AJ4447">
        <v>89.091520606786801</v>
      </c>
      <c r="AK4447">
        <v>101.519898070205</v>
      </c>
      <c r="AL4447">
        <v>92.994303571694402</v>
      </c>
      <c r="AM4447">
        <v>90.919579525612804</v>
      </c>
      <c r="AN4447">
        <v>0.99999998452188299</v>
      </c>
    </row>
    <row r="4448" spans="1:40" x14ac:dyDescent="0.25">
      <c r="A4448" t="str">
        <f>"20190303153857307"</f>
        <v>20190303153857307</v>
      </c>
      <c r="B4448" t="str">
        <f>"1551598737303102"</f>
        <v>1551598737303102</v>
      </c>
      <c r="C4448" t="s">
        <v>40</v>
      </c>
      <c r="D4448">
        <v>4.3548019999999896</v>
      </c>
      <c r="E4448">
        <v>0.51281790000000005</v>
      </c>
      <c r="F4448" t="s">
        <v>55</v>
      </c>
      <c r="G4448">
        <v>-264.92309999999998</v>
      </c>
      <c r="H4448" s="1">
        <v>1.116938E-6</v>
      </c>
      <c r="I4448">
        <v>213.84110000000001</v>
      </c>
      <c r="J4448">
        <v>-361.39980000000003</v>
      </c>
      <c r="K4448">
        <v>1.1200920000000001</v>
      </c>
      <c r="L4448">
        <v>215.5067</v>
      </c>
      <c r="M4448">
        <v>0.99992919999999996</v>
      </c>
      <c r="N4448">
        <v>-1.178309E-2</v>
      </c>
      <c r="O4448">
        <v>-1.679828E-3</v>
      </c>
      <c r="P4448">
        <v>0.99782439999999994</v>
      </c>
      <c r="Q4448">
        <v>-6.4209790000000003E-2</v>
      </c>
      <c r="R4448">
        <v>1.4960899999999999E-2</v>
      </c>
      <c r="S4448">
        <v>3.0050349999999999</v>
      </c>
      <c r="T4448">
        <v>-3.4762139999999997E-2</v>
      </c>
      <c r="U4448">
        <v>-5.1727290000000002E-2</v>
      </c>
      <c r="V4448">
        <v>-1.6724449999999998E-2</v>
      </c>
      <c r="W4448">
        <v>-5.242053E-2</v>
      </c>
      <c r="X4448">
        <v>0.99848499999999996</v>
      </c>
      <c r="Y4448">
        <v>1.552917E-2</v>
      </c>
      <c r="Z4448">
        <v>-1.816806E-4</v>
      </c>
      <c r="AA4448">
        <v>0.99987939999999997</v>
      </c>
      <c r="AB4448">
        <v>35</v>
      </c>
      <c r="AC4448">
        <v>96.476699999999994</v>
      </c>
      <c r="AD4448">
        <v>-1.120090883062</v>
      </c>
      <c r="AE4448">
        <v>-1.66559999999998</v>
      </c>
      <c r="AF4448">
        <v>1.5033195674759601</v>
      </c>
      <c r="AG4448">
        <v>-1.120090883062</v>
      </c>
      <c r="AH4448">
        <v>96.466363031068099</v>
      </c>
      <c r="AI4448">
        <v>90.665162487796593</v>
      </c>
      <c r="AJ4448">
        <v>89.107182109441695</v>
      </c>
      <c r="AK4448">
        <v>96.484577885536197</v>
      </c>
      <c r="AL4448">
        <v>93.004852508812803</v>
      </c>
      <c r="AM4448">
        <v>90.959604602153107</v>
      </c>
      <c r="AN4448">
        <v>0.99999995720914003</v>
      </c>
    </row>
    <row r="4449" spans="1:40" x14ac:dyDescent="0.25">
      <c r="A4449" t="str">
        <f>"20190303153857331"</f>
        <v>20190303153857331</v>
      </c>
      <c r="B4449" t="str">
        <f>"1551598737322624"</f>
        <v>1551598737322624</v>
      </c>
      <c r="C4449" t="s">
        <v>40</v>
      </c>
      <c r="D4449">
        <v>4.3897250000000003</v>
      </c>
      <c r="E4449">
        <v>0.53970119999999999</v>
      </c>
      <c r="F4449" t="s">
        <v>55</v>
      </c>
      <c r="G4449">
        <v>-270.0455</v>
      </c>
      <c r="H4449" s="1">
        <v>-1.4819069999999999E-6</v>
      </c>
      <c r="I4449">
        <v>213.91419999999999</v>
      </c>
      <c r="J4449">
        <v>-361.03289999999998</v>
      </c>
      <c r="K4449">
        <v>1.1201399999999999</v>
      </c>
      <c r="L4449">
        <v>215.50540000000001</v>
      </c>
      <c r="M4449">
        <v>0.99992320000000001</v>
      </c>
      <c r="N4449">
        <v>-1.2187969999999999E-2</v>
      </c>
      <c r="O4449">
        <v>-2.3196190000000002E-3</v>
      </c>
      <c r="P4449">
        <v>0.99774600000000002</v>
      </c>
      <c r="Q4449">
        <v>-6.5470070000000005E-2</v>
      </c>
      <c r="R4449">
        <v>1.4723719999999999E-2</v>
      </c>
      <c r="S4449">
        <v>3.0049440000000001</v>
      </c>
      <c r="T4449">
        <v>-3.6843540000000001E-2</v>
      </c>
      <c r="U4449">
        <v>-5.238342E-2</v>
      </c>
      <c r="V4449">
        <v>-1.7121219999999999E-2</v>
      </c>
      <c r="W4449">
        <v>-5.3278600000000002E-2</v>
      </c>
      <c r="X4449">
        <v>0.99843289999999996</v>
      </c>
      <c r="Y4449">
        <v>1.510802E-2</v>
      </c>
      <c r="Z4449">
        <v>-1.845274E-4</v>
      </c>
      <c r="AA4449">
        <v>0.99988589999999999</v>
      </c>
      <c r="AB4449">
        <v>35</v>
      </c>
      <c r="AC4449">
        <v>90.987399999999894</v>
      </c>
      <c r="AD4449">
        <v>-1.1201414819069999</v>
      </c>
      <c r="AE4449">
        <v>-1.5912000000000099</v>
      </c>
      <c r="AF4449">
        <v>1.37991489899899</v>
      </c>
      <c r="AG4449">
        <v>-1.1201414819069999</v>
      </c>
      <c r="AH4449">
        <v>90.977062204689005</v>
      </c>
      <c r="AI4449">
        <v>90.705328957490707</v>
      </c>
      <c r="AJ4449">
        <v>89.131020109635898</v>
      </c>
      <c r="AK4449">
        <v>90.994421419468395</v>
      </c>
      <c r="AL4449">
        <v>93.054084972618995</v>
      </c>
      <c r="AM4449">
        <v>90.982417054758898</v>
      </c>
      <c r="AN4449">
        <v>1.00000000059732</v>
      </c>
    </row>
    <row r="4450" spans="1:40" x14ac:dyDescent="0.25">
      <c r="A4450" t="str">
        <f>"20190303153857351"</f>
        <v>20190303153857351</v>
      </c>
      <c r="B4450" t="str">
        <f>"1551598737343118"</f>
        <v>1551598737343118</v>
      </c>
      <c r="C4450" t="s">
        <v>40</v>
      </c>
      <c r="D4450">
        <v>4.3654060000000001</v>
      </c>
      <c r="E4450">
        <v>0.56526369999999904</v>
      </c>
      <c r="F4450" t="s">
        <v>44</v>
      </c>
      <c r="G4450">
        <v>-360.00720000000001</v>
      </c>
      <c r="H4450">
        <v>1.039458</v>
      </c>
      <c r="I4450">
        <v>215.41120000000001</v>
      </c>
      <c r="J4450">
        <v>-360.68810000000002</v>
      </c>
      <c r="K4450">
        <v>1.1201719999999999</v>
      </c>
      <c r="L4450">
        <v>215.50399999999999</v>
      </c>
      <c r="M4450">
        <v>0.99991750000000001</v>
      </c>
      <c r="N4450">
        <v>-1.2515739999999999E-2</v>
      </c>
      <c r="O4450">
        <v>-2.8684399999999999E-3</v>
      </c>
      <c r="P4450">
        <v>0.99767859999999997</v>
      </c>
      <c r="Q4450">
        <v>-6.657515E-2</v>
      </c>
      <c r="R4450">
        <v>1.4319299999999899E-2</v>
      </c>
      <c r="S4450">
        <v>2.9953609999999999</v>
      </c>
      <c r="T4450">
        <v>-0.23573859999999999</v>
      </c>
      <c r="U4450">
        <v>-0.27384950000000002</v>
      </c>
      <c r="V4450">
        <v>-1.7259509999999999E-2</v>
      </c>
      <c r="W4450">
        <v>-5.4058830000000002E-2</v>
      </c>
      <c r="X4450">
        <v>0.99838859999999996</v>
      </c>
      <c r="Y4450">
        <v>8.7881180000000003E-2</v>
      </c>
      <c r="Z4450">
        <v>-3.8086359999999998E-3</v>
      </c>
      <c r="AA4450">
        <v>0.99612369999999995</v>
      </c>
      <c r="AB4450">
        <v>35</v>
      </c>
      <c r="AC4450">
        <v>0.68090000000000805</v>
      </c>
      <c r="AD4450">
        <v>-8.0713999999999897E-2</v>
      </c>
      <c r="AE4450">
        <v>-9.2800000000011096E-2</v>
      </c>
      <c r="AF4450">
        <v>8.9610126039009294E-2</v>
      </c>
      <c r="AG4450">
        <v>-8.0713999999999897E-2</v>
      </c>
      <c r="AH4450">
        <v>0.67189427997546403</v>
      </c>
      <c r="AI4450">
        <v>96.790502918375907</v>
      </c>
      <c r="AJ4450">
        <v>82.403327185731001</v>
      </c>
      <c r="AK4450">
        <v>0.68263214687595397</v>
      </c>
      <c r="AL4450">
        <v>93.098853313194496</v>
      </c>
      <c r="AM4450">
        <v>90.9903945071961</v>
      </c>
      <c r="AN4450">
        <v>1.00000002219818</v>
      </c>
    </row>
    <row r="4451" spans="1:40" x14ac:dyDescent="0.25">
      <c r="A4451" t="str">
        <f>"20190303153857373"</f>
        <v>20190303153857373</v>
      </c>
      <c r="B4451" t="str">
        <f>"1551598737362642"</f>
        <v>1551598737362642</v>
      </c>
      <c r="C4451" t="s">
        <v>40</v>
      </c>
      <c r="D4451">
        <v>4.4573309999999999</v>
      </c>
      <c r="E4451">
        <v>0.56372800000000001</v>
      </c>
      <c r="F4451" t="s">
        <v>44</v>
      </c>
      <c r="G4451">
        <v>-359.74869999999999</v>
      </c>
      <c r="H4451">
        <v>0.92461230000000005</v>
      </c>
      <c r="I4451">
        <v>215.34829999999999</v>
      </c>
      <c r="J4451">
        <v>-360.36</v>
      </c>
      <c r="K4451">
        <v>1.120193</v>
      </c>
      <c r="L4451">
        <v>215.5026</v>
      </c>
      <c r="M4451">
        <v>0.99991260000000004</v>
      </c>
      <c r="N4451">
        <v>-1.278893E-2</v>
      </c>
      <c r="O4451">
        <v>-3.3540340000000001E-3</v>
      </c>
      <c r="P4451">
        <v>0.9976469</v>
      </c>
      <c r="Q4451">
        <v>-6.7104750000000005E-2</v>
      </c>
      <c r="R4451">
        <v>1.406134E-2</v>
      </c>
      <c r="S4451">
        <v>2.9727480000000002</v>
      </c>
      <c r="T4451">
        <v>-0.61880990000000002</v>
      </c>
      <c r="U4451">
        <v>-0.49134830000000002</v>
      </c>
      <c r="V4451">
        <v>-1.7481590000000002E-2</v>
      </c>
      <c r="W4451">
        <v>-5.431739E-2</v>
      </c>
      <c r="X4451">
        <v>0.99837070000000006</v>
      </c>
      <c r="Y4451">
        <v>0.1563512</v>
      </c>
      <c r="Z4451">
        <v>-1.6368939999999998E-2</v>
      </c>
      <c r="AA4451">
        <v>0.9875659</v>
      </c>
      <c r="AB4451">
        <v>35</v>
      </c>
      <c r="AC4451">
        <v>0.61130000000002804</v>
      </c>
      <c r="AD4451">
        <v>-0.1955807</v>
      </c>
      <c r="AE4451">
        <v>-0.15430000000000599</v>
      </c>
      <c r="AF4451">
        <v>0.13888361042995101</v>
      </c>
      <c r="AG4451">
        <v>-0.1955807</v>
      </c>
      <c r="AH4451">
        <v>0.55810648658309003</v>
      </c>
      <c r="AI4451">
        <v>108.781372028345</v>
      </c>
      <c r="AJ4451">
        <v>76.025902470453104</v>
      </c>
      <c r="AK4451">
        <v>0.60747289472425803</v>
      </c>
      <c r="AL4451">
        <v>93.113689515497001</v>
      </c>
      <c r="AM4451">
        <v>91.003153415738893</v>
      </c>
      <c r="AN4451">
        <v>1.0000000197319101</v>
      </c>
    </row>
    <row r="4452" spans="1:40" x14ac:dyDescent="0.25">
      <c r="A4452" t="str">
        <f>"20190303153857396"</f>
        <v>20190303153857396</v>
      </c>
      <c r="B4452" t="str">
        <f>"1551598737392895"</f>
        <v>1551598737392895</v>
      </c>
      <c r="C4452" t="s">
        <v>40</v>
      </c>
      <c r="D4452">
        <v>4.4725929999999998</v>
      </c>
      <c r="E4452">
        <v>0.56325899999999995</v>
      </c>
      <c r="F4452" t="s">
        <v>44</v>
      </c>
      <c r="G4452">
        <v>-359.44600000000003</v>
      </c>
      <c r="H4452">
        <v>0.90387640000000002</v>
      </c>
      <c r="I4452">
        <v>215.3536</v>
      </c>
      <c r="J4452">
        <v>-360.00220000000002</v>
      </c>
      <c r="K4452">
        <v>1.120247</v>
      </c>
      <c r="L4452">
        <v>215.5009</v>
      </c>
      <c r="M4452">
        <v>0.99990749999999995</v>
      </c>
      <c r="N4452">
        <v>-1.3047339999999999E-2</v>
      </c>
      <c r="O4452">
        <v>-3.8422650000000001E-3</v>
      </c>
      <c r="P4452">
        <v>0.99767300000000003</v>
      </c>
      <c r="Q4452">
        <v>-6.6713289999999995E-2</v>
      </c>
      <c r="R4452">
        <v>1.4069899999999899E-2</v>
      </c>
      <c r="S4452">
        <v>2.9666440000000001</v>
      </c>
      <c r="T4452">
        <v>-0.70213249999999905</v>
      </c>
      <c r="U4452">
        <v>-0.48260500000000001</v>
      </c>
      <c r="V4452">
        <v>-1.797114E-2</v>
      </c>
      <c r="W4452">
        <v>-5.3668760000000003E-2</v>
      </c>
      <c r="X4452">
        <v>0.99839710000000004</v>
      </c>
      <c r="Y4452">
        <v>0.15252170000000001</v>
      </c>
      <c r="Z4452">
        <v>-1.7864939999999999E-2</v>
      </c>
      <c r="AA4452">
        <v>0.98813859999999998</v>
      </c>
      <c r="AB4452">
        <v>35</v>
      </c>
      <c r="AC4452">
        <v>0.55620000000004599</v>
      </c>
      <c r="AD4452">
        <v>-0.216370599999999</v>
      </c>
      <c r="AE4452">
        <v>-0.14730000000000101</v>
      </c>
      <c r="AF4452">
        <v>0.12717693955266601</v>
      </c>
      <c r="AG4452">
        <v>-0.216370599999999</v>
      </c>
      <c r="AH4452">
        <v>0.48778220150018498</v>
      </c>
      <c r="AI4452">
        <v>113.23051805354299</v>
      </c>
      <c r="AJ4452">
        <v>75.386889738670206</v>
      </c>
      <c r="AK4452">
        <v>0.54856329315650498</v>
      </c>
      <c r="AL4452">
        <v>93.076471422172204</v>
      </c>
      <c r="AM4452">
        <v>91.0312122224083</v>
      </c>
      <c r="AN4452">
        <v>1.0000000334806201</v>
      </c>
    </row>
    <row r="4453" spans="1:40" x14ac:dyDescent="0.25">
      <c r="A4453" t="str">
        <f>"20190303153857418"</f>
        <v>20190303153857418</v>
      </c>
      <c r="B4453" t="str">
        <f>"1551598737413391"</f>
        <v>1551598737413391</v>
      </c>
      <c r="C4453" t="s">
        <v>40</v>
      </c>
      <c r="D4453">
        <v>4.3716439999999999</v>
      </c>
      <c r="E4453">
        <v>0.56334600000000001</v>
      </c>
      <c r="F4453" t="s">
        <v>44</v>
      </c>
      <c r="G4453">
        <v>-359.13220000000001</v>
      </c>
      <c r="H4453">
        <v>0.91000630000000005</v>
      </c>
      <c r="I4453">
        <v>215.36019999999999</v>
      </c>
      <c r="J4453">
        <v>-359.66019999999997</v>
      </c>
      <c r="K4453">
        <v>1.1203069999999999</v>
      </c>
      <c r="L4453">
        <v>215.4991</v>
      </c>
      <c r="M4453">
        <v>0.99990299999999999</v>
      </c>
      <c r="N4453">
        <v>-1.326135E-2</v>
      </c>
      <c r="O4453">
        <v>-4.2700419999999999E-3</v>
      </c>
      <c r="P4453">
        <v>0.99771330000000003</v>
      </c>
      <c r="Q4453">
        <v>-6.6059569999999998E-2</v>
      </c>
      <c r="R4453">
        <v>1.4299559999999999E-2</v>
      </c>
      <c r="S4453">
        <v>2.9658509999999998</v>
      </c>
      <c r="T4453">
        <v>-0.7167057</v>
      </c>
      <c r="U4453">
        <v>-0.47961429999999999</v>
      </c>
      <c r="V4453">
        <v>-1.862231E-2</v>
      </c>
      <c r="W4453">
        <v>-5.2801750000000001E-2</v>
      </c>
      <c r="X4453">
        <v>0.99843139999999997</v>
      </c>
      <c r="Y4453">
        <v>0.1510465</v>
      </c>
      <c r="Z4453">
        <v>-1.7947520000000002E-2</v>
      </c>
      <c r="AA4453">
        <v>0.98836369999999896</v>
      </c>
      <c r="AB4453">
        <v>35</v>
      </c>
      <c r="AC4453">
        <v>0.52799999999996305</v>
      </c>
      <c r="AD4453">
        <v>-0.21030069999999901</v>
      </c>
      <c r="AE4453">
        <v>-0.13890000000000599</v>
      </c>
      <c r="AF4453">
        <v>0.118989251001886</v>
      </c>
      <c r="AG4453">
        <v>-0.21030069999999901</v>
      </c>
      <c r="AH4453">
        <v>0.46029355851228898</v>
      </c>
      <c r="AI4453">
        <v>113.861860303405</v>
      </c>
      <c r="AJ4453">
        <v>75.505922160045799</v>
      </c>
      <c r="AK4453">
        <v>0.51986054503336399</v>
      </c>
      <c r="AL4453">
        <v>93.026724854483604</v>
      </c>
      <c r="AM4453">
        <v>91.068532165848296</v>
      </c>
      <c r="AN4453">
        <v>1.0000000378693701</v>
      </c>
    </row>
    <row r="4454" spans="1:40" x14ac:dyDescent="0.25">
      <c r="A4454" t="str">
        <f>"20190303153857431"</f>
        <v>20190303153857431</v>
      </c>
      <c r="B4454" t="str">
        <f>"1551598737423150"</f>
        <v>1551598737423150</v>
      </c>
      <c r="C4454" t="s">
        <v>40</v>
      </c>
      <c r="D4454">
        <v>4.5266440000000001</v>
      </c>
      <c r="E4454">
        <v>0.56259519999999996</v>
      </c>
      <c r="F4454" t="s">
        <v>44</v>
      </c>
      <c r="G4454">
        <v>-358.81779999999998</v>
      </c>
      <c r="H4454">
        <v>0.91816019999999998</v>
      </c>
      <c r="I4454">
        <v>215.36269999999999</v>
      </c>
      <c r="J4454">
        <v>-359.44979999999998</v>
      </c>
      <c r="K4454">
        <v>1.1203379999999901</v>
      </c>
      <c r="L4454">
        <v>215.49789999999999</v>
      </c>
      <c r="M4454">
        <v>0.99990029999999996</v>
      </c>
      <c r="N4454">
        <v>-1.338024E-2</v>
      </c>
      <c r="O4454">
        <v>-4.5171480000000003E-3</v>
      </c>
      <c r="P4454">
        <v>0.9977201</v>
      </c>
      <c r="Q4454">
        <v>-6.5935460000000001E-2</v>
      </c>
      <c r="R4454">
        <v>1.4387459999999999E-2</v>
      </c>
      <c r="S4454">
        <v>2.9666440000000001</v>
      </c>
      <c r="T4454">
        <v>-0.71194219999999997</v>
      </c>
      <c r="U4454">
        <v>-0.47924800000000001</v>
      </c>
      <c r="V4454">
        <v>-1.895343E-2</v>
      </c>
      <c r="W4454">
        <v>-5.2559540000000002E-2</v>
      </c>
      <c r="X4454">
        <v>0.99843789999999999</v>
      </c>
      <c r="Y4454">
        <v>0.15071309999999999</v>
      </c>
      <c r="Z4454">
        <v>-1.7747450000000001E-2</v>
      </c>
      <c r="AA4454">
        <v>0.98841820000000002</v>
      </c>
      <c r="AB4454">
        <v>35</v>
      </c>
      <c r="AC4454">
        <v>0.632000000000005</v>
      </c>
      <c r="AD4454">
        <v>-0.20217779999999999</v>
      </c>
      <c r="AE4454">
        <v>-0.13519999999999699</v>
      </c>
      <c r="AF4454">
        <v>0.12054696226412499</v>
      </c>
      <c r="AG4454">
        <v>-0.20217779999999999</v>
      </c>
      <c r="AH4454">
        <v>0.57621654123347998</v>
      </c>
      <c r="AI4454">
        <v>108.954327381601</v>
      </c>
      <c r="AJ4454">
        <v>78.183894014908802</v>
      </c>
      <c r="AK4454">
        <v>0.62244110991725399</v>
      </c>
      <c r="AL4454">
        <v>93.012828094630294</v>
      </c>
      <c r="AM4454">
        <v>91.087519945820901</v>
      </c>
      <c r="AN4454">
        <v>0.99999998895509301</v>
      </c>
    </row>
    <row r="4455" spans="1:40" x14ac:dyDescent="0.25">
      <c r="A4455" t="str">
        <f>"20190303153857452"</f>
        <v>20190303153857452</v>
      </c>
      <c r="B4455" t="str">
        <f>"1551598737442670"</f>
        <v>1551598737442670</v>
      </c>
      <c r="C4455" t="s">
        <v>40</v>
      </c>
      <c r="D4455">
        <v>4.3120690000000002</v>
      </c>
      <c r="E4455">
        <v>0.56279889999999999</v>
      </c>
      <c r="F4455" t="s">
        <v>44</v>
      </c>
      <c r="G4455">
        <v>-358.51729999999998</v>
      </c>
      <c r="H4455">
        <v>0.89304490000000003</v>
      </c>
      <c r="I4455">
        <v>215.34909999999999</v>
      </c>
      <c r="J4455">
        <v>-359.12090000000001</v>
      </c>
      <c r="K4455">
        <v>1.120387</v>
      </c>
      <c r="L4455">
        <v>215.49600000000001</v>
      </c>
      <c r="M4455">
        <v>0.99989649999999997</v>
      </c>
      <c r="N4455">
        <v>-1.354322E-2</v>
      </c>
      <c r="O4455">
        <v>-4.8722339999999996E-3</v>
      </c>
      <c r="P4455">
        <v>0.99771149999999997</v>
      </c>
      <c r="Q4455">
        <v>-6.6021060000000006E-2</v>
      </c>
      <c r="R4455">
        <v>1.45852E-2</v>
      </c>
      <c r="S4455">
        <v>2.9659119999999999</v>
      </c>
      <c r="T4455">
        <v>-0.72290540000000003</v>
      </c>
      <c r="U4455">
        <v>-0.4733734</v>
      </c>
      <c r="V4455">
        <v>-1.950149E-2</v>
      </c>
      <c r="W4455">
        <v>-5.2483630000000003E-2</v>
      </c>
      <c r="X4455">
        <v>0.99843130000000002</v>
      </c>
      <c r="Y4455">
        <v>0.14843489999999901</v>
      </c>
      <c r="Z4455">
        <v>-1.7649160000000001E-2</v>
      </c>
      <c r="AA4455">
        <v>0.98876470000000005</v>
      </c>
      <c r="AB4455">
        <v>35</v>
      </c>
      <c r="AC4455">
        <v>0.603600000000028</v>
      </c>
      <c r="AD4455">
        <v>-0.22734209999999999</v>
      </c>
      <c r="AE4455">
        <v>-0.14689999999998801</v>
      </c>
      <c r="AF4455">
        <v>0.126954382091749</v>
      </c>
      <c r="AG4455">
        <v>-0.22734209999999999</v>
      </c>
      <c r="AH4455">
        <v>0.53293394758681201</v>
      </c>
      <c r="AI4455">
        <v>112.53717591992</v>
      </c>
      <c r="AJ4455">
        <v>76.600853875121302</v>
      </c>
      <c r="AK4455">
        <v>0.59314453386604704</v>
      </c>
      <c r="AL4455">
        <v>93.008472877455105</v>
      </c>
      <c r="AM4455">
        <v>91.1189663346277</v>
      </c>
      <c r="AN4455">
        <v>0.99999995017494203</v>
      </c>
    </row>
    <row r="4456" spans="1:40" x14ac:dyDescent="0.25">
      <c r="A4456" t="str">
        <f>"20190303153857473"</f>
        <v>20190303153857473</v>
      </c>
      <c r="B4456" t="str">
        <f>"1551598737463166"</f>
        <v>1551598737463166</v>
      </c>
      <c r="C4456" t="s">
        <v>40</v>
      </c>
      <c r="D4456">
        <v>4.3372630000000001</v>
      </c>
      <c r="E4456">
        <v>0.56418169999999901</v>
      </c>
      <c r="F4456" t="s">
        <v>44</v>
      </c>
      <c r="G4456">
        <v>-358.20510000000002</v>
      </c>
      <c r="H4456">
        <v>0.89737690000000003</v>
      </c>
      <c r="I4456">
        <v>215.3494</v>
      </c>
      <c r="J4456">
        <v>-358.791</v>
      </c>
      <c r="K4456">
        <v>1.120436</v>
      </c>
      <c r="L4456">
        <v>215.4941</v>
      </c>
      <c r="M4456">
        <v>0.99989300000000003</v>
      </c>
      <c r="N4456">
        <v>-1.3685249999999999E-2</v>
      </c>
      <c r="O4456">
        <v>-5.1974940000000004E-3</v>
      </c>
      <c r="P4456">
        <v>0.99769470000000005</v>
      </c>
      <c r="Q4456">
        <v>-6.6213679999999997E-2</v>
      </c>
      <c r="R4456">
        <v>1.486877E-2</v>
      </c>
      <c r="S4456">
        <v>2.9660340000000001</v>
      </c>
      <c r="T4456">
        <v>-0.7222691</v>
      </c>
      <c r="U4456">
        <v>-0.47473140000000003</v>
      </c>
      <c r="V4456">
        <v>-2.0105109999999999E-2</v>
      </c>
      <c r="W4456">
        <v>-5.2535770000000002E-2</v>
      </c>
      <c r="X4456">
        <v>0.99841670000000005</v>
      </c>
      <c r="Y4456">
        <v>0.14855839999999901</v>
      </c>
      <c r="Z4456">
        <v>-1.7587620000000002E-2</v>
      </c>
      <c r="AA4456">
        <v>0.98874720000000005</v>
      </c>
      <c r="AB4456">
        <v>35</v>
      </c>
      <c r="AC4456">
        <v>0.58589999999997999</v>
      </c>
      <c r="AD4456">
        <v>-0.22305909999999901</v>
      </c>
      <c r="AE4456">
        <v>-0.1447</v>
      </c>
      <c r="AF4456">
        <v>0.124627316582838</v>
      </c>
      <c r="AG4456">
        <v>-0.22305909999999901</v>
      </c>
      <c r="AH4456">
        <v>0.51613541124584805</v>
      </c>
      <c r="AI4456">
        <v>112.787199021568</v>
      </c>
      <c r="AJ4456">
        <v>76.425064867906102</v>
      </c>
      <c r="AK4456">
        <v>0.57591934580578996</v>
      </c>
      <c r="AL4456">
        <v>93.011464061389105</v>
      </c>
      <c r="AM4456">
        <v>91.153608793289706</v>
      </c>
      <c r="AN4456">
        <v>1.0000000647082401</v>
      </c>
    </row>
    <row r="4457" spans="1:40" x14ac:dyDescent="0.25">
      <c r="A4457" t="str">
        <f>"20190303153857487"</f>
        <v>20190303153857487</v>
      </c>
      <c r="B4457" t="str">
        <f>"1551598737482688"</f>
        <v>1551598737482688</v>
      </c>
      <c r="C4457" t="s">
        <v>40</v>
      </c>
      <c r="D4457">
        <v>4.2999109999999998</v>
      </c>
      <c r="E4457">
        <v>0.56597719999999996</v>
      </c>
      <c r="F4457" t="s">
        <v>44</v>
      </c>
      <c r="G4457">
        <v>-357.8922</v>
      </c>
      <c r="H4457">
        <v>0.9039623</v>
      </c>
      <c r="I4457">
        <v>215.34700000000001</v>
      </c>
      <c r="J4457">
        <v>-358.5847</v>
      </c>
      <c r="K4457">
        <v>1.120465</v>
      </c>
      <c r="L4457">
        <v>215.49279999999999</v>
      </c>
      <c r="M4457">
        <v>0.99989070000000002</v>
      </c>
      <c r="N4457">
        <v>-1.376528E-2</v>
      </c>
      <c r="O4457">
        <v>-5.3877229999999996E-3</v>
      </c>
      <c r="P4457">
        <v>0.99768579999999996</v>
      </c>
      <c r="Q4457">
        <v>-6.630316E-2</v>
      </c>
      <c r="R4457">
        <v>1.5061730000000001E-2</v>
      </c>
      <c r="S4457">
        <v>2.966736</v>
      </c>
      <c r="T4457">
        <v>-0.71450190000000002</v>
      </c>
      <c r="U4457">
        <v>-0.48512270000000002</v>
      </c>
      <c r="V4457">
        <v>-2.0485010000000001E-2</v>
      </c>
      <c r="W4457">
        <v>-5.2546170000000003E-2</v>
      </c>
      <c r="X4457">
        <v>0.99840839999999997</v>
      </c>
      <c r="Y4457">
        <v>0.15171189999999901</v>
      </c>
      <c r="Z4457">
        <v>-1.776552E-2</v>
      </c>
      <c r="AA4457">
        <v>0.98826510000000001</v>
      </c>
      <c r="AB4457">
        <v>35</v>
      </c>
      <c r="AC4457">
        <v>0.69249999999999501</v>
      </c>
      <c r="AD4457">
        <v>-0.21650269999999999</v>
      </c>
      <c r="AE4457">
        <v>-0.145799999999979</v>
      </c>
      <c r="AF4457">
        <v>0.12990787107375201</v>
      </c>
      <c r="AG4457">
        <v>-0.21650269999999999</v>
      </c>
      <c r="AH4457">
        <v>0.63394206898385996</v>
      </c>
      <c r="AI4457">
        <v>108.498475035523</v>
      </c>
      <c r="AJ4457">
        <v>78.419232548360299</v>
      </c>
      <c r="AK4457">
        <v>0.68237234769716604</v>
      </c>
      <c r="AL4457">
        <v>93.012060853002097</v>
      </c>
      <c r="AM4457">
        <v>91.175410741658297</v>
      </c>
      <c r="AN4457">
        <v>1.0000000344034601</v>
      </c>
    </row>
    <row r="4458" spans="1:40" x14ac:dyDescent="0.25">
      <c r="A4458" t="str">
        <f>"20190303153857508"</f>
        <v>20190303153857508</v>
      </c>
      <c r="B4458" t="str">
        <f>"1551598737503183"</f>
        <v>1551598737503183</v>
      </c>
      <c r="C4458" t="s">
        <v>40</v>
      </c>
      <c r="D4458">
        <v>4.3226000000000004</v>
      </c>
      <c r="E4458">
        <v>0.56689540000000005</v>
      </c>
      <c r="F4458" t="s">
        <v>44</v>
      </c>
      <c r="G4458">
        <v>-357.87079999999997</v>
      </c>
      <c r="H4458">
        <v>0.95275889999999996</v>
      </c>
      <c r="I4458">
        <v>215.37299999999999</v>
      </c>
      <c r="J4458">
        <v>-358.27140000000003</v>
      </c>
      <c r="K4458">
        <v>1.1205099999999999</v>
      </c>
      <c r="L4458">
        <v>215.49090000000001</v>
      </c>
      <c r="M4458">
        <v>0.99988779999999999</v>
      </c>
      <c r="N4458">
        <v>-1.3872789999999999E-2</v>
      </c>
      <c r="O4458">
        <v>-5.6525999999999998E-3</v>
      </c>
      <c r="P4458">
        <v>0.99767550000000005</v>
      </c>
      <c r="Q4458">
        <v>-6.6397090000000006E-2</v>
      </c>
      <c r="R4458">
        <v>1.531769E-2</v>
      </c>
      <c r="S4458">
        <v>2.96814</v>
      </c>
      <c r="T4458">
        <v>-0.69731189999999998</v>
      </c>
      <c r="U4458">
        <v>-0.49803160000000002</v>
      </c>
      <c r="V4458">
        <v>-2.1001570000000001E-2</v>
      </c>
      <c r="W4458">
        <v>-5.2534049999999999E-2</v>
      </c>
      <c r="X4458">
        <v>0.99839820000000001</v>
      </c>
      <c r="Y4458">
        <v>0.15565609999999999</v>
      </c>
      <c r="Z4458">
        <v>-1.7796329999999999E-2</v>
      </c>
      <c r="AA4458">
        <v>0.98765099999999995</v>
      </c>
      <c r="AB4458">
        <v>35</v>
      </c>
      <c r="AC4458">
        <v>0.40060000000005302</v>
      </c>
      <c r="AD4458">
        <v>-0.16775109999999999</v>
      </c>
      <c r="AE4458">
        <v>-0.11790000000002</v>
      </c>
      <c r="AF4458">
        <v>9.9566133259447506E-2</v>
      </c>
      <c r="AG4458">
        <v>-0.16775109999999999</v>
      </c>
      <c r="AH4458">
        <v>0.34550479379098697</v>
      </c>
      <c r="AI4458">
        <v>115.01088812341099</v>
      </c>
      <c r="AJ4458">
        <v>73.924296798277993</v>
      </c>
      <c r="AK4458">
        <v>0.39677123002556602</v>
      </c>
      <c r="AL4458">
        <v>93.011365785249794</v>
      </c>
      <c r="AM4458">
        <v>91.205054147122198</v>
      </c>
      <c r="AN4458">
        <v>0.99999992905755097</v>
      </c>
    </row>
    <row r="4459" spans="1:40" x14ac:dyDescent="0.25">
      <c r="A4459" t="str">
        <f>"20190303153857532"</f>
        <v>20190303153857532</v>
      </c>
      <c r="B4459" t="str">
        <f>"1551598737522702"</f>
        <v>1551598737522702</v>
      </c>
      <c r="C4459" t="s">
        <v>40</v>
      </c>
      <c r="D4459">
        <v>4.3250039999999998</v>
      </c>
      <c r="E4459">
        <v>0.56770559999999903</v>
      </c>
      <c r="F4459" t="s">
        <v>44</v>
      </c>
      <c r="G4459">
        <v>-357.55970000000002</v>
      </c>
      <c r="H4459">
        <v>0.95585909999999996</v>
      </c>
      <c r="I4459">
        <v>215.36959999999999</v>
      </c>
      <c r="J4459">
        <v>-357.90210000000002</v>
      </c>
      <c r="K4459">
        <v>1.120566</v>
      </c>
      <c r="L4459">
        <v>215.48840000000001</v>
      </c>
      <c r="M4459">
        <v>0.99988480000000002</v>
      </c>
      <c r="N4459">
        <v>-1.3981820000000001E-2</v>
      </c>
      <c r="O4459">
        <v>-5.9227200000000002E-3</v>
      </c>
      <c r="P4459">
        <v>0.99768699999999999</v>
      </c>
      <c r="Q4459">
        <v>-6.6150870000000001E-2</v>
      </c>
      <c r="R4459">
        <v>1.5653690000000001E-2</v>
      </c>
      <c r="S4459">
        <v>2.969055</v>
      </c>
      <c r="T4459">
        <v>-0.68696250000000003</v>
      </c>
      <c r="U4459">
        <v>-0.50422670000000003</v>
      </c>
      <c r="V4459">
        <v>-2.1602300000000001E-2</v>
      </c>
      <c r="W4459">
        <v>-5.2180400000000002E-2</v>
      </c>
      <c r="X4459">
        <v>0.99840399999999996</v>
      </c>
      <c r="Y4459">
        <v>0.1574227</v>
      </c>
      <c r="Z4459">
        <v>-1.7712840000000001E-2</v>
      </c>
      <c r="AA4459">
        <v>0.98737249999999999</v>
      </c>
      <c r="AB4459">
        <v>35</v>
      </c>
      <c r="AC4459">
        <v>0.34239999999999698</v>
      </c>
      <c r="AD4459">
        <v>-0.16470689999999899</v>
      </c>
      <c r="AE4459">
        <v>-0.118800000000021</v>
      </c>
      <c r="AF4459">
        <v>9.6781252104899199E-2</v>
      </c>
      <c r="AG4459">
        <v>-0.16470689999999899</v>
      </c>
      <c r="AH4459">
        <v>0.28436658527115899</v>
      </c>
      <c r="AI4459">
        <v>118.73683431005701</v>
      </c>
      <c r="AJ4459">
        <v>71.204519540636596</v>
      </c>
      <c r="AK4459">
        <v>0.34257747807668398</v>
      </c>
      <c r="AL4459">
        <v>92.991075087779294</v>
      </c>
      <c r="AM4459">
        <v>91.239505775888802</v>
      </c>
      <c r="AN4459">
        <v>1.0000000003627201</v>
      </c>
    </row>
    <row r="4460" spans="1:40" x14ac:dyDescent="0.25">
      <c r="A4460" t="str">
        <f>"20190303153857552"</f>
        <v>20190303153857552</v>
      </c>
      <c r="B4460" t="str">
        <f>"1551598737543198"</f>
        <v>1551598737543198</v>
      </c>
      <c r="C4460" t="s">
        <v>40</v>
      </c>
      <c r="D4460">
        <v>4.3752519999999997</v>
      </c>
      <c r="E4460">
        <v>0.56810959999999999</v>
      </c>
      <c r="F4460" t="s">
        <v>44</v>
      </c>
      <c r="G4460">
        <v>-356.96269999999998</v>
      </c>
      <c r="H4460">
        <v>0.9061458</v>
      </c>
      <c r="I4460">
        <v>215.3271</v>
      </c>
      <c r="J4460">
        <v>-357.56560000000002</v>
      </c>
      <c r="K4460">
        <v>1.1206290000000001</v>
      </c>
      <c r="L4460">
        <v>215.4862</v>
      </c>
      <c r="M4460">
        <v>0.9998823</v>
      </c>
      <c r="N4460">
        <v>-1.4066510000000001E-2</v>
      </c>
      <c r="O4460">
        <v>-6.128189E-3</v>
      </c>
      <c r="P4460">
        <v>0.99773219999999996</v>
      </c>
      <c r="Q4460">
        <v>-6.5483310000000003E-2</v>
      </c>
      <c r="R4460">
        <v>1.557241E-2</v>
      </c>
      <c r="S4460">
        <v>2.9700319999999998</v>
      </c>
      <c r="T4460">
        <v>-0.67798190000000003</v>
      </c>
      <c r="U4460">
        <v>-0.50923160000000001</v>
      </c>
      <c r="V4460">
        <v>-2.1720730000000001E-2</v>
      </c>
      <c r="W4460">
        <v>-5.1429620000000002E-2</v>
      </c>
      <c r="X4460">
        <v>0.99844040000000001</v>
      </c>
      <c r="Y4460">
        <v>0.1588551</v>
      </c>
      <c r="Z4460">
        <v>-1.7629519999999999E-2</v>
      </c>
      <c r="AA4460">
        <v>0.98714449999999998</v>
      </c>
      <c r="AB4460">
        <v>35</v>
      </c>
      <c r="AC4460">
        <v>0.60290000000003297</v>
      </c>
      <c r="AD4460">
        <v>-0.21448320000000001</v>
      </c>
      <c r="AE4460">
        <v>-0.159099999999995</v>
      </c>
      <c r="AF4460">
        <v>0.138960164953396</v>
      </c>
      <c r="AG4460">
        <v>-0.21448320000000001</v>
      </c>
      <c r="AH4460">
        <v>0.539973936991476</v>
      </c>
      <c r="AI4460">
        <v>111.040560912058</v>
      </c>
      <c r="AJ4460">
        <v>75.568306859931397</v>
      </c>
      <c r="AK4460">
        <v>0.59739837893669401</v>
      </c>
      <c r="AL4460">
        <v>92.948000681341099</v>
      </c>
      <c r="AM4460">
        <v>91.246253542559103</v>
      </c>
      <c r="AN4460">
        <v>1.0000000141386101</v>
      </c>
    </row>
    <row r="4461" spans="1:40" x14ac:dyDescent="0.25">
      <c r="A4461" t="str">
        <f>"20190303153857574"</f>
        <v>20190303153857574</v>
      </c>
      <c r="B4461" t="str">
        <f>"1551598737562719"</f>
        <v>1551598737562719</v>
      </c>
      <c r="C4461" t="s">
        <v>40</v>
      </c>
      <c r="D4461">
        <v>4.2449269999999997</v>
      </c>
      <c r="E4461">
        <v>0.56890669999999899</v>
      </c>
      <c r="F4461" t="s">
        <v>44</v>
      </c>
      <c r="G4461">
        <v>-356.6515</v>
      </c>
      <c r="H4461">
        <v>0.91279399999999999</v>
      </c>
      <c r="I4461">
        <v>215.32820000000001</v>
      </c>
      <c r="J4461">
        <v>-357.23820000000001</v>
      </c>
      <c r="K4461">
        <v>1.1206769999999999</v>
      </c>
      <c r="L4461">
        <v>215.48400000000001</v>
      </c>
      <c r="M4461">
        <v>0.99988030000000006</v>
      </c>
      <c r="N4461">
        <v>-1.413769E-2</v>
      </c>
      <c r="O4461">
        <v>-6.2974779999999996E-3</v>
      </c>
      <c r="P4461">
        <v>0.99780599999999997</v>
      </c>
      <c r="Q4461">
        <v>-6.4319169999999995E-2</v>
      </c>
      <c r="R4461">
        <v>1.5690010000000001E-2</v>
      </c>
      <c r="S4461">
        <v>2.9704899999999999</v>
      </c>
      <c r="T4461">
        <v>-0.67540630000000001</v>
      </c>
      <c r="U4461">
        <v>-0.51275630000000005</v>
      </c>
      <c r="V4461">
        <v>-2.200301E-2</v>
      </c>
      <c r="W4461">
        <v>-5.0195209999999997E-2</v>
      </c>
      <c r="X4461">
        <v>0.99849699999999997</v>
      </c>
      <c r="Y4461">
        <v>0.15980920000000001</v>
      </c>
      <c r="Z4461">
        <v>-1.7648770000000001E-2</v>
      </c>
      <c r="AA4461">
        <v>0.98699020000000004</v>
      </c>
      <c r="AB4461">
        <v>35</v>
      </c>
      <c r="AC4461">
        <v>0.58670000000000699</v>
      </c>
      <c r="AD4461">
        <v>-0.20788300000000001</v>
      </c>
      <c r="AE4461">
        <v>-0.15579999999999899</v>
      </c>
      <c r="AF4461">
        <v>0.136136209511035</v>
      </c>
      <c r="AG4461">
        <v>-0.20788300000000001</v>
      </c>
      <c r="AH4461">
        <v>0.52598396217990195</v>
      </c>
      <c r="AI4461">
        <v>110.937800599897</v>
      </c>
      <c r="AJ4461">
        <v>75.489023806016903</v>
      </c>
      <c r="AK4461">
        <v>0.58172806164005997</v>
      </c>
      <c r="AL4461">
        <v>92.877182824910804</v>
      </c>
      <c r="AM4461">
        <v>91.262372957331294</v>
      </c>
      <c r="AN4461">
        <v>0.99999997528250095</v>
      </c>
    </row>
    <row r="4462" spans="1:40" x14ac:dyDescent="0.25">
      <c r="A4462" t="str">
        <f>"20190303153857597"</f>
        <v>20190303153857597</v>
      </c>
      <c r="B4462" t="str">
        <f>"1551598737592975"</f>
        <v>1551598737592975</v>
      </c>
      <c r="C4462" t="s">
        <v>40</v>
      </c>
      <c r="D4462">
        <v>4.2323839999999997</v>
      </c>
      <c r="E4462">
        <v>0.57019529999999996</v>
      </c>
      <c r="F4462" t="s">
        <v>44</v>
      </c>
      <c r="G4462">
        <v>-356.34129999999999</v>
      </c>
      <c r="H4462">
        <v>0.91735290000000003</v>
      </c>
      <c r="I4462">
        <v>215.3271</v>
      </c>
      <c r="J4462">
        <v>-356.8852</v>
      </c>
      <c r="K4462">
        <v>1.120733</v>
      </c>
      <c r="L4462">
        <v>215.48159999999999</v>
      </c>
      <c r="M4462">
        <v>0.9998783</v>
      </c>
      <c r="N4462">
        <v>-1.4203479999999999E-2</v>
      </c>
      <c r="O4462">
        <v>-6.4428559999999899E-3</v>
      </c>
      <c r="P4462">
        <v>0.99781750000000002</v>
      </c>
      <c r="Q4462">
        <v>-6.4190999999999998E-2</v>
      </c>
      <c r="R4462">
        <v>1.549497E-2</v>
      </c>
      <c r="S4462">
        <v>2.9713440000000002</v>
      </c>
      <c r="T4462">
        <v>-0.67363629999999997</v>
      </c>
      <c r="U4462">
        <v>-0.5186615</v>
      </c>
      <c r="V4462">
        <v>-2.1948470000000001E-2</v>
      </c>
      <c r="W4462">
        <v>-5.000317E-2</v>
      </c>
      <c r="X4462">
        <v>0.9985079</v>
      </c>
      <c r="Y4462">
        <v>0.1615037</v>
      </c>
      <c r="Z4462">
        <v>-1.7775799999999901E-2</v>
      </c>
      <c r="AA4462">
        <v>0.98671200000000003</v>
      </c>
      <c r="AB4462">
        <v>35</v>
      </c>
      <c r="AC4462">
        <v>0.54390000000000704</v>
      </c>
      <c r="AD4462">
        <v>-0.20338009999999901</v>
      </c>
      <c r="AE4462">
        <v>-0.15449999999998401</v>
      </c>
      <c r="AF4462">
        <v>0.13369437043924501</v>
      </c>
      <c r="AG4462">
        <v>-0.20338009999999901</v>
      </c>
      <c r="AH4462">
        <v>0.48246180192001398</v>
      </c>
      <c r="AI4462">
        <v>112.10884084420999</v>
      </c>
      <c r="AJ4462">
        <v>74.511483538898503</v>
      </c>
      <c r="AK4462">
        <v>0.54037675752669401</v>
      </c>
      <c r="AL4462">
        <v>92.866165724806393</v>
      </c>
      <c r="AM4462">
        <v>91.2592311150661</v>
      </c>
      <c r="AN4462">
        <v>1.0000000393538899</v>
      </c>
    </row>
    <row r="4463" spans="1:40" x14ac:dyDescent="0.25">
      <c r="A4463" t="str">
        <f>"20190303153857631"</f>
        <v>20190303153857631</v>
      </c>
      <c r="B4463" t="str">
        <f>"1551598737623234"</f>
        <v>1551598737623234</v>
      </c>
      <c r="C4463" t="s">
        <v>40</v>
      </c>
      <c r="D4463">
        <v>4.2114260000000003</v>
      </c>
      <c r="E4463">
        <v>0.57106400000000002</v>
      </c>
      <c r="F4463" t="s">
        <v>44</v>
      </c>
      <c r="G4463">
        <v>-356.02969999999999</v>
      </c>
      <c r="H4463">
        <v>0.9265525</v>
      </c>
      <c r="I4463">
        <v>215.32929999999999</v>
      </c>
      <c r="J4463">
        <v>-356.37259999999998</v>
      </c>
      <c r="K4463">
        <v>1.1207929999999999</v>
      </c>
      <c r="L4463">
        <v>215.47810000000001</v>
      </c>
      <c r="M4463">
        <v>0.9998764</v>
      </c>
      <c r="N4463">
        <v>-1.428275E-2</v>
      </c>
      <c r="O4463">
        <v>-6.5880699999999997E-3</v>
      </c>
      <c r="P4463">
        <v>0.9977589</v>
      </c>
      <c r="Q4463">
        <v>-6.5224589999999999E-2</v>
      </c>
      <c r="R4463">
        <v>1.4938760000000001E-2</v>
      </c>
      <c r="S4463">
        <v>2.9714049999999999</v>
      </c>
      <c r="T4463">
        <v>-0.67444530000000003</v>
      </c>
      <c r="U4463">
        <v>-0.52947999999999995</v>
      </c>
      <c r="V4463">
        <v>-2.1530810000000001E-2</v>
      </c>
      <c r="W4463">
        <v>-5.0961220000000002E-2</v>
      </c>
      <c r="X4463">
        <v>0.99846849999999998</v>
      </c>
      <c r="Y4463">
        <v>0.16475020000000001</v>
      </c>
      <c r="Z4463">
        <v>-1.81517E-2</v>
      </c>
      <c r="AA4463">
        <v>0.9861683</v>
      </c>
      <c r="AB4463">
        <v>34</v>
      </c>
      <c r="AC4463">
        <v>0.34289999999998599</v>
      </c>
      <c r="AD4463">
        <v>-0.19424049999999901</v>
      </c>
      <c r="AE4463">
        <v>-0.148800000000022</v>
      </c>
      <c r="AF4463">
        <v>0.115380942927844</v>
      </c>
      <c r="AG4463">
        <v>-0.19424049999999901</v>
      </c>
      <c r="AH4463">
        <v>0.27075928742417898</v>
      </c>
      <c r="AI4463">
        <v>123.423498361683</v>
      </c>
      <c r="AJ4463">
        <v>66.919281641049906</v>
      </c>
      <c r="AK4463">
        <v>0.35263681821048998</v>
      </c>
      <c r="AL4463">
        <v>92.921128188376599</v>
      </c>
      <c r="AM4463">
        <v>91.235325285117497</v>
      </c>
      <c r="AN4463">
        <v>0.99999998360769704</v>
      </c>
    </row>
    <row r="4464" spans="1:40" x14ac:dyDescent="0.25">
      <c r="A4464" t="str">
        <f>"20190303153857652"</f>
        <v>20190303153857652</v>
      </c>
      <c r="B4464" t="str">
        <f>"1551598737642751"</f>
        <v>1551598737642751</v>
      </c>
      <c r="C4464" t="s">
        <v>40</v>
      </c>
      <c r="D4464">
        <v>4.2122760000000001</v>
      </c>
      <c r="E4464">
        <v>0.57125609999999905</v>
      </c>
      <c r="F4464" t="s">
        <v>44</v>
      </c>
      <c r="G4464">
        <v>-355.42410000000001</v>
      </c>
      <c r="H4464">
        <v>0.90375589999999995</v>
      </c>
      <c r="I4464">
        <v>215.30600000000001</v>
      </c>
      <c r="J4464">
        <v>-356.04</v>
      </c>
      <c r="K4464">
        <v>1.1208370000000001</v>
      </c>
      <c r="L4464">
        <v>215.47579999999999</v>
      </c>
      <c r="M4464">
        <v>0.99987539999999997</v>
      </c>
      <c r="N4464">
        <v>-1.432464E-2</v>
      </c>
      <c r="O4464">
        <v>-6.6396780000000004E-3</v>
      </c>
      <c r="P4464">
        <v>0.99776050000000005</v>
      </c>
      <c r="Q4464">
        <v>-6.5328720000000007E-2</v>
      </c>
      <c r="R4464">
        <v>1.4369359999999999E-2</v>
      </c>
      <c r="S4464">
        <v>2.970367</v>
      </c>
      <c r="T4464">
        <v>-0.6797879</v>
      </c>
      <c r="U4464">
        <v>-0.53804019999999997</v>
      </c>
      <c r="V4464">
        <v>-2.1008929999999999E-2</v>
      </c>
      <c r="W4464">
        <v>-5.1025189999999998E-2</v>
      </c>
      <c r="X4464">
        <v>0.99847640000000004</v>
      </c>
      <c r="Y4464">
        <v>0.16737759999999999</v>
      </c>
      <c r="Z4464">
        <v>-1.8590700000000002E-2</v>
      </c>
      <c r="AA4464">
        <v>0.98571759999999997</v>
      </c>
      <c r="AB4464">
        <v>34</v>
      </c>
      <c r="AC4464">
        <v>0.61590000000001</v>
      </c>
      <c r="AD4464">
        <v>-0.2170811</v>
      </c>
      <c r="AE4464">
        <v>-0.169800000000009</v>
      </c>
      <c r="AF4464">
        <v>0.14855519035254799</v>
      </c>
      <c r="AG4464">
        <v>-0.2170811</v>
      </c>
      <c r="AH4464">
        <v>0.55315058809597994</v>
      </c>
      <c r="AI4464">
        <v>110.757434394698</v>
      </c>
      <c r="AJ4464">
        <v>74.967249404931195</v>
      </c>
      <c r="AK4464">
        <v>0.612509935975589</v>
      </c>
      <c r="AL4464">
        <v>92.9247980287671</v>
      </c>
      <c r="AM4464">
        <v>91.205381949502097</v>
      </c>
      <c r="AN4464">
        <v>1.00000003325562</v>
      </c>
    </row>
    <row r="4465" spans="1:40" x14ac:dyDescent="0.25">
      <c r="A4465" t="str">
        <f>"20190303153857673"</f>
        <v>20190303153857673</v>
      </c>
      <c r="B4465" t="str">
        <f>"1551598737663246"</f>
        <v>1551598737663246</v>
      </c>
      <c r="C4465" t="s">
        <v>40</v>
      </c>
      <c r="D4465">
        <v>4.1827199999999998</v>
      </c>
      <c r="E4465">
        <v>0.57129259999999904</v>
      </c>
      <c r="F4465" t="s">
        <v>44</v>
      </c>
      <c r="G4465">
        <v>-355.11540000000002</v>
      </c>
      <c r="H4465">
        <v>0.90874779999999999</v>
      </c>
      <c r="I4465">
        <v>215.30680000000001</v>
      </c>
      <c r="J4465">
        <v>-355.70510000000002</v>
      </c>
      <c r="K4465">
        <v>1.120884</v>
      </c>
      <c r="L4465">
        <v>215.4736</v>
      </c>
      <c r="M4465">
        <v>0.99987470000000001</v>
      </c>
      <c r="N4465">
        <v>-1.436057E-2</v>
      </c>
      <c r="O4465">
        <v>-6.6693859999999898E-3</v>
      </c>
      <c r="P4465">
        <v>0.99781310000000001</v>
      </c>
      <c r="Q4465">
        <v>-6.4617889999999997E-2</v>
      </c>
      <c r="R4465">
        <v>1.3914869999999999E-2</v>
      </c>
      <c r="S4465">
        <v>2.96991</v>
      </c>
      <c r="T4465">
        <v>-0.68132959999999998</v>
      </c>
      <c r="U4465">
        <v>-0.54154969999999902</v>
      </c>
      <c r="V4465">
        <v>-2.0581209999999999E-2</v>
      </c>
      <c r="W4465">
        <v>-5.0279230000000001E-2</v>
      </c>
      <c r="X4465">
        <v>0.9985231</v>
      </c>
      <c r="Y4465">
        <v>0.16845450000000001</v>
      </c>
      <c r="Z4465">
        <v>-1.8755839999999999E-2</v>
      </c>
      <c r="AA4465">
        <v>0.98553100000000005</v>
      </c>
      <c r="AB4465">
        <v>34</v>
      </c>
      <c r="AC4465">
        <v>0.58969999999999301</v>
      </c>
      <c r="AD4465">
        <v>-0.212136199999999</v>
      </c>
      <c r="AE4465">
        <v>-0.16679999999999401</v>
      </c>
      <c r="AF4465">
        <v>0.14543631487719999</v>
      </c>
      <c r="AG4465">
        <v>-0.212136199999999</v>
      </c>
      <c r="AH4465">
        <v>0.52758283172164999</v>
      </c>
      <c r="AI4465">
        <v>111.187929743949</v>
      </c>
      <c r="AJ4465">
        <v>74.5883123989192</v>
      </c>
      <c r="AK4465">
        <v>0.58693878161434798</v>
      </c>
      <c r="AL4465">
        <v>92.882002876938898</v>
      </c>
      <c r="AM4465">
        <v>91.180793433806599</v>
      </c>
      <c r="AN4465">
        <v>0.99999998420403302</v>
      </c>
    </row>
    <row r="4466" spans="1:40" x14ac:dyDescent="0.25">
      <c r="A4466" t="str">
        <f>"20190303153857697"</f>
        <v>20190303153857697</v>
      </c>
      <c r="B4466" t="str">
        <f>"1551598737692527"</f>
        <v>1551598737692527</v>
      </c>
      <c r="C4466" t="s">
        <v>40</v>
      </c>
      <c r="D4466">
        <v>4.1498100000000004</v>
      </c>
      <c r="E4466">
        <v>0.57137450000000001</v>
      </c>
      <c r="F4466" t="s">
        <v>44</v>
      </c>
      <c r="G4466">
        <v>-354.80630000000002</v>
      </c>
      <c r="H4466">
        <v>0.91539499999999996</v>
      </c>
      <c r="I4466">
        <v>215.30889999999999</v>
      </c>
      <c r="J4466">
        <v>-355.36160000000001</v>
      </c>
      <c r="K4466">
        <v>1.1209229999999999</v>
      </c>
      <c r="L4466">
        <v>215.47130000000001</v>
      </c>
      <c r="M4466">
        <v>0.99987420000000005</v>
      </c>
      <c r="N4466">
        <v>-1.4391869999999999E-2</v>
      </c>
      <c r="O4466">
        <v>-6.6835430000000001E-3</v>
      </c>
      <c r="P4466">
        <v>0.99787879999999995</v>
      </c>
      <c r="Q4466">
        <v>-6.3632850000000005E-2</v>
      </c>
      <c r="R4466">
        <v>1.374559E-2</v>
      </c>
      <c r="S4466">
        <v>2.9701840000000002</v>
      </c>
      <c r="T4466">
        <v>-0.67909310000000001</v>
      </c>
      <c r="U4466">
        <v>-0.54347230000000002</v>
      </c>
      <c r="V4466">
        <v>-2.0423690000000001E-2</v>
      </c>
      <c r="W4466">
        <v>-4.926316E-2</v>
      </c>
      <c r="X4466">
        <v>0.99857700000000005</v>
      </c>
      <c r="Y4466">
        <v>0.16905419999999999</v>
      </c>
      <c r="Z4466">
        <v>-1.8768989999999999E-2</v>
      </c>
      <c r="AA4466">
        <v>0.98542799999999997</v>
      </c>
      <c r="AB4466">
        <v>34</v>
      </c>
      <c r="AC4466">
        <v>0.55529999999998803</v>
      </c>
      <c r="AD4466">
        <v>-0.20552799999999899</v>
      </c>
      <c r="AE4466">
        <v>-0.162400000000019</v>
      </c>
      <c r="AF4466">
        <v>0.140903219836161</v>
      </c>
      <c r="AG4466">
        <v>-0.20552799999999899</v>
      </c>
      <c r="AH4466">
        <v>0.49402875306106903</v>
      </c>
      <c r="AI4466">
        <v>111.804885122489</v>
      </c>
      <c r="AJ4466">
        <v>74.081183267532197</v>
      </c>
      <c r="AK4466">
        <v>0.55331716492015004</v>
      </c>
      <c r="AL4466">
        <v>92.823714050238706</v>
      </c>
      <c r="AM4466">
        <v>91.171695432409194</v>
      </c>
      <c r="AN4466">
        <v>1.0000000054877001</v>
      </c>
    </row>
    <row r="4467" spans="1:40" x14ac:dyDescent="0.25">
      <c r="A4467" t="str">
        <f>"20190303153857721"</f>
        <v>20190303153857721</v>
      </c>
      <c r="B4467" t="str">
        <f>"1551598737713023"</f>
        <v>1551598737713023</v>
      </c>
      <c r="C4467" t="s">
        <v>40</v>
      </c>
      <c r="D4467">
        <v>4.3115220000000001</v>
      </c>
      <c r="E4467">
        <v>0.57090980000000002</v>
      </c>
      <c r="F4467" t="s">
        <v>44</v>
      </c>
      <c r="G4467">
        <v>-354.49689999999998</v>
      </c>
      <c r="H4467">
        <v>0.92385779999999995</v>
      </c>
      <c r="I4467">
        <v>215.3125</v>
      </c>
      <c r="J4467">
        <v>-354.98919999999998</v>
      </c>
      <c r="K4467">
        <v>1.1209559999999901</v>
      </c>
      <c r="L4467">
        <v>215.46879999999999</v>
      </c>
      <c r="M4467">
        <v>0.99987380000000003</v>
      </c>
      <c r="N4467">
        <v>-1.4420580000000001E-2</v>
      </c>
      <c r="O4467">
        <v>-6.6864410000000004E-3</v>
      </c>
      <c r="P4467">
        <v>0.9979635</v>
      </c>
      <c r="Q4467">
        <v>-6.2234680000000001E-2</v>
      </c>
      <c r="R4467">
        <v>1.4004910000000001E-2</v>
      </c>
      <c r="S4467">
        <v>2.9707029999999999</v>
      </c>
      <c r="T4467">
        <v>-0.67709549999999996</v>
      </c>
      <c r="U4467">
        <v>-0.54466250000000005</v>
      </c>
      <c r="V4467">
        <v>-2.0684149999999998E-2</v>
      </c>
      <c r="W4467">
        <v>-4.7836049999999998E-2</v>
      </c>
      <c r="X4467">
        <v>0.998641</v>
      </c>
      <c r="Y4467">
        <v>0.16941879999999901</v>
      </c>
      <c r="Z4467">
        <v>-1.8760849999999999E-2</v>
      </c>
      <c r="AA4467">
        <v>0.98536559999999995</v>
      </c>
      <c r="AB4467">
        <v>34</v>
      </c>
      <c r="AC4467">
        <v>0.49230000000000002</v>
      </c>
      <c r="AD4467">
        <v>-0.197098199999999</v>
      </c>
      <c r="AE4467">
        <v>-0.156299999999987</v>
      </c>
      <c r="AF4467">
        <v>0.133556925681942</v>
      </c>
      <c r="AG4467">
        <v>-0.197098199999999</v>
      </c>
      <c r="AH4467">
        <v>0.430629352650721</v>
      </c>
      <c r="AI4467">
        <v>113.612825539562</v>
      </c>
      <c r="AJ4467">
        <v>72.769059255181801</v>
      </c>
      <c r="AK4467">
        <v>0.49206380907889402</v>
      </c>
      <c r="AL4467">
        <v>92.741850185713503</v>
      </c>
      <c r="AM4467">
        <v>91.186557602112899</v>
      </c>
      <c r="AN4467">
        <v>0.99999998431091197</v>
      </c>
    </row>
    <row r="4468" spans="1:40" x14ac:dyDescent="0.25">
      <c r="A4468" t="str">
        <f>"20190303153857743"</f>
        <v>20190303153857743</v>
      </c>
      <c r="B4468" t="str">
        <f>"1551598737733519"</f>
        <v>1551598737733519</v>
      </c>
      <c r="C4468" t="s">
        <v>40</v>
      </c>
      <c r="D4468">
        <v>4.2923179999999999</v>
      </c>
      <c r="E4468">
        <v>0.57049850000000002</v>
      </c>
      <c r="F4468" t="s">
        <v>44</v>
      </c>
      <c r="G4468">
        <v>-354.18540000000002</v>
      </c>
      <c r="H4468">
        <v>0.93786170000000002</v>
      </c>
      <c r="I4468">
        <v>215.32239999999999</v>
      </c>
      <c r="J4468">
        <v>-354.6497</v>
      </c>
      <c r="K4468">
        <v>1.1209800000000001</v>
      </c>
      <c r="L4468">
        <v>215.4665</v>
      </c>
      <c r="M4468">
        <v>0.99987340000000002</v>
      </c>
      <c r="N4468">
        <v>-1.444259E-2</v>
      </c>
      <c r="O4468">
        <v>-6.6832030000000004E-3</v>
      </c>
      <c r="P4468">
        <v>0.99801410000000002</v>
      </c>
      <c r="Q4468">
        <v>-6.1227339999999998E-2</v>
      </c>
      <c r="R4468">
        <v>1.4816599999999999E-2</v>
      </c>
      <c r="S4468">
        <v>2.9714969999999998</v>
      </c>
      <c r="T4468">
        <v>-0.67692799999999997</v>
      </c>
      <c r="U4468">
        <v>-0.5404968</v>
      </c>
      <c r="V4468">
        <v>-2.1491860000000002E-2</v>
      </c>
      <c r="W4468">
        <v>-4.6806590000000002E-2</v>
      </c>
      <c r="X4468">
        <v>0.99867269999999997</v>
      </c>
      <c r="Y4468">
        <v>0.16807629999999901</v>
      </c>
      <c r="Z4468">
        <v>-1.859715E-2</v>
      </c>
      <c r="AA4468">
        <v>0.98559859999999999</v>
      </c>
      <c r="AB4468">
        <v>34</v>
      </c>
      <c r="AC4468">
        <v>0.46429999999998001</v>
      </c>
      <c r="AD4468">
        <v>-0.18311829999999901</v>
      </c>
      <c r="AE4468">
        <v>-0.144100000000008</v>
      </c>
      <c r="AF4468">
        <v>0.123474611558523</v>
      </c>
      <c r="AG4468">
        <v>-0.18311829999999901</v>
      </c>
      <c r="AH4468">
        <v>0.407443803750073</v>
      </c>
      <c r="AI4468">
        <v>113.273286697903</v>
      </c>
      <c r="AJ4468">
        <v>73.140726425816496</v>
      </c>
      <c r="AK4468">
        <v>0.46345306634949202</v>
      </c>
      <c r="AL4468">
        <v>92.682800383619494</v>
      </c>
      <c r="AM4468">
        <v>91.232839174354993</v>
      </c>
      <c r="AN4468">
        <v>0.99999995931948804</v>
      </c>
    </row>
    <row r="4469" spans="1:40" x14ac:dyDescent="0.25">
      <c r="A4469" t="str">
        <f>"20190303153857764"</f>
        <v>20190303153857764</v>
      </c>
      <c r="B4469" t="str">
        <f>"1551598737753039"</f>
        <v>1551598737753039</v>
      </c>
      <c r="C4469" t="s">
        <v>40</v>
      </c>
      <c r="D4469">
        <v>4.2913779999999999</v>
      </c>
      <c r="E4469">
        <v>0.57007680000000005</v>
      </c>
      <c r="F4469" t="s">
        <v>44</v>
      </c>
      <c r="G4469">
        <v>-353.87709999999998</v>
      </c>
      <c r="H4469">
        <v>0.94474840000000004</v>
      </c>
      <c r="I4469">
        <v>215.327</v>
      </c>
      <c r="J4469">
        <v>-354.3261</v>
      </c>
      <c r="K4469">
        <v>1.121</v>
      </c>
      <c r="L4469">
        <v>215.46430000000001</v>
      </c>
      <c r="M4469">
        <v>0.99987320000000002</v>
      </c>
      <c r="N4469">
        <v>-1.446032E-2</v>
      </c>
      <c r="O4469">
        <v>-6.6784440000000004E-3</v>
      </c>
      <c r="P4469">
        <v>0.99802219999999997</v>
      </c>
      <c r="Q4469">
        <v>-6.0829569999999999E-2</v>
      </c>
      <c r="R4469">
        <v>1.5860860000000001E-2</v>
      </c>
      <c r="S4469">
        <v>2.9723510000000002</v>
      </c>
      <c r="T4469">
        <v>-0.67808900000000005</v>
      </c>
      <c r="U4469">
        <v>-0.53477479999999999</v>
      </c>
      <c r="V4469">
        <v>-2.2530410000000001E-2</v>
      </c>
      <c r="W4469">
        <v>-4.6391399999999999E-2</v>
      </c>
      <c r="X4469">
        <v>0.99866920000000003</v>
      </c>
      <c r="Y4469">
        <v>0.16622870000000001</v>
      </c>
      <c r="Z4469">
        <v>-1.8406459999999999E-2</v>
      </c>
      <c r="AA4469">
        <v>0.9859154</v>
      </c>
      <c r="AB4469">
        <v>34</v>
      </c>
      <c r="AC4469">
        <v>0.449000000000012</v>
      </c>
      <c r="AD4469">
        <v>-0.17625159999999901</v>
      </c>
      <c r="AE4469">
        <v>-0.13730000000001</v>
      </c>
      <c r="AF4469">
        <v>0.11771097804168699</v>
      </c>
      <c r="AG4469">
        <v>-0.17625159999999901</v>
      </c>
      <c r="AH4469">
        <v>0.39433942111373799</v>
      </c>
      <c r="AI4469">
        <v>113.18450878847</v>
      </c>
      <c r="AJ4469">
        <v>73.379547522707696</v>
      </c>
      <c r="AK4469">
        <v>0.44768748016714599</v>
      </c>
      <c r="AL4469">
        <v>92.658985832616594</v>
      </c>
      <c r="AM4469">
        <v>91.292398383617595</v>
      </c>
      <c r="AN4469">
        <v>0.99999997619868297</v>
      </c>
    </row>
    <row r="4470" spans="1:40" x14ac:dyDescent="0.25">
      <c r="A4470" t="str">
        <f>"20190303153857787"</f>
        <v>20190303153857787</v>
      </c>
      <c r="B4470" t="str">
        <f>"1551598737783295"</f>
        <v>1551598737783295</v>
      </c>
      <c r="C4470" t="s">
        <v>40</v>
      </c>
      <c r="D4470">
        <v>4.2828229999999996</v>
      </c>
      <c r="E4470">
        <v>0.56963379999999997</v>
      </c>
      <c r="F4470" t="s">
        <v>44</v>
      </c>
      <c r="G4470">
        <v>-353.57069999999999</v>
      </c>
      <c r="H4470">
        <v>0.94790010000000002</v>
      </c>
      <c r="I4470">
        <v>215.32980000000001</v>
      </c>
      <c r="J4470">
        <v>-353.9914</v>
      </c>
      <c r="K4470">
        <v>1.121014</v>
      </c>
      <c r="L4470">
        <v>215.46199999999999</v>
      </c>
      <c r="M4470">
        <v>0.99987300000000001</v>
      </c>
      <c r="N4470">
        <v>-1.447583E-2</v>
      </c>
      <c r="O4470">
        <v>-6.6739340000000003E-3</v>
      </c>
      <c r="P4470">
        <v>0.99801030000000002</v>
      </c>
      <c r="Q4470">
        <v>-6.0957499999999998E-2</v>
      </c>
      <c r="R4470">
        <v>1.611986E-2</v>
      </c>
      <c r="S4470">
        <v>2.9727480000000002</v>
      </c>
      <c r="T4470">
        <v>-0.68133330000000003</v>
      </c>
      <c r="U4470">
        <v>-0.52803040000000001</v>
      </c>
      <c r="V4470">
        <v>-2.278459E-2</v>
      </c>
      <c r="W4470">
        <v>-4.6504289999999997E-2</v>
      </c>
      <c r="X4470">
        <v>0.99865820000000005</v>
      </c>
      <c r="Y4470">
        <v>0.16405999999999901</v>
      </c>
      <c r="Z4470">
        <v>-1.823E-2</v>
      </c>
      <c r="AA4470">
        <v>0.98628190000000004</v>
      </c>
      <c r="AB4470">
        <v>34</v>
      </c>
      <c r="AC4470">
        <v>0.42070000000001001</v>
      </c>
      <c r="AD4470">
        <v>-0.17311389999999899</v>
      </c>
      <c r="AE4470">
        <v>-0.132200000000011</v>
      </c>
      <c r="AF4470">
        <v>0.112111843799756</v>
      </c>
      <c r="AG4470">
        <v>-0.17311389999999899</v>
      </c>
      <c r="AH4470">
        <v>0.36528077724663099</v>
      </c>
      <c r="AI4470">
        <v>114.373433923118</v>
      </c>
      <c r="AJ4470">
        <v>72.937721720748797</v>
      </c>
      <c r="AK4470">
        <v>0.41948484373013301</v>
      </c>
      <c r="AL4470">
        <v>92.665460895710495</v>
      </c>
      <c r="AM4470">
        <v>91.306988120276003</v>
      </c>
      <c r="AN4470">
        <v>0.99999999347855595</v>
      </c>
    </row>
    <row r="4471" spans="1:40" x14ac:dyDescent="0.25">
      <c r="A4471" t="str">
        <f>"20190303153857809"</f>
        <v>20190303153857809</v>
      </c>
      <c r="B4471" t="str">
        <f>"1551598737802815"</f>
        <v>1551598737802815</v>
      </c>
      <c r="C4471" t="s">
        <v>40</v>
      </c>
      <c r="D4471">
        <v>4.2381669999999998</v>
      </c>
      <c r="E4471">
        <v>0.56939689999999998</v>
      </c>
      <c r="F4471" t="s">
        <v>44</v>
      </c>
      <c r="G4471">
        <v>-353.26389999999998</v>
      </c>
      <c r="H4471">
        <v>0.9529455</v>
      </c>
      <c r="I4471">
        <v>215.33349999999999</v>
      </c>
      <c r="J4471">
        <v>-353.65260000000001</v>
      </c>
      <c r="K4471">
        <v>1.121016</v>
      </c>
      <c r="L4471">
        <v>215.4598</v>
      </c>
      <c r="M4471">
        <v>0.99987289999999995</v>
      </c>
      <c r="N4471">
        <v>-1.448896E-2</v>
      </c>
      <c r="O4471">
        <v>-6.6710959999999996E-3</v>
      </c>
      <c r="P4471">
        <v>0.99797579999999997</v>
      </c>
      <c r="Q4471">
        <v>-6.1501939999999998E-2</v>
      </c>
      <c r="R4471">
        <v>1.619539E-2</v>
      </c>
      <c r="S4471">
        <v>2.9725039999999998</v>
      </c>
      <c r="T4471">
        <v>-0.686758599999999</v>
      </c>
      <c r="U4471">
        <v>-0.52357480000000001</v>
      </c>
      <c r="V4471">
        <v>-2.2856390000000001E-2</v>
      </c>
      <c r="W4471">
        <v>-4.703628E-2</v>
      </c>
      <c r="X4471">
        <v>0.99863170000000001</v>
      </c>
      <c r="Y4471">
        <v>0.16261519999999999</v>
      </c>
      <c r="Z4471">
        <v>-1.8192529999999998E-2</v>
      </c>
      <c r="AA4471">
        <v>0.9865218</v>
      </c>
      <c r="AB4471">
        <v>34</v>
      </c>
      <c r="AC4471">
        <v>0.38870000000002802</v>
      </c>
      <c r="AD4471">
        <v>-0.16807049999999901</v>
      </c>
      <c r="AE4471">
        <v>-0.12630000000001401</v>
      </c>
      <c r="AF4471">
        <v>0.10581046717073</v>
      </c>
      <c r="AG4471">
        <v>-0.16807049999999901</v>
      </c>
      <c r="AH4471">
        <v>0.33318906516364899</v>
      </c>
      <c r="AI4471">
        <v>115.676816666718</v>
      </c>
      <c r="AJ4471">
        <v>72.381773372445807</v>
      </c>
      <c r="AK4471">
        <v>0.387889805328478</v>
      </c>
      <c r="AL4471">
        <v>92.695974920153205</v>
      </c>
      <c r="AM4471">
        <v>91.311140114451703</v>
      </c>
      <c r="AN4471">
        <v>1.0000000492224701</v>
      </c>
    </row>
    <row r="4472" spans="1:40" x14ac:dyDescent="0.25">
      <c r="A4472" t="str">
        <f>"20190303153857832"</f>
        <v>20190303153857832</v>
      </c>
      <c r="B4472" t="str">
        <f>"1551598737823314"</f>
        <v>1551598737823314</v>
      </c>
      <c r="C4472" t="s">
        <v>40</v>
      </c>
      <c r="D4472">
        <v>4.2333040000000004</v>
      </c>
      <c r="E4472">
        <v>0.56913130000000001</v>
      </c>
      <c r="F4472" t="s">
        <v>44</v>
      </c>
      <c r="G4472">
        <v>-352.95679999999999</v>
      </c>
      <c r="H4472">
        <v>0.95909250000000001</v>
      </c>
      <c r="I4472">
        <v>215.33750000000001</v>
      </c>
      <c r="J4472">
        <v>-353.29759999999999</v>
      </c>
      <c r="K4472">
        <v>1.121022</v>
      </c>
      <c r="L4472">
        <v>215.45740000000001</v>
      </c>
      <c r="M4472">
        <v>0.9998726</v>
      </c>
      <c r="N4472">
        <v>-1.450016E-2</v>
      </c>
      <c r="O4472">
        <v>-6.66981E-3</v>
      </c>
      <c r="P4472">
        <v>0.99796859999999998</v>
      </c>
      <c r="Q4472">
        <v>-6.1821969999999997E-2</v>
      </c>
      <c r="R4472">
        <v>1.540011E-2</v>
      </c>
      <c r="S4472">
        <v>2.9718930000000001</v>
      </c>
      <c r="T4472">
        <v>-0.69165480000000001</v>
      </c>
      <c r="U4472">
        <v>-0.521347</v>
      </c>
      <c r="V4472">
        <v>-2.2059410000000002E-2</v>
      </c>
      <c r="W4472">
        <v>-4.734534E-2</v>
      </c>
      <c r="X4472">
        <v>0.99863500000000005</v>
      </c>
      <c r="Y4472">
        <v>0.1618927</v>
      </c>
      <c r="Z4472">
        <v>-1.8228040000000001E-2</v>
      </c>
      <c r="AA4472">
        <v>0.98663999999999996</v>
      </c>
      <c r="AB4472">
        <v>34</v>
      </c>
      <c r="AC4472">
        <v>0.34080000000000099</v>
      </c>
      <c r="AD4472">
        <v>-0.1619295</v>
      </c>
      <c r="AE4472">
        <v>-0.11990000000000101</v>
      </c>
      <c r="AF4472">
        <v>9.7946830755817504E-2</v>
      </c>
      <c r="AG4472">
        <v>-0.1619295</v>
      </c>
      <c r="AH4472">
        <v>0.284447632203981</v>
      </c>
      <c r="AI4472">
        <v>118.291797241319</v>
      </c>
      <c r="AJ4472">
        <v>70.999341556170904</v>
      </c>
      <c r="AK4472">
        <v>0.34165069894822397</v>
      </c>
      <c r="AL4472">
        <v>92.713702552857697</v>
      </c>
      <c r="AM4472">
        <v>91.265432892995705</v>
      </c>
      <c r="AN4472">
        <v>1.00000003100713</v>
      </c>
    </row>
    <row r="4473" spans="1:40" x14ac:dyDescent="0.25">
      <c r="A4473" t="str">
        <f>"20190303153857853"</f>
        <v>20190303153857853</v>
      </c>
      <c r="B4473" t="str">
        <f>"1551598737842832"</f>
        <v>1551598737842832</v>
      </c>
      <c r="C4473" t="s">
        <v>40</v>
      </c>
      <c r="D4473">
        <v>4.2623189999999997</v>
      </c>
      <c r="E4473">
        <v>0.56885109999999905</v>
      </c>
      <c r="F4473" t="s">
        <v>44</v>
      </c>
      <c r="G4473">
        <v>-352.37279999999998</v>
      </c>
      <c r="H4473">
        <v>0.90463919999999998</v>
      </c>
      <c r="I4473">
        <v>215.29490000000001</v>
      </c>
      <c r="J4473">
        <v>-352.97370000000001</v>
      </c>
      <c r="K4473">
        <v>1.121027</v>
      </c>
      <c r="L4473">
        <v>215.45519999999999</v>
      </c>
      <c r="M4473">
        <v>0.99987250000000005</v>
      </c>
      <c r="N4473">
        <v>-1.4508460000000001E-2</v>
      </c>
      <c r="O4473">
        <v>-6.6694759999999997E-3</v>
      </c>
      <c r="P4473">
        <v>0.99789459999999996</v>
      </c>
      <c r="Q4473">
        <v>-6.3138169999999993E-2</v>
      </c>
      <c r="R4473">
        <v>1.4827150000000001E-2</v>
      </c>
      <c r="S4473">
        <v>2.97113</v>
      </c>
      <c r="T4473">
        <v>-0.69514010000000004</v>
      </c>
      <c r="U4473">
        <v>-0.52180479999999996</v>
      </c>
      <c r="V4473">
        <v>-2.1485199999999999E-2</v>
      </c>
      <c r="W4473">
        <v>-4.8654280000000001E-2</v>
      </c>
      <c r="X4473">
        <v>0.99858460000000004</v>
      </c>
      <c r="Y4473">
        <v>0.16203580000000001</v>
      </c>
      <c r="Z4473">
        <v>-1.8333599999999999E-2</v>
      </c>
      <c r="AA4473">
        <v>0.98661460000000001</v>
      </c>
      <c r="AB4473">
        <v>34</v>
      </c>
      <c r="AC4473">
        <v>0.60090000000002397</v>
      </c>
      <c r="AD4473">
        <v>-0.21638779999999999</v>
      </c>
      <c r="AE4473">
        <v>-0.16029999999997799</v>
      </c>
      <c r="AF4473">
        <v>0.13941105303748999</v>
      </c>
      <c r="AG4473">
        <v>-0.21638779999999999</v>
      </c>
      <c r="AH4473">
        <v>0.53695182382999196</v>
      </c>
      <c r="AI4473">
        <v>111.30878608611999</v>
      </c>
      <c r="AJ4473">
        <v>75.445417661885003</v>
      </c>
      <c r="AK4473">
        <v>0.59546316662931897</v>
      </c>
      <c r="AL4473">
        <v>92.788785846904702</v>
      </c>
      <c r="AM4473">
        <v>91.232565953972895</v>
      </c>
      <c r="AN4473">
        <v>1.00000002806925</v>
      </c>
    </row>
    <row r="4474" spans="1:40" x14ac:dyDescent="0.25">
      <c r="A4474" t="str">
        <f>"20190303153857876"</f>
        <v>20190303153857876</v>
      </c>
      <c r="B4474" t="str">
        <f>"1551598737873087"</f>
        <v>1551598737873087</v>
      </c>
      <c r="C4474" t="s">
        <v>40</v>
      </c>
      <c r="D4474">
        <v>4.2279309999999999</v>
      </c>
      <c r="E4474">
        <v>0.56848520000000002</v>
      </c>
      <c r="F4474" t="s">
        <v>44</v>
      </c>
      <c r="G4474">
        <v>-352.06869999999998</v>
      </c>
      <c r="H4474">
        <v>0.9071285</v>
      </c>
      <c r="I4474">
        <v>215.29589999999999</v>
      </c>
      <c r="J4474">
        <v>-352.63659999999999</v>
      </c>
      <c r="K4474">
        <v>1.12103</v>
      </c>
      <c r="L4474">
        <v>215.4529</v>
      </c>
      <c r="M4474">
        <v>0.99987250000000005</v>
      </c>
      <c r="N4474">
        <v>-1.4515419999999999E-2</v>
      </c>
      <c r="O4474">
        <v>-6.6696200000000002E-3</v>
      </c>
      <c r="P4474">
        <v>0.99789749999999999</v>
      </c>
      <c r="Q4474">
        <v>-6.3276479999999996E-2</v>
      </c>
      <c r="R4474">
        <v>1.4041E-2</v>
      </c>
      <c r="S4474">
        <v>2.9696660000000001</v>
      </c>
      <c r="T4474">
        <v>-0.70197580000000004</v>
      </c>
      <c r="U4474">
        <v>-0.52146910000000002</v>
      </c>
      <c r="V4474">
        <v>-2.0699869999999999E-2</v>
      </c>
      <c r="W4474">
        <v>-4.8785599999999998E-2</v>
      </c>
      <c r="X4474">
        <v>0.9985948</v>
      </c>
      <c r="Y4474">
        <v>0.16192670000000001</v>
      </c>
      <c r="Z4474">
        <v>-1.849251E-2</v>
      </c>
      <c r="AA4474">
        <v>0.98662950000000005</v>
      </c>
      <c r="AB4474">
        <v>34</v>
      </c>
      <c r="AC4474">
        <v>0.56790000000000795</v>
      </c>
      <c r="AD4474">
        <v>-0.21390149999999999</v>
      </c>
      <c r="AE4474">
        <v>-0.15700000000000999</v>
      </c>
      <c r="AF4474">
        <v>0.13536765951245</v>
      </c>
      <c r="AG4474">
        <v>-0.21390149999999999</v>
      </c>
      <c r="AH4474">
        <v>0.50268347139676495</v>
      </c>
      <c r="AI4474">
        <v>112.33687771709</v>
      </c>
      <c r="AJ4474">
        <v>74.928344657443006</v>
      </c>
      <c r="AK4474">
        <v>0.56282228754699304</v>
      </c>
      <c r="AL4474">
        <v>92.796318821155097</v>
      </c>
      <c r="AM4474">
        <v>91.187514052499907</v>
      </c>
      <c r="AN4474">
        <v>1.0000000469862</v>
      </c>
    </row>
    <row r="4475" spans="1:40" x14ac:dyDescent="0.25">
      <c r="A4475" t="str">
        <f>"20190303153857898"</f>
        <v>20190303153857898</v>
      </c>
      <c r="B4475" t="str">
        <f>"1551598737892608"</f>
        <v>1551598737892608</v>
      </c>
      <c r="C4475" t="s">
        <v>40</v>
      </c>
      <c r="D4475">
        <v>4.2170249999999996</v>
      </c>
      <c r="E4475">
        <v>0.56827879999999997</v>
      </c>
      <c r="F4475" t="s">
        <v>44</v>
      </c>
      <c r="G4475">
        <v>-351.76350000000002</v>
      </c>
      <c r="H4475">
        <v>0.91315590000000002</v>
      </c>
      <c r="I4475">
        <v>215.2996</v>
      </c>
      <c r="J4475">
        <v>-352.29180000000002</v>
      </c>
      <c r="K4475">
        <v>1.1210359999999999</v>
      </c>
      <c r="L4475">
        <v>215.45070000000001</v>
      </c>
      <c r="M4475">
        <v>0.99987230000000005</v>
      </c>
      <c r="N4475">
        <v>-1.4521020000000001E-2</v>
      </c>
      <c r="O4475">
        <v>-6.6695239999999996E-3</v>
      </c>
      <c r="P4475">
        <v>0.99790500000000004</v>
      </c>
      <c r="Q4475">
        <v>-6.3204049999999998E-2</v>
      </c>
      <c r="R4475">
        <v>1.3812430000000001E-2</v>
      </c>
      <c r="S4475">
        <v>2.968842</v>
      </c>
      <c r="T4475">
        <v>-0.70689789999999997</v>
      </c>
      <c r="U4475">
        <v>-0.52085879999999996</v>
      </c>
      <c r="V4475">
        <v>-2.0470430000000001E-2</v>
      </c>
      <c r="W4475">
        <v>-4.8707529999999999E-2</v>
      </c>
      <c r="X4475">
        <v>0.99860329999999997</v>
      </c>
      <c r="Y4475">
        <v>0.16172020000000001</v>
      </c>
      <c r="Z4475">
        <v>-1.8589919999999999E-2</v>
      </c>
      <c r="AA4475">
        <v>0.98666160000000003</v>
      </c>
      <c r="AB4475">
        <v>34</v>
      </c>
      <c r="AC4475">
        <v>0.52830000000000099</v>
      </c>
      <c r="AD4475">
        <v>-0.20788009999999901</v>
      </c>
      <c r="AE4475">
        <v>-0.151100000000013</v>
      </c>
      <c r="AF4475">
        <v>0.129095866957847</v>
      </c>
      <c r="AG4475">
        <v>-0.20788009999999901</v>
      </c>
      <c r="AH4475">
        <v>0.46302544249185601</v>
      </c>
      <c r="AI4475">
        <v>113.386848909243</v>
      </c>
      <c r="AJ4475">
        <v>74.421027655108702</v>
      </c>
      <c r="AK4475">
        <v>0.52371026268003196</v>
      </c>
      <c r="AL4475">
        <v>92.791840529302505</v>
      </c>
      <c r="AM4475">
        <v>91.174345208796396</v>
      </c>
      <c r="AN4475">
        <v>1.0000000063769801</v>
      </c>
    </row>
    <row r="4476" spans="1:40" x14ac:dyDescent="0.25">
      <c r="A4476" t="str">
        <f>"20190303153857921"</f>
        <v>20190303153857921</v>
      </c>
      <c r="B4476" t="str">
        <f>"1551598737913103"</f>
        <v>1551598737913103</v>
      </c>
      <c r="C4476" t="s">
        <v>40</v>
      </c>
      <c r="D4476">
        <v>4.1163569999999998</v>
      </c>
      <c r="E4476">
        <v>0.56818919999999995</v>
      </c>
      <c r="F4476" t="s">
        <v>44</v>
      </c>
      <c r="G4476">
        <v>-351.45760000000001</v>
      </c>
      <c r="H4476">
        <v>0.92178079999999996</v>
      </c>
      <c r="I4476">
        <v>215.30430000000001</v>
      </c>
      <c r="J4476">
        <v>-351.94549999999998</v>
      </c>
      <c r="K4476">
        <v>1.1210530000000001</v>
      </c>
      <c r="L4476">
        <v>215.44829999999999</v>
      </c>
      <c r="M4476">
        <v>0.99987230000000005</v>
      </c>
      <c r="N4476">
        <v>-1.4525369999999999E-2</v>
      </c>
      <c r="O4476">
        <v>-6.6696630000000002E-3</v>
      </c>
      <c r="P4476">
        <v>0.99795140000000004</v>
      </c>
      <c r="Q4476">
        <v>-6.2480019999999997E-2</v>
      </c>
      <c r="R4476">
        <v>1.375998E-2</v>
      </c>
      <c r="S4476">
        <v>2.9685670000000002</v>
      </c>
      <c r="T4476">
        <v>-0.7091132</v>
      </c>
      <c r="U4476">
        <v>-0.51930240000000005</v>
      </c>
      <c r="V4476">
        <v>-2.0418780000000001E-2</v>
      </c>
      <c r="W4476">
        <v>-4.797858E-2</v>
      </c>
      <c r="X4476">
        <v>0.99863959999999996</v>
      </c>
      <c r="Y4476">
        <v>0.1612198</v>
      </c>
      <c r="Z4476">
        <v>-1.8583140000000001E-2</v>
      </c>
      <c r="AA4476">
        <v>0.98674360000000005</v>
      </c>
      <c r="AB4476">
        <v>34</v>
      </c>
      <c r="AC4476">
        <v>0.48789999999996703</v>
      </c>
      <c r="AD4476">
        <v>-0.19927220000000001</v>
      </c>
      <c r="AE4476">
        <v>-0.14399999999997701</v>
      </c>
      <c r="AF4476">
        <v>0.122018881438637</v>
      </c>
      <c r="AG4476">
        <v>-0.19927220000000001</v>
      </c>
      <c r="AH4476">
        <v>0.42381629764698903</v>
      </c>
      <c r="AI4476">
        <v>114.314976828897</v>
      </c>
      <c r="AJ4476">
        <v>73.938619522111793</v>
      </c>
      <c r="AK4476">
        <v>0.48396102247141498</v>
      </c>
      <c r="AL4476">
        <v>92.750026005799896</v>
      </c>
      <c r="AM4476">
        <v>91.171340417070297</v>
      </c>
      <c r="AN4476">
        <v>0.99999996070183095</v>
      </c>
    </row>
    <row r="4477" spans="1:40" x14ac:dyDescent="0.25">
      <c r="A4477" t="str">
        <f>"20190303153857944"</f>
        <v>20190303153857944</v>
      </c>
      <c r="B4477" t="str">
        <f>"1551598737932623"</f>
        <v>1551598737932623</v>
      </c>
      <c r="C4477" t="s">
        <v>40</v>
      </c>
      <c r="D4477">
        <v>4.0563949999999904</v>
      </c>
      <c r="E4477">
        <v>0.56833489999999998</v>
      </c>
      <c r="F4477" t="s">
        <v>44</v>
      </c>
      <c r="G4477">
        <v>-351.15129999999999</v>
      </c>
      <c r="H4477">
        <v>0.93164049999999998</v>
      </c>
      <c r="I4477">
        <v>215.3092</v>
      </c>
      <c r="J4477">
        <v>-351.6078</v>
      </c>
      <c r="K4477">
        <v>1.121051</v>
      </c>
      <c r="L4477">
        <v>215.4461</v>
      </c>
      <c r="M4477">
        <v>0.99987219999999999</v>
      </c>
      <c r="N4477">
        <v>-1.452853E-2</v>
      </c>
      <c r="O4477">
        <v>-6.6696769999999997E-3</v>
      </c>
      <c r="P4477">
        <v>0.99789609999999995</v>
      </c>
      <c r="Q4477">
        <v>-6.3247520000000002E-2</v>
      </c>
      <c r="R4477">
        <v>1.424482E-2</v>
      </c>
      <c r="S4477">
        <v>2.9689939999999999</v>
      </c>
      <c r="T4477">
        <v>-0.70811669999999904</v>
      </c>
      <c r="U4477">
        <v>-0.519455</v>
      </c>
      <c r="V4477">
        <v>-2.0902759999999999E-2</v>
      </c>
      <c r="W4477">
        <v>-4.8743710000000003E-2</v>
      </c>
      <c r="X4477">
        <v>0.99859260000000005</v>
      </c>
      <c r="Y4477">
        <v>0.16125719999999999</v>
      </c>
      <c r="Z4477">
        <v>-1.8561910000000001E-2</v>
      </c>
      <c r="AA4477">
        <v>0.9867378</v>
      </c>
      <c r="AB4477">
        <v>34</v>
      </c>
      <c r="AC4477">
        <v>0.45650000000000501</v>
      </c>
      <c r="AD4477">
        <v>-0.18941049999999901</v>
      </c>
      <c r="AE4477">
        <v>-0.136899999999997</v>
      </c>
      <c r="AF4477">
        <v>0.115593633892189</v>
      </c>
      <c r="AG4477">
        <v>-0.18941049999999901</v>
      </c>
      <c r="AH4477">
        <v>0.39501021000055198</v>
      </c>
      <c r="AI4477">
        <v>114.712248185137</v>
      </c>
      <c r="AJ4477">
        <v>73.688700844250306</v>
      </c>
      <c r="AK4477">
        <v>0.45306874943139902</v>
      </c>
      <c r="AL4477">
        <v>92.793915896137705</v>
      </c>
      <c r="AM4477">
        <v>91.199152743277395</v>
      </c>
      <c r="AN4477">
        <v>1.0000000277074701</v>
      </c>
    </row>
    <row r="4478" spans="1:40" x14ac:dyDescent="0.25">
      <c r="A4478" t="str">
        <f>"20190303153857964"</f>
        <v>20190303153857964</v>
      </c>
      <c r="B4478" t="str">
        <f>"1551598737953119"</f>
        <v>1551598737953119</v>
      </c>
      <c r="C4478" t="s">
        <v>40</v>
      </c>
      <c r="D4478">
        <v>3.9916</v>
      </c>
      <c r="E4478">
        <v>0.56855919999999904</v>
      </c>
      <c r="F4478" t="s">
        <v>44</v>
      </c>
      <c r="G4478">
        <v>-350.84640000000002</v>
      </c>
      <c r="H4478">
        <v>0.9385599</v>
      </c>
      <c r="I4478">
        <v>215.31270000000001</v>
      </c>
      <c r="J4478">
        <v>-351.29050000000001</v>
      </c>
      <c r="K4478">
        <v>1.1210519999999999</v>
      </c>
      <c r="L4478">
        <v>215.44399999999999</v>
      </c>
      <c r="M4478">
        <v>0.99987219999999999</v>
      </c>
      <c r="N4478">
        <v>-1.4530650000000001E-2</v>
      </c>
      <c r="O4478">
        <v>-6.6699239999999998E-3</v>
      </c>
      <c r="P4478">
        <v>0.99795420000000001</v>
      </c>
      <c r="Q4478">
        <v>-6.2306649999999998E-2</v>
      </c>
      <c r="R4478">
        <v>1.432782E-2</v>
      </c>
      <c r="S4478">
        <v>2.9686279999999998</v>
      </c>
      <c r="T4478">
        <v>-0.71147629999999995</v>
      </c>
      <c r="U4478">
        <v>-0.51931759999999905</v>
      </c>
      <c r="V4478">
        <v>-2.0986100000000001E-2</v>
      </c>
      <c r="W4478">
        <v>-4.7800000000000002E-2</v>
      </c>
      <c r="X4478">
        <v>0.99863639999999998</v>
      </c>
      <c r="Y4478">
        <v>0.16119310000000001</v>
      </c>
      <c r="Z4478">
        <v>-1.863604E-2</v>
      </c>
      <c r="AA4478">
        <v>0.98674689999999998</v>
      </c>
      <c r="AB4478">
        <v>34</v>
      </c>
      <c r="AC4478">
        <v>0.444099999999991</v>
      </c>
      <c r="AD4478">
        <v>-0.18249209999999999</v>
      </c>
      <c r="AE4478">
        <v>-0.13130000000000999</v>
      </c>
      <c r="AF4478">
        <v>0.111084732345074</v>
      </c>
      <c r="AG4478">
        <v>-0.18249209999999999</v>
      </c>
      <c r="AH4478">
        <v>0.38515650227229098</v>
      </c>
      <c r="AI4478">
        <v>114.477698352861</v>
      </c>
      <c r="AJ4478">
        <v>73.911670062922099</v>
      </c>
      <c r="AK4478">
        <v>0.44044150072990701</v>
      </c>
      <c r="AL4478">
        <v>92.739782379726705</v>
      </c>
      <c r="AM4478">
        <v>91.203879612083497</v>
      </c>
      <c r="AN4478">
        <v>0.99999995789908402</v>
      </c>
    </row>
    <row r="4479" spans="1:40" x14ac:dyDescent="0.25">
      <c r="A4479" t="str">
        <f>"20190303153858122"</f>
        <v>20190303153858122</v>
      </c>
      <c r="B4479" t="str">
        <f>"1551598738113187"</f>
        <v>1551598738113187</v>
      </c>
      <c r="C4479" t="s">
        <v>40</v>
      </c>
      <c r="D4479">
        <v>3.8959760000000001</v>
      </c>
      <c r="E4479">
        <v>0.54246609999999995</v>
      </c>
      <c r="F4479" t="s">
        <v>44</v>
      </c>
      <c r="G4479">
        <v>-348.43950000000001</v>
      </c>
      <c r="H4479">
        <v>0.92605320000000002</v>
      </c>
      <c r="I4479">
        <v>215.28569999999999</v>
      </c>
      <c r="J4479">
        <v>-348.91919999999999</v>
      </c>
      <c r="K4479">
        <v>1.1208229999999999</v>
      </c>
      <c r="L4479">
        <v>215.4281</v>
      </c>
      <c r="M4479">
        <v>0.99989119999999998</v>
      </c>
      <c r="N4479">
        <v>-1.31635E-2</v>
      </c>
      <c r="O4479">
        <v>-6.668579E-3</v>
      </c>
      <c r="P4479">
        <v>0.99805940000000004</v>
      </c>
      <c r="Q4479">
        <v>-6.0592479999999997E-2</v>
      </c>
      <c r="R4479">
        <v>1.436377E-2</v>
      </c>
      <c r="S4479">
        <v>2.9703979999999999</v>
      </c>
      <c r="T4479">
        <v>-0.70488619999999902</v>
      </c>
      <c r="U4479">
        <v>-0.52191160000000003</v>
      </c>
      <c r="V4479">
        <v>-2.1021680000000001E-2</v>
      </c>
      <c r="W4479">
        <v>-4.7450029999999997E-2</v>
      </c>
      <c r="X4479">
        <v>0.9986524</v>
      </c>
      <c r="Y4479">
        <v>0.16202130000000001</v>
      </c>
      <c r="Z4479">
        <v>-1.8448829999999999E-2</v>
      </c>
      <c r="AA4479">
        <v>0.98661480000000001</v>
      </c>
      <c r="AB4479">
        <v>34</v>
      </c>
      <c r="AC4479">
        <v>0.47969999999997898</v>
      </c>
      <c r="AD4479">
        <v>-0.19476979999999999</v>
      </c>
      <c r="AE4479">
        <v>-0.14240000000000899</v>
      </c>
      <c r="AF4479">
        <v>0.120883242208463</v>
      </c>
      <c r="AG4479">
        <v>-0.19476979999999999</v>
      </c>
      <c r="AH4479">
        <v>0.417400780001424</v>
      </c>
      <c r="AI4479">
        <v>114.142275876103</v>
      </c>
      <c r="AJ4479">
        <v>73.848480063973398</v>
      </c>
      <c r="AK4479">
        <v>0.47620525446982198</v>
      </c>
      <c r="AL4479">
        <v>92.719707637208998</v>
      </c>
      <c r="AM4479">
        <v>91.205900761836006</v>
      </c>
      <c r="AN4479">
        <v>1.00000001620139</v>
      </c>
    </row>
    <row r="4480" spans="1:40" x14ac:dyDescent="0.25">
      <c r="A4480" t="str">
        <f>"20190303153858146"</f>
        <v>20190303153858146</v>
      </c>
      <c r="B4480" t="str">
        <f>"1551598738143439"</f>
        <v>1551598738143439</v>
      </c>
      <c r="C4480" t="s">
        <v>40</v>
      </c>
      <c r="D4480">
        <v>3.9210189999999998</v>
      </c>
      <c r="E4480">
        <v>0.53375850000000002</v>
      </c>
      <c r="F4480" t="s">
        <v>66</v>
      </c>
      <c r="G4480">
        <v>-168.41579999999999</v>
      </c>
      <c r="H4480">
        <v>7.9999839999999898</v>
      </c>
      <c r="I4480">
        <v>198.29329999999999</v>
      </c>
      <c r="J4480">
        <v>-348.56020000000001</v>
      </c>
      <c r="K4480">
        <v>1.1208129999999901</v>
      </c>
      <c r="L4480">
        <v>215.42570000000001</v>
      </c>
      <c r="M4480">
        <v>0.99989399999999995</v>
      </c>
      <c r="N4480">
        <v>-1.295348E-2</v>
      </c>
      <c r="O4480">
        <v>-6.6681639999999999E-3</v>
      </c>
      <c r="P4480">
        <v>0.99809510000000001</v>
      </c>
      <c r="Q4480">
        <v>-5.998821E-2</v>
      </c>
      <c r="R4480">
        <v>1.443386E-2</v>
      </c>
      <c r="S4480">
        <v>3.016937</v>
      </c>
      <c r="T4480">
        <v>0.114979</v>
      </c>
      <c r="U4480">
        <v>-0.28639219999999999</v>
      </c>
      <c r="V4480">
        <v>-2.1091599999999999E-2</v>
      </c>
      <c r="W4480">
        <v>-4.7055109999999997E-2</v>
      </c>
      <c r="X4480">
        <v>0.99866960000000005</v>
      </c>
      <c r="Y4480">
        <v>8.7829359999999995E-2</v>
      </c>
      <c r="Z4480">
        <v>7.5940250000000001E-4</v>
      </c>
      <c r="AA4480">
        <v>0.9961352</v>
      </c>
      <c r="AB4480">
        <v>34</v>
      </c>
      <c r="AC4480">
        <v>180.14439999999999</v>
      </c>
      <c r="AD4480">
        <v>6.8791710000000004</v>
      </c>
      <c r="AE4480">
        <v>-17.132400000000001</v>
      </c>
      <c r="AF4480">
        <v>15.9076966113072</v>
      </c>
      <c r="AG4480">
        <v>6.8791710000000004</v>
      </c>
      <c r="AH4480">
        <v>179.99452202125201</v>
      </c>
      <c r="AI4480">
        <v>87.819780299007306</v>
      </c>
      <c r="AJ4480">
        <v>84.949391298765505</v>
      </c>
      <c r="AK4480">
        <v>180.82700507054699</v>
      </c>
      <c r="AL4480">
        <v>92.697055116354505</v>
      </c>
      <c r="AM4480">
        <v>91.2098896740317</v>
      </c>
      <c r="AN4480">
        <v>1.0000000044659101</v>
      </c>
    </row>
    <row r="4481" spans="1:40" x14ac:dyDescent="0.25">
      <c r="A4481" t="str">
        <f>"20190303153858165"</f>
        <v>20190303153858165</v>
      </c>
      <c r="B4481" t="str">
        <f>"1551598738153200"</f>
        <v>1551598738153200</v>
      </c>
      <c r="C4481" t="s">
        <v>40</v>
      </c>
      <c r="D4481">
        <v>3.868341</v>
      </c>
      <c r="E4481">
        <v>0.53001279999999995</v>
      </c>
      <c r="F4481" t="s">
        <v>66</v>
      </c>
      <c r="G4481">
        <v>-168.41329999999999</v>
      </c>
      <c r="H4481">
        <v>4.3287979999999999</v>
      </c>
      <c r="I4481">
        <v>202.33629999999999</v>
      </c>
      <c r="J4481">
        <v>-348.26310000000001</v>
      </c>
      <c r="K4481">
        <v>1.1208039999999999</v>
      </c>
      <c r="L4481">
        <v>215.4238</v>
      </c>
      <c r="M4481">
        <v>0.99989600000000001</v>
      </c>
      <c r="N4481">
        <v>-1.2793830000000001E-2</v>
      </c>
      <c r="O4481">
        <v>-6.6678550000000003E-3</v>
      </c>
      <c r="P4481">
        <v>0.99812089999999998</v>
      </c>
      <c r="Q4481">
        <v>-5.9609299999999997E-2</v>
      </c>
      <c r="R4481">
        <v>1.421146E-2</v>
      </c>
      <c r="S4481">
        <v>3.0120849999999999</v>
      </c>
      <c r="T4481">
        <v>5.3638579999999998E-2</v>
      </c>
      <c r="U4481">
        <v>-0.21885679999999999</v>
      </c>
      <c r="V4481">
        <v>-2.0868959999999999E-2</v>
      </c>
      <c r="W4481">
        <v>-4.6835349999999998E-2</v>
      </c>
      <c r="X4481">
        <v>0.99868460000000003</v>
      </c>
      <c r="Y4481">
        <v>6.5816260000000001E-2</v>
      </c>
      <c r="Z4481" s="1">
        <v>-4.0157349999999999E-5</v>
      </c>
      <c r="AA4481">
        <v>0.99783180000000005</v>
      </c>
      <c r="AB4481">
        <v>34</v>
      </c>
      <c r="AC4481">
        <v>179.84979999999999</v>
      </c>
      <c r="AD4481">
        <v>3.2079939999999998</v>
      </c>
      <c r="AE4481">
        <v>-13.0875</v>
      </c>
      <c r="AF4481">
        <v>11.8841374045146</v>
      </c>
      <c r="AG4481">
        <v>3.2079939999999998</v>
      </c>
      <c r="AH4481">
        <v>179.876145751389</v>
      </c>
      <c r="AI4481">
        <v>88.980491210647898</v>
      </c>
      <c r="AJ4481">
        <v>86.220050380069196</v>
      </c>
      <c r="AK4481">
        <v>180.29684344915299</v>
      </c>
      <c r="AL4481">
        <v>92.684449918538405</v>
      </c>
      <c r="AM4481">
        <v>91.197104007817401</v>
      </c>
      <c r="AN4481">
        <v>0.99999999688913199</v>
      </c>
    </row>
    <row r="4482" spans="1:40" x14ac:dyDescent="0.25">
      <c r="A4482" t="str">
        <f>"20190303153858188"</f>
        <v>20190303153858188</v>
      </c>
      <c r="B4482" t="str">
        <f>"1551598738183455"</f>
        <v>1551598738183455</v>
      </c>
      <c r="C4482" t="s">
        <v>40</v>
      </c>
      <c r="D4482">
        <v>3.9500639999999998</v>
      </c>
      <c r="E4482">
        <v>0.52692620000000001</v>
      </c>
      <c r="F4482" t="s">
        <v>66</v>
      </c>
      <c r="G4482">
        <v>-168.41299999999899</v>
      </c>
      <c r="H4482">
        <v>5.3230969999999997</v>
      </c>
      <c r="I4482">
        <v>204.14340000000001</v>
      </c>
      <c r="J4482">
        <v>-347.91500000000002</v>
      </c>
      <c r="K4482">
        <v>1.1208</v>
      </c>
      <c r="L4482">
        <v>215.42140000000001</v>
      </c>
      <c r="M4482">
        <v>0.99989819999999996</v>
      </c>
      <c r="N4482">
        <v>-1.262079E-2</v>
      </c>
      <c r="O4482">
        <v>-6.6675930000000003E-3</v>
      </c>
      <c r="P4482">
        <v>0.99817250000000002</v>
      </c>
      <c r="Q4482">
        <v>-5.8819980000000001E-2</v>
      </c>
      <c r="R4482">
        <v>1.386414E-2</v>
      </c>
      <c r="S4482">
        <v>3.012543</v>
      </c>
      <c r="T4482">
        <v>7.0390220000000003E-2</v>
      </c>
      <c r="U4482">
        <v>-0.1889496</v>
      </c>
      <c r="V4482">
        <v>-2.0521910000000001E-2</v>
      </c>
      <c r="W4482">
        <v>-4.6218240000000001E-2</v>
      </c>
      <c r="X4482">
        <v>0.99872050000000001</v>
      </c>
      <c r="Y4482">
        <v>5.5938849999999998E-2</v>
      </c>
      <c r="Z4482" s="1">
        <v>5.9748589999999998E-5</v>
      </c>
      <c r="AA4482">
        <v>0.99843419999999905</v>
      </c>
      <c r="AB4482">
        <v>34</v>
      </c>
      <c r="AC4482">
        <v>179.50200000000001</v>
      </c>
      <c r="AD4482">
        <v>4.2022969999999997</v>
      </c>
      <c r="AE4482">
        <v>-11.277999999999899</v>
      </c>
      <c r="AF4482">
        <v>10.075307499567501</v>
      </c>
      <c r="AG4482">
        <v>4.2022969999999997</v>
      </c>
      <c r="AH4482">
        <v>179.47523441119699</v>
      </c>
      <c r="AI4482">
        <v>88.660809062953803</v>
      </c>
      <c r="AJ4482">
        <v>86.786925328568202</v>
      </c>
      <c r="AK4482">
        <v>179.80692669705701</v>
      </c>
      <c r="AL4482">
        <v>92.649053895752502</v>
      </c>
      <c r="AM4482">
        <v>91.177159560010196</v>
      </c>
      <c r="AN4482">
        <v>0.99999995580949597</v>
      </c>
    </row>
    <row r="4483" spans="1:40" x14ac:dyDescent="0.25">
      <c r="A4483" t="str">
        <f>"20190303153858202"</f>
        <v>20190303153858202</v>
      </c>
      <c r="B4483" t="str">
        <f>"1551598738193215"</f>
        <v>1551598738193215</v>
      </c>
      <c r="C4483" t="s">
        <v>40</v>
      </c>
      <c r="D4483">
        <v>3.9969130000000002</v>
      </c>
      <c r="E4483">
        <v>0.52563009999999999</v>
      </c>
      <c r="F4483" t="s">
        <v>66</v>
      </c>
      <c r="G4483">
        <v>-168.41220000000001</v>
      </c>
      <c r="H4483">
        <v>4.1309829999999996</v>
      </c>
      <c r="I4483">
        <v>205.5172</v>
      </c>
      <c r="J4483">
        <v>-347.69990000000001</v>
      </c>
      <c r="K4483">
        <v>1.120797</v>
      </c>
      <c r="L4483">
        <v>215.42</v>
      </c>
      <c r="M4483">
        <v>0.99989950000000005</v>
      </c>
      <c r="N4483">
        <v>-1.252177E-2</v>
      </c>
      <c r="O4483">
        <v>-6.6674500000000001E-3</v>
      </c>
      <c r="P4483">
        <v>0.99820039999999999</v>
      </c>
      <c r="Q4483">
        <v>-5.836707E-2</v>
      </c>
      <c r="R4483">
        <v>1.3773789999999999E-2</v>
      </c>
      <c r="S4483">
        <v>3.0107729999999999</v>
      </c>
      <c r="T4483">
        <v>5.0489899999999997E-2</v>
      </c>
      <c r="U4483">
        <v>-0.1661224</v>
      </c>
      <c r="V4483">
        <v>-2.043128E-2</v>
      </c>
      <c r="W4483">
        <v>-4.5863920000000002E-2</v>
      </c>
      <c r="X4483">
        <v>0.99873880000000004</v>
      </c>
      <c r="Y4483">
        <v>4.8434280000000003E-2</v>
      </c>
      <c r="Z4483" s="1">
        <v>-9.2845759999999995E-5</v>
      </c>
      <c r="AA4483">
        <v>0.9988264</v>
      </c>
      <c r="AB4483">
        <v>34</v>
      </c>
      <c r="AC4483">
        <v>179.2877</v>
      </c>
      <c r="AD4483">
        <v>3.010186</v>
      </c>
      <c r="AE4483">
        <v>-9.9027999999999796</v>
      </c>
      <c r="AF4483">
        <v>8.7046481785518193</v>
      </c>
      <c r="AG4483">
        <v>3.010186</v>
      </c>
      <c r="AH4483">
        <v>179.29935615179201</v>
      </c>
      <c r="AI4483">
        <v>89.0393054318819</v>
      </c>
      <c r="AJ4483">
        <v>87.220579388916093</v>
      </c>
      <c r="AK4483">
        <v>179.53576589669899</v>
      </c>
      <c r="AL4483">
        <v>92.6287310197295</v>
      </c>
      <c r="AM4483">
        <v>91.171940907637705</v>
      </c>
      <c r="AN4483">
        <v>1.0000000634928199</v>
      </c>
    </row>
    <row r="4484" spans="1:40" x14ac:dyDescent="0.25">
      <c r="A4484" t="str">
        <f>"20190303153858217"</f>
        <v>20190303153858217</v>
      </c>
      <c r="B4484" t="str">
        <f>"1551598738212736"</f>
        <v>1551598738212736</v>
      </c>
      <c r="C4484" t="s">
        <v>40</v>
      </c>
      <c r="D4484">
        <v>3.8995320000000002</v>
      </c>
      <c r="E4484">
        <v>0.52580919999999998</v>
      </c>
      <c r="F4484" t="s">
        <v>66</v>
      </c>
      <c r="G4484">
        <v>-168.4118</v>
      </c>
      <c r="H4484">
        <v>3.6843189999999999</v>
      </c>
      <c r="I4484">
        <v>206.1079</v>
      </c>
      <c r="J4484">
        <v>-347.4778</v>
      </c>
      <c r="K4484">
        <v>1.120792</v>
      </c>
      <c r="L4484">
        <v>215.41849999999999</v>
      </c>
      <c r="M4484">
        <v>0.99990069999999998</v>
      </c>
      <c r="N4484">
        <v>-1.2422399999999899E-2</v>
      </c>
      <c r="O4484">
        <v>-6.6671889999999996E-3</v>
      </c>
      <c r="P4484">
        <v>0.99822339999999998</v>
      </c>
      <c r="Q4484">
        <v>-5.7991149999999998E-2</v>
      </c>
      <c r="R4484">
        <v>1.3674459999999999E-2</v>
      </c>
      <c r="S4484">
        <v>3.0100709999999999</v>
      </c>
      <c r="T4484">
        <v>4.3039559999999998E-2</v>
      </c>
      <c r="U4484">
        <v>-0.1563416</v>
      </c>
      <c r="V4484">
        <v>-2.033153E-2</v>
      </c>
      <c r="W4484">
        <v>-4.5587000000000003E-2</v>
      </c>
      <c r="X4484">
        <v>0.99875340000000001</v>
      </c>
      <c r="Y4484">
        <v>4.5211479999999998E-2</v>
      </c>
      <c r="Z4484">
        <v>-1.360481E-4</v>
      </c>
      <c r="AA4484">
        <v>0.99897740000000002</v>
      </c>
      <c r="AB4484">
        <v>34</v>
      </c>
      <c r="AC4484">
        <v>179.06599999999901</v>
      </c>
      <c r="AD4484">
        <v>2.5635270000000001</v>
      </c>
      <c r="AE4484">
        <v>-9.3105999999999902</v>
      </c>
      <c r="AF4484">
        <v>8.1147754992717296</v>
      </c>
      <c r="AG4484">
        <v>2.5635270000000001</v>
      </c>
      <c r="AH4484">
        <v>179.087494633799</v>
      </c>
      <c r="AI4484">
        <v>89.1807427607134</v>
      </c>
      <c r="AJ4484">
        <v>87.405600094986696</v>
      </c>
      <c r="AK4484">
        <v>179.28957578814899</v>
      </c>
      <c r="AL4484">
        <v>92.612848357697899</v>
      </c>
      <c r="AM4484">
        <v>91.166203775227004</v>
      </c>
      <c r="AN4484">
        <v>0.99999994984634899</v>
      </c>
    </row>
    <row r="4485" spans="1:40" x14ac:dyDescent="0.25">
      <c r="A4485" t="str">
        <f>"20190303153858234"</f>
        <v>20190303153858234</v>
      </c>
      <c r="B4485" t="str">
        <f>"1551598738223471"</f>
        <v>1551598738223471</v>
      </c>
      <c r="C4485" t="s">
        <v>40</v>
      </c>
      <c r="D4485">
        <v>3.9984030000000002</v>
      </c>
      <c r="E4485">
        <v>0.52492569999999905</v>
      </c>
      <c r="F4485" t="s">
        <v>66</v>
      </c>
      <c r="G4485">
        <v>-168.41200000000001</v>
      </c>
      <c r="H4485">
        <v>4.043285</v>
      </c>
      <c r="I4485">
        <v>206.0197</v>
      </c>
      <c r="J4485">
        <v>-347.22460000000001</v>
      </c>
      <c r="K4485">
        <v>1.1207849999999999</v>
      </c>
      <c r="L4485">
        <v>215.4169</v>
      </c>
      <c r="M4485">
        <v>0.99990210000000002</v>
      </c>
      <c r="N4485">
        <v>-1.2313569999999999E-2</v>
      </c>
      <c r="O4485">
        <v>-6.6669959999999997E-3</v>
      </c>
      <c r="P4485">
        <v>0.99824740000000001</v>
      </c>
      <c r="Q4485">
        <v>-5.755275E-2</v>
      </c>
      <c r="R4485">
        <v>1.3785230000000001E-2</v>
      </c>
      <c r="S4485">
        <v>3.0103149999999999</v>
      </c>
      <c r="T4485">
        <v>4.9131269999999998E-2</v>
      </c>
      <c r="U4485">
        <v>-0.158004799999999</v>
      </c>
      <c r="V4485">
        <v>-2.0442330000000002E-2</v>
      </c>
      <c r="W4485">
        <v>-4.5257029999999997E-2</v>
      </c>
      <c r="X4485">
        <v>0.99876620000000005</v>
      </c>
      <c r="Y4485">
        <v>4.575738E-2</v>
      </c>
      <c r="Z4485" s="1">
        <v>-9.9566650000000007E-5</v>
      </c>
      <c r="AA4485">
        <v>0.99895259999999997</v>
      </c>
      <c r="AB4485">
        <v>34</v>
      </c>
      <c r="AC4485">
        <v>178.8126</v>
      </c>
      <c r="AD4485">
        <v>2.9224999999999999</v>
      </c>
      <c r="AE4485">
        <v>-9.3971999999999891</v>
      </c>
      <c r="AF4485">
        <v>8.20257294046265</v>
      </c>
      <c r="AG4485">
        <v>2.9224999999999999</v>
      </c>
      <c r="AH4485">
        <v>178.82364467402701</v>
      </c>
      <c r="AI4485">
        <v>89.064686446472606</v>
      </c>
      <c r="AJ4485">
        <v>87.373705161314703</v>
      </c>
      <c r="AK4485">
        <v>179.035524697185</v>
      </c>
      <c r="AL4485">
        <v>92.593922792123095</v>
      </c>
      <c r="AM4485">
        <v>91.172542400925295</v>
      </c>
      <c r="AN4485">
        <v>1.00000000494134</v>
      </c>
    </row>
    <row r="4486" spans="1:40" x14ac:dyDescent="0.25">
      <c r="A4486" t="str">
        <f>"20190303153858255"</f>
        <v>20190303153858255</v>
      </c>
      <c r="B4486" t="str">
        <f>"1551598738242992"</f>
        <v>1551598738242992</v>
      </c>
      <c r="C4486" t="s">
        <v>40</v>
      </c>
      <c r="D4486">
        <v>4.0342599999999997</v>
      </c>
      <c r="E4486">
        <v>0.52351080000000005</v>
      </c>
      <c r="F4486" t="s">
        <v>66</v>
      </c>
      <c r="G4486">
        <v>-168.4117</v>
      </c>
      <c r="H4486">
        <v>3.5656699999999999</v>
      </c>
      <c r="I4486">
        <v>206.452</v>
      </c>
      <c r="J4486">
        <v>-346.90769999999998</v>
      </c>
      <c r="K4486">
        <v>1.120776</v>
      </c>
      <c r="L4486">
        <v>215.41470000000001</v>
      </c>
      <c r="M4486">
        <v>0.99990349999999995</v>
      </c>
      <c r="N4486">
        <v>-1.2186290000000001E-2</v>
      </c>
      <c r="O4486">
        <v>-6.6668140000000001E-3</v>
      </c>
      <c r="P4486">
        <v>0.99825609999999998</v>
      </c>
      <c r="Q4486">
        <v>-5.7438240000000002E-2</v>
      </c>
      <c r="R4486">
        <v>1.363119E-2</v>
      </c>
      <c r="S4486">
        <v>3.009735</v>
      </c>
      <c r="T4486">
        <v>4.115224E-2</v>
      </c>
      <c r="U4486">
        <v>-0.15089420000000001</v>
      </c>
      <c r="V4486">
        <v>-2.0288009999999999E-2</v>
      </c>
      <c r="W4486">
        <v>-4.526956E-2</v>
      </c>
      <c r="X4486">
        <v>0.99876869999999995</v>
      </c>
      <c r="Y4486">
        <v>4.34142E-2</v>
      </c>
      <c r="Z4486">
        <v>-1.4038660000000001E-4</v>
      </c>
      <c r="AA4486">
        <v>0.99905719999999998</v>
      </c>
      <c r="AB4486">
        <v>34</v>
      </c>
      <c r="AC4486">
        <v>178.49599999999899</v>
      </c>
      <c r="AD4486">
        <v>2.4448940000000001</v>
      </c>
      <c r="AE4486">
        <v>-8.9627000000000105</v>
      </c>
      <c r="AF4486">
        <v>7.7709584960904703</v>
      </c>
      <c r="AG4486">
        <v>2.4448940000000001</v>
      </c>
      <c r="AH4486">
        <v>178.518381555167</v>
      </c>
      <c r="AI4486">
        <v>89.216098407448698</v>
      </c>
      <c r="AJ4486">
        <v>87.507471154682094</v>
      </c>
      <c r="AK4486">
        <v>178.70416295009801</v>
      </c>
      <c r="AL4486">
        <v>92.594641649089695</v>
      </c>
      <c r="AM4486">
        <v>91.163690360797801</v>
      </c>
      <c r="AN4486">
        <v>0.99999992625601897</v>
      </c>
    </row>
    <row r="4487" spans="1:40" x14ac:dyDescent="0.25">
      <c r="A4487" t="str">
        <f>"20190303153858268"</f>
        <v>20190303153858268</v>
      </c>
      <c r="B4487" t="str">
        <f>"1551598738262512"</f>
        <v>1551598738262512</v>
      </c>
      <c r="C4487" t="s">
        <v>40</v>
      </c>
      <c r="D4487">
        <v>4.070354</v>
      </c>
      <c r="E4487">
        <v>0.52205840000000003</v>
      </c>
      <c r="F4487" t="s">
        <v>66</v>
      </c>
      <c r="G4487">
        <v>-168.41120000000001</v>
      </c>
      <c r="H4487">
        <v>2.6503809999999999</v>
      </c>
      <c r="I4487">
        <v>207.0762</v>
      </c>
      <c r="J4487">
        <v>-346.70150000000001</v>
      </c>
      <c r="K4487">
        <v>1.1207720000000001</v>
      </c>
      <c r="L4487">
        <v>215.4134</v>
      </c>
      <c r="M4487">
        <v>0.99990440000000003</v>
      </c>
      <c r="N4487">
        <v>-1.210695E-2</v>
      </c>
      <c r="O4487">
        <v>-6.6664530000000001E-3</v>
      </c>
      <c r="P4487">
        <v>0.99825900000000001</v>
      </c>
      <c r="Q4487">
        <v>-5.7408109999999998E-2</v>
      </c>
      <c r="R4487">
        <v>1.3545410000000001E-2</v>
      </c>
      <c r="S4487">
        <v>3.0086360000000001</v>
      </c>
      <c r="T4487">
        <v>2.5782699999999999E-2</v>
      </c>
      <c r="U4487">
        <v>-0.1405487</v>
      </c>
      <c r="V4487">
        <v>-2.020224E-2</v>
      </c>
      <c r="W4487">
        <v>-4.531864E-2</v>
      </c>
      <c r="X4487">
        <v>0.99876830000000005</v>
      </c>
      <c r="Y4487">
        <v>4.0005510000000001E-2</v>
      </c>
      <c r="Z4487">
        <v>-2.0875630000000001E-4</v>
      </c>
      <c r="AA4487">
        <v>0.99919950000000002</v>
      </c>
      <c r="AB4487">
        <v>34</v>
      </c>
      <c r="AC4487">
        <v>178.2903</v>
      </c>
      <c r="AD4487">
        <v>1.529609</v>
      </c>
      <c r="AE4487">
        <v>-8.3371999999999904</v>
      </c>
      <c r="AF4487">
        <v>7.1478386197281498</v>
      </c>
      <c r="AG4487">
        <v>1.529609</v>
      </c>
      <c r="AH4487">
        <v>178.328824055653</v>
      </c>
      <c r="AI4487">
        <v>89.508953866347994</v>
      </c>
      <c r="AJ4487">
        <v>87.704679113208002</v>
      </c>
      <c r="AK4487">
        <v>178.47857235449499</v>
      </c>
      <c r="AL4487">
        <v>92.597456388767895</v>
      </c>
      <c r="AM4487">
        <v>91.158772528170502</v>
      </c>
      <c r="AN4487">
        <v>1.0000000133586699</v>
      </c>
    </row>
    <row r="4488" spans="1:40" x14ac:dyDescent="0.25">
      <c r="A4488" t="str">
        <f>"20190303153858289"</f>
        <v>20190303153858289</v>
      </c>
      <c r="B4488" t="str">
        <f>"1551598738283007"</f>
        <v>1551598738283007</v>
      </c>
      <c r="C4488" t="s">
        <v>40</v>
      </c>
      <c r="D4488">
        <v>4.0406950000000004</v>
      </c>
      <c r="E4488">
        <v>0.52084969999999997</v>
      </c>
      <c r="F4488" t="s">
        <v>66</v>
      </c>
      <c r="G4488">
        <v>-168.41069999999999</v>
      </c>
      <c r="H4488">
        <v>1.932175</v>
      </c>
      <c r="I4488">
        <v>207.72069999999999</v>
      </c>
      <c r="J4488">
        <v>-346.3922</v>
      </c>
      <c r="K4488">
        <v>1.120762</v>
      </c>
      <c r="L4488">
        <v>215.41130000000001</v>
      </c>
      <c r="M4488">
        <v>0.99990590000000001</v>
      </c>
      <c r="N4488">
        <v>-1.1991740000000001E-2</v>
      </c>
      <c r="O4488">
        <v>-6.6662379999999997E-3</v>
      </c>
      <c r="P4488">
        <v>0.99825980000000003</v>
      </c>
      <c r="Q4488">
        <v>-5.7448050000000001E-2</v>
      </c>
      <c r="R4488">
        <v>1.3300309999999999E-2</v>
      </c>
      <c r="S4488">
        <v>3.0077820000000002</v>
      </c>
      <c r="T4488">
        <v>1.368904E-2</v>
      </c>
      <c r="U4488">
        <v>-0.129776</v>
      </c>
      <c r="V4488">
        <v>-1.9957309999999999E-2</v>
      </c>
      <c r="W4488">
        <v>-4.5473630000000001E-2</v>
      </c>
      <c r="X4488">
        <v>0.99876620000000005</v>
      </c>
      <c r="Y4488">
        <v>3.6446680000000002E-2</v>
      </c>
      <c r="Z4488">
        <v>-2.4596939999999999E-4</v>
      </c>
      <c r="AA4488">
        <v>0.99933559999999999</v>
      </c>
      <c r="AB4488">
        <v>34</v>
      </c>
      <c r="AC4488">
        <v>177.98150000000001</v>
      </c>
      <c r="AD4488">
        <v>0.81141299999999905</v>
      </c>
      <c r="AE4488">
        <v>-7.6906000000000097</v>
      </c>
      <c r="AF4488">
        <v>6.50374184331476</v>
      </c>
      <c r="AG4488">
        <v>0.81141299999999905</v>
      </c>
      <c r="AH4488">
        <v>178.02512258528901</v>
      </c>
      <c r="AI4488">
        <v>89.739029945073796</v>
      </c>
      <c r="AJ4488">
        <v>87.907759830728097</v>
      </c>
      <c r="AK4488">
        <v>178.14573057058701</v>
      </c>
      <c r="AL4488">
        <v>92.606345772768194</v>
      </c>
      <c r="AM4488">
        <v>91.144729849815405</v>
      </c>
      <c r="AN4488">
        <v>1.00000003375512</v>
      </c>
    </row>
    <row r="4489" spans="1:40" x14ac:dyDescent="0.25">
      <c r="A4489" t="str">
        <f>"20190303153858303"</f>
        <v>20190303153858303</v>
      </c>
      <c r="B4489" t="str">
        <f>"1551598738292496"</f>
        <v>1551598738292496</v>
      </c>
      <c r="C4489" t="s">
        <v>40</v>
      </c>
      <c r="D4489">
        <v>4.0585839999999997</v>
      </c>
      <c r="E4489">
        <v>0.52033629999999997</v>
      </c>
      <c r="F4489" t="s">
        <v>66</v>
      </c>
      <c r="G4489">
        <v>-169.393</v>
      </c>
      <c r="H4489">
        <v>1.306141</v>
      </c>
      <c r="I4489">
        <v>208.28890000000001</v>
      </c>
      <c r="J4489">
        <v>-346.17610000000002</v>
      </c>
      <c r="K4489">
        <v>1.1207560000000001</v>
      </c>
      <c r="L4489">
        <v>215.40989999999999</v>
      </c>
      <c r="M4489">
        <v>0.99990679999999998</v>
      </c>
      <c r="N4489">
        <v>-1.1916019999999999E-2</v>
      </c>
      <c r="O4489">
        <v>-6.6661450000000001E-3</v>
      </c>
      <c r="P4489">
        <v>0.99825680000000006</v>
      </c>
      <c r="Q4489">
        <v>-5.7495570000000003E-2</v>
      </c>
      <c r="R4489">
        <v>1.333324E-2</v>
      </c>
      <c r="S4489">
        <v>3.00705</v>
      </c>
      <c r="T4489">
        <v>3.149986E-3</v>
      </c>
      <c r="U4489">
        <v>-0.1210022</v>
      </c>
      <c r="V4489">
        <v>-1.999006E-2</v>
      </c>
      <c r="W4489">
        <v>-4.5596820000000003E-2</v>
      </c>
      <c r="X4489">
        <v>0.99875990000000003</v>
      </c>
      <c r="Y4489">
        <v>3.3545599999999898E-2</v>
      </c>
      <c r="Z4489">
        <v>-2.687767E-4</v>
      </c>
      <c r="AA4489">
        <v>0.99943720000000003</v>
      </c>
      <c r="AB4489">
        <v>34</v>
      </c>
      <c r="AC4489">
        <v>176.78309999999999</v>
      </c>
      <c r="AD4489">
        <v>0.18538499999999999</v>
      </c>
      <c r="AE4489">
        <v>-7.12099999999998</v>
      </c>
      <c r="AF4489">
        <v>5.94228980141237</v>
      </c>
      <c r="AG4489">
        <v>0.18538499999999999</v>
      </c>
      <c r="AH4489">
        <v>176.82645035017401</v>
      </c>
      <c r="AI4489">
        <v>89.939964967833404</v>
      </c>
      <c r="AJ4489">
        <v>88.075287675179197</v>
      </c>
      <c r="AK4489">
        <v>176.92636524589801</v>
      </c>
      <c r="AL4489">
        <v>92.613411443272</v>
      </c>
      <c r="AM4489">
        <v>91.146615084191396</v>
      </c>
      <c r="AN4489">
        <v>1.0000000051704601</v>
      </c>
    </row>
    <row r="4490" spans="1:40" x14ac:dyDescent="0.25">
      <c r="A4490" t="str">
        <f>"20190303153858316"</f>
        <v>20190303153858316</v>
      </c>
      <c r="B4490" t="str">
        <f>"1551598738312991"</f>
        <v>1551598738312991</v>
      </c>
      <c r="C4490" t="s">
        <v>40</v>
      </c>
      <c r="D4490">
        <v>4.0828810000000004</v>
      </c>
      <c r="E4490">
        <v>0.5195208</v>
      </c>
      <c r="F4490" t="s">
        <v>66</v>
      </c>
      <c r="G4490">
        <v>-169.39279999999999</v>
      </c>
      <c r="H4490">
        <v>1.044672</v>
      </c>
      <c r="I4490">
        <v>208.53219999999999</v>
      </c>
      <c r="J4490">
        <v>-345.98309999999998</v>
      </c>
      <c r="K4490">
        <v>1.1207499999999999</v>
      </c>
      <c r="L4490">
        <v>215.40860000000001</v>
      </c>
      <c r="M4490">
        <v>0.99990760000000001</v>
      </c>
      <c r="N4490">
        <v>-1.1851469999999999E-2</v>
      </c>
      <c r="O4490">
        <v>-6.6661200000000002E-3</v>
      </c>
      <c r="P4490">
        <v>0.99827189999999999</v>
      </c>
      <c r="Q4490">
        <v>-5.7323430000000002E-2</v>
      </c>
      <c r="R4490">
        <v>1.294403E-2</v>
      </c>
      <c r="S4490">
        <v>3.0066830000000002</v>
      </c>
      <c r="T4490">
        <v>-1.2934209999999999E-3</v>
      </c>
      <c r="U4490">
        <v>-0.11697390000000001</v>
      </c>
      <c r="V4490">
        <v>-1.9600579999999999E-2</v>
      </c>
      <c r="W4490">
        <v>-4.5488960000000002E-2</v>
      </c>
      <c r="X4490">
        <v>0.99877260000000001</v>
      </c>
      <c r="Y4490">
        <v>3.2213150000000003E-2</v>
      </c>
      <c r="Z4490">
        <v>-2.7400459999999999E-4</v>
      </c>
      <c r="AA4490">
        <v>0.99948099999999995</v>
      </c>
      <c r="AB4490">
        <v>34</v>
      </c>
      <c r="AC4490">
        <v>176.59029999999899</v>
      </c>
      <c r="AD4490">
        <v>-7.6077999999999799E-2</v>
      </c>
      <c r="AE4490">
        <v>-6.8764000000000101</v>
      </c>
      <c r="AF4490">
        <v>5.6989913869568003</v>
      </c>
      <c r="AG4490">
        <v>-7.6077999999999799E-2</v>
      </c>
      <c r="AH4490">
        <v>176.63218521124699</v>
      </c>
      <c r="AI4490">
        <v>90.024665272343</v>
      </c>
      <c r="AJ4490">
        <v>88.152007701450003</v>
      </c>
      <c r="AK4490">
        <v>176.724115907227</v>
      </c>
      <c r="AL4490">
        <v>92.607224939211306</v>
      </c>
      <c r="AM4490">
        <v>91.124266297764706</v>
      </c>
      <c r="AN4490">
        <v>1.00000006736448</v>
      </c>
    </row>
    <row r="4491" spans="1:40" x14ac:dyDescent="0.25">
      <c r="A4491" t="str">
        <f>"20190303153858335"</f>
        <v>20190303153858335</v>
      </c>
      <c r="B4491" t="str">
        <f>"1551598738322752"</f>
        <v>1551598738322752</v>
      </c>
      <c r="C4491" t="s">
        <v>40</v>
      </c>
      <c r="D4491">
        <v>4.0645340000000001</v>
      </c>
      <c r="E4491">
        <v>0.51915310000000003</v>
      </c>
      <c r="F4491" t="s">
        <v>66</v>
      </c>
      <c r="G4491">
        <v>-169.39250000000001</v>
      </c>
      <c r="H4491">
        <v>0.543848</v>
      </c>
      <c r="I4491">
        <v>208.83439999999999</v>
      </c>
      <c r="J4491">
        <v>-345.6952</v>
      </c>
      <c r="K4491">
        <v>1.120743</v>
      </c>
      <c r="L4491">
        <v>215.4066</v>
      </c>
      <c r="M4491">
        <v>0.99990869999999998</v>
      </c>
      <c r="N4491">
        <v>-1.176195E-2</v>
      </c>
      <c r="O4491">
        <v>-6.6659509999999998E-3</v>
      </c>
      <c r="P4491">
        <v>0.99825379999999997</v>
      </c>
      <c r="Q4491">
        <v>-5.7656409999999998E-2</v>
      </c>
      <c r="R4491">
        <v>1.2855689999999999E-2</v>
      </c>
      <c r="S4491">
        <v>3.0060120000000001</v>
      </c>
      <c r="T4491">
        <v>-9.8197460000000007E-3</v>
      </c>
      <c r="U4491">
        <v>-0.11190799999999999</v>
      </c>
      <c r="V4491">
        <v>-1.9512100000000001E-2</v>
      </c>
      <c r="W4491">
        <v>-4.5911550000000002E-2</v>
      </c>
      <c r="X4491">
        <v>0.9987549</v>
      </c>
      <c r="Y4491">
        <v>3.0539150000000001E-2</v>
      </c>
      <c r="Z4491">
        <v>-2.861505E-4</v>
      </c>
      <c r="AA4491">
        <v>0.99953349999999996</v>
      </c>
      <c r="AB4491">
        <v>34</v>
      </c>
      <c r="AC4491">
        <v>176.30269999999999</v>
      </c>
      <c r="AD4491">
        <v>-0.57689499999999905</v>
      </c>
      <c r="AE4491">
        <v>-6.5721999999999996</v>
      </c>
      <c r="AF4491">
        <v>5.39668990702339</v>
      </c>
      <c r="AG4491">
        <v>-0.57689499999999905</v>
      </c>
      <c r="AH4491">
        <v>176.340709914559</v>
      </c>
      <c r="AI4491">
        <v>90.187353578094104</v>
      </c>
      <c r="AJ4491">
        <v>88.247080462858307</v>
      </c>
      <c r="AK4491">
        <v>176.42421331258399</v>
      </c>
      <c r="AL4491">
        <v>92.631463137867001</v>
      </c>
      <c r="AM4491">
        <v>91.119212311821002</v>
      </c>
      <c r="AN4491">
        <v>0.99999997137190999</v>
      </c>
    </row>
    <row r="4492" spans="1:40" x14ac:dyDescent="0.25">
      <c r="A4492" t="str">
        <f>"20190303153858357"</f>
        <v>20190303153858357</v>
      </c>
      <c r="B4492" t="str">
        <f>"1551598738353007"</f>
        <v>1551598738353007</v>
      </c>
      <c r="C4492" t="s">
        <v>40</v>
      </c>
      <c r="D4492">
        <v>4.0064330000000004</v>
      </c>
      <c r="E4492">
        <v>0.51840390000000003</v>
      </c>
      <c r="F4492" t="s">
        <v>66</v>
      </c>
      <c r="G4492">
        <v>-169.39240000000001</v>
      </c>
      <c r="H4492">
        <v>0.2379627</v>
      </c>
      <c r="I4492">
        <v>208.98589999999999</v>
      </c>
      <c r="J4492">
        <v>-345.36529999999999</v>
      </c>
      <c r="K4492">
        <v>1.120735</v>
      </c>
      <c r="L4492">
        <v>215.40440000000001</v>
      </c>
      <c r="M4492">
        <v>0.99990970000000001</v>
      </c>
      <c r="N4492">
        <v>-1.167022E-2</v>
      </c>
      <c r="O4492">
        <v>-6.6655350000000002E-3</v>
      </c>
      <c r="P4492">
        <v>0.99827440000000001</v>
      </c>
      <c r="Q4492">
        <v>-5.7350369999999998E-2</v>
      </c>
      <c r="R4492">
        <v>1.2619429999999999E-2</v>
      </c>
      <c r="S4492">
        <v>3.0057680000000002</v>
      </c>
      <c r="T4492">
        <v>-1.504982E-2</v>
      </c>
      <c r="U4492">
        <v>-0.1094666</v>
      </c>
      <c r="V4492">
        <v>-1.9275589999999999E-2</v>
      </c>
      <c r="W4492">
        <v>-4.569691E-2</v>
      </c>
      <c r="X4492">
        <v>0.99876929999999997</v>
      </c>
      <c r="Y4492">
        <v>2.9731230000000001E-2</v>
      </c>
      <c r="Z4492">
        <v>-2.9236559999999998E-4</v>
      </c>
      <c r="AA4492">
        <v>0.9995579</v>
      </c>
      <c r="AB4492">
        <v>34</v>
      </c>
      <c r="AC4492">
        <v>175.97289999999899</v>
      </c>
      <c r="AD4492">
        <v>-0.88277229999999995</v>
      </c>
      <c r="AE4492">
        <v>-6.4185000000000203</v>
      </c>
      <c r="AF4492">
        <v>5.2451921832064796</v>
      </c>
      <c r="AG4492">
        <v>-0.88277229999999995</v>
      </c>
      <c r="AH4492">
        <v>176.007352461501</v>
      </c>
      <c r="AI4492">
        <v>90.287239471136203</v>
      </c>
      <c r="AJ4492">
        <v>88.293034625962605</v>
      </c>
      <c r="AK4492">
        <v>176.08770385373199</v>
      </c>
      <c r="AL4492">
        <v>92.619152344880007</v>
      </c>
      <c r="AM4492">
        <v>91.105633570627703</v>
      </c>
      <c r="AN4492">
        <v>0.99999993528794096</v>
      </c>
    </row>
    <row r="4493" spans="1:40" x14ac:dyDescent="0.25">
      <c r="A4493" t="str">
        <f>"20190303153858378"</f>
        <v>20190303153858378</v>
      </c>
      <c r="B4493" t="str">
        <f>"1551598738373504"</f>
        <v>1551598738373504</v>
      </c>
      <c r="C4493" t="s">
        <v>40</v>
      </c>
      <c r="D4493">
        <v>4.0977589999999999</v>
      </c>
      <c r="E4493">
        <v>0.51785820000000005</v>
      </c>
      <c r="F4493" t="s">
        <v>51</v>
      </c>
      <c r="G4493">
        <v>-188.61850000000001</v>
      </c>
      <c r="H4493" s="1">
        <v>4.141397E-6</v>
      </c>
      <c r="I4493">
        <v>209.9624</v>
      </c>
      <c r="J4493">
        <v>-345.03989999999999</v>
      </c>
      <c r="K4493">
        <v>1.1207240000000001</v>
      </c>
      <c r="L4493">
        <v>215.4023</v>
      </c>
      <c r="M4493">
        <v>0.99991070000000004</v>
      </c>
      <c r="N4493">
        <v>-1.158986E-2</v>
      </c>
      <c r="O4493">
        <v>-6.665069E-3</v>
      </c>
      <c r="P4493">
        <v>0.99827619999999895</v>
      </c>
      <c r="Q4493">
        <v>-5.7286860000000002E-2</v>
      </c>
      <c r="R4493">
        <v>1.2770750000000001E-2</v>
      </c>
      <c r="S4493">
        <v>3.00528</v>
      </c>
      <c r="T4493">
        <v>-2.1487590000000001E-2</v>
      </c>
      <c r="U4493">
        <v>-0.1043396</v>
      </c>
      <c r="V4493">
        <v>-1.9426550000000001E-2</v>
      </c>
      <c r="W4493">
        <v>-4.5713660000000003E-2</v>
      </c>
      <c r="X4493">
        <v>0.99876560000000003</v>
      </c>
      <c r="Y4493">
        <v>2.803377E-2</v>
      </c>
      <c r="Z4493">
        <v>-2.9229359999999999E-4</v>
      </c>
      <c r="AA4493">
        <v>0.99960689999999996</v>
      </c>
      <c r="AB4493">
        <v>34</v>
      </c>
      <c r="AC4493">
        <v>156.42139999999901</v>
      </c>
      <c r="AD4493">
        <v>-1.1207198586030001</v>
      </c>
      <c r="AE4493">
        <v>-5.43989999999999</v>
      </c>
      <c r="AF4493">
        <v>4.3969243457420397</v>
      </c>
      <c r="AG4493">
        <v>-1.1207198586030001</v>
      </c>
      <c r="AH4493">
        <v>156.446163626485</v>
      </c>
      <c r="AI4493">
        <v>90.4102758026565</v>
      </c>
      <c r="AJ4493">
        <v>88.390124103216806</v>
      </c>
      <c r="AK4493">
        <v>156.51195184441499</v>
      </c>
      <c r="AL4493">
        <v>92.620113075870293</v>
      </c>
      <c r="AM4493">
        <v>91.114294476667894</v>
      </c>
      <c r="AN4493">
        <v>0.99999992664942605</v>
      </c>
    </row>
    <row r="4494" spans="1:40" x14ac:dyDescent="0.25">
      <c r="A4494" t="str">
        <f>"20190303153858393"</f>
        <v>20190303153858393</v>
      </c>
      <c r="B4494" t="str">
        <f>"1551598738383263"</f>
        <v>1551598738383263</v>
      </c>
      <c r="C4494" t="s">
        <v>40</v>
      </c>
      <c r="D4494">
        <v>4.1117720000000002</v>
      </c>
      <c r="E4494">
        <v>0.51770109999999903</v>
      </c>
      <c r="F4494" t="s">
        <v>55</v>
      </c>
      <c r="G4494">
        <v>-223.93950000000001</v>
      </c>
      <c r="H4494" s="1">
        <v>7.0063170000000002E-7</v>
      </c>
      <c r="I4494">
        <v>211.3897</v>
      </c>
      <c r="J4494">
        <v>-344.82220000000001</v>
      </c>
      <c r="K4494">
        <v>1.120717</v>
      </c>
      <c r="L4494">
        <v>215.4008</v>
      </c>
      <c r="M4494">
        <v>0.99991129999999995</v>
      </c>
      <c r="N4494">
        <v>-1.154087E-2</v>
      </c>
      <c r="O4494">
        <v>-6.6650249999999998E-3</v>
      </c>
      <c r="P4494">
        <v>0.9982917</v>
      </c>
      <c r="Q4494">
        <v>-5.7031430000000001E-2</v>
      </c>
      <c r="R4494">
        <v>1.2709679999999999E-2</v>
      </c>
      <c r="S4494">
        <v>3.004883</v>
      </c>
      <c r="T4494">
        <v>-2.7808670000000001E-2</v>
      </c>
      <c r="U4494">
        <v>-9.9563600000000002E-2</v>
      </c>
      <c r="V4494">
        <v>-1.9364820000000001E-2</v>
      </c>
      <c r="W4494">
        <v>-4.5506999999999999E-2</v>
      </c>
      <c r="X4494">
        <v>0.99877629999999995</v>
      </c>
      <c r="Y4494">
        <v>2.6450700000000001E-2</v>
      </c>
      <c r="Z4494">
        <v>-2.9028739999999999E-4</v>
      </c>
      <c r="AA4494">
        <v>0.99965009999999999</v>
      </c>
      <c r="AB4494">
        <v>34</v>
      </c>
      <c r="AC4494">
        <v>120.8827</v>
      </c>
      <c r="AD4494">
        <v>-1.1207162993683</v>
      </c>
      <c r="AE4494">
        <v>-4.0110999999999901</v>
      </c>
      <c r="AF4494">
        <v>3.2049959293869401</v>
      </c>
      <c r="AG4494">
        <v>-1.1207162993683</v>
      </c>
      <c r="AH4494">
        <v>120.896370487396</v>
      </c>
      <c r="AI4494">
        <v>90.530933428939406</v>
      </c>
      <c r="AJ4494">
        <v>88.481428856800505</v>
      </c>
      <c r="AK4494">
        <v>120.944038302666</v>
      </c>
      <c r="AL4494">
        <v>92.608259827449103</v>
      </c>
      <c r="AM4494">
        <v>91.110742675218702</v>
      </c>
      <c r="AN4494">
        <v>0.99999999037216103</v>
      </c>
    </row>
    <row r="4495" spans="1:40" x14ac:dyDescent="0.25">
      <c r="A4495" t="str">
        <f>"20190303153858412"</f>
        <v>20190303153858412</v>
      </c>
      <c r="B4495" t="str">
        <f>"1551598738402783"</f>
        <v>1551598738402783</v>
      </c>
      <c r="C4495" t="s">
        <v>40</v>
      </c>
      <c r="D4495">
        <v>4.0842980000000004</v>
      </c>
      <c r="E4495">
        <v>0.51760269999999997</v>
      </c>
      <c r="F4495" t="s">
        <v>55</v>
      </c>
      <c r="G4495">
        <v>-231.86429999999999</v>
      </c>
      <c r="H4495" s="1">
        <v>-4.166732E-7</v>
      </c>
      <c r="I4495">
        <v>211.68770000000001</v>
      </c>
      <c r="J4495">
        <v>-344.51580000000001</v>
      </c>
      <c r="K4495">
        <v>1.1207129999999901</v>
      </c>
      <c r="L4495">
        <v>215.39879999999999</v>
      </c>
      <c r="M4495">
        <v>0.99991200000000002</v>
      </c>
      <c r="N4495">
        <v>-1.148006E-2</v>
      </c>
      <c r="O4495">
        <v>-6.6646759999999996E-3</v>
      </c>
      <c r="P4495">
        <v>0.99827469999999996</v>
      </c>
      <c r="Q4495">
        <v>-5.7320599999999999E-2</v>
      </c>
      <c r="R4495">
        <v>1.2736509999999999E-2</v>
      </c>
      <c r="S4495">
        <v>3.0047000000000001</v>
      </c>
      <c r="T4495">
        <v>-2.9811259999999999E-2</v>
      </c>
      <c r="U4495">
        <v>-9.8770140000000006E-2</v>
      </c>
      <c r="V4495">
        <v>-1.9391660000000002E-2</v>
      </c>
      <c r="W4495">
        <v>-4.5857059999999998E-2</v>
      </c>
      <c r="X4495">
        <v>0.99875979999999998</v>
      </c>
      <c r="Y4495">
        <v>2.6189130000000001E-2</v>
      </c>
      <c r="Z4495">
        <v>-2.906532E-4</v>
      </c>
      <c r="AA4495">
        <v>0.99965700000000002</v>
      </c>
      <c r="AB4495">
        <v>34</v>
      </c>
      <c r="AC4495">
        <v>112.6515</v>
      </c>
      <c r="AD4495">
        <v>-1.12071341667319</v>
      </c>
      <c r="AE4495">
        <v>-3.7110999999999801</v>
      </c>
      <c r="AF4495">
        <v>2.9598897926825498</v>
      </c>
      <c r="AG4495">
        <v>-1.12071341667319</v>
      </c>
      <c r="AH4495">
        <v>112.662594250379</v>
      </c>
      <c r="AI4495">
        <v>90.569735541493202</v>
      </c>
      <c r="AJ4495">
        <v>88.495062252835297</v>
      </c>
      <c r="AK4495">
        <v>112.70704099288901</v>
      </c>
      <c r="AL4495">
        <v>92.628337665169298</v>
      </c>
      <c r="AM4495">
        <v>91.112300169514697</v>
      </c>
      <c r="AN4495">
        <v>1.0000000222627099</v>
      </c>
    </row>
    <row r="4496" spans="1:40" x14ac:dyDescent="0.25">
      <c r="A4496" t="str">
        <f>"20190303153858434"</f>
        <v>20190303153858434</v>
      </c>
      <c r="B4496" t="str">
        <f>"1551598738423279"</f>
        <v>1551598738423279</v>
      </c>
      <c r="C4496" t="s">
        <v>40</v>
      </c>
      <c r="D4496">
        <v>4.0890149999999998</v>
      </c>
      <c r="E4496">
        <v>0.51746400000000004</v>
      </c>
      <c r="F4496" t="s">
        <v>55</v>
      </c>
      <c r="G4496">
        <v>-231.7465</v>
      </c>
      <c r="H4496" s="1">
        <v>-4.8100169999999995E-7</v>
      </c>
      <c r="I4496">
        <v>211.72450000000001</v>
      </c>
      <c r="J4496">
        <v>-344.19240000000002</v>
      </c>
      <c r="K4496">
        <v>1.120711</v>
      </c>
      <c r="L4496">
        <v>215.39660000000001</v>
      </c>
      <c r="M4496">
        <v>0.99991260000000004</v>
      </c>
      <c r="N4496">
        <v>-1.142902E-2</v>
      </c>
      <c r="O4496">
        <v>-6.6641460000000001E-3</v>
      </c>
      <c r="P4496">
        <v>0.99826899999999996</v>
      </c>
      <c r="Q4496">
        <v>-5.7342690000000002E-2</v>
      </c>
      <c r="R4496">
        <v>1.308517E-2</v>
      </c>
      <c r="S4496">
        <v>3.0047299999999999</v>
      </c>
      <c r="T4496">
        <v>-2.9861329999999998E-2</v>
      </c>
      <c r="U4496">
        <v>-9.7900390000000004E-2</v>
      </c>
      <c r="V4496">
        <v>-1.9740199999999999E-2</v>
      </c>
      <c r="W4496">
        <v>-4.5930220000000001E-2</v>
      </c>
      <c r="X4496">
        <v>0.99874960000000002</v>
      </c>
      <c r="Y4496">
        <v>2.5900300000000001E-2</v>
      </c>
      <c r="Z4496">
        <v>-2.866643E-4</v>
      </c>
      <c r="AA4496">
        <v>0.99966449999999996</v>
      </c>
      <c r="AB4496">
        <v>34</v>
      </c>
      <c r="AC4496">
        <v>112.44589999999999</v>
      </c>
      <c r="AD4496">
        <v>-1.1207114810017</v>
      </c>
      <c r="AE4496">
        <v>-3.6720999999999999</v>
      </c>
      <c r="AF4496">
        <v>2.9223237188707598</v>
      </c>
      <c r="AG4496">
        <v>-1.1207114810017</v>
      </c>
      <c r="AH4496">
        <v>112.45671680561099</v>
      </c>
      <c r="AI4496">
        <v>90.570781777995293</v>
      </c>
      <c r="AJ4496">
        <v>88.511434920033594</v>
      </c>
      <c r="AK4496">
        <v>112.50026277675499</v>
      </c>
      <c r="AL4496">
        <v>92.632533872585</v>
      </c>
      <c r="AM4496">
        <v>91.1322987279204</v>
      </c>
      <c r="AN4496">
        <v>1.0000000120527199</v>
      </c>
    </row>
    <row r="4497" spans="1:40" x14ac:dyDescent="0.25">
      <c r="A4497" t="str">
        <f>"20190303153858447"</f>
        <v>20190303153858447</v>
      </c>
      <c r="B4497" t="str">
        <f>"1551598738442799"</f>
        <v>1551598738442799</v>
      </c>
      <c r="C4497" t="s">
        <v>40</v>
      </c>
      <c r="D4497">
        <v>4.0975299999999999</v>
      </c>
      <c r="E4497">
        <v>0.51730790000000004</v>
      </c>
      <c r="F4497" t="s">
        <v>55</v>
      </c>
      <c r="G4497">
        <v>-230.27670000000001</v>
      </c>
      <c r="H4497" s="1">
        <v>-1.2649730000000001E-6</v>
      </c>
      <c r="I4497">
        <v>211.76660000000001</v>
      </c>
      <c r="J4497">
        <v>-343.97820000000002</v>
      </c>
      <c r="K4497">
        <v>1.120709</v>
      </c>
      <c r="L4497">
        <v>215.39519999999999</v>
      </c>
      <c r="M4497">
        <v>0.99991280000000005</v>
      </c>
      <c r="N4497">
        <v>-1.140299E-2</v>
      </c>
      <c r="O4497">
        <v>-6.6638790000000002E-3</v>
      </c>
      <c r="P4497">
        <v>0.99827719999999998</v>
      </c>
      <c r="Q4497">
        <v>-5.7139559999999999E-2</v>
      </c>
      <c r="R4497">
        <v>1.333255E-2</v>
      </c>
      <c r="S4497">
        <v>3.004791</v>
      </c>
      <c r="T4497">
        <v>-2.9561400000000002E-2</v>
      </c>
      <c r="U4497">
        <v>-9.5748899999999998E-2</v>
      </c>
      <c r="V4497">
        <v>-1.9987060000000001E-2</v>
      </c>
      <c r="W4497">
        <v>-4.5753019999999998E-2</v>
      </c>
      <c r="X4497">
        <v>0.9987528</v>
      </c>
      <c r="Y4497">
        <v>2.5184990000000001E-2</v>
      </c>
      <c r="Z4497">
        <v>-2.7792689999999999E-4</v>
      </c>
      <c r="AA4497">
        <v>0.99968279999999998</v>
      </c>
      <c r="AB4497">
        <v>34</v>
      </c>
      <c r="AC4497">
        <v>113.7015</v>
      </c>
      <c r="AD4497">
        <v>-1.1207102649730001</v>
      </c>
      <c r="AE4497">
        <v>-3.6285999999999698</v>
      </c>
      <c r="AF4497">
        <v>2.87049854058457</v>
      </c>
      <c r="AG4497">
        <v>-1.1207102649730001</v>
      </c>
      <c r="AH4497">
        <v>113.71212099416201</v>
      </c>
      <c r="AI4497">
        <v>90.5644907628635</v>
      </c>
      <c r="AJ4497">
        <v>88.553957762288505</v>
      </c>
      <c r="AK4497">
        <v>113.753866810586</v>
      </c>
      <c r="AL4497">
        <v>92.622370437806694</v>
      </c>
      <c r="AM4497">
        <v>91.1464512000707</v>
      </c>
      <c r="AN4497">
        <v>0.99999998845720195</v>
      </c>
    </row>
    <row r="4498" spans="1:40" x14ac:dyDescent="0.25">
      <c r="A4498" t="str">
        <f>"20190303153858468"</f>
        <v>20190303153858468</v>
      </c>
      <c r="B4498" t="str">
        <f>"1551598738463295"</f>
        <v>1551598738463295</v>
      </c>
      <c r="C4498" t="s">
        <v>40</v>
      </c>
      <c r="D4498">
        <v>4.1220140000000001</v>
      </c>
      <c r="E4498">
        <v>0.5167659</v>
      </c>
      <c r="F4498" t="s">
        <v>55</v>
      </c>
      <c r="G4498">
        <v>-225.131</v>
      </c>
      <c r="H4498" s="1">
        <v>1.3215510000000001E-6</v>
      </c>
      <c r="I4498">
        <v>211.6902</v>
      </c>
      <c r="J4498">
        <v>-343.68099999999998</v>
      </c>
      <c r="K4498">
        <v>1.120708</v>
      </c>
      <c r="L4498">
        <v>215.39320000000001</v>
      </c>
      <c r="M4498">
        <v>0.99991319999999995</v>
      </c>
      <c r="N4498">
        <v>-1.137992E-2</v>
      </c>
      <c r="O4498">
        <v>-6.6635100000000001E-3</v>
      </c>
      <c r="P4498">
        <v>0.99828799999999995</v>
      </c>
      <c r="Q4498">
        <v>-5.6849940000000002E-2</v>
      </c>
      <c r="R4498">
        <v>1.3765390000000001E-2</v>
      </c>
      <c r="S4498">
        <v>3.0048520000000001</v>
      </c>
      <c r="T4498">
        <v>-2.833521E-2</v>
      </c>
      <c r="U4498">
        <v>-9.3673709999999993E-2</v>
      </c>
      <c r="V4498">
        <v>-2.041925E-2</v>
      </c>
      <c r="W4498">
        <v>-4.5486369999999998E-2</v>
      </c>
      <c r="X4498">
        <v>0.99875619999999998</v>
      </c>
      <c r="Y4498">
        <v>2.449523E-2</v>
      </c>
      <c r="Z4498">
        <v>-2.6788410000000001E-4</v>
      </c>
      <c r="AA4498">
        <v>0.99969989999999997</v>
      </c>
      <c r="AB4498">
        <v>34</v>
      </c>
      <c r="AC4498">
        <v>118.55</v>
      </c>
      <c r="AD4498">
        <v>-1.1207066784490001</v>
      </c>
      <c r="AE4498">
        <v>-3.7029999999999998</v>
      </c>
      <c r="AF4498">
        <v>2.9126475915596499</v>
      </c>
      <c r="AG4498">
        <v>-1.1207066784490001</v>
      </c>
      <c r="AH4498">
        <v>118.561459009469</v>
      </c>
      <c r="AI4498">
        <v>90.541411053957404</v>
      </c>
      <c r="AJ4498">
        <v>88.592722663166597</v>
      </c>
      <c r="AK4498">
        <v>118.602525529205</v>
      </c>
      <c r="AL4498">
        <v>92.607076692101998</v>
      </c>
      <c r="AM4498">
        <v>91.171230658069902</v>
      </c>
      <c r="AN4498">
        <v>0.99999995133238795</v>
      </c>
    </row>
    <row r="4499" spans="1:40" x14ac:dyDescent="0.25">
      <c r="A4499" t="str">
        <f>"20190303153858490"</f>
        <v>20190303153858490</v>
      </c>
      <c r="B4499" t="str">
        <f>"1551598738482819"</f>
        <v>1551598738482819</v>
      </c>
      <c r="C4499" t="s">
        <v>40</v>
      </c>
      <c r="D4499">
        <v>4.1700419999999996</v>
      </c>
      <c r="E4499">
        <v>0.51617539999999995</v>
      </c>
      <c r="F4499" t="s">
        <v>55</v>
      </c>
      <c r="G4499">
        <v>-219.2841</v>
      </c>
      <c r="H4499" s="1">
        <v>3.5292999999999998E-6</v>
      </c>
      <c r="I4499">
        <v>211.7439</v>
      </c>
      <c r="J4499">
        <v>-343.32990000000001</v>
      </c>
      <c r="K4499">
        <v>1.1207119999999999</v>
      </c>
      <c r="L4499">
        <v>215.39089999999999</v>
      </c>
      <c r="M4499">
        <v>0.99991319999999995</v>
      </c>
      <c r="N4499">
        <v>-1.137353E-2</v>
      </c>
      <c r="O4499">
        <v>-6.662996E-3</v>
      </c>
      <c r="P4499">
        <v>0.99829159999999995</v>
      </c>
      <c r="Q4499">
        <v>-5.6662780000000003E-2</v>
      </c>
      <c r="R4499">
        <v>1.426842E-2</v>
      </c>
      <c r="S4499">
        <v>3.0048219999999999</v>
      </c>
      <c r="T4499">
        <v>-2.7070759999999999E-2</v>
      </c>
      <c r="U4499">
        <v>-8.8150019999999996E-2</v>
      </c>
      <c r="V4499">
        <v>-2.092186E-2</v>
      </c>
      <c r="W4499">
        <v>-4.5305579999999998E-2</v>
      </c>
      <c r="X4499">
        <v>0.99875409999999998</v>
      </c>
      <c r="Y4499">
        <v>2.2660309999999999E-2</v>
      </c>
      <c r="Z4499">
        <v>-2.4671110000000002E-4</v>
      </c>
      <c r="AA4499">
        <v>0.99974320000000005</v>
      </c>
      <c r="AB4499">
        <v>34</v>
      </c>
      <c r="AC4499">
        <v>124.0458</v>
      </c>
      <c r="AD4499">
        <v>-1.1207084706999999</v>
      </c>
      <c r="AE4499">
        <v>-3.64699999999999</v>
      </c>
      <c r="AF4499">
        <v>2.8201189749686502</v>
      </c>
      <c r="AG4499">
        <v>-1.1207084706999999</v>
      </c>
      <c r="AH4499">
        <v>124.057230212164</v>
      </c>
      <c r="AI4499">
        <v>90.517450980431605</v>
      </c>
      <c r="AJ4499">
        <v>88.697753525743295</v>
      </c>
      <c r="AK4499">
        <v>124.094340831575</v>
      </c>
      <c r="AL4499">
        <v>92.596707277603599</v>
      </c>
      <c r="AM4499">
        <v>91.200054129499406</v>
      </c>
      <c r="AN4499">
        <v>1.0000000360359</v>
      </c>
    </row>
    <row r="4500" spans="1:40" x14ac:dyDescent="0.25">
      <c r="A4500" t="str">
        <f>"20190303153858513"</f>
        <v>20190303153858513</v>
      </c>
      <c r="B4500" t="str">
        <f>"1551598738503315"</f>
        <v>1551598738503315</v>
      </c>
      <c r="C4500" t="s">
        <v>40</v>
      </c>
      <c r="D4500">
        <v>4.1444539999999996</v>
      </c>
      <c r="E4500">
        <v>0.51565839999999996</v>
      </c>
      <c r="F4500" t="s">
        <v>51</v>
      </c>
      <c r="G4500">
        <v>-207.7098</v>
      </c>
      <c r="H4500" s="1">
        <v>5.8912590000000002E-6</v>
      </c>
      <c r="I4500">
        <v>211.6961</v>
      </c>
      <c r="J4500">
        <v>-342.98630000000003</v>
      </c>
      <c r="K4500">
        <v>1.1207119999999999</v>
      </c>
      <c r="L4500">
        <v>215.3886</v>
      </c>
      <c r="M4500">
        <v>0.99991300000000005</v>
      </c>
      <c r="N4500">
        <v>-1.1387390000000001E-2</v>
      </c>
      <c r="O4500">
        <v>-6.6625979999999996E-3</v>
      </c>
      <c r="P4500">
        <v>0.99827560000000004</v>
      </c>
      <c r="Q4500">
        <v>-5.6967280000000002E-2</v>
      </c>
      <c r="R4500">
        <v>1.4169080000000001E-2</v>
      </c>
      <c r="S4500">
        <v>3.004883</v>
      </c>
      <c r="T4500">
        <v>-2.4831059999999999E-2</v>
      </c>
      <c r="U4500">
        <v>-8.1863399999999906E-2</v>
      </c>
      <c r="V4500">
        <v>-2.0822050000000002E-2</v>
      </c>
      <c r="W4500">
        <v>-4.5596379999999999E-2</v>
      </c>
      <c r="X4500">
        <v>0.99874289999999999</v>
      </c>
      <c r="Y4500">
        <v>2.0570560000000002E-2</v>
      </c>
      <c r="Z4500">
        <v>-2.2294510000000001E-4</v>
      </c>
      <c r="AA4500">
        <v>0.99978840000000002</v>
      </c>
      <c r="AB4500">
        <v>34</v>
      </c>
      <c r="AC4500">
        <v>135.2765</v>
      </c>
      <c r="AD4500">
        <v>-1.120706108741</v>
      </c>
      <c r="AE4500">
        <v>-3.6924999999999901</v>
      </c>
      <c r="AF4500">
        <v>2.79087527814991</v>
      </c>
      <c r="AG4500">
        <v>-1.120706108741</v>
      </c>
      <c r="AH4500">
        <v>135.28882185055099</v>
      </c>
      <c r="AI4500">
        <v>90.474515210969798</v>
      </c>
      <c r="AJ4500">
        <v>88.818212064566595</v>
      </c>
      <c r="AK4500">
        <v>135.32224608212201</v>
      </c>
      <c r="AL4500">
        <v>92.613386262330707</v>
      </c>
      <c r="AM4500">
        <v>91.194344192932803</v>
      </c>
      <c r="AN4500">
        <v>0.99999998396785805</v>
      </c>
    </row>
    <row r="4501" spans="1:40" x14ac:dyDescent="0.25">
      <c r="A4501" t="str">
        <f>"20190303153858535"</f>
        <v>20190303153858535</v>
      </c>
      <c r="B4501" t="str">
        <f>"1551598738522831"</f>
        <v>1551598738522831</v>
      </c>
      <c r="C4501" t="s">
        <v>40</v>
      </c>
      <c r="D4501">
        <v>4.1258939999999997</v>
      </c>
      <c r="E4501">
        <v>0.51522709999999905</v>
      </c>
      <c r="F4501" t="s">
        <v>51</v>
      </c>
      <c r="G4501">
        <v>-204.1942</v>
      </c>
      <c r="H4501" s="1">
        <v>4.324812E-6</v>
      </c>
      <c r="I4501">
        <v>211.7809</v>
      </c>
      <c r="J4501">
        <v>-342.64729999999997</v>
      </c>
      <c r="K4501">
        <v>1.1207149999999999</v>
      </c>
      <c r="L4501">
        <v>215.38630000000001</v>
      </c>
      <c r="M4501">
        <v>0.99991289999999999</v>
      </c>
      <c r="N4501">
        <v>-1.141059E-2</v>
      </c>
      <c r="O4501">
        <v>-6.6622529999999999E-3</v>
      </c>
      <c r="P4501">
        <v>0.99827619999999895</v>
      </c>
      <c r="Q4501">
        <v>-5.7026960000000002E-2</v>
      </c>
      <c r="R4501">
        <v>1.3883929999999999E-2</v>
      </c>
      <c r="S4501">
        <v>3.0049440000000001</v>
      </c>
      <c r="T4501">
        <v>-2.42641E-2</v>
      </c>
      <c r="U4501">
        <v>-7.8109739999999997E-2</v>
      </c>
      <c r="V4501">
        <v>-2.0536269999999999E-2</v>
      </c>
      <c r="W4501">
        <v>-4.5632869999999999E-2</v>
      </c>
      <c r="X4501">
        <v>0.99874719999999995</v>
      </c>
      <c r="Y4501">
        <v>1.932248E-2</v>
      </c>
      <c r="Z4501">
        <v>-2.104924E-4</v>
      </c>
      <c r="AA4501">
        <v>0.99981330000000002</v>
      </c>
      <c r="AB4501">
        <v>34</v>
      </c>
      <c r="AC4501">
        <v>138.45309999999901</v>
      </c>
      <c r="AD4501">
        <v>-1.1207106751879901</v>
      </c>
      <c r="AE4501">
        <v>-3.6053999999999999</v>
      </c>
      <c r="AF4501">
        <v>2.6826748677094501</v>
      </c>
      <c r="AG4501">
        <v>-1.1207106751879901</v>
      </c>
      <c r="AH4501">
        <v>138.464982310267</v>
      </c>
      <c r="AI4501">
        <v>90.463644606747494</v>
      </c>
      <c r="AJ4501">
        <v>88.890067962013802</v>
      </c>
      <c r="AK4501">
        <v>138.49550195961501</v>
      </c>
      <c r="AL4501">
        <v>92.615479034565396</v>
      </c>
      <c r="AM4501">
        <v>91.177951550819799</v>
      </c>
      <c r="AN4501">
        <v>1.0000000333588901</v>
      </c>
    </row>
    <row r="4502" spans="1:40" x14ac:dyDescent="0.25">
      <c r="A4502" t="str">
        <f>"20190303153858557"</f>
        <v>20190303153858557</v>
      </c>
      <c r="B4502" t="str">
        <f>"1551598738553087"</f>
        <v>1551598738553087</v>
      </c>
      <c r="C4502" t="s">
        <v>40</v>
      </c>
      <c r="D4502">
        <v>4.0927069999999999</v>
      </c>
      <c r="E4502">
        <v>0.51461539999999995</v>
      </c>
      <c r="F4502" t="s">
        <v>51</v>
      </c>
      <c r="G4502">
        <v>-198.80179999999999</v>
      </c>
      <c r="H4502" s="1">
        <v>2.651196E-6</v>
      </c>
      <c r="I4502">
        <v>211.7809</v>
      </c>
      <c r="J4502">
        <v>-342.31199999999899</v>
      </c>
      <c r="K4502">
        <v>1.120727</v>
      </c>
      <c r="L4502">
        <v>215.38409999999999</v>
      </c>
      <c r="M4502">
        <v>0.99991229999999998</v>
      </c>
      <c r="N4502">
        <v>-1.144768E-2</v>
      </c>
      <c r="O4502">
        <v>-6.6618679999999996E-3</v>
      </c>
      <c r="P4502">
        <v>0.99824570000000001</v>
      </c>
      <c r="Q4502">
        <v>-5.75554E-2</v>
      </c>
      <c r="R4502">
        <v>1.389894E-2</v>
      </c>
      <c r="S4502">
        <v>3.0049130000000002</v>
      </c>
      <c r="T4502">
        <v>-2.341151E-2</v>
      </c>
      <c r="U4502">
        <v>-7.5317380000000003E-2</v>
      </c>
      <c r="V4502">
        <v>-2.0551050000000001E-2</v>
      </c>
      <c r="W4502">
        <v>-4.6124579999999998E-2</v>
      </c>
      <c r="X4502">
        <v>0.99872430000000001</v>
      </c>
      <c r="Y4502">
        <v>1.8394779999999999E-2</v>
      </c>
      <c r="Z4502">
        <v>-2.0132099999999999E-4</v>
      </c>
      <c r="AA4502">
        <v>0.99983080000000002</v>
      </c>
      <c r="AB4502">
        <v>34</v>
      </c>
      <c r="AC4502">
        <v>143.510199999999</v>
      </c>
      <c r="AD4502">
        <v>-1.120724348804</v>
      </c>
      <c r="AE4502">
        <v>-3.6031999999999802</v>
      </c>
      <c r="AF4502">
        <v>2.6468500710609399</v>
      </c>
      <c r="AG4502">
        <v>-1.120724348804</v>
      </c>
      <c r="AH4502">
        <v>143.52227326267601</v>
      </c>
      <c r="AI4502">
        <v>90.447321188243293</v>
      </c>
      <c r="AJ4502">
        <v>88.9434660894741</v>
      </c>
      <c r="AK4502">
        <v>143.55105280300401</v>
      </c>
      <c r="AL4502">
        <v>92.643681660703606</v>
      </c>
      <c r="AM4502">
        <v>91.178826107442006</v>
      </c>
      <c r="AN4502">
        <v>1.00000002497338</v>
      </c>
    </row>
    <row r="4503" spans="1:40" x14ac:dyDescent="0.25">
      <c r="A4503" t="str">
        <f>"20190303153858592"</f>
        <v>20190303153858592</v>
      </c>
      <c r="B4503" t="str">
        <f>"1551598738583347"</f>
        <v>1551598738583347</v>
      </c>
      <c r="C4503" t="s">
        <v>40</v>
      </c>
      <c r="D4503">
        <v>4.0753459999999997</v>
      </c>
      <c r="E4503">
        <v>0.51405920000000005</v>
      </c>
      <c r="F4503" t="s">
        <v>51</v>
      </c>
      <c r="G4503">
        <v>-198.999</v>
      </c>
      <c r="H4503" s="1">
        <v>2.5941829999999998E-6</v>
      </c>
      <c r="I4503">
        <v>212.03290000000001</v>
      </c>
      <c r="J4503">
        <v>-341.7944</v>
      </c>
      <c r="K4503">
        <v>1.1207510000000001</v>
      </c>
      <c r="L4503">
        <v>215.38059999999999</v>
      </c>
      <c r="M4503">
        <v>0.99991070000000004</v>
      </c>
      <c r="N4503">
        <v>-1.1583E-2</v>
      </c>
      <c r="O4503">
        <v>-6.6613319999999998E-3</v>
      </c>
      <c r="P4503">
        <v>0.99823859999999998</v>
      </c>
      <c r="Q4503">
        <v>-5.7568090000000002E-2</v>
      </c>
      <c r="R4503">
        <v>1.4347769999999999E-2</v>
      </c>
      <c r="S4503">
        <v>3.004883</v>
      </c>
      <c r="T4503">
        <v>-2.3498539999999998E-2</v>
      </c>
      <c r="U4503">
        <v>-7.0266720000000005E-2</v>
      </c>
      <c r="V4503">
        <v>-2.099929E-2</v>
      </c>
      <c r="W4503">
        <v>-4.6002220000000003E-2</v>
      </c>
      <c r="X4503">
        <v>0.99872059999999996</v>
      </c>
      <c r="Y4503">
        <v>1.6716089999999999E-2</v>
      </c>
      <c r="Z4503">
        <v>-1.87252E-4</v>
      </c>
      <c r="AA4503">
        <v>0.99986030000000004</v>
      </c>
      <c r="AB4503">
        <v>34</v>
      </c>
      <c r="AC4503">
        <v>142.79539999999901</v>
      </c>
      <c r="AD4503">
        <v>-1.1207484058170001</v>
      </c>
      <c r="AE4503">
        <v>-3.3476999999999699</v>
      </c>
      <c r="AF4503">
        <v>2.3962067784009302</v>
      </c>
      <c r="AG4503">
        <v>-1.1207484058170001</v>
      </c>
      <c r="AH4503">
        <v>142.80574087734399</v>
      </c>
      <c r="AI4503">
        <v>90.4495883535497</v>
      </c>
      <c r="AJ4503">
        <v>89.038696542447099</v>
      </c>
      <c r="AK4503">
        <v>142.83024018547701</v>
      </c>
      <c r="AL4503">
        <v>92.636663550642098</v>
      </c>
      <c r="AM4503">
        <v>91.204534510705699</v>
      </c>
      <c r="AN4503">
        <v>1.0000000056448901</v>
      </c>
    </row>
    <row r="4504" spans="1:40" x14ac:dyDescent="0.25">
      <c r="A4504" t="str">
        <f>"20190303153858613"</f>
        <v>20190303153858613</v>
      </c>
      <c r="B4504" t="str">
        <f>"1551598738602882"</f>
        <v>1551598738602882</v>
      </c>
      <c r="C4504" t="s">
        <v>40</v>
      </c>
      <c r="D4504">
        <v>4.0970129999999996</v>
      </c>
      <c r="E4504">
        <v>0.51374640000000005</v>
      </c>
      <c r="F4504" t="s">
        <v>51</v>
      </c>
      <c r="G4504">
        <v>-187.8229</v>
      </c>
      <c r="H4504" s="1">
        <v>3.8161940000000002E-6</v>
      </c>
      <c r="I4504">
        <v>212.06800000000001</v>
      </c>
      <c r="J4504">
        <v>-341.46249999999998</v>
      </c>
      <c r="K4504">
        <v>1.1207879999999999</v>
      </c>
      <c r="L4504">
        <v>215.3784</v>
      </c>
      <c r="M4504">
        <v>0.99990860000000004</v>
      </c>
      <c r="N4504">
        <v>-1.1769719999999999E-2</v>
      </c>
      <c r="O4504">
        <v>-6.6615819999999897E-3</v>
      </c>
      <c r="P4504">
        <v>0.99818379999999995</v>
      </c>
      <c r="Q4504">
        <v>-5.8520570000000001E-2</v>
      </c>
      <c r="R4504">
        <v>1.4310949999999999E-2</v>
      </c>
      <c r="S4504">
        <v>3.0049739999999998</v>
      </c>
      <c r="T4504">
        <v>-2.1873E-2</v>
      </c>
      <c r="U4504">
        <v>-6.4651490000000006E-2</v>
      </c>
      <c r="V4504">
        <v>-2.0962359999999999E-2</v>
      </c>
      <c r="W4504">
        <v>-4.6768780000000003E-2</v>
      </c>
      <c r="X4504">
        <v>0.99868579999999996</v>
      </c>
      <c r="Y4504">
        <v>1.4847910000000001E-2</v>
      </c>
      <c r="Z4504">
        <v>-1.7134480000000001E-4</v>
      </c>
      <c r="AA4504">
        <v>0.99988969999999999</v>
      </c>
      <c r="AB4504">
        <v>34</v>
      </c>
      <c r="AC4504">
        <v>153.63959999999901</v>
      </c>
      <c r="AD4504">
        <v>-1.120784183806</v>
      </c>
      <c r="AE4504">
        <v>-3.3104000000000098</v>
      </c>
      <c r="AF4504">
        <v>2.2866512741868599</v>
      </c>
      <c r="AG4504">
        <v>-1.120784183806</v>
      </c>
      <c r="AH4504">
        <v>153.65007174853599</v>
      </c>
      <c r="AI4504">
        <v>90.417884314012895</v>
      </c>
      <c r="AJ4504">
        <v>89.147375627019997</v>
      </c>
      <c r="AK4504">
        <v>153.67117322245801</v>
      </c>
      <c r="AL4504">
        <v>92.680631456792696</v>
      </c>
      <c r="AM4504">
        <v>91.202458688437602</v>
      </c>
      <c r="AN4504">
        <v>1.0000000332205401</v>
      </c>
    </row>
    <row r="4505" spans="1:40" x14ac:dyDescent="0.25">
      <c r="A4505" t="str">
        <f>"20190303153858634"</f>
        <v>20190303153858634</v>
      </c>
      <c r="B4505" t="str">
        <f>"1551598738623360"</f>
        <v>1551598738623360</v>
      </c>
      <c r="C4505" t="s">
        <v>40</v>
      </c>
      <c r="D4505">
        <v>4.0802120000000004</v>
      </c>
      <c r="E4505">
        <v>0.51344789999999996</v>
      </c>
      <c r="F4505" t="s">
        <v>51</v>
      </c>
      <c r="G4505">
        <v>-196.39699999999999</v>
      </c>
      <c r="H4505" s="1">
        <v>3.0266960000000001E-6</v>
      </c>
      <c r="I4505">
        <v>212.36490000000001</v>
      </c>
      <c r="J4505">
        <v>-341.1404</v>
      </c>
      <c r="K4505">
        <v>1.1208260000000001</v>
      </c>
      <c r="L4505">
        <v>215.37629999999999</v>
      </c>
      <c r="M4505">
        <v>0.99990610000000002</v>
      </c>
      <c r="N4505">
        <v>-1.199279E-2</v>
      </c>
      <c r="O4505">
        <v>-6.6618299999999997E-3</v>
      </c>
      <c r="P4505">
        <v>0.99809619999999999</v>
      </c>
      <c r="Q4505">
        <v>-6.0112440000000003E-2</v>
      </c>
      <c r="R4505">
        <v>1.382277E-2</v>
      </c>
      <c r="S4505">
        <v>3.0050349999999999</v>
      </c>
      <c r="T4505">
        <v>-2.3217080000000001E-2</v>
      </c>
      <c r="U4505">
        <v>-6.242371E-2</v>
      </c>
      <c r="V4505">
        <v>-2.0474329999999999E-2</v>
      </c>
      <c r="W4505">
        <v>-4.8138769999999997E-2</v>
      </c>
      <c r="X4505">
        <v>0.99863080000000004</v>
      </c>
      <c r="Y4505">
        <v>1.4106209999999999E-2</v>
      </c>
      <c r="Z4505">
        <v>-1.675162E-4</v>
      </c>
      <c r="AA4505">
        <v>0.99990049999999997</v>
      </c>
      <c r="AB4505">
        <v>34</v>
      </c>
      <c r="AC4505">
        <v>144.74339999999901</v>
      </c>
      <c r="AD4505">
        <v>-1.120822973304</v>
      </c>
      <c r="AE4505">
        <v>-3.0113999999999801</v>
      </c>
      <c r="AF4505">
        <v>2.0468854099761198</v>
      </c>
      <c r="AG4505">
        <v>-1.120822973304</v>
      </c>
      <c r="AH4505">
        <v>144.75157467616199</v>
      </c>
      <c r="AI4505">
        <v>90.443592572715005</v>
      </c>
      <c r="AJ4505">
        <v>89.189852825961594</v>
      </c>
      <c r="AK4505">
        <v>144.770384938521</v>
      </c>
      <c r="AL4505">
        <v>92.759214706703204</v>
      </c>
      <c r="AM4505">
        <v>91.174536544993103</v>
      </c>
      <c r="AN4505">
        <v>1.00000000703735</v>
      </c>
    </row>
    <row r="4506" spans="1:40" x14ac:dyDescent="0.25">
      <c r="A4506" t="str">
        <f>"20190303153858657"</f>
        <v>20190303153858657</v>
      </c>
      <c r="B4506" t="str">
        <f>"1551598738652639"</f>
        <v>1551598738652639</v>
      </c>
      <c r="C4506" t="s">
        <v>40</v>
      </c>
      <c r="D4506">
        <v>4.1350519999999999</v>
      </c>
      <c r="E4506">
        <v>0.512849</v>
      </c>
      <c r="F4506" t="s">
        <v>55</v>
      </c>
      <c r="G4506">
        <v>-212.57660000000001</v>
      </c>
      <c r="H4506" s="1">
        <v>-8.4495000000000003E-8</v>
      </c>
      <c r="I4506">
        <v>212.75980000000001</v>
      </c>
      <c r="J4506">
        <v>-340.79140000000001</v>
      </c>
      <c r="K4506">
        <v>1.1208549999999999</v>
      </c>
      <c r="L4506">
        <v>215.37389999999999</v>
      </c>
      <c r="M4506">
        <v>0.99990270000000003</v>
      </c>
      <c r="N4506">
        <v>-1.225298E-2</v>
      </c>
      <c r="O4506">
        <v>-6.6616150000000001E-3</v>
      </c>
      <c r="P4506">
        <v>0.9980407</v>
      </c>
      <c r="Q4506">
        <v>-6.1180199999999997E-2</v>
      </c>
      <c r="R4506">
        <v>1.3108689999999999E-2</v>
      </c>
      <c r="S4506">
        <v>3.0050050000000001</v>
      </c>
      <c r="T4506">
        <v>-2.6197789999999999E-2</v>
      </c>
      <c r="U4506">
        <v>-6.115723E-2</v>
      </c>
      <c r="V4506">
        <v>-1.975975E-2</v>
      </c>
      <c r="W4506">
        <v>-4.8947249999999998E-2</v>
      </c>
      <c r="X4506">
        <v>0.99860590000000005</v>
      </c>
      <c r="Y4506">
        <v>1.368518E-2</v>
      </c>
      <c r="Z4506">
        <v>-1.6705840000000001E-4</v>
      </c>
      <c r="AA4506">
        <v>0.99990639999999997</v>
      </c>
      <c r="AB4506">
        <v>34</v>
      </c>
      <c r="AC4506">
        <v>128.2148</v>
      </c>
      <c r="AD4506">
        <v>-1.120855084495</v>
      </c>
      <c r="AE4506">
        <v>-2.6140999999999699</v>
      </c>
      <c r="AF4506">
        <v>1.75972576825194</v>
      </c>
      <c r="AG4506">
        <v>-1.120855084495</v>
      </c>
      <c r="AH4506">
        <v>128.21957525555101</v>
      </c>
      <c r="AI4506">
        <v>90.500801714929196</v>
      </c>
      <c r="AJ4506">
        <v>89.213704071425099</v>
      </c>
      <c r="AK4506">
        <v>128.23654872778599</v>
      </c>
      <c r="AL4506">
        <v>92.8055918591687</v>
      </c>
      <c r="AM4506">
        <v>91.133582881635206</v>
      </c>
      <c r="AN4506">
        <v>1.00000001225871</v>
      </c>
    </row>
    <row r="4507" spans="1:40" x14ac:dyDescent="0.25">
      <c r="A4507" t="str">
        <f>"20190303153858680"</f>
        <v>20190303153858680</v>
      </c>
      <c r="B4507" t="str">
        <f>"1551598738673139"</f>
        <v>1551598738673139</v>
      </c>
      <c r="C4507" t="s">
        <v>40</v>
      </c>
      <c r="D4507">
        <v>4.124193</v>
      </c>
      <c r="E4507">
        <v>0.51242920000000003</v>
      </c>
      <c r="F4507" t="s">
        <v>55</v>
      </c>
      <c r="G4507">
        <v>-229.202</v>
      </c>
      <c r="H4507" s="1">
        <v>3.4221050000000002E-6</v>
      </c>
      <c r="I4507">
        <v>213.1962</v>
      </c>
      <c r="J4507">
        <v>-340.44009999999997</v>
      </c>
      <c r="K4507">
        <v>1.1208940000000001</v>
      </c>
      <c r="L4507">
        <v>215.3716</v>
      </c>
      <c r="M4507">
        <v>0.9998996</v>
      </c>
      <c r="N4507">
        <v>-1.2511090000000001E-2</v>
      </c>
      <c r="O4507">
        <v>-6.661541E-3</v>
      </c>
      <c r="P4507">
        <v>0.99804329999999997</v>
      </c>
      <c r="Q4507">
        <v>-6.127138E-2</v>
      </c>
      <c r="R4507">
        <v>1.247148E-2</v>
      </c>
      <c r="S4507">
        <v>3.004791</v>
      </c>
      <c r="T4507">
        <v>-3.0181409999999999E-2</v>
      </c>
      <c r="U4507">
        <v>-5.8639530000000002E-2</v>
      </c>
      <c r="V4507">
        <v>-1.912231E-2</v>
      </c>
      <c r="W4507">
        <v>-4.8780579999999997E-2</v>
      </c>
      <c r="X4507">
        <v>0.99862649999999997</v>
      </c>
      <c r="Y4507">
        <v>1.2848969999999999E-2</v>
      </c>
      <c r="Z4507">
        <v>-1.61354E-4</v>
      </c>
      <c r="AA4507">
        <v>0.99991739999999996</v>
      </c>
      <c r="AB4507">
        <v>34</v>
      </c>
      <c r="AC4507">
        <v>111.23809999999899</v>
      </c>
      <c r="AD4507">
        <v>-1.120890577895</v>
      </c>
      <c r="AE4507">
        <v>-2.17539999999999</v>
      </c>
      <c r="AF4507">
        <v>1.43413104062201</v>
      </c>
      <c r="AG4507">
        <v>-1.120890577895</v>
      </c>
      <c r="AH4507">
        <v>111.238833669103</v>
      </c>
      <c r="AI4507">
        <v>90.577269535732299</v>
      </c>
      <c r="AJ4507">
        <v>89.261363131139106</v>
      </c>
      <c r="AK4507">
        <v>111.25372462795001</v>
      </c>
      <c r="AL4507">
        <v>92.796030853143805</v>
      </c>
      <c r="AM4507">
        <v>91.097000506184401</v>
      </c>
      <c r="AN4507">
        <v>1.0000000471135599</v>
      </c>
    </row>
    <row r="4508" spans="1:40" x14ac:dyDescent="0.25">
      <c r="A4508" t="str">
        <f>"20190303153858702"</f>
        <v>20190303153858702</v>
      </c>
      <c r="B4508" t="str">
        <f>"1551598738692659"</f>
        <v>1551598738692659</v>
      </c>
      <c r="C4508" t="s">
        <v>40</v>
      </c>
      <c r="D4508">
        <v>4.058751</v>
      </c>
      <c r="E4508">
        <v>0.51214190000000004</v>
      </c>
      <c r="F4508" t="s">
        <v>55</v>
      </c>
      <c r="G4508">
        <v>-234.93549999999999</v>
      </c>
      <c r="H4508" s="1">
        <v>1.144721E-6</v>
      </c>
      <c r="I4508">
        <v>213.35589999999999</v>
      </c>
      <c r="J4508">
        <v>-340.11720000000003</v>
      </c>
      <c r="K4508">
        <v>1.120922</v>
      </c>
      <c r="L4508">
        <v>215.36940000000001</v>
      </c>
      <c r="M4508">
        <v>0.99989680000000003</v>
      </c>
      <c r="N4508">
        <v>-1.273492E-2</v>
      </c>
      <c r="O4508">
        <v>-6.6611619999999896E-3</v>
      </c>
      <c r="P4508">
        <v>0.99806159999999999</v>
      </c>
      <c r="Q4508">
        <v>-6.0912050000000002E-2</v>
      </c>
      <c r="R4508">
        <v>1.277053E-2</v>
      </c>
      <c r="S4508">
        <v>3.0046390000000001</v>
      </c>
      <c r="T4508">
        <v>-3.1921629999999999E-2</v>
      </c>
      <c r="U4508">
        <v>-5.7403559999999999E-2</v>
      </c>
      <c r="V4508">
        <v>-1.9420949999999999E-2</v>
      </c>
      <c r="W4508">
        <v>-4.8197499999999997E-2</v>
      </c>
      <c r="X4508">
        <v>0.99864900000000001</v>
      </c>
      <c r="Y4508">
        <v>1.243906E-2</v>
      </c>
      <c r="Z4508">
        <v>-1.5935799999999999E-4</v>
      </c>
      <c r="AA4508">
        <v>0.99992259999999999</v>
      </c>
      <c r="AB4508">
        <v>34</v>
      </c>
      <c r="AC4508">
        <v>105.18170000000001</v>
      </c>
      <c r="AD4508">
        <v>-1.120920855279</v>
      </c>
      <c r="AE4508">
        <v>-2.0135000000000201</v>
      </c>
      <c r="AF4508">
        <v>1.31261719267786</v>
      </c>
      <c r="AG4508">
        <v>-1.120920855279</v>
      </c>
      <c r="AH4508">
        <v>105.180838245337</v>
      </c>
      <c r="AI4508">
        <v>90.610535188981103</v>
      </c>
      <c r="AJ4508">
        <v>89.285007396943598</v>
      </c>
      <c r="AK4508">
        <v>105.19500064855799</v>
      </c>
      <c r="AL4508">
        <v>92.762583621183396</v>
      </c>
      <c r="AM4508">
        <v>91.114103377434105</v>
      </c>
      <c r="AN4508">
        <v>0.99999999875307599</v>
      </c>
    </row>
    <row r="4509" spans="1:40" x14ac:dyDescent="0.25">
      <c r="A4509" t="str">
        <f>"20190303153858723"</f>
        <v>20190303153858723</v>
      </c>
      <c r="B4509" t="str">
        <f>"1551598738713151"</f>
        <v>1551598738713151</v>
      </c>
      <c r="C4509" t="s">
        <v>40</v>
      </c>
      <c r="D4509">
        <v>4.0961040000000004</v>
      </c>
      <c r="E4509">
        <v>0.51177229999999996</v>
      </c>
      <c r="F4509" t="s">
        <v>55</v>
      </c>
      <c r="G4509">
        <v>-227.73859999999999</v>
      </c>
      <c r="H4509" s="1">
        <v>2.636652E-6</v>
      </c>
      <c r="I4509">
        <v>213.34970000000001</v>
      </c>
      <c r="J4509">
        <v>-339.78730000000002</v>
      </c>
      <c r="K4509">
        <v>1.120943</v>
      </c>
      <c r="L4509">
        <v>215.3672</v>
      </c>
      <c r="M4509">
        <v>0.99989399999999995</v>
      </c>
      <c r="N4509">
        <v>-1.294674E-2</v>
      </c>
      <c r="O4509">
        <v>-6.6608479999999996E-3</v>
      </c>
      <c r="P4509">
        <v>0.99805920000000004</v>
      </c>
      <c r="Q4509">
        <v>-6.081139E-2</v>
      </c>
      <c r="R4509">
        <v>1.342103E-2</v>
      </c>
      <c r="S4509">
        <v>3.0046689999999998</v>
      </c>
      <c r="T4509">
        <v>-2.9970050000000002E-2</v>
      </c>
      <c r="U4509">
        <v>-5.4000850000000003E-2</v>
      </c>
      <c r="V4509">
        <v>-2.0071249999999999E-2</v>
      </c>
      <c r="W4509">
        <v>-4.7885369999999997E-2</v>
      </c>
      <c r="X4509">
        <v>0.99865110000000001</v>
      </c>
      <c r="Y4509">
        <v>1.130742E-2</v>
      </c>
      <c r="Z4509">
        <v>-1.494023E-4</v>
      </c>
      <c r="AA4509">
        <v>0.99993600000000005</v>
      </c>
      <c r="AB4509">
        <v>34</v>
      </c>
      <c r="AC4509">
        <v>112.0487</v>
      </c>
      <c r="AD4509">
        <v>-1.120940363348</v>
      </c>
      <c r="AE4509">
        <v>-2.0174999999999801</v>
      </c>
      <c r="AF4509">
        <v>1.27092616407224</v>
      </c>
      <c r="AG4509">
        <v>-1.120940363348</v>
      </c>
      <c r="AH4509">
        <v>112.048443037437</v>
      </c>
      <c r="AI4509">
        <v>90.573134950017604</v>
      </c>
      <c r="AJ4509">
        <v>89.350141950263804</v>
      </c>
      <c r="AK4509">
        <v>112.061257121837</v>
      </c>
      <c r="AL4509">
        <v>92.744679372887006</v>
      </c>
      <c r="AM4509">
        <v>91.151396225480596</v>
      </c>
      <c r="AN4509">
        <v>0.99999994163390304</v>
      </c>
    </row>
    <row r="4510" spans="1:40" x14ac:dyDescent="0.25">
      <c r="A4510" t="str">
        <f>"20190303153858748"</f>
        <v>20190303153858748</v>
      </c>
      <c r="B4510" t="str">
        <f>"1551598738743408"</f>
        <v>1551598738743408</v>
      </c>
      <c r="C4510" t="s">
        <v>40</v>
      </c>
      <c r="D4510">
        <v>4.0232549999999998</v>
      </c>
      <c r="E4510">
        <v>0.51149469999999997</v>
      </c>
      <c r="F4510" t="s">
        <v>55</v>
      </c>
      <c r="G4510">
        <v>-230.31120000000001</v>
      </c>
      <c r="H4510" s="1">
        <v>-1.325697E-6</v>
      </c>
      <c r="I4510">
        <v>213.5753</v>
      </c>
      <c r="J4510">
        <v>-339.4171</v>
      </c>
      <c r="K4510">
        <v>1.120962</v>
      </c>
      <c r="L4510">
        <v>215.3647</v>
      </c>
      <c r="M4510">
        <v>0.99989130000000004</v>
      </c>
      <c r="N4510">
        <v>-1.31632E-2</v>
      </c>
      <c r="O4510">
        <v>-6.6607059999999997E-3</v>
      </c>
      <c r="P4510">
        <v>0.99801390000000001</v>
      </c>
      <c r="Q4510">
        <v>-6.1466199999999901E-2</v>
      </c>
      <c r="R4510">
        <v>1.379709E-2</v>
      </c>
      <c r="S4510">
        <v>3.0046080000000002</v>
      </c>
      <c r="T4510">
        <v>-3.0764699999999999E-2</v>
      </c>
      <c r="U4510">
        <v>-4.917908E-2</v>
      </c>
      <c r="V4510">
        <v>-2.0447E-2</v>
      </c>
      <c r="W4510">
        <v>-4.8324550000000001E-2</v>
      </c>
      <c r="X4510">
        <v>0.99862240000000002</v>
      </c>
      <c r="Y4510">
        <v>9.7038049999999994E-3</v>
      </c>
      <c r="Z4510">
        <v>-1.3303619999999999E-4</v>
      </c>
      <c r="AA4510">
        <v>0.99995290000000003</v>
      </c>
      <c r="AB4510">
        <v>34</v>
      </c>
      <c r="AC4510">
        <v>109.10590000000001</v>
      </c>
      <c r="AD4510">
        <v>-1.120963325697</v>
      </c>
      <c r="AE4510">
        <v>-1.7894000000000001</v>
      </c>
      <c r="AF4510">
        <v>1.0624629784272399</v>
      </c>
      <c r="AG4510">
        <v>-1.120963325697</v>
      </c>
      <c r="AH4510">
        <v>109.103885447707</v>
      </c>
      <c r="AI4510">
        <v>90.588623977323095</v>
      </c>
      <c r="AJ4510">
        <v>89.442066429086097</v>
      </c>
      <c r="AK4510">
        <v>109.114816620588</v>
      </c>
      <c r="AL4510">
        <v>92.769871483663493</v>
      </c>
      <c r="AM4510">
        <v>91.172979026122206</v>
      </c>
      <c r="AN4510">
        <v>1.00000001986173</v>
      </c>
    </row>
    <row r="4511" spans="1:40" x14ac:dyDescent="0.25">
      <c r="A4511" t="str">
        <f>"20190303153858770"</f>
        <v>20190303153858770</v>
      </c>
      <c r="B4511" t="str">
        <f>"1551598738762928"</f>
        <v>1551598738762928</v>
      </c>
      <c r="C4511" t="s">
        <v>40</v>
      </c>
      <c r="D4511">
        <v>4.0000289999999996</v>
      </c>
      <c r="E4511">
        <v>0.51141619999999999</v>
      </c>
      <c r="F4511" t="s">
        <v>55</v>
      </c>
      <c r="G4511">
        <v>-224.90559999999999</v>
      </c>
      <c r="H4511" s="1">
        <v>1.1174690000000001E-6</v>
      </c>
      <c r="I4511">
        <v>213.61609999999999</v>
      </c>
      <c r="J4511">
        <v>-339.089</v>
      </c>
      <c r="K4511">
        <v>1.1209709999999999</v>
      </c>
      <c r="L4511">
        <v>215.36259999999999</v>
      </c>
      <c r="M4511">
        <v>0.99988900000000003</v>
      </c>
      <c r="N4511">
        <v>-1.3334199999999999E-2</v>
      </c>
      <c r="O4511">
        <v>-6.6551199999999996E-3</v>
      </c>
      <c r="P4511">
        <v>0.99798109999999995</v>
      </c>
      <c r="Q4511">
        <v>-6.1946330000000001E-2</v>
      </c>
      <c r="R4511">
        <v>1.402028E-2</v>
      </c>
      <c r="S4511">
        <v>3.0047609999999998</v>
      </c>
      <c r="T4511">
        <v>-2.941382E-2</v>
      </c>
      <c r="U4511">
        <v>-4.5883180000000003E-2</v>
      </c>
      <c r="V4511">
        <v>-2.0663830000000001E-2</v>
      </c>
      <c r="W4511">
        <v>-4.8634419999999998E-2</v>
      </c>
      <c r="X4511">
        <v>0.99860289999999996</v>
      </c>
      <c r="Y4511">
        <v>8.6121740000000002E-3</v>
      </c>
      <c r="Z4511">
        <v>-1.231774E-4</v>
      </c>
      <c r="AA4511">
        <v>0.99996289999999999</v>
      </c>
      <c r="AB4511">
        <v>34</v>
      </c>
      <c r="AC4511">
        <v>114.18340000000001</v>
      </c>
      <c r="AD4511">
        <v>-1.1209698825309999</v>
      </c>
      <c r="AE4511">
        <v>-1.7464999999999899</v>
      </c>
      <c r="AF4511">
        <v>0.98639451615361995</v>
      </c>
      <c r="AG4511">
        <v>-1.1209698825309999</v>
      </c>
      <c r="AH4511">
        <v>114.181492983334</v>
      </c>
      <c r="AI4511">
        <v>90.562458783749605</v>
      </c>
      <c r="AJ4511">
        <v>89.505043809004107</v>
      </c>
      <c r="AK4511">
        <v>114.191255740193</v>
      </c>
      <c r="AL4511">
        <v>92.787646609058996</v>
      </c>
      <c r="AM4511">
        <v>91.185437480667105</v>
      </c>
      <c r="AN4511">
        <v>1.0000000262837001</v>
      </c>
    </row>
    <row r="4512" spans="1:40" x14ac:dyDescent="0.25">
      <c r="A4512" t="str">
        <f>"20190303153858792"</f>
        <v>20190303153858792</v>
      </c>
      <c r="B4512" t="str">
        <f>"1551598738783434"</f>
        <v>1551598738783434</v>
      </c>
      <c r="C4512" t="s">
        <v>40</v>
      </c>
      <c r="D4512">
        <v>4.0662839999999996</v>
      </c>
      <c r="E4512">
        <v>0.51615359999999999</v>
      </c>
      <c r="F4512" t="s">
        <v>55</v>
      </c>
      <c r="G4512">
        <v>-226.2509</v>
      </c>
      <c r="H4512" s="1">
        <v>1.8301540000000001E-6</v>
      </c>
      <c r="I4512">
        <v>213.68879999999999</v>
      </c>
      <c r="J4512">
        <v>-338.7559</v>
      </c>
      <c r="K4512">
        <v>1.1209899999999999</v>
      </c>
      <c r="L4512">
        <v>215.3603</v>
      </c>
      <c r="M4512">
        <v>0.99988710000000003</v>
      </c>
      <c r="N4512">
        <v>-1.3488150000000001E-2</v>
      </c>
      <c r="O4512">
        <v>-6.6293929999999999E-3</v>
      </c>
      <c r="P4512">
        <v>0.99790990000000002</v>
      </c>
      <c r="Q4512">
        <v>-6.3177499999999998E-2</v>
      </c>
      <c r="R4512">
        <v>1.3591900000000001E-2</v>
      </c>
      <c r="S4512">
        <v>3.0048219999999999</v>
      </c>
      <c r="T4512">
        <v>-2.985084E-2</v>
      </c>
      <c r="U4512">
        <v>-4.457092E-2</v>
      </c>
      <c r="V4512">
        <v>-2.0208489999999999E-2</v>
      </c>
      <c r="W4512">
        <v>-4.9713170000000001E-2</v>
      </c>
      <c r="X4512">
        <v>0.99855910000000003</v>
      </c>
      <c r="Y4512">
        <v>8.2009979999999993E-3</v>
      </c>
      <c r="Z4512">
        <v>-1.19617E-4</v>
      </c>
      <c r="AA4512">
        <v>0.99996640000000003</v>
      </c>
      <c r="AB4512">
        <v>34</v>
      </c>
      <c r="AC4512">
        <v>112.505</v>
      </c>
      <c r="AD4512">
        <v>-1.120988169846</v>
      </c>
      <c r="AE4512">
        <v>-1.6715</v>
      </c>
      <c r="AF4512">
        <v>0.92546372373318997</v>
      </c>
      <c r="AG4512">
        <v>-1.120988169846</v>
      </c>
      <c r="AH4512">
        <v>112.502442637158</v>
      </c>
      <c r="AI4512">
        <v>90.570863985029405</v>
      </c>
      <c r="AJ4512">
        <v>89.528686060493001</v>
      </c>
      <c r="AK4512">
        <v>112.511833586108</v>
      </c>
      <c r="AL4512">
        <v>92.849529287474496</v>
      </c>
      <c r="AM4512">
        <v>91.159373695550897</v>
      </c>
      <c r="AN4512">
        <v>1.0000000292661599</v>
      </c>
    </row>
    <row r="4513" spans="1:40" x14ac:dyDescent="0.25">
      <c r="A4513" t="str">
        <f>"20190303153858814"</f>
        <v>20190303153858814</v>
      </c>
      <c r="B4513" t="str">
        <f>"1551598738802943"</f>
        <v>1551598738802943</v>
      </c>
      <c r="C4513" t="s">
        <v>40</v>
      </c>
      <c r="D4513">
        <v>4.1260059999999896</v>
      </c>
      <c r="E4513">
        <v>0.51468619999999998</v>
      </c>
      <c r="F4513" t="s">
        <v>66</v>
      </c>
      <c r="G4513">
        <v>-138.91460000000001</v>
      </c>
      <c r="H4513">
        <v>5.3860380000000001</v>
      </c>
      <c r="I4513">
        <v>209.9845</v>
      </c>
      <c r="J4513">
        <v>-338.42070000000001</v>
      </c>
      <c r="K4513">
        <v>1.1210119999999999</v>
      </c>
      <c r="L4513">
        <v>215.35820000000001</v>
      </c>
      <c r="M4513">
        <v>0.99988549999999998</v>
      </c>
      <c r="N4513">
        <v>-1.362528E-2</v>
      </c>
      <c r="O4513">
        <v>-6.5806830000000004E-3</v>
      </c>
      <c r="P4513">
        <v>0.99790970000000001</v>
      </c>
      <c r="Q4513">
        <v>-6.3234869999999999E-2</v>
      </c>
      <c r="R4513">
        <v>1.3326670000000001E-2</v>
      </c>
      <c r="S4513">
        <v>3.011444</v>
      </c>
      <c r="T4513">
        <v>6.4271209999999995E-2</v>
      </c>
      <c r="U4513">
        <v>-8.1008910000000003E-2</v>
      </c>
      <c r="V4513">
        <v>-1.9891929999999999E-2</v>
      </c>
      <c r="W4513">
        <v>-4.9634400000000002E-2</v>
      </c>
      <c r="X4513">
        <v>0.99856940000000005</v>
      </c>
      <c r="Y4513">
        <v>2.0313479999999998E-2</v>
      </c>
      <c r="Z4513">
        <v>-1.5176020000000001E-4</v>
      </c>
      <c r="AA4513">
        <v>0.99979359999999995</v>
      </c>
      <c r="AB4513">
        <v>34</v>
      </c>
      <c r="AC4513">
        <v>199.5061</v>
      </c>
      <c r="AD4513">
        <v>4.2650259999999998</v>
      </c>
      <c r="AE4513">
        <v>-5.3737000000000101</v>
      </c>
      <c r="AF4513">
        <v>4.0587217607002302</v>
      </c>
      <c r="AG4513">
        <v>4.2650259999999998</v>
      </c>
      <c r="AH4513">
        <v>199.44606132915601</v>
      </c>
      <c r="AI4513">
        <v>88.775206746871405</v>
      </c>
      <c r="AJ4513">
        <v>88.834193402715002</v>
      </c>
      <c r="AK4513">
        <v>199.53294226474199</v>
      </c>
      <c r="AL4513">
        <v>92.845010448539995</v>
      </c>
      <c r="AM4513">
        <v>91.141205523517399</v>
      </c>
      <c r="AN4513">
        <v>1.0000000545794201</v>
      </c>
    </row>
    <row r="4514" spans="1:40" x14ac:dyDescent="0.25">
      <c r="A4514" t="str">
        <f>"20190303153858836"</f>
        <v>20190303153858836</v>
      </c>
      <c r="B4514" t="str">
        <f>"1551598738833199"</f>
        <v>1551598738833199</v>
      </c>
      <c r="C4514" t="s">
        <v>40</v>
      </c>
      <c r="D4514">
        <v>4.0519439999999998</v>
      </c>
      <c r="E4514">
        <v>0.51488699999999998</v>
      </c>
      <c r="F4514" t="s">
        <v>66</v>
      </c>
      <c r="G4514">
        <v>-119.5917</v>
      </c>
      <c r="H4514">
        <v>4.0421579999999997</v>
      </c>
      <c r="I4514">
        <v>210.2193</v>
      </c>
      <c r="J4514">
        <v>-338.09699999999998</v>
      </c>
      <c r="K4514">
        <v>1.1210450000000001</v>
      </c>
      <c r="L4514">
        <v>215.3561</v>
      </c>
      <c r="M4514">
        <v>0.99988449999999995</v>
      </c>
      <c r="N4514">
        <v>-1.374183E-2</v>
      </c>
      <c r="O4514">
        <v>-6.499515E-3</v>
      </c>
      <c r="P4514">
        <v>0.99794380000000005</v>
      </c>
      <c r="Q4514">
        <v>-6.2829579999999996E-2</v>
      </c>
      <c r="R4514">
        <v>1.268411E-2</v>
      </c>
      <c r="S4514">
        <v>3.009735</v>
      </c>
      <c r="T4514">
        <v>4.0177350000000001E-2</v>
      </c>
      <c r="U4514">
        <v>-7.0678710000000006E-2</v>
      </c>
      <c r="V4514">
        <v>-1.9165809999999998E-2</v>
      </c>
      <c r="W4514">
        <v>-4.911335E-2</v>
      </c>
      <c r="X4514">
        <v>0.99860930000000003</v>
      </c>
      <c r="Y4514">
        <v>1.6980490000000001E-2</v>
      </c>
      <c r="Z4514">
        <v>-1.7942239999999999E-4</v>
      </c>
      <c r="AA4514">
        <v>0.99985579999999996</v>
      </c>
      <c r="AB4514">
        <v>34</v>
      </c>
      <c r="AC4514">
        <v>218.50530000000001</v>
      </c>
      <c r="AD4514">
        <v>2.9211130000000001</v>
      </c>
      <c r="AE4514">
        <v>-5.1367999999999903</v>
      </c>
      <c r="AF4514">
        <v>3.7157152561870399</v>
      </c>
      <c r="AG4514">
        <v>2.9211130000000001</v>
      </c>
      <c r="AH4514">
        <v>218.49504587410601</v>
      </c>
      <c r="AI4514">
        <v>89.234155249297601</v>
      </c>
      <c r="AJ4514">
        <v>89.025724901256297</v>
      </c>
      <c r="AK4514">
        <v>218.546161056541</v>
      </c>
      <c r="AL4514">
        <v>92.815120205619294</v>
      </c>
      <c r="AM4514">
        <v>91.099514316697494</v>
      </c>
      <c r="AN4514">
        <v>0.99999999173383403</v>
      </c>
    </row>
    <row r="4515" spans="1:40" x14ac:dyDescent="0.25">
      <c r="A4515" t="str">
        <f>"20190303153858858"</f>
        <v>20190303153858858</v>
      </c>
      <c r="B4515" t="str">
        <f>"1551598738852720"</f>
        <v>1551598738852720</v>
      </c>
      <c r="C4515" t="s">
        <v>40</v>
      </c>
      <c r="D4515">
        <v>4.0259</v>
      </c>
      <c r="E4515">
        <v>0.5145805</v>
      </c>
      <c r="F4515" t="s">
        <v>66</v>
      </c>
      <c r="G4515">
        <v>-121.25369999999999</v>
      </c>
      <c r="H4515">
        <v>3.041874</v>
      </c>
      <c r="I4515">
        <v>209.9676</v>
      </c>
      <c r="J4515">
        <v>-337.75709999999998</v>
      </c>
      <c r="K4515">
        <v>1.121081</v>
      </c>
      <c r="L4515">
        <v>215.35400000000001</v>
      </c>
      <c r="M4515">
        <v>0.99988379999999999</v>
      </c>
      <c r="N4515">
        <v>-1.3848869999999999E-2</v>
      </c>
      <c r="O4515">
        <v>-6.3618169999999996E-3</v>
      </c>
      <c r="P4515">
        <v>0.99793790000000004</v>
      </c>
      <c r="Q4515">
        <v>-6.2922969999999995E-2</v>
      </c>
      <c r="R4515">
        <v>1.267659E-2</v>
      </c>
      <c r="S4515">
        <v>3.0088200000000001</v>
      </c>
      <c r="T4515">
        <v>2.6652929999999998E-2</v>
      </c>
      <c r="U4515">
        <v>-7.4768070000000006E-2</v>
      </c>
      <c r="V4515">
        <v>-1.90163E-2</v>
      </c>
      <c r="W4515">
        <v>-4.9101609999999997E-2</v>
      </c>
      <c r="X4515">
        <v>0.99861279999999997</v>
      </c>
      <c r="Y4515">
        <v>1.8483050000000001E-2</v>
      </c>
      <c r="Z4515">
        <v>-1.905954E-4</v>
      </c>
      <c r="AA4515">
        <v>0.99982919999999997</v>
      </c>
      <c r="AB4515">
        <v>34</v>
      </c>
      <c r="AC4515">
        <v>216.5034</v>
      </c>
      <c r="AD4515">
        <v>1.920793</v>
      </c>
      <c r="AE4515">
        <v>-5.3864000000000001</v>
      </c>
      <c r="AF4515">
        <v>4.0084884662004097</v>
      </c>
      <c r="AG4515">
        <v>1.920793</v>
      </c>
      <c r="AH4515">
        <v>216.51625693189999</v>
      </c>
      <c r="AI4515">
        <v>89.491809101857697</v>
      </c>
      <c r="AJ4515">
        <v>88.939371850948206</v>
      </c>
      <c r="AK4515">
        <v>216.56187785788401</v>
      </c>
      <c r="AL4515">
        <v>92.814446559474803</v>
      </c>
      <c r="AM4515">
        <v>91.090935406377497</v>
      </c>
      <c r="AN4515">
        <v>1.0000000560470499</v>
      </c>
    </row>
    <row r="4516" spans="1:40" x14ac:dyDescent="0.25">
      <c r="A4516" t="str">
        <f>"20190303153858882"</f>
        <v>20190303153858882</v>
      </c>
      <c r="B4516" t="str">
        <f>"1551598738873216"</f>
        <v>1551598738873216</v>
      </c>
      <c r="C4516" t="s">
        <v>40</v>
      </c>
      <c r="D4516">
        <v>3.929694</v>
      </c>
      <c r="E4516">
        <v>0.51518999999999904</v>
      </c>
      <c r="F4516" t="s">
        <v>66</v>
      </c>
      <c r="G4516">
        <v>-121.25360000000001</v>
      </c>
      <c r="H4516">
        <v>2.8279290000000001</v>
      </c>
      <c r="I4516">
        <v>210.1285</v>
      </c>
      <c r="J4516">
        <v>-337.41230000000002</v>
      </c>
      <c r="K4516">
        <v>1.1211310000000001</v>
      </c>
      <c r="L4516">
        <v>215.352</v>
      </c>
      <c r="M4516">
        <v>0.99988390000000005</v>
      </c>
      <c r="N4516">
        <v>-1.394306E-2</v>
      </c>
      <c r="O4516">
        <v>-6.1561369999999999E-3</v>
      </c>
      <c r="P4516">
        <v>0.99789530000000004</v>
      </c>
      <c r="Q4516">
        <v>-6.3593689999999994E-2</v>
      </c>
      <c r="R4516">
        <v>1.2695059999999999E-2</v>
      </c>
      <c r="S4516">
        <v>3.0086360000000001</v>
      </c>
      <c r="T4516">
        <v>2.3719549999999999E-2</v>
      </c>
      <c r="U4516">
        <v>-7.261658E-2</v>
      </c>
      <c r="V4516">
        <v>-1.8823380000000001E-2</v>
      </c>
      <c r="W4516">
        <v>-4.9680929999999998E-2</v>
      </c>
      <c r="X4516">
        <v>0.99858769999999997</v>
      </c>
      <c r="Y4516">
        <v>1.797551E-2</v>
      </c>
      <c r="Z4516">
        <v>-1.8884349999999999E-4</v>
      </c>
      <c r="AA4516">
        <v>0.99983840000000002</v>
      </c>
      <c r="AB4516">
        <v>34</v>
      </c>
      <c r="AC4516">
        <v>216.15870000000001</v>
      </c>
      <c r="AD4516">
        <v>1.706798</v>
      </c>
      <c r="AE4516">
        <v>-5.2234999999999996</v>
      </c>
      <c r="AF4516">
        <v>3.8923266047089902</v>
      </c>
      <c r="AG4516">
        <v>1.706798</v>
      </c>
      <c r="AH4516">
        <v>216.17329288614201</v>
      </c>
      <c r="AI4516">
        <v>89.5477034132619</v>
      </c>
      <c r="AJ4516">
        <v>88.968467435557997</v>
      </c>
      <c r="AK4516">
        <v>216.21506867711199</v>
      </c>
      <c r="AL4516">
        <v>92.847679999279705</v>
      </c>
      <c r="AM4516">
        <v>91.079897658368793</v>
      </c>
      <c r="AN4516">
        <v>0.99999995451578805</v>
      </c>
    </row>
    <row r="4517" spans="1:40" x14ac:dyDescent="0.25">
      <c r="A4517" t="str">
        <f>"20190303153858902"</f>
        <v>20190303153858902</v>
      </c>
      <c r="B4517" t="str">
        <f>"1551598738892739"</f>
        <v>1551598738892739</v>
      </c>
      <c r="C4517" t="s">
        <v>40</v>
      </c>
      <c r="D4517">
        <v>4.0210520000000001</v>
      </c>
      <c r="E4517">
        <v>0.51463930000000002</v>
      </c>
      <c r="F4517" t="s">
        <v>66</v>
      </c>
      <c r="G4517">
        <v>-121.254</v>
      </c>
      <c r="H4517">
        <v>3.7392880000000002</v>
      </c>
      <c r="I4517">
        <v>209.8492</v>
      </c>
      <c r="J4517">
        <v>-337.0917</v>
      </c>
      <c r="K4517">
        <v>1.1211869999999999</v>
      </c>
      <c r="L4517">
        <v>215.3503</v>
      </c>
      <c r="M4517">
        <v>0.99988440000000001</v>
      </c>
      <c r="N4517">
        <v>-1.4019149999999999E-2</v>
      </c>
      <c r="O4517">
        <v>-5.898904E-3</v>
      </c>
      <c r="P4517">
        <v>0.99785710000000005</v>
      </c>
      <c r="Q4517">
        <v>-6.4192750000000007E-2</v>
      </c>
      <c r="R4517">
        <v>1.268419E-2</v>
      </c>
      <c r="S4517">
        <v>3.0095519999999998</v>
      </c>
      <c r="T4517">
        <v>3.6452770000000002E-2</v>
      </c>
      <c r="U4517">
        <v>-7.6614379999999996E-2</v>
      </c>
      <c r="V4517">
        <v>-1.8549570000000001E-2</v>
      </c>
      <c r="W4517">
        <v>-5.0206689999999998E-2</v>
      </c>
      <c r="X4517">
        <v>0.99856659999999997</v>
      </c>
      <c r="Y4517">
        <v>1.9553049999999999E-2</v>
      </c>
      <c r="Z4517">
        <v>-1.728109E-4</v>
      </c>
      <c r="AA4517">
        <v>0.99980880000000005</v>
      </c>
      <c r="AB4517">
        <v>34</v>
      </c>
      <c r="AC4517">
        <v>215.83770000000001</v>
      </c>
      <c r="AD4517">
        <v>2.6181009999999998</v>
      </c>
      <c r="AE4517">
        <v>-5.5011000000000001</v>
      </c>
      <c r="AF4517">
        <v>4.2270518101658299</v>
      </c>
      <c r="AG4517">
        <v>2.6181009999999998</v>
      </c>
      <c r="AH4517">
        <v>215.83466124061201</v>
      </c>
      <c r="AI4517">
        <v>89.305162458644404</v>
      </c>
      <c r="AJ4517">
        <v>88.878024182060102</v>
      </c>
      <c r="AK4517">
        <v>215.89192530685801</v>
      </c>
      <c r="AL4517">
        <v>92.8778412634814</v>
      </c>
      <c r="AM4517">
        <v>91.064215294296403</v>
      </c>
      <c r="AN4517">
        <v>1.0000000264517499</v>
      </c>
    </row>
    <row r="4518" spans="1:40" x14ac:dyDescent="0.25">
      <c r="A4518" t="str">
        <f>"20190303153858924"</f>
        <v>20190303153858924</v>
      </c>
      <c r="B4518" t="str">
        <f>"1551598738913232"</f>
        <v>1551598738913232</v>
      </c>
      <c r="C4518" t="s">
        <v>40</v>
      </c>
      <c r="D4518">
        <v>4.0053960000000002</v>
      </c>
      <c r="E4518">
        <v>0.51421919999999999</v>
      </c>
      <c r="F4518" t="s">
        <v>66</v>
      </c>
      <c r="G4518">
        <v>-121.2538</v>
      </c>
      <c r="H4518">
        <v>3.4083420000000002</v>
      </c>
      <c r="I4518">
        <v>210.14869999999999</v>
      </c>
      <c r="J4518">
        <v>-336.76260000000002</v>
      </c>
      <c r="K4518">
        <v>1.1212470000000001</v>
      </c>
      <c r="L4518">
        <v>215.3486</v>
      </c>
      <c r="M4518">
        <v>0.99988540000000004</v>
      </c>
      <c r="N4518">
        <v>-1.408709E-2</v>
      </c>
      <c r="O4518">
        <v>-5.5680060000000003E-3</v>
      </c>
      <c r="P4518">
        <v>0.99789899999999998</v>
      </c>
      <c r="Q4518">
        <v>-6.3592330000000002E-2</v>
      </c>
      <c r="R4518">
        <v>1.2399500000000001E-2</v>
      </c>
      <c r="S4518">
        <v>3.0093990000000002</v>
      </c>
      <c r="T4518">
        <v>3.1889920000000002E-2</v>
      </c>
      <c r="U4518">
        <v>-7.2525019999999996E-2</v>
      </c>
      <c r="V4518">
        <v>-1.7927829999999999E-2</v>
      </c>
      <c r="W4518">
        <v>-4.9539979999999997E-2</v>
      </c>
      <c r="X4518">
        <v>0.99861120000000003</v>
      </c>
      <c r="Y4518">
        <v>1.8527229999999999E-2</v>
      </c>
      <c r="Z4518">
        <v>-1.6979159999999999E-4</v>
      </c>
      <c r="AA4518">
        <v>0.9998283</v>
      </c>
      <c r="AB4518">
        <v>33</v>
      </c>
      <c r="AC4518">
        <v>215.50880000000001</v>
      </c>
      <c r="AD4518">
        <v>2.2870949999999999</v>
      </c>
      <c r="AE4518">
        <v>-5.1999000000000102</v>
      </c>
      <c r="AF4518">
        <v>3.9992960004894602</v>
      </c>
      <c r="AG4518">
        <v>2.2870949999999999</v>
      </c>
      <c r="AH4518">
        <v>215.51015667005399</v>
      </c>
      <c r="AI4518">
        <v>89.392077763327606</v>
      </c>
      <c r="AJ4518">
        <v>88.936864567573707</v>
      </c>
      <c r="AK4518">
        <v>215.55939506314701</v>
      </c>
      <c r="AL4518">
        <v>92.839594150500801</v>
      </c>
      <c r="AM4518">
        <v>91.028507051840194</v>
      </c>
      <c r="AN4518">
        <v>0.99999997273617403</v>
      </c>
    </row>
    <row r="4519" spans="1:40" x14ac:dyDescent="0.25">
      <c r="A4519" t="str">
        <f>"20190303153858949"</f>
        <v>20190303153858949</v>
      </c>
      <c r="B4519" t="str">
        <f>"1551598738943488"</f>
        <v>1551598738943488</v>
      </c>
      <c r="C4519" t="s">
        <v>40</v>
      </c>
      <c r="D4519">
        <v>4.03559</v>
      </c>
      <c r="E4519">
        <v>0.51387240000000001</v>
      </c>
      <c r="F4519" t="s">
        <v>67</v>
      </c>
      <c r="G4519">
        <v>-107.39749999999999</v>
      </c>
      <c r="H4519">
        <v>3.5421779999999998</v>
      </c>
      <c r="I4519">
        <v>209.9847</v>
      </c>
      <c r="J4519">
        <v>-336.40960000000001</v>
      </c>
      <c r="K4519">
        <v>1.121313</v>
      </c>
      <c r="L4519">
        <v>215.34710000000001</v>
      </c>
      <c r="M4519">
        <v>0.99988679999999996</v>
      </c>
      <c r="N4519">
        <v>-1.4150019999999999E-2</v>
      </c>
      <c r="O4519">
        <v>-5.1417889999999999E-3</v>
      </c>
      <c r="P4519">
        <v>0.99794910000000003</v>
      </c>
      <c r="Q4519">
        <v>-6.2861890000000004E-2</v>
      </c>
      <c r="R4519">
        <v>1.2096000000000001E-2</v>
      </c>
      <c r="S4519">
        <v>3.0091860000000001</v>
      </c>
      <c r="T4519">
        <v>3.1762360000000003E-2</v>
      </c>
      <c r="U4519">
        <v>-7.0373539999999998E-2</v>
      </c>
      <c r="V4519">
        <v>-1.7192809999999999E-2</v>
      </c>
      <c r="W4519">
        <v>-4.874796E-2</v>
      </c>
      <c r="X4519">
        <v>0.99866310000000003</v>
      </c>
      <c r="Y4519">
        <v>1.8240550000000001E-2</v>
      </c>
      <c r="Z4519">
        <v>-1.5983410000000001E-4</v>
      </c>
      <c r="AA4519">
        <v>0.99983359999999999</v>
      </c>
      <c r="AB4519">
        <v>33</v>
      </c>
      <c r="AC4519">
        <v>229.0121</v>
      </c>
      <c r="AD4519">
        <v>2.420865</v>
      </c>
      <c r="AE4519">
        <v>-5.3624000000000001</v>
      </c>
      <c r="AF4519">
        <v>4.1842121577586804</v>
      </c>
      <c r="AG4519">
        <v>2.420865</v>
      </c>
      <c r="AH4519">
        <v>229.01107055638201</v>
      </c>
      <c r="AI4519">
        <v>89.394452688702103</v>
      </c>
      <c r="AJ4519">
        <v>88.953277562322796</v>
      </c>
      <c r="AK4519">
        <v>229.06208471964399</v>
      </c>
      <c r="AL4519">
        <v>92.794159849324203</v>
      </c>
      <c r="AM4519">
        <v>90.986296727951498</v>
      </c>
      <c r="AN4519">
        <v>0.99999997181073297</v>
      </c>
    </row>
    <row r="4520" spans="1:40" x14ac:dyDescent="0.25">
      <c r="A4520" t="str">
        <f>"20190303153858972"</f>
        <v>20190303153858972</v>
      </c>
      <c r="B4520" t="str">
        <f>"1551598738963007"</f>
        <v>1551598738963007</v>
      </c>
      <c r="C4520" t="s">
        <v>40</v>
      </c>
      <c r="D4520">
        <v>4.0181310000000003</v>
      </c>
      <c r="E4520">
        <v>0.51377090000000003</v>
      </c>
      <c r="F4520" t="s">
        <v>67</v>
      </c>
      <c r="G4520">
        <v>-107.39749999999999</v>
      </c>
      <c r="H4520">
        <v>3.6390440000000002</v>
      </c>
      <c r="I4520">
        <v>210.13980000000001</v>
      </c>
      <c r="J4520">
        <v>-336.07600000000002</v>
      </c>
      <c r="K4520">
        <v>1.1213649999999999</v>
      </c>
      <c r="L4520">
        <v>215.3458</v>
      </c>
      <c r="M4520">
        <v>0.99988829999999995</v>
      </c>
      <c r="N4520">
        <v>-1.420015E-2</v>
      </c>
      <c r="O4520">
        <v>-4.6770340000000001E-3</v>
      </c>
      <c r="P4520">
        <v>0.9979498</v>
      </c>
      <c r="Q4520">
        <v>-6.2920580000000004E-2</v>
      </c>
      <c r="R4520">
        <v>1.172951E-2</v>
      </c>
      <c r="S4520">
        <v>3.0090940000000002</v>
      </c>
      <c r="T4520">
        <v>3.3082250000000001E-2</v>
      </c>
      <c r="U4520">
        <v>-6.8420410000000001E-2</v>
      </c>
      <c r="V4520">
        <v>-1.6356590000000001E-2</v>
      </c>
      <c r="W4520">
        <v>-4.8757759999999997E-2</v>
      </c>
      <c r="X4520">
        <v>0.99867669999999997</v>
      </c>
      <c r="Y4520">
        <v>1.8057259999999999E-2</v>
      </c>
      <c r="Z4520">
        <v>-1.468005E-4</v>
      </c>
      <c r="AA4520">
        <v>0.99983690000000003</v>
      </c>
      <c r="AB4520">
        <v>33</v>
      </c>
      <c r="AC4520">
        <v>228.67850000000001</v>
      </c>
      <c r="AD4520">
        <v>2.5176789999999998</v>
      </c>
      <c r="AE4520">
        <v>-5.20599999999998</v>
      </c>
      <c r="AF4520">
        <v>4.1357970962298998</v>
      </c>
      <c r="AG4520">
        <v>2.5176789999999998</v>
      </c>
      <c r="AH4520">
        <v>228.672645650883</v>
      </c>
      <c r="AI4520">
        <v>89.369303801927998</v>
      </c>
      <c r="AJ4520">
        <v>88.963855578684203</v>
      </c>
      <c r="AK4520">
        <v>228.72389991896901</v>
      </c>
      <c r="AL4520">
        <v>92.794721925989506</v>
      </c>
      <c r="AM4520">
        <v>90.938321471247903</v>
      </c>
      <c r="AN4520">
        <v>1.0000000041597601</v>
      </c>
    </row>
    <row r="4521" spans="1:40" x14ac:dyDescent="0.25">
      <c r="A4521" t="str">
        <f>"20190303153858994"</f>
        <v>20190303153858994</v>
      </c>
      <c r="B4521" t="str">
        <f>"1551598738983504"</f>
        <v>1551598738983504</v>
      </c>
      <c r="C4521" t="s">
        <v>40</v>
      </c>
      <c r="D4521">
        <v>4.0049970000000004</v>
      </c>
      <c r="E4521">
        <v>0.51371709999999904</v>
      </c>
      <c r="F4521" t="s">
        <v>67</v>
      </c>
      <c r="G4521">
        <v>-107.39749999999999</v>
      </c>
      <c r="H4521">
        <v>3.6733410000000002</v>
      </c>
      <c r="I4521">
        <v>210.11369999999999</v>
      </c>
      <c r="J4521">
        <v>-335.73899999999998</v>
      </c>
      <c r="K4521">
        <v>1.1214040000000001</v>
      </c>
      <c r="L4521">
        <v>215.34479999999999</v>
      </c>
      <c r="M4521">
        <v>0.9998899</v>
      </c>
      <c r="N4521">
        <v>-1.424344E-2</v>
      </c>
      <c r="O4521">
        <v>-4.1637519999999997E-3</v>
      </c>
      <c r="P4521">
        <v>0.99794099999999997</v>
      </c>
      <c r="Q4521">
        <v>-6.295328E-2</v>
      </c>
      <c r="R4521">
        <v>1.228045E-2</v>
      </c>
      <c r="S4521">
        <v>3.0090940000000002</v>
      </c>
      <c r="T4521">
        <v>3.3581140000000002E-2</v>
      </c>
      <c r="U4521">
        <v>-6.8847660000000005E-2</v>
      </c>
      <c r="V4521">
        <v>-1.639088E-2</v>
      </c>
      <c r="W4521">
        <v>-4.874887E-2</v>
      </c>
      <c r="X4521">
        <v>0.99867649999999997</v>
      </c>
      <c r="Y4521">
        <v>1.8712260000000001E-2</v>
      </c>
      <c r="Z4521">
        <v>-1.34647E-4</v>
      </c>
      <c r="AA4521">
        <v>0.99982490000000002</v>
      </c>
      <c r="AB4521">
        <v>33</v>
      </c>
      <c r="AC4521">
        <v>228.3415</v>
      </c>
      <c r="AD4521">
        <v>2.5519369999999899</v>
      </c>
      <c r="AE4521">
        <v>-5.2310999999999899</v>
      </c>
      <c r="AF4521">
        <v>4.2796665626988899</v>
      </c>
      <c r="AG4521">
        <v>2.5519369999999899</v>
      </c>
      <c r="AH4521">
        <v>228.33279912709699</v>
      </c>
      <c r="AI4521">
        <v>89.359778973217999</v>
      </c>
      <c r="AJ4521">
        <v>88.926224683024699</v>
      </c>
      <c r="AK4521">
        <v>228.387160509419</v>
      </c>
      <c r="AL4521">
        <v>92.794212160581196</v>
      </c>
      <c r="AM4521">
        <v>90.940288406414595</v>
      </c>
      <c r="AN4521">
        <v>0.99999993246284802</v>
      </c>
    </row>
    <row r="4522" spans="1:40" x14ac:dyDescent="0.25">
      <c r="A4522" t="str">
        <f>"20190303153859015"</f>
        <v>20190303153859015</v>
      </c>
      <c r="B4522" t="str">
        <f>"1551598739003024"</f>
        <v>1551598739003024</v>
      </c>
      <c r="C4522" t="s">
        <v>40</v>
      </c>
      <c r="D4522">
        <v>3.995285</v>
      </c>
      <c r="E4522">
        <v>0.5135788</v>
      </c>
      <c r="F4522" t="s">
        <v>67</v>
      </c>
      <c r="G4522">
        <v>-107.39749999999999</v>
      </c>
      <c r="H4522">
        <v>3.6051829999999998</v>
      </c>
      <c r="I4522">
        <v>210.27199999999999</v>
      </c>
      <c r="J4522">
        <v>-335.41719999999998</v>
      </c>
      <c r="K4522">
        <v>1.121429</v>
      </c>
      <c r="L4522">
        <v>215.34389999999999</v>
      </c>
      <c r="M4522">
        <v>0.99989150000000004</v>
      </c>
      <c r="N4522">
        <v>-1.4278860000000001E-2</v>
      </c>
      <c r="O4522">
        <v>-3.6479839999999999E-3</v>
      </c>
      <c r="P4522">
        <v>0.99789070000000002</v>
      </c>
      <c r="Q4522">
        <v>-6.3498799999999994E-2</v>
      </c>
      <c r="R4522">
        <v>1.350694E-2</v>
      </c>
      <c r="S4522">
        <v>3.009064</v>
      </c>
      <c r="T4522">
        <v>3.2731650000000001E-2</v>
      </c>
      <c r="U4522">
        <v>-6.6848749999999998E-2</v>
      </c>
      <c r="V4522">
        <v>-1.7099050000000001E-2</v>
      </c>
      <c r="W4522">
        <v>-4.9261439999999997E-2</v>
      </c>
      <c r="X4522">
        <v>0.99863950000000001</v>
      </c>
      <c r="Y4522">
        <v>1.8564219999999999E-2</v>
      </c>
      <c r="Z4522">
        <v>-1.2336479999999999E-4</v>
      </c>
      <c r="AA4522">
        <v>0.99982769999999999</v>
      </c>
      <c r="AB4522">
        <v>33</v>
      </c>
      <c r="AC4522">
        <v>228.0197</v>
      </c>
      <c r="AD4522">
        <v>2.4837539999999998</v>
      </c>
      <c r="AE4522">
        <v>-5.0718999999999701</v>
      </c>
      <c r="AF4522">
        <v>4.2394665335928199</v>
      </c>
      <c r="AG4522">
        <v>2.4837539999999998</v>
      </c>
      <c r="AH4522">
        <v>228.009646304282</v>
      </c>
      <c r="AI4522">
        <v>89.375998315418698</v>
      </c>
      <c r="AJ4522">
        <v>88.9348014092878</v>
      </c>
      <c r="AK4522">
        <v>228.06258114435499</v>
      </c>
      <c r="AL4522">
        <v>92.823615513154294</v>
      </c>
      <c r="AM4522">
        <v>90.980942246031205</v>
      </c>
      <c r="AN4522">
        <v>0.99999995897101202</v>
      </c>
    </row>
    <row r="4523" spans="1:40" x14ac:dyDescent="0.25">
      <c r="A4523" t="str">
        <f>"20190303153859037"</f>
        <v>20190303153859037</v>
      </c>
      <c r="B4523" t="str">
        <f>"1551598739033280"</f>
        <v>1551598739033280</v>
      </c>
      <c r="C4523" t="s">
        <v>40</v>
      </c>
      <c r="D4523">
        <v>3.9305479999999999</v>
      </c>
      <c r="E4523">
        <v>0.51417109999999899</v>
      </c>
      <c r="F4523" t="s">
        <v>67</v>
      </c>
      <c r="G4523">
        <v>-107.39749999999999</v>
      </c>
      <c r="H4523">
        <v>3.467597</v>
      </c>
      <c r="I4523">
        <v>210.64959999999999</v>
      </c>
      <c r="J4523">
        <v>-335.09910000000002</v>
      </c>
      <c r="K4523">
        <v>1.1214489999999999</v>
      </c>
      <c r="L4523">
        <v>215.3433</v>
      </c>
      <c r="M4523">
        <v>0.99989280000000003</v>
      </c>
      <c r="N4523">
        <v>-1.430884E-2</v>
      </c>
      <c r="O4523">
        <v>-3.1229029999999998E-3</v>
      </c>
      <c r="P4523">
        <v>0.99785460000000004</v>
      </c>
      <c r="Q4523">
        <v>-6.3689979999999993E-2</v>
      </c>
      <c r="R4523">
        <v>1.517314E-2</v>
      </c>
      <c r="S4523">
        <v>3.0091549999999998</v>
      </c>
      <c r="T4523">
        <v>3.0962819999999999E-2</v>
      </c>
      <c r="U4523">
        <v>-6.1950680000000001E-2</v>
      </c>
      <c r="V4523">
        <v>-1.8238399999999998E-2</v>
      </c>
      <c r="W4523">
        <v>-4.94251E-2</v>
      </c>
      <c r="X4523">
        <v>0.99861129999999998</v>
      </c>
      <c r="Y4523">
        <v>1.7461689999999998E-2</v>
      </c>
      <c r="Z4523">
        <v>-1.11931E-4</v>
      </c>
      <c r="AA4523">
        <v>0.9998475</v>
      </c>
      <c r="AB4523">
        <v>33</v>
      </c>
      <c r="AC4523">
        <v>227.70160000000001</v>
      </c>
      <c r="AD4523">
        <v>2.3461479999999999</v>
      </c>
      <c r="AE4523">
        <v>-4.6936999999999998</v>
      </c>
      <c r="AF4523">
        <v>3.9820917527685</v>
      </c>
      <c r="AG4523">
        <v>2.3461479999999999</v>
      </c>
      <c r="AH4523">
        <v>227.690986511918</v>
      </c>
      <c r="AI4523">
        <v>89.409730387678493</v>
      </c>
      <c r="AJ4523">
        <v>88.998055228178799</v>
      </c>
      <c r="AK4523">
        <v>227.737890575845</v>
      </c>
      <c r="AL4523">
        <v>92.833003849110597</v>
      </c>
      <c r="AM4523">
        <v>91.046320203217505</v>
      </c>
      <c r="AN4523">
        <v>1.0000000041161199</v>
      </c>
    </row>
    <row r="4524" spans="1:40" x14ac:dyDescent="0.25">
      <c r="A4524" t="str">
        <f>"20190303153859059"</f>
        <v>20190303153859059</v>
      </c>
      <c r="B4524" t="str">
        <f>"1551598739052804"</f>
        <v>1551598739052804</v>
      </c>
      <c r="C4524" t="s">
        <v>40</v>
      </c>
      <c r="D4524">
        <v>4.0128709999999996</v>
      </c>
      <c r="E4524">
        <v>0.51404150000000004</v>
      </c>
      <c r="F4524" t="s">
        <v>67</v>
      </c>
      <c r="G4524">
        <v>-107.39749999999999</v>
      </c>
      <c r="H4524">
        <v>4.0704479999999998</v>
      </c>
      <c r="I4524">
        <v>210.7132</v>
      </c>
      <c r="J4524">
        <v>-334.76209999999998</v>
      </c>
      <c r="K4524">
        <v>1.121467</v>
      </c>
      <c r="L4524">
        <v>215.34280000000001</v>
      </c>
      <c r="M4524">
        <v>0.99989399999999995</v>
      </c>
      <c r="N4524">
        <v>-1.43357E-2</v>
      </c>
      <c r="O4524">
        <v>-2.5595069999999999E-3</v>
      </c>
      <c r="P4524">
        <v>0.99783960000000005</v>
      </c>
      <c r="Q4524">
        <v>-6.3643240000000004E-2</v>
      </c>
      <c r="R4524">
        <v>1.6297880000000001E-2</v>
      </c>
      <c r="S4524">
        <v>3.0098569999999998</v>
      </c>
      <c r="T4524">
        <v>3.8981799999999997E-2</v>
      </c>
      <c r="U4524">
        <v>-6.1203E-2</v>
      </c>
      <c r="V4524">
        <v>-1.8799400000000001E-2</v>
      </c>
      <c r="W4524">
        <v>-4.9352849999999997E-2</v>
      </c>
      <c r="X4524">
        <v>0.99860450000000001</v>
      </c>
      <c r="Y4524">
        <v>1.7771789999999999E-2</v>
      </c>
      <c r="Z4524" s="1">
        <v>-8.2168380000000003E-5</v>
      </c>
      <c r="AA4524">
        <v>0.99984200000000001</v>
      </c>
      <c r="AB4524">
        <v>33</v>
      </c>
      <c r="AC4524">
        <v>227.3646</v>
      </c>
      <c r="AD4524">
        <v>2.9489809999999999</v>
      </c>
      <c r="AE4524">
        <v>-4.6296000000000097</v>
      </c>
      <c r="AF4524">
        <v>4.0469032413840704</v>
      </c>
      <c r="AG4524">
        <v>2.9489809999999999</v>
      </c>
      <c r="AH4524">
        <v>227.337477138667</v>
      </c>
      <c r="AI4524">
        <v>89.256928814402798</v>
      </c>
      <c r="AJ4524">
        <v>88.980168201017506</v>
      </c>
      <c r="AK4524">
        <v>227.39261735280101</v>
      </c>
      <c r="AL4524">
        <v>92.828859085428704</v>
      </c>
      <c r="AM4524">
        <v>91.078504110280605</v>
      </c>
      <c r="AN4524">
        <v>1.00000003433186</v>
      </c>
    </row>
    <row r="4525" spans="1:40" x14ac:dyDescent="0.25">
      <c r="A4525" t="str">
        <f>"20190303153859083"</f>
        <v>20190303153859083</v>
      </c>
      <c r="B4525" t="str">
        <f>"1551598739073299"</f>
        <v>1551598739073299</v>
      </c>
      <c r="C4525" t="s">
        <v>40</v>
      </c>
      <c r="D4525">
        <v>4.0038710000000002</v>
      </c>
      <c r="E4525">
        <v>0.51397559999999998</v>
      </c>
      <c r="F4525" t="s">
        <v>67</v>
      </c>
      <c r="G4525">
        <v>-107.39749999999999</v>
      </c>
      <c r="H4525">
        <v>3.96875</v>
      </c>
      <c r="I4525">
        <v>211.0307</v>
      </c>
      <c r="J4525">
        <v>-334.41730000000001</v>
      </c>
      <c r="K4525">
        <v>1.1214789999999999</v>
      </c>
      <c r="L4525">
        <v>215.3425</v>
      </c>
      <c r="M4525">
        <v>0.99989499999999998</v>
      </c>
      <c r="N4525">
        <v>-1.4359E-2</v>
      </c>
      <c r="O4525">
        <v>-1.981497E-3</v>
      </c>
      <c r="P4525">
        <v>0.9978224</v>
      </c>
      <c r="Q4525">
        <v>-6.3668959999999997E-2</v>
      </c>
      <c r="R4525">
        <v>1.723044E-2</v>
      </c>
      <c r="S4525">
        <v>3.009827</v>
      </c>
      <c r="T4525">
        <v>3.7692669999999998E-2</v>
      </c>
      <c r="U4525">
        <v>-5.7083130000000003E-2</v>
      </c>
      <c r="V4525">
        <v>-1.9153670000000001E-2</v>
      </c>
      <c r="W4525">
        <v>-4.9356240000000003E-2</v>
      </c>
      <c r="X4525">
        <v>0.99859759999999997</v>
      </c>
      <c r="Y4525">
        <v>1.6981710000000001E-2</v>
      </c>
      <c r="Z4525" s="1">
        <v>-6.8878010000000001E-5</v>
      </c>
      <c r="AA4525">
        <v>0.99985579999999996</v>
      </c>
      <c r="AB4525">
        <v>33</v>
      </c>
      <c r="AC4525">
        <v>227.0198</v>
      </c>
      <c r="AD4525">
        <v>2.8472710000000001</v>
      </c>
      <c r="AE4525">
        <v>-4.3117999999999999</v>
      </c>
      <c r="AF4525">
        <v>3.8612989608774901</v>
      </c>
      <c r="AG4525">
        <v>2.8472710000000001</v>
      </c>
      <c r="AH4525">
        <v>226.992205815137</v>
      </c>
      <c r="AI4525">
        <v>89.281453468306395</v>
      </c>
      <c r="AJ4525">
        <v>89.025452008249403</v>
      </c>
      <c r="AK4525">
        <v>227.04289921209701</v>
      </c>
      <c r="AL4525">
        <v>92.829053555728606</v>
      </c>
      <c r="AM4525">
        <v>91.098830904641005</v>
      </c>
      <c r="AN4525">
        <v>1.00000003411358</v>
      </c>
    </row>
    <row r="4526" spans="1:40" x14ac:dyDescent="0.25">
      <c r="A4526" t="str">
        <f>"20190303153859103"</f>
        <v>20190303153859103</v>
      </c>
      <c r="B4526" t="str">
        <f>"1551598739092816"</f>
        <v>1551598739092816</v>
      </c>
      <c r="C4526" t="s">
        <v>40</v>
      </c>
      <c r="D4526">
        <v>3.9989910000000002</v>
      </c>
      <c r="E4526">
        <v>0.51387320000000003</v>
      </c>
      <c r="F4526" t="s">
        <v>67</v>
      </c>
      <c r="G4526">
        <v>-107.39749999999999</v>
      </c>
      <c r="H4526">
        <v>3.9234230000000001</v>
      </c>
      <c r="I4526">
        <v>211.28909999999999</v>
      </c>
      <c r="J4526">
        <v>-334.10680000000002</v>
      </c>
      <c r="K4526">
        <v>1.121489</v>
      </c>
      <c r="L4526">
        <v>215.3425</v>
      </c>
      <c r="M4526">
        <v>0.99989550000000005</v>
      </c>
      <c r="N4526">
        <v>-1.4376679999999999E-2</v>
      </c>
      <c r="O4526">
        <v>-1.4623920000000001E-3</v>
      </c>
      <c r="P4526">
        <v>0.99780060000000004</v>
      </c>
      <c r="Q4526">
        <v>-6.3812919999999995E-2</v>
      </c>
      <c r="R4526">
        <v>1.7940279999999999E-2</v>
      </c>
      <c r="S4526">
        <v>3.0098569999999998</v>
      </c>
      <c r="T4526">
        <v>3.7149189999999999E-2</v>
      </c>
      <c r="U4526">
        <v>-5.3741459999999998E-2</v>
      </c>
      <c r="V4526">
        <v>-1.934497E-2</v>
      </c>
      <c r="W4526">
        <v>-4.9483190000000003E-2</v>
      </c>
      <c r="X4526">
        <v>0.99858760000000002</v>
      </c>
      <c r="Y4526">
        <v>1.6390700000000001E-2</v>
      </c>
      <c r="Z4526" s="1">
        <v>-5.5766909999999997E-5</v>
      </c>
      <c r="AA4526">
        <v>0.99986569999999997</v>
      </c>
      <c r="AB4526">
        <v>33</v>
      </c>
      <c r="AC4526">
        <v>226.70930000000001</v>
      </c>
      <c r="AD4526">
        <v>2.8019340000000001</v>
      </c>
      <c r="AE4526">
        <v>-4.0534000000000097</v>
      </c>
      <c r="AF4526">
        <v>3.7212552687245801</v>
      </c>
      <c r="AG4526">
        <v>2.8019340000000001</v>
      </c>
      <c r="AH4526">
        <v>226.68037176765699</v>
      </c>
      <c r="AI4526">
        <v>89.291914022020705</v>
      </c>
      <c r="AJ4526">
        <v>89.059499198820305</v>
      </c>
      <c r="AK4526">
        <v>226.72822832554101</v>
      </c>
      <c r="AL4526">
        <v>92.836336237607696</v>
      </c>
      <c r="AM4526">
        <v>91.109814014072001</v>
      </c>
      <c r="AN4526">
        <v>1.0000000044153099</v>
      </c>
    </row>
    <row r="4527" spans="1:40" x14ac:dyDescent="0.25">
      <c r="A4527" t="str">
        <f>"20190303153859119"</f>
        <v>20190303153859119</v>
      </c>
      <c r="B4527" t="str">
        <f>"1551598739113312"</f>
        <v>1551598739113312</v>
      </c>
      <c r="C4527" t="s">
        <v>40</v>
      </c>
      <c r="D4527">
        <v>4.0803849999999997</v>
      </c>
      <c r="E4527">
        <v>0.51384379999999996</v>
      </c>
      <c r="F4527" t="s">
        <v>67</v>
      </c>
      <c r="G4527">
        <v>-107.39749999999999</v>
      </c>
      <c r="H4527">
        <v>3.8373529999999998</v>
      </c>
      <c r="I4527">
        <v>211.4967</v>
      </c>
      <c r="J4527">
        <v>-333.8886</v>
      </c>
      <c r="K4527">
        <v>1.1214919999999999</v>
      </c>
      <c r="L4527">
        <v>215.3425</v>
      </c>
      <c r="M4527">
        <v>0.99989589999999995</v>
      </c>
      <c r="N4527">
        <v>-1.43874E-2</v>
      </c>
      <c r="O4527">
        <v>-1.0994430000000001E-3</v>
      </c>
      <c r="P4527">
        <v>0.99779669999999998</v>
      </c>
      <c r="Q4527">
        <v>-6.3768729999999996E-2</v>
      </c>
      <c r="R4527">
        <v>1.831056E-2</v>
      </c>
      <c r="S4527">
        <v>3.0097960000000001</v>
      </c>
      <c r="T4527">
        <v>3.6056520000000002E-2</v>
      </c>
      <c r="U4527">
        <v>-5.1055910000000003E-2</v>
      </c>
      <c r="V4527">
        <v>-1.935216E-2</v>
      </c>
      <c r="W4527">
        <v>-4.9428390000000003E-2</v>
      </c>
      <c r="X4527">
        <v>0.99859019999999998</v>
      </c>
      <c r="Y4527">
        <v>1.5862009999999999E-2</v>
      </c>
      <c r="Z4527" s="1">
        <v>-4.8105010000000002E-5</v>
      </c>
      <c r="AA4527">
        <v>0.99987420000000005</v>
      </c>
      <c r="AB4527">
        <v>33</v>
      </c>
      <c r="AC4527">
        <v>226.49109999999999</v>
      </c>
      <c r="AD4527">
        <v>2.7158609999999999</v>
      </c>
      <c r="AE4527">
        <v>-3.8457999999999899</v>
      </c>
      <c r="AF4527">
        <v>3.59624091067223</v>
      </c>
      <c r="AG4527">
        <v>2.7158609999999999</v>
      </c>
      <c r="AH4527">
        <v>226.462639272616</v>
      </c>
      <c r="AI4527">
        <v>89.312997938194101</v>
      </c>
      <c r="AJ4527">
        <v>89.090215899148603</v>
      </c>
      <c r="AK4527">
        <v>226.50747412829</v>
      </c>
      <c r="AL4527">
        <v>92.833192510402398</v>
      </c>
      <c r="AM4527">
        <v>91.110223508636693</v>
      </c>
      <c r="AN4527">
        <v>1.00000002968534</v>
      </c>
    </row>
    <row r="4528" spans="1:40" x14ac:dyDescent="0.25">
      <c r="A4528" t="str">
        <f>"20190303153859131"</f>
        <v>20190303153859131</v>
      </c>
      <c r="B4528" t="str">
        <f>"1551598739123074"</f>
        <v>1551598739123074</v>
      </c>
      <c r="C4528" t="s">
        <v>40</v>
      </c>
      <c r="D4528">
        <v>3.9955639999999999</v>
      </c>
      <c r="E4528">
        <v>0.51390999999999998</v>
      </c>
      <c r="F4528" t="s">
        <v>67</v>
      </c>
      <c r="G4528">
        <v>-107.39749999999999</v>
      </c>
      <c r="H4528">
        <v>3.8345440000000002</v>
      </c>
      <c r="I4528">
        <v>211.61760000000001</v>
      </c>
      <c r="J4528">
        <v>-333.69319999999999</v>
      </c>
      <c r="K4528">
        <v>1.121497</v>
      </c>
      <c r="L4528">
        <v>215.3426</v>
      </c>
      <c r="M4528">
        <v>0.99989609999999995</v>
      </c>
      <c r="N4528">
        <v>-1.439616E-2</v>
      </c>
      <c r="O4528">
        <v>-7.7523509999999904E-4</v>
      </c>
      <c r="P4528">
        <v>0.99780999999999997</v>
      </c>
      <c r="Q4528">
        <v>-6.3522090000000003E-2</v>
      </c>
      <c r="R4528">
        <v>1.8451450000000001E-2</v>
      </c>
      <c r="S4528">
        <v>3.009827</v>
      </c>
      <c r="T4528">
        <v>3.6054250000000003E-2</v>
      </c>
      <c r="U4528">
        <v>-4.9499509999999997E-2</v>
      </c>
      <c r="V4528">
        <v>-1.9170030000000001E-2</v>
      </c>
      <c r="W4528">
        <v>-4.9172649999999998E-2</v>
      </c>
      <c r="X4528">
        <v>0.99860629999999995</v>
      </c>
      <c r="Y4528">
        <v>1.566903E-2</v>
      </c>
      <c r="Z4528" s="1">
        <v>-3.9405549999999997E-5</v>
      </c>
      <c r="AA4528">
        <v>0.99987720000000002</v>
      </c>
      <c r="AB4528">
        <v>33</v>
      </c>
      <c r="AC4528">
        <v>226.29570000000001</v>
      </c>
      <c r="AD4528">
        <v>2.713047</v>
      </c>
      <c r="AE4528">
        <v>-3.7249999999999899</v>
      </c>
      <c r="AF4528">
        <v>3.5490383519667401</v>
      </c>
      <c r="AG4528">
        <v>2.713047</v>
      </c>
      <c r="AH4528">
        <v>226.26600653806599</v>
      </c>
      <c r="AI4528">
        <v>89.313111233927202</v>
      </c>
      <c r="AJ4528">
        <v>89.101375198347696</v>
      </c>
      <c r="AK4528">
        <v>226.31010143591101</v>
      </c>
      <c r="AL4528">
        <v>92.818521957657097</v>
      </c>
      <c r="AM4528">
        <v>91.099759655498403</v>
      </c>
      <c r="AN4528">
        <v>0.99999999097895598</v>
      </c>
    </row>
    <row r="4529" spans="1:40" x14ac:dyDescent="0.25">
      <c r="A4529" t="str">
        <f>"20190303153859150"</f>
        <v>20190303153859150</v>
      </c>
      <c r="B4529" t="str">
        <f>"1551598739143568"</f>
        <v>1551598739143568</v>
      </c>
      <c r="C4529" t="s">
        <v>40</v>
      </c>
      <c r="D4529">
        <v>4.0322829999999996</v>
      </c>
      <c r="E4529">
        <v>0.51400630000000003</v>
      </c>
      <c r="F4529" t="s">
        <v>67</v>
      </c>
      <c r="G4529">
        <v>-107.39749999999999</v>
      </c>
      <c r="H4529">
        <v>3.8525369999999999</v>
      </c>
      <c r="I4529">
        <v>211.61170000000001</v>
      </c>
      <c r="J4529">
        <v>-333.42</v>
      </c>
      <c r="K4529">
        <v>1.1215059999999999</v>
      </c>
      <c r="L4529">
        <v>215.34280000000001</v>
      </c>
      <c r="M4529">
        <v>0.99989629999999996</v>
      </c>
      <c r="N4529">
        <v>-1.4406749999999999E-2</v>
      </c>
      <c r="O4529">
        <v>-3.2289690000000002E-4</v>
      </c>
      <c r="P4529">
        <v>0.99786249999999999</v>
      </c>
      <c r="Q4529">
        <v>-6.276342E-2</v>
      </c>
      <c r="R4529">
        <v>1.8213779999999999E-2</v>
      </c>
      <c r="S4529">
        <v>3.0097960000000001</v>
      </c>
      <c r="T4529">
        <v>3.6324259999999997E-2</v>
      </c>
      <c r="U4529">
        <v>-4.9621579999999998E-2</v>
      </c>
      <c r="V4529">
        <v>-1.84817E-2</v>
      </c>
      <c r="W4529">
        <v>-4.8401909999999999E-2</v>
      </c>
      <c r="X4529">
        <v>0.99865689999999996</v>
      </c>
      <c r="Y4529">
        <v>1.6161910000000002E-2</v>
      </c>
      <c r="Z4529" s="1">
        <v>-2.746511E-5</v>
      </c>
      <c r="AA4529">
        <v>0.99986940000000002</v>
      </c>
      <c r="AB4529">
        <v>33</v>
      </c>
      <c r="AC4529">
        <v>226.02250000000001</v>
      </c>
      <c r="AD4529">
        <v>2.7310310000000002</v>
      </c>
      <c r="AE4529">
        <v>-3.7310999999999899</v>
      </c>
      <c r="AF4529">
        <v>3.6575764186047999</v>
      </c>
      <c r="AG4529">
        <v>2.7310310000000002</v>
      </c>
      <c r="AH4529">
        <v>225.990707669242</v>
      </c>
      <c r="AI4529">
        <v>89.307721772636498</v>
      </c>
      <c r="AJ4529">
        <v>89.0727698532246</v>
      </c>
      <c r="AK4529">
        <v>226.03680308397901</v>
      </c>
      <c r="AL4529">
        <v>92.774309241255807</v>
      </c>
      <c r="AM4529">
        <v>91.060226532167704</v>
      </c>
      <c r="AN4529">
        <v>0.999999961022073</v>
      </c>
    </row>
    <row r="4530" spans="1:40" x14ac:dyDescent="0.25">
      <c r="A4530" t="str">
        <f>"20190303153859172"</f>
        <v>20190303153859172</v>
      </c>
      <c r="B4530" t="str">
        <f>"1551598739163088"</f>
        <v>1551598739163088</v>
      </c>
      <c r="C4530" t="s">
        <v>40</v>
      </c>
      <c r="D4530">
        <v>4.2057460000000004</v>
      </c>
      <c r="E4530">
        <v>0.51405779999999901</v>
      </c>
      <c r="F4530" t="s">
        <v>67</v>
      </c>
      <c r="G4530">
        <v>-107.39749999999999</v>
      </c>
      <c r="H4530">
        <v>3.9710570000000001</v>
      </c>
      <c r="I4530">
        <v>211.48589999999999</v>
      </c>
      <c r="J4530">
        <v>-333.09249999999997</v>
      </c>
      <c r="K4530">
        <v>1.1215200000000001</v>
      </c>
      <c r="L4530">
        <v>215.3433</v>
      </c>
      <c r="M4530">
        <v>0.99989609999999995</v>
      </c>
      <c r="N4530">
        <v>-1.4417299999999999E-2</v>
      </c>
      <c r="O4530">
        <v>2.175193E-4</v>
      </c>
      <c r="P4530">
        <v>0.997919</v>
      </c>
      <c r="Q4530">
        <v>-6.191207E-2</v>
      </c>
      <c r="R4530">
        <v>1.8027959999999999E-2</v>
      </c>
      <c r="S4530">
        <v>3.009827</v>
      </c>
      <c r="T4530">
        <v>3.79467E-2</v>
      </c>
      <c r="U4530">
        <v>-5.1361080000000003E-2</v>
      </c>
      <c r="V4530">
        <v>-1.7757189999999999E-2</v>
      </c>
      <c r="W4530">
        <v>-4.7538400000000001E-2</v>
      </c>
      <c r="X4530">
        <v>0.99871160000000003</v>
      </c>
      <c r="Y4530">
        <v>1.7279610000000001E-2</v>
      </c>
      <c r="Z4530" s="1">
        <v>-9.7846350000000002E-6</v>
      </c>
      <c r="AA4530">
        <v>0.99985069999999998</v>
      </c>
      <c r="AB4530">
        <v>33</v>
      </c>
      <c r="AC4530">
        <v>225.69499999999999</v>
      </c>
      <c r="AD4530">
        <v>2.8495370000000002</v>
      </c>
      <c r="AE4530">
        <v>-3.8574000000000099</v>
      </c>
      <c r="AF4530">
        <v>3.90587558900009</v>
      </c>
      <c r="AG4530">
        <v>2.8495370000000002</v>
      </c>
      <c r="AH4530">
        <v>225.658194742668</v>
      </c>
      <c r="AI4530">
        <v>89.276634650386399</v>
      </c>
      <c r="AJ4530">
        <v>89.008377063301694</v>
      </c>
      <c r="AK4530">
        <v>225.70998334090399</v>
      </c>
      <c r="AL4530">
        <v>92.724776524266304</v>
      </c>
      <c r="AM4530">
        <v>91.018617237664699</v>
      </c>
      <c r="AN4530">
        <v>1.0000000386229</v>
      </c>
    </row>
    <row r="4531" spans="1:40" x14ac:dyDescent="0.25">
      <c r="A4531" t="str">
        <f>"20190303153859194"</f>
        <v>20190303153859194</v>
      </c>
      <c r="B4531" t="str">
        <f>"1551598739183584"</f>
        <v>1551598739183584</v>
      </c>
      <c r="C4531" t="s">
        <v>40</v>
      </c>
      <c r="D4531">
        <v>4.0446109999999997</v>
      </c>
      <c r="E4531">
        <v>0.5140015</v>
      </c>
      <c r="F4531" t="s">
        <v>67</v>
      </c>
      <c r="G4531">
        <v>-107.39749999999999</v>
      </c>
      <c r="H4531">
        <v>4.1316899999999999</v>
      </c>
      <c r="I4531">
        <v>211.4391</v>
      </c>
      <c r="J4531">
        <v>-332.77850000000001</v>
      </c>
      <c r="K4531">
        <v>1.121523</v>
      </c>
      <c r="L4531">
        <v>215.34389999999999</v>
      </c>
      <c r="M4531">
        <v>0.9998958</v>
      </c>
      <c r="N4531">
        <v>-1.4425749999999999E-2</v>
      </c>
      <c r="O4531">
        <v>7.3348679999999896E-4</v>
      </c>
      <c r="P4531">
        <v>0.9979808</v>
      </c>
      <c r="Q4531">
        <v>-6.1035329999999999E-2</v>
      </c>
      <c r="R4531">
        <v>1.7581670000000001E-2</v>
      </c>
      <c r="S4531">
        <v>3.009674</v>
      </c>
      <c r="T4531">
        <v>4.0141700000000002E-2</v>
      </c>
      <c r="U4531">
        <v>-5.2062990000000003E-2</v>
      </c>
      <c r="V4531">
        <v>-1.6796869999999998E-2</v>
      </c>
      <c r="W4531">
        <v>-4.6651199999999997E-2</v>
      </c>
      <c r="X4531">
        <v>0.99877000000000005</v>
      </c>
      <c r="Y4531">
        <v>1.8029259999999998E-2</v>
      </c>
      <c r="Z4531" s="1">
        <v>1.052166E-5</v>
      </c>
      <c r="AA4531">
        <v>0.99983750000000005</v>
      </c>
      <c r="AB4531">
        <v>33</v>
      </c>
      <c r="AC4531">
        <v>225.381</v>
      </c>
      <c r="AD4531">
        <v>3.010167</v>
      </c>
      <c r="AE4531">
        <v>-3.9047999999999901</v>
      </c>
      <c r="AF4531">
        <v>4.0694044376483296</v>
      </c>
      <c r="AG4531">
        <v>3.010167</v>
      </c>
      <c r="AH4531">
        <v>225.33789119272399</v>
      </c>
      <c r="AI4531">
        <v>89.234786951030998</v>
      </c>
      <c r="AJ4531">
        <v>88.965400997601606</v>
      </c>
      <c r="AK4531">
        <v>225.394734554801</v>
      </c>
      <c r="AL4531">
        <v>92.6738873706189</v>
      </c>
      <c r="AM4531">
        <v>90.963484129948398</v>
      </c>
      <c r="AN4531">
        <v>0.99999999110161797</v>
      </c>
    </row>
    <row r="4532" spans="1:40" x14ac:dyDescent="0.25">
      <c r="A4532" t="str">
        <f>"20190303153859215"</f>
        <v>20190303153859215</v>
      </c>
      <c r="B4532" t="str">
        <f>"1551598739203104"</f>
        <v>1551598739203104</v>
      </c>
      <c r="C4532" t="s">
        <v>40</v>
      </c>
      <c r="D4532">
        <v>4.09206</v>
      </c>
      <c r="E4532">
        <v>0.51404689999999997</v>
      </c>
      <c r="F4532" t="s">
        <v>67</v>
      </c>
      <c r="G4532">
        <v>-107.39749999999999</v>
      </c>
      <c r="H4532">
        <v>4.2578690000000003</v>
      </c>
      <c r="I4532">
        <v>211.38560000000001</v>
      </c>
      <c r="J4532">
        <v>-332.47140000000002</v>
      </c>
      <c r="K4532">
        <v>1.121518</v>
      </c>
      <c r="L4532">
        <v>215.34469999999999</v>
      </c>
      <c r="M4532">
        <v>0.99989499999999998</v>
      </c>
      <c r="N4532">
        <v>-1.443243E-2</v>
      </c>
      <c r="O4532">
        <v>1.2351949999999999E-3</v>
      </c>
      <c r="P4532">
        <v>0.99799510000000002</v>
      </c>
      <c r="Q4532">
        <v>-6.0919920000000002E-2</v>
      </c>
      <c r="R4532">
        <v>1.7154820000000001E-2</v>
      </c>
      <c r="S4532">
        <v>3.0095519999999998</v>
      </c>
      <c r="T4532">
        <v>4.1880849999999997E-2</v>
      </c>
      <c r="U4532">
        <v>-5.2856449999999999E-2</v>
      </c>
      <c r="V4532">
        <v>-1.5869689999999999E-2</v>
      </c>
      <c r="W4532">
        <v>-4.6527680000000002E-2</v>
      </c>
      <c r="X4532">
        <v>0.99879090000000004</v>
      </c>
      <c r="Y4532">
        <v>1.879488E-2</v>
      </c>
      <c r="Z4532" s="1">
        <v>3.0124430000000001E-5</v>
      </c>
      <c r="AA4532">
        <v>0.99982329999999997</v>
      </c>
      <c r="AB4532">
        <v>33</v>
      </c>
      <c r="AC4532">
        <v>225.07390000000001</v>
      </c>
      <c r="AD4532">
        <v>3.1363509999999999</v>
      </c>
      <c r="AE4532">
        <v>-3.9590999999999701</v>
      </c>
      <c r="AF4532">
        <v>4.2363137744094503</v>
      </c>
      <c r="AG4532">
        <v>3.1363509999999999</v>
      </c>
      <c r="AH4532">
        <v>225.02515617454301</v>
      </c>
      <c r="AI4532">
        <v>89.201617215183305</v>
      </c>
      <c r="AJ4532">
        <v>88.921479557317895</v>
      </c>
      <c r="AK4532">
        <v>225.08688092238501</v>
      </c>
      <c r="AL4532">
        <v>92.666802566901197</v>
      </c>
      <c r="AM4532">
        <v>90.910290385941806</v>
      </c>
      <c r="AN4532">
        <v>0.99999996699484295</v>
      </c>
    </row>
    <row r="4533" spans="1:40" x14ac:dyDescent="0.25">
      <c r="A4533" t="str">
        <f>"20190303153859230"</f>
        <v>20190303153859230</v>
      </c>
      <c r="B4533" t="str">
        <f>"1551598739223600"</f>
        <v>1551598739223600</v>
      </c>
      <c r="C4533" t="s">
        <v>40</v>
      </c>
      <c r="D4533">
        <v>4.0229290000000004</v>
      </c>
      <c r="E4533">
        <v>0.51404189999999905</v>
      </c>
      <c r="F4533" t="s">
        <v>67</v>
      </c>
      <c r="G4533">
        <v>-107.39749999999999</v>
      </c>
      <c r="H4533">
        <v>4.2522890000000002</v>
      </c>
      <c r="I4533">
        <v>211.27420000000001</v>
      </c>
      <c r="J4533">
        <v>-332.25380000000001</v>
      </c>
      <c r="K4533">
        <v>1.1215189999999999</v>
      </c>
      <c r="L4533">
        <v>215.34530000000001</v>
      </c>
      <c r="M4533">
        <v>0.99989459999999997</v>
      </c>
      <c r="N4533">
        <v>-1.443649E-2</v>
      </c>
      <c r="O4533">
        <v>1.5879080000000001E-3</v>
      </c>
      <c r="P4533">
        <v>0.99799280000000001</v>
      </c>
      <c r="Q4533">
        <v>-6.1070930000000002E-2</v>
      </c>
      <c r="R4533">
        <v>1.6761930000000001E-2</v>
      </c>
      <c r="S4533">
        <v>3.0095519999999998</v>
      </c>
      <c r="T4533">
        <v>4.1863440000000002E-2</v>
      </c>
      <c r="U4533">
        <v>-5.4428099999999903E-2</v>
      </c>
      <c r="V4533">
        <v>-1.512471E-2</v>
      </c>
      <c r="W4533">
        <v>-4.6673640000000002E-2</v>
      </c>
      <c r="X4533">
        <v>0.99879569999999995</v>
      </c>
      <c r="Y4533">
        <v>1.966938E-2</v>
      </c>
      <c r="Z4533" s="1">
        <v>3.9793519999999999E-5</v>
      </c>
      <c r="AA4533">
        <v>0.99980650000000004</v>
      </c>
      <c r="AB4533">
        <v>33</v>
      </c>
      <c r="AC4533">
        <v>224.8563</v>
      </c>
      <c r="AD4533">
        <v>3.1307700000000001</v>
      </c>
      <c r="AE4533">
        <v>-4.0711000000000004</v>
      </c>
      <c r="AF4533">
        <v>4.4273251629757198</v>
      </c>
      <c r="AG4533">
        <v>3.1307700000000001</v>
      </c>
      <c r="AH4533">
        <v>224.80598424510899</v>
      </c>
      <c r="AI4533">
        <v>89.202274160555206</v>
      </c>
      <c r="AJ4533">
        <v>88.8717637580651</v>
      </c>
      <c r="AK4533">
        <v>224.871370968614</v>
      </c>
      <c r="AL4533">
        <v>92.675174418135796</v>
      </c>
      <c r="AM4533">
        <v>90.867560623423799</v>
      </c>
      <c r="AN4533">
        <v>1.0000000179309601</v>
      </c>
    </row>
    <row r="4534" spans="1:40" x14ac:dyDescent="0.25">
      <c r="A4534" t="str">
        <f>"20190303153859250"</f>
        <v>20190303153859250</v>
      </c>
      <c r="B4534" t="str">
        <f>"1551598739243120"</f>
        <v>1551598739243120</v>
      </c>
      <c r="C4534" t="s">
        <v>40</v>
      </c>
      <c r="D4534">
        <v>4.042503</v>
      </c>
      <c r="E4534">
        <v>0.5139996</v>
      </c>
      <c r="F4534" t="s">
        <v>67</v>
      </c>
      <c r="G4534">
        <v>-107.39749999999999</v>
      </c>
      <c r="H4534">
        <v>4.1467409999999996</v>
      </c>
      <c r="I4534">
        <v>211.1885</v>
      </c>
      <c r="J4534">
        <v>-331.94799999999998</v>
      </c>
      <c r="K4534">
        <v>1.121516</v>
      </c>
      <c r="L4534">
        <v>215.34630000000001</v>
      </c>
      <c r="M4534">
        <v>0.9998937</v>
      </c>
      <c r="N4534">
        <v>-1.4441030000000001E-2</v>
      </c>
      <c r="O4534">
        <v>2.073816E-3</v>
      </c>
      <c r="P4534">
        <v>0.99801790000000001</v>
      </c>
      <c r="Q4534">
        <v>-6.0768429999999998E-2</v>
      </c>
      <c r="R4534">
        <v>1.6368980000000002E-2</v>
      </c>
      <c r="S4534">
        <v>3.0093990000000002</v>
      </c>
      <c r="T4534">
        <v>4.0489200000000003E-2</v>
      </c>
      <c r="U4534">
        <v>-5.5633540000000002E-2</v>
      </c>
      <c r="V4534">
        <v>-1.424811E-2</v>
      </c>
      <c r="W4534">
        <v>-4.636494E-2</v>
      </c>
      <c r="X4534">
        <v>0.99882289999999996</v>
      </c>
      <c r="Y4534">
        <v>2.0556410000000001E-2</v>
      </c>
      <c r="Z4534" s="1">
        <v>4.7661870000000003E-5</v>
      </c>
      <c r="AA4534">
        <v>0.99978869999999997</v>
      </c>
      <c r="AB4534">
        <v>33</v>
      </c>
      <c r="AC4534">
        <v>224.5505</v>
      </c>
      <c r="AD4534">
        <v>3.0252249999999998</v>
      </c>
      <c r="AE4534">
        <v>-4.1577999999999999</v>
      </c>
      <c r="AF4534">
        <v>4.6226772330760699</v>
      </c>
      <c r="AG4534">
        <v>3.0252249999999998</v>
      </c>
      <c r="AH4534">
        <v>224.50065971874901</v>
      </c>
      <c r="AI4534">
        <v>89.228129630390498</v>
      </c>
      <c r="AJ4534">
        <v>88.820393343035207</v>
      </c>
      <c r="AK4534">
        <v>224.56862502419</v>
      </c>
      <c r="AL4534">
        <v>92.657468220354602</v>
      </c>
      <c r="AM4534">
        <v>90.817263203554205</v>
      </c>
      <c r="AN4534">
        <v>0.99999995093209104</v>
      </c>
    </row>
    <row r="4535" spans="1:40" x14ac:dyDescent="0.25">
      <c r="A4535" t="str">
        <f>"20190303153859263"</f>
        <v>20190303153859263</v>
      </c>
      <c r="B4535" t="str">
        <f>"1551598739252880"</f>
        <v>1551598739252880</v>
      </c>
      <c r="C4535" t="s">
        <v>40</v>
      </c>
      <c r="D4535">
        <v>4.0248520000000001</v>
      </c>
      <c r="E4535">
        <v>0.51392320000000002</v>
      </c>
      <c r="F4535" t="s">
        <v>67</v>
      </c>
      <c r="G4535">
        <v>-107.39749999999999</v>
      </c>
      <c r="H4535">
        <v>4.1619549999999998</v>
      </c>
      <c r="I4535">
        <v>211.14959999999999</v>
      </c>
      <c r="J4535">
        <v>-331.75749999999999</v>
      </c>
      <c r="K4535">
        <v>1.1215059999999999</v>
      </c>
      <c r="L4535">
        <v>215.34700000000001</v>
      </c>
      <c r="M4535">
        <v>0.99989300000000003</v>
      </c>
      <c r="N4535">
        <v>-1.4443289999999999E-2</v>
      </c>
      <c r="O4535">
        <v>2.368177E-3</v>
      </c>
      <c r="P4535">
        <v>0.99803240000000004</v>
      </c>
      <c r="Q4535">
        <v>-6.0497849999999999E-2</v>
      </c>
      <c r="R4535">
        <v>1.6474659999999999E-2</v>
      </c>
      <c r="S4535">
        <v>3.009369</v>
      </c>
      <c r="T4535">
        <v>4.074788E-2</v>
      </c>
      <c r="U4535">
        <v>-5.6243899999999999E-2</v>
      </c>
      <c r="V4535">
        <v>-1.406111E-2</v>
      </c>
      <c r="W4535">
        <v>-4.6091430000000003E-2</v>
      </c>
      <c r="X4535">
        <v>0.99883820000000001</v>
      </c>
      <c r="Y4535">
        <v>2.1053499999999999E-2</v>
      </c>
      <c r="Z4535" s="1">
        <v>5.6716730000000001E-5</v>
      </c>
      <c r="AA4535">
        <v>0.99977830000000001</v>
      </c>
      <c r="AB4535">
        <v>33</v>
      </c>
      <c r="AC4535">
        <v>224.36</v>
      </c>
      <c r="AD4535">
        <v>3.0404490000000002</v>
      </c>
      <c r="AE4535">
        <v>-4.1974000000000098</v>
      </c>
      <c r="AF4535">
        <v>4.7278998242670696</v>
      </c>
      <c r="AG4535">
        <v>3.0404490000000002</v>
      </c>
      <c r="AH4535">
        <v>224.30825031601</v>
      </c>
      <c r="AI4535">
        <v>89.223588296368206</v>
      </c>
      <c r="AJ4535">
        <v>88.792516100594099</v>
      </c>
      <c r="AK4535">
        <v>224.378672174294</v>
      </c>
      <c r="AL4535">
        <v>92.641780502144897</v>
      </c>
      <c r="AM4535">
        <v>90.806526067189196</v>
      </c>
      <c r="AN4535">
        <v>0.99999994225655597</v>
      </c>
    </row>
    <row r="4536" spans="1:40" x14ac:dyDescent="0.25">
      <c r="A4536" t="str">
        <f>"20190303153859284"</f>
        <v>20190303153859284</v>
      </c>
      <c r="B4536" t="str">
        <f>"1551598739273379"</f>
        <v>1551598739273379</v>
      </c>
      <c r="C4536" t="s">
        <v>40</v>
      </c>
      <c r="D4536">
        <v>4.0203559999999996</v>
      </c>
      <c r="E4536">
        <v>0.51381259999999995</v>
      </c>
      <c r="F4536" t="s">
        <v>67</v>
      </c>
      <c r="G4536">
        <v>-107.39749999999999</v>
      </c>
      <c r="H4536">
        <v>4.1611260000000003</v>
      </c>
      <c r="I4536">
        <v>211.2311</v>
      </c>
      <c r="J4536">
        <v>-331.4692</v>
      </c>
      <c r="K4536">
        <v>1.121502</v>
      </c>
      <c r="L4536">
        <v>215.34809999999999</v>
      </c>
      <c r="M4536">
        <v>0.9998918</v>
      </c>
      <c r="N4536">
        <v>-1.444609E-2</v>
      </c>
      <c r="O4536">
        <v>2.8016040000000001E-3</v>
      </c>
      <c r="P4536">
        <v>0.99791189999999996</v>
      </c>
      <c r="Q4536">
        <v>-6.2318140000000001E-2</v>
      </c>
      <c r="R4536">
        <v>1.6977849999999999E-2</v>
      </c>
      <c r="S4536">
        <v>3.0093079999999999</v>
      </c>
      <c r="T4536">
        <v>4.0770649999999999E-2</v>
      </c>
      <c r="U4536">
        <v>-5.52063E-2</v>
      </c>
      <c r="V4536">
        <v>-1.4131339999999999E-2</v>
      </c>
      <c r="W4536">
        <v>-4.7909979999999998E-2</v>
      </c>
      <c r="X4536">
        <v>0.99875170000000002</v>
      </c>
      <c r="Y4536">
        <v>2.1142480000000002E-2</v>
      </c>
      <c r="Z4536" s="1">
        <v>6.8887809999999995E-5</v>
      </c>
      <c r="AA4536">
        <v>0.99977649999999996</v>
      </c>
      <c r="AB4536">
        <v>33</v>
      </c>
      <c r="AC4536">
        <v>224.07169999999999</v>
      </c>
      <c r="AD4536">
        <v>3.0396239999999999</v>
      </c>
      <c r="AE4536">
        <v>-4.1169999999999902</v>
      </c>
      <c r="AF4536">
        <v>4.7439367910276697</v>
      </c>
      <c r="AG4536">
        <v>3.0396239999999999</v>
      </c>
      <c r="AH4536">
        <v>224.018075081414</v>
      </c>
      <c r="AI4536">
        <v>89.2227952601813</v>
      </c>
      <c r="AJ4536">
        <v>88.786852637875896</v>
      </c>
      <c r="AK4536">
        <v>224.08891586493201</v>
      </c>
      <c r="AL4536">
        <v>92.746090855556901</v>
      </c>
      <c r="AM4536">
        <v>90.810624019144299</v>
      </c>
      <c r="AN4536">
        <v>1.0000000096033399</v>
      </c>
    </row>
    <row r="4537" spans="1:40" x14ac:dyDescent="0.25">
      <c r="A4537" t="str">
        <f>"20190303153859305"</f>
        <v>20190303153859305</v>
      </c>
      <c r="B4537" t="str">
        <f>"1551598739292896"</f>
        <v>1551598739292896</v>
      </c>
      <c r="C4537" t="s">
        <v>40</v>
      </c>
      <c r="D4537">
        <v>4.0153299999999996</v>
      </c>
      <c r="E4537">
        <v>0.48147060000000003</v>
      </c>
      <c r="F4537" t="s">
        <v>67</v>
      </c>
      <c r="G4537">
        <v>-107.39749999999999</v>
      </c>
      <c r="H4537">
        <v>3.7983750000000001</v>
      </c>
      <c r="I4537">
        <v>211.44210000000001</v>
      </c>
      <c r="J4537">
        <v>-331.15600000000001</v>
      </c>
      <c r="K4537">
        <v>1.1214839999999999</v>
      </c>
      <c r="L4537">
        <v>215.34950000000001</v>
      </c>
      <c r="M4537">
        <v>0.99989039999999996</v>
      </c>
      <c r="N4537">
        <v>-1.4448280000000001E-2</v>
      </c>
      <c r="O4537">
        <v>3.2473179999999999E-3</v>
      </c>
      <c r="P4537">
        <v>0.99787740000000003</v>
      </c>
      <c r="Q4537">
        <v>-6.2595970000000001E-2</v>
      </c>
      <c r="R4537">
        <v>1.7962809999999999E-2</v>
      </c>
      <c r="S4537">
        <v>3.0093990000000002</v>
      </c>
      <c r="T4537">
        <v>3.5952449999999997E-2</v>
      </c>
      <c r="U4537">
        <v>-5.2459720000000001E-2</v>
      </c>
      <c r="V4537">
        <v>-1.467358E-2</v>
      </c>
      <c r="W4537">
        <v>-4.8185819999999997E-2</v>
      </c>
      <c r="X4537">
        <v>0.99873060000000002</v>
      </c>
      <c r="Y4537">
        <v>2.0675559999999999E-2</v>
      </c>
      <c r="Z4537" s="1">
        <v>5.9811369999999999E-5</v>
      </c>
      <c r="AA4537">
        <v>0.99978630000000002</v>
      </c>
      <c r="AB4537">
        <v>33</v>
      </c>
      <c r="AC4537">
        <v>223.7585</v>
      </c>
      <c r="AD4537">
        <v>2.6768909999999999</v>
      </c>
      <c r="AE4537">
        <v>-3.9073999999999902</v>
      </c>
      <c r="AF4537">
        <v>4.6334072777457598</v>
      </c>
      <c r="AG4537">
        <v>2.6768909999999999</v>
      </c>
      <c r="AH4537">
        <v>223.71262194684101</v>
      </c>
      <c r="AI4537">
        <v>89.314592287827693</v>
      </c>
      <c r="AJ4537">
        <v>88.813492374193103</v>
      </c>
      <c r="AK4537">
        <v>223.776610544439</v>
      </c>
      <c r="AL4537">
        <v>92.761913626539695</v>
      </c>
      <c r="AM4537">
        <v>90.841742225676896</v>
      </c>
      <c r="AN4537">
        <v>0.99999999928772398</v>
      </c>
    </row>
    <row r="4538" spans="1:40" x14ac:dyDescent="0.25">
      <c r="A4538" t="str">
        <f>"20190303153859320"</f>
        <v>20190303153859320</v>
      </c>
      <c r="B4538" t="str">
        <f>"1551598739313369"</f>
        <v>1551598739313369</v>
      </c>
      <c r="C4538" t="s">
        <v>40</v>
      </c>
      <c r="D4538">
        <v>4.0031059999999998</v>
      </c>
      <c r="E4538">
        <v>0.4786822</v>
      </c>
      <c r="F4538" t="s">
        <v>55</v>
      </c>
      <c r="G4538">
        <v>-243.58940000000001</v>
      </c>
      <c r="H4538">
        <v>8.0000769999999999E-2</v>
      </c>
      <c r="I4538">
        <v>221.3622</v>
      </c>
      <c r="J4538">
        <v>-330.93259999999998</v>
      </c>
      <c r="K4538">
        <v>1.121467</v>
      </c>
      <c r="L4538">
        <v>215.35050000000001</v>
      </c>
      <c r="M4538">
        <v>0.99988929999999998</v>
      </c>
      <c r="N4538">
        <v>-1.444951E-2</v>
      </c>
      <c r="O4538">
        <v>3.5426860000000002E-3</v>
      </c>
      <c r="P4538">
        <v>0.99784439999999996</v>
      </c>
      <c r="Q4538">
        <v>-6.2866430000000001E-2</v>
      </c>
      <c r="R4538">
        <v>1.8822869999999998E-2</v>
      </c>
      <c r="S4538">
        <v>3.0004580000000001</v>
      </c>
      <c r="T4538">
        <v>-3.5686250000000003E-2</v>
      </c>
      <c r="U4538">
        <v>0.20602419999999999</v>
      </c>
      <c r="V4538">
        <v>-1.5241050000000001E-2</v>
      </c>
      <c r="W4538">
        <v>-4.845526E-2</v>
      </c>
      <c r="X4538">
        <v>0.99870910000000002</v>
      </c>
      <c r="Y4538">
        <v>-6.4957630000000002E-2</v>
      </c>
      <c r="Z4538">
        <v>8.6479020000000001E-4</v>
      </c>
      <c r="AA4538">
        <v>0.99788770000000004</v>
      </c>
      <c r="AB4538">
        <v>33</v>
      </c>
      <c r="AC4538">
        <v>87.343199999999896</v>
      </c>
      <c r="AD4538">
        <v>-1.0414662299999999</v>
      </c>
      <c r="AE4538">
        <v>6.0116999999999896</v>
      </c>
      <c r="AF4538">
        <v>-5.7013936293379102</v>
      </c>
      <c r="AG4538">
        <v>-1.0414662299999999</v>
      </c>
      <c r="AH4538">
        <v>87.351590657350599</v>
      </c>
      <c r="AI4538">
        <v>90.681637400638806</v>
      </c>
      <c r="AJ4538">
        <v>93.734369288215206</v>
      </c>
      <c r="AK4538">
        <v>87.543651577908406</v>
      </c>
      <c r="AL4538">
        <v>92.777369358854699</v>
      </c>
      <c r="AM4538">
        <v>90.874308704552007</v>
      </c>
      <c r="AN4538">
        <v>1.0000000341247799</v>
      </c>
    </row>
    <row r="4539" spans="1:40" x14ac:dyDescent="0.25">
      <c r="A4539" t="str">
        <f>"20190303153859338"</f>
        <v>20190303153859338</v>
      </c>
      <c r="B4539" t="str">
        <f>"1551598739332890"</f>
        <v>1551598739332890</v>
      </c>
      <c r="C4539" t="s">
        <v>40</v>
      </c>
      <c r="D4539">
        <v>4.0212089999999998</v>
      </c>
      <c r="E4539">
        <v>0.4772055</v>
      </c>
      <c r="F4539" t="s">
        <v>55</v>
      </c>
      <c r="G4539">
        <v>-244.68029999999999</v>
      </c>
      <c r="H4539">
        <v>8.0001069999999994E-2</v>
      </c>
      <c r="I4539">
        <v>221.97970000000001</v>
      </c>
      <c r="J4539">
        <v>-330.6617</v>
      </c>
      <c r="K4539">
        <v>1.121445</v>
      </c>
      <c r="L4539">
        <v>215.3519</v>
      </c>
      <c r="M4539">
        <v>0.9998882</v>
      </c>
      <c r="N4539">
        <v>-1.445054E-2</v>
      </c>
      <c r="O4539">
        <v>3.8742149999999999E-3</v>
      </c>
      <c r="P4539">
        <v>0.99778739999999999</v>
      </c>
      <c r="Q4539">
        <v>-6.3408519999999996E-2</v>
      </c>
      <c r="R4539">
        <v>2.0000520000000001E-2</v>
      </c>
      <c r="S4539">
        <v>2.9998170000000002</v>
      </c>
      <c r="T4539">
        <v>-3.6221740000000002E-2</v>
      </c>
      <c r="U4539">
        <v>0.2305603</v>
      </c>
      <c r="V4539">
        <v>-1.609068E-2</v>
      </c>
      <c r="W4539">
        <v>-4.8996699999999997E-2</v>
      </c>
      <c r="X4539">
        <v>0.99866929999999998</v>
      </c>
      <c r="Y4539">
        <v>-7.2756710000000002E-2</v>
      </c>
      <c r="Z4539">
        <v>9.7432370000000005E-4</v>
      </c>
      <c r="AA4539">
        <v>0.99734929999999999</v>
      </c>
      <c r="AB4539">
        <v>33</v>
      </c>
      <c r="AC4539">
        <v>85.981399999999994</v>
      </c>
      <c r="AD4539">
        <v>-1.04144393</v>
      </c>
      <c r="AE4539">
        <v>6.6277999999999997</v>
      </c>
      <c r="AF4539">
        <v>-6.2936871753350099</v>
      </c>
      <c r="AG4539">
        <v>-1.04144393</v>
      </c>
      <c r="AH4539">
        <v>85.993893062699996</v>
      </c>
      <c r="AI4539">
        <v>90.692005853361096</v>
      </c>
      <c r="AJ4539">
        <v>94.185877808506206</v>
      </c>
      <c r="AK4539">
        <v>86.230184667547803</v>
      </c>
      <c r="AL4539">
        <v>92.808428633397099</v>
      </c>
      <c r="AM4539">
        <v>90.923076626348305</v>
      </c>
      <c r="AN4539">
        <v>0.99999997867812096</v>
      </c>
    </row>
    <row r="4540" spans="1:40" x14ac:dyDescent="0.25">
      <c r="A4540" t="str">
        <f>"20190303153859354"</f>
        <v>20190303153859354</v>
      </c>
      <c r="B4540" t="str">
        <f>"1551598739342649"</f>
        <v>1551598739342649</v>
      </c>
      <c r="C4540" t="s">
        <v>40</v>
      </c>
      <c r="D4540">
        <v>3.992521</v>
      </c>
      <c r="E4540">
        <v>0.47668939999999999</v>
      </c>
      <c r="F4540" t="s">
        <v>55</v>
      </c>
      <c r="G4540">
        <v>-251.26679999999999</v>
      </c>
      <c r="H4540">
        <v>8.0000070000000006E-2</v>
      </c>
      <c r="I4540">
        <v>221.86799999999999</v>
      </c>
      <c r="J4540">
        <v>-330.43880000000001</v>
      </c>
      <c r="K4540">
        <v>1.1214189999999999</v>
      </c>
      <c r="L4540">
        <v>215.35300000000001</v>
      </c>
      <c r="M4540">
        <v>0.99988710000000003</v>
      </c>
      <c r="N4540">
        <v>-1.4450899999999999E-2</v>
      </c>
      <c r="O4540">
        <v>4.1238259999999997E-3</v>
      </c>
      <c r="P4540">
        <v>0.99779090000000004</v>
      </c>
      <c r="Q4540">
        <v>-6.3028109999999998E-2</v>
      </c>
      <c r="R4540">
        <v>2.0997399999999999E-2</v>
      </c>
      <c r="S4540">
        <v>2.9992070000000002</v>
      </c>
      <c r="T4540">
        <v>-3.934145E-2</v>
      </c>
      <c r="U4540">
        <v>0.24615480000000001</v>
      </c>
      <c r="V4540">
        <v>-1.684196E-2</v>
      </c>
      <c r="W4540">
        <v>-4.8615440000000003E-2</v>
      </c>
      <c r="X4540">
        <v>0.9986756</v>
      </c>
      <c r="Y4540">
        <v>-7.7673140000000002E-2</v>
      </c>
      <c r="Z4540">
        <v>1.0763000000000001E-3</v>
      </c>
      <c r="AA4540">
        <v>0.99697829999999998</v>
      </c>
      <c r="AB4540">
        <v>33</v>
      </c>
      <c r="AC4540">
        <v>79.171999999999997</v>
      </c>
      <c r="AD4540">
        <v>-1.0414189300000001</v>
      </c>
      <c r="AE4540">
        <v>6.5150000000000103</v>
      </c>
      <c r="AF4540">
        <v>-6.1873555874920401</v>
      </c>
      <c r="AG4540">
        <v>-1.0414189300000001</v>
      </c>
      <c r="AH4540">
        <v>79.184587465660798</v>
      </c>
      <c r="AI4540">
        <v>90.751208979950405</v>
      </c>
      <c r="AJ4540">
        <v>94.467921172694503</v>
      </c>
      <c r="AK4540">
        <v>79.432781738150894</v>
      </c>
      <c r="AL4540">
        <v>92.786557827657305</v>
      </c>
      <c r="AM4540">
        <v>90.966161345528803</v>
      </c>
      <c r="AN4540">
        <v>1.0000000333291901</v>
      </c>
    </row>
    <row r="4541" spans="1:40" x14ac:dyDescent="0.25">
      <c r="A4541" t="str">
        <f>"20190303153859373"</f>
        <v>20190303153859373</v>
      </c>
      <c r="B4541" t="str">
        <f>"1551598739363146"</f>
        <v>1551598739363146</v>
      </c>
      <c r="C4541" t="s">
        <v>40</v>
      </c>
      <c r="D4541">
        <v>3.9765809999999999</v>
      </c>
      <c r="E4541">
        <v>0.4761012</v>
      </c>
      <c r="F4541" t="s">
        <v>55</v>
      </c>
      <c r="G4541">
        <v>-250.95500000000001</v>
      </c>
      <c r="H4541">
        <v>7.9999970000000004E-2</v>
      </c>
      <c r="I4541">
        <v>222.06780000000001</v>
      </c>
      <c r="J4541">
        <v>-330.1576</v>
      </c>
      <c r="K4541">
        <v>1.1213789999999999</v>
      </c>
      <c r="L4541">
        <v>215.3544</v>
      </c>
      <c r="M4541">
        <v>0.99988600000000005</v>
      </c>
      <c r="N4541">
        <v>-1.445078E-2</v>
      </c>
      <c r="O4541">
        <v>4.404519E-3</v>
      </c>
      <c r="P4541">
        <v>0.99772590000000005</v>
      </c>
      <c r="Q4541">
        <v>-6.365664E-2</v>
      </c>
      <c r="R4541">
        <v>2.2161819999999999E-2</v>
      </c>
      <c r="S4541">
        <v>2.9988100000000002</v>
      </c>
      <c r="T4541">
        <v>-3.9291260000000001E-2</v>
      </c>
      <c r="U4541">
        <v>0.2533417</v>
      </c>
      <c r="V4541">
        <v>-1.772953E-2</v>
      </c>
      <c r="W4541">
        <v>-4.9244080000000003E-2</v>
      </c>
      <c r="X4541">
        <v>0.9986294</v>
      </c>
      <c r="Y4541">
        <v>-7.9776360000000004E-2</v>
      </c>
      <c r="Z4541">
        <v>1.1051380000000001E-3</v>
      </c>
      <c r="AA4541">
        <v>0.99681220000000004</v>
      </c>
      <c r="AB4541">
        <v>33</v>
      </c>
      <c r="AC4541">
        <v>79.202599999999904</v>
      </c>
      <c r="AD4541">
        <v>-1.0413790300000001</v>
      </c>
      <c r="AE4541">
        <v>6.7134</v>
      </c>
      <c r="AF4541">
        <v>-6.3633568871599397</v>
      </c>
      <c r="AG4541">
        <v>-1.0413790300000001</v>
      </c>
      <c r="AH4541">
        <v>79.217806667316907</v>
      </c>
      <c r="AI4541">
        <v>90.750735847775303</v>
      </c>
      <c r="AJ4541">
        <v>94.592557565006999</v>
      </c>
      <c r="AK4541">
        <v>79.479794126166993</v>
      </c>
      <c r="AL4541">
        <v>92.822619542046297</v>
      </c>
      <c r="AM4541">
        <v>91.017114589717806</v>
      </c>
      <c r="AN4541">
        <v>0.99999999709671294</v>
      </c>
    </row>
    <row r="4542" spans="1:40" x14ac:dyDescent="0.25">
      <c r="A4542" t="str">
        <f>"20190303153859396"</f>
        <v>20190303153859396</v>
      </c>
      <c r="B4542" t="str">
        <f>"1551598739382665"</f>
        <v>1551598739382665</v>
      </c>
      <c r="C4542" t="s">
        <v>40</v>
      </c>
      <c r="D4542">
        <v>3.9867010000000001</v>
      </c>
      <c r="E4542">
        <v>0.47562939999999998</v>
      </c>
      <c r="F4542" t="s">
        <v>55</v>
      </c>
      <c r="G4542">
        <v>-252.43020000000001</v>
      </c>
      <c r="H4542">
        <v>8.0000409999999994E-2</v>
      </c>
      <c r="I4542">
        <v>222.1337</v>
      </c>
      <c r="J4542">
        <v>-329.83350000000002</v>
      </c>
      <c r="K4542">
        <v>1.1213379999999999</v>
      </c>
      <c r="L4542">
        <v>215.3562</v>
      </c>
      <c r="M4542">
        <v>0.99988469999999996</v>
      </c>
      <c r="N4542">
        <v>-1.445014E-2</v>
      </c>
      <c r="O4542">
        <v>4.6799739999999999E-3</v>
      </c>
      <c r="P4542">
        <v>0.99769129999999995</v>
      </c>
      <c r="Q4542">
        <v>-6.4040540000000007E-2</v>
      </c>
      <c r="R4542">
        <v>2.2606660000000001E-2</v>
      </c>
      <c r="S4542">
        <v>2.9984739999999999</v>
      </c>
      <c r="T4542">
        <v>-4.0173050000000002E-2</v>
      </c>
      <c r="U4542">
        <v>0.26152039999999999</v>
      </c>
      <c r="V4542">
        <v>-1.7904900000000001E-2</v>
      </c>
      <c r="W4542">
        <v>-4.9627329999999997E-2</v>
      </c>
      <c r="X4542">
        <v>0.99860729999999998</v>
      </c>
      <c r="Y4542">
        <v>-8.2208980000000001E-2</v>
      </c>
      <c r="Z4542">
        <v>1.149749E-3</v>
      </c>
      <c r="AA4542">
        <v>0.99661449999999996</v>
      </c>
      <c r="AB4542">
        <v>33</v>
      </c>
      <c r="AC4542">
        <v>77.403300000000002</v>
      </c>
      <c r="AD4542">
        <v>-1.0413375899999999</v>
      </c>
      <c r="AE4542">
        <v>6.7774999999999999</v>
      </c>
      <c r="AF4542">
        <v>-6.4139904672833703</v>
      </c>
      <c r="AG4542">
        <v>-1.0413375899999999</v>
      </c>
      <c r="AH4542">
        <v>77.4202680159013</v>
      </c>
      <c r="AI4542">
        <v>90.767976965086405</v>
      </c>
      <c r="AJ4542">
        <v>94.735933741577796</v>
      </c>
      <c r="AK4542">
        <v>77.692480700160004</v>
      </c>
      <c r="AL4542">
        <v>92.844605027314898</v>
      </c>
      <c r="AM4542">
        <v>91.027195866607499</v>
      </c>
      <c r="AN4542">
        <v>0.999999998470114</v>
      </c>
    </row>
    <row r="4543" spans="1:40" x14ac:dyDescent="0.25">
      <c r="A4543" t="str">
        <f>"20190303153859416"</f>
        <v>20190303153859416</v>
      </c>
      <c r="B4543" t="str">
        <f>"1551598739413250"</f>
        <v>1551598739413250</v>
      </c>
      <c r="C4543" t="s">
        <v>40</v>
      </c>
      <c r="D4543">
        <v>4.0269690000000002</v>
      </c>
      <c r="E4543">
        <v>0.47549520000000001</v>
      </c>
      <c r="F4543" t="s">
        <v>55</v>
      </c>
      <c r="G4543">
        <v>-255.10599999999999</v>
      </c>
      <c r="H4543">
        <v>7.9999719999999996E-2</v>
      </c>
      <c r="I4543">
        <v>221.99760000000001</v>
      </c>
      <c r="J4543">
        <v>-329.53649999999999</v>
      </c>
      <c r="K4543">
        <v>1.1213010000000001</v>
      </c>
      <c r="L4543">
        <v>215.3578</v>
      </c>
      <c r="M4543">
        <v>0.99988370000000004</v>
      </c>
      <c r="N4543">
        <v>-1.4449180000000001E-2</v>
      </c>
      <c r="O4543">
        <v>4.8902909999999997E-3</v>
      </c>
      <c r="P4543">
        <v>0.99769779999999997</v>
      </c>
      <c r="Q4543">
        <v>-6.3869060000000005E-2</v>
      </c>
      <c r="R4543">
        <v>2.28072E-2</v>
      </c>
      <c r="S4543">
        <v>2.9981990000000001</v>
      </c>
      <c r="T4543">
        <v>-4.1780350000000001E-2</v>
      </c>
      <c r="U4543">
        <v>0.26646419999999998</v>
      </c>
      <c r="V4543">
        <v>-1.7899809999999999E-2</v>
      </c>
      <c r="W4543">
        <v>-4.9455069999999997E-2</v>
      </c>
      <c r="X4543">
        <v>0.9986159</v>
      </c>
      <c r="Y4543">
        <v>-8.363669E-2</v>
      </c>
      <c r="Z4543">
        <v>1.189615E-3</v>
      </c>
      <c r="AA4543">
        <v>0.99649560000000004</v>
      </c>
      <c r="AB4543">
        <v>33</v>
      </c>
      <c r="AC4543">
        <v>74.430499999999995</v>
      </c>
      <c r="AD4543">
        <v>-1.0413012800000001</v>
      </c>
      <c r="AE4543">
        <v>6.6398000000000001</v>
      </c>
      <c r="AF4543">
        <v>-6.2744774115142201</v>
      </c>
      <c r="AG4543">
        <v>-1.0413012800000001</v>
      </c>
      <c r="AH4543">
        <v>74.447627378487894</v>
      </c>
      <c r="AI4543">
        <v>90.798514980742894</v>
      </c>
      <c r="AJ4543">
        <v>94.817527367753996</v>
      </c>
      <c r="AK4543">
        <v>74.718823581675295</v>
      </c>
      <c r="AL4543">
        <v>92.834723227184497</v>
      </c>
      <c r="AM4543">
        <v>91.026895076471106</v>
      </c>
      <c r="AN4543">
        <v>0.99999996143977399</v>
      </c>
    </row>
    <row r="4544" spans="1:40" x14ac:dyDescent="0.25">
      <c r="A4544" t="str">
        <f>"20190303153859431"</f>
        <v>20190303153859431</v>
      </c>
      <c r="B4544" t="str">
        <f>"1551598739423010"</f>
        <v>1551598739423010</v>
      </c>
      <c r="C4544" t="s">
        <v>40</v>
      </c>
      <c r="D4544">
        <v>4.0330370000000002</v>
      </c>
      <c r="E4544">
        <v>0.4752381</v>
      </c>
      <c r="F4544" t="s">
        <v>55</v>
      </c>
      <c r="G4544">
        <v>-257.01209999999998</v>
      </c>
      <c r="H4544">
        <v>8.0000299999999996E-2</v>
      </c>
      <c r="I4544">
        <v>221.84209999999999</v>
      </c>
      <c r="J4544">
        <v>-329.31229999999999</v>
      </c>
      <c r="K4544">
        <v>1.1212770000000001</v>
      </c>
      <c r="L4544">
        <v>215.35910000000001</v>
      </c>
      <c r="M4544">
        <v>0.99988290000000002</v>
      </c>
      <c r="N4544">
        <v>-1.4448280000000001E-2</v>
      </c>
      <c r="O4544">
        <v>5.0241749999999996E-3</v>
      </c>
      <c r="P4544">
        <v>0.99768279999999998</v>
      </c>
      <c r="Q4544">
        <v>-6.4040379999999994E-2</v>
      </c>
      <c r="R4544">
        <v>2.297157E-2</v>
      </c>
      <c r="S4544">
        <v>2.9980470000000001</v>
      </c>
      <c r="T4544">
        <v>-4.3045760000000002E-2</v>
      </c>
      <c r="U4544">
        <v>0.26805109999999999</v>
      </c>
      <c r="V4544">
        <v>-1.7933950000000001E-2</v>
      </c>
      <c r="W4544">
        <v>-4.9626249999999997E-2</v>
      </c>
      <c r="X4544">
        <v>0.99860689999999996</v>
      </c>
      <c r="Y4544">
        <v>-8.4030190000000005E-2</v>
      </c>
      <c r="Z4544">
        <v>1.2108360000000001E-3</v>
      </c>
      <c r="AA4544">
        <v>0.99646250000000003</v>
      </c>
      <c r="AB4544">
        <v>32</v>
      </c>
      <c r="AC4544">
        <v>72.300200000000004</v>
      </c>
      <c r="AD4544">
        <v>-1.0412767000000001</v>
      </c>
      <c r="AE4544">
        <v>6.4829999999999703</v>
      </c>
      <c r="AF4544">
        <v>-6.11837238855294</v>
      </c>
      <c r="AG4544">
        <v>-1.0412767000000001</v>
      </c>
      <c r="AH4544">
        <v>72.316981983155301</v>
      </c>
      <c r="AI4544">
        <v>90.821996352647204</v>
      </c>
      <c r="AJ4544">
        <v>94.835988060976803</v>
      </c>
      <c r="AK4544">
        <v>72.582812159649606</v>
      </c>
      <c r="AL4544">
        <v>92.844542879312897</v>
      </c>
      <c r="AM4544">
        <v>91.028862505805805</v>
      </c>
      <c r="AN4544">
        <v>1.00000006598963</v>
      </c>
    </row>
    <row r="4545" spans="1:40" x14ac:dyDescent="0.25">
      <c r="A4545" t="str">
        <f>"20190303153859452"</f>
        <v>20190303153859452</v>
      </c>
      <c r="B4545" t="str">
        <f>"1551598739443506"</f>
        <v>1551598739443506</v>
      </c>
      <c r="C4545" t="s">
        <v>40</v>
      </c>
      <c r="D4545">
        <v>4.0262989999999999</v>
      </c>
      <c r="E4545">
        <v>0.47519070000000002</v>
      </c>
      <c r="F4545" t="s">
        <v>55</v>
      </c>
      <c r="G4545">
        <v>-263.5222</v>
      </c>
      <c r="H4545">
        <v>8.0000769999999999E-2</v>
      </c>
      <c r="I4545">
        <v>221.30119999999999</v>
      </c>
      <c r="J4545">
        <v>-329.024</v>
      </c>
      <c r="K4545">
        <v>1.1212439999999999</v>
      </c>
      <c r="L4545">
        <v>215.36070000000001</v>
      </c>
      <c r="M4545">
        <v>0.9998823</v>
      </c>
      <c r="N4545">
        <v>-1.4446870000000001E-2</v>
      </c>
      <c r="O4545">
        <v>5.1592970000000002E-3</v>
      </c>
      <c r="P4545">
        <v>0.99766220000000005</v>
      </c>
      <c r="Q4545">
        <v>-6.4250559999999998E-2</v>
      </c>
      <c r="R4545">
        <v>2.328212E-2</v>
      </c>
      <c r="S4545">
        <v>2.9977109999999998</v>
      </c>
      <c r="T4545">
        <v>-4.7445540000000001E-2</v>
      </c>
      <c r="U4545">
        <v>0.27075199999999999</v>
      </c>
      <c r="V4545">
        <v>-1.8113750000000001E-2</v>
      </c>
      <c r="W4545">
        <v>-4.9836600000000002E-2</v>
      </c>
      <c r="X4545">
        <v>0.99859310000000001</v>
      </c>
      <c r="Y4545">
        <v>-8.4793090000000002E-2</v>
      </c>
      <c r="Z4545">
        <v>1.2763729999999999E-3</v>
      </c>
      <c r="AA4545">
        <v>0.9963978</v>
      </c>
      <c r="AB4545">
        <v>32</v>
      </c>
      <c r="AC4545">
        <v>65.501800000000003</v>
      </c>
      <c r="AD4545">
        <v>-1.0412432300000001</v>
      </c>
      <c r="AE4545">
        <v>5.9404999999999797</v>
      </c>
      <c r="AF4545">
        <v>-5.6010385861191097</v>
      </c>
      <c r="AG4545">
        <v>-1.0412432300000001</v>
      </c>
      <c r="AH4545">
        <v>65.5151596979658</v>
      </c>
      <c r="AI4545">
        <v>90.907225775992401</v>
      </c>
      <c r="AJ4545">
        <v>94.886463441443695</v>
      </c>
      <c r="AK4545">
        <v>65.762390246684106</v>
      </c>
      <c r="AL4545">
        <v>92.856610203079001</v>
      </c>
      <c r="AM4545">
        <v>91.039189656481497</v>
      </c>
      <c r="AN4545">
        <v>0.99999998700311599</v>
      </c>
    </row>
    <row r="4546" spans="1:40" x14ac:dyDescent="0.25">
      <c r="A4546" t="str">
        <f>"20190303153859473"</f>
        <v>20190303153859473</v>
      </c>
      <c r="B4546" t="str">
        <f>"1551598739463025"</f>
        <v>1551598739463025</v>
      </c>
      <c r="C4546" t="s">
        <v>40</v>
      </c>
      <c r="D4546">
        <v>4.0203749999999996</v>
      </c>
      <c r="E4546">
        <v>0.47517510000000002</v>
      </c>
      <c r="F4546" t="s">
        <v>55</v>
      </c>
      <c r="G4546">
        <v>-263.96929999999998</v>
      </c>
      <c r="H4546">
        <v>8.0000890000000005E-2</v>
      </c>
      <c r="I4546">
        <v>221.26439999999999</v>
      </c>
      <c r="J4546">
        <v>-328.70589999999999</v>
      </c>
      <c r="K4546">
        <v>1.1212040000000001</v>
      </c>
      <c r="L4546">
        <v>215.36250000000001</v>
      </c>
      <c r="M4546">
        <v>0.99988180000000004</v>
      </c>
      <c r="N4546">
        <v>-1.4445110000000001E-2</v>
      </c>
      <c r="O4546">
        <v>5.267613E-3</v>
      </c>
      <c r="P4546">
        <v>0.99766390000000005</v>
      </c>
      <c r="Q4546">
        <v>-6.4245510000000006E-2</v>
      </c>
      <c r="R4546">
        <v>2.3225229999999999E-2</v>
      </c>
      <c r="S4546">
        <v>2.99762</v>
      </c>
      <c r="T4546">
        <v>-4.7978880000000002E-2</v>
      </c>
      <c r="U4546">
        <v>0.27203369999999999</v>
      </c>
      <c r="V4546">
        <v>-1.7953759999999999E-2</v>
      </c>
      <c r="W4546">
        <v>-4.9831540000000001E-2</v>
      </c>
      <c r="X4546">
        <v>0.99859629999999999</v>
      </c>
      <c r="Y4546">
        <v>-8.511001E-2</v>
      </c>
      <c r="Z4546">
        <v>1.287575E-3</v>
      </c>
      <c r="AA4546">
        <v>0.99637070000000005</v>
      </c>
      <c r="AB4546">
        <v>32</v>
      </c>
      <c r="AC4546">
        <v>64.736599999999996</v>
      </c>
      <c r="AD4546">
        <v>-1.0412031100000001</v>
      </c>
      <c r="AE4546">
        <v>5.9018999999999799</v>
      </c>
      <c r="AF4546">
        <v>-5.5593488999411997</v>
      </c>
      <c r="AG4546">
        <v>-1.0412031100000001</v>
      </c>
      <c r="AH4546">
        <v>64.750182001673195</v>
      </c>
      <c r="AI4546">
        <v>90.917878240184194</v>
      </c>
      <c r="AJ4546">
        <v>94.907290917042701</v>
      </c>
      <c r="AK4546">
        <v>64.996742482661105</v>
      </c>
      <c r="AL4546">
        <v>92.856319759611196</v>
      </c>
      <c r="AM4546">
        <v>91.030009682719495</v>
      </c>
      <c r="AN4546">
        <v>1.0000000451252899</v>
      </c>
    </row>
    <row r="4547" spans="1:40" x14ac:dyDescent="0.25">
      <c r="A4547" t="str">
        <f>"20190303153859487"</f>
        <v>20190303153859487</v>
      </c>
      <c r="B4547" t="str">
        <f>"1551598739483522"</f>
        <v>1551598739483522</v>
      </c>
      <c r="C4547" t="s">
        <v>40</v>
      </c>
      <c r="D4547">
        <v>4.0119449999999999</v>
      </c>
      <c r="E4547">
        <v>0.47502250000000001</v>
      </c>
      <c r="F4547" t="s">
        <v>55</v>
      </c>
      <c r="G4547">
        <v>-263.0197</v>
      </c>
      <c r="H4547">
        <v>8.0000619999999995E-2</v>
      </c>
      <c r="I4547">
        <v>221.31720000000001</v>
      </c>
      <c r="J4547">
        <v>-328.50290000000001</v>
      </c>
      <c r="K4547">
        <v>1.1211819999999999</v>
      </c>
      <c r="L4547">
        <v>215.36359999999999</v>
      </c>
      <c r="M4547">
        <v>0.99988160000000004</v>
      </c>
      <c r="N4547">
        <v>-1.444399E-2</v>
      </c>
      <c r="O4547">
        <v>5.31884E-3</v>
      </c>
      <c r="P4547">
        <v>0.99766929999999998</v>
      </c>
      <c r="Q4547">
        <v>-6.4179109999999998E-2</v>
      </c>
      <c r="R4547">
        <v>2.3177630000000001E-2</v>
      </c>
      <c r="S4547">
        <v>2.99762</v>
      </c>
      <c r="T4547">
        <v>-4.7515750000000002E-2</v>
      </c>
      <c r="U4547">
        <v>0.27174379999999998</v>
      </c>
      <c r="V4547">
        <v>-1.7857640000000001E-2</v>
      </c>
      <c r="W4547">
        <v>-4.9765129999999998E-2</v>
      </c>
      <c r="X4547">
        <v>0.99860130000000003</v>
      </c>
      <c r="Y4547">
        <v>-8.4963720000000006E-2</v>
      </c>
      <c r="Z4547">
        <v>1.2794849999999999E-3</v>
      </c>
      <c r="AA4547">
        <v>0.99638320000000002</v>
      </c>
      <c r="AB4547">
        <v>32</v>
      </c>
      <c r="AC4547">
        <v>65.483199999999997</v>
      </c>
      <c r="AD4547">
        <v>-1.0411813799999901</v>
      </c>
      <c r="AE4547">
        <v>5.9536000000000202</v>
      </c>
      <c r="AF4547">
        <v>-5.6037797167949597</v>
      </c>
      <c r="AG4547">
        <v>-1.0411813799999901</v>
      </c>
      <c r="AH4547">
        <v>65.497520456279403</v>
      </c>
      <c r="AI4547">
        <v>90.907411169410096</v>
      </c>
      <c r="AJ4547">
        <v>94.890153512068693</v>
      </c>
      <c r="AK4547">
        <v>65.745049940669801</v>
      </c>
      <c r="AL4547">
        <v>92.852510120813804</v>
      </c>
      <c r="AM4547">
        <v>91.024491315006301</v>
      </c>
      <c r="AN4547">
        <v>1.00000000991598</v>
      </c>
    </row>
    <row r="4548" spans="1:40" x14ac:dyDescent="0.25">
      <c r="A4548" t="str">
        <f>"20190303153859505"</f>
        <v>20190303153859505</v>
      </c>
      <c r="B4548" t="str">
        <f>"1551598739493281"</f>
        <v>1551598739493281</v>
      </c>
      <c r="C4548" t="s">
        <v>40</v>
      </c>
      <c r="D4548">
        <v>4.0255039999999997</v>
      </c>
      <c r="E4548">
        <v>0.4749911</v>
      </c>
      <c r="F4548" t="s">
        <v>55</v>
      </c>
      <c r="G4548">
        <v>-265.53579999999999</v>
      </c>
      <c r="H4548">
        <v>7.9999890000000004E-2</v>
      </c>
      <c r="I4548">
        <v>221.09030000000001</v>
      </c>
      <c r="J4548">
        <v>-328.2448</v>
      </c>
      <c r="K4548">
        <v>1.1211530000000001</v>
      </c>
      <c r="L4548">
        <v>215.36510000000001</v>
      </c>
      <c r="M4548">
        <v>0.99988140000000003</v>
      </c>
      <c r="N4548">
        <v>-1.4442379999999999E-2</v>
      </c>
      <c r="O4548">
        <v>5.3622490000000004E-3</v>
      </c>
      <c r="P4548">
        <v>0.99765250000000005</v>
      </c>
      <c r="Q4548">
        <v>-6.4514470000000004E-2</v>
      </c>
      <c r="R4548">
        <v>2.2967080000000001E-2</v>
      </c>
      <c r="S4548">
        <v>2.9974980000000002</v>
      </c>
      <c r="T4548">
        <v>-4.9564599999999903E-2</v>
      </c>
      <c r="U4548">
        <v>0.27261350000000001</v>
      </c>
      <c r="V4548">
        <v>-1.7607350000000001E-2</v>
      </c>
      <c r="W4548">
        <v>-5.0101069999999998E-2</v>
      </c>
      <c r="X4548">
        <v>0.9985889</v>
      </c>
      <c r="Y4548">
        <v>-8.5209439999999997E-2</v>
      </c>
      <c r="Z4548">
        <v>1.3084959999999999E-3</v>
      </c>
      <c r="AA4548">
        <v>0.99636219999999998</v>
      </c>
      <c r="AB4548">
        <v>32</v>
      </c>
      <c r="AC4548">
        <v>62.708999999999897</v>
      </c>
      <c r="AD4548">
        <v>-1.04115311</v>
      </c>
      <c r="AE4548">
        <v>5.7252000000000001</v>
      </c>
      <c r="AF4548">
        <v>-5.3873485643255901</v>
      </c>
      <c r="AG4548">
        <v>-1.04115311</v>
      </c>
      <c r="AH4548">
        <v>62.721654638510202</v>
      </c>
      <c r="AI4548">
        <v>90.947510407172004</v>
      </c>
      <c r="AJ4548">
        <v>94.909254909657506</v>
      </c>
      <c r="AK4548">
        <v>62.961206190356201</v>
      </c>
      <c r="AL4548">
        <v>92.871782238569097</v>
      </c>
      <c r="AM4548">
        <v>91.010147735780095</v>
      </c>
      <c r="AN4548">
        <v>0.99999996359618804</v>
      </c>
    </row>
    <row r="4549" spans="1:40" x14ac:dyDescent="0.25">
      <c r="A4549" t="str">
        <f>"20190303153859521"</f>
        <v>20190303153859521</v>
      </c>
      <c r="B4549" t="str">
        <f>"1551598739512802"</f>
        <v>1551598739512802</v>
      </c>
      <c r="C4549" t="s">
        <v>40</v>
      </c>
      <c r="D4549">
        <v>4.0322310000000003</v>
      </c>
      <c r="E4549">
        <v>0.4748096</v>
      </c>
      <c r="F4549" t="s">
        <v>55</v>
      </c>
      <c r="G4549">
        <v>-266.23180000000002</v>
      </c>
      <c r="H4549">
        <v>8.0000100000000005E-2</v>
      </c>
      <c r="I4549">
        <v>221.0033</v>
      </c>
      <c r="J4549">
        <v>-328.02069999999998</v>
      </c>
      <c r="K4549">
        <v>1.121132</v>
      </c>
      <c r="L4549">
        <v>215.3663</v>
      </c>
      <c r="M4549">
        <v>0.99988120000000003</v>
      </c>
      <c r="N4549">
        <v>-1.444081E-2</v>
      </c>
      <c r="O4549">
        <v>5.3857430000000001E-3</v>
      </c>
      <c r="P4549">
        <v>0.99769229999999998</v>
      </c>
      <c r="Q4549">
        <v>-6.3967099999999999E-2</v>
      </c>
      <c r="R4549">
        <v>2.2770829999999999E-2</v>
      </c>
      <c r="S4549">
        <v>2.997528</v>
      </c>
      <c r="T4549">
        <v>-5.0326349999999999E-2</v>
      </c>
      <c r="U4549">
        <v>0.27253719999999998</v>
      </c>
      <c r="V4549">
        <v>-1.7389740000000001E-2</v>
      </c>
      <c r="W4549">
        <v>-4.955387E-2</v>
      </c>
      <c r="X4549">
        <v>0.99861999999999995</v>
      </c>
      <c r="Y4549">
        <v>-8.5159479999999996E-2</v>
      </c>
      <c r="Z4549">
        <v>1.317024E-3</v>
      </c>
      <c r="AA4549">
        <v>0.99636639999999999</v>
      </c>
      <c r="AB4549">
        <v>32</v>
      </c>
      <c r="AC4549">
        <v>61.788899999999899</v>
      </c>
      <c r="AD4549">
        <v>-1.0411318999999899</v>
      </c>
      <c r="AE4549">
        <v>5.6369999999999996</v>
      </c>
      <c r="AF4549">
        <v>-5.3026113097792802</v>
      </c>
      <c r="AG4549">
        <v>-1.0411318999999899</v>
      </c>
      <c r="AH4549">
        <v>61.8009647945333</v>
      </c>
      <c r="AI4549">
        <v>90.961611377986898</v>
      </c>
      <c r="AJ4549">
        <v>94.904049143759806</v>
      </c>
      <c r="AK4549">
        <v>62.036770482278797</v>
      </c>
      <c r="AL4549">
        <v>92.840391041439901</v>
      </c>
      <c r="AM4549">
        <v>90.997634751360707</v>
      </c>
      <c r="AN4549">
        <v>0.99999994674462001</v>
      </c>
    </row>
    <row r="4550" spans="1:40" x14ac:dyDescent="0.25">
      <c r="A4550" t="str">
        <f>"20190303153859551"</f>
        <v>20190303153859551</v>
      </c>
      <c r="B4550" t="str">
        <f>"1551598739543058"</f>
        <v>1551598739543058</v>
      </c>
      <c r="C4550" t="s">
        <v>40</v>
      </c>
      <c r="D4550">
        <v>4.0507929999999996</v>
      </c>
      <c r="E4550">
        <v>0.47492040000000002</v>
      </c>
      <c r="F4550" t="s">
        <v>55</v>
      </c>
      <c r="G4550">
        <v>-266.59269999999998</v>
      </c>
      <c r="H4550">
        <v>8.0000210000000002E-2</v>
      </c>
      <c r="I4550">
        <v>220.96639999999999</v>
      </c>
      <c r="J4550">
        <v>-327.58569999999997</v>
      </c>
      <c r="K4550">
        <v>1.1211139999999999</v>
      </c>
      <c r="L4550">
        <v>215.36869999999999</v>
      </c>
      <c r="M4550">
        <v>0.99988129999999997</v>
      </c>
      <c r="N4550">
        <v>-1.4437520000000001E-2</v>
      </c>
      <c r="O4550">
        <v>5.4060840000000002E-3</v>
      </c>
      <c r="P4550">
        <v>0.99773940000000005</v>
      </c>
      <c r="Q4550">
        <v>-6.3551159999999995E-2</v>
      </c>
      <c r="R4550">
        <v>2.186432E-2</v>
      </c>
      <c r="S4550">
        <v>2.9974980000000002</v>
      </c>
      <c r="T4550">
        <v>-5.0804019999999998E-2</v>
      </c>
      <c r="U4550">
        <v>0.2732697</v>
      </c>
      <c r="V4550">
        <v>-1.646628E-2</v>
      </c>
      <c r="W4550">
        <v>-4.9139259999999997E-2</v>
      </c>
      <c r="X4550">
        <v>0.99865619999999999</v>
      </c>
      <c r="Y4550">
        <v>-8.5381189999999996E-2</v>
      </c>
      <c r="Z4550">
        <v>1.326214E-3</v>
      </c>
      <c r="AA4550">
        <v>0.99634750000000005</v>
      </c>
      <c r="AB4550">
        <v>32</v>
      </c>
      <c r="AC4550">
        <v>60.993000000000002</v>
      </c>
      <c r="AD4550">
        <v>-1.04111379</v>
      </c>
      <c r="AE4550">
        <v>5.5976999999999997</v>
      </c>
      <c r="AF4550">
        <v>-5.2663289742070001</v>
      </c>
      <c r="AG4550">
        <v>-1.04111379</v>
      </c>
      <c r="AH4550">
        <v>61.004747165673301</v>
      </c>
      <c r="AI4550">
        <v>90.974099035946793</v>
      </c>
      <c r="AJ4550">
        <v>94.933914586480796</v>
      </c>
      <c r="AK4550">
        <v>61.2404875514233</v>
      </c>
      <c r="AL4550">
        <v>92.816606495036098</v>
      </c>
      <c r="AM4550">
        <v>90.944632261075597</v>
      </c>
      <c r="AN4550">
        <v>1.00000000552441</v>
      </c>
    </row>
    <row r="4551" spans="1:40" x14ac:dyDescent="0.25">
      <c r="A4551" t="str">
        <f>"20190303153859574"</f>
        <v>20190303153859574</v>
      </c>
      <c r="B4551" t="str">
        <f>"1551598739563554"</f>
        <v>1551598739563554</v>
      </c>
      <c r="C4551" t="s">
        <v>40</v>
      </c>
      <c r="D4551">
        <v>4.0462490000000004</v>
      </c>
      <c r="E4551">
        <v>0.47497539999999999</v>
      </c>
      <c r="F4551" t="s">
        <v>55</v>
      </c>
      <c r="G4551">
        <v>-264.53769999999997</v>
      </c>
      <c r="H4551">
        <v>8.0001069999999994E-2</v>
      </c>
      <c r="I4551">
        <v>221.03360000000001</v>
      </c>
      <c r="J4551">
        <v>-327.2602</v>
      </c>
      <c r="K4551">
        <v>1.121097</v>
      </c>
      <c r="L4551">
        <v>215.37049999999999</v>
      </c>
      <c r="M4551">
        <v>0.99988129999999997</v>
      </c>
      <c r="N4551">
        <v>-1.4434900000000001E-2</v>
      </c>
      <c r="O4551">
        <v>5.4056640000000001E-3</v>
      </c>
      <c r="P4551">
        <v>0.99773789999999996</v>
      </c>
      <c r="Q4551">
        <v>-6.38402E-2</v>
      </c>
      <c r="R4551">
        <v>2.1063289999999998E-2</v>
      </c>
      <c r="S4551">
        <v>2.9977420000000001</v>
      </c>
      <c r="T4551">
        <v>-4.9501780000000002E-2</v>
      </c>
      <c r="U4551">
        <v>0.26934809999999998</v>
      </c>
      <c r="V4551">
        <v>-1.5667469999999999E-2</v>
      </c>
      <c r="W4551">
        <v>-4.9430349999999998E-2</v>
      </c>
      <c r="X4551">
        <v>0.99865470000000001</v>
      </c>
      <c r="Y4551">
        <v>-8.4082630000000005E-2</v>
      </c>
      <c r="Z4551">
        <v>1.2897869999999999E-3</v>
      </c>
      <c r="AA4551">
        <v>0.99645790000000001</v>
      </c>
      <c r="AB4551">
        <v>32</v>
      </c>
      <c r="AC4551">
        <v>62.722499999999997</v>
      </c>
      <c r="AD4551">
        <v>-1.04109593</v>
      </c>
      <c r="AE4551">
        <v>5.6631000000000098</v>
      </c>
      <c r="AF4551">
        <v>-5.3224706573922402</v>
      </c>
      <c r="AG4551">
        <v>-1.04109593</v>
      </c>
      <c r="AH4551">
        <v>62.735055118946697</v>
      </c>
      <c r="AI4551">
        <v>90.947340517596203</v>
      </c>
      <c r="AJ4551">
        <v>94.849387146816497</v>
      </c>
      <c r="AK4551">
        <v>62.969037751990101</v>
      </c>
      <c r="AL4551">
        <v>92.833304976521205</v>
      </c>
      <c r="AM4551">
        <v>90.898815444866003</v>
      </c>
      <c r="AN4551">
        <v>1.0000000194747001</v>
      </c>
    </row>
    <row r="4552" spans="1:40" x14ac:dyDescent="0.25">
      <c r="A4552" t="str">
        <f>"20190303153859595"</f>
        <v>20190303153859595</v>
      </c>
      <c r="B4552" t="str">
        <f>"1551598739583073"</f>
        <v>1551598739583073</v>
      </c>
      <c r="C4552" t="s">
        <v>40</v>
      </c>
      <c r="D4552">
        <v>4.0489179999999996</v>
      </c>
      <c r="E4552">
        <v>0.4749871</v>
      </c>
      <c r="F4552" t="s">
        <v>55</v>
      </c>
      <c r="G4552">
        <v>-265.87369999999999</v>
      </c>
      <c r="H4552">
        <v>8.0000009999999996E-2</v>
      </c>
      <c r="I4552">
        <v>220.8279</v>
      </c>
      <c r="J4552">
        <v>-326.95260000000002</v>
      </c>
      <c r="K4552">
        <v>1.121084</v>
      </c>
      <c r="L4552">
        <v>215.37209999999999</v>
      </c>
      <c r="M4552">
        <v>0.99988129999999997</v>
      </c>
      <c r="N4552">
        <v>-1.443234E-2</v>
      </c>
      <c r="O4552">
        <v>5.4001569999999896E-3</v>
      </c>
      <c r="P4552">
        <v>0.99770389999999998</v>
      </c>
      <c r="Q4552">
        <v>-6.4322580000000004E-2</v>
      </c>
      <c r="R4552">
        <v>2.120209E-2</v>
      </c>
      <c r="S4552">
        <v>2.997925</v>
      </c>
      <c r="T4552">
        <v>-5.0843949999999999E-2</v>
      </c>
      <c r="U4552">
        <v>0.26652530000000002</v>
      </c>
      <c r="V4552">
        <v>-1.5813279999999999E-2</v>
      </c>
      <c r="W4552">
        <v>-4.9915359999999999E-2</v>
      </c>
      <c r="X4552">
        <v>0.99862830000000002</v>
      </c>
      <c r="Y4552">
        <v>-8.3151169999999996E-2</v>
      </c>
      <c r="Z4552">
        <v>1.291396E-3</v>
      </c>
      <c r="AA4552">
        <v>0.99653610000000004</v>
      </c>
      <c r="AB4552">
        <v>32</v>
      </c>
      <c r="AC4552">
        <v>61.078899999999997</v>
      </c>
      <c r="AD4552">
        <v>-1.04108399</v>
      </c>
      <c r="AE4552">
        <v>5.4558000000000098</v>
      </c>
      <c r="AF4552">
        <v>-5.1243734447442604</v>
      </c>
      <c r="AG4552">
        <v>-1.04108399</v>
      </c>
      <c r="AH4552">
        <v>61.089866596159197</v>
      </c>
      <c r="AI4552">
        <v>90.972915047695196</v>
      </c>
      <c r="AJ4552">
        <v>94.794890724169207</v>
      </c>
      <c r="AK4552">
        <v>61.313251910267901</v>
      </c>
      <c r="AL4552">
        <v>92.8611282837782</v>
      </c>
      <c r="AM4552">
        <v>90.907202897334898</v>
      </c>
      <c r="AN4552">
        <v>1.0000000422745801</v>
      </c>
    </row>
    <row r="4553" spans="1:40" x14ac:dyDescent="0.25">
      <c r="A4553" t="str">
        <f>"20190303153859618"</f>
        <v>20190303153859618</v>
      </c>
      <c r="B4553" t="str">
        <f>"1551598739613330"</f>
        <v>1551598739613330</v>
      </c>
      <c r="C4553" t="s">
        <v>40</v>
      </c>
      <c r="D4553">
        <v>4.090897</v>
      </c>
      <c r="E4553">
        <v>0.50562399999999996</v>
      </c>
      <c r="F4553" t="s">
        <v>55</v>
      </c>
      <c r="G4553">
        <v>-267.5942</v>
      </c>
      <c r="H4553">
        <v>8.0000509999999997E-2</v>
      </c>
      <c r="I4553">
        <v>220.65729999999999</v>
      </c>
      <c r="J4553">
        <v>-326.63150000000002</v>
      </c>
      <c r="K4553">
        <v>1.1210830000000001</v>
      </c>
      <c r="L4553">
        <v>215.37389999999999</v>
      </c>
      <c r="M4553">
        <v>0.99988149999999998</v>
      </c>
      <c r="N4553">
        <v>-1.4429600000000001E-2</v>
      </c>
      <c r="O4553">
        <v>5.3928550000000002E-3</v>
      </c>
      <c r="P4553">
        <v>0.99769569999999996</v>
      </c>
      <c r="Q4553">
        <v>-6.4437919999999996E-2</v>
      </c>
      <c r="R4553">
        <v>2.1246000000000001E-2</v>
      </c>
      <c r="S4553">
        <v>2.997833</v>
      </c>
      <c r="T4553">
        <v>-5.2578809999999997E-2</v>
      </c>
      <c r="U4553">
        <v>0.26692199999999999</v>
      </c>
      <c r="V4553">
        <v>-1.5865089999999998E-2</v>
      </c>
      <c r="W4553">
        <v>-5.0033300000000003E-2</v>
      </c>
      <c r="X4553">
        <v>0.99862150000000005</v>
      </c>
      <c r="Y4553">
        <v>-8.329077E-2</v>
      </c>
      <c r="Z4553">
        <v>1.3144319999999999E-3</v>
      </c>
      <c r="AA4553">
        <v>0.99652439999999998</v>
      </c>
      <c r="AB4553">
        <v>32</v>
      </c>
      <c r="AC4553">
        <v>59.037300000000002</v>
      </c>
      <c r="AD4553">
        <v>-1.04108249</v>
      </c>
      <c r="AE4553">
        <v>5.2834000000000003</v>
      </c>
      <c r="AF4553">
        <v>-4.96337926088228</v>
      </c>
      <c r="AG4553">
        <v>-1.04108249</v>
      </c>
      <c r="AH4553">
        <v>59.046721080418898</v>
      </c>
      <c r="AI4553">
        <v>91.006557007208798</v>
      </c>
      <c r="AJ4553">
        <v>94.804902092398507</v>
      </c>
      <c r="AK4553">
        <v>59.264105973068801</v>
      </c>
      <c r="AL4553">
        <v>92.8678944200107</v>
      </c>
      <c r="AM4553">
        <v>90.910180918216398</v>
      </c>
      <c r="AN4553">
        <v>0.99999996622592302</v>
      </c>
    </row>
    <row r="4554" spans="1:40" x14ac:dyDescent="0.25">
      <c r="A4554" t="str">
        <f>"20190303153859640"</f>
        <v>20190303153859640</v>
      </c>
      <c r="B4554" t="str">
        <f>"1551598739632852"</f>
        <v>1551598739632852</v>
      </c>
      <c r="C4554" t="s">
        <v>40</v>
      </c>
      <c r="D4554">
        <v>4.1044450000000001</v>
      </c>
      <c r="E4554">
        <v>0.50911740000000005</v>
      </c>
      <c r="F4554" t="s">
        <v>67</v>
      </c>
      <c r="G4554">
        <v>-107.39749999999999</v>
      </c>
      <c r="H4554">
        <v>1.554891</v>
      </c>
      <c r="I4554">
        <v>217.154</v>
      </c>
      <c r="J4554">
        <v>-326.30110000000002</v>
      </c>
      <c r="K4554">
        <v>1.121076</v>
      </c>
      <c r="L4554">
        <v>215.37569999999999</v>
      </c>
      <c r="M4554">
        <v>0.99988160000000004</v>
      </c>
      <c r="N4554">
        <v>-1.4426690000000001E-2</v>
      </c>
      <c r="O4554">
        <v>5.3865429999999997E-3</v>
      </c>
      <c r="P4554">
        <v>0.99770329999999996</v>
      </c>
      <c r="Q4554">
        <v>-6.4098829999999996E-2</v>
      </c>
      <c r="R4554">
        <v>2.1905330000000001E-2</v>
      </c>
      <c r="S4554">
        <v>3.0068359999999998</v>
      </c>
      <c r="T4554">
        <v>5.9504509999999998E-3</v>
      </c>
      <c r="U4554">
        <v>2.4414060000000001E-2</v>
      </c>
      <c r="V4554">
        <v>-1.6531069999999998E-2</v>
      </c>
      <c r="W4554">
        <v>-4.9696829999999997E-2</v>
      </c>
      <c r="X4554">
        <v>0.9986275</v>
      </c>
      <c r="Y4554">
        <v>-2.7329659999999999E-3</v>
      </c>
      <c r="Z4554">
        <v>1.053832E-4</v>
      </c>
      <c r="AA4554">
        <v>0.9999962</v>
      </c>
      <c r="AB4554">
        <v>32</v>
      </c>
      <c r="AC4554">
        <v>218.90360000000001</v>
      </c>
      <c r="AD4554">
        <v>0.43381500000000001</v>
      </c>
      <c r="AE4554">
        <v>1.77830000000003</v>
      </c>
      <c r="AF4554">
        <v>-0.59901567517686405</v>
      </c>
      <c r="AG4554">
        <v>0.43381500000000001</v>
      </c>
      <c r="AH4554">
        <v>218.90914379116199</v>
      </c>
      <c r="AI4554">
        <v>89.886456807760695</v>
      </c>
      <c r="AJ4554">
        <v>90.156781867553903</v>
      </c>
      <c r="AK4554">
        <v>218.91039319916399</v>
      </c>
      <c r="AL4554">
        <v>92.848592091991605</v>
      </c>
      <c r="AM4554">
        <v>90.948375685526699</v>
      </c>
      <c r="AN4554">
        <v>0.99999996747182096</v>
      </c>
    </row>
    <row r="4555" spans="1:40" x14ac:dyDescent="0.25">
      <c r="A4555" t="str">
        <f>"20190303153859662"</f>
        <v>20190303153859662</v>
      </c>
      <c r="B4555" t="str">
        <f>"1551598739653349"</f>
        <v>1551598739653349</v>
      </c>
      <c r="C4555" t="s">
        <v>40</v>
      </c>
      <c r="D4555">
        <v>4.0947849999999999</v>
      </c>
      <c r="E4555">
        <v>0.51088059999999902</v>
      </c>
      <c r="F4555" t="s">
        <v>67</v>
      </c>
      <c r="G4555">
        <v>-107.39749999999999</v>
      </c>
      <c r="H4555">
        <v>1.3885350000000001</v>
      </c>
      <c r="I4555">
        <v>215.27119999999999</v>
      </c>
      <c r="J4555">
        <v>-325.98849999999999</v>
      </c>
      <c r="K4555">
        <v>1.1210739999999999</v>
      </c>
      <c r="L4555">
        <v>215.37739999999999</v>
      </c>
      <c r="M4555">
        <v>0.99988160000000004</v>
      </c>
      <c r="N4555">
        <v>-1.442389E-2</v>
      </c>
      <c r="O4555">
        <v>5.3829969999999996E-3</v>
      </c>
      <c r="P4555">
        <v>0.99770780000000003</v>
      </c>
      <c r="Q4555">
        <v>-6.3979159999999993E-2</v>
      </c>
      <c r="R4555">
        <v>2.20517E-2</v>
      </c>
      <c r="S4555">
        <v>3.0071409999999998</v>
      </c>
      <c r="T4555">
        <v>3.6748649999999998E-3</v>
      </c>
      <c r="U4555">
        <v>-1.4343260000000001E-3</v>
      </c>
      <c r="V4555">
        <v>-1.6681640000000001E-2</v>
      </c>
      <c r="W4555">
        <v>-4.957976E-2</v>
      </c>
      <c r="X4555">
        <v>0.99863080000000004</v>
      </c>
      <c r="Y4555">
        <v>5.8599109999999998E-3</v>
      </c>
      <c r="Z4555" s="1">
        <v>4.554308E-5</v>
      </c>
      <c r="AA4555">
        <v>0.99998279999999995</v>
      </c>
      <c r="AB4555">
        <v>32</v>
      </c>
      <c r="AC4555">
        <v>218.59099999999901</v>
      </c>
      <c r="AD4555">
        <v>0.267461</v>
      </c>
      <c r="AE4555">
        <v>-0.106200000000001</v>
      </c>
      <c r="AF4555">
        <v>1.28299351848763</v>
      </c>
      <c r="AG4555">
        <v>0.267461</v>
      </c>
      <c r="AH4555">
        <v>218.586933316288</v>
      </c>
      <c r="AI4555">
        <v>89.929894643554903</v>
      </c>
      <c r="AJ4555">
        <v>89.663706935766498</v>
      </c>
      <c r="AK4555">
        <v>218.590862170344</v>
      </c>
      <c r="AL4555">
        <v>92.841876239310807</v>
      </c>
      <c r="AM4555">
        <v>90.957009017769593</v>
      </c>
      <c r="AN4555">
        <v>0.99999995221169202</v>
      </c>
    </row>
    <row r="4556" spans="1:40" x14ac:dyDescent="0.25">
      <c r="A4556" t="str">
        <f>"20190303153859684"</f>
        <v>20190303153859684</v>
      </c>
      <c r="B4556" t="str">
        <f>"1551598739672866"</f>
        <v>1551598739672866</v>
      </c>
      <c r="C4556" t="s">
        <v>40</v>
      </c>
      <c r="D4556">
        <v>4.0794269999999999</v>
      </c>
      <c r="E4556">
        <v>0.51149369999999905</v>
      </c>
      <c r="F4556" t="s">
        <v>67</v>
      </c>
      <c r="G4556">
        <v>-107.39749999999999</v>
      </c>
      <c r="H4556">
        <v>1.49973</v>
      </c>
      <c r="I4556">
        <v>214.27279999999999</v>
      </c>
      <c r="J4556">
        <v>-325.67959999999999</v>
      </c>
      <c r="K4556">
        <v>1.121073</v>
      </c>
      <c r="L4556">
        <v>215.37899999999999</v>
      </c>
      <c r="M4556">
        <v>0.99988169999999998</v>
      </c>
      <c r="N4556">
        <v>-1.4421089999999999E-2</v>
      </c>
      <c r="O4556">
        <v>5.3813139999999999E-3</v>
      </c>
      <c r="P4556">
        <v>0.99768330000000005</v>
      </c>
      <c r="Q4556">
        <v>-6.424241E-2</v>
      </c>
      <c r="R4556">
        <v>2.2389869999999999E-2</v>
      </c>
      <c r="S4556">
        <v>3.0075379999999998</v>
      </c>
      <c r="T4556">
        <v>5.2105190000000003E-3</v>
      </c>
      <c r="U4556">
        <v>-1.5197749999999999E-2</v>
      </c>
      <c r="V4556">
        <v>-1.702188E-2</v>
      </c>
      <c r="W4556">
        <v>-4.984603E-2</v>
      </c>
      <c r="X4556">
        <v>0.9986119</v>
      </c>
      <c r="Y4556">
        <v>1.0434300000000001E-2</v>
      </c>
      <c r="Z4556" s="1">
        <v>2.0727999999999999E-5</v>
      </c>
      <c r="AA4556">
        <v>0.99994559999999999</v>
      </c>
      <c r="AB4556">
        <v>32</v>
      </c>
      <c r="AC4556">
        <v>218.28210000000001</v>
      </c>
      <c r="AD4556">
        <v>0.37865700000000002</v>
      </c>
      <c r="AE4556">
        <v>-1.1062000000000201</v>
      </c>
      <c r="AF4556">
        <v>2.2809435997797398</v>
      </c>
      <c r="AG4556">
        <v>0.37865700000000002</v>
      </c>
      <c r="AH4556">
        <v>218.27232851232301</v>
      </c>
      <c r="AI4556">
        <v>89.900609289912495</v>
      </c>
      <c r="AJ4556">
        <v>89.401281483464899</v>
      </c>
      <c r="AK4556">
        <v>218.284574532926</v>
      </c>
      <c r="AL4556">
        <v>92.8571509974565</v>
      </c>
      <c r="AM4556">
        <v>90.9765429829543</v>
      </c>
      <c r="AN4556">
        <v>1.0000000489635501</v>
      </c>
    </row>
    <row r="4557" spans="1:40" x14ac:dyDescent="0.25">
      <c r="A4557" t="str">
        <f>"20190303153859707"</f>
        <v>20190303153859707</v>
      </c>
      <c r="B4557" t="str">
        <f>"1551598739703122"</f>
        <v>1551598739703122</v>
      </c>
      <c r="C4557" t="s">
        <v>40</v>
      </c>
      <c r="D4557">
        <v>4.0566769999999996</v>
      </c>
      <c r="E4557">
        <v>0.51141049999999999</v>
      </c>
      <c r="F4557" t="s">
        <v>67</v>
      </c>
      <c r="G4557">
        <v>-107.39749999999999</v>
      </c>
      <c r="H4557">
        <v>1.38703</v>
      </c>
      <c r="I4557">
        <v>213.98699999999999</v>
      </c>
      <c r="J4557">
        <v>-325.3553</v>
      </c>
      <c r="K4557">
        <v>1.1210800000000001</v>
      </c>
      <c r="L4557">
        <v>215.38079999999999</v>
      </c>
      <c r="M4557">
        <v>0.99988160000000004</v>
      </c>
      <c r="N4557">
        <v>-1.44181E-2</v>
      </c>
      <c r="O4557">
        <v>5.380775E-3</v>
      </c>
      <c r="P4557">
        <v>0.99767430000000001</v>
      </c>
      <c r="Q4557">
        <v>-6.4288219999999993E-2</v>
      </c>
      <c r="R4557">
        <v>2.2658319999999999E-2</v>
      </c>
      <c r="S4557">
        <v>3.0076290000000001</v>
      </c>
      <c r="T4557">
        <v>3.665209E-3</v>
      </c>
      <c r="U4557">
        <v>-1.9180300000000001E-2</v>
      </c>
      <c r="V4557">
        <v>-1.7290880000000002E-2</v>
      </c>
      <c r="W4557">
        <v>-4.9894870000000001E-2</v>
      </c>
      <c r="X4557">
        <v>0.99860479999999996</v>
      </c>
      <c r="Y4557">
        <v>1.175766E-2</v>
      </c>
      <c r="Z4557" s="1">
        <v>6.5381610000000003E-6</v>
      </c>
      <c r="AA4557">
        <v>0.99993089999999996</v>
      </c>
      <c r="AB4557">
        <v>32</v>
      </c>
      <c r="AC4557">
        <v>217.95779999999999</v>
      </c>
      <c r="AD4557">
        <v>0.26595000000000002</v>
      </c>
      <c r="AE4557">
        <v>-1.3937999999999899</v>
      </c>
      <c r="AF4557">
        <v>2.5666797690385099</v>
      </c>
      <c r="AG4557">
        <v>0.26595000000000002</v>
      </c>
      <c r="AH4557">
        <v>217.946819099876</v>
      </c>
      <c r="AI4557">
        <v>89.930089603906097</v>
      </c>
      <c r="AJ4557">
        <v>89.325279805573601</v>
      </c>
      <c r="AK4557">
        <v>217.96209425079701</v>
      </c>
      <c r="AL4557">
        <v>92.859952922219094</v>
      </c>
      <c r="AM4557">
        <v>90.991979468749307</v>
      </c>
      <c r="AN4557">
        <v>1.00000000958326</v>
      </c>
    </row>
    <row r="4558" spans="1:40" x14ac:dyDescent="0.25">
      <c r="A4558" t="str">
        <f>"20190303153859729"</f>
        <v>20190303153859729</v>
      </c>
      <c r="B4558" t="str">
        <f>"1551598739723618"</f>
        <v>1551598739723618</v>
      </c>
      <c r="C4558" t="s">
        <v>40</v>
      </c>
      <c r="D4558">
        <v>4.0858790000000003</v>
      </c>
      <c r="E4558">
        <v>0.51148099999999996</v>
      </c>
      <c r="F4558" t="s">
        <v>67</v>
      </c>
      <c r="G4558">
        <v>-107.39749999999999</v>
      </c>
      <c r="H4558">
        <v>1.22184</v>
      </c>
      <c r="I4558">
        <v>214.07919999999999</v>
      </c>
      <c r="J4558">
        <v>-325.03309999999999</v>
      </c>
      <c r="K4558">
        <v>1.121084</v>
      </c>
      <c r="L4558">
        <v>215.38249999999999</v>
      </c>
      <c r="M4558">
        <v>0.99988169999999998</v>
      </c>
      <c r="N4558">
        <v>-1.441507E-2</v>
      </c>
      <c r="O4558">
        <v>5.3806649999999998E-3</v>
      </c>
      <c r="P4558">
        <v>0.99768049999999997</v>
      </c>
      <c r="Q4558">
        <v>-6.4391580000000004E-2</v>
      </c>
      <c r="R4558">
        <v>2.2077389999999999E-2</v>
      </c>
      <c r="S4558">
        <v>3.0075069999999999</v>
      </c>
      <c r="T4558">
        <v>1.391053E-3</v>
      </c>
      <c r="U4558">
        <v>-1.7959590000000001E-2</v>
      </c>
      <c r="V4558">
        <v>-1.6710329999999999E-2</v>
      </c>
      <c r="W4558">
        <v>-5.0001179999999999E-2</v>
      </c>
      <c r="X4558">
        <v>0.99860939999999998</v>
      </c>
      <c r="Y4558">
        <v>1.1351969999999999E-2</v>
      </c>
      <c r="Z4558" s="1">
        <v>8.5525970000000002E-7</v>
      </c>
      <c r="AA4558">
        <v>0.99993560000000004</v>
      </c>
      <c r="AB4558">
        <v>32</v>
      </c>
      <c r="AC4558">
        <v>217.63560000000001</v>
      </c>
      <c r="AD4558">
        <v>0.100756</v>
      </c>
      <c r="AE4558">
        <v>-1.3032999999999999</v>
      </c>
      <c r="AF4558">
        <v>2.4744264464377999</v>
      </c>
      <c r="AG4558">
        <v>0.100756</v>
      </c>
      <c r="AH4558">
        <v>217.625388887589</v>
      </c>
      <c r="AI4558">
        <v>89.9734749697393</v>
      </c>
      <c r="AJ4558">
        <v>89.348568272334106</v>
      </c>
      <c r="AK4558">
        <v>217.63947901629601</v>
      </c>
      <c r="AL4558">
        <v>92.866051551658998</v>
      </c>
      <c r="AM4558">
        <v>90.958675167443303</v>
      </c>
      <c r="AN4558">
        <v>1.00000004344922</v>
      </c>
    </row>
    <row r="4559" spans="1:40" x14ac:dyDescent="0.25">
      <c r="A4559" t="str">
        <f>"20190303153859752"</f>
        <v>20190303153859752</v>
      </c>
      <c r="B4559" t="str">
        <f>"1551598739743138"</f>
        <v>1551598739743138</v>
      </c>
      <c r="C4559" t="s">
        <v>40</v>
      </c>
      <c r="D4559">
        <v>4.0732080000000002</v>
      </c>
      <c r="E4559">
        <v>0.51161859999999904</v>
      </c>
      <c r="F4559" t="s">
        <v>67</v>
      </c>
      <c r="G4559">
        <v>-107.39749999999999</v>
      </c>
      <c r="H4559">
        <v>1.058144</v>
      </c>
      <c r="I4559">
        <v>213.8973</v>
      </c>
      <c r="J4559">
        <v>-324.70330000000001</v>
      </c>
      <c r="K4559">
        <v>1.1210800000000001</v>
      </c>
      <c r="L4559">
        <v>215.38419999999999</v>
      </c>
      <c r="M4559">
        <v>0.99988180000000004</v>
      </c>
      <c r="N4559">
        <v>-1.441193E-2</v>
      </c>
      <c r="O4559">
        <v>5.380681E-3</v>
      </c>
      <c r="P4559">
        <v>0.99769969999999997</v>
      </c>
      <c r="Q4559">
        <v>-6.4175289999999996E-2</v>
      </c>
      <c r="R4559">
        <v>2.1842839999999999E-2</v>
      </c>
      <c r="S4559">
        <v>3.0073850000000002</v>
      </c>
      <c r="T4559">
        <v>-8.6903570000000001E-4</v>
      </c>
      <c r="U4559">
        <v>-2.0523070000000001E-2</v>
      </c>
      <c r="V4559">
        <v>-1.6475759999999999E-2</v>
      </c>
      <c r="W4559">
        <v>-4.9787789999999998E-2</v>
      </c>
      <c r="X4559">
        <v>0.99862390000000001</v>
      </c>
      <c r="Y4559">
        <v>1.220452E-2</v>
      </c>
      <c r="Z4559" s="1">
        <v>-1.37200399999999E-5</v>
      </c>
      <c r="AA4559">
        <v>0.99992550000000002</v>
      </c>
      <c r="AB4559">
        <v>32</v>
      </c>
      <c r="AC4559">
        <v>217.3058</v>
      </c>
      <c r="AD4559">
        <v>-6.2935999999999798E-2</v>
      </c>
      <c r="AE4559">
        <v>-1.4868999999999899</v>
      </c>
      <c r="AF4559">
        <v>2.6562527281503598</v>
      </c>
      <c r="AG4559">
        <v>-6.2935999999999798E-2</v>
      </c>
      <c r="AH4559">
        <v>217.294634045148</v>
      </c>
      <c r="AI4559">
        <v>90.016593588253897</v>
      </c>
      <c r="AJ4559">
        <v>89.299639904812594</v>
      </c>
      <c r="AK4559">
        <v>217.31087783245201</v>
      </c>
      <c r="AL4559">
        <v>92.853810128101898</v>
      </c>
      <c r="AM4559">
        <v>90.945206573746404</v>
      </c>
      <c r="AN4559">
        <v>0.99999998417593505</v>
      </c>
    </row>
    <row r="4560" spans="1:40" x14ac:dyDescent="0.25">
      <c r="A4560" t="str">
        <f>"20190303153859774"</f>
        <v>20190303153859774</v>
      </c>
      <c r="B4560" t="str">
        <f>"1551598739762658"</f>
        <v>1551598739762658</v>
      </c>
      <c r="C4560" t="s">
        <v>40</v>
      </c>
      <c r="D4560">
        <v>4.0726110000000002</v>
      </c>
      <c r="E4560">
        <v>0.51179770000000002</v>
      </c>
      <c r="F4560" t="s">
        <v>67</v>
      </c>
      <c r="G4560">
        <v>-107.39749999999999</v>
      </c>
      <c r="H4560">
        <v>1.059123</v>
      </c>
      <c r="I4560">
        <v>213.75129999999999</v>
      </c>
      <c r="J4560">
        <v>-324.39109999999999</v>
      </c>
      <c r="K4560">
        <v>1.1210850000000001</v>
      </c>
      <c r="L4560">
        <v>215.38589999999999</v>
      </c>
      <c r="M4560">
        <v>0.99988169999999998</v>
      </c>
      <c r="N4560">
        <v>-1.440892E-2</v>
      </c>
      <c r="O4560">
        <v>5.3809969999999898E-3</v>
      </c>
      <c r="P4560">
        <v>0.99773529999999999</v>
      </c>
      <c r="Q4560">
        <v>-6.3898460000000004E-2</v>
      </c>
      <c r="R4560">
        <v>2.1016569999999998E-2</v>
      </c>
      <c r="S4560">
        <v>3.0074160000000001</v>
      </c>
      <c r="T4560">
        <v>-8.5675720000000005E-4</v>
      </c>
      <c r="U4560">
        <v>-2.259827E-2</v>
      </c>
      <c r="V4560">
        <v>-1.5648840000000001E-2</v>
      </c>
      <c r="W4560">
        <v>-4.951357E-2</v>
      </c>
      <c r="X4560">
        <v>0.99865079999999995</v>
      </c>
      <c r="Y4560">
        <v>1.28947E-2</v>
      </c>
      <c r="Z4560" s="1">
        <v>-1.873796E-5</v>
      </c>
      <c r="AA4560">
        <v>0.9999169</v>
      </c>
      <c r="AB4560">
        <v>32</v>
      </c>
      <c r="AC4560">
        <v>216.99359999999999</v>
      </c>
      <c r="AD4560">
        <v>-6.1962000000000003E-2</v>
      </c>
      <c r="AE4560">
        <v>-1.6346000000000001</v>
      </c>
      <c r="AF4560">
        <v>2.80233925016047</v>
      </c>
      <c r="AG4560">
        <v>-6.1962000000000003E-2</v>
      </c>
      <c r="AH4560">
        <v>216.981643403927</v>
      </c>
      <c r="AI4560">
        <v>90.016360208596595</v>
      </c>
      <c r="AJ4560">
        <v>89.2600605151369</v>
      </c>
      <c r="AK4560">
        <v>216.99974773909599</v>
      </c>
      <c r="AL4560">
        <v>92.838079174028195</v>
      </c>
      <c r="AM4560">
        <v>90.897750354630006</v>
      </c>
      <c r="AN4560">
        <v>0.99999995007406395</v>
      </c>
    </row>
    <row r="4561" spans="1:40" x14ac:dyDescent="0.25">
      <c r="A4561" t="str">
        <f>"20190303153859797"</f>
        <v>20190303153859797</v>
      </c>
      <c r="B4561" t="str">
        <f>"1551598739792914"</f>
        <v>1551598739792914</v>
      </c>
      <c r="C4561" t="s">
        <v>40</v>
      </c>
      <c r="D4561">
        <v>4.0696339999999998</v>
      </c>
      <c r="E4561">
        <v>0.51196169999999996</v>
      </c>
      <c r="F4561" t="s">
        <v>67</v>
      </c>
      <c r="G4561">
        <v>-107.39749999999999</v>
      </c>
      <c r="H4561">
        <v>0.9956045</v>
      </c>
      <c r="I4561">
        <v>213.47890000000001</v>
      </c>
      <c r="J4561">
        <v>-324.06330000000003</v>
      </c>
      <c r="K4561">
        <v>1.1210880000000001</v>
      </c>
      <c r="L4561">
        <v>215.3877</v>
      </c>
      <c r="M4561">
        <v>0.99988180000000004</v>
      </c>
      <c r="N4561">
        <v>-1.4405690000000001E-2</v>
      </c>
      <c r="O4561">
        <v>5.3811969999999999E-3</v>
      </c>
      <c r="P4561">
        <v>0.99771569999999998</v>
      </c>
      <c r="Q4561">
        <v>-6.4284530000000006E-2</v>
      </c>
      <c r="R4561">
        <v>2.076006E-2</v>
      </c>
      <c r="S4561">
        <v>3.007263</v>
      </c>
      <c r="T4561">
        <v>-1.7383100000000001E-3</v>
      </c>
      <c r="U4561">
        <v>-2.6428219999999999E-2</v>
      </c>
      <c r="V4561">
        <v>-1.539187E-2</v>
      </c>
      <c r="W4561">
        <v>-4.9903110000000001E-2</v>
      </c>
      <c r="X4561">
        <v>0.99863550000000001</v>
      </c>
      <c r="Y4561">
        <v>1.416864E-2</v>
      </c>
      <c r="Z4561" s="1">
        <v>-3.1745020000000003E-5</v>
      </c>
      <c r="AA4561">
        <v>0.9998996</v>
      </c>
      <c r="AB4561">
        <v>32</v>
      </c>
      <c r="AC4561">
        <v>216.66579999999999</v>
      </c>
      <c r="AD4561">
        <v>-0.125483499999999</v>
      </c>
      <c r="AE4561">
        <v>-1.9087999999999801</v>
      </c>
      <c r="AF4561">
        <v>3.0748136205354499</v>
      </c>
      <c r="AG4561">
        <v>-0.125483499999999</v>
      </c>
      <c r="AH4561">
        <v>216.65231694139999</v>
      </c>
      <c r="AI4561">
        <v>90.033181967631904</v>
      </c>
      <c r="AJ4561">
        <v>89.1868906890831</v>
      </c>
      <c r="AK4561">
        <v>216.67417165178401</v>
      </c>
      <c r="AL4561">
        <v>92.860425524176904</v>
      </c>
      <c r="AM4561">
        <v>90.883024253224903</v>
      </c>
      <c r="AN4561">
        <v>1.000000045955</v>
      </c>
    </row>
    <row r="4562" spans="1:40" x14ac:dyDescent="0.25">
      <c r="A4562" t="str">
        <f>"20190303153859820"</f>
        <v>20190303153859820</v>
      </c>
      <c r="B4562" t="str">
        <f>"1551598739813052"</f>
        <v>1551598739813052</v>
      </c>
      <c r="C4562" t="s">
        <v>40</v>
      </c>
      <c r="D4562">
        <v>4.043361</v>
      </c>
      <c r="E4562">
        <v>0.51195900000000005</v>
      </c>
      <c r="F4562" t="s">
        <v>67</v>
      </c>
      <c r="G4562">
        <v>-107.39749999999999</v>
      </c>
      <c r="H4562">
        <v>0.85534259999999995</v>
      </c>
      <c r="I4562">
        <v>213.33510000000001</v>
      </c>
      <c r="J4562">
        <v>-323.74599999999998</v>
      </c>
      <c r="K4562">
        <v>1.1210899999999999</v>
      </c>
      <c r="L4562">
        <v>215.38939999999999</v>
      </c>
      <c r="M4562">
        <v>0.99988189999999999</v>
      </c>
      <c r="N4562">
        <v>-1.440251E-2</v>
      </c>
      <c r="O4562">
        <v>5.3813960000000001E-3</v>
      </c>
      <c r="P4562">
        <v>0.99769180000000002</v>
      </c>
      <c r="Q4562">
        <v>-6.4756060000000004E-2</v>
      </c>
      <c r="R4562">
        <v>2.0444770000000001E-2</v>
      </c>
      <c r="S4562">
        <v>3.0072329999999998</v>
      </c>
      <c r="T4562">
        <v>-3.6877390000000002E-3</v>
      </c>
      <c r="U4562">
        <v>-2.8488159999999998E-2</v>
      </c>
      <c r="V4562">
        <v>-1.507675E-2</v>
      </c>
      <c r="W4562">
        <v>-5.0378159999999998E-2</v>
      </c>
      <c r="X4562">
        <v>0.99861639999999996</v>
      </c>
      <c r="Y4562">
        <v>1.4853760000000001E-2</v>
      </c>
      <c r="Z4562" s="1">
        <v>-4.5172459999999999E-5</v>
      </c>
      <c r="AA4562">
        <v>0.99988969999999999</v>
      </c>
      <c r="AB4562">
        <v>32</v>
      </c>
      <c r="AC4562">
        <v>216.3485</v>
      </c>
      <c r="AD4562">
        <v>-0.26574740000000002</v>
      </c>
      <c r="AE4562">
        <v>-2.05429999999998</v>
      </c>
      <c r="AF4562">
        <v>3.2186429958928802</v>
      </c>
      <c r="AG4562">
        <v>-0.26574740000000002</v>
      </c>
      <c r="AH4562">
        <v>216.33398414249001</v>
      </c>
      <c r="AI4562">
        <v>90.070375035599994</v>
      </c>
      <c r="AJ4562">
        <v>89.147609402592295</v>
      </c>
      <c r="AK4562">
        <v>216.358089701723</v>
      </c>
      <c r="AL4562">
        <v>92.887678321695205</v>
      </c>
      <c r="AM4562">
        <v>90.864965284971206</v>
      </c>
      <c r="AN4562">
        <v>0.999999990872254</v>
      </c>
    </row>
    <row r="4563" spans="1:40" x14ac:dyDescent="0.25">
      <c r="A4563" t="str">
        <f>"20190303153859841"</f>
        <v>20190303153859841</v>
      </c>
      <c r="B4563" t="str">
        <f>"1551598739832572"</f>
        <v>1551598739832572</v>
      </c>
      <c r="C4563" t="s">
        <v>40</v>
      </c>
      <c r="D4563">
        <v>4.0617289999999997</v>
      </c>
      <c r="E4563">
        <v>0.51213439999999999</v>
      </c>
      <c r="F4563" t="s">
        <v>67</v>
      </c>
      <c r="G4563">
        <v>-107.39749999999999</v>
      </c>
      <c r="H4563">
        <v>0.68434980000000001</v>
      </c>
      <c r="I4563">
        <v>213.26949999999999</v>
      </c>
      <c r="J4563">
        <v>-323.44130000000001</v>
      </c>
      <c r="K4563">
        <v>1.1210880000000001</v>
      </c>
      <c r="L4563">
        <v>215.39099999999999</v>
      </c>
      <c r="M4563">
        <v>0.99988189999999999</v>
      </c>
      <c r="N4563">
        <v>-1.439938E-2</v>
      </c>
      <c r="O4563">
        <v>5.3814170000000003E-3</v>
      </c>
      <c r="P4563">
        <v>0.99770499999999995</v>
      </c>
      <c r="Q4563">
        <v>-6.4511600000000002E-2</v>
      </c>
      <c r="R4563">
        <v>2.0570519999999998E-2</v>
      </c>
      <c r="S4563">
        <v>3.0071409999999998</v>
      </c>
      <c r="T4563">
        <v>-6.069779E-3</v>
      </c>
      <c r="U4563">
        <v>-2.946472E-2</v>
      </c>
      <c r="V4563">
        <v>-1.520264E-2</v>
      </c>
      <c r="W4563">
        <v>-5.0136640000000003E-2</v>
      </c>
      <c r="X4563">
        <v>0.99862660000000003</v>
      </c>
      <c r="Y4563">
        <v>1.517869E-2</v>
      </c>
      <c r="Z4563" s="1">
        <v>-5.7979860000000001E-5</v>
      </c>
      <c r="AA4563">
        <v>0.99988480000000002</v>
      </c>
      <c r="AB4563">
        <v>32</v>
      </c>
      <c r="AC4563">
        <v>216.0438</v>
      </c>
      <c r="AD4563">
        <v>-0.43673819999999902</v>
      </c>
      <c r="AE4563">
        <v>-2.1214999999999899</v>
      </c>
      <c r="AF4563">
        <v>3.2841981144124599</v>
      </c>
      <c r="AG4563">
        <v>-0.43673819999999902</v>
      </c>
      <c r="AH4563">
        <v>216.02837046384099</v>
      </c>
      <c r="AI4563">
        <v>90.115819650426005</v>
      </c>
      <c r="AJ4563">
        <v>89.129020896698094</v>
      </c>
      <c r="AK4563">
        <v>216.05377465522901</v>
      </c>
      <c r="AL4563">
        <v>92.873822868686204</v>
      </c>
      <c r="AM4563">
        <v>90.872177677382695</v>
      </c>
      <c r="AN4563">
        <v>0.999999944580508</v>
      </c>
    </row>
    <row r="4564" spans="1:40" x14ac:dyDescent="0.25">
      <c r="A4564" t="str">
        <f>"20190303153859863"</f>
        <v>20190303153859863</v>
      </c>
      <c r="B4564" t="str">
        <f>"1551598739853069"</f>
        <v>1551598739853069</v>
      </c>
      <c r="C4564" t="s">
        <v>40</v>
      </c>
      <c r="D4564">
        <v>4.0645150000000001</v>
      </c>
      <c r="E4564">
        <v>0.51222990000000002</v>
      </c>
      <c r="F4564" t="s">
        <v>67</v>
      </c>
      <c r="G4564">
        <v>-107.39749999999999</v>
      </c>
      <c r="H4564">
        <v>0.80357880000000004</v>
      </c>
      <c r="I4564">
        <v>213.1756</v>
      </c>
      <c r="J4564">
        <v>-323.13130000000001</v>
      </c>
      <c r="K4564">
        <v>1.1210899999999999</v>
      </c>
      <c r="L4564">
        <v>215.39269999999999</v>
      </c>
      <c r="M4564">
        <v>0.99988200000000005</v>
      </c>
      <c r="N4564">
        <v>-1.439616E-2</v>
      </c>
      <c r="O4564">
        <v>5.3817960000000003E-3</v>
      </c>
      <c r="P4564">
        <v>0.99775000000000003</v>
      </c>
      <c r="Q4564">
        <v>-6.3889989999999994E-2</v>
      </c>
      <c r="R4564">
        <v>2.0320959999999999E-2</v>
      </c>
      <c r="S4564">
        <v>3.0072939999999999</v>
      </c>
      <c r="T4564">
        <v>-4.418969E-3</v>
      </c>
      <c r="U4564">
        <v>-3.0838009999999999E-2</v>
      </c>
      <c r="V4564">
        <v>-1.4952160000000001E-2</v>
      </c>
      <c r="W4564">
        <v>-4.9517680000000001E-2</v>
      </c>
      <c r="X4564">
        <v>0.99866129999999997</v>
      </c>
      <c r="Y4564">
        <v>1.5635159999999999E-2</v>
      </c>
      <c r="Z4564" s="1">
        <v>-5.4468159999999999E-5</v>
      </c>
      <c r="AA4564">
        <v>0.99987780000000004</v>
      </c>
      <c r="AB4564">
        <v>32</v>
      </c>
      <c r="AC4564">
        <v>215.7338</v>
      </c>
      <c r="AD4564">
        <v>-0.31751119999999899</v>
      </c>
      <c r="AE4564">
        <v>-2.2170999999999799</v>
      </c>
      <c r="AF4564">
        <v>3.3782160692380399</v>
      </c>
      <c r="AG4564">
        <v>-0.31751119999999899</v>
      </c>
      <c r="AH4564">
        <v>215.718274666219</v>
      </c>
      <c r="AI4564">
        <v>90.084322055027897</v>
      </c>
      <c r="AJ4564">
        <v>89.102803401132206</v>
      </c>
      <c r="AK4564">
        <v>215.74495864826801</v>
      </c>
      <c r="AL4564">
        <v>92.838314864127199</v>
      </c>
      <c r="AM4564">
        <v>90.857779966992496</v>
      </c>
      <c r="AN4564">
        <v>0.99999997991946799</v>
      </c>
    </row>
    <row r="4565" spans="1:40" x14ac:dyDescent="0.25">
      <c r="A4565" t="str">
        <f>"20190303153859885"</f>
        <v>20190303153859885</v>
      </c>
      <c r="B4565" t="str">
        <f>"1551598739872589"</f>
        <v>1551598739872589</v>
      </c>
      <c r="C4565" t="s">
        <v>40</v>
      </c>
      <c r="D4565">
        <v>4.0579679999999998</v>
      </c>
      <c r="E4565">
        <v>0.51237739999999998</v>
      </c>
      <c r="F4565" t="s">
        <v>67</v>
      </c>
      <c r="G4565">
        <v>-107.39749999999999</v>
      </c>
      <c r="H4565">
        <v>0.82392129999999997</v>
      </c>
      <c r="I4565">
        <v>213.07740000000001</v>
      </c>
      <c r="J4565">
        <v>-322.82459999999998</v>
      </c>
      <c r="K4565">
        <v>1.1210929999999999</v>
      </c>
      <c r="L4565">
        <v>215.39429999999999</v>
      </c>
      <c r="M4565">
        <v>0.9998821</v>
      </c>
      <c r="N4565">
        <v>-1.439294E-2</v>
      </c>
      <c r="O4565">
        <v>5.3816389999999997E-3</v>
      </c>
      <c r="P4565">
        <v>0.99777910000000003</v>
      </c>
      <c r="Q4565">
        <v>-6.3416089999999994E-2</v>
      </c>
      <c r="R4565">
        <v>2.0389259999999999E-2</v>
      </c>
      <c r="S4565">
        <v>3.0071409999999998</v>
      </c>
      <c r="T4565">
        <v>-4.1415690000000003E-3</v>
      </c>
      <c r="U4565">
        <v>-3.2272339999999997E-2</v>
      </c>
      <c r="V4565">
        <v>-1.50206E-2</v>
      </c>
      <c r="W4565">
        <v>-4.9046619999999999E-2</v>
      </c>
      <c r="X4565">
        <v>0.99868349999999995</v>
      </c>
      <c r="Y4565">
        <v>1.6112390000000001E-2</v>
      </c>
      <c r="Z4565" s="1">
        <v>-5.7009460000000001E-5</v>
      </c>
      <c r="AA4565">
        <v>0.99987020000000004</v>
      </c>
      <c r="AB4565">
        <v>32</v>
      </c>
      <c r="AC4565">
        <v>215.4271</v>
      </c>
      <c r="AD4565">
        <v>-0.29717169999999998</v>
      </c>
      <c r="AE4565">
        <v>-2.3168999999999702</v>
      </c>
      <c r="AF4565">
        <v>3.4763306198714199</v>
      </c>
      <c r="AG4565">
        <v>-0.29717169999999998</v>
      </c>
      <c r="AH4565">
        <v>215.41109986234801</v>
      </c>
      <c r="AI4565">
        <v>90.079032401956397</v>
      </c>
      <c r="AJ4565">
        <v>89.075433976207407</v>
      </c>
      <c r="AK4565">
        <v>215.439353715853</v>
      </c>
      <c r="AL4565">
        <v>92.811292330683898</v>
      </c>
      <c r="AM4565">
        <v>90.861686510414401</v>
      </c>
      <c r="AN4565">
        <v>0.999999961265016</v>
      </c>
    </row>
    <row r="4566" spans="1:40" x14ac:dyDescent="0.25">
      <c r="A4566" t="str">
        <f>"20190303153859908"</f>
        <v>20190303153859908</v>
      </c>
      <c r="B4566" t="str">
        <f>"1551598739903510"</f>
        <v>1551598739903510</v>
      </c>
      <c r="C4566" t="s">
        <v>40</v>
      </c>
      <c r="D4566">
        <v>4.0658200000000004</v>
      </c>
      <c r="E4566">
        <v>0.51248039999999995</v>
      </c>
      <c r="F4566" t="s">
        <v>67</v>
      </c>
      <c r="G4566">
        <v>-107.39749999999999</v>
      </c>
      <c r="H4566">
        <v>0.94709019999999999</v>
      </c>
      <c r="I4566">
        <v>213.0147</v>
      </c>
      <c r="J4566">
        <v>-322.49650000000003</v>
      </c>
      <c r="K4566">
        <v>1.121095</v>
      </c>
      <c r="L4566">
        <v>215.39609999999999</v>
      </c>
      <c r="M4566">
        <v>0.99988200000000005</v>
      </c>
      <c r="N4566">
        <v>-1.438946E-2</v>
      </c>
      <c r="O4566">
        <v>5.3818410000000001E-3</v>
      </c>
      <c r="P4566">
        <v>0.99779370000000001</v>
      </c>
      <c r="Q4566">
        <v>-6.3310900000000003E-2</v>
      </c>
      <c r="R4566">
        <v>1.9997540000000001E-2</v>
      </c>
      <c r="S4566">
        <v>3.007263</v>
      </c>
      <c r="T4566">
        <v>-2.4282930000000002E-3</v>
      </c>
      <c r="U4566">
        <v>-3.3218379999999999E-2</v>
      </c>
      <c r="V4566">
        <v>-1.4628759999999999E-2</v>
      </c>
      <c r="W4566">
        <v>-4.8944729999999999E-2</v>
      </c>
      <c r="X4566">
        <v>0.99869439999999998</v>
      </c>
      <c r="Y4566">
        <v>1.6426690000000001E-2</v>
      </c>
      <c r="Z4566" s="1">
        <v>-5.1729830000000003E-5</v>
      </c>
      <c r="AA4566">
        <v>0.99986509999999995</v>
      </c>
      <c r="AB4566">
        <v>32</v>
      </c>
      <c r="AC4566">
        <v>215.09899999999999</v>
      </c>
      <c r="AD4566">
        <v>-0.17400479999999999</v>
      </c>
      <c r="AE4566">
        <v>-2.3813999999999802</v>
      </c>
      <c r="AF4566">
        <v>3.5391116522816599</v>
      </c>
      <c r="AG4566">
        <v>-0.17400479999999999</v>
      </c>
      <c r="AH4566">
        <v>215.08292586905</v>
      </c>
      <c r="AI4566">
        <v>90.046346724341106</v>
      </c>
      <c r="AJ4566">
        <v>89.057303771739001</v>
      </c>
      <c r="AK4566">
        <v>215.11211167516501</v>
      </c>
      <c r="AL4566">
        <v>92.805447206080203</v>
      </c>
      <c r="AM4566">
        <v>90.839201931476794</v>
      </c>
      <c r="AN4566">
        <v>1.0000000459026299</v>
      </c>
    </row>
    <row r="4567" spans="1:40" x14ac:dyDescent="0.25">
      <c r="A4567" t="str">
        <f>"20190303153859931"</f>
        <v>20190303153859931</v>
      </c>
      <c r="B4567" t="str">
        <f>"1551598739923029"</f>
        <v>1551598739923029</v>
      </c>
      <c r="C4567" t="s">
        <v>40</v>
      </c>
      <c r="D4567">
        <v>4.0710259999999998</v>
      </c>
      <c r="E4567">
        <v>0.51246239999999998</v>
      </c>
      <c r="F4567" t="s">
        <v>67</v>
      </c>
      <c r="G4567">
        <v>-107.39749999999999</v>
      </c>
      <c r="H4567">
        <v>0.95055780000000001</v>
      </c>
      <c r="I4567">
        <v>212.87819999999999</v>
      </c>
      <c r="J4567">
        <v>-322.1746</v>
      </c>
      <c r="K4567">
        <v>1.1210960000000001</v>
      </c>
      <c r="L4567">
        <v>215.39779999999999</v>
      </c>
      <c r="M4567">
        <v>0.99988220000000005</v>
      </c>
      <c r="N4567">
        <v>-1.4386019999999999E-2</v>
      </c>
      <c r="O4567">
        <v>5.3816860000000001E-3</v>
      </c>
      <c r="P4567">
        <v>0.99780550000000001</v>
      </c>
      <c r="Q4567">
        <v>-6.303359E-2</v>
      </c>
      <c r="R4567">
        <v>2.027528E-2</v>
      </c>
      <c r="S4567">
        <v>3.0071720000000002</v>
      </c>
      <c r="T4567">
        <v>-2.3834709999999999E-3</v>
      </c>
      <c r="U4567">
        <v>-3.5202030000000002E-2</v>
      </c>
      <c r="V4567">
        <v>-1.4906590000000001E-2</v>
      </c>
      <c r="W4567">
        <v>-4.8670690000000003E-2</v>
      </c>
      <c r="X4567">
        <v>0.99870369999999997</v>
      </c>
      <c r="Y4567">
        <v>1.708633E-2</v>
      </c>
      <c r="Z4567" s="1">
        <v>-5.652716E-5</v>
      </c>
      <c r="AA4567">
        <v>0.99985400000000002</v>
      </c>
      <c r="AB4567">
        <v>32</v>
      </c>
      <c r="AC4567">
        <v>214.77709999999999</v>
      </c>
      <c r="AD4567">
        <v>-0.170538199999999</v>
      </c>
      <c r="AE4567">
        <v>-2.5195999999999898</v>
      </c>
      <c r="AF4567">
        <v>3.67554353312992</v>
      </c>
      <c r="AG4567">
        <v>-0.170538199999999</v>
      </c>
      <c r="AH4567">
        <v>214.76029260970401</v>
      </c>
      <c r="AI4567">
        <v>90.0454911204301</v>
      </c>
      <c r="AJ4567">
        <v>89.019499502157799</v>
      </c>
      <c r="AK4567">
        <v>214.79181079675101</v>
      </c>
      <c r="AL4567">
        <v>92.789727092668898</v>
      </c>
      <c r="AM4567">
        <v>90.855129781779098</v>
      </c>
      <c r="AN4567">
        <v>1.0000000614420901</v>
      </c>
    </row>
    <row r="4568" spans="1:40" x14ac:dyDescent="0.25">
      <c r="A4568" t="str">
        <f>"20190303153859953"</f>
        <v>20190303153859953</v>
      </c>
      <c r="B4568" t="str">
        <f>"1551598739942550"</f>
        <v>1551598739942550</v>
      </c>
      <c r="C4568" t="s">
        <v>40</v>
      </c>
      <c r="D4568">
        <v>4.0404660000000003</v>
      </c>
      <c r="E4568">
        <v>0.51239389999999996</v>
      </c>
      <c r="F4568" t="s">
        <v>67</v>
      </c>
      <c r="G4568">
        <v>-107.39749999999999</v>
      </c>
      <c r="H4568">
        <v>0.97757539999999998</v>
      </c>
      <c r="I4568">
        <v>212.96209999999999</v>
      </c>
      <c r="J4568">
        <v>-321.86750000000001</v>
      </c>
      <c r="K4568">
        <v>1.1210899999999999</v>
      </c>
      <c r="L4568">
        <v>215.39949999999999</v>
      </c>
      <c r="M4568">
        <v>0.99988220000000005</v>
      </c>
      <c r="N4568">
        <v>-1.438273E-2</v>
      </c>
      <c r="O4568">
        <v>5.3815299999999998E-3</v>
      </c>
      <c r="P4568">
        <v>0.99782400000000004</v>
      </c>
      <c r="Q4568">
        <v>-6.2561169999999999E-2</v>
      </c>
      <c r="R4568">
        <v>2.081711E-2</v>
      </c>
      <c r="S4568">
        <v>3.0072019999999999</v>
      </c>
      <c r="T4568">
        <v>-2.0087960000000002E-3</v>
      </c>
      <c r="U4568">
        <v>-3.4103389999999997E-2</v>
      </c>
      <c r="V4568">
        <v>-1.544792E-2</v>
      </c>
      <c r="W4568">
        <v>-4.8201290000000001E-2</v>
      </c>
      <c r="X4568">
        <v>0.9987182</v>
      </c>
      <c r="Y4568">
        <v>1.6720829999999999E-2</v>
      </c>
      <c r="Z4568" s="1">
        <v>-5.2032769999999999E-5</v>
      </c>
      <c r="AA4568">
        <v>0.99986019999999998</v>
      </c>
      <c r="AB4568">
        <v>32</v>
      </c>
      <c r="AC4568">
        <v>214.47</v>
      </c>
      <c r="AD4568">
        <v>-0.14351459999999899</v>
      </c>
      <c r="AE4568">
        <v>-2.43739999999999</v>
      </c>
      <c r="AF4568">
        <v>3.5916590884142501</v>
      </c>
      <c r="AG4568">
        <v>-0.14351459999999899</v>
      </c>
      <c r="AH4568">
        <v>214.45367940629799</v>
      </c>
      <c r="AI4568">
        <v>90.0383375407568</v>
      </c>
      <c r="AJ4568">
        <v>89.040502963740394</v>
      </c>
      <c r="AK4568">
        <v>214.48380177147899</v>
      </c>
      <c r="AL4568">
        <v>92.762800958378904</v>
      </c>
      <c r="AM4568">
        <v>90.886165928750799</v>
      </c>
      <c r="AN4568">
        <v>1.0000000228006101</v>
      </c>
    </row>
    <row r="4569" spans="1:40" x14ac:dyDescent="0.25">
      <c r="A4569" t="str">
        <f>"20190303153859977"</f>
        <v>20190303153859977</v>
      </c>
      <c r="B4569" t="str">
        <f>"1551598739972805"</f>
        <v>1551598739972805</v>
      </c>
      <c r="C4569" t="s">
        <v>40</v>
      </c>
      <c r="D4569">
        <v>4.0674219999999996</v>
      </c>
      <c r="E4569">
        <v>0.51224409999999998</v>
      </c>
      <c r="F4569" t="s">
        <v>67</v>
      </c>
      <c r="G4569">
        <v>-107.39749999999999</v>
      </c>
      <c r="H4569">
        <v>0.98990149999999999</v>
      </c>
      <c r="I4569">
        <v>213.13910000000001</v>
      </c>
      <c r="J4569">
        <v>-321.54129999999998</v>
      </c>
      <c r="K4569">
        <v>1.121094</v>
      </c>
      <c r="L4569">
        <v>215.40119999999999</v>
      </c>
      <c r="M4569">
        <v>0.99988220000000005</v>
      </c>
      <c r="N4569">
        <v>-1.43792E-2</v>
      </c>
      <c r="O4569">
        <v>5.381734E-3</v>
      </c>
      <c r="P4569">
        <v>0.99780449999999998</v>
      </c>
      <c r="Q4569">
        <v>-6.2903829999999994E-2</v>
      </c>
      <c r="R4569">
        <v>2.0715279999999999E-2</v>
      </c>
      <c r="S4569">
        <v>3.0070800000000002</v>
      </c>
      <c r="T4569">
        <v>-1.8386839999999999E-3</v>
      </c>
      <c r="U4569">
        <v>-3.1692499999999998E-2</v>
      </c>
      <c r="V4569">
        <v>-1.5346230000000001E-2</v>
      </c>
      <c r="W4569">
        <v>-4.8547720000000003E-2</v>
      </c>
      <c r="X4569">
        <v>0.99870289999999995</v>
      </c>
      <c r="Y4569">
        <v>1.5919969999999999E-2</v>
      </c>
      <c r="Z4569" s="1">
        <v>-4.5238370000000002E-5</v>
      </c>
      <c r="AA4569">
        <v>0.99987329999999996</v>
      </c>
      <c r="AB4569">
        <v>31</v>
      </c>
      <c r="AC4569">
        <v>214.1438</v>
      </c>
      <c r="AD4569">
        <v>-0.13119249999999999</v>
      </c>
      <c r="AE4569">
        <v>-2.26209999999997</v>
      </c>
      <c r="AF4569">
        <v>3.4146500035873499</v>
      </c>
      <c r="AG4569">
        <v>-0.13119249999999999</v>
      </c>
      <c r="AH4569">
        <v>214.12844256958999</v>
      </c>
      <c r="AI4569">
        <v>90.035099587674594</v>
      </c>
      <c r="AJ4569">
        <v>89.086396698040602</v>
      </c>
      <c r="AK4569">
        <v>214.15570728653699</v>
      </c>
      <c r="AL4569">
        <v>92.782673443995094</v>
      </c>
      <c r="AM4569">
        <v>90.8803469137966</v>
      </c>
      <c r="AN4569">
        <v>0.99999993518040797</v>
      </c>
    </row>
    <row r="4570" spans="1:40" x14ac:dyDescent="0.25">
      <c r="A4570" t="str">
        <f>"20190303153859999"</f>
        <v>20190303153859999</v>
      </c>
      <c r="B4570" t="str">
        <f>"1551598739993302"</f>
        <v>1551598739993302</v>
      </c>
      <c r="C4570" t="s">
        <v>40</v>
      </c>
      <c r="D4570">
        <v>4.0864000000000003</v>
      </c>
      <c r="E4570">
        <v>0.51226309999999997</v>
      </c>
      <c r="F4570" t="s">
        <v>67</v>
      </c>
      <c r="G4570">
        <v>-107.39749999999999</v>
      </c>
      <c r="H4570">
        <v>0.78659140000000005</v>
      </c>
      <c r="I4570">
        <v>213.18549999999999</v>
      </c>
      <c r="J4570">
        <v>-321.22399999999999</v>
      </c>
      <c r="K4570">
        <v>1.121097</v>
      </c>
      <c r="L4570">
        <v>215.40289999999999</v>
      </c>
      <c r="M4570">
        <v>0.9998823</v>
      </c>
      <c r="N4570">
        <v>-1.437595E-2</v>
      </c>
      <c r="O4570">
        <v>5.3815779999999997E-3</v>
      </c>
      <c r="P4570">
        <v>0.99782780000000004</v>
      </c>
      <c r="Q4570">
        <v>-6.2691730000000001E-2</v>
      </c>
      <c r="R4570">
        <v>2.0238220000000001E-2</v>
      </c>
      <c r="S4570">
        <v>3.0069270000000001</v>
      </c>
      <c r="T4570">
        <v>-4.6962499999999999E-3</v>
      </c>
      <c r="U4570">
        <v>-3.1112669999999999E-2</v>
      </c>
      <c r="V4570">
        <v>-1.4869210000000001E-2</v>
      </c>
      <c r="W4570">
        <v>-4.833863E-2</v>
      </c>
      <c r="X4570">
        <v>0.99872030000000001</v>
      </c>
      <c r="Y4570">
        <v>1.572751E-2</v>
      </c>
      <c r="Z4570" s="1">
        <v>-5.6377240000000002E-5</v>
      </c>
      <c r="AA4570">
        <v>0.99987630000000005</v>
      </c>
      <c r="AB4570">
        <v>31</v>
      </c>
      <c r="AC4570">
        <v>213.82650000000001</v>
      </c>
      <c r="AD4570">
        <v>-0.33450560000000001</v>
      </c>
      <c r="AE4570">
        <v>-2.2173999999999898</v>
      </c>
      <c r="AF4570">
        <v>3.36820241717668</v>
      </c>
      <c r="AG4570">
        <v>-0.33450560000000001</v>
      </c>
      <c r="AH4570">
        <v>213.81094544086201</v>
      </c>
      <c r="AI4570">
        <v>90.0896276182783</v>
      </c>
      <c r="AJ4570">
        <v>89.097483895238895</v>
      </c>
      <c r="AK4570">
        <v>213.83773537856899</v>
      </c>
      <c r="AL4570">
        <v>92.770679270695695</v>
      </c>
      <c r="AM4570">
        <v>90.852971586474098</v>
      </c>
      <c r="AN4570">
        <v>0.99999997709419497</v>
      </c>
    </row>
    <row r="4571" spans="1:40" x14ac:dyDescent="0.25">
      <c r="A4571" t="str">
        <f>"20190303153900021"</f>
        <v>20190303153900021</v>
      </c>
      <c r="B4571" t="str">
        <f>"1551598740012822"</f>
        <v>1551598740012822</v>
      </c>
      <c r="C4571" t="s">
        <v>40</v>
      </c>
      <c r="D4571">
        <v>4.0223829999999996</v>
      </c>
      <c r="E4571">
        <v>0.51227809999999996</v>
      </c>
      <c r="F4571" t="s">
        <v>67</v>
      </c>
      <c r="G4571">
        <v>-107.39749999999999</v>
      </c>
      <c r="H4571">
        <v>0.72866679999999995</v>
      </c>
      <c r="I4571">
        <v>213.04179999999999</v>
      </c>
      <c r="J4571">
        <v>-320.90929999999997</v>
      </c>
      <c r="K4571">
        <v>1.1210990000000001</v>
      </c>
      <c r="L4571">
        <v>215.40459999999999</v>
      </c>
      <c r="M4571">
        <v>0.9998823</v>
      </c>
      <c r="N4571">
        <v>-1.437279E-2</v>
      </c>
      <c r="O4571">
        <v>5.3816009999999997E-3</v>
      </c>
      <c r="P4571">
        <v>0.99776379999999998</v>
      </c>
      <c r="Q4571">
        <v>-6.3983680000000001E-2</v>
      </c>
      <c r="R4571">
        <v>1.9332040000000002E-2</v>
      </c>
      <c r="S4571">
        <v>3.006866</v>
      </c>
      <c r="T4571">
        <v>-5.5177209999999997E-3</v>
      </c>
      <c r="U4571">
        <v>-3.3203129999999997E-2</v>
      </c>
      <c r="V4571">
        <v>-1.396348E-2</v>
      </c>
      <c r="W4571">
        <v>-4.9634610000000003E-2</v>
      </c>
      <c r="X4571">
        <v>0.99866980000000005</v>
      </c>
      <c r="Y4571">
        <v>1.642277E-2</v>
      </c>
      <c r="Z4571" s="1">
        <v>-6.5623549999999895E-5</v>
      </c>
      <c r="AA4571">
        <v>0.99986509999999995</v>
      </c>
      <c r="AB4571">
        <v>31</v>
      </c>
      <c r="AC4571">
        <v>213.51179999999999</v>
      </c>
      <c r="AD4571">
        <v>-0.39243220000000001</v>
      </c>
      <c r="AE4571">
        <v>-2.3627999999999898</v>
      </c>
      <c r="AF4571">
        <v>3.5119078442264202</v>
      </c>
      <c r="AG4571">
        <v>-0.39243220000000001</v>
      </c>
      <c r="AH4571">
        <v>213.49526941333099</v>
      </c>
      <c r="AI4571">
        <v>90.105302764397095</v>
      </c>
      <c r="AJ4571">
        <v>89.057593397973804</v>
      </c>
      <c r="AK4571">
        <v>213.52451278859999</v>
      </c>
      <c r="AL4571">
        <v>92.845022732463704</v>
      </c>
      <c r="AM4571">
        <v>90.801061913887196</v>
      </c>
      <c r="AN4571">
        <v>0.99999997135780005</v>
      </c>
    </row>
    <row r="4572" spans="1:40" x14ac:dyDescent="0.25">
      <c r="A4572" t="str">
        <f>"20190303153900065"</f>
        <v>20190303153900065</v>
      </c>
      <c r="B4572" t="str">
        <f>"1551598740063574"</f>
        <v>1551598740063574</v>
      </c>
      <c r="C4572" t="s">
        <v>40</v>
      </c>
      <c r="D4572">
        <v>3.46435</v>
      </c>
      <c r="E4572">
        <v>0.51227809999999996</v>
      </c>
      <c r="F4572" t="s">
        <v>67</v>
      </c>
      <c r="G4572">
        <v>-107.39749999999999</v>
      </c>
      <c r="H4572">
        <v>0.38044830000000002</v>
      </c>
      <c r="I4572">
        <v>212.8323</v>
      </c>
      <c r="J4572">
        <v>-320.2937</v>
      </c>
      <c r="K4572">
        <v>1.121092</v>
      </c>
      <c r="L4572">
        <v>215.40790000000001</v>
      </c>
      <c r="M4572">
        <v>0.99988250000000001</v>
      </c>
      <c r="N4572">
        <v>-1.436571E-2</v>
      </c>
      <c r="O4572">
        <v>5.3816519999999998E-3</v>
      </c>
      <c r="P4572">
        <v>0.99770760000000003</v>
      </c>
      <c r="Q4572">
        <v>-6.5051590000000006E-2</v>
      </c>
      <c r="R4572">
        <v>1.8652350000000002E-2</v>
      </c>
      <c r="S4572">
        <v>3.0067439999999999</v>
      </c>
      <c r="T4572">
        <v>-1.042938E-2</v>
      </c>
      <c r="U4572">
        <v>-3.6224369999999999E-2</v>
      </c>
      <c r="V4572">
        <v>-1.328417E-2</v>
      </c>
      <c r="W4572">
        <v>-5.0710360000000003E-2</v>
      </c>
      <c r="X4572">
        <v>0.99862499999999998</v>
      </c>
      <c r="Y4572">
        <v>1.742761E-2</v>
      </c>
      <c r="Z4572" s="1">
        <v>-9.6770670000000003E-5</v>
      </c>
      <c r="AA4572">
        <v>0.99984810000000002</v>
      </c>
      <c r="AB4572">
        <v>31</v>
      </c>
      <c r="AC4572">
        <v>212.89619999999999</v>
      </c>
      <c r="AD4572">
        <v>-0.74064370000000002</v>
      </c>
      <c r="AE4572">
        <v>-2.5756000000000001</v>
      </c>
      <c r="AF4572">
        <v>3.72136896551556</v>
      </c>
      <c r="AG4572">
        <v>-0.74064370000000002</v>
      </c>
      <c r="AH4572">
        <v>212.87667795358701</v>
      </c>
      <c r="AI4572">
        <v>90.199313070626701</v>
      </c>
      <c r="AJ4572">
        <v>88.998495175295602</v>
      </c>
      <c r="AK4572">
        <v>212.91049095012499</v>
      </c>
      <c r="AL4572">
        <v>92.906736457762705</v>
      </c>
      <c r="AM4572">
        <v>90.762129913544598</v>
      </c>
      <c r="AN4572">
        <v>0.99999995020445798</v>
      </c>
    </row>
    <row r="4573" spans="1:40" x14ac:dyDescent="0.25">
      <c r="A4573" t="str">
        <f>"20190303153900086"</f>
        <v>20190303153900086</v>
      </c>
      <c r="B4573" t="str">
        <f>"1551598740083094"</f>
        <v>1551598740083094</v>
      </c>
      <c r="C4573" t="s">
        <v>40</v>
      </c>
      <c r="D4573">
        <v>3.764106</v>
      </c>
      <c r="E4573">
        <v>0.53463629999999995</v>
      </c>
      <c r="F4573" t="s">
        <v>67</v>
      </c>
      <c r="G4573">
        <v>-107.39749999999999</v>
      </c>
      <c r="H4573">
        <v>0.16342909999999999</v>
      </c>
      <c r="I4573">
        <v>212.70259999999999</v>
      </c>
      <c r="J4573">
        <v>-319.99689999999998</v>
      </c>
      <c r="K4573">
        <v>1.121094</v>
      </c>
      <c r="L4573">
        <v>215.40950000000001</v>
      </c>
      <c r="M4573">
        <v>0.99988250000000001</v>
      </c>
      <c r="N4573">
        <v>-1.436222E-2</v>
      </c>
      <c r="O4573">
        <v>5.3814980000000002E-3</v>
      </c>
      <c r="P4573">
        <v>0.99773509999999999</v>
      </c>
      <c r="Q4573">
        <v>-6.4884659999999997E-2</v>
      </c>
      <c r="R4573">
        <v>1.7752400000000002E-2</v>
      </c>
      <c r="S4573">
        <v>3.0067439999999999</v>
      </c>
      <c r="T4573">
        <v>-1.3524410000000001E-2</v>
      </c>
      <c r="U4573">
        <v>-3.8208010000000001E-2</v>
      </c>
      <c r="V4573">
        <v>-1.2384289999999999E-2</v>
      </c>
      <c r="W4573">
        <v>-5.0546639999999997E-2</v>
      </c>
      <c r="X4573">
        <v>0.99864489999999995</v>
      </c>
      <c r="Y4573">
        <v>1.8086809999999998E-2</v>
      </c>
      <c r="Z4573">
        <v>-1.174872E-4</v>
      </c>
      <c r="AA4573">
        <v>0.99983639999999996</v>
      </c>
      <c r="AB4573">
        <v>31</v>
      </c>
      <c r="AC4573">
        <v>212.5994</v>
      </c>
      <c r="AD4573">
        <v>-0.95766489999999904</v>
      </c>
      <c r="AE4573">
        <v>-2.7069000000000099</v>
      </c>
      <c r="AF4573">
        <v>3.8510037884744199</v>
      </c>
      <c r="AG4573">
        <v>-0.95766489999999904</v>
      </c>
      <c r="AH4573">
        <v>212.57743946497899</v>
      </c>
      <c r="AI4573">
        <v>90.258074349869403</v>
      </c>
      <c r="AJ4573">
        <v>88.962156417137905</v>
      </c>
      <c r="AK4573">
        <v>212.61447533441</v>
      </c>
      <c r="AL4573">
        <v>92.897343846346502</v>
      </c>
      <c r="AM4573">
        <v>90.710493968875397</v>
      </c>
      <c r="AN4573">
        <v>0.99999998487505104</v>
      </c>
    </row>
    <row r="4574" spans="1:40" x14ac:dyDescent="0.25">
      <c r="A4574" t="str">
        <f>"20190303153900111"</f>
        <v>20190303153900111</v>
      </c>
      <c r="B4574" t="str">
        <f>"1551598740103590"</f>
        <v>1551598740103590</v>
      </c>
      <c r="C4574" t="s">
        <v>40</v>
      </c>
      <c r="D4574">
        <v>3.9919959999999999</v>
      </c>
      <c r="E4574">
        <v>0.53463629999999995</v>
      </c>
      <c r="F4574" t="s">
        <v>44</v>
      </c>
      <c r="G4574">
        <v>-319.25400000000002</v>
      </c>
      <c r="H4574">
        <v>0.99351849999999997</v>
      </c>
      <c r="I4574">
        <v>215.35220000000001</v>
      </c>
      <c r="J4574">
        <v>-319.67180000000002</v>
      </c>
      <c r="K4574">
        <v>1.1211</v>
      </c>
      <c r="L4574">
        <v>215.41130000000001</v>
      </c>
      <c r="M4574">
        <v>0.99988250000000001</v>
      </c>
      <c r="N4574">
        <v>-1.4358299999999999E-2</v>
      </c>
      <c r="O4574">
        <v>5.3815260000000002E-3</v>
      </c>
      <c r="P4574">
        <v>0.99778500000000003</v>
      </c>
      <c r="Q4574">
        <v>-6.4295069999999996E-2</v>
      </c>
      <c r="R4574">
        <v>1.7076170000000002E-2</v>
      </c>
      <c r="S4574">
        <v>2.9775999999999998</v>
      </c>
      <c r="T4574">
        <v>-0.51137449999999995</v>
      </c>
      <c r="U4574">
        <v>-0.22949220000000001</v>
      </c>
      <c r="V4574">
        <v>-1.170796E-2</v>
      </c>
      <c r="W4574">
        <v>-4.9960369999999997E-2</v>
      </c>
      <c r="X4574">
        <v>0.99868259999999998</v>
      </c>
      <c r="Y4574">
        <v>8.0866809999999997E-2</v>
      </c>
      <c r="Z4574">
        <v>-8.3091799999999993E-3</v>
      </c>
      <c r="AA4574">
        <v>0.99669030000000003</v>
      </c>
      <c r="AB4574">
        <v>31</v>
      </c>
      <c r="AC4574">
        <v>0.41779999999999901</v>
      </c>
      <c r="AD4574">
        <v>-0.12758149999999999</v>
      </c>
      <c r="AE4574">
        <v>-5.9100000000000798E-2</v>
      </c>
      <c r="AF4574">
        <v>5.6209213019851503E-2</v>
      </c>
      <c r="AG4574">
        <v>-0.12758149999999999</v>
      </c>
      <c r="AH4574">
        <v>0.38250758287650499</v>
      </c>
      <c r="AI4574">
        <v>108.26267514724501</v>
      </c>
      <c r="AJ4574">
        <v>81.640257621921293</v>
      </c>
      <c r="AK4574">
        <v>0.407122298245365</v>
      </c>
      <c r="AL4574">
        <v>92.8637104372077</v>
      </c>
      <c r="AM4574">
        <v>90.6716708244372</v>
      </c>
      <c r="AN4574">
        <v>1.0000000252203201</v>
      </c>
    </row>
    <row r="4575" spans="1:40" x14ac:dyDescent="0.25">
      <c r="A4575" t="str">
        <f>"20190303153900145"</f>
        <v>20190303153900145</v>
      </c>
      <c r="B4575" t="str">
        <f>"1551598740143607"</f>
        <v>1551598740143607</v>
      </c>
      <c r="C4575" t="s">
        <v>40</v>
      </c>
      <c r="D4575">
        <v>3.9333879999999999</v>
      </c>
      <c r="E4575">
        <v>0.53304459999999998</v>
      </c>
      <c r="F4575" t="s">
        <v>44</v>
      </c>
      <c r="G4575">
        <v>-318.71449999999999</v>
      </c>
      <c r="H4575">
        <v>0.95732470000000003</v>
      </c>
      <c r="I4575">
        <v>215.3366</v>
      </c>
      <c r="J4575">
        <v>-319.16419999999999</v>
      </c>
      <c r="K4575">
        <v>1.121108</v>
      </c>
      <c r="L4575">
        <v>215.41399999999999</v>
      </c>
      <c r="M4575">
        <v>0.99988250000000001</v>
      </c>
      <c r="N4575">
        <v>-1.4352470000000001E-2</v>
      </c>
      <c r="O4575">
        <v>5.3817469999999897E-3</v>
      </c>
      <c r="P4575">
        <v>0.99785420000000002</v>
      </c>
      <c r="Q4575">
        <v>-6.3326110000000005E-2</v>
      </c>
      <c r="R4575">
        <v>1.6641670000000001E-2</v>
      </c>
      <c r="S4575">
        <v>2.9777830000000001</v>
      </c>
      <c r="T4575">
        <v>-0.50954600000000005</v>
      </c>
      <c r="U4575">
        <v>-0.23170470000000001</v>
      </c>
      <c r="V4575">
        <v>-1.127277E-2</v>
      </c>
      <c r="W4575">
        <v>-4.8996409999999997E-2</v>
      </c>
      <c r="X4575">
        <v>0.99873540000000005</v>
      </c>
      <c r="Y4575">
        <v>8.1596489999999994E-2</v>
      </c>
      <c r="Z4575">
        <v>-8.3479869999999994E-3</v>
      </c>
      <c r="AA4575">
        <v>0.99663049999999997</v>
      </c>
      <c r="AB4575">
        <v>31</v>
      </c>
      <c r="AC4575">
        <v>0.44970000000000698</v>
      </c>
      <c r="AD4575">
        <v>-0.16378329999999999</v>
      </c>
      <c r="AE4575">
        <v>-7.7400000000011404E-2</v>
      </c>
      <c r="AF4575">
        <v>7.0709798232281601E-2</v>
      </c>
      <c r="AG4575">
        <v>-0.16378329999999999</v>
      </c>
      <c r="AH4575">
        <v>0.39800247222773899</v>
      </c>
      <c r="AI4575">
        <v>112.05624789181699</v>
      </c>
      <c r="AJ4575">
        <v>79.925848814207995</v>
      </c>
      <c r="AK4575">
        <v>0.43615457446223399</v>
      </c>
      <c r="AL4575">
        <v>92.808411765207893</v>
      </c>
      <c r="AM4575">
        <v>90.646672500670505</v>
      </c>
      <c r="AN4575">
        <v>1.0000000613747499</v>
      </c>
    </row>
    <row r="4576" spans="1:40" x14ac:dyDescent="0.25">
      <c r="A4576" t="str">
        <f>"20190303153900165"</f>
        <v>20190303153900165</v>
      </c>
      <c r="B4576" t="str">
        <f>"1551598740153367"</f>
        <v>1551598740153367</v>
      </c>
      <c r="C4576" t="s">
        <v>40</v>
      </c>
      <c r="D4576">
        <v>4.032076</v>
      </c>
      <c r="E4576">
        <v>0.53207740000000003</v>
      </c>
      <c r="F4576" t="s">
        <v>49</v>
      </c>
      <c r="G4576">
        <v>-177.60169999999999</v>
      </c>
      <c r="H4576">
        <v>6.498704</v>
      </c>
      <c r="I4576">
        <v>205.7054</v>
      </c>
      <c r="J4576">
        <v>-318.90519999999998</v>
      </c>
      <c r="K4576">
        <v>1.1211100000000001</v>
      </c>
      <c r="L4576">
        <v>215.41540000000001</v>
      </c>
      <c r="M4576">
        <v>0.99988259999999995</v>
      </c>
      <c r="N4576">
        <v>-1.4349529999999999E-2</v>
      </c>
      <c r="O4576">
        <v>5.381589E-3</v>
      </c>
      <c r="P4576">
        <v>0.99785270000000004</v>
      </c>
      <c r="Q4576">
        <v>-6.3375349999999997E-2</v>
      </c>
      <c r="R4576">
        <v>1.6552819999999999E-2</v>
      </c>
      <c r="S4576">
        <v>3.0171809999999999</v>
      </c>
      <c r="T4576">
        <v>0.11461499999999999</v>
      </c>
      <c r="U4576">
        <v>-0.20692440000000001</v>
      </c>
      <c r="V4576">
        <v>-1.118368E-2</v>
      </c>
      <c r="W4576">
        <v>-4.9048620000000001E-2</v>
      </c>
      <c r="X4576">
        <v>0.9987338</v>
      </c>
      <c r="Y4576">
        <v>7.3749640000000005E-2</v>
      </c>
      <c r="Z4576">
        <v>1.149955E-3</v>
      </c>
      <c r="AA4576">
        <v>0.9972761</v>
      </c>
      <c r="AB4576">
        <v>31</v>
      </c>
      <c r="AC4576">
        <v>141.30350000000001</v>
      </c>
      <c r="AD4576">
        <v>5.3775940000000002</v>
      </c>
      <c r="AE4576">
        <v>-9.7100000000000009</v>
      </c>
      <c r="AF4576">
        <v>10.4553033410262</v>
      </c>
      <c r="AG4576">
        <v>5.3775940000000002</v>
      </c>
      <c r="AH4576">
        <v>141.045870661957</v>
      </c>
      <c r="AI4576">
        <v>87.822534932082107</v>
      </c>
      <c r="AJ4576">
        <v>85.760590909652606</v>
      </c>
      <c r="AK4576">
        <v>141.535046952941</v>
      </c>
      <c r="AL4576">
        <v>92.8114068879174</v>
      </c>
      <c r="AM4576">
        <v>90.641563229995299</v>
      </c>
      <c r="AN4576">
        <v>1.00000002254234</v>
      </c>
    </row>
    <row r="4577" spans="1:40" x14ac:dyDescent="0.25">
      <c r="A4577" t="str">
        <f>"20190303153900188"</f>
        <v>20190303153900188</v>
      </c>
      <c r="B4577" t="str">
        <f>"1551598740183622"</f>
        <v>1551598740183622</v>
      </c>
      <c r="C4577" t="s">
        <v>40</v>
      </c>
      <c r="D4577">
        <v>4.0322940000000003</v>
      </c>
      <c r="E4577">
        <v>0.52587689999999998</v>
      </c>
      <c r="F4577" t="s">
        <v>66</v>
      </c>
      <c r="G4577">
        <v>-168.4128</v>
      </c>
      <c r="H4577">
        <v>6.0922489999999998</v>
      </c>
      <c r="I4577">
        <v>205.43770000000001</v>
      </c>
      <c r="J4577">
        <v>-318.589</v>
      </c>
      <c r="K4577">
        <v>1.1211070000000001</v>
      </c>
      <c r="L4577">
        <v>215.4171</v>
      </c>
      <c r="M4577">
        <v>0.99988270000000001</v>
      </c>
      <c r="N4577">
        <v>-1.434596E-2</v>
      </c>
      <c r="O4577">
        <v>5.3816150000000002E-3</v>
      </c>
      <c r="P4577">
        <v>0.99789609999999995</v>
      </c>
      <c r="Q4577">
        <v>-6.2730629999999996E-2</v>
      </c>
      <c r="R4577">
        <v>1.6389310000000001E-2</v>
      </c>
      <c r="S4577">
        <v>3.0160830000000001</v>
      </c>
      <c r="T4577">
        <v>9.9629400000000007E-2</v>
      </c>
      <c r="U4577">
        <v>-0.19996639999999999</v>
      </c>
      <c r="V4577">
        <v>-1.1020200000000001E-2</v>
      </c>
      <c r="W4577">
        <v>-4.8406919999999999E-2</v>
      </c>
      <c r="X4577">
        <v>0.99876690000000001</v>
      </c>
      <c r="Y4577">
        <v>7.1496309999999993E-2</v>
      </c>
      <c r="Z4577">
        <v>9.2035830000000002E-4</v>
      </c>
      <c r="AA4577">
        <v>0.99744049999999995</v>
      </c>
      <c r="AB4577">
        <v>31</v>
      </c>
      <c r="AC4577">
        <v>150.17619999999999</v>
      </c>
      <c r="AD4577">
        <v>4.9711420000000004</v>
      </c>
      <c r="AE4577">
        <v>-9.9793999999999894</v>
      </c>
      <c r="AF4577">
        <v>10.775773447276</v>
      </c>
      <c r="AG4577">
        <v>4.9711420000000004</v>
      </c>
      <c r="AH4577">
        <v>149.95672186441399</v>
      </c>
      <c r="AI4577">
        <v>88.106190648046507</v>
      </c>
      <c r="AJ4577">
        <v>85.889834733129803</v>
      </c>
      <c r="AK4577">
        <v>150.42555626785099</v>
      </c>
      <c r="AL4577">
        <v>92.774596528359496</v>
      </c>
      <c r="AM4577">
        <v>90.632164850056895</v>
      </c>
      <c r="AN4577">
        <v>0.99999999762376801</v>
      </c>
    </row>
    <row r="4578" spans="1:40" x14ac:dyDescent="0.25">
      <c r="A4578" t="str">
        <f>"20190303153900211"</f>
        <v>20190303153900211</v>
      </c>
      <c r="B4578" t="str">
        <f>"1551598740203143"</f>
        <v>1551598740203143</v>
      </c>
      <c r="C4578" t="s">
        <v>40</v>
      </c>
      <c r="D4578">
        <v>3.9801739999999999</v>
      </c>
      <c r="E4578">
        <v>0.5239779</v>
      </c>
      <c r="F4578" t="s">
        <v>66</v>
      </c>
      <c r="G4578">
        <v>-168.41130000000001</v>
      </c>
      <c r="H4578">
        <v>3.8705500000000002</v>
      </c>
      <c r="I4578">
        <v>207.8426</v>
      </c>
      <c r="J4578">
        <v>-318.25670000000002</v>
      </c>
      <c r="K4578">
        <v>1.121111</v>
      </c>
      <c r="L4578">
        <v>215.41890000000001</v>
      </c>
      <c r="M4578">
        <v>0.99988259999999995</v>
      </c>
      <c r="N4578">
        <v>-1.4342509999999999E-2</v>
      </c>
      <c r="O4578">
        <v>5.38164E-3</v>
      </c>
      <c r="P4578">
        <v>0.99794300000000002</v>
      </c>
      <c r="Q4578">
        <v>-6.197627E-2</v>
      </c>
      <c r="R4578">
        <v>1.6388320000000001E-2</v>
      </c>
      <c r="S4578">
        <v>3.0122990000000001</v>
      </c>
      <c r="T4578">
        <v>5.5149669999999998E-2</v>
      </c>
      <c r="U4578">
        <v>-0.15193180000000001</v>
      </c>
      <c r="V4578">
        <v>-1.1018699999999999E-2</v>
      </c>
      <c r="W4578">
        <v>-4.7655419999999997E-2</v>
      </c>
      <c r="X4578">
        <v>0.99880310000000005</v>
      </c>
      <c r="Y4578">
        <v>5.5742890000000003E-2</v>
      </c>
      <c r="Z4578">
        <v>2.8546769999999999E-4</v>
      </c>
      <c r="AA4578">
        <v>0.99844509999999997</v>
      </c>
      <c r="AB4578">
        <v>31</v>
      </c>
      <c r="AC4578">
        <v>149.84540000000001</v>
      </c>
      <c r="AD4578">
        <v>2.74943899999999</v>
      </c>
      <c r="AE4578">
        <v>-7.5762999999999998</v>
      </c>
      <c r="AF4578">
        <v>8.3798732268716094</v>
      </c>
      <c r="AG4578">
        <v>2.74943899999999</v>
      </c>
      <c r="AH4578">
        <v>149.75216435856899</v>
      </c>
      <c r="AI4578">
        <v>88.949814355980493</v>
      </c>
      <c r="AJ4578">
        <v>86.797167102532498</v>
      </c>
      <c r="AK4578">
        <v>150.011640948924</v>
      </c>
      <c r="AL4578">
        <v>92.731488875374097</v>
      </c>
      <c r="AM4578">
        <v>90.632055903939204</v>
      </c>
      <c r="AN4578">
        <v>1.00000004168733</v>
      </c>
    </row>
    <row r="4579" spans="1:40" x14ac:dyDescent="0.25">
      <c r="A4579" t="str">
        <f>"20190303153900232"</f>
        <v>20190303153900232</v>
      </c>
      <c r="B4579" t="str">
        <f>"1551598740223638"</f>
        <v>1551598740223638</v>
      </c>
      <c r="C4579" t="s">
        <v>40</v>
      </c>
      <c r="D4579">
        <v>3.9885130000000002</v>
      </c>
      <c r="E4579">
        <v>0.52241280000000001</v>
      </c>
      <c r="F4579" t="s">
        <v>66</v>
      </c>
      <c r="G4579">
        <v>-169.39359999999999</v>
      </c>
      <c r="H4579">
        <v>3.4039920000000001</v>
      </c>
      <c r="I4579">
        <v>208.64590000000001</v>
      </c>
      <c r="J4579">
        <v>-317.96820000000002</v>
      </c>
      <c r="K4579">
        <v>1.1211150000000001</v>
      </c>
      <c r="L4579">
        <v>215.4205</v>
      </c>
      <c r="M4579">
        <v>0.99988279999999996</v>
      </c>
      <c r="N4579">
        <v>-1.433948E-2</v>
      </c>
      <c r="O4579">
        <v>5.3814830000000003E-3</v>
      </c>
      <c r="P4579">
        <v>0.99800089999999997</v>
      </c>
      <c r="Q4579">
        <v>-6.0969599999999999E-2</v>
      </c>
      <c r="R4579">
        <v>1.664771E-2</v>
      </c>
      <c r="S4579">
        <v>3.0113219999999998</v>
      </c>
      <c r="T4579">
        <v>4.6180609999999997E-2</v>
      </c>
      <c r="U4579">
        <v>-0.13700870000000001</v>
      </c>
      <c r="V4579">
        <v>-1.127832E-2</v>
      </c>
      <c r="W4579">
        <v>-4.6651020000000001E-2</v>
      </c>
      <c r="X4579">
        <v>0.99884759999999995</v>
      </c>
      <c r="Y4579">
        <v>5.082391E-2</v>
      </c>
      <c r="Z4579">
        <v>1.8448640000000001E-4</v>
      </c>
      <c r="AA4579">
        <v>0.99870760000000003</v>
      </c>
      <c r="AB4579">
        <v>31</v>
      </c>
      <c r="AC4579">
        <v>148.5746</v>
      </c>
      <c r="AD4579">
        <v>2.282877</v>
      </c>
      <c r="AE4579">
        <v>-6.7745999999999897</v>
      </c>
      <c r="AF4579">
        <v>7.5723516625516796</v>
      </c>
      <c r="AG4579">
        <v>2.282877</v>
      </c>
      <c r="AH4579">
        <v>148.50100029347601</v>
      </c>
      <c r="AI4579">
        <v>89.120415113278398</v>
      </c>
      <c r="AJ4579">
        <v>87.080906288888301</v>
      </c>
      <c r="AK4579">
        <v>148.711462655915</v>
      </c>
      <c r="AL4579">
        <v>92.673876960522605</v>
      </c>
      <c r="AM4579">
        <v>90.646918184361695</v>
      </c>
      <c r="AN4579">
        <v>1.00000002309741</v>
      </c>
    </row>
    <row r="4580" spans="1:40" x14ac:dyDescent="0.25">
      <c r="A4580" t="str">
        <f>"20190303153900254"</f>
        <v>20190303153900254</v>
      </c>
      <c r="B4580" t="str">
        <f>"1551598740243159"</f>
        <v>1551598740243159</v>
      </c>
      <c r="C4580" t="s">
        <v>40</v>
      </c>
      <c r="D4580">
        <v>4.0236020000000003</v>
      </c>
      <c r="E4580">
        <v>0.52095659999999999</v>
      </c>
      <c r="F4580" t="s">
        <v>66</v>
      </c>
      <c r="G4580">
        <v>-169.39330000000001</v>
      </c>
      <c r="H4580">
        <v>3.3567770000000001</v>
      </c>
      <c r="I4580">
        <v>209.30260000000001</v>
      </c>
      <c r="J4580">
        <v>-317.66460000000001</v>
      </c>
      <c r="K4580">
        <v>1.1211230000000001</v>
      </c>
      <c r="L4580">
        <v>215.4221</v>
      </c>
      <c r="M4580">
        <v>0.99988279999999996</v>
      </c>
      <c r="N4580">
        <v>-1.433621E-2</v>
      </c>
      <c r="O4580">
        <v>5.3815069999999998E-3</v>
      </c>
      <c r="P4580">
        <v>0.99806360000000005</v>
      </c>
      <c r="Q4580">
        <v>-5.9898899999999998E-2</v>
      </c>
      <c r="R4580">
        <v>1.6762510000000001E-2</v>
      </c>
      <c r="S4580">
        <v>3.010834</v>
      </c>
      <c r="T4580">
        <v>4.5305850000000002E-2</v>
      </c>
      <c r="U4580">
        <v>-0.1239777</v>
      </c>
      <c r="V4580">
        <v>-1.139224E-2</v>
      </c>
      <c r="W4580">
        <v>-4.5582780000000003E-2</v>
      </c>
      <c r="X4580">
        <v>0.99889559999999999</v>
      </c>
      <c r="Y4580">
        <v>4.6516670000000003E-2</v>
      </c>
      <c r="Z4580">
        <v>1.7427189999999999E-4</v>
      </c>
      <c r="AA4580">
        <v>0.99891750000000001</v>
      </c>
      <c r="AB4580">
        <v>31</v>
      </c>
      <c r="AC4580">
        <v>148.2713</v>
      </c>
      <c r="AD4580">
        <v>2.2356539999999998</v>
      </c>
      <c r="AE4580">
        <v>-6.11949999999998</v>
      </c>
      <c r="AF4580">
        <v>6.9158467331725504</v>
      </c>
      <c r="AG4580">
        <v>2.2356539999999998</v>
      </c>
      <c r="AH4580">
        <v>148.202580451383</v>
      </c>
      <c r="AI4580">
        <v>89.1366910505334</v>
      </c>
      <c r="AJ4580">
        <v>87.328240985770194</v>
      </c>
      <c r="AK4580">
        <v>148.38069934224299</v>
      </c>
      <c r="AL4580">
        <v>92.612606196355202</v>
      </c>
      <c r="AM4580">
        <v>90.653420610993194</v>
      </c>
      <c r="AN4580">
        <v>0.99999999633205205</v>
      </c>
    </row>
    <row r="4581" spans="1:40" x14ac:dyDescent="0.25">
      <c r="A4581" t="str">
        <f>"20190303153900270"</f>
        <v>20190303153900270</v>
      </c>
      <c r="B4581" t="str">
        <f>"1551598740263654"</f>
        <v>1551598740263654</v>
      </c>
      <c r="C4581" t="s">
        <v>40</v>
      </c>
      <c r="D4581">
        <v>4.0265570000000004</v>
      </c>
      <c r="E4581">
        <v>0.52001309999999901</v>
      </c>
      <c r="F4581" t="s">
        <v>66</v>
      </c>
      <c r="G4581">
        <v>-169.3931</v>
      </c>
      <c r="H4581">
        <v>3.180288</v>
      </c>
      <c r="I4581">
        <v>209.90020000000001</v>
      </c>
      <c r="J4581">
        <v>-317.44560000000001</v>
      </c>
      <c r="K4581">
        <v>1.1211260000000001</v>
      </c>
      <c r="L4581">
        <v>215.42330000000001</v>
      </c>
      <c r="M4581">
        <v>0.99988279999999996</v>
      </c>
      <c r="N4581">
        <v>-1.433385E-2</v>
      </c>
      <c r="O4581">
        <v>5.3815240000000004E-3</v>
      </c>
      <c r="P4581">
        <v>0.99807849999999998</v>
      </c>
      <c r="Q4581">
        <v>-5.9601000000000001E-2</v>
      </c>
      <c r="R4581">
        <v>1.6947400000000001E-2</v>
      </c>
      <c r="S4581">
        <v>3.0102229999999999</v>
      </c>
      <c r="T4581">
        <v>4.1806099999999999E-2</v>
      </c>
      <c r="U4581">
        <v>-0.11210630000000001</v>
      </c>
      <c r="V4581">
        <v>-1.157768E-2</v>
      </c>
      <c r="W4581">
        <v>-4.5287040000000001E-2</v>
      </c>
      <c r="X4581">
        <v>0.99890690000000004</v>
      </c>
      <c r="Y4581">
        <v>4.2591860000000002E-2</v>
      </c>
      <c r="Z4581">
        <v>1.4208520000000001E-4</v>
      </c>
      <c r="AA4581">
        <v>0.99909250000000005</v>
      </c>
      <c r="AB4581">
        <v>31</v>
      </c>
      <c r="AC4581">
        <v>148.05250000000001</v>
      </c>
      <c r="AD4581">
        <v>2.0591620000000002</v>
      </c>
      <c r="AE4581">
        <v>-5.5231000000000003</v>
      </c>
      <c r="AF4581">
        <v>6.3186293509015004</v>
      </c>
      <c r="AG4581">
        <v>2.0591620000000002</v>
      </c>
      <c r="AH4581">
        <v>147.99204192560501</v>
      </c>
      <c r="AI4581">
        <v>89.203563181089194</v>
      </c>
      <c r="AJ4581">
        <v>87.555199289169494</v>
      </c>
      <c r="AK4581">
        <v>148.14118164212999</v>
      </c>
      <c r="AL4581">
        <v>92.595644076403801</v>
      </c>
      <c r="AM4581">
        <v>90.664048370149203</v>
      </c>
      <c r="AN4581">
        <v>0.99999997676687602</v>
      </c>
    </row>
    <row r="4582" spans="1:40" x14ac:dyDescent="0.25">
      <c r="A4582" t="str">
        <f>"20190303153900288"</f>
        <v>20190303153900288</v>
      </c>
      <c r="B4582" t="str">
        <f>"1551598740283175"</f>
        <v>1551598740283175</v>
      </c>
      <c r="C4582" t="s">
        <v>40</v>
      </c>
      <c r="D4582">
        <v>3.9673959999999999</v>
      </c>
      <c r="E4582">
        <v>0.51970850000000002</v>
      </c>
      <c r="F4582" t="s">
        <v>66</v>
      </c>
      <c r="G4582">
        <v>-151.66919999999999</v>
      </c>
      <c r="H4582">
        <v>2.8269669999999998</v>
      </c>
      <c r="I4582">
        <v>209.70160000000001</v>
      </c>
      <c r="J4582">
        <v>-317.19929999999999</v>
      </c>
      <c r="K4582">
        <v>1.1211310000000001</v>
      </c>
      <c r="L4582">
        <v>215.4246</v>
      </c>
      <c r="M4582">
        <v>0.99988290000000002</v>
      </c>
      <c r="N4582">
        <v>-1.433122E-2</v>
      </c>
      <c r="O4582">
        <v>5.3815429999999999E-3</v>
      </c>
      <c r="P4582">
        <v>0.99809320000000001</v>
      </c>
      <c r="Q4582">
        <v>-5.9219460000000002E-2</v>
      </c>
      <c r="R4582">
        <v>1.7409580000000001E-2</v>
      </c>
      <c r="S4582">
        <v>3.0093990000000002</v>
      </c>
      <c r="T4582">
        <v>3.0967350000000001E-2</v>
      </c>
      <c r="U4582">
        <v>-0.1038666</v>
      </c>
      <c r="V4582">
        <v>-1.203943E-2</v>
      </c>
      <c r="W4582">
        <v>-4.4907889999999999E-2</v>
      </c>
      <c r="X4582">
        <v>0.99891859999999999</v>
      </c>
      <c r="Y4582">
        <v>3.9871110000000001E-2</v>
      </c>
      <c r="Z4582" s="1">
        <v>5.1736100000000001E-5</v>
      </c>
      <c r="AA4582">
        <v>0.9992048</v>
      </c>
      <c r="AB4582">
        <v>31</v>
      </c>
      <c r="AC4582">
        <v>165.5301</v>
      </c>
      <c r="AD4582">
        <v>1.7058359999999999</v>
      </c>
      <c r="AE4582">
        <v>-5.7229999999999803</v>
      </c>
      <c r="AF4582">
        <v>6.6131144156698296</v>
      </c>
      <c r="AG4582">
        <v>1.7058359999999999</v>
      </c>
      <c r="AH4582">
        <v>165.47934803369799</v>
      </c>
      <c r="AI4582">
        <v>89.409861123458597</v>
      </c>
      <c r="AJ4582">
        <v>87.711484659842199</v>
      </c>
      <c r="AK4582">
        <v>165.62022154432501</v>
      </c>
      <c r="AL4582">
        <v>92.5738981505352</v>
      </c>
      <c r="AM4582">
        <v>90.690521859031804</v>
      </c>
      <c r="AN4582">
        <v>1.00000001794246</v>
      </c>
    </row>
    <row r="4583" spans="1:40" x14ac:dyDescent="0.25">
      <c r="A4583" t="str">
        <f>"20190303153900311"</f>
        <v>20190303153900311</v>
      </c>
      <c r="B4583" t="str">
        <f>"1551598740303673"</f>
        <v>1551598740303673</v>
      </c>
      <c r="C4583" t="s">
        <v>40</v>
      </c>
      <c r="D4583">
        <v>4.0298619999999996</v>
      </c>
      <c r="E4583">
        <v>0.51885579999999998</v>
      </c>
      <c r="F4583" t="s">
        <v>66</v>
      </c>
      <c r="G4583">
        <v>-151.66909999999999</v>
      </c>
      <c r="H4583">
        <v>2.6777920000000002</v>
      </c>
      <c r="I4583">
        <v>209.92760000000001</v>
      </c>
      <c r="J4583">
        <v>-316.89010000000002</v>
      </c>
      <c r="K4583">
        <v>1.121127</v>
      </c>
      <c r="L4583">
        <v>215.4263</v>
      </c>
      <c r="M4583">
        <v>0.99988299999999997</v>
      </c>
      <c r="N4583">
        <v>-1.4327919999999999E-2</v>
      </c>
      <c r="O4583">
        <v>5.3744789999999997E-3</v>
      </c>
      <c r="P4583">
        <v>0.99806110000000003</v>
      </c>
      <c r="Q4583">
        <v>-5.9660400000000002E-2</v>
      </c>
      <c r="R4583">
        <v>1.774452E-2</v>
      </c>
      <c r="S4583">
        <v>3.0091549999999998</v>
      </c>
      <c r="T4583">
        <v>2.829897E-2</v>
      </c>
      <c r="U4583">
        <v>-9.9929809999999994E-2</v>
      </c>
      <c r="V4583">
        <v>-1.2381659999999999E-2</v>
      </c>
      <c r="W4583">
        <v>-4.5352410000000003E-2</v>
      </c>
      <c r="X4583">
        <v>0.99889430000000001</v>
      </c>
      <c r="Y4583">
        <v>3.8561280000000003E-2</v>
      </c>
      <c r="Z4583" s="1">
        <v>3.2439479999999999E-5</v>
      </c>
      <c r="AA4583">
        <v>0.99925629999999999</v>
      </c>
      <c r="AB4583">
        <v>31</v>
      </c>
      <c r="AC4583">
        <v>165.221</v>
      </c>
      <c r="AD4583">
        <v>1.55666499999999</v>
      </c>
      <c r="AE4583">
        <v>-5.4986999999999799</v>
      </c>
      <c r="AF4583">
        <v>6.3861221790293996</v>
      </c>
      <c r="AG4583">
        <v>1.55666499999999</v>
      </c>
      <c r="AH4583">
        <v>165.174411513661</v>
      </c>
      <c r="AI4583">
        <v>89.460442376335294</v>
      </c>
      <c r="AJ4583">
        <v>87.785881655872402</v>
      </c>
      <c r="AK4583">
        <v>165.30514807861201</v>
      </c>
      <c r="AL4583">
        <v>92.599393333519799</v>
      </c>
      <c r="AM4583">
        <v>90.710165762193</v>
      </c>
      <c r="AN4583">
        <v>0.99999998458482597</v>
      </c>
    </row>
    <row r="4584" spans="1:40" x14ac:dyDescent="0.25">
      <c r="A4584" t="str">
        <f>"20190303153900332"</f>
        <v>20190303153900332</v>
      </c>
      <c r="B4584" t="str">
        <f>"1551598740323194"</f>
        <v>1551598740323194</v>
      </c>
      <c r="C4584" t="s">
        <v>40</v>
      </c>
      <c r="D4584">
        <v>3.991724</v>
      </c>
      <c r="E4584">
        <v>0.5180207</v>
      </c>
      <c r="F4584" t="s">
        <v>66</v>
      </c>
      <c r="G4584">
        <v>-138.9136</v>
      </c>
      <c r="H4584">
        <v>2.2170909999999999</v>
      </c>
      <c r="I4584">
        <v>209.9554</v>
      </c>
      <c r="J4584">
        <v>-316.58550000000002</v>
      </c>
      <c r="K4584">
        <v>1.1211139999999999</v>
      </c>
      <c r="L4584">
        <v>215.42789999999999</v>
      </c>
      <c r="M4584">
        <v>0.99988310000000002</v>
      </c>
      <c r="N4584">
        <v>-1.4324699999999999E-2</v>
      </c>
      <c r="O4584">
        <v>5.351153E-3</v>
      </c>
      <c r="P4584">
        <v>0.99800750000000005</v>
      </c>
      <c r="Q4584">
        <v>-6.044675E-2</v>
      </c>
      <c r="R4584">
        <v>1.8085219999999999E-2</v>
      </c>
      <c r="S4584">
        <v>3.0086059999999999</v>
      </c>
      <c r="T4584">
        <v>1.8527269999999998E-2</v>
      </c>
      <c r="U4584">
        <v>-9.248352E-2</v>
      </c>
      <c r="V4584">
        <v>-1.2747E-2</v>
      </c>
      <c r="W4584">
        <v>-4.6142339999999997E-2</v>
      </c>
      <c r="X4584">
        <v>0.99885360000000001</v>
      </c>
      <c r="Y4584">
        <v>3.6073670000000002E-2</v>
      </c>
      <c r="Z4584" s="1">
        <v>-3.7816940000000003E-5</v>
      </c>
      <c r="AA4584">
        <v>0.99934909999999999</v>
      </c>
      <c r="AB4584">
        <v>31</v>
      </c>
      <c r="AC4584">
        <v>177.67189999999999</v>
      </c>
      <c r="AD4584">
        <v>1.095977</v>
      </c>
      <c r="AE4584">
        <v>-5.4724999999999904</v>
      </c>
      <c r="AF4584">
        <v>6.4230245203649403</v>
      </c>
      <c r="AG4584">
        <v>1.095977</v>
      </c>
      <c r="AH4584">
        <v>177.633315759407</v>
      </c>
      <c r="AI4584">
        <v>89.646727021961198</v>
      </c>
      <c r="AJ4584">
        <v>87.929150097332695</v>
      </c>
      <c r="AK4584">
        <v>177.75278134885801</v>
      </c>
      <c r="AL4584">
        <v>92.644700231182298</v>
      </c>
      <c r="AM4584">
        <v>90.731147845182804</v>
      </c>
      <c r="AN4584">
        <v>1.00000005789131</v>
      </c>
    </row>
    <row r="4585" spans="1:40" x14ac:dyDescent="0.25">
      <c r="A4585" t="str">
        <f>"20190303153900354"</f>
        <v>20190303153900354</v>
      </c>
      <c r="B4585" t="str">
        <f>"1551598740342711"</f>
        <v>1551598740342711</v>
      </c>
      <c r="C4585" t="s">
        <v>40</v>
      </c>
      <c r="D4585">
        <v>4.0292919999999999</v>
      </c>
      <c r="E4585">
        <v>0.51720710000000003</v>
      </c>
      <c r="F4585" t="s">
        <v>66</v>
      </c>
      <c r="G4585">
        <v>-121.2533</v>
      </c>
      <c r="H4585">
        <v>1.83432</v>
      </c>
      <c r="I4585">
        <v>209.92009999999999</v>
      </c>
      <c r="J4585">
        <v>-316.2894</v>
      </c>
      <c r="K4585">
        <v>1.1211040000000001</v>
      </c>
      <c r="L4585">
        <v>215.42939999999999</v>
      </c>
      <c r="M4585">
        <v>0.99988339999999998</v>
      </c>
      <c r="N4585">
        <v>-1.432163E-2</v>
      </c>
      <c r="O4585">
        <v>5.3134039999999999E-3</v>
      </c>
      <c r="P4585">
        <v>0.99796949999999995</v>
      </c>
      <c r="Q4585">
        <v>-6.105389E-2</v>
      </c>
      <c r="R4585">
        <v>1.8159789999999999E-2</v>
      </c>
      <c r="S4585">
        <v>3.0082399999999998</v>
      </c>
      <c r="T4585">
        <v>1.0984300000000001E-2</v>
      </c>
      <c r="U4585">
        <v>-8.4823609999999994E-2</v>
      </c>
      <c r="V4585">
        <v>-1.2860949999999999E-2</v>
      </c>
      <c r="W4585">
        <v>-4.6752630000000003E-2</v>
      </c>
      <c r="X4585">
        <v>0.99882369999999998</v>
      </c>
      <c r="Y4585">
        <v>3.3497119999999998E-2</v>
      </c>
      <c r="Z4585" s="1">
        <v>-8.330011E-5</v>
      </c>
      <c r="AA4585">
        <v>0.99943879999999996</v>
      </c>
      <c r="AB4585">
        <v>31</v>
      </c>
      <c r="AC4585">
        <v>195.0361</v>
      </c>
      <c r="AD4585">
        <v>0.71321599999999996</v>
      </c>
      <c r="AE4585">
        <v>-5.5092999999999899</v>
      </c>
      <c r="AF4585">
        <v>6.5455465608394299</v>
      </c>
      <c r="AG4585">
        <v>0.71321599999999996</v>
      </c>
      <c r="AH4585">
        <v>195.00146454882</v>
      </c>
      <c r="AI4585">
        <v>89.790560122173005</v>
      </c>
      <c r="AJ4585">
        <v>88.077494256588395</v>
      </c>
      <c r="AK4585">
        <v>195.112593219985</v>
      </c>
      <c r="AL4585">
        <v>92.679705210956598</v>
      </c>
      <c r="AM4585">
        <v>90.737705198915407</v>
      </c>
      <c r="AN4585">
        <v>0.99999999806425399</v>
      </c>
    </row>
    <row r="4586" spans="1:40" x14ac:dyDescent="0.25">
      <c r="A4586" t="str">
        <f>"20190303153900377"</f>
        <v>20190303153900377</v>
      </c>
      <c r="B4586" t="str">
        <f>"1551598740372968"</f>
        <v>1551598740372968</v>
      </c>
      <c r="C4586" t="s">
        <v>40</v>
      </c>
      <c r="D4586">
        <v>4.0646909999999998</v>
      </c>
      <c r="E4586">
        <v>0.51678359999999901</v>
      </c>
      <c r="F4586" t="s">
        <v>67</v>
      </c>
      <c r="G4586">
        <v>-107.39749999999999</v>
      </c>
      <c r="H4586">
        <v>1.2257739999999999</v>
      </c>
      <c r="I4586">
        <v>209.9693</v>
      </c>
      <c r="J4586">
        <v>-315.96780000000001</v>
      </c>
      <c r="K4586">
        <v>1.1210789999999999</v>
      </c>
      <c r="L4586">
        <v>215.43109999999999</v>
      </c>
      <c r="M4586">
        <v>0.99988370000000004</v>
      </c>
      <c r="N4586">
        <v>-1.431839E-2</v>
      </c>
      <c r="O4586">
        <v>5.2545079999999997E-3</v>
      </c>
      <c r="P4586">
        <v>0.99797139999999995</v>
      </c>
      <c r="Q4586">
        <v>-6.1150910000000003E-2</v>
      </c>
      <c r="R4586">
        <v>1.7715249999999998E-2</v>
      </c>
      <c r="S4586">
        <v>3.0075989999999999</v>
      </c>
      <c r="T4586">
        <v>1.507759E-3</v>
      </c>
      <c r="U4586">
        <v>-7.8613279999999994E-2</v>
      </c>
      <c r="V4586">
        <v>-1.2477490000000001E-2</v>
      </c>
      <c r="W4586">
        <v>-4.685247E-2</v>
      </c>
      <c r="X4586">
        <v>0.99882389999999999</v>
      </c>
      <c r="Y4586">
        <v>3.1381720000000002E-2</v>
      </c>
      <c r="Z4586">
        <v>-1.389928E-4</v>
      </c>
      <c r="AA4586">
        <v>0.99950749999999999</v>
      </c>
      <c r="AB4586">
        <v>31</v>
      </c>
      <c r="AC4586">
        <v>208.5703</v>
      </c>
      <c r="AD4586">
        <v>0.104694999999999</v>
      </c>
      <c r="AE4586">
        <v>-5.4617999999999798</v>
      </c>
      <c r="AF4586">
        <v>6.5577695806860303</v>
      </c>
      <c r="AG4586">
        <v>0.104694999999999</v>
      </c>
      <c r="AH4586">
        <v>208.53866556919101</v>
      </c>
      <c r="AI4586">
        <v>89.971249372838301</v>
      </c>
      <c r="AJ4586">
        <v>88.198853233213995</v>
      </c>
      <c r="AK4586">
        <v>208.64177515611601</v>
      </c>
      <c r="AL4586">
        <v>92.685431858449505</v>
      </c>
      <c r="AM4586">
        <v>90.715712080170704</v>
      </c>
      <c r="AN4586">
        <v>1.0000000124565001</v>
      </c>
    </row>
    <row r="4587" spans="1:40" x14ac:dyDescent="0.25">
      <c r="A4587" t="str">
        <f>"20190303153900401"</f>
        <v>20190303153900401</v>
      </c>
      <c r="B4587" t="str">
        <f>"1551598740393462"</f>
        <v>1551598740393462</v>
      </c>
      <c r="C4587" t="s">
        <v>40</v>
      </c>
      <c r="D4587">
        <v>4.0565309999999997</v>
      </c>
      <c r="E4587">
        <v>0.516354599999999</v>
      </c>
      <c r="F4587" t="s">
        <v>67</v>
      </c>
      <c r="G4587">
        <v>-107.39749999999999</v>
      </c>
      <c r="H4587">
        <v>1.0680510000000001</v>
      </c>
      <c r="I4587">
        <v>210.1208</v>
      </c>
      <c r="J4587">
        <v>-315.654</v>
      </c>
      <c r="K4587">
        <v>1.1210639999999901</v>
      </c>
      <c r="L4587">
        <v>215.43260000000001</v>
      </c>
      <c r="M4587">
        <v>0.9998842</v>
      </c>
      <c r="N4587">
        <v>-1.4315110000000001E-2</v>
      </c>
      <c r="O4587">
        <v>5.1805089999999998E-3</v>
      </c>
      <c r="P4587">
        <v>0.99798109999999995</v>
      </c>
      <c r="Q4587">
        <v>-6.1282360000000001E-2</v>
      </c>
      <c r="R4587">
        <v>1.6689200000000001E-2</v>
      </c>
      <c r="S4587">
        <v>3.0073850000000002</v>
      </c>
      <c r="T4587">
        <v>-7.6389310000000001E-4</v>
      </c>
      <c r="U4587">
        <v>-7.6568600000000001E-2</v>
      </c>
      <c r="V4587">
        <v>-1.152676E-2</v>
      </c>
      <c r="W4587">
        <v>-4.698687E-2</v>
      </c>
      <c r="X4587">
        <v>0.99882899999999997</v>
      </c>
      <c r="Y4587">
        <v>3.0630399999999999E-2</v>
      </c>
      <c r="Z4587">
        <v>-1.5034049999999901E-4</v>
      </c>
      <c r="AA4587">
        <v>0.99953080000000005</v>
      </c>
      <c r="AB4587">
        <v>31</v>
      </c>
      <c r="AC4587">
        <v>208.25649999999999</v>
      </c>
      <c r="AD4587">
        <v>-5.3012999999999699E-2</v>
      </c>
      <c r="AE4587">
        <v>-5.3117999999999999</v>
      </c>
      <c r="AF4587">
        <v>6.3907134316379102</v>
      </c>
      <c r="AG4587">
        <v>-5.3012999999999699E-2</v>
      </c>
      <c r="AH4587">
        <v>208.22617071965001</v>
      </c>
      <c r="AI4587">
        <v>90.014580259258494</v>
      </c>
      <c r="AJ4587">
        <v>88.242074937554605</v>
      </c>
      <c r="AK4587">
        <v>208.32422375017299</v>
      </c>
      <c r="AL4587">
        <v>92.693140930362503</v>
      </c>
      <c r="AM4587">
        <v>90.661179624704204</v>
      </c>
      <c r="AN4587">
        <v>1.0000000016947399</v>
      </c>
    </row>
    <row r="4588" spans="1:40" x14ac:dyDescent="0.25">
      <c r="A4588" t="str">
        <f>"20190303153900422"</f>
        <v>20190303153900422</v>
      </c>
      <c r="B4588" t="str">
        <f>"1551598740412982"</f>
        <v>1551598740412982</v>
      </c>
      <c r="C4588" t="s">
        <v>40</v>
      </c>
      <c r="D4588">
        <v>4.0619670000000001</v>
      </c>
      <c r="E4588">
        <v>0.51594819999999997</v>
      </c>
      <c r="F4588" t="s">
        <v>67</v>
      </c>
      <c r="G4588">
        <v>-107.39749999999999</v>
      </c>
      <c r="H4588">
        <v>0.81833599999999995</v>
      </c>
      <c r="I4588">
        <v>210.1267</v>
      </c>
      <c r="J4588">
        <v>-315.35640000000001</v>
      </c>
      <c r="K4588">
        <v>1.121054</v>
      </c>
      <c r="L4588">
        <v>215.4341</v>
      </c>
      <c r="M4588">
        <v>0.99988460000000001</v>
      </c>
      <c r="N4588">
        <v>-1.431203E-2</v>
      </c>
      <c r="O4588">
        <v>5.0982980000000002E-3</v>
      </c>
      <c r="P4588">
        <v>0.99798699999999996</v>
      </c>
      <c r="Q4588">
        <v>-6.1648380000000003E-2</v>
      </c>
      <c r="R4588">
        <v>1.489323E-2</v>
      </c>
      <c r="S4588">
        <v>3.0070800000000002</v>
      </c>
      <c r="T4588">
        <v>-4.370451E-3</v>
      </c>
      <c r="U4588">
        <v>-7.6614379999999996E-2</v>
      </c>
      <c r="V4588">
        <v>-9.8138749999999997E-3</v>
      </c>
      <c r="W4588">
        <v>-4.7356059999999998E-2</v>
      </c>
      <c r="X4588">
        <v>0.99882979999999999</v>
      </c>
      <c r="Y4588">
        <v>3.0565800000000001E-2</v>
      </c>
      <c r="Z4588">
        <v>-1.754359E-4</v>
      </c>
      <c r="AA4588">
        <v>0.9995328</v>
      </c>
      <c r="AB4588">
        <v>31</v>
      </c>
      <c r="AC4588">
        <v>207.9589</v>
      </c>
      <c r="AD4588">
        <v>-0.30271799999999999</v>
      </c>
      <c r="AE4588">
        <v>-5.3074000000000003</v>
      </c>
      <c r="AF4588">
        <v>6.3676625504305298</v>
      </c>
      <c r="AG4588">
        <v>-0.30271799999999999</v>
      </c>
      <c r="AH4588">
        <v>207.928694945697</v>
      </c>
      <c r="AI4588">
        <v>90.083376294234697</v>
      </c>
      <c r="AJ4588">
        <v>88.245907332907706</v>
      </c>
      <c r="AK4588">
        <v>208.02639483095501</v>
      </c>
      <c r="AL4588">
        <v>92.714317703332199</v>
      </c>
      <c r="AM4588">
        <v>90.562934270676493</v>
      </c>
      <c r="AN4588">
        <v>0.99999993896463701</v>
      </c>
    </row>
    <row r="4589" spans="1:40" x14ac:dyDescent="0.25">
      <c r="A4589" t="str">
        <f>"20190303153900444"</f>
        <v>20190303153900444</v>
      </c>
      <c r="B4589" t="str">
        <f>"1551598740433482"</f>
        <v>1551598740433482</v>
      </c>
      <c r="C4589" t="s">
        <v>40</v>
      </c>
      <c r="D4589">
        <v>4.1286779999999998</v>
      </c>
      <c r="E4589">
        <v>0.51559840000000001</v>
      </c>
      <c r="F4589" t="s">
        <v>67</v>
      </c>
      <c r="G4589">
        <v>-107.39749999999999</v>
      </c>
      <c r="H4589">
        <v>0.53223569999999998</v>
      </c>
      <c r="I4589">
        <v>209.96520000000001</v>
      </c>
      <c r="J4589">
        <v>-315.05829999999997</v>
      </c>
      <c r="K4589">
        <v>1.1210519999999999</v>
      </c>
      <c r="L4589">
        <v>215.43549999999999</v>
      </c>
      <c r="M4589">
        <v>0.99988509999999997</v>
      </c>
      <c r="N4589">
        <v>-1.4308929999999999E-2</v>
      </c>
      <c r="O4589">
        <v>5.0075620000000001E-3</v>
      </c>
      <c r="P4589">
        <v>0.99799320000000002</v>
      </c>
      <c r="Q4589">
        <v>-6.1872370000000003E-2</v>
      </c>
      <c r="R4589">
        <v>1.3466250000000001E-2</v>
      </c>
      <c r="S4589">
        <v>3.0067439999999999</v>
      </c>
      <c r="T4589">
        <v>-8.5126160000000006E-3</v>
      </c>
      <c r="U4589">
        <v>-7.9071039999999995E-2</v>
      </c>
      <c r="V4589">
        <v>-8.477811E-3</v>
      </c>
      <c r="W4589">
        <v>-4.758329E-2</v>
      </c>
      <c r="X4589">
        <v>0.99883129999999998</v>
      </c>
      <c r="Y4589">
        <v>3.129374E-2</v>
      </c>
      <c r="Z4589">
        <v>-2.1076520000000001E-4</v>
      </c>
      <c r="AA4589">
        <v>0.99951020000000002</v>
      </c>
      <c r="AB4589">
        <v>31</v>
      </c>
      <c r="AC4589">
        <v>207.66079999999999</v>
      </c>
      <c r="AD4589">
        <v>-0.58881629999999996</v>
      </c>
      <c r="AE4589">
        <v>-5.4702999999999804</v>
      </c>
      <c r="AF4589">
        <v>6.5101598792887501</v>
      </c>
      <c r="AG4589">
        <v>-0.58881629999999996</v>
      </c>
      <c r="AH4589">
        <v>207.62913200262199</v>
      </c>
      <c r="AI4589">
        <v>90.1624050867498</v>
      </c>
      <c r="AJ4589">
        <v>88.204093436615395</v>
      </c>
      <c r="AK4589">
        <v>207.732003654832</v>
      </c>
      <c r="AL4589">
        <v>92.727351539283404</v>
      </c>
      <c r="AM4589">
        <v>90.486299463939304</v>
      </c>
      <c r="AN4589">
        <v>1.0000000043131301</v>
      </c>
    </row>
    <row r="4590" spans="1:40" x14ac:dyDescent="0.25">
      <c r="A4590" t="str">
        <f>"20190303153900459"</f>
        <v>20190303153900459</v>
      </c>
      <c r="B4590" t="str">
        <f>"1551598740453000"</f>
        <v>1551598740453000</v>
      </c>
      <c r="C4590" t="s">
        <v>40</v>
      </c>
      <c r="D4590">
        <v>4.1013089999999996</v>
      </c>
      <c r="E4590">
        <v>0.51536300000000002</v>
      </c>
      <c r="F4590" t="s">
        <v>66</v>
      </c>
      <c r="G4590">
        <v>-121.06140000000001</v>
      </c>
      <c r="H4590">
        <v>0.3687725</v>
      </c>
      <c r="I4590">
        <v>210.221</v>
      </c>
      <c r="J4590">
        <v>-314.86279999999999</v>
      </c>
      <c r="K4590">
        <v>1.121048</v>
      </c>
      <c r="L4590">
        <v>215.43639999999999</v>
      </c>
      <c r="M4590">
        <v>0.99988549999999998</v>
      </c>
      <c r="N4590">
        <v>-1.4306879999999999E-2</v>
      </c>
      <c r="O4590">
        <v>4.945489E-3</v>
      </c>
      <c r="P4590">
        <v>0.99797689999999994</v>
      </c>
      <c r="Q4590">
        <v>-6.2269890000000001E-2</v>
      </c>
      <c r="R4590">
        <v>1.2848160000000001E-2</v>
      </c>
      <c r="S4590">
        <v>3.0064389999999999</v>
      </c>
      <c r="T4590">
        <v>-1.1657829999999999E-2</v>
      </c>
      <c r="U4590">
        <v>-8.0810549999999995E-2</v>
      </c>
      <c r="V4590">
        <v>-7.9223139999999997E-3</v>
      </c>
      <c r="W4590">
        <v>-4.7983169999999999E-2</v>
      </c>
      <c r="X4590">
        <v>0.9988167</v>
      </c>
      <c r="Y4590">
        <v>3.1811939999999997E-2</v>
      </c>
      <c r="Z4590">
        <v>-2.377158E-4</v>
      </c>
      <c r="AA4590">
        <v>0.99949379999999999</v>
      </c>
      <c r="AB4590">
        <v>31</v>
      </c>
      <c r="AC4590">
        <v>193.8014</v>
      </c>
      <c r="AD4590">
        <v>-0.75227549999999999</v>
      </c>
      <c r="AE4590">
        <v>-5.2154000000000096</v>
      </c>
      <c r="AF4590">
        <v>6.17378397347857</v>
      </c>
      <c r="AG4590">
        <v>-0.75227549999999999</v>
      </c>
      <c r="AH4590">
        <v>193.770316661956</v>
      </c>
      <c r="AI4590">
        <v>90.2223257660727</v>
      </c>
      <c r="AJ4590">
        <v>88.175096434641404</v>
      </c>
      <c r="AK4590">
        <v>193.87010379698501</v>
      </c>
      <c r="AL4590">
        <v>92.750289260271302</v>
      </c>
      <c r="AM4590">
        <v>90.454443380506802</v>
      </c>
      <c r="AN4590">
        <v>0.99999997393062601</v>
      </c>
    </row>
    <row r="4591" spans="1:40" x14ac:dyDescent="0.25">
      <c r="A4591" t="str">
        <f>"20190303153900478"</f>
        <v>20190303153900478</v>
      </c>
      <c r="B4591" t="str">
        <f>"1551598740473495"</f>
        <v>1551598740473495</v>
      </c>
      <c r="C4591" t="s">
        <v>40</v>
      </c>
      <c r="D4591">
        <v>4.080813</v>
      </c>
      <c r="E4591">
        <v>0.51499859999999997</v>
      </c>
      <c r="F4591" t="s">
        <v>66</v>
      </c>
      <c r="G4591">
        <v>-120.1022</v>
      </c>
      <c r="H4591">
        <v>0.1681957</v>
      </c>
      <c r="I4591">
        <v>210.2208</v>
      </c>
      <c r="J4591">
        <v>-314.60109999999997</v>
      </c>
      <c r="K4591">
        <v>1.121046</v>
      </c>
      <c r="L4591">
        <v>215.43770000000001</v>
      </c>
      <c r="M4591">
        <v>0.99988600000000005</v>
      </c>
      <c r="N4591">
        <v>-1.430413E-2</v>
      </c>
      <c r="O4591">
        <v>4.8612489999999998E-3</v>
      </c>
      <c r="P4591">
        <v>0.99793849999999995</v>
      </c>
      <c r="Q4591">
        <v>-6.3047229999999996E-2</v>
      </c>
      <c r="R4591">
        <v>1.200999E-2</v>
      </c>
      <c r="S4591">
        <v>3.006195</v>
      </c>
      <c r="T4591">
        <v>-1.4707090000000001E-2</v>
      </c>
      <c r="U4591">
        <v>-8.0505370000000007E-2</v>
      </c>
      <c r="V4591">
        <v>-7.1685780000000001E-3</v>
      </c>
      <c r="W4591">
        <v>-4.8763899999999999E-2</v>
      </c>
      <c r="X4591">
        <v>0.99878460000000002</v>
      </c>
      <c r="Y4591">
        <v>3.1628209999999997E-2</v>
      </c>
      <c r="Z4591">
        <v>-2.5786830000000001E-4</v>
      </c>
      <c r="AA4591">
        <v>0.99949969999999999</v>
      </c>
      <c r="AB4591">
        <v>31</v>
      </c>
      <c r="AC4591">
        <v>194.49889999999999</v>
      </c>
      <c r="AD4591">
        <v>-0.95285030000000004</v>
      </c>
      <c r="AE4591">
        <v>-5.2169000000000096</v>
      </c>
      <c r="AF4591">
        <v>6.1622947624334197</v>
      </c>
      <c r="AG4591">
        <v>-0.95285030000000004</v>
      </c>
      <c r="AH4591">
        <v>194.46657421781799</v>
      </c>
      <c r="AI4591">
        <v>90.280595650411897</v>
      </c>
      <c r="AJ4591">
        <v>88.185007495665502</v>
      </c>
      <c r="AK4591">
        <v>194.56651892976799</v>
      </c>
      <c r="AL4591">
        <v>92.795074175542595</v>
      </c>
      <c r="AM4591">
        <v>90.411222011239005</v>
      </c>
      <c r="AN4591">
        <v>0.99999999182545596</v>
      </c>
    </row>
    <row r="4592" spans="1:40" x14ac:dyDescent="0.25">
      <c r="A4592" t="str">
        <f>"20190303153900500"</f>
        <v>20190303153900500</v>
      </c>
      <c r="B4592" t="str">
        <f>"1551598740493015"</f>
        <v>1551598740493015</v>
      </c>
      <c r="C4592" t="s">
        <v>40</v>
      </c>
      <c r="D4592">
        <v>4.2326499999999996</v>
      </c>
      <c r="E4592">
        <v>0.51465640000000001</v>
      </c>
      <c r="F4592" t="s">
        <v>43</v>
      </c>
      <c r="G4592">
        <v>-139.6472</v>
      </c>
      <c r="H4592">
        <v>-0.05</v>
      </c>
      <c r="I4592">
        <v>210.7723</v>
      </c>
      <c r="J4592">
        <v>-314.28870000000001</v>
      </c>
      <c r="K4592">
        <v>1.1210439999999999</v>
      </c>
      <c r="L4592">
        <v>215.4391</v>
      </c>
      <c r="M4592">
        <v>0.99988650000000001</v>
      </c>
      <c r="N4592">
        <v>-1.430083E-2</v>
      </c>
      <c r="O4592">
        <v>4.7609849999999997E-3</v>
      </c>
      <c r="P4592">
        <v>0.9979131</v>
      </c>
      <c r="Q4592">
        <v>-6.3519190000000003E-2</v>
      </c>
      <c r="R4592">
        <v>1.161703E-2</v>
      </c>
      <c r="S4592">
        <v>3.00589</v>
      </c>
      <c r="T4592">
        <v>-2.0119789999999999E-2</v>
      </c>
      <c r="U4592">
        <v>-8.0154420000000004E-2</v>
      </c>
      <c r="V4592">
        <v>-6.8764710000000003E-3</v>
      </c>
      <c r="W4592">
        <v>-4.9239539999999998E-2</v>
      </c>
      <c r="X4592">
        <v>0.99876330000000002</v>
      </c>
      <c r="Y4592">
        <v>3.1413450000000002E-2</v>
      </c>
      <c r="Z4592">
        <v>-2.9357519999999998E-4</v>
      </c>
      <c r="AA4592">
        <v>0.99950640000000002</v>
      </c>
      <c r="AB4592">
        <v>31</v>
      </c>
      <c r="AC4592">
        <v>174.64150000000001</v>
      </c>
      <c r="AD4592">
        <v>-1.171044</v>
      </c>
      <c r="AE4592">
        <v>-4.6667999999999896</v>
      </c>
      <c r="AF4592">
        <v>5.4980505849300902</v>
      </c>
      <c r="AG4592">
        <v>-1.171044</v>
      </c>
      <c r="AH4592">
        <v>174.60945415695599</v>
      </c>
      <c r="AI4592">
        <v>90.384066472540596</v>
      </c>
      <c r="AJ4592">
        <v>88.196483417417795</v>
      </c>
      <c r="AK4592">
        <v>174.69991810322799</v>
      </c>
      <c r="AL4592">
        <v>92.822359169098206</v>
      </c>
      <c r="AM4592">
        <v>90.3944743874127</v>
      </c>
      <c r="AN4592">
        <v>0.99999997378985706</v>
      </c>
    </row>
    <row r="4593" spans="1:40" x14ac:dyDescent="0.25">
      <c r="A4593" t="str">
        <f>"20190303153900522"</f>
        <v>20190303153900522</v>
      </c>
      <c r="B4593" t="str">
        <f>"1551598740513511"</f>
        <v>1551598740513511</v>
      </c>
      <c r="C4593" t="s">
        <v>40</v>
      </c>
      <c r="D4593">
        <v>4.0219620000000003</v>
      </c>
      <c r="E4593">
        <v>0.5145246</v>
      </c>
      <c r="F4593" t="s">
        <v>51</v>
      </c>
      <c r="G4593">
        <v>-180.14510000000001</v>
      </c>
      <c r="H4593" s="1">
        <v>2.4661730000000001E-6</v>
      </c>
      <c r="I4593">
        <v>211.93180000000001</v>
      </c>
      <c r="J4593">
        <v>-313.99059999999997</v>
      </c>
      <c r="K4593">
        <v>1.121043</v>
      </c>
      <c r="L4593">
        <v>215.44040000000001</v>
      </c>
      <c r="M4593">
        <v>0.99988699999999997</v>
      </c>
      <c r="N4593">
        <v>-1.429766E-2</v>
      </c>
      <c r="O4593">
        <v>4.6664559999999898E-3</v>
      </c>
      <c r="P4593">
        <v>0.99788140000000003</v>
      </c>
      <c r="Q4593">
        <v>-6.3947500000000004E-2</v>
      </c>
      <c r="R4593">
        <v>1.19915E-2</v>
      </c>
      <c r="S4593">
        <v>3.005585</v>
      </c>
      <c r="T4593">
        <v>-2.5117750000000001E-2</v>
      </c>
      <c r="U4593">
        <v>-7.8582760000000001E-2</v>
      </c>
      <c r="V4593">
        <v>-7.3454180000000003E-3</v>
      </c>
      <c r="W4593">
        <v>-4.9671279999999998E-2</v>
      </c>
      <c r="X4593">
        <v>0.99873860000000003</v>
      </c>
      <c r="Y4593">
        <v>3.079871E-2</v>
      </c>
      <c r="Z4593">
        <v>-3.2118199999999999E-4</v>
      </c>
      <c r="AA4593">
        <v>0.99952549999999996</v>
      </c>
      <c r="AB4593">
        <v>30</v>
      </c>
      <c r="AC4593">
        <v>133.84549999999899</v>
      </c>
      <c r="AD4593">
        <v>-1.121040533827</v>
      </c>
      <c r="AE4593">
        <v>-3.5085999999999999</v>
      </c>
      <c r="AF4593">
        <v>4.1329199804169603</v>
      </c>
      <c r="AG4593">
        <v>-1.121040533827</v>
      </c>
      <c r="AH4593">
        <v>133.818286931069</v>
      </c>
      <c r="AI4593">
        <v>90.479745935588895</v>
      </c>
      <c r="AJ4593">
        <v>88.231006914561803</v>
      </c>
      <c r="AK4593">
        <v>133.88678678872199</v>
      </c>
      <c r="AL4593">
        <v>92.847126307048896</v>
      </c>
      <c r="AM4593">
        <v>90.421385397598002</v>
      </c>
      <c r="AN4593">
        <v>0.99999999117619598</v>
      </c>
    </row>
    <row r="4594" spans="1:40" x14ac:dyDescent="0.25">
      <c r="A4594" t="str">
        <f>"20190303153900556"</f>
        <v>20190303153900556</v>
      </c>
      <c r="B4594" t="str">
        <f>"1551598740553528"</f>
        <v>1551598740553528</v>
      </c>
      <c r="C4594" t="s">
        <v>40</v>
      </c>
      <c r="D4594">
        <v>3.9818600000000002</v>
      </c>
      <c r="E4594">
        <v>0.51470280000000002</v>
      </c>
      <c r="F4594" t="s">
        <v>51</v>
      </c>
      <c r="G4594">
        <v>-190.48089999999999</v>
      </c>
      <c r="H4594" s="1">
        <v>4.0812839999999998E-6</v>
      </c>
      <c r="I4594">
        <v>212.3058</v>
      </c>
      <c r="J4594">
        <v>-313.54289999999997</v>
      </c>
      <c r="K4594">
        <v>1.121032</v>
      </c>
      <c r="L4594">
        <v>215.44229999999999</v>
      </c>
      <c r="M4594">
        <v>0.99988790000000005</v>
      </c>
      <c r="N4594">
        <v>-1.427258E-2</v>
      </c>
      <c r="O4594">
        <v>4.5272079999999996E-3</v>
      </c>
      <c r="P4594">
        <v>0.9978572</v>
      </c>
      <c r="Q4594">
        <v>-6.4132679999999997E-2</v>
      </c>
      <c r="R4594">
        <v>1.29712E-2</v>
      </c>
      <c r="S4594">
        <v>3.0055239999999999</v>
      </c>
      <c r="T4594">
        <v>-2.7279729999999999E-2</v>
      </c>
      <c r="U4594">
        <v>-7.6278689999999996E-2</v>
      </c>
      <c r="V4594">
        <v>-8.4644779999999992E-3</v>
      </c>
      <c r="W4594">
        <v>-4.9881519999999999E-2</v>
      </c>
      <c r="X4594">
        <v>0.99871929999999998</v>
      </c>
      <c r="Y4594">
        <v>2.989406E-2</v>
      </c>
      <c r="Z4594">
        <v>-3.2550830000000001E-4</v>
      </c>
      <c r="AA4594">
        <v>0.99955300000000002</v>
      </c>
      <c r="AB4594">
        <v>30</v>
      </c>
      <c r="AC4594">
        <v>123.061999999999</v>
      </c>
      <c r="AD4594">
        <v>-1.1210279187159999</v>
      </c>
      <c r="AE4594">
        <v>-3.1364999999999799</v>
      </c>
      <c r="AF4594">
        <v>3.6933455887781199</v>
      </c>
      <c r="AG4594">
        <v>-1.1210279187159999</v>
      </c>
      <c r="AH4594">
        <v>123.03633438963099</v>
      </c>
      <c r="AI4594">
        <v>90.521792806182106</v>
      </c>
      <c r="AJ4594">
        <v>88.280592571560007</v>
      </c>
      <c r="AK4594">
        <v>123.096860582509</v>
      </c>
      <c r="AL4594">
        <v>92.859187020645095</v>
      </c>
      <c r="AM4594">
        <v>90.485589147488795</v>
      </c>
      <c r="AN4594">
        <v>1.0000000268089</v>
      </c>
    </row>
    <row r="4595" spans="1:40" x14ac:dyDescent="0.25">
      <c r="A4595" t="str">
        <f>"20190303153900579"</f>
        <v>20190303153900579</v>
      </c>
      <c r="B4595" t="str">
        <f>"1551598740573047"</f>
        <v>1551598740573047</v>
      </c>
      <c r="C4595" t="s">
        <v>40</v>
      </c>
      <c r="D4595">
        <v>3.9409809999999998</v>
      </c>
      <c r="E4595">
        <v>0.51460799999999995</v>
      </c>
      <c r="F4595" t="s">
        <v>51</v>
      </c>
      <c r="G4595">
        <v>-179.93729999999999</v>
      </c>
      <c r="H4595">
        <v>7.0403610000000005E-2</v>
      </c>
      <c r="I4595">
        <v>212.1163</v>
      </c>
      <c r="J4595">
        <v>-313.22289999999998</v>
      </c>
      <c r="K4595">
        <v>1.121016</v>
      </c>
      <c r="L4595">
        <v>215.4436</v>
      </c>
      <c r="M4595">
        <v>0.99988929999999998</v>
      </c>
      <c r="N4595">
        <v>-1.4204100000000001E-2</v>
      </c>
      <c r="O4595">
        <v>4.4286320000000001E-3</v>
      </c>
      <c r="P4595">
        <v>0.99784649999999997</v>
      </c>
      <c r="Q4595">
        <v>-6.4145250000000001E-2</v>
      </c>
      <c r="R4595">
        <v>1.370206E-2</v>
      </c>
      <c r="S4595">
        <v>3.00589</v>
      </c>
      <c r="T4595">
        <v>-2.3637289999999998E-2</v>
      </c>
      <c r="U4595">
        <v>-7.4829099999999996E-2</v>
      </c>
      <c r="V4595">
        <v>-9.2940239999999997E-3</v>
      </c>
      <c r="W4595">
        <v>-4.9962409999999999E-2</v>
      </c>
      <c r="X4595">
        <v>0.99870780000000003</v>
      </c>
      <c r="Y4595">
        <v>2.9311279999999999E-2</v>
      </c>
      <c r="Z4595">
        <v>-2.9537079999999999E-4</v>
      </c>
      <c r="AA4595">
        <v>0.99957030000000002</v>
      </c>
      <c r="AB4595">
        <v>30</v>
      </c>
      <c r="AC4595">
        <v>133.28559999999999</v>
      </c>
      <c r="AD4595">
        <v>-1.05061239</v>
      </c>
      <c r="AE4595">
        <v>-3.3273000000000001</v>
      </c>
      <c r="AF4595">
        <v>3.91735655448027</v>
      </c>
      <c r="AG4595">
        <v>-1.05061239</v>
      </c>
      <c r="AH4595">
        <v>133.26128111002299</v>
      </c>
      <c r="AI4595">
        <v>90.451507131802103</v>
      </c>
      <c r="AJ4595">
        <v>88.316214744250004</v>
      </c>
      <c r="AK4595">
        <v>133.322985684591</v>
      </c>
      <c r="AL4595">
        <v>92.863827695134006</v>
      </c>
      <c r="AM4595">
        <v>90.533181956221597</v>
      </c>
      <c r="AN4595">
        <v>0.999999945537979</v>
      </c>
    </row>
    <row r="4596" spans="1:40" x14ac:dyDescent="0.25">
      <c r="A4596" t="str">
        <f>"20190303153900602"</f>
        <v>20190303153900602</v>
      </c>
      <c r="B4596" t="str">
        <f>"1551598740593543"</f>
        <v>1551598740593543</v>
      </c>
      <c r="C4596" t="s">
        <v>40</v>
      </c>
      <c r="D4596">
        <v>3.9266760000000001</v>
      </c>
      <c r="E4596">
        <v>0.51469089999999995</v>
      </c>
      <c r="F4596" t="s">
        <v>51</v>
      </c>
      <c r="G4596">
        <v>-177.2518</v>
      </c>
      <c r="H4596">
        <v>7.9981839999999998E-2</v>
      </c>
      <c r="I4596">
        <v>212.18510000000001</v>
      </c>
      <c r="J4596">
        <v>-312.91669999999999</v>
      </c>
      <c r="K4596">
        <v>1.1209899999999999</v>
      </c>
      <c r="L4596">
        <v>215.44489999999999</v>
      </c>
      <c r="M4596">
        <v>0.99989130000000004</v>
      </c>
      <c r="N4596">
        <v>-1.4099479999999999E-2</v>
      </c>
      <c r="O4596">
        <v>4.3348240000000001E-3</v>
      </c>
      <c r="P4596">
        <v>0.99784050000000002</v>
      </c>
      <c r="Q4596">
        <v>-6.4191739999999997E-2</v>
      </c>
      <c r="R4596">
        <v>1.39328E-2</v>
      </c>
      <c r="S4596">
        <v>3.005951</v>
      </c>
      <c r="T4596">
        <v>-2.3014429999999999E-2</v>
      </c>
      <c r="U4596">
        <v>-7.2036740000000002E-2</v>
      </c>
      <c r="V4596">
        <v>-9.6187340000000003E-3</v>
      </c>
      <c r="W4596">
        <v>-5.0113339999999999E-2</v>
      </c>
      <c r="X4596">
        <v>0.99869719999999995</v>
      </c>
      <c r="Y4596">
        <v>2.8289180000000001E-2</v>
      </c>
      <c r="Z4596">
        <v>-2.7982670000000002E-4</v>
      </c>
      <c r="AA4596">
        <v>0.99959980000000004</v>
      </c>
      <c r="AB4596">
        <v>30</v>
      </c>
      <c r="AC4596">
        <v>135.66489999999999</v>
      </c>
      <c r="AD4596">
        <v>-1.0410081599999901</v>
      </c>
      <c r="AE4596">
        <v>-3.2597999999999798</v>
      </c>
      <c r="AF4596">
        <v>3.84768481213138</v>
      </c>
      <c r="AG4596">
        <v>-1.0410081599999901</v>
      </c>
      <c r="AH4596">
        <v>135.64151099482501</v>
      </c>
      <c r="AI4596">
        <v>90.439542594595494</v>
      </c>
      <c r="AJ4596">
        <v>88.375150817540103</v>
      </c>
      <c r="AK4596">
        <v>135.700065885622</v>
      </c>
      <c r="AL4596">
        <v>92.872486088856903</v>
      </c>
      <c r="AM4596">
        <v>90.551814726932506</v>
      </c>
      <c r="AN4596">
        <v>0.99999998208877805</v>
      </c>
    </row>
    <row r="4597" spans="1:40" x14ac:dyDescent="0.25">
      <c r="A4597" t="str">
        <f>"20190303153900623"</f>
        <v>20190303153900623</v>
      </c>
      <c r="B4597" t="str">
        <f>"1551598740613062"</f>
        <v>1551598740613062</v>
      </c>
      <c r="C4597" t="s">
        <v>40</v>
      </c>
      <c r="D4597">
        <v>3.9264950000000001</v>
      </c>
      <c r="E4597">
        <v>0.51467169999999995</v>
      </c>
      <c r="F4597" t="s">
        <v>43</v>
      </c>
      <c r="G4597">
        <v>-142.24279999999999</v>
      </c>
      <c r="H4597">
        <v>-0.05</v>
      </c>
      <c r="I4597">
        <v>211.34809999999999</v>
      </c>
      <c r="J4597">
        <v>-312.62599999999998</v>
      </c>
      <c r="K4597">
        <v>1.1209559999999901</v>
      </c>
      <c r="L4597">
        <v>215.446</v>
      </c>
      <c r="M4597">
        <v>0.99989349999999999</v>
      </c>
      <c r="N4597">
        <v>-1.3959020000000001E-2</v>
      </c>
      <c r="O4597">
        <v>4.2472789999999996E-3</v>
      </c>
      <c r="P4597">
        <v>0.99780789999999997</v>
      </c>
      <c r="Q4597">
        <v>-6.4737840000000005E-2</v>
      </c>
      <c r="R4597">
        <v>1.372747E-2</v>
      </c>
      <c r="S4597">
        <v>3.0061650000000002</v>
      </c>
      <c r="T4597">
        <v>-2.0625230000000001E-2</v>
      </c>
      <c r="U4597">
        <v>-7.2158810000000004E-2</v>
      </c>
      <c r="V4597">
        <v>-9.5017299999999999E-3</v>
      </c>
      <c r="W4597">
        <v>-5.0800140000000001E-2</v>
      </c>
      <c r="X4597">
        <v>0.99866370000000004</v>
      </c>
      <c r="Y4597">
        <v>2.824084E-2</v>
      </c>
      <c r="Z4597">
        <v>-2.6387099999999999E-4</v>
      </c>
      <c r="AA4597">
        <v>0.99960110000000002</v>
      </c>
      <c r="AB4597">
        <v>30</v>
      </c>
      <c r="AC4597">
        <v>170.38319999999999</v>
      </c>
      <c r="AD4597">
        <v>-1.1709560000000001</v>
      </c>
      <c r="AE4597">
        <v>-4.0979000000000099</v>
      </c>
      <c r="AF4597">
        <v>4.8213709806815999</v>
      </c>
      <c r="AG4597">
        <v>-1.1709560000000001</v>
      </c>
      <c r="AH4597">
        <v>170.35621481696799</v>
      </c>
      <c r="AI4597">
        <v>90.393662939044205</v>
      </c>
      <c r="AJ4597">
        <v>88.378864613582806</v>
      </c>
      <c r="AK4597">
        <v>170.428450332837</v>
      </c>
      <c r="AL4597">
        <v>92.911886787611905</v>
      </c>
      <c r="AM4597">
        <v>90.545121045740004</v>
      </c>
      <c r="AN4597">
        <v>1.0000000613973401</v>
      </c>
    </row>
    <row r="4598" spans="1:40" x14ac:dyDescent="0.25">
      <c r="A4598" t="str">
        <f>"20190303153900645"</f>
        <v>20190303153900645</v>
      </c>
      <c r="B4598" t="str">
        <f>"1551598740632582"</f>
        <v>1551598740632582</v>
      </c>
      <c r="C4598" t="s">
        <v>40</v>
      </c>
      <c r="D4598">
        <v>4.0049609999999998</v>
      </c>
      <c r="E4598">
        <v>0.51453099999999996</v>
      </c>
      <c r="F4598" t="s">
        <v>43</v>
      </c>
      <c r="G4598">
        <v>-147.60319999999999</v>
      </c>
      <c r="H4598">
        <v>-0.05</v>
      </c>
      <c r="I4598">
        <v>211.4632</v>
      </c>
      <c r="J4598">
        <v>-312.32870000000003</v>
      </c>
      <c r="K4598">
        <v>1.120919</v>
      </c>
      <c r="L4598">
        <v>215.44720000000001</v>
      </c>
      <c r="M4598">
        <v>0.99989629999999996</v>
      </c>
      <c r="N4598">
        <v>-1.3789539999999999E-2</v>
      </c>
      <c r="O4598">
        <v>4.156636E-3</v>
      </c>
      <c r="P4598">
        <v>0.99783149999999998</v>
      </c>
      <c r="Q4598">
        <v>-6.4520400000000006E-2</v>
      </c>
      <c r="R4598">
        <v>1.3017010000000001E-2</v>
      </c>
      <c r="S4598">
        <v>3.006256</v>
      </c>
      <c r="T4598">
        <v>-2.1331550000000001E-2</v>
      </c>
      <c r="U4598">
        <v>-7.2555540000000002E-2</v>
      </c>
      <c r="V4598">
        <v>-8.8812630000000004E-3</v>
      </c>
      <c r="W4598">
        <v>-5.0751850000000001E-2</v>
      </c>
      <c r="X4598">
        <v>0.9986718</v>
      </c>
      <c r="Y4598">
        <v>2.8281250000000001E-2</v>
      </c>
      <c r="Z4598">
        <v>-2.6753699999999998E-4</v>
      </c>
      <c r="AA4598">
        <v>0.99960000000000004</v>
      </c>
      <c r="AB4598">
        <v>30</v>
      </c>
      <c r="AC4598">
        <v>164.72550000000001</v>
      </c>
      <c r="AD4598">
        <v>-1.170919</v>
      </c>
      <c r="AE4598">
        <v>-3.984</v>
      </c>
      <c r="AF4598">
        <v>4.6684988621015302</v>
      </c>
      <c r="AG4598">
        <v>-1.170919</v>
      </c>
      <c r="AH4598">
        <v>164.69919802388</v>
      </c>
      <c r="AI4598">
        <v>90.407170483924503</v>
      </c>
      <c r="AJ4598">
        <v>88.376351068644993</v>
      </c>
      <c r="AK4598">
        <v>164.769511022638</v>
      </c>
      <c r="AL4598">
        <v>92.909116592515403</v>
      </c>
      <c r="AM4598">
        <v>90.509522220024706</v>
      </c>
      <c r="AN4598">
        <v>0.99999999561306796</v>
      </c>
    </row>
    <row r="4599" spans="1:40" x14ac:dyDescent="0.25">
      <c r="A4599" t="str">
        <f>"20190303153900667"</f>
        <v>20190303153900667</v>
      </c>
      <c r="B4599" t="str">
        <f>"1551598740662838"</f>
        <v>1551598740662838</v>
      </c>
      <c r="C4599" t="s">
        <v>40</v>
      </c>
      <c r="D4599">
        <v>3.9630019999999999</v>
      </c>
      <c r="E4599">
        <v>0.51425120000000002</v>
      </c>
      <c r="F4599" t="s">
        <v>43</v>
      </c>
      <c r="G4599">
        <v>-145.84379999999999</v>
      </c>
      <c r="H4599">
        <v>-0.05</v>
      </c>
      <c r="I4599">
        <v>211.37729999999999</v>
      </c>
      <c r="J4599">
        <v>-312.02030000000002</v>
      </c>
      <c r="K4599">
        <v>1.1208929999999999</v>
      </c>
      <c r="L4599">
        <v>215.44839999999999</v>
      </c>
      <c r="M4599">
        <v>0.99989930000000005</v>
      </c>
      <c r="N4599">
        <v>-1.3605620000000001E-2</v>
      </c>
      <c r="O4599">
        <v>4.0585530000000003E-3</v>
      </c>
      <c r="P4599">
        <v>0.99780930000000001</v>
      </c>
      <c r="Q4599">
        <v>-6.4911679999999999E-2</v>
      </c>
      <c r="R4599">
        <v>1.2784530000000001E-2</v>
      </c>
      <c r="S4599">
        <v>3.0061040000000001</v>
      </c>
      <c r="T4599">
        <v>-2.1142480000000002E-2</v>
      </c>
      <c r="U4599">
        <v>-7.3486330000000002E-2</v>
      </c>
      <c r="V4599">
        <v>-8.7462379999999999E-3</v>
      </c>
      <c r="W4599">
        <v>-5.1327200000000003E-2</v>
      </c>
      <c r="X4599">
        <v>0.99864359999999996</v>
      </c>
      <c r="Y4599">
        <v>2.8493770000000002E-2</v>
      </c>
      <c r="Z4599">
        <v>-2.6739409999999999E-4</v>
      </c>
      <c r="AA4599">
        <v>0.99959390000000004</v>
      </c>
      <c r="AB4599">
        <v>30</v>
      </c>
      <c r="AC4599">
        <v>166.1765</v>
      </c>
      <c r="AD4599">
        <v>-1.170893</v>
      </c>
      <c r="AE4599">
        <v>-4.0711000000000004</v>
      </c>
      <c r="AF4599">
        <v>4.74532951207813</v>
      </c>
      <c r="AG4599">
        <v>-1.170893</v>
      </c>
      <c r="AH4599">
        <v>166.15036285999599</v>
      </c>
      <c r="AI4599">
        <v>90.403602929522293</v>
      </c>
      <c r="AJ4599">
        <v>88.3640513399925</v>
      </c>
      <c r="AK4599">
        <v>166.222237444646</v>
      </c>
      <c r="AL4599">
        <v>92.9421247021981</v>
      </c>
      <c r="AM4599">
        <v>90.501790340219401</v>
      </c>
      <c r="AN4599">
        <v>1.0000000089799701</v>
      </c>
    </row>
    <row r="4600" spans="1:40" x14ac:dyDescent="0.25">
      <c r="A4600" t="str">
        <f>"20190303153900691"</f>
        <v>20190303153900691</v>
      </c>
      <c r="B4600" t="str">
        <f>"1551598740683338"</f>
        <v>1551598740683338</v>
      </c>
      <c r="C4600" t="s">
        <v>40</v>
      </c>
      <c r="D4600">
        <v>3.9894720000000001</v>
      </c>
      <c r="E4600">
        <v>0.51405970000000001</v>
      </c>
      <c r="F4600" t="s">
        <v>43</v>
      </c>
      <c r="G4600">
        <v>-154.0016</v>
      </c>
      <c r="H4600">
        <v>-0.05</v>
      </c>
      <c r="I4600">
        <v>211.6696</v>
      </c>
      <c r="J4600">
        <v>-311.71210000000002</v>
      </c>
      <c r="K4600">
        <v>1.120868</v>
      </c>
      <c r="L4600">
        <v>215.4495</v>
      </c>
      <c r="M4600">
        <v>0.99990199999999996</v>
      </c>
      <c r="N4600">
        <v>-1.3426E-2</v>
      </c>
      <c r="O4600">
        <v>3.9590490000000001E-3</v>
      </c>
      <c r="P4600">
        <v>0.99778630000000001</v>
      </c>
      <c r="Q4600">
        <v>-6.5419249999999998E-2</v>
      </c>
      <c r="R4600">
        <v>1.195568E-2</v>
      </c>
      <c r="S4600">
        <v>3.0060730000000002</v>
      </c>
      <c r="T4600">
        <v>-2.2274490000000001E-2</v>
      </c>
      <c r="U4600">
        <v>-7.1884160000000002E-2</v>
      </c>
      <c r="V4600">
        <v>-8.0169030000000006E-3</v>
      </c>
      <c r="W4600">
        <v>-5.20146999999999E-2</v>
      </c>
      <c r="X4600">
        <v>0.99861409999999995</v>
      </c>
      <c r="Y4600">
        <v>2.786201E-2</v>
      </c>
      <c r="Z4600">
        <v>-2.6647280000000002E-4</v>
      </c>
      <c r="AA4600">
        <v>0.99961169999999999</v>
      </c>
      <c r="AB4600">
        <v>30</v>
      </c>
      <c r="AC4600">
        <v>157.7105</v>
      </c>
      <c r="AD4600">
        <v>-1.170868</v>
      </c>
      <c r="AE4600">
        <v>-3.7798999999999898</v>
      </c>
      <c r="AF4600">
        <v>4.4040676648262904</v>
      </c>
      <c r="AG4600">
        <v>-1.170868</v>
      </c>
      <c r="AH4600">
        <v>157.68561128099</v>
      </c>
      <c r="AI4600">
        <v>90.425266534107607</v>
      </c>
      <c r="AJ4600">
        <v>88.400178005190298</v>
      </c>
      <c r="AK4600">
        <v>157.75144610725201</v>
      </c>
      <c r="AL4600">
        <v>92.981568386602603</v>
      </c>
      <c r="AM4600">
        <v>90.459962300874295</v>
      </c>
      <c r="AN4600">
        <v>0.99999996023430404</v>
      </c>
    </row>
    <row r="4601" spans="1:40" x14ac:dyDescent="0.25">
      <c r="A4601" t="str">
        <f>"20190303153900712"</f>
        <v>20190303153900712</v>
      </c>
      <c r="B4601" t="str">
        <f>"1551598740702859"</f>
        <v>1551598740702859</v>
      </c>
      <c r="C4601" t="s">
        <v>40</v>
      </c>
      <c r="D4601">
        <v>4.0055269999999998</v>
      </c>
      <c r="E4601">
        <v>0.51386809999999905</v>
      </c>
      <c r="F4601" t="s">
        <v>43</v>
      </c>
      <c r="G4601">
        <v>-157.54640000000001</v>
      </c>
      <c r="H4601">
        <v>-0.05</v>
      </c>
      <c r="I4601">
        <v>211.71680000000001</v>
      </c>
      <c r="J4601">
        <v>-311.41649999999998</v>
      </c>
      <c r="K4601">
        <v>1.1208450000000001</v>
      </c>
      <c r="L4601">
        <v>215.45050000000001</v>
      </c>
      <c r="M4601">
        <v>0.99990460000000003</v>
      </c>
      <c r="N4601">
        <v>-1.326428E-2</v>
      </c>
      <c r="O4601">
        <v>3.864443E-3</v>
      </c>
      <c r="P4601">
        <v>0.99779949999999995</v>
      </c>
      <c r="Q4601">
        <v>-6.5227289999999993E-2</v>
      </c>
      <c r="R4601">
        <v>1.192151E-2</v>
      </c>
      <c r="S4601">
        <v>3.0060730000000002</v>
      </c>
      <c r="T4601">
        <v>-2.2830719999999999E-2</v>
      </c>
      <c r="U4601">
        <v>-7.2784420000000002E-2</v>
      </c>
      <c r="V4601">
        <v>-8.076916E-3</v>
      </c>
      <c r="W4601">
        <v>-5.1984099999999998E-2</v>
      </c>
      <c r="X4601">
        <v>0.99861529999999998</v>
      </c>
      <c r="Y4601">
        <v>2.8066549999999999E-2</v>
      </c>
      <c r="Z4601">
        <v>-2.7083949999999999E-4</v>
      </c>
      <c r="AA4601">
        <v>0.99960599999999999</v>
      </c>
      <c r="AB4601">
        <v>30</v>
      </c>
      <c r="AC4601">
        <v>153.87009999999901</v>
      </c>
      <c r="AD4601">
        <v>-1.1708449999999999</v>
      </c>
      <c r="AE4601">
        <v>-3.73369999999999</v>
      </c>
      <c r="AF4601">
        <v>4.3280961814957699</v>
      </c>
      <c r="AG4601">
        <v>-1.1708449999999999</v>
      </c>
      <c r="AH4601">
        <v>153.845618251171</v>
      </c>
      <c r="AI4601">
        <v>90.435869756115807</v>
      </c>
      <c r="AJ4601">
        <v>88.388538739719294</v>
      </c>
      <c r="AK4601">
        <v>153.91094031827399</v>
      </c>
      <c r="AL4601">
        <v>92.979812491871797</v>
      </c>
      <c r="AM4601">
        <v>90.4634047841094</v>
      </c>
      <c r="AN4601">
        <v>1.0000000503094799</v>
      </c>
    </row>
    <row r="4602" spans="1:40" x14ac:dyDescent="0.25">
      <c r="A4602" t="str">
        <f>"20190303153900735"</f>
        <v>20190303153900735</v>
      </c>
      <c r="B4602" t="str">
        <f>"1551598740723351"</f>
        <v>1551598740723351</v>
      </c>
      <c r="C4602" t="s">
        <v>40</v>
      </c>
      <c r="D4602">
        <v>3.983215</v>
      </c>
      <c r="E4602">
        <v>0.5136385</v>
      </c>
      <c r="F4602" t="s">
        <v>43</v>
      </c>
      <c r="G4602">
        <v>-147.50569999999999</v>
      </c>
      <c r="H4602">
        <v>-0.05</v>
      </c>
      <c r="I4602">
        <v>211.5301</v>
      </c>
      <c r="J4602">
        <v>-311.11540000000002</v>
      </c>
      <c r="K4602">
        <v>1.1208290000000001</v>
      </c>
      <c r="L4602">
        <v>215.45160000000001</v>
      </c>
      <c r="M4602">
        <v>0.99990690000000004</v>
      </c>
      <c r="N4602">
        <v>-1.311445E-2</v>
      </c>
      <c r="O4602">
        <v>3.7698979999999998E-3</v>
      </c>
      <c r="P4602">
        <v>0.99782150000000003</v>
      </c>
      <c r="Q4602">
        <v>-6.4977809999999997E-2</v>
      </c>
      <c r="R4602">
        <v>1.1415160000000001E-2</v>
      </c>
      <c r="S4602">
        <v>3.0060730000000002</v>
      </c>
      <c r="T4602">
        <v>-2.1472930000000001E-2</v>
      </c>
      <c r="U4602">
        <v>-7.1899409999999997E-2</v>
      </c>
      <c r="V4602">
        <v>-7.6655359999999997E-3</v>
      </c>
      <c r="W4602">
        <v>-5.1884119999999999E-2</v>
      </c>
      <c r="X4602">
        <v>0.9986237</v>
      </c>
      <c r="Y4602">
        <v>2.7678120000000001E-2</v>
      </c>
      <c r="Z4602">
        <v>-2.5786139999999999E-4</v>
      </c>
      <c r="AA4602">
        <v>0.99961690000000003</v>
      </c>
      <c r="AB4602">
        <v>30</v>
      </c>
      <c r="AC4602">
        <v>163.6097</v>
      </c>
      <c r="AD4602">
        <v>-1.1708289999999999</v>
      </c>
      <c r="AE4602">
        <v>-3.9215</v>
      </c>
      <c r="AF4602">
        <v>4.5380847845992598</v>
      </c>
      <c r="AG4602">
        <v>-1.1708289999999999</v>
      </c>
      <c r="AH4602">
        <v>163.58537957961599</v>
      </c>
      <c r="AI4602">
        <v>90.409918159714906</v>
      </c>
      <c r="AJ4602">
        <v>88.410943349544397</v>
      </c>
      <c r="AK4602">
        <v>163.65250216928101</v>
      </c>
      <c r="AL4602">
        <v>92.974076444358602</v>
      </c>
      <c r="AM4602">
        <v>90.439799530591301</v>
      </c>
      <c r="AN4602">
        <v>1.0000000082760101</v>
      </c>
    </row>
    <row r="4603" spans="1:40" x14ac:dyDescent="0.25">
      <c r="A4603" t="str">
        <f>"20190303153900756"</f>
        <v>20190303153900756</v>
      </c>
      <c r="B4603" t="str">
        <f>"1551598740752630"</f>
        <v>1551598740752630</v>
      </c>
      <c r="C4603" t="s">
        <v>40</v>
      </c>
      <c r="D4603">
        <v>3.9885519999999999</v>
      </c>
      <c r="E4603">
        <v>0.51332310000000003</v>
      </c>
      <c r="F4603" t="s">
        <v>43</v>
      </c>
      <c r="G4603">
        <v>-129.5162</v>
      </c>
      <c r="H4603">
        <v>-0.05</v>
      </c>
      <c r="I4603">
        <v>211.12110000000001</v>
      </c>
      <c r="J4603">
        <v>-310.81200000000001</v>
      </c>
      <c r="K4603">
        <v>1.1208229999999999</v>
      </c>
      <c r="L4603">
        <v>215.45269999999999</v>
      </c>
      <c r="M4603">
        <v>0.99990900000000005</v>
      </c>
      <c r="N4603">
        <v>-1.299147E-2</v>
      </c>
      <c r="O4603">
        <v>3.6735840000000001E-3</v>
      </c>
      <c r="P4603">
        <v>0.99784320000000004</v>
      </c>
      <c r="Q4603">
        <v>-6.4710500000000004E-2</v>
      </c>
      <c r="R4603">
        <v>1.103196E-2</v>
      </c>
      <c r="S4603">
        <v>3.0061339999999999</v>
      </c>
      <c r="T4603">
        <v>-1.9381519999999999E-2</v>
      </c>
      <c r="U4603">
        <v>-7.1685789999999999E-2</v>
      </c>
      <c r="V4603">
        <v>-7.3784549999999999E-3</v>
      </c>
      <c r="W4603">
        <v>-5.173941E-2</v>
      </c>
      <c r="X4603">
        <v>0.9986334</v>
      </c>
      <c r="Y4603">
        <v>2.751062E-2</v>
      </c>
      <c r="Z4603">
        <v>-2.4337250000000001E-4</v>
      </c>
      <c r="AA4603">
        <v>0.99962150000000005</v>
      </c>
      <c r="AB4603">
        <v>30</v>
      </c>
      <c r="AC4603">
        <v>181.29580000000001</v>
      </c>
      <c r="AD4603">
        <v>-1.1708229999999999</v>
      </c>
      <c r="AE4603">
        <v>-4.3315999999999697</v>
      </c>
      <c r="AF4603">
        <v>4.9974239263408204</v>
      </c>
      <c r="AG4603">
        <v>-1.1708229999999999</v>
      </c>
      <c r="AH4603">
        <v>181.27110671234001</v>
      </c>
      <c r="AI4603">
        <v>90.369925508410702</v>
      </c>
      <c r="AJ4603">
        <v>88.420825045989304</v>
      </c>
      <c r="AK4603">
        <v>181.343759752338</v>
      </c>
      <c r="AL4603">
        <v>92.965773933071404</v>
      </c>
      <c r="AM4603">
        <v>90.423325154416403</v>
      </c>
      <c r="AN4603">
        <v>1.0000000378704399</v>
      </c>
    </row>
    <row r="4604" spans="1:40" x14ac:dyDescent="0.25">
      <c r="A4604" t="str">
        <f>"20190303153900779"</f>
        <v>20190303153900779</v>
      </c>
      <c r="B4604" t="str">
        <f>"1551598740773130"</f>
        <v>1551598740773130</v>
      </c>
      <c r="C4604" t="s">
        <v>40</v>
      </c>
      <c r="D4604">
        <v>3.9707569999999999</v>
      </c>
      <c r="E4604">
        <v>0.51312380000000002</v>
      </c>
      <c r="F4604" t="s">
        <v>43</v>
      </c>
      <c r="G4604">
        <v>-103.9336</v>
      </c>
      <c r="H4604">
        <v>-0.05</v>
      </c>
      <c r="I4604">
        <v>210.63489999999999</v>
      </c>
      <c r="J4604">
        <v>-310.50220000000002</v>
      </c>
      <c r="K4604">
        <v>1.120816</v>
      </c>
      <c r="L4604">
        <v>215.4537</v>
      </c>
      <c r="M4604">
        <v>0.99991039999999998</v>
      </c>
      <c r="N4604">
        <v>-1.2908849999999999E-2</v>
      </c>
      <c r="O4604">
        <v>3.5756170000000001E-3</v>
      </c>
      <c r="P4604">
        <v>0.99787210000000004</v>
      </c>
      <c r="Q4604">
        <v>-6.4278740000000001E-2</v>
      </c>
      <c r="R4604">
        <v>1.095756E-2</v>
      </c>
      <c r="S4604">
        <v>3.0061650000000002</v>
      </c>
      <c r="T4604">
        <v>-1.701331E-2</v>
      </c>
      <c r="U4604">
        <v>-7.0007319999999998E-2</v>
      </c>
      <c r="V4604">
        <v>-7.4019200000000002E-3</v>
      </c>
      <c r="W4604">
        <v>-5.1389770000000001E-2</v>
      </c>
      <c r="X4604">
        <v>0.99865130000000002</v>
      </c>
      <c r="Y4604">
        <v>2.6854900000000001E-2</v>
      </c>
      <c r="Z4604">
        <v>-2.2343020000000001E-4</v>
      </c>
      <c r="AA4604">
        <v>0.99963930000000001</v>
      </c>
      <c r="AB4604">
        <v>30</v>
      </c>
      <c r="AC4604">
        <v>206.5686</v>
      </c>
      <c r="AD4604">
        <v>-1.1708160000000001</v>
      </c>
      <c r="AE4604">
        <v>-4.8188000000000004</v>
      </c>
      <c r="AF4604">
        <v>5.5572624186978796</v>
      </c>
      <c r="AG4604">
        <v>-1.1708160000000001</v>
      </c>
      <c r="AH4604">
        <v>206.54341598229101</v>
      </c>
      <c r="AI4604">
        <v>90.324666989430497</v>
      </c>
      <c r="AJ4604">
        <v>88.458770139553195</v>
      </c>
      <c r="AK4604">
        <v>206.621481606657</v>
      </c>
      <c r="AL4604">
        <v>92.945714292189194</v>
      </c>
      <c r="AM4604">
        <v>90.4246637543867</v>
      </c>
      <c r="AN4604">
        <v>1.00000005793601</v>
      </c>
    </row>
    <row r="4605" spans="1:40" x14ac:dyDescent="0.25">
      <c r="A4605" t="str">
        <f>"20190303153900803"</f>
        <v>20190303153900803</v>
      </c>
      <c r="B4605" t="str">
        <f>"1551598740792647"</f>
        <v>1551598740792647</v>
      </c>
      <c r="C4605" t="s">
        <v>40</v>
      </c>
      <c r="D4605">
        <v>3.9786619999999999</v>
      </c>
      <c r="E4605">
        <v>0.51291330000000002</v>
      </c>
      <c r="F4605" t="s">
        <v>67</v>
      </c>
      <c r="G4605">
        <v>-107.39749999999999</v>
      </c>
      <c r="H4605">
        <v>0.103366</v>
      </c>
      <c r="I4605">
        <v>210.81559999999999</v>
      </c>
      <c r="J4605">
        <v>-310.19029999999998</v>
      </c>
      <c r="K4605">
        <v>1.1208340000000001</v>
      </c>
      <c r="L4605">
        <v>215.4547</v>
      </c>
      <c r="M4605">
        <v>0.99991079999999999</v>
      </c>
      <c r="N4605">
        <v>-1.290295E-2</v>
      </c>
      <c r="O4605">
        <v>3.482794E-3</v>
      </c>
      <c r="P4605">
        <v>0.99788840000000001</v>
      </c>
      <c r="Q4605">
        <v>-6.4026360000000004E-2</v>
      </c>
      <c r="R4605">
        <v>1.093534E-2</v>
      </c>
      <c r="S4605">
        <v>3.006195</v>
      </c>
      <c r="T4605">
        <v>-1.5058759999999999E-2</v>
      </c>
      <c r="U4605">
        <v>-6.8649290000000002E-2</v>
      </c>
      <c r="V4605">
        <v>-7.4720169999999897E-3</v>
      </c>
      <c r="W4605">
        <v>-5.1143090000000002E-2</v>
      </c>
      <c r="X4605">
        <v>0.99866339999999998</v>
      </c>
      <c r="Y4605">
        <v>2.6310739999999999E-2</v>
      </c>
      <c r="Z4605">
        <v>-2.081749E-4</v>
      </c>
      <c r="AA4605">
        <v>0.99965380000000004</v>
      </c>
      <c r="AB4605">
        <v>30</v>
      </c>
      <c r="AC4605">
        <v>202.7928</v>
      </c>
      <c r="AD4605">
        <v>-1.017468</v>
      </c>
      <c r="AE4605">
        <v>-4.6391000000000098</v>
      </c>
      <c r="AF4605">
        <v>5.3452816412750996</v>
      </c>
      <c r="AG4605">
        <v>-1.017468</v>
      </c>
      <c r="AH4605">
        <v>202.77030981063399</v>
      </c>
      <c r="AI4605">
        <v>90.287398526935107</v>
      </c>
      <c r="AJ4605">
        <v>88.489960556645599</v>
      </c>
      <c r="AK4605">
        <v>202.843303605655</v>
      </c>
      <c r="AL4605">
        <v>92.931562081232499</v>
      </c>
      <c r="AM4605">
        <v>90.428680023827994</v>
      </c>
      <c r="AN4605">
        <v>1.00000001659617</v>
      </c>
    </row>
    <row r="4606" spans="1:40" x14ac:dyDescent="0.25">
      <c r="A4606" t="str">
        <f>"20190303153900824"</f>
        <v>20190303153900824</v>
      </c>
      <c r="B4606" t="str">
        <f>"1551598740813142"</f>
        <v>1551598740813142</v>
      </c>
      <c r="C4606" t="s">
        <v>40</v>
      </c>
      <c r="D4606">
        <v>4.045331</v>
      </c>
      <c r="E4606">
        <v>0.51276369999999905</v>
      </c>
      <c r="F4606" t="s">
        <v>67</v>
      </c>
      <c r="G4606">
        <v>-107.39749999999999</v>
      </c>
      <c r="H4606">
        <v>0.21198359999999999</v>
      </c>
      <c r="I4606">
        <v>210.93809999999999</v>
      </c>
      <c r="J4606">
        <v>-309.88819999999998</v>
      </c>
      <c r="K4606">
        <v>1.120871</v>
      </c>
      <c r="L4606">
        <v>215.4556</v>
      </c>
      <c r="M4606">
        <v>0.99991019999999997</v>
      </c>
      <c r="N4606">
        <v>-1.2974360000000001E-2</v>
      </c>
      <c r="O4606">
        <v>3.3908250000000001E-3</v>
      </c>
      <c r="P4606">
        <v>0.99784799999999996</v>
      </c>
      <c r="Q4606">
        <v>-6.4643649999999997E-2</v>
      </c>
      <c r="R4606">
        <v>1.098872E-2</v>
      </c>
      <c r="S4606">
        <v>3.0062869999999999</v>
      </c>
      <c r="T4606">
        <v>-1.347244E-2</v>
      </c>
      <c r="U4606">
        <v>-6.6955570000000006E-2</v>
      </c>
      <c r="V4606">
        <v>-7.6170439999999999E-3</v>
      </c>
      <c r="W4606">
        <v>-5.1689569999999997E-2</v>
      </c>
      <c r="X4606">
        <v>0.99863420000000003</v>
      </c>
      <c r="Y4606">
        <v>2.565535E-2</v>
      </c>
      <c r="Z4606">
        <v>-1.951442E-4</v>
      </c>
      <c r="AA4606">
        <v>0.99967079999999997</v>
      </c>
      <c r="AB4606">
        <v>30</v>
      </c>
      <c r="AC4606">
        <v>202.4907</v>
      </c>
      <c r="AD4606">
        <v>-0.90888740000000001</v>
      </c>
      <c r="AE4606">
        <v>-4.5175000000000098</v>
      </c>
      <c r="AF4606">
        <v>5.2040374743919102</v>
      </c>
      <c r="AG4606">
        <v>-0.90888740000000001</v>
      </c>
      <c r="AH4606">
        <v>202.47013924032299</v>
      </c>
      <c r="AI4606">
        <v>90.257113814571497</v>
      </c>
      <c r="AJ4606">
        <v>88.527665606019895</v>
      </c>
      <c r="AK4606">
        <v>202.53904652272999</v>
      </c>
      <c r="AL4606">
        <v>92.962914454675499</v>
      </c>
      <c r="AM4606">
        <v>90.437012882596804</v>
      </c>
      <c r="AN4606">
        <v>1.0000000482078599</v>
      </c>
    </row>
    <row r="4607" spans="1:40" x14ac:dyDescent="0.25">
      <c r="A4607" t="str">
        <f>"20190303153900846"</f>
        <v>20190303153900846</v>
      </c>
      <c r="B4607" t="str">
        <f>"1551598740843399"</f>
        <v>1551598740843399</v>
      </c>
      <c r="C4607" t="s">
        <v>40</v>
      </c>
      <c r="D4607">
        <v>3.9864839999999999</v>
      </c>
      <c r="E4607">
        <v>0.51249540000000005</v>
      </c>
      <c r="F4607" t="s">
        <v>67</v>
      </c>
      <c r="G4607">
        <v>-107.39749999999999</v>
      </c>
      <c r="H4607">
        <v>0.1297285</v>
      </c>
      <c r="I4607">
        <v>211.04740000000001</v>
      </c>
      <c r="J4607">
        <v>-309.60050000000001</v>
      </c>
      <c r="K4607">
        <v>1.120906</v>
      </c>
      <c r="L4607">
        <v>215.45650000000001</v>
      </c>
      <c r="M4607">
        <v>0.99990900000000005</v>
      </c>
      <c r="N4607">
        <v>-1.307356E-2</v>
      </c>
      <c r="O4607">
        <v>3.2998099999999998E-3</v>
      </c>
      <c r="P4607">
        <v>0.99778489999999997</v>
      </c>
      <c r="Q4607">
        <v>-6.5556760000000006E-2</v>
      </c>
      <c r="R4607">
        <v>1.1299429999999999E-2</v>
      </c>
      <c r="S4607">
        <v>3.0062259999999998</v>
      </c>
      <c r="T4607">
        <v>-1.4713999999999901E-2</v>
      </c>
      <c r="U4607">
        <v>-6.5444950000000002E-2</v>
      </c>
      <c r="V4607">
        <v>-8.0181260000000004E-3</v>
      </c>
      <c r="W4607">
        <v>-5.2504339999999997E-2</v>
      </c>
      <c r="X4607">
        <v>0.99858849999999999</v>
      </c>
      <c r="Y4607">
        <v>2.5062629999999999E-2</v>
      </c>
      <c r="Z4607">
        <v>-1.9819790000000001E-4</v>
      </c>
      <c r="AA4607">
        <v>0.99968590000000002</v>
      </c>
      <c r="AB4607">
        <v>30</v>
      </c>
      <c r="AC4607">
        <v>202.203</v>
      </c>
      <c r="AD4607">
        <v>-0.99117750000000004</v>
      </c>
      <c r="AE4607">
        <v>-4.4090999999999898</v>
      </c>
      <c r="AF4607">
        <v>5.0762426456280902</v>
      </c>
      <c r="AG4607">
        <v>-0.99117750000000004</v>
      </c>
      <c r="AH4607">
        <v>202.182492658298</v>
      </c>
      <c r="AI4607">
        <v>90.280795538511796</v>
      </c>
      <c r="AJ4607">
        <v>88.561763758265101</v>
      </c>
      <c r="AK4607">
        <v>202.24863660790601</v>
      </c>
      <c r="AL4607">
        <v>93.009660978781298</v>
      </c>
      <c r="AM4607">
        <v>90.4600442593091</v>
      </c>
      <c r="AN4607">
        <v>0.99999999419781804</v>
      </c>
    </row>
    <row r="4608" spans="1:40" x14ac:dyDescent="0.25">
      <c r="A4608" t="str">
        <f>"20190303153900868"</f>
        <v>20190303153900868</v>
      </c>
      <c r="B4608" t="str">
        <f>"1551598740862919"</f>
        <v>1551598740862919</v>
      </c>
      <c r="C4608" t="s">
        <v>40</v>
      </c>
      <c r="D4608">
        <v>4.0025810000000002</v>
      </c>
      <c r="E4608">
        <v>0.51233859999999998</v>
      </c>
      <c r="F4608" t="s">
        <v>43</v>
      </c>
      <c r="G4608">
        <v>-101.3082</v>
      </c>
      <c r="H4608">
        <v>-0.05</v>
      </c>
      <c r="I4608">
        <v>211.12719999999999</v>
      </c>
      <c r="J4608">
        <v>-309.30110000000002</v>
      </c>
      <c r="K4608">
        <v>1.120932</v>
      </c>
      <c r="L4608">
        <v>215.45740000000001</v>
      </c>
      <c r="M4608">
        <v>0.99990800000000002</v>
      </c>
      <c r="N4608">
        <v>-1.318161E-2</v>
      </c>
      <c r="O4608">
        <v>3.2042400000000001E-3</v>
      </c>
      <c r="P4608">
        <v>0.99772289999999997</v>
      </c>
      <c r="Q4608">
        <v>-6.6478599999999999E-2</v>
      </c>
      <c r="R4608">
        <v>1.138899E-2</v>
      </c>
      <c r="S4608">
        <v>3.0062869999999999</v>
      </c>
      <c r="T4608">
        <v>-1.68997E-2</v>
      </c>
      <c r="U4608">
        <v>-6.2484739999999997E-2</v>
      </c>
      <c r="V4608">
        <v>-8.2034740000000005E-3</v>
      </c>
      <c r="W4608">
        <v>-5.3318999999999998E-2</v>
      </c>
      <c r="X4608">
        <v>0.99854390000000004</v>
      </c>
      <c r="Y4608">
        <v>2.3982570000000002E-2</v>
      </c>
      <c r="Z4608">
        <v>-2.012692E-4</v>
      </c>
      <c r="AA4608">
        <v>0.9997123</v>
      </c>
      <c r="AB4608">
        <v>30</v>
      </c>
      <c r="AC4608">
        <v>207.99289999999999</v>
      </c>
      <c r="AD4608">
        <v>-1.1709319999999901</v>
      </c>
      <c r="AE4608">
        <v>-4.3302000000000103</v>
      </c>
      <c r="AF4608">
        <v>4.9965365464966798</v>
      </c>
      <c r="AG4608">
        <v>-1.1709319999999901</v>
      </c>
      <c r="AH4608">
        <v>207.97136743261601</v>
      </c>
      <c r="AI4608">
        <v>90.322493429713006</v>
      </c>
      <c r="AJ4608">
        <v>88.6237269200074</v>
      </c>
      <c r="AK4608">
        <v>208.03467530919301</v>
      </c>
      <c r="AL4608">
        <v>93.056402815381603</v>
      </c>
      <c r="AM4608">
        <v>90.470699248634105</v>
      </c>
      <c r="AN4608">
        <v>1.00000006648693</v>
      </c>
    </row>
    <row r="4609" spans="1:40" x14ac:dyDescent="0.25">
      <c r="A4609" t="str">
        <f>"20190303153900892"</f>
        <v>20190303153900892</v>
      </c>
      <c r="B4609" t="str">
        <f>"1551598740883415"</f>
        <v>1551598740883415</v>
      </c>
      <c r="C4609" t="s">
        <v>40</v>
      </c>
      <c r="D4609">
        <v>4.0060630000000002</v>
      </c>
      <c r="E4609">
        <v>0.51216459999999997</v>
      </c>
      <c r="F4609" t="s">
        <v>43</v>
      </c>
      <c r="G4609">
        <v>-124.6508</v>
      </c>
      <c r="H4609">
        <v>-0.05</v>
      </c>
      <c r="I4609">
        <v>211.7132</v>
      </c>
      <c r="J4609">
        <v>-308.98919999999998</v>
      </c>
      <c r="K4609">
        <v>1.120951</v>
      </c>
      <c r="L4609">
        <v>215.45830000000001</v>
      </c>
      <c r="M4609">
        <v>0.99990679999999998</v>
      </c>
      <c r="N4609">
        <v>-1.329316E-2</v>
      </c>
      <c r="O4609">
        <v>3.1080650000000001E-3</v>
      </c>
      <c r="P4609">
        <v>0.9977338</v>
      </c>
      <c r="Q4609">
        <v>-6.6242599999999999E-2</v>
      </c>
      <c r="R4609">
        <v>1.180025E-2</v>
      </c>
      <c r="S4609">
        <v>3.006256</v>
      </c>
      <c r="T4609">
        <v>-1.9063710000000001E-2</v>
      </c>
      <c r="U4609">
        <v>-6.0958859999999997E-2</v>
      </c>
      <c r="V4609">
        <v>-8.7107279999999992E-3</v>
      </c>
      <c r="W4609">
        <v>-5.2971360000000002E-2</v>
      </c>
      <c r="X4609">
        <v>0.99855799999999995</v>
      </c>
      <c r="Y4609">
        <v>2.3379250000000001E-2</v>
      </c>
      <c r="Z4609">
        <v>-2.079327E-4</v>
      </c>
      <c r="AA4609">
        <v>0.99972669999999997</v>
      </c>
      <c r="AB4609">
        <v>30</v>
      </c>
      <c r="AC4609">
        <v>184.33840000000001</v>
      </c>
      <c r="AD4609">
        <v>-1.1709510000000001</v>
      </c>
      <c r="AE4609">
        <v>-3.7450999999999999</v>
      </c>
      <c r="AF4609">
        <v>4.3178941154717299</v>
      </c>
      <c r="AG4609">
        <v>-1.1709510000000001</v>
      </c>
      <c r="AH4609">
        <v>184.318434217489</v>
      </c>
      <c r="AI4609">
        <v>90.363887893521706</v>
      </c>
      <c r="AJ4609">
        <v>88.658018831548304</v>
      </c>
      <c r="AK4609">
        <v>184.372721757379</v>
      </c>
      <c r="AL4609">
        <v>93.036456645296994</v>
      </c>
      <c r="AM4609">
        <v>90.499795997746702</v>
      </c>
      <c r="AN4609">
        <v>0.99999996056326901</v>
      </c>
    </row>
    <row r="4610" spans="1:40" x14ac:dyDescent="0.25">
      <c r="A4610" t="str">
        <f>"20190303153900913"</f>
        <v>20190303153900913</v>
      </c>
      <c r="B4610" t="str">
        <f>"1551598740902935"</f>
        <v>1551598740902935</v>
      </c>
      <c r="C4610" t="s">
        <v>40</v>
      </c>
      <c r="D4610">
        <v>3.9727399999999999</v>
      </c>
      <c r="E4610">
        <v>0.51202820000000004</v>
      </c>
      <c r="F4610" t="s">
        <v>43</v>
      </c>
      <c r="G4610">
        <v>-111.8466</v>
      </c>
      <c r="H4610">
        <v>-0.05</v>
      </c>
      <c r="I4610">
        <v>211.6369</v>
      </c>
      <c r="J4610">
        <v>-308.69760000000002</v>
      </c>
      <c r="K4610">
        <v>1.120973</v>
      </c>
      <c r="L4610">
        <v>215.45910000000001</v>
      </c>
      <c r="M4610">
        <v>0.99990579999999996</v>
      </c>
      <c r="N4610">
        <v>-1.339452E-2</v>
      </c>
      <c r="O4610">
        <v>3.0206360000000002E-3</v>
      </c>
      <c r="P4610">
        <v>0.99775619999999998</v>
      </c>
      <c r="Q4610">
        <v>-6.5886120000000006E-2</v>
      </c>
      <c r="R4610">
        <v>1.189924E-2</v>
      </c>
      <c r="S4610">
        <v>3.0063170000000001</v>
      </c>
      <c r="T4610">
        <v>-1.7856360000000002E-2</v>
      </c>
      <c r="U4610">
        <v>-5.8273320000000003E-2</v>
      </c>
      <c r="V4610">
        <v>-8.8971160000000001E-3</v>
      </c>
      <c r="W4610">
        <v>-5.2513329999999997E-2</v>
      </c>
      <c r="X4610">
        <v>0.99858060000000004</v>
      </c>
      <c r="Y4610">
        <v>2.2398870000000001E-2</v>
      </c>
      <c r="Z4610">
        <v>-1.9403110000000001E-4</v>
      </c>
      <c r="AA4610">
        <v>0.99974909999999995</v>
      </c>
      <c r="AB4610">
        <v>30</v>
      </c>
      <c r="AC4610">
        <v>196.851</v>
      </c>
      <c r="AD4610">
        <v>-1.170973</v>
      </c>
      <c r="AE4610">
        <v>-3.8222000000000098</v>
      </c>
      <c r="AF4610">
        <v>4.4166948557053196</v>
      </c>
      <c r="AG4610">
        <v>-1.170973</v>
      </c>
      <c r="AH4610">
        <v>196.83159301888901</v>
      </c>
      <c r="AI4610">
        <v>90.340769155485305</v>
      </c>
      <c r="AJ4610">
        <v>88.714558412834606</v>
      </c>
      <c r="AK4610">
        <v>196.88462200377299</v>
      </c>
      <c r="AL4610">
        <v>93.010176726982294</v>
      </c>
      <c r="AM4610">
        <v>90.510478281055597</v>
      </c>
      <c r="AN4610">
        <v>1.0000000115985801</v>
      </c>
    </row>
    <row r="4611" spans="1:40" x14ac:dyDescent="0.25">
      <c r="A4611" t="str">
        <f>"20190303153900935"</f>
        <v>20190303153900935</v>
      </c>
      <c r="B4611" t="str">
        <f>"1551598740922816"</f>
        <v>1551598740922816</v>
      </c>
      <c r="C4611" t="s">
        <v>40</v>
      </c>
      <c r="D4611">
        <v>3.9872109999999998</v>
      </c>
      <c r="E4611">
        <v>0.51187269999999996</v>
      </c>
      <c r="F4611" t="s">
        <v>43</v>
      </c>
      <c r="G4611">
        <v>-90.279589999999999</v>
      </c>
      <c r="H4611">
        <v>-0.05</v>
      </c>
      <c r="I4611">
        <v>211.3296</v>
      </c>
      <c r="J4611">
        <v>-308.40260000000001</v>
      </c>
      <c r="K4611">
        <v>1.1209880000000001</v>
      </c>
      <c r="L4611">
        <v>215.4599</v>
      </c>
      <c r="M4611">
        <v>0.99990469999999998</v>
      </c>
      <c r="N4611">
        <v>-1.3491599999999999E-2</v>
      </c>
      <c r="O4611">
        <v>2.9329310000000002E-3</v>
      </c>
      <c r="P4611">
        <v>0.99783350000000004</v>
      </c>
      <c r="Q4611">
        <v>-6.4674590000000004E-2</v>
      </c>
      <c r="R4611">
        <v>1.2060329999999999E-2</v>
      </c>
      <c r="S4611">
        <v>3.0063170000000001</v>
      </c>
      <c r="T4611">
        <v>-1.6117329999999999E-2</v>
      </c>
      <c r="U4611">
        <v>-5.6838989999999999E-2</v>
      </c>
      <c r="V4611">
        <v>-9.1448669999999992E-3</v>
      </c>
      <c r="W4611">
        <v>-5.1203859999999997E-2</v>
      </c>
      <c r="X4611">
        <v>0.99864640000000005</v>
      </c>
      <c r="Y4611">
        <v>2.183454E-2</v>
      </c>
      <c r="Z4611">
        <v>-1.819926E-4</v>
      </c>
      <c r="AA4611">
        <v>0.99976160000000003</v>
      </c>
      <c r="AB4611">
        <v>30</v>
      </c>
      <c r="AC4611">
        <v>218.12300999999999</v>
      </c>
      <c r="AD4611">
        <v>-1.1709879999999999</v>
      </c>
      <c r="AE4611">
        <v>-4.1303000000000001</v>
      </c>
      <c r="AF4611">
        <v>4.7699427676750599</v>
      </c>
      <c r="AG4611">
        <v>-1.1709879999999999</v>
      </c>
      <c r="AH4611">
        <v>218.10367307374901</v>
      </c>
      <c r="AI4611">
        <v>90.307541756023994</v>
      </c>
      <c r="AJ4611">
        <v>88.747136969264503</v>
      </c>
      <c r="AK4611">
        <v>218.15896904588601</v>
      </c>
      <c r="AL4611">
        <v>92.935048421286098</v>
      </c>
      <c r="AM4611">
        <v>90.524657815165796</v>
      </c>
      <c r="AN4611">
        <v>1.00000004805215</v>
      </c>
    </row>
    <row r="4612" spans="1:40" x14ac:dyDescent="0.25">
      <c r="A4612" t="str">
        <f>"20190303153900957"</f>
        <v>20190303153900957</v>
      </c>
      <c r="B4612" t="str">
        <f>"1551598740953073"</f>
        <v>1551598740953073</v>
      </c>
      <c r="C4612" t="s">
        <v>40</v>
      </c>
      <c r="D4612">
        <v>4.0100889999999998</v>
      </c>
      <c r="E4612">
        <v>0.51167010000000002</v>
      </c>
      <c r="F4612" t="s">
        <v>67</v>
      </c>
      <c r="G4612">
        <v>-107.39749999999999</v>
      </c>
      <c r="H4612">
        <v>0.32567940000000001</v>
      </c>
      <c r="I4612">
        <v>211.7628</v>
      </c>
      <c r="J4612">
        <v>-308.09410000000003</v>
      </c>
      <c r="K4612">
        <v>1.121003</v>
      </c>
      <c r="L4612">
        <v>215.4607</v>
      </c>
      <c r="M4612">
        <v>0.99990389999999996</v>
      </c>
      <c r="N4612">
        <v>-1.358476E-2</v>
      </c>
      <c r="O4612">
        <v>2.8398970000000001E-3</v>
      </c>
      <c r="P4612">
        <v>0.9979171</v>
      </c>
      <c r="Q4612">
        <v>-6.3522609999999993E-2</v>
      </c>
      <c r="R4612">
        <v>1.126453E-2</v>
      </c>
      <c r="S4612">
        <v>3.0064389999999999</v>
      </c>
      <c r="T4612">
        <v>-1.1894699999999999E-2</v>
      </c>
      <c r="U4612">
        <v>-5.5297850000000003E-2</v>
      </c>
      <c r="V4612">
        <v>-8.4415859999999992E-3</v>
      </c>
      <c r="W4612">
        <v>-4.9957979999999999E-2</v>
      </c>
      <c r="X4612">
        <v>0.99871560000000004</v>
      </c>
      <c r="Y4612">
        <v>2.1228770000000001E-2</v>
      </c>
      <c r="Z4612">
        <v>-1.5886319999999999E-4</v>
      </c>
      <c r="AA4612">
        <v>0.99977459999999996</v>
      </c>
      <c r="AB4612">
        <v>30</v>
      </c>
      <c r="AC4612">
        <v>200.69659999999999</v>
      </c>
      <c r="AD4612">
        <v>-0.79532359999999902</v>
      </c>
      <c r="AE4612">
        <v>-3.6979000000000002</v>
      </c>
      <c r="AF4612">
        <v>4.26782823802235</v>
      </c>
      <c r="AG4612">
        <v>-0.79532359999999902</v>
      </c>
      <c r="AH4612">
        <v>200.68213749268401</v>
      </c>
      <c r="AI4612">
        <v>90.227016448209497</v>
      </c>
      <c r="AJ4612">
        <v>88.781696793811804</v>
      </c>
      <c r="AK4612">
        <v>200.72908908808</v>
      </c>
      <c r="AL4612">
        <v>92.8635735305878</v>
      </c>
      <c r="AM4612">
        <v>90.484277738678898</v>
      </c>
      <c r="AN4612">
        <v>0.99999995491161597</v>
      </c>
    </row>
    <row r="4613" spans="1:40" x14ac:dyDescent="0.25">
      <c r="A4613" t="str">
        <f>"20190303153900981"</f>
        <v>20190303153900981</v>
      </c>
      <c r="B4613" t="str">
        <f>"1551598740973572"</f>
        <v>1551598740973572</v>
      </c>
      <c r="C4613" t="s">
        <v>40</v>
      </c>
      <c r="D4613">
        <v>4.0118970000000003</v>
      </c>
      <c r="E4613">
        <v>0.51155390000000001</v>
      </c>
      <c r="F4613" t="s">
        <v>67</v>
      </c>
      <c r="G4613">
        <v>-107.39749999999999</v>
      </c>
      <c r="H4613">
        <v>0.61800940000000004</v>
      </c>
      <c r="I4613">
        <v>211.71420000000001</v>
      </c>
      <c r="J4613">
        <v>-307.78809999999999</v>
      </c>
      <c r="K4613">
        <v>1.121011</v>
      </c>
      <c r="L4613">
        <v>215.4615</v>
      </c>
      <c r="M4613">
        <v>0.99990279999999998</v>
      </c>
      <c r="N4613">
        <v>-1.3668120000000001E-2</v>
      </c>
      <c r="O4613">
        <v>2.7465189999999998E-3</v>
      </c>
      <c r="P4613">
        <v>0.99797139999999995</v>
      </c>
      <c r="Q4613">
        <v>-6.2705960000000005E-2</v>
      </c>
      <c r="R4613">
        <v>1.100638E-2</v>
      </c>
      <c r="S4613">
        <v>3.0064090000000001</v>
      </c>
      <c r="T4613">
        <v>-7.53402699999999E-3</v>
      </c>
      <c r="U4613">
        <v>-5.6121829999999998E-2</v>
      </c>
      <c r="V4613">
        <v>-8.2767069999999995E-3</v>
      </c>
      <c r="W4613">
        <v>-4.9057490000000002E-2</v>
      </c>
      <c r="X4613">
        <v>0.99876169999999997</v>
      </c>
      <c r="Y4613">
        <v>2.1409770000000002E-2</v>
      </c>
      <c r="Z4613">
        <v>-1.4250450000000001E-4</v>
      </c>
      <c r="AA4613">
        <v>0.99977079999999996</v>
      </c>
      <c r="AB4613">
        <v>30</v>
      </c>
      <c r="AC4613">
        <v>200.39060000000001</v>
      </c>
      <c r="AD4613">
        <v>-0.50300159999999905</v>
      </c>
      <c r="AE4613">
        <v>-3.7472999999999899</v>
      </c>
      <c r="AF4613">
        <v>4.2976868107167299</v>
      </c>
      <c r="AG4613">
        <v>-0.50300159999999905</v>
      </c>
      <c r="AH4613">
        <v>200.37828898682699</v>
      </c>
      <c r="AI4613">
        <v>90.143793930863396</v>
      </c>
      <c r="AJ4613">
        <v>88.771316144132001</v>
      </c>
      <c r="AK4613">
        <v>200.42500298071801</v>
      </c>
      <c r="AL4613">
        <v>92.8119156724905</v>
      </c>
      <c r="AM4613">
        <v>90.474797466002499</v>
      </c>
      <c r="AN4613">
        <v>1.0000000372953699</v>
      </c>
    </row>
    <row r="4614" spans="1:40" x14ac:dyDescent="0.25">
      <c r="A4614" t="str">
        <f>"20190303153901004"</f>
        <v>20190303153901004</v>
      </c>
      <c r="B4614" t="str">
        <f>"1551598740993088"</f>
        <v>1551598740993088</v>
      </c>
      <c r="C4614" t="s">
        <v>40</v>
      </c>
      <c r="D4614">
        <v>4.0338019999999997</v>
      </c>
      <c r="E4614">
        <v>0.51146440000000004</v>
      </c>
      <c r="F4614" t="s">
        <v>67</v>
      </c>
      <c r="G4614">
        <v>-107.39749999999999</v>
      </c>
      <c r="H4614">
        <v>0.80694630000000001</v>
      </c>
      <c r="I4614">
        <v>211.73689999999999</v>
      </c>
      <c r="J4614">
        <v>-307.47910000000002</v>
      </c>
      <c r="K4614">
        <v>1.121016</v>
      </c>
      <c r="L4614">
        <v>215.4622</v>
      </c>
      <c r="M4614">
        <v>0.99990219999999996</v>
      </c>
      <c r="N4614">
        <v>-1.374302E-2</v>
      </c>
      <c r="O4614">
        <v>2.651231E-3</v>
      </c>
      <c r="P4614">
        <v>0.99801099999999998</v>
      </c>
      <c r="Q4614">
        <v>-6.2117600000000002E-2</v>
      </c>
      <c r="R4614">
        <v>1.076154E-2</v>
      </c>
      <c r="S4614">
        <v>3.0063780000000002</v>
      </c>
      <c r="T4614">
        <v>-4.7110320000000004E-3</v>
      </c>
      <c r="U4614">
        <v>-5.5877690000000001E-2</v>
      </c>
      <c r="V4614">
        <v>-8.126477E-3</v>
      </c>
      <c r="W4614">
        <v>-4.8393859999999997E-2</v>
      </c>
      <c r="X4614">
        <v>0.99879530000000005</v>
      </c>
      <c r="Y4614">
        <v>2.1233680000000001E-2</v>
      </c>
      <c r="Z4614">
        <v>-1.3028270000000001E-4</v>
      </c>
      <c r="AA4614">
        <v>0.99977450000000001</v>
      </c>
      <c r="AB4614">
        <v>30</v>
      </c>
      <c r="AC4614">
        <v>200.08160000000001</v>
      </c>
      <c r="AD4614">
        <v>-0.31406969999999901</v>
      </c>
      <c r="AE4614">
        <v>-3.7252999999999998</v>
      </c>
      <c r="AF4614">
        <v>4.25578898223901</v>
      </c>
      <c r="AG4614">
        <v>-0.31406969999999901</v>
      </c>
      <c r="AH4614">
        <v>200.07052631500801</v>
      </c>
      <c r="AI4614">
        <v>90.089922209513304</v>
      </c>
      <c r="AJ4614">
        <v>88.781419808665206</v>
      </c>
      <c r="AK4614">
        <v>200.11603104099899</v>
      </c>
      <c r="AL4614">
        <v>92.7738472822913</v>
      </c>
      <c r="AM4614">
        <v>90.466164148394697</v>
      </c>
      <c r="AN4614">
        <v>1.0000000283081101</v>
      </c>
    </row>
    <row r="4615" spans="1:40" x14ac:dyDescent="0.25">
      <c r="A4615" t="str">
        <f>"20190303153901026"</f>
        <v>20190303153901026</v>
      </c>
      <c r="B4615" t="str">
        <f>"1551598741023345"</f>
        <v>1551598741023345</v>
      </c>
      <c r="C4615" t="s">
        <v>40</v>
      </c>
      <c r="D4615">
        <v>4.0209210000000004</v>
      </c>
      <c r="E4615">
        <v>0.5113219</v>
      </c>
      <c r="F4615" t="s">
        <v>67</v>
      </c>
      <c r="G4615">
        <v>-107.39749999999999</v>
      </c>
      <c r="H4615">
        <v>0.94192290000000001</v>
      </c>
      <c r="I4615">
        <v>211.74449999999999</v>
      </c>
      <c r="J4615">
        <v>-307.18509999999998</v>
      </c>
      <c r="K4615">
        <v>1.1210230000000001</v>
      </c>
      <c r="L4615">
        <v>215.46289999999999</v>
      </c>
      <c r="M4615">
        <v>0.9999015</v>
      </c>
      <c r="N4615">
        <v>-1.380615E-2</v>
      </c>
      <c r="O4615">
        <v>2.5607339999999998E-3</v>
      </c>
      <c r="P4615">
        <v>0.99801269999999997</v>
      </c>
      <c r="Q4615">
        <v>-6.2149580000000003E-2</v>
      </c>
      <c r="R4615">
        <v>1.0396839999999999E-2</v>
      </c>
      <c r="S4615">
        <v>3.0064389999999999</v>
      </c>
      <c r="T4615">
        <v>-2.690315E-3</v>
      </c>
      <c r="U4615">
        <v>-5.5862429999999998E-2</v>
      </c>
      <c r="V4615">
        <v>-7.8516839999999994E-3</v>
      </c>
      <c r="W4615">
        <v>-4.8362849999999999E-2</v>
      </c>
      <c r="X4615">
        <v>0.99879899999999999</v>
      </c>
      <c r="Y4615">
        <v>2.1137840000000001E-2</v>
      </c>
      <c r="Z4615">
        <v>-1.2233179999999999E-4</v>
      </c>
      <c r="AA4615">
        <v>0.99977649999999996</v>
      </c>
      <c r="AB4615">
        <v>30</v>
      </c>
      <c r="AC4615">
        <v>199.7876</v>
      </c>
      <c r="AD4615">
        <v>-0.17910009999999901</v>
      </c>
      <c r="AE4615">
        <v>-3.7183999999999999</v>
      </c>
      <c r="AF4615">
        <v>4.2300360281010203</v>
      </c>
      <c r="AG4615">
        <v>-0.17910009999999901</v>
      </c>
      <c r="AH4615">
        <v>199.77726160378299</v>
      </c>
      <c r="AI4615">
        <v>90.051354080458694</v>
      </c>
      <c r="AJ4615">
        <v>88.787014097725105</v>
      </c>
      <c r="AK4615">
        <v>199.822119735407</v>
      </c>
      <c r="AL4615">
        <v>92.772068457379206</v>
      </c>
      <c r="AM4615">
        <v>90.450400019155296</v>
      </c>
      <c r="AN4615">
        <v>1.0000000283013699</v>
      </c>
    </row>
    <row r="4616" spans="1:40" x14ac:dyDescent="0.25">
      <c r="A4616" t="str">
        <f>"20190303153901048"</f>
        <v>20190303153901048</v>
      </c>
      <c r="B4616" t="str">
        <f>"1551598741042866"</f>
        <v>1551598741042866</v>
      </c>
      <c r="C4616" t="s">
        <v>40</v>
      </c>
      <c r="D4616">
        <v>4.0093249999999996</v>
      </c>
      <c r="E4616">
        <v>0.51142659999999995</v>
      </c>
      <c r="F4616" t="s">
        <v>67</v>
      </c>
      <c r="G4616">
        <v>-107.39749999999999</v>
      </c>
      <c r="H4616">
        <v>0.92574279999999998</v>
      </c>
      <c r="I4616">
        <v>211.74350000000001</v>
      </c>
      <c r="J4616">
        <v>-306.89030000000002</v>
      </c>
      <c r="K4616">
        <v>1.121016</v>
      </c>
      <c r="L4616">
        <v>215.46360000000001</v>
      </c>
      <c r="M4616">
        <v>0.99990089999999998</v>
      </c>
      <c r="N4616">
        <v>-1.386181E-2</v>
      </c>
      <c r="O4616">
        <v>2.4702830000000002E-3</v>
      </c>
      <c r="P4616">
        <v>0.99797530000000001</v>
      </c>
      <c r="Q4616">
        <v>-6.2758019999999998E-2</v>
      </c>
      <c r="R4616">
        <v>1.0338470000000001E-2</v>
      </c>
      <c r="S4616">
        <v>3.0063780000000002</v>
      </c>
      <c r="T4616">
        <v>-2.9377940000000001E-3</v>
      </c>
      <c r="U4616">
        <v>-5.5969240000000003E-2</v>
      </c>
      <c r="V4616">
        <v>-7.8843319999999904E-3</v>
      </c>
      <c r="W4616">
        <v>-4.8916149999999999E-2</v>
      </c>
      <c r="X4616">
        <v>0.99877179999999999</v>
      </c>
      <c r="Y4616">
        <v>2.1083290000000001E-2</v>
      </c>
      <c r="Z4616">
        <v>-1.2461929999999999E-4</v>
      </c>
      <c r="AA4616">
        <v>0.99977769999999999</v>
      </c>
      <c r="AB4616">
        <v>30</v>
      </c>
      <c r="AC4616">
        <v>199.49279999999999</v>
      </c>
      <c r="AD4616">
        <v>-0.19527320000000001</v>
      </c>
      <c r="AE4616">
        <v>-3.7201</v>
      </c>
      <c r="AF4616">
        <v>4.2129356221149799</v>
      </c>
      <c r="AG4616">
        <v>-0.19527320000000001</v>
      </c>
      <c r="AH4616">
        <v>199.48280955049199</v>
      </c>
      <c r="AI4616">
        <v>90.056074166820196</v>
      </c>
      <c r="AJ4616">
        <v>88.790133580868996</v>
      </c>
      <c r="AK4616">
        <v>199.52738725382201</v>
      </c>
      <c r="AL4616">
        <v>92.803807772357601</v>
      </c>
      <c r="AM4616">
        <v>90.452285061271397</v>
      </c>
      <c r="AN4616">
        <v>1.0000000304485701</v>
      </c>
    </row>
    <row r="4617" spans="1:40" x14ac:dyDescent="0.25">
      <c r="A4617" t="str">
        <f>"20190303153901070"</f>
        <v>20190303153901070</v>
      </c>
      <c r="B4617" t="str">
        <f>"1551598741063364"</f>
        <v>1551598741063364</v>
      </c>
      <c r="C4617" t="s">
        <v>40</v>
      </c>
      <c r="D4617">
        <v>4.0060200000000004</v>
      </c>
      <c r="E4617">
        <v>0.51135470000000005</v>
      </c>
      <c r="F4617" t="s">
        <v>67</v>
      </c>
      <c r="G4617">
        <v>-107.39749999999999</v>
      </c>
      <c r="H4617">
        <v>0.9799795</v>
      </c>
      <c r="I4617">
        <v>211.6951</v>
      </c>
      <c r="J4617">
        <v>-306.59739999999999</v>
      </c>
      <c r="K4617">
        <v>1.1210119999999999</v>
      </c>
      <c r="L4617">
        <v>215.46420000000001</v>
      </c>
      <c r="M4617">
        <v>0.99990060000000003</v>
      </c>
      <c r="N4617">
        <v>-1.390984E-2</v>
      </c>
      <c r="O4617">
        <v>2.3805419999999998E-3</v>
      </c>
      <c r="P4617">
        <v>0.99794689999999997</v>
      </c>
      <c r="Q4617">
        <v>-6.3200370000000006E-2</v>
      </c>
      <c r="R4617">
        <v>1.039197E-2</v>
      </c>
      <c r="S4617">
        <v>3.0065309999999998</v>
      </c>
      <c r="T4617">
        <v>-2.124786E-3</v>
      </c>
      <c r="U4617">
        <v>-5.6793209999999997E-2</v>
      </c>
      <c r="V4617">
        <v>-8.0275280000000008E-3</v>
      </c>
      <c r="W4617">
        <v>-4.9310850000000003E-2</v>
      </c>
      <c r="X4617">
        <v>0.99875119999999895</v>
      </c>
      <c r="Y4617">
        <v>2.126656E-2</v>
      </c>
      <c r="Z4617">
        <v>-1.240127E-4</v>
      </c>
      <c r="AA4617">
        <v>0.99977389999999999</v>
      </c>
      <c r="AB4617">
        <v>30</v>
      </c>
      <c r="AC4617">
        <v>199.19990000000001</v>
      </c>
      <c r="AD4617">
        <v>-0.14103250000000001</v>
      </c>
      <c r="AE4617">
        <v>-3.7690999999999999</v>
      </c>
      <c r="AF4617">
        <v>4.2433367168102896</v>
      </c>
      <c r="AG4617">
        <v>-0.14103250000000001</v>
      </c>
      <c r="AH4617">
        <v>199.190262282134</v>
      </c>
      <c r="AI4617">
        <v>90.040557869973597</v>
      </c>
      <c r="AJ4617">
        <v>88.779616462218996</v>
      </c>
      <c r="AK4617">
        <v>199.23550482954499</v>
      </c>
      <c r="AL4617">
        <v>92.8264498820364</v>
      </c>
      <c r="AM4617">
        <v>90.460508653420604</v>
      </c>
      <c r="AN4617">
        <v>0.99999998031747594</v>
      </c>
    </row>
    <row r="4618" spans="1:40" x14ac:dyDescent="0.25">
      <c r="A4618" t="str">
        <f>"20190303153901092"</f>
        <v>20190303153901092</v>
      </c>
      <c r="B4618" t="str">
        <f>"1551598741082880"</f>
        <v>1551598741082880</v>
      </c>
      <c r="C4618" t="s">
        <v>40</v>
      </c>
      <c r="D4618">
        <v>4.2537260000000003</v>
      </c>
      <c r="E4618">
        <v>0.51132770000000005</v>
      </c>
      <c r="F4618" t="s">
        <v>67</v>
      </c>
      <c r="G4618">
        <v>-107.39749999999999</v>
      </c>
      <c r="H4618">
        <v>0.8968083</v>
      </c>
      <c r="I4618">
        <v>211.74780000000001</v>
      </c>
      <c r="J4618">
        <v>-306.3005</v>
      </c>
      <c r="K4618">
        <v>1.121005</v>
      </c>
      <c r="L4618">
        <v>215.4648</v>
      </c>
      <c r="M4618">
        <v>0.99990009999999996</v>
      </c>
      <c r="N4618">
        <v>-1.395192E-2</v>
      </c>
      <c r="O4618">
        <v>2.2894730000000002E-3</v>
      </c>
      <c r="P4618">
        <v>0.99791620000000003</v>
      </c>
      <c r="Q4618">
        <v>-6.3666719999999996E-2</v>
      </c>
      <c r="R4618">
        <v>1.0485420000000001E-2</v>
      </c>
      <c r="S4618">
        <v>3.0065309999999998</v>
      </c>
      <c r="T4618">
        <v>-3.3831600000000001E-3</v>
      </c>
      <c r="U4618">
        <v>-5.6091309999999998E-2</v>
      </c>
      <c r="V4618">
        <v>-8.2121380000000008E-3</v>
      </c>
      <c r="W4618">
        <v>-4.9735509999999997E-2</v>
      </c>
      <c r="X4618">
        <v>0.99872859999999997</v>
      </c>
      <c r="Y4618">
        <v>2.094213E-2</v>
      </c>
      <c r="Z4618">
        <v>-1.2852839999999999E-4</v>
      </c>
      <c r="AA4618">
        <v>0.99978069999999997</v>
      </c>
      <c r="AB4618">
        <v>30</v>
      </c>
      <c r="AC4618">
        <v>198.90299999999999</v>
      </c>
      <c r="AD4618">
        <v>-0.2241967</v>
      </c>
      <c r="AE4618">
        <v>-3.7169999999999801</v>
      </c>
      <c r="AF4618">
        <v>4.1724123087944402</v>
      </c>
      <c r="AG4618">
        <v>-0.2241967</v>
      </c>
      <c r="AH4618">
        <v>198.89371519833401</v>
      </c>
      <c r="AI4618">
        <v>90.064570635828403</v>
      </c>
      <c r="AJ4618">
        <v>88.798219662695303</v>
      </c>
      <c r="AK4618">
        <v>198.937601357891</v>
      </c>
      <c r="AL4618">
        <v>92.850811119990993</v>
      </c>
      <c r="AM4618">
        <v>90.471109212730298</v>
      </c>
      <c r="AN4618">
        <v>0.99999993831172296</v>
      </c>
    </row>
    <row r="4619" spans="1:40" x14ac:dyDescent="0.25">
      <c r="A4619" t="str">
        <f>"20190303153901114"</f>
        <v>20190303153901114</v>
      </c>
      <c r="B4619" t="str">
        <f>"1551598741103377"</f>
        <v>1551598741103377</v>
      </c>
      <c r="C4619" t="s">
        <v>40</v>
      </c>
      <c r="D4619">
        <v>4.0395159999999999</v>
      </c>
      <c r="E4619">
        <v>0.51129899999999995</v>
      </c>
      <c r="F4619" t="s">
        <v>67</v>
      </c>
      <c r="G4619">
        <v>-107.39749999999999</v>
      </c>
      <c r="H4619">
        <v>0.78911399999999998</v>
      </c>
      <c r="I4619">
        <v>211.7792</v>
      </c>
      <c r="J4619">
        <v>-306.01150000000001</v>
      </c>
      <c r="K4619">
        <v>1.1210020000000001</v>
      </c>
      <c r="L4619">
        <v>215.46530000000001</v>
      </c>
      <c r="M4619">
        <v>0.99989969999999995</v>
      </c>
      <c r="N4619">
        <v>-1.398743E-2</v>
      </c>
      <c r="O4619">
        <v>2.201012E-3</v>
      </c>
      <c r="P4619">
        <v>0.99786149999999996</v>
      </c>
      <c r="Q4619">
        <v>-6.4492030000000006E-2</v>
      </c>
      <c r="R4619">
        <v>1.0633399999999999E-2</v>
      </c>
      <c r="S4619">
        <v>3.0065309999999998</v>
      </c>
      <c r="T4619">
        <v>-5.0159690000000003E-3</v>
      </c>
      <c r="U4619">
        <v>-5.5709839999999997E-2</v>
      </c>
      <c r="V4619">
        <v>-8.4484880000000005E-3</v>
      </c>
      <c r="W4619">
        <v>-5.0526019999999998E-2</v>
      </c>
      <c r="X4619">
        <v>0.99868699999999999</v>
      </c>
      <c r="Y4619">
        <v>2.07268E-2</v>
      </c>
      <c r="Z4619">
        <v>-1.3515249999999999E-4</v>
      </c>
      <c r="AA4619">
        <v>0.99978520000000004</v>
      </c>
      <c r="AB4619">
        <v>30</v>
      </c>
      <c r="AC4619">
        <v>198.614</v>
      </c>
      <c r="AD4619">
        <v>-0.33188800000000002</v>
      </c>
      <c r="AE4619">
        <v>-3.6861000000000002</v>
      </c>
      <c r="AF4619">
        <v>4.1232741490775799</v>
      </c>
      <c r="AG4619">
        <v>-0.33188800000000002</v>
      </c>
      <c r="AH4619">
        <v>198.60485049750099</v>
      </c>
      <c r="AI4619">
        <v>90.095726096811305</v>
      </c>
      <c r="AJ4619">
        <v>88.810641976512798</v>
      </c>
      <c r="AK4619">
        <v>198.647925185459</v>
      </c>
      <c r="AL4619">
        <v>92.896160881510298</v>
      </c>
      <c r="AM4619">
        <v>90.484687553644306</v>
      </c>
      <c r="AN4619">
        <v>0.99999998980776295</v>
      </c>
    </row>
    <row r="4620" spans="1:40" x14ac:dyDescent="0.25">
      <c r="A4620" t="str">
        <f>"20190303153901128"</f>
        <v>20190303153901128</v>
      </c>
      <c r="B4620" t="str">
        <f>"1551598741122896"</f>
        <v>1551598741122896</v>
      </c>
      <c r="C4620" t="s">
        <v>40</v>
      </c>
      <c r="D4620">
        <v>4.0405430000000004</v>
      </c>
      <c r="E4620">
        <v>0.51127339999999999</v>
      </c>
      <c r="F4620" t="s">
        <v>67</v>
      </c>
      <c r="G4620">
        <v>-107.39749999999999</v>
      </c>
      <c r="H4620">
        <v>0.60085889999999997</v>
      </c>
      <c r="I4620">
        <v>211.8305</v>
      </c>
      <c r="J4620">
        <v>-305.80930000000001</v>
      </c>
      <c r="K4620">
        <v>1.1210009999999999</v>
      </c>
      <c r="L4620">
        <v>215.4657</v>
      </c>
      <c r="M4620">
        <v>0.99989969999999995</v>
      </c>
      <c r="N4620">
        <v>-1.4009809999999999E-2</v>
      </c>
      <c r="O4620">
        <v>2.1388679999999999E-3</v>
      </c>
      <c r="P4620">
        <v>0.99784779999999995</v>
      </c>
      <c r="Q4620">
        <v>-6.4730770000000007E-2</v>
      </c>
      <c r="R4620">
        <v>1.04945E-2</v>
      </c>
      <c r="S4620">
        <v>3.0065309999999998</v>
      </c>
      <c r="T4620">
        <v>-7.8729390000000007E-3</v>
      </c>
      <c r="U4620">
        <v>-5.502319E-2</v>
      </c>
      <c r="V4620">
        <v>-8.3717280000000002E-3</v>
      </c>
      <c r="W4620">
        <v>-5.0742589999999997E-2</v>
      </c>
      <c r="X4620">
        <v>0.99867669999999997</v>
      </c>
      <c r="Y4620">
        <v>2.0436260000000001E-2</v>
      </c>
      <c r="Z4620">
        <v>-1.4556580000000001E-4</v>
      </c>
      <c r="AA4620">
        <v>0.99979110000000004</v>
      </c>
      <c r="AB4620">
        <v>30</v>
      </c>
      <c r="AC4620">
        <v>198.4118</v>
      </c>
      <c r="AD4620">
        <v>-0.52014209999999905</v>
      </c>
      <c r="AE4620">
        <v>-3.63519999999999</v>
      </c>
      <c r="AF4620">
        <v>4.0595820416269799</v>
      </c>
      <c r="AG4620">
        <v>-0.52014209999999905</v>
      </c>
      <c r="AH4620">
        <v>198.402207048951</v>
      </c>
      <c r="AI4620">
        <v>90.1501779777834</v>
      </c>
      <c r="AJ4620">
        <v>88.827813113086293</v>
      </c>
      <c r="AK4620">
        <v>198.44441669155501</v>
      </c>
      <c r="AL4620">
        <v>92.908585267350901</v>
      </c>
      <c r="AM4620">
        <v>90.480289012940403</v>
      </c>
      <c r="AN4620">
        <v>1.0000000236962501</v>
      </c>
    </row>
    <row r="4621" spans="1:40" x14ac:dyDescent="0.25">
      <c r="A4621" t="str">
        <f>"20190303153901148"</f>
        <v>20190303153901148</v>
      </c>
      <c r="B4621" t="str">
        <f>"1551598741143393"</f>
        <v>1551598741143393</v>
      </c>
      <c r="C4621" t="s">
        <v>40</v>
      </c>
      <c r="D4621">
        <v>3.933414</v>
      </c>
      <c r="E4621">
        <v>0.51135319999999995</v>
      </c>
      <c r="F4621" t="s">
        <v>67</v>
      </c>
      <c r="G4621">
        <v>-107.39749999999999</v>
      </c>
      <c r="H4621">
        <v>0.53570739999999994</v>
      </c>
      <c r="I4621">
        <v>211.82339999999999</v>
      </c>
      <c r="J4621">
        <v>-305.56270000000001</v>
      </c>
      <c r="K4621">
        <v>1.121</v>
      </c>
      <c r="L4621">
        <v>215.46619999999999</v>
      </c>
      <c r="M4621">
        <v>0.99989950000000005</v>
      </c>
      <c r="N4621">
        <v>-1.4033500000000001E-2</v>
      </c>
      <c r="O4621">
        <v>2.0627710000000001E-3</v>
      </c>
      <c r="P4621">
        <v>0.9978437</v>
      </c>
      <c r="Q4621">
        <v>-6.4848509999999998E-2</v>
      </c>
      <c r="R4621">
        <v>1.013491E-2</v>
      </c>
      <c r="S4621">
        <v>3.0065</v>
      </c>
      <c r="T4621">
        <v>-8.8680979999999996E-3</v>
      </c>
      <c r="U4621">
        <v>-5.5191039999999997E-2</v>
      </c>
      <c r="V4621">
        <v>-8.0883440000000008E-3</v>
      </c>
      <c r="W4621">
        <v>-5.0836819999999998E-2</v>
      </c>
      <c r="X4621">
        <v>0.99867419999999996</v>
      </c>
      <c r="Y4621">
        <v>2.04161E-2</v>
      </c>
      <c r="Z4621">
        <v>-1.5051990000000001E-4</v>
      </c>
      <c r="AA4621">
        <v>0.9997916</v>
      </c>
      <c r="AB4621">
        <v>30</v>
      </c>
      <c r="AC4621">
        <v>198.1652</v>
      </c>
      <c r="AD4621">
        <v>-0.58529259999999905</v>
      </c>
      <c r="AE4621">
        <v>-3.64279999999999</v>
      </c>
      <c r="AF4621">
        <v>4.0515665597261696</v>
      </c>
      <c r="AG4621">
        <v>-0.58529259999999905</v>
      </c>
      <c r="AH4621">
        <v>198.15553528831501</v>
      </c>
      <c r="AI4621">
        <v>90.169198860634907</v>
      </c>
      <c r="AJ4621">
        <v>88.828671006926299</v>
      </c>
      <c r="AK4621">
        <v>198.19781513531899</v>
      </c>
      <c r="AL4621">
        <v>92.913991351132296</v>
      </c>
      <c r="AM4621">
        <v>90.464033057003604</v>
      </c>
      <c r="AN4621">
        <v>0.99999998066100704</v>
      </c>
    </row>
    <row r="4622" spans="1:40" x14ac:dyDescent="0.25">
      <c r="A4622" t="str">
        <f>"20190303153901161"</f>
        <v>20190303153901161</v>
      </c>
      <c r="B4622" t="str">
        <f>"1551598741153153"</f>
        <v>1551598741153153</v>
      </c>
      <c r="C4622" t="s">
        <v>40</v>
      </c>
      <c r="D4622">
        <v>4.0523629999999997</v>
      </c>
      <c r="E4622">
        <v>0.51132169999999999</v>
      </c>
      <c r="F4622" t="s">
        <v>67</v>
      </c>
      <c r="G4622">
        <v>-107.39749999999999</v>
      </c>
      <c r="H4622">
        <v>0.6425149</v>
      </c>
      <c r="I4622">
        <v>211.71690000000001</v>
      </c>
      <c r="J4622">
        <v>-305.36759999999998</v>
      </c>
      <c r="K4622">
        <v>1.121003</v>
      </c>
      <c r="L4622">
        <v>215.4665</v>
      </c>
      <c r="M4622">
        <v>0.99989930000000005</v>
      </c>
      <c r="N4622">
        <v>-1.405001E-2</v>
      </c>
      <c r="O4622">
        <v>2.0028759999999998E-3</v>
      </c>
      <c r="P4622">
        <v>0.99784600000000001</v>
      </c>
      <c r="Q4622">
        <v>-6.4825309999999997E-2</v>
      </c>
      <c r="R4622">
        <v>1.0050989999999999E-2</v>
      </c>
      <c r="S4622">
        <v>3.0065919999999999</v>
      </c>
      <c r="T4622">
        <v>-7.2588919999999899E-3</v>
      </c>
      <c r="U4622">
        <v>-5.6884770000000001E-2</v>
      </c>
      <c r="V4622">
        <v>-8.0635989999999994E-3</v>
      </c>
      <c r="W4622">
        <v>-5.0797109999999999E-2</v>
      </c>
      <c r="X4622">
        <v>0.99867640000000002</v>
      </c>
      <c r="Y4622">
        <v>2.0918760000000002E-2</v>
      </c>
      <c r="Z4622">
        <v>-1.4892209999999999E-4</v>
      </c>
      <c r="AA4622">
        <v>0.99978120000000004</v>
      </c>
      <c r="AB4622">
        <v>30</v>
      </c>
      <c r="AC4622">
        <v>197.9701</v>
      </c>
      <c r="AD4622">
        <v>-0.47848809999999897</v>
      </c>
      <c r="AE4622">
        <v>-3.7495999999999801</v>
      </c>
      <c r="AF4622">
        <v>4.1461169648274501</v>
      </c>
      <c r="AG4622">
        <v>-0.47848809999999897</v>
      </c>
      <c r="AH4622">
        <v>197.961036091881</v>
      </c>
      <c r="AI4622">
        <v>90.138457975841007</v>
      </c>
      <c r="AJ4622">
        <v>88.800166526012106</v>
      </c>
      <c r="AK4622">
        <v>198.00502783343401</v>
      </c>
      <c r="AL4622">
        <v>92.911713252577002</v>
      </c>
      <c r="AM4622">
        <v>90.462612464524298</v>
      </c>
      <c r="AN4622">
        <v>0.99999995996507096</v>
      </c>
    </row>
    <row r="4623" spans="1:40" x14ac:dyDescent="0.25">
      <c r="A4623" t="str">
        <f>"20190303153901182"</f>
        <v>20190303153901182</v>
      </c>
      <c r="B4623" t="str">
        <f>"1551598741173652"</f>
        <v>1551598741173652</v>
      </c>
      <c r="C4623" t="s">
        <v>40</v>
      </c>
      <c r="D4623">
        <v>4.0510129999999904</v>
      </c>
      <c r="E4623">
        <v>0.51124919999999996</v>
      </c>
      <c r="F4623" t="s">
        <v>67</v>
      </c>
      <c r="G4623">
        <v>-107.39749999999999</v>
      </c>
      <c r="H4623">
        <v>0.63669569999999998</v>
      </c>
      <c r="I4623">
        <v>211.7159</v>
      </c>
      <c r="J4623">
        <v>-305.10840000000002</v>
      </c>
      <c r="K4623">
        <v>1.121014</v>
      </c>
      <c r="L4623">
        <v>215.46690000000001</v>
      </c>
      <c r="M4623">
        <v>0.99989930000000005</v>
      </c>
      <c r="N4623">
        <v>-1.406981E-2</v>
      </c>
      <c r="O4623">
        <v>1.923049E-3</v>
      </c>
      <c r="P4623">
        <v>0.9978804</v>
      </c>
      <c r="Q4623">
        <v>-6.4321370000000003E-2</v>
      </c>
      <c r="R4623">
        <v>9.8883300000000007E-3</v>
      </c>
      <c r="S4623">
        <v>3.006561</v>
      </c>
      <c r="T4623">
        <v>-7.3543790000000003E-3</v>
      </c>
      <c r="U4623">
        <v>-5.6961060000000001E-2</v>
      </c>
      <c r="V4623">
        <v>-7.9804730000000001E-3</v>
      </c>
      <c r="W4623">
        <v>-5.0272980000000002E-2</v>
      </c>
      <c r="X4623">
        <v>0.99870369999999997</v>
      </c>
      <c r="Y4623">
        <v>2.0864489999999999E-2</v>
      </c>
      <c r="Z4623">
        <v>-1.499653E-4</v>
      </c>
      <c r="AA4623">
        <v>0.99978230000000001</v>
      </c>
      <c r="AB4623">
        <v>30</v>
      </c>
      <c r="AC4623">
        <v>197.71090000000001</v>
      </c>
      <c r="AD4623">
        <v>-0.48431829999999998</v>
      </c>
      <c r="AE4623">
        <v>-3.7509999999999999</v>
      </c>
      <c r="AF4623">
        <v>4.1312136177013699</v>
      </c>
      <c r="AG4623">
        <v>-0.48431829999999998</v>
      </c>
      <c r="AH4623">
        <v>197.702134357837</v>
      </c>
      <c r="AI4623">
        <v>90.140328695775395</v>
      </c>
      <c r="AJ4623">
        <v>88.802912965118395</v>
      </c>
      <c r="AK4623">
        <v>197.74588597443699</v>
      </c>
      <c r="AL4623">
        <v>92.881644076187101</v>
      </c>
      <c r="AM4623">
        <v>90.457831176078699</v>
      </c>
      <c r="AN4623">
        <v>1.0000000704305301</v>
      </c>
    </row>
    <row r="4624" spans="1:40" x14ac:dyDescent="0.25">
      <c r="A4624" t="str">
        <f>"20190303153901204"</f>
        <v>20190303153901204</v>
      </c>
      <c r="B4624" t="str">
        <f>"1551598741193169"</f>
        <v>1551598741193169</v>
      </c>
      <c r="C4624" t="s">
        <v>40</v>
      </c>
      <c r="D4624">
        <v>4.0882860000000001</v>
      </c>
      <c r="E4624">
        <v>0.51116510000000004</v>
      </c>
      <c r="F4624" t="s">
        <v>67</v>
      </c>
      <c r="G4624">
        <v>-107.39749999999999</v>
      </c>
      <c r="H4624">
        <v>0.72139699999999995</v>
      </c>
      <c r="I4624">
        <v>211.72819999999999</v>
      </c>
      <c r="J4624">
        <v>-304.8073</v>
      </c>
      <c r="K4624">
        <v>1.121019</v>
      </c>
      <c r="L4624">
        <v>215.4674</v>
      </c>
      <c r="M4624">
        <v>0.99989910000000004</v>
      </c>
      <c r="N4624">
        <v>-1.408943E-2</v>
      </c>
      <c r="O4624">
        <v>1.830293E-3</v>
      </c>
      <c r="P4624">
        <v>0.99790480000000004</v>
      </c>
      <c r="Q4624">
        <v>-6.4017019999999994E-2</v>
      </c>
      <c r="R4624">
        <v>9.3879270000000008E-3</v>
      </c>
      <c r="S4624">
        <v>3.0065309999999998</v>
      </c>
      <c r="T4624">
        <v>-6.0760969999999999E-3</v>
      </c>
      <c r="U4624">
        <v>-5.6854250000000002E-2</v>
      </c>
      <c r="V4624">
        <v>-7.5724769999999898E-3</v>
      </c>
      <c r="W4624">
        <v>-4.9948850000000003E-2</v>
      </c>
      <c r="X4624">
        <v>0.99872309999999997</v>
      </c>
      <c r="Y4624">
        <v>2.0736520000000001E-2</v>
      </c>
      <c r="Z4624">
        <v>-1.4496809999999999E-4</v>
      </c>
      <c r="AA4624">
        <v>0.99978489999999998</v>
      </c>
      <c r="AB4624">
        <v>30</v>
      </c>
      <c r="AC4624">
        <v>197.40979999999999</v>
      </c>
      <c r="AD4624">
        <v>-0.39962199999999898</v>
      </c>
      <c r="AE4624">
        <v>-3.7392000000000101</v>
      </c>
      <c r="AF4624">
        <v>4.10053056843502</v>
      </c>
      <c r="AG4624">
        <v>-0.39962199999999898</v>
      </c>
      <c r="AH4624">
        <v>197.401816121873</v>
      </c>
      <c r="AI4624">
        <v>90.115964912942104</v>
      </c>
      <c r="AJ4624">
        <v>88.8099941718868</v>
      </c>
      <c r="AK4624">
        <v>197.44480508967399</v>
      </c>
      <c r="AL4624">
        <v>92.863049550328796</v>
      </c>
      <c r="AM4624">
        <v>90.4344173660932</v>
      </c>
      <c r="AN4624">
        <v>1.00000003024892</v>
      </c>
    </row>
    <row r="4625" spans="1:40" x14ac:dyDescent="0.25">
      <c r="A4625" t="str">
        <f>"20190303153901227"</f>
        <v>20190303153901227</v>
      </c>
      <c r="B4625" t="str">
        <f>"1551598741223425"</f>
        <v>1551598741223425</v>
      </c>
      <c r="C4625" t="s">
        <v>40</v>
      </c>
      <c r="D4625">
        <v>4.0664850000000001</v>
      </c>
      <c r="E4625">
        <v>0.51102890000000001</v>
      </c>
      <c r="F4625" t="s">
        <v>67</v>
      </c>
      <c r="G4625">
        <v>-107.39749999999999</v>
      </c>
      <c r="H4625">
        <v>0.76996430000000005</v>
      </c>
      <c r="I4625">
        <v>211.67619999999999</v>
      </c>
      <c r="J4625">
        <v>-304.5215</v>
      </c>
      <c r="K4625">
        <v>1.121022</v>
      </c>
      <c r="L4625">
        <v>215.46780000000001</v>
      </c>
      <c r="M4625">
        <v>0.99989899999999998</v>
      </c>
      <c r="N4625">
        <v>-1.410516E-2</v>
      </c>
      <c r="O4625">
        <v>1.7422710000000001E-3</v>
      </c>
      <c r="P4625">
        <v>0.99793310000000002</v>
      </c>
      <c r="Q4625">
        <v>-6.3626299999999997E-2</v>
      </c>
      <c r="R4625">
        <v>9.0251280000000003E-3</v>
      </c>
      <c r="S4625">
        <v>3.0065</v>
      </c>
      <c r="T4625">
        <v>-5.3457019999999999E-3</v>
      </c>
      <c r="U4625">
        <v>-5.7739260000000001E-2</v>
      </c>
      <c r="V4625">
        <v>-7.2978409999999898E-3</v>
      </c>
      <c r="W4625">
        <v>-4.9542139999999998E-2</v>
      </c>
      <c r="X4625">
        <v>0.99874540000000001</v>
      </c>
      <c r="Y4625">
        <v>2.094294E-2</v>
      </c>
      <c r="Z4625">
        <v>-1.4486429999999999E-4</v>
      </c>
      <c r="AA4625">
        <v>0.99978069999999997</v>
      </c>
      <c r="AB4625">
        <v>30</v>
      </c>
      <c r="AC4625">
        <v>197.124</v>
      </c>
      <c r="AD4625">
        <v>-0.35105769999999897</v>
      </c>
      <c r="AE4625">
        <v>-3.7916000000000101</v>
      </c>
      <c r="AF4625">
        <v>4.1350587327189601</v>
      </c>
      <c r="AG4625">
        <v>-0.35105769999999897</v>
      </c>
      <c r="AH4625">
        <v>197.11646915971099</v>
      </c>
      <c r="AI4625">
        <v>90.102019273685798</v>
      </c>
      <c r="AJ4625">
        <v>88.798240096616794</v>
      </c>
      <c r="AK4625">
        <v>197.160149031754</v>
      </c>
      <c r="AL4625">
        <v>92.839717904278302</v>
      </c>
      <c r="AM4625">
        <v>90.418653289764805</v>
      </c>
      <c r="AN4625">
        <v>1.0000000280701</v>
      </c>
    </row>
    <row r="4626" spans="1:40" x14ac:dyDescent="0.25">
      <c r="A4626" t="str">
        <f>"20190303153901247"</f>
        <v>20190303153901247</v>
      </c>
      <c r="B4626" t="str">
        <f>"1551598741242944"</f>
        <v>1551598741242944</v>
      </c>
      <c r="C4626" t="s">
        <v>40</v>
      </c>
      <c r="D4626">
        <v>4.0893300000000004</v>
      </c>
      <c r="E4626">
        <v>0.51092150000000003</v>
      </c>
      <c r="F4626" t="s">
        <v>67</v>
      </c>
      <c r="G4626">
        <v>-107.39749999999999</v>
      </c>
      <c r="H4626">
        <v>0.82635519999999996</v>
      </c>
      <c r="I4626">
        <v>211.68100000000001</v>
      </c>
      <c r="J4626">
        <v>-304.23689999999999</v>
      </c>
      <c r="K4626">
        <v>1.1210310000000001</v>
      </c>
      <c r="L4626">
        <v>215.4682</v>
      </c>
      <c r="M4626">
        <v>0.99989899999999998</v>
      </c>
      <c r="N4626">
        <v>-1.41184E-2</v>
      </c>
      <c r="O4626">
        <v>1.654743E-3</v>
      </c>
      <c r="P4626">
        <v>0.99793670000000001</v>
      </c>
      <c r="Q4626">
        <v>-6.3546640000000001E-2</v>
      </c>
      <c r="R4626">
        <v>9.1716260000000004E-3</v>
      </c>
      <c r="S4626">
        <v>3.0064389999999999</v>
      </c>
      <c r="T4626">
        <v>-4.4933560000000004E-3</v>
      </c>
      <c r="U4626">
        <v>-5.7754519999999997E-2</v>
      </c>
      <c r="V4626">
        <v>-7.5312319999999997E-3</v>
      </c>
      <c r="W4626">
        <v>-4.9449189999999997E-2</v>
      </c>
      <c r="X4626">
        <v>0.99874819999999997</v>
      </c>
      <c r="Y4626">
        <v>2.086093E-2</v>
      </c>
      <c r="Z4626">
        <v>-1.419825E-4</v>
      </c>
      <c r="AA4626">
        <v>0.99978239999999996</v>
      </c>
      <c r="AB4626">
        <v>30</v>
      </c>
      <c r="AC4626">
        <v>196.83940000000001</v>
      </c>
      <c r="AD4626">
        <v>-0.29467579999999899</v>
      </c>
      <c r="AE4626">
        <v>-3.7872000000000101</v>
      </c>
      <c r="AF4626">
        <v>4.1129366738936302</v>
      </c>
      <c r="AG4626">
        <v>-0.29467579999999899</v>
      </c>
      <c r="AH4626">
        <v>196.832422027078</v>
      </c>
      <c r="AI4626">
        <v>90.085758139615507</v>
      </c>
      <c r="AJ4626">
        <v>88.802943022599607</v>
      </c>
      <c r="AK4626">
        <v>196.875609060534</v>
      </c>
      <c r="AL4626">
        <v>92.834385935183505</v>
      </c>
      <c r="AM4626">
        <v>90.432040457898594</v>
      </c>
      <c r="AN4626">
        <v>0.99999995442516498</v>
      </c>
    </row>
    <row r="4627" spans="1:40" x14ac:dyDescent="0.25">
      <c r="A4627" t="str">
        <f>"20190303153901272"</f>
        <v>20190303153901272</v>
      </c>
      <c r="B4627" t="str">
        <f>"1551598741263444"</f>
        <v>1551598741263444</v>
      </c>
      <c r="C4627" t="s">
        <v>40</v>
      </c>
      <c r="D4627">
        <v>4.0903929999999997</v>
      </c>
      <c r="E4627">
        <v>0.51082780000000005</v>
      </c>
      <c r="F4627" t="s">
        <v>67</v>
      </c>
      <c r="G4627">
        <v>-107.39749999999999</v>
      </c>
      <c r="H4627">
        <v>0.83207849999999905</v>
      </c>
      <c r="I4627">
        <v>211.7758</v>
      </c>
      <c r="J4627">
        <v>-303.92399999999998</v>
      </c>
      <c r="K4627">
        <v>1.1210340000000001</v>
      </c>
      <c r="L4627">
        <v>215.46870000000001</v>
      </c>
      <c r="M4627">
        <v>0.99989899999999998</v>
      </c>
      <c r="N4627">
        <v>-1.41304E-2</v>
      </c>
      <c r="O4627">
        <v>1.5588170000000001E-3</v>
      </c>
      <c r="P4627">
        <v>0.99794959999999999</v>
      </c>
      <c r="Q4627">
        <v>-6.3346230000000003E-2</v>
      </c>
      <c r="R4627">
        <v>9.1692140000000002E-3</v>
      </c>
      <c r="S4627">
        <v>3.0064090000000001</v>
      </c>
      <c r="T4627">
        <v>-4.4125320000000003E-3</v>
      </c>
      <c r="U4627">
        <v>-5.6396479999999999E-2</v>
      </c>
      <c r="V4627">
        <v>-7.6241800000000004E-3</v>
      </c>
      <c r="W4627">
        <v>-4.9236599999999998E-2</v>
      </c>
      <c r="X4627">
        <v>0.99875800000000003</v>
      </c>
      <c r="Y4627">
        <v>2.031378E-2</v>
      </c>
      <c r="Z4627">
        <v>-1.3870930000000001E-4</v>
      </c>
      <c r="AA4627">
        <v>0.99979359999999995</v>
      </c>
      <c r="AB4627">
        <v>30</v>
      </c>
      <c r="AC4627">
        <v>196.5265</v>
      </c>
      <c r="AD4627">
        <v>-0.28895549999999998</v>
      </c>
      <c r="AE4627">
        <v>-3.6928999999999998</v>
      </c>
      <c r="AF4627">
        <v>3.99926629094562</v>
      </c>
      <c r="AG4627">
        <v>-0.28895549999999998</v>
      </c>
      <c r="AH4627">
        <v>196.52007936028599</v>
      </c>
      <c r="AI4627">
        <v>90.084227991248099</v>
      </c>
      <c r="AJ4627">
        <v>88.834167703930007</v>
      </c>
      <c r="AK4627">
        <v>196.56098091411801</v>
      </c>
      <c r="AL4627">
        <v>92.822190563115598</v>
      </c>
      <c r="AM4627">
        <v>90.437368062513997</v>
      </c>
      <c r="AN4627">
        <v>0.99999995673211495</v>
      </c>
    </row>
    <row r="4628" spans="1:40" x14ac:dyDescent="0.25">
      <c r="A4628" t="str">
        <f>"20190303153901293"</f>
        <v>20190303153901293</v>
      </c>
      <c r="B4628" t="str">
        <f>"1551598741282960"</f>
        <v>1551598741282960</v>
      </c>
      <c r="C4628" t="s">
        <v>40</v>
      </c>
      <c r="D4628">
        <v>4.0947699999999996</v>
      </c>
      <c r="E4628">
        <v>0.51073409999999997</v>
      </c>
      <c r="F4628" t="s">
        <v>67</v>
      </c>
      <c r="G4628">
        <v>-107.39749999999999</v>
      </c>
      <c r="H4628">
        <v>0.8582959</v>
      </c>
      <c r="I4628">
        <v>211.828</v>
      </c>
      <c r="J4628">
        <v>-303.64440000000002</v>
      </c>
      <c r="K4628">
        <v>1.1210359999999999</v>
      </c>
      <c r="L4628">
        <v>215.46899999999999</v>
      </c>
      <c r="M4628">
        <v>0.99989910000000004</v>
      </c>
      <c r="N4628">
        <v>-1.4139250000000001E-2</v>
      </c>
      <c r="O4628">
        <v>1.472693E-3</v>
      </c>
      <c r="P4628">
        <v>0.99795290000000003</v>
      </c>
      <c r="Q4628">
        <v>-6.3245220000000005E-2</v>
      </c>
      <c r="R4628">
        <v>9.5110750000000008E-3</v>
      </c>
      <c r="S4628">
        <v>3.0064389999999999</v>
      </c>
      <c r="T4628">
        <v>-4.0185450000000001E-3</v>
      </c>
      <c r="U4628">
        <v>-5.569458E-2</v>
      </c>
      <c r="V4628">
        <v>-8.0523669999999995E-3</v>
      </c>
      <c r="W4628">
        <v>-4.9126620000000003E-2</v>
      </c>
      <c r="X4628">
        <v>0.99876010000000004</v>
      </c>
      <c r="Y4628">
        <v>1.999416E-2</v>
      </c>
      <c r="Z4628">
        <v>-1.358788E-4</v>
      </c>
      <c r="AA4628">
        <v>0.99980009999999997</v>
      </c>
      <c r="AB4628">
        <v>29</v>
      </c>
      <c r="AC4628">
        <v>196.24690000000001</v>
      </c>
      <c r="AD4628">
        <v>-0.26274009999999998</v>
      </c>
      <c r="AE4628">
        <v>-3.64100000000002</v>
      </c>
      <c r="AF4628">
        <v>3.9300292955025098</v>
      </c>
      <c r="AG4628">
        <v>-0.26274009999999998</v>
      </c>
      <c r="AH4628">
        <v>196.24097290320699</v>
      </c>
      <c r="AI4628">
        <v>90.076695869145894</v>
      </c>
      <c r="AJ4628">
        <v>88.852716673104396</v>
      </c>
      <c r="AK4628">
        <v>196.280497270159</v>
      </c>
      <c r="AL4628">
        <v>92.815881412333795</v>
      </c>
      <c r="AM4628">
        <v>90.461929394296604</v>
      </c>
      <c r="AN4628">
        <v>1.0000000013794601</v>
      </c>
    </row>
    <row r="4629" spans="1:40" x14ac:dyDescent="0.25">
      <c r="A4629" t="str">
        <f>"20190303153901315"</f>
        <v>20190303153901315</v>
      </c>
      <c r="B4629" t="str">
        <f>"1551598741303457"</f>
        <v>1551598741303457</v>
      </c>
      <c r="C4629" t="s">
        <v>40</v>
      </c>
      <c r="D4629">
        <v>4.078309</v>
      </c>
      <c r="E4629">
        <v>0.51064419999999999</v>
      </c>
      <c r="F4629" t="s">
        <v>67</v>
      </c>
      <c r="G4629">
        <v>-107.39749999999999</v>
      </c>
      <c r="H4629">
        <v>0.862765</v>
      </c>
      <c r="I4629">
        <v>211.94200000000001</v>
      </c>
      <c r="J4629">
        <v>-303.3544</v>
      </c>
      <c r="K4629">
        <v>1.121027</v>
      </c>
      <c r="L4629">
        <v>215.4693</v>
      </c>
      <c r="M4629">
        <v>0.99989910000000004</v>
      </c>
      <c r="N4629">
        <v>-1.4146799999999999E-2</v>
      </c>
      <c r="O4629">
        <v>1.383834E-3</v>
      </c>
      <c r="P4629">
        <v>0.99795480000000003</v>
      </c>
      <c r="Q4629">
        <v>-6.3174220000000003E-2</v>
      </c>
      <c r="R4629">
        <v>9.7696650000000003E-3</v>
      </c>
      <c r="S4629">
        <v>3.006348</v>
      </c>
      <c r="T4629">
        <v>-3.9557220000000001E-3</v>
      </c>
      <c r="U4629">
        <v>-5.4031370000000002E-2</v>
      </c>
      <c r="V4629">
        <v>-8.3995809999999997E-3</v>
      </c>
      <c r="W4629">
        <v>-4.9048000000000001E-2</v>
      </c>
      <c r="X4629">
        <v>0.99876109999999896</v>
      </c>
      <c r="Y4629">
        <v>1.9352950000000001E-2</v>
      </c>
      <c r="Z4629">
        <v>-1.3188539999999999E-4</v>
      </c>
      <c r="AA4629">
        <v>0.9998127</v>
      </c>
      <c r="AB4629">
        <v>29</v>
      </c>
      <c r="AC4629">
        <v>195.95689999999999</v>
      </c>
      <c r="AD4629">
        <v>-0.25826199999999999</v>
      </c>
      <c r="AE4629">
        <v>-3.5272999999999901</v>
      </c>
      <c r="AF4629">
        <v>3.7984889511277</v>
      </c>
      <c r="AG4629">
        <v>-0.25826199999999999</v>
      </c>
      <c r="AH4629">
        <v>195.95149039089799</v>
      </c>
      <c r="AI4629">
        <v>90.075501005826496</v>
      </c>
      <c r="AJ4629">
        <v>88.889469376080697</v>
      </c>
      <c r="AK4629">
        <v>195.988473650842</v>
      </c>
      <c r="AL4629">
        <v>92.811371393399995</v>
      </c>
      <c r="AM4629">
        <v>90.481846154445506</v>
      </c>
      <c r="AN4629">
        <v>0.99999999706909204</v>
      </c>
    </row>
    <row r="4630" spans="1:40" x14ac:dyDescent="0.25">
      <c r="A4630" t="str">
        <f>"20190303153901337"</f>
        <v>20190303153901337</v>
      </c>
      <c r="B4630" t="str">
        <f>"1551598741332737"</f>
        <v>1551598741332737</v>
      </c>
      <c r="C4630" t="s">
        <v>40</v>
      </c>
      <c r="D4630">
        <v>4.0839850000000002</v>
      </c>
      <c r="E4630">
        <v>0.51050589999999996</v>
      </c>
      <c r="F4630" t="s">
        <v>67</v>
      </c>
      <c r="G4630">
        <v>-107.39749999999999</v>
      </c>
      <c r="H4630">
        <v>0.861124</v>
      </c>
      <c r="I4630">
        <v>212.05099999999999</v>
      </c>
      <c r="J4630">
        <v>-303.0616</v>
      </c>
      <c r="K4630">
        <v>1.1210230000000001</v>
      </c>
      <c r="L4630">
        <v>215.46960000000001</v>
      </c>
      <c r="M4630">
        <v>0.99989899999999998</v>
      </c>
      <c r="N4630">
        <v>-1.4152990000000001E-2</v>
      </c>
      <c r="O4630">
        <v>1.2934979999999999E-3</v>
      </c>
      <c r="P4630">
        <v>0.9979538</v>
      </c>
      <c r="Q4630">
        <v>-6.3152689999999997E-2</v>
      </c>
      <c r="R4630">
        <v>9.9996579999999998E-3</v>
      </c>
      <c r="S4630">
        <v>3.0064090000000001</v>
      </c>
      <c r="T4630">
        <v>-3.9867160000000004E-3</v>
      </c>
      <c r="U4630">
        <v>-5.2444459999999998E-2</v>
      </c>
      <c r="V4630">
        <v>-8.7191549999999993E-3</v>
      </c>
      <c r="W4630">
        <v>-4.902024E-2</v>
      </c>
      <c r="X4630">
        <v>0.99875970000000003</v>
      </c>
      <c r="Y4630">
        <v>1.8734689999999998E-2</v>
      </c>
      <c r="Z4630">
        <v>-1.284228E-4</v>
      </c>
      <c r="AA4630">
        <v>0.9998245</v>
      </c>
      <c r="AB4630">
        <v>29</v>
      </c>
      <c r="AC4630">
        <v>195.66409999999999</v>
      </c>
      <c r="AD4630">
        <v>-0.25989899999999899</v>
      </c>
      <c r="AE4630">
        <v>-3.4186000000000201</v>
      </c>
      <c r="AF4630">
        <v>3.67170713831583</v>
      </c>
      <c r="AG4630">
        <v>-0.25989899999999899</v>
      </c>
      <c r="AH4630">
        <v>195.659168777845</v>
      </c>
      <c r="AI4630">
        <v>90.076093984401993</v>
      </c>
      <c r="AJ4630">
        <v>88.924923199923796</v>
      </c>
      <c r="AK4630">
        <v>195.69378965014999</v>
      </c>
      <c r="AL4630">
        <v>92.809779014779394</v>
      </c>
      <c r="AM4630">
        <v>90.500178463152494</v>
      </c>
      <c r="AN4630">
        <v>0.99999997296883003</v>
      </c>
    </row>
    <row r="4631" spans="1:40" x14ac:dyDescent="0.25">
      <c r="A4631" t="str">
        <f>"20190303153901360"</f>
        <v>20190303153901360</v>
      </c>
      <c r="B4631" t="str">
        <f>"1551598741353236"</f>
        <v>1551598741353236</v>
      </c>
      <c r="C4631" t="s">
        <v>40</v>
      </c>
      <c r="D4631">
        <v>4.0694790000000003</v>
      </c>
      <c r="E4631">
        <v>0.51041809999999999</v>
      </c>
      <c r="F4631" t="s">
        <v>67</v>
      </c>
      <c r="G4631">
        <v>-107.39749999999999</v>
      </c>
      <c r="H4631">
        <v>0.83699380000000001</v>
      </c>
      <c r="I4631">
        <v>212.16370000000001</v>
      </c>
      <c r="J4631">
        <v>-302.76049999999998</v>
      </c>
      <c r="K4631">
        <v>1.1210249999999999</v>
      </c>
      <c r="L4631">
        <v>215.4699</v>
      </c>
      <c r="M4631">
        <v>0.99989910000000004</v>
      </c>
      <c r="N4631">
        <v>-1.415807E-2</v>
      </c>
      <c r="O4631">
        <v>1.2006670000000001E-3</v>
      </c>
      <c r="P4631">
        <v>0.99794859999999996</v>
      </c>
      <c r="Q4631">
        <v>-6.3184249999999997E-2</v>
      </c>
      <c r="R4631">
        <v>1.031664E-2</v>
      </c>
      <c r="S4631">
        <v>3.0064389999999999</v>
      </c>
      <c r="T4631">
        <v>-4.363418E-3</v>
      </c>
      <c r="U4631">
        <v>-5.0796510000000003E-2</v>
      </c>
      <c r="V4631">
        <v>-9.1291900000000006E-3</v>
      </c>
      <c r="W4631">
        <v>-4.9046729999999997E-2</v>
      </c>
      <c r="X4631">
        <v>0.9987547</v>
      </c>
      <c r="Y4631">
        <v>1.80938E-2</v>
      </c>
      <c r="Z4631">
        <v>-1.2597589999999999E-4</v>
      </c>
      <c r="AA4631">
        <v>0.99983630000000001</v>
      </c>
      <c r="AB4631">
        <v>29</v>
      </c>
      <c r="AC4631">
        <v>195.363</v>
      </c>
      <c r="AD4631">
        <v>-0.28403119999999898</v>
      </c>
      <c r="AE4631">
        <v>-3.3061999999999898</v>
      </c>
      <c r="AF4631">
        <v>3.5407795424198198</v>
      </c>
      <c r="AG4631">
        <v>-0.28403119999999898</v>
      </c>
      <c r="AH4631">
        <v>195.35847629611101</v>
      </c>
      <c r="AI4631">
        <v>90.083288452895005</v>
      </c>
      <c r="AJ4631">
        <v>88.961654913342997</v>
      </c>
      <c r="AK4631">
        <v>195.390767576743</v>
      </c>
      <c r="AL4631">
        <v>92.811298708232997</v>
      </c>
      <c r="AM4631">
        <v>90.523701656429694</v>
      </c>
      <c r="AN4631">
        <v>0.99999993730291703</v>
      </c>
    </row>
    <row r="4632" spans="1:40" x14ac:dyDescent="0.25">
      <c r="A4632" t="str">
        <f>"20190303153901382"</f>
        <v>20190303153901382</v>
      </c>
      <c r="B4632" t="str">
        <f>"1551598741373732"</f>
        <v>1551598741373732</v>
      </c>
      <c r="C4632" t="s">
        <v>40</v>
      </c>
      <c r="D4632">
        <v>4.0927340000000001</v>
      </c>
      <c r="E4632">
        <v>0.51035559999999902</v>
      </c>
      <c r="F4632" t="s">
        <v>67</v>
      </c>
      <c r="G4632">
        <v>-107.39749999999999</v>
      </c>
      <c r="H4632">
        <v>0.81120459999999905</v>
      </c>
      <c r="I4632">
        <v>212.2672</v>
      </c>
      <c r="J4632">
        <v>-302.46730000000002</v>
      </c>
      <c r="K4632">
        <v>1.1210260000000001</v>
      </c>
      <c r="L4632">
        <v>215.47020000000001</v>
      </c>
      <c r="M4632">
        <v>0.99989919999999999</v>
      </c>
      <c r="N4632">
        <v>-1.41619E-2</v>
      </c>
      <c r="O4632">
        <v>1.1101679999999999E-3</v>
      </c>
      <c r="P4632">
        <v>0.99797360000000002</v>
      </c>
      <c r="Q4632">
        <v>-6.2774780000000002E-2</v>
      </c>
      <c r="R4632">
        <v>1.04049E-2</v>
      </c>
      <c r="S4632">
        <v>3.0063780000000002</v>
      </c>
      <c r="T4632">
        <v>-4.7669409999999898E-3</v>
      </c>
      <c r="U4632">
        <v>-4.9285889999999999E-2</v>
      </c>
      <c r="V4632">
        <v>-9.3079679999999998E-3</v>
      </c>
      <c r="W4632">
        <v>-4.8633089999999997E-2</v>
      </c>
      <c r="X4632">
        <v>0.99877329999999998</v>
      </c>
      <c r="Y4632">
        <v>1.7501389999999999E-2</v>
      </c>
      <c r="Z4632">
        <v>-1.238543E-4</v>
      </c>
      <c r="AA4632">
        <v>0.99984680000000004</v>
      </c>
      <c r="AB4632">
        <v>29</v>
      </c>
      <c r="AC4632">
        <v>195.06979999999999</v>
      </c>
      <c r="AD4632">
        <v>-0.30982140000000002</v>
      </c>
      <c r="AE4632">
        <v>-3.2029999999999998</v>
      </c>
      <c r="AF4632">
        <v>3.4195713497324398</v>
      </c>
      <c r="AG4632">
        <v>-0.30982140000000002</v>
      </c>
      <c r="AH4632">
        <v>195.06563160882601</v>
      </c>
      <c r="AI4632">
        <v>90.090988435800895</v>
      </c>
      <c r="AJ4632">
        <v>88.995687052500301</v>
      </c>
      <c r="AK4632">
        <v>195.09584847573299</v>
      </c>
      <c r="AL4632">
        <v>92.787570499607597</v>
      </c>
      <c r="AM4632">
        <v>90.533946836168795</v>
      </c>
      <c r="AN4632">
        <v>0.99999996025206195</v>
      </c>
    </row>
    <row r="4633" spans="1:40" x14ac:dyDescent="0.25">
      <c r="A4633" t="str">
        <f>"20190303153901404"</f>
        <v>20190303153901404</v>
      </c>
      <c r="B4633" t="str">
        <f>"1551598741393249"</f>
        <v>1551598741393249</v>
      </c>
      <c r="C4633" t="s">
        <v>40</v>
      </c>
      <c r="D4633">
        <v>4.0761059999999896</v>
      </c>
      <c r="E4633">
        <v>0.5102738</v>
      </c>
      <c r="F4633" t="s">
        <v>67</v>
      </c>
      <c r="G4633">
        <v>-107.39749999999999</v>
      </c>
      <c r="H4633">
        <v>0.890381599999999</v>
      </c>
      <c r="I4633">
        <v>212.33160000000001</v>
      </c>
      <c r="J4633">
        <v>-302.17570000000001</v>
      </c>
      <c r="K4633">
        <v>1.1210290000000001</v>
      </c>
      <c r="L4633">
        <v>215.47040000000001</v>
      </c>
      <c r="M4633">
        <v>0.99989930000000005</v>
      </c>
      <c r="N4633">
        <v>-1.416487E-2</v>
      </c>
      <c r="O4633">
        <v>1.0203300000000001E-3</v>
      </c>
      <c r="P4633">
        <v>0.99793399999999999</v>
      </c>
      <c r="Q4633">
        <v>-6.3438690000000006E-2</v>
      </c>
      <c r="R4633">
        <v>1.017479E-2</v>
      </c>
      <c r="S4633">
        <v>3.0063780000000002</v>
      </c>
      <c r="T4633">
        <v>-3.5538670000000001E-3</v>
      </c>
      <c r="U4633">
        <v>-4.8370360000000001E-2</v>
      </c>
      <c r="V4633">
        <v>-9.1676540000000008E-3</v>
      </c>
      <c r="W4633">
        <v>-4.9294570000000003E-2</v>
      </c>
      <c r="X4633">
        <v>0.99874220000000002</v>
      </c>
      <c r="Y4633">
        <v>1.7107219999999999E-2</v>
      </c>
      <c r="Z4633">
        <v>-1.1803930000000001E-4</v>
      </c>
      <c r="AA4633">
        <v>0.99985369999999996</v>
      </c>
      <c r="AB4633">
        <v>29</v>
      </c>
      <c r="AC4633">
        <v>194.7782</v>
      </c>
      <c r="AD4633">
        <v>-0.2306474</v>
      </c>
      <c r="AE4633">
        <v>-3.1387999999999998</v>
      </c>
      <c r="AF4633">
        <v>3.33755163930272</v>
      </c>
      <c r="AG4633">
        <v>-0.2306474</v>
      </c>
      <c r="AH4633">
        <v>194.774622611654</v>
      </c>
      <c r="AI4633">
        <v>90.067838286703306</v>
      </c>
      <c r="AJ4633">
        <v>89.018306865416207</v>
      </c>
      <c r="AK4633">
        <v>194.80335228809699</v>
      </c>
      <c r="AL4633">
        <v>92.825515939964305</v>
      </c>
      <c r="AM4633">
        <v>90.525914625776096</v>
      </c>
      <c r="AN4633">
        <v>0.99999999128609396</v>
      </c>
    </row>
    <row r="4634" spans="1:40" x14ac:dyDescent="0.25">
      <c r="A4634" t="str">
        <f>"20190303153901427"</f>
        <v>20190303153901427</v>
      </c>
      <c r="B4634" t="str">
        <f>"1551598741422745"</f>
        <v>1551598741422745</v>
      </c>
      <c r="C4634" t="s">
        <v>40</v>
      </c>
      <c r="D4634">
        <v>4.2960250000000002</v>
      </c>
      <c r="E4634">
        <v>0.51018229999999998</v>
      </c>
      <c r="F4634" t="s">
        <v>67</v>
      </c>
      <c r="G4634">
        <v>-107.39749999999999</v>
      </c>
      <c r="H4634">
        <v>0.75358619999999898</v>
      </c>
      <c r="I4634">
        <v>212.34540000000001</v>
      </c>
      <c r="J4634">
        <v>-301.88650000000001</v>
      </c>
      <c r="K4634">
        <v>1.121027</v>
      </c>
      <c r="L4634">
        <v>215.47059999999999</v>
      </c>
      <c r="M4634">
        <v>0.99989930000000005</v>
      </c>
      <c r="N4634">
        <v>-1.4166969999999999E-2</v>
      </c>
      <c r="O4634">
        <v>9.3121290000000004E-4</v>
      </c>
      <c r="P4634">
        <v>0.99793279999999995</v>
      </c>
      <c r="Q4634">
        <v>-6.3528199999999896E-2</v>
      </c>
      <c r="R4634">
        <v>9.7078790000000009E-3</v>
      </c>
      <c r="S4634">
        <v>3.0063170000000001</v>
      </c>
      <c r="T4634">
        <v>-5.6705469999999997E-3</v>
      </c>
      <c r="U4634">
        <v>-4.8233030000000003E-2</v>
      </c>
      <c r="V4634">
        <v>-8.7894819999999995E-3</v>
      </c>
      <c r="W4634">
        <v>-4.9382099999999998E-2</v>
      </c>
      <c r="X4634">
        <v>0.99874130000000005</v>
      </c>
      <c r="Y4634">
        <v>1.697268E-2</v>
      </c>
      <c r="Z4634">
        <v>-1.2481039999999999E-4</v>
      </c>
      <c r="AA4634">
        <v>0.99985590000000002</v>
      </c>
      <c r="AB4634">
        <v>29</v>
      </c>
      <c r="AC4634">
        <v>194.489</v>
      </c>
      <c r="AD4634">
        <v>-0.36744080000000001</v>
      </c>
      <c r="AE4634">
        <v>-3.1251999999999698</v>
      </c>
      <c r="AF4634">
        <v>3.3063156733170098</v>
      </c>
      <c r="AG4634">
        <v>-0.36744080000000001</v>
      </c>
      <c r="AH4634">
        <v>194.48531113858101</v>
      </c>
      <c r="AI4634">
        <v>90.108233060419494</v>
      </c>
      <c r="AJ4634">
        <v>89.026046306712402</v>
      </c>
      <c r="AK4634">
        <v>194.513760399473</v>
      </c>
      <c r="AL4634">
        <v>92.830537086049802</v>
      </c>
      <c r="AM4634">
        <v>90.504221886145601</v>
      </c>
      <c r="AN4634">
        <v>1.00000001555996</v>
      </c>
    </row>
    <row r="4635" spans="1:40" x14ac:dyDescent="0.25">
      <c r="A4635" t="str">
        <f>"20190303153901450"</f>
        <v>20190303153901450</v>
      </c>
      <c r="B4635" t="str">
        <f>"1551598741443243"</f>
        <v>1551598741443243</v>
      </c>
      <c r="C4635" t="s">
        <v>40</v>
      </c>
      <c r="D4635">
        <v>4.0257849999999999</v>
      </c>
      <c r="E4635">
        <v>0.5101504</v>
      </c>
      <c r="F4635" t="s">
        <v>67</v>
      </c>
      <c r="G4635">
        <v>-107.39749999999999</v>
      </c>
      <c r="H4635">
        <v>0.69949289999999997</v>
      </c>
      <c r="I4635">
        <v>212.27709999999999</v>
      </c>
      <c r="J4635">
        <v>-301.5924</v>
      </c>
      <c r="K4635">
        <v>1.1210329999999999</v>
      </c>
      <c r="L4635">
        <v>215.47069999999999</v>
      </c>
      <c r="M4635">
        <v>0.99989930000000005</v>
      </c>
      <c r="N4635">
        <v>-1.416835E-2</v>
      </c>
      <c r="O4635">
        <v>8.4091190000000005E-4</v>
      </c>
      <c r="P4635">
        <v>0.99793370000000003</v>
      </c>
      <c r="Q4635">
        <v>-6.3587409999999997E-2</v>
      </c>
      <c r="R4635">
        <v>9.2275240000000008E-3</v>
      </c>
      <c r="S4635">
        <v>3.0062869999999999</v>
      </c>
      <c r="T4635">
        <v>-6.5150260000000002E-3</v>
      </c>
      <c r="U4635">
        <v>-4.9362179999999999E-2</v>
      </c>
      <c r="V4635">
        <v>-8.3994199999999995E-3</v>
      </c>
      <c r="W4635">
        <v>-4.944001E-2</v>
      </c>
      <c r="X4635">
        <v>0.99874180000000001</v>
      </c>
      <c r="Y4635">
        <v>1.7257950000000001E-2</v>
      </c>
      <c r="Z4635">
        <v>-1.308808E-4</v>
      </c>
      <c r="AA4635">
        <v>0.99985100000000005</v>
      </c>
      <c r="AB4635">
        <v>29</v>
      </c>
      <c r="AC4635">
        <v>194.19489999999999</v>
      </c>
      <c r="AD4635">
        <v>-0.42154009999999997</v>
      </c>
      <c r="AE4635">
        <v>-3.1936</v>
      </c>
      <c r="AF4635">
        <v>3.35690024792145</v>
      </c>
      <c r="AG4635">
        <v>-0.42154009999999997</v>
      </c>
      <c r="AH4635">
        <v>194.19123074458</v>
      </c>
      <c r="AI4635">
        <v>90.124355887417295</v>
      </c>
      <c r="AJ4635">
        <v>89.009651152486796</v>
      </c>
      <c r="AK4635">
        <v>194.22070068204599</v>
      </c>
      <c r="AL4635">
        <v>92.833859118576399</v>
      </c>
      <c r="AM4635">
        <v>90.4818462297645</v>
      </c>
      <c r="AN4635">
        <v>1.0000000239561799</v>
      </c>
    </row>
    <row r="4636" spans="1:40" x14ac:dyDescent="0.25">
      <c r="A4636" t="str">
        <f>"20190303153901472"</f>
        <v>20190303153901472</v>
      </c>
      <c r="B4636" t="str">
        <f>"1551598741462762"</f>
        <v>1551598741462762</v>
      </c>
      <c r="C4636" t="s">
        <v>40</v>
      </c>
      <c r="D4636">
        <v>4.0020069999999999</v>
      </c>
      <c r="E4636">
        <v>0.51011149999999905</v>
      </c>
      <c r="F4636" t="s">
        <v>67</v>
      </c>
      <c r="G4636">
        <v>-107.39749999999999</v>
      </c>
      <c r="H4636">
        <v>0.66974899999999904</v>
      </c>
      <c r="I4636">
        <v>212.1884</v>
      </c>
      <c r="J4636">
        <v>-301.30070000000001</v>
      </c>
      <c r="K4636">
        <v>1.1210370000000001</v>
      </c>
      <c r="L4636">
        <v>215.4709</v>
      </c>
      <c r="M4636">
        <v>0.99989939999999999</v>
      </c>
      <c r="N4636">
        <v>-1.4169070000000001E-2</v>
      </c>
      <c r="O4636">
        <v>7.5397389999999999E-4</v>
      </c>
      <c r="P4636">
        <v>0.99797789999999997</v>
      </c>
      <c r="Q4636">
        <v>-6.3035279999999999E-2</v>
      </c>
      <c r="R4636">
        <v>8.1773739999999994E-3</v>
      </c>
      <c r="S4636">
        <v>3.0062259999999998</v>
      </c>
      <c r="T4636">
        <v>-6.9853069999999996E-3</v>
      </c>
      <c r="U4636">
        <v>-5.0811769999999999E-2</v>
      </c>
      <c r="V4636">
        <v>-7.4352380000000003E-3</v>
      </c>
      <c r="W4636">
        <v>-4.8886869999999999E-2</v>
      </c>
      <c r="X4636">
        <v>0.99877669999999996</v>
      </c>
      <c r="Y4636">
        <v>1.765332E-2</v>
      </c>
      <c r="Z4636">
        <v>-1.3665899999999999E-4</v>
      </c>
      <c r="AA4636">
        <v>0.99984410000000001</v>
      </c>
      <c r="AB4636">
        <v>29</v>
      </c>
      <c r="AC4636">
        <v>193.9032</v>
      </c>
      <c r="AD4636">
        <v>-0.45128800000000002</v>
      </c>
      <c r="AE4636">
        <v>-3.28249999999999</v>
      </c>
      <c r="AF4636">
        <v>3.4286931191505201</v>
      </c>
      <c r="AG4636">
        <v>-0.45128800000000002</v>
      </c>
      <c r="AH4636">
        <v>193.89961970456599</v>
      </c>
      <c r="AI4636">
        <v>90.133330893419995</v>
      </c>
      <c r="AJ4636">
        <v>88.986954313425102</v>
      </c>
      <c r="AK4636">
        <v>193.930456914172</v>
      </c>
      <c r="AL4636">
        <v>92.802128080244202</v>
      </c>
      <c r="AM4636">
        <v>90.426521651736195</v>
      </c>
      <c r="AN4636">
        <v>1.0000000526427</v>
      </c>
    </row>
    <row r="4637" spans="1:40" x14ac:dyDescent="0.25">
      <c r="A4637" t="str">
        <f>"20190303153901493"</f>
        <v>20190303153901493</v>
      </c>
      <c r="B4637" t="str">
        <f>"1551598741483258"</f>
        <v>1551598741483258</v>
      </c>
      <c r="C4637" t="s">
        <v>40</v>
      </c>
      <c r="D4637">
        <v>4.05192</v>
      </c>
      <c r="E4637">
        <v>0.51002709999999996</v>
      </c>
      <c r="F4637" t="s">
        <v>67</v>
      </c>
      <c r="G4637">
        <v>-107.39749999999999</v>
      </c>
      <c r="H4637">
        <v>0.7660517</v>
      </c>
      <c r="I4637">
        <v>212.0369</v>
      </c>
      <c r="J4637">
        <v>-301.02030000000002</v>
      </c>
      <c r="K4637">
        <v>1.12104</v>
      </c>
      <c r="L4637">
        <v>215.471</v>
      </c>
      <c r="M4637">
        <v>0.99989939999999999</v>
      </c>
      <c r="N4637">
        <v>-1.4169259999999999E-2</v>
      </c>
      <c r="O4637">
        <v>6.7277289999999996E-4</v>
      </c>
      <c r="P4637">
        <v>0.99799249999999995</v>
      </c>
      <c r="Q4637">
        <v>-6.2875070000000005E-2</v>
      </c>
      <c r="R4637">
        <v>7.5958629999999996E-3</v>
      </c>
      <c r="S4637">
        <v>3.0061650000000002</v>
      </c>
      <c r="T4637">
        <v>-5.5027009999999996E-3</v>
      </c>
      <c r="U4637">
        <v>-5.3237920000000001E-2</v>
      </c>
      <c r="V4637">
        <v>-6.9347480000000001E-3</v>
      </c>
      <c r="W4637">
        <v>-4.8726430000000001E-2</v>
      </c>
      <c r="X4637">
        <v>0.99878809999999996</v>
      </c>
      <c r="Y4637">
        <v>1.8379220000000002E-2</v>
      </c>
      <c r="Z4637">
        <v>-1.3874659999999999E-4</v>
      </c>
      <c r="AA4637">
        <v>0.99983109999999997</v>
      </c>
      <c r="AB4637">
        <v>29</v>
      </c>
      <c r="AC4637">
        <v>193.62280000000001</v>
      </c>
      <c r="AD4637">
        <v>-0.35498829999999998</v>
      </c>
      <c r="AE4637">
        <v>-3.4340999999999702</v>
      </c>
      <c r="AF4637">
        <v>3.5643644943878399</v>
      </c>
      <c r="AG4637">
        <v>-0.35498829999999998</v>
      </c>
      <c r="AH4637">
        <v>193.619794949496</v>
      </c>
      <c r="AI4637">
        <v>90.105029875813898</v>
      </c>
      <c r="AJ4637">
        <v>88.945355887366503</v>
      </c>
      <c r="AK4637">
        <v>193.65292589379399</v>
      </c>
      <c r="AL4637">
        <v>92.792924690562998</v>
      </c>
      <c r="AM4637">
        <v>90.397807510702293</v>
      </c>
      <c r="AN4637">
        <v>1.00000001220598</v>
      </c>
    </row>
    <row r="4638" spans="1:40" x14ac:dyDescent="0.25">
      <c r="A4638" t="str">
        <f>"20190303153901516"</f>
        <v>20190303153901516</v>
      </c>
      <c r="B4638" t="str">
        <f>"1551598741513514"</f>
        <v>1551598741513514</v>
      </c>
      <c r="C4638" t="s">
        <v>40</v>
      </c>
      <c r="D4638">
        <v>4.06053</v>
      </c>
      <c r="E4638">
        <v>0.50990239999999998</v>
      </c>
      <c r="F4638" t="s">
        <v>67</v>
      </c>
      <c r="G4638">
        <v>-107.39749999999999</v>
      </c>
      <c r="H4638">
        <v>0.78700159999999997</v>
      </c>
      <c r="I4638">
        <v>211.97020000000001</v>
      </c>
      <c r="J4638">
        <v>-300.72770000000003</v>
      </c>
      <c r="K4638">
        <v>1.1210500000000001</v>
      </c>
      <c r="L4638">
        <v>215.47110000000001</v>
      </c>
      <c r="M4638">
        <v>0.9998996</v>
      </c>
      <c r="N4638">
        <v>-1.4169040000000001E-2</v>
      </c>
      <c r="O4638">
        <v>5.9021189999999997E-4</v>
      </c>
      <c r="P4638">
        <v>0.99799850000000001</v>
      </c>
      <c r="Q4638">
        <v>-6.2806639999999997E-2</v>
      </c>
      <c r="R4638">
        <v>7.3689150000000002E-3</v>
      </c>
      <c r="S4638">
        <v>3.0061040000000001</v>
      </c>
      <c r="T4638">
        <v>-5.1853659999999899E-3</v>
      </c>
      <c r="U4638">
        <v>-5.435181E-2</v>
      </c>
      <c r="V4638">
        <v>-6.7895109999999998E-3</v>
      </c>
      <c r="W4638">
        <v>-4.8658220000000002E-2</v>
      </c>
      <c r="X4638">
        <v>0.99879240000000002</v>
      </c>
      <c r="Y4638">
        <v>1.8667400000000001E-2</v>
      </c>
      <c r="Z4638">
        <v>-1.4102219999999999E-4</v>
      </c>
      <c r="AA4638">
        <v>0.99982570000000004</v>
      </c>
      <c r="AB4638">
        <v>29</v>
      </c>
      <c r="AC4638">
        <v>193.33019999999999</v>
      </c>
      <c r="AD4638">
        <v>-0.33404840000000002</v>
      </c>
      <c r="AE4638">
        <v>-3.5009000000000001</v>
      </c>
      <c r="AF4638">
        <v>3.61500582314887</v>
      </c>
      <c r="AG4638">
        <v>-0.33404840000000002</v>
      </c>
      <c r="AH4638">
        <v>193.327522846801</v>
      </c>
      <c r="AI4638">
        <v>90.098983315872502</v>
      </c>
      <c r="AJ4638">
        <v>88.928758624809007</v>
      </c>
      <c r="AK4638">
        <v>193.36160669976701</v>
      </c>
      <c r="AL4638">
        <v>92.789011968831304</v>
      </c>
      <c r="AM4638">
        <v>90.389474663101296</v>
      </c>
      <c r="AN4638">
        <v>0.99999998906547305</v>
      </c>
    </row>
    <row r="4639" spans="1:40" x14ac:dyDescent="0.25">
      <c r="A4639" t="str">
        <f>"20190303153901538"</f>
        <v>20190303153901538</v>
      </c>
      <c r="B4639" t="str">
        <f>"1551598741533034"</f>
        <v>1551598741533034</v>
      </c>
      <c r="C4639" t="s">
        <v>40</v>
      </c>
      <c r="D4639">
        <v>4.0205489999999999</v>
      </c>
      <c r="E4639">
        <v>0.5098549</v>
      </c>
      <c r="F4639" t="s">
        <v>67</v>
      </c>
      <c r="G4639">
        <v>-107.39749999999999</v>
      </c>
      <c r="H4639">
        <v>0.77360499999999999</v>
      </c>
      <c r="I4639">
        <v>211.99119999999999</v>
      </c>
      <c r="J4639">
        <v>-300.43619999999999</v>
      </c>
      <c r="K4639">
        <v>1.121059</v>
      </c>
      <c r="L4639">
        <v>215.47120000000001</v>
      </c>
      <c r="M4639">
        <v>0.9998996</v>
      </c>
      <c r="N4639">
        <v>-1.4168429999999999E-2</v>
      </c>
      <c r="O4639">
        <v>5.114087E-4</v>
      </c>
      <c r="P4639">
        <v>0.99800520000000004</v>
      </c>
      <c r="Q4639">
        <v>-6.2658210000000006E-2</v>
      </c>
      <c r="R4639">
        <v>7.73918099999999E-3</v>
      </c>
      <c r="S4639">
        <v>3.0060730000000002</v>
      </c>
      <c r="T4639">
        <v>-5.4016109999999997E-3</v>
      </c>
      <c r="U4639">
        <v>-5.4107669999999997E-2</v>
      </c>
      <c r="V4639">
        <v>-7.2386769999999998E-3</v>
      </c>
      <c r="W4639">
        <v>-4.8510280000000003E-2</v>
      </c>
      <c r="X4639">
        <v>0.99879649999999998</v>
      </c>
      <c r="Y4639">
        <v>1.8507610000000001E-2</v>
      </c>
      <c r="Z4639">
        <v>-1.4143000000000001E-4</v>
      </c>
      <c r="AA4639">
        <v>0.99982870000000001</v>
      </c>
      <c r="AB4639">
        <v>29</v>
      </c>
      <c r="AC4639">
        <v>193.03870000000001</v>
      </c>
      <c r="AD4639">
        <v>-0.34745399999999999</v>
      </c>
      <c r="AE4639">
        <v>-3.4800000000000102</v>
      </c>
      <c r="AF4639">
        <v>3.5787195249456598</v>
      </c>
      <c r="AG4639">
        <v>-0.34745399999999999</v>
      </c>
      <c r="AH4639">
        <v>193.03626969266799</v>
      </c>
      <c r="AI4639">
        <v>90.103111224057997</v>
      </c>
      <c r="AJ4639">
        <v>88.937909239864297</v>
      </c>
      <c r="AK4639">
        <v>193.069752614387</v>
      </c>
      <c r="AL4639">
        <v>92.780525448080596</v>
      </c>
      <c r="AM4639">
        <v>90.415238119186895</v>
      </c>
      <c r="AN4639">
        <v>1.00000004706131</v>
      </c>
    </row>
    <row r="4640" spans="1:40" x14ac:dyDescent="0.25">
      <c r="A4640" t="str">
        <f>"20190303153901554"</f>
        <v>20190303153901554</v>
      </c>
      <c r="B4640" t="str">
        <f>"1551598741542794"</f>
        <v>1551598741542794</v>
      </c>
      <c r="C4640" t="s">
        <v>40</v>
      </c>
      <c r="D4640">
        <v>4.0110859999999997</v>
      </c>
      <c r="E4640">
        <v>0.50982329999999998</v>
      </c>
      <c r="F4640" t="s">
        <v>67</v>
      </c>
      <c r="G4640">
        <v>-107.39749999999999</v>
      </c>
      <c r="H4640">
        <v>0.79454969999999903</v>
      </c>
      <c r="I4640">
        <v>212.10830000000001</v>
      </c>
      <c r="J4640">
        <v>-300.2364</v>
      </c>
      <c r="K4640">
        <v>1.1210610000000001</v>
      </c>
      <c r="L4640">
        <v>215.47120000000001</v>
      </c>
      <c r="M4640">
        <v>0.99989950000000005</v>
      </c>
      <c r="N4640">
        <v>-1.4167819999999999E-2</v>
      </c>
      <c r="O4640">
        <v>4.5971279999999998E-4</v>
      </c>
      <c r="P4640">
        <v>0.99802389999999996</v>
      </c>
      <c r="Q4640">
        <v>-6.2251580000000001E-2</v>
      </c>
      <c r="R4640">
        <v>8.5514990000000006E-3</v>
      </c>
      <c r="S4640">
        <v>3.0061040000000001</v>
      </c>
      <c r="T4640">
        <v>-5.083799E-3</v>
      </c>
      <c r="U4640">
        <v>-5.2368159999999997E-2</v>
      </c>
      <c r="V4640">
        <v>-8.1018229999999993E-3</v>
      </c>
      <c r="W4640">
        <v>-4.8103899999999998E-2</v>
      </c>
      <c r="X4640">
        <v>0.99880950000000002</v>
      </c>
      <c r="Y4640">
        <v>1.787739E-2</v>
      </c>
      <c r="Z4640">
        <v>-1.3603859999999999E-4</v>
      </c>
      <c r="AA4640">
        <v>0.99984019999999996</v>
      </c>
      <c r="AB4640">
        <v>29</v>
      </c>
      <c r="AC4640">
        <v>192.8389</v>
      </c>
      <c r="AD4640">
        <v>-0.3265113</v>
      </c>
      <c r="AE4640">
        <v>-3.36289999999999</v>
      </c>
      <c r="AF4640">
        <v>3.45154916403248</v>
      </c>
      <c r="AG4640">
        <v>-0.3265113</v>
      </c>
      <c r="AH4640">
        <v>192.83678082680899</v>
      </c>
      <c r="AI4640">
        <v>90.096997603628907</v>
      </c>
      <c r="AJ4640">
        <v>88.974583144590497</v>
      </c>
      <c r="AK4640">
        <v>192.86794404697599</v>
      </c>
      <c r="AL4640">
        <v>92.757214447067199</v>
      </c>
      <c r="AM4640">
        <v>90.464743360778698</v>
      </c>
      <c r="AN4640">
        <v>1.0000000210106901</v>
      </c>
    </row>
    <row r="4641" spans="1:40" x14ac:dyDescent="0.25">
      <c r="A4641" t="str">
        <f>"20190303153901572"</f>
        <v>20190303153901572</v>
      </c>
      <c r="B4641" t="str">
        <f>"1551598741563293"</f>
        <v>1551598741563293</v>
      </c>
      <c r="C4641" t="s">
        <v>40</v>
      </c>
      <c r="D4641">
        <v>4.0240819999999999</v>
      </c>
      <c r="E4641">
        <v>0.50975630000000005</v>
      </c>
      <c r="F4641" t="s">
        <v>67</v>
      </c>
      <c r="G4641">
        <v>-107.39749999999999</v>
      </c>
      <c r="H4641">
        <v>0.86893159999999903</v>
      </c>
      <c r="I4641">
        <v>212.29390000000001</v>
      </c>
      <c r="J4641">
        <v>-300.00229999999999</v>
      </c>
      <c r="K4641">
        <v>1.1210599999999999</v>
      </c>
      <c r="L4641">
        <v>215.47130000000001</v>
      </c>
      <c r="M4641">
        <v>0.9998996</v>
      </c>
      <c r="N4641">
        <v>-1.4166899999999901E-2</v>
      </c>
      <c r="O4641">
        <v>4.0147050000000002E-4</v>
      </c>
      <c r="P4641">
        <v>0.99801430000000002</v>
      </c>
      <c r="Q4641">
        <v>-6.2171940000000002E-2</v>
      </c>
      <c r="R4641">
        <v>1.0098640000000001E-2</v>
      </c>
      <c r="S4641">
        <v>3.0061339999999999</v>
      </c>
      <c r="T4641">
        <v>-3.929615E-3</v>
      </c>
      <c r="U4641">
        <v>-4.9530030000000003E-2</v>
      </c>
      <c r="V4641">
        <v>-9.7068769999999992E-3</v>
      </c>
      <c r="W4641">
        <v>-4.8025089999999999E-2</v>
      </c>
      <c r="X4641">
        <v>0.99879899999999999</v>
      </c>
      <c r="Y4641">
        <v>1.6875339999999999E-2</v>
      </c>
      <c r="Z4641">
        <v>-1.254165E-4</v>
      </c>
      <c r="AA4641">
        <v>0.99985760000000001</v>
      </c>
      <c r="AB4641">
        <v>29</v>
      </c>
      <c r="AC4641">
        <v>192.60480000000001</v>
      </c>
      <c r="AD4641">
        <v>-0.25212839999999997</v>
      </c>
      <c r="AE4641">
        <v>-3.1774</v>
      </c>
      <c r="AF4641">
        <v>3.2547270714521099</v>
      </c>
      <c r="AG4641">
        <v>-0.25212839999999997</v>
      </c>
      <c r="AH4641">
        <v>192.60317875974101</v>
      </c>
      <c r="AI4641">
        <v>90.074992650142903</v>
      </c>
      <c r="AJ4641">
        <v>89.031872796225599</v>
      </c>
      <c r="AK4641">
        <v>192.63084198901399</v>
      </c>
      <c r="AL4641">
        <v>92.752693696295296</v>
      </c>
      <c r="AM4641">
        <v>90.556814309426599</v>
      </c>
      <c r="AN4641">
        <v>1.00000003756579</v>
      </c>
    </row>
    <row r="4642" spans="1:40" x14ac:dyDescent="0.25">
      <c r="A4642" t="str">
        <f>"20190303153901593"</f>
        <v>20190303153901593</v>
      </c>
      <c r="B4642" t="str">
        <f>"1551598741582811"</f>
        <v>1551598741582811</v>
      </c>
      <c r="C4642" t="s">
        <v>40</v>
      </c>
      <c r="D4642">
        <v>4.0054629999999998</v>
      </c>
      <c r="E4642">
        <v>0.50970689999999996</v>
      </c>
      <c r="F4642" t="s">
        <v>67</v>
      </c>
      <c r="G4642">
        <v>-107.39749999999999</v>
      </c>
      <c r="H4642">
        <v>0.87601629999999997</v>
      </c>
      <c r="I4642">
        <v>212.61859999999999</v>
      </c>
      <c r="J4642">
        <v>-299.71940000000001</v>
      </c>
      <c r="K4642">
        <v>1.1210629999999999</v>
      </c>
      <c r="L4642">
        <v>215.47130000000001</v>
      </c>
      <c r="M4642">
        <v>0.9998996</v>
      </c>
      <c r="N4642">
        <v>-1.4165560000000001E-2</v>
      </c>
      <c r="O4642">
        <v>3.356139E-4</v>
      </c>
      <c r="P4642">
        <v>0.99799499999999997</v>
      </c>
      <c r="Q4642">
        <v>-6.236564E-2</v>
      </c>
      <c r="R4642">
        <v>1.0805250000000001E-2</v>
      </c>
      <c r="S4642">
        <v>3.006195</v>
      </c>
      <c r="T4642">
        <v>-3.8238759999999999E-3</v>
      </c>
      <c r="U4642">
        <v>-4.4525149999999999E-2</v>
      </c>
      <c r="V4642">
        <v>-1.04788E-2</v>
      </c>
      <c r="W4642">
        <v>-4.8220310000000002E-2</v>
      </c>
      <c r="X4642">
        <v>0.99878169999999999</v>
      </c>
      <c r="Y4642">
        <v>1.5144940000000001E-2</v>
      </c>
      <c r="Z4642">
        <v>-1.1258440000000001E-4</v>
      </c>
      <c r="AA4642">
        <v>0.99988529999999998</v>
      </c>
      <c r="AB4642">
        <v>29</v>
      </c>
      <c r="AC4642">
        <v>192.3219</v>
      </c>
      <c r="AD4642">
        <v>-0.24504669999999901</v>
      </c>
      <c r="AE4642">
        <v>-2.85270000000002</v>
      </c>
      <c r="AF4642">
        <v>2.9172474846679499</v>
      </c>
      <c r="AG4642">
        <v>-0.24504669999999901</v>
      </c>
      <c r="AH4642">
        <v>192.320619509545</v>
      </c>
      <c r="AI4642">
        <v>90.072995392669995</v>
      </c>
      <c r="AJ4642">
        <v>89.130966032611994</v>
      </c>
      <c r="AK4642">
        <v>192.342899711185</v>
      </c>
      <c r="AL4642">
        <v>92.7638922109943</v>
      </c>
      <c r="AM4642">
        <v>90.601101308535704</v>
      </c>
      <c r="AN4642">
        <v>0.99999994390041103</v>
      </c>
    </row>
    <row r="4643" spans="1:40" x14ac:dyDescent="0.25">
      <c r="A4643" t="str">
        <f>"20190303153901617"</f>
        <v>20190303153901617</v>
      </c>
      <c r="B4643" t="str">
        <f>"1551598741613066"</f>
        <v>1551598741613066</v>
      </c>
      <c r="C4643" t="s">
        <v>40</v>
      </c>
      <c r="D4643">
        <v>4.0265269999999997</v>
      </c>
      <c r="E4643">
        <v>0.50959750000000004</v>
      </c>
      <c r="F4643" t="s">
        <v>67</v>
      </c>
      <c r="G4643">
        <v>-107.39749999999999</v>
      </c>
      <c r="H4643">
        <v>0.82173600000000002</v>
      </c>
      <c r="I4643">
        <v>212.76240000000001</v>
      </c>
      <c r="J4643">
        <v>-299.42</v>
      </c>
      <c r="K4643">
        <v>1.1210659999999999</v>
      </c>
      <c r="L4643">
        <v>215.47130000000001</v>
      </c>
      <c r="M4643">
        <v>0.99989969999999995</v>
      </c>
      <c r="N4643">
        <v>-1.41639E-2</v>
      </c>
      <c r="O4643">
        <v>2.7132920000000002E-4</v>
      </c>
      <c r="P4643">
        <v>0.9980154</v>
      </c>
      <c r="Q4643">
        <v>-6.1958220000000001E-2</v>
      </c>
      <c r="R4643">
        <v>1.1239209999999999E-2</v>
      </c>
      <c r="S4643">
        <v>3.006195</v>
      </c>
      <c r="T4643">
        <v>-4.6780110000000001E-3</v>
      </c>
      <c r="U4643">
        <v>-4.2343140000000001E-2</v>
      </c>
      <c r="V4643">
        <v>-1.0976700000000001E-2</v>
      </c>
      <c r="W4643">
        <v>-4.7814330000000002E-2</v>
      </c>
      <c r="X4643">
        <v>0.99879589999999996</v>
      </c>
      <c r="Y4643">
        <v>1.435503E-2</v>
      </c>
      <c r="Z4643">
        <v>-1.0942000000000001E-4</v>
      </c>
      <c r="AA4643">
        <v>0.99989689999999998</v>
      </c>
      <c r="AB4643">
        <v>29</v>
      </c>
      <c r="AC4643">
        <v>192.02250000000001</v>
      </c>
      <c r="AD4643">
        <v>-0.29932999999999899</v>
      </c>
      <c r="AE4643">
        <v>-2.7088999999999999</v>
      </c>
      <c r="AF4643">
        <v>2.7609997282007299</v>
      </c>
      <c r="AG4643">
        <v>-0.29932999999999899</v>
      </c>
      <c r="AH4643">
        <v>192.02129134477701</v>
      </c>
      <c r="AI4643">
        <v>90.089305509192798</v>
      </c>
      <c r="AJ4643">
        <v>89.176222959342198</v>
      </c>
      <c r="AK4643">
        <v>192.04137327061599</v>
      </c>
      <c r="AL4643">
        <v>92.740604324061096</v>
      </c>
      <c r="AM4643">
        <v>90.629651428126195</v>
      </c>
      <c r="AN4643">
        <v>0.99999997397652396</v>
      </c>
    </row>
    <row r="4644" spans="1:40" x14ac:dyDescent="0.25">
      <c r="A4644" t="str">
        <f>"20190303153901640"</f>
        <v>20190303153901640</v>
      </c>
      <c r="B4644" t="str">
        <f>"1551598741633562"</f>
        <v>1551598741633562</v>
      </c>
      <c r="C4644" t="s">
        <v>40</v>
      </c>
      <c r="D4644">
        <v>4.0720769999999904</v>
      </c>
      <c r="E4644">
        <v>0.50952219999999904</v>
      </c>
      <c r="F4644" t="s">
        <v>67</v>
      </c>
      <c r="G4644">
        <v>-107.39749999999999</v>
      </c>
      <c r="H4644">
        <v>0.86460840000000005</v>
      </c>
      <c r="I4644">
        <v>212.91380000000001</v>
      </c>
      <c r="J4644">
        <v>-299.12689999999998</v>
      </c>
      <c r="K4644">
        <v>1.1210850000000001</v>
      </c>
      <c r="L4644">
        <v>215.47130000000001</v>
      </c>
      <c r="M4644">
        <v>0.99989969999999995</v>
      </c>
      <c r="N4644">
        <v>-1.416209E-2</v>
      </c>
      <c r="O4644">
        <v>2.163124E-4</v>
      </c>
      <c r="P4644">
        <v>0.99800880000000003</v>
      </c>
      <c r="Q4644">
        <v>-6.209025E-2</v>
      </c>
      <c r="R4644">
        <v>1.1116600000000001E-2</v>
      </c>
      <c r="S4644">
        <v>3.0061650000000002</v>
      </c>
      <c r="T4644">
        <v>-4.0141339999999999E-3</v>
      </c>
      <c r="U4644">
        <v>-4.0039060000000001E-2</v>
      </c>
      <c r="V4644">
        <v>-1.090853E-2</v>
      </c>
      <c r="W4644">
        <v>-4.7948409999999997E-2</v>
      </c>
      <c r="X4644">
        <v>0.99879030000000002</v>
      </c>
      <c r="Y4644">
        <v>1.3533959999999999E-2</v>
      </c>
      <c r="Z4644">
        <v>-1.0210510000000001E-4</v>
      </c>
      <c r="AA4644">
        <v>0.99990840000000003</v>
      </c>
      <c r="AB4644">
        <v>29</v>
      </c>
      <c r="AC4644">
        <v>191.7294</v>
      </c>
      <c r="AD4644">
        <v>-0.2564766</v>
      </c>
      <c r="AE4644">
        <v>-2.5575000000000001</v>
      </c>
      <c r="AF4644">
        <v>2.5989728961632399</v>
      </c>
      <c r="AG4644">
        <v>-0.2564766</v>
      </c>
      <c r="AH4644">
        <v>191.72849921270199</v>
      </c>
      <c r="AI4644">
        <v>90.076637892086794</v>
      </c>
      <c r="AJ4644">
        <v>89.223375456290697</v>
      </c>
      <c r="AK4644">
        <v>191.74628510278001</v>
      </c>
      <c r="AL4644">
        <v>92.748295141727596</v>
      </c>
      <c r="AM4644">
        <v>90.625744843574495</v>
      </c>
      <c r="AN4644">
        <v>1.00000005471118</v>
      </c>
    </row>
    <row r="4645" spans="1:40" x14ac:dyDescent="0.25">
      <c r="A4645" t="str">
        <f>"20190303153901662"</f>
        <v>20190303153901662</v>
      </c>
      <c r="B4645" t="str">
        <f>"1551598741653082"</f>
        <v>1551598741653082</v>
      </c>
      <c r="C4645" t="s">
        <v>40</v>
      </c>
      <c r="D4645">
        <v>4.0574830000000004</v>
      </c>
      <c r="E4645">
        <v>0.50944670000000003</v>
      </c>
      <c r="F4645" t="s">
        <v>67</v>
      </c>
      <c r="G4645">
        <v>-107.39749999999999</v>
      </c>
      <c r="H4645">
        <v>0.82863980000000004</v>
      </c>
      <c r="I4645">
        <v>212.9419</v>
      </c>
      <c r="J4645">
        <v>-298.84059999999999</v>
      </c>
      <c r="K4645">
        <v>1.121097</v>
      </c>
      <c r="L4645">
        <v>215.47130000000001</v>
      </c>
      <c r="M4645">
        <v>0.99989969999999995</v>
      </c>
      <c r="N4645">
        <v>-1.416015E-2</v>
      </c>
      <c r="O4645">
        <v>1.73678499999999E-4</v>
      </c>
      <c r="P4645">
        <v>0.99806229999999996</v>
      </c>
      <c r="Q4645">
        <v>-6.125564E-2</v>
      </c>
      <c r="R4645">
        <v>1.092336E-2</v>
      </c>
      <c r="S4645">
        <v>3.0061040000000001</v>
      </c>
      <c r="T4645">
        <v>-4.5844320000000003E-3</v>
      </c>
      <c r="U4645">
        <v>-3.965759E-2</v>
      </c>
      <c r="V4645">
        <v>-1.075655E-2</v>
      </c>
      <c r="W4645">
        <v>-4.7115329999999997E-2</v>
      </c>
      <c r="X4645">
        <v>0.99883149999999998</v>
      </c>
      <c r="Y4645">
        <v>1.336472E-2</v>
      </c>
      <c r="Z4645">
        <v>-1.026286E-4</v>
      </c>
      <c r="AA4645">
        <v>0.99991070000000004</v>
      </c>
      <c r="AB4645">
        <v>29</v>
      </c>
      <c r="AC4645">
        <v>191.44309999999999</v>
      </c>
      <c r="AD4645">
        <v>-0.29245719999999897</v>
      </c>
      <c r="AE4645">
        <v>-2.5293999999999999</v>
      </c>
      <c r="AF4645">
        <v>2.5626468676422398</v>
      </c>
      <c r="AG4645">
        <v>-0.29245719999999897</v>
      </c>
      <c r="AH4645">
        <v>191.44221107470699</v>
      </c>
      <c r="AI4645">
        <v>90.087520140204703</v>
      </c>
      <c r="AJ4645">
        <v>89.233084071873293</v>
      </c>
      <c r="AK4645">
        <v>191.45958547786199</v>
      </c>
      <c r="AL4645">
        <v>92.700509415305504</v>
      </c>
      <c r="AM4645">
        <v>90.617002060521799</v>
      </c>
      <c r="AN4645">
        <v>0.99999996154058002</v>
      </c>
    </row>
    <row r="4646" spans="1:40" x14ac:dyDescent="0.25">
      <c r="A4646" t="str">
        <f>"20190303153901683"</f>
        <v>20190303153901683</v>
      </c>
      <c r="B4646" t="str">
        <f>"1551598741673582"</f>
        <v>1551598741673582</v>
      </c>
      <c r="C4646" t="s">
        <v>40</v>
      </c>
      <c r="D4646">
        <v>4.0594839999999897</v>
      </c>
      <c r="E4646">
        <v>0.50937520000000003</v>
      </c>
      <c r="F4646" t="s">
        <v>67</v>
      </c>
      <c r="G4646">
        <v>-107.39749999999999</v>
      </c>
      <c r="H4646">
        <v>0.96643159999999895</v>
      </c>
      <c r="I4646">
        <v>212.9263</v>
      </c>
      <c r="J4646">
        <v>-298.56240000000003</v>
      </c>
      <c r="K4646">
        <v>1.1211059999999999</v>
      </c>
      <c r="L4646">
        <v>215.47130000000001</v>
      </c>
      <c r="M4646">
        <v>0.99989989999999995</v>
      </c>
      <c r="N4646">
        <v>-1.415811E-2</v>
      </c>
      <c r="O4646">
        <v>1.4467150000000001E-4</v>
      </c>
      <c r="P4646">
        <v>0.99808249999999998</v>
      </c>
      <c r="Q4646">
        <v>-6.1070649999999997E-2</v>
      </c>
      <c r="R4646">
        <v>1.010048E-2</v>
      </c>
      <c r="S4646">
        <v>3.0061040000000001</v>
      </c>
      <c r="T4646">
        <v>-2.4278160000000002E-3</v>
      </c>
      <c r="U4646">
        <v>-3.9962770000000002E-2</v>
      </c>
      <c r="V4646">
        <v>-9.9612439999999993E-3</v>
      </c>
      <c r="W4646">
        <v>-4.6932479999999999E-2</v>
      </c>
      <c r="X4646">
        <v>0.99884839999999997</v>
      </c>
      <c r="Y4646">
        <v>1.3437279999999999E-2</v>
      </c>
      <c r="Z4646" s="1">
        <v>-9.8626970000000001E-5</v>
      </c>
      <c r="AA4646">
        <v>0.99990970000000001</v>
      </c>
      <c r="AB4646">
        <v>29</v>
      </c>
      <c r="AC4646">
        <v>191.16489999999999</v>
      </c>
      <c r="AD4646">
        <v>-0.15467439999999999</v>
      </c>
      <c r="AE4646">
        <v>-2.5450000000000101</v>
      </c>
      <c r="AF4646">
        <v>2.5726571706205701</v>
      </c>
      <c r="AG4646">
        <v>-0.15467439999999999</v>
      </c>
      <c r="AH4646">
        <v>191.164404646365</v>
      </c>
      <c r="AI4646">
        <v>90.046354790691694</v>
      </c>
      <c r="AJ4646">
        <v>89.228969951718199</v>
      </c>
      <c r="AK4646">
        <v>191.181777617237</v>
      </c>
      <c r="AL4646">
        <v>92.690021161931895</v>
      </c>
      <c r="AM4646">
        <v>90.571376317044894</v>
      </c>
      <c r="AN4646">
        <v>1.0000000051217599</v>
      </c>
    </row>
    <row r="4647" spans="1:40" x14ac:dyDescent="0.25">
      <c r="A4647" t="str">
        <f>"20190303153901705"</f>
        <v>20190303153901705</v>
      </c>
      <c r="B4647" t="str">
        <f>"1551598741702859"</f>
        <v>1551598741702859</v>
      </c>
      <c r="C4647" t="s">
        <v>40</v>
      </c>
      <c r="D4647">
        <v>4.0723469999999997</v>
      </c>
      <c r="E4647">
        <v>0.50927349999999905</v>
      </c>
      <c r="F4647" t="s">
        <v>67</v>
      </c>
      <c r="G4647">
        <v>-107.39749999999999</v>
      </c>
      <c r="H4647">
        <v>0.9847245</v>
      </c>
      <c r="I4647">
        <v>212.80189999999999</v>
      </c>
      <c r="J4647">
        <v>-298.28230000000002</v>
      </c>
      <c r="K4647">
        <v>1.12112099999999</v>
      </c>
      <c r="L4647">
        <v>215.47130000000001</v>
      </c>
      <c r="M4647">
        <v>0.99989989999999995</v>
      </c>
      <c r="N4647">
        <v>-1.4155920000000001E-2</v>
      </c>
      <c r="O4647">
        <v>1.2687350000000001E-4</v>
      </c>
      <c r="P4647">
        <v>0.99808419999999998</v>
      </c>
      <c r="Q4647">
        <v>-6.1132209999999999E-2</v>
      </c>
      <c r="R4647">
        <v>9.5442740000000002E-3</v>
      </c>
      <c r="S4647">
        <v>3.0061339999999999</v>
      </c>
      <c r="T4647">
        <v>-2.14386E-3</v>
      </c>
      <c r="U4647">
        <v>-4.1976930000000003E-2</v>
      </c>
      <c r="V4647">
        <v>-9.4211039999999996E-3</v>
      </c>
      <c r="W4647">
        <v>-4.6996499999999997E-2</v>
      </c>
      <c r="X4647">
        <v>0.99885060000000003</v>
      </c>
      <c r="Y4647">
        <v>1.408919E-2</v>
      </c>
      <c r="Z4647">
        <v>-1.03051E-4</v>
      </c>
      <c r="AA4647">
        <v>0.99990080000000003</v>
      </c>
      <c r="AB4647">
        <v>29</v>
      </c>
      <c r="AC4647">
        <v>190.88480000000001</v>
      </c>
      <c r="AD4647">
        <v>-0.136396499999999</v>
      </c>
      <c r="AE4647">
        <v>-2.66940000000002</v>
      </c>
      <c r="AF4647">
        <v>2.69361925043673</v>
      </c>
      <c r="AG4647">
        <v>-0.136396499999999</v>
      </c>
      <c r="AH4647">
        <v>190.88436231067101</v>
      </c>
      <c r="AI4647">
        <v>90.040936640363498</v>
      </c>
      <c r="AJ4647">
        <v>89.191537902700205</v>
      </c>
      <c r="AK4647">
        <v>190.90341527438201</v>
      </c>
      <c r="AL4647">
        <v>92.693693371789806</v>
      </c>
      <c r="AM4647">
        <v>90.540394621142099</v>
      </c>
      <c r="AN4647">
        <v>0.99999997466659396</v>
      </c>
    </row>
    <row r="4648" spans="1:40" x14ac:dyDescent="0.25">
      <c r="A4648" t="str">
        <f>"20190303153901728"</f>
        <v>20190303153901728</v>
      </c>
      <c r="B4648" t="str">
        <f>"1551598741723354"</f>
        <v>1551598741723354</v>
      </c>
      <c r="C4648" t="s">
        <v>40</v>
      </c>
      <c r="D4648">
        <v>4.0696669999999999</v>
      </c>
      <c r="E4648">
        <v>0.50920840000000001</v>
      </c>
      <c r="F4648" t="s">
        <v>67</v>
      </c>
      <c r="G4648">
        <v>-107.39749999999999</v>
      </c>
      <c r="H4648">
        <v>0.95286530000000003</v>
      </c>
      <c r="I4648">
        <v>212.76410000000001</v>
      </c>
      <c r="J4648">
        <v>-297.99329999999998</v>
      </c>
      <c r="K4648">
        <v>1.121129</v>
      </c>
      <c r="L4648">
        <v>215.47130000000001</v>
      </c>
      <c r="M4648">
        <v>0.99990000000000001</v>
      </c>
      <c r="N4648">
        <v>-1.4153550000000001E-2</v>
      </c>
      <c r="O4648">
        <v>1.179272E-4</v>
      </c>
      <c r="P4648">
        <v>0.99812339999999999</v>
      </c>
      <c r="Q4648">
        <v>-6.0551649999999999E-2</v>
      </c>
      <c r="R4648">
        <v>9.1278439999999995E-3</v>
      </c>
      <c r="S4648">
        <v>3.0059809999999998</v>
      </c>
      <c r="T4648">
        <v>-2.64883E-3</v>
      </c>
      <c r="U4648">
        <v>-4.263306E-2</v>
      </c>
      <c r="V4648">
        <v>-9.0131659999999995E-3</v>
      </c>
      <c r="W4648">
        <v>-4.6418040000000001E-2</v>
      </c>
      <c r="X4648">
        <v>0.99888149999999998</v>
      </c>
      <c r="Y4648">
        <v>1.429914E-2</v>
      </c>
      <c r="Z4648">
        <v>-1.059368E-4</v>
      </c>
      <c r="AA4648">
        <v>0.99989779999999995</v>
      </c>
      <c r="AB4648">
        <v>29</v>
      </c>
      <c r="AC4648">
        <v>190.5958</v>
      </c>
      <c r="AD4648">
        <v>-0.16826369999999999</v>
      </c>
      <c r="AE4648">
        <v>-2.7071999999999998</v>
      </c>
      <c r="AF4648">
        <v>2.72967653085861</v>
      </c>
      <c r="AG4648">
        <v>-0.16826369999999999</v>
      </c>
      <c r="AH4648">
        <v>190.59533087207899</v>
      </c>
      <c r="AI4648">
        <v>90.050577360536593</v>
      </c>
      <c r="AJ4648">
        <v>89.179474901157704</v>
      </c>
      <c r="AK4648">
        <v>190.61495113677</v>
      </c>
      <c r="AL4648">
        <v>92.660513611677501</v>
      </c>
      <c r="AM4648">
        <v>90.516980599934797</v>
      </c>
      <c r="AN4648">
        <v>1.00000006132051</v>
      </c>
    </row>
    <row r="4649" spans="1:40" x14ac:dyDescent="0.25">
      <c r="A4649" t="str">
        <f>"20190303153901751"</f>
        <v>20190303153901751</v>
      </c>
      <c r="B4649" t="str">
        <f>"1551598741742885"</f>
        <v>1551598741742885</v>
      </c>
      <c r="C4649" t="s">
        <v>40</v>
      </c>
      <c r="D4649">
        <v>4.0702730000000003</v>
      </c>
      <c r="E4649">
        <v>0.50915270000000001</v>
      </c>
      <c r="F4649" t="s">
        <v>67</v>
      </c>
      <c r="G4649">
        <v>-107.39749999999999</v>
      </c>
      <c r="H4649">
        <v>1.0406599999999999</v>
      </c>
      <c r="I4649">
        <v>212.7294</v>
      </c>
      <c r="J4649">
        <v>-297.6995</v>
      </c>
      <c r="K4649">
        <v>1.1211340000000001</v>
      </c>
      <c r="L4649">
        <v>215.47139999999999</v>
      </c>
      <c r="M4649">
        <v>0.99990000000000001</v>
      </c>
      <c r="N4649">
        <v>-1.415104E-2</v>
      </c>
      <c r="O4649">
        <v>1.1738739999999999E-4</v>
      </c>
      <c r="P4649">
        <v>0.99814769999999997</v>
      </c>
      <c r="Q4649">
        <v>-6.0189470000000002E-2</v>
      </c>
      <c r="R4649">
        <v>8.8798530000000001E-3</v>
      </c>
      <c r="S4649">
        <v>3.00589</v>
      </c>
      <c r="T4649">
        <v>-1.2682679999999999E-3</v>
      </c>
      <c r="U4649">
        <v>-4.3243410000000003E-2</v>
      </c>
      <c r="V4649">
        <v>-8.7651589999999998E-3</v>
      </c>
      <c r="W4649">
        <v>-4.6058200000000001E-2</v>
      </c>
      <c r="X4649">
        <v>0.99890029999999996</v>
      </c>
      <c r="Y4649">
        <v>1.4502070000000001E-2</v>
      </c>
      <c r="Z4649">
        <v>-1.040679E-4</v>
      </c>
      <c r="AA4649">
        <v>0.99989490000000003</v>
      </c>
      <c r="AB4649">
        <v>29</v>
      </c>
      <c r="AC4649">
        <v>190.30199999999999</v>
      </c>
      <c r="AD4649">
        <v>-8.0473999999999907E-2</v>
      </c>
      <c r="AE4649">
        <v>-2.7419999999999898</v>
      </c>
      <c r="AF4649">
        <v>2.7643407778476998</v>
      </c>
      <c r="AG4649">
        <v>-8.0473999999999907E-2</v>
      </c>
      <c r="AH4649">
        <v>190.30164275680301</v>
      </c>
      <c r="AI4649">
        <v>90.024226453523397</v>
      </c>
      <c r="AJ4649">
        <v>89.167774283645898</v>
      </c>
      <c r="AK4649">
        <v>190.321736257156</v>
      </c>
      <c r="AL4649">
        <v>92.639874393009507</v>
      </c>
      <c r="AM4649">
        <v>90.502746598979101</v>
      </c>
      <c r="AN4649">
        <v>0.99999999756981195</v>
      </c>
    </row>
    <row r="4650" spans="1:40" x14ac:dyDescent="0.25">
      <c r="A4650" t="str">
        <f>"20190303153901773"</f>
        <v>20190303153901773</v>
      </c>
      <c r="B4650" t="str">
        <f>"1551598741763373"</f>
        <v>1551598741763373</v>
      </c>
      <c r="C4650" t="s">
        <v>40</v>
      </c>
      <c r="D4650">
        <v>4.0707760000000004</v>
      </c>
      <c r="E4650">
        <v>0.50909269999999995</v>
      </c>
      <c r="F4650" t="s">
        <v>67</v>
      </c>
      <c r="G4650">
        <v>-107.39749999999999</v>
      </c>
      <c r="H4650">
        <v>1.076006</v>
      </c>
      <c r="I4650">
        <v>212.7028</v>
      </c>
      <c r="J4650">
        <v>-297.41719999999998</v>
      </c>
      <c r="K4650">
        <v>1.12114</v>
      </c>
      <c r="L4650">
        <v>215.47139999999999</v>
      </c>
      <c r="M4650">
        <v>0.99989989999999995</v>
      </c>
      <c r="N4650">
        <v>-1.414851E-2</v>
      </c>
      <c r="O4650">
        <v>1.26432E-4</v>
      </c>
      <c r="P4650">
        <v>0.99814309999999995</v>
      </c>
      <c r="Q4650">
        <v>-6.0306560000000002E-2</v>
      </c>
      <c r="R4650">
        <v>8.5821919999999902E-3</v>
      </c>
      <c r="S4650">
        <v>3.005951</v>
      </c>
      <c r="T4650">
        <v>-7.1203710000000003E-4</v>
      </c>
      <c r="U4650">
        <v>-4.3731689999999997E-2</v>
      </c>
      <c r="V4650">
        <v>-8.4574119999999992E-3</v>
      </c>
      <c r="W4650">
        <v>-4.6177990000000002E-2</v>
      </c>
      <c r="X4650">
        <v>0.99889740000000005</v>
      </c>
      <c r="Y4650">
        <v>1.4673230000000001E-2</v>
      </c>
      <c r="Z4650">
        <v>-1.037918E-4</v>
      </c>
      <c r="AA4650">
        <v>0.99989240000000001</v>
      </c>
      <c r="AB4650">
        <v>29</v>
      </c>
      <c r="AC4650">
        <v>190.0197</v>
      </c>
      <c r="AD4650">
        <v>-4.5134000000000001E-2</v>
      </c>
      <c r="AE4650">
        <v>-2.76859999999999</v>
      </c>
      <c r="AF4650">
        <v>2.79262679596772</v>
      </c>
      <c r="AG4650">
        <v>-4.5134000000000001E-2</v>
      </c>
      <c r="AH4650">
        <v>190.01933768822801</v>
      </c>
      <c r="AI4650">
        <v>90.0136076068314</v>
      </c>
      <c r="AJ4650">
        <v>89.158010901335601</v>
      </c>
      <c r="AK4650">
        <v>190.03986291557899</v>
      </c>
      <c r="AL4650">
        <v>92.646745224371998</v>
      </c>
      <c r="AM4650">
        <v>90.485097302960298</v>
      </c>
      <c r="AN4650">
        <v>0.99999997515246797</v>
      </c>
    </row>
    <row r="4651" spans="1:40" x14ac:dyDescent="0.25">
      <c r="A4651" t="str">
        <f>"20190303153901794"</f>
        <v>20190303153901794</v>
      </c>
      <c r="B4651" t="str">
        <f>"1551598741782890"</f>
        <v>1551598741782890</v>
      </c>
      <c r="C4651" t="s">
        <v>40</v>
      </c>
      <c r="D4651">
        <v>4.0646509999999996</v>
      </c>
      <c r="E4651">
        <v>0.50902440000000004</v>
      </c>
      <c r="F4651" t="s">
        <v>67</v>
      </c>
      <c r="G4651">
        <v>-107.39749999999999</v>
      </c>
      <c r="H4651">
        <v>1.031541</v>
      </c>
      <c r="I4651">
        <v>212.6712</v>
      </c>
      <c r="J4651">
        <v>-297.1413</v>
      </c>
      <c r="K4651">
        <v>1.1211469999999999</v>
      </c>
      <c r="L4651">
        <v>215.47149999999999</v>
      </c>
      <c r="M4651">
        <v>0.99990000000000001</v>
      </c>
      <c r="N4651">
        <v>-1.414602E-2</v>
      </c>
      <c r="O4651">
        <v>1.425183E-4</v>
      </c>
      <c r="P4651">
        <v>0.99810759999999998</v>
      </c>
      <c r="Q4651">
        <v>-6.0835699999999999E-2</v>
      </c>
      <c r="R4651">
        <v>8.9624289999999992E-3</v>
      </c>
      <c r="S4651">
        <v>3.0059200000000001</v>
      </c>
      <c r="T4651">
        <v>-1.4165639999999999E-3</v>
      </c>
      <c r="U4651">
        <v>-4.4296259999999997E-2</v>
      </c>
      <c r="V4651">
        <v>-8.8215719999999997E-3</v>
      </c>
      <c r="W4651">
        <v>-4.6710179999999997E-2</v>
      </c>
      <c r="X4651">
        <v>0.99886949999999997</v>
      </c>
      <c r="Y4651">
        <v>1.487719E-2</v>
      </c>
      <c r="Z4651">
        <v>-1.067941E-4</v>
      </c>
      <c r="AA4651">
        <v>0.99988929999999998</v>
      </c>
      <c r="AB4651">
        <v>29</v>
      </c>
      <c r="AC4651">
        <v>189.74379999999999</v>
      </c>
      <c r="AD4651">
        <v>-8.9605999999999797E-2</v>
      </c>
      <c r="AE4651">
        <v>-2.8002999999999898</v>
      </c>
      <c r="AF4651">
        <v>2.8273440091488999</v>
      </c>
      <c r="AG4651">
        <v>-8.9605999999999797E-2</v>
      </c>
      <c r="AH4651">
        <v>189.743356631843</v>
      </c>
      <c r="AI4651">
        <v>90.027054835811199</v>
      </c>
      <c r="AJ4651">
        <v>89.146305336626995</v>
      </c>
      <c r="AK4651">
        <v>189.764441582979</v>
      </c>
      <c r="AL4651">
        <v>92.677270421423501</v>
      </c>
      <c r="AM4651">
        <v>90.505997734524001</v>
      </c>
      <c r="AN4651">
        <v>0.99999996953921599</v>
      </c>
    </row>
    <row r="4652" spans="1:40" x14ac:dyDescent="0.25">
      <c r="A4652" t="str">
        <f>"20190303153901819"</f>
        <v>20190303153901819</v>
      </c>
      <c r="B4652" t="str">
        <f>"1551598741813146"</f>
        <v>1551598741813146</v>
      </c>
      <c r="C4652" t="s">
        <v>40</v>
      </c>
      <c r="D4652">
        <v>4.0684290000000001</v>
      </c>
      <c r="E4652">
        <v>0.50894689999999998</v>
      </c>
      <c r="F4652" t="s">
        <v>67</v>
      </c>
      <c r="G4652">
        <v>-107.39749999999999</v>
      </c>
      <c r="H4652">
        <v>0.90416470000000004</v>
      </c>
      <c r="I4652">
        <v>212.80340000000001</v>
      </c>
      <c r="J4652">
        <v>-296.83409999999998</v>
      </c>
      <c r="K4652">
        <v>1.1211500000000001</v>
      </c>
      <c r="L4652">
        <v>215.47149999999999</v>
      </c>
      <c r="M4652">
        <v>0.99990000000000001</v>
      </c>
      <c r="N4652">
        <v>-1.414318E-2</v>
      </c>
      <c r="O4652">
        <v>1.7069869999999999E-4</v>
      </c>
      <c r="P4652">
        <v>0.99807480000000004</v>
      </c>
      <c r="Q4652">
        <v>-6.1385589999999997E-2</v>
      </c>
      <c r="R4652">
        <v>8.8623720000000003E-3</v>
      </c>
      <c r="S4652">
        <v>3.0058590000000001</v>
      </c>
      <c r="T4652">
        <v>-3.4365649999999999E-3</v>
      </c>
      <c r="U4652">
        <v>-4.2266850000000002E-2</v>
      </c>
      <c r="V4652">
        <v>-8.6917920000000003E-3</v>
      </c>
      <c r="W4652">
        <v>-4.72635E-2</v>
      </c>
      <c r="X4652">
        <v>0.99884459999999997</v>
      </c>
      <c r="Y4652">
        <v>1.4230659999999999E-2</v>
      </c>
      <c r="Z4652">
        <v>-1.0655919999999999E-4</v>
      </c>
      <c r="AA4652">
        <v>0.99989870000000003</v>
      </c>
      <c r="AB4652">
        <v>29</v>
      </c>
      <c r="AC4652">
        <v>189.4366</v>
      </c>
      <c r="AD4652">
        <v>-0.21698529999999999</v>
      </c>
      <c r="AE4652">
        <v>-2.6680999999999799</v>
      </c>
      <c r="AF4652">
        <v>2.7004362337217098</v>
      </c>
      <c r="AG4652">
        <v>-0.21698529999999999</v>
      </c>
      <c r="AH4652">
        <v>189.435893262766</v>
      </c>
      <c r="AI4652">
        <v>90.065621531729505</v>
      </c>
      <c r="AJ4652">
        <v>89.183295640382198</v>
      </c>
      <c r="AK4652">
        <v>189.45526409876999</v>
      </c>
      <c r="AL4652">
        <v>92.709008402830904</v>
      </c>
      <c r="AM4652">
        <v>90.498566472330197</v>
      </c>
      <c r="AN4652">
        <v>0.99999996031478899</v>
      </c>
    </row>
    <row r="4653" spans="1:40" x14ac:dyDescent="0.25">
      <c r="A4653" t="str">
        <f>"20190303153901841"</f>
        <v>20190303153901841</v>
      </c>
      <c r="B4653" t="str">
        <f>"1551598741833642"</f>
        <v>1551598741833642</v>
      </c>
      <c r="C4653" t="s">
        <v>40</v>
      </c>
      <c r="D4653">
        <v>4.0785049999999998</v>
      </c>
      <c r="E4653">
        <v>0.50888279999999997</v>
      </c>
      <c r="F4653" t="s">
        <v>67</v>
      </c>
      <c r="G4653">
        <v>-107.39749999999999</v>
      </c>
      <c r="H4653">
        <v>0.76986580000000004</v>
      </c>
      <c r="I4653">
        <v>212.81540000000001</v>
      </c>
      <c r="J4653">
        <v>-296.5471</v>
      </c>
      <c r="K4653">
        <v>1.121159</v>
      </c>
      <c r="L4653">
        <v>215.4716</v>
      </c>
      <c r="M4653">
        <v>0.99990000000000001</v>
      </c>
      <c r="N4653">
        <v>-1.4140430000000001E-2</v>
      </c>
      <c r="O4653">
        <v>2.0693640000000001E-4</v>
      </c>
      <c r="P4653">
        <v>0.99802860000000004</v>
      </c>
      <c r="Q4653">
        <v>-6.2068159999999997E-2</v>
      </c>
      <c r="R4653">
        <v>9.3067429999999993E-3</v>
      </c>
      <c r="S4653">
        <v>3.005798</v>
      </c>
      <c r="T4653">
        <v>-5.5730340000000001E-3</v>
      </c>
      <c r="U4653">
        <v>-4.214478E-2</v>
      </c>
      <c r="V4653">
        <v>-9.0991949999999992E-3</v>
      </c>
      <c r="W4653">
        <v>-4.7949560000000002E-2</v>
      </c>
      <c r="X4653">
        <v>0.99880829999999998</v>
      </c>
      <c r="Y4653">
        <v>1.422649E-2</v>
      </c>
      <c r="Z4653">
        <v>-1.112406E-4</v>
      </c>
      <c r="AA4653">
        <v>0.99989879999999998</v>
      </c>
      <c r="AB4653">
        <v>29</v>
      </c>
      <c r="AC4653">
        <v>189.14959999999999</v>
      </c>
      <c r="AD4653">
        <v>-0.35129320000000003</v>
      </c>
      <c r="AE4653">
        <v>-2.6561999999999801</v>
      </c>
      <c r="AF4653">
        <v>2.6953364990069502</v>
      </c>
      <c r="AG4653">
        <v>-0.35129320000000003</v>
      </c>
      <c r="AH4653">
        <v>189.148393932407</v>
      </c>
      <c r="AI4653">
        <v>90.106400857811593</v>
      </c>
      <c r="AJ4653">
        <v>89.183598914239397</v>
      </c>
      <c r="AK4653">
        <v>189.16792321364699</v>
      </c>
      <c r="AL4653">
        <v>92.748361291503898</v>
      </c>
      <c r="AM4653">
        <v>90.521953059964801</v>
      </c>
      <c r="AN4653">
        <v>0.99999998790136502</v>
      </c>
    </row>
    <row r="4654" spans="1:40" x14ac:dyDescent="0.25">
      <c r="A4654" t="str">
        <f>"20190303153901862"</f>
        <v>20190303153901862</v>
      </c>
      <c r="B4654" t="str">
        <f>"1551598741853162"</f>
        <v>1551598741853162</v>
      </c>
      <c r="C4654" t="s">
        <v>40</v>
      </c>
      <c r="D4654">
        <v>4.1167179999999997</v>
      </c>
      <c r="E4654">
        <v>0.50881390000000004</v>
      </c>
      <c r="F4654" t="s">
        <v>67</v>
      </c>
      <c r="G4654">
        <v>-107.39749999999999</v>
      </c>
      <c r="H4654">
        <v>0.61850109999999903</v>
      </c>
      <c r="I4654">
        <v>212.928</v>
      </c>
      <c r="J4654">
        <v>-296.27199999999999</v>
      </c>
      <c r="K4654">
        <v>1.121165</v>
      </c>
      <c r="L4654">
        <v>215.4717</v>
      </c>
      <c r="M4654">
        <v>0.99990009999999996</v>
      </c>
      <c r="N4654">
        <v>-1.4137780000000001E-2</v>
      </c>
      <c r="O4654">
        <v>2.4988910000000003E-4</v>
      </c>
      <c r="P4654">
        <v>0.99798799999999999</v>
      </c>
      <c r="Q4654">
        <v>-6.2682849999999998E-2</v>
      </c>
      <c r="R4654">
        <v>9.5259209999999997E-3</v>
      </c>
      <c r="S4654">
        <v>3.0057680000000002</v>
      </c>
      <c r="T4654">
        <v>-7.9869030000000001E-3</v>
      </c>
      <c r="U4654">
        <v>-4.0420530000000003E-2</v>
      </c>
      <c r="V4654">
        <v>-9.2741830000000001E-3</v>
      </c>
      <c r="W4654">
        <v>-4.8567609999999997E-2</v>
      </c>
      <c r="X4654">
        <v>0.99877689999999997</v>
      </c>
      <c r="Y4654">
        <v>1.369601E-2</v>
      </c>
      <c r="Z4654">
        <v>-1.1215259999999999E-4</v>
      </c>
      <c r="AA4654">
        <v>0.99990619999999997</v>
      </c>
      <c r="AB4654">
        <v>29</v>
      </c>
      <c r="AC4654">
        <v>188.87450000000001</v>
      </c>
      <c r="AD4654">
        <v>-0.50266390000000005</v>
      </c>
      <c r="AE4654">
        <v>-2.5436999999999999</v>
      </c>
      <c r="AF4654">
        <v>2.5908839658831502</v>
      </c>
      <c r="AG4654">
        <v>-0.50266390000000005</v>
      </c>
      <c r="AH4654">
        <v>188.872520880064</v>
      </c>
      <c r="AI4654">
        <v>90.152471849829496</v>
      </c>
      <c r="AJ4654">
        <v>89.214086805382905</v>
      </c>
      <c r="AK4654">
        <v>188.890959270981</v>
      </c>
      <c r="AL4654">
        <v>92.783814056407905</v>
      </c>
      <c r="AM4654">
        <v>90.532006971007604</v>
      </c>
      <c r="AN4654">
        <v>1.00000005959251</v>
      </c>
    </row>
    <row r="4655" spans="1:40" x14ac:dyDescent="0.25">
      <c r="A4655" t="str">
        <f>"20190303153901885"</f>
        <v>20190303153901885</v>
      </c>
      <c r="B4655" t="str">
        <f>"1551598741873659"</f>
        <v>1551598741873659</v>
      </c>
      <c r="C4655" t="s">
        <v>40</v>
      </c>
      <c r="D4655">
        <v>4.1010280000000003</v>
      </c>
      <c r="E4655">
        <v>0.50873230000000003</v>
      </c>
      <c r="F4655" t="s">
        <v>67</v>
      </c>
      <c r="G4655">
        <v>-107.39749999999999</v>
      </c>
      <c r="H4655">
        <v>0.48074919999999999</v>
      </c>
      <c r="I4655">
        <v>213.02959999999999</v>
      </c>
      <c r="J4655">
        <v>-295.99630000000002</v>
      </c>
      <c r="K4655">
        <v>1.121165</v>
      </c>
      <c r="L4655">
        <v>215.4718</v>
      </c>
      <c r="M4655">
        <v>0.99990009999999996</v>
      </c>
      <c r="N4655">
        <v>-1.413508E-2</v>
      </c>
      <c r="O4655">
        <v>2.9960270000000002E-4</v>
      </c>
      <c r="P4655">
        <v>0.99794159999999998</v>
      </c>
      <c r="Q4655">
        <v>-6.3327439999999999E-2</v>
      </c>
      <c r="R4655">
        <v>1.011799E-2</v>
      </c>
      <c r="S4655">
        <v>3.0057680000000002</v>
      </c>
      <c r="T4655">
        <v>-1.019084E-2</v>
      </c>
      <c r="U4655">
        <v>-3.8864139999999998E-2</v>
      </c>
      <c r="V4655">
        <v>-9.8163250000000007E-3</v>
      </c>
      <c r="W4655">
        <v>-4.921565E-2</v>
      </c>
      <c r="X4655">
        <v>0.99873999999999996</v>
      </c>
      <c r="Y4655">
        <v>1.322797E-2</v>
      </c>
      <c r="Z4655">
        <v>-1.127032E-4</v>
      </c>
      <c r="AA4655">
        <v>0.99991249999999998</v>
      </c>
      <c r="AB4655">
        <v>28</v>
      </c>
      <c r="AC4655">
        <v>188.59880000000001</v>
      </c>
      <c r="AD4655">
        <v>-0.64041579999999998</v>
      </c>
      <c r="AE4655">
        <v>-2.4422000000000099</v>
      </c>
      <c r="AF4655">
        <v>2.4986814368254202</v>
      </c>
      <c r="AG4655">
        <v>-0.64041579999999998</v>
      </c>
      <c r="AH4655">
        <v>188.59588554034701</v>
      </c>
      <c r="AI4655">
        <v>90.194541685680093</v>
      </c>
      <c r="AJ4655">
        <v>89.240940360314994</v>
      </c>
      <c r="AK4655">
        <v>188.61352439331401</v>
      </c>
      <c r="AL4655">
        <v>92.820988456582697</v>
      </c>
      <c r="AM4655">
        <v>90.563125420873504</v>
      </c>
      <c r="AN4655">
        <v>1.0000000640207101</v>
      </c>
    </row>
    <row r="4656" spans="1:40" x14ac:dyDescent="0.25">
      <c r="A4656" t="str">
        <f>"20190303153901906"</f>
        <v>20190303153901906</v>
      </c>
      <c r="B4656" t="str">
        <f>"1551598741902939"</f>
        <v>1551598741902939</v>
      </c>
      <c r="C4656" t="s">
        <v>40</v>
      </c>
      <c r="D4656">
        <v>4.134595</v>
      </c>
      <c r="E4656">
        <v>0.50865090000000002</v>
      </c>
      <c r="F4656" t="s">
        <v>67</v>
      </c>
      <c r="G4656">
        <v>-107.39749999999999</v>
      </c>
      <c r="H4656">
        <v>0.33250469999999999</v>
      </c>
      <c r="I4656">
        <v>213.18549999999999</v>
      </c>
      <c r="J4656">
        <v>-295.71620000000001</v>
      </c>
      <c r="K4656">
        <v>1.1211660000000001</v>
      </c>
      <c r="L4656">
        <v>215.47200000000001</v>
      </c>
      <c r="M4656">
        <v>0.99990009999999996</v>
      </c>
      <c r="N4656">
        <v>-1.413229E-2</v>
      </c>
      <c r="O4656">
        <v>3.5512E-4</v>
      </c>
      <c r="P4656">
        <v>0.99791149999999995</v>
      </c>
      <c r="Q4656">
        <v>-6.3734070000000004E-2</v>
      </c>
      <c r="R4656">
        <v>1.0521590000000001E-2</v>
      </c>
      <c r="S4656">
        <v>3.0057680000000002</v>
      </c>
      <c r="T4656">
        <v>-1.2568350000000001E-2</v>
      </c>
      <c r="U4656">
        <v>-3.6437990000000003E-2</v>
      </c>
      <c r="V4656">
        <v>-1.0163770000000001E-2</v>
      </c>
      <c r="W4656">
        <v>-4.9625580000000002E-2</v>
      </c>
      <c r="X4656">
        <v>0.99871620000000005</v>
      </c>
      <c r="Y4656">
        <v>1.247643E-2</v>
      </c>
      <c r="Z4656">
        <v>-1.107192E-4</v>
      </c>
      <c r="AA4656">
        <v>0.99992219999999998</v>
      </c>
      <c r="AB4656">
        <v>28</v>
      </c>
      <c r="AC4656">
        <v>188.31870000000001</v>
      </c>
      <c r="AD4656">
        <v>-0.78866129999999901</v>
      </c>
      <c r="AE4656">
        <v>-2.28650000000001</v>
      </c>
      <c r="AF4656">
        <v>2.3533410017244401</v>
      </c>
      <c r="AG4656">
        <v>-0.78866129999999901</v>
      </c>
      <c r="AH4656">
        <v>188.31457377881799</v>
      </c>
      <c r="AI4656">
        <v>90.239934546141399</v>
      </c>
      <c r="AJ4656">
        <v>89.284019893425096</v>
      </c>
      <c r="AK4656">
        <v>188.33092921242201</v>
      </c>
      <c r="AL4656">
        <v>92.844504562536002</v>
      </c>
      <c r="AM4656">
        <v>90.583069566937894</v>
      </c>
      <c r="AN4656">
        <v>1.00000002427669</v>
      </c>
    </row>
    <row r="4657" spans="1:40" x14ac:dyDescent="0.25">
      <c r="A4657" t="str">
        <f>"20190303153901930"</f>
        <v>20190303153901930</v>
      </c>
      <c r="B4657" t="str">
        <f>"1551598741923437"</f>
        <v>1551598741923437</v>
      </c>
      <c r="C4657" t="s">
        <v>40</v>
      </c>
      <c r="D4657">
        <v>4.1391730000000004</v>
      </c>
      <c r="E4657">
        <v>0.5086041</v>
      </c>
      <c r="F4657" t="s">
        <v>67</v>
      </c>
      <c r="G4657">
        <v>-107.39749999999999</v>
      </c>
      <c r="H4657">
        <v>0.2245183</v>
      </c>
      <c r="I4657">
        <v>213.30279999999999</v>
      </c>
      <c r="J4657">
        <v>-295.42129999999997</v>
      </c>
      <c r="K4657">
        <v>1.1211660000000001</v>
      </c>
      <c r="L4657">
        <v>215.47219999999999</v>
      </c>
      <c r="M4657">
        <v>0.99990000000000001</v>
      </c>
      <c r="N4657">
        <v>-1.4129340000000001E-2</v>
      </c>
      <c r="O4657">
        <v>4.175138E-4</v>
      </c>
      <c r="P4657">
        <v>0.99787599999999999</v>
      </c>
      <c r="Q4657">
        <v>-6.4267210000000005E-2</v>
      </c>
      <c r="R4657">
        <v>1.0652760000000001E-2</v>
      </c>
      <c r="S4657">
        <v>3.0057070000000001</v>
      </c>
      <c r="T4657">
        <v>-1.4310359999999999E-2</v>
      </c>
      <c r="U4657">
        <v>-3.4622189999999997E-2</v>
      </c>
      <c r="V4657">
        <v>-1.023255E-2</v>
      </c>
      <c r="W4657">
        <v>-5.0162140000000001E-2</v>
      </c>
      <c r="X4657">
        <v>0.99868860000000004</v>
      </c>
      <c r="Y4657">
        <v>1.1935029999999999E-2</v>
      </c>
      <c r="Z4657">
        <v>-1.088249E-4</v>
      </c>
      <c r="AA4657">
        <v>0.99992879999999995</v>
      </c>
      <c r="AB4657">
        <v>28</v>
      </c>
      <c r="AC4657">
        <v>188.02379999999999</v>
      </c>
      <c r="AD4657">
        <v>-0.89664769999999905</v>
      </c>
      <c r="AE4657">
        <v>-2.1693999999999898</v>
      </c>
      <c r="AF4657">
        <v>2.2478590735464699</v>
      </c>
      <c r="AG4657">
        <v>-0.89664769999999905</v>
      </c>
      <c r="AH4657">
        <v>188.018602518557</v>
      </c>
      <c r="AI4657">
        <v>90.273218009755993</v>
      </c>
      <c r="AJ4657">
        <v>89.315032127938906</v>
      </c>
      <c r="AK4657">
        <v>188.034177054449</v>
      </c>
      <c r="AL4657">
        <v>92.875285786414594</v>
      </c>
      <c r="AM4657">
        <v>90.587031246719604</v>
      </c>
      <c r="AN4657">
        <v>0.99999993256941799</v>
      </c>
    </row>
    <row r="4658" spans="1:40" x14ac:dyDescent="0.25">
      <c r="A4658" t="str">
        <f>"20190303153901951"</f>
        <v>20190303153901951</v>
      </c>
      <c r="B4658" t="str">
        <f>"1551598741942954"</f>
        <v>1551598741942954</v>
      </c>
      <c r="C4658" t="s">
        <v>40</v>
      </c>
      <c r="D4658">
        <v>4.1534959999999996</v>
      </c>
      <c r="E4658">
        <v>0.50853289999999995</v>
      </c>
      <c r="F4658" t="s">
        <v>67</v>
      </c>
      <c r="G4658">
        <v>-107.39749999999999</v>
      </c>
      <c r="H4658">
        <v>0.1037507</v>
      </c>
      <c r="I4658">
        <v>213.3426</v>
      </c>
      <c r="J4658">
        <v>-295.14429999999999</v>
      </c>
      <c r="K4658">
        <v>1.1211599999999999</v>
      </c>
      <c r="L4658">
        <v>215.47239999999999</v>
      </c>
      <c r="M4658">
        <v>0.99990029999999996</v>
      </c>
      <c r="N4658">
        <v>-1.412652E-2</v>
      </c>
      <c r="O4658">
        <v>4.7672730000000003E-4</v>
      </c>
      <c r="P4658">
        <v>0.99785360000000001</v>
      </c>
      <c r="Q4658">
        <v>-6.457077E-2</v>
      </c>
      <c r="R4658">
        <v>1.092081E-2</v>
      </c>
      <c r="S4658">
        <v>3.0057070000000001</v>
      </c>
      <c r="T4658">
        <v>-1.6263369999999999E-2</v>
      </c>
      <c r="U4658">
        <v>-3.4042360000000001E-2</v>
      </c>
      <c r="V4658">
        <v>-1.044144E-2</v>
      </c>
      <c r="W4658">
        <v>-5.0468819999999998E-2</v>
      </c>
      <c r="X4658">
        <v>0.99867110000000003</v>
      </c>
      <c r="Y4658">
        <v>1.1801280000000001E-2</v>
      </c>
      <c r="Z4658">
        <v>-1.111354E-4</v>
      </c>
      <c r="AA4658">
        <v>0.9999304</v>
      </c>
      <c r="AB4658">
        <v>28</v>
      </c>
      <c r="AC4658">
        <v>187.74680000000001</v>
      </c>
      <c r="AD4658">
        <v>-1.0174093</v>
      </c>
      <c r="AE4658">
        <v>-2.1297999999999799</v>
      </c>
      <c r="AF4658">
        <v>2.2192475349815801</v>
      </c>
      <c r="AG4658">
        <v>-1.0174093</v>
      </c>
      <c r="AH4658">
        <v>187.74025073613799</v>
      </c>
      <c r="AI4658">
        <v>90.310474796297001</v>
      </c>
      <c r="AJ4658">
        <v>89.322747280009906</v>
      </c>
      <c r="AK4658">
        <v>187.75612354267801</v>
      </c>
      <c r="AL4658">
        <v>92.892879214435695</v>
      </c>
      <c r="AM4658">
        <v>90.599024690327795</v>
      </c>
      <c r="AN4658">
        <v>1.00000004571833</v>
      </c>
    </row>
    <row r="4659" spans="1:40" x14ac:dyDescent="0.25">
      <c r="A4659" t="str">
        <f>"20190303153901974"</f>
        <v>20190303153901974</v>
      </c>
      <c r="B4659" t="str">
        <f>"1551598741963450"</f>
        <v>1551598741963450</v>
      </c>
      <c r="C4659" t="s">
        <v>40</v>
      </c>
      <c r="D4659">
        <v>4.1134009999999996</v>
      </c>
      <c r="E4659">
        <v>0.50848499999999996</v>
      </c>
      <c r="F4659" t="s">
        <v>43</v>
      </c>
      <c r="G4659">
        <v>-96.496579999999994</v>
      </c>
      <c r="H4659">
        <v>-0.05</v>
      </c>
      <c r="I4659">
        <v>213.31720000000001</v>
      </c>
      <c r="J4659">
        <v>-294.86700000000002</v>
      </c>
      <c r="K4659">
        <v>1.121165</v>
      </c>
      <c r="L4659">
        <v>215.4725</v>
      </c>
      <c r="M4659">
        <v>0.99990020000000002</v>
      </c>
      <c r="N4659">
        <v>-1.412366E-2</v>
      </c>
      <c r="O4659">
        <v>5.3539829999999997E-4</v>
      </c>
      <c r="P4659">
        <v>0.99787289999999995</v>
      </c>
      <c r="Q4659">
        <v>-6.4288769999999995E-2</v>
      </c>
      <c r="R4659">
        <v>1.082442E-2</v>
      </c>
      <c r="S4659">
        <v>3.0056759999999998</v>
      </c>
      <c r="T4659">
        <v>-1.772046E-2</v>
      </c>
      <c r="U4659">
        <v>-3.2608030000000003E-2</v>
      </c>
      <c r="V4659">
        <v>-1.028682E-2</v>
      </c>
      <c r="W4659">
        <v>-5.0189400000000002E-2</v>
      </c>
      <c r="X4659">
        <v>0.99868670000000004</v>
      </c>
      <c r="Y4659">
        <v>1.138291E-2</v>
      </c>
      <c r="Z4659">
        <v>-1.0954089999999999E-4</v>
      </c>
      <c r="AA4659">
        <v>0.99993520000000002</v>
      </c>
      <c r="AB4659">
        <v>28</v>
      </c>
      <c r="AC4659">
        <v>198.37042</v>
      </c>
      <c r="AD4659">
        <v>-1.171165</v>
      </c>
      <c r="AE4659">
        <v>-2.15529999999998</v>
      </c>
      <c r="AF4659">
        <v>2.2614386457030902</v>
      </c>
      <c r="AG4659">
        <v>-1.171165</v>
      </c>
      <c r="AH4659">
        <v>198.36232412635701</v>
      </c>
      <c r="AI4659">
        <v>90.338258144670604</v>
      </c>
      <c r="AJ4659">
        <v>89.346825172133506</v>
      </c>
      <c r="AK4659">
        <v>198.37867164848001</v>
      </c>
      <c r="AL4659">
        <v>92.876849561329493</v>
      </c>
      <c r="AM4659">
        <v>90.590145565859501</v>
      </c>
      <c r="AN4659">
        <v>0.99999995964748001</v>
      </c>
    </row>
    <row r="4660" spans="1:40" x14ac:dyDescent="0.25">
      <c r="A4660" t="str">
        <f>"20190303153901997"</f>
        <v>20190303153901997</v>
      </c>
      <c r="B4660" t="str">
        <f>"1551598741993708"</f>
        <v>1551598741993708</v>
      </c>
      <c r="C4660" t="s">
        <v>40</v>
      </c>
      <c r="D4660">
        <v>4.1554520000000004</v>
      </c>
      <c r="E4660">
        <v>0.50838649999999996</v>
      </c>
      <c r="F4660" t="s">
        <v>43</v>
      </c>
      <c r="G4660">
        <v>-91.504909999999995</v>
      </c>
      <c r="H4660">
        <v>-0.05</v>
      </c>
      <c r="I4660">
        <v>213.26519999999999</v>
      </c>
      <c r="J4660">
        <v>-294.5797</v>
      </c>
      <c r="K4660">
        <v>1.1211660000000001</v>
      </c>
      <c r="L4660">
        <v>215.4727</v>
      </c>
      <c r="M4660">
        <v>0.99990020000000002</v>
      </c>
      <c r="N4660">
        <v>-1.41207E-2</v>
      </c>
      <c r="O4660">
        <v>5.9472370000000004E-4</v>
      </c>
      <c r="P4660">
        <v>0.99788730000000003</v>
      </c>
      <c r="Q4660">
        <v>-6.4080040000000005E-2</v>
      </c>
      <c r="R4660">
        <v>1.070549E-2</v>
      </c>
      <c r="S4660">
        <v>3.005646</v>
      </c>
      <c r="T4660">
        <v>-1.730955E-2</v>
      </c>
      <c r="U4660">
        <v>-3.2623289999999999E-2</v>
      </c>
      <c r="V4660">
        <v>-1.010835E-2</v>
      </c>
      <c r="W4660">
        <v>-4.9983439999999997E-2</v>
      </c>
      <c r="X4660">
        <v>0.99869889999999995</v>
      </c>
      <c r="Y4660">
        <v>1.144744E-2</v>
      </c>
      <c r="Z4660">
        <v>-1.088201E-4</v>
      </c>
      <c r="AA4660">
        <v>0.99993449999999995</v>
      </c>
      <c r="AB4660">
        <v>28</v>
      </c>
      <c r="AC4660">
        <v>203.07478999999901</v>
      </c>
      <c r="AD4660">
        <v>-1.1711659999999999</v>
      </c>
      <c r="AE4660">
        <v>-2.2075000000000098</v>
      </c>
      <c r="AF4660">
        <v>2.32820760553119</v>
      </c>
      <c r="AG4660">
        <v>-1.1711659999999999</v>
      </c>
      <c r="AH4660">
        <v>203.066687854951</v>
      </c>
      <c r="AI4660">
        <v>90.330422068788707</v>
      </c>
      <c r="AJ4660">
        <v>89.343119117984003</v>
      </c>
      <c r="AK4660">
        <v>203.083411180811</v>
      </c>
      <c r="AL4660">
        <v>92.865033953872796</v>
      </c>
      <c r="AM4660">
        <v>90.579900525054398</v>
      </c>
      <c r="AN4660">
        <v>1.0000000079375799</v>
      </c>
    </row>
    <row r="4661" spans="1:40" x14ac:dyDescent="0.25">
      <c r="A4661" t="str">
        <f>"20190303153902020"</f>
        <v>20190303153902020</v>
      </c>
      <c r="B4661" t="str">
        <f>"1551598742013227"</f>
        <v>1551598742013227</v>
      </c>
      <c r="C4661" t="s">
        <v>40</v>
      </c>
      <c r="D4661">
        <v>4.1474960000000003</v>
      </c>
      <c r="E4661">
        <v>0.50832339999999998</v>
      </c>
      <c r="F4661" t="s">
        <v>43</v>
      </c>
      <c r="G4661">
        <v>-92.467359999999999</v>
      </c>
      <c r="H4661">
        <v>-0.05</v>
      </c>
      <c r="I4661">
        <v>213.3108</v>
      </c>
      <c r="J4661">
        <v>-294.29000000000002</v>
      </c>
      <c r="K4661">
        <v>1.1211690000000001</v>
      </c>
      <c r="L4661">
        <v>215.47300000000001</v>
      </c>
      <c r="M4661">
        <v>0.99990020000000002</v>
      </c>
      <c r="N4661">
        <v>-1.411774E-2</v>
      </c>
      <c r="O4661">
        <v>6.5309340000000002E-4</v>
      </c>
      <c r="P4661">
        <v>0.9979036</v>
      </c>
      <c r="Q4661">
        <v>-6.3843579999999997E-2</v>
      </c>
      <c r="R4661">
        <v>1.0613529999999999E-2</v>
      </c>
      <c r="S4661">
        <v>3.005585</v>
      </c>
      <c r="T4661">
        <v>-1.7416239999999999E-2</v>
      </c>
      <c r="U4661">
        <v>-3.2150270000000002E-2</v>
      </c>
      <c r="V4661">
        <v>-9.9584540000000003E-3</v>
      </c>
      <c r="W4661">
        <v>-4.9749719999999997E-2</v>
      </c>
      <c r="X4661">
        <v>0.99871209999999999</v>
      </c>
      <c r="Y4661">
        <v>1.134868E-2</v>
      </c>
      <c r="Z4661">
        <v>-1.0756059999999999E-4</v>
      </c>
      <c r="AA4661">
        <v>0.99993560000000004</v>
      </c>
      <c r="AB4661">
        <v>28</v>
      </c>
      <c r="AC4661">
        <v>201.82264000000001</v>
      </c>
      <c r="AD4661">
        <v>-1.1711689999999999</v>
      </c>
      <c r="AE4661">
        <v>-2.1621999999999799</v>
      </c>
      <c r="AF4661">
        <v>2.29394446242561</v>
      </c>
      <c r="AG4661">
        <v>-1.1711689999999999</v>
      </c>
      <c r="AH4661">
        <v>201.81438949962001</v>
      </c>
      <c r="AI4661">
        <v>90.332473583367502</v>
      </c>
      <c r="AJ4661">
        <v>89.348769547523304</v>
      </c>
      <c r="AK4661">
        <v>201.83082427401399</v>
      </c>
      <c r="AL4661">
        <v>92.851626034633</v>
      </c>
      <c r="AM4661">
        <v>90.571294245444605</v>
      </c>
      <c r="AN4661">
        <v>1.0000000320662701</v>
      </c>
    </row>
    <row r="4662" spans="1:40" x14ac:dyDescent="0.25">
      <c r="A4662" t="str">
        <f>"20190303153902042"</f>
        <v>20190303153902042</v>
      </c>
      <c r="B4662" t="str">
        <f>"1551598742032747"</f>
        <v>1551598742032747</v>
      </c>
      <c r="C4662" t="s">
        <v>40</v>
      </c>
      <c r="D4662">
        <v>4.1512010000000004</v>
      </c>
      <c r="E4662">
        <v>0.50826669999999996</v>
      </c>
      <c r="F4662" t="s">
        <v>67</v>
      </c>
      <c r="G4662">
        <v>-107.39749999999999</v>
      </c>
      <c r="H4662">
        <v>5.463962E-2</v>
      </c>
      <c r="I4662">
        <v>213.48990000000001</v>
      </c>
      <c r="J4662">
        <v>-294.00839999999999</v>
      </c>
      <c r="K4662">
        <v>1.121167</v>
      </c>
      <c r="L4662">
        <v>215.47329999999999</v>
      </c>
      <c r="M4662">
        <v>0.99990020000000002</v>
      </c>
      <c r="N4662">
        <v>-1.411484E-2</v>
      </c>
      <c r="O4662">
        <v>7.091949E-4</v>
      </c>
      <c r="P4662">
        <v>0.99789729999999999</v>
      </c>
      <c r="Q4662">
        <v>-6.4001630000000004E-2</v>
      </c>
      <c r="R4662">
        <v>1.024191E-2</v>
      </c>
      <c r="S4662">
        <v>3.005585</v>
      </c>
      <c r="T4662">
        <v>-1.7151E-2</v>
      </c>
      <c r="U4662">
        <v>-3.1890870000000002E-2</v>
      </c>
      <c r="V4662">
        <v>-9.5307289999999999E-3</v>
      </c>
      <c r="W4662">
        <v>-4.9910669999999997E-2</v>
      </c>
      <c r="X4662">
        <v>0.99870820000000005</v>
      </c>
      <c r="Y4662">
        <v>1.13185E-2</v>
      </c>
      <c r="Z4662">
        <v>-1.062168E-4</v>
      </c>
      <c r="AA4662">
        <v>0.99993589999999999</v>
      </c>
      <c r="AB4662">
        <v>28</v>
      </c>
      <c r="AC4662">
        <v>186.61089999999999</v>
      </c>
      <c r="AD4662">
        <v>-1.0665273799999999</v>
      </c>
      <c r="AE4662">
        <v>-1.9833999999999801</v>
      </c>
      <c r="AF4662">
        <v>2.1156870764919198</v>
      </c>
      <c r="AG4662">
        <v>-1.0665273799999999</v>
      </c>
      <c r="AH4662">
        <v>186.603351772433</v>
      </c>
      <c r="AI4662">
        <v>90.327448165012896</v>
      </c>
      <c r="AJ4662">
        <v>89.350414955974898</v>
      </c>
      <c r="AK4662">
        <v>186.61839273009599</v>
      </c>
      <c r="AL4662">
        <v>92.860859383018294</v>
      </c>
      <c r="AM4662">
        <v>90.5467602763445</v>
      </c>
      <c r="AN4662">
        <v>0.99999998926117994</v>
      </c>
    </row>
    <row r="4663" spans="1:40" x14ac:dyDescent="0.25">
      <c r="A4663" t="str">
        <f>"20190303153902065"</f>
        <v>20190303153902065</v>
      </c>
      <c r="B4663" t="str">
        <f>"1551598742053243"</f>
        <v>1551598742053243</v>
      </c>
      <c r="C4663" t="s">
        <v>40</v>
      </c>
      <c r="D4663">
        <v>4.1312509999999998</v>
      </c>
      <c r="E4663">
        <v>0.50820310000000002</v>
      </c>
      <c r="F4663" t="s">
        <v>43</v>
      </c>
      <c r="G4663">
        <v>-99.558359999999993</v>
      </c>
      <c r="H4663">
        <v>-0.05</v>
      </c>
      <c r="I4663">
        <v>213.36449999999999</v>
      </c>
      <c r="J4663">
        <v>-293.72109999999998</v>
      </c>
      <c r="K4663">
        <v>1.121165</v>
      </c>
      <c r="L4663">
        <v>215.4735</v>
      </c>
      <c r="M4663">
        <v>0.99990029999999996</v>
      </c>
      <c r="N4663">
        <v>-1.411187E-2</v>
      </c>
      <c r="O4663">
        <v>7.6618699999999999E-4</v>
      </c>
      <c r="P4663">
        <v>0.99791770000000002</v>
      </c>
      <c r="Q4663">
        <v>-6.3737329999999995E-2</v>
      </c>
      <c r="R4663">
        <v>9.907875E-3</v>
      </c>
      <c r="S4663">
        <v>3.0054630000000002</v>
      </c>
      <c r="T4663">
        <v>-1.8101809999999999E-2</v>
      </c>
      <c r="U4663">
        <v>-3.259277E-2</v>
      </c>
      <c r="V4663">
        <v>-9.1398710000000008E-3</v>
      </c>
      <c r="W4663">
        <v>-4.964905E-2</v>
      </c>
      <c r="X4663">
        <v>0.99872490000000003</v>
      </c>
      <c r="Y4663">
        <v>1.1609360000000001E-2</v>
      </c>
      <c r="Z4663">
        <v>-1.106858E-4</v>
      </c>
      <c r="AA4663">
        <v>0.99993259999999995</v>
      </c>
      <c r="AB4663">
        <v>28</v>
      </c>
      <c r="AC4663">
        <v>194.16274000000001</v>
      </c>
      <c r="AD4663">
        <v>-1.171165</v>
      </c>
      <c r="AE4663">
        <v>-2.109</v>
      </c>
      <c r="AF4663">
        <v>2.2576970045684401</v>
      </c>
      <c r="AG4663">
        <v>-1.171165</v>
      </c>
      <c r="AH4663">
        <v>194.15400378132199</v>
      </c>
      <c r="AI4663">
        <v>90.345588863828993</v>
      </c>
      <c r="AJ4663">
        <v>89.333772792541296</v>
      </c>
      <c r="AK4663">
        <v>194.170662067005</v>
      </c>
      <c r="AL4663">
        <v>92.845851035685399</v>
      </c>
      <c r="AM4663">
        <v>90.524329988087203</v>
      </c>
      <c r="AN4663">
        <v>0.99999999564390396</v>
      </c>
    </row>
    <row r="4664" spans="1:40" x14ac:dyDescent="0.25">
      <c r="A4664" t="str">
        <f>"20190303153902085"</f>
        <v>20190303153902085</v>
      </c>
      <c r="B4664" t="str">
        <f>"1551598742083500"</f>
        <v>1551598742083500</v>
      </c>
      <c r="C4664" t="s">
        <v>40</v>
      </c>
      <c r="D4664">
        <v>4.1524299999999998</v>
      </c>
      <c r="E4664">
        <v>0.50810739999999999</v>
      </c>
      <c r="F4664" t="s">
        <v>43</v>
      </c>
      <c r="G4664">
        <v>-95.875410000000002</v>
      </c>
      <c r="H4664">
        <v>-0.05</v>
      </c>
      <c r="I4664">
        <v>213.29480000000001</v>
      </c>
      <c r="J4664">
        <v>-293.46409999999997</v>
      </c>
      <c r="K4664">
        <v>1.121146</v>
      </c>
      <c r="L4664">
        <v>215.47380000000001</v>
      </c>
      <c r="M4664">
        <v>0.99990080000000003</v>
      </c>
      <c r="N4664">
        <v>-1.406518E-2</v>
      </c>
      <c r="O4664">
        <v>8.1770829999999999E-4</v>
      </c>
      <c r="P4664">
        <v>0.99792239999999999</v>
      </c>
      <c r="Q4664">
        <v>-6.3699119999999998E-2</v>
      </c>
      <c r="R4664">
        <v>9.6761550000000005E-3</v>
      </c>
      <c r="S4664">
        <v>3.005493</v>
      </c>
      <c r="T4664">
        <v>-1.7791270000000001E-2</v>
      </c>
      <c r="U4664">
        <v>-3.3096309999999997E-2</v>
      </c>
      <c r="V4664">
        <v>-8.8569879999999997E-3</v>
      </c>
      <c r="W4664">
        <v>-4.9657380000000001E-2</v>
      </c>
      <c r="X4664">
        <v>0.99872700000000003</v>
      </c>
      <c r="Y4664">
        <v>1.182828E-2</v>
      </c>
      <c r="Z4664">
        <v>-1.115392E-4</v>
      </c>
      <c r="AA4664">
        <v>0.99992999999999999</v>
      </c>
      <c r="AB4664">
        <v>28</v>
      </c>
      <c r="AC4664">
        <v>197.58869000000001</v>
      </c>
      <c r="AD4664">
        <v>-1.171146</v>
      </c>
      <c r="AE4664">
        <v>-2.1789999999999998</v>
      </c>
      <c r="AF4664">
        <v>2.3405029428451201</v>
      </c>
      <c r="AG4664">
        <v>-1.171146</v>
      </c>
      <c r="AH4664">
        <v>197.57990151206499</v>
      </c>
      <c r="AI4664">
        <v>90.339590359595505</v>
      </c>
      <c r="AJ4664">
        <v>89.3213142251562</v>
      </c>
      <c r="AK4664">
        <v>197.59723433918799</v>
      </c>
      <c r="AL4664">
        <v>92.846328997436402</v>
      </c>
      <c r="AM4664">
        <v>90.508101541987102</v>
      </c>
      <c r="AN4664">
        <v>0.999999961076947</v>
      </c>
    </row>
    <row r="4665" spans="1:40" x14ac:dyDescent="0.25">
      <c r="A4665" t="str">
        <f>"20190303153902107"</f>
        <v>20190303153902107</v>
      </c>
      <c r="B4665" t="str">
        <f>"1551598742103019"</f>
        <v>1551598742103019</v>
      </c>
      <c r="C4665" t="s">
        <v>40</v>
      </c>
      <c r="D4665">
        <v>4.149375</v>
      </c>
      <c r="E4665">
        <v>0.50803599999999904</v>
      </c>
      <c r="F4665" t="s">
        <v>43</v>
      </c>
      <c r="G4665">
        <v>-100.8806</v>
      </c>
      <c r="H4665">
        <v>-0.05</v>
      </c>
      <c r="I4665">
        <v>213.34809999999999</v>
      </c>
      <c r="J4665">
        <v>-293.17880000000002</v>
      </c>
      <c r="K4665">
        <v>1.121102</v>
      </c>
      <c r="L4665">
        <v>215.47409999999999</v>
      </c>
      <c r="M4665">
        <v>0.99990310000000004</v>
      </c>
      <c r="N4665">
        <v>-1.3896789999999999E-2</v>
      </c>
      <c r="O4665">
        <v>8.7401920000000004E-4</v>
      </c>
      <c r="P4665">
        <v>0.99788929999999998</v>
      </c>
      <c r="Q4665">
        <v>-6.4133960000000004E-2</v>
      </c>
      <c r="R4665">
        <v>1.0191820000000001E-2</v>
      </c>
      <c r="S4665">
        <v>3.0054020000000001</v>
      </c>
      <c r="T4665">
        <v>-1.8276569999999999E-2</v>
      </c>
      <c r="U4665">
        <v>-3.3172609999999998E-2</v>
      </c>
      <c r="V4665">
        <v>-9.3162660000000001E-3</v>
      </c>
      <c r="W4665">
        <v>-5.0260859999999997E-2</v>
      </c>
      <c r="X4665">
        <v>0.99869269999999999</v>
      </c>
      <c r="Y4665">
        <v>1.191029E-2</v>
      </c>
      <c r="Z4665">
        <v>-1.121482E-4</v>
      </c>
      <c r="AA4665">
        <v>0.99992910000000002</v>
      </c>
      <c r="AB4665">
        <v>28</v>
      </c>
      <c r="AC4665">
        <v>192.29820000000001</v>
      </c>
      <c r="AD4665">
        <v>-1.1711020000000001</v>
      </c>
      <c r="AE4665">
        <v>-2.1259999999999999</v>
      </c>
      <c r="AF4665">
        <v>2.2940026596358098</v>
      </c>
      <c r="AG4665">
        <v>-1.1711020000000001</v>
      </c>
      <c r="AH4665">
        <v>192.289137352636</v>
      </c>
      <c r="AI4665">
        <v>90.348920376256004</v>
      </c>
      <c r="AJ4665">
        <v>89.3164957865161</v>
      </c>
      <c r="AK4665">
        <v>192.306386456398</v>
      </c>
      <c r="AL4665">
        <v>92.880948894895795</v>
      </c>
      <c r="AM4665">
        <v>90.534465947472</v>
      </c>
      <c r="AN4665">
        <v>1.0000000279467001</v>
      </c>
    </row>
    <row r="4666" spans="1:40" x14ac:dyDescent="0.25">
      <c r="A4666" t="str">
        <f>"20190303153902131"</f>
        <v>20190303153902131</v>
      </c>
      <c r="B4666" t="str">
        <f>"1551598742123514"</f>
        <v>1551598742123514</v>
      </c>
      <c r="C4666" t="s">
        <v>40</v>
      </c>
      <c r="D4666">
        <v>4.1330239999999998</v>
      </c>
      <c r="E4666">
        <v>0.50796479999999999</v>
      </c>
      <c r="F4666" t="s">
        <v>43</v>
      </c>
      <c r="G4666">
        <v>-117.5318</v>
      </c>
      <c r="H4666">
        <v>-0.05</v>
      </c>
      <c r="I4666">
        <v>213.66550000000001</v>
      </c>
      <c r="J4666">
        <v>-292.89420000000001</v>
      </c>
      <c r="K4666">
        <v>1.1210329999999999</v>
      </c>
      <c r="L4666">
        <v>215.4744</v>
      </c>
      <c r="M4666">
        <v>0.99990670000000004</v>
      </c>
      <c r="N4666">
        <v>-1.3630160000000001E-2</v>
      </c>
      <c r="O4666">
        <v>9.304386E-4</v>
      </c>
      <c r="P4666">
        <v>0.99788370000000004</v>
      </c>
      <c r="Q4666">
        <v>-6.4120709999999997E-2</v>
      </c>
      <c r="R4666">
        <v>1.080038E-2</v>
      </c>
      <c r="S4666">
        <v>3.0053709999999998</v>
      </c>
      <c r="T4666">
        <v>-2.0037889999999999E-2</v>
      </c>
      <c r="U4666">
        <v>-3.0944820000000001E-2</v>
      </c>
      <c r="V4666">
        <v>-9.8680699999999996E-3</v>
      </c>
      <c r="W4666">
        <v>-5.051402E-2</v>
      </c>
      <c r="X4666">
        <v>0.99867459999999997</v>
      </c>
      <c r="Y4666">
        <v>1.122565E-2</v>
      </c>
      <c r="Z4666">
        <v>-1.074541E-4</v>
      </c>
      <c r="AA4666">
        <v>0.99993699999999996</v>
      </c>
      <c r="AB4666">
        <v>28</v>
      </c>
      <c r="AC4666">
        <v>175.36240000000001</v>
      </c>
      <c r="AD4666">
        <v>-1.171033</v>
      </c>
      <c r="AE4666">
        <v>-1.80889999999999</v>
      </c>
      <c r="AF4666">
        <v>1.97199038944487</v>
      </c>
      <c r="AG4666">
        <v>-1.171033</v>
      </c>
      <c r="AH4666">
        <v>175.35282220062001</v>
      </c>
      <c r="AI4666">
        <v>90.382600109770607</v>
      </c>
      <c r="AJ4666">
        <v>89.355687793369199</v>
      </c>
      <c r="AK4666">
        <v>175.36782007570599</v>
      </c>
      <c r="AL4666">
        <v>92.895472421049107</v>
      </c>
      <c r="AM4666">
        <v>90.5661307122989</v>
      </c>
      <c r="AN4666">
        <v>1.0000000008536201</v>
      </c>
    </row>
    <row r="4667" spans="1:40" x14ac:dyDescent="0.25">
      <c r="A4667" t="str">
        <f>"20190303153902152"</f>
        <v>20190303153902152</v>
      </c>
      <c r="B4667" t="str">
        <f>"1551598742143035"</f>
        <v>1551598742143035</v>
      </c>
      <c r="C4667" t="s">
        <v>40</v>
      </c>
      <c r="D4667">
        <v>4.1243819999999998</v>
      </c>
      <c r="E4667">
        <v>0.50790539999999995</v>
      </c>
      <c r="F4667" t="s">
        <v>43</v>
      </c>
      <c r="G4667">
        <v>-120.5304</v>
      </c>
      <c r="H4667">
        <v>-0.05</v>
      </c>
      <c r="I4667">
        <v>213.84139999999999</v>
      </c>
      <c r="J4667">
        <v>-292.61160000000001</v>
      </c>
      <c r="K4667">
        <v>1.1209819999999999</v>
      </c>
      <c r="L4667">
        <v>215.47470000000001</v>
      </c>
      <c r="M4667">
        <v>0.99991039999999998</v>
      </c>
      <c r="N4667">
        <v>-1.335386E-2</v>
      </c>
      <c r="O4667">
        <v>9.8735779999999996E-4</v>
      </c>
      <c r="P4667">
        <v>0.99782559999999998</v>
      </c>
      <c r="Q4667">
        <v>-6.4913410000000005E-2</v>
      </c>
      <c r="R4667">
        <v>1.1411070000000001E-2</v>
      </c>
      <c r="S4667">
        <v>3.005341</v>
      </c>
      <c r="T4667">
        <v>-2.0418169999999999E-2</v>
      </c>
      <c r="U4667">
        <v>-2.8472899999999999E-2</v>
      </c>
      <c r="V4667">
        <v>-1.04217999999999E-2</v>
      </c>
      <c r="W4667">
        <v>-5.158339E-2</v>
      </c>
      <c r="X4667">
        <v>0.99861429999999995</v>
      </c>
      <c r="Y4667">
        <v>1.046034E-2</v>
      </c>
      <c r="Z4667" s="1">
        <v>-9.890477E-5</v>
      </c>
      <c r="AA4667">
        <v>0.99994530000000004</v>
      </c>
      <c r="AB4667">
        <v>28</v>
      </c>
      <c r="AC4667">
        <v>172.0812</v>
      </c>
      <c r="AD4667">
        <v>-1.170982</v>
      </c>
      <c r="AE4667">
        <v>-1.63330000000001</v>
      </c>
      <c r="AF4667">
        <v>1.8031365730415301</v>
      </c>
      <c r="AG4667">
        <v>-1.170982</v>
      </c>
      <c r="AH4667">
        <v>172.07153615166499</v>
      </c>
      <c r="AI4667">
        <v>90.389882075256395</v>
      </c>
      <c r="AJ4667">
        <v>89.399619852670398</v>
      </c>
      <c r="AK4667">
        <v>172.08496754202301</v>
      </c>
      <c r="AL4667">
        <v>92.956822834286797</v>
      </c>
      <c r="AM4667">
        <v>90.597932032023607</v>
      </c>
      <c r="AN4667">
        <v>0.99999999010180995</v>
      </c>
    </row>
    <row r="4668" spans="1:40" x14ac:dyDescent="0.25">
      <c r="A4668" t="str">
        <f>"20190303153902175"</f>
        <v>20190303153902175</v>
      </c>
      <c r="B4668" t="str">
        <f>"1551598742163531"</f>
        <v>1551598742163531</v>
      </c>
      <c r="C4668" t="s">
        <v>40</v>
      </c>
      <c r="D4668">
        <v>4.1179379999999997</v>
      </c>
      <c r="E4668">
        <v>0.50783909999999999</v>
      </c>
      <c r="F4668" t="s">
        <v>43</v>
      </c>
      <c r="G4668">
        <v>-141.55330000000001</v>
      </c>
      <c r="H4668">
        <v>-0.05</v>
      </c>
      <c r="I4668">
        <v>214.1593</v>
      </c>
      <c r="J4668">
        <v>-292.33980000000003</v>
      </c>
      <c r="K4668">
        <v>1.1209439999999999</v>
      </c>
      <c r="L4668">
        <v>215.47499999999999</v>
      </c>
      <c r="M4668">
        <v>0.99991370000000002</v>
      </c>
      <c r="N4668">
        <v>-1.3104050000000001E-2</v>
      </c>
      <c r="O4668">
        <v>1.0425740000000001E-3</v>
      </c>
      <c r="P4668">
        <v>0.9978051</v>
      </c>
      <c r="Q4668">
        <v>-6.5155879999999999E-2</v>
      </c>
      <c r="R4668">
        <v>1.1834010000000001E-2</v>
      </c>
      <c r="S4668">
        <v>3.00528</v>
      </c>
      <c r="T4668">
        <v>-2.3296480000000001E-2</v>
      </c>
      <c r="U4668">
        <v>-2.6168819999999999E-2</v>
      </c>
      <c r="V4668">
        <v>-1.079009E-2</v>
      </c>
      <c r="W4668">
        <v>-5.2075580000000003E-2</v>
      </c>
      <c r="X4668">
        <v>0.9985849</v>
      </c>
      <c r="Y4668">
        <v>9.7491039999999998E-3</v>
      </c>
      <c r="Z4668" s="1">
        <v>-9.6087629999999993E-5</v>
      </c>
      <c r="AA4668">
        <v>0.99995250000000002</v>
      </c>
      <c r="AB4668">
        <v>28</v>
      </c>
      <c r="AC4668">
        <v>150.78649999999999</v>
      </c>
      <c r="AD4668">
        <v>-1.170944</v>
      </c>
      <c r="AE4668">
        <v>-1.3156999999999901</v>
      </c>
      <c r="AF4668">
        <v>1.4728300408382</v>
      </c>
      <c r="AG4668">
        <v>-1.170944</v>
      </c>
      <c r="AH4668">
        <v>150.77595447789599</v>
      </c>
      <c r="AI4668">
        <v>90.444935668104804</v>
      </c>
      <c r="AJ4668">
        <v>89.440333429503795</v>
      </c>
      <c r="AK4668">
        <v>150.78769441470001</v>
      </c>
      <c r="AL4668">
        <v>92.985061027505594</v>
      </c>
      <c r="AM4668">
        <v>90.619078616794695</v>
      </c>
      <c r="AN4668">
        <v>1.00000004729127</v>
      </c>
    </row>
    <row r="4669" spans="1:40" x14ac:dyDescent="0.25">
      <c r="A4669" t="str">
        <f>"20190303153902197"</f>
        <v>20190303153902197</v>
      </c>
      <c r="B4669" t="str">
        <f>"1551598742183051"</f>
        <v>1551598742183051</v>
      </c>
      <c r="C4669" t="s">
        <v>40</v>
      </c>
      <c r="D4669">
        <v>4.1309040000000001</v>
      </c>
      <c r="E4669">
        <v>0.50778029999999996</v>
      </c>
      <c r="F4669" t="s">
        <v>43</v>
      </c>
      <c r="G4669">
        <v>-148.77029999999999</v>
      </c>
      <c r="H4669">
        <v>-0.05</v>
      </c>
      <c r="I4669">
        <v>214.31229999999999</v>
      </c>
      <c r="J4669">
        <v>-292.13580000000002</v>
      </c>
      <c r="K4669">
        <v>1.1209199999999999</v>
      </c>
      <c r="L4669">
        <v>215.4753</v>
      </c>
      <c r="M4669">
        <v>0.99991600000000003</v>
      </c>
      <c r="N4669">
        <v>-1.292447E-2</v>
      </c>
      <c r="O4669">
        <v>1.084025E-3</v>
      </c>
      <c r="P4669">
        <v>0.99779309999999999</v>
      </c>
      <c r="Q4669">
        <v>-6.5343310000000002E-2</v>
      </c>
      <c r="R4669">
        <v>1.180261E-2</v>
      </c>
      <c r="S4669">
        <v>3.00528</v>
      </c>
      <c r="T4669">
        <v>-2.4510859999999999E-2</v>
      </c>
      <c r="U4669">
        <v>-2.4337770000000002E-2</v>
      </c>
      <c r="V4669">
        <v>-1.0717030000000001E-2</v>
      </c>
      <c r="W4669">
        <v>-5.244248E-2</v>
      </c>
      <c r="X4669">
        <v>0.99856639999999997</v>
      </c>
      <c r="Y4669">
        <v>9.1813469999999994E-3</v>
      </c>
      <c r="Z4669" s="1">
        <v>-9.1608019999999996E-5</v>
      </c>
      <c r="AA4669">
        <v>0.99995789999999996</v>
      </c>
      <c r="AB4669">
        <v>28</v>
      </c>
      <c r="AC4669">
        <v>143.3655</v>
      </c>
      <c r="AD4669">
        <v>-1.17092</v>
      </c>
      <c r="AE4669">
        <v>-1.16300000000001</v>
      </c>
      <c r="AF4669">
        <v>1.31833613185529</v>
      </c>
      <c r="AG4669">
        <v>-1.17092</v>
      </c>
      <c r="AH4669">
        <v>143.35459293699199</v>
      </c>
      <c r="AI4669">
        <v>90.467961606954503</v>
      </c>
      <c r="AJ4669">
        <v>89.473103962010796</v>
      </c>
      <c r="AK4669">
        <v>143.36543648988001</v>
      </c>
      <c r="AL4669">
        <v>93.006111869580593</v>
      </c>
      <c r="AM4669">
        <v>90.614898532042005</v>
      </c>
      <c r="AN4669">
        <v>0.99999996182476403</v>
      </c>
    </row>
    <row r="4670" spans="1:40" x14ac:dyDescent="0.25">
      <c r="A4670" t="str">
        <f>"20190303153902209"</f>
        <v>20190303153902209</v>
      </c>
      <c r="B4670" t="str">
        <f>"1551598742203547"</f>
        <v>1551598742203547</v>
      </c>
      <c r="C4670" t="s">
        <v>40</v>
      </c>
      <c r="D4670">
        <v>4.1664300000000001</v>
      </c>
      <c r="E4670">
        <v>0.50772539999999999</v>
      </c>
      <c r="F4670" t="s">
        <v>43</v>
      </c>
      <c r="G4670">
        <v>-153.90450000000001</v>
      </c>
      <c r="H4670">
        <v>-0.05</v>
      </c>
      <c r="I4670">
        <v>214.3664</v>
      </c>
      <c r="J4670">
        <v>-291.90480000000002</v>
      </c>
      <c r="K4670">
        <v>1.1209009999999999</v>
      </c>
      <c r="L4670">
        <v>215.47559999999999</v>
      </c>
      <c r="M4670">
        <v>0.99991839999999999</v>
      </c>
      <c r="N4670">
        <v>-1.272966E-2</v>
      </c>
      <c r="O4670">
        <v>1.131104E-3</v>
      </c>
      <c r="P4670">
        <v>0.99781070000000005</v>
      </c>
      <c r="Q4670">
        <v>-6.5064289999999997E-2</v>
      </c>
      <c r="R4670">
        <v>1.185835E-2</v>
      </c>
      <c r="S4670">
        <v>3.00528</v>
      </c>
      <c r="T4670">
        <v>-2.5456909999999999E-2</v>
      </c>
      <c r="U4670">
        <v>-2.4108890000000001E-2</v>
      </c>
      <c r="V4670">
        <v>-1.072612E-2</v>
      </c>
      <c r="W4670">
        <v>-5.2357790000000001E-2</v>
      </c>
      <c r="X4670">
        <v>0.99857079999999998</v>
      </c>
      <c r="Y4670">
        <v>9.1522429999999991E-3</v>
      </c>
      <c r="Z4670" s="1">
        <v>-9.2202080000000001E-5</v>
      </c>
      <c r="AA4670">
        <v>0.99995809999999996</v>
      </c>
      <c r="AB4670">
        <v>28</v>
      </c>
      <c r="AC4670">
        <v>138.00030000000001</v>
      </c>
      <c r="AD4670">
        <v>-1.170901</v>
      </c>
      <c r="AE4670">
        <v>-1.10919999999998</v>
      </c>
      <c r="AF4670">
        <v>1.2652135414477499</v>
      </c>
      <c r="AG4670">
        <v>-1.170901</v>
      </c>
      <c r="AH4670">
        <v>137.98902361121199</v>
      </c>
      <c r="AI4670">
        <v>90.486149217042893</v>
      </c>
      <c r="AJ4670">
        <v>89.474672964021707</v>
      </c>
      <c r="AK4670">
        <v>137.99979134633799</v>
      </c>
      <c r="AL4670">
        <v>93.001252653912502</v>
      </c>
      <c r="AM4670">
        <v>90.615417326759598</v>
      </c>
      <c r="AN4670">
        <v>1.00000001521828</v>
      </c>
    </row>
    <row r="4671" spans="1:40" x14ac:dyDescent="0.25">
      <c r="A4671" t="str">
        <f>"20190303153902232"</f>
        <v>20190303153902232</v>
      </c>
      <c r="B4671" t="str">
        <f>"1551598742223066"</f>
        <v>1551598742223066</v>
      </c>
      <c r="C4671" t="s">
        <v>40</v>
      </c>
      <c r="D4671">
        <v>4.1784869999999996</v>
      </c>
      <c r="E4671">
        <v>0.50768009999999997</v>
      </c>
      <c r="F4671" t="s">
        <v>43</v>
      </c>
      <c r="G4671">
        <v>-150.75829999999999</v>
      </c>
      <c r="H4671">
        <v>-0.05</v>
      </c>
      <c r="I4671">
        <v>214.3647</v>
      </c>
      <c r="J4671">
        <v>-291.6157</v>
      </c>
      <c r="K4671">
        <v>1.1208769999999999</v>
      </c>
      <c r="L4671">
        <v>215.476</v>
      </c>
      <c r="M4671">
        <v>0.99992110000000001</v>
      </c>
      <c r="N4671">
        <v>-1.2503530000000001E-2</v>
      </c>
      <c r="O4671">
        <v>1.1889750000000001E-3</v>
      </c>
      <c r="P4671">
        <v>0.9978747</v>
      </c>
      <c r="Q4671">
        <v>-6.4190849999999994E-2</v>
      </c>
      <c r="R4671">
        <v>1.119962E-2</v>
      </c>
      <c r="S4671">
        <v>3.00528</v>
      </c>
      <c r="T4671">
        <v>-2.493072E-2</v>
      </c>
      <c r="U4671">
        <v>-2.3651120000000001E-2</v>
      </c>
      <c r="V4671">
        <v>-1.000937E-2</v>
      </c>
      <c r="W4671">
        <v>-5.1709419999999999E-2</v>
      </c>
      <c r="X4671">
        <v>0.99861200000000006</v>
      </c>
      <c r="Y4671">
        <v>9.0578499999999992E-3</v>
      </c>
      <c r="Z4671" s="1">
        <v>-8.9198320000000004E-5</v>
      </c>
      <c r="AA4671">
        <v>0.99995900000000004</v>
      </c>
      <c r="AB4671">
        <v>28</v>
      </c>
      <c r="AC4671">
        <v>140.85740000000001</v>
      </c>
      <c r="AD4671">
        <v>-1.1708769999999999</v>
      </c>
      <c r="AE4671">
        <v>-1.1113</v>
      </c>
      <c r="AF4671">
        <v>1.2786998883838201</v>
      </c>
      <c r="AG4671">
        <v>-1.1708769999999999</v>
      </c>
      <c r="AH4671">
        <v>140.84624747323599</v>
      </c>
      <c r="AI4671">
        <v>90.476278224862895</v>
      </c>
      <c r="AJ4671">
        <v>89.479843478916905</v>
      </c>
      <c r="AK4671">
        <v>140.856918373382</v>
      </c>
      <c r="AL4671">
        <v>92.964053474266706</v>
      </c>
      <c r="AM4671">
        <v>90.574272542423898</v>
      </c>
      <c r="AN4671">
        <v>0.99999998907426602</v>
      </c>
    </row>
    <row r="4672" spans="1:40" x14ac:dyDescent="0.25">
      <c r="A4672" t="str">
        <f>"20190303153902254"</f>
        <v>20190303153902254</v>
      </c>
      <c r="B4672" t="str">
        <f>"1551598742243563"</f>
        <v>1551598742243563</v>
      </c>
      <c r="C4672" t="s">
        <v>40</v>
      </c>
      <c r="D4672">
        <v>4.1205309999999997</v>
      </c>
      <c r="E4672">
        <v>0.50763420000000004</v>
      </c>
      <c r="F4672" t="s">
        <v>43</v>
      </c>
      <c r="G4672">
        <v>-135.20179999999999</v>
      </c>
      <c r="H4672">
        <v>-0.05</v>
      </c>
      <c r="I4672">
        <v>214.16319999999999</v>
      </c>
      <c r="J4672">
        <v>-291.33980000000003</v>
      </c>
      <c r="K4672">
        <v>1.1208640000000001</v>
      </c>
      <c r="L4672">
        <v>215.47630000000001</v>
      </c>
      <c r="M4672">
        <v>0.99992349999999997</v>
      </c>
      <c r="N4672">
        <v>-1.2308070000000001E-2</v>
      </c>
      <c r="O4672">
        <v>1.2442480000000001E-3</v>
      </c>
      <c r="P4672">
        <v>0.99794899999999997</v>
      </c>
      <c r="Q4672">
        <v>-6.3130420000000007E-2</v>
      </c>
      <c r="R4672">
        <v>1.059733E-2</v>
      </c>
      <c r="S4672">
        <v>3.0052490000000001</v>
      </c>
      <c r="T4672">
        <v>-2.2496579999999999E-2</v>
      </c>
      <c r="U4672">
        <v>-2.522278E-2</v>
      </c>
      <c r="V4672">
        <v>-9.3521839999999995E-3</v>
      </c>
      <c r="W4672">
        <v>-5.0843319999999997E-2</v>
      </c>
      <c r="X4672">
        <v>0.99866279999999996</v>
      </c>
      <c r="Y4672">
        <v>9.6361769999999992E-3</v>
      </c>
      <c r="Z4672" s="1">
        <v>-8.9371930000000006E-5</v>
      </c>
      <c r="AA4672">
        <v>0.9999536</v>
      </c>
      <c r="AB4672">
        <v>28</v>
      </c>
      <c r="AC4672">
        <v>156.13800000000001</v>
      </c>
      <c r="AD4672">
        <v>-1.1708639999999999</v>
      </c>
      <c r="AE4672">
        <v>-1.3131000000000199</v>
      </c>
      <c r="AF4672">
        <v>1.50730333528195</v>
      </c>
      <c r="AG4672">
        <v>-1.1708639999999999</v>
      </c>
      <c r="AH4672">
        <v>156.12746618867001</v>
      </c>
      <c r="AI4672">
        <v>90.429656508372602</v>
      </c>
      <c r="AJ4672">
        <v>89.446865829138105</v>
      </c>
      <c r="AK4672">
        <v>156.13913213651901</v>
      </c>
      <c r="AL4672">
        <v>92.914364353198593</v>
      </c>
      <c r="AM4672">
        <v>90.536542473846794</v>
      </c>
      <c r="AN4672">
        <v>0.99999994731901398</v>
      </c>
    </row>
    <row r="4673" spans="1:40" x14ac:dyDescent="0.25">
      <c r="A4673" t="str">
        <f>"20190303153902275"</f>
        <v>20190303153902275</v>
      </c>
      <c r="B4673" t="str">
        <f>"1551598742272843"</f>
        <v>1551598742272843</v>
      </c>
      <c r="C4673" t="s">
        <v>40</v>
      </c>
      <c r="D4673">
        <v>4.144514</v>
      </c>
      <c r="E4673">
        <v>0.50759949999999998</v>
      </c>
      <c r="F4673" t="s">
        <v>43</v>
      </c>
      <c r="G4673">
        <v>-111.6768</v>
      </c>
      <c r="H4673">
        <v>-0.05</v>
      </c>
      <c r="I4673">
        <v>213.87629999999999</v>
      </c>
      <c r="J4673">
        <v>-291.06610000000001</v>
      </c>
      <c r="K4673">
        <v>1.120854</v>
      </c>
      <c r="L4673">
        <v>215.47669999999999</v>
      </c>
      <c r="M4673">
        <v>0.99992539999999996</v>
      </c>
      <c r="N4673">
        <v>-1.21344E-2</v>
      </c>
      <c r="O4673">
        <v>1.29919E-3</v>
      </c>
      <c r="P4673">
        <v>0.99800759999999999</v>
      </c>
      <c r="Q4673">
        <v>-6.2261280000000002E-2</v>
      </c>
      <c r="R4673">
        <v>1.0203459999999999E-2</v>
      </c>
      <c r="S4673">
        <v>3.0052189999999999</v>
      </c>
      <c r="T4673">
        <v>-1.958501E-2</v>
      </c>
      <c r="U4673">
        <v>-2.676392E-2</v>
      </c>
      <c r="V4673">
        <v>-8.9034390000000008E-3</v>
      </c>
      <c r="W4673">
        <v>-5.0146959999999997E-2</v>
      </c>
      <c r="X4673">
        <v>0.99870219999999998</v>
      </c>
      <c r="Y4673">
        <v>1.0204049999999999E-2</v>
      </c>
      <c r="Z4673" s="1">
        <v>-8.7865559999999998E-5</v>
      </c>
      <c r="AA4673">
        <v>0.9999479</v>
      </c>
      <c r="AB4673">
        <v>28</v>
      </c>
      <c r="AC4673">
        <v>179.38929999999999</v>
      </c>
      <c r="AD4673">
        <v>-1.1708540000000001</v>
      </c>
      <c r="AE4673">
        <v>-1.6004</v>
      </c>
      <c r="AF4673">
        <v>1.8333985276424001</v>
      </c>
      <c r="AG4673">
        <v>-1.1708540000000001</v>
      </c>
      <c r="AH4673">
        <v>179.37942820036</v>
      </c>
      <c r="AI4673">
        <v>90.373958915083193</v>
      </c>
      <c r="AJ4673">
        <v>89.414412559871806</v>
      </c>
      <c r="AK4673">
        <v>179.392618328455</v>
      </c>
      <c r="AL4673">
        <v>92.874414641289803</v>
      </c>
      <c r="AM4673">
        <v>90.510778852706196</v>
      </c>
      <c r="AN4673">
        <v>1.00000003655405</v>
      </c>
    </row>
    <row r="4674" spans="1:40" x14ac:dyDescent="0.25">
      <c r="A4674" t="str">
        <f>"20190303153902298"</f>
        <v>20190303153902298</v>
      </c>
      <c r="B4674" t="str">
        <f>"1551598742293339"</f>
        <v>1551598742293339</v>
      </c>
      <c r="C4674" t="s">
        <v>40</v>
      </c>
      <c r="D4674">
        <v>4.1986730000000003</v>
      </c>
      <c r="E4674">
        <v>0.50757509999999995</v>
      </c>
      <c r="F4674" t="s">
        <v>67</v>
      </c>
      <c r="G4674">
        <v>-107.39749999999999</v>
      </c>
      <c r="H4674">
        <v>4.5720289999999997E-2</v>
      </c>
      <c r="I4674">
        <v>213.785</v>
      </c>
      <c r="J4674">
        <v>-290.78609999999998</v>
      </c>
      <c r="K4674">
        <v>1.120846</v>
      </c>
      <c r="L4674">
        <v>215.47720000000001</v>
      </c>
      <c r="M4674">
        <v>0.99992740000000002</v>
      </c>
      <c r="N4674">
        <v>-1.197632E-2</v>
      </c>
      <c r="O4674">
        <v>1.355392E-3</v>
      </c>
      <c r="P4674">
        <v>0.99801689999999998</v>
      </c>
      <c r="Q4674">
        <v>-6.2087959999999998E-2</v>
      </c>
      <c r="R4674">
        <v>1.036457E-2</v>
      </c>
      <c r="S4674">
        <v>3.005188</v>
      </c>
      <c r="T4674">
        <v>-1.7590519999999998E-2</v>
      </c>
      <c r="U4674">
        <v>-2.767944E-2</v>
      </c>
      <c r="V4674">
        <v>-9.0082140000000005E-3</v>
      </c>
      <c r="W4674">
        <v>-5.0131429999999998E-2</v>
      </c>
      <c r="X4674">
        <v>0.99870199999999998</v>
      </c>
      <c r="Y4674">
        <v>1.056501E-2</v>
      </c>
      <c r="Z4674" s="1">
        <v>-8.5890289999999999E-5</v>
      </c>
      <c r="AA4674">
        <v>0.99994419999999995</v>
      </c>
      <c r="AB4674">
        <v>28</v>
      </c>
      <c r="AC4674">
        <v>183.3886</v>
      </c>
      <c r="AD4674">
        <v>-1.07512571</v>
      </c>
      <c r="AE4674">
        <v>-1.6922000000000099</v>
      </c>
      <c r="AF4674">
        <v>1.9407130096473999</v>
      </c>
      <c r="AG4674">
        <v>-1.07512571</v>
      </c>
      <c r="AH4674">
        <v>183.37983562103199</v>
      </c>
      <c r="AI4674">
        <v>90.335893040975193</v>
      </c>
      <c r="AJ4674">
        <v>89.393660086345093</v>
      </c>
      <c r="AK4674">
        <v>183.393256077411</v>
      </c>
      <c r="AL4674">
        <v>92.873523832494399</v>
      </c>
      <c r="AM4674">
        <v>90.516789439182304</v>
      </c>
      <c r="AN4674">
        <v>0.99999999649865701</v>
      </c>
    </row>
    <row r="4675" spans="1:40" x14ac:dyDescent="0.25">
      <c r="A4675" t="str">
        <f>"20190303153902321"</f>
        <v>20190303153902321</v>
      </c>
      <c r="B4675" t="str">
        <f>"1551598742312859"</f>
        <v>1551598742312859</v>
      </c>
      <c r="C4675" t="s">
        <v>40</v>
      </c>
      <c r="D4675">
        <v>4.1940369999999998</v>
      </c>
      <c r="E4675">
        <v>0.50754860000000002</v>
      </c>
      <c r="F4675" t="s">
        <v>67</v>
      </c>
      <c r="G4675">
        <v>-107.39749999999999</v>
      </c>
      <c r="H4675">
        <v>5.5855969999999998E-2</v>
      </c>
      <c r="I4675">
        <v>213.82990000000001</v>
      </c>
      <c r="J4675">
        <v>-290.48970000000003</v>
      </c>
      <c r="K4675">
        <v>1.1208359999999999</v>
      </c>
      <c r="L4675">
        <v>215.4776</v>
      </c>
      <c r="M4675">
        <v>0.99992910000000002</v>
      </c>
      <c r="N4675">
        <v>-1.18291E-2</v>
      </c>
      <c r="O4675">
        <v>1.41545E-3</v>
      </c>
      <c r="P4675">
        <v>0.99802080000000004</v>
      </c>
      <c r="Q4675">
        <v>-6.1944340000000001E-2</v>
      </c>
      <c r="R4675">
        <v>1.084622E-2</v>
      </c>
      <c r="S4675">
        <v>3.0051269999999999</v>
      </c>
      <c r="T4675">
        <v>-1.7450810000000001E-2</v>
      </c>
      <c r="U4675">
        <v>-2.6992800000000001E-2</v>
      </c>
      <c r="V4675">
        <v>-9.4301400000000001E-3</v>
      </c>
      <c r="W4675">
        <v>-5.0134819999999997E-2</v>
      </c>
      <c r="X4675">
        <v>0.99869790000000003</v>
      </c>
      <c r="Y4675">
        <v>1.0396809999999999E-2</v>
      </c>
      <c r="Z4675" s="1">
        <v>-8.3159219999999901E-5</v>
      </c>
      <c r="AA4675">
        <v>0.99994590000000005</v>
      </c>
      <c r="AB4675">
        <v>28</v>
      </c>
      <c r="AC4675">
        <v>183.09219999999999</v>
      </c>
      <c r="AD4675">
        <v>-1.0649800300000001</v>
      </c>
      <c r="AE4675">
        <v>-1.64769999999998</v>
      </c>
      <c r="AF4675">
        <v>1.9068098113266101</v>
      </c>
      <c r="AG4675">
        <v>-1.0649800300000001</v>
      </c>
      <c r="AH4675">
        <v>183.08349036068</v>
      </c>
      <c r="AI4675">
        <v>90.333262511164193</v>
      </c>
      <c r="AJ4675">
        <v>89.403287514838794</v>
      </c>
      <c r="AK4675">
        <v>183.09651703069099</v>
      </c>
      <c r="AL4675">
        <v>92.873718410134202</v>
      </c>
      <c r="AM4675">
        <v>90.540995595586693</v>
      </c>
      <c r="AN4675">
        <v>0.99999996159062998</v>
      </c>
    </row>
    <row r="4676" spans="1:40" x14ac:dyDescent="0.25">
      <c r="A4676" t="str">
        <f>"20190303153902343"</f>
        <v>20190303153902343</v>
      </c>
      <c r="B4676" t="str">
        <f>"1551598742333357"</f>
        <v>1551598742333357</v>
      </c>
      <c r="C4676" t="s">
        <v>40</v>
      </c>
      <c r="D4676">
        <v>4.1997299999999997</v>
      </c>
      <c r="E4676">
        <v>0.5075189</v>
      </c>
      <c r="F4676" t="s">
        <v>67</v>
      </c>
      <c r="G4676">
        <v>-107.39749999999999</v>
      </c>
      <c r="H4676">
        <v>5.900884E-2</v>
      </c>
      <c r="I4676">
        <v>213.94460000000001</v>
      </c>
      <c r="J4676">
        <v>-290.21660000000003</v>
      </c>
      <c r="K4676">
        <v>1.120833</v>
      </c>
      <c r="L4676">
        <v>215.47810000000001</v>
      </c>
      <c r="M4676">
        <v>0.99993050000000006</v>
      </c>
      <c r="N4676">
        <v>-1.170994E-2</v>
      </c>
      <c r="O4676">
        <v>1.470507E-3</v>
      </c>
      <c r="P4676">
        <v>0.99801740000000005</v>
      </c>
      <c r="Q4676">
        <v>-6.1945020000000003E-2</v>
      </c>
      <c r="R4676">
        <v>1.115355E-2</v>
      </c>
      <c r="S4676">
        <v>3.005096</v>
      </c>
      <c r="T4676">
        <v>-1.742697E-2</v>
      </c>
      <c r="U4676">
        <v>-2.5161739999999998E-2</v>
      </c>
      <c r="V4676">
        <v>-9.6819999999999996E-3</v>
      </c>
      <c r="W4676">
        <v>-5.0254550000000002E-2</v>
      </c>
      <c r="X4676">
        <v>0.99868950000000001</v>
      </c>
      <c r="Y4676">
        <v>9.8427519999999998E-3</v>
      </c>
      <c r="Z4676" s="1">
        <v>-7.7479969999999995E-5</v>
      </c>
      <c r="AA4676">
        <v>0.99995149999999999</v>
      </c>
      <c r="AB4676">
        <v>28</v>
      </c>
      <c r="AC4676">
        <v>182.81909999999999</v>
      </c>
      <c r="AD4676">
        <v>-1.06182416</v>
      </c>
      <c r="AE4676">
        <v>-1.5335000000000001</v>
      </c>
      <c r="AF4676">
        <v>1.8022927093140899</v>
      </c>
      <c r="AG4676">
        <v>-1.06182416</v>
      </c>
      <c r="AH4676">
        <v>182.81048071990801</v>
      </c>
      <c r="AI4676">
        <v>90.332773056970595</v>
      </c>
      <c r="AJ4676">
        <v>89.435150436285497</v>
      </c>
      <c r="AK4676">
        <v>182.82244826771301</v>
      </c>
      <c r="AL4676">
        <v>92.880587012887801</v>
      </c>
      <c r="AM4676">
        <v>90.555448273753697</v>
      </c>
      <c r="AN4676">
        <v>0.99999998916497601</v>
      </c>
    </row>
    <row r="4677" spans="1:40" x14ac:dyDescent="0.25">
      <c r="A4677" t="str">
        <f>"20190303153902365"</f>
        <v>20190303153902365</v>
      </c>
      <c r="B4677" t="str">
        <f>"1551598742352875"</f>
        <v>1551598742352875</v>
      </c>
      <c r="C4677" t="s">
        <v>40</v>
      </c>
      <c r="D4677">
        <v>4.192399</v>
      </c>
      <c r="E4677">
        <v>0.50748789999999999</v>
      </c>
      <c r="F4677" t="s">
        <v>43</v>
      </c>
      <c r="G4677">
        <v>-94.523480000000006</v>
      </c>
      <c r="H4677">
        <v>-0.05</v>
      </c>
      <c r="I4677">
        <v>213.92599999999999</v>
      </c>
      <c r="J4677">
        <v>-289.93369999999999</v>
      </c>
      <c r="K4677">
        <v>1.1208309999999999</v>
      </c>
      <c r="L4677">
        <v>215.4786</v>
      </c>
      <c r="M4677">
        <v>0.99993160000000003</v>
      </c>
      <c r="N4677">
        <v>-1.1605549999999999E-2</v>
      </c>
      <c r="O4677">
        <v>1.5277369999999999E-3</v>
      </c>
      <c r="P4677">
        <v>0.99800999999999995</v>
      </c>
      <c r="Q4677">
        <v>-6.20058E-2</v>
      </c>
      <c r="R4677">
        <v>1.147463E-2</v>
      </c>
      <c r="S4677">
        <v>3.005096</v>
      </c>
      <c r="T4677">
        <v>-1.7979499999999999E-2</v>
      </c>
      <c r="U4677">
        <v>-2.3834230000000001E-2</v>
      </c>
      <c r="V4677">
        <v>-9.9462160000000008E-3</v>
      </c>
      <c r="W4677">
        <v>-5.0419699999999998E-2</v>
      </c>
      <c r="X4677">
        <v>0.99867859999999997</v>
      </c>
      <c r="Y4677">
        <v>9.458279E-3</v>
      </c>
      <c r="Z4677" s="1">
        <v>-7.4591740000000002E-5</v>
      </c>
      <c r="AA4677">
        <v>0.99995520000000004</v>
      </c>
      <c r="AB4677">
        <v>28</v>
      </c>
      <c r="AC4677">
        <v>195.41022000000001</v>
      </c>
      <c r="AD4677">
        <v>-1.170831</v>
      </c>
      <c r="AE4677">
        <v>-1.55260000000001</v>
      </c>
      <c r="AF4677">
        <v>1.85108723416992</v>
      </c>
      <c r="AG4677">
        <v>-1.170831</v>
      </c>
      <c r="AH4677">
        <v>195.400605373735</v>
      </c>
      <c r="AI4677">
        <v>90.343294034438202</v>
      </c>
      <c r="AJ4677">
        <v>89.457236515272896</v>
      </c>
      <c r="AK4677">
        <v>195.41288071568101</v>
      </c>
      <c r="AL4677">
        <v>92.890061362371</v>
      </c>
      <c r="AM4677">
        <v>90.570611364052894</v>
      </c>
      <c r="AN4677">
        <v>1.00000000972938</v>
      </c>
    </row>
    <row r="4678" spans="1:40" x14ac:dyDescent="0.25">
      <c r="A4678" t="str">
        <f>"20190303153902387"</f>
        <v>20190303153902387</v>
      </c>
      <c r="B4678" t="str">
        <f>"1551598742383131"</f>
        <v>1551598742383131</v>
      </c>
      <c r="C4678" t="s">
        <v>40</v>
      </c>
      <c r="D4678">
        <v>4.2233999999999998</v>
      </c>
      <c r="E4678">
        <v>0.50744440000000002</v>
      </c>
      <c r="F4678" t="s">
        <v>43</v>
      </c>
      <c r="G4678">
        <v>-100.9029</v>
      </c>
      <c r="H4678">
        <v>-0.05</v>
      </c>
      <c r="I4678">
        <v>214.04069999999999</v>
      </c>
      <c r="J4678">
        <v>-289.65780000000001</v>
      </c>
      <c r="K4678">
        <v>1.120835</v>
      </c>
      <c r="L4678">
        <v>215.47900000000001</v>
      </c>
      <c r="M4678">
        <v>0.9999323</v>
      </c>
      <c r="N4678">
        <v>-1.152597E-2</v>
      </c>
      <c r="O4678">
        <v>1.5832719999999999E-3</v>
      </c>
      <c r="P4678">
        <v>0.99799839999999995</v>
      </c>
      <c r="Q4678">
        <v>-6.2086370000000002E-2</v>
      </c>
      <c r="R4678">
        <v>1.2025650000000001E-2</v>
      </c>
      <c r="S4678">
        <v>3.0051269999999999</v>
      </c>
      <c r="T4678">
        <v>-1.8613339999999999E-2</v>
      </c>
      <c r="U4678">
        <v>-2.285767E-2</v>
      </c>
      <c r="V4678">
        <v>-1.0441860000000001E-2</v>
      </c>
      <c r="W4678">
        <v>-5.0579909999999999E-2</v>
      </c>
      <c r="X4678">
        <v>0.99866549999999998</v>
      </c>
      <c r="Y4678">
        <v>9.1887989999999992E-3</v>
      </c>
      <c r="Z4678" s="1">
        <v>-7.2972399999999898E-5</v>
      </c>
      <c r="AA4678">
        <v>0.99995780000000001</v>
      </c>
      <c r="AB4678">
        <v>28</v>
      </c>
      <c r="AC4678">
        <v>188.75489999999999</v>
      </c>
      <c r="AD4678">
        <v>-1.1708350000000001</v>
      </c>
      <c r="AE4678">
        <v>-1.4383000000000199</v>
      </c>
      <c r="AF4678">
        <v>1.7371015703439701</v>
      </c>
      <c r="AG4678">
        <v>-1.1708350000000001</v>
      </c>
      <c r="AH4678">
        <v>188.745124196783</v>
      </c>
      <c r="AI4678">
        <v>90.355400983330696</v>
      </c>
      <c r="AJ4678">
        <v>89.4726974855203</v>
      </c>
      <c r="AK4678">
        <v>188.756748977413</v>
      </c>
      <c r="AL4678">
        <v>92.899252270501705</v>
      </c>
      <c r="AM4678">
        <v>90.599052142854006</v>
      </c>
      <c r="AN4678">
        <v>1.00000007031305</v>
      </c>
    </row>
    <row r="4679" spans="1:40" x14ac:dyDescent="0.25">
      <c r="A4679" t="str">
        <f>"20190303153902410"</f>
        <v>20190303153902410</v>
      </c>
      <c r="B4679" t="str">
        <f>"1551598742403630"</f>
        <v>1551598742403630</v>
      </c>
      <c r="C4679" t="s">
        <v>40</v>
      </c>
      <c r="D4679">
        <v>4.2209250000000003</v>
      </c>
      <c r="E4679">
        <v>0.5074149</v>
      </c>
      <c r="F4679" t="s">
        <v>43</v>
      </c>
      <c r="G4679">
        <v>-109.46769999999999</v>
      </c>
      <c r="H4679">
        <v>-0.05</v>
      </c>
      <c r="I4679">
        <v>214.23750000000001</v>
      </c>
      <c r="J4679">
        <v>-289.363</v>
      </c>
      <c r="K4679">
        <v>1.120835</v>
      </c>
      <c r="L4679">
        <v>215.4796</v>
      </c>
      <c r="M4679">
        <v>0.99993299999999996</v>
      </c>
      <c r="N4679">
        <v>-1.1460140000000001E-2</v>
      </c>
      <c r="O4679">
        <v>1.6424810000000001E-3</v>
      </c>
      <c r="P4679">
        <v>0.99800310000000003</v>
      </c>
      <c r="Q4679">
        <v>-6.1870519999999998E-2</v>
      </c>
      <c r="R4679">
        <v>1.2716659999999999E-2</v>
      </c>
      <c r="S4679">
        <v>3.0050659999999998</v>
      </c>
      <c r="T4679">
        <v>-1.952624E-2</v>
      </c>
      <c r="U4679">
        <v>-2.0706180000000001E-2</v>
      </c>
      <c r="V4679">
        <v>-1.1073390000000001E-2</v>
      </c>
      <c r="W4679">
        <v>-5.0429809999999999E-2</v>
      </c>
      <c r="X4679">
        <v>0.99866619999999995</v>
      </c>
      <c r="Y4679">
        <v>8.5322850000000006E-3</v>
      </c>
      <c r="Z4679" s="1">
        <v>-6.8462650000000001E-5</v>
      </c>
      <c r="AA4679">
        <v>0.99996359999999995</v>
      </c>
      <c r="AB4679">
        <v>28</v>
      </c>
      <c r="AC4679">
        <v>179.89529999999999</v>
      </c>
      <c r="AD4679">
        <v>-1.1708350000000001</v>
      </c>
      <c r="AE4679">
        <v>-1.24209999999999</v>
      </c>
      <c r="AF4679">
        <v>1.5375272101539901</v>
      </c>
      <c r="AG4679">
        <v>-1.1708350000000001</v>
      </c>
      <c r="AH4679">
        <v>179.88539754402501</v>
      </c>
      <c r="AI4679">
        <v>90.372906903146401</v>
      </c>
      <c r="AJ4679">
        <v>89.510290017562795</v>
      </c>
      <c r="AK4679">
        <v>179.895778422094</v>
      </c>
      <c r="AL4679">
        <v>92.890641439708205</v>
      </c>
      <c r="AM4679">
        <v>90.635279848338897</v>
      </c>
      <c r="AN4679">
        <v>0.99999998236258303</v>
      </c>
    </row>
    <row r="4680" spans="1:40" x14ac:dyDescent="0.25">
      <c r="A4680" t="str">
        <f>"20190303153902432"</f>
        <v>20190303153902432</v>
      </c>
      <c r="B4680" t="str">
        <f>"1551598742423147"</f>
        <v>1551598742423147</v>
      </c>
      <c r="C4680" t="s">
        <v>40</v>
      </c>
      <c r="D4680">
        <v>4.2171789999999998</v>
      </c>
      <c r="E4680">
        <v>0.50739160000000005</v>
      </c>
      <c r="F4680" t="s">
        <v>43</v>
      </c>
      <c r="G4680">
        <v>-106.9898</v>
      </c>
      <c r="H4680">
        <v>-0.05</v>
      </c>
      <c r="I4680">
        <v>214.3553</v>
      </c>
      <c r="J4680">
        <v>-289.07279999999997</v>
      </c>
      <c r="K4680">
        <v>1.1208359999999999</v>
      </c>
      <c r="L4680">
        <v>215.48009999999999</v>
      </c>
      <c r="M4680">
        <v>0.99993350000000003</v>
      </c>
      <c r="N4680">
        <v>-1.1408160000000001E-2</v>
      </c>
      <c r="O4680">
        <v>1.7008889999999999E-3</v>
      </c>
      <c r="P4680">
        <v>0.99801119999999999</v>
      </c>
      <c r="Q4680">
        <v>-6.1603339999999999E-2</v>
      </c>
      <c r="R4680">
        <v>1.3363649999999999E-2</v>
      </c>
      <c r="S4680">
        <v>3.0050050000000001</v>
      </c>
      <c r="T4680">
        <v>-1.9292119999999999E-2</v>
      </c>
      <c r="U4680">
        <v>-1.852417E-2</v>
      </c>
      <c r="V4680">
        <v>-1.1662570000000001E-2</v>
      </c>
      <c r="W4680">
        <v>-5.0214479999999999E-2</v>
      </c>
      <c r="X4680">
        <v>0.99867030000000001</v>
      </c>
      <c r="Y4680">
        <v>7.8648099999999999E-3</v>
      </c>
      <c r="Z4680" s="1">
        <v>-6.1625079999999999E-5</v>
      </c>
      <c r="AA4680">
        <v>0.99996910000000006</v>
      </c>
      <c r="AB4680">
        <v>28</v>
      </c>
      <c r="AC4680">
        <v>182.083</v>
      </c>
      <c r="AD4680">
        <v>-1.170836</v>
      </c>
      <c r="AE4680">
        <v>-1.12479999999999</v>
      </c>
      <c r="AF4680">
        <v>1.43446218335883</v>
      </c>
      <c r="AG4680">
        <v>-1.170836</v>
      </c>
      <c r="AH4680">
        <v>182.07329523693701</v>
      </c>
      <c r="AI4680">
        <v>90.368428301135395</v>
      </c>
      <c r="AJ4680">
        <v>89.548605255725505</v>
      </c>
      <c r="AK4680">
        <v>182.08271026412999</v>
      </c>
      <c r="AL4680">
        <v>92.878288413722998</v>
      </c>
      <c r="AM4680">
        <v>90.669075334582104</v>
      </c>
      <c r="AN4680">
        <v>0.99999993882138005</v>
      </c>
    </row>
    <row r="4681" spans="1:40" x14ac:dyDescent="0.25">
      <c r="A4681" t="str">
        <f>"20190303153902455"</f>
        <v>20190303153902455</v>
      </c>
      <c r="B4681" t="str">
        <f>"1551598742443643"</f>
        <v>1551598742443643</v>
      </c>
      <c r="C4681" t="s">
        <v>40</v>
      </c>
      <c r="D4681">
        <v>4.2095320000000003</v>
      </c>
      <c r="E4681">
        <v>0.50736669999999995</v>
      </c>
      <c r="F4681" t="s">
        <v>43</v>
      </c>
      <c r="G4681">
        <v>-103.03740000000001</v>
      </c>
      <c r="H4681">
        <v>-0.05</v>
      </c>
      <c r="I4681">
        <v>214.45519999999999</v>
      </c>
      <c r="J4681">
        <v>-288.79579999999999</v>
      </c>
      <c r="K4681">
        <v>1.1208389999999999</v>
      </c>
      <c r="L4681">
        <v>215.48070000000001</v>
      </c>
      <c r="M4681">
        <v>0.99993399999999999</v>
      </c>
      <c r="N4681">
        <v>-1.1366299999999999E-2</v>
      </c>
      <c r="O4681">
        <v>1.7564970000000001E-3</v>
      </c>
      <c r="P4681">
        <v>0.99803920000000002</v>
      </c>
      <c r="Q4681">
        <v>-6.1097940000000003E-2</v>
      </c>
      <c r="R4681">
        <v>1.359697E-2</v>
      </c>
      <c r="S4681">
        <v>3.0050349999999999</v>
      </c>
      <c r="T4681">
        <v>-1.891255E-2</v>
      </c>
      <c r="U4681">
        <v>-1.6555790000000001E-2</v>
      </c>
      <c r="V4681">
        <v>-1.183999E-2</v>
      </c>
      <c r="W4681">
        <v>-4.9750599999999999E-2</v>
      </c>
      <c r="X4681">
        <v>0.99869149999999995</v>
      </c>
      <c r="Y4681">
        <v>7.2654149999999999E-3</v>
      </c>
      <c r="Z4681" s="1">
        <v>-5.524475E-5</v>
      </c>
      <c r="AA4681">
        <v>0.99997360000000002</v>
      </c>
      <c r="AB4681">
        <v>28</v>
      </c>
      <c r="AC4681">
        <v>185.75839999999999</v>
      </c>
      <c r="AD4681">
        <v>-1.170839</v>
      </c>
      <c r="AE4681">
        <v>-1.0255000000000201</v>
      </c>
      <c r="AF4681">
        <v>1.3517498221028199</v>
      </c>
      <c r="AG4681">
        <v>-1.170839</v>
      </c>
      <c r="AH4681">
        <v>185.74893277936201</v>
      </c>
      <c r="AI4681">
        <v>90.361140532695501</v>
      </c>
      <c r="AJ4681">
        <v>89.583049057505207</v>
      </c>
      <c r="AK4681">
        <v>185.757541220316</v>
      </c>
      <c r="AL4681">
        <v>92.851676580785394</v>
      </c>
      <c r="AM4681">
        <v>90.679238459843603</v>
      </c>
      <c r="AN4681">
        <v>1.0000000098679001</v>
      </c>
    </row>
    <row r="4682" spans="1:40" x14ac:dyDescent="0.25">
      <c r="A4682" t="str">
        <f>"20190303153902476"</f>
        <v>20190303153902476</v>
      </c>
      <c r="B4682" t="str">
        <f>"1551598742472923"</f>
        <v>1551598742472923</v>
      </c>
      <c r="C4682" t="s">
        <v>40</v>
      </c>
      <c r="D4682">
        <v>4.2496479999999996</v>
      </c>
      <c r="E4682">
        <v>0.50733569999999995</v>
      </c>
      <c r="F4682" t="s">
        <v>67</v>
      </c>
      <c r="G4682">
        <v>-107.39749999999999</v>
      </c>
      <c r="H4682">
        <v>5.3118499999999902E-2</v>
      </c>
      <c r="I4682">
        <v>214.5522</v>
      </c>
      <c r="J4682">
        <v>-288.51710000000003</v>
      </c>
      <c r="K4682">
        <v>1.120835</v>
      </c>
      <c r="L4682">
        <v>215.4812</v>
      </c>
      <c r="M4682">
        <v>0.99993430000000005</v>
      </c>
      <c r="N4682">
        <v>-1.1331340000000001E-2</v>
      </c>
      <c r="O4682">
        <v>1.8129590000000001E-3</v>
      </c>
      <c r="P4682">
        <v>0.99803830000000004</v>
      </c>
      <c r="Q4682">
        <v>-6.1123490000000003E-2</v>
      </c>
      <c r="R4682">
        <v>1.3560569999999999E-2</v>
      </c>
      <c r="S4682">
        <v>3.0050349999999999</v>
      </c>
      <c r="T4682">
        <v>-1.7686960000000002E-2</v>
      </c>
      <c r="U4682">
        <v>-1.538086E-2</v>
      </c>
      <c r="V4682">
        <v>-1.174709E-2</v>
      </c>
      <c r="W4682">
        <v>-4.9811040000000001E-2</v>
      </c>
      <c r="X4682">
        <v>0.99868959999999996</v>
      </c>
      <c r="Y4682">
        <v>6.9309599999999999E-3</v>
      </c>
      <c r="Z4682" s="1">
        <v>-4.9794360000000003E-5</v>
      </c>
      <c r="AA4682">
        <v>0.99997599999999998</v>
      </c>
      <c r="AB4682">
        <v>28</v>
      </c>
      <c r="AC4682">
        <v>181.11959999999999</v>
      </c>
      <c r="AD4682">
        <v>-1.0677165</v>
      </c>
      <c r="AE4682">
        <v>-0.92900000000000205</v>
      </c>
      <c r="AF4682">
        <v>1.2573382230705199</v>
      </c>
      <c r="AG4682">
        <v>-1.0677165</v>
      </c>
      <c r="AH4682">
        <v>181.111324128419</v>
      </c>
      <c r="AI4682">
        <v>90.3377672083015</v>
      </c>
      <c r="AJ4682">
        <v>89.602239028245407</v>
      </c>
      <c r="AK4682">
        <v>181.118835700434</v>
      </c>
      <c r="AL4682">
        <v>92.855143791848803</v>
      </c>
      <c r="AM4682">
        <v>90.673910733082593</v>
      </c>
      <c r="AN4682">
        <v>1.00000002548875</v>
      </c>
    </row>
    <row r="4683" spans="1:40" x14ac:dyDescent="0.25">
      <c r="A4683" t="str">
        <f>"20190303153902499"</f>
        <v>20190303153902499</v>
      </c>
      <c r="B4683" t="str">
        <f>"1551598742493419"</f>
        <v>1551598742493419</v>
      </c>
      <c r="C4683" t="s">
        <v>40</v>
      </c>
      <c r="D4683">
        <v>4.2196389999999999</v>
      </c>
      <c r="E4683">
        <v>0.50728640000000003</v>
      </c>
      <c r="F4683" t="s">
        <v>43</v>
      </c>
      <c r="G4683">
        <v>-95.319090000000003</v>
      </c>
      <c r="H4683">
        <v>-0.05</v>
      </c>
      <c r="I4683">
        <v>214.5051</v>
      </c>
      <c r="J4683">
        <v>-288.23360000000002</v>
      </c>
      <c r="K4683">
        <v>1.120833</v>
      </c>
      <c r="L4683">
        <v>215.48179999999999</v>
      </c>
      <c r="M4683">
        <v>0.9999344</v>
      </c>
      <c r="N4683">
        <v>-1.1302009999999999E-2</v>
      </c>
      <c r="O4683">
        <v>1.870402E-3</v>
      </c>
      <c r="P4683">
        <v>0.99805410000000006</v>
      </c>
      <c r="Q4683">
        <v>-6.087273E-2</v>
      </c>
      <c r="R4683">
        <v>1.351188E-2</v>
      </c>
      <c r="S4683">
        <v>3.0049739999999998</v>
      </c>
      <c r="T4683">
        <v>-1.821101E-2</v>
      </c>
      <c r="U4683">
        <v>-1.5182499999999899E-2</v>
      </c>
      <c r="V4683">
        <v>-1.1641510000000001E-2</v>
      </c>
      <c r="W4683">
        <v>-4.9589420000000002E-2</v>
      </c>
      <c r="X4683">
        <v>0.99870179999999997</v>
      </c>
      <c r="Y4683">
        <v>6.9224899999999999E-3</v>
      </c>
      <c r="Z4683" s="1">
        <v>-5.0292369999999998E-5</v>
      </c>
      <c r="AA4683">
        <v>0.99997599999999998</v>
      </c>
      <c r="AB4683">
        <v>28</v>
      </c>
      <c r="AC4683">
        <v>192.91451000000001</v>
      </c>
      <c r="AD4683">
        <v>-1.170833</v>
      </c>
      <c r="AE4683">
        <v>-0.97669999999999402</v>
      </c>
      <c r="AF4683">
        <v>1.33749975175615</v>
      </c>
      <c r="AG4683">
        <v>-1.170833</v>
      </c>
      <c r="AH4683">
        <v>192.90524009857899</v>
      </c>
      <c r="AI4683">
        <v>90.347742514968601</v>
      </c>
      <c r="AJ4683">
        <v>89.602748671406005</v>
      </c>
      <c r="AK4683">
        <v>192.91342984092699</v>
      </c>
      <c r="AL4683">
        <v>92.842430375136402</v>
      </c>
      <c r="AM4683">
        <v>90.667846180050603</v>
      </c>
      <c r="AN4683">
        <v>0.99999996032712701</v>
      </c>
    </row>
    <row r="4684" spans="1:40" x14ac:dyDescent="0.25">
      <c r="A4684" t="str">
        <f>"20190303153902521"</f>
        <v>20190303153902521</v>
      </c>
      <c r="B4684" t="str">
        <f>"1551598742512939"</f>
        <v>1551598742512939</v>
      </c>
      <c r="C4684" t="s">
        <v>40</v>
      </c>
      <c r="D4684">
        <v>4.2550179999999997</v>
      </c>
      <c r="E4684">
        <v>0.50724550000000002</v>
      </c>
      <c r="F4684" t="s">
        <v>67</v>
      </c>
      <c r="G4684">
        <v>-107.39749999999999</v>
      </c>
      <c r="H4684">
        <v>5.5891360000000001E-2</v>
      </c>
      <c r="I4684">
        <v>214.58189999999999</v>
      </c>
      <c r="J4684">
        <v>-287.94189999999998</v>
      </c>
      <c r="K4684">
        <v>1.120833</v>
      </c>
      <c r="L4684">
        <v>215.48240000000001</v>
      </c>
      <c r="M4684">
        <v>0.99993469999999995</v>
      </c>
      <c r="N4684">
        <v>-1.1277010000000001E-2</v>
      </c>
      <c r="O4684">
        <v>1.9288370000000001E-3</v>
      </c>
      <c r="P4684">
        <v>0.99807440000000003</v>
      </c>
      <c r="Q4684">
        <v>-6.0578550000000002E-2</v>
      </c>
      <c r="R4684">
        <v>1.3344709999999999E-2</v>
      </c>
      <c r="S4684">
        <v>3.0050349999999999</v>
      </c>
      <c r="T4684">
        <v>-1.7695780000000001E-2</v>
      </c>
      <c r="U4684">
        <v>-1.4953610000000001E-2</v>
      </c>
      <c r="V4684">
        <v>-1.141641E-2</v>
      </c>
      <c r="W4684">
        <v>-4.9319979999999999E-2</v>
      </c>
      <c r="X4684">
        <v>0.99871779999999999</v>
      </c>
      <c r="Y4684">
        <v>6.9046740000000004E-3</v>
      </c>
      <c r="Z4684" s="1">
        <v>-4.8869999999999998E-5</v>
      </c>
      <c r="AA4684">
        <v>0.99997619999999998</v>
      </c>
      <c r="AB4684">
        <v>28</v>
      </c>
      <c r="AC4684">
        <v>180.5444</v>
      </c>
      <c r="AD4684">
        <v>-1.06494164</v>
      </c>
      <c r="AE4684">
        <v>-0.90050000000002195</v>
      </c>
      <c r="AF4684">
        <v>1.2487176924893499</v>
      </c>
      <c r="AG4684">
        <v>-1.06494164</v>
      </c>
      <c r="AH4684">
        <v>180.53604596508299</v>
      </c>
      <c r="AI4684">
        <v>90.337962947721294</v>
      </c>
      <c r="AJ4684">
        <v>89.603707324573193</v>
      </c>
      <c r="AK4684">
        <v>180.54350525366101</v>
      </c>
      <c r="AL4684">
        <v>92.826973519091297</v>
      </c>
      <c r="AM4684">
        <v>90.654923364373701</v>
      </c>
      <c r="AN4684">
        <v>1.00000001944066</v>
      </c>
    </row>
    <row r="4685" spans="1:40" x14ac:dyDescent="0.25">
      <c r="A4685" t="str">
        <f>"20190303153902543"</f>
        <v>20190303153902543</v>
      </c>
      <c r="B4685" t="str">
        <f>"1551598742533438"</f>
        <v>1551598742533438</v>
      </c>
      <c r="C4685" t="s">
        <v>40</v>
      </c>
      <c r="D4685">
        <v>4.1552239999999996</v>
      </c>
      <c r="E4685">
        <v>0.50726740000000003</v>
      </c>
      <c r="F4685" t="s">
        <v>67</v>
      </c>
      <c r="G4685">
        <v>-107.39749999999999</v>
      </c>
      <c r="H4685">
        <v>9.6145590000000003E-2</v>
      </c>
      <c r="I4685">
        <v>214.56829999999999</v>
      </c>
      <c r="J4685">
        <v>-287.66609999999997</v>
      </c>
      <c r="K4685">
        <v>1.1208309999999999</v>
      </c>
      <c r="L4685">
        <v>215.483</v>
      </c>
      <c r="M4685">
        <v>0.99993469999999995</v>
      </c>
      <c r="N4685">
        <v>-1.125723E-2</v>
      </c>
      <c r="O4685">
        <v>1.984141E-3</v>
      </c>
      <c r="P4685">
        <v>0.99808470000000005</v>
      </c>
      <c r="Q4685">
        <v>-6.035977E-2</v>
      </c>
      <c r="R4685">
        <v>1.3569609999999999E-2</v>
      </c>
      <c r="S4685">
        <v>3.0049440000000001</v>
      </c>
      <c r="T4685">
        <v>-1.7053840000000001E-2</v>
      </c>
      <c r="U4685">
        <v>-1.5213010000000001E-2</v>
      </c>
      <c r="V4685">
        <v>-1.158558E-2</v>
      </c>
      <c r="W4685">
        <v>-4.9120839999999999E-2</v>
      </c>
      <c r="X4685">
        <v>0.99872570000000005</v>
      </c>
      <c r="Y4685">
        <v>7.0464589999999997E-3</v>
      </c>
      <c r="Z4685" s="1">
        <v>-4.8582950000000002E-5</v>
      </c>
      <c r="AA4685">
        <v>0.99997510000000001</v>
      </c>
      <c r="AB4685">
        <v>28</v>
      </c>
      <c r="AC4685">
        <v>180.26859999999999</v>
      </c>
      <c r="AD4685">
        <v>-1.02468541</v>
      </c>
      <c r="AE4685">
        <v>-0.91470000000000995</v>
      </c>
      <c r="AF4685">
        <v>1.2723580640601999</v>
      </c>
      <c r="AG4685">
        <v>-1.02468541</v>
      </c>
      <c r="AH4685">
        <v>180.26060598033101</v>
      </c>
      <c r="AI4685">
        <v>90.325684329261307</v>
      </c>
      <c r="AJ4685">
        <v>89.595588087234603</v>
      </c>
      <c r="AK4685">
        <v>180.268008652753</v>
      </c>
      <c r="AL4685">
        <v>92.815549696366105</v>
      </c>
      <c r="AM4685">
        <v>90.664621991699306</v>
      </c>
      <c r="AN4685">
        <v>1.0000000532133599</v>
      </c>
    </row>
    <row r="4686" spans="1:40" x14ac:dyDescent="0.25">
      <c r="A4686" t="str">
        <f>"20190303153902560"</f>
        <v>20190303153902560</v>
      </c>
      <c r="B4686" t="str">
        <f>"1551598742552955"</f>
        <v>1551598742552955</v>
      </c>
      <c r="C4686" t="s">
        <v>40</v>
      </c>
      <c r="D4686">
        <v>4.2294340000000004</v>
      </c>
      <c r="E4686">
        <v>0.50721720000000003</v>
      </c>
      <c r="F4686" t="s">
        <v>67</v>
      </c>
      <c r="G4686">
        <v>-107.39749999999999</v>
      </c>
      <c r="H4686">
        <v>0.1683607</v>
      </c>
      <c r="I4686">
        <v>214.58959999999999</v>
      </c>
      <c r="J4686">
        <v>-287.45999999999998</v>
      </c>
      <c r="K4686">
        <v>1.120827</v>
      </c>
      <c r="L4686">
        <v>215.48339999999999</v>
      </c>
      <c r="M4686">
        <v>0.99993480000000001</v>
      </c>
      <c r="N4686">
        <v>-1.124459E-2</v>
      </c>
      <c r="O4686">
        <v>2.0255170000000001E-3</v>
      </c>
      <c r="P4686">
        <v>0.99808490000000005</v>
      </c>
      <c r="Q4686">
        <v>-6.0354539999999998E-2</v>
      </c>
      <c r="R4686">
        <v>1.356429E-2</v>
      </c>
      <c r="S4686">
        <v>3.0049739999999998</v>
      </c>
      <c r="T4686">
        <v>-1.5876290000000001E-2</v>
      </c>
      <c r="U4686">
        <v>-1.4892580000000001E-2</v>
      </c>
      <c r="V4686">
        <v>-1.153938E-2</v>
      </c>
      <c r="W4686">
        <v>-4.9128239999999997E-2</v>
      </c>
      <c r="X4686">
        <v>0.9987258</v>
      </c>
      <c r="Y4686">
        <v>6.981185E-3</v>
      </c>
      <c r="Z4686" s="1">
        <v>-4.5618860000000002E-5</v>
      </c>
      <c r="AA4686">
        <v>0.99997559999999996</v>
      </c>
      <c r="AB4686">
        <v>28</v>
      </c>
      <c r="AC4686">
        <v>180.0625</v>
      </c>
      <c r="AD4686">
        <v>-0.95246629999999999</v>
      </c>
      <c r="AE4686">
        <v>-0.89379999999999804</v>
      </c>
      <c r="AF4686">
        <v>1.2585056415070199</v>
      </c>
      <c r="AG4686">
        <v>-0.95246629999999999</v>
      </c>
      <c r="AH4686">
        <v>180.05528217822601</v>
      </c>
      <c r="AI4686">
        <v>90.303076124709094</v>
      </c>
      <c r="AJ4686">
        <v>89.599534728009402</v>
      </c>
      <c r="AK4686">
        <v>180.06219944447801</v>
      </c>
      <c r="AL4686">
        <v>92.815974397139101</v>
      </c>
      <c r="AM4686">
        <v>90.6619718381491</v>
      </c>
      <c r="AN4686">
        <v>0.99999998242096</v>
      </c>
    </row>
    <row r="4687" spans="1:40" x14ac:dyDescent="0.25">
      <c r="A4687" t="str">
        <f>"20190303153902577"</f>
        <v>20190303153902577</v>
      </c>
      <c r="B4687" t="str">
        <f>"1551598742573451"</f>
        <v>1551598742573451</v>
      </c>
      <c r="C4687" t="s">
        <v>40</v>
      </c>
      <c r="D4687">
        <v>4.150048</v>
      </c>
      <c r="E4687">
        <v>0.50724150000000001</v>
      </c>
      <c r="F4687" t="s">
        <v>67</v>
      </c>
      <c r="G4687">
        <v>-107.39749999999999</v>
      </c>
      <c r="H4687">
        <v>0.14764369999999999</v>
      </c>
      <c r="I4687">
        <v>214.60570000000001</v>
      </c>
      <c r="J4687">
        <v>-287.24009999999998</v>
      </c>
      <c r="K4687">
        <v>1.1208260000000001</v>
      </c>
      <c r="L4687">
        <v>215.48390000000001</v>
      </c>
      <c r="M4687">
        <v>0.99993489999999996</v>
      </c>
      <c r="N4687">
        <v>-1.123095E-2</v>
      </c>
      <c r="O4687">
        <v>2.0695209999999999E-3</v>
      </c>
      <c r="P4687">
        <v>0.99809369999999997</v>
      </c>
      <c r="Q4687">
        <v>-6.0306140000000001E-2</v>
      </c>
      <c r="R4687">
        <v>1.313055E-2</v>
      </c>
      <c r="S4687">
        <v>3.0049739999999998</v>
      </c>
      <c r="T4687">
        <v>-1.624012E-2</v>
      </c>
      <c r="U4687">
        <v>-1.464844E-2</v>
      </c>
      <c r="V4687">
        <v>-1.106127E-2</v>
      </c>
      <c r="W4687">
        <v>-4.9093320000000003E-2</v>
      </c>
      <c r="X4687">
        <v>0.99873290000000003</v>
      </c>
      <c r="Y4687">
        <v>6.9439419999999998E-3</v>
      </c>
      <c r="Z4687" s="1">
        <v>-4.5700539999999997E-5</v>
      </c>
      <c r="AA4687">
        <v>0.99997590000000003</v>
      </c>
      <c r="AB4687">
        <v>29</v>
      </c>
      <c r="AC4687">
        <v>179.8426</v>
      </c>
      <c r="AD4687">
        <v>-0.97318229999999994</v>
      </c>
      <c r="AE4687">
        <v>-0.87819999999999199</v>
      </c>
      <c r="AF4687">
        <v>1.2503729776060399</v>
      </c>
      <c r="AG4687">
        <v>-0.97318229999999994</v>
      </c>
      <c r="AH4687">
        <v>179.83513142050799</v>
      </c>
      <c r="AI4687">
        <v>90.310047019595402</v>
      </c>
      <c r="AJ4687">
        <v>89.601635456528996</v>
      </c>
      <c r="AK4687">
        <v>179.84211133492499</v>
      </c>
      <c r="AL4687">
        <v>92.813971286700394</v>
      </c>
      <c r="AM4687">
        <v>90.634542204391806</v>
      </c>
      <c r="AN4687">
        <v>0.99999995565252098</v>
      </c>
    </row>
    <row r="4688" spans="1:40" x14ac:dyDescent="0.25">
      <c r="A4688" t="str">
        <f>"20190303153902599"</f>
        <v>20190303153902599</v>
      </c>
      <c r="B4688" t="str">
        <f>"1551598742592971"</f>
        <v>1551598742592971</v>
      </c>
      <c r="C4688" t="s">
        <v>40</v>
      </c>
      <c r="D4688">
        <v>4.1453559999999996</v>
      </c>
      <c r="E4688">
        <v>0.50726660000000001</v>
      </c>
      <c r="F4688" t="s">
        <v>67</v>
      </c>
      <c r="G4688">
        <v>-107.39749999999999</v>
      </c>
      <c r="H4688">
        <v>0.18818080000000001</v>
      </c>
      <c r="I4688">
        <v>214.51320000000001</v>
      </c>
      <c r="J4688">
        <v>-286.95089999999999</v>
      </c>
      <c r="K4688">
        <v>1.1208199999999999</v>
      </c>
      <c r="L4688">
        <v>215.4846</v>
      </c>
      <c r="M4688">
        <v>0.99993500000000002</v>
      </c>
      <c r="N4688">
        <v>-1.121052E-2</v>
      </c>
      <c r="O4688">
        <v>2.1279250000000001E-3</v>
      </c>
      <c r="P4688">
        <v>0.99812500000000004</v>
      </c>
      <c r="Q4688">
        <v>-5.9976550000000003E-2</v>
      </c>
      <c r="R4688">
        <v>1.222497E-2</v>
      </c>
      <c r="S4688">
        <v>3.0050050000000001</v>
      </c>
      <c r="T4688">
        <v>-1.5582800000000001E-2</v>
      </c>
      <c r="U4688">
        <v>-1.622009E-2</v>
      </c>
      <c r="V4688">
        <v>-1.009752E-2</v>
      </c>
      <c r="W4688">
        <v>-4.8783760000000002E-2</v>
      </c>
      <c r="X4688">
        <v>0.99875829999999999</v>
      </c>
      <c r="Y4688">
        <v>7.52527199999999E-3</v>
      </c>
      <c r="Z4688" s="1">
        <v>-4.8873499999999999E-5</v>
      </c>
      <c r="AA4688">
        <v>0.99997170000000002</v>
      </c>
      <c r="AB4688">
        <v>29</v>
      </c>
      <c r="AC4688">
        <v>179.55340000000001</v>
      </c>
      <c r="AD4688">
        <v>-0.9326392</v>
      </c>
      <c r="AE4688">
        <v>-0.97139999999998805</v>
      </c>
      <c r="AF4688">
        <v>1.35346142533986</v>
      </c>
      <c r="AG4688">
        <v>-0.9326392</v>
      </c>
      <c r="AH4688">
        <v>179.546082247241</v>
      </c>
      <c r="AI4688">
        <v>90.297607670106004</v>
      </c>
      <c r="AJ4688">
        <v>89.568098854609403</v>
      </c>
      <c r="AK4688">
        <v>179.55360571161</v>
      </c>
      <c r="AL4688">
        <v>92.796213462947406</v>
      </c>
      <c r="AM4688">
        <v>90.579244817317402</v>
      </c>
      <c r="AN4688">
        <v>0.99999997848438804</v>
      </c>
    </row>
    <row r="4689" spans="1:40" x14ac:dyDescent="0.25">
      <c r="A4689" t="str">
        <f>"20190303153902622"</f>
        <v>20190303153902622</v>
      </c>
      <c r="B4689" t="str">
        <f>"1551598742613471"</f>
        <v>1551598742613471</v>
      </c>
      <c r="C4689" t="s">
        <v>40</v>
      </c>
      <c r="D4689">
        <v>4.1486919999999996</v>
      </c>
      <c r="E4689">
        <v>0.50729099999999905</v>
      </c>
      <c r="F4689" t="s">
        <v>67</v>
      </c>
      <c r="G4689">
        <v>-107.39749999999999</v>
      </c>
      <c r="H4689">
        <v>0.28103440000000002</v>
      </c>
      <c r="I4689">
        <v>214.3349</v>
      </c>
      <c r="J4689">
        <v>-286.66050000000001</v>
      </c>
      <c r="K4689">
        <v>1.1208119999999999</v>
      </c>
      <c r="L4689">
        <v>215.48519999999999</v>
      </c>
      <c r="M4689">
        <v>0.99993509999999997</v>
      </c>
      <c r="N4689">
        <v>-1.118953E-2</v>
      </c>
      <c r="O4689">
        <v>2.1864509999999998E-3</v>
      </c>
      <c r="P4689">
        <v>0.99813200000000002</v>
      </c>
      <c r="Q4689">
        <v>-6.0044319999999998E-2</v>
      </c>
      <c r="R4689">
        <v>1.128708E-2</v>
      </c>
      <c r="S4689">
        <v>3.0050349999999999</v>
      </c>
      <c r="T4689">
        <v>-1.4053939999999999E-2</v>
      </c>
      <c r="U4689">
        <v>-1.9241330000000001E-2</v>
      </c>
      <c r="V4689">
        <v>-9.1006920000000005E-3</v>
      </c>
      <c r="W4689">
        <v>-4.8872359999999997E-2</v>
      </c>
      <c r="X4689">
        <v>0.99876359999999997</v>
      </c>
      <c r="Y4689">
        <v>8.5890629999999992E-3</v>
      </c>
      <c r="Z4689" s="1">
        <v>-5.3900419999999998E-5</v>
      </c>
      <c r="AA4689">
        <v>0.99996309999999999</v>
      </c>
      <c r="AB4689">
        <v>29</v>
      </c>
      <c r="AC4689">
        <v>179.26300000000001</v>
      </c>
      <c r="AD4689">
        <v>-0.83977760000000001</v>
      </c>
      <c r="AE4689">
        <v>-1.1502999999999799</v>
      </c>
      <c r="AF4689">
        <v>1.5422376739413</v>
      </c>
      <c r="AG4689">
        <v>-0.83977760000000001</v>
      </c>
      <c r="AH4689">
        <v>179.25612250531</v>
      </c>
      <c r="AI4689">
        <v>90.268406896744295</v>
      </c>
      <c r="AJ4689">
        <v>89.507065486357106</v>
      </c>
      <c r="AK4689">
        <v>179.264723744241</v>
      </c>
      <c r="AL4689">
        <v>92.801295788681401</v>
      </c>
      <c r="AM4689">
        <v>90.5220622896896</v>
      </c>
      <c r="AN4689">
        <v>1.0000000294258999</v>
      </c>
    </row>
    <row r="4690" spans="1:40" x14ac:dyDescent="0.25">
      <c r="A4690" t="str">
        <f>"20190303153902645"</f>
        <v>20190303153902645</v>
      </c>
      <c r="B4690" t="str">
        <f>"1551598742632988"</f>
        <v>1551598742632988</v>
      </c>
      <c r="C4690" t="s">
        <v>40</v>
      </c>
      <c r="D4690">
        <v>4.1510819999999997</v>
      </c>
      <c r="E4690">
        <v>0.50731559999999998</v>
      </c>
      <c r="F4690" t="s">
        <v>67</v>
      </c>
      <c r="G4690">
        <v>-107.39749999999999</v>
      </c>
      <c r="H4690">
        <v>0.30155859999999901</v>
      </c>
      <c r="I4690">
        <v>214.1636</v>
      </c>
      <c r="J4690">
        <v>-286.36779999999999</v>
      </c>
      <c r="K4690">
        <v>1.1208100000000001</v>
      </c>
      <c r="L4690">
        <v>215.48589999999999</v>
      </c>
      <c r="M4690">
        <v>0.99993520000000002</v>
      </c>
      <c r="N4690">
        <v>-1.117048E-2</v>
      </c>
      <c r="O4690">
        <v>2.2455050000000001E-3</v>
      </c>
      <c r="P4690">
        <v>0.99816729999999998</v>
      </c>
      <c r="Q4690">
        <v>-5.961048E-2</v>
      </c>
      <c r="R4690">
        <v>1.0444429999999999E-2</v>
      </c>
      <c r="S4690">
        <v>3.0050659999999998</v>
      </c>
      <c r="T4690">
        <v>-1.3732670000000001E-2</v>
      </c>
      <c r="U4690">
        <v>-2.215576E-2</v>
      </c>
      <c r="V4690">
        <v>-8.1997960000000005E-3</v>
      </c>
      <c r="W4690">
        <v>-4.8457109999999998E-2</v>
      </c>
      <c r="X4690">
        <v>0.9987916</v>
      </c>
      <c r="Y4690">
        <v>9.6177759999999998E-3</v>
      </c>
      <c r="Z4690" s="1">
        <v>-6.0873840000000003E-5</v>
      </c>
      <c r="AA4690">
        <v>0.99995369999999995</v>
      </c>
      <c r="AB4690">
        <v>29</v>
      </c>
      <c r="AC4690">
        <v>178.97030000000001</v>
      </c>
      <c r="AD4690">
        <v>-0.81925139999999996</v>
      </c>
      <c r="AE4690">
        <v>-1.32229999999998</v>
      </c>
      <c r="AF4690">
        <v>1.72416427278491</v>
      </c>
      <c r="AG4690">
        <v>-0.81925139999999996</v>
      </c>
      <c r="AH4690">
        <v>178.96312948039301</v>
      </c>
      <c r="AI4690">
        <v>90.262272690569404</v>
      </c>
      <c r="AJ4690">
        <v>89.448018817758793</v>
      </c>
      <c r="AK4690">
        <v>178.973309822196</v>
      </c>
      <c r="AL4690">
        <v>92.777475591688102</v>
      </c>
      <c r="AM4690">
        <v>90.47037154601</v>
      </c>
      <c r="AN4690">
        <v>0.99999999419727603</v>
      </c>
    </row>
    <row r="4691" spans="1:40" x14ac:dyDescent="0.25">
      <c r="A4691" t="str">
        <f>"20190303153902667"</f>
        <v>20190303153902667</v>
      </c>
      <c r="B4691" t="str">
        <f>"1551598742663243"</f>
        <v>1551598742663243</v>
      </c>
      <c r="C4691" t="s">
        <v>40</v>
      </c>
      <c r="D4691">
        <v>4.1919329999999997</v>
      </c>
      <c r="E4691">
        <v>0.51759840000000001</v>
      </c>
      <c r="F4691" t="s">
        <v>67</v>
      </c>
      <c r="G4691">
        <v>-107.39749999999999</v>
      </c>
      <c r="H4691">
        <v>0.3904743</v>
      </c>
      <c r="I4691">
        <v>214.00829999999999</v>
      </c>
      <c r="J4691">
        <v>-286.09210000000002</v>
      </c>
      <c r="K4691">
        <v>1.1208049999999901</v>
      </c>
      <c r="L4691">
        <v>215.48660000000001</v>
      </c>
      <c r="M4691">
        <v>0.99993529999999997</v>
      </c>
      <c r="N4691">
        <v>-1.11504E-2</v>
      </c>
      <c r="O4691">
        <v>2.301165E-3</v>
      </c>
      <c r="P4691">
        <v>0.9982008</v>
      </c>
      <c r="Q4691">
        <v>-5.9087720000000003E-2</v>
      </c>
      <c r="R4691">
        <v>1.019637E-2</v>
      </c>
      <c r="S4691">
        <v>3.0050349999999999</v>
      </c>
      <c r="T4691">
        <v>-1.226199E-2</v>
      </c>
      <c r="U4691">
        <v>-2.4810789999999999E-2</v>
      </c>
      <c r="V4691">
        <v>-7.8956540000000002E-3</v>
      </c>
      <c r="W4691">
        <v>-4.7954049999999998E-2</v>
      </c>
      <c r="X4691">
        <v>0.99881830000000005</v>
      </c>
      <c r="Y4691">
        <v>1.0556950000000001E-2</v>
      </c>
      <c r="Z4691" s="1">
        <v>-6.4129350000000006E-5</v>
      </c>
      <c r="AA4691">
        <v>0.99994430000000001</v>
      </c>
      <c r="AB4691">
        <v>29</v>
      </c>
      <c r="AC4691">
        <v>178.69460000000001</v>
      </c>
      <c r="AD4691">
        <v>-0.730330699999999</v>
      </c>
      <c r="AE4691">
        <v>-1.4783000000000099</v>
      </c>
      <c r="AF4691">
        <v>1.88949580276719</v>
      </c>
      <c r="AG4691">
        <v>-0.730330699999999</v>
      </c>
      <c r="AH4691">
        <v>178.687740224462</v>
      </c>
      <c r="AI4691">
        <v>90.234164327568493</v>
      </c>
      <c r="AJ4691">
        <v>89.394160450044893</v>
      </c>
      <c r="AK4691">
        <v>178.699222392949</v>
      </c>
      <c r="AL4691">
        <v>92.748618910647707</v>
      </c>
      <c r="AM4691">
        <v>90.452913435779294</v>
      </c>
      <c r="AN4691">
        <v>0.99999996433918903</v>
      </c>
    </row>
    <row r="4692" spans="1:40" x14ac:dyDescent="0.25">
      <c r="A4692" t="str">
        <f>"20190303153902689"</f>
        <v>20190303153902689</v>
      </c>
      <c r="B4692" t="str">
        <f>"1551598742682763"</f>
        <v>1551598742682763</v>
      </c>
      <c r="C4692" t="s">
        <v>40</v>
      </c>
      <c r="D4692">
        <v>4.1922030000000001</v>
      </c>
      <c r="E4692">
        <v>0.51674819999999999</v>
      </c>
      <c r="F4692" t="s">
        <v>66</v>
      </c>
      <c r="G4692">
        <v>-137.8904</v>
      </c>
      <c r="H4692">
        <v>3.425217</v>
      </c>
      <c r="I4692">
        <v>210.22559999999999</v>
      </c>
      <c r="J4692">
        <v>-285.80889999999999</v>
      </c>
      <c r="K4692">
        <v>1.1207990000000001</v>
      </c>
      <c r="L4692">
        <v>215.4873</v>
      </c>
      <c r="M4692">
        <v>0.99993549999999998</v>
      </c>
      <c r="N4692">
        <v>-1.111327E-2</v>
      </c>
      <c r="O4692">
        <v>2.3579360000000001E-3</v>
      </c>
      <c r="P4692">
        <v>0.99821409999999999</v>
      </c>
      <c r="Q4692">
        <v>-5.881488E-2</v>
      </c>
      <c r="R4692">
        <v>1.0475760000000001E-2</v>
      </c>
      <c r="S4692">
        <v>3.009277</v>
      </c>
      <c r="T4692">
        <v>4.6792390000000003E-2</v>
      </c>
      <c r="U4692">
        <v>-0.1068268</v>
      </c>
      <c r="V4692">
        <v>-8.118643E-3</v>
      </c>
      <c r="W4692">
        <v>-4.7718179999999999E-2</v>
      </c>
      <c r="X4692">
        <v>0.99882780000000004</v>
      </c>
      <c r="Y4692">
        <v>3.7831169999999997E-2</v>
      </c>
      <c r="Z4692">
        <v>1.4656989999999999E-4</v>
      </c>
      <c r="AA4692">
        <v>0.99928410000000001</v>
      </c>
      <c r="AB4692">
        <v>29</v>
      </c>
      <c r="AC4692">
        <v>147.91849999999999</v>
      </c>
      <c r="AD4692">
        <v>2.3044180000000001</v>
      </c>
      <c r="AE4692">
        <v>-5.26170000000001</v>
      </c>
      <c r="AF4692">
        <v>5.6091296157102599</v>
      </c>
      <c r="AG4692">
        <v>2.3044180000000001</v>
      </c>
      <c r="AH4692">
        <v>147.86983793137799</v>
      </c>
      <c r="AI4692">
        <v>89.107810801545995</v>
      </c>
      <c r="AJ4692">
        <v>87.827647298098796</v>
      </c>
      <c r="AK4692">
        <v>147.99412707001699</v>
      </c>
      <c r="AL4692">
        <v>92.7350890896533</v>
      </c>
      <c r="AM4692">
        <v>90.465699628763105</v>
      </c>
      <c r="AN4692">
        <v>0.99999995555975596</v>
      </c>
    </row>
    <row r="4693" spans="1:40" x14ac:dyDescent="0.25">
      <c r="A4693" t="str">
        <f>"20190303153902712"</f>
        <v>20190303153902712</v>
      </c>
      <c r="B4693" t="str">
        <f>"1551598742703262"</f>
        <v>1551598742703262</v>
      </c>
      <c r="C4693" t="s">
        <v>40</v>
      </c>
      <c r="D4693">
        <v>4.211913</v>
      </c>
      <c r="E4693">
        <v>0.51606099999999999</v>
      </c>
      <c r="F4693" t="s">
        <v>66</v>
      </c>
      <c r="G4693">
        <v>-121.2538</v>
      </c>
      <c r="H4693">
        <v>3.4632209999999999</v>
      </c>
      <c r="I4693">
        <v>210.0598</v>
      </c>
      <c r="J4693">
        <v>-285.51900000000001</v>
      </c>
      <c r="K4693">
        <v>1.120781</v>
      </c>
      <c r="L4693">
        <v>215.4881</v>
      </c>
      <c r="M4693">
        <v>0.9999363</v>
      </c>
      <c r="N4693">
        <v>-1.103617E-2</v>
      </c>
      <c r="O4693">
        <v>2.4158199999999999E-3</v>
      </c>
      <c r="P4693">
        <v>0.99822690000000003</v>
      </c>
      <c r="Q4693">
        <v>-5.8479030000000001E-2</v>
      </c>
      <c r="R4693">
        <v>1.1119779999999999E-2</v>
      </c>
      <c r="S4693">
        <v>3.0089419999999998</v>
      </c>
      <c r="T4693">
        <v>4.2832490000000001E-2</v>
      </c>
      <c r="U4693">
        <v>-9.9243159999999997E-2</v>
      </c>
      <c r="V4693">
        <v>-8.7045719999999903E-3</v>
      </c>
      <c r="W4693">
        <v>-4.7459229999999998E-2</v>
      </c>
      <c r="X4693">
        <v>0.99883529999999998</v>
      </c>
      <c r="Y4693">
        <v>3.5377810000000003E-2</v>
      </c>
      <c r="Z4693">
        <v>1.174735E-4</v>
      </c>
      <c r="AA4693">
        <v>0.99937399999999998</v>
      </c>
      <c r="AB4693">
        <v>29</v>
      </c>
      <c r="AC4693">
        <v>164.26519999999999</v>
      </c>
      <c r="AD4693">
        <v>2.3424399999999999</v>
      </c>
      <c r="AE4693">
        <v>-5.4283000000000001</v>
      </c>
      <c r="AF4693">
        <v>5.8239604200896196</v>
      </c>
      <c r="AG4693">
        <v>2.3424399999999999</v>
      </c>
      <c r="AH4693">
        <v>164.218248527572</v>
      </c>
      <c r="AI4693">
        <v>89.183291018364301</v>
      </c>
      <c r="AJ4693">
        <v>87.968870318269396</v>
      </c>
      <c r="AK4693">
        <v>164.33818390621099</v>
      </c>
      <c r="AL4693">
        <v>92.720235254612504</v>
      </c>
      <c r="AM4693">
        <v>90.499304152477393</v>
      </c>
      <c r="AN4693">
        <v>1.00000005230599</v>
      </c>
    </row>
    <row r="4694" spans="1:40" x14ac:dyDescent="0.25">
      <c r="A4694" t="str">
        <f>"20190303153902733"</f>
        <v>20190303153902733</v>
      </c>
      <c r="B4694" t="str">
        <f>"1551598742723775"</f>
        <v>1551598742723775</v>
      </c>
      <c r="C4694" t="s">
        <v>40</v>
      </c>
      <c r="D4694">
        <v>4.2210199999999896</v>
      </c>
      <c r="E4694">
        <v>0.51574359999999997</v>
      </c>
      <c r="F4694" t="s">
        <v>67</v>
      </c>
      <c r="G4694">
        <v>-107.39749999999999</v>
      </c>
      <c r="H4694">
        <v>3.442037</v>
      </c>
      <c r="I4694">
        <v>210.05160000000001</v>
      </c>
      <c r="J4694">
        <v>-285.23570000000001</v>
      </c>
      <c r="K4694">
        <v>1.1207480000000001</v>
      </c>
      <c r="L4694">
        <v>215.4888</v>
      </c>
      <c r="M4694">
        <v>0.99993750000000003</v>
      </c>
      <c r="N4694">
        <v>-1.0903660000000001E-2</v>
      </c>
      <c r="O4694">
        <v>2.4727500000000001E-3</v>
      </c>
      <c r="P4694">
        <v>0.99822120000000003</v>
      </c>
      <c r="Q4694">
        <v>-5.8319969999999999E-2</v>
      </c>
      <c r="R4694">
        <v>1.237385E-2</v>
      </c>
      <c r="S4694">
        <v>3.0086360000000001</v>
      </c>
      <c r="T4694">
        <v>3.9209010000000002E-2</v>
      </c>
      <c r="U4694">
        <v>-9.1827389999999995E-2</v>
      </c>
      <c r="V4694">
        <v>-9.9019499999999996E-3</v>
      </c>
      <c r="W4694">
        <v>-4.7432670000000003E-2</v>
      </c>
      <c r="X4694">
        <v>0.99882539999999997</v>
      </c>
      <c r="Y4694">
        <v>3.2977550000000001E-2</v>
      </c>
      <c r="Z4694" s="1">
        <v>9.4159479999999997E-5</v>
      </c>
      <c r="AA4694">
        <v>0.99945609999999996</v>
      </c>
      <c r="AB4694">
        <v>29</v>
      </c>
      <c r="AC4694">
        <v>177.8382</v>
      </c>
      <c r="AD4694">
        <v>2.3212890000000002</v>
      </c>
      <c r="AE4694">
        <v>-5.43719999999999</v>
      </c>
      <c r="AF4694">
        <v>5.8759587383945702</v>
      </c>
      <c r="AG4694">
        <v>2.3212890000000002</v>
      </c>
      <c r="AH4694">
        <v>177.79394707834601</v>
      </c>
      <c r="AI4694">
        <v>89.252393315450604</v>
      </c>
      <c r="AJ4694">
        <v>88.1071057445522</v>
      </c>
      <c r="AK4694">
        <v>177.90616316309701</v>
      </c>
      <c r="AL4694">
        <v>92.718711787705701</v>
      </c>
      <c r="AM4694">
        <v>90.5679885184244</v>
      </c>
      <c r="AN4694">
        <v>1.00000004324114</v>
      </c>
    </row>
    <row r="4695" spans="1:40" x14ac:dyDescent="0.25">
      <c r="A4695" t="str">
        <f>"20190303153902754"</f>
        <v>20190303153902754</v>
      </c>
      <c r="B4695" t="str">
        <f>"1551598742743279"</f>
        <v>1551598742743279</v>
      </c>
      <c r="C4695" t="s">
        <v>40</v>
      </c>
      <c r="D4695">
        <v>4.20777</v>
      </c>
      <c r="E4695">
        <v>0.51552529999999996</v>
      </c>
      <c r="F4695" t="s">
        <v>67</v>
      </c>
      <c r="G4695">
        <v>-107.39749999999999</v>
      </c>
      <c r="H4695">
        <v>3.332681</v>
      </c>
      <c r="I4695">
        <v>210.43620000000001</v>
      </c>
      <c r="J4695">
        <v>-284.95699999999999</v>
      </c>
      <c r="K4695">
        <v>1.1207049999999901</v>
      </c>
      <c r="L4695">
        <v>215.4896</v>
      </c>
      <c r="M4695">
        <v>0.99993909999999997</v>
      </c>
      <c r="N4695">
        <v>-1.0736860000000001E-2</v>
      </c>
      <c r="O4695">
        <v>2.5288989999999998E-3</v>
      </c>
      <c r="P4695">
        <v>0.99821760000000004</v>
      </c>
      <c r="Q4695">
        <v>-5.8220250000000001E-2</v>
      </c>
      <c r="R4695">
        <v>1.312702E-2</v>
      </c>
      <c r="S4695">
        <v>3.0086360000000001</v>
      </c>
      <c r="T4695">
        <v>3.7421940000000001E-2</v>
      </c>
      <c r="U4695">
        <v>-8.5479739999999999E-2</v>
      </c>
      <c r="V4695">
        <v>-1.059918E-2</v>
      </c>
      <c r="W4695">
        <v>-4.7499649999999997E-2</v>
      </c>
      <c r="X4695">
        <v>0.99881500000000001</v>
      </c>
      <c r="Y4695">
        <v>3.092692E-2</v>
      </c>
      <c r="Z4695" s="1">
        <v>8.481587E-5</v>
      </c>
      <c r="AA4695">
        <v>0.99952169999999896</v>
      </c>
      <c r="AB4695">
        <v>29</v>
      </c>
      <c r="AC4695">
        <v>177.55950000000001</v>
      </c>
      <c r="AD4695">
        <v>2.2119759999999999</v>
      </c>
      <c r="AE4695">
        <v>-5.0533999999999804</v>
      </c>
      <c r="AF4695">
        <v>5.5015866740850701</v>
      </c>
      <c r="AG4695">
        <v>2.2119759999999999</v>
      </c>
      <c r="AH4695">
        <v>177.518624476197</v>
      </c>
      <c r="AI4695">
        <v>89.286443774175197</v>
      </c>
      <c r="AJ4695">
        <v>88.224880143923698</v>
      </c>
      <c r="AK4695">
        <v>177.617629557649</v>
      </c>
      <c r="AL4695">
        <v>92.722553956791202</v>
      </c>
      <c r="AM4695">
        <v>90.607985949745299</v>
      </c>
      <c r="AN4695">
        <v>0.999999981795897</v>
      </c>
    </row>
    <row r="4696" spans="1:40" x14ac:dyDescent="0.25">
      <c r="A4696" t="str">
        <f>"20190303153902778"</f>
        <v>20190303153902778</v>
      </c>
      <c r="B4696" t="str">
        <f>"1551598742773536"</f>
        <v>1551598742773536</v>
      </c>
      <c r="C4696" t="s">
        <v>40</v>
      </c>
      <c r="D4696">
        <v>4.1766809999999897</v>
      </c>
      <c r="E4696">
        <v>0.51538279999999903</v>
      </c>
      <c r="F4696" t="s">
        <v>67</v>
      </c>
      <c r="G4696">
        <v>-107.39749999999999</v>
      </c>
      <c r="H4696">
        <v>3.2282850000000001</v>
      </c>
      <c r="I4696">
        <v>210.68510000000001</v>
      </c>
      <c r="J4696">
        <v>-284.66050000000001</v>
      </c>
      <c r="K4696">
        <v>1.120649</v>
      </c>
      <c r="L4696">
        <v>215.49039999999999</v>
      </c>
      <c r="M4696">
        <v>0.99994159999999999</v>
      </c>
      <c r="N4696">
        <v>-1.049368E-2</v>
      </c>
      <c r="O4696">
        <v>2.5889519999999998E-3</v>
      </c>
      <c r="P4696">
        <v>0.9982162</v>
      </c>
      <c r="Q4696">
        <v>-5.8140049999999999E-2</v>
      </c>
      <c r="R4696">
        <v>1.3580699999999999E-2</v>
      </c>
      <c r="S4696">
        <v>3.0085449999999998</v>
      </c>
      <c r="T4696">
        <v>3.5711409999999999E-2</v>
      </c>
      <c r="U4696">
        <v>-8.1405640000000001E-2</v>
      </c>
      <c r="V4696">
        <v>-1.0992500000000001E-2</v>
      </c>
      <c r="W4696">
        <v>-4.7662370000000003E-2</v>
      </c>
      <c r="X4696">
        <v>0.998803</v>
      </c>
      <c r="Y4696">
        <v>2.9635419999999999E-2</v>
      </c>
      <c r="Z4696" s="1">
        <v>7.8207869999999998E-5</v>
      </c>
      <c r="AA4696">
        <v>0.99956080000000003</v>
      </c>
      <c r="AB4696">
        <v>29</v>
      </c>
      <c r="AC4696">
        <v>177.26300000000001</v>
      </c>
      <c r="AD4696">
        <v>2.1076359999999998</v>
      </c>
      <c r="AE4696">
        <v>-4.8052999999999804</v>
      </c>
      <c r="AF4696">
        <v>5.2634910074388204</v>
      </c>
      <c r="AG4696">
        <v>2.1076359999999998</v>
      </c>
      <c r="AH4696">
        <v>177.224928728132</v>
      </c>
      <c r="AI4696">
        <v>89.318946039510493</v>
      </c>
      <c r="AJ4696">
        <v>88.298844299358507</v>
      </c>
      <c r="AK4696">
        <v>177.31559951054899</v>
      </c>
      <c r="AL4696">
        <v>92.731887689862603</v>
      </c>
      <c r="AM4696">
        <v>90.630553201219399</v>
      </c>
      <c r="AN4696">
        <v>0.99999998468963303</v>
      </c>
    </row>
    <row r="4697" spans="1:40" x14ac:dyDescent="0.25">
      <c r="A4697" t="str">
        <f>"20190303153902800"</f>
        <v>20190303153902800</v>
      </c>
      <c r="B4697" t="str">
        <f>"1551598742793056"</f>
        <v>1551598742793056</v>
      </c>
      <c r="C4697" t="s">
        <v>40</v>
      </c>
      <c r="D4697">
        <v>4.1974589999999896</v>
      </c>
      <c r="E4697">
        <v>0.51536369999999998</v>
      </c>
      <c r="F4697" t="s">
        <v>67</v>
      </c>
      <c r="G4697">
        <v>-107.39749999999999</v>
      </c>
      <c r="H4697">
        <v>3.2256309999999999</v>
      </c>
      <c r="I4697">
        <v>210.83600000000001</v>
      </c>
      <c r="J4697">
        <v>-284.36540000000002</v>
      </c>
      <c r="K4697">
        <v>1.120582</v>
      </c>
      <c r="L4697">
        <v>215.49119999999999</v>
      </c>
      <c r="M4697">
        <v>0.99994490000000003</v>
      </c>
      <c r="N4697">
        <v>-1.017445E-2</v>
      </c>
      <c r="O4697">
        <v>2.6490039999999999E-3</v>
      </c>
      <c r="P4697">
        <v>0.99822569999999999</v>
      </c>
      <c r="Q4697">
        <v>-5.791367E-2</v>
      </c>
      <c r="R4697">
        <v>1.384837E-2</v>
      </c>
      <c r="S4697">
        <v>3.0085449999999998</v>
      </c>
      <c r="T4697">
        <v>3.5727019999999998E-2</v>
      </c>
      <c r="U4697">
        <v>-7.8994750000000002E-2</v>
      </c>
      <c r="V4697">
        <v>-1.120058E-2</v>
      </c>
      <c r="W4697">
        <v>-4.7754749999999999E-2</v>
      </c>
      <c r="X4697">
        <v>0.99879629999999997</v>
      </c>
      <c r="Y4697">
        <v>2.8894949999999999E-2</v>
      </c>
      <c r="Z4697" s="1">
        <v>8.2903129999999998E-5</v>
      </c>
      <c r="AA4697">
        <v>0.99958250000000004</v>
      </c>
      <c r="AB4697">
        <v>29</v>
      </c>
      <c r="AC4697">
        <v>176.96789999999999</v>
      </c>
      <c r="AD4697">
        <v>2.1050490000000002</v>
      </c>
      <c r="AE4697">
        <v>-4.6551999999999998</v>
      </c>
      <c r="AF4697">
        <v>5.1232721199323601</v>
      </c>
      <c r="AG4697">
        <v>2.1050490000000002</v>
      </c>
      <c r="AH4697">
        <v>176.92992968110801</v>
      </c>
      <c r="AI4697">
        <v>89.318633046560095</v>
      </c>
      <c r="AJ4697">
        <v>88.341378032301705</v>
      </c>
      <c r="AK4697">
        <v>177.01660703298199</v>
      </c>
      <c r="AL4697">
        <v>92.737186641419299</v>
      </c>
      <c r="AM4697">
        <v>90.642492431228007</v>
      </c>
      <c r="AN4697">
        <v>1.00000000901679</v>
      </c>
    </row>
    <row r="4698" spans="1:40" x14ac:dyDescent="0.25">
      <c r="A4698" t="str">
        <f>"20190303153902823"</f>
        <v>20190303153902823</v>
      </c>
      <c r="B4698" t="str">
        <f>"1551598742813552"</f>
        <v>1551598742813552</v>
      </c>
      <c r="C4698" t="s">
        <v>40</v>
      </c>
      <c r="D4698">
        <v>4.1771310000000001</v>
      </c>
      <c r="E4698">
        <v>0.5155999</v>
      </c>
      <c r="F4698" t="s">
        <v>67</v>
      </c>
      <c r="G4698">
        <v>-107.39749999999999</v>
      </c>
      <c r="H4698">
        <v>3.1576590000000002</v>
      </c>
      <c r="I4698">
        <v>210.90729999999999</v>
      </c>
      <c r="J4698">
        <v>-284.07920000000001</v>
      </c>
      <c r="K4698">
        <v>1.12052</v>
      </c>
      <c r="L4698">
        <v>215.49199999999999</v>
      </c>
      <c r="M4698">
        <v>0.99994830000000001</v>
      </c>
      <c r="N4698">
        <v>-9.8148920000000004E-3</v>
      </c>
      <c r="O4698">
        <v>2.7073560000000002E-3</v>
      </c>
      <c r="P4698">
        <v>0.99827500000000002</v>
      </c>
      <c r="Q4698">
        <v>-5.7059180000000001E-2</v>
      </c>
      <c r="R4698">
        <v>1.3843299999999999E-2</v>
      </c>
      <c r="S4698">
        <v>3.0084529999999998</v>
      </c>
      <c r="T4698">
        <v>3.4631130000000003E-2</v>
      </c>
      <c r="U4698">
        <v>-7.7926640000000005E-2</v>
      </c>
      <c r="V4698">
        <v>-1.1137019999999999E-2</v>
      </c>
      <c r="W4698">
        <v>-4.7258950000000001E-2</v>
      </c>
      <c r="X4698">
        <v>0.99882059999999995</v>
      </c>
      <c r="Y4698">
        <v>2.859946E-2</v>
      </c>
      <c r="Z4698" s="1">
        <v>8.1923029999999997E-5</v>
      </c>
      <c r="AA4698">
        <v>0.99959089999999995</v>
      </c>
      <c r="AB4698">
        <v>29</v>
      </c>
      <c r="AC4698">
        <v>176.68170000000001</v>
      </c>
      <c r="AD4698">
        <v>2.0371389999999998</v>
      </c>
      <c r="AE4698">
        <v>-4.5847000000000202</v>
      </c>
      <c r="AF4698">
        <v>5.0623738916458096</v>
      </c>
      <c r="AG4698">
        <v>2.0371389999999998</v>
      </c>
      <c r="AH4698">
        <v>176.64517186334501</v>
      </c>
      <c r="AI4698">
        <v>89.339543807228793</v>
      </c>
      <c r="AJ4698">
        <v>88.358442027898107</v>
      </c>
      <c r="AK4698">
        <v>176.72943814586901</v>
      </c>
      <c r="AL4698">
        <v>92.708747263686504</v>
      </c>
      <c r="AM4698">
        <v>90.638831237506395</v>
      </c>
      <c r="AN4698">
        <v>1.00000001627697</v>
      </c>
    </row>
    <row r="4699" spans="1:40" x14ac:dyDescent="0.25">
      <c r="A4699" t="str">
        <f>"20190303153902845"</f>
        <v>20190303153902845</v>
      </c>
      <c r="B4699" t="str">
        <f>"1551598742833262"</f>
        <v>1551598742833262</v>
      </c>
      <c r="C4699" t="s">
        <v>40</v>
      </c>
      <c r="D4699">
        <v>4.1698559999999896</v>
      </c>
      <c r="E4699">
        <v>0.5155537</v>
      </c>
      <c r="F4699" t="s">
        <v>67</v>
      </c>
      <c r="G4699">
        <v>-107.39749999999999</v>
      </c>
      <c r="H4699">
        <v>3.267334</v>
      </c>
      <c r="I4699">
        <v>210.80430000000001</v>
      </c>
      <c r="J4699">
        <v>-283.78719999999998</v>
      </c>
      <c r="K4699">
        <v>1.1204559999999999</v>
      </c>
      <c r="L4699">
        <v>215.49289999999999</v>
      </c>
      <c r="M4699">
        <v>0.99995179999999995</v>
      </c>
      <c r="N4699">
        <v>-9.4313709999999992E-3</v>
      </c>
      <c r="O4699">
        <v>2.7667709999999999E-3</v>
      </c>
      <c r="P4699">
        <v>0.99828790000000001</v>
      </c>
      <c r="Q4699">
        <v>-5.6971269999999997E-2</v>
      </c>
      <c r="R4699">
        <v>1.32649E-2</v>
      </c>
      <c r="S4699">
        <v>3.0083920000000002</v>
      </c>
      <c r="T4699">
        <v>3.6555049999999999E-2</v>
      </c>
      <c r="U4699">
        <v>-7.9818730000000004E-2</v>
      </c>
      <c r="V4699">
        <v>-1.0499609999999999E-2</v>
      </c>
      <c r="W4699">
        <v>-4.7553980000000003E-2</v>
      </c>
      <c r="X4699">
        <v>0.99881350000000002</v>
      </c>
      <c r="Y4699">
        <v>2.9287379999999998E-2</v>
      </c>
      <c r="Z4699" s="1">
        <v>9.9460159999999997E-5</v>
      </c>
      <c r="AA4699">
        <v>0.99957099999999999</v>
      </c>
      <c r="AB4699">
        <v>29</v>
      </c>
      <c r="AC4699">
        <v>176.3897</v>
      </c>
      <c r="AD4699">
        <v>2.1468780000000001</v>
      </c>
      <c r="AE4699">
        <v>-4.6885999999999797</v>
      </c>
      <c r="AF4699">
        <v>5.1758674108544298</v>
      </c>
      <c r="AG4699">
        <v>2.1468780000000001</v>
      </c>
      <c r="AH4699">
        <v>176.34994615480201</v>
      </c>
      <c r="AI4699">
        <v>89.302817854049195</v>
      </c>
      <c r="AJ4699">
        <v>88.318852625855698</v>
      </c>
      <c r="AK4699">
        <v>176.43894750707199</v>
      </c>
      <c r="AL4699">
        <v>92.725670266801401</v>
      </c>
      <c r="AM4699">
        <v>90.602275782120103</v>
      </c>
      <c r="AN4699">
        <v>1.0000000153031201</v>
      </c>
    </row>
    <row r="4700" spans="1:40" x14ac:dyDescent="0.25">
      <c r="A4700" t="str">
        <f>"20190303153902868"</f>
        <v>20190303153902868</v>
      </c>
      <c r="B4700" t="str">
        <f>"1551598742863519"</f>
        <v>1551598742863519</v>
      </c>
      <c r="C4700" t="s">
        <v>40</v>
      </c>
      <c r="D4700">
        <v>4.0923679999999996</v>
      </c>
      <c r="E4700">
        <v>0.5164396</v>
      </c>
      <c r="F4700" t="s">
        <v>67</v>
      </c>
      <c r="G4700">
        <v>-107.39749999999999</v>
      </c>
      <c r="H4700">
        <v>3.161994</v>
      </c>
      <c r="I4700">
        <v>210.7312</v>
      </c>
      <c r="J4700">
        <v>-283.49590000000001</v>
      </c>
      <c r="K4700">
        <v>1.120393</v>
      </c>
      <c r="L4700">
        <v>215.49369999999999</v>
      </c>
      <c r="M4700">
        <v>0.99995489999999998</v>
      </c>
      <c r="N4700">
        <v>-9.0584689999999995E-3</v>
      </c>
      <c r="O4700">
        <v>2.8260659999999999E-3</v>
      </c>
      <c r="P4700">
        <v>0.99828519999999998</v>
      </c>
      <c r="Q4700">
        <v>-5.7214679999999997E-2</v>
      </c>
      <c r="R4700">
        <v>1.238971E-2</v>
      </c>
      <c r="S4700">
        <v>3.0082089999999999</v>
      </c>
      <c r="T4700">
        <v>3.4817929999999997E-2</v>
      </c>
      <c r="U4700">
        <v>-8.1207280000000007E-2</v>
      </c>
      <c r="V4700">
        <v>-9.5648839999999992E-3</v>
      </c>
      <c r="W4700">
        <v>-4.8169829999999997E-2</v>
      </c>
      <c r="X4700">
        <v>0.99879340000000005</v>
      </c>
      <c r="Y4700">
        <v>2.98094E-2</v>
      </c>
      <c r="Z4700" s="1">
        <v>9.5729190000000004E-5</v>
      </c>
      <c r="AA4700">
        <v>0.99955559999999999</v>
      </c>
      <c r="AB4700">
        <v>29</v>
      </c>
      <c r="AC4700">
        <v>176.0984</v>
      </c>
      <c r="AD4700">
        <v>2.041601</v>
      </c>
      <c r="AE4700">
        <v>-4.7624999999999797</v>
      </c>
      <c r="AF4700">
        <v>5.2594607328530802</v>
      </c>
      <c r="AG4700">
        <v>2.041601</v>
      </c>
      <c r="AH4700">
        <v>176.060590057822</v>
      </c>
      <c r="AI4700">
        <v>89.335923355668598</v>
      </c>
      <c r="AJ4700">
        <v>88.288911160603504</v>
      </c>
      <c r="AK4700">
        <v>176.150962056277</v>
      </c>
      <c r="AL4700">
        <v>92.760996295765295</v>
      </c>
      <c r="AM4700">
        <v>90.548672761339603</v>
      </c>
      <c r="AN4700">
        <v>1.00000003770586</v>
      </c>
    </row>
    <row r="4701" spans="1:40" x14ac:dyDescent="0.25">
      <c r="A4701" t="str">
        <f>"20190303153902957"</f>
        <v>20190303153902957</v>
      </c>
      <c r="B4701" t="str">
        <f>"1551598742953310"</f>
        <v>1551598742953310</v>
      </c>
      <c r="C4701" t="s">
        <v>40</v>
      </c>
      <c r="D4701">
        <v>3.0896309999999998</v>
      </c>
      <c r="E4701">
        <v>0.51698359999999999</v>
      </c>
      <c r="F4701" t="s">
        <v>67</v>
      </c>
      <c r="G4701">
        <v>-107.39749999999999</v>
      </c>
      <c r="H4701">
        <v>3.2349640000000002</v>
      </c>
      <c r="I4701">
        <v>210.1712</v>
      </c>
      <c r="J4701">
        <v>-282.3143</v>
      </c>
      <c r="K4701">
        <v>1.120271</v>
      </c>
      <c r="L4701">
        <v>215.4974</v>
      </c>
      <c r="M4701">
        <v>0.99996479999999999</v>
      </c>
      <c r="N4701">
        <v>-7.83528E-3</v>
      </c>
      <c r="O4701">
        <v>3.0645080000000001E-3</v>
      </c>
      <c r="P4701">
        <v>0.9982972</v>
      </c>
      <c r="Q4701">
        <v>-5.7315329999999998E-2</v>
      </c>
      <c r="R4701">
        <v>1.0871230000000001E-2</v>
      </c>
      <c r="S4701">
        <v>3.008362</v>
      </c>
      <c r="T4701">
        <v>3.6124940000000001E-2</v>
      </c>
      <c r="U4701">
        <v>-9.092712E-2</v>
      </c>
      <c r="V4701">
        <v>-7.8079119999999898E-3</v>
      </c>
      <c r="W4701">
        <v>-4.9492019999999998E-2</v>
      </c>
      <c r="X4701">
        <v>0.99874399999999997</v>
      </c>
      <c r="Y4701">
        <v>3.3272629999999997E-2</v>
      </c>
      <c r="Z4701">
        <v>1.3012979999999999E-4</v>
      </c>
      <c r="AA4701">
        <v>0.99944630000000001</v>
      </c>
      <c r="AB4701">
        <v>30</v>
      </c>
      <c r="AC4701">
        <v>174.91679999999999</v>
      </c>
      <c r="AD4701">
        <v>2.1146929999999999</v>
      </c>
      <c r="AE4701">
        <v>-5.3262</v>
      </c>
      <c r="AF4701">
        <v>5.8613693632148696</v>
      </c>
      <c r="AG4701">
        <v>2.1146929999999999</v>
      </c>
      <c r="AH4701">
        <v>174.874119822133</v>
      </c>
      <c r="AI4701">
        <v>89.307564283858994</v>
      </c>
      <c r="AJ4701">
        <v>88.080298844303002</v>
      </c>
      <c r="AK4701">
        <v>174.98510039675401</v>
      </c>
      <c r="AL4701">
        <v>92.836842791003406</v>
      </c>
      <c r="AM4701">
        <v>90.447913870802196</v>
      </c>
      <c r="AN4701">
        <v>1.00000000053474</v>
      </c>
    </row>
    <row r="4702" spans="1:40" x14ac:dyDescent="0.25">
      <c r="A4702" t="str">
        <f>"20190303153902979"</f>
        <v>20190303153902979</v>
      </c>
      <c r="B4702" t="str">
        <f>"1551598742972839"</f>
        <v>1551598742972839</v>
      </c>
      <c r="C4702" t="s">
        <v>40</v>
      </c>
      <c r="D4702">
        <v>4.1253199999999897</v>
      </c>
      <c r="E4702">
        <v>0.51761509999999999</v>
      </c>
      <c r="F4702" t="s">
        <v>66</v>
      </c>
      <c r="G4702">
        <v>-121.25360000000001</v>
      </c>
      <c r="H4702">
        <v>2.930161</v>
      </c>
      <c r="I4702">
        <v>210.13069999999999</v>
      </c>
      <c r="J4702">
        <v>-282.01819999999998</v>
      </c>
      <c r="K4702">
        <v>1.12026</v>
      </c>
      <c r="L4702">
        <v>215.4984</v>
      </c>
      <c r="M4702">
        <v>0.99996620000000003</v>
      </c>
      <c r="N4702">
        <v>-7.6079779999999996E-3</v>
      </c>
      <c r="O4702">
        <v>3.1243320000000001E-3</v>
      </c>
      <c r="P4702">
        <v>0.9983204</v>
      </c>
      <c r="Q4702">
        <v>-5.6856700000000003E-2</v>
      </c>
      <c r="R4702">
        <v>1.113595E-2</v>
      </c>
      <c r="S4702">
        <v>3.0081479999999998</v>
      </c>
      <c r="T4702">
        <v>3.3804059999999997E-2</v>
      </c>
      <c r="U4702">
        <v>-0.100235</v>
      </c>
      <c r="V4702">
        <v>-8.0127859999999992E-3</v>
      </c>
      <c r="W4702">
        <v>-4.9260279999999997E-2</v>
      </c>
      <c r="X4702">
        <v>0.99875380000000002</v>
      </c>
      <c r="Y4702">
        <v>3.6423909999999997E-2</v>
      </c>
      <c r="Z4702">
        <v>1.2485679999999999E-4</v>
      </c>
      <c r="AA4702">
        <v>0.99933640000000001</v>
      </c>
      <c r="AB4702">
        <v>30</v>
      </c>
      <c r="AC4702">
        <v>160.76459999999901</v>
      </c>
      <c r="AD4702">
        <v>1.80990099999999</v>
      </c>
      <c r="AE4702">
        <v>-5.3677000000000099</v>
      </c>
      <c r="AF4702">
        <v>5.8692272470317697</v>
      </c>
      <c r="AG4702">
        <v>1.80990099999999</v>
      </c>
      <c r="AH4702">
        <v>160.72669581827901</v>
      </c>
      <c r="AI4702">
        <v>89.355264273556102</v>
      </c>
      <c r="AJ4702">
        <v>87.908669787690002</v>
      </c>
      <c r="AK4702">
        <v>160.84400616363899</v>
      </c>
      <c r="AL4702">
        <v>92.823548948069103</v>
      </c>
      <c r="AM4702">
        <v>90.459661800883296</v>
      </c>
      <c r="AN4702">
        <v>0.99999996646979905</v>
      </c>
    </row>
    <row r="4703" spans="1:40" x14ac:dyDescent="0.25">
      <c r="A4703" t="str">
        <f>"20190303153903002"</f>
        <v>20190303153903002</v>
      </c>
      <c r="B4703" t="str">
        <f>"1551598742993326"</f>
        <v>1551598742993326</v>
      </c>
      <c r="C4703" t="s">
        <v>40</v>
      </c>
      <c r="D4703">
        <v>4.2567560000000002</v>
      </c>
      <c r="E4703">
        <v>0.5182679</v>
      </c>
      <c r="F4703" t="s">
        <v>66</v>
      </c>
      <c r="G4703">
        <v>-121.2535</v>
      </c>
      <c r="H4703">
        <v>2.4956040000000002</v>
      </c>
      <c r="I4703">
        <v>209.9246</v>
      </c>
      <c r="J4703">
        <v>-281.7149</v>
      </c>
      <c r="K4703">
        <v>1.1202490000000001</v>
      </c>
      <c r="L4703">
        <v>215.49940000000001</v>
      </c>
      <c r="M4703">
        <v>0.99996750000000001</v>
      </c>
      <c r="N4703">
        <v>-7.4137319999999897E-3</v>
      </c>
      <c r="O4703">
        <v>3.1851409999999998E-3</v>
      </c>
      <c r="P4703">
        <v>0.99835370000000001</v>
      </c>
      <c r="Q4703">
        <v>-5.6279849999999999E-2</v>
      </c>
      <c r="R4703">
        <v>1.1059640000000001E-2</v>
      </c>
      <c r="S4703">
        <v>3.0076900000000002</v>
      </c>
      <c r="T4703">
        <v>2.5731440000000001E-2</v>
      </c>
      <c r="U4703">
        <v>-0.1042786</v>
      </c>
      <c r="V4703">
        <v>-7.8757749999999998E-3</v>
      </c>
      <c r="W4703">
        <v>-4.8877200000000003E-2</v>
      </c>
      <c r="X4703">
        <v>0.99877380000000004</v>
      </c>
      <c r="Y4703">
        <v>3.7832379999999999E-2</v>
      </c>
      <c r="Z4703" s="1">
        <v>7.2343779999999995E-5</v>
      </c>
      <c r="AA4703">
        <v>0.99928410000000001</v>
      </c>
      <c r="AB4703">
        <v>30</v>
      </c>
      <c r="AC4703">
        <v>160.4614</v>
      </c>
      <c r="AD4703">
        <v>1.3753549999999899</v>
      </c>
      <c r="AE4703">
        <v>-5.5747999999999998</v>
      </c>
      <c r="AF4703">
        <v>6.0854313867191498</v>
      </c>
      <c r="AG4703">
        <v>1.3753549999999899</v>
      </c>
      <c r="AH4703">
        <v>160.43105691682399</v>
      </c>
      <c r="AI4703">
        <v>89.509175577953201</v>
      </c>
      <c r="AJ4703">
        <v>87.827712028511698</v>
      </c>
      <c r="AK4703">
        <v>160.55232200123299</v>
      </c>
      <c r="AL4703">
        <v>92.8015733574357</v>
      </c>
      <c r="AM4703">
        <v>90.451793304277999</v>
      </c>
      <c r="AN4703">
        <v>1.0000000560390601</v>
      </c>
    </row>
    <row r="4704" spans="1:40" x14ac:dyDescent="0.25">
      <c r="A4704" t="str">
        <f>"20190303153903023"</f>
        <v>20190303153903023</v>
      </c>
      <c r="B4704" t="str">
        <f>"1551598743012846"</f>
        <v>1551598743012846</v>
      </c>
      <c r="C4704" t="s">
        <v>40</v>
      </c>
      <c r="D4704">
        <v>4.035202</v>
      </c>
      <c r="E4704">
        <v>0.51915929999999999</v>
      </c>
      <c r="F4704" t="s">
        <v>66</v>
      </c>
      <c r="G4704">
        <v>-137.00799999999899</v>
      </c>
      <c r="H4704">
        <v>2.51125</v>
      </c>
      <c r="I4704">
        <v>210.22559999999999</v>
      </c>
      <c r="J4704">
        <v>-281.4171</v>
      </c>
      <c r="K4704">
        <v>1.120241</v>
      </c>
      <c r="L4704">
        <v>215.50040000000001</v>
      </c>
      <c r="M4704">
        <v>0.99996839999999998</v>
      </c>
      <c r="N4704">
        <v>-7.2660809999999998E-3</v>
      </c>
      <c r="O4704">
        <v>3.2452259999999999E-3</v>
      </c>
      <c r="P4704">
        <v>0.99835390000000002</v>
      </c>
      <c r="Q4704">
        <v>-5.6193369999999999E-2</v>
      </c>
      <c r="R4704">
        <v>1.149525E-2</v>
      </c>
      <c r="S4704">
        <v>3.0078130000000001</v>
      </c>
      <c r="T4704">
        <v>2.8913379999999999E-2</v>
      </c>
      <c r="U4704">
        <v>-0.1096191</v>
      </c>
      <c r="V4704">
        <v>-8.2510369999999993E-3</v>
      </c>
      <c r="W4704">
        <v>-4.8938210000000003E-2</v>
      </c>
      <c r="X4704">
        <v>0.99876770000000004</v>
      </c>
      <c r="Y4704">
        <v>3.966269E-2</v>
      </c>
      <c r="Z4704">
        <v>1.0117579999999999E-4</v>
      </c>
      <c r="AA4704">
        <v>0.99921309999999997</v>
      </c>
      <c r="AB4704">
        <v>30</v>
      </c>
      <c r="AC4704">
        <v>144.4091</v>
      </c>
      <c r="AD4704">
        <v>1.3910089999999999</v>
      </c>
      <c r="AE4704">
        <v>-5.2748000000000204</v>
      </c>
      <c r="AF4704">
        <v>5.7428925945028499</v>
      </c>
      <c r="AG4704">
        <v>1.3910089999999999</v>
      </c>
      <c r="AH4704">
        <v>144.377843134671</v>
      </c>
      <c r="AI4704">
        <v>89.448436766524296</v>
      </c>
      <c r="AJ4704">
        <v>87.722156473821997</v>
      </c>
      <c r="AK4704">
        <v>144.49871040811999</v>
      </c>
      <c r="AL4704">
        <v>92.805073393268103</v>
      </c>
      <c r="AM4704">
        <v>90.473322117299105</v>
      </c>
      <c r="AN4704">
        <v>0.99999997328643397</v>
      </c>
    </row>
    <row r="4705" spans="1:40" x14ac:dyDescent="0.25">
      <c r="A4705" t="str">
        <f>"20190303153903047"</f>
        <v>20190303153903047</v>
      </c>
      <c r="B4705" t="str">
        <f>"1551598743033342"</f>
        <v>1551598743033342</v>
      </c>
      <c r="C4705" t="s">
        <v>40</v>
      </c>
      <c r="D4705">
        <v>4.1079270000000001</v>
      </c>
      <c r="E4705">
        <v>0.51906200000000002</v>
      </c>
      <c r="F4705" t="s">
        <v>66</v>
      </c>
      <c r="G4705">
        <v>-138.91370000000001</v>
      </c>
      <c r="H4705">
        <v>2.5724640000000001</v>
      </c>
      <c r="I4705">
        <v>210.02170000000001</v>
      </c>
      <c r="J4705">
        <v>-281.11130000000003</v>
      </c>
      <c r="K4705">
        <v>1.120247</v>
      </c>
      <c r="L4705">
        <v>215.50149999999999</v>
      </c>
      <c r="M4705">
        <v>0.999969</v>
      </c>
      <c r="N4705">
        <v>-7.1622789999999997E-3</v>
      </c>
      <c r="O4705">
        <v>3.306874E-3</v>
      </c>
      <c r="P4705">
        <v>0.99832529999999997</v>
      </c>
      <c r="Q4705">
        <v>-5.6558329999999997E-2</v>
      </c>
      <c r="R4705">
        <v>1.216574E-2</v>
      </c>
      <c r="S4705">
        <v>3.0079959999999999</v>
      </c>
      <c r="T4705">
        <v>3.0654549999999999E-2</v>
      </c>
      <c r="U4705">
        <v>-0.1156464</v>
      </c>
      <c r="V4705">
        <v>-8.8599530000000003E-3</v>
      </c>
      <c r="W4705">
        <v>-4.9407090000000001E-2</v>
      </c>
      <c r="X4705">
        <v>0.99873940000000005</v>
      </c>
      <c r="Y4705">
        <v>4.1721109999999999E-2</v>
      </c>
      <c r="Z4705">
        <v>1.204017E-4</v>
      </c>
      <c r="AA4705">
        <v>0.9991293</v>
      </c>
      <c r="AB4705">
        <v>30</v>
      </c>
      <c r="AC4705">
        <v>142.19759999999999</v>
      </c>
      <c r="AD4705">
        <v>1.4522170000000001</v>
      </c>
      <c r="AE4705">
        <v>-5.4797999999999796</v>
      </c>
      <c r="AF4705">
        <v>5.94939199586603</v>
      </c>
      <c r="AG4705">
        <v>1.4522170000000001</v>
      </c>
      <c r="AH4705">
        <v>142.163895483544</v>
      </c>
      <c r="AI4705">
        <v>89.415250590158607</v>
      </c>
      <c r="AJ4705">
        <v>87.6036372281729</v>
      </c>
      <c r="AK4705">
        <v>142.29573914348799</v>
      </c>
      <c r="AL4705">
        <v>92.831970774652802</v>
      </c>
      <c r="AM4705">
        <v>90.508265316935507</v>
      </c>
      <c r="AN4705">
        <v>0.99999997421089404</v>
      </c>
    </row>
    <row r="4706" spans="1:40" x14ac:dyDescent="0.25">
      <c r="A4706" t="str">
        <f>"20190303153903069"</f>
        <v>20190303153903069</v>
      </c>
      <c r="B4706" t="str">
        <f>"1551598743063598"</f>
        <v>1551598743063598</v>
      </c>
      <c r="C4706" t="s">
        <v>40</v>
      </c>
      <c r="D4706">
        <v>4.0974180000000002</v>
      </c>
      <c r="E4706">
        <v>0.51891709999999902</v>
      </c>
      <c r="F4706" t="s">
        <v>66</v>
      </c>
      <c r="G4706">
        <v>-138.9135</v>
      </c>
      <c r="H4706">
        <v>2.3663020000000001</v>
      </c>
      <c r="I4706">
        <v>210.16489999999999</v>
      </c>
      <c r="J4706">
        <v>-280.80470000000003</v>
      </c>
      <c r="K4706">
        <v>1.120261</v>
      </c>
      <c r="L4706">
        <v>215.5025</v>
      </c>
      <c r="M4706">
        <v>0.99996910000000006</v>
      </c>
      <c r="N4706">
        <v>-7.1215970000000003E-3</v>
      </c>
      <c r="O4706">
        <v>3.3684729999999999E-3</v>
      </c>
      <c r="P4706">
        <v>0.99831270000000005</v>
      </c>
      <c r="Q4706">
        <v>-5.6706640000000003E-2</v>
      </c>
      <c r="R4706">
        <v>1.2505519999999999E-2</v>
      </c>
      <c r="S4706">
        <v>3.0079349999999998</v>
      </c>
      <c r="T4706">
        <v>2.6358719999999999E-2</v>
      </c>
      <c r="U4706">
        <v>-0.1128845</v>
      </c>
      <c r="V4706">
        <v>-9.1379889999999991E-3</v>
      </c>
      <c r="W4706">
        <v>-4.9596130000000002E-2</v>
      </c>
      <c r="X4706">
        <v>0.99872760000000005</v>
      </c>
      <c r="Y4706">
        <v>4.0867769999999998E-2</v>
      </c>
      <c r="Z4706" s="1">
        <v>8.6908719999999998E-5</v>
      </c>
      <c r="AA4706">
        <v>0.99916459999999996</v>
      </c>
      <c r="AB4706">
        <v>30</v>
      </c>
      <c r="AC4706">
        <v>141.8912</v>
      </c>
      <c r="AD4706">
        <v>1.246041</v>
      </c>
      <c r="AE4706">
        <v>-5.3376000000000001</v>
      </c>
      <c r="AF4706">
        <v>5.8150906377976597</v>
      </c>
      <c r="AG4706">
        <v>1.246041</v>
      </c>
      <c r="AH4706">
        <v>141.86149038546401</v>
      </c>
      <c r="AI4706">
        <v>89.497177464670798</v>
      </c>
      <c r="AJ4706">
        <v>87.652684142273301</v>
      </c>
      <c r="AK4706">
        <v>141.986092106532</v>
      </c>
      <c r="AL4706">
        <v>92.842815051253694</v>
      </c>
      <c r="AM4706">
        <v>90.524220611675901</v>
      </c>
      <c r="AN4706">
        <v>1.00000004897784</v>
      </c>
    </row>
    <row r="4707" spans="1:40" x14ac:dyDescent="0.25">
      <c r="A4707" t="str">
        <f>"20190303153903091"</f>
        <v>20190303153903091</v>
      </c>
      <c r="B4707" t="str">
        <f>"1551598743083122"</f>
        <v>1551598743083122</v>
      </c>
      <c r="C4707" t="s">
        <v>40</v>
      </c>
      <c r="D4707">
        <v>4.0964710000000002</v>
      </c>
      <c r="E4707">
        <v>0.51873199999999997</v>
      </c>
      <c r="F4707" t="s">
        <v>66</v>
      </c>
      <c r="G4707">
        <v>-137.27699999999999</v>
      </c>
      <c r="H4707">
        <v>2.249743</v>
      </c>
      <c r="I4707">
        <v>210.22579999999999</v>
      </c>
      <c r="J4707">
        <v>-280.50459999999998</v>
      </c>
      <c r="K4707">
        <v>1.1202890000000001</v>
      </c>
      <c r="L4707">
        <v>215.50360000000001</v>
      </c>
      <c r="M4707">
        <v>0.99996839999999998</v>
      </c>
      <c r="N4707">
        <v>-7.1707309999999996E-3</v>
      </c>
      <c r="O4707">
        <v>3.4285650000000002E-3</v>
      </c>
      <c r="P4707">
        <v>0.99829040000000002</v>
      </c>
      <c r="Q4707">
        <v>-5.7012E-2</v>
      </c>
      <c r="R4707">
        <v>1.288892E-2</v>
      </c>
      <c r="S4707">
        <v>3.0077820000000002</v>
      </c>
      <c r="T4707">
        <v>2.3670199999999999E-2</v>
      </c>
      <c r="U4707">
        <v>-0.110580399999999</v>
      </c>
      <c r="V4707">
        <v>-9.4621810000000001E-3</v>
      </c>
      <c r="W4707">
        <v>-4.9852599999999997E-2</v>
      </c>
      <c r="X4707">
        <v>0.99871180000000004</v>
      </c>
      <c r="Y4707">
        <v>4.0165590000000001E-2</v>
      </c>
      <c r="Z4707" s="1">
        <v>6.5478500000000007E-5</v>
      </c>
      <c r="AA4707">
        <v>0.999193</v>
      </c>
      <c r="AB4707">
        <v>30</v>
      </c>
      <c r="AC4707">
        <v>143.227599999999</v>
      </c>
      <c r="AD4707">
        <v>1.129454</v>
      </c>
      <c r="AE4707">
        <v>-5.2778000000000098</v>
      </c>
      <c r="AF4707">
        <v>5.7684885205230199</v>
      </c>
      <c r="AG4707">
        <v>1.129454</v>
      </c>
      <c r="AH4707">
        <v>143.19976962184899</v>
      </c>
      <c r="AI4707">
        <v>89.548468773744702</v>
      </c>
      <c r="AJ4707">
        <v>87.693212441960995</v>
      </c>
      <c r="AK4707">
        <v>143.32035844882699</v>
      </c>
      <c r="AL4707">
        <v>92.857527933428102</v>
      </c>
      <c r="AM4707">
        <v>90.5428260840836</v>
      </c>
      <c r="AN4707">
        <v>1.0000000370276301</v>
      </c>
    </row>
    <row r="4708" spans="1:40" x14ac:dyDescent="0.25">
      <c r="A4708" t="str">
        <f>"20190303153903114"</f>
        <v>20190303153903114</v>
      </c>
      <c r="B4708" t="str">
        <f>"1551598743103614"</f>
        <v>1551598743103614</v>
      </c>
      <c r="C4708" t="s">
        <v>40</v>
      </c>
      <c r="D4708">
        <v>4.121556</v>
      </c>
      <c r="E4708">
        <v>0.51851729999999996</v>
      </c>
      <c r="F4708" t="s">
        <v>66</v>
      </c>
      <c r="G4708">
        <v>-121.2535</v>
      </c>
      <c r="H4708">
        <v>2.2785929999999999</v>
      </c>
      <c r="I4708">
        <v>209.7885</v>
      </c>
      <c r="J4708">
        <v>-280.19889999999998</v>
      </c>
      <c r="K4708">
        <v>1.120323</v>
      </c>
      <c r="L4708">
        <v>215.50470000000001</v>
      </c>
      <c r="M4708">
        <v>0.99996719999999895</v>
      </c>
      <c r="N4708">
        <v>-7.3115699999999999E-3</v>
      </c>
      <c r="O4708">
        <v>3.4893369999999999E-3</v>
      </c>
      <c r="P4708">
        <v>0.99826910000000002</v>
      </c>
      <c r="Q4708">
        <v>-5.736546E-2</v>
      </c>
      <c r="R4708">
        <v>1.296982E-2</v>
      </c>
      <c r="S4708">
        <v>3.0077820000000002</v>
      </c>
      <c r="T4708">
        <v>2.1877529999999999E-2</v>
      </c>
      <c r="U4708">
        <v>-0.1079407</v>
      </c>
      <c r="V4708">
        <v>-9.4820809999999998E-3</v>
      </c>
      <c r="W4708">
        <v>-5.0065569999999997E-2</v>
      </c>
      <c r="X4708">
        <v>0.9987009</v>
      </c>
      <c r="Y4708">
        <v>3.9350650000000001E-2</v>
      </c>
      <c r="Z4708" s="1">
        <v>5.0033269999999999E-5</v>
      </c>
      <c r="AA4708">
        <v>0.99922540000000004</v>
      </c>
      <c r="AB4708">
        <v>30</v>
      </c>
      <c r="AC4708">
        <v>158.94539999999901</v>
      </c>
      <c r="AD4708">
        <v>1.1582699999999999</v>
      </c>
      <c r="AE4708">
        <v>-5.7162000000000104</v>
      </c>
      <c r="AF4708">
        <v>6.27046152605004</v>
      </c>
      <c r="AG4708">
        <v>1.1582699999999999</v>
      </c>
      <c r="AH4708">
        <v>158.91605793783901</v>
      </c>
      <c r="AI4708">
        <v>89.582728077342793</v>
      </c>
      <c r="AJ4708">
        <v>87.740412713195695</v>
      </c>
      <c r="AK4708">
        <v>159.04393653215899</v>
      </c>
      <c r="AL4708">
        <v>92.869745637111805</v>
      </c>
      <c r="AM4708">
        <v>90.543973574695201</v>
      </c>
      <c r="AN4708">
        <v>0.99999997941016205</v>
      </c>
    </row>
    <row r="4709" spans="1:40" x14ac:dyDescent="0.25">
      <c r="A4709" t="str">
        <f>"20190303153903134"</f>
        <v>20190303153903134</v>
      </c>
      <c r="B4709" t="str">
        <f>"1551598743123134"</f>
        <v>1551598743123134</v>
      </c>
      <c r="C4709" t="s">
        <v>40</v>
      </c>
      <c r="D4709">
        <v>4.108339</v>
      </c>
      <c r="E4709">
        <v>0.51818390000000003</v>
      </c>
      <c r="F4709" t="s">
        <v>66</v>
      </c>
      <c r="G4709">
        <v>-121.2534</v>
      </c>
      <c r="H4709">
        <v>2.172304</v>
      </c>
      <c r="I4709">
        <v>209.90209999999999</v>
      </c>
      <c r="J4709">
        <v>-279.91300000000001</v>
      </c>
      <c r="K4709">
        <v>1.120368</v>
      </c>
      <c r="L4709">
        <v>215.50579999999999</v>
      </c>
      <c r="M4709">
        <v>0.99996569999999996</v>
      </c>
      <c r="N4709">
        <v>-7.4961180000000004E-3</v>
      </c>
      <c r="O4709">
        <v>3.5463589999999998E-3</v>
      </c>
      <c r="P4709">
        <v>0.99822010000000005</v>
      </c>
      <c r="Q4709">
        <v>-5.8129960000000001E-2</v>
      </c>
      <c r="R4709">
        <v>1.3340980000000001E-2</v>
      </c>
      <c r="S4709">
        <v>3.0077210000000001</v>
      </c>
      <c r="T4709">
        <v>1.990724E-2</v>
      </c>
      <c r="U4709">
        <v>-0.1060181</v>
      </c>
      <c r="V4709">
        <v>-9.7960990000000008E-3</v>
      </c>
      <c r="W4709">
        <v>-5.0646110000000001E-2</v>
      </c>
      <c r="X4709">
        <v>0.99866860000000002</v>
      </c>
      <c r="Y4709">
        <v>3.8770560000000003E-2</v>
      </c>
      <c r="Z4709" s="1">
        <v>3.2943249999999997E-5</v>
      </c>
      <c r="AA4709">
        <v>0.99924809999999997</v>
      </c>
      <c r="AB4709">
        <v>30</v>
      </c>
      <c r="AC4709">
        <v>158.65960000000001</v>
      </c>
      <c r="AD4709">
        <v>1.051936</v>
      </c>
      <c r="AE4709">
        <v>-5.6036999999999999</v>
      </c>
      <c r="AF4709">
        <v>6.1660737063142896</v>
      </c>
      <c r="AG4709">
        <v>1.051936</v>
      </c>
      <c r="AH4709">
        <v>158.63176437253</v>
      </c>
      <c r="AI4709">
        <v>89.620346333540297</v>
      </c>
      <c r="AJ4709">
        <v>87.774013087032699</v>
      </c>
      <c r="AK4709">
        <v>158.75504307656399</v>
      </c>
      <c r="AL4709">
        <v>92.903050374054899</v>
      </c>
      <c r="AM4709">
        <v>90.562005381507305</v>
      </c>
      <c r="AN4709">
        <v>0.99999998231985399</v>
      </c>
    </row>
    <row r="4710" spans="1:40" x14ac:dyDescent="0.25">
      <c r="A4710" t="str">
        <f>"20190303153903151"</f>
        <v>20190303153903151</v>
      </c>
      <c r="B4710" t="str">
        <f>"1551598743143631"</f>
        <v>1551598743143631</v>
      </c>
      <c r="C4710" t="s">
        <v>40</v>
      </c>
      <c r="D4710">
        <v>4.1005229999999999</v>
      </c>
      <c r="E4710">
        <v>0.51793100000000003</v>
      </c>
      <c r="F4710" t="s">
        <v>66</v>
      </c>
      <c r="G4710">
        <v>-121.2533</v>
      </c>
      <c r="H4710">
        <v>1.971922</v>
      </c>
      <c r="I4710">
        <v>210.11680000000001</v>
      </c>
      <c r="J4710">
        <v>-279.69080000000002</v>
      </c>
      <c r="K4710">
        <v>1.120409</v>
      </c>
      <c r="L4710">
        <v>215.50659999999999</v>
      </c>
      <c r="M4710">
        <v>0.99996419999999997</v>
      </c>
      <c r="N4710">
        <v>-7.6842819999999997E-3</v>
      </c>
      <c r="O4710">
        <v>3.5905960000000002E-3</v>
      </c>
      <c r="P4710">
        <v>0.99822149999999998</v>
      </c>
      <c r="Q4710">
        <v>-5.809433E-2</v>
      </c>
      <c r="R4710">
        <v>1.3395539999999999E-2</v>
      </c>
      <c r="S4710">
        <v>3.00766</v>
      </c>
      <c r="T4710">
        <v>1.61432E-2</v>
      </c>
      <c r="U4710">
        <v>-0.1021576</v>
      </c>
      <c r="V4710">
        <v>-9.8066839999999995E-3</v>
      </c>
      <c r="W4710">
        <v>-5.0422559999999998E-2</v>
      </c>
      <c r="X4710">
        <v>0.99867980000000001</v>
      </c>
      <c r="Y4710">
        <v>3.7534570000000003E-2</v>
      </c>
      <c r="Z4710" s="1">
        <v>3.2941170000000002E-6</v>
      </c>
      <c r="AA4710">
        <v>0.99929539999999994</v>
      </c>
      <c r="AB4710">
        <v>30</v>
      </c>
      <c r="AC4710">
        <v>158.4375</v>
      </c>
      <c r="AD4710">
        <v>0.85151299999999996</v>
      </c>
      <c r="AE4710">
        <v>-5.3897999999999797</v>
      </c>
      <c r="AF4710">
        <v>5.9584950973377904</v>
      </c>
      <c r="AG4710">
        <v>0.85151299999999996</v>
      </c>
      <c r="AH4710">
        <v>158.41255505938301</v>
      </c>
      <c r="AI4710">
        <v>89.692239316783201</v>
      </c>
      <c r="AJ4710">
        <v>87.845904603429005</v>
      </c>
      <c r="AK4710">
        <v>158.52686314519701</v>
      </c>
      <c r="AL4710">
        <v>92.890225539572498</v>
      </c>
      <c r="AM4710">
        <v>90.562606298196101</v>
      </c>
      <c r="AN4710">
        <v>0.999999974268034</v>
      </c>
    </row>
    <row r="4711" spans="1:40" x14ac:dyDescent="0.25">
      <c r="A4711" t="str">
        <f>"20190303153903169"</f>
        <v>20190303153903169</v>
      </c>
      <c r="B4711" t="str">
        <f>"1551598743163153"</f>
        <v>1551598743163153</v>
      </c>
      <c r="C4711" t="s">
        <v>40</v>
      </c>
      <c r="D4711">
        <v>4.1634279999999997</v>
      </c>
      <c r="E4711">
        <v>0.51768329999999996</v>
      </c>
      <c r="F4711" t="s">
        <v>66</v>
      </c>
      <c r="G4711">
        <v>-120.8364</v>
      </c>
      <c r="H4711">
        <v>1.917454</v>
      </c>
      <c r="I4711">
        <v>210.22040000000001</v>
      </c>
      <c r="J4711">
        <v>-279.44740000000002</v>
      </c>
      <c r="K4711">
        <v>1.1204689999999999</v>
      </c>
      <c r="L4711">
        <v>215.5076</v>
      </c>
      <c r="M4711">
        <v>0.99996169999999995</v>
      </c>
      <c r="N4711">
        <v>-7.9653390000000001E-3</v>
      </c>
      <c r="O4711">
        <v>3.6402980000000001E-3</v>
      </c>
      <c r="P4711">
        <v>0.99821789999999999</v>
      </c>
      <c r="Q4711">
        <v>-5.8136279999999999E-2</v>
      </c>
      <c r="R4711">
        <v>1.3470350000000001E-2</v>
      </c>
      <c r="S4711">
        <v>3.007568</v>
      </c>
      <c r="T4711">
        <v>1.5090940000000001E-2</v>
      </c>
      <c r="U4711">
        <v>-0.1000824</v>
      </c>
      <c r="V4711">
        <v>-9.8315680000000006E-3</v>
      </c>
      <c r="W4711">
        <v>-5.0183859999999997E-2</v>
      </c>
      <c r="X4711">
        <v>0.99869160000000001</v>
      </c>
      <c r="Y4711">
        <v>3.689659E-2</v>
      </c>
      <c r="Z4711" s="1">
        <v>-7.1997349999999998E-6</v>
      </c>
      <c r="AA4711">
        <v>0.99931910000000002</v>
      </c>
      <c r="AB4711">
        <v>30</v>
      </c>
      <c r="AC4711">
        <v>158.61099999999999</v>
      </c>
      <c r="AD4711">
        <v>0.79698499999999906</v>
      </c>
      <c r="AE4711">
        <v>-5.2871999999999799</v>
      </c>
      <c r="AF4711">
        <v>5.8644266571848602</v>
      </c>
      <c r="AG4711">
        <v>0.79698499999999906</v>
      </c>
      <c r="AH4711">
        <v>158.586701783911</v>
      </c>
      <c r="AI4711">
        <v>89.712256433268905</v>
      </c>
      <c r="AJ4711">
        <v>87.882206649234902</v>
      </c>
      <c r="AK4711">
        <v>158.69709722552199</v>
      </c>
      <c r="AL4711">
        <v>92.876531638343295</v>
      </c>
      <c r="AM4711">
        <v>90.564027129250206</v>
      </c>
      <c r="AN4711">
        <v>0.999999995722199</v>
      </c>
    </row>
    <row r="4712" spans="1:40" x14ac:dyDescent="0.25">
      <c r="A4712" t="str">
        <f>"20190303153903191"</f>
        <v>20190303153903191</v>
      </c>
      <c r="B4712" t="str">
        <f>"1551598743182670"</f>
        <v>1551598743182670</v>
      </c>
      <c r="C4712" t="s">
        <v>40</v>
      </c>
      <c r="D4712">
        <v>4.1748799999999999</v>
      </c>
      <c r="E4712">
        <v>0.51736229999999905</v>
      </c>
      <c r="F4712" t="s">
        <v>67</v>
      </c>
      <c r="G4712">
        <v>-107.39749999999999</v>
      </c>
      <c r="H4712">
        <v>1.9168179999999999</v>
      </c>
      <c r="I4712">
        <v>209.90170000000001</v>
      </c>
      <c r="J4712">
        <v>-279.14609999999999</v>
      </c>
      <c r="K4712">
        <v>1.1205700000000001</v>
      </c>
      <c r="L4712">
        <v>215.5087</v>
      </c>
      <c r="M4712">
        <v>0.9999576</v>
      </c>
      <c r="N4712">
        <v>-8.4401700000000003E-3</v>
      </c>
      <c r="O4712">
        <v>3.6979809999999999E-3</v>
      </c>
      <c r="P4712">
        <v>0.99821870000000001</v>
      </c>
      <c r="Q4712">
        <v>-5.8168270000000001E-2</v>
      </c>
      <c r="R4712">
        <v>1.3256840000000001E-2</v>
      </c>
      <c r="S4712">
        <v>3.0074770000000002</v>
      </c>
      <c r="T4712">
        <v>1.392126E-2</v>
      </c>
      <c r="U4712">
        <v>-9.799194E-2</v>
      </c>
      <c r="V4712">
        <v>-9.5603359999999991E-3</v>
      </c>
      <c r="W4712">
        <v>-4.9741630000000002E-2</v>
      </c>
      <c r="X4712">
        <v>0.99871639999999995</v>
      </c>
      <c r="Y4712">
        <v>3.6261429999999997E-2</v>
      </c>
      <c r="Z4712" s="1">
        <v>-2.0850639999999999E-5</v>
      </c>
      <c r="AA4712">
        <v>0.99934230000000002</v>
      </c>
      <c r="AB4712">
        <v>30</v>
      </c>
      <c r="AC4712">
        <v>171.74860000000001</v>
      </c>
      <c r="AD4712">
        <v>0.79624799999999996</v>
      </c>
      <c r="AE4712">
        <v>-5.6069999999999904</v>
      </c>
      <c r="AF4712">
        <v>6.2419732858661403</v>
      </c>
      <c r="AG4712">
        <v>0.79624799999999996</v>
      </c>
      <c r="AH4712">
        <v>171.72300323352201</v>
      </c>
      <c r="AI4712">
        <v>89.734507237913505</v>
      </c>
      <c r="AJ4712">
        <v>87.918267603048804</v>
      </c>
      <c r="AK4712">
        <v>171.838255580413</v>
      </c>
      <c r="AL4712">
        <v>92.851161918259194</v>
      </c>
      <c r="AM4712">
        <v>90.548454168655894</v>
      </c>
      <c r="AN4712">
        <v>1.0000000387042201</v>
      </c>
    </row>
    <row r="4713" spans="1:40" x14ac:dyDescent="0.25">
      <c r="A4713" t="str">
        <f>"20190303153903208"</f>
        <v>20190303153903208</v>
      </c>
      <c r="B4713" t="str">
        <f>"1551598743203166"</f>
        <v>1551598743203166</v>
      </c>
      <c r="C4713" t="s">
        <v>40</v>
      </c>
      <c r="D4713">
        <v>4.1762810000000004</v>
      </c>
      <c r="E4713">
        <v>0.51707749999999997</v>
      </c>
      <c r="F4713" t="s">
        <v>67</v>
      </c>
      <c r="G4713">
        <v>-107.39749999999999</v>
      </c>
      <c r="H4713">
        <v>1.8376859999999999</v>
      </c>
      <c r="I4713">
        <v>210.0214</v>
      </c>
      <c r="J4713">
        <v>-278.91550000000001</v>
      </c>
      <c r="K4713">
        <v>1.12064599999999</v>
      </c>
      <c r="L4713">
        <v>215.50960000000001</v>
      </c>
      <c r="M4713">
        <v>0.99995389999999995</v>
      </c>
      <c r="N4713">
        <v>-8.8613089999999995E-3</v>
      </c>
      <c r="O4713">
        <v>3.7424210000000001E-3</v>
      </c>
      <c r="P4713">
        <v>0.99822979999999994</v>
      </c>
      <c r="Q4713">
        <v>-5.8080159999999999E-2</v>
      </c>
      <c r="R4713">
        <v>1.2804070000000001E-2</v>
      </c>
      <c r="S4713">
        <v>3.0073850000000002</v>
      </c>
      <c r="T4713">
        <v>1.2557860000000001E-2</v>
      </c>
      <c r="U4713">
        <v>-9.6084589999999998E-2</v>
      </c>
      <c r="V4713">
        <v>-9.0633850000000002E-3</v>
      </c>
      <c r="W4713">
        <v>-4.923276E-2</v>
      </c>
      <c r="X4713">
        <v>0.99874620000000003</v>
      </c>
      <c r="Y4713">
        <v>3.5673719999999999E-2</v>
      </c>
      <c r="Z4713" s="1">
        <v>-3.486162E-5</v>
      </c>
      <c r="AA4713">
        <v>0.99936349999999996</v>
      </c>
      <c r="AB4713">
        <v>30</v>
      </c>
      <c r="AC4713">
        <v>171.518</v>
      </c>
      <c r="AD4713">
        <v>0.71704000000000001</v>
      </c>
      <c r="AE4713">
        <v>-5.4882</v>
      </c>
      <c r="AF4713">
        <v>6.1299722017473002</v>
      </c>
      <c r="AG4713">
        <v>0.71704000000000001</v>
      </c>
      <c r="AH4713">
        <v>171.49326470229499</v>
      </c>
      <c r="AI4713">
        <v>89.760591727926894</v>
      </c>
      <c r="AJ4713">
        <v>87.952852156082798</v>
      </c>
      <c r="AK4713">
        <v>171.604284747809</v>
      </c>
      <c r="AL4713">
        <v>92.821970183918197</v>
      </c>
      <c r="AM4713">
        <v>90.519931344384801</v>
      </c>
      <c r="AN4713">
        <v>0.99999999080965696</v>
      </c>
    </row>
    <row r="4714" spans="1:40" x14ac:dyDescent="0.25">
      <c r="A4714" t="str">
        <f>"20190303153903224"</f>
        <v>20190303153903224</v>
      </c>
      <c r="B4714" t="str">
        <f>"1551598743212926"</f>
        <v>1551598743212926</v>
      </c>
      <c r="C4714" t="s">
        <v>40</v>
      </c>
      <c r="D4714">
        <v>4.1835769999999997</v>
      </c>
      <c r="E4714">
        <v>0.51693059999999902</v>
      </c>
      <c r="F4714" t="s">
        <v>67</v>
      </c>
      <c r="G4714">
        <v>-107.39749999999999</v>
      </c>
      <c r="H4714">
        <v>1.784999</v>
      </c>
      <c r="I4714">
        <v>210.08250000000001</v>
      </c>
      <c r="J4714">
        <v>-278.69880000000001</v>
      </c>
      <c r="K4714">
        <v>1.1207069999999999</v>
      </c>
      <c r="L4714">
        <v>215.51050000000001</v>
      </c>
      <c r="M4714">
        <v>0.99995009999999995</v>
      </c>
      <c r="N4714">
        <v>-9.2665830000000001E-3</v>
      </c>
      <c r="O4714">
        <v>3.7851690000000001E-3</v>
      </c>
      <c r="P4714">
        <v>0.99825390000000003</v>
      </c>
      <c r="Q4714">
        <v>-5.7797170000000002E-2</v>
      </c>
      <c r="R4714">
        <v>1.2200249999999999E-2</v>
      </c>
      <c r="S4714">
        <v>3.0072329999999998</v>
      </c>
      <c r="T4714">
        <v>1.164901E-2</v>
      </c>
      <c r="U4714">
        <v>-9.5153810000000005E-2</v>
      </c>
      <c r="V4714">
        <v>-8.4174090000000007E-3</v>
      </c>
      <c r="W4714">
        <v>-4.8544700000000003E-2</v>
      </c>
      <c r="X4714">
        <v>0.99878560000000005</v>
      </c>
      <c r="Y4714">
        <v>3.5409080000000002E-2</v>
      </c>
      <c r="Z4714" s="1">
        <v>-4.5814640000000003E-5</v>
      </c>
      <c r="AA4714">
        <v>0.99937290000000001</v>
      </c>
      <c r="AB4714">
        <v>30</v>
      </c>
      <c r="AC4714">
        <v>171.3013</v>
      </c>
      <c r="AD4714">
        <v>0.66429199999999999</v>
      </c>
      <c r="AE4714">
        <v>-5.4279999999999902</v>
      </c>
      <c r="AF4714">
        <v>6.0763019082777499</v>
      </c>
      <c r="AG4714">
        <v>0.66429199999999999</v>
      </c>
      <c r="AH4714">
        <v>171.27695283655299</v>
      </c>
      <c r="AI4714">
        <v>89.777921034042905</v>
      </c>
      <c r="AJ4714">
        <v>87.968200028666999</v>
      </c>
      <c r="AK4714">
        <v>171.38598922233001</v>
      </c>
      <c r="AL4714">
        <v>92.782499865237597</v>
      </c>
      <c r="AM4714">
        <v>90.482856974076498</v>
      </c>
      <c r="AN4714">
        <v>1.00000005771986</v>
      </c>
    </row>
    <row r="4715" spans="1:40" x14ac:dyDescent="0.25">
      <c r="A4715" t="str">
        <f>"20190303153903241"</f>
        <v>20190303153903241</v>
      </c>
      <c r="B4715" t="str">
        <f>"1551598743233423"</f>
        <v>1551598743233423</v>
      </c>
      <c r="C4715" t="s">
        <v>40</v>
      </c>
      <c r="D4715">
        <v>4.1913340000000003</v>
      </c>
      <c r="E4715">
        <v>0.51668420000000004</v>
      </c>
      <c r="F4715" t="s">
        <v>67</v>
      </c>
      <c r="G4715">
        <v>-107.39749999999999</v>
      </c>
      <c r="H4715">
        <v>1.8047219999999999</v>
      </c>
      <c r="I4715">
        <v>210.05879999999999</v>
      </c>
      <c r="J4715">
        <v>-278.47919999999999</v>
      </c>
      <c r="K4715">
        <v>1.1207640000000001</v>
      </c>
      <c r="L4715">
        <v>215.51140000000001</v>
      </c>
      <c r="M4715">
        <v>0.99994609999999995</v>
      </c>
      <c r="N4715">
        <v>-9.6654219999999999E-3</v>
      </c>
      <c r="O4715">
        <v>3.8290569999999999E-3</v>
      </c>
      <c r="P4715">
        <v>0.99824139999999995</v>
      </c>
      <c r="Q4715">
        <v>-5.8154980000000002E-2</v>
      </c>
      <c r="R4715">
        <v>1.149216E-2</v>
      </c>
      <c r="S4715">
        <v>3.0071409999999998</v>
      </c>
      <c r="T4715">
        <v>1.200855E-2</v>
      </c>
      <c r="U4715">
        <v>-9.5703129999999997E-2</v>
      </c>
      <c r="V4715">
        <v>-7.6649359999999998E-3</v>
      </c>
      <c r="W4715">
        <v>-4.8504180000000001E-2</v>
      </c>
      <c r="X4715">
        <v>0.9987935</v>
      </c>
      <c r="Y4715">
        <v>3.5636290000000001E-2</v>
      </c>
      <c r="Z4715" s="1">
        <v>-4.8843929999999997E-5</v>
      </c>
      <c r="AA4715">
        <v>0.9993649</v>
      </c>
      <c r="AB4715">
        <v>30</v>
      </c>
      <c r="AC4715">
        <v>171.08170000000001</v>
      </c>
      <c r="AD4715">
        <v>0.68395799999999995</v>
      </c>
      <c r="AE4715">
        <v>-5.4526000000000101</v>
      </c>
      <c r="AF4715">
        <v>6.1075745958974403</v>
      </c>
      <c r="AG4715">
        <v>0.68395799999999995</v>
      </c>
      <c r="AH4715">
        <v>171.056835231805</v>
      </c>
      <c r="AI4715">
        <v>89.771054205939706</v>
      </c>
      <c r="AJ4715">
        <v>87.955126112699105</v>
      </c>
      <c r="AK4715">
        <v>171.16720230672399</v>
      </c>
      <c r="AL4715">
        <v>92.780175854350304</v>
      </c>
      <c r="AM4715">
        <v>90.439690348392105</v>
      </c>
      <c r="AN4715">
        <v>0.99999993118179997</v>
      </c>
    </row>
    <row r="4716" spans="1:40" x14ac:dyDescent="0.25">
      <c r="A4716" t="str">
        <f>"20190303153903258"</f>
        <v>20190303153903258</v>
      </c>
      <c r="B4716" t="str">
        <f>"1551598743252942"</f>
        <v>1551598743252942</v>
      </c>
      <c r="C4716" t="s">
        <v>40</v>
      </c>
      <c r="D4716">
        <v>4.1888019999999999</v>
      </c>
      <c r="E4716">
        <v>0.51644230000000002</v>
      </c>
      <c r="F4716" t="s">
        <v>67</v>
      </c>
      <c r="G4716">
        <v>-107.39749999999999</v>
      </c>
      <c r="H4716">
        <v>1.6293219999999999</v>
      </c>
      <c r="I4716">
        <v>210.0411</v>
      </c>
      <c r="J4716">
        <v>-278.23200000000003</v>
      </c>
      <c r="K4716">
        <v>1.1208209999999901</v>
      </c>
      <c r="L4716">
        <v>215.51230000000001</v>
      </c>
      <c r="M4716">
        <v>0.99994159999999999</v>
      </c>
      <c r="N4716">
        <v>-1.009405E-2</v>
      </c>
      <c r="O4716">
        <v>3.878617E-3</v>
      </c>
      <c r="P4716">
        <v>0.99825390000000003</v>
      </c>
      <c r="Q4716">
        <v>-5.8105740000000003E-2</v>
      </c>
      <c r="R4716">
        <v>1.061993E-2</v>
      </c>
      <c r="S4716">
        <v>3.0069270000000001</v>
      </c>
      <c r="T4716">
        <v>8.9392659999999995E-3</v>
      </c>
      <c r="U4716">
        <v>-9.6145629999999996E-2</v>
      </c>
      <c r="V4716">
        <v>-6.7439969999999998E-3</v>
      </c>
      <c r="W4716">
        <v>-4.8026609999999997E-2</v>
      </c>
      <c r="X4716">
        <v>0.99882329999999997</v>
      </c>
      <c r="Y4716">
        <v>3.5835020000000002E-2</v>
      </c>
      <c r="Z4716" s="1">
        <v>-7.6988030000000004E-5</v>
      </c>
      <c r="AA4716">
        <v>0.99935770000000002</v>
      </c>
      <c r="AB4716">
        <v>30</v>
      </c>
      <c r="AC4716">
        <v>170.83449999999999</v>
      </c>
      <c r="AD4716">
        <v>0.50850099999999998</v>
      </c>
      <c r="AE4716">
        <v>-5.4711999999999996</v>
      </c>
      <c r="AF4716">
        <v>6.1337398623830302</v>
      </c>
      <c r="AG4716">
        <v>0.50850099999999998</v>
      </c>
      <c r="AH4716">
        <v>170.810481280635</v>
      </c>
      <c r="AI4716">
        <v>89.829541440169606</v>
      </c>
      <c r="AJ4716">
        <v>87.943413886234893</v>
      </c>
      <c r="AK4716">
        <v>170.92133235289401</v>
      </c>
      <c r="AL4716">
        <v>92.752780960517498</v>
      </c>
      <c r="AM4716">
        <v>90.386851902076401</v>
      </c>
      <c r="AN4716">
        <v>1.0000000106932501</v>
      </c>
    </row>
    <row r="4717" spans="1:40" x14ac:dyDescent="0.25">
      <c r="A4717" t="str">
        <f>"20190303153903283"</f>
        <v>20190303153903283</v>
      </c>
      <c r="B4717" t="str">
        <f>"1551598743273438"</f>
        <v>1551598743273438</v>
      </c>
      <c r="C4717" t="s">
        <v>40</v>
      </c>
      <c r="D4717">
        <v>4.1943099999999998</v>
      </c>
      <c r="E4717">
        <v>0.51619799999999905</v>
      </c>
      <c r="F4717" t="s">
        <v>67</v>
      </c>
      <c r="G4717">
        <v>-107.39749999999999</v>
      </c>
      <c r="H4717">
        <v>1.5147170000000001</v>
      </c>
      <c r="I4717">
        <v>210.00960000000001</v>
      </c>
      <c r="J4717">
        <v>-277.9144</v>
      </c>
      <c r="K4717">
        <v>1.1208720000000001</v>
      </c>
      <c r="L4717">
        <v>215.5137</v>
      </c>
      <c r="M4717">
        <v>0.99993609999999999</v>
      </c>
      <c r="N4717">
        <v>-1.0607770000000001E-2</v>
      </c>
      <c r="O4717">
        <v>3.9414089999999999E-3</v>
      </c>
      <c r="P4717">
        <v>0.99825450000000004</v>
      </c>
      <c r="Q4717">
        <v>-5.8144910000000001E-2</v>
      </c>
      <c r="R4717">
        <v>1.0358859999999999E-2</v>
      </c>
      <c r="S4717">
        <v>3.0066830000000002</v>
      </c>
      <c r="T4717">
        <v>6.9334510000000002E-3</v>
      </c>
      <c r="U4717">
        <v>-9.6847530000000001E-2</v>
      </c>
      <c r="V4717">
        <v>-6.4197990000000003E-3</v>
      </c>
      <c r="W4717">
        <v>-4.75526E-2</v>
      </c>
      <c r="X4717">
        <v>0.99884810000000002</v>
      </c>
      <c r="Y4717">
        <v>3.6133409999999998E-2</v>
      </c>
      <c r="Z4717" s="1">
        <v>-9.9164719999999997E-5</v>
      </c>
      <c r="AA4717">
        <v>0.99934699999999999</v>
      </c>
      <c r="AB4717">
        <v>30</v>
      </c>
      <c r="AC4717">
        <v>170.51689999999999</v>
      </c>
      <c r="AD4717">
        <v>0.393845</v>
      </c>
      <c r="AE4717">
        <v>-5.5040999999999896</v>
      </c>
      <c r="AF4717">
        <v>6.1761389003231901</v>
      </c>
      <c r="AG4717">
        <v>0.393845</v>
      </c>
      <c r="AH4717">
        <v>170.49297165987701</v>
      </c>
      <c r="AI4717">
        <v>89.867731645989707</v>
      </c>
      <c r="AJ4717">
        <v>87.925357144199296</v>
      </c>
      <c r="AK4717">
        <v>170.605255461301</v>
      </c>
      <c r="AL4717">
        <v>92.725591163828895</v>
      </c>
      <c r="AM4717">
        <v>90.368246506446397</v>
      </c>
      <c r="AN4717">
        <v>0.999999995229785</v>
      </c>
    </row>
    <row r="4718" spans="1:40" x14ac:dyDescent="0.25">
      <c r="A4718" t="str">
        <f>"20190303153903302"</f>
        <v>20190303153903302</v>
      </c>
      <c r="B4718" t="str">
        <f>"1551598743292958"</f>
        <v>1551598743292958</v>
      </c>
      <c r="C4718" t="s">
        <v>40</v>
      </c>
      <c r="D4718">
        <v>4.2197009999999997</v>
      </c>
      <c r="E4718">
        <v>0.51593690000000003</v>
      </c>
      <c r="F4718" t="s">
        <v>67</v>
      </c>
      <c r="G4718">
        <v>-107.39749999999999</v>
      </c>
      <c r="H4718">
        <v>1.389375</v>
      </c>
      <c r="I4718">
        <v>210.0831</v>
      </c>
      <c r="J4718">
        <v>-277.63459999999998</v>
      </c>
      <c r="K4718">
        <v>1.120908</v>
      </c>
      <c r="L4718">
        <v>215.51480000000001</v>
      </c>
      <c r="M4718">
        <v>0.99993120000000002</v>
      </c>
      <c r="N4718">
        <v>-1.1023440000000001E-2</v>
      </c>
      <c r="O4718">
        <v>3.9962089999999997E-3</v>
      </c>
      <c r="P4718">
        <v>0.99819959999999996</v>
      </c>
      <c r="Q4718">
        <v>-5.9087489999999999E-2</v>
      </c>
      <c r="R4718">
        <v>1.029122E-2</v>
      </c>
      <c r="S4718">
        <v>3.0064700000000002</v>
      </c>
      <c r="T4718">
        <v>4.7349929999999998E-3</v>
      </c>
      <c r="U4718">
        <v>-9.5748899999999998E-2</v>
      </c>
      <c r="V4718">
        <v>-6.2981850000000004E-3</v>
      </c>
      <c r="W4718">
        <v>-4.8080489999999997E-2</v>
      </c>
      <c r="X4718">
        <v>0.99882360000000003</v>
      </c>
      <c r="Y4718">
        <v>3.5825599999999999E-2</v>
      </c>
      <c r="Z4718">
        <v>-1.189782E-4</v>
      </c>
      <c r="AA4718">
        <v>0.99935810000000003</v>
      </c>
      <c r="AB4718">
        <v>30</v>
      </c>
      <c r="AC4718">
        <v>170.2371</v>
      </c>
      <c r="AD4718">
        <v>0.26846700000000001</v>
      </c>
      <c r="AE4718">
        <v>-5.4317000000000002</v>
      </c>
      <c r="AF4718">
        <v>6.1119858443656501</v>
      </c>
      <c r="AG4718">
        <v>0.26846700000000001</v>
      </c>
      <c r="AH4718">
        <v>170.213610095712</v>
      </c>
      <c r="AI4718">
        <v>89.909689323020501</v>
      </c>
      <c r="AJ4718">
        <v>87.943521664498604</v>
      </c>
      <c r="AK4718">
        <v>170.323520123637</v>
      </c>
      <c r="AL4718">
        <v>92.755871678314506</v>
      </c>
      <c r="AM4718">
        <v>90.361279645916397</v>
      </c>
      <c r="AN4718">
        <v>0.99999999228494696</v>
      </c>
    </row>
    <row r="4719" spans="1:40" x14ac:dyDescent="0.25">
      <c r="A4719" t="str">
        <f>"20190303153903325"</f>
        <v>20190303153903325</v>
      </c>
      <c r="B4719" t="str">
        <f>"1551598743313454"</f>
        <v>1551598743313454</v>
      </c>
      <c r="C4719" t="s">
        <v>40</v>
      </c>
      <c r="D4719">
        <v>4.2184559999999998</v>
      </c>
      <c r="E4719">
        <v>0.5156442</v>
      </c>
      <c r="F4719" t="s">
        <v>67</v>
      </c>
      <c r="G4719">
        <v>-107.39749999999999</v>
      </c>
      <c r="H4719">
        <v>1.1162000000000001</v>
      </c>
      <c r="I4719">
        <v>210.19929999999999</v>
      </c>
      <c r="J4719">
        <v>-277.3417</v>
      </c>
      <c r="K4719">
        <v>1.120933</v>
      </c>
      <c r="L4719">
        <v>215.51609999999999</v>
      </c>
      <c r="M4719">
        <v>0.99992669999999995</v>
      </c>
      <c r="N4719">
        <v>-1.1419189999999999E-2</v>
      </c>
      <c r="O4719">
        <v>4.0528839999999997E-3</v>
      </c>
      <c r="P4719">
        <v>0.99815120000000002</v>
      </c>
      <c r="Q4719">
        <v>-5.9846570000000002E-2</v>
      </c>
      <c r="R4719">
        <v>1.06106E-2</v>
      </c>
      <c r="S4719">
        <v>3.0063780000000002</v>
      </c>
      <c r="T4719" s="1">
        <v>-8.2254409999999895E-5</v>
      </c>
      <c r="U4719">
        <v>-9.3872070000000002E-2</v>
      </c>
      <c r="V4719">
        <v>-6.5604979999999997E-3</v>
      </c>
      <c r="W4719">
        <v>-4.8444760000000003E-2</v>
      </c>
      <c r="X4719">
        <v>0.99880429999999998</v>
      </c>
      <c r="Y4719">
        <v>3.5259739999999998E-2</v>
      </c>
      <c r="Z4719">
        <v>-1.5569729999999999E-4</v>
      </c>
      <c r="AA4719">
        <v>0.99937810000000005</v>
      </c>
      <c r="AB4719">
        <v>30</v>
      </c>
      <c r="AC4719">
        <v>169.9442</v>
      </c>
      <c r="AD4719">
        <v>-4.7329999999998701E-3</v>
      </c>
      <c r="AE4719">
        <v>-5.3167999999999997</v>
      </c>
      <c r="AF4719">
        <v>6.0055652841882896</v>
      </c>
      <c r="AG4719">
        <v>-4.7329999999998701E-3</v>
      </c>
      <c r="AH4719">
        <v>169.921254164082</v>
      </c>
      <c r="AI4719">
        <v>90.001594925321399</v>
      </c>
      <c r="AJ4719">
        <v>87.975824865070194</v>
      </c>
      <c r="AK4719">
        <v>170.02734913383401</v>
      </c>
      <c r="AL4719">
        <v>92.776767189851796</v>
      </c>
      <c r="AM4719">
        <v>90.376333423229894</v>
      </c>
      <c r="AN4719">
        <v>0.99999998230197695</v>
      </c>
    </row>
    <row r="4720" spans="1:40" x14ac:dyDescent="0.25">
      <c r="A4720" t="str">
        <f>"20190303153903341"</f>
        <v>20190303153903341</v>
      </c>
      <c r="B4720" t="str">
        <f>"1551598743332975"</f>
        <v>1551598743332975</v>
      </c>
      <c r="C4720" t="s">
        <v>40</v>
      </c>
      <c r="D4720">
        <v>4.201136</v>
      </c>
      <c r="E4720">
        <v>0.51541809999999999</v>
      </c>
      <c r="F4720" t="s">
        <v>67</v>
      </c>
      <c r="G4720">
        <v>-107.39749999999999</v>
      </c>
      <c r="H4720">
        <v>0.87107780000000001</v>
      </c>
      <c r="I4720">
        <v>210.3854</v>
      </c>
      <c r="J4720">
        <v>-277.11169999999998</v>
      </c>
      <c r="K4720">
        <v>1.1209420000000001</v>
      </c>
      <c r="L4720">
        <v>215.517</v>
      </c>
      <c r="M4720">
        <v>0.99992320000000001</v>
      </c>
      <c r="N4720">
        <v>-1.169982E-2</v>
      </c>
      <c r="O4720">
        <v>4.0976959999999996E-3</v>
      </c>
      <c r="P4720">
        <v>0.99812299999999998</v>
      </c>
      <c r="Q4720">
        <v>-6.0274029999999999E-2</v>
      </c>
      <c r="R4720">
        <v>1.0846629999999999E-2</v>
      </c>
      <c r="S4720">
        <v>3.006256</v>
      </c>
      <c r="T4720">
        <v>-4.418969E-3</v>
      </c>
      <c r="U4720">
        <v>-9.0759279999999998E-2</v>
      </c>
      <c r="V4720">
        <v>-6.7523849999999996E-3</v>
      </c>
      <c r="W4720">
        <v>-4.859219E-2</v>
      </c>
      <c r="X4720">
        <v>0.99879589999999996</v>
      </c>
      <c r="Y4720">
        <v>3.4271699999999898E-2</v>
      </c>
      <c r="Z4720">
        <v>-1.8381199999999999E-4</v>
      </c>
      <c r="AA4720">
        <v>0.99941250000000004</v>
      </c>
      <c r="AB4720">
        <v>30</v>
      </c>
      <c r="AC4720">
        <v>169.71420000000001</v>
      </c>
      <c r="AD4720">
        <v>-0.24986420000000001</v>
      </c>
      <c r="AE4720">
        <v>-5.1315999999999899</v>
      </c>
      <c r="AF4720">
        <v>5.82702906468114</v>
      </c>
      <c r="AG4720">
        <v>-0.24986420000000001</v>
      </c>
      <c r="AH4720">
        <v>169.69137829792001</v>
      </c>
      <c r="AI4720">
        <v>90.084316132143002</v>
      </c>
      <c r="AJ4720">
        <v>88.033294080314505</v>
      </c>
      <c r="AK4720">
        <v>169.79157979265901</v>
      </c>
      <c r="AL4720">
        <v>92.785224154076701</v>
      </c>
      <c r="AM4720">
        <v>90.387343668693802</v>
      </c>
      <c r="AN4720">
        <v>1.0000000227444901</v>
      </c>
    </row>
    <row r="4721" spans="1:40" x14ac:dyDescent="0.25">
      <c r="A4721" t="str">
        <f>"20190303153903359"</f>
        <v>20190303153903359</v>
      </c>
      <c r="B4721" t="str">
        <f>"1551598743353474"</f>
        <v>1551598743353474</v>
      </c>
      <c r="C4721" t="s">
        <v>40</v>
      </c>
      <c r="D4721">
        <v>4.1960739999999896</v>
      </c>
      <c r="E4721">
        <v>0.51522109999999999</v>
      </c>
      <c r="F4721" t="s">
        <v>67</v>
      </c>
      <c r="G4721">
        <v>-107.39749999999999</v>
      </c>
      <c r="H4721">
        <v>0.69287189999999999</v>
      </c>
      <c r="I4721">
        <v>210.54300000000001</v>
      </c>
      <c r="J4721">
        <v>-276.88010000000003</v>
      </c>
      <c r="K4721">
        <v>1.1209549999999999</v>
      </c>
      <c r="L4721">
        <v>215.518</v>
      </c>
      <c r="M4721">
        <v>0.99992000000000003</v>
      </c>
      <c r="N4721">
        <v>-1.19583E-2</v>
      </c>
      <c r="O4721">
        <v>4.1427790000000001E-3</v>
      </c>
      <c r="P4721">
        <v>0.99811530000000004</v>
      </c>
      <c r="Q4721">
        <v>-6.0380200000000002E-2</v>
      </c>
      <c r="R4721">
        <v>1.096039E-2</v>
      </c>
      <c r="S4721">
        <v>3.0061339999999999</v>
      </c>
      <c r="T4721">
        <v>-7.5814719999999997E-3</v>
      </c>
      <c r="U4721">
        <v>-8.8104249999999995E-2</v>
      </c>
      <c r="V4721">
        <v>-6.8210170000000004E-3</v>
      </c>
      <c r="W4721">
        <v>-4.8440259999999999E-2</v>
      </c>
      <c r="X4721">
        <v>0.99880279999999999</v>
      </c>
      <c r="Y4721">
        <v>3.343583E-2</v>
      </c>
      <c r="Z4721">
        <v>-2.0303779999999999E-4</v>
      </c>
      <c r="AA4721">
        <v>0.99944080000000002</v>
      </c>
      <c r="AB4721">
        <v>30</v>
      </c>
      <c r="AC4721">
        <v>169.48259999999999</v>
      </c>
      <c r="AD4721">
        <v>-0.42808309999999999</v>
      </c>
      <c r="AE4721">
        <v>-4.9749999999999899</v>
      </c>
      <c r="AF4721">
        <v>5.6771002186198798</v>
      </c>
      <c r="AG4721">
        <v>-0.42808309999999999</v>
      </c>
      <c r="AH4721">
        <v>169.45945342202299</v>
      </c>
      <c r="AI4721">
        <v>90.144657320565898</v>
      </c>
      <c r="AJ4721">
        <v>88.081238495490496</v>
      </c>
      <c r="AK4721">
        <v>169.55506207755499</v>
      </c>
      <c r="AL4721">
        <v>92.776508981111803</v>
      </c>
      <c r="AM4721">
        <v>90.391277848495804</v>
      </c>
      <c r="AN4721">
        <v>1.00000000917481</v>
      </c>
    </row>
    <row r="4722" spans="1:40" x14ac:dyDescent="0.25">
      <c r="A4722" t="str">
        <f>"20190303153903381"</f>
        <v>20190303153903381</v>
      </c>
      <c r="B4722" t="str">
        <f>"1551598743372990"</f>
        <v>1551598743372990</v>
      </c>
      <c r="C4722" t="s">
        <v>40</v>
      </c>
      <c r="D4722">
        <v>4.1785699999999997</v>
      </c>
      <c r="E4722">
        <v>0.51503719999999997</v>
      </c>
      <c r="F4722" t="s">
        <v>67</v>
      </c>
      <c r="G4722">
        <v>-107.39749999999999</v>
      </c>
      <c r="H4722">
        <v>0.57841619999999905</v>
      </c>
      <c r="I4722">
        <v>210.65819999999999</v>
      </c>
      <c r="J4722">
        <v>-276.5745</v>
      </c>
      <c r="K4722">
        <v>1.120967</v>
      </c>
      <c r="L4722">
        <v>215.51939999999999</v>
      </c>
      <c r="M4722">
        <v>0.99991609999999997</v>
      </c>
      <c r="N4722">
        <v>-1.226383E-2</v>
      </c>
      <c r="O4722">
        <v>4.2024999999999996E-3</v>
      </c>
      <c r="P4722">
        <v>0.99813160000000001</v>
      </c>
      <c r="Q4722">
        <v>-6.0150040000000002E-2</v>
      </c>
      <c r="R4722">
        <v>1.0749710000000001E-2</v>
      </c>
      <c r="S4722">
        <v>3.0060730000000002</v>
      </c>
      <c r="T4722">
        <v>-9.6219779999999998E-3</v>
      </c>
      <c r="U4722">
        <v>-8.6196899999999896E-2</v>
      </c>
      <c r="V4722">
        <v>-6.5506669999999996E-3</v>
      </c>
      <c r="W4722">
        <v>-4.7904700000000001E-2</v>
      </c>
      <c r="X4722">
        <v>0.99883040000000001</v>
      </c>
      <c r="Y4722">
        <v>3.2862330000000002E-2</v>
      </c>
      <c r="Z4722">
        <v>-2.1606230000000001E-4</v>
      </c>
      <c r="AA4722">
        <v>0.99945989999999996</v>
      </c>
      <c r="AB4722">
        <v>30</v>
      </c>
      <c r="AC4722">
        <v>169.17699999999999</v>
      </c>
      <c r="AD4722">
        <v>-0.5425508</v>
      </c>
      <c r="AE4722">
        <v>-4.8611999999999904</v>
      </c>
      <c r="AF4722">
        <v>5.5721195232530203</v>
      </c>
      <c r="AG4722">
        <v>-0.5425508</v>
      </c>
      <c r="AH4722">
        <v>169.15333684202599</v>
      </c>
      <c r="AI4722">
        <v>90.183673067600907</v>
      </c>
      <c r="AJ4722">
        <v>88.113288604823495</v>
      </c>
      <c r="AK4722">
        <v>169.24595783103399</v>
      </c>
      <c r="AL4722">
        <v>92.745788095618593</v>
      </c>
      <c r="AM4722">
        <v>90.375759679613793</v>
      </c>
      <c r="AN4722">
        <v>0.99999996974219696</v>
      </c>
    </row>
    <row r="4723" spans="1:40" x14ac:dyDescent="0.25">
      <c r="A4723" t="str">
        <f>"20190303153903399"</f>
        <v>20190303153903399</v>
      </c>
      <c r="B4723" t="str">
        <f>"1551598743393487"</f>
        <v>1551598743393487</v>
      </c>
      <c r="C4723" t="s">
        <v>40</v>
      </c>
      <c r="D4723">
        <v>4.1507500000000004</v>
      </c>
      <c r="E4723">
        <v>0.51474330000000001</v>
      </c>
      <c r="F4723" t="s">
        <v>67</v>
      </c>
      <c r="G4723">
        <v>-107.39749999999999</v>
      </c>
      <c r="H4723">
        <v>0.54145339999999997</v>
      </c>
      <c r="I4723">
        <v>210.71100000000001</v>
      </c>
      <c r="J4723">
        <v>-276.34739999999999</v>
      </c>
      <c r="K4723">
        <v>1.1209739999999999</v>
      </c>
      <c r="L4723">
        <v>215.5204</v>
      </c>
      <c r="M4723">
        <v>0.9999133</v>
      </c>
      <c r="N4723">
        <v>-1.246599E-2</v>
      </c>
      <c r="O4723">
        <v>4.2469650000000001E-3</v>
      </c>
      <c r="P4723">
        <v>0.99813839999999998</v>
      </c>
      <c r="Q4723">
        <v>-6.0080450000000001E-2</v>
      </c>
      <c r="R4723">
        <v>1.050305E-2</v>
      </c>
      <c r="S4723">
        <v>3.0059200000000001</v>
      </c>
      <c r="T4723">
        <v>-1.029587E-2</v>
      </c>
      <c r="U4723">
        <v>-8.5433960000000003E-2</v>
      </c>
      <c r="V4723">
        <v>-6.2597410000000001E-3</v>
      </c>
      <c r="W4723">
        <v>-4.7633090000000003E-2</v>
      </c>
      <c r="X4723">
        <v>0.99884530000000005</v>
      </c>
      <c r="Y4723">
        <v>3.2654679999999998E-2</v>
      </c>
      <c r="Z4723">
        <v>-2.2111130000000001E-4</v>
      </c>
      <c r="AA4723">
        <v>0.99946670000000004</v>
      </c>
      <c r="AB4723">
        <v>30</v>
      </c>
      <c r="AC4723">
        <v>168.94990000000001</v>
      </c>
      <c r="AD4723">
        <v>-0.57952059999999905</v>
      </c>
      <c r="AE4723">
        <v>-4.8094000000000099</v>
      </c>
      <c r="AF4723">
        <v>5.5268716990270796</v>
      </c>
      <c r="AG4723">
        <v>-0.57952059999999905</v>
      </c>
      <c r="AH4723">
        <v>168.92596322408599</v>
      </c>
      <c r="AI4723">
        <v>90.1964540941633</v>
      </c>
      <c r="AJ4723">
        <v>88.126081408725895</v>
      </c>
      <c r="AK4723">
        <v>169.01734587339999</v>
      </c>
      <c r="AL4723">
        <v>92.730208080422699</v>
      </c>
      <c r="AM4723">
        <v>90.359066659111605</v>
      </c>
      <c r="AN4723">
        <v>1.00000001447621</v>
      </c>
    </row>
    <row r="4724" spans="1:40" x14ac:dyDescent="0.25">
      <c r="A4724" t="str">
        <f>"20190303153903413"</f>
        <v>20190303153903413</v>
      </c>
      <c r="B4724" t="str">
        <f>"1551598743403247"</f>
        <v>1551598743403247</v>
      </c>
      <c r="C4724" t="s">
        <v>40</v>
      </c>
      <c r="D4724">
        <v>4.2415690000000001</v>
      </c>
      <c r="E4724">
        <v>0.51447219999999905</v>
      </c>
      <c r="F4724" t="s">
        <v>67</v>
      </c>
      <c r="G4724">
        <v>-107.39749999999999</v>
      </c>
      <c r="H4724">
        <v>0.49728729999999899</v>
      </c>
      <c r="I4724">
        <v>210.81180000000001</v>
      </c>
      <c r="J4724">
        <v>-276.14249999999998</v>
      </c>
      <c r="K4724">
        <v>1.1209769999999999</v>
      </c>
      <c r="L4724">
        <v>215.5213</v>
      </c>
      <c r="M4724">
        <v>0.99991110000000005</v>
      </c>
      <c r="N4724">
        <v>-1.263265E-2</v>
      </c>
      <c r="O4724">
        <v>4.2871619999999997E-3</v>
      </c>
      <c r="P4724">
        <v>0.99813280000000004</v>
      </c>
      <c r="Q4724">
        <v>-6.0295899999999999E-2</v>
      </c>
      <c r="R4724">
        <v>9.7842380000000007E-3</v>
      </c>
      <c r="S4724">
        <v>3.005798</v>
      </c>
      <c r="T4724">
        <v>-1.109517E-2</v>
      </c>
      <c r="U4724">
        <v>-8.3770750000000005E-2</v>
      </c>
      <c r="V4724">
        <v>-5.5005260000000004E-3</v>
      </c>
      <c r="W4724">
        <v>-4.768207E-2</v>
      </c>
      <c r="X4724">
        <v>0.99884740000000005</v>
      </c>
      <c r="Y4724">
        <v>3.2143339999999999E-2</v>
      </c>
      <c r="Z4724">
        <v>-2.2406379999999999E-4</v>
      </c>
      <c r="AA4724">
        <v>0.99948320000000002</v>
      </c>
      <c r="AB4724">
        <v>30</v>
      </c>
      <c r="AC4724">
        <v>168.745</v>
      </c>
      <c r="AD4724">
        <v>-0.62368970000000001</v>
      </c>
      <c r="AE4724">
        <v>-4.7094999999999896</v>
      </c>
      <c r="AF4724">
        <v>5.4328773746064796</v>
      </c>
      <c r="AG4724">
        <v>-0.62368970000000001</v>
      </c>
      <c r="AH4724">
        <v>168.720953935566</v>
      </c>
      <c r="AI4724">
        <v>90.211687478805999</v>
      </c>
      <c r="AJ4724">
        <v>88.1556918777801</v>
      </c>
      <c r="AK4724">
        <v>168.809553764996</v>
      </c>
      <c r="AL4724">
        <v>92.733017708779101</v>
      </c>
      <c r="AM4724">
        <v>90.3155174045406</v>
      </c>
      <c r="AN4724">
        <v>0.99999998203625995</v>
      </c>
    </row>
    <row r="4725" spans="1:40" x14ac:dyDescent="0.25">
      <c r="A4725" t="str">
        <f>"20190303153903431"</f>
        <v>20190303153903431</v>
      </c>
      <c r="B4725" t="str">
        <f>"1551598743422766"</f>
        <v>1551598743422766</v>
      </c>
      <c r="C4725" t="s">
        <v>40</v>
      </c>
      <c r="D4725">
        <v>4.2212889999999996</v>
      </c>
      <c r="E4725">
        <v>0.51394759999999995</v>
      </c>
      <c r="F4725" t="s">
        <v>67</v>
      </c>
      <c r="G4725">
        <v>-107.39749999999999</v>
      </c>
      <c r="H4725">
        <v>0.36406440000000001</v>
      </c>
      <c r="I4725">
        <v>210.80869999999999</v>
      </c>
      <c r="J4725">
        <v>-275.91500000000002</v>
      </c>
      <c r="K4725">
        <v>1.120981</v>
      </c>
      <c r="L4725">
        <v>215.5223</v>
      </c>
      <c r="M4725">
        <v>0.99990869999999998</v>
      </c>
      <c r="N4725">
        <v>-1.280065E-2</v>
      </c>
      <c r="O4725">
        <v>4.3318080000000004E-3</v>
      </c>
      <c r="P4725">
        <v>0.99813209999999997</v>
      </c>
      <c r="Q4725">
        <v>-6.0335380000000001E-2</v>
      </c>
      <c r="R4725">
        <v>9.5933960000000006E-3</v>
      </c>
      <c r="S4725">
        <v>3.0056150000000001</v>
      </c>
      <c r="T4725">
        <v>-1.3480900000000001E-2</v>
      </c>
      <c r="U4725">
        <v>-8.3938600000000002E-2</v>
      </c>
      <c r="V4725">
        <v>-5.2647960000000004E-3</v>
      </c>
      <c r="W4725">
        <v>-4.7553720000000001E-2</v>
      </c>
      <c r="X4725">
        <v>0.99885480000000004</v>
      </c>
      <c r="Y4725">
        <v>3.224519E-2</v>
      </c>
      <c r="Z4725">
        <v>-2.4271589999999999E-4</v>
      </c>
      <c r="AA4725">
        <v>0.99947989999999998</v>
      </c>
      <c r="AB4725">
        <v>30</v>
      </c>
      <c r="AC4725">
        <v>168.51750000000001</v>
      </c>
      <c r="AD4725">
        <v>-0.75691660000000005</v>
      </c>
      <c r="AE4725">
        <v>-4.7136000000000102</v>
      </c>
      <c r="AF4725">
        <v>5.4434912912326103</v>
      </c>
      <c r="AG4725">
        <v>-0.75691660000000005</v>
      </c>
      <c r="AH4725">
        <v>168.49210196012399</v>
      </c>
      <c r="AI4725">
        <v>90.257253721883899</v>
      </c>
      <c r="AJ4725">
        <v>88.149583097348497</v>
      </c>
      <c r="AK4725">
        <v>168.581709989898</v>
      </c>
      <c r="AL4725">
        <v>92.725655414073401</v>
      </c>
      <c r="AM4725">
        <v>90.3019936405084</v>
      </c>
      <c r="AN4725">
        <v>0.99999999292289998</v>
      </c>
    </row>
    <row r="4726" spans="1:40" x14ac:dyDescent="0.25">
      <c r="A4726" t="str">
        <f>"20190303153903444"</f>
        <v>20190303153903444</v>
      </c>
      <c r="B4726" t="str">
        <f>"1551598743433503"</f>
        <v>1551598743433503</v>
      </c>
      <c r="C4726" t="s">
        <v>40</v>
      </c>
      <c r="D4726">
        <v>4.2162839999999999</v>
      </c>
      <c r="E4726">
        <v>0.51369419999999999</v>
      </c>
      <c r="F4726" t="s">
        <v>67</v>
      </c>
      <c r="G4726">
        <v>-107.39749999999999</v>
      </c>
      <c r="H4726">
        <v>0.17266099999999901</v>
      </c>
      <c r="I4726">
        <v>211.02780000000001</v>
      </c>
      <c r="J4726">
        <v>-275.7285</v>
      </c>
      <c r="K4726">
        <v>1.120984</v>
      </c>
      <c r="L4726">
        <v>215.5231</v>
      </c>
      <c r="M4726">
        <v>0.99990710000000005</v>
      </c>
      <c r="N4726">
        <v>-1.2923779999999999E-2</v>
      </c>
      <c r="O4726">
        <v>4.3682069999999998E-3</v>
      </c>
      <c r="P4726">
        <v>0.99812350000000005</v>
      </c>
      <c r="Q4726">
        <v>-6.0511719999999998E-2</v>
      </c>
      <c r="R4726">
        <v>9.3982340000000001E-3</v>
      </c>
      <c r="S4726">
        <v>3.0053100000000001</v>
      </c>
      <c r="T4726">
        <v>-1.6911269999999999E-2</v>
      </c>
      <c r="U4726">
        <v>-8.0154420000000004E-2</v>
      </c>
      <c r="V4726">
        <v>-5.0342579999999998E-3</v>
      </c>
      <c r="W4726">
        <v>-4.7607150000000001E-2</v>
      </c>
      <c r="X4726">
        <v>0.9988534</v>
      </c>
      <c r="Y4726">
        <v>3.1026479999999999E-2</v>
      </c>
      <c r="Z4726">
        <v>-2.5594799999999998E-4</v>
      </c>
      <c r="AA4726">
        <v>0.99951849999999998</v>
      </c>
      <c r="AB4726">
        <v>30</v>
      </c>
      <c r="AC4726">
        <v>168.33099999999999</v>
      </c>
      <c r="AD4726">
        <v>-0.94832299999999903</v>
      </c>
      <c r="AE4726">
        <v>-4.4952999999999799</v>
      </c>
      <c r="AF4726">
        <v>5.2304571684824097</v>
      </c>
      <c r="AG4726">
        <v>-0.94832299999999903</v>
      </c>
      <c r="AH4726">
        <v>168.30441780725101</v>
      </c>
      <c r="AI4726">
        <v>90.322677875309694</v>
      </c>
      <c r="AJ4726">
        <v>88.219971274510399</v>
      </c>
      <c r="AK4726">
        <v>168.38834298175601</v>
      </c>
      <c r="AL4726">
        <v>92.7287203170781</v>
      </c>
      <c r="AM4726">
        <v>90.288770398226106</v>
      </c>
      <c r="AN4726">
        <v>0.99999994958814498</v>
      </c>
    </row>
    <row r="4727" spans="1:40" x14ac:dyDescent="0.25">
      <c r="A4727" t="str">
        <f>"20190303153903460"</f>
        <v>20190303153903460</v>
      </c>
      <c r="B4727" t="str">
        <f>"1551598743453022"</f>
        <v>1551598743453022</v>
      </c>
      <c r="C4727" t="s">
        <v>40</v>
      </c>
      <c r="D4727">
        <v>4.1991209999999999</v>
      </c>
      <c r="E4727">
        <v>0.51323920000000001</v>
      </c>
      <c r="F4727" t="s">
        <v>43</v>
      </c>
      <c r="G4727">
        <v>-93.907749999999993</v>
      </c>
      <c r="H4727">
        <v>-0.05</v>
      </c>
      <c r="I4727">
        <v>210.75399999999999</v>
      </c>
      <c r="J4727">
        <v>-275.52800000000002</v>
      </c>
      <c r="K4727">
        <v>1.1209830000000001</v>
      </c>
      <c r="L4727">
        <v>215.5241</v>
      </c>
      <c r="M4727">
        <v>0.99990520000000005</v>
      </c>
      <c r="N4727">
        <v>-1.3045050000000001E-2</v>
      </c>
      <c r="O4727">
        <v>4.4078279999999999E-3</v>
      </c>
      <c r="P4727">
        <v>0.99812979999999996</v>
      </c>
      <c r="Q4727">
        <v>-6.0494800000000001E-2</v>
      </c>
      <c r="R4727">
        <v>8.7923610000000003E-3</v>
      </c>
      <c r="S4727">
        <v>3.0052189999999999</v>
      </c>
      <c r="T4727">
        <v>-1.935458E-2</v>
      </c>
      <c r="U4727">
        <v>-7.8826899999999894E-2</v>
      </c>
      <c r="V4727">
        <v>-4.388912E-3</v>
      </c>
      <c r="W4727">
        <v>-4.7468990000000003E-2</v>
      </c>
      <c r="X4727">
        <v>0.99886299999999995</v>
      </c>
      <c r="Y4727">
        <v>3.0625409999999999E-2</v>
      </c>
      <c r="Z4727">
        <v>-2.692951E-4</v>
      </c>
      <c r="AA4727">
        <v>0.9995309</v>
      </c>
      <c r="AB4727">
        <v>30</v>
      </c>
      <c r="AC4727">
        <v>181.62025</v>
      </c>
      <c r="AD4727">
        <v>-1.1709829999999899</v>
      </c>
      <c r="AE4727">
        <v>-4.7700999999999798</v>
      </c>
      <c r="AF4727">
        <v>5.5704411968945697</v>
      </c>
      <c r="AG4727">
        <v>-1.1709829999999899</v>
      </c>
      <c r="AH4727">
        <v>181.58991441554201</v>
      </c>
      <c r="AI4727">
        <v>90.369293141694698</v>
      </c>
      <c r="AJ4727">
        <v>88.242949141814805</v>
      </c>
      <c r="AK4727">
        <v>181.67910731220101</v>
      </c>
      <c r="AL4727">
        <v>92.720795424931595</v>
      </c>
      <c r="AM4727">
        <v>90.251750756579099</v>
      </c>
      <c r="AN4727">
        <v>0.999999930164579</v>
      </c>
    </row>
    <row r="4728" spans="1:40" x14ac:dyDescent="0.25">
      <c r="A4728" t="str">
        <f>"20190303153903483"</f>
        <v>20190303153903483</v>
      </c>
      <c r="B4728" t="str">
        <f>"1551598743473518"</f>
        <v>1551598743473518</v>
      </c>
      <c r="C4728" t="s">
        <v>40</v>
      </c>
      <c r="D4728">
        <v>4.1253599999999997</v>
      </c>
      <c r="E4728">
        <v>0.51286189999999998</v>
      </c>
      <c r="F4728" t="s">
        <v>43</v>
      </c>
      <c r="G4728">
        <v>-119.8164</v>
      </c>
      <c r="H4728">
        <v>-0.05</v>
      </c>
      <c r="I4728">
        <v>211.53270000000001</v>
      </c>
      <c r="J4728">
        <v>-275.22469999999998</v>
      </c>
      <c r="K4728">
        <v>1.120992</v>
      </c>
      <c r="L4728">
        <v>215.52549999999999</v>
      </c>
      <c r="M4728">
        <v>0.99990279999999998</v>
      </c>
      <c r="N4728">
        <v>-1.3209169999999999E-2</v>
      </c>
      <c r="O4728">
        <v>4.4672459999999898E-3</v>
      </c>
      <c r="P4728">
        <v>0.99814360000000002</v>
      </c>
      <c r="Q4728">
        <v>-6.0349380000000001E-2</v>
      </c>
      <c r="R4728">
        <v>8.227392E-3</v>
      </c>
      <c r="S4728">
        <v>3.0049440000000001</v>
      </c>
      <c r="T4728">
        <v>-2.259779E-2</v>
      </c>
      <c r="U4728">
        <v>-7.7026369999999997E-2</v>
      </c>
      <c r="V4728">
        <v>-3.7640680000000002E-3</v>
      </c>
      <c r="W4728">
        <v>-4.7159430000000002E-2</v>
      </c>
      <c r="X4728">
        <v>0.99888030000000005</v>
      </c>
      <c r="Y4728">
        <v>3.008829E-2</v>
      </c>
      <c r="Z4728">
        <v>-2.8647219999999998E-4</v>
      </c>
      <c r="AA4728">
        <v>0.99954719999999997</v>
      </c>
      <c r="AB4728">
        <v>30</v>
      </c>
      <c r="AC4728">
        <v>155.4083</v>
      </c>
      <c r="AD4728">
        <v>-1.170992</v>
      </c>
      <c r="AE4728">
        <v>-3.9927999999999799</v>
      </c>
      <c r="AF4728">
        <v>4.68680189777462</v>
      </c>
      <c r="AG4728">
        <v>-1.170992</v>
      </c>
      <c r="AH4728">
        <v>155.38009472759299</v>
      </c>
      <c r="AI4728">
        <v>90.431594086920498</v>
      </c>
      <c r="AJ4728">
        <v>88.272284667083795</v>
      </c>
      <c r="AK4728">
        <v>155.455174155924</v>
      </c>
      <c r="AL4728">
        <v>92.703038821379096</v>
      </c>
      <c r="AM4728">
        <v>90.215905939274506</v>
      </c>
      <c r="AN4728">
        <v>1.0000000168869601</v>
      </c>
    </row>
    <row r="4729" spans="1:40" x14ac:dyDescent="0.25">
      <c r="A4729" t="str">
        <f>"20190303153903515"</f>
        <v>20190303153903515</v>
      </c>
      <c r="B4729" t="str">
        <f>"1551598743503775"</f>
        <v>1551598743503775</v>
      </c>
      <c r="C4729" t="s">
        <v>40</v>
      </c>
      <c r="D4729">
        <v>4.0879289999999999</v>
      </c>
      <c r="E4729">
        <v>0.51241700000000001</v>
      </c>
      <c r="F4729" t="s">
        <v>43</v>
      </c>
      <c r="G4729">
        <v>-127.8177</v>
      </c>
      <c r="H4729">
        <v>-0.05</v>
      </c>
      <c r="I4729">
        <v>211.81180000000001</v>
      </c>
      <c r="J4729">
        <v>-274.79750000000001</v>
      </c>
      <c r="K4729">
        <v>1.120994</v>
      </c>
      <c r="L4729">
        <v>215.5275</v>
      </c>
      <c r="M4729">
        <v>0.99989989999999995</v>
      </c>
      <c r="N4729">
        <v>-1.340292E-2</v>
      </c>
      <c r="O4729">
        <v>4.5510680000000001E-3</v>
      </c>
      <c r="P4729">
        <v>0.99811110000000003</v>
      </c>
      <c r="Q4729">
        <v>-6.0860480000000002E-2</v>
      </c>
      <c r="R4729">
        <v>8.3989540000000001E-3</v>
      </c>
      <c r="S4729">
        <v>3.0047299999999999</v>
      </c>
      <c r="T4729">
        <v>-2.3869399999999999E-2</v>
      </c>
      <c r="U4729">
        <v>-7.5698849999999998E-2</v>
      </c>
      <c r="V4729">
        <v>-3.852126E-3</v>
      </c>
      <c r="W4729">
        <v>-4.7477360000000003E-2</v>
      </c>
      <c r="X4729">
        <v>0.99886490000000006</v>
      </c>
      <c r="Y4729">
        <v>2.9732419999999999E-2</v>
      </c>
      <c r="Z4729">
        <v>-2.9253219999999998E-4</v>
      </c>
      <c r="AA4729">
        <v>0.9995579</v>
      </c>
      <c r="AB4729">
        <v>30</v>
      </c>
      <c r="AC4729">
        <v>146.97980000000001</v>
      </c>
      <c r="AD4729">
        <v>-1.1709940000000001</v>
      </c>
      <c r="AE4729">
        <v>-3.7156999999999898</v>
      </c>
      <c r="AF4729">
        <v>4.3843584990358204</v>
      </c>
      <c r="AG4729">
        <v>-1.1709940000000001</v>
      </c>
      <c r="AH4729">
        <v>146.95204402153601</v>
      </c>
      <c r="AI4729">
        <v>90.456351287959606</v>
      </c>
      <c r="AJ4729">
        <v>88.291070104237093</v>
      </c>
      <c r="AK4729">
        <v>147.022097211622</v>
      </c>
      <c r="AL4729">
        <v>92.721275304951106</v>
      </c>
      <c r="AM4729">
        <v>90.220960279794497</v>
      </c>
      <c r="AN4729">
        <v>1.0000000135196401</v>
      </c>
    </row>
    <row r="4730" spans="1:40" x14ac:dyDescent="0.25">
      <c r="A4730" t="str">
        <f>"20190303153903536"</f>
        <v>20190303153903536</v>
      </c>
      <c r="B4730" t="str">
        <f>"1551598743533055"</f>
        <v>1551598743533055</v>
      </c>
      <c r="C4730" t="s">
        <v>40</v>
      </c>
      <c r="D4730">
        <v>4.0948039999999999</v>
      </c>
      <c r="E4730">
        <v>0.51200000000000001</v>
      </c>
      <c r="F4730" t="s">
        <v>43</v>
      </c>
      <c r="G4730">
        <v>-142.01429999999999</v>
      </c>
      <c r="H4730">
        <v>-0.05</v>
      </c>
      <c r="I4730">
        <v>212.3528</v>
      </c>
      <c r="J4730">
        <v>-274.50229999999999</v>
      </c>
      <c r="K4730">
        <v>1.1210059999999999</v>
      </c>
      <c r="L4730">
        <v>215.52889999999999</v>
      </c>
      <c r="M4730">
        <v>0.99989810000000001</v>
      </c>
      <c r="N4730">
        <v>-1.3514470000000001E-2</v>
      </c>
      <c r="O4730">
        <v>4.6092009999999899E-3</v>
      </c>
      <c r="P4730">
        <v>0.99809939999999997</v>
      </c>
      <c r="Q4730">
        <v>-6.1005240000000002E-2</v>
      </c>
      <c r="R4730">
        <v>8.7002629999999997E-3</v>
      </c>
      <c r="S4730">
        <v>3.0047000000000001</v>
      </c>
      <c r="T4730">
        <v>-2.6497960000000001E-2</v>
      </c>
      <c r="U4730">
        <v>-7.1838379999999993E-2</v>
      </c>
      <c r="V4730">
        <v>-4.0955059999999996E-3</v>
      </c>
      <c r="W4730">
        <v>-4.7510810000000001E-2</v>
      </c>
      <c r="X4730">
        <v>0.99886229999999998</v>
      </c>
      <c r="Y4730">
        <v>2.8507040000000001E-2</v>
      </c>
      <c r="Z4730">
        <v>-2.967105E-4</v>
      </c>
      <c r="AA4730">
        <v>0.99959359999999997</v>
      </c>
      <c r="AB4730">
        <v>30</v>
      </c>
      <c r="AC4730">
        <v>132.488</v>
      </c>
      <c r="AD4730">
        <v>-1.171006</v>
      </c>
      <c r="AE4730">
        <v>-3.1760999999999902</v>
      </c>
      <c r="AF4730">
        <v>3.7864901897560999</v>
      </c>
      <c r="AG4730">
        <v>-1.171006</v>
      </c>
      <c r="AH4730">
        <v>132.461609752789</v>
      </c>
      <c r="AI4730">
        <v>90.506294318772106</v>
      </c>
      <c r="AJ4730">
        <v>88.362613560462293</v>
      </c>
      <c r="AK4730">
        <v>132.52089201823699</v>
      </c>
      <c r="AL4730">
        <v>92.723194126313302</v>
      </c>
      <c r="AM4730">
        <v>90.234921163630702</v>
      </c>
      <c r="AN4730">
        <v>0.99999997229877002</v>
      </c>
    </row>
    <row r="4731" spans="1:40" x14ac:dyDescent="0.25">
      <c r="A4731" t="str">
        <f>"20190303153903560"</f>
        <v>20190303153903560</v>
      </c>
      <c r="B4731" t="str">
        <f>"1551598743553554"</f>
        <v>1551598743553554</v>
      </c>
      <c r="C4731" t="s">
        <v>40</v>
      </c>
      <c r="D4731">
        <v>4.1096120000000003</v>
      </c>
      <c r="E4731">
        <v>0.51169169999999997</v>
      </c>
      <c r="F4731" t="s">
        <v>43</v>
      </c>
      <c r="G4731">
        <v>-148.99760000000001</v>
      </c>
      <c r="H4731">
        <v>-0.05</v>
      </c>
      <c r="I4731">
        <v>212.70079999999999</v>
      </c>
      <c r="J4731">
        <v>-274.20119999999997</v>
      </c>
      <c r="K4731">
        <v>1.121011</v>
      </c>
      <c r="L4731">
        <v>215.53030000000001</v>
      </c>
      <c r="M4731">
        <v>0.99989649999999997</v>
      </c>
      <c r="N4731">
        <v>-1.361273E-2</v>
      </c>
      <c r="O4731">
        <v>4.6682540000000002E-3</v>
      </c>
      <c r="P4731">
        <v>0.99808379999999997</v>
      </c>
      <c r="Q4731">
        <v>-6.124756E-2</v>
      </c>
      <c r="R4731">
        <v>8.8087559999999992E-3</v>
      </c>
      <c r="S4731">
        <v>3.004578</v>
      </c>
      <c r="T4731">
        <v>-2.8033849999999999E-2</v>
      </c>
      <c r="U4731">
        <v>-6.7703250000000006E-2</v>
      </c>
      <c r="V4731">
        <v>-4.145012E-3</v>
      </c>
      <c r="W4731">
        <v>-4.7655179999999998E-2</v>
      </c>
      <c r="X4731">
        <v>0.99885520000000005</v>
      </c>
      <c r="Y4731">
        <v>2.7191960000000001E-2</v>
      </c>
      <c r="Z4731">
        <v>-2.9196510000000002E-4</v>
      </c>
      <c r="AA4731">
        <v>0.99963020000000002</v>
      </c>
      <c r="AB4731">
        <v>30</v>
      </c>
      <c r="AC4731">
        <v>125.203599999999</v>
      </c>
      <c r="AD4731">
        <v>-1.171011</v>
      </c>
      <c r="AE4731">
        <v>-2.8295000000000199</v>
      </c>
      <c r="AF4731">
        <v>3.4137070345738398</v>
      </c>
      <c r="AG4731">
        <v>-1.171011</v>
      </c>
      <c r="AH4731">
        <v>125.178080963084</v>
      </c>
      <c r="AI4731">
        <v>90.535773497882701</v>
      </c>
      <c r="AJ4731">
        <v>88.437885140169897</v>
      </c>
      <c r="AK4731">
        <v>125.23009469005601</v>
      </c>
      <c r="AL4731">
        <v>92.731475348618403</v>
      </c>
      <c r="AM4731">
        <v>90.237762520934794</v>
      </c>
      <c r="AN4731">
        <v>0.99999995393617502</v>
      </c>
    </row>
    <row r="4732" spans="1:40" x14ac:dyDescent="0.25">
      <c r="A4732" t="str">
        <f>"20190303153903581"</f>
        <v>20190303153903581</v>
      </c>
      <c r="B4732" t="str">
        <f>"1551598743573083"</f>
        <v>1551598743573083</v>
      </c>
      <c r="C4732" t="s">
        <v>40</v>
      </c>
      <c r="D4732">
        <v>4.080152</v>
      </c>
      <c r="E4732">
        <v>0.51145079999999998</v>
      </c>
      <c r="F4732" t="s">
        <v>43</v>
      </c>
      <c r="G4732">
        <v>-156.30430000000001</v>
      </c>
      <c r="H4732">
        <v>-0.05</v>
      </c>
      <c r="I4732">
        <v>212.9802</v>
      </c>
      <c r="J4732">
        <v>-273.90120000000002</v>
      </c>
      <c r="K4732">
        <v>1.121016</v>
      </c>
      <c r="L4732">
        <v>215.5318</v>
      </c>
      <c r="M4732">
        <v>0.99989510000000004</v>
      </c>
      <c r="N4732">
        <v>-1.369693E-2</v>
      </c>
      <c r="O4732">
        <v>4.72734E-3</v>
      </c>
      <c r="P4732">
        <v>0.99803039999999998</v>
      </c>
      <c r="Q4732">
        <v>-6.2111520000000003E-2</v>
      </c>
      <c r="R4732">
        <v>8.8185219999999901E-3</v>
      </c>
      <c r="S4732">
        <v>3.0045169999999999</v>
      </c>
      <c r="T4732">
        <v>-2.9842380000000002E-2</v>
      </c>
      <c r="U4732">
        <v>-6.4987180000000005E-2</v>
      </c>
      <c r="V4732">
        <v>-4.0958000000000001E-3</v>
      </c>
      <c r="W4732">
        <v>-4.843567E-2</v>
      </c>
      <c r="X4732">
        <v>0.99881790000000004</v>
      </c>
      <c r="Y4732">
        <v>2.6348090000000001E-2</v>
      </c>
      <c r="Z4732">
        <v>-2.9351950000000001E-4</v>
      </c>
      <c r="AA4732">
        <v>0.99965280000000001</v>
      </c>
      <c r="AB4732">
        <v>30</v>
      </c>
      <c r="AC4732">
        <v>117.59690000000001</v>
      </c>
      <c r="AD4732">
        <v>-1.1710160000000001</v>
      </c>
      <c r="AE4732">
        <v>-2.5516000000000001</v>
      </c>
      <c r="AF4732">
        <v>3.10723615433808</v>
      </c>
      <c r="AG4732">
        <v>-1.1710160000000001</v>
      </c>
      <c r="AH4732">
        <v>117.57186945177899</v>
      </c>
      <c r="AI4732">
        <v>90.570448012906297</v>
      </c>
      <c r="AJ4732">
        <v>88.486116734599506</v>
      </c>
      <c r="AK4732">
        <v>117.61875140204999</v>
      </c>
      <c r="AL4732">
        <v>92.776245727885694</v>
      </c>
      <c r="AM4732">
        <v>90.2349484709694</v>
      </c>
      <c r="AN4732">
        <v>0.99999999353319902</v>
      </c>
    </row>
    <row r="4733" spans="1:40" x14ac:dyDescent="0.25">
      <c r="A4733" t="str">
        <f>"20190303153903604"</f>
        <v>20190303153903604</v>
      </c>
      <c r="B4733" t="str">
        <f>"1551598743593568"</f>
        <v>1551598743593568</v>
      </c>
      <c r="C4733" t="s">
        <v>40</v>
      </c>
      <c r="D4733">
        <v>4.0783630000000004</v>
      </c>
      <c r="E4733">
        <v>0.51120080000000001</v>
      </c>
      <c r="F4733" t="s">
        <v>51</v>
      </c>
      <c r="G4733">
        <v>-179.0307</v>
      </c>
      <c r="H4733">
        <v>7.9981869999999997E-2</v>
      </c>
      <c r="I4733">
        <v>213.53899999999999</v>
      </c>
      <c r="J4733">
        <v>-273.6114</v>
      </c>
      <c r="K4733">
        <v>1.1210209999999901</v>
      </c>
      <c r="L4733">
        <v>215.53319999999999</v>
      </c>
      <c r="M4733">
        <v>0.9998939</v>
      </c>
      <c r="N4733">
        <v>-1.376666E-2</v>
      </c>
      <c r="O4733">
        <v>4.784076E-3</v>
      </c>
      <c r="P4733">
        <v>0.99801930000000005</v>
      </c>
      <c r="Q4733">
        <v>-6.2258710000000002E-2</v>
      </c>
      <c r="R4733">
        <v>9.042151E-3</v>
      </c>
      <c r="S4733">
        <v>3.0044559999999998</v>
      </c>
      <c r="T4733">
        <v>-3.2968520000000001E-2</v>
      </c>
      <c r="U4733">
        <v>-6.3110349999999996E-2</v>
      </c>
      <c r="V4733">
        <v>-4.262956E-3</v>
      </c>
      <c r="W4733">
        <v>-4.8513319999999999E-2</v>
      </c>
      <c r="X4733">
        <v>0.99881350000000002</v>
      </c>
      <c r="Y4733">
        <v>2.578068E-2</v>
      </c>
      <c r="Z4733">
        <v>-3.0555870000000001E-4</v>
      </c>
      <c r="AA4733">
        <v>0.99966759999999999</v>
      </c>
      <c r="AB4733">
        <v>30</v>
      </c>
      <c r="AC4733">
        <v>94.580699999999993</v>
      </c>
      <c r="AD4733">
        <v>-1.0410391299999999</v>
      </c>
      <c r="AE4733">
        <v>-1.99419999999997</v>
      </c>
      <c r="AF4733">
        <v>2.4464050110982698</v>
      </c>
      <c r="AG4733">
        <v>-1.0410391299999999</v>
      </c>
      <c r="AH4733">
        <v>94.558625293366404</v>
      </c>
      <c r="AI4733">
        <v>90.630558962880698</v>
      </c>
      <c r="AJ4733">
        <v>88.517983735666405</v>
      </c>
      <c r="AK4733">
        <v>94.595995038478193</v>
      </c>
      <c r="AL4733">
        <v>92.780699792666795</v>
      </c>
      <c r="AM4733">
        <v>90.244538048378701</v>
      </c>
      <c r="AN4733">
        <v>1.0000000613967599</v>
      </c>
    </row>
    <row r="4734" spans="1:40" x14ac:dyDescent="0.25">
      <c r="A4734" t="str">
        <f>"20190303153903626"</f>
        <v>20190303153903626</v>
      </c>
      <c r="B4734" t="str">
        <f>"1551598743622847"</f>
        <v>1551598743622847</v>
      </c>
      <c r="C4734" t="s">
        <v>40</v>
      </c>
      <c r="D4734">
        <v>4.0476890000000001</v>
      </c>
      <c r="E4734">
        <v>0.51088449999999996</v>
      </c>
      <c r="F4734" t="s">
        <v>51</v>
      </c>
      <c r="G4734">
        <v>-179.9365</v>
      </c>
      <c r="H4734">
        <v>7.1166969999999996E-2</v>
      </c>
      <c r="I4734">
        <v>213.6507</v>
      </c>
      <c r="J4734">
        <v>-273.32080000000002</v>
      </c>
      <c r="K4734">
        <v>1.1210260000000001</v>
      </c>
      <c r="L4734">
        <v>215.53469999999999</v>
      </c>
      <c r="M4734">
        <v>0.99989280000000003</v>
      </c>
      <c r="N4734">
        <v>-1.382706E-2</v>
      </c>
      <c r="O4734">
        <v>4.8401540000000002E-3</v>
      </c>
      <c r="P4734">
        <v>0.99806479999999997</v>
      </c>
      <c r="Q4734">
        <v>-6.1420330000000002E-2</v>
      </c>
      <c r="R4734">
        <v>9.7043530000000006E-3</v>
      </c>
      <c r="S4734">
        <v>3.0044249999999999</v>
      </c>
      <c r="T4734">
        <v>-3.3671859999999998E-2</v>
      </c>
      <c r="U4734">
        <v>-6.037903E-2</v>
      </c>
      <c r="V4734">
        <v>-4.8689830000000003E-3</v>
      </c>
      <c r="W4734">
        <v>-4.761406E-2</v>
      </c>
      <c r="X4734">
        <v>0.99885389999999996</v>
      </c>
      <c r="Y4734">
        <v>2.4928539999999999E-2</v>
      </c>
      <c r="Z4734">
        <v>-2.9937330000000002E-4</v>
      </c>
      <c r="AA4734">
        <v>0.99968919999999994</v>
      </c>
      <c r="AB4734">
        <v>30</v>
      </c>
      <c r="AC4734">
        <v>93.384299999999996</v>
      </c>
      <c r="AD4734">
        <v>-1.0498590299999999</v>
      </c>
      <c r="AE4734">
        <v>-1.8839999999999799</v>
      </c>
      <c r="AF4734">
        <v>2.3357203908154398</v>
      </c>
      <c r="AG4734">
        <v>-1.0498590299999999</v>
      </c>
      <c r="AH4734">
        <v>93.362290901969303</v>
      </c>
      <c r="AI4734">
        <v>90.644062420110401</v>
      </c>
      <c r="AJ4734">
        <v>88.566883809842196</v>
      </c>
      <c r="AK4734">
        <v>93.397404440331599</v>
      </c>
      <c r="AL4734">
        <v>92.729116653008703</v>
      </c>
      <c r="AM4734">
        <v>90.279290061198907</v>
      </c>
      <c r="AN4734">
        <v>0.99999995962517296</v>
      </c>
    </row>
    <row r="4735" spans="1:40" x14ac:dyDescent="0.25">
      <c r="A4735" t="str">
        <f>"20190303153903649"</f>
        <v>20190303153903649</v>
      </c>
      <c r="B4735" t="str">
        <f>"1551598743642871"</f>
        <v>1551598743642871</v>
      </c>
      <c r="C4735" t="s">
        <v>40</v>
      </c>
      <c r="D4735">
        <v>4.0380989999999999</v>
      </c>
      <c r="E4735">
        <v>0.51068780000000003</v>
      </c>
      <c r="F4735" t="s">
        <v>43</v>
      </c>
      <c r="G4735">
        <v>-161.43639999999999</v>
      </c>
      <c r="H4735">
        <v>-0.05</v>
      </c>
      <c r="I4735">
        <v>213.4538</v>
      </c>
      <c r="J4735">
        <v>-273.0136</v>
      </c>
      <c r="K4735">
        <v>1.121032</v>
      </c>
      <c r="L4735">
        <v>215.53620000000001</v>
      </c>
      <c r="M4735">
        <v>0.99989170000000005</v>
      </c>
      <c r="N4735">
        <v>-1.388183E-2</v>
      </c>
      <c r="O4735">
        <v>4.8970869999999996E-3</v>
      </c>
      <c r="P4735">
        <v>0.99802009999999997</v>
      </c>
      <c r="Q4735">
        <v>-6.2074530000000003E-2</v>
      </c>
      <c r="R4735">
        <v>1.014787E-2</v>
      </c>
      <c r="S4735">
        <v>3.0044249999999999</v>
      </c>
      <c r="T4735">
        <v>-3.1445500000000001E-2</v>
      </c>
      <c r="U4735">
        <v>-5.5877690000000001E-2</v>
      </c>
      <c r="V4735">
        <v>-5.2565320000000004E-3</v>
      </c>
      <c r="W4735">
        <v>-4.8214090000000001E-2</v>
      </c>
      <c r="X4735">
        <v>0.99882320000000002</v>
      </c>
      <c r="Y4735">
        <v>2.3488720000000001E-2</v>
      </c>
      <c r="Z4735">
        <v>-2.6924410000000001E-4</v>
      </c>
      <c r="AA4735">
        <v>0.9997241</v>
      </c>
      <c r="AB4735">
        <v>30</v>
      </c>
      <c r="AC4735">
        <v>111.5772</v>
      </c>
      <c r="AD4735">
        <v>-1.1710320000000001</v>
      </c>
      <c r="AE4735">
        <v>-2.0823999999999998</v>
      </c>
      <c r="AF4735">
        <v>2.6285414748231601</v>
      </c>
      <c r="AG4735">
        <v>-1.1710320000000001</v>
      </c>
      <c r="AH4735">
        <v>111.55337978006</v>
      </c>
      <c r="AI4735">
        <v>90.601273673107201</v>
      </c>
      <c r="AJ4735">
        <v>88.650184606035197</v>
      </c>
      <c r="AK4735">
        <v>111.590488333837</v>
      </c>
      <c r="AL4735">
        <v>92.763535241077193</v>
      </c>
      <c r="AM4735">
        <v>90.301529157539505</v>
      </c>
      <c r="AN4735">
        <v>1.00000000723071</v>
      </c>
    </row>
    <row r="4736" spans="1:40" x14ac:dyDescent="0.25">
      <c r="A4736" t="str">
        <f>"20190303153903673"</f>
        <v>20190303153903673</v>
      </c>
      <c r="B4736" t="str">
        <f>"1551598743663367"</f>
        <v>1551598743663367</v>
      </c>
      <c r="C4736" t="s">
        <v>40</v>
      </c>
      <c r="D4736">
        <v>4.0400460000000002</v>
      </c>
      <c r="E4736">
        <v>0.51050079999999998</v>
      </c>
      <c r="F4736" t="s">
        <v>51</v>
      </c>
      <c r="G4736">
        <v>-179.9282</v>
      </c>
      <c r="H4736">
        <v>7.9509899999999994E-2</v>
      </c>
      <c r="I4736">
        <v>213.89760000000001</v>
      </c>
      <c r="J4736">
        <v>-272.71260000000001</v>
      </c>
      <c r="K4736">
        <v>1.1210329999999999</v>
      </c>
      <c r="L4736">
        <v>215.5378</v>
      </c>
      <c r="M4736">
        <v>0.99989090000000003</v>
      </c>
      <c r="N4736">
        <v>-1.392676E-2</v>
      </c>
      <c r="O4736">
        <v>4.9487009999999998E-3</v>
      </c>
      <c r="P4736">
        <v>0.99804349999999997</v>
      </c>
      <c r="Q4736">
        <v>-6.1653569999999998E-2</v>
      </c>
      <c r="R4736">
        <v>1.041182E-2</v>
      </c>
      <c r="S4736">
        <v>3.0043950000000001</v>
      </c>
      <c r="T4736">
        <v>-3.3615829999999999E-2</v>
      </c>
      <c r="U4736">
        <v>-5.2886959999999997E-2</v>
      </c>
      <c r="V4736">
        <v>-5.469074E-3</v>
      </c>
      <c r="W4736">
        <v>-4.7747900000000003E-2</v>
      </c>
      <c r="X4736">
        <v>0.99884439999999997</v>
      </c>
      <c r="Y4736">
        <v>2.2545490000000001E-2</v>
      </c>
      <c r="Z4736">
        <v>-2.6958679999999999E-4</v>
      </c>
      <c r="AA4736">
        <v>0.99974580000000002</v>
      </c>
      <c r="AB4736">
        <v>30</v>
      </c>
      <c r="AC4736">
        <v>92.784400000000005</v>
      </c>
      <c r="AD4736">
        <v>-1.0415231</v>
      </c>
      <c r="AE4736">
        <v>-1.6401999999999901</v>
      </c>
      <c r="AF4736">
        <v>2.0991222237343798</v>
      </c>
      <c r="AG4736">
        <v>-1.0415231</v>
      </c>
      <c r="AH4736">
        <v>92.763460987701293</v>
      </c>
      <c r="AI4736">
        <v>90.643109895629806</v>
      </c>
      <c r="AJ4736">
        <v>88.7036887103677</v>
      </c>
      <c r="AK4736">
        <v>92.793053505608896</v>
      </c>
      <c r="AL4736">
        <v>92.736793867604504</v>
      </c>
      <c r="AM4736">
        <v>90.313714254832206</v>
      </c>
      <c r="AN4736">
        <v>0.99999995406809195</v>
      </c>
    </row>
    <row r="4737" spans="1:40" x14ac:dyDescent="0.25">
      <c r="A4737" t="str">
        <f>"20190303153903693"</f>
        <v>20190303153903693</v>
      </c>
      <c r="B4737" t="str">
        <f>"1551598743682888"</f>
        <v>1551598743682888</v>
      </c>
      <c r="C4737" t="s">
        <v>40</v>
      </c>
      <c r="D4737">
        <v>4.0534460000000001</v>
      </c>
      <c r="E4737">
        <v>0.51030920000000002</v>
      </c>
      <c r="F4737" t="s">
        <v>51</v>
      </c>
      <c r="G4737">
        <v>-176.58629999999999</v>
      </c>
      <c r="H4737">
        <v>7.9982010000000006E-2</v>
      </c>
      <c r="I4737">
        <v>213.92429999999999</v>
      </c>
      <c r="J4737">
        <v>-272.4307</v>
      </c>
      <c r="K4737">
        <v>1.121041</v>
      </c>
      <c r="L4737">
        <v>215.53919999999999</v>
      </c>
      <c r="M4737">
        <v>0.99989019999999995</v>
      </c>
      <c r="N4737">
        <v>-1.3962850000000001E-2</v>
      </c>
      <c r="O4737">
        <v>4.9924280000000001E-3</v>
      </c>
      <c r="P4737">
        <v>0.99803560000000002</v>
      </c>
      <c r="Q4737">
        <v>-6.1816139999999999E-2</v>
      </c>
      <c r="R4737">
        <v>1.020415E-2</v>
      </c>
      <c r="S4737">
        <v>3.0043950000000001</v>
      </c>
      <c r="T4737">
        <v>-3.2537700000000003E-2</v>
      </c>
      <c r="U4737">
        <v>-5.0430299999999997E-2</v>
      </c>
      <c r="V4737">
        <v>-5.2180389999999998E-3</v>
      </c>
      <c r="W4737">
        <v>-4.7874449999999999E-2</v>
      </c>
      <c r="X4737">
        <v>0.9988397</v>
      </c>
      <c r="Y4737">
        <v>2.177221E-2</v>
      </c>
      <c r="Z4737">
        <v>-2.5427050000000002E-4</v>
      </c>
      <c r="AA4737">
        <v>0.99976299999999996</v>
      </c>
      <c r="AB4737">
        <v>30</v>
      </c>
      <c r="AC4737">
        <v>95.844399999999993</v>
      </c>
      <c r="AD4737">
        <v>-1.04105899</v>
      </c>
      <c r="AE4737">
        <v>-1.6149</v>
      </c>
      <c r="AF4737">
        <v>2.09317582891028</v>
      </c>
      <c r="AG4737">
        <v>-1.04105899</v>
      </c>
      <c r="AH4737">
        <v>95.823839957069495</v>
      </c>
      <c r="AI4737">
        <v>90.622305634948603</v>
      </c>
      <c r="AJ4737">
        <v>88.748630080064601</v>
      </c>
      <c r="AK4737">
        <v>95.852352568883006</v>
      </c>
      <c r="AL4737">
        <v>92.744052910493807</v>
      </c>
      <c r="AM4737">
        <v>90.299316188885797</v>
      </c>
      <c r="AN4737">
        <v>0.999999968594948</v>
      </c>
    </row>
    <row r="4738" spans="1:40" x14ac:dyDescent="0.25">
      <c r="A4738" t="str">
        <f>"20190303153903716"</f>
        <v>20190303153903716</v>
      </c>
      <c r="B4738" t="str">
        <f>"1551598743703384"</f>
        <v>1551598743703384</v>
      </c>
      <c r="C4738" t="s">
        <v>40</v>
      </c>
      <c r="D4738">
        <v>4.0447499999999996</v>
      </c>
      <c r="E4738">
        <v>0.5101194</v>
      </c>
      <c r="F4738" t="s">
        <v>51</v>
      </c>
      <c r="G4738">
        <v>-178.38720000000001</v>
      </c>
      <c r="H4738">
        <v>7.9981940000000001E-2</v>
      </c>
      <c r="I4738">
        <v>213.97929999999999</v>
      </c>
      <c r="J4738">
        <v>-272.13920000000002</v>
      </c>
      <c r="K4738">
        <v>1.121043</v>
      </c>
      <c r="L4738">
        <v>215.54069999999999</v>
      </c>
      <c r="M4738">
        <v>0.99988940000000004</v>
      </c>
      <c r="N4738">
        <v>-1.3994700000000001E-2</v>
      </c>
      <c r="O4738">
        <v>5.032117E-3</v>
      </c>
      <c r="P4738">
        <v>0.99804870000000001</v>
      </c>
      <c r="Q4738">
        <v>-6.157642E-2</v>
      </c>
      <c r="R4738">
        <v>1.035469E-2</v>
      </c>
      <c r="S4738">
        <v>3.0043639999999998</v>
      </c>
      <c r="T4738">
        <v>-3.3258200000000002E-2</v>
      </c>
      <c r="U4738">
        <v>-4.9835209999999998E-2</v>
      </c>
      <c r="V4738">
        <v>-5.3295590000000002E-3</v>
      </c>
      <c r="W4738">
        <v>-4.7602690000000003E-2</v>
      </c>
      <c r="X4738">
        <v>0.99885210000000002</v>
      </c>
      <c r="Y4738">
        <v>2.1614020000000001E-2</v>
      </c>
      <c r="Z4738">
        <v>-2.5616899999999999E-4</v>
      </c>
      <c r="AA4738">
        <v>0.9997663</v>
      </c>
      <c r="AB4738">
        <v>29</v>
      </c>
      <c r="AC4738">
        <v>93.751999999999995</v>
      </c>
      <c r="AD4738">
        <v>-1.0410610600000001</v>
      </c>
      <c r="AE4738">
        <v>-1.5613999999999899</v>
      </c>
      <c r="AF4738">
        <v>2.0329468594434199</v>
      </c>
      <c r="AG4738">
        <v>-1.0410610600000001</v>
      </c>
      <c r="AH4738">
        <v>93.731400211001997</v>
      </c>
      <c r="AI4738">
        <v>90.636200132690405</v>
      </c>
      <c r="AJ4738">
        <v>88.757502658123599</v>
      </c>
      <c r="AK4738">
        <v>93.759223901326095</v>
      </c>
      <c r="AL4738">
        <v>92.728464434878404</v>
      </c>
      <c r="AM4738">
        <v>90.305709263249199</v>
      </c>
      <c r="AN4738">
        <v>0.99999996898438903</v>
      </c>
    </row>
    <row r="4739" spans="1:40" x14ac:dyDescent="0.25">
      <c r="A4739" t="str">
        <f>"20190303153903738"</f>
        <v>20190303153903738</v>
      </c>
      <c r="B4739" t="str">
        <f>"1551598743733640"</f>
        <v>1551598743733640</v>
      </c>
      <c r="C4739" t="s">
        <v>40</v>
      </c>
      <c r="D4739">
        <v>4.0794600000000001</v>
      </c>
      <c r="E4739">
        <v>0.50984050000000003</v>
      </c>
      <c r="F4739" t="s">
        <v>51</v>
      </c>
      <c r="G4739">
        <v>-176.19489999999999</v>
      </c>
      <c r="H4739">
        <v>7.9982040000000004E-2</v>
      </c>
      <c r="I4739">
        <v>214.0213</v>
      </c>
      <c r="J4739">
        <v>-271.84030000000001</v>
      </c>
      <c r="K4739">
        <v>1.121049</v>
      </c>
      <c r="L4739">
        <v>215.54230000000001</v>
      </c>
      <c r="M4739">
        <v>0.99988880000000002</v>
      </c>
      <c r="N4739">
        <v>-1.4022450000000001E-2</v>
      </c>
      <c r="O4739">
        <v>5.0644829999999998E-3</v>
      </c>
      <c r="P4739">
        <v>0.998031</v>
      </c>
      <c r="Q4739">
        <v>-6.1900360000000001E-2</v>
      </c>
      <c r="R4739">
        <v>1.0121639999999999E-2</v>
      </c>
      <c r="S4739">
        <v>3.0043030000000002</v>
      </c>
      <c r="T4739">
        <v>-3.2598729999999999E-2</v>
      </c>
      <c r="U4739">
        <v>-4.7576899999999998E-2</v>
      </c>
      <c r="V4739">
        <v>-5.0646700000000003E-3</v>
      </c>
      <c r="W4739">
        <v>-4.7899070000000002E-2</v>
      </c>
      <c r="X4739">
        <v>0.99883929999999999</v>
      </c>
      <c r="Y4739">
        <v>2.0895569999999999E-2</v>
      </c>
      <c r="Z4739">
        <v>-2.4381770000000001E-4</v>
      </c>
      <c r="AA4739">
        <v>0.99978160000000005</v>
      </c>
      <c r="AB4739">
        <v>29</v>
      </c>
      <c r="AC4739">
        <v>95.645399999999995</v>
      </c>
      <c r="AD4739">
        <v>-1.04106696</v>
      </c>
      <c r="AE4739">
        <v>-1.5210000000000099</v>
      </c>
      <c r="AF4739">
        <v>2.0051851433218402</v>
      </c>
      <c r="AG4739">
        <v>-1.04106696</v>
      </c>
      <c r="AH4739">
        <v>95.625142922410404</v>
      </c>
      <c r="AI4739">
        <v>90.623615050956701</v>
      </c>
      <c r="AJ4739">
        <v>88.798727953572296</v>
      </c>
      <c r="AK4739">
        <v>95.651829814204902</v>
      </c>
      <c r="AL4739">
        <v>92.745465177765496</v>
      </c>
      <c r="AM4739">
        <v>90.290518934061396</v>
      </c>
      <c r="AN4739">
        <v>0.999999959506781</v>
      </c>
    </row>
    <row r="4740" spans="1:40" x14ac:dyDescent="0.25">
      <c r="A4740" t="str">
        <f>"20190303153903761"</f>
        <v>20190303153903761</v>
      </c>
      <c r="B4740" t="str">
        <f>"1551598743753163"</f>
        <v>1551598743753163</v>
      </c>
      <c r="C4740" t="s">
        <v>40</v>
      </c>
      <c r="D4740">
        <v>4.1335189999999997</v>
      </c>
      <c r="E4740">
        <v>0.50967450000000003</v>
      </c>
      <c r="F4740" t="s">
        <v>51</v>
      </c>
      <c r="G4740">
        <v>-179.40479999999999</v>
      </c>
      <c r="H4740">
        <v>7.9981910000000003E-2</v>
      </c>
      <c r="I4740">
        <v>214.1268</v>
      </c>
      <c r="J4740">
        <v>-271.53390000000002</v>
      </c>
      <c r="K4740">
        <v>1.1210469999999999</v>
      </c>
      <c r="L4740">
        <v>215.54390000000001</v>
      </c>
      <c r="M4740">
        <v>0.99988840000000001</v>
      </c>
      <c r="N4740">
        <v>-1.404649E-2</v>
      </c>
      <c r="O4740">
        <v>5.0871900000000001E-3</v>
      </c>
      <c r="P4740">
        <v>0.99807829999999997</v>
      </c>
      <c r="Q4740">
        <v>-6.1165919999999999E-2</v>
      </c>
      <c r="R4740">
        <v>9.914862E-3</v>
      </c>
      <c r="S4740">
        <v>3.0043030000000002</v>
      </c>
      <c r="T4740">
        <v>-3.3836360000000003E-2</v>
      </c>
      <c r="U4740">
        <v>-4.6005249999999998E-2</v>
      </c>
      <c r="V4740">
        <v>-4.836229E-3</v>
      </c>
      <c r="W4740">
        <v>-4.7139939999999998E-2</v>
      </c>
      <c r="X4740">
        <v>0.9988766</v>
      </c>
      <c r="Y4740">
        <v>2.0395300000000002E-2</v>
      </c>
      <c r="Z4740">
        <v>-2.4394259999999999E-4</v>
      </c>
      <c r="AA4740">
        <v>0.99979200000000001</v>
      </c>
      <c r="AB4740">
        <v>29</v>
      </c>
      <c r="AC4740">
        <v>92.129099999999994</v>
      </c>
      <c r="AD4740">
        <v>-1.04106508999999</v>
      </c>
      <c r="AE4740">
        <v>-1.4171</v>
      </c>
      <c r="AF4740">
        <v>1.88556542561375</v>
      </c>
      <c r="AG4740">
        <v>-1.04106508999999</v>
      </c>
      <c r="AH4740">
        <v>92.108939111338302</v>
      </c>
      <c r="AI4740">
        <v>90.647424711251603</v>
      </c>
      <c r="AJ4740">
        <v>88.827259823437799</v>
      </c>
      <c r="AK4740">
        <v>92.1341187493109</v>
      </c>
      <c r="AL4740">
        <v>92.701920895075403</v>
      </c>
      <c r="AM4740">
        <v>90.2774049820448</v>
      </c>
      <c r="AN4740">
        <v>1.0000000125408499</v>
      </c>
    </row>
    <row r="4741" spans="1:40" x14ac:dyDescent="0.25">
      <c r="A4741" t="str">
        <f>"20190303153903783"</f>
        <v>20190303153903783</v>
      </c>
      <c r="B4741" t="str">
        <f>"1551598743773655"</f>
        <v>1551598743773655</v>
      </c>
      <c r="C4741" t="s">
        <v>40</v>
      </c>
      <c r="D4741">
        <v>4.149248</v>
      </c>
      <c r="E4741">
        <v>0.50948040000000006</v>
      </c>
      <c r="F4741" t="s">
        <v>51</v>
      </c>
      <c r="G4741">
        <v>-176.11869999999999</v>
      </c>
      <c r="H4741">
        <v>7.9982040000000004E-2</v>
      </c>
      <c r="I4741">
        <v>214.09870000000001</v>
      </c>
      <c r="J4741">
        <v>-271.25229999999999</v>
      </c>
      <c r="K4741">
        <v>1.121048</v>
      </c>
      <c r="L4741">
        <v>215.5453</v>
      </c>
      <c r="M4741">
        <v>0.9998882</v>
      </c>
      <c r="N4741">
        <v>-1.406518E-2</v>
      </c>
      <c r="O4741">
        <v>5.0997489999999998E-3</v>
      </c>
      <c r="P4741">
        <v>0.99808680000000005</v>
      </c>
      <c r="Q4741">
        <v>-6.0963780000000002E-2</v>
      </c>
      <c r="R4741">
        <v>1.031846E-2</v>
      </c>
      <c r="S4741">
        <v>3.0042110000000002</v>
      </c>
      <c r="T4741">
        <v>-3.2778620000000001E-2</v>
      </c>
      <c r="U4741">
        <v>-4.5501710000000001E-2</v>
      </c>
      <c r="V4741">
        <v>-5.2278029999999996E-3</v>
      </c>
      <c r="W4741">
        <v>-4.6918910000000001E-2</v>
      </c>
      <c r="X4741">
        <v>0.99888500000000002</v>
      </c>
      <c r="Y4741">
        <v>2.0240930000000001E-2</v>
      </c>
      <c r="Z4741">
        <v>-2.366945E-4</v>
      </c>
      <c r="AA4741">
        <v>0.99979510000000005</v>
      </c>
      <c r="AB4741">
        <v>29</v>
      </c>
      <c r="AC4741">
        <v>95.133600000000001</v>
      </c>
      <c r="AD4741">
        <v>-1.0410659600000001</v>
      </c>
      <c r="AE4741">
        <v>-1.4465999999999799</v>
      </c>
      <c r="AF4741">
        <v>1.93155534500898</v>
      </c>
      <c r="AG4741">
        <v>-1.0410659600000001</v>
      </c>
      <c r="AH4741">
        <v>95.113597067003795</v>
      </c>
      <c r="AI4741">
        <v>90.626976700321407</v>
      </c>
      <c r="AJ4741">
        <v>88.836604202311094</v>
      </c>
      <c r="AK4741">
        <v>95.138904089800505</v>
      </c>
      <c r="AL4741">
        <v>92.689242872040495</v>
      </c>
      <c r="AM4741">
        <v>90.299862660121207</v>
      </c>
      <c r="AN4741">
        <v>0.99999997863239698</v>
      </c>
    </row>
    <row r="4742" spans="1:40" x14ac:dyDescent="0.25">
      <c r="A4742" t="str">
        <f>"20190303153903804"</f>
        <v>20190303153903804</v>
      </c>
      <c r="B4742" t="str">
        <f>"1551598743793176"</f>
        <v>1551598743793176</v>
      </c>
      <c r="C4742" t="s">
        <v>40</v>
      </c>
      <c r="D4742">
        <v>4.0440969999999998</v>
      </c>
      <c r="E4742">
        <v>0.5094069</v>
      </c>
      <c r="F4742" t="s">
        <v>51</v>
      </c>
      <c r="G4742">
        <v>-179.14599999999999</v>
      </c>
      <c r="H4742">
        <v>7.9981919999999998E-2</v>
      </c>
      <c r="I4742">
        <v>214.23769999999999</v>
      </c>
      <c r="J4742">
        <v>-270.96850000000001</v>
      </c>
      <c r="K4742">
        <v>1.121046</v>
      </c>
      <c r="L4742">
        <v>215.54679999999999</v>
      </c>
      <c r="M4742">
        <v>0.99988790000000005</v>
      </c>
      <c r="N4742">
        <v>-1.408132E-2</v>
      </c>
      <c r="O4742">
        <v>5.1062640000000001E-3</v>
      </c>
      <c r="P4742">
        <v>0.99806139999999999</v>
      </c>
      <c r="Q4742">
        <v>-6.1201779999999997E-2</v>
      </c>
      <c r="R4742">
        <v>1.1330979999999999E-2</v>
      </c>
      <c r="S4742">
        <v>3.0041500000000001</v>
      </c>
      <c r="T4742">
        <v>-3.3955569999999997E-2</v>
      </c>
      <c r="U4742">
        <v>-4.2648320000000003E-2</v>
      </c>
      <c r="V4742">
        <v>-6.2351219999999897E-3</v>
      </c>
      <c r="W4742">
        <v>-4.7140939999999999E-2</v>
      </c>
      <c r="X4742">
        <v>0.9988688</v>
      </c>
      <c r="Y4742">
        <v>1.9298320000000001E-2</v>
      </c>
      <c r="Z4742">
        <v>-2.3075870000000001E-4</v>
      </c>
      <c r="AA4742">
        <v>0.99981370000000003</v>
      </c>
      <c r="AB4742">
        <v>29</v>
      </c>
      <c r="AC4742">
        <v>91.822500000000005</v>
      </c>
      <c r="AD4742">
        <v>-1.0410640799999999</v>
      </c>
      <c r="AE4742">
        <v>-1.3090999999999999</v>
      </c>
      <c r="AF4742">
        <v>1.7777708296822901</v>
      </c>
      <c r="AG4742">
        <v>-1.0410640799999999</v>
      </c>
      <c r="AH4742">
        <v>91.802818959449695</v>
      </c>
      <c r="AI4742">
        <v>90.649597062205203</v>
      </c>
      <c r="AJ4742">
        <v>88.890600126300797</v>
      </c>
      <c r="AK4742">
        <v>91.825932352702097</v>
      </c>
      <c r="AL4742">
        <v>92.701978255295501</v>
      </c>
      <c r="AM4742">
        <v>90.357646104716594</v>
      </c>
      <c r="AN4742">
        <v>1.0000000122919299</v>
      </c>
    </row>
    <row r="4743" spans="1:40" x14ac:dyDescent="0.25">
      <c r="A4743" t="str">
        <f>"20190303153903828"</f>
        <v>20190303153903828</v>
      </c>
      <c r="B4743" t="str">
        <f>"1551598743823432"</f>
        <v>1551598743823432</v>
      </c>
      <c r="C4743" t="s">
        <v>40</v>
      </c>
      <c r="D4743">
        <v>4.0709869999999997</v>
      </c>
      <c r="E4743">
        <v>0.5093029</v>
      </c>
      <c r="F4743" t="s">
        <v>51</v>
      </c>
      <c r="G4743">
        <v>-179.935</v>
      </c>
      <c r="H4743">
        <v>7.2691839999999994E-2</v>
      </c>
      <c r="I4743">
        <v>214.3622</v>
      </c>
      <c r="J4743">
        <v>-270.66910000000001</v>
      </c>
      <c r="K4743">
        <v>1.121046</v>
      </c>
      <c r="L4743">
        <v>215.54830000000001</v>
      </c>
      <c r="M4743">
        <v>0.99988759999999999</v>
      </c>
      <c r="N4743">
        <v>-1.40956E-2</v>
      </c>
      <c r="O4743">
        <v>5.108586E-3</v>
      </c>
      <c r="P4743">
        <v>0.9979981</v>
      </c>
      <c r="Q4743">
        <v>-6.2005669999999999E-2</v>
      </c>
      <c r="R4743">
        <v>1.244524E-2</v>
      </c>
      <c r="S4743">
        <v>3.0041500000000001</v>
      </c>
      <c r="T4743">
        <v>-3.4596200000000001E-2</v>
      </c>
      <c r="U4743">
        <v>-3.9093019999999999E-2</v>
      </c>
      <c r="V4743">
        <v>-7.347948E-3</v>
      </c>
      <c r="W4743">
        <v>-4.7931189999999999E-2</v>
      </c>
      <c r="X4743">
        <v>0.99882360000000003</v>
      </c>
      <c r="Y4743">
        <v>1.8117709999999999E-2</v>
      </c>
      <c r="Z4743">
        <v>-2.1884399999999999E-4</v>
      </c>
      <c r="AA4743">
        <v>0.99983580000000005</v>
      </c>
      <c r="AB4743">
        <v>29</v>
      </c>
      <c r="AC4743">
        <v>90.734099999999998</v>
      </c>
      <c r="AD4743">
        <v>-1.0483541599999999</v>
      </c>
      <c r="AE4743">
        <v>-1.1861000000000099</v>
      </c>
      <c r="AF4743">
        <v>1.6494333695356</v>
      </c>
      <c r="AG4743">
        <v>-1.0483541599999999</v>
      </c>
      <c r="AH4743">
        <v>90.714747713357397</v>
      </c>
      <c r="AI4743">
        <v>90.662005584133396</v>
      </c>
      <c r="AJ4743">
        <v>88.958326398581207</v>
      </c>
      <c r="AK4743">
        <v>90.735798500831095</v>
      </c>
      <c r="AL4743">
        <v>92.747307557221205</v>
      </c>
      <c r="AM4743">
        <v>90.421494660147204</v>
      </c>
      <c r="AN4743">
        <v>0.99999998761579301</v>
      </c>
    </row>
    <row r="4744" spans="1:40" x14ac:dyDescent="0.25">
      <c r="A4744" t="str">
        <f>"20190303153903850"</f>
        <v>20190303153903850</v>
      </c>
      <c r="B4744" t="str">
        <f>"1551598743842951"</f>
        <v>1551598743842951</v>
      </c>
      <c r="C4744" t="s">
        <v>40</v>
      </c>
      <c r="D4744">
        <v>4.0693039999999998</v>
      </c>
      <c r="E4744">
        <v>0.50924020000000003</v>
      </c>
      <c r="F4744" t="s">
        <v>51</v>
      </c>
      <c r="G4744">
        <v>-179.95769999999999</v>
      </c>
      <c r="H4744">
        <v>2.2819870000000001E-3</v>
      </c>
      <c r="I4744">
        <v>214.50059999999999</v>
      </c>
      <c r="J4744">
        <v>-270.37779999999998</v>
      </c>
      <c r="K4744">
        <v>1.121048</v>
      </c>
      <c r="L4744">
        <v>215.5498</v>
      </c>
      <c r="M4744">
        <v>0.99988750000000004</v>
      </c>
      <c r="N4744">
        <v>-1.4106799999999999E-2</v>
      </c>
      <c r="O4744">
        <v>5.1067959999999898E-3</v>
      </c>
      <c r="P4744">
        <v>0.99796430000000003</v>
      </c>
      <c r="Q4744">
        <v>-6.2570810000000004E-2</v>
      </c>
      <c r="R4744">
        <v>1.2348100000000001E-2</v>
      </c>
      <c r="S4744">
        <v>3.0041199999999999</v>
      </c>
      <c r="T4744">
        <v>-3.7050489999999998E-2</v>
      </c>
      <c r="U4744">
        <v>-3.4698489999999999E-2</v>
      </c>
      <c r="V4744">
        <v>-7.2529739999999997E-3</v>
      </c>
      <c r="W4744">
        <v>-4.8485540000000001E-2</v>
      </c>
      <c r="X4744">
        <v>0.9987975</v>
      </c>
      <c r="Y4744">
        <v>1.6653620000000001E-2</v>
      </c>
      <c r="Z4744">
        <v>-2.111103E-4</v>
      </c>
      <c r="AA4744">
        <v>0.99986129999999995</v>
      </c>
      <c r="AB4744">
        <v>29</v>
      </c>
      <c r="AC4744">
        <v>90.420100000000005</v>
      </c>
      <c r="AD4744">
        <v>-1.1187660129999999</v>
      </c>
      <c r="AE4744">
        <v>-1.0492000000000099</v>
      </c>
      <c r="AF4744">
        <v>1.5107579996495799</v>
      </c>
      <c r="AG4744">
        <v>-1.1187660129999999</v>
      </c>
      <c r="AH4744">
        <v>90.399724638850202</v>
      </c>
      <c r="AI4744">
        <v>90.708944089606803</v>
      </c>
      <c r="AJ4744">
        <v>89.0425634537619</v>
      </c>
      <c r="AK4744">
        <v>90.419269195815204</v>
      </c>
      <c r="AL4744">
        <v>92.779106551635394</v>
      </c>
      <c r="AM4744">
        <v>90.4160578042856</v>
      </c>
      <c r="AN4744">
        <v>0.99999994961359195</v>
      </c>
    </row>
    <row r="4745" spans="1:40" x14ac:dyDescent="0.25">
      <c r="A4745" t="str">
        <f>"20190303153903873"</f>
        <v>20190303153903873</v>
      </c>
      <c r="B4745" t="str">
        <f>"1551598743863448"</f>
        <v>1551598743863448</v>
      </c>
      <c r="C4745" t="s">
        <v>40</v>
      </c>
      <c r="D4745">
        <v>4.0544729999999998</v>
      </c>
      <c r="E4745">
        <v>0.50939109999999999</v>
      </c>
      <c r="F4745" t="s">
        <v>51</v>
      </c>
      <c r="G4745">
        <v>-183.483</v>
      </c>
      <c r="H4745" s="1">
        <v>2.8298290000000002E-6</v>
      </c>
      <c r="I4745">
        <v>214.54480000000001</v>
      </c>
      <c r="J4745">
        <v>-270.07850000000002</v>
      </c>
      <c r="K4745">
        <v>1.1210519999999999</v>
      </c>
      <c r="L4745">
        <v>215.5513</v>
      </c>
      <c r="M4745">
        <v>0.99988739999999998</v>
      </c>
      <c r="N4745">
        <v>-1.411595E-2</v>
      </c>
      <c r="O4745">
        <v>5.1034929999999997E-3</v>
      </c>
      <c r="P4745">
        <v>0.99795690000000004</v>
      </c>
      <c r="Q4745">
        <v>-6.2757779999999999E-2</v>
      </c>
      <c r="R4745">
        <v>1.197397E-2</v>
      </c>
      <c r="S4745">
        <v>3.0041500000000001</v>
      </c>
      <c r="T4745">
        <v>-3.8757090000000001E-2</v>
      </c>
      <c r="U4745">
        <v>-3.4744259999999999E-2</v>
      </c>
      <c r="V4745">
        <v>-6.8819040000000003E-3</v>
      </c>
      <c r="W4745">
        <v>-4.866347E-2</v>
      </c>
      <c r="X4745">
        <v>0.99879150000000005</v>
      </c>
      <c r="Y4745">
        <v>1.666525E-2</v>
      </c>
      <c r="Z4745">
        <v>-2.1893020000000001E-4</v>
      </c>
      <c r="AA4745">
        <v>0.99986109999999995</v>
      </c>
      <c r="AB4745">
        <v>29</v>
      </c>
      <c r="AC4745">
        <v>86.595500000000001</v>
      </c>
      <c r="AD4745">
        <v>-1.1210491701709999</v>
      </c>
      <c r="AE4745">
        <v>-1.00649999999998</v>
      </c>
      <c r="AF4745">
        <v>1.44822774716759</v>
      </c>
      <c r="AG4745">
        <v>-1.1210491701709999</v>
      </c>
      <c r="AH4745">
        <v>86.574727421194794</v>
      </c>
      <c r="AI4745">
        <v>90.741773204237901</v>
      </c>
      <c r="AJ4745">
        <v>89.041641808669695</v>
      </c>
      <c r="AK4745">
        <v>86.594096466813397</v>
      </c>
      <c r="AL4745">
        <v>92.789313161583294</v>
      </c>
      <c r="AM4745">
        <v>90.394774899959899</v>
      </c>
      <c r="AN4745">
        <v>0.99999997719367795</v>
      </c>
    </row>
    <row r="4746" spans="1:40" x14ac:dyDescent="0.25">
      <c r="A4746" t="str">
        <f>"20190303153903894"</f>
        <v>20190303153903894</v>
      </c>
      <c r="B4746" t="str">
        <f>"1551598743882968"</f>
        <v>1551598743882968</v>
      </c>
      <c r="C4746" t="s">
        <v>40</v>
      </c>
      <c r="D4746">
        <v>4.0653459999999999</v>
      </c>
      <c r="E4746">
        <v>0.50953199999999998</v>
      </c>
      <c r="F4746" t="s">
        <v>51</v>
      </c>
      <c r="G4746">
        <v>-182.42330000000001</v>
      </c>
      <c r="H4746" s="1">
        <v>2.6478969999999998E-6</v>
      </c>
      <c r="I4746">
        <v>214.47569999999999</v>
      </c>
      <c r="J4746">
        <v>-269.79660000000001</v>
      </c>
      <c r="K4746">
        <v>1.1210580000000001</v>
      </c>
      <c r="L4746">
        <v>215.55279999999999</v>
      </c>
      <c r="M4746">
        <v>0.99988719999999998</v>
      </c>
      <c r="N4746">
        <v>-1.4123190000000001E-2</v>
      </c>
      <c r="O4746">
        <v>5.1005720000000003E-3</v>
      </c>
      <c r="P4746">
        <v>0.99799689999999996</v>
      </c>
      <c r="Q4746">
        <v>-6.2169250000000002E-2</v>
      </c>
      <c r="R4746">
        <v>1.170041E-2</v>
      </c>
      <c r="S4746">
        <v>3.004181</v>
      </c>
      <c r="T4746">
        <v>-3.842139E-2</v>
      </c>
      <c r="U4746">
        <v>-3.6865229999999999E-2</v>
      </c>
      <c r="V4746">
        <v>-6.6115799999999997E-3</v>
      </c>
      <c r="W4746">
        <v>-4.8067249999999999E-2</v>
      </c>
      <c r="X4746">
        <v>0.99882219999999999</v>
      </c>
      <c r="Y4746">
        <v>1.736793E-2</v>
      </c>
      <c r="Z4746">
        <v>-2.2691049999999999E-4</v>
      </c>
      <c r="AA4746">
        <v>0.99984910000000005</v>
      </c>
      <c r="AB4746">
        <v>29</v>
      </c>
      <c r="AC4746">
        <v>87.3733</v>
      </c>
      <c r="AD4746">
        <v>-1.12105535210299</v>
      </c>
      <c r="AE4746">
        <v>-1.0770999999999999</v>
      </c>
      <c r="AF4746">
        <v>1.5225336608476201</v>
      </c>
      <c r="AG4746">
        <v>-1.12105535210299</v>
      </c>
      <c r="AH4746">
        <v>87.352290632828897</v>
      </c>
      <c r="AI4746">
        <v>90.735166311320597</v>
      </c>
      <c r="AJ4746">
        <v>89.001446670824905</v>
      </c>
      <c r="AK4746">
        <v>87.372750630005399</v>
      </c>
      <c r="AL4746">
        <v>92.755112236943205</v>
      </c>
      <c r="AM4746">
        <v>90.379256785954496</v>
      </c>
      <c r="AN4746">
        <v>0.99999998036274895</v>
      </c>
    </row>
    <row r="4747" spans="1:40" x14ac:dyDescent="0.25">
      <c r="A4747" t="str">
        <f>"20190303153903917"</f>
        <v>20190303153903917</v>
      </c>
      <c r="B4747" t="str">
        <f>"1551598743913224"</f>
        <v>1551598743913224</v>
      </c>
      <c r="C4747" t="s">
        <v>40</v>
      </c>
      <c r="D4747">
        <v>4.0642769999999997</v>
      </c>
      <c r="E4747">
        <v>0.50974940000000002</v>
      </c>
      <c r="F4747" t="s">
        <v>51</v>
      </c>
      <c r="G4747">
        <v>-179.9573</v>
      </c>
      <c r="H4747">
        <v>5.0369200000000003E-2</v>
      </c>
      <c r="I4747">
        <v>214.39699999999999</v>
      </c>
      <c r="J4747">
        <v>-269.50529999999998</v>
      </c>
      <c r="K4747">
        <v>1.121068</v>
      </c>
      <c r="L4747">
        <v>215.55430000000001</v>
      </c>
      <c r="M4747">
        <v>0.99988730000000003</v>
      </c>
      <c r="N4747">
        <v>-1.4129279999999999E-2</v>
      </c>
      <c r="O4747">
        <v>5.0981999999999998E-3</v>
      </c>
      <c r="P4747">
        <v>0.99803070000000005</v>
      </c>
      <c r="Q4747">
        <v>-6.1643179999999999E-2</v>
      </c>
      <c r="R4747">
        <v>1.1634729999999999E-2</v>
      </c>
      <c r="S4747">
        <v>3.0042420000000001</v>
      </c>
      <c r="T4747">
        <v>-3.5804030000000001E-2</v>
      </c>
      <c r="U4747">
        <v>-3.8650509999999999E-2</v>
      </c>
      <c r="V4747">
        <v>-6.5484009999999997E-3</v>
      </c>
      <c r="W4747">
        <v>-4.7534640000000003E-2</v>
      </c>
      <c r="X4747">
        <v>0.99884810000000002</v>
      </c>
      <c r="Y4747">
        <v>1.7959570000000001E-2</v>
      </c>
      <c r="Z4747">
        <v>-2.226311E-4</v>
      </c>
      <c r="AA4747">
        <v>0.99983869999999997</v>
      </c>
      <c r="AB4747">
        <v>29</v>
      </c>
      <c r="AC4747">
        <v>89.547999999999902</v>
      </c>
      <c r="AD4747">
        <v>-1.0706988</v>
      </c>
      <c r="AE4747">
        <v>-1.15729999999999</v>
      </c>
      <c r="AF4747">
        <v>1.6136334417285201</v>
      </c>
      <c r="AG4747">
        <v>-1.0706988</v>
      </c>
      <c r="AH4747">
        <v>89.528138225169101</v>
      </c>
      <c r="AI4747">
        <v>90.685076653897198</v>
      </c>
      <c r="AJ4747">
        <v>88.967426574180806</v>
      </c>
      <c r="AK4747">
        <v>89.5490800782988</v>
      </c>
      <c r="AL4747">
        <v>92.724561021212295</v>
      </c>
      <c r="AM4747">
        <v>90.375623044814205</v>
      </c>
      <c r="AN4747">
        <v>0.99999997521459705</v>
      </c>
    </row>
    <row r="4748" spans="1:40" x14ac:dyDescent="0.25">
      <c r="A4748" t="str">
        <f>"20190303153903940"</f>
        <v>20190303153903940</v>
      </c>
      <c r="B4748" t="str">
        <f>"1551598743933723"</f>
        <v>1551598743933723</v>
      </c>
      <c r="C4748" t="s">
        <v>40</v>
      </c>
      <c r="D4748">
        <v>4.0644910000000003</v>
      </c>
      <c r="E4748">
        <v>0.50989340000000005</v>
      </c>
      <c r="F4748" t="s">
        <v>51</v>
      </c>
      <c r="G4748">
        <v>-174.99529999999999</v>
      </c>
      <c r="H4748">
        <v>7.9982120000000004E-2</v>
      </c>
      <c r="I4748">
        <v>214.27699999999999</v>
      </c>
      <c r="J4748">
        <v>-269.20650000000001</v>
      </c>
      <c r="K4748">
        <v>1.1210719999999901</v>
      </c>
      <c r="L4748">
        <v>215.5558</v>
      </c>
      <c r="M4748">
        <v>0.99988719999999998</v>
      </c>
      <c r="N4748">
        <v>-1.4134239999999999E-2</v>
      </c>
      <c r="O4748">
        <v>5.0969709999999996E-3</v>
      </c>
      <c r="P4748">
        <v>0.99806870000000003</v>
      </c>
      <c r="Q4748">
        <v>-6.1059420000000003E-2</v>
      </c>
      <c r="R4748">
        <v>1.1436E-2</v>
      </c>
      <c r="S4748">
        <v>3.0043639999999998</v>
      </c>
      <c r="T4748">
        <v>-3.309488E-2</v>
      </c>
      <c r="U4748">
        <v>-4.0603640000000003E-2</v>
      </c>
      <c r="V4748">
        <v>-6.3499669999999998E-3</v>
      </c>
      <c r="W4748">
        <v>-4.6945470000000003E-2</v>
      </c>
      <c r="X4748">
        <v>0.99887729999999997</v>
      </c>
      <c r="Y4748">
        <v>1.8607889999999998E-2</v>
      </c>
      <c r="Z4748">
        <v>-2.1810659999999999E-4</v>
      </c>
      <c r="AA4748">
        <v>0.99982680000000002</v>
      </c>
      <c r="AB4748">
        <v>29</v>
      </c>
      <c r="AC4748">
        <v>94.211200000000005</v>
      </c>
      <c r="AD4748">
        <v>-1.0410898799999999</v>
      </c>
      <c r="AE4748">
        <v>-1.27879999999998</v>
      </c>
      <c r="AF4748">
        <v>1.7588083335943301</v>
      </c>
      <c r="AG4748">
        <v>-1.0410898799999999</v>
      </c>
      <c r="AH4748">
        <v>94.191957134265294</v>
      </c>
      <c r="AI4748">
        <v>90.633145697035403</v>
      </c>
      <c r="AJ4748">
        <v>88.930263389246804</v>
      </c>
      <c r="AK4748">
        <v>94.214128790090896</v>
      </c>
      <c r="AL4748">
        <v>92.690766188803593</v>
      </c>
      <c r="AM4748">
        <v>90.364230329580494</v>
      </c>
      <c r="AN4748">
        <v>1.0000000298448499</v>
      </c>
    </row>
    <row r="4749" spans="1:40" x14ac:dyDescent="0.25">
      <c r="A4749" t="str">
        <f>"20190303153903962"</f>
        <v>20190303153903962</v>
      </c>
      <c r="B4749" t="str">
        <f>"1551598743953243"</f>
        <v>1551598743953243</v>
      </c>
      <c r="C4749" t="s">
        <v>40</v>
      </c>
      <c r="D4749">
        <v>4.0682479999999996</v>
      </c>
      <c r="E4749">
        <v>0.51003580000000004</v>
      </c>
      <c r="F4749" t="s">
        <v>43</v>
      </c>
      <c r="G4749">
        <v>-155.15889999999999</v>
      </c>
      <c r="H4749">
        <v>-0.05</v>
      </c>
      <c r="I4749">
        <v>213.9478</v>
      </c>
      <c r="J4749">
        <v>-268.9248</v>
      </c>
      <c r="K4749">
        <v>1.1210770000000001</v>
      </c>
      <c r="L4749">
        <v>215.55719999999999</v>
      </c>
      <c r="M4749">
        <v>0.99988710000000003</v>
      </c>
      <c r="N4749">
        <v>-1.413785E-2</v>
      </c>
      <c r="O4749">
        <v>5.096588E-3</v>
      </c>
      <c r="P4749">
        <v>0.99804919999999997</v>
      </c>
      <c r="Q4749">
        <v>-6.125415E-2</v>
      </c>
      <c r="R4749">
        <v>1.208175E-2</v>
      </c>
      <c r="S4749">
        <v>3.0043950000000001</v>
      </c>
      <c r="T4749">
        <v>-3.0849930000000001E-2</v>
      </c>
      <c r="U4749">
        <v>-4.2358399999999997E-2</v>
      </c>
      <c r="V4749">
        <v>-6.9962440000000004E-3</v>
      </c>
      <c r="W4749">
        <v>-4.7136789999999998E-2</v>
      </c>
      <c r="X4749">
        <v>0.99886390000000003</v>
      </c>
      <c r="Y4749">
        <v>1.9191380000000001E-2</v>
      </c>
      <c r="Z4749">
        <v>-2.144824E-4</v>
      </c>
      <c r="AA4749">
        <v>0.99981580000000003</v>
      </c>
      <c r="AB4749">
        <v>29</v>
      </c>
      <c r="AC4749">
        <v>113.7659</v>
      </c>
      <c r="AD4749">
        <v>-1.1710769999999999</v>
      </c>
      <c r="AE4749">
        <v>-1.6093999999999899</v>
      </c>
      <c r="AF4749">
        <v>2.1890230451666</v>
      </c>
      <c r="AG4749">
        <v>-1.1710769999999999</v>
      </c>
      <c r="AH4749">
        <v>113.74416882812601</v>
      </c>
      <c r="AI4749">
        <v>90.589770699282198</v>
      </c>
      <c r="AJ4749">
        <v>88.897470506952004</v>
      </c>
      <c r="AK4749">
        <v>113.771258170213</v>
      </c>
      <c r="AL4749">
        <v>92.701740361167595</v>
      </c>
      <c r="AM4749">
        <v>90.401304620852002</v>
      </c>
      <c r="AN4749">
        <v>0.99999995756241</v>
      </c>
    </row>
    <row r="4750" spans="1:40" x14ac:dyDescent="0.25">
      <c r="A4750" t="str">
        <f>"20190303153903983"</f>
        <v>20190303153903983</v>
      </c>
      <c r="B4750" t="str">
        <f>"1551598743973736"</f>
        <v>1551598743973736</v>
      </c>
      <c r="C4750" t="s">
        <v>40</v>
      </c>
      <c r="D4750">
        <v>4.0738379999999896</v>
      </c>
      <c r="E4750">
        <v>0.51017069999999998</v>
      </c>
      <c r="F4750" t="s">
        <v>43</v>
      </c>
      <c r="G4750">
        <v>-153.97710000000001</v>
      </c>
      <c r="H4750">
        <v>-0.05</v>
      </c>
      <c r="I4750">
        <v>213.9717</v>
      </c>
      <c r="J4750">
        <v>-268.64179999999999</v>
      </c>
      <c r="K4750">
        <v>1.1210789999999999</v>
      </c>
      <c r="L4750">
        <v>215.55869999999999</v>
      </c>
      <c r="M4750">
        <v>0.99988699999999997</v>
      </c>
      <c r="N4750">
        <v>-1.41406E-2</v>
      </c>
      <c r="O4750">
        <v>5.0963930000000003E-3</v>
      </c>
      <c r="P4750">
        <v>0.99803799999999998</v>
      </c>
      <c r="Q4750">
        <v>-6.1322500000000002E-2</v>
      </c>
      <c r="R4750">
        <v>1.264624E-2</v>
      </c>
      <c r="S4750">
        <v>3.0045169999999999</v>
      </c>
      <c r="T4750">
        <v>-3.0609730000000002E-2</v>
      </c>
      <c r="U4750">
        <v>-4.144287E-2</v>
      </c>
      <c r="V4750">
        <v>-7.5611059999999997E-3</v>
      </c>
      <c r="W4750">
        <v>-4.7202470000000003E-2</v>
      </c>
      <c r="X4750">
        <v>0.99885670000000004</v>
      </c>
      <c r="Y4750">
        <v>1.8886070000000001E-2</v>
      </c>
      <c r="Z4750">
        <v>-2.0960059999999999E-4</v>
      </c>
      <c r="AA4750">
        <v>0.99982159999999998</v>
      </c>
      <c r="AB4750">
        <v>29</v>
      </c>
      <c r="AC4750">
        <v>114.664699999999</v>
      </c>
      <c r="AD4750">
        <v>-1.171079</v>
      </c>
      <c r="AE4750">
        <v>-1.58699999999998</v>
      </c>
      <c r="AF4750">
        <v>2.1711877844919401</v>
      </c>
      <c r="AG4750">
        <v>-1.171079</v>
      </c>
      <c r="AH4750">
        <v>114.64316602245199</v>
      </c>
      <c r="AI4750">
        <v>90.585150639574096</v>
      </c>
      <c r="AJ4750">
        <v>88.915024496055807</v>
      </c>
      <c r="AK4750">
        <v>114.669703924233</v>
      </c>
      <c r="AL4750">
        <v>92.705507693553002</v>
      </c>
      <c r="AM4750">
        <v>90.433707045124393</v>
      </c>
      <c r="AN4750">
        <v>0.99999997531646601</v>
      </c>
    </row>
    <row r="4751" spans="1:40" x14ac:dyDescent="0.25">
      <c r="A4751" t="str">
        <f>"20190303153904006"</f>
        <v>20190303153904006</v>
      </c>
      <c r="B4751" t="str">
        <f>"1551598744003017"</f>
        <v>1551598744003017</v>
      </c>
      <c r="C4751" t="s">
        <v>40</v>
      </c>
      <c r="D4751">
        <v>4.1215529999999996</v>
      </c>
      <c r="E4751">
        <v>0.51034769999999996</v>
      </c>
      <c r="F4751" t="s">
        <v>43</v>
      </c>
      <c r="G4751">
        <v>-151.36439999999999</v>
      </c>
      <c r="H4751">
        <v>-0.05</v>
      </c>
      <c r="I4751">
        <v>213.96899999999999</v>
      </c>
      <c r="J4751">
        <v>-268.35000000000002</v>
      </c>
      <c r="K4751">
        <v>1.1210830000000001</v>
      </c>
      <c r="L4751">
        <v>215.56020000000001</v>
      </c>
      <c r="M4751">
        <v>0.99988719999999998</v>
      </c>
      <c r="N4751">
        <v>-1.4142800000000001E-2</v>
      </c>
      <c r="O4751">
        <v>5.0962610000000004E-3</v>
      </c>
      <c r="P4751">
        <v>0.99804110000000001</v>
      </c>
      <c r="Q4751">
        <v>-6.1254320000000001E-2</v>
      </c>
      <c r="R4751">
        <v>1.273407E-2</v>
      </c>
      <c r="S4751">
        <v>3.004578</v>
      </c>
      <c r="T4751">
        <v>-3.0002359999999999E-2</v>
      </c>
      <c r="U4751">
        <v>-4.0725709999999998E-2</v>
      </c>
      <c r="V4751">
        <v>-7.6492449999999998E-3</v>
      </c>
      <c r="W4751">
        <v>-4.7132069999999998E-2</v>
      </c>
      <c r="X4751">
        <v>0.99885939999999995</v>
      </c>
      <c r="Y4751">
        <v>1.8647150000000001E-2</v>
      </c>
      <c r="Z4751">
        <v>-2.0378599999999999E-4</v>
      </c>
      <c r="AA4751">
        <v>0.99982610000000005</v>
      </c>
      <c r="AB4751">
        <v>29</v>
      </c>
      <c r="AC4751">
        <v>116.98560000000001</v>
      </c>
      <c r="AD4751">
        <v>-1.1710830000000001</v>
      </c>
      <c r="AE4751">
        <v>-1.59119999999998</v>
      </c>
      <c r="AF4751">
        <v>2.1872088571411799</v>
      </c>
      <c r="AG4751">
        <v>-1.1710830000000001</v>
      </c>
      <c r="AH4751">
        <v>116.96425173356199</v>
      </c>
      <c r="AI4751">
        <v>90.573543994070903</v>
      </c>
      <c r="AJ4751">
        <v>88.928704878008205</v>
      </c>
      <c r="AK4751">
        <v>116.990561591822</v>
      </c>
      <c r="AL4751">
        <v>92.701469450043504</v>
      </c>
      <c r="AM4751">
        <v>90.438761339059596</v>
      </c>
      <c r="AN4751">
        <v>1.0000000219699501</v>
      </c>
    </row>
    <row r="4752" spans="1:40" x14ac:dyDescent="0.25">
      <c r="A4752" t="str">
        <f>"20190303153904030"</f>
        <v>20190303153904030</v>
      </c>
      <c r="B4752" t="str">
        <f>"1551598744023513"</f>
        <v>1551598744023513</v>
      </c>
      <c r="C4752" t="s">
        <v>40</v>
      </c>
      <c r="D4752">
        <v>4.0800580000000002</v>
      </c>
      <c r="E4752">
        <v>0.51049230000000001</v>
      </c>
      <c r="F4752" t="s">
        <v>43</v>
      </c>
      <c r="G4752">
        <v>-148.09010000000001</v>
      </c>
      <c r="H4752">
        <v>-0.05</v>
      </c>
      <c r="I4752">
        <v>213.87450000000001</v>
      </c>
      <c r="J4752">
        <v>-268.05009999999999</v>
      </c>
      <c r="K4752">
        <v>1.121089</v>
      </c>
      <c r="L4752">
        <v>215.5617</v>
      </c>
      <c r="M4752">
        <v>0.99988699999999997</v>
      </c>
      <c r="N4752">
        <v>-1.414436E-2</v>
      </c>
      <c r="O4752">
        <v>5.0962539999999997E-3</v>
      </c>
      <c r="P4752">
        <v>0.99804130000000002</v>
      </c>
      <c r="Q4752">
        <v>-6.1251130000000001E-2</v>
      </c>
      <c r="R4752">
        <v>1.271882E-2</v>
      </c>
      <c r="S4752">
        <v>3.004578</v>
      </c>
      <c r="T4752">
        <v>-2.9258369999999999E-2</v>
      </c>
      <c r="U4752">
        <v>-4.2114260000000001E-2</v>
      </c>
      <c r="V4752">
        <v>-7.6335279999999997E-3</v>
      </c>
      <c r="W4752">
        <v>-4.7127309999999999E-2</v>
      </c>
      <c r="X4752">
        <v>0.99885970000000002</v>
      </c>
      <c r="Y4752">
        <v>1.9109129999999998E-2</v>
      </c>
      <c r="Z4752">
        <v>-2.057394E-4</v>
      </c>
      <c r="AA4752">
        <v>0.99981739999999997</v>
      </c>
      <c r="AB4752">
        <v>29</v>
      </c>
      <c r="AC4752">
        <v>119.959999999999</v>
      </c>
      <c r="AD4752">
        <v>-1.171089</v>
      </c>
      <c r="AE4752">
        <v>-1.68719999999998</v>
      </c>
      <c r="AF4752">
        <v>2.2983668659551402</v>
      </c>
      <c r="AG4752">
        <v>-1.171089</v>
      </c>
      <c r="AH4752">
        <v>119.938414391221</v>
      </c>
      <c r="AI4752">
        <v>90.559320464627504</v>
      </c>
      <c r="AJ4752">
        <v>88.902181538456801</v>
      </c>
      <c r="AK4752">
        <v>119.966150169023</v>
      </c>
      <c r="AL4752">
        <v>92.701196539787702</v>
      </c>
      <c r="AM4752">
        <v>90.437859714246002</v>
      </c>
      <c r="AN4752">
        <v>0.99999997719082601</v>
      </c>
    </row>
    <row r="4753" spans="1:40" x14ac:dyDescent="0.25">
      <c r="A4753" t="str">
        <f>"20190303153904052"</f>
        <v>20190303153904052</v>
      </c>
      <c r="B4753" t="str">
        <f>"1551598744043032"</f>
        <v>1551598744043032</v>
      </c>
      <c r="C4753" t="s">
        <v>40</v>
      </c>
      <c r="D4753">
        <v>4.068886</v>
      </c>
      <c r="E4753">
        <v>0.51063000000000003</v>
      </c>
      <c r="F4753" t="s">
        <v>43</v>
      </c>
      <c r="G4753">
        <v>-144.5462</v>
      </c>
      <c r="H4753">
        <v>-0.05</v>
      </c>
      <c r="I4753">
        <v>213.77860000000001</v>
      </c>
      <c r="J4753">
        <v>-267.762</v>
      </c>
      <c r="K4753">
        <v>1.121089</v>
      </c>
      <c r="L4753">
        <v>215.56309999999999</v>
      </c>
      <c r="M4753">
        <v>0.99988699999999997</v>
      </c>
      <c r="N4753">
        <v>-1.4145080000000001E-2</v>
      </c>
      <c r="O4753">
        <v>5.0965489999999997E-3</v>
      </c>
      <c r="P4753">
        <v>0.99806470000000003</v>
      </c>
      <c r="Q4753">
        <v>-6.0962559999999999E-2</v>
      </c>
      <c r="R4753">
        <v>1.2268289999999999E-2</v>
      </c>
      <c r="S4753">
        <v>3.0046689999999998</v>
      </c>
      <c r="T4753">
        <v>-2.84909E-2</v>
      </c>
      <c r="U4753">
        <v>-4.3380740000000001E-2</v>
      </c>
      <c r="V4753">
        <v>-7.1825760000000004E-3</v>
      </c>
      <c r="W4753">
        <v>-4.6837789999999997E-2</v>
      </c>
      <c r="X4753">
        <v>0.99887669999999995</v>
      </c>
      <c r="Y4753">
        <v>1.9530369999999998E-2</v>
      </c>
      <c r="Z4753">
        <v>-2.0697169999999999E-4</v>
      </c>
      <c r="AA4753">
        <v>0.99980930000000001</v>
      </c>
      <c r="AB4753">
        <v>29</v>
      </c>
      <c r="AC4753">
        <v>123.2158</v>
      </c>
      <c r="AD4753">
        <v>-1.171089</v>
      </c>
      <c r="AE4753">
        <v>-1.78449999999998</v>
      </c>
      <c r="AF4753">
        <v>2.41229712769527</v>
      </c>
      <c r="AG4753">
        <v>-1.171089</v>
      </c>
      <c r="AH4753">
        <v>123.193977552091</v>
      </c>
      <c r="AI4753">
        <v>90.544536174882396</v>
      </c>
      <c r="AJ4753">
        <v>88.878218025675196</v>
      </c>
      <c r="AK4753">
        <v>123.22315826168099</v>
      </c>
      <c r="AL4753">
        <v>92.684589825481694</v>
      </c>
      <c r="AM4753">
        <v>90.411986983220601</v>
      </c>
      <c r="AN4753">
        <v>1.00000001488648</v>
      </c>
    </row>
    <row r="4754" spans="1:40" x14ac:dyDescent="0.25">
      <c r="A4754" t="str">
        <f>"20190303153904075"</f>
        <v>20190303153904075</v>
      </c>
      <c r="B4754" t="str">
        <f>"1551598744063528"</f>
        <v>1551598744063528</v>
      </c>
      <c r="C4754" t="s">
        <v>40</v>
      </c>
      <c r="D4754">
        <v>4.1082130000000001</v>
      </c>
      <c r="E4754">
        <v>0.51076290000000002</v>
      </c>
      <c r="F4754" t="s">
        <v>43</v>
      </c>
      <c r="G4754">
        <v>-136.9068</v>
      </c>
      <c r="H4754">
        <v>-0.05</v>
      </c>
      <c r="I4754">
        <v>213.56630000000001</v>
      </c>
      <c r="J4754">
        <v>-267.47039999999998</v>
      </c>
      <c r="K4754">
        <v>1.121086</v>
      </c>
      <c r="L4754">
        <v>215.56460000000001</v>
      </c>
      <c r="M4754">
        <v>0.99988699999999997</v>
      </c>
      <c r="N4754">
        <v>-1.41453E-2</v>
      </c>
      <c r="O4754">
        <v>5.096728E-3</v>
      </c>
      <c r="P4754">
        <v>0.99805029999999995</v>
      </c>
      <c r="Q4754">
        <v>-6.1296580000000003E-2</v>
      </c>
      <c r="R4754">
        <v>1.1760609999999999E-2</v>
      </c>
      <c r="S4754">
        <v>3.0047609999999998</v>
      </c>
      <c r="T4754">
        <v>-2.6891109999999999E-2</v>
      </c>
      <c r="U4754">
        <v>-4.5852660000000003E-2</v>
      </c>
      <c r="V4754">
        <v>-6.6747330000000004E-3</v>
      </c>
      <c r="W4754">
        <v>-4.7171810000000002E-2</v>
      </c>
      <c r="X4754">
        <v>0.99886450000000004</v>
      </c>
      <c r="Y4754">
        <v>2.0352510000000001E-2</v>
      </c>
      <c r="Z4754">
        <v>-2.0854979999999999E-4</v>
      </c>
      <c r="AA4754">
        <v>0.99979289999999998</v>
      </c>
      <c r="AB4754">
        <v>29</v>
      </c>
      <c r="AC4754">
        <v>130.56359999999901</v>
      </c>
      <c r="AD4754">
        <v>-1.1710860000000001</v>
      </c>
      <c r="AE4754">
        <v>-1.9983</v>
      </c>
      <c r="AF4754">
        <v>2.6635735163038898</v>
      </c>
      <c r="AG4754">
        <v>-1.1710860000000001</v>
      </c>
      <c r="AH4754">
        <v>130.54121827999199</v>
      </c>
      <c r="AI4754">
        <v>90.5138800166267</v>
      </c>
      <c r="AJ4754">
        <v>88.831094504353899</v>
      </c>
      <c r="AK4754">
        <v>130.57364104719099</v>
      </c>
      <c r="AL4754">
        <v>92.703748950587297</v>
      </c>
      <c r="AM4754">
        <v>90.382863079127503</v>
      </c>
      <c r="AN4754">
        <v>1.0000000105397699</v>
      </c>
    </row>
    <row r="4755" spans="1:40" x14ac:dyDescent="0.25">
      <c r="A4755" t="str">
        <f>"20190303153904096"</f>
        <v>20190303153904096</v>
      </c>
      <c r="B4755" t="str">
        <f>"1551598744093784"</f>
        <v>1551598744093784</v>
      </c>
      <c r="C4755" t="s">
        <v>40</v>
      </c>
      <c r="D4755">
        <v>4.1081830000000004</v>
      </c>
      <c r="E4755">
        <v>0.51093829999999996</v>
      </c>
      <c r="F4755" t="s">
        <v>43</v>
      </c>
      <c r="G4755">
        <v>-138.197</v>
      </c>
      <c r="H4755">
        <v>-0.05</v>
      </c>
      <c r="I4755">
        <v>213.48429999999999</v>
      </c>
      <c r="J4755">
        <v>-267.19299999999998</v>
      </c>
      <c r="K4755">
        <v>1.121084</v>
      </c>
      <c r="L4755">
        <v>215.566</v>
      </c>
      <c r="M4755">
        <v>0.99988699999999997</v>
      </c>
      <c r="N4755">
        <v>-1.414514E-2</v>
      </c>
      <c r="O4755">
        <v>5.0969090000000002E-3</v>
      </c>
      <c r="P4755">
        <v>0.99799079999999996</v>
      </c>
      <c r="Q4755">
        <v>-6.2328059999999998E-2</v>
      </c>
      <c r="R4755">
        <v>1.136965E-2</v>
      </c>
      <c r="S4755">
        <v>3.004791</v>
      </c>
      <c r="T4755">
        <v>-2.7220370000000001E-2</v>
      </c>
      <c r="U4755">
        <v>-4.8355099999999998E-2</v>
      </c>
      <c r="V4755">
        <v>-6.2843350000000003E-3</v>
      </c>
      <c r="W4755">
        <v>-4.8204230000000001E-2</v>
      </c>
      <c r="X4755">
        <v>0.99881770000000003</v>
      </c>
      <c r="Y4755">
        <v>2.118484E-2</v>
      </c>
      <c r="Z4755">
        <v>-2.198782E-4</v>
      </c>
      <c r="AA4755">
        <v>0.99977550000000004</v>
      </c>
      <c r="AB4755">
        <v>29</v>
      </c>
      <c r="AC4755">
        <v>128.99599999999899</v>
      </c>
      <c r="AD4755">
        <v>-1.171084</v>
      </c>
      <c r="AE4755">
        <v>-2.0816999999999801</v>
      </c>
      <c r="AF4755">
        <v>2.7389939044810299</v>
      </c>
      <c r="AG4755">
        <v>-1.171084</v>
      </c>
      <c r="AH4755">
        <v>128.97308582328401</v>
      </c>
      <c r="AI4755">
        <v>90.5201178351154</v>
      </c>
      <c r="AJ4755">
        <v>88.783395748132506</v>
      </c>
      <c r="AK4755">
        <v>129.00748192304201</v>
      </c>
      <c r="AL4755">
        <v>92.762969752093198</v>
      </c>
      <c r="AM4755">
        <v>90.360487325584899</v>
      </c>
      <c r="AN4755">
        <v>0.99999996924478696</v>
      </c>
    </row>
    <row r="4756" spans="1:40" x14ac:dyDescent="0.25">
      <c r="A4756" t="str">
        <f>"20190303153904118"</f>
        <v>20190303153904118</v>
      </c>
      <c r="B4756" t="str">
        <f>"1551598744113304"</f>
        <v>1551598744113304</v>
      </c>
      <c r="C4756" t="s">
        <v>40</v>
      </c>
      <c r="D4756">
        <v>4.1460589999999904</v>
      </c>
      <c r="E4756">
        <v>0.51102440000000005</v>
      </c>
      <c r="F4756" t="s">
        <v>43</v>
      </c>
      <c r="G4756">
        <v>-148.55009999999999</v>
      </c>
      <c r="H4756">
        <v>-0.05</v>
      </c>
      <c r="I4756">
        <v>213.54830000000001</v>
      </c>
      <c r="J4756">
        <v>-266.90859999999998</v>
      </c>
      <c r="K4756">
        <v>1.121084</v>
      </c>
      <c r="L4756">
        <v>215.5675</v>
      </c>
      <c r="M4756">
        <v>0.99988699999999997</v>
      </c>
      <c r="N4756">
        <v>-1.414464E-2</v>
      </c>
      <c r="O4756">
        <v>5.0967340000000003E-3</v>
      </c>
      <c r="P4756">
        <v>0.99796839999999998</v>
      </c>
      <c r="Q4756">
        <v>-6.2779810000000005E-2</v>
      </c>
      <c r="R4756">
        <v>1.085557E-2</v>
      </c>
      <c r="S4756">
        <v>3.004791</v>
      </c>
      <c r="T4756">
        <v>-2.9659270000000001E-2</v>
      </c>
      <c r="U4756">
        <v>-5.1101679999999997E-2</v>
      </c>
      <c r="V4756">
        <v>-5.7707849999999996E-3</v>
      </c>
      <c r="W4756">
        <v>-4.86568E-2</v>
      </c>
      <c r="X4756">
        <v>0.99879890000000005</v>
      </c>
      <c r="Y4756">
        <v>2.20979E-2</v>
      </c>
      <c r="Z4756">
        <v>-2.4357520000000001E-4</v>
      </c>
      <c r="AA4756">
        <v>0.99975579999999997</v>
      </c>
      <c r="AB4756">
        <v>29</v>
      </c>
      <c r="AC4756">
        <v>118.35850000000001</v>
      </c>
      <c r="AD4756">
        <v>-1.171084</v>
      </c>
      <c r="AE4756">
        <v>-2.0191999999999801</v>
      </c>
      <c r="AF4756">
        <v>2.6222192587354098</v>
      </c>
      <c r="AG4756">
        <v>-1.171084</v>
      </c>
      <c r="AH4756">
        <v>118.33508855869999</v>
      </c>
      <c r="AI4756">
        <v>90.566860726472797</v>
      </c>
      <c r="AJ4756">
        <v>88.730575062173301</v>
      </c>
      <c r="AK4756">
        <v>118.369931383655</v>
      </c>
      <c r="AL4756">
        <v>92.788930441646201</v>
      </c>
      <c r="AM4756">
        <v>90.331035552682593</v>
      </c>
      <c r="AN4756">
        <v>1.00000001439348</v>
      </c>
    </row>
    <row r="4757" spans="1:40" x14ac:dyDescent="0.25">
      <c r="A4757" t="str">
        <f>"20190303153904141"</f>
        <v>20190303153904141</v>
      </c>
      <c r="B4757" t="str">
        <f>"1551598744133584"</f>
        <v>1551598744133584</v>
      </c>
      <c r="C4757" t="s">
        <v>40</v>
      </c>
      <c r="D4757">
        <v>4.1592180000000001</v>
      </c>
      <c r="E4757">
        <v>0.51111209999999996</v>
      </c>
      <c r="F4757" t="s">
        <v>43</v>
      </c>
      <c r="G4757">
        <v>-153.0711</v>
      </c>
      <c r="H4757">
        <v>-0.05</v>
      </c>
      <c r="I4757">
        <v>213.54470000000001</v>
      </c>
      <c r="J4757">
        <v>-266.61720000000003</v>
      </c>
      <c r="K4757">
        <v>1.121089</v>
      </c>
      <c r="L4757">
        <v>215.56899999999999</v>
      </c>
      <c r="M4757">
        <v>0.99988719999999998</v>
      </c>
      <c r="N4757">
        <v>-1.414382E-2</v>
      </c>
      <c r="O4757">
        <v>5.0967399999999998E-3</v>
      </c>
      <c r="P4757">
        <v>0.99794269999999996</v>
      </c>
      <c r="Q4757">
        <v>-6.3202460000000002E-2</v>
      </c>
      <c r="R4757">
        <v>1.078403E-2</v>
      </c>
      <c r="S4757">
        <v>3.0046689999999998</v>
      </c>
      <c r="T4757">
        <v>-3.091002E-2</v>
      </c>
      <c r="U4757">
        <v>-5.33905E-2</v>
      </c>
      <c r="V4757">
        <v>-5.6992279999999998E-3</v>
      </c>
      <c r="W4757">
        <v>-4.9080609999999997E-2</v>
      </c>
      <c r="X4757">
        <v>0.99877859999999996</v>
      </c>
      <c r="Y4757">
        <v>2.285968E-2</v>
      </c>
      <c r="Z4757">
        <v>-2.5960399999999998E-4</v>
      </c>
      <c r="AA4757">
        <v>0.99973860000000003</v>
      </c>
      <c r="AB4757">
        <v>29</v>
      </c>
      <c r="AC4757">
        <v>113.5461</v>
      </c>
      <c r="AD4757">
        <v>-1.171089</v>
      </c>
      <c r="AE4757">
        <v>-2.02430000000001</v>
      </c>
      <c r="AF4757">
        <v>2.6027696403978999</v>
      </c>
      <c r="AG4757">
        <v>-1.171089</v>
      </c>
      <c r="AH4757">
        <v>113.52223458188899</v>
      </c>
      <c r="AI4757">
        <v>90.590883807954896</v>
      </c>
      <c r="AJ4757">
        <v>88.686586871833498</v>
      </c>
      <c r="AK4757">
        <v>113.558106728284</v>
      </c>
      <c r="AL4757">
        <v>92.8132419418871</v>
      </c>
      <c r="AM4757">
        <v>90.326937488258906</v>
      </c>
      <c r="AN4757">
        <v>1.0000000396478601</v>
      </c>
    </row>
    <row r="4758" spans="1:40" x14ac:dyDescent="0.25">
      <c r="A4758" t="str">
        <f>"20190303153904162"</f>
        <v>20190303153904162</v>
      </c>
      <c r="B4758" t="str">
        <f>"1551598744153100"</f>
        <v>1551598744153100</v>
      </c>
      <c r="C4758" t="s">
        <v>40</v>
      </c>
      <c r="D4758">
        <v>4.2165559999999997</v>
      </c>
      <c r="E4758">
        <v>0.51116059999999996</v>
      </c>
      <c r="F4758" t="s">
        <v>43</v>
      </c>
      <c r="G4758">
        <v>-156.5839</v>
      </c>
      <c r="H4758">
        <v>-0.05</v>
      </c>
      <c r="I4758">
        <v>213.5831</v>
      </c>
      <c r="J4758">
        <v>-266.33519999999999</v>
      </c>
      <c r="K4758">
        <v>1.1210880000000001</v>
      </c>
      <c r="L4758">
        <v>215.57040000000001</v>
      </c>
      <c r="M4758">
        <v>0.99988719999999998</v>
      </c>
      <c r="N4758">
        <v>-1.4142740000000001E-2</v>
      </c>
      <c r="O4758">
        <v>5.0967479999999999E-3</v>
      </c>
      <c r="P4758">
        <v>0.99797769999999997</v>
      </c>
      <c r="Q4758">
        <v>-6.2636369999999997E-2</v>
      </c>
      <c r="R4758">
        <v>1.083892E-2</v>
      </c>
      <c r="S4758">
        <v>3.0047609999999998</v>
      </c>
      <c r="T4758">
        <v>-3.1979800000000003E-2</v>
      </c>
      <c r="U4758">
        <v>-5.4229739999999999E-2</v>
      </c>
      <c r="V4758">
        <v>-5.7536799999999997E-3</v>
      </c>
      <c r="W4758">
        <v>-4.8515129999999997E-2</v>
      </c>
      <c r="X4758">
        <v>0.99880590000000002</v>
      </c>
      <c r="Y4758">
        <v>2.3138120000000002E-2</v>
      </c>
      <c r="Z4758">
        <v>-2.6892659999999999E-4</v>
      </c>
      <c r="AA4758">
        <v>0.99973230000000002</v>
      </c>
      <c r="AB4758">
        <v>29</v>
      </c>
      <c r="AC4758">
        <v>109.7513</v>
      </c>
      <c r="AD4758">
        <v>-1.1710879999999999</v>
      </c>
      <c r="AE4758">
        <v>-1.9873000000000001</v>
      </c>
      <c r="AF4758">
        <v>2.54641490631984</v>
      </c>
      <c r="AG4758">
        <v>-1.1710879999999999</v>
      </c>
      <c r="AH4758">
        <v>109.727255311154</v>
      </c>
      <c r="AI4758">
        <v>90.611313875105694</v>
      </c>
      <c r="AJ4758">
        <v>88.670588783076596</v>
      </c>
      <c r="AK4758">
        <v>109.763045849221</v>
      </c>
      <c r="AL4758">
        <v>92.780803723592498</v>
      </c>
      <c r="AM4758">
        <v>90.330052049392904</v>
      </c>
      <c r="AN4758">
        <v>1.00000002427363</v>
      </c>
    </row>
    <row r="4759" spans="1:40" x14ac:dyDescent="0.25">
      <c r="A4759" t="str">
        <f>"20190303153904185"</f>
        <v>20190303153904185</v>
      </c>
      <c r="B4759" t="str">
        <f>"1551598744173596"</f>
        <v>1551598744173596</v>
      </c>
      <c r="C4759" t="s">
        <v>40</v>
      </c>
      <c r="D4759">
        <v>4.184933</v>
      </c>
      <c r="E4759">
        <v>0.53543850000000004</v>
      </c>
      <c r="F4759" t="s">
        <v>43</v>
      </c>
      <c r="G4759">
        <v>-150.4529</v>
      </c>
      <c r="H4759">
        <v>-0.05</v>
      </c>
      <c r="I4759">
        <v>213.47900000000001</v>
      </c>
      <c r="J4759">
        <v>-266.05669999999998</v>
      </c>
      <c r="K4759">
        <v>1.1210850000000001</v>
      </c>
      <c r="L4759">
        <v>215.5718</v>
      </c>
      <c r="M4759">
        <v>0.99988699999999997</v>
      </c>
      <c r="N4759">
        <v>-1.414145E-2</v>
      </c>
      <c r="O4759">
        <v>5.0969359999999998E-3</v>
      </c>
      <c r="P4759">
        <v>0.99796130000000005</v>
      </c>
      <c r="Q4759">
        <v>-6.2765029999999999E-2</v>
      </c>
      <c r="R4759">
        <v>1.156806E-2</v>
      </c>
      <c r="S4759">
        <v>3.004791</v>
      </c>
      <c r="T4759">
        <v>-3.0365940000000001E-2</v>
      </c>
      <c r="U4759">
        <v>-5.4229739999999999E-2</v>
      </c>
      <c r="V4759">
        <v>-6.4828029999999997E-3</v>
      </c>
      <c r="W4759">
        <v>-4.8645239999999999E-2</v>
      </c>
      <c r="X4759">
        <v>0.99879510000000005</v>
      </c>
      <c r="Y4759">
        <v>2.313832E-2</v>
      </c>
      <c r="Z4759">
        <v>-2.5996759999999999E-4</v>
      </c>
      <c r="AA4759">
        <v>0.99973230000000002</v>
      </c>
      <c r="AB4759">
        <v>29</v>
      </c>
      <c r="AC4759">
        <v>115.603799999999</v>
      </c>
      <c r="AD4759">
        <v>-1.1710849999999999</v>
      </c>
      <c r="AE4759">
        <v>-2.09279999999998</v>
      </c>
      <c r="AF4759">
        <v>2.6817817993551998</v>
      </c>
      <c r="AG4759">
        <v>-1.1710849999999999</v>
      </c>
      <c r="AH4759">
        <v>115.579773206743</v>
      </c>
      <c r="AI4759">
        <v>90.580360016943501</v>
      </c>
      <c r="AJ4759">
        <v>88.670812298762598</v>
      </c>
      <c r="AK4759">
        <v>115.616812653778</v>
      </c>
      <c r="AL4759">
        <v>92.788267304492194</v>
      </c>
      <c r="AM4759">
        <v>90.371880113802106</v>
      </c>
      <c r="AN4759">
        <v>1.0000000189467</v>
      </c>
    </row>
    <row r="4760" spans="1:40" x14ac:dyDescent="0.25">
      <c r="A4760" t="str">
        <f>"20190303153904201"</f>
        <v>20190303153904201</v>
      </c>
      <c r="B4760" t="str">
        <f>"1551598744193117"</f>
        <v>1551598744193117</v>
      </c>
      <c r="C4760" t="s">
        <v>40</v>
      </c>
      <c r="D4760">
        <v>4.1848739999999998</v>
      </c>
      <c r="E4760">
        <v>0.53702090000000002</v>
      </c>
      <c r="F4760" t="s">
        <v>66</v>
      </c>
      <c r="G4760">
        <v>-168.41059999999999</v>
      </c>
      <c r="H4760">
        <v>1.4510270000000001</v>
      </c>
      <c r="I4760">
        <v>207.61609999999999</v>
      </c>
      <c r="J4760">
        <v>-265.83249999999998</v>
      </c>
      <c r="K4760">
        <v>1.1210850000000001</v>
      </c>
      <c r="L4760">
        <v>215.57300000000001</v>
      </c>
      <c r="M4760">
        <v>0.99988719999999998</v>
      </c>
      <c r="N4760">
        <v>-1.414026E-2</v>
      </c>
      <c r="O4760">
        <v>5.0967649999999996E-3</v>
      </c>
      <c r="P4760">
        <v>0.99794479999999997</v>
      </c>
      <c r="Q4760">
        <v>-6.2879320000000002E-2</v>
      </c>
      <c r="R4760">
        <v>1.2352729999999999E-2</v>
      </c>
      <c r="S4760">
        <v>3.0096129999999999</v>
      </c>
      <c r="T4760">
        <v>1.017034E-2</v>
      </c>
      <c r="U4760">
        <v>-0.2452087</v>
      </c>
      <c r="V4760">
        <v>-7.267641E-3</v>
      </c>
      <c r="W4760">
        <v>-4.876084E-2</v>
      </c>
      <c r="X4760">
        <v>0.99878409999999995</v>
      </c>
      <c r="Y4760">
        <v>8.6286249999999995E-2</v>
      </c>
      <c r="Z4760">
        <v>-3.7639269999999999E-4</v>
      </c>
      <c r="AA4760">
        <v>0.99627030000000005</v>
      </c>
      <c r="AB4760">
        <v>29</v>
      </c>
      <c r="AC4760">
        <v>97.421899999999994</v>
      </c>
      <c r="AD4760">
        <v>0.32994200000000001</v>
      </c>
      <c r="AE4760">
        <v>-7.9568999999999903</v>
      </c>
      <c r="AF4760">
        <v>8.4532864085338009</v>
      </c>
      <c r="AG4760">
        <v>0.32994200000000001</v>
      </c>
      <c r="AH4760">
        <v>97.378966344840606</v>
      </c>
      <c r="AI4760">
        <v>89.806596996697195</v>
      </c>
      <c r="AJ4760">
        <v>85.038697537480999</v>
      </c>
      <c r="AK4760">
        <v>97.745741591220593</v>
      </c>
      <c r="AL4760">
        <v>92.794898455794495</v>
      </c>
      <c r="AM4760">
        <v>90.416904721826796</v>
      </c>
      <c r="AN4760">
        <v>1.000000058268</v>
      </c>
    </row>
    <row r="4761" spans="1:40" x14ac:dyDescent="0.25">
      <c r="A4761" t="str">
        <f>"20190303153904218"</f>
        <v>20190303153904218</v>
      </c>
      <c r="B4761" t="str">
        <f>"1551598744213612"</f>
        <v>1551598744213612</v>
      </c>
      <c r="C4761" t="s">
        <v>40</v>
      </c>
      <c r="D4761">
        <v>4.1820639999999996</v>
      </c>
      <c r="E4761">
        <v>0.53777149999999996</v>
      </c>
      <c r="F4761" t="s">
        <v>66</v>
      </c>
      <c r="G4761">
        <v>-168.41069999999999</v>
      </c>
      <c r="H4761">
        <v>1.5057529999999999</v>
      </c>
      <c r="I4761">
        <v>207.30439999999999</v>
      </c>
      <c r="J4761">
        <v>-265.62400000000002</v>
      </c>
      <c r="K4761">
        <v>1.1210819999999999</v>
      </c>
      <c r="L4761">
        <v>215.57400000000001</v>
      </c>
      <c r="M4761">
        <v>0.99988699999999997</v>
      </c>
      <c r="N4761">
        <v>-1.413904E-2</v>
      </c>
      <c r="O4761">
        <v>5.0969520000000001E-3</v>
      </c>
      <c r="P4761">
        <v>0.99791350000000001</v>
      </c>
      <c r="Q4761">
        <v>-6.3131060000000003E-2</v>
      </c>
      <c r="R4761">
        <v>1.3542190000000001E-2</v>
      </c>
      <c r="S4761">
        <v>3.0100709999999999</v>
      </c>
      <c r="T4761">
        <v>1.1886239999999999E-2</v>
      </c>
      <c r="U4761">
        <v>-0.25547789999999998</v>
      </c>
      <c r="V4761">
        <v>-8.4572220000000004E-3</v>
      </c>
      <c r="W4761">
        <v>-4.9014080000000002E-2</v>
      </c>
      <c r="X4761">
        <v>0.99876229999999999</v>
      </c>
      <c r="Y4761">
        <v>8.9649399999999907E-2</v>
      </c>
      <c r="Z4761">
        <v>-3.6622720000000002E-4</v>
      </c>
      <c r="AA4761">
        <v>0.99597329999999995</v>
      </c>
      <c r="AB4761">
        <v>29</v>
      </c>
      <c r="AC4761">
        <v>97.213300000000004</v>
      </c>
      <c r="AD4761">
        <v>0.38467099999999999</v>
      </c>
      <c r="AE4761">
        <v>-8.26960000000002</v>
      </c>
      <c r="AF4761">
        <v>8.7648973906538092</v>
      </c>
      <c r="AG4761">
        <v>0.38467099999999999</v>
      </c>
      <c r="AH4761">
        <v>97.168372519691005</v>
      </c>
      <c r="AI4761">
        <v>89.774095331900398</v>
      </c>
      <c r="AJ4761">
        <v>84.845687134253097</v>
      </c>
      <c r="AK4761">
        <v>97.563640851355899</v>
      </c>
      <c r="AL4761">
        <v>92.809425520621502</v>
      </c>
      <c r="AM4761">
        <v>90.485152018777598</v>
      </c>
      <c r="AN4761">
        <v>1.0000000182717399</v>
      </c>
    </row>
    <row r="4762" spans="1:40" x14ac:dyDescent="0.25">
      <c r="A4762" t="str">
        <f>"20190303153904236"</f>
        <v>20190303153904236</v>
      </c>
      <c r="B4762" t="str">
        <f>"1551598744233270"</f>
        <v>1551598744233270</v>
      </c>
      <c r="C4762" t="s">
        <v>40</v>
      </c>
      <c r="D4762">
        <v>4.1970769999999904</v>
      </c>
      <c r="E4762">
        <v>0.53821719999999995</v>
      </c>
      <c r="F4762" t="s">
        <v>66</v>
      </c>
      <c r="G4762">
        <v>-168.41069999999999</v>
      </c>
      <c r="H4762">
        <v>1.544672</v>
      </c>
      <c r="I4762">
        <v>207.25210000000001</v>
      </c>
      <c r="J4762">
        <v>-265.3999</v>
      </c>
      <c r="K4762">
        <v>1.1210830000000001</v>
      </c>
      <c r="L4762">
        <v>215.5752</v>
      </c>
      <c r="M4762">
        <v>0.99988710000000003</v>
      </c>
      <c r="N4762">
        <v>-1.413763E-2</v>
      </c>
      <c r="O4762">
        <v>5.0969630000000004E-3</v>
      </c>
      <c r="P4762">
        <v>0.99791260000000004</v>
      </c>
      <c r="Q4762">
        <v>-6.2944260000000002E-2</v>
      </c>
      <c r="R4762">
        <v>1.4449790000000001E-2</v>
      </c>
      <c r="S4762">
        <v>3.0105900000000001</v>
      </c>
      <c r="T4762">
        <v>1.3119219999999999E-2</v>
      </c>
      <c r="U4762">
        <v>-0.25772089999999998</v>
      </c>
      <c r="V4762">
        <v>-9.3645540000000006E-3</v>
      </c>
      <c r="W4762">
        <v>-4.882864E-2</v>
      </c>
      <c r="X4762">
        <v>0.99876330000000002</v>
      </c>
      <c r="Y4762">
        <v>9.0371699999999999E-2</v>
      </c>
      <c r="Z4762">
        <v>-3.4936899999999998E-4</v>
      </c>
      <c r="AA4762">
        <v>0.99590800000000002</v>
      </c>
      <c r="AB4762">
        <v>29</v>
      </c>
      <c r="AC4762">
        <v>96.989199999999997</v>
      </c>
      <c r="AD4762">
        <v>0.42358899999999999</v>
      </c>
      <c r="AE4762">
        <v>-8.3230999999999806</v>
      </c>
      <c r="AF4762">
        <v>8.8172246728797301</v>
      </c>
      <c r="AG4762">
        <v>0.42358899999999999</v>
      </c>
      <c r="AH4762">
        <v>96.943677536124198</v>
      </c>
      <c r="AI4762">
        <v>89.750680548860601</v>
      </c>
      <c r="AJ4762">
        <v>84.803130801259201</v>
      </c>
      <c r="AK4762">
        <v>97.344745583934795</v>
      </c>
      <c r="AL4762">
        <v>92.798787820874594</v>
      </c>
      <c r="AM4762">
        <v>90.537198051806001</v>
      </c>
      <c r="AN4762">
        <v>1.0000000301913701</v>
      </c>
    </row>
    <row r="4763" spans="1:40" x14ac:dyDescent="0.25">
      <c r="A4763" t="str">
        <f>"20190303153904252"</f>
        <v>20190303153904252</v>
      </c>
      <c r="B4763" t="str">
        <f>"1551598744243029"</f>
        <v>1551598744243029</v>
      </c>
      <c r="C4763" t="s">
        <v>40</v>
      </c>
      <c r="D4763">
        <v>4.2058220000000004</v>
      </c>
      <c r="E4763">
        <v>0.53823019999999999</v>
      </c>
      <c r="F4763" t="s">
        <v>66</v>
      </c>
      <c r="G4763">
        <v>-168.41079999999999</v>
      </c>
      <c r="H4763">
        <v>1.614258</v>
      </c>
      <c r="I4763">
        <v>207.24639999999999</v>
      </c>
      <c r="J4763">
        <v>-265.19150000000002</v>
      </c>
      <c r="K4763">
        <v>1.121092</v>
      </c>
      <c r="L4763">
        <v>215.5763</v>
      </c>
      <c r="M4763">
        <v>0.99988719999999998</v>
      </c>
      <c r="N4763">
        <v>-1.413624E-2</v>
      </c>
      <c r="O4763">
        <v>5.0969730000000003E-3</v>
      </c>
      <c r="P4763">
        <v>0.99793730000000003</v>
      </c>
      <c r="Q4763">
        <v>-6.2372749999999998E-2</v>
      </c>
      <c r="R4763">
        <v>1.519996E-2</v>
      </c>
      <c r="S4763">
        <v>3.0109560000000002</v>
      </c>
      <c r="T4763">
        <v>1.531124E-2</v>
      </c>
      <c r="U4763">
        <v>-0.25856020000000002</v>
      </c>
      <c r="V4763">
        <v>-1.0114450000000001E-2</v>
      </c>
      <c r="W4763">
        <v>-4.8258139999999998E-2</v>
      </c>
      <c r="X4763">
        <v>0.99878370000000005</v>
      </c>
      <c r="Y4763">
        <v>9.063707E-2</v>
      </c>
      <c r="Z4763">
        <v>-3.1401660000000001E-4</v>
      </c>
      <c r="AA4763">
        <v>0.99588390000000004</v>
      </c>
      <c r="AB4763">
        <v>29</v>
      </c>
      <c r="AC4763">
        <v>96.780699999999996</v>
      </c>
      <c r="AD4763">
        <v>0.49316599999999999</v>
      </c>
      <c r="AE4763">
        <v>-8.3299000000000092</v>
      </c>
      <c r="AF4763">
        <v>8.8229022175613707</v>
      </c>
      <c r="AG4763">
        <v>0.49316599999999999</v>
      </c>
      <c r="AH4763">
        <v>96.734487729858799</v>
      </c>
      <c r="AI4763">
        <v>89.709108010530898</v>
      </c>
      <c r="AJ4763">
        <v>84.7886191469713</v>
      </c>
      <c r="AK4763">
        <v>97.137263357593199</v>
      </c>
      <c r="AL4763">
        <v>92.766062040564705</v>
      </c>
      <c r="AM4763">
        <v>90.580201186981</v>
      </c>
      <c r="AN4763">
        <v>1.00000001478037</v>
      </c>
    </row>
    <row r="4764" spans="1:40" x14ac:dyDescent="0.25">
      <c r="A4764" t="str">
        <f>"20190303153904275"</f>
        <v>20190303153904275</v>
      </c>
      <c r="B4764" t="str">
        <f>"1551598744263525"</f>
        <v>1551598744263525</v>
      </c>
      <c r="C4764" t="s">
        <v>40</v>
      </c>
      <c r="D4764">
        <v>4.2268410000000003</v>
      </c>
      <c r="E4764">
        <v>0.53844080000000005</v>
      </c>
      <c r="F4764" t="s">
        <v>66</v>
      </c>
      <c r="G4764">
        <v>-168.41079999999999</v>
      </c>
      <c r="H4764">
        <v>1.6600509999999999</v>
      </c>
      <c r="I4764">
        <v>207.33609999999999</v>
      </c>
      <c r="J4764">
        <v>-264.90750000000003</v>
      </c>
      <c r="K4764">
        <v>1.121092</v>
      </c>
      <c r="L4764">
        <v>215.57769999999999</v>
      </c>
      <c r="M4764">
        <v>0.99988730000000003</v>
      </c>
      <c r="N4764">
        <v>-1.412976E-2</v>
      </c>
      <c r="O4764">
        <v>5.0970190000000004E-3</v>
      </c>
      <c r="P4764">
        <v>0.99796050000000003</v>
      </c>
      <c r="Q4764">
        <v>-6.1987319999999999E-2</v>
      </c>
      <c r="R4764">
        <v>1.525116E-2</v>
      </c>
      <c r="S4764">
        <v>3.0111690000000002</v>
      </c>
      <c r="T4764">
        <v>1.6769889999999999E-2</v>
      </c>
      <c r="U4764">
        <v>-0.2563782</v>
      </c>
      <c r="V4764">
        <v>-1.016559E-2</v>
      </c>
      <c r="W4764">
        <v>-4.7878869999999997E-2</v>
      </c>
      <c r="X4764">
        <v>0.99880139999999995</v>
      </c>
      <c r="Y4764">
        <v>8.9914629999999995E-2</v>
      </c>
      <c r="Z4764">
        <v>-2.862602E-4</v>
      </c>
      <c r="AA4764">
        <v>0.99594939999999998</v>
      </c>
      <c r="AB4764">
        <v>29</v>
      </c>
      <c r="AC4764">
        <v>96.496700000000004</v>
      </c>
      <c r="AD4764">
        <v>0.53895899999999997</v>
      </c>
      <c r="AE4764">
        <v>-8.2416</v>
      </c>
      <c r="AF4764">
        <v>8.7331170230797301</v>
      </c>
      <c r="AG4764">
        <v>0.53895899999999997</v>
      </c>
      <c r="AH4764">
        <v>96.4504474945048</v>
      </c>
      <c r="AI4764">
        <v>89.681142508818596</v>
      </c>
      <c r="AJ4764">
        <v>84.826255020874598</v>
      </c>
      <c r="AK4764">
        <v>96.846510683827503</v>
      </c>
      <c r="AL4764">
        <v>92.744306414446498</v>
      </c>
      <c r="AM4764">
        <v>90.583124225874101</v>
      </c>
      <c r="AN4764">
        <v>0.99999998102724197</v>
      </c>
    </row>
    <row r="4765" spans="1:40" x14ac:dyDescent="0.25">
      <c r="A4765" t="str">
        <f>"20190303153904298"</f>
        <v>20190303153904298</v>
      </c>
      <c r="B4765" t="str">
        <f>"1551598744293782"</f>
        <v>1551598744293782</v>
      </c>
      <c r="C4765" t="s">
        <v>40</v>
      </c>
      <c r="D4765">
        <v>4.2035419999999997</v>
      </c>
      <c r="E4765">
        <v>0.53924349999999999</v>
      </c>
      <c r="F4765" t="s">
        <v>66</v>
      </c>
      <c r="G4765">
        <v>-168.41079999999999</v>
      </c>
      <c r="H4765">
        <v>1.6884349999999999</v>
      </c>
      <c r="I4765">
        <v>207.31100000000001</v>
      </c>
      <c r="J4765">
        <v>-264.6121</v>
      </c>
      <c r="K4765">
        <v>1.1210800000000001</v>
      </c>
      <c r="L4765">
        <v>215.57919999999999</v>
      </c>
      <c r="M4765">
        <v>0.99988779999999999</v>
      </c>
      <c r="N4765">
        <v>-1.40947E-2</v>
      </c>
      <c r="O4765">
        <v>5.097089E-3</v>
      </c>
      <c r="P4765">
        <v>0.99797389999999997</v>
      </c>
      <c r="Q4765">
        <v>-6.195502E-2</v>
      </c>
      <c r="R4765">
        <v>1.448431E-2</v>
      </c>
      <c r="S4765">
        <v>3.0112000000000001</v>
      </c>
      <c r="T4765">
        <v>1.7705080000000002E-2</v>
      </c>
      <c r="U4765">
        <v>-0.2579651</v>
      </c>
      <c r="V4765">
        <v>-9.3987989999999993E-3</v>
      </c>
      <c r="W4765">
        <v>-4.7881489999999999E-2</v>
      </c>
      <c r="X4765">
        <v>0.99880880000000005</v>
      </c>
      <c r="Y4765">
        <v>9.043495E-2</v>
      </c>
      <c r="Z4765">
        <v>-2.7151250000000002E-4</v>
      </c>
      <c r="AA4765">
        <v>0.99590230000000002</v>
      </c>
      <c r="AB4765">
        <v>28</v>
      </c>
      <c r="AC4765">
        <v>96.201300000000003</v>
      </c>
      <c r="AD4765">
        <v>0.56735500000000005</v>
      </c>
      <c r="AE4765">
        <v>-8.2682000000000002</v>
      </c>
      <c r="AF4765">
        <v>8.7581854233093797</v>
      </c>
      <c r="AG4765">
        <v>0.56735500000000005</v>
      </c>
      <c r="AH4765">
        <v>96.154582267142402</v>
      </c>
      <c r="AI4765">
        <v>89.663326888719496</v>
      </c>
      <c r="AJ4765">
        <v>84.795607343392902</v>
      </c>
      <c r="AK4765">
        <v>96.554292470991399</v>
      </c>
      <c r="AL4765">
        <v>92.744456658623307</v>
      </c>
      <c r="AM4765">
        <v>90.539137842282301</v>
      </c>
      <c r="AN4765">
        <v>0.99999999673235096</v>
      </c>
    </row>
    <row r="4766" spans="1:40" x14ac:dyDescent="0.25">
      <c r="A4766" t="str">
        <f>"20190303153904320"</f>
        <v>20190303153904320</v>
      </c>
      <c r="B4766" t="str">
        <f>"1551598744313305"</f>
        <v>1551598744313305</v>
      </c>
      <c r="C4766" t="s">
        <v>40</v>
      </c>
      <c r="D4766">
        <v>4.1993340000000003</v>
      </c>
      <c r="E4766">
        <v>0.53970959999999901</v>
      </c>
      <c r="F4766" t="s">
        <v>66</v>
      </c>
      <c r="G4766">
        <v>-168.4109</v>
      </c>
      <c r="H4766">
        <v>1.7755240000000001</v>
      </c>
      <c r="I4766">
        <v>207.06100000000001</v>
      </c>
      <c r="J4766">
        <v>-264.33980000000003</v>
      </c>
      <c r="K4766">
        <v>1.1210629999999999</v>
      </c>
      <c r="L4766">
        <v>215.5806</v>
      </c>
      <c r="M4766">
        <v>0.99988869999999996</v>
      </c>
      <c r="N4766">
        <v>-1.402262E-2</v>
      </c>
      <c r="O4766">
        <v>5.0971230000000003E-3</v>
      </c>
      <c r="P4766">
        <v>0.99796399999999996</v>
      </c>
      <c r="Q4766">
        <v>-6.222287E-2</v>
      </c>
      <c r="R4766">
        <v>1.4014789999999999E-2</v>
      </c>
      <c r="S4766">
        <v>3.0112299999999999</v>
      </c>
      <c r="T4766">
        <v>2.0486000000000001E-2</v>
      </c>
      <c r="U4766">
        <v>-0.26663209999999998</v>
      </c>
      <c r="V4766">
        <v>-8.9290510000000003E-3</v>
      </c>
      <c r="W4766">
        <v>-4.8221510000000002E-2</v>
      </c>
      <c r="X4766">
        <v>0.99879680000000004</v>
      </c>
      <c r="Y4766">
        <v>9.3278600000000003E-2</v>
      </c>
      <c r="Z4766">
        <v>-2.3269E-4</v>
      </c>
      <c r="AA4766">
        <v>0.99563999999999997</v>
      </c>
      <c r="AB4766">
        <v>28</v>
      </c>
      <c r="AC4766">
        <v>95.928899999999999</v>
      </c>
      <c r="AD4766">
        <v>0.65446099999999996</v>
      </c>
      <c r="AE4766">
        <v>-8.51960000000002</v>
      </c>
      <c r="AF4766">
        <v>9.0080827855602301</v>
      </c>
      <c r="AG4766">
        <v>0.65446099999999996</v>
      </c>
      <c r="AH4766">
        <v>95.879796124280006</v>
      </c>
      <c r="AI4766">
        <v>89.610628393353494</v>
      </c>
      <c r="AJ4766">
        <v>84.632711632274905</v>
      </c>
      <c r="AK4766">
        <v>96.304253174538104</v>
      </c>
      <c r="AL4766">
        <v>92.7639607668156</v>
      </c>
      <c r="AM4766">
        <v>90.5121995875853</v>
      </c>
      <c r="AN4766">
        <v>1.00000004483433</v>
      </c>
    </row>
    <row r="4767" spans="1:40" x14ac:dyDescent="0.25">
      <c r="A4767" t="str">
        <f>"20190303153904341"</f>
        <v>20190303153904341</v>
      </c>
      <c r="B4767" t="str">
        <f>"1551598744333797"</f>
        <v>1551598744333797</v>
      </c>
      <c r="C4767" t="s">
        <v>40</v>
      </c>
      <c r="D4767">
        <v>4.2220120000000003</v>
      </c>
      <c r="E4767">
        <v>0.54003159999999995</v>
      </c>
      <c r="F4767" t="s">
        <v>66</v>
      </c>
      <c r="G4767">
        <v>-168.4109</v>
      </c>
      <c r="H4767">
        <v>1.7942830000000001</v>
      </c>
      <c r="I4767">
        <v>206.92420000000001</v>
      </c>
      <c r="J4767">
        <v>-264.05369999999999</v>
      </c>
      <c r="K4767">
        <v>1.1210310000000001</v>
      </c>
      <c r="L4767">
        <v>215.58199999999999</v>
      </c>
      <c r="M4767">
        <v>0.99989039999999996</v>
      </c>
      <c r="N4767">
        <v>-1.3904089999999999E-2</v>
      </c>
      <c r="O4767">
        <v>5.0969450000000003E-3</v>
      </c>
      <c r="P4767">
        <v>0.99797389999999997</v>
      </c>
      <c r="Q4767">
        <v>-6.2299470000000003E-2</v>
      </c>
      <c r="R4767">
        <v>1.292803E-2</v>
      </c>
      <c r="S4767">
        <v>3.0112610000000002</v>
      </c>
      <c r="T4767">
        <v>2.1133780000000001E-2</v>
      </c>
      <c r="U4767">
        <v>-0.27172849999999998</v>
      </c>
      <c r="V4767">
        <v>-7.8426150000000007E-3</v>
      </c>
      <c r="W4767">
        <v>-4.8416500000000001E-2</v>
      </c>
      <c r="X4767">
        <v>0.99879649999999998</v>
      </c>
      <c r="Y4767">
        <v>9.4949110000000003E-2</v>
      </c>
      <c r="Z4767">
        <v>-2.2252169999999999E-4</v>
      </c>
      <c r="AA4767">
        <v>0.99548210000000004</v>
      </c>
      <c r="AB4767">
        <v>28</v>
      </c>
      <c r="AC4767">
        <v>95.642799999999994</v>
      </c>
      <c r="AD4767">
        <v>0.67325199999999996</v>
      </c>
      <c r="AE4767">
        <v>-8.6577999999999804</v>
      </c>
      <c r="AF4767">
        <v>9.1447712612503604</v>
      </c>
      <c r="AG4767">
        <v>0.67325199999999996</v>
      </c>
      <c r="AH4767">
        <v>95.592726614401997</v>
      </c>
      <c r="AI4767">
        <v>89.598310834417006</v>
      </c>
      <c r="AJ4767">
        <v>84.535492479721299</v>
      </c>
      <c r="AK4767">
        <v>96.031502598115694</v>
      </c>
      <c r="AL4767">
        <v>92.775145903464505</v>
      </c>
      <c r="AM4767">
        <v>90.449880937041101</v>
      </c>
      <c r="AN4767">
        <v>1.00000005624726</v>
      </c>
    </row>
    <row r="4768" spans="1:40" x14ac:dyDescent="0.25">
      <c r="A4768" t="str">
        <f>"20190303153904364"</f>
        <v>20190303153904364</v>
      </c>
      <c r="B4768" t="str">
        <f>"1551598744353317"</f>
        <v>1551598744353317</v>
      </c>
      <c r="C4768" t="s">
        <v>40</v>
      </c>
      <c r="D4768">
        <v>4.2181379999999997</v>
      </c>
      <c r="E4768">
        <v>0.54032360000000001</v>
      </c>
      <c r="F4768" t="s">
        <v>66</v>
      </c>
      <c r="G4768">
        <v>-168.41099999999901</v>
      </c>
      <c r="H4768">
        <v>1.7636320000000001</v>
      </c>
      <c r="I4768">
        <v>206.7577</v>
      </c>
      <c r="J4768">
        <v>-263.77980000000002</v>
      </c>
      <c r="K4768">
        <v>1.1209990000000001</v>
      </c>
      <c r="L4768">
        <v>215.58340000000001</v>
      </c>
      <c r="M4768">
        <v>0.99989249999999996</v>
      </c>
      <c r="N4768">
        <v>-1.375238E-2</v>
      </c>
      <c r="O4768">
        <v>5.0968100000000002E-3</v>
      </c>
      <c r="P4768">
        <v>0.99795959999999995</v>
      </c>
      <c r="Q4768">
        <v>-6.2765790000000002E-2</v>
      </c>
      <c r="R4768">
        <v>1.171612E-2</v>
      </c>
      <c r="S4768">
        <v>3.0109560000000002</v>
      </c>
      <c r="T4768">
        <v>2.0231010000000001E-2</v>
      </c>
      <c r="U4768">
        <v>-0.27780149999999998</v>
      </c>
      <c r="V4768">
        <v>-6.6307939999999998E-3</v>
      </c>
      <c r="W4768">
        <v>-4.9034660000000001E-2</v>
      </c>
      <c r="X4768">
        <v>0.99877510000000003</v>
      </c>
      <c r="Y4768">
        <v>9.6949129999999994E-2</v>
      </c>
      <c r="Z4768">
        <v>-2.3894699999999999E-4</v>
      </c>
      <c r="AA4768">
        <v>0.99528930000000004</v>
      </c>
      <c r="AB4768">
        <v>28</v>
      </c>
      <c r="AC4768">
        <v>95.368799999999993</v>
      </c>
      <c r="AD4768">
        <v>0.64263299999999901</v>
      </c>
      <c r="AE4768">
        <v>-8.8257000000000101</v>
      </c>
      <c r="AF4768">
        <v>9.3112887413992294</v>
      </c>
      <c r="AG4768">
        <v>0.64263299999999901</v>
      </c>
      <c r="AH4768">
        <v>95.318282597478699</v>
      </c>
      <c r="AI4768">
        <v>89.615549347709205</v>
      </c>
      <c r="AJ4768">
        <v>84.420690382162803</v>
      </c>
      <c r="AK4768">
        <v>95.774151379854104</v>
      </c>
      <c r="AL4768">
        <v>92.810606046282999</v>
      </c>
      <c r="AM4768">
        <v>90.380376853125995</v>
      </c>
      <c r="AN4768">
        <v>1.0000000328451899</v>
      </c>
    </row>
    <row r="4769" spans="1:40" x14ac:dyDescent="0.25">
      <c r="A4769" t="str">
        <f>"20190303153904381"</f>
        <v>20190303153904381</v>
      </c>
      <c r="B4769" t="str">
        <f>"1551598744373813"</f>
        <v>1551598744373813</v>
      </c>
      <c r="C4769" t="s">
        <v>40</v>
      </c>
      <c r="D4769">
        <v>4.2222809999999997</v>
      </c>
      <c r="E4769">
        <v>0.54047069999999997</v>
      </c>
      <c r="F4769" t="s">
        <v>66</v>
      </c>
      <c r="G4769">
        <v>-168.41099999999901</v>
      </c>
      <c r="H4769">
        <v>1.71314399999999</v>
      </c>
      <c r="I4769">
        <v>206.5941</v>
      </c>
      <c r="J4769">
        <v>-263.55869999999999</v>
      </c>
      <c r="K4769">
        <v>1.120976</v>
      </c>
      <c r="L4769">
        <v>215.58459999999999</v>
      </c>
      <c r="M4769">
        <v>0.99989459999999997</v>
      </c>
      <c r="N4769">
        <v>-1.360594E-2</v>
      </c>
      <c r="O4769">
        <v>5.0969850000000001E-3</v>
      </c>
      <c r="P4769">
        <v>0.99796169999999995</v>
      </c>
      <c r="Q4769">
        <v>-6.2774449999999996E-2</v>
      </c>
      <c r="R4769">
        <v>1.149769E-2</v>
      </c>
      <c r="S4769">
        <v>3.0106809999999999</v>
      </c>
      <c r="T4769">
        <v>1.86944E-2</v>
      </c>
      <c r="U4769">
        <v>-0.28378300000000001</v>
      </c>
      <c r="V4769">
        <v>-6.4126209999999899E-3</v>
      </c>
      <c r="W4769">
        <v>-4.918956E-2</v>
      </c>
      <c r="X4769">
        <v>0.99876889999999996</v>
      </c>
      <c r="Y4769">
        <v>9.8917779999999997E-2</v>
      </c>
      <c r="Z4769">
        <v>-2.672466E-4</v>
      </c>
      <c r="AA4769">
        <v>0.99509559999999997</v>
      </c>
      <c r="AB4769">
        <v>28</v>
      </c>
      <c r="AC4769">
        <v>95.1477</v>
      </c>
      <c r="AD4769">
        <v>0.59216799999999903</v>
      </c>
      <c r="AE4769">
        <v>-8.9904999999999902</v>
      </c>
      <c r="AF4769">
        <v>9.4750306546722793</v>
      </c>
      <c r="AG4769">
        <v>0.59216799999999903</v>
      </c>
      <c r="AH4769">
        <v>95.096984253643498</v>
      </c>
      <c r="AI4769">
        <v>89.644982120797707</v>
      </c>
      <c r="AJ4769">
        <v>84.310088079246498</v>
      </c>
      <c r="AK4769">
        <v>95.569677633572297</v>
      </c>
      <c r="AL4769">
        <v>92.819491906991004</v>
      </c>
      <c r="AM4769">
        <v>90.3678639476651</v>
      </c>
      <c r="AN4769">
        <v>1.0000000250641401</v>
      </c>
    </row>
    <row r="4770" spans="1:40" x14ac:dyDescent="0.25">
      <c r="A4770" t="str">
        <f>"20190303153904398"</f>
        <v>20190303153904398</v>
      </c>
      <c r="B4770" t="str">
        <f>"1551598744393334"</f>
        <v>1551598744393334</v>
      </c>
      <c r="C4770" t="s">
        <v>40</v>
      </c>
      <c r="D4770">
        <v>4.222512</v>
      </c>
      <c r="E4770">
        <v>0.54056669999999996</v>
      </c>
      <c r="F4770" t="s">
        <v>66</v>
      </c>
      <c r="G4770">
        <v>-168.41099999999901</v>
      </c>
      <c r="H4770">
        <v>1.740238</v>
      </c>
      <c r="I4770">
        <v>206.55760000000001</v>
      </c>
      <c r="J4770">
        <v>-263.34530000000001</v>
      </c>
      <c r="K4770">
        <v>1.1209439999999999</v>
      </c>
      <c r="L4770">
        <v>215.5857</v>
      </c>
      <c r="M4770">
        <v>0.99989680000000003</v>
      </c>
      <c r="N4770">
        <v>-1.3447199999999999E-2</v>
      </c>
      <c r="O4770">
        <v>5.0972309999999998E-3</v>
      </c>
      <c r="P4770">
        <v>0.99802900000000005</v>
      </c>
      <c r="Q4770">
        <v>-6.1797739999999997E-2</v>
      </c>
      <c r="R4770">
        <v>1.092475E-2</v>
      </c>
      <c r="S4770">
        <v>3.0106510000000002</v>
      </c>
      <c r="T4770">
        <v>1.959574E-2</v>
      </c>
      <c r="U4770">
        <v>-0.28562929999999997</v>
      </c>
      <c r="V4770">
        <v>-5.8389729999999999E-3</v>
      </c>
      <c r="W4770">
        <v>-4.8370660000000003E-2</v>
      </c>
      <c r="X4770">
        <v>0.99881240000000004</v>
      </c>
      <c r="Y4770">
        <v>9.9523749999999994E-2</v>
      </c>
      <c r="Z4770">
        <v>-2.4602689999999997E-4</v>
      </c>
      <c r="AA4770">
        <v>0.99503520000000001</v>
      </c>
      <c r="AB4770">
        <v>28</v>
      </c>
      <c r="AC4770">
        <v>94.934299999999993</v>
      </c>
      <c r="AD4770">
        <v>0.61929400000000001</v>
      </c>
      <c r="AE4770">
        <v>-9.0280999999999896</v>
      </c>
      <c r="AF4770">
        <v>9.5115272753457702</v>
      </c>
      <c r="AG4770">
        <v>0.61929400000000001</v>
      </c>
      <c r="AH4770">
        <v>94.883042496508693</v>
      </c>
      <c r="AI4770">
        <v>89.627905223714905</v>
      </c>
      <c r="AJ4770">
        <v>84.275522660408498</v>
      </c>
      <c r="AK4770">
        <v>95.360602082633505</v>
      </c>
      <c r="AL4770">
        <v>92.772516505922297</v>
      </c>
      <c r="AM4770">
        <v>90.334942476318901</v>
      </c>
      <c r="AN4770">
        <v>1.0000000123741399</v>
      </c>
    </row>
    <row r="4771" spans="1:40" x14ac:dyDescent="0.25">
      <c r="A4771" t="str">
        <f>"20190303153904414"</f>
        <v>20190303153904414</v>
      </c>
      <c r="B4771" t="str">
        <f>"1551598744403094"</f>
        <v>1551598744403094</v>
      </c>
      <c r="C4771" t="s">
        <v>40</v>
      </c>
      <c r="D4771">
        <v>4.3105140000000004</v>
      </c>
      <c r="E4771">
        <v>0.54025419999999902</v>
      </c>
      <c r="F4771" t="s">
        <v>66</v>
      </c>
      <c r="G4771">
        <v>-168.4111</v>
      </c>
      <c r="H4771">
        <v>1.8503270000000001</v>
      </c>
      <c r="I4771">
        <v>206.50819999999999</v>
      </c>
      <c r="J4771">
        <v>-263.13600000000002</v>
      </c>
      <c r="K4771">
        <v>1.120914</v>
      </c>
      <c r="L4771">
        <v>215.58670000000001</v>
      </c>
      <c r="M4771">
        <v>0.99989890000000003</v>
      </c>
      <c r="N4771">
        <v>-1.3277570000000001E-2</v>
      </c>
      <c r="O4771">
        <v>5.0976570000000002E-3</v>
      </c>
      <c r="P4771">
        <v>0.99800990000000001</v>
      </c>
      <c r="Q4771">
        <v>-6.2135089999999997E-2</v>
      </c>
      <c r="R4771">
        <v>1.074631E-2</v>
      </c>
      <c r="S4771">
        <v>3.0104679999999999</v>
      </c>
      <c r="T4771">
        <v>2.3130540000000002E-2</v>
      </c>
      <c r="U4771">
        <v>-0.28785709999999998</v>
      </c>
      <c r="V4771">
        <v>-5.6597549999999998E-3</v>
      </c>
      <c r="W4771">
        <v>-4.8877709999999998E-2</v>
      </c>
      <c r="X4771">
        <v>0.99878869999999997</v>
      </c>
      <c r="Y4771">
        <v>0.1002594</v>
      </c>
      <c r="Z4771">
        <v>-1.7624700000000001E-4</v>
      </c>
      <c r="AA4771">
        <v>0.99496130000000005</v>
      </c>
      <c r="AB4771">
        <v>28</v>
      </c>
      <c r="AC4771">
        <v>94.724899999999906</v>
      </c>
      <c r="AD4771">
        <v>0.72941299999999998</v>
      </c>
      <c r="AE4771">
        <v>-9.0785000000000196</v>
      </c>
      <c r="AF4771">
        <v>9.5607378734890798</v>
      </c>
      <c r="AG4771">
        <v>0.72941299999999998</v>
      </c>
      <c r="AH4771">
        <v>94.671823372633796</v>
      </c>
      <c r="AI4771">
        <v>89.560798819835398</v>
      </c>
      <c r="AJ4771">
        <v>84.233352762966206</v>
      </c>
      <c r="AK4771">
        <v>95.156155306471405</v>
      </c>
      <c r="AL4771">
        <v>92.801602867653301</v>
      </c>
      <c r="AM4771">
        <v>90.324669876326695</v>
      </c>
      <c r="AN4771">
        <v>0.99999996530459601</v>
      </c>
    </row>
    <row r="4772" spans="1:40" x14ac:dyDescent="0.25">
      <c r="A4772" t="str">
        <f>"20190303153904431"</f>
        <v>20190303153904431</v>
      </c>
      <c r="B4772" t="str">
        <f>"1551598744423594"</f>
        <v>1551598744423594</v>
      </c>
      <c r="C4772" t="s">
        <v>40</v>
      </c>
      <c r="D4772">
        <v>4.2526169999999999</v>
      </c>
      <c r="E4772">
        <v>0.5399486</v>
      </c>
      <c r="F4772" t="s">
        <v>66</v>
      </c>
      <c r="G4772">
        <v>-168.41099999999901</v>
      </c>
      <c r="H4772">
        <v>1.77973</v>
      </c>
      <c r="I4772">
        <v>206.58799999999999</v>
      </c>
      <c r="J4772">
        <v>-262.9228</v>
      </c>
      <c r="K4772">
        <v>1.1208830000000001</v>
      </c>
      <c r="L4772">
        <v>215.58779999999999</v>
      </c>
      <c r="M4772">
        <v>0.99990140000000005</v>
      </c>
      <c r="N4772">
        <v>-1.3094400000000001E-2</v>
      </c>
      <c r="O4772">
        <v>5.0977419999999997E-3</v>
      </c>
      <c r="P4772">
        <v>0.99800279999999997</v>
      </c>
      <c r="Q4772">
        <v>-6.2203080000000001E-2</v>
      </c>
      <c r="R4772">
        <v>1.102589E-2</v>
      </c>
      <c r="S4772">
        <v>3.010345</v>
      </c>
      <c r="T4772">
        <v>2.0938160000000001E-2</v>
      </c>
      <c r="U4772">
        <v>-0.28598020000000002</v>
      </c>
      <c r="V4772">
        <v>-5.9397230000000001E-3</v>
      </c>
      <c r="W4772">
        <v>-4.9128699999999997E-2</v>
      </c>
      <c r="X4772">
        <v>0.99877479999999996</v>
      </c>
      <c r="Y4772">
        <v>9.9648550000000002E-2</v>
      </c>
      <c r="Z4772">
        <v>-2.0616260000000001E-4</v>
      </c>
      <c r="AA4772">
        <v>0.99502270000000004</v>
      </c>
      <c r="AB4772">
        <v>28</v>
      </c>
      <c r="AC4772">
        <v>94.511799999999994</v>
      </c>
      <c r="AD4772">
        <v>0.65884699999999996</v>
      </c>
      <c r="AE4772">
        <v>-8.9997999999999898</v>
      </c>
      <c r="AF4772">
        <v>9.4810644627934906</v>
      </c>
      <c r="AG4772">
        <v>0.65884699999999996</v>
      </c>
      <c r="AH4772">
        <v>94.460140058671797</v>
      </c>
      <c r="AI4772">
        <v>89.602373814975493</v>
      </c>
      <c r="AJ4772">
        <v>84.268357915107401</v>
      </c>
      <c r="AK4772">
        <v>94.937046102251102</v>
      </c>
      <c r="AL4772">
        <v>92.816000720599902</v>
      </c>
      <c r="AM4772">
        <v>90.340734515354299</v>
      </c>
      <c r="AN4772">
        <v>1.0000000052940199</v>
      </c>
    </row>
    <row r="4773" spans="1:40" x14ac:dyDescent="0.25">
      <c r="A4773" t="str">
        <f>"20190303153904452"</f>
        <v>20190303153904452</v>
      </c>
      <c r="B4773" t="str">
        <f>"1551598744443110"</f>
        <v>1551598744443110</v>
      </c>
      <c r="C4773" t="s">
        <v>40</v>
      </c>
      <c r="D4773">
        <v>4.2442440000000001</v>
      </c>
      <c r="E4773">
        <v>0.53989919999999902</v>
      </c>
      <c r="F4773" t="s">
        <v>66</v>
      </c>
      <c r="G4773">
        <v>-168.41099999999901</v>
      </c>
      <c r="H4773">
        <v>1.735447</v>
      </c>
      <c r="I4773">
        <v>206.71420000000001</v>
      </c>
      <c r="J4773">
        <v>-262.64179999999999</v>
      </c>
      <c r="K4773">
        <v>1.120854</v>
      </c>
      <c r="L4773">
        <v>215.58920000000001</v>
      </c>
      <c r="M4773">
        <v>0.99990480000000004</v>
      </c>
      <c r="N4773">
        <v>-1.28396E-2</v>
      </c>
      <c r="O4773">
        <v>5.0978589999999997E-3</v>
      </c>
      <c r="P4773">
        <v>0.99798960000000003</v>
      </c>
      <c r="Q4773">
        <v>-6.2357500000000003E-2</v>
      </c>
      <c r="R4773">
        <v>1.1345289999999999E-2</v>
      </c>
      <c r="S4773">
        <v>3.010345</v>
      </c>
      <c r="T4773">
        <v>1.9575829999999999E-2</v>
      </c>
      <c r="U4773">
        <v>-0.28263850000000001</v>
      </c>
      <c r="V4773">
        <v>-6.2591610000000001E-3</v>
      </c>
      <c r="W4773">
        <v>-4.953776E-2</v>
      </c>
      <c r="X4773">
        <v>0.99875270000000005</v>
      </c>
      <c r="Y4773">
        <v>9.8553799999999997E-2</v>
      </c>
      <c r="Z4773">
        <v>-2.159823E-4</v>
      </c>
      <c r="AA4773">
        <v>0.99513169999999995</v>
      </c>
      <c r="AB4773">
        <v>28</v>
      </c>
      <c r="AC4773">
        <v>94.230800000000002</v>
      </c>
      <c r="AD4773">
        <v>0.61459299999999994</v>
      </c>
      <c r="AE4773">
        <v>-8.875</v>
      </c>
      <c r="AF4773">
        <v>9.3549050307392605</v>
      </c>
      <c r="AG4773">
        <v>0.61459299999999994</v>
      </c>
      <c r="AH4773">
        <v>94.180356997477702</v>
      </c>
      <c r="AI4773">
        <v>89.627940972310597</v>
      </c>
      <c r="AJ4773">
        <v>84.3274354398187</v>
      </c>
      <c r="AK4773">
        <v>94.645821972563297</v>
      </c>
      <c r="AL4773">
        <v>92.839466545936602</v>
      </c>
      <c r="AM4773">
        <v>90.359066677589695</v>
      </c>
      <c r="AN4773">
        <v>1.0000000612597599</v>
      </c>
    </row>
    <row r="4774" spans="1:40" x14ac:dyDescent="0.25">
      <c r="A4774" t="str">
        <f>"20190303153904476"</f>
        <v>20190303153904476</v>
      </c>
      <c r="B4774" t="str">
        <f>"1551598744473366"</f>
        <v>1551598744473366</v>
      </c>
      <c r="C4774" t="s">
        <v>40</v>
      </c>
      <c r="D4774">
        <v>4.3048820000000001</v>
      </c>
      <c r="E4774">
        <v>0.53976740000000001</v>
      </c>
      <c r="F4774" t="s">
        <v>66</v>
      </c>
      <c r="G4774">
        <v>-168.4109</v>
      </c>
      <c r="H4774">
        <v>1.6911430000000001</v>
      </c>
      <c r="I4774">
        <v>206.77359999999999</v>
      </c>
      <c r="J4774">
        <v>-262.35129999999998</v>
      </c>
      <c r="K4774">
        <v>1.1208119999999999</v>
      </c>
      <c r="L4774">
        <v>215.5907</v>
      </c>
      <c r="M4774">
        <v>0.99990809999999997</v>
      </c>
      <c r="N4774">
        <v>-1.2568360000000001E-2</v>
      </c>
      <c r="O4774">
        <v>5.0981059999999998E-3</v>
      </c>
      <c r="P4774">
        <v>0.99797429999999998</v>
      </c>
      <c r="Q4774">
        <v>-6.2505190000000002E-2</v>
      </c>
      <c r="R4774">
        <v>1.185596E-2</v>
      </c>
      <c r="S4774">
        <v>3.0103759999999999</v>
      </c>
      <c r="T4774">
        <v>1.8219949999999999E-2</v>
      </c>
      <c r="U4774">
        <v>-0.28163149999999998</v>
      </c>
      <c r="V4774">
        <v>-6.7690739999999999E-3</v>
      </c>
      <c r="W4774">
        <v>-4.9956489999999999E-2</v>
      </c>
      <c r="X4774">
        <v>0.99872850000000002</v>
      </c>
      <c r="Y4774">
        <v>9.8223050000000006E-2</v>
      </c>
      <c r="Z4774">
        <v>-2.2730069999999999E-4</v>
      </c>
      <c r="AA4774">
        <v>0.99516439999999995</v>
      </c>
      <c r="AB4774">
        <v>29</v>
      </c>
      <c r="AC4774">
        <v>93.940399999999897</v>
      </c>
      <c r="AD4774">
        <v>0.57033099999999903</v>
      </c>
      <c r="AE4774">
        <v>-8.8170999999999999</v>
      </c>
      <c r="AF4774">
        <v>9.2956016691610905</v>
      </c>
      <c r="AG4774">
        <v>0.57033099999999903</v>
      </c>
      <c r="AH4774">
        <v>93.890794409952605</v>
      </c>
      <c r="AI4774">
        <v>89.653659546222997</v>
      </c>
      <c r="AJ4774">
        <v>84.345891359876305</v>
      </c>
      <c r="AK4774">
        <v>94.351548809615494</v>
      </c>
      <c r="AL4774">
        <v>92.863487797871201</v>
      </c>
      <c r="AM4774">
        <v>90.388327190859002</v>
      </c>
      <c r="AN4774">
        <v>1.0000000439840899</v>
      </c>
    </row>
    <row r="4775" spans="1:40" x14ac:dyDescent="0.25">
      <c r="A4775" t="str">
        <f>"20190303153904510"</f>
        <v>20190303153904510</v>
      </c>
      <c r="B4775" t="str">
        <f>"1551598744503624"</f>
        <v>1551598744503624</v>
      </c>
      <c r="C4775" t="s">
        <v>40</v>
      </c>
      <c r="D4775">
        <v>4.2674949999999896</v>
      </c>
      <c r="E4775">
        <v>0.53960129999999995</v>
      </c>
      <c r="F4775" t="s">
        <v>66</v>
      </c>
      <c r="G4775">
        <v>-168.4109</v>
      </c>
      <c r="H4775">
        <v>1.6615279999999999</v>
      </c>
      <c r="I4775">
        <v>206.88509999999999</v>
      </c>
      <c r="J4775">
        <v>-261.92090000000002</v>
      </c>
      <c r="K4775">
        <v>1.120765</v>
      </c>
      <c r="L4775">
        <v>215.59289999999999</v>
      </c>
      <c r="M4775">
        <v>0.99991300000000005</v>
      </c>
      <c r="N4775">
        <v>-1.216659E-2</v>
      </c>
      <c r="O4775">
        <v>5.0985859999999996E-3</v>
      </c>
      <c r="P4775">
        <v>0.99800730000000004</v>
      </c>
      <c r="Q4775">
        <v>-6.1802879999999998E-2</v>
      </c>
      <c r="R4775">
        <v>1.2722850000000001E-2</v>
      </c>
      <c r="S4775">
        <v>3.010529</v>
      </c>
      <c r="T4775">
        <v>1.7329569999999999E-2</v>
      </c>
      <c r="U4775">
        <v>-0.27899170000000001</v>
      </c>
      <c r="V4775">
        <v>-7.6359269999999998E-3</v>
      </c>
      <c r="W4775">
        <v>-4.9655039999999998E-2</v>
      </c>
      <c r="X4775">
        <v>0.99873719999999999</v>
      </c>
      <c r="Y4775">
        <v>9.7353609999999993E-2</v>
      </c>
      <c r="Z4775">
        <v>-2.2273050000000001E-4</v>
      </c>
      <c r="AA4775">
        <v>0.99524979999999996</v>
      </c>
      <c r="AB4775">
        <v>29</v>
      </c>
      <c r="AC4775">
        <v>93.51</v>
      </c>
      <c r="AD4775">
        <v>0.54076299999999899</v>
      </c>
      <c r="AE4775">
        <v>-8.70779999999999</v>
      </c>
      <c r="AF4775">
        <v>9.1841863602873097</v>
      </c>
      <c r="AG4775">
        <v>0.54076299999999899</v>
      </c>
      <c r="AH4775">
        <v>93.461284934350402</v>
      </c>
      <c r="AI4775">
        <v>89.6700818260733</v>
      </c>
      <c r="AJ4775">
        <v>84.387718165649204</v>
      </c>
      <c r="AK4775">
        <v>93.913010202540505</v>
      </c>
      <c r="AL4775">
        <v>92.846194755593302</v>
      </c>
      <c r="AM4775">
        <v>90.438051036116804</v>
      </c>
      <c r="AN4775">
        <v>0.99999996252119405</v>
      </c>
    </row>
    <row r="4776" spans="1:40" x14ac:dyDescent="0.25">
      <c r="A4776" t="str">
        <f>"20190303153904531"</f>
        <v>20190303153904531</v>
      </c>
      <c r="B4776" t="str">
        <f>"1551598744523145"</f>
        <v>1551598744523145</v>
      </c>
      <c r="C4776" t="s">
        <v>40</v>
      </c>
      <c r="D4776">
        <v>4.2757800000000001</v>
      </c>
      <c r="E4776">
        <v>0.5395413</v>
      </c>
      <c r="F4776" t="s">
        <v>66</v>
      </c>
      <c r="G4776">
        <v>-168.4109</v>
      </c>
      <c r="H4776">
        <v>1.719109</v>
      </c>
      <c r="I4776">
        <v>207.05840000000001</v>
      </c>
      <c r="J4776">
        <v>-261.64</v>
      </c>
      <c r="K4776">
        <v>1.1207389999999999</v>
      </c>
      <c r="L4776">
        <v>215.5943</v>
      </c>
      <c r="M4776">
        <v>0.99991609999999997</v>
      </c>
      <c r="N4776">
        <v>-1.191685E-2</v>
      </c>
      <c r="O4776">
        <v>5.0986119999999998E-3</v>
      </c>
      <c r="P4776">
        <v>0.99803299999999995</v>
      </c>
      <c r="Q4776">
        <v>-6.1360959999999999E-2</v>
      </c>
      <c r="R4776">
        <v>1.286083E-2</v>
      </c>
      <c r="S4776">
        <v>3.0107119999999998</v>
      </c>
      <c r="T4776">
        <v>1.9265770000000002E-2</v>
      </c>
      <c r="U4776">
        <v>-0.27478029999999998</v>
      </c>
      <c r="V4776">
        <v>-7.7736319999999999E-3</v>
      </c>
      <c r="W4776">
        <v>-4.9462260000000001E-2</v>
      </c>
      <c r="X4776">
        <v>0.99874569999999996</v>
      </c>
      <c r="Y4776">
        <v>9.5967339999999998E-2</v>
      </c>
      <c r="Z4776">
        <v>-1.7341310000000001E-4</v>
      </c>
      <c r="AA4776">
        <v>0.99538450000000001</v>
      </c>
      <c r="AB4776">
        <v>29</v>
      </c>
      <c r="AC4776">
        <v>93.229100000000003</v>
      </c>
      <c r="AD4776">
        <v>0.59836999999999996</v>
      </c>
      <c r="AE4776">
        <v>-8.5358999999999892</v>
      </c>
      <c r="AF4776">
        <v>9.0107936399197204</v>
      </c>
      <c r="AG4776">
        <v>0.59836999999999996</v>
      </c>
      <c r="AH4776">
        <v>93.180557114470702</v>
      </c>
      <c r="AI4776">
        <v>89.633781704113801</v>
      </c>
      <c r="AJ4776">
        <v>84.476529004188805</v>
      </c>
      <c r="AK4776">
        <v>93.617138777262596</v>
      </c>
      <c r="AL4776">
        <v>92.835135695861894</v>
      </c>
      <c r="AM4776">
        <v>90.445946662093803</v>
      </c>
      <c r="AN4776">
        <v>0.99999995889363302</v>
      </c>
    </row>
    <row r="4777" spans="1:40" x14ac:dyDescent="0.25">
      <c r="A4777" t="str">
        <f>"20190303153904553"</f>
        <v>20190303153904553</v>
      </c>
      <c r="B4777" t="str">
        <f>"1551598744543639"</f>
        <v>1551598744543639</v>
      </c>
      <c r="C4777" t="s">
        <v>40</v>
      </c>
      <c r="D4777">
        <v>4.2930609999999998</v>
      </c>
      <c r="E4777">
        <v>0.53946479999999997</v>
      </c>
      <c r="F4777" t="s">
        <v>66</v>
      </c>
      <c r="G4777">
        <v>-168.4109</v>
      </c>
      <c r="H4777">
        <v>1.745239</v>
      </c>
      <c r="I4777">
        <v>207.1104</v>
      </c>
      <c r="J4777">
        <v>-261.35570000000001</v>
      </c>
      <c r="K4777">
        <v>1.1207129999999901</v>
      </c>
      <c r="L4777">
        <v>215.5958</v>
      </c>
      <c r="M4777">
        <v>0.9999188</v>
      </c>
      <c r="N4777">
        <v>-1.168106E-2</v>
      </c>
      <c r="O4777">
        <v>5.0990009999999997E-3</v>
      </c>
      <c r="P4777">
        <v>0.99806620000000001</v>
      </c>
      <c r="Q4777">
        <v>-6.0732349999999997E-2</v>
      </c>
      <c r="R4777">
        <v>1.324646E-2</v>
      </c>
      <c r="S4777">
        <v>3.0106510000000002</v>
      </c>
      <c r="T4777">
        <v>2.016807E-2</v>
      </c>
      <c r="U4777">
        <v>-0.27397159999999998</v>
      </c>
      <c r="V4777">
        <v>-8.1585919999999992E-3</v>
      </c>
      <c r="W4777">
        <v>-4.9068779999999999E-2</v>
      </c>
      <c r="X4777">
        <v>0.99876209999999999</v>
      </c>
      <c r="Y4777">
        <v>9.5704250000000005E-2</v>
      </c>
      <c r="Z4777">
        <v>-1.467134E-4</v>
      </c>
      <c r="AA4777">
        <v>0.99540980000000001</v>
      </c>
      <c r="AB4777">
        <v>29</v>
      </c>
      <c r="AC4777">
        <v>92.944800000000001</v>
      </c>
      <c r="AD4777">
        <v>0.62452600000000003</v>
      </c>
      <c r="AE4777">
        <v>-8.4853999999999896</v>
      </c>
      <c r="AF4777">
        <v>8.9588464844407003</v>
      </c>
      <c r="AG4777">
        <v>0.62452600000000003</v>
      </c>
      <c r="AH4777">
        <v>92.896162013337005</v>
      </c>
      <c r="AI4777">
        <v>89.616594227905495</v>
      </c>
      <c r="AJ4777">
        <v>84.491466961151005</v>
      </c>
      <c r="AK4777">
        <v>93.329244504949301</v>
      </c>
      <c r="AL4777">
        <v>92.812563370209901</v>
      </c>
      <c r="AM4777">
        <v>90.468021855684498</v>
      </c>
      <c r="AN4777">
        <v>1.0000000200952599</v>
      </c>
    </row>
    <row r="4778" spans="1:40" x14ac:dyDescent="0.25">
      <c r="A4778" t="str">
        <f>"20190303153904575"</f>
        <v>20190303153904575</v>
      </c>
      <c r="B4778" t="str">
        <f>"1551598744563158"</f>
        <v>1551598744563158</v>
      </c>
      <c r="C4778" t="s">
        <v>40</v>
      </c>
      <c r="D4778">
        <v>4.313148</v>
      </c>
      <c r="E4778">
        <v>0.53928189999999998</v>
      </c>
      <c r="F4778" t="s">
        <v>66</v>
      </c>
      <c r="G4778">
        <v>-168.41079999999999</v>
      </c>
      <c r="H4778">
        <v>1.8163320000000001</v>
      </c>
      <c r="I4778">
        <v>207.19460000000001</v>
      </c>
      <c r="J4778">
        <v>-261.07589999999999</v>
      </c>
      <c r="K4778">
        <v>1.1206959999999999</v>
      </c>
      <c r="L4778">
        <v>215.59719999999999</v>
      </c>
      <c r="M4778">
        <v>0.99992130000000001</v>
      </c>
      <c r="N4778">
        <v>-1.146515E-2</v>
      </c>
      <c r="O4778">
        <v>5.0995459999999999E-3</v>
      </c>
      <c r="P4778">
        <v>0.99808869999999905</v>
      </c>
      <c r="Q4778">
        <v>-6.0242459999999998E-2</v>
      </c>
      <c r="R4778">
        <v>1.3790220000000001E-2</v>
      </c>
      <c r="S4778">
        <v>3.0107729999999999</v>
      </c>
      <c r="T4778">
        <v>2.2534370000000001E-2</v>
      </c>
      <c r="U4778">
        <v>-0.27214050000000001</v>
      </c>
      <c r="V4778">
        <v>-8.7016300000000001E-3</v>
      </c>
      <c r="W4778">
        <v>-4.8794270000000001E-2</v>
      </c>
      <c r="X4778">
        <v>0.99877099999999996</v>
      </c>
      <c r="Y4778">
        <v>9.5100450000000003E-2</v>
      </c>
      <c r="Z4778" s="1">
        <v>-9.4691989999999993E-5</v>
      </c>
      <c r="AA4778">
        <v>0.99546769999999996</v>
      </c>
      <c r="AB4778">
        <v>29</v>
      </c>
      <c r="AC4778">
        <v>92.665099999999995</v>
      </c>
      <c r="AD4778">
        <v>0.69563600000000003</v>
      </c>
      <c r="AE4778">
        <v>-8.4025999999999694</v>
      </c>
      <c r="AF4778">
        <v>8.8745756682971102</v>
      </c>
      <c r="AG4778">
        <v>0.69563600000000003</v>
      </c>
      <c r="AH4778">
        <v>92.6158658855352</v>
      </c>
      <c r="AI4778">
        <v>89.571622641502898</v>
      </c>
      <c r="AJ4778">
        <v>84.5265531468728</v>
      </c>
      <c r="AK4778">
        <v>93.042681692136696</v>
      </c>
      <c r="AL4778">
        <v>92.7968161459914</v>
      </c>
      <c r="AM4778">
        <v>90.499167536823094</v>
      </c>
      <c r="AN4778">
        <v>1.0000000547952399</v>
      </c>
    </row>
    <row r="4779" spans="1:40" x14ac:dyDescent="0.25">
      <c r="A4779" t="str">
        <f>"20190303153904599"</f>
        <v>20190303153904599</v>
      </c>
      <c r="B4779" t="str">
        <f>"1551598744593414"</f>
        <v>1551598744593414</v>
      </c>
      <c r="C4779" t="s">
        <v>40</v>
      </c>
      <c r="D4779">
        <v>4.2915369999999999</v>
      </c>
      <c r="E4779">
        <v>0.53892980000000001</v>
      </c>
      <c r="F4779" t="s">
        <v>66</v>
      </c>
      <c r="G4779">
        <v>-168.41079999999999</v>
      </c>
      <c r="H4779">
        <v>1.8357159999999999</v>
      </c>
      <c r="I4779">
        <v>207.3287</v>
      </c>
      <c r="J4779">
        <v>-260.77969999999999</v>
      </c>
      <c r="K4779">
        <v>1.120681</v>
      </c>
      <c r="L4779">
        <v>215.59880000000001</v>
      </c>
      <c r="M4779">
        <v>0.99992380000000003</v>
      </c>
      <c r="N4779">
        <v>-1.1254500000000001E-2</v>
      </c>
      <c r="O4779">
        <v>5.0997389999999998E-3</v>
      </c>
      <c r="P4779">
        <v>0.99809400000000004</v>
      </c>
      <c r="Q4779">
        <v>-6.0127279999999998E-2</v>
      </c>
      <c r="R4779">
        <v>1.390887E-2</v>
      </c>
      <c r="S4779">
        <v>3.0108640000000002</v>
      </c>
      <c r="T4779">
        <v>2.3233409999999999E-2</v>
      </c>
      <c r="U4779">
        <v>-0.2686615</v>
      </c>
      <c r="V4779">
        <v>-8.820652E-3</v>
      </c>
      <c r="W4779">
        <v>-4.8889450000000001E-2</v>
      </c>
      <c r="X4779">
        <v>0.99876520000000002</v>
      </c>
      <c r="Y4779">
        <v>9.3956659999999997E-2</v>
      </c>
      <c r="Z4779" s="1">
        <v>-7.1439950000000004E-5</v>
      </c>
      <c r="AA4779">
        <v>0.99557629999999997</v>
      </c>
      <c r="AB4779">
        <v>29</v>
      </c>
      <c r="AC4779">
        <v>92.368899999999996</v>
      </c>
      <c r="AD4779">
        <v>0.71503499999999898</v>
      </c>
      <c r="AE4779">
        <v>-8.27010000000001</v>
      </c>
      <c r="AF4779">
        <v>8.7405598895744792</v>
      </c>
      <c r="AG4779">
        <v>0.71503499999999898</v>
      </c>
      <c r="AH4779">
        <v>92.320032469175203</v>
      </c>
      <c r="AI4779">
        <v>89.558218414141194</v>
      </c>
      <c r="AJ4779">
        <v>84.591543722390995</v>
      </c>
      <c r="AK4779">
        <v>92.735629923692301</v>
      </c>
      <c r="AL4779">
        <v>92.802276358428699</v>
      </c>
      <c r="AM4779">
        <v>90.505997799417798</v>
      </c>
      <c r="AN4779">
        <v>0.99999995347702197</v>
      </c>
    </row>
    <row r="4780" spans="1:40" x14ac:dyDescent="0.25">
      <c r="A4780" t="str">
        <f>"20190303153904620"</f>
        <v>20190303153904620</v>
      </c>
      <c r="B4780" t="str">
        <f>"1551598744612933"</f>
        <v>1551598744612933</v>
      </c>
      <c r="C4780" t="s">
        <v>40</v>
      </c>
      <c r="D4780">
        <v>4.3232970000000002</v>
      </c>
      <c r="E4780">
        <v>0.538771</v>
      </c>
      <c r="F4780" t="s">
        <v>66</v>
      </c>
      <c r="G4780">
        <v>-168.41079999999999</v>
      </c>
      <c r="H4780">
        <v>1.770983</v>
      </c>
      <c r="I4780">
        <v>207.44839999999999</v>
      </c>
      <c r="J4780">
        <v>-260.4914</v>
      </c>
      <c r="K4780">
        <v>1.1206719999999999</v>
      </c>
      <c r="L4780">
        <v>215.6002</v>
      </c>
      <c r="M4780">
        <v>0.99992570000000003</v>
      </c>
      <c r="N4780">
        <v>-1.1065449999999999E-2</v>
      </c>
      <c r="O4780">
        <v>5.1001479999999997E-3</v>
      </c>
      <c r="P4780">
        <v>0.99808589999999997</v>
      </c>
      <c r="Q4780">
        <v>-6.0231600000000003E-2</v>
      </c>
      <c r="R4780">
        <v>1.402312E-2</v>
      </c>
      <c r="S4780">
        <v>3.0107119999999998</v>
      </c>
      <c r="T4780">
        <v>2.1197199999999999E-2</v>
      </c>
      <c r="U4780">
        <v>-0.26565549999999999</v>
      </c>
      <c r="V4780">
        <v>-8.9343449999999998E-3</v>
      </c>
      <c r="W4780">
        <v>-4.9182660000000003E-2</v>
      </c>
      <c r="X4780">
        <v>0.99874989999999997</v>
      </c>
      <c r="Y4780">
        <v>9.2975360000000007E-2</v>
      </c>
      <c r="Z4780" s="1">
        <v>-9.6591189999999997E-5</v>
      </c>
      <c r="AA4780">
        <v>0.99566840000000001</v>
      </c>
      <c r="AB4780">
        <v>29</v>
      </c>
      <c r="AC4780">
        <v>92.080600000000004</v>
      </c>
      <c r="AD4780">
        <v>0.65031099999999997</v>
      </c>
      <c r="AE4780">
        <v>-8.1517999999999997</v>
      </c>
      <c r="AF4780">
        <v>8.6209207931604706</v>
      </c>
      <c r="AG4780">
        <v>0.65031099999999997</v>
      </c>
      <c r="AH4780">
        <v>92.033269627177702</v>
      </c>
      <c r="AI4780">
        <v>89.596916807762099</v>
      </c>
      <c r="AJ4780">
        <v>84.648617243559102</v>
      </c>
      <c r="AK4780">
        <v>92.438443831489593</v>
      </c>
      <c r="AL4780">
        <v>92.819095989432896</v>
      </c>
      <c r="AM4780">
        <v>90.512527317761894</v>
      </c>
      <c r="AN4780">
        <v>1.0000000596576299</v>
      </c>
    </row>
    <row r="4781" spans="1:40" x14ac:dyDescent="0.25">
      <c r="A4781" t="str">
        <f>"20190303153904643"</f>
        <v>20190303153904643</v>
      </c>
      <c r="B4781" t="str">
        <f>"1551598744633429"</f>
        <v>1551598744633429</v>
      </c>
      <c r="C4781" t="s">
        <v>40</v>
      </c>
      <c r="D4781">
        <v>4.2905239999999996</v>
      </c>
      <c r="E4781">
        <v>0.53864199999999995</v>
      </c>
      <c r="F4781" t="s">
        <v>66</v>
      </c>
      <c r="G4781">
        <v>-168.41069999999999</v>
      </c>
      <c r="H4781">
        <v>1.7131609999999999</v>
      </c>
      <c r="I4781">
        <v>207.52369999999999</v>
      </c>
      <c r="J4781">
        <v>-260.2072</v>
      </c>
      <c r="K4781">
        <v>1.1206579999999999</v>
      </c>
      <c r="L4781">
        <v>215.60169999999999</v>
      </c>
      <c r="M4781">
        <v>0.99992780000000003</v>
      </c>
      <c r="N4781">
        <v>-1.089686E-2</v>
      </c>
      <c r="O4781">
        <v>5.1004259999999999E-3</v>
      </c>
      <c r="P4781">
        <v>0.99810509999999997</v>
      </c>
      <c r="Q4781">
        <v>-5.9957379999999998E-2</v>
      </c>
      <c r="R4781">
        <v>1.3842119999999999E-2</v>
      </c>
      <c r="S4781">
        <v>3.0106510000000002</v>
      </c>
      <c r="T4781">
        <v>1.9372940000000002E-2</v>
      </c>
      <c r="U4781">
        <v>-0.26406859999999999</v>
      </c>
      <c r="V4781">
        <v>-8.7529440000000003E-3</v>
      </c>
      <c r="W4781">
        <v>-4.9076649999999999E-2</v>
      </c>
      <c r="X4781">
        <v>0.99875659999999999</v>
      </c>
      <c r="Y4781">
        <v>9.2456650000000001E-2</v>
      </c>
      <c r="Z4781">
        <v>-1.195951E-4</v>
      </c>
      <c r="AA4781">
        <v>0.99571670000000001</v>
      </c>
      <c r="AB4781">
        <v>29</v>
      </c>
      <c r="AC4781">
        <v>91.796499999999995</v>
      </c>
      <c r="AD4781">
        <v>0.592503</v>
      </c>
      <c r="AE4781">
        <v>-8.0779999999999994</v>
      </c>
      <c r="AF4781">
        <v>8.5457705967780804</v>
      </c>
      <c r="AG4781">
        <v>0.592503</v>
      </c>
      <c r="AH4781">
        <v>91.750309128002797</v>
      </c>
      <c r="AI4781">
        <v>89.631596320353594</v>
      </c>
      <c r="AJ4781">
        <v>84.678731950086103</v>
      </c>
      <c r="AK4781">
        <v>92.149337924815498</v>
      </c>
      <c r="AL4781">
        <v>92.813015060704601</v>
      </c>
      <c r="AM4781">
        <v>90.502118244537897</v>
      </c>
      <c r="AN4781">
        <v>0.99999993882372296</v>
      </c>
    </row>
    <row r="4782" spans="1:40" x14ac:dyDescent="0.25">
      <c r="A4782" t="str">
        <f>"20190303153904664"</f>
        <v>20190303153904664</v>
      </c>
      <c r="B4782" t="str">
        <f>"1551598744652949"</f>
        <v>1551598744652949</v>
      </c>
      <c r="C4782" t="s">
        <v>40</v>
      </c>
      <c r="D4782">
        <v>4.3245979999999999</v>
      </c>
      <c r="E4782">
        <v>0.53862140000000003</v>
      </c>
      <c r="F4782" t="s">
        <v>66</v>
      </c>
      <c r="G4782">
        <v>-168.41069999999999</v>
      </c>
      <c r="H4782">
        <v>1.7017500000000001</v>
      </c>
      <c r="I4782">
        <v>207.5599</v>
      </c>
      <c r="J4782">
        <v>-259.9237</v>
      </c>
      <c r="K4782">
        <v>1.1206480000000001</v>
      </c>
      <c r="L4782">
        <v>215.60310000000001</v>
      </c>
      <c r="M4782">
        <v>0.99992939999999997</v>
      </c>
      <c r="N4782">
        <v>-1.074752E-2</v>
      </c>
      <c r="O4782">
        <v>5.100706E-3</v>
      </c>
      <c r="P4782">
        <v>0.99813419999999997</v>
      </c>
      <c r="Q4782">
        <v>-5.950664E-2</v>
      </c>
      <c r="R4782">
        <v>1.369304E-2</v>
      </c>
      <c r="S4782">
        <v>3.0104980000000001</v>
      </c>
      <c r="T4782">
        <v>1.9058229999999999E-2</v>
      </c>
      <c r="U4782">
        <v>-0.26373289999999999</v>
      </c>
      <c r="V4782">
        <v>-8.6035309999999993E-3</v>
      </c>
      <c r="W4782">
        <v>-4.87748E-2</v>
      </c>
      <c r="X4782">
        <v>0.99877269999999896</v>
      </c>
      <c r="Y4782">
        <v>9.2351130000000003E-2</v>
      </c>
      <c r="Z4782">
        <v>-1.185325E-4</v>
      </c>
      <c r="AA4782">
        <v>0.99572649999999996</v>
      </c>
      <c r="AB4782">
        <v>29</v>
      </c>
      <c r="AC4782">
        <v>91.512999999999906</v>
      </c>
      <c r="AD4782">
        <v>0.58110200000000001</v>
      </c>
      <c r="AE4782">
        <v>-8.0432000000000095</v>
      </c>
      <c r="AF4782">
        <v>8.5095626583521007</v>
      </c>
      <c r="AG4782">
        <v>0.58110200000000001</v>
      </c>
      <c r="AH4782">
        <v>91.467121197001404</v>
      </c>
      <c r="AI4782">
        <v>89.637562770581098</v>
      </c>
      <c r="AJ4782">
        <v>84.684837491503899</v>
      </c>
      <c r="AK4782">
        <v>91.863946117275901</v>
      </c>
      <c r="AL4782">
        <v>92.795699549227706</v>
      </c>
      <c r="AM4782">
        <v>90.493539544181701</v>
      </c>
      <c r="AN4782">
        <v>0.99999995406299702</v>
      </c>
    </row>
    <row r="4783" spans="1:40" x14ac:dyDescent="0.25">
      <c r="A4783" t="str">
        <f>"20190303153904688"</f>
        <v>20190303153904688</v>
      </c>
      <c r="B4783" t="str">
        <f>"1551598744683206"</f>
        <v>1551598744683206</v>
      </c>
      <c r="C4783" t="s">
        <v>40</v>
      </c>
      <c r="D4783">
        <v>4.3065670000000003</v>
      </c>
      <c r="E4783">
        <v>0.53853569999999995</v>
      </c>
      <c r="F4783" t="s">
        <v>66</v>
      </c>
      <c r="G4783">
        <v>-168.41069999999999</v>
      </c>
      <c r="H4783">
        <v>1.729568</v>
      </c>
      <c r="I4783">
        <v>207.58080000000001</v>
      </c>
      <c r="J4783">
        <v>-259.62529999999998</v>
      </c>
      <c r="K4783">
        <v>1.1206419999999999</v>
      </c>
      <c r="L4783">
        <v>215.6046</v>
      </c>
      <c r="M4783">
        <v>0.9999306</v>
      </c>
      <c r="N4783">
        <v>-1.0617369999999999E-2</v>
      </c>
      <c r="O4783">
        <v>5.1009310000000004E-3</v>
      </c>
      <c r="P4783">
        <v>0.99818850000000003</v>
      </c>
      <c r="Q4783">
        <v>-5.872086E-2</v>
      </c>
      <c r="R4783">
        <v>1.3103709999999999E-2</v>
      </c>
      <c r="S4783">
        <v>3.0104060000000001</v>
      </c>
      <c r="T4783">
        <v>2.0032049999999999E-2</v>
      </c>
      <c r="U4783">
        <v>-0.26390079999999999</v>
      </c>
      <c r="V4783">
        <v>-8.0132309999999905E-3</v>
      </c>
      <c r="W4783">
        <v>-4.8118540000000001E-2</v>
      </c>
      <c r="X4783">
        <v>0.99880950000000002</v>
      </c>
      <c r="Y4783">
        <v>9.2408980000000002E-2</v>
      </c>
      <c r="Z4783" s="1">
        <v>-9.6723380000000002E-5</v>
      </c>
      <c r="AA4783">
        <v>0.99572110000000003</v>
      </c>
      <c r="AB4783">
        <v>29</v>
      </c>
      <c r="AC4783">
        <v>91.214600000000004</v>
      </c>
      <c r="AD4783">
        <v>0.60892599999999997</v>
      </c>
      <c r="AE4783">
        <v>-8.0237999999999907</v>
      </c>
      <c r="AF4783">
        <v>8.4886258226822893</v>
      </c>
      <c r="AG4783">
        <v>0.60892599999999997</v>
      </c>
      <c r="AH4783">
        <v>91.168450237379801</v>
      </c>
      <c r="AI4783">
        <v>89.618967721847696</v>
      </c>
      <c r="AJ4783">
        <v>84.680569661165705</v>
      </c>
      <c r="AK4783">
        <v>91.564806983450694</v>
      </c>
      <c r="AL4783">
        <v>92.758054255920896</v>
      </c>
      <c r="AM4783">
        <v>90.4596616936728</v>
      </c>
      <c r="AN4783">
        <v>1.00000001152652</v>
      </c>
    </row>
    <row r="4784" spans="1:40" x14ac:dyDescent="0.25">
      <c r="A4784" t="str">
        <f>"20190303153904711"</f>
        <v>20190303153904711</v>
      </c>
      <c r="B4784" t="str">
        <f>"1551598744703702"</f>
        <v>1551598744703702</v>
      </c>
      <c r="C4784" t="s">
        <v>40</v>
      </c>
      <c r="D4784">
        <v>4.2969580000000001</v>
      </c>
      <c r="E4784">
        <v>0.53851769999999999</v>
      </c>
      <c r="F4784" t="s">
        <v>66</v>
      </c>
      <c r="G4784">
        <v>-168.41069999999999</v>
      </c>
      <c r="H4784">
        <v>1.76049199999999</v>
      </c>
      <c r="I4784">
        <v>207.5685</v>
      </c>
      <c r="J4784">
        <v>-259.33229999999998</v>
      </c>
      <c r="K4784">
        <v>1.120638</v>
      </c>
      <c r="L4784">
        <v>215.6061</v>
      </c>
      <c r="M4784">
        <v>0.99993149999999997</v>
      </c>
      <c r="N4784">
        <v>-1.053466E-2</v>
      </c>
      <c r="O4784">
        <v>5.1010150000000004E-3</v>
      </c>
      <c r="P4784">
        <v>0.99820730000000002</v>
      </c>
      <c r="Q4784">
        <v>-5.8481190000000002E-2</v>
      </c>
      <c r="R4784">
        <v>1.27387E-2</v>
      </c>
      <c r="S4784">
        <v>3.010132</v>
      </c>
      <c r="T4784">
        <v>2.11165E-2</v>
      </c>
      <c r="U4784">
        <v>-0.26519779999999998</v>
      </c>
      <c r="V4784">
        <v>-7.6484669999999999E-3</v>
      </c>
      <c r="W4784">
        <v>-4.7961339999999998E-2</v>
      </c>
      <c r="X4784">
        <v>0.99881989999999998</v>
      </c>
      <c r="Y4784">
        <v>9.2842620000000001E-2</v>
      </c>
      <c r="Z4784" s="1">
        <v>-7.562275E-5</v>
      </c>
      <c r="AA4784">
        <v>0.99568080000000003</v>
      </c>
      <c r="AB4784">
        <v>29</v>
      </c>
      <c r="AC4784">
        <v>90.921599999999899</v>
      </c>
      <c r="AD4784">
        <v>0.63985399999999903</v>
      </c>
      <c r="AE4784">
        <v>-8.0375999999999905</v>
      </c>
      <c r="AF4784">
        <v>8.5008958540298298</v>
      </c>
      <c r="AG4784">
        <v>0.63985399999999903</v>
      </c>
      <c r="AH4784">
        <v>90.874949045760999</v>
      </c>
      <c r="AI4784">
        <v>89.5983384036914</v>
      </c>
      <c r="AJ4784">
        <v>84.655819263969207</v>
      </c>
      <c r="AK4784">
        <v>91.273933888772603</v>
      </c>
      <c r="AL4784">
        <v>92.749037004954602</v>
      </c>
      <c r="AM4784">
        <v>90.438734063764798</v>
      </c>
      <c r="AN4784">
        <v>0.99999999090902703</v>
      </c>
    </row>
    <row r="4785" spans="1:40" x14ac:dyDescent="0.25">
      <c r="A4785" t="str">
        <f>"20190303153904732"</f>
        <v>20190303153904732</v>
      </c>
      <c r="B4785" t="str">
        <f>"1551598744723222"</f>
        <v>1551598744723222</v>
      </c>
      <c r="C4785" t="s">
        <v>40</v>
      </c>
      <c r="D4785">
        <v>4.300484</v>
      </c>
      <c r="E4785">
        <v>0.53850120000000001</v>
      </c>
      <c r="F4785" t="s">
        <v>66</v>
      </c>
      <c r="G4785">
        <v>-168.41069999999999</v>
      </c>
      <c r="H4785">
        <v>1.750847</v>
      </c>
      <c r="I4785">
        <v>207.5667</v>
      </c>
      <c r="J4785">
        <v>-259.0521</v>
      </c>
      <c r="K4785">
        <v>1.1206529999999999</v>
      </c>
      <c r="L4785">
        <v>215.60759999999999</v>
      </c>
      <c r="M4785">
        <v>0.99993160000000003</v>
      </c>
      <c r="N4785">
        <v>-1.0525929999999999E-2</v>
      </c>
      <c r="O4785">
        <v>5.1012399999999999E-3</v>
      </c>
      <c r="P4785">
        <v>0.99821839999999995</v>
      </c>
      <c r="Q4785">
        <v>-5.8350300000000001E-2</v>
      </c>
      <c r="R4785">
        <v>1.245975E-2</v>
      </c>
      <c r="S4785">
        <v>3.0099490000000002</v>
      </c>
      <c r="T4785">
        <v>2.0864130000000002E-2</v>
      </c>
      <c r="U4785">
        <v>-0.26614379999999999</v>
      </c>
      <c r="V4785">
        <v>-7.36893599999999E-3</v>
      </c>
      <c r="W4785">
        <v>-4.7839079999999999E-2</v>
      </c>
      <c r="X4785">
        <v>0.99882789999999999</v>
      </c>
      <c r="Y4785">
        <v>9.3158679999999994E-2</v>
      </c>
      <c r="Z4785" s="1">
        <v>-8.0132680000000005E-5</v>
      </c>
      <c r="AA4785">
        <v>0.99565119999999896</v>
      </c>
      <c r="AB4785">
        <v>29</v>
      </c>
      <c r="AC4785">
        <v>90.641400000000004</v>
      </c>
      <c r="AD4785">
        <v>0.63019399999999903</v>
      </c>
      <c r="AE4785">
        <v>-8.0408999999999899</v>
      </c>
      <c r="AF4785">
        <v>8.50279670697787</v>
      </c>
      <c r="AG4785">
        <v>0.63019399999999903</v>
      </c>
      <c r="AH4785">
        <v>90.594854617210899</v>
      </c>
      <c r="AI4785">
        <v>89.603190564580004</v>
      </c>
      <c r="AJ4785">
        <v>84.638200949654205</v>
      </c>
      <c r="AK4785">
        <v>90.995177781195693</v>
      </c>
      <c r="AL4785">
        <v>92.742023875674107</v>
      </c>
      <c r="AM4785">
        <v>90.422696715272707</v>
      </c>
      <c r="AN4785">
        <v>1.0000000263057101</v>
      </c>
    </row>
    <row r="4786" spans="1:40" x14ac:dyDescent="0.25">
      <c r="A4786" t="str">
        <f>"20190303153904754"</f>
        <v>20190303153904754</v>
      </c>
      <c r="B4786" t="str">
        <f>"1551598744743718"</f>
        <v>1551598744743718</v>
      </c>
      <c r="C4786" t="s">
        <v>40</v>
      </c>
      <c r="D4786">
        <v>4.2986449999999996</v>
      </c>
      <c r="E4786">
        <v>0.53845580000000004</v>
      </c>
      <c r="F4786" t="s">
        <v>66</v>
      </c>
      <c r="G4786">
        <v>-168.41069999999999</v>
      </c>
      <c r="H4786">
        <v>1.760958</v>
      </c>
      <c r="I4786">
        <v>207.5744</v>
      </c>
      <c r="J4786">
        <v>-258.76510000000002</v>
      </c>
      <c r="K4786">
        <v>1.120676</v>
      </c>
      <c r="L4786">
        <v>215.60900000000001</v>
      </c>
      <c r="M4786">
        <v>0.99993109999999996</v>
      </c>
      <c r="N4786">
        <v>-1.057754E-2</v>
      </c>
      <c r="O4786">
        <v>5.1015019999999999E-3</v>
      </c>
      <c r="P4786">
        <v>0.99819749999999996</v>
      </c>
      <c r="Q4786">
        <v>-5.870413E-2</v>
      </c>
      <c r="R4786">
        <v>1.247435E-2</v>
      </c>
      <c r="S4786">
        <v>3.0098880000000001</v>
      </c>
      <c r="T4786">
        <v>2.1263480000000001E-2</v>
      </c>
      <c r="U4786">
        <v>-0.2667542</v>
      </c>
      <c r="V4786">
        <v>-7.3831169999999998E-3</v>
      </c>
      <c r="W4786">
        <v>-4.8141549999999998E-2</v>
      </c>
      <c r="X4786">
        <v>0.99881319999999996</v>
      </c>
      <c r="Y4786">
        <v>9.3361040000000006E-2</v>
      </c>
      <c r="Z4786" s="1">
        <v>-7.5790679999999998E-5</v>
      </c>
      <c r="AA4786">
        <v>0.99563230000000003</v>
      </c>
      <c r="AB4786">
        <v>29</v>
      </c>
      <c r="AC4786">
        <v>90.354399999999998</v>
      </c>
      <c r="AD4786">
        <v>0.64028200000000002</v>
      </c>
      <c r="AE4786">
        <v>-8.03460000000001</v>
      </c>
      <c r="AF4786">
        <v>8.4950411082706996</v>
      </c>
      <c r="AG4786">
        <v>0.64028200000000002</v>
      </c>
      <c r="AH4786">
        <v>90.307733956074998</v>
      </c>
      <c r="AI4786">
        <v>89.595564992288502</v>
      </c>
      <c r="AJ4786">
        <v>84.626131035750902</v>
      </c>
      <c r="AK4786">
        <v>90.708668255861497</v>
      </c>
      <c r="AL4786">
        <v>92.759374293053895</v>
      </c>
      <c r="AM4786">
        <v>90.423516368594804</v>
      </c>
      <c r="AN4786">
        <v>0.99999996387363799</v>
      </c>
    </row>
    <row r="4787" spans="1:40" x14ac:dyDescent="0.25">
      <c r="A4787" t="str">
        <f>"20190303153904776"</f>
        <v>20190303153904776</v>
      </c>
      <c r="B4787" t="str">
        <f>"1551598744772997"</f>
        <v>1551598744772997</v>
      </c>
      <c r="C4787" t="s">
        <v>40</v>
      </c>
      <c r="D4787">
        <v>4.2709769999999896</v>
      </c>
      <c r="E4787">
        <v>0.53843180000000002</v>
      </c>
      <c r="F4787" t="s">
        <v>66</v>
      </c>
      <c r="G4787">
        <v>-168.41069999999999</v>
      </c>
      <c r="H4787">
        <v>1.71137599999999</v>
      </c>
      <c r="I4787">
        <v>207.6114</v>
      </c>
      <c r="J4787">
        <v>-258.47840000000002</v>
      </c>
      <c r="K4787">
        <v>1.1207240000000001</v>
      </c>
      <c r="L4787">
        <v>215.6105</v>
      </c>
      <c r="M4787">
        <v>0.99992939999999997</v>
      </c>
      <c r="N4787">
        <v>-1.074342E-2</v>
      </c>
      <c r="O4787">
        <v>5.1016239999999999E-3</v>
      </c>
      <c r="P4787">
        <v>0.9981717</v>
      </c>
      <c r="Q4787">
        <v>-5.9080689999999998E-2</v>
      </c>
      <c r="R4787">
        <v>1.276152E-2</v>
      </c>
      <c r="S4787">
        <v>3.009903</v>
      </c>
      <c r="T4787">
        <v>1.9678589999999999E-2</v>
      </c>
      <c r="U4787">
        <v>-0.2664185</v>
      </c>
      <c r="V4787">
        <v>-7.6711829999999998E-3</v>
      </c>
      <c r="W4787">
        <v>-4.8352659999999999E-2</v>
      </c>
      <c r="X4787">
        <v>0.99880089999999999</v>
      </c>
      <c r="Y4787">
        <v>9.3250680000000002E-2</v>
      </c>
      <c r="Z4787">
        <v>-1.096782E-4</v>
      </c>
      <c r="AA4787">
        <v>0.99564269999999999</v>
      </c>
      <c r="AB4787">
        <v>29</v>
      </c>
      <c r="AC4787">
        <v>90.067700000000002</v>
      </c>
      <c r="AD4787">
        <v>0.59065199999999896</v>
      </c>
      <c r="AE4787">
        <v>-7.9990999999999897</v>
      </c>
      <c r="AF4787">
        <v>8.4581529929976202</v>
      </c>
      <c r="AG4787">
        <v>0.59065199999999896</v>
      </c>
      <c r="AH4787">
        <v>90.021875880988702</v>
      </c>
      <c r="AI4787">
        <v>89.625724375408694</v>
      </c>
      <c r="AJ4787">
        <v>84.632438729676906</v>
      </c>
      <c r="AK4787">
        <v>90.420281789929206</v>
      </c>
      <c r="AL4787">
        <v>92.771483918434896</v>
      </c>
      <c r="AM4787">
        <v>90.4400454262246</v>
      </c>
      <c r="AN4787">
        <v>1.0000000323092499</v>
      </c>
    </row>
    <row r="4788" spans="1:40" x14ac:dyDescent="0.25">
      <c r="A4788" t="str">
        <f>"20190303153904800"</f>
        <v>20190303153904800</v>
      </c>
      <c r="B4788" t="str">
        <f>"1551598744793494"</f>
        <v>1551598744793494</v>
      </c>
      <c r="C4788" t="s">
        <v>40</v>
      </c>
      <c r="D4788">
        <v>4.2728609999999998</v>
      </c>
      <c r="E4788">
        <v>0.53844590000000003</v>
      </c>
      <c r="F4788" t="s">
        <v>66</v>
      </c>
      <c r="G4788">
        <v>-168.41059999999999</v>
      </c>
      <c r="H4788">
        <v>1.6509739999999999</v>
      </c>
      <c r="I4788">
        <v>207.66249999999999</v>
      </c>
      <c r="J4788">
        <v>-258.17829999999998</v>
      </c>
      <c r="K4788">
        <v>1.1207910000000001</v>
      </c>
      <c r="L4788">
        <v>215.61199999999999</v>
      </c>
      <c r="M4788">
        <v>0.99992619999999999</v>
      </c>
      <c r="N4788">
        <v>-1.1030069999999999E-2</v>
      </c>
      <c r="O4788">
        <v>5.1017190000000002E-3</v>
      </c>
      <c r="P4788">
        <v>0.99812420000000002</v>
      </c>
      <c r="Q4788">
        <v>-5.9805650000000002E-2</v>
      </c>
      <c r="R4788">
        <v>1.309457E-2</v>
      </c>
      <c r="S4788">
        <v>3.0099330000000002</v>
      </c>
      <c r="T4788">
        <v>1.7721299999999999E-2</v>
      </c>
      <c r="U4788">
        <v>-0.2656097</v>
      </c>
      <c r="V4788">
        <v>-8.003919E-3</v>
      </c>
      <c r="W4788">
        <v>-4.8791729999999998E-2</v>
      </c>
      <c r="X4788">
        <v>0.99877689999999997</v>
      </c>
      <c r="Y4788">
        <v>9.2984620000000004E-2</v>
      </c>
      <c r="Z4788">
        <v>-1.5448409999999999E-4</v>
      </c>
      <c r="AA4788">
        <v>0.99566750000000004</v>
      </c>
      <c r="AB4788">
        <v>29</v>
      </c>
      <c r="AC4788">
        <v>89.767699999999905</v>
      </c>
      <c r="AD4788">
        <v>0.53018299999999996</v>
      </c>
      <c r="AE4788">
        <v>-7.9494999999999996</v>
      </c>
      <c r="AF4788">
        <v>8.4071029726178299</v>
      </c>
      <c r="AG4788">
        <v>0.53018299999999996</v>
      </c>
      <c r="AH4788">
        <v>89.722867621953597</v>
      </c>
      <c r="AI4788">
        <v>89.662912942738402</v>
      </c>
      <c r="AJ4788">
        <v>84.646970312898802</v>
      </c>
      <c r="AK4788">
        <v>90.117442533131694</v>
      </c>
      <c r="AL4788">
        <v>92.7966706062805</v>
      </c>
      <c r="AM4788">
        <v>90.459142539025507</v>
      </c>
      <c r="AN4788">
        <v>0.99999999580468002</v>
      </c>
    </row>
    <row r="4789" spans="1:40" x14ac:dyDescent="0.25">
      <c r="A4789" t="str">
        <f>"20190303153904821"</f>
        <v>20190303153904821</v>
      </c>
      <c r="B4789" t="str">
        <f>"1551598744813014"</f>
        <v>1551598744813014</v>
      </c>
      <c r="C4789" t="s">
        <v>40</v>
      </c>
      <c r="D4789">
        <v>4.2599819999999999</v>
      </c>
      <c r="E4789">
        <v>0.53844179999999997</v>
      </c>
      <c r="F4789" t="s">
        <v>66</v>
      </c>
      <c r="G4789">
        <v>-168.41059999999999</v>
      </c>
      <c r="H4789">
        <v>1.561026</v>
      </c>
      <c r="I4789">
        <v>207.7175</v>
      </c>
      <c r="J4789">
        <v>-257.88780000000003</v>
      </c>
      <c r="K4789">
        <v>1.120854</v>
      </c>
      <c r="L4789">
        <v>215.61349999999999</v>
      </c>
      <c r="M4789">
        <v>0.9999228</v>
      </c>
      <c r="N4789">
        <v>-1.1339129999999999E-2</v>
      </c>
      <c r="O4789">
        <v>5.1020029999999999E-3</v>
      </c>
      <c r="P4789">
        <v>0.9980928</v>
      </c>
      <c r="Q4789">
        <v>-6.0349319999999998E-2</v>
      </c>
      <c r="R4789">
        <v>1.298819E-2</v>
      </c>
      <c r="S4789">
        <v>3.009995</v>
      </c>
      <c r="T4789">
        <v>1.476264E-2</v>
      </c>
      <c r="U4789">
        <v>-0.26470949999999999</v>
      </c>
      <c r="V4789">
        <v>-7.8971479999999997E-3</v>
      </c>
      <c r="W4789">
        <v>-4.9027040000000001E-2</v>
      </c>
      <c r="X4789">
        <v>0.99876620000000005</v>
      </c>
      <c r="Y4789">
        <v>9.2687740000000005E-2</v>
      </c>
      <c r="Z4789">
        <v>-2.1695349999999999E-4</v>
      </c>
      <c r="AA4789">
        <v>0.9956952</v>
      </c>
      <c r="AB4789">
        <v>29</v>
      </c>
      <c r="AC4789">
        <v>89.477199999999996</v>
      </c>
      <c r="AD4789">
        <v>0.44017200000000001</v>
      </c>
      <c r="AE4789">
        <v>-7.8959999999999804</v>
      </c>
      <c r="AF4789">
        <v>8.3522388989595804</v>
      </c>
      <c r="AG4789">
        <v>0.44017200000000001</v>
      </c>
      <c r="AH4789">
        <v>89.433599683748</v>
      </c>
      <c r="AI4789">
        <v>89.719227116770497</v>
      </c>
      <c r="AJ4789">
        <v>84.664600168539494</v>
      </c>
      <c r="AK4789">
        <v>89.823840924376896</v>
      </c>
      <c r="AL4789">
        <v>92.810169106474703</v>
      </c>
      <c r="AM4789">
        <v>90.453022761016001</v>
      </c>
      <c r="AN4789">
        <v>0.99999996893006704</v>
      </c>
    </row>
    <row r="4790" spans="1:40" x14ac:dyDescent="0.25">
      <c r="A4790" t="str">
        <f>"20190303153904843"</f>
        <v>20190303153904843</v>
      </c>
      <c r="B4790" t="str">
        <f>"1551598744833510"</f>
        <v>1551598744833510</v>
      </c>
      <c r="C4790" t="s">
        <v>40</v>
      </c>
      <c r="D4790">
        <v>4.2814220000000001</v>
      </c>
      <c r="E4790">
        <v>0.53843490000000005</v>
      </c>
      <c r="F4790" t="s">
        <v>66</v>
      </c>
      <c r="G4790">
        <v>-168.41059999999999</v>
      </c>
      <c r="H4790">
        <v>1.490915</v>
      </c>
      <c r="I4790">
        <v>207.73070000000001</v>
      </c>
      <c r="J4790">
        <v>-257.61259999999999</v>
      </c>
      <c r="K4790">
        <v>1.12090499999999</v>
      </c>
      <c r="L4790">
        <v>215.61490000000001</v>
      </c>
      <c r="M4790">
        <v>0.99991960000000002</v>
      </c>
      <c r="N4790">
        <v>-1.1621299999999999E-2</v>
      </c>
      <c r="O4790">
        <v>5.1020379999999997E-3</v>
      </c>
      <c r="P4790">
        <v>0.99808450000000004</v>
      </c>
      <c r="Q4790">
        <v>-6.0598480000000003E-2</v>
      </c>
      <c r="R4790">
        <v>1.2468989999999999E-2</v>
      </c>
      <c r="S4790">
        <v>3.0099330000000002</v>
      </c>
      <c r="T4790">
        <v>1.2449740000000001E-2</v>
      </c>
      <c r="U4790">
        <v>-0.26516719999999999</v>
      </c>
      <c r="V4790">
        <v>-7.3780479999999999E-3</v>
      </c>
      <c r="W4790">
        <v>-4.899448E-2</v>
      </c>
      <c r="X4790">
        <v>0.99877179999999999</v>
      </c>
      <c r="Y4790">
        <v>9.2839840000000007E-2</v>
      </c>
      <c r="Z4790">
        <v>-2.6864659999999998E-4</v>
      </c>
      <c r="AA4790">
        <v>0.99568100000000004</v>
      </c>
      <c r="AB4790">
        <v>29</v>
      </c>
      <c r="AC4790">
        <v>89.201999999999998</v>
      </c>
      <c r="AD4790">
        <v>0.37001000000000001</v>
      </c>
      <c r="AE4790">
        <v>-7.8841999999999901</v>
      </c>
      <c r="AF4790">
        <v>8.3390976627701807</v>
      </c>
      <c r="AG4790">
        <v>0.37001000000000001</v>
      </c>
      <c r="AH4790">
        <v>89.159088465632493</v>
      </c>
      <c r="AI4790">
        <v>89.763257261171503</v>
      </c>
      <c r="AJ4790">
        <v>84.656639808380405</v>
      </c>
      <c r="AK4790">
        <v>89.548983876154693</v>
      </c>
      <c r="AL4790">
        <v>92.808301219480398</v>
      </c>
      <c r="AM4790">
        <v>90.423243149518598</v>
      </c>
      <c r="AN4790">
        <v>1.000000001569</v>
      </c>
    </row>
    <row r="4791" spans="1:40" x14ac:dyDescent="0.25">
      <c r="A4791" t="str">
        <f>"20190303153904866"</f>
        <v>20190303153904866</v>
      </c>
      <c r="B4791" t="str">
        <f>"1551598744863766"</f>
        <v>1551598744863766</v>
      </c>
      <c r="C4791" t="s">
        <v>40</v>
      </c>
      <c r="D4791">
        <v>4.2547750000000004</v>
      </c>
      <c r="E4791">
        <v>0.53842509999999999</v>
      </c>
      <c r="F4791" t="s">
        <v>66</v>
      </c>
      <c r="G4791">
        <v>-168.41059999999999</v>
      </c>
      <c r="H4791">
        <v>1.4572579999999999</v>
      </c>
      <c r="I4791">
        <v>207.71080000000001</v>
      </c>
      <c r="J4791">
        <v>-257.32150000000001</v>
      </c>
      <c r="K4791">
        <v>1.1209439999999999</v>
      </c>
      <c r="L4791">
        <v>215.6163</v>
      </c>
      <c r="M4791">
        <v>0.99991629999999998</v>
      </c>
      <c r="N4791">
        <v>-1.1903830000000001E-2</v>
      </c>
      <c r="O4791">
        <v>5.1020309999999999E-3</v>
      </c>
      <c r="P4791">
        <v>0.99810220000000005</v>
      </c>
      <c r="Q4791">
        <v>-6.0511379999999997E-2</v>
      </c>
      <c r="R4791">
        <v>1.143249E-2</v>
      </c>
      <c r="S4791">
        <v>3.0097809999999998</v>
      </c>
      <c r="T4791">
        <v>1.135015E-2</v>
      </c>
      <c r="U4791">
        <v>-0.26669310000000002</v>
      </c>
      <c r="V4791">
        <v>-6.3413599999999999E-3</v>
      </c>
      <c r="W4791">
        <v>-4.8625069999999999E-2</v>
      </c>
      <c r="X4791">
        <v>0.99879700000000005</v>
      </c>
      <c r="Y4791">
        <v>9.3345129999999998E-2</v>
      </c>
      <c r="Z4791">
        <v>-3.0120560000000002E-4</v>
      </c>
      <c r="AA4791">
        <v>0.99563380000000001</v>
      </c>
      <c r="AB4791">
        <v>29</v>
      </c>
      <c r="AC4791">
        <v>88.910899999999998</v>
      </c>
      <c r="AD4791">
        <v>0.336314</v>
      </c>
      <c r="AE4791">
        <v>-7.9054999999999804</v>
      </c>
      <c r="AF4791">
        <v>8.3589366642998293</v>
      </c>
      <c r="AG4791">
        <v>0.336314</v>
      </c>
      <c r="AH4791">
        <v>88.868144109719594</v>
      </c>
      <c r="AI4791">
        <v>89.784122838486894</v>
      </c>
      <c r="AJ4791">
        <v>84.626569142126201</v>
      </c>
      <c r="AK4791">
        <v>89.261032745371296</v>
      </c>
      <c r="AL4791">
        <v>92.787110252102195</v>
      </c>
      <c r="AM4791">
        <v>90.3637658929011</v>
      </c>
      <c r="AN4791">
        <v>1.00000002874407</v>
      </c>
    </row>
    <row r="4792" spans="1:40" x14ac:dyDescent="0.25">
      <c r="A4792" t="str">
        <f>"20190303153904890"</f>
        <v>20190303153904890</v>
      </c>
      <c r="B4792" t="str">
        <f>"1551598744883286"</f>
        <v>1551598744883286</v>
      </c>
      <c r="C4792" t="s">
        <v>40</v>
      </c>
      <c r="D4792">
        <v>4.2597889999999996</v>
      </c>
      <c r="E4792">
        <v>0.53840509999999997</v>
      </c>
      <c r="F4792" t="s">
        <v>66</v>
      </c>
      <c r="G4792">
        <v>-168.41059999999999</v>
      </c>
      <c r="H4792">
        <v>1.45459</v>
      </c>
      <c r="I4792">
        <v>207.6534</v>
      </c>
      <c r="J4792">
        <v>-257.02530000000002</v>
      </c>
      <c r="K4792">
        <v>1.12097</v>
      </c>
      <c r="L4792">
        <v>215.61789999999999</v>
      </c>
      <c r="M4792">
        <v>0.99991289999999999</v>
      </c>
      <c r="N4792">
        <v>-1.217473E-2</v>
      </c>
      <c r="O4792">
        <v>5.1020559999999998E-3</v>
      </c>
      <c r="P4792">
        <v>0.99815259999999995</v>
      </c>
      <c r="Q4792">
        <v>-5.9816950000000001E-2</v>
      </c>
      <c r="R4792">
        <v>1.0638450000000001E-2</v>
      </c>
      <c r="S4792">
        <v>3.0094759999999998</v>
      </c>
      <c r="T4792">
        <v>1.1294480000000001E-2</v>
      </c>
      <c r="U4792">
        <v>-0.26953129999999997</v>
      </c>
      <c r="V4792">
        <v>-5.5467320000000004E-3</v>
      </c>
      <c r="W4792">
        <v>-4.7659569999999998E-2</v>
      </c>
      <c r="X4792">
        <v>0.99884830000000002</v>
      </c>
      <c r="Y4792">
        <v>9.4285590000000002E-2</v>
      </c>
      <c r="Z4792">
        <v>-3.1744150000000002E-4</v>
      </c>
      <c r="AA4792">
        <v>0.99554509999999996</v>
      </c>
      <c r="AB4792">
        <v>29</v>
      </c>
      <c r="AC4792">
        <v>88.614699999999999</v>
      </c>
      <c r="AD4792">
        <v>0.33361999999999897</v>
      </c>
      <c r="AE4792">
        <v>-7.9644999999999797</v>
      </c>
      <c r="AF4792">
        <v>8.4164286422545196</v>
      </c>
      <c r="AG4792">
        <v>0.33361999999999897</v>
      </c>
      <c r="AH4792">
        <v>88.571662767139102</v>
      </c>
      <c r="AI4792">
        <v>89.785154661776602</v>
      </c>
      <c r="AJ4792">
        <v>84.571827936533694</v>
      </c>
      <c r="AK4792">
        <v>88.971270749216501</v>
      </c>
      <c r="AL4792">
        <v>92.731726863345799</v>
      </c>
      <c r="AM4792">
        <v>90.3181675005263</v>
      </c>
      <c r="AN4792">
        <v>1.0000000636306701</v>
      </c>
    </row>
    <row r="4793" spans="1:40" x14ac:dyDescent="0.25">
      <c r="A4793" t="str">
        <f>"20190303153904912"</f>
        <v>20190303153904912</v>
      </c>
      <c r="B4793" t="str">
        <f>"1551598744902806"</f>
        <v>1551598744902806</v>
      </c>
      <c r="C4793" t="s">
        <v>40</v>
      </c>
      <c r="D4793">
        <v>4.1575160000000002</v>
      </c>
      <c r="E4793">
        <v>0.5235687</v>
      </c>
      <c r="F4793" t="s">
        <v>66</v>
      </c>
      <c r="G4793">
        <v>-168.41059999999999</v>
      </c>
      <c r="H4793">
        <v>1.5110319999999999</v>
      </c>
      <c r="I4793">
        <v>207.613</v>
      </c>
      <c r="J4793">
        <v>-256.73480000000001</v>
      </c>
      <c r="K4793">
        <v>1.120997</v>
      </c>
      <c r="L4793">
        <v>215.61930000000001</v>
      </c>
      <c r="M4793">
        <v>0.99990990000000002</v>
      </c>
      <c r="N4793">
        <v>-1.241773E-2</v>
      </c>
      <c r="O4793">
        <v>5.1020989999999997E-3</v>
      </c>
      <c r="P4793">
        <v>0.99818240000000003</v>
      </c>
      <c r="Q4793">
        <v>-5.9476010000000003E-2</v>
      </c>
      <c r="R4793">
        <v>9.7321230000000005E-3</v>
      </c>
      <c r="S4793">
        <v>3.0092469999999998</v>
      </c>
      <c r="T4793">
        <v>1.3247129999999999E-2</v>
      </c>
      <c r="U4793">
        <v>-0.2718353</v>
      </c>
      <c r="V4793">
        <v>-4.6404819999999996E-3</v>
      </c>
      <c r="W4793">
        <v>-4.7075640000000002E-2</v>
      </c>
      <c r="X4793">
        <v>0.99888060000000001</v>
      </c>
      <c r="Y4793">
        <v>9.5048590000000002E-2</v>
      </c>
      <c r="Z4793">
        <v>-2.969367E-4</v>
      </c>
      <c r="AA4793">
        <v>0.99547260000000004</v>
      </c>
      <c r="AB4793">
        <v>29</v>
      </c>
      <c r="AC4793">
        <v>88.324200000000005</v>
      </c>
      <c r="AD4793">
        <v>0.39003499999999902</v>
      </c>
      <c r="AE4793">
        <v>-8.0063000000000102</v>
      </c>
      <c r="AF4793">
        <v>8.4567057607103706</v>
      </c>
      <c r="AG4793">
        <v>0.39003499999999902</v>
      </c>
      <c r="AH4793">
        <v>88.280490637689994</v>
      </c>
      <c r="AI4793">
        <v>89.748014744898896</v>
      </c>
      <c r="AJ4793">
        <v>84.528127801563699</v>
      </c>
      <c r="AK4793">
        <v>88.685472467906095</v>
      </c>
      <c r="AL4793">
        <v>92.698232576674201</v>
      </c>
      <c r="AM4793">
        <v>90.266176078259903</v>
      </c>
      <c r="AN4793">
        <v>1.0000000515054699</v>
      </c>
    </row>
    <row r="4794" spans="1:40" x14ac:dyDescent="0.25">
      <c r="A4794" t="str">
        <f>"20190303153904933"</f>
        <v>20190303153904933</v>
      </c>
      <c r="B4794" t="str">
        <f>"1551598744923302"</f>
        <v>1551598744923302</v>
      </c>
      <c r="C4794" t="s">
        <v>40</v>
      </c>
      <c r="D4794">
        <v>4.1747870000000002</v>
      </c>
      <c r="E4794">
        <v>0.52084359999999996</v>
      </c>
      <c r="F4794" t="s">
        <v>66</v>
      </c>
      <c r="G4794">
        <v>-151.66849999999999</v>
      </c>
      <c r="H4794">
        <v>1.058241</v>
      </c>
      <c r="I4794">
        <v>210.1474</v>
      </c>
      <c r="J4794">
        <v>-256.46039999999999</v>
      </c>
      <c r="K4794">
        <v>1.1210119999999999</v>
      </c>
      <c r="L4794">
        <v>215.6207</v>
      </c>
      <c r="M4794">
        <v>0.9999072</v>
      </c>
      <c r="N4794">
        <v>-1.262517E-2</v>
      </c>
      <c r="O4794">
        <v>5.1019209999999997E-3</v>
      </c>
      <c r="P4794">
        <v>0.99819729999999995</v>
      </c>
      <c r="Q4794">
        <v>-5.9203039999999998E-2</v>
      </c>
      <c r="R4794">
        <v>9.8567849999999999E-3</v>
      </c>
      <c r="S4794">
        <v>3.0068820000000001</v>
      </c>
      <c r="T4794">
        <v>-1.79505299999999E-3</v>
      </c>
      <c r="U4794">
        <v>-0.15660099999999999</v>
      </c>
      <c r="V4794">
        <v>-4.7649060000000002E-3</v>
      </c>
      <c r="W4794">
        <v>-4.6595259999999999E-2</v>
      </c>
      <c r="X4794">
        <v>0.99890250000000003</v>
      </c>
      <c r="Y4794">
        <v>5.7104509999999997E-2</v>
      </c>
      <c r="Z4794">
        <v>-3.1644410000000002E-4</v>
      </c>
      <c r="AA4794">
        <v>0.99836809999999998</v>
      </c>
      <c r="AB4794">
        <v>29</v>
      </c>
      <c r="AC4794">
        <v>104.7919</v>
      </c>
      <c r="AD4794">
        <v>-6.2771000000000104E-2</v>
      </c>
      <c r="AE4794">
        <v>-5.4732999999999903</v>
      </c>
      <c r="AF4794">
        <v>6.0079092588477199</v>
      </c>
      <c r="AG4794">
        <v>-6.2771000000000104E-2</v>
      </c>
      <c r="AH4794">
        <v>104.76257186822301</v>
      </c>
      <c r="AI4794">
        <v>90.034273819036102</v>
      </c>
      <c r="AJ4794">
        <v>86.717804668991803</v>
      </c>
      <c r="AK4794">
        <v>104.934719603693</v>
      </c>
      <c r="AL4794">
        <v>92.670678695479893</v>
      </c>
      <c r="AM4794">
        <v>90.273306887208705</v>
      </c>
      <c r="AN4794">
        <v>1.0000000135449501</v>
      </c>
    </row>
    <row r="4795" spans="1:40" x14ac:dyDescent="0.25">
      <c r="A4795" t="str">
        <f>"20190303153904955"</f>
        <v>20190303153904955</v>
      </c>
      <c r="B4795" t="str">
        <f>"1551598744943798"</f>
        <v>1551598744943798</v>
      </c>
      <c r="C4795" t="s">
        <v>40</v>
      </c>
      <c r="D4795">
        <v>4.211328</v>
      </c>
      <c r="E4795">
        <v>0.51858159999999998</v>
      </c>
      <c r="F4795" t="s">
        <v>66</v>
      </c>
      <c r="G4795">
        <v>-121.2533</v>
      </c>
      <c r="H4795">
        <v>1.349709</v>
      </c>
      <c r="I4795">
        <v>209.57079999999999</v>
      </c>
      <c r="J4795">
        <v>-256.17829999999998</v>
      </c>
      <c r="K4795">
        <v>1.1210199999999999</v>
      </c>
      <c r="L4795">
        <v>215.62219999999999</v>
      </c>
      <c r="M4795">
        <v>0.99990500000000004</v>
      </c>
      <c r="N4795">
        <v>-1.2815709999999999E-2</v>
      </c>
      <c r="O4795">
        <v>5.1017119999999996E-3</v>
      </c>
      <c r="P4795">
        <v>0.99816320000000003</v>
      </c>
      <c r="Q4795">
        <v>-5.97631E-2</v>
      </c>
      <c r="R4795">
        <v>9.9482080000000001E-3</v>
      </c>
      <c r="S4795">
        <v>3.00705</v>
      </c>
      <c r="T4795">
        <v>5.0870179999999996E-3</v>
      </c>
      <c r="U4795">
        <v>-0.134552</v>
      </c>
      <c r="V4795">
        <v>-4.8572260000000001E-3</v>
      </c>
      <c r="W4795">
        <v>-4.6965359999999998E-2</v>
      </c>
      <c r="X4795">
        <v>0.99888469999999996</v>
      </c>
      <c r="Y4795">
        <v>4.9797170000000002E-2</v>
      </c>
      <c r="Z4795">
        <v>-2.0318800000000001E-4</v>
      </c>
      <c r="AA4795">
        <v>0.99875930000000002</v>
      </c>
      <c r="AB4795">
        <v>29</v>
      </c>
      <c r="AC4795">
        <v>134.92499999999899</v>
      </c>
      <c r="AD4795">
        <v>0.228688999999999</v>
      </c>
      <c r="AE4795">
        <v>-6.0514000000000001</v>
      </c>
      <c r="AF4795">
        <v>6.7397068428542601</v>
      </c>
      <c r="AG4795">
        <v>0.228688999999999</v>
      </c>
      <c r="AH4795">
        <v>134.89198205143501</v>
      </c>
      <c r="AI4795">
        <v>89.902984762460605</v>
      </c>
      <c r="AJ4795">
        <v>87.139667597776295</v>
      </c>
      <c r="AK4795">
        <v>135.06044116894799</v>
      </c>
      <c r="AL4795">
        <v>92.691907165432596</v>
      </c>
      <c r="AM4795">
        <v>90.278607086966701</v>
      </c>
      <c r="AN4795">
        <v>0.99999999078921697</v>
      </c>
    </row>
    <row r="4796" spans="1:40" x14ac:dyDescent="0.25">
      <c r="A4796" t="str">
        <f>"20190303153904977"</f>
        <v>20190303153904977</v>
      </c>
      <c r="B4796" t="str">
        <f>"1551598744973078"</f>
        <v>1551598744973078</v>
      </c>
      <c r="C4796" t="s">
        <v>40</v>
      </c>
      <c r="D4796">
        <v>4.2008089999999996</v>
      </c>
      <c r="E4796">
        <v>0.51518240000000004</v>
      </c>
      <c r="F4796" t="s">
        <v>67</v>
      </c>
      <c r="G4796">
        <v>-107.39749999999999</v>
      </c>
      <c r="H4796">
        <v>1.04827</v>
      </c>
      <c r="I4796">
        <v>209.876</v>
      </c>
      <c r="J4796">
        <v>-255.89230000000001</v>
      </c>
      <c r="K4796">
        <v>1.1210230000000001</v>
      </c>
      <c r="L4796">
        <v>215.62360000000001</v>
      </c>
      <c r="M4796">
        <v>0.99990270000000003</v>
      </c>
      <c r="N4796">
        <v>-1.298708E-2</v>
      </c>
      <c r="O4796">
        <v>5.1019689999999996E-3</v>
      </c>
      <c r="P4796">
        <v>0.99810840000000001</v>
      </c>
      <c r="Q4796">
        <v>-6.0558130000000002E-2</v>
      </c>
      <c r="R4796">
        <v>1.0601330000000001E-2</v>
      </c>
      <c r="S4796">
        <v>3.0065919999999999</v>
      </c>
      <c r="T4796">
        <v>-1.4691350000000001E-3</v>
      </c>
      <c r="U4796">
        <v>-0.1161194</v>
      </c>
      <c r="V4796">
        <v>-5.510076E-3</v>
      </c>
      <c r="W4796">
        <v>-4.7589770000000003E-2</v>
      </c>
      <c r="X4796">
        <v>0.99885179999999996</v>
      </c>
      <c r="Y4796">
        <v>4.3690380000000001E-2</v>
      </c>
      <c r="Z4796">
        <v>-2.3074949999999999E-4</v>
      </c>
      <c r="AA4796">
        <v>0.99904510000000002</v>
      </c>
      <c r="AB4796">
        <v>29</v>
      </c>
      <c r="AC4796">
        <v>148.4948</v>
      </c>
      <c r="AD4796">
        <v>-7.2752999999999804E-2</v>
      </c>
      <c r="AE4796">
        <v>-5.7476000000000296</v>
      </c>
      <c r="AF4796">
        <v>6.5052033488463499</v>
      </c>
      <c r="AG4796">
        <v>-7.2752999999999804E-2</v>
      </c>
      <c r="AH4796">
        <v>148.463504862966</v>
      </c>
      <c r="AI4796">
        <v>90.028050285776402</v>
      </c>
      <c r="AJ4796">
        <v>87.491084151371794</v>
      </c>
      <c r="AK4796">
        <v>148.60597309598501</v>
      </c>
      <c r="AL4796">
        <v>92.727723159382805</v>
      </c>
      <c r="AM4796">
        <v>90.316063801738096</v>
      </c>
      <c r="AN4796">
        <v>1.0000000327547001</v>
      </c>
    </row>
    <row r="4797" spans="1:40" x14ac:dyDescent="0.25">
      <c r="A4797" t="str">
        <f>"20190303153905001"</f>
        <v>20190303153905001</v>
      </c>
      <c r="B4797" t="str">
        <f>"1551598744993574"</f>
        <v>1551598744993574</v>
      </c>
      <c r="C4797" t="s">
        <v>40</v>
      </c>
      <c r="D4797">
        <v>4.1993080000000003</v>
      </c>
      <c r="E4797">
        <v>0.51364960000000004</v>
      </c>
      <c r="F4797" t="s">
        <v>67</v>
      </c>
      <c r="G4797">
        <v>-107.39749999999999</v>
      </c>
      <c r="H4797">
        <v>0.14006189999999999</v>
      </c>
      <c r="I4797">
        <v>211.31489999999999</v>
      </c>
      <c r="J4797">
        <v>-255.59450000000001</v>
      </c>
      <c r="K4797">
        <v>1.1210249999999999</v>
      </c>
      <c r="L4797">
        <v>215.62520000000001</v>
      </c>
      <c r="M4797">
        <v>0.99990069999999998</v>
      </c>
      <c r="N4797">
        <v>-1.314394E-2</v>
      </c>
      <c r="O4797">
        <v>5.1019480000000002E-3</v>
      </c>
      <c r="P4797">
        <v>0.99807509999999999</v>
      </c>
      <c r="Q4797">
        <v>-6.1034459999999999E-2</v>
      </c>
      <c r="R4797">
        <v>1.0990049999999999E-2</v>
      </c>
      <c r="S4797">
        <v>3.0053860000000001</v>
      </c>
      <c r="T4797">
        <v>-1.9852640000000001E-2</v>
      </c>
      <c r="U4797">
        <v>-8.720398E-2</v>
      </c>
      <c r="V4797">
        <v>-5.8991139999999996E-3</v>
      </c>
      <c r="W4797">
        <v>-4.7909779999999999E-2</v>
      </c>
      <c r="X4797">
        <v>0.99883429999999995</v>
      </c>
      <c r="Y4797">
        <v>3.4101230000000003E-2</v>
      </c>
      <c r="Z4797">
        <v>-3.0342919999999998E-4</v>
      </c>
      <c r="AA4797">
        <v>0.99941829999999998</v>
      </c>
      <c r="AB4797">
        <v>29</v>
      </c>
      <c r="AC4797">
        <v>148.197</v>
      </c>
      <c r="AD4797">
        <v>-0.98096309999999998</v>
      </c>
      <c r="AE4797">
        <v>-4.3103000000000096</v>
      </c>
      <c r="AF4797">
        <v>5.0661807347269301</v>
      </c>
      <c r="AG4797">
        <v>-0.98096309999999998</v>
      </c>
      <c r="AH4797">
        <v>148.16659156847999</v>
      </c>
      <c r="AI4797">
        <v>90.379109747793294</v>
      </c>
      <c r="AJ4797">
        <v>88.041679101417998</v>
      </c>
      <c r="AK4797">
        <v>148.25642425494101</v>
      </c>
      <c r="AL4797">
        <v>92.746079264759004</v>
      </c>
      <c r="AM4797">
        <v>90.338384860540799</v>
      </c>
      <c r="AN4797">
        <v>1.00000005271106</v>
      </c>
    </row>
    <row r="4798" spans="1:40" x14ac:dyDescent="0.25">
      <c r="A4798" t="str">
        <f>"20190303153905023"</f>
        <v>20190303153905023</v>
      </c>
      <c r="B4798" t="str">
        <f>"1551598745013094"</f>
        <v>1551598745013094</v>
      </c>
      <c r="C4798" t="s">
        <v>40</v>
      </c>
      <c r="D4798">
        <v>4.2009879999999997</v>
      </c>
      <c r="E4798">
        <v>0.51267629999999997</v>
      </c>
      <c r="F4798" t="s">
        <v>43</v>
      </c>
      <c r="G4798">
        <v>-142.1671</v>
      </c>
      <c r="H4798">
        <v>-0.05</v>
      </c>
      <c r="I4798">
        <v>212.82679999999999</v>
      </c>
      <c r="J4798">
        <v>-255.31110000000001</v>
      </c>
      <c r="K4798">
        <v>1.1210209999999901</v>
      </c>
      <c r="L4798">
        <v>215.6266</v>
      </c>
      <c r="M4798">
        <v>0.99989899999999998</v>
      </c>
      <c r="N4798">
        <v>-1.327449E-2</v>
      </c>
      <c r="O4798">
        <v>5.1020909999999996E-3</v>
      </c>
      <c r="P4798">
        <v>0.99804210000000004</v>
      </c>
      <c r="Q4798">
        <v>-6.1461429999999997E-2</v>
      </c>
      <c r="R4798">
        <v>1.1607360000000001E-2</v>
      </c>
      <c r="S4798">
        <v>3.0047000000000001</v>
      </c>
      <c r="T4798">
        <v>-3.1020519999999999E-2</v>
      </c>
      <c r="U4798">
        <v>-7.4127199999999893E-2</v>
      </c>
      <c r="V4798">
        <v>-6.5167559999999899E-3</v>
      </c>
      <c r="W4798">
        <v>-4.8206649999999997E-2</v>
      </c>
      <c r="X4798">
        <v>0.99881609999999998</v>
      </c>
      <c r="Y4798">
        <v>2.9759939999999999E-2</v>
      </c>
      <c r="Z4798">
        <v>-3.3611339999999902E-4</v>
      </c>
      <c r="AA4798">
        <v>0.99955700000000003</v>
      </c>
      <c r="AB4798">
        <v>29</v>
      </c>
      <c r="AC4798">
        <v>113.143999999999</v>
      </c>
      <c r="AD4798">
        <v>-1.1710210000000001</v>
      </c>
      <c r="AE4798">
        <v>-2.7997999999999998</v>
      </c>
      <c r="AF4798">
        <v>3.37672384099193</v>
      </c>
      <c r="AG4798">
        <v>-1.1710210000000001</v>
      </c>
      <c r="AH4798">
        <v>113.11613152914001</v>
      </c>
      <c r="AI4798">
        <v>90.592862322124205</v>
      </c>
      <c r="AJ4798">
        <v>88.290123759849095</v>
      </c>
      <c r="AK4798">
        <v>113.17257956854399</v>
      </c>
      <c r="AL4798">
        <v>92.7631085522017</v>
      </c>
      <c r="AM4798">
        <v>90.373819882255106</v>
      </c>
      <c r="AN4798">
        <v>0.99999997541609698</v>
      </c>
    </row>
    <row r="4799" spans="1:40" x14ac:dyDescent="0.25">
      <c r="A4799" t="str">
        <f>"20190303153905045"</f>
        <v>20190303153905045</v>
      </c>
      <c r="B4799" t="str">
        <f>"1551598745033590"</f>
        <v>1551598745033590</v>
      </c>
      <c r="C4799" t="s">
        <v>40</v>
      </c>
      <c r="D4799">
        <v>4.2487389999999996</v>
      </c>
      <c r="E4799">
        <v>0.51188929999999999</v>
      </c>
      <c r="F4799" t="s">
        <v>51</v>
      </c>
      <c r="G4799">
        <v>-175.0145</v>
      </c>
      <c r="H4799">
        <v>7.9982079999999997E-2</v>
      </c>
      <c r="I4799">
        <v>213.90559999999999</v>
      </c>
      <c r="J4799">
        <v>-255.03290000000001</v>
      </c>
      <c r="K4799">
        <v>1.121022</v>
      </c>
      <c r="L4799">
        <v>215.62799999999999</v>
      </c>
      <c r="M4799">
        <v>0.99989749999999999</v>
      </c>
      <c r="N4799">
        <v>-1.338639E-2</v>
      </c>
      <c r="O4799">
        <v>5.1023520000000001E-3</v>
      </c>
      <c r="P4799">
        <v>0.99805219999999994</v>
      </c>
      <c r="Q4799">
        <v>-6.1286729999999998E-2</v>
      </c>
      <c r="R4799">
        <v>1.165267E-2</v>
      </c>
      <c r="S4799">
        <v>3.004257</v>
      </c>
      <c r="T4799">
        <v>-3.894997E-2</v>
      </c>
      <c r="U4799">
        <v>-6.4392089999999999E-2</v>
      </c>
      <c r="V4799">
        <v>-6.5616160000000001E-3</v>
      </c>
      <c r="W4799">
        <v>-4.7920030000000002E-2</v>
      </c>
      <c r="X4799">
        <v>0.99882959999999998</v>
      </c>
      <c r="Y4799">
        <v>2.652552E-2</v>
      </c>
      <c r="Z4799">
        <v>-3.4735290000000003E-4</v>
      </c>
      <c r="AA4799">
        <v>0.99964810000000004</v>
      </c>
      <c r="AB4799">
        <v>29</v>
      </c>
      <c r="AC4799">
        <v>80.0184</v>
      </c>
      <c r="AD4799">
        <v>-1.04103992</v>
      </c>
      <c r="AE4799">
        <v>-1.7223999999999899</v>
      </c>
      <c r="AF4799">
        <v>2.1303357414806001</v>
      </c>
      <c r="AG4799">
        <v>-1.04103992</v>
      </c>
      <c r="AH4799">
        <v>79.9950354187947</v>
      </c>
      <c r="AI4799">
        <v>90.745329886380603</v>
      </c>
      <c r="AJ4799">
        <v>88.474525279313099</v>
      </c>
      <c r="AK4799">
        <v>80.030167975212194</v>
      </c>
      <c r="AL4799">
        <v>92.746667430011101</v>
      </c>
      <c r="AM4799">
        <v>90.376388020085898</v>
      </c>
      <c r="AN4799">
        <v>0.99999997695794496</v>
      </c>
    </row>
    <row r="4800" spans="1:40" x14ac:dyDescent="0.25">
      <c r="A4800" t="str">
        <f>"20190303153905067"</f>
        <v>20190303153905067</v>
      </c>
      <c r="B4800" t="str">
        <f>"1551598745062870"</f>
        <v>1551598745062870</v>
      </c>
      <c r="C4800" t="s">
        <v>40</v>
      </c>
      <c r="D4800">
        <v>4.2364439999999997</v>
      </c>
      <c r="E4800">
        <v>0.51128180000000001</v>
      </c>
      <c r="F4800" t="s">
        <v>51</v>
      </c>
      <c r="G4800">
        <v>-179.95769999999999</v>
      </c>
      <c r="H4800">
        <v>2.155835E-3</v>
      </c>
      <c r="I4800">
        <v>214.17349999999999</v>
      </c>
      <c r="J4800">
        <v>-254.75040000000001</v>
      </c>
      <c r="K4800">
        <v>1.1210209999999901</v>
      </c>
      <c r="L4800">
        <v>215.62950000000001</v>
      </c>
      <c r="M4800">
        <v>0.99989600000000001</v>
      </c>
      <c r="N4800">
        <v>-1.348559E-2</v>
      </c>
      <c r="O4800">
        <v>5.1026939999999996E-3</v>
      </c>
      <c r="P4800">
        <v>0.99804820000000005</v>
      </c>
      <c r="Q4800">
        <v>-6.1356470000000003E-2</v>
      </c>
      <c r="R4800">
        <v>1.1621100000000001E-2</v>
      </c>
      <c r="S4800">
        <v>3.0037989999999999</v>
      </c>
      <c r="T4800">
        <v>-4.4766430000000003E-2</v>
      </c>
      <c r="U4800">
        <v>-5.8197020000000002E-2</v>
      </c>
      <c r="V4800">
        <v>-6.5297150000000002E-3</v>
      </c>
      <c r="W4800">
        <v>-4.7890750000000003E-2</v>
      </c>
      <c r="X4800">
        <v>0.99883120000000003</v>
      </c>
      <c r="Y4800">
        <v>2.4467599999999999E-2</v>
      </c>
      <c r="Z4800">
        <v>-3.5454440000000001E-4</v>
      </c>
      <c r="AA4800">
        <v>0.99970049999999999</v>
      </c>
      <c r="AB4800">
        <v>29</v>
      </c>
      <c r="AC4800">
        <v>74.792699999999996</v>
      </c>
      <c r="AD4800">
        <v>-1.1188651650000001</v>
      </c>
      <c r="AE4800">
        <v>-1.45600000000001</v>
      </c>
      <c r="AF4800">
        <v>1.8372490290187</v>
      </c>
      <c r="AG4800">
        <v>-1.1188651650000001</v>
      </c>
      <c r="AH4800">
        <v>74.767570153545506</v>
      </c>
      <c r="AI4800">
        <v>90.857084504732697</v>
      </c>
      <c r="AJ4800">
        <v>88.592365175535804</v>
      </c>
      <c r="AK4800">
        <v>74.798508607574803</v>
      </c>
      <c r="AL4800">
        <v>92.744987917906599</v>
      </c>
      <c r="AM4800">
        <v>90.374557564276699</v>
      </c>
      <c r="AN4800">
        <v>0.99999996360349097</v>
      </c>
    </row>
    <row r="4801" spans="1:40" x14ac:dyDescent="0.25">
      <c r="A4801" t="str">
        <f>"20190303153905091"</f>
        <v>20190303153905091</v>
      </c>
      <c r="B4801" t="str">
        <f>"1551598745083366"</f>
        <v>1551598745083366</v>
      </c>
      <c r="C4801" t="s">
        <v>40</v>
      </c>
      <c r="D4801">
        <v>4.2121789999999999</v>
      </c>
      <c r="E4801">
        <v>0.51099459999999997</v>
      </c>
      <c r="F4801" t="s">
        <v>51</v>
      </c>
      <c r="G4801">
        <v>-188.98820000000001</v>
      </c>
      <c r="H4801" s="1">
        <v>3.8139800000000001E-6</v>
      </c>
      <c r="I4801">
        <v>214.45769999999999</v>
      </c>
      <c r="J4801">
        <v>-254.4556</v>
      </c>
      <c r="K4801">
        <v>1.1210209999999901</v>
      </c>
      <c r="L4801">
        <v>215.631</v>
      </c>
      <c r="M4801">
        <v>0.99989499999999998</v>
      </c>
      <c r="N4801">
        <v>-1.357477E-2</v>
      </c>
      <c r="O4801">
        <v>5.1029200000000004E-3</v>
      </c>
      <c r="P4801">
        <v>0.99803269999999999</v>
      </c>
      <c r="Q4801">
        <v>-6.1697000000000002E-2</v>
      </c>
      <c r="R4801">
        <v>1.115557E-2</v>
      </c>
      <c r="S4801">
        <v>3.0033259999999999</v>
      </c>
      <c r="T4801">
        <v>-5.119634E-2</v>
      </c>
      <c r="U4801">
        <v>-5.3512570000000002E-2</v>
      </c>
      <c r="V4801">
        <v>-6.0638389999999997E-3</v>
      </c>
      <c r="W4801">
        <v>-4.8142419999999998E-2</v>
      </c>
      <c r="X4801">
        <v>0.99882210000000005</v>
      </c>
      <c r="Y4801">
        <v>2.2911279999999999E-2</v>
      </c>
      <c r="Z4801">
        <v>-3.6850439999999999E-4</v>
      </c>
      <c r="AA4801">
        <v>0.9997374</v>
      </c>
      <c r="AB4801">
        <v>28</v>
      </c>
      <c r="AC4801">
        <v>65.467399999999998</v>
      </c>
      <c r="AD4801">
        <v>-1.12101718601999</v>
      </c>
      <c r="AE4801">
        <v>-1.17329999999998</v>
      </c>
      <c r="AF4801">
        <v>1.50694865025645</v>
      </c>
      <c r="AG4801">
        <v>-1.12101718601999</v>
      </c>
      <c r="AH4801">
        <v>65.441377942154404</v>
      </c>
      <c r="AI4801">
        <v>90.9811262627655</v>
      </c>
      <c r="AJ4801">
        <v>88.680856915624503</v>
      </c>
      <c r="AK4801">
        <v>65.468324560307394</v>
      </c>
      <c r="AL4801">
        <v>92.759424029175094</v>
      </c>
      <c r="AM4801">
        <v>90.3478378321946</v>
      </c>
      <c r="AN4801">
        <v>1.00000002509764</v>
      </c>
    </row>
    <row r="4802" spans="1:40" x14ac:dyDescent="0.25">
      <c r="A4802" t="str">
        <f>"20190303153905114"</f>
        <v>20190303153905114</v>
      </c>
      <c r="B4802" t="str">
        <f>"1551598745102886"</f>
        <v>1551598745102886</v>
      </c>
      <c r="C4802" t="s">
        <v>40</v>
      </c>
      <c r="D4802">
        <v>4.2569299999999997</v>
      </c>
      <c r="E4802">
        <v>0.5106792</v>
      </c>
      <c r="F4802" t="s">
        <v>51</v>
      </c>
      <c r="G4802">
        <v>-193.27209999999999</v>
      </c>
      <c r="H4802" s="1">
        <v>3.389129E-6</v>
      </c>
      <c r="I4802">
        <v>214.55969999999999</v>
      </c>
      <c r="J4802">
        <v>-254.1636</v>
      </c>
      <c r="K4802">
        <v>1.121022</v>
      </c>
      <c r="L4802">
        <v>215.63239999999999</v>
      </c>
      <c r="M4802">
        <v>0.9998939</v>
      </c>
      <c r="N4802">
        <v>-1.365003E-2</v>
      </c>
      <c r="O4802">
        <v>5.1032380000000004E-3</v>
      </c>
      <c r="P4802">
        <v>0.99800560000000005</v>
      </c>
      <c r="Q4802">
        <v>-6.227618E-2</v>
      </c>
      <c r="R4802">
        <v>1.031962E-2</v>
      </c>
      <c r="S4802">
        <v>3.003082</v>
      </c>
      <c r="T4802">
        <v>-5.502319E-2</v>
      </c>
      <c r="U4802">
        <v>-5.2581790000000003E-2</v>
      </c>
      <c r="V4802">
        <v>-5.2278460000000004E-3</v>
      </c>
      <c r="W4802">
        <v>-4.8646839999999997E-2</v>
      </c>
      <c r="X4802">
        <v>0.99880239999999998</v>
      </c>
      <c r="Y4802">
        <v>2.260262E-2</v>
      </c>
      <c r="Z4802">
        <v>-3.8517020000000001E-4</v>
      </c>
      <c r="AA4802">
        <v>0.99974450000000004</v>
      </c>
      <c r="AB4802">
        <v>28</v>
      </c>
      <c r="AC4802">
        <v>60.891500000000001</v>
      </c>
      <c r="AD4802">
        <v>-1.1210186108710001</v>
      </c>
      <c r="AE4802">
        <v>-1.07269999999999</v>
      </c>
      <c r="AF4802">
        <v>1.3829901777478799</v>
      </c>
      <c r="AG4802">
        <v>-1.1210186108710001</v>
      </c>
      <c r="AH4802">
        <v>60.864609643636904</v>
      </c>
      <c r="AI4802">
        <v>91.054895529995406</v>
      </c>
      <c r="AJ4802">
        <v>88.698326208588696</v>
      </c>
      <c r="AK4802">
        <v>60.890640098704502</v>
      </c>
      <c r="AL4802">
        <v>92.788359028121704</v>
      </c>
      <c r="AM4802">
        <v>90.299889924627607</v>
      </c>
      <c r="AN4802">
        <v>1.00000003983077</v>
      </c>
    </row>
    <row r="4803" spans="1:40" x14ac:dyDescent="0.25">
      <c r="A4803" t="str">
        <f>"20190303153905134"</f>
        <v>20190303153905134</v>
      </c>
      <c r="B4803" t="str">
        <f>"1551598745123383"</f>
        <v>1551598745123383</v>
      </c>
      <c r="C4803" t="s">
        <v>40</v>
      </c>
      <c r="D4803">
        <v>4.2653080000000001</v>
      </c>
      <c r="E4803">
        <v>0.51050620000000002</v>
      </c>
      <c r="F4803" t="s">
        <v>51</v>
      </c>
      <c r="G4803">
        <v>-198.12440000000001</v>
      </c>
      <c r="H4803" s="1">
        <v>2.5208929999999999E-6</v>
      </c>
      <c r="I4803">
        <v>214.64570000000001</v>
      </c>
      <c r="J4803">
        <v>-253.9033</v>
      </c>
      <c r="K4803">
        <v>1.121024</v>
      </c>
      <c r="L4803">
        <v>215.63380000000001</v>
      </c>
      <c r="M4803">
        <v>0.99989309999999998</v>
      </c>
      <c r="N4803">
        <v>-1.3708390000000001E-2</v>
      </c>
      <c r="O4803">
        <v>5.1031339999999996E-3</v>
      </c>
      <c r="P4803">
        <v>0.99797599999999997</v>
      </c>
      <c r="Q4803">
        <v>-6.2890349999999998E-2</v>
      </c>
      <c r="R4803">
        <v>9.4333760000000003E-3</v>
      </c>
      <c r="S4803">
        <v>3.0027919999999999</v>
      </c>
      <c r="T4803">
        <v>-6.0068490000000002E-2</v>
      </c>
      <c r="U4803">
        <v>-5.2871700000000001E-2</v>
      </c>
      <c r="V4803">
        <v>-4.3413949999999996E-3</v>
      </c>
      <c r="W4803">
        <v>-4.9203150000000001E-2</v>
      </c>
      <c r="X4803">
        <v>0.99877939999999998</v>
      </c>
      <c r="Y4803">
        <v>2.269962E-2</v>
      </c>
      <c r="Z4803">
        <v>-4.1475289999999998E-4</v>
      </c>
      <c r="AA4803">
        <v>0.99974229999999997</v>
      </c>
      <c r="AB4803">
        <v>28</v>
      </c>
      <c r="AC4803">
        <v>55.778899999999901</v>
      </c>
      <c r="AD4803">
        <v>-1.1210214791069999</v>
      </c>
      <c r="AE4803">
        <v>-0.98810000000000198</v>
      </c>
      <c r="AF4803">
        <v>1.27224734086375</v>
      </c>
      <c r="AG4803">
        <v>-1.1210214791069999</v>
      </c>
      <c r="AH4803">
        <v>55.750619339100801</v>
      </c>
      <c r="AI4803">
        <v>91.151636245880695</v>
      </c>
      <c r="AJ4803">
        <v>88.692718497649906</v>
      </c>
      <c r="AK4803">
        <v>55.776400557460498</v>
      </c>
      <c r="AL4803">
        <v>92.820271447799499</v>
      </c>
      <c r="AM4803">
        <v>90.249046029729598</v>
      </c>
      <c r="AN4803">
        <v>1.0000000437724099</v>
      </c>
    </row>
    <row r="4804" spans="1:40" x14ac:dyDescent="0.25">
      <c r="A4804" t="str">
        <f>"20190303153905152"</f>
        <v>20190303153905152</v>
      </c>
      <c r="B4804" t="str">
        <f>"1551598745142903"</f>
        <v>1551598745142903</v>
      </c>
      <c r="C4804" t="s">
        <v>40</v>
      </c>
      <c r="D4804">
        <v>4.2817509999999999</v>
      </c>
      <c r="E4804">
        <v>0.51024539999999996</v>
      </c>
      <c r="F4804" t="s">
        <v>51</v>
      </c>
      <c r="G4804">
        <v>-201.7593</v>
      </c>
      <c r="H4804" s="1">
        <v>2.9905399999999998E-6</v>
      </c>
      <c r="I4804">
        <v>214.69220000000001</v>
      </c>
      <c r="J4804">
        <v>-253.66739999999999</v>
      </c>
      <c r="K4804">
        <v>1.1210279999999999</v>
      </c>
      <c r="L4804">
        <v>215.63499999999999</v>
      </c>
      <c r="M4804">
        <v>0.99989240000000001</v>
      </c>
      <c r="N4804">
        <v>-1.3754860000000001E-2</v>
      </c>
      <c r="O4804">
        <v>5.1033490000000001E-3</v>
      </c>
      <c r="P4804">
        <v>0.99798790000000004</v>
      </c>
      <c r="Q4804">
        <v>-6.272846E-2</v>
      </c>
      <c r="R4804">
        <v>9.243846E-3</v>
      </c>
      <c r="S4804">
        <v>3.0025179999999998</v>
      </c>
      <c r="T4804">
        <v>-6.4549919999999997E-2</v>
      </c>
      <c r="U4804">
        <v>-5.4214480000000002E-2</v>
      </c>
      <c r="V4804">
        <v>-4.1523640000000004E-3</v>
      </c>
      <c r="W4804">
        <v>-4.8994719999999999E-2</v>
      </c>
      <c r="X4804">
        <v>0.99879039999999997</v>
      </c>
      <c r="Y4804">
        <v>2.3147239999999999E-2</v>
      </c>
      <c r="Z4804">
        <v>-4.4751600000000002E-4</v>
      </c>
      <c r="AA4804">
        <v>0.99973199999999995</v>
      </c>
      <c r="AB4804">
        <v>28</v>
      </c>
      <c r="AC4804">
        <v>51.908099999999898</v>
      </c>
      <c r="AD4804">
        <v>-1.1210250094600001</v>
      </c>
      <c r="AE4804">
        <v>-0.94279999999997699</v>
      </c>
      <c r="AF4804">
        <v>1.2071550930089201</v>
      </c>
      <c r="AG4804">
        <v>-1.1210250094600001</v>
      </c>
      <c r="AH4804">
        <v>51.8784238059866</v>
      </c>
      <c r="AI4804">
        <v>91.237559461114799</v>
      </c>
      <c r="AJ4804">
        <v>88.667029410631301</v>
      </c>
      <c r="AK4804">
        <v>51.904573758812198</v>
      </c>
      <c r="AL4804">
        <v>92.808315008490098</v>
      </c>
      <c r="AM4804">
        <v>90.238199687869695</v>
      </c>
      <c r="AN4804">
        <v>0.99999999392341299</v>
      </c>
    </row>
    <row r="4805" spans="1:40" x14ac:dyDescent="0.25">
      <c r="A4805" t="str">
        <f>"20190303153905167"</f>
        <v>20190303153905167</v>
      </c>
      <c r="B4805" t="str">
        <f>"1551598745163398"</f>
        <v>1551598745163398</v>
      </c>
      <c r="C4805" t="s">
        <v>40</v>
      </c>
      <c r="D4805">
        <v>4.2517630000000004</v>
      </c>
      <c r="E4805">
        <v>0.51012239999999998</v>
      </c>
      <c r="F4805" t="s">
        <v>51</v>
      </c>
      <c r="G4805">
        <v>-203.3801</v>
      </c>
      <c r="H4805" s="1">
        <v>3.7039330000000001E-6</v>
      </c>
      <c r="I4805">
        <v>214.7533</v>
      </c>
      <c r="J4805">
        <v>-253.47569999999999</v>
      </c>
      <c r="K4805">
        <v>1.121027</v>
      </c>
      <c r="L4805">
        <v>215.636</v>
      </c>
      <c r="M4805">
        <v>0.99989189999999994</v>
      </c>
      <c r="N4805">
        <v>-1.378849E-2</v>
      </c>
      <c r="O4805">
        <v>5.1034740000000002E-3</v>
      </c>
      <c r="P4805">
        <v>0.99802619999999997</v>
      </c>
      <c r="Q4805">
        <v>-6.2210340000000003E-2</v>
      </c>
      <c r="R4805">
        <v>8.5861630000000008E-3</v>
      </c>
      <c r="S4805">
        <v>3.002319</v>
      </c>
      <c r="T4805">
        <v>-6.6928860000000007E-2</v>
      </c>
      <c r="U4805">
        <v>-5.264282E-2</v>
      </c>
      <c r="V4805">
        <v>-3.4942649999999999E-3</v>
      </c>
      <c r="W4805">
        <v>-4.8442600000000002E-2</v>
      </c>
      <c r="X4805">
        <v>0.99881980000000004</v>
      </c>
      <c r="Y4805">
        <v>2.2625019999999999E-2</v>
      </c>
      <c r="Z4805">
        <v>-4.5154880000000002E-4</v>
      </c>
      <c r="AA4805">
        <v>0.99974390000000002</v>
      </c>
      <c r="AB4805">
        <v>28</v>
      </c>
      <c r="AC4805">
        <v>50.095599999999898</v>
      </c>
      <c r="AD4805">
        <v>-1.1210232960669999</v>
      </c>
      <c r="AE4805">
        <v>-0.88269999999999904</v>
      </c>
      <c r="AF4805">
        <v>1.13780481335254</v>
      </c>
      <c r="AG4805">
        <v>-1.1210232960669999</v>
      </c>
      <c r="AH4805">
        <v>50.065379240132899</v>
      </c>
      <c r="AI4805">
        <v>91.282375192589598</v>
      </c>
      <c r="AJ4805">
        <v>88.698098473514705</v>
      </c>
      <c r="AK4805">
        <v>50.090852373282203</v>
      </c>
      <c r="AL4805">
        <v>92.776643391572094</v>
      </c>
      <c r="AM4805">
        <v>90.200442382345599</v>
      </c>
      <c r="AN4805">
        <v>0.99999994412734305</v>
      </c>
    </row>
    <row r="4806" spans="1:40" x14ac:dyDescent="0.25">
      <c r="A4806" t="str">
        <f>"20190303153905185"</f>
        <v>20190303153905185</v>
      </c>
      <c r="B4806" t="str">
        <f>"1551598745173158"</f>
        <v>1551598745173158</v>
      </c>
      <c r="C4806" t="s">
        <v>40</v>
      </c>
      <c r="D4806">
        <v>4.2507919999999997</v>
      </c>
      <c r="E4806">
        <v>0.51006669999999998</v>
      </c>
      <c r="F4806" t="s">
        <v>51</v>
      </c>
      <c r="G4806">
        <v>-203.309</v>
      </c>
      <c r="H4806" s="1">
        <v>3.6736829999999998E-6</v>
      </c>
      <c r="I4806">
        <v>214.739</v>
      </c>
      <c r="J4806">
        <v>-253.2516</v>
      </c>
      <c r="K4806">
        <v>1.12103</v>
      </c>
      <c r="L4806">
        <v>215.6371</v>
      </c>
      <c r="M4806">
        <v>0.99989150000000004</v>
      </c>
      <c r="N4806">
        <v>-1.3823220000000001E-2</v>
      </c>
      <c r="O4806">
        <v>5.1033520000000002E-3</v>
      </c>
      <c r="P4806">
        <v>0.99799660000000001</v>
      </c>
      <c r="Q4806">
        <v>-6.2688270000000004E-2</v>
      </c>
      <c r="R4806">
        <v>8.5573609999999994E-3</v>
      </c>
      <c r="S4806">
        <v>3.0022129999999998</v>
      </c>
      <c r="T4806">
        <v>-6.708741E-2</v>
      </c>
      <c r="U4806">
        <v>-5.368042E-2</v>
      </c>
      <c r="V4806">
        <v>-3.4656140000000001E-3</v>
      </c>
      <c r="W4806">
        <v>-4.8886190000000003E-2</v>
      </c>
      <c r="X4806">
        <v>0.99879839999999998</v>
      </c>
      <c r="Y4806">
        <v>2.2970750000000002E-2</v>
      </c>
      <c r="Z4806">
        <v>-4.5889539999999999E-4</v>
      </c>
      <c r="AA4806">
        <v>0.99973599999999996</v>
      </c>
      <c r="AB4806">
        <v>28</v>
      </c>
      <c r="AC4806">
        <v>49.942599999999899</v>
      </c>
      <c r="AD4806">
        <v>-1.1210263263169999</v>
      </c>
      <c r="AE4806">
        <v>-0.89809999999999901</v>
      </c>
      <c r="AF4806">
        <v>1.1524068704736501</v>
      </c>
      <c r="AG4806">
        <v>-1.1210263263169999</v>
      </c>
      <c r="AH4806">
        <v>49.912226301283297</v>
      </c>
      <c r="AI4806">
        <v>91.286301580567496</v>
      </c>
      <c r="AJ4806">
        <v>88.677351708926494</v>
      </c>
      <c r="AK4806">
        <v>49.938112459022001</v>
      </c>
      <c r="AL4806">
        <v>92.802089060403105</v>
      </c>
      <c r="AM4806">
        <v>90.198803140613094</v>
      </c>
      <c r="AN4806">
        <v>1.00000005694783</v>
      </c>
    </row>
    <row r="4807" spans="1:40" x14ac:dyDescent="0.25">
      <c r="A4807" t="str">
        <f>"20190303153905201"</f>
        <v>20190303153905201</v>
      </c>
      <c r="B4807" t="str">
        <f>"1551598745193654"</f>
        <v>1551598745193654</v>
      </c>
      <c r="C4807" t="s">
        <v>40</v>
      </c>
      <c r="D4807">
        <v>4.1846300000000003</v>
      </c>
      <c r="E4807">
        <v>0.51004859999999996</v>
      </c>
      <c r="F4807" t="s">
        <v>51</v>
      </c>
      <c r="G4807">
        <v>-204.61109999999999</v>
      </c>
      <c r="H4807" s="1">
        <v>4.2478890000000004E-6</v>
      </c>
      <c r="I4807">
        <v>214.7758</v>
      </c>
      <c r="J4807">
        <v>-253.05090000000001</v>
      </c>
      <c r="K4807">
        <v>1.1210329999999999</v>
      </c>
      <c r="L4807">
        <v>215.63810000000001</v>
      </c>
      <c r="M4807">
        <v>0.99989110000000003</v>
      </c>
      <c r="N4807">
        <v>-1.385084E-2</v>
      </c>
      <c r="O4807">
        <v>5.1035170000000001E-3</v>
      </c>
      <c r="P4807">
        <v>0.99801240000000002</v>
      </c>
      <c r="Q4807">
        <v>-6.242669E-2</v>
      </c>
      <c r="R4807">
        <v>8.6238040000000005E-3</v>
      </c>
      <c r="S4807">
        <v>3.0021360000000001</v>
      </c>
      <c r="T4807">
        <v>-6.9190740000000001E-2</v>
      </c>
      <c r="U4807">
        <v>-5.316162E-2</v>
      </c>
      <c r="V4807">
        <v>-3.5318649999999999E-3</v>
      </c>
      <c r="W4807">
        <v>-4.8596830000000001E-2</v>
      </c>
      <c r="X4807">
        <v>0.99881229999999999</v>
      </c>
      <c r="Y4807">
        <v>2.2798220000000001E-2</v>
      </c>
      <c r="Z4807">
        <v>-4.6751879999999999E-4</v>
      </c>
      <c r="AA4807">
        <v>0.99973999999999996</v>
      </c>
      <c r="AB4807">
        <v>28</v>
      </c>
      <c r="AC4807">
        <v>48.439799999999998</v>
      </c>
      <c r="AD4807">
        <v>-1.1210287521109901</v>
      </c>
      <c r="AE4807">
        <v>-0.86230000000000395</v>
      </c>
      <c r="AF4807">
        <v>1.1089320750956999</v>
      </c>
      <c r="AG4807">
        <v>-1.1210287521109901</v>
      </c>
      <c r="AH4807">
        <v>48.408848996817397</v>
      </c>
      <c r="AI4807">
        <v>91.326243085425503</v>
      </c>
      <c r="AJ4807">
        <v>88.687718907212698</v>
      </c>
      <c r="AK4807">
        <v>48.434523813153199</v>
      </c>
      <c r="AL4807">
        <v>92.785490193962701</v>
      </c>
      <c r="AM4807">
        <v>90.202600743795799</v>
      </c>
      <c r="AN4807">
        <v>1.0000000682938499</v>
      </c>
    </row>
    <row r="4808" spans="1:40" x14ac:dyDescent="0.25">
      <c r="A4808" t="str">
        <f>"20190303153905223"</f>
        <v>20190303153905223</v>
      </c>
      <c r="B4808" t="str">
        <f>"1551598745213174"</f>
        <v>1551598745213174</v>
      </c>
      <c r="C4808" t="s">
        <v>40</v>
      </c>
      <c r="D4808">
        <v>4.1802330000000003</v>
      </c>
      <c r="E4808">
        <v>0.51009129999999903</v>
      </c>
      <c r="F4808" t="s">
        <v>51</v>
      </c>
      <c r="G4808">
        <v>-203.55520000000001</v>
      </c>
      <c r="H4808" s="1">
        <v>3.780698E-6</v>
      </c>
      <c r="I4808">
        <v>214.7637</v>
      </c>
      <c r="J4808">
        <v>-252.77199999999999</v>
      </c>
      <c r="K4808">
        <v>1.121041</v>
      </c>
      <c r="L4808">
        <v>215.6395</v>
      </c>
      <c r="M4808">
        <v>0.99989070000000002</v>
      </c>
      <c r="N4808">
        <v>-1.388468E-2</v>
      </c>
      <c r="O4808">
        <v>5.1034590000000003E-3</v>
      </c>
      <c r="P4808">
        <v>0.99798629999999999</v>
      </c>
      <c r="Q4808">
        <v>-6.28354E-2</v>
      </c>
      <c r="R4808">
        <v>8.6888429999999999E-3</v>
      </c>
      <c r="S4808">
        <v>3.002167</v>
      </c>
      <c r="T4808">
        <v>-6.7996139999999997E-2</v>
      </c>
      <c r="U4808">
        <v>-5.3039549999999998E-2</v>
      </c>
      <c r="V4808">
        <v>-3.5970479999999998E-3</v>
      </c>
      <c r="W4808">
        <v>-4.897203E-2</v>
      </c>
      <c r="X4808">
        <v>0.99879370000000001</v>
      </c>
      <c r="Y4808">
        <v>2.2757650000000001E-2</v>
      </c>
      <c r="Z4808">
        <v>-4.6042179999999998E-4</v>
      </c>
      <c r="AA4808">
        <v>0.99974090000000004</v>
      </c>
      <c r="AB4808">
        <v>28</v>
      </c>
      <c r="AC4808">
        <v>49.216799999999999</v>
      </c>
      <c r="AD4808">
        <v>-1.121037219302</v>
      </c>
      <c r="AE4808">
        <v>-0.87579999999999802</v>
      </c>
      <c r="AF4808">
        <v>1.1264044863324201</v>
      </c>
      <c r="AG4808">
        <v>-1.121037219302</v>
      </c>
      <c r="AH4808">
        <v>49.186178403841801</v>
      </c>
      <c r="AI4808">
        <v>91.305300749306994</v>
      </c>
      <c r="AJ4808">
        <v>88.688108195910999</v>
      </c>
      <c r="AK4808">
        <v>49.211844686908897</v>
      </c>
      <c r="AL4808">
        <v>92.807013312382097</v>
      </c>
      <c r="AM4808">
        <v>90.206343690484601</v>
      </c>
      <c r="AN4808">
        <v>1.0000000268181599</v>
      </c>
    </row>
    <row r="4809" spans="1:40" x14ac:dyDescent="0.25">
      <c r="A4809" t="str">
        <f>"20190303153905246"</f>
        <v>20190303153905246</v>
      </c>
      <c r="B4809" t="str">
        <f>"1551598745233670"</f>
        <v>1551598745233670</v>
      </c>
      <c r="C4809" t="s">
        <v>40</v>
      </c>
      <c r="D4809">
        <v>4.2595539999999996</v>
      </c>
      <c r="E4809">
        <v>0.50942049999999905</v>
      </c>
      <c r="F4809" t="s">
        <v>51</v>
      </c>
      <c r="G4809">
        <v>-202.8081</v>
      </c>
      <c r="H4809" s="1">
        <v>3.450354E-6</v>
      </c>
      <c r="I4809">
        <v>214.7525</v>
      </c>
      <c r="J4809">
        <v>-252.49440000000001</v>
      </c>
      <c r="K4809">
        <v>1.121043</v>
      </c>
      <c r="L4809">
        <v>215.64089999999999</v>
      </c>
      <c r="M4809">
        <v>0.99989019999999995</v>
      </c>
      <c r="N4809">
        <v>-1.391351E-2</v>
      </c>
      <c r="O4809">
        <v>5.1035550000000001E-3</v>
      </c>
      <c r="P4809">
        <v>0.99794380000000005</v>
      </c>
      <c r="Q4809">
        <v>-6.3562649999999998E-2</v>
      </c>
      <c r="R4809">
        <v>8.2451920000000001E-3</v>
      </c>
      <c r="S4809">
        <v>3.0022579999999999</v>
      </c>
      <c r="T4809">
        <v>-6.7361470000000007E-2</v>
      </c>
      <c r="U4809">
        <v>-5.3298949999999998E-2</v>
      </c>
      <c r="V4809">
        <v>-3.153538E-3</v>
      </c>
      <c r="W4809">
        <v>-4.9671079999999999E-2</v>
      </c>
      <c r="X4809">
        <v>0.9987606</v>
      </c>
      <c r="Y4809">
        <v>2.284367E-2</v>
      </c>
      <c r="Z4809">
        <v>-4.5867230000000002E-4</v>
      </c>
      <c r="AA4809">
        <v>0.99973889999999999</v>
      </c>
      <c r="AB4809">
        <v>28</v>
      </c>
      <c r="AC4809">
        <v>49.686300000000003</v>
      </c>
      <c r="AD4809">
        <v>-1.1210395496459999</v>
      </c>
      <c r="AE4809">
        <v>-0.88839999999998998</v>
      </c>
      <c r="AF4809">
        <v>1.1414088757835299</v>
      </c>
      <c r="AG4809">
        <v>-1.1210395496459999</v>
      </c>
      <c r="AH4809">
        <v>49.655848658750102</v>
      </c>
      <c r="AI4809">
        <v>91.292958913280003</v>
      </c>
      <c r="AJ4809">
        <v>88.683208554360704</v>
      </c>
      <c r="AK4809">
        <v>49.681614807837001</v>
      </c>
      <c r="AL4809">
        <v>92.847114955188403</v>
      </c>
      <c r="AM4809">
        <v>90.180908034911795</v>
      </c>
      <c r="AN4809">
        <v>0.99999994855132002</v>
      </c>
    </row>
    <row r="4810" spans="1:40" x14ac:dyDescent="0.25">
      <c r="A4810" t="str">
        <f>"20190303153905268"</f>
        <v>20190303153905268</v>
      </c>
      <c r="B4810" t="str">
        <f>"1551598745262950"</f>
        <v>1551598745262950</v>
      </c>
      <c r="C4810" t="s">
        <v>40</v>
      </c>
      <c r="D4810">
        <v>4.2617940000000001</v>
      </c>
      <c r="E4810">
        <v>0.48075430000000002</v>
      </c>
      <c r="F4810" t="s">
        <v>51</v>
      </c>
      <c r="G4810">
        <v>-202.58690000000001</v>
      </c>
      <c r="H4810" s="1">
        <v>3.3460409999999999E-6</v>
      </c>
      <c r="I4810">
        <v>214.8237</v>
      </c>
      <c r="J4810">
        <v>-252.2132</v>
      </c>
      <c r="K4810">
        <v>1.1210439999999999</v>
      </c>
      <c r="L4810">
        <v>215.64240000000001</v>
      </c>
      <c r="M4810">
        <v>0.9998899</v>
      </c>
      <c r="N4810">
        <v>-1.393842E-2</v>
      </c>
      <c r="O4810">
        <v>5.1035580000000002E-3</v>
      </c>
      <c r="P4810">
        <v>0.99793540000000003</v>
      </c>
      <c r="Q4810">
        <v>-6.3731159999999995E-2</v>
      </c>
      <c r="R4810">
        <v>7.9703269999999993E-3</v>
      </c>
      <c r="S4810">
        <v>3.0022890000000002</v>
      </c>
      <c r="T4810">
        <v>-6.7438479999999995E-2</v>
      </c>
      <c r="U4810">
        <v>-4.9163819999999997E-2</v>
      </c>
      <c r="V4810">
        <v>-2.878724E-3</v>
      </c>
      <c r="W4810">
        <v>-4.9814829999999997E-2</v>
      </c>
      <c r="X4810">
        <v>0.99875429999999998</v>
      </c>
      <c r="Y4810">
        <v>2.1467449999999999E-2</v>
      </c>
      <c r="Z4810">
        <v>-4.3420360000000002E-4</v>
      </c>
      <c r="AA4810">
        <v>0.99976940000000003</v>
      </c>
      <c r="AB4810">
        <v>28</v>
      </c>
      <c r="AC4810">
        <v>49.626299999999901</v>
      </c>
      <c r="AD4810">
        <v>-1.1210406539589901</v>
      </c>
      <c r="AE4810">
        <v>-0.81870000000000598</v>
      </c>
      <c r="AF4810">
        <v>1.0714380272401001</v>
      </c>
      <c r="AG4810">
        <v>-1.1210406539589901</v>
      </c>
      <c r="AH4810">
        <v>49.596173236541603</v>
      </c>
      <c r="AI4810">
        <v>91.294555267571695</v>
      </c>
      <c r="AJ4810">
        <v>88.762418033971102</v>
      </c>
      <c r="AK4810">
        <v>49.620410229089003</v>
      </c>
      <c r="AL4810">
        <v>92.855361348316706</v>
      </c>
      <c r="AM4810">
        <v>90.165143998708601</v>
      </c>
      <c r="AN4810">
        <v>0.99999997805414298</v>
      </c>
    </row>
    <row r="4811" spans="1:40" x14ac:dyDescent="0.25">
      <c r="A4811" t="str">
        <f>"20190303153905292"</f>
        <v>20190303153905292</v>
      </c>
      <c r="B4811" t="str">
        <f>"1551598745283446"</f>
        <v>1551598745283446</v>
      </c>
      <c r="C4811" t="s">
        <v>40</v>
      </c>
      <c r="D4811">
        <v>4.2696449999999997</v>
      </c>
      <c r="E4811">
        <v>0.47969030000000001</v>
      </c>
      <c r="F4811" t="s">
        <v>51</v>
      </c>
      <c r="G4811">
        <v>-203.1825</v>
      </c>
      <c r="H4811" s="1">
        <v>3.2834460000000002E-6</v>
      </c>
      <c r="I4811">
        <v>218.56100000000001</v>
      </c>
      <c r="J4811">
        <v>-251.917</v>
      </c>
      <c r="K4811">
        <v>1.1210469999999999</v>
      </c>
      <c r="L4811">
        <v>215.6439</v>
      </c>
      <c r="M4811">
        <v>0.99988960000000005</v>
      </c>
      <c r="N4811">
        <v>-1.396029E-2</v>
      </c>
      <c r="O4811">
        <v>5.1035830000000001E-3</v>
      </c>
      <c r="P4811">
        <v>0.99794280000000002</v>
      </c>
      <c r="Q4811">
        <v>-6.3619999999999996E-2</v>
      </c>
      <c r="R4811">
        <v>7.9035279999999999E-3</v>
      </c>
      <c r="S4811">
        <v>3.000397</v>
      </c>
      <c r="T4811">
        <v>-6.8601369999999995E-2</v>
      </c>
      <c r="U4811">
        <v>0.17860409999999999</v>
      </c>
      <c r="V4811">
        <v>-2.8115919999999999E-3</v>
      </c>
      <c r="W4811">
        <v>-4.9681740000000002E-2</v>
      </c>
      <c r="X4811">
        <v>0.99876109999999896</v>
      </c>
      <c r="Y4811">
        <v>-5.4303209999999998E-2</v>
      </c>
      <c r="Z4811">
        <v>9.5426650000000001E-4</v>
      </c>
      <c r="AA4811">
        <v>0.99852399999999997</v>
      </c>
      <c r="AB4811">
        <v>28</v>
      </c>
      <c r="AC4811">
        <v>48.734499999999997</v>
      </c>
      <c r="AD4811">
        <v>-1.1210437165539999</v>
      </c>
      <c r="AE4811">
        <v>2.9170999999999698</v>
      </c>
      <c r="AF4811">
        <v>-2.6669110786796</v>
      </c>
      <c r="AG4811">
        <v>-1.1210437165539999</v>
      </c>
      <c r="AH4811">
        <v>48.7230649322292</v>
      </c>
      <c r="AI4811">
        <v>91.316086944895204</v>
      </c>
      <c r="AJ4811">
        <v>93.133021741325805</v>
      </c>
      <c r="AK4811">
        <v>48.808874296650501</v>
      </c>
      <c r="AL4811">
        <v>92.847726457436707</v>
      </c>
      <c r="AM4811">
        <v>90.161291754134197</v>
      </c>
      <c r="AN4811">
        <v>0.99999995760610505</v>
      </c>
    </row>
    <row r="4812" spans="1:40" x14ac:dyDescent="0.25">
      <c r="A4812" t="str">
        <f>"20190303153905314"</f>
        <v>20190303153905314</v>
      </c>
      <c r="B4812" t="str">
        <f>"1551598745302966"</f>
        <v>1551598745302966</v>
      </c>
      <c r="C4812" t="s">
        <v>40</v>
      </c>
      <c r="D4812">
        <v>4.2971259999999996</v>
      </c>
      <c r="E4812">
        <v>0.47910989999999998</v>
      </c>
      <c r="F4812" t="s">
        <v>55</v>
      </c>
      <c r="G4812">
        <v>-211.5061</v>
      </c>
      <c r="H4812" s="1">
        <v>-8.9025349999999996E-7</v>
      </c>
      <c r="I4812">
        <v>218.161</v>
      </c>
      <c r="J4812">
        <v>-251.63470000000001</v>
      </c>
      <c r="K4812">
        <v>1.1210439999999999</v>
      </c>
      <c r="L4812">
        <v>215.64529999999999</v>
      </c>
      <c r="M4812">
        <v>0.99988940000000004</v>
      </c>
      <c r="N4812">
        <v>-1.3977669999999999E-2</v>
      </c>
      <c r="O4812">
        <v>5.1034610000000001E-3</v>
      </c>
      <c r="P4812">
        <v>0.99793759999999998</v>
      </c>
      <c r="Q4812">
        <v>-6.3652630000000002E-2</v>
      </c>
      <c r="R4812">
        <v>8.3201379999999995E-3</v>
      </c>
      <c r="S4812">
        <v>2.9994049999999999</v>
      </c>
      <c r="T4812">
        <v>-8.3207249999999996E-2</v>
      </c>
      <c r="U4812">
        <v>0.18682860000000001</v>
      </c>
      <c r="V4812">
        <v>-3.228781E-3</v>
      </c>
      <c r="W4812">
        <v>-4.9697030000000003E-2</v>
      </c>
      <c r="X4812">
        <v>0.99875910000000001</v>
      </c>
      <c r="Y4812">
        <v>-5.7040760000000003E-2</v>
      </c>
      <c r="Z4812">
        <v>1.119302E-3</v>
      </c>
      <c r="AA4812">
        <v>0.99837120000000001</v>
      </c>
      <c r="AB4812">
        <v>28</v>
      </c>
      <c r="AC4812">
        <v>40.128599999999999</v>
      </c>
      <c r="AD4812">
        <v>-1.1210448902535</v>
      </c>
      <c r="AE4812">
        <v>2.5156999999999798</v>
      </c>
      <c r="AF4812">
        <v>-2.3090574824429999</v>
      </c>
      <c r="AG4812">
        <v>-1.1210448902535</v>
      </c>
      <c r="AH4812">
        <v>40.1097367551939</v>
      </c>
      <c r="AI4812">
        <v>91.598323499648799</v>
      </c>
      <c r="AJ4812">
        <v>93.294795643418297</v>
      </c>
      <c r="AK4812">
        <v>40.191783621458598</v>
      </c>
      <c r="AL4812">
        <v>92.848603530106104</v>
      </c>
      <c r="AM4812">
        <v>90.185224725178003</v>
      </c>
      <c r="AN4812">
        <v>0.99999997982518796</v>
      </c>
    </row>
    <row r="4813" spans="1:40" x14ac:dyDescent="0.25">
      <c r="A4813" t="str">
        <f>"20190303153905335"</f>
        <v>20190303153905335</v>
      </c>
      <c r="B4813" t="str">
        <f>"1551598745323462"</f>
        <v>1551598745323462</v>
      </c>
      <c r="C4813" t="s">
        <v>40</v>
      </c>
      <c r="D4813">
        <v>4.2391300000000003</v>
      </c>
      <c r="E4813">
        <v>0.47873090000000001</v>
      </c>
      <c r="F4813" t="s">
        <v>55</v>
      </c>
      <c r="G4813">
        <v>-215.2629</v>
      </c>
      <c r="H4813" s="1">
        <v>1.1167710000000001E-6</v>
      </c>
      <c r="I4813">
        <v>217.98140000000001</v>
      </c>
      <c r="J4813">
        <v>-251.37479999999999</v>
      </c>
      <c r="K4813">
        <v>1.1210420000000001</v>
      </c>
      <c r="L4813">
        <v>215.64670000000001</v>
      </c>
      <c r="M4813">
        <v>0.99988909999999998</v>
      </c>
      <c r="N4813">
        <v>-1.399123E-2</v>
      </c>
      <c r="O4813">
        <v>5.1035439999999998E-3</v>
      </c>
      <c r="P4813">
        <v>0.99791790000000002</v>
      </c>
      <c r="Q4813">
        <v>-6.3862849999999999E-2</v>
      </c>
      <c r="R4813">
        <v>9.0261339999999999E-3</v>
      </c>
      <c r="S4813">
        <v>2.998688</v>
      </c>
      <c r="T4813">
        <v>-9.2424870000000006E-2</v>
      </c>
      <c r="U4813">
        <v>0.1925964</v>
      </c>
      <c r="V4813">
        <v>-3.9345370000000001E-3</v>
      </c>
      <c r="W4813">
        <v>-4.9893880000000002E-2</v>
      </c>
      <c r="X4813">
        <v>0.99874680000000005</v>
      </c>
      <c r="Y4813">
        <v>-5.896059E-2</v>
      </c>
      <c r="Z4813">
        <v>1.2347720000000001E-3</v>
      </c>
      <c r="AA4813">
        <v>0.99825949999999997</v>
      </c>
      <c r="AB4813">
        <v>28</v>
      </c>
      <c r="AC4813">
        <v>36.111899999999899</v>
      </c>
      <c r="AD4813">
        <v>-1.121040883229</v>
      </c>
      <c r="AE4813">
        <v>2.33469999999999</v>
      </c>
      <c r="AF4813">
        <v>-2.1482911858120999</v>
      </c>
      <c r="AG4813">
        <v>-1.121040883229</v>
      </c>
      <c r="AH4813">
        <v>36.088712071119303</v>
      </c>
      <c r="AI4813">
        <v>91.776091931855106</v>
      </c>
      <c r="AJ4813">
        <v>93.406686695751006</v>
      </c>
      <c r="AK4813">
        <v>36.169974103295402</v>
      </c>
      <c r="AL4813">
        <v>92.859896084029302</v>
      </c>
      <c r="AM4813">
        <v>90.225714063116996</v>
      </c>
      <c r="AN4813">
        <v>1.00000002517654</v>
      </c>
    </row>
    <row r="4814" spans="1:40" x14ac:dyDescent="0.25">
      <c r="A4814" t="str">
        <f>"20190303153905357"</f>
        <v>20190303153905357</v>
      </c>
      <c r="B4814" t="str">
        <f>"1551598745353718"</f>
        <v>1551598745353718</v>
      </c>
      <c r="C4814" t="s">
        <v>40</v>
      </c>
      <c r="D4814">
        <v>4.2726940000000004</v>
      </c>
      <c r="E4814">
        <v>0.47838069999999999</v>
      </c>
      <c r="F4814" t="s">
        <v>55</v>
      </c>
      <c r="G4814">
        <v>-216.72110000000001</v>
      </c>
      <c r="H4814" s="1">
        <v>1.89492E-6</v>
      </c>
      <c r="I4814">
        <v>217.9324</v>
      </c>
      <c r="J4814">
        <v>-251.09389999999999</v>
      </c>
      <c r="K4814">
        <v>1.1210450000000001</v>
      </c>
      <c r="L4814">
        <v>215.6481</v>
      </c>
      <c r="M4814">
        <v>0.99988900000000003</v>
      </c>
      <c r="N4814">
        <v>-1.400359E-2</v>
      </c>
      <c r="O4814">
        <v>5.1036349999999996E-3</v>
      </c>
      <c r="P4814">
        <v>0.99788270000000001</v>
      </c>
      <c r="Q4814">
        <v>-6.428304E-2</v>
      </c>
      <c r="R4814">
        <v>9.8927259999999993E-3</v>
      </c>
      <c r="S4814">
        <v>2.9982760000000002</v>
      </c>
      <c r="T4814">
        <v>-9.6993679999999999E-2</v>
      </c>
      <c r="U4814">
        <v>0.19776920000000001</v>
      </c>
      <c r="V4814">
        <v>-4.8007170000000004E-3</v>
      </c>
      <c r="W4814">
        <v>-5.0302079999999999E-2</v>
      </c>
      <c r="X4814">
        <v>0.99872249999999996</v>
      </c>
      <c r="Y4814">
        <v>-6.0679539999999997E-2</v>
      </c>
      <c r="Z4814">
        <v>1.3121879999999999E-3</v>
      </c>
      <c r="AA4814">
        <v>0.99815640000000005</v>
      </c>
      <c r="AB4814">
        <v>28</v>
      </c>
      <c r="AC4814">
        <v>34.372799999999899</v>
      </c>
      <c r="AD4814">
        <v>-1.1210431050799901</v>
      </c>
      <c r="AE4814">
        <v>2.2843</v>
      </c>
      <c r="AF4814">
        <v>-2.1065959192602302</v>
      </c>
      <c r="AG4814">
        <v>-1.1210431050799901</v>
      </c>
      <c r="AH4814">
        <v>34.347637062064599</v>
      </c>
      <c r="AI4814">
        <v>91.865860778693502</v>
      </c>
      <c r="AJ4814">
        <v>93.509646284208003</v>
      </c>
      <c r="AK4814">
        <v>34.430432116919498</v>
      </c>
      <c r="AL4814">
        <v>92.883313730215804</v>
      </c>
      <c r="AM4814">
        <v>90.2754105412249</v>
      </c>
      <c r="AN4814">
        <v>0.99999998907114496</v>
      </c>
    </row>
    <row r="4815" spans="1:40" x14ac:dyDescent="0.25">
      <c r="A4815" t="str">
        <f>"20190303153905380"</f>
        <v>20190303153905380</v>
      </c>
      <c r="B4815" t="str">
        <f>"1551598745373242"</f>
        <v>1551598745373242</v>
      </c>
      <c r="C4815" t="s">
        <v>40</v>
      </c>
      <c r="D4815">
        <v>4.2590940000000002</v>
      </c>
      <c r="E4815">
        <v>0.47808620000000002</v>
      </c>
      <c r="F4815" t="s">
        <v>55</v>
      </c>
      <c r="G4815">
        <v>-217.0651</v>
      </c>
      <c r="H4815" s="1">
        <v>2.0768939999999998E-6</v>
      </c>
      <c r="I4815">
        <v>217.9572</v>
      </c>
      <c r="J4815">
        <v>-250.8124</v>
      </c>
      <c r="K4815">
        <v>1.1210530000000001</v>
      </c>
      <c r="L4815">
        <v>215.64959999999999</v>
      </c>
      <c r="M4815">
        <v>0.99988900000000003</v>
      </c>
      <c r="N4815">
        <v>-1.4013970000000001E-2</v>
      </c>
      <c r="O4815">
        <v>5.1035619999999999E-3</v>
      </c>
      <c r="P4815">
        <v>0.99786850000000005</v>
      </c>
      <c r="Q4815">
        <v>-6.4414399999999997E-2</v>
      </c>
      <c r="R4815">
        <v>1.04686E-2</v>
      </c>
      <c r="S4815">
        <v>2.9979710000000002</v>
      </c>
      <c r="T4815">
        <v>-9.8765130000000007E-2</v>
      </c>
      <c r="U4815">
        <v>0.20343020000000001</v>
      </c>
      <c r="V4815">
        <v>-5.3773960000000004E-3</v>
      </c>
      <c r="W4815">
        <v>-5.0423200000000001E-2</v>
      </c>
      <c r="X4815">
        <v>0.99871350000000003</v>
      </c>
      <c r="Y4815">
        <v>-6.2559740000000003E-2</v>
      </c>
      <c r="Z4815">
        <v>1.371621E-3</v>
      </c>
      <c r="AA4815">
        <v>0.99804029999999999</v>
      </c>
      <c r="AB4815">
        <v>28</v>
      </c>
      <c r="AC4815">
        <v>33.747300000000003</v>
      </c>
      <c r="AD4815">
        <v>-1.121050923106</v>
      </c>
      <c r="AE4815">
        <v>2.3075999999999999</v>
      </c>
      <c r="AF4815">
        <v>-2.1329788380778298</v>
      </c>
      <c r="AG4815">
        <v>-1.121050923106</v>
      </c>
      <c r="AH4815">
        <v>33.721599918357498</v>
      </c>
      <c r="AI4815">
        <v>91.900261958212695</v>
      </c>
      <c r="AJ4815">
        <v>93.619285317230606</v>
      </c>
      <c r="AK4815">
        <v>33.807582802525999</v>
      </c>
      <c r="AL4815">
        <v>92.890262079074503</v>
      </c>
      <c r="AM4815">
        <v>90.308495998335005</v>
      </c>
      <c r="AN4815">
        <v>1.0000000352841101</v>
      </c>
    </row>
    <row r="4816" spans="1:40" x14ac:dyDescent="0.25">
      <c r="A4816" t="str">
        <f>"20190303153905402"</f>
        <v>20190303153905402</v>
      </c>
      <c r="B4816" t="str">
        <f>"1551598745393735"</f>
        <v>1551598745393735</v>
      </c>
      <c r="C4816" t="s">
        <v>40</v>
      </c>
      <c r="D4816">
        <v>4.2280360000000003</v>
      </c>
      <c r="E4816">
        <v>0.47796110000000003</v>
      </c>
      <c r="F4816" t="s">
        <v>55</v>
      </c>
      <c r="G4816">
        <v>-216.7139</v>
      </c>
      <c r="H4816" s="1">
        <v>1.887778E-6</v>
      </c>
      <c r="I4816">
        <v>218.00700000000001</v>
      </c>
      <c r="J4816">
        <v>-250.53630000000001</v>
      </c>
      <c r="K4816">
        <v>1.1210560000000001</v>
      </c>
      <c r="L4816">
        <v>215.65100000000001</v>
      </c>
      <c r="M4816">
        <v>0.99988869999999996</v>
      </c>
      <c r="N4816">
        <v>-1.4022130000000001E-2</v>
      </c>
      <c r="O4816">
        <v>5.103682E-3</v>
      </c>
      <c r="P4816">
        <v>0.99788779999999999</v>
      </c>
      <c r="Q4816">
        <v>-6.4056249999999995E-2</v>
      </c>
      <c r="R4816">
        <v>1.080562E-2</v>
      </c>
      <c r="S4816">
        <v>2.997849</v>
      </c>
      <c r="T4816">
        <v>-9.8559620000000001E-2</v>
      </c>
      <c r="U4816">
        <v>0.2072601</v>
      </c>
      <c r="V4816">
        <v>-5.7137150000000003E-3</v>
      </c>
      <c r="W4816">
        <v>-5.0056639999999999E-2</v>
      </c>
      <c r="X4816">
        <v>0.99873009999999995</v>
      </c>
      <c r="Y4816">
        <v>-6.3830609999999996E-2</v>
      </c>
      <c r="Z4816">
        <v>1.399923E-3</v>
      </c>
      <c r="AA4816">
        <v>0.99795979999999995</v>
      </c>
      <c r="AB4816">
        <v>28</v>
      </c>
      <c r="AC4816">
        <v>33.822400000000002</v>
      </c>
      <c r="AD4816">
        <v>-1.1210541122219999</v>
      </c>
      <c r="AE4816">
        <v>2.3560000000000199</v>
      </c>
      <c r="AF4816">
        <v>-2.1809491230789502</v>
      </c>
      <c r="AG4816">
        <v>-1.1210541122219999</v>
      </c>
      <c r="AH4816">
        <v>33.7970343390907</v>
      </c>
      <c r="AI4816">
        <v>91.895875002365898</v>
      </c>
      <c r="AJ4816">
        <v>93.692222173486797</v>
      </c>
      <c r="AK4816">
        <v>33.885879529940802</v>
      </c>
      <c r="AL4816">
        <v>92.869233102850302</v>
      </c>
      <c r="AM4816">
        <v>90.327784436783404</v>
      </c>
      <c r="AN4816">
        <v>1.00000006319659</v>
      </c>
    </row>
    <row r="4817" spans="1:40" x14ac:dyDescent="0.25">
      <c r="A4817" t="str">
        <f>"20190303153905420"</f>
        <v>20190303153905420</v>
      </c>
      <c r="B4817" t="str">
        <f>"1551598745413255"</f>
        <v>1551598745413255</v>
      </c>
      <c r="C4817" t="s">
        <v>40</v>
      </c>
      <c r="D4817">
        <v>4.1911969999999998</v>
      </c>
      <c r="E4817">
        <v>0.47824339999999999</v>
      </c>
      <c r="F4817" t="s">
        <v>55</v>
      </c>
      <c r="G4817">
        <v>-215.22749999999999</v>
      </c>
      <c r="H4817" s="1">
        <v>1.0920619999999999E-6</v>
      </c>
      <c r="I4817">
        <v>218.11590000000001</v>
      </c>
      <c r="J4817">
        <v>-250.31790000000001</v>
      </c>
      <c r="K4817">
        <v>1.121054</v>
      </c>
      <c r="L4817">
        <v>215.65209999999999</v>
      </c>
      <c r="M4817">
        <v>0.99988849999999996</v>
      </c>
      <c r="N4817">
        <v>-1.4027349999999999E-2</v>
      </c>
      <c r="O4817">
        <v>5.1037640000000002E-3</v>
      </c>
      <c r="P4817">
        <v>0.99787610000000004</v>
      </c>
      <c r="Q4817">
        <v>-6.4255699999999999E-2</v>
      </c>
      <c r="R4817">
        <v>1.0691869999999999E-2</v>
      </c>
      <c r="S4817">
        <v>2.9979399999999998</v>
      </c>
      <c r="T4817">
        <v>-9.5184560000000001E-2</v>
      </c>
      <c r="U4817">
        <v>0.20928959999999999</v>
      </c>
      <c r="V4817">
        <v>-5.59984E-3</v>
      </c>
      <c r="W4817">
        <v>-5.025102E-2</v>
      </c>
      <c r="X4817">
        <v>0.99872090000000002</v>
      </c>
      <c r="Y4817">
        <v>-6.4502950000000003E-2</v>
      </c>
      <c r="Z4817">
        <v>1.385325E-3</v>
      </c>
      <c r="AA4817">
        <v>0.99791660000000004</v>
      </c>
      <c r="AB4817">
        <v>28</v>
      </c>
      <c r="AC4817">
        <v>35.090400000000002</v>
      </c>
      <c r="AD4817">
        <v>-1.1210529079380001</v>
      </c>
      <c r="AE4817">
        <v>2.46380000000002</v>
      </c>
      <c r="AF4817">
        <v>-2.2823391112585099</v>
      </c>
      <c r="AG4817">
        <v>-1.1210529079380001</v>
      </c>
      <c r="AH4817">
        <v>35.0669034219423</v>
      </c>
      <c r="AI4817">
        <v>91.827200261464498</v>
      </c>
      <c r="AJ4817">
        <v>93.723859383234398</v>
      </c>
      <c r="AK4817">
        <v>35.158975341226899</v>
      </c>
      <c r="AL4817">
        <v>92.880384530325799</v>
      </c>
      <c r="AM4817">
        <v>90.321254752639007</v>
      </c>
      <c r="AN4817">
        <v>0.99999997965793697</v>
      </c>
    </row>
    <row r="4818" spans="1:40" x14ac:dyDescent="0.25">
      <c r="A4818" t="str">
        <f>"20190303153905433"</f>
        <v>20190303153905433</v>
      </c>
      <c r="B4818" t="str">
        <f>"1551598745423014"</f>
        <v>1551598745423014</v>
      </c>
      <c r="C4818" t="s">
        <v>40</v>
      </c>
      <c r="D4818">
        <v>4.2403719999999998</v>
      </c>
      <c r="E4818">
        <v>0.47821609999999998</v>
      </c>
      <c r="F4818" t="s">
        <v>55</v>
      </c>
      <c r="G4818">
        <v>-213.84479999999999</v>
      </c>
      <c r="H4818" s="1">
        <v>3.5401879999999998E-7</v>
      </c>
      <c r="I4818">
        <v>218.1669</v>
      </c>
      <c r="J4818">
        <v>-250.14580000000001</v>
      </c>
      <c r="K4818">
        <v>1.1210580000000001</v>
      </c>
      <c r="L4818">
        <v>215.65299999999999</v>
      </c>
      <c r="M4818">
        <v>0.99988869999999996</v>
      </c>
      <c r="N4818">
        <v>-1.4030920000000001E-2</v>
      </c>
      <c r="O4818">
        <v>5.1036190000000002E-3</v>
      </c>
      <c r="P4818">
        <v>0.99787619999999999</v>
      </c>
      <c r="Q4818">
        <v>-6.4289349999999995E-2</v>
      </c>
      <c r="R4818">
        <v>1.050457E-2</v>
      </c>
      <c r="S4818">
        <v>2.9982449999999998</v>
      </c>
      <c r="T4818">
        <v>-9.2155459999999995E-2</v>
      </c>
      <c r="U4818">
        <v>0.2067261</v>
      </c>
      <c r="V4818">
        <v>-5.4131500000000003E-3</v>
      </c>
      <c r="W4818">
        <v>-5.0281109999999997E-2</v>
      </c>
      <c r="X4818">
        <v>0.99872039999999995</v>
      </c>
      <c r="Y4818">
        <v>-6.3649860000000003E-2</v>
      </c>
      <c r="Z4818">
        <v>1.3389179999999999E-3</v>
      </c>
      <c r="AA4818">
        <v>0.99797139999999995</v>
      </c>
      <c r="AB4818">
        <v>28</v>
      </c>
      <c r="AC4818">
        <v>36.301000000000002</v>
      </c>
      <c r="AD4818">
        <v>-1.1210576459811901</v>
      </c>
      <c r="AE4818">
        <v>2.5139</v>
      </c>
      <c r="AF4818">
        <v>-2.3263744623317799</v>
      </c>
      <c r="AG4818">
        <v>-1.1210576459811901</v>
      </c>
      <c r="AH4818">
        <v>36.278923767065699</v>
      </c>
      <c r="AI4818">
        <v>91.766312325581495</v>
      </c>
      <c r="AJ4818">
        <v>93.669050149485798</v>
      </c>
      <c r="AK4818">
        <v>36.370717590957298</v>
      </c>
      <c r="AL4818">
        <v>92.882110785406496</v>
      </c>
      <c r="AM4818">
        <v>90.310544985155403</v>
      </c>
      <c r="AN4818">
        <v>0.99999996479595599</v>
      </c>
    </row>
    <row r="4819" spans="1:40" x14ac:dyDescent="0.25">
      <c r="A4819" t="str">
        <f>"20190303153905446"</f>
        <v>20190303153905446</v>
      </c>
      <c r="B4819" t="str">
        <f>"1551598745443511"</f>
        <v>1551598745443511</v>
      </c>
      <c r="C4819" t="s">
        <v>40</v>
      </c>
      <c r="D4819">
        <v>4.1872569999999998</v>
      </c>
      <c r="E4819">
        <v>0.47838029999999998</v>
      </c>
      <c r="F4819" t="s">
        <v>55</v>
      </c>
      <c r="G4819">
        <v>-214.31870000000001</v>
      </c>
      <c r="H4819" s="1">
        <v>6.0830709999999999E-7</v>
      </c>
      <c r="I4819">
        <v>218.1183</v>
      </c>
      <c r="J4819">
        <v>-249.9838</v>
      </c>
      <c r="K4819">
        <v>1.121065</v>
      </c>
      <c r="L4819">
        <v>215.65379999999999</v>
      </c>
      <c r="M4819">
        <v>0.99988849999999996</v>
      </c>
      <c r="N4819">
        <v>-1.4033840000000001E-2</v>
      </c>
      <c r="O4819">
        <v>5.1037180000000001E-3</v>
      </c>
      <c r="P4819">
        <v>0.99791960000000002</v>
      </c>
      <c r="Q4819">
        <v>-6.3666199999999895E-2</v>
      </c>
      <c r="R4819">
        <v>1.016218E-2</v>
      </c>
      <c r="S4819">
        <v>2.9981689999999999</v>
      </c>
      <c r="T4819">
        <v>-9.3814850000000005E-2</v>
      </c>
      <c r="U4819">
        <v>0.2063141</v>
      </c>
      <c r="V4819">
        <v>-5.0704269999999997E-3</v>
      </c>
      <c r="W4819">
        <v>-4.9654549999999999E-2</v>
      </c>
      <c r="X4819">
        <v>0.99875360000000002</v>
      </c>
      <c r="Y4819">
        <v>-6.3513810000000004E-2</v>
      </c>
      <c r="Z4819">
        <v>1.350731E-3</v>
      </c>
      <c r="AA4819">
        <v>0.99798010000000004</v>
      </c>
      <c r="AB4819">
        <v>28</v>
      </c>
      <c r="AC4819">
        <v>35.665099999999903</v>
      </c>
      <c r="AD4819">
        <v>-1.1210643916929</v>
      </c>
      <c r="AE4819">
        <v>2.4645000000000099</v>
      </c>
      <c r="AF4819">
        <v>-2.2801831523452298</v>
      </c>
      <c r="AG4819">
        <v>-1.1210643916929</v>
      </c>
      <c r="AH4819">
        <v>35.642166250279899</v>
      </c>
      <c r="AI4819">
        <v>91.797875518257399</v>
      </c>
      <c r="AJ4819">
        <v>93.660469904450295</v>
      </c>
      <c r="AK4819">
        <v>35.732618650067501</v>
      </c>
      <c r="AL4819">
        <v>92.846166486417204</v>
      </c>
      <c r="AM4819">
        <v>90.290874117118506</v>
      </c>
      <c r="AN4819">
        <v>1.0000000185393101</v>
      </c>
    </row>
    <row r="4820" spans="1:40" x14ac:dyDescent="0.25">
      <c r="A4820" t="str">
        <f>"20190303153905470"</f>
        <v>20190303153905470</v>
      </c>
      <c r="B4820" t="str">
        <f>"1551598745463030"</f>
        <v>1551598745463030</v>
      </c>
      <c r="C4820" t="s">
        <v>40</v>
      </c>
      <c r="D4820">
        <v>4.2002139999999999</v>
      </c>
      <c r="E4820">
        <v>0.47848309999999999</v>
      </c>
      <c r="F4820" t="s">
        <v>55</v>
      </c>
      <c r="G4820">
        <v>-212.1001</v>
      </c>
      <c r="H4820" s="1">
        <v>-5.7721129999999997E-7</v>
      </c>
      <c r="I4820">
        <v>218.2311</v>
      </c>
      <c r="J4820">
        <v>-249.6968</v>
      </c>
      <c r="K4820">
        <v>1.1210770000000001</v>
      </c>
      <c r="L4820">
        <v>215.65520000000001</v>
      </c>
      <c r="M4820">
        <v>0.99988840000000001</v>
      </c>
      <c r="N4820">
        <v>-1.4038109999999999E-2</v>
      </c>
      <c r="O4820">
        <v>5.103687E-3</v>
      </c>
      <c r="P4820">
        <v>0.99797860000000005</v>
      </c>
      <c r="Q4820">
        <v>-6.2886639999999994E-2</v>
      </c>
      <c r="R4820">
        <v>9.1625660000000005E-3</v>
      </c>
      <c r="S4820">
        <v>2.998535</v>
      </c>
      <c r="T4820">
        <v>-8.8733670000000001E-2</v>
      </c>
      <c r="U4820">
        <v>0.2039948</v>
      </c>
      <c r="V4820">
        <v>-4.0704720000000003E-3</v>
      </c>
      <c r="W4820">
        <v>-4.8870080000000003E-2</v>
      </c>
      <c r="X4820">
        <v>0.99879680000000004</v>
      </c>
      <c r="Y4820">
        <v>-6.2741519999999995E-2</v>
      </c>
      <c r="Z4820">
        <v>1.2888649999999999E-3</v>
      </c>
      <c r="AA4820">
        <v>0.99802900000000005</v>
      </c>
      <c r="AB4820">
        <v>28</v>
      </c>
      <c r="AC4820">
        <v>37.596699999999998</v>
      </c>
      <c r="AD4820">
        <v>-1.1210775772113</v>
      </c>
      <c r="AE4820">
        <v>2.5758999999999901</v>
      </c>
      <c r="AF4820">
        <v>-2.3818578209444099</v>
      </c>
      <c r="AG4820">
        <v>-1.1210775772113</v>
      </c>
      <c r="AH4820">
        <v>37.5761036833605</v>
      </c>
      <c r="AI4820">
        <v>91.705483469511705</v>
      </c>
      <c r="AJ4820">
        <v>93.626987578369594</v>
      </c>
      <c r="AK4820">
        <v>37.668204491798903</v>
      </c>
      <c r="AL4820">
        <v>92.8011652190728</v>
      </c>
      <c r="AM4820">
        <v>90.233500522904194</v>
      </c>
      <c r="AN4820">
        <v>0.99999995057587299</v>
      </c>
    </row>
    <row r="4821" spans="1:40" x14ac:dyDescent="0.25">
      <c r="A4821" t="str">
        <f>"20190303153905504"</f>
        <v>20190303153905504</v>
      </c>
      <c r="B4821" t="str">
        <f>"1551598745493286"</f>
        <v>1551598745493286</v>
      </c>
      <c r="C4821" t="s">
        <v>40</v>
      </c>
      <c r="D4821">
        <v>4.2352639999999999</v>
      </c>
      <c r="E4821">
        <v>0.4784852</v>
      </c>
      <c r="F4821" t="s">
        <v>55</v>
      </c>
      <c r="G4821">
        <v>-210.08959999999999</v>
      </c>
      <c r="H4821" s="1">
        <v>-1.650066E-6</v>
      </c>
      <c r="I4821">
        <v>218.2989</v>
      </c>
      <c r="J4821">
        <v>-249.2764</v>
      </c>
      <c r="K4821">
        <v>1.121094</v>
      </c>
      <c r="L4821">
        <v>215.6574</v>
      </c>
      <c r="M4821">
        <v>0.99988840000000001</v>
      </c>
      <c r="N4821">
        <v>-1.404237E-2</v>
      </c>
      <c r="O4821">
        <v>5.1038350000000001E-3</v>
      </c>
      <c r="P4821">
        <v>0.99808830000000004</v>
      </c>
      <c r="Q4821">
        <v>-6.1282070000000001E-2</v>
      </c>
      <c r="R4821">
        <v>8.0159269999999904E-3</v>
      </c>
      <c r="S4821">
        <v>2.9988860000000002</v>
      </c>
      <c r="T4821">
        <v>-8.4883210000000001E-2</v>
      </c>
      <c r="U4821">
        <v>0.2001648</v>
      </c>
      <c r="V4821">
        <v>-2.9229009999999999E-3</v>
      </c>
      <c r="W4821">
        <v>-4.7260000000000003E-2</v>
      </c>
      <c r="X4821">
        <v>0.99887840000000006</v>
      </c>
      <c r="Y4821">
        <v>-6.1468120000000001E-2</v>
      </c>
      <c r="Z4821">
        <v>1.2283159999999999E-3</v>
      </c>
      <c r="AA4821">
        <v>0.99810829999999995</v>
      </c>
      <c r="AB4821">
        <v>28</v>
      </c>
      <c r="AC4821">
        <v>39.186799999999998</v>
      </c>
      <c r="AD4821">
        <v>-1.1210956500660001</v>
      </c>
      <c r="AE4821">
        <v>2.6415000000000002</v>
      </c>
      <c r="AF4821">
        <v>-2.4394553068638301</v>
      </c>
      <c r="AG4821">
        <v>-1.1210956500660001</v>
      </c>
      <c r="AH4821">
        <v>39.167859683747601</v>
      </c>
      <c r="AI4821">
        <v>91.6363517366417</v>
      </c>
      <c r="AJ4821">
        <v>93.563896218198707</v>
      </c>
      <c r="AK4821">
        <v>39.259763497205597</v>
      </c>
      <c r="AL4821">
        <v>92.708807388019395</v>
      </c>
      <c r="AM4821">
        <v>90.167657457852101</v>
      </c>
      <c r="AN4821">
        <v>1.0000000544684</v>
      </c>
    </row>
    <row r="4822" spans="1:40" x14ac:dyDescent="0.25">
      <c r="A4822" t="str">
        <f>"20190303153905525"</f>
        <v>20190303153905525</v>
      </c>
      <c r="B4822" t="str">
        <f>"1551598745513782"</f>
        <v>1551598745513782</v>
      </c>
      <c r="C4822" t="s">
        <v>40</v>
      </c>
      <c r="D4822">
        <v>4.2494639999999997</v>
      </c>
      <c r="E4822">
        <v>0.47856189999999998</v>
      </c>
      <c r="F4822" t="s">
        <v>51</v>
      </c>
      <c r="G4822">
        <v>-207.26769999999999</v>
      </c>
      <c r="H4822" s="1">
        <v>5.1078529999999996E-6</v>
      </c>
      <c r="I4822">
        <v>218.41460000000001</v>
      </c>
      <c r="J4822">
        <v>-249.01150000000001</v>
      </c>
      <c r="K4822">
        <v>1.1211009999999999</v>
      </c>
      <c r="L4822">
        <v>215.65870000000001</v>
      </c>
      <c r="M4822">
        <v>0.99988840000000001</v>
      </c>
      <c r="N4822">
        <v>-1.404418E-2</v>
      </c>
      <c r="O4822">
        <v>5.1036429999999997E-3</v>
      </c>
      <c r="P4822">
        <v>0.99812829999999997</v>
      </c>
      <c r="Q4822">
        <v>-6.0700959999999998E-2</v>
      </c>
      <c r="R4822">
        <v>7.4581150000000004E-3</v>
      </c>
      <c r="S4822">
        <v>2.9992679999999998</v>
      </c>
      <c r="T4822">
        <v>-8.0041650000000006E-2</v>
      </c>
      <c r="U4822">
        <v>0.19685359999999999</v>
      </c>
      <c r="V4822">
        <v>-2.3652159999999998E-3</v>
      </c>
      <c r="W4822">
        <v>-4.6676639999999998E-2</v>
      </c>
      <c r="X4822">
        <v>0.99890730000000005</v>
      </c>
      <c r="Y4822">
        <v>-6.0366650000000001E-2</v>
      </c>
      <c r="Z4822">
        <v>1.164563E-3</v>
      </c>
      <c r="AA4822">
        <v>0.99817560000000005</v>
      </c>
      <c r="AB4822">
        <v>28</v>
      </c>
      <c r="AC4822">
        <v>41.7438</v>
      </c>
      <c r="AD4822">
        <v>-1.121095892147</v>
      </c>
      <c r="AE4822">
        <v>2.7558999999999898</v>
      </c>
      <c r="AF4822">
        <v>-2.5409728556725799</v>
      </c>
      <c r="AG4822">
        <v>-1.121095892147</v>
      </c>
      <c r="AH4822">
        <v>41.727356415497702</v>
      </c>
      <c r="AI4822">
        <v>91.536160932101694</v>
      </c>
      <c r="AJ4822">
        <v>93.484703538416994</v>
      </c>
      <c r="AK4822">
        <v>41.819680444482501</v>
      </c>
      <c r="AL4822">
        <v>92.6753464112209</v>
      </c>
      <c r="AM4822">
        <v>90.135664882196295</v>
      </c>
      <c r="AN4822">
        <v>1.00000004848085</v>
      </c>
    </row>
    <row r="4823" spans="1:40" x14ac:dyDescent="0.25">
      <c r="A4823" t="str">
        <f>"20190303153905547"</f>
        <v>20190303153905547</v>
      </c>
      <c r="B4823" t="str">
        <f>"1551598745543063"</f>
        <v>1551598745543063</v>
      </c>
      <c r="C4823" t="s">
        <v>40</v>
      </c>
      <c r="D4823">
        <v>4.2464529999999998</v>
      </c>
      <c r="E4823">
        <v>0.51764179999999904</v>
      </c>
      <c r="F4823" t="s">
        <v>51</v>
      </c>
      <c r="G4823">
        <v>-205.7056</v>
      </c>
      <c r="H4823" s="1">
        <v>4.4105189999999998E-6</v>
      </c>
      <c r="I4823">
        <v>218.4674</v>
      </c>
      <c r="J4823">
        <v>-248.73589999999999</v>
      </c>
      <c r="K4823">
        <v>1.121108</v>
      </c>
      <c r="L4823">
        <v>215.6601</v>
      </c>
      <c r="M4823">
        <v>0.99988840000000001</v>
      </c>
      <c r="N4823">
        <v>-1.4045419999999999E-2</v>
      </c>
      <c r="O4823">
        <v>5.1036340000000001E-3</v>
      </c>
      <c r="P4823">
        <v>0.9981662</v>
      </c>
      <c r="Q4823">
        <v>-6.0109790000000003E-2</v>
      </c>
      <c r="R4823">
        <v>7.149514E-3</v>
      </c>
      <c r="S4823">
        <v>2.999466</v>
      </c>
      <c r="T4823">
        <v>-7.7649709999999997E-2</v>
      </c>
      <c r="U4823">
        <v>0.19453429999999999</v>
      </c>
      <c r="V4823">
        <v>-2.056619E-3</v>
      </c>
      <c r="W4823">
        <v>-4.6083789999999999E-2</v>
      </c>
      <c r="X4823">
        <v>0.99893549999999998</v>
      </c>
      <c r="Y4823">
        <v>-5.9595710000000003E-2</v>
      </c>
      <c r="Z4823">
        <v>1.129208E-3</v>
      </c>
      <c r="AA4823">
        <v>0.9982219</v>
      </c>
      <c r="AB4823">
        <v>28</v>
      </c>
      <c r="AC4823">
        <v>43.030299999999897</v>
      </c>
      <c r="AD4823">
        <v>-1.121103589481</v>
      </c>
      <c r="AE4823">
        <v>2.8072999999999899</v>
      </c>
      <c r="AF4823">
        <v>-2.5858830174778702</v>
      </c>
      <c r="AG4823">
        <v>-1.121103589481</v>
      </c>
      <c r="AH4823">
        <v>43.0149934353419</v>
      </c>
      <c r="AI4823">
        <v>91.490277771132597</v>
      </c>
      <c r="AJ4823">
        <v>93.440244387668997</v>
      </c>
      <c r="AK4823">
        <v>43.107230535966202</v>
      </c>
      <c r="AL4823">
        <v>92.641342040296706</v>
      </c>
      <c r="AM4823">
        <v>90.117960991752597</v>
      </c>
      <c r="AN4823">
        <v>1.0000000392713599</v>
      </c>
    </row>
    <row r="4824" spans="1:40" x14ac:dyDescent="0.25">
      <c r="A4824" t="str">
        <f>"20190303153905570"</f>
        <v>20190303153905570</v>
      </c>
      <c r="B4824" t="str">
        <f>"1551598745563558"</f>
        <v>1551598745563558</v>
      </c>
      <c r="C4824" t="s">
        <v>40</v>
      </c>
      <c r="D4824">
        <v>4.2834729999999999</v>
      </c>
      <c r="E4824">
        <v>0.52421839999999997</v>
      </c>
      <c r="F4824" t="s">
        <v>67</v>
      </c>
      <c r="G4824">
        <v>-107.39749999999999</v>
      </c>
      <c r="H4824">
        <v>1.104884</v>
      </c>
      <c r="I4824">
        <v>210.14070000000001</v>
      </c>
      <c r="J4824">
        <v>-248.45820000000001</v>
      </c>
      <c r="K4824">
        <v>1.121111</v>
      </c>
      <c r="L4824">
        <v>215.66159999999999</v>
      </c>
      <c r="M4824">
        <v>0.99988840000000001</v>
      </c>
      <c r="N4824">
        <v>-1.404627E-2</v>
      </c>
      <c r="O4824">
        <v>5.1035079999999997E-3</v>
      </c>
      <c r="P4824">
        <v>0.99814840000000005</v>
      </c>
      <c r="Q4824">
        <v>-6.0378019999999998E-2</v>
      </c>
      <c r="R4824">
        <v>7.3685629999999998E-3</v>
      </c>
      <c r="S4824">
        <v>3.006332</v>
      </c>
      <c r="T4824">
        <v>-3.4403800000000002E-4</v>
      </c>
      <c r="U4824">
        <v>-0.11740109999999999</v>
      </c>
      <c r="V4824">
        <v>-2.275703E-3</v>
      </c>
      <c r="W4824">
        <v>-4.6351379999999998E-2</v>
      </c>
      <c r="X4824">
        <v>0.99892259999999999</v>
      </c>
      <c r="Y4824">
        <v>4.4120630000000001E-2</v>
      </c>
      <c r="Z4824">
        <v>-2.414459E-4</v>
      </c>
      <c r="AA4824">
        <v>0.99902619999999998</v>
      </c>
      <c r="AB4824">
        <v>28</v>
      </c>
      <c r="AC4824">
        <v>141.0607</v>
      </c>
      <c r="AD4824">
        <v>-1.6226999999999901E-2</v>
      </c>
      <c r="AE4824">
        <v>-5.5208999999999797</v>
      </c>
      <c r="AF4824">
        <v>6.2408033878212299</v>
      </c>
      <c r="AG4824">
        <v>-1.6226999999999901E-2</v>
      </c>
      <c r="AH4824">
        <v>141.030682008361</v>
      </c>
      <c r="AI4824">
        <v>90.006586011152393</v>
      </c>
      <c r="AJ4824">
        <v>87.466235244497398</v>
      </c>
      <c r="AK4824">
        <v>141.168697514656</v>
      </c>
      <c r="AL4824">
        <v>92.656690336139604</v>
      </c>
      <c r="AM4824">
        <v>90.130528583249898</v>
      </c>
      <c r="AN4824">
        <v>0.99999999502140402</v>
      </c>
    </row>
    <row r="4825" spans="1:40" x14ac:dyDescent="0.25">
      <c r="A4825" t="str">
        <f>"20190303153905591"</f>
        <v>20190303153905591</v>
      </c>
      <c r="B4825" t="str">
        <f>"1551598745583078"</f>
        <v>1551598745583078</v>
      </c>
      <c r="C4825" t="s">
        <v>40</v>
      </c>
      <c r="D4825">
        <v>4.2639709999999997</v>
      </c>
      <c r="E4825">
        <v>0.52715900000000004</v>
      </c>
      <c r="F4825" t="s">
        <v>66</v>
      </c>
      <c r="G4825">
        <v>-151.66839999999999</v>
      </c>
      <c r="H4825">
        <v>0.96490100000000001</v>
      </c>
      <c r="I4825">
        <v>210.2148</v>
      </c>
      <c r="J4825">
        <v>-248.1849</v>
      </c>
      <c r="K4825">
        <v>1.1211040000000001</v>
      </c>
      <c r="L4825">
        <v>215.66300000000001</v>
      </c>
      <c r="M4825">
        <v>0.99988840000000001</v>
      </c>
      <c r="N4825">
        <v>-1.404655E-2</v>
      </c>
      <c r="O4825">
        <v>5.1035059999999998E-3</v>
      </c>
      <c r="P4825">
        <v>0.99809320000000001</v>
      </c>
      <c r="Q4825">
        <v>-6.1219950000000002E-2</v>
      </c>
      <c r="R4825">
        <v>7.8922000000000003E-3</v>
      </c>
      <c r="S4825">
        <v>3.006516</v>
      </c>
      <c r="T4825">
        <v>-4.8512219999999997E-3</v>
      </c>
      <c r="U4825">
        <v>-0.16918949999999999</v>
      </c>
      <c r="V4825">
        <v>-2.7995479999999998E-3</v>
      </c>
      <c r="W4825">
        <v>-4.7193659999999998E-2</v>
      </c>
      <c r="X4825">
        <v>0.99888180000000004</v>
      </c>
      <c r="Y4825">
        <v>6.1279430000000003E-2</v>
      </c>
      <c r="Z4825">
        <v>-4.1674360000000001E-4</v>
      </c>
      <c r="AA4825">
        <v>0.99812049999999997</v>
      </c>
      <c r="AB4825">
        <v>28</v>
      </c>
      <c r="AC4825">
        <v>96.516499999999994</v>
      </c>
      <c r="AD4825">
        <v>-0.15620300000000001</v>
      </c>
      <c r="AE4825">
        <v>-5.4481999999999804</v>
      </c>
      <c r="AF4825">
        <v>5.9407346207992502</v>
      </c>
      <c r="AG4825">
        <v>-0.15620300000000001</v>
      </c>
      <c r="AH4825">
        <v>96.4871832374224</v>
      </c>
      <c r="AI4825">
        <v>90.092580681243504</v>
      </c>
      <c r="AJ4825">
        <v>86.476735331796704</v>
      </c>
      <c r="AK4825">
        <v>96.670022531826802</v>
      </c>
      <c r="AL4825">
        <v>92.705002383308099</v>
      </c>
      <c r="AM4825">
        <v>90.160581427110003</v>
      </c>
      <c r="AN4825">
        <v>0.99999996469221897</v>
      </c>
    </row>
    <row r="4826" spans="1:40" x14ac:dyDescent="0.25">
      <c r="A4826" t="str">
        <f>"20190303153905614"</f>
        <v>20190303153905614</v>
      </c>
      <c r="B4826" t="str">
        <f>"1551598745603574"</f>
        <v>1551598745603574</v>
      </c>
      <c r="C4826" t="s">
        <v>40</v>
      </c>
      <c r="D4826">
        <v>4.2765360000000001</v>
      </c>
      <c r="E4826">
        <v>0.52868870000000001</v>
      </c>
      <c r="F4826" t="s">
        <v>66</v>
      </c>
      <c r="G4826">
        <v>-151.6686</v>
      </c>
      <c r="H4826">
        <v>0.70363809999999904</v>
      </c>
      <c r="I4826">
        <v>209.5206</v>
      </c>
      <c r="J4826">
        <v>-247.91130000000001</v>
      </c>
      <c r="K4826">
        <v>1.1210899999999999</v>
      </c>
      <c r="L4826">
        <v>215.6644</v>
      </c>
      <c r="M4826">
        <v>0.99988829999999995</v>
      </c>
      <c r="N4826">
        <v>-1.4046350000000001E-2</v>
      </c>
      <c r="O4826">
        <v>5.103626E-3</v>
      </c>
      <c r="P4826">
        <v>0.99796339999999994</v>
      </c>
      <c r="Q4826">
        <v>-6.3191140000000007E-2</v>
      </c>
      <c r="R4826">
        <v>8.7097849999999994E-3</v>
      </c>
      <c r="S4826">
        <v>3.0064389999999999</v>
      </c>
      <c r="T4826">
        <v>-1.300287E-2</v>
      </c>
      <c r="U4826">
        <v>-0.19133</v>
      </c>
      <c r="V4826">
        <v>-3.617969E-3</v>
      </c>
      <c r="W4826">
        <v>-4.9166580000000001E-2</v>
      </c>
      <c r="X4826">
        <v>0.99878409999999995</v>
      </c>
      <c r="Y4826">
        <v>6.8601609999999993E-2</v>
      </c>
      <c r="Z4826">
        <v>-5.8095710000000004E-4</v>
      </c>
      <c r="AA4826">
        <v>0.99764390000000003</v>
      </c>
      <c r="AB4826">
        <v>28</v>
      </c>
      <c r="AC4826">
        <v>96.242699999999999</v>
      </c>
      <c r="AD4826">
        <v>-0.41745189999999999</v>
      </c>
      <c r="AE4826">
        <v>-6.1437999999999899</v>
      </c>
      <c r="AF4826">
        <v>6.6348308686569997</v>
      </c>
      <c r="AG4826">
        <v>-0.41745189999999999</v>
      </c>
      <c r="AH4826">
        <v>96.208284875536407</v>
      </c>
      <c r="AI4826">
        <v>90.248018228966998</v>
      </c>
      <c r="AJ4826">
        <v>86.054946102018704</v>
      </c>
      <c r="AK4826">
        <v>96.437696599601793</v>
      </c>
      <c r="AL4826">
        <v>92.818173555437198</v>
      </c>
      <c r="AM4826">
        <v>90.207545802380295</v>
      </c>
      <c r="AN4826">
        <v>1.00000006035069</v>
      </c>
    </row>
    <row r="4827" spans="1:40" x14ac:dyDescent="0.25">
      <c r="A4827" t="str">
        <f>"20190303153905636"</f>
        <v>20190303153905636</v>
      </c>
      <c r="B4827" t="str">
        <f>"1551598745633830"</f>
        <v>1551598745633830</v>
      </c>
      <c r="C4827" t="s">
        <v>40</v>
      </c>
      <c r="D4827">
        <v>4.2523099999999996</v>
      </c>
      <c r="E4827">
        <v>0.53033169999999996</v>
      </c>
      <c r="F4827" t="s">
        <v>66</v>
      </c>
      <c r="G4827">
        <v>-153.3143</v>
      </c>
      <c r="H4827">
        <v>0.37252999999999997</v>
      </c>
      <c r="I4827">
        <v>209.34010000000001</v>
      </c>
      <c r="J4827">
        <v>-247.63839999999999</v>
      </c>
      <c r="K4827">
        <v>1.121089</v>
      </c>
      <c r="L4827">
        <v>215.66569999999999</v>
      </c>
      <c r="M4827">
        <v>0.99988840000000001</v>
      </c>
      <c r="N4827">
        <v>-1.4045800000000001E-2</v>
      </c>
      <c r="O4827">
        <v>5.1036299999999996E-3</v>
      </c>
      <c r="P4827">
        <v>0.99790210000000001</v>
      </c>
      <c r="Q4827">
        <v>-6.4102129999999993E-2</v>
      </c>
      <c r="R4827">
        <v>9.0727289999999999E-3</v>
      </c>
      <c r="S4827">
        <v>3.006348</v>
      </c>
      <c r="T4827">
        <v>-2.3788569999999998E-2</v>
      </c>
      <c r="U4827">
        <v>-0.2009888</v>
      </c>
      <c r="V4827">
        <v>-3.9811719999999998E-3</v>
      </c>
      <c r="W4827">
        <v>-5.0078850000000001E-2</v>
      </c>
      <c r="X4827">
        <v>0.99873730000000005</v>
      </c>
      <c r="Y4827">
        <v>7.1791480000000005E-2</v>
      </c>
      <c r="Z4827">
        <v>-7.5724089999999896E-4</v>
      </c>
      <c r="AA4827">
        <v>0.99741939999999996</v>
      </c>
      <c r="AB4827">
        <v>28</v>
      </c>
      <c r="AC4827">
        <v>94.324100000000001</v>
      </c>
      <c r="AD4827">
        <v>-0.74855899999999997</v>
      </c>
      <c r="AE4827">
        <v>-6.3255999999999801</v>
      </c>
      <c r="AF4827">
        <v>6.8065336061874797</v>
      </c>
      <c r="AG4827">
        <v>-0.74855899999999997</v>
      </c>
      <c r="AH4827">
        <v>94.284673095226793</v>
      </c>
      <c r="AI4827">
        <v>90.4537010132304</v>
      </c>
      <c r="AJ4827">
        <v>85.870905996653093</v>
      </c>
      <c r="AK4827">
        <v>94.533003871570898</v>
      </c>
      <c r="AL4827">
        <v>92.870507514436994</v>
      </c>
      <c r="AM4827">
        <v>90.228391534938197</v>
      </c>
      <c r="AN4827">
        <v>0.99999996767955202</v>
      </c>
    </row>
    <row r="4828" spans="1:40" x14ac:dyDescent="0.25">
      <c r="A4828" t="str">
        <f>"20190303153905660"</f>
        <v>20190303153905660</v>
      </c>
      <c r="B4828" t="str">
        <f>"1551598745653353"</f>
        <v>1551598745653353</v>
      </c>
      <c r="C4828" t="s">
        <v>40</v>
      </c>
      <c r="D4828">
        <v>4.2550290000000004</v>
      </c>
      <c r="E4828">
        <v>0.53106919999999902</v>
      </c>
      <c r="F4828" t="s">
        <v>66</v>
      </c>
      <c r="G4828">
        <v>-169.392</v>
      </c>
      <c r="H4828">
        <v>0.30056379999999999</v>
      </c>
      <c r="I4828">
        <v>210.12180000000001</v>
      </c>
      <c r="J4828">
        <v>-247.3597</v>
      </c>
      <c r="K4828">
        <v>1.1210899999999999</v>
      </c>
      <c r="L4828">
        <v>215.66720000000001</v>
      </c>
      <c r="M4828">
        <v>0.99988840000000001</v>
      </c>
      <c r="N4828">
        <v>-1.404496E-2</v>
      </c>
      <c r="O4828">
        <v>5.1036359999999999E-3</v>
      </c>
      <c r="P4828">
        <v>0.99789799999999995</v>
      </c>
      <c r="Q4828">
        <v>-6.4150990000000005E-2</v>
      </c>
      <c r="R4828">
        <v>9.1716490000000005E-3</v>
      </c>
      <c r="S4828">
        <v>3.0062410000000002</v>
      </c>
      <c r="T4828">
        <v>-3.1523469999999998E-2</v>
      </c>
      <c r="U4828">
        <v>-0.2129974</v>
      </c>
      <c r="V4828">
        <v>-4.080218E-3</v>
      </c>
      <c r="W4828">
        <v>-5.0128579999999999E-2</v>
      </c>
      <c r="X4828">
        <v>0.99873440000000002</v>
      </c>
      <c r="Y4828">
        <v>7.5755279999999994E-2</v>
      </c>
      <c r="Z4828">
        <v>-9.1125250000000004E-4</v>
      </c>
      <c r="AA4828">
        <v>0.99712599999999996</v>
      </c>
      <c r="AB4828">
        <v>27</v>
      </c>
      <c r="AC4828">
        <v>77.967699999999994</v>
      </c>
      <c r="AD4828">
        <v>-0.82052619999999898</v>
      </c>
      <c r="AE4828">
        <v>-5.5453999999999999</v>
      </c>
      <c r="AF4828">
        <v>5.9426309023278998</v>
      </c>
      <c r="AG4828">
        <v>-0.82052619999999898</v>
      </c>
      <c r="AH4828">
        <v>77.929792367605202</v>
      </c>
      <c r="AI4828">
        <v>90.601501278542699</v>
      </c>
      <c r="AJ4828">
        <v>85.639280267726207</v>
      </c>
      <c r="AK4828">
        <v>78.160352249361395</v>
      </c>
      <c r="AL4828">
        <v>92.873360432511504</v>
      </c>
      <c r="AM4828">
        <v>90.234074214609194</v>
      </c>
      <c r="AN4828">
        <v>0.99999996222755105</v>
      </c>
    </row>
    <row r="4829" spans="1:40" x14ac:dyDescent="0.25">
      <c r="A4829" t="str">
        <f>"20190303153905682"</f>
        <v>20190303153905682</v>
      </c>
      <c r="B4829" t="str">
        <f>"1551598745672870"</f>
        <v>1551598745672870</v>
      </c>
      <c r="C4829" t="s">
        <v>40</v>
      </c>
      <c r="D4829">
        <v>4.3392229999999996</v>
      </c>
      <c r="E4829">
        <v>0.53159369999999995</v>
      </c>
      <c r="F4829" t="s">
        <v>66</v>
      </c>
      <c r="G4829">
        <v>-169.3921</v>
      </c>
      <c r="H4829">
        <v>0.23164750000000001</v>
      </c>
      <c r="I4829">
        <v>209.9932</v>
      </c>
      <c r="J4829">
        <v>-247.08019999999999</v>
      </c>
      <c r="K4829">
        <v>1.1210910000000001</v>
      </c>
      <c r="L4829">
        <v>215.6686</v>
      </c>
      <c r="M4829">
        <v>0.99988849999999996</v>
      </c>
      <c r="N4829">
        <v>-1.404385E-2</v>
      </c>
      <c r="O4829">
        <v>5.1033449999999996E-3</v>
      </c>
      <c r="P4829">
        <v>0.99795409999999996</v>
      </c>
      <c r="Q4829">
        <v>-6.3309470000000007E-2</v>
      </c>
      <c r="R4829">
        <v>8.9207990000000001E-3</v>
      </c>
      <c r="S4829">
        <v>3.0061339999999999</v>
      </c>
      <c r="T4829">
        <v>-3.4292219999999998E-2</v>
      </c>
      <c r="U4829">
        <v>-0.2187653</v>
      </c>
      <c r="V4829">
        <v>-3.8294039999999998E-3</v>
      </c>
      <c r="W4829">
        <v>-4.928751E-2</v>
      </c>
      <c r="X4829">
        <v>0.99877729999999998</v>
      </c>
      <c r="Y4829">
        <v>7.7659199999999998E-2</v>
      </c>
      <c r="Z4829">
        <v>-9.7501230000000003E-4</v>
      </c>
      <c r="AA4829">
        <v>0.99697950000000002</v>
      </c>
      <c r="AB4829">
        <v>27</v>
      </c>
      <c r="AC4829">
        <v>77.688099999999906</v>
      </c>
      <c r="AD4829">
        <v>-0.88944349999999905</v>
      </c>
      <c r="AE4829">
        <v>-5.67539999999999</v>
      </c>
      <c r="AF4829">
        <v>6.07104275104032</v>
      </c>
      <c r="AG4829">
        <v>-0.88944349999999905</v>
      </c>
      <c r="AH4829">
        <v>77.647997891704904</v>
      </c>
      <c r="AI4829">
        <v>90.654287226378798</v>
      </c>
      <c r="AJ4829">
        <v>85.529325759841001</v>
      </c>
      <c r="AK4829">
        <v>77.890052294338901</v>
      </c>
      <c r="AL4829">
        <v>92.825110889417005</v>
      </c>
      <c r="AM4829">
        <v>90.219676210240607</v>
      </c>
      <c r="AN4829">
        <v>1.0000000089861401</v>
      </c>
    </row>
    <row r="4830" spans="1:40" x14ac:dyDescent="0.25">
      <c r="A4830" t="str">
        <f>"20190303153905705"</f>
        <v>20190303153905705</v>
      </c>
      <c r="B4830" t="str">
        <f>"1551598745693366"</f>
        <v>1551598745693366</v>
      </c>
      <c r="C4830" t="s">
        <v>40</v>
      </c>
      <c r="D4830">
        <v>4.2672210000000002</v>
      </c>
      <c r="E4830">
        <v>0.53217199999999998</v>
      </c>
      <c r="F4830" t="s">
        <v>66</v>
      </c>
      <c r="G4830">
        <v>-169.3921</v>
      </c>
      <c r="H4830">
        <v>0.30554959999999998</v>
      </c>
      <c r="I4830">
        <v>209.88720000000001</v>
      </c>
      <c r="J4830">
        <v>-246.80860000000001</v>
      </c>
      <c r="K4830">
        <v>1.121089</v>
      </c>
      <c r="L4830">
        <v>215.67</v>
      </c>
      <c r="M4830">
        <v>0.99988840000000001</v>
      </c>
      <c r="N4830">
        <v>-1.4042570000000001E-2</v>
      </c>
      <c r="O4830">
        <v>5.103354E-3</v>
      </c>
      <c r="P4830">
        <v>0.99797650000000004</v>
      </c>
      <c r="Q4830">
        <v>-6.299109E-2</v>
      </c>
      <c r="R4830">
        <v>8.6761110000000002E-3</v>
      </c>
      <c r="S4830">
        <v>3.0061339999999999</v>
      </c>
      <c r="T4830">
        <v>-3.1556010000000002E-2</v>
      </c>
      <c r="U4830">
        <v>-0.22370909999999999</v>
      </c>
      <c r="V4830">
        <v>-3.5846649999999999E-3</v>
      </c>
      <c r="W4830">
        <v>-4.8970149999999997E-2</v>
      </c>
      <c r="X4830">
        <v>0.99879379999999995</v>
      </c>
      <c r="Y4830">
        <v>7.9290940000000004E-2</v>
      </c>
      <c r="Z4830">
        <v>-9.5506840000000003E-4</v>
      </c>
      <c r="AA4830">
        <v>0.99685109999999999</v>
      </c>
      <c r="AB4830">
        <v>27</v>
      </c>
      <c r="AC4830">
        <v>77.416499999999999</v>
      </c>
      <c r="AD4830">
        <v>-0.81553940000000003</v>
      </c>
      <c r="AE4830">
        <v>-5.7827999999999804</v>
      </c>
      <c r="AF4830">
        <v>6.1771657315550996</v>
      </c>
      <c r="AG4830">
        <v>-0.81553940000000003</v>
      </c>
      <c r="AH4830">
        <v>77.377437814628394</v>
      </c>
      <c r="AI4830">
        <v>90.601946299669194</v>
      </c>
      <c r="AJ4830">
        <v>85.435665334198404</v>
      </c>
      <c r="AK4830">
        <v>77.627896813869299</v>
      </c>
      <c r="AL4830">
        <v>92.806905569886794</v>
      </c>
      <c r="AM4830">
        <v>90.205633328544494</v>
      </c>
      <c r="AN4830">
        <v>0.99999999016631202</v>
      </c>
    </row>
    <row r="4831" spans="1:40" x14ac:dyDescent="0.25">
      <c r="A4831" t="str">
        <f>"20190303153905726"</f>
        <v>20190303153905726</v>
      </c>
      <c r="B4831" t="str">
        <f>"1551598745713863"</f>
        <v>1551598745713863</v>
      </c>
      <c r="C4831" t="s">
        <v>40</v>
      </c>
      <c r="D4831">
        <v>4.2744280000000003</v>
      </c>
      <c r="E4831">
        <v>0.53263649999999996</v>
      </c>
      <c r="F4831" t="s">
        <v>66</v>
      </c>
      <c r="G4831">
        <v>-169.3922</v>
      </c>
      <c r="H4831">
        <v>0.33136179999999998</v>
      </c>
      <c r="I4831">
        <v>209.76939999999999</v>
      </c>
      <c r="J4831">
        <v>-246.541</v>
      </c>
      <c r="K4831">
        <v>1.1210880000000001</v>
      </c>
      <c r="L4831">
        <v>215.6713</v>
      </c>
      <c r="M4831">
        <v>0.99988840000000001</v>
      </c>
      <c r="N4831">
        <v>-1.4041130000000001E-2</v>
      </c>
      <c r="O4831">
        <v>5.1035430000000003E-3</v>
      </c>
      <c r="P4831">
        <v>0.99797769999999997</v>
      </c>
      <c r="Q4831">
        <v>-6.30661E-2</v>
      </c>
      <c r="R4831">
        <v>7.9687809999999994E-3</v>
      </c>
      <c r="S4831">
        <v>3.0061490000000002</v>
      </c>
      <c r="T4831">
        <v>-3.066456E-2</v>
      </c>
      <c r="U4831">
        <v>-0.229126</v>
      </c>
      <c r="V4831">
        <v>-2.876928E-3</v>
      </c>
      <c r="W4831">
        <v>-4.9046659999999999E-2</v>
      </c>
      <c r="X4831">
        <v>0.99879240000000002</v>
      </c>
      <c r="Y4831">
        <v>8.1076930000000005E-2</v>
      </c>
      <c r="Z4831">
        <v>-9.6342909999999995E-4</v>
      </c>
      <c r="AA4831">
        <v>0.99670740000000002</v>
      </c>
      <c r="AB4831">
        <v>27</v>
      </c>
      <c r="AC4831">
        <v>77.148799999999994</v>
      </c>
      <c r="AD4831">
        <v>-0.78972619999999905</v>
      </c>
      <c r="AE4831">
        <v>-5.9019000000000101</v>
      </c>
      <c r="AF4831">
        <v>6.2949383871336604</v>
      </c>
      <c r="AG4831">
        <v>-0.78972619999999905</v>
      </c>
      <c r="AH4831">
        <v>77.109638669193103</v>
      </c>
      <c r="AI4831">
        <v>90.584834598352401</v>
      </c>
      <c r="AJ4831">
        <v>85.332939378164298</v>
      </c>
      <c r="AK4831">
        <v>77.370189947177295</v>
      </c>
      <c r="AL4831">
        <v>92.811294361731896</v>
      </c>
      <c r="AM4831">
        <v>90.165034672368904</v>
      </c>
      <c r="AN4831">
        <v>1.00000005493481</v>
      </c>
    </row>
    <row r="4832" spans="1:40" x14ac:dyDescent="0.25">
      <c r="A4832" t="str">
        <f>"20190303153905748"</f>
        <v>20190303153905748</v>
      </c>
      <c r="B4832" t="str">
        <f>"1551598745743146"</f>
        <v>1551598745743146</v>
      </c>
      <c r="C4832" t="s">
        <v>40</v>
      </c>
      <c r="D4832">
        <v>4.3213089999999896</v>
      </c>
      <c r="E4832">
        <v>0.53328310000000001</v>
      </c>
      <c r="F4832" t="s">
        <v>66</v>
      </c>
      <c r="G4832">
        <v>-169.3922</v>
      </c>
      <c r="H4832">
        <v>0.30830190000000002</v>
      </c>
      <c r="I4832">
        <v>209.63919999999999</v>
      </c>
      <c r="J4832">
        <v>-246.26480000000001</v>
      </c>
      <c r="K4832">
        <v>1.1210990000000001</v>
      </c>
      <c r="L4832">
        <v>215.6728</v>
      </c>
      <c r="M4832">
        <v>0.99988840000000001</v>
      </c>
      <c r="N4832">
        <v>-1.403947E-2</v>
      </c>
      <c r="O4832">
        <v>5.1036739999999999E-3</v>
      </c>
      <c r="P4832">
        <v>0.99798830000000005</v>
      </c>
      <c r="Q4832">
        <v>-6.2981570000000001E-2</v>
      </c>
      <c r="R4832">
        <v>7.24879699999999E-3</v>
      </c>
      <c r="S4832">
        <v>3.005951</v>
      </c>
      <c r="T4832">
        <v>-3.1667349999999997E-2</v>
      </c>
      <c r="U4832">
        <v>-0.23503109999999999</v>
      </c>
      <c r="V4832">
        <v>-2.1568289999999999E-3</v>
      </c>
      <c r="W4832">
        <v>-4.8963729999999997E-2</v>
      </c>
      <c r="X4832">
        <v>0.99879830000000003</v>
      </c>
      <c r="Y4832">
        <v>8.3027589999999998E-2</v>
      </c>
      <c r="Z4832">
        <v>-1.0025920000000001E-3</v>
      </c>
      <c r="AA4832">
        <v>0.99654670000000001</v>
      </c>
      <c r="AB4832">
        <v>27</v>
      </c>
      <c r="AC4832">
        <v>76.872600000000006</v>
      </c>
      <c r="AD4832">
        <v>-0.81279709999999905</v>
      </c>
      <c r="AE4832">
        <v>-6.0335999999999999</v>
      </c>
      <c r="AF4832">
        <v>6.4251788689262597</v>
      </c>
      <c r="AG4832">
        <v>-0.81279709999999905</v>
      </c>
      <c r="AH4832">
        <v>76.832265215528906</v>
      </c>
      <c r="AI4832">
        <v>90.603992795944194</v>
      </c>
      <c r="AJ4832">
        <v>85.219702936510302</v>
      </c>
      <c r="AK4832">
        <v>77.104737472951896</v>
      </c>
      <c r="AL4832">
        <v>92.806537060951399</v>
      </c>
      <c r="AM4832">
        <v>90.123725687906301</v>
      </c>
      <c r="AN4832">
        <v>1.00000007142486</v>
      </c>
    </row>
    <row r="4833" spans="1:40" x14ac:dyDescent="0.25">
      <c r="A4833" t="str">
        <f>"20190303153905771"</f>
        <v>20190303153905771</v>
      </c>
      <c r="B4833" t="str">
        <f>"1551598745763643"</f>
        <v>1551598745763643</v>
      </c>
      <c r="C4833" t="s">
        <v>40</v>
      </c>
      <c r="D4833">
        <v>4.308967</v>
      </c>
      <c r="E4833">
        <v>0.533520199999999</v>
      </c>
      <c r="F4833" t="s">
        <v>66</v>
      </c>
      <c r="G4833">
        <v>-169.3922</v>
      </c>
      <c r="H4833">
        <v>0.27799220000000002</v>
      </c>
      <c r="I4833">
        <v>209.47479999999999</v>
      </c>
      <c r="J4833">
        <v>-245.9956</v>
      </c>
      <c r="K4833">
        <v>1.1210929999999999</v>
      </c>
      <c r="L4833">
        <v>215.67410000000001</v>
      </c>
      <c r="M4833">
        <v>0.99988920000000003</v>
      </c>
      <c r="N4833">
        <v>-1.3988789999999999E-2</v>
      </c>
      <c r="O4833">
        <v>5.1033759999999997E-3</v>
      </c>
      <c r="P4833">
        <v>0.99802950000000001</v>
      </c>
      <c r="Q4833">
        <v>-6.2386730000000001E-2</v>
      </c>
      <c r="R4833">
        <v>6.7221410000000001E-3</v>
      </c>
      <c r="S4833">
        <v>3.005722</v>
      </c>
      <c r="T4833">
        <v>-3.2964229999999997E-2</v>
      </c>
      <c r="U4833">
        <v>-0.2423401</v>
      </c>
      <c r="V4833">
        <v>-1.6301239999999999E-3</v>
      </c>
      <c r="W4833">
        <v>-4.8419030000000002E-2</v>
      </c>
      <c r="X4833">
        <v>0.99882579999999999</v>
      </c>
      <c r="Y4833">
        <v>8.544011E-2</v>
      </c>
      <c r="Z4833">
        <v>-1.050989E-3</v>
      </c>
      <c r="AA4833">
        <v>0.99634279999999997</v>
      </c>
      <c r="AB4833">
        <v>27</v>
      </c>
      <c r="AC4833">
        <v>76.603399999999993</v>
      </c>
      <c r="AD4833">
        <v>-0.84310079999999998</v>
      </c>
      <c r="AE4833">
        <v>-6.1993000000000196</v>
      </c>
      <c r="AF4833">
        <v>6.58940043503691</v>
      </c>
      <c r="AG4833">
        <v>-0.84310079999999998</v>
      </c>
      <c r="AH4833">
        <v>76.561548003080901</v>
      </c>
      <c r="AI4833">
        <v>90.628595717160593</v>
      </c>
      <c r="AJ4833">
        <v>85.080863079219696</v>
      </c>
      <c r="AK4833">
        <v>76.849213721939194</v>
      </c>
      <c r="AL4833">
        <v>92.775291134725606</v>
      </c>
      <c r="AM4833">
        <v>90.093508940556404</v>
      </c>
      <c r="AN4833">
        <v>1.0000000192580101</v>
      </c>
    </row>
    <row r="4834" spans="1:40" x14ac:dyDescent="0.25">
      <c r="A4834" t="str">
        <f>"20190303153905792"</f>
        <v>20190303153905792</v>
      </c>
      <c r="B4834" t="str">
        <f>"1551598745783159"</f>
        <v>1551598745783159</v>
      </c>
      <c r="C4834" t="s">
        <v>40</v>
      </c>
      <c r="D4834">
        <v>4.3097099999999999</v>
      </c>
      <c r="E4834">
        <v>0.53373809999999999</v>
      </c>
      <c r="F4834" t="s">
        <v>66</v>
      </c>
      <c r="G4834">
        <v>-169.39230000000001</v>
      </c>
      <c r="H4834">
        <v>0.32694240000000002</v>
      </c>
      <c r="I4834">
        <v>209.41640000000001</v>
      </c>
      <c r="J4834">
        <v>-245.72720000000001</v>
      </c>
      <c r="K4834">
        <v>1.121068</v>
      </c>
      <c r="L4834">
        <v>215.6755</v>
      </c>
      <c r="M4834">
        <v>0.99989079999999997</v>
      </c>
      <c r="N4834">
        <v>-1.3869640000000001E-2</v>
      </c>
      <c r="O4834">
        <v>5.1033759999999997E-3</v>
      </c>
      <c r="P4834">
        <v>0.99806700000000004</v>
      </c>
      <c r="Q4834">
        <v>-6.17908E-2</v>
      </c>
      <c r="R4834">
        <v>6.6762409999999899E-3</v>
      </c>
      <c r="S4834">
        <v>3.0056150000000001</v>
      </c>
      <c r="T4834">
        <v>-3.115797E-2</v>
      </c>
      <c r="U4834">
        <v>-0.2455292</v>
      </c>
      <c r="V4834">
        <v>-1.5844380000000001E-3</v>
      </c>
      <c r="W4834">
        <v>-4.7941669999999999E-2</v>
      </c>
      <c r="X4834">
        <v>0.99884890000000004</v>
      </c>
      <c r="Y4834">
        <v>8.6493929999999997E-2</v>
      </c>
      <c r="Z4834">
        <v>-1.0306029999999999E-3</v>
      </c>
      <c r="AA4834">
        <v>0.99625180000000002</v>
      </c>
      <c r="AB4834">
        <v>27</v>
      </c>
      <c r="AC4834">
        <v>76.334900000000005</v>
      </c>
      <c r="AD4834">
        <v>-0.79412559999999899</v>
      </c>
      <c r="AE4834">
        <v>-6.2590999999999797</v>
      </c>
      <c r="AF4834">
        <v>6.6479069713455097</v>
      </c>
      <c r="AG4834">
        <v>-0.79412559999999899</v>
      </c>
      <c r="AH4834">
        <v>76.293758303941999</v>
      </c>
      <c r="AI4834">
        <v>90.594107130363398</v>
      </c>
      <c r="AJ4834">
        <v>85.020072599532597</v>
      </c>
      <c r="AK4834">
        <v>76.586962720221194</v>
      </c>
      <c r="AL4834">
        <v>92.747908620134396</v>
      </c>
      <c r="AM4834">
        <v>90.090886153208601</v>
      </c>
      <c r="AN4834">
        <v>1.00000001959868</v>
      </c>
    </row>
    <row r="4835" spans="1:40" x14ac:dyDescent="0.25">
      <c r="A4835" t="str">
        <f>"20190303153905816"</f>
        <v>20190303153905816</v>
      </c>
      <c r="B4835" t="str">
        <f>"1551598745803655"</f>
        <v>1551598745803655</v>
      </c>
      <c r="C4835" t="s">
        <v>40</v>
      </c>
      <c r="D4835">
        <v>4.2989439999999997</v>
      </c>
      <c r="E4835">
        <v>0.53386750000000005</v>
      </c>
      <c r="F4835" t="s">
        <v>66</v>
      </c>
      <c r="G4835">
        <v>-169.39230000000001</v>
      </c>
      <c r="H4835">
        <v>0.39201550000000002</v>
      </c>
      <c r="I4835">
        <v>209.3887</v>
      </c>
      <c r="J4835">
        <v>-245.44649999999999</v>
      </c>
      <c r="K4835">
        <v>1.1210359999999999</v>
      </c>
      <c r="L4835">
        <v>215.67699999999999</v>
      </c>
      <c r="M4835">
        <v>0.99989300000000003</v>
      </c>
      <c r="N4835">
        <v>-1.3718360000000001E-2</v>
      </c>
      <c r="O4835">
        <v>5.103415E-3</v>
      </c>
      <c r="P4835">
        <v>0.99809590000000004</v>
      </c>
      <c r="Q4835">
        <v>-6.1301199999999903E-2</v>
      </c>
      <c r="R4835">
        <v>6.8451220000000004E-3</v>
      </c>
      <c r="S4835">
        <v>3.0057070000000001</v>
      </c>
      <c r="T4835">
        <v>-2.8705359999999999E-2</v>
      </c>
      <c r="U4835">
        <v>-0.24754329999999999</v>
      </c>
      <c r="V4835">
        <v>-1.7525959999999999E-3</v>
      </c>
      <c r="W4835">
        <v>-4.7602829999999999E-2</v>
      </c>
      <c r="X4835">
        <v>0.9988648</v>
      </c>
      <c r="Y4835">
        <v>8.7155800000000005E-2</v>
      </c>
      <c r="Z4835">
        <v>-9.9312290000000002E-4</v>
      </c>
      <c r="AA4835">
        <v>0.99619420000000003</v>
      </c>
      <c r="AB4835">
        <v>27</v>
      </c>
      <c r="AC4835">
        <v>76.054199999999895</v>
      </c>
      <c r="AD4835">
        <v>-0.72902049999999996</v>
      </c>
      <c r="AE4835">
        <v>-6.28830000000002</v>
      </c>
      <c r="AF4835">
        <v>6.6757814962250404</v>
      </c>
      <c r="AG4835">
        <v>-0.72902049999999996</v>
      </c>
      <c r="AH4835">
        <v>76.014177622678503</v>
      </c>
      <c r="AI4835">
        <v>90.547376514883197</v>
      </c>
      <c r="AJ4835">
        <v>84.9809986908826</v>
      </c>
      <c r="AK4835">
        <v>76.310240001764299</v>
      </c>
      <c r="AL4835">
        <v>92.728472394770407</v>
      </c>
      <c r="AM4835">
        <v>90.100530373024597</v>
      </c>
      <c r="AN4835">
        <v>0.99999999484789404</v>
      </c>
    </row>
    <row r="4836" spans="1:40" x14ac:dyDescent="0.25">
      <c r="A4836" t="str">
        <f>"20190303153905838"</f>
        <v>20190303153905838</v>
      </c>
      <c r="B4836" t="str">
        <f>"1551598745832934"</f>
        <v>1551598745832934</v>
      </c>
      <c r="C4836" t="s">
        <v>40</v>
      </c>
      <c r="D4836">
        <v>4.3101190000000003</v>
      </c>
      <c r="E4836">
        <v>0.53424110000000002</v>
      </c>
      <c r="F4836" t="s">
        <v>66</v>
      </c>
      <c r="G4836">
        <v>-169.39230000000001</v>
      </c>
      <c r="H4836">
        <v>0.41775889999999999</v>
      </c>
      <c r="I4836">
        <v>209.39830000000001</v>
      </c>
      <c r="J4836">
        <v>-245.17679999999999</v>
      </c>
      <c r="K4836">
        <v>1.1210059999999999</v>
      </c>
      <c r="L4836">
        <v>215.67830000000001</v>
      </c>
      <c r="M4836">
        <v>0.99989499999999998</v>
      </c>
      <c r="N4836">
        <v>-1.357496E-2</v>
      </c>
      <c r="O4836">
        <v>5.103748E-3</v>
      </c>
      <c r="P4836">
        <v>0.99808540000000001</v>
      </c>
      <c r="Q4836">
        <v>-6.1422690000000002E-2</v>
      </c>
      <c r="R4836">
        <v>7.2835019999999999E-3</v>
      </c>
      <c r="S4836">
        <v>3.005722</v>
      </c>
      <c r="T4836">
        <v>-2.7792689999999998E-2</v>
      </c>
      <c r="U4836">
        <v>-0.24813840000000001</v>
      </c>
      <c r="V4836">
        <v>-2.1907599999999999E-3</v>
      </c>
      <c r="W4836">
        <v>-4.7867649999999998E-2</v>
      </c>
      <c r="X4836">
        <v>0.9988513</v>
      </c>
      <c r="Y4836">
        <v>8.7352070000000004E-2</v>
      </c>
      <c r="Z4836">
        <v>-9.7507319999999998E-4</v>
      </c>
      <c r="AA4836">
        <v>0.99617699999999998</v>
      </c>
      <c r="AB4836">
        <v>27</v>
      </c>
      <c r="AC4836">
        <v>75.784499999999895</v>
      </c>
      <c r="AD4836">
        <v>-0.70324709999999901</v>
      </c>
      <c r="AE4836">
        <v>-6.28</v>
      </c>
      <c r="AF4836">
        <v>6.6661686499740398</v>
      </c>
      <c r="AG4836">
        <v>-0.70324709999999901</v>
      </c>
      <c r="AH4836">
        <v>75.744980359666201</v>
      </c>
      <c r="AI4836">
        <v>90.529893907825496</v>
      </c>
      <c r="AJ4836">
        <v>84.970468258024397</v>
      </c>
      <c r="AK4836">
        <v>76.041004797673295</v>
      </c>
      <c r="AL4836">
        <v>92.743662723393498</v>
      </c>
      <c r="AM4836">
        <v>90.125665452559602</v>
      </c>
      <c r="AN4836">
        <v>1.00000001542879</v>
      </c>
    </row>
    <row r="4837" spans="1:40" x14ac:dyDescent="0.25">
      <c r="A4837" t="str">
        <f>"20190303153905860"</f>
        <v>20190303153905860</v>
      </c>
      <c r="B4837" t="str">
        <f>"1551598745853434"</f>
        <v>1551598745853434</v>
      </c>
      <c r="C4837" t="s">
        <v>40</v>
      </c>
      <c r="D4837">
        <v>4.2996400000000001</v>
      </c>
      <c r="E4837">
        <v>0.53444269999999905</v>
      </c>
      <c r="F4837" t="s">
        <v>66</v>
      </c>
      <c r="G4837">
        <v>-169.39230000000001</v>
      </c>
      <c r="H4837">
        <v>0.3631954</v>
      </c>
      <c r="I4837">
        <v>209.37270000000001</v>
      </c>
      <c r="J4837">
        <v>-244.90719999999999</v>
      </c>
      <c r="K4837">
        <v>1.120981</v>
      </c>
      <c r="L4837">
        <v>215.6797</v>
      </c>
      <c r="M4837">
        <v>0.99989680000000003</v>
      </c>
      <c r="N4837">
        <v>-1.34383E-2</v>
      </c>
      <c r="O4837">
        <v>5.1040240000000004E-3</v>
      </c>
      <c r="P4837">
        <v>0.99802020000000002</v>
      </c>
      <c r="Q4837">
        <v>-6.2467750000000002E-2</v>
      </c>
      <c r="R4837">
        <v>7.313089E-3</v>
      </c>
      <c r="S4837">
        <v>3.0057529999999999</v>
      </c>
      <c r="T4837">
        <v>-3.0054810000000001E-2</v>
      </c>
      <c r="U4837">
        <v>-0.25009160000000002</v>
      </c>
      <c r="V4837">
        <v>-2.2206389999999999E-3</v>
      </c>
      <c r="W4837">
        <v>-4.9050009999999998E-2</v>
      </c>
      <c r="X4837">
        <v>0.99879379999999995</v>
      </c>
      <c r="Y4837">
        <v>8.7993299999999997E-2</v>
      </c>
      <c r="Z4837">
        <v>-1.013955E-3</v>
      </c>
      <c r="AA4837">
        <v>0.99612060000000002</v>
      </c>
      <c r="AB4837">
        <v>27</v>
      </c>
      <c r="AC4837">
        <v>75.514899999999898</v>
      </c>
      <c r="AD4837">
        <v>-0.75778559999999995</v>
      </c>
      <c r="AE4837">
        <v>-6.30699999999998</v>
      </c>
      <c r="AF4837">
        <v>6.69171326881224</v>
      </c>
      <c r="AG4837">
        <v>-0.75778559999999995</v>
      </c>
      <c r="AH4837">
        <v>75.474174647749194</v>
      </c>
      <c r="AI4837">
        <v>90.573001565692607</v>
      </c>
      <c r="AJ4837">
        <v>84.933273696496997</v>
      </c>
      <c r="AK4837">
        <v>75.774034498939699</v>
      </c>
      <c r="AL4837">
        <v>92.811486843719095</v>
      </c>
      <c r="AM4837">
        <v>90.127386686699694</v>
      </c>
      <c r="AN4837">
        <v>0.99999994481850196</v>
      </c>
    </row>
    <row r="4838" spans="1:40" x14ac:dyDescent="0.25">
      <c r="A4838" t="str">
        <f>"20190303153905882"</f>
        <v>20190303153905882</v>
      </c>
      <c r="B4838" t="str">
        <f>"1551598745873926"</f>
        <v>1551598745873926</v>
      </c>
      <c r="C4838" t="s">
        <v>40</v>
      </c>
      <c r="D4838">
        <v>4.3094590000000004</v>
      </c>
      <c r="E4838">
        <v>0.53465719999999906</v>
      </c>
      <c r="F4838" t="s">
        <v>66</v>
      </c>
      <c r="G4838">
        <v>-169.39230000000001</v>
      </c>
      <c r="H4838">
        <v>0.27409929999999999</v>
      </c>
      <c r="I4838">
        <v>209.3612</v>
      </c>
      <c r="J4838">
        <v>-244.63499999999999</v>
      </c>
      <c r="K4838">
        <v>1.12096</v>
      </c>
      <c r="L4838">
        <v>215.68109999999999</v>
      </c>
      <c r="M4838">
        <v>0.99989850000000002</v>
      </c>
      <c r="N4838">
        <v>-1.3306709999999999E-2</v>
      </c>
      <c r="O4838">
        <v>5.1041979999999999E-3</v>
      </c>
      <c r="P4838">
        <v>0.99794819999999995</v>
      </c>
      <c r="Q4838">
        <v>-6.3610990000000006E-2</v>
      </c>
      <c r="R4838">
        <v>7.2900639999999997E-3</v>
      </c>
      <c r="S4838">
        <v>3.0057070000000001</v>
      </c>
      <c r="T4838">
        <v>-3.3706899999999998E-2</v>
      </c>
      <c r="U4838">
        <v>-0.25149539999999998</v>
      </c>
      <c r="V4838">
        <v>-2.1976389999999999E-3</v>
      </c>
      <c r="W4838">
        <v>-5.0325559999999998E-2</v>
      </c>
      <c r="X4838">
        <v>0.99873040000000002</v>
      </c>
      <c r="Y4838">
        <v>8.8454920000000006E-2</v>
      </c>
      <c r="Z4838">
        <v>-1.0740540000000001E-3</v>
      </c>
      <c r="AA4838">
        <v>0.99607959999999995</v>
      </c>
      <c r="AB4838">
        <v>27</v>
      </c>
      <c r="AC4838">
        <v>75.2426999999999</v>
      </c>
      <c r="AD4838">
        <v>-0.84686069999999902</v>
      </c>
      <c r="AE4838">
        <v>-6.3198999999999899</v>
      </c>
      <c r="AF4838">
        <v>6.7030621089063702</v>
      </c>
      <c r="AG4838">
        <v>-0.84686069999999902</v>
      </c>
      <c r="AH4838">
        <v>75.199999482482795</v>
      </c>
      <c r="AI4838">
        <v>90.642658234365797</v>
      </c>
      <c r="AJ4838">
        <v>84.9063185919901</v>
      </c>
      <c r="AK4838">
        <v>75.502901512766201</v>
      </c>
      <c r="AL4838">
        <v>92.884660848943298</v>
      </c>
      <c r="AM4838">
        <v>90.126075301573294</v>
      </c>
      <c r="AN4838">
        <v>0.99999995174532197</v>
      </c>
    </row>
    <row r="4839" spans="1:40" x14ac:dyDescent="0.25">
      <c r="A4839" t="str">
        <f>"20190303153905906"</f>
        <v>20190303153905906</v>
      </c>
      <c r="B4839" t="str">
        <f>"1551598745893447"</f>
        <v>1551598745893447</v>
      </c>
      <c r="C4839" t="s">
        <v>40</v>
      </c>
      <c r="D4839">
        <v>4.2644270000000004</v>
      </c>
      <c r="E4839">
        <v>0.53472629999999999</v>
      </c>
      <c r="F4839" t="s">
        <v>66</v>
      </c>
      <c r="G4839">
        <v>-169.3922</v>
      </c>
      <c r="H4839">
        <v>0.17246819999999999</v>
      </c>
      <c r="I4839">
        <v>209.3458</v>
      </c>
      <c r="J4839">
        <v>-244.3563</v>
      </c>
      <c r="K4839">
        <v>1.120946</v>
      </c>
      <c r="L4839">
        <v>215.68260000000001</v>
      </c>
      <c r="M4839">
        <v>0.99989989999999995</v>
      </c>
      <c r="N4839">
        <v>-1.3188210000000001E-2</v>
      </c>
      <c r="O4839">
        <v>5.1045129999999998E-3</v>
      </c>
      <c r="P4839">
        <v>0.99798310000000001</v>
      </c>
      <c r="Q4839">
        <v>-6.3050780000000001E-2</v>
      </c>
      <c r="R4839">
        <v>7.3698679999999999E-3</v>
      </c>
      <c r="S4839">
        <v>3.0056150000000001</v>
      </c>
      <c r="T4839">
        <v>-3.7886620000000003E-2</v>
      </c>
      <c r="U4839">
        <v>-0.25306699999999999</v>
      </c>
      <c r="V4839">
        <v>-2.2767439999999998E-3</v>
      </c>
      <c r="W4839">
        <v>-4.9883280000000002E-2</v>
      </c>
      <c r="X4839">
        <v>0.99875250000000004</v>
      </c>
      <c r="Y4839">
        <v>8.897265E-2</v>
      </c>
      <c r="Z4839">
        <v>-1.144585E-3</v>
      </c>
      <c r="AA4839">
        <v>0.99603339999999996</v>
      </c>
      <c r="AB4839">
        <v>27</v>
      </c>
      <c r="AC4839">
        <v>74.964100000000002</v>
      </c>
      <c r="AD4839">
        <v>-0.94847780000000004</v>
      </c>
      <c r="AE4839">
        <v>-6.33680000000001</v>
      </c>
      <c r="AF4839">
        <v>6.7183381056883604</v>
      </c>
      <c r="AG4839">
        <v>-0.94847780000000004</v>
      </c>
      <c r="AH4839">
        <v>74.918865880074904</v>
      </c>
      <c r="AI4839">
        <v>90.7224309932285</v>
      </c>
      <c r="AJ4839">
        <v>84.875715977677203</v>
      </c>
      <c r="AK4839">
        <v>75.225475351080902</v>
      </c>
      <c r="AL4839">
        <v>92.859287947094202</v>
      </c>
      <c r="AM4839">
        <v>90.130610532914005</v>
      </c>
      <c r="AN4839">
        <v>1.0000000407215199</v>
      </c>
    </row>
    <row r="4840" spans="1:40" x14ac:dyDescent="0.25">
      <c r="A4840" t="str">
        <f>"20190303153905928"</f>
        <v>20190303153905928</v>
      </c>
      <c r="B4840" t="str">
        <f>"1551598745923703"</f>
        <v>1551598745923703</v>
      </c>
      <c r="C4840" t="s">
        <v>40</v>
      </c>
      <c r="D4840">
        <v>4.2671080000000003</v>
      </c>
      <c r="E4840">
        <v>0.53488749999999996</v>
      </c>
      <c r="F4840" t="s">
        <v>66</v>
      </c>
      <c r="G4840">
        <v>-169.3922</v>
      </c>
      <c r="H4840">
        <v>0.1977139</v>
      </c>
      <c r="I4840">
        <v>209.36580000000001</v>
      </c>
      <c r="J4840">
        <v>-244.08940000000001</v>
      </c>
      <c r="K4840">
        <v>1.12094</v>
      </c>
      <c r="L4840">
        <v>215.68389999999999</v>
      </c>
      <c r="M4840">
        <v>0.99990129999999999</v>
      </c>
      <c r="N4840">
        <v>-1.309975E-2</v>
      </c>
      <c r="O4840">
        <v>5.1042659999999997E-3</v>
      </c>
      <c r="P4840">
        <v>0.99797709999999995</v>
      </c>
      <c r="Q4840">
        <v>-6.3128690000000001E-2</v>
      </c>
      <c r="R4840">
        <v>7.5449289999999997E-3</v>
      </c>
      <c r="S4840">
        <v>3.0055999999999998</v>
      </c>
      <c r="T4840">
        <v>-3.7014600000000002E-2</v>
      </c>
      <c r="U4840">
        <v>-0.25326539999999997</v>
      </c>
      <c r="V4840">
        <v>-2.4524569999999999E-3</v>
      </c>
      <c r="W4840">
        <v>-5.0049589999999998E-2</v>
      </c>
      <c r="X4840">
        <v>0.99874370000000001</v>
      </c>
      <c r="Y4840">
        <v>8.9038619999999999E-2</v>
      </c>
      <c r="Z4840">
        <v>-1.1275720000000001E-3</v>
      </c>
      <c r="AA4840">
        <v>0.99602749999999995</v>
      </c>
      <c r="AB4840">
        <v>27</v>
      </c>
      <c r="AC4840">
        <v>74.697199999999995</v>
      </c>
      <c r="AD4840">
        <v>-0.92322610000000005</v>
      </c>
      <c r="AE4840">
        <v>-6.3180999999999798</v>
      </c>
      <c r="AF4840">
        <v>6.6983087664063401</v>
      </c>
      <c r="AG4840">
        <v>-0.92322610000000005</v>
      </c>
      <c r="AH4840">
        <v>74.652651861904602</v>
      </c>
      <c r="AI4840">
        <v>90.705703532906995</v>
      </c>
      <c r="AJ4840">
        <v>84.872789748303305</v>
      </c>
      <c r="AK4840">
        <v>74.958242487244604</v>
      </c>
      <c r="AL4840">
        <v>92.868828907752999</v>
      </c>
      <c r="AM4840">
        <v>90.140691904356402</v>
      </c>
      <c r="AN4840">
        <v>0.99999997714709699</v>
      </c>
    </row>
    <row r="4841" spans="1:40" x14ac:dyDescent="0.25">
      <c r="A4841" t="str">
        <f>"20190303153905950"</f>
        <v>20190303153905950</v>
      </c>
      <c r="B4841" t="str">
        <f>"1551598745943858"</f>
        <v>1551598745943858</v>
      </c>
      <c r="C4841" t="s">
        <v>40</v>
      </c>
      <c r="D4841">
        <v>4.2443739999999996</v>
      </c>
      <c r="E4841">
        <v>0.53501149999999997</v>
      </c>
      <c r="F4841" t="s">
        <v>66</v>
      </c>
      <c r="G4841">
        <v>-169.3922</v>
      </c>
      <c r="H4841">
        <v>0.17152210000000001</v>
      </c>
      <c r="I4841">
        <v>209.3725</v>
      </c>
      <c r="J4841">
        <v>-243.8168</v>
      </c>
      <c r="K4841">
        <v>1.1209480000000001</v>
      </c>
      <c r="L4841">
        <v>215.68530000000001</v>
      </c>
      <c r="M4841">
        <v>0.99990179999999995</v>
      </c>
      <c r="N4841">
        <v>-1.3049160000000001E-2</v>
      </c>
      <c r="O4841">
        <v>5.1042420000000002E-3</v>
      </c>
      <c r="P4841">
        <v>0.99796419999999997</v>
      </c>
      <c r="Q4841">
        <v>-6.3236429999999996E-2</v>
      </c>
      <c r="R4841">
        <v>8.2717580000000006E-3</v>
      </c>
      <c r="S4841">
        <v>3.0055999999999998</v>
      </c>
      <c r="T4841">
        <v>-3.8200499999999998E-2</v>
      </c>
      <c r="U4841">
        <v>-0.25395200000000001</v>
      </c>
      <c r="V4841">
        <v>-3.1791699999999998E-3</v>
      </c>
      <c r="W4841">
        <v>-5.0207950000000001E-2</v>
      </c>
      <c r="X4841">
        <v>0.99873369999999995</v>
      </c>
      <c r="Y4841">
        <v>8.926386E-2</v>
      </c>
      <c r="Z4841">
        <v>-1.1480189999999999E-3</v>
      </c>
      <c r="AA4841">
        <v>0.99600730000000004</v>
      </c>
      <c r="AB4841">
        <v>27</v>
      </c>
      <c r="AC4841">
        <v>74.424599999999998</v>
      </c>
      <c r="AD4841">
        <v>-0.94942590000000004</v>
      </c>
      <c r="AE4841">
        <v>-6.31280000000001</v>
      </c>
      <c r="AF4841">
        <v>6.69155008701446</v>
      </c>
      <c r="AG4841">
        <v>-0.94942590000000004</v>
      </c>
      <c r="AH4841">
        <v>74.379387629886907</v>
      </c>
      <c r="AI4841">
        <v>90.728378733997502</v>
      </c>
      <c r="AJ4841">
        <v>84.859218208770599</v>
      </c>
      <c r="AK4841">
        <v>74.685818977256901</v>
      </c>
      <c r="AL4841">
        <v>92.877913697135</v>
      </c>
      <c r="AM4841">
        <v>90.182383360169197</v>
      </c>
      <c r="AN4841">
        <v>0.99999997444039002</v>
      </c>
    </row>
    <row r="4842" spans="1:40" x14ac:dyDescent="0.25">
      <c r="A4842" t="str">
        <f>"20190303153905972"</f>
        <v>20190303153905972</v>
      </c>
      <c r="B4842" t="str">
        <f>"1551598745963378"</f>
        <v>1551598745963378</v>
      </c>
      <c r="C4842" t="s">
        <v>40</v>
      </c>
      <c r="D4842">
        <v>4.3009529999999998</v>
      </c>
      <c r="E4842">
        <v>0.53519600000000001</v>
      </c>
      <c r="F4842" t="s">
        <v>66</v>
      </c>
      <c r="G4842">
        <v>-169.3922</v>
      </c>
      <c r="H4842">
        <v>0.139595</v>
      </c>
      <c r="I4842">
        <v>209.42250000000001</v>
      </c>
      <c r="J4842">
        <v>-243.54570000000001</v>
      </c>
      <c r="K4842">
        <v>1.120965</v>
      </c>
      <c r="L4842">
        <v>215.6867</v>
      </c>
      <c r="M4842">
        <v>0.9999017</v>
      </c>
      <c r="N4842">
        <v>-1.3069020000000001E-2</v>
      </c>
      <c r="O4842">
        <v>5.1039329999999997E-3</v>
      </c>
      <c r="P4842">
        <v>0.99792950000000002</v>
      </c>
      <c r="Q4842">
        <v>-6.3780489999999995E-2</v>
      </c>
      <c r="R4842">
        <v>8.3128090000000009E-3</v>
      </c>
      <c r="S4842">
        <v>3.005722</v>
      </c>
      <c r="T4842">
        <v>-3.9631720000000002E-2</v>
      </c>
      <c r="U4842">
        <v>-0.25292969999999998</v>
      </c>
      <c r="V4842">
        <v>-3.2209930000000001E-3</v>
      </c>
      <c r="W4842">
        <v>-5.0732579999999999E-2</v>
      </c>
      <c r="X4842">
        <v>0.99870709999999996</v>
      </c>
      <c r="Y4842">
        <v>8.8923009999999997E-2</v>
      </c>
      <c r="Z4842">
        <v>-1.1679469999999999E-3</v>
      </c>
      <c r="AA4842">
        <v>0.99603779999999997</v>
      </c>
      <c r="AB4842">
        <v>27</v>
      </c>
      <c r="AC4842">
        <v>74.153499999999994</v>
      </c>
      <c r="AD4842">
        <v>-0.98136999999999996</v>
      </c>
      <c r="AE4842">
        <v>-6.2641999999999802</v>
      </c>
      <c r="AF4842">
        <v>6.6414701762380499</v>
      </c>
      <c r="AG4842">
        <v>-0.98136999999999996</v>
      </c>
      <c r="AH4842">
        <v>74.107671438098194</v>
      </c>
      <c r="AI4842">
        <v>90.755666182044905</v>
      </c>
      <c r="AJ4842">
        <v>84.878879141854497</v>
      </c>
      <c r="AK4842">
        <v>74.411149562117799</v>
      </c>
      <c r="AL4842">
        <v>92.9080110061781</v>
      </c>
      <c r="AM4842">
        <v>90.184787576729093</v>
      </c>
      <c r="AN4842">
        <v>1.00000002052988</v>
      </c>
    </row>
    <row r="4843" spans="1:40" x14ac:dyDescent="0.25">
      <c r="A4843" t="str">
        <f>"20190303153905994"</f>
        <v>20190303153905994</v>
      </c>
      <c r="B4843" t="str">
        <f>"1551598745983874"</f>
        <v>1551598745983874</v>
      </c>
      <c r="C4843" t="s">
        <v>40</v>
      </c>
      <c r="D4843">
        <v>4.3106489999999997</v>
      </c>
      <c r="E4843">
        <v>0.53536779999999995</v>
      </c>
      <c r="F4843" t="s">
        <v>66</v>
      </c>
      <c r="G4843">
        <v>-169.3922</v>
      </c>
      <c r="H4843">
        <v>9.2828750000000002E-2</v>
      </c>
      <c r="I4843">
        <v>209.40629999999999</v>
      </c>
      <c r="J4843">
        <v>-243.2784</v>
      </c>
      <c r="K4843">
        <v>1.120992</v>
      </c>
      <c r="L4843">
        <v>215.68799999999999</v>
      </c>
      <c r="M4843">
        <v>0.99990089999999998</v>
      </c>
      <c r="N4843">
        <v>-1.312675E-2</v>
      </c>
      <c r="O4843">
        <v>5.104206E-3</v>
      </c>
      <c r="P4843">
        <v>0.99790080000000003</v>
      </c>
      <c r="Q4843">
        <v>-6.4249680000000003E-2</v>
      </c>
      <c r="R4843">
        <v>8.1330299999999994E-3</v>
      </c>
      <c r="S4843">
        <v>3.0056759999999998</v>
      </c>
      <c r="T4843">
        <v>-4.1672229999999998E-2</v>
      </c>
      <c r="U4843">
        <v>-0.25456240000000002</v>
      </c>
      <c r="V4843">
        <v>-3.0409180000000001E-3</v>
      </c>
      <c r="W4843">
        <v>-5.1144460000000003E-2</v>
      </c>
      <c r="X4843">
        <v>0.99868659999999998</v>
      </c>
      <c r="Y4843">
        <v>8.9460399999999995E-2</v>
      </c>
      <c r="Z4843">
        <v>-1.2110759999999999E-3</v>
      </c>
      <c r="AA4843">
        <v>0.99598960000000003</v>
      </c>
      <c r="AB4843">
        <v>27</v>
      </c>
      <c r="AC4843">
        <v>73.886200000000002</v>
      </c>
      <c r="AD4843">
        <v>-1.02816325</v>
      </c>
      <c r="AE4843">
        <v>-6.2816999999999998</v>
      </c>
      <c r="AF4843">
        <v>6.6575010914507002</v>
      </c>
      <c r="AG4843">
        <v>-1.02816325</v>
      </c>
      <c r="AH4843">
        <v>73.838975851186802</v>
      </c>
      <c r="AI4843">
        <v>90.794535112451698</v>
      </c>
      <c r="AJ4843">
        <v>84.848004107867993</v>
      </c>
      <c r="AK4843">
        <v>74.145625597222306</v>
      </c>
      <c r="AL4843">
        <v>92.931640833652096</v>
      </c>
      <c r="AM4843">
        <v>90.174460365027301</v>
      </c>
      <c r="AN4843">
        <v>0.99999996399526603</v>
      </c>
    </row>
    <row r="4844" spans="1:40" x14ac:dyDescent="0.25">
      <c r="A4844" t="str">
        <f>"20190303153906017"</f>
        <v>20190303153906017</v>
      </c>
      <c r="B4844" t="str">
        <f>"1551598746013155"</f>
        <v>1551598746013155</v>
      </c>
      <c r="C4844" t="s">
        <v>40</v>
      </c>
      <c r="D4844">
        <v>4.2732710000000003</v>
      </c>
      <c r="E4844">
        <v>0.53564449999999997</v>
      </c>
      <c r="F4844" t="s">
        <v>66</v>
      </c>
      <c r="G4844">
        <v>-169.3922</v>
      </c>
      <c r="H4844">
        <v>6.5319059999999998E-2</v>
      </c>
      <c r="I4844">
        <v>209.3837</v>
      </c>
      <c r="J4844">
        <v>-243.00620000000001</v>
      </c>
      <c r="K4844">
        <v>1.121011</v>
      </c>
      <c r="L4844">
        <v>215.68940000000001</v>
      </c>
      <c r="M4844">
        <v>0.99989989999999995</v>
      </c>
      <c r="N4844">
        <v>-1.319916E-2</v>
      </c>
      <c r="O4844">
        <v>5.10444E-3</v>
      </c>
      <c r="P4844">
        <v>0.99787029999999999</v>
      </c>
      <c r="Q4844">
        <v>-6.4749109999999999E-2</v>
      </c>
      <c r="R4844">
        <v>7.9114219999999996E-3</v>
      </c>
      <c r="S4844">
        <v>3.0056150000000001</v>
      </c>
      <c r="T4844">
        <v>-4.2942290000000001E-2</v>
      </c>
      <c r="U4844">
        <v>-0.25645449999999997</v>
      </c>
      <c r="V4844">
        <v>-2.8194180000000002E-3</v>
      </c>
      <c r="W4844">
        <v>-5.157196E-2</v>
      </c>
      <c r="X4844">
        <v>0.99866529999999998</v>
      </c>
      <c r="Y4844">
        <v>9.0083880000000005E-2</v>
      </c>
      <c r="Z4844">
        <v>-1.243554E-3</v>
      </c>
      <c r="AA4844">
        <v>0.99593339999999997</v>
      </c>
      <c r="AB4844">
        <v>27</v>
      </c>
      <c r="AC4844">
        <v>73.613999999999905</v>
      </c>
      <c r="AD4844">
        <v>-1.05569194</v>
      </c>
      <c r="AE4844">
        <v>-6.3056999999999999</v>
      </c>
      <c r="AF4844">
        <v>6.6800449804779296</v>
      </c>
      <c r="AG4844">
        <v>-1.05569194</v>
      </c>
      <c r="AH4844">
        <v>73.565831464282297</v>
      </c>
      <c r="AI4844">
        <v>90.8187871570927</v>
      </c>
      <c r="AJ4844">
        <v>84.811563746281905</v>
      </c>
      <c r="AK4844">
        <v>73.876038371345899</v>
      </c>
      <c r="AL4844">
        <v>92.956167044953503</v>
      </c>
      <c r="AM4844">
        <v>90.161756218930293</v>
      </c>
      <c r="AN4844">
        <v>0.99999999880009505</v>
      </c>
    </row>
    <row r="4845" spans="1:40" x14ac:dyDescent="0.25">
      <c r="A4845" t="str">
        <f>"20190303153906039"</f>
        <v>20190303153906039</v>
      </c>
      <c r="B4845" t="str">
        <f>"1551598746033650"</f>
        <v>1551598746033650</v>
      </c>
      <c r="C4845" t="s">
        <v>40</v>
      </c>
      <c r="D4845">
        <v>4.3200770000000004</v>
      </c>
      <c r="E4845">
        <v>0.535865699999999</v>
      </c>
      <c r="F4845" t="s">
        <v>66</v>
      </c>
      <c r="G4845">
        <v>-169.3922</v>
      </c>
      <c r="H4845">
        <v>2.4456019999999998E-2</v>
      </c>
      <c r="I4845">
        <v>209.34309999999999</v>
      </c>
      <c r="J4845">
        <v>-242.73009999999999</v>
      </c>
      <c r="K4845">
        <v>1.121027</v>
      </c>
      <c r="L4845">
        <v>215.6908</v>
      </c>
      <c r="M4845">
        <v>0.99989890000000003</v>
      </c>
      <c r="N4845">
        <v>-1.327535E-2</v>
      </c>
      <c r="O4845">
        <v>5.1047660000000002E-3</v>
      </c>
      <c r="P4845">
        <v>0.99786140000000001</v>
      </c>
      <c r="Q4845">
        <v>-6.4929619999999993E-2</v>
      </c>
      <c r="R4845">
        <v>7.5438819999999896E-3</v>
      </c>
      <c r="S4845">
        <v>3.0055390000000002</v>
      </c>
      <c r="T4845">
        <v>-4.4769169999999997E-2</v>
      </c>
      <c r="U4845">
        <v>-0.25910949999999999</v>
      </c>
      <c r="V4845">
        <v>-2.451777E-3</v>
      </c>
      <c r="W4845">
        <v>-5.1676510000000002E-2</v>
      </c>
      <c r="X4845">
        <v>0.99866089999999996</v>
      </c>
      <c r="Y4845">
        <v>9.0958300000000006E-2</v>
      </c>
      <c r="Z4845">
        <v>-1.2893609999999999E-3</v>
      </c>
      <c r="AA4845">
        <v>0.99585380000000001</v>
      </c>
      <c r="AB4845">
        <v>27</v>
      </c>
      <c r="AC4845">
        <v>73.337899999999905</v>
      </c>
      <c r="AD4845">
        <v>-1.0965709800000001</v>
      </c>
      <c r="AE4845">
        <v>-6.3476999999999997</v>
      </c>
      <c r="AF4845">
        <v>6.7205317236815798</v>
      </c>
      <c r="AG4845">
        <v>-1.0965709800000001</v>
      </c>
      <c r="AH4845">
        <v>73.288274570367406</v>
      </c>
      <c r="AI4845">
        <v>90.853639330654701</v>
      </c>
      <c r="AJ4845">
        <v>84.760632362000905</v>
      </c>
      <c r="AK4845">
        <v>73.603934705046498</v>
      </c>
      <c r="AL4845">
        <v>92.962165215404099</v>
      </c>
      <c r="AM4845">
        <v>90.140664556082001</v>
      </c>
      <c r="AN4845">
        <v>1.0000000330425201</v>
      </c>
    </row>
    <row r="4846" spans="1:40" x14ac:dyDescent="0.25">
      <c r="A4846" t="str">
        <f>"20190303153906061"</f>
        <v>20190303153906061</v>
      </c>
      <c r="B4846" t="str">
        <f>"1551598746053933"</f>
        <v>1551598746053933</v>
      </c>
      <c r="C4846" t="s">
        <v>40</v>
      </c>
      <c r="D4846">
        <v>4.2987019999999996</v>
      </c>
      <c r="E4846">
        <v>0.53607759999999904</v>
      </c>
      <c r="F4846" t="s">
        <v>66</v>
      </c>
      <c r="G4846">
        <v>-169.3922</v>
      </c>
      <c r="H4846">
        <v>1.3330460000000001E-2</v>
      </c>
      <c r="I4846">
        <v>209.29300000000001</v>
      </c>
      <c r="J4846">
        <v>-242.46129999999999</v>
      </c>
      <c r="K4846">
        <v>1.121041</v>
      </c>
      <c r="L4846">
        <v>215.69220000000001</v>
      </c>
      <c r="M4846">
        <v>0.99989799999999995</v>
      </c>
      <c r="N4846">
        <v>-1.3349389999999999E-2</v>
      </c>
      <c r="O4846">
        <v>5.1049249999999997E-3</v>
      </c>
      <c r="P4846">
        <v>0.99784209999999995</v>
      </c>
      <c r="Q4846">
        <v>-6.5251760000000006E-2</v>
      </c>
      <c r="R4846">
        <v>7.3080690000000004E-3</v>
      </c>
      <c r="S4846">
        <v>3.0054630000000002</v>
      </c>
      <c r="T4846">
        <v>-4.539323E-2</v>
      </c>
      <c r="U4846">
        <v>-0.26219179999999997</v>
      </c>
      <c r="V4846">
        <v>-2.2155539999999998E-3</v>
      </c>
      <c r="W4846">
        <v>-5.1924970000000001E-2</v>
      </c>
      <c r="X4846">
        <v>0.99864850000000005</v>
      </c>
      <c r="Y4846">
        <v>9.1973570000000004E-2</v>
      </c>
      <c r="Z4846">
        <v>-1.3173E-3</v>
      </c>
      <c r="AA4846">
        <v>0.9957606</v>
      </c>
      <c r="AB4846">
        <v>27</v>
      </c>
      <c r="AC4846">
        <v>73.069099999999906</v>
      </c>
      <c r="AD4846">
        <v>-1.10771054</v>
      </c>
      <c r="AE4846">
        <v>-6.3992000000000004</v>
      </c>
      <c r="AF4846">
        <v>6.77061789682746</v>
      </c>
      <c r="AG4846">
        <v>-1.10771054</v>
      </c>
      <c r="AH4846">
        <v>73.018824030161099</v>
      </c>
      <c r="AI4846">
        <v>90.865410283208604</v>
      </c>
      <c r="AJ4846">
        <v>84.702437880450006</v>
      </c>
      <c r="AK4846">
        <v>73.340418270506902</v>
      </c>
      <c r="AL4846">
        <v>92.976420253502894</v>
      </c>
      <c r="AM4846">
        <v>90.127113479082595</v>
      </c>
      <c r="AN4846">
        <v>0.99999996887063802</v>
      </c>
    </row>
    <row r="4847" spans="1:40" x14ac:dyDescent="0.25">
      <c r="A4847" t="str">
        <f>"20190303153906083"</f>
        <v>20190303153906083</v>
      </c>
      <c r="B4847" t="str">
        <f>"1551598746073452"</f>
        <v>1551598746073452</v>
      </c>
      <c r="C4847" t="s">
        <v>40</v>
      </c>
      <c r="D4847">
        <v>4.3026710000000001</v>
      </c>
      <c r="E4847">
        <v>0.53625069999999997</v>
      </c>
      <c r="F4847" t="s">
        <v>51</v>
      </c>
      <c r="G4847">
        <v>-175.52170000000001</v>
      </c>
      <c r="H4847">
        <v>7.9981689999999994E-2</v>
      </c>
      <c r="I4847">
        <v>209.80369999999999</v>
      </c>
      <c r="J4847">
        <v>-242.19919999999999</v>
      </c>
      <c r="K4847">
        <v>1.121059</v>
      </c>
      <c r="L4847">
        <v>215.6936</v>
      </c>
      <c r="M4847">
        <v>0.99989689999999998</v>
      </c>
      <c r="N4847">
        <v>-1.341995E-2</v>
      </c>
      <c r="O4847">
        <v>5.1051050000000004E-3</v>
      </c>
      <c r="P4847">
        <v>0.99781039999999999</v>
      </c>
      <c r="Q4847">
        <v>-6.5723610000000002E-2</v>
      </c>
      <c r="R4847">
        <v>7.4068190000000002E-3</v>
      </c>
      <c r="S4847">
        <v>3.0053559999999999</v>
      </c>
      <c r="T4847">
        <v>-4.6739940000000001E-2</v>
      </c>
      <c r="U4847">
        <v>-0.26437379999999999</v>
      </c>
      <c r="V4847">
        <v>-2.3145539999999999E-3</v>
      </c>
      <c r="W4847">
        <v>-5.232672E-2</v>
      </c>
      <c r="X4847">
        <v>0.99862740000000005</v>
      </c>
      <c r="Y4847">
        <v>9.2693129999999999E-2</v>
      </c>
      <c r="Z4847">
        <v>-1.353489E-3</v>
      </c>
      <c r="AA4847">
        <v>0.99569379999999996</v>
      </c>
      <c r="AB4847">
        <v>27</v>
      </c>
      <c r="AC4847">
        <v>66.677499999999895</v>
      </c>
      <c r="AD4847">
        <v>-1.0410773099999999</v>
      </c>
      <c r="AE4847">
        <v>-5.8899000000000097</v>
      </c>
      <c r="AF4847">
        <v>6.2287428156067204</v>
      </c>
      <c r="AG4847">
        <v>-1.0410773099999999</v>
      </c>
      <c r="AH4847">
        <v>66.630441943223303</v>
      </c>
      <c r="AI4847">
        <v>90.891268401802805</v>
      </c>
      <c r="AJ4847">
        <v>84.659400366835001</v>
      </c>
      <c r="AK4847">
        <v>66.929043565388099</v>
      </c>
      <c r="AL4847">
        <v>92.999469885780996</v>
      </c>
      <c r="AM4847">
        <v>90.132796214276297</v>
      </c>
      <c r="AN4847">
        <v>1.00000006340846</v>
      </c>
    </row>
    <row r="4848" spans="1:40" x14ac:dyDescent="0.25">
      <c r="A4848" t="str">
        <f>"20190303153906102"</f>
        <v>20190303153906102</v>
      </c>
      <c r="B4848" t="str">
        <f>"1551598746093949"</f>
        <v>1551598746093949</v>
      </c>
      <c r="C4848" t="s">
        <v>40</v>
      </c>
      <c r="D4848">
        <v>4.2980869999999998</v>
      </c>
      <c r="E4848">
        <v>0.53656289999999995</v>
      </c>
      <c r="F4848" t="s">
        <v>51</v>
      </c>
      <c r="G4848">
        <v>-177.16309999999999</v>
      </c>
      <c r="H4848">
        <v>7.9981629999999998E-2</v>
      </c>
      <c r="I4848">
        <v>209.9511</v>
      </c>
      <c r="J4848">
        <v>-241.9641</v>
      </c>
      <c r="K4848">
        <v>1.121068</v>
      </c>
      <c r="L4848">
        <v>215.69479999999999</v>
      </c>
      <c r="M4848">
        <v>0.99989620000000001</v>
      </c>
      <c r="N4848">
        <v>-1.347976E-2</v>
      </c>
      <c r="O4848">
        <v>5.105236E-3</v>
      </c>
      <c r="P4848">
        <v>0.99781010000000003</v>
      </c>
      <c r="Q4848">
        <v>-6.5739480000000003E-2</v>
      </c>
      <c r="R4848">
        <v>7.3267509999999899E-3</v>
      </c>
      <c r="S4848">
        <v>3.0054020000000001</v>
      </c>
      <c r="T4848">
        <v>-4.8109529999999998E-2</v>
      </c>
      <c r="U4848">
        <v>-0.26536559999999998</v>
      </c>
      <c r="V4848">
        <v>-2.234083E-3</v>
      </c>
      <c r="W4848">
        <v>-5.228286E-2</v>
      </c>
      <c r="X4848">
        <v>0.99862980000000001</v>
      </c>
      <c r="Y4848">
        <v>9.3016920000000003E-2</v>
      </c>
      <c r="Z4848">
        <v>-1.3841229999999999E-3</v>
      </c>
      <c r="AA4848">
        <v>0.99566359999999998</v>
      </c>
      <c r="AB4848">
        <v>27</v>
      </c>
      <c r="AC4848">
        <v>64.801000000000002</v>
      </c>
      <c r="AD4848">
        <v>-1.0410863699999999</v>
      </c>
      <c r="AE4848">
        <v>-5.7436999999999898</v>
      </c>
      <c r="AF4848">
        <v>6.0729242816523401</v>
      </c>
      <c r="AG4848">
        <v>-1.0410863699999999</v>
      </c>
      <c r="AH4848">
        <v>64.754246132198602</v>
      </c>
      <c r="AI4848">
        <v>90.917070006304002</v>
      </c>
      <c r="AJ4848">
        <v>84.642233299187595</v>
      </c>
      <c r="AK4848">
        <v>65.046726760920393</v>
      </c>
      <c r="AL4848">
        <v>92.996953689633699</v>
      </c>
      <c r="AM4848">
        <v>90.128178944226505</v>
      </c>
      <c r="AN4848">
        <v>0.99999998301233495</v>
      </c>
    </row>
    <row r="4849" spans="1:40" x14ac:dyDescent="0.25">
      <c r="A4849" t="str">
        <f>"20190303153906118"</f>
        <v>20190303153906118</v>
      </c>
      <c r="B4849" t="str">
        <f>"1551598746113470"</f>
        <v>1551598746113470</v>
      </c>
      <c r="C4849" t="s">
        <v>40</v>
      </c>
      <c r="D4849">
        <v>4.2945229999999999</v>
      </c>
      <c r="E4849">
        <v>0.53690930000000003</v>
      </c>
      <c r="F4849" t="s">
        <v>51</v>
      </c>
      <c r="G4849">
        <v>-176.21340000000001</v>
      </c>
      <c r="H4849">
        <v>7.9981659999999996E-2</v>
      </c>
      <c r="I4849">
        <v>209.83080000000001</v>
      </c>
      <c r="J4849">
        <v>-241.78809999999999</v>
      </c>
      <c r="K4849">
        <v>1.121075</v>
      </c>
      <c r="L4849">
        <v>215.69569999999999</v>
      </c>
      <c r="M4849">
        <v>0.9998956</v>
      </c>
      <c r="N4849">
        <v>-1.352164E-2</v>
      </c>
      <c r="O4849">
        <v>5.1053080000000002E-3</v>
      </c>
      <c r="P4849">
        <v>0.99785109999999999</v>
      </c>
      <c r="Q4849">
        <v>-6.5110639999999997E-2</v>
      </c>
      <c r="R4849">
        <v>7.3670990000000002E-3</v>
      </c>
      <c r="S4849">
        <v>3.005417</v>
      </c>
      <c r="T4849">
        <v>-4.7587280000000003E-2</v>
      </c>
      <c r="U4849">
        <v>-0.26803589999999999</v>
      </c>
      <c r="V4849">
        <v>-2.2741630000000001E-3</v>
      </c>
      <c r="W4849">
        <v>-5.161168E-2</v>
      </c>
      <c r="X4849">
        <v>0.99866460000000001</v>
      </c>
      <c r="Y4849">
        <v>9.3894400000000003E-2</v>
      </c>
      <c r="Z4849">
        <v>-1.38978E-3</v>
      </c>
      <c r="AA4849">
        <v>0.99558120000000006</v>
      </c>
      <c r="AB4849">
        <v>27</v>
      </c>
      <c r="AC4849">
        <v>65.574699999999893</v>
      </c>
      <c r="AD4849">
        <v>-1.04109334</v>
      </c>
      <c r="AE4849">
        <v>-5.8648999999999702</v>
      </c>
      <c r="AF4849">
        <v>6.1980832837498401</v>
      </c>
      <c r="AG4849">
        <v>-1.04109334</v>
      </c>
      <c r="AH4849">
        <v>65.527514509993097</v>
      </c>
      <c r="AI4849">
        <v>90.9061878998873</v>
      </c>
      <c r="AJ4849">
        <v>84.596611954221004</v>
      </c>
      <c r="AK4849">
        <v>65.828225478074799</v>
      </c>
      <c r="AL4849">
        <v>92.958445982097203</v>
      </c>
      <c r="AM4849">
        <v>90.130473951509998</v>
      </c>
      <c r="AN4849">
        <v>0.99999996031146499</v>
      </c>
    </row>
    <row r="4850" spans="1:40" x14ac:dyDescent="0.25">
      <c r="A4850" t="str">
        <f>"20190303153906139"</f>
        <v>20190303153906139</v>
      </c>
      <c r="B4850" t="str">
        <f>"1551598746133966"</f>
        <v>1551598746133966</v>
      </c>
      <c r="C4850" t="s">
        <v>40</v>
      </c>
      <c r="D4850">
        <v>4.2769019999999998</v>
      </c>
      <c r="E4850">
        <v>0.53724769999999999</v>
      </c>
      <c r="F4850" t="s">
        <v>66</v>
      </c>
      <c r="G4850">
        <v>-169.39230000000001</v>
      </c>
      <c r="H4850">
        <v>3.281593E-2</v>
      </c>
      <c r="I4850">
        <v>209.17169999999999</v>
      </c>
      <c r="J4850">
        <v>-241.5198</v>
      </c>
      <c r="K4850">
        <v>1.1210819999999999</v>
      </c>
      <c r="L4850">
        <v>215.697</v>
      </c>
      <c r="M4850">
        <v>0.99989470000000003</v>
      </c>
      <c r="N4850">
        <v>-1.3580500000000001E-2</v>
      </c>
      <c r="O4850">
        <v>5.1055620000000001E-3</v>
      </c>
      <c r="P4850">
        <v>0.99789269999999997</v>
      </c>
      <c r="Q4850">
        <v>-6.4474020000000007E-2</v>
      </c>
      <c r="R4850">
        <v>7.3066800000000003E-3</v>
      </c>
      <c r="S4850">
        <v>3.0055239999999999</v>
      </c>
      <c r="T4850">
        <v>-4.517782E-2</v>
      </c>
      <c r="U4850">
        <v>-0.27084350000000001</v>
      </c>
      <c r="V4850">
        <v>-2.2132879999999999E-3</v>
      </c>
      <c r="W4850">
        <v>-5.0915769999999999E-2</v>
      </c>
      <c r="X4850">
        <v>0.99870049999999999</v>
      </c>
      <c r="Y4850">
        <v>9.4815529999999995E-2</v>
      </c>
      <c r="Z4850">
        <v>-1.3637499999999999E-3</v>
      </c>
      <c r="AA4850">
        <v>0.99549390000000004</v>
      </c>
      <c r="AB4850">
        <v>27</v>
      </c>
      <c r="AC4850">
        <v>72.127499999999998</v>
      </c>
      <c r="AD4850">
        <v>-1.08826607</v>
      </c>
      <c r="AE4850">
        <v>-6.5253000000000103</v>
      </c>
      <c r="AF4850">
        <v>6.89194412337591</v>
      </c>
      <c r="AG4850">
        <v>-1.08826607</v>
      </c>
      <c r="AH4850">
        <v>72.076966213133105</v>
      </c>
      <c r="AI4850">
        <v>90.8610971641654</v>
      </c>
      <c r="AJ4850">
        <v>84.538027537267695</v>
      </c>
      <c r="AK4850">
        <v>72.4138955955829</v>
      </c>
      <c r="AL4850">
        <v>92.918520657872904</v>
      </c>
      <c r="AM4850">
        <v>90.126976860068893</v>
      </c>
      <c r="AN4850">
        <v>1.00000000148935</v>
      </c>
    </row>
    <row r="4851" spans="1:40" x14ac:dyDescent="0.25">
      <c r="A4851" t="str">
        <f>"20190303153906161"</f>
        <v>20190303153906161</v>
      </c>
      <c r="B4851" t="str">
        <f>"1551598746153015"</f>
        <v>1551598746153015</v>
      </c>
      <c r="C4851" t="s">
        <v>40</v>
      </c>
      <c r="D4851">
        <v>4.2875420000000002</v>
      </c>
      <c r="E4851">
        <v>0.53760419999999998</v>
      </c>
      <c r="F4851" t="s">
        <v>66</v>
      </c>
      <c r="G4851">
        <v>-169.39230000000001</v>
      </c>
      <c r="H4851">
        <v>9.9895479999999995E-2</v>
      </c>
      <c r="I4851">
        <v>209.1344</v>
      </c>
      <c r="J4851">
        <v>-241.2527</v>
      </c>
      <c r="K4851">
        <v>1.1210899999999999</v>
      </c>
      <c r="L4851">
        <v>215.69839999999999</v>
      </c>
      <c r="M4851">
        <v>0.99989399999999995</v>
      </c>
      <c r="N4851">
        <v>-1.3632969999999999E-2</v>
      </c>
      <c r="O4851">
        <v>5.1056790000000001E-3</v>
      </c>
      <c r="P4851">
        <v>0.99792809999999998</v>
      </c>
      <c r="Q4851">
        <v>-6.3886520000000002E-2</v>
      </c>
      <c r="R4851">
        <v>7.62356699999999E-3</v>
      </c>
      <c r="S4851">
        <v>3.005585</v>
      </c>
      <c r="T4851">
        <v>-4.255188E-2</v>
      </c>
      <c r="U4851">
        <v>-0.27346799999999999</v>
      </c>
      <c r="V4851">
        <v>-2.5300549999999998E-3</v>
      </c>
      <c r="W4851">
        <v>-5.0275430000000003E-2</v>
      </c>
      <c r="X4851">
        <v>0.99873219999999996</v>
      </c>
      <c r="Y4851">
        <v>9.567755E-2</v>
      </c>
      <c r="Z4851">
        <v>-1.33215E-3</v>
      </c>
      <c r="AA4851">
        <v>0.9954115</v>
      </c>
      <c r="AB4851">
        <v>27</v>
      </c>
      <c r="AC4851">
        <v>71.860399999999998</v>
      </c>
      <c r="AD4851">
        <v>-1.0211945200000001</v>
      </c>
      <c r="AE4851">
        <v>-6.5639999999999903</v>
      </c>
      <c r="AF4851">
        <v>6.9294568707349402</v>
      </c>
      <c r="AG4851">
        <v>-1.0211945200000001</v>
      </c>
      <c r="AH4851">
        <v>71.811564260505406</v>
      </c>
      <c r="AI4851">
        <v>90.810952009765103</v>
      </c>
      <c r="AJ4851">
        <v>84.488308479844207</v>
      </c>
      <c r="AK4851">
        <v>72.152345577339005</v>
      </c>
      <c r="AL4851">
        <v>92.881784792257605</v>
      </c>
      <c r="AM4851">
        <v>90.145145178400398</v>
      </c>
      <c r="AN4851">
        <v>1.00000001367841</v>
      </c>
    </row>
    <row r="4852" spans="1:40" x14ac:dyDescent="0.25">
      <c r="A4852" t="str">
        <f>"20190303153906183"</f>
        <v>20190303153906183</v>
      </c>
      <c r="B4852" t="str">
        <f>"1551598746173510"</f>
        <v>1551598746173510</v>
      </c>
      <c r="C4852" t="s">
        <v>40</v>
      </c>
      <c r="D4852">
        <v>4.3118949999999998</v>
      </c>
      <c r="E4852">
        <v>0.53785939999999999</v>
      </c>
      <c r="F4852" t="s">
        <v>66</v>
      </c>
      <c r="G4852">
        <v>-169.39230000000001</v>
      </c>
      <c r="H4852">
        <v>0.1615829</v>
      </c>
      <c r="I4852">
        <v>209.11449999999999</v>
      </c>
      <c r="J4852">
        <v>-240.99350000000001</v>
      </c>
      <c r="K4852">
        <v>1.121089</v>
      </c>
      <c r="L4852">
        <v>215.69970000000001</v>
      </c>
      <c r="M4852">
        <v>0.99989349999999999</v>
      </c>
      <c r="N4852">
        <v>-1.3678279999999999E-2</v>
      </c>
      <c r="O4852">
        <v>5.1059039999999997E-3</v>
      </c>
      <c r="P4852">
        <v>0.99795619999999996</v>
      </c>
      <c r="Q4852">
        <v>-6.3361769999999998E-2</v>
      </c>
      <c r="R4852">
        <v>8.3029219999999904E-3</v>
      </c>
      <c r="S4852">
        <v>3.0057680000000002</v>
      </c>
      <c r="T4852">
        <v>-4.0132760000000003E-2</v>
      </c>
      <c r="U4852">
        <v>-0.27539059999999999</v>
      </c>
      <c r="V4852">
        <v>-3.2087779999999998E-3</v>
      </c>
      <c r="W4852">
        <v>-4.9704999999999999E-2</v>
      </c>
      <c r="X4852">
        <v>0.99875879999999995</v>
      </c>
      <c r="Y4852">
        <v>9.6305160000000001E-2</v>
      </c>
      <c r="Z4852">
        <v>-1.3000069999999999E-3</v>
      </c>
      <c r="AA4852">
        <v>0.99535099999999999</v>
      </c>
      <c r="AB4852">
        <v>27</v>
      </c>
      <c r="AC4852">
        <v>71.601200000000006</v>
      </c>
      <c r="AD4852">
        <v>-0.95950609999999903</v>
      </c>
      <c r="AE4852">
        <v>-6.5852000000000102</v>
      </c>
      <c r="AF4852">
        <v>6.9494996557281699</v>
      </c>
      <c r="AG4852">
        <v>-0.95950609999999903</v>
      </c>
      <c r="AH4852">
        <v>71.553898166450296</v>
      </c>
      <c r="AI4852">
        <v>90.764667412798701</v>
      </c>
      <c r="AJ4852">
        <v>84.452684279863703</v>
      </c>
      <c r="AK4852">
        <v>71.896985612998094</v>
      </c>
      <c r="AL4852">
        <v>92.849060650986004</v>
      </c>
      <c r="AM4852">
        <v>90.184077280963194</v>
      </c>
      <c r="AN4852">
        <v>1.00000001192934</v>
      </c>
    </row>
    <row r="4853" spans="1:40" x14ac:dyDescent="0.25">
      <c r="A4853" t="str">
        <f>"20190303153906206"</f>
        <v>20190303153906206</v>
      </c>
      <c r="B4853" t="str">
        <f>"1551598746203767"</f>
        <v>1551598746203767</v>
      </c>
      <c r="C4853" t="s">
        <v>40</v>
      </c>
      <c r="D4853">
        <v>4.307728</v>
      </c>
      <c r="E4853">
        <v>0.5164723</v>
      </c>
      <c r="F4853" t="s">
        <v>66</v>
      </c>
      <c r="G4853">
        <v>-169.39230000000001</v>
      </c>
      <c r="H4853">
        <v>0.20029259999999999</v>
      </c>
      <c r="I4853">
        <v>209.14150000000001</v>
      </c>
      <c r="J4853">
        <v>-240.7243</v>
      </c>
      <c r="K4853">
        <v>1.1210880000000001</v>
      </c>
      <c r="L4853">
        <v>215.7011</v>
      </c>
      <c r="M4853">
        <v>0.99989300000000003</v>
      </c>
      <c r="N4853">
        <v>-1.3719749999999999E-2</v>
      </c>
      <c r="O4853">
        <v>5.1059169999999997E-3</v>
      </c>
      <c r="P4853">
        <v>0.99794609999999995</v>
      </c>
      <c r="Q4853">
        <v>-6.3468960000000005E-2</v>
      </c>
      <c r="R4853">
        <v>8.7057669999999997E-3</v>
      </c>
      <c r="S4853">
        <v>3.0059809999999998</v>
      </c>
      <c r="T4853">
        <v>-3.8655639999999998E-2</v>
      </c>
      <c r="U4853">
        <v>-0.27532960000000001</v>
      </c>
      <c r="V4853">
        <v>-3.6116690000000001E-3</v>
      </c>
      <c r="W4853">
        <v>-4.9770849999999998E-2</v>
      </c>
      <c r="X4853">
        <v>0.99875409999999998</v>
      </c>
      <c r="Y4853">
        <v>9.627964E-2</v>
      </c>
      <c r="Z4853">
        <v>-1.275291E-3</v>
      </c>
      <c r="AA4853">
        <v>0.9953535</v>
      </c>
      <c r="AB4853">
        <v>27</v>
      </c>
      <c r="AC4853">
        <v>71.331999999999994</v>
      </c>
      <c r="AD4853">
        <v>-0.92079539999999904</v>
      </c>
      <c r="AE4853">
        <v>-6.5595999999999801</v>
      </c>
      <c r="AF4853">
        <v>6.9226201206385802</v>
      </c>
      <c r="AG4853">
        <v>-0.92079539999999904</v>
      </c>
      <c r="AH4853">
        <v>71.285795209735099</v>
      </c>
      <c r="AI4853">
        <v>90.736581209734197</v>
      </c>
      <c r="AJ4853">
        <v>84.453353662944707</v>
      </c>
      <c r="AK4853">
        <v>71.627055867092693</v>
      </c>
      <c r="AL4853">
        <v>92.852838381930994</v>
      </c>
      <c r="AM4853">
        <v>90.2071906275049</v>
      </c>
      <c r="AN4853">
        <v>0.99999996696474802</v>
      </c>
    </row>
    <row r="4854" spans="1:40" x14ac:dyDescent="0.25">
      <c r="A4854" t="str">
        <f>"20190303153906229"</f>
        <v>20190303153906229</v>
      </c>
      <c r="B4854" t="str">
        <f>"1551598746223287"</f>
        <v>1551598746223287</v>
      </c>
      <c r="C4854" t="s">
        <v>40</v>
      </c>
      <c r="D4854">
        <v>4.3407839999999904</v>
      </c>
      <c r="E4854">
        <v>0.51482529999999904</v>
      </c>
      <c r="F4854" t="s">
        <v>55</v>
      </c>
      <c r="G4854">
        <v>-226.9556</v>
      </c>
      <c r="H4854" s="1">
        <v>2.138511E-6</v>
      </c>
      <c r="I4854">
        <v>215.21440000000001</v>
      </c>
      <c r="J4854">
        <v>-240.4513</v>
      </c>
      <c r="K4854">
        <v>1.1210910000000001</v>
      </c>
      <c r="L4854">
        <v>215.70249999999999</v>
      </c>
      <c r="M4854">
        <v>0.99989240000000001</v>
      </c>
      <c r="N4854">
        <v>-1.375614E-2</v>
      </c>
      <c r="O4854">
        <v>5.1062019999999998E-3</v>
      </c>
      <c r="P4854">
        <v>0.99791149999999995</v>
      </c>
      <c r="Q4854">
        <v>-6.3918489999999994E-2</v>
      </c>
      <c r="R4854">
        <v>9.3429499999999992E-3</v>
      </c>
      <c r="S4854">
        <v>2.9916079999999998</v>
      </c>
      <c r="T4854">
        <v>-0.24358589999999999</v>
      </c>
      <c r="U4854">
        <v>-0.1057587</v>
      </c>
      <c r="V4854">
        <v>-4.2487940000000002E-3</v>
      </c>
      <c r="W4854">
        <v>-5.0184390000000002E-2</v>
      </c>
      <c r="X4854">
        <v>0.99873100000000004</v>
      </c>
      <c r="Y4854">
        <v>4.0265420000000003E-2</v>
      </c>
      <c r="Z4854">
        <v>-2.258464E-3</v>
      </c>
      <c r="AA4854">
        <v>0.99918649999999998</v>
      </c>
      <c r="AB4854">
        <v>27</v>
      </c>
      <c r="AC4854">
        <v>13.495699999999999</v>
      </c>
      <c r="AD4854">
        <v>-1.121088861489</v>
      </c>
      <c r="AE4854">
        <v>-0.488099999999974</v>
      </c>
      <c r="AF4854">
        <v>0.55319948049881396</v>
      </c>
      <c r="AG4854">
        <v>-1.121088861489</v>
      </c>
      <c r="AH4854">
        <v>13.4006790216298</v>
      </c>
      <c r="AI4854">
        <v>94.778127266438503</v>
      </c>
      <c r="AJ4854">
        <v>87.636089275722497</v>
      </c>
      <c r="AK4854">
        <v>13.458865782127701</v>
      </c>
      <c r="AL4854">
        <v>92.876561835890897</v>
      </c>
      <c r="AM4854">
        <v>90.243745809075506</v>
      </c>
      <c r="AN4854">
        <v>1.0000000678055601</v>
      </c>
    </row>
    <row r="4855" spans="1:40" x14ac:dyDescent="0.25">
      <c r="A4855" t="str">
        <f>"20190303153906251"</f>
        <v>20190303153906251</v>
      </c>
      <c r="B4855" t="str">
        <f>"1551598746243786"</f>
        <v>1551598746243786</v>
      </c>
      <c r="C4855" t="s">
        <v>40</v>
      </c>
      <c r="D4855">
        <v>4.3512740000000001</v>
      </c>
      <c r="E4855">
        <v>0.51491009999999904</v>
      </c>
      <c r="F4855" t="s">
        <v>55</v>
      </c>
      <c r="G4855">
        <v>-227.40639999999999</v>
      </c>
      <c r="H4855" s="1">
        <v>2.3743860000000001E-6</v>
      </c>
      <c r="I4855">
        <v>215.3058</v>
      </c>
      <c r="J4855">
        <v>-240.18819999999999</v>
      </c>
      <c r="K4855">
        <v>1.1210960000000001</v>
      </c>
      <c r="L4855">
        <v>215.7038</v>
      </c>
      <c r="M4855">
        <v>0.999892</v>
      </c>
      <c r="N4855">
        <v>-1.3786049999999999E-2</v>
      </c>
      <c r="O4855">
        <v>5.1061730000000003E-3</v>
      </c>
      <c r="P4855">
        <v>0.99791620000000003</v>
      </c>
      <c r="Q4855">
        <v>-6.3831719999999995E-2</v>
      </c>
      <c r="R4855">
        <v>9.4441160000000007E-3</v>
      </c>
      <c r="S4855">
        <v>2.9906619999999999</v>
      </c>
      <c r="T4855">
        <v>-0.25702039999999998</v>
      </c>
      <c r="U4855">
        <v>-9.0942380000000003E-2</v>
      </c>
      <c r="V4855">
        <v>-4.3497800000000001E-3</v>
      </c>
      <c r="W4855">
        <v>-5.0067670000000002E-2</v>
      </c>
      <c r="X4855">
        <v>0.99873639999999997</v>
      </c>
      <c r="Y4855">
        <v>3.5334280000000003E-2</v>
      </c>
      <c r="Z4855">
        <v>-2.126995E-3</v>
      </c>
      <c r="AA4855">
        <v>0.99937330000000002</v>
      </c>
      <c r="AB4855">
        <v>27</v>
      </c>
      <c r="AC4855">
        <v>12.7818</v>
      </c>
      <c r="AD4855">
        <v>-1.1210936256139901</v>
      </c>
      <c r="AE4855">
        <v>-0.39799999999999602</v>
      </c>
      <c r="AF4855">
        <v>0.45973375242428699</v>
      </c>
      <c r="AG4855">
        <v>-1.1210936256139901</v>
      </c>
      <c r="AH4855">
        <v>12.6821308611188</v>
      </c>
      <c r="AI4855">
        <v>95.048485892775005</v>
      </c>
      <c r="AJ4855">
        <v>87.923907666361799</v>
      </c>
      <c r="AK4855">
        <v>12.7398841917441</v>
      </c>
      <c r="AL4855">
        <v>92.869865922597498</v>
      </c>
      <c r="AM4855">
        <v>90.249537775960604</v>
      </c>
      <c r="AN4855">
        <v>1.00000004442511</v>
      </c>
    </row>
    <row r="4856" spans="1:40" x14ac:dyDescent="0.25">
      <c r="A4856" t="str">
        <f>"20190303153906273"</f>
        <v>20190303153906273</v>
      </c>
      <c r="B4856" t="str">
        <f>"1551598746263303"</f>
        <v>1551598746263303</v>
      </c>
      <c r="C4856" t="s">
        <v>40</v>
      </c>
      <c r="D4856">
        <v>4.3740480000000002</v>
      </c>
      <c r="E4856">
        <v>0.51503199999999905</v>
      </c>
      <c r="F4856" t="s">
        <v>44</v>
      </c>
      <c r="G4856">
        <v>-239.24279999999999</v>
      </c>
      <c r="H4856">
        <v>1.03853</v>
      </c>
      <c r="I4856">
        <v>215.6747</v>
      </c>
      <c r="J4856">
        <v>-239.92570000000001</v>
      </c>
      <c r="K4856">
        <v>1.1210910000000001</v>
      </c>
      <c r="L4856">
        <v>215.70519999999999</v>
      </c>
      <c r="M4856">
        <v>0.99989159999999999</v>
      </c>
      <c r="N4856">
        <v>-1.381192E-2</v>
      </c>
      <c r="O4856">
        <v>5.1062909999999998E-3</v>
      </c>
      <c r="P4856">
        <v>0.99793960000000004</v>
      </c>
      <c r="Q4856">
        <v>-6.3386890000000001E-2</v>
      </c>
      <c r="R4856">
        <v>9.9233050000000003E-3</v>
      </c>
      <c r="S4856">
        <v>2.9904329999999999</v>
      </c>
      <c r="T4856">
        <v>-0.26134299999999999</v>
      </c>
      <c r="U4856">
        <v>-9.1278079999999998E-2</v>
      </c>
      <c r="V4856">
        <v>-4.8289839999999997E-3</v>
      </c>
      <c r="W4856">
        <v>-4.9596679999999997E-2</v>
      </c>
      <c r="X4856">
        <v>0.99875769999999997</v>
      </c>
      <c r="Y4856">
        <v>3.5442969999999997E-2</v>
      </c>
      <c r="Z4856">
        <v>-2.1657149999999999E-3</v>
      </c>
      <c r="AA4856">
        <v>0.99936939999999996</v>
      </c>
      <c r="AB4856">
        <v>27</v>
      </c>
      <c r="AC4856">
        <v>0.68290000000001705</v>
      </c>
      <c r="AD4856">
        <v>-8.2561000000000107E-2</v>
      </c>
      <c r="AE4856">
        <v>-3.04999999999893E-2</v>
      </c>
      <c r="AF4856">
        <v>3.3498375405949403E-2</v>
      </c>
      <c r="AG4856">
        <v>-8.2561000000000107E-2</v>
      </c>
      <c r="AH4856">
        <v>0.672919367808132</v>
      </c>
      <c r="AI4856">
        <v>96.986141088351701</v>
      </c>
      <c r="AJ4856">
        <v>87.150130389929501</v>
      </c>
      <c r="AK4856">
        <v>0.67879226236539703</v>
      </c>
      <c r="AL4856">
        <v>92.842846609720695</v>
      </c>
      <c r="AM4856">
        <v>90.277022391485104</v>
      </c>
      <c r="AN4856">
        <v>1.0000000465313901</v>
      </c>
    </row>
    <row r="4857" spans="1:40" x14ac:dyDescent="0.25">
      <c r="A4857" t="str">
        <f>"20190303153906295"</f>
        <v>20190303153906295</v>
      </c>
      <c r="B4857" t="str">
        <f>"1551598746283799"</f>
        <v>1551598746283799</v>
      </c>
      <c r="C4857" t="s">
        <v>40</v>
      </c>
      <c r="D4857">
        <v>4.3299839999999996</v>
      </c>
      <c r="E4857">
        <v>0.51557359999999997</v>
      </c>
      <c r="F4857" t="s">
        <v>44</v>
      </c>
      <c r="G4857">
        <v>-239.0033</v>
      </c>
      <c r="H4857">
        <v>1.0407150000000001</v>
      </c>
      <c r="I4857">
        <v>215.67699999999999</v>
      </c>
      <c r="J4857">
        <v>-239.65809999999999</v>
      </c>
      <c r="K4857">
        <v>1.121092</v>
      </c>
      <c r="L4857">
        <v>215.70660000000001</v>
      </c>
      <c r="M4857">
        <v>0.99989130000000004</v>
      </c>
      <c r="N4857">
        <v>-1.3834620000000001E-2</v>
      </c>
      <c r="O4857">
        <v>5.106312E-3</v>
      </c>
      <c r="P4857">
        <v>0.99794039999999995</v>
      </c>
      <c r="Q4857">
        <v>-6.3401089999999993E-2</v>
      </c>
      <c r="R4857">
        <v>9.764956E-3</v>
      </c>
      <c r="S4857">
        <v>2.9905240000000002</v>
      </c>
      <c r="T4857">
        <v>-0.2606831</v>
      </c>
      <c r="U4857">
        <v>-9.0972899999999995E-2</v>
      </c>
      <c r="V4857">
        <v>-4.6703959999999899E-3</v>
      </c>
      <c r="W4857">
        <v>-4.9588189999999997E-2</v>
      </c>
      <c r="X4857">
        <v>0.99875890000000001</v>
      </c>
      <c r="Y4857">
        <v>3.5341419999999998E-2</v>
      </c>
      <c r="Z4857">
        <v>-2.1558139999999998E-3</v>
      </c>
      <c r="AA4857">
        <v>0.99937299999999996</v>
      </c>
      <c r="AB4857">
        <v>27</v>
      </c>
      <c r="AC4857">
        <v>0.65479999999999405</v>
      </c>
      <c r="AD4857">
        <v>-8.0376999999999907E-2</v>
      </c>
      <c r="AE4857">
        <v>-2.9599999999987799E-2</v>
      </c>
      <c r="AF4857">
        <v>3.2455515125631898E-2</v>
      </c>
      <c r="AG4857">
        <v>-8.0376999999999907E-2</v>
      </c>
      <c r="AH4857">
        <v>0.64494233614824503</v>
      </c>
      <c r="AI4857">
        <v>97.095066376670999</v>
      </c>
      <c r="AJ4857">
        <v>87.119127424725306</v>
      </c>
      <c r="AK4857">
        <v>0.65074145368758096</v>
      </c>
      <c r="AL4857">
        <v>92.842359500374101</v>
      </c>
      <c r="AM4857">
        <v>90.267924550160998</v>
      </c>
      <c r="AN4857">
        <v>1.0000000707577299</v>
      </c>
    </row>
    <row r="4858" spans="1:40" x14ac:dyDescent="0.25">
      <c r="A4858" t="str">
        <f>"20190303153906319"</f>
        <v>20190303153906319</v>
      </c>
      <c r="B4858" t="str">
        <f>"1551598746313079"</f>
        <v>1551598746313079</v>
      </c>
      <c r="C4858" t="s">
        <v>40</v>
      </c>
      <c r="D4858">
        <v>4.3273630000000001</v>
      </c>
      <c r="E4858">
        <v>0.51599729999999999</v>
      </c>
      <c r="F4858" t="s">
        <v>44</v>
      </c>
      <c r="G4858">
        <v>-238.7629</v>
      </c>
      <c r="H4858">
        <v>1.043676</v>
      </c>
      <c r="I4858">
        <v>215.67760000000001</v>
      </c>
      <c r="J4858">
        <v>-239.37790000000001</v>
      </c>
      <c r="K4858">
        <v>1.121089</v>
      </c>
      <c r="L4858">
        <v>215.708</v>
      </c>
      <c r="M4858">
        <v>0.99989099999999997</v>
      </c>
      <c r="N4858">
        <v>-1.38548E-2</v>
      </c>
      <c r="O4858">
        <v>5.10635E-3</v>
      </c>
      <c r="P4858">
        <v>0.99790570000000001</v>
      </c>
      <c r="Q4858">
        <v>-6.3963980000000004E-2</v>
      </c>
      <c r="R4858">
        <v>9.6265499999999993E-3</v>
      </c>
      <c r="S4858">
        <v>2.9906619999999999</v>
      </c>
      <c r="T4858">
        <v>-0.25882690000000003</v>
      </c>
      <c r="U4858">
        <v>-9.5733639999999995E-2</v>
      </c>
      <c r="V4858">
        <v>-4.5321629999999996E-3</v>
      </c>
      <c r="W4858">
        <v>-5.01314E-2</v>
      </c>
      <c r="X4858">
        <v>0.99873230000000002</v>
      </c>
      <c r="Y4858">
        <v>3.6924749999999999E-2</v>
      </c>
      <c r="Z4858">
        <v>-2.2212429999999999E-3</v>
      </c>
      <c r="AA4858">
        <v>0.99931559999999997</v>
      </c>
      <c r="AB4858">
        <v>27</v>
      </c>
      <c r="AC4858">
        <v>0.61500000000000898</v>
      </c>
      <c r="AD4858">
        <v>-7.7412999999999899E-2</v>
      </c>
      <c r="AE4858">
        <v>-3.03999999999859E-2</v>
      </c>
      <c r="AF4858">
        <v>3.30184261198673E-2</v>
      </c>
      <c r="AG4858">
        <v>-7.7412999999999899E-2</v>
      </c>
      <c r="AH4858">
        <v>0.60526993022275299</v>
      </c>
      <c r="AI4858">
        <v>97.2777591080402</v>
      </c>
      <c r="AJ4858">
        <v>86.877520078887898</v>
      </c>
      <c r="AK4858">
        <v>0.61109301866760801</v>
      </c>
      <c r="AL4858">
        <v>92.873522238237697</v>
      </c>
      <c r="AM4858">
        <v>90.260001633598407</v>
      </c>
      <c r="AN4858">
        <v>0.999999952415353</v>
      </c>
    </row>
    <row r="4859" spans="1:40" x14ac:dyDescent="0.25">
      <c r="A4859" t="str">
        <f>"20190303153906341"</f>
        <v>20190303153906341</v>
      </c>
      <c r="B4859" t="str">
        <f>"1551598746333575"</f>
        <v>1551598746333575</v>
      </c>
      <c r="C4859" t="s">
        <v>40</v>
      </c>
      <c r="D4859">
        <v>4.5002839999999997</v>
      </c>
      <c r="E4859">
        <v>0.51628399999999997</v>
      </c>
      <c r="F4859" t="s">
        <v>44</v>
      </c>
      <c r="G4859">
        <v>-238.5222</v>
      </c>
      <c r="H4859">
        <v>1.0468869999999999</v>
      </c>
      <c r="I4859">
        <v>215.67939999999999</v>
      </c>
      <c r="J4859">
        <v>-239.1131</v>
      </c>
      <c r="K4859">
        <v>1.121095</v>
      </c>
      <c r="L4859">
        <v>215.70939999999999</v>
      </c>
      <c r="M4859">
        <v>0.99989070000000002</v>
      </c>
      <c r="N4859">
        <v>-1.387093E-2</v>
      </c>
      <c r="O4859">
        <v>5.1064159999999999E-3</v>
      </c>
      <c r="P4859">
        <v>0.99791229999999997</v>
      </c>
      <c r="Q4859">
        <v>-6.3901399999999997E-2</v>
      </c>
      <c r="R4859">
        <v>9.3514979999999998E-3</v>
      </c>
      <c r="S4859">
        <v>2.9906459999999999</v>
      </c>
      <c r="T4859">
        <v>-0.2594419</v>
      </c>
      <c r="U4859">
        <v>-9.9456790000000003E-2</v>
      </c>
      <c r="V4859">
        <v>-4.2569169999999998E-3</v>
      </c>
      <c r="W4859">
        <v>-5.0052649999999997E-2</v>
      </c>
      <c r="X4859">
        <v>0.99873749999999994</v>
      </c>
      <c r="Y4859">
        <v>3.8161519999999997E-2</v>
      </c>
      <c r="Z4859">
        <v>-2.28839E-3</v>
      </c>
      <c r="AA4859">
        <v>0.99926890000000002</v>
      </c>
      <c r="AB4859">
        <v>27</v>
      </c>
      <c r="AC4859">
        <v>0.59090000000000398</v>
      </c>
      <c r="AD4859">
        <v>-7.4207999999999996E-2</v>
      </c>
      <c r="AE4859">
        <v>-3.0000000000001099E-2</v>
      </c>
      <c r="AF4859">
        <v>3.2505930695223201E-2</v>
      </c>
      <c r="AG4859">
        <v>-7.4207999999999996E-2</v>
      </c>
      <c r="AH4859">
        <v>0.58159011114144199</v>
      </c>
      <c r="AI4859">
        <v>97.260155537858395</v>
      </c>
      <c r="AJ4859">
        <v>86.800982541166306</v>
      </c>
      <c r="AK4859">
        <v>0.58720568812970297</v>
      </c>
      <c r="AL4859">
        <v>92.869004411617993</v>
      </c>
      <c r="AM4859">
        <v>90.244210216238898</v>
      </c>
      <c r="AN4859">
        <v>0.99999999151030805</v>
      </c>
    </row>
    <row r="4860" spans="1:40" x14ac:dyDescent="0.25">
      <c r="A4860" t="str">
        <f>"20190303153906363"</f>
        <v>20190303153906363</v>
      </c>
      <c r="B4860" t="str">
        <f>"1551598746353603"</f>
        <v>1551598746353603</v>
      </c>
      <c r="C4860" t="s">
        <v>40</v>
      </c>
      <c r="D4860">
        <v>4.3382540000000001</v>
      </c>
      <c r="E4860">
        <v>0.51659079999999902</v>
      </c>
      <c r="F4860" t="s">
        <v>44</v>
      </c>
      <c r="G4860">
        <v>-238.28270000000001</v>
      </c>
      <c r="H4860">
        <v>1.0490459999999999</v>
      </c>
      <c r="I4860">
        <v>215.68049999999999</v>
      </c>
      <c r="J4860">
        <v>-238.8536</v>
      </c>
      <c r="K4860">
        <v>1.121102</v>
      </c>
      <c r="L4860">
        <v>215.7107</v>
      </c>
      <c r="M4860">
        <v>0.99989059999999996</v>
      </c>
      <c r="N4860">
        <v>-1.3884280000000001E-2</v>
      </c>
      <c r="O4860">
        <v>5.1063219999999999E-3</v>
      </c>
      <c r="P4860">
        <v>0.99794070000000001</v>
      </c>
      <c r="Q4860">
        <v>-6.3481430000000005E-2</v>
      </c>
      <c r="R4860">
        <v>9.1987560000000006E-3</v>
      </c>
      <c r="S4860">
        <v>2.9906160000000002</v>
      </c>
      <c r="T4860">
        <v>-0.2597313</v>
      </c>
      <c r="U4860">
        <v>-0.102645899999999</v>
      </c>
      <c r="V4860">
        <v>-4.1041350000000001E-3</v>
      </c>
      <c r="W4860">
        <v>-4.9618990000000002E-2</v>
      </c>
      <c r="X4860">
        <v>0.99875979999999998</v>
      </c>
      <c r="Y4860">
        <v>3.9221110000000003E-2</v>
      </c>
      <c r="Z4860">
        <v>-2.3441769999999998E-3</v>
      </c>
      <c r="AA4860">
        <v>0.9992278</v>
      </c>
      <c r="AB4860">
        <v>27</v>
      </c>
      <c r="AC4860">
        <v>0.57089999999999397</v>
      </c>
      <c r="AD4860">
        <v>-7.2056000000000106E-2</v>
      </c>
      <c r="AE4860">
        <v>-3.02000000000077E-2</v>
      </c>
      <c r="AF4860">
        <v>3.2597255818217298E-2</v>
      </c>
      <c r="AG4860">
        <v>-7.2056000000000106E-2</v>
      </c>
      <c r="AH4860">
        <v>0.56181352314437405</v>
      </c>
      <c r="AI4860">
        <v>97.296492711428201</v>
      </c>
      <c r="AJ4860">
        <v>86.6793366858561</v>
      </c>
      <c r="AK4860">
        <v>0.56735269719176695</v>
      </c>
      <c r="AL4860">
        <v>92.844126549457997</v>
      </c>
      <c r="AM4860">
        <v>90.235440283543298</v>
      </c>
      <c r="AN4860">
        <v>1.00000001309437</v>
      </c>
    </row>
    <row r="4861" spans="1:40" x14ac:dyDescent="0.25">
      <c r="A4861" t="str">
        <f>"20190303153906384"</f>
        <v>20190303153906384</v>
      </c>
      <c r="B4861" t="str">
        <f>"1551598746373123"</f>
        <v>1551598746373123</v>
      </c>
      <c r="C4861" t="s">
        <v>40</v>
      </c>
      <c r="D4861">
        <v>4.3456260000000002</v>
      </c>
      <c r="E4861">
        <v>0.51683129999999999</v>
      </c>
      <c r="F4861" t="s">
        <v>44</v>
      </c>
      <c r="G4861">
        <v>-238.03919999999999</v>
      </c>
      <c r="H4861">
        <v>1.050643</v>
      </c>
      <c r="I4861">
        <v>215.68180000000001</v>
      </c>
      <c r="J4861">
        <v>-238.59899999999999</v>
      </c>
      <c r="K4861">
        <v>1.1211089999999999</v>
      </c>
      <c r="L4861">
        <v>215.71199999999999</v>
      </c>
      <c r="M4861">
        <v>0.99989059999999996</v>
      </c>
      <c r="N4861">
        <v>-1.389549E-2</v>
      </c>
      <c r="O4861">
        <v>5.1062440000000002E-3</v>
      </c>
      <c r="P4861">
        <v>0.9979962</v>
      </c>
      <c r="Q4861">
        <v>-6.262848E-2</v>
      </c>
      <c r="R4861">
        <v>9.0362419999999999E-3</v>
      </c>
      <c r="S4861">
        <v>2.9906769999999998</v>
      </c>
      <c r="T4861">
        <v>-0.25881389999999999</v>
      </c>
      <c r="U4861">
        <v>-0.1053772</v>
      </c>
      <c r="V4861">
        <v>-3.941427E-3</v>
      </c>
      <c r="W4861">
        <v>-4.8754180000000001E-2</v>
      </c>
      <c r="X4861">
        <v>0.998803</v>
      </c>
      <c r="Y4861">
        <v>4.0129079999999998E-2</v>
      </c>
      <c r="Z4861">
        <v>-2.3822470000000001E-3</v>
      </c>
      <c r="AA4861">
        <v>0.99919159999999996</v>
      </c>
      <c r="AB4861">
        <v>27</v>
      </c>
      <c r="AC4861">
        <v>0.55980000000002395</v>
      </c>
      <c r="AD4861">
        <v>-7.0465999999999904E-2</v>
      </c>
      <c r="AE4861">
        <v>-3.02000000000077E-2</v>
      </c>
      <c r="AF4861">
        <v>3.2544189377643001E-2</v>
      </c>
      <c r="AG4861">
        <v>-7.0465999999999904E-2</v>
      </c>
      <c r="AH4861">
        <v>0.55093423246685203</v>
      </c>
      <c r="AI4861">
        <v>97.276166403656404</v>
      </c>
      <c r="AJ4861">
        <v>86.619414251272602</v>
      </c>
      <c r="AK4861">
        <v>0.55637497240807599</v>
      </c>
      <c r="AL4861">
        <v>92.794516661585007</v>
      </c>
      <c r="AM4861">
        <v>90.2260965977962</v>
      </c>
      <c r="AN4861">
        <v>0.999999968861633</v>
      </c>
    </row>
    <row r="4862" spans="1:40" x14ac:dyDescent="0.25">
      <c r="A4862" t="str">
        <f>"20190303153906407"</f>
        <v>20190303153906407</v>
      </c>
      <c r="B4862" t="str">
        <f>"1551598746403379"</f>
        <v>1551598746403379</v>
      </c>
      <c r="C4862" t="s">
        <v>40</v>
      </c>
      <c r="D4862">
        <v>4.3536799999999998</v>
      </c>
      <c r="E4862">
        <v>0.51713710000000002</v>
      </c>
      <c r="F4862" t="s">
        <v>55</v>
      </c>
      <c r="G4862">
        <v>-225.5829</v>
      </c>
      <c r="H4862" s="1">
        <v>1.4067640000000001E-6</v>
      </c>
      <c r="I4862">
        <v>215.24250000000001</v>
      </c>
      <c r="J4862">
        <v>-238.33349999999999</v>
      </c>
      <c r="K4862">
        <v>1.121108</v>
      </c>
      <c r="L4862">
        <v>215.7133</v>
      </c>
      <c r="M4862">
        <v>0.99989030000000001</v>
      </c>
      <c r="N4862">
        <v>-1.3905290000000001E-2</v>
      </c>
      <c r="O4862">
        <v>5.1053319999999998E-3</v>
      </c>
      <c r="P4862">
        <v>0.99802519999999995</v>
      </c>
      <c r="Q4862">
        <v>-6.2212620000000003E-2</v>
      </c>
      <c r="R4862">
        <v>8.6839719999999999E-3</v>
      </c>
      <c r="S4862">
        <v>2.9908450000000002</v>
      </c>
      <c r="T4862">
        <v>-0.2576077</v>
      </c>
      <c r="U4862">
        <v>-0.10787960000000001</v>
      </c>
      <c r="V4862">
        <v>-3.5900160000000001E-3</v>
      </c>
      <c r="W4862">
        <v>-4.8328200000000002E-2</v>
      </c>
      <c r="X4862">
        <v>0.99882510000000002</v>
      </c>
      <c r="Y4862">
        <v>4.0959250000000003E-2</v>
      </c>
      <c r="Z4862">
        <v>-2.4135430000000002E-3</v>
      </c>
      <c r="AA4862">
        <v>0.99915790000000004</v>
      </c>
      <c r="AB4862">
        <v>27</v>
      </c>
      <c r="AC4862">
        <v>12.750599999999899</v>
      </c>
      <c r="AD4862">
        <v>-1.121106593236</v>
      </c>
      <c r="AE4862">
        <v>-0.470799999999997</v>
      </c>
      <c r="AF4862">
        <v>0.53179055669288</v>
      </c>
      <c r="AG4862">
        <v>-1.121106593236</v>
      </c>
      <c r="AH4862">
        <v>12.650363865847201</v>
      </c>
      <c r="AI4862">
        <v>95.060017226233398</v>
      </c>
      <c r="AJ4862">
        <v>87.592841932039093</v>
      </c>
      <c r="AK4862">
        <v>12.711073405811</v>
      </c>
      <c r="AL4862">
        <v>92.770080797180398</v>
      </c>
      <c r="AM4862">
        <v>90.205933831098505</v>
      </c>
      <c r="AN4862">
        <v>1.0000000417600601</v>
      </c>
    </row>
    <row r="4863" spans="1:40" x14ac:dyDescent="0.25">
      <c r="A4863" t="str">
        <f>"20190303153906430"</f>
        <v>20190303153906430</v>
      </c>
      <c r="B4863" t="str">
        <f>"1551598746423874"</f>
        <v>1551598746423874</v>
      </c>
      <c r="C4863" t="s">
        <v>40</v>
      </c>
      <c r="D4863">
        <v>4.3673409999999997</v>
      </c>
      <c r="E4863">
        <v>0.51720749999999904</v>
      </c>
      <c r="F4863" t="s">
        <v>55</v>
      </c>
      <c r="G4863">
        <v>-225.35589999999999</v>
      </c>
      <c r="H4863" s="1">
        <v>1.2865460000000001E-6</v>
      </c>
      <c r="I4863">
        <v>215.2302</v>
      </c>
      <c r="J4863">
        <v>-238.06200000000001</v>
      </c>
      <c r="K4863">
        <v>1.1211089999999999</v>
      </c>
      <c r="L4863">
        <v>215.71469999999999</v>
      </c>
      <c r="M4863">
        <v>0.99989030000000001</v>
      </c>
      <c r="N4863">
        <v>-1.3913500000000001E-2</v>
      </c>
      <c r="O4863">
        <v>5.1016739999999996E-3</v>
      </c>
      <c r="P4863">
        <v>0.99801569999999995</v>
      </c>
      <c r="Q4863">
        <v>-6.2357299999999997E-2</v>
      </c>
      <c r="R4863">
        <v>8.7375990000000004E-3</v>
      </c>
      <c r="S4863">
        <v>2.990799</v>
      </c>
      <c r="T4863">
        <v>-0.2583704</v>
      </c>
      <c r="U4863">
        <v>-0.1113434</v>
      </c>
      <c r="V4863">
        <v>-3.6476210000000002E-3</v>
      </c>
      <c r="W4863">
        <v>-4.8464760000000003E-2</v>
      </c>
      <c r="X4863">
        <v>0.99881819999999999</v>
      </c>
      <c r="Y4863">
        <v>4.2105700000000003E-2</v>
      </c>
      <c r="Z4863">
        <v>-2.4772980000000002E-3</v>
      </c>
      <c r="AA4863">
        <v>0.9991101</v>
      </c>
      <c r="AB4863">
        <v>26</v>
      </c>
      <c r="AC4863">
        <v>12.706099999999999</v>
      </c>
      <c r="AD4863">
        <v>-1.121107713454</v>
      </c>
      <c r="AE4863">
        <v>-0.48449999999999699</v>
      </c>
      <c r="AF4863">
        <v>0.54508490426670198</v>
      </c>
      <c r="AG4863">
        <v>-1.121107713454</v>
      </c>
      <c r="AH4863">
        <v>12.605468917890001</v>
      </c>
      <c r="AI4863">
        <v>95.0776907667979</v>
      </c>
      <c r="AJ4863">
        <v>87.523961976818697</v>
      </c>
      <c r="AK4863">
        <v>12.666958857512601</v>
      </c>
      <c r="AL4863">
        <v>92.777914494558303</v>
      </c>
      <c r="AM4863">
        <v>90.209239638886302</v>
      </c>
      <c r="AN4863">
        <v>0.99999996737602803</v>
      </c>
    </row>
    <row r="4864" spans="1:40" x14ac:dyDescent="0.25">
      <c r="A4864" t="str">
        <f>"20190303153906452"</f>
        <v>20190303153906452</v>
      </c>
      <c r="B4864" t="str">
        <f>"1551598746443395"</f>
        <v>1551598746443395</v>
      </c>
      <c r="C4864" t="s">
        <v>40</v>
      </c>
      <c r="D4864">
        <v>4.3907280000000002</v>
      </c>
      <c r="E4864">
        <v>0.51713980000000004</v>
      </c>
      <c r="F4864" t="s">
        <v>44</v>
      </c>
      <c r="G4864">
        <v>-237.10810000000001</v>
      </c>
      <c r="H4864">
        <v>1.038365</v>
      </c>
      <c r="I4864">
        <v>215.6789</v>
      </c>
      <c r="J4864">
        <v>-237.8005</v>
      </c>
      <c r="K4864">
        <v>1.1211089999999999</v>
      </c>
      <c r="L4864">
        <v>215.71600000000001</v>
      </c>
      <c r="M4864">
        <v>0.99989019999999995</v>
      </c>
      <c r="N4864">
        <v>-1.3919859999999999E-2</v>
      </c>
      <c r="O4864">
        <v>5.0945510000000001E-3</v>
      </c>
      <c r="P4864">
        <v>0.99802769999999996</v>
      </c>
      <c r="Q4864">
        <v>-6.2183200000000001E-2</v>
      </c>
      <c r="R4864">
        <v>8.6266659999999998E-3</v>
      </c>
      <c r="S4864">
        <v>2.9907379999999999</v>
      </c>
      <c r="T4864">
        <v>-0.25946390000000003</v>
      </c>
      <c r="U4864">
        <v>-0.1117706</v>
      </c>
      <c r="V4864">
        <v>-3.5443010000000001E-3</v>
      </c>
      <c r="W4864">
        <v>-4.828416E-2</v>
      </c>
      <c r="X4864">
        <v>0.99882729999999997</v>
      </c>
      <c r="Y4864">
        <v>4.2239730000000003E-2</v>
      </c>
      <c r="Z4864">
        <v>-2.4931710000000002E-3</v>
      </c>
      <c r="AA4864">
        <v>0.9991044</v>
      </c>
      <c r="AB4864">
        <v>26</v>
      </c>
      <c r="AC4864">
        <v>0.69239999999999202</v>
      </c>
      <c r="AD4864">
        <v>-8.2743999999999901E-2</v>
      </c>
      <c r="AE4864">
        <v>-3.7099999999981002E-2</v>
      </c>
      <c r="AF4864">
        <v>4.0056911661306198E-2</v>
      </c>
      <c r="AG4864">
        <v>-8.2743999999999901E-2</v>
      </c>
      <c r="AH4864">
        <v>0.68248333793718297</v>
      </c>
      <c r="AI4864">
        <v>96.901016706409706</v>
      </c>
      <c r="AJ4864">
        <v>86.640999324113096</v>
      </c>
      <c r="AK4864">
        <v>0.68864695764210104</v>
      </c>
      <c r="AL4864">
        <v>92.767554799689506</v>
      </c>
      <c r="AM4864">
        <v>90.203311059170503</v>
      </c>
      <c r="AN4864">
        <v>0.99999994870088504</v>
      </c>
    </row>
    <row r="4865" spans="1:40" x14ac:dyDescent="0.25">
      <c r="A4865" t="str">
        <f>"20190303153906470"</f>
        <v>20190303153906470</v>
      </c>
      <c r="B4865" t="str">
        <f>"1551598746463891"</f>
        <v>1551598746463891</v>
      </c>
      <c r="C4865" t="s">
        <v>40</v>
      </c>
      <c r="D4865">
        <v>4.392919</v>
      </c>
      <c r="E4865">
        <v>0.51712579999999997</v>
      </c>
      <c r="F4865" t="s">
        <v>44</v>
      </c>
      <c r="G4865">
        <v>-236.87139999999999</v>
      </c>
      <c r="H4865">
        <v>1.0402929999999999</v>
      </c>
      <c r="I4865">
        <v>215.68119999999999</v>
      </c>
      <c r="J4865">
        <v>-237.58420000000001</v>
      </c>
      <c r="K4865">
        <v>1.1211089999999999</v>
      </c>
      <c r="L4865">
        <v>215.71709999999999</v>
      </c>
      <c r="M4865">
        <v>0.99989030000000001</v>
      </c>
      <c r="N4865">
        <v>-1.3924199999999999E-2</v>
      </c>
      <c r="O4865">
        <v>5.0862529999999998E-3</v>
      </c>
      <c r="P4865">
        <v>0.99804890000000002</v>
      </c>
      <c r="Q4865">
        <v>-6.1817179999999999E-2</v>
      </c>
      <c r="R4865">
        <v>8.7977249999999993E-3</v>
      </c>
      <c r="S4865">
        <v>2.9906920000000001</v>
      </c>
      <c r="T4865">
        <v>-0.2602931</v>
      </c>
      <c r="U4865">
        <v>-0.1114807</v>
      </c>
      <c r="V4865">
        <v>-3.7234479999999999E-3</v>
      </c>
      <c r="W4865">
        <v>-4.7913499999999998E-2</v>
      </c>
      <c r="X4865">
        <v>0.99884459999999997</v>
      </c>
      <c r="Y4865">
        <v>4.2134560000000001E-2</v>
      </c>
      <c r="Z4865">
        <v>-2.4946030000000002E-3</v>
      </c>
      <c r="AA4865">
        <v>0.99910889999999997</v>
      </c>
      <c r="AB4865">
        <v>26</v>
      </c>
      <c r="AC4865">
        <v>0.71280000000001498</v>
      </c>
      <c r="AD4865">
        <v>-8.0815999999999694E-2</v>
      </c>
      <c r="AE4865">
        <v>-3.5899999999998003E-2</v>
      </c>
      <c r="AF4865">
        <v>3.9024985355579897E-2</v>
      </c>
      <c r="AG4865">
        <v>-8.0815999999999694E-2</v>
      </c>
      <c r="AH4865">
        <v>0.70358670649310395</v>
      </c>
      <c r="AI4865">
        <v>96.542474100590496</v>
      </c>
      <c r="AJ4865">
        <v>86.825297848655396</v>
      </c>
      <c r="AK4865">
        <v>0.70928726824314003</v>
      </c>
      <c r="AL4865">
        <v>92.746292654124503</v>
      </c>
      <c r="AM4865">
        <v>90.2135836419924</v>
      </c>
      <c r="AN4865">
        <v>1.0000000512481999</v>
      </c>
    </row>
    <row r="4866" spans="1:40" x14ac:dyDescent="0.25">
      <c r="A4866" t="str">
        <f>"20190303153906485"</f>
        <v>20190303153906485</v>
      </c>
      <c r="B4866" t="str">
        <f>"1551598746473651"</f>
        <v>1551598746473651</v>
      </c>
      <c r="C4866" t="s">
        <v>40</v>
      </c>
      <c r="D4866">
        <v>4.3791859999999998</v>
      </c>
      <c r="E4866">
        <v>0.51712639999999999</v>
      </c>
      <c r="F4866" t="s">
        <v>44</v>
      </c>
      <c r="G4866">
        <v>-236.63679999999999</v>
      </c>
      <c r="H4866">
        <v>1.0387059999999999</v>
      </c>
      <c r="I4866">
        <v>215.68180000000001</v>
      </c>
      <c r="J4866">
        <v>-237.40880000000001</v>
      </c>
      <c r="K4866">
        <v>1.121113</v>
      </c>
      <c r="L4866">
        <v>215.71799999999999</v>
      </c>
      <c r="M4866">
        <v>0.9998901</v>
      </c>
      <c r="N4866">
        <v>-1.3927119999999999E-2</v>
      </c>
      <c r="O4866">
        <v>5.0779129999999999E-3</v>
      </c>
      <c r="P4866">
        <v>0.99809460000000005</v>
      </c>
      <c r="Q4866">
        <v>-6.0999119999999997E-2</v>
      </c>
      <c r="R4866">
        <v>9.2921759999999992E-3</v>
      </c>
      <c r="S4866">
        <v>2.990723</v>
      </c>
      <c r="T4866">
        <v>-0.26019320000000001</v>
      </c>
      <c r="U4866">
        <v>-0.1111298</v>
      </c>
      <c r="V4866">
        <v>-4.226095E-3</v>
      </c>
      <c r="W4866">
        <v>-4.7091889999999997E-2</v>
      </c>
      <c r="X4866">
        <v>0.99888160000000004</v>
      </c>
      <c r="Y4866">
        <v>4.2009480000000002E-2</v>
      </c>
      <c r="Z4866">
        <v>-2.4868519999999999E-3</v>
      </c>
      <c r="AA4866">
        <v>0.9991141</v>
      </c>
      <c r="AB4866">
        <v>26</v>
      </c>
      <c r="AC4866">
        <v>0.772000000000019</v>
      </c>
      <c r="AD4866">
        <v>-8.2407000000000105E-2</v>
      </c>
      <c r="AE4866">
        <v>-3.6199999999979499E-2</v>
      </c>
      <c r="AF4866">
        <v>3.9669046810359702E-2</v>
      </c>
      <c r="AG4866">
        <v>-8.2407000000000105E-2</v>
      </c>
      <c r="AH4866">
        <v>0.76312983454209304</v>
      </c>
      <c r="AI4866">
        <v>96.154988168246803</v>
      </c>
      <c r="AJ4866">
        <v>87.024326698244593</v>
      </c>
      <c r="AK4866">
        <v>0.76859071767234199</v>
      </c>
      <c r="AL4866">
        <v>92.699164864251003</v>
      </c>
      <c r="AM4866">
        <v>90.242407070659894</v>
      </c>
      <c r="AN4866">
        <v>0.99999997840064003</v>
      </c>
    </row>
    <row r="4867" spans="1:40" x14ac:dyDescent="0.25">
      <c r="A4867" t="str">
        <f>"20190303153906507"</f>
        <v>20190303153906507</v>
      </c>
      <c r="B4867" t="str">
        <f>"1551598746502931"</f>
        <v>1551598746502931</v>
      </c>
      <c r="C4867" t="s">
        <v>40</v>
      </c>
      <c r="D4867">
        <v>4.399877</v>
      </c>
      <c r="E4867">
        <v>0.51741559999999998</v>
      </c>
      <c r="F4867" t="s">
        <v>55</v>
      </c>
      <c r="G4867">
        <v>-224.41630000000001</v>
      </c>
      <c r="H4867" s="1">
        <v>7.8597619999999898E-7</v>
      </c>
      <c r="I4867">
        <v>215.24209999999999</v>
      </c>
      <c r="J4867">
        <v>-237.14779999999999</v>
      </c>
      <c r="K4867">
        <v>1.1211139999999999</v>
      </c>
      <c r="L4867">
        <v>215.7193</v>
      </c>
      <c r="M4867">
        <v>0.99989030000000001</v>
      </c>
      <c r="N4867">
        <v>-1.393077E-2</v>
      </c>
      <c r="O4867">
        <v>5.0627689999999999E-3</v>
      </c>
      <c r="P4867">
        <v>0.99808079999999999</v>
      </c>
      <c r="Q4867">
        <v>-6.1107870000000002E-2</v>
      </c>
      <c r="R4867">
        <v>1.005049E-2</v>
      </c>
      <c r="S4867">
        <v>2.9909970000000001</v>
      </c>
      <c r="T4867">
        <v>-0.2580904</v>
      </c>
      <c r="U4867">
        <v>-0.1095734</v>
      </c>
      <c r="V4867">
        <v>-5.0000629999999999E-3</v>
      </c>
      <c r="W4867">
        <v>-4.7197040000000003E-2</v>
      </c>
      <c r="X4867">
        <v>0.99887309999999996</v>
      </c>
      <c r="Y4867">
        <v>4.1477109999999998E-2</v>
      </c>
      <c r="Z4867">
        <v>-2.4407510000000001E-3</v>
      </c>
      <c r="AA4867">
        <v>0.99913640000000004</v>
      </c>
      <c r="AB4867">
        <v>26</v>
      </c>
      <c r="AC4867">
        <v>12.731499999999899</v>
      </c>
      <c r="AD4867">
        <v>-1.1211132140238</v>
      </c>
      <c r="AE4867">
        <v>-0.47720000000001001</v>
      </c>
      <c r="AF4867">
        <v>0.53749475049106898</v>
      </c>
      <c r="AG4867">
        <v>-1.1211132140238</v>
      </c>
      <c r="AH4867">
        <v>12.631113215177001</v>
      </c>
      <c r="AI4867">
        <v>95.067608916363596</v>
      </c>
      <c r="AJ4867">
        <v>87.563349167216302</v>
      </c>
      <c r="AK4867">
        <v>12.6921557073684</v>
      </c>
      <c r="AL4867">
        <v>92.705196121382102</v>
      </c>
      <c r="AM4867">
        <v>90.286803313084704</v>
      </c>
      <c r="AN4867">
        <v>1.0000000155591799</v>
      </c>
    </row>
    <row r="4868" spans="1:40" x14ac:dyDescent="0.25">
      <c r="A4868" t="str">
        <f>"20190303153906532"</f>
        <v>20190303153906532</v>
      </c>
      <c r="B4868" t="str">
        <f>"1551598746523427"</f>
        <v>1551598746523427</v>
      </c>
      <c r="C4868" t="s">
        <v>40</v>
      </c>
      <c r="D4868">
        <v>4.4032970000000002</v>
      </c>
      <c r="E4868">
        <v>0.51732290000000003</v>
      </c>
      <c r="F4868" t="s">
        <v>55</v>
      </c>
      <c r="G4868">
        <v>-224.12459999999999</v>
      </c>
      <c r="H4868" s="1">
        <v>6.3073980000000001E-7</v>
      </c>
      <c r="I4868">
        <v>215.24270000000001</v>
      </c>
      <c r="J4868">
        <v>-236.87360000000001</v>
      </c>
      <c r="K4868">
        <v>1.121111</v>
      </c>
      <c r="L4868">
        <v>215.72069999999999</v>
      </c>
      <c r="M4868">
        <v>0.99989039999999996</v>
      </c>
      <c r="N4868">
        <v>-1.3933650000000001E-2</v>
      </c>
      <c r="O4868">
        <v>5.0447189999999996E-3</v>
      </c>
      <c r="P4868">
        <v>0.99798900000000001</v>
      </c>
      <c r="Q4868">
        <v>-6.2494269999999998E-2</v>
      </c>
      <c r="R4868">
        <v>1.063017E-2</v>
      </c>
      <c r="S4868">
        <v>2.9911349999999999</v>
      </c>
      <c r="T4868">
        <v>-0.25749539999999999</v>
      </c>
      <c r="U4868">
        <v>-0.1094666</v>
      </c>
      <c r="V4868">
        <v>-5.5988749999999997E-3</v>
      </c>
      <c r="W4868">
        <v>-4.8581600000000003E-2</v>
      </c>
      <c r="X4868">
        <v>0.99880349999999996</v>
      </c>
      <c r="Y4868">
        <v>4.1422899999999999E-2</v>
      </c>
      <c r="Z4868">
        <v>-2.4315840000000001E-3</v>
      </c>
      <c r="AA4868">
        <v>0.99913879999999999</v>
      </c>
      <c r="AB4868">
        <v>26</v>
      </c>
      <c r="AC4868">
        <v>12.749000000000001</v>
      </c>
      <c r="AD4868">
        <v>-1.1211103692602</v>
      </c>
      <c r="AE4868">
        <v>-0.47799999999998</v>
      </c>
      <c r="AF4868">
        <v>0.53815955767051005</v>
      </c>
      <c r="AG4868">
        <v>-1.1211103692602</v>
      </c>
      <c r="AH4868">
        <v>12.6487514336364</v>
      </c>
      <c r="AI4868">
        <v>95.060567717118303</v>
      </c>
      <c r="AJ4868">
        <v>87.563736919577096</v>
      </c>
      <c r="AK4868">
        <v>12.7097370940352</v>
      </c>
      <c r="AL4868">
        <v>92.784616806166994</v>
      </c>
      <c r="AM4868">
        <v>90.321172830843395</v>
      </c>
      <c r="AN4868">
        <v>0.99999997543603703</v>
      </c>
    </row>
    <row r="4869" spans="1:40" x14ac:dyDescent="0.25">
      <c r="A4869" t="str">
        <f>"20190303153906552"</f>
        <v>20190303153906552</v>
      </c>
      <c r="B4869" t="str">
        <f>"1551598746542947"</f>
        <v>1551598746542947</v>
      </c>
      <c r="C4869" t="s">
        <v>40</v>
      </c>
      <c r="D4869">
        <v>4.4021140000000001</v>
      </c>
      <c r="E4869">
        <v>0.51724209999999904</v>
      </c>
      <c r="F4869" t="s">
        <v>44</v>
      </c>
      <c r="G4869">
        <v>-235.9324</v>
      </c>
      <c r="H4869">
        <v>1.038243</v>
      </c>
      <c r="I4869">
        <v>215.68680000000001</v>
      </c>
      <c r="J4869">
        <v>-236.61760000000001</v>
      </c>
      <c r="K4869">
        <v>1.1211009999999999</v>
      </c>
      <c r="L4869">
        <v>215.72200000000001</v>
      </c>
      <c r="M4869">
        <v>0.99989030000000001</v>
      </c>
      <c r="N4869">
        <v>-1.3935619999999999E-2</v>
      </c>
      <c r="O4869">
        <v>5.02586E-3</v>
      </c>
      <c r="P4869">
        <v>0.99791739999999995</v>
      </c>
      <c r="Q4869">
        <v>-6.3518720000000001E-2</v>
      </c>
      <c r="R4869">
        <v>1.124375E-2</v>
      </c>
      <c r="S4869">
        <v>2.990707</v>
      </c>
      <c r="T4869">
        <v>-0.26342670000000001</v>
      </c>
      <c r="U4869">
        <v>-0.1071777</v>
      </c>
      <c r="V4869">
        <v>-6.2315180000000001E-3</v>
      </c>
      <c r="W4869">
        <v>-4.96049E-2</v>
      </c>
      <c r="X4869">
        <v>0.99874949999999996</v>
      </c>
      <c r="Y4869">
        <v>4.064069E-2</v>
      </c>
      <c r="Z4869">
        <v>-2.4415320000000002E-3</v>
      </c>
      <c r="AA4869">
        <v>0.99917080000000003</v>
      </c>
      <c r="AB4869">
        <v>26</v>
      </c>
      <c r="AC4869">
        <v>0.68520000000000802</v>
      </c>
      <c r="AD4869">
        <v>-8.2858000000000098E-2</v>
      </c>
      <c r="AE4869">
        <v>-3.5200000000003201E-2</v>
      </c>
      <c r="AF4869">
        <v>3.8088115350152899E-2</v>
      </c>
      <c r="AG4869">
        <v>-8.2858000000000098E-2</v>
      </c>
      <c r="AH4869">
        <v>0.67516748183876096</v>
      </c>
      <c r="AI4869">
        <v>96.985480281250801</v>
      </c>
      <c r="AJ4869">
        <v>86.771204552201297</v>
      </c>
      <c r="AK4869">
        <v>0.68129823222097097</v>
      </c>
      <c r="AL4869">
        <v>92.843318234550196</v>
      </c>
      <c r="AM4869">
        <v>90.357482079728797</v>
      </c>
      <c r="AN4869">
        <v>1.0000000208354201</v>
      </c>
    </row>
    <row r="4870" spans="1:40" x14ac:dyDescent="0.25">
      <c r="A4870" t="str">
        <f>"20190303153906574"</f>
        <v>20190303153906574</v>
      </c>
      <c r="B4870" t="str">
        <f>"1551598746563443"</f>
        <v>1551598746563443</v>
      </c>
      <c r="C4870" t="s">
        <v>40</v>
      </c>
      <c r="D4870">
        <v>4.3702430000000003</v>
      </c>
      <c r="E4870">
        <v>0.51723750000000002</v>
      </c>
      <c r="F4870" t="s">
        <v>44</v>
      </c>
      <c r="G4870">
        <v>-235.6979</v>
      </c>
      <c r="H4870">
        <v>1.0386709999999999</v>
      </c>
      <c r="I4870">
        <v>215.68969999999999</v>
      </c>
      <c r="J4870">
        <v>-236.36330000000001</v>
      </c>
      <c r="K4870">
        <v>1.1210880000000001</v>
      </c>
      <c r="L4870">
        <v>215.72319999999999</v>
      </c>
      <c r="M4870">
        <v>0.99989030000000001</v>
      </c>
      <c r="N4870">
        <v>-1.393698E-2</v>
      </c>
      <c r="O4870">
        <v>5.0066529999999998E-3</v>
      </c>
      <c r="P4870">
        <v>0.99786819999999998</v>
      </c>
      <c r="Q4870">
        <v>-6.4314339999999998E-2</v>
      </c>
      <c r="R4870">
        <v>1.1053520000000001E-2</v>
      </c>
      <c r="S4870">
        <v>2.990402</v>
      </c>
      <c r="T4870">
        <v>-0.26803290000000002</v>
      </c>
      <c r="U4870">
        <v>-0.1047058</v>
      </c>
      <c r="V4870">
        <v>-6.0607819999999998E-3</v>
      </c>
      <c r="W4870">
        <v>-5.0399810000000003E-2</v>
      </c>
      <c r="X4870">
        <v>0.99871080000000001</v>
      </c>
      <c r="Y4870">
        <v>3.9797590000000001E-2</v>
      </c>
      <c r="Z4870">
        <v>-2.4355940000000001E-3</v>
      </c>
      <c r="AA4870">
        <v>0.9992048</v>
      </c>
      <c r="AB4870">
        <v>26</v>
      </c>
      <c r="AC4870">
        <v>0.66540000000000499</v>
      </c>
      <c r="AD4870">
        <v>-8.2416999999999893E-2</v>
      </c>
      <c r="AE4870">
        <v>-3.3500000000003603E-2</v>
      </c>
      <c r="AF4870">
        <v>3.6276206098825099E-2</v>
      </c>
      <c r="AG4870">
        <v>-8.2416999999999893E-2</v>
      </c>
      <c r="AH4870">
        <v>0.65519761450771197</v>
      </c>
      <c r="AI4870">
        <v>97.158702757857597</v>
      </c>
      <c r="AJ4870">
        <v>86.830950669870901</v>
      </c>
      <c r="AK4870">
        <v>0.66135651435101195</v>
      </c>
      <c r="AL4870">
        <v>92.888920130173403</v>
      </c>
      <c r="AM4870">
        <v>90.347701222732596</v>
      </c>
      <c r="AN4870">
        <v>1.0000000679815599</v>
      </c>
    </row>
    <row r="4871" spans="1:40" x14ac:dyDescent="0.25">
      <c r="A4871" t="str">
        <f>"20190303153906597"</f>
        <v>20190303153906597</v>
      </c>
      <c r="B4871" t="str">
        <f>"1551598746593699"</f>
        <v>1551598746593699</v>
      </c>
      <c r="C4871" t="s">
        <v>40</v>
      </c>
      <c r="D4871">
        <v>4.4618820000000001</v>
      </c>
      <c r="E4871">
        <v>0.54263169999999905</v>
      </c>
      <c r="F4871" t="s">
        <v>44</v>
      </c>
      <c r="G4871">
        <v>-235.46350000000001</v>
      </c>
      <c r="H4871">
        <v>1.0394110000000001</v>
      </c>
      <c r="I4871">
        <v>215.69139999999999</v>
      </c>
      <c r="J4871">
        <v>-236.0976</v>
      </c>
      <c r="K4871">
        <v>1.121092</v>
      </c>
      <c r="L4871">
        <v>215.72450000000001</v>
      </c>
      <c r="M4871">
        <v>0.99989059999999996</v>
      </c>
      <c r="N4871">
        <v>-1.393784E-2</v>
      </c>
      <c r="O4871">
        <v>4.9861389999999997E-3</v>
      </c>
      <c r="P4871">
        <v>0.99785860000000004</v>
      </c>
      <c r="Q4871">
        <v>-6.4537159999999996E-2</v>
      </c>
      <c r="R4871">
        <v>1.0646549999999999E-2</v>
      </c>
      <c r="S4871">
        <v>2.9900669999999998</v>
      </c>
      <c r="T4871">
        <v>-0.27155109999999999</v>
      </c>
      <c r="U4871">
        <v>-0.1052246</v>
      </c>
      <c r="V4871">
        <v>-5.6745019999999997E-3</v>
      </c>
      <c r="W4871">
        <v>-5.0621909999999999E-2</v>
      </c>
      <c r="X4871">
        <v>0.99870179999999997</v>
      </c>
      <c r="Y4871">
        <v>3.9948490000000003E-2</v>
      </c>
      <c r="Z4871">
        <v>-2.4713040000000001E-3</v>
      </c>
      <c r="AA4871">
        <v>0.9991987</v>
      </c>
      <c r="AB4871">
        <v>26</v>
      </c>
      <c r="AC4871">
        <v>0.63409999999998901</v>
      </c>
      <c r="AD4871">
        <v>-8.1680999999999795E-2</v>
      </c>
      <c r="AE4871">
        <v>-3.3100000000018698E-2</v>
      </c>
      <c r="AF4871">
        <v>3.5671317795374399E-2</v>
      </c>
      <c r="AG4871">
        <v>-8.1680999999999795E-2</v>
      </c>
      <c r="AH4871">
        <v>0.62360761661288899</v>
      </c>
      <c r="AI4871">
        <v>97.450159451228501</v>
      </c>
      <c r="AJ4871">
        <v>86.726160589081005</v>
      </c>
      <c r="AK4871">
        <v>0.62994498821077005</v>
      </c>
      <c r="AL4871">
        <v>92.901661892384993</v>
      </c>
      <c r="AM4871">
        <v>90.325544138155905</v>
      </c>
      <c r="AN4871">
        <v>1.00000003153411</v>
      </c>
    </row>
    <row r="4872" spans="1:40" x14ac:dyDescent="0.25">
      <c r="A4872" t="str">
        <f>"20190303153906621"</f>
        <v>20190303153906621</v>
      </c>
      <c r="B4872" t="str">
        <f>"1551598746613222"</f>
        <v>1551598746613222</v>
      </c>
      <c r="C4872" t="s">
        <v>40</v>
      </c>
      <c r="D4872">
        <v>4.5605129999999896</v>
      </c>
      <c r="E4872">
        <v>0.55925440000000004</v>
      </c>
      <c r="F4872" t="s">
        <v>44</v>
      </c>
      <c r="G4872">
        <v>-235.2234</v>
      </c>
      <c r="H4872">
        <v>1.047501</v>
      </c>
      <c r="I4872">
        <v>215.6343</v>
      </c>
      <c r="J4872">
        <v>-235.83070000000001</v>
      </c>
      <c r="K4872">
        <v>1.1211</v>
      </c>
      <c r="L4872">
        <v>215.72579999999999</v>
      </c>
      <c r="M4872">
        <v>0.99989059999999996</v>
      </c>
      <c r="N4872">
        <v>-1.3938219999999999E-2</v>
      </c>
      <c r="O4872">
        <v>4.965082E-3</v>
      </c>
      <c r="P4872">
        <v>0.99790760000000001</v>
      </c>
      <c r="Q4872">
        <v>-6.3965419999999995E-2</v>
      </c>
      <c r="R4872">
        <v>9.4370240000000005E-3</v>
      </c>
      <c r="S4872">
        <v>2.993439</v>
      </c>
      <c r="T4872">
        <v>-0.25194719999999998</v>
      </c>
      <c r="U4872">
        <v>-0.30891420000000003</v>
      </c>
      <c r="V4872">
        <v>-4.4855099999999998E-3</v>
      </c>
      <c r="W4872">
        <v>-5.0049349999999999E-2</v>
      </c>
      <c r="X4872">
        <v>0.99873670000000003</v>
      </c>
      <c r="Y4872">
        <v>0.1071402</v>
      </c>
      <c r="Z4872">
        <v>-5.5863639999999999E-3</v>
      </c>
      <c r="AA4872">
        <v>0.99422820000000001</v>
      </c>
      <c r="AB4872">
        <v>26</v>
      </c>
      <c r="AC4872">
        <v>0.60730000000000905</v>
      </c>
      <c r="AD4872">
        <v>-7.3598999999999901E-2</v>
      </c>
      <c r="AE4872">
        <v>-9.1499999999996307E-2</v>
      </c>
      <c r="AF4872">
        <v>9.3176340878645E-2</v>
      </c>
      <c r="AG4872">
        <v>-7.3598999999999901E-2</v>
      </c>
      <c r="AH4872">
        <v>0.598246662180977</v>
      </c>
      <c r="AI4872">
        <v>96.930811301673202</v>
      </c>
      <c r="AJ4872">
        <v>81.147362056390705</v>
      </c>
      <c r="AK4872">
        <v>0.60991615170547298</v>
      </c>
      <c r="AL4872">
        <v>92.868814997574702</v>
      </c>
      <c r="AM4872">
        <v>90.257324141608095</v>
      </c>
      <c r="AN4872">
        <v>1.00000002658113</v>
      </c>
    </row>
    <row r="4873" spans="1:40" x14ac:dyDescent="0.25">
      <c r="A4873" t="str">
        <f>"20190303153906642"</f>
        <v>20190303153906642</v>
      </c>
      <c r="B4873" t="str">
        <f>"1551598746633716"</f>
        <v>1551598746633716</v>
      </c>
      <c r="C4873" t="s">
        <v>40</v>
      </c>
      <c r="D4873">
        <v>4.5306139999999999</v>
      </c>
      <c r="E4873">
        <v>0.55950109999999997</v>
      </c>
      <c r="F4873" t="s">
        <v>44</v>
      </c>
      <c r="G4873">
        <v>-235.04249999999999</v>
      </c>
      <c r="H4873">
        <v>0.94301449999999998</v>
      </c>
      <c r="I4873">
        <v>215.6062</v>
      </c>
      <c r="J4873">
        <v>-235.5694</v>
      </c>
      <c r="K4873">
        <v>1.1211009999999999</v>
      </c>
      <c r="L4873">
        <v>215.72710000000001</v>
      </c>
      <c r="M4873">
        <v>0.99989070000000002</v>
      </c>
      <c r="N4873">
        <v>-1.393815E-2</v>
      </c>
      <c r="O4873">
        <v>4.9408459999999996E-3</v>
      </c>
      <c r="P4873">
        <v>0.99791940000000001</v>
      </c>
      <c r="Q4873">
        <v>-6.3849199999999995E-2</v>
      </c>
      <c r="R4873">
        <v>8.9641149999999999E-3</v>
      </c>
      <c r="S4873">
        <v>2.9675600000000002</v>
      </c>
      <c r="T4873">
        <v>-0.67059329999999995</v>
      </c>
      <c r="U4873">
        <v>-0.44941710000000001</v>
      </c>
      <c r="V4873">
        <v>-4.0369209999999997E-3</v>
      </c>
      <c r="W4873">
        <v>-4.9933070000000003E-2</v>
      </c>
      <c r="X4873">
        <v>0.99874439999999998</v>
      </c>
      <c r="Y4873">
        <v>0.15056069999999999</v>
      </c>
      <c r="Z4873">
        <v>-1.880573E-2</v>
      </c>
      <c r="AA4873">
        <v>0.98842189999999996</v>
      </c>
      <c r="AB4873">
        <v>26</v>
      </c>
      <c r="AC4873">
        <v>0.52690000000001103</v>
      </c>
      <c r="AD4873">
        <v>-0.17808650000000001</v>
      </c>
      <c r="AE4873">
        <v>-0.120900000000006</v>
      </c>
      <c r="AF4873">
        <v>0.11141141021846999</v>
      </c>
      <c r="AG4873">
        <v>-0.17808650000000001</v>
      </c>
      <c r="AH4873">
        <v>0.47477244064565</v>
      </c>
      <c r="AI4873">
        <v>110.06112177084999</v>
      </c>
      <c r="AJ4873">
        <v>76.793761498556506</v>
      </c>
      <c r="AK4873">
        <v>0.51916873384839501</v>
      </c>
      <c r="AL4873">
        <v>92.862144401852404</v>
      </c>
      <c r="AM4873">
        <v>90.231588057874305</v>
      </c>
      <c r="AN4873">
        <v>0.99999999237107196</v>
      </c>
    </row>
    <row r="4874" spans="1:40" x14ac:dyDescent="0.25">
      <c r="A4874" t="str">
        <f>"20190303153906663"</f>
        <v>20190303153906663</v>
      </c>
      <c r="B4874" t="str">
        <f>"1551598746653235"</f>
        <v>1551598746653235</v>
      </c>
      <c r="C4874" t="s">
        <v>40</v>
      </c>
      <c r="D4874">
        <v>4.1756640000000003</v>
      </c>
      <c r="E4874">
        <v>0.56278809999999901</v>
      </c>
      <c r="F4874" t="s">
        <v>44</v>
      </c>
      <c r="G4874">
        <v>-234.80779999999999</v>
      </c>
      <c r="H4874">
        <v>0.94652130000000001</v>
      </c>
      <c r="I4874">
        <v>215.61080000000001</v>
      </c>
      <c r="J4874">
        <v>-235.31809999999999</v>
      </c>
      <c r="K4874">
        <v>1.1210869999999999</v>
      </c>
      <c r="L4874">
        <v>215.72829999999999</v>
      </c>
      <c r="M4874">
        <v>0.99989070000000002</v>
      </c>
      <c r="N4874">
        <v>-1.3937730000000001E-2</v>
      </c>
      <c r="O4874">
        <v>4.9106690000000003E-3</v>
      </c>
      <c r="P4874">
        <v>0.99787919999999997</v>
      </c>
      <c r="Q4874">
        <v>-6.4487379999999997E-2</v>
      </c>
      <c r="R4874">
        <v>8.8598089999999997E-3</v>
      </c>
      <c r="S4874">
        <v>2.966812</v>
      </c>
      <c r="T4874">
        <v>-0.68011189999999999</v>
      </c>
      <c r="U4874">
        <v>-0.45283509999999999</v>
      </c>
      <c r="V4874">
        <v>-3.9634529999999996E-3</v>
      </c>
      <c r="W4874">
        <v>-5.0572140000000002E-2</v>
      </c>
      <c r="X4874">
        <v>0.9987125</v>
      </c>
      <c r="Y4874">
        <v>0.15154210000000001</v>
      </c>
      <c r="Z4874">
        <v>-1.9166599999999999E-2</v>
      </c>
      <c r="AA4874">
        <v>0.98826499999999995</v>
      </c>
      <c r="AB4874">
        <v>26</v>
      </c>
      <c r="AC4874">
        <v>0.51029999999999998</v>
      </c>
      <c r="AD4874">
        <v>-0.17456569999999999</v>
      </c>
      <c r="AE4874">
        <v>-0.117499999999978</v>
      </c>
      <c r="AF4874">
        <v>0.108002442879059</v>
      </c>
      <c r="AG4874">
        <v>-0.17456569999999999</v>
      </c>
      <c r="AH4874">
        <v>0.45873735981427999</v>
      </c>
      <c r="AI4874">
        <v>110.32502778087699</v>
      </c>
      <c r="AJ4874">
        <v>76.751877656250599</v>
      </c>
      <c r="AK4874">
        <v>0.50257106619234504</v>
      </c>
      <c r="AL4874">
        <v>92.8988068493654</v>
      </c>
      <c r="AM4874">
        <v>90.227380689668394</v>
      </c>
      <c r="AN4874">
        <v>0.99999995398005503</v>
      </c>
    </row>
    <row r="4875" spans="1:40" x14ac:dyDescent="0.25">
      <c r="A4875" t="str">
        <f>"20190303153906686"</f>
        <v>20190303153906686</v>
      </c>
      <c r="B4875" t="str">
        <f>"1551598746683491"</f>
        <v>1551598746683491</v>
      </c>
      <c r="C4875" t="s">
        <v>40</v>
      </c>
      <c r="D4875">
        <v>4.4995699999999896</v>
      </c>
      <c r="E4875">
        <v>0.56282480000000001</v>
      </c>
      <c r="F4875" t="s">
        <v>44</v>
      </c>
      <c r="G4875">
        <v>-234.56479999999999</v>
      </c>
      <c r="H4875">
        <v>0.96716539999999995</v>
      </c>
      <c r="I4875">
        <v>215.60679999999999</v>
      </c>
      <c r="J4875">
        <v>-235.05940000000001</v>
      </c>
      <c r="K4875">
        <v>1.1210770000000001</v>
      </c>
      <c r="L4875">
        <v>215.7295</v>
      </c>
      <c r="M4875">
        <v>0.99989099999999997</v>
      </c>
      <c r="N4875">
        <v>-1.393701E-2</v>
      </c>
      <c r="O4875">
        <v>4.8671410000000002E-3</v>
      </c>
      <c r="P4875">
        <v>0.99772640000000001</v>
      </c>
      <c r="Q4875">
        <v>-6.6840899999999995E-2</v>
      </c>
      <c r="R4875">
        <v>8.641358E-3</v>
      </c>
      <c r="S4875">
        <v>2.9713750000000001</v>
      </c>
      <c r="T4875">
        <v>-0.60728979999999999</v>
      </c>
      <c r="U4875">
        <v>-0.47840880000000002</v>
      </c>
      <c r="V4875">
        <v>-3.7905970000000002E-3</v>
      </c>
      <c r="W4875">
        <v>-5.2928250000000003E-2</v>
      </c>
      <c r="X4875">
        <v>0.99859109999999995</v>
      </c>
      <c r="Y4875">
        <v>0.16021839999999901</v>
      </c>
      <c r="Z4875">
        <v>-1.8152040000000001E-2</v>
      </c>
      <c r="AA4875">
        <v>0.98691470000000003</v>
      </c>
      <c r="AB4875">
        <v>26</v>
      </c>
      <c r="AC4875">
        <v>0.49460000000001902</v>
      </c>
      <c r="AD4875">
        <v>-0.15391160000000001</v>
      </c>
      <c r="AE4875">
        <v>-0.122700000000008</v>
      </c>
      <c r="AF4875">
        <v>0.114647740183904</v>
      </c>
      <c r="AG4875">
        <v>-0.15391160000000001</v>
      </c>
      <c r="AH4875">
        <v>0.45270087411471699</v>
      </c>
      <c r="AI4875">
        <v>108.24120223904301</v>
      </c>
      <c r="AJ4875">
        <v>75.7884853825188</v>
      </c>
      <c r="AK4875">
        <v>0.49170211141306402</v>
      </c>
      <c r="AL4875">
        <v>93.033983105458205</v>
      </c>
      <c r="AM4875">
        <v>90.217490589280203</v>
      </c>
      <c r="AN4875">
        <v>0.99999997663644402</v>
      </c>
    </row>
    <row r="4876" spans="1:40" x14ac:dyDescent="0.25">
      <c r="A4876" t="str">
        <f>"20190303153906708"</f>
        <v>20190303153906708</v>
      </c>
      <c r="B4876" t="str">
        <f>"1551598746703011"</f>
        <v>1551598746703011</v>
      </c>
      <c r="C4876" t="s">
        <v>40</v>
      </c>
      <c r="D4876">
        <v>4.4739589999999998</v>
      </c>
      <c r="E4876">
        <v>0.56322759999999905</v>
      </c>
      <c r="F4876" t="s">
        <v>44</v>
      </c>
      <c r="G4876">
        <v>-234.333</v>
      </c>
      <c r="H4876">
        <v>0.96598799999999996</v>
      </c>
      <c r="I4876">
        <v>215.6121</v>
      </c>
      <c r="J4876">
        <v>-234.7963</v>
      </c>
      <c r="K4876">
        <v>1.1210580000000001</v>
      </c>
      <c r="L4876">
        <v>215.73070000000001</v>
      </c>
      <c r="M4876">
        <v>0.99989150000000004</v>
      </c>
      <c r="N4876">
        <v>-1.393603E-2</v>
      </c>
      <c r="O4876">
        <v>4.8033279999999999E-3</v>
      </c>
      <c r="P4876">
        <v>0.99764050000000004</v>
      </c>
      <c r="Q4876">
        <v>-6.8191500000000002E-2</v>
      </c>
      <c r="R4876">
        <v>7.9679439999999994E-3</v>
      </c>
      <c r="S4876">
        <v>2.9685359999999998</v>
      </c>
      <c r="T4876">
        <v>-0.6337969</v>
      </c>
      <c r="U4876">
        <v>-0.47933959999999998</v>
      </c>
      <c r="V4876">
        <v>-3.183253E-3</v>
      </c>
      <c r="W4876">
        <v>-5.4280910000000002E-2</v>
      </c>
      <c r="X4876">
        <v>0.99852059999999998</v>
      </c>
      <c r="Y4876">
        <v>0.16029450000000001</v>
      </c>
      <c r="Z4876">
        <v>-1.889499E-2</v>
      </c>
      <c r="AA4876">
        <v>0.98688830000000005</v>
      </c>
      <c r="AB4876">
        <v>26</v>
      </c>
      <c r="AC4876">
        <v>0.46330000000000299</v>
      </c>
      <c r="AD4876">
        <v>-0.15506999999999899</v>
      </c>
      <c r="AE4876">
        <v>-0.118600000000014</v>
      </c>
      <c r="AF4876">
        <v>0.109329413186357</v>
      </c>
      <c r="AG4876">
        <v>-0.15506999999999899</v>
      </c>
      <c r="AH4876">
        <v>0.418702811296216</v>
      </c>
      <c r="AI4876">
        <v>109.71481027841899</v>
      </c>
      <c r="AJ4876">
        <v>75.365982389124198</v>
      </c>
      <c r="AK4876">
        <v>0.45968649063794298</v>
      </c>
      <c r="AL4876">
        <v>93.111596433963001</v>
      </c>
      <c r="AM4876">
        <v>90.182656566275</v>
      </c>
      <c r="AN4876">
        <v>0.99999996945722402</v>
      </c>
    </row>
    <row r="4877" spans="1:40" x14ac:dyDescent="0.25">
      <c r="A4877" t="str">
        <f>"20190303153906732"</f>
        <v>20190303153906732</v>
      </c>
      <c r="B4877" t="str">
        <f>"1551598746723507"</f>
        <v>1551598746723507</v>
      </c>
      <c r="C4877" t="s">
        <v>40</v>
      </c>
      <c r="D4877">
        <v>4.485544</v>
      </c>
      <c r="E4877">
        <v>0.56337910000000002</v>
      </c>
      <c r="F4877" t="s">
        <v>44</v>
      </c>
      <c r="G4877">
        <v>-234.09899999999999</v>
      </c>
      <c r="H4877">
        <v>0.96964139999999999</v>
      </c>
      <c r="I4877">
        <v>215.61680000000001</v>
      </c>
      <c r="J4877">
        <v>-234.5326</v>
      </c>
      <c r="K4877">
        <v>1.12104</v>
      </c>
      <c r="L4877">
        <v>215.7319</v>
      </c>
      <c r="M4877">
        <v>0.99989189999999994</v>
      </c>
      <c r="N4877">
        <v>-1.3934780000000001E-2</v>
      </c>
      <c r="O4877">
        <v>4.7127419999999998E-3</v>
      </c>
      <c r="P4877">
        <v>0.99754759999999998</v>
      </c>
      <c r="Q4877">
        <v>-6.9648740000000001E-2</v>
      </c>
      <c r="R4877">
        <v>6.9114809999999997E-3</v>
      </c>
      <c r="S4877">
        <v>2.966904</v>
      </c>
      <c r="T4877">
        <v>-0.64429519999999996</v>
      </c>
      <c r="U4877">
        <v>-0.48377989999999998</v>
      </c>
      <c r="V4877">
        <v>-2.220334E-3</v>
      </c>
      <c r="W4877">
        <v>-5.5740659999999997E-2</v>
      </c>
      <c r="X4877">
        <v>0.99844279999999996</v>
      </c>
      <c r="Y4877">
        <v>0.16157360000000001</v>
      </c>
      <c r="Z4877">
        <v>-1.931913E-2</v>
      </c>
      <c r="AA4877">
        <v>0.98667159999999998</v>
      </c>
      <c r="AB4877">
        <v>26</v>
      </c>
      <c r="AC4877">
        <v>0.433599999999984</v>
      </c>
      <c r="AD4877">
        <v>-0.151398599999999</v>
      </c>
      <c r="AE4877">
        <v>-0.11509999999998401</v>
      </c>
      <c r="AF4877">
        <v>0.10516493214822201</v>
      </c>
      <c r="AG4877">
        <v>-0.151398599999999</v>
      </c>
      <c r="AH4877">
        <v>0.388774440107373</v>
      </c>
      <c r="AI4877">
        <v>110.601984008063</v>
      </c>
      <c r="AJ4877">
        <v>74.863528289910604</v>
      </c>
      <c r="AK4877">
        <v>0.43026359864216002</v>
      </c>
      <c r="AL4877">
        <v>93.195360738306107</v>
      </c>
      <c r="AM4877">
        <v>90.127413966633299</v>
      </c>
      <c r="AN4877">
        <v>0.99999998796607303</v>
      </c>
    </row>
    <row r="4878" spans="1:40" x14ac:dyDescent="0.25">
      <c r="A4878" t="str">
        <f>"20190303153906754"</f>
        <v>20190303153906754</v>
      </c>
      <c r="B4878" t="str">
        <f>"1551598746743027"</f>
        <v>1551598746743027</v>
      </c>
      <c r="C4878" t="s">
        <v>40</v>
      </c>
      <c r="D4878">
        <v>4.4703499999999998</v>
      </c>
      <c r="E4878">
        <v>0.56361700000000003</v>
      </c>
      <c r="F4878" t="s">
        <v>44</v>
      </c>
      <c r="G4878">
        <v>-233.65379999999999</v>
      </c>
      <c r="H4878">
        <v>0.92768539999999999</v>
      </c>
      <c r="I4878">
        <v>215.58690000000001</v>
      </c>
      <c r="J4878">
        <v>-234.27070000000001</v>
      </c>
      <c r="K4878">
        <v>1.121011</v>
      </c>
      <c r="L4878">
        <v>215.733</v>
      </c>
      <c r="M4878">
        <v>0.99989240000000001</v>
      </c>
      <c r="N4878">
        <v>-1.3933350000000001E-2</v>
      </c>
      <c r="O4878">
        <v>4.5992659999999899E-3</v>
      </c>
      <c r="P4878">
        <v>0.99744580000000005</v>
      </c>
      <c r="Q4878">
        <v>-7.1193580000000006E-2</v>
      </c>
      <c r="R4878">
        <v>5.7919620000000003E-3</v>
      </c>
      <c r="S4878">
        <v>2.965179</v>
      </c>
      <c r="T4878">
        <v>-0.65248609999999996</v>
      </c>
      <c r="U4878">
        <v>-0.48831180000000002</v>
      </c>
      <c r="V4878">
        <v>-1.2170950000000001E-3</v>
      </c>
      <c r="W4878">
        <v>-5.7288400000000003E-2</v>
      </c>
      <c r="X4878">
        <v>0.99835689999999999</v>
      </c>
      <c r="Y4878">
        <v>0.1628889</v>
      </c>
      <c r="Z4878">
        <v>-1.9682709999999999E-2</v>
      </c>
      <c r="AA4878">
        <v>0.98644799999999999</v>
      </c>
      <c r="AB4878">
        <v>26</v>
      </c>
      <c r="AC4878">
        <v>0.61690000000001499</v>
      </c>
      <c r="AD4878">
        <v>-0.19332559999999999</v>
      </c>
      <c r="AE4878">
        <v>-0.14609999999998899</v>
      </c>
      <c r="AF4878">
        <v>0.13626441581960599</v>
      </c>
      <c r="AG4878">
        <v>-0.19332559999999999</v>
      </c>
      <c r="AH4878">
        <v>0.56379281814781901</v>
      </c>
      <c r="AI4878">
        <v>108.43348640002</v>
      </c>
      <c r="AJ4878">
        <v>76.412618003600002</v>
      </c>
      <c r="AK4878">
        <v>0.61139604220920396</v>
      </c>
      <c r="AL4878">
        <v>93.284181729796401</v>
      </c>
      <c r="AM4878">
        <v>90.069849141344207</v>
      </c>
      <c r="AN4878">
        <v>0.99999997093620396</v>
      </c>
    </row>
    <row r="4879" spans="1:40" x14ac:dyDescent="0.25">
      <c r="A4879" t="str">
        <f>"20190303153906776"</f>
        <v>20190303153906776</v>
      </c>
      <c r="B4879" t="str">
        <f>"1551598746773283"</f>
        <v>1551598746773283</v>
      </c>
      <c r="C4879" t="s">
        <v>40</v>
      </c>
      <c r="D4879">
        <v>4.4613459999999998</v>
      </c>
      <c r="E4879">
        <v>0.56425029999999998</v>
      </c>
      <c r="F4879" t="s">
        <v>44</v>
      </c>
      <c r="G4879">
        <v>-233.42070000000001</v>
      </c>
      <c r="H4879">
        <v>0.93182520000000002</v>
      </c>
      <c r="I4879">
        <v>215.59129999999999</v>
      </c>
      <c r="J4879">
        <v>-234.0214</v>
      </c>
      <c r="K4879">
        <v>1.1209800000000001</v>
      </c>
      <c r="L4879">
        <v>215.73410000000001</v>
      </c>
      <c r="M4879">
        <v>0.99989300000000003</v>
      </c>
      <c r="N4879">
        <v>-1.3931839999999999E-2</v>
      </c>
      <c r="O4879">
        <v>4.4739339999999997E-3</v>
      </c>
      <c r="P4879">
        <v>0.99727449999999995</v>
      </c>
      <c r="Q4879">
        <v>-7.3635300000000001E-2</v>
      </c>
      <c r="R4879">
        <v>4.6523440000000001E-3</v>
      </c>
      <c r="S4879">
        <v>2.9634860000000001</v>
      </c>
      <c r="T4879">
        <v>-0.65965130000000005</v>
      </c>
      <c r="U4879">
        <v>-0.49407960000000001</v>
      </c>
      <c r="V4879">
        <v>-2.059273E-4</v>
      </c>
      <c r="W4879">
        <v>-5.9734089999999997E-2</v>
      </c>
      <c r="X4879">
        <v>0.9982143</v>
      </c>
      <c r="Y4879">
        <v>0.16459260000000001</v>
      </c>
      <c r="Z4879">
        <v>-2.0062469999999999E-2</v>
      </c>
      <c r="AA4879">
        <v>0.98615759999999997</v>
      </c>
      <c r="AB4879">
        <v>26</v>
      </c>
      <c r="AC4879">
        <v>0.60069999999998902</v>
      </c>
      <c r="AD4879">
        <v>-0.18915479999999901</v>
      </c>
      <c r="AE4879">
        <v>-0.14280000000002199</v>
      </c>
      <c r="AF4879">
        <v>0.133003624750302</v>
      </c>
      <c r="AG4879">
        <v>-0.18915479999999901</v>
      </c>
      <c r="AH4879">
        <v>0.54857043920621695</v>
      </c>
      <c r="AI4879">
        <v>108.52626981608201</v>
      </c>
      <c r="AJ4879">
        <v>76.3713427722506</v>
      </c>
      <c r="AK4879">
        <v>0.59531422738807505</v>
      </c>
      <c r="AL4879">
        <v>93.424549883214794</v>
      </c>
      <c r="AM4879">
        <v>90.011819871754099</v>
      </c>
      <c r="AN4879">
        <v>0.999999996319335</v>
      </c>
    </row>
    <row r="4880" spans="1:40" x14ac:dyDescent="0.25">
      <c r="A4880" t="str">
        <f>"20190303153906798"</f>
        <v>20190303153906798</v>
      </c>
      <c r="B4880" t="str">
        <f>"1551598746793780"</f>
        <v>1551598746793780</v>
      </c>
      <c r="C4880" t="s">
        <v>40</v>
      </c>
      <c r="D4880">
        <v>4.448664</v>
      </c>
      <c r="E4880">
        <v>0.56439240000000002</v>
      </c>
      <c r="F4880" t="s">
        <v>44</v>
      </c>
      <c r="G4880">
        <v>-233.19</v>
      </c>
      <c r="H4880">
        <v>0.93098289999999995</v>
      </c>
      <c r="I4880">
        <v>215.59270000000001</v>
      </c>
      <c r="J4880">
        <v>-233.7578</v>
      </c>
      <c r="K4880">
        <v>1.1209610000000001</v>
      </c>
      <c r="L4880">
        <v>215.73509999999999</v>
      </c>
      <c r="M4880">
        <v>0.99989360000000005</v>
      </c>
      <c r="N4880">
        <v>-1.3930049999999999E-2</v>
      </c>
      <c r="O4880">
        <v>4.3269199999999997E-3</v>
      </c>
      <c r="P4880">
        <v>0.99715900000000002</v>
      </c>
      <c r="Q4880">
        <v>-7.5247320000000006E-2</v>
      </c>
      <c r="R4880">
        <v>3.4135739999999999E-3</v>
      </c>
      <c r="S4880">
        <v>2.9606170000000001</v>
      </c>
      <c r="T4880">
        <v>-0.67658529999999995</v>
      </c>
      <c r="U4880">
        <v>-0.50238039999999995</v>
      </c>
      <c r="V4880">
        <v>8.8397189999999998E-4</v>
      </c>
      <c r="W4880">
        <v>-6.1349729999999998E-2</v>
      </c>
      <c r="X4880">
        <v>0.998116</v>
      </c>
      <c r="Y4880">
        <v>0.16701050000000001</v>
      </c>
      <c r="Z4880">
        <v>-2.0809089999999999E-2</v>
      </c>
      <c r="AA4880">
        <v>0.98573549999999999</v>
      </c>
      <c r="AB4880">
        <v>26</v>
      </c>
      <c r="AC4880">
        <v>0.56780000000000497</v>
      </c>
      <c r="AD4880">
        <v>-0.18997810000000001</v>
      </c>
      <c r="AE4880">
        <v>-0.14239999999997999</v>
      </c>
      <c r="AF4880">
        <v>0.131052794992814</v>
      </c>
      <c r="AG4880">
        <v>-0.18997810000000001</v>
      </c>
      <c r="AH4880">
        <v>0.513133471876415</v>
      </c>
      <c r="AI4880">
        <v>109.733773877598</v>
      </c>
      <c r="AJ4880">
        <v>75.673087752799205</v>
      </c>
      <c r="AK4880">
        <v>0.56264773483502295</v>
      </c>
      <c r="AL4880">
        <v>93.517289138403697</v>
      </c>
      <c r="AM4880">
        <v>89.949256553510594</v>
      </c>
      <c r="AN4880">
        <v>1.0000000601166901</v>
      </c>
    </row>
    <row r="4881" spans="1:40" x14ac:dyDescent="0.25">
      <c r="A4881" t="str">
        <f>"20190303153906822"</f>
        <v>20190303153906822</v>
      </c>
      <c r="B4881" t="str">
        <f>"1551598746813300"</f>
        <v>1551598746813300</v>
      </c>
      <c r="C4881" t="s">
        <v>40</v>
      </c>
      <c r="D4881">
        <v>4.4200200000000001</v>
      </c>
      <c r="E4881">
        <v>0.56488309999999997</v>
      </c>
      <c r="F4881" t="s">
        <v>44</v>
      </c>
      <c r="G4881">
        <v>-232.95760000000001</v>
      </c>
      <c r="H4881">
        <v>0.93453149999999996</v>
      </c>
      <c r="I4881">
        <v>215.5976</v>
      </c>
      <c r="J4881">
        <v>-233.49199999999999</v>
      </c>
      <c r="K4881">
        <v>1.1209549999999999</v>
      </c>
      <c r="L4881">
        <v>215.73609999999999</v>
      </c>
      <c r="M4881">
        <v>0.99989430000000001</v>
      </c>
      <c r="N4881">
        <v>-1.392812E-2</v>
      </c>
      <c r="O4881">
        <v>4.1691990000000002E-3</v>
      </c>
      <c r="P4881">
        <v>0.9971371</v>
      </c>
      <c r="Q4881">
        <v>-7.5585440000000004E-2</v>
      </c>
      <c r="R4881">
        <v>2.1040189999999999E-3</v>
      </c>
      <c r="S4881">
        <v>2.9582670000000002</v>
      </c>
      <c r="T4881">
        <v>-0.68922850000000002</v>
      </c>
      <c r="U4881">
        <v>-0.50714110000000001</v>
      </c>
      <c r="V4881">
        <v>2.0352590000000002E-3</v>
      </c>
      <c r="W4881">
        <v>-6.1690490000000001E-2</v>
      </c>
      <c r="X4881">
        <v>0.99809320000000001</v>
      </c>
      <c r="Y4881">
        <v>0.16832250000000001</v>
      </c>
      <c r="Z4881">
        <v>-2.130611E-2</v>
      </c>
      <c r="AA4881">
        <v>0.98550170000000004</v>
      </c>
      <c r="AB4881">
        <v>26</v>
      </c>
      <c r="AC4881">
        <v>0.53440000000000498</v>
      </c>
      <c r="AD4881">
        <v>-0.18642349999999899</v>
      </c>
      <c r="AE4881">
        <v>-0.13849999999999299</v>
      </c>
      <c r="AF4881">
        <v>0.12632199652453899</v>
      </c>
      <c r="AG4881">
        <v>-0.18642349999999899</v>
      </c>
      <c r="AH4881">
        <v>0.47917544619656399</v>
      </c>
      <c r="AI4881">
        <v>110.616188166444</v>
      </c>
      <c r="AJ4881">
        <v>75.231480735963501</v>
      </c>
      <c r="AK4881">
        <v>0.529452619594872</v>
      </c>
      <c r="AL4881">
        <v>93.536850698343301</v>
      </c>
      <c r="AM4881">
        <v>89.883165630937199</v>
      </c>
      <c r="AN4881">
        <v>0.999999947360937</v>
      </c>
    </row>
    <row r="4882" spans="1:40" x14ac:dyDescent="0.25">
      <c r="A4882" t="str">
        <f>"20190303153906842"</f>
        <v>20190303153906842</v>
      </c>
      <c r="B4882" t="str">
        <f>"1551598746833795"</f>
        <v>1551598746833795</v>
      </c>
      <c r="C4882" t="s">
        <v>40</v>
      </c>
      <c r="D4882">
        <v>4.4308889999999996</v>
      </c>
      <c r="E4882">
        <v>0.56487719999999997</v>
      </c>
      <c r="F4882" t="s">
        <v>44</v>
      </c>
      <c r="G4882">
        <v>-232.72389999999999</v>
      </c>
      <c r="H4882">
        <v>0.94119319999999895</v>
      </c>
      <c r="I4882">
        <v>215.6019</v>
      </c>
      <c r="J4882">
        <v>-233.24879999999999</v>
      </c>
      <c r="K4882">
        <v>1.1209629999999999</v>
      </c>
      <c r="L4882">
        <v>215.73689999999999</v>
      </c>
      <c r="M4882">
        <v>0.99989510000000004</v>
      </c>
      <c r="N4882">
        <v>-1.3926249999999999E-2</v>
      </c>
      <c r="O4882">
        <v>4.02119E-3</v>
      </c>
      <c r="P4882">
        <v>0.99724550000000001</v>
      </c>
      <c r="Q4882">
        <v>-7.4164629999999995E-2</v>
      </c>
      <c r="R4882">
        <v>1.188494E-3</v>
      </c>
      <c r="S4882">
        <v>2.95723</v>
      </c>
      <c r="T4882">
        <v>-0.69215009999999999</v>
      </c>
      <c r="U4882">
        <v>-0.51525880000000002</v>
      </c>
      <c r="V4882">
        <v>2.8036939999999998E-3</v>
      </c>
      <c r="W4882">
        <v>-6.0270440000000002E-2</v>
      </c>
      <c r="X4882">
        <v>0.99817809999999996</v>
      </c>
      <c r="Y4882">
        <v>0.17075670000000001</v>
      </c>
      <c r="Z4882">
        <v>-2.1656399999999999E-2</v>
      </c>
      <c r="AA4882">
        <v>0.98507520000000004</v>
      </c>
      <c r="AB4882">
        <v>26</v>
      </c>
      <c r="AC4882">
        <v>0.52490000000000203</v>
      </c>
      <c r="AD4882">
        <v>-0.17976980000000001</v>
      </c>
      <c r="AE4882">
        <v>-0.13499999999998999</v>
      </c>
      <c r="AF4882">
        <v>0.12352039290939799</v>
      </c>
      <c r="AG4882">
        <v>-0.17976980000000001</v>
      </c>
      <c r="AH4882">
        <v>0.47238237095074198</v>
      </c>
      <c r="AI4882">
        <v>110.212750744193</v>
      </c>
      <c r="AJ4882">
        <v>75.346173985866301</v>
      </c>
      <c r="AK4882">
        <v>0.52030719084169497</v>
      </c>
      <c r="AL4882">
        <v>93.455336094046501</v>
      </c>
      <c r="AM4882">
        <v>89.839067386074305</v>
      </c>
      <c r="AN4882">
        <v>0.99999995297872302</v>
      </c>
    </row>
    <row r="4883" spans="1:40" x14ac:dyDescent="0.25">
      <c r="A4883" t="str">
        <f>"20190303153906865"</f>
        <v>20190303153906865</v>
      </c>
      <c r="B4883" t="str">
        <f>"1551598746853315"</f>
        <v>1551598746853315</v>
      </c>
      <c r="C4883" t="s">
        <v>40</v>
      </c>
      <c r="D4883">
        <v>4.4637460000000004</v>
      </c>
      <c r="E4883">
        <v>0.56483530000000004</v>
      </c>
      <c r="F4883" t="s">
        <v>44</v>
      </c>
      <c r="G4883">
        <v>-232.4923</v>
      </c>
      <c r="H4883">
        <v>0.94403530000000002</v>
      </c>
      <c r="I4883">
        <v>215.60409999999999</v>
      </c>
      <c r="J4883">
        <v>-232.99340000000001</v>
      </c>
      <c r="K4883">
        <v>1.120967</v>
      </c>
      <c r="L4883">
        <v>215.73779999999999</v>
      </c>
      <c r="M4883">
        <v>0.99989570000000005</v>
      </c>
      <c r="N4883">
        <v>-1.392416E-2</v>
      </c>
      <c r="O4883">
        <v>3.8662380000000001E-3</v>
      </c>
      <c r="P4883">
        <v>0.99727900000000003</v>
      </c>
      <c r="Q4883">
        <v>-7.3713849999999997E-2</v>
      </c>
      <c r="R4883">
        <v>1.031917E-3</v>
      </c>
      <c r="S4883">
        <v>2.9574579999999999</v>
      </c>
      <c r="T4883">
        <v>-0.69178339999999905</v>
      </c>
      <c r="U4883">
        <v>-0.51893619999999996</v>
      </c>
      <c r="V4883">
        <v>2.8059199999999999E-3</v>
      </c>
      <c r="W4883">
        <v>-5.9821329999999999E-2</v>
      </c>
      <c r="X4883">
        <v>0.99820520000000001</v>
      </c>
      <c r="Y4883">
        <v>0.1717622</v>
      </c>
      <c r="Z4883">
        <v>-2.173108E-2</v>
      </c>
      <c r="AA4883">
        <v>0.98489870000000002</v>
      </c>
      <c r="AB4883">
        <v>26</v>
      </c>
      <c r="AC4883">
        <v>0.50110000000000798</v>
      </c>
      <c r="AD4883">
        <v>-0.176931699999999</v>
      </c>
      <c r="AE4883">
        <v>-0.13370000000000401</v>
      </c>
      <c r="AF4883">
        <v>0.121496242436889</v>
      </c>
      <c r="AG4883">
        <v>-0.176931699999999</v>
      </c>
      <c r="AH4883">
        <v>0.448393136270411</v>
      </c>
      <c r="AI4883">
        <v>110.849691531589</v>
      </c>
      <c r="AJ4883">
        <v>74.839213726332503</v>
      </c>
      <c r="AK4883">
        <v>0.49711424043733499</v>
      </c>
      <c r="AL4883">
        <v>93.429557161458604</v>
      </c>
      <c r="AM4883">
        <v>89.838943986449294</v>
      </c>
      <c r="AN4883">
        <v>1.0000000430085201</v>
      </c>
    </row>
    <row r="4884" spans="1:40" x14ac:dyDescent="0.25">
      <c r="A4884" t="str">
        <f>"20190303153906887"</f>
        <v>20190303153906887</v>
      </c>
      <c r="B4884" t="str">
        <f>"1551598746883571"</f>
        <v>1551598746883571</v>
      </c>
      <c r="C4884" t="s">
        <v>40</v>
      </c>
      <c r="D4884">
        <v>4.4393750000000001</v>
      </c>
      <c r="E4884">
        <v>0.56466989999999995</v>
      </c>
      <c r="F4884" t="s">
        <v>44</v>
      </c>
      <c r="G4884">
        <v>-232.26009999999999</v>
      </c>
      <c r="H4884">
        <v>0.94889259999999997</v>
      </c>
      <c r="I4884">
        <v>215.6088</v>
      </c>
      <c r="J4884">
        <v>-232.73609999999999</v>
      </c>
      <c r="K4884">
        <v>1.1209639999999901</v>
      </c>
      <c r="L4884">
        <v>215.73859999999999</v>
      </c>
      <c r="M4884">
        <v>0.99989620000000001</v>
      </c>
      <c r="N4884">
        <v>-1.3921950000000001E-2</v>
      </c>
      <c r="O4884">
        <v>3.7131450000000002E-3</v>
      </c>
      <c r="P4884">
        <v>0.9972434</v>
      </c>
      <c r="Q4884">
        <v>-7.4157329999999994E-2</v>
      </c>
      <c r="R4884">
        <v>2.4863110000000002E-3</v>
      </c>
      <c r="S4884">
        <v>2.9574129999999998</v>
      </c>
      <c r="T4884">
        <v>-0.69409949999999998</v>
      </c>
      <c r="U4884">
        <v>-0.51927190000000001</v>
      </c>
      <c r="V4884">
        <v>1.1987409999999999E-3</v>
      </c>
      <c r="W4884">
        <v>-6.0266899999999998E-2</v>
      </c>
      <c r="X4884">
        <v>0.9981816</v>
      </c>
      <c r="Y4884">
        <v>0.1716966</v>
      </c>
      <c r="Z4884">
        <v>-2.175709E-2</v>
      </c>
      <c r="AA4884">
        <v>0.98490960000000005</v>
      </c>
      <c r="AB4884">
        <v>26</v>
      </c>
      <c r="AC4884">
        <v>0.47599999999999898</v>
      </c>
      <c r="AD4884">
        <v>-0.17207139999999899</v>
      </c>
      <c r="AE4884">
        <v>-0.12979999999998801</v>
      </c>
      <c r="AF4884">
        <v>0.11729919786661799</v>
      </c>
      <c r="AG4884">
        <v>-0.17207139999999899</v>
      </c>
      <c r="AH4884">
        <v>0.42394830409737999</v>
      </c>
      <c r="AI4884">
        <v>111.36450461334501</v>
      </c>
      <c r="AJ4884">
        <v>74.534149690695898</v>
      </c>
      <c r="AK4884">
        <v>0.47233445043227201</v>
      </c>
      <c r="AL4884">
        <v>93.455132660923795</v>
      </c>
      <c r="AM4884">
        <v>89.931192112727004</v>
      </c>
      <c r="AN4884">
        <v>1.0000000213970699</v>
      </c>
    </row>
    <row r="4885" spans="1:40" x14ac:dyDescent="0.25">
      <c r="A4885" t="str">
        <f>"20190303153906909"</f>
        <v>20190303153906909</v>
      </c>
      <c r="B4885" t="str">
        <f>"1551598746903091"</f>
        <v>1551598746903091</v>
      </c>
      <c r="C4885" t="s">
        <v>40</v>
      </c>
      <c r="D4885">
        <v>4.4026620000000003</v>
      </c>
      <c r="E4885">
        <v>0.56451010000000001</v>
      </c>
      <c r="F4885" t="s">
        <v>44</v>
      </c>
      <c r="G4885">
        <v>-232.0284</v>
      </c>
      <c r="H4885">
        <v>0.953457</v>
      </c>
      <c r="I4885">
        <v>215.61539999999999</v>
      </c>
      <c r="J4885">
        <v>-232.47909999999999</v>
      </c>
      <c r="K4885">
        <v>1.120968</v>
      </c>
      <c r="L4885">
        <v>215.73949999999999</v>
      </c>
      <c r="M4885">
        <v>0.99989680000000003</v>
      </c>
      <c r="N4885">
        <v>-1.391971E-2</v>
      </c>
      <c r="O4885">
        <v>3.5635739999999999E-3</v>
      </c>
      <c r="P4885">
        <v>0.99721930000000003</v>
      </c>
      <c r="Q4885">
        <v>-7.4343039999999999E-2</v>
      </c>
      <c r="R4885">
        <v>5.1800379999999997E-3</v>
      </c>
      <c r="S4885">
        <v>2.9575200000000001</v>
      </c>
      <c r="T4885">
        <v>-0.70007559999999902</v>
      </c>
      <c r="U4885">
        <v>-0.51423649999999999</v>
      </c>
      <c r="V4885">
        <v>-1.6438080000000001E-3</v>
      </c>
      <c r="W4885">
        <v>-6.0454170000000002E-2</v>
      </c>
      <c r="X4885">
        <v>0.99816959999999999</v>
      </c>
      <c r="Y4885">
        <v>0.16988819999999999</v>
      </c>
      <c r="Z4885">
        <v>-2.1676689999999998E-2</v>
      </c>
      <c r="AA4885">
        <v>0.98522489999999996</v>
      </c>
      <c r="AB4885">
        <v>26</v>
      </c>
      <c r="AC4885">
        <v>0.450699999999983</v>
      </c>
      <c r="AD4885">
        <v>-0.16751099999999899</v>
      </c>
      <c r="AE4885">
        <v>-0.124099999999998</v>
      </c>
      <c r="AF4885">
        <v>0.11140128242705601</v>
      </c>
      <c r="AG4885">
        <v>-0.16751099999999899</v>
      </c>
      <c r="AH4885">
        <v>0.39901977383500198</v>
      </c>
      <c r="AI4885">
        <v>112.01562700922899</v>
      </c>
      <c r="AJ4885">
        <v>74.400937811407303</v>
      </c>
      <c r="AK4885">
        <v>0.446863469930949</v>
      </c>
      <c r="AL4885">
        <v>93.465882186468704</v>
      </c>
      <c r="AM4885">
        <v>90.094355884598698</v>
      </c>
      <c r="AN4885">
        <v>0.99999997956964404</v>
      </c>
    </row>
    <row r="4886" spans="1:40" x14ac:dyDescent="0.25">
      <c r="A4886" t="str">
        <f>"20190303153906932"</f>
        <v>20190303153906932</v>
      </c>
      <c r="B4886" t="str">
        <f>"1551598746923587"</f>
        <v>1551598746923587</v>
      </c>
      <c r="C4886" t="s">
        <v>40</v>
      </c>
      <c r="D4886">
        <v>4.4546510000000001</v>
      </c>
      <c r="E4886">
        <v>0.56434770000000001</v>
      </c>
      <c r="F4886" t="s">
        <v>44</v>
      </c>
      <c r="G4886">
        <v>-231.58840000000001</v>
      </c>
      <c r="H4886">
        <v>0.90927800000000003</v>
      </c>
      <c r="I4886">
        <v>215.58699999999999</v>
      </c>
      <c r="J4886">
        <v>-232.21729999999999</v>
      </c>
      <c r="K4886">
        <v>1.1209789999999999</v>
      </c>
      <c r="L4886">
        <v>215.74019999999999</v>
      </c>
      <c r="M4886">
        <v>0.99989729999999999</v>
      </c>
      <c r="N4886">
        <v>-1.391734E-2</v>
      </c>
      <c r="O4886">
        <v>3.4148400000000001E-3</v>
      </c>
      <c r="P4886">
        <v>0.99737350000000002</v>
      </c>
      <c r="Q4886">
        <v>-7.2074890000000003E-2</v>
      </c>
      <c r="R4886">
        <v>7.1731719999999898E-3</v>
      </c>
      <c r="S4886">
        <v>2.9585880000000002</v>
      </c>
      <c r="T4886">
        <v>-0.70320550000000004</v>
      </c>
      <c r="U4886">
        <v>-0.50540160000000001</v>
      </c>
      <c r="V4886">
        <v>-3.7842489999999999E-3</v>
      </c>
      <c r="W4886">
        <v>-5.8185729999999998E-2</v>
      </c>
      <c r="X4886">
        <v>0.99829860000000004</v>
      </c>
      <c r="Y4886">
        <v>0.1668722</v>
      </c>
      <c r="Z4886">
        <v>-2.1358370000000002E-2</v>
      </c>
      <c r="AA4886">
        <v>0.98574720000000005</v>
      </c>
      <c r="AB4886">
        <v>26</v>
      </c>
      <c r="AC4886">
        <v>0.62889999999998702</v>
      </c>
      <c r="AD4886">
        <v>-0.211701</v>
      </c>
      <c r="AE4886">
        <v>-0.153199999999969</v>
      </c>
      <c r="AF4886">
        <v>0.140335718297534</v>
      </c>
      <c r="AG4886">
        <v>-0.211701</v>
      </c>
      <c r="AH4886">
        <v>0.567653361924078</v>
      </c>
      <c r="AI4886">
        <v>109.902336016402</v>
      </c>
      <c r="AJ4886">
        <v>76.113723835630907</v>
      </c>
      <c r="AK4886">
        <v>0.62188565390656303</v>
      </c>
      <c r="AL4886">
        <v>93.335680776644296</v>
      </c>
      <c r="AM4886">
        <v>90.217189984844495</v>
      </c>
      <c r="AN4886">
        <v>0.99999999723904298</v>
      </c>
    </row>
    <row r="4887" spans="1:40" x14ac:dyDescent="0.25">
      <c r="A4887" t="str">
        <f>"20190303153906955"</f>
        <v>20190303153906955</v>
      </c>
      <c r="B4887" t="str">
        <f>"1551598746943107"</f>
        <v>1551598746943107</v>
      </c>
      <c r="C4887" t="s">
        <v>40</v>
      </c>
      <c r="D4887">
        <v>4.4137449999999996</v>
      </c>
      <c r="E4887">
        <v>0.56424339999999995</v>
      </c>
      <c r="F4887" t="s">
        <v>44</v>
      </c>
      <c r="G4887">
        <v>-231.3563</v>
      </c>
      <c r="H4887">
        <v>0.91767169999999998</v>
      </c>
      <c r="I4887">
        <v>215.595</v>
      </c>
      <c r="J4887">
        <v>-231.9579</v>
      </c>
      <c r="K4887">
        <v>1.1209990000000001</v>
      </c>
      <c r="L4887">
        <v>215.74090000000001</v>
      </c>
      <c r="M4887">
        <v>0.99989790000000001</v>
      </c>
      <c r="N4887">
        <v>-1.3914930000000001E-2</v>
      </c>
      <c r="O4887">
        <v>3.268614E-3</v>
      </c>
      <c r="P4887">
        <v>0.99755609999999995</v>
      </c>
      <c r="Q4887">
        <v>-6.9350770000000006E-2</v>
      </c>
      <c r="R4887">
        <v>8.5019029999999999E-3</v>
      </c>
      <c r="S4887">
        <v>2.9609529999999999</v>
      </c>
      <c r="T4887">
        <v>-0.69925329999999997</v>
      </c>
      <c r="U4887">
        <v>-0.49818420000000002</v>
      </c>
      <c r="V4887">
        <v>-5.2574090000000002E-3</v>
      </c>
      <c r="W4887">
        <v>-5.546127E-2</v>
      </c>
      <c r="X4887">
        <v>0.99844699999999997</v>
      </c>
      <c r="Y4887">
        <v>0.1643927</v>
      </c>
      <c r="Z4887">
        <v>-2.0899239999999999E-2</v>
      </c>
      <c r="AA4887">
        <v>0.98617350000000004</v>
      </c>
      <c r="AB4887">
        <v>26</v>
      </c>
      <c r="AC4887">
        <v>0.60159999999999003</v>
      </c>
      <c r="AD4887">
        <v>-0.20332729999999999</v>
      </c>
      <c r="AE4887">
        <v>-0.14590000000001099</v>
      </c>
      <c r="AF4887">
        <v>0.13346692225767101</v>
      </c>
      <c r="AG4887">
        <v>-0.20332729999999999</v>
      </c>
      <c r="AH4887">
        <v>0.54258395975596896</v>
      </c>
      <c r="AI4887">
        <v>109.996009694721</v>
      </c>
      <c r="AJ4887">
        <v>76.180529925691005</v>
      </c>
      <c r="AK4887">
        <v>0.59460303030399397</v>
      </c>
      <c r="AL4887">
        <v>93.179328023137899</v>
      </c>
      <c r="AM4887">
        <v>90.301693092309307</v>
      </c>
      <c r="AN4887">
        <v>1.0000000023141999</v>
      </c>
    </row>
    <row r="4888" spans="1:40" x14ac:dyDescent="0.25">
      <c r="A4888" t="str">
        <f>"20190303153906977"</f>
        <v>20190303153906977</v>
      </c>
      <c r="B4888" t="str">
        <f>"1551598746973363"</f>
        <v>1551598746973363</v>
      </c>
      <c r="C4888" t="s">
        <v>40</v>
      </c>
      <c r="D4888">
        <v>4.4198579999999996</v>
      </c>
      <c r="E4888">
        <v>0.56414010000000003</v>
      </c>
      <c r="F4888" t="s">
        <v>44</v>
      </c>
      <c r="G4888">
        <v>-231.12459999999999</v>
      </c>
      <c r="H4888">
        <v>0.92566470000000001</v>
      </c>
      <c r="I4888">
        <v>215.60220000000001</v>
      </c>
      <c r="J4888">
        <v>-231.71299999999999</v>
      </c>
      <c r="K4888">
        <v>1.1210169999999999</v>
      </c>
      <c r="L4888">
        <v>215.74160000000001</v>
      </c>
      <c r="M4888">
        <v>0.99989839999999997</v>
      </c>
      <c r="N4888">
        <v>-1.3912620000000001E-2</v>
      </c>
      <c r="O4888">
        <v>3.1311529999999998E-3</v>
      </c>
      <c r="P4888">
        <v>0.99763100000000005</v>
      </c>
      <c r="Q4888">
        <v>-6.8226919999999996E-2</v>
      </c>
      <c r="R4888">
        <v>8.8223469999999995E-3</v>
      </c>
      <c r="S4888">
        <v>2.963257</v>
      </c>
      <c r="T4888">
        <v>-0.69465080000000001</v>
      </c>
      <c r="U4888">
        <v>-0.49295040000000001</v>
      </c>
      <c r="V4888">
        <v>-5.71434E-3</v>
      </c>
      <c r="W4888">
        <v>-5.4338659999999997E-2</v>
      </c>
      <c r="X4888">
        <v>0.99850620000000001</v>
      </c>
      <c r="Y4888">
        <v>0.16255700000000001</v>
      </c>
      <c r="Z4888">
        <v>-2.050627E-2</v>
      </c>
      <c r="AA4888">
        <v>0.98648599999999997</v>
      </c>
      <c r="AB4888">
        <v>26</v>
      </c>
      <c r="AC4888">
        <v>0.58840000000000703</v>
      </c>
      <c r="AD4888">
        <v>-0.19535230000000001</v>
      </c>
      <c r="AE4888">
        <v>-0.139399999999994</v>
      </c>
      <c r="AF4888">
        <v>0.12789362430791901</v>
      </c>
      <c r="AG4888">
        <v>-0.19535230000000001</v>
      </c>
      <c r="AH4888">
        <v>0.53239463214752802</v>
      </c>
      <c r="AI4888">
        <v>109.635451101298</v>
      </c>
      <c r="AJ4888">
        <v>76.492167054059294</v>
      </c>
      <c r="AK4888">
        <v>0.58134614868717205</v>
      </c>
      <c r="AL4888">
        <v>93.114910099541106</v>
      </c>
      <c r="AM4888">
        <v>90.327893798170393</v>
      </c>
      <c r="AN4888">
        <v>0.99999998754533503</v>
      </c>
    </row>
    <row r="4889" spans="1:40" x14ac:dyDescent="0.25">
      <c r="A4889" t="str">
        <f>"20190303153907000"</f>
        <v>20190303153907000</v>
      </c>
      <c r="B4889" t="str">
        <f>"1551598746993860"</f>
        <v>1551598746993860</v>
      </c>
      <c r="C4889" t="s">
        <v>40</v>
      </c>
      <c r="D4889">
        <v>4.425033</v>
      </c>
      <c r="E4889">
        <v>0.56407399999999996</v>
      </c>
      <c r="F4889" t="s">
        <v>44</v>
      </c>
      <c r="G4889">
        <v>-230.8948</v>
      </c>
      <c r="H4889">
        <v>0.92926560000000002</v>
      </c>
      <c r="I4889">
        <v>215.60579999999999</v>
      </c>
      <c r="J4889">
        <v>-231.44839999999999</v>
      </c>
      <c r="K4889">
        <v>1.121014</v>
      </c>
      <c r="L4889">
        <v>215.7423</v>
      </c>
      <c r="M4889">
        <v>0.99989890000000003</v>
      </c>
      <c r="N4889">
        <v>-1.391009E-2</v>
      </c>
      <c r="O4889">
        <v>2.9834420000000002E-3</v>
      </c>
      <c r="P4889">
        <v>0.99755910000000003</v>
      </c>
      <c r="Q4889">
        <v>-6.9404859999999999E-2</v>
      </c>
      <c r="R4889">
        <v>7.6690990000000004E-3</v>
      </c>
      <c r="S4889">
        <v>2.963943</v>
      </c>
      <c r="T4889">
        <v>-0.69470509999999996</v>
      </c>
      <c r="U4889">
        <v>-0.49147030000000003</v>
      </c>
      <c r="V4889">
        <v>-4.7084539999999999E-3</v>
      </c>
      <c r="W4889">
        <v>-5.5520390000000003E-2</v>
      </c>
      <c r="X4889">
        <v>0.99844650000000001</v>
      </c>
      <c r="Y4889">
        <v>0.16191729999999999</v>
      </c>
      <c r="Z4889">
        <v>-2.0393990000000001E-2</v>
      </c>
      <c r="AA4889">
        <v>0.98659350000000001</v>
      </c>
      <c r="AB4889">
        <v>26</v>
      </c>
      <c r="AC4889">
        <v>0.55359999999998799</v>
      </c>
      <c r="AD4889">
        <v>-0.19174840000000001</v>
      </c>
      <c r="AE4889">
        <v>-0.136500000000012</v>
      </c>
      <c r="AF4889">
        <v>0.124114572013278</v>
      </c>
      <c r="AG4889">
        <v>-0.19174840000000001</v>
      </c>
      <c r="AH4889">
        <v>0.49698431229825701</v>
      </c>
      <c r="AI4889">
        <v>110.522252128552</v>
      </c>
      <c r="AJ4889">
        <v>75.978026526891995</v>
      </c>
      <c r="AK4889">
        <v>0.54696003744256405</v>
      </c>
      <c r="AL4889">
        <v>93.182720430350898</v>
      </c>
      <c r="AM4889">
        <v>90.270192286173696</v>
      </c>
      <c r="AN4889">
        <v>1.0000000483035301</v>
      </c>
    </row>
    <row r="4890" spans="1:40" x14ac:dyDescent="0.25">
      <c r="A4890" t="str">
        <f>"20190303153907022"</f>
        <v>20190303153907022</v>
      </c>
      <c r="B4890" t="str">
        <f>"1551598747013380"</f>
        <v>1551598747013380</v>
      </c>
      <c r="C4890" t="s">
        <v>40</v>
      </c>
      <c r="D4890">
        <v>4.4246369999999997</v>
      </c>
      <c r="E4890">
        <v>0.56401610000000002</v>
      </c>
      <c r="F4890" t="s">
        <v>44</v>
      </c>
      <c r="G4890">
        <v>-230.66390000000001</v>
      </c>
      <c r="H4890">
        <v>0.93560030000000005</v>
      </c>
      <c r="I4890">
        <v>215.61089999999999</v>
      </c>
      <c r="J4890">
        <v>-231.19319999999999</v>
      </c>
      <c r="K4890">
        <v>1.1210009999999999</v>
      </c>
      <c r="L4890">
        <v>215.74289999999999</v>
      </c>
      <c r="M4890">
        <v>0.99989919999999999</v>
      </c>
      <c r="N4890">
        <v>-1.390775E-2</v>
      </c>
      <c r="O4890">
        <v>2.8410890000000002E-3</v>
      </c>
      <c r="P4890">
        <v>0.99739520000000004</v>
      </c>
      <c r="Q4890">
        <v>-7.186671E-2</v>
      </c>
      <c r="R4890">
        <v>6.1596180000000004E-3</v>
      </c>
      <c r="S4890">
        <v>2.9624329999999999</v>
      </c>
      <c r="T4890">
        <v>-0.70023310000000005</v>
      </c>
      <c r="U4890">
        <v>-0.49557499999999999</v>
      </c>
      <c r="V4890">
        <v>-3.3425360000000001E-3</v>
      </c>
      <c r="W4890">
        <v>-5.79871E-2</v>
      </c>
      <c r="X4890">
        <v>0.99831179999999997</v>
      </c>
      <c r="Y4890">
        <v>0.16308429999999999</v>
      </c>
      <c r="Z4890">
        <v>-2.066343E-2</v>
      </c>
      <c r="AA4890">
        <v>0.98639569999999999</v>
      </c>
      <c r="AB4890">
        <v>26</v>
      </c>
      <c r="AC4890">
        <v>0.52929999999997701</v>
      </c>
      <c r="AD4890">
        <v>-0.185400699999999</v>
      </c>
      <c r="AE4890">
        <v>-0.132000000000005</v>
      </c>
      <c r="AF4890">
        <v>0.11967937119411801</v>
      </c>
      <c r="AG4890">
        <v>-0.185400699999999</v>
      </c>
      <c r="AH4890">
        <v>0.47415382676926798</v>
      </c>
      <c r="AI4890">
        <v>110.762895595053</v>
      </c>
      <c r="AJ4890">
        <v>75.834074150196599</v>
      </c>
      <c r="AK4890">
        <v>0.52298988794225398</v>
      </c>
      <c r="AL4890">
        <v>93.324280648426296</v>
      </c>
      <c r="AM4890">
        <v>90.191836348153899</v>
      </c>
      <c r="AN4890">
        <v>1.00000006316627</v>
      </c>
    </row>
    <row r="4891" spans="1:40" x14ac:dyDescent="0.25">
      <c r="A4891" t="str">
        <f>"20190303153907044"</f>
        <v>20190303153907044</v>
      </c>
      <c r="B4891" t="str">
        <f>"1551598747033876"</f>
        <v>1551598747033876</v>
      </c>
      <c r="C4891" t="s">
        <v>40</v>
      </c>
      <c r="D4891">
        <v>4.4165279999999996</v>
      </c>
      <c r="E4891">
        <v>0.56393179999999998</v>
      </c>
      <c r="F4891" t="s">
        <v>44</v>
      </c>
      <c r="G4891">
        <v>-230.43459999999999</v>
      </c>
      <c r="H4891">
        <v>0.93920230000000005</v>
      </c>
      <c r="I4891">
        <v>215.61449999999999</v>
      </c>
      <c r="J4891">
        <v>-230.94640000000001</v>
      </c>
      <c r="K4891">
        <v>1.120992</v>
      </c>
      <c r="L4891">
        <v>215.74340000000001</v>
      </c>
      <c r="M4891">
        <v>0.99989980000000001</v>
      </c>
      <c r="N4891">
        <v>-1.390546E-2</v>
      </c>
      <c r="O4891">
        <v>2.7059620000000001E-3</v>
      </c>
      <c r="P4891">
        <v>0.99722219999999995</v>
      </c>
      <c r="Q4891">
        <v>-7.4363650000000003E-2</v>
      </c>
      <c r="R4891">
        <v>4.302892E-3</v>
      </c>
      <c r="S4891">
        <v>2.9597929999999999</v>
      </c>
      <c r="T4891">
        <v>-0.70934459999999999</v>
      </c>
      <c r="U4891">
        <v>-0.49981690000000001</v>
      </c>
      <c r="V4891">
        <v>-1.6214350000000001E-3</v>
      </c>
      <c r="W4891">
        <v>-6.0489069999999999E-2</v>
      </c>
      <c r="X4891">
        <v>0.99816749999999999</v>
      </c>
      <c r="Y4891">
        <v>0.16431109999999999</v>
      </c>
      <c r="Z4891">
        <v>-2.1048839999999999E-2</v>
      </c>
      <c r="AA4891">
        <v>0.9861839</v>
      </c>
      <c r="AB4891">
        <v>26</v>
      </c>
      <c r="AC4891">
        <v>0.51180000000002202</v>
      </c>
      <c r="AD4891">
        <v>-0.181789699999999</v>
      </c>
      <c r="AE4891">
        <v>-0.128900000000015</v>
      </c>
      <c r="AF4891">
        <v>0.116467012383281</v>
      </c>
      <c r="AG4891">
        <v>-0.181789699999999</v>
      </c>
      <c r="AH4891">
        <v>0.45720663488521701</v>
      </c>
      <c r="AI4891">
        <v>111.071907285393</v>
      </c>
      <c r="AJ4891">
        <v>75.708648903683894</v>
      </c>
      <c r="AK4891">
        <v>0.50561840055781304</v>
      </c>
      <c r="AL4891">
        <v>93.467885552554094</v>
      </c>
      <c r="AM4891">
        <v>90.093071854715305</v>
      </c>
      <c r="AN4891">
        <v>0.99999995734858604</v>
      </c>
    </row>
    <row r="4892" spans="1:40" x14ac:dyDescent="0.25">
      <c r="A4892" t="str">
        <f>"20190303153907067"</f>
        <v>20190303153907067</v>
      </c>
      <c r="B4892" t="str">
        <f>"1551598747053395"</f>
        <v>1551598747053395</v>
      </c>
      <c r="C4892" t="s">
        <v>40</v>
      </c>
      <c r="D4892">
        <v>4.2417009999999999</v>
      </c>
      <c r="E4892">
        <v>0.56384190000000001</v>
      </c>
      <c r="F4892" t="s">
        <v>44</v>
      </c>
      <c r="G4892">
        <v>-230.2063</v>
      </c>
      <c r="H4892">
        <v>0.94107940000000001</v>
      </c>
      <c r="I4892">
        <v>215.61689999999999</v>
      </c>
      <c r="J4892">
        <v>-230.69030000000001</v>
      </c>
      <c r="K4892">
        <v>1.1209880000000001</v>
      </c>
      <c r="L4892">
        <v>215.744</v>
      </c>
      <c r="M4892">
        <v>0.99990000000000001</v>
      </c>
      <c r="N4892">
        <v>-1.390278E-2</v>
      </c>
      <c r="O4892">
        <v>2.5744069999999999E-3</v>
      </c>
      <c r="P4892">
        <v>0.99710030000000005</v>
      </c>
      <c r="Q4892">
        <v>-7.6039369999999995E-2</v>
      </c>
      <c r="R4892">
        <v>3.0249999999999999E-3</v>
      </c>
      <c r="S4892">
        <v>2.9569399999999999</v>
      </c>
      <c r="T4892">
        <v>-0.71876110000000004</v>
      </c>
      <c r="U4892">
        <v>-0.50531009999999998</v>
      </c>
      <c r="V4892">
        <v>-4.747884E-4</v>
      </c>
      <c r="W4892">
        <v>-6.216936E-2</v>
      </c>
      <c r="X4892">
        <v>0.99806550000000005</v>
      </c>
      <c r="Y4892">
        <v>0.16594020000000001</v>
      </c>
      <c r="Z4892">
        <v>-2.1497970000000002E-2</v>
      </c>
      <c r="AA4892">
        <v>0.98590149999999999</v>
      </c>
      <c r="AB4892">
        <v>25</v>
      </c>
      <c r="AC4892">
        <v>0.48400000000000798</v>
      </c>
      <c r="AD4892">
        <v>-0.179908599999999</v>
      </c>
      <c r="AE4892">
        <v>-0.12710000000004101</v>
      </c>
      <c r="AF4892">
        <v>0.113655084948972</v>
      </c>
      <c r="AG4892">
        <v>-0.179908599999999</v>
      </c>
      <c r="AH4892">
        <v>0.42830948923828699</v>
      </c>
      <c r="AI4892">
        <v>112.096793516606</v>
      </c>
      <c r="AJ4892">
        <v>75.138641736707399</v>
      </c>
      <c r="AK4892">
        <v>0.47826101791833298</v>
      </c>
      <c r="AL4892">
        <v>93.564340514469805</v>
      </c>
      <c r="AM4892">
        <v>90.027256096348097</v>
      </c>
      <c r="AN4892">
        <v>0.99999999851854204</v>
      </c>
    </row>
    <row r="4893" spans="1:40" x14ac:dyDescent="0.25">
      <c r="A4893" t="str">
        <f>"20190303153907089"</f>
        <v>20190303153907089</v>
      </c>
      <c r="B4893" t="str">
        <f>"1551598747083655"</f>
        <v>1551598747083655</v>
      </c>
      <c r="C4893" t="s">
        <v>40</v>
      </c>
      <c r="D4893">
        <v>4.3418659999999996</v>
      </c>
      <c r="E4893">
        <v>0.54390550000000004</v>
      </c>
      <c r="F4893" t="s">
        <v>44</v>
      </c>
      <c r="G4893">
        <v>-229.97659999999999</v>
      </c>
      <c r="H4893">
        <v>0.94647289999999995</v>
      </c>
      <c r="I4893">
        <v>215.62090000000001</v>
      </c>
      <c r="J4893">
        <v>-230.43270000000001</v>
      </c>
      <c r="K4893">
        <v>1.120989</v>
      </c>
      <c r="L4893">
        <v>215.74449999999999</v>
      </c>
      <c r="M4893">
        <v>0.99990049999999997</v>
      </c>
      <c r="N4893">
        <v>-1.3899949999999999E-2</v>
      </c>
      <c r="O4893">
        <v>2.45371E-3</v>
      </c>
      <c r="P4893">
        <v>0.99703830000000004</v>
      </c>
      <c r="Q4893">
        <v>-7.6852000000000004E-2</v>
      </c>
      <c r="R4893">
        <v>2.9203620000000001E-3</v>
      </c>
      <c r="S4893">
        <v>2.9551539999999998</v>
      </c>
      <c r="T4893">
        <v>-0.72271289999999999</v>
      </c>
      <c r="U4893">
        <v>-0.50936890000000001</v>
      </c>
      <c r="V4893">
        <v>-4.8951660000000005E-4</v>
      </c>
      <c r="W4893">
        <v>-6.2985609999999997E-2</v>
      </c>
      <c r="X4893">
        <v>0.99801430000000002</v>
      </c>
      <c r="Y4893">
        <v>0.16714419999999999</v>
      </c>
      <c r="Z4893">
        <v>-2.1741819999999999E-2</v>
      </c>
      <c r="AA4893">
        <v>0.98569269999999998</v>
      </c>
      <c r="AB4893">
        <v>25</v>
      </c>
      <c r="AC4893">
        <v>0.45610000000001999</v>
      </c>
      <c r="AD4893">
        <v>-0.17451610000000001</v>
      </c>
      <c r="AE4893">
        <v>-0.123599999999981</v>
      </c>
      <c r="AF4893">
        <v>0.10975031571284299</v>
      </c>
      <c r="AG4893">
        <v>-0.17451610000000001</v>
      </c>
      <c r="AH4893">
        <v>0.40109150247728298</v>
      </c>
      <c r="AI4893">
        <v>112.766593004988</v>
      </c>
      <c r="AJ4893">
        <v>74.696797455788399</v>
      </c>
      <c r="AK4893">
        <v>0.45097161143220899</v>
      </c>
      <c r="AL4893">
        <v>93.611200084886804</v>
      </c>
      <c r="AM4893">
        <v>90.028103037133206</v>
      </c>
      <c r="AN4893">
        <v>0.99999998484903097</v>
      </c>
    </row>
    <row r="4894" spans="1:40" x14ac:dyDescent="0.25">
      <c r="A4894" t="str">
        <f>"20190303153907111"</f>
        <v>20190303153907111</v>
      </c>
      <c r="B4894" t="str">
        <f>"1551598747103172"</f>
        <v>1551598747103172</v>
      </c>
      <c r="C4894" t="s">
        <v>40</v>
      </c>
      <c r="D4894">
        <v>4.3670589999999896</v>
      </c>
      <c r="E4894">
        <v>0.54187399999999997</v>
      </c>
      <c r="F4894" t="s">
        <v>44</v>
      </c>
      <c r="G4894">
        <v>-229.7003</v>
      </c>
      <c r="H4894">
        <v>1.04633</v>
      </c>
      <c r="I4894">
        <v>215.66030000000001</v>
      </c>
      <c r="J4894">
        <v>-230.18049999999999</v>
      </c>
      <c r="K4894">
        <v>1.1209929999999999</v>
      </c>
      <c r="L4894">
        <v>215.745</v>
      </c>
      <c r="M4894">
        <v>0.99990060000000003</v>
      </c>
      <c r="N4894">
        <v>-1.389719E-2</v>
      </c>
      <c r="O4894">
        <v>2.3501630000000002E-3</v>
      </c>
      <c r="P4894">
        <v>0.99689709999999998</v>
      </c>
      <c r="Q4894">
        <v>-7.8653650000000006E-2</v>
      </c>
      <c r="R4894">
        <v>3.1077990000000001E-3</v>
      </c>
      <c r="S4894">
        <v>2.9864649999999999</v>
      </c>
      <c r="T4894">
        <v>-0.3044114</v>
      </c>
      <c r="U4894">
        <v>-0.3429413</v>
      </c>
      <c r="V4894">
        <v>-7.7876780000000004E-4</v>
      </c>
      <c r="W4894">
        <v>-6.4791769999999999E-2</v>
      </c>
      <c r="X4894">
        <v>0.99789850000000002</v>
      </c>
      <c r="Y4894">
        <v>0.115734</v>
      </c>
      <c r="Z4894">
        <v>-6.8789200000000002E-3</v>
      </c>
      <c r="AA4894">
        <v>0.99325640000000004</v>
      </c>
      <c r="AB4894">
        <v>25</v>
      </c>
      <c r="AC4894">
        <v>0.48019999999999602</v>
      </c>
      <c r="AD4894">
        <v>-7.4663000000000104E-2</v>
      </c>
      <c r="AE4894">
        <v>-8.4699999999997999E-2</v>
      </c>
      <c r="AF4894">
        <v>8.3862225317395095E-2</v>
      </c>
      <c r="AG4894">
        <v>-7.4663000000000104E-2</v>
      </c>
      <c r="AH4894">
        <v>0.46900353806110101</v>
      </c>
      <c r="AI4894">
        <v>98.906354677434294</v>
      </c>
      <c r="AJ4894">
        <v>79.862117361272894</v>
      </c>
      <c r="AK4894">
        <v>0.48225693890084798</v>
      </c>
      <c r="AL4894">
        <v>93.714897246722501</v>
      </c>
      <c r="AM4894">
        <v>90.044714065711304</v>
      </c>
      <c r="AN4894">
        <v>0.999999998120634</v>
      </c>
    </row>
    <row r="4895" spans="1:40" x14ac:dyDescent="0.25">
      <c r="A4895" t="str">
        <f>"20190303153907133"</f>
        <v>20190303153907133</v>
      </c>
      <c r="B4895" t="str">
        <f>"1551598747123668"</f>
        <v>1551598747123668</v>
      </c>
      <c r="C4895" t="s">
        <v>40</v>
      </c>
      <c r="D4895">
        <v>4.337815</v>
      </c>
      <c r="E4895">
        <v>0.54112740000000004</v>
      </c>
      <c r="F4895" t="s">
        <v>44</v>
      </c>
      <c r="G4895">
        <v>-229.2484</v>
      </c>
      <c r="H4895">
        <v>1.0441069999999999</v>
      </c>
      <c r="I4895">
        <v>215.64359999999999</v>
      </c>
      <c r="J4895">
        <v>-229.9359</v>
      </c>
      <c r="K4895">
        <v>1.121</v>
      </c>
      <c r="L4895">
        <v>215.74549999999999</v>
      </c>
      <c r="M4895">
        <v>0.99990100000000004</v>
      </c>
      <c r="N4895">
        <v>-1.3894510000000001E-2</v>
      </c>
      <c r="O4895">
        <v>2.264687E-3</v>
      </c>
      <c r="P4895">
        <v>0.99669580000000002</v>
      </c>
      <c r="Q4895">
        <v>-8.115646E-2</v>
      </c>
      <c r="R4895">
        <v>3.385632E-3</v>
      </c>
      <c r="S4895">
        <v>2.990891</v>
      </c>
      <c r="T4895">
        <v>-0.24671999999999999</v>
      </c>
      <c r="U4895">
        <v>-0.32498169999999998</v>
      </c>
      <c r="V4895">
        <v>-1.1411640000000001E-3</v>
      </c>
      <c r="W4895">
        <v>-6.7299750000000005E-2</v>
      </c>
      <c r="X4895">
        <v>0.99773219999999996</v>
      </c>
      <c r="Y4895">
        <v>0.1098358</v>
      </c>
      <c r="Z4895">
        <v>-5.4307790000000002E-3</v>
      </c>
      <c r="AA4895">
        <v>0.99393489999999995</v>
      </c>
      <c r="AB4895">
        <v>25</v>
      </c>
      <c r="AC4895">
        <v>0.6875</v>
      </c>
      <c r="AD4895">
        <v>-7.68930000000001E-2</v>
      </c>
      <c r="AE4895">
        <v>-0.1019</v>
      </c>
      <c r="AF4895">
        <v>0.102205835121149</v>
      </c>
      <c r="AG4895">
        <v>-7.68930000000001E-2</v>
      </c>
      <c r="AH4895">
        <v>0.67895683462265499</v>
      </c>
      <c r="AI4895">
        <v>96.389924819376802</v>
      </c>
      <c r="AJ4895">
        <v>81.439334929704501</v>
      </c>
      <c r="AK4895">
        <v>0.69089865353945101</v>
      </c>
      <c r="AL4895">
        <v>93.858908185601607</v>
      </c>
      <c r="AM4895">
        <v>90.065532466949506</v>
      </c>
      <c r="AN4895">
        <v>1.00000005076108</v>
      </c>
    </row>
    <row r="4896" spans="1:40" x14ac:dyDescent="0.25">
      <c r="A4896" t="str">
        <f>"20190303153907155"</f>
        <v>20190303153907155</v>
      </c>
      <c r="B4896" t="str">
        <f>"1551598747153923"</f>
        <v>1551598747153923</v>
      </c>
      <c r="C4896" t="s">
        <v>40</v>
      </c>
      <c r="D4896">
        <v>4.3082539999999998</v>
      </c>
      <c r="E4896">
        <v>0.54023569999999999</v>
      </c>
      <c r="F4896" t="s">
        <v>55</v>
      </c>
      <c r="G4896">
        <v>-214.4084</v>
      </c>
      <c r="H4896" s="1">
        <v>8.3176909999999995E-7</v>
      </c>
      <c r="I4896">
        <v>214.0986</v>
      </c>
      <c r="J4896">
        <v>-229.68</v>
      </c>
      <c r="K4896">
        <v>1.1210070000000001</v>
      </c>
      <c r="L4896">
        <v>215.74590000000001</v>
      </c>
      <c r="M4896">
        <v>0.99990120000000005</v>
      </c>
      <c r="N4896">
        <v>-1.389168E-2</v>
      </c>
      <c r="O4896">
        <v>2.1899810000000001E-3</v>
      </c>
      <c r="P4896">
        <v>0.99651299999999998</v>
      </c>
      <c r="Q4896">
        <v>-8.3354120000000004E-2</v>
      </c>
      <c r="R4896">
        <v>3.766438E-3</v>
      </c>
      <c r="S4896">
        <v>2.9934229999999999</v>
      </c>
      <c r="T4896">
        <v>-0.21610779999999999</v>
      </c>
      <c r="U4896">
        <v>-0.31748959999999998</v>
      </c>
      <c r="V4896">
        <v>-1.59527E-3</v>
      </c>
      <c r="W4896">
        <v>-6.9502499999999995E-2</v>
      </c>
      <c r="X4896">
        <v>0.99758049999999998</v>
      </c>
      <c r="Y4896">
        <v>0.1073149</v>
      </c>
      <c r="Z4896">
        <v>-4.7337589999999997E-3</v>
      </c>
      <c r="AA4896">
        <v>0.99421380000000004</v>
      </c>
      <c r="AB4896">
        <v>25</v>
      </c>
      <c r="AC4896">
        <v>15.271599999999999</v>
      </c>
      <c r="AD4896">
        <v>-1.1210061682308901</v>
      </c>
      <c r="AE4896">
        <v>-1.6473</v>
      </c>
      <c r="AF4896">
        <v>1.67183912507976</v>
      </c>
      <c r="AG4896">
        <v>-1.1210061682308901</v>
      </c>
      <c r="AH4896">
        <v>15.187065098722901</v>
      </c>
      <c r="AI4896">
        <v>94.196272319431202</v>
      </c>
      <c r="AJ4896">
        <v>83.717997497853304</v>
      </c>
      <c r="AK4896">
        <v>15.319877519164701</v>
      </c>
      <c r="AL4896">
        <v>93.985412979699305</v>
      </c>
      <c r="AM4896">
        <v>90.0916238441622</v>
      </c>
      <c r="AN4896">
        <v>0.99999999818643603</v>
      </c>
    </row>
    <row r="4897" spans="1:40" x14ac:dyDescent="0.25">
      <c r="A4897" t="str">
        <f>"20190303153907179"</f>
        <v>20190303153907179</v>
      </c>
      <c r="B4897" t="str">
        <f>"1551598747173443"</f>
        <v>1551598747173443</v>
      </c>
      <c r="C4897" t="s">
        <v>40</v>
      </c>
      <c r="D4897">
        <v>4.285005</v>
      </c>
      <c r="E4897">
        <v>0.54029150000000004</v>
      </c>
      <c r="F4897" t="s">
        <v>55</v>
      </c>
      <c r="G4897">
        <v>-212.76400000000001</v>
      </c>
      <c r="H4897" s="1">
        <v>-3.914237E-8</v>
      </c>
      <c r="I4897">
        <v>214.00380000000001</v>
      </c>
      <c r="J4897">
        <v>-229.4229</v>
      </c>
      <c r="K4897">
        <v>1.121022</v>
      </c>
      <c r="L4897">
        <v>215.74639999999999</v>
      </c>
      <c r="M4897">
        <v>0.99990120000000005</v>
      </c>
      <c r="N4897">
        <v>-1.388881E-2</v>
      </c>
      <c r="O4897">
        <v>2.1273239999999999E-3</v>
      </c>
      <c r="P4897">
        <v>0.99640410000000001</v>
      </c>
      <c r="Q4897">
        <v>-8.4605600000000003E-2</v>
      </c>
      <c r="R4897">
        <v>4.5641919999999999E-3</v>
      </c>
      <c r="S4897">
        <v>2.9950559999999999</v>
      </c>
      <c r="T4897">
        <v>-0.19848009999999999</v>
      </c>
      <c r="U4897">
        <v>-0.30845640000000002</v>
      </c>
      <c r="V4897">
        <v>-2.4546110000000002E-3</v>
      </c>
      <c r="W4897">
        <v>-7.0758139999999997E-2</v>
      </c>
      <c r="X4897">
        <v>0.99749049999999995</v>
      </c>
      <c r="Y4897">
        <v>0.10428560000000001</v>
      </c>
      <c r="Z4897">
        <v>-4.2807119999999999E-3</v>
      </c>
      <c r="AA4897">
        <v>0.99453820000000004</v>
      </c>
      <c r="AB4897">
        <v>25</v>
      </c>
      <c r="AC4897">
        <v>16.6588999999999</v>
      </c>
      <c r="AD4897">
        <v>-1.12102203914237</v>
      </c>
      <c r="AE4897">
        <v>-1.7425999999999799</v>
      </c>
      <c r="AF4897">
        <v>1.77010951841196</v>
      </c>
      <c r="AG4897">
        <v>-1.12102203914237</v>
      </c>
      <c r="AH4897">
        <v>16.5808842463824</v>
      </c>
      <c r="AI4897">
        <v>93.846053391246002</v>
      </c>
      <c r="AJ4897">
        <v>83.906408865708798</v>
      </c>
      <c r="AK4897">
        <v>16.712740664276101</v>
      </c>
      <c r="AL4897">
        <v>94.0575333467429</v>
      </c>
      <c r="AM4897">
        <v>90.1409923871649</v>
      </c>
      <c r="AN4897">
        <v>1.00000001854083</v>
      </c>
    </row>
    <row r="4898" spans="1:40" x14ac:dyDescent="0.25">
      <c r="A4898" t="str">
        <f>"20190303153907200"</f>
        <v>20190303153907200</v>
      </c>
      <c r="B4898" t="str">
        <f>"1551598747193939"</f>
        <v>1551598747193939</v>
      </c>
      <c r="C4898" t="s">
        <v>40</v>
      </c>
      <c r="D4898">
        <v>4.2712320000000004</v>
      </c>
      <c r="E4898">
        <v>0.54051539999999998</v>
      </c>
      <c r="F4898" t="s">
        <v>55</v>
      </c>
      <c r="G4898">
        <v>-212.11869999999999</v>
      </c>
      <c r="H4898" s="1">
        <v>-3.8133650000000001E-7</v>
      </c>
      <c r="I4898">
        <v>213.9761</v>
      </c>
      <c r="J4898">
        <v>-229.17590000000001</v>
      </c>
      <c r="K4898">
        <v>1.121024</v>
      </c>
      <c r="L4898">
        <v>215.74690000000001</v>
      </c>
      <c r="M4898">
        <v>0.9999015</v>
      </c>
      <c r="N4898">
        <v>-1.388606E-2</v>
      </c>
      <c r="O4898">
        <v>2.0747410000000002E-3</v>
      </c>
      <c r="P4898">
        <v>0.99632180000000004</v>
      </c>
      <c r="Q4898">
        <v>-8.5539100000000007E-2</v>
      </c>
      <c r="R4898">
        <v>5.1277049999999998E-3</v>
      </c>
      <c r="S4898">
        <v>2.9957889999999998</v>
      </c>
      <c r="T4898">
        <v>-0.194077</v>
      </c>
      <c r="U4898">
        <v>-0.30648799999999998</v>
      </c>
      <c r="V4898">
        <v>-3.0698840000000002E-3</v>
      </c>
      <c r="W4898">
        <v>-7.169536E-2</v>
      </c>
      <c r="X4898">
        <v>0.99742189999999997</v>
      </c>
      <c r="Y4898">
        <v>0.1035749</v>
      </c>
      <c r="Z4898">
        <v>-4.1698999999999998E-3</v>
      </c>
      <c r="AA4898">
        <v>0.99461290000000002</v>
      </c>
      <c r="AB4898">
        <v>25</v>
      </c>
      <c r="AC4898">
        <v>17.057200000000002</v>
      </c>
      <c r="AD4898">
        <v>-1.1210243813365</v>
      </c>
      <c r="AE4898">
        <v>-1.7707999999999999</v>
      </c>
      <c r="AF4898">
        <v>1.79850340301498</v>
      </c>
      <c r="AG4898">
        <v>-1.1210243813365</v>
      </c>
      <c r="AH4898">
        <v>16.980925119316201</v>
      </c>
      <c r="AI4898">
        <v>93.756049274808106</v>
      </c>
      <c r="AJ4898">
        <v>83.954162418810995</v>
      </c>
      <c r="AK4898">
        <v>17.112659876887399</v>
      </c>
      <c r="AL4898">
        <v>94.111368712143403</v>
      </c>
      <c r="AM4898">
        <v>90.176345477669202</v>
      </c>
      <c r="AN4898">
        <v>1.0000000477164499</v>
      </c>
    </row>
    <row r="4899" spans="1:40" x14ac:dyDescent="0.25">
      <c r="A4899" t="str">
        <f>"20190303153907223"</f>
        <v>20190303153907223</v>
      </c>
      <c r="B4899" t="str">
        <f>"1551598747213459"</f>
        <v>1551598747213459</v>
      </c>
      <c r="C4899" t="s">
        <v>40</v>
      </c>
      <c r="D4899">
        <v>4.2511619999999999</v>
      </c>
      <c r="E4899">
        <v>0.54042809999999997</v>
      </c>
      <c r="F4899" t="s">
        <v>55</v>
      </c>
      <c r="G4899">
        <v>-211.3929</v>
      </c>
      <c r="H4899" s="1">
        <v>-7.6551249999999899E-7</v>
      </c>
      <c r="I4899">
        <v>213.929</v>
      </c>
      <c r="J4899">
        <v>-228.92269999999999</v>
      </c>
      <c r="K4899">
        <v>1.1210260000000001</v>
      </c>
      <c r="L4899">
        <v>215.7474</v>
      </c>
      <c r="M4899">
        <v>0.9999017</v>
      </c>
      <c r="N4899">
        <v>-1.388325E-2</v>
      </c>
      <c r="O4899">
        <v>2.0250979999999999E-3</v>
      </c>
      <c r="P4899">
        <v>0.9961795</v>
      </c>
      <c r="Q4899">
        <v>-8.7147269999999999E-2</v>
      </c>
      <c r="R4899">
        <v>5.7055819999999998E-3</v>
      </c>
      <c r="S4899">
        <v>2.996429</v>
      </c>
      <c r="T4899">
        <v>-0.18889249999999999</v>
      </c>
      <c r="U4899">
        <v>-0.30632019999999999</v>
      </c>
      <c r="V4899">
        <v>-3.6972509999999999E-3</v>
      </c>
      <c r="W4899">
        <v>-7.3308059999999994E-2</v>
      </c>
      <c r="X4899">
        <v>0.99730249999999998</v>
      </c>
      <c r="Y4899">
        <v>0.103461999999999</v>
      </c>
      <c r="Z4899">
        <v>-4.0695490000000004E-3</v>
      </c>
      <c r="AA4899">
        <v>0.99462510000000004</v>
      </c>
      <c r="AB4899">
        <v>25</v>
      </c>
      <c r="AC4899">
        <v>17.529799999999899</v>
      </c>
      <c r="AD4899">
        <v>-1.1210267655124999</v>
      </c>
      <c r="AE4899">
        <v>-1.81839999999999</v>
      </c>
      <c r="AF4899">
        <v>1.84642853235454</v>
      </c>
      <c r="AG4899">
        <v>-1.1210267655124999</v>
      </c>
      <c r="AH4899">
        <v>17.455455833546999</v>
      </c>
      <c r="AI4899">
        <v>93.654279458267595</v>
      </c>
      <c r="AJ4899">
        <v>83.961738390224397</v>
      </c>
      <c r="AK4899">
        <v>17.588602493973202</v>
      </c>
      <c r="AL4899">
        <v>94.204013599192507</v>
      </c>
      <c r="AM4899">
        <v>90.212408880588796</v>
      </c>
      <c r="AN4899">
        <v>1.0000000089160801</v>
      </c>
    </row>
    <row r="4900" spans="1:40" x14ac:dyDescent="0.25">
      <c r="A4900" t="str">
        <f>"20190303153907244"</f>
        <v>20190303153907244</v>
      </c>
      <c r="B4900" t="str">
        <f>"1551598747232979"</f>
        <v>1551598747232979</v>
      </c>
      <c r="C4900" t="s">
        <v>40</v>
      </c>
      <c r="D4900">
        <v>4.2698450000000001</v>
      </c>
      <c r="E4900">
        <v>0.54017879999999996</v>
      </c>
      <c r="F4900" t="s">
        <v>55</v>
      </c>
      <c r="G4900">
        <v>-211.01400000000001</v>
      </c>
      <c r="H4900" s="1">
        <v>-9.673229000000001E-7</v>
      </c>
      <c r="I4900">
        <v>213.9325</v>
      </c>
      <c r="J4900">
        <v>-228.67679999999999</v>
      </c>
      <c r="K4900">
        <v>1.1210199999999999</v>
      </c>
      <c r="L4900">
        <v>215.74780000000001</v>
      </c>
      <c r="M4900">
        <v>0.99990179999999995</v>
      </c>
      <c r="N4900">
        <v>-1.388055E-2</v>
      </c>
      <c r="O4900">
        <v>1.9781629999999998E-3</v>
      </c>
      <c r="P4900">
        <v>0.9960599</v>
      </c>
      <c r="Q4900">
        <v>-8.8470010000000002E-2</v>
      </c>
      <c r="R4900">
        <v>6.1550009999999898E-3</v>
      </c>
      <c r="S4900">
        <v>2.9968409999999999</v>
      </c>
      <c r="T4900">
        <v>-0.18759229999999999</v>
      </c>
      <c r="U4900">
        <v>-0.30369570000000001</v>
      </c>
      <c r="V4900">
        <v>-4.1933120000000003E-3</v>
      </c>
      <c r="W4900">
        <v>-7.4634980000000004E-2</v>
      </c>
      <c r="X4900">
        <v>0.99720209999999998</v>
      </c>
      <c r="Y4900">
        <v>0.10254480000000001</v>
      </c>
      <c r="Z4900">
        <v>-4.0085870000000001E-3</v>
      </c>
      <c r="AA4900">
        <v>0.9947203</v>
      </c>
      <c r="AB4900">
        <v>25</v>
      </c>
      <c r="AC4900">
        <v>17.662799999999901</v>
      </c>
      <c r="AD4900">
        <v>-1.1210209673228999</v>
      </c>
      <c r="AE4900">
        <v>-1.8152999999999999</v>
      </c>
      <c r="AF4900">
        <v>1.84289380174703</v>
      </c>
      <c r="AG4900">
        <v>-1.1210209673228999</v>
      </c>
      <c r="AH4900">
        <v>17.589062869259202</v>
      </c>
      <c r="AI4900">
        <v>93.626955404045006</v>
      </c>
      <c r="AJ4900">
        <v>84.018659158548303</v>
      </c>
      <c r="AK4900">
        <v>17.7208374009934</v>
      </c>
      <c r="AL4900">
        <v>94.280249433628398</v>
      </c>
      <c r="AM4900">
        <v>90.240931766645303</v>
      </c>
      <c r="AN4900">
        <v>0.99999999617476898</v>
      </c>
    </row>
    <row r="4901" spans="1:40" x14ac:dyDescent="0.25">
      <c r="A4901" t="str">
        <f>"20190303153907267"</f>
        <v>20190303153907267</v>
      </c>
      <c r="B4901" t="str">
        <f>"1551598747263236"</f>
        <v>1551598747263236</v>
      </c>
      <c r="C4901" t="s">
        <v>40</v>
      </c>
      <c r="D4901">
        <v>4.2973379999999999</v>
      </c>
      <c r="E4901">
        <v>0.53974419999999901</v>
      </c>
      <c r="F4901" t="s">
        <v>55</v>
      </c>
      <c r="G4901">
        <v>-210.7457</v>
      </c>
      <c r="H4901" s="1">
        <v>-1.11089E-6</v>
      </c>
      <c r="I4901">
        <v>213.95160000000001</v>
      </c>
      <c r="J4901">
        <v>-228.42429999999999</v>
      </c>
      <c r="K4901">
        <v>1.1210169999999999</v>
      </c>
      <c r="L4901">
        <v>215.7482</v>
      </c>
      <c r="M4901">
        <v>0.99990190000000001</v>
      </c>
      <c r="N4901">
        <v>-1.387796E-2</v>
      </c>
      <c r="O4901">
        <v>1.9281750000000001E-3</v>
      </c>
      <c r="P4901">
        <v>0.9959983</v>
      </c>
      <c r="Q4901">
        <v>-8.9157130000000001E-2</v>
      </c>
      <c r="R4901">
        <v>6.2302529999999998E-3</v>
      </c>
      <c r="S4901">
        <v>2.9971009999999998</v>
      </c>
      <c r="T4901">
        <v>-0.1873744</v>
      </c>
      <c r="U4901">
        <v>-0.3002319</v>
      </c>
      <c r="V4901">
        <v>-4.3190950000000002E-3</v>
      </c>
      <c r="W4901">
        <v>-7.5325450000000002E-2</v>
      </c>
      <c r="X4901">
        <v>0.99714959999999997</v>
      </c>
      <c r="Y4901">
        <v>0.1013517</v>
      </c>
      <c r="Z4901">
        <v>-3.9565709999999999E-3</v>
      </c>
      <c r="AA4901">
        <v>0.99484280000000003</v>
      </c>
      <c r="AB4901">
        <v>25</v>
      </c>
      <c r="AC4901">
        <v>17.6785999999999</v>
      </c>
      <c r="AD4901">
        <v>-1.1210181108899999</v>
      </c>
      <c r="AE4901">
        <v>-1.79659999999998</v>
      </c>
      <c r="AF4901">
        <v>1.82343038696436</v>
      </c>
      <c r="AG4901">
        <v>-1.1210181108899999</v>
      </c>
      <c r="AH4901">
        <v>17.605037146779502</v>
      </c>
      <c r="AI4901">
        <v>93.624111175674301</v>
      </c>
      <c r="AJ4901">
        <v>84.086711599782703</v>
      </c>
      <c r="AK4901">
        <v>17.7346810774972</v>
      </c>
      <c r="AL4901">
        <v>94.319922323080107</v>
      </c>
      <c r="AM4901">
        <v>90.248171756005704</v>
      </c>
      <c r="AN4901">
        <v>0.99999995138973896</v>
      </c>
    </row>
    <row r="4902" spans="1:40" x14ac:dyDescent="0.25">
      <c r="A4902" t="str">
        <f>"20190303153907290"</f>
        <v>20190303153907290</v>
      </c>
      <c r="B4902" t="str">
        <f>"1551598747283731"</f>
        <v>1551598747283731</v>
      </c>
      <c r="C4902" t="s">
        <v>40</v>
      </c>
      <c r="D4902">
        <v>4.2222589999999904</v>
      </c>
      <c r="E4902">
        <v>0.53948549999999995</v>
      </c>
      <c r="F4902" t="s">
        <v>55</v>
      </c>
      <c r="G4902">
        <v>-209.98769999999999</v>
      </c>
      <c r="H4902" s="1">
        <v>-1.5131510000000001E-6</v>
      </c>
      <c r="I4902">
        <v>213.92529999999999</v>
      </c>
      <c r="J4902">
        <v>-228.17310000000001</v>
      </c>
      <c r="K4902">
        <v>1.1210150000000001</v>
      </c>
      <c r="L4902">
        <v>215.74860000000001</v>
      </c>
      <c r="M4902">
        <v>0.99990199999999996</v>
      </c>
      <c r="N4902">
        <v>-1.387539E-2</v>
      </c>
      <c r="O4902">
        <v>1.8759740000000001E-3</v>
      </c>
      <c r="P4902">
        <v>0.99603889999999995</v>
      </c>
      <c r="Q4902">
        <v>-8.87183E-2</v>
      </c>
      <c r="R4902">
        <v>5.9505720000000003E-3</v>
      </c>
      <c r="S4902">
        <v>2.9975890000000001</v>
      </c>
      <c r="T4902">
        <v>-0.1822648</v>
      </c>
      <c r="U4902">
        <v>-0.2963867</v>
      </c>
      <c r="V4902">
        <v>-4.091E-3</v>
      </c>
      <c r="W4902">
        <v>-7.4888720000000006E-2</v>
      </c>
      <c r="X4902">
        <v>0.9971835</v>
      </c>
      <c r="Y4902">
        <v>0.1000349</v>
      </c>
      <c r="Z4902">
        <v>-3.8153290000000001E-3</v>
      </c>
      <c r="AA4902">
        <v>0.99497659999999999</v>
      </c>
      <c r="AB4902">
        <v>25</v>
      </c>
      <c r="AC4902">
        <v>18.185400000000001</v>
      </c>
      <c r="AD4902">
        <v>-1.1210165131509999</v>
      </c>
      <c r="AE4902">
        <v>-1.8233000000000099</v>
      </c>
      <c r="AF4902">
        <v>1.8504537551057501</v>
      </c>
      <c r="AG4902">
        <v>-1.1210165131509999</v>
      </c>
      <c r="AH4902">
        <v>18.1138006356761</v>
      </c>
      <c r="AI4902">
        <v>93.523082438017695</v>
      </c>
      <c r="AJ4902">
        <v>84.167062851779605</v>
      </c>
      <c r="AK4902">
        <v>18.242550002441099</v>
      </c>
      <c r="AL4902">
        <v>94.294828471933002</v>
      </c>
      <c r="AM4902">
        <v>90.235057759137803</v>
      </c>
      <c r="AN4902">
        <v>0.99999999466824396</v>
      </c>
    </row>
    <row r="4903" spans="1:40" x14ac:dyDescent="0.25">
      <c r="A4903" t="str">
        <f>"20190303153907312"</f>
        <v>20190303153907312</v>
      </c>
      <c r="B4903" t="str">
        <f>"1551598747303251"</f>
        <v>1551598747303251</v>
      </c>
      <c r="C4903" t="s">
        <v>40</v>
      </c>
      <c r="D4903">
        <v>4.228421</v>
      </c>
      <c r="E4903">
        <v>0.53934179999999998</v>
      </c>
      <c r="F4903" t="s">
        <v>51</v>
      </c>
      <c r="G4903">
        <v>-209.4418</v>
      </c>
      <c r="H4903" s="1">
        <v>6.4663019999999897E-6</v>
      </c>
      <c r="I4903">
        <v>213.90389999999999</v>
      </c>
      <c r="J4903">
        <v>-227.92070000000001</v>
      </c>
      <c r="K4903">
        <v>1.1210119999999999</v>
      </c>
      <c r="L4903">
        <v>215.7491</v>
      </c>
      <c r="M4903">
        <v>0.99990219999999996</v>
      </c>
      <c r="N4903">
        <v>-1.387272E-2</v>
      </c>
      <c r="O4903">
        <v>1.82138E-3</v>
      </c>
      <c r="P4903">
        <v>0.99612080000000003</v>
      </c>
      <c r="Q4903">
        <v>-8.7831049999999994E-2</v>
      </c>
      <c r="R4903">
        <v>5.4235780000000001E-3</v>
      </c>
      <c r="S4903">
        <v>2.9977109999999998</v>
      </c>
      <c r="T4903">
        <v>-0.17940320000000001</v>
      </c>
      <c r="U4903">
        <v>-0.29522710000000002</v>
      </c>
      <c r="V4903">
        <v>-3.6185980000000002E-3</v>
      </c>
      <c r="W4903">
        <v>-7.4003109999999997E-2</v>
      </c>
      <c r="X4903">
        <v>0.99725149999999996</v>
      </c>
      <c r="Y4903">
        <v>9.9602919999999998E-2</v>
      </c>
      <c r="Z4903">
        <v>-3.7474180000000002E-3</v>
      </c>
      <c r="AA4903">
        <v>0.99502020000000002</v>
      </c>
      <c r="AB4903">
        <v>25</v>
      </c>
      <c r="AC4903">
        <v>18.478899999999999</v>
      </c>
      <c r="AD4903">
        <v>-1.121005533698</v>
      </c>
      <c r="AE4903">
        <v>-1.8452</v>
      </c>
      <c r="AF4903">
        <v>1.87203595095165</v>
      </c>
      <c r="AG4903">
        <v>-1.121005533698</v>
      </c>
      <c r="AH4903">
        <v>18.408431583804301</v>
      </c>
      <c r="AI4903">
        <v>93.466960914036804</v>
      </c>
      <c r="AJ4903">
        <v>84.193297551250495</v>
      </c>
      <c r="AK4903">
        <v>18.537300919601002</v>
      </c>
      <c r="AL4903">
        <v>94.243945303315598</v>
      </c>
      <c r="AM4903">
        <v>90.207900898841601</v>
      </c>
      <c r="AN4903">
        <v>1.0000000543967</v>
      </c>
    </row>
    <row r="4904" spans="1:40" x14ac:dyDescent="0.25">
      <c r="A4904" t="str">
        <f>"20190303153907334"</f>
        <v>20190303153907334</v>
      </c>
      <c r="B4904" t="str">
        <f>"1551598747323747"</f>
        <v>1551598747323747</v>
      </c>
      <c r="C4904" t="s">
        <v>40</v>
      </c>
      <c r="D4904">
        <v>4.2146670000000004</v>
      </c>
      <c r="E4904">
        <v>0.53930889999999998</v>
      </c>
      <c r="F4904" t="s">
        <v>51</v>
      </c>
      <c r="G4904">
        <v>-208.714</v>
      </c>
      <c r="H4904" s="1">
        <v>6.1478650000000001E-6</v>
      </c>
      <c r="I4904">
        <v>213.85480000000001</v>
      </c>
      <c r="J4904">
        <v>-227.67429999999999</v>
      </c>
      <c r="K4904">
        <v>1.1210150000000001</v>
      </c>
      <c r="L4904">
        <v>215.74940000000001</v>
      </c>
      <c r="M4904">
        <v>0.99990219999999996</v>
      </c>
      <c r="N4904">
        <v>-1.387011E-2</v>
      </c>
      <c r="O4904">
        <v>1.7666660000000001E-3</v>
      </c>
      <c r="P4904">
        <v>0.99616740000000004</v>
      </c>
      <c r="Q4904">
        <v>-8.73173E-2</v>
      </c>
      <c r="R4904">
        <v>5.1250840000000002E-3</v>
      </c>
      <c r="S4904">
        <v>2.9978790000000002</v>
      </c>
      <c r="T4904">
        <v>-0.1749724</v>
      </c>
      <c r="U4904">
        <v>-0.29566959999999998</v>
      </c>
      <c r="V4904">
        <v>-3.3743060000000001E-3</v>
      </c>
      <c r="W4904">
        <v>-7.3491420000000002E-2</v>
      </c>
      <c r="X4904">
        <v>0.99729009999999996</v>
      </c>
      <c r="Y4904">
        <v>9.9698099999999998E-2</v>
      </c>
      <c r="Z4904">
        <v>-3.672158E-3</v>
      </c>
      <c r="AA4904">
        <v>0.99501099999999998</v>
      </c>
      <c r="AB4904">
        <v>25</v>
      </c>
      <c r="AC4904">
        <v>18.960299999999901</v>
      </c>
      <c r="AD4904">
        <v>-1.1210088521349999</v>
      </c>
      <c r="AE4904">
        <v>-1.8945999999999901</v>
      </c>
      <c r="AF4904">
        <v>1.92144648658595</v>
      </c>
      <c r="AG4904">
        <v>-1.1210088521349999</v>
      </c>
      <c r="AH4904">
        <v>18.891537662304199</v>
      </c>
      <c r="AI4904">
        <v>93.378514626175402</v>
      </c>
      <c r="AJ4904">
        <v>84.192453099111205</v>
      </c>
      <c r="AK4904">
        <v>19.022061210437599</v>
      </c>
      <c r="AL4904">
        <v>94.214547978194602</v>
      </c>
      <c r="AM4904">
        <v>90.193858090876901</v>
      </c>
      <c r="AN4904">
        <v>0.99999995915630302</v>
      </c>
    </row>
    <row r="4905" spans="1:40" x14ac:dyDescent="0.25">
      <c r="A4905" t="str">
        <f>"20190303153907356"</f>
        <v>20190303153907356</v>
      </c>
      <c r="B4905" t="str">
        <f>"1551598747353027"</f>
        <v>1551598747353027</v>
      </c>
      <c r="C4905" t="s">
        <v>40</v>
      </c>
      <c r="D4905">
        <v>4.2115239999999998</v>
      </c>
      <c r="E4905">
        <v>0.5392768</v>
      </c>
      <c r="F4905" t="s">
        <v>51</v>
      </c>
      <c r="G4905">
        <v>-208.10130000000001</v>
      </c>
      <c r="H4905" s="1">
        <v>5.879761E-6</v>
      </c>
      <c r="I4905">
        <v>213.81360000000001</v>
      </c>
      <c r="J4905">
        <v>-227.42330000000001</v>
      </c>
      <c r="K4905">
        <v>1.1210180000000001</v>
      </c>
      <c r="L4905">
        <v>215.74979999999999</v>
      </c>
      <c r="M4905">
        <v>0.99990239999999997</v>
      </c>
      <c r="N4905">
        <v>-1.38675E-2</v>
      </c>
      <c r="O4905">
        <v>1.7097499999999999E-3</v>
      </c>
      <c r="P4905">
        <v>0.99618510000000005</v>
      </c>
      <c r="Q4905">
        <v>-8.7135699999999996E-2</v>
      </c>
      <c r="R4905">
        <v>4.7486220000000001E-3</v>
      </c>
      <c r="S4905">
        <v>2.9980159999999998</v>
      </c>
      <c r="T4905">
        <v>-0.17170639999999901</v>
      </c>
      <c r="U4905">
        <v>-0.29650880000000002</v>
      </c>
      <c r="V4905">
        <v>-3.05478E-3</v>
      </c>
      <c r="W4905">
        <v>-7.3312269999999999E-2</v>
      </c>
      <c r="X4905">
        <v>0.99730439999999998</v>
      </c>
      <c r="Y4905">
        <v>9.9919540000000001E-2</v>
      </c>
      <c r="Z4905">
        <v>-3.621286E-3</v>
      </c>
      <c r="AA4905">
        <v>0.99498889999999995</v>
      </c>
      <c r="AB4905">
        <v>25</v>
      </c>
      <c r="AC4905">
        <v>19.321999999999999</v>
      </c>
      <c r="AD4905">
        <v>-1.121012120239</v>
      </c>
      <c r="AE4905">
        <v>-1.9361999999999799</v>
      </c>
      <c r="AF4905">
        <v>1.962695345984</v>
      </c>
      <c r="AG4905">
        <v>-1.121012120239</v>
      </c>
      <c r="AH4905">
        <v>19.254494364248799</v>
      </c>
      <c r="AI4905">
        <v>93.314905986995498</v>
      </c>
      <c r="AJ4905">
        <v>84.179692363644193</v>
      </c>
      <c r="AK4905">
        <v>19.3867066418657</v>
      </c>
      <c r="AL4905">
        <v>94.204255319844606</v>
      </c>
      <c r="AM4905">
        <v>90.175498527799604</v>
      </c>
      <c r="AN4905">
        <v>1.0000000434363701</v>
      </c>
    </row>
    <row r="4906" spans="1:40" x14ac:dyDescent="0.25">
      <c r="A4906" t="str">
        <f>"20190303153907380"</f>
        <v>20190303153907380</v>
      </c>
      <c r="B4906" t="str">
        <f>"1551598747373523"</f>
        <v>1551598747373523</v>
      </c>
      <c r="C4906" t="s">
        <v>40</v>
      </c>
      <c r="D4906">
        <v>4.2313010000000002</v>
      </c>
      <c r="E4906">
        <v>0.53933779999999998</v>
      </c>
      <c r="F4906" t="s">
        <v>51</v>
      </c>
      <c r="G4906">
        <v>-207.5087</v>
      </c>
      <c r="H4906" s="1">
        <v>5.6202739999999898E-6</v>
      </c>
      <c r="I4906">
        <v>213.7758</v>
      </c>
      <c r="J4906">
        <v>-227.16419999999999</v>
      </c>
      <c r="K4906">
        <v>1.1210260000000001</v>
      </c>
      <c r="L4906">
        <v>215.75020000000001</v>
      </c>
      <c r="M4906">
        <v>0.99990259999999997</v>
      </c>
      <c r="N4906">
        <v>-1.386485E-2</v>
      </c>
      <c r="O4906">
        <v>1.650629E-3</v>
      </c>
      <c r="P4906">
        <v>0.99614760000000002</v>
      </c>
      <c r="Q4906">
        <v>-8.7570609999999993E-2</v>
      </c>
      <c r="R4906">
        <v>4.6479570000000003E-3</v>
      </c>
      <c r="S4906">
        <v>2.998154</v>
      </c>
      <c r="T4906">
        <v>-0.168768899999999</v>
      </c>
      <c r="U4906">
        <v>-0.29718020000000001</v>
      </c>
      <c r="V4906">
        <v>-3.013309E-3</v>
      </c>
      <c r="W4906">
        <v>-7.3750280000000001E-2</v>
      </c>
      <c r="X4906">
        <v>0.99727220000000005</v>
      </c>
      <c r="Y4906">
        <v>0.1000829</v>
      </c>
      <c r="Z4906">
        <v>-3.5738139999999998E-3</v>
      </c>
      <c r="AA4906">
        <v>0.99497270000000004</v>
      </c>
      <c r="AB4906">
        <v>25</v>
      </c>
      <c r="AC4906">
        <v>19.6554999999999</v>
      </c>
      <c r="AD4906">
        <v>-1.1210203797259899</v>
      </c>
      <c r="AE4906">
        <v>-1.9743999999999999</v>
      </c>
      <c r="AF4906">
        <v>2.0004024339842901</v>
      </c>
      <c r="AG4906">
        <v>-1.1210203797259899</v>
      </c>
      <c r="AH4906">
        <v>19.5891306901839</v>
      </c>
      <c r="AI4906">
        <v>93.258365018611599</v>
      </c>
      <c r="AJ4906">
        <v>84.169282475673498</v>
      </c>
      <c r="AK4906">
        <v>19.7228886775431</v>
      </c>
      <c r="AL4906">
        <v>94.229419696839599</v>
      </c>
      <c r="AM4906">
        <v>90.1731216037644</v>
      </c>
      <c r="AN4906">
        <v>1.0000000123620201</v>
      </c>
    </row>
    <row r="4907" spans="1:40" x14ac:dyDescent="0.25">
      <c r="A4907" t="str">
        <f>"20190303153907401"</f>
        <v>20190303153907401</v>
      </c>
      <c r="B4907" t="str">
        <f>"1551598747393043"</f>
        <v>1551598747393043</v>
      </c>
      <c r="C4907" t="s">
        <v>40</v>
      </c>
      <c r="D4907">
        <v>4.2371850000000002</v>
      </c>
      <c r="E4907">
        <v>0.53945900000000002</v>
      </c>
      <c r="F4907" t="s">
        <v>51</v>
      </c>
      <c r="G4907">
        <v>-207.2492</v>
      </c>
      <c r="H4907" s="1">
        <v>5.5056920000000003E-6</v>
      </c>
      <c r="I4907">
        <v>213.77019999999999</v>
      </c>
      <c r="J4907">
        <v>-226.92410000000001</v>
      </c>
      <c r="K4907">
        <v>1.12103</v>
      </c>
      <c r="L4907">
        <v>215.75049999999999</v>
      </c>
      <c r="M4907">
        <v>0.99990270000000003</v>
      </c>
      <c r="N4907">
        <v>-1.38624E-2</v>
      </c>
      <c r="O4907">
        <v>1.5960389999999901E-3</v>
      </c>
      <c r="P4907">
        <v>0.99616959999999999</v>
      </c>
      <c r="Q4907">
        <v>-8.7340429999999997E-2</v>
      </c>
      <c r="R4907">
        <v>4.2262059999999997E-3</v>
      </c>
      <c r="S4907">
        <v>2.9981689999999999</v>
      </c>
      <c r="T4907">
        <v>-0.16876830000000001</v>
      </c>
      <c r="U4907">
        <v>-0.29808040000000002</v>
      </c>
      <c r="V4907">
        <v>-2.6457640000000001E-3</v>
      </c>
      <c r="W4907">
        <v>-7.3522329999999997E-2</v>
      </c>
      <c r="X4907">
        <v>0.99729009999999996</v>
      </c>
      <c r="Y4907">
        <v>0.1003235</v>
      </c>
      <c r="Z4907">
        <v>-3.5797540000000001E-3</v>
      </c>
      <c r="AA4907">
        <v>0.99494839999999996</v>
      </c>
      <c r="AB4907">
        <v>25</v>
      </c>
      <c r="AC4907">
        <v>19.674900000000001</v>
      </c>
      <c r="AD4907">
        <v>-1.1210244943080001</v>
      </c>
      <c r="AE4907">
        <v>-1.9802999999999999</v>
      </c>
      <c r="AF4907">
        <v>2.0052577734757202</v>
      </c>
      <c r="AG4907">
        <v>-1.1210244943080001</v>
      </c>
      <c r="AH4907">
        <v>19.608694305504901</v>
      </c>
      <c r="AI4907">
        <v>93.255085189081399</v>
      </c>
      <c r="AJ4907">
        <v>84.161019150017594</v>
      </c>
      <c r="AK4907">
        <v>19.742812540812501</v>
      </c>
      <c r="AL4907">
        <v>94.216323460540195</v>
      </c>
      <c r="AM4907">
        <v>90.152002667176006</v>
      </c>
      <c r="AN4907">
        <v>1.0000000383168901</v>
      </c>
    </row>
    <row r="4908" spans="1:40" x14ac:dyDescent="0.25">
      <c r="A4908" t="str">
        <f>"20190303153907423"</f>
        <v>20190303153907423</v>
      </c>
      <c r="B4908" t="str">
        <f>"1551598747413540"</f>
        <v>1551598747413540</v>
      </c>
      <c r="C4908" t="s">
        <v>40</v>
      </c>
      <c r="D4908">
        <v>4.2396770000000004</v>
      </c>
      <c r="E4908">
        <v>0.53950140000000002</v>
      </c>
      <c r="F4908" t="s">
        <v>51</v>
      </c>
      <c r="G4908">
        <v>-206.62289999999999</v>
      </c>
      <c r="H4908" s="1">
        <v>5.2325630000000001E-6</v>
      </c>
      <c r="I4908">
        <v>213.7175</v>
      </c>
      <c r="J4908">
        <v>-226.67920000000001</v>
      </c>
      <c r="K4908">
        <v>1.1210329999999999</v>
      </c>
      <c r="L4908">
        <v>215.7508</v>
      </c>
      <c r="M4908">
        <v>0.99990279999999998</v>
      </c>
      <c r="N4908">
        <v>-1.385991E-2</v>
      </c>
      <c r="O4908">
        <v>1.5399630000000001E-3</v>
      </c>
      <c r="P4908">
        <v>0.99617619999999896</v>
      </c>
      <c r="Q4908">
        <v>-8.7282810000000002E-2</v>
      </c>
      <c r="R4908">
        <v>3.8352730000000002E-3</v>
      </c>
      <c r="S4908">
        <v>2.9982760000000002</v>
      </c>
      <c r="T4908">
        <v>-0.16556379999999901</v>
      </c>
      <c r="U4908">
        <v>-0.30024719999999999</v>
      </c>
      <c r="V4908">
        <v>-2.3105140000000001E-3</v>
      </c>
      <c r="W4908">
        <v>-7.3467169999999998E-2</v>
      </c>
      <c r="X4908">
        <v>0.99729500000000004</v>
      </c>
      <c r="Y4908">
        <v>0.10098169999999999</v>
      </c>
      <c r="Z4908">
        <v>-3.5447539999999998E-3</v>
      </c>
      <c r="AA4908">
        <v>0.99488200000000004</v>
      </c>
      <c r="AB4908">
        <v>25</v>
      </c>
      <c r="AC4908">
        <v>20.0563</v>
      </c>
      <c r="AD4908">
        <v>-1.1210277674369999</v>
      </c>
      <c r="AE4908">
        <v>-2.0332999999999899</v>
      </c>
      <c r="AF4908">
        <v>2.0578229812997102</v>
      </c>
      <c r="AG4908">
        <v>-1.1210277674369999</v>
      </c>
      <c r="AH4908">
        <v>19.991324300934501</v>
      </c>
      <c r="AI4908">
        <v>93.192705541586903</v>
      </c>
      <c r="AJ4908">
        <v>84.122912151992296</v>
      </c>
      <c r="AK4908">
        <v>20.128198776414699</v>
      </c>
      <c r="AL4908">
        <v>94.213154446916107</v>
      </c>
      <c r="AM4908">
        <v>90.132741529690904</v>
      </c>
      <c r="AN4908">
        <v>1.00000004028387</v>
      </c>
    </row>
    <row r="4909" spans="1:40" x14ac:dyDescent="0.25">
      <c r="A4909" t="str">
        <f>"20190303153907445"</f>
        <v>20190303153907445</v>
      </c>
      <c r="B4909" t="str">
        <f>"1551598747443796"</f>
        <v>1551598747443796</v>
      </c>
      <c r="C4909" t="s">
        <v>40</v>
      </c>
      <c r="D4909">
        <v>4.3068989999999996</v>
      </c>
      <c r="E4909">
        <v>0.56366149999999904</v>
      </c>
      <c r="F4909" t="s">
        <v>51</v>
      </c>
      <c r="G4909">
        <v>-206.19309999999999</v>
      </c>
      <c r="H4909" s="1">
        <v>5.0443619999999997E-6</v>
      </c>
      <c r="I4909">
        <v>213.69</v>
      </c>
      <c r="J4909">
        <v>-226.4298</v>
      </c>
      <c r="K4909">
        <v>1.12104</v>
      </c>
      <c r="L4909">
        <v>215.75110000000001</v>
      </c>
      <c r="M4909">
        <v>0.99990290000000004</v>
      </c>
      <c r="N4909">
        <v>-1.3857380000000001E-2</v>
      </c>
      <c r="O4909">
        <v>1.482702E-3</v>
      </c>
      <c r="P4909">
        <v>0.99619360000000001</v>
      </c>
      <c r="Q4909">
        <v>-8.7114280000000002E-2</v>
      </c>
      <c r="R4909">
        <v>3.030774E-3</v>
      </c>
      <c r="S4909">
        <v>2.9983059999999999</v>
      </c>
      <c r="T4909">
        <v>-0.16407169999999999</v>
      </c>
      <c r="U4909">
        <v>-0.30162050000000001</v>
      </c>
      <c r="V4909">
        <v>-1.5634479999999901E-3</v>
      </c>
      <c r="W4909">
        <v>-7.3301050000000006E-2</v>
      </c>
      <c r="X4909">
        <v>0.99730859999999999</v>
      </c>
      <c r="Y4909">
        <v>0.1013773</v>
      </c>
      <c r="Z4909">
        <v>-3.5299770000000001E-3</v>
      </c>
      <c r="AA4909">
        <v>0.9948418</v>
      </c>
      <c r="AB4909">
        <v>25</v>
      </c>
      <c r="AC4909">
        <v>20.236699999999999</v>
      </c>
      <c r="AD4909">
        <v>-1.1210349556379999</v>
      </c>
      <c r="AE4909">
        <v>-2.0611000000000099</v>
      </c>
      <c r="AF4909">
        <v>2.0847736824671599</v>
      </c>
      <c r="AG4909">
        <v>-1.1210349556379999</v>
      </c>
      <c r="AH4909">
        <v>20.172353473842801</v>
      </c>
      <c r="AI4909">
        <v>93.163999683902603</v>
      </c>
      <c r="AJ4909">
        <v>84.099539853597506</v>
      </c>
      <c r="AK4909">
        <v>20.310756887731401</v>
      </c>
      <c r="AL4909">
        <v>94.203611053150496</v>
      </c>
      <c r="AM4909">
        <v>90.089820641781003</v>
      </c>
      <c r="AN4909">
        <v>0.99999996596735496</v>
      </c>
    </row>
    <row r="4910" spans="1:40" x14ac:dyDescent="0.25">
      <c r="A4910" t="str">
        <f>"20190303153907468"</f>
        <v>20190303153907468</v>
      </c>
      <c r="B4910" t="str">
        <f>"1551598747463319"</f>
        <v>1551598747463319</v>
      </c>
      <c r="C4910" t="s">
        <v>40</v>
      </c>
      <c r="D4910">
        <v>4.3247049999999998</v>
      </c>
      <c r="E4910">
        <v>0.57395799999999997</v>
      </c>
      <c r="F4910" t="s">
        <v>51</v>
      </c>
      <c r="G4910">
        <v>-196.44040000000001</v>
      </c>
      <c r="H4910" s="1">
        <v>3.1562200000000001E-6</v>
      </c>
      <c r="I4910">
        <v>210.7953</v>
      </c>
      <c r="J4910">
        <v>-226.18379999999999</v>
      </c>
      <c r="K4910">
        <v>1.121038</v>
      </c>
      <c r="L4910">
        <v>215.75139999999999</v>
      </c>
      <c r="M4910">
        <v>0.99990310000000004</v>
      </c>
      <c r="N4910">
        <v>-1.385489E-2</v>
      </c>
      <c r="O4910">
        <v>1.426456E-3</v>
      </c>
      <c r="P4910">
        <v>0.99618200000000001</v>
      </c>
      <c r="Q4910">
        <v>-8.7283819999999998E-2</v>
      </c>
      <c r="R4910">
        <v>1.83117E-3</v>
      </c>
      <c r="S4910">
        <v>3.0031430000000001</v>
      </c>
      <c r="T4910">
        <v>-0.1122611</v>
      </c>
      <c r="U4910">
        <v>-0.49627690000000002</v>
      </c>
      <c r="V4910">
        <v>-4.2021039999999999E-4</v>
      </c>
      <c r="W4910">
        <v>-7.3473380000000005E-2</v>
      </c>
      <c r="X4910">
        <v>0.99729710000000005</v>
      </c>
      <c r="Y4910">
        <v>0.1642942</v>
      </c>
      <c r="Z4910">
        <v>-4.2287440000000004E-3</v>
      </c>
      <c r="AA4910">
        <v>0.98640229999999995</v>
      </c>
      <c r="AB4910">
        <v>25</v>
      </c>
      <c r="AC4910">
        <v>29.743399999999902</v>
      </c>
      <c r="AD4910">
        <v>-1.12103484378</v>
      </c>
      <c r="AE4910">
        <v>-4.9560999999999904</v>
      </c>
      <c r="AF4910">
        <v>4.9916273723039604</v>
      </c>
      <c r="AG4910">
        <v>-1.12103484378</v>
      </c>
      <c r="AH4910">
        <v>29.695255347207599</v>
      </c>
      <c r="AI4910">
        <v>92.132080199558402</v>
      </c>
      <c r="AJ4910">
        <v>80.458064207506595</v>
      </c>
      <c r="AK4910">
        <v>30.1327272758502</v>
      </c>
      <c r="AL4910">
        <v>94.213511346123994</v>
      </c>
      <c r="AM4910">
        <v>90.024141533152601</v>
      </c>
      <c r="AN4910">
        <v>1.0000000099069</v>
      </c>
    </row>
    <row r="4911" spans="1:40" x14ac:dyDescent="0.25">
      <c r="A4911" t="str">
        <f>"20190303153907491"</f>
        <v>20190303153907491</v>
      </c>
      <c r="B4911" t="str">
        <f>"1551598747483815"</f>
        <v>1551598747483815</v>
      </c>
      <c r="C4911" t="s">
        <v>40</v>
      </c>
      <c r="D4911">
        <v>4.3279170000000002</v>
      </c>
      <c r="E4911">
        <v>0.57805469999999903</v>
      </c>
      <c r="F4911" t="s">
        <v>51</v>
      </c>
      <c r="G4911">
        <v>-200.7784</v>
      </c>
      <c r="H4911" s="1">
        <v>2.8940639999999998E-6</v>
      </c>
      <c r="I4911">
        <v>210.8202</v>
      </c>
      <c r="J4911">
        <v>-225.93680000000001</v>
      </c>
      <c r="K4911">
        <v>1.121035</v>
      </c>
      <c r="L4911">
        <v>215.7516</v>
      </c>
      <c r="M4911">
        <v>0.99990319999999999</v>
      </c>
      <c r="N4911">
        <v>-1.385308E-2</v>
      </c>
      <c r="O4911">
        <v>1.370561E-3</v>
      </c>
      <c r="P4911">
        <v>0.99615450000000005</v>
      </c>
      <c r="Q4911">
        <v>-8.7610389999999996E-2</v>
      </c>
      <c r="R4911">
        <v>8.5992250000000001E-4</v>
      </c>
      <c r="S4911">
        <v>3.0009459999999999</v>
      </c>
      <c r="T4911">
        <v>-0.1324196</v>
      </c>
      <c r="U4911">
        <v>-0.58248900000000003</v>
      </c>
      <c r="V4911">
        <v>4.956378E-4</v>
      </c>
      <c r="W4911">
        <v>-7.3802229999999996E-2</v>
      </c>
      <c r="X4911">
        <v>0.99727279999999996</v>
      </c>
      <c r="Y4911">
        <v>0.1916523</v>
      </c>
      <c r="Z4911">
        <v>-5.5690829999999998E-3</v>
      </c>
      <c r="AA4911">
        <v>0.98144710000000002</v>
      </c>
      <c r="AB4911">
        <v>25</v>
      </c>
      <c r="AC4911">
        <v>25.1584</v>
      </c>
      <c r="AD4911">
        <v>-1.121032105936</v>
      </c>
      <c r="AE4911">
        <v>-4.9313999999999902</v>
      </c>
      <c r="AF4911">
        <v>4.9564029670021803</v>
      </c>
      <c r="AG4911">
        <v>-1.121032105936</v>
      </c>
      <c r="AH4911">
        <v>25.103617876645298</v>
      </c>
      <c r="AI4911">
        <v>92.508550207628801</v>
      </c>
      <c r="AJ4911">
        <v>78.831294054745001</v>
      </c>
      <c r="AK4911">
        <v>25.6127755983313</v>
      </c>
      <c r="AL4911">
        <v>94.232404287521703</v>
      </c>
      <c r="AM4911">
        <v>89.971524389546104</v>
      </c>
      <c r="AN4911">
        <v>1.0000000262148201</v>
      </c>
    </row>
    <row r="4912" spans="1:40" x14ac:dyDescent="0.25">
      <c r="A4912" t="str">
        <f>"20190303153907513"</f>
        <v>20190303153907513</v>
      </c>
      <c r="B4912" t="str">
        <f>"1551598747503332"</f>
        <v>1551598747503332</v>
      </c>
      <c r="C4912" t="s">
        <v>40</v>
      </c>
      <c r="D4912">
        <v>4.3163280000000004</v>
      </c>
      <c r="E4912">
        <v>0.58011380000000001</v>
      </c>
      <c r="F4912" t="s">
        <v>51</v>
      </c>
      <c r="G4912">
        <v>-201.4693</v>
      </c>
      <c r="H4912" s="1">
        <v>3.2099540000000002E-6</v>
      </c>
      <c r="I4912">
        <v>210.71119999999999</v>
      </c>
      <c r="J4912">
        <v>-225.6908</v>
      </c>
      <c r="K4912">
        <v>1.121035</v>
      </c>
      <c r="L4912">
        <v>215.75190000000001</v>
      </c>
      <c r="M4912">
        <v>0.99990299999999999</v>
      </c>
      <c r="N4912">
        <v>-1.386736E-2</v>
      </c>
      <c r="O4912">
        <v>1.3152109999999999E-3</v>
      </c>
      <c r="P4912">
        <v>0.99618220000000002</v>
      </c>
      <c r="Q4912">
        <v>-8.7299420000000003E-2</v>
      </c>
      <c r="R4912" s="1">
        <v>-9.2348319999999999E-5</v>
      </c>
      <c r="S4912">
        <v>3.0000309999999999</v>
      </c>
      <c r="T4912">
        <v>-0.13745309999999999</v>
      </c>
      <c r="U4912">
        <v>-0.61802669999999904</v>
      </c>
      <c r="V4912">
        <v>1.392693E-3</v>
      </c>
      <c r="W4912">
        <v>-7.3476830000000007E-2</v>
      </c>
      <c r="X4912">
        <v>0.99729599999999996</v>
      </c>
      <c r="Y4912">
        <v>0.2027892</v>
      </c>
      <c r="Z4912">
        <v>-6.0582619999999896E-3</v>
      </c>
      <c r="AA4912">
        <v>0.97920359999999995</v>
      </c>
      <c r="AB4912">
        <v>25</v>
      </c>
      <c r="AC4912">
        <v>24.221499999999899</v>
      </c>
      <c r="AD4912">
        <v>-1.1210317900460001</v>
      </c>
      <c r="AE4912">
        <v>-5.04070000000001</v>
      </c>
      <c r="AF4912">
        <v>5.0621617060286601</v>
      </c>
      <c r="AG4912">
        <v>-1.1210317900460001</v>
      </c>
      <c r="AH4912">
        <v>24.165233964839501</v>
      </c>
      <c r="AI4912">
        <v>92.599714142948002</v>
      </c>
      <c r="AJ4912">
        <v>78.168694534199801</v>
      </c>
      <c r="AK4912">
        <v>24.715192210211701</v>
      </c>
      <c r="AL4912">
        <v>94.213709392012902</v>
      </c>
      <c r="AM4912">
        <v>89.919988269092499</v>
      </c>
      <c r="AN4912">
        <v>1.00000004787831</v>
      </c>
    </row>
    <row r="4913" spans="1:40" x14ac:dyDescent="0.25">
      <c r="A4913" t="str">
        <f>"20190303153907535"</f>
        <v>20190303153907535</v>
      </c>
      <c r="B4913" t="str">
        <f>"1551598747523828"</f>
        <v>1551598747523828</v>
      </c>
      <c r="C4913" t="s">
        <v>40</v>
      </c>
      <c r="D4913">
        <v>4.3565860000000001</v>
      </c>
      <c r="E4913">
        <v>0.58151180000000002</v>
      </c>
      <c r="F4913" t="s">
        <v>51</v>
      </c>
      <c r="G4913">
        <v>-200.91679999999999</v>
      </c>
      <c r="H4913" s="1">
        <v>2.9845349999999999E-6</v>
      </c>
      <c r="I4913">
        <v>210.48699999999999</v>
      </c>
      <c r="J4913">
        <v>-225.446</v>
      </c>
      <c r="K4913">
        <v>1.121046</v>
      </c>
      <c r="L4913">
        <v>215.75219999999999</v>
      </c>
      <c r="M4913">
        <v>0.99990239999999997</v>
      </c>
      <c r="N4913">
        <v>-1.3911049999999999E-2</v>
      </c>
      <c r="O4913">
        <v>1.2608439999999999E-3</v>
      </c>
      <c r="P4913">
        <v>0.99614020000000003</v>
      </c>
      <c r="Q4913">
        <v>-8.775558E-2</v>
      </c>
      <c r="R4913">
        <v>-1.881518E-3</v>
      </c>
      <c r="S4913">
        <v>2.9995419999999999</v>
      </c>
      <c r="T4913">
        <v>-0.1357303</v>
      </c>
      <c r="U4913">
        <v>-0.6374512</v>
      </c>
      <c r="V4913">
        <v>3.1277140000000002E-3</v>
      </c>
      <c r="W4913">
        <v>-7.3890220000000006E-2</v>
      </c>
      <c r="X4913">
        <v>0.99726150000000002</v>
      </c>
      <c r="Y4913">
        <v>0.20883679999999999</v>
      </c>
      <c r="Z4913">
        <v>-6.1791559999999999E-3</v>
      </c>
      <c r="AA4913">
        <v>0.97793099999999999</v>
      </c>
      <c r="AB4913">
        <v>25</v>
      </c>
      <c r="AC4913">
        <v>24.529199999999999</v>
      </c>
      <c r="AD4913">
        <v>-1.121043015465</v>
      </c>
      <c r="AE4913">
        <v>-5.2651999999999903</v>
      </c>
      <c r="AF4913">
        <v>5.2855725455867901</v>
      </c>
      <c r="AG4913">
        <v>-1.121043015465</v>
      </c>
      <c r="AH4913">
        <v>24.473674421517298</v>
      </c>
      <c r="AI4913">
        <v>92.563636843954697</v>
      </c>
      <c r="AJ4913">
        <v>77.813024537539107</v>
      </c>
      <c r="AK4913">
        <v>25.063015665869301</v>
      </c>
      <c r="AL4913">
        <v>94.237459558101904</v>
      </c>
      <c r="AM4913">
        <v>89.820303677469695</v>
      </c>
      <c r="AN4913">
        <v>1.00000002329438</v>
      </c>
    </row>
    <row r="4914" spans="1:40" x14ac:dyDescent="0.25">
      <c r="A4914" t="str">
        <f>"20190303153907570"</f>
        <v>20190303153907570</v>
      </c>
      <c r="B4914" t="str">
        <f>"1551598747563843"</f>
        <v>1551598747563843</v>
      </c>
      <c r="C4914" t="s">
        <v>40</v>
      </c>
      <c r="D4914">
        <v>4.3647869999999998</v>
      </c>
      <c r="E4914">
        <v>0.58244960000000001</v>
      </c>
      <c r="F4914" t="s">
        <v>51</v>
      </c>
      <c r="G4914">
        <v>-201.11099999999999</v>
      </c>
      <c r="H4914" s="1">
        <v>3.0744939999999998E-6</v>
      </c>
      <c r="I4914">
        <v>210.4434</v>
      </c>
      <c r="J4914">
        <v>-225.06569999999999</v>
      </c>
      <c r="K4914">
        <v>1.1210580000000001</v>
      </c>
      <c r="L4914">
        <v>215.7525</v>
      </c>
      <c r="M4914">
        <v>0.99990140000000005</v>
      </c>
      <c r="N4914">
        <v>-1.400377E-2</v>
      </c>
      <c r="O4914">
        <v>1.176098E-3</v>
      </c>
      <c r="P4914">
        <v>0.99609009999999998</v>
      </c>
      <c r="Q4914">
        <v>-8.8257520000000006E-2</v>
      </c>
      <c r="R4914">
        <v>-3.9455649999999998E-3</v>
      </c>
      <c r="S4914">
        <v>2.9982150000000001</v>
      </c>
      <c r="T4914">
        <v>-0.1381193</v>
      </c>
      <c r="U4914">
        <v>-0.65406799999999998</v>
      </c>
      <c r="V4914">
        <v>5.1071650000000003E-3</v>
      </c>
      <c r="W4914">
        <v>-7.4300610000000003E-2</v>
      </c>
      <c r="X4914">
        <v>0.99722279999999996</v>
      </c>
      <c r="Y4914">
        <v>0.214003</v>
      </c>
      <c r="Z4914">
        <v>-6.4236400000000004E-3</v>
      </c>
      <c r="AA4914">
        <v>0.97681189999999996</v>
      </c>
      <c r="AB4914">
        <v>25</v>
      </c>
      <c r="AC4914">
        <v>23.954699999999999</v>
      </c>
      <c r="AD4914">
        <v>-1.1210549255059901</v>
      </c>
      <c r="AE4914">
        <v>-5.3090999999999999</v>
      </c>
      <c r="AF4914">
        <v>5.3261532893717103</v>
      </c>
      <c r="AG4914">
        <v>-1.1210549255059901</v>
      </c>
      <c r="AH4914">
        <v>23.8985482143386</v>
      </c>
      <c r="AI4914">
        <v>92.621492663991305</v>
      </c>
      <c r="AJ4914">
        <v>77.436094089336905</v>
      </c>
      <c r="AK4914">
        <v>24.510513657631801</v>
      </c>
      <c r="AL4914">
        <v>94.261038135422694</v>
      </c>
      <c r="AM4914">
        <v>89.706568640942905</v>
      </c>
      <c r="AN4914">
        <v>0.99999998831027404</v>
      </c>
    </row>
    <row r="4915" spans="1:40" x14ac:dyDescent="0.25">
      <c r="A4915" t="str">
        <f>"20190303153907592"</f>
        <v>20190303153907592</v>
      </c>
      <c r="B4915" t="str">
        <f>"1551598747583364"</f>
        <v>1551598747583364</v>
      </c>
      <c r="C4915" t="s">
        <v>40</v>
      </c>
      <c r="D4915">
        <v>4.3783940000000001</v>
      </c>
      <c r="E4915">
        <v>0.58294440000000003</v>
      </c>
      <c r="F4915" t="s">
        <v>51</v>
      </c>
      <c r="G4915">
        <v>-202.99510000000001</v>
      </c>
      <c r="H4915" s="1">
        <v>3.8761790000000003E-6</v>
      </c>
      <c r="I4915">
        <v>210.8305</v>
      </c>
      <c r="J4915">
        <v>-224.82429999999999</v>
      </c>
      <c r="K4915">
        <v>1.1210629999999999</v>
      </c>
      <c r="L4915">
        <v>215.7527</v>
      </c>
      <c r="M4915">
        <v>0.99990089999999998</v>
      </c>
      <c r="N4915">
        <v>-1.4038780000000001E-2</v>
      </c>
      <c r="O4915">
        <v>1.1209670000000001E-3</v>
      </c>
      <c r="P4915">
        <v>0.99610010000000004</v>
      </c>
      <c r="Q4915">
        <v>-8.8056330000000002E-2</v>
      </c>
      <c r="R4915">
        <v>-5.5620919999999898E-3</v>
      </c>
      <c r="S4915">
        <v>2.9956510000000001</v>
      </c>
      <c r="T4915">
        <v>-0.15216109999999999</v>
      </c>
      <c r="U4915">
        <v>-0.66807559999999999</v>
      </c>
      <c r="V4915">
        <v>6.6687530000000004E-3</v>
      </c>
      <c r="W4915">
        <v>-7.4064580000000005E-2</v>
      </c>
      <c r="X4915">
        <v>0.99723110000000004</v>
      </c>
      <c r="Y4915">
        <v>0.21841569999999999</v>
      </c>
      <c r="Z4915">
        <v>-7.0701059999999996E-3</v>
      </c>
      <c r="AA4915">
        <v>0.97583019999999998</v>
      </c>
      <c r="AB4915">
        <v>25</v>
      </c>
      <c r="AC4915">
        <v>21.829199999999901</v>
      </c>
      <c r="AD4915">
        <v>-1.1210591238209999</v>
      </c>
      <c r="AE4915">
        <v>-4.9222000000000001</v>
      </c>
      <c r="AF4915">
        <v>4.9342849505443001</v>
      </c>
      <c r="AG4915">
        <v>-1.1210591238209999</v>
      </c>
      <c r="AH4915">
        <v>21.769031711500201</v>
      </c>
      <c r="AI4915">
        <v>92.875199630785602</v>
      </c>
      <c r="AJ4915">
        <v>77.228829792629298</v>
      </c>
      <c r="AK4915">
        <v>22.349377691304301</v>
      </c>
      <c r="AL4915">
        <v>94.247477408459403</v>
      </c>
      <c r="AM4915">
        <v>89.616853399364004</v>
      </c>
      <c r="AN4915">
        <v>0.99999995054217905</v>
      </c>
    </row>
    <row r="4916" spans="1:40" x14ac:dyDescent="0.25">
      <c r="A4916" t="str">
        <f>"20190303153907613"</f>
        <v>20190303153907613</v>
      </c>
      <c r="B4916" t="str">
        <f>"1551598747603860"</f>
        <v>1551598747603860</v>
      </c>
      <c r="C4916" t="s">
        <v>40</v>
      </c>
      <c r="D4916">
        <v>7.0052500000000002</v>
      </c>
      <c r="E4916">
        <v>0.58316009999999996</v>
      </c>
      <c r="F4916" t="s">
        <v>51</v>
      </c>
      <c r="G4916">
        <v>-203.35589999999999</v>
      </c>
      <c r="H4916" s="1">
        <v>4.030278E-6</v>
      </c>
      <c r="I4916">
        <v>210.89760000000001</v>
      </c>
      <c r="J4916">
        <v>-224.58609999999999</v>
      </c>
      <c r="K4916">
        <v>1.1210580000000001</v>
      </c>
      <c r="L4916">
        <v>215.75290000000001</v>
      </c>
      <c r="M4916">
        <v>0.99990089999999998</v>
      </c>
      <c r="N4916">
        <v>-1.4041730000000001E-2</v>
      </c>
      <c r="O4916">
        <v>1.0660019999999999E-3</v>
      </c>
      <c r="P4916">
        <v>0.99614659999999999</v>
      </c>
      <c r="Q4916">
        <v>-8.7457519999999997E-2</v>
      </c>
      <c r="R4916">
        <v>-6.5865759999999898E-3</v>
      </c>
      <c r="S4916">
        <v>2.9941249999999999</v>
      </c>
      <c r="T4916">
        <v>-0.15634999999999999</v>
      </c>
      <c r="U4916">
        <v>-0.67712399999999995</v>
      </c>
      <c r="V4916">
        <v>7.6388480000000002E-3</v>
      </c>
      <c r="W4916">
        <v>-7.3462390000000002E-2</v>
      </c>
      <c r="X4916">
        <v>0.99726870000000001</v>
      </c>
      <c r="Y4916">
        <v>0.22125220000000001</v>
      </c>
      <c r="Z4916">
        <v>-7.3152859999999998E-3</v>
      </c>
      <c r="AA4916">
        <v>0.97518919999999998</v>
      </c>
      <c r="AB4916">
        <v>25</v>
      </c>
      <c r="AC4916">
        <v>21.2302</v>
      </c>
      <c r="AD4916">
        <v>-1.1210539697220001</v>
      </c>
      <c r="AE4916">
        <v>-4.8552999999999997</v>
      </c>
      <c r="AF4916">
        <v>4.8650397883935996</v>
      </c>
      <c r="AG4916">
        <v>-1.1210539697220001</v>
      </c>
      <c r="AH4916">
        <v>21.168919412696201</v>
      </c>
      <c r="AI4916">
        <v>92.954532665064406</v>
      </c>
      <c r="AJ4916">
        <v>77.057034219827401</v>
      </c>
      <c r="AK4916">
        <v>21.7496786929579</v>
      </c>
      <c r="AL4916">
        <v>94.212880138763296</v>
      </c>
      <c r="AM4916">
        <v>89.561136139836094</v>
      </c>
      <c r="AN4916">
        <v>0.999999967371484</v>
      </c>
    </row>
    <row r="4917" spans="1:40" x14ac:dyDescent="0.25">
      <c r="A4917" t="str">
        <f>"20190303153907636"</f>
        <v>20190303153907636</v>
      </c>
      <c r="B4917" t="str">
        <f>"1551598747633140"</f>
        <v>1551598747633140</v>
      </c>
      <c r="C4917" t="s">
        <v>40</v>
      </c>
      <c r="D4917">
        <v>4.434723</v>
      </c>
      <c r="E4917">
        <v>0.58345159999999996</v>
      </c>
      <c r="F4917" t="s">
        <v>51</v>
      </c>
      <c r="G4917">
        <v>-203.17789999999999</v>
      </c>
      <c r="H4917" s="1">
        <v>3.9533239999999997E-6</v>
      </c>
      <c r="I4917">
        <v>210.87520000000001</v>
      </c>
      <c r="J4917">
        <v>-224.34280000000001</v>
      </c>
      <c r="K4917">
        <v>1.121051</v>
      </c>
      <c r="L4917">
        <v>215.75309999999999</v>
      </c>
      <c r="M4917">
        <v>0.99990109999999999</v>
      </c>
      <c r="N4917">
        <v>-1.4029369999999999E-2</v>
      </c>
      <c r="O4917">
        <v>1.010307E-3</v>
      </c>
      <c r="P4917">
        <v>0.99623530000000005</v>
      </c>
      <c r="Q4917">
        <v>-8.6314749999999996E-2</v>
      </c>
      <c r="R4917">
        <v>-8.0609400000000008E-3</v>
      </c>
      <c r="S4917">
        <v>2.9933169999999998</v>
      </c>
      <c r="T4917">
        <v>-0.15674749999999901</v>
      </c>
      <c r="U4917">
        <v>-0.68200680000000002</v>
      </c>
      <c r="V4917">
        <v>9.0580639999999994E-3</v>
      </c>
      <c r="W4917">
        <v>-7.2331019999999996E-2</v>
      </c>
      <c r="X4917">
        <v>0.99733950000000005</v>
      </c>
      <c r="Y4917">
        <v>0.22276299999999999</v>
      </c>
      <c r="Z4917">
        <v>-7.3769739999999997E-3</v>
      </c>
      <c r="AA4917">
        <v>0.97484470000000001</v>
      </c>
      <c r="AB4917">
        <v>25</v>
      </c>
      <c r="AC4917">
        <v>21.164899999999999</v>
      </c>
      <c r="AD4917">
        <v>-1.1210470466760001</v>
      </c>
      <c r="AE4917">
        <v>-4.8778999999999799</v>
      </c>
      <c r="AF4917">
        <v>4.8862655174465202</v>
      </c>
      <c r="AG4917">
        <v>-1.1210470466760001</v>
      </c>
      <c r="AH4917">
        <v>21.103739602560399</v>
      </c>
      <c r="AI4917">
        <v>92.962511956272905</v>
      </c>
      <c r="AJ4917">
        <v>76.963704495423102</v>
      </c>
      <c r="AK4917">
        <v>21.691015706981599</v>
      </c>
      <c r="AL4917">
        <v>94.147884551301203</v>
      </c>
      <c r="AM4917">
        <v>89.479641016376902</v>
      </c>
      <c r="AN4917">
        <v>0.99999995161895805</v>
      </c>
    </row>
    <row r="4918" spans="1:40" x14ac:dyDescent="0.25">
      <c r="A4918" t="str">
        <f>"20190303153907658"</f>
        <v>20190303153907658</v>
      </c>
      <c r="B4918" t="str">
        <f>"1551598747653646"</f>
        <v>1551598747653646</v>
      </c>
      <c r="C4918" t="s">
        <v>40</v>
      </c>
      <c r="D4918">
        <v>4.4847780000000004</v>
      </c>
      <c r="E4918">
        <v>0.58357019999999904</v>
      </c>
      <c r="F4918" t="s">
        <v>51</v>
      </c>
      <c r="G4918">
        <v>-203.036</v>
      </c>
      <c r="H4918" s="1">
        <v>3.8928649999999997E-6</v>
      </c>
      <c r="I4918">
        <v>210.8466</v>
      </c>
      <c r="J4918">
        <v>-224.09440000000001</v>
      </c>
      <c r="K4918">
        <v>1.121054</v>
      </c>
      <c r="L4918">
        <v>215.7533</v>
      </c>
      <c r="M4918">
        <v>0.9999015</v>
      </c>
      <c r="N4918">
        <v>-1.4014479999999999E-2</v>
      </c>
      <c r="O4918">
        <v>9.5396649999999995E-4</v>
      </c>
      <c r="P4918">
        <v>0.9962491</v>
      </c>
      <c r="Q4918">
        <v>-8.5995639999999998E-2</v>
      </c>
      <c r="R4918">
        <v>-9.6196849999999993E-3</v>
      </c>
      <c r="S4918">
        <v>2.992111</v>
      </c>
      <c r="T4918">
        <v>-0.15742809999999999</v>
      </c>
      <c r="U4918">
        <v>-0.68901060000000003</v>
      </c>
      <c r="V4918">
        <v>1.056081E-2</v>
      </c>
      <c r="W4918">
        <v>-7.2026800000000002E-2</v>
      </c>
      <c r="X4918">
        <v>0.99734679999999998</v>
      </c>
      <c r="Y4918">
        <v>0.22495409999999999</v>
      </c>
      <c r="Z4918">
        <v>-7.4719850000000004E-3</v>
      </c>
      <c r="AA4918">
        <v>0.97434069999999995</v>
      </c>
      <c r="AB4918">
        <v>24</v>
      </c>
      <c r="AC4918">
        <v>21.058399999999999</v>
      </c>
      <c r="AD4918">
        <v>-1.1210501071349901</v>
      </c>
      <c r="AE4918">
        <v>-4.9066999999999998</v>
      </c>
      <c r="AF4918">
        <v>4.91358075020917</v>
      </c>
      <c r="AG4918">
        <v>-1.1210501071349901</v>
      </c>
      <c r="AH4918">
        <v>20.997267237787799</v>
      </c>
      <c r="AI4918">
        <v>92.975891511789499</v>
      </c>
      <c r="AJ4918">
        <v>76.829188388130405</v>
      </c>
      <c r="AK4918">
        <v>21.5936393548334</v>
      </c>
      <c r="AL4918">
        <v>94.130408182986201</v>
      </c>
      <c r="AM4918">
        <v>89.393323137399506</v>
      </c>
      <c r="AN4918">
        <v>1.0000000150481601</v>
      </c>
    </row>
    <row r="4919" spans="1:40" x14ac:dyDescent="0.25">
      <c r="A4919" t="str">
        <f>"20190303153907680"</f>
        <v>20190303153907680</v>
      </c>
      <c r="B4919" t="str">
        <f>"1551598747673165"</f>
        <v>1551598747673165</v>
      </c>
      <c r="C4919" t="s">
        <v>40</v>
      </c>
      <c r="D4919">
        <v>4.4676280000000004</v>
      </c>
      <c r="E4919">
        <v>0.58379159999999997</v>
      </c>
      <c r="F4919" t="s">
        <v>51</v>
      </c>
      <c r="G4919">
        <v>-203.00970000000001</v>
      </c>
      <c r="H4919" s="1">
        <v>3.8804049999999997E-6</v>
      </c>
      <c r="I4919">
        <v>210.85589999999999</v>
      </c>
      <c r="J4919">
        <v>-223.84739999999999</v>
      </c>
      <c r="K4919">
        <v>1.1210450000000001</v>
      </c>
      <c r="L4919">
        <v>215.7534</v>
      </c>
      <c r="M4919">
        <v>0.9999017</v>
      </c>
      <c r="N4919">
        <v>-1.399885E-2</v>
      </c>
      <c r="O4919">
        <v>8.9817049999999996E-4</v>
      </c>
      <c r="P4919">
        <v>0.99625039999999998</v>
      </c>
      <c r="Q4919">
        <v>-8.5818080000000005E-2</v>
      </c>
      <c r="R4919">
        <v>-1.098507E-2</v>
      </c>
      <c r="S4919">
        <v>2.9908600000000001</v>
      </c>
      <c r="T4919">
        <v>-0.15902089999999999</v>
      </c>
      <c r="U4919">
        <v>-0.6946869</v>
      </c>
      <c r="V4919">
        <v>1.1870489999999999E-2</v>
      </c>
      <c r="W4919">
        <v>-7.1865020000000002E-2</v>
      </c>
      <c r="X4919">
        <v>0.99734370000000006</v>
      </c>
      <c r="Y4919">
        <v>0.22673389999999999</v>
      </c>
      <c r="Z4919">
        <v>-7.5883749999999996E-3</v>
      </c>
      <c r="AA4919">
        <v>0.97392719999999999</v>
      </c>
      <c r="AB4919">
        <v>24</v>
      </c>
      <c r="AC4919">
        <v>20.837699999999899</v>
      </c>
      <c r="AD4919">
        <v>-1.1210411195950001</v>
      </c>
      <c r="AE4919">
        <v>-4.8975</v>
      </c>
      <c r="AF4919">
        <v>4.90276840147604</v>
      </c>
      <c r="AG4919">
        <v>-1.1210411195950001</v>
      </c>
      <c r="AH4919">
        <v>20.7763073315359</v>
      </c>
      <c r="AI4919">
        <v>93.006143226709</v>
      </c>
      <c r="AJ4919">
        <v>76.722313431182698</v>
      </c>
      <c r="AK4919">
        <v>21.3763611853085</v>
      </c>
      <c r="AL4919">
        <v>94.121114962889905</v>
      </c>
      <c r="AM4919">
        <v>89.318091782436795</v>
      </c>
      <c r="AN4919">
        <v>0.99999997278106401</v>
      </c>
    </row>
    <row r="4920" spans="1:40" x14ac:dyDescent="0.25">
      <c r="A4920" t="str">
        <f>"20190303153907702"</f>
        <v>20190303153907702</v>
      </c>
      <c r="B4920" t="str">
        <f>"1551598747693658"</f>
        <v>1551598747693658</v>
      </c>
      <c r="C4920" t="s">
        <v>40</v>
      </c>
      <c r="D4920">
        <v>4.4713070000000004</v>
      </c>
      <c r="E4920">
        <v>0.58392540000000004</v>
      </c>
      <c r="F4920" t="s">
        <v>51</v>
      </c>
      <c r="G4920">
        <v>-203.11369999999999</v>
      </c>
      <c r="H4920" s="1">
        <v>3.9232860000000002E-6</v>
      </c>
      <c r="I4920">
        <v>210.89320000000001</v>
      </c>
      <c r="J4920">
        <v>-223.6087</v>
      </c>
      <c r="K4920">
        <v>1.12104</v>
      </c>
      <c r="L4920">
        <v>215.75360000000001</v>
      </c>
      <c r="M4920">
        <v>0.99990199999999996</v>
      </c>
      <c r="N4920">
        <v>-1.3981439999999999E-2</v>
      </c>
      <c r="O4920">
        <v>8.4399609999999999E-4</v>
      </c>
      <c r="P4920">
        <v>0.99621230000000005</v>
      </c>
      <c r="Q4920">
        <v>-8.6004419999999998E-2</v>
      </c>
      <c r="R4920">
        <v>-1.281915E-2</v>
      </c>
      <c r="S4920">
        <v>2.989655</v>
      </c>
      <c r="T4920">
        <v>-0.1616467</v>
      </c>
      <c r="U4920">
        <v>-0.70082089999999997</v>
      </c>
      <c r="V4920">
        <v>1.3650529999999999E-2</v>
      </c>
      <c r="W4920">
        <v>-7.206949E-2</v>
      </c>
      <c r="X4920">
        <v>0.99730620000000003</v>
      </c>
      <c r="Y4920">
        <v>0.2286474</v>
      </c>
      <c r="Z4920">
        <v>-7.749026E-3</v>
      </c>
      <c r="AA4920">
        <v>0.97347839999999997</v>
      </c>
      <c r="AB4920">
        <v>24</v>
      </c>
      <c r="AC4920">
        <v>20.495000000000001</v>
      </c>
      <c r="AD4920">
        <v>-1.121036076714</v>
      </c>
      <c r="AE4920">
        <v>-4.8603999999999896</v>
      </c>
      <c r="AF4920">
        <v>4.8639202657556604</v>
      </c>
      <c r="AG4920">
        <v>-1.121036076714</v>
      </c>
      <c r="AH4920">
        <v>20.433012213162801</v>
      </c>
      <c r="AI4920">
        <v>93.055128440483102</v>
      </c>
      <c r="AJ4920">
        <v>76.610375229026104</v>
      </c>
      <c r="AK4920">
        <v>21.0338401234816</v>
      </c>
      <c r="AL4920">
        <v>94.132860565124005</v>
      </c>
      <c r="AM4920">
        <v>89.215818651614796</v>
      </c>
      <c r="AN4920">
        <v>1.00000000245829</v>
      </c>
    </row>
    <row r="4921" spans="1:40" x14ac:dyDescent="0.25">
      <c r="A4921" t="str">
        <f>"20190303153907724"</f>
        <v>20190303153907724</v>
      </c>
      <c r="B4921" t="str">
        <f>"1551598747713178"</f>
        <v>1551598747713178</v>
      </c>
      <c r="C4921" t="s">
        <v>40</v>
      </c>
      <c r="D4921">
        <v>4.495133</v>
      </c>
      <c r="E4921">
        <v>0.58411440000000003</v>
      </c>
      <c r="F4921" t="s">
        <v>51</v>
      </c>
      <c r="G4921">
        <v>-203.14240000000001</v>
      </c>
      <c r="H4921" s="1">
        <v>3.9346259999999999E-6</v>
      </c>
      <c r="I4921">
        <v>210.90880000000001</v>
      </c>
      <c r="J4921">
        <v>-223.36940000000001</v>
      </c>
      <c r="K4921">
        <v>1.12103</v>
      </c>
      <c r="L4921">
        <v>215.75370000000001</v>
      </c>
      <c r="M4921">
        <v>0.99990219999999996</v>
      </c>
      <c r="N4921">
        <v>-1.396264E-2</v>
      </c>
      <c r="O4921">
        <v>7.895345E-4</v>
      </c>
      <c r="P4921">
        <v>0.99605710000000003</v>
      </c>
      <c r="Q4921">
        <v>-8.7526969999999996E-2</v>
      </c>
      <c r="R4921">
        <v>-1.447299E-2</v>
      </c>
      <c r="S4921">
        <v>2.9881739999999999</v>
      </c>
      <c r="T4921">
        <v>-0.1636764</v>
      </c>
      <c r="U4921">
        <v>-0.70735170000000003</v>
      </c>
      <c r="V4921">
        <v>1.524992E-2</v>
      </c>
      <c r="W4921">
        <v>-7.3613020000000001E-2</v>
      </c>
      <c r="X4921">
        <v>0.99717029999999995</v>
      </c>
      <c r="Y4921">
        <v>0.23070389999999999</v>
      </c>
      <c r="Z4921">
        <v>-7.8936309999999999E-3</v>
      </c>
      <c r="AA4921">
        <v>0.97299199999999997</v>
      </c>
      <c r="AB4921">
        <v>24</v>
      </c>
      <c r="AC4921">
        <v>20.227</v>
      </c>
      <c r="AD4921">
        <v>-1.1210260653740001</v>
      </c>
      <c r="AE4921">
        <v>-4.8448999999999902</v>
      </c>
      <c r="AF4921">
        <v>4.8467902245175498</v>
      </c>
      <c r="AG4921">
        <v>-1.1210260653740001</v>
      </c>
      <c r="AH4921">
        <v>20.1645907563951</v>
      </c>
      <c r="AI4921">
        <v>93.0940698597161</v>
      </c>
      <c r="AJ4921">
        <v>76.484686799744907</v>
      </c>
      <c r="AK4921">
        <v>20.769178974928799</v>
      </c>
      <c r="AL4921">
        <v>94.221533802300101</v>
      </c>
      <c r="AM4921">
        <v>89.123832764656001</v>
      </c>
      <c r="AN4921">
        <v>1.0000000219878</v>
      </c>
    </row>
    <row r="4922" spans="1:40" x14ac:dyDescent="0.25">
      <c r="A4922" t="str">
        <f>"20190303153907748"</f>
        <v>20190303153907748</v>
      </c>
      <c r="B4922" t="str">
        <f>"1551598747743435"</f>
        <v>1551598747743435</v>
      </c>
      <c r="C4922" t="s">
        <v>40</v>
      </c>
      <c r="D4922">
        <v>4.5396380000000001</v>
      </c>
      <c r="E4922">
        <v>0.58426730000000004</v>
      </c>
      <c r="F4922" t="s">
        <v>51</v>
      </c>
      <c r="G4922">
        <v>-203.55799999999999</v>
      </c>
      <c r="H4922" s="1">
        <v>4.1093489999999996E-6</v>
      </c>
      <c r="I4922">
        <v>211.0187</v>
      </c>
      <c r="J4922">
        <v>-223.11609999999999</v>
      </c>
      <c r="K4922">
        <v>1.1210199999999999</v>
      </c>
      <c r="L4922">
        <v>215.75380000000001</v>
      </c>
      <c r="M4922">
        <v>0.99990250000000003</v>
      </c>
      <c r="N4922">
        <v>-1.394338E-2</v>
      </c>
      <c r="O4922">
        <v>7.3173889999999999E-4</v>
      </c>
      <c r="P4922">
        <v>0.99593259999999995</v>
      </c>
      <c r="Q4922">
        <v>-8.8522760000000006E-2</v>
      </c>
      <c r="R4922">
        <v>-1.6789640000000002E-2</v>
      </c>
      <c r="S4922">
        <v>2.9866489999999999</v>
      </c>
      <c r="T4922">
        <v>-0.1689996</v>
      </c>
      <c r="U4922">
        <v>-0.71382139999999905</v>
      </c>
      <c r="V4922">
        <v>1.750871E-2</v>
      </c>
      <c r="W4922">
        <v>-7.4629979999999999E-2</v>
      </c>
      <c r="X4922">
        <v>0.99705759999999999</v>
      </c>
      <c r="Y4922">
        <v>0.23272499999999999</v>
      </c>
      <c r="Z4922">
        <v>-8.1653490000000006E-3</v>
      </c>
      <c r="AA4922">
        <v>0.97250829999999999</v>
      </c>
      <c r="AB4922">
        <v>24</v>
      </c>
      <c r="AC4922">
        <v>19.5581</v>
      </c>
      <c r="AD4922">
        <v>-1.1210158906509999</v>
      </c>
      <c r="AE4922">
        <v>-4.7351000000000099</v>
      </c>
      <c r="AF4922">
        <v>4.7347180043711798</v>
      </c>
      <c r="AG4922">
        <v>-1.1210158906509999</v>
      </c>
      <c r="AH4922">
        <v>19.494132228093999</v>
      </c>
      <c r="AI4922">
        <v>93.1984021444772</v>
      </c>
      <c r="AJ4922">
        <v>76.348390906126994</v>
      </c>
      <c r="AK4922">
        <v>20.0921731660471</v>
      </c>
      <c r="AL4922">
        <v>94.279962037314206</v>
      </c>
      <c r="AM4922">
        <v>88.993967759294407</v>
      </c>
      <c r="AN4922">
        <v>1.0000000232792099</v>
      </c>
    </row>
    <row r="4923" spans="1:40" x14ac:dyDescent="0.25">
      <c r="A4923" t="str">
        <f>"20190303153907771"</f>
        <v>20190303153907771</v>
      </c>
      <c r="B4923" t="str">
        <f>"1551598747763930"</f>
        <v>1551598747763930</v>
      </c>
      <c r="C4923" t="s">
        <v>40</v>
      </c>
      <c r="D4923">
        <v>4.5161879999999996</v>
      </c>
      <c r="E4923">
        <v>0.58435170000000003</v>
      </c>
      <c r="F4923" t="s">
        <v>51</v>
      </c>
      <c r="G4923">
        <v>-203.9256</v>
      </c>
      <c r="H4923" s="1">
        <v>4.2643360000000001E-6</v>
      </c>
      <c r="I4923">
        <v>211.1103</v>
      </c>
      <c r="J4923">
        <v>-222.87260000000001</v>
      </c>
      <c r="K4923">
        <v>1.121022</v>
      </c>
      <c r="L4923">
        <v>215.75399999999999</v>
      </c>
      <c r="M4923">
        <v>0.99990279999999998</v>
      </c>
      <c r="N4923">
        <v>-1.392636E-2</v>
      </c>
      <c r="O4923">
        <v>6.7625129999999999E-4</v>
      </c>
      <c r="P4923">
        <v>0.99583630000000001</v>
      </c>
      <c r="Q4923">
        <v>-8.9320720000000006E-2</v>
      </c>
      <c r="R4923">
        <v>-1.821621E-2</v>
      </c>
      <c r="S4923">
        <v>2.9845730000000001</v>
      </c>
      <c r="T4923">
        <v>-0.17434379999999999</v>
      </c>
      <c r="U4923">
        <v>-0.72218319999999903</v>
      </c>
      <c r="V4923">
        <v>1.8879770000000001E-2</v>
      </c>
      <c r="W4923">
        <v>-7.5446319999999997E-2</v>
      </c>
      <c r="X4923">
        <v>0.9969711</v>
      </c>
      <c r="Y4923">
        <v>0.23536770000000001</v>
      </c>
      <c r="Z4923">
        <v>-8.4647699999999999E-3</v>
      </c>
      <c r="AA4923">
        <v>0.97186950000000005</v>
      </c>
      <c r="AB4923">
        <v>24</v>
      </c>
      <c r="AC4923">
        <v>18.946999999999999</v>
      </c>
      <c r="AD4923">
        <v>-1.1210177356640001</v>
      </c>
      <c r="AE4923">
        <v>-4.6437000000000204</v>
      </c>
      <c r="AF4923">
        <v>4.6411867499418404</v>
      </c>
      <c r="AG4923">
        <v>-1.1210177356640001</v>
      </c>
      <c r="AH4923">
        <v>18.881503588187801</v>
      </c>
      <c r="AI4923">
        <v>93.299734100147901</v>
      </c>
      <c r="AJ4923">
        <v>76.190142397544903</v>
      </c>
      <c r="AK4923">
        <v>19.475843318384399</v>
      </c>
      <c r="AL4923">
        <v>94.326867287502594</v>
      </c>
      <c r="AM4923">
        <v>88.915112124400494</v>
      </c>
      <c r="AN4923">
        <v>0.99999998357600195</v>
      </c>
    </row>
    <row r="4924" spans="1:40" x14ac:dyDescent="0.25">
      <c r="A4924" t="str">
        <f>"20190303153907792"</f>
        <v>20190303153907792</v>
      </c>
      <c r="B4924" t="str">
        <f>"1551598747783450"</f>
        <v>1551598747783450</v>
      </c>
      <c r="C4924" t="s">
        <v>40</v>
      </c>
      <c r="D4924">
        <v>4.5140459999999996</v>
      </c>
      <c r="E4924">
        <v>0.58442629999999995</v>
      </c>
      <c r="F4924" t="s">
        <v>51</v>
      </c>
      <c r="G4924">
        <v>-204.16139999999999</v>
      </c>
      <c r="H4924" s="1">
        <v>4.3616699999999997E-6</v>
      </c>
      <c r="I4924">
        <v>211.19300000000001</v>
      </c>
      <c r="J4924">
        <v>-222.63669999999999</v>
      </c>
      <c r="K4924">
        <v>1.1210329999999999</v>
      </c>
      <c r="L4924">
        <v>215.75409999999999</v>
      </c>
      <c r="M4924">
        <v>0.99990310000000004</v>
      </c>
      <c r="N4924">
        <v>-1.3911110000000001E-2</v>
      </c>
      <c r="O4924">
        <v>6.2259870000000005E-4</v>
      </c>
      <c r="P4924">
        <v>0.99581459999999999</v>
      </c>
      <c r="Q4924">
        <v>-8.9246660000000005E-2</v>
      </c>
      <c r="R4924">
        <v>-1.9706370000000001E-2</v>
      </c>
      <c r="S4924">
        <v>2.9831850000000002</v>
      </c>
      <c r="T4924">
        <v>-0.178727</v>
      </c>
      <c r="U4924">
        <v>-0.72717290000000001</v>
      </c>
      <c r="V4924">
        <v>2.0316529999999999E-2</v>
      </c>
      <c r="W4924">
        <v>-7.5387949999999995E-2</v>
      </c>
      <c r="X4924">
        <v>0.99694729999999998</v>
      </c>
      <c r="Y4924">
        <v>0.23692849999999999</v>
      </c>
      <c r="Z4924">
        <v>-8.6907300000000007E-3</v>
      </c>
      <c r="AA4924">
        <v>0.97148820000000002</v>
      </c>
      <c r="AB4924">
        <v>24</v>
      </c>
      <c r="AC4924">
        <v>18.475300000000001</v>
      </c>
      <c r="AD4924">
        <v>-1.1210286383300001</v>
      </c>
      <c r="AE4924">
        <v>-4.5610999999999997</v>
      </c>
      <c r="AF4924">
        <v>4.5567898809897098</v>
      </c>
      <c r="AG4924">
        <v>-1.1210286383300001</v>
      </c>
      <c r="AH4924">
        <v>18.408574678845</v>
      </c>
      <c r="AI4924">
        <v>93.382986607512194</v>
      </c>
      <c r="AJ4924">
        <v>76.0966911701519</v>
      </c>
      <c r="AK4924">
        <v>18.997280356252599</v>
      </c>
      <c r="AL4924">
        <v>94.323513259345702</v>
      </c>
      <c r="AM4924">
        <v>88.832545789863801</v>
      </c>
      <c r="AN4924">
        <v>1.0000000116868599</v>
      </c>
    </row>
    <row r="4925" spans="1:40" x14ac:dyDescent="0.25">
      <c r="A4925" t="str">
        <f>"20190303153907814"</f>
        <v>20190303153907814</v>
      </c>
      <c r="B4925" t="str">
        <f>"1551598747803946"</f>
        <v>1551598747803946</v>
      </c>
      <c r="C4925" t="s">
        <v>40</v>
      </c>
      <c r="D4925">
        <v>4.5187790000000003</v>
      </c>
      <c r="E4925">
        <v>0.58437720000000004</v>
      </c>
      <c r="F4925" t="s">
        <v>51</v>
      </c>
      <c r="G4925">
        <v>-204.0308</v>
      </c>
      <c r="H4925" s="1">
        <v>4.3044970000000002E-6</v>
      </c>
      <c r="I4925">
        <v>211.18450000000001</v>
      </c>
      <c r="J4925">
        <v>-222.39320000000001</v>
      </c>
      <c r="K4925">
        <v>1.1210610000000001</v>
      </c>
      <c r="L4925">
        <v>215.75409999999999</v>
      </c>
      <c r="M4925">
        <v>0.99990330000000005</v>
      </c>
      <c r="N4925">
        <v>-1.3896469999999999E-2</v>
      </c>
      <c r="O4925">
        <v>5.6727280000000001E-4</v>
      </c>
      <c r="P4925">
        <v>0.99608140000000001</v>
      </c>
      <c r="Q4925">
        <v>-8.6364969999999999E-2</v>
      </c>
      <c r="R4925">
        <v>-1.9056960000000001E-2</v>
      </c>
      <c r="S4925">
        <v>2.9820099999999998</v>
      </c>
      <c r="T4925">
        <v>-0.1796693</v>
      </c>
      <c r="U4925">
        <v>-0.73237609999999997</v>
      </c>
      <c r="V4925">
        <v>1.9612419999999998E-2</v>
      </c>
      <c r="W4925">
        <v>-7.251734E-2</v>
      </c>
      <c r="X4925">
        <v>0.99717429999999996</v>
      </c>
      <c r="Y4925">
        <v>0.2385536</v>
      </c>
      <c r="Z4925">
        <v>-8.7847229999999995E-3</v>
      </c>
      <c r="AA4925">
        <v>0.9710896</v>
      </c>
      <c r="AB4925">
        <v>24</v>
      </c>
      <c r="AC4925">
        <v>18.362400000000001</v>
      </c>
      <c r="AD4925">
        <v>-1.1210566955029999</v>
      </c>
      <c r="AE4925">
        <v>-4.5695999999999799</v>
      </c>
      <c r="AF4925">
        <v>4.5639973704835803</v>
      </c>
      <c r="AG4925">
        <v>-1.1210566955029999</v>
      </c>
      <c r="AH4925">
        <v>18.295588036486201</v>
      </c>
      <c r="AI4925">
        <v>93.402386912355198</v>
      </c>
      <c r="AJ4925">
        <v>75.992938993611105</v>
      </c>
      <c r="AK4925">
        <v>18.8895574779594</v>
      </c>
      <c r="AL4925">
        <v>94.158587815968403</v>
      </c>
      <c r="AM4925">
        <v>88.873252117643403</v>
      </c>
      <c r="AN4925">
        <v>0.99999999809971096</v>
      </c>
    </row>
    <row r="4926" spans="1:40" x14ac:dyDescent="0.25">
      <c r="A4926" t="str">
        <f>"20190303153907837"</f>
        <v>20190303153907837</v>
      </c>
      <c r="B4926" t="str">
        <f>"1551598747833227"</f>
        <v>1551598747833227</v>
      </c>
      <c r="C4926" t="s">
        <v>40</v>
      </c>
      <c r="D4926">
        <v>4.5802370000000003</v>
      </c>
      <c r="E4926">
        <v>0.58451790000000003</v>
      </c>
      <c r="F4926" t="s">
        <v>51</v>
      </c>
      <c r="G4926">
        <v>-202.90790000000001</v>
      </c>
      <c r="H4926" s="1">
        <v>3.8238889999999998E-6</v>
      </c>
      <c r="I4926">
        <v>210.9863</v>
      </c>
      <c r="J4926">
        <v>-222.15450000000001</v>
      </c>
      <c r="K4926">
        <v>1.121108</v>
      </c>
      <c r="L4926">
        <v>215.7542</v>
      </c>
      <c r="M4926">
        <v>0.9999036</v>
      </c>
      <c r="N4926">
        <v>-1.3883410000000001E-2</v>
      </c>
      <c r="O4926">
        <v>5.1271110000000004E-4</v>
      </c>
      <c r="P4926">
        <v>0.99663990000000002</v>
      </c>
      <c r="Q4926">
        <v>-7.9618110000000006E-2</v>
      </c>
      <c r="R4926">
        <v>-1.92418E-2</v>
      </c>
      <c r="S4926">
        <v>2.9829249999999998</v>
      </c>
      <c r="T4926">
        <v>-0.1716182</v>
      </c>
      <c r="U4926">
        <v>-0.72988889999999995</v>
      </c>
      <c r="V4926">
        <v>1.97442E-2</v>
      </c>
      <c r="W4926">
        <v>-6.5776370000000001E-2</v>
      </c>
      <c r="X4926">
        <v>0.9976391</v>
      </c>
      <c r="Y4926">
        <v>0.2377099</v>
      </c>
      <c r="Z4926">
        <v>-8.4312450000000004E-3</v>
      </c>
      <c r="AA4926">
        <v>0.97129960000000004</v>
      </c>
      <c r="AB4926">
        <v>24</v>
      </c>
      <c r="AC4926">
        <v>19.246600000000001</v>
      </c>
      <c r="AD4926">
        <v>-1.1211041761110001</v>
      </c>
      <c r="AE4926">
        <v>-4.7678999999999903</v>
      </c>
      <c r="AF4926">
        <v>4.76254329331194</v>
      </c>
      <c r="AG4926">
        <v>-1.1211041761110001</v>
      </c>
      <c r="AH4926">
        <v>19.182828702205601</v>
      </c>
      <c r="AI4926">
        <v>93.246403569187606</v>
      </c>
      <c r="AJ4926">
        <v>76.057022397774404</v>
      </c>
      <c r="AK4926">
        <v>19.796959620419699</v>
      </c>
      <c r="AL4926">
        <v>93.771431008635702</v>
      </c>
      <c r="AM4926">
        <v>88.866211571814901</v>
      </c>
      <c r="AN4926">
        <v>1.0000000690664099</v>
      </c>
    </row>
    <row r="4927" spans="1:40" x14ac:dyDescent="0.25">
      <c r="A4927" t="str">
        <f>"20190303153907859"</f>
        <v>20190303153907859</v>
      </c>
      <c r="B4927" t="str">
        <f>"1551598747853725"</f>
        <v>1551598747853725</v>
      </c>
      <c r="C4927" t="s">
        <v>40</v>
      </c>
      <c r="D4927">
        <v>4.5678260000000002</v>
      </c>
      <c r="E4927">
        <v>0.58468359999999997</v>
      </c>
      <c r="F4927" t="s">
        <v>51</v>
      </c>
      <c r="G4927">
        <v>-199.85300000000001</v>
      </c>
      <c r="H4927" s="1">
        <v>2.5951430000000001E-6</v>
      </c>
      <c r="I4927">
        <v>210.28899999999999</v>
      </c>
      <c r="J4927">
        <v>-221.91220000000001</v>
      </c>
      <c r="K4927">
        <v>1.121138</v>
      </c>
      <c r="L4927">
        <v>215.7543</v>
      </c>
      <c r="M4927">
        <v>0.99990369999999995</v>
      </c>
      <c r="N4927">
        <v>-1.387128E-2</v>
      </c>
      <c r="O4927">
        <v>4.577246E-4</v>
      </c>
      <c r="P4927">
        <v>0.99691090000000004</v>
      </c>
      <c r="Q4927">
        <v>-7.6281009999999996E-2</v>
      </c>
      <c r="R4927">
        <v>-1.869879E-2</v>
      </c>
      <c r="S4927">
        <v>2.983994</v>
      </c>
      <c r="T4927">
        <v>-0.1500068</v>
      </c>
      <c r="U4927">
        <v>-0.73126219999999997</v>
      </c>
      <c r="V4927">
        <v>1.9147040000000001E-2</v>
      </c>
      <c r="W4927">
        <v>-6.2447860000000001E-2</v>
      </c>
      <c r="X4927">
        <v>0.99786450000000004</v>
      </c>
      <c r="Y4927">
        <v>0.23809710000000001</v>
      </c>
      <c r="Z4927">
        <v>-7.587005E-3</v>
      </c>
      <c r="AA4927">
        <v>0.97121170000000001</v>
      </c>
      <c r="AB4927">
        <v>24</v>
      </c>
      <c r="AC4927">
        <v>22.059200000000001</v>
      </c>
      <c r="AD4927">
        <v>-1.1211354048569999</v>
      </c>
      <c r="AE4927">
        <v>-5.4652999999999796</v>
      </c>
      <c r="AF4927">
        <v>5.4621043925419199</v>
      </c>
      <c r="AG4927">
        <v>-1.1211354048569999</v>
      </c>
      <c r="AH4927">
        <v>22.003147103958</v>
      </c>
      <c r="AI4927">
        <v>92.8311107884103</v>
      </c>
      <c r="AJ4927">
        <v>76.058598685481101</v>
      </c>
      <c r="AK4927">
        <v>22.698678628269601</v>
      </c>
      <c r="AL4927">
        <v>93.580328620293599</v>
      </c>
      <c r="AM4927">
        <v>88.900742560444698</v>
      </c>
      <c r="AN4927">
        <v>0.999999952359794</v>
      </c>
    </row>
    <row r="4928" spans="1:40" x14ac:dyDescent="0.25">
      <c r="A4928" t="str">
        <f>"20190303153907881"</f>
        <v>20190303153907881</v>
      </c>
      <c r="B4928" t="str">
        <f>"1551598747873242"</f>
        <v>1551598747873242</v>
      </c>
      <c r="C4928" t="s">
        <v>40</v>
      </c>
      <c r="D4928">
        <v>4.5949970000000002</v>
      </c>
      <c r="E4928">
        <v>0.58480319999999997</v>
      </c>
      <c r="F4928" t="s">
        <v>51</v>
      </c>
      <c r="G4928">
        <v>-198.47890000000001</v>
      </c>
      <c r="H4928" s="1">
        <v>2.862949E-6</v>
      </c>
      <c r="I4928">
        <v>210.01390000000001</v>
      </c>
      <c r="J4928">
        <v>-221.67400000000001</v>
      </c>
      <c r="K4928">
        <v>1.1211390000000001</v>
      </c>
      <c r="L4928">
        <v>215.7543</v>
      </c>
      <c r="M4928">
        <v>0.99990389999999996</v>
      </c>
      <c r="N4928">
        <v>-1.38603999999999E-2</v>
      </c>
      <c r="O4928">
        <v>4.0332710000000002E-4</v>
      </c>
      <c r="P4928">
        <v>0.99692990000000004</v>
      </c>
      <c r="Q4928">
        <v>-7.6133329999999999E-2</v>
      </c>
      <c r="R4928">
        <v>-1.8289690000000001E-2</v>
      </c>
      <c r="S4928">
        <v>2.9846499999999998</v>
      </c>
      <c r="T4928">
        <v>-0.14279649999999999</v>
      </c>
      <c r="U4928">
        <v>-0.73114009999999996</v>
      </c>
      <c r="V4928">
        <v>1.8683740000000001E-2</v>
      </c>
      <c r="W4928">
        <v>-6.2310699999999997E-2</v>
      </c>
      <c r="X4928">
        <v>0.99788189999999999</v>
      </c>
      <c r="Y4928">
        <v>0.23798839999999999</v>
      </c>
      <c r="Z4928">
        <v>-7.295185E-3</v>
      </c>
      <c r="AA4928">
        <v>0.97124060000000001</v>
      </c>
      <c r="AB4928">
        <v>24</v>
      </c>
      <c r="AC4928">
        <v>23.1951</v>
      </c>
      <c r="AD4928">
        <v>-1.12113613705099</v>
      </c>
      <c r="AE4928">
        <v>-5.7403999999999904</v>
      </c>
      <c r="AF4928">
        <v>5.7371256920877398</v>
      </c>
      <c r="AG4928">
        <v>-1.12113613705099</v>
      </c>
      <c r="AH4928">
        <v>23.141837210391198</v>
      </c>
      <c r="AI4928">
        <v>92.692226088960396</v>
      </c>
      <c r="AJ4928">
        <v>76.0764394321574</v>
      </c>
      <c r="AK4928">
        <v>23.868728221605402</v>
      </c>
      <c r="AL4928">
        <v>93.572454440473095</v>
      </c>
      <c r="AM4928">
        <v>88.927353647374304</v>
      </c>
      <c r="AN4928">
        <v>0.999999995911243</v>
      </c>
    </row>
    <row r="4929" spans="1:40" x14ac:dyDescent="0.25">
      <c r="A4929" t="str">
        <f>"20190303153907904"</f>
        <v>20190303153907904</v>
      </c>
      <c r="B4929" t="str">
        <f>"1551598747893738"</f>
        <v>1551598747893738</v>
      </c>
      <c r="C4929" t="s">
        <v>40</v>
      </c>
      <c r="D4929">
        <v>4.5670909999999996</v>
      </c>
      <c r="E4929">
        <v>0.56717649999999997</v>
      </c>
      <c r="F4929" t="s">
        <v>51</v>
      </c>
      <c r="G4929">
        <v>-198.2869</v>
      </c>
      <c r="H4929" s="1">
        <v>2.8957859999999999E-6</v>
      </c>
      <c r="I4929">
        <v>210.02770000000001</v>
      </c>
      <c r="J4929">
        <v>-221.43100000000001</v>
      </c>
      <c r="K4929">
        <v>1.1211279999999999</v>
      </c>
      <c r="L4929">
        <v>215.7544</v>
      </c>
      <c r="M4929">
        <v>0.99990400000000002</v>
      </c>
      <c r="N4929">
        <v>-1.3850309999999999E-2</v>
      </c>
      <c r="O4929">
        <v>3.4797099999999998E-4</v>
      </c>
      <c r="P4929">
        <v>0.9968243</v>
      </c>
      <c r="Q4929">
        <v>-7.7749299999999993E-2</v>
      </c>
      <c r="R4929">
        <v>-1.7218689999999998E-2</v>
      </c>
      <c r="S4929">
        <v>2.9849239999999999</v>
      </c>
      <c r="T4929">
        <v>-0.1430922</v>
      </c>
      <c r="U4929">
        <v>-0.73089599999999999</v>
      </c>
      <c r="V4929">
        <v>1.7557219999999998E-2</v>
      </c>
      <c r="W4929">
        <v>-6.3937869999999994E-2</v>
      </c>
      <c r="X4929">
        <v>0.9977994</v>
      </c>
      <c r="Y4929">
        <v>0.2378382</v>
      </c>
      <c r="Z4929">
        <v>-7.2986800000000001E-3</v>
      </c>
      <c r="AA4929">
        <v>0.97127739999999996</v>
      </c>
      <c r="AB4929">
        <v>24</v>
      </c>
      <c r="AC4929">
        <v>23.144099999999899</v>
      </c>
      <c r="AD4929">
        <v>-1.121125104214</v>
      </c>
      <c r="AE4929">
        <v>-5.7266999999999904</v>
      </c>
      <c r="AF4929">
        <v>5.7221014212783796</v>
      </c>
      <c r="AG4929">
        <v>-1.121125104214</v>
      </c>
      <c r="AH4929">
        <v>23.0910476868182</v>
      </c>
      <c r="AI4929">
        <v>92.698178762544501</v>
      </c>
      <c r="AJ4929">
        <v>76.082126945252696</v>
      </c>
      <c r="AK4929">
        <v>23.815873896408</v>
      </c>
      <c r="AL4929">
        <v>93.665870804484896</v>
      </c>
      <c r="AM4929">
        <v>88.991930838006994</v>
      </c>
      <c r="AN4929">
        <v>0.99999997491731196</v>
      </c>
    </row>
    <row r="4930" spans="1:40" x14ac:dyDescent="0.25">
      <c r="A4930" t="str">
        <f>"20190303153907925"</f>
        <v>20190303153907925</v>
      </c>
      <c r="B4930" t="str">
        <f>"1551598747913258"</f>
        <v>1551598747913258</v>
      </c>
      <c r="C4930" t="s">
        <v>40</v>
      </c>
      <c r="D4930">
        <v>4.5715209999999997</v>
      </c>
      <c r="E4930">
        <v>0.55114189999999996</v>
      </c>
      <c r="F4930" t="s">
        <v>51</v>
      </c>
      <c r="G4930">
        <v>-194.52180000000001</v>
      </c>
      <c r="H4930" s="1">
        <v>3.524543E-6</v>
      </c>
      <c r="I4930">
        <v>210.4752</v>
      </c>
      <c r="J4930">
        <v>-221.1951</v>
      </c>
      <c r="K4930">
        <v>1.121108</v>
      </c>
      <c r="L4930">
        <v>215.7544</v>
      </c>
      <c r="M4930">
        <v>0.99990429999999997</v>
      </c>
      <c r="N4930">
        <v>-1.384146E-2</v>
      </c>
      <c r="O4930">
        <v>2.9445060000000002E-4</v>
      </c>
      <c r="P4930">
        <v>0.99663800000000002</v>
      </c>
      <c r="Q4930">
        <v>-8.0413970000000001E-2</v>
      </c>
      <c r="R4930">
        <v>-1.569661E-2</v>
      </c>
      <c r="S4930">
        <v>2.9897</v>
      </c>
      <c r="T4930">
        <v>-0.12456059999999999</v>
      </c>
      <c r="U4930">
        <v>-0.58653259999999996</v>
      </c>
      <c r="V4930">
        <v>1.5981599999999999E-2</v>
      </c>
      <c r="W4930">
        <v>-6.6613480000000003E-2</v>
      </c>
      <c r="X4930">
        <v>0.99765090000000001</v>
      </c>
      <c r="Y4930">
        <v>0.19258739999999999</v>
      </c>
      <c r="Z4930">
        <v>-5.3267069999999904E-3</v>
      </c>
      <c r="AA4930">
        <v>0.98126539999999995</v>
      </c>
      <c r="AB4930">
        <v>24</v>
      </c>
      <c r="AC4930">
        <v>26.673299999999902</v>
      </c>
      <c r="AD4930">
        <v>-1.1211044754570001</v>
      </c>
      <c r="AE4930">
        <v>-5.2792000000000003</v>
      </c>
      <c r="AF4930">
        <v>5.2780817103356901</v>
      </c>
      <c r="AG4930">
        <v>-1.1211044754570001</v>
      </c>
      <c r="AH4930">
        <v>26.626479002948798</v>
      </c>
      <c r="AI4930">
        <v>92.365042993219504</v>
      </c>
      <c r="AJ4930">
        <v>78.787790095325605</v>
      </c>
      <c r="AK4930">
        <v>27.167708881691599</v>
      </c>
      <c r="AL4930">
        <v>93.8194994050139</v>
      </c>
      <c r="AM4930">
        <v>89.082244183707999</v>
      </c>
      <c r="AN4930">
        <v>1.0000000427635301</v>
      </c>
    </row>
    <row r="4931" spans="1:40" x14ac:dyDescent="0.25">
      <c r="A4931" t="str">
        <f>"20190303153907949"</f>
        <v>20190303153907949</v>
      </c>
      <c r="B4931" t="str">
        <f>"1551598747943515"</f>
        <v>1551598747943515</v>
      </c>
      <c r="C4931" t="s">
        <v>40</v>
      </c>
      <c r="D4931">
        <v>4.5492460000000001</v>
      </c>
      <c r="E4931">
        <v>0.54170030000000002</v>
      </c>
      <c r="F4931" t="s">
        <v>51</v>
      </c>
      <c r="G4931">
        <v>-193.87299999999999</v>
      </c>
      <c r="H4931" s="1">
        <v>3.5403970000000001E-6</v>
      </c>
      <c r="I4931">
        <v>211.6103</v>
      </c>
      <c r="J4931">
        <v>-220.94880000000001</v>
      </c>
      <c r="K4931">
        <v>1.1210929999999999</v>
      </c>
      <c r="L4931">
        <v>215.7544</v>
      </c>
      <c r="M4931">
        <v>0.99990429999999997</v>
      </c>
      <c r="N4931">
        <v>-1.383328E-2</v>
      </c>
      <c r="O4931">
        <v>2.3836659999999999E-4</v>
      </c>
      <c r="P4931">
        <v>0.99628620000000001</v>
      </c>
      <c r="Q4931">
        <v>-8.4705760000000005E-2</v>
      </c>
      <c r="R4931">
        <v>-1.5452779999999999E-2</v>
      </c>
      <c r="S4931">
        <v>2.9930270000000001</v>
      </c>
      <c r="T4931">
        <v>-0.1228124</v>
      </c>
      <c r="U4931">
        <v>-0.45396419999999998</v>
      </c>
      <c r="V4931">
        <v>1.568106E-2</v>
      </c>
      <c r="W4931">
        <v>-7.0917820000000006E-2</v>
      </c>
      <c r="X4931">
        <v>0.99735890000000005</v>
      </c>
      <c r="Y4931">
        <v>0.15002860000000001</v>
      </c>
      <c r="Z4931">
        <v>-4.1099450000000003E-3</v>
      </c>
      <c r="AA4931">
        <v>0.98867309999999997</v>
      </c>
      <c r="AB4931">
        <v>24</v>
      </c>
      <c r="AC4931">
        <v>27.075800000000001</v>
      </c>
      <c r="AD4931">
        <v>-1.1210894596029899</v>
      </c>
      <c r="AE4931">
        <v>-4.1440999999999999</v>
      </c>
      <c r="AF4931">
        <v>4.1436131678487502</v>
      </c>
      <c r="AG4931">
        <v>-1.1210894596029899</v>
      </c>
      <c r="AH4931">
        <v>27.0295319871042</v>
      </c>
      <c r="AI4931">
        <v>92.347670560946199</v>
      </c>
      <c r="AJ4931">
        <v>81.284438205287898</v>
      </c>
      <c r="AK4931">
        <v>27.3682657671817</v>
      </c>
      <c r="AL4931">
        <v>94.066705437046295</v>
      </c>
      <c r="AM4931">
        <v>89.099236459030095</v>
      </c>
      <c r="AN4931">
        <v>1.0000000041227399</v>
      </c>
    </row>
    <row r="4932" spans="1:40" x14ac:dyDescent="0.25">
      <c r="A4932" t="str">
        <f>"20190303153907971"</f>
        <v>20190303153907971</v>
      </c>
      <c r="B4932" t="str">
        <f>"1551598747963034"</f>
        <v>1551598747963034</v>
      </c>
      <c r="C4932" t="s">
        <v>40</v>
      </c>
      <c r="D4932">
        <v>4.5213890000000001</v>
      </c>
      <c r="E4932">
        <v>0.5394333</v>
      </c>
      <c r="F4932" t="s">
        <v>51</v>
      </c>
      <c r="G4932">
        <v>-198.6173</v>
      </c>
      <c r="H4932" s="1">
        <v>2.5831229999999999E-6</v>
      </c>
      <c r="I4932">
        <v>212.93379999999999</v>
      </c>
      <c r="J4932">
        <v>-220.70920000000001</v>
      </c>
      <c r="K4932">
        <v>1.1210869999999999</v>
      </c>
      <c r="L4932">
        <v>215.7544</v>
      </c>
      <c r="M4932">
        <v>0.99990449999999997</v>
      </c>
      <c r="N4932">
        <v>-1.382595E-2</v>
      </c>
      <c r="O4932">
        <v>1.8382429999999999E-4</v>
      </c>
      <c r="P4932">
        <v>0.9960502</v>
      </c>
      <c r="Q4932">
        <v>-8.7232240000000003E-2</v>
      </c>
      <c r="R4932">
        <v>-1.6569859999999999E-2</v>
      </c>
      <c r="S4932">
        <v>2.9925380000000001</v>
      </c>
      <c r="T4932">
        <v>-0.15023220000000001</v>
      </c>
      <c r="U4932">
        <v>-0.37797550000000002</v>
      </c>
      <c r="V4932">
        <v>1.6743549999999999E-2</v>
      </c>
      <c r="W4932">
        <v>-7.3454770000000003E-2</v>
      </c>
      <c r="X4932">
        <v>0.99715799999999999</v>
      </c>
      <c r="Y4932">
        <v>0.12529399999999999</v>
      </c>
      <c r="Z4932">
        <v>-4.0075930000000003E-3</v>
      </c>
      <c r="AA4932">
        <v>0.99211159999999998</v>
      </c>
      <c r="AB4932">
        <v>24</v>
      </c>
      <c r="AC4932">
        <v>22.091899999999999</v>
      </c>
      <c r="AD4932">
        <v>-1.121084416877</v>
      </c>
      <c r="AE4932">
        <v>-2.82060000000001</v>
      </c>
      <c r="AF4932">
        <v>2.8175220715621299</v>
      </c>
      <c r="AG4932">
        <v>-1.121084416877</v>
      </c>
      <c r="AH4932">
        <v>22.035545390270599</v>
      </c>
      <c r="AI4932">
        <v>92.888999535963407</v>
      </c>
      <c r="AJ4932">
        <v>82.713549501979898</v>
      </c>
      <c r="AK4932">
        <v>22.2432129320424</v>
      </c>
      <c r="AL4932">
        <v>94.212442168193803</v>
      </c>
      <c r="AM4932">
        <v>89.038021453100399</v>
      </c>
      <c r="AN4932">
        <v>1.0000000133331699</v>
      </c>
    </row>
    <row r="4933" spans="1:40" x14ac:dyDescent="0.25">
      <c r="A4933" t="str">
        <f>"20190303153907994"</f>
        <v>20190303153907994</v>
      </c>
      <c r="B4933" t="str">
        <f>"1551598747983531"</f>
        <v>1551598747983531</v>
      </c>
      <c r="C4933" t="s">
        <v>40</v>
      </c>
      <c r="D4933">
        <v>4.5154110000000003</v>
      </c>
      <c r="E4933">
        <v>0.53788769999999997</v>
      </c>
      <c r="F4933" t="s">
        <v>51</v>
      </c>
      <c r="G4933">
        <v>-199.9606</v>
      </c>
      <c r="H4933" s="1">
        <v>2.3201949999999999E-6</v>
      </c>
      <c r="I4933">
        <v>213.23589999999999</v>
      </c>
      <c r="J4933">
        <v>-220.46889999999999</v>
      </c>
      <c r="K4933">
        <v>1.1210960000000001</v>
      </c>
      <c r="L4933">
        <v>215.7543</v>
      </c>
      <c r="M4933">
        <v>0.99990460000000003</v>
      </c>
      <c r="N4933">
        <v>-1.381896E-2</v>
      </c>
      <c r="O4933">
        <v>1.2921879999999901E-4</v>
      </c>
      <c r="P4933">
        <v>0.99583480000000002</v>
      </c>
      <c r="Q4933">
        <v>-8.93008E-2</v>
      </c>
      <c r="R4933">
        <v>-1.8399289999999999E-2</v>
      </c>
      <c r="S4933">
        <v>2.991714</v>
      </c>
      <c r="T4933">
        <v>-0.16164799999999999</v>
      </c>
      <c r="U4933">
        <v>-0.36312870000000003</v>
      </c>
      <c r="V4933">
        <v>1.8518300000000001E-2</v>
      </c>
      <c r="W4933">
        <v>-7.5533290000000003E-2</v>
      </c>
      <c r="X4933">
        <v>0.9969713</v>
      </c>
      <c r="Y4933">
        <v>0.120404</v>
      </c>
      <c r="Z4933">
        <v>-4.0795359999999999E-3</v>
      </c>
      <c r="AA4933">
        <v>0.99271659999999995</v>
      </c>
      <c r="AB4933">
        <v>24</v>
      </c>
      <c r="AC4933">
        <v>20.508299999999899</v>
      </c>
      <c r="AD4933">
        <v>-1.121093679805</v>
      </c>
      <c r="AE4933">
        <v>-2.51840000000001</v>
      </c>
      <c r="AF4933">
        <v>2.5136503318748402</v>
      </c>
      <c r="AG4933">
        <v>-1.121093679805</v>
      </c>
      <c r="AH4933">
        <v>20.4477779755107</v>
      </c>
      <c r="AI4933">
        <v>93.114822690715698</v>
      </c>
      <c r="AJ4933">
        <v>82.991777100331802</v>
      </c>
      <c r="AK4933">
        <v>20.6321814931338</v>
      </c>
      <c r="AL4933">
        <v>94.331864536567096</v>
      </c>
      <c r="AM4933">
        <v>88.935878659041506</v>
      </c>
      <c r="AN4933">
        <v>0.99999998917840105</v>
      </c>
    </row>
    <row r="4934" spans="1:40" x14ac:dyDescent="0.25">
      <c r="A4934" t="str">
        <f>"20190303153908016"</f>
        <v>20190303153908016</v>
      </c>
      <c r="B4934" t="str">
        <f>"1551598748003051"</f>
        <v>1551598748003051</v>
      </c>
      <c r="C4934" t="s">
        <v>40</v>
      </c>
      <c r="D4934">
        <v>4.5045080000000004</v>
      </c>
      <c r="E4934">
        <v>0.53725480000000003</v>
      </c>
      <c r="F4934" t="s">
        <v>51</v>
      </c>
      <c r="G4934">
        <v>-200.8031</v>
      </c>
      <c r="H4934" s="1">
        <v>2.6786160000000001E-6</v>
      </c>
      <c r="I4934">
        <v>213.40989999999999</v>
      </c>
      <c r="J4934">
        <v>-220.23480000000001</v>
      </c>
      <c r="K4934">
        <v>1.1211070000000001</v>
      </c>
      <c r="L4934">
        <v>215.7543</v>
      </c>
      <c r="M4934">
        <v>0.99990460000000003</v>
      </c>
      <c r="N4934">
        <v>-1.38126E-2</v>
      </c>
      <c r="O4934" s="1">
        <v>7.568494E-5</v>
      </c>
      <c r="P4934">
        <v>0.99565429999999999</v>
      </c>
      <c r="Q4934">
        <v>-9.0777750000000004E-2</v>
      </c>
      <c r="R4934">
        <v>-2.0788379999999999E-2</v>
      </c>
      <c r="S4934">
        <v>2.9906769999999998</v>
      </c>
      <c r="T4934">
        <v>-0.1704909</v>
      </c>
      <c r="U4934">
        <v>-0.35653689999999999</v>
      </c>
      <c r="V4934">
        <v>2.085381E-2</v>
      </c>
      <c r="W4934">
        <v>-7.7019219999999999E-2</v>
      </c>
      <c r="X4934">
        <v>0.99681149999999996</v>
      </c>
      <c r="Y4934">
        <v>0.11821719999999999</v>
      </c>
      <c r="Z4934">
        <v>-4.17848E-3</v>
      </c>
      <c r="AA4934">
        <v>0.99297899999999995</v>
      </c>
      <c r="AB4934">
        <v>24</v>
      </c>
      <c r="AC4934">
        <v>19.431699999999999</v>
      </c>
      <c r="AD4934">
        <v>-1.121104321384</v>
      </c>
      <c r="AE4934">
        <v>-2.3443999999999998</v>
      </c>
      <c r="AF4934">
        <v>2.3381993967143302</v>
      </c>
      <c r="AG4934">
        <v>-1.121104321384</v>
      </c>
      <c r="AH4934">
        <v>19.3679778815258</v>
      </c>
      <c r="AI4934">
        <v>93.289008543182902</v>
      </c>
      <c r="AJ4934">
        <v>83.116279564125705</v>
      </c>
      <c r="AK4934">
        <v>19.540793702853801</v>
      </c>
      <c r="AL4934">
        <v>94.417250751076693</v>
      </c>
      <c r="AM4934">
        <v>88.801517607067396</v>
      </c>
      <c r="AN4934">
        <v>1.00000000408658</v>
      </c>
    </row>
    <row r="4935" spans="1:40" x14ac:dyDescent="0.25">
      <c r="A4935" t="str">
        <f>"20190303153908038"</f>
        <v>20190303153908038</v>
      </c>
      <c r="B4935" t="str">
        <f>"1551598748033306"</f>
        <v>1551598748033306</v>
      </c>
      <c r="C4935" t="s">
        <v>40</v>
      </c>
      <c r="D4935">
        <v>4.5465629999999999</v>
      </c>
      <c r="E4935">
        <v>0.53684180000000004</v>
      </c>
      <c r="F4935" t="s">
        <v>51</v>
      </c>
      <c r="G4935">
        <v>-201.01439999999999</v>
      </c>
      <c r="H4935" s="1">
        <v>2.7689010000000001E-6</v>
      </c>
      <c r="I4935">
        <v>213.4487</v>
      </c>
      <c r="J4935">
        <v>-219.99350000000001</v>
      </c>
      <c r="K4935">
        <v>1.121097</v>
      </c>
      <c r="L4935">
        <v>215.7542</v>
      </c>
      <c r="M4935">
        <v>0.99990469999999998</v>
      </c>
      <c r="N4935">
        <v>-1.380661E-2</v>
      </c>
      <c r="O4935" s="1">
        <v>2.0775749999999998E-5</v>
      </c>
      <c r="P4935">
        <v>0.99556049999999996</v>
      </c>
      <c r="Q4935">
        <v>-9.1235280000000002E-2</v>
      </c>
      <c r="R4935">
        <v>-2.3142050000000001E-2</v>
      </c>
      <c r="S4935">
        <v>2.9897</v>
      </c>
      <c r="T4935">
        <v>-0.17438589999999901</v>
      </c>
      <c r="U4935">
        <v>-0.35862729999999998</v>
      </c>
      <c r="V4935">
        <v>2.3152849999999999E-2</v>
      </c>
      <c r="W4935">
        <v>-7.7484230000000001E-2</v>
      </c>
      <c r="X4935">
        <v>0.99672470000000002</v>
      </c>
      <c r="Y4935">
        <v>0.1188741</v>
      </c>
      <c r="Z4935">
        <v>-4.276981E-3</v>
      </c>
      <c r="AA4935">
        <v>0.99290009999999995</v>
      </c>
      <c r="AB4935">
        <v>24</v>
      </c>
      <c r="AC4935">
        <v>18.979099999999999</v>
      </c>
      <c r="AD4935">
        <v>-1.121094231099</v>
      </c>
      <c r="AE4935">
        <v>-2.3054999999999901</v>
      </c>
      <c r="AF4935">
        <v>2.29799265435142</v>
      </c>
      <c r="AG4935">
        <v>-1.121094231099</v>
      </c>
      <c r="AH4935">
        <v>18.914015919661701</v>
      </c>
      <c r="AI4935">
        <v>93.367429864586299</v>
      </c>
      <c r="AJ4935">
        <v>83.072697979526694</v>
      </c>
      <c r="AK4935">
        <v>19.086058281469999</v>
      </c>
      <c r="AL4935">
        <v>94.443973765044404</v>
      </c>
      <c r="AM4935">
        <v>88.669319553049604</v>
      </c>
      <c r="AN4935">
        <v>0.99999999397595196</v>
      </c>
    </row>
    <row r="4936" spans="1:40" x14ac:dyDescent="0.25">
      <c r="A4936" t="str">
        <f>"20190303153908061"</f>
        <v>20190303153908061</v>
      </c>
      <c r="B4936" t="str">
        <f>"1551598748053803"</f>
        <v>1551598748053803</v>
      </c>
      <c r="C4936" t="s">
        <v>40</v>
      </c>
      <c r="D4936">
        <v>4.5445169999999999</v>
      </c>
      <c r="E4936">
        <v>0.53663319999999903</v>
      </c>
      <c r="F4936" t="s">
        <v>51</v>
      </c>
      <c r="G4936">
        <v>-200.18450000000001</v>
      </c>
      <c r="H4936" s="1">
        <v>2.4092440000000001E-6</v>
      </c>
      <c r="I4936">
        <v>213.35310000000001</v>
      </c>
      <c r="J4936">
        <v>-219.74879999999999</v>
      </c>
      <c r="K4936">
        <v>1.1210869999999999</v>
      </c>
      <c r="L4936">
        <v>215.7542</v>
      </c>
      <c r="M4936">
        <v>0.99990480000000004</v>
      </c>
      <c r="N4936">
        <v>-1.380109E-2</v>
      </c>
      <c r="O4936" s="1">
        <v>-3.5328699999999999E-5</v>
      </c>
      <c r="P4936">
        <v>0.99553250000000004</v>
      </c>
      <c r="Q4936">
        <v>-9.1197909999999993E-2</v>
      </c>
      <c r="R4936">
        <v>-2.4456189999999999E-2</v>
      </c>
      <c r="S4936">
        <v>2.9894409999999998</v>
      </c>
      <c r="T4936">
        <v>-0.1691877</v>
      </c>
      <c r="U4936">
        <v>-0.36236570000000001</v>
      </c>
      <c r="V4936">
        <v>2.4411100000000002E-2</v>
      </c>
      <c r="W4936">
        <v>-7.745291E-2</v>
      </c>
      <c r="X4936">
        <v>0.9966971</v>
      </c>
      <c r="Y4936">
        <v>0.12006319999999999</v>
      </c>
      <c r="Z4936">
        <v>-4.2132999999999997E-3</v>
      </c>
      <c r="AA4936">
        <v>0.99275729999999995</v>
      </c>
      <c r="AB4936">
        <v>24</v>
      </c>
      <c r="AC4936">
        <v>19.5642999999999</v>
      </c>
      <c r="AD4936">
        <v>-1.1210845907560001</v>
      </c>
      <c r="AE4936">
        <v>-2.40109999999998</v>
      </c>
      <c r="AF4936">
        <v>2.3926688038242601</v>
      </c>
      <c r="AG4936">
        <v>-1.1210845907560001</v>
      </c>
      <c r="AH4936">
        <v>19.501300853851301</v>
      </c>
      <c r="AI4936">
        <v>93.265745206298305</v>
      </c>
      <c r="AJ4936">
        <v>83.005180646997403</v>
      </c>
      <c r="AK4936">
        <v>19.679492616854802</v>
      </c>
      <c r="AL4936">
        <v>94.442173904929803</v>
      </c>
      <c r="AM4936">
        <v>88.596992567170503</v>
      </c>
      <c r="AN4936">
        <v>0.99999998210954399</v>
      </c>
    </row>
    <row r="4937" spans="1:40" x14ac:dyDescent="0.25">
      <c r="A4937" t="str">
        <f>"20190303153908083"</f>
        <v>20190303153908083</v>
      </c>
      <c r="B4937" t="str">
        <f>"1551598748073323"</f>
        <v>1551598748073323</v>
      </c>
      <c r="C4937" t="s">
        <v>40</v>
      </c>
      <c r="D4937">
        <v>4.5947319999999996</v>
      </c>
      <c r="E4937">
        <v>0.53635350000000004</v>
      </c>
      <c r="F4937" t="s">
        <v>51</v>
      </c>
      <c r="G4937">
        <v>-199.44139999999999</v>
      </c>
      <c r="H4937" s="1">
        <v>2.4068340000000001E-6</v>
      </c>
      <c r="I4937">
        <v>213.2782</v>
      </c>
      <c r="J4937">
        <v>-219.51900000000001</v>
      </c>
      <c r="K4937">
        <v>1.1210819999999999</v>
      </c>
      <c r="L4937">
        <v>215.75409999999999</v>
      </c>
      <c r="M4937">
        <v>0.99990489999999999</v>
      </c>
      <c r="N4937">
        <v>-1.3796299999999999E-2</v>
      </c>
      <c r="O4937" s="1">
        <v>-8.7923780000000005E-5</v>
      </c>
      <c r="P4937">
        <v>0.99549909999999997</v>
      </c>
      <c r="Q4937">
        <v>-9.1117320000000002E-2</v>
      </c>
      <c r="R4937">
        <v>-2.6063940000000001E-2</v>
      </c>
      <c r="S4937">
        <v>2.9893800000000001</v>
      </c>
      <c r="T4937">
        <v>-0.16503109999999999</v>
      </c>
      <c r="U4937">
        <v>-0.3644714</v>
      </c>
      <c r="V4937">
        <v>2.59665E-2</v>
      </c>
      <c r="W4937">
        <v>-7.737774E-2</v>
      </c>
      <c r="X4937">
        <v>0.99666359999999998</v>
      </c>
      <c r="Y4937">
        <v>0.12071170000000001</v>
      </c>
      <c r="Z4937">
        <v>-4.15016E-3</v>
      </c>
      <c r="AA4937">
        <v>0.99267890000000003</v>
      </c>
      <c r="AB4937">
        <v>24</v>
      </c>
      <c r="AC4937">
        <v>20.0776</v>
      </c>
      <c r="AD4937">
        <v>-1.12107959316599</v>
      </c>
      <c r="AE4937">
        <v>-2.47589999999999</v>
      </c>
      <c r="AF4937">
        <v>2.4665594601851901</v>
      </c>
      <c r="AG4937">
        <v>-1.12107959316599</v>
      </c>
      <c r="AH4937">
        <v>20.016345329038</v>
      </c>
      <c r="AI4937">
        <v>93.181668895923906</v>
      </c>
      <c r="AJ4937">
        <v>82.975013073495504</v>
      </c>
      <c r="AK4937">
        <v>20.198881537257002</v>
      </c>
      <c r="AL4937">
        <v>94.437854147742897</v>
      </c>
      <c r="AM4937">
        <v>88.507586338803094</v>
      </c>
      <c r="AN4937">
        <v>0.99999995266735697</v>
      </c>
    </row>
    <row r="4938" spans="1:40" x14ac:dyDescent="0.25">
      <c r="A4938" t="str">
        <f>"20190303153908104"</f>
        <v>20190303153908104</v>
      </c>
      <c r="B4938" t="str">
        <f>"1551598748093818"</f>
        <v>1551598748093818</v>
      </c>
      <c r="C4938" t="s">
        <v>40</v>
      </c>
      <c r="D4938">
        <v>4.576746</v>
      </c>
      <c r="E4938">
        <v>0.5359119</v>
      </c>
      <c r="F4938" t="s">
        <v>51</v>
      </c>
      <c r="G4938">
        <v>-198.7894</v>
      </c>
      <c r="H4938" s="1">
        <v>2.5283800000000001E-6</v>
      </c>
      <c r="I4938">
        <v>213.21080000000001</v>
      </c>
      <c r="J4938">
        <v>-219.285</v>
      </c>
      <c r="K4938">
        <v>1.121084</v>
      </c>
      <c r="L4938">
        <v>215.75399999999999</v>
      </c>
      <c r="M4938">
        <v>0.99990489999999999</v>
      </c>
      <c r="N4938">
        <v>-1.379172E-2</v>
      </c>
      <c r="O4938">
        <v>-1.4177459999999999E-4</v>
      </c>
      <c r="P4938">
        <v>0.99554330000000002</v>
      </c>
      <c r="Q4938">
        <v>-9.0250349999999993E-2</v>
      </c>
      <c r="R4938">
        <v>-2.7361170000000001E-2</v>
      </c>
      <c r="S4938">
        <v>2.989166</v>
      </c>
      <c r="T4938">
        <v>-0.16165760000000001</v>
      </c>
      <c r="U4938">
        <v>-0.36672969999999999</v>
      </c>
      <c r="V4938">
        <v>2.721022E-2</v>
      </c>
      <c r="W4938">
        <v>-7.6514940000000004E-2</v>
      </c>
      <c r="X4938">
        <v>0.9966971</v>
      </c>
      <c r="Y4938">
        <v>0.1214126</v>
      </c>
      <c r="Z4938">
        <v>-4.1039290000000001E-3</v>
      </c>
      <c r="AA4938">
        <v>0.99259359999999996</v>
      </c>
      <c r="AB4938">
        <v>24</v>
      </c>
      <c r="AC4938">
        <v>20.4956</v>
      </c>
      <c r="AD4938">
        <v>-1.1210814716199999</v>
      </c>
      <c r="AE4938">
        <v>-2.5432000000000099</v>
      </c>
      <c r="AF4938">
        <v>2.53283077286547</v>
      </c>
      <c r="AG4938">
        <v>-1.1210814716199999</v>
      </c>
      <c r="AH4938">
        <v>20.4357449832955</v>
      </c>
      <c r="AI4938">
        <v>93.116236974572104</v>
      </c>
      <c r="AJ4938">
        <v>82.934722835246902</v>
      </c>
      <c r="AK4938">
        <v>20.6226023676032</v>
      </c>
      <c r="AL4938">
        <v>94.388272048058397</v>
      </c>
      <c r="AM4938">
        <v>88.436191278530899</v>
      </c>
      <c r="AN4938">
        <v>1.0000000206320301</v>
      </c>
    </row>
    <row r="4939" spans="1:40" x14ac:dyDescent="0.25">
      <c r="A4939" t="str">
        <f>"20190303153908127"</f>
        <v>20190303153908127</v>
      </c>
      <c r="B4939" t="str">
        <f>"1551598748124075"</f>
        <v>1551598748124075</v>
      </c>
      <c r="C4939" t="s">
        <v>40</v>
      </c>
      <c r="D4939">
        <v>4.591329</v>
      </c>
      <c r="E4939">
        <v>0.53509139999999999</v>
      </c>
      <c r="F4939" t="s">
        <v>51</v>
      </c>
      <c r="G4939">
        <v>-198.86170000000001</v>
      </c>
      <c r="H4939" s="1">
        <v>2.5125749999999998E-6</v>
      </c>
      <c r="I4939">
        <v>213.2449</v>
      </c>
      <c r="J4939">
        <v>-219.0472</v>
      </c>
      <c r="K4939">
        <v>1.1210880000000001</v>
      </c>
      <c r="L4939">
        <v>215.75389999999999</v>
      </c>
      <c r="M4939">
        <v>0.99990500000000004</v>
      </c>
      <c r="N4939">
        <v>-1.378743E-2</v>
      </c>
      <c r="O4939">
        <v>-1.9670359999999999E-4</v>
      </c>
      <c r="P4939">
        <v>0.99557989999999996</v>
      </c>
      <c r="Q4939">
        <v>-8.922998E-2</v>
      </c>
      <c r="R4939">
        <v>-2.9305500000000002E-2</v>
      </c>
      <c r="S4939">
        <v>2.988464</v>
      </c>
      <c r="T4939">
        <v>-0.1640433</v>
      </c>
      <c r="U4939">
        <v>-0.36714170000000002</v>
      </c>
      <c r="V4939">
        <v>2.909983E-2</v>
      </c>
      <c r="W4939">
        <v>-7.5498689999999993E-2</v>
      </c>
      <c r="X4939">
        <v>0.99672119999999997</v>
      </c>
      <c r="Y4939">
        <v>0.121515</v>
      </c>
      <c r="Z4939">
        <v>-4.153749E-3</v>
      </c>
      <c r="AA4939">
        <v>0.99258089999999999</v>
      </c>
      <c r="AB4939">
        <v>24</v>
      </c>
      <c r="AC4939">
        <v>20.185499999999902</v>
      </c>
      <c r="AD4939">
        <v>-1.12108548742499</v>
      </c>
      <c r="AE4939">
        <v>-2.5089999999999799</v>
      </c>
      <c r="AF4939">
        <v>2.4974426177993299</v>
      </c>
      <c r="AG4939">
        <v>-1.12108548742499</v>
      </c>
      <c r="AH4939">
        <v>20.124860585345299</v>
      </c>
      <c r="AI4939">
        <v>93.164229903080795</v>
      </c>
      <c r="AJ4939">
        <v>82.925909565865197</v>
      </c>
      <c r="AK4939">
        <v>20.310196106362401</v>
      </c>
      <c r="AL4939">
        <v>94.3298763726266</v>
      </c>
      <c r="AM4939">
        <v>88.327692877680704</v>
      </c>
      <c r="AN4939">
        <v>1.0000000014135899</v>
      </c>
    </row>
    <row r="4940" spans="1:40" x14ac:dyDescent="0.25">
      <c r="A4940" t="str">
        <f>"20190303153908150"</f>
        <v>20190303153908150</v>
      </c>
      <c r="B4940" t="str">
        <f>"1551598748143595"</f>
        <v>1551598748143595</v>
      </c>
      <c r="C4940" t="s">
        <v>40</v>
      </c>
      <c r="D4940">
        <v>4.607653</v>
      </c>
      <c r="E4940">
        <v>0.534636</v>
      </c>
      <c r="F4940" t="s">
        <v>51</v>
      </c>
      <c r="G4940">
        <v>-199.05070000000001</v>
      </c>
      <c r="H4940" s="1">
        <v>2.4742450000000001E-6</v>
      </c>
      <c r="I4940">
        <v>213.3</v>
      </c>
      <c r="J4940">
        <v>-218.8091</v>
      </c>
      <c r="K4940">
        <v>1.1210850000000001</v>
      </c>
      <c r="L4940">
        <v>215.75380000000001</v>
      </c>
      <c r="M4940">
        <v>0.99990500000000004</v>
      </c>
      <c r="N4940">
        <v>-1.378334E-2</v>
      </c>
      <c r="O4940">
        <v>-2.523448E-4</v>
      </c>
      <c r="P4940">
        <v>0.99553720000000001</v>
      </c>
      <c r="Q4940">
        <v>-8.9138079999999995E-2</v>
      </c>
      <c r="R4940">
        <v>-3.098803E-2</v>
      </c>
      <c r="S4940">
        <v>2.9875340000000001</v>
      </c>
      <c r="T4940">
        <v>-0.16749320000000001</v>
      </c>
      <c r="U4940">
        <v>-0.36662289999999997</v>
      </c>
      <c r="V4940">
        <v>3.0727089999999999E-2</v>
      </c>
      <c r="W4940">
        <v>-7.5411660000000005E-2</v>
      </c>
      <c r="X4940">
        <v>0.99667890000000003</v>
      </c>
      <c r="Y4940">
        <v>0.1213191</v>
      </c>
      <c r="Z4940">
        <v>-4.2149270000000003E-3</v>
      </c>
      <c r="AA4940">
        <v>0.99260459999999995</v>
      </c>
      <c r="AB4940">
        <v>24</v>
      </c>
      <c r="AC4940">
        <v>19.758399999999899</v>
      </c>
      <c r="AD4940">
        <v>-1.1210825257549999</v>
      </c>
      <c r="AE4940">
        <v>-2.4538000000000002</v>
      </c>
      <c r="AF4940">
        <v>2.44107415066527</v>
      </c>
      <c r="AG4940">
        <v>-1.1210825257549999</v>
      </c>
      <c r="AH4940">
        <v>19.696571118073798</v>
      </c>
      <c r="AI4940">
        <v>93.232945552968403</v>
      </c>
      <c r="AJ4940">
        <v>82.935131159338596</v>
      </c>
      <c r="AK4940">
        <v>19.8788979284049</v>
      </c>
      <c r="AL4940">
        <v>94.324875882848502</v>
      </c>
      <c r="AM4940">
        <v>88.234160348341703</v>
      </c>
      <c r="AN4940">
        <v>0.99999995111451501</v>
      </c>
    </row>
    <row r="4941" spans="1:40" x14ac:dyDescent="0.25">
      <c r="A4941" t="str">
        <f>"20190303153908172"</f>
        <v>20190303153908172</v>
      </c>
      <c r="B4941" t="str">
        <f>"1551598748163114"</f>
        <v>1551598748163114</v>
      </c>
      <c r="C4941" t="s">
        <v>40</v>
      </c>
      <c r="D4941">
        <v>4.6264750000000001</v>
      </c>
      <c r="E4941">
        <v>0.53446359999999904</v>
      </c>
      <c r="F4941" t="s">
        <v>51</v>
      </c>
      <c r="G4941">
        <v>-199.22579999999999</v>
      </c>
      <c r="H4941" s="1">
        <v>2.439827E-6</v>
      </c>
      <c r="I4941">
        <v>213.3383</v>
      </c>
      <c r="J4941">
        <v>-218.5667</v>
      </c>
      <c r="K4941">
        <v>1.1210789999999999</v>
      </c>
      <c r="L4941">
        <v>215.75360000000001</v>
      </c>
      <c r="M4941">
        <v>0.99990520000000005</v>
      </c>
      <c r="N4941">
        <v>-1.377943E-2</v>
      </c>
      <c r="O4941">
        <v>-3.08943E-4</v>
      </c>
      <c r="P4941">
        <v>0.99539460000000002</v>
      </c>
      <c r="Q4941">
        <v>-9.0060230000000005E-2</v>
      </c>
      <c r="R4941">
        <v>-3.2850190000000001E-2</v>
      </c>
      <c r="S4941">
        <v>2.986694</v>
      </c>
      <c r="T4941">
        <v>-0.17097850000000001</v>
      </c>
      <c r="U4941">
        <v>-0.36839290000000002</v>
      </c>
      <c r="V4941">
        <v>3.2532690000000003E-2</v>
      </c>
      <c r="W4941">
        <v>-7.6339770000000001E-2</v>
      </c>
      <c r="X4941">
        <v>0.99655099999999996</v>
      </c>
      <c r="Y4941">
        <v>0.1218661</v>
      </c>
      <c r="Z4941">
        <v>-4.3025499999999996E-3</v>
      </c>
      <c r="AA4941">
        <v>0.99253720000000001</v>
      </c>
      <c r="AB4941">
        <v>24</v>
      </c>
      <c r="AC4941">
        <v>19.340900000000001</v>
      </c>
      <c r="AD4941">
        <v>-1.1210765601729999</v>
      </c>
      <c r="AE4941">
        <v>-2.4152999999999998</v>
      </c>
      <c r="AF4941">
        <v>2.4013797501339398</v>
      </c>
      <c r="AG4941">
        <v>-1.1210765601729999</v>
      </c>
      <c r="AH4941">
        <v>19.277869581353801</v>
      </c>
      <c r="AI4941">
        <v>93.302736328631198</v>
      </c>
      <c r="AJ4941">
        <v>82.899431749931097</v>
      </c>
      <c r="AK4941">
        <v>19.459180171677598</v>
      </c>
      <c r="AL4941">
        <v>94.378206125519199</v>
      </c>
      <c r="AM4941">
        <v>88.130227055761495</v>
      </c>
      <c r="AN4941">
        <v>1.00000001600164</v>
      </c>
    </row>
    <row r="4942" spans="1:40" x14ac:dyDescent="0.25">
      <c r="A4942" t="str">
        <f>"20190303153908194"</f>
        <v>20190303153908194</v>
      </c>
      <c r="B4942" t="str">
        <f>"1551598748183610"</f>
        <v>1551598748183610</v>
      </c>
      <c r="C4942" t="s">
        <v>40</v>
      </c>
      <c r="D4942">
        <v>4.628037</v>
      </c>
      <c r="E4942">
        <v>0.53431600000000001</v>
      </c>
      <c r="F4942" t="s">
        <v>51</v>
      </c>
      <c r="G4942">
        <v>-199.0872</v>
      </c>
      <c r="H4942" s="1">
        <v>2.465748E-6</v>
      </c>
      <c r="I4942">
        <v>213.32300000000001</v>
      </c>
      <c r="J4942">
        <v>-218.33590000000001</v>
      </c>
      <c r="K4942">
        <v>1.121081</v>
      </c>
      <c r="L4942">
        <v>215.7535</v>
      </c>
      <c r="M4942">
        <v>0.99990500000000004</v>
      </c>
      <c r="N4942">
        <v>-1.3775999999999899E-2</v>
      </c>
      <c r="O4942">
        <v>-3.6268090000000003E-4</v>
      </c>
      <c r="P4942">
        <v>0.99527719999999997</v>
      </c>
      <c r="Q4942">
        <v>-9.0737689999999996E-2</v>
      </c>
      <c r="R4942">
        <v>-3.449704E-2</v>
      </c>
      <c r="S4942">
        <v>2.9860380000000002</v>
      </c>
      <c r="T4942">
        <v>-0.1718509</v>
      </c>
      <c r="U4942">
        <v>-0.37258910000000001</v>
      </c>
      <c r="V4942">
        <v>3.4126030000000002E-2</v>
      </c>
      <c r="W4942">
        <v>-7.7022389999999996E-2</v>
      </c>
      <c r="X4942">
        <v>0.99644520000000003</v>
      </c>
      <c r="Y4942">
        <v>0.12320780000000001</v>
      </c>
      <c r="Z4942">
        <v>-4.3658500000000001E-3</v>
      </c>
      <c r="AA4942">
        <v>0.99237129999999996</v>
      </c>
      <c r="AB4942">
        <v>24</v>
      </c>
      <c r="AC4942">
        <v>19.248699999999999</v>
      </c>
      <c r="AD4942">
        <v>-1.121078534252</v>
      </c>
      <c r="AE4942">
        <v>-2.4305000000000199</v>
      </c>
      <c r="AF4942">
        <v>2.41545315506447</v>
      </c>
      <c r="AG4942">
        <v>-1.121078534252</v>
      </c>
      <c r="AH4942">
        <v>19.185522329991901</v>
      </c>
      <c r="AI4942">
        <v>93.318059816297094</v>
      </c>
      <c r="AJ4942">
        <v>82.824228484131893</v>
      </c>
      <c r="AK4942">
        <v>19.3694475424285</v>
      </c>
      <c r="AL4942">
        <v>94.417432780595107</v>
      </c>
      <c r="AM4942">
        <v>88.038513735413503</v>
      </c>
      <c r="AN4942">
        <v>1.00000003554395</v>
      </c>
    </row>
    <row r="4943" spans="1:40" x14ac:dyDescent="0.25">
      <c r="A4943" t="str">
        <f>"20190303153908216"</f>
        <v>20190303153908216</v>
      </c>
      <c r="B4943" t="str">
        <f>"1551598748203131"</f>
        <v>1551598748203131</v>
      </c>
      <c r="C4943" t="s">
        <v>40</v>
      </c>
      <c r="D4943">
        <v>4.6380670000000004</v>
      </c>
      <c r="E4943">
        <v>0.53413169999999899</v>
      </c>
      <c r="F4943" t="s">
        <v>51</v>
      </c>
      <c r="G4943">
        <v>-198.97190000000001</v>
      </c>
      <c r="H4943" s="1">
        <v>2.4871260000000002E-6</v>
      </c>
      <c r="I4943">
        <v>213.3124</v>
      </c>
      <c r="J4943">
        <v>-218.10130000000001</v>
      </c>
      <c r="K4943">
        <v>1.121084</v>
      </c>
      <c r="L4943">
        <v>215.7533</v>
      </c>
      <c r="M4943">
        <v>0.99990500000000004</v>
      </c>
      <c r="N4943">
        <v>-1.3772639999999999E-2</v>
      </c>
      <c r="O4943">
        <v>-4.1820270000000003E-4</v>
      </c>
      <c r="P4943">
        <v>0.99524800000000002</v>
      </c>
      <c r="Q4943">
        <v>-9.0401319999999993E-2</v>
      </c>
      <c r="R4943">
        <v>-3.6176960000000001E-2</v>
      </c>
      <c r="S4943">
        <v>2.9854579999999999</v>
      </c>
      <c r="T4943">
        <v>-0.17284349999999901</v>
      </c>
      <c r="U4943">
        <v>-0.37635800000000003</v>
      </c>
      <c r="V4943">
        <v>3.5750959999999998E-2</v>
      </c>
      <c r="W4943">
        <v>-7.6689939999999998E-2</v>
      </c>
      <c r="X4943">
        <v>0.99641380000000002</v>
      </c>
      <c r="Y4943">
        <v>0.12440469999999999</v>
      </c>
      <c r="Z4943">
        <v>-4.4266740000000002E-3</v>
      </c>
      <c r="AA4943">
        <v>0.99222169999999998</v>
      </c>
      <c r="AB4943">
        <v>24</v>
      </c>
      <c r="AC4943">
        <v>19.1294</v>
      </c>
      <c r="AD4943">
        <v>-1.1210815128739999</v>
      </c>
      <c r="AE4943">
        <v>-2.4408999999999899</v>
      </c>
      <c r="AF4943">
        <v>2.4247046734507398</v>
      </c>
      <c r="AG4943">
        <v>-1.1210815128739999</v>
      </c>
      <c r="AH4943">
        <v>19.0659849517988</v>
      </c>
      <c r="AI4943">
        <v>93.338296113747504</v>
      </c>
      <c r="AJ4943">
        <v>82.752350937953494</v>
      </c>
      <c r="AK4943">
        <v>19.252215423015102</v>
      </c>
      <c r="AL4943">
        <v>94.398328583196005</v>
      </c>
      <c r="AM4943">
        <v>87.945130017637695</v>
      </c>
      <c r="AN4943">
        <v>0.99999996943428204</v>
      </c>
    </row>
    <row r="4944" spans="1:40" x14ac:dyDescent="0.25">
      <c r="A4944" t="str">
        <f>"20190303153908239"</f>
        <v>20190303153908239</v>
      </c>
      <c r="B4944" t="str">
        <f>"1551598748233390"</f>
        <v>1551598748233390</v>
      </c>
      <c r="C4944" t="s">
        <v>40</v>
      </c>
      <c r="D4944">
        <v>4.6555179999999998</v>
      </c>
      <c r="E4944">
        <v>0.53387200000000001</v>
      </c>
      <c r="F4944" t="s">
        <v>51</v>
      </c>
      <c r="G4944">
        <v>-198.5703</v>
      </c>
      <c r="H4944" s="1">
        <v>2.5623520000000002E-6</v>
      </c>
      <c r="I4944">
        <v>213.26679999999999</v>
      </c>
      <c r="J4944">
        <v>-217.8631</v>
      </c>
      <c r="K4944">
        <v>1.121076</v>
      </c>
      <c r="L4944">
        <v>215.75319999999999</v>
      </c>
      <c r="M4944">
        <v>0.99990520000000005</v>
      </c>
      <c r="N4944">
        <v>-1.376927E-2</v>
      </c>
      <c r="O4944">
        <v>-4.7432239999999998E-4</v>
      </c>
      <c r="P4944">
        <v>0.99523740000000005</v>
      </c>
      <c r="Q4944">
        <v>-8.960485E-2</v>
      </c>
      <c r="R4944">
        <v>-3.8388190000000003E-2</v>
      </c>
      <c r="S4944">
        <v>2.9849399999999999</v>
      </c>
      <c r="T4944">
        <v>-0.17133609999999999</v>
      </c>
      <c r="U4944">
        <v>-0.38002010000000003</v>
      </c>
      <c r="V4944">
        <v>3.7906309999999999E-2</v>
      </c>
      <c r="W4944">
        <v>-7.5897309999999996E-2</v>
      </c>
      <c r="X4944">
        <v>0.99639489999999997</v>
      </c>
      <c r="Y4944">
        <v>0.12557009999999999</v>
      </c>
      <c r="Z4944">
        <v>-4.434767E-3</v>
      </c>
      <c r="AA4944">
        <v>0.99207480000000003</v>
      </c>
      <c r="AB4944">
        <v>24</v>
      </c>
      <c r="AC4944">
        <v>19.2928</v>
      </c>
      <c r="AD4944">
        <v>-1.121073437648</v>
      </c>
      <c r="AE4944">
        <v>-2.4864000000000002</v>
      </c>
      <c r="AF4944">
        <v>2.4690471092475801</v>
      </c>
      <c r="AG4944">
        <v>-1.121073437648</v>
      </c>
      <c r="AH4944">
        <v>19.230106077902601</v>
      </c>
      <c r="AI4944">
        <v>93.309338195201505</v>
      </c>
      <c r="AJ4944">
        <v>82.683544709358699</v>
      </c>
      <c r="AK4944">
        <v>19.420349611880599</v>
      </c>
      <c r="AL4944">
        <v>94.352781152522994</v>
      </c>
      <c r="AM4944">
        <v>87.821320942055607</v>
      </c>
      <c r="AN4944">
        <v>1.00000004337453</v>
      </c>
    </row>
    <row r="4945" spans="1:40" x14ac:dyDescent="0.25">
      <c r="A4945" t="str">
        <f>"20190303153908261"</f>
        <v>20190303153908261</v>
      </c>
      <c r="B4945" t="str">
        <f>"1551598748253884"</f>
        <v>1551598748253884</v>
      </c>
      <c r="C4945" t="s">
        <v>40</v>
      </c>
      <c r="D4945">
        <v>4.6820459999999997</v>
      </c>
      <c r="E4945">
        <v>0.53371859999999904</v>
      </c>
      <c r="F4945" t="s">
        <v>51</v>
      </c>
      <c r="G4945">
        <v>-198.04949999999999</v>
      </c>
      <c r="H4945" s="1">
        <v>2.6606559999999998E-6</v>
      </c>
      <c r="I4945">
        <v>213.19900000000001</v>
      </c>
      <c r="J4945">
        <v>-217.62520000000001</v>
      </c>
      <c r="K4945">
        <v>1.121078</v>
      </c>
      <c r="L4945">
        <v>215.75299999999999</v>
      </c>
      <c r="M4945">
        <v>0.99990509999999999</v>
      </c>
      <c r="N4945">
        <v>-1.376602E-2</v>
      </c>
      <c r="O4945">
        <v>-5.3056100000000003E-4</v>
      </c>
      <c r="P4945">
        <v>0.99516729999999998</v>
      </c>
      <c r="Q4945">
        <v>-8.971838E-2</v>
      </c>
      <c r="R4945">
        <v>-3.9906990000000003E-2</v>
      </c>
      <c r="S4945">
        <v>2.9843139999999999</v>
      </c>
      <c r="T4945">
        <v>-0.16885530000000001</v>
      </c>
      <c r="U4945">
        <v>-0.38470460000000001</v>
      </c>
      <c r="V4945">
        <v>3.9369179999999997E-2</v>
      </c>
      <c r="W4945">
        <v>-7.6015170000000007E-2</v>
      </c>
      <c r="X4945">
        <v>0.99632909999999997</v>
      </c>
      <c r="Y4945">
        <v>0.12707589999999999</v>
      </c>
      <c r="Z4945">
        <v>-4.4339640000000003E-3</v>
      </c>
      <c r="AA4945">
        <v>0.99188310000000002</v>
      </c>
      <c r="AB4945">
        <v>24</v>
      </c>
      <c r="AC4945">
        <v>19.575700000000001</v>
      </c>
      <c r="AD4945">
        <v>-1.1210753393440001</v>
      </c>
      <c r="AE4945">
        <v>-2.5539999999999701</v>
      </c>
      <c r="AF4945">
        <v>2.5354362422557499</v>
      </c>
      <c r="AG4945">
        <v>-1.1210753393440001</v>
      </c>
      <c r="AH4945">
        <v>19.514123003190601</v>
      </c>
      <c r="AI4945">
        <v>93.260649035110603</v>
      </c>
      <c r="AJ4945">
        <v>82.597129433394201</v>
      </c>
      <c r="AK4945">
        <v>19.710054374320698</v>
      </c>
      <c r="AL4945">
        <v>94.359553974846605</v>
      </c>
      <c r="AM4945">
        <v>87.737178444097495</v>
      </c>
      <c r="AN4945">
        <v>0.999999956955404</v>
      </c>
    </row>
    <row r="4946" spans="1:40" x14ac:dyDescent="0.25">
      <c r="A4946" t="str">
        <f>"20190303153908283"</f>
        <v>20190303153908283</v>
      </c>
      <c r="B4946" t="str">
        <f>"1551598748273402"</f>
        <v>1551598748273402</v>
      </c>
      <c r="C4946" t="s">
        <v>40</v>
      </c>
      <c r="D4946">
        <v>4.6529379999999998</v>
      </c>
      <c r="E4946">
        <v>0.5334951</v>
      </c>
      <c r="F4946" t="s">
        <v>51</v>
      </c>
      <c r="G4946">
        <v>-198.0564</v>
      </c>
      <c r="H4946" s="1">
        <v>2.6585820000000002E-6</v>
      </c>
      <c r="I4946">
        <v>213.2088</v>
      </c>
      <c r="J4946">
        <v>-217.3955</v>
      </c>
      <c r="K4946">
        <v>1.121075</v>
      </c>
      <c r="L4946">
        <v>215.75280000000001</v>
      </c>
      <c r="M4946">
        <v>0.99990520000000005</v>
      </c>
      <c r="N4946">
        <v>-1.3763030000000001E-2</v>
      </c>
      <c r="O4946">
        <v>-5.8465570000000003E-4</v>
      </c>
      <c r="P4946">
        <v>0.99511249999999996</v>
      </c>
      <c r="Q4946">
        <v>-8.9995060000000002E-2</v>
      </c>
      <c r="R4946">
        <v>-4.0647450000000002E-2</v>
      </c>
      <c r="S4946">
        <v>2.9836119999999999</v>
      </c>
      <c r="T4946">
        <v>-0.1709281</v>
      </c>
      <c r="U4946">
        <v>-0.3879089</v>
      </c>
      <c r="V4946">
        <v>4.0055739999999999E-2</v>
      </c>
      <c r="W4946">
        <v>-7.6295580000000002E-2</v>
      </c>
      <c r="X4946">
        <v>0.99628039999999995</v>
      </c>
      <c r="Y4946">
        <v>0.12809189999999901</v>
      </c>
      <c r="Z4946">
        <v>-4.5115629999999997E-3</v>
      </c>
      <c r="AA4946">
        <v>0.99175199999999997</v>
      </c>
      <c r="AB4946">
        <v>24</v>
      </c>
      <c r="AC4946">
        <v>19.339099999999998</v>
      </c>
      <c r="AD4946">
        <v>-1.1210723414179999</v>
      </c>
      <c r="AE4946">
        <v>-2.5440000000000098</v>
      </c>
      <c r="AF4946">
        <v>2.5243531661998602</v>
      </c>
      <c r="AG4946">
        <v>-1.1210723414179999</v>
      </c>
      <c r="AH4946">
        <v>19.276907416783001</v>
      </c>
      <c r="AI4946">
        <v>93.300244101233503</v>
      </c>
      <c r="AJ4946">
        <v>82.539444853554997</v>
      </c>
      <c r="AK4946">
        <v>19.473785498911599</v>
      </c>
      <c r="AL4946">
        <v>94.375666641192495</v>
      </c>
      <c r="AM4946">
        <v>87.697646730756006</v>
      </c>
      <c r="AN4946">
        <v>1.0000000566293199</v>
      </c>
    </row>
    <row r="4947" spans="1:40" x14ac:dyDescent="0.25">
      <c r="A4947" t="str">
        <f>"20190303153908305"</f>
        <v>20190303153908305</v>
      </c>
      <c r="B4947" t="str">
        <f>"1551598748293899"</f>
        <v>1551598748293899</v>
      </c>
      <c r="C4947" t="s">
        <v>40</v>
      </c>
      <c r="D4947">
        <v>4.7020160000000004</v>
      </c>
      <c r="E4947">
        <v>0.53340679999999996</v>
      </c>
      <c r="F4947" t="s">
        <v>51</v>
      </c>
      <c r="G4947">
        <v>-198.3374</v>
      </c>
      <c r="H4947" s="1">
        <v>2.6033020000000002E-6</v>
      </c>
      <c r="I4947">
        <v>213.27099999999999</v>
      </c>
      <c r="J4947">
        <v>-217.16380000000001</v>
      </c>
      <c r="K4947">
        <v>1.1210899999999999</v>
      </c>
      <c r="L4947">
        <v>215.7526</v>
      </c>
      <c r="M4947">
        <v>0.99990520000000005</v>
      </c>
      <c r="N4947">
        <v>-1.3760130000000001E-2</v>
      </c>
      <c r="O4947">
        <v>-6.391096E-4</v>
      </c>
      <c r="P4947">
        <v>0.99505650000000001</v>
      </c>
      <c r="Q4947">
        <v>-9.0349670000000007E-2</v>
      </c>
      <c r="R4947">
        <v>-4.123019E-2</v>
      </c>
      <c r="S4947">
        <v>2.9830169999999998</v>
      </c>
      <c r="T4947">
        <v>-0.17547289999999999</v>
      </c>
      <c r="U4947">
        <v>-0.38845829999999998</v>
      </c>
      <c r="V4947">
        <v>4.0584210000000003E-2</v>
      </c>
      <c r="W4947">
        <v>-7.6653849999999996E-2</v>
      </c>
      <c r="X4947">
        <v>0.99623139999999999</v>
      </c>
      <c r="Y4947">
        <v>0.12822999999999901</v>
      </c>
      <c r="Z4947">
        <v>-4.6106970000000004E-3</v>
      </c>
      <c r="AA4947">
        <v>0.99173370000000005</v>
      </c>
      <c r="AB4947">
        <v>24</v>
      </c>
      <c r="AC4947">
        <v>18.8264</v>
      </c>
      <c r="AD4947">
        <v>-1.1210873966979999</v>
      </c>
      <c r="AE4947">
        <v>-2.48160000000001</v>
      </c>
      <c r="AF4947">
        <v>2.4609884828625201</v>
      </c>
      <c r="AG4947">
        <v>-1.1210873966979999</v>
      </c>
      <c r="AH4947">
        <v>18.7625856041928</v>
      </c>
      <c r="AI4947">
        <v>93.390455287608603</v>
      </c>
      <c r="AJ4947">
        <v>82.5274755983788</v>
      </c>
      <c r="AK4947">
        <v>18.9564743509568</v>
      </c>
      <c r="AL4947">
        <v>94.396254774298797</v>
      </c>
      <c r="AM4947">
        <v>87.6671896732568</v>
      </c>
      <c r="AN4947">
        <v>0.99999994658355196</v>
      </c>
    </row>
    <row r="4948" spans="1:40" x14ac:dyDescent="0.25">
      <c r="A4948" t="str">
        <f>"20190303153908329"</f>
        <v>20190303153908329</v>
      </c>
      <c r="B4948" t="str">
        <f>"1551598748323179"</f>
        <v>1551598748323179</v>
      </c>
      <c r="C4948" t="s">
        <v>40</v>
      </c>
      <c r="D4948">
        <v>4.7335979999999998</v>
      </c>
      <c r="E4948">
        <v>0.52768919999999997</v>
      </c>
      <c r="F4948" t="s">
        <v>51</v>
      </c>
      <c r="G4948">
        <v>-198.4331</v>
      </c>
      <c r="H4948" s="1">
        <v>2.5831790000000002E-6</v>
      </c>
      <c r="I4948">
        <v>213.30699999999999</v>
      </c>
      <c r="J4948">
        <v>-216.92339999999999</v>
      </c>
      <c r="K4948">
        <v>1.1211260000000001</v>
      </c>
      <c r="L4948">
        <v>215.75239999999999</v>
      </c>
      <c r="M4948">
        <v>0.99990520000000005</v>
      </c>
      <c r="N4948">
        <v>-1.3757190000000001E-2</v>
      </c>
      <c r="O4948">
        <v>-6.9558960000000003E-4</v>
      </c>
      <c r="P4948">
        <v>0.99484600000000001</v>
      </c>
      <c r="Q4948">
        <v>-9.237004E-2</v>
      </c>
      <c r="R4948">
        <v>-4.1825260000000003E-2</v>
      </c>
      <c r="S4948">
        <v>2.9825590000000002</v>
      </c>
      <c r="T4948">
        <v>-0.1785147</v>
      </c>
      <c r="U4948">
        <v>-0.38941959999999998</v>
      </c>
      <c r="V4948">
        <v>4.1123020000000003E-2</v>
      </c>
      <c r="W4948">
        <v>-7.8679840000000001E-2</v>
      </c>
      <c r="X4948">
        <v>0.99605140000000003</v>
      </c>
      <c r="Y4948">
        <v>0.12849869999999999</v>
      </c>
      <c r="Z4948">
        <v>-4.6826080000000004E-3</v>
      </c>
      <c r="AA4948">
        <v>0.99169859999999999</v>
      </c>
      <c r="AB4948">
        <v>24</v>
      </c>
      <c r="AC4948">
        <v>18.490299999999898</v>
      </c>
      <c r="AD4948">
        <v>-1.121123416821</v>
      </c>
      <c r="AE4948">
        <v>-2.44539999999997</v>
      </c>
      <c r="AF4948">
        <v>2.4237790058811401</v>
      </c>
      <c r="AG4948">
        <v>-1.121123416821</v>
      </c>
      <c r="AH4948">
        <v>18.425422496661302</v>
      </c>
      <c r="AI4948">
        <v>93.4522891881807</v>
      </c>
      <c r="AJ4948">
        <v>82.506033511645398</v>
      </c>
      <c r="AK4948">
        <v>18.617943403221702</v>
      </c>
      <c r="AL4948">
        <v>94.512686909179607</v>
      </c>
      <c r="AM4948">
        <v>87.635826700637594</v>
      </c>
      <c r="AN4948">
        <v>1.00000000571915</v>
      </c>
    </row>
    <row r="4949" spans="1:40" x14ac:dyDescent="0.25">
      <c r="A4949" t="str">
        <f>"20190303153908351"</f>
        <v>20190303153908351</v>
      </c>
      <c r="B4949" t="str">
        <f>"1551598748343675"</f>
        <v>1551598748343675</v>
      </c>
      <c r="C4949" t="s">
        <v>40</v>
      </c>
      <c r="D4949">
        <v>4.7447100000000004</v>
      </c>
      <c r="E4949">
        <v>0.5279431</v>
      </c>
      <c r="F4949" t="s">
        <v>44</v>
      </c>
      <c r="G4949">
        <v>-216.18090000000001</v>
      </c>
      <c r="H4949">
        <v>1.0510090000000001</v>
      </c>
      <c r="I4949">
        <v>215.66589999999999</v>
      </c>
      <c r="J4949">
        <v>-216.6902</v>
      </c>
      <c r="K4949">
        <v>1.1211930000000001</v>
      </c>
      <c r="L4949">
        <v>215.75219999999999</v>
      </c>
      <c r="M4949">
        <v>0.99990509999999999</v>
      </c>
      <c r="N4949">
        <v>-1.375443E-2</v>
      </c>
      <c r="O4949">
        <v>-7.5028289999999902E-4</v>
      </c>
      <c r="P4949">
        <v>0.99446840000000003</v>
      </c>
      <c r="Q4949">
        <v>-9.5992679999999997E-2</v>
      </c>
      <c r="R4949">
        <v>-4.2636800000000002E-2</v>
      </c>
      <c r="S4949">
        <v>2.9749150000000002</v>
      </c>
      <c r="T4949">
        <v>-0.28099740000000001</v>
      </c>
      <c r="U4949">
        <v>-0.34616089999999999</v>
      </c>
      <c r="V4949">
        <v>4.1880130000000002E-2</v>
      </c>
      <c r="W4949">
        <v>-8.2310170000000002E-2</v>
      </c>
      <c r="X4949">
        <v>0.99572640000000001</v>
      </c>
      <c r="Y4949">
        <v>0.11426119999999999</v>
      </c>
      <c r="Z4949">
        <v>-6.0965869999999997E-3</v>
      </c>
      <c r="AA4949">
        <v>0.99343199999999998</v>
      </c>
      <c r="AB4949">
        <v>23</v>
      </c>
      <c r="AC4949">
        <v>0.50929999999999598</v>
      </c>
      <c r="AD4949">
        <v>-7.0183999999999996E-2</v>
      </c>
      <c r="AE4949">
        <v>-8.6299999999994201E-2</v>
      </c>
      <c r="AF4949">
        <v>8.4360514338975706E-2</v>
      </c>
      <c r="AG4949">
        <v>-7.0183999999999996E-2</v>
      </c>
      <c r="AH4949">
        <v>0.50013210804992703</v>
      </c>
      <c r="AI4949">
        <v>97.878342044374094</v>
      </c>
      <c r="AJ4949">
        <v>80.425673905476799</v>
      </c>
      <c r="AK4949">
        <v>0.51202989730874104</v>
      </c>
      <c r="AL4949">
        <v>94.721366866951797</v>
      </c>
      <c r="AM4949">
        <v>87.591566086413707</v>
      </c>
      <c r="AN4949">
        <v>0.99999998651560196</v>
      </c>
    </row>
    <row r="4950" spans="1:40" x14ac:dyDescent="0.25">
      <c r="A4950" t="str">
        <f>"20190303153908373"</f>
        <v>20190303153908373</v>
      </c>
      <c r="B4950" t="str">
        <f>"1551598748363196"</f>
        <v>1551598748363196</v>
      </c>
      <c r="C4950" t="s">
        <v>40</v>
      </c>
      <c r="D4950">
        <v>4.771242</v>
      </c>
      <c r="E4950">
        <v>0.52798310000000004</v>
      </c>
      <c r="F4950" t="s">
        <v>44</v>
      </c>
      <c r="G4950">
        <v>-215.7749</v>
      </c>
      <c r="H4950">
        <v>1.032062</v>
      </c>
      <c r="I4950">
        <v>215.64429999999999</v>
      </c>
      <c r="J4950">
        <v>-216.45070000000001</v>
      </c>
      <c r="K4950">
        <v>1.1212629999999999</v>
      </c>
      <c r="L4950">
        <v>215.75190000000001</v>
      </c>
      <c r="M4950">
        <v>0.99990520000000005</v>
      </c>
      <c r="N4950">
        <v>-1.3751609999999999E-2</v>
      </c>
      <c r="O4950">
        <v>-8.0652519999999995E-4</v>
      </c>
      <c r="P4950">
        <v>0.99440770000000001</v>
      </c>
      <c r="Q4950">
        <v>-9.5846509999999996E-2</v>
      </c>
      <c r="R4950">
        <v>-4.4350750000000001E-2</v>
      </c>
      <c r="S4950">
        <v>2.9736790000000002</v>
      </c>
      <c r="T4950">
        <v>-0.2896109</v>
      </c>
      <c r="U4950">
        <v>-0.3506165</v>
      </c>
      <c r="V4950">
        <v>4.3538199999999902E-2</v>
      </c>
      <c r="W4950">
        <v>-8.2167770000000001E-2</v>
      </c>
      <c r="X4950">
        <v>0.99566699999999997</v>
      </c>
      <c r="Y4950">
        <v>0.11568000000000001</v>
      </c>
      <c r="Z4950">
        <v>-6.3337949999999997E-3</v>
      </c>
      <c r="AA4950">
        <v>0.99326630000000005</v>
      </c>
      <c r="AB4950">
        <v>23</v>
      </c>
      <c r="AC4950">
        <v>0.67580000000000895</v>
      </c>
      <c r="AD4950">
        <v>-8.9200999999999794E-2</v>
      </c>
      <c r="AE4950">
        <v>-0.107600000000019</v>
      </c>
      <c r="AF4950">
        <v>0.105266236775614</v>
      </c>
      <c r="AG4950">
        <v>-8.9200999999999794E-2</v>
      </c>
      <c r="AH4950">
        <v>0.66459414599068301</v>
      </c>
      <c r="AI4950">
        <v>97.551450531004903</v>
      </c>
      <c r="AJ4950">
        <v>80.999590851296404</v>
      </c>
      <c r="AK4950">
        <v>0.67876592275318703</v>
      </c>
      <c r="AL4950">
        <v>94.713180407665703</v>
      </c>
      <c r="AM4950">
        <v>87.496183990026296</v>
      </c>
      <c r="AN4950">
        <v>0.99999994608750398</v>
      </c>
    </row>
    <row r="4951" spans="1:40" x14ac:dyDescent="0.25">
      <c r="A4951" t="str">
        <f>"20190303153908396"</f>
        <v>20190303153908396</v>
      </c>
      <c r="B4951" t="str">
        <f>"1551598748383691"</f>
        <v>1551598748383691</v>
      </c>
      <c r="C4951" t="s">
        <v>40</v>
      </c>
      <c r="D4951">
        <v>4.7465380000000001</v>
      </c>
      <c r="E4951">
        <v>0.52804910000000005</v>
      </c>
      <c r="F4951" t="s">
        <v>44</v>
      </c>
      <c r="G4951">
        <v>-215.56469999999999</v>
      </c>
      <c r="H4951">
        <v>1.0349299999999999</v>
      </c>
      <c r="I4951">
        <v>215.6456</v>
      </c>
      <c r="J4951">
        <v>-216.22049999999999</v>
      </c>
      <c r="K4951">
        <v>1.1213439999999999</v>
      </c>
      <c r="L4951">
        <v>215.7517</v>
      </c>
      <c r="M4951">
        <v>0.99990520000000005</v>
      </c>
      <c r="N4951">
        <v>-1.3749010000000001E-2</v>
      </c>
      <c r="O4951">
        <v>-8.6062390000000001E-4</v>
      </c>
      <c r="P4951">
        <v>0.99435499999999999</v>
      </c>
      <c r="Q4951">
        <v>-9.5182779999999995E-2</v>
      </c>
      <c r="R4951">
        <v>-4.6888730000000003E-2</v>
      </c>
      <c r="S4951">
        <v>2.9730530000000002</v>
      </c>
      <c r="T4951">
        <v>-0.28980309999999998</v>
      </c>
      <c r="U4951">
        <v>-0.35609439999999998</v>
      </c>
      <c r="V4951">
        <v>4.6022609999999999E-2</v>
      </c>
      <c r="W4951">
        <v>-8.1507670000000004E-2</v>
      </c>
      <c r="X4951">
        <v>0.99560959999999998</v>
      </c>
      <c r="Y4951">
        <v>0.1174449</v>
      </c>
      <c r="Z4951">
        <v>-6.4311519999999999E-3</v>
      </c>
      <c r="AA4951">
        <v>0.99305860000000001</v>
      </c>
      <c r="AB4951">
        <v>23</v>
      </c>
      <c r="AC4951">
        <v>0.65579999999999905</v>
      </c>
      <c r="AD4951">
        <v>-8.6414000000000199E-2</v>
      </c>
      <c r="AE4951">
        <v>-0.106099999999997</v>
      </c>
      <c r="AF4951">
        <v>0.103779545887373</v>
      </c>
      <c r="AG4951">
        <v>-8.6414000000000199E-2</v>
      </c>
      <c r="AH4951">
        <v>0.64497796105261695</v>
      </c>
      <c r="AI4951">
        <v>97.535245677298505</v>
      </c>
      <c r="AJ4951">
        <v>80.859226650682402</v>
      </c>
      <c r="AK4951">
        <v>0.65896444804266996</v>
      </c>
      <c r="AL4951">
        <v>94.675231784851306</v>
      </c>
      <c r="AM4951">
        <v>87.353354627582306</v>
      </c>
      <c r="AN4951">
        <v>1.0000000282560999</v>
      </c>
    </row>
    <row r="4952" spans="1:40" x14ac:dyDescent="0.25">
      <c r="A4952" t="str">
        <f>"20190303153908417"</f>
        <v>20190303153908417</v>
      </c>
      <c r="B4952" t="str">
        <f>"1551598748413947"</f>
        <v>1551598748413947</v>
      </c>
      <c r="C4952" t="s">
        <v>40</v>
      </c>
      <c r="D4952">
        <v>5.0304270000000004</v>
      </c>
      <c r="E4952">
        <v>0.55474009999999996</v>
      </c>
      <c r="F4952" t="s">
        <v>44</v>
      </c>
      <c r="G4952">
        <v>-215.3553</v>
      </c>
      <c r="H4952">
        <v>1.0367109999999999</v>
      </c>
      <c r="I4952">
        <v>215.6455</v>
      </c>
      <c r="J4952">
        <v>-215.9931</v>
      </c>
      <c r="K4952">
        <v>1.121418</v>
      </c>
      <c r="L4952">
        <v>215.75139999999999</v>
      </c>
      <c r="M4952">
        <v>0.99990509999999999</v>
      </c>
      <c r="N4952">
        <v>-1.374643E-2</v>
      </c>
      <c r="O4952">
        <v>-9.1388829999999996E-4</v>
      </c>
      <c r="P4952">
        <v>0.99449989999999999</v>
      </c>
      <c r="Q4952">
        <v>-9.2369930000000003E-2</v>
      </c>
      <c r="R4952">
        <v>-4.9375879999999997E-2</v>
      </c>
      <c r="S4952">
        <v>2.9720309999999999</v>
      </c>
      <c r="T4952">
        <v>-0.29076479999999999</v>
      </c>
      <c r="U4952">
        <v>-0.36430360000000001</v>
      </c>
      <c r="V4952">
        <v>4.8456840000000001E-2</v>
      </c>
      <c r="W4952">
        <v>-7.8695890000000004E-2</v>
      </c>
      <c r="X4952">
        <v>0.9957203</v>
      </c>
      <c r="Y4952">
        <v>0.120116899999999</v>
      </c>
      <c r="Z4952">
        <v>-6.5945980000000001E-3</v>
      </c>
      <c r="AA4952">
        <v>0.9927378</v>
      </c>
      <c r="AB4952">
        <v>23</v>
      </c>
      <c r="AC4952">
        <v>0.63779999999999804</v>
      </c>
      <c r="AD4952">
        <v>-8.4706999999999796E-2</v>
      </c>
      <c r="AE4952">
        <v>-0.105899999999991</v>
      </c>
      <c r="AF4952">
        <v>0.103539703483342</v>
      </c>
      <c r="AG4952">
        <v>-8.4706999999999796E-2</v>
      </c>
      <c r="AH4952">
        <v>0.62713144736048398</v>
      </c>
      <c r="AI4952">
        <v>97.590879717358206</v>
      </c>
      <c r="AJ4952">
        <v>80.625010451942302</v>
      </c>
      <c r="AK4952">
        <v>0.64124067113282301</v>
      </c>
      <c r="AL4952">
        <v>94.513609337660696</v>
      </c>
      <c r="AM4952">
        <v>87.213892520688603</v>
      </c>
      <c r="AN4952">
        <v>1.0000000121388799</v>
      </c>
    </row>
    <row r="4953" spans="1:40" x14ac:dyDescent="0.25">
      <c r="A4953" t="str">
        <f>"20190303153908440"</f>
        <v>20190303153908440</v>
      </c>
      <c r="B4953" t="str">
        <f>"1551598748433470"</f>
        <v>1551598748433470</v>
      </c>
      <c r="C4953" t="s">
        <v>40</v>
      </c>
      <c r="D4953">
        <v>4.9883739999999896</v>
      </c>
      <c r="E4953">
        <v>0.56679780000000002</v>
      </c>
      <c r="F4953" t="s">
        <v>51</v>
      </c>
      <c r="G4953">
        <v>-201.02979999999999</v>
      </c>
      <c r="H4953" s="1">
        <v>2.8318449999999999E-6</v>
      </c>
      <c r="I4953">
        <v>212.80680000000001</v>
      </c>
      <c r="J4953">
        <v>-215.7595</v>
      </c>
      <c r="K4953">
        <v>1.121456</v>
      </c>
      <c r="L4953">
        <v>215.75110000000001</v>
      </c>
      <c r="M4953">
        <v>0.99990520000000005</v>
      </c>
      <c r="N4953">
        <v>-1.37438E-2</v>
      </c>
      <c r="O4953">
        <v>-9.6906080000000005E-4</v>
      </c>
      <c r="P4953">
        <v>0.99490029999999996</v>
      </c>
      <c r="Q4953">
        <v>-8.6536950000000001E-2</v>
      </c>
      <c r="R4953">
        <v>-5.1815960000000001E-2</v>
      </c>
      <c r="S4953">
        <v>2.9669650000000001</v>
      </c>
      <c r="T4953">
        <v>-0.222357</v>
      </c>
      <c r="U4953">
        <v>-0.58386229999999995</v>
      </c>
      <c r="V4953">
        <v>5.0842560000000002E-2</v>
      </c>
      <c r="W4953">
        <v>-7.2860789999999995E-2</v>
      </c>
      <c r="X4953">
        <v>0.99604539999999997</v>
      </c>
      <c r="Y4953">
        <v>0.1915203</v>
      </c>
      <c r="Z4953">
        <v>-8.3709619999999992E-3</v>
      </c>
      <c r="AA4953">
        <v>0.98145289999999996</v>
      </c>
      <c r="AB4953">
        <v>23</v>
      </c>
      <c r="AC4953">
        <v>14.729699999999999</v>
      </c>
      <c r="AD4953">
        <v>-1.121453168155</v>
      </c>
      <c r="AE4953">
        <v>-2.9442999999999899</v>
      </c>
      <c r="AF4953">
        <v>2.9137821445039198</v>
      </c>
      <c r="AG4953">
        <v>-1.121453168155</v>
      </c>
      <c r="AH4953">
        <v>14.6508838900359</v>
      </c>
      <c r="AI4953">
        <v>94.293411896908793</v>
      </c>
      <c r="AJ4953">
        <v>78.751729933918696</v>
      </c>
      <c r="AK4953">
        <v>14.9798592234142</v>
      </c>
      <c r="AL4953">
        <v>94.1783180292814</v>
      </c>
      <c r="AM4953">
        <v>87.077906260627003</v>
      </c>
      <c r="AN4953">
        <v>1.0000000497439601</v>
      </c>
    </row>
    <row r="4954" spans="1:40" x14ac:dyDescent="0.25">
      <c r="A4954" t="str">
        <f>"20190303153908462"</f>
        <v>20190303153908462</v>
      </c>
      <c r="B4954" t="str">
        <f>"1551598748453963"</f>
        <v>1551598748453963</v>
      </c>
      <c r="C4954" t="s">
        <v>40</v>
      </c>
      <c r="D4954">
        <v>4.8675829999999998</v>
      </c>
      <c r="E4954">
        <v>0.61883769999999905</v>
      </c>
      <c r="F4954" t="s">
        <v>51</v>
      </c>
      <c r="G4954">
        <v>-200.7133</v>
      </c>
      <c r="H4954" s="1">
        <v>2.739425E-6</v>
      </c>
      <c r="I4954">
        <v>212.2586</v>
      </c>
      <c r="J4954">
        <v>-215.5274</v>
      </c>
      <c r="K4954">
        <v>1.1214580000000001</v>
      </c>
      <c r="L4954">
        <v>215.7508</v>
      </c>
      <c r="M4954">
        <v>0.99990500000000004</v>
      </c>
      <c r="N4954">
        <v>-1.374126E-2</v>
      </c>
      <c r="O4954">
        <v>-1.026038E-3</v>
      </c>
      <c r="P4954">
        <v>0.99516610000000005</v>
      </c>
      <c r="Q4954">
        <v>-8.0928459999999994E-2</v>
      </c>
      <c r="R4954">
        <v>-5.5634889999999999E-2</v>
      </c>
      <c r="S4954">
        <v>2.9604029999999999</v>
      </c>
      <c r="T4954">
        <v>-0.22065129999999999</v>
      </c>
      <c r="U4954">
        <v>-0.68716429999999995</v>
      </c>
      <c r="V4954">
        <v>5.4604859999999998E-2</v>
      </c>
      <c r="W4954">
        <v>-6.7252220000000001E-2</v>
      </c>
      <c r="X4954">
        <v>0.99624069999999998</v>
      </c>
      <c r="Y4954">
        <v>0.22440479999999999</v>
      </c>
      <c r="Z4954">
        <v>-9.7452690000000008E-3</v>
      </c>
      <c r="AA4954">
        <v>0.97444730000000002</v>
      </c>
      <c r="AB4954">
        <v>23</v>
      </c>
      <c r="AC4954">
        <v>14.8140999999999</v>
      </c>
      <c r="AD4954">
        <v>-1.1214552605749999</v>
      </c>
      <c r="AE4954">
        <v>-3.4921999999999902</v>
      </c>
      <c r="AF4954">
        <v>3.4582219452404601</v>
      </c>
      <c r="AG4954">
        <v>-1.1214552605749999</v>
      </c>
      <c r="AH4954">
        <v>14.737663769185801</v>
      </c>
      <c r="AI4954">
        <v>94.236863080187703</v>
      </c>
      <c r="AJ4954">
        <v>76.794346931685396</v>
      </c>
      <c r="AK4954">
        <v>15.1794497363239</v>
      </c>
      <c r="AL4954">
        <v>93.856178767018307</v>
      </c>
      <c r="AM4954">
        <v>86.862705359566604</v>
      </c>
      <c r="AN4954">
        <v>1.00000004208351</v>
      </c>
    </row>
    <row r="4955" spans="1:40" x14ac:dyDescent="0.25">
      <c r="A4955" t="str">
        <f>"20190303153908484"</f>
        <v>20190303153908484</v>
      </c>
      <c r="B4955" t="str">
        <f>"1551598748473483"</f>
        <v>1551598748473483</v>
      </c>
      <c r="C4955" t="s">
        <v>40</v>
      </c>
      <c r="D4955">
        <v>4.9282190000000003</v>
      </c>
      <c r="E4955">
        <v>0.61837449999999905</v>
      </c>
      <c r="F4955" t="s">
        <v>51</v>
      </c>
      <c r="G4955">
        <v>-196.45760000000001</v>
      </c>
      <c r="H4955" s="1">
        <v>3.543944E-6</v>
      </c>
      <c r="I4955">
        <v>208.5299</v>
      </c>
      <c r="J4955">
        <v>-215.29769999999999</v>
      </c>
      <c r="K4955">
        <v>1.1214170000000001</v>
      </c>
      <c r="L4955">
        <v>215.75049999999999</v>
      </c>
      <c r="M4955">
        <v>0.99990500000000004</v>
      </c>
      <c r="N4955">
        <v>-1.3738749999999999E-2</v>
      </c>
      <c r="O4955">
        <v>-1.088662E-3</v>
      </c>
      <c r="P4955">
        <v>0.99507590000000001</v>
      </c>
      <c r="Q4955">
        <v>-7.8797829999999999E-2</v>
      </c>
      <c r="R4955">
        <v>-6.012315E-2</v>
      </c>
      <c r="S4955">
        <v>2.938339</v>
      </c>
      <c r="T4955">
        <v>-0.1727976</v>
      </c>
      <c r="U4955">
        <v>-1.112625</v>
      </c>
      <c r="V4955">
        <v>5.9030800000000001E-2</v>
      </c>
      <c r="W4955">
        <v>-6.5126489999999995E-2</v>
      </c>
      <c r="X4955">
        <v>0.9961295</v>
      </c>
      <c r="Y4955">
        <v>0.35243180000000002</v>
      </c>
      <c r="Z4955">
        <v>-1.2465179999999999E-2</v>
      </c>
      <c r="AA4955">
        <v>0.93575450000000004</v>
      </c>
      <c r="AB4955">
        <v>23</v>
      </c>
      <c r="AC4955">
        <v>18.8400999999999</v>
      </c>
      <c r="AD4955">
        <v>-1.1214134560560001</v>
      </c>
      <c r="AE4955">
        <v>-7.2205999999999904</v>
      </c>
      <c r="AF4955">
        <v>7.1779093429172702</v>
      </c>
      <c r="AG4955">
        <v>-1.1214134560560001</v>
      </c>
      <c r="AH4955">
        <v>18.789904745487</v>
      </c>
      <c r="AI4955">
        <v>93.191062156728293</v>
      </c>
      <c r="AJ4955">
        <v>69.092702103900507</v>
      </c>
      <c r="AK4955">
        <v>20.145482645472601</v>
      </c>
      <c r="AL4955">
        <v>93.734115732574494</v>
      </c>
      <c r="AM4955">
        <v>86.608608782507105</v>
      </c>
      <c r="AN4955">
        <v>1.0000000379092999</v>
      </c>
    </row>
    <row r="4956" spans="1:40" x14ac:dyDescent="0.25">
      <c r="A4956" t="str">
        <f>"20190303153908507"</f>
        <v>20190303153908507</v>
      </c>
      <c r="B4956" t="str">
        <f>"1551598748503739"</f>
        <v>1551598748503739</v>
      </c>
      <c r="C4956" t="s">
        <v>40</v>
      </c>
      <c r="D4956">
        <v>4.9945130000000004</v>
      </c>
      <c r="E4956">
        <v>0.6177262</v>
      </c>
      <c r="F4956" t="s">
        <v>51</v>
      </c>
      <c r="G4956">
        <v>-195.7774</v>
      </c>
      <c r="H4956" s="1">
        <v>3.7301000000000001E-6</v>
      </c>
      <c r="I4956">
        <v>208.2825</v>
      </c>
      <c r="J4956">
        <v>-215.0684</v>
      </c>
      <c r="K4956">
        <v>1.1213580000000001</v>
      </c>
      <c r="L4956">
        <v>215.75020000000001</v>
      </c>
      <c r="M4956">
        <v>0.99990509999999999</v>
      </c>
      <c r="N4956">
        <v>-1.373626E-2</v>
      </c>
      <c r="O4956">
        <v>-1.161352E-3</v>
      </c>
      <c r="P4956">
        <v>0.99453530000000001</v>
      </c>
      <c r="Q4956">
        <v>-8.1246170000000006E-2</v>
      </c>
      <c r="R4956">
        <v>-6.5566579999999999E-2</v>
      </c>
      <c r="S4956">
        <v>2.9336700000000002</v>
      </c>
      <c r="T4956">
        <v>-0.16853499999999999</v>
      </c>
      <c r="U4956">
        <v>-1.1223449999999999</v>
      </c>
      <c r="V4956">
        <v>6.4401079999999999E-2</v>
      </c>
      <c r="W4956">
        <v>-6.7586110000000005E-2</v>
      </c>
      <c r="X4956">
        <v>0.99563279999999998</v>
      </c>
      <c r="Y4956">
        <v>0.35558499999999998</v>
      </c>
      <c r="Z4956">
        <v>-1.233687E-2</v>
      </c>
      <c r="AA4956">
        <v>0.93456249999999996</v>
      </c>
      <c r="AB4956">
        <v>23</v>
      </c>
      <c r="AC4956">
        <v>19.291</v>
      </c>
      <c r="AD4956">
        <v>-1.1213542698999901</v>
      </c>
      <c r="AE4956">
        <v>-7.4676999999999998</v>
      </c>
      <c r="AF4956">
        <v>7.4234749105710103</v>
      </c>
      <c r="AG4956">
        <v>-1.1213542698999901</v>
      </c>
      <c r="AH4956">
        <v>19.243113459262599</v>
      </c>
      <c r="AI4956">
        <v>93.1119787326937</v>
      </c>
      <c r="AJ4956">
        <v>68.904728771585098</v>
      </c>
      <c r="AK4956">
        <v>20.655818326867401</v>
      </c>
      <c r="AL4956">
        <v>93.8753529391402</v>
      </c>
      <c r="AM4956">
        <v>86.299060446365004</v>
      </c>
      <c r="AN4956">
        <v>1.0000000269029601</v>
      </c>
    </row>
    <row r="4957" spans="1:40" x14ac:dyDescent="0.25">
      <c r="A4957" t="str">
        <f>"20190303153908531"</f>
        <v>20190303153908531</v>
      </c>
      <c r="B4957" t="str">
        <f>"1551598748523262"</f>
        <v>1551598748523262</v>
      </c>
      <c r="C4957" t="s">
        <v>40</v>
      </c>
      <c r="D4957">
        <v>4.9916989999999997</v>
      </c>
      <c r="E4957">
        <v>0.61787419999999904</v>
      </c>
      <c r="F4957" t="s">
        <v>51</v>
      </c>
      <c r="G4957">
        <v>-198.39769999999999</v>
      </c>
      <c r="H4957" s="1">
        <v>2.9979149999999999E-6</v>
      </c>
      <c r="I4957">
        <v>209.29230000000001</v>
      </c>
      <c r="J4957">
        <v>-214.82409999999999</v>
      </c>
      <c r="K4957">
        <v>1.121283</v>
      </c>
      <c r="L4957">
        <v>215.74979999999999</v>
      </c>
      <c r="M4957">
        <v>0.99990489999999999</v>
      </c>
      <c r="N4957">
        <v>-1.373363E-2</v>
      </c>
      <c r="O4957">
        <v>-1.2572519999999999E-3</v>
      </c>
      <c r="P4957">
        <v>0.99369370000000001</v>
      </c>
      <c r="Q4957">
        <v>-8.6952420000000002E-2</v>
      </c>
      <c r="R4957">
        <v>-7.079539E-2</v>
      </c>
      <c r="S4957">
        <v>2.9256899999999999</v>
      </c>
      <c r="T4957">
        <v>-0.19679579999999999</v>
      </c>
      <c r="U4957">
        <v>-1.1333470000000001</v>
      </c>
      <c r="V4957">
        <v>6.9532659999999996E-2</v>
      </c>
      <c r="W4957">
        <v>-7.3308600000000002E-2</v>
      </c>
      <c r="X4957">
        <v>0.99488239999999994</v>
      </c>
      <c r="Y4957">
        <v>0.35918339999999999</v>
      </c>
      <c r="Z4957">
        <v>-1.4137129999999999E-2</v>
      </c>
      <c r="AA4957">
        <v>0.93315990000000004</v>
      </c>
      <c r="AB4957">
        <v>23</v>
      </c>
      <c r="AC4957">
        <v>16.426400000000001</v>
      </c>
      <c r="AD4957">
        <v>-1.121280002085</v>
      </c>
      <c r="AE4957">
        <v>-6.45749999999998</v>
      </c>
      <c r="AF4957">
        <v>6.4109671842173901</v>
      </c>
      <c r="AG4957">
        <v>-1.121280002085</v>
      </c>
      <c r="AH4957">
        <v>16.368446053085599</v>
      </c>
      <c r="AI4957">
        <v>93.649647258741595</v>
      </c>
      <c r="AJ4957">
        <v>68.611399993817002</v>
      </c>
      <c r="AK4957">
        <v>17.614874262195599</v>
      </c>
      <c r="AL4957">
        <v>94.204044804247403</v>
      </c>
      <c r="AM4957">
        <v>86.002080052387299</v>
      </c>
      <c r="AN4957">
        <v>0.99999996573519701</v>
      </c>
    </row>
    <row r="4958" spans="1:40" x14ac:dyDescent="0.25">
      <c r="A4958" t="str">
        <f>"20190303153908551"</f>
        <v>20190303153908551</v>
      </c>
      <c r="B4958" t="str">
        <f>"1551598748543756"</f>
        <v>1551598748543756</v>
      </c>
      <c r="C4958" t="s">
        <v>40</v>
      </c>
      <c r="D4958">
        <v>4.995609</v>
      </c>
      <c r="E4958">
        <v>0.61752030000000002</v>
      </c>
      <c r="F4958" t="s">
        <v>51</v>
      </c>
      <c r="G4958">
        <v>-199.4709</v>
      </c>
      <c r="H4958" s="1">
        <v>2.7143660000000001E-6</v>
      </c>
      <c r="I4958">
        <v>209.70050000000001</v>
      </c>
      <c r="J4958">
        <v>-214.60409999999999</v>
      </c>
      <c r="K4958">
        <v>1.1211990000000001</v>
      </c>
      <c r="L4958">
        <v>215.74940000000001</v>
      </c>
      <c r="M4958">
        <v>0.99990480000000004</v>
      </c>
      <c r="N4958">
        <v>-1.373128E-2</v>
      </c>
      <c r="O4958">
        <v>-1.3700380000000001E-3</v>
      </c>
      <c r="P4958">
        <v>0.99269839999999998</v>
      </c>
      <c r="Q4958">
        <v>-9.3945609999999999E-2</v>
      </c>
      <c r="R4958">
        <v>-7.5657760000000004E-2</v>
      </c>
      <c r="S4958">
        <v>2.9184570000000001</v>
      </c>
      <c r="T4958">
        <v>-0.21314230000000001</v>
      </c>
      <c r="U4958">
        <v>-1.1498870000000001</v>
      </c>
      <c r="V4958">
        <v>7.4279730000000002E-2</v>
      </c>
      <c r="W4958">
        <v>-8.0320730000000007E-2</v>
      </c>
      <c r="X4958">
        <v>0.99399749999999998</v>
      </c>
      <c r="Y4958">
        <v>0.36428700000000003</v>
      </c>
      <c r="Z4958">
        <v>-1.532407E-2</v>
      </c>
      <c r="AA4958">
        <v>0.9311606</v>
      </c>
      <c r="AB4958">
        <v>23</v>
      </c>
      <c r="AC4958">
        <v>15.133199999999899</v>
      </c>
      <c r="AD4958">
        <v>-1.1211962856340001</v>
      </c>
      <c r="AE4958">
        <v>-6.0488999999999997</v>
      </c>
      <c r="AF4958">
        <v>5.9997628279465598</v>
      </c>
      <c r="AG4958">
        <v>-1.1211962856340001</v>
      </c>
      <c r="AH4958">
        <v>15.070147786486601</v>
      </c>
      <c r="AI4958">
        <v>93.954105491681005</v>
      </c>
      <c r="AJ4958">
        <v>68.291392544112298</v>
      </c>
      <c r="AK4958">
        <v>16.259261650181902</v>
      </c>
      <c r="AL4958">
        <v>94.607001704304196</v>
      </c>
      <c r="AM4958">
        <v>85.726327938655103</v>
      </c>
      <c r="AN4958">
        <v>0.99999996398142699</v>
      </c>
    </row>
    <row r="4959" spans="1:40" x14ac:dyDescent="0.25">
      <c r="A4959" t="str">
        <f>"20190303153908574"</f>
        <v>20190303153908574</v>
      </c>
      <c r="B4959" t="str">
        <f>"1551598748563276"</f>
        <v>1551598748563276</v>
      </c>
      <c r="C4959" t="s">
        <v>40</v>
      </c>
      <c r="D4959">
        <v>4.9815060000000004</v>
      </c>
      <c r="E4959">
        <v>0.61688859999999901</v>
      </c>
      <c r="F4959" t="s">
        <v>51</v>
      </c>
      <c r="G4959">
        <v>-201.1618</v>
      </c>
      <c r="H4959" s="1">
        <v>3.1020110000000002E-6</v>
      </c>
      <c r="I4959">
        <v>210.3861</v>
      </c>
      <c r="J4959">
        <v>-214.37049999999999</v>
      </c>
      <c r="K4959">
        <v>1.1211120000000001</v>
      </c>
      <c r="L4959">
        <v>215.74889999999999</v>
      </c>
      <c r="M4959">
        <v>0.99990469999999998</v>
      </c>
      <c r="N4959">
        <v>-1.372877E-2</v>
      </c>
      <c r="O4959">
        <v>-1.516262E-3</v>
      </c>
      <c r="P4959">
        <v>0.99160429999999999</v>
      </c>
      <c r="Q4959">
        <v>-0.1000288</v>
      </c>
      <c r="R4959">
        <v>-8.1947409999999998E-2</v>
      </c>
      <c r="S4959">
        <v>2.910568</v>
      </c>
      <c r="T4959">
        <v>-0.24276529999999999</v>
      </c>
      <c r="U4959">
        <v>-1.16127</v>
      </c>
      <c r="V4959">
        <v>8.0420309999999995E-2</v>
      </c>
      <c r="W4959">
        <v>-8.6425749999999996E-2</v>
      </c>
      <c r="X4959">
        <v>0.99300710000000003</v>
      </c>
      <c r="Y4959">
        <v>0.36786479999999999</v>
      </c>
      <c r="Z4959">
        <v>-1.727368E-2</v>
      </c>
      <c r="AA4959">
        <v>0.92971890000000001</v>
      </c>
      <c r="AB4959">
        <v>23</v>
      </c>
      <c r="AC4959">
        <v>13.208699999999901</v>
      </c>
      <c r="AD4959">
        <v>-1.121108897989</v>
      </c>
      <c r="AE4959">
        <v>-5.3627999999999902</v>
      </c>
      <c r="AF4959">
        <v>5.3099245289078603</v>
      </c>
      <c r="AG4959">
        <v>-1.121108897989</v>
      </c>
      <c r="AH4959">
        <v>13.1355791552669</v>
      </c>
      <c r="AI4959">
        <v>94.524294544536204</v>
      </c>
      <c r="AJ4959">
        <v>67.989478694192002</v>
      </c>
      <c r="AK4959">
        <v>14.2125164347532</v>
      </c>
      <c r="AL4959">
        <v>94.958016227987201</v>
      </c>
      <c r="AM4959">
        <v>85.369912263951605</v>
      </c>
      <c r="AN4959">
        <v>0.99999996858698303</v>
      </c>
    </row>
    <row r="4960" spans="1:40" x14ac:dyDescent="0.25">
      <c r="A4960" t="str">
        <f>"20190303153908608"</f>
        <v>20190303153908608</v>
      </c>
      <c r="B4960" t="str">
        <f>"1551598748603294"</f>
        <v>1551598748603294</v>
      </c>
      <c r="C4960" t="s">
        <v>40</v>
      </c>
      <c r="D4960">
        <v>4.9849480000000002</v>
      </c>
      <c r="E4960">
        <v>0.61605759999999998</v>
      </c>
      <c r="F4960" t="s">
        <v>51</v>
      </c>
      <c r="G4960">
        <v>-202.40719999999999</v>
      </c>
      <c r="H4960" s="1">
        <v>3.608998E-6</v>
      </c>
      <c r="I4960">
        <v>210.9042</v>
      </c>
      <c r="J4960">
        <v>-214.02529999999999</v>
      </c>
      <c r="K4960">
        <v>1.1210359999999999</v>
      </c>
      <c r="L4960">
        <v>215.74799999999999</v>
      </c>
      <c r="M4960">
        <v>0.99990429999999997</v>
      </c>
      <c r="N4960">
        <v>-1.372511E-2</v>
      </c>
      <c r="O4960">
        <v>-1.803088E-3</v>
      </c>
      <c r="P4960">
        <v>0.99162430000000001</v>
      </c>
      <c r="Q4960">
        <v>-9.8404469999999994E-2</v>
      </c>
      <c r="R4960">
        <v>-8.3656359999999999E-2</v>
      </c>
      <c r="S4960">
        <v>2.9008940000000001</v>
      </c>
      <c r="T4960">
        <v>-0.27184829999999999</v>
      </c>
      <c r="U4960">
        <v>-1.1747590000000001</v>
      </c>
      <c r="V4960">
        <v>8.183733E-2</v>
      </c>
      <c r="W4960">
        <v>-8.4812520000000002E-2</v>
      </c>
      <c r="X4960">
        <v>0.99303039999999998</v>
      </c>
      <c r="Y4960">
        <v>0.3720543</v>
      </c>
      <c r="Z4960">
        <v>-1.925615E-2</v>
      </c>
      <c r="AA4960">
        <v>0.92801120000000004</v>
      </c>
      <c r="AB4960">
        <v>23</v>
      </c>
      <c r="AC4960">
        <v>11.618099999999901</v>
      </c>
      <c r="AD4960">
        <v>-1.1210323910019999</v>
      </c>
      <c r="AE4960">
        <v>-4.8437999999999803</v>
      </c>
      <c r="AF4960">
        <v>4.7848895670407403</v>
      </c>
      <c r="AG4960">
        <v>-1.1210323910019999</v>
      </c>
      <c r="AH4960">
        <v>11.535321451243099</v>
      </c>
      <c r="AI4960">
        <v>95.129480450499599</v>
      </c>
      <c r="AJ4960">
        <v>67.471164203303402</v>
      </c>
      <c r="AK4960">
        <v>12.538561431598101</v>
      </c>
      <c r="AL4960">
        <v>94.865244401425201</v>
      </c>
      <c r="AM4960">
        <v>85.288803440485907</v>
      </c>
      <c r="AN4960">
        <v>0.99999994372721801</v>
      </c>
    </row>
    <row r="4961" spans="1:40" x14ac:dyDescent="0.25">
      <c r="A4961" t="str">
        <f>"20190303153908630"</f>
        <v>20190303153908630</v>
      </c>
      <c r="B4961" t="str">
        <f>"1551598748623787"</f>
        <v>1551598748623787</v>
      </c>
      <c r="C4961" t="s">
        <v>40</v>
      </c>
      <c r="D4961">
        <v>5.0249920000000001</v>
      </c>
      <c r="E4961">
        <v>0.61603209999999997</v>
      </c>
      <c r="F4961" t="s">
        <v>51</v>
      </c>
      <c r="G4961">
        <v>-202.20480000000001</v>
      </c>
      <c r="H4961" s="1">
        <v>3.5140120000000001E-6</v>
      </c>
      <c r="I4961">
        <v>210.96420000000001</v>
      </c>
      <c r="J4961">
        <v>-213.7953</v>
      </c>
      <c r="K4961">
        <v>1.1210089999999999</v>
      </c>
      <c r="L4961">
        <v>215.7474</v>
      </c>
      <c r="M4961">
        <v>0.99990389999999996</v>
      </c>
      <c r="N4961">
        <v>-1.372278E-2</v>
      </c>
      <c r="O4961">
        <v>-2.064981E-3</v>
      </c>
      <c r="P4961">
        <v>0.99240720000000004</v>
      </c>
      <c r="Q4961">
        <v>-9.3789990000000004E-2</v>
      </c>
      <c r="R4961">
        <v>-7.9570829999999995E-2</v>
      </c>
      <c r="S4961">
        <v>2.8990939999999998</v>
      </c>
      <c r="T4961">
        <v>-0.27494380000000002</v>
      </c>
      <c r="U4961">
        <v>-1.1732940000000001</v>
      </c>
      <c r="V4961">
        <v>7.7485230000000002E-2</v>
      </c>
      <c r="W4961">
        <v>-8.0195069999999993E-2</v>
      </c>
      <c r="X4961">
        <v>0.99376299999999995</v>
      </c>
      <c r="Y4961">
        <v>0.3715754</v>
      </c>
      <c r="Z4961">
        <v>-1.940923E-2</v>
      </c>
      <c r="AA4961">
        <v>0.92819989999999997</v>
      </c>
      <c r="AB4961">
        <v>23</v>
      </c>
      <c r="AC4961">
        <v>11.590499999999899</v>
      </c>
      <c r="AD4961">
        <v>-1.1210054859880001</v>
      </c>
      <c r="AE4961">
        <v>-4.7831999999999901</v>
      </c>
      <c r="AF4961">
        <v>4.7215141965840397</v>
      </c>
      <c r="AG4961">
        <v>-1.1210054859880001</v>
      </c>
      <c r="AH4961">
        <v>11.5083667394644</v>
      </c>
      <c r="AI4961">
        <v>95.149490300878</v>
      </c>
      <c r="AJ4961">
        <v>67.693228310505603</v>
      </c>
      <c r="AK4961">
        <v>12.4896699163017</v>
      </c>
      <c r="AL4961">
        <v>94.599778195417301</v>
      </c>
      <c r="AM4961">
        <v>85.541580398985104</v>
      </c>
      <c r="AN4961">
        <v>1.0000000551447199</v>
      </c>
    </row>
    <row r="4962" spans="1:40" x14ac:dyDescent="0.25">
      <c r="A4962" t="str">
        <f>"20190303153908652"</f>
        <v>20190303153908652</v>
      </c>
      <c r="B4962" t="str">
        <f>"1551598748643307"</f>
        <v>1551598748643307</v>
      </c>
      <c r="C4962" t="s">
        <v>40</v>
      </c>
      <c r="D4962">
        <v>5.0300710000000004</v>
      </c>
      <c r="E4962">
        <v>0.61568940000000005</v>
      </c>
      <c r="F4962" t="s">
        <v>51</v>
      </c>
      <c r="G4962">
        <v>-201.43450000000001</v>
      </c>
      <c r="H4962" s="1">
        <v>3.186189E-6</v>
      </c>
      <c r="I4962">
        <v>210.8065</v>
      </c>
      <c r="J4962">
        <v>-213.5658</v>
      </c>
      <c r="K4962">
        <v>1.1209789999999999</v>
      </c>
      <c r="L4962">
        <v>215.7466</v>
      </c>
      <c r="M4962">
        <v>0.99990299999999999</v>
      </c>
      <c r="N4962">
        <v>-1.372059E-2</v>
      </c>
      <c r="O4962">
        <v>-2.4111839999999998E-3</v>
      </c>
      <c r="P4962">
        <v>0.99321199999999998</v>
      </c>
      <c r="Q4962">
        <v>-8.9245140000000001E-2</v>
      </c>
      <c r="R4962">
        <v>-7.4602440000000006E-2</v>
      </c>
      <c r="S4962">
        <v>2.9049680000000002</v>
      </c>
      <c r="T4962">
        <v>-0.26345350000000001</v>
      </c>
      <c r="U4962">
        <v>-1.161179</v>
      </c>
      <c r="V4962">
        <v>7.2163850000000002E-2</v>
      </c>
      <c r="W4962">
        <v>-7.5648149999999997E-2</v>
      </c>
      <c r="X4962">
        <v>0.99451979999999995</v>
      </c>
      <c r="Y4962">
        <v>0.36741170000000001</v>
      </c>
      <c r="Z4962">
        <v>-1.845484E-2</v>
      </c>
      <c r="AA4962">
        <v>0.92987529999999996</v>
      </c>
      <c r="AB4962">
        <v>23</v>
      </c>
      <c r="AC4962">
        <v>12.1312999999999</v>
      </c>
      <c r="AD4962">
        <v>-1.120975813811</v>
      </c>
      <c r="AE4962">
        <v>-4.9401000000000002</v>
      </c>
      <c r="AF4962">
        <v>4.8751270573684504</v>
      </c>
      <c r="AG4962">
        <v>-1.120975813811</v>
      </c>
      <c r="AH4962">
        <v>12.0548883269038</v>
      </c>
      <c r="AI4962">
        <v>94.9270971903196</v>
      </c>
      <c r="AJ4962">
        <v>67.981060051462805</v>
      </c>
      <c r="AK4962">
        <v>13.051581634988001</v>
      </c>
      <c r="AL4962">
        <v>94.338464590636406</v>
      </c>
      <c r="AM4962">
        <v>85.8498058358837</v>
      </c>
      <c r="AN4962">
        <v>0.99999994821864102</v>
      </c>
    </row>
    <row r="4963" spans="1:40" x14ac:dyDescent="0.25">
      <c r="A4963" t="str">
        <f>"20190303153908674"</f>
        <v>20190303153908674</v>
      </c>
      <c r="B4963" t="str">
        <f>"1551598748663803"</f>
        <v>1551598748663803</v>
      </c>
      <c r="C4963" t="s">
        <v>40</v>
      </c>
      <c r="D4963">
        <v>5.0343479999999996</v>
      </c>
      <c r="E4963">
        <v>0.615255</v>
      </c>
      <c r="F4963" t="s">
        <v>51</v>
      </c>
      <c r="G4963">
        <v>-200.7655</v>
      </c>
      <c r="H4963" s="1">
        <v>2.89717E-6</v>
      </c>
      <c r="I4963">
        <v>210.71879999999999</v>
      </c>
      <c r="J4963">
        <v>-213.34180000000001</v>
      </c>
      <c r="K4963">
        <v>1.1209450000000001</v>
      </c>
      <c r="L4963">
        <v>215.7456</v>
      </c>
      <c r="M4963">
        <v>0.99990199999999996</v>
      </c>
      <c r="N4963">
        <v>-1.3718650000000001E-2</v>
      </c>
      <c r="O4963">
        <v>-2.824249E-3</v>
      </c>
      <c r="P4963">
        <v>0.99362830000000002</v>
      </c>
      <c r="Q4963">
        <v>-8.6846069999999997E-2</v>
      </c>
      <c r="R4963">
        <v>-7.1837819999999997E-2</v>
      </c>
      <c r="S4963">
        <v>2.9116970000000002</v>
      </c>
      <c r="T4963">
        <v>-0.2549883</v>
      </c>
      <c r="U4963">
        <v>-1.143661</v>
      </c>
      <c r="V4963">
        <v>6.8979079999999998E-2</v>
      </c>
      <c r="W4963">
        <v>-7.3252960000000006E-2</v>
      </c>
      <c r="X4963">
        <v>0.99492510000000001</v>
      </c>
      <c r="Y4963">
        <v>0.36155799999999999</v>
      </c>
      <c r="Z4963">
        <v>-1.761093E-2</v>
      </c>
      <c r="AA4963">
        <v>0.93218330000000005</v>
      </c>
      <c r="AB4963">
        <v>23</v>
      </c>
      <c r="AC4963">
        <v>12.5763</v>
      </c>
      <c r="AD4963">
        <v>-1.12094210283</v>
      </c>
      <c r="AE4963">
        <v>-5.0267999999999997</v>
      </c>
      <c r="AF4963">
        <v>4.9573004514888996</v>
      </c>
      <c r="AG4963">
        <v>-1.12094210283</v>
      </c>
      <c r="AH4963">
        <v>12.504790173212299</v>
      </c>
      <c r="AI4963">
        <v>94.763550068723504</v>
      </c>
      <c r="AJ4963">
        <v>68.375035131655096</v>
      </c>
      <c r="AK4963">
        <v>13.498189368959601</v>
      </c>
      <c r="AL4963">
        <v>94.200847993242107</v>
      </c>
      <c r="AM4963">
        <v>86.033976935044294</v>
      </c>
      <c r="AN4963">
        <v>1.0000000321182001</v>
      </c>
    </row>
    <row r="4964" spans="1:40" x14ac:dyDescent="0.25">
      <c r="A4964" t="str">
        <f>"20190303153908696"</f>
        <v>20190303153908696</v>
      </c>
      <c r="B4964" t="str">
        <f>"1551598748694059"</f>
        <v>1551598748694059</v>
      </c>
      <c r="C4964" t="s">
        <v>40</v>
      </c>
      <c r="D4964">
        <v>4.9732820000000002</v>
      </c>
      <c r="E4964">
        <v>0.61503609999999997</v>
      </c>
      <c r="F4964" t="s">
        <v>51</v>
      </c>
      <c r="G4964">
        <v>-200.62880000000001</v>
      </c>
      <c r="H4964" s="1">
        <v>2.8288879999999998E-6</v>
      </c>
      <c r="I4964">
        <v>210.80690000000001</v>
      </c>
      <c r="J4964">
        <v>-213.1069</v>
      </c>
      <c r="K4964">
        <v>1.1208990000000001</v>
      </c>
      <c r="L4964">
        <v>215.74430000000001</v>
      </c>
      <c r="M4964">
        <v>0.99990040000000002</v>
      </c>
      <c r="N4964">
        <v>-1.371676E-2</v>
      </c>
      <c r="O4964">
        <v>-3.3582859999999998E-3</v>
      </c>
      <c r="P4964">
        <v>0.99374180000000001</v>
      </c>
      <c r="Q4964">
        <v>-8.3853510000000006E-2</v>
      </c>
      <c r="R4964">
        <v>-7.3798100000000005E-2</v>
      </c>
      <c r="S4964">
        <v>2.9149020000000001</v>
      </c>
      <c r="T4964">
        <v>-0.257017</v>
      </c>
      <c r="U4964">
        <v>-1.132385</v>
      </c>
      <c r="V4964">
        <v>7.0398420000000003E-2</v>
      </c>
      <c r="W4964">
        <v>-7.0273160000000001E-2</v>
      </c>
      <c r="X4964">
        <v>0.99504060000000005</v>
      </c>
      <c r="Y4964">
        <v>0.35757620000000001</v>
      </c>
      <c r="Z4964">
        <v>-1.748688E-2</v>
      </c>
      <c r="AA4964">
        <v>0.9337202</v>
      </c>
      <c r="AB4964">
        <v>23</v>
      </c>
      <c r="AC4964">
        <v>12.4780999999999</v>
      </c>
      <c r="AD4964">
        <v>-1.12089617111199</v>
      </c>
      <c r="AE4964">
        <v>-4.9373999999999896</v>
      </c>
      <c r="AF4964">
        <v>4.8615446266831297</v>
      </c>
      <c r="AG4964">
        <v>-1.12089617111199</v>
      </c>
      <c r="AH4964">
        <v>12.408042584673799</v>
      </c>
      <c r="AI4964">
        <v>94.807869580697101</v>
      </c>
      <c r="AJ4964">
        <v>68.604459684173094</v>
      </c>
      <c r="AK4964">
        <v>13.373501604543399</v>
      </c>
      <c r="AL4964">
        <v>94.029676669044093</v>
      </c>
      <c r="AM4964">
        <v>85.953107248381897</v>
      </c>
      <c r="AN4964">
        <v>1.0000000251016199</v>
      </c>
    </row>
    <row r="4965" spans="1:40" x14ac:dyDescent="0.25">
      <c r="A4965" t="str">
        <f>"20190303153908719"</f>
        <v>20190303153908719</v>
      </c>
      <c r="B4965" t="str">
        <f>"1551598748713579"</f>
        <v>1551598748713579</v>
      </c>
      <c r="C4965" t="s">
        <v>40</v>
      </c>
      <c r="D4965">
        <v>5.2262930000000001</v>
      </c>
      <c r="E4965">
        <v>0.61478440000000001</v>
      </c>
      <c r="F4965" t="s">
        <v>51</v>
      </c>
      <c r="G4965">
        <v>-200.25139999999999</v>
      </c>
      <c r="H4965" s="1">
        <v>2.6682309999999999E-6</v>
      </c>
      <c r="I4965">
        <v>210.72980000000001</v>
      </c>
      <c r="J4965">
        <v>-212.8819</v>
      </c>
      <c r="K4965">
        <v>1.120838</v>
      </c>
      <c r="L4965">
        <v>215.74289999999999</v>
      </c>
      <c r="M4965">
        <v>0.99989799999999995</v>
      </c>
      <c r="N4965">
        <v>-1.3715160000000001E-2</v>
      </c>
      <c r="O4965">
        <v>-3.9917920000000001E-3</v>
      </c>
      <c r="P4965">
        <v>0.9935908</v>
      </c>
      <c r="Q4965">
        <v>-8.1059809999999996E-2</v>
      </c>
      <c r="R4965">
        <v>-7.8784240000000005E-2</v>
      </c>
      <c r="S4965">
        <v>2.913071</v>
      </c>
      <c r="T4965">
        <v>-0.25399519999999998</v>
      </c>
      <c r="U4965">
        <v>-1.1362920000000001</v>
      </c>
      <c r="V4965">
        <v>7.4745190000000003E-2</v>
      </c>
      <c r="W4965">
        <v>-6.7500359999999995E-2</v>
      </c>
      <c r="X4965">
        <v>0.99491549999999995</v>
      </c>
      <c r="Y4965">
        <v>0.35829840000000002</v>
      </c>
      <c r="Z4965">
        <v>-1.730837E-2</v>
      </c>
      <c r="AA4965">
        <v>0.93344660000000002</v>
      </c>
      <c r="AB4965">
        <v>23</v>
      </c>
      <c r="AC4965">
        <v>12.6305</v>
      </c>
      <c r="AD4965">
        <v>-1.1208353317690001</v>
      </c>
      <c r="AE4965">
        <v>-5.0130999999999801</v>
      </c>
      <c r="AF4965">
        <v>4.9291036201630698</v>
      </c>
      <c r="AG4965">
        <v>-1.1208353317690001</v>
      </c>
      <c r="AH4965">
        <v>12.564931549005101</v>
      </c>
      <c r="AI4965">
        <v>94.747078721301094</v>
      </c>
      <c r="AJ4965">
        <v>68.580393204161396</v>
      </c>
      <c r="AK4965">
        <v>13.5436272530822</v>
      </c>
      <c r="AL4965">
        <v>93.870428696245099</v>
      </c>
      <c r="AM4965">
        <v>85.703600957314507</v>
      </c>
      <c r="AN4965">
        <v>0.99999999708425702</v>
      </c>
    </row>
    <row r="4966" spans="1:40" x14ac:dyDescent="0.25">
      <c r="A4966" t="str">
        <f>"20190303153908741"</f>
        <v>20190303153908741</v>
      </c>
      <c r="B4966" t="str">
        <f>"1551598748733099"</f>
        <v>1551598748733099</v>
      </c>
      <c r="C4966" t="s">
        <v>40</v>
      </c>
      <c r="D4966">
        <v>4.9042110000000001</v>
      </c>
      <c r="E4966">
        <v>0.54682419999999998</v>
      </c>
      <c r="F4966" t="s">
        <v>51</v>
      </c>
      <c r="G4966">
        <v>-199.6611</v>
      </c>
      <c r="H4966" s="1">
        <v>2.608986E-6</v>
      </c>
      <c r="I4966">
        <v>210.52010000000001</v>
      </c>
      <c r="J4966">
        <v>-212.65360000000001</v>
      </c>
      <c r="K4966">
        <v>1.120762</v>
      </c>
      <c r="L4966">
        <v>215.74109999999999</v>
      </c>
      <c r="M4966">
        <v>0.99989459999999997</v>
      </c>
      <c r="N4966">
        <v>-1.3713990000000001E-2</v>
      </c>
      <c r="O4966">
        <v>-4.7787840000000003E-3</v>
      </c>
      <c r="P4966">
        <v>0.99336979999999997</v>
      </c>
      <c r="Q4966">
        <v>-7.832132E-2</v>
      </c>
      <c r="R4966">
        <v>-8.4156830000000002E-2</v>
      </c>
      <c r="S4966">
        <v>2.9081419999999998</v>
      </c>
      <c r="T4966">
        <v>-0.2465465</v>
      </c>
      <c r="U4966">
        <v>-1.148849</v>
      </c>
      <c r="V4966">
        <v>7.932467E-2</v>
      </c>
      <c r="W4966">
        <v>-6.4788029999999996E-2</v>
      </c>
      <c r="X4966">
        <v>0.99474119999999999</v>
      </c>
      <c r="Y4966">
        <v>0.36165029999999998</v>
      </c>
      <c r="Z4966">
        <v>-1.6998470000000002E-2</v>
      </c>
      <c r="AA4966">
        <v>0.93215879999999995</v>
      </c>
      <c r="AB4966">
        <v>23</v>
      </c>
      <c r="AC4966">
        <v>12.9925</v>
      </c>
      <c r="AD4966">
        <v>-1.1207593910139999</v>
      </c>
      <c r="AE4966">
        <v>-5.2209999999999699</v>
      </c>
      <c r="AF4966">
        <v>5.1260059518913499</v>
      </c>
      <c r="AG4966">
        <v>-1.1207593910139999</v>
      </c>
      <c r="AH4966">
        <v>12.9344383108367</v>
      </c>
      <c r="AI4966">
        <v>94.605459172562107</v>
      </c>
      <c r="AJ4966">
        <v>68.381240046997902</v>
      </c>
      <c r="AK4966">
        <v>13.9582138201208</v>
      </c>
      <c r="AL4966">
        <v>93.714682600766494</v>
      </c>
      <c r="AM4966">
        <v>85.440651891393401</v>
      </c>
      <c r="AN4966">
        <v>0.99999997353966397</v>
      </c>
    </row>
    <row r="4967" spans="1:40" x14ac:dyDescent="0.25">
      <c r="A4967" t="str">
        <f>"20190303153908763"</f>
        <v>20190303153908763</v>
      </c>
      <c r="B4967" t="str">
        <f>"1551598748753595"</f>
        <v>1551598748753595</v>
      </c>
      <c r="C4967" t="s">
        <v>40</v>
      </c>
      <c r="D4967">
        <v>4.8707640000000003</v>
      </c>
      <c r="E4967">
        <v>0.54056870000000001</v>
      </c>
      <c r="F4967" t="s">
        <v>51</v>
      </c>
      <c r="G4967">
        <v>-198.44540000000001</v>
      </c>
      <c r="H4967" s="1">
        <v>2.631236E-6</v>
      </c>
      <c r="I4967">
        <v>212.73220000000001</v>
      </c>
      <c r="J4967">
        <v>-212.4273</v>
      </c>
      <c r="K4967">
        <v>1.120663</v>
      </c>
      <c r="L4967">
        <v>215.739</v>
      </c>
      <c r="M4967">
        <v>0.99988969999999999</v>
      </c>
      <c r="N4967">
        <v>-1.3713380000000001E-2</v>
      </c>
      <c r="O4967">
        <v>-5.7197380000000003E-3</v>
      </c>
      <c r="P4967">
        <v>0.99300089999999996</v>
      </c>
      <c r="Q4967">
        <v>-7.7156039999999995E-2</v>
      </c>
      <c r="R4967">
        <v>-8.9421580000000001E-2</v>
      </c>
      <c r="S4967">
        <v>2.9487610000000002</v>
      </c>
      <c r="T4967">
        <v>-0.232602</v>
      </c>
      <c r="U4967">
        <v>-0.62446590000000002</v>
      </c>
      <c r="V4967">
        <v>8.3641010000000002E-2</v>
      </c>
      <c r="W4967">
        <v>-6.3654669999999997E-2</v>
      </c>
      <c r="X4967">
        <v>0.99446080000000003</v>
      </c>
      <c r="Y4967">
        <v>0.2008847</v>
      </c>
      <c r="Z4967">
        <v>-8.8513640000000005E-3</v>
      </c>
      <c r="AA4967">
        <v>0.97957490000000003</v>
      </c>
      <c r="AB4967">
        <v>23</v>
      </c>
      <c r="AC4967">
        <v>13.9818999999999</v>
      </c>
      <c r="AD4967">
        <v>-1.120660368764</v>
      </c>
      <c r="AE4967">
        <v>-3.0067999999999899</v>
      </c>
      <c r="AF4967">
        <v>2.9089092360975202</v>
      </c>
      <c r="AG4967">
        <v>-1.120660368764</v>
      </c>
      <c r="AH4967">
        <v>13.9134398206619</v>
      </c>
      <c r="AI4967">
        <v>94.507903096893699</v>
      </c>
      <c r="AJ4967">
        <v>78.191160813567905</v>
      </c>
      <c r="AK4967">
        <v>14.2583814035518</v>
      </c>
      <c r="AL4967">
        <v>93.649611393061505</v>
      </c>
      <c r="AM4967">
        <v>85.192344989627898</v>
      </c>
      <c r="AN4967">
        <v>1.0000000091516299</v>
      </c>
    </row>
    <row r="4968" spans="1:40" x14ac:dyDescent="0.25">
      <c r="A4968" t="str">
        <f>"20190303153908786"</f>
        <v>20190303153908786</v>
      </c>
      <c r="B4968" t="str">
        <f>"1551598748783851"</f>
        <v>1551598748783851</v>
      </c>
      <c r="C4968" t="s">
        <v>40</v>
      </c>
      <c r="D4968">
        <v>4.8747089999999904</v>
      </c>
      <c r="E4968">
        <v>0.53687609999999997</v>
      </c>
      <c r="F4968" t="s">
        <v>51</v>
      </c>
      <c r="G4968">
        <v>-198.761</v>
      </c>
      <c r="H4968" s="1">
        <v>2.551666E-6</v>
      </c>
      <c r="I4968">
        <v>213.00210000000001</v>
      </c>
      <c r="J4968">
        <v>-212.19239999999999</v>
      </c>
      <c r="K4968">
        <v>1.1205290000000001</v>
      </c>
      <c r="L4968">
        <v>215.7364</v>
      </c>
      <c r="M4968">
        <v>0.9998823</v>
      </c>
      <c r="N4968">
        <v>-1.3713349999999999E-2</v>
      </c>
      <c r="O4968">
        <v>-6.8780059999999999E-3</v>
      </c>
      <c r="P4968">
        <v>0.9926005</v>
      </c>
      <c r="Q4968">
        <v>-7.7572909999999995E-2</v>
      </c>
      <c r="R4968">
        <v>-9.3416890000000002E-2</v>
      </c>
      <c r="S4968">
        <v>2.9491879999999999</v>
      </c>
      <c r="T4968">
        <v>-0.2418391</v>
      </c>
      <c r="U4968">
        <v>-0.59063719999999997</v>
      </c>
      <c r="V4968">
        <v>8.6467999999999906E-2</v>
      </c>
      <c r="W4968">
        <v>-6.4106090000000004E-2</v>
      </c>
      <c r="X4968">
        <v>0.99419000000000002</v>
      </c>
      <c r="Y4968">
        <v>0.1889227</v>
      </c>
      <c r="Z4968">
        <v>-8.5038409999999998E-3</v>
      </c>
      <c r="AA4968">
        <v>0.98195520000000003</v>
      </c>
      <c r="AB4968">
        <v>23</v>
      </c>
      <c r="AC4968">
        <v>13.431399999999901</v>
      </c>
      <c r="AD4968">
        <v>-1.1205264483340001</v>
      </c>
      <c r="AE4968">
        <v>-2.73429999999999</v>
      </c>
      <c r="AF4968">
        <v>2.62430733898025</v>
      </c>
      <c r="AG4968">
        <v>-1.1205264483340001</v>
      </c>
      <c r="AH4968">
        <v>13.3606027095411</v>
      </c>
      <c r="AI4968">
        <v>94.7045802020628</v>
      </c>
      <c r="AJ4968">
        <v>78.887359015156306</v>
      </c>
      <c r="AK4968">
        <v>13.6619278761468</v>
      </c>
      <c r="AL4968">
        <v>93.675528708259705</v>
      </c>
      <c r="AM4968">
        <v>85.029304313466398</v>
      </c>
      <c r="AN4968">
        <v>1.00000003094954</v>
      </c>
    </row>
    <row r="4969" spans="1:40" x14ac:dyDescent="0.25">
      <c r="A4969" t="str">
        <f>"20190303153908810"</f>
        <v>20190303153908810</v>
      </c>
      <c r="B4969" t="str">
        <f>"1551598748803371"</f>
        <v>1551598748803371</v>
      </c>
      <c r="C4969" t="s">
        <v>40</v>
      </c>
      <c r="D4969">
        <v>4.7023849999999996</v>
      </c>
      <c r="E4969">
        <v>0.53678239999999999</v>
      </c>
      <c r="F4969" t="s">
        <v>51</v>
      </c>
      <c r="G4969">
        <v>-199.51079999999999</v>
      </c>
      <c r="H4969" s="1">
        <v>2.3952080000000002E-6</v>
      </c>
      <c r="I4969">
        <v>213.27029999999999</v>
      </c>
      <c r="J4969">
        <v>-211.9631</v>
      </c>
      <c r="K4969">
        <v>1.120393</v>
      </c>
      <c r="L4969">
        <v>215.73339999999999</v>
      </c>
      <c r="M4969">
        <v>0.99987239999999999</v>
      </c>
      <c r="N4969">
        <v>-1.371381E-2</v>
      </c>
      <c r="O4969">
        <v>-8.2014779999999999E-3</v>
      </c>
      <c r="P4969">
        <v>0.99203989999999997</v>
      </c>
      <c r="Q4969">
        <v>-8.0461749999999999E-2</v>
      </c>
      <c r="R4969">
        <v>-9.6865140000000002E-2</v>
      </c>
      <c r="S4969">
        <v>2.9480590000000002</v>
      </c>
      <c r="T4969">
        <v>-0.26048660000000001</v>
      </c>
      <c r="U4969">
        <v>-0.57328800000000002</v>
      </c>
      <c r="V4969">
        <v>8.8579679999999994E-2</v>
      </c>
      <c r="W4969">
        <v>-6.7031499999999994E-2</v>
      </c>
      <c r="X4969">
        <v>0.99381109999999995</v>
      </c>
      <c r="Y4969">
        <v>0.18205830000000001</v>
      </c>
      <c r="Z4969">
        <v>-8.6110660000000006E-3</v>
      </c>
      <c r="AA4969">
        <v>0.98324999999999996</v>
      </c>
      <c r="AB4969">
        <v>23</v>
      </c>
      <c r="AC4969">
        <v>12.452299999999999</v>
      </c>
      <c r="AD4969">
        <v>-1.120390604792</v>
      </c>
      <c r="AE4969">
        <v>-2.4630999999999901</v>
      </c>
      <c r="AF4969">
        <v>2.3426297625699499</v>
      </c>
      <c r="AG4969">
        <v>-1.120390604792</v>
      </c>
      <c r="AH4969">
        <v>12.375670032614799</v>
      </c>
      <c r="AI4969">
        <v>95.083199897847294</v>
      </c>
      <c r="AJ4969">
        <v>79.281125514111096</v>
      </c>
      <c r="AK4969">
        <v>12.6451729156997</v>
      </c>
      <c r="AL4969">
        <v>93.843503841299906</v>
      </c>
      <c r="AM4969">
        <v>84.9066119133049</v>
      </c>
      <c r="AN4969">
        <v>1.00000004209218</v>
      </c>
    </row>
    <row r="4970" spans="1:40" x14ac:dyDescent="0.25">
      <c r="A4970" t="str">
        <f>"20190303153908831"</f>
        <v>20190303153908831</v>
      </c>
      <c r="B4970" t="str">
        <f>"1551598748823867"</f>
        <v>1551598748823867</v>
      </c>
      <c r="C4970" t="s">
        <v>40</v>
      </c>
      <c r="D4970">
        <v>4.7083949999999897</v>
      </c>
      <c r="E4970">
        <v>0.53755719999999996</v>
      </c>
      <c r="F4970" t="s">
        <v>51</v>
      </c>
      <c r="G4970">
        <v>-199.45079999999999</v>
      </c>
      <c r="H4970" s="1">
        <v>2.4069000000000002E-6</v>
      </c>
      <c r="I4970">
        <v>213.25839999999999</v>
      </c>
      <c r="J4970">
        <v>-211.7389</v>
      </c>
      <c r="K4970">
        <v>1.120263</v>
      </c>
      <c r="L4970">
        <v>215.72989999999999</v>
      </c>
      <c r="M4970">
        <v>0.99985900000000005</v>
      </c>
      <c r="N4970">
        <v>-1.3714850000000001E-2</v>
      </c>
      <c r="O4970">
        <v>-9.6980920000000002E-3</v>
      </c>
      <c r="P4970">
        <v>0.99168619999999996</v>
      </c>
      <c r="Q4970">
        <v>-8.2283850000000006E-2</v>
      </c>
      <c r="R4970">
        <v>-9.8933889999999997E-2</v>
      </c>
      <c r="S4970">
        <v>2.94577</v>
      </c>
      <c r="T4970">
        <v>-0.26377430000000002</v>
      </c>
      <c r="U4970">
        <v>-0.58270259999999996</v>
      </c>
      <c r="V4970">
        <v>8.914118E-2</v>
      </c>
      <c r="W4970">
        <v>-6.8882949999999998E-2</v>
      </c>
      <c r="X4970">
        <v>0.99363420000000002</v>
      </c>
      <c r="Y4970">
        <v>0.1837336</v>
      </c>
      <c r="Z4970">
        <v>-8.679595E-3</v>
      </c>
      <c r="AA4970">
        <v>0.98293779999999997</v>
      </c>
      <c r="AB4970">
        <v>23</v>
      </c>
      <c r="AC4970">
        <v>12.2881</v>
      </c>
      <c r="AD4970">
        <v>-1.1202605931</v>
      </c>
      <c r="AE4970">
        <v>-2.47149999999999</v>
      </c>
      <c r="AF4970">
        <v>2.3335605968747801</v>
      </c>
      <c r="AG4970">
        <v>-1.1202605931</v>
      </c>
      <c r="AH4970">
        <v>12.2139264383993</v>
      </c>
      <c r="AI4970">
        <v>95.147902199850407</v>
      </c>
      <c r="AJ4970">
        <v>79.183572566122393</v>
      </c>
      <c r="AK4970">
        <v>12.4852107670783</v>
      </c>
      <c r="AL4970">
        <v>93.9498302207856</v>
      </c>
      <c r="AM4970">
        <v>84.873589093974999</v>
      </c>
      <c r="AN4970">
        <v>0.99999996709106698</v>
      </c>
    </row>
    <row r="4971" spans="1:40" x14ac:dyDescent="0.25">
      <c r="A4971" t="str">
        <f>"20190303153908854"</f>
        <v>20190303153908854</v>
      </c>
      <c r="B4971" t="str">
        <f>"1551598748843387"</f>
        <v>1551598748843387</v>
      </c>
      <c r="C4971" t="s">
        <v>40</v>
      </c>
      <c r="D4971">
        <v>4.7138960000000001</v>
      </c>
      <c r="E4971">
        <v>0.53816560000000002</v>
      </c>
      <c r="F4971" t="s">
        <v>51</v>
      </c>
      <c r="G4971">
        <v>-198.84059999999999</v>
      </c>
      <c r="H4971" s="1">
        <v>2.52692E-6</v>
      </c>
      <c r="I4971">
        <v>213.12370000000001</v>
      </c>
      <c r="J4971">
        <v>-211.5127</v>
      </c>
      <c r="K4971">
        <v>1.1201449999999999</v>
      </c>
      <c r="L4971">
        <v>215.72579999999999</v>
      </c>
      <c r="M4971">
        <v>0.99984110000000004</v>
      </c>
      <c r="N4971">
        <v>-1.371619E-2</v>
      </c>
      <c r="O4971">
        <v>-1.1386230000000001E-2</v>
      </c>
      <c r="P4971">
        <v>0.99155190000000004</v>
      </c>
      <c r="Q4971">
        <v>-8.3153610000000003E-2</v>
      </c>
      <c r="R4971">
        <v>-9.9551589999999995E-2</v>
      </c>
      <c r="S4971">
        <v>2.9445649999999999</v>
      </c>
      <c r="T4971">
        <v>-0.25574599999999997</v>
      </c>
      <c r="U4971">
        <v>-0.59498600000000001</v>
      </c>
      <c r="V4971">
        <v>8.8063080000000002E-2</v>
      </c>
      <c r="W4971">
        <v>-6.9772329999999994E-2</v>
      </c>
      <c r="X4971">
        <v>0.99366829999999995</v>
      </c>
      <c r="Y4971">
        <v>0.1861312</v>
      </c>
      <c r="Z4971">
        <v>-8.4571170000000001E-3</v>
      </c>
      <c r="AA4971">
        <v>0.98248849999999999</v>
      </c>
      <c r="AB4971">
        <v>23</v>
      </c>
      <c r="AC4971">
        <v>12.6721</v>
      </c>
      <c r="AD4971">
        <v>-1.12014247308</v>
      </c>
      <c r="AE4971">
        <v>-2.6020999999999699</v>
      </c>
      <c r="AF4971">
        <v>2.4393414544352798</v>
      </c>
      <c r="AG4971">
        <v>-1.12014247308</v>
      </c>
      <c r="AH4971">
        <v>12.6063936083863</v>
      </c>
      <c r="AI4971">
        <v>94.985686383683699</v>
      </c>
      <c r="AJ4971">
        <v>79.048590851715204</v>
      </c>
      <c r="AK4971">
        <v>12.8889978547941</v>
      </c>
      <c r="AL4971">
        <v>94.000910766562001</v>
      </c>
      <c r="AM4971">
        <v>84.935437909937406</v>
      </c>
      <c r="AN4971">
        <v>0.99999998725880201</v>
      </c>
    </row>
    <row r="4972" spans="1:40" x14ac:dyDescent="0.25">
      <c r="A4972" t="str">
        <f>"20190303153908875"</f>
        <v>20190303153908875</v>
      </c>
      <c r="B4972" t="str">
        <f>"1551598748863883"</f>
        <v>1551598748863883</v>
      </c>
      <c r="C4972" t="s">
        <v>40</v>
      </c>
      <c r="D4972">
        <v>4.8547469999999997</v>
      </c>
      <c r="E4972">
        <v>0.53774829999999996</v>
      </c>
      <c r="F4972" t="s">
        <v>51</v>
      </c>
      <c r="G4972">
        <v>-198.23750000000001</v>
      </c>
      <c r="H4972" s="1">
        <v>2.643487E-6</v>
      </c>
      <c r="I4972">
        <v>213.01400000000001</v>
      </c>
      <c r="J4972">
        <v>-211.28960000000001</v>
      </c>
      <c r="K4972">
        <v>1.120052</v>
      </c>
      <c r="L4972">
        <v>215.72130000000001</v>
      </c>
      <c r="M4972">
        <v>0.99981900000000001</v>
      </c>
      <c r="N4972">
        <v>-1.37173E-2</v>
      </c>
      <c r="O4972">
        <v>-1.3188460000000001E-2</v>
      </c>
      <c r="P4972">
        <v>0.99158939999999995</v>
      </c>
      <c r="Q4972">
        <v>-8.3078899999999997E-2</v>
      </c>
      <c r="R4972">
        <v>-9.9241360000000001E-2</v>
      </c>
      <c r="S4972">
        <v>2.944321</v>
      </c>
      <c r="T4972">
        <v>-0.24843670000000001</v>
      </c>
      <c r="U4972">
        <v>-0.60145569999999904</v>
      </c>
      <c r="V4972">
        <v>8.5948490000000002E-2</v>
      </c>
      <c r="W4972">
        <v>-6.9706439999999995E-2</v>
      </c>
      <c r="X4972">
        <v>0.99385809999999997</v>
      </c>
      <c r="Y4972">
        <v>0.18649160000000001</v>
      </c>
      <c r="Z4972">
        <v>-8.1485919999999996E-3</v>
      </c>
      <c r="AA4972">
        <v>0.98242280000000004</v>
      </c>
      <c r="AB4972">
        <v>23</v>
      </c>
      <c r="AC4972">
        <v>13.0520999999999</v>
      </c>
      <c r="AD4972">
        <v>-1.1200493565130001</v>
      </c>
      <c r="AE4972">
        <v>-2.7073</v>
      </c>
      <c r="AF4972">
        <v>2.5171396146590799</v>
      </c>
      <c r="AG4972">
        <v>-1.1200493565130001</v>
      </c>
      <c r="AH4972">
        <v>12.9949258640873</v>
      </c>
      <c r="AI4972">
        <v>94.836757551784203</v>
      </c>
      <c r="AJ4972">
        <v>79.037468969278194</v>
      </c>
      <c r="AK4972">
        <v>13.283772077758501</v>
      </c>
      <c r="AL4972">
        <v>93.997126175032804</v>
      </c>
      <c r="AM4972">
        <v>85.057378684001904</v>
      </c>
      <c r="AN4972">
        <v>1.0000000268231799</v>
      </c>
    </row>
    <row r="4973" spans="1:40" x14ac:dyDescent="0.25">
      <c r="A4973" t="str">
        <f>"20190303153908898"</f>
        <v>20190303153908898</v>
      </c>
      <c r="B4973" t="str">
        <f>"1551598748894141"</f>
        <v>1551598748894141</v>
      </c>
      <c r="C4973" t="s">
        <v>40</v>
      </c>
      <c r="D4973">
        <v>4.8617819999999998</v>
      </c>
      <c r="E4973">
        <v>0.53614989999999996</v>
      </c>
      <c r="F4973" t="s">
        <v>51</v>
      </c>
      <c r="G4973">
        <v>-198.02619999999999</v>
      </c>
      <c r="H4973" s="1">
        <v>2.6795209999999999E-6</v>
      </c>
      <c r="I4973">
        <v>213.03049999999999</v>
      </c>
      <c r="J4973">
        <v>-211.06299999999999</v>
      </c>
      <c r="K4973">
        <v>1.119982</v>
      </c>
      <c r="L4973">
        <v>215.71610000000001</v>
      </c>
      <c r="M4973">
        <v>0.9997914</v>
      </c>
      <c r="N4973">
        <v>-1.37181E-2</v>
      </c>
      <c r="O4973">
        <v>-1.513307E-2</v>
      </c>
      <c r="P4973">
        <v>0.99160859999999995</v>
      </c>
      <c r="Q4973">
        <v>-8.4187890000000001E-2</v>
      </c>
      <c r="R4973">
        <v>-9.8106490000000005E-2</v>
      </c>
      <c r="S4973">
        <v>2.9448240000000001</v>
      </c>
      <c r="T4973">
        <v>-0.2486805</v>
      </c>
      <c r="U4973">
        <v>-0.5974121</v>
      </c>
      <c r="V4973">
        <v>8.2867640000000006E-2</v>
      </c>
      <c r="W4973">
        <v>-7.0816470000000006E-2</v>
      </c>
      <c r="X4973">
        <v>0.99404130000000002</v>
      </c>
      <c r="Y4973">
        <v>0.18326809999999999</v>
      </c>
      <c r="Z4973">
        <v>-7.8621950000000006E-3</v>
      </c>
      <c r="AA4973">
        <v>0.98303149999999995</v>
      </c>
      <c r="AB4973">
        <v>23</v>
      </c>
      <c r="AC4973">
        <v>13.036799999999999</v>
      </c>
      <c r="AD4973">
        <v>-1.1199793204790001</v>
      </c>
      <c r="AE4973">
        <v>-2.68560000000002</v>
      </c>
      <c r="AF4973">
        <v>2.47049612629145</v>
      </c>
      <c r="AG4973">
        <v>-1.1199793204790001</v>
      </c>
      <c r="AH4973">
        <v>12.9840261865124</v>
      </c>
      <c r="AI4973">
        <v>94.843557678187494</v>
      </c>
      <c r="AJ4973">
        <v>79.226994354176796</v>
      </c>
      <c r="AK4973">
        <v>13.2643371790814</v>
      </c>
      <c r="AL4973">
        <v>94.060883637010406</v>
      </c>
      <c r="AM4973">
        <v>85.234591548050702</v>
      </c>
      <c r="AN4973">
        <v>1.0000000621440499</v>
      </c>
    </row>
    <row r="4974" spans="1:40" x14ac:dyDescent="0.25">
      <c r="A4974" t="str">
        <f>"20190303153908920"</f>
        <v>20190303153908920</v>
      </c>
      <c r="B4974" t="str">
        <f>"1551598748913663"</f>
        <v>1551598748913663</v>
      </c>
      <c r="C4974" t="s">
        <v>40</v>
      </c>
      <c r="D4974">
        <v>4.8888509999999998</v>
      </c>
      <c r="E4974">
        <v>0.53533839999999999</v>
      </c>
      <c r="F4974" t="s">
        <v>51</v>
      </c>
      <c r="G4974">
        <v>-198.7218</v>
      </c>
      <c r="H4974" s="1">
        <v>2.5343119999999999E-6</v>
      </c>
      <c r="I4974">
        <v>213.28</v>
      </c>
      <c r="J4974">
        <v>-210.83529999999999</v>
      </c>
      <c r="K4974">
        <v>1.119926</v>
      </c>
      <c r="L4974">
        <v>215.71029999999999</v>
      </c>
      <c r="M4974">
        <v>0.99975840000000005</v>
      </c>
      <c r="N4974">
        <v>-1.371852E-2</v>
      </c>
      <c r="O4974">
        <v>-1.7185329999999999E-2</v>
      </c>
      <c r="P4974">
        <v>0.99151250000000002</v>
      </c>
      <c r="Q4974">
        <v>-8.6079199999999995E-2</v>
      </c>
      <c r="R4974">
        <v>-9.7435380000000002E-2</v>
      </c>
      <c r="S4974">
        <v>2.9451450000000001</v>
      </c>
      <c r="T4974">
        <v>-0.26727600000000001</v>
      </c>
      <c r="U4974">
        <v>-0.58134459999999999</v>
      </c>
      <c r="V4974">
        <v>8.0145499999999995E-2</v>
      </c>
      <c r="W4974">
        <v>-7.2707350000000004E-2</v>
      </c>
      <c r="X4974">
        <v>0.99412789999999995</v>
      </c>
      <c r="Y4974">
        <v>0.17600839999999901</v>
      </c>
      <c r="Z4974">
        <v>-7.8083859999999996E-3</v>
      </c>
      <c r="AA4974">
        <v>0.9843577</v>
      </c>
      <c r="AB4974">
        <v>23</v>
      </c>
      <c r="AC4974">
        <v>12.113499999999901</v>
      </c>
      <c r="AD4974">
        <v>-1.1199234656879999</v>
      </c>
      <c r="AE4974">
        <v>-2.4302999999999799</v>
      </c>
      <c r="AF4974">
        <v>2.2036402620906701</v>
      </c>
      <c r="AG4974">
        <v>-1.1199234656879999</v>
      </c>
      <c r="AH4974">
        <v>12.0544321519604</v>
      </c>
      <c r="AI4974">
        <v>95.221813075323894</v>
      </c>
      <c r="AJ4974">
        <v>79.640294804090999</v>
      </c>
      <c r="AK4974">
        <v>12.3052668999873</v>
      </c>
      <c r="AL4974">
        <v>94.169503515896395</v>
      </c>
      <c r="AM4974">
        <v>85.390845494618404</v>
      </c>
      <c r="AN4974">
        <v>0.99999997073633995</v>
      </c>
    </row>
    <row r="4975" spans="1:40" x14ac:dyDescent="0.25">
      <c r="A4975" t="str">
        <f>"20190303153908942"</f>
        <v>20190303153908942</v>
      </c>
      <c r="B4975" t="str">
        <f>"1551598748933179"</f>
        <v>1551598748933179</v>
      </c>
      <c r="C4975" t="s">
        <v>40</v>
      </c>
      <c r="D4975">
        <v>4.7643339999999998</v>
      </c>
      <c r="E4975">
        <v>0.53533730000000002</v>
      </c>
      <c r="F4975" t="s">
        <v>51</v>
      </c>
      <c r="G4975">
        <v>-199.08619999999999</v>
      </c>
      <c r="H4975" s="1">
        <v>2.4570380000000001E-6</v>
      </c>
      <c r="I4975">
        <v>213.4247</v>
      </c>
      <c r="J4975">
        <v>-210.60669999999999</v>
      </c>
      <c r="K4975">
        <v>1.1198809999999999</v>
      </c>
      <c r="L4975">
        <v>215.70400000000001</v>
      </c>
      <c r="M4975">
        <v>0.99971949999999998</v>
      </c>
      <c r="N4975">
        <v>-1.371843E-2</v>
      </c>
      <c r="O4975">
        <v>-1.9315769999999999E-2</v>
      </c>
      <c r="P4975">
        <v>0.99146389999999995</v>
      </c>
      <c r="Q4975">
        <v>-8.6498050000000007E-2</v>
      </c>
      <c r="R4975">
        <v>-9.7559530000000005E-2</v>
      </c>
      <c r="S4975">
        <v>2.9450229999999999</v>
      </c>
      <c r="T4975">
        <v>-0.28072000000000003</v>
      </c>
      <c r="U4975">
        <v>-0.57290649999999999</v>
      </c>
      <c r="V4975">
        <v>7.8146549999999995E-2</v>
      </c>
      <c r="W4975">
        <v>-7.3124839999999997E-2</v>
      </c>
      <c r="X4975">
        <v>0.99425640000000004</v>
      </c>
      <c r="Y4975">
        <v>0.17115999999999901</v>
      </c>
      <c r="Z4975">
        <v>-7.6949319999999998E-3</v>
      </c>
      <c r="AA4975">
        <v>0.98521320000000001</v>
      </c>
      <c r="AB4975">
        <v>23</v>
      </c>
      <c r="AC4975">
        <v>11.520499999999901</v>
      </c>
      <c r="AD4975">
        <v>-1.119878542962</v>
      </c>
      <c r="AE4975">
        <v>-2.2793000000000001</v>
      </c>
      <c r="AF4975">
        <v>2.0377960676948201</v>
      </c>
      <c r="AG4975">
        <v>-1.119878542962</v>
      </c>
      <c r="AH4975">
        <v>11.458187576177499</v>
      </c>
      <c r="AI4975">
        <v>95.496429933720293</v>
      </c>
      <c r="AJ4975">
        <v>79.915597260858505</v>
      </c>
      <c r="AK4975">
        <v>11.6917408154375</v>
      </c>
      <c r="AL4975">
        <v>94.193487832756901</v>
      </c>
      <c r="AM4975">
        <v>85.505906265540403</v>
      </c>
      <c r="AN4975">
        <v>0.99999995722144297</v>
      </c>
    </row>
    <row r="4976" spans="1:40" x14ac:dyDescent="0.25">
      <c r="A4976" t="str">
        <f>"20190303153908964"</f>
        <v>20190303153908964</v>
      </c>
      <c r="B4976" t="str">
        <f>"1551598748953675"</f>
        <v>1551598748953675</v>
      </c>
      <c r="C4976" t="s">
        <v>40</v>
      </c>
      <c r="D4976">
        <v>4.7580839999999904</v>
      </c>
      <c r="E4976">
        <v>0.53589299999999995</v>
      </c>
      <c r="F4976" t="s">
        <v>51</v>
      </c>
      <c r="G4976">
        <v>-198.90260000000001</v>
      </c>
      <c r="H4976" s="1">
        <v>2.4894490000000001E-6</v>
      </c>
      <c r="I4976">
        <v>213.4265</v>
      </c>
      <c r="J4976">
        <v>-210.386</v>
      </c>
      <c r="K4976">
        <v>1.1198539999999999</v>
      </c>
      <c r="L4976">
        <v>215.69730000000001</v>
      </c>
      <c r="M4976">
        <v>0.99967660000000003</v>
      </c>
      <c r="N4976">
        <v>-1.3717989999999999E-2</v>
      </c>
      <c r="O4976">
        <v>-2.1413290000000001E-2</v>
      </c>
      <c r="P4976">
        <v>0.99132719999999996</v>
      </c>
      <c r="Q4976">
        <v>-8.6209469999999996E-2</v>
      </c>
      <c r="R4976">
        <v>-9.9188600000000002E-2</v>
      </c>
      <c r="S4976">
        <v>2.9448699999999999</v>
      </c>
      <c r="T4976">
        <v>-0.281773</v>
      </c>
      <c r="U4976">
        <v>-0.5730286</v>
      </c>
      <c r="V4976">
        <v>7.7691060000000006E-2</v>
      </c>
      <c r="W4976">
        <v>-7.283887E-2</v>
      </c>
      <c r="X4976">
        <v>0.99431309999999995</v>
      </c>
      <c r="Y4976">
        <v>0.1691531</v>
      </c>
      <c r="Z4976">
        <v>-7.4400000000000004E-3</v>
      </c>
      <c r="AA4976">
        <v>0.98556169999999998</v>
      </c>
      <c r="AB4976">
        <v>23</v>
      </c>
      <c r="AC4976">
        <v>11.4833999999999</v>
      </c>
      <c r="AD4976">
        <v>-1.1198515105509901</v>
      </c>
      <c r="AE4976">
        <v>-2.2707999999999999</v>
      </c>
      <c r="AF4976">
        <v>2.00599959500726</v>
      </c>
      <c r="AG4976">
        <v>-1.1198515105509901</v>
      </c>
      <c r="AH4976">
        <v>11.424835039232301</v>
      </c>
      <c r="AI4976">
        <v>95.514370450746796</v>
      </c>
      <c r="AJ4976">
        <v>80.041381952548207</v>
      </c>
      <c r="AK4976">
        <v>11.6535384091924</v>
      </c>
      <c r="AL4976">
        <v>94.177059088087404</v>
      </c>
      <c r="AM4976">
        <v>85.532248207853897</v>
      </c>
      <c r="AN4976">
        <v>0.99999997130920404</v>
      </c>
    </row>
    <row r="4977" spans="1:40" x14ac:dyDescent="0.25">
      <c r="A4977" t="str">
        <f>"20190303153908987"</f>
        <v>20190303153908987</v>
      </c>
      <c r="B4977" t="str">
        <f>"1551598748983931"</f>
        <v>1551598748983931</v>
      </c>
      <c r="C4977" t="s">
        <v>40</v>
      </c>
      <c r="D4977">
        <v>4.9126279999999998</v>
      </c>
      <c r="E4977">
        <v>0.53627599999999997</v>
      </c>
      <c r="F4977" t="s">
        <v>51</v>
      </c>
      <c r="G4977">
        <v>-198.3981</v>
      </c>
      <c r="H4977" s="1">
        <v>2.587738E-6</v>
      </c>
      <c r="I4977">
        <v>213.32570000000001</v>
      </c>
      <c r="J4977">
        <v>-210.15710000000001</v>
      </c>
      <c r="K4977">
        <v>1.119845</v>
      </c>
      <c r="L4977">
        <v>215.68989999999999</v>
      </c>
      <c r="M4977">
        <v>0.99962720000000005</v>
      </c>
      <c r="N4977">
        <v>-1.3717180000000001E-2</v>
      </c>
      <c r="O4977">
        <v>-2.360951E-2</v>
      </c>
      <c r="P4977">
        <v>0.99097670000000004</v>
      </c>
      <c r="Q4977">
        <v>-8.6915060000000002E-2</v>
      </c>
      <c r="R4977">
        <v>-0.1020369</v>
      </c>
      <c r="S4977">
        <v>2.944061</v>
      </c>
      <c r="T4977">
        <v>-0.27501989999999998</v>
      </c>
      <c r="U4977">
        <v>-0.58242799999999995</v>
      </c>
      <c r="V4977">
        <v>7.8359730000000002E-2</v>
      </c>
      <c r="W4977">
        <v>-7.3551350000000001E-2</v>
      </c>
      <c r="X4977">
        <v>0.99420819999999999</v>
      </c>
      <c r="Y4977">
        <v>0.1701049</v>
      </c>
      <c r="Z4977">
        <v>-7.175168E-3</v>
      </c>
      <c r="AA4977">
        <v>0.98539980000000005</v>
      </c>
      <c r="AB4977">
        <v>23</v>
      </c>
      <c r="AC4977">
        <v>11.759</v>
      </c>
      <c r="AD4977">
        <v>-1.1198424122620001</v>
      </c>
      <c r="AE4977">
        <v>-2.3641999999999799</v>
      </c>
      <c r="AF4977">
        <v>2.0678651175485201</v>
      </c>
      <c r="AG4977">
        <v>-1.1198424122620001</v>
      </c>
      <c r="AH4977">
        <v>11.7094739285695</v>
      </c>
      <c r="AI4977">
        <v>95.380150374080998</v>
      </c>
      <c r="AJ4977">
        <v>79.984962305518707</v>
      </c>
      <c r="AK4977">
        <v>11.9432781453219</v>
      </c>
      <c r="AL4977">
        <v>94.217990874068093</v>
      </c>
      <c r="AM4977">
        <v>85.4934794529089</v>
      </c>
      <c r="AN4977">
        <v>0.99999999665986705</v>
      </c>
    </row>
    <row r="4978" spans="1:40" x14ac:dyDescent="0.25">
      <c r="A4978" t="str">
        <f>"20190303153909011"</f>
        <v>20190303153909011</v>
      </c>
      <c r="B4978" t="str">
        <f>"1551598749003451"</f>
        <v>1551598749003451</v>
      </c>
      <c r="C4978" t="s">
        <v>40</v>
      </c>
      <c r="D4978">
        <v>4.7709599999999996</v>
      </c>
      <c r="E4978">
        <v>0.53679509999999997</v>
      </c>
      <c r="F4978" t="s">
        <v>51</v>
      </c>
      <c r="G4978">
        <v>-198.1738</v>
      </c>
      <c r="H4978" s="1">
        <v>2.6322700000000002E-6</v>
      </c>
      <c r="I4978">
        <v>213.2715</v>
      </c>
      <c r="J4978">
        <v>-209.92400000000001</v>
      </c>
      <c r="K4978">
        <v>1.1198300000000001</v>
      </c>
      <c r="L4978">
        <v>215.68170000000001</v>
      </c>
      <c r="M4978">
        <v>0.99957169999999895</v>
      </c>
      <c r="N4978">
        <v>-1.371581E-2</v>
      </c>
      <c r="O4978">
        <v>-2.5850850000000002E-2</v>
      </c>
      <c r="P4978">
        <v>0.9903613</v>
      </c>
      <c r="Q4978">
        <v>-8.8929140000000004E-2</v>
      </c>
      <c r="R4978">
        <v>-0.1061897</v>
      </c>
      <c r="S4978">
        <v>2.942078</v>
      </c>
      <c r="T4978">
        <v>-0.27493820000000002</v>
      </c>
      <c r="U4978">
        <v>-0.59375</v>
      </c>
      <c r="V4978">
        <v>8.0293530000000002E-2</v>
      </c>
      <c r="W4978">
        <v>-7.5577409999999998E-2</v>
      </c>
      <c r="X4978">
        <v>0.9939019</v>
      </c>
      <c r="Y4978">
        <v>0.17166779999999901</v>
      </c>
      <c r="Z4978">
        <v>-7.0821219999999997E-3</v>
      </c>
      <c r="AA4978">
        <v>0.98512940000000004</v>
      </c>
      <c r="AB4978">
        <v>23</v>
      </c>
      <c r="AC4978">
        <v>11.7502</v>
      </c>
      <c r="AD4978">
        <v>-1.1198273677299999</v>
      </c>
      <c r="AE4978">
        <v>-2.4102000000000001</v>
      </c>
      <c r="AF4978">
        <v>2.0874193781385499</v>
      </c>
      <c r="AG4978">
        <v>-1.1198273677299999</v>
      </c>
      <c r="AH4978">
        <v>11.7065507485314</v>
      </c>
      <c r="AI4978">
        <v>95.379836351040595</v>
      </c>
      <c r="AJ4978">
        <v>79.889729541515607</v>
      </c>
      <c r="AK4978">
        <v>11.943812767357199</v>
      </c>
      <c r="AL4978">
        <v>94.334399663396994</v>
      </c>
      <c r="AM4978">
        <v>85.381323650118802</v>
      </c>
      <c r="AN4978">
        <v>0.99999999134288897</v>
      </c>
    </row>
    <row r="4979" spans="1:40" x14ac:dyDescent="0.25">
      <c r="A4979" t="str">
        <f>"20190303153909032"</f>
        <v>20190303153909032</v>
      </c>
      <c r="B4979" t="str">
        <f>"1551598749023948"</f>
        <v>1551598749023948</v>
      </c>
      <c r="C4979" t="s">
        <v>40</v>
      </c>
      <c r="D4979">
        <v>4.8045390000000001</v>
      </c>
      <c r="E4979">
        <v>0.53688819999999904</v>
      </c>
      <c r="F4979" t="s">
        <v>51</v>
      </c>
      <c r="G4979">
        <v>-198.00960000000001</v>
      </c>
      <c r="H4979" s="1">
        <v>2.6669409999999999E-6</v>
      </c>
      <c r="I4979">
        <v>213.2081</v>
      </c>
      <c r="J4979">
        <v>-209.70429999999999</v>
      </c>
      <c r="K4979">
        <v>1.1198319999999999</v>
      </c>
      <c r="L4979">
        <v>215.67349999999999</v>
      </c>
      <c r="M4979">
        <v>0.99951509999999999</v>
      </c>
      <c r="N4979">
        <v>-1.371403E-2</v>
      </c>
      <c r="O4979">
        <v>-2.796131E-2</v>
      </c>
      <c r="P4979">
        <v>0.98957969999999895</v>
      </c>
      <c r="Q4979">
        <v>-9.1965240000000004E-2</v>
      </c>
      <c r="R4979">
        <v>-0.1107918</v>
      </c>
      <c r="S4979">
        <v>2.9389500000000002</v>
      </c>
      <c r="T4979">
        <v>-0.27622970000000002</v>
      </c>
      <c r="U4979">
        <v>-0.6101685</v>
      </c>
      <c r="V4979">
        <v>8.2811540000000003E-2</v>
      </c>
      <c r="W4979">
        <v>-7.8627639999999999E-2</v>
      </c>
      <c r="X4979">
        <v>0.99345859999999997</v>
      </c>
      <c r="Y4979">
        <v>0.175055399999999</v>
      </c>
      <c r="Z4979">
        <v>-7.1249019999999998E-3</v>
      </c>
      <c r="AA4979">
        <v>0.98453279999999999</v>
      </c>
      <c r="AB4979">
        <v>22</v>
      </c>
      <c r="AC4979">
        <v>11.6946999999999</v>
      </c>
      <c r="AD4979">
        <v>-1.1198293330589999</v>
      </c>
      <c r="AE4979">
        <v>-2.4653999999999798</v>
      </c>
      <c r="AF4979">
        <v>2.11880521278295</v>
      </c>
      <c r="AG4979">
        <v>-1.1198293330589999</v>
      </c>
      <c r="AH4979">
        <v>11.656735332988699</v>
      </c>
      <c r="AI4979">
        <v>95.3994664269254</v>
      </c>
      <c r="AJ4979">
        <v>79.698014098735698</v>
      </c>
      <c r="AK4979">
        <v>11.9005391427549</v>
      </c>
      <c r="AL4979">
        <v>94.509686695080305</v>
      </c>
      <c r="AM4979">
        <v>85.2350224610297</v>
      </c>
      <c r="AN4979">
        <v>1.00000002342155</v>
      </c>
    </row>
    <row r="4980" spans="1:40" x14ac:dyDescent="0.25">
      <c r="A4980" t="str">
        <f>"20190303153909055"</f>
        <v>20190303153909055</v>
      </c>
      <c r="B4980" t="str">
        <f>"1551598749043468"</f>
        <v>1551598749043468</v>
      </c>
      <c r="C4980" t="s">
        <v>40</v>
      </c>
      <c r="D4980">
        <v>4.9419380000000004</v>
      </c>
      <c r="E4980">
        <v>0.53657100000000002</v>
      </c>
      <c r="F4980" t="s">
        <v>51</v>
      </c>
      <c r="G4980">
        <v>-198.18770000000001</v>
      </c>
      <c r="H4980" s="1">
        <v>2.6341290000000001E-6</v>
      </c>
      <c r="I4980">
        <v>213.22210000000001</v>
      </c>
      <c r="J4980">
        <v>-209.48400000000001</v>
      </c>
      <c r="K4980">
        <v>1.119847</v>
      </c>
      <c r="L4980">
        <v>215.66480000000001</v>
      </c>
      <c r="M4980">
        <v>0.9994537</v>
      </c>
      <c r="N4980">
        <v>-1.3712190000000001E-2</v>
      </c>
      <c r="O4980">
        <v>-3.0068910000000001E-2</v>
      </c>
      <c r="P4980">
        <v>0.9888808</v>
      </c>
      <c r="Q4980">
        <v>-9.3730610000000006E-2</v>
      </c>
      <c r="R4980">
        <v>-0.11545229999999999</v>
      </c>
      <c r="S4980">
        <v>2.9351039999999999</v>
      </c>
      <c r="T4980">
        <v>-0.28539819999999999</v>
      </c>
      <c r="U4980">
        <v>-0.62475590000000003</v>
      </c>
      <c r="V4980">
        <v>8.5396159999999999E-2</v>
      </c>
      <c r="W4980">
        <v>-8.0404760000000006E-2</v>
      </c>
      <c r="X4980">
        <v>0.99309749999999997</v>
      </c>
      <c r="Y4980">
        <v>0.1778662</v>
      </c>
      <c r="Z4980">
        <v>-7.2935680000000003E-3</v>
      </c>
      <c r="AA4980">
        <v>0.98402769999999995</v>
      </c>
      <c r="AB4980">
        <v>22</v>
      </c>
      <c r="AC4980">
        <v>11.2963</v>
      </c>
      <c r="AD4980">
        <v>-1.119844365871</v>
      </c>
      <c r="AE4980">
        <v>-2.4426999999999999</v>
      </c>
      <c r="AF4980">
        <v>2.0823457852815199</v>
      </c>
      <c r="AG4980">
        <v>-1.119844365871</v>
      </c>
      <c r="AH4980">
        <v>11.258942852712201</v>
      </c>
      <c r="AI4980">
        <v>95.585987603251894</v>
      </c>
      <c r="AJ4980">
        <v>79.5215306852851</v>
      </c>
      <c r="AK4980">
        <v>11.504521264872</v>
      </c>
      <c r="AL4980">
        <v>94.611831553519707</v>
      </c>
      <c r="AM4980">
        <v>85.085242703608301</v>
      </c>
      <c r="AN4980">
        <v>1.0000000370398201</v>
      </c>
    </row>
    <row r="4981" spans="1:40" x14ac:dyDescent="0.25">
      <c r="A4981" t="str">
        <f>"20190303153909077"</f>
        <v>20190303153909077</v>
      </c>
      <c r="B4981" t="str">
        <f>"1551598749074067"</f>
        <v>1551598749074067</v>
      </c>
      <c r="C4981" t="s">
        <v>40</v>
      </c>
      <c r="D4981">
        <v>4.7897210000000001</v>
      </c>
      <c r="E4981">
        <v>0.5365335</v>
      </c>
      <c r="F4981" t="s">
        <v>51</v>
      </c>
      <c r="G4981">
        <v>-198.36240000000001</v>
      </c>
      <c r="H4981" s="1">
        <v>2.6005069999999999E-6</v>
      </c>
      <c r="I4981">
        <v>213.25219999999999</v>
      </c>
      <c r="J4981">
        <v>-209.2593</v>
      </c>
      <c r="K4981">
        <v>1.1198629999999901</v>
      </c>
      <c r="L4981">
        <v>215.65549999999999</v>
      </c>
      <c r="M4981">
        <v>0.99938720000000003</v>
      </c>
      <c r="N4981">
        <v>-1.3710170000000001E-2</v>
      </c>
      <c r="O4981">
        <v>-3.2208299999999898E-2</v>
      </c>
      <c r="P4981">
        <v>0.98838919999999997</v>
      </c>
      <c r="Q4981">
        <v>-9.3787629999999997E-2</v>
      </c>
      <c r="R4981">
        <v>-0.1195447</v>
      </c>
      <c r="S4981">
        <v>2.9315030000000002</v>
      </c>
      <c r="T4981">
        <v>-0.29517539999999998</v>
      </c>
      <c r="U4981">
        <v>-0.63594059999999997</v>
      </c>
      <c r="V4981">
        <v>8.738245E-2</v>
      </c>
      <c r="W4981">
        <v>-8.0468419999999999E-2</v>
      </c>
      <c r="X4981">
        <v>0.99291949999999995</v>
      </c>
      <c r="Y4981">
        <v>0.17954020000000001</v>
      </c>
      <c r="Z4981">
        <v>-7.4029309999999997E-3</v>
      </c>
      <c r="AA4981">
        <v>0.98372280000000001</v>
      </c>
      <c r="AB4981">
        <v>22</v>
      </c>
      <c r="AC4981">
        <v>10.896899999999899</v>
      </c>
      <c r="AD4981">
        <v>-1.1198603994930001</v>
      </c>
      <c r="AE4981">
        <v>-2.4033000000000002</v>
      </c>
      <c r="AF4981">
        <v>2.0305980948309998</v>
      </c>
      <c r="AG4981">
        <v>-1.1198603994930001</v>
      </c>
      <c r="AH4981">
        <v>10.859289406212399</v>
      </c>
      <c r="AI4981">
        <v>95.788168289953802</v>
      </c>
      <c r="AJ4981">
        <v>79.408476010361099</v>
      </c>
      <c r="AK4981">
        <v>11.1041245645463</v>
      </c>
      <c r="AL4981">
        <v>94.615491048147206</v>
      </c>
      <c r="AM4981">
        <v>84.970609536401</v>
      </c>
      <c r="AN4981">
        <v>0.99999999633277403</v>
      </c>
    </row>
    <row r="4982" spans="1:40" x14ac:dyDescent="0.25">
      <c r="A4982" t="str">
        <f>"20190303153909099"</f>
        <v>20190303153909099</v>
      </c>
      <c r="B4982" t="str">
        <f>"1551598749093586"</f>
        <v>1551598749093586</v>
      </c>
      <c r="C4982" t="s">
        <v>40</v>
      </c>
      <c r="D4982">
        <v>4.9765350000000002</v>
      </c>
      <c r="E4982">
        <v>0.53625259999999997</v>
      </c>
      <c r="F4982" t="s">
        <v>51</v>
      </c>
      <c r="G4982">
        <v>-198.24170000000001</v>
      </c>
      <c r="H4982" s="1">
        <v>2.6248459999999998E-6</v>
      </c>
      <c r="I4982">
        <v>213.21870000000001</v>
      </c>
      <c r="J4982">
        <v>-209.03569999999999</v>
      </c>
      <c r="K4982">
        <v>1.1198790000000001</v>
      </c>
      <c r="L4982">
        <v>215.64580000000001</v>
      </c>
      <c r="M4982">
        <v>0.99931680000000001</v>
      </c>
      <c r="N4982">
        <v>-1.370795E-2</v>
      </c>
      <c r="O4982">
        <v>-3.4323640000000002E-2</v>
      </c>
      <c r="P4982">
        <v>0.988012</v>
      </c>
      <c r="Q4982">
        <v>-9.3310619999999997E-2</v>
      </c>
      <c r="R4982">
        <v>-0.12298580000000001</v>
      </c>
      <c r="S4982">
        <v>2.9286500000000002</v>
      </c>
      <c r="T4982">
        <v>-0.29767680000000002</v>
      </c>
      <c r="U4982">
        <v>-0.64776610000000001</v>
      </c>
      <c r="V4982">
        <v>8.8740180000000002E-2</v>
      </c>
      <c r="W4982">
        <v>-7.99951E-2</v>
      </c>
      <c r="X4982">
        <v>0.99283730000000003</v>
      </c>
      <c r="Y4982">
        <v>0.1814297</v>
      </c>
      <c r="Z4982">
        <v>-7.3793399999999999E-3</v>
      </c>
      <c r="AA4982">
        <v>0.98337629999999998</v>
      </c>
      <c r="AB4982">
        <v>22</v>
      </c>
      <c r="AC4982">
        <v>10.793999999999899</v>
      </c>
      <c r="AD4982">
        <v>-1.119876375154</v>
      </c>
      <c r="AE4982">
        <v>-2.42709999999999</v>
      </c>
      <c r="AF4982">
        <v>2.0343019876572099</v>
      </c>
      <c r="AG4982">
        <v>-1.119876375154</v>
      </c>
      <c r="AH4982">
        <v>10.760699275742001</v>
      </c>
      <c r="AI4982">
        <v>95.838750698892497</v>
      </c>
      <c r="AJ4982">
        <v>79.294618754032101</v>
      </c>
      <c r="AK4982">
        <v>11.0084129907797</v>
      </c>
      <c r="AL4982">
        <v>94.588284222095893</v>
      </c>
      <c r="AM4982">
        <v>84.892453466729194</v>
      </c>
      <c r="AN4982">
        <v>0.99999996992086504</v>
      </c>
    </row>
    <row r="4983" spans="1:40" x14ac:dyDescent="0.25">
      <c r="A4983" t="str">
        <f>"20190303153909121"</f>
        <v>20190303153909121</v>
      </c>
      <c r="B4983" t="str">
        <f>"1551598749113106"</f>
        <v>1551598749113106</v>
      </c>
      <c r="C4983" t="s">
        <v>40</v>
      </c>
      <c r="D4983">
        <v>4.7728609999999998</v>
      </c>
      <c r="E4983">
        <v>0.53630929999999999</v>
      </c>
      <c r="F4983" t="s">
        <v>51</v>
      </c>
      <c r="G4983">
        <v>-198.1217</v>
      </c>
      <c r="H4983" s="1">
        <v>2.6477169999999999E-6</v>
      </c>
      <c r="I4983">
        <v>213.2004</v>
      </c>
      <c r="J4983">
        <v>-208.81389999999999</v>
      </c>
      <c r="K4983">
        <v>1.1198950000000001</v>
      </c>
      <c r="L4983">
        <v>215.63570000000001</v>
      </c>
      <c r="M4983">
        <v>0.99924299999999999</v>
      </c>
      <c r="N4983">
        <v>-1.370561E-2</v>
      </c>
      <c r="O4983">
        <v>-3.6411039999999999E-2</v>
      </c>
      <c r="P4983">
        <v>0.98773169999999999</v>
      </c>
      <c r="Q4983">
        <v>-9.292156E-2</v>
      </c>
      <c r="R4983">
        <v>-0.12550639999999999</v>
      </c>
      <c r="S4983">
        <v>2.9264070000000002</v>
      </c>
      <c r="T4983">
        <v>-0.3002765</v>
      </c>
      <c r="U4983">
        <v>-0.65568539999999997</v>
      </c>
      <c r="V4983">
        <v>8.9201899999999903E-2</v>
      </c>
      <c r="W4983">
        <v>-7.9606590000000005E-2</v>
      </c>
      <c r="X4983">
        <v>0.99282720000000002</v>
      </c>
      <c r="Y4983">
        <v>0.18205969999999999</v>
      </c>
      <c r="Z4983">
        <v>-7.2850709999999997E-3</v>
      </c>
      <c r="AA4983">
        <v>0.98326049999999998</v>
      </c>
      <c r="AB4983">
        <v>22</v>
      </c>
      <c r="AC4983">
        <v>10.6921999999999</v>
      </c>
      <c r="AD4983">
        <v>-1.119892352283</v>
      </c>
      <c r="AE4983">
        <v>-2.43530000000001</v>
      </c>
      <c r="AF4983">
        <v>2.02323335375588</v>
      </c>
      <c r="AG4983">
        <v>-1.119892352283</v>
      </c>
      <c r="AH4983">
        <v>10.662585858720099</v>
      </c>
      <c r="AI4983">
        <v>95.891433682663006</v>
      </c>
      <c r="AJ4983">
        <v>79.255818541206295</v>
      </c>
      <c r="AK4983">
        <v>10.910470625918499</v>
      </c>
      <c r="AL4983">
        <v>94.565952797189595</v>
      </c>
      <c r="AM4983">
        <v>84.865968328763202</v>
      </c>
      <c r="AN4983">
        <v>1.00000001859743</v>
      </c>
    </row>
    <row r="4984" spans="1:40" x14ac:dyDescent="0.25">
      <c r="A4984" t="str">
        <f>"20190303153909144"</f>
        <v>20190303153909144</v>
      </c>
      <c r="B4984" t="str">
        <f>"1551598749133602"</f>
        <v>1551598749133602</v>
      </c>
      <c r="C4984" t="s">
        <v>40</v>
      </c>
      <c r="D4984">
        <v>4.9121750000000004</v>
      </c>
      <c r="E4984">
        <v>0.53654679999999999</v>
      </c>
      <c r="F4984" t="s">
        <v>51</v>
      </c>
      <c r="G4984">
        <v>-197.8364</v>
      </c>
      <c r="H4984" s="1">
        <v>2.7031669999999999E-6</v>
      </c>
      <c r="I4984">
        <v>213.14519999999999</v>
      </c>
      <c r="J4984">
        <v>-208.58680000000001</v>
      </c>
      <c r="K4984">
        <v>1.119902</v>
      </c>
      <c r="L4984">
        <v>215.6249</v>
      </c>
      <c r="M4984">
        <v>0.99916309999999997</v>
      </c>
      <c r="N4984">
        <v>-1.370331E-2</v>
      </c>
      <c r="O4984">
        <v>-3.8541539999999999E-2</v>
      </c>
      <c r="P4984">
        <v>0.98728720000000003</v>
      </c>
      <c r="Q4984">
        <v>-9.3020839999999994E-2</v>
      </c>
      <c r="R4984">
        <v>-0.128885</v>
      </c>
      <c r="S4984">
        <v>2.9248959999999999</v>
      </c>
      <c r="T4984">
        <v>-0.29838799999999999</v>
      </c>
      <c r="U4984">
        <v>-0.663574199999999</v>
      </c>
      <c r="V4984">
        <v>9.0482549999999995E-2</v>
      </c>
      <c r="W4984">
        <v>-7.9711290000000004E-2</v>
      </c>
      <c r="X4984">
        <v>0.99270290000000005</v>
      </c>
      <c r="Y4984">
        <v>0.1826103</v>
      </c>
      <c r="Z4984">
        <v>-7.0984129999999996E-3</v>
      </c>
      <c r="AA4984">
        <v>0.98315980000000003</v>
      </c>
      <c r="AB4984">
        <v>22</v>
      </c>
      <c r="AC4984">
        <v>10.750400000000001</v>
      </c>
      <c r="AD4984">
        <v>-1.1198992968329999</v>
      </c>
      <c r="AE4984">
        <v>-2.4796999999999998</v>
      </c>
      <c r="AF4984">
        <v>2.0424365946950598</v>
      </c>
      <c r="AG4984">
        <v>-1.1198992968329999</v>
      </c>
      <c r="AH4984">
        <v>10.727458154610799</v>
      </c>
      <c r="AI4984">
        <v>95.855405236930196</v>
      </c>
      <c r="AJ4984">
        <v>79.220282952765004</v>
      </c>
      <c r="AK4984">
        <v>10.977435043639399</v>
      </c>
      <c r="AL4984">
        <v>94.571970807446903</v>
      </c>
      <c r="AM4984">
        <v>84.792014217611097</v>
      </c>
      <c r="AN4984">
        <v>1.00000001463818</v>
      </c>
    </row>
    <row r="4985" spans="1:40" x14ac:dyDescent="0.25">
      <c r="A4985" t="str">
        <f>"20190303153909166"</f>
        <v>20190303153909166</v>
      </c>
      <c r="B4985" t="str">
        <f>"1551598749163857"</f>
        <v>1551598749163857</v>
      </c>
      <c r="C4985" t="s">
        <v>40</v>
      </c>
      <c r="D4985">
        <v>5.12127</v>
      </c>
      <c r="E4985">
        <v>0.60526409999999997</v>
      </c>
      <c r="F4985" t="s">
        <v>51</v>
      </c>
      <c r="G4985">
        <v>-197.69970000000001</v>
      </c>
      <c r="H4985" s="1">
        <v>2.7305980000000001E-6</v>
      </c>
      <c r="I4985">
        <v>213.1087</v>
      </c>
      <c r="J4985">
        <v>-208.3674</v>
      </c>
      <c r="K4985">
        <v>1.119901</v>
      </c>
      <c r="L4985">
        <v>215.614</v>
      </c>
      <c r="M4985">
        <v>0.99908169999999996</v>
      </c>
      <c r="N4985">
        <v>-1.370117E-2</v>
      </c>
      <c r="O4985">
        <v>-4.059977E-2</v>
      </c>
      <c r="P4985">
        <v>0.98678160000000004</v>
      </c>
      <c r="Q4985">
        <v>-9.3310400000000002E-2</v>
      </c>
      <c r="R4985">
        <v>-0.13249729999999901</v>
      </c>
      <c r="S4985">
        <v>2.9221499999999998</v>
      </c>
      <c r="T4985">
        <v>-0.3005872</v>
      </c>
      <c r="U4985">
        <v>-0.67536929999999995</v>
      </c>
      <c r="V4985">
        <v>9.207021E-2</v>
      </c>
      <c r="W4985">
        <v>-8.0008579999999996E-2</v>
      </c>
      <c r="X4985">
        <v>0.992533</v>
      </c>
      <c r="Y4985">
        <v>0.18453919999999999</v>
      </c>
      <c r="Z4985">
        <v>-7.0711180000000004E-3</v>
      </c>
      <c r="AA4985">
        <v>0.98279970000000005</v>
      </c>
      <c r="AB4985">
        <v>22</v>
      </c>
      <c r="AC4985">
        <v>10.6676999999999</v>
      </c>
      <c r="AD4985">
        <v>-1.1198982694020001</v>
      </c>
      <c r="AE4985">
        <v>-2.5053000000000001</v>
      </c>
      <c r="AF4985">
        <v>2.0486890839201899</v>
      </c>
      <c r="AG4985">
        <v>-1.1198982694020001</v>
      </c>
      <c r="AH4985">
        <v>10.6493961616293</v>
      </c>
      <c r="AI4985">
        <v>95.895876145953096</v>
      </c>
      <c r="AJ4985">
        <v>79.110694428580103</v>
      </c>
      <c r="AK4985">
        <v>10.9023363415237</v>
      </c>
      <c r="AL4985">
        <v>94.589058793654004</v>
      </c>
      <c r="AM4985">
        <v>84.700245681573506</v>
      </c>
      <c r="AN4985">
        <v>1.00000002626602</v>
      </c>
    </row>
    <row r="4986" spans="1:40" x14ac:dyDescent="0.25">
      <c r="A4986" t="str">
        <f>"20190303153909190"</f>
        <v>20190303153909190</v>
      </c>
      <c r="B4986" t="str">
        <f>"1551598749183378"</f>
        <v>1551598749183378</v>
      </c>
      <c r="C4986" t="s">
        <v>40</v>
      </c>
      <c r="D4986">
        <v>5.1343930000000002</v>
      </c>
      <c r="E4986">
        <v>0.62007330000000005</v>
      </c>
      <c r="F4986" t="s">
        <v>51</v>
      </c>
      <c r="G4986">
        <v>-195.68729999999999</v>
      </c>
      <c r="H4986" s="1">
        <v>3.3467270000000002E-6</v>
      </c>
      <c r="I4986">
        <v>210.14429999999999</v>
      </c>
      <c r="J4986">
        <v>-208.13829999999999</v>
      </c>
      <c r="K4986">
        <v>1.1198920000000001</v>
      </c>
      <c r="L4986">
        <v>215.60210000000001</v>
      </c>
      <c r="M4986">
        <v>0.99899170000000004</v>
      </c>
      <c r="N4986">
        <v>-1.369892E-2</v>
      </c>
      <c r="O4986">
        <v>-4.2755349999999998E-2</v>
      </c>
      <c r="P4986">
        <v>0.98625050000000003</v>
      </c>
      <c r="Q4986">
        <v>-9.3637090000000006E-2</v>
      </c>
      <c r="R4986">
        <v>-0.1361695</v>
      </c>
      <c r="S4986">
        <v>2.8512270000000002</v>
      </c>
      <c r="T4986">
        <v>-0.25181769999999998</v>
      </c>
      <c r="U4986">
        <v>-1.229889</v>
      </c>
      <c r="V4986">
        <v>9.3622629999999998E-2</v>
      </c>
      <c r="W4986">
        <v>-8.0343780000000004E-2</v>
      </c>
      <c r="X4986">
        <v>0.99236069999999998</v>
      </c>
      <c r="Y4986">
        <v>0.35518379999999999</v>
      </c>
      <c r="Z4986">
        <v>-1.4493000000000001E-2</v>
      </c>
      <c r="AA4986">
        <v>0.93468419999999997</v>
      </c>
      <c r="AB4986">
        <v>22</v>
      </c>
      <c r="AC4986">
        <v>12.450999999999899</v>
      </c>
      <c r="AD4986">
        <v>-1.1198886532729999</v>
      </c>
      <c r="AE4986">
        <v>-5.4578000000000104</v>
      </c>
      <c r="AF4986">
        <v>4.88724674947344</v>
      </c>
      <c r="AG4986">
        <v>-1.1198886532729999</v>
      </c>
      <c r="AH4986">
        <v>12.587565400384401</v>
      </c>
      <c r="AI4986">
        <v>94.741036021881698</v>
      </c>
      <c r="AJ4986">
        <v>68.780805813514903</v>
      </c>
      <c r="AK4986">
        <v>13.5493960786052</v>
      </c>
      <c r="AL4986">
        <v>94.608326305959594</v>
      </c>
      <c r="AM4986">
        <v>84.610476725005796</v>
      </c>
      <c r="AN4986">
        <v>1.0000000393686399</v>
      </c>
    </row>
    <row r="4987" spans="1:40" x14ac:dyDescent="0.25">
      <c r="A4987" t="str">
        <f>"20190303153909212"</f>
        <v>20190303153909212</v>
      </c>
      <c r="B4987" t="str">
        <f>"1551598749203874"</f>
        <v>1551598749203874</v>
      </c>
      <c r="C4987" t="s">
        <v>40</v>
      </c>
      <c r="D4987">
        <v>5.1056410000000003</v>
      </c>
      <c r="E4987">
        <v>0.62561319999999998</v>
      </c>
      <c r="F4987" t="s">
        <v>51</v>
      </c>
      <c r="G4987">
        <v>-196.35679999999999</v>
      </c>
      <c r="H4987" s="1">
        <v>3.2450030000000001E-6</v>
      </c>
      <c r="I4987">
        <v>209.9494</v>
      </c>
      <c r="J4987">
        <v>-207.9186</v>
      </c>
      <c r="K4987">
        <v>1.1198699999999999</v>
      </c>
      <c r="L4987">
        <v>215.59020000000001</v>
      </c>
      <c r="M4987">
        <v>0.99890060000000003</v>
      </c>
      <c r="N4987">
        <v>-1.3696710000000001E-2</v>
      </c>
      <c r="O4987">
        <v>-4.4834609999999997E-2</v>
      </c>
      <c r="P4987">
        <v>0.98564300000000005</v>
      </c>
      <c r="Q4987">
        <v>-9.4463480000000002E-2</v>
      </c>
      <c r="R4987">
        <v>-0.1399464</v>
      </c>
      <c r="S4987">
        <v>2.8288880000000001</v>
      </c>
      <c r="T4987">
        <v>-0.26890029999999998</v>
      </c>
      <c r="U4987">
        <v>-1.3572850000000001</v>
      </c>
      <c r="V4987">
        <v>9.5356650000000001E-2</v>
      </c>
      <c r="W4987">
        <v>-8.1181110000000001E-2</v>
      </c>
      <c r="X4987">
        <v>0.99212739999999999</v>
      </c>
      <c r="Y4987">
        <v>0.39017259999999998</v>
      </c>
      <c r="Z4987">
        <v>-1.6927669999999999E-2</v>
      </c>
      <c r="AA4987">
        <v>0.92058609999999996</v>
      </c>
      <c r="AB4987">
        <v>22</v>
      </c>
      <c r="AC4987">
        <v>11.5618</v>
      </c>
      <c r="AD4987">
        <v>-1.1198667549970001</v>
      </c>
      <c r="AE4987">
        <v>-5.6408000000000103</v>
      </c>
      <c r="AF4987">
        <v>5.0782268227833303</v>
      </c>
      <c r="AG4987">
        <v>-1.1198667549970001</v>
      </c>
      <c r="AH4987">
        <v>11.7143279044961</v>
      </c>
      <c r="AI4987">
        <v>95.012642116635405</v>
      </c>
      <c r="AJ4987">
        <v>66.562997636881704</v>
      </c>
      <c r="AK4987">
        <v>12.816706576443099</v>
      </c>
      <c r="AL4987">
        <v>94.656459099599999</v>
      </c>
      <c r="AM4987">
        <v>84.509976631630295</v>
      </c>
      <c r="AN4987">
        <v>1.0000000205754001</v>
      </c>
    </row>
    <row r="4988" spans="1:40" x14ac:dyDescent="0.25">
      <c r="A4988" t="str">
        <f>"20190303153909234"</f>
        <v>20190303153909234</v>
      </c>
      <c r="B4988" t="str">
        <f>"1551598749223394"</f>
        <v>1551598749223394</v>
      </c>
      <c r="C4988" t="s">
        <v>40</v>
      </c>
      <c r="D4988">
        <v>5.0420730000000002</v>
      </c>
      <c r="E4988">
        <v>0.62879419999999897</v>
      </c>
      <c r="F4988" t="s">
        <v>51</v>
      </c>
      <c r="G4988">
        <v>-196.6063</v>
      </c>
      <c r="H4988" s="1">
        <v>3.2032839999999999E-6</v>
      </c>
      <c r="I4988">
        <v>209.9203</v>
      </c>
      <c r="J4988">
        <v>-207.7</v>
      </c>
      <c r="K4988">
        <v>1.119858</v>
      </c>
      <c r="L4988">
        <v>215.5779</v>
      </c>
      <c r="M4988">
        <v>0.99880480000000005</v>
      </c>
      <c r="N4988">
        <v>-1.369474E-2</v>
      </c>
      <c r="O4988">
        <v>-4.6919799999999998E-2</v>
      </c>
      <c r="P4988">
        <v>0.98500469999999896</v>
      </c>
      <c r="Q4988">
        <v>-9.5563809999999999E-2</v>
      </c>
      <c r="R4988">
        <v>-0.1436443</v>
      </c>
      <c r="S4988">
        <v>2.8165439999999999</v>
      </c>
      <c r="T4988">
        <v>-0.27882580000000001</v>
      </c>
      <c r="U4988">
        <v>-1.411697</v>
      </c>
      <c r="V4988">
        <v>9.7007120000000002E-2</v>
      </c>
      <c r="W4988">
        <v>-8.2293179999999994E-2</v>
      </c>
      <c r="X4988">
        <v>0.99187570000000003</v>
      </c>
      <c r="Y4988">
        <v>0.40394419999999998</v>
      </c>
      <c r="Z4988">
        <v>-1.8008650000000001E-2</v>
      </c>
      <c r="AA4988">
        <v>0.91460629999999998</v>
      </c>
      <c r="AB4988">
        <v>22</v>
      </c>
      <c r="AC4988">
        <v>11.093699999999901</v>
      </c>
      <c r="AD4988">
        <v>-1.119854796716</v>
      </c>
      <c r="AE4988">
        <v>-5.6576000000000004</v>
      </c>
      <c r="AF4988">
        <v>5.0896464360721501</v>
      </c>
      <c r="AG4988">
        <v>-1.119854796716</v>
      </c>
      <c r="AH4988">
        <v>11.2559347150855</v>
      </c>
      <c r="AI4988">
        <v>95.179893230587993</v>
      </c>
      <c r="AJ4988">
        <v>65.668731073581299</v>
      </c>
      <c r="AK4988">
        <v>12.403815619405799</v>
      </c>
      <c r="AL4988">
        <v>94.720390145172104</v>
      </c>
      <c r="AM4988">
        <v>84.414140615788995</v>
      </c>
      <c r="AN4988">
        <v>0.999999976527848</v>
      </c>
    </row>
    <row r="4989" spans="1:40" x14ac:dyDescent="0.25">
      <c r="A4989" t="str">
        <f>"20190303153909255"</f>
        <v>20190303153909255</v>
      </c>
      <c r="B4989" t="str">
        <f>"1551598749243891"</f>
        <v>1551598749243891</v>
      </c>
      <c r="C4989" t="s">
        <v>40</v>
      </c>
      <c r="D4989">
        <v>5.004899</v>
      </c>
      <c r="E4989">
        <v>0.63137080000000001</v>
      </c>
      <c r="F4989" t="s">
        <v>51</v>
      </c>
      <c r="G4989">
        <v>-196.6643</v>
      </c>
      <c r="H4989" s="1">
        <v>3.195878E-6</v>
      </c>
      <c r="I4989">
        <v>209.88740000000001</v>
      </c>
      <c r="J4989">
        <v>-207.4828</v>
      </c>
      <c r="K4989">
        <v>1.1198429999999999</v>
      </c>
      <c r="L4989">
        <v>215.56530000000001</v>
      </c>
      <c r="M4989">
        <v>0.9987047</v>
      </c>
      <c r="N4989">
        <v>-1.3692889999999999E-2</v>
      </c>
      <c r="O4989">
        <v>-4.9007889999999998E-2</v>
      </c>
      <c r="P4989">
        <v>0.98444589999999998</v>
      </c>
      <c r="Q4989">
        <v>-9.5828109999999994E-2</v>
      </c>
      <c r="R4989">
        <v>-0.147253</v>
      </c>
      <c r="S4989">
        <v>2.8069920000000002</v>
      </c>
      <c r="T4989">
        <v>-0.2848425</v>
      </c>
      <c r="U4989">
        <v>-1.447433</v>
      </c>
      <c r="V4989">
        <v>9.8565680000000003E-2</v>
      </c>
      <c r="W4989">
        <v>-8.2568210000000003E-2</v>
      </c>
      <c r="X4989">
        <v>0.9916992</v>
      </c>
      <c r="Y4989">
        <v>0.41240769999999999</v>
      </c>
      <c r="Z4989">
        <v>-1.8624760000000001E-2</v>
      </c>
      <c r="AA4989">
        <v>0.91080899999999998</v>
      </c>
      <c r="AB4989">
        <v>22</v>
      </c>
      <c r="AC4989">
        <v>10.8185</v>
      </c>
      <c r="AD4989">
        <v>-1.1198398041219999</v>
      </c>
      <c r="AE4989">
        <v>-5.6778999999999904</v>
      </c>
      <c r="AF4989">
        <v>5.0980078864390999</v>
      </c>
      <c r="AG4989">
        <v>-1.1198398041219999</v>
      </c>
      <c r="AH4989">
        <v>10.991450221113499</v>
      </c>
      <c r="AI4989">
        <v>95.280571871990702</v>
      </c>
      <c r="AJ4989">
        <v>65.117386370771399</v>
      </c>
      <c r="AK4989">
        <v>12.1678142474443</v>
      </c>
      <c r="AL4989">
        <v>94.736201889474998</v>
      </c>
      <c r="AM4989">
        <v>84.3239734824718</v>
      </c>
      <c r="AN4989">
        <v>1.0000000029285501</v>
      </c>
    </row>
    <row r="4990" spans="1:40" x14ac:dyDescent="0.25">
      <c r="A4990" t="str">
        <f>"20190303153909278"</f>
        <v>20190303153909278</v>
      </c>
      <c r="B4990" t="str">
        <f>"1551598749273170"</f>
        <v>1551598749273170</v>
      </c>
      <c r="C4990" t="s">
        <v>40</v>
      </c>
      <c r="D4990">
        <v>5.0279749999999996</v>
      </c>
      <c r="E4990">
        <v>0.6339688</v>
      </c>
      <c r="F4990" t="s">
        <v>51</v>
      </c>
      <c r="G4990">
        <v>-196.4761</v>
      </c>
      <c r="H4990" s="1">
        <v>3.2410509999999999E-6</v>
      </c>
      <c r="I4990">
        <v>209.7525</v>
      </c>
      <c r="J4990">
        <v>-207.2628</v>
      </c>
      <c r="K4990">
        <v>1.119842</v>
      </c>
      <c r="L4990">
        <v>215.55189999999999</v>
      </c>
      <c r="M4990">
        <v>0.99859759999999997</v>
      </c>
      <c r="N4990">
        <v>-1.369109E-2</v>
      </c>
      <c r="O4990">
        <v>-5.1143470000000003E-2</v>
      </c>
      <c r="P4990">
        <v>0.98374070000000002</v>
      </c>
      <c r="Q4990">
        <v>-9.5950809999999997E-2</v>
      </c>
      <c r="R4990">
        <v>-0.15181520000000001</v>
      </c>
      <c r="S4990">
        <v>2.7985989999999998</v>
      </c>
      <c r="T4990">
        <v>-0.28473379999999998</v>
      </c>
      <c r="U4990">
        <v>-1.4779659999999999</v>
      </c>
      <c r="V4990">
        <v>0.1010375</v>
      </c>
      <c r="W4990">
        <v>-8.270624E-2</v>
      </c>
      <c r="X4990">
        <v>0.99143890000000001</v>
      </c>
      <c r="Y4990">
        <v>0.4193422</v>
      </c>
      <c r="Z4990">
        <v>-1.883518E-2</v>
      </c>
      <c r="AA4990">
        <v>0.90763289999999996</v>
      </c>
      <c r="AB4990">
        <v>22</v>
      </c>
      <c r="AC4990">
        <v>10.7866999999999</v>
      </c>
      <c r="AD4990">
        <v>-1.119838758949</v>
      </c>
      <c r="AE4990">
        <v>-5.7993999999999897</v>
      </c>
      <c r="AF4990">
        <v>5.1966387737263098</v>
      </c>
      <c r="AG4990">
        <v>-1.119838758949</v>
      </c>
      <c r="AH4990">
        <v>10.977427439740399</v>
      </c>
      <c r="AI4990">
        <v>95.267963000702807</v>
      </c>
      <c r="AJ4990">
        <v>64.667446794678199</v>
      </c>
      <c r="AK4990">
        <v>12.196844124010299</v>
      </c>
      <c r="AL4990">
        <v>94.744137603727907</v>
      </c>
      <c r="AM4990">
        <v>84.181078243880606</v>
      </c>
      <c r="AN4990">
        <v>0.99999999548719798</v>
      </c>
    </row>
    <row r="4991" spans="1:40" x14ac:dyDescent="0.25">
      <c r="A4991" t="str">
        <f>"20190303153909300"</f>
        <v>20190303153909300</v>
      </c>
      <c r="B4991" t="str">
        <f>"1551598749293667"</f>
        <v>1551598749293667</v>
      </c>
      <c r="C4991" t="s">
        <v>40</v>
      </c>
      <c r="D4991">
        <v>5.0019049999999998</v>
      </c>
      <c r="E4991">
        <v>0.63479140000000001</v>
      </c>
      <c r="F4991" t="s">
        <v>51</v>
      </c>
      <c r="G4991">
        <v>-196.1711</v>
      </c>
      <c r="H4991" s="1">
        <v>3.3272449999999999E-6</v>
      </c>
      <c r="I4991">
        <v>209.5401</v>
      </c>
      <c r="J4991">
        <v>-207.0367</v>
      </c>
      <c r="K4991">
        <v>1.119837</v>
      </c>
      <c r="L4991">
        <v>215.5377</v>
      </c>
      <c r="M4991">
        <v>0.99848130000000002</v>
      </c>
      <c r="N4991">
        <v>-1.3689359999999999E-2</v>
      </c>
      <c r="O4991">
        <v>-5.3365070000000001E-2</v>
      </c>
      <c r="P4991">
        <v>0.98293470000000005</v>
      </c>
      <c r="Q4991">
        <v>-9.6008570000000001E-2</v>
      </c>
      <c r="R4991">
        <v>-0.15691340000000001</v>
      </c>
      <c r="S4991">
        <v>2.788834</v>
      </c>
      <c r="T4991">
        <v>-0.28156589999999998</v>
      </c>
      <c r="U4991">
        <v>-1.5115809999999901</v>
      </c>
      <c r="V4991">
        <v>0.1039655</v>
      </c>
      <c r="W4991">
        <v>-8.2782209999999995E-2</v>
      </c>
      <c r="X4991">
        <v>0.99112979999999995</v>
      </c>
      <c r="Y4991">
        <v>0.42712650000000002</v>
      </c>
      <c r="Z4991">
        <v>-1.8924630000000001E-2</v>
      </c>
      <c r="AA4991">
        <v>0.90399379999999996</v>
      </c>
      <c r="AB4991">
        <v>22</v>
      </c>
      <c r="AC4991">
        <v>10.865600000000001</v>
      </c>
      <c r="AD4991">
        <v>-1.119833672755</v>
      </c>
      <c r="AE4991">
        <v>-5.9976000000000003</v>
      </c>
      <c r="AF4991">
        <v>5.36547240883045</v>
      </c>
      <c r="AG4991">
        <v>-1.119833672755</v>
      </c>
      <c r="AH4991">
        <v>11.080000867811099</v>
      </c>
      <c r="AI4991">
        <v>95.197540225646307</v>
      </c>
      <c r="AJ4991">
        <v>64.161489133548201</v>
      </c>
      <c r="AK4991">
        <v>12.3615832665259</v>
      </c>
      <c r="AL4991">
        <v>94.748505320578502</v>
      </c>
      <c r="AM4991">
        <v>84.011803841435906</v>
      </c>
      <c r="AN4991">
        <v>0.99999999996538702</v>
      </c>
    </row>
    <row r="4992" spans="1:40" x14ac:dyDescent="0.25">
      <c r="A4992" t="str">
        <f>"20190303153909322"</f>
        <v>20190303153909322</v>
      </c>
      <c r="B4992" t="str">
        <f>"1551598749313187"</f>
        <v>1551598749313187</v>
      </c>
      <c r="C4992" t="s">
        <v>40</v>
      </c>
      <c r="D4992">
        <v>5.0387279999999999</v>
      </c>
      <c r="E4992">
        <v>0.63537540000000003</v>
      </c>
      <c r="F4992" t="s">
        <v>51</v>
      </c>
      <c r="G4992">
        <v>-196.0266</v>
      </c>
      <c r="H4992" s="1">
        <v>3.3719100000000001E-6</v>
      </c>
      <c r="I4992">
        <v>209.4682</v>
      </c>
      <c r="J4992">
        <v>-206.8177</v>
      </c>
      <c r="K4992">
        <v>1.119842</v>
      </c>
      <c r="L4992">
        <v>215.52350000000001</v>
      </c>
      <c r="M4992">
        <v>0.99836250000000004</v>
      </c>
      <c r="N4992">
        <v>-1.3687799999999899E-2</v>
      </c>
      <c r="O4992">
        <v>-5.5543670000000003E-2</v>
      </c>
      <c r="P4992">
        <v>0.98219129999999999</v>
      </c>
      <c r="Q4992">
        <v>-9.5252690000000001E-2</v>
      </c>
      <c r="R4992">
        <v>-0.16194900000000001</v>
      </c>
      <c r="S4992">
        <v>2.779846</v>
      </c>
      <c r="T4992">
        <v>-0.28273860000000001</v>
      </c>
      <c r="U4992">
        <v>-1.53244</v>
      </c>
      <c r="V4992">
        <v>0.10687389999999999</v>
      </c>
      <c r="W4992">
        <v>-8.204409E-2</v>
      </c>
      <c r="X4992">
        <v>0.99088180000000003</v>
      </c>
      <c r="Y4992">
        <v>0.43156270000000002</v>
      </c>
      <c r="Z4992">
        <v>-1.9074890000000001E-2</v>
      </c>
      <c r="AA4992">
        <v>0.90188120000000005</v>
      </c>
      <c r="AB4992">
        <v>22</v>
      </c>
      <c r="AC4992">
        <v>10.7911</v>
      </c>
      <c r="AD4992">
        <v>-1.1198386280899999</v>
      </c>
      <c r="AE4992">
        <v>-6.0553000000000097</v>
      </c>
      <c r="AF4992">
        <v>5.4022713297738703</v>
      </c>
      <c r="AG4992">
        <v>-1.1198386280899999</v>
      </c>
      <c r="AH4992">
        <v>11.0205428218741</v>
      </c>
      <c r="AI4992">
        <v>95.2132861534173</v>
      </c>
      <c r="AJ4992">
        <v>63.885901020172497</v>
      </c>
      <c r="AK4992">
        <v>12.324404170677701</v>
      </c>
      <c r="AL4992">
        <v>94.706069792386799</v>
      </c>
      <c r="AM4992">
        <v>83.844025838519698</v>
      </c>
      <c r="AN4992">
        <v>1.0000000023881801</v>
      </c>
    </row>
    <row r="4993" spans="1:40" x14ac:dyDescent="0.25">
      <c r="A4993" t="str">
        <f>"20190303153909344"</f>
        <v>20190303153909344</v>
      </c>
      <c r="B4993" t="str">
        <f>"1551598749333683"</f>
        <v>1551598749333683</v>
      </c>
      <c r="C4993" t="s">
        <v>40</v>
      </c>
      <c r="D4993">
        <v>5.0070319999999997</v>
      </c>
      <c r="E4993">
        <v>0.63592799999999905</v>
      </c>
      <c r="F4993" t="s">
        <v>51</v>
      </c>
      <c r="G4993">
        <v>-195.8262</v>
      </c>
      <c r="H4993" s="1">
        <v>3.433147E-6</v>
      </c>
      <c r="I4993">
        <v>209.37119999999999</v>
      </c>
      <c r="J4993">
        <v>-206.6018</v>
      </c>
      <c r="K4993">
        <v>1.1198319999999999</v>
      </c>
      <c r="L4993">
        <v>215.50890000000001</v>
      </c>
      <c r="M4993">
        <v>0.99823919999999999</v>
      </c>
      <c r="N4993">
        <v>-1.3686419999999999E-2</v>
      </c>
      <c r="O4993">
        <v>-5.7718360000000003E-2</v>
      </c>
      <c r="P4993">
        <v>0.98144140000000002</v>
      </c>
      <c r="Q4993">
        <v>-9.3768840000000006E-2</v>
      </c>
      <c r="R4993">
        <v>-0.16727510000000001</v>
      </c>
      <c r="S4993">
        <v>2.771271</v>
      </c>
      <c r="T4993">
        <v>-0.28234409999999999</v>
      </c>
      <c r="U4993">
        <v>-1.5511629999999901</v>
      </c>
      <c r="V4993">
        <v>0.1100802</v>
      </c>
      <c r="W4993">
        <v>-8.0578919999999998E-2</v>
      </c>
      <c r="X4993">
        <v>0.99065099999999995</v>
      </c>
      <c r="Y4993">
        <v>0.43541839999999998</v>
      </c>
      <c r="Z4993">
        <v>-1.9109939999999999E-2</v>
      </c>
      <c r="AA4993">
        <v>0.90002539999999998</v>
      </c>
      <c r="AB4993">
        <v>22</v>
      </c>
      <c r="AC4993">
        <v>10.775599999999899</v>
      </c>
      <c r="AD4993">
        <v>-1.1198285668529999</v>
      </c>
      <c r="AE4993">
        <v>-6.1377000000000201</v>
      </c>
      <c r="AF4993">
        <v>5.4609274977729303</v>
      </c>
      <c r="AG4993">
        <v>-1.1198285668529999</v>
      </c>
      <c r="AH4993">
        <v>11.022046196757501</v>
      </c>
      <c r="AI4993">
        <v>95.2017422155362</v>
      </c>
      <c r="AJ4993">
        <v>63.643656455436499</v>
      </c>
      <c r="AK4993">
        <v>12.351568625827699</v>
      </c>
      <c r="AL4993">
        <v>94.621842802674905</v>
      </c>
      <c r="AM4993">
        <v>83.659358822612703</v>
      </c>
      <c r="AN4993">
        <v>1.0000000082906999</v>
      </c>
    </row>
    <row r="4994" spans="1:40" x14ac:dyDescent="0.25">
      <c r="A4994" t="str">
        <f>"20190303153909367"</f>
        <v>20190303153909367</v>
      </c>
      <c r="B4994" t="str">
        <f>"1551598749363939"</f>
        <v>1551598749363939</v>
      </c>
      <c r="C4994" t="s">
        <v>40</v>
      </c>
      <c r="D4994">
        <v>4.996588</v>
      </c>
      <c r="E4994">
        <v>0.63671009999999995</v>
      </c>
      <c r="F4994" t="s">
        <v>51</v>
      </c>
      <c r="G4994">
        <v>-195.5078</v>
      </c>
      <c r="H4994" s="1">
        <v>3.5345729999999999E-6</v>
      </c>
      <c r="I4994">
        <v>209.20150000000001</v>
      </c>
      <c r="J4994">
        <v>-206.3802</v>
      </c>
      <c r="K4994">
        <v>1.1198239999999999</v>
      </c>
      <c r="L4994">
        <v>215.49340000000001</v>
      </c>
      <c r="M4994">
        <v>0.99810600000000005</v>
      </c>
      <c r="N4994">
        <v>-1.368492E-2</v>
      </c>
      <c r="O4994">
        <v>-5.9977219999999998E-2</v>
      </c>
      <c r="P4994">
        <v>0.98062490000000002</v>
      </c>
      <c r="Q4994">
        <v>-9.1900990000000002E-2</v>
      </c>
      <c r="R4994">
        <v>-0.1730014</v>
      </c>
      <c r="S4994">
        <v>2.7624050000000002</v>
      </c>
      <c r="T4994">
        <v>-0.278837</v>
      </c>
      <c r="U4994">
        <v>-1.570541</v>
      </c>
      <c r="V4994">
        <v>0.1136089</v>
      </c>
      <c r="W4994">
        <v>-7.8731510000000005E-2</v>
      </c>
      <c r="X4994">
        <v>0.99040110000000003</v>
      </c>
      <c r="Y4994">
        <v>0.43942170000000003</v>
      </c>
      <c r="Z4994">
        <v>-1.898E-2</v>
      </c>
      <c r="AA4994">
        <v>0.89808029999999905</v>
      </c>
      <c r="AB4994">
        <v>22</v>
      </c>
      <c r="AC4994">
        <v>10.872400000000001</v>
      </c>
      <c r="AD4994">
        <v>-1.1198204654270001</v>
      </c>
      <c r="AE4994">
        <v>-6.2918999999999903</v>
      </c>
      <c r="AF4994">
        <v>5.5840377100196301</v>
      </c>
      <c r="AG4994">
        <v>-1.1198204654270001</v>
      </c>
      <c r="AH4994">
        <v>11.141687350052401</v>
      </c>
      <c r="AI4994">
        <v>95.134456457179496</v>
      </c>
      <c r="AJ4994">
        <v>63.3806946077978</v>
      </c>
      <c r="AK4994">
        <v>12.5129002244894</v>
      </c>
      <c r="AL4994">
        <v>94.515656684252093</v>
      </c>
      <c r="AM4994">
        <v>83.456203620694396</v>
      </c>
      <c r="AN4994">
        <v>0.99999998585364902</v>
      </c>
    </row>
    <row r="4995" spans="1:40" x14ac:dyDescent="0.25">
      <c r="A4995" t="str">
        <f>"20190303153909390"</f>
        <v>20190303153909390</v>
      </c>
      <c r="B4995" t="str">
        <f>"1551598749383458"</f>
        <v>1551598749383458</v>
      </c>
      <c r="C4995" t="s">
        <v>40</v>
      </c>
      <c r="D4995">
        <v>4.9876779999999998</v>
      </c>
      <c r="E4995">
        <v>0.63707919999999996</v>
      </c>
      <c r="F4995" t="s">
        <v>51</v>
      </c>
      <c r="G4995">
        <v>-195.07660000000001</v>
      </c>
      <c r="H4995" s="1">
        <v>3.676803E-6</v>
      </c>
      <c r="I4995">
        <v>208.95320000000001</v>
      </c>
      <c r="J4995">
        <v>-206.16239999999999</v>
      </c>
      <c r="K4995">
        <v>1.1198129999999999</v>
      </c>
      <c r="L4995">
        <v>215.4777</v>
      </c>
      <c r="M4995">
        <v>0.99796839999999998</v>
      </c>
      <c r="N4995">
        <v>-1.368349E-2</v>
      </c>
      <c r="O4995">
        <v>-6.2224729999999999E-2</v>
      </c>
      <c r="P4995">
        <v>0.97970170000000001</v>
      </c>
      <c r="Q4995">
        <v>-9.0770920000000005E-2</v>
      </c>
      <c r="R4995">
        <v>-0.1787328</v>
      </c>
      <c r="S4995">
        <v>2.7527159999999999</v>
      </c>
      <c r="T4995">
        <v>-0.27270420000000001</v>
      </c>
      <c r="U4995">
        <v>-1.592697</v>
      </c>
      <c r="V4995">
        <v>0.11715979999999999</v>
      </c>
      <c r="W4995">
        <v>-7.7622990000000003E-2</v>
      </c>
      <c r="X4995">
        <v>0.99007489999999998</v>
      </c>
      <c r="Y4995">
        <v>0.44423960000000001</v>
      </c>
      <c r="Z4995">
        <v>-1.875454E-2</v>
      </c>
      <c r="AA4995">
        <v>0.8957117</v>
      </c>
      <c r="AB4995">
        <v>22</v>
      </c>
      <c r="AC4995">
        <v>11.0857999999999</v>
      </c>
      <c r="AD4995">
        <v>-1.1198093231970001</v>
      </c>
      <c r="AE4995">
        <v>-6.5244999999999802</v>
      </c>
      <c r="AF4995">
        <v>5.7781886217113598</v>
      </c>
      <c r="AG4995">
        <v>-1.1198093231970001</v>
      </c>
      <c r="AH4995">
        <v>11.3840623990125</v>
      </c>
      <c r="AI4995">
        <v>95.012838031802701</v>
      </c>
      <c r="AJ4995">
        <v>63.089097038989401</v>
      </c>
      <c r="AK4995">
        <v>12.8155496711223</v>
      </c>
      <c r="AL4995">
        <v>94.451947995459093</v>
      </c>
      <c r="AM4995">
        <v>83.251328987954295</v>
      </c>
      <c r="AN4995">
        <v>1.0000000274612899</v>
      </c>
    </row>
    <row r="4996" spans="1:40" x14ac:dyDescent="0.25">
      <c r="A4996" t="str">
        <f>"20190303153909413"</f>
        <v>20190303153909413</v>
      </c>
      <c r="B4996" t="str">
        <f>"1551598749403955"</f>
        <v>1551598749403955</v>
      </c>
      <c r="C4996" t="s">
        <v>40</v>
      </c>
      <c r="D4996">
        <v>5.0107369999999998</v>
      </c>
      <c r="E4996">
        <v>0.63753179999999998</v>
      </c>
      <c r="F4996" t="s">
        <v>51</v>
      </c>
      <c r="G4996">
        <v>-194.78110000000001</v>
      </c>
      <c r="H4996" s="1">
        <v>3.772366E-6</v>
      </c>
      <c r="I4996">
        <v>208.7903</v>
      </c>
      <c r="J4996">
        <v>-205.93109999999999</v>
      </c>
      <c r="K4996">
        <v>1.1198049999999999</v>
      </c>
      <c r="L4996">
        <v>215.46039999999999</v>
      </c>
      <c r="M4996">
        <v>0.99781489999999995</v>
      </c>
      <c r="N4996">
        <v>-1.368199E-2</v>
      </c>
      <c r="O4996">
        <v>-6.4642210000000005E-2</v>
      </c>
      <c r="P4996">
        <v>0.97865840000000004</v>
      </c>
      <c r="Q4996">
        <v>-9.0263629999999997E-2</v>
      </c>
      <c r="R4996">
        <v>-0.1846091</v>
      </c>
      <c r="S4996">
        <v>2.7431179999999999</v>
      </c>
      <c r="T4996">
        <v>-0.269897099999999</v>
      </c>
      <c r="U4996">
        <v>-1.611801</v>
      </c>
      <c r="V4996">
        <v>0.1206945</v>
      </c>
      <c r="W4996">
        <v>-7.7138170000000006E-2</v>
      </c>
      <c r="X4996">
        <v>0.98968809999999996</v>
      </c>
      <c r="Y4996">
        <v>0.44809500000000002</v>
      </c>
      <c r="Z4996">
        <v>-1.8645180000000001E-2</v>
      </c>
      <c r="AA4996">
        <v>0.89379149999999996</v>
      </c>
      <c r="AB4996">
        <v>22</v>
      </c>
      <c r="AC4996">
        <v>11.149999999999901</v>
      </c>
      <c r="AD4996">
        <v>-1.1198012276339999</v>
      </c>
      <c r="AE4996">
        <v>-6.6700999999999899</v>
      </c>
      <c r="AF4996">
        <v>5.8915559779563198</v>
      </c>
      <c r="AG4996">
        <v>-1.1198012276339999</v>
      </c>
      <c r="AH4996">
        <v>11.4726658548923</v>
      </c>
      <c r="AI4996">
        <v>94.962347937949204</v>
      </c>
      <c r="AJ4996">
        <v>62.818149797082199</v>
      </c>
      <c r="AK4996">
        <v>12.9455184696796</v>
      </c>
      <c r="AL4996">
        <v>94.424086449515798</v>
      </c>
      <c r="AM4996">
        <v>83.046995226723595</v>
      </c>
      <c r="AN4996">
        <v>0.999999997441404</v>
      </c>
    </row>
    <row r="4997" spans="1:40" x14ac:dyDescent="0.25">
      <c r="A4997" t="str">
        <f>"20190303153909434"</f>
        <v>20190303153909434</v>
      </c>
      <c r="B4997" t="str">
        <f>"1551598749423475"</f>
        <v>1551598749423475</v>
      </c>
      <c r="C4997" t="s">
        <v>40</v>
      </c>
      <c r="D4997">
        <v>4.9887610000000002</v>
      </c>
      <c r="E4997">
        <v>0.63752940000000002</v>
      </c>
      <c r="F4997" t="s">
        <v>51</v>
      </c>
      <c r="G4997">
        <v>-194.3509</v>
      </c>
      <c r="H4997" s="1">
        <v>3.9133570000000004E-6</v>
      </c>
      <c r="I4997">
        <v>208.54599999999999</v>
      </c>
      <c r="J4997">
        <v>-205.72900000000001</v>
      </c>
      <c r="K4997">
        <v>1.119791</v>
      </c>
      <c r="L4997">
        <v>215.44479999999999</v>
      </c>
      <c r="M4997">
        <v>0.99767450000000002</v>
      </c>
      <c r="N4997">
        <v>-1.3680660000000001E-2</v>
      </c>
      <c r="O4997">
        <v>-6.6772799999999993E-2</v>
      </c>
      <c r="P4997">
        <v>0.97754289999999999</v>
      </c>
      <c r="Q4997">
        <v>-9.1286549999999994E-2</v>
      </c>
      <c r="R4997">
        <v>-0.18993959999999999</v>
      </c>
      <c r="S4997">
        <v>2.7331850000000002</v>
      </c>
      <c r="T4997">
        <v>-0.26429780000000003</v>
      </c>
      <c r="U4997">
        <v>-1.6319429999999999</v>
      </c>
      <c r="V4997">
        <v>0.123971</v>
      </c>
      <c r="W4997">
        <v>-7.8183000000000002E-2</v>
      </c>
      <c r="X4997">
        <v>0.989201</v>
      </c>
      <c r="Y4997">
        <v>0.452519</v>
      </c>
      <c r="Z4997">
        <v>-1.843817E-2</v>
      </c>
      <c r="AA4997">
        <v>0.89156409999999997</v>
      </c>
      <c r="AB4997">
        <v>22</v>
      </c>
      <c r="AC4997">
        <v>11.3781</v>
      </c>
      <c r="AD4997">
        <v>-1.119787086643</v>
      </c>
      <c r="AE4997">
        <v>-6.8987999999999898</v>
      </c>
      <c r="AF4997">
        <v>6.0805187769117603</v>
      </c>
      <c r="AG4997">
        <v>-1.119787086643</v>
      </c>
      <c r="AH4997">
        <v>11.7303213161731</v>
      </c>
      <c r="AI4997">
        <v>94.844319440719303</v>
      </c>
      <c r="AJ4997">
        <v>62.599623706638802</v>
      </c>
      <c r="AK4997">
        <v>13.259980011163499</v>
      </c>
      <c r="AL4997">
        <v>94.484132117304995</v>
      </c>
      <c r="AM4997">
        <v>82.856684824920606</v>
      </c>
      <c r="AN4997">
        <v>1.0000000043655</v>
      </c>
    </row>
    <row r="4998" spans="1:40" x14ac:dyDescent="0.25">
      <c r="A4998" t="str">
        <f>"20190303153909455"</f>
        <v>20190303153909455</v>
      </c>
      <c r="B4998" t="str">
        <f>"1551598749453731"</f>
        <v>1551598749453731</v>
      </c>
      <c r="C4998" t="s">
        <v>40</v>
      </c>
      <c r="D4998">
        <v>4.9885780000000004</v>
      </c>
      <c r="E4998">
        <v>0.63761109999999999</v>
      </c>
      <c r="F4998" t="s">
        <v>51</v>
      </c>
      <c r="G4998">
        <v>-194.3741</v>
      </c>
      <c r="H4998" s="1">
        <v>3.8999370000000001E-6</v>
      </c>
      <c r="I4998">
        <v>208.5812</v>
      </c>
      <c r="J4998">
        <v>-205.50960000000001</v>
      </c>
      <c r="K4998">
        <v>1.119772</v>
      </c>
      <c r="L4998">
        <v>215.42740000000001</v>
      </c>
      <c r="M4998">
        <v>0.99751540000000005</v>
      </c>
      <c r="N4998">
        <v>-1.3679190000000001E-2</v>
      </c>
      <c r="O4998">
        <v>-6.9108550000000005E-2</v>
      </c>
      <c r="P4998">
        <v>0.97634189999999998</v>
      </c>
      <c r="Q4998">
        <v>-9.2717740000000007E-2</v>
      </c>
      <c r="R4998">
        <v>-0.19534670000000001</v>
      </c>
      <c r="S4998">
        <v>2.7239070000000001</v>
      </c>
      <c r="T4998">
        <v>-0.2686229</v>
      </c>
      <c r="U4998">
        <v>-1.6465000000000001</v>
      </c>
      <c r="V4998">
        <v>0.12712770000000001</v>
      </c>
      <c r="W4998">
        <v>-7.9636419999999999E-2</v>
      </c>
      <c r="X4998">
        <v>0.98868429999999996</v>
      </c>
      <c r="Y4998">
        <v>0.45520650000000001</v>
      </c>
      <c r="Z4998">
        <v>-1.8659869999999999E-2</v>
      </c>
      <c r="AA4998">
        <v>0.89019029999999999</v>
      </c>
      <c r="AB4998">
        <v>22</v>
      </c>
      <c r="AC4998">
        <v>11.1355</v>
      </c>
      <c r="AD4998">
        <v>-1.119768100063</v>
      </c>
      <c r="AE4998">
        <v>-6.8461999999999996</v>
      </c>
      <c r="AF4998">
        <v>6.0160513154354502</v>
      </c>
      <c r="AG4998">
        <v>-1.119768100063</v>
      </c>
      <c r="AH4998">
        <v>11.497674382170199</v>
      </c>
      <c r="AI4998">
        <v>94.931952214476397</v>
      </c>
      <c r="AJ4998">
        <v>62.379604369080397</v>
      </c>
      <c r="AK4998">
        <v>13.0247176639758</v>
      </c>
      <c r="AL4998">
        <v>94.567667329422505</v>
      </c>
      <c r="AM4998">
        <v>82.672957851645506</v>
      </c>
      <c r="AN4998">
        <v>1.00000002828209</v>
      </c>
    </row>
    <row r="4999" spans="1:40" x14ac:dyDescent="0.25">
      <c r="A4999" t="str">
        <f>"20190303153909479"</f>
        <v>20190303153909479</v>
      </c>
      <c r="B4999" t="str">
        <f>"1551598749473682"</f>
        <v>1551598749473682</v>
      </c>
      <c r="C4999" t="s">
        <v>40</v>
      </c>
      <c r="D4999">
        <v>4.985201</v>
      </c>
      <c r="E4999">
        <v>0.63765150000000004</v>
      </c>
      <c r="F4999" t="s">
        <v>51</v>
      </c>
      <c r="G4999">
        <v>-194.3519</v>
      </c>
      <c r="H4999" s="1">
        <v>3.900485E-6</v>
      </c>
      <c r="I4999">
        <v>208.59399999999999</v>
      </c>
      <c r="J4999">
        <v>-205.28530000000001</v>
      </c>
      <c r="K4999">
        <v>1.1197469999999901</v>
      </c>
      <c r="L4999">
        <v>215.40889999999999</v>
      </c>
      <c r="M4999">
        <v>0.99734460000000003</v>
      </c>
      <c r="N4999">
        <v>-1.3677750000000001E-2</v>
      </c>
      <c r="O4999">
        <v>-7.1530930000000006E-2</v>
      </c>
      <c r="P4999">
        <v>0.97508510000000004</v>
      </c>
      <c r="Q4999">
        <v>-9.3263550000000001E-2</v>
      </c>
      <c r="R4999">
        <v>-0.20127329999999999</v>
      </c>
      <c r="S4999">
        <v>2.7142490000000001</v>
      </c>
      <c r="T4999">
        <v>-0.272397</v>
      </c>
      <c r="U4999">
        <v>-1.6623079999999999</v>
      </c>
      <c r="V4999">
        <v>0.13072590000000001</v>
      </c>
      <c r="W4999">
        <v>-8.0207410000000007E-2</v>
      </c>
      <c r="X4999">
        <v>0.98816879999999996</v>
      </c>
      <c r="Y4999">
        <v>0.45817180000000002</v>
      </c>
      <c r="Z4999">
        <v>-1.8858340000000001E-2</v>
      </c>
      <c r="AA4999">
        <v>0.8886636</v>
      </c>
      <c r="AB4999">
        <v>22</v>
      </c>
      <c r="AC4999">
        <v>10.933400000000001</v>
      </c>
      <c r="AD4999">
        <v>-1.11974309951499</v>
      </c>
      <c r="AE4999">
        <v>-6.8148999999999598</v>
      </c>
      <c r="AF4999">
        <v>5.9701914489927699</v>
      </c>
      <c r="AG4999">
        <v>-1.11974309951499</v>
      </c>
      <c r="AH4999">
        <v>11.307492780719</v>
      </c>
      <c r="AI4999">
        <v>95.004633305232701</v>
      </c>
      <c r="AJ4999">
        <v>62.166598827297499</v>
      </c>
      <c r="AK4999">
        <v>12.8357470967821</v>
      </c>
      <c r="AL4999">
        <v>94.600487610371005</v>
      </c>
      <c r="AM4999">
        <v>82.464039266546493</v>
      </c>
      <c r="AN4999">
        <v>1.00000003342157</v>
      </c>
    </row>
    <row r="5000" spans="1:40" x14ac:dyDescent="0.25">
      <c r="A5000" t="str">
        <f>"20190303153909501"</f>
        <v>20190303153909501</v>
      </c>
      <c r="B5000" t="str">
        <f>"1551598749494176"</f>
        <v>1551598749494176</v>
      </c>
      <c r="C5000" t="s">
        <v>40</v>
      </c>
      <c r="D5000">
        <v>4.9863160000000004</v>
      </c>
      <c r="E5000">
        <v>0.63771029999999995</v>
      </c>
      <c r="F5000" t="s">
        <v>51</v>
      </c>
      <c r="G5000">
        <v>-194.2037</v>
      </c>
      <c r="H5000" s="1">
        <v>3.9443160000000001E-6</v>
      </c>
      <c r="I5000">
        <v>208.52770000000001</v>
      </c>
      <c r="J5000">
        <v>-205.07329999999999</v>
      </c>
      <c r="K5000">
        <v>1.1197250000000001</v>
      </c>
      <c r="L5000">
        <v>215.39099999999999</v>
      </c>
      <c r="M5000">
        <v>0.99717460000000002</v>
      </c>
      <c r="N5000">
        <v>-1.3676779999999999E-2</v>
      </c>
      <c r="O5000">
        <v>-7.3865059999999996E-2</v>
      </c>
      <c r="P5000">
        <v>0.97371430000000003</v>
      </c>
      <c r="Q5000">
        <v>-9.3564190000000005E-2</v>
      </c>
      <c r="R5000">
        <v>-0.2076693</v>
      </c>
      <c r="S5000">
        <v>2.7039339999999998</v>
      </c>
      <c r="T5000">
        <v>-0.27322109999999999</v>
      </c>
      <c r="U5000">
        <v>-1.679047</v>
      </c>
      <c r="V5000">
        <v>0.1348898</v>
      </c>
      <c r="W5000">
        <v>-8.053892E-2</v>
      </c>
      <c r="X5000">
        <v>0.98758199999999996</v>
      </c>
      <c r="Y5000">
        <v>0.46155819999999997</v>
      </c>
      <c r="Z5000">
        <v>-1.893007E-2</v>
      </c>
      <c r="AA5000">
        <v>0.88690789999999997</v>
      </c>
      <c r="AB5000">
        <v>22</v>
      </c>
      <c r="AC5000">
        <v>10.869599999999901</v>
      </c>
      <c r="AD5000">
        <v>-1.119721055684</v>
      </c>
      <c r="AE5000">
        <v>-6.8632999999999802</v>
      </c>
      <c r="AF5000">
        <v>5.99609660976044</v>
      </c>
      <c r="AG5000">
        <v>-1.119721055684</v>
      </c>
      <c r="AH5000">
        <v>11.261466033404499</v>
      </c>
      <c r="AI5000">
        <v>95.015669151653796</v>
      </c>
      <c r="AJ5000">
        <v>61.967212117534302</v>
      </c>
      <c r="AK5000">
        <v>12.8073247408523</v>
      </c>
      <c r="AL5000">
        <v>94.619543577310907</v>
      </c>
      <c r="AM5000">
        <v>82.222330715870498</v>
      </c>
      <c r="AN5000">
        <v>0.99999999125140304</v>
      </c>
    </row>
    <row r="5001" spans="1:40" x14ac:dyDescent="0.25">
      <c r="A5001" t="str">
        <f>"20190303153909523"</f>
        <v>20190303153909523</v>
      </c>
      <c r="B5001" t="str">
        <f>"1551598749513696"</f>
        <v>1551598749513696</v>
      </c>
      <c r="C5001" t="s">
        <v>40</v>
      </c>
      <c r="D5001">
        <v>4.998704</v>
      </c>
      <c r="E5001">
        <v>0.63768789999999997</v>
      </c>
      <c r="F5001" t="s">
        <v>51</v>
      </c>
      <c r="G5001">
        <v>-194.0582</v>
      </c>
      <c r="H5001" s="1">
        <v>3.9911669999999997E-6</v>
      </c>
      <c r="I5001">
        <v>208.44829999999999</v>
      </c>
      <c r="J5001">
        <v>-204.85599999999999</v>
      </c>
      <c r="K5001">
        <v>1.1196870000000001</v>
      </c>
      <c r="L5001">
        <v>215.37200000000001</v>
      </c>
      <c r="M5001">
        <v>0.99698929999999997</v>
      </c>
      <c r="N5001">
        <v>-1.367637E-2</v>
      </c>
      <c r="O5001">
        <v>-7.6324569999999994E-2</v>
      </c>
      <c r="P5001">
        <v>0.97222260000000005</v>
      </c>
      <c r="Q5001">
        <v>-9.3175090000000002E-2</v>
      </c>
      <c r="R5001">
        <v>-0.2147134</v>
      </c>
      <c r="S5001">
        <v>2.6927189999999999</v>
      </c>
      <c r="T5001">
        <v>-0.27372190000000002</v>
      </c>
      <c r="U5001">
        <v>-1.6971889999999901</v>
      </c>
      <c r="V5001">
        <v>0.13958719999999999</v>
      </c>
      <c r="W5001">
        <v>-8.0188449999999994E-2</v>
      </c>
      <c r="X5001">
        <v>0.98695759999999999</v>
      </c>
      <c r="Y5001">
        <v>0.46529189999999998</v>
      </c>
      <c r="Z5001">
        <v>-1.899588E-2</v>
      </c>
      <c r="AA5001">
        <v>0.8849534</v>
      </c>
      <c r="AB5001">
        <v>22</v>
      </c>
      <c r="AC5001">
        <v>10.797799999999899</v>
      </c>
      <c r="AD5001">
        <v>-1.1196830088330001</v>
      </c>
      <c r="AE5001">
        <v>-6.9237000000000197</v>
      </c>
      <c r="AF5001">
        <v>6.03331273120848</v>
      </c>
      <c r="AG5001">
        <v>-1.1196830088330001</v>
      </c>
      <c r="AH5001">
        <v>11.2093815263178</v>
      </c>
      <c r="AI5001">
        <v>95.0266137291337</v>
      </c>
      <c r="AJ5001">
        <v>61.709183515310301</v>
      </c>
      <c r="AK5001">
        <v>12.7790761307454</v>
      </c>
      <c r="AL5001">
        <v>94.599397746035606</v>
      </c>
      <c r="AM5001">
        <v>81.9499457994973</v>
      </c>
      <c r="AN5001">
        <v>1.0000000390574999</v>
      </c>
    </row>
    <row r="5002" spans="1:40" x14ac:dyDescent="0.25">
      <c r="A5002" t="str">
        <f>"20190303153909545"</f>
        <v>20190303153909545</v>
      </c>
      <c r="B5002" t="str">
        <f>"1551598749543952"</f>
        <v>1551598749543952</v>
      </c>
      <c r="C5002" t="s">
        <v>40</v>
      </c>
      <c r="D5002">
        <v>5.0160499999999999</v>
      </c>
      <c r="E5002">
        <v>0.63761109999999999</v>
      </c>
      <c r="F5002" t="s">
        <v>51</v>
      </c>
      <c r="G5002">
        <v>-193.93129999999999</v>
      </c>
      <c r="H5002" s="1">
        <v>4.032932E-6</v>
      </c>
      <c r="I5002">
        <v>208.37549999999999</v>
      </c>
      <c r="J5002">
        <v>-204.6404</v>
      </c>
      <c r="K5002">
        <v>1.119632</v>
      </c>
      <c r="L5002">
        <v>215.3526</v>
      </c>
      <c r="M5002">
        <v>0.99679209999999996</v>
      </c>
      <c r="N5002">
        <v>-1.3676779999999999E-2</v>
      </c>
      <c r="O5002">
        <v>-7.8857969999999999E-2</v>
      </c>
      <c r="P5002">
        <v>0.9704161</v>
      </c>
      <c r="Q5002">
        <v>-9.3644839999999993E-2</v>
      </c>
      <c r="R5002">
        <v>-0.22253790000000001</v>
      </c>
      <c r="S5002">
        <v>2.6802830000000002</v>
      </c>
      <c r="T5002">
        <v>-0.27470609999999901</v>
      </c>
      <c r="U5002">
        <v>-1.716537</v>
      </c>
      <c r="V5002">
        <v>0.1450111</v>
      </c>
      <c r="W5002">
        <v>-8.0709459999999997E-2</v>
      </c>
      <c r="X5002">
        <v>0.98613269999999997</v>
      </c>
      <c r="Y5002">
        <v>0.46940700000000002</v>
      </c>
      <c r="Z5002">
        <v>-1.9106450000000001E-2</v>
      </c>
      <c r="AA5002">
        <v>0.88277519999999998</v>
      </c>
      <c r="AB5002">
        <v>22</v>
      </c>
      <c r="AC5002">
        <v>10.709099999999999</v>
      </c>
      <c r="AD5002">
        <v>-1.1196279670680001</v>
      </c>
      <c r="AE5002">
        <v>-6.9771000000000001</v>
      </c>
      <c r="AF5002">
        <v>6.0642578314031397</v>
      </c>
      <c r="AG5002">
        <v>-1.1196279670680001</v>
      </c>
      <c r="AH5002">
        <v>11.140509665538699</v>
      </c>
      <c r="AI5002">
        <v>95.044438568504205</v>
      </c>
      <c r="AJ5002">
        <v>61.438649239887901</v>
      </c>
      <c r="AK5002">
        <v>12.733410597256899</v>
      </c>
      <c r="AL5002">
        <v>94.62934681614</v>
      </c>
      <c r="AM5002">
        <v>81.634592434080005</v>
      </c>
      <c r="AN5002">
        <v>0.99999996903299504</v>
      </c>
    </row>
    <row r="5003" spans="1:40" x14ac:dyDescent="0.25">
      <c r="A5003" t="str">
        <f>"20190303153909569"</f>
        <v>20190303153909569</v>
      </c>
      <c r="B5003" t="str">
        <f>"1551598749563475"</f>
        <v>1551598749563475</v>
      </c>
      <c r="C5003" t="s">
        <v>40</v>
      </c>
      <c r="D5003">
        <v>5.0097529999999999</v>
      </c>
      <c r="E5003">
        <v>0.63754259999999996</v>
      </c>
      <c r="F5003" t="s">
        <v>51</v>
      </c>
      <c r="G5003">
        <v>-193.85939999999999</v>
      </c>
      <c r="H5003" s="1">
        <v>4.058354E-6</v>
      </c>
      <c r="I5003">
        <v>208.32769999999999</v>
      </c>
      <c r="J5003">
        <v>-204.41759999999999</v>
      </c>
      <c r="K5003">
        <v>1.119543</v>
      </c>
      <c r="L5003">
        <v>215.33179999999999</v>
      </c>
      <c r="M5003">
        <v>0.99657059999999997</v>
      </c>
      <c r="N5003">
        <v>-1.3678279999999999E-2</v>
      </c>
      <c r="O5003">
        <v>-8.1607940000000004E-2</v>
      </c>
      <c r="P5003">
        <v>0.96827180000000002</v>
      </c>
      <c r="Q5003">
        <v>-9.41028E-2</v>
      </c>
      <c r="R5003">
        <v>-0.23150470000000001</v>
      </c>
      <c r="S5003">
        <v>2.6663359999999998</v>
      </c>
      <c r="T5003">
        <v>-0.27690389999999998</v>
      </c>
      <c r="U5003">
        <v>-1.7373810000000001</v>
      </c>
      <c r="V5003">
        <v>0.1513862</v>
      </c>
      <c r="W5003">
        <v>-8.1234810000000005E-2</v>
      </c>
      <c r="X5003">
        <v>0.98513099999999998</v>
      </c>
      <c r="Y5003">
        <v>0.47387869999999999</v>
      </c>
      <c r="Z5003">
        <v>-1.9288980000000001E-2</v>
      </c>
      <c r="AA5003">
        <v>0.88037889999999996</v>
      </c>
      <c r="AB5003">
        <v>22</v>
      </c>
      <c r="AC5003">
        <v>10.558199999999999</v>
      </c>
      <c r="AD5003">
        <v>-1.119538941646</v>
      </c>
      <c r="AE5003">
        <v>-7.0040999999999896</v>
      </c>
      <c r="AF5003">
        <v>6.0716155377371601</v>
      </c>
      <c r="AG5003">
        <v>-1.119538941646</v>
      </c>
      <c r="AH5003">
        <v>11.008669693178801</v>
      </c>
      <c r="AI5003">
        <v>95.088774703645797</v>
      </c>
      <c r="AJ5003">
        <v>61.121930715715798</v>
      </c>
      <c r="AK5003">
        <v>12.621754675696501</v>
      </c>
      <c r="AL5003">
        <v>94.659546260954002</v>
      </c>
      <c r="AM5003">
        <v>81.263633915783799</v>
      </c>
      <c r="AN5003">
        <v>0.99999998153358705</v>
      </c>
    </row>
    <row r="5004" spans="1:40" x14ac:dyDescent="0.25">
      <c r="A5004" t="str">
        <f>"20190303153909591"</f>
        <v>20190303153909591</v>
      </c>
      <c r="B5004" t="str">
        <f>"1551598749583968"</f>
        <v>1551598749583968</v>
      </c>
      <c r="C5004" t="s">
        <v>40</v>
      </c>
      <c r="D5004">
        <v>4.9798980000000004</v>
      </c>
      <c r="E5004">
        <v>0.63749239999999996</v>
      </c>
      <c r="F5004" t="s">
        <v>51</v>
      </c>
      <c r="G5004">
        <v>-193.75020000000001</v>
      </c>
      <c r="H5004" s="1">
        <v>4.1005610000000002E-6</v>
      </c>
      <c r="I5004">
        <v>208.2415</v>
      </c>
      <c r="J5004">
        <v>-204.20160000000001</v>
      </c>
      <c r="K5004">
        <v>1.1194390000000001</v>
      </c>
      <c r="L5004">
        <v>215.3108</v>
      </c>
      <c r="M5004">
        <v>0.99633320000000003</v>
      </c>
      <c r="N5004">
        <v>-1.368145E-2</v>
      </c>
      <c r="O5004">
        <v>-8.4457149999999995E-2</v>
      </c>
      <c r="P5004">
        <v>0.96583350000000001</v>
      </c>
      <c r="Q5004">
        <v>-9.4631000000000007E-2</v>
      </c>
      <c r="R5004">
        <v>-0.24126900000000001</v>
      </c>
      <c r="S5004">
        <v>2.650131</v>
      </c>
      <c r="T5004">
        <v>-0.27812900000000002</v>
      </c>
      <c r="U5004">
        <v>-1.7614590000000001</v>
      </c>
      <c r="V5004">
        <v>0.15848389999999901</v>
      </c>
      <c r="W5004">
        <v>-8.1845570000000006E-2</v>
      </c>
      <c r="X5004">
        <v>0.98396349999999999</v>
      </c>
      <c r="Y5004">
        <v>0.47934539999999998</v>
      </c>
      <c r="Z5004">
        <v>-1.9473899999999999E-2</v>
      </c>
      <c r="AA5004">
        <v>0.87741019999999903</v>
      </c>
      <c r="AB5004">
        <v>22</v>
      </c>
      <c r="AC5004">
        <v>10.4514</v>
      </c>
      <c r="AD5004">
        <v>-1.11943489943899</v>
      </c>
      <c r="AE5004">
        <v>-7.0692999999999904</v>
      </c>
      <c r="AF5004">
        <v>6.1131421478326198</v>
      </c>
      <c r="AG5004">
        <v>-1.11943489943899</v>
      </c>
      <c r="AH5004">
        <v>10.925166896264299</v>
      </c>
      <c r="AI5004">
        <v>95.109662752244105</v>
      </c>
      <c r="AJ5004">
        <v>60.770944988984198</v>
      </c>
      <c r="AK5004">
        <v>12.569125392202899</v>
      </c>
      <c r="AL5004">
        <v>94.694657031817499</v>
      </c>
      <c r="AM5004">
        <v>80.850132865134199</v>
      </c>
      <c r="AN5004">
        <v>1.0000000066100401</v>
      </c>
    </row>
    <row r="5005" spans="1:40" x14ac:dyDescent="0.25">
      <c r="A5005" t="str">
        <f>"20190303153909613"</f>
        <v>20190303153909613</v>
      </c>
      <c r="B5005" t="str">
        <f>"1551598749603488"</f>
        <v>1551598749603488</v>
      </c>
      <c r="C5005" t="s">
        <v>40</v>
      </c>
      <c r="D5005">
        <v>4.9571009999999998</v>
      </c>
      <c r="E5005">
        <v>0.63744089999999998</v>
      </c>
      <c r="F5005" t="s">
        <v>51</v>
      </c>
      <c r="G5005">
        <v>-193.65549999999999</v>
      </c>
      <c r="H5005" s="1">
        <v>4.1421020000000002E-6</v>
      </c>
      <c r="I5005">
        <v>208.148</v>
      </c>
      <c r="J5005">
        <v>-203.98689999999999</v>
      </c>
      <c r="K5005">
        <v>1.1193059999999999</v>
      </c>
      <c r="L5005">
        <v>215.28899999999999</v>
      </c>
      <c r="M5005">
        <v>0.99607120000000005</v>
      </c>
      <c r="N5005">
        <v>-1.368627E-2</v>
      </c>
      <c r="O5005">
        <v>-8.74915E-2</v>
      </c>
      <c r="P5005">
        <v>0.96334649999999999</v>
      </c>
      <c r="Q5005">
        <v>-9.4123570000000004E-2</v>
      </c>
      <c r="R5005">
        <v>-0.25120579999999998</v>
      </c>
      <c r="S5005">
        <v>2.6321560000000002</v>
      </c>
      <c r="T5005">
        <v>-0.27939509999999901</v>
      </c>
      <c r="U5005">
        <v>-1.78772</v>
      </c>
      <c r="V5005">
        <v>0.16558299999999901</v>
      </c>
      <c r="W5005">
        <v>-8.1429920000000003E-2</v>
      </c>
      <c r="X5005">
        <v>0.98282829999999999</v>
      </c>
      <c r="Y5005">
        <v>0.48539680000000002</v>
      </c>
      <c r="Z5005">
        <v>-1.9685060000000001E-2</v>
      </c>
      <c r="AA5005">
        <v>0.87407230000000002</v>
      </c>
      <c r="AB5005">
        <v>22</v>
      </c>
      <c r="AC5005">
        <v>10.3314</v>
      </c>
      <c r="AD5005">
        <v>-1.1193018578980001</v>
      </c>
      <c r="AE5005">
        <v>-7.1410000000000098</v>
      </c>
      <c r="AF5005">
        <v>6.1606833498702001</v>
      </c>
      <c r="AG5005">
        <v>-1.1193018578980001</v>
      </c>
      <c r="AH5005">
        <v>10.830584217519901</v>
      </c>
      <c r="AI5005">
        <v>95.133128544065002</v>
      </c>
      <c r="AJ5005">
        <v>60.367793604875502</v>
      </c>
      <c r="AK5005">
        <v>12.510332149038</v>
      </c>
      <c r="AL5005">
        <v>94.670762244974696</v>
      </c>
      <c r="AM5005">
        <v>80.436841037612197</v>
      </c>
      <c r="AN5005">
        <v>1.0000000145205401</v>
      </c>
    </row>
    <row r="5006" spans="1:40" x14ac:dyDescent="0.25">
      <c r="A5006" t="str">
        <f>"20190303153909636"</f>
        <v>20190303153909636</v>
      </c>
      <c r="B5006" t="str">
        <f>"1551598749633744"</f>
        <v>1551598749633744</v>
      </c>
      <c r="C5006" t="s">
        <v>40</v>
      </c>
      <c r="D5006">
        <v>4.9823729999999999</v>
      </c>
      <c r="E5006">
        <v>0.63728929999999995</v>
      </c>
      <c r="F5006" t="s">
        <v>51</v>
      </c>
      <c r="G5006">
        <v>-193.35990000000001</v>
      </c>
      <c r="H5006" s="1">
        <v>4.2570229999999996E-6</v>
      </c>
      <c r="I5006">
        <v>207.9128</v>
      </c>
      <c r="J5006">
        <v>-203.768</v>
      </c>
      <c r="K5006">
        <v>1.119186</v>
      </c>
      <c r="L5006">
        <v>215.26599999999999</v>
      </c>
      <c r="M5006">
        <v>0.99577729999999998</v>
      </c>
      <c r="N5006">
        <v>-1.369226E-2</v>
      </c>
      <c r="O5006">
        <v>-9.0775880000000003E-2</v>
      </c>
      <c r="P5006">
        <v>0.95958189999999999</v>
      </c>
      <c r="Q5006">
        <v>-9.2666879999999993E-2</v>
      </c>
      <c r="R5006">
        <v>-0.26573600000000003</v>
      </c>
      <c r="S5006">
        <v>2.61409</v>
      </c>
      <c r="T5006">
        <v>-0.27533400000000002</v>
      </c>
      <c r="U5006">
        <v>-1.8144530000000001</v>
      </c>
      <c r="V5006">
        <v>0.17713860000000001</v>
      </c>
      <c r="W5006">
        <v>-8.0100340000000006E-2</v>
      </c>
      <c r="X5006">
        <v>0.98092089999999998</v>
      </c>
      <c r="Y5006">
        <v>0.49139329999999998</v>
      </c>
      <c r="Z5006">
        <v>-1.9588850000000001E-2</v>
      </c>
      <c r="AA5006">
        <v>0.87071749999999903</v>
      </c>
      <c r="AB5006">
        <v>22</v>
      </c>
      <c r="AC5006">
        <v>10.4080999999999</v>
      </c>
      <c r="AD5006">
        <v>-1.1191817429769999</v>
      </c>
      <c r="AE5006">
        <v>-7.3531999999999798</v>
      </c>
      <c r="AF5006">
        <v>6.3291263439724998</v>
      </c>
      <c r="AG5006">
        <v>-1.1191817429769999</v>
      </c>
      <c r="AH5006">
        <v>10.9482330892462</v>
      </c>
      <c r="AI5006">
        <v>95.057543155592001</v>
      </c>
      <c r="AJ5006">
        <v>59.967978310161897</v>
      </c>
      <c r="AK5006">
        <v>12.6954407496646</v>
      </c>
      <c r="AL5006">
        <v>94.594333395149803</v>
      </c>
      <c r="AM5006">
        <v>79.763620070988097</v>
      </c>
      <c r="AN5006">
        <v>0.99999998006744195</v>
      </c>
    </row>
    <row r="5007" spans="1:40" x14ac:dyDescent="0.25">
      <c r="A5007" t="str">
        <f>"20190303153909668"</f>
        <v>20190303153909668</v>
      </c>
      <c r="B5007" t="str">
        <f>"1551598749664000"</f>
        <v>1551598749664000</v>
      </c>
      <c r="C5007" t="s">
        <v>40</v>
      </c>
      <c r="D5007">
        <v>4.979533</v>
      </c>
      <c r="E5007">
        <v>0.63701379999999996</v>
      </c>
      <c r="F5007" t="s">
        <v>51</v>
      </c>
      <c r="G5007">
        <v>-192.9573</v>
      </c>
      <c r="H5007" s="1">
        <v>4.4832980000000003E-6</v>
      </c>
      <c r="I5007">
        <v>207.52529999999999</v>
      </c>
      <c r="J5007">
        <v>-203.45140000000001</v>
      </c>
      <c r="K5007">
        <v>1.1190290000000001</v>
      </c>
      <c r="L5007">
        <v>215.23099999999999</v>
      </c>
      <c r="M5007">
        <v>0.99529789999999996</v>
      </c>
      <c r="N5007">
        <v>-1.3701619999999999E-2</v>
      </c>
      <c r="O5007">
        <v>-9.5887390000000003E-2</v>
      </c>
      <c r="P5007">
        <v>0.95454559999999999</v>
      </c>
      <c r="Q5007">
        <v>-9.1504429999999998E-2</v>
      </c>
      <c r="R5007">
        <v>-0.28367239999999999</v>
      </c>
      <c r="S5007">
        <v>2.5874480000000002</v>
      </c>
      <c r="T5007">
        <v>-0.2678664</v>
      </c>
      <c r="U5007">
        <v>-1.8526609999999999</v>
      </c>
      <c r="V5007">
        <v>0.19041269999999999</v>
      </c>
      <c r="W5007">
        <v>-7.9110219999999995E-2</v>
      </c>
      <c r="X5007">
        <v>0.97851140000000003</v>
      </c>
      <c r="Y5007">
        <v>0.49970720000000002</v>
      </c>
      <c r="Z5007">
        <v>-1.9318519999999999E-2</v>
      </c>
      <c r="AA5007">
        <v>0.86597900000000005</v>
      </c>
      <c r="AB5007">
        <v>22</v>
      </c>
      <c r="AC5007">
        <v>10.4941</v>
      </c>
      <c r="AD5007">
        <v>-1.1190245167020001</v>
      </c>
      <c r="AE5007">
        <v>-7.7057000000000002</v>
      </c>
      <c r="AF5007">
        <v>6.6149722743807997</v>
      </c>
      <c r="AG5007">
        <v>-1.1190245167020001</v>
      </c>
      <c r="AH5007">
        <v>11.102663593329201</v>
      </c>
      <c r="AI5007">
        <v>94.948654033158306</v>
      </c>
      <c r="AJ5007">
        <v>59.213494017772398</v>
      </c>
      <c r="AK5007">
        <v>12.9722477977583</v>
      </c>
      <c r="AL5007">
        <v>94.537423035169297</v>
      </c>
      <c r="AM5007">
        <v>78.988188400438204</v>
      </c>
      <c r="AN5007">
        <v>0.99999999157984898</v>
      </c>
    </row>
    <row r="5008" spans="1:40" x14ac:dyDescent="0.25">
      <c r="A5008" t="str">
        <f>"20190303153909691"</f>
        <v>20190303153909691</v>
      </c>
      <c r="B5008" t="str">
        <f>"1551598749683520"</f>
        <v>1551598749683520</v>
      </c>
      <c r="C5008" t="s">
        <v>40</v>
      </c>
      <c r="D5008">
        <v>4.9899760000000004</v>
      </c>
      <c r="E5008">
        <v>0.63669339999999996</v>
      </c>
      <c r="F5008" t="s">
        <v>51</v>
      </c>
      <c r="G5008">
        <v>-192.58019999999999</v>
      </c>
      <c r="H5008" s="1">
        <v>4.7006499999999996E-6</v>
      </c>
      <c r="I5008">
        <v>207.14699999999999</v>
      </c>
      <c r="J5008">
        <v>-203.2363</v>
      </c>
      <c r="K5008">
        <v>1.1189039999999999</v>
      </c>
      <c r="L5008">
        <v>215.20590000000001</v>
      </c>
      <c r="M5008">
        <v>0.99492559999999997</v>
      </c>
      <c r="N5008">
        <v>-1.370971E-2</v>
      </c>
      <c r="O5008">
        <v>-9.9675399999999997E-2</v>
      </c>
      <c r="P5008">
        <v>0.95027439999999996</v>
      </c>
      <c r="Q5008">
        <v>-9.1350730000000005E-2</v>
      </c>
      <c r="R5008">
        <v>-0.29771419999999998</v>
      </c>
      <c r="S5008">
        <v>2.553391</v>
      </c>
      <c r="T5008">
        <v>-0.26283260000000003</v>
      </c>
      <c r="U5008">
        <v>-1.8987430000000001</v>
      </c>
      <c r="V5008">
        <v>0.2010633</v>
      </c>
      <c r="W5008">
        <v>-7.910006E-2</v>
      </c>
      <c r="X5008">
        <v>0.97637940000000001</v>
      </c>
      <c r="Y5008">
        <v>0.51196220000000003</v>
      </c>
      <c r="Z5008">
        <v>-1.9514589999999998E-2</v>
      </c>
      <c r="AA5008">
        <v>0.8587863</v>
      </c>
      <c r="AB5008">
        <v>22</v>
      </c>
      <c r="AC5008">
        <v>10.6561</v>
      </c>
      <c r="AD5008">
        <v>-1.11889929935</v>
      </c>
      <c r="AE5008">
        <v>-8.0588999999999906</v>
      </c>
      <c r="AF5008">
        <v>6.9080572480582303</v>
      </c>
      <c r="AG5008">
        <v>-1.11889929935</v>
      </c>
      <c r="AH5008">
        <v>11.3269284510713</v>
      </c>
      <c r="AI5008">
        <v>94.8206484334967</v>
      </c>
      <c r="AJ5008">
        <v>58.621856549885898</v>
      </c>
      <c r="AK5008">
        <v>13.314371886057</v>
      </c>
      <c r="AL5008">
        <v>94.536839035347697</v>
      </c>
      <c r="AM5008">
        <v>78.363888352368093</v>
      </c>
      <c r="AN5008">
        <v>1.0000000014216199</v>
      </c>
    </row>
    <row r="5009" spans="1:40" x14ac:dyDescent="0.25">
      <c r="A5009" t="str">
        <f>"20190303153909713"</f>
        <v>20190303153909713</v>
      </c>
      <c r="B5009" t="str">
        <f>"1551598749704016"</f>
        <v>1551598749704016</v>
      </c>
      <c r="C5009" t="s">
        <v>40</v>
      </c>
      <c r="D5009">
        <v>4.9919359999999999</v>
      </c>
      <c r="E5009">
        <v>0.62897209999999903</v>
      </c>
      <c r="F5009" t="s">
        <v>51</v>
      </c>
      <c r="G5009">
        <v>-192.5334</v>
      </c>
      <c r="H5009" s="1">
        <v>4.7586639999999997E-6</v>
      </c>
      <c r="I5009">
        <v>207.01220000000001</v>
      </c>
      <c r="J5009">
        <v>-203.02330000000001</v>
      </c>
      <c r="K5009">
        <v>1.1187499999999999</v>
      </c>
      <c r="L5009">
        <v>215.1799</v>
      </c>
      <c r="M5009">
        <v>0.9945138</v>
      </c>
      <c r="N5009">
        <v>-1.3720629999999999E-2</v>
      </c>
      <c r="O5009">
        <v>-0.10370269999999999</v>
      </c>
      <c r="P5009">
        <v>0.94537930000000003</v>
      </c>
      <c r="Q5009">
        <v>-9.0022519999999995E-2</v>
      </c>
      <c r="R5009">
        <v>-0.31329570000000001</v>
      </c>
      <c r="S5009">
        <v>2.5258180000000001</v>
      </c>
      <c r="T5009">
        <v>-0.2640537</v>
      </c>
      <c r="U5009">
        <v>-1.93367</v>
      </c>
      <c r="V5009">
        <v>0.2130958</v>
      </c>
      <c r="W5009">
        <v>-7.7943949999999998E-2</v>
      </c>
      <c r="X5009">
        <v>0.97391729999999999</v>
      </c>
      <c r="Y5009">
        <v>0.52042129999999998</v>
      </c>
      <c r="Z5009">
        <v>-1.981198E-2</v>
      </c>
      <c r="AA5009">
        <v>0.85367979999999999</v>
      </c>
      <c r="AB5009">
        <v>21</v>
      </c>
      <c r="AC5009">
        <v>10.4899</v>
      </c>
      <c r="AD5009">
        <v>-1.118745241336</v>
      </c>
      <c r="AE5009">
        <v>-8.1676999999999893</v>
      </c>
      <c r="AF5009">
        <v>6.9862502003444602</v>
      </c>
      <c r="AG5009">
        <v>-1.118745241336</v>
      </c>
      <c r="AH5009">
        <v>11.201106683654199</v>
      </c>
      <c r="AI5009">
        <v>94.843987044200603</v>
      </c>
      <c r="AJ5009">
        <v>58.047768212961202</v>
      </c>
      <c r="AK5009">
        <v>13.248549872171999</v>
      </c>
      <c r="AL5009">
        <v>94.470393686425894</v>
      </c>
      <c r="AM5009">
        <v>77.658027495244298</v>
      </c>
      <c r="AN5009">
        <v>0.99999999327926603</v>
      </c>
    </row>
    <row r="5010" spans="1:40" x14ac:dyDescent="0.25">
      <c r="A5010" t="str">
        <f>"20190303153909735"</f>
        <v>20190303153909735</v>
      </c>
      <c r="B5010" t="str">
        <f>"1551598749723536"</f>
        <v>1551598749723536</v>
      </c>
      <c r="C5010" t="s">
        <v>40</v>
      </c>
      <c r="D5010">
        <v>4.9911560000000001</v>
      </c>
      <c r="E5010">
        <v>0.63010809999999995</v>
      </c>
      <c r="F5010" t="s">
        <v>51</v>
      </c>
      <c r="G5010">
        <v>-193.37610000000001</v>
      </c>
      <c r="H5010" s="1">
        <v>4.2868189999999997E-6</v>
      </c>
      <c r="I5010">
        <v>207.8184</v>
      </c>
      <c r="J5010">
        <v>-202.81139999999999</v>
      </c>
      <c r="K5010">
        <v>1.118608</v>
      </c>
      <c r="L5010">
        <v>215.15289999999999</v>
      </c>
      <c r="M5010">
        <v>0.99406289999999997</v>
      </c>
      <c r="N5010">
        <v>-1.3733530000000001E-2</v>
      </c>
      <c r="O5010">
        <v>-0.1079383</v>
      </c>
      <c r="P5010">
        <v>0.93930380000000002</v>
      </c>
      <c r="Q5010">
        <v>-8.7238510000000005E-2</v>
      </c>
      <c r="R5010">
        <v>-0.33181040000000001</v>
      </c>
      <c r="S5010">
        <v>2.5106959999999998</v>
      </c>
      <c r="T5010">
        <v>-0.29115609999999997</v>
      </c>
      <c r="U5010">
        <v>-1.915848</v>
      </c>
      <c r="V5010">
        <v>0.22799939999999999</v>
      </c>
      <c r="W5010">
        <v>-7.5368359999999995E-2</v>
      </c>
      <c r="X5010">
        <v>0.97073980000000004</v>
      </c>
      <c r="Y5010">
        <v>0.51510639999999996</v>
      </c>
      <c r="Z5010">
        <v>-2.0725190000000001E-2</v>
      </c>
      <c r="AA5010">
        <v>0.85687569999999902</v>
      </c>
      <c r="AB5010">
        <v>21</v>
      </c>
      <c r="AC5010">
        <v>9.4352999999999803</v>
      </c>
      <c r="AD5010">
        <v>-1.118603713181</v>
      </c>
      <c r="AE5010">
        <v>-7.3344999999999896</v>
      </c>
      <c r="AF5010">
        <v>6.2186319093857598</v>
      </c>
      <c r="AG5010">
        <v>-1.118603713181</v>
      </c>
      <c r="AH5010">
        <v>10.0835684653317</v>
      </c>
      <c r="AI5010">
        <v>95.3939561530958</v>
      </c>
      <c r="AJ5010">
        <v>58.337473205014099</v>
      </c>
      <c r="AK5010">
        <v>11.899622266551299</v>
      </c>
      <c r="AL5010">
        <v>94.322387953074795</v>
      </c>
      <c r="AM5010">
        <v>76.782410142121904</v>
      </c>
      <c r="AN5010">
        <v>0.999999937696743</v>
      </c>
    </row>
    <row r="5011" spans="1:40" x14ac:dyDescent="0.25">
      <c r="A5011" t="str">
        <f>"20190303153909758"</f>
        <v>20190303153909758</v>
      </c>
      <c r="B5011" t="str">
        <f>"1551598749753792"</f>
        <v>1551598749753792</v>
      </c>
      <c r="C5011" t="s">
        <v>40</v>
      </c>
      <c r="D5011">
        <v>4.9439650000000004</v>
      </c>
      <c r="E5011">
        <v>0.63039339999999999</v>
      </c>
      <c r="F5011" t="s">
        <v>51</v>
      </c>
      <c r="G5011">
        <v>-193.14959999999999</v>
      </c>
      <c r="H5011" s="1">
        <v>4.4724760000000001E-6</v>
      </c>
      <c r="I5011">
        <v>207.43530000000001</v>
      </c>
      <c r="J5011">
        <v>-202.59829999999999</v>
      </c>
      <c r="K5011">
        <v>1.1184769999999999</v>
      </c>
      <c r="L5011">
        <v>215.12450000000001</v>
      </c>
      <c r="M5011">
        <v>0.9935638</v>
      </c>
      <c r="N5011">
        <v>-1.3746980000000001E-2</v>
      </c>
      <c r="O5011">
        <v>-0.1124376</v>
      </c>
      <c r="P5011">
        <v>0.93146929999999994</v>
      </c>
      <c r="Q5011">
        <v>-8.2170399999999894E-2</v>
      </c>
      <c r="R5011">
        <v>-0.35441980000000001</v>
      </c>
      <c r="S5011">
        <v>2.4702609999999998</v>
      </c>
      <c r="T5011">
        <v>-0.28599409999999997</v>
      </c>
      <c r="U5011">
        <v>-1.97316</v>
      </c>
      <c r="V5011">
        <v>0.2469587</v>
      </c>
      <c r="W5011">
        <v>-7.0561009999999993E-2</v>
      </c>
      <c r="X5011">
        <v>0.96645360000000002</v>
      </c>
      <c r="Y5011">
        <v>0.53014139999999998</v>
      </c>
      <c r="Z5011">
        <v>-2.106744E-2</v>
      </c>
      <c r="AA5011">
        <v>0.8476475</v>
      </c>
      <c r="AB5011">
        <v>21</v>
      </c>
      <c r="AC5011">
        <v>9.4487000000000005</v>
      </c>
      <c r="AD5011">
        <v>-1.1184725275239999</v>
      </c>
      <c r="AE5011">
        <v>-7.6891999999999996</v>
      </c>
      <c r="AF5011">
        <v>6.5229559732461002</v>
      </c>
      <c r="AG5011">
        <v>-1.1184725275239999</v>
      </c>
      <c r="AH5011">
        <v>10.1676986771876</v>
      </c>
      <c r="AI5011">
        <v>95.289781102971304</v>
      </c>
      <c r="AJ5011">
        <v>57.318322074484399</v>
      </c>
      <c r="AK5011">
        <v>12.1318601959393</v>
      </c>
      <c r="AL5011">
        <v>94.046210369427101</v>
      </c>
      <c r="AM5011">
        <v>75.665893884438702</v>
      </c>
      <c r="AN5011">
        <v>1.0000000082954299</v>
      </c>
    </row>
    <row r="5012" spans="1:40" x14ac:dyDescent="0.25">
      <c r="A5012" t="str">
        <f>"20190303153909781"</f>
        <v>20190303153909781</v>
      </c>
      <c r="B5012" t="str">
        <f>"1551598749773316"</f>
        <v>1551598749773316</v>
      </c>
      <c r="C5012" t="s">
        <v>40</v>
      </c>
      <c r="D5012">
        <v>5.0191150000000002</v>
      </c>
      <c r="E5012">
        <v>0.67233730000000003</v>
      </c>
      <c r="F5012" t="s">
        <v>51</v>
      </c>
      <c r="G5012">
        <v>-192.5531</v>
      </c>
      <c r="H5012" s="1">
        <v>4.8688139999999998E-6</v>
      </c>
      <c r="I5012">
        <v>206.68819999999999</v>
      </c>
      <c r="J5012">
        <v>-202.38120000000001</v>
      </c>
      <c r="K5012">
        <v>1.1183419999999999</v>
      </c>
      <c r="L5012">
        <v>215.0943</v>
      </c>
      <c r="M5012">
        <v>0.99300279999999996</v>
      </c>
      <c r="N5012">
        <v>-1.3760939999999999E-2</v>
      </c>
      <c r="O5012">
        <v>-0.11728619999999999</v>
      </c>
      <c r="P5012">
        <v>0.92194149999999997</v>
      </c>
      <c r="Q5012">
        <v>-7.8907190000000002E-2</v>
      </c>
      <c r="R5012">
        <v>-0.37920690000000001</v>
      </c>
      <c r="S5012">
        <v>2.4227449999999999</v>
      </c>
      <c r="T5012">
        <v>-0.2697582</v>
      </c>
      <c r="U5012">
        <v>-2.0346980000000001</v>
      </c>
      <c r="V5012">
        <v>0.26797199999999999</v>
      </c>
      <c r="W5012">
        <v>-6.7603369999999996E-2</v>
      </c>
      <c r="X5012">
        <v>0.96105189999999996</v>
      </c>
      <c r="Y5012">
        <v>0.54686459999999903</v>
      </c>
      <c r="Z5012">
        <v>-2.0876200000000001E-2</v>
      </c>
      <c r="AA5012">
        <v>0.8369607</v>
      </c>
      <c r="AB5012">
        <v>21</v>
      </c>
      <c r="AC5012">
        <v>9.8280999999999992</v>
      </c>
      <c r="AD5012">
        <v>-1.118337131186</v>
      </c>
      <c r="AE5012">
        <v>-8.4061000000000092</v>
      </c>
      <c r="AF5012">
        <v>7.1418569519507296</v>
      </c>
      <c r="AG5012">
        <v>-1.118337131186</v>
      </c>
      <c r="AH5012">
        <v>10.6665069123606</v>
      </c>
      <c r="AI5012">
        <v>94.9790595304015</v>
      </c>
      <c r="AJ5012">
        <v>56.195352751582497</v>
      </c>
      <c r="AK5012">
        <v>12.885308237390101</v>
      </c>
      <c r="AL5012">
        <v>93.876344307698503</v>
      </c>
      <c r="AM5012">
        <v>74.419829896714504</v>
      </c>
      <c r="AN5012">
        <v>0.99999998145648294</v>
      </c>
    </row>
    <row r="5013" spans="1:40" x14ac:dyDescent="0.25">
      <c r="A5013" t="str">
        <f>"20190303153909803"</f>
        <v>20190303153909803</v>
      </c>
      <c r="B5013" t="str">
        <f>"1551598749793809"</f>
        <v>1551598749793809</v>
      </c>
      <c r="C5013" t="s">
        <v>40</v>
      </c>
      <c r="D5013">
        <v>4.9944989999999896</v>
      </c>
      <c r="E5013">
        <v>0.71675800000000001</v>
      </c>
      <c r="F5013" t="s">
        <v>51</v>
      </c>
      <c r="G5013">
        <v>-189.0889</v>
      </c>
      <c r="H5013" s="1">
        <v>7.3198450000000004E-6</v>
      </c>
      <c r="I5013">
        <v>200.83750000000001</v>
      </c>
      <c r="J5013">
        <v>-202.1643</v>
      </c>
      <c r="K5013">
        <v>1.118187</v>
      </c>
      <c r="L5013">
        <v>215.0626</v>
      </c>
      <c r="M5013">
        <v>0.99238249999999995</v>
      </c>
      <c r="N5013">
        <v>-1.3776770000000001E-2</v>
      </c>
      <c r="O5013">
        <v>-0.1224223</v>
      </c>
      <c r="P5013">
        <v>0.91060529999999995</v>
      </c>
      <c r="Q5013">
        <v>-7.8090409999999999E-2</v>
      </c>
      <c r="R5013">
        <v>-0.40583239999999998</v>
      </c>
      <c r="S5013">
        <v>2.2467039999999998</v>
      </c>
      <c r="T5013">
        <v>-0.18902360000000001</v>
      </c>
      <c r="U5013">
        <v>-2.4097140000000001</v>
      </c>
      <c r="V5013">
        <v>0.29079290000000002</v>
      </c>
      <c r="W5013">
        <v>-6.713964E-2</v>
      </c>
      <c r="X5013">
        <v>0.95442740000000004</v>
      </c>
      <c r="Y5013">
        <v>0.64122069999999998</v>
      </c>
      <c r="Z5013">
        <v>-2.0285419999999998E-2</v>
      </c>
      <c r="AA5013">
        <v>0.7670884</v>
      </c>
      <c r="AB5013">
        <v>21</v>
      </c>
      <c r="AC5013">
        <v>13.0754</v>
      </c>
      <c r="AD5013">
        <v>-1.1181796801549999</v>
      </c>
      <c r="AE5013">
        <v>-14.2250999999999</v>
      </c>
      <c r="AF5013">
        <v>12.4754245879467</v>
      </c>
      <c r="AG5013">
        <v>-1.1181796801549999</v>
      </c>
      <c r="AH5013">
        <v>14.6695327762194</v>
      </c>
      <c r="AI5013">
        <v>93.323216093656399</v>
      </c>
      <c r="AJ5013">
        <v>49.621131962081002</v>
      </c>
      <c r="AK5013">
        <v>19.289420320974799</v>
      </c>
      <c r="AL5013">
        <v>93.8497141439628</v>
      </c>
      <c r="AM5013">
        <v>73.055181912473103</v>
      </c>
      <c r="AN5013">
        <v>0.99999995191024804</v>
      </c>
    </row>
    <row r="5014" spans="1:40" x14ac:dyDescent="0.25">
      <c r="A5014" t="str">
        <f>"20190303153909831"</f>
        <v>20190303153909831</v>
      </c>
      <c r="B5014" t="str">
        <f>"1551598749824065"</f>
        <v>1551598749824065</v>
      </c>
      <c r="C5014" t="s">
        <v>40</v>
      </c>
      <c r="D5014">
        <v>4.9368670000000003</v>
      </c>
      <c r="E5014">
        <v>0.71614319999999998</v>
      </c>
      <c r="F5014" t="s">
        <v>42</v>
      </c>
      <c r="G5014">
        <v>-188.21979999999999</v>
      </c>
      <c r="H5014" s="1">
        <v>-2.9945709999999999E-6</v>
      </c>
      <c r="I5014">
        <v>195.87710000000001</v>
      </c>
      <c r="J5014">
        <v>-201.90639999999999</v>
      </c>
      <c r="K5014">
        <v>1.117982</v>
      </c>
      <c r="L5014">
        <v>215.0232</v>
      </c>
      <c r="M5014">
        <v>0.99155879999999996</v>
      </c>
      <c r="N5014">
        <v>-1.3799550000000001E-2</v>
      </c>
      <c r="O5014">
        <v>-0.12892229999999999</v>
      </c>
      <c r="P5014">
        <v>0.89917359999999902</v>
      </c>
      <c r="Q5014">
        <v>-7.8176709999999996E-2</v>
      </c>
      <c r="R5014">
        <v>-0.43055260000000001</v>
      </c>
      <c r="S5014">
        <v>2.0335999999999999</v>
      </c>
      <c r="T5014">
        <v>-0.16307160000000001</v>
      </c>
      <c r="U5014">
        <v>-2.7979280000000002</v>
      </c>
      <c r="V5014">
        <v>0.31049159999999998</v>
      </c>
      <c r="W5014">
        <v>-6.7593619999999993E-2</v>
      </c>
      <c r="X5014">
        <v>0.94816979999999995</v>
      </c>
      <c r="Y5014">
        <v>0.72536089999999998</v>
      </c>
      <c r="Z5014">
        <v>-2.16733E-2</v>
      </c>
      <c r="AA5014">
        <v>0.68802750000000001</v>
      </c>
      <c r="AB5014">
        <v>21</v>
      </c>
      <c r="AC5014">
        <v>13.6866</v>
      </c>
      <c r="AD5014">
        <v>-1.1179849945710001</v>
      </c>
      <c r="AE5014">
        <v>-19.146099999999901</v>
      </c>
      <c r="AF5014">
        <v>17.182839913257801</v>
      </c>
      <c r="AG5014">
        <v>-1.1179849945710001</v>
      </c>
      <c r="AH5014">
        <v>16.004837777912002</v>
      </c>
      <c r="AI5014">
        <v>92.725809531928604</v>
      </c>
      <c r="AJ5014">
        <v>42.967130239301298</v>
      </c>
      <c r="AK5014">
        <v>23.508609278943101</v>
      </c>
      <c r="AL5014">
        <v>93.875784513707998</v>
      </c>
      <c r="AM5014">
        <v>71.868234634378794</v>
      </c>
      <c r="AN5014">
        <v>0.99999995038364997</v>
      </c>
    </row>
    <row r="5015" spans="1:40" x14ac:dyDescent="0.25">
      <c r="A5015" t="str">
        <f>"20190303153909847"</f>
        <v>20190303153909847</v>
      </c>
      <c r="B5015" t="str">
        <f>"1551598749843585"</f>
        <v>1551598749843585</v>
      </c>
      <c r="C5015" t="s">
        <v>40</v>
      </c>
      <c r="D5015">
        <v>4.9233169999999999</v>
      </c>
      <c r="E5015">
        <v>0.71440789999999998</v>
      </c>
      <c r="F5015" t="s">
        <v>42</v>
      </c>
      <c r="G5015">
        <v>-188.821</v>
      </c>
      <c r="H5015" s="1">
        <v>-2.9373039999999999E-6</v>
      </c>
      <c r="I5015">
        <v>195.9922</v>
      </c>
      <c r="J5015">
        <v>-201.74510000000001</v>
      </c>
      <c r="K5015">
        <v>1.117839</v>
      </c>
      <c r="L5015">
        <v>214.9973</v>
      </c>
      <c r="M5015">
        <v>0.99098770000000003</v>
      </c>
      <c r="N5015">
        <v>-1.381658E-2</v>
      </c>
      <c r="O5015">
        <v>-0.13323869999999999</v>
      </c>
      <c r="P5015">
        <v>0.88959969999999999</v>
      </c>
      <c r="Q5015">
        <v>-7.7139970000000002E-2</v>
      </c>
      <c r="R5015">
        <v>-0.45018000000000002</v>
      </c>
      <c r="S5015">
        <v>1.958191</v>
      </c>
      <c r="T5015">
        <v>-0.16730239999999999</v>
      </c>
      <c r="U5015">
        <v>-2.8479160000000001</v>
      </c>
      <c r="V5015">
        <v>0.32707639999999999</v>
      </c>
      <c r="W5015">
        <v>-6.6863190000000003E-2</v>
      </c>
      <c r="X5015">
        <v>0.94262950000000001</v>
      </c>
      <c r="Y5015">
        <v>0.74010710000000002</v>
      </c>
      <c r="Z5015">
        <v>-2.2689629999999999E-2</v>
      </c>
      <c r="AA5015">
        <v>0.67210619999999999</v>
      </c>
      <c r="AB5015">
        <v>21</v>
      </c>
      <c r="AC5015">
        <v>12.924099999999999</v>
      </c>
      <c r="AD5015">
        <v>-1.1178419373040001</v>
      </c>
      <c r="AE5015">
        <v>-19.005099999999999</v>
      </c>
      <c r="AF5015">
        <v>17.0730749651607</v>
      </c>
      <c r="AG5015">
        <v>-1.1178419373040001</v>
      </c>
      <c r="AH5015">
        <v>15.3050970893957</v>
      </c>
      <c r="AI5015">
        <v>92.791100640910102</v>
      </c>
      <c r="AJ5015">
        <v>41.874524793541703</v>
      </c>
      <c r="AK5015">
        <v>22.956163797085601</v>
      </c>
      <c r="AL5015">
        <v>93.833838805814395</v>
      </c>
      <c r="AM5015">
        <v>70.864095815427802</v>
      </c>
      <c r="AN5015">
        <v>1.0000000159420901</v>
      </c>
    </row>
    <row r="5016" spans="1:40" x14ac:dyDescent="0.25">
      <c r="A5016" t="str">
        <f>"20190303153909870"</f>
        <v>20190303153909870</v>
      </c>
      <c r="B5016" t="str">
        <f>"1551598749863104"</f>
        <v>1551598749863104</v>
      </c>
      <c r="C5016" t="s">
        <v>40</v>
      </c>
      <c r="D5016">
        <v>4.9064480000000001</v>
      </c>
      <c r="E5016">
        <v>0.71194419999999903</v>
      </c>
      <c r="F5016" t="s">
        <v>42</v>
      </c>
      <c r="G5016">
        <v>-189.541</v>
      </c>
      <c r="H5016" s="1">
        <v>-3.0376450000000001E-6</v>
      </c>
      <c r="I5016">
        <v>196.52379999999999</v>
      </c>
      <c r="J5016">
        <v>-201.52979999999999</v>
      </c>
      <c r="K5016">
        <v>1.117658</v>
      </c>
      <c r="L5016">
        <v>214.96129999999999</v>
      </c>
      <c r="M5016">
        <v>0.99016170000000003</v>
      </c>
      <c r="N5016">
        <v>-1.3840649999999999E-2</v>
      </c>
      <c r="O5016">
        <v>-0.13924210000000001</v>
      </c>
      <c r="P5016">
        <v>0.8793356</v>
      </c>
      <c r="Q5016">
        <v>-7.5858969999999998E-2</v>
      </c>
      <c r="R5016">
        <v>-0.47012189999999998</v>
      </c>
      <c r="S5016">
        <v>1.9010309999999999</v>
      </c>
      <c r="T5016">
        <v>-0.17412610000000001</v>
      </c>
      <c r="U5016">
        <v>-2.8776090000000001</v>
      </c>
      <c r="V5016">
        <v>0.34252139999999998</v>
      </c>
      <c r="W5016">
        <v>-6.5914899999999901E-2</v>
      </c>
      <c r="X5016">
        <v>0.93719490000000005</v>
      </c>
      <c r="Y5016">
        <v>0.7483398</v>
      </c>
      <c r="Z5016">
        <v>-2.3567390000000001E-2</v>
      </c>
      <c r="AA5016">
        <v>0.66289679999999995</v>
      </c>
      <c r="AB5016">
        <v>21</v>
      </c>
      <c r="AC5016">
        <v>11.9887999999999</v>
      </c>
      <c r="AD5016">
        <v>-1.117661037645</v>
      </c>
      <c r="AE5016">
        <v>-18.4375</v>
      </c>
      <c r="AF5016">
        <v>16.545616774436901</v>
      </c>
      <c r="AG5016">
        <v>-1.117661037645</v>
      </c>
      <c r="AH5016">
        <v>14.4023126676753</v>
      </c>
      <c r="AI5016">
        <v>92.916767038712507</v>
      </c>
      <c r="AJ5016">
        <v>41.038296794146298</v>
      </c>
      <c r="AK5016">
        <v>21.964362290289198</v>
      </c>
      <c r="AL5016">
        <v>93.779385784370206</v>
      </c>
      <c r="AM5016">
        <v>69.923900495675696</v>
      </c>
      <c r="AN5016">
        <v>0.99999998204298901</v>
      </c>
    </row>
    <row r="5017" spans="1:40" x14ac:dyDescent="0.25">
      <c r="A5017" t="str">
        <f>"20190303153909892"</f>
        <v>20190303153909892</v>
      </c>
      <c r="B5017" t="str">
        <f>"1551598749883601"</f>
        <v>1551598749883601</v>
      </c>
      <c r="C5017" t="s">
        <v>40</v>
      </c>
      <c r="D5017">
        <v>4.8616510000000002</v>
      </c>
      <c r="E5017">
        <v>0.69529099999999999</v>
      </c>
      <c r="F5017" t="s">
        <v>42</v>
      </c>
      <c r="G5017">
        <v>-190.33</v>
      </c>
      <c r="H5017" s="1">
        <v>-3.4110980000000002E-6</v>
      </c>
      <c r="I5017">
        <v>197.33580000000001</v>
      </c>
      <c r="J5017">
        <v>-201.32409999999999</v>
      </c>
      <c r="K5017">
        <v>1.117472</v>
      </c>
      <c r="L5017">
        <v>214.92519999999999</v>
      </c>
      <c r="M5017">
        <v>0.98928680000000002</v>
      </c>
      <c r="N5017">
        <v>-1.386536E-2</v>
      </c>
      <c r="O5017">
        <v>-0.1453255</v>
      </c>
      <c r="P5017">
        <v>0.86853829999999999</v>
      </c>
      <c r="Q5017">
        <v>-7.4710769999999996E-2</v>
      </c>
      <c r="R5017">
        <v>-0.48995919999999998</v>
      </c>
      <c r="S5017">
        <v>1.844147</v>
      </c>
      <c r="T5017">
        <v>-0.18403259999999999</v>
      </c>
      <c r="U5017">
        <v>-2.9021910000000002</v>
      </c>
      <c r="V5017">
        <v>0.35793520000000001</v>
      </c>
      <c r="W5017">
        <v>-6.5123589999999995E-2</v>
      </c>
      <c r="X5017">
        <v>0.93147270000000004</v>
      </c>
      <c r="Y5017">
        <v>0.75584510000000005</v>
      </c>
      <c r="Z5017">
        <v>-2.470203E-2</v>
      </c>
      <c r="AA5017">
        <v>0.65428439999999999</v>
      </c>
      <c r="AB5017">
        <v>21</v>
      </c>
      <c r="AC5017">
        <v>10.9940999999999</v>
      </c>
      <c r="AD5017">
        <v>-1.1174754110979901</v>
      </c>
      <c r="AE5017">
        <v>-17.589399999999898</v>
      </c>
      <c r="AF5017">
        <v>15.7590185126652</v>
      </c>
      <c r="AG5017">
        <v>-1.1174754110979901</v>
      </c>
      <c r="AH5017">
        <v>13.394920345593199</v>
      </c>
      <c r="AI5017">
        <v>93.092666565096707</v>
      </c>
      <c r="AJ5017">
        <v>40.364018614866801</v>
      </c>
      <c r="AK5017">
        <v>20.712781243515298</v>
      </c>
      <c r="AL5017">
        <v>93.733949213108602</v>
      </c>
      <c r="AM5017">
        <v>68.979827158152503</v>
      </c>
      <c r="AN5017">
        <v>1.0000000401094</v>
      </c>
    </row>
    <row r="5018" spans="1:40" x14ac:dyDescent="0.25">
      <c r="A5018" t="str">
        <f>"20190303153909913"</f>
        <v>20190303153909913</v>
      </c>
      <c r="B5018" t="str">
        <f>"1551598749903121"</f>
        <v>1551598749903121</v>
      </c>
      <c r="C5018" t="s">
        <v>40</v>
      </c>
      <c r="D5018">
        <v>4.8213839999999903</v>
      </c>
      <c r="E5018">
        <v>0.69248419999999999</v>
      </c>
      <c r="F5018" t="s">
        <v>51</v>
      </c>
      <c r="G5018">
        <v>-191.80269999999999</v>
      </c>
      <c r="H5018" s="1">
        <v>7.2095369999999997E-6</v>
      </c>
      <c r="I5018">
        <v>200.3058</v>
      </c>
      <c r="J5018">
        <v>-201.11770000000001</v>
      </c>
      <c r="K5018">
        <v>1.117278</v>
      </c>
      <c r="L5018">
        <v>214.88730000000001</v>
      </c>
      <c r="M5018">
        <v>0.98832200000000003</v>
      </c>
      <c r="N5018">
        <v>-1.3892750000000001E-2</v>
      </c>
      <c r="O5018">
        <v>-0.1517454</v>
      </c>
      <c r="P5018">
        <v>0.85753659999999998</v>
      </c>
      <c r="Q5018">
        <v>-7.4061829999999995E-2</v>
      </c>
      <c r="R5018">
        <v>-0.50906419999999997</v>
      </c>
      <c r="S5018">
        <v>1.8409420000000001</v>
      </c>
      <c r="T5018">
        <v>-0.21606040000000001</v>
      </c>
      <c r="U5018">
        <v>-2.8266300000000002</v>
      </c>
      <c r="V5018">
        <v>0.37241479999999999</v>
      </c>
      <c r="W5018">
        <v>-6.4832840000000003E-2</v>
      </c>
      <c r="X5018">
        <v>0.92579909999999999</v>
      </c>
      <c r="Y5018">
        <v>0.74376299999999995</v>
      </c>
      <c r="Z5018">
        <v>-2.6744449999999999E-2</v>
      </c>
      <c r="AA5018">
        <v>0.66790819999999995</v>
      </c>
      <c r="AB5018">
        <v>21</v>
      </c>
      <c r="AC5018">
        <v>9.3150000000000208</v>
      </c>
      <c r="AD5018">
        <v>-1.1172707904629999</v>
      </c>
      <c r="AE5018">
        <v>-14.5815</v>
      </c>
      <c r="AF5018">
        <v>12.944989325891299</v>
      </c>
      <c r="AG5018">
        <v>-1.1172707904629999</v>
      </c>
      <c r="AH5018">
        <v>11.372579231288899</v>
      </c>
      <c r="AI5018">
        <v>93.709901448937003</v>
      </c>
      <c r="AJ5018">
        <v>41.300320328715998</v>
      </c>
      <c r="AK5018">
        <v>17.267211733183998</v>
      </c>
      <c r="AL5018">
        <v>93.7172552349206</v>
      </c>
      <c r="AM5018">
        <v>68.086897565787595</v>
      </c>
      <c r="AN5018">
        <v>1.00000002698115</v>
      </c>
    </row>
    <row r="5019" spans="1:40" x14ac:dyDescent="0.25">
      <c r="A5019" t="str">
        <f>"20190303153909937"</f>
        <v>20190303153909937</v>
      </c>
      <c r="B5019" t="str">
        <f>"1551598749933377"</f>
        <v>1551598749933377</v>
      </c>
      <c r="C5019" t="s">
        <v>40</v>
      </c>
      <c r="D5019">
        <v>4.7833579999999998</v>
      </c>
      <c r="E5019">
        <v>0.68651209999999996</v>
      </c>
      <c r="F5019" t="s">
        <v>51</v>
      </c>
      <c r="G5019">
        <v>-192.06460000000001</v>
      </c>
      <c r="H5019" s="1">
        <v>7.0778360000000004E-6</v>
      </c>
      <c r="I5019">
        <v>200.4813</v>
      </c>
      <c r="J5019">
        <v>-200.90639999999999</v>
      </c>
      <c r="K5019">
        <v>1.1170899999999999</v>
      </c>
      <c r="L5019">
        <v>214.8467</v>
      </c>
      <c r="M5019">
        <v>0.98723550000000004</v>
      </c>
      <c r="N5019">
        <v>-1.3924000000000001E-2</v>
      </c>
      <c r="O5019">
        <v>-0.1586571</v>
      </c>
      <c r="P5019">
        <v>0.84671689999999999</v>
      </c>
      <c r="Q5019">
        <v>-7.3060139999999996E-2</v>
      </c>
      <c r="R5019">
        <v>-0.52700389999999997</v>
      </c>
      <c r="S5019">
        <v>1.7891999999999999</v>
      </c>
      <c r="T5019">
        <v>-0.2208097</v>
      </c>
      <c r="U5019">
        <v>-2.847092</v>
      </c>
      <c r="V5019">
        <v>0.38534160000000001</v>
      </c>
      <c r="W5019">
        <v>-6.4183790000000004E-2</v>
      </c>
      <c r="X5019">
        <v>0.92053910000000005</v>
      </c>
      <c r="Y5019">
        <v>0.74980119999999995</v>
      </c>
      <c r="Z5019">
        <v>-2.7263059999999999E-2</v>
      </c>
      <c r="AA5019">
        <v>0.6611013</v>
      </c>
      <c r="AB5019">
        <v>21</v>
      </c>
      <c r="AC5019">
        <v>8.8417999999999708</v>
      </c>
      <c r="AD5019">
        <v>-1.117082922164</v>
      </c>
      <c r="AE5019">
        <v>-14.3653999999999</v>
      </c>
      <c r="AF5019">
        <v>12.7246535945331</v>
      </c>
      <c r="AG5019">
        <v>-1.117082922164</v>
      </c>
      <c r="AH5019">
        <v>10.9611089385008</v>
      </c>
      <c r="AI5019">
        <v>93.805361951432204</v>
      </c>
      <c r="AJ5019">
        <v>40.741848449308002</v>
      </c>
      <c r="AK5019">
        <v>16.8318327141621</v>
      </c>
      <c r="AL5019">
        <v>93.679989997864297</v>
      </c>
      <c r="AM5019">
        <v>67.285606121662198</v>
      </c>
      <c r="AN5019">
        <v>0.99999997110906602</v>
      </c>
    </row>
    <row r="5020" spans="1:40" x14ac:dyDescent="0.25">
      <c r="A5020" t="str">
        <f>"20190303153909959"</f>
        <v>20190303153909959</v>
      </c>
      <c r="B5020" t="str">
        <f>"1551598749953872"</f>
        <v>1551598749953872</v>
      </c>
      <c r="C5020" t="s">
        <v>40</v>
      </c>
      <c r="D5020">
        <v>4.8257890000000003</v>
      </c>
      <c r="E5020">
        <v>0.68336519999999901</v>
      </c>
      <c r="F5020" t="s">
        <v>51</v>
      </c>
      <c r="G5020">
        <v>-192.21619999999999</v>
      </c>
      <c r="H5020" s="1">
        <v>6.9408069999999997E-6</v>
      </c>
      <c r="I5020">
        <v>200.75479999999999</v>
      </c>
      <c r="J5020">
        <v>-200.6917</v>
      </c>
      <c r="K5020">
        <v>1.1168940000000001</v>
      </c>
      <c r="L5020">
        <v>214.80340000000001</v>
      </c>
      <c r="M5020">
        <v>0.98601629999999996</v>
      </c>
      <c r="N5020">
        <v>-1.3958989999999999E-2</v>
      </c>
      <c r="O5020">
        <v>-0.16606409999999999</v>
      </c>
      <c r="P5020">
        <v>0.83585359999999997</v>
      </c>
      <c r="Q5020">
        <v>-7.1015309999999998E-2</v>
      </c>
      <c r="R5020">
        <v>-0.54433999999999905</v>
      </c>
      <c r="S5020">
        <v>1.7536929999999999</v>
      </c>
      <c r="T5020">
        <v>-0.22542760000000001</v>
      </c>
      <c r="U5020">
        <v>-2.8437350000000001</v>
      </c>
      <c r="V5020">
        <v>0.39731470000000002</v>
      </c>
      <c r="W5020">
        <v>-6.2500819999999999E-2</v>
      </c>
      <c r="X5020">
        <v>0.91555160000000002</v>
      </c>
      <c r="Y5020">
        <v>0.75036340000000001</v>
      </c>
      <c r="Z5020">
        <v>-2.7402719999999998E-2</v>
      </c>
      <c r="AA5020">
        <v>0.66045739999999997</v>
      </c>
      <c r="AB5020">
        <v>21</v>
      </c>
      <c r="AC5020">
        <v>8.4755000000000091</v>
      </c>
      <c r="AD5020">
        <v>-1.116887059193</v>
      </c>
      <c r="AE5020">
        <v>-14.0486</v>
      </c>
      <c r="AF5020">
        <v>12.388476053714999</v>
      </c>
      <c r="AG5020">
        <v>-1.116887059193</v>
      </c>
      <c r="AH5020">
        <v>10.641676789010299</v>
      </c>
      <c r="AI5020">
        <v>93.912269064760395</v>
      </c>
      <c r="AJ5020">
        <v>40.662514326571603</v>
      </c>
      <c r="AK5020">
        <v>16.369699463283499</v>
      </c>
      <c r="AL5020">
        <v>93.583368673298295</v>
      </c>
      <c r="AM5020">
        <v>66.540983569571694</v>
      </c>
      <c r="AN5020">
        <v>1.0000000277996599</v>
      </c>
    </row>
    <row r="5021" spans="1:40" x14ac:dyDescent="0.25">
      <c r="A5021" t="str">
        <f>"20190303153909982"</f>
        <v>20190303153909982</v>
      </c>
      <c r="B5021" t="str">
        <f>"1551598749973396"</f>
        <v>1551598749973396</v>
      </c>
      <c r="C5021" t="s">
        <v>40</v>
      </c>
      <c r="D5021">
        <v>4.7763799999999996</v>
      </c>
      <c r="E5021">
        <v>0.66813979999999995</v>
      </c>
      <c r="F5021" t="s">
        <v>51</v>
      </c>
      <c r="G5021">
        <v>-192.19720000000001</v>
      </c>
      <c r="H5021" s="1">
        <v>7.0019010000000001E-6</v>
      </c>
      <c r="I5021">
        <v>200.59630000000001</v>
      </c>
      <c r="J5021">
        <v>-200.48099999999999</v>
      </c>
      <c r="K5021">
        <v>1.1166830000000001</v>
      </c>
      <c r="L5021">
        <v>214.75880000000001</v>
      </c>
      <c r="M5021">
        <v>0.98469359999999995</v>
      </c>
      <c r="N5021">
        <v>-1.3997819999999999E-2</v>
      </c>
      <c r="O5021">
        <v>-0.17373189999999999</v>
      </c>
      <c r="P5021">
        <v>0.82545389999999996</v>
      </c>
      <c r="Q5021">
        <v>-6.8236190000000002E-2</v>
      </c>
      <c r="R5021">
        <v>-0.5603302</v>
      </c>
      <c r="S5021">
        <v>1.7088319999999999</v>
      </c>
      <c r="T5021">
        <v>-0.2246821</v>
      </c>
      <c r="U5021">
        <v>-2.8580019999999999</v>
      </c>
      <c r="V5021">
        <v>0.40773540000000003</v>
      </c>
      <c r="W5021">
        <v>-6.0080340000000003E-2</v>
      </c>
      <c r="X5021">
        <v>0.91112139999999997</v>
      </c>
      <c r="Y5021">
        <v>0.75426470000000001</v>
      </c>
      <c r="Z5021">
        <v>-2.725491E-2</v>
      </c>
      <c r="AA5021">
        <v>0.65600449999999999</v>
      </c>
      <c r="AB5021">
        <v>21</v>
      </c>
      <c r="AC5021">
        <v>8.2837999999999798</v>
      </c>
      <c r="AD5021">
        <v>-1.116675998099</v>
      </c>
      <c r="AE5021">
        <v>-14.1624999999999</v>
      </c>
      <c r="AF5021">
        <v>12.450116151628</v>
      </c>
      <c r="AG5021">
        <v>-1.116675998099</v>
      </c>
      <c r="AH5021">
        <v>10.569562333781899</v>
      </c>
      <c r="AI5021">
        <v>93.911521695169199</v>
      </c>
      <c r="AJ5021">
        <v>40.329689049546502</v>
      </c>
      <c r="AK5021">
        <v>16.3697283239967</v>
      </c>
      <c r="AL5021">
        <v>93.444424213823595</v>
      </c>
      <c r="AM5021">
        <v>65.891034911102096</v>
      </c>
      <c r="AN5021">
        <v>1.0000000046028099</v>
      </c>
    </row>
    <row r="5022" spans="1:40" x14ac:dyDescent="0.25">
      <c r="A5022" t="str">
        <f>"20190303153910005"</f>
        <v>20190303153910005</v>
      </c>
      <c r="B5022" t="str">
        <f>"1551598749993889"</f>
        <v>1551598749993889</v>
      </c>
      <c r="C5022" t="s">
        <v>40</v>
      </c>
      <c r="D5022">
        <v>4.6929280000000002</v>
      </c>
      <c r="E5022">
        <v>0.68077909999999997</v>
      </c>
      <c r="F5022" t="s">
        <v>51</v>
      </c>
      <c r="G5022">
        <v>-192.59540000000001</v>
      </c>
      <c r="H5022" s="1">
        <v>6.408151E-6</v>
      </c>
      <c r="I5022">
        <v>201.97620000000001</v>
      </c>
      <c r="J5022">
        <v>-200.26910000000001</v>
      </c>
      <c r="K5022">
        <v>1.116455</v>
      </c>
      <c r="L5022">
        <v>214.71180000000001</v>
      </c>
      <c r="M5022">
        <v>0.98322370000000003</v>
      </c>
      <c r="N5022">
        <v>-1.404241E-2</v>
      </c>
      <c r="O5022">
        <v>-0.18186269999999999</v>
      </c>
      <c r="P5022">
        <v>0.81549050000000001</v>
      </c>
      <c r="Q5022">
        <v>-6.5735230000000006E-2</v>
      </c>
      <c r="R5022">
        <v>-0.57502569999999997</v>
      </c>
      <c r="S5022">
        <v>1.720764</v>
      </c>
      <c r="T5022">
        <v>-0.2436779</v>
      </c>
      <c r="U5022">
        <v>-2.7893829999999999</v>
      </c>
      <c r="V5022">
        <v>0.41645579999999999</v>
      </c>
      <c r="W5022">
        <v>-5.7935430000000003E-2</v>
      </c>
      <c r="X5022">
        <v>0.90730820000000001</v>
      </c>
      <c r="Y5022">
        <v>0.73934230000000001</v>
      </c>
      <c r="Z5022">
        <v>-2.744806E-2</v>
      </c>
      <c r="AA5022">
        <v>0.67277010000000004</v>
      </c>
      <c r="AB5022">
        <v>21</v>
      </c>
      <c r="AC5022">
        <v>7.6736999999999904</v>
      </c>
      <c r="AD5022">
        <v>-1.1164485918489999</v>
      </c>
      <c r="AE5022">
        <v>-12.7356</v>
      </c>
      <c r="AF5022">
        <v>11.0650956008653</v>
      </c>
      <c r="AG5022">
        <v>-1.1164485918489999</v>
      </c>
      <c r="AH5022">
        <v>9.80677565323092</v>
      </c>
      <c r="AI5022">
        <v>94.318210146801604</v>
      </c>
      <c r="AJ5022">
        <v>41.549937299947203</v>
      </c>
      <c r="AK5022">
        <v>14.8275300312403</v>
      </c>
      <c r="AL5022">
        <v>93.321315205454297</v>
      </c>
      <c r="AM5022">
        <v>65.344807378615599</v>
      </c>
      <c r="AN5022">
        <v>1.0000000585950799</v>
      </c>
    </row>
    <row r="5023" spans="1:40" x14ac:dyDescent="0.25">
      <c r="A5023" t="str">
        <f>"20190303153910029"</f>
        <v>20190303153910029</v>
      </c>
      <c r="B5023" t="str">
        <f>"1551598750023169"</f>
        <v>1551598750023169</v>
      </c>
      <c r="C5023" t="s">
        <v>40</v>
      </c>
      <c r="D5023">
        <v>4.767093</v>
      </c>
      <c r="E5023">
        <v>0.66685879999999997</v>
      </c>
      <c r="F5023" t="s">
        <v>42</v>
      </c>
      <c r="G5023">
        <v>-156.6662</v>
      </c>
      <c r="H5023" s="1">
        <v>-1.943749E-6</v>
      </c>
      <c r="I5023">
        <v>136.62129999999999</v>
      </c>
      <c r="J5023">
        <v>-200.0489</v>
      </c>
      <c r="K5023">
        <v>1.1162000000000001</v>
      </c>
      <c r="L5023">
        <v>214.66050000000001</v>
      </c>
      <c r="M5023">
        <v>0.98153389999999996</v>
      </c>
      <c r="N5023">
        <v>-1.4094199999999999E-2</v>
      </c>
      <c r="O5023">
        <v>-0.1907681</v>
      </c>
      <c r="P5023">
        <v>0.80526790000000004</v>
      </c>
      <c r="Q5023">
        <v>-6.3992370000000007E-2</v>
      </c>
      <c r="R5023">
        <v>-0.58944799999999997</v>
      </c>
      <c r="S5023">
        <v>1.624252</v>
      </c>
      <c r="T5023">
        <v>-4.1589139999999997E-2</v>
      </c>
      <c r="U5023">
        <v>-2.9089510000000001</v>
      </c>
      <c r="V5023">
        <v>0.42431259999999998</v>
      </c>
      <c r="W5023">
        <v>-5.6562800000000003E-2</v>
      </c>
      <c r="X5023">
        <v>0.90374750000000004</v>
      </c>
      <c r="Y5023">
        <v>0.76389700000000005</v>
      </c>
      <c r="Z5023">
        <v>-1.2422259999999999E-2</v>
      </c>
      <c r="AA5023">
        <v>0.64521859999999998</v>
      </c>
      <c r="AB5023">
        <v>21</v>
      </c>
      <c r="AC5023">
        <v>43.3827</v>
      </c>
      <c r="AD5023">
        <v>-1.1162019437490001</v>
      </c>
      <c r="AE5023">
        <v>-78.039199999999994</v>
      </c>
      <c r="AF5023">
        <v>68.318198191449895</v>
      </c>
      <c r="AG5023">
        <v>-1.1162019437490001</v>
      </c>
      <c r="AH5023">
        <v>57.465711187295703</v>
      </c>
      <c r="AI5023">
        <v>90.716344979931804</v>
      </c>
      <c r="AJ5023">
        <v>40.068799689655201</v>
      </c>
      <c r="AK5023">
        <v>89.280065373895994</v>
      </c>
      <c r="AL5023">
        <v>93.242540166716907</v>
      </c>
      <c r="AM5023">
        <v>64.849780989748695</v>
      </c>
      <c r="AN5023">
        <v>1.0000000383094201</v>
      </c>
    </row>
    <row r="5024" spans="1:40" x14ac:dyDescent="0.25">
      <c r="A5024" t="str">
        <f>"20190303153910051"</f>
        <v>20190303153910051</v>
      </c>
      <c r="B5024" t="str">
        <f>"1551598750043665"</f>
        <v>1551598750043665</v>
      </c>
      <c r="C5024" t="s">
        <v>40</v>
      </c>
      <c r="D5024">
        <v>4.7469839999999897</v>
      </c>
      <c r="E5024">
        <v>0.66267209999999999</v>
      </c>
      <c r="F5024" t="s">
        <v>42</v>
      </c>
      <c r="G5024">
        <v>-189.3365</v>
      </c>
      <c r="H5024" s="1">
        <v>-2.8436720000000001E-6</v>
      </c>
      <c r="I5024">
        <v>195.9871</v>
      </c>
      <c r="J5024">
        <v>-199.8493</v>
      </c>
      <c r="K5024">
        <v>1.1159669999999999</v>
      </c>
      <c r="L5024">
        <v>214.61160000000001</v>
      </c>
      <c r="M5024">
        <v>0.97983750000000003</v>
      </c>
      <c r="N5024">
        <v>-1.414615E-2</v>
      </c>
      <c r="O5024">
        <v>-0.19929540000000001</v>
      </c>
      <c r="P5024">
        <v>0.7955198</v>
      </c>
      <c r="Q5024">
        <v>-6.246347E-2</v>
      </c>
      <c r="R5024">
        <v>-0.6026996</v>
      </c>
      <c r="S5024">
        <v>1.6309359999999999</v>
      </c>
      <c r="T5024">
        <v>-0.16994039999999999</v>
      </c>
      <c r="U5024">
        <v>-2.8430019999999998</v>
      </c>
      <c r="V5024">
        <v>0.43135970000000001</v>
      </c>
      <c r="W5024">
        <v>-5.5380569999999997E-2</v>
      </c>
      <c r="X5024">
        <v>0.90047869999999997</v>
      </c>
      <c r="Y5024">
        <v>0.74968880000000004</v>
      </c>
      <c r="Z5024">
        <v>-2.167094E-2</v>
      </c>
      <c r="AA5024">
        <v>0.66143569999999996</v>
      </c>
      <c r="AB5024">
        <v>21</v>
      </c>
      <c r="AC5024">
        <v>10.5128</v>
      </c>
      <c r="AD5024">
        <v>-1.115969843672</v>
      </c>
      <c r="AE5024">
        <v>-18.624500000000001</v>
      </c>
      <c r="AF5024">
        <v>16.111576224716501</v>
      </c>
      <c r="AG5024">
        <v>-1.115969843672</v>
      </c>
      <c r="AH5024">
        <v>13.9759591558183</v>
      </c>
      <c r="AI5024">
        <v>92.995134628727897</v>
      </c>
      <c r="AJ5024">
        <v>40.939947605521397</v>
      </c>
      <c r="AK5024">
        <v>21.3578021215185</v>
      </c>
      <c r="AL5024">
        <v>93.1746970048018</v>
      </c>
      <c r="AM5024">
        <v>64.404005698059194</v>
      </c>
      <c r="AN5024">
        <v>1.00000004373565</v>
      </c>
    </row>
    <row r="5025" spans="1:40" x14ac:dyDescent="0.25">
      <c r="A5025" t="str">
        <f>"20190303153910072"</f>
        <v>20190303153910072</v>
      </c>
      <c r="B5025" t="str">
        <f>"1551598750063186"</f>
        <v>1551598750063186</v>
      </c>
      <c r="C5025" t="s">
        <v>40</v>
      </c>
      <c r="D5025">
        <v>4.8013769999999996</v>
      </c>
      <c r="E5025">
        <v>0.66425540000000005</v>
      </c>
      <c r="F5025" t="s">
        <v>42</v>
      </c>
      <c r="G5025">
        <v>-190.58080000000001</v>
      </c>
      <c r="H5025" s="1">
        <v>-3.8380560000000002E-6</v>
      </c>
      <c r="I5025">
        <v>198.1754</v>
      </c>
      <c r="J5025">
        <v>-199.65199999999999</v>
      </c>
      <c r="K5025">
        <v>1.1157280000000001</v>
      </c>
      <c r="L5025">
        <v>214.5608</v>
      </c>
      <c r="M5025">
        <v>0.97799469999999999</v>
      </c>
      <c r="N5025">
        <v>-1.420126E-2</v>
      </c>
      <c r="O5025">
        <v>-0.20814650000000001</v>
      </c>
      <c r="P5025">
        <v>0.78580660000000002</v>
      </c>
      <c r="Q5025">
        <v>-6.2570070000000005E-2</v>
      </c>
      <c r="R5025">
        <v>-0.61529919999999905</v>
      </c>
      <c r="S5025">
        <v>1.6027070000000001</v>
      </c>
      <c r="T5025">
        <v>-0.19297339999999999</v>
      </c>
      <c r="U5025">
        <v>-2.842133</v>
      </c>
      <c r="V5025">
        <v>0.43751830000000003</v>
      </c>
      <c r="W5025">
        <v>-5.581887E-2</v>
      </c>
      <c r="X5025">
        <v>0.89747540000000003</v>
      </c>
      <c r="Y5025">
        <v>0.74833269999999996</v>
      </c>
      <c r="Z5025">
        <v>-2.2930900000000001E-2</v>
      </c>
      <c r="AA5025">
        <v>0.66292709999999999</v>
      </c>
      <c r="AB5025">
        <v>21</v>
      </c>
      <c r="AC5025">
        <v>9.0711999999999993</v>
      </c>
      <c r="AD5025">
        <v>-1.115731838056</v>
      </c>
      <c r="AE5025">
        <v>-16.385400000000001</v>
      </c>
      <c r="AF5025">
        <v>14.088121599851499</v>
      </c>
      <c r="AG5025">
        <v>-1.115731838056</v>
      </c>
      <c r="AH5025">
        <v>12.239947250099799</v>
      </c>
      <c r="AI5025">
        <v>93.421325682262804</v>
      </c>
      <c r="AJ5025">
        <v>40.984545390274</v>
      </c>
      <c r="AK5025">
        <v>18.6958908969827</v>
      </c>
      <c r="AL5025">
        <v>93.199848625787894</v>
      </c>
      <c r="AM5025">
        <v>64.010815806164501</v>
      </c>
      <c r="AN5025">
        <v>1.0000000513440599</v>
      </c>
    </row>
    <row r="5026" spans="1:40" x14ac:dyDescent="0.25">
      <c r="A5026" t="str">
        <f>"20190303153910094"</f>
        <v>20190303153910094</v>
      </c>
      <c r="B5026" t="str">
        <f>"1551598750083681"</f>
        <v>1551598750083681</v>
      </c>
      <c r="C5026" t="s">
        <v>40</v>
      </c>
      <c r="D5026">
        <v>4.7733670000000004</v>
      </c>
      <c r="E5026">
        <v>0.66633089999999995</v>
      </c>
      <c r="F5026" t="s">
        <v>42</v>
      </c>
      <c r="G5026">
        <v>-191.0394</v>
      </c>
      <c r="H5026" s="1">
        <v>-4.124804E-6</v>
      </c>
      <c r="I5026">
        <v>198.5659</v>
      </c>
      <c r="J5026">
        <v>-199.4494</v>
      </c>
      <c r="K5026">
        <v>1.1155010000000001</v>
      </c>
      <c r="L5026">
        <v>214.50630000000001</v>
      </c>
      <c r="M5026">
        <v>0.97593390000000002</v>
      </c>
      <c r="N5026">
        <v>-1.4258689999999999E-2</v>
      </c>
      <c r="O5026">
        <v>-0.2175996</v>
      </c>
      <c r="P5026">
        <v>0.77695099999999995</v>
      </c>
      <c r="Q5026">
        <v>-6.3557829999999996E-2</v>
      </c>
      <c r="R5026">
        <v>-0.62634460000000003</v>
      </c>
      <c r="S5026">
        <v>1.5491029999999999</v>
      </c>
      <c r="T5026">
        <v>-0.20067940000000001</v>
      </c>
      <c r="U5026">
        <v>-2.8768919999999998</v>
      </c>
      <c r="V5026">
        <v>0.44148559999999998</v>
      </c>
      <c r="W5026">
        <v>-5.7072129999999999E-2</v>
      </c>
      <c r="X5026">
        <v>0.89545140000000001</v>
      </c>
      <c r="Y5026">
        <v>0.75472030000000001</v>
      </c>
      <c r="Z5026">
        <v>-2.3411870000000001E-2</v>
      </c>
      <c r="AA5026">
        <v>0.65562880000000001</v>
      </c>
      <c r="AB5026">
        <v>21</v>
      </c>
      <c r="AC5026">
        <v>8.4099999999999895</v>
      </c>
      <c r="AD5026">
        <v>-1.115505124804</v>
      </c>
      <c r="AE5026">
        <v>-15.9404</v>
      </c>
      <c r="AF5026">
        <v>13.6757708422581</v>
      </c>
      <c r="AG5026">
        <v>-1.115505124804</v>
      </c>
      <c r="AH5026">
        <v>11.6328529912573</v>
      </c>
      <c r="AI5026">
        <v>93.555269152309904</v>
      </c>
      <c r="AJ5026">
        <v>40.385077572046299</v>
      </c>
      <c r="AK5026">
        <v>17.988727818543101</v>
      </c>
      <c r="AL5026">
        <v>93.271770013442904</v>
      </c>
      <c r="AM5026">
        <v>63.755258379327799</v>
      </c>
      <c r="AN5026">
        <v>0.99999998639602805</v>
      </c>
    </row>
    <row r="5027" spans="1:40" x14ac:dyDescent="0.25">
      <c r="A5027" t="str">
        <f>"20190303153910115"</f>
        <v>20190303153910115</v>
      </c>
      <c r="B5027" t="str">
        <f>"1551598750113937"</f>
        <v>1551598750113937</v>
      </c>
      <c r="C5027" t="s">
        <v>40</v>
      </c>
      <c r="D5027">
        <v>4.792808</v>
      </c>
      <c r="E5027">
        <v>0.66752060000000002</v>
      </c>
      <c r="F5027" t="s">
        <v>42</v>
      </c>
      <c r="G5027">
        <v>-191.6919</v>
      </c>
      <c r="H5027" s="1">
        <v>-4.5325939999999999E-6</v>
      </c>
      <c r="I5027">
        <v>199.42410000000001</v>
      </c>
      <c r="J5027">
        <v>-199.2492</v>
      </c>
      <c r="K5027">
        <v>1.115299</v>
      </c>
      <c r="L5027">
        <v>214.44980000000001</v>
      </c>
      <c r="M5027">
        <v>0.97372000000000003</v>
      </c>
      <c r="N5027">
        <v>-1.4313589999999999E-2</v>
      </c>
      <c r="O5027">
        <v>-0.22729830000000001</v>
      </c>
      <c r="P5027">
        <v>0.76784989999999997</v>
      </c>
      <c r="Q5027">
        <v>-6.5442410000000006E-2</v>
      </c>
      <c r="R5027">
        <v>-0.63727849999999997</v>
      </c>
      <c r="S5027">
        <v>1.497131</v>
      </c>
      <c r="T5027">
        <v>-0.21528259999999999</v>
      </c>
      <c r="U5027">
        <v>-2.9107210000000001</v>
      </c>
      <c r="V5027">
        <v>0.44522539999999999</v>
      </c>
      <c r="W5027">
        <v>-5.9194280000000002E-2</v>
      </c>
      <c r="X5027">
        <v>0.89345980000000003</v>
      </c>
      <c r="Y5027">
        <v>0.76036400000000004</v>
      </c>
      <c r="Z5027">
        <v>-2.4266989999999999E-2</v>
      </c>
      <c r="AA5027">
        <v>0.64904359999999905</v>
      </c>
      <c r="AB5027">
        <v>21</v>
      </c>
      <c r="AC5027">
        <v>7.5572999999999899</v>
      </c>
      <c r="AD5027">
        <v>-1.1153035325939999</v>
      </c>
      <c r="AE5027">
        <v>-15.025700000000001</v>
      </c>
      <c r="AF5027">
        <v>12.8578473095543</v>
      </c>
      <c r="AG5027">
        <v>-1.1153035325939999</v>
      </c>
      <c r="AH5027">
        <v>10.727940893531001</v>
      </c>
      <c r="AI5027">
        <v>93.810445320485599</v>
      </c>
      <c r="AJ5027">
        <v>39.839920842760499</v>
      </c>
      <c r="AK5027">
        <v>16.782635526660499</v>
      </c>
      <c r="AL5027">
        <v>93.393566150587006</v>
      </c>
      <c r="AM5027">
        <v>63.512185246239198</v>
      </c>
      <c r="AN5027">
        <v>1.0000000169029499</v>
      </c>
    </row>
    <row r="5028" spans="1:40" x14ac:dyDescent="0.25">
      <c r="A5028" t="str">
        <f>"20190303153910138"</f>
        <v>20190303153910138</v>
      </c>
      <c r="B5028" t="str">
        <f>"1551598750133460"</f>
        <v>1551598750133460</v>
      </c>
      <c r="C5028" t="s">
        <v>40</v>
      </c>
      <c r="D5028">
        <v>4.7748609999999996</v>
      </c>
      <c r="E5028">
        <v>0.66811030000000005</v>
      </c>
      <c r="F5028" t="s">
        <v>51</v>
      </c>
      <c r="G5028">
        <v>-192.13399999999999</v>
      </c>
      <c r="H5028" s="1">
        <v>7.2221529999999998E-6</v>
      </c>
      <c r="I5028">
        <v>200.02080000000001</v>
      </c>
      <c r="J5028">
        <v>-199.04589999999999</v>
      </c>
      <c r="K5028">
        <v>1.115092</v>
      </c>
      <c r="L5028">
        <v>214.38990000000001</v>
      </c>
      <c r="M5028">
        <v>0.97127470000000005</v>
      </c>
      <c r="N5028">
        <v>-1.4369059999999999E-2</v>
      </c>
      <c r="O5028">
        <v>-0.23752690000000001</v>
      </c>
      <c r="P5028">
        <v>0.75890089999999999</v>
      </c>
      <c r="Q5028">
        <v>-6.8706020000000007E-2</v>
      </c>
      <c r="R5028">
        <v>-0.64757159999999903</v>
      </c>
      <c r="S5028">
        <v>1.448944</v>
      </c>
      <c r="T5028">
        <v>-0.2271196</v>
      </c>
      <c r="U5028">
        <v>-2.9383539999999999</v>
      </c>
      <c r="V5028">
        <v>0.44786140000000002</v>
      </c>
      <c r="W5028">
        <v>-6.2667070000000005E-2</v>
      </c>
      <c r="X5028">
        <v>0.89190419999999904</v>
      </c>
      <c r="Y5028">
        <v>0.76436850000000001</v>
      </c>
      <c r="Z5028">
        <v>-2.4741760000000002E-2</v>
      </c>
      <c r="AA5028">
        <v>0.64430469999999995</v>
      </c>
      <c r="AB5028">
        <v>21</v>
      </c>
      <c r="AC5028">
        <v>6.91189999999997</v>
      </c>
      <c r="AD5028">
        <v>-1.1150847778470001</v>
      </c>
      <c r="AE5028">
        <v>-14.3691</v>
      </c>
      <c r="AF5028">
        <v>12.2559135071341</v>
      </c>
      <c r="AG5028">
        <v>-1.1150847778470001</v>
      </c>
      <c r="AH5028">
        <v>10.078158428494801</v>
      </c>
      <c r="AI5028">
        <v>94.019845417984101</v>
      </c>
      <c r="AJ5028">
        <v>39.430797710476902</v>
      </c>
      <c r="AK5028">
        <v>15.9066057745195</v>
      </c>
      <c r="AL5028">
        <v>93.592912730794893</v>
      </c>
      <c r="AM5028">
        <v>63.336910372017897</v>
      </c>
      <c r="AN5028">
        <v>1.00000004862499</v>
      </c>
    </row>
    <row r="5029" spans="1:40" x14ac:dyDescent="0.25">
      <c r="A5029" t="str">
        <f>"20190303153910160"</f>
        <v>20190303153910160</v>
      </c>
      <c r="B5029" t="str">
        <f>"1551598750153952"</f>
        <v>1551598750153952</v>
      </c>
      <c r="C5029" t="s">
        <v>40</v>
      </c>
      <c r="D5029">
        <v>4.8487429999999998</v>
      </c>
      <c r="E5029">
        <v>0.66824139999999999</v>
      </c>
      <c r="F5029" t="s">
        <v>51</v>
      </c>
      <c r="G5029">
        <v>-192.53389999999999</v>
      </c>
      <c r="H5029" s="1">
        <v>6.8882280000000003E-6</v>
      </c>
      <c r="I5029">
        <v>200.6644</v>
      </c>
      <c r="J5029">
        <v>-198.84200000000001</v>
      </c>
      <c r="K5029">
        <v>1.1148849999999999</v>
      </c>
      <c r="L5029">
        <v>214.327</v>
      </c>
      <c r="M5029">
        <v>0.96861019999999998</v>
      </c>
      <c r="N5029">
        <v>-1.44286E-2</v>
      </c>
      <c r="O5029">
        <v>-0.24816579999999999</v>
      </c>
      <c r="P5029">
        <v>0.75052700000000006</v>
      </c>
      <c r="Q5029">
        <v>-7.3156449999999998E-2</v>
      </c>
      <c r="R5029">
        <v>-0.65677849999999904</v>
      </c>
      <c r="S5029">
        <v>1.4047700000000001</v>
      </c>
      <c r="T5029">
        <v>-0.24054809999999999</v>
      </c>
      <c r="U5029">
        <v>-2.9608759999999998</v>
      </c>
      <c r="V5029">
        <v>0.44896140000000001</v>
      </c>
      <c r="W5029">
        <v>-6.7297499999999996E-2</v>
      </c>
      <c r="X5029">
        <v>0.89101330000000001</v>
      </c>
      <c r="Y5029">
        <v>0.76687839999999996</v>
      </c>
      <c r="Z5029">
        <v>-2.5121149999999998E-2</v>
      </c>
      <c r="AA5029">
        <v>0.64130069999999995</v>
      </c>
      <c r="AB5029">
        <v>21</v>
      </c>
      <c r="AC5029">
        <v>6.30810000000002</v>
      </c>
      <c r="AD5029">
        <v>-1.1148781117719999</v>
      </c>
      <c r="AE5029">
        <v>-13.6625999999999</v>
      </c>
      <c r="AF5029">
        <v>11.6057926705674</v>
      </c>
      <c r="AG5029">
        <v>-1.1148781117719999</v>
      </c>
      <c r="AH5029">
        <v>9.4498016965173708</v>
      </c>
      <c r="AI5029">
        <v>94.260212314292502</v>
      </c>
      <c r="AJ5029">
        <v>39.153565456384896</v>
      </c>
      <c r="AK5029">
        <v>15.007868896675699</v>
      </c>
      <c r="AL5029">
        <v>93.858779186923599</v>
      </c>
      <c r="AM5029">
        <v>63.257501018269402</v>
      </c>
      <c r="AN5029">
        <v>0.99999999648655002</v>
      </c>
    </row>
    <row r="5030" spans="1:40" x14ac:dyDescent="0.25">
      <c r="A5030" t="str">
        <f>"20190303153910183"</f>
        <v>20190303153910183</v>
      </c>
      <c r="B5030" t="str">
        <f>"1551598750173473"</f>
        <v>1551598750173473</v>
      </c>
      <c r="C5030" t="s">
        <v>40</v>
      </c>
      <c r="D5030">
        <v>4.8217169999999996</v>
      </c>
      <c r="E5030">
        <v>0.66807349999999999</v>
      </c>
      <c r="F5030" t="s">
        <v>51</v>
      </c>
      <c r="G5030">
        <v>-192.84229999999999</v>
      </c>
      <c r="H5030" s="1">
        <v>6.6000539999999997E-6</v>
      </c>
      <c r="I5030">
        <v>201.2475</v>
      </c>
      <c r="J5030">
        <v>-198.64269999999999</v>
      </c>
      <c r="K5030">
        <v>1.114679</v>
      </c>
      <c r="L5030">
        <v>214.2628</v>
      </c>
      <c r="M5030">
        <v>0.96578450000000005</v>
      </c>
      <c r="N5030">
        <v>-1.449274E-2</v>
      </c>
      <c r="O5030">
        <v>-0.25894089999999997</v>
      </c>
      <c r="P5030">
        <v>0.74362620000000001</v>
      </c>
      <c r="Q5030">
        <v>-7.5065499999999993E-2</v>
      </c>
      <c r="R5030">
        <v>-0.66436830000000002</v>
      </c>
      <c r="S5030">
        <v>1.3661650000000001</v>
      </c>
      <c r="T5030">
        <v>-0.25386239999999999</v>
      </c>
      <c r="U5030">
        <v>-2.978256</v>
      </c>
      <c r="V5030">
        <v>0.4480751</v>
      </c>
      <c r="W5030">
        <v>-6.934295E-2</v>
      </c>
      <c r="X5030">
        <v>0.89130259999999994</v>
      </c>
      <c r="Y5030">
        <v>0.76785899999999996</v>
      </c>
      <c r="Z5030">
        <v>-2.5282010000000001E-2</v>
      </c>
      <c r="AA5030">
        <v>0.64011989999999996</v>
      </c>
      <c r="AB5030">
        <v>21</v>
      </c>
      <c r="AC5030">
        <v>5.80039999999999</v>
      </c>
      <c r="AD5030">
        <v>-1.114672399946</v>
      </c>
      <c r="AE5030">
        <v>-13.0152999999999</v>
      </c>
      <c r="AF5030">
        <v>11.0018515607468</v>
      </c>
      <c r="AG5030">
        <v>-1.114672399946</v>
      </c>
      <c r="AH5030">
        <v>8.9184960921847605</v>
      </c>
      <c r="AI5030">
        <v>94.500195522640396</v>
      </c>
      <c r="AJ5030">
        <v>39.0294666106062</v>
      </c>
      <c r="AK5030">
        <v>14.206435332982901</v>
      </c>
      <c r="AL5030">
        <v>93.976249193102404</v>
      </c>
      <c r="AM5030">
        <v>63.310436770010703</v>
      </c>
      <c r="AN5030">
        <v>1.0000000323607301</v>
      </c>
    </row>
    <row r="5031" spans="1:40" x14ac:dyDescent="0.25">
      <c r="A5031" t="str">
        <f>"20190303153910205"</f>
        <v>20190303153910205</v>
      </c>
      <c r="B5031" t="str">
        <f>"1551598750193968"</f>
        <v>1551598750193968</v>
      </c>
      <c r="C5031" t="s">
        <v>40</v>
      </c>
      <c r="D5031">
        <v>4.7524709999999999</v>
      </c>
      <c r="E5031">
        <v>0.66790969999999905</v>
      </c>
      <c r="F5031" t="s">
        <v>51</v>
      </c>
      <c r="G5031">
        <v>-192.84780000000001</v>
      </c>
      <c r="H5031" s="1">
        <v>6.5836300000000004E-6</v>
      </c>
      <c r="I5031">
        <v>201.28989999999999</v>
      </c>
      <c r="J5031">
        <v>-198.4408</v>
      </c>
      <c r="K5031">
        <v>1.1144750000000001</v>
      </c>
      <c r="L5031">
        <v>214.19479999999999</v>
      </c>
      <c r="M5031">
        <v>0.96268339999999997</v>
      </c>
      <c r="N5031">
        <v>-1.456239E-2</v>
      </c>
      <c r="O5031">
        <v>-0.27023829999999999</v>
      </c>
      <c r="P5031">
        <v>0.73582780000000003</v>
      </c>
      <c r="Q5031">
        <v>-7.7280249999999995E-2</v>
      </c>
      <c r="R5031">
        <v>-0.67274489999999998</v>
      </c>
      <c r="S5031">
        <v>1.33609</v>
      </c>
      <c r="T5031">
        <v>-0.25700190000000001</v>
      </c>
      <c r="U5031">
        <v>-2.9910739999999998</v>
      </c>
      <c r="V5031">
        <v>0.44771440000000001</v>
      </c>
      <c r="W5031">
        <v>-7.1719569999999996E-2</v>
      </c>
      <c r="X5031">
        <v>0.89129570000000002</v>
      </c>
      <c r="Y5031">
        <v>0.76673789999999997</v>
      </c>
      <c r="Z5031">
        <v>-2.456713E-2</v>
      </c>
      <c r="AA5031">
        <v>0.64149</v>
      </c>
      <c r="AB5031">
        <v>21</v>
      </c>
      <c r="AC5031">
        <v>5.5929999999999804</v>
      </c>
      <c r="AD5031">
        <v>-1.11446841637</v>
      </c>
      <c r="AE5031">
        <v>-12.9048999999999</v>
      </c>
      <c r="AF5031">
        <v>10.844954490745399</v>
      </c>
      <c r="AG5031">
        <v>-1.11446841637</v>
      </c>
      <c r="AH5031">
        <v>8.8172658033847107</v>
      </c>
      <c r="AI5031">
        <v>94.558876345595706</v>
      </c>
      <c r="AJ5031">
        <v>39.112121649155497</v>
      </c>
      <c r="AK5031">
        <v>14.021385595045899</v>
      </c>
      <c r="AL5031">
        <v>94.112759814188294</v>
      </c>
      <c r="AM5031">
        <v>63.328771044419902</v>
      </c>
      <c r="AN5031">
        <v>0.99999995276341602</v>
      </c>
    </row>
    <row r="5032" spans="1:40" x14ac:dyDescent="0.25">
      <c r="A5032" t="str">
        <f>"20190303153910228"</f>
        <v>20190303153910228</v>
      </c>
      <c r="B5032" t="str">
        <f>"1551598750223248"</f>
        <v>1551598750223248</v>
      </c>
      <c r="C5032" t="s">
        <v>40</v>
      </c>
      <c r="D5032">
        <v>4.8389100000000003</v>
      </c>
      <c r="E5032">
        <v>0.66787629999999998</v>
      </c>
      <c r="F5032" t="s">
        <v>51</v>
      </c>
      <c r="G5032">
        <v>-192.92009999999999</v>
      </c>
      <c r="H5032" s="1">
        <v>6.5064890000000002E-6</v>
      </c>
      <c r="I5032">
        <v>201.45359999999999</v>
      </c>
      <c r="J5032">
        <v>-198.244</v>
      </c>
      <c r="K5032">
        <v>1.1142639999999999</v>
      </c>
      <c r="L5032">
        <v>214.12540000000001</v>
      </c>
      <c r="M5032">
        <v>0.9594104</v>
      </c>
      <c r="N5032">
        <v>-1.4633429999999999E-2</v>
      </c>
      <c r="O5032">
        <v>-0.28163440000000001</v>
      </c>
      <c r="P5032">
        <v>0.72753999999999996</v>
      </c>
      <c r="Q5032">
        <v>-7.8254729999999995E-2</v>
      </c>
      <c r="R5032">
        <v>-0.68158819999999998</v>
      </c>
      <c r="S5032">
        <v>1.3020480000000001</v>
      </c>
      <c r="T5032">
        <v>-0.26284829999999998</v>
      </c>
      <c r="U5032">
        <v>-3.0050050000000001</v>
      </c>
      <c r="V5032">
        <v>0.44789259999999997</v>
      </c>
      <c r="W5032">
        <v>-7.2871409999999998E-2</v>
      </c>
      <c r="X5032">
        <v>0.89111280000000004</v>
      </c>
      <c r="Y5032">
        <v>0.7662873</v>
      </c>
      <c r="Z5032">
        <v>-2.401031E-2</v>
      </c>
      <c r="AA5032">
        <v>0.64204939999999999</v>
      </c>
      <c r="AB5032">
        <v>21</v>
      </c>
      <c r="AC5032">
        <v>5.3239000000000303</v>
      </c>
      <c r="AD5032">
        <v>-1.1142574935109999</v>
      </c>
      <c r="AE5032">
        <v>-12.671799999999999</v>
      </c>
      <c r="AF5032">
        <v>10.5896078002783</v>
      </c>
      <c r="AG5032">
        <v>-1.1142574935109999</v>
      </c>
      <c r="AH5032">
        <v>8.6208908796869697</v>
      </c>
      <c r="AI5032">
        <v>94.665032864691398</v>
      </c>
      <c r="AJ5032">
        <v>39.148681179871801</v>
      </c>
      <c r="AK5032">
        <v>13.700405931396</v>
      </c>
      <c r="AL5032">
        <v>94.178928244511596</v>
      </c>
      <c r="AM5032">
        <v>63.314906572028299</v>
      </c>
      <c r="AN5032">
        <v>1.0000000229269901</v>
      </c>
    </row>
    <row r="5033" spans="1:40" x14ac:dyDescent="0.25">
      <c r="A5033" t="str">
        <f>"20190303153910250"</f>
        <v>20190303153910250</v>
      </c>
      <c r="B5033" t="str">
        <f>"1551598750243745"</f>
        <v>1551598750243745</v>
      </c>
      <c r="C5033" t="s">
        <v>40</v>
      </c>
      <c r="D5033">
        <v>4.8636179999999998</v>
      </c>
      <c r="E5033">
        <v>0.66454250000000004</v>
      </c>
      <c r="F5033" t="s">
        <v>42</v>
      </c>
      <c r="G5033">
        <v>-190.4101</v>
      </c>
      <c r="H5033" s="1">
        <v>-2.6321620000000002E-6</v>
      </c>
      <c r="I5033">
        <v>195.47040000000001</v>
      </c>
      <c r="J5033">
        <v>-198.04400000000001</v>
      </c>
      <c r="K5033">
        <v>1.1140380000000001</v>
      </c>
      <c r="L5033">
        <v>214.05160000000001</v>
      </c>
      <c r="M5033">
        <v>0.95580209999999999</v>
      </c>
      <c r="N5033">
        <v>-1.4709659999999999E-2</v>
      </c>
      <c r="O5033">
        <v>-0.29364289999999998</v>
      </c>
      <c r="P5033">
        <v>0.71838159999999995</v>
      </c>
      <c r="Q5033">
        <v>-7.8389840000000002E-2</v>
      </c>
      <c r="R5033">
        <v>-0.69121860000000002</v>
      </c>
      <c r="S5033">
        <v>1.270248</v>
      </c>
      <c r="T5033">
        <v>-0.18067510000000001</v>
      </c>
      <c r="U5033">
        <v>-3.0248569999999999</v>
      </c>
      <c r="V5033">
        <v>0.44855020000000001</v>
      </c>
      <c r="W5033">
        <v>-7.3200029999999999E-2</v>
      </c>
      <c r="X5033">
        <v>0.89075499999999996</v>
      </c>
      <c r="Y5033">
        <v>0.76647200000000004</v>
      </c>
      <c r="Z5033">
        <v>-1.9289850000000001E-2</v>
      </c>
      <c r="AA5033">
        <v>0.641988</v>
      </c>
      <c r="AB5033">
        <v>21</v>
      </c>
      <c r="AC5033">
        <v>7.6339000000000103</v>
      </c>
      <c r="AD5033">
        <v>-1.11404063216199</v>
      </c>
      <c r="AE5033">
        <v>-18.5811999999999</v>
      </c>
      <c r="AF5033">
        <v>15.472401546022899</v>
      </c>
      <c r="AG5033">
        <v>-1.11404063216199</v>
      </c>
      <c r="AH5033">
        <v>12.715008618268399</v>
      </c>
      <c r="AI5033">
        <v>93.183963028245401</v>
      </c>
      <c r="AJ5033">
        <v>39.412899209141997</v>
      </c>
      <c r="AK5033">
        <v>20.0576105330152</v>
      </c>
      <c r="AL5033">
        <v>94.197807306896905</v>
      </c>
      <c r="AM5033">
        <v>63.271920193401101</v>
      </c>
      <c r="AN5033">
        <v>0.99999999816852003</v>
      </c>
    </row>
    <row r="5034" spans="1:40" x14ac:dyDescent="0.25">
      <c r="A5034" t="str">
        <f>"20190303153910273"</f>
        <v>20190303153910273</v>
      </c>
      <c r="B5034" t="str">
        <f>"1551598750263265"</f>
        <v>1551598750263265</v>
      </c>
      <c r="C5034" t="s">
        <v>40</v>
      </c>
      <c r="D5034">
        <v>4.8657979999999998</v>
      </c>
      <c r="E5034">
        <v>0.66220709999999905</v>
      </c>
      <c r="F5034" t="s">
        <v>42</v>
      </c>
      <c r="G5034">
        <v>-191.67420000000001</v>
      </c>
      <c r="H5034" s="1">
        <v>-4.2536820000000004E-6</v>
      </c>
      <c r="I5034">
        <v>198.6138</v>
      </c>
      <c r="J5034">
        <v>-197.84479999999999</v>
      </c>
      <c r="K5034">
        <v>1.1138220000000001</v>
      </c>
      <c r="L5034">
        <v>213.97450000000001</v>
      </c>
      <c r="M5034">
        <v>0.95189979999999996</v>
      </c>
      <c r="N5034">
        <v>-1.479079E-2</v>
      </c>
      <c r="O5034">
        <v>-0.30605260000000001</v>
      </c>
      <c r="P5034">
        <v>0.70884619999999998</v>
      </c>
      <c r="Q5034">
        <v>-7.7657710000000005E-2</v>
      </c>
      <c r="R5034">
        <v>-0.70107519999999901</v>
      </c>
      <c r="S5034">
        <v>1.2462009999999999</v>
      </c>
      <c r="T5034">
        <v>-0.2179528</v>
      </c>
      <c r="U5034">
        <v>-3.0202789999999999</v>
      </c>
      <c r="V5034">
        <v>0.44921480000000003</v>
      </c>
      <c r="W5034">
        <v>-7.2652439999999999E-2</v>
      </c>
      <c r="X5034">
        <v>0.89046479999999995</v>
      </c>
      <c r="Y5034">
        <v>0.76174790000000003</v>
      </c>
      <c r="Z5034">
        <v>-1.9987089999999999E-2</v>
      </c>
      <c r="AA5034">
        <v>0.64756519999999995</v>
      </c>
      <c r="AB5034">
        <v>21</v>
      </c>
      <c r="AC5034">
        <v>6.1705999999999701</v>
      </c>
      <c r="AD5034">
        <v>-1.1138262536819901</v>
      </c>
      <c r="AE5034">
        <v>-15.3607</v>
      </c>
      <c r="AF5034">
        <v>12.6773166862205</v>
      </c>
      <c r="AG5034">
        <v>-1.1138262536819901</v>
      </c>
      <c r="AH5034">
        <v>10.5284652912583</v>
      </c>
      <c r="AI5034">
        <v>93.866738419445198</v>
      </c>
      <c r="AJ5034">
        <v>39.709507821159299</v>
      </c>
      <c r="AK5034">
        <v>16.516765684459699</v>
      </c>
      <c r="AL5034">
        <v>94.166349203633899</v>
      </c>
      <c r="AM5034">
        <v>63.230321945657799</v>
      </c>
      <c r="AN5034">
        <v>0.99999993680801402</v>
      </c>
    </row>
    <row r="5035" spans="1:40" x14ac:dyDescent="0.25">
      <c r="A5035" t="str">
        <f>"20190303153910295"</f>
        <v>20190303153910295</v>
      </c>
      <c r="B5035" t="str">
        <f>"1551598750283761"</f>
        <v>1551598750283761</v>
      </c>
      <c r="C5035" t="s">
        <v>40</v>
      </c>
      <c r="D5035">
        <v>4.8807330000000002</v>
      </c>
      <c r="E5035">
        <v>0.66096189999999999</v>
      </c>
      <c r="F5035" t="s">
        <v>42</v>
      </c>
      <c r="G5035">
        <v>-191.99029999999999</v>
      </c>
      <c r="H5035" s="1">
        <v>-4.5875149999999999E-6</v>
      </c>
      <c r="I5035">
        <v>199.43</v>
      </c>
      <c r="J5035">
        <v>-197.65469999999999</v>
      </c>
      <c r="K5035">
        <v>1.1136469999999901</v>
      </c>
      <c r="L5035">
        <v>213.89769999999999</v>
      </c>
      <c r="M5035">
        <v>0.94788989999999995</v>
      </c>
      <c r="N5035">
        <v>-1.486902E-2</v>
      </c>
      <c r="O5035">
        <v>-0.31825100000000001</v>
      </c>
      <c r="P5035">
        <v>0.70002339999999996</v>
      </c>
      <c r="Q5035">
        <v>-7.6284039999999997E-2</v>
      </c>
      <c r="R5035">
        <v>-0.71003419999999995</v>
      </c>
      <c r="S5035">
        <v>1.2168730000000001</v>
      </c>
      <c r="T5035">
        <v>-0.23150899999999999</v>
      </c>
      <c r="U5035">
        <v>-3.0230869999999999</v>
      </c>
      <c r="V5035">
        <v>0.44905129999999999</v>
      </c>
      <c r="W5035">
        <v>-7.1404679999999998E-2</v>
      </c>
      <c r="X5035">
        <v>0.89064829999999995</v>
      </c>
      <c r="Y5035">
        <v>0.75890419999999903</v>
      </c>
      <c r="Z5035">
        <v>-1.956538E-2</v>
      </c>
      <c r="AA5035">
        <v>0.65090839999999905</v>
      </c>
      <c r="AB5035">
        <v>20</v>
      </c>
      <c r="AC5035">
        <v>5.6643999999999997</v>
      </c>
      <c r="AD5035">
        <v>-1.1136515875149999</v>
      </c>
      <c r="AE5035">
        <v>-14.467699999999899</v>
      </c>
      <c r="AF5035">
        <v>11.8515138110174</v>
      </c>
      <c r="AG5035">
        <v>-1.1136515875149999</v>
      </c>
      <c r="AH5035">
        <v>9.9237057867342706</v>
      </c>
      <c r="AI5035">
        <v>94.120779250092198</v>
      </c>
      <c r="AJ5035">
        <v>39.940669523560899</v>
      </c>
      <c r="AK5035">
        <v>15.497694538633001</v>
      </c>
      <c r="AL5035">
        <v>94.094671185840099</v>
      </c>
      <c r="AM5035">
        <v>63.243454778901501</v>
      </c>
      <c r="AN5035">
        <v>1.0000000463252401</v>
      </c>
    </row>
    <row r="5036" spans="1:40" x14ac:dyDescent="0.25">
      <c r="A5036" t="str">
        <f>"20190303153910316"</f>
        <v>20190303153910316</v>
      </c>
      <c r="B5036" t="str">
        <f>"1551598750314017"</f>
        <v>1551598750314017</v>
      </c>
      <c r="C5036" t="s">
        <v>40</v>
      </c>
      <c r="D5036">
        <v>4.882104</v>
      </c>
      <c r="E5036">
        <v>0.65959619999999997</v>
      </c>
      <c r="F5036" t="s">
        <v>42</v>
      </c>
      <c r="G5036">
        <v>-191.91739999999999</v>
      </c>
      <c r="H5036" s="1">
        <v>-4.506624E-6</v>
      </c>
      <c r="I5036">
        <v>199.2303</v>
      </c>
      <c r="J5036">
        <v>-197.46469999999999</v>
      </c>
      <c r="K5036">
        <v>1.1134900000000001</v>
      </c>
      <c r="L5036">
        <v>213.8177</v>
      </c>
      <c r="M5036">
        <v>0.94358960000000003</v>
      </c>
      <c r="N5036">
        <v>-1.4945099999999999E-2</v>
      </c>
      <c r="O5036">
        <v>-0.33078000000000002</v>
      </c>
      <c r="P5036">
        <v>0.69078969999999995</v>
      </c>
      <c r="Q5036">
        <v>-7.6474210000000001E-2</v>
      </c>
      <c r="R5036">
        <v>-0.71900030000000004</v>
      </c>
      <c r="S5036">
        <v>1.1857599999999999</v>
      </c>
      <c r="T5036">
        <v>-0.2301658</v>
      </c>
      <c r="U5036">
        <v>-3.0314179999999999</v>
      </c>
      <c r="V5036">
        <v>0.44871240000000001</v>
      </c>
      <c r="W5036">
        <v>-7.1696129999999997E-2</v>
      </c>
      <c r="X5036">
        <v>0.89079560000000002</v>
      </c>
      <c r="Y5036">
        <v>0.75671949999999999</v>
      </c>
      <c r="Z5036">
        <v>-1.855151E-2</v>
      </c>
      <c r="AA5036">
        <v>0.65347650000000002</v>
      </c>
      <c r="AB5036">
        <v>20</v>
      </c>
      <c r="AC5036">
        <v>5.5472999999999999</v>
      </c>
      <c r="AD5036">
        <v>-1.1134945066239901</v>
      </c>
      <c r="AE5036">
        <v>-14.587400000000001</v>
      </c>
      <c r="AF5036">
        <v>11.870488058508</v>
      </c>
      <c r="AG5036">
        <v>-1.1134945066239901</v>
      </c>
      <c r="AH5036">
        <v>10.009763048901</v>
      </c>
      <c r="AI5036">
        <v>94.101718479056402</v>
      </c>
      <c r="AJ5036">
        <v>40.139187718580402</v>
      </c>
      <c r="AK5036">
        <v>15.567392622356801</v>
      </c>
      <c r="AL5036">
        <v>94.111413235066706</v>
      </c>
      <c r="AM5036">
        <v>63.264647316436204</v>
      </c>
      <c r="AN5036">
        <v>0.99999997697504805</v>
      </c>
    </row>
    <row r="5037" spans="1:40" x14ac:dyDescent="0.25">
      <c r="A5037" t="str">
        <f>"20190303153910339"</f>
        <v>20190303153910339</v>
      </c>
      <c r="B5037" t="str">
        <f>"1551598750333540"</f>
        <v>1551598750333540</v>
      </c>
      <c r="C5037" t="s">
        <v>40</v>
      </c>
      <c r="D5037">
        <v>4.8824019999999999</v>
      </c>
      <c r="E5037">
        <v>0.65916509999999995</v>
      </c>
      <c r="F5037" t="s">
        <v>42</v>
      </c>
      <c r="G5037">
        <v>-191.81739999999999</v>
      </c>
      <c r="H5037" s="1">
        <v>-4.395979E-6</v>
      </c>
      <c r="I5037">
        <v>198.9573</v>
      </c>
      <c r="J5037">
        <v>-197.27269999999999</v>
      </c>
      <c r="K5037">
        <v>1.1133299999999999</v>
      </c>
      <c r="L5037">
        <v>213.73339999999999</v>
      </c>
      <c r="M5037">
        <v>0.93892339999999996</v>
      </c>
      <c r="N5037">
        <v>-1.5020850000000001E-2</v>
      </c>
      <c r="O5037">
        <v>-0.34379870000000001</v>
      </c>
      <c r="P5037">
        <v>0.68087240000000004</v>
      </c>
      <c r="Q5037">
        <v>-7.7321719999999997E-2</v>
      </c>
      <c r="R5037">
        <v>-0.7283094</v>
      </c>
      <c r="S5037">
        <v>1.1548160000000001</v>
      </c>
      <c r="T5037">
        <v>-0.22769919999999999</v>
      </c>
      <c r="U5037">
        <v>-3.038818</v>
      </c>
      <c r="V5037">
        <v>0.44847229999999999</v>
      </c>
      <c r="W5037">
        <v>-7.2640360000000001E-2</v>
      </c>
      <c r="X5037">
        <v>0.89084010000000002</v>
      </c>
      <c r="Y5037">
        <v>0.75407270000000004</v>
      </c>
      <c r="Z5037">
        <v>-1.7448459999999999E-2</v>
      </c>
      <c r="AA5037">
        <v>0.65655909999999995</v>
      </c>
      <c r="AB5037">
        <v>20</v>
      </c>
      <c r="AC5037">
        <v>5.4552999999999896</v>
      </c>
      <c r="AD5037">
        <v>-1.1133343959790001</v>
      </c>
      <c r="AE5037">
        <v>-14.7760999999999</v>
      </c>
      <c r="AF5037">
        <v>11.9397997318415</v>
      </c>
      <c r="AG5037">
        <v>-1.1133343959790001</v>
      </c>
      <c r="AH5037">
        <v>10.1525386049285</v>
      </c>
      <c r="AI5037">
        <v>94.063273990308801</v>
      </c>
      <c r="AJ5037">
        <v>40.374867446782403</v>
      </c>
      <c r="AK5037">
        <v>15.712172709027699</v>
      </c>
      <c r="AL5037">
        <v>94.165654744697903</v>
      </c>
      <c r="AM5037">
        <v>63.278115954989403</v>
      </c>
      <c r="AN5037">
        <v>1.00000005476811</v>
      </c>
    </row>
    <row r="5038" spans="1:40" x14ac:dyDescent="0.25">
      <c r="A5038" t="str">
        <f>"20190303153910362"</f>
        <v>20190303153910362</v>
      </c>
      <c r="B5038" t="str">
        <f>"1551598750354032"</f>
        <v>1551598750354032</v>
      </c>
      <c r="C5038" t="s">
        <v>40</v>
      </c>
      <c r="D5038">
        <v>4.8408389999999999</v>
      </c>
      <c r="E5038">
        <v>0.65872449999999905</v>
      </c>
      <c r="F5038" t="s">
        <v>42</v>
      </c>
      <c r="G5038">
        <v>-191.84880000000001</v>
      </c>
      <c r="H5038" s="1">
        <v>-4.3798939999999996E-6</v>
      </c>
      <c r="I5038">
        <v>198.89359999999999</v>
      </c>
      <c r="J5038">
        <v>-197.07429999999999</v>
      </c>
      <c r="K5038">
        <v>1.1131719999999901</v>
      </c>
      <c r="L5038">
        <v>213.64250000000001</v>
      </c>
      <c r="M5038">
        <v>0.9337375</v>
      </c>
      <c r="N5038">
        <v>-1.5102610000000001E-2</v>
      </c>
      <c r="O5038">
        <v>-0.35763990000000001</v>
      </c>
      <c r="P5038">
        <v>0.67071729999999996</v>
      </c>
      <c r="Q5038">
        <v>-7.6373540000000004E-2</v>
      </c>
      <c r="R5038">
        <v>-0.73777099999999995</v>
      </c>
      <c r="S5038">
        <v>1.115494</v>
      </c>
      <c r="T5038">
        <v>-0.2289696</v>
      </c>
      <c r="U5038">
        <v>-3.0519560000000001</v>
      </c>
      <c r="V5038">
        <v>0.44773010000000002</v>
      </c>
      <c r="W5038">
        <v>-7.177567E-2</v>
      </c>
      <c r="X5038">
        <v>0.89128339999999995</v>
      </c>
      <c r="Y5038">
        <v>0.75275550000000002</v>
      </c>
      <c r="Z5038">
        <v>-1.6481639999999999E-2</v>
      </c>
      <c r="AA5038">
        <v>0.65809379999999995</v>
      </c>
      <c r="AB5038">
        <v>20</v>
      </c>
      <c r="AC5038">
        <v>5.2254999999999798</v>
      </c>
      <c r="AD5038">
        <v>-1.11317637989399</v>
      </c>
      <c r="AE5038">
        <v>-14.748900000000001</v>
      </c>
      <c r="AF5038">
        <v>11.844165160156299</v>
      </c>
      <c r="AG5038">
        <v>-1.11317637989399</v>
      </c>
      <c r="AH5038">
        <v>10.104059508503401</v>
      </c>
      <c r="AI5038">
        <v>94.089809558307394</v>
      </c>
      <c r="AJ5038">
        <v>40.466940953512697</v>
      </c>
      <c r="AK5038">
        <v>15.6081846652707</v>
      </c>
      <c r="AL5038">
        <v>94.115982035864207</v>
      </c>
      <c r="AM5038">
        <v>63.327647982349099</v>
      </c>
      <c r="AN5038">
        <v>1.0000000441827499</v>
      </c>
    </row>
    <row r="5039" spans="1:40" x14ac:dyDescent="0.25">
      <c r="A5039" t="str">
        <f>"20190303153910384"</f>
        <v>20190303153910384</v>
      </c>
      <c r="B5039" t="str">
        <f>"1551598750373560"</f>
        <v>1551598750373560</v>
      </c>
      <c r="C5039" t="s">
        <v>40</v>
      </c>
      <c r="D5039">
        <v>4.8824319999999997</v>
      </c>
      <c r="E5039">
        <v>0.6581051</v>
      </c>
      <c r="F5039" t="s">
        <v>42</v>
      </c>
      <c r="G5039">
        <v>-191.82079999999999</v>
      </c>
      <c r="H5039" s="1">
        <v>-4.3001109999999998E-6</v>
      </c>
      <c r="I5039">
        <v>198.6738</v>
      </c>
      <c r="J5039">
        <v>-196.89250000000001</v>
      </c>
      <c r="K5039">
        <v>1.1130329999999999</v>
      </c>
      <c r="L5039">
        <v>213.5556</v>
      </c>
      <c r="M5039">
        <v>0.92863819999999997</v>
      </c>
      <c r="N5039">
        <v>-1.5183429999999999E-2</v>
      </c>
      <c r="O5039">
        <v>-0.3706758</v>
      </c>
      <c r="P5039">
        <v>0.66202569999999905</v>
      </c>
      <c r="Q5039">
        <v>-7.4703099999999995E-2</v>
      </c>
      <c r="R5039">
        <v>-0.74574879999999999</v>
      </c>
      <c r="S5039">
        <v>1.075653</v>
      </c>
      <c r="T5039">
        <v>-0.2279204</v>
      </c>
      <c r="U5039">
        <v>-3.0648040000000001</v>
      </c>
      <c r="V5039">
        <v>0.44586330000000002</v>
      </c>
      <c r="W5039">
        <v>-7.0153549999999995E-2</v>
      </c>
      <c r="X5039">
        <v>0.89234769999999897</v>
      </c>
      <c r="Y5039">
        <v>0.75205649999999902</v>
      </c>
      <c r="Z5039">
        <v>-1.5559979999999999E-2</v>
      </c>
      <c r="AA5039">
        <v>0.65891489999999997</v>
      </c>
      <c r="AB5039">
        <v>20</v>
      </c>
      <c r="AC5039">
        <v>5.0717000000000203</v>
      </c>
      <c r="AD5039">
        <v>-1.1130373001110001</v>
      </c>
      <c r="AE5039">
        <v>-14.881799999999901</v>
      </c>
      <c r="AF5039">
        <v>11.8816802172344</v>
      </c>
      <c r="AG5039">
        <v>-1.1130373001110001</v>
      </c>
      <c r="AH5039">
        <v>10.1762756445937</v>
      </c>
      <c r="AI5039">
        <v>94.069646870898197</v>
      </c>
      <c r="AJ5039">
        <v>40.578988096235797</v>
      </c>
      <c r="AK5039">
        <v>15.683423185351099</v>
      </c>
      <c r="AL5039">
        <v>94.022806625311603</v>
      </c>
      <c r="AM5039">
        <v>63.4509028562033</v>
      </c>
      <c r="AN5039">
        <v>1.0000000102798901</v>
      </c>
    </row>
    <row r="5040" spans="1:40" x14ac:dyDescent="0.25">
      <c r="A5040" t="str">
        <f>"20190303153910406"</f>
        <v>20190303153910406</v>
      </c>
      <c r="B5040" t="str">
        <f>"1551598750403813"</f>
        <v>1551598750403813</v>
      </c>
      <c r="C5040" t="s">
        <v>40</v>
      </c>
      <c r="D5040">
        <v>4.9488110000000001</v>
      </c>
      <c r="E5040">
        <v>0.65745629999999999</v>
      </c>
      <c r="F5040" t="s">
        <v>42</v>
      </c>
      <c r="G5040">
        <v>-191.71719999999999</v>
      </c>
      <c r="H5040" s="1">
        <v>-4.1547159999999998E-6</v>
      </c>
      <c r="I5040">
        <v>198.3005</v>
      </c>
      <c r="J5040">
        <v>-196.70679999999999</v>
      </c>
      <c r="K5040">
        <v>1.1128709999999999</v>
      </c>
      <c r="L5040">
        <v>213.4631</v>
      </c>
      <c r="M5040">
        <v>0.92306140000000003</v>
      </c>
      <c r="N5040">
        <v>-1.527105E-2</v>
      </c>
      <c r="O5040">
        <v>-0.38434960000000001</v>
      </c>
      <c r="P5040">
        <v>0.65388950000000001</v>
      </c>
      <c r="Q5040">
        <v>-7.2238330000000003E-2</v>
      </c>
      <c r="R5040">
        <v>-0.75313390000000002</v>
      </c>
      <c r="S5040">
        <v>1.043015</v>
      </c>
      <c r="T5040">
        <v>-0.22431519999999999</v>
      </c>
      <c r="U5040">
        <v>-3.074417</v>
      </c>
      <c r="V5040">
        <v>0.4426194</v>
      </c>
      <c r="W5040">
        <v>-6.7707749999999997E-2</v>
      </c>
      <c r="X5040">
        <v>0.89414969999999905</v>
      </c>
      <c r="Y5040">
        <v>0.74928830000000002</v>
      </c>
      <c r="Z5040">
        <v>-1.4429040000000001E-2</v>
      </c>
      <c r="AA5040">
        <v>0.66208669999999903</v>
      </c>
      <c r="AB5040">
        <v>20</v>
      </c>
      <c r="AC5040">
        <v>4.9895999999999896</v>
      </c>
      <c r="AD5040">
        <v>-1.1128751547159901</v>
      </c>
      <c r="AE5040">
        <v>-15.1625999999999</v>
      </c>
      <c r="AF5040">
        <v>12.0212368241618</v>
      </c>
      <c r="AG5040">
        <v>-1.1128751547159901</v>
      </c>
      <c r="AH5040">
        <v>10.384188611708201</v>
      </c>
      <c r="AI5040">
        <v>94.007428048913198</v>
      </c>
      <c r="AJ5040">
        <v>40.821120316124002</v>
      </c>
      <c r="AK5040">
        <v>15.9241953961919</v>
      </c>
      <c r="AL5040">
        <v>93.882338583955203</v>
      </c>
      <c r="AM5040">
        <v>63.663802623656203</v>
      </c>
      <c r="AN5040">
        <v>0.99999997933825602</v>
      </c>
    </row>
    <row r="5041" spans="1:40" x14ac:dyDescent="0.25">
      <c r="A5041" t="str">
        <f>"20190303153910430"</f>
        <v>20190303153910430</v>
      </c>
      <c r="B5041" t="str">
        <f>"1551598750423334"</f>
        <v>1551598750423334</v>
      </c>
      <c r="C5041" t="s">
        <v>40</v>
      </c>
      <c r="D5041">
        <v>4.8654120000000001</v>
      </c>
      <c r="E5041">
        <v>0.65734569999999903</v>
      </c>
      <c r="F5041" t="s">
        <v>42</v>
      </c>
      <c r="G5041">
        <v>-191.4752</v>
      </c>
      <c r="H5041" s="1">
        <v>-3.8085800000000001E-6</v>
      </c>
      <c r="I5041">
        <v>197.5521</v>
      </c>
      <c r="J5041">
        <v>-196.51429999999999</v>
      </c>
      <c r="K5041">
        <v>1.112687</v>
      </c>
      <c r="L5041">
        <v>213.3631</v>
      </c>
      <c r="M5041">
        <v>0.91685629999999996</v>
      </c>
      <c r="N5041">
        <v>-1.536589E-2</v>
      </c>
      <c r="O5041">
        <v>-0.3989221</v>
      </c>
      <c r="P5041">
        <v>0.64495959999999997</v>
      </c>
      <c r="Q5041">
        <v>-7.1936280000000005E-2</v>
      </c>
      <c r="R5041">
        <v>-0.76082349999999999</v>
      </c>
      <c r="S5041">
        <v>1.0135959999999999</v>
      </c>
      <c r="T5041">
        <v>-0.21561050000000001</v>
      </c>
      <c r="U5041">
        <v>-3.0826419999999999</v>
      </c>
      <c r="V5041">
        <v>0.4390076</v>
      </c>
      <c r="W5041">
        <v>-6.7427819999999999E-2</v>
      </c>
      <c r="X5041">
        <v>0.89594969999999996</v>
      </c>
      <c r="Y5041">
        <v>0.7451335</v>
      </c>
      <c r="Z5041">
        <v>-1.31653E-2</v>
      </c>
      <c r="AA5041">
        <v>0.66678539999999997</v>
      </c>
      <c r="AB5041">
        <v>20</v>
      </c>
      <c r="AC5041">
        <v>5.0390999999999897</v>
      </c>
      <c r="AD5041">
        <v>-1.11269080858</v>
      </c>
      <c r="AE5041">
        <v>-15.811</v>
      </c>
      <c r="AF5041">
        <v>12.4317862481213</v>
      </c>
      <c r="AG5041">
        <v>-1.11269080858</v>
      </c>
      <c r="AH5041">
        <v>10.8798611261436</v>
      </c>
      <c r="AI5041">
        <v>93.853217101289005</v>
      </c>
      <c r="AJ5041">
        <v>41.191271041282299</v>
      </c>
      <c r="AK5041">
        <v>16.557740433967702</v>
      </c>
      <c r="AL5041">
        <v>93.866262864050896</v>
      </c>
      <c r="AM5041">
        <v>63.895545800820599</v>
      </c>
      <c r="AN5041">
        <v>1.0000000243489</v>
      </c>
    </row>
    <row r="5042" spans="1:40" x14ac:dyDescent="0.25">
      <c r="A5042" t="str">
        <f>"20190303153910452"</f>
        <v>20190303153910452</v>
      </c>
      <c r="B5042" t="str">
        <f>"1551598750443830"</f>
        <v>1551598750443830</v>
      </c>
      <c r="C5042" t="s">
        <v>40</v>
      </c>
      <c r="D5042">
        <v>4.9342689999999996</v>
      </c>
      <c r="E5042">
        <v>0.65743909999999905</v>
      </c>
      <c r="F5042" t="s">
        <v>42</v>
      </c>
      <c r="G5042">
        <v>-191.19450000000001</v>
      </c>
      <c r="H5042" s="1">
        <v>-3.2964650000000002E-6</v>
      </c>
      <c r="I5042">
        <v>196.5324</v>
      </c>
      <c r="J5042">
        <v>-196.32839999999999</v>
      </c>
      <c r="K5042">
        <v>1.1124989999999999</v>
      </c>
      <c r="L5042">
        <v>213.262</v>
      </c>
      <c r="M5042">
        <v>0.91040529999999997</v>
      </c>
      <c r="N5042">
        <v>-1.5462200000000001E-2</v>
      </c>
      <c r="O5042">
        <v>-0.41342830000000003</v>
      </c>
      <c r="P5042">
        <v>0.63591409999999904</v>
      </c>
      <c r="Q5042">
        <v>-7.1916729999999998E-2</v>
      </c>
      <c r="R5042">
        <v>-0.76840180000000002</v>
      </c>
      <c r="S5042">
        <v>0.97813419999999895</v>
      </c>
      <c r="T5042">
        <v>-0.2045864</v>
      </c>
      <c r="U5042">
        <v>-3.0946039999999999</v>
      </c>
      <c r="V5042">
        <v>0.43535489999999999</v>
      </c>
      <c r="W5042">
        <v>-6.7422759999999998E-2</v>
      </c>
      <c r="X5042">
        <v>0.89773060000000005</v>
      </c>
      <c r="Y5042">
        <v>0.7423592</v>
      </c>
      <c r="Z5042">
        <v>-1.211105E-2</v>
      </c>
      <c r="AA5042">
        <v>0.66989259999999995</v>
      </c>
      <c r="AB5042">
        <v>20</v>
      </c>
      <c r="AC5042">
        <v>5.1338999999999801</v>
      </c>
      <c r="AD5042">
        <v>-1.112502296465</v>
      </c>
      <c r="AE5042">
        <v>-16.729600000000001</v>
      </c>
      <c r="AF5042">
        <v>13.057014967022701</v>
      </c>
      <c r="AG5042">
        <v>-1.112502296465</v>
      </c>
      <c r="AH5042">
        <v>11.5451465322896</v>
      </c>
      <c r="AI5042">
        <v>93.652229114283799</v>
      </c>
      <c r="AJ5042">
        <v>41.483443776283103</v>
      </c>
      <c r="AK5042">
        <v>17.464641698607299</v>
      </c>
      <c r="AL5042">
        <v>93.865972481684196</v>
      </c>
      <c r="AM5042">
        <v>64.128911042883303</v>
      </c>
      <c r="AN5042">
        <v>0.99999997384819295</v>
      </c>
    </row>
    <row r="5043" spans="1:40" x14ac:dyDescent="0.25">
      <c r="A5043" t="str">
        <f>"20190303153910473"</f>
        <v>20190303153910473</v>
      </c>
      <c r="B5043" t="str">
        <f>"1551598750463350"</f>
        <v>1551598750463350</v>
      </c>
      <c r="C5043" t="s">
        <v>40</v>
      </c>
      <c r="D5043">
        <v>4.9532990000000003</v>
      </c>
      <c r="E5043">
        <v>0.65731260000000002</v>
      </c>
      <c r="F5043" t="s">
        <v>42</v>
      </c>
      <c r="G5043">
        <v>-190.86359999999999</v>
      </c>
      <c r="H5043" s="1">
        <v>-2.651833E-6</v>
      </c>
      <c r="I5043">
        <v>195.23500000000001</v>
      </c>
      <c r="J5043">
        <v>-196.1574</v>
      </c>
      <c r="K5043">
        <v>1.1123339999999999</v>
      </c>
      <c r="L5043">
        <v>213.1651</v>
      </c>
      <c r="M5043">
        <v>0.90407709999999997</v>
      </c>
      <c r="N5043">
        <v>-1.555113E-2</v>
      </c>
      <c r="O5043">
        <v>-0.42708649999999998</v>
      </c>
      <c r="P5043">
        <v>0.62698219999999905</v>
      </c>
      <c r="Q5043">
        <v>-7.1986209999999995E-2</v>
      </c>
      <c r="R5043">
        <v>-0.77570090000000003</v>
      </c>
      <c r="S5043">
        <v>0.94183349999999999</v>
      </c>
      <c r="T5043">
        <v>-0.19173370000000001</v>
      </c>
      <c r="U5043">
        <v>-3.1068570000000002</v>
      </c>
      <c r="V5043">
        <v>0.43219560000000001</v>
      </c>
      <c r="W5043">
        <v>-6.7490010000000003E-2</v>
      </c>
      <c r="X5043">
        <v>0.89925080000000002</v>
      </c>
      <c r="Y5043">
        <v>0.74030600000000002</v>
      </c>
      <c r="Z5043">
        <v>-1.129021E-2</v>
      </c>
      <c r="AA5043">
        <v>0.67217519999999997</v>
      </c>
      <c r="AB5043">
        <v>20</v>
      </c>
      <c r="AC5043">
        <v>5.2938000000000001</v>
      </c>
      <c r="AD5043">
        <v>-1.112336651833</v>
      </c>
      <c r="AE5043">
        <v>-17.9300999999999</v>
      </c>
      <c r="AF5043">
        <v>13.9017555935815</v>
      </c>
      <c r="AG5043">
        <v>-1.112336651833</v>
      </c>
      <c r="AH5043">
        <v>12.4013099589709</v>
      </c>
      <c r="AI5043">
        <v>93.417013778377793</v>
      </c>
      <c r="AJ5043">
        <v>41.735128321970997</v>
      </c>
      <c r="AK5043">
        <v>18.662491530049198</v>
      </c>
      <c r="AL5043">
        <v>93.869834435646396</v>
      </c>
      <c r="AM5043">
        <v>64.330249804053196</v>
      </c>
      <c r="AN5043">
        <v>0.99999996970489902</v>
      </c>
    </row>
    <row r="5044" spans="1:40" x14ac:dyDescent="0.25">
      <c r="A5044" t="str">
        <f>"20190303153910495"</f>
        <v>20190303153910495</v>
      </c>
      <c r="B5044" t="str">
        <f>"1551598750483846"</f>
        <v>1551598750483846</v>
      </c>
      <c r="C5044" t="s">
        <v>40</v>
      </c>
      <c r="D5044">
        <v>5.0344509999999998</v>
      </c>
      <c r="E5044">
        <v>0.65661729999999996</v>
      </c>
      <c r="F5044" t="s">
        <v>42</v>
      </c>
      <c r="G5044">
        <v>-190.7731</v>
      </c>
      <c r="H5044" s="1">
        <v>-2.3789950000000001E-6</v>
      </c>
      <c r="I5044">
        <v>194.6551</v>
      </c>
      <c r="J5044">
        <v>-195.9819</v>
      </c>
      <c r="K5044">
        <v>1.112179</v>
      </c>
      <c r="L5044">
        <v>213.0615</v>
      </c>
      <c r="M5044">
        <v>0.89715710000000004</v>
      </c>
      <c r="N5044">
        <v>-1.564142E-2</v>
      </c>
      <c r="O5044">
        <v>-0.44143480000000002</v>
      </c>
      <c r="P5044">
        <v>0.61683900000000003</v>
      </c>
      <c r="Q5044">
        <v>-7.2315740000000003E-2</v>
      </c>
      <c r="R5044">
        <v>-0.78376040000000002</v>
      </c>
      <c r="S5044">
        <v>0.90675349999999999</v>
      </c>
      <c r="T5044">
        <v>-0.18732499999999999</v>
      </c>
      <c r="U5044">
        <v>-3.1172029999999999</v>
      </c>
      <c r="V5044">
        <v>0.42951129999999998</v>
      </c>
      <c r="W5044">
        <v>-6.7816390000000004E-2</v>
      </c>
      <c r="X5044">
        <v>0.90051150000000002</v>
      </c>
      <c r="Y5044">
        <v>0.73722310000000002</v>
      </c>
      <c r="Z5044">
        <v>-1.0393009999999999E-2</v>
      </c>
      <c r="AA5044">
        <v>0.67556939999999999</v>
      </c>
      <c r="AB5044">
        <v>20</v>
      </c>
      <c r="AC5044">
        <v>5.2087999999999903</v>
      </c>
      <c r="AD5044">
        <v>-1.1121813789949999</v>
      </c>
      <c r="AE5044">
        <v>-18.406399999999898</v>
      </c>
      <c r="AF5044">
        <v>14.1679325207856</v>
      </c>
      <c r="AG5044">
        <v>-1.1121813789949999</v>
      </c>
      <c r="AH5044">
        <v>12.7567801246238</v>
      </c>
      <c r="AI5044">
        <v>93.338678234854697</v>
      </c>
      <c r="AJ5044">
        <v>41.999813251996699</v>
      </c>
      <c r="AK5044">
        <v>19.097190853141601</v>
      </c>
      <c r="AL5044">
        <v>93.888577493866407</v>
      </c>
      <c r="AM5044">
        <v>64.500552153553301</v>
      </c>
      <c r="AN5044">
        <v>0.99999999060628597</v>
      </c>
    </row>
    <row r="5045" spans="1:40" x14ac:dyDescent="0.25">
      <c r="A5045" t="str">
        <f>"20190303153910518"</f>
        <v>20190303153910518</v>
      </c>
      <c r="B5045" t="str">
        <f>"1551598750514102"</f>
        <v>1551598750514102</v>
      </c>
      <c r="C5045" t="s">
        <v>40</v>
      </c>
      <c r="D5045">
        <v>5.0322389999999997</v>
      </c>
      <c r="E5045">
        <v>0.65566959999999996</v>
      </c>
      <c r="F5045" t="s">
        <v>42</v>
      </c>
      <c r="G5045">
        <v>-191.0401</v>
      </c>
      <c r="H5045" s="1">
        <v>-2.7334759999999999E-6</v>
      </c>
      <c r="I5045">
        <v>195.3158</v>
      </c>
      <c r="J5045">
        <v>-195.80350000000001</v>
      </c>
      <c r="K5045">
        <v>1.1120270000000001</v>
      </c>
      <c r="L5045">
        <v>212.95189999999999</v>
      </c>
      <c r="M5045">
        <v>0.88964560000000004</v>
      </c>
      <c r="N5045">
        <v>-1.573364E-2</v>
      </c>
      <c r="O5045">
        <v>-0.45638069999999997</v>
      </c>
      <c r="P5045">
        <v>0.60587809999999998</v>
      </c>
      <c r="Q5045">
        <v>-7.2812719999999997E-2</v>
      </c>
      <c r="R5045">
        <v>-0.79221839999999999</v>
      </c>
      <c r="S5045">
        <v>0.87017819999999901</v>
      </c>
      <c r="T5045">
        <v>-0.19584019999999999</v>
      </c>
      <c r="U5045">
        <v>-3.1247859999999998</v>
      </c>
      <c r="V5045">
        <v>0.4269</v>
      </c>
      <c r="W5045">
        <v>-6.8305649999999996E-2</v>
      </c>
      <c r="X5045">
        <v>0.9017155</v>
      </c>
      <c r="Y5045">
        <v>0.73363140000000004</v>
      </c>
      <c r="Z5045">
        <v>-9.2129399999999993E-3</v>
      </c>
      <c r="AA5045">
        <v>0.67948509999999995</v>
      </c>
      <c r="AB5045">
        <v>20</v>
      </c>
      <c r="AC5045">
        <v>4.7634000000000096</v>
      </c>
      <c r="AD5045">
        <v>-1.1120297334759901</v>
      </c>
      <c r="AE5045">
        <v>-17.636099999999999</v>
      </c>
      <c r="AF5045">
        <v>13.467722148565599</v>
      </c>
      <c r="AG5045">
        <v>-1.1120297334759901</v>
      </c>
      <c r="AH5045">
        <v>12.242668085427701</v>
      </c>
      <c r="AI5045">
        <v>93.496337766910997</v>
      </c>
      <c r="AJ5045">
        <v>42.272021929371398</v>
      </c>
      <c r="AK5045">
        <v>18.2345570784993</v>
      </c>
      <c r="AL5045">
        <v>93.9166749195915</v>
      </c>
      <c r="AM5045">
        <v>64.665678105875003</v>
      </c>
      <c r="AN5045">
        <v>1.0000000573810801</v>
      </c>
    </row>
    <row r="5046" spans="1:40" x14ac:dyDescent="0.25">
      <c r="A5046" t="str">
        <f>"20190303153910541"</f>
        <v>20190303153910541</v>
      </c>
      <c r="B5046" t="str">
        <f>"1551598750533625"</f>
        <v>1551598750533625</v>
      </c>
      <c r="C5046" t="s">
        <v>40</v>
      </c>
      <c r="D5046">
        <v>5.0666640000000003</v>
      </c>
      <c r="E5046">
        <v>0.65505809999999998</v>
      </c>
      <c r="F5046" t="s">
        <v>42</v>
      </c>
      <c r="G5046">
        <v>-191.2568</v>
      </c>
      <c r="H5046" s="1">
        <v>-3.0172679999999999E-6</v>
      </c>
      <c r="I5046">
        <v>195.84289999999999</v>
      </c>
      <c r="J5046">
        <v>-195.6266</v>
      </c>
      <c r="K5046">
        <v>1.1118760000000001</v>
      </c>
      <c r="L5046">
        <v>212.83860000000001</v>
      </c>
      <c r="M5046">
        <v>0.88167980000000001</v>
      </c>
      <c r="N5046">
        <v>-1.5830159999999999E-2</v>
      </c>
      <c r="O5046">
        <v>-0.47158270000000002</v>
      </c>
      <c r="P5046">
        <v>0.59356359999999997</v>
      </c>
      <c r="Q5046">
        <v>-7.2050130000000004E-2</v>
      </c>
      <c r="R5046">
        <v>-0.80155580000000004</v>
      </c>
      <c r="S5046">
        <v>0.83222960000000001</v>
      </c>
      <c r="T5046">
        <v>-0.20354739999999999</v>
      </c>
      <c r="U5046">
        <v>-3.131653</v>
      </c>
      <c r="V5046">
        <v>0.42541420000000002</v>
      </c>
      <c r="W5046">
        <v>-6.7565860000000005E-2</v>
      </c>
      <c r="X5046">
        <v>0.90247299999999997</v>
      </c>
      <c r="Y5046">
        <v>0.72998369999999901</v>
      </c>
      <c r="Z5046">
        <v>-7.9209699999999994E-3</v>
      </c>
      <c r="AA5046">
        <v>0.68341869999999905</v>
      </c>
      <c r="AB5046">
        <v>20</v>
      </c>
      <c r="AC5046">
        <v>4.3697999999999899</v>
      </c>
      <c r="AD5046">
        <v>-1.111879017268</v>
      </c>
      <c r="AE5046">
        <v>-16.995699999999999</v>
      </c>
      <c r="AF5046">
        <v>12.8739790868716</v>
      </c>
      <c r="AG5046">
        <v>-1.111879017268</v>
      </c>
      <c r="AH5046">
        <v>11.821670484593801</v>
      </c>
      <c r="AI5046">
        <v>93.639954687762398</v>
      </c>
      <c r="AJ5046">
        <v>42.560040287955303</v>
      </c>
      <c r="AK5046">
        <v>17.513637701076401</v>
      </c>
      <c r="AL5046">
        <v>93.874190334502799</v>
      </c>
      <c r="AM5046">
        <v>64.761411222352393</v>
      </c>
      <c r="AN5046">
        <v>0.99999995136408804</v>
      </c>
    </row>
    <row r="5047" spans="1:40" x14ac:dyDescent="0.25">
      <c r="A5047" t="str">
        <f>"20190303153910562"</f>
        <v>20190303153910562</v>
      </c>
      <c r="B5047" t="str">
        <f>"1551598750554121"</f>
        <v>1551598750554121</v>
      </c>
      <c r="C5047" t="s">
        <v>40</v>
      </c>
      <c r="D5047">
        <v>5.1033249999999999</v>
      </c>
      <c r="E5047">
        <v>0.65468280000000001</v>
      </c>
      <c r="F5047" t="s">
        <v>42</v>
      </c>
      <c r="G5047">
        <v>-191.37389999999999</v>
      </c>
      <c r="H5047" s="1">
        <v>-3.0608890000000001E-6</v>
      </c>
      <c r="I5047">
        <v>195.87190000000001</v>
      </c>
      <c r="J5047">
        <v>-195.45599999999999</v>
      </c>
      <c r="K5047">
        <v>1.1117220000000001</v>
      </c>
      <c r="L5047">
        <v>212.72479999999999</v>
      </c>
      <c r="M5047">
        <v>0.873472899999999</v>
      </c>
      <c r="N5047">
        <v>-1.593077E-2</v>
      </c>
      <c r="O5047">
        <v>-0.48661209999999999</v>
      </c>
      <c r="P5047">
        <v>0.57947530000000003</v>
      </c>
      <c r="Q5047">
        <v>-7.1859309999999996E-2</v>
      </c>
      <c r="R5047">
        <v>-0.81181579999999998</v>
      </c>
      <c r="S5047">
        <v>0.787323</v>
      </c>
      <c r="T5047">
        <v>-0.20585200000000001</v>
      </c>
      <c r="U5047">
        <v>-3.1411899999999999</v>
      </c>
      <c r="V5047">
        <v>0.42571389999999998</v>
      </c>
      <c r="W5047">
        <v>-6.7454669999999994E-2</v>
      </c>
      <c r="X5047">
        <v>0.90234009999999998</v>
      </c>
      <c r="Y5047">
        <v>0.72796179999999999</v>
      </c>
      <c r="Z5047">
        <v>-6.8196860000000002E-3</v>
      </c>
      <c r="AA5047">
        <v>0.68558379999999997</v>
      </c>
      <c r="AB5047">
        <v>20</v>
      </c>
      <c r="AC5047">
        <v>4.0820999999999898</v>
      </c>
      <c r="AD5047">
        <v>-1.1117250608889999</v>
      </c>
      <c r="AE5047">
        <v>-16.852899999999899</v>
      </c>
      <c r="AF5047">
        <v>12.683633290400699</v>
      </c>
      <c r="AG5047">
        <v>-1.1117250608889999</v>
      </c>
      <c r="AH5047">
        <v>11.7197490421132</v>
      </c>
      <c r="AI5047">
        <v>93.683389342276996</v>
      </c>
      <c r="AJ5047">
        <v>42.7381083480077</v>
      </c>
      <c r="AK5047">
        <v>17.3049993836025</v>
      </c>
      <c r="AL5047">
        <v>93.867804641241804</v>
      </c>
      <c r="AM5047">
        <v>64.742589219595104</v>
      </c>
      <c r="AN5047">
        <v>1.0000000566130101</v>
      </c>
    </row>
    <row r="5048" spans="1:40" x14ac:dyDescent="0.25">
      <c r="A5048" t="str">
        <f>"20190303153910585"</f>
        <v>20190303153910585</v>
      </c>
      <c r="B5048" t="str">
        <f>"1551598750573638"</f>
        <v>1551598750573638</v>
      </c>
      <c r="C5048" t="s">
        <v>40</v>
      </c>
      <c r="D5048">
        <v>5.0879750000000001</v>
      </c>
      <c r="E5048">
        <v>0.67040559999999905</v>
      </c>
      <c r="F5048" t="s">
        <v>42</v>
      </c>
      <c r="G5048">
        <v>-191.5909</v>
      </c>
      <c r="H5048" s="1">
        <v>-3.232125E-6</v>
      </c>
      <c r="I5048">
        <v>196.13659999999999</v>
      </c>
      <c r="J5048">
        <v>-195.28909999999999</v>
      </c>
      <c r="K5048">
        <v>1.111569</v>
      </c>
      <c r="L5048">
        <v>212.6088</v>
      </c>
      <c r="M5048">
        <v>0.86490389999999995</v>
      </c>
      <c r="N5048">
        <v>-1.6035899999999999E-2</v>
      </c>
      <c r="O5048">
        <v>-0.5016813</v>
      </c>
      <c r="P5048">
        <v>0.56340259999999998</v>
      </c>
      <c r="Q5048">
        <v>-7.1845510000000001E-2</v>
      </c>
      <c r="R5048">
        <v>-0.82305260000000002</v>
      </c>
      <c r="S5048">
        <v>0.73452759999999995</v>
      </c>
      <c r="T5048">
        <v>-0.2112726</v>
      </c>
      <c r="U5048">
        <v>-3.1524350000000001</v>
      </c>
      <c r="V5048">
        <v>0.42778329999999998</v>
      </c>
      <c r="W5048">
        <v>-6.7581870000000002E-2</v>
      </c>
      <c r="X5048">
        <v>0.90135129999999997</v>
      </c>
      <c r="Y5048">
        <v>0.72748449999999998</v>
      </c>
      <c r="Z5048">
        <v>-5.6530979999999996E-3</v>
      </c>
      <c r="AA5048">
        <v>0.68610079999999996</v>
      </c>
      <c r="AB5048">
        <v>20</v>
      </c>
      <c r="AC5048">
        <v>3.6981999999999799</v>
      </c>
      <c r="AD5048">
        <v>-1.1115722321249999</v>
      </c>
      <c r="AE5048">
        <v>-16.472200000000001</v>
      </c>
      <c r="AF5048">
        <v>12.3396499878219</v>
      </c>
      <c r="AG5048">
        <v>-1.1115722321249999</v>
      </c>
      <c r="AH5048">
        <v>11.414371908485601</v>
      </c>
      <c r="AI5048">
        <v>93.783354965013302</v>
      </c>
      <c r="AJ5048">
        <v>42.7693150014669</v>
      </c>
      <c r="AK5048">
        <v>16.846080871063499</v>
      </c>
      <c r="AL5048">
        <v>93.875109500487596</v>
      </c>
      <c r="AM5048">
        <v>64.610881713660802</v>
      </c>
      <c r="AN5048">
        <v>1.00000001346163</v>
      </c>
    </row>
    <row r="5049" spans="1:40" x14ac:dyDescent="0.25">
      <c r="A5049" t="str">
        <f>"20190303153910607"</f>
        <v>20190303153910607</v>
      </c>
      <c r="B5049" t="str">
        <f>"1551598750603894"</f>
        <v>1551598750603894</v>
      </c>
      <c r="C5049" t="s">
        <v>40</v>
      </c>
      <c r="D5049">
        <v>5.1232759999999997</v>
      </c>
      <c r="E5049">
        <v>0.67306009999999905</v>
      </c>
      <c r="F5049" t="s">
        <v>42</v>
      </c>
      <c r="G5049">
        <v>-192.73699999999999</v>
      </c>
      <c r="H5049" s="1">
        <v>-4.2486679999999996E-6</v>
      </c>
      <c r="I5049">
        <v>198.04499999999999</v>
      </c>
      <c r="J5049">
        <v>-195.12450000000001</v>
      </c>
      <c r="K5049">
        <v>1.111399</v>
      </c>
      <c r="L5049">
        <v>212.48949999999999</v>
      </c>
      <c r="M5049">
        <v>0.85588349999999902</v>
      </c>
      <c r="N5049">
        <v>-1.6144370000000002E-2</v>
      </c>
      <c r="O5049">
        <v>-0.51691690000000001</v>
      </c>
      <c r="P5049">
        <v>0.54751289999999997</v>
      </c>
      <c r="Q5049">
        <v>-7.156245E-2</v>
      </c>
      <c r="R5049">
        <v>-0.83373220000000003</v>
      </c>
      <c r="S5049">
        <v>0.5669556</v>
      </c>
      <c r="T5049">
        <v>-0.24693570000000001</v>
      </c>
      <c r="U5049">
        <v>-3.2353360000000002</v>
      </c>
      <c r="V5049">
        <v>0.4291104</v>
      </c>
      <c r="W5049">
        <v>-6.7421780000000001E-2</v>
      </c>
      <c r="X5049">
        <v>0.90073230000000004</v>
      </c>
      <c r="Y5049">
        <v>0.75254030000000005</v>
      </c>
      <c r="Z5049">
        <v>-4.9648119999999999E-3</v>
      </c>
      <c r="AA5049">
        <v>0.65852749999999904</v>
      </c>
      <c r="AB5049">
        <v>20</v>
      </c>
      <c r="AC5049">
        <v>2.3875000000000099</v>
      </c>
      <c r="AD5049">
        <v>-1.1114032486679899</v>
      </c>
      <c r="AE5049">
        <v>-14.4445</v>
      </c>
      <c r="AF5049">
        <v>11.0663461014259</v>
      </c>
      <c r="AG5049">
        <v>-1.1114032486679899</v>
      </c>
      <c r="AH5049">
        <v>9.4567689021530708</v>
      </c>
      <c r="AI5049">
        <v>94.366090070129104</v>
      </c>
      <c r="AJ5049">
        <v>40.515612857275201</v>
      </c>
      <c r="AK5049">
        <v>14.5989626784379</v>
      </c>
      <c r="AL5049">
        <v>93.865915893293703</v>
      </c>
      <c r="AM5049">
        <v>64.526790472146601</v>
      </c>
      <c r="AN5049">
        <v>1.0000000540349001</v>
      </c>
    </row>
    <row r="5050" spans="1:40" x14ac:dyDescent="0.25">
      <c r="A5050" t="str">
        <f>"20190303153910632"</f>
        <v>20190303153910632</v>
      </c>
      <c r="B5050" t="str">
        <f>"1551598750623413"</f>
        <v>1551598750623413</v>
      </c>
      <c r="C5050" t="s">
        <v>40</v>
      </c>
      <c r="D5050">
        <v>5.1302139999999996</v>
      </c>
      <c r="E5050">
        <v>0.67213239999999996</v>
      </c>
      <c r="F5050" t="s">
        <v>42</v>
      </c>
      <c r="G5050">
        <v>-192.96090000000001</v>
      </c>
      <c r="H5050" s="1">
        <v>-4.2772479999999999E-6</v>
      </c>
      <c r="I5050">
        <v>198.01230000000001</v>
      </c>
      <c r="J5050">
        <v>-194.94919999999999</v>
      </c>
      <c r="K5050">
        <v>1.111227</v>
      </c>
      <c r="L5050">
        <v>212.35669999999999</v>
      </c>
      <c r="M5050">
        <v>0.84559759999999995</v>
      </c>
      <c r="N5050">
        <v>-1.6264359999999999E-2</v>
      </c>
      <c r="O5050">
        <v>-0.53357310000000002</v>
      </c>
      <c r="P5050">
        <v>0.53083659999999999</v>
      </c>
      <c r="Q5050">
        <v>-7.0690870000000003E-2</v>
      </c>
      <c r="R5050">
        <v>-0.84452059999999995</v>
      </c>
      <c r="S5050">
        <v>0.4867706</v>
      </c>
      <c r="T5050">
        <v>-0.2500482</v>
      </c>
      <c r="U5050">
        <v>-3.2571409999999998</v>
      </c>
      <c r="V5050">
        <v>0.4294307</v>
      </c>
      <c r="W5050">
        <v>-6.6644410000000001E-2</v>
      </c>
      <c r="X5050">
        <v>0.90063740000000003</v>
      </c>
      <c r="Y5050">
        <v>0.75617939999999995</v>
      </c>
      <c r="Z5050">
        <v>-3.8152910000000002E-3</v>
      </c>
      <c r="AA5050">
        <v>0.65435330000000003</v>
      </c>
      <c r="AB5050">
        <v>20</v>
      </c>
      <c r="AC5050">
        <v>1.98829999999998</v>
      </c>
      <c r="AD5050">
        <v>-1.111231277248</v>
      </c>
      <c r="AE5050">
        <v>-14.344399999999901</v>
      </c>
      <c r="AF5050">
        <v>11.0053494578666</v>
      </c>
      <c r="AG5050">
        <v>-1.111231277248</v>
      </c>
      <c r="AH5050">
        <v>9.2816703428183391</v>
      </c>
      <c r="AI5050">
        <v>94.413688050884801</v>
      </c>
      <c r="AJ5050">
        <v>40.143549147083696</v>
      </c>
      <c r="AK5050">
        <v>14.439596808569499</v>
      </c>
      <c r="AL5050">
        <v>93.821275808264602</v>
      </c>
      <c r="AM5050">
        <v>64.507842000328594</v>
      </c>
      <c r="AN5050">
        <v>0.999999964882748</v>
      </c>
    </row>
    <row r="5051" spans="1:40" x14ac:dyDescent="0.25">
      <c r="A5051" t="str">
        <f>"20190303153910653"</f>
        <v>20190303153910653</v>
      </c>
      <c r="B5051" t="str">
        <f>"1551598750643911"</f>
        <v>1551598750643911</v>
      </c>
      <c r="C5051" t="s">
        <v>40</v>
      </c>
      <c r="D5051">
        <v>5.1166010000000002</v>
      </c>
      <c r="E5051">
        <v>0.67087189999999997</v>
      </c>
      <c r="F5051" t="s">
        <v>42</v>
      </c>
      <c r="G5051">
        <v>-193.03190000000001</v>
      </c>
      <c r="H5051" s="1">
        <v>-4.1995409999999998E-6</v>
      </c>
      <c r="I5051">
        <v>197.74690000000001</v>
      </c>
      <c r="J5051">
        <v>-194.79130000000001</v>
      </c>
      <c r="K5051">
        <v>1.1110869999999999</v>
      </c>
      <c r="L5051">
        <v>212.23159999999999</v>
      </c>
      <c r="M5051">
        <v>0.83568880000000001</v>
      </c>
      <c r="N5051">
        <v>-1.6375379999999998E-2</v>
      </c>
      <c r="O5051">
        <v>-0.54895930000000004</v>
      </c>
      <c r="P5051">
        <v>0.51603909999999997</v>
      </c>
      <c r="Q5051">
        <v>-6.8735969999999993E-2</v>
      </c>
      <c r="R5051">
        <v>-0.85380299999999998</v>
      </c>
      <c r="S5051">
        <v>0.42813109999999999</v>
      </c>
      <c r="T5051">
        <v>-0.24814269999999999</v>
      </c>
      <c r="U5051">
        <v>-3.2624209999999998</v>
      </c>
      <c r="V5051">
        <v>0.42880190000000001</v>
      </c>
      <c r="W5051">
        <v>-6.4732029999999996E-2</v>
      </c>
      <c r="X5051">
        <v>0.9010764</v>
      </c>
      <c r="Y5051">
        <v>0.75593440000000001</v>
      </c>
      <c r="Z5051">
        <v>-2.6518520000000001E-3</v>
      </c>
      <c r="AA5051">
        <v>0.65464199999999995</v>
      </c>
      <c r="AB5051">
        <v>20</v>
      </c>
      <c r="AC5051">
        <v>1.7593999999999901</v>
      </c>
      <c r="AD5051">
        <v>-1.111091199541</v>
      </c>
      <c r="AE5051">
        <v>-14.484699999999901</v>
      </c>
      <c r="AF5051">
        <v>11.076129487868799</v>
      </c>
      <c r="AG5051">
        <v>-1.111091199541</v>
      </c>
      <c r="AH5051">
        <v>9.36875878777197</v>
      </c>
      <c r="AI5051">
        <v>94.379720683931396</v>
      </c>
      <c r="AJ5051">
        <v>40.226255692682301</v>
      </c>
      <c r="AK5051">
        <v>14.549529521918901</v>
      </c>
      <c r="AL5051">
        <v>93.711467219437395</v>
      </c>
      <c r="AM5051">
        <v>64.551278669434197</v>
      </c>
      <c r="AN5051">
        <v>0.99999999189424504</v>
      </c>
    </row>
    <row r="5052" spans="1:40" x14ac:dyDescent="0.25">
      <c r="A5052" t="str">
        <f>"20190303153910675"</f>
        <v>20190303153910675</v>
      </c>
      <c r="B5052" t="str">
        <f>"1551598750663429"</f>
        <v>1551598750663429</v>
      </c>
      <c r="C5052" t="s">
        <v>40</v>
      </c>
      <c r="D5052">
        <v>5.1426179999999997</v>
      </c>
      <c r="E5052">
        <v>0.67023100000000002</v>
      </c>
      <c r="F5052" t="s">
        <v>42</v>
      </c>
      <c r="G5052">
        <v>-193.02699999999999</v>
      </c>
      <c r="H5052" s="1">
        <v>-3.9687739999999997E-6</v>
      </c>
      <c r="I5052">
        <v>197.07140000000001</v>
      </c>
      <c r="J5052">
        <v>-194.6403</v>
      </c>
      <c r="K5052">
        <v>1.1109739999999999</v>
      </c>
      <c r="L5052">
        <v>212.1071</v>
      </c>
      <c r="M5052">
        <v>0.82562630000000004</v>
      </c>
      <c r="N5052">
        <v>-1.6480310000000001E-2</v>
      </c>
      <c r="O5052">
        <v>-0.56397679999999994</v>
      </c>
      <c r="P5052">
        <v>0.50152050000000004</v>
      </c>
      <c r="Q5052">
        <v>-6.7454760000000002E-2</v>
      </c>
      <c r="R5052">
        <v>-0.86251219999999995</v>
      </c>
      <c r="S5052">
        <v>0.3799438</v>
      </c>
      <c r="T5052">
        <v>-0.2392743</v>
      </c>
      <c r="U5052">
        <v>-3.2647710000000001</v>
      </c>
      <c r="V5052">
        <v>0.42785519999999999</v>
      </c>
      <c r="W5052">
        <v>-6.3458829999999994E-2</v>
      </c>
      <c r="X5052">
        <v>0.9016168</v>
      </c>
      <c r="Y5052">
        <v>0.75376860000000001</v>
      </c>
      <c r="Z5052">
        <v>-1.7832830000000001E-3</v>
      </c>
      <c r="AA5052">
        <v>0.65713750000000004</v>
      </c>
      <c r="AB5052">
        <v>20</v>
      </c>
      <c r="AC5052">
        <v>1.61329999999998</v>
      </c>
      <c r="AD5052">
        <v>-1.110977968774</v>
      </c>
      <c r="AE5052">
        <v>-15.035699999999901</v>
      </c>
      <c r="AF5052">
        <v>11.443799055188601</v>
      </c>
      <c r="AG5052">
        <v>-1.110977968774</v>
      </c>
      <c r="AH5052">
        <v>9.7604187169996308</v>
      </c>
      <c r="AI5052">
        <v>94.224434289805998</v>
      </c>
      <c r="AJ5052">
        <v>40.460869030301197</v>
      </c>
      <c r="AK5052">
        <v>15.081796391471199</v>
      </c>
      <c r="AL5052">
        <v>93.638367981467695</v>
      </c>
      <c r="AM5052">
        <v>64.613688048585303</v>
      </c>
      <c r="AN5052">
        <v>0.99999997465712398</v>
      </c>
    </row>
    <row r="5053" spans="1:40" x14ac:dyDescent="0.25">
      <c r="A5053" t="str">
        <f>"20190303153910697"</f>
        <v>20190303153910697</v>
      </c>
      <c r="B5053" t="str">
        <f>"1551598750693686"</f>
        <v>1551598750693686</v>
      </c>
      <c r="C5053" t="s">
        <v>40</v>
      </c>
      <c r="D5053">
        <v>5.1557870000000001</v>
      </c>
      <c r="E5053">
        <v>0.65731580000000001</v>
      </c>
      <c r="F5053" t="s">
        <v>42</v>
      </c>
      <c r="G5053">
        <v>-193.06979999999999</v>
      </c>
      <c r="H5053" s="1">
        <v>-3.7824669999999999E-6</v>
      </c>
      <c r="I5053">
        <v>196.50210000000001</v>
      </c>
      <c r="J5053">
        <v>-194.48670000000001</v>
      </c>
      <c r="K5053">
        <v>1.110878</v>
      </c>
      <c r="L5053">
        <v>211.9751</v>
      </c>
      <c r="M5053">
        <v>0.81476519999999997</v>
      </c>
      <c r="N5053">
        <v>-1.658372E-2</v>
      </c>
      <c r="O5053">
        <v>-0.57955409999999996</v>
      </c>
      <c r="P5053">
        <v>0.48682170000000002</v>
      </c>
      <c r="Q5053">
        <v>-6.6523879999999994E-2</v>
      </c>
      <c r="R5053">
        <v>-0.87096479999999998</v>
      </c>
      <c r="S5053">
        <v>0.32896419999999998</v>
      </c>
      <c r="T5053">
        <v>-0.23271700000000001</v>
      </c>
      <c r="U5053">
        <v>-3.2687840000000001</v>
      </c>
      <c r="V5053">
        <v>0.4260911</v>
      </c>
      <c r="W5053">
        <v>-6.2489129999999997E-2</v>
      </c>
      <c r="X5053">
        <v>0.90251950000000003</v>
      </c>
      <c r="Y5053">
        <v>0.751583</v>
      </c>
      <c r="Z5053">
        <v>-8.3060749999999998E-4</v>
      </c>
      <c r="AA5053">
        <v>0.6596379</v>
      </c>
      <c r="AB5053">
        <v>20</v>
      </c>
      <c r="AC5053">
        <v>1.41690000000002</v>
      </c>
      <c r="AD5053">
        <v>-1.1108817824670001</v>
      </c>
      <c r="AE5053">
        <v>-15.4729999999999</v>
      </c>
      <c r="AF5053">
        <v>11.727364878958699</v>
      </c>
      <c r="AG5053">
        <v>-1.1108817824670001</v>
      </c>
      <c r="AH5053">
        <v>10.071788667062201</v>
      </c>
      <c r="AI5053">
        <v>94.110276643795004</v>
      </c>
      <c r="AJ5053">
        <v>40.656905615553597</v>
      </c>
      <c r="AK5053">
        <v>15.498582912409001</v>
      </c>
      <c r="AL5053">
        <v>93.582697736801506</v>
      </c>
      <c r="AM5053">
        <v>64.727399513948399</v>
      </c>
      <c r="AN5053">
        <v>0.99999998237380805</v>
      </c>
    </row>
    <row r="5054" spans="1:40" x14ac:dyDescent="0.25">
      <c r="A5054" t="str">
        <f>"20190303153910731"</f>
        <v>20190303153910731</v>
      </c>
      <c r="B5054" t="str">
        <f>"1551598750723942"</f>
        <v>1551598750723942</v>
      </c>
      <c r="C5054" t="s">
        <v>40</v>
      </c>
      <c r="D5054">
        <v>5.1073890000000004</v>
      </c>
      <c r="E5054">
        <v>0.65497019999999995</v>
      </c>
      <c r="F5054" t="s">
        <v>42</v>
      </c>
      <c r="G5054">
        <v>-192.851</v>
      </c>
      <c r="H5054" s="1">
        <v>-4.0613380000000002E-6</v>
      </c>
      <c r="I5054">
        <v>197.43520000000001</v>
      </c>
      <c r="J5054">
        <v>-194.2542</v>
      </c>
      <c r="K5054">
        <v>1.1107370000000001</v>
      </c>
      <c r="L5054">
        <v>211.7647</v>
      </c>
      <c r="M5054">
        <v>0.79703579999999996</v>
      </c>
      <c r="N5054">
        <v>-1.673388E-2</v>
      </c>
      <c r="O5054">
        <v>-0.60370049999999997</v>
      </c>
      <c r="P5054">
        <v>0.46554669999999998</v>
      </c>
      <c r="Q5054">
        <v>-6.8278549999999993E-2</v>
      </c>
      <c r="R5054">
        <v>-0.8823858</v>
      </c>
      <c r="S5054">
        <v>0.36259459999999999</v>
      </c>
      <c r="T5054">
        <v>-0.2462416</v>
      </c>
      <c r="U5054">
        <v>-3.2229770000000002</v>
      </c>
      <c r="V5054">
        <v>0.42078159999999998</v>
      </c>
      <c r="W5054">
        <v>-6.407359E-2</v>
      </c>
      <c r="X5054">
        <v>0.90489640000000005</v>
      </c>
      <c r="Y5054">
        <v>0.72347609999999996</v>
      </c>
      <c r="Z5054">
        <v>4.0994810000000003E-3</v>
      </c>
      <c r="AA5054">
        <v>0.69033730000000004</v>
      </c>
      <c r="AB5054">
        <v>20</v>
      </c>
      <c r="AC5054">
        <v>1.40319999999999</v>
      </c>
      <c r="AD5054">
        <v>-1.110741061338</v>
      </c>
      <c r="AE5054">
        <v>-14.3294999999999</v>
      </c>
      <c r="AF5054">
        <v>10.5129241350353</v>
      </c>
      <c r="AG5054">
        <v>-1.110741061338</v>
      </c>
      <c r="AH5054">
        <v>9.7126890839117994</v>
      </c>
      <c r="AI5054">
        <v>94.437511855508504</v>
      </c>
      <c r="AJ5054">
        <v>42.734249732389998</v>
      </c>
      <c r="AK5054">
        <v>14.355892477136001</v>
      </c>
      <c r="AL5054">
        <v>93.673662736039603</v>
      </c>
      <c r="AM5054">
        <v>65.061323807352395</v>
      </c>
      <c r="AN5054">
        <v>1.0000000372835001</v>
      </c>
    </row>
    <row r="5055" spans="1:40" x14ac:dyDescent="0.25">
      <c r="A5055" t="str">
        <f>"20190303153910754"</f>
        <v>20190303153910754</v>
      </c>
      <c r="B5055" t="str">
        <f>"1551598750743462"</f>
        <v>1551598750743462</v>
      </c>
      <c r="C5055" t="s">
        <v>40</v>
      </c>
      <c r="D5055">
        <v>5.0874579999999998</v>
      </c>
      <c r="E5055">
        <v>0.64732089999999998</v>
      </c>
      <c r="F5055" t="s">
        <v>42</v>
      </c>
      <c r="G5055">
        <v>-192.96629999999999</v>
      </c>
      <c r="H5055" s="1">
        <v>-4.2602469999999997E-6</v>
      </c>
      <c r="I5055">
        <v>197.95949999999999</v>
      </c>
      <c r="J5055">
        <v>-194.10769999999999</v>
      </c>
      <c r="K5055">
        <v>1.110671</v>
      </c>
      <c r="L5055">
        <v>211.62450000000001</v>
      </c>
      <c r="M5055">
        <v>0.78497030000000001</v>
      </c>
      <c r="N5055">
        <v>-1.6827539999999998E-2</v>
      </c>
      <c r="O5055">
        <v>-0.61930499999999999</v>
      </c>
      <c r="P5055">
        <v>0.4528702</v>
      </c>
      <c r="Q5055">
        <v>-6.9961739999999994E-2</v>
      </c>
      <c r="R5055">
        <v>-0.88882759999999905</v>
      </c>
      <c r="S5055">
        <v>0.30049130000000002</v>
      </c>
      <c r="T5055">
        <v>-0.25917489999999999</v>
      </c>
      <c r="U5055">
        <v>-3.2212369999999999</v>
      </c>
      <c r="V5055">
        <v>0.41572769999999998</v>
      </c>
      <c r="W5055">
        <v>-6.5576549999999997E-2</v>
      </c>
      <c r="X5055">
        <v>0.90712190000000004</v>
      </c>
      <c r="Y5055">
        <v>0.72292849999999997</v>
      </c>
      <c r="Z5055">
        <v>6.6279360000000001E-3</v>
      </c>
      <c r="AA5055">
        <v>0.69089109999999998</v>
      </c>
      <c r="AB5055">
        <v>19</v>
      </c>
      <c r="AC5055">
        <v>1.1414</v>
      </c>
      <c r="AD5055">
        <v>-1.110675260247</v>
      </c>
      <c r="AE5055">
        <v>-13.664999999999999</v>
      </c>
      <c r="AF5055">
        <v>9.9558471298524296</v>
      </c>
      <c r="AG5055">
        <v>-1.110675260247</v>
      </c>
      <c r="AH5055">
        <v>9.2990857710919492</v>
      </c>
      <c r="AI5055">
        <v>94.660910538348901</v>
      </c>
      <c r="AJ5055">
        <v>43.046470921237102</v>
      </c>
      <c r="AK5055">
        <v>13.6684120432784</v>
      </c>
      <c r="AL5055">
        <v>93.7599577567604</v>
      </c>
      <c r="AM5055">
        <v>65.378340655880905</v>
      </c>
      <c r="AN5055">
        <v>0.99999997295840004</v>
      </c>
    </row>
    <row r="5056" spans="1:40" x14ac:dyDescent="0.25">
      <c r="A5056" t="str">
        <f>"20190303153910775"</f>
        <v>20190303153910775</v>
      </c>
      <c r="B5056" t="str">
        <f>"1551598750763958"</f>
        <v>1551598750763958</v>
      </c>
      <c r="C5056" t="s">
        <v>40</v>
      </c>
      <c r="D5056">
        <v>5.1226089999999997</v>
      </c>
      <c r="E5056">
        <v>0.64712369999999997</v>
      </c>
      <c r="F5056" t="s">
        <v>42</v>
      </c>
      <c r="G5056">
        <v>-192.6893</v>
      </c>
      <c r="H5056" s="1">
        <v>-3.8782709999999996E-6</v>
      </c>
      <c r="I5056">
        <v>196.98150000000001</v>
      </c>
      <c r="J5056">
        <v>-193.9717</v>
      </c>
      <c r="K5056">
        <v>1.110622</v>
      </c>
      <c r="L5056">
        <v>211.4889</v>
      </c>
      <c r="M5056">
        <v>0.77313759999999998</v>
      </c>
      <c r="N5056">
        <v>-1.691204E-2</v>
      </c>
      <c r="O5056">
        <v>-0.634013099999999</v>
      </c>
      <c r="P5056">
        <v>0.44169649999999999</v>
      </c>
      <c r="Q5056">
        <v>-6.8595580000000003E-2</v>
      </c>
      <c r="R5056">
        <v>-0.89453859999999996</v>
      </c>
      <c r="S5056">
        <v>0.3097992</v>
      </c>
      <c r="T5056">
        <v>-0.2425892</v>
      </c>
      <c r="U5056">
        <v>-3.1982729999999999</v>
      </c>
      <c r="V5056">
        <v>0.41008159999999999</v>
      </c>
      <c r="W5056">
        <v>-6.3993220000000003E-2</v>
      </c>
      <c r="X5056">
        <v>0.90980110000000003</v>
      </c>
      <c r="Y5056">
        <v>0.70742510000000003</v>
      </c>
      <c r="Z5056">
        <v>7.5020859999999998E-3</v>
      </c>
      <c r="AA5056">
        <v>0.7067485</v>
      </c>
      <c r="AB5056">
        <v>19</v>
      </c>
      <c r="AC5056">
        <v>1.28239999999999</v>
      </c>
      <c r="AD5056">
        <v>-1.1106258782709999</v>
      </c>
      <c r="AE5056">
        <v>-14.507399999999899</v>
      </c>
      <c r="AF5056">
        <v>10.344487276456601</v>
      </c>
      <c r="AG5056">
        <v>-1.1106258782709999</v>
      </c>
      <c r="AH5056">
        <v>10.13188835835</v>
      </c>
      <c r="AI5056">
        <v>94.386108884977602</v>
      </c>
      <c r="AJ5056">
        <v>44.405139694627501</v>
      </c>
      <c r="AK5056">
        <v>14.5222955678614</v>
      </c>
      <c r="AL5056">
        <v>93.669048371868698</v>
      </c>
      <c r="AM5056">
        <v>65.737117927574602</v>
      </c>
      <c r="AN5056">
        <v>1.00000004621286</v>
      </c>
    </row>
    <row r="5057" spans="1:40" x14ac:dyDescent="0.25">
      <c r="A5057" t="str">
        <f>"20190303153910797"</f>
        <v>20190303153910797</v>
      </c>
      <c r="B5057" t="str">
        <f>"1551598750793834"</f>
        <v>1551598750793834</v>
      </c>
      <c r="C5057" t="s">
        <v>40</v>
      </c>
      <c r="D5057">
        <v>5.0562189999999996</v>
      </c>
      <c r="E5057">
        <v>0.64127639999999997</v>
      </c>
      <c r="F5057" t="s">
        <v>42</v>
      </c>
      <c r="G5057">
        <v>-192.72579999999999</v>
      </c>
      <c r="H5057" s="1">
        <v>-3.8077669999999999E-6</v>
      </c>
      <c r="I5057">
        <v>196.77449999999999</v>
      </c>
      <c r="J5057">
        <v>-193.82910000000001</v>
      </c>
      <c r="K5057">
        <v>1.110589</v>
      </c>
      <c r="L5057">
        <v>211.3407</v>
      </c>
      <c r="M5057">
        <v>0.76001390000000002</v>
      </c>
      <c r="N5057">
        <v>-1.6996770000000001E-2</v>
      </c>
      <c r="O5057">
        <v>-0.6496847</v>
      </c>
      <c r="P5057">
        <v>0.42954439999999999</v>
      </c>
      <c r="Q5057">
        <v>-6.6562789999999997E-2</v>
      </c>
      <c r="R5057">
        <v>-0.90058919999999998</v>
      </c>
      <c r="S5057">
        <v>0.2710571</v>
      </c>
      <c r="T5057">
        <v>-0.24163029999999999</v>
      </c>
      <c r="U5057">
        <v>-3.2013090000000002</v>
      </c>
      <c r="V5057">
        <v>0.40396470000000001</v>
      </c>
      <c r="W5057">
        <v>-6.1720949999999997E-2</v>
      </c>
      <c r="X5057">
        <v>0.91269</v>
      </c>
      <c r="Y5057">
        <v>0.70154669999999997</v>
      </c>
      <c r="Z5057">
        <v>9.0821549999999997E-3</v>
      </c>
      <c r="AA5057">
        <v>0.71256569999999997</v>
      </c>
      <c r="AB5057">
        <v>19</v>
      </c>
      <c r="AC5057">
        <v>1.1033000000000099</v>
      </c>
      <c r="AD5057">
        <v>-1.110592807767</v>
      </c>
      <c r="AE5057">
        <v>-14.5662</v>
      </c>
      <c r="AF5057">
        <v>10.295702204869199</v>
      </c>
      <c r="AG5057">
        <v>-1.110592807767</v>
      </c>
      <c r="AH5057">
        <v>10.244235486438299</v>
      </c>
      <c r="AI5057">
        <v>94.372679916245403</v>
      </c>
      <c r="AJ5057">
        <v>44.856434833228903</v>
      </c>
      <c r="AK5057">
        <v>14.566374325054801</v>
      </c>
      <c r="AL5057">
        <v>93.538599090082698</v>
      </c>
      <c r="AM5057">
        <v>66.1253932076187</v>
      </c>
      <c r="AN5057">
        <v>0.99999999530749595</v>
      </c>
    </row>
    <row r="5058" spans="1:40" x14ac:dyDescent="0.25">
      <c r="A5058" t="str">
        <f>"20190303153910822"</f>
        <v>20190303153910822</v>
      </c>
      <c r="B5058" t="str">
        <f>"1551598750813354"</f>
        <v>1551598750813354</v>
      </c>
      <c r="C5058" t="s">
        <v>40</v>
      </c>
      <c r="D5058">
        <v>5.0283410000000002</v>
      </c>
      <c r="E5058">
        <v>0.64004399999999995</v>
      </c>
      <c r="F5058" t="s">
        <v>42</v>
      </c>
      <c r="G5058">
        <v>-192.6645</v>
      </c>
      <c r="H5058" s="1">
        <v>-4.0687380000000003E-6</v>
      </c>
      <c r="I5058">
        <v>197.55410000000001</v>
      </c>
      <c r="J5058">
        <v>-193.685</v>
      </c>
      <c r="K5058">
        <v>1.110547</v>
      </c>
      <c r="L5058">
        <v>211.1842</v>
      </c>
      <c r="M5058">
        <v>0.74595829999999996</v>
      </c>
      <c r="N5058">
        <v>-1.7078570000000001E-2</v>
      </c>
      <c r="O5058">
        <v>-0.66577379999999997</v>
      </c>
      <c r="P5058">
        <v>0.41726970000000002</v>
      </c>
      <c r="Q5058">
        <v>-6.4451060000000004E-2</v>
      </c>
      <c r="R5058">
        <v>-0.90649469999999999</v>
      </c>
      <c r="S5058">
        <v>0.26895140000000001</v>
      </c>
      <c r="T5058">
        <v>-0.25648159999999998</v>
      </c>
      <c r="U5058">
        <v>-3.1838839999999999</v>
      </c>
      <c r="V5058">
        <v>0.39702670000000001</v>
      </c>
      <c r="W5058">
        <v>-5.934217E-2</v>
      </c>
      <c r="X5058">
        <v>0.9158866</v>
      </c>
      <c r="Y5058">
        <v>0.68629319999999905</v>
      </c>
      <c r="Z5058">
        <v>1.3175559999999999E-2</v>
      </c>
      <c r="AA5058">
        <v>0.72720560000000001</v>
      </c>
      <c r="AB5058">
        <v>19</v>
      </c>
      <c r="AC5058">
        <v>1.02049999999999</v>
      </c>
      <c r="AD5058">
        <v>-1.110551068738</v>
      </c>
      <c r="AE5058">
        <v>-13.630100000000001</v>
      </c>
      <c r="AF5058">
        <v>9.42721208992341</v>
      </c>
      <c r="AG5058">
        <v>-1.110551068738</v>
      </c>
      <c r="AH5058">
        <v>9.7727316408197993</v>
      </c>
      <c r="AI5058">
        <v>94.675632280161196</v>
      </c>
      <c r="AJ5058">
        <v>46.0309756958371</v>
      </c>
      <c r="AK5058">
        <v>13.6239471221872</v>
      </c>
      <c r="AL5058">
        <v>93.402054674674901</v>
      </c>
      <c r="AM5058">
        <v>66.563802095133397</v>
      </c>
      <c r="AN5058">
        <v>0.99999997885637903</v>
      </c>
    </row>
    <row r="5059" spans="1:40" x14ac:dyDescent="0.25">
      <c r="A5059" t="str">
        <f>"20190303153910843"</f>
        <v>20190303153910843</v>
      </c>
      <c r="B5059" t="str">
        <f>"1551598750833849"</f>
        <v>1551598750833849</v>
      </c>
      <c r="C5059" t="s">
        <v>40</v>
      </c>
      <c r="D5059">
        <v>5.0055649999999998</v>
      </c>
      <c r="E5059">
        <v>0.63860839999999996</v>
      </c>
      <c r="F5059" t="s">
        <v>42</v>
      </c>
      <c r="G5059">
        <v>-192.63419999999999</v>
      </c>
      <c r="H5059" s="1">
        <v>-3.851605E-6</v>
      </c>
      <c r="I5059">
        <v>196.93350000000001</v>
      </c>
      <c r="J5059">
        <v>-193.55160000000001</v>
      </c>
      <c r="K5059">
        <v>1.1105069999999999</v>
      </c>
      <c r="L5059">
        <v>211.03280000000001</v>
      </c>
      <c r="M5059">
        <v>0.73217589999999999</v>
      </c>
      <c r="N5059">
        <v>-1.7153249999999998E-2</v>
      </c>
      <c r="O5059">
        <v>-0.68089949999999999</v>
      </c>
      <c r="P5059">
        <v>0.4060223</v>
      </c>
      <c r="Q5059">
        <v>-6.3554520000000003E-2</v>
      </c>
      <c r="R5059">
        <v>-0.91165059999999998</v>
      </c>
      <c r="S5059">
        <v>0.23475650000000001</v>
      </c>
      <c r="T5059">
        <v>-0.2481073</v>
      </c>
      <c r="U5059">
        <v>-3.1837309999999999</v>
      </c>
      <c r="V5059">
        <v>0.38967800000000002</v>
      </c>
      <c r="W5059">
        <v>-5.8168600000000001E-2</v>
      </c>
      <c r="X5059">
        <v>0.91911229999999999</v>
      </c>
      <c r="Y5059">
        <v>0.67922139999999998</v>
      </c>
      <c r="Z5059">
        <v>1.398597E-2</v>
      </c>
      <c r="AA5059">
        <v>0.73380019999999901</v>
      </c>
      <c r="AB5059">
        <v>19</v>
      </c>
      <c r="AC5059">
        <v>0.91740000000001398</v>
      </c>
      <c r="AD5059">
        <v>-1.110510851605</v>
      </c>
      <c r="AE5059">
        <v>-14.099299999999999</v>
      </c>
      <c r="AF5059">
        <v>9.6403841465804998</v>
      </c>
      <c r="AG5059">
        <v>-1.110510851605</v>
      </c>
      <c r="AH5059">
        <v>10.210341635642299</v>
      </c>
      <c r="AI5059">
        <v>94.521704500255396</v>
      </c>
      <c r="AJ5059">
        <v>46.644634540195902</v>
      </c>
      <c r="AK5059">
        <v>14.086210177393401</v>
      </c>
      <c r="AL5059">
        <v>93.334697709475506</v>
      </c>
      <c r="AM5059">
        <v>67.024408991631702</v>
      </c>
      <c r="AN5059">
        <v>0.99999997486062397</v>
      </c>
    </row>
    <row r="5060" spans="1:40" x14ac:dyDescent="0.25">
      <c r="A5060" t="str">
        <f>"20190303153910865"</f>
        <v>20190303153910865</v>
      </c>
      <c r="B5060" t="str">
        <f>"1551598750853370"</f>
        <v>1551598750853370</v>
      </c>
      <c r="C5060" t="s">
        <v>40</v>
      </c>
      <c r="D5060">
        <v>5.0572330000000001</v>
      </c>
      <c r="E5060">
        <v>0.6373934</v>
      </c>
      <c r="F5060" t="s">
        <v>42</v>
      </c>
      <c r="G5060">
        <v>-192.62309999999999</v>
      </c>
      <c r="H5060" s="1">
        <v>-3.742586E-6</v>
      </c>
      <c r="I5060">
        <v>196.68620000000001</v>
      </c>
      <c r="J5060">
        <v>-193.42760000000001</v>
      </c>
      <c r="K5060">
        <v>1.110463</v>
      </c>
      <c r="L5060">
        <v>210.88579999999999</v>
      </c>
      <c r="M5060">
        <v>0.71861699999999995</v>
      </c>
      <c r="N5060">
        <v>-1.7222919999999999E-2</v>
      </c>
      <c r="O5060">
        <v>-0.69519280000000006</v>
      </c>
      <c r="P5060">
        <v>0.39478940000000001</v>
      </c>
      <c r="Q5060">
        <v>-6.3974450000000002E-2</v>
      </c>
      <c r="R5060">
        <v>-0.91654190000000002</v>
      </c>
      <c r="S5060">
        <v>0.20593259999999999</v>
      </c>
      <c r="T5060">
        <v>-0.24629570000000001</v>
      </c>
      <c r="U5060">
        <v>-3.18187</v>
      </c>
      <c r="V5060">
        <v>0.38282539999999998</v>
      </c>
      <c r="W5060">
        <v>-5.8331229999999998E-2</v>
      </c>
      <c r="X5060">
        <v>0.9219773</v>
      </c>
      <c r="Y5060">
        <v>0.67135590000000001</v>
      </c>
      <c r="Z5060">
        <v>1.5505140000000001E-2</v>
      </c>
      <c r="AA5060">
        <v>0.74097290000000005</v>
      </c>
      <c r="AB5060">
        <v>19</v>
      </c>
      <c r="AC5060">
        <v>0.80450000000001798</v>
      </c>
      <c r="AD5060">
        <v>-1.110466742586</v>
      </c>
      <c r="AE5060">
        <v>-14.199599999999901</v>
      </c>
      <c r="AF5060">
        <v>9.5877718498384592</v>
      </c>
      <c r="AG5060">
        <v>-1.110466742586</v>
      </c>
      <c r="AH5060">
        <v>10.387809653971001</v>
      </c>
      <c r="AI5060">
        <v>94.491638252239099</v>
      </c>
      <c r="AJ5060">
        <v>47.293515395478998</v>
      </c>
      <c r="AK5060">
        <v>14.1797424108507</v>
      </c>
      <c r="AL5060">
        <v>93.344031552070604</v>
      </c>
      <c r="AM5060">
        <v>67.450692437967604</v>
      </c>
      <c r="AN5060">
        <v>0.99999998049688099</v>
      </c>
    </row>
    <row r="5061" spans="1:40" x14ac:dyDescent="0.25">
      <c r="A5061" t="str">
        <f>"20190303153910887"</f>
        <v>20190303153910887</v>
      </c>
      <c r="B5061" t="str">
        <f>"1551598750883630"</f>
        <v>1551598750883630</v>
      </c>
      <c r="C5061" t="s">
        <v>40</v>
      </c>
      <c r="D5061">
        <v>5.0325939999999996</v>
      </c>
      <c r="E5061">
        <v>0.62775809999999999</v>
      </c>
      <c r="F5061" t="s">
        <v>42</v>
      </c>
      <c r="G5061">
        <v>-192.64590000000001</v>
      </c>
      <c r="H5061" s="1">
        <v>-3.764855E-6</v>
      </c>
      <c r="I5061">
        <v>196.72399999999999</v>
      </c>
      <c r="J5061">
        <v>-193.3022</v>
      </c>
      <c r="K5061">
        <v>1.110417</v>
      </c>
      <c r="L5061">
        <v>210.73089999999999</v>
      </c>
      <c r="M5061">
        <v>0.70414100000000002</v>
      </c>
      <c r="N5061">
        <v>-1.7292809999999999E-2</v>
      </c>
      <c r="O5061">
        <v>-0.70984990000000003</v>
      </c>
      <c r="P5061">
        <v>0.38023899999999999</v>
      </c>
      <c r="Q5061">
        <v>-6.4653020000000005E-2</v>
      </c>
      <c r="R5061">
        <v>-0.92262619999999895</v>
      </c>
      <c r="S5061">
        <v>0.1755371</v>
      </c>
      <c r="T5061">
        <v>-0.2493638</v>
      </c>
      <c r="U5061">
        <v>-3.180145</v>
      </c>
      <c r="V5061">
        <v>0.37836389999999998</v>
      </c>
      <c r="W5061">
        <v>-5.8832189999999999E-2</v>
      </c>
      <c r="X5061">
        <v>0.92378539999999998</v>
      </c>
      <c r="Y5061">
        <v>0.66310329999999995</v>
      </c>
      <c r="Z5061">
        <v>1.7724730000000001E-2</v>
      </c>
      <c r="AA5061">
        <v>0.74831800000000004</v>
      </c>
      <c r="AB5061">
        <v>19</v>
      </c>
      <c r="AC5061">
        <v>0.656299999999987</v>
      </c>
      <c r="AD5061">
        <v>-1.110420764855</v>
      </c>
      <c r="AE5061">
        <v>-14.0068999999999</v>
      </c>
      <c r="AF5061">
        <v>9.3397911474211099</v>
      </c>
      <c r="AG5061">
        <v>-1.110420764855</v>
      </c>
      <c r="AH5061">
        <v>10.3416253459116</v>
      </c>
      <c r="AI5061">
        <v>94.556068141046396</v>
      </c>
      <c r="AJ5061">
        <v>47.913985980334303</v>
      </c>
      <c r="AK5061">
        <v>13.979053893152701</v>
      </c>
      <c r="AL5061">
        <v>93.372783873151803</v>
      </c>
      <c r="AM5061">
        <v>67.726981640485405</v>
      </c>
      <c r="AN5061">
        <v>0.99999996632828203</v>
      </c>
    </row>
    <row r="5062" spans="1:40" x14ac:dyDescent="0.25">
      <c r="A5062" t="str">
        <f>"20190303153910911"</f>
        <v>20190303153910911</v>
      </c>
      <c r="B5062" t="str">
        <f>"1551598750904130"</f>
        <v>1551598750904130</v>
      </c>
      <c r="C5062" t="s">
        <v>40</v>
      </c>
      <c r="D5062">
        <v>5.0155430000000001</v>
      </c>
      <c r="E5062">
        <v>0.62589130000000004</v>
      </c>
      <c r="F5062" t="s">
        <v>42</v>
      </c>
      <c r="G5062">
        <v>-192.47579999999999</v>
      </c>
      <c r="H5062" s="1">
        <v>-4.000928E-6</v>
      </c>
      <c r="I5062">
        <v>197.45320000000001</v>
      </c>
      <c r="J5062">
        <v>-193.17330000000001</v>
      </c>
      <c r="K5062">
        <v>1.110385</v>
      </c>
      <c r="L5062">
        <v>210.56379999999999</v>
      </c>
      <c r="M5062">
        <v>0.68835219999999997</v>
      </c>
      <c r="N5062">
        <v>-1.7362760000000001E-2</v>
      </c>
      <c r="O5062">
        <v>-0.72516890000000001</v>
      </c>
      <c r="P5062">
        <v>0.36246270000000003</v>
      </c>
      <c r="Q5062">
        <v>-6.5630240000000006E-2</v>
      </c>
      <c r="R5062">
        <v>-0.92968510000000004</v>
      </c>
      <c r="S5062">
        <v>0.1961975</v>
      </c>
      <c r="T5062">
        <v>-0.26362380000000002</v>
      </c>
      <c r="U5062">
        <v>-3.152237</v>
      </c>
      <c r="V5062">
        <v>0.37569340000000001</v>
      </c>
      <c r="W5062">
        <v>-5.9689449999999998E-2</v>
      </c>
      <c r="X5062">
        <v>0.92481979999999997</v>
      </c>
      <c r="Y5062">
        <v>0.64112029999999998</v>
      </c>
      <c r="Z5062">
        <v>2.2689899999999999E-2</v>
      </c>
      <c r="AA5062">
        <v>0.76710489999999998</v>
      </c>
      <c r="AB5062">
        <v>19</v>
      </c>
      <c r="AC5062">
        <v>0.69750000000001899</v>
      </c>
      <c r="AD5062">
        <v>-1.110389000928</v>
      </c>
      <c r="AE5062">
        <v>-13.1105999999999</v>
      </c>
      <c r="AF5062">
        <v>8.4596781636238791</v>
      </c>
      <c r="AG5062">
        <v>-1.110389000928</v>
      </c>
      <c r="AH5062">
        <v>9.9180877162281096</v>
      </c>
      <c r="AI5062">
        <v>94.868663924006</v>
      </c>
      <c r="AJ5062">
        <v>49.537328557692902</v>
      </c>
      <c r="AK5062">
        <v>13.0831029313489</v>
      </c>
      <c r="AL5062">
        <v>93.421987574435505</v>
      </c>
      <c r="AM5062">
        <v>67.891330373381294</v>
      </c>
      <c r="AN5062">
        <v>1.00000001185845</v>
      </c>
    </row>
    <row r="5063" spans="1:40" x14ac:dyDescent="0.25">
      <c r="A5063" t="str">
        <f>"20190303153910932"</f>
        <v>20190303153910932</v>
      </c>
      <c r="B5063" t="str">
        <f>"1551598750923650"</f>
        <v>1551598750923650</v>
      </c>
      <c r="C5063" t="s">
        <v>40</v>
      </c>
      <c r="D5063">
        <v>5.1802820000000001</v>
      </c>
      <c r="E5063">
        <v>0.62509650000000005</v>
      </c>
      <c r="F5063" t="s">
        <v>42</v>
      </c>
      <c r="G5063">
        <v>-192.5728</v>
      </c>
      <c r="H5063" s="1">
        <v>-4.1728309999999999E-6</v>
      </c>
      <c r="I5063">
        <v>197.90780000000001</v>
      </c>
      <c r="J5063">
        <v>-193.06010000000001</v>
      </c>
      <c r="K5063">
        <v>1.1103700000000001</v>
      </c>
      <c r="L5063">
        <v>210.40989999999999</v>
      </c>
      <c r="M5063">
        <v>0.673655</v>
      </c>
      <c r="N5063">
        <v>-1.7421409999999998E-2</v>
      </c>
      <c r="O5063">
        <v>-0.73884079999999996</v>
      </c>
      <c r="P5063">
        <v>0.34561019999999998</v>
      </c>
      <c r="Q5063">
        <v>-6.4299549999999997E-2</v>
      </c>
      <c r="R5063">
        <v>-0.93617280000000003</v>
      </c>
      <c r="S5063">
        <v>0.14941409999999999</v>
      </c>
      <c r="T5063">
        <v>-0.27629419999999999</v>
      </c>
      <c r="U5063">
        <v>-3.1491549999999999</v>
      </c>
      <c r="V5063">
        <v>0.37393090000000001</v>
      </c>
      <c r="W5063">
        <v>-5.8264829999999997E-2</v>
      </c>
      <c r="X5063">
        <v>0.92562460000000002</v>
      </c>
      <c r="Y5063">
        <v>0.63699359999999905</v>
      </c>
      <c r="Z5063">
        <v>2.633125E-2</v>
      </c>
      <c r="AA5063">
        <v>0.77041919999999897</v>
      </c>
      <c r="AB5063">
        <v>19</v>
      </c>
      <c r="AC5063">
        <v>0.48730000000000401</v>
      </c>
      <c r="AD5063">
        <v>-1.1103741728309999</v>
      </c>
      <c r="AE5063">
        <v>-12.502099999999899</v>
      </c>
      <c r="AF5063">
        <v>8.00027629192215</v>
      </c>
      <c r="AG5063">
        <v>-1.1103741728309999</v>
      </c>
      <c r="AH5063">
        <v>9.4920236307344901</v>
      </c>
      <c r="AI5063">
        <v>95.111311012656998</v>
      </c>
      <c r="AJ5063">
        <v>49.874403294535298</v>
      </c>
      <c r="AK5063">
        <v>12.4633809280308</v>
      </c>
      <c r="AL5063">
        <v>93.340220551254802</v>
      </c>
      <c r="AM5063">
        <v>68.002432613324103</v>
      </c>
      <c r="AN5063">
        <v>1.00000000425744</v>
      </c>
    </row>
    <row r="5064" spans="1:40" x14ac:dyDescent="0.25">
      <c r="A5064" t="str">
        <f>"20190303153910954"</f>
        <v>20190303153910954</v>
      </c>
      <c r="B5064" t="str">
        <f>"1551598750943167"</f>
        <v>1551598750943167</v>
      </c>
      <c r="C5064" t="s">
        <v>40</v>
      </c>
      <c r="D5064">
        <v>5.0959510000000003</v>
      </c>
      <c r="E5064">
        <v>0.62422250000000001</v>
      </c>
      <c r="F5064" t="s">
        <v>42</v>
      </c>
      <c r="G5064">
        <v>-192.66890000000001</v>
      </c>
      <c r="H5064" s="1">
        <v>-4.1770799999999997E-6</v>
      </c>
      <c r="I5064">
        <v>197.87020000000001</v>
      </c>
      <c r="J5064">
        <v>-192.94589999999999</v>
      </c>
      <c r="K5064">
        <v>1.110368</v>
      </c>
      <c r="L5064">
        <v>210.24760000000001</v>
      </c>
      <c r="M5064">
        <v>0.65799680000000005</v>
      </c>
      <c r="N5064">
        <v>-1.7475810000000001E-2</v>
      </c>
      <c r="O5064">
        <v>-0.75281799999999999</v>
      </c>
      <c r="P5064">
        <v>0.32639940000000001</v>
      </c>
      <c r="Q5064">
        <v>-6.1510490000000001E-2</v>
      </c>
      <c r="R5064">
        <v>-0.94322839999999997</v>
      </c>
      <c r="S5064">
        <v>9.8251340000000006E-2</v>
      </c>
      <c r="T5064">
        <v>-0.27885090000000001</v>
      </c>
      <c r="U5064">
        <v>-3.1491389999999999</v>
      </c>
      <c r="V5064">
        <v>0.37362210000000001</v>
      </c>
      <c r="W5064">
        <v>-5.5419669999999997E-2</v>
      </c>
      <c r="X5064">
        <v>0.92592390000000002</v>
      </c>
      <c r="Y5064">
        <v>0.63331999999999999</v>
      </c>
      <c r="Z5064">
        <v>2.847657E-2</v>
      </c>
      <c r="AA5064">
        <v>0.773366</v>
      </c>
      <c r="AB5064">
        <v>19</v>
      </c>
      <c r="AC5064">
        <v>0.27699999999998598</v>
      </c>
      <c r="AD5064">
        <v>-1.1103721770799999</v>
      </c>
      <c r="AE5064">
        <v>-12.3773999999999</v>
      </c>
      <c r="AF5064">
        <v>7.8736366630692496</v>
      </c>
      <c r="AG5064">
        <v>-1.1103721770799999</v>
      </c>
      <c r="AH5064">
        <v>9.4258256406595198</v>
      </c>
      <c r="AI5064">
        <v>95.165987496464894</v>
      </c>
      <c r="AJ5064">
        <v>50.1271170962074</v>
      </c>
      <c r="AK5064">
        <v>12.3317991259092</v>
      </c>
      <c r="AL5064">
        <v>93.176941042181298</v>
      </c>
      <c r="AM5064">
        <v>68.025295953070795</v>
      </c>
      <c r="AN5064">
        <v>0.99999994101126199</v>
      </c>
    </row>
    <row r="5065" spans="1:40" x14ac:dyDescent="0.25">
      <c r="A5065" t="str">
        <f>"20190303153910976"</f>
        <v>20190303153910976</v>
      </c>
      <c r="B5065" t="str">
        <f>"1551598750973968"</f>
        <v>1551598750973968</v>
      </c>
      <c r="C5065" t="s">
        <v>40</v>
      </c>
      <c r="D5065">
        <v>5.1144119999999997</v>
      </c>
      <c r="E5065">
        <v>0.61182930000000002</v>
      </c>
      <c r="F5065" t="s">
        <v>42</v>
      </c>
      <c r="G5065">
        <v>-192.78639999999999</v>
      </c>
      <c r="H5065" s="1">
        <v>-4.1689120000000003E-6</v>
      </c>
      <c r="I5065">
        <v>197.78489999999999</v>
      </c>
      <c r="J5065">
        <v>-192.83609999999999</v>
      </c>
      <c r="K5065">
        <v>1.1103670000000001</v>
      </c>
      <c r="L5065">
        <v>210.08410000000001</v>
      </c>
      <c r="M5065">
        <v>0.64209150000000004</v>
      </c>
      <c r="N5065">
        <v>-1.752244E-2</v>
      </c>
      <c r="O5065">
        <v>-0.76642790000000005</v>
      </c>
      <c r="P5065">
        <v>0.30642629999999998</v>
      </c>
      <c r="Q5065">
        <v>-6.0182029999999997E-2</v>
      </c>
      <c r="R5065">
        <v>-0.94999020000000001</v>
      </c>
      <c r="S5065">
        <v>4.0298460000000001E-2</v>
      </c>
      <c r="T5065">
        <v>-0.28050510000000001</v>
      </c>
      <c r="U5065">
        <v>-3.1483460000000001</v>
      </c>
      <c r="V5065">
        <v>0.3738648</v>
      </c>
      <c r="W5065">
        <v>-5.4048699999999998E-2</v>
      </c>
      <c r="X5065">
        <v>0.92590700000000004</v>
      </c>
      <c r="Y5065">
        <v>0.63135359999999996</v>
      </c>
      <c r="Z5065">
        <v>3.040182E-2</v>
      </c>
      <c r="AA5065">
        <v>0.77489889999999995</v>
      </c>
      <c r="AB5065">
        <v>19</v>
      </c>
      <c r="AC5065">
        <v>4.9700000000001403E-2</v>
      </c>
      <c r="AD5065">
        <v>-1.1103711689119999</v>
      </c>
      <c r="AE5065">
        <v>-12.299200000000001</v>
      </c>
      <c r="AF5065">
        <v>7.7967797194539301</v>
      </c>
      <c r="AG5065">
        <v>-1.1103711689119999</v>
      </c>
      <c r="AH5065">
        <v>9.3833357827973405</v>
      </c>
      <c r="AI5065">
        <v>95.200448364495003</v>
      </c>
      <c r="AJ5065">
        <v>50.276208241448998</v>
      </c>
      <c r="AK5065">
        <v>12.250293406248</v>
      </c>
      <c r="AL5065">
        <v>93.098272244958295</v>
      </c>
      <c r="AM5065">
        <v>68.012018784722898</v>
      </c>
      <c r="AN5065">
        <v>0.99999996164986404</v>
      </c>
    </row>
    <row r="5066" spans="1:40" x14ac:dyDescent="0.25">
      <c r="A5066" t="str">
        <f>"20190303153911000"</f>
        <v>20190303153911000</v>
      </c>
      <c r="B5066" t="str">
        <f>"1551598750993503"</f>
        <v>1551598750993503</v>
      </c>
      <c r="C5066" t="s">
        <v>40</v>
      </c>
      <c r="D5066">
        <v>5.0928180000000003</v>
      </c>
      <c r="E5066">
        <v>0.61127259999999894</v>
      </c>
      <c r="F5066" t="s">
        <v>42</v>
      </c>
      <c r="G5066">
        <v>-192.59049999999999</v>
      </c>
      <c r="H5066" s="1">
        <v>-4.451374E-6</v>
      </c>
      <c r="I5066">
        <v>198.71709999999999</v>
      </c>
      <c r="J5066">
        <v>-192.72380000000001</v>
      </c>
      <c r="K5066">
        <v>1.110384</v>
      </c>
      <c r="L5066">
        <v>209.9085</v>
      </c>
      <c r="M5066">
        <v>0.62487109999999901</v>
      </c>
      <c r="N5066">
        <v>-1.7563459999999999E-2</v>
      </c>
      <c r="O5066">
        <v>-0.78053030000000001</v>
      </c>
      <c r="P5066">
        <v>0.28531800000000002</v>
      </c>
      <c r="Q5066">
        <v>-6.0642040000000001E-2</v>
      </c>
      <c r="R5066">
        <v>-0.95651280000000005</v>
      </c>
      <c r="S5066">
        <v>6.7367549999999998E-2</v>
      </c>
      <c r="T5066">
        <v>-0.3044674</v>
      </c>
      <c r="U5066">
        <v>-3.1168670000000001</v>
      </c>
      <c r="V5066">
        <v>0.3737277</v>
      </c>
      <c r="W5066">
        <v>-5.444674E-2</v>
      </c>
      <c r="X5066">
        <v>0.92593910000000001</v>
      </c>
      <c r="Y5066">
        <v>0.60694780000000004</v>
      </c>
      <c r="Z5066">
        <v>3.801073E-2</v>
      </c>
      <c r="AA5066">
        <v>0.79383219999999899</v>
      </c>
      <c r="AB5066">
        <v>19</v>
      </c>
      <c r="AC5066">
        <v>0.13330000000001899</v>
      </c>
      <c r="AD5066">
        <v>-1.1103884513740001</v>
      </c>
      <c r="AE5066">
        <v>-11.1914</v>
      </c>
      <c r="AF5066">
        <v>6.8230428740443001</v>
      </c>
      <c r="AG5066">
        <v>-1.1103884513740001</v>
      </c>
      <c r="AH5066">
        <v>8.7339166039479696</v>
      </c>
      <c r="AI5066">
        <v>95.721228935641705</v>
      </c>
      <c r="AJ5066">
        <v>52.002609767261198</v>
      </c>
      <c r="AK5066">
        <v>11.1385894896395</v>
      </c>
      <c r="AL5066">
        <v>93.121111678597401</v>
      </c>
      <c r="AM5066">
        <v>68.020003123898505</v>
      </c>
      <c r="AN5066">
        <v>1.00000002907636</v>
      </c>
    </row>
    <row r="5067" spans="1:40" x14ac:dyDescent="0.25">
      <c r="A5067" t="str">
        <f>"20190303153911022"</f>
        <v>20190303153911022</v>
      </c>
      <c r="B5067" t="str">
        <f>"1551598751013984"</f>
        <v>1551598751013984</v>
      </c>
      <c r="C5067" t="s">
        <v>40</v>
      </c>
      <c r="D5067">
        <v>5.0891970000000004</v>
      </c>
      <c r="E5067">
        <v>0.6100025</v>
      </c>
      <c r="F5067" t="s">
        <v>42</v>
      </c>
      <c r="G5067">
        <v>-192.7139</v>
      </c>
      <c r="H5067" s="1">
        <v>-4.391945E-6</v>
      </c>
      <c r="I5067">
        <v>198.47810000000001</v>
      </c>
      <c r="J5067">
        <v>-192.62039999999999</v>
      </c>
      <c r="K5067">
        <v>1.110419</v>
      </c>
      <c r="L5067">
        <v>209.7388</v>
      </c>
      <c r="M5067">
        <v>0.60810419999999998</v>
      </c>
      <c r="N5067">
        <v>-1.7595429999999999E-2</v>
      </c>
      <c r="O5067">
        <v>-0.79366230000000004</v>
      </c>
      <c r="P5067">
        <v>0.26608660000000001</v>
      </c>
      <c r="Q5067">
        <v>-6.1351790000000003E-2</v>
      </c>
      <c r="R5067">
        <v>-0.96199480000000004</v>
      </c>
      <c r="S5067">
        <v>2.700806E-3</v>
      </c>
      <c r="T5067">
        <v>-0.30273709999999998</v>
      </c>
      <c r="U5067">
        <v>-3.1163940000000001</v>
      </c>
      <c r="V5067">
        <v>0.37252689999999999</v>
      </c>
      <c r="W5067">
        <v>-5.5057210000000002E-2</v>
      </c>
      <c r="X5067">
        <v>0.92638679999999995</v>
      </c>
      <c r="Y5067">
        <v>0.60651269999999902</v>
      </c>
      <c r="Z5067">
        <v>3.9395510000000002E-2</v>
      </c>
      <c r="AA5067">
        <v>0.79409719999999995</v>
      </c>
      <c r="AB5067">
        <v>19</v>
      </c>
      <c r="AC5067">
        <v>-9.3500000000005898E-2</v>
      </c>
      <c r="AD5067">
        <v>-1.1104233919449999</v>
      </c>
      <c r="AE5067">
        <v>-11.2606999999999</v>
      </c>
      <c r="AF5067">
        <v>6.8562913694803598</v>
      </c>
      <c r="AG5067">
        <v>-1.1104233919449999</v>
      </c>
      <c r="AH5067">
        <v>8.7961811238600998</v>
      </c>
      <c r="AI5067">
        <v>95.685966557747903</v>
      </c>
      <c r="AJ5067">
        <v>52.064929335016998</v>
      </c>
      <c r="AK5067">
        <v>11.207790764300601</v>
      </c>
      <c r="AL5067">
        <v>93.156141526411005</v>
      </c>
      <c r="AM5067">
        <v>68.093515453070694</v>
      </c>
      <c r="AN5067">
        <v>1.0000000454054101</v>
      </c>
    </row>
    <row r="5068" spans="1:40" x14ac:dyDescent="0.25">
      <c r="A5068" t="str">
        <f>"20190303153911045"</f>
        <v>20190303153911045</v>
      </c>
      <c r="B5068" t="str">
        <f>"1551598751033504"</f>
        <v>1551598751033504</v>
      </c>
      <c r="C5068" t="s">
        <v>40</v>
      </c>
      <c r="D5068">
        <v>5.0961499999999997</v>
      </c>
      <c r="E5068">
        <v>0.60524449999999996</v>
      </c>
      <c r="F5068" t="s">
        <v>42</v>
      </c>
      <c r="G5068">
        <v>-192.86699999999999</v>
      </c>
      <c r="H5068" s="1">
        <v>-2.5483659999999999E-6</v>
      </c>
      <c r="I5068">
        <v>193.75120000000001</v>
      </c>
      <c r="J5068">
        <v>-192.52019999999999</v>
      </c>
      <c r="K5068">
        <v>1.110466</v>
      </c>
      <c r="L5068">
        <v>209.56610000000001</v>
      </c>
      <c r="M5068">
        <v>0.59092489999999998</v>
      </c>
      <c r="N5068">
        <v>-1.7621270000000001E-2</v>
      </c>
      <c r="O5068">
        <v>-0.80653439999999998</v>
      </c>
      <c r="P5068">
        <v>0.24718960000000001</v>
      </c>
      <c r="Q5068">
        <v>-6.1511660000000003E-2</v>
      </c>
      <c r="R5068">
        <v>-0.96701300000000001</v>
      </c>
      <c r="S5068">
        <v>-4.8095699999999998E-2</v>
      </c>
      <c r="T5068">
        <v>-0.21656069999999999</v>
      </c>
      <c r="U5068">
        <v>-3.1179960000000002</v>
      </c>
      <c r="V5068">
        <v>0.37078450000000002</v>
      </c>
      <c r="W5068">
        <v>-5.5096449999999998E-2</v>
      </c>
      <c r="X5068">
        <v>0.9270832</v>
      </c>
      <c r="Y5068">
        <v>0.60272289999999995</v>
      </c>
      <c r="Z5068">
        <v>2.4494970000000001E-2</v>
      </c>
      <c r="AA5068">
        <v>0.79757449999999996</v>
      </c>
      <c r="AB5068">
        <v>19</v>
      </c>
      <c r="AC5068">
        <v>-0.34680000000002997</v>
      </c>
      <c r="AD5068">
        <v>-1.110468548366</v>
      </c>
      <c r="AE5068">
        <v>-15.8148999999999</v>
      </c>
      <c r="AF5068">
        <v>9.5794093443225705</v>
      </c>
      <c r="AG5068">
        <v>-1.110468548366</v>
      </c>
      <c r="AH5068">
        <v>12.490719745827899</v>
      </c>
      <c r="AI5068">
        <v>94.035283928172703</v>
      </c>
      <c r="AJ5068">
        <v>52.514603189377702</v>
      </c>
      <c r="AK5068">
        <v>15.780250427411501</v>
      </c>
      <c r="AL5068">
        <v>93.158393336184403</v>
      </c>
      <c r="AM5068">
        <v>68.201189449783101</v>
      </c>
      <c r="AN5068">
        <v>1.0000000119825401</v>
      </c>
    </row>
    <row r="5069" spans="1:40" x14ac:dyDescent="0.25">
      <c r="A5069" t="str">
        <f>"20190303153911068"</f>
        <v>20190303153911068</v>
      </c>
      <c r="B5069" t="str">
        <f>"1551598751063760"</f>
        <v>1551598751063760</v>
      </c>
      <c r="C5069" t="s">
        <v>40</v>
      </c>
      <c r="D5069">
        <v>5.0931189999999997</v>
      </c>
      <c r="E5069">
        <v>0.60303459999999998</v>
      </c>
      <c r="F5069" t="s">
        <v>42</v>
      </c>
      <c r="G5069">
        <v>-192.80289999999999</v>
      </c>
      <c r="H5069" s="1">
        <v>-4.125473E-6</v>
      </c>
      <c r="I5069">
        <v>197.64869999999999</v>
      </c>
      <c r="J5069">
        <v>-192.4229</v>
      </c>
      <c r="K5069">
        <v>1.110517</v>
      </c>
      <c r="L5069">
        <v>209.3896</v>
      </c>
      <c r="M5069">
        <v>0.57327499999999998</v>
      </c>
      <c r="N5069">
        <v>-1.7640969999999999E-2</v>
      </c>
      <c r="O5069">
        <v>-0.81917320000000005</v>
      </c>
      <c r="P5069">
        <v>0.2281406</v>
      </c>
      <c r="Q5069">
        <v>-6.1407980000000001E-2</v>
      </c>
      <c r="R5069">
        <v>-0.9716901</v>
      </c>
      <c r="S5069">
        <v>-7.3608399999999893E-2</v>
      </c>
      <c r="T5069">
        <v>-0.28911629999999999</v>
      </c>
      <c r="U5069">
        <v>-3.1027529999999999</v>
      </c>
      <c r="V5069">
        <v>0.36888900000000002</v>
      </c>
      <c r="W5069">
        <v>-5.4866819999999997E-2</v>
      </c>
      <c r="X5069">
        <v>0.92785260000000003</v>
      </c>
      <c r="Y5069">
        <v>0.59172369999999996</v>
      </c>
      <c r="Z5069">
        <v>4.0889740000000001E-2</v>
      </c>
      <c r="AA5069">
        <v>0.80510319999999902</v>
      </c>
      <c r="AB5069">
        <v>19</v>
      </c>
      <c r="AC5069">
        <v>-0.37999999999999501</v>
      </c>
      <c r="AD5069">
        <v>-1.1105211254729901</v>
      </c>
      <c r="AE5069">
        <v>-11.7409</v>
      </c>
      <c r="AF5069">
        <v>6.9807580394088804</v>
      </c>
      <c r="AG5069">
        <v>-1.1105211254729901</v>
      </c>
      <c r="AH5069">
        <v>9.3181710225387899</v>
      </c>
      <c r="AI5069">
        <v>95.448449953437901</v>
      </c>
      <c r="AJ5069">
        <v>53.161086196742502</v>
      </c>
      <c r="AK5069">
        <v>11.6958347791072</v>
      </c>
      <c r="AL5069">
        <v>93.145216754901398</v>
      </c>
      <c r="AM5069">
        <v>68.318574905321199</v>
      </c>
      <c r="AN5069">
        <v>0.99999995479233506</v>
      </c>
    </row>
    <row r="5070" spans="1:40" x14ac:dyDescent="0.25">
      <c r="A5070" t="str">
        <f>"20190303153911088"</f>
        <v>20190303153911088</v>
      </c>
      <c r="B5070" t="str">
        <f>"1551598751083787"</f>
        <v>1551598751083787</v>
      </c>
      <c r="C5070" t="s">
        <v>40</v>
      </c>
      <c r="D5070">
        <v>5.075615</v>
      </c>
      <c r="E5070">
        <v>0.60109840000000003</v>
      </c>
      <c r="F5070" t="s">
        <v>42</v>
      </c>
      <c r="G5070">
        <v>-192.89240000000001</v>
      </c>
      <c r="H5070" s="1">
        <v>-3.9081330000000002E-6</v>
      </c>
      <c r="I5070">
        <v>196.96340000000001</v>
      </c>
      <c r="J5070">
        <v>-192.33879999999999</v>
      </c>
      <c r="K5070">
        <v>1.1105750000000001</v>
      </c>
      <c r="L5070">
        <v>209.22919999999999</v>
      </c>
      <c r="M5070">
        <v>0.55715530000000002</v>
      </c>
      <c r="N5070">
        <v>-1.765309E-2</v>
      </c>
      <c r="O5070">
        <v>-0.83022059999999998</v>
      </c>
      <c r="P5070">
        <v>0.2115602</v>
      </c>
      <c r="Q5070">
        <v>-6.059527E-2</v>
      </c>
      <c r="R5070">
        <v>-0.97548480000000004</v>
      </c>
      <c r="S5070">
        <v>-0.1170349</v>
      </c>
      <c r="T5070">
        <v>-0.27681060000000002</v>
      </c>
      <c r="U5070">
        <v>-3.097397</v>
      </c>
      <c r="V5070">
        <v>0.3666141</v>
      </c>
      <c r="W5070">
        <v>-5.3922879999999999E-2</v>
      </c>
      <c r="X5070">
        <v>0.9288092</v>
      </c>
      <c r="Y5070">
        <v>0.58733840000000004</v>
      </c>
      <c r="Z5070">
        <v>3.9997129999999999E-2</v>
      </c>
      <c r="AA5070">
        <v>0.80835249999999903</v>
      </c>
      <c r="AB5070">
        <v>19</v>
      </c>
      <c r="AC5070">
        <v>-0.55360000000001697</v>
      </c>
      <c r="AD5070">
        <v>-1.110578908133</v>
      </c>
      <c r="AE5070">
        <v>-12.265799999999899</v>
      </c>
      <c r="AF5070">
        <v>7.2355066838196302</v>
      </c>
      <c r="AG5070">
        <v>-1.110578908133</v>
      </c>
      <c r="AH5070">
        <v>9.7962717340964307</v>
      </c>
      <c r="AI5070">
        <v>95.210428275734998</v>
      </c>
      <c r="AJ5070">
        <v>53.550499111188998</v>
      </c>
      <c r="AK5070">
        <v>12.2291815904027</v>
      </c>
      <c r="AL5070">
        <v>93.091052479977293</v>
      </c>
      <c r="AM5070">
        <v>68.460150784362597</v>
      </c>
      <c r="AN5070">
        <v>1.00000005265547</v>
      </c>
    </row>
    <row r="5071" spans="1:40" x14ac:dyDescent="0.25">
      <c r="A5071" t="str">
        <f>"20190303153911112"</f>
        <v>20190303153911112</v>
      </c>
      <c r="B5071" t="str">
        <f>"1551598751103310"</f>
        <v>1551598751103310</v>
      </c>
      <c r="C5071" t="s">
        <v>40</v>
      </c>
      <c r="D5071">
        <v>5.0534509999999999</v>
      </c>
      <c r="E5071">
        <v>0.59965880000000005</v>
      </c>
      <c r="F5071" t="s">
        <v>42</v>
      </c>
      <c r="G5071">
        <v>-192.9683</v>
      </c>
      <c r="H5071" s="1">
        <v>-3.809197E-6</v>
      </c>
      <c r="I5071">
        <v>196.63310000000001</v>
      </c>
      <c r="J5071">
        <v>-192.24950000000001</v>
      </c>
      <c r="K5071">
        <v>1.1106419999999999</v>
      </c>
      <c r="L5071">
        <v>209.0496</v>
      </c>
      <c r="M5071">
        <v>0.53904319999999994</v>
      </c>
      <c r="N5071">
        <v>-1.766028E-2</v>
      </c>
      <c r="O5071">
        <v>-0.84209290000000003</v>
      </c>
      <c r="P5071">
        <v>0.19267619999999999</v>
      </c>
      <c r="Q5071">
        <v>-5.9169659999999999E-2</v>
      </c>
      <c r="R5071">
        <v>-0.97947720000000005</v>
      </c>
      <c r="S5071">
        <v>-0.15452579999999999</v>
      </c>
      <c r="T5071">
        <v>-0.27261390000000002</v>
      </c>
      <c r="U5071">
        <v>-3.0919650000000001</v>
      </c>
      <c r="V5071">
        <v>0.36453419999999997</v>
      </c>
      <c r="W5071">
        <v>-5.2369579999999999E-2</v>
      </c>
      <c r="X5071">
        <v>0.92971619999999999</v>
      </c>
      <c r="Y5071">
        <v>0.57966240000000002</v>
      </c>
      <c r="Z5071">
        <v>4.0934529999999997E-2</v>
      </c>
      <c r="AA5071">
        <v>0.81382790000000005</v>
      </c>
      <c r="AB5071">
        <v>19</v>
      </c>
      <c r="AC5071">
        <v>-0.718799999999987</v>
      </c>
      <c r="AD5071">
        <v>-1.110645809197</v>
      </c>
      <c r="AE5071">
        <v>-12.4164999999999</v>
      </c>
      <c r="AF5071">
        <v>7.2417164147951496</v>
      </c>
      <c r="AG5071">
        <v>-1.110645809197</v>
      </c>
      <c r="AH5071">
        <v>9.9902863002081599</v>
      </c>
      <c r="AI5071">
        <v>95.143434537602403</v>
      </c>
      <c r="AJ5071">
        <v>54.062554161684602</v>
      </c>
      <c r="AK5071">
        <v>12.3887776275921</v>
      </c>
      <c r="AL5071">
        <v>93.001929192338494</v>
      </c>
      <c r="AM5071">
        <v>68.590256110320695</v>
      </c>
      <c r="AN5071">
        <v>0.999999984210728</v>
      </c>
    </row>
    <row r="5072" spans="1:40" x14ac:dyDescent="0.25">
      <c r="A5072" t="str">
        <f>"20190303153911133"</f>
        <v>20190303153911133</v>
      </c>
      <c r="B5072" t="str">
        <f>"1551598751123806"</f>
        <v>1551598751123806</v>
      </c>
      <c r="C5072" t="s">
        <v>40</v>
      </c>
      <c r="D5072">
        <v>5.0620779999999996</v>
      </c>
      <c r="E5072">
        <v>0.59828119999999996</v>
      </c>
      <c r="F5072" t="s">
        <v>42</v>
      </c>
      <c r="G5072">
        <v>-193.11099999999999</v>
      </c>
      <c r="H5072" s="1">
        <v>-3.5493250000000001E-6</v>
      </c>
      <c r="I5072">
        <v>195.9331</v>
      </c>
      <c r="J5072">
        <v>-192.16730000000001</v>
      </c>
      <c r="K5072">
        <v>1.110711</v>
      </c>
      <c r="L5072">
        <v>208.87479999999999</v>
      </c>
      <c r="M5072">
        <v>0.52135259999999894</v>
      </c>
      <c r="N5072">
        <v>-1.7661679999999999E-2</v>
      </c>
      <c r="O5072">
        <v>-0.85315879999999999</v>
      </c>
      <c r="P5072">
        <v>0.17504320000000001</v>
      </c>
      <c r="Q5072">
        <v>-5.8484460000000002E-2</v>
      </c>
      <c r="R5072">
        <v>-0.98282270000000005</v>
      </c>
      <c r="S5072">
        <v>-0.20275879999999999</v>
      </c>
      <c r="T5072">
        <v>-0.26139030000000002</v>
      </c>
      <c r="U5072">
        <v>-3.0869599999999999</v>
      </c>
      <c r="V5072">
        <v>0.3618884</v>
      </c>
      <c r="W5072">
        <v>-5.1544390000000002E-2</v>
      </c>
      <c r="X5072">
        <v>0.93079529999999999</v>
      </c>
      <c r="Y5072">
        <v>0.57544919999999899</v>
      </c>
      <c r="Z5072">
        <v>4.0026029999999997E-2</v>
      </c>
      <c r="AA5072">
        <v>0.81685750000000001</v>
      </c>
      <c r="AB5072">
        <v>19</v>
      </c>
      <c r="AC5072">
        <v>-0.943699999999978</v>
      </c>
      <c r="AD5072">
        <v>-1.1107145493249999</v>
      </c>
      <c r="AE5072">
        <v>-12.9416999999999</v>
      </c>
      <c r="AF5072">
        <v>7.4985505704432596</v>
      </c>
      <c r="AG5072">
        <v>-1.1107145493249999</v>
      </c>
      <c r="AH5072">
        <v>10.474224984405501</v>
      </c>
      <c r="AI5072">
        <v>94.928103305031698</v>
      </c>
      <c r="AJ5072">
        <v>54.4009330808992</v>
      </c>
      <c r="AK5072">
        <v>12.9294754917406</v>
      </c>
      <c r="AL5072">
        <v>92.954585398454</v>
      </c>
      <c r="AM5072">
        <v>68.754175880222803</v>
      </c>
      <c r="AN5072">
        <v>0.99999996434855998</v>
      </c>
    </row>
    <row r="5073" spans="1:40" x14ac:dyDescent="0.25">
      <c r="A5073" t="str">
        <f>"20190303153911156"</f>
        <v>20190303153911156</v>
      </c>
      <c r="B5073" t="str">
        <f>"1551598751143326"</f>
        <v>1551598751143326</v>
      </c>
      <c r="C5073" t="s">
        <v>40</v>
      </c>
      <c r="D5073">
        <v>4.9806239999999997</v>
      </c>
      <c r="E5073">
        <v>0.59724029999999995</v>
      </c>
      <c r="F5073" t="s">
        <v>42</v>
      </c>
      <c r="G5073">
        <v>-193.24379999999999</v>
      </c>
      <c r="H5073" s="1">
        <v>-3.3801570000000001E-6</v>
      </c>
      <c r="I5073">
        <v>195.4564</v>
      </c>
      <c r="J5073">
        <v>-192.0889</v>
      </c>
      <c r="K5073">
        <v>1.110768</v>
      </c>
      <c r="L5073">
        <v>208.6986</v>
      </c>
      <c r="M5073">
        <v>0.50345359999999995</v>
      </c>
      <c r="N5073">
        <v>-1.7658759999999999E-2</v>
      </c>
      <c r="O5073">
        <v>-0.86384189999999905</v>
      </c>
      <c r="P5073">
        <v>0.15807639999999901</v>
      </c>
      <c r="Q5073">
        <v>-5.8724360000000003E-2</v>
      </c>
      <c r="R5073">
        <v>-0.98567930000000004</v>
      </c>
      <c r="S5073">
        <v>-0.24719240000000001</v>
      </c>
      <c r="T5073">
        <v>-0.25505499999999998</v>
      </c>
      <c r="U5073">
        <v>-3.0812840000000001</v>
      </c>
      <c r="V5073">
        <v>0.35852399999999901</v>
      </c>
      <c r="W5073">
        <v>-5.1625110000000002E-2</v>
      </c>
      <c r="X5073">
        <v>0.93209200000000003</v>
      </c>
      <c r="Y5073">
        <v>0.57024509999999995</v>
      </c>
      <c r="Z5073">
        <v>4.0105540000000002E-2</v>
      </c>
      <c r="AA5073">
        <v>0.82049509999999903</v>
      </c>
      <c r="AB5073">
        <v>19</v>
      </c>
      <c r="AC5073">
        <v>-1.15489999999999</v>
      </c>
      <c r="AD5073">
        <v>-1.1107713801570001</v>
      </c>
      <c r="AE5073">
        <v>-13.242199999999899</v>
      </c>
      <c r="AF5073">
        <v>7.6125210790973803</v>
      </c>
      <c r="AG5073">
        <v>-1.1107713801570001</v>
      </c>
      <c r="AH5073">
        <v>10.7841160930772</v>
      </c>
      <c r="AI5073">
        <v>94.8099653241634</v>
      </c>
      <c r="AJ5073">
        <v>54.781684217040301</v>
      </c>
      <c r="AK5073">
        <v>13.2469411619303</v>
      </c>
      <c r="AL5073">
        <v>92.959216215582899</v>
      </c>
      <c r="AM5073">
        <v>68.961039055011696</v>
      </c>
      <c r="AN5073">
        <v>1.0000000535112501</v>
      </c>
    </row>
    <row r="5074" spans="1:40" x14ac:dyDescent="0.25">
      <c r="A5074" t="str">
        <f>"20190303153911178"</f>
        <v>20190303153911178</v>
      </c>
      <c r="B5074" t="str">
        <f>"1551598751173579"</f>
        <v>1551598751173579</v>
      </c>
      <c r="C5074" t="s">
        <v>40</v>
      </c>
      <c r="D5074">
        <v>4.9897179999999999</v>
      </c>
      <c r="E5074">
        <v>0.58456519999999901</v>
      </c>
      <c r="F5074" t="s">
        <v>42</v>
      </c>
      <c r="G5074">
        <v>-193.41749999999999</v>
      </c>
      <c r="H5074" s="1">
        <v>-3.1050490000000002E-6</v>
      </c>
      <c r="I5074">
        <v>194.70740000000001</v>
      </c>
      <c r="J5074">
        <v>-192.01349999999999</v>
      </c>
      <c r="K5074">
        <v>1.1108180000000001</v>
      </c>
      <c r="L5074">
        <v>208.51920000000001</v>
      </c>
      <c r="M5074">
        <v>0.48517460000000001</v>
      </c>
      <c r="N5074">
        <v>-1.7652089999999999E-2</v>
      </c>
      <c r="O5074">
        <v>-0.87423930000000005</v>
      </c>
      <c r="P5074">
        <v>0.1415196</v>
      </c>
      <c r="Q5074">
        <v>-5.9889640000000001E-2</v>
      </c>
      <c r="R5074">
        <v>-0.98812230000000001</v>
      </c>
      <c r="S5074">
        <v>-0.2920837</v>
      </c>
      <c r="T5074">
        <v>-0.2441952</v>
      </c>
      <c r="U5074">
        <v>-3.0758670000000001</v>
      </c>
      <c r="V5074">
        <v>0.35450169999999998</v>
      </c>
      <c r="W5074">
        <v>-5.2614250000000001E-2</v>
      </c>
      <c r="X5074">
        <v>0.93357400000000001</v>
      </c>
      <c r="Y5074">
        <v>0.56501290000000004</v>
      </c>
      <c r="Z5074">
        <v>3.9025560000000001E-2</v>
      </c>
      <c r="AA5074">
        <v>0.82415859999999996</v>
      </c>
      <c r="AB5074">
        <v>19</v>
      </c>
      <c r="AC5074">
        <v>-1.4039999999999899</v>
      </c>
      <c r="AD5074">
        <v>-1.110821105049</v>
      </c>
      <c r="AE5074">
        <v>-13.8118</v>
      </c>
      <c r="AF5074">
        <v>7.87935620594798</v>
      </c>
      <c r="AG5074">
        <v>-1.110821105049</v>
      </c>
      <c r="AH5074">
        <v>11.3229162503024</v>
      </c>
      <c r="AI5074">
        <v>94.603833705539898</v>
      </c>
      <c r="AJ5074">
        <v>55.166833724078302</v>
      </c>
      <c r="AK5074">
        <v>13.839313933826199</v>
      </c>
      <c r="AL5074">
        <v>93.015966863361399</v>
      </c>
      <c r="AM5074">
        <v>69.206961673481104</v>
      </c>
      <c r="AN5074">
        <v>1.0000000640409701</v>
      </c>
    </row>
    <row r="5075" spans="1:40" x14ac:dyDescent="0.25">
      <c r="A5075" t="str">
        <f>"20190303153911200"</f>
        <v>20190303153911200</v>
      </c>
      <c r="B5075" t="str">
        <f>"1551598751194075"</f>
        <v>1551598751194075</v>
      </c>
      <c r="C5075" t="s">
        <v>40</v>
      </c>
      <c r="D5075">
        <v>4.9760160000000004</v>
      </c>
      <c r="E5075">
        <v>0.58217140000000001</v>
      </c>
      <c r="F5075" t="s">
        <v>42</v>
      </c>
      <c r="G5075">
        <v>-193.47710000000001</v>
      </c>
      <c r="H5075" s="1">
        <v>-1.1411350000000001E-6</v>
      </c>
      <c r="I5075">
        <v>190.0925</v>
      </c>
      <c r="J5075">
        <v>-191.93989999999999</v>
      </c>
      <c r="K5075">
        <v>1.110878</v>
      </c>
      <c r="L5075">
        <v>208.33320000000001</v>
      </c>
      <c r="M5075">
        <v>0.46615430000000002</v>
      </c>
      <c r="N5075">
        <v>-1.764199E-2</v>
      </c>
      <c r="O5075">
        <v>-0.88452770000000003</v>
      </c>
      <c r="P5075">
        <v>0.1253118</v>
      </c>
      <c r="Q5075">
        <v>-6.1652690000000003E-2</v>
      </c>
      <c r="R5075">
        <v>-0.99020019999999997</v>
      </c>
      <c r="S5075">
        <v>-0.24302670000000001</v>
      </c>
      <c r="T5075">
        <v>-0.18444659999999999</v>
      </c>
      <c r="U5075">
        <v>-3.0596770000000002</v>
      </c>
      <c r="V5075">
        <v>0.349520099999999</v>
      </c>
      <c r="W5075">
        <v>-5.4174100000000003E-2</v>
      </c>
      <c r="X5075">
        <v>0.93536140000000001</v>
      </c>
      <c r="Y5075">
        <v>0.53432950000000001</v>
      </c>
      <c r="Z5075">
        <v>2.7008029999999999E-2</v>
      </c>
      <c r="AA5075">
        <v>0.8448447</v>
      </c>
      <c r="AB5075">
        <v>19</v>
      </c>
      <c r="AC5075">
        <v>-1.5372000000000099</v>
      </c>
      <c r="AD5075">
        <v>-1.1108791411350001</v>
      </c>
      <c r="AE5075">
        <v>-18.2407</v>
      </c>
      <c r="AF5075">
        <v>9.8280157752834505</v>
      </c>
      <c r="AG5075">
        <v>-1.1108791411350001</v>
      </c>
      <c r="AH5075">
        <v>15.363648295605699</v>
      </c>
      <c r="AI5075">
        <v>93.485551402867202</v>
      </c>
      <c r="AJ5075">
        <v>57.393243846511702</v>
      </c>
      <c r="AK5075">
        <v>18.2719904634525</v>
      </c>
      <c r="AL5075">
        <v>93.105467431284396</v>
      </c>
      <c r="AM5075">
        <v>69.510598619628297</v>
      </c>
      <c r="AN5075">
        <v>1.0000000410123799</v>
      </c>
    </row>
    <row r="5076" spans="1:40" x14ac:dyDescent="0.25">
      <c r="A5076" t="str">
        <f>"20190303153911223"</f>
        <v>20190303153911223</v>
      </c>
      <c r="B5076" t="str">
        <f>"1551598751213598"</f>
        <v>1551598751213598</v>
      </c>
      <c r="C5076" t="s">
        <v>40</v>
      </c>
      <c r="D5076">
        <v>4.9604140000000001</v>
      </c>
      <c r="E5076">
        <v>0.580453199999999</v>
      </c>
      <c r="F5076" t="s">
        <v>42</v>
      </c>
      <c r="G5076">
        <v>-193.45570000000001</v>
      </c>
      <c r="H5076" s="1">
        <v>-1.723673E-6</v>
      </c>
      <c r="I5076">
        <v>191.46369999999999</v>
      </c>
      <c r="J5076">
        <v>-191.87139999999999</v>
      </c>
      <c r="K5076">
        <v>1.1109500000000001</v>
      </c>
      <c r="L5076">
        <v>208.14859999999999</v>
      </c>
      <c r="M5076">
        <v>0.44721499999999997</v>
      </c>
      <c r="N5076">
        <v>-1.7629639999999999E-2</v>
      </c>
      <c r="O5076">
        <v>-0.89425279999999996</v>
      </c>
      <c r="P5076">
        <v>0.1073346</v>
      </c>
      <c r="Q5076">
        <v>-6.2009960000000003E-2</v>
      </c>
      <c r="R5076">
        <v>-0.99228749999999999</v>
      </c>
      <c r="S5076">
        <v>-0.27421570000000001</v>
      </c>
      <c r="T5076">
        <v>-0.2009716</v>
      </c>
      <c r="U5076">
        <v>-3.051895</v>
      </c>
      <c r="V5076">
        <v>0.3465567</v>
      </c>
      <c r="W5076">
        <v>-5.4396630000000001E-2</v>
      </c>
      <c r="X5076">
        <v>0.93645040000000002</v>
      </c>
      <c r="Y5076">
        <v>0.52500480000000005</v>
      </c>
      <c r="Z5076">
        <v>3.2262979999999997E-2</v>
      </c>
      <c r="AA5076">
        <v>0.85048749999999995</v>
      </c>
      <c r="AB5076">
        <v>18</v>
      </c>
      <c r="AC5076">
        <v>-1.58430000000001</v>
      </c>
      <c r="AD5076">
        <v>-1.110951723673</v>
      </c>
      <c r="AE5076">
        <v>-16.684899999999999</v>
      </c>
      <c r="AF5076">
        <v>8.8410355811608792</v>
      </c>
      <c r="AG5076">
        <v>-1.110951723673</v>
      </c>
      <c r="AH5076">
        <v>14.1520221501798</v>
      </c>
      <c r="AI5076">
        <v>93.808980243926399</v>
      </c>
      <c r="AJ5076">
        <v>58.006200361849899</v>
      </c>
      <c r="AK5076">
        <v>16.7235718319642</v>
      </c>
      <c r="AL5076">
        <v>93.1182365863705</v>
      </c>
      <c r="AM5076">
        <v>69.691756427178106</v>
      </c>
      <c r="AN5076">
        <v>0.99999994566520101</v>
      </c>
    </row>
    <row r="5077" spans="1:40" x14ac:dyDescent="0.25">
      <c r="A5077" t="str">
        <f>"20190303153911246"</f>
        <v>20190303153911246</v>
      </c>
      <c r="B5077" t="str">
        <f>"1551598751243850"</f>
        <v>1551598751243850</v>
      </c>
      <c r="C5077" t="s">
        <v>40</v>
      </c>
      <c r="D5077">
        <v>4.9938940000000001</v>
      </c>
      <c r="E5077">
        <v>0.56680920000000001</v>
      </c>
      <c r="F5077" t="s">
        <v>42</v>
      </c>
      <c r="G5077">
        <v>-193.59129999999999</v>
      </c>
      <c r="H5077" s="1">
        <v>-1.8058520000000001E-6</v>
      </c>
      <c r="I5077">
        <v>191.5711</v>
      </c>
      <c r="J5077">
        <v>-191.8066</v>
      </c>
      <c r="K5077">
        <v>1.1110329999999999</v>
      </c>
      <c r="L5077">
        <v>207.96209999999999</v>
      </c>
      <c r="M5077">
        <v>0.42803409999999897</v>
      </c>
      <c r="N5077">
        <v>-1.761542E-2</v>
      </c>
      <c r="O5077">
        <v>-0.90359120000000004</v>
      </c>
      <c r="P5077">
        <v>9.2447730000000006E-2</v>
      </c>
      <c r="Q5077">
        <v>-5.9496840000000002E-2</v>
      </c>
      <c r="R5077">
        <v>-0.99393869999999895</v>
      </c>
      <c r="S5077">
        <v>-0.31590269999999998</v>
      </c>
      <c r="T5077">
        <v>-0.20404520000000001</v>
      </c>
      <c r="U5077">
        <v>-3.044724</v>
      </c>
      <c r="V5077">
        <v>0.34075299999999997</v>
      </c>
      <c r="W5077">
        <v>-5.1658179999999998E-2</v>
      </c>
      <c r="X5077">
        <v>0.93873260000000003</v>
      </c>
      <c r="Y5077">
        <v>0.51854619999999996</v>
      </c>
      <c r="Z5077">
        <v>3.4156800000000001E-2</v>
      </c>
      <c r="AA5077">
        <v>0.85436710000000005</v>
      </c>
      <c r="AB5077">
        <v>18</v>
      </c>
      <c r="AC5077">
        <v>-1.78469999999998</v>
      </c>
      <c r="AD5077">
        <v>-1.1110348058520001</v>
      </c>
      <c r="AE5077">
        <v>-16.390999999999899</v>
      </c>
      <c r="AF5077">
        <v>8.5908739530771694</v>
      </c>
      <c r="AG5077">
        <v>-1.1110348058520001</v>
      </c>
      <c r="AH5077">
        <v>13.9855224114627</v>
      </c>
      <c r="AI5077">
        <v>93.872497477130494</v>
      </c>
      <c r="AJ5077">
        <v>58.438880222367899</v>
      </c>
      <c r="AK5077">
        <v>16.450907292274199</v>
      </c>
      <c r="AL5077">
        <v>92.961113575052394</v>
      </c>
      <c r="AM5077">
        <v>70.049476729302</v>
      </c>
      <c r="AN5077">
        <v>1.00000003443633</v>
      </c>
    </row>
    <row r="5078" spans="1:40" x14ac:dyDescent="0.25">
      <c r="A5078" t="str">
        <f>"20190303153911268"</f>
        <v>20190303153911268</v>
      </c>
      <c r="B5078" t="str">
        <f>"1551598751263371"</f>
        <v>1551598751263371</v>
      </c>
      <c r="C5078" t="s">
        <v>40</v>
      </c>
      <c r="D5078">
        <v>4.9687010000000003</v>
      </c>
      <c r="E5078">
        <v>0.56448929999999997</v>
      </c>
      <c r="F5078" t="s">
        <v>42</v>
      </c>
      <c r="G5078">
        <v>-193.1069</v>
      </c>
      <c r="H5078" s="1">
        <v>-2.0401959999999999E-6</v>
      </c>
      <c r="I5078">
        <v>192.4179</v>
      </c>
      <c r="J5078">
        <v>-191.7473</v>
      </c>
      <c r="K5078">
        <v>1.1111089999999999</v>
      </c>
      <c r="L5078">
        <v>207.77930000000001</v>
      </c>
      <c r="M5078">
        <v>0.40918460000000001</v>
      </c>
      <c r="N5078">
        <v>-1.7599960000000001E-2</v>
      </c>
      <c r="O5078">
        <v>-0.91228200000000004</v>
      </c>
      <c r="P5078">
        <v>7.9407649999999996E-2</v>
      </c>
      <c r="Q5078">
        <v>-5.6304069999999998E-2</v>
      </c>
      <c r="R5078">
        <v>-0.99525140000000001</v>
      </c>
      <c r="S5078">
        <v>-0.25337219999999999</v>
      </c>
      <c r="T5078">
        <v>-0.21649350000000001</v>
      </c>
      <c r="U5078">
        <v>-3.0289000000000001</v>
      </c>
      <c r="V5078">
        <v>0.33373740000000002</v>
      </c>
      <c r="W5078">
        <v>-4.8207159999999999E-2</v>
      </c>
      <c r="X5078">
        <v>0.94143270000000001</v>
      </c>
      <c r="Y5078">
        <v>0.48335699999999998</v>
      </c>
      <c r="Z5078">
        <v>3.9457600000000002E-2</v>
      </c>
      <c r="AA5078">
        <v>0.87453369999999997</v>
      </c>
      <c r="AB5078">
        <v>18</v>
      </c>
      <c r="AC5078">
        <v>-1.3595999999999999</v>
      </c>
      <c r="AD5078">
        <v>-1.111111040196</v>
      </c>
      <c r="AE5078">
        <v>-15.3614</v>
      </c>
      <c r="AF5078">
        <v>7.4882790348723303</v>
      </c>
      <c r="AG5078">
        <v>-1.111111040196</v>
      </c>
      <c r="AH5078">
        <v>13.390173935741799</v>
      </c>
      <c r="AI5078">
        <v>94.142341927089404</v>
      </c>
      <c r="AJ5078">
        <v>60.784469974790603</v>
      </c>
      <c r="AK5078">
        <v>15.3819910504841</v>
      </c>
      <c r="AL5078">
        <v>92.763137585520496</v>
      </c>
      <c r="AM5078">
        <v>70.480609902016994</v>
      </c>
      <c r="AN5078">
        <v>1.0000000555316499</v>
      </c>
    </row>
    <row r="5079" spans="1:40" x14ac:dyDescent="0.25">
      <c r="A5079" t="str">
        <f>"20190303153911291"</f>
        <v>20190303153911291</v>
      </c>
      <c r="B5079" t="str">
        <f>"1551598751283398"</f>
        <v>1551598751283398</v>
      </c>
      <c r="C5079" t="s">
        <v>40</v>
      </c>
      <c r="D5079">
        <v>4.9590680000000003</v>
      </c>
      <c r="E5079">
        <v>0.5633456</v>
      </c>
      <c r="F5079" t="s">
        <v>42</v>
      </c>
      <c r="G5079">
        <v>-193.18729999999999</v>
      </c>
      <c r="H5079" s="1">
        <v>-1.8524799999999999E-6</v>
      </c>
      <c r="I5079">
        <v>191.93039999999999</v>
      </c>
      <c r="J5079">
        <v>-191.69290000000001</v>
      </c>
      <c r="K5079">
        <v>1.1111819999999999</v>
      </c>
      <c r="L5079">
        <v>207.59829999999999</v>
      </c>
      <c r="M5079">
        <v>0.39047419999999999</v>
      </c>
      <c r="N5079">
        <v>-1.7582690000000002E-2</v>
      </c>
      <c r="O5079">
        <v>-0.92044590000000004</v>
      </c>
      <c r="P5079">
        <v>6.7470779999999994E-2</v>
      </c>
      <c r="Q5079">
        <v>-5.3431670000000001E-2</v>
      </c>
      <c r="R5079">
        <v>-0.99628939999999999</v>
      </c>
      <c r="S5079">
        <v>-0.27478029999999998</v>
      </c>
      <c r="T5079">
        <v>-0.2120214</v>
      </c>
      <c r="U5079">
        <v>-3.0242770000000001</v>
      </c>
      <c r="V5079">
        <v>0.32594129999999999</v>
      </c>
      <c r="W5079">
        <v>-4.5057350000000003E-2</v>
      </c>
      <c r="X5079">
        <v>0.94431569999999998</v>
      </c>
      <c r="Y5079">
        <v>0.4717267</v>
      </c>
      <c r="Z5079">
        <v>3.9430659999999999E-2</v>
      </c>
      <c r="AA5079">
        <v>0.8808627</v>
      </c>
      <c r="AB5079">
        <v>18</v>
      </c>
      <c r="AC5079">
        <v>-1.49439999999998</v>
      </c>
      <c r="AD5079">
        <v>-1.11118385248</v>
      </c>
      <c r="AE5079">
        <v>-15.667899999999999</v>
      </c>
      <c r="AF5079">
        <v>7.4574128897717404</v>
      </c>
      <c r="AG5079">
        <v>-1.11118385248</v>
      </c>
      <c r="AH5079">
        <v>13.771426834191001</v>
      </c>
      <c r="AI5079">
        <v>94.058479768749507</v>
      </c>
      <c r="AJ5079">
        <v>61.563858969532497</v>
      </c>
      <c r="AK5079">
        <v>15.700316353883499</v>
      </c>
      <c r="AL5079">
        <v>92.582470252967596</v>
      </c>
      <c r="AM5079">
        <v>70.957303706463705</v>
      </c>
      <c r="AN5079">
        <v>1.0000000185505999</v>
      </c>
    </row>
    <row r="5080" spans="1:40" x14ac:dyDescent="0.25">
      <c r="A5080" t="str">
        <f>"20190303153911314"</f>
        <v>20190303153911314</v>
      </c>
      <c r="B5080" t="str">
        <f>"1551598751303894"</f>
        <v>1551598751303894</v>
      </c>
      <c r="C5080" t="s">
        <v>40</v>
      </c>
      <c r="D5080">
        <v>4.9652430000000001</v>
      </c>
      <c r="E5080">
        <v>0.55389489999999997</v>
      </c>
      <c r="F5080" t="s">
        <v>42</v>
      </c>
      <c r="G5080">
        <v>-193.31960000000001</v>
      </c>
      <c r="H5080" s="1">
        <v>-1.6297729999999999E-6</v>
      </c>
      <c r="I5080">
        <v>191.32929999999999</v>
      </c>
      <c r="J5080">
        <v>-191.63849999999999</v>
      </c>
      <c r="K5080">
        <v>1.1112649999999999</v>
      </c>
      <c r="L5080">
        <v>207.40190000000001</v>
      </c>
      <c r="M5080">
        <v>0.37015439999999999</v>
      </c>
      <c r="N5080">
        <v>-1.755984E-2</v>
      </c>
      <c r="O5080">
        <v>-0.92880450000000003</v>
      </c>
      <c r="P5080">
        <v>5.4217609999999999E-2</v>
      </c>
      <c r="Q5080">
        <v>-5.0967060000000002E-2</v>
      </c>
      <c r="R5080">
        <v>-0.9972278</v>
      </c>
      <c r="S5080">
        <v>-0.30201719999999999</v>
      </c>
      <c r="T5080">
        <v>-0.20630399999999999</v>
      </c>
      <c r="U5080">
        <v>-3.0205380000000002</v>
      </c>
      <c r="V5080">
        <v>0.3178607</v>
      </c>
      <c r="W5080">
        <v>-4.2306530000000002E-2</v>
      </c>
      <c r="X5080">
        <v>0.94719310000000001</v>
      </c>
      <c r="Y5080">
        <v>0.4603139</v>
      </c>
      <c r="Z5080">
        <v>3.9005049999999999E-2</v>
      </c>
      <c r="AA5080">
        <v>0.88689889999999905</v>
      </c>
      <c r="AB5080">
        <v>18</v>
      </c>
      <c r="AC5080">
        <v>-1.68110000000001</v>
      </c>
      <c r="AD5080">
        <v>-1.1112666297729901</v>
      </c>
      <c r="AE5080">
        <v>-16.072600000000001</v>
      </c>
      <c r="AF5080">
        <v>7.4765593065832201</v>
      </c>
      <c r="AG5080">
        <v>-1.1112666297729901</v>
      </c>
      <c r="AH5080">
        <v>14.240899218422999</v>
      </c>
      <c r="AI5080">
        <v>93.952312517565005</v>
      </c>
      <c r="AJ5080">
        <v>62.300252110178697</v>
      </c>
      <c r="AK5080">
        <v>16.122563789192601</v>
      </c>
      <c r="AL5080">
        <v>92.424709246540004</v>
      </c>
      <c r="AM5080">
        <v>71.449188164539606</v>
      </c>
      <c r="AN5080">
        <v>1.0000000178863699</v>
      </c>
    </row>
    <row r="5081" spans="1:40" x14ac:dyDescent="0.25">
      <c r="A5081" t="str">
        <f>"20190303153911336"</f>
        <v>20190303153911336</v>
      </c>
      <c r="B5081" t="str">
        <f>"1551598751323414"</f>
        <v>1551598751323414</v>
      </c>
      <c r="C5081" t="s">
        <v>40</v>
      </c>
      <c r="D5081">
        <v>4.9387109999999996</v>
      </c>
      <c r="E5081">
        <v>0.55270069999999905</v>
      </c>
      <c r="F5081" t="s">
        <v>42</v>
      </c>
      <c r="G5081">
        <v>-192.845</v>
      </c>
      <c r="H5081" s="1">
        <v>-2.565991E-6</v>
      </c>
      <c r="I5081">
        <v>193.80590000000001</v>
      </c>
      <c r="J5081">
        <v>-191.59219999999999</v>
      </c>
      <c r="K5081">
        <v>1.1113420000000001</v>
      </c>
      <c r="L5081">
        <v>207.22030000000001</v>
      </c>
      <c r="M5081">
        <v>0.35133300000000001</v>
      </c>
      <c r="N5081">
        <v>-1.7534890000000001E-2</v>
      </c>
      <c r="O5081">
        <v>-0.93608639999999999</v>
      </c>
      <c r="P5081">
        <v>4.2500379999999997E-2</v>
      </c>
      <c r="Q5081">
        <v>-5.0208290000000003E-2</v>
      </c>
      <c r="R5081">
        <v>-0.99783429999999995</v>
      </c>
      <c r="S5081">
        <v>-0.26713559999999997</v>
      </c>
      <c r="T5081">
        <v>-0.2460465</v>
      </c>
      <c r="U5081">
        <v>-3.0103</v>
      </c>
      <c r="V5081">
        <v>0.30990580000000001</v>
      </c>
      <c r="W5081">
        <v>-4.1272730000000001E-2</v>
      </c>
      <c r="X5081">
        <v>0.94987109999999997</v>
      </c>
      <c r="Y5081">
        <v>0.43220059999999899</v>
      </c>
      <c r="Z5081">
        <v>5.1728870000000003E-2</v>
      </c>
      <c r="AA5081">
        <v>0.9002926</v>
      </c>
      <c r="AB5081">
        <v>18</v>
      </c>
      <c r="AC5081">
        <v>-1.2527999999999999</v>
      </c>
      <c r="AD5081">
        <v>-1.111344565991</v>
      </c>
      <c r="AE5081">
        <v>-13.414400000000001</v>
      </c>
      <c r="AF5081">
        <v>5.8467720083434997</v>
      </c>
      <c r="AG5081">
        <v>-1.111344565991</v>
      </c>
      <c r="AH5081">
        <v>12.0368477473599</v>
      </c>
      <c r="AI5081">
        <v>94.747488292195797</v>
      </c>
      <c r="AJ5081">
        <v>64.092324639230497</v>
      </c>
      <c r="AK5081">
        <v>13.4277895930428</v>
      </c>
      <c r="AL5081">
        <v>92.365424944468501</v>
      </c>
      <c r="AM5081">
        <v>71.930520178610706</v>
      </c>
      <c r="AN5081">
        <v>1.00000007486524</v>
      </c>
    </row>
    <row r="5082" spans="1:40" x14ac:dyDescent="0.25">
      <c r="A5082" t="str">
        <f>"20190303153911358"</f>
        <v>20190303153911358</v>
      </c>
      <c r="B5082" t="str">
        <f>"1551598751343910"</f>
        <v>1551598751343910</v>
      </c>
      <c r="C5082" t="s">
        <v>40</v>
      </c>
      <c r="D5082">
        <v>4.9480620000000002</v>
      </c>
      <c r="E5082">
        <v>0.54692989999999997</v>
      </c>
      <c r="F5082" t="s">
        <v>42</v>
      </c>
      <c r="G5082">
        <v>-192.934</v>
      </c>
      <c r="H5082" s="1">
        <v>-2.4391760000000001E-6</v>
      </c>
      <c r="I5082">
        <v>193.45519999999999</v>
      </c>
      <c r="J5082">
        <v>-191.5489</v>
      </c>
      <c r="K5082">
        <v>1.111434</v>
      </c>
      <c r="L5082">
        <v>207.03540000000001</v>
      </c>
      <c r="M5082">
        <v>0.33218910000000001</v>
      </c>
      <c r="N5082">
        <v>-1.7503459999999998E-2</v>
      </c>
      <c r="O5082">
        <v>-0.94305050000000001</v>
      </c>
      <c r="P5082">
        <v>3.0953020000000001E-2</v>
      </c>
      <c r="Q5082">
        <v>-5.1287109999999997E-2</v>
      </c>
      <c r="R5082">
        <v>-0.99820439999999999</v>
      </c>
      <c r="S5082">
        <v>-0.29309079999999998</v>
      </c>
      <c r="T5082">
        <v>-0.24275479999999999</v>
      </c>
      <c r="U5082">
        <v>-3.0067599999999999</v>
      </c>
      <c r="V5082">
        <v>0.30150349999999998</v>
      </c>
      <c r="W5082">
        <v>-4.2063250000000003E-2</v>
      </c>
      <c r="X5082">
        <v>0.95253679999999996</v>
      </c>
      <c r="Y5082">
        <v>0.42162240000000001</v>
      </c>
      <c r="Z5082">
        <v>5.1919769999999997E-2</v>
      </c>
      <c r="AA5082">
        <v>0.90528390000000003</v>
      </c>
      <c r="AB5082">
        <v>18</v>
      </c>
      <c r="AC5082">
        <v>-1.38510000000002</v>
      </c>
      <c r="AD5082">
        <v>-1.1114364391760001</v>
      </c>
      <c r="AE5082">
        <v>-13.5802</v>
      </c>
      <c r="AF5082">
        <v>5.7799875809660897</v>
      </c>
      <c r="AG5082">
        <v>-1.1114364391760001</v>
      </c>
      <c r="AH5082">
        <v>12.267267315082099</v>
      </c>
      <c r="AI5082">
        <v>94.685476204479698</v>
      </c>
      <c r="AJ5082">
        <v>64.7715195871654</v>
      </c>
      <c r="AK5082">
        <v>13.606226323787601</v>
      </c>
      <c r="AL5082">
        <v>92.410757913837699</v>
      </c>
      <c r="AM5082">
        <v>72.436020830474703</v>
      </c>
      <c r="AN5082">
        <v>1.0000000164335201</v>
      </c>
    </row>
    <row r="5083" spans="1:40" x14ac:dyDescent="0.25">
      <c r="A5083" t="str">
        <f>"20190303153911382"</f>
        <v>20190303153911382</v>
      </c>
      <c r="B5083" t="str">
        <f>"1551598751373700"</f>
        <v>1551598751373700</v>
      </c>
      <c r="C5083" t="s">
        <v>40</v>
      </c>
      <c r="D5083">
        <v>4.9321580000000003</v>
      </c>
      <c r="E5083">
        <v>0.54656340000000003</v>
      </c>
      <c r="F5083" t="s">
        <v>42</v>
      </c>
      <c r="G5083">
        <v>-192.73519999999999</v>
      </c>
      <c r="H5083" s="1">
        <v>-2.7956890000000001E-6</v>
      </c>
      <c r="I5083">
        <v>194.40950000000001</v>
      </c>
      <c r="J5083">
        <v>-191.5068</v>
      </c>
      <c r="K5083">
        <v>1.1115539999999999</v>
      </c>
      <c r="L5083">
        <v>206.8373</v>
      </c>
      <c r="M5083">
        <v>0.31175580000000003</v>
      </c>
      <c r="N5083">
        <v>-1.745845E-2</v>
      </c>
      <c r="O5083">
        <v>-0.95000200000000001</v>
      </c>
      <c r="P5083">
        <v>1.868651E-2</v>
      </c>
      <c r="Q5083">
        <v>-5.2293869999999999E-2</v>
      </c>
      <c r="R5083">
        <v>-0.99845729999999999</v>
      </c>
      <c r="S5083">
        <v>-0.28192139999999999</v>
      </c>
      <c r="T5083">
        <v>-0.26413500000000001</v>
      </c>
      <c r="U5083">
        <v>-3.0005649999999999</v>
      </c>
      <c r="V5083">
        <v>0.29261320000000002</v>
      </c>
      <c r="W5083">
        <v>-4.2757539999999997E-2</v>
      </c>
      <c r="X5083">
        <v>0.95527450000000003</v>
      </c>
      <c r="Y5083">
        <v>0.39872000000000002</v>
      </c>
      <c r="Z5083">
        <v>5.9635069999999998E-2</v>
      </c>
      <c r="AA5083">
        <v>0.91513169999999999</v>
      </c>
      <c r="AB5083">
        <v>18</v>
      </c>
      <c r="AC5083">
        <v>-1.2283999999999899</v>
      </c>
      <c r="AD5083">
        <v>-1.111556795689</v>
      </c>
      <c r="AE5083">
        <v>-12.4277999999999</v>
      </c>
      <c r="AF5083">
        <v>5.0025571153500099</v>
      </c>
      <c r="AG5083">
        <v>-1.111556795689</v>
      </c>
      <c r="AH5083">
        <v>11.335411020758601</v>
      </c>
      <c r="AI5083">
        <v>95.126427371194197</v>
      </c>
      <c r="AJ5083">
        <v>66.187115841760601</v>
      </c>
      <c r="AK5083">
        <v>12.4399629907776</v>
      </c>
      <c r="AL5083">
        <v>92.450573587759806</v>
      </c>
      <c r="AM5083">
        <v>72.9694815233035</v>
      </c>
      <c r="AN5083">
        <v>1.00000003119567</v>
      </c>
    </row>
    <row r="5084" spans="1:40" x14ac:dyDescent="0.25">
      <c r="A5084" t="str">
        <f>"20190303153911403"</f>
        <v>20190303153911403</v>
      </c>
      <c r="B5084" t="str">
        <f>"1551598751394195"</f>
        <v>1551598751394195</v>
      </c>
      <c r="C5084" t="s">
        <v>40</v>
      </c>
      <c r="D5084">
        <v>4.9056430000000004</v>
      </c>
      <c r="E5084">
        <v>0.54531660000000004</v>
      </c>
      <c r="F5084" t="s">
        <v>42</v>
      </c>
      <c r="G5084">
        <v>-192.851</v>
      </c>
      <c r="H5084" s="1">
        <v>-2.6869940000000001E-6</v>
      </c>
      <c r="I5084">
        <v>194.08430000000001</v>
      </c>
      <c r="J5084">
        <v>-191.47190000000001</v>
      </c>
      <c r="K5084">
        <v>1.1117140000000001</v>
      </c>
      <c r="L5084">
        <v>206.6559</v>
      </c>
      <c r="M5084">
        <v>0.29320309999999999</v>
      </c>
      <c r="N5084">
        <v>-1.7399939999999999E-2</v>
      </c>
      <c r="O5084">
        <v>-0.95589179999999996</v>
      </c>
      <c r="P5084">
        <v>8.9140609999999992E-3</v>
      </c>
      <c r="Q5084">
        <v>-5.3108160000000001E-2</v>
      </c>
      <c r="R5084">
        <v>-0.99854900000000002</v>
      </c>
      <c r="S5084">
        <v>-0.31588749999999999</v>
      </c>
      <c r="T5084">
        <v>-0.26120840000000001</v>
      </c>
      <c r="U5084">
        <v>-2.9968720000000002</v>
      </c>
      <c r="V5084">
        <v>0.28334549999999997</v>
      </c>
      <c r="W5084">
        <v>-4.3241700000000001E-2</v>
      </c>
      <c r="X5084">
        <v>0.95804250000000002</v>
      </c>
      <c r="Y5084">
        <v>0.39124949999999997</v>
      </c>
      <c r="Z5084">
        <v>5.9785190000000002E-2</v>
      </c>
      <c r="AA5084">
        <v>0.91834070000000001</v>
      </c>
      <c r="AB5084">
        <v>18</v>
      </c>
      <c r="AC5084">
        <v>-1.37909999999999</v>
      </c>
      <c r="AD5084">
        <v>-1.1117166869939901</v>
      </c>
      <c r="AE5084">
        <v>-12.571599999999901</v>
      </c>
      <c r="AF5084">
        <v>4.9666826630455398</v>
      </c>
      <c r="AG5084">
        <v>-1.1117166869939901</v>
      </c>
      <c r="AH5084">
        <v>11.5254343155125</v>
      </c>
      <c r="AI5084">
        <v>95.062201658159296</v>
      </c>
      <c r="AJ5084">
        <v>66.687226003832393</v>
      </c>
      <c r="AK5084">
        <v>12.599185958971001</v>
      </c>
      <c r="AL5084">
        <v>92.478339733721697</v>
      </c>
      <c r="AM5084">
        <v>73.524173567900803</v>
      </c>
      <c r="AN5084">
        <v>0.99999997439769395</v>
      </c>
    </row>
    <row r="5085" spans="1:40" x14ac:dyDescent="0.25">
      <c r="A5085" t="str">
        <f>"20190303153911425"</f>
        <v>20190303153911425</v>
      </c>
      <c r="B5085" t="str">
        <f>"1551598751413715"</f>
        <v>1551598751413715</v>
      </c>
      <c r="C5085" t="s">
        <v>40</v>
      </c>
      <c r="D5085">
        <v>4.9137409999999999</v>
      </c>
      <c r="E5085">
        <v>0.54416350000000002</v>
      </c>
      <c r="F5085" t="s">
        <v>42</v>
      </c>
      <c r="G5085">
        <v>-192.89169999999999</v>
      </c>
      <c r="H5085" s="1">
        <v>-2.6545990000000001E-6</v>
      </c>
      <c r="I5085">
        <v>193.98349999999999</v>
      </c>
      <c r="J5085">
        <v>-191.4401</v>
      </c>
      <c r="K5085">
        <v>1.11195</v>
      </c>
      <c r="L5085">
        <v>206.4726</v>
      </c>
      <c r="M5085">
        <v>0.27471649999999997</v>
      </c>
      <c r="N5085">
        <v>-1.731537E-2</v>
      </c>
      <c r="O5085">
        <v>-0.96136940000000004</v>
      </c>
      <c r="P5085">
        <v>2.0540660000000001E-4</v>
      </c>
      <c r="Q5085">
        <v>-5.4964850000000003E-2</v>
      </c>
      <c r="R5085">
        <v>-0.9984885</v>
      </c>
      <c r="S5085">
        <v>-0.33537289999999997</v>
      </c>
      <c r="T5085">
        <v>-0.26260420000000001</v>
      </c>
      <c r="U5085">
        <v>-2.9934080000000001</v>
      </c>
      <c r="V5085">
        <v>0.27317390000000003</v>
      </c>
      <c r="W5085">
        <v>-4.472897E-2</v>
      </c>
      <c r="X5085">
        <v>0.96092420000000001</v>
      </c>
      <c r="Y5085">
        <v>0.37950129999999999</v>
      </c>
      <c r="Z5085">
        <v>6.1278449999999998E-2</v>
      </c>
      <c r="AA5085">
        <v>0.92315970000000003</v>
      </c>
      <c r="AB5085">
        <v>18</v>
      </c>
      <c r="AC5085">
        <v>-1.45159999999998</v>
      </c>
      <c r="AD5085">
        <v>-1.1119526545989999</v>
      </c>
      <c r="AE5085">
        <v>-12.489100000000001</v>
      </c>
      <c r="AF5085">
        <v>4.7897467639547502</v>
      </c>
      <c r="AG5085">
        <v>-1.1119526545989999</v>
      </c>
      <c r="AH5085">
        <v>11.5195018204936</v>
      </c>
      <c r="AI5085">
        <v>95.093324962323294</v>
      </c>
      <c r="AJ5085">
        <v>67.422722111260995</v>
      </c>
      <c r="AK5085">
        <v>12.525056285751401</v>
      </c>
      <c r="AL5085">
        <v>92.563636551936398</v>
      </c>
      <c r="AM5085">
        <v>74.130478556570594</v>
      </c>
      <c r="AN5085">
        <v>0.99999998927205502</v>
      </c>
    </row>
    <row r="5086" spans="1:40" x14ac:dyDescent="0.25">
      <c r="A5086" t="str">
        <f>"20190303153911447"</f>
        <v>20190303153911447</v>
      </c>
      <c r="B5086" t="str">
        <f>"1551598751443971"</f>
        <v>1551598751443971</v>
      </c>
      <c r="C5086" t="s">
        <v>40</v>
      </c>
      <c r="D5086">
        <v>4.9343089999999998</v>
      </c>
      <c r="E5086">
        <v>0.5356398</v>
      </c>
      <c r="F5086" t="s">
        <v>42</v>
      </c>
      <c r="G5086">
        <v>-192.905</v>
      </c>
      <c r="H5086" s="1">
        <v>-2.6877710000000002E-6</v>
      </c>
      <c r="I5086">
        <v>194.05260000000001</v>
      </c>
      <c r="J5086">
        <v>-191.41059999999999</v>
      </c>
      <c r="K5086">
        <v>1.1122719999999999</v>
      </c>
      <c r="L5086">
        <v>206.28399999999999</v>
      </c>
      <c r="M5086">
        <v>0.2560887</v>
      </c>
      <c r="N5086">
        <v>-1.7194649999999999E-2</v>
      </c>
      <c r="O5086">
        <v>-0.96650060000000004</v>
      </c>
      <c r="P5086">
        <v>-8.3801659999999997E-3</v>
      </c>
      <c r="Q5086">
        <v>-5.7481900000000002E-2</v>
      </c>
      <c r="R5086">
        <v>-0.99831190000000003</v>
      </c>
      <c r="S5086">
        <v>-0.35266110000000001</v>
      </c>
      <c r="T5086">
        <v>-0.26768199999999998</v>
      </c>
      <c r="U5086">
        <v>-2.9898989999999999</v>
      </c>
      <c r="V5086">
        <v>0.26280500000000001</v>
      </c>
      <c r="W5086">
        <v>-4.685541E-2</v>
      </c>
      <c r="X5086">
        <v>0.96371059999999997</v>
      </c>
      <c r="Y5086">
        <v>0.36697439999999998</v>
      </c>
      <c r="Z5086">
        <v>6.3898849999999993E-2</v>
      </c>
      <c r="AA5086">
        <v>0.92803380000000002</v>
      </c>
      <c r="AB5086">
        <v>18</v>
      </c>
      <c r="AC5086">
        <v>-1.4944000000000099</v>
      </c>
      <c r="AD5086">
        <v>-1.1122746877709999</v>
      </c>
      <c r="AE5086">
        <v>-12.231400000000001</v>
      </c>
      <c r="AF5086">
        <v>4.5403438996351104</v>
      </c>
      <c r="AG5086">
        <v>-1.1122746877709999</v>
      </c>
      <c r="AH5086">
        <v>11.348183090519401</v>
      </c>
      <c r="AI5086">
        <v>95.199609199683806</v>
      </c>
      <c r="AJ5086">
        <v>68.193930607743496</v>
      </c>
      <c r="AK5086">
        <v>12.2732692125595</v>
      </c>
      <c r="AL5086">
        <v>92.685600502499994</v>
      </c>
      <c r="AM5086">
        <v>74.746273794023907</v>
      </c>
      <c r="AN5086">
        <v>1.00000000901181</v>
      </c>
    </row>
    <row r="5087" spans="1:40" x14ac:dyDescent="0.25">
      <c r="A5087" t="str">
        <f>"20190303153911472"</f>
        <v>20190303153911472</v>
      </c>
      <c r="B5087" t="str">
        <f>"1551598751463491"</f>
        <v>1551598751463491</v>
      </c>
      <c r="C5087" t="s">
        <v>40</v>
      </c>
      <c r="D5087">
        <v>4.8099069999999999</v>
      </c>
      <c r="E5087">
        <v>0.53495969999999904</v>
      </c>
      <c r="F5087" t="s">
        <v>42</v>
      </c>
      <c r="G5087">
        <v>-192.59989999999999</v>
      </c>
      <c r="H5087" s="1">
        <v>-2.9508129999999999E-6</v>
      </c>
      <c r="I5087">
        <v>194.85499999999999</v>
      </c>
      <c r="J5087">
        <v>-191.38329999999999</v>
      </c>
      <c r="K5087">
        <v>1.1127039999999999</v>
      </c>
      <c r="L5087">
        <v>206.0891</v>
      </c>
      <c r="M5087">
        <v>0.23745140000000001</v>
      </c>
      <c r="N5087">
        <v>-1.7028829999999998E-2</v>
      </c>
      <c r="O5087">
        <v>-0.97125039999999996</v>
      </c>
      <c r="P5087">
        <v>-1.587556E-2</v>
      </c>
      <c r="Q5087">
        <v>-6.1153010000000001E-2</v>
      </c>
      <c r="R5087">
        <v>-0.99800230000000001</v>
      </c>
      <c r="S5087">
        <v>-0.31071470000000001</v>
      </c>
      <c r="T5087">
        <v>-0.29057070000000002</v>
      </c>
      <c r="U5087">
        <v>-2.9857179999999999</v>
      </c>
      <c r="V5087">
        <v>0.25141750000000002</v>
      </c>
      <c r="W5087">
        <v>-5.0095630000000002E-2</v>
      </c>
      <c r="X5087">
        <v>0.96658140000000003</v>
      </c>
      <c r="Y5087">
        <v>0.33611639999999998</v>
      </c>
      <c r="Z5087">
        <v>7.246052E-2</v>
      </c>
      <c r="AA5087">
        <v>0.93902890000000006</v>
      </c>
      <c r="AB5087">
        <v>18</v>
      </c>
      <c r="AC5087">
        <v>-1.2165999999999899</v>
      </c>
      <c r="AD5087">
        <v>-1.1127069508130001</v>
      </c>
      <c r="AE5087">
        <v>-11.2341</v>
      </c>
      <c r="AF5087">
        <v>3.8127622980420499</v>
      </c>
      <c r="AG5087">
        <v>-1.1127069508130001</v>
      </c>
      <c r="AH5087">
        <v>10.521752950785601</v>
      </c>
      <c r="AI5087">
        <v>95.678049956299404</v>
      </c>
      <c r="AJ5087">
        <v>70.081028574287203</v>
      </c>
      <c r="AK5087">
        <v>11.246446472425101</v>
      </c>
      <c r="AL5087">
        <v>92.871470147453095</v>
      </c>
      <c r="AM5087">
        <v>75.419879829594393</v>
      </c>
      <c r="AN5087">
        <v>0.99999996713865202</v>
      </c>
    </row>
    <row r="5088" spans="1:40" x14ac:dyDescent="0.25">
      <c r="A5088" t="str">
        <f>"20190303153911492"</f>
        <v>20190303153911492</v>
      </c>
      <c r="B5088" t="str">
        <f>"1551598751483518"</f>
        <v>1551598751483518</v>
      </c>
      <c r="C5088" t="s">
        <v>40</v>
      </c>
      <c r="D5088">
        <v>4.7783540000000002</v>
      </c>
      <c r="E5088">
        <v>0.53583029999999998</v>
      </c>
      <c r="F5088" t="s">
        <v>42</v>
      </c>
      <c r="G5088">
        <v>-192.6053</v>
      </c>
      <c r="H5088" s="1">
        <v>-2.999646E-6</v>
      </c>
      <c r="I5088">
        <v>194.96549999999999</v>
      </c>
      <c r="J5088">
        <v>-191.36080000000001</v>
      </c>
      <c r="K5088">
        <v>1.1131819999999999</v>
      </c>
      <c r="L5088">
        <v>205.9091</v>
      </c>
      <c r="M5088">
        <v>0.22089900000000001</v>
      </c>
      <c r="N5088">
        <v>-1.684242E-2</v>
      </c>
      <c r="O5088">
        <v>-0.97515149999999995</v>
      </c>
      <c r="P5088">
        <v>-2.0309589999999999E-2</v>
      </c>
      <c r="Q5088">
        <v>-6.5270519999999999E-2</v>
      </c>
      <c r="R5088">
        <v>-0.99766109999999997</v>
      </c>
      <c r="S5088">
        <v>-0.327652</v>
      </c>
      <c r="T5088">
        <v>-0.2983441</v>
      </c>
      <c r="U5088">
        <v>-2.982529</v>
      </c>
      <c r="V5088">
        <v>0.2391867</v>
      </c>
      <c r="W5088">
        <v>-5.3777279999999997E-2</v>
      </c>
      <c r="X5088">
        <v>0.96948330000000005</v>
      </c>
      <c r="Y5088">
        <v>0.32543810000000001</v>
      </c>
      <c r="Z5088">
        <v>7.5869199999999998E-2</v>
      </c>
      <c r="AA5088">
        <v>0.94251470000000004</v>
      </c>
      <c r="AB5088">
        <v>18</v>
      </c>
      <c r="AC5088">
        <v>-1.24449999999998</v>
      </c>
      <c r="AD5088">
        <v>-1.1131849996459999</v>
      </c>
      <c r="AE5088">
        <v>-10.9436</v>
      </c>
      <c r="AF5088">
        <v>3.5948000613127702</v>
      </c>
      <c r="AG5088">
        <v>-1.1131849996459999</v>
      </c>
      <c r="AH5088">
        <v>10.2930887332344</v>
      </c>
      <c r="AI5088">
        <v>95.829764579876795</v>
      </c>
      <c r="AJ5088">
        <v>70.748548513064904</v>
      </c>
      <c r="AK5088">
        <v>10.959445423674</v>
      </c>
      <c r="AL5088">
        <v>93.082698035926001</v>
      </c>
      <c r="AM5088">
        <v>76.141003098995199</v>
      </c>
      <c r="AN5088">
        <v>1.0000000711399799</v>
      </c>
    </row>
    <row r="5089" spans="1:40" x14ac:dyDescent="0.25">
      <c r="A5089" t="str">
        <f>"20190303153911516"</f>
        <v>20190303153911516</v>
      </c>
      <c r="B5089" t="str">
        <f>"1551598751504012"</f>
        <v>1551598751504012</v>
      </c>
      <c r="C5089" t="s">
        <v>40</v>
      </c>
      <c r="D5089">
        <v>4.7700930000000001</v>
      </c>
      <c r="E5089">
        <v>0.53663050000000001</v>
      </c>
      <c r="F5089" t="s">
        <v>42</v>
      </c>
      <c r="G5089">
        <v>-192.6712</v>
      </c>
      <c r="H5089" s="1">
        <v>-2.8958540000000001E-6</v>
      </c>
      <c r="I5089">
        <v>194.68270000000001</v>
      </c>
      <c r="J5089">
        <v>-191.33869999999999</v>
      </c>
      <c r="K5089">
        <v>1.1137300000000001</v>
      </c>
      <c r="L5089">
        <v>205.7131</v>
      </c>
      <c r="M5089">
        <v>0.2035949</v>
      </c>
      <c r="N5089">
        <v>-1.6623160000000001E-2</v>
      </c>
      <c r="O5089">
        <v>-0.97891410000000001</v>
      </c>
      <c r="P5089">
        <v>-2.4363570000000001E-2</v>
      </c>
      <c r="Q5089">
        <v>-6.8609909999999996E-2</v>
      </c>
      <c r="R5089">
        <v>-0.99734610000000001</v>
      </c>
      <c r="S5089">
        <v>-0.3479004</v>
      </c>
      <c r="T5089">
        <v>-0.29555019999999999</v>
      </c>
      <c r="U5089">
        <v>-2.9806059999999999</v>
      </c>
      <c r="V5089">
        <v>0.2259147</v>
      </c>
      <c r="W5089">
        <v>-5.6687729999999999E-2</v>
      </c>
      <c r="X5089">
        <v>0.97249629999999998</v>
      </c>
      <c r="Y5089">
        <v>0.31508550000000002</v>
      </c>
      <c r="Z5089">
        <v>7.5984629999999997E-2</v>
      </c>
      <c r="AA5089">
        <v>0.94601670000000004</v>
      </c>
      <c r="AB5089">
        <v>18</v>
      </c>
      <c r="AC5089">
        <v>-1.33250000000001</v>
      </c>
      <c r="AD5089">
        <v>-1.11373289585399</v>
      </c>
      <c r="AE5089">
        <v>-11.030399999999901</v>
      </c>
      <c r="AF5089">
        <v>3.5153043518882301</v>
      </c>
      <c r="AG5089">
        <v>-1.11373289585399</v>
      </c>
      <c r="AH5089">
        <v>10.4232437558671</v>
      </c>
      <c r="AI5089">
        <v>95.781374130063</v>
      </c>
      <c r="AJ5089">
        <v>71.3629986595611</v>
      </c>
      <c r="AK5089">
        <v>11.0563002873445</v>
      </c>
      <c r="AL5089">
        <v>93.249709749817796</v>
      </c>
      <c r="AM5089">
        <v>76.9219262238867</v>
      </c>
      <c r="AN5089">
        <v>1.0000000019611599</v>
      </c>
    </row>
    <row r="5090" spans="1:40" x14ac:dyDescent="0.25">
      <c r="A5090" t="str">
        <f>"20190303153911538"</f>
        <v>20190303153911538</v>
      </c>
      <c r="B5090" t="str">
        <f>"1551598751533292"</f>
        <v>1551598751533292</v>
      </c>
      <c r="C5090" t="s">
        <v>40</v>
      </c>
      <c r="D5090">
        <v>4.9119659999999996</v>
      </c>
      <c r="E5090">
        <v>0.53548969999999996</v>
      </c>
      <c r="F5090" t="s">
        <v>42</v>
      </c>
      <c r="G5090">
        <v>-192.7998</v>
      </c>
      <c r="H5090" s="1">
        <v>-2.5579169999999999E-6</v>
      </c>
      <c r="I5090">
        <v>193.8152</v>
      </c>
      <c r="J5090">
        <v>-191.32060000000001</v>
      </c>
      <c r="K5090">
        <v>1.114236</v>
      </c>
      <c r="L5090">
        <v>205.53399999999999</v>
      </c>
      <c r="M5090">
        <v>0.18851039999999999</v>
      </c>
      <c r="N5090">
        <v>-1.6414769999999999E-2</v>
      </c>
      <c r="O5090">
        <v>-0.98193430000000004</v>
      </c>
      <c r="P5090">
        <v>-2.522284E-2</v>
      </c>
      <c r="Q5090">
        <v>-7.0911890000000005E-2</v>
      </c>
      <c r="R5090">
        <v>-0.9971641</v>
      </c>
      <c r="S5090">
        <v>-0.365921</v>
      </c>
      <c r="T5090">
        <v>-0.27893869999999998</v>
      </c>
      <c r="U5090">
        <v>-2.9798740000000001</v>
      </c>
      <c r="V5090">
        <v>0.21178379999999999</v>
      </c>
      <c r="W5090">
        <v>-5.8600079999999999E-2</v>
      </c>
      <c r="X5090">
        <v>0.97555809999999998</v>
      </c>
      <c r="Y5090">
        <v>0.30621330000000002</v>
      </c>
      <c r="Z5090">
        <v>7.1572029999999995E-2</v>
      </c>
      <c r="AA5090">
        <v>0.94926860000000002</v>
      </c>
      <c r="AB5090">
        <v>18</v>
      </c>
      <c r="AC5090">
        <v>-1.4791999999999901</v>
      </c>
      <c r="AD5090">
        <v>-1.114238557917</v>
      </c>
      <c r="AE5090">
        <v>-11.7188</v>
      </c>
      <c r="AF5090">
        <v>3.6297849548460301</v>
      </c>
      <c r="AG5090">
        <v>-1.114238557917</v>
      </c>
      <c r="AH5090">
        <v>11.130708290629901</v>
      </c>
      <c r="AI5090">
        <v>95.436590764391596</v>
      </c>
      <c r="AJ5090">
        <v>71.938568827880303</v>
      </c>
      <c r="AK5090">
        <v>11.7605073629275</v>
      </c>
      <c r="AL5090">
        <v>93.359461929714797</v>
      </c>
      <c r="AM5090">
        <v>77.751717786394394</v>
      </c>
      <c r="AN5090">
        <v>0.99999997689702702</v>
      </c>
    </row>
    <row r="5091" spans="1:40" x14ac:dyDescent="0.25">
      <c r="A5091" t="str">
        <f>"20190303153911559"</f>
        <v>20190303153911559</v>
      </c>
      <c r="B5091" t="str">
        <f>"1551598751553788"</f>
        <v>1551598751553788</v>
      </c>
      <c r="C5091" t="s">
        <v>40</v>
      </c>
      <c r="D5091">
        <v>4.924614</v>
      </c>
      <c r="E5091">
        <v>0.5342943</v>
      </c>
      <c r="F5091" t="s">
        <v>42</v>
      </c>
      <c r="G5091">
        <v>-192.75989999999999</v>
      </c>
      <c r="H5091" s="1">
        <v>-2.4508739999999998E-6</v>
      </c>
      <c r="I5091">
        <v>193.59039999999999</v>
      </c>
      <c r="J5091">
        <v>-191.3039</v>
      </c>
      <c r="K5091">
        <v>1.1147590000000001</v>
      </c>
      <c r="L5091">
        <v>205.35130000000001</v>
      </c>
      <c r="M5091">
        <v>0.1739716</v>
      </c>
      <c r="N5091">
        <v>-1.6191029999999999E-2</v>
      </c>
      <c r="O5091">
        <v>-0.98461770000000004</v>
      </c>
      <c r="P5091">
        <v>-2.4603440000000001E-2</v>
      </c>
      <c r="Q5091">
        <v>-7.3101609999999997E-2</v>
      </c>
      <c r="R5091">
        <v>-0.99702109999999999</v>
      </c>
      <c r="S5091">
        <v>-0.35908509999999999</v>
      </c>
      <c r="T5091">
        <v>-0.27798040000000002</v>
      </c>
      <c r="U5091">
        <v>-2.9797060000000002</v>
      </c>
      <c r="V5091">
        <v>0.19675889999999999</v>
      </c>
      <c r="W5091">
        <v>-6.0432819999999998E-2</v>
      </c>
      <c r="X5091">
        <v>0.9785876</v>
      </c>
      <c r="Y5091">
        <v>0.28997590000000001</v>
      </c>
      <c r="Z5091">
        <v>7.2140699999999905E-2</v>
      </c>
      <c r="AA5091">
        <v>0.95431109999999997</v>
      </c>
      <c r="AB5091">
        <v>18</v>
      </c>
      <c r="AC5091">
        <v>-1.45599999999998</v>
      </c>
      <c r="AD5091">
        <v>-1.114761450874</v>
      </c>
      <c r="AE5091">
        <v>-11.760899999999999</v>
      </c>
      <c r="AF5091">
        <v>3.44959737299535</v>
      </c>
      <c r="AG5091">
        <v>-1.114761450874</v>
      </c>
      <c r="AH5091">
        <v>11.2288111622355</v>
      </c>
      <c r="AI5091">
        <v>95.421113511010503</v>
      </c>
      <c r="AJ5091">
        <v>72.922545258609802</v>
      </c>
      <c r="AK5091">
        <v>11.7995175852776</v>
      </c>
      <c r="AL5091">
        <v>93.464656815806705</v>
      </c>
      <c r="AM5091">
        <v>78.631452387174605</v>
      </c>
      <c r="AN5091">
        <v>0.99999994066805897</v>
      </c>
    </row>
    <row r="5092" spans="1:40" x14ac:dyDescent="0.25">
      <c r="A5092" t="str">
        <f>"20190303153911582"</f>
        <v>20190303153911582</v>
      </c>
      <c r="B5092" t="str">
        <f>"1551598751573816"</f>
        <v>1551598751573816</v>
      </c>
      <c r="C5092" t="s">
        <v>40</v>
      </c>
      <c r="D5092">
        <v>4.9447660000000004</v>
      </c>
      <c r="E5092">
        <v>0.53305590000000003</v>
      </c>
      <c r="F5092" t="s">
        <v>42</v>
      </c>
      <c r="G5092">
        <v>-192.6611</v>
      </c>
      <c r="H5092" s="1">
        <v>-2.48126E-6</v>
      </c>
      <c r="I5092">
        <v>193.7225</v>
      </c>
      <c r="J5092">
        <v>-191.28790000000001</v>
      </c>
      <c r="K5092">
        <v>1.1153459999999999</v>
      </c>
      <c r="L5092">
        <v>205.15790000000001</v>
      </c>
      <c r="M5092">
        <v>0.15963920000000001</v>
      </c>
      <c r="N5092">
        <v>-1.5937429999999999E-2</v>
      </c>
      <c r="O5092">
        <v>-0.9870468</v>
      </c>
      <c r="P5092">
        <v>-2.38342E-2</v>
      </c>
      <c r="Q5092">
        <v>-7.392029E-2</v>
      </c>
      <c r="R5092">
        <v>-0.99697959999999997</v>
      </c>
      <c r="S5092">
        <v>-0.3477325</v>
      </c>
      <c r="T5092">
        <v>-0.28561639999999999</v>
      </c>
      <c r="U5092">
        <v>-2.9794459999999998</v>
      </c>
      <c r="V5092">
        <v>0.1818361</v>
      </c>
      <c r="W5092">
        <v>-6.0944690000000003E-2</v>
      </c>
      <c r="X5092">
        <v>0.98143840000000004</v>
      </c>
      <c r="Y5092">
        <v>0.2724299</v>
      </c>
      <c r="Z5092">
        <v>7.5446579999999999E-2</v>
      </c>
      <c r="AA5092">
        <v>0.95921310000000004</v>
      </c>
      <c r="AB5092">
        <v>18</v>
      </c>
      <c r="AC5092">
        <v>-1.37319999999999</v>
      </c>
      <c r="AD5092">
        <v>-1.1153484812600001</v>
      </c>
      <c r="AE5092">
        <v>-11.4354</v>
      </c>
      <c r="AF5092">
        <v>3.1517978287708299</v>
      </c>
      <c r="AG5092">
        <v>-1.1153484812600001</v>
      </c>
      <c r="AH5092">
        <v>10.9666213042601</v>
      </c>
      <c r="AI5092">
        <v>95.582763577791098</v>
      </c>
      <c r="AJ5092">
        <v>73.965393063786394</v>
      </c>
      <c r="AK5092">
        <v>11.4649297694816</v>
      </c>
      <c r="AL5092">
        <v>93.494038837799394</v>
      </c>
      <c r="AM5092">
        <v>79.503542012503004</v>
      </c>
      <c r="AN5092">
        <v>0.99999997774848204</v>
      </c>
    </row>
    <row r="5093" spans="1:40" x14ac:dyDescent="0.25">
      <c r="A5093" t="str">
        <f>"20190303153911605"</f>
        <v>20190303153911605</v>
      </c>
      <c r="B5093" t="str">
        <f>"1551598751593336"</f>
        <v>1551598751593336</v>
      </c>
      <c r="C5093" t="s">
        <v>40</v>
      </c>
      <c r="D5093">
        <v>4.8667089999999904</v>
      </c>
      <c r="E5093">
        <v>0.53218849999999995</v>
      </c>
      <c r="F5093" t="s">
        <v>42</v>
      </c>
      <c r="G5093">
        <v>-192.56659999999999</v>
      </c>
      <c r="H5093" s="1">
        <v>-2.4845819999999998E-6</v>
      </c>
      <c r="I5093">
        <v>193.78880000000001</v>
      </c>
      <c r="J5093">
        <v>-191.27449999999999</v>
      </c>
      <c r="K5093">
        <v>1.1159269999999999</v>
      </c>
      <c r="L5093">
        <v>204.9794</v>
      </c>
      <c r="M5093">
        <v>0.14742920000000001</v>
      </c>
      <c r="N5093">
        <v>-1.569181E-2</v>
      </c>
      <c r="O5093">
        <v>-0.98894820000000005</v>
      </c>
      <c r="P5093">
        <v>-2.0905529999999999E-2</v>
      </c>
      <c r="Q5093">
        <v>-7.4143340000000002E-2</v>
      </c>
      <c r="R5093">
        <v>-0.99702820000000003</v>
      </c>
      <c r="S5093">
        <v>-0.33509830000000002</v>
      </c>
      <c r="T5093">
        <v>-0.29229189999999999</v>
      </c>
      <c r="U5093">
        <v>-2.9794160000000001</v>
      </c>
      <c r="V5093">
        <v>0.1669004</v>
      </c>
      <c r="W5093">
        <v>-6.0906599999999998E-2</v>
      </c>
      <c r="X5093">
        <v>0.98409069999999998</v>
      </c>
      <c r="Y5093">
        <v>0.25648159999999998</v>
      </c>
      <c r="Z5093">
        <v>7.8345339999999999E-2</v>
      </c>
      <c r="AA5093">
        <v>0.96336869999999997</v>
      </c>
      <c r="AB5093">
        <v>18</v>
      </c>
      <c r="AC5093">
        <v>-1.2921</v>
      </c>
      <c r="AD5093">
        <v>-1.115929484582</v>
      </c>
      <c r="AE5093">
        <v>-11.1905999999999</v>
      </c>
      <c r="AF5093">
        <v>2.8995473393980702</v>
      </c>
      <c r="AG5093">
        <v>-1.115929484582</v>
      </c>
      <c r="AH5093">
        <v>10.7720595227257</v>
      </c>
      <c r="AI5093">
        <v>95.712535196528293</v>
      </c>
      <c r="AJ5093">
        <v>74.934599295470093</v>
      </c>
      <c r="AK5093">
        <v>11.2111524719413</v>
      </c>
      <c r="AL5093">
        <v>93.491852540962597</v>
      </c>
      <c r="AM5093">
        <v>80.374308985452501</v>
      </c>
      <c r="AN5093">
        <v>0.99999993163510204</v>
      </c>
    </row>
    <row r="5094" spans="1:40" x14ac:dyDescent="0.25">
      <c r="A5094" t="str">
        <f>"20190303153911619"</f>
        <v>20190303153911619</v>
      </c>
      <c r="B5094" t="str">
        <f>"1551598751613832"</f>
        <v>1551598751613832</v>
      </c>
      <c r="C5094" t="s">
        <v>40</v>
      </c>
      <c r="D5094">
        <v>4.7251589999999997</v>
      </c>
      <c r="E5094">
        <v>0.53387680000000004</v>
      </c>
      <c r="F5094" t="s">
        <v>42</v>
      </c>
      <c r="G5094">
        <v>-192.50280000000001</v>
      </c>
      <c r="H5094" s="1">
        <v>-2.3475730000000001E-6</v>
      </c>
      <c r="I5094">
        <v>193.50899999999999</v>
      </c>
      <c r="J5094">
        <v>-191.26570000000001</v>
      </c>
      <c r="K5094">
        <v>1.1163559999999999</v>
      </c>
      <c r="L5094">
        <v>204.85339999999999</v>
      </c>
      <c r="M5094">
        <v>0.13944690000000001</v>
      </c>
      <c r="N5094">
        <v>-1.5517909999999999E-2</v>
      </c>
      <c r="O5094">
        <v>-0.99010830000000005</v>
      </c>
      <c r="P5094">
        <v>-2.1212829999999998E-2</v>
      </c>
      <c r="Q5094">
        <v>-7.379811E-2</v>
      </c>
      <c r="R5094">
        <v>-0.99704789999999999</v>
      </c>
      <c r="S5094">
        <v>-0.3191833</v>
      </c>
      <c r="T5094">
        <v>-0.289987099999999</v>
      </c>
      <c r="U5094">
        <v>-2.9806979999999998</v>
      </c>
      <c r="V5094">
        <v>0.15933929999999999</v>
      </c>
      <c r="W5094">
        <v>-6.0442410000000002E-2</v>
      </c>
      <c r="X5094">
        <v>0.98537180000000002</v>
      </c>
      <c r="Y5094">
        <v>0.24355450000000001</v>
      </c>
      <c r="Z5094">
        <v>7.8113580000000002E-2</v>
      </c>
      <c r="AA5094">
        <v>0.9667365</v>
      </c>
      <c r="AB5094">
        <v>18</v>
      </c>
      <c r="AC5094">
        <v>-1.2370999999999901</v>
      </c>
      <c r="AD5094">
        <v>-1.1163583475729999</v>
      </c>
      <c r="AE5094">
        <v>-11.344399999999901</v>
      </c>
      <c r="AF5094">
        <v>2.78053185225194</v>
      </c>
      <c r="AG5094">
        <v>-1.1163583475729999</v>
      </c>
      <c r="AH5094">
        <v>10.9561529369364</v>
      </c>
      <c r="AI5094">
        <v>95.6403753877957</v>
      </c>
      <c r="AJ5094">
        <v>75.759710458627097</v>
      </c>
      <c r="AK5094">
        <v>11.3584726314379</v>
      </c>
      <c r="AL5094">
        <v>93.465207288034705</v>
      </c>
      <c r="AM5094">
        <v>80.814511606040099</v>
      </c>
      <c r="AN5094">
        <v>0.99999994084316701</v>
      </c>
    </row>
    <row r="5095" spans="1:40" x14ac:dyDescent="0.25">
      <c r="A5095" t="str">
        <f>"20190303153911635"</f>
        <v>20190303153911635</v>
      </c>
      <c r="B5095" t="str">
        <f>"1551598751623592"</f>
        <v>1551598751623592</v>
      </c>
      <c r="C5095" t="s">
        <v>40</v>
      </c>
      <c r="D5095">
        <v>4.7623439999999997</v>
      </c>
      <c r="E5095">
        <v>0.53460929999999995</v>
      </c>
      <c r="F5095" t="s">
        <v>42</v>
      </c>
      <c r="G5095">
        <v>-192.63460000000001</v>
      </c>
      <c r="H5095" s="1">
        <v>-2.001683E-6</v>
      </c>
      <c r="I5095">
        <v>192.62100000000001</v>
      </c>
      <c r="J5095">
        <v>-191.25720000000001</v>
      </c>
      <c r="K5095">
        <v>1.1168020000000001</v>
      </c>
      <c r="L5095">
        <v>204.726</v>
      </c>
      <c r="M5095">
        <v>0.13183110000000001</v>
      </c>
      <c r="N5095">
        <v>-1.534612E-2</v>
      </c>
      <c r="O5095">
        <v>-0.99115350000000002</v>
      </c>
      <c r="P5095">
        <v>-2.1536300000000001E-2</v>
      </c>
      <c r="Q5095">
        <v>-7.2785699999999995E-2</v>
      </c>
      <c r="R5095">
        <v>-0.99711539999999999</v>
      </c>
      <c r="S5095">
        <v>-0.33366390000000001</v>
      </c>
      <c r="T5095">
        <v>-0.27211210000000002</v>
      </c>
      <c r="U5095">
        <v>-2.9816440000000002</v>
      </c>
      <c r="V5095">
        <v>0.15217259999999999</v>
      </c>
      <c r="W5095">
        <v>-5.9326120000000003E-2</v>
      </c>
      <c r="X5095">
        <v>0.9865718</v>
      </c>
      <c r="Y5095">
        <v>0.24076919999999999</v>
      </c>
      <c r="Z5095">
        <v>7.2676539999999998E-2</v>
      </c>
      <c r="AA5095">
        <v>0.96785759999999998</v>
      </c>
      <c r="AB5095">
        <v>18</v>
      </c>
      <c r="AC5095">
        <v>-1.37739999999999</v>
      </c>
      <c r="AD5095">
        <v>-1.1168040016830001</v>
      </c>
      <c r="AE5095">
        <v>-12.105</v>
      </c>
      <c r="AF5095">
        <v>2.9367014524889501</v>
      </c>
      <c r="AG5095">
        <v>-1.1168040016830001</v>
      </c>
      <c r="AH5095">
        <v>11.7192419352027</v>
      </c>
      <c r="AI5095">
        <v>95.281326474858801</v>
      </c>
      <c r="AJ5095">
        <v>75.932052512779805</v>
      </c>
      <c r="AK5095">
        <v>12.1330992798641</v>
      </c>
      <c r="AL5095">
        <v>93.401133373414794</v>
      </c>
      <c r="AM5095">
        <v>81.231581465737705</v>
      </c>
      <c r="AN5095">
        <v>1.0000000026301199</v>
      </c>
    </row>
    <row r="5096" spans="1:40" x14ac:dyDescent="0.25">
      <c r="A5096" t="str">
        <f>"20190303153911649"</f>
        <v>20190303153911649</v>
      </c>
      <c r="B5096" t="str">
        <f>"1551598751644088"</f>
        <v>1551598751644088</v>
      </c>
      <c r="C5096" t="s">
        <v>40</v>
      </c>
      <c r="D5096">
        <v>4.85182</v>
      </c>
      <c r="E5096">
        <v>0.53470099999999998</v>
      </c>
      <c r="F5096" t="s">
        <v>42</v>
      </c>
      <c r="G5096">
        <v>-192.70939999999999</v>
      </c>
      <c r="H5096" s="1">
        <v>-1.757973E-6</v>
      </c>
      <c r="I5096">
        <v>192.00649999999999</v>
      </c>
      <c r="J5096">
        <v>-191.24930000000001</v>
      </c>
      <c r="K5096">
        <v>1.1172390000000001</v>
      </c>
      <c r="L5096">
        <v>204.60290000000001</v>
      </c>
      <c r="M5096">
        <v>0.1249108</v>
      </c>
      <c r="N5096">
        <v>-1.518574E-2</v>
      </c>
      <c r="O5096">
        <v>-0.99205180000000004</v>
      </c>
      <c r="P5096">
        <v>-1.3171520000000001E-2</v>
      </c>
      <c r="Q5096">
        <v>-7.0698250000000004E-2</v>
      </c>
      <c r="R5096">
        <v>-0.99741100000000005</v>
      </c>
      <c r="S5096">
        <v>-0.34048460000000003</v>
      </c>
      <c r="T5096">
        <v>-0.26184669999999999</v>
      </c>
      <c r="U5096">
        <v>-2.982208</v>
      </c>
      <c r="V5096">
        <v>0.1371116</v>
      </c>
      <c r="W5096">
        <v>-5.7048460000000002E-2</v>
      </c>
      <c r="X5096">
        <v>0.9889114</v>
      </c>
      <c r="Y5096">
        <v>0.2361972</v>
      </c>
      <c r="Z5096">
        <v>6.9679710000000006E-2</v>
      </c>
      <c r="AA5096">
        <v>0.96920360000000005</v>
      </c>
      <c r="AB5096">
        <v>18</v>
      </c>
      <c r="AC5096">
        <v>-1.46009999999998</v>
      </c>
      <c r="AD5096">
        <v>-1.1172407579729999</v>
      </c>
      <c r="AE5096">
        <v>-12.596399999999999</v>
      </c>
      <c r="AF5096">
        <v>2.9989897962486798</v>
      </c>
      <c r="AG5096">
        <v>-1.1172407579729999</v>
      </c>
      <c r="AH5096">
        <v>12.220456687342001</v>
      </c>
      <c r="AI5096">
        <v>95.0739433883206</v>
      </c>
      <c r="AJ5096">
        <v>76.211683992940607</v>
      </c>
      <c r="AK5096">
        <v>12.632566182549001</v>
      </c>
      <c r="AL5096">
        <v>93.270411769708303</v>
      </c>
      <c r="AM5096">
        <v>82.106320916155695</v>
      </c>
      <c r="AN5096">
        <v>0.99999993734644299</v>
      </c>
    </row>
    <row r="5097" spans="1:40" x14ac:dyDescent="0.25">
      <c r="A5097" t="str">
        <f>"20190303153911672"</f>
        <v>20190303153911672</v>
      </c>
      <c r="B5097" t="str">
        <f>"1551598751663608"</f>
        <v>1551598751663608</v>
      </c>
      <c r="C5097" t="s">
        <v>40</v>
      </c>
      <c r="D5097">
        <v>4.8842549999999996</v>
      </c>
      <c r="E5097">
        <v>0.53493020000000002</v>
      </c>
      <c r="F5097" t="s">
        <v>42</v>
      </c>
      <c r="G5097">
        <v>-192.66079999999999</v>
      </c>
      <c r="H5097" s="1">
        <v>-1.4277779999999999E-6</v>
      </c>
      <c r="I5097">
        <v>191.267</v>
      </c>
      <c r="J5097">
        <v>-191.238</v>
      </c>
      <c r="K5097">
        <v>1.117848</v>
      </c>
      <c r="L5097">
        <v>204.4195</v>
      </c>
      <c r="M5097">
        <v>0.1156341</v>
      </c>
      <c r="N5097">
        <v>-1.496013E-2</v>
      </c>
      <c r="O5097">
        <v>-0.99317929999999999</v>
      </c>
      <c r="P5097">
        <v>-7.6581540000000003E-3</v>
      </c>
      <c r="Q5097">
        <v>-6.8583740000000004E-2</v>
      </c>
      <c r="R5097">
        <v>-0.99761619999999995</v>
      </c>
      <c r="S5097">
        <v>-0.31603999999999999</v>
      </c>
      <c r="T5097">
        <v>-0.25014839999999999</v>
      </c>
      <c r="U5097">
        <v>-2.9858859999999998</v>
      </c>
      <c r="V5097">
        <v>0.1225212</v>
      </c>
      <c r="W5097">
        <v>-5.4798270000000003E-2</v>
      </c>
      <c r="X5097">
        <v>0.9909519</v>
      </c>
      <c r="Y5097">
        <v>0.2191555</v>
      </c>
      <c r="Z5097">
        <v>6.6393709999999995E-2</v>
      </c>
      <c r="AA5097">
        <v>0.97342839999999997</v>
      </c>
      <c r="AB5097">
        <v>18</v>
      </c>
      <c r="AC5097">
        <v>-1.4227999999999901</v>
      </c>
      <c r="AD5097">
        <v>-1.117849427778</v>
      </c>
      <c r="AE5097">
        <v>-13.1525</v>
      </c>
      <c r="AF5097">
        <v>2.9134987940249202</v>
      </c>
      <c r="AG5097">
        <v>-1.117849427778</v>
      </c>
      <c r="AH5097">
        <v>12.808258262749</v>
      </c>
      <c r="AI5097">
        <v>94.864250649409399</v>
      </c>
      <c r="AJ5097">
        <v>77.184968416574705</v>
      </c>
      <c r="AK5097">
        <v>13.182926165735999</v>
      </c>
      <c r="AL5097">
        <v>93.141283127359003</v>
      </c>
      <c r="AM5097">
        <v>82.951725197243505</v>
      </c>
      <c r="AN5097">
        <v>0.99999998147902103</v>
      </c>
    </row>
    <row r="5098" spans="1:40" x14ac:dyDescent="0.25">
      <c r="A5098" t="str">
        <f>"20190303153911694"</f>
        <v>20190303153911694</v>
      </c>
      <c r="B5098" t="str">
        <f>"1551598751683635"</f>
        <v>1551598751683635</v>
      </c>
      <c r="C5098" t="s">
        <v>40</v>
      </c>
      <c r="D5098">
        <v>4.8288180000000001</v>
      </c>
      <c r="E5098">
        <v>0.53526359999999995</v>
      </c>
      <c r="F5098" t="s">
        <v>42</v>
      </c>
      <c r="G5098">
        <v>-192.6388</v>
      </c>
      <c r="H5098" s="1">
        <v>-1.1080929999999901E-6</v>
      </c>
      <c r="I5098">
        <v>190.53540000000001</v>
      </c>
      <c r="J5098">
        <v>-191.22710000000001</v>
      </c>
      <c r="K5098">
        <v>1.1183799999999999</v>
      </c>
      <c r="L5098">
        <v>204.23490000000001</v>
      </c>
      <c r="M5098">
        <v>0.10727689999999999</v>
      </c>
      <c r="N5098">
        <v>-1.4750259999999999E-2</v>
      </c>
      <c r="O5098">
        <v>-0.9941198</v>
      </c>
      <c r="P5098">
        <v>-1.887927E-3</v>
      </c>
      <c r="Q5098">
        <v>-6.6999989999999995E-2</v>
      </c>
      <c r="R5098">
        <v>-0.99775119999999895</v>
      </c>
      <c r="S5098">
        <v>-0.3014984</v>
      </c>
      <c r="T5098">
        <v>-0.24059759999999999</v>
      </c>
      <c r="U5098">
        <v>-2.9882970000000002</v>
      </c>
      <c r="V5098">
        <v>0.10854809999999999</v>
      </c>
      <c r="W5098">
        <v>-5.3138949999999997E-2</v>
      </c>
      <c r="X5098">
        <v>0.99266989999999999</v>
      </c>
      <c r="Y5098">
        <v>0.20619770000000001</v>
      </c>
      <c r="Z5098">
        <v>6.3706349999999995E-2</v>
      </c>
      <c r="AA5098">
        <v>0.97643440000000004</v>
      </c>
      <c r="AB5098">
        <v>18</v>
      </c>
      <c r="AC5098">
        <v>-1.41169999999999</v>
      </c>
      <c r="AD5098">
        <v>-1.118381108093</v>
      </c>
      <c r="AE5098">
        <v>-13.6995</v>
      </c>
      <c r="AF5098">
        <v>2.8545270720985401</v>
      </c>
      <c r="AG5098">
        <v>-1.118381108093</v>
      </c>
      <c r="AH5098">
        <v>13.380726763635</v>
      </c>
      <c r="AI5098">
        <v>94.673089666032993</v>
      </c>
      <c r="AJ5098">
        <v>77.957539413555196</v>
      </c>
      <c r="AK5098">
        <v>13.7274524159197</v>
      </c>
      <c r="AL5098">
        <v>93.046072316301505</v>
      </c>
      <c r="AM5098">
        <v>83.759521284121206</v>
      </c>
      <c r="AN5098">
        <v>0.999999984193361</v>
      </c>
    </row>
    <row r="5099" spans="1:40" x14ac:dyDescent="0.25">
      <c r="A5099" t="str">
        <f>"20190303153911708"</f>
        <v>20190303153911708</v>
      </c>
      <c r="B5099" t="str">
        <f>"1551598751704131"</f>
        <v>1551598751704131</v>
      </c>
      <c r="C5099" t="s">
        <v>40</v>
      </c>
      <c r="D5099">
        <v>4.8699669999999999</v>
      </c>
      <c r="E5099">
        <v>0.53565750000000001</v>
      </c>
      <c r="F5099" t="s">
        <v>42</v>
      </c>
      <c r="G5099">
        <v>-192.60249999999999</v>
      </c>
      <c r="H5099" s="1">
        <v>-8.2408299999999898E-7</v>
      </c>
      <c r="I5099">
        <v>189.89590000000001</v>
      </c>
      <c r="J5099">
        <v>-191.22059999999999</v>
      </c>
      <c r="K5099">
        <v>1.118665</v>
      </c>
      <c r="L5099">
        <v>204.119</v>
      </c>
      <c r="M5099">
        <v>0.1024369</v>
      </c>
      <c r="N5099">
        <v>-1.462663E-2</v>
      </c>
      <c r="O5099">
        <v>-0.99463210000000002</v>
      </c>
      <c r="P5099">
        <v>2.3608160000000001E-4</v>
      </c>
      <c r="Q5099">
        <v>-6.6335000000000005E-2</v>
      </c>
      <c r="R5099">
        <v>-0.99779790000000002</v>
      </c>
      <c r="S5099">
        <v>-0.28684999999999999</v>
      </c>
      <c r="T5099">
        <v>-0.23325029999999999</v>
      </c>
      <c r="U5099">
        <v>-2.9905550000000001</v>
      </c>
      <c r="V5099">
        <v>0.10165200000000001</v>
      </c>
      <c r="W5099">
        <v>-5.2464810000000001E-2</v>
      </c>
      <c r="X5099">
        <v>0.99343559999999997</v>
      </c>
      <c r="Y5099">
        <v>0.19664019999999999</v>
      </c>
      <c r="Z5099">
        <v>6.1549659999999999E-2</v>
      </c>
      <c r="AA5099">
        <v>0.97854189999999996</v>
      </c>
      <c r="AB5099">
        <v>18</v>
      </c>
      <c r="AC5099">
        <v>-1.3818999999999999</v>
      </c>
      <c r="AD5099">
        <v>-1.1186658240830001</v>
      </c>
      <c r="AE5099">
        <v>-14.223100000000001</v>
      </c>
      <c r="AF5099">
        <v>2.8145070976911901</v>
      </c>
      <c r="AG5099">
        <v>-1.1186658240830001</v>
      </c>
      <c r="AH5099">
        <v>13.921377973438601</v>
      </c>
      <c r="AI5099">
        <v>94.503458717199194</v>
      </c>
      <c r="AJ5099">
        <v>78.570480284656696</v>
      </c>
      <c r="AK5099">
        <v>14.247021727654801</v>
      </c>
      <c r="AL5099">
        <v>93.007392968202893</v>
      </c>
      <c r="AM5099">
        <v>84.157617772652401</v>
      </c>
      <c r="AN5099">
        <v>0.99999998836984705</v>
      </c>
    </row>
    <row r="5100" spans="1:40" x14ac:dyDescent="0.25">
      <c r="A5100" t="str">
        <f>"20190303153911726"</f>
        <v>20190303153911726</v>
      </c>
      <c r="B5100" t="str">
        <f>"1551598751713891"</f>
        <v>1551598751713891</v>
      </c>
      <c r="C5100" t="s">
        <v>40</v>
      </c>
      <c r="D5100">
        <v>4.9011969999999998</v>
      </c>
      <c r="E5100">
        <v>0.53585799999999995</v>
      </c>
      <c r="F5100" t="s">
        <v>42</v>
      </c>
      <c r="G5100">
        <v>-192.60470000000001</v>
      </c>
      <c r="H5100" s="1">
        <v>-4.7250779999999997E-6</v>
      </c>
      <c r="I5100">
        <v>189.51400000000001</v>
      </c>
      <c r="J5100">
        <v>-191.2124</v>
      </c>
      <c r="K5100">
        <v>1.1189739999999999</v>
      </c>
      <c r="L5100">
        <v>203.97149999999999</v>
      </c>
      <c r="M5100">
        <v>9.6893569999999998E-2</v>
      </c>
      <c r="N5100">
        <v>-1.4480150000000001E-2</v>
      </c>
      <c r="O5100">
        <v>-0.99518960000000001</v>
      </c>
      <c r="P5100">
        <v>1.548125E-2</v>
      </c>
      <c r="Q5100">
        <v>-6.5905619999999998E-2</v>
      </c>
      <c r="R5100">
        <v>-0.99770610000000004</v>
      </c>
      <c r="S5100">
        <v>-0.28349299999999999</v>
      </c>
      <c r="T5100">
        <v>-0.229128</v>
      </c>
      <c r="U5100">
        <v>-2.991425</v>
      </c>
      <c r="V5100">
        <v>8.0980120000000003E-2</v>
      </c>
      <c r="W5100">
        <v>-5.1957379999999997E-2</v>
      </c>
      <c r="X5100">
        <v>0.99536060000000004</v>
      </c>
      <c r="Y5100">
        <v>0.19007260000000001</v>
      </c>
      <c r="Z5100">
        <v>6.0456139999999998E-2</v>
      </c>
      <c r="AA5100">
        <v>0.97990690000000003</v>
      </c>
      <c r="AB5100">
        <v>18</v>
      </c>
      <c r="AC5100">
        <v>-1.3923000000000001</v>
      </c>
      <c r="AD5100">
        <v>-1.1189787250779999</v>
      </c>
      <c r="AE5100">
        <v>-14.4574999999999</v>
      </c>
      <c r="AF5100">
        <v>2.7702902025433702</v>
      </c>
      <c r="AG5100">
        <v>-1.1189787250779999</v>
      </c>
      <c r="AH5100">
        <v>14.170433694852401</v>
      </c>
      <c r="AI5100">
        <v>94.431487553584702</v>
      </c>
      <c r="AJ5100">
        <v>78.938310350137101</v>
      </c>
      <c r="AK5100">
        <v>14.4819823330127</v>
      </c>
      <c r="AL5100">
        <v>92.978279517877795</v>
      </c>
      <c r="AM5100">
        <v>85.348798723167704</v>
      </c>
      <c r="AN5100">
        <v>1.0000000366020101</v>
      </c>
    </row>
    <row r="5101" spans="1:40" x14ac:dyDescent="0.25">
      <c r="A5101" t="str">
        <f>"20190303153911750"</f>
        <v>20190303153911750</v>
      </c>
      <c r="B5101" t="str">
        <f>"1551598751744147"</f>
        <v>1551598751744147</v>
      </c>
      <c r="C5101" t="s">
        <v>40</v>
      </c>
      <c r="D5101">
        <v>4.8932760000000002</v>
      </c>
      <c r="E5101">
        <v>0.53639780000000004</v>
      </c>
      <c r="F5101" t="s">
        <v>42</v>
      </c>
      <c r="G5101">
        <v>-192.392</v>
      </c>
      <c r="H5101" s="1">
        <v>-4.5871469999999999E-6</v>
      </c>
      <c r="I5101">
        <v>189.21950000000001</v>
      </c>
      <c r="J5101">
        <v>-191.20240000000001</v>
      </c>
      <c r="K5101">
        <v>1.1193679999999999</v>
      </c>
      <c r="L5101">
        <v>203.78720000000001</v>
      </c>
      <c r="M5101">
        <v>9.076919E-2</v>
      </c>
      <c r="N5101">
        <v>-1.431004E-2</v>
      </c>
      <c r="O5101">
        <v>-0.99576929999999997</v>
      </c>
      <c r="P5101">
        <v>2.2410579999999999E-2</v>
      </c>
      <c r="Q5101">
        <v>-6.6223760000000007E-2</v>
      </c>
      <c r="R5101">
        <v>-0.99755329999999998</v>
      </c>
      <c r="S5101">
        <v>-0.23953250000000001</v>
      </c>
      <c r="T5101">
        <v>-0.2272265</v>
      </c>
      <c r="U5101">
        <v>-2.9956209999999999</v>
      </c>
      <c r="V5101">
        <v>6.7994490000000005E-2</v>
      </c>
      <c r="W5101">
        <v>-5.2290400000000001E-2</v>
      </c>
      <c r="X5101">
        <v>0.99631449999999999</v>
      </c>
      <c r="Y5101">
        <v>0.16961099999999901</v>
      </c>
      <c r="Z5101">
        <v>6.0172009999999998E-2</v>
      </c>
      <c r="AA5101">
        <v>0.9836724</v>
      </c>
      <c r="AB5101">
        <v>18</v>
      </c>
      <c r="AC5101">
        <v>-1.18959999999998</v>
      </c>
      <c r="AD5101">
        <v>-1.1193725871469999</v>
      </c>
      <c r="AE5101">
        <v>-14.5677</v>
      </c>
      <c r="AF5101">
        <v>2.4925028349045801</v>
      </c>
      <c r="AG5101">
        <v>-1.1193725871469999</v>
      </c>
      <c r="AH5101">
        <v>14.315598032721001</v>
      </c>
      <c r="AI5101">
        <v>94.405000995569296</v>
      </c>
      <c r="AJ5101">
        <v>80.123185317341907</v>
      </c>
      <c r="AK5101">
        <v>14.5740149720422</v>
      </c>
      <c r="AL5101">
        <v>92.997386061325102</v>
      </c>
      <c r="AM5101">
        <v>86.095845333621398</v>
      </c>
      <c r="AN5101">
        <v>1.0000000597563801</v>
      </c>
    </row>
    <row r="5102" spans="1:40" x14ac:dyDescent="0.25">
      <c r="A5102" t="str">
        <f>"20190303153911772"</f>
        <v>20190303153911772</v>
      </c>
      <c r="B5102" t="str">
        <f>"1551598751763667"</f>
        <v>1551598751763667</v>
      </c>
      <c r="C5102" t="s">
        <v>40</v>
      </c>
      <c r="D5102">
        <v>4.9380649999999999</v>
      </c>
      <c r="E5102">
        <v>0.53685869999999902</v>
      </c>
      <c r="F5102" t="s">
        <v>42</v>
      </c>
      <c r="G5102">
        <v>-192.303</v>
      </c>
      <c r="H5102" s="1">
        <v>-4.4965780000000001E-6</v>
      </c>
      <c r="I5102">
        <v>188.99969999999999</v>
      </c>
      <c r="J5102">
        <v>-191.19280000000001</v>
      </c>
      <c r="K5102">
        <v>1.1197950000000001</v>
      </c>
      <c r="L5102">
        <v>203.60659999999999</v>
      </c>
      <c r="M5102">
        <v>8.5707630000000007E-2</v>
      </c>
      <c r="N5102">
        <v>-1.4161429999999999E-2</v>
      </c>
      <c r="O5102">
        <v>-0.99621979999999999</v>
      </c>
      <c r="P5102">
        <v>2.838129E-2</v>
      </c>
      <c r="Q5102">
        <v>-6.5933110000000003E-2</v>
      </c>
      <c r="R5102">
        <v>-0.99742039999999998</v>
      </c>
      <c r="S5102">
        <v>-0.22308349999999999</v>
      </c>
      <c r="T5102">
        <v>-0.2268915</v>
      </c>
      <c r="U5102">
        <v>-2.9973450000000001</v>
      </c>
      <c r="V5102">
        <v>5.7028040000000002E-2</v>
      </c>
      <c r="W5102">
        <v>-5.2028409999999997E-2</v>
      </c>
      <c r="X5102">
        <v>0.99701600000000001</v>
      </c>
      <c r="Y5102">
        <v>0.1591902</v>
      </c>
      <c r="Z5102">
        <v>6.0307199999999998E-2</v>
      </c>
      <c r="AA5102">
        <v>0.98540430000000001</v>
      </c>
      <c r="AB5102">
        <v>18</v>
      </c>
      <c r="AC5102">
        <v>-1.1101999999999901</v>
      </c>
      <c r="AD5102">
        <v>-1.119799496578</v>
      </c>
      <c r="AE5102">
        <v>-14.6068999999999</v>
      </c>
      <c r="AF5102">
        <v>2.34446265408583</v>
      </c>
      <c r="AG5102">
        <v>-1.119799496578</v>
      </c>
      <c r="AH5102">
        <v>14.3739861046013</v>
      </c>
      <c r="AI5102">
        <v>94.396739660762407</v>
      </c>
      <c r="AJ5102">
        <v>80.736369497661499</v>
      </c>
      <c r="AK5102">
        <v>14.6069138624218</v>
      </c>
      <c r="AL5102">
        <v>92.982354772993702</v>
      </c>
      <c r="AM5102">
        <v>86.726321742132001</v>
      </c>
      <c r="AN5102">
        <v>1.00000002852468</v>
      </c>
    </row>
    <row r="5103" spans="1:40" x14ac:dyDescent="0.25">
      <c r="A5103" t="str">
        <f>"20190303153911793"</f>
        <v>20190303153911793</v>
      </c>
      <c r="B5103" t="str">
        <f>"1551598751783694"</f>
        <v>1551598751783694</v>
      </c>
      <c r="C5103" t="s">
        <v>40</v>
      </c>
      <c r="D5103">
        <v>4.9059689999999998</v>
      </c>
      <c r="E5103">
        <v>0.53735200000000005</v>
      </c>
      <c r="F5103" t="s">
        <v>42</v>
      </c>
      <c r="G5103">
        <v>-192.23079999999999</v>
      </c>
      <c r="H5103" s="1">
        <v>-4.3756619999999997E-6</v>
      </c>
      <c r="I5103">
        <v>188.68209999999999</v>
      </c>
      <c r="J5103">
        <v>-191.1831</v>
      </c>
      <c r="K5103">
        <v>1.1202219999999901</v>
      </c>
      <c r="L5103">
        <v>203.4264</v>
      </c>
      <c r="M5103">
        <v>8.1372249999999993E-2</v>
      </c>
      <c r="N5103">
        <v>-1.4033510000000001E-2</v>
      </c>
      <c r="O5103">
        <v>-0.99658519999999995</v>
      </c>
      <c r="P5103">
        <v>3.4090389999999998E-2</v>
      </c>
      <c r="Q5103">
        <v>-6.4882209999999996E-2</v>
      </c>
      <c r="R5103">
        <v>-0.9973109</v>
      </c>
      <c r="S5103">
        <v>-0.20857239999999999</v>
      </c>
      <c r="T5103">
        <v>-0.22500129999999999</v>
      </c>
      <c r="U5103">
        <v>-2.9987949999999999</v>
      </c>
      <c r="V5103">
        <v>4.7047499999999999E-2</v>
      </c>
      <c r="W5103">
        <v>-5.1013830000000003E-2</v>
      </c>
      <c r="X5103">
        <v>0.99758919999999995</v>
      </c>
      <c r="Y5103">
        <v>0.15011859999999999</v>
      </c>
      <c r="Z5103">
        <v>5.9893929999999998E-2</v>
      </c>
      <c r="AA5103">
        <v>0.98685210000000001</v>
      </c>
      <c r="AB5103">
        <v>18</v>
      </c>
      <c r="AC5103">
        <v>-1.0476999999999901</v>
      </c>
      <c r="AD5103">
        <v>-1.1202263756619999</v>
      </c>
      <c r="AE5103">
        <v>-14.744300000000001</v>
      </c>
      <c r="AF5103">
        <v>2.2313041956841202</v>
      </c>
      <c r="AG5103">
        <v>-1.1202263756619999</v>
      </c>
      <c r="AH5103">
        <v>14.526698982854301</v>
      </c>
      <c r="AI5103">
        <v>94.358719338585104</v>
      </c>
      <c r="AJ5103">
        <v>81.267603275705198</v>
      </c>
      <c r="AK5103">
        <v>14.7396950065077</v>
      </c>
      <c r="AL5103">
        <v>92.924146265492894</v>
      </c>
      <c r="AM5103">
        <v>87.299863176347699</v>
      </c>
      <c r="AN5103">
        <v>1.0000000450320701</v>
      </c>
    </row>
    <row r="5104" spans="1:40" x14ac:dyDescent="0.25">
      <c r="A5104" t="str">
        <f>"20190303153911817"</f>
        <v>20190303153911817</v>
      </c>
      <c r="B5104" t="str">
        <f>"1551598751813951"</f>
        <v>1551598751813951</v>
      </c>
      <c r="C5104" t="s">
        <v>40</v>
      </c>
      <c r="D5104">
        <v>4.8477199999999998</v>
      </c>
      <c r="E5104">
        <v>0.53780150000000004</v>
      </c>
      <c r="F5104" t="s">
        <v>42</v>
      </c>
      <c r="G5104">
        <v>-192.17</v>
      </c>
      <c r="H5104" s="1">
        <v>-4.2233760000000003E-6</v>
      </c>
      <c r="I5104">
        <v>188.2663</v>
      </c>
      <c r="J5104">
        <v>-191.173</v>
      </c>
      <c r="K5104">
        <v>1.1205609999999999</v>
      </c>
      <c r="L5104">
        <v>203.24170000000001</v>
      </c>
      <c r="M5104">
        <v>7.7479679999999995E-2</v>
      </c>
      <c r="N5104">
        <v>-1.3922759999999999E-2</v>
      </c>
      <c r="O5104">
        <v>-0.99689689999999997</v>
      </c>
      <c r="P5104">
        <v>3.9128120000000002E-2</v>
      </c>
      <c r="Q5104">
        <v>-6.2984020000000002E-2</v>
      </c>
      <c r="R5104">
        <v>-0.99724729999999995</v>
      </c>
      <c r="S5104">
        <v>-0.1953125</v>
      </c>
      <c r="T5104">
        <v>-0.22170519999999999</v>
      </c>
      <c r="U5104">
        <v>-3.0003660000000001</v>
      </c>
      <c r="V5104">
        <v>3.8170049999999997E-2</v>
      </c>
      <c r="W5104">
        <v>-4.916562E-2</v>
      </c>
      <c r="X5104">
        <v>0.99806099999999998</v>
      </c>
      <c r="Y5104">
        <v>0.14188589999999901</v>
      </c>
      <c r="Z5104">
        <v>5.8982710000000001E-2</v>
      </c>
      <c r="AA5104">
        <v>0.98812420000000001</v>
      </c>
      <c r="AB5104">
        <v>18</v>
      </c>
      <c r="AC5104">
        <v>-0.99699999999998501</v>
      </c>
      <c r="AD5104">
        <v>-1.120565223376</v>
      </c>
      <c r="AE5104">
        <v>-14.9754</v>
      </c>
      <c r="AF5104">
        <v>2.142460929776</v>
      </c>
      <c r="AG5104">
        <v>-1.120565223376</v>
      </c>
      <c r="AH5104">
        <v>14.770781502173399</v>
      </c>
      <c r="AI5104">
        <v>94.293596094337403</v>
      </c>
      <c r="AJ5104">
        <v>81.746962478716995</v>
      </c>
      <c r="AK5104">
        <v>14.9673575303192</v>
      </c>
      <c r="AL5104">
        <v>92.818118696523797</v>
      </c>
      <c r="AM5104">
        <v>87.809835809140495</v>
      </c>
      <c r="AN5104">
        <v>0.99999998531399303</v>
      </c>
    </row>
    <row r="5105" spans="1:40" x14ac:dyDescent="0.25">
      <c r="A5105" t="str">
        <f>"20190303153911839"</f>
        <v>20190303153911839</v>
      </c>
      <c r="B5105" t="str">
        <f>"1551598751833471"</f>
        <v>1551598751833471</v>
      </c>
      <c r="C5105" t="s">
        <v>40</v>
      </c>
      <c r="D5105">
        <v>4.9139150000000003</v>
      </c>
      <c r="E5105">
        <v>0.50907609999999903</v>
      </c>
      <c r="F5105" t="s">
        <v>42</v>
      </c>
      <c r="G5105">
        <v>-192.13800000000001</v>
      </c>
      <c r="H5105" s="1">
        <v>-3.9502169999999997E-6</v>
      </c>
      <c r="I5105">
        <v>187.4802</v>
      </c>
      <c r="J5105">
        <v>-191.16329999999999</v>
      </c>
      <c r="K5105">
        <v>1.1207750000000001</v>
      </c>
      <c r="L5105">
        <v>203.06360000000001</v>
      </c>
      <c r="M5105">
        <v>7.4205999999999994E-2</v>
      </c>
      <c r="N5105">
        <v>-1.3831029999999999E-2</v>
      </c>
      <c r="O5105">
        <v>-0.99714709999999995</v>
      </c>
      <c r="P5105">
        <v>4.372152E-2</v>
      </c>
      <c r="Q5105">
        <v>-6.210015E-2</v>
      </c>
      <c r="R5105">
        <v>-0.997112</v>
      </c>
      <c r="S5105">
        <v>-0.18379210000000001</v>
      </c>
      <c r="T5105">
        <v>-0.2134306</v>
      </c>
      <c r="U5105">
        <v>-3.0020289999999998</v>
      </c>
      <c r="V5105">
        <v>3.032932E-2</v>
      </c>
      <c r="W5105">
        <v>-4.8339319999999998E-2</v>
      </c>
      <c r="X5105">
        <v>0.99837039999999999</v>
      </c>
      <c r="Y5105">
        <v>0.1348366</v>
      </c>
      <c r="Z5105">
        <v>5.6399449999999997E-2</v>
      </c>
      <c r="AA5105">
        <v>0.98926139999999996</v>
      </c>
      <c r="AB5105">
        <v>18</v>
      </c>
      <c r="AC5105">
        <v>-0.974700000000012</v>
      </c>
      <c r="AD5105">
        <v>-1.120778950217</v>
      </c>
      <c r="AE5105">
        <v>-15.583399999999999</v>
      </c>
      <c r="AF5105">
        <v>2.1175935342777201</v>
      </c>
      <c r="AG5105">
        <v>-1.120778950217</v>
      </c>
      <c r="AH5105">
        <v>15.3888006930285</v>
      </c>
      <c r="AI5105">
        <v>94.126791917461304</v>
      </c>
      <c r="AJ5105">
        <v>82.164954782038606</v>
      </c>
      <c r="AK5105">
        <v>15.5741945089118</v>
      </c>
      <c r="AL5105">
        <v>92.770718769368798</v>
      </c>
      <c r="AM5105">
        <v>88.259956669827801</v>
      </c>
      <c r="AN5105">
        <v>1.00000000655294</v>
      </c>
    </row>
    <row r="5106" spans="1:40" x14ac:dyDescent="0.25">
      <c r="A5106" t="str">
        <f>"20190303153911861"</f>
        <v>20190303153911861</v>
      </c>
      <c r="B5106" t="str">
        <f>"1551598751853967"</f>
        <v>1551598751853967</v>
      </c>
      <c r="C5106" t="s">
        <v>40</v>
      </c>
      <c r="D5106">
        <v>4.8839829999999997</v>
      </c>
      <c r="E5106">
        <v>0.5091369</v>
      </c>
      <c r="F5106" t="s">
        <v>42</v>
      </c>
      <c r="G5106">
        <v>-190.6901</v>
      </c>
      <c r="H5106" s="1">
        <v>-4.2076899999999997E-6</v>
      </c>
      <c r="I5106">
        <v>178.99160000000001</v>
      </c>
      <c r="J5106">
        <v>-191.1534</v>
      </c>
      <c r="K5106">
        <v>1.120897</v>
      </c>
      <c r="L5106">
        <v>202.88159999999999</v>
      </c>
      <c r="M5106">
        <v>7.1333869999999994E-2</v>
      </c>
      <c r="N5106">
        <v>-1.3749829999999999E-2</v>
      </c>
      <c r="O5106">
        <v>-0.99735779999999996</v>
      </c>
      <c r="P5106">
        <v>4.7180189999999997E-2</v>
      </c>
      <c r="Q5106">
        <v>-6.1680209999999999E-2</v>
      </c>
      <c r="R5106">
        <v>-0.99698070000000005</v>
      </c>
      <c r="S5106">
        <v>5.892944E-2</v>
      </c>
      <c r="T5106">
        <v>-0.13955899999999999</v>
      </c>
      <c r="U5106">
        <v>-2.9974370000000001</v>
      </c>
      <c r="V5106">
        <v>2.4010299999999998E-2</v>
      </c>
      <c r="W5106">
        <v>-4.7982230000000001E-2</v>
      </c>
      <c r="X5106">
        <v>0.99855959999999999</v>
      </c>
      <c r="Y5106">
        <v>5.1709709999999999E-2</v>
      </c>
      <c r="Z5106">
        <v>3.2566169999999998E-2</v>
      </c>
      <c r="AA5106">
        <v>0.99813099999999999</v>
      </c>
      <c r="AB5106">
        <v>18</v>
      </c>
      <c r="AC5106">
        <v>0.46330000000000299</v>
      </c>
      <c r="AD5106">
        <v>-1.12090120769</v>
      </c>
      <c r="AE5106">
        <v>-23.889999999999901</v>
      </c>
      <c r="AF5106">
        <v>1.23948002926798</v>
      </c>
      <c r="AG5106">
        <v>-1.12090120769</v>
      </c>
      <c r="AH5106">
        <v>23.809785119424099</v>
      </c>
      <c r="AI5106">
        <v>92.691703111161004</v>
      </c>
      <c r="AJ5106">
        <v>87.020009781929105</v>
      </c>
      <c r="AK5106">
        <v>23.868359761271901</v>
      </c>
      <c r="AL5106">
        <v>92.7502351807791</v>
      </c>
      <c r="AM5106">
        <v>88.622592157204906</v>
      </c>
      <c r="AN5106">
        <v>1.0000000318270099</v>
      </c>
    </row>
    <row r="5107" spans="1:40" x14ac:dyDescent="0.25">
      <c r="A5107" t="str">
        <f>"20190303153911884"</f>
        <v>20190303153911884</v>
      </c>
      <c r="B5107" t="str">
        <f>"1551598751873487"</f>
        <v>1551598751873487</v>
      </c>
      <c r="C5107" t="s">
        <v>40</v>
      </c>
      <c r="D5107">
        <v>4.8534509999999997</v>
      </c>
      <c r="E5107">
        <v>0.51016130000000004</v>
      </c>
      <c r="F5107" t="s">
        <v>42</v>
      </c>
      <c r="G5107">
        <v>-190.6095</v>
      </c>
      <c r="H5107" s="1">
        <v>-4.280826E-6</v>
      </c>
      <c r="I5107">
        <v>179.24850000000001</v>
      </c>
      <c r="J5107">
        <v>-191.1438</v>
      </c>
      <c r="K5107">
        <v>1.1209519999999999</v>
      </c>
      <c r="L5107">
        <v>202.70259999999999</v>
      </c>
      <c r="M5107">
        <v>6.892152E-2</v>
      </c>
      <c r="N5107">
        <v>-1.3682059999999999E-2</v>
      </c>
      <c r="O5107">
        <v>-0.99752839999999998</v>
      </c>
      <c r="P5107">
        <v>5.0807610000000003E-2</v>
      </c>
      <c r="Q5107">
        <v>-6.3494419999999996E-2</v>
      </c>
      <c r="R5107">
        <v>-0.99668829999999997</v>
      </c>
      <c r="S5107">
        <v>6.8984989999999996E-2</v>
      </c>
      <c r="T5107">
        <v>-0.1421471</v>
      </c>
      <c r="U5107">
        <v>-2.9970249999999998</v>
      </c>
      <c r="V5107">
        <v>1.796379E-2</v>
      </c>
      <c r="W5107">
        <v>-4.9853960000000003E-2</v>
      </c>
      <c r="X5107">
        <v>0.99859489999999995</v>
      </c>
      <c r="Y5107">
        <v>4.5946420000000002E-2</v>
      </c>
      <c r="Z5107">
        <v>3.3515719999999999E-2</v>
      </c>
      <c r="AA5107">
        <v>0.99838150000000003</v>
      </c>
      <c r="AB5107">
        <v>18</v>
      </c>
      <c r="AC5107">
        <v>0.534300000000001</v>
      </c>
      <c r="AD5107">
        <v>-1.1209562808260001</v>
      </c>
      <c r="AE5107">
        <v>-23.454099999999901</v>
      </c>
      <c r="AF5107">
        <v>1.0811457703523</v>
      </c>
      <c r="AG5107">
        <v>-1.1209562808260001</v>
      </c>
      <c r="AH5107">
        <v>23.381764288983799</v>
      </c>
      <c r="AI5107">
        <v>92.741817671482707</v>
      </c>
      <c r="AJ5107">
        <v>87.352595012734398</v>
      </c>
      <c r="AK5107">
        <v>23.433572506680999</v>
      </c>
      <c r="AL5107">
        <v>92.857606216774897</v>
      </c>
      <c r="AM5107">
        <v>88.969413574332705</v>
      </c>
      <c r="AN5107">
        <v>0.99999994469242603</v>
      </c>
    </row>
    <row r="5108" spans="1:40" x14ac:dyDescent="0.25">
      <c r="A5108" t="str">
        <f>"20190303153911905"</f>
        <v>20190303153911905</v>
      </c>
      <c r="B5108" t="str">
        <f>"1551598751893983"</f>
        <v>1551598751893983</v>
      </c>
      <c r="C5108" t="s">
        <v>40</v>
      </c>
      <c r="D5108">
        <v>4.9774339999999997</v>
      </c>
      <c r="E5108">
        <v>0.50990179999999996</v>
      </c>
      <c r="F5108" t="s">
        <v>42</v>
      </c>
      <c r="G5108">
        <v>-190.58709999999999</v>
      </c>
      <c r="H5108" s="1">
        <v>-4.3790659999999996E-6</v>
      </c>
      <c r="I5108">
        <v>179.5488</v>
      </c>
      <c r="J5108">
        <v>-191.13460000000001</v>
      </c>
      <c r="K5108">
        <v>1.1210059999999999</v>
      </c>
      <c r="L5108">
        <v>202.5307</v>
      </c>
      <c r="M5108">
        <v>6.6906270000000004E-2</v>
      </c>
      <c r="N5108">
        <v>-1.3627719999999999E-2</v>
      </c>
      <c r="O5108">
        <v>-0.99766650000000001</v>
      </c>
      <c r="P5108">
        <v>5.5115770000000001E-2</v>
      </c>
      <c r="Q5108">
        <v>-6.6394369999999994E-2</v>
      </c>
      <c r="R5108">
        <v>-0.99627060000000001</v>
      </c>
      <c r="S5108">
        <v>7.2052000000000005E-2</v>
      </c>
      <c r="T5108">
        <v>-0.1450989</v>
      </c>
      <c r="U5108">
        <v>-2.9970699999999999</v>
      </c>
      <c r="V5108">
        <v>1.162637E-2</v>
      </c>
      <c r="W5108">
        <v>-5.2801250000000001E-2</v>
      </c>
      <c r="X5108">
        <v>0.99853740000000002</v>
      </c>
      <c r="Y5108">
        <v>4.2909360000000001E-2</v>
      </c>
      <c r="Z5108">
        <v>3.456E-2</v>
      </c>
      <c r="AA5108">
        <v>0.99848099999999995</v>
      </c>
      <c r="AB5108">
        <v>18</v>
      </c>
      <c r="AC5108">
        <v>0.54750000000001298</v>
      </c>
      <c r="AD5108">
        <v>-1.121010379066</v>
      </c>
      <c r="AE5108">
        <v>-22.9819</v>
      </c>
      <c r="AF5108">
        <v>0.98915042752246796</v>
      </c>
      <c r="AG5108">
        <v>-1.121010379066</v>
      </c>
      <c r="AH5108">
        <v>22.912544014821702</v>
      </c>
      <c r="AI5108">
        <v>92.798395588491005</v>
      </c>
      <c r="AJ5108">
        <v>87.528036343430799</v>
      </c>
      <c r="AK5108">
        <v>22.961266429998599</v>
      </c>
      <c r="AL5108">
        <v>93.026696154547494</v>
      </c>
      <c r="AM5108">
        <v>89.332912485973594</v>
      </c>
      <c r="AN5108">
        <v>1.00000004183984</v>
      </c>
    </row>
    <row r="5109" spans="1:40" x14ac:dyDescent="0.25">
      <c r="A5109" t="str">
        <f>"20190303153911926"</f>
        <v>20190303153911926</v>
      </c>
      <c r="B5109" t="str">
        <f>"1551598751913503"</f>
        <v>1551598751913503</v>
      </c>
      <c r="C5109" t="s">
        <v>40</v>
      </c>
      <c r="D5109">
        <v>4.9438019999999998</v>
      </c>
      <c r="E5109">
        <v>0.50985459999999905</v>
      </c>
      <c r="F5109" t="s">
        <v>42</v>
      </c>
      <c r="G5109">
        <v>-190.464</v>
      </c>
      <c r="H5109" s="1">
        <v>-4.3571670000000001E-6</v>
      </c>
      <c r="I5109">
        <v>179.54859999999999</v>
      </c>
      <c r="J5109">
        <v>-191.12559999999999</v>
      </c>
      <c r="K5109">
        <v>1.1210709999999999</v>
      </c>
      <c r="L5109">
        <v>202.36330000000001</v>
      </c>
      <c r="M5109">
        <v>6.5153909999999995E-2</v>
      </c>
      <c r="N5109">
        <v>-1.358323E-2</v>
      </c>
      <c r="O5109">
        <v>-0.99778290000000003</v>
      </c>
      <c r="P5109">
        <v>5.9017199999999999E-2</v>
      </c>
      <c r="Q5109">
        <v>-6.8962919999999997E-2</v>
      </c>
      <c r="R5109">
        <v>-0.99587230000000004</v>
      </c>
      <c r="S5109">
        <v>8.7432860000000001E-2</v>
      </c>
      <c r="T5109">
        <v>-0.14616989999999999</v>
      </c>
      <c r="U5109">
        <v>-2.996658</v>
      </c>
      <c r="V5109">
        <v>5.9623380000000002E-3</v>
      </c>
      <c r="W5109">
        <v>-5.540987E-2</v>
      </c>
      <c r="X5109">
        <v>0.9984459</v>
      </c>
      <c r="Y5109">
        <v>3.6032399999999999E-2</v>
      </c>
      <c r="Z5109">
        <v>3.4979709999999997E-2</v>
      </c>
      <c r="AA5109">
        <v>0.99873820000000002</v>
      </c>
      <c r="AB5109">
        <v>18</v>
      </c>
      <c r="AC5109">
        <v>0.66159999999996399</v>
      </c>
      <c r="AD5109">
        <v>-1.121075357167</v>
      </c>
      <c r="AE5109">
        <v>-22.814699999999998</v>
      </c>
      <c r="AF5109">
        <v>0.82442093059066601</v>
      </c>
      <c r="AG5109">
        <v>-1.121075357167</v>
      </c>
      <c r="AH5109">
        <v>22.754428756121399</v>
      </c>
      <c r="AI5109">
        <v>92.818746814488193</v>
      </c>
      <c r="AJ5109">
        <v>87.9250110923563</v>
      </c>
      <c r="AK5109">
        <v>22.796940756264799</v>
      </c>
      <c r="AL5109">
        <v>93.176378462587095</v>
      </c>
      <c r="AM5109">
        <v>89.657855530473498</v>
      </c>
      <c r="AN5109">
        <v>1.00000000919732</v>
      </c>
    </row>
    <row r="5110" spans="1:40" x14ac:dyDescent="0.25">
      <c r="A5110" t="str">
        <f>"20190303153911950"</f>
        <v>20190303153911950</v>
      </c>
      <c r="B5110" t="str">
        <f>"1551598751943759"</f>
        <v>1551598751943759</v>
      </c>
      <c r="C5110" t="s">
        <v>40</v>
      </c>
      <c r="D5110">
        <v>4.9803980000000001</v>
      </c>
      <c r="E5110">
        <v>0.51104329999999998</v>
      </c>
      <c r="F5110" t="s">
        <v>42</v>
      </c>
      <c r="G5110">
        <v>-190.376</v>
      </c>
      <c r="H5110" s="1">
        <v>-2.1779809999999999E-7</v>
      </c>
      <c r="I5110">
        <v>179.86359999999999</v>
      </c>
      <c r="J5110">
        <v>-191.1157</v>
      </c>
      <c r="K5110">
        <v>1.1211519999999999</v>
      </c>
      <c r="L5110">
        <v>202.17789999999999</v>
      </c>
      <c r="M5110">
        <v>6.3407959999999999E-2</v>
      </c>
      <c r="N5110">
        <v>-1.35414E-2</v>
      </c>
      <c r="O5110">
        <v>-0.9978958</v>
      </c>
      <c r="P5110">
        <v>6.1262530000000003E-2</v>
      </c>
      <c r="Q5110">
        <v>-7.0822369999999996E-2</v>
      </c>
      <c r="R5110">
        <v>-0.99560570000000004</v>
      </c>
      <c r="S5110">
        <v>9.9822999999999995E-2</v>
      </c>
      <c r="T5110">
        <v>-0.14928710000000001</v>
      </c>
      <c r="U5110">
        <v>-2.9961700000000002</v>
      </c>
      <c r="V5110">
        <v>1.9698150000000002E-3</v>
      </c>
      <c r="W5110">
        <v>-5.730942E-2</v>
      </c>
      <c r="X5110">
        <v>0.99835450000000003</v>
      </c>
      <c r="Y5110">
        <v>3.0156019999999999E-2</v>
      </c>
      <c r="Z5110">
        <v>3.6074210000000002E-2</v>
      </c>
      <c r="AA5110">
        <v>0.99889399999999995</v>
      </c>
      <c r="AB5110">
        <v>18</v>
      </c>
      <c r="AC5110">
        <v>0.739700000000027</v>
      </c>
      <c r="AD5110">
        <v>-1.1211522177980999</v>
      </c>
      <c r="AE5110">
        <v>-22.314299999999999</v>
      </c>
      <c r="AF5110">
        <v>0.67512036646212303</v>
      </c>
      <c r="AG5110">
        <v>-1.1211522177980999</v>
      </c>
      <c r="AH5110">
        <v>22.260163198768399</v>
      </c>
      <c r="AI5110">
        <v>92.881991760593394</v>
      </c>
      <c r="AJ5110">
        <v>88.262829712503304</v>
      </c>
      <c r="AK5110">
        <v>22.298601647647999</v>
      </c>
      <c r="AL5110">
        <v>93.285388043413207</v>
      </c>
      <c r="AM5110">
        <v>89.886952040116398</v>
      </c>
      <c r="AN5110">
        <v>0.99999997873105995</v>
      </c>
    </row>
    <row r="5111" spans="1:40" x14ac:dyDescent="0.25">
      <c r="A5111" t="str">
        <f>"20190303153911972"</f>
        <v>20190303153911972</v>
      </c>
      <c r="B5111" t="str">
        <f>"1551598751963280"</f>
        <v>1551598751963280</v>
      </c>
      <c r="C5111" t="s">
        <v>40</v>
      </c>
      <c r="D5111">
        <v>4.9625940000000002</v>
      </c>
      <c r="E5111">
        <v>0.51121729999999999</v>
      </c>
      <c r="F5111" t="s">
        <v>42</v>
      </c>
      <c r="G5111">
        <v>-190.3631</v>
      </c>
      <c r="H5111" s="1">
        <v>-4.1423299999999997E-6</v>
      </c>
      <c r="I5111">
        <v>179.0198</v>
      </c>
      <c r="J5111">
        <v>-191.1061</v>
      </c>
      <c r="K5111">
        <v>1.1212169999999999</v>
      </c>
      <c r="L5111">
        <v>201.99950000000001</v>
      </c>
      <c r="M5111">
        <v>6.1944609999999997E-2</v>
      </c>
      <c r="N5111">
        <v>-1.350814E-2</v>
      </c>
      <c r="O5111">
        <v>-0.99798849999999995</v>
      </c>
      <c r="P5111">
        <v>6.1636820000000002E-2</v>
      </c>
      <c r="Q5111">
        <v>-7.2392579999999998E-2</v>
      </c>
      <c r="R5111">
        <v>-0.99547010000000002</v>
      </c>
      <c r="S5111">
        <v>9.7396849999999993E-2</v>
      </c>
      <c r="T5111">
        <v>-0.14509140000000001</v>
      </c>
      <c r="U5111">
        <v>-2.9969480000000002</v>
      </c>
      <c r="V5111">
        <v>1.3382119999999999E-4</v>
      </c>
      <c r="W5111">
        <v>-5.8913319999999998E-2</v>
      </c>
      <c r="X5111">
        <v>0.99826309999999996</v>
      </c>
      <c r="Y5111">
        <v>2.9505679999999999E-2</v>
      </c>
      <c r="Z5111">
        <v>3.4710829999999998E-2</v>
      </c>
      <c r="AA5111">
        <v>0.99896169999999995</v>
      </c>
      <c r="AB5111">
        <v>18</v>
      </c>
      <c r="AC5111">
        <v>0.742999999999994</v>
      </c>
      <c r="AD5111">
        <v>-1.12122114232999</v>
      </c>
      <c r="AE5111">
        <v>-22.979700000000001</v>
      </c>
      <c r="AF5111">
        <v>0.68040699139980299</v>
      </c>
      <c r="AG5111">
        <v>-1.12122114232999</v>
      </c>
      <c r="AH5111">
        <v>22.927066414126699</v>
      </c>
      <c r="AI5111">
        <v>92.798521862300404</v>
      </c>
      <c r="AJ5111">
        <v>88.300130970409498</v>
      </c>
      <c r="AK5111">
        <v>22.964548000814901</v>
      </c>
      <c r="AL5111">
        <v>93.377440219064397</v>
      </c>
      <c r="AM5111">
        <v>89.992319269415603</v>
      </c>
      <c r="AN5111">
        <v>1.00000000700157</v>
      </c>
    </row>
    <row r="5112" spans="1:40" x14ac:dyDescent="0.25">
      <c r="A5112" t="str">
        <f>"20190303153911994"</f>
        <v>20190303153911994</v>
      </c>
      <c r="B5112" t="str">
        <f>"1551598751983775"</f>
        <v>1551598751983775</v>
      </c>
      <c r="C5112" t="s">
        <v>40</v>
      </c>
      <c r="D5112">
        <v>4.9186420000000002</v>
      </c>
      <c r="E5112">
        <v>0.51167819999999997</v>
      </c>
      <c r="F5112" t="s">
        <v>42</v>
      </c>
      <c r="G5112">
        <v>-190.3749</v>
      </c>
      <c r="H5112" s="1">
        <v>-4.2995729999999998E-6</v>
      </c>
      <c r="I5112">
        <v>179.42590000000001</v>
      </c>
      <c r="J5112">
        <v>-191.0967</v>
      </c>
      <c r="K5112">
        <v>1.1212390000000001</v>
      </c>
      <c r="L5112">
        <v>201.82419999999999</v>
      </c>
      <c r="M5112">
        <v>6.0671320000000001E-2</v>
      </c>
      <c r="N5112">
        <v>-1.348065E-2</v>
      </c>
      <c r="O5112">
        <v>-0.99806689999999998</v>
      </c>
      <c r="P5112">
        <v>6.0541009999999999E-2</v>
      </c>
      <c r="Q5112">
        <v>-7.3503639999999995E-2</v>
      </c>
      <c r="R5112">
        <v>-0.99545589999999995</v>
      </c>
      <c r="S5112">
        <v>9.7076419999999997E-2</v>
      </c>
      <c r="T5112">
        <v>-0.14885029999999999</v>
      </c>
      <c r="U5112">
        <v>-2.9968110000000001</v>
      </c>
      <c r="V5112" s="1">
        <v>-4.264244E-5</v>
      </c>
      <c r="W5112">
        <v>-6.0052759999999997E-2</v>
      </c>
      <c r="X5112">
        <v>0.99819519999999995</v>
      </c>
      <c r="Y5112">
        <v>2.8337370000000001E-2</v>
      </c>
      <c r="Z5112">
        <v>3.5993209999999998E-2</v>
      </c>
      <c r="AA5112">
        <v>0.99895020000000001</v>
      </c>
      <c r="AB5112">
        <v>18</v>
      </c>
      <c r="AC5112">
        <v>0.721800000000001</v>
      </c>
      <c r="AD5112">
        <v>-1.121243299573</v>
      </c>
      <c r="AE5112">
        <v>-22.3982999999999</v>
      </c>
      <c r="AF5112">
        <v>0.63699307159714702</v>
      </c>
      <c r="AG5112">
        <v>-1.121243299573</v>
      </c>
      <c r="AH5112">
        <v>22.344890130450601</v>
      </c>
      <c r="AI5112">
        <v>92.871468508879403</v>
      </c>
      <c r="AJ5112">
        <v>88.367092765331606</v>
      </c>
      <c r="AK5112">
        <v>22.382070093090299</v>
      </c>
      <c r="AL5112">
        <v>93.442841165538994</v>
      </c>
      <c r="AM5112">
        <v>90.002447649356199</v>
      </c>
      <c r="AN5112">
        <v>0.99999999655251703</v>
      </c>
    </row>
    <row r="5113" spans="1:40" x14ac:dyDescent="0.25">
      <c r="A5113" t="str">
        <f>"20190303153912017"</f>
        <v>20190303153912017</v>
      </c>
      <c r="B5113" t="str">
        <f>"1551598752014031"</f>
        <v>1551598752014031</v>
      </c>
      <c r="C5113" t="s">
        <v>40</v>
      </c>
      <c r="D5113">
        <v>4.922142</v>
      </c>
      <c r="E5113">
        <v>0.51291520000000002</v>
      </c>
      <c r="F5113" t="s">
        <v>42</v>
      </c>
      <c r="G5113">
        <v>-190.41050000000001</v>
      </c>
      <c r="H5113" s="1">
        <v>-4.1425959999999998E-6</v>
      </c>
      <c r="I5113">
        <v>178.99100000000001</v>
      </c>
      <c r="J5113">
        <v>-191.08690000000001</v>
      </c>
      <c r="K5113">
        <v>1.121227</v>
      </c>
      <c r="L5113">
        <v>201.64080000000001</v>
      </c>
      <c r="M5113">
        <v>5.9496149999999998E-2</v>
      </c>
      <c r="N5113">
        <v>-1.345644E-2</v>
      </c>
      <c r="O5113">
        <v>-0.99813799999999997</v>
      </c>
      <c r="P5113">
        <v>5.8610549999999997E-2</v>
      </c>
      <c r="Q5113">
        <v>-7.3789869999999994E-2</v>
      </c>
      <c r="R5113">
        <v>-0.99555020000000005</v>
      </c>
      <c r="S5113">
        <v>9.0072630000000001E-2</v>
      </c>
      <c r="T5113">
        <v>-0.14718689999999901</v>
      </c>
      <c r="U5113">
        <v>-2.9973450000000001</v>
      </c>
      <c r="V5113">
        <v>7.1377669999999997E-4</v>
      </c>
      <c r="W5113">
        <v>-6.0363630000000001E-2</v>
      </c>
      <c r="X5113">
        <v>0.99817619999999896</v>
      </c>
      <c r="Y5113">
        <v>2.949715E-2</v>
      </c>
      <c r="Z5113">
        <v>3.5462069999999998E-2</v>
      </c>
      <c r="AA5113">
        <v>0.99893560000000003</v>
      </c>
      <c r="AB5113">
        <v>18</v>
      </c>
      <c r="AC5113">
        <v>0.676400000000001</v>
      </c>
      <c r="AD5113">
        <v>-1.121231142596</v>
      </c>
      <c r="AE5113">
        <v>-22.649799999999999</v>
      </c>
      <c r="AF5113">
        <v>0.67085364366806399</v>
      </c>
      <c r="AG5113">
        <v>-1.121231142596</v>
      </c>
      <c r="AH5113">
        <v>22.594596648399801</v>
      </c>
      <c r="AI5113">
        <v>92.839658115269899</v>
      </c>
      <c r="AJ5113">
        <v>88.299337036213004</v>
      </c>
      <c r="AK5113">
        <v>22.632344147043899</v>
      </c>
      <c r="AL5113">
        <v>93.460685058245204</v>
      </c>
      <c r="AM5113">
        <v>89.959028891438095</v>
      </c>
      <c r="AN5113">
        <v>1.00000000177519</v>
      </c>
    </row>
    <row r="5114" spans="1:40" x14ac:dyDescent="0.25">
      <c r="A5114" t="str">
        <f>"20190303153912039"</f>
        <v>20190303153912039</v>
      </c>
      <c r="B5114" t="str">
        <f>"1551598752033551"</f>
        <v>1551598752033551</v>
      </c>
      <c r="C5114" t="s">
        <v>40</v>
      </c>
      <c r="D5114">
        <v>4.8585370000000001</v>
      </c>
      <c r="E5114">
        <v>0.51335329999999901</v>
      </c>
      <c r="F5114" t="s">
        <v>42</v>
      </c>
      <c r="G5114">
        <v>-190.48259999999999</v>
      </c>
      <c r="H5114" s="1">
        <v>-3.4381179999999998E-6</v>
      </c>
      <c r="I5114">
        <v>177.30410000000001</v>
      </c>
      <c r="J5114">
        <v>-191.0778</v>
      </c>
      <c r="K5114">
        <v>1.1212040000000001</v>
      </c>
      <c r="L5114">
        <v>201.46780000000001</v>
      </c>
      <c r="M5114">
        <v>5.8501780000000003E-2</v>
      </c>
      <c r="N5114">
        <v>-1.343719E-2</v>
      </c>
      <c r="O5114">
        <v>-0.9981968</v>
      </c>
      <c r="P5114">
        <v>5.6538850000000002E-2</v>
      </c>
      <c r="Q5114">
        <v>-7.2661989999999996E-2</v>
      </c>
      <c r="R5114">
        <v>-0.99575290000000005</v>
      </c>
      <c r="S5114">
        <v>7.4462890000000004E-2</v>
      </c>
      <c r="T5114">
        <v>-0.1381587</v>
      </c>
      <c r="U5114">
        <v>-2.9987789999999999</v>
      </c>
      <c r="V5114">
        <v>1.7960739999999999E-3</v>
      </c>
      <c r="W5114">
        <v>-5.9254399999999999E-2</v>
      </c>
      <c r="X5114">
        <v>0.9982413</v>
      </c>
      <c r="Y5114">
        <v>3.3707760000000003E-2</v>
      </c>
      <c r="Z5114">
        <v>3.2467169999999997E-2</v>
      </c>
      <c r="AA5114">
        <v>0.99890420000000002</v>
      </c>
      <c r="AB5114">
        <v>18</v>
      </c>
      <c r="AC5114">
        <v>0.59520000000000495</v>
      </c>
      <c r="AD5114">
        <v>-1.1212074381179999</v>
      </c>
      <c r="AE5114">
        <v>-24.163699999999999</v>
      </c>
      <c r="AF5114">
        <v>0.81780709797287898</v>
      </c>
      <c r="AG5114">
        <v>-1.1212074381179999</v>
      </c>
      <c r="AH5114">
        <v>24.105263565621801</v>
      </c>
      <c r="AI5114">
        <v>92.661548497992698</v>
      </c>
      <c r="AJ5114">
        <v>88.056900315215103</v>
      </c>
      <c r="AK5114">
        <v>24.145178527749199</v>
      </c>
      <c r="AL5114">
        <v>93.397016882456597</v>
      </c>
      <c r="AM5114">
        <v>89.8969113491423</v>
      </c>
      <c r="AN5114">
        <v>1.00000000141343</v>
      </c>
    </row>
    <row r="5115" spans="1:40" x14ac:dyDescent="0.25">
      <c r="A5115" t="str">
        <f>"20190303153912062"</f>
        <v>20190303153912062</v>
      </c>
      <c r="B5115" t="str">
        <f>"1551598752054048"</f>
        <v>1551598752054048</v>
      </c>
      <c r="C5115" t="s">
        <v>40</v>
      </c>
      <c r="D5115">
        <v>4.892493</v>
      </c>
      <c r="E5115">
        <v>0.51386239999999905</v>
      </c>
      <c r="F5115" t="s">
        <v>42</v>
      </c>
      <c r="G5115">
        <v>-190.5368</v>
      </c>
      <c r="H5115" s="1">
        <v>-3.0778610000000002E-6</v>
      </c>
      <c r="I5115">
        <v>176.4307</v>
      </c>
      <c r="J5115">
        <v>-191.06829999999999</v>
      </c>
      <c r="K5115">
        <v>1.1211709999999999</v>
      </c>
      <c r="L5115">
        <v>201.28469999999999</v>
      </c>
      <c r="M5115">
        <v>5.751701E-2</v>
      </c>
      <c r="N5115">
        <v>-1.341998E-2</v>
      </c>
      <c r="O5115">
        <v>-0.99825450000000004</v>
      </c>
      <c r="P5115">
        <v>5.2869760000000002E-2</v>
      </c>
      <c r="Q5115">
        <v>-6.9573850000000007E-2</v>
      </c>
      <c r="R5115">
        <v>-0.99617520000000004</v>
      </c>
      <c r="S5115">
        <v>6.480408E-2</v>
      </c>
      <c r="T5115">
        <v>-0.13431409999999999</v>
      </c>
      <c r="U5115">
        <v>-2.999298</v>
      </c>
      <c r="V5115">
        <v>4.4950600000000004E-3</v>
      </c>
      <c r="W5115">
        <v>-5.6182240000000001E-2</v>
      </c>
      <c r="X5115">
        <v>0.99841040000000003</v>
      </c>
      <c r="Y5115">
        <v>3.593963E-2</v>
      </c>
      <c r="Z5115">
        <v>3.1204079999999999E-2</v>
      </c>
      <c r="AA5115">
        <v>0.9988667</v>
      </c>
      <c r="AB5115">
        <v>18</v>
      </c>
      <c r="AC5115">
        <v>0.53149999999999398</v>
      </c>
      <c r="AD5115">
        <v>-1.121174077861</v>
      </c>
      <c r="AE5115">
        <v>-24.8539999999999</v>
      </c>
      <c r="AF5115">
        <v>0.897211358170939</v>
      </c>
      <c r="AG5115">
        <v>-1.121174077861</v>
      </c>
      <c r="AH5115">
        <v>24.7929910887921</v>
      </c>
      <c r="AI5115">
        <v>92.587540634662005</v>
      </c>
      <c r="AJ5115">
        <v>87.927478724542695</v>
      </c>
      <c r="AK5115">
        <v>24.834540999644499</v>
      </c>
      <c r="AL5115">
        <v>93.220701118393194</v>
      </c>
      <c r="AM5115">
        <v>89.742043726189806</v>
      </c>
      <c r="AN5115">
        <v>0.99999998824198999</v>
      </c>
    </row>
    <row r="5116" spans="1:40" x14ac:dyDescent="0.25">
      <c r="A5116" t="str">
        <f>"20190303153912085"</f>
        <v>20190303153912085</v>
      </c>
      <c r="B5116" t="str">
        <f>"1551598752073567"</f>
        <v>1551598752073567</v>
      </c>
      <c r="C5116" t="s">
        <v>40</v>
      </c>
      <c r="D5116">
        <v>4.8513679999999999</v>
      </c>
      <c r="E5116">
        <v>0.51424769999999997</v>
      </c>
      <c r="F5116" t="s">
        <v>42</v>
      </c>
      <c r="G5116">
        <v>-190.62209999999999</v>
      </c>
      <c r="H5116" s="1">
        <v>-2.2087009999999999E-6</v>
      </c>
      <c r="I5116">
        <v>174.3518</v>
      </c>
      <c r="J5116">
        <v>-191.0592</v>
      </c>
      <c r="K5116">
        <v>1.1211310000000001</v>
      </c>
      <c r="L5116">
        <v>201.10839999999999</v>
      </c>
      <c r="M5116">
        <v>5.657972E-2</v>
      </c>
      <c r="N5116">
        <v>-1.340597E-2</v>
      </c>
      <c r="O5116">
        <v>-0.99830799999999997</v>
      </c>
      <c r="P5116">
        <v>4.9930269999999999E-2</v>
      </c>
      <c r="Q5116">
        <v>-6.7135210000000001E-2</v>
      </c>
      <c r="R5116">
        <v>-0.99649379999999999</v>
      </c>
      <c r="S5116">
        <v>4.969788E-2</v>
      </c>
      <c r="T5116">
        <v>-0.12489260000000001</v>
      </c>
      <c r="U5116">
        <v>-3.0001829999999998</v>
      </c>
      <c r="V5116">
        <v>6.5068979999999997E-3</v>
      </c>
      <c r="W5116">
        <v>-5.3757289999999999E-2</v>
      </c>
      <c r="X5116">
        <v>0.9985328</v>
      </c>
      <c r="Y5116">
        <v>4.0032659999999998E-2</v>
      </c>
      <c r="Z5116">
        <v>2.808105E-2</v>
      </c>
      <c r="AA5116">
        <v>0.99880369999999996</v>
      </c>
      <c r="AB5116">
        <v>18</v>
      </c>
      <c r="AC5116">
        <v>0.43710000000001498</v>
      </c>
      <c r="AD5116">
        <v>-1.121133208701</v>
      </c>
      <c r="AE5116">
        <v>-26.756599999999899</v>
      </c>
      <c r="AF5116">
        <v>1.07572926667782</v>
      </c>
      <c r="AG5116">
        <v>-1.121133208701</v>
      </c>
      <c r="AH5116">
        <v>26.691613484590999</v>
      </c>
      <c r="AI5116">
        <v>92.403243677275697</v>
      </c>
      <c r="AJ5116">
        <v>87.692106209498306</v>
      </c>
      <c r="AK5116">
        <v>26.7367979297753</v>
      </c>
      <c r="AL5116">
        <v>93.0815513483183</v>
      </c>
      <c r="AM5116">
        <v>89.626639689637102</v>
      </c>
      <c r="AN5116">
        <v>0.99999996931278201</v>
      </c>
    </row>
    <row r="5117" spans="1:40" x14ac:dyDescent="0.25">
      <c r="A5117" t="str">
        <f>"20190303153912106"</f>
        <v>20190303153912106</v>
      </c>
      <c r="B5117" t="str">
        <f>"1551598752094063"</f>
        <v>1551598752094063</v>
      </c>
      <c r="C5117" t="s">
        <v>40</v>
      </c>
      <c r="D5117">
        <v>4.8751129999999998</v>
      </c>
      <c r="E5117">
        <v>0.51456029999999997</v>
      </c>
      <c r="F5117" t="s">
        <v>42</v>
      </c>
      <c r="G5117">
        <v>-190.70009999999999</v>
      </c>
      <c r="H5117" s="1">
        <v>-1.506795E-6</v>
      </c>
      <c r="I5117">
        <v>172.66730000000001</v>
      </c>
      <c r="J5117">
        <v>-191.05099999999999</v>
      </c>
      <c r="K5117">
        <v>1.1210789999999999</v>
      </c>
      <c r="L5117">
        <v>200.94399999999999</v>
      </c>
      <c r="M5117">
        <v>5.5673319999999998E-2</v>
      </c>
      <c r="N5117">
        <v>-1.339506E-2</v>
      </c>
      <c r="O5117">
        <v>-0.99835940000000001</v>
      </c>
      <c r="P5117">
        <v>4.6714470000000001E-2</v>
      </c>
      <c r="Q5117">
        <v>-6.5516829999999998E-2</v>
      </c>
      <c r="R5117">
        <v>-0.99675769999999997</v>
      </c>
      <c r="S5117">
        <v>3.7887570000000002E-2</v>
      </c>
      <c r="T5117">
        <v>-0.1182845</v>
      </c>
      <c r="U5117">
        <v>-3.0006710000000001</v>
      </c>
      <c r="V5117">
        <v>8.8213230000000007E-3</v>
      </c>
      <c r="W5117">
        <v>-5.2151019999999999E-2</v>
      </c>
      <c r="X5117">
        <v>0.99860020000000005</v>
      </c>
      <c r="Y5117">
        <v>4.3057079999999998E-2</v>
      </c>
      <c r="Z5117">
        <v>2.5893820000000001E-2</v>
      </c>
      <c r="AA5117">
        <v>0.99873699999999999</v>
      </c>
      <c r="AB5117">
        <v>18</v>
      </c>
      <c r="AC5117">
        <v>0.35089999999999499</v>
      </c>
      <c r="AD5117">
        <v>-1.121080506795</v>
      </c>
      <c r="AE5117">
        <v>-28.276700000000002</v>
      </c>
      <c r="AF5117">
        <v>1.2221222852482601</v>
      </c>
      <c r="AG5117">
        <v>-1.121080506795</v>
      </c>
      <c r="AH5117">
        <v>28.208041073113201</v>
      </c>
      <c r="AI5117">
        <v>92.2737944851511</v>
      </c>
      <c r="AJ5117">
        <v>87.5191937135573</v>
      </c>
      <c r="AK5117">
        <v>28.256751150216399</v>
      </c>
      <c r="AL5117">
        <v>92.989389587281707</v>
      </c>
      <c r="AM5117">
        <v>89.493880101905106</v>
      </c>
      <c r="AN5117">
        <v>0.99999995203327396</v>
      </c>
    </row>
    <row r="5118" spans="1:40" x14ac:dyDescent="0.25">
      <c r="A5118" t="str">
        <f>"20190303153912127"</f>
        <v>20190303153912127</v>
      </c>
      <c r="B5118" t="str">
        <f>"1551598752123343"</f>
        <v>1551598752123343</v>
      </c>
      <c r="C5118" t="s">
        <v>40</v>
      </c>
      <c r="D5118">
        <v>4.9629949999999896</v>
      </c>
      <c r="E5118">
        <v>0.51453740000000003</v>
      </c>
      <c r="F5118" t="s">
        <v>42</v>
      </c>
      <c r="G5118">
        <v>-190.79679999999999</v>
      </c>
      <c r="H5118" s="1">
        <v>-9.4922329999999998E-7</v>
      </c>
      <c r="I5118">
        <v>171.30760000000001</v>
      </c>
      <c r="J5118">
        <v>-191.0427</v>
      </c>
      <c r="K5118">
        <v>1.121003</v>
      </c>
      <c r="L5118">
        <v>200.77520000000001</v>
      </c>
      <c r="M5118">
        <v>5.4679430000000001E-2</v>
      </c>
      <c r="N5118">
        <v>-1.338572E-2</v>
      </c>
      <c r="O5118">
        <v>-0.99841460000000004</v>
      </c>
      <c r="P5118">
        <v>4.2461230000000003E-2</v>
      </c>
      <c r="Q5118">
        <v>-6.5759730000000002E-2</v>
      </c>
      <c r="R5118">
        <v>-0.99693209999999999</v>
      </c>
      <c r="S5118">
        <v>2.574158E-2</v>
      </c>
      <c r="T5118">
        <v>-0.11352370000000001</v>
      </c>
      <c r="U5118">
        <v>-3.0010680000000001</v>
      </c>
      <c r="V5118">
        <v>1.2075519999999999E-2</v>
      </c>
      <c r="W5118">
        <v>-5.2408089999999997E-2</v>
      </c>
      <c r="X5118">
        <v>0.99855269999999996</v>
      </c>
      <c r="Y5118">
        <v>4.6104689999999997E-2</v>
      </c>
      <c r="Z5118">
        <v>2.431875E-2</v>
      </c>
      <c r="AA5118">
        <v>0.99864050000000004</v>
      </c>
      <c r="AB5118">
        <v>18</v>
      </c>
      <c r="AC5118">
        <v>0.245900000000006</v>
      </c>
      <c r="AD5118">
        <v>-1.1210039492232999</v>
      </c>
      <c r="AE5118">
        <v>-29.467600000000001</v>
      </c>
      <c r="AF5118">
        <v>1.3639096000111699</v>
      </c>
      <c r="AG5118">
        <v>-1.1210039492232999</v>
      </c>
      <c r="AH5118">
        <v>29.3944180483476</v>
      </c>
      <c r="AI5118">
        <v>92.1816643446748</v>
      </c>
      <c r="AJ5118">
        <v>87.343364536376797</v>
      </c>
      <c r="AK5118">
        <v>29.4473888766424</v>
      </c>
      <c r="AL5118">
        <v>93.004138758663899</v>
      </c>
      <c r="AM5118">
        <v>89.307154637460499</v>
      </c>
      <c r="AN5118">
        <v>0.99999996037900296</v>
      </c>
    </row>
    <row r="5119" spans="1:40" x14ac:dyDescent="0.25">
      <c r="A5119" t="str">
        <f>"20190303153912150"</f>
        <v>20190303153912150</v>
      </c>
      <c r="B5119" t="str">
        <f>"1551598752143840"</f>
        <v>1551598752143840</v>
      </c>
      <c r="C5119" t="s">
        <v>40</v>
      </c>
      <c r="D5119">
        <v>4.8702860000000001</v>
      </c>
      <c r="E5119">
        <v>0.51459169999999999</v>
      </c>
      <c r="F5119" t="s">
        <v>42</v>
      </c>
      <c r="G5119">
        <v>-190.92</v>
      </c>
      <c r="H5119" s="1">
        <v>-1.521991E-6</v>
      </c>
      <c r="I5119">
        <v>172.56630000000001</v>
      </c>
      <c r="J5119">
        <v>-191.0341</v>
      </c>
      <c r="K5119">
        <v>1.1208880000000001</v>
      </c>
      <c r="L5119">
        <v>200.5951</v>
      </c>
      <c r="M5119">
        <v>5.3519709999999998E-2</v>
      </c>
      <c r="N5119">
        <v>-1.337822E-2</v>
      </c>
      <c r="O5119">
        <v>-0.99847730000000001</v>
      </c>
      <c r="P5119">
        <v>3.7301069999999999E-2</v>
      </c>
      <c r="Q5119">
        <v>-6.7874489999999996E-2</v>
      </c>
      <c r="R5119">
        <v>-0.99699660000000001</v>
      </c>
      <c r="S5119">
        <v>1.304626E-2</v>
      </c>
      <c r="T5119">
        <v>-0.1192507</v>
      </c>
      <c r="U5119">
        <v>-3.0008240000000002</v>
      </c>
      <c r="V5119">
        <v>1.6057889999999998E-2</v>
      </c>
      <c r="W5119">
        <v>-5.453997E-2</v>
      </c>
      <c r="X5119">
        <v>0.9983824</v>
      </c>
      <c r="Y5119">
        <v>4.9166689999999999E-2</v>
      </c>
      <c r="Z5119">
        <v>2.622876E-2</v>
      </c>
      <c r="AA5119">
        <v>0.99844619999999995</v>
      </c>
      <c r="AB5119">
        <v>18</v>
      </c>
      <c r="AC5119">
        <v>0.114100000000007</v>
      </c>
      <c r="AD5119">
        <v>-1.12088952199099</v>
      </c>
      <c r="AE5119">
        <v>-28.028799999999901</v>
      </c>
      <c r="AF5119">
        <v>1.3840774231967701</v>
      </c>
      <c r="AG5119">
        <v>-1.12088952199099</v>
      </c>
      <c r="AH5119">
        <v>27.950030522932501</v>
      </c>
      <c r="AI5119">
        <v>92.293713797922905</v>
      </c>
      <c r="AJ5119">
        <v>87.165045359193599</v>
      </c>
      <c r="AK5119">
        <v>28.006718298772</v>
      </c>
      <c r="AL5119">
        <v>93.126461590347802</v>
      </c>
      <c r="AM5119">
        <v>89.078539444698094</v>
      </c>
      <c r="AN5119">
        <v>0.99999994039430395</v>
      </c>
    </row>
    <row r="5120" spans="1:40" x14ac:dyDescent="0.25">
      <c r="A5120" t="str">
        <f>"20190303153912174"</f>
        <v>20190303153912174</v>
      </c>
      <c r="B5120" t="str">
        <f>"1551598752163359"</f>
        <v>1551598752163359</v>
      </c>
      <c r="C5120" t="s">
        <v>40</v>
      </c>
      <c r="D5120">
        <v>4.9503149999999998</v>
      </c>
      <c r="E5120">
        <v>0.5145748</v>
      </c>
      <c r="F5120" t="s">
        <v>42</v>
      </c>
      <c r="G5120">
        <v>-191.06319999999999</v>
      </c>
      <c r="H5120" s="1">
        <v>-2.1606009999999999E-6</v>
      </c>
      <c r="I5120">
        <v>173.96610000000001</v>
      </c>
      <c r="J5120">
        <v>-191.0257</v>
      </c>
      <c r="K5120">
        <v>1.12076</v>
      </c>
      <c r="L5120">
        <v>200.41130000000001</v>
      </c>
      <c r="M5120">
        <v>5.2196149999999997E-2</v>
      </c>
      <c r="N5120">
        <v>-1.337316E-2</v>
      </c>
      <c r="O5120">
        <v>-0.99854739999999997</v>
      </c>
      <c r="P5120">
        <v>3.1972210000000001E-2</v>
      </c>
      <c r="Q5120">
        <v>-6.9079020000000005E-2</v>
      </c>
      <c r="R5120">
        <v>-0.99709890000000001</v>
      </c>
      <c r="S5120">
        <v>-3.28064E-3</v>
      </c>
      <c r="T5120">
        <v>-0.1263022</v>
      </c>
      <c r="U5120">
        <v>-3.0005649999999999</v>
      </c>
      <c r="V5120">
        <v>2.0044579999999999E-2</v>
      </c>
      <c r="W5120">
        <v>-5.5761770000000002E-2</v>
      </c>
      <c r="X5120">
        <v>0.99824290000000004</v>
      </c>
      <c r="Y5120">
        <v>5.3272399999999998E-2</v>
      </c>
      <c r="Z5120">
        <v>2.8574269999999999E-2</v>
      </c>
      <c r="AA5120">
        <v>0.99817109999999998</v>
      </c>
      <c r="AB5120">
        <v>18</v>
      </c>
      <c r="AC5120">
        <v>-3.7499999999994302E-2</v>
      </c>
      <c r="AD5120">
        <v>-1.1207621606010001</v>
      </c>
      <c r="AE5120">
        <v>-26.4452</v>
      </c>
      <c r="AF5120">
        <v>1.4153676627407701</v>
      </c>
      <c r="AG5120">
        <v>-1.1207621606010001</v>
      </c>
      <c r="AH5120">
        <v>26.359842187874399</v>
      </c>
      <c r="AI5120">
        <v>92.431125592419207</v>
      </c>
      <c r="AJ5120">
        <v>86.926506839426906</v>
      </c>
      <c r="AK5120">
        <v>26.421594456258902</v>
      </c>
      <c r="AL5120">
        <v>93.196572021689093</v>
      </c>
      <c r="AM5120">
        <v>88.849663224487998</v>
      </c>
      <c r="AN5120">
        <v>1.0000000237906499</v>
      </c>
    </row>
    <row r="5121" spans="1:40" x14ac:dyDescent="0.25">
      <c r="A5121" t="str">
        <f>"20190303153912195"</f>
        <v>20190303153912195</v>
      </c>
      <c r="B5121" t="str">
        <f>"1551598752183855"</f>
        <v>1551598752183855</v>
      </c>
      <c r="C5121" t="s">
        <v>40</v>
      </c>
      <c r="D5121">
        <v>4.8331730000000004</v>
      </c>
      <c r="E5121">
        <v>0.51461520000000005</v>
      </c>
      <c r="F5121" t="s">
        <v>42</v>
      </c>
      <c r="G5121">
        <v>-191.18870000000001</v>
      </c>
      <c r="H5121" s="1">
        <v>-2.4970380000000002E-6</v>
      </c>
      <c r="I5121">
        <v>174.67250000000001</v>
      </c>
      <c r="J5121">
        <v>-191.01830000000001</v>
      </c>
      <c r="K5121">
        <v>1.1206640000000001</v>
      </c>
      <c r="L5121">
        <v>200.24090000000001</v>
      </c>
      <c r="M5121">
        <v>5.0850399999999997E-2</v>
      </c>
      <c r="N5121">
        <v>-1.3369839999999999E-2</v>
      </c>
      <c r="O5121">
        <v>-0.99861679999999997</v>
      </c>
      <c r="P5121">
        <v>2.760491E-2</v>
      </c>
      <c r="Q5121">
        <v>-6.7267270000000004E-2</v>
      </c>
      <c r="R5121">
        <v>-0.9973533</v>
      </c>
      <c r="S5121">
        <v>-1.8997190000000001E-2</v>
      </c>
      <c r="T5121">
        <v>-0.13064300000000001</v>
      </c>
      <c r="U5121">
        <v>-3.0002749999999998</v>
      </c>
      <c r="V5121">
        <v>2.3062969999999999E-2</v>
      </c>
      <c r="W5121">
        <v>-5.396306E-2</v>
      </c>
      <c r="X5121">
        <v>0.99827650000000001</v>
      </c>
      <c r="Y5121">
        <v>5.7152769999999999E-2</v>
      </c>
      <c r="Z5121">
        <v>3.0018840000000001E-2</v>
      </c>
      <c r="AA5121">
        <v>0.99791399999999997</v>
      </c>
      <c r="AB5121">
        <v>17</v>
      </c>
      <c r="AC5121">
        <v>-0.1704</v>
      </c>
      <c r="AD5121">
        <v>-1.12066649703799</v>
      </c>
      <c r="AE5121">
        <v>-25.5684</v>
      </c>
      <c r="AF5121">
        <v>1.4676397492108899</v>
      </c>
      <c r="AG5121">
        <v>-1.12066649703799</v>
      </c>
      <c r="AH5121">
        <v>25.477707524323701</v>
      </c>
      <c r="AI5121">
        <v>92.514434767762793</v>
      </c>
      <c r="AJ5121">
        <v>86.703128171047197</v>
      </c>
      <c r="AK5121">
        <v>25.5445383697969</v>
      </c>
      <c r="AL5121">
        <v>93.093358325405404</v>
      </c>
      <c r="AM5121">
        <v>88.676543198985598</v>
      </c>
      <c r="AN5121">
        <v>0.99999994144101501</v>
      </c>
    </row>
    <row r="5122" spans="1:40" x14ac:dyDescent="0.25">
      <c r="A5122" t="str">
        <f>"20190303153912217"</f>
        <v>20190303153912217</v>
      </c>
      <c r="B5122" t="str">
        <f>"1551598752214111"</f>
        <v>1551598752214111</v>
      </c>
      <c r="C5122" t="s">
        <v>40</v>
      </c>
      <c r="D5122">
        <v>4.8852520000000004</v>
      </c>
      <c r="E5122">
        <v>0.51471230000000001</v>
      </c>
      <c r="F5122" t="s">
        <v>42</v>
      </c>
      <c r="G5122">
        <v>-191.31540000000001</v>
      </c>
      <c r="H5122" s="1">
        <v>-1.799695E-6</v>
      </c>
      <c r="I5122">
        <v>172.9684</v>
      </c>
      <c r="J5122">
        <v>-191.01150000000001</v>
      </c>
      <c r="K5122">
        <v>1.1205940000000001</v>
      </c>
      <c r="L5122">
        <v>200.07480000000001</v>
      </c>
      <c r="M5122">
        <v>4.9410589999999997E-2</v>
      </c>
      <c r="N5122">
        <v>-1.3367220000000001E-2</v>
      </c>
      <c r="O5122">
        <v>-0.99868900000000005</v>
      </c>
      <c r="P5122">
        <v>2.387148E-2</v>
      </c>
      <c r="Q5122">
        <v>-6.3018060000000001E-2</v>
      </c>
      <c r="R5122">
        <v>-0.99772669999999997</v>
      </c>
      <c r="S5122">
        <v>-3.2684329999999998E-2</v>
      </c>
      <c r="T5122">
        <v>-0.1232972</v>
      </c>
      <c r="U5122">
        <v>-3.0005649999999999</v>
      </c>
      <c r="V5122">
        <v>2.536745E-2</v>
      </c>
      <c r="W5122">
        <v>-4.972364E-2</v>
      </c>
      <c r="X5122">
        <v>0.99844080000000002</v>
      </c>
      <c r="Y5122">
        <v>6.0264739999999997E-2</v>
      </c>
      <c r="Z5122">
        <v>2.7579739999999998E-2</v>
      </c>
      <c r="AA5122">
        <v>0.99780139999999995</v>
      </c>
      <c r="AB5122">
        <v>17</v>
      </c>
      <c r="AC5122">
        <v>-0.30389999999999801</v>
      </c>
      <c r="AD5122">
        <v>-1.120595799695</v>
      </c>
      <c r="AE5122">
        <v>-27.106400000000001</v>
      </c>
      <c r="AF5122">
        <v>1.64018894585814</v>
      </c>
      <c r="AG5122">
        <v>-1.120595799695</v>
      </c>
      <c r="AH5122">
        <v>27.0121085698296</v>
      </c>
      <c r="AI5122">
        <v>92.371187789760199</v>
      </c>
      <c r="AJ5122">
        <v>86.525237449530294</v>
      </c>
      <c r="AK5122">
        <v>27.085050565075001</v>
      </c>
      <c r="AL5122">
        <v>92.850130030515601</v>
      </c>
      <c r="AM5122">
        <v>88.544595532970206</v>
      </c>
      <c r="AN5122">
        <v>0.99999998949949598</v>
      </c>
    </row>
    <row r="5123" spans="1:40" x14ac:dyDescent="0.25">
      <c r="A5123" t="str">
        <f>"20190303153912239"</f>
        <v>20190303153912239</v>
      </c>
      <c r="B5123" t="str">
        <f>"1551598752233631"</f>
        <v>1551598752233631</v>
      </c>
      <c r="C5123" t="s">
        <v>40</v>
      </c>
      <c r="D5123">
        <v>4.834517</v>
      </c>
      <c r="E5123">
        <v>0.51458809999999999</v>
      </c>
      <c r="F5123" t="s">
        <v>42</v>
      </c>
      <c r="G5123">
        <v>-191.47040000000001</v>
      </c>
      <c r="H5123" s="1">
        <v>-4.8919739999999996E-6</v>
      </c>
      <c r="I5123">
        <v>169.3459</v>
      </c>
      <c r="J5123">
        <v>-191.00479999999999</v>
      </c>
      <c r="K5123">
        <v>1.1205210000000001</v>
      </c>
      <c r="L5123">
        <v>199.9</v>
      </c>
      <c r="M5123">
        <v>4.7746459999999998E-2</v>
      </c>
      <c r="N5123">
        <v>-1.336505E-2</v>
      </c>
      <c r="O5123">
        <v>-0.9987703</v>
      </c>
      <c r="P5123">
        <v>2.043505E-2</v>
      </c>
      <c r="Q5123">
        <v>-6.0437369999999997E-2</v>
      </c>
      <c r="R5123">
        <v>-0.99796289999999999</v>
      </c>
      <c r="S5123">
        <v>-4.4815059999999997E-2</v>
      </c>
      <c r="T5123">
        <v>-0.10943749999999999</v>
      </c>
      <c r="U5123">
        <v>-3.0009769999999998</v>
      </c>
      <c r="V5123">
        <v>2.7143279999999999E-2</v>
      </c>
      <c r="W5123">
        <v>-4.715312E-2</v>
      </c>
      <c r="X5123">
        <v>0.99851880000000004</v>
      </c>
      <c r="Y5123">
        <v>6.2635350000000006E-2</v>
      </c>
      <c r="Z5123">
        <v>2.2978720000000001E-2</v>
      </c>
      <c r="AA5123">
        <v>0.99777190000000004</v>
      </c>
      <c r="AB5123">
        <v>17</v>
      </c>
      <c r="AC5123">
        <v>-0.465600000000023</v>
      </c>
      <c r="AD5123">
        <v>-1.120525891974</v>
      </c>
      <c r="AE5123">
        <v>-30.554099999999998</v>
      </c>
      <c r="AF5123">
        <v>1.92146530351418</v>
      </c>
      <c r="AG5123">
        <v>-1.120525891974</v>
      </c>
      <c r="AH5123">
        <v>30.4560614742152</v>
      </c>
      <c r="AI5123">
        <v>92.102873380593905</v>
      </c>
      <c r="AJ5123">
        <v>86.390008159641695</v>
      </c>
      <c r="AK5123">
        <v>30.5371787778172</v>
      </c>
      <c r="AL5123">
        <v>92.702676970872801</v>
      </c>
      <c r="AM5123">
        <v>88.442881107596904</v>
      </c>
      <c r="AN5123">
        <v>0.99999998416416602</v>
      </c>
    </row>
    <row r="5124" spans="1:40" x14ac:dyDescent="0.25">
      <c r="A5124" t="str">
        <f>"20190303153912262"</f>
        <v>20190303153912262</v>
      </c>
      <c r="B5124" t="str">
        <f>"1551598752254126"</f>
        <v>1551598752254126</v>
      </c>
      <c r="C5124" t="s">
        <v>40</v>
      </c>
      <c r="D5124">
        <v>4.9748929999999998</v>
      </c>
      <c r="E5124">
        <v>0.51477029999999901</v>
      </c>
      <c r="F5124" t="s">
        <v>42</v>
      </c>
      <c r="G5124">
        <v>-191.60310000000001</v>
      </c>
      <c r="H5124" s="1">
        <v>-3.834403E-6</v>
      </c>
      <c r="I5124">
        <v>166.80090000000001</v>
      </c>
      <c r="J5124">
        <v>-190.99809999999999</v>
      </c>
      <c r="K5124">
        <v>1.120452</v>
      </c>
      <c r="L5124">
        <v>199.71449999999999</v>
      </c>
      <c r="M5124">
        <v>4.5822460000000002E-2</v>
      </c>
      <c r="N5124">
        <v>-1.336389E-2</v>
      </c>
      <c r="O5124">
        <v>-0.99886050000000004</v>
      </c>
      <c r="P5124">
        <v>1.464503E-2</v>
      </c>
      <c r="Q5124">
        <v>-5.6816940000000003E-2</v>
      </c>
      <c r="R5124">
        <v>-0.99827770000000005</v>
      </c>
      <c r="S5124">
        <v>-5.4245000000000002E-2</v>
      </c>
      <c r="T5124">
        <v>-0.10159799999999999</v>
      </c>
      <c r="U5124">
        <v>-3.001099</v>
      </c>
      <c r="V5124">
        <v>3.101808E-2</v>
      </c>
      <c r="W5124">
        <v>-4.3547370000000002E-2</v>
      </c>
      <c r="X5124">
        <v>0.9985697</v>
      </c>
      <c r="Y5124">
        <v>6.3848240000000001E-2</v>
      </c>
      <c r="Z5124">
        <v>2.0378859999999999E-2</v>
      </c>
      <c r="AA5124">
        <v>0.99775150000000001</v>
      </c>
      <c r="AB5124">
        <v>17</v>
      </c>
      <c r="AC5124">
        <v>-0.60500000000001797</v>
      </c>
      <c r="AD5124">
        <v>-1.120455834403</v>
      </c>
      <c r="AE5124">
        <v>-32.913599999999903</v>
      </c>
      <c r="AF5124">
        <v>2.1102360770708999</v>
      </c>
      <c r="AG5124">
        <v>-1.120455834403</v>
      </c>
      <c r="AH5124">
        <v>32.813282486693303</v>
      </c>
      <c r="AI5124">
        <v>91.951656815556007</v>
      </c>
      <c r="AJ5124">
        <v>86.320351401150802</v>
      </c>
      <c r="AK5124">
        <v>32.900152357236202</v>
      </c>
      <c r="AL5124">
        <v>92.495869858679796</v>
      </c>
      <c r="AM5124">
        <v>88.220821433828604</v>
      </c>
      <c r="AN5124">
        <v>0.99999997023944598</v>
      </c>
    </row>
    <row r="5125" spans="1:40" x14ac:dyDescent="0.25">
      <c r="A5125" t="str">
        <f>"20190303153912277"</f>
        <v>20190303153912277</v>
      </c>
      <c r="B5125" t="str">
        <f>"1551598752273648"</f>
        <v>1551598752273648</v>
      </c>
      <c r="C5125" t="s">
        <v>40</v>
      </c>
      <c r="D5125">
        <v>4.924506</v>
      </c>
      <c r="E5125">
        <v>0.53832630000000004</v>
      </c>
      <c r="F5125" t="s">
        <v>42</v>
      </c>
      <c r="G5125">
        <v>-191.91659999999999</v>
      </c>
      <c r="H5125" s="1">
        <v>-1.64778E-6</v>
      </c>
      <c r="I5125">
        <v>161.99860000000001</v>
      </c>
      <c r="J5125">
        <v>-190.99430000000001</v>
      </c>
      <c r="K5125">
        <v>1.1204229999999999</v>
      </c>
      <c r="L5125">
        <v>199.6019</v>
      </c>
      <c r="M5125">
        <v>4.4585729999999997E-2</v>
      </c>
      <c r="N5125">
        <v>-1.336364E-2</v>
      </c>
      <c r="O5125">
        <v>-0.99891609999999997</v>
      </c>
      <c r="P5125">
        <v>1.173722E-2</v>
      </c>
      <c r="Q5125">
        <v>-5.4874890000000003E-2</v>
      </c>
      <c r="R5125">
        <v>-0.99842439999999999</v>
      </c>
      <c r="S5125">
        <v>-7.3089600000000005E-2</v>
      </c>
      <c r="T5125">
        <v>-8.9158180000000004E-2</v>
      </c>
      <c r="U5125">
        <v>-3.0011749999999999</v>
      </c>
      <c r="V5125">
        <v>3.2693760000000002E-2</v>
      </c>
      <c r="W5125">
        <v>-4.1612549999999998E-2</v>
      </c>
      <c r="X5125">
        <v>0.99859880000000001</v>
      </c>
      <c r="Y5125">
        <v>6.8875660000000005E-2</v>
      </c>
      <c r="Z5125">
        <v>1.6243049999999998E-2</v>
      </c>
      <c r="AA5125">
        <v>0.99749299999999996</v>
      </c>
      <c r="AB5125">
        <v>17</v>
      </c>
      <c r="AC5125">
        <v>-0.92229999999997803</v>
      </c>
      <c r="AD5125">
        <v>-1.1204246477799999</v>
      </c>
      <c r="AE5125">
        <v>-37.603299999999898</v>
      </c>
      <c r="AF5125">
        <v>2.5957999436188799</v>
      </c>
      <c r="AG5125">
        <v>-1.1204246477799999</v>
      </c>
      <c r="AH5125">
        <v>37.491509246502702</v>
      </c>
      <c r="AI5125">
        <v>91.707675212893506</v>
      </c>
      <c r="AJ5125">
        <v>86.039332392265806</v>
      </c>
      <c r="AK5125">
        <v>37.597962635217897</v>
      </c>
      <c r="AL5125">
        <v>92.384912055912807</v>
      </c>
      <c r="AM5125">
        <v>88.124826902272005</v>
      </c>
      <c r="AN5125">
        <v>1.00000002481093</v>
      </c>
    </row>
    <row r="5126" spans="1:40" x14ac:dyDescent="0.25">
      <c r="A5126" t="str">
        <f>"20190303153912293"</f>
        <v>20190303153912293</v>
      </c>
      <c r="B5126" t="str">
        <f>"1551598752283408"</f>
        <v>1551598752283408</v>
      </c>
      <c r="C5126" t="s">
        <v>40</v>
      </c>
      <c r="D5126">
        <v>4.8422539999999996</v>
      </c>
      <c r="E5126">
        <v>0.54105419999999904</v>
      </c>
      <c r="F5126" t="s">
        <v>42</v>
      </c>
      <c r="G5126">
        <v>-193.6885</v>
      </c>
      <c r="H5126" s="1">
        <v>-1.012538E-6</v>
      </c>
      <c r="I5126">
        <v>169.66159999999999</v>
      </c>
      <c r="J5126">
        <v>-190.9905</v>
      </c>
      <c r="K5126">
        <v>1.1203879999999999</v>
      </c>
      <c r="L5126">
        <v>199.48220000000001</v>
      </c>
      <c r="M5126">
        <v>4.3228309999999999E-2</v>
      </c>
      <c r="N5126">
        <v>-1.336352E-2</v>
      </c>
      <c r="O5126">
        <v>-0.99897599999999998</v>
      </c>
      <c r="P5126">
        <v>9.2678540000000007E-3</v>
      </c>
      <c r="Q5126">
        <v>-5.3077819999999998E-2</v>
      </c>
      <c r="R5126">
        <v>-0.99854750000000003</v>
      </c>
      <c r="S5126">
        <v>-0.27011109999999999</v>
      </c>
      <c r="T5126">
        <v>-0.1123297</v>
      </c>
      <c r="U5126">
        <v>-3.001709</v>
      </c>
      <c r="V5126">
        <v>3.3810010000000001E-2</v>
      </c>
      <c r="W5126">
        <v>-3.9821370000000002E-2</v>
      </c>
      <c r="X5126">
        <v>0.99863460000000004</v>
      </c>
      <c r="Y5126">
        <v>0.1325279</v>
      </c>
      <c r="Z5126">
        <v>2.3720020000000001E-2</v>
      </c>
      <c r="AA5126">
        <v>0.99089539999999998</v>
      </c>
      <c r="AB5126">
        <v>17</v>
      </c>
      <c r="AC5126">
        <v>-2.698</v>
      </c>
      <c r="AD5126">
        <v>-1.1203890125379901</v>
      </c>
      <c r="AE5126">
        <v>-29.820599999999999</v>
      </c>
      <c r="AF5126">
        <v>3.9791153410073199</v>
      </c>
      <c r="AG5126">
        <v>-1.1203890125379901</v>
      </c>
      <c r="AH5126">
        <v>29.6345870418447</v>
      </c>
      <c r="AI5126">
        <v>92.145899380693507</v>
      </c>
      <c r="AJ5126">
        <v>82.352482806662707</v>
      </c>
      <c r="AK5126">
        <v>29.921520342006801</v>
      </c>
      <c r="AL5126">
        <v>92.282199958190205</v>
      </c>
      <c r="AM5126">
        <v>88.060921152173094</v>
      </c>
      <c r="AN5126">
        <v>0.99999996130101698</v>
      </c>
    </row>
    <row r="5127" spans="1:40" x14ac:dyDescent="0.25">
      <c r="A5127" t="str">
        <f>"20190303153912305"</f>
        <v>20190303153912305</v>
      </c>
      <c r="B5127" t="str">
        <f>"1551598752294144"</f>
        <v>1551598752294144</v>
      </c>
      <c r="C5127" t="s">
        <v>40</v>
      </c>
      <c r="D5127">
        <v>4.8958979999999999</v>
      </c>
      <c r="E5127">
        <v>0.54152829999999996</v>
      </c>
      <c r="F5127" t="s">
        <v>42</v>
      </c>
      <c r="G5127">
        <v>-194.548</v>
      </c>
      <c r="H5127" s="1">
        <v>-3.1875469999999998E-6</v>
      </c>
      <c r="I5127">
        <v>163.7749</v>
      </c>
      <c r="J5127">
        <v>-190.9873</v>
      </c>
      <c r="K5127">
        <v>1.120374</v>
      </c>
      <c r="L5127">
        <v>199.37780000000001</v>
      </c>
      <c r="M5127">
        <v>4.2011140000000002E-2</v>
      </c>
      <c r="N5127">
        <v>-1.3363389999999999E-2</v>
      </c>
      <c r="O5127">
        <v>-0.99902789999999997</v>
      </c>
      <c r="P5127">
        <v>5.9511149999999999E-3</v>
      </c>
      <c r="Q5127">
        <v>-4.890647E-2</v>
      </c>
      <c r="R5127">
        <v>-0.9987859</v>
      </c>
      <c r="S5127">
        <v>-0.2991028</v>
      </c>
      <c r="T5127">
        <v>-9.4198699999999996E-2</v>
      </c>
      <c r="U5127">
        <v>-3.002151</v>
      </c>
      <c r="V5127">
        <v>3.5925499999999999E-2</v>
      </c>
      <c r="W5127">
        <v>-3.565683E-2</v>
      </c>
      <c r="X5127">
        <v>0.99871810000000005</v>
      </c>
      <c r="Y5127">
        <v>0.1408015</v>
      </c>
      <c r="Z5127">
        <v>1.769942E-2</v>
      </c>
      <c r="AA5127">
        <v>0.98987959999999997</v>
      </c>
      <c r="AB5127">
        <v>17</v>
      </c>
      <c r="AC5127">
        <v>-3.56069999999999</v>
      </c>
      <c r="AD5127">
        <v>-1.1203771875470001</v>
      </c>
      <c r="AE5127">
        <v>-35.602899999999998</v>
      </c>
      <c r="AF5127">
        <v>5.0484577657396699</v>
      </c>
      <c r="AG5127">
        <v>-1.1203771875470001</v>
      </c>
      <c r="AH5127">
        <v>35.387163553773298</v>
      </c>
      <c r="AI5127">
        <v>91.795245234383003</v>
      </c>
      <c r="AJ5127">
        <v>81.8807691228983</v>
      </c>
      <c r="AK5127">
        <v>35.763018821631</v>
      </c>
      <c r="AL5127">
        <v>92.0434191376321</v>
      </c>
      <c r="AM5127">
        <v>87.939866717715901</v>
      </c>
      <c r="AN5127">
        <v>0.999999947171753</v>
      </c>
    </row>
    <row r="5128" spans="1:40" x14ac:dyDescent="0.25">
      <c r="A5128" t="str">
        <f>"20190303153912320"</f>
        <v>20190303153912320</v>
      </c>
      <c r="B5128" t="str">
        <f>"1551598752313664"</f>
        <v>1551598752313664</v>
      </c>
      <c r="C5128" t="s">
        <v>40</v>
      </c>
      <c r="D5128">
        <v>4.8374100000000002</v>
      </c>
      <c r="E5128">
        <v>0.54201650000000001</v>
      </c>
      <c r="F5128" t="s">
        <v>68</v>
      </c>
      <c r="G5128">
        <v>-195.27160000000001</v>
      </c>
      <c r="H5128" s="1">
        <v>-1.463879E-5</v>
      </c>
      <c r="I5128">
        <v>158.27019999999999</v>
      </c>
      <c r="J5128">
        <v>-190.98429999999999</v>
      </c>
      <c r="K5128">
        <v>1.1203529999999999</v>
      </c>
      <c r="L5128">
        <v>199.2706</v>
      </c>
      <c r="M5128">
        <v>4.0738759999999999E-2</v>
      </c>
      <c r="N5128">
        <v>-1.336214E-2</v>
      </c>
      <c r="O5128">
        <v>-0.99908050000000004</v>
      </c>
      <c r="P5128">
        <v>3.3458889999999999E-3</v>
      </c>
      <c r="Q5128">
        <v>-4.6993340000000001E-2</v>
      </c>
      <c r="R5128">
        <v>-0.99888960000000004</v>
      </c>
      <c r="S5128">
        <v>-0.3128204</v>
      </c>
      <c r="T5128">
        <v>-8.1806180000000006E-2</v>
      </c>
      <c r="U5128">
        <v>-3.0015109999999998</v>
      </c>
      <c r="V5128">
        <v>3.7264539999999999E-2</v>
      </c>
      <c r="W5128">
        <v>-3.3750210000000003E-2</v>
      </c>
      <c r="X5128">
        <v>0.99873540000000005</v>
      </c>
      <c r="Y5128">
        <v>0.14404790000000001</v>
      </c>
      <c r="Z5128">
        <v>1.3607869999999999E-2</v>
      </c>
      <c r="AA5128">
        <v>0.98947719999999995</v>
      </c>
      <c r="AB5128">
        <v>17</v>
      </c>
      <c r="AC5128">
        <v>-4.2873000000000099</v>
      </c>
      <c r="AD5128">
        <v>-1.1203676387899999</v>
      </c>
      <c r="AE5128">
        <v>-41.000399999999999</v>
      </c>
      <c r="AF5128">
        <v>5.9498000917454901</v>
      </c>
      <c r="AG5128">
        <v>-1.1203676387899999</v>
      </c>
      <c r="AH5128">
        <v>40.761574450642399</v>
      </c>
      <c r="AI5128">
        <v>91.557927474529905</v>
      </c>
      <c r="AJ5128">
        <v>81.695417569282796</v>
      </c>
      <c r="AK5128">
        <v>41.208752668250597</v>
      </c>
      <c r="AL5128">
        <v>91.934111775017101</v>
      </c>
      <c r="AM5128">
        <v>87.863186895931904</v>
      </c>
      <c r="AN5128">
        <v>1.0000000609148001</v>
      </c>
    </row>
    <row r="5129" spans="1:40" x14ac:dyDescent="0.25">
      <c r="A5129" t="str">
        <f>"20190303153912334"</f>
        <v>20190303153912334</v>
      </c>
      <c r="B5129" t="str">
        <f>"1551598752323424"</f>
        <v>1551598752323424</v>
      </c>
      <c r="C5129" t="s">
        <v>40</v>
      </c>
      <c r="D5129">
        <v>4.8405399999999998</v>
      </c>
      <c r="E5129">
        <v>0.54196979999999995</v>
      </c>
      <c r="F5129" t="s">
        <v>68</v>
      </c>
      <c r="G5129">
        <v>-198.07069999999999</v>
      </c>
      <c r="H5129" s="1">
        <v>-7.3654889999999999E-6</v>
      </c>
      <c r="I5129">
        <v>133.67349999999999</v>
      </c>
      <c r="J5129">
        <v>-190.9812</v>
      </c>
      <c r="K5129">
        <v>1.1203379999999901</v>
      </c>
      <c r="L5129">
        <v>199.15600000000001</v>
      </c>
      <c r="M5129">
        <v>3.9363200000000001E-2</v>
      </c>
      <c r="N5129">
        <v>-1.335277E-2</v>
      </c>
      <c r="O5129">
        <v>-0.99913589999999997</v>
      </c>
      <c r="P5129">
        <v>1.0965339999999999E-3</v>
      </c>
      <c r="Q5129">
        <v>-4.6498650000000002E-2</v>
      </c>
      <c r="R5129">
        <v>-0.99891779999999997</v>
      </c>
      <c r="S5129">
        <v>-0.3243103</v>
      </c>
      <c r="T5129">
        <v>-5.1273109999999997E-2</v>
      </c>
      <c r="U5129">
        <v>-3.0020449999999999</v>
      </c>
      <c r="V5129">
        <v>3.8138829999999999E-2</v>
      </c>
      <c r="W5129">
        <v>-3.326892E-2</v>
      </c>
      <c r="X5129">
        <v>0.99871849999999995</v>
      </c>
      <c r="Y5129">
        <v>0.14643039999999999</v>
      </c>
      <c r="Z5129">
        <v>3.5351169999999999E-3</v>
      </c>
      <c r="AA5129">
        <v>0.9892147</v>
      </c>
      <c r="AB5129">
        <v>17</v>
      </c>
      <c r="AC5129">
        <v>-7.0894999999999797</v>
      </c>
      <c r="AD5129">
        <v>-1.1203453654890001</v>
      </c>
      <c r="AE5129">
        <v>-65.482499999999902</v>
      </c>
      <c r="AF5129">
        <v>9.6590399659600994</v>
      </c>
      <c r="AG5129">
        <v>-1.1203453654890001</v>
      </c>
      <c r="AH5129">
        <v>65.133804625673804</v>
      </c>
      <c r="AI5129">
        <v>90.974770909246999</v>
      </c>
      <c r="AJ5129">
        <v>81.564778577509102</v>
      </c>
      <c r="AK5129">
        <v>65.855635535749201</v>
      </c>
      <c r="AL5129">
        <v>91.906520479407604</v>
      </c>
      <c r="AM5129">
        <v>87.813064746318602</v>
      </c>
      <c r="AN5129">
        <v>1.00000001681699</v>
      </c>
    </row>
    <row r="5130" spans="1:40" x14ac:dyDescent="0.25">
      <c r="A5130" t="str">
        <f>"20190303153912347"</f>
        <v>20190303153912347</v>
      </c>
      <c r="B5130" t="str">
        <f>"1551598752343919"</f>
        <v>1551598752343919</v>
      </c>
      <c r="C5130" t="s">
        <v>40</v>
      </c>
      <c r="D5130">
        <v>4.8404780000000001</v>
      </c>
      <c r="E5130">
        <v>0.54151759999999904</v>
      </c>
      <c r="F5130" t="s">
        <v>68</v>
      </c>
      <c r="G5130">
        <v>-199.0265</v>
      </c>
      <c r="H5130" s="1">
        <v>-5.2554249999999997E-6</v>
      </c>
      <c r="I5130">
        <v>126.137</v>
      </c>
      <c r="J5130">
        <v>-190.9786</v>
      </c>
      <c r="K5130">
        <v>1.12032</v>
      </c>
      <c r="L5130">
        <v>199.0539</v>
      </c>
      <c r="M5130">
        <v>3.8126380000000001E-2</v>
      </c>
      <c r="N5130">
        <v>-1.333204E-2</v>
      </c>
      <c r="O5130">
        <v>-0.99918439999999997</v>
      </c>
      <c r="P5130">
        <v>-1.3786130000000001E-3</v>
      </c>
      <c r="Q5130">
        <v>-4.6442780000000003E-2</v>
      </c>
      <c r="R5130">
        <v>-0.99892040000000004</v>
      </c>
      <c r="S5130">
        <v>-0.33070369999999999</v>
      </c>
      <c r="T5130">
        <v>-4.6051979999999999E-2</v>
      </c>
      <c r="U5130">
        <v>-3.001465</v>
      </c>
      <c r="V5130">
        <v>3.9376199999999903E-2</v>
      </c>
      <c r="W5130">
        <v>-3.323831E-2</v>
      </c>
      <c r="X5130">
        <v>0.99867150000000005</v>
      </c>
      <c r="Y5130">
        <v>0.14731060000000001</v>
      </c>
      <c r="Z5130">
        <v>1.8351789999999999E-3</v>
      </c>
      <c r="AA5130">
        <v>0.98908859999999998</v>
      </c>
      <c r="AB5130">
        <v>17</v>
      </c>
      <c r="AC5130">
        <v>-8.0478999999999896</v>
      </c>
      <c r="AD5130">
        <v>-1.1203252554250001</v>
      </c>
      <c r="AE5130">
        <v>-72.916899999999998</v>
      </c>
      <c r="AF5130">
        <v>10.819827481132799</v>
      </c>
      <c r="AG5130">
        <v>-1.1203252554250001</v>
      </c>
      <c r="AH5130">
        <v>72.540092044663695</v>
      </c>
      <c r="AI5130">
        <v>90.875138555076106</v>
      </c>
      <c r="AJ5130">
        <v>81.516504784935407</v>
      </c>
      <c r="AK5130">
        <v>73.351133251284594</v>
      </c>
      <c r="AL5130">
        <v>91.904765683551403</v>
      </c>
      <c r="AM5130">
        <v>87.742078304104396</v>
      </c>
      <c r="AN5130">
        <v>1.00000001764517</v>
      </c>
    </row>
    <row r="5131" spans="1:40" x14ac:dyDescent="0.25">
      <c r="A5131" t="str">
        <f>"20190303153912363"</f>
        <v>20190303153912363</v>
      </c>
      <c r="B5131" t="str">
        <f>"1551598752353679"</f>
        <v>1551598752353679</v>
      </c>
      <c r="C5131" t="s">
        <v>40</v>
      </c>
      <c r="D5131">
        <v>4.8009620000000002</v>
      </c>
      <c r="E5131">
        <v>0.54133690000000001</v>
      </c>
      <c r="F5131" t="s">
        <v>68</v>
      </c>
      <c r="G5131">
        <v>-196.9907</v>
      </c>
      <c r="H5131" s="1">
        <v>-1.071205E-5</v>
      </c>
      <c r="I5131">
        <v>145.16839999999999</v>
      </c>
      <c r="J5131">
        <v>-190.97569999999999</v>
      </c>
      <c r="K5131">
        <v>1.120304</v>
      </c>
      <c r="L5131">
        <v>198.93289999999999</v>
      </c>
      <c r="M5131">
        <v>3.6654260000000001E-2</v>
      </c>
      <c r="N5131">
        <v>-1.3274940000000001E-2</v>
      </c>
      <c r="O5131">
        <v>-0.99924009999999996</v>
      </c>
      <c r="P5131">
        <v>-4.4218340000000004E-3</v>
      </c>
      <c r="Q5131">
        <v>-4.6091630000000001E-2</v>
      </c>
      <c r="R5131">
        <v>-0.99892769999999997</v>
      </c>
      <c r="S5131">
        <v>-0.33470149999999999</v>
      </c>
      <c r="T5131">
        <v>-6.2370299999999997E-2</v>
      </c>
      <c r="U5131">
        <v>-2.9998779999999998</v>
      </c>
      <c r="V5131">
        <v>4.0948199999999997E-2</v>
      </c>
      <c r="W5131">
        <v>-3.294863E-2</v>
      </c>
      <c r="X5131">
        <v>0.99861789999999995</v>
      </c>
      <c r="Y5131">
        <v>0.14720459999999999</v>
      </c>
      <c r="Z5131">
        <v>7.2874159999999997E-3</v>
      </c>
      <c r="AA5131">
        <v>0.98907920000000005</v>
      </c>
      <c r="AB5131">
        <v>17</v>
      </c>
      <c r="AC5131">
        <v>-6.0150000000000103</v>
      </c>
      <c r="AD5131">
        <v>-1.1203147120499899</v>
      </c>
      <c r="AE5131">
        <v>-53.764499999999998</v>
      </c>
      <c r="AF5131">
        <v>7.9784069558711703</v>
      </c>
      <c r="AG5131">
        <v>-1.1203147120499899</v>
      </c>
      <c r="AH5131">
        <v>53.484933498620101</v>
      </c>
      <c r="AI5131">
        <v>91.186834333112301</v>
      </c>
      <c r="AJ5131">
        <v>81.515686812691897</v>
      </c>
      <c r="AK5131">
        <v>54.0883369494695</v>
      </c>
      <c r="AL5131">
        <v>91.888159106464599</v>
      </c>
      <c r="AM5131">
        <v>87.651909283807299</v>
      </c>
      <c r="AN5131">
        <v>1.00000003875126</v>
      </c>
    </row>
    <row r="5132" spans="1:40" x14ac:dyDescent="0.25">
      <c r="A5132" t="str">
        <f>"20190303153912378"</f>
        <v>20190303153912378</v>
      </c>
      <c r="B5132" t="str">
        <f>"1551598752374175"</f>
        <v>1551598752374175</v>
      </c>
      <c r="C5132" t="s">
        <v>40</v>
      </c>
      <c r="D5132">
        <v>4.8339309999999998</v>
      </c>
      <c r="E5132">
        <v>0.54072169999999997</v>
      </c>
      <c r="F5132" t="s">
        <v>68</v>
      </c>
      <c r="G5132">
        <v>-196.77080000000001</v>
      </c>
      <c r="H5132" s="1">
        <v>-1.151657E-5</v>
      </c>
      <c r="I5132">
        <v>148.17740000000001</v>
      </c>
      <c r="J5132">
        <v>-190.97319999999999</v>
      </c>
      <c r="K5132">
        <v>1.1202909999999999</v>
      </c>
      <c r="L5132">
        <v>198.82249999999999</v>
      </c>
      <c r="M5132">
        <v>3.5318290000000002E-2</v>
      </c>
      <c r="N5132">
        <v>-1.319742E-2</v>
      </c>
      <c r="O5132">
        <v>-0.99928930000000005</v>
      </c>
      <c r="P5132">
        <v>-6.0544400000000003E-3</v>
      </c>
      <c r="Q5132">
        <v>-4.6734459999999999E-2</v>
      </c>
      <c r="R5132">
        <v>-0.99888929999999998</v>
      </c>
      <c r="S5132">
        <v>-0.34237669999999998</v>
      </c>
      <c r="T5132">
        <v>-6.6188689999999994E-2</v>
      </c>
      <c r="U5132">
        <v>-2.9986570000000001</v>
      </c>
      <c r="V5132">
        <v>4.1243120000000001E-2</v>
      </c>
      <c r="W5132">
        <v>-3.3668839999999998E-2</v>
      </c>
      <c r="X5132">
        <v>0.99858170000000002</v>
      </c>
      <c r="Y5132">
        <v>0.14842359999999999</v>
      </c>
      <c r="Z5132">
        <v>8.6308889999999992E-3</v>
      </c>
      <c r="AA5132">
        <v>0.98888620000000005</v>
      </c>
      <c r="AB5132">
        <v>17</v>
      </c>
      <c r="AC5132">
        <v>-5.7976000000000099</v>
      </c>
      <c r="AD5132">
        <v>-1.12030251657</v>
      </c>
      <c r="AE5132">
        <v>-50.6450999999999</v>
      </c>
      <c r="AF5132">
        <v>7.5791751704002399</v>
      </c>
      <c r="AG5132">
        <v>-1.12030251657</v>
      </c>
      <c r="AH5132">
        <v>50.384383349036902</v>
      </c>
      <c r="AI5132">
        <v>91.259601353457299</v>
      </c>
      <c r="AJ5132">
        <v>81.445305016018196</v>
      </c>
      <c r="AK5132">
        <v>50.963566000182503</v>
      </c>
      <c r="AL5132">
        <v>91.929447086755303</v>
      </c>
      <c r="AM5132">
        <v>87.634931197299295</v>
      </c>
      <c r="AN5132">
        <v>0.999999998654585</v>
      </c>
    </row>
    <row r="5133" spans="1:40" x14ac:dyDescent="0.25">
      <c r="A5133" t="str">
        <f>"20190303153912391"</f>
        <v>20190303153912391</v>
      </c>
      <c r="B5133" t="str">
        <f>"1551598752383935"</f>
        <v>1551598752383935</v>
      </c>
      <c r="C5133" t="s">
        <v>40</v>
      </c>
      <c r="D5133">
        <v>4.7954850000000002</v>
      </c>
      <c r="E5133">
        <v>0.54044639999999999</v>
      </c>
      <c r="F5133" t="s">
        <v>68</v>
      </c>
      <c r="G5133">
        <v>-195.89850000000001</v>
      </c>
      <c r="H5133" s="1">
        <v>-1.382167E-5</v>
      </c>
      <c r="I5133">
        <v>155.69380000000001</v>
      </c>
      <c r="J5133">
        <v>-190.9709</v>
      </c>
      <c r="K5133">
        <v>1.1202829999999999</v>
      </c>
      <c r="L5133">
        <v>198.71719999999999</v>
      </c>
      <c r="M5133">
        <v>3.4052079999999998E-2</v>
      </c>
      <c r="N5133">
        <v>-1.3104889999999999E-2</v>
      </c>
      <c r="O5133">
        <v>-0.99933430000000001</v>
      </c>
      <c r="P5133">
        <v>-7.0276640000000003E-3</v>
      </c>
      <c r="Q5133">
        <v>-4.7177700000000003E-2</v>
      </c>
      <c r="R5133">
        <v>-0.99886209999999997</v>
      </c>
      <c r="S5133">
        <v>-0.34233089999999999</v>
      </c>
      <c r="T5133">
        <v>-7.7866199999999997E-2</v>
      </c>
      <c r="U5133">
        <v>-2.9976349999999998</v>
      </c>
      <c r="V5133">
        <v>4.0950390000000003E-2</v>
      </c>
      <c r="W5133">
        <v>-3.4201780000000001E-2</v>
      </c>
      <c r="X5133">
        <v>0.99857560000000001</v>
      </c>
      <c r="Y5133">
        <v>0.1471857</v>
      </c>
      <c r="Z5133">
        <v>1.259146E-2</v>
      </c>
      <c r="AA5133">
        <v>0.98902880000000004</v>
      </c>
      <c r="AB5133">
        <v>17</v>
      </c>
      <c r="AC5133">
        <v>-4.9276000000000098</v>
      </c>
      <c r="AD5133">
        <v>-1.12029682167</v>
      </c>
      <c r="AE5133">
        <v>-43.023399999999903</v>
      </c>
      <c r="AF5133">
        <v>6.3856299684003499</v>
      </c>
      <c r="AG5133">
        <v>-1.12029682167</v>
      </c>
      <c r="AH5133">
        <v>42.801989520910801</v>
      </c>
      <c r="AI5133">
        <v>91.482909355125003</v>
      </c>
      <c r="AJ5133">
        <v>81.514626609976503</v>
      </c>
      <c r="AK5133">
        <v>43.290202609945503</v>
      </c>
      <c r="AL5133">
        <v>91.959999968130802</v>
      </c>
      <c r="AM5133">
        <v>87.651684483441301</v>
      </c>
      <c r="AN5133">
        <v>0.99999996255583901</v>
      </c>
    </row>
    <row r="5134" spans="1:40" x14ac:dyDescent="0.25">
      <c r="A5134" t="str">
        <f>"20190303153912408"</f>
        <v>20190303153912408</v>
      </c>
      <c r="B5134" t="str">
        <f>"1551598752403456"</f>
        <v>1551598752403456</v>
      </c>
      <c r="C5134" t="s">
        <v>40</v>
      </c>
      <c r="D5134">
        <v>4.7765089999999999</v>
      </c>
      <c r="E5134">
        <v>0.53990590000000005</v>
      </c>
      <c r="F5134" t="s">
        <v>68</v>
      </c>
      <c r="G5134">
        <v>-195.60509999999999</v>
      </c>
      <c r="H5134" s="1">
        <v>-1.462922E-5</v>
      </c>
      <c r="I5134">
        <v>158.2321</v>
      </c>
      <c r="J5134">
        <v>-190.9683</v>
      </c>
      <c r="K5134">
        <v>1.120276</v>
      </c>
      <c r="L5134">
        <v>198.5865</v>
      </c>
      <c r="M5134">
        <v>3.2511320000000003E-2</v>
      </c>
      <c r="N5134">
        <v>-1.296401E-2</v>
      </c>
      <c r="O5134">
        <v>-0.99938740000000004</v>
      </c>
      <c r="P5134">
        <v>-7.3013419999999997E-3</v>
      </c>
      <c r="Q5134">
        <v>-4.7518209999999998E-2</v>
      </c>
      <c r="R5134">
        <v>-0.99884399999999995</v>
      </c>
      <c r="S5134">
        <v>-0.34306340000000002</v>
      </c>
      <c r="T5134">
        <v>-8.2935090000000003E-2</v>
      </c>
      <c r="U5134">
        <v>-2.9970859999999999</v>
      </c>
      <c r="V5134">
        <v>3.968646E-2</v>
      </c>
      <c r="W5134">
        <v>-3.4675499999999998E-2</v>
      </c>
      <c r="X5134">
        <v>0.99861029999999995</v>
      </c>
      <c r="Y5134">
        <v>0.14591599999999999</v>
      </c>
      <c r="Z5134">
        <v>1.44165E-2</v>
      </c>
      <c r="AA5134">
        <v>0.98919190000000001</v>
      </c>
      <c r="AB5134">
        <v>17</v>
      </c>
      <c r="AC5134">
        <v>-4.6367999999999903</v>
      </c>
      <c r="AD5134">
        <v>-1.1202906292199999</v>
      </c>
      <c r="AE5134">
        <v>-40.354399999999998</v>
      </c>
      <c r="AF5134">
        <v>5.9419136490414299</v>
      </c>
      <c r="AG5134">
        <v>-1.1202906292199999</v>
      </c>
      <c r="AH5134">
        <v>40.151761289533297</v>
      </c>
      <c r="AI5134">
        <v>91.581008832326603</v>
      </c>
      <c r="AJ5134">
        <v>81.582100981607198</v>
      </c>
      <c r="AK5134">
        <v>40.6044988093469</v>
      </c>
      <c r="AL5134">
        <v>91.987158224483395</v>
      </c>
      <c r="AM5134">
        <v>87.724166595746397</v>
      </c>
      <c r="AN5134">
        <v>0.99999996833683502</v>
      </c>
    </row>
    <row r="5135" spans="1:40" x14ac:dyDescent="0.25">
      <c r="A5135" t="str">
        <f>"20190303153912422"</f>
        <v>20190303153912422</v>
      </c>
      <c r="B5135" t="str">
        <f>"1551598752414193"</f>
        <v>1551598752414193</v>
      </c>
      <c r="C5135" t="s">
        <v>40</v>
      </c>
      <c r="D5135">
        <v>4.8110860000000004</v>
      </c>
      <c r="E5135">
        <v>0.53970869999999904</v>
      </c>
      <c r="F5135" t="s">
        <v>42</v>
      </c>
      <c r="G5135">
        <v>-195.173</v>
      </c>
      <c r="H5135" s="1">
        <v>-2.271517E-6</v>
      </c>
      <c r="I5135">
        <v>161.48519999999999</v>
      </c>
      <c r="J5135">
        <v>-190.96629999999999</v>
      </c>
      <c r="K5135">
        <v>1.120285</v>
      </c>
      <c r="L5135">
        <v>198.48150000000001</v>
      </c>
      <c r="M5135">
        <v>3.1305199999999998E-2</v>
      </c>
      <c r="N5135">
        <v>-1.284453E-2</v>
      </c>
      <c r="O5135">
        <v>-0.99942739999999997</v>
      </c>
      <c r="P5135">
        <v>-7.4310419999999997E-3</v>
      </c>
      <c r="Q5135">
        <v>-4.7424330000000001E-2</v>
      </c>
      <c r="R5135">
        <v>-0.9988475</v>
      </c>
      <c r="S5135">
        <v>-0.3396149</v>
      </c>
      <c r="T5135">
        <v>-9.048486E-2</v>
      </c>
      <c r="U5135">
        <v>-2.9966740000000001</v>
      </c>
      <c r="V5135">
        <v>3.8614719999999998E-2</v>
      </c>
      <c r="W5135">
        <v>-3.4694099999999999E-2</v>
      </c>
      <c r="X5135">
        <v>0.99865170000000003</v>
      </c>
      <c r="Y5135">
        <v>0.1436074</v>
      </c>
      <c r="Z5135">
        <v>1.7043180000000002E-2</v>
      </c>
      <c r="AA5135">
        <v>0.98948789999999998</v>
      </c>
      <c r="AB5135">
        <v>17</v>
      </c>
      <c r="AC5135">
        <v>-4.2067000000000103</v>
      </c>
      <c r="AD5135">
        <v>-1.120287271517</v>
      </c>
      <c r="AE5135">
        <v>-36.996299999999998</v>
      </c>
      <c r="AF5135">
        <v>5.3580595642780597</v>
      </c>
      <c r="AG5135">
        <v>-1.120287271517</v>
      </c>
      <c r="AH5135">
        <v>36.813136967361203</v>
      </c>
      <c r="AI5135">
        <v>91.724908089423593</v>
      </c>
      <c r="AJ5135">
        <v>81.718892429027207</v>
      </c>
      <c r="AK5135">
        <v>37.217884131728603</v>
      </c>
      <c r="AL5135">
        <v>91.988224509539293</v>
      </c>
      <c r="AM5135">
        <v>87.785655563689204</v>
      </c>
      <c r="AN5135">
        <v>0.999999997544189</v>
      </c>
    </row>
    <row r="5136" spans="1:40" x14ac:dyDescent="0.25">
      <c r="A5136" t="str">
        <f>"20190303153912433"</f>
        <v>20190303153912433</v>
      </c>
      <c r="B5136" t="str">
        <f>"1551598752423952"</f>
        <v>1551598752423952</v>
      </c>
      <c r="C5136" t="s">
        <v>40</v>
      </c>
      <c r="D5136">
        <v>4.773358</v>
      </c>
      <c r="E5136">
        <v>0.53936589999999995</v>
      </c>
      <c r="F5136" t="s">
        <v>42</v>
      </c>
      <c r="G5136">
        <v>-195.05430000000001</v>
      </c>
      <c r="H5136" s="1">
        <v>-2.6186799999999999E-6</v>
      </c>
      <c r="I5136">
        <v>162.28639999999999</v>
      </c>
      <c r="J5136">
        <v>-190.96459999999999</v>
      </c>
      <c r="K5136">
        <v>1.120298</v>
      </c>
      <c r="L5136">
        <v>198.38249999999999</v>
      </c>
      <c r="M5136">
        <v>3.0189110000000002E-2</v>
      </c>
      <c r="N5136">
        <v>-1.272681E-2</v>
      </c>
      <c r="O5136">
        <v>-0.9994632</v>
      </c>
      <c r="P5136">
        <v>-7.4207669999999896E-3</v>
      </c>
      <c r="Q5136">
        <v>-4.6722159999999999E-2</v>
      </c>
      <c r="R5136">
        <v>-0.99888060000000001</v>
      </c>
      <c r="S5136">
        <v>-0.33843990000000002</v>
      </c>
      <c r="T5136">
        <v>-9.2747330000000003E-2</v>
      </c>
      <c r="U5136">
        <v>-2.9965519999999999</v>
      </c>
      <c r="V5136">
        <v>3.749533E-2</v>
      </c>
      <c r="W5136">
        <v>-3.410241E-2</v>
      </c>
      <c r="X5136">
        <v>0.99871469999999996</v>
      </c>
      <c r="Y5136">
        <v>0.142122</v>
      </c>
      <c r="Z5136">
        <v>1.79160999999999E-2</v>
      </c>
      <c r="AA5136">
        <v>0.98968699999999998</v>
      </c>
      <c r="AB5136">
        <v>17</v>
      </c>
      <c r="AC5136">
        <v>-4.0897000000000201</v>
      </c>
      <c r="AD5136">
        <v>-1.12030061867999</v>
      </c>
      <c r="AE5136">
        <v>-36.0961</v>
      </c>
      <c r="AF5136">
        <v>5.1727134315643504</v>
      </c>
      <c r="AG5136">
        <v>-1.12030061867999</v>
      </c>
      <c r="AH5136">
        <v>35.922006437931302</v>
      </c>
      <c r="AI5136">
        <v>91.768080828257794</v>
      </c>
      <c r="AJ5136">
        <v>81.805823382811994</v>
      </c>
      <c r="AK5136">
        <v>36.309813883412801</v>
      </c>
      <c r="AL5136">
        <v>91.954303162055794</v>
      </c>
      <c r="AM5136">
        <v>87.8499208592184</v>
      </c>
      <c r="AN5136">
        <v>0.99999996306785199</v>
      </c>
    </row>
    <row r="5137" spans="1:40" x14ac:dyDescent="0.25">
      <c r="A5137" t="str">
        <f>"20190303153912445"</f>
        <v>20190303153912445</v>
      </c>
      <c r="B5137" t="str">
        <f>"1551598752433712"</f>
        <v>1551598752433712</v>
      </c>
      <c r="C5137" t="s">
        <v>40</v>
      </c>
      <c r="D5137">
        <v>4.7792260000000004</v>
      </c>
      <c r="E5137">
        <v>0.53922530000000002</v>
      </c>
      <c r="F5137" t="s">
        <v>42</v>
      </c>
      <c r="G5137">
        <v>-194.99709999999999</v>
      </c>
      <c r="H5137" s="1">
        <v>-2.6476470000000001E-6</v>
      </c>
      <c r="I5137">
        <v>162.37989999999999</v>
      </c>
      <c r="J5137">
        <v>-190.96289999999999</v>
      </c>
      <c r="K5137">
        <v>1.1203129999999999</v>
      </c>
      <c r="L5137">
        <v>198.28749999999999</v>
      </c>
      <c r="M5137">
        <v>2.9145750000000002E-2</v>
      </c>
      <c r="N5137">
        <v>-1.260675E-2</v>
      </c>
      <c r="O5137">
        <v>-0.99949589999999999</v>
      </c>
      <c r="P5137">
        <v>-7.0765949999999998E-3</v>
      </c>
      <c r="Q5137">
        <v>-4.6318680000000001E-2</v>
      </c>
      <c r="R5137">
        <v>-0.99890199999999996</v>
      </c>
      <c r="S5137">
        <v>-0.33563229999999999</v>
      </c>
      <c r="T5137">
        <v>-9.3242759999999994E-2</v>
      </c>
      <c r="U5137">
        <v>-2.9965060000000001</v>
      </c>
      <c r="V5137">
        <v>3.6113689999999997E-2</v>
      </c>
      <c r="W5137">
        <v>-3.3811340000000002E-2</v>
      </c>
      <c r="X5137">
        <v>0.99877550000000004</v>
      </c>
      <c r="Y5137">
        <v>0.14017460000000001</v>
      </c>
      <c r="Z5137">
        <v>1.8208780000000001E-2</v>
      </c>
      <c r="AA5137">
        <v>0.98995940000000004</v>
      </c>
      <c r="AB5137">
        <v>17</v>
      </c>
      <c r="AC5137">
        <v>-4.0341999999999896</v>
      </c>
      <c r="AD5137">
        <v>-1.120315647647</v>
      </c>
      <c r="AE5137">
        <v>-35.907600000000002</v>
      </c>
      <c r="AF5137">
        <v>5.07424486636386</v>
      </c>
      <c r="AG5137">
        <v>-1.120315647647</v>
      </c>
      <c r="AH5137">
        <v>35.7403965719217</v>
      </c>
      <c r="AI5137">
        <v>91.777586754298994</v>
      </c>
      <c r="AJ5137">
        <v>81.9194327108994</v>
      </c>
      <c r="AK5137">
        <v>36.116187717316102</v>
      </c>
      <c r="AL5137">
        <v>91.937616476354606</v>
      </c>
      <c r="AM5137">
        <v>87.929203322873704</v>
      </c>
      <c r="AN5137">
        <v>0.99999995235912897</v>
      </c>
    </row>
    <row r="5138" spans="1:40" x14ac:dyDescent="0.25">
      <c r="A5138" t="str">
        <f>"20190303153912464"</f>
        <v>20190303153912464</v>
      </c>
      <c r="B5138" t="str">
        <f>"1551598752454213"</f>
        <v>1551598752454213</v>
      </c>
      <c r="C5138" t="s">
        <v>40</v>
      </c>
      <c r="D5138">
        <v>4.7675989999999997</v>
      </c>
      <c r="E5138">
        <v>0.5388638</v>
      </c>
      <c r="F5138" t="s">
        <v>42</v>
      </c>
      <c r="G5138">
        <v>-194.94040000000001</v>
      </c>
      <c r="H5138" s="1">
        <v>-2.7196900000000001E-6</v>
      </c>
      <c r="I5138">
        <v>162.5642</v>
      </c>
      <c r="J5138">
        <v>-190.9606</v>
      </c>
      <c r="K5138">
        <v>1.1203299999999901</v>
      </c>
      <c r="L5138">
        <v>198.14619999999999</v>
      </c>
      <c r="M5138">
        <v>2.7655880000000001E-2</v>
      </c>
      <c r="N5138">
        <v>-1.2403539999999999E-2</v>
      </c>
      <c r="O5138">
        <v>-0.9995406</v>
      </c>
      <c r="P5138">
        <v>-4.4733189999999999E-3</v>
      </c>
      <c r="Q5138">
        <v>-4.5041999999999999E-2</v>
      </c>
      <c r="R5138">
        <v>-0.99897550000000002</v>
      </c>
      <c r="S5138">
        <v>-0.33364870000000002</v>
      </c>
      <c r="T5138">
        <v>-9.397614E-2</v>
      </c>
      <c r="U5138">
        <v>-2.996597</v>
      </c>
      <c r="V5138">
        <v>3.2032329999999998E-2</v>
      </c>
      <c r="W5138">
        <v>-3.2721630000000002E-2</v>
      </c>
      <c r="X5138">
        <v>0.99895109999999998</v>
      </c>
      <c r="Y5138">
        <v>0.138048</v>
      </c>
      <c r="Z5138">
        <v>1.8662629999999999E-2</v>
      </c>
      <c r="AA5138">
        <v>0.99024970000000001</v>
      </c>
      <c r="AB5138">
        <v>17</v>
      </c>
      <c r="AC5138">
        <v>-3.9798000000000102</v>
      </c>
      <c r="AD5138">
        <v>-1.1203327196899999</v>
      </c>
      <c r="AE5138">
        <v>-35.581999999999901</v>
      </c>
      <c r="AF5138">
        <v>4.9575506648620502</v>
      </c>
      <c r="AG5138">
        <v>-1.1203327196899999</v>
      </c>
      <c r="AH5138">
        <v>35.4236307375417</v>
      </c>
      <c r="AI5138">
        <v>91.794000940103899</v>
      </c>
      <c r="AJ5138">
        <v>82.033177858965104</v>
      </c>
      <c r="AK5138">
        <v>35.786395021393098</v>
      </c>
      <c r="AL5138">
        <v>91.875145950006399</v>
      </c>
      <c r="AM5138">
        <v>88.163384910025499</v>
      </c>
      <c r="AN5138">
        <v>1.0000000377131399</v>
      </c>
    </row>
    <row r="5139" spans="1:40" x14ac:dyDescent="0.25">
      <c r="A5139" t="str">
        <f>"20190303153912481"</f>
        <v>20190303153912481</v>
      </c>
      <c r="B5139" t="str">
        <f>"1551598752473727"</f>
        <v>1551598752473727</v>
      </c>
      <c r="C5139" t="s">
        <v>40</v>
      </c>
      <c r="D5139">
        <v>4.7862970000000002</v>
      </c>
      <c r="E5139">
        <v>0.53855209999999998</v>
      </c>
      <c r="F5139" t="s">
        <v>42</v>
      </c>
      <c r="G5139">
        <v>-194.7902</v>
      </c>
      <c r="H5139" s="1">
        <v>-2.6835810000000001E-6</v>
      </c>
      <c r="I5139">
        <v>162.57239999999999</v>
      </c>
      <c r="J5139">
        <v>-190.95859999999999</v>
      </c>
      <c r="K5139">
        <v>1.1203449999999999</v>
      </c>
      <c r="L5139">
        <v>198.01820000000001</v>
      </c>
      <c r="M5139">
        <v>2.6369380000000001E-2</v>
      </c>
      <c r="N5139">
        <v>-1.219188E-2</v>
      </c>
      <c r="O5139">
        <v>-0.99957790000000002</v>
      </c>
      <c r="P5139">
        <v>-3.6207019999999999E-3</v>
      </c>
      <c r="Q5139">
        <v>-4.523605E-2</v>
      </c>
      <c r="R5139">
        <v>-0.99896980000000002</v>
      </c>
      <c r="S5139">
        <v>-0.32267760000000001</v>
      </c>
      <c r="T5139">
        <v>-9.4396949999999993E-2</v>
      </c>
      <c r="U5139">
        <v>-2.9973749999999999</v>
      </c>
      <c r="V5139">
        <v>2.9897920000000001E-2</v>
      </c>
      <c r="W5139">
        <v>-3.3118189999999999E-2</v>
      </c>
      <c r="X5139">
        <v>0.99900409999999995</v>
      </c>
      <c r="Y5139">
        <v>0.1331629</v>
      </c>
      <c r="Z5139">
        <v>1.902541E-2</v>
      </c>
      <c r="AA5139">
        <v>0.99091149999999995</v>
      </c>
      <c r="AB5139">
        <v>17</v>
      </c>
      <c r="AC5139">
        <v>-3.8315999999999999</v>
      </c>
      <c r="AD5139">
        <v>-1.120347683581</v>
      </c>
      <c r="AE5139">
        <v>-35.445799999999998</v>
      </c>
      <c r="AF5139">
        <v>4.7603199433324104</v>
      </c>
      <c r="AG5139">
        <v>-1.120347683581</v>
      </c>
      <c r="AH5139">
        <v>35.297572237991098</v>
      </c>
      <c r="AI5139">
        <v>91.801662655501403</v>
      </c>
      <c r="AJ5139">
        <v>82.319287765622093</v>
      </c>
      <c r="AK5139">
        <v>35.634736294677403</v>
      </c>
      <c r="AL5139">
        <v>91.897879659535306</v>
      </c>
      <c r="AM5139">
        <v>88.285779334946298</v>
      </c>
      <c r="AN5139">
        <v>0.99999994597300401</v>
      </c>
    </row>
    <row r="5140" spans="1:40" x14ac:dyDescent="0.25">
      <c r="A5140" t="str">
        <f>"20190303153912498"</f>
        <v>20190303153912498</v>
      </c>
      <c r="B5140" t="str">
        <f>"1551598752494223"</f>
        <v>1551598752494223</v>
      </c>
      <c r="C5140" t="s">
        <v>40</v>
      </c>
      <c r="D5140">
        <v>4.752186</v>
      </c>
      <c r="E5140">
        <v>0.53833549999999997</v>
      </c>
      <c r="F5140" t="s">
        <v>42</v>
      </c>
      <c r="G5140">
        <v>-194.5367</v>
      </c>
      <c r="H5140" s="1">
        <v>-3.4226850000000001E-6</v>
      </c>
      <c r="I5140">
        <v>164.27860000000001</v>
      </c>
      <c r="J5140">
        <v>-190.95660000000001</v>
      </c>
      <c r="K5140">
        <v>1.12035</v>
      </c>
      <c r="L5140">
        <v>197.88910000000001</v>
      </c>
      <c r="M5140">
        <v>2.5131939999999998E-2</v>
      </c>
      <c r="N5140">
        <v>-1.1960129999999999E-2</v>
      </c>
      <c r="O5140">
        <v>-0.99961270000000002</v>
      </c>
      <c r="P5140">
        <v>-1.1378289999999999E-3</v>
      </c>
      <c r="Q5140">
        <v>-4.5632020000000002E-2</v>
      </c>
      <c r="R5140">
        <v>-0.9989576</v>
      </c>
      <c r="S5140">
        <v>-0.31788640000000001</v>
      </c>
      <c r="T5140">
        <v>-9.9532129999999996E-2</v>
      </c>
      <c r="U5140">
        <v>-2.9974370000000001</v>
      </c>
      <c r="V5140">
        <v>2.6182219999999999E-2</v>
      </c>
      <c r="W5140">
        <v>-3.3734060000000003E-2</v>
      </c>
      <c r="X5140">
        <v>0.99908779999999997</v>
      </c>
      <c r="Y5140">
        <v>0.13036329999999999</v>
      </c>
      <c r="Z5140">
        <v>2.0966039999999998E-2</v>
      </c>
      <c r="AA5140">
        <v>0.99124460000000003</v>
      </c>
      <c r="AB5140">
        <v>17</v>
      </c>
      <c r="AC5140">
        <v>-3.5800999999999799</v>
      </c>
      <c r="AD5140">
        <v>-1.120353422685</v>
      </c>
      <c r="AE5140">
        <v>-33.610500000000002</v>
      </c>
      <c r="AF5140">
        <v>4.4188716356518203</v>
      </c>
      <c r="AG5140">
        <v>-1.120353422685</v>
      </c>
      <c r="AH5140">
        <v>33.473125745165</v>
      </c>
      <c r="AI5140">
        <v>91.900511029615501</v>
      </c>
      <c r="AJ5140">
        <v>82.479724695531004</v>
      </c>
      <c r="AK5140">
        <v>33.782121980061</v>
      </c>
      <c r="AL5140">
        <v>91.933186108881003</v>
      </c>
      <c r="AM5140">
        <v>88.498843209478096</v>
      </c>
      <c r="AN5140">
        <v>0.99999996377852496</v>
      </c>
    </row>
    <row r="5141" spans="1:40" x14ac:dyDescent="0.25">
      <c r="A5141" t="str">
        <f>"20190303153912513"</f>
        <v>20190303153912513</v>
      </c>
      <c r="B5141" t="str">
        <f>"1551598752503984"</f>
        <v>1551598752503984</v>
      </c>
      <c r="C5141" t="s">
        <v>40</v>
      </c>
      <c r="D5141">
        <v>4.7431749999999999</v>
      </c>
      <c r="E5141">
        <v>0.53826409999999902</v>
      </c>
      <c r="F5141" t="s">
        <v>42</v>
      </c>
      <c r="G5141">
        <v>-194.26009999999999</v>
      </c>
      <c r="H5141" s="1">
        <v>-4.0291229999999997E-6</v>
      </c>
      <c r="I5141">
        <v>165.81039999999999</v>
      </c>
      <c r="J5141">
        <v>-190.95490000000001</v>
      </c>
      <c r="K5141">
        <v>1.120363</v>
      </c>
      <c r="L5141">
        <v>197.76490000000001</v>
      </c>
      <c r="M5141">
        <v>2.3996980000000001E-2</v>
      </c>
      <c r="N5141">
        <v>-1.172898E-2</v>
      </c>
      <c r="O5141">
        <v>-0.99964339999999996</v>
      </c>
      <c r="P5141">
        <v>-8.8686649999999902E-4</v>
      </c>
      <c r="Q5141">
        <v>-4.5520339999999999E-2</v>
      </c>
      <c r="R5141">
        <v>-0.99896320000000005</v>
      </c>
      <c r="S5141">
        <v>-0.30873109999999998</v>
      </c>
      <c r="T5141">
        <v>-0.10470550000000001</v>
      </c>
      <c r="U5141">
        <v>-2.9980009999999999</v>
      </c>
      <c r="V5141">
        <v>2.4801259999999999E-2</v>
      </c>
      <c r="W5141">
        <v>-3.3847410000000001E-2</v>
      </c>
      <c r="X5141">
        <v>0.99911919999999999</v>
      </c>
      <c r="Y5141">
        <v>0.12621879999999999</v>
      </c>
      <c r="Z5141">
        <v>2.2918919999999999E-2</v>
      </c>
      <c r="AA5141">
        <v>0.9917376</v>
      </c>
      <c r="AB5141">
        <v>17</v>
      </c>
      <c r="AC5141">
        <v>-3.3051999999999802</v>
      </c>
      <c r="AD5141">
        <v>-1.1203670291229999</v>
      </c>
      <c r="AE5141">
        <v>-31.954499999999999</v>
      </c>
      <c r="AF5141">
        <v>4.0661665751824501</v>
      </c>
      <c r="AG5141">
        <v>-1.1203670291229999</v>
      </c>
      <c r="AH5141">
        <v>31.8272655881037</v>
      </c>
      <c r="AI5141">
        <v>91.999823021878399</v>
      </c>
      <c r="AJ5141">
        <v>82.7194837641958</v>
      </c>
      <c r="AK5141">
        <v>32.105509927624098</v>
      </c>
      <c r="AL5141">
        <v>91.939684298672503</v>
      </c>
      <c r="AM5141">
        <v>88.578031766935993</v>
      </c>
      <c r="AN5141">
        <v>0.99999996273496705</v>
      </c>
    </row>
    <row r="5142" spans="1:40" x14ac:dyDescent="0.25">
      <c r="A5142" t="str">
        <f>"20190303153912530"</f>
        <v>20190303153912530</v>
      </c>
      <c r="B5142" t="str">
        <f>"1551598752523503"</f>
        <v>1551598752523503</v>
      </c>
      <c r="C5142" t="s">
        <v>40</v>
      </c>
      <c r="D5142">
        <v>4.7839109999999998</v>
      </c>
      <c r="E5142">
        <v>0.53830339999999999</v>
      </c>
      <c r="F5142" t="s">
        <v>42</v>
      </c>
      <c r="G5142">
        <v>-194.19739999999999</v>
      </c>
      <c r="H5142" s="1">
        <v>-4.1445779999999999E-6</v>
      </c>
      <c r="I5142">
        <v>166.14</v>
      </c>
      <c r="J5142">
        <v>-190.95310000000001</v>
      </c>
      <c r="K5142">
        <v>1.1203780000000001</v>
      </c>
      <c r="L5142">
        <v>197.63</v>
      </c>
      <c r="M5142">
        <v>2.283046E-2</v>
      </c>
      <c r="N5142">
        <v>-1.148093E-2</v>
      </c>
      <c r="O5142">
        <v>-0.99967349999999999</v>
      </c>
      <c r="P5142">
        <v>-5.6105420000000003E-4</v>
      </c>
      <c r="Q5142">
        <v>-4.5188119999999998E-2</v>
      </c>
      <c r="R5142">
        <v>-0.99897860000000005</v>
      </c>
      <c r="S5142">
        <v>-0.3073883</v>
      </c>
      <c r="T5142">
        <v>-0.10620930000000001</v>
      </c>
      <c r="U5142">
        <v>-2.9980009999999999</v>
      </c>
      <c r="V5142">
        <v>2.33148E-2</v>
      </c>
      <c r="W5142">
        <v>-3.3756969999999997E-2</v>
      </c>
      <c r="X5142">
        <v>0.99915810000000005</v>
      </c>
      <c r="Y5142">
        <v>0.1246207</v>
      </c>
      <c r="Z5142">
        <v>2.3671109999999999E-2</v>
      </c>
      <c r="AA5142">
        <v>0.99192210000000003</v>
      </c>
      <c r="AB5142">
        <v>18</v>
      </c>
      <c r="AC5142">
        <v>-3.24429999999998</v>
      </c>
      <c r="AD5142">
        <v>-1.120382144578</v>
      </c>
      <c r="AE5142">
        <v>-31.49</v>
      </c>
      <c r="AF5142">
        <v>3.9574757737802502</v>
      </c>
      <c r="AG5142">
        <v>-1.120382144578</v>
      </c>
      <c r="AH5142">
        <v>31.368426238949102</v>
      </c>
      <c r="AI5142">
        <v>92.0294827428594</v>
      </c>
      <c r="AJ5142">
        <v>82.8094892839446</v>
      </c>
      <c r="AK5142">
        <v>31.636925188114301</v>
      </c>
      <c r="AL5142">
        <v>91.934499412158601</v>
      </c>
      <c r="AM5142">
        <v>88.663277347091906</v>
      </c>
      <c r="AN5142">
        <v>1.0000000108591101</v>
      </c>
    </row>
    <row r="5143" spans="1:40" x14ac:dyDescent="0.25">
      <c r="A5143" t="str">
        <f>"20190303153912542"</f>
        <v>20190303153912542</v>
      </c>
      <c r="B5143" t="str">
        <f>"1551598752534239"</f>
        <v>1551598752534239</v>
      </c>
      <c r="C5143" t="s">
        <v>40</v>
      </c>
      <c r="D5143">
        <v>4.7009059999999998</v>
      </c>
      <c r="E5143">
        <v>0.53826049999999903</v>
      </c>
      <c r="F5143" t="s">
        <v>42</v>
      </c>
      <c r="G5143">
        <v>-194.14830000000001</v>
      </c>
      <c r="H5143" s="1">
        <v>-4.2411120000000003E-6</v>
      </c>
      <c r="I5143">
        <v>166.41399999999999</v>
      </c>
      <c r="J5143">
        <v>-190.95189999999999</v>
      </c>
      <c r="K5143">
        <v>1.1203920000000001</v>
      </c>
      <c r="L5143">
        <v>197.53639999999999</v>
      </c>
      <c r="M5143">
        <v>2.2073300000000001E-2</v>
      </c>
      <c r="N5143">
        <v>-1.131742E-2</v>
      </c>
      <c r="O5143">
        <v>-0.99969240000000004</v>
      </c>
      <c r="P5143">
        <v>-1.3691580000000001E-3</v>
      </c>
      <c r="Q5143">
        <v>-4.475838E-2</v>
      </c>
      <c r="R5143">
        <v>-0.99899720000000003</v>
      </c>
      <c r="S5143">
        <v>-0.30686950000000002</v>
      </c>
      <c r="T5143">
        <v>-0.1076034</v>
      </c>
      <c r="U5143">
        <v>-2.9980319999999998</v>
      </c>
      <c r="V5143">
        <v>2.3369870000000001E-2</v>
      </c>
      <c r="W5143">
        <v>-3.3488570000000002E-2</v>
      </c>
      <c r="X5143">
        <v>0.99916579999999999</v>
      </c>
      <c r="Y5143">
        <v>0.12369719999999999</v>
      </c>
      <c r="Z5143">
        <v>2.4299270000000001E-2</v>
      </c>
      <c r="AA5143">
        <v>0.99202250000000003</v>
      </c>
      <c r="AB5143">
        <v>18</v>
      </c>
      <c r="AC5143">
        <v>-3.1964000000000099</v>
      </c>
      <c r="AD5143">
        <v>-1.1203962411120001</v>
      </c>
      <c r="AE5143">
        <v>-31.122399999999899</v>
      </c>
      <c r="AF5143">
        <v>3.8776662037848002</v>
      </c>
      <c r="AG5143">
        <v>-1.1203962411120001</v>
      </c>
      <c r="AH5143">
        <v>31.004494921551899</v>
      </c>
      <c r="AI5143">
        <v>92.053587764585998</v>
      </c>
      <c r="AJ5143">
        <v>82.8711547285628</v>
      </c>
      <c r="AK5143">
        <v>31.266120454345</v>
      </c>
      <c r="AL5143">
        <v>91.919112612281793</v>
      </c>
      <c r="AM5143">
        <v>88.660131454373399</v>
      </c>
      <c r="AN5143">
        <v>0.99999996551704995</v>
      </c>
    </row>
    <row r="5144" spans="1:40" x14ac:dyDescent="0.25">
      <c r="A5144" t="str">
        <f>"20190303153912553"</f>
        <v>20190303153912553</v>
      </c>
      <c r="B5144" t="str">
        <f>"1551598752544000"</f>
        <v>1551598752544000</v>
      </c>
      <c r="C5144" t="s">
        <v>40</v>
      </c>
      <c r="D5144">
        <v>4.7157479999999996</v>
      </c>
      <c r="E5144">
        <v>0.53826339999999995</v>
      </c>
      <c r="F5144" t="s">
        <v>42</v>
      </c>
      <c r="G5144">
        <v>-194.15520000000001</v>
      </c>
      <c r="H5144" s="1">
        <v>-4.2588060000000004E-6</v>
      </c>
      <c r="I5144">
        <v>166.45689999999999</v>
      </c>
      <c r="J5144">
        <v>-190.95079999999999</v>
      </c>
      <c r="K5144">
        <v>1.1204050000000001</v>
      </c>
      <c r="L5144">
        <v>197.4485</v>
      </c>
      <c r="M5144">
        <v>2.137828E-2</v>
      </c>
      <c r="N5144">
        <v>-1.116721E-2</v>
      </c>
      <c r="O5144">
        <v>-0.99970899999999996</v>
      </c>
      <c r="P5144">
        <v>-2.220419E-3</v>
      </c>
      <c r="Q5144">
        <v>-4.4187490000000003E-2</v>
      </c>
      <c r="R5144">
        <v>-0.99902060000000004</v>
      </c>
      <c r="S5144">
        <v>-0.30897520000000001</v>
      </c>
      <c r="T5144">
        <v>-0.1080666</v>
      </c>
      <c r="U5144">
        <v>-2.9977420000000001</v>
      </c>
      <c r="V5144">
        <v>2.3530260000000001E-2</v>
      </c>
      <c r="W5144">
        <v>-3.3065999999999998E-2</v>
      </c>
      <c r="X5144">
        <v>0.99917610000000001</v>
      </c>
      <c r="Y5144">
        <v>0.1237062</v>
      </c>
      <c r="Z5144">
        <v>2.4606059999999999E-2</v>
      </c>
      <c r="AA5144">
        <v>0.99201379999999995</v>
      </c>
      <c r="AB5144">
        <v>18</v>
      </c>
      <c r="AC5144">
        <v>-3.2044000000000201</v>
      </c>
      <c r="AD5144">
        <v>-1.120409258806</v>
      </c>
      <c r="AE5144">
        <v>-30.991599999999998</v>
      </c>
      <c r="AF5144">
        <v>3.8612628756689</v>
      </c>
      <c r="AG5144">
        <v>-1.120409258806</v>
      </c>
      <c r="AH5144">
        <v>30.8760801697136</v>
      </c>
      <c r="AI5144">
        <v>92.062148108350399</v>
      </c>
      <c r="AJ5144">
        <v>82.871780997912396</v>
      </c>
      <c r="AK5144">
        <v>31.136746691791998</v>
      </c>
      <c r="AL5144">
        <v>91.894887734699694</v>
      </c>
      <c r="AM5144">
        <v>88.650953076868404</v>
      </c>
      <c r="AN5144">
        <v>0.999999956151437</v>
      </c>
    </row>
    <row r="5145" spans="1:40" x14ac:dyDescent="0.25">
      <c r="A5145" t="str">
        <f>"20190303153912566"</f>
        <v>20190303153912566</v>
      </c>
      <c r="B5145" t="str">
        <f>"1551598752563519"</f>
        <v>1551598752563519</v>
      </c>
      <c r="C5145" t="s">
        <v>40</v>
      </c>
      <c r="D5145">
        <v>4.7349629999999996</v>
      </c>
      <c r="E5145">
        <v>0.53815690000000005</v>
      </c>
      <c r="F5145" t="s">
        <v>42</v>
      </c>
      <c r="G5145">
        <v>-194.1952</v>
      </c>
      <c r="H5145" s="1">
        <v>-4.1847830000000003E-6</v>
      </c>
      <c r="I5145">
        <v>166.2457</v>
      </c>
      <c r="J5145">
        <v>-190.9495</v>
      </c>
      <c r="K5145">
        <v>1.1204240000000001</v>
      </c>
      <c r="L5145">
        <v>197.34229999999999</v>
      </c>
      <c r="M5145">
        <v>2.0578010000000001E-2</v>
      </c>
      <c r="N5145">
        <v>-1.0993920000000001E-2</v>
      </c>
      <c r="O5145">
        <v>-0.9997277</v>
      </c>
      <c r="P5145">
        <v>-2.7548009999999999E-3</v>
      </c>
      <c r="Q5145">
        <v>-4.3692549999999997E-2</v>
      </c>
      <c r="R5145">
        <v>-0.99904130000000002</v>
      </c>
      <c r="S5145">
        <v>-0.31167600000000001</v>
      </c>
      <c r="T5145">
        <v>-0.10763259999999999</v>
      </c>
      <c r="U5145">
        <v>-2.9975130000000001</v>
      </c>
      <c r="V5145">
        <v>2.3268810000000001E-2</v>
      </c>
      <c r="W5145">
        <v>-3.2741449999999998E-2</v>
      </c>
      <c r="X5145">
        <v>0.999193</v>
      </c>
      <c r="Y5145">
        <v>0.1238045</v>
      </c>
      <c r="Z5145">
        <v>2.4638050000000002E-2</v>
      </c>
      <c r="AA5145">
        <v>0.99200069999999996</v>
      </c>
      <c r="AB5145">
        <v>18</v>
      </c>
      <c r="AC5145">
        <v>-3.2456999999999998</v>
      </c>
      <c r="AD5145">
        <v>-1.120428184783</v>
      </c>
      <c r="AE5145">
        <v>-31.096599999999899</v>
      </c>
      <c r="AF5145">
        <v>3.87997481876091</v>
      </c>
      <c r="AG5145">
        <v>-1.120428184783</v>
      </c>
      <c r="AH5145">
        <v>30.983431136561801</v>
      </c>
      <c r="AI5145">
        <v>92.055000856525496</v>
      </c>
      <c r="AJ5145">
        <v>82.862154861063601</v>
      </c>
      <c r="AK5145">
        <v>31.245520781474301</v>
      </c>
      <c r="AL5145">
        <v>91.876282146206506</v>
      </c>
      <c r="AM5145">
        <v>88.665959748324795</v>
      </c>
      <c r="AN5145">
        <v>1.0000000456579501</v>
      </c>
    </row>
    <row r="5146" spans="1:40" x14ac:dyDescent="0.25">
      <c r="A5146" t="str">
        <f>"20190303153912584"</f>
        <v>20190303153912584</v>
      </c>
      <c r="B5146" t="str">
        <f>"1551598752573280"</f>
        <v>1551598752573280</v>
      </c>
      <c r="C5146" t="s">
        <v>40</v>
      </c>
      <c r="D5146">
        <v>4.7185459999999999</v>
      </c>
      <c r="E5146">
        <v>0.53811889999999996</v>
      </c>
      <c r="F5146" t="s">
        <v>42</v>
      </c>
      <c r="G5146">
        <v>-194.1848</v>
      </c>
      <c r="H5146" s="1">
        <v>-4.2046980000000001E-6</v>
      </c>
      <c r="I5146">
        <v>166.3023</v>
      </c>
      <c r="J5146">
        <v>-190.9478</v>
      </c>
      <c r="K5146">
        <v>1.120458</v>
      </c>
      <c r="L5146">
        <v>197.1978</v>
      </c>
      <c r="M5146">
        <v>1.9563690000000002E-2</v>
      </c>
      <c r="N5146">
        <v>-1.077213E-2</v>
      </c>
      <c r="O5146">
        <v>-0.99975080000000005</v>
      </c>
      <c r="P5146">
        <v>-4.168237E-3</v>
      </c>
      <c r="Q5146">
        <v>-4.3253710000000001E-2</v>
      </c>
      <c r="R5146">
        <v>-0.99905580000000005</v>
      </c>
      <c r="S5146">
        <v>-0.31240839999999998</v>
      </c>
      <c r="T5146">
        <v>-0.10819090000000001</v>
      </c>
      <c r="U5146">
        <v>-2.9972840000000001</v>
      </c>
      <c r="V5146">
        <v>2.367315E-2</v>
      </c>
      <c r="W5146">
        <v>-3.2521809999999998E-2</v>
      </c>
      <c r="X5146">
        <v>0.99919060000000004</v>
      </c>
      <c r="Y5146">
        <v>0.123045</v>
      </c>
      <c r="Z5146">
        <v>2.5050300000000001E-2</v>
      </c>
      <c r="AA5146">
        <v>0.99208490000000005</v>
      </c>
      <c r="AB5146">
        <v>18</v>
      </c>
      <c r="AC5146">
        <v>-3.2369999999999899</v>
      </c>
      <c r="AD5146">
        <v>-1.120462204698</v>
      </c>
      <c r="AE5146">
        <v>-30.895499999999998</v>
      </c>
      <c r="AF5146">
        <v>3.83585505294749</v>
      </c>
      <c r="AG5146">
        <v>-1.120462204698</v>
      </c>
      <c r="AH5146">
        <v>30.786203492340999</v>
      </c>
      <c r="AI5146">
        <v>92.068377626472397</v>
      </c>
      <c r="AJ5146">
        <v>82.897744563388699</v>
      </c>
      <c r="AK5146">
        <v>31.044476884161099</v>
      </c>
      <c r="AL5146">
        <v>91.863691136138797</v>
      </c>
      <c r="AM5146">
        <v>88.642783589847895</v>
      </c>
      <c r="AN5146">
        <v>0.99999997064247803</v>
      </c>
    </row>
    <row r="5147" spans="1:40" x14ac:dyDescent="0.25">
      <c r="A5147" t="str">
        <f>"20190303153912597"</f>
        <v>20190303153912597</v>
      </c>
      <c r="B5147" t="str">
        <f>"1551598752593776"</f>
        <v>1551598752593776</v>
      </c>
      <c r="C5147" t="s">
        <v>40</v>
      </c>
      <c r="D5147">
        <v>4.7572999999999999</v>
      </c>
      <c r="E5147">
        <v>0.53817159999999997</v>
      </c>
      <c r="F5147" t="s">
        <v>42</v>
      </c>
      <c r="G5147">
        <v>-194.24080000000001</v>
      </c>
      <c r="H5147" s="1">
        <v>-4.098667E-6</v>
      </c>
      <c r="I5147">
        <v>166.00040000000001</v>
      </c>
      <c r="J5147">
        <v>-190.94669999999999</v>
      </c>
      <c r="K5147">
        <v>1.120482</v>
      </c>
      <c r="L5147">
        <v>197.09909999999999</v>
      </c>
      <c r="M5147">
        <v>1.8920139999999998E-2</v>
      </c>
      <c r="N5147">
        <v>-1.062981E-2</v>
      </c>
      <c r="O5147">
        <v>-0.99976449999999994</v>
      </c>
      <c r="P5147">
        <v>-5.5706419999999998E-3</v>
      </c>
      <c r="Q5147">
        <v>-4.3088939999999999E-2</v>
      </c>
      <c r="R5147">
        <v>-0.9990559</v>
      </c>
      <c r="S5147">
        <v>-0.31633</v>
      </c>
      <c r="T5147">
        <v>-0.107633199999999</v>
      </c>
      <c r="U5147">
        <v>-2.9968720000000002</v>
      </c>
      <c r="V5147">
        <v>2.4435180000000001E-2</v>
      </c>
      <c r="W5147">
        <v>-3.2498199999999998E-2</v>
      </c>
      <c r="X5147">
        <v>0.99917299999999998</v>
      </c>
      <c r="Y5147">
        <v>0.1237048</v>
      </c>
      <c r="Z5147">
        <v>2.50101E-2</v>
      </c>
      <c r="AA5147">
        <v>0.99200390000000005</v>
      </c>
      <c r="AB5147">
        <v>18</v>
      </c>
      <c r="AC5147">
        <v>-3.29410000000001</v>
      </c>
      <c r="AD5147">
        <v>-1.120486098667</v>
      </c>
      <c r="AE5147">
        <v>-31.098699999999901</v>
      </c>
      <c r="AF5147">
        <v>3.8769582073678399</v>
      </c>
      <c r="AG5147">
        <v>-1.120486098667</v>
      </c>
      <c r="AH5147">
        <v>30.991019349641402</v>
      </c>
      <c r="AI5147">
        <v>92.054636602293996</v>
      </c>
      <c r="AJ5147">
        <v>82.869375625581199</v>
      </c>
      <c r="AK5147">
        <v>31.252673075575899</v>
      </c>
      <c r="AL5147">
        <v>91.862337710472005</v>
      </c>
      <c r="AM5147">
        <v>88.5990877641905</v>
      </c>
      <c r="AN5147">
        <v>0.99999994747693399</v>
      </c>
    </row>
    <row r="5148" spans="1:40" x14ac:dyDescent="0.25">
      <c r="A5148" t="str">
        <f>"20190303153912609"</f>
        <v>20190303153912609</v>
      </c>
      <c r="B5148" t="str">
        <f>"1551598752603536"</f>
        <v>1551598752603536</v>
      </c>
      <c r="C5148" t="s">
        <v>40</v>
      </c>
      <c r="D5148">
        <v>4.7338389999999997</v>
      </c>
      <c r="E5148">
        <v>0.5381901</v>
      </c>
      <c r="F5148" t="s">
        <v>42</v>
      </c>
      <c r="G5148">
        <v>-194.2663</v>
      </c>
      <c r="H5148" s="1">
        <v>-4.1461750000000002E-6</v>
      </c>
      <c r="I5148">
        <v>166.1123</v>
      </c>
      <c r="J5148">
        <v>-190.94560000000001</v>
      </c>
      <c r="K5148">
        <v>1.1205020000000001</v>
      </c>
      <c r="L5148">
        <v>197.00399999999999</v>
      </c>
      <c r="M5148">
        <v>1.8322109999999999E-2</v>
      </c>
      <c r="N5148">
        <v>-1.049682E-2</v>
      </c>
      <c r="O5148">
        <v>-0.99977729999999998</v>
      </c>
      <c r="P5148">
        <v>-6.6740609999999898E-3</v>
      </c>
      <c r="Q5148">
        <v>-4.3101889999999997E-2</v>
      </c>
      <c r="R5148">
        <v>-0.99904870000000001</v>
      </c>
      <c r="S5148">
        <v>-0.32099909999999998</v>
      </c>
      <c r="T5148">
        <v>-0.1083491</v>
      </c>
      <c r="U5148">
        <v>-2.9963679999999999</v>
      </c>
      <c r="V5148">
        <v>2.4943429999999999E-2</v>
      </c>
      <c r="W5148">
        <v>-3.2642640000000001E-2</v>
      </c>
      <c r="X5148">
        <v>0.99915580000000004</v>
      </c>
      <c r="Y5148">
        <v>0.12465619999999999</v>
      </c>
      <c r="Z5148">
        <v>2.5381709999999998E-2</v>
      </c>
      <c r="AA5148">
        <v>0.99187530000000002</v>
      </c>
      <c r="AB5148">
        <v>18</v>
      </c>
      <c r="AC5148">
        <v>-3.32069999999998</v>
      </c>
      <c r="AD5148">
        <v>-1.1205061461750001</v>
      </c>
      <c r="AE5148">
        <v>-30.8917</v>
      </c>
      <c r="AF5148">
        <v>3.8811267445805901</v>
      </c>
      <c r="AG5148">
        <v>-1.1205061461750001</v>
      </c>
      <c r="AH5148">
        <v>30.7856274098211</v>
      </c>
      <c r="AI5148">
        <v>92.068121766174002</v>
      </c>
      <c r="AJ5148">
        <v>82.814660013478203</v>
      </c>
      <c r="AK5148">
        <v>31.049533552816001</v>
      </c>
      <c r="AL5148">
        <v>91.870617780703597</v>
      </c>
      <c r="AM5148">
        <v>88.569936259040801</v>
      </c>
      <c r="AN5148">
        <v>1.0000000146599799</v>
      </c>
    </row>
    <row r="5149" spans="1:40" x14ac:dyDescent="0.25">
      <c r="A5149" t="str">
        <f>"20190303153912621"</f>
        <v>20190303153912621</v>
      </c>
      <c r="B5149" t="str">
        <f>"1551598752614272"</f>
        <v>1551598752614272</v>
      </c>
      <c r="C5149" t="s">
        <v>40</v>
      </c>
      <c r="D5149">
        <v>4.7487500000000002</v>
      </c>
      <c r="E5149">
        <v>0.53818889999999997</v>
      </c>
      <c r="F5149" t="s">
        <v>42</v>
      </c>
      <c r="G5149">
        <v>-194.28020000000001</v>
      </c>
      <c r="H5149" s="1">
        <v>-4.1842020000000002E-6</v>
      </c>
      <c r="I5149">
        <v>166.20490000000001</v>
      </c>
      <c r="J5149">
        <v>-190.94460000000001</v>
      </c>
      <c r="K5149">
        <v>1.1205240000000001</v>
      </c>
      <c r="L5149">
        <v>196.9118</v>
      </c>
      <c r="M5149">
        <v>1.779874E-2</v>
      </c>
      <c r="N5149">
        <v>-1.037939E-2</v>
      </c>
      <c r="O5149">
        <v>-0.99978789999999995</v>
      </c>
      <c r="P5149">
        <v>-8.0743859999999994E-3</v>
      </c>
      <c r="Q5149">
        <v>-4.329645E-2</v>
      </c>
      <c r="R5149">
        <v>-0.99902990000000003</v>
      </c>
      <c r="S5149">
        <v>-0.32437129999999997</v>
      </c>
      <c r="T5149">
        <v>-0.1089981</v>
      </c>
      <c r="U5149">
        <v>-2.9960019999999998</v>
      </c>
      <c r="V5149">
        <v>2.5822709999999999E-2</v>
      </c>
      <c r="W5149">
        <v>-3.2953679999999999E-2</v>
      </c>
      <c r="X5149">
        <v>0.99912319999999999</v>
      </c>
      <c r="Y5149">
        <v>0.12525240000000001</v>
      </c>
      <c r="Z5149">
        <v>2.5715499999999999E-2</v>
      </c>
      <c r="AA5149">
        <v>0.9917916</v>
      </c>
      <c r="AB5149">
        <v>18</v>
      </c>
      <c r="AC5149">
        <v>-3.3355999999999901</v>
      </c>
      <c r="AD5149">
        <v>-1.1205281842020001</v>
      </c>
      <c r="AE5149">
        <v>-30.706899999999901</v>
      </c>
      <c r="AF5149">
        <v>3.8765432180521802</v>
      </c>
      <c r="AG5149">
        <v>-1.1205281842020001</v>
      </c>
      <c r="AH5149">
        <v>30.602387642928601</v>
      </c>
      <c r="AI5149">
        <v>92.080378768330306</v>
      </c>
      <c r="AJ5149">
        <v>82.780535484234704</v>
      </c>
      <c r="AK5149">
        <v>30.867285273912302</v>
      </c>
      <c r="AL5149">
        <v>91.888448750306907</v>
      </c>
      <c r="AM5149">
        <v>88.519498900320997</v>
      </c>
      <c r="AN5149">
        <v>0.99999996307776196</v>
      </c>
    </row>
    <row r="5150" spans="1:40" x14ac:dyDescent="0.25">
      <c r="A5150" t="str">
        <f>"20190303153912633"</f>
        <v>20190303153912633</v>
      </c>
      <c r="B5150" t="str">
        <f>"1551598752624031"</f>
        <v>1551598752624031</v>
      </c>
      <c r="C5150" t="s">
        <v>40</v>
      </c>
      <c r="D5150">
        <v>4.7722559999999996</v>
      </c>
      <c r="E5150">
        <v>0.53817190000000004</v>
      </c>
      <c r="F5150" t="s">
        <v>42</v>
      </c>
      <c r="G5150">
        <v>-194.2868</v>
      </c>
      <c r="H5150" s="1">
        <v>-4.2768329999999997E-6</v>
      </c>
      <c r="I5150">
        <v>166.44309999999999</v>
      </c>
      <c r="J5150">
        <v>-190.9435</v>
      </c>
      <c r="K5150">
        <v>1.1205510000000001</v>
      </c>
      <c r="L5150">
        <v>196.81319999999999</v>
      </c>
      <c r="M5150">
        <v>1.7256779999999999E-2</v>
      </c>
      <c r="N5150">
        <v>-1.0257830000000001E-2</v>
      </c>
      <c r="O5150">
        <v>-0.99979830000000003</v>
      </c>
      <c r="P5150">
        <v>-9.6806050000000001E-3</v>
      </c>
      <c r="Q5150">
        <v>-4.372127E-2</v>
      </c>
      <c r="R5150">
        <v>-0.99899680000000002</v>
      </c>
      <c r="S5150">
        <v>-0.32858280000000001</v>
      </c>
      <c r="T5150">
        <v>-0.1101635</v>
      </c>
      <c r="U5150">
        <v>-2.9954990000000001</v>
      </c>
      <c r="V5150">
        <v>2.6889090000000001E-2</v>
      </c>
      <c r="W5150">
        <v>-3.349916E-2</v>
      </c>
      <c r="X5150">
        <v>0.99907699999999999</v>
      </c>
      <c r="Y5150">
        <v>0.126109</v>
      </c>
      <c r="Z5150">
        <v>2.622476E-2</v>
      </c>
      <c r="AA5150">
        <v>0.99166969999999999</v>
      </c>
      <c r="AB5150">
        <v>18</v>
      </c>
      <c r="AC5150">
        <v>-3.3433000000000002</v>
      </c>
      <c r="AD5150">
        <v>-1.120555276833</v>
      </c>
      <c r="AE5150">
        <v>-30.370100000000001</v>
      </c>
      <c r="AF5150">
        <v>3.8617256330608298</v>
      </c>
      <c r="AG5150">
        <v>-1.120555276833</v>
      </c>
      <c r="AH5150">
        <v>30.267168243299199</v>
      </c>
      <c r="AI5150">
        <v>92.1032097711917</v>
      </c>
      <c r="AJ5150">
        <v>82.729033638953595</v>
      </c>
      <c r="AK5150">
        <v>30.533097492092999</v>
      </c>
      <c r="AL5150">
        <v>91.9197195829435</v>
      </c>
      <c r="AM5150">
        <v>88.458317483933101</v>
      </c>
      <c r="AN5150">
        <v>1.0000000344053599</v>
      </c>
    </row>
    <row r="5151" spans="1:40" x14ac:dyDescent="0.25">
      <c r="A5151" t="str">
        <f>"20190303153912645"</f>
        <v>20190303153912645</v>
      </c>
      <c r="B5151" t="str">
        <f>"1551598752633791"</f>
        <v>1551598752633791</v>
      </c>
      <c r="C5151" t="s">
        <v>40</v>
      </c>
      <c r="D5151">
        <v>4.7637549999999997</v>
      </c>
      <c r="E5151">
        <v>0.53813269999999902</v>
      </c>
      <c r="F5151" t="s">
        <v>42</v>
      </c>
      <c r="G5151">
        <v>-194.279</v>
      </c>
      <c r="H5151" s="1">
        <v>-4.4239189999999996E-6</v>
      </c>
      <c r="I5151">
        <v>166.8297</v>
      </c>
      <c r="J5151">
        <v>-190.94239999999999</v>
      </c>
      <c r="K5151">
        <v>1.1205830000000001</v>
      </c>
      <c r="L5151">
        <v>196.71260000000001</v>
      </c>
      <c r="M5151">
        <v>1.6743750000000002E-2</v>
      </c>
      <c r="N5151">
        <v>-1.014284E-2</v>
      </c>
      <c r="O5151">
        <v>-0.99980829999999998</v>
      </c>
      <c r="P5151">
        <v>-1.107022E-2</v>
      </c>
      <c r="Q5151">
        <v>-4.392683E-2</v>
      </c>
      <c r="R5151">
        <v>-0.99897340000000001</v>
      </c>
      <c r="S5151">
        <v>-0.33316040000000002</v>
      </c>
      <c r="T5151">
        <v>-0.1119256</v>
      </c>
      <c r="U5151">
        <v>-2.9948730000000001</v>
      </c>
      <c r="V5151">
        <v>2.776822E-2</v>
      </c>
      <c r="W5151">
        <v>-3.3818349999999997E-2</v>
      </c>
      <c r="X5151">
        <v>0.99904219999999999</v>
      </c>
      <c r="Y5151">
        <v>0.12711749999999999</v>
      </c>
      <c r="Z5151">
        <v>2.692568E-2</v>
      </c>
      <c r="AA5151">
        <v>0.99152209999999996</v>
      </c>
      <c r="AB5151">
        <v>18</v>
      </c>
      <c r="AC5151">
        <v>-3.33660000000003</v>
      </c>
      <c r="AD5151">
        <v>-1.1205874239189999</v>
      </c>
      <c r="AE5151">
        <v>-29.882899999999999</v>
      </c>
      <c r="AF5151">
        <v>3.8311887191323502</v>
      </c>
      <c r="AG5151">
        <v>-1.1205874239189999</v>
      </c>
      <c r="AH5151">
        <v>29.7814773822391</v>
      </c>
      <c r="AI5151">
        <v>92.137255571728204</v>
      </c>
      <c r="AJ5151">
        <v>82.669540160291405</v>
      </c>
      <c r="AK5151">
        <v>30.0477972278347</v>
      </c>
      <c r="AL5151">
        <v>91.938018187241397</v>
      </c>
      <c r="AM5151">
        <v>88.407882780926499</v>
      </c>
      <c r="AN5151">
        <v>1.0000000361097601</v>
      </c>
    </row>
    <row r="5152" spans="1:40" x14ac:dyDescent="0.25">
      <c r="A5152" t="str">
        <f>"20190303153912658"</f>
        <v>20190303153912658</v>
      </c>
      <c r="B5152" t="str">
        <f>"1551598752654288"</f>
        <v>1551598752654288</v>
      </c>
      <c r="C5152" t="s">
        <v>40</v>
      </c>
      <c r="D5152">
        <v>4.729101</v>
      </c>
      <c r="E5152">
        <v>0.53800150000000002</v>
      </c>
      <c r="F5152" t="s">
        <v>42</v>
      </c>
      <c r="G5152">
        <v>-194.26689999999999</v>
      </c>
      <c r="H5152" s="1">
        <v>-4.5571769999999998E-6</v>
      </c>
      <c r="I5152">
        <v>167.1823</v>
      </c>
      <c r="J5152">
        <v>-190.94139999999999</v>
      </c>
      <c r="K5152">
        <v>1.120606</v>
      </c>
      <c r="L5152">
        <v>196.62110000000001</v>
      </c>
      <c r="M5152">
        <v>1.6306049999999999E-2</v>
      </c>
      <c r="N5152">
        <v>-1.004583E-2</v>
      </c>
      <c r="O5152">
        <v>-0.9998165</v>
      </c>
      <c r="P5152">
        <v>-1.194273E-2</v>
      </c>
      <c r="Q5152">
        <v>-4.3963889999999999E-2</v>
      </c>
      <c r="R5152">
        <v>-0.99896160000000001</v>
      </c>
      <c r="S5152">
        <v>-0.33709719999999999</v>
      </c>
      <c r="T5152">
        <v>-0.11362609999999999</v>
      </c>
      <c r="U5152">
        <v>-2.9943390000000001</v>
      </c>
      <c r="V5152">
        <v>2.8205419999999998E-2</v>
      </c>
      <c r="W5152">
        <v>-3.3950899999999999E-2</v>
      </c>
      <c r="X5152">
        <v>0.99902539999999995</v>
      </c>
      <c r="Y5152">
        <v>0.12798789999999999</v>
      </c>
      <c r="Z5152">
        <v>2.7587750000000001E-2</v>
      </c>
      <c r="AA5152">
        <v>0.99139200000000005</v>
      </c>
      <c r="AB5152">
        <v>18</v>
      </c>
      <c r="AC5152">
        <v>-3.3254999999999999</v>
      </c>
      <c r="AD5152">
        <v>-1.120610557177</v>
      </c>
      <c r="AE5152">
        <v>-29.438800000000001</v>
      </c>
      <c r="AF5152">
        <v>3.7996762593188902</v>
      </c>
      <c r="AG5152">
        <v>-1.120610557177</v>
      </c>
      <c r="AH5152">
        <v>29.338680947886601</v>
      </c>
      <c r="AI5152">
        <v>92.169287725695796</v>
      </c>
      <c r="AJ5152">
        <v>82.620652448968499</v>
      </c>
      <c r="AK5152">
        <v>29.6049237029648</v>
      </c>
      <c r="AL5152">
        <v>91.945617216231497</v>
      </c>
      <c r="AM5152">
        <v>88.382801531910104</v>
      </c>
      <c r="AN5152">
        <v>0.99999997958667297</v>
      </c>
    </row>
    <row r="5153" spans="1:40" x14ac:dyDescent="0.25">
      <c r="A5153" t="str">
        <f>"20190303153912671"</f>
        <v>20190303153912671</v>
      </c>
      <c r="B5153" t="str">
        <f>"1551598752664048"</f>
        <v>1551598752664048</v>
      </c>
      <c r="C5153" t="s">
        <v>40</v>
      </c>
      <c r="D5153">
        <v>4.7794400000000001</v>
      </c>
      <c r="E5153">
        <v>0.53794189999999997</v>
      </c>
      <c r="F5153" t="s">
        <v>42</v>
      </c>
      <c r="G5153">
        <v>-194.24180000000001</v>
      </c>
      <c r="H5153" s="1">
        <v>-4.654482E-6</v>
      </c>
      <c r="I5153">
        <v>167.44730000000001</v>
      </c>
      <c r="J5153">
        <v>-190.9402</v>
      </c>
      <c r="K5153">
        <v>1.120633</v>
      </c>
      <c r="L5153">
        <v>196.5069</v>
      </c>
      <c r="M5153">
        <v>1.578328E-2</v>
      </c>
      <c r="N5153">
        <v>-9.9310700000000002E-3</v>
      </c>
      <c r="O5153">
        <v>-0.99982649999999995</v>
      </c>
      <c r="P5153">
        <v>-1.282204E-2</v>
      </c>
      <c r="Q5153">
        <v>-4.366424E-2</v>
      </c>
      <c r="R5153">
        <v>-0.99896430000000003</v>
      </c>
      <c r="S5153">
        <v>-0.33869929999999998</v>
      </c>
      <c r="T5153">
        <v>-0.1150036</v>
      </c>
      <c r="U5153">
        <v>-2.9939879999999999</v>
      </c>
      <c r="V5153">
        <v>2.8565179999999999E-2</v>
      </c>
      <c r="W5153">
        <v>-3.3763990000000001E-2</v>
      </c>
      <c r="X5153">
        <v>0.99902150000000001</v>
      </c>
      <c r="Y5153">
        <v>0.12800439999999999</v>
      </c>
      <c r="Z5153">
        <v>2.8162329999999999E-2</v>
      </c>
      <c r="AA5153">
        <v>0.99137370000000002</v>
      </c>
      <c r="AB5153">
        <v>18</v>
      </c>
      <c r="AC5153">
        <v>-3.3016000000000001</v>
      </c>
      <c r="AD5153">
        <v>-1.120637654482</v>
      </c>
      <c r="AE5153">
        <v>-29.0595999999999</v>
      </c>
      <c r="AF5153">
        <v>3.7543548563578399</v>
      </c>
      <c r="AG5153">
        <v>-1.120637654482</v>
      </c>
      <c r="AH5153">
        <v>28.961346608692601</v>
      </c>
      <c r="AI5153">
        <v>92.197542433169104</v>
      </c>
      <c r="AJ5153">
        <v>82.613750177249599</v>
      </c>
      <c r="AK5153">
        <v>29.225170769884802</v>
      </c>
      <c r="AL5153">
        <v>91.934901942843297</v>
      </c>
      <c r="AM5153">
        <v>88.362178946893593</v>
      </c>
      <c r="AN5153">
        <v>0.99999996699570004</v>
      </c>
    </row>
    <row r="5154" spans="1:40" x14ac:dyDescent="0.25">
      <c r="A5154" t="str">
        <f>"20190303153912685"</f>
        <v>20190303153912685</v>
      </c>
      <c r="B5154" t="str">
        <f>"1551598752673807"</f>
        <v>1551598752673807</v>
      </c>
      <c r="C5154" t="s">
        <v>40</v>
      </c>
      <c r="D5154">
        <v>4.7516109999999996</v>
      </c>
      <c r="E5154">
        <v>0.53786389999999995</v>
      </c>
      <c r="F5154" t="s">
        <v>42</v>
      </c>
      <c r="G5154">
        <v>-194.26589999999999</v>
      </c>
      <c r="H5154" s="1">
        <v>-4.603192E-6</v>
      </c>
      <c r="I5154">
        <v>167.30260000000001</v>
      </c>
      <c r="J5154">
        <v>-190.93889999999999</v>
      </c>
      <c r="K5154">
        <v>1.1206560000000001</v>
      </c>
      <c r="L5154">
        <v>196.38550000000001</v>
      </c>
      <c r="M5154">
        <v>1.5269609999999999E-2</v>
      </c>
      <c r="N5154">
        <v>-9.8209920000000006E-3</v>
      </c>
      <c r="O5154">
        <v>-0.99983529999999998</v>
      </c>
      <c r="P5154">
        <v>-1.3259119999999999E-2</v>
      </c>
      <c r="Q5154">
        <v>-4.3060260000000003E-2</v>
      </c>
      <c r="R5154">
        <v>-0.99898450000000005</v>
      </c>
      <c r="S5154">
        <v>-0.34091189999999999</v>
      </c>
      <c r="T5154">
        <v>-0.1148759</v>
      </c>
      <c r="U5154">
        <v>-2.9937130000000001</v>
      </c>
      <c r="V5154">
        <v>2.8491789999999999E-2</v>
      </c>
      <c r="W5154">
        <v>-3.3267980000000003E-2</v>
      </c>
      <c r="X5154">
        <v>0.99904020000000004</v>
      </c>
      <c r="Y5154">
        <v>0.1282285</v>
      </c>
      <c r="Z5154">
        <v>2.8232230000000001E-2</v>
      </c>
      <c r="AA5154">
        <v>0.99134270000000002</v>
      </c>
      <c r="AB5154">
        <v>18</v>
      </c>
      <c r="AC5154">
        <v>-3.3269999999999902</v>
      </c>
      <c r="AD5154">
        <v>-1.1206606031919999</v>
      </c>
      <c r="AE5154">
        <v>-29.082899999999899</v>
      </c>
      <c r="AF5154">
        <v>3.7651995693903499</v>
      </c>
      <c r="AG5154">
        <v>-1.1206606031919999</v>
      </c>
      <c r="AH5154">
        <v>28.986221286270101</v>
      </c>
      <c r="AI5154">
        <v>92.195629776836199</v>
      </c>
      <c r="AJ5154">
        <v>82.598937244061801</v>
      </c>
      <c r="AK5154">
        <v>29.251215913898399</v>
      </c>
      <c r="AL5154">
        <v>91.906466755398199</v>
      </c>
      <c r="AM5154">
        <v>88.366415134539594</v>
      </c>
      <c r="AN5154">
        <v>0.99999993090335904</v>
      </c>
    </row>
    <row r="5155" spans="1:40" x14ac:dyDescent="0.25">
      <c r="A5155" t="str">
        <f>"20190303153912702"</f>
        <v>20190303153912702</v>
      </c>
      <c r="B5155" t="str">
        <f>"1551598752693733"</f>
        <v>1551598752693733</v>
      </c>
      <c r="C5155" t="s">
        <v>40</v>
      </c>
      <c r="D5155">
        <v>4.7604600000000001</v>
      </c>
      <c r="E5155">
        <v>0.53765369999999901</v>
      </c>
      <c r="F5155" t="s">
        <v>42</v>
      </c>
      <c r="G5155">
        <v>-194.2997</v>
      </c>
      <c r="H5155" s="1">
        <v>-4.4652860000000003E-6</v>
      </c>
      <c r="I5155">
        <v>166.92789999999999</v>
      </c>
      <c r="J5155">
        <v>-190.9376</v>
      </c>
      <c r="K5155">
        <v>1.1206659999999999</v>
      </c>
      <c r="L5155">
        <v>196.2621</v>
      </c>
      <c r="M5155">
        <v>1.4779850000000001E-2</v>
      </c>
      <c r="N5155">
        <v>-9.7193060000000005E-3</v>
      </c>
      <c r="O5155">
        <v>-0.99984379999999995</v>
      </c>
      <c r="P5155">
        <v>-1.353911E-2</v>
      </c>
      <c r="Q5155">
        <v>-4.2334400000000001E-2</v>
      </c>
      <c r="R5155">
        <v>-0.99901200000000001</v>
      </c>
      <c r="S5155">
        <v>-0.34153749999999999</v>
      </c>
      <c r="T5155">
        <v>-0.113886</v>
      </c>
      <c r="U5155">
        <v>-2.9936069999999999</v>
      </c>
      <c r="V5155">
        <v>2.82846E-2</v>
      </c>
      <c r="W5155">
        <v>-3.2642160000000003E-2</v>
      </c>
      <c r="X5155">
        <v>0.99906680000000003</v>
      </c>
      <c r="Y5155">
        <v>0.1279525</v>
      </c>
      <c r="Z5155">
        <v>2.8008640000000001E-2</v>
      </c>
      <c r="AA5155">
        <v>0.99138470000000001</v>
      </c>
      <c r="AB5155">
        <v>18</v>
      </c>
      <c r="AC5155">
        <v>-3.3620999999999901</v>
      </c>
      <c r="AD5155">
        <v>-1.120670465286</v>
      </c>
      <c r="AE5155">
        <v>-29.334199999999999</v>
      </c>
      <c r="AF5155">
        <v>3.7898485633154402</v>
      </c>
      <c r="AG5155">
        <v>-1.120670465286</v>
      </c>
      <c r="AH5155">
        <v>29.239180334550099</v>
      </c>
      <c r="AI5155">
        <v>92.176749964646504</v>
      </c>
      <c r="AJ5155">
        <v>82.614757694060799</v>
      </c>
      <c r="AK5155">
        <v>29.505059245169601</v>
      </c>
      <c r="AL5155">
        <v>91.870590291434198</v>
      </c>
      <c r="AM5155">
        <v>88.378331220004398</v>
      </c>
      <c r="AN5155">
        <v>1.00000000003443</v>
      </c>
    </row>
    <row r="5156" spans="1:40" x14ac:dyDescent="0.25">
      <c r="A5156" t="str">
        <f>"20190303153912720"</f>
        <v>20190303153912720</v>
      </c>
      <c r="B5156" t="str">
        <f>"1551598752714229"</f>
        <v>1551598752714229</v>
      </c>
      <c r="C5156" t="s">
        <v>40</v>
      </c>
      <c r="D5156">
        <v>4.7694660000000004</v>
      </c>
      <c r="E5156">
        <v>0.53744729999999996</v>
      </c>
      <c r="F5156" t="s">
        <v>42</v>
      </c>
      <c r="G5156">
        <v>-194.33840000000001</v>
      </c>
      <c r="H5156" s="1">
        <v>-4.2645539999999998E-6</v>
      </c>
      <c r="I5156">
        <v>166.38730000000001</v>
      </c>
      <c r="J5156">
        <v>-190.93620000000001</v>
      </c>
      <c r="K5156">
        <v>1.120676</v>
      </c>
      <c r="L5156">
        <v>196.11699999999999</v>
      </c>
      <c r="M5156">
        <v>1.423784E-2</v>
      </c>
      <c r="N5156">
        <v>-9.6125370000000009E-3</v>
      </c>
      <c r="O5156">
        <v>-0.99985259999999998</v>
      </c>
      <c r="P5156">
        <v>-1.3370679999999999E-2</v>
      </c>
      <c r="Q5156">
        <v>-4.139487E-2</v>
      </c>
      <c r="R5156">
        <v>-0.99905370000000004</v>
      </c>
      <c r="S5156">
        <v>-0.34077449999999998</v>
      </c>
      <c r="T5156">
        <v>-0.1122966</v>
      </c>
      <c r="U5156">
        <v>-2.9936069999999999</v>
      </c>
      <c r="V5156">
        <v>2.7576750000000001E-2</v>
      </c>
      <c r="W5156">
        <v>-3.1807589999999997E-2</v>
      </c>
      <c r="X5156">
        <v>0.99911349999999999</v>
      </c>
      <c r="Y5156">
        <v>0.12716769999999999</v>
      </c>
      <c r="Z5156">
        <v>2.7592620000000002E-2</v>
      </c>
      <c r="AA5156">
        <v>0.99149739999999997</v>
      </c>
      <c r="AB5156">
        <v>18</v>
      </c>
      <c r="AC5156">
        <v>-3.4021999999999899</v>
      </c>
      <c r="AD5156">
        <v>-1.1206802645539999</v>
      </c>
      <c r="AE5156">
        <v>-29.729700000000001</v>
      </c>
      <c r="AF5156">
        <v>3.8198036765092001</v>
      </c>
      <c r="AG5156">
        <v>-1.1206802645539999</v>
      </c>
      <c r="AH5156">
        <v>29.636675810215198</v>
      </c>
      <c r="AI5156">
        <v>92.147799560304506</v>
      </c>
      <c r="AJ5156">
        <v>82.655766392738002</v>
      </c>
      <c r="AK5156">
        <v>29.902832264891401</v>
      </c>
      <c r="AL5156">
        <v>91.822748117204597</v>
      </c>
      <c r="AM5156">
        <v>88.418968081207396</v>
      </c>
      <c r="AN5156">
        <v>0.99999999290220998</v>
      </c>
    </row>
    <row r="5157" spans="1:40" x14ac:dyDescent="0.25">
      <c r="A5157" t="str">
        <f>"20190303153912731"</f>
        <v>20190303153912731</v>
      </c>
      <c r="B5157" t="str">
        <f>"1551598752723989"</f>
        <v>1551598752723989</v>
      </c>
      <c r="C5157" t="s">
        <v>40</v>
      </c>
      <c r="D5157">
        <v>4.7981189999999998</v>
      </c>
      <c r="E5157">
        <v>0.53730639999999996</v>
      </c>
      <c r="F5157" t="s">
        <v>42</v>
      </c>
      <c r="G5157">
        <v>-194.3571</v>
      </c>
      <c r="H5157" s="1">
        <v>-4.071472E-6</v>
      </c>
      <c r="I5157">
        <v>165.8758</v>
      </c>
      <c r="J5157">
        <v>-190.93520000000001</v>
      </c>
      <c r="K5157">
        <v>1.1206769999999999</v>
      </c>
      <c r="L5157">
        <v>196.0181</v>
      </c>
      <c r="M5157">
        <v>1.388577E-2</v>
      </c>
      <c r="N5157">
        <v>-9.5481219999999992E-3</v>
      </c>
      <c r="O5157">
        <v>-0.99985809999999997</v>
      </c>
      <c r="P5157">
        <v>-1.31641E-2</v>
      </c>
      <c r="Q5157">
        <v>-4.0775459999999999E-2</v>
      </c>
      <c r="R5157">
        <v>-0.99908169999999996</v>
      </c>
      <c r="S5157">
        <v>-0.338653599999999</v>
      </c>
      <c r="T5157">
        <v>-0.1109412</v>
      </c>
      <c r="U5157">
        <v>-2.9937130000000001</v>
      </c>
      <c r="V5157">
        <v>2.7019580000000001E-2</v>
      </c>
      <c r="W5157">
        <v>-3.125153E-2</v>
      </c>
      <c r="X5157">
        <v>0.99914630000000004</v>
      </c>
      <c r="Y5157">
        <v>0.12612269999999901</v>
      </c>
      <c r="Z5157">
        <v>2.7211590000000001E-2</v>
      </c>
      <c r="AA5157">
        <v>0.99164129999999995</v>
      </c>
      <c r="AB5157">
        <v>18</v>
      </c>
      <c r="AC5157">
        <v>-3.4218999999999902</v>
      </c>
      <c r="AD5157">
        <v>-1.1206810714719999</v>
      </c>
      <c r="AE5157">
        <v>-30.142299999999999</v>
      </c>
      <c r="AF5157">
        <v>3.8349044934790899</v>
      </c>
      <c r="AG5157">
        <v>-1.1206810714719999</v>
      </c>
      <c r="AH5157">
        <v>30.050864163860101</v>
      </c>
      <c r="AI5157">
        <v>92.118565510858801</v>
      </c>
      <c r="AJ5157">
        <v>82.727576576929593</v>
      </c>
      <c r="AK5157">
        <v>30.315290787535499</v>
      </c>
      <c r="AL5157">
        <v>91.790872324728696</v>
      </c>
      <c r="AM5157">
        <v>88.450946889737907</v>
      </c>
      <c r="AN5157">
        <v>1.0000000223172001</v>
      </c>
    </row>
    <row r="5158" spans="1:40" x14ac:dyDescent="0.25">
      <c r="A5158" t="str">
        <f>"20190303153912743"</f>
        <v>20190303153912743</v>
      </c>
      <c r="B5158" t="str">
        <f>"1551598752733749"</f>
        <v>1551598752733749</v>
      </c>
      <c r="C5158" t="s">
        <v>40</v>
      </c>
      <c r="D5158">
        <v>4.7732929999999998</v>
      </c>
      <c r="E5158">
        <v>0.53720489999999999</v>
      </c>
      <c r="F5158" t="s">
        <v>42</v>
      </c>
      <c r="G5158">
        <v>-194.36070000000001</v>
      </c>
      <c r="H5158" s="1">
        <v>-3.9554229999999999E-6</v>
      </c>
      <c r="I5158">
        <v>165.572</v>
      </c>
      <c r="J5158">
        <v>-190.9342</v>
      </c>
      <c r="K5158">
        <v>1.120673</v>
      </c>
      <c r="L5158">
        <v>195.92250000000001</v>
      </c>
      <c r="M5158">
        <v>1.3564619999999999E-2</v>
      </c>
      <c r="N5158">
        <v>-9.4983150000000002E-3</v>
      </c>
      <c r="O5158">
        <v>-0.99986280000000005</v>
      </c>
      <c r="P5158">
        <v>-1.3208579999999999E-2</v>
      </c>
      <c r="Q5158">
        <v>-4.0666510000000003E-2</v>
      </c>
      <c r="R5158">
        <v>-0.99908540000000001</v>
      </c>
      <c r="S5158">
        <v>-0.33683780000000002</v>
      </c>
      <c r="T5158">
        <v>-0.110198</v>
      </c>
      <c r="U5158">
        <v>-2.993805</v>
      </c>
      <c r="V5158">
        <v>2.6743570000000001E-2</v>
      </c>
      <c r="W5158">
        <v>-3.1191900000000002E-2</v>
      </c>
      <c r="X5158">
        <v>0.99915560000000003</v>
      </c>
      <c r="Y5158">
        <v>0.12520789999999901</v>
      </c>
      <c r="Z5158">
        <v>2.701812E-2</v>
      </c>
      <c r="AA5158">
        <v>0.99176260000000005</v>
      </c>
      <c r="AB5158">
        <v>18</v>
      </c>
      <c r="AC5158">
        <v>-3.4264999999999999</v>
      </c>
      <c r="AD5158">
        <v>-1.1206769554230001</v>
      </c>
      <c r="AE5158">
        <v>-30.3505</v>
      </c>
      <c r="AF5158">
        <v>3.8327364693981698</v>
      </c>
      <c r="AG5158">
        <v>-1.1206769554230001</v>
      </c>
      <c r="AH5158">
        <v>30.260487657316499</v>
      </c>
      <c r="AI5158">
        <v>92.104146429800295</v>
      </c>
      <c r="AJ5158">
        <v>82.781461144958499</v>
      </c>
      <c r="AK5158">
        <v>30.5228258675516</v>
      </c>
      <c r="AL5158">
        <v>91.787454091780205</v>
      </c>
      <c r="AM5158">
        <v>88.466777425528406</v>
      </c>
      <c r="AN5158">
        <v>1.0000000330866501</v>
      </c>
    </row>
    <row r="5159" spans="1:40" x14ac:dyDescent="0.25">
      <c r="A5159" t="str">
        <f>"20190303153912755"</f>
        <v>20190303153912755</v>
      </c>
      <c r="B5159" t="str">
        <f>"1551598752743510"</f>
        <v>1551598752743510</v>
      </c>
      <c r="C5159" t="s">
        <v>40</v>
      </c>
      <c r="D5159">
        <v>4.777228</v>
      </c>
      <c r="E5159">
        <v>0.53707749999999999</v>
      </c>
      <c r="F5159" t="s">
        <v>42</v>
      </c>
      <c r="G5159">
        <v>-194.34309999999999</v>
      </c>
      <c r="H5159" s="1">
        <v>-3.9525839999999996E-6</v>
      </c>
      <c r="I5159">
        <v>165.5727</v>
      </c>
      <c r="J5159">
        <v>-190.9333</v>
      </c>
      <c r="K5159">
        <v>1.1206739999999999</v>
      </c>
      <c r="L5159">
        <v>195.82769999999999</v>
      </c>
      <c r="M5159">
        <v>1.325573E-2</v>
      </c>
      <c r="N5159">
        <v>-9.4593639999999996E-3</v>
      </c>
      <c r="O5159">
        <v>-0.99986759999999997</v>
      </c>
      <c r="P5159">
        <v>-1.279315E-2</v>
      </c>
      <c r="Q5159">
        <v>-4.0139069999999999E-2</v>
      </c>
      <c r="R5159">
        <v>-0.99911240000000001</v>
      </c>
      <c r="S5159">
        <v>-0.3362579</v>
      </c>
      <c r="T5159">
        <v>-0.11054659999999999</v>
      </c>
      <c r="U5159">
        <v>-2.9937900000000002</v>
      </c>
      <c r="V5159">
        <v>2.6020479999999999E-2</v>
      </c>
      <c r="W5159">
        <v>-3.0702400000000001E-2</v>
      </c>
      <c r="X5159">
        <v>0.99918980000000002</v>
      </c>
      <c r="Y5159">
        <v>0.1247119</v>
      </c>
      <c r="Z5159">
        <v>2.7174609999999998E-2</v>
      </c>
      <c r="AA5159">
        <v>0.99182079999999995</v>
      </c>
      <c r="AB5159">
        <v>18</v>
      </c>
      <c r="AC5159">
        <v>-3.40979999999999</v>
      </c>
      <c r="AD5159">
        <v>-1.1206779525839901</v>
      </c>
      <c r="AE5159">
        <v>-30.2549999999999</v>
      </c>
      <c r="AF5159">
        <v>3.80541465598662</v>
      </c>
      <c r="AG5159">
        <v>-1.1206779525839901</v>
      </c>
      <c r="AH5159">
        <v>30.166269866615099</v>
      </c>
      <c r="AI5159">
        <v>92.110848058150395</v>
      </c>
      <c r="AJ5159">
        <v>82.810229120854004</v>
      </c>
      <c r="AK5159">
        <v>30.4259911497203</v>
      </c>
      <c r="AL5159">
        <v>91.759394462533706</v>
      </c>
      <c r="AM5159">
        <v>88.508264590610906</v>
      </c>
      <c r="AN5159">
        <v>0.99999997958461495</v>
      </c>
    </row>
    <row r="5160" spans="1:40" x14ac:dyDescent="0.25">
      <c r="A5160" t="str">
        <f>"20190303153912767"</f>
        <v>20190303153912767</v>
      </c>
      <c r="B5160" t="str">
        <f>"1551598752764005"</f>
        <v>1551598752764005</v>
      </c>
      <c r="C5160" t="s">
        <v>40</v>
      </c>
      <c r="D5160">
        <v>4.7710470000000003</v>
      </c>
      <c r="E5160">
        <v>0.5368733</v>
      </c>
      <c r="F5160" t="s">
        <v>42</v>
      </c>
      <c r="G5160">
        <v>-194.34780000000001</v>
      </c>
      <c r="H5160" s="1">
        <v>-3.8213189999999996E-6</v>
      </c>
      <c r="I5160">
        <v>165.2287</v>
      </c>
      <c r="J5160">
        <v>-190.9324</v>
      </c>
      <c r="K5160">
        <v>1.120679</v>
      </c>
      <c r="L5160">
        <v>195.7285</v>
      </c>
      <c r="M5160">
        <v>1.294238E-2</v>
      </c>
      <c r="N5160">
        <v>-9.4289170000000002E-3</v>
      </c>
      <c r="O5160">
        <v>-0.99987170000000003</v>
      </c>
      <c r="P5160">
        <v>-1.267485E-2</v>
      </c>
      <c r="Q5160">
        <v>-4.0098450000000001E-2</v>
      </c>
      <c r="R5160">
        <v>-0.99911519999999998</v>
      </c>
      <c r="S5160">
        <v>-0.33409119999999998</v>
      </c>
      <c r="T5160">
        <v>-0.10965370000000001</v>
      </c>
      <c r="U5160">
        <v>-2.9939879999999999</v>
      </c>
      <c r="V5160">
        <v>2.5589480000000001E-2</v>
      </c>
      <c r="W5160">
        <v>-3.0691630000000001E-2</v>
      </c>
      <c r="X5160">
        <v>0.99920129999999996</v>
      </c>
      <c r="Y5160">
        <v>0.123686</v>
      </c>
      <c r="Z5160">
        <v>2.6911310000000001E-2</v>
      </c>
      <c r="AA5160">
        <v>0.99195639999999996</v>
      </c>
      <c r="AB5160">
        <v>18</v>
      </c>
      <c r="AC5160">
        <v>-3.4154</v>
      </c>
      <c r="AD5160">
        <v>-1.1206828213190001</v>
      </c>
      <c r="AE5160">
        <v>-30.4998</v>
      </c>
      <c r="AF5160">
        <v>3.80479819281146</v>
      </c>
      <c r="AG5160">
        <v>-1.1206828213190001</v>
      </c>
      <c r="AH5160">
        <v>30.412487944616799</v>
      </c>
      <c r="AI5160">
        <v>92.094052579494004</v>
      </c>
      <c r="AJ5160">
        <v>82.868978815731495</v>
      </c>
      <c r="AK5160">
        <v>30.6700479663055</v>
      </c>
      <c r="AL5160">
        <v>91.758777028834203</v>
      </c>
      <c r="AM5160">
        <v>88.5329794989009</v>
      </c>
      <c r="AN5160">
        <v>1.0000000177802</v>
      </c>
    </row>
    <row r="5161" spans="1:40" x14ac:dyDescent="0.25">
      <c r="A5161" t="str">
        <f>"20190303153912779"</f>
        <v>20190303153912779</v>
      </c>
      <c r="B5161" t="str">
        <f>"1551598752773766"</f>
        <v>1551598752773766</v>
      </c>
      <c r="C5161" t="s">
        <v>40</v>
      </c>
      <c r="D5161">
        <v>4.793183</v>
      </c>
      <c r="E5161">
        <v>0.53680509999999904</v>
      </c>
      <c r="F5161" t="s">
        <v>42</v>
      </c>
      <c r="G5161">
        <v>-194.3005</v>
      </c>
      <c r="H5161" s="1">
        <v>-3.8632679999999999E-6</v>
      </c>
      <c r="I5161">
        <v>165.35980000000001</v>
      </c>
      <c r="J5161">
        <v>-190.9315</v>
      </c>
      <c r="K5161">
        <v>1.120692</v>
      </c>
      <c r="L5161">
        <v>195.63329999999999</v>
      </c>
      <c r="M5161">
        <v>1.265752E-2</v>
      </c>
      <c r="N5161">
        <v>-9.4292969999999997E-3</v>
      </c>
      <c r="O5161">
        <v>-0.99987550000000003</v>
      </c>
      <c r="P5161">
        <v>-1.269874E-2</v>
      </c>
      <c r="Q5161">
        <v>-4.0394560000000003E-2</v>
      </c>
      <c r="R5161">
        <v>-0.99910310000000002</v>
      </c>
      <c r="S5161">
        <v>-0.33206180000000002</v>
      </c>
      <c r="T5161">
        <v>-0.11048669999999999</v>
      </c>
      <c r="U5161">
        <v>-2.9940190000000002</v>
      </c>
      <c r="V5161">
        <v>2.5328960000000001E-2</v>
      </c>
      <c r="W5161">
        <v>-3.0986860000000001E-2</v>
      </c>
      <c r="X5161">
        <v>0.99919880000000005</v>
      </c>
      <c r="Y5161">
        <v>0.1227372</v>
      </c>
      <c r="Z5161">
        <v>2.7190289999999999E-2</v>
      </c>
      <c r="AA5161">
        <v>0.99206669999999997</v>
      </c>
      <c r="AB5161">
        <v>18</v>
      </c>
      <c r="AC5161">
        <v>-3.3690000000000002</v>
      </c>
      <c r="AD5161">
        <v>-1.120695863268</v>
      </c>
      <c r="AE5161">
        <v>-30.273499999999899</v>
      </c>
      <c r="AF5161">
        <v>3.7468626056246301</v>
      </c>
      <c r="AG5161">
        <v>-1.120695863268</v>
      </c>
      <c r="AH5161">
        <v>30.187566258440899</v>
      </c>
      <c r="AI5161">
        <v>92.109920743090299</v>
      </c>
      <c r="AJ5161">
        <v>82.924667472205599</v>
      </c>
      <c r="AK5161">
        <v>30.439843876260898</v>
      </c>
      <c r="AL5161">
        <v>91.775700557232497</v>
      </c>
      <c r="AM5161">
        <v>88.547904803200893</v>
      </c>
      <c r="AN5161">
        <v>0.99999999181439003</v>
      </c>
    </row>
    <row r="5162" spans="1:40" x14ac:dyDescent="0.25">
      <c r="A5162" t="str">
        <f>"20190303153912792"</f>
        <v>20190303153912792</v>
      </c>
      <c r="B5162" t="str">
        <f>"1551598752783525"</f>
        <v>1551598752783525</v>
      </c>
      <c r="C5162" t="s">
        <v>40</v>
      </c>
      <c r="D5162">
        <v>4.7904249999999999</v>
      </c>
      <c r="E5162">
        <v>0.53673119999999996</v>
      </c>
      <c r="F5162" t="s">
        <v>42</v>
      </c>
      <c r="G5162">
        <v>-194.2517</v>
      </c>
      <c r="H5162" s="1">
        <v>-3.9634790000000003E-6</v>
      </c>
      <c r="I5162">
        <v>165.64330000000001</v>
      </c>
      <c r="J5162">
        <v>-190.93049999999999</v>
      </c>
      <c r="K5162">
        <v>1.1207100000000001</v>
      </c>
      <c r="L5162">
        <v>195.52930000000001</v>
      </c>
      <c r="M5162">
        <v>1.235577E-2</v>
      </c>
      <c r="N5162">
        <v>-9.4504870000000005E-3</v>
      </c>
      <c r="O5162">
        <v>-0.99987919999999997</v>
      </c>
      <c r="P5162">
        <v>-1.3078559999999999E-2</v>
      </c>
      <c r="Q5162">
        <v>-4.0564740000000002E-2</v>
      </c>
      <c r="R5162">
        <v>-0.99909139999999996</v>
      </c>
      <c r="S5162">
        <v>-0.3314667</v>
      </c>
      <c r="T5162">
        <v>-0.11188099999999999</v>
      </c>
      <c r="U5162">
        <v>-2.9939580000000001</v>
      </c>
      <c r="V5162">
        <v>2.540777E-2</v>
      </c>
      <c r="W5162">
        <v>-3.113542E-2</v>
      </c>
      <c r="X5162">
        <v>0.99919219999999997</v>
      </c>
      <c r="Y5162">
        <v>0.12224359999999999</v>
      </c>
      <c r="Z5162">
        <v>2.7633399999999999E-2</v>
      </c>
      <c r="AA5162">
        <v>0.99211539999999998</v>
      </c>
      <c r="AB5162">
        <v>18</v>
      </c>
      <c r="AC5162">
        <v>-3.3212000000000002</v>
      </c>
      <c r="AD5162">
        <v>-1.120713963479</v>
      </c>
      <c r="AE5162">
        <v>-29.885999999999999</v>
      </c>
      <c r="AF5162">
        <v>3.6851085474165699</v>
      </c>
      <c r="AG5162">
        <v>-1.120713963479</v>
      </c>
      <c r="AH5162">
        <v>29.8012846231073</v>
      </c>
      <c r="AI5162">
        <v>92.137399365693895</v>
      </c>
      <c r="AJ5162">
        <v>82.950815281246506</v>
      </c>
      <c r="AK5162">
        <v>30.049169538967799</v>
      </c>
      <c r="AL5162">
        <v>91.7842164934153</v>
      </c>
      <c r="AM5162">
        <v>88.543378995928606</v>
      </c>
      <c r="AN5162">
        <v>1.0000000108478899</v>
      </c>
    </row>
    <row r="5163" spans="1:40" x14ac:dyDescent="0.25">
      <c r="A5163" t="str">
        <f>"20190303153912804"</f>
        <v>20190303153912804</v>
      </c>
      <c r="B5163" t="str">
        <f>"1551598752794261"</f>
        <v>1551598752794261</v>
      </c>
      <c r="C5163" t="s">
        <v>40</v>
      </c>
      <c r="D5163">
        <v>4.799868</v>
      </c>
      <c r="E5163">
        <v>0.53660259999999904</v>
      </c>
      <c r="F5163" t="s">
        <v>42</v>
      </c>
      <c r="G5163">
        <v>-194.2277</v>
      </c>
      <c r="H5163" s="1">
        <v>-4.0236989999999999E-6</v>
      </c>
      <c r="I5163">
        <v>165.81120000000001</v>
      </c>
      <c r="J5163">
        <v>-190.92959999999999</v>
      </c>
      <c r="K5163">
        <v>1.120746</v>
      </c>
      <c r="L5163">
        <v>195.4263</v>
      </c>
      <c r="M5163">
        <v>1.2079640000000001E-2</v>
      </c>
      <c r="N5163">
        <v>-9.526662E-3</v>
      </c>
      <c r="O5163">
        <v>-0.99988189999999999</v>
      </c>
      <c r="P5163">
        <v>-1.307197E-2</v>
      </c>
      <c r="Q5163">
        <v>-4.1135270000000002E-2</v>
      </c>
      <c r="R5163">
        <v>-0.99906839999999997</v>
      </c>
      <c r="S5163">
        <v>-0.33215329999999998</v>
      </c>
      <c r="T5163">
        <v>-0.1129009</v>
      </c>
      <c r="U5163">
        <v>-2.993805</v>
      </c>
      <c r="V5163">
        <v>2.5125939999999999E-2</v>
      </c>
      <c r="W5163">
        <v>-3.1628940000000001E-2</v>
      </c>
      <c r="X5163">
        <v>0.99918379999999996</v>
      </c>
      <c r="Y5163">
        <v>0.1221985</v>
      </c>
      <c r="Z5163">
        <v>2.7896730000000002E-2</v>
      </c>
      <c r="AA5163">
        <v>0.99211349999999998</v>
      </c>
      <c r="AB5163">
        <v>18</v>
      </c>
      <c r="AC5163">
        <v>-3.2980999999999998</v>
      </c>
      <c r="AD5163">
        <v>-1.120750023699</v>
      </c>
      <c r="AE5163">
        <v>-29.615099999999899</v>
      </c>
      <c r="AF5163">
        <v>3.6504512578782702</v>
      </c>
      <c r="AG5163">
        <v>-1.120750023699</v>
      </c>
      <c r="AH5163">
        <v>29.5313219577829</v>
      </c>
      <c r="AI5163">
        <v>92.157000844828701</v>
      </c>
      <c r="AJ5163">
        <v>82.953251331014499</v>
      </c>
      <c r="AK5163">
        <v>29.777186763964</v>
      </c>
      <c r="AL5163">
        <v>91.8125070886543</v>
      </c>
      <c r="AM5163">
        <v>88.559517287943194</v>
      </c>
      <c r="AN5163">
        <v>0.99999998444442295</v>
      </c>
    </row>
    <row r="5164" spans="1:40" x14ac:dyDescent="0.25">
      <c r="A5164" t="str">
        <f>"20190303153912821"</f>
        <v>20190303153912821</v>
      </c>
      <c r="B5164" t="str">
        <f>"1551598752813781"</f>
        <v>1551598752813781</v>
      </c>
      <c r="C5164" t="s">
        <v>40</v>
      </c>
      <c r="D5164">
        <v>4.7786540000000004</v>
      </c>
      <c r="E5164">
        <v>0.5363523</v>
      </c>
      <c r="F5164" t="s">
        <v>42</v>
      </c>
      <c r="G5164">
        <v>-194.15219999999999</v>
      </c>
      <c r="H5164" s="1">
        <v>-4.1955470000000001E-6</v>
      </c>
      <c r="I5164">
        <v>166.2936</v>
      </c>
      <c r="J5164">
        <v>-190.92840000000001</v>
      </c>
      <c r="K5164">
        <v>1.1208020000000001</v>
      </c>
      <c r="L5164">
        <v>195.2912</v>
      </c>
      <c r="M5164">
        <v>1.174098E-2</v>
      </c>
      <c r="N5164">
        <v>-9.6974980000000006E-3</v>
      </c>
      <c r="O5164">
        <v>-0.9998842</v>
      </c>
      <c r="P5164">
        <v>-1.300395E-2</v>
      </c>
      <c r="Q5164">
        <v>-4.2547670000000003E-2</v>
      </c>
      <c r="R5164">
        <v>-0.99901010000000001</v>
      </c>
      <c r="S5164">
        <v>-0.3311615</v>
      </c>
      <c r="T5164">
        <v>-0.1151702</v>
      </c>
      <c r="U5164">
        <v>-2.9937290000000001</v>
      </c>
      <c r="V5164">
        <v>2.471978E-2</v>
      </c>
      <c r="W5164">
        <v>-3.2869830000000003E-2</v>
      </c>
      <c r="X5164">
        <v>0.99915390000000004</v>
      </c>
      <c r="Y5164">
        <v>0.1215377</v>
      </c>
      <c r="Z5164">
        <v>2.84809E-2</v>
      </c>
      <c r="AA5164">
        <v>0.99217809999999995</v>
      </c>
      <c r="AB5164">
        <v>18</v>
      </c>
      <c r="AC5164">
        <v>-3.2237999999999798</v>
      </c>
      <c r="AD5164">
        <v>-1.1208061955469999</v>
      </c>
      <c r="AE5164">
        <v>-28.997599999999998</v>
      </c>
      <c r="AF5164">
        <v>3.55880219727714</v>
      </c>
      <c r="AG5164">
        <v>-1.1208061955469999</v>
      </c>
      <c r="AH5164">
        <v>28.915078359651101</v>
      </c>
      <c r="AI5164">
        <v>92.203179833900904</v>
      </c>
      <c r="AJ5164">
        <v>82.9834527314041</v>
      </c>
      <c r="AK5164">
        <v>29.154811543758701</v>
      </c>
      <c r="AL5164">
        <v>91.883641816779104</v>
      </c>
      <c r="AM5164">
        <v>88.582750676512703</v>
      </c>
      <c r="AN5164">
        <v>1.00000000456634</v>
      </c>
    </row>
    <row r="5165" spans="1:40" x14ac:dyDescent="0.25">
      <c r="A5165" t="str">
        <f>"20190303153912833"</f>
        <v>20190303153912833</v>
      </c>
      <c r="B5165" t="str">
        <f>"1551598752823541"</f>
        <v>1551598752823541</v>
      </c>
      <c r="C5165" t="s">
        <v>40</v>
      </c>
      <c r="D5165">
        <v>4.7891589999999997</v>
      </c>
      <c r="E5165">
        <v>0.53624530000000004</v>
      </c>
      <c r="F5165" t="s">
        <v>42</v>
      </c>
      <c r="G5165">
        <v>-193.9898</v>
      </c>
      <c r="H5165" s="1">
        <v>-4.5957190000000002E-6</v>
      </c>
      <c r="I5165">
        <v>167.41069999999999</v>
      </c>
      <c r="J5165">
        <v>-190.92750000000001</v>
      </c>
      <c r="K5165">
        <v>1.1208530000000001</v>
      </c>
      <c r="L5165">
        <v>195.19229999999999</v>
      </c>
      <c r="M5165">
        <v>1.150632E-2</v>
      </c>
      <c r="N5165">
        <v>-9.8573859999999992E-3</v>
      </c>
      <c r="O5165">
        <v>-0.99988540000000004</v>
      </c>
      <c r="P5165">
        <v>-1.321365E-2</v>
      </c>
      <c r="Q5165">
        <v>-4.3218640000000003E-2</v>
      </c>
      <c r="R5165">
        <v>-0.99897860000000005</v>
      </c>
      <c r="S5165">
        <v>-0.32870480000000002</v>
      </c>
      <c r="T5165">
        <v>-0.1203433</v>
      </c>
      <c r="U5165">
        <v>-2.9935909999999999</v>
      </c>
      <c r="V5165">
        <v>2.469555E-2</v>
      </c>
      <c r="W5165">
        <v>-3.3380510000000002E-2</v>
      </c>
      <c r="X5165">
        <v>0.99913759999999996</v>
      </c>
      <c r="Y5165">
        <v>0.12049890000000001</v>
      </c>
      <c r="Z5165">
        <v>3.0040230000000001E-2</v>
      </c>
      <c r="AA5165">
        <v>0.9922588</v>
      </c>
      <c r="AB5165">
        <v>18</v>
      </c>
      <c r="AC5165">
        <v>-3.0622999999999898</v>
      </c>
      <c r="AD5165">
        <v>-1.1208575957189999</v>
      </c>
      <c r="AE5165">
        <v>-27.781600000000001</v>
      </c>
      <c r="AF5165">
        <v>3.37634684943747</v>
      </c>
      <c r="AG5165">
        <v>-1.1208575957189999</v>
      </c>
      <c r="AH5165">
        <v>27.699975931410499</v>
      </c>
      <c r="AI5165">
        <v>92.300158828421402</v>
      </c>
      <c r="AJ5165">
        <v>83.050505332133497</v>
      </c>
      <c r="AK5165">
        <v>27.9274901557284</v>
      </c>
      <c r="AL5165">
        <v>91.912917631417798</v>
      </c>
      <c r="AM5165">
        <v>88.584116190683403</v>
      </c>
      <c r="AN5165">
        <v>1.00000003618571</v>
      </c>
    </row>
    <row r="5166" spans="1:40" x14ac:dyDescent="0.25">
      <c r="A5166" t="str">
        <f>"20190303153912845"</f>
        <v>20190303153912845</v>
      </c>
      <c r="B5166" t="str">
        <f>"1551598752834277"</f>
        <v>1551598752834277</v>
      </c>
      <c r="C5166" t="s">
        <v>40</v>
      </c>
      <c r="D5166">
        <v>4.7804609999999998</v>
      </c>
      <c r="E5166">
        <v>0.53615419999999903</v>
      </c>
      <c r="F5166" t="s">
        <v>42</v>
      </c>
      <c r="G5166">
        <v>-193.92500000000001</v>
      </c>
      <c r="H5166" s="1">
        <v>-4.767756E-6</v>
      </c>
      <c r="I5166">
        <v>167.8886</v>
      </c>
      <c r="J5166">
        <v>-190.92670000000001</v>
      </c>
      <c r="K5166">
        <v>1.1209129999999901</v>
      </c>
      <c r="L5166">
        <v>195.0926</v>
      </c>
      <c r="M5166">
        <v>1.128317E-2</v>
      </c>
      <c r="N5166">
        <v>-1.004651E-2</v>
      </c>
      <c r="O5166">
        <v>-0.9998861</v>
      </c>
      <c r="P5166">
        <v>-1.332877E-2</v>
      </c>
      <c r="Q5166">
        <v>-4.4018500000000002E-2</v>
      </c>
      <c r="R5166">
        <v>-0.998942</v>
      </c>
      <c r="S5166">
        <v>-0.32862849999999999</v>
      </c>
      <c r="T5166">
        <v>-0.1228833</v>
      </c>
      <c r="U5166">
        <v>-2.9933930000000002</v>
      </c>
      <c r="V5166">
        <v>2.458834E-2</v>
      </c>
      <c r="W5166">
        <v>-3.399079E-2</v>
      </c>
      <c r="X5166">
        <v>0.9991196</v>
      </c>
      <c r="Y5166">
        <v>0.1202563</v>
      </c>
      <c r="Z5166">
        <v>3.0695679999999999E-2</v>
      </c>
      <c r="AA5166">
        <v>0.99226820000000004</v>
      </c>
      <c r="AB5166">
        <v>18</v>
      </c>
      <c r="AC5166">
        <v>-2.9983</v>
      </c>
      <c r="AD5166">
        <v>-1.1209177677559901</v>
      </c>
      <c r="AE5166">
        <v>-27.204000000000001</v>
      </c>
      <c r="AF5166">
        <v>3.2995372329192798</v>
      </c>
      <c r="AG5166">
        <v>-1.1209177677559901</v>
      </c>
      <c r="AH5166">
        <v>27.122939890555202</v>
      </c>
      <c r="AI5166">
        <v>92.349233257469194</v>
      </c>
      <c r="AJ5166">
        <v>83.063983073280795</v>
      </c>
      <c r="AK5166">
        <v>27.3458821561888</v>
      </c>
      <c r="AL5166">
        <v>91.947904088025993</v>
      </c>
      <c r="AM5166">
        <v>88.590235048410804</v>
      </c>
      <c r="AN5166">
        <v>0.99999996768646904</v>
      </c>
    </row>
    <row r="5167" spans="1:40" x14ac:dyDescent="0.25">
      <c r="A5167" t="str">
        <f>"20190303153912857"</f>
        <v>20190303153912857</v>
      </c>
      <c r="B5167" t="str">
        <f>"1551598752853797"</f>
        <v>1551598752853797</v>
      </c>
      <c r="C5167" t="s">
        <v>40</v>
      </c>
      <c r="D5167">
        <v>4.7969460000000002</v>
      </c>
      <c r="E5167">
        <v>0.53598939999999995</v>
      </c>
      <c r="F5167" t="s">
        <v>42</v>
      </c>
      <c r="G5167">
        <v>-193.85489999999999</v>
      </c>
      <c r="H5167" s="1">
        <v>-4.9472109999999999E-6</v>
      </c>
      <c r="I5167">
        <v>168.38829999999999</v>
      </c>
      <c r="J5167">
        <v>-190.92580000000001</v>
      </c>
      <c r="K5167">
        <v>1.120959</v>
      </c>
      <c r="L5167">
        <v>194.99969999999999</v>
      </c>
      <c r="M5167">
        <v>1.10895E-2</v>
      </c>
      <c r="N5167">
        <v>-1.0222449999999999E-2</v>
      </c>
      <c r="O5167">
        <v>-0.99988630000000001</v>
      </c>
      <c r="P5167">
        <v>-1.344179E-2</v>
      </c>
      <c r="Q5167">
        <v>-4.464651E-2</v>
      </c>
      <c r="R5167">
        <v>-0.99891260000000004</v>
      </c>
      <c r="S5167">
        <v>-0.32821660000000002</v>
      </c>
      <c r="T5167">
        <v>-0.12564110000000001</v>
      </c>
      <c r="U5167">
        <v>-2.9932249999999998</v>
      </c>
      <c r="V5167">
        <v>2.4508539999999999E-2</v>
      </c>
      <c r="W5167">
        <v>-3.4442439999999998E-2</v>
      </c>
      <c r="X5167">
        <v>0.9991061</v>
      </c>
      <c r="Y5167">
        <v>0.1199315</v>
      </c>
      <c r="Z5167">
        <v>3.1436520000000003E-2</v>
      </c>
      <c r="AA5167">
        <v>0.99228439999999996</v>
      </c>
      <c r="AB5167">
        <v>18</v>
      </c>
      <c r="AC5167">
        <v>-2.9290999999999698</v>
      </c>
      <c r="AD5167">
        <v>-1.120963947211</v>
      </c>
      <c r="AE5167">
        <v>-26.6114</v>
      </c>
      <c r="AF5167">
        <v>3.2184000748549999</v>
      </c>
      <c r="AG5167">
        <v>-1.120963947211</v>
      </c>
      <c r="AH5167">
        <v>26.530767248024201</v>
      </c>
      <c r="AI5167">
        <v>92.401805255527805</v>
      </c>
      <c r="AJ5167">
        <v>83.083346774129794</v>
      </c>
      <c r="AK5167">
        <v>26.748762027084702</v>
      </c>
      <c r="AL5167">
        <v>91.973796875971502</v>
      </c>
      <c r="AM5167">
        <v>88.594789540132098</v>
      </c>
      <c r="AN5167">
        <v>0.99999997463164703</v>
      </c>
    </row>
    <row r="5168" spans="1:40" x14ac:dyDescent="0.25">
      <c r="A5168" t="str">
        <f>"20190303153912870"</f>
        <v>20190303153912870</v>
      </c>
      <c r="B5168" t="str">
        <f>"1551598752863557"</f>
        <v>1551598752863557</v>
      </c>
      <c r="C5168" t="s">
        <v>40</v>
      </c>
      <c r="D5168">
        <v>4.7937609999999999</v>
      </c>
      <c r="E5168">
        <v>0.53593089999999999</v>
      </c>
      <c r="F5168" t="s">
        <v>42</v>
      </c>
      <c r="G5168">
        <v>-193.78909999999999</v>
      </c>
      <c r="H5168" s="1">
        <v>-5.0947550000000001E-6</v>
      </c>
      <c r="I5168">
        <v>168.80289999999999</v>
      </c>
      <c r="J5168">
        <v>-190.92490000000001</v>
      </c>
      <c r="K5168">
        <v>1.121008</v>
      </c>
      <c r="L5168">
        <v>194.89689999999999</v>
      </c>
      <c r="M5168">
        <v>1.088364E-2</v>
      </c>
      <c r="N5168">
        <v>-1.0415789999999999E-2</v>
      </c>
      <c r="O5168">
        <v>-0.99988659999999996</v>
      </c>
      <c r="P5168">
        <v>-1.350724E-2</v>
      </c>
      <c r="Q5168">
        <v>-4.5197399999999999E-2</v>
      </c>
      <c r="R5168">
        <v>-0.99888670000000002</v>
      </c>
      <c r="S5168">
        <v>-0.32714840000000001</v>
      </c>
      <c r="T5168">
        <v>-0.1280763</v>
      </c>
      <c r="U5168">
        <v>-2.993134</v>
      </c>
      <c r="V5168">
        <v>2.4369209999999999E-2</v>
      </c>
      <c r="W5168">
        <v>-3.4799440000000001E-2</v>
      </c>
      <c r="X5168">
        <v>0.99909720000000002</v>
      </c>
      <c r="Y5168">
        <v>0.1193772</v>
      </c>
      <c r="Z5168">
        <v>3.2053249999999998E-2</v>
      </c>
      <c r="AA5168">
        <v>0.99233139999999997</v>
      </c>
      <c r="AB5168">
        <v>18</v>
      </c>
      <c r="AC5168">
        <v>-2.8641999999999799</v>
      </c>
      <c r="AD5168">
        <v>-1.1210130947550001</v>
      </c>
      <c r="AE5168">
        <v>-26.093999999999902</v>
      </c>
      <c r="AF5168">
        <v>3.1423129819801101</v>
      </c>
      <c r="AG5168">
        <v>-1.1210130947550001</v>
      </c>
      <c r="AH5168">
        <v>26.013839864685</v>
      </c>
      <c r="AI5168">
        <v>92.449731942206697</v>
      </c>
      <c r="AJ5168">
        <v>83.112389815116302</v>
      </c>
      <c r="AK5168">
        <v>26.226907285091901</v>
      </c>
      <c r="AL5168">
        <v>91.994263614556203</v>
      </c>
      <c r="AM5168">
        <v>88.602762484001602</v>
      </c>
      <c r="AN5168">
        <v>1.00000003723408</v>
      </c>
    </row>
    <row r="5169" spans="1:40" x14ac:dyDescent="0.25">
      <c r="A5169" t="str">
        <f>"20190303153912884"</f>
        <v>20190303153912884</v>
      </c>
      <c r="B5169" t="str">
        <f>"1551598752874293"</f>
        <v>1551598752874293</v>
      </c>
      <c r="C5169" t="s">
        <v>40</v>
      </c>
      <c r="D5169">
        <v>4.7605309999999896</v>
      </c>
      <c r="E5169">
        <v>0.53585509999999903</v>
      </c>
      <c r="F5169" t="s">
        <v>42</v>
      </c>
      <c r="G5169">
        <v>-193.74270000000001</v>
      </c>
      <c r="H5169" s="1">
        <v>-5.2030580000000003E-6</v>
      </c>
      <c r="I5169">
        <v>169.1063</v>
      </c>
      <c r="J5169">
        <v>-190.9239</v>
      </c>
      <c r="K5169">
        <v>1.1210560000000001</v>
      </c>
      <c r="L5169">
        <v>194.7757</v>
      </c>
      <c r="M5169">
        <v>1.0670890000000001E-2</v>
      </c>
      <c r="N5169">
        <v>-1.0619689999999999E-2</v>
      </c>
      <c r="O5169">
        <v>-0.99988659999999996</v>
      </c>
      <c r="P5169">
        <v>-1.3571120000000001E-2</v>
      </c>
      <c r="Q5169">
        <v>-4.5362819999999998E-2</v>
      </c>
      <c r="R5169">
        <v>-0.9988785</v>
      </c>
      <c r="S5169">
        <v>-0.3270111</v>
      </c>
      <c r="T5169">
        <v>-0.1300944</v>
      </c>
      <c r="U5169">
        <v>-2.9930110000000001</v>
      </c>
      <c r="V5169">
        <v>2.4221739999999999E-2</v>
      </c>
      <c r="W5169">
        <v>-3.4760289999999999E-2</v>
      </c>
      <c r="X5169">
        <v>0.99910209999999999</v>
      </c>
      <c r="Y5169">
        <v>0.1191226</v>
      </c>
      <c r="Z5169">
        <v>3.2520309999999997E-2</v>
      </c>
      <c r="AA5169">
        <v>0.99234679999999997</v>
      </c>
      <c r="AB5169">
        <v>18</v>
      </c>
      <c r="AC5169">
        <v>-2.8188</v>
      </c>
      <c r="AD5169">
        <v>-1.1210612030580001</v>
      </c>
      <c r="AE5169">
        <v>-25.6694</v>
      </c>
      <c r="AF5169">
        <v>3.0867529758307102</v>
      </c>
      <c r="AG5169">
        <v>-1.1210612030580001</v>
      </c>
      <c r="AH5169">
        <v>25.589631048970599</v>
      </c>
      <c r="AI5169">
        <v>92.490448022385706</v>
      </c>
      <c r="AJ5169">
        <v>83.121919448376502</v>
      </c>
      <c r="AK5169">
        <v>25.799496882250299</v>
      </c>
      <c r="AL5169">
        <v>91.992019224394397</v>
      </c>
      <c r="AM5169">
        <v>88.611221338096897</v>
      </c>
      <c r="AN5169">
        <v>0.99999998833696002</v>
      </c>
    </row>
    <row r="5170" spans="1:40" x14ac:dyDescent="0.25">
      <c r="A5170" t="str">
        <f>"20190303153912900"</f>
        <v>20190303153912900</v>
      </c>
      <c r="B5170" t="str">
        <f>"1551598752893813"</f>
        <v>1551598752893813</v>
      </c>
      <c r="C5170" t="s">
        <v>40</v>
      </c>
      <c r="D5170">
        <v>4.6883739999999996</v>
      </c>
      <c r="E5170">
        <v>0.53576919999999995</v>
      </c>
      <c r="F5170" t="s">
        <v>42</v>
      </c>
      <c r="G5170">
        <v>-193.7175</v>
      </c>
      <c r="H5170" s="1">
        <v>-5.2288099999999997E-6</v>
      </c>
      <c r="I5170">
        <v>169.185</v>
      </c>
      <c r="J5170">
        <v>-190.9228</v>
      </c>
      <c r="K5170">
        <v>1.1210910000000001</v>
      </c>
      <c r="L5170">
        <v>194.65649999999999</v>
      </c>
      <c r="M5170">
        <v>1.0483080000000001E-2</v>
      </c>
      <c r="N5170">
        <v>-1.080885E-2</v>
      </c>
      <c r="O5170">
        <v>-0.99988679999999996</v>
      </c>
      <c r="P5170">
        <v>-1.3251890000000001E-2</v>
      </c>
      <c r="Q5170">
        <v>-4.5411439999999997E-2</v>
      </c>
      <c r="R5170">
        <v>-0.99888069999999896</v>
      </c>
      <c r="S5170">
        <v>-0.32673649999999999</v>
      </c>
      <c r="T5170">
        <v>-0.13111400000000001</v>
      </c>
      <c r="U5170">
        <v>-2.992966</v>
      </c>
      <c r="V5170">
        <v>2.3715920000000001E-2</v>
      </c>
      <c r="W5170">
        <v>-3.4619070000000002E-2</v>
      </c>
      <c r="X5170">
        <v>0.99911919999999999</v>
      </c>
      <c r="Y5170">
        <v>0.1188464</v>
      </c>
      <c r="Z5170">
        <v>3.2670570000000003E-2</v>
      </c>
      <c r="AA5170">
        <v>0.99237500000000001</v>
      </c>
      <c r="AB5170">
        <v>18</v>
      </c>
      <c r="AC5170">
        <v>-2.7947000000000002</v>
      </c>
      <c r="AD5170">
        <v>-1.1210962288099999</v>
      </c>
      <c r="AE5170">
        <v>-25.471499999999899</v>
      </c>
      <c r="AF5170">
        <v>3.05573255999172</v>
      </c>
      <c r="AG5170">
        <v>-1.1210962288099999</v>
      </c>
      <c r="AH5170">
        <v>25.392196527240301</v>
      </c>
      <c r="AI5170">
        <v>92.509950372138505</v>
      </c>
      <c r="AJ5170">
        <v>83.137944084610396</v>
      </c>
      <c r="AK5170">
        <v>25.599960990408601</v>
      </c>
      <c r="AL5170">
        <v>91.983922918420106</v>
      </c>
      <c r="AM5170">
        <v>88.640235313296202</v>
      </c>
      <c r="AN5170">
        <v>1.00000005033887</v>
      </c>
    </row>
    <row r="5171" spans="1:40" x14ac:dyDescent="0.25">
      <c r="A5171" t="str">
        <f>"20190303153912915"</f>
        <v>20190303153912915</v>
      </c>
      <c r="B5171" t="str">
        <f>"1551598752903574"</f>
        <v>1551598752903574</v>
      </c>
      <c r="C5171" t="s">
        <v>40</v>
      </c>
      <c r="D5171">
        <v>4.7306140000000001</v>
      </c>
      <c r="E5171">
        <v>0.51708729999999903</v>
      </c>
      <c r="F5171" t="s">
        <v>42</v>
      </c>
      <c r="G5171">
        <v>-193.68350000000001</v>
      </c>
      <c r="H5171" s="1">
        <v>-5.2392310000000004E-6</v>
      </c>
      <c r="I5171">
        <v>169.22790000000001</v>
      </c>
      <c r="J5171">
        <v>-190.92179999999999</v>
      </c>
      <c r="K5171">
        <v>1.1211180000000001</v>
      </c>
      <c r="L5171">
        <v>194.5359</v>
      </c>
      <c r="M5171">
        <v>1.0312460000000001E-2</v>
      </c>
      <c r="N5171">
        <v>-1.099465E-2</v>
      </c>
      <c r="O5171">
        <v>-0.99988659999999996</v>
      </c>
      <c r="P5171">
        <v>-1.33565E-2</v>
      </c>
      <c r="Q5171">
        <v>-4.5139579999999999E-2</v>
      </c>
      <c r="R5171">
        <v>-0.99889170000000005</v>
      </c>
      <c r="S5171">
        <v>-0.3249512</v>
      </c>
      <c r="T5171">
        <v>-0.13195789999999999</v>
      </c>
      <c r="U5171">
        <v>-2.9930569999999999</v>
      </c>
      <c r="V5171">
        <v>2.3650939999999999E-2</v>
      </c>
      <c r="W5171">
        <v>-3.4160990000000002E-2</v>
      </c>
      <c r="X5171">
        <v>0.99913640000000004</v>
      </c>
      <c r="Y5171">
        <v>0.1180877</v>
      </c>
      <c r="Z5171">
        <v>3.2766469999999999E-2</v>
      </c>
      <c r="AA5171">
        <v>0.99246239999999997</v>
      </c>
      <c r="AB5171">
        <v>18</v>
      </c>
      <c r="AC5171">
        <v>-2.76170000000001</v>
      </c>
      <c r="AD5171">
        <v>-1.121123239231</v>
      </c>
      <c r="AE5171">
        <v>-25.308</v>
      </c>
      <c r="AF5171">
        <v>3.01670621882301</v>
      </c>
      <c r="AG5171">
        <v>-1.121123239231</v>
      </c>
      <c r="AH5171">
        <v>25.229244810047501</v>
      </c>
      <c r="AI5171">
        <v>92.526431216571098</v>
      </c>
      <c r="AJ5171">
        <v>83.181413579200296</v>
      </c>
      <c r="AK5171">
        <v>25.4336829305851</v>
      </c>
      <c r="AL5171">
        <v>91.957661544999894</v>
      </c>
      <c r="AM5171">
        <v>88.643982917920695</v>
      </c>
      <c r="AN5171">
        <v>0.99999994300281003</v>
      </c>
    </row>
    <row r="5172" spans="1:40" x14ac:dyDescent="0.25">
      <c r="A5172" t="str">
        <f>"20190303153912929"</f>
        <v>20190303153912929</v>
      </c>
      <c r="B5172" t="str">
        <f>"1551598752924070"</f>
        <v>1551598752924070</v>
      </c>
      <c r="C5172" t="s">
        <v>40</v>
      </c>
      <c r="D5172">
        <v>4.8308030000000004</v>
      </c>
      <c r="E5172">
        <v>0.50786439999999999</v>
      </c>
      <c r="F5172" t="s">
        <v>42</v>
      </c>
      <c r="G5172">
        <v>-192.68270000000001</v>
      </c>
      <c r="H5172" s="1">
        <v>-3.0797130000000001E-6</v>
      </c>
      <c r="I5172">
        <v>164.5967</v>
      </c>
      <c r="J5172">
        <v>-190.92070000000001</v>
      </c>
      <c r="K5172">
        <v>1.1211409999999999</v>
      </c>
      <c r="L5172">
        <v>194.41800000000001</v>
      </c>
      <c r="M5172">
        <v>1.0163470000000001E-2</v>
      </c>
      <c r="N5172">
        <v>-1.117523E-2</v>
      </c>
      <c r="O5172">
        <v>-0.99988580000000005</v>
      </c>
      <c r="P5172">
        <v>-1.34924E-2</v>
      </c>
      <c r="Q5172">
        <v>-4.488661E-2</v>
      </c>
      <c r="R5172">
        <v>-0.99890080000000003</v>
      </c>
      <c r="S5172">
        <v>-0.17620849999999999</v>
      </c>
      <c r="T5172">
        <v>-0.1121858</v>
      </c>
      <c r="U5172">
        <v>-2.995895</v>
      </c>
      <c r="V5172">
        <v>2.3638510000000001E-2</v>
      </c>
      <c r="W5172">
        <v>-3.3727279999999998E-2</v>
      </c>
      <c r="X5172">
        <v>0.99915149999999997</v>
      </c>
      <c r="Y5172">
        <v>6.8819930000000001E-2</v>
      </c>
      <c r="Z5172">
        <v>2.6167719999999998E-2</v>
      </c>
      <c r="AA5172">
        <v>0.9972858</v>
      </c>
      <c r="AB5172">
        <v>18</v>
      </c>
      <c r="AC5172">
        <v>-1.762</v>
      </c>
      <c r="AD5172">
        <v>-1.1211440797129999</v>
      </c>
      <c r="AE5172">
        <v>-29.821300000000001</v>
      </c>
      <c r="AF5172">
        <v>2.0621113493490499</v>
      </c>
      <c r="AG5172">
        <v>-1.1211440797129999</v>
      </c>
      <c r="AH5172">
        <v>29.759933597279499</v>
      </c>
      <c r="AI5172">
        <v>92.152324028484699</v>
      </c>
      <c r="AJ5172">
        <v>86.036223420608806</v>
      </c>
      <c r="AK5172">
        <v>29.852351917044601</v>
      </c>
      <c r="AL5172">
        <v>91.932797324692402</v>
      </c>
      <c r="AM5172">
        <v>88.6447157959024</v>
      </c>
      <c r="AN5172">
        <v>1.00000001426173</v>
      </c>
    </row>
    <row r="5173" spans="1:40" x14ac:dyDescent="0.25">
      <c r="A5173" t="str">
        <f>"20190303153912942"</f>
        <v>20190303153912942</v>
      </c>
      <c r="B5173" t="str">
        <f>"1551598752933830"</f>
        <v>1551598752933830</v>
      </c>
      <c r="C5173" t="s">
        <v>40</v>
      </c>
      <c r="D5173">
        <v>4.8355489999999897</v>
      </c>
      <c r="E5173">
        <v>0.50564359999999997</v>
      </c>
      <c r="F5173" t="s">
        <v>42</v>
      </c>
      <c r="G5173">
        <v>-191.91329999999999</v>
      </c>
      <c r="H5173" s="1">
        <v>-3.3324979999999998E-6</v>
      </c>
      <c r="I5173">
        <v>165.56450000000001</v>
      </c>
      <c r="J5173">
        <v>-190.91980000000001</v>
      </c>
      <c r="K5173">
        <v>1.121165</v>
      </c>
      <c r="L5173">
        <v>194.3066</v>
      </c>
      <c r="M5173">
        <v>1.0039029999999999E-2</v>
      </c>
      <c r="N5173">
        <v>-1.134399E-2</v>
      </c>
      <c r="O5173">
        <v>-0.99988529999999998</v>
      </c>
      <c r="P5173">
        <v>-1.345524E-2</v>
      </c>
      <c r="Q5173">
        <v>-4.425436E-2</v>
      </c>
      <c r="R5173">
        <v>-0.99892970000000003</v>
      </c>
      <c r="S5173">
        <v>-0.1030884</v>
      </c>
      <c r="T5173">
        <v>-0.1164404</v>
      </c>
      <c r="U5173">
        <v>-2.9966889999999999</v>
      </c>
      <c r="V5173">
        <v>2.347757E-2</v>
      </c>
      <c r="W5173">
        <v>-3.2926009999999999E-2</v>
      </c>
      <c r="X5173">
        <v>0.99918200000000001</v>
      </c>
      <c r="Y5173">
        <v>4.4386839999999997E-2</v>
      </c>
      <c r="Z5173">
        <v>2.7453640000000001E-2</v>
      </c>
      <c r="AA5173">
        <v>0.99863710000000006</v>
      </c>
      <c r="AB5173">
        <v>18</v>
      </c>
      <c r="AC5173">
        <v>-0.99349999999998295</v>
      </c>
      <c r="AD5173">
        <v>-1.121168332498</v>
      </c>
      <c r="AE5173">
        <v>-28.742099999999901</v>
      </c>
      <c r="AF5173">
        <v>1.2800658463293899</v>
      </c>
      <c r="AG5173">
        <v>-1.121168332498</v>
      </c>
      <c r="AH5173">
        <v>28.687078430585501</v>
      </c>
      <c r="AI5173">
        <v>92.235911791439605</v>
      </c>
      <c r="AJ5173">
        <v>87.445060446566004</v>
      </c>
      <c r="AK5173">
        <v>28.73750260345</v>
      </c>
      <c r="AL5173">
        <v>91.886862457292594</v>
      </c>
      <c r="AM5173">
        <v>88.653980755007296</v>
      </c>
      <c r="AN5173">
        <v>0.99999999377581195</v>
      </c>
    </row>
    <row r="5174" spans="1:40" x14ac:dyDescent="0.25">
      <c r="A5174" t="str">
        <f>"20190303153912955"</f>
        <v>20190303153912955</v>
      </c>
      <c r="B5174" t="str">
        <f>"1551598752943589"</f>
        <v>1551598752943589</v>
      </c>
      <c r="C5174" t="s">
        <v>40</v>
      </c>
      <c r="D5174">
        <v>4.8393370000000004</v>
      </c>
      <c r="E5174">
        <v>0.5038108</v>
      </c>
      <c r="F5174" t="s">
        <v>42</v>
      </c>
      <c r="G5174">
        <v>-191.7406</v>
      </c>
      <c r="H5174" s="1">
        <v>-3.2300169999999998E-6</v>
      </c>
      <c r="I5174">
        <v>165.44489999999999</v>
      </c>
      <c r="J5174">
        <v>-190.91900000000001</v>
      </c>
      <c r="K5174">
        <v>1.121178</v>
      </c>
      <c r="L5174">
        <v>194.21190000000001</v>
      </c>
      <c r="M5174">
        <v>9.9335780000000002E-3</v>
      </c>
      <c r="N5174">
        <v>-1.1482620000000001E-2</v>
      </c>
      <c r="O5174">
        <v>-0.99988480000000002</v>
      </c>
      <c r="P5174">
        <v>-1.3574080000000001E-2</v>
      </c>
      <c r="Q5174">
        <v>-4.4115630000000003E-2</v>
      </c>
      <c r="R5174">
        <v>-0.99893430000000005</v>
      </c>
      <c r="S5174">
        <v>-8.5235599999999995E-2</v>
      </c>
      <c r="T5174">
        <v>-0.1164193</v>
      </c>
      <c r="U5174">
        <v>-2.9969329999999998</v>
      </c>
      <c r="V5174">
        <v>2.3491229999999998E-2</v>
      </c>
      <c r="W5174">
        <v>-3.264864E-2</v>
      </c>
      <c r="X5174">
        <v>0.99919080000000005</v>
      </c>
      <c r="Y5174">
        <v>3.8336580000000002E-2</v>
      </c>
      <c r="Z5174">
        <v>2.7313759999999999E-2</v>
      </c>
      <c r="AA5174">
        <v>0.99889150000000004</v>
      </c>
      <c r="AB5174">
        <v>18</v>
      </c>
      <c r="AC5174">
        <v>-0.82159999999998901</v>
      </c>
      <c r="AD5174">
        <v>-1.1211812300170001</v>
      </c>
      <c r="AE5174">
        <v>-28.766999999999999</v>
      </c>
      <c r="AF5174">
        <v>1.1056593705828199</v>
      </c>
      <c r="AG5174">
        <v>-1.1211812300170001</v>
      </c>
      <c r="AH5174">
        <v>28.713837263800201</v>
      </c>
      <c r="AI5174">
        <v>92.234422223412906</v>
      </c>
      <c r="AJ5174">
        <v>87.794849473986503</v>
      </c>
      <c r="AK5174">
        <v>28.756981420279502</v>
      </c>
      <c r="AL5174">
        <v>91.870961741455304</v>
      </c>
      <c r="AM5174">
        <v>88.653209743479707</v>
      </c>
      <c r="AN5174">
        <v>1.0000000131927</v>
      </c>
    </row>
    <row r="5175" spans="1:40" x14ac:dyDescent="0.25">
      <c r="A5175" t="str">
        <f>"20190303153912966"</f>
        <v>20190303153912966</v>
      </c>
      <c r="B5175" t="str">
        <f>"1551598752953349"</f>
        <v>1551598752953349</v>
      </c>
      <c r="C5175" t="s">
        <v>40</v>
      </c>
      <c r="D5175">
        <v>4.8249550000000001</v>
      </c>
      <c r="E5175">
        <v>0.50268170000000001</v>
      </c>
      <c r="F5175" t="s">
        <v>42</v>
      </c>
      <c r="G5175">
        <v>-191.61490000000001</v>
      </c>
      <c r="H5175" s="1">
        <v>-2.9135480000000002E-6</v>
      </c>
      <c r="I5175">
        <v>164.84620000000001</v>
      </c>
      <c r="J5175">
        <v>-190.91820000000001</v>
      </c>
      <c r="K5175">
        <v>1.121191</v>
      </c>
      <c r="L5175">
        <v>194.1198</v>
      </c>
      <c r="M5175">
        <v>9.8313680000000001E-3</v>
      </c>
      <c r="N5175">
        <v>-1.1612330000000001E-2</v>
      </c>
      <c r="O5175">
        <v>-0.99988440000000001</v>
      </c>
      <c r="P5175">
        <v>-1.367546E-2</v>
      </c>
      <c r="Q5175">
        <v>-4.4045229999999998E-2</v>
      </c>
      <c r="R5175">
        <v>-0.99893609999999999</v>
      </c>
      <c r="S5175">
        <v>-7.1029659999999994E-2</v>
      </c>
      <c r="T5175">
        <v>-0.1144319</v>
      </c>
      <c r="U5175">
        <v>-2.9971770000000002</v>
      </c>
      <c r="V5175">
        <v>2.349066E-2</v>
      </c>
      <c r="W5175">
        <v>-3.2448539999999998E-2</v>
      </c>
      <c r="X5175">
        <v>0.99919729999999995</v>
      </c>
      <c r="Y5175">
        <v>3.350231E-2</v>
      </c>
      <c r="Z5175">
        <v>2.6525460000000001E-2</v>
      </c>
      <c r="AA5175">
        <v>0.99908660000000005</v>
      </c>
      <c r="AB5175">
        <v>18</v>
      </c>
      <c r="AC5175">
        <v>-0.69669999999999199</v>
      </c>
      <c r="AD5175">
        <v>-1.121193913548</v>
      </c>
      <c r="AE5175">
        <v>-29.273599999999899</v>
      </c>
      <c r="AF5175">
        <v>0.98304398009697602</v>
      </c>
      <c r="AG5175">
        <v>-1.121193913548</v>
      </c>
      <c r="AH5175">
        <v>29.222492005366099</v>
      </c>
      <c r="AI5175">
        <v>92.195977031020405</v>
      </c>
      <c r="AJ5175">
        <v>88.073297817269307</v>
      </c>
      <c r="AK5175">
        <v>29.260510765573901</v>
      </c>
      <c r="AL5175">
        <v>91.859490837049194</v>
      </c>
      <c r="AM5175">
        <v>88.653251168197301</v>
      </c>
      <c r="AN5175">
        <v>0.99999998159132797</v>
      </c>
    </row>
    <row r="5176" spans="1:40" x14ac:dyDescent="0.25">
      <c r="A5176" t="str">
        <f>"20190303153912978"</f>
        <v>20190303153912978</v>
      </c>
      <c r="B5176" t="str">
        <f>"1551598752973846"</f>
        <v>1551598752973846</v>
      </c>
      <c r="C5176" t="s">
        <v>40</v>
      </c>
      <c r="D5176">
        <v>4.8393449999999998</v>
      </c>
      <c r="E5176">
        <v>0.50134999999999996</v>
      </c>
      <c r="F5176" t="s">
        <v>42</v>
      </c>
      <c r="G5176">
        <v>-191.52199999999999</v>
      </c>
      <c r="H5176" s="1">
        <v>-3.0055380000000001E-6</v>
      </c>
      <c r="I5176">
        <v>165.09309999999999</v>
      </c>
      <c r="J5176">
        <v>-190.91739999999999</v>
      </c>
      <c r="K5176">
        <v>1.1212</v>
      </c>
      <c r="L5176">
        <v>194.03120000000001</v>
      </c>
      <c r="M5176">
        <v>9.7298809999999993E-3</v>
      </c>
      <c r="N5176">
        <v>-1.1725950000000001E-2</v>
      </c>
      <c r="O5176">
        <v>-0.99988410000000005</v>
      </c>
      <c r="P5176">
        <v>-1.356567E-2</v>
      </c>
      <c r="Q5176">
        <v>-4.4092260000000001E-2</v>
      </c>
      <c r="R5176">
        <v>-0.99893560000000003</v>
      </c>
      <c r="S5176">
        <v>-6.2347409999999999E-2</v>
      </c>
      <c r="T5176">
        <v>-0.115772</v>
      </c>
      <c r="U5176">
        <v>-2.9972379999999998</v>
      </c>
      <c r="V5176">
        <v>2.3279560000000001E-2</v>
      </c>
      <c r="W5176">
        <v>-3.2381930000000003E-2</v>
      </c>
      <c r="X5176">
        <v>0.99920439999999999</v>
      </c>
      <c r="Y5176">
        <v>3.0508070000000002E-2</v>
      </c>
      <c r="Z5176">
        <v>2.6860510000000001E-2</v>
      </c>
      <c r="AA5176">
        <v>0.99917350000000005</v>
      </c>
      <c r="AB5176">
        <v>18</v>
      </c>
      <c r="AC5176">
        <v>-0.604600000000033</v>
      </c>
      <c r="AD5176">
        <v>-1.121203005538</v>
      </c>
      <c r="AE5176">
        <v>-28.938099999999999</v>
      </c>
      <c r="AF5176">
        <v>0.884827259000316</v>
      </c>
      <c r="AG5176">
        <v>-1.121203005538</v>
      </c>
      <c r="AH5176">
        <v>28.887500907641002</v>
      </c>
      <c r="AI5176">
        <v>92.221649530685596</v>
      </c>
      <c r="AJ5176">
        <v>88.245572645396294</v>
      </c>
      <c r="AK5176">
        <v>28.922789010516599</v>
      </c>
      <c r="AL5176">
        <v>91.855672361139895</v>
      </c>
      <c r="AM5176">
        <v>88.665358877196894</v>
      </c>
      <c r="AN5176">
        <v>0.999999980141839</v>
      </c>
    </row>
    <row r="5177" spans="1:40" x14ac:dyDescent="0.25">
      <c r="A5177" t="str">
        <f>"20190303153912991"</f>
        <v>20190303153912991</v>
      </c>
      <c r="B5177" t="str">
        <f>"1551598752983605"</f>
        <v>1551598752983605</v>
      </c>
      <c r="C5177" t="s">
        <v>40</v>
      </c>
      <c r="D5177">
        <v>4.8070440000000003</v>
      </c>
      <c r="E5177">
        <v>0.50091220000000003</v>
      </c>
      <c r="F5177" t="s">
        <v>42</v>
      </c>
      <c r="G5177">
        <v>-191.3991</v>
      </c>
      <c r="H5177" s="1">
        <v>-3.3685200000000001E-6</v>
      </c>
      <c r="I5177">
        <v>165.93010000000001</v>
      </c>
      <c r="J5177">
        <v>-190.91650000000001</v>
      </c>
      <c r="K5177">
        <v>1.121208</v>
      </c>
      <c r="L5177">
        <v>193.9187</v>
      </c>
      <c r="M5177">
        <v>9.5986869999999998E-3</v>
      </c>
      <c r="N5177">
        <v>-1.186253E-2</v>
      </c>
      <c r="O5177">
        <v>-0.99988370000000004</v>
      </c>
      <c r="P5177">
        <v>-1.3696710000000001E-2</v>
      </c>
      <c r="Q5177">
        <v>-4.3914630000000003E-2</v>
      </c>
      <c r="R5177">
        <v>-0.99894150000000004</v>
      </c>
      <c r="S5177">
        <v>-5.137634E-2</v>
      </c>
      <c r="T5177">
        <v>-0.1195852</v>
      </c>
      <c r="U5177">
        <v>-2.9972080000000001</v>
      </c>
      <c r="V5177">
        <v>2.3279689999999999E-2</v>
      </c>
      <c r="W5177">
        <v>-3.2067730000000003E-2</v>
      </c>
      <c r="X5177">
        <v>0.99921450000000001</v>
      </c>
      <c r="Y5177">
        <v>2.6721129999999999E-2</v>
      </c>
      <c r="Z5177">
        <v>2.7997459999999998E-2</v>
      </c>
      <c r="AA5177">
        <v>0.99925079999999999</v>
      </c>
      <c r="AB5177">
        <v>18</v>
      </c>
      <c r="AC5177">
        <v>-0.48259999999998998</v>
      </c>
      <c r="AD5177">
        <v>-1.12121136852</v>
      </c>
      <c r="AE5177">
        <v>-27.988599999999899</v>
      </c>
      <c r="AF5177">
        <v>0.750047148676658</v>
      </c>
      <c r="AG5177">
        <v>-1.12121136852</v>
      </c>
      <c r="AH5177">
        <v>27.9378572827756</v>
      </c>
      <c r="AI5177">
        <v>92.297353081272504</v>
      </c>
      <c r="AJ5177">
        <v>88.462150647379502</v>
      </c>
      <c r="AK5177">
        <v>27.970404988324201</v>
      </c>
      <c r="AL5177">
        <v>91.837660727477797</v>
      </c>
      <c r="AM5177">
        <v>88.665364912526897</v>
      </c>
      <c r="AN5177">
        <v>0.99999995014204801</v>
      </c>
    </row>
    <row r="5178" spans="1:40" x14ac:dyDescent="0.25">
      <c r="A5178" t="str">
        <f>"20190303153913004"</f>
        <v>20190303153913004</v>
      </c>
      <c r="B5178" t="str">
        <f>"1551598752994342"</f>
        <v>1551598752994342</v>
      </c>
      <c r="C5178" t="s">
        <v>40</v>
      </c>
      <c r="D5178">
        <v>4.8084920000000002</v>
      </c>
      <c r="E5178">
        <v>0.50046290000000004</v>
      </c>
      <c r="F5178" t="s">
        <v>42</v>
      </c>
      <c r="G5178">
        <v>-191.36080000000001</v>
      </c>
      <c r="H5178" s="1">
        <v>-3.5520189999999999E-6</v>
      </c>
      <c r="I5178">
        <v>166.3399</v>
      </c>
      <c r="J5178">
        <v>-190.91569999999999</v>
      </c>
      <c r="K5178">
        <v>1.12121</v>
      </c>
      <c r="L5178">
        <v>193.8177</v>
      </c>
      <c r="M5178">
        <v>9.4769280000000008E-3</v>
      </c>
      <c r="N5178">
        <v>-1.197167E-2</v>
      </c>
      <c r="O5178">
        <v>-0.99988370000000004</v>
      </c>
      <c r="P5178">
        <v>-1.366035E-2</v>
      </c>
      <c r="Q5178">
        <v>-4.3449370000000001E-2</v>
      </c>
      <c r="R5178">
        <v>-0.99896260000000003</v>
      </c>
      <c r="S5178">
        <v>-4.8278809999999998E-2</v>
      </c>
      <c r="T5178">
        <v>-0.1218494</v>
      </c>
      <c r="U5178">
        <v>-2.9971770000000002</v>
      </c>
      <c r="V5178">
        <v>2.3121880000000001E-2</v>
      </c>
      <c r="W5178">
        <v>-3.1493220000000002E-2</v>
      </c>
      <c r="X5178">
        <v>0.99923649999999997</v>
      </c>
      <c r="Y5178">
        <v>2.5566999999999999E-2</v>
      </c>
      <c r="Z5178">
        <v>2.864355E-2</v>
      </c>
      <c r="AA5178">
        <v>0.99926269999999995</v>
      </c>
      <c r="AB5178">
        <v>18</v>
      </c>
      <c r="AC5178">
        <v>-0.44510000000002398</v>
      </c>
      <c r="AD5178">
        <v>-1.1212135520190001</v>
      </c>
      <c r="AE5178">
        <v>-27.477799999999998</v>
      </c>
      <c r="AF5178">
        <v>0.70433133271964399</v>
      </c>
      <c r="AG5178">
        <v>-1.1212135520190001</v>
      </c>
      <c r="AH5178">
        <v>27.4266940827094</v>
      </c>
      <c r="AI5178">
        <v>92.340198798535795</v>
      </c>
      <c r="AJ5178">
        <v>88.528938818979199</v>
      </c>
      <c r="AK5178">
        <v>27.458637088574001</v>
      </c>
      <c r="AL5178">
        <v>91.804726976890095</v>
      </c>
      <c r="AM5178">
        <v>88.674438166427606</v>
      </c>
      <c r="AN5178">
        <v>1.0000000135864699</v>
      </c>
    </row>
    <row r="5179" spans="1:40" x14ac:dyDescent="0.25">
      <c r="A5179" t="str">
        <f>"20190303153913017"</f>
        <v>20190303153913017</v>
      </c>
      <c r="B5179" t="str">
        <f>"1551598753004103"</f>
        <v>1551598753004103</v>
      </c>
      <c r="C5179" t="s">
        <v>40</v>
      </c>
      <c r="D5179">
        <v>4.8084949999999997</v>
      </c>
      <c r="E5179">
        <v>0.50007769999999996</v>
      </c>
      <c r="F5179" t="s">
        <v>42</v>
      </c>
      <c r="G5179">
        <v>-191.32650000000001</v>
      </c>
      <c r="H5179" s="1">
        <v>-3.4677080000000001E-6</v>
      </c>
      <c r="I5179">
        <v>166.1808</v>
      </c>
      <c r="J5179">
        <v>-190.91480000000001</v>
      </c>
      <c r="K5179">
        <v>1.1212059999999999</v>
      </c>
      <c r="L5179">
        <v>193.71119999999999</v>
      </c>
      <c r="M5179">
        <v>9.3468749999999993E-3</v>
      </c>
      <c r="N5179">
        <v>-1.207915E-2</v>
      </c>
      <c r="O5179">
        <v>-0.99988370000000004</v>
      </c>
      <c r="P5179">
        <v>-1.337237E-2</v>
      </c>
      <c r="Q5179">
        <v>-4.3414410000000001E-2</v>
      </c>
      <c r="R5179">
        <v>-0.99896810000000003</v>
      </c>
      <c r="S5179">
        <v>-4.4555659999999997E-2</v>
      </c>
      <c r="T5179">
        <v>-0.1215951</v>
      </c>
      <c r="U5179">
        <v>-2.9972080000000001</v>
      </c>
      <c r="V5179">
        <v>2.27038E-2</v>
      </c>
      <c r="W5179">
        <v>-3.1350860000000001E-2</v>
      </c>
      <c r="X5179">
        <v>0.99925050000000004</v>
      </c>
      <c r="Y5179">
        <v>2.4196240000000001E-2</v>
      </c>
      <c r="Z5179">
        <v>2.84523E-2</v>
      </c>
      <c r="AA5179">
        <v>0.99930229999999998</v>
      </c>
      <c r="AB5179">
        <v>18</v>
      </c>
      <c r="AC5179">
        <v>-0.41169999999999601</v>
      </c>
      <c r="AD5179">
        <v>-1.121209467708</v>
      </c>
      <c r="AE5179">
        <v>-27.530399999999901</v>
      </c>
      <c r="AF5179">
        <v>0.66791633147875595</v>
      </c>
      <c r="AG5179">
        <v>-1.121209467708</v>
      </c>
      <c r="AH5179">
        <v>27.479780339647899</v>
      </c>
      <c r="AI5179">
        <v>92.335754561219801</v>
      </c>
      <c r="AJ5179">
        <v>88.607657955923699</v>
      </c>
      <c r="AK5179">
        <v>27.510753359579901</v>
      </c>
      <c r="AL5179">
        <v>91.796566433776604</v>
      </c>
      <c r="AM5179">
        <v>88.698416320272003</v>
      </c>
      <c r="AN5179">
        <v>0.99999995035371303</v>
      </c>
    </row>
    <row r="5180" spans="1:40" x14ac:dyDescent="0.25">
      <c r="A5180" t="str">
        <f>"20190303153913034"</f>
        <v>20190303153913034</v>
      </c>
      <c r="B5180" t="str">
        <f>"1551598753023621"</f>
        <v>1551598753023621</v>
      </c>
      <c r="C5180" t="s">
        <v>40</v>
      </c>
      <c r="D5180">
        <v>4.8083169999999997</v>
      </c>
      <c r="E5180">
        <v>0.49947910000000001</v>
      </c>
      <c r="F5180" t="s">
        <v>42</v>
      </c>
      <c r="G5180">
        <v>-191.2859</v>
      </c>
      <c r="H5180" s="1">
        <v>-3.5376490000000001E-6</v>
      </c>
      <c r="I5180">
        <v>166.35159999999999</v>
      </c>
      <c r="J5180">
        <v>-190.91380000000001</v>
      </c>
      <c r="K5180">
        <v>1.121202</v>
      </c>
      <c r="L5180">
        <v>193.57839999999999</v>
      </c>
      <c r="M5180">
        <v>9.1825269999999994E-3</v>
      </c>
      <c r="N5180">
        <v>-1.2203759999999999E-2</v>
      </c>
      <c r="O5180">
        <v>-0.99988350000000004</v>
      </c>
      <c r="P5180">
        <v>-1.3854089999999999E-2</v>
      </c>
      <c r="Q5180">
        <v>-4.3489399999999998E-2</v>
      </c>
      <c r="R5180">
        <v>-0.99895789999999995</v>
      </c>
      <c r="S5180">
        <v>-4.0649409999999997E-2</v>
      </c>
      <c r="T5180">
        <v>-0.1228278</v>
      </c>
      <c r="U5180">
        <v>-2.997223</v>
      </c>
      <c r="V5180">
        <v>2.3020720000000001E-2</v>
      </c>
      <c r="W5180">
        <v>-3.1301910000000002E-2</v>
      </c>
      <c r="X5180">
        <v>0.99924480000000004</v>
      </c>
      <c r="Y5180">
        <v>2.2729929999999999E-2</v>
      </c>
      <c r="Z5180">
        <v>2.873906E-2</v>
      </c>
      <c r="AA5180">
        <v>0.99932849999999995</v>
      </c>
      <c r="AB5180">
        <v>18</v>
      </c>
      <c r="AC5180">
        <v>-0.372099999999989</v>
      </c>
      <c r="AD5180">
        <v>-1.121205537649</v>
      </c>
      <c r="AE5180">
        <v>-27.226800000000001</v>
      </c>
      <c r="AF5180">
        <v>0.621060717800617</v>
      </c>
      <c r="AG5180">
        <v>-1.121205537649</v>
      </c>
      <c r="AH5180">
        <v>27.1761578652944</v>
      </c>
      <c r="AI5180">
        <v>92.361893610289201</v>
      </c>
      <c r="AJ5180">
        <v>88.690839033761605</v>
      </c>
      <c r="AK5180">
        <v>27.206366434940399</v>
      </c>
      <c r="AL5180">
        <v>91.793760398693493</v>
      </c>
      <c r="AM5180">
        <v>88.680246504008693</v>
      </c>
      <c r="AN5180">
        <v>0.99999996672300195</v>
      </c>
    </row>
    <row r="5181" spans="1:40" x14ac:dyDescent="0.25">
      <c r="A5181" t="str">
        <f>"20190303153913047"</f>
        <v>20190303153913047</v>
      </c>
      <c r="B5181" t="str">
        <f>"1551598753033381"</f>
        <v>1551598753033381</v>
      </c>
      <c r="C5181" t="s">
        <v>40</v>
      </c>
      <c r="D5181">
        <v>4.818619</v>
      </c>
      <c r="E5181">
        <v>0.4991469</v>
      </c>
      <c r="F5181" t="s">
        <v>42</v>
      </c>
      <c r="G5181">
        <v>-191.24870000000001</v>
      </c>
      <c r="H5181" s="1">
        <v>-3.6695300000000002E-6</v>
      </c>
      <c r="I5181">
        <v>166.6516</v>
      </c>
      <c r="J5181">
        <v>-190.91290000000001</v>
      </c>
      <c r="K5181">
        <v>1.121194</v>
      </c>
      <c r="L5181">
        <v>193.47049999999999</v>
      </c>
      <c r="M5181">
        <v>9.0478329999999999E-3</v>
      </c>
      <c r="N5181">
        <v>-1.2297809999999999E-2</v>
      </c>
      <c r="O5181">
        <v>-0.99988370000000004</v>
      </c>
      <c r="P5181">
        <v>-1.40701E-2</v>
      </c>
      <c r="Q5181">
        <v>-4.3687810000000001E-2</v>
      </c>
      <c r="R5181">
        <v>-0.99894629999999995</v>
      </c>
      <c r="S5181">
        <v>-3.727722E-2</v>
      </c>
      <c r="T5181">
        <v>-0.1247996</v>
      </c>
      <c r="U5181">
        <v>-2.9971770000000002</v>
      </c>
      <c r="V5181">
        <v>2.3101480000000001E-2</v>
      </c>
      <c r="W5181">
        <v>-3.140689E-2</v>
      </c>
      <c r="X5181">
        <v>0.99923969999999995</v>
      </c>
      <c r="Y5181">
        <v>2.147133E-2</v>
      </c>
      <c r="Z5181">
        <v>2.9303050000000001E-2</v>
      </c>
      <c r="AA5181">
        <v>0.99933989999999995</v>
      </c>
      <c r="AB5181">
        <v>18</v>
      </c>
      <c r="AC5181">
        <v>-0.33580000000000598</v>
      </c>
      <c r="AD5181">
        <v>-1.1211976695299899</v>
      </c>
      <c r="AE5181">
        <v>-26.8188999999999</v>
      </c>
      <c r="AF5181">
        <v>0.57744838551192901</v>
      </c>
      <c r="AG5181">
        <v>-1.1211976695299899</v>
      </c>
      <c r="AH5181">
        <v>26.767986825373601</v>
      </c>
      <c r="AI5181">
        <v>92.397918466981096</v>
      </c>
      <c r="AJ5181">
        <v>88.764187058402399</v>
      </c>
      <c r="AK5181">
        <v>26.7976799282226</v>
      </c>
      <c r="AL5181">
        <v>91.799778164459994</v>
      </c>
      <c r="AM5181">
        <v>88.675611507756997</v>
      </c>
      <c r="AN5181">
        <v>1.0000000245868701</v>
      </c>
    </row>
    <row r="5182" spans="1:40" x14ac:dyDescent="0.25">
      <c r="A5182" t="str">
        <f>"20190303153913061"</f>
        <v>20190303153913061</v>
      </c>
      <c r="B5182" t="str">
        <f>"1551598753053879"</f>
        <v>1551598753053879</v>
      </c>
      <c r="C5182" t="s">
        <v>40</v>
      </c>
      <c r="D5182">
        <v>4.7733530000000002</v>
      </c>
      <c r="E5182">
        <v>0.49872480000000002</v>
      </c>
      <c r="F5182" t="s">
        <v>42</v>
      </c>
      <c r="G5182">
        <v>-191.2269</v>
      </c>
      <c r="H5182" s="1">
        <v>-3.7555779999999999E-6</v>
      </c>
      <c r="I5182">
        <v>166.8459</v>
      </c>
      <c r="J5182">
        <v>-190.91210000000001</v>
      </c>
      <c r="K5182">
        <v>1.1211869999999999</v>
      </c>
      <c r="L5182">
        <v>193.36150000000001</v>
      </c>
      <c r="M5182">
        <v>8.908638E-3</v>
      </c>
      <c r="N5182">
        <v>-1.238445E-2</v>
      </c>
      <c r="O5182">
        <v>-0.99988390000000005</v>
      </c>
      <c r="P5182">
        <v>-1.478323E-2</v>
      </c>
      <c r="Q5182">
        <v>-4.4328619999999999E-2</v>
      </c>
      <c r="R5182">
        <v>-0.99890789999999996</v>
      </c>
      <c r="S5182">
        <v>-3.533936E-2</v>
      </c>
      <c r="T5182">
        <v>-0.12621389999999999</v>
      </c>
      <c r="U5182">
        <v>-2.997147</v>
      </c>
      <c r="V5182">
        <v>2.367443E-2</v>
      </c>
      <c r="W5182">
        <v>-3.1962200000000003E-2</v>
      </c>
      <c r="X5182">
        <v>0.9992086</v>
      </c>
      <c r="Y5182">
        <v>2.0686240000000002E-2</v>
      </c>
      <c r="Z5182">
        <v>2.9688249999999999E-2</v>
      </c>
      <c r="AA5182">
        <v>0.99934509999999999</v>
      </c>
      <c r="AB5182">
        <v>18</v>
      </c>
      <c r="AC5182">
        <v>-0.31479999999999098</v>
      </c>
      <c r="AD5182">
        <v>-1.1211907555779901</v>
      </c>
      <c r="AE5182">
        <v>-26.515599999999999</v>
      </c>
      <c r="AF5182">
        <v>0.55004013221557002</v>
      </c>
      <c r="AG5182">
        <v>-1.1211907555779901</v>
      </c>
      <c r="AH5182">
        <v>26.464432481867501</v>
      </c>
      <c r="AI5182">
        <v>92.425416076194693</v>
      </c>
      <c r="AJ5182">
        <v>88.809328656868004</v>
      </c>
      <c r="AK5182">
        <v>26.493882302236599</v>
      </c>
      <c r="AL5182">
        <v>91.831611214518105</v>
      </c>
      <c r="AM5182">
        <v>88.642734674441002</v>
      </c>
      <c r="AN5182">
        <v>0.99999994358930999</v>
      </c>
    </row>
    <row r="5183" spans="1:40" x14ac:dyDescent="0.25">
      <c r="A5183" t="str">
        <f>"20190303153913078"</f>
        <v>20190303153913078</v>
      </c>
      <c r="B5183" t="str">
        <f>"1551598753063639"</f>
        <v>1551598753063639</v>
      </c>
      <c r="C5183" t="s">
        <v>40</v>
      </c>
      <c r="D5183">
        <v>4.7775069999999999</v>
      </c>
      <c r="E5183">
        <v>0.49856099999999998</v>
      </c>
      <c r="F5183" t="s">
        <v>42</v>
      </c>
      <c r="G5183">
        <v>-191.1985</v>
      </c>
      <c r="H5183" s="1">
        <v>-4.401103E-6</v>
      </c>
      <c r="I5183">
        <v>168.22739999999999</v>
      </c>
      <c r="J5183">
        <v>-190.9111</v>
      </c>
      <c r="K5183">
        <v>1.1211799999999901</v>
      </c>
      <c r="L5183">
        <v>193.2345</v>
      </c>
      <c r="M5183">
        <v>8.7429680000000003E-3</v>
      </c>
      <c r="N5183">
        <v>-1.247816E-2</v>
      </c>
      <c r="O5183">
        <v>-0.99988390000000005</v>
      </c>
      <c r="P5183">
        <v>-1.6301179999999998E-2</v>
      </c>
      <c r="Q5183">
        <v>-4.5651560000000001E-2</v>
      </c>
      <c r="R5183">
        <v>-0.99882439999999995</v>
      </c>
      <c r="S5183">
        <v>-3.414917E-2</v>
      </c>
      <c r="T5183">
        <v>-0.13368450000000001</v>
      </c>
      <c r="U5183">
        <v>-2.9968409999999999</v>
      </c>
      <c r="V5183">
        <v>2.502509E-2</v>
      </c>
      <c r="W5183">
        <v>-3.3193439999999998E-2</v>
      </c>
      <c r="X5183">
        <v>0.99913560000000001</v>
      </c>
      <c r="Y5183">
        <v>2.012392E-2</v>
      </c>
      <c r="Z5183">
        <v>3.2085790000000003E-2</v>
      </c>
      <c r="AA5183">
        <v>0.99928249999999996</v>
      </c>
      <c r="AB5183">
        <v>18</v>
      </c>
      <c r="AC5183">
        <v>-0.287399999999991</v>
      </c>
      <c r="AD5183">
        <v>-1.1211844011030001</v>
      </c>
      <c r="AE5183">
        <v>-25.007100000000001</v>
      </c>
      <c r="AF5183">
        <v>0.50502727267681302</v>
      </c>
      <c r="AG5183">
        <v>-1.1211844011030001</v>
      </c>
      <c r="AH5183">
        <v>24.9534776539268</v>
      </c>
      <c r="AI5183">
        <v>92.572099689916001</v>
      </c>
      <c r="AJ5183">
        <v>88.840563153263403</v>
      </c>
      <c r="AK5183">
        <v>24.983757804470699</v>
      </c>
      <c r="AL5183">
        <v>91.902193429716704</v>
      </c>
      <c r="AM5183">
        <v>88.565227463894104</v>
      </c>
      <c r="AN5183">
        <v>1.0000000033879499</v>
      </c>
    </row>
    <row r="5184" spans="1:40" x14ac:dyDescent="0.25">
      <c r="A5184" t="str">
        <f>"20190303153913092"</f>
        <v>20190303153913092</v>
      </c>
      <c r="B5184" t="str">
        <f>"1551598753084134"</f>
        <v>1551598753084134</v>
      </c>
      <c r="C5184" t="s">
        <v>40</v>
      </c>
      <c r="D5184">
        <v>4.787344</v>
      </c>
      <c r="E5184">
        <v>0.4983245</v>
      </c>
      <c r="F5184" t="s">
        <v>42</v>
      </c>
      <c r="G5184">
        <v>-191.21430000000001</v>
      </c>
      <c r="H5184" s="1">
        <v>-4.6621590000000004E-6</v>
      </c>
      <c r="I5184">
        <v>168.8657</v>
      </c>
      <c r="J5184">
        <v>-190.91030000000001</v>
      </c>
      <c r="K5184">
        <v>1.1211719999999901</v>
      </c>
      <c r="L5184">
        <v>193.11359999999999</v>
      </c>
      <c r="M5184">
        <v>8.5811140000000008E-3</v>
      </c>
      <c r="N5184">
        <v>-1.255972E-2</v>
      </c>
      <c r="O5184">
        <v>-0.99988440000000001</v>
      </c>
      <c r="P5184">
        <v>-1.69532999999999E-2</v>
      </c>
      <c r="Q5184">
        <v>-4.6019240000000003E-2</v>
      </c>
      <c r="R5184">
        <v>-0.99879689999999999</v>
      </c>
      <c r="S5184">
        <v>-3.727722E-2</v>
      </c>
      <c r="T5184">
        <v>-0.13787269999999999</v>
      </c>
      <c r="U5184">
        <v>-2.9966430000000002</v>
      </c>
      <c r="V5184">
        <v>2.5514599999999998E-2</v>
      </c>
      <c r="W5184">
        <v>-3.3480580000000003E-2</v>
      </c>
      <c r="X5184">
        <v>0.99911360000000005</v>
      </c>
      <c r="Y5184">
        <v>2.1004700000000001E-2</v>
      </c>
      <c r="Z5184">
        <v>3.3400310000000002E-2</v>
      </c>
      <c r="AA5184">
        <v>0.99922129999999998</v>
      </c>
      <c r="AB5184">
        <v>18</v>
      </c>
      <c r="AC5184">
        <v>-0.30400000000000199</v>
      </c>
      <c r="AD5184">
        <v>-1.12117666215899</v>
      </c>
      <c r="AE5184">
        <v>-24.247899999999898</v>
      </c>
      <c r="AF5184">
        <v>0.51098689417314302</v>
      </c>
      <c r="AG5184">
        <v>-1.12117666215899</v>
      </c>
      <c r="AH5184">
        <v>24.192683333948999</v>
      </c>
      <c r="AI5184">
        <v>92.652804832398502</v>
      </c>
      <c r="AJ5184">
        <v>88.790004422302403</v>
      </c>
      <c r="AK5184">
        <v>24.224039126671599</v>
      </c>
      <c r="AL5184">
        <v>91.918654563356199</v>
      </c>
      <c r="AM5184">
        <v>88.537142090813504</v>
      </c>
      <c r="AN5184">
        <v>0.99999996487762699</v>
      </c>
    </row>
    <row r="5185" spans="1:40" x14ac:dyDescent="0.25">
      <c r="A5185" t="str">
        <f>"20190303153913107"</f>
        <v>20190303153913107</v>
      </c>
      <c r="B5185" t="str">
        <f>"1551598753093895"</f>
        <v>1551598753093895</v>
      </c>
      <c r="C5185" t="s">
        <v>40</v>
      </c>
      <c r="D5185">
        <v>4.7694799999999997</v>
      </c>
      <c r="E5185">
        <v>0.49816329999999998</v>
      </c>
      <c r="F5185" t="s">
        <v>42</v>
      </c>
      <c r="G5185">
        <v>-191.2107</v>
      </c>
      <c r="H5185" s="1">
        <v>-4.7283199999999998E-6</v>
      </c>
      <c r="I5185">
        <v>169.03970000000001</v>
      </c>
      <c r="J5185">
        <v>-190.90940000000001</v>
      </c>
      <c r="K5185">
        <v>1.1211660000000001</v>
      </c>
      <c r="L5185">
        <v>192.994</v>
      </c>
      <c r="M5185">
        <v>8.4164440000000004E-3</v>
      </c>
      <c r="N5185">
        <v>-1.263222E-2</v>
      </c>
      <c r="O5185">
        <v>-0.99988489999999997</v>
      </c>
      <c r="P5185">
        <v>-1.7469970000000001E-2</v>
      </c>
      <c r="Q5185">
        <v>-4.6084920000000001E-2</v>
      </c>
      <c r="R5185">
        <v>-0.99878500000000003</v>
      </c>
      <c r="S5185">
        <v>-3.7399290000000002E-2</v>
      </c>
      <c r="T5185">
        <v>-0.13955609999999999</v>
      </c>
      <c r="U5185">
        <v>-2.9965519999999999</v>
      </c>
      <c r="V5185">
        <v>2.5866199999999999E-2</v>
      </c>
      <c r="W5185">
        <v>-3.3474429999999999E-2</v>
      </c>
      <c r="X5185">
        <v>0.99910480000000002</v>
      </c>
      <c r="Y5185">
        <v>2.0880840000000001E-2</v>
      </c>
      <c r="Z5185">
        <v>3.3889519999999999E-2</v>
      </c>
      <c r="AA5185">
        <v>0.99920739999999997</v>
      </c>
      <c r="AB5185">
        <v>18</v>
      </c>
      <c r="AC5185">
        <v>-0.30129999999999701</v>
      </c>
      <c r="AD5185">
        <v>-1.1211707283200001</v>
      </c>
      <c r="AE5185">
        <v>-23.9543</v>
      </c>
      <c r="AF5185">
        <v>0.50181627743048796</v>
      </c>
      <c r="AG5185">
        <v>-1.1211707283200001</v>
      </c>
      <c r="AH5185">
        <v>23.8985698066063</v>
      </c>
      <c r="AI5185">
        <v>92.685397511749002</v>
      </c>
      <c r="AJ5185">
        <v>88.797094114636906</v>
      </c>
      <c r="AK5185">
        <v>23.930116635310601</v>
      </c>
      <c r="AL5185">
        <v>91.918301930091801</v>
      </c>
      <c r="AM5185">
        <v>88.5169792884451</v>
      </c>
      <c r="AN5185">
        <v>0.99999999957465202</v>
      </c>
    </row>
    <row r="5186" spans="1:40" x14ac:dyDescent="0.25">
      <c r="A5186" t="str">
        <f>"20190303153913123"</f>
        <v>20190303153913123</v>
      </c>
      <c r="B5186" t="str">
        <f>"1551598753113414"</f>
        <v>1551598753113414</v>
      </c>
      <c r="C5186" t="s">
        <v>40</v>
      </c>
      <c r="D5186">
        <v>4.7430199999999996</v>
      </c>
      <c r="E5186">
        <v>0.4979751</v>
      </c>
      <c r="F5186" t="s">
        <v>42</v>
      </c>
      <c r="G5186">
        <v>-191.2122</v>
      </c>
      <c r="H5186" s="1">
        <v>-4.6869900000000003E-6</v>
      </c>
      <c r="I5186">
        <v>168.9314</v>
      </c>
      <c r="J5186">
        <v>-190.90860000000001</v>
      </c>
      <c r="K5186">
        <v>1.1211530000000001</v>
      </c>
      <c r="L5186">
        <v>192.86869999999999</v>
      </c>
      <c r="M5186">
        <v>8.2384090000000004E-3</v>
      </c>
      <c r="N5186">
        <v>-1.2670890000000001E-2</v>
      </c>
      <c r="O5186">
        <v>-0.99988589999999999</v>
      </c>
      <c r="P5186">
        <v>-1.8121100000000001E-2</v>
      </c>
      <c r="Q5186">
        <v>-4.4964839999999999E-2</v>
      </c>
      <c r="R5186">
        <v>-0.99882409999999999</v>
      </c>
      <c r="S5186">
        <v>-3.7704469999999997E-2</v>
      </c>
      <c r="T5186">
        <v>-0.139621</v>
      </c>
      <c r="U5186">
        <v>-2.9965519999999999</v>
      </c>
      <c r="V5186">
        <v>2.633976E-2</v>
      </c>
      <c r="W5186">
        <v>-3.231581E-2</v>
      </c>
      <c r="X5186">
        <v>0.99913050000000003</v>
      </c>
      <c r="Y5186">
        <v>2.080458E-2</v>
      </c>
      <c r="Z5186">
        <v>3.3872609999999997E-2</v>
      </c>
      <c r="AA5186">
        <v>0.99920960000000003</v>
      </c>
      <c r="AB5186">
        <v>18</v>
      </c>
      <c r="AC5186">
        <v>-0.30359999999998799</v>
      </c>
      <c r="AD5186">
        <v>-1.12115768699</v>
      </c>
      <c r="AE5186">
        <v>-23.9373</v>
      </c>
      <c r="AF5186">
        <v>0.49971470991571598</v>
      </c>
      <c r="AG5186">
        <v>-1.12115768699</v>
      </c>
      <c r="AH5186">
        <v>23.881604791242498</v>
      </c>
      <c r="AI5186">
        <v>92.687275265340105</v>
      </c>
      <c r="AJ5186">
        <v>88.801279625445602</v>
      </c>
      <c r="AK5186">
        <v>23.913129380227499</v>
      </c>
      <c r="AL5186">
        <v>91.851882082012807</v>
      </c>
      <c r="AM5186">
        <v>88.489879339856003</v>
      </c>
      <c r="AN5186">
        <v>0.99999992528152903</v>
      </c>
    </row>
    <row r="5187" spans="1:40" x14ac:dyDescent="0.25">
      <c r="A5187" t="str">
        <f>"20190303153913145"</f>
        <v>20190303153913145</v>
      </c>
      <c r="B5187" t="str">
        <f>"1551598753133910"</f>
        <v>1551598753133910</v>
      </c>
      <c r="C5187" t="s">
        <v>40</v>
      </c>
      <c r="D5187">
        <v>4.7246129999999997</v>
      </c>
      <c r="E5187">
        <v>0.49774069999999998</v>
      </c>
      <c r="F5187" t="s">
        <v>42</v>
      </c>
      <c r="G5187">
        <v>-191.22069999999999</v>
      </c>
      <c r="H5187" s="1">
        <v>-4.4797880000000004E-6</v>
      </c>
      <c r="I5187">
        <v>168.3879</v>
      </c>
      <c r="J5187">
        <v>-190.9074</v>
      </c>
      <c r="K5187">
        <v>1.1211040000000001</v>
      </c>
      <c r="L5187">
        <v>192.69130000000001</v>
      </c>
      <c r="M5187">
        <v>7.9873830000000007E-3</v>
      </c>
      <c r="N5187">
        <v>-1.2601799999999899E-2</v>
      </c>
      <c r="O5187">
        <v>-0.99988869999999996</v>
      </c>
      <c r="P5187">
        <v>-1.847621E-2</v>
      </c>
      <c r="Q5187">
        <v>-4.4413729999999998E-2</v>
      </c>
      <c r="R5187">
        <v>-0.99884240000000002</v>
      </c>
      <c r="S5187">
        <v>-3.8208010000000001E-2</v>
      </c>
      <c r="T5187">
        <v>-0.1372389</v>
      </c>
      <c r="U5187">
        <v>-2.996658</v>
      </c>
      <c r="V5187">
        <v>2.6443890000000001E-2</v>
      </c>
      <c r="W5187">
        <v>-3.183399E-2</v>
      </c>
      <c r="X5187">
        <v>0.99914329999999996</v>
      </c>
      <c r="Y5187">
        <v>2.07215E-2</v>
      </c>
      <c r="Z5187">
        <v>3.3147509999999998E-2</v>
      </c>
      <c r="AA5187">
        <v>0.9992356</v>
      </c>
      <c r="AB5187">
        <v>18</v>
      </c>
      <c r="AC5187">
        <v>-0.31329999999999802</v>
      </c>
      <c r="AD5187">
        <v>-1.121108479788</v>
      </c>
      <c r="AE5187">
        <v>-24.3034</v>
      </c>
      <c r="AF5187">
        <v>0.50634867711934906</v>
      </c>
      <c r="AG5187">
        <v>-1.121108479788</v>
      </c>
      <c r="AH5187">
        <v>24.248530898714002</v>
      </c>
      <c r="AI5187">
        <v>92.646556355675401</v>
      </c>
      <c r="AJ5187">
        <v>88.803744993108793</v>
      </c>
      <c r="AK5187">
        <v>24.279714247745201</v>
      </c>
      <c r="AL5187">
        <v>91.824261464473096</v>
      </c>
      <c r="AM5187">
        <v>88.483931515294998</v>
      </c>
      <c r="AN5187">
        <v>1.0000000080862701</v>
      </c>
    </row>
    <row r="5188" spans="1:40" x14ac:dyDescent="0.25">
      <c r="A5188" t="str">
        <f>"20190303153913158"</f>
        <v>20190303153913158</v>
      </c>
      <c r="B5188" t="str">
        <f>"1551598753153430"</f>
        <v>1551598753153430</v>
      </c>
      <c r="C5188" t="s">
        <v>40</v>
      </c>
      <c r="D5188">
        <v>4.7231620000000003</v>
      </c>
      <c r="E5188">
        <v>0.4975677</v>
      </c>
      <c r="F5188" t="s">
        <v>42</v>
      </c>
      <c r="G5188">
        <v>-191.21680000000001</v>
      </c>
      <c r="H5188" s="1">
        <v>-4.2655269999999998E-6</v>
      </c>
      <c r="I5188">
        <v>167.93029999999999</v>
      </c>
      <c r="J5188">
        <v>-190.9067</v>
      </c>
      <c r="K5188">
        <v>1.1210610000000001</v>
      </c>
      <c r="L5188">
        <v>192.59030000000001</v>
      </c>
      <c r="M5188">
        <v>7.8434390000000007E-3</v>
      </c>
      <c r="N5188">
        <v>-1.247902E-2</v>
      </c>
      <c r="O5188">
        <v>-0.99989159999999999</v>
      </c>
      <c r="P5188">
        <v>-1.8681900000000001E-2</v>
      </c>
      <c r="Q5188">
        <v>-4.4212210000000002E-2</v>
      </c>
      <c r="R5188">
        <v>-0.99884770000000001</v>
      </c>
      <c r="S5188">
        <v>-3.7445069999999997E-2</v>
      </c>
      <c r="T5188">
        <v>-0.13568520000000001</v>
      </c>
      <c r="U5188">
        <v>-2.9967649999999999</v>
      </c>
      <c r="V5188">
        <v>2.650568E-2</v>
      </c>
      <c r="W5188">
        <v>-3.1755230000000002E-2</v>
      </c>
      <c r="X5188">
        <v>0.99914409999999998</v>
      </c>
      <c r="Y5188">
        <v>2.0323210000000001E-2</v>
      </c>
      <c r="Z5188">
        <v>3.2751990000000002E-2</v>
      </c>
      <c r="AA5188">
        <v>0.99925679999999995</v>
      </c>
      <c r="AB5188">
        <v>18</v>
      </c>
      <c r="AC5188">
        <v>-0.31010000000000498</v>
      </c>
      <c r="AD5188">
        <v>-1.1210652655269999</v>
      </c>
      <c r="AE5188">
        <v>-24.66</v>
      </c>
      <c r="AF5188">
        <v>0.50248636313761896</v>
      </c>
      <c r="AG5188">
        <v>-1.1210652655269999</v>
      </c>
      <c r="AH5188">
        <v>24.605963999380201</v>
      </c>
      <c r="AI5188">
        <v>92.608089568552899</v>
      </c>
      <c r="AJ5188">
        <v>88.830106931730199</v>
      </c>
      <c r="AK5188">
        <v>24.636613895044601</v>
      </c>
      <c r="AL5188">
        <v>91.819746691804497</v>
      </c>
      <c r="AM5188">
        <v>88.480391875751494</v>
      </c>
      <c r="AN5188">
        <v>0.99999993913470997</v>
      </c>
    </row>
    <row r="5189" spans="1:40" x14ac:dyDescent="0.25">
      <c r="A5189" t="str">
        <f>"20190303153913171"</f>
        <v>20190303153913171</v>
      </c>
      <c r="B5189" t="str">
        <f>"1551598753164166"</f>
        <v>1551598753164166</v>
      </c>
      <c r="C5189" t="s">
        <v>40</v>
      </c>
      <c r="D5189">
        <v>4.71591</v>
      </c>
      <c r="E5189">
        <v>0.49755250000000001</v>
      </c>
      <c r="F5189" t="s">
        <v>42</v>
      </c>
      <c r="G5189">
        <v>-191.21080000000001</v>
      </c>
      <c r="H5189" s="1">
        <v>-4.1368769999999997E-6</v>
      </c>
      <c r="I5189">
        <v>167.66149999999999</v>
      </c>
      <c r="J5189">
        <v>-190.90600000000001</v>
      </c>
      <c r="K5189">
        <v>1.121008</v>
      </c>
      <c r="L5189">
        <v>192.47800000000001</v>
      </c>
      <c r="M5189">
        <v>7.6821750000000003E-3</v>
      </c>
      <c r="N5189">
        <v>-1.230797E-2</v>
      </c>
      <c r="O5189">
        <v>-0.99989490000000003</v>
      </c>
      <c r="P5189">
        <v>-1.8715499999999999E-2</v>
      </c>
      <c r="Q5189">
        <v>-4.3813879999999999E-2</v>
      </c>
      <c r="R5189">
        <v>-0.99886450000000004</v>
      </c>
      <c r="S5189">
        <v>-3.6560059999999998E-2</v>
      </c>
      <c r="T5189">
        <v>-0.134768</v>
      </c>
      <c r="U5189">
        <v>-2.9967959999999998</v>
      </c>
      <c r="V5189">
        <v>2.63783E-2</v>
      </c>
      <c r="W5189">
        <v>-3.1527649999999997E-2</v>
      </c>
      <c r="X5189">
        <v>0.99915469999999895</v>
      </c>
      <c r="Y5189">
        <v>1.9867139999999998E-2</v>
      </c>
      <c r="Z5189">
        <v>3.2617689999999998E-2</v>
      </c>
      <c r="AA5189">
        <v>0.9992704</v>
      </c>
      <c r="AB5189">
        <v>18</v>
      </c>
      <c r="AC5189">
        <v>-0.30480000000002799</v>
      </c>
      <c r="AD5189">
        <v>-1.1210121368770001</v>
      </c>
      <c r="AE5189">
        <v>-24.816499999999898</v>
      </c>
      <c r="AF5189">
        <v>0.49444134989972399</v>
      </c>
      <c r="AG5189">
        <v>-1.1210121368770001</v>
      </c>
      <c r="AH5189">
        <v>24.762904460830299</v>
      </c>
      <c r="AI5189">
        <v>92.591483905476395</v>
      </c>
      <c r="AJ5189">
        <v>88.856126158162894</v>
      </c>
      <c r="AK5189">
        <v>24.793196199677901</v>
      </c>
      <c r="AL5189">
        <v>91.806700745710998</v>
      </c>
      <c r="AM5189">
        <v>88.487707388329497</v>
      </c>
      <c r="AN5189">
        <v>0.99999996097874999</v>
      </c>
    </row>
    <row r="5190" spans="1:40" x14ac:dyDescent="0.25">
      <c r="A5190" t="str">
        <f>"20190303153913183"</f>
        <v>20190303153913183</v>
      </c>
      <c r="B5190" t="str">
        <f>"1551598753173926"</f>
        <v>1551598753173926</v>
      </c>
      <c r="C5190" t="s">
        <v>40</v>
      </c>
      <c r="D5190">
        <v>4.6589010000000002</v>
      </c>
      <c r="E5190">
        <v>0.4974461</v>
      </c>
      <c r="F5190" t="s">
        <v>42</v>
      </c>
      <c r="G5190">
        <v>-191.2148</v>
      </c>
      <c r="H5190" s="1">
        <v>-3.9599629999999998E-6</v>
      </c>
      <c r="I5190">
        <v>167.2851</v>
      </c>
      <c r="J5190">
        <v>-190.90539999999999</v>
      </c>
      <c r="K5190">
        <v>1.120965</v>
      </c>
      <c r="L5190">
        <v>192.37989999999999</v>
      </c>
      <c r="M5190">
        <v>7.5394540000000001E-3</v>
      </c>
      <c r="N5190">
        <v>-1.213931E-2</v>
      </c>
      <c r="O5190">
        <v>-0.99989799999999995</v>
      </c>
      <c r="P5190">
        <v>-1.8810759999999999E-2</v>
      </c>
      <c r="Q5190">
        <v>-4.3588219999999997E-2</v>
      </c>
      <c r="R5190">
        <v>-0.99887239999999999</v>
      </c>
      <c r="S5190">
        <v>-3.6727910000000002E-2</v>
      </c>
      <c r="T5190">
        <v>-0.1333512</v>
      </c>
      <c r="U5190">
        <v>-2.9968569999999999</v>
      </c>
      <c r="V5190">
        <v>2.6331050000000002E-2</v>
      </c>
      <c r="W5190">
        <v>-3.1470379999999999E-2</v>
      </c>
      <c r="X5190">
        <v>0.99915779999999998</v>
      </c>
      <c r="Y5190">
        <v>1.9780450000000002E-2</v>
      </c>
      <c r="Z5190">
        <v>3.2313979999999999E-2</v>
      </c>
      <c r="AA5190">
        <v>0.999282</v>
      </c>
      <c r="AB5190">
        <v>18</v>
      </c>
      <c r="AC5190">
        <v>-0.30940000000001</v>
      </c>
      <c r="AD5190">
        <v>-1.1209689599629999</v>
      </c>
      <c r="AE5190">
        <v>-25.0947999999999</v>
      </c>
      <c r="AF5190">
        <v>0.49761345331045598</v>
      </c>
      <c r="AG5190">
        <v>-1.1209689599629999</v>
      </c>
      <c r="AH5190">
        <v>25.0417941498477</v>
      </c>
      <c r="AI5190">
        <v>92.562567625709704</v>
      </c>
      <c r="AJ5190">
        <v>88.8616071717518</v>
      </c>
      <c r="AK5190">
        <v>25.071809763187499</v>
      </c>
      <c r="AL5190">
        <v>91.803417700316899</v>
      </c>
      <c r="AM5190">
        <v>88.490419701935195</v>
      </c>
      <c r="AN5190">
        <v>1.0000000091561401</v>
      </c>
    </row>
    <row r="5191" spans="1:40" x14ac:dyDescent="0.25">
      <c r="A5191" t="str">
        <f>"20190303153913200"</f>
        <v>20190303153913200</v>
      </c>
      <c r="B5191" t="str">
        <f>"1551598753193569"</f>
        <v>1551598753193569</v>
      </c>
      <c r="C5191" t="s">
        <v>40</v>
      </c>
      <c r="D5191">
        <v>4.6706300000000001</v>
      </c>
      <c r="E5191">
        <v>0.49727539999999998</v>
      </c>
      <c r="F5191" t="s">
        <v>42</v>
      </c>
      <c r="G5191">
        <v>-191.2098</v>
      </c>
      <c r="H5191" s="1">
        <v>-3.89130999999999E-6</v>
      </c>
      <c r="I5191">
        <v>167.14259999999999</v>
      </c>
      <c r="J5191">
        <v>-190.90469999999999</v>
      </c>
      <c r="K5191">
        <v>1.1209199999999999</v>
      </c>
      <c r="L5191">
        <v>192.25239999999999</v>
      </c>
      <c r="M5191">
        <v>7.3521089999999999E-3</v>
      </c>
      <c r="N5191">
        <v>-1.193728E-2</v>
      </c>
      <c r="O5191">
        <v>-0.99990179999999995</v>
      </c>
      <c r="P5191">
        <v>-1.8385149999999999E-2</v>
      </c>
      <c r="Q5191">
        <v>-4.3130740000000001E-2</v>
      </c>
      <c r="R5191">
        <v>-0.99890049999999997</v>
      </c>
      <c r="S5191">
        <v>-3.6148069999999997E-2</v>
      </c>
      <c r="T5191">
        <v>-0.1331137</v>
      </c>
      <c r="U5191">
        <v>-2.996902</v>
      </c>
      <c r="V5191">
        <v>2.571855E-2</v>
      </c>
      <c r="W5191">
        <v>-3.1214229999999999E-2</v>
      </c>
      <c r="X5191">
        <v>0.99918180000000001</v>
      </c>
      <c r="Y5191">
        <v>1.939983E-2</v>
      </c>
      <c r="Z5191">
        <v>3.2436560000000003E-2</v>
      </c>
      <c r="AA5191">
        <v>0.99928550000000005</v>
      </c>
      <c r="AB5191">
        <v>18</v>
      </c>
      <c r="AC5191">
        <v>-0.30510000000000997</v>
      </c>
      <c r="AD5191">
        <v>-1.1209238913099999</v>
      </c>
      <c r="AE5191">
        <v>-25.1098</v>
      </c>
      <c r="AF5191">
        <v>0.48874105527114398</v>
      </c>
      <c r="AG5191">
        <v>-1.1209238913099999</v>
      </c>
      <c r="AH5191">
        <v>25.0569516141855</v>
      </c>
      <c r="AI5191">
        <v>92.560935139161501</v>
      </c>
      <c r="AJ5191">
        <v>88.882575592901205</v>
      </c>
      <c r="AK5191">
        <v>25.086772657814102</v>
      </c>
      <c r="AL5191">
        <v>91.788734151934506</v>
      </c>
      <c r="AM5191">
        <v>88.525554534877799</v>
      </c>
      <c r="AN5191">
        <v>1.00000002070991</v>
      </c>
    </row>
    <row r="5192" spans="1:40" x14ac:dyDescent="0.25">
      <c r="A5192" t="str">
        <f>"20190303153913213"</f>
        <v>20190303153913213</v>
      </c>
      <c r="B5192" t="str">
        <f>"1551598753204301"</f>
        <v>1551598753204301</v>
      </c>
      <c r="C5192" t="s">
        <v>40</v>
      </c>
      <c r="D5192">
        <v>4.6144089999999904</v>
      </c>
      <c r="E5192">
        <v>0.49718230000000002</v>
      </c>
      <c r="F5192" t="s">
        <v>42</v>
      </c>
      <c r="G5192">
        <v>-191.18950000000001</v>
      </c>
      <c r="H5192" s="1">
        <v>-3.6839E-6</v>
      </c>
      <c r="I5192">
        <v>166.71530000000001</v>
      </c>
      <c r="J5192">
        <v>-190.9041</v>
      </c>
      <c r="K5192">
        <v>1.120892</v>
      </c>
      <c r="L5192">
        <v>192.1523</v>
      </c>
      <c r="M5192">
        <v>7.2034279999999996E-3</v>
      </c>
      <c r="N5192">
        <v>-1.179027E-2</v>
      </c>
      <c r="O5192">
        <v>-0.99990469999999998</v>
      </c>
      <c r="P5192">
        <v>-1.8160800000000001E-2</v>
      </c>
      <c r="Q5192">
        <v>-4.2846830000000002E-2</v>
      </c>
      <c r="R5192">
        <v>-0.9989169</v>
      </c>
      <c r="S5192">
        <v>-3.3432009999999998E-2</v>
      </c>
      <c r="T5192">
        <v>-0.1315509</v>
      </c>
      <c r="U5192">
        <v>-2.9970249999999998</v>
      </c>
      <c r="V5192">
        <v>2.5345779999999998E-2</v>
      </c>
      <c r="W5192">
        <v>-3.1076900000000001E-2</v>
      </c>
      <c r="X5192">
        <v>0.99919559999999996</v>
      </c>
      <c r="Y5192">
        <v>1.8345810000000001E-2</v>
      </c>
      <c r="Z5192">
        <v>3.206241E-2</v>
      </c>
      <c r="AA5192">
        <v>0.99931749999999997</v>
      </c>
      <c r="AB5192">
        <v>18</v>
      </c>
      <c r="AC5192">
        <v>-0.28540000000000898</v>
      </c>
      <c r="AD5192">
        <v>-1.1208956838999999</v>
      </c>
      <c r="AE5192">
        <v>-25.436999999999902</v>
      </c>
      <c r="AF5192">
        <v>0.46773078798958601</v>
      </c>
      <c r="AG5192">
        <v>-1.1208956838999999</v>
      </c>
      <c r="AH5192">
        <v>25.384998226450801</v>
      </c>
      <c r="AI5192">
        <v>92.527871908272402</v>
      </c>
      <c r="AJ5192">
        <v>88.944417181355405</v>
      </c>
      <c r="AK5192">
        <v>25.4140377386422</v>
      </c>
      <c r="AL5192">
        <v>91.780861914304694</v>
      </c>
      <c r="AM5192">
        <v>88.546936283683706</v>
      </c>
      <c r="AN5192">
        <v>1.0000000146683801</v>
      </c>
    </row>
    <row r="5193" spans="1:40" x14ac:dyDescent="0.25">
      <c r="A5193" t="str">
        <f>"20190303153913223"</f>
        <v>20190303153913223</v>
      </c>
      <c r="B5193" t="str">
        <f>"1551598753214062"</f>
        <v>1551598753214062</v>
      </c>
      <c r="C5193" t="s">
        <v>40</v>
      </c>
      <c r="D5193">
        <v>4.6313599999999999</v>
      </c>
      <c r="E5193">
        <v>0.49710979999999999</v>
      </c>
      <c r="F5193" t="s">
        <v>42</v>
      </c>
      <c r="G5193">
        <v>-191.17830000000001</v>
      </c>
      <c r="H5193" s="1">
        <v>-3.581274E-6</v>
      </c>
      <c r="I5193">
        <v>166.50450000000001</v>
      </c>
      <c r="J5193">
        <v>-190.90350000000001</v>
      </c>
      <c r="K5193">
        <v>1.1208750000000001</v>
      </c>
      <c r="L5193">
        <v>192.05629999999999</v>
      </c>
      <c r="M5193">
        <v>7.0586619999999899E-3</v>
      </c>
      <c r="N5193">
        <v>-1.1663750000000001E-2</v>
      </c>
      <c r="O5193">
        <v>-0.99990730000000005</v>
      </c>
      <c r="P5193">
        <v>-1.7780850000000001E-2</v>
      </c>
      <c r="Q5193">
        <v>-4.3033469999999997E-2</v>
      </c>
      <c r="R5193">
        <v>-0.99891560000000001</v>
      </c>
      <c r="S5193">
        <v>-3.2043460000000003E-2</v>
      </c>
      <c r="T5193">
        <v>-0.13098070000000001</v>
      </c>
      <c r="U5193">
        <v>-2.9970400000000001</v>
      </c>
      <c r="V5193">
        <v>2.482096E-2</v>
      </c>
      <c r="W5193">
        <v>-3.1389830000000001E-2</v>
      </c>
      <c r="X5193">
        <v>0.99919899999999995</v>
      </c>
      <c r="Y5193">
        <v>1.7738360000000002E-2</v>
      </c>
      <c r="Z5193">
        <v>3.1999350000000003E-2</v>
      </c>
      <c r="AA5193">
        <v>0.99933050000000001</v>
      </c>
      <c r="AB5193">
        <v>18</v>
      </c>
      <c r="AC5193">
        <v>-0.27479999999999899</v>
      </c>
      <c r="AD5193">
        <v>-1.1208785812739901</v>
      </c>
      <c r="AE5193">
        <v>-25.551799999999901</v>
      </c>
      <c r="AF5193">
        <v>0.45429280223304402</v>
      </c>
      <c r="AG5193">
        <v>-1.1208785812739901</v>
      </c>
      <c r="AH5193">
        <v>25.5001590633692</v>
      </c>
      <c r="AI5193">
        <v>92.516459969647698</v>
      </c>
      <c r="AJ5193">
        <v>88.979366875742002</v>
      </c>
      <c r="AK5193">
        <v>25.528824160177201</v>
      </c>
      <c r="AL5193">
        <v>91.798800221787303</v>
      </c>
      <c r="AM5193">
        <v>88.577016348731206</v>
      </c>
      <c r="AN5193">
        <v>1.0000000215418701</v>
      </c>
    </row>
    <row r="5194" spans="1:40" x14ac:dyDescent="0.25">
      <c r="A5194" t="str">
        <f>"20190303153913236"</f>
        <v>20190303153913236</v>
      </c>
      <c r="B5194" t="str">
        <f>"1551598753223822"</f>
        <v>1551598753223822</v>
      </c>
      <c r="C5194" t="s">
        <v>40</v>
      </c>
      <c r="D5194">
        <v>4.6430249999999997</v>
      </c>
      <c r="E5194">
        <v>0.49703550000000002</v>
      </c>
      <c r="F5194" t="s">
        <v>42</v>
      </c>
      <c r="G5194">
        <v>-191.16149999999999</v>
      </c>
      <c r="H5194" s="1">
        <v>-3.5899180000000002E-6</v>
      </c>
      <c r="I5194">
        <v>166.53219999999999</v>
      </c>
      <c r="J5194">
        <v>-190.90299999999999</v>
      </c>
      <c r="K5194">
        <v>1.1208560000000001</v>
      </c>
      <c r="L5194">
        <v>191.9615</v>
      </c>
      <c r="M5194">
        <v>6.9139149999999996E-3</v>
      </c>
      <c r="N5194">
        <v>-1.154029E-2</v>
      </c>
      <c r="O5194">
        <v>-0.99990970000000001</v>
      </c>
      <c r="P5194">
        <v>-1.7713900000000001E-2</v>
      </c>
      <c r="Q5194">
        <v>-4.266267E-2</v>
      </c>
      <c r="R5194">
        <v>-0.99893270000000001</v>
      </c>
      <c r="S5194">
        <v>-3.0288700000000002E-2</v>
      </c>
      <c r="T5194">
        <v>-0.13161439999999999</v>
      </c>
      <c r="U5194">
        <v>-2.997055</v>
      </c>
      <c r="V5194">
        <v>2.4609410000000002E-2</v>
      </c>
      <c r="W5194">
        <v>-3.114229E-2</v>
      </c>
      <c r="X5194">
        <v>0.99921199999999999</v>
      </c>
      <c r="Y5194">
        <v>1.700869E-2</v>
      </c>
      <c r="Z5194">
        <v>3.2333960000000002E-2</v>
      </c>
      <c r="AA5194">
        <v>0.99933240000000001</v>
      </c>
      <c r="AB5194">
        <v>18</v>
      </c>
      <c r="AC5194">
        <v>-0.25849999999999701</v>
      </c>
      <c r="AD5194">
        <v>-1.1208595899179901</v>
      </c>
      <c r="AE5194">
        <v>-25.429300000000001</v>
      </c>
      <c r="AF5194">
        <v>0.43347942630018099</v>
      </c>
      <c r="AG5194">
        <v>-1.1208595899179901</v>
      </c>
      <c r="AH5194">
        <v>25.3776056135335</v>
      </c>
      <c r="AI5194">
        <v>92.528586263997198</v>
      </c>
      <c r="AJ5194">
        <v>89.021415694531797</v>
      </c>
      <c r="AK5194">
        <v>25.406044503412598</v>
      </c>
      <c r="AL5194">
        <v>91.784610248784901</v>
      </c>
      <c r="AM5194">
        <v>88.589157918483906</v>
      </c>
      <c r="AN5194">
        <v>1.0000000431154901</v>
      </c>
    </row>
    <row r="5195" spans="1:40" x14ac:dyDescent="0.25">
      <c r="A5195" t="str">
        <f>"20190303153913248"</f>
        <v>20190303153913248</v>
      </c>
      <c r="B5195" t="str">
        <f>"1551598753243342"</f>
        <v>1551598753243342</v>
      </c>
      <c r="C5195" t="s">
        <v>40</v>
      </c>
      <c r="D5195">
        <v>4.6351009999999997</v>
      </c>
      <c r="E5195">
        <v>0.49696649999999998</v>
      </c>
      <c r="F5195" t="s">
        <v>42</v>
      </c>
      <c r="G5195">
        <v>-191.1566</v>
      </c>
      <c r="H5195" s="1">
        <v>-3.4615330000000001E-6</v>
      </c>
      <c r="I5195">
        <v>166.26339999999999</v>
      </c>
      <c r="J5195">
        <v>-190.9025</v>
      </c>
      <c r="K5195">
        <v>1.1208469999999999</v>
      </c>
      <c r="L5195">
        <v>191.86670000000001</v>
      </c>
      <c r="M5195">
        <v>6.7676769999999997E-3</v>
      </c>
      <c r="N5195">
        <v>-1.141758E-2</v>
      </c>
      <c r="O5195">
        <v>-0.99991180000000002</v>
      </c>
      <c r="P5195">
        <v>-1.7120070000000001E-2</v>
      </c>
      <c r="Q5195">
        <v>-4.2649109999999997E-2</v>
      </c>
      <c r="R5195">
        <v>-0.99894340000000004</v>
      </c>
      <c r="S5195">
        <v>-2.9571529999999999E-2</v>
      </c>
      <c r="T5195">
        <v>-0.1307219</v>
      </c>
      <c r="U5195">
        <v>-2.9970859999999999</v>
      </c>
      <c r="V5195">
        <v>2.3869270000000001E-2</v>
      </c>
      <c r="W5195">
        <v>-3.1251090000000002E-2</v>
      </c>
      <c r="X5195">
        <v>0.99922650000000002</v>
      </c>
      <c r="Y5195">
        <v>1.6623519999999999E-2</v>
      </c>
      <c r="Z5195">
        <v>3.2159399999999998E-2</v>
      </c>
      <c r="AA5195">
        <v>0.99934449999999997</v>
      </c>
      <c r="AB5195">
        <v>18</v>
      </c>
      <c r="AC5195">
        <v>-0.254099999999994</v>
      </c>
      <c r="AD5195">
        <v>-1.1208504615329999</v>
      </c>
      <c r="AE5195">
        <v>-25.603300000000001</v>
      </c>
      <c r="AF5195">
        <v>0.42656294251910998</v>
      </c>
      <c r="AG5195">
        <v>-1.1208504615329999</v>
      </c>
      <c r="AH5195">
        <v>25.552028768023401</v>
      </c>
      <c r="AI5195">
        <v>92.511343785813906</v>
      </c>
      <c r="AJ5195">
        <v>89.043598983195295</v>
      </c>
      <c r="AK5195">
        <v>25.580157072679299</v>
      </c>
      <c r="AL5195">
        <v>91.7908471682411</v>
      </c>
      <c r="AM5195">
        <v>88.631593147491998</v>
      </c>
      <c r="AN5195">
        <v>0.99999998548938496</v>
      </c>
    </row>
    <row r="5196" spans="1:40" x14ac:dyDescent="0.25">
      <c r="A5196" t="str">
        <f>"20190303153913260"</f>
        <v>20190303153913260</v>
      </c>
      <c r="B5196" t="str">
        <f>"1551598753254078"</f>
        <v>1551598753254078</v>
      </c>
      <c r="C5196" t="s">
        <v>40</v>
      </c>
      <c r="D5196">
        <v>4.7764550000000003</v>
      </c>
      <c r="E5196">
        <v>0.51315390000000005</v>
      </c>
      <c r="F5196" t="s">
        <v>42</v>
      </c>
      <c r="G5196">
        <v>-191.13380000000001</v>
      </c>
      <c r="H5196" s="1">
        <v>-3.5211710000000001E-6</v>
      </c>
      <c r="I5196">
        <v>166.4024</v>
      </c>
      <c r="J5196">
        <v>-190.90199999999999</v>
      </c>
      <c r="K5196">
        <v>1.1208279999999999</v>
      </c>
      <c r="L5196">
        <v>191.7664</v>
      </c>
      <c r="M5196">
        <v>6.6091329999999997E-3</v>
      </c>
      <c r="N5196">
        <v>-1.128379E-2</v>
      </c>
      <c r="O5196">
        <v>-0.99991470000000005</v>
      </c>
      <c r="P5196">
        <v>-1.6837370000000001E-2</v>
      </c>
      <c r="Q5196">
        <v>-4.2394689999999999E-2</v>
      </c>
      <c r="R5196">
        <v>-0.99895919999999905</v>
      </c>
      <c r="S5196">
        <v>-2.7221680000000002E-2</v>
      </c>
      <c r="T5196">
        <v>-0.13191989999999901</v>
      </c>
      <c r="U5196">
        <v>-2.997055</v>
      </c>
      <c r="V5196">
        <v>2.3427920000000001E-2</v>
      </c>
      <c r="W5196">
        <v>-3.1130290000000001E-2</v>
      </c>
      <c r="X5196">
        <v>0.99924080000000004</v>
      </c>
      <c r="Y5196">
        <v>1.5681770000000001E-2</v>
      </c>
      <c r="Z5196">
        <v>3.2692859999999997E-2</v>
      </c>
      <c r="AA5196">
        <v>0.99934239999999996</v>
      </c>
      <c r="AB5196">
        <v>18</v>
      </c>
      <c r="AC5196">
        <v>-0.23179999999999201</v>
      </c>
      <c r="AD5196">
        <v>-1.120831521171</v>
      </c>
      <c r="AE5196">
        <v>-25.364000000000001</v>
      </c>
      <c r="AF5196">
        <v>0.39866120649956899</v>
      </c>
      <c r="AG5196">
        <v>-1.120831521171</v>
      </c>
      <c r="AH5196">
        <v>25.3124892027251</v>
      </c>
      <c r="AI5196">
        <v>92.535074504378102</v>
      </c>
      <c r="AJ5196">
        <v>89.0976898372016</v>
      </c>
      <c r="AK5196">
        <v>25.340428246075302</v>
      </c>
      <c r="AL5196">
        <v>91.783922319056202</v>
      </c>
      <c r="AM5196">
        <v>88.656905261352804</v>
      </c>
      <c r="AN5196">
        <v>1.0000000693878199</v>
      </c>
    </row>
    <row r="5197" spans="1:40" x14ac:dyDescent="0.25">
      <c r="A5197" t="str">
        <f>"20190303153913272"</f>
        <v>20190303153913272</v>
      </c>
      <c r="B5197" t="str">
        <f>"1551598753263837"</f>
        <v>1551598753263837</v>
      </c>
      <c r="C5197" t="s">
        <v>40</v>
      </c>
      <c r="D5197">
        <v>4.6739540000000002</v>
      </c>
      <c r="E5197">
        <v>0.51315390000000005</v>
      </c>
      <c r="F5197" t="s">
        <v>68</v>
      </c>
      <c r="G5197">
        <v>-193.0317</v>
      </c>
      <c r="H5197" s="1">
        <v>-1.163002E-5</v>
      </c>
      <c r="I5197">
        <v>150.54220000000001</v>
      </c>
      <c r="J5197">
        <v>-190.9015</v>
      </c>
      <c r="K5197">
        <v>1.1208089999999999</v>
      </c>
      <c r="L5197">
        <v>191.6627</v>
      </c>
      <c r="M5197">
        <v>6.442822E-3</v>
      </c>
      <c r="N5197">
        <v>-1.1146100000000001E-2</v>
      </c>
      <c r="O5197">
        <v>-0.9999171</v>
      </c>
      <c r="P5197">
        <v>-1.663065E-2</v>
      </c>
      <c r="Q5197">
        <v>-4.2061050000000003E-2</v>
      </c>
      <c r="R5197">
        <v>-0.99897659999999999</v>
      </c>
      <c r="S5197">
        <v>-0.15483089999999999</v>
      </c>
      <c r="T5197">
        <v>-8.1486580000000003E-2</v>
      </c>
      <c r="U5197">
        <v>-2.997055</v>
      </c>
      <c r="V5197">
        <v>2.30548E-2</v>
      </c>
      <c r="W5197">
        <v>-3.0934219999999998E-2</v>
      </c>
      <c r="X5197">
        <v>0.99925549999999996</v>
      </c>
      <c r="Y5197">
        <v>5.8006820000000001E-2</v>
      </c>
      <c r="Z5197">
        <v>1.599151E-2</v>
      </c>
      <c r="AA5197">
        <v>0.99818810000000002</v>
      </c>
      <c r="AB5197">
        <v>18</v>
      </c>
      <c r="AC5197">
        <v>-2.1301999999999999</v>
      </c>
      <c r="AD5197">
        <v>-1.1208206300200001</v>
      </c>
      <c r="AE5197">
        <v>-41.1204999999999</v>
      </c>
      <c r="AF5197">
        <v>2.39333095937143</v>
      </c>
      <c r="AG5197">
        <v>-1.1208206300200001</v>
      </c>
      <c r="AH5197">
        <v>41.075486012107497</v>
      </c>
      <c r="AI5197">
        <v>91.560388289094902</v>
      </c>
      <c r="AJ5197">
        <v>86.665337198412104</v>
      </c>
      <c r="AK5197">
        <v>41.160415730366502</v>
      </c>
      <c r="AL5197">
        <v>91.772683042702695</v>
      </c>
      <c r="AM5197">
        <v>88.678307574012294</v>
      </c>
      <c r="AN5197">
        <v>1.0000000020251401</v>
      </c>
    </row>
    <row r="5198" spans="1:40" x14ac:dyDescent="0.25">
      <c r="A5198" t="str">
        <f>"20190303153913290"</f>
        <v>20190303153913290</v>
      </c>
      <c r="B5198" t="str">
        <f>"1551598753283362"</f>
        <v>1551598753283362</v>
      </c>
      <c r="C5198" t="s">
        <v>40</v>
      </c>
      <c r="D5198">
        <v>4.676285</v>
      </c>
      <c r="E5198">
        <v>0.55986150000000001</v>
      </c>
      <c r="F5198" t="s">
        <v>68</v>
      </c>
      <c r="G5198">
        <v>-193.0498</v>
      </c>
      <c r="H5198" s="1">
        <v>-1.1356289999999999E-5</v>
      </c>
      <c r="I5198">
        <v>149.89670000000001</v>
      </c>
      <c r="J5198">
        <v>-190.90090000000001</v>
      </c>
      <c r="K5198">
        <v>1.120789</v>
      </c>
      <c r="L5198">
        <v>191.52869999999999</v>
      </c>
      <c r="M5198">
        <v>6.2226719999999899E-3</v>
      </c>
      <c r="N5198">
        <v>-1.097238E-2</v>
      </c>
      <c r="O5198">
        <v>-0.99992049999999999</v>
      </c>
      <c r="P5198">
        <v>-1.6274790000000001E-2</v>
      </c>
      <c r="Q5198">
        <v>-4.1132519999999999E-2</v>
      </c>
      <c r="R5198">
        <v>-0.9990211</v>
      </c>
      <c r="S5198">
        <v>-0.1541595</v>
      </c>
      <c r="T5198">
        <v>-8.0429319999999999E-2</v>
      </c>
      <c r="U5198">
        <v>-2.9971009999999998</v>
      </c>
      <c r="V5198">
        <v>2.2478970000000001E-2</v>
      </c>
      <c r="W5198">
        <v>-3.0179029999999999E-2</v>
      </c>
      <c r="X5198">
        <v>0.9992917</v>
      </c>
      <c r="Y5198">
        <v>5.756381E-2</v>
      </c>
      <c r="Z5198">
        <v>1.5813529999999999E-2</v>
      </c>
      <c r="AA5198">
        <v>0.99821660000000001</v>
      </c>
      <c r="AB5198">
        <v>18</v>
      </c>
      <c r="AC5198">
        <v>-2.14889999999999</v>
      </c>
      <c r="AD5198">
        <v>-1.12080035629</v>
      </c>
      <c r="AE5198">
        <v>-41.631999999999898</v>
      </c>
      <c r="AF5198">
        <v>2.4061969387639799</v>
      </c>
      <c r="AG5198">
        <v>-1.12080035629</v>
      </c>
      <c r="AH5198">
        <v>41.587759570680497</v>
      </c>
      <c r="AI5198">
        <v>91.541185458182696</v>
      </c>
      <c r="AJ5198">
        <v>86.6886554873591</v>
      </c>
      <c r="AK5198">
        <v>41.672385619922302</v>
      </c>
      <c r="AL5198">
        <v>91.729393648606006</v>
      </c>
      <c r="AM5198">
        <v>88.711354320654706</v>
      </c>
      <c r="AN5198">
        <v>0.999999989816445</v>
      </c>
    </row>
    <row r="5199" spans="1:40" x14ac:dyDescent="0.25">
      <c r="A5199" t="str">
        <f>"20190303153913304"</f>
        <v>20190303153913304</v>
      </c>
      <c r="B5199" t="str">
        <f>"1551598753294099"</f>
        <v>1551598753294099</v>
      </c>
      <c r="C5199" t="s">
        <v>40</v>
      </c>
      <c r="D5199">
        <v>4.6999969999999998</v>
      </c>
      <c r="E5199">
        <v>0.56278899999999998</v>
      </c>
      <c r="F5199" t="s">
        <v>68</v>
      </c>
      <c r="G5199">
        <v>-197.65719999999999</v>
      </c>
      <c r="H5199" s="1">
        <v>-1.313069E-5</v>
      </c>
      <c r="I5199">
        <v>153.0873</v>
      </c>
      <c r="J5199">
        <v>-190.90039999999999</v>
      </c>
      <c r="K5199">
        <v>1.1207720000000001</v>
      </c>
      <c r="L5199">
        <v>191.40639999999999</v>
      </c>
      <c r="M5199">
        <v>6.0137480000000002E-3</v>
      </c>
      <c r="N5199">
        <v>-1.0830050000000001E-2</v>
      </c>
      <c r="O5199">
        <v>-0.99992360000000002</v>
      </c>
      <c r="P5199">
        <v>-1.6492449999999999E-2</v>
      </c>
      <c r="Q5199">
        <v>-4.073732E-2</v>
      </c>
      <c r="R5199">
        <v>-0.99903399999999998</v>
      </c>
      <c r="S5199">
        <v>-0.52564999999999995</v>
      </c>
      <c r="T5199">
        <v>-8.7199689999999996E-2</v>
      </c>
      <c r="U5199">
        <v>-2.9907840000000001</v>
      </c>
      <c r="V5199">
        <v>2.248754E-2</v>
      </c>
      <c r="W5199">
        <v>-2.9926310000000001E-2</v>
      </c>
      <c r="X5199">
        <v>0.9992991</v>
      </c>
      <c r="Y5199">
        <v>0.1789579</v>
      </c>
      <c r="Z5199">
        <v>1.7855179999999998E-2</v>
      </c>
      <c r="AA5199">
        <v>0.98369470000000003</v>
      </c>
      <c r="AB5199">
        <v>18</v>
      </c>
      <c r="AC5199">
        <v>-6.7567999999999904</v>
      </c>
      <c r="AD5199">
        <v>-1.1207851306900001</v>
      </c>
      <c r="AE5199">
        <v>-38.319099999999899</v>
      </c>
      <c r="AF5199">
        <v>6.9813402961056701</v>
      </c>
      <c r="AG5199">
        <v>-1.1207851306900001</v>
      </c>
      <c r="AH5199">
        <v>38.246038531071797</v>
      </c>
      <c r="AI5199">
        <v>91.651280512552901</v>
      </c>
      <c r="AJ5199">
        <v>79.6552576826533</v>
      </c>
      <c r="AK5199">
        <v>38.894147824054897</v>
      </c>
      <c r="AL5199">
        <v>91.714907328552201</v>
      </c>
      <c r="AM5199">
        <v>88.710872739480607</v>
      </c>
      <c r="AN5199">
        <v>0.99999998237313803</v>
      </c>
    </row>
    <row r="5200" spans="1:40" x14ac:dyDescent="0.25">
      <c r="A5200" t="str">
        <f>"20190303153913318"</f>
        <v>20190303153913318</v>
      </c>
      <c r="B5200" t="str">
        <f>"1551598753313618"</f>
        <v>1551598753313618</v>
      </c>
      <c r="C5200" t="s">
        <v>40</v>
      </c>
      <c r="D5200">
        <v>4.6615890000000002</v>
      </c>
      <c r="E5200">
        <v>0.56479269999999904</v>
      </c>
      <c r="F5200" t="s">
        <v>68</v>
      </c>
      <c r="G5200">
        <v>-198.55619999999999</v>
      </c>
      <c r="H5200" s="1">
        <v>-1.2271300000000001E-5</v>
      </c>
      <c r="I5200">
        <v>149.75280000000001</v>
      </c>
      <c r="J5200">
        <v>-190.9</v>
      </c>
      <c r="K5200">
        <v>1.1207590000000001</v>
      </c>
      <c r="L5200">
        <v>191.29589999999999</v>
      </c>
      <c r="M5200">
        <v>5.8201529999999998E-3</v>
      </c>
      <c r="N5200">
        <v>-1.071312E-2</v>
      </c>
      <c r="O5200">
        <v>-0.99992599999999998</v>
      </c>
      <c r="P5200">
        <v>-1.662114E-2</v>
      </c>
      <c r="Q5200">
        <v>-4.0778809999999999E-2</v>
      </c>
      <c r="R5200">
        <v>-0.99903039999999999</v>
      </c>
      <c r="S5200">
        <v>-0.54965209999999998</v>
      </c>
      <c r="T5200">
        <v>-8.0467579999999997E-2</v>
      </c>
      <c r="U5200">
        <v>-2.9905550000000001</v>
      </c>
      <c r="V5200">
        <v>2.2422299999999999E-2</v>
      </c>
      <c r="W5200">
        <v>-3.0084940000000001E-2</v>
      </c>
      <c r="X5200">
        <v>0.99929579999999996</v>
      </c>
      <c r="Y5200">
        <v>0.1864305</v>
      </c>
      <c r="Z5200">
        <v>1.5723279999999999E-2</v>
      </c>
      <c r="AA5200">
        <v>0.9823423</v>
      </c>
      <c r="AB5200">
        <v>18</v>
      </c>
      <c r="AC5200">
        <v>-7.6561999999999797</v>
      </c>
      <c r="AD5200">
        <v>-1.1207712713</v>
      </c>
      <c r="AE5200">
        <v>-41.543099999999903</v>
      </c>
      <c r="AF5200">
        <v>7.8923156559956302</v>
      </c>
      <c r="AG5200">
        <v>-1.1207712713</v>
      </c>
      <c r="AH5200">
        <v>41.468642410239902</v>
      </c>
      <c r="AI5200">
        <v>91.520867708795507</v>
      </c>
      <c r="AJ5200">
        <v>79.224333277117296</v>
      </c>
      <c r="AK5200">
        <v>42.2278708675301</v>
      </c>
      <c r="AL5200">
        <v>91.724000257410296</v>
      </c>
      <c r="AM5200">
        <v>88.714607206782006</v>
      </c>
      <c r="AN5200">
        <v>0.99999997952486597</v>
      </c>
    </row>
    <row r="5201" spans="1:40" x14ac:dyDescent="0.25">
      <c r="A5201" t="str">
        <f>"20190303153913335"</f>
        <v>20190303153913335</v>
      </c>
      <c r="B5201" t="str">
        <f>"1551598753323378"</f>
        <v>1551598753323378</v>
      </c>
      <c r="C5201" t="s">
        <v>40</v>
      </c>
      <c r="D5201">
        <v>4.7301659999999996</v>
      </c>
      <c r="E5201">
        <v>0.56550710000000004</v>
      </c>
      <c r="F5201" t="s">
        <v>68</v>
      </c>
      <c r="G5201">
        <v>-198.91220000000001</v>
      </c>
      <c r="H5201" s="1">
        <v>-1.2107019999999999E-5</v>
      </c>
      <c r="I5201">
        <v>148.9759</v>
      </c>
      <c r="J5201">
        <v>-190.89949999999999</v>
      </c>
      <c r="K5201">
        <v>1.1207469999999999</v>
      </c>
      <c r="L5201">
        <v>191.16399999999999</v>
      </c>
      <c r="M5201">
        <v>5.5836380000000001E-3</v>
      </c>
      <c r="N5201">
        <v>-1.058547E-2</v>
      </c>
      <c r="O5201">
        <v>-0.99992859999999995</v>
      </c>
      <c r="P5201">
        <v>-1.7099969999999999E-2</v>
      </c>
      <c r="Q5201">
        <v>-4.058055E-2</v>
      </c>
      <c r="R5201">
        <v>-0.99903010000000003</v>
      </c>
      <c r="S5201">
        <v>-0.56613159999999996</v>
      </c>
      <c r="T5201">
        <v>-7.9191919999999999E-2</v>
      </c>
      <c r="U5201">
        <v>-2.990265</v>
      </c>
      <c r="V5201">
        <v>2.2664460000000001E-2</v>
      </c>
      <c r="W5201">
        <v>-3.001465E-2</v>
      </c>
      <c r="X5201">
        <v>0.99929250000000003</v>
      </c>
      <c r="Y5201">
        <v>0.19144510000000001</v>
      </c>
      <c r="Z5201">
        <v>1.540893E-2</v>
      </c>
      <c r="AA5201">
        <v>0.98138239999999999</v>
      </c>
      <c r="AB5201">
        <v>18</v>
      </c>
      <c r="AC5201">
        <v>-8.0127000000000201</v>
      </c>
      <c r="AD5201">
        <v>-1.12075910702</v>
      </c>
      <c r="AE5201">
        <v>-42.188099999999999</v>
      </c>
      <c r="AF5201">
        <v>8.2425367503884992</v>
      </c>
      <c r="AG5201">
        <v>-1.12075910702</v>
      </c>
      <c r="AH5201">
        <v>42.114013028749703</v>
      </c>
      <c r="AI5201">
        <v>91.496052567142698</v>
      </c>
      <c r="AJ5201">
        <v>78.926078025306495</v>
      </c>
      <c r="AK5201">
        <v>42.927678791697701</v>
      </c>
      <c r="AL5201">
        <v>91.719971032730498</v>
      </c>
      <c r="AM5201">
        <v>88.700725456769007</v>
      </c>
      <c r="AN5201">
        <v>1.0000000287589801</v>
      </c>
    </row>
    <row r="5202" spans="1:40" x14ac:dyDescent="0.25">
      <c r="A5202" t="str">
        <f>"20190303153913346"</f>
        <v>20190303153913346</v>
      </c>
      <c r="B5202" t="str">
        <f>"1551598753343875"</f>
        <v>1551598753343875</v>
      </c>
      <c r="C5202" t="s">
        <v>40</v>
      </c>
      <c r="D5202">
        <v>4.6658879999999998</v>
      </c>
      <c r="E5202">
        <v>0.56628159999999905</v>
      </c>
      <c r="F5202" t="s">
        <v>68</v>
      </c>
      <c r="G5202">
        <v>-199.49039999999999</v>
      </c>
      <c r="H5202" s="1">
        <v>-1.141788E-5</v>
      </c>
      <c r="I5202">
        <v>146.33430000000001</v>
      </c>
      <c r="J5202">
        <v>-190.8991</v>
      </c>
      <c r="K5202">
        <v>1.1207400000000001</v>
      </c>
      <c r="L5202">
        <v>191.06280000000001</v>
      </c>
      <c r="M5202">
        <v>5.3979259999999999E-3</v>
      </c>
      <c r="N5202">
        <v>-1.0495579999999999E-2</v>
      </c>
      <c r="O5202">
        <v>-0.99993050000000006</v>
      </c>
      <c r="P5202">
        <v>-1.7444959999999999E-2</v>
      </c>
      <c r="Q5202">
        <v>-4.0853220000000003E-2</v>
      </c>
      <c r="R5202">
        <v>-0.99901300000000004</v>
      </c>
      <c r="S5202">
        <v>-0.57299800000000001</v>
      </c>
      <c r="T5202">
        <v>-7.4752330000000006E-2</v>
      </c>
      <c r="U5202">
        <v>-2.9900509999999998</v>
      </c>
      <c r="V5202">
        <v>2.2823409999999999E-2</v>
      </c>
      <c r="W5202">
        <v>-3.037755E-2</v>
      </c>
      <c r="X5202">
        <v>0.99927790000000005</v>
      </c>
      <c r="Y5202">
        <v>0.1934553</v>
      </c>
      <c r="Z5202">
        <v>1.4033779999999999E-2</v>
      </c>
      <c r="AA5202">
        <v>0.98100869999999996</v>
      </c>
      <c r="AB5202">
        <v>18</v>
      </c>
      <c r="AC5202">
        <v>-8.5912999999999897</v>
      </c>
      <c r="AD5202">
        <v>-1.12075141787999</v>
      </c>
      <c r="AE5202">
        <v>-44.728499999999997</v>
      </c>
      <c r="AF5202">
        <v>8.8272842756582897</v>
      </c>
      <c r="AG5202">
        <v>-1.12075141787999</v>
      </c>
      <c r="AH5202">
        <v>44.654432172175902</v>
      </c>
      <c r="AI5202">
        <v>91.410443458430606</v>
      </c>
      <c r="AJ5202">
        <v>78.817942812086599</v>
      </c>
      <c r="AK5202">
        <v>45.532354914317999</v>
      </c>
      <c r="AL5202">
        <v>91.740773184826807</v>
      </c>
      <c r="AM5202">
        <v>88.691597453779806</v>
      </c>
      <c r="AN5202">
        <v>1.00000001250822</v>
      </c>
    </row>
    <row r="5203" spans="1:40" x14ac:dyDescent="0.25">
      <c r="A5203" t="str">
        <f>"20190303153913367"</f>
        <v>20190303153913367</v>
      </c>
      <c r="B5203" t="str">
        <f>"1551598753364370"</f>
        <v>1551598753364370</v>
      </c>
      <c r="C5203" t="s">
        <v>40</v>
      </c>
      <c r="D5203">
        <v>4.6462279999999998</v>
      </c>
      <c r="E5203">
        <v>0.5668185</v>
      </c>
      <c r="F5203" t="s">
        <v>68</v>
      </c>
      <c r="G5203">
        <v>-199.98570000000001</v>
      </c>
      <c r="H5203" s="1">
        <v>-1.084838E-5</v>
      </c>
      <c r="I5203">
        <v>144.23599999999999</v>
      </c>
      <c r="J5203">
        <v>-190.89859999999999</v>
      </c>
      <c r="K5203">
        <v>1.12073</v>
      </c>
      <c r="L5203">
        <v>190.90119999999999</v>
      </c>
      <c r="M5203">
        <v>5.0953200000000004E-3</v>
      </c>
      <c r="N5203">
        <v>-1.036405E-2</v>
      </c>
      <c r="O5203">
        <v>-0.99993359999999998</v>
      </c>
      <c r="P5203">
        <v>-1.8020560000000001E-2</v>
      </c>
      <c r="Q5203">
        <v>-4.0599820000000002E-2</v>
      </c>
      <c r="R5203">
        <v>-0.99901329999999999</v>
      </c>
      <c r="S5203">
        <v>-0.5801849</v>
      </c>
      <c r="T5203">
        <v>-7.1560860000000004E-2</v>
      </c>
      <c r="U5203">
        <v>-2.9899290000000001</v>
      </c>
      <c r="V5203">
        <v>2.3096490000000001E-2</v>
      </c>
      <c r="W5203">
        <v>-3.0255899999999999E-2</v>
      </c>
      <c r="X5203">
        <v>0.99927529999999998</v>
      </c>
      <c r="Y5203">
        <v>0.19544259999999999</v>
      </c>
      <c r="Z5203">
        <v>1.3109630000000001E-2</v>
      </c>
      <c r="AA5203">
        <v>0.98062749999999999</v>
      </c>
      <c r="AB5203">
        <v>18</v>
      </c>
      <c r="AC5203">
        <v>-9.0871000000000102</v>
      </c>
      <c r="AD5203">
        <v>-1.1207408483800001</v>
      </c>
      <c r="AE5203">
        <v>-46.665199999999999</v>
      </c>
      <c r="AF5203">
        <v>9.3195897200678104</v>
      </c>
      <c r="AG5203">
        <v>-1.1207408483800001</v>
      </c>
      <c r="AH5203">
        <v>46.592397419801898</v>
      </c>
      <c r="AI5203">
        <v>91.351181207931802</v>
      </c>
      <c r="AJ5203">
        <v>78.688754759156097</v>
      </c>
      <c r="AK5203">
        <v>47.528542055531098</v>
      </c>
      <c r="AL5203">
        <v>91.7337999762062</v>
      </c>
      <c r="AM5203">
        <v>88.675944633863494</v>
      </c>
      <c r="AN5203">
        <v>0.99999999626260905</v>
      </c>
    </row>
    <row r="5204" spans="1:40" x14ac:dyDescent="0.25">
      <c r="A5204" t="str">
        <f>"20190303153913379"</f>
        <v>20190303153913379</v>
      </c>
      <c r="B5204" t="str">
        <f>"1551598753374131"</f>
        <v>1551598753374131</v>
      </c>
      <c r="C5204" t="s">
        <v>40</v>
      </c>
      <c r="D5204">
        <v>4.6306229999999999</v>
      </c>
      <c r="E5204">
        <v>0.56699619999999995</v>
      </c>
      <c r="F5204" t="s">
        <v>68</v>
      </c>
      <c r="G5204">
        <v>-199.87530000000001</v>
      </c>
      <c r="H5204" s="1">
        <v>-1.111772E-5</v>
      </c>
      <c r="I5204">
        <v>145.1395</v>
      </c>
      <c r="J5204">
        <v>-190.89830000000001</v>
      </c>
      <c r="K5204">
        <v>1.120727</v>
      </c>
      <c r="L5204">
        <v>190.80350000000001</v>
      </c>
      <c r="M5204">
        <v>4.9099069999999998E-3</v>
      </c>
      <c r="N5204">
        <v>-1.0291369999999999E-2</v>
      </c>
      <c r="O5204">
        <v>-0.99993500000000002</v>
      </c>
      <c r="P5204">
        <v>-1.848205E-2</v>
      </c>
      <c r="Q5204">
        <v>-4.0651840000000002E-2</v>
      </c>
      <c r="R5204">
        <v>-0.99900250000000002</v>
      </c>
      <c r="S5204">
        <v>-0.58641049999999995</v>
      </c>
      <c r="T5204">
        <v>-7.3213219999999996E-2</v>
      </c>
      <c r="U5204">
        <v>-2.9894099999999999</v>
      </c>
      <c r="V5204">
        <v>2.3372549999999999E-2</v>
      </c>
      <c r="W5204">
        <v>-3.0380839999999999E-2</v>
      </c>
      <c r="X5204">
        <v>0.99926510000000002</v>
      </c>
      <c r="Y5204">
        <v>0.1972574</v>
      </c>
      <c r="Z5204">
        <v>1.371933E-2</v>
      </c>
      <c r="AA5204">
        <v>0.98025569999999895</v>
      </c>
      <c r="AB5204">
        <v>18</v>
      </c>
      <c r="AC5204">
        <v>-8.9770000000000003</v>
      </c>
      <c r="AD5204">
        <v>-1.12073811772</v>
      </c>
      <c r="AE5204">
        <v>-45.664000000000001</v>
      </c>
      <c r="AF5204">
        <v>9.1957765333984707</v>
      </c>
      <c r="AG5204">
        <v>-1.12073811772</v>
      </c>
      <c r="AH5204">
        <v>45.592929218872797</v>
      </c>
      <c r="AI5204">
        <v>91.380341755967095</v>
      </c>
      <c r="AJ5204">
        <v>78.596824800659505</v>
      </c>
      <c r="AK5204">
        <v>46.524547872471103</v>
      </c>
      <c r="AL5204">
        <v>91.740961786656698</v>
      </c>
      <c r="AM5204">
        <v>88.660110971033802</v>
      </c>
      <c r="AN5204">
        <v>1.0000000058053</v>
      </c>
    </row>
    <row r="5205" spans="1:40" x14ac:dyDescent="0.25">
      <c r="A5205" t="str">
        <f>"20190303153913390"</f>
        <v>20190303153913390</v>
      </c>
      <c r="B5205" t="str">
        <f>"1551598753383890"</f>
        <v>1551598753383890</v>
      </c>
      <c r="C5205" t="s">
        <v>40</v>
      </c>
      <c r="D5205">
        <v>4.6043260000000004</v>
      </c>
      <c r="E5205">
        <v>0.56734449999999903</v>
      </c>
      <c r="F5205" t="s">
        <v>68</v>
      </c>
      <c r="G5205">
        <v>-199.93969999999999</v>
      </c>
      <c r="H5205" s="1">
        <v>-1.1066100000000001E-5</v>
      </c>
      <c r="I5205">
        <v>144.9349</v>
      </c>
      <c r="J5205">
        <v>-190.898</v>
      </c>
      <c r="K5205">
        <v>1.120727</v>
      </c>
      <c r="L5205">
        <v>190.70830000000001</v>
      </c>
      <c r="M5205">
        <v>4.7285440000000003E-3</v>
      </c>
      <c r="N5205">
        <v>-1.0222490000000001E-2</v>
      </c>
      <c r="O5205">
        <v>-0.99993670000000001</v>
      </c>
      <c r="P5205">
        <v>-1.9027229999999999E-2</v>
      </c>
      <c r="Q5205">
        <v>-4.0413240000000003E-2</v>
      </c>
      <c r="R5205">
        <v>-0.99900199999999995</v>
      </c>
      <c r="S5205">
        <v>-0.58920289999999997</v>
      </c>
      <c r="T5205">
        <v>-7.3035240000000001E-2</v>
      </c>
      <c r="U5205">
        <v>-2.9891200000000002</v>
      </c>
      <c r="V5205">
        <v>2.3736569999999999E-2</v>
      </c>
      <c r="W5205">
        <v>-3.0211289999999998E-2</v>
      </c>
      <c r="X5205">
        <v>0.99926170000000003</v>
      </c>
      <c r="Y5205">
        <v>0.1979793</v>
      </c>
      <c r="Z5205">
        <v>1.372846E-2</v>
      </c>
      <c r="AA5205">
        <v>0.98011000000000004</v>
      </c>
      <c r="AB5205">
        <v>18</v>
      </c>
      <c r="AC5205">
        <v>-9.0416999999999899</v>
      </c>
      <c r="AD5205">
        <v>-1.1207380660999999</v>
      </c>
      <c r="AE5205">
        <v>-45.773400000000002</v>
      </c>
      <c r="AF5205">
        <v>9.2527131214202392</v>
      </c>
      <c r="AG5205">
        <v>-1.1207380660999999</v>
      </c>
      <c r="AH5205">
        <v>45.703761893176598</v>
      </c>
      <c r="AI5205">
        <v>91.376793432014196</v>
      </c>
      <c r="AJ5205">
        <v>78.555171931456599</v>
      </c>
      <c r="AK5205">
        <v>46.644427374642397</v>
      </c>
      <c r="AL5205">
        <v>91.731242756470493</v>
      </c>
      <c r="AM5205">
        <v>88.639245785265601</v>
      </c>
      <c r="AN5205">
        <v>1.00000004594285</v>
      </c>
    </row>
    <row r="5206" spans="1:40" x14ac:dyDescent="0.25">
      <c r="A5206" t="str">
        <f>"20190303153913402"</f>
        <v>20190303153913402</v>
      </c>
      <c r="B5206" t="str">
        <f>"1551598753393652"</f>
        <v>1551598753393652</v>
      </c>
      <c r="C5206" t="s">
        <v>40</v>
      </c>
      <c r="D5206">
        <v>4.6433949999999999</v>
      </c>
      <c r="E5206">
        <v>0.56763540000000001</v>
      </c>
      <c r="F5206" t="s">
        <v>68</v>
      </c>
      <c r="G5206">
        <v>-200.2722</v>
      </c>
      <c r="H5206" s="1">
        <v>-1.050228E-5</v>
      </c>
      <c r="I5206">
        <v>143.49969999999999</v>
      </c>
      <c r="J5206">
        <v>-190.89779999999999</v>
      </c>
      <c r="K5206">
        <v>1.1207240000000001</v>
      </c>
      <c r="L5206">
        <v>190.6095</v>
      </c>
      <c r="M5206">
        <v>4.5395130000000002E-3</v>
      </c>
      <c r="N5206">
        <v>-1.015598E-2</v>
      </c>
      <c r="O5206">
        <v>-0.99993810000000005</v>
      </c>
      <c r="P5206">
        <v>-1.961748E-2</v>
      </c>
      <c r="Q5206">
        <v>-4.0004499999999998E-2</v>
      </c>
      <c r="R5206">
        <v>-0.99900699999999998</v>
      </c>
      <c r="S5206">
        <v>-0.59349059999999998</v>
      </c>
      <c r="T5206">
        <v>-7.0955160000000003E-2</v>
      </c>
      <c r="U5206">
        <v>-2.9888309999999998</v>
      </c>
      <c r="V5206">
        <v>2.4138179999999999E-2</v>
      </c>
      <c r="W5206">
        <v>-2.9869139999999999E-2</v>
      </c>
      <c r="X5206">
        <v>0.99926230000000005</v>
      </c>
      <c r="Y5206">
        <v>0.19916739999999999</v>
      </c>
      <c r="Z5206">
        <v>1.310938E-2</v>
      </c>
      <c r="AA5206">
        <v>0.97987780000000002</v>
      </c>
      <c r="AB5206">
        <v>18</v>
      </c>
      <c r="AC5206">
        <v>-9.3743999999999996</v>
      </c>
      <c r="AD5206">
        <v>-1.1207345022799999</v>
      </c>
      <c r="AE5206">
        <v>-47.1098</v>
      </c>
      <c r="AF5206">
        <v>9.5829530271308005</v>
      </c>
      <c r="AG5206">
        <v>-1.1207345022799999</v>
      </c>
      <c r="AH5206">
        <v>47.041147954906798</v>
      </c>
      <c r="AI5206">
        <v>91.337331432844195</v>
      </c>
      <c r="AJ5206">
        <v>78.485587636470498</v>
      </c>
      <c r="AK5206">
        <v>48.0203981185103</v>
      </c>
      <c r="AL5206">
        <v>91.711630266624198</v>
      </c>
      <c r="AM5206">
        <v>88.616232263538294</v>
      </c>
      <c r="AN5206">
        <v>0.99999998072967</v>
      </c>
    </row>
    <row r="5207" spans="1:40" x14ac:dyDescent="0.25">
      <c r="A5207" t="str">
        <f>"20190303153913414"</f>
        <v>20190303153913414</v>
      </c>
      <c r="B5207" t="str">
        <f>"1551598753403412"</f>
        <v>1551598753403412</v>
      </c>
      <c r="C5207" t="s">
        <v>40</v>
      </c>
      <c r="D5207">
        <v>4.6430119999999997</v>
      </c>
      <c r="E5207">
        <v>0.56789880000000004</v>
      </c>
      <c r="F5207" t="s">
        <v>68</v>
      </c>
      <c r="G5207">
        <v>-200.6558</v>
      </c>
      <c r="H5207" s="1">
        <v>-9.8315530000000006E-6</v>
      </c>
      <c r="I5207">
        <v>141.8169</v>
      </c>
      <c r="J5207">
        <v>-190.89760000000001</v>
      </c>
      <c r="K5207">
        <v>1.1207210000000001</v>
      </c>
      <c r="L5207">
        <v>190.51429999999999</v>
      </c>
      <c r="M5207">
        <v>4.3578100000000002E-3</v>
      </c>
      <c r="N5207">
        <v>-1.0093960000000001E-2</v>
      </c>
      <c r="O5207">
        <v>-0.99993980000000005</v>
      </c>
      <c r="P5207">
        <v>-2.039214E-2</v>
      </c>
      <c r="Q5207">
        <v>-3.99534E-2</v>
      </c>
      <c r="R5207">
        <v>-0.99899360000000004</v>
      </c>
      <c r="S5207">
        <v>-0.59767150000000002</v>
      </c>
      <c r="T5207">
        <v>-6.8644170000000004E-2</v>
      </c>
      <c r="U5207">
        <v>-2.9885100000000002</v>
      </c>
      <c r="V5207">
        <v>2.4731260000000001E-2</v>
      </c>
      <c r="W5207">
        <v>-2.988041E-2</v>
      </c>
      <c r="X5207">
        <v>0.99924749999999996</v>
      </c>
      <c r="Y5207">
        <v>0.20033029999999999</v>
      </c>
      <c r="Z5207">
        <v>1.2410650000000001E-2</v>
      </c>
      <c r="AA5207">
        <v>0.97964980000000002</v>
      </c>
      <c r="AB5207">
        <v>18</v>
      </c>
      <c r="AC5207">
        <v>-9.7581999999999791</v>
      </c>
      <c r="AD5207">
        <v>-1.12073083155299</v>
      </c>
      <c r="AE5207">
        <v>-48.697399999999902</v>
      </c>
      <c r="AF5207">
        <v>9.9652577422711897</v>
      </c>
      <c r="AG5207">
        <v>-1.12073083155299</v>
      </c>
      <c r="AH5207">
        <v>48.629648511788901</v>
      </c>
      <c r="AI5207">
        <v>91.293351851110501</v>
      </c>
      <c r="AJ5207">
        <v>78.419193304953893</v>
      </c>
      <c r="AK5207">
        <v>49.652845979327601</v>
      </c>
      <c r="AL5207">
        <v>91.712276210833096</v>
      </c>
      <c r="AM5207">
        <v>88.582225528710197</v>
      </c>
      <c r="AN5207">
        <v>1.0000000201896</v>
      </c>
    </row>
    <row r="5208" spans="1:40" x14ac:dyDescent="0.25">
      <c r="A5208" t="str">
        <f>"20190303153913425"</f>
        <v>20190303153913425</v>
      </c>
      <c r="B5208" t="str">
        <f>"1551598753414146"</f>
        <v>1551598753414146</v>
      </c>
      <c r="C5208" t="s">
        <v>40</v>
      </c>
      <c r="D5208">
        <v>4.6196039999999998</v>
      </c>
      <c r="E5208">
        <v>0.56823840000000003</v>
      </c>
      <c r="F5208" t="s">
        <v>68</v>
      </c>
      <c r="G5208">
        <v>-200.85329999999999</v>
      </c>
      <c r="H5208" s="1">
        <v>-9.5400879999999992E-6</v>
      </c>
      <c r="I5208">
        <v>141.0966</v>
      </c>
      <c r="J5208">
        <v>-190.8973</v>
      </c>
      <c r="K5208">
        <v>1.1207229999999999</v>
      </c>
      <c r="L5208">
        <v>190.417</v>
      </c>
      <c r="M5208">
        <v>4.1722970000000002E-3</v>
      </c>
      <c r="N5208">
        <v>-1.003357E-2</v>
      </c>
      <c r="O5208">
        <v>-0.99994099999999997</v>
      </c>
      <c r="P5208">
        <v>-2.1097230000000002E-2</v>
      </c>
      <c r="Q5208">
        <v>-3.9987229999999999E-2</v>
      </c>
      <c r="R5208">
        <v>-0.99897740000000002</v>
      </c>
      <c r="S5208">
        <v>-0.60197449999999997</v>
      </c>
      <c r="T5208">
        <v>-6.776488E-2</v>
      </c>
      <c r="U5208">
        <v>-2.9880369999999998</v>
      </c>
      <c r="V5208">
        <v>2.5250970000000001E-2</v>
      </c>
      <c r="W5208">
        <v>-2.997495E-2</v>
      </c>
      <c r="X5208">
        <v>0.9992316</v>
      </c>
      <c r="Y5208">
        <v>0.2015352</v>
      </c>
      <c r="Z5208">
        <v>1.21806E-2</v>
      </c>
      <c r="AA5208">
        <v>0.97940550000000004</v>
      </c>
      <c r="AB5208">
        <v>18</v>
      </c>
      <c r="AC5208">
        <v>-9.95599999999998</v>
      </c>
      <c r="AD5208">
        <v>-1.1207325400879999</v>
      </c>
      <c r="AE5208">
        <v>-49.320399999999999</v>
      </c>
      <c r="AF5208">
        <v>10.1566639071822</v>
      </c>
      <c r="AG5208">
        <v>-1.1207325400879999</v>
      </c>
      <c r="AH5208">
        <v>49.253992283542999</v>
      </c>
      <c r="AI5208">
        <v>91.276640353642506</v>
      </c>
      <c r="AJ5208">
        <v>78.3483598033134</v>
      </c>
      <c r="AK5208">
        <v>50.3027794363014</v>
      </c>
      <c r="AL5208">
        <v>91.717695502133296</v>
      </c>
      <c r="AM5208">
        <v>88.552421519481697</v>
      </c>
      <c r="AN5208">
        <v>0.99999994977600004</v>
      </c>
    </row>
    <row r="5209" spans="1:40" x14ac:dyDescent="0.25">
      <c r="A5209" t="str">
        <f>"20190303153913437"</f>
        <v>20190303153913437</v>
      </c>
      <c r="B5209" t="str">
        <f>"1551598753433666"</f>
        <v>1551598753433666</v>
      </c>
      <c r="C5209" t="s">
        <v>40</v>
      </c>
      <c r="D5209">
        <v>4.6409320000000003</v>
      </c>
      <c r="E5209">
        <v>0.5687778</v>
      </c>
      <c r="F5209" t="s">
        <v>68</v>
      </c>
      <c r="G5209">
        <v>-201.04949999999999</v>
      </c>
      <c r="H5209" s="1">
        <v>-9.2921890000000005E-6</v>
      </c>
      <c r="I5209">
        <v>140.43729999999999</v>
      </c>
      <c r="J5209">
        <v>-190.89709999999999</v>
      </c>
      <c r="K5209">
        <v>1.1207199999999999</v>
      </c>
      <c r="L5209">
        <v>190.32320000000001</v>
      </c>
      <c r="M5209">
        <v>3.9942299999999997E-3</v>
      </c>
      <c r="N5209">
        <v>-9.9759259999999995E-3</v>
      </c>
      <c r="O5209">
        <v>-0.99994240000000001</v>
      </c>
      <c r="P5209">
        <v>-2.165154E-2</v>
      </c>
      <c r="Q5209">
        <v>-3.9827439999999999E-2</v>
      </c>
      <c r="R5209">
        <v>-0.99897210000000003</v>
      </c>
      <c r="S5209">
        <v>-0.60685730000000004</v>
      </c>
      <c r="T5209">
        <v>-6.6992759999999998E-2</v>
      </c>
      <c r="U5209">
        <v>-2.9875790000000002</v>
      </c>
      <c r="V5209">
        <v>2.5627460000000001E-2</v>
      </c>
      <c r="W5209">
        <v>-2.9872940000000001E-2</v>
      </c>
      <c r="X5209">
        <v>0.99922509999999998</v>
      </c>
      <c r="Y5209">
        <v>0.2029282</v>
      </c>
      <c r="Z5209">
        <v>1.198195E-2</v>
      </c>
      <c r="AA5209">
        <v>0.97912030000000005</v>
      </c>
      <c r="AB5209">
        <v>18</v>
      </c>
      <c r="AC5209">
        <v>-10.1524</v>
      </c>
      <c r="AD5209">
        <v>-1.120729292189</v>
      </c>
      <c r="AE5209">
        <v>-49.885899999999999</v>
      </c>
      <c r="AF5209">
        <v>10.346570270692901</v>
      </c>
      <c r="AG5209">
        <v>-1.120729292189</v>
      </c>
      <c r="AH5209">
        <v>49.820803736111699</v>
      </c>
      <c r="AI5209">
        <v>91.261750144334897</v>
      </c>
      <c r="AJ5209">
        <v>78.267828070247802</v>
      </c>
      <c r="AK5209">
        <v>50.896169162569798</v>
      </c>
      <c r="AL5209">
        <v>91.711848089279798</v>
      </c>
      <c r="AM5209">
        <v>88.530838073980505</v>
      </c>
      <c r="AN5209">
        <v>0.99999997986015199</v>
      </c>
    </row>
    <row r="5210" spans="1:40" x14ac:dyDescent="0.25">
      <c r="A5210" t="str">
        <f>"20190303153913449"</f>
        <v>20190303153913449</v>
      </c>
      <c r="B5210" t="str">
        <f>"1551598753443427"</f>
        <v>1551598753443427</v>
      </c>
      <c r="C5210" t="s">
        <v>40</v>
      </c>
      <c r="D5210">
        <v>4.752643</v>
      </c>
      <c r="E5210">
        <v>0.56898280000000001</v>
      </c>
      <c r="F5210" t="s">
        <v>68</v>
      </c>
      <c r="G5210">
        <v>-201.5461</v>
      </c>
      <c r="H5210" s="1">
        <v>-8.5196929999999999E-6</v>
      </c>
      <c r="I5210">
        <v>138.416</v>
      </c>
      <c r="J5210">
        <v>-190.89689999999999</v>
      </c>
      <c r="K5210">
        <v>1.120719</v>
      </c>
      <c r="L5210">
        <v>190.22149999999999</v>
      </c>
      <c r="M5210">
        <v>3.8015589999999999E-3</v>
      </c>
      <c r="N5210">
        <v>-9.9135939999999995E-3</v>
      </c>
      <c r="O5210">
        <v>-0.99994360000000004</v>
      </c>
      <c r="P5210">
        <v>-2.2281840000000001E-2</v>
      </c>
      <c r="Q5210">
        <v>-3.9792229999999998E-2</v>
      </c>
      <c r="R5210">
        <v>-0.99895940000000005</v>
      </c>
      <c r="S5210">
        <v>-0.61283869999999996</v>
      </c>
      <c r="T5210">
        <v>-6.4496990000000004E-2</v>
      </c>
      <c r="U5210">
        <v>-2.9872130000000001</v>
      </c>
      <c r="V5210">
        <v>2.60653E-2</v>
      </c>
      <c r="W5210">
        <v>-2.9900280000000001E-2</v>
      </c>
      <c r="X5210">
        <v>0.99921300000000002</v>
      </c>
      <c r="Y5210">
        <v>0.2046473</v>
      </c>
      <c r="Z5210">
        <v>1.1221129999999999E-2</v>
      </c>
      <c r="AA5210">
        <v>0.97877139999999996</v>
      </c>
      <c r="AB5210">
        <v>18</v>
      </c>
      <c r="AC5210">
        <v>-10.6492</v>
      </c>
      <c r="AD5210">
        <v>-1.120727519693</v>
      </c>
      <c r="AE5210">
        <v>-51.805500000000002</v>
      </c>
      <c r="AF5210">
        <v>10.8412063777395</v>
      </c>
      <c r="AG5210">
        <v>-1.120727519693</v>
      </c>
      <c r="AH5210">
        <v>51.741406685430597</v>
      </c>
      <c r="AI5210">
        <v>91.214477964874504</v>
      </c>
      <c r="AJ5210">
        <v>78.166195853883195</v>
      </c>
      <c r="AK5210">
        <v>52.876847028593403</v>
      </c>
      <c r="AL5210">
        <v>91.713415182064793</v>
      </c>
      <c r="AM5210">
        <v>88.505730935670101</v>
      </c>
      <c r="AN5210">
        <v>1.0000000229885799</v>
      </c>
    </row>
    <row r="5211" spans="1:40" x14ac:dyDescent="0.25">
      <c r="A5211" t="str">
        <f>"20190303153913461"</f>
        <v>20190303153913461</v>
      </c>
      <c r="B5211" t="str">
        <f>"1551598753454163"</f>
        <v>1551598753454163</v>
      </c>
      <c r="C5211" t="s">
        <v>40</v>
      </c>
      <c r="D5211">
        <v>4.569553</v>
      </c>
      <c r="E5211">
        <v>0.5692142</v>
      </c>
      <c r="F5211" t="s">
        <v>68</v>
      </c>
      <c r="G5211">
        <v>-201.74709999999999</v>
      </c>
      <c r="H5211" s="1">
        <v>-8.203442E-6</v>
      </c>
      <c r="I5211">
        <v>137.63319999999999</v>
      </c>
      <c r="J5211">
        <v>-190.89680000000001</v>
      </c>
      <c r="K5211">
        <v>1.1207119999999999</v>
      </c>
      <c r="L5211">
        <v>190.11410000000001</v>
      </c>
      <c r="M5211">
        <v>3.5996800000000001E-3</v>
      </c>
      <c r="N5211">
        <v>-9.8326019999999993E-3</v>
      </c>
      <c r="O5211">
        <v>-0.99994530000000004</v>
      </c>
      <c r="P5211">
        <v>-2.2922749999999999E-2</v>
      </c>
      <c r="Q5211">
        <v>-3.9885759999999999E-2</v>
      </c>
      <c r="R5211">
        <v>-0.99894139999999998</v>
      </c>
      <c r="S5211">
        <v>-0.61625669999999899</v>
      </c>
      <c r="T5211">
        <v>-6.3653710000000002E-2</v>
      </c>
      <c r="U5211">
        <v>-2.986847</v>
      </c>
      <c r="V5211">
        <v>2.6504440000000001E-2</v>
      </c>
      <c r="W5211">
        <v>-3.0075029999999999E-2</v>
      </c>
      <c r="X5211">
        <v>0.99919619999999998</v>
      </c>
      <c r="Y5211">
        <v>0.2055487</v>
      </c>
      <c r="Z5211">
        <v>1.102421E-2</v>
      </c>
      <c r="AA5211">
        <v>0.97858480000000003</v>
      </c>
      <c r="AB5211">
        <v>18</v>
      </c>
      <c r="AC5211">
        <v>-10.850299999999899</v>
      </c>
      <c r="AD5211">
        <v>-1.1207202034420001</v>
      </c>
      <c r="AE5211">
        <v>-52.480899999999998</v>
      </c>
      <c r="AF5211">
        <v>11.0343275576006</v>
      </c>
      <c r="AG5211">
        <v>-1.1207202034420001</v>
      </c>
      <c r="AH5211">
        <v>52.4185759978037</v>
      </c>
      <c r="AI5211">
        <v>91.198549920652994</v>
      </c>
      <c r="AJ5211">
        <v>78.112558310146994</v>
      </c>
      <c r="AK5211">
        <v>53.5790958122695</v>
      </c>
      <c r="AL5211">
        <v>91.723432130376693</v>
      </c>
      <c r="AM5211">
        <v>88.480542127797705</v>
      </c>
      <c r="AN5211">
        <v>1.0000000194318199</v>
      </c>
    </row>
    <row r="5212" spans="1:40" x14ac:dyDescent="0.25">
      <c r="A5212" t="str">
        <f>"20190303153913473"</f>
        <v>20190303153913473</v>
      </c>
      <c r="B5212" t="str">
        <f>"1551598753463923"</f>
        <v>1551598753463923</v>
      </c>
      <c r="C5212" t="s">
        <v>40</v>
      </c>
      <c r="D5212">
        <v>4.6258359999999996</v>
      </c>
      <c r="E5212">
        <v>0.56939689999999998</v>
      </c>
      <c r="F5212" t="s">
        <v>68</v>
      </c>
      <c r="G5212">
        <v>-201.83969999999999</v>
      </c>
      <c r="H5212" s="1">
        <v>-8.098392E-6</v>
      </c>
      <c r="I5212">
        <v>137.40469999999999</v>
      </c>
      <c r="J5212">
        <v>-190.89660000000001</v>
      </c>
      <c r="K5212">
        <v>1.1207039999999999</v>
      </c>
      <c r="L5212">
        <v>190.02269999999999</v>
      </c>
      <c r="M5212">
        <v>3.4283130000000001E-3</v>
      </c>
      <c r="N5212">
        <v>-9.7573160000000003E-3</v>
      </c>
      <c r="O5212">
        <v>-0.99994669999999997</v>
      </c>
      <c r="P5212">
        <v>-2.351576E-2</v>
      </c>
      <c r="Q5212">
        <v>-4.0096899999999998E-2</v>
      </c>
      <c r="R5212">
        <v>-0.99891909999999895</v>
      </c>
      <c r="S5212">
        <v>-0.62001039999999996</v>
      </c>
      <c r="T5212">
        <v>-6.3498260000000001E-2</v>
      </c>
      <c r="U5212">
        <v>-2.9864350000000002</v>
      </c>
      <c r="V5212">
        <v>2.6926100000000001E-2</v>
      </c>
      <c r="W5212">
        <v>-3.0361760000000002E-2</v>
      </c>
      <c r="X5212">
        <v>0.99917630000000002</v>
      </c>
      <c r="Y5212">
        <v>0.2065872</v>
      </c>
      <c r="Z5212">
        <v>1.104665E-2</v>
      </c>
      <c r="AA5212">
        <v>0.97836579999999995</v>
      </c>
      <c r="AB5212">
        <v>18</v>
      </c>
      <c r="AC5212">
        <v>-10.9430999999999</v>
      </c>
      <c r="AD5212">
        <v>-1.120712098392</v>
      </c>
      <c r="AE5212">
        <v>-52.618000000000002</v>
      </c>
      <c r="AF5212">
        <v>11.1186003956437</v>
      </c>
      <c r="AG5212">
        <v>-1.120712098392</v>
      </c>
      <c r="AH5212">
        <v>52.557318549949002</v>
      </c>
      <c r="AI5212">
        <v>91.195125290440401</v>
      </c>
      <c r="AJ5212">
        <v>78.055086036856494</v>
      </c>
      <c r="AK5212">
        <v>53.732215695300603</v>
      </c>
      <c r="AL5212">
        <v>91.739867975786694</v>
      </c>
      <c r="AM5212">
        <v>88.456349898348606</v>
      </c>
      <c r="AN5212">
        <v>1.0000000649065901</v>
      </c>
    </row>
    <row r="5213" spans="1:40" x14ac:dyDescent="0.25">
      <c r="A5213" t="str">
        <f>"20190303153913484"</f>
        <v>20190303153913484</v>
      </c>
      <c r="B5213" t="str">
        <f>"1551598753473683"</f>
        <v>1551598753473683</v>
      </c>
      <c r="C5213" t="s">
        <v>40</v>
      </c>
      <c r="D5213">
        <v>4.5779920000000001</v>
      </c>
      <c r="E5213">
        <v>0.56948889999999996</v>
      </c>
      <c r="F5213" t="s">
        <v>68</v>
      </c>
      <c r="G5213">
        <v>-201.76910000000001</v>
      </c>
      <c r="H5213" s="1">
        <v>-8.2864469999999994E-6</v>
      </c>
      <c r="I5213">
        <v>137.93010000000001</v>
      </c>
      <c r="J5213">
        <v>-190.8965</v>
      </c>
      <c r="K5213">
        <v>1.120692</v>
      </c>
      <c r="L5213">
        <v>189.92339999999999</v>
      </c>
      <c r="M5213">
        <v>3.2430710000000001E-3</v>
      </c>
      <c r="N5213">
        <v>-9.6637999999999898E-3</v>
      </c>
      <c r="O5213">
        <v>-0.99994810000000001</v>
      </c>
      <c r="P5213">
        <v>-2.3542E-2</v>
      </c>
      <c r="Q5213">
        <v>-4.0243670000000002E-2</v>
      </c>
      <c r="R5213">
        <v>-0.99891280000000005</v>
      </c>
      <c r="S5213">
        <v>-0.62321470000000001</v>
      </c>
      <c r="T5213">
        <v>-6.4239859999999996E-2</v>
      </c>
      <c r="U5213">
        <v>-2.9859770000000001</v>
      </c>
      <c r="V5213">
        <v>2.676719E-2</v>
      </c>
      <c r="W5213">
        <v>-3.0601860000000002E-2</v>
      </c>
      <c r="X5213">
        <v>0.99917319999999998</v>
      </c>
      <c r="Y5213">
        <v>0.20744119999999999</v>
      </c>
      <c r="Z5213">
        <v>1.138227E-2</v>
      </c>
      <c r="AA5213">
        <v>0.97818119999999997</v>
      </c>
      <c r="AB5213">
        <v>19</v>
      </c>
      <c r="AC5213">
        <v>-10.8726</v>
      </c>
      <c r="AD5213">
        <v>-1.1207002864469999</v>
      </c>
      <c r="AE5213">
        <v>-51.993299999999898</v>
      </c>
      <c r="AF5213">
        <v>11.036255970628099</v>
      </c>
      <c r="AG5213">
        <v>-1.1207002864469999</v>
      </c>
      <c r="AH5213">
        <v>51.934646121707502</v>
      </c>
      <c r="AI5213">
        <v>91.2092040632715</v>
      </c>
      <c r="AJ5213">
        <v>78.002949039647007</v>
      </c>
      <c r="AK5213">
        <v>53.106142608630996</v>
      </c>
      <c r="AL5213">
        <v>91.753631165873799</v>
      </c>
      <c r="AM5213">
        <v>88.465450944006506</v>
      </c>
      <c r="AN5213">
        <v>1.00000001994709</v>
      </c>
    </row>
    <row r="5214" spans="1:40" x14ac:dyDescent="0.25">
      <c r="A5214" t="str">
        <f>"20190303153913502"</f>
        <v>20190303153913502</v>
      </c>
      <c r="B5214" t="str">
        <f>"1551598753494178"</f>
        <v>1551598753494178</v>
      </c>
      <c r="C5214" t="s">
        <v>40</v>
      </c>
      <c r="D5214">
        <v>4.5752030000000001</v>
      </c>
      <c r="E5214">
        <v>0.56957860000000005</v>
      </c>
      <c r="F5214" t="s">
        <v>68</v>
      </c>
      <c r="G5214">
        <v>-201.6926</v>
      </c>
      <c r="H5214" s="1">
        <v>-8.4197330000000003E-6</v>
      </c>
      <c r="I5214">
        <v>138.27019999999999</v>
      </c>
      <c r="J5214">
        <v>-190.8963</v>
      </c>
      <c r="K5214">
        <v>1.120668</v>
      </c>
      <c r="L5214">
        <v>189.77879999999999</v>
      </c>
      <c r="M5214">
        <v>2.9746289999999999E-3</v>
      </c>
      <c r="N5214">
        <v>-9.5060149999999996E-3</v>
      </c>
      <c r="O5214">
        <v>-0.99995049999999996</v>
      </c>
      <c r="P5214">
        <v>-2.3716480000000002E-2</v>
      </c>
      <c r="Q5214">
        <v>-3.9852819999999997E-2</v>
      </c>
      <c r="R5214">
        <v>-0.99892429999999999</v>
      </c>
      <c r="S5214">
        <v>-0.62409969999999904</v>
      </c>
      <c r="T5214">
        <v>-6.478536E-2</v>
      </c>
      <c r="U5214">
        <v>-2.9859619999999998</v>
      </c>
      <c r="V5214">
        <v>2.6673720000000001E-2</v>
      </c>
      <c r="W5214">
        <v>-3.0368450000000002E-2</v>
      </c>
      <c r="X5214">
        <v>0.99918280000000004</v>
      </c>
      <c r="Y5214">
        <v>0.20745710000000001</v>
      </c>
      <c r="Z5214">
        <v>1.171851E-2</v>
      </c>
      <c r="AA5214">
        <v>0.97817390000000004</v>
      </c>
      <c r="AB5214">
        <v>19</v>
      </c>
      <c r="AC5214">
        <v>-10.7963</v>
      </c>
      <c r="AD5214">
        <v>-1.1206764197329999</v>
      </c>
      <c r="AE5214">
        <v>-51.508600000000001</v>
      </c>
      <c r="AF5214">
        <v>10.9445153339288</v>
      </c>
      <c r="AG5214">
        <v>-1.1206764197329999</v>
      </c>
      <c r="AH5214">
        <v>51.452924386552603</v>
      </c>
      <c r="AI5214">
        <v>91.220444438527593</v>
      </c>
      <c r="AJ5214">
        <v>77.991627499668596</v>
      </c>
      <c r="AK5214">
        <v>52.615983878101602</v>
      </c>
      <c r="AL5214">
        <v>91.740251576169698</v>
      </c>
      <c r="AM5214">
        <v>88.470821666886394</v>
      </c>
      <c r="AN5214">
        <v>0.99999999895493996</v>
      </c>
    </row>
    <row r="5215" spans="1:40" x14ac:dyDescent="0.25">
      <c r="A5215" t="str">
        <f>"20190303153913517"</f>
        <v>20190303153913517</v>
      </c>
      <c r="B5215" t="str">
        <f>"1551598753513699"</f>
        <v>1551598753513699</v>
      </c>
      <c r="C5215" t="s">
        <v>40</v>
      </c>
      <c r="D5215">
        <v>4.5855459999999999</v>
      </c>
      <c r="E5215">
        <v>0.56967590000000001</v>
      </c>
      <c r="F5215" t="s">
        <v>68</v>
      </c>
      <c r="G5215">
        <v>-201.9254</v>
      </c>
      <c r="H5215" s="1">
        <v>-7.9770250000000001E-6</v>
      </c>
      <c r="I5215">
        <v>137.1147</v>
      </c>
      <c r="J5215">
        <v>-190.89619999999999</v>
      </c>
      <c r="K5215">
        <v>1.1206449999999999</v>
      </c>
      <c r="L5215">
        <v>189.65809999999999</v>
      </c>
      <c r="M5215">
        <v>2.751299E-3</v>
      </c>
      <c r="N5215">
        <v>-9.3556030000000005E-3</v>
      </c>
      <c r="O5215">
        <v>-0.99995239999999996</v>
      </c>
      <c r="P5215">
        <v>-2.363898E-2</v>
      </c>
      <c r="Q5215">
        <v>-3.9835240000000001E-2</v>
      </c>
      <c r="R5215">
        <v>-0.99892669999999995</v>
      </c>
      <c r="S5215">
        <v>-0.62530520000000001</v>
      </c>
      <c r="T5215">
        <v>-6.3538070000000002E-2</v>
      </c>
      <c r="U5215">
        <v>-2.9858549999999999</v>
      </c>
      <c r="V5215">
        <v>2.6373110000000002E-2</v>
      </c>
      <c r="W5215">
        <v>-3.0500920000000001E-2</v>
      </c>
      <c r="X5215">
        <v>0.99918680000000004</v>
      </c>
      <c r="Y5215">
        <v>0.20762559999999999</v>
      </c>
      <c r="Z5215">
        <v>1.1460150000000001E-2</v>
      </c>
      <c r="AA5215">
        <v>0.97814120000000004</v>
      </c>
      <c r="AB5215">
        <v>19</v>
      </c>
      <c r="AC5215">
        <v>-11.029199999999999</v>
      </c>
      <c r="AD5215">
        <v>-1.120652977025</v>
      </c>
      <c r="AE5215">
        <v>-52.543399999999899</v>
      </c>
      <c r="AF5215">
        <v>11.168861000654999</v>
      </c>
      <c r="AG5215">
        <v>-1.120652977025</v>
      </c>
      <c r="AH5215">
        <v>52.489985659323096</v>
      </c>
      <c r="AI5215">
        <v>91.196296386794899</v>
      </c>
      <c r="AJ5215">
        <v>77.987708177031493</v>
      </c>
      <c r="AK5215">
        <v>53.676791201252101</v>
      </c>
      <c r="AL5215">
        <v>91.747844969178303</v>
      </c>
      <c r="AM5215">
        <v>88.488053349748895</v>
      </c>
      <c r="AN5215">
        <v>1.00000005417307</v>
      </c>
    </row>
    <row r="5216" spans="1:40" x14ac:dyDescent="0.25">
      <c r="A5216" t="str">
        <f>"20190303153913532"</f>
        <v>20190303153913532</v>
      </c>
      <c r="B5216" t="str">
        <f>"1551598753523459"</f>
        <v>1551598753523459</v>
      </c>
      <c r="C5216" t="s">
        <v>40</v>
      </c>
      <c r="D5216">
        <v>4.5918419999999998</v>
      </c>
      <c r="E5216">
        <v>0.5697354</v>
      </c>
      <c r="F5216" t="s">
        <v>68</v>
      </c>
      <c r="G5216">
        <v>-202.00460000000001</v>
      </c>
      <c r="H5216" s="1">
        <v>-7.8073189999999992E-6</v>
      </c>
      <c r="I5216">
        <v>136.65950000000001</v>
      </c>
      <c r="J5216">
        <v>-190.89609999999999</v>
      </c>
      <c r="K5216">
        <v>1.1206160000000001</v>
      </c>
      <c r="L5216">
        <v>189.53909999999999</v>
      </c>
      <c r="M5216">
        <v>2.5319299999999999E-3</v>
      </c>
      <c r="N5216">
        <v>-9.193962E-3</v>
      </c>
      <c r="O5216">
        <v>-0.99995480000000003</v>
      </c>
      <c r="P5216">
        <v>-2.3577509999999999E-2</v>
      </c>
      <c r="Q5216">
        <v>-3.9610970000000002E-2</v>
      </c>
      <c r="R5216">
        <v>-0.99893719999999997</v>
      </c>
      <c r="S5216">
        <v>-0.62583919999999904</v>
      </c>
      <c r="T5216">
        <v>-6.313705E-2</v>
      </c>
      <c r="U5216">
        <v>-2.985916</v>
      </c>
      <c r="V5216">
        <v>2.6092569999999999E-2</v>
      </c>
      <c r="W5216">
        <v>-3.0437869999999999E-2</v>
      </c>
      <c r="X5216">
        <v>0.99919610000000003</v>
      </c>
      <c r="Y5216">
        <v>0.20757529999999999</v>
      </c>
      <c r="Z5216">
        <v>1.149003E-2</v>
      </c>
      <c r="AA5216">
        <v>0.97815160000000001</v>
      </c>
      <c r="AB5216">
        <v>19</v>
      </c>
      <c r="AC5216">
        <v>-11.108499999999999</v>
      </c>
      <c r="AD5216">
        <v>-1.120623807319</v>
      </c>
      <c r="AE5216">
        <v>-52.879599999999897</v>
      </c>
      <c r="AF5216">
        <v>11.2375239847547</v>
      </c>
      <c r="AG5216">
        <v>-1.120623807319</v>
      </c>
      <c r="AH5216">
        <v>52.828580779404703</v>
      </c>
      <c r="AI5216">
        <v>91.188615710941093</v>
      </c>
      <c r="AJ5216">
        <v>77.991218942494598</v>
      </c>
      <c r="AK5216">
        <v>54.022187017850001</v>
      </c>
      <c r="AL5216">
        <v>91.744230771434303</v>
      </c>
      <c r="AM5216">
        <v>88.504143025173207</v>
      </c>
      <c r="AN5216">
        <v>1.0000000661972701</v>
      </c>
    </row>
    <row r="5217" spans="1:40" x14ac:dyDescent="0.25">
      <c r="A5217" t="str">
        <f>"20190303153913545"</f>
        <v>20190303153913545</v>
      </c>
      <c r="B5217" t="str">
        <f>"1551598753534195"</f>
        <v>1551598753534195</v>
      </c>
      <c r="C5217" t="s">
        <v>40</v>
      </c>
      <c r="D5217">
        <v>4.5657769999999998</v>
      </c>
      <c r="E5217">
        <v>0.56975100000000001</v>
      </c>
      <c r="F5217" t="s">
        <v>68</v>
      </c>
      <c r="G5217">
        <v>-202.1352</v>
      </c>
      <c r="H5217" s="1">
        <v>-7.53583999999999E-6</v>
      </c>
      <c r="I5217">
        <v>135.93600000000001</v>
      </c>
      <c r="J5217">
        <v>-190.89609999999999</v>
      </c>
      <c r="K5217">
        <v>1.1205830000000001</v>
      </c>
      <c r="L5217">
        <v>189.4143</v>
      </c>
      <c r="M5217">
        <v>2.302498E-3</v>
      </c>
      <c r="N5217">
        <v>-9.0087789999999997E-3</v>
      </c>
      <c r="O5217">
        <v>-0.99995699999999998</v>
      </c>
      <c r="P5217">
        <v>-2.3018730000000001E-2</v>
      </c>
      <c r="Q5217">
        <v>-3.926967E-2</v>
      </c>
      <c r="R5217">
        <v>-0.99896370000000001</v>
      </c>
      <c r="S5217">
        <v>-0.62606809999999902</v>
      </c>
      <c r="T5217">
        <v>-6.2424060000000003E-2</v>
      </c>
      <c r="U5217">
        <v>-2.9859469999999999</v>
      </c>
      <c r="V5217">
        <v>2.5304730000000001E-2</v>
      </c>
      <c r="W5217">
        <v>-3.0280970000000001E-2</v>
      </c>
      <c r="X5217">
        <v>0.99922109999999997</v>
      </c>
      <c r="Y5217">
        <v>0.20742169999999999</v>
      </c>
      <c r="Z5217">
        <v>1.1441929999999999E-2</v>
      </c>
      <c r="AA5217">
        <v>0.97818470000000002</v>
      </c>
      <c r="AB5217">
        <v>19</v>
      </c>
      <c r="AC5217">
        <v>-11.239100000000001</v>
      </c>
      <c r="AD5217">
        <v>-1.1205905358399999</v>
      </c>
      <c r="AE5217">
        <v>-53.478299999999898</v>
      </c>
      <c r="AF5217">
        <v>11.3574330266717</v>
      </c>
      <c r="AG5217">
        <v>-1.1205905358399999</v>
      </c>
      <c r="AH5217">
        <v>53.4298118250681</v>
      </c>
      <c r="AI5217">
        <v>91.175245145343297</v>
      </c>
      <c r="AJ5217">
        <v>77.999409091975707</v>
      </c>
      <c r="AK5217">
        <v>54.635078473143302</v>
      </c>
      <c r="AL5217">
        <v>91.735236969850604</v>
      </c>
      <c r="AM5217">
        <v>88.549325663884105</v>
      </c>
      <c r="AN5217">
        <v>1.00000003659486</v>
      </c>
    </row>
    <row r="5218" spans="1:40" x14ac:dyDescent="0.25">
      <c r="A5218" t="str">
        <f>"20190303153913559"</f>
        <v>20190303153913559</v>
      </c>
      <c r="B5218" t="str">
        <f>"1551598753553714"</f>
        <v>1551598753553714</v>
      </c>
      <c r="C5218" t="s">
        <v>40</v>
      </c>
      <c r="D5218">
        <v>4.5840350000000001</v>
      </c>
      <c r="E5218">
        <v>0.57001669999999904</v>
      </c>
      <c r="F5218" t="s">
        <v>68</v>
      </c>
      <c r="G5218">
        <v>-202.2679</v>
      </c>
      <c r="H5218" s="1">
        <v>-7.2115110000000004E-6</v>
      </c>
      <c r="I5218">
        <v>135.04320000000001</v>
      </c>
      <c r="J5218">
        <v>-190.89609999999999</v>
      </c>
      <c r="K5218">
        <v>1.1205560000000001</v>
      </c>
      <c r="L5218">
        <v>189.3023</v>
      </c>
      <c r="M5218">
        <v>2.0968750000000002E-3</v>
      </c>
      <c r="N5218">
        <v>-8.8385440000000003E-3</v>
      </c>
      <c r="O5218">
        <v>-0.99995889999999998</v>
      </c>
      <c r="P5218">
        <v>-2.2829789999999999E-2</v>
      </c>
      <c r="Q5218">
        <v>-3.9199869999999998E-2</v>
      </c>
      <c r="R5218">
        <v>-0.99897049999999998</v>
      </c>
      <c r="S5218">
        <v>-0.62458800000000003</v>
      </c>
      <c r="T5218">
        <v>-6.1547640000000001E-2</v>
      </c>
      <c r="U5218">
        <v>-2.9862980000000001</v>
      </c>
      <c r="V5218">
        <v>2.4910330000000001E-2</v>
      </c>
      <c r="W5218">
        <v>-3.038099E-2</v>
      </c>
      <c r="X5218">
        <v>0.99922789999999995</v>
      </c>
      <c r="Y5218">
        <v>0.20673430000000001</v>
      </c>
      <c r="Z5218">
        <v>1.132552E-2</v>
      </c>
      <c r="AA5218">
        <v>0.97833159999999997</v>
      </c>
      <c r="AB5218">
        <v>19</v>
      </c>
      <c r="AC5218">
        <v>-11.3718</v>
      </c>
      <c r="AD5218">
        <v>-1.12056321151099</v>
      </c>
      <c r="AE5218">
        <v>-54.259099999999897</v>
      </c>
      <c r="AF5218">
        <v>11.4808633274298</v>
      </c>
      <c r="AG5218">
        <v>-1.12056321151099</v>
      </c>
      <c r="AH5218">
        <v>54.212985157570103</v>
      </c>
      <c r="AI5218">
        <v>91.158430393154603</v>
      </c>
      <c r="AJ5218">
        <v>78.042943920720305</v>
      </c>
      <c r="AK5218">
        <v>55.426651029527598</v>
      </c>
      <c r="AL5218">
        <v>91.740970460206597</v>
      </c>
      <c r="AM5218">
        <v>88.571936178793706</v>
      </c>
      <c r="AN5218">
        <v>0.99999996261624802</v>
      </c>
    </row>
    <row r="5219" spans="1:40" x14ac:dyDescent="0.25">
      <c r="A5219" t="str">
        <f>"20190303153913572"</f>
        <v>20190303153913572</v>
      </c>
      <c r="B5219" t="str">
        <f>"1551598753563475"</f>
        <v>1551598753563475</v>
      </c>
      <c r="C5219" t="s">
        <v>40</v>
      </c>
      <c r="D5219">
        <v>4.5727379999999904</v>
      </c>
      <c r="E5219">
        <v>0.5701041</v>
      </c>
      <c r="F5219" t="s">
        <v>68</v>
      </c>
      <c r="G5219">
        <v>-202.60560000000001</v>
      </c>
      <c r="H5219" s="1">
        <v>-6.5755900000000003E-6</v>
      </c>
      <c r="I5219">
        <v>133.44739999999999</v>
      </c>
      <c r="J5219">
        <v>-190.89609999999999</v>
      </c>
      <c r="K5219">
        <v>1.120528</v>
      </c>
      <c r="L5219">
        <v>189.19220000000001</v>
      </c>
      <c r="M5219">
        <v>1.895018E-3</v>
      </c>
      <c r="N5219">
        <v>-8.6713899999999993E-3</v>
      </c>
      <c r="O5219">
        <v>-0.99996079999999998</v>
      </c>
      <c r="P5219">
        <v>-2.253225E-2</v>
      </c>
      <c r="Q5219">
        <v>-3.9080620000000003E-2</v>
      </c>
      <c r="R5219">
        <v>-0.99898200000000004</v>
      </c>
      <c r="S5219">
        <v>-0.62608339999999996</v>
      </c>
      <c r="T5219">
        <v>-5.991399E-2</v>
      </c>
      <c r="U5219">
        <v>-2.9864350000000002</v>
      </c>
      <c r="V5219">
        <v>2.441111E-2</v>
      </c>
      <c r="W5219">
        <v>-3.0428420000000001E-2</v>
      </c>
      <c r="X5219">
        <v>0.99923879999999998</v>
      </c>
      <c r="Y5219">
        <v>0.20699899999999999</v>
      </c>
      <c r="Z5219">
        <v>1.0955370000000001E-2</v>
      </c>
      <c r="AA5219">
        <v>0.97827980000000003</v>
      </c>
      <c r="AB5219">
        <v>19</v>
      </c>
      <c r="AC5219">
        <v>-11.7095</v>
      </c>
      <c r="AD5219">
        <v>-1.12053457559</v>
      </c>
      <c r="AE5219">
        <v>-55.744799999999998</v>
      </c>
      <c r="AF5219">
        <v>11.8105498620129</v>
      </c>
      <c r="AG5219">
        <v>-1.12053457559</v>
      </c>
      <c r="AH5219">
        <v>55.700954127407897</v>
      </c>
      <c r="AI5219">
        <v>91.127404113769899</v>
      </c>
      <c r="AJ5219">
        <v>78.028596456298601</v>
      </c>
      <c r="AK5219">
        <v>56.950337808320199</v>
      </c>
      <c r="AL5219">
        <v>91.743689216667605</v>
      </c>
      <c r="AM5219">
        <v>88.6005593136545</v>
      </c>
      <c r="AN5219">
        <v>0.99999998523028399</v>
      </c>
    </row>
    <row r="5220" spans="1:40" x14ac:dyDescent="0.25">
      <c r="A5220" t="str">
        <f>"20190303153913583"</f>
        <v>20190303153913583</v>
      </c>
      <c r="B5220" t="str">
        <f>"1551598753574211"</f>
        <v>1551598753574211</v>
      </c>
      <c r="C5220" t="s">
        <v>40</v>
      </c>
      <c r="D5220">
        <v>4.5700059999999896</v>
      </c>
      <c r="E5220">
        <v>0.57017510000000005</v>
      </c>
      <c r="F5220" t="s">
        <v>68</v>
      </c>
      <c r="G5220">
        <v>-202.67089999999999</v>
      </c>
      <c r="H5220" s="1">
        <v>-6.4062869999999901E-6</v>
      </c>
      <c r="I5220">
        <v>133.00020000000001</v>
      </c>
      <c r="J5220">
        <v>-190.89609999999999</v>
      </c>
      <c r="K5220">
        <v>1.120506</v>
      </c>
      <c r="L5220">
        <v>189.09119999999999</v>
      </c>
      <c r="M5220">
        <v>1.71008799999999E-3</v>
      </c>
      <c r="N5220">
        <v>-8.5225189999999992E-3</v>
      </c>
      <c r="O5220">
        <v>-0.99996240000000003</v>
      </c>
      <c r="P5220">
        <v>-2.2392260000000001E-2</v>
      </c>
      <c r="Q5220">
        <v>-3.9167639999999997E-2</v>
      </c>
      <c r="R5220">
        <v>-0.99898189999999998</v>
      </c>
      <c r="S5220">
        <v>-0.62583919999999904</v>
      </c>
      <c r="T5220">
        <v>-5.9556959999999999E-2</v>
      </c>
      <c r="U5220">
        <v>-2.9866329999999999</v>
      </c>
      <c r="V5220">
        <v>2.4086239999999998E-2</v>
      </c>
      <c r="W5220">
        <v>-3.066402E-2</v>
      </c>
      <c r="X5220">
        <v>0.99923949999999995</v>
      </c>
      <c r="Y5220">
        <v>0.206729</v>
      </c>
      <c r="Z5220">
        <v>1.098696E-2</v>
      </c>
      <c r="AA5220">
        <v>0.9783366</v>
      </c>
      <c r="AB5220">
        <v>19</v>
      </c>
      <c r="AC5220">
        <v>-11.774800000000001</v>
      </c>
      <c r="AD5220">
        <v>-1.120512406287</v>
      </c>
      <c r="AE5220">
        <v>-56.090999999999902</v>
      </c>
      <c r="AF5220">
        <v>11.866171255055299</v>
      </c>
      <c r="AG5220">
        <v>-1.120512406287</v>
      </c>
      <c r="AH5220">
        <v>56.049357879015702</v>
      </c>
      <c r="AI5220">
        <v>91.120449745688106</v>
      </c>
      <c r="AJ5220">
        <v>78.046453152071507</v>
      </c>
      <c r="AK5220">
        <v>57.302635951210199</v>
      </c>
      <c r="AL5220">
        <v>91.757194372175206</v>
      </c>
      <c r="AM5220">
        <v>88.619177176459402</v>
      </c>
      <c r="AN5220">
        <v>1.00000000372007</v>
      </c>
    </row>
    <row r="5221" spans="1:40" x14ac:dyDescent="0.25">
      <c r="A5221" t="str">
        <f>"20190303153913595"</f>
        <v>20190303153913595</v>
      </c>
      <c r="B5221" t="str">
        <f>"1551598753583971"</f>
        <v>1551598753583971</v>
      </c>
      <c r="C5221" t="s">
        <v>40</v>
      </c>
      <c r="D5221">
        <v>4.5676670000000001</v>
      </c>
      <c r="E5221">
        <v>0.57027969999999994</v>
      </c>
      <c r="F5221" t="s">
        <v>68</v>
      </c>
      <c r="G5221">
        <v>-202.63990000000001</v>
      </c>
      <c r="H5221" s="1">
        <v>-6.4392229999999997E-6</v>
      </c>
      <c r="I5221">
        <v>133.0642</v>
      </c>
      <c r="J5221">
        <v>-190.89609999999999</v>
      </c>
      <c r="K5221">
        <v>1.1204860000000001</v>
      </c>
      <c r="L5221">
        <v>188.99529999999999</v>
      </c>
      <c r="M5221">
        <v>1.534484E-3</v>
      </c>
      <c r="N5221">
        <v>-8.3867019999999994E-3</v>
      </c>
      <c r="O5221">
        <v>-0.99996390000000002</v>
      </c>
      <c r="P5221">
        <v>-2.2151279999999999E-2</v>
      </c>
      <c r="Q5221">
        <v>-3.9152609999999997E-2</v>
      </c>
      <c r="R5221">
        <v>-0.99898790000000004</v>
      </c>
      <c r="S5221">
        <v>-0.62603759999999997</v>
      </c>
      <c r="T5221">
        <v>-5.973208E-2</v>
      </c>
      <c r="U5221">
        <v>-2.9866790000000001</v>
      </c>
      <c r="V5221">
        <v>2.366975E-2</v>
      </c>
      <c r="W5221">
        <v>-3.0784450000000001E-2</v>
      </c>
      <c r="X5221">
        <v>0.99924579999999996</v>
      </c>
      <c r="Y5221">
        <v>0.20661640000000001</v>
      </c>
      <c r="Z5221">
        <v>1.118012E-2</v>
      </c>
      <c r="AA5221">
        <v>0.97835810000000001</v>
      </c>
      <c r="AB5221">
        <v>19</v>
      </c>
      <c r="AC5221">
        <v>-11.7438</v>
      </c>
      <c r="AD5221">
        <v>-1.120492439223</v>
      </c>
      <c r="AE5221">
        <v>-55.931100000000001</v>
      </c>
      <c r="AF5221">
        <v>11.825069085113199</v>
      </c>
      <c r="AG5221">
        <v>-1.120492439223</v>
      </c>
      <c r="AH5221">
        <v>55.891528582107597</v>
      </c>
      <c r="AI5221">
        <v>91.123624201267006</v>
      </c>
      <c r="AJ5221">
        <v>78.053996666156493</v>
      </c>
      <c r="AK5221">
        <v>57.139747369222803</v>
      </c>
      <c r="AL5221">
        <v>91.764097673033504</v>
      </c>
      <c r="AM5221">
        <v>88.643053380039603</v>
      </c>
      <c r="AN5221">
        <v>1.00000005412225</v>
      </c>
    </row>
    <row r="5222" spans="1:40" x14ac:dyDescent="0.25">
      <c r="A5222" t="str">
        <f>"20190303153913606"</f>
        <v>20190303153913606</v>
      </c>
      <c r="B5222" t="str">
        <f>"1551598753593731"</f>
        <v>1551598753593731</v>
      </c>
      <c r="C5222" t="s">
        <v>40</v>
      </c>
      <c r="D5222">
        <v>4.5906070000000003</v>
      </c>
      <c r="E5222">
        <v>0.57036290000000001</v>
      </c>
      <c r="F5222" t="s">
        <v>68</v>
      </c>
      <c r="G5222">
        <v>-202.63589999999999</v>
      </c>
      <c r="H5222" s="1">
        <v>-6.4194059999999996E-6</v>
      </c>
      <c r="I5222">
        <v>132.99719999999999</v>
      </c>
      <c r="J5222">
        <v>-190.89619999999999</v>
      </c>
      <c r="K5222">
        <v>1.120468</v>
      </c>
      <c r="L5222">
        <v>188.89789999999999</v>
      </c>
      <c r="M5222">
        <v>1.3562159999999999E-3</v>
      </c>
      <c r="N5222">
        <v>-8.2537010000000004E-3</v>
      </c>
      <c r="O5222">
        <v>-0.99996510000000005</v>
      </c>
      <c r="P5222">
        <v>-2.1918170000000001E-2</v>
      </c>
      <c r="Q5222">
        <v>-3.9110810000000003E-2</v>
      </c>
      <c r="R5222">
        <v>-0.99899459999999995</v>
      </c>
      <c r="S5222">
        <v>-0.62617489999999998</v>
      </c>
      <c r="T5222">
        <v>-5.9764619999999997E-2</v>
      </c>
      <c r="U5222">
        <v>-2.9868160000000001</v>
      </c>
      <c r="V5222">
        <v>2.3258480000000002E-2</v>
      </c>
      <c r="W5222">
        <v>-3.0875300000000001E-2</v>
      </c>
      <c r="X5222">
        <v>0.99925260000000005</v>
      </c>
      <c r="Y5222">
        <v>0.2064763</v>
      </c>
      <c r="Z5222">
        <v>1.132328E-2</v>
      </c>
      <c r="AA5222">
        <v>0.97838610000000004</v>
      </c>
      <c r="AB5222">
        <v>19</v>
      </c>
      <c r="AC5222">
        <v>-11.739699999999999</v>
      </c>
      <c r="AD5222">
        <v>-1.1204744194059999</v>
      </c>
      <c r="AE5222">
        <v>-55.900700000000001</v>
      </c>
      <c r="AF5222">
        <v>11.8109604444303</v>
      </c>
      <c r="AG5222">
        <v>-1.1204744194059999</v>
      </c>
      <c r="AH5222">
        <v>55.863230775193699</v>
      </c>
      <c r="AI5222">
        <v>91.124208236929505</v>
      </c>
      <c r="AJ5222">
        <v>78.061969902131594</v>
      </c>
      <c r="AK5222">
        <v>57.109148147971801</v>
      </c>
      <c r="AL5222">
        <v>91.769305565967002</v>
      </c>
      <c r="AM5222">
        <v>88.666631275074096</v>
      </c>
      <c r="AN5222">
        <v>0.99999999982438004</v>
      </c>
    </row>
    <row r="5223" spans="1:40" x14ac:dyDescent="0.25">
      <c r="A5223" t="str">
        <f>"20190303153913619"</f>
        <v>20190303153913619</v>
      </c>
      <c r="B5223" t="str">
        <f>"1551598753614227"</f>
        <v>1551598753614227</v>
      </c>
      <c r="C5223" t="s">
        <v>40</v>
      </c>
      <c r="D5223">
        <v>4.6026949999999998</v>
      </c>
      <c r="E5223">
        <v>0.57059029999999999</v>
      </c>
      <c r="F5223" t="s">
        <v>68</v>
      </c>
      <c r="G5223">
        <v>-202.57669999999999</v>
      </c>
      <c r="H5223" s="1">
        <v>-6.5012669999999996E-6</v>
      </c>
      <c r="I5223">
        <v>133.17869999999999</v>
      </c>
      <c r="J5223">
        <v>-190.89619999999999</v>
      </c>
      <c r="K5223">
        <v>1.1204449999999999</v>
      </c>
      <c r="L5223">
        <v>188.7944</v>
      </c>
      <c r="M5223">
        <v>1.1667120000000001E-3</v>
      </c>
      <c r="N5223">
        <v>-8.1214149999999999E-3</v>
      </c>
      <c r="O5223">
        <v>-0.99996629999999997</v>
      </c>
      <c r="P5223">
        <v>-2.1838630000000001E-2</v>
      </c>
      <c r="Q5223">
        <v>-3.9306389999999997E-2</v>
      </c>
      <c r="R5223">
        <v>-0.99898849999999995</v>
      </c>
      <c r="S5223">
        <v>-0.62615969999999999</v>
      </c>
      <c r="T5223">
        <v>-6.0065630000000002E-2</v>
      </c>
      <c r="U5223">
        <v>-2.9869539999999999</v>
      </c>
      <c r="V5223">
        <v>2.29894E-2</v>
      </c>
      <c r="W5223">
        <v>-3.1203000000000002E-2</v>
      </c>
      <c r="X5223">
        <v>0.99924860000000004</v>
      </c>
      <c r="Y5223">
        <v>0.20627690000000001</v>
      </c>
      <c r="Z5223">
        <v>1.1553860000000001E-2</v>
      </c>
      <c r="AA5223">
        <v>0.9784254</v>
      </c>
      <c r="AB5223">
        <v>19</v>
      </c>
      <c r="AC5223">
        <v>-11.680499999999901</v>
      </c>
      <c r="AD5223">
        <v>-1.120451501267</v>
      </c>
      <c r="AE5223">
        <v>-55.615699999999997</v>
      </c>
      <c r="AF5223">
        <v>11.740817716313099</v>
      </c>
      <c r="AG5223">
        <v>-1.120451501267</v>
      </c>
      <c r="AH5223">
        <v>55.580428266072602</v>
      </c>
      <c r="AI5223">
        <v>91.129946369697606</v>
      </c>
      <c r="AJ5223">
        <v>78.072183993565403</v>
      </c>
      <c r="AK5223">
        <v>56.818009631229003</v>
      </c>
      <c r="AL5223">
        <v>91.788090529381194</v>
      </c>
      <c r="AM5223">
        <v>88.682046422936295</v>
      </c>
      <c r="AN5223">
        <v>0.99999995216165805</v>
      </c>
    </row>
    <row r="5224" spans="1:40" x14ac:dyDescent="0.25">
      <c r="A5224" t="str">
        <f>"20190303153913630"</f>
        <v>20190303153913630</v>
      </c>
      <c r="B5224" t="str">
        <f>"1551598753623986"</f>
        <v>1551598753623986</v>
      </c>
      <c r="C5224" t="s">
        <v>40</v>
      </c>
      <c r="D5224">
        <v>4.7274479999999999</v>
      </c>
      <c r="E5224">
        <v>0.57073319999999905</v>
      </c>
      <c r="F5224" t="s">
        <v>68</v>
      </c>
      <c r="G5224">
        <v>-202.5967</v>
      </c>
      <c r="H5224" s="1">
        <v>-6.475634E-6</v>
      </c>
      <c r="I5224">
        <v>133.12370000000001</v>
      </c>
      <c r="J5224">
        <v>-190.8963</v>
      </c>
      <c r="K5224">
        <v>1.1204289999999999</v>
      </c>
      <c r="L5224">
        <v>188.6909</v>
      </c>
      <c r="M5224">
        <v>9.7729229999999993E-4</v>
      </c>
      <c r="N5224">
        <v>-7.9929770000000001E-3</v>
      </c>
      <c r="O5224">
        <v>-0.99996790000000002</v>
      </c>
      <c r="P5224">
        <v>-2.185933E-2</v>
      </c>
      <c r="Q5224">
        <v>-3.9618800000000003E-2</v>
      </c>
      <c r="R5224">
        <v>-0.99897610000000003</v>
      </c>
      <c r="S5224">
        <v>-0.62777709999999998</v>
      </c>
      <c r="T5224">
        <v>-6.011677E-2</v>
      </c>
      <c r="U5224">
        <v>-2.9869539999999999</v>
      </c>
      <c r="V5224">
        <v>2.282058E-2</v>
      </c>
      <c r="W5224">
        <v>-3.1643780000000003E-2</v>
      </c>
      <c r="X5224">
        <v>0.99923870000000004</v>
      </c>
      <c r="Y5224">
        <v>0.20659910000000001</v>
      </c>
      <c r="Z5224">
        <v>1.169746E-2</v>
      </c>
      <c r="AA5224">
        <v>0.9783558</v>
      </c>
      <c r="AB5224">
        <v>19</v>
      </c>
      <c r="AC5224">
        <v>-11.7004</v>
      </c>
      <c r="AD5224">
        <v>-1.120435475634</v>
      </c>
      <c r="AE5224">
        <v>-55.5671999999999</v>
      </c>
      <c r="AF5224">
        <v>11.7501270785547</v>
      </c>
      <c r="AG5224">
        <v>-1.120435475634</v>
      </c>
      <c r="AH5224">
        <v>55.534118375640702</v>
      </c>
      <c r="AI5224">
        <v>91.130793563604399</v>
      </c>
      <c r="AJ5224">
        <v>78.053329204263207</v>
      </c>
      <c r="AK5224">
        <v>56.774634880172698</v>
      </c>
      <c r="AL5224">
        <v>91.813357676492998</v>
      </c>
      <c r="AM5224">
        <v>88.691708329157706</v>
      </c>
      <c r="AN5224">
        <v>1.00000004363095</v>
      </c>
    </row>
    <row r="5225" spans="1:40" x14ac:dyDescent="0.25">
      <c r="A5225" t="str">
        <f>"20190303153913645"</f>
        <v>20190303153913645</v>
      </c>
      <c r="B5225" t="str">
        <f>"1551598753633746"</f>
        <v>1551598753633746</v>
      </c>
      <c r="C5225" t="s">
        <v>40</v>
      </c>
      <c r="D5225">
        <v>4.5644770000000001</v>
      </c>
      <c r="E5225">
        <v>0.57083109999999904</v>
      </c>
      <c r="F5225" t="s">
        <v>68</v>
      </c>
      <c r="G5225">
        <v>-202.50049999999999</v>
      </c>
      <c r="H5225" s="1">
        <v>-6.6584819999999998E-6</v>
      </c>
      <c r="I5225">
        <v>133.5746</v>
      </c>
      <c r="J5225">
        <v>-190.8965</v>
      </c>
      <c r="K5225">
        <v>1.120404</v>
      </c>
      <c r="L5225">
        <v>188.55940000000001</v>
      </c>
      <c r="M5225">
        <v>7.3638259999999896E-4</v>
      </c>
      <c r="N5225">
        <v>-7.8413990000000006E-3</v>
      </c>
      <c r="O5225">
        <v>-0.99996910000000006</v>
      </c>
      <c r="P5225">
        <v>-2.1907889999999999E-2</v>
      </c>
      <c r="Q5225">
        <v>-3.9994090000000003E-2</v>
      </c>
      <c r="R5225">
        <v>-0.99895970000000001</v>
      </c>
      <c r="S5225">
        <v>-0.62886049999999905</v>
      </c>
      <c r="T5225">
        <v>-6.0719490000000001E-2</v>
      </c>
      <c r="U5225">
        <v>-2.9869080000000001</v>
      </c>
      <c r="V5225">
        <v>2.262811E-2</v>
      </c>
      <c r="W5225">
        <v>-3.2170589999999999E-2</v>
      </c>
      <c r="X5225">
        <v>0.99922619999999895</v>
      </c>
      <c r="Y5225">
        <v>0.20670569999999999</v>
      </c>
      <c r="Z5225">
        <v>1.204594E-2</v>
      </c>
      <c r="AA5225">
        <v>0.978329</v>
      </c>
      <c r="AB5225">
        <v>19</v>
      </c>
      <c r="AC5225">
        <v>-11.6039999999999</v>
      </c>
      <c r="AD5225">
        <v>-1.1204106584819999</v>
      </c>
      <c r="AE5225">
        <v>-54.9848</v>
      </c>
      <c r="AF5225">
        <v>11.6398610158276</v>
      </c>
      <c r="AG5225">
        <v>-1.1204106584819999</v>
      </c>
      <c r="AH5225">
        <v>54.954395080721</v>
      </c>
      <c r="AI5225">
        <v>91.142641844898407</v>
      </c>
      <c r="AJ5225">
        <v>78.040961343848295</v>
      </c>
      <c r="AK5225">
        <v>56.184759705808098</v>
      </c>
      <c r="AL5225">
        <v>91.843557143237206</v>
      </c>
      <c r="AM5225">
        <v>88.702722522083903</v>
      </c>
      <c r="AN5225">
        <v>0.999999988494779</v>
      </c>
    </row>
    <row r="5226" spans="1:40" x14ac:dyDescent="0.25">
      <c r="A5226" t="str">
        <f>"20190303153913658"</f>
        <v>20190303153913658</v>
      </c>
      <c r="B5226" t="str">
        <f>"1551598753654243"</f>
        <v>1551598753654243</v>
      </c>
      <c r="C5226" t="s">
        <v>40</v>
      </c>
      <c r="D5226">
        <v>4.5847089999999904</v>
      </c>
      <c r="E5226">
        <v>0.570999699999999</v>
      </c>
      <c r="F5226" t="s">
        <v>68</v>
      </c>
      <c r="G5226">
        <v>-202.32419999999999</v>
      </c>
      <c r="H5226" s="1">
        <v>-6.983305E-6</v>
      </c>
      <c r="I5226">
        <v>134.36949999999999</v>
      </c>
      <c r="J5226">
        <v>-190.89660000000001</v>
      </c>
      <c r="K5226">
        <v>1.1203909999999999</v>
      </c>
      <c r="L5226">
        <v>188.45349999999999</v>
      </c>
      <c r="M5226">
        <v>5.422542E-4</v>
      </c>
      <c r="N5226">
        <v>-7.7268739999999999E-3</v>
      </c>
      <c r="O5226">
        <v>-0.99997009999999997</v>
      </c>
      <c r="P5226">
        <v>-2.2257269999999999E-2</v>
      </c>
      <c r="Q5226">
        <v>-4.0333229999999998E-2</v>
      </c>
      <c r="R5226">
        <v>-0.99893829999999995</v>
      </c>
      <c r="S5226">
        <v>-0.62986759999999997</v>
      </c>
      <c r="T5226">
        <v>-6.175435E-2</v>
      </c>
      <c r="U5226">
        <v>-2.9868160000000001</v>
      </c>
      <c r="V5226">
        <v>2.278324E-2</v>
      </c>
      <c r="W5226">
        <v>-3.2624420000000001E-2</v>
      </c>
      <c r="X5226">
        <v>0.99920799999999999</v>
      </c>
      <c r="Y5226">
        <v>0.20683670000000001</v>
      </c>
      <c r="Z5226">
        <v>1.2499100000000001E-2</v>
      </c>
      <c r="AA5226">
        <v>0.97829560000000004</v>
      </c>
      <c r="AB5226">
        <v>19</v>
      </c>
      <c r="AC5226">
        <v>-11.427599999999901</v>
      </c>
      <c r="AD5226">
        <v>-1.120397983305</v>
      </c>
      <c r="AE5226">
        <v>-54.083999999999897</v>
      </c>
      <c r="AF5226">
        <v>11.4522218104891</v>
      </c>
      <c r="AG5226">
        <v>-1.120397983305</v>
      </c>
      <c r="AH5226">
        <v>54.0555887608663</v>
      </c>
      <c r="AI5226">
        <v>91.161610839040094</v>
      </c>
      <c r="AJ5226">
        <v>78.038185401464702</v>
      </c>
      <c r="AK5226">
        <v>55.266765350629498</v>
      </c>
      <c r="AL5226">
        <v>91.869573270293401</v>
      </c>
      <c r="AM5226">
        <v>88.693808152501603</v>
      </c>
      <c r="AN5226">
        <v>1.00000002803461</v>
      </c>
    </row>
    <row r="5227" spans="1:40" x14ac:dyDescent="0.25">
      <c r="A5227" t="str">
        <f>"20190303153913669"</f>
        <v>20190303153913669</v>
      </c>
      <c r="B5227" t="str">
        <f>"1551598753664002"</f>
        <v>1551598753664002</v>
      </c>
      <c r="C5227" t="s">
        <v>40</v>
      </c>
      <c r="D5227">
        <v>4.619021</v>
      </c>
      <c r="E5227">
        <v>0.57098380000000004</v>
      </c>
      <c r="F5227" t="s">
        <v>68</v>
      </c>
      <c r="G5227">
        <v>-202.21369999999999</v>
      </c>
      <c r="H5227" s="1">
        <v>-7.2185929999999998E-6</v>
      </c>
      <c r="I5227">
        <v>134.99979999999999</v>
      </c>
      <c r="J5227">
        <v>-190.89670000000001</v>
      </c>
      <c r="K5227">
        <v>1.1203780000000001</v>
      </c>
      <c r="L5227">
        <v>188.35169999999999</v>
      </c>
      <c r="M5227">
        <v>3.5545610000000001E-4</v>
      </c>
      <c r="N5227">
        <v>-7.6199419999999898E-3</v>
      </c>
      <c r="O5227">
        <v>-0.99997100000000005</v>
      </c>
      <c r="P5227">
        <v>-2.2921179999999999E-2</v>
      </c>
      <c r="Q5227">
        <v>-4.0590309999999998E-2</v>
      </c>
      <c r="R5227">
        <v>-0.9989131</v>
      </c>
      <c r="S5227">
        <v>-0.63230900000000001</v>
      </c>
      <c r="T5227">
        <v>-6.2599299999999997E-2</v>
      </c>
      <c r="U5227">
        <v>-2.9865879999999998</v>
      </c>
      <c r="V5227">
        <v>2.3260280000000001E-2</v>
      </c>
      <c r="W5227">
        <v>-3.298881E-2</v>
      </c>
      <c r="X5227">
        <v>0.99918499999999999</v>
      </c>
      <c r="Y5227">
        <v>0.2074336</v>
      </c>
      <c r="Z5227">
        <v>1.288135E-2</v>
      </c>
      <c r="AA5227">
        <v>0.97816429999999999</v>
      </c>
      <c r="AB5227">
        <v>19</v>
      </c>
      <c r="AC5227">
        <v>-11.316999999999901</v>
      </c>
      <c r="AD5227">
        <v>-1.1203852185930001</v>
      </c>
      <c r="AE5227">
        <v>-53.351900000000001</v>
      </c>
      <c r="AF5227">
        <v>11.331182241172099</v>
      </c>
      <c r="AG5227">
        <v>-1.1203852185930001</v>
      </c>
      <c r="AH5227">
        <v>53.325370077019699</v>
      </c>
      <c r="AI5227">
        <v>91.1773487887138</v>
      </c>
      <c r="AJ5227">
        <v>78.003572457963102</v>
      </c>
      <c r="AK5227">
        <v>54.527479749863801</v>
      </c>
      <c r="AL5227">
        <v>91.890462607981306</v>
      </c>
      <c r="AM5227">
        <v>88.666437937773594</v>
      </c>
      <c r="AN5227">
        <v>0.99999998321794703</v>
      </c>
    </row>
    <row r="5228" spans="1:40" x14ac:dyDescent="0.25">
      <c r="A5228" t="str">
        <f>"20190303153913682"</f>
        <v>20190303153913682</v>
      </c>
      <c r="B5228" t="str">
        <f>"1551598753673764"</f>
        <v>1551598753673764</v>
      </c>
      <c r="C5228" t="s">
        <v>40</v>
      </c>
      <c r="D5228">
        <v>4.7401819999999999</v>
      </c>
      <c r="E5228">
        <v>0.57098380000000004</v>
      </c>
      <c r="F5228" t="s">
        <v>68</v>
      </c>
      <c r="G5228">
        <v>-202.02590000000001</v>
      </c>
      <c r="H5228" s="1">
        <v>-7.5782219999999999E-6</v>
      </c>
      <c r="I5228">
        <v>135.9401</v>
      </c>
      <c r="J5228">
        <v>-190.89699999999999</v>
      </c>
      <c r="K5228">
        <v>1.1203719999999999</v>
      </c>
      <c r="L5228">
        <v>188.24299999999999</v>
      </c>
      <c r="M5228">
        <v>1.5589919999999999E-4</v>
      </c>
      <c r="N5228">
        <v>-7.5162509999999998E-3</v>
      </c>
      <c r="O5228">
        <v>-0.99997170000000002</v>
      </c>
      <c r="P5228">
        <v>-2.3210410000000001E-2</v>
      </c>
      <c r="Q5228">
        <v>-4.0801940000000002E-2</v>
      </c>
      <c r="R5228">
        <v>-0.99889760000000005</v>
      </c>
      <c r="S5228">
        <v>-0.63407899999999995</v>
      </c>
      <c r="T5228">
        <v>-6.3833479999999998E-2</v>
      </c>
      <c r="U5228">
        <v>-2.9861300000000002</v>
      </c>
      <c r="V5228">
        <v>2.334992E-2</v>
      </c>
      <c r="W5228">
        <v>-3.3304239999999999E-2</v>
      </c>
      <c r="X5228">
        <v>0.99917239999999996</v>
      </c>
      <c r="Y5228">
        <v>0.20782220000000001</v>
      </c>
      <c r="Z5228">
        <v>1.3390239999999999E-2</v>
      </c>
      <c r="AA5228">
        <v>0.97807500000000003</v>
      </c>
      <c r="AB5228">
        <v>19</v>
      </c>
      <c r="AC5228">
        <v>-11.1288999999999</v>
      </c>
      <c r="AD5228">
        <v>-1.1203795782220001</v>
      </c>
      <c r="AE5228">
        <v>-52.302900000000001</v>
      </c>
      <c r="AF5228">
        <v>11.1321672344838</v>
      </c>
      <c r="AG5228">
        <v>-1.1203795782220001</v>
      </c>
      <c r="AH5228">
        <v>52.278215038595697</v>
      </c>
      <c r="AI5228">
        <v>91.200808899884606</v>
      </c>
      <c r="AJ5228">
        <v>77.978935657573004</v>
      </c>
      <c r="AK5228">
        <v>53.462062861036898</v>
      </c>
      <c r="AL5228">
        <v>91.908545438755098</v>
      </c>
      <c r="AM5228">
        <v>88.661283674222801</v>
      </c>
      <c r="AN5228">
        <v>0.99999993804387</v>
      </c>
    </row>
    <row r="5229" spans="1:40" x14ac:dyDescent="0.25">
      <c r="A5229" t="str">
        <f>"20190303153913695"</f>
        <v>20190303153913695</v>
      </c>
      <c r="B5229" t="str">
        <f>"1551598753683523"</f>
        <v>1551598753683523</v>
      </c>
      <c r="C5229" t="s">
        <v>40</v>
      </c>
      <c r="D5229">
        <v>4.6070580000000003</v>
      </c>
      <c r="E5229">
        <v>0.53952219999999995</v>
      </c>
      <c r="F5229" t="s">
        <v>68</v>
      </c>
      <c r="G5229">
        <v>-201.93119999999999</v>
      </c>
      <c r="H5229" s="1">
        <v>-7.7441659999999998E-6</v>
      </c>
      <c r="I5229">
        <v>136.36410000000001</v>
      </c>
      <c r="J5229">
        <v>-190.8972</v>
      </c>
      <c r="K5229">
        <v>1.1203620000000001</v>
      </c>
      <c r="L5229">
        <v>188.1354</v>
      </c>
      <c r="M5229" s="1">
        <v>-4.1564479999999997E-5</v>
      </c>
      <c r="N5229">
        <v>-7.4184380000000003E-3</v>
      </c>
      <c r="O5229">
        <v>-0.99997250000000004</v>
      </c>
      <c r="P5229">
        <v>-2.388537E-2</v>
      </c>
      <c r="Q5229">
        <v>-4.1008299999999998E-2</v>
      </c>
      <c r="R5229">
        <v>-0.99887309999999996</v>
      </c>
      <c r="S5229">
        <v>-0.63508609999999999</v>
      </c>
      <c r="T5229">
        <v>-6.4484360000000004E-2</v>
      </c>
      <c r="U5229">
        <v>-2.9859309999999999</v>
      </c>
      <c r="V5229">
        <v>2.382737E-2</v>
      </c>
      <c r="W5229">
        <v>-3.3608779999999998E-2</v>
      </c>
      <c r="X5229">
        <v>0.99915100000000001</v>
      </c>
      <c r="Y5229">
        <v>0.20795720000000001</v>
      </c>
      <c r="Z5229">
        <v>1.3701629999999999E-2</v>
      </c>
      <c r="AA5229">
        <v>0.97804190000000002</v>
      </c>
      <c r="AB5229">
        <v>19</v>
      </c>
      <c r="AC5229">
        <v>-11.033999999999899</v>
      </c>
      <c r="AD5229">
        <v>-1.1203697441660001</v>
      </c>
      <c r="AE5229">
        <v>-51.771299999999997</v>
      </c>
      <c r="AF5229">
        <v>11.0269083247439</v>
      </c>
      <c r="AG5229">
        <v>-1.1203697441660001</v>
      </c>
      <c r="AH5229">
        <v>51.748576615008098</v>
      </c>
      <c r="AI5229">
        <v>91.213048766087795</v>
      </c>
      <c r="AJ5229">
        <v>77.970968040589199</v>
      </c>
      <c r="AK5229">
        <v>52.922236510235599</v>
      </c>
      <c r="AL5229">
        <v>91.926003937090996</v>
      </c>
      <c r="AM5229">
        <v>88.633891149308496</v>
      </c>
      <c r="AN5229">
        <v>1.0000000072276001</v>
      </c>
    </row>
    <row r="5230" spans="1:40" x14ac:dyDescent="0.25">
      <c r="A5230" t="str">
        <f>"20190303153913708"</f>
        <v>20190303153913708</v>
      </c>
      <c r="B5230" t="str">
        <f>"1551598753704019"</f>
        <v>1551598753704019</v>
      </c>
      <c r="C5230" t="s">
        <v>40</v>
      </c>
      <c r="D5230">
        <v>4.5955079999999997</v>
      </c>
      <c r="E5230">
        <v>0.52666610000000003</v>
      </c>
      <c r="F5230" t="s">
        <v>42</v>
      </c>
      <c r="G5230">
        <v>-194.00389999999999</v>
      </c>
      <c r="H5230" s="1">
        <v>-3.2176060000000001E-6</v>
      </c>
      <c r="I5230">
        <v>164.1447</v>
      </c>
      <c r="J5230">
        <v>-190.8974</v>
      </c>
      <c r="K5230">
        <v>1.1203510000000001</v>
      </c>
      <c r="L5230">
        <v>188.01070000000001</v>
      </c>
      <c r="M5230">
        <v>-2.7050039999999999E-4</v>
      </c>
      <c r="N5230">
        <v>-7.3123090000000003E-3</v>
      </c>
      <c r="O5230">
        <v>-0.99997340000000001</v>
      </c>
      <c r="P5230">
        <v>-2.430657E-2</v>
      </c>
      <c r="Q5230">
        <v>-4.0712119999999997E-2</v>
      </c>
      <c r="R5230">
        <v>-0.99887539999999997</v>
      </c>
      <c r="S5230">
        <v>-0.38699339999999999</v>
      </c>
      <c r="T5230">
        <v>-0.13955719999999999</v>
      </c>
      <c r="U5230">
        <v>-2.988388</v>
      </c>
      <c r="V5230">
        <v>2.4019849999999999E-2</v>
      </c>
      <c r="W5230">
        <v>-3.3418780000000002E-2</v>
      </c>
      <c r="X5230">
        <v>0.99915279999999995</v>
      </c>
      <c r="Y5230">
        <v>0.12803589999999901</v>
      </c>
      <c r="Z5230">
        <v>3.895879E-2</v>
      </c>
      <c r="AA5230">
        <v>0.991004</v>
      </c>
      <c r="AB5230">
        <v>20</v>
      </c>
      <c r="AC5230">
        <v>-3.1064999999999801</v>
      </c>
      <c r="AD5230">
        <v>-1.120354217606</v>
      </c>
      <c r="AE5230">
        <v>-23.866</v>
      </c>
      <c r="AF5230">
        <v>3.0933407442474601</v>
      </c>
      <c r="AG5230">
        <v>-1.120354217606</v>
      </c>
      <c r="AH5230">
        <v>23.8152323224033</v>
      </c>
      <c r="AI5230">
        <v>92.6710094442561</v>
      </c>
      <c r="AJ5230">
        <v>82.599332554759798</v>
      </c>
      <c r="AK5230">
        <v>24.0414068037412</v>
      </c>
      <c r="AL5230">
        <v>91.915111552005996</v>
      </c>
      <c r="AM5230">
        <v>88.622862291125699</v>
      </c>
      <c r="AN5230">
        <v>1.0000000428992699</v>
      </c>
    </row>
    <row r="5231" spans="1:40" x14ac:dyDescent="0.25">
      <c r="A5231" t="str">
        <f>"20190303153913725"</f>
        <v>20190303153913725</v>
      </c>
      <c r="B5231" t="str">
        <f>"1551598753713779"</f>
        <v>1551598753713779</v>
      </c>
      <c r="C5231" t="s">
        <v>40</v>
      </c>
      <c r="D5231">
        <v>4.6460030000000003</v>
      </c>
      <c r="E5231">
        <v>0.52290879999999995</v>
      </c>
      <c r="F5231" t="s">
        <v>42</v>
      </c>
      <c r="G5231">
        <v>-193.2029</v>
      </c>
      <c r="H5231" s="1">
        <v>-2.8791340000000002E-6</v>
      </c>
      <c r="I5231">
        <v>163.87950000000001</v>
      </c>
      <c r="J5231">
        <v>-190.89779999999999</v>
      </c>
      <c r="K5231">
        <v>1.120341</v>
      </c>
      <c r="L5231">
        <v>187.8657</v>
      </c>
      <c r="M5231">
        <v>-5.3707590000000001E-4</v>
      </c>
      <c r="N5231">
        <v>-7.202445E-3</v>
      </c>
      <c r="O5231">
        <v>-0.99997409999999998</v>
      </c>
      <c r="P5231">
        <v>-2.5241670000000001E-2</v>
      </c>
      <c r="Q5231">
        <v>-4.0873609999999998E-2</v>
      </c>
      <c r="R5231">
        <v>-0.9988456</v>
      </c>
      <c r="S5231">
        <v>-0.28573609999999999</v>
      </c>
      <c r="T5231">
        <v>-0.13885430000000001</v>
      </c>
      <c r="U5231">
        <v>-2.9907680000000001</v>
      </c>
      <c r="V5231">
        <v>2.4688410000000001E-2</v>
      </c>
      <c r="W5231">
        <v>-3.3690629999999999E-2</v>
      </c>
      <c r="X5231">
        <v>0.99912730000000005</v>
      </c>
      <c r="Y5231">
        <v>9.4481209999999996E-2</v>
      </c>
      <c r="Z5231">
        <v>3.8973300000000002E-2</v>
      </c>
      <c r="AA5231">
        <v>0.99476350000000002</v>
      </c>
      <c r="AB5231">
        <v>20</v>
      </c>
      <c r="AC5231">
        <v>-2.3050999999999999</v>
      </c>
      <c r="AD5231">
        <v>-1.1203438791339999</v>
      </c>
      <c r="AE5231">
        <v>-23.9862</v>
      </c>
      <c r="AF5231">
        <v>2.2872726209467902</v>
      </c>
      <c r="AG5231">
        <v>-1.1203438791339999</v>
      </c>
      <c r="AH5231">
        <v>23.935693763679801</v>
      </c>
      <c r="AI5231">
        <v>92.667718975270006</v>
      </c>
      <c r="AJ5231">
        <v>84.541443365761396</v>
      </c>
      <c r="AK5231">
        <v>24.070816820347101</v>
      </c>
      <c r="AL5231">
        <v>91.930696328006903</v>
      </c>
      <c r="AM5231">
        <v>88.584510799553399</v>
      </c>
      <c r="AN5231">
        <v>0.99999996887170695</v>
      </c>
    </row>
    <row r="5232" spans="1:40" x14ac:dyDescent="0.25">
      <c r="A5232" t="str">
        <f>"20190303153913740"</f>
        <v>20190303153913740</v>
      </c>
      <c r="B5232" t="str">
        <f>"1551598753734276"</f>
        <v>1551598753734276</v>
      </c>
      <c r="C5232" t="s">
        <v>40</v>
      </c>
      <c r="D5232">
        <v>4.6082970000000003</v>
      </c>
      <c r="E5232">
        <v>0.518571</v>
      </c>
      <c r="F5232" t="s">
        <v>42</v>
      </c>
      <c r="G5232">
        <v>-193.11199999999999</v>
      </c>
      <c r="H5232" s="1">
        <v>-2.0795650000000001E-6</v>
      </c>
      <c r="I5232">
        <v>162.23920000000001</v>
      </c>
      <c r="J5232">
        <v>-190.8981</v>
      </c>
      <c r="K5232">
        <v>1.1203339999999999</v>
      </c>
      <c r="L5232">
        <v>187.73589999999999</v>
      </c>
      <c r="M5232">
        <v>-7.7557590000000001E-4</v>
      </c>
      <c r="N5232">
        <v>-7.1125310000000001E-3</v>
      </c>
      <c r="O5232">
        <v>-0.99997440000000004</v>
      </c>
      <c r="P5232">
        <v>-2.547895E-2</v>
      </c>
      <c r="Q5232">
        <v>-4.0532749999999999E-2</v>
      </c>
      <c r="R5232">
        <v>-0.99885330000000006</v>
      </c>
      <c r="S5232">
        <v>-0.25848389999999999</v>
      </c>
      <c r="T5232">
        <v>-0.1307855</v>
      </c>
      <c r="U5232">
        <v>-2.9915620000000001</v>
      </c>
      <c r="V5232">
        <v>2.4687460000000001E-2</v>
      </c>
      <c r="W5232">
        <v>-3.3439620000000003E-2</v>
      </c>
      <c r="X5232">
        <v>0.99913580000000002</v>
      </c>
      <c r="Y5232">
        <v>8.5238430000000004E-2</v>
      </c>
      <c r="Z5232">
        <v>3.6409370000000003E-2</v>
      </c>
      <c r="AA5232">
        <v>0.99569510000000006</v>
      </c>
      <c r="AB5232">
        <v>20</v>
      </c>
      <c r="AC5232">
        <v>-2.21389999999999</v>
      </c>
      <c r="AD5232">
        <v>-1.1203360795649999</v>
      </c>
      <c r="AE5232">
        <v>-25.496699999999901</v>
      </c>
      <c r="AF5232">
        <v>2.1899276197647</v>
      </c>
      <c r="AG5232">
        <v>-1.1203360795649999</v>
      </c>
      <c r="AH5232">
        <v>25.4496399319261</v>
      </c>
      <c r="AI5232">
        <v>92.511360853302904</v>
      </c>
      <c r="AJ5232">
        <v>85.081844423941803</v>
      </c>
      <c r="AK5232">
        <v>25.568244143383598</v>
      </c>
      <c r="AL5232">
        <v>91.916306321335298</v>
      </c>
      <c r="AM5232">
        <v>88.584577281548505</v>
      </c>
      <c r="AN5232">
        <v>1.0000000128543101</v>
      </c>
    </row>
    <row r="5233" spans="1:40" x14ac:dyDescent="0.25">
      <c r="A5233" t="str">
        <f>"20190303153913753"</f>
        <v>20190303153913753</v>
      </c>
      <c r="B5233" t="str">
        <f>"1551598753744035"</f>
        <v>1551598753744035</v>
      </c>
      <c r="C5233" t="s">
        <v>40</v>
      </c>
      <c r="D5233">
        <v>4.6353070000000001</v>
      </c>
      <c r="E5233">
        <v>0.5168083</v>
      </c>
      <c r="F5233" t="s">
        <v>68</v>
      </c>
      <c r="G5233">
        <v>-193.06530000000001</v>
      </c>
      <c r="H5233" s="1">
        <v>-1.4779759999999999E-5</v>
      </c>
      <c r="I5233">
        <v>158.8304</v>
      </c>
      <c r="J5233">
        <v>-190.89850000000001</v>
      </c>
      <c r="K5233">
        <v>1.1203320000000001</v>
      </c>
      <c r="L5233">
        <v>187.6165</v>
      </c>
      <c r="M5233">
        <v>-9.9513589999999995E-4</v>
      </c>
      <c r="N5233">
        <v>-7.0344680000000003E-3</v>
      </c>
      <c r="O5233">
        <v>-0.99997480000000005</v>
      </c>
      <c r="P5233">
        <v>-2.5925819999999999E-2</v>
      </c>
      <c r="Q5233">
        <v>-4.0158270000000003E-2</v>
      </c>
      <c r="R5233">
        <v>-0.99885729999999995</v>
      </c>
      <c r="S5233">
        <v>-0.22439580000000001</v>
      </c>
      <c r="T5233">
        <v>-0.1160061</v>
      </c>
      <c r="U5233">
        <v>-2.9930110000000001</v>
      </c>
      <c r="V5233">
        <v>2.4915039999999999E-2</v>
      </c>
      <c r="W5233">
        <v>-3.3143270000000002E-2</v>
      </c>
      <c r="X5233">
        <v>0.99914000000000003</v>
      </c>
      <c r="Y5233">
        <v>7.3721850000000005E-2</v>
      </c>
      <c r="Z5233">
        <v>3.159319E-2</v>
      </c>
      <c r="AA5233">
        <v>0.99677830000000001</v>
      </c>
      <c r="AB5233">
        <v>20</v>
      </c>
      <c r="AC5233">
        <v>-2.1667999999999901</v>
      </c>
      <c r="AD5233">
        <v>-1.12034677976</v>
      </c>
      <c r="AE5233">
        <v>-28.786100000000001</v>
      </c>
      <c r="AF5233">
        <v>2.13493647505488</v>
      </c>
      <c r="AG5233">
        <v>-1.12034677976</v>
      </c>
      <c r="AH5233">
        <v>28.7449461331016</v>
      </c>
      <c r="AI5233">
        <v>92.225873545891005</v>
      </c>
      <c r="AJ5233">
        <v>85.752343113625301</v>
      </c>
      <c r="AK5233">
        <v>28.845884608629198</v>
      </c>
      <c r="AL5233">
        <v>91.899317348001205</v>
      </c>
      <c r="AM5233">
        <v>88.571540668383307</v>
      </c>
      <c r="AN5233">
        <v>0.99999998758224695</v>
      </c>
    </row>
    <row r="5234" spans="1:40" x14ac:dyDescent="0.25">
      <c r="A5234" t="str">
        <f>"20190303153913764"</f>
        <v>20190303153913764</v>
      </c>
      <c r="B5234" t="str">
        <f>"1551598753753795"</f>
        <v>1551598753753795</v>
      </c>
      <c r="C5234" t="s">
        <v>40</v>
      </c>
      <c r="D5234">
        <v>4.6145630000000004</v>
      </c>
      <c r="E5234">
        <v>0.5156946</v>
      </c>
      <c r="F5234" t="s">
        <v>68</v>
      </c>
      <c r="G5234">
        <v>-192.96549999999999</v>
      </c>
      <c r="H5234" s="1">
        <v>-1.467319E-5</v>
      </c>
      <c r="I5234">
        <v>158.40690000000001</v>
      </c>
      <c r="J5234">
        <v>-190.89879999999999</v>
      </c>
      <c r="K5234">
        <v>1.120325</v>
      </c>
      <c r="L5234">
        <v>187.50899999999999</v>
      </c>
      <c r="M5234">
        <v>-1.192533E-3</v>
      </c>
      <c r="N5234">
        <v>-6.9681999999999999E-3</v>
      </c>
      <c r="O5234">
        <v>-0.99997480000000005</v>
      </c>
      <c r="P5234">
        <v>-2.6211459999999999E-2</v>
      </c>
      <c r="Q5234">
        <v>-4.0045600000000001E-2</v>
      </c>
      <c r="R5234">
        <v>-0.99885400000000002</v>
      </c>
      <c r="S5234">
        <v>-0.2118225</v>
      </c>
      <c r="T5234">
        <v>-0.1148107</v>
      </c>
      <c r="U5234">
        <v>-2.9933320000000001</v>
      </c>
      <c r="V5234">
        <v>2.500343E-2</v>
      </c>
      <c r="W5234">
        <v>-3.3096920000000002E-2</v>
      </c>
      <c r="X5234">
        <v>0.99913940000000001</v>
      </c>
      <c r="Y5234">
        <v>6.9353199999999907E-2</v>
      </c>
      <c r="Z5234">
        <v>3.1269669999999999E-2</v>
      </c>
      <c r="AA5234">
        <v>0.99710200000000004</v>
      </c>
      <c r="AB5234">
        <v>20</v>
      </c>
      <c r="AC5234">
        <v>-2.0666999999999902</v>
      </c>
      <c r="AD5234">
        <v>-1.1203396731899999</v>
      </c>
      <c r="AE5234">
        <v>-29.1021</v>
      </c>
      <c r="AF5234">
        <v>2.0290005580025201</v>
      </c>
      <c r="AG5234">
        <v>-1.1203396731899999</v>
      </c>
      <c r="AH5234">
        <v>29.061690412790199</v>
      </c>
      <c r="AI5234">
        <v>92.202326081324799</v>
      </c>
      <c r="AJ5234">
        <v>86.006260176047405</v>
      </c>
      <c r="AK5234">
        <v>29.153968064339999</v>
      </c>
      <c r="AL5234">
        <v>91.896660095088507</v>
      </c>
      <c r="AM5234">
        <v>88.566474235929206</v>
      </c>
      <c r="AN5234">
        <v>1.0000000591288001</v>
      </c>
    </row>
    <row r="5235" spans="1:40" x14ac:dyDescent="0.25">
      <c r="A5235" t="str">
        <f>"20190303153913782"</f>
        <v>20190303153913782</v>
      </c>
      <c r="B5235" t="str">
        <f>"1551598753774294"</f>
        <v>1551598753774294</v>
      </c>
      <c r="C5235" t="s">
        <v>40</v>
      </c>
      <c r="D5235">
        <v>4.617343</v>
      </c>
      <c r="E5235">
        <v>0.51370020000000005</v>
      </c>
      <c r="F5235" t="s">
        <v>68</v>
      </c>
      <c r="G5235">
        <v>-192.8023</v>
      </c>
      <c r="H5235" s="1">
        <v>-1.495907E-5</v>
      </c>
      <c r="I5235">
        <v>159.54310000000001</v>
      </c>
      <c r="J5235">
        <v>-190.89930000000001</v>
      </c>
      <c r="K5235">
        <v>1.120317</v>
      </c>
      <c r="L5235">
        <v>187.36859999999999</v>
      </c>
      <c r="M5235">
        <v>-1.4507329999999901E-3</v>
      </c>
      <c r="N5235">
        <v>-6.8862089999999999E-3</v>
      </c>
      <c r="O5235">
        <v>-0.99997559999999996</v>
      </c>
      <c r="P5235">
        <v>-2.6687590000000001E-2</v>
      </c>
      <c r="Q5235">
        <v>-4.0580850000000002E-2</v>
      </c>
      <c r="R5235">
        <v>-0.99882040000000005</v>
      </c>
      <c r="S5235">
        <v>-0.20373540000000001</v>
      </c>
      <c r="T5235">
        <v>-0.1199136</v>
      </c>
      <c r="U5235">
        <v>-2.9932859999999999</v>
      </c>
      <c r="V5235">
        <v>2.5221259999999999E-2</v>
      </c>
      <c r="W5235">
        <v>-3.371445E-2</v>
      </c>
      <c r="X5235">
        <v>0.99911320000000003</v>
      </c>
      <c r="Y5235">
        <v>6.6411680000000001E-2</v>
      </c>
      <c r="Z5235">
        <v>3.3057059999999999E-2</v>
      </c>
      <c r="AA5235">
        <v>0.99724449999999998</v>
      </c>
      <c r="AB5235">
        <v>20</v>
      </c>
      <c r="AC5235">
        <v>-1.90299999999999</v>
      </c>
      <c r="AD5235">
        <v>-1.12033195907</v>
      </c>
      <c r="AE5235">
        <v>-27.825499999999899</v>
      </c>
      <c r="AF5235">
        <v>1.8596290896341401</v>
      </c>
      <c r="AG5235">
        <v>-1.12033195907</v>
      </c>
      <c r="AH5235">
        <v>27.783401774213502</v>
      </c>
      <c r="AI5235">
        <v>92.303982138828303</v>
      </c>
      <c r="AJ5235">
        <v>86.170727721444194</v>
      </c>
      <c r="AK5235">
        <v>27.868096063364199</v>
      </c>
      <c r="AL5235">
        <v>91.932061865348501</v>
      </c>
      <c r="AM5235">
        <v>88.553952729280098</v>
      </c>
      <c r="AN5235">
        <v>0.99999998125451395</v>
      </c>
    </row>
    <row r="5236" spans="1:40" x14ac:dyDescent="0.25">
      <c r="A5236" t="str">
        <f>"20190303153913793"</f>
        <v>20190303153913793</v>
      </c>
      <c r="B5236" t="str">
        <f>"1551598753784051"</f>
        <v>1551598753784051</v>
      </c>
      <c r="C5236" t="s">
        <v>40</v>
      </c>
      <c r="D5236">
        <v>4.6007150000000001</v>
      </c>
      <c r="E5236">
        <v>0.51305879999999904</v>
      </c>
      <c r="F5236" t="s">
        <v>42</v>
      </c>
      <c r="G5236">
        <v>-192.6019</v>
      </c>
      <c r="H5236" s="1">
        <v>-1.091185E-6</v>
      </c>
      <c r="I5236">
        <v>160.43539999999999</v>
      </c>
      <c r="J5236">
        <v>-190.89959999999999</v>
      </c>
      <c r="K5236">
        <v>1.1203069999999999</v>
      </c>
      <c r="L5236">
        <v>187.2526</v>
      </c>
      <c r="M5236">
        <v>-1.663814E-3</v>
      </c>
      <c r="N5236">
        <v>-6.8211169999999998E-3</v>
      </c>
      <c r="O5236">
        <v>-0.99997559999999996</v>
      </c>
      <c r="P5236">
        <v>-2.7076940000000001E-2</v>
      </c>
      <c r="Q5236">
        <v>-4.0974049999999998E-2</v>
      </c>
      <c r="R5236">
        <v>-0.99879359999999995</v>
      </c>
      <c r="S5236">
        <v>-0.1892395</v>
      </c>
      <c r="T5236">
        <v>-0.1245145</v>
      </c>
      <c r="U5236">
        <v>-2.9934080000000001</v>
      </c>
      <c r="V5236">
        <v>2.5397469999999998E-2</v>
      </c>
      <c r="W5236">
        <v>-3.4172979999999999E-2</v>
      </c>
      <c r="X5236">
        <v>0.99909320000000001</v>
      </c>
      <c r="Y5236">
        <v>6.1384139999999997E-2</v>
      </c>
      <c r="Z5236">
        <v>3.4663840000000001E-2</v>
      </c>
      <c r="AA5236">
        <v>0.99751210000000001</v>
      </c>
      <c r="AB5236">
        <v>20</v>
      </c>
      <c r="AC5236">
        <v>-1.7022999999999999</v>
      </c>
      <c r="AD5236">
        <v>-1.1203080911850001</v>
      </c>
      <c r="AE5236">
        <v>-26.8172</v>
      </c>
      <c r="AF5236">
        <v>1.6548013956179899</v>
      </c>
      <c r="AG5236">
        <v>-1.1203080911850001</v>
      </c>
      <c r="AH5236">
        <v>26.773457429311598</v>
      </c>
      <c r="AI5236">
        <v>92.391527458045701</v>
      </c>
      <c r="AJ5236">
        <v>86.463188290406293</v>
      </c>
      <c r="AK5236">
        <v>26.847932519977601</v>
      </c>
      <c r="AL5236">
        <v>91.958348765721794</v>
      </c>
      <c r="AM5236">
        <v>88.543825022308795</v>
      </c>
      <c r="AN5236">
        <v>1.0000000231653601</v>
      </c>
    </row>
    <row r="5237" spans="1:40" x14ac:dyDescent="0.25">
      <c r="A5237" t="str">
        <f>"20190303153913805"</f>
        <v>20190303153913805</v>
      </c>
      <c r="B5237" t="str">
        <f>"1551598753793811"</f>
        <v>1551598753793811</v>
      </c>
      <c r="C5237" t="s">
        <v>40</v>
      </c>
      <c r="D5237">
        <v>4.654191</v>
      </c>
      <c r="E5237">
        <v>0.51239100000000004</v>
      </c>
      <c r="F5237" t="s">
        <v>42</v>
      </c>
      <c r="G5237">
        <v>-192.50880000000001</v>
      </c>
      <c r="H5237" s="1">
        <v>-1.4605499999999999E-6</v>
      </c>
      <c r="I5237">
        <v>161.26920000000001</v>
      </c>
      <c r="J5237">
        <v>-190.9</v>
      </c>
      <c r="K5237">
        <v>1.120301</v>
      </c>
      <c r="L5237">
        <v>187.15029999999999</v>
      </c>
      <c r="M5237">
        <v>-1.851711E-3</v>
      </c>
      <c r="N5237">
        <v>-6.7656969999999898E-3</v>
      </c>
      <c r="O5237">
        <v>-0.99997559999999996</v>
      </c>
      <c r="P5237">
        <v>-2.7291880000000001E-2</v>
      </c>
      <c r="Q5237">
        <v>-4.1358979999999997E-2</v>
      </c>
      <c r="R5237">
        <v>-0.99877169999999904</v>
      </c>
      <c r="S5237">
        <v>-0.18537899999999999</v>
      </c>
      <c r="T5237">
        <v>-0.1290607</v>
      </c>
      <c r="U5237">
        <v>-2.9933169999999998</v>
      </c>
      <c r="V5237">
        <v>2.5424450000000001E-2</v>
      </c>
      <c r="W5237">
        <v>-3.4613480000000002E-2</v>
      </c>
      <c r="X5237">
        <v>0.99907729999999995</v>
      </c>
      <c r="Y5237">
        <v>5.9913559999999998E-2</v>
      </c>
      <c r="Z5237">
        <v>3.6236360000000002E-2</v>
      </c>
      <c r="AA5237">
        <v>0.99754569999999998</v>
      </c>
      <c r="AB5237">
        <v>20</v>
      </c>
      <c r="AC5237">
        <v>-1.6088</v>
      </c>
      <c r="AD5237">
        <v>-1.12030246055</v>
      </c>
      <c r="AE5237">
        <v>-25.881099999999901</v>
      </c>
      <c r="AF5237">
        <v>1.5579638823725499</v>
      </c>
      <c r="AG5237">
        <v>-1.12030246055</v>
      </c>
      <c r="AH5237">
        <v>25.835811935739599</v>
      </c>
      <c r="AI5237">
        <v>92.478429747322906</v>
      </c>
      <c r="AJ5237">
        <v>86.549100517126107</v>
      </c>
      <c r="AK5237">
        <v>25.906977968122799</v>
      </c>
      <c r="AL5237">
        <v>91.983602595408598</v>
      </c>
      <c r="AM5237">
        <v>88.542255590222695</v>
      </c>
      <c r="AN5237">
        <v>0.99999997351540104</v>
      </c>
    </row>
    <row r="5238" spans="1:40" x14ac:dyDescent="0.25">
      <c r="A5238" t="str">
        <f>"20190303153913819"</f>
        <v>20190303153913819</v>
      </c>
      <c r="B5238" t="str">
        <f>"1551598753814307"</f>
        <v>1551598753814307</v>
      </c>
      <c r="C5238" t="s">
        <v>40</v>
      </c>
      <c r="D5238">
        <v>4.681171</v>
      </c>
      <c r="E5238">
        <v>0.51142349999999903</v>
      </c>
      <c r="F5238" t="s">
        <v>42</v>
      </c>
      <c r="G5238">
        <v>-192.47710000000001</v>
      </c>
      <c r="H5238" s="1">
        <v>-1.3339709999999999E-6</v>
      </c>
      <c r="I5238">
        <v>161.01929999999999</v>
      </c>
      <c r="J5238">
        <v>-190.90049999999999</v>
      </c>
      <c r="K5238">
        <v>1.120295</v>
      </c>
      <c r="L5238">
        <v>187.03460000000001</v>
      </c>
      <c r="M5238">
        <v>-2.0640279999999999E-3</v>
      </c>
      <c r="N5238">
        <v>-6.7025219999999998E-3</v>
      </c>
      <c r="O5238">
        <v>-0.99997559999999996</v>
      </c>
      <c r="P5238">
        <v>-2.7587179999999999E-2</v>
      </c>
      <c r="Q5238">
        <v>-4.1802209999999999E-2</v>
      </c>
      <c r="R5238">
        <v>-0.99874529999999995</v>
      </c>
      <c r="S5238">
        <v>-0.18066409999999999</v>
      </c>
      <c r="T5238">
        <v>-0.12833620000000001</v>
      </c>
      <c r="U5238">
        <v>-2.993439</v>
      </c>
      <c r="V5238">
        <v>2.5507370000000001E-2</v>
      </c>
      <c r="W5238">
        <v>-3.5120060000000002E-2</v>
      </c>
      <c r="X5238">
        <v>0.99905750000000004</v>
      </c>
      <c r="Y5238">
        <v>5.8134459999999999E-2</v>
      </c>
      <c r="Z5238">
        <v>3.6061040000000003E-2</v>
      </c>
      <c r="AA5238">
        <v>0.99765720000000002</v>
      </c>
      <c r="AB5238">
        <v>20</v>
      </c>
      <c r="AC5238">
        <v>-1.57660000000001</v>
      </c>
      <c r="AD5238">
        <v>-1.1202963339709999</v>
      </c>
      <c r="AE5238">
        <v>-26.0153</v>
      </c>
      <c r="AF5238">
        <v>1.5200905664231401</v>
      </c>
      <c r="AG5238">
        <v>-1.1202963339709999</v>
      </c>
      <c r="AH5238">
        <v>25.970514784409701</v>
      </c>
      <c r="AI5238">
        <v>92.465835405145398</v>
      </c>
      <c r="AJ5238">
        <v>86.650219737375295</v>
      </c>
      <c r="AK5238">
        <v>26.039074049844402</v>
      </c>
      <c r="AL5238">
        <v>92.012645165522102</v>
      </c>
      <c r="AM5238">
        <v>88.537474351859203</v>
      </c>
      <c r="AN5238">
        <v>0.99999996642248401</v>
      </c>
    </row>
    <row r="5239" spans="1:40" x14ac:dyDescent="0.25">
      <c r="A5239" t="str">
        <f>"20190303153913831"</f>
        <v>20190303153913831</v>
      </c>
      <c r="B5239" t="str">
        <f>"1551598753824067"</f>
        <v>1551598753824067</v>
      </c>
      <c r="C5239" t="s">
        <v>40</v>
      </c>
      <c r="D5239">
        <v>4.6562929999999998</v>
      </c>
      <c r="E5239">
        <v>0.51102320000000001</v>
      </c>
      <c r="F5239" t="s">
        <v>42</v>
      </c>
      <c r="G5239">
        <v>-192.43440000000001</v>
      </c>
      <c r="H5239" s="1">
        <v>-1.1274340000000001E-6</v>
      </c>
      <c r="I5239">
        <v>160.60640000000001</v>
      </c>
      <c r="J5239">
        <v>-190.90100000000001</v>
      </c>
      <c r="K5239">
        <v>1.120288</v>
      </c>
      <c r="L5239">
        <v>186.9117</v>
      </c>
      <c r="M5239">
        <v>-2.2896570000000001E-3</v>
      </c>
      <c r="N5239">
        <v>-6.633679E-3</v>
      </c>
      <c r="O5239">
        <v>-0.99997530000000001</v>
      </c>
      <c r="P5239">
        <v>-2.7806270000000001E-2</v>
      </c>
      <c r="Q5239">
        <v>-4.1874429999999997E-2</v>
      </c>
      <c r="R5239">
        <v>-0.99873579999999995</v>
      </c>
      <c r="S5239">
        <v>-0.17375179999999901</v>
      </c>
      <c r="T5239">
        <v>-0.12690209999999999</v>
      </c>
      <c r="U5239">
        <v>-2.993668</v>
      </c>
      <c r="V5239">
        <v>2.550094E-2</v>
      </c>
      <c r="W5239">
        <v>-3.5261170000000001E-2</v>
      </c>
      <c r="X5239">
        <v>0.99905270000000002</v>
      </c>
      <c r="Y5239">
        <v>5.5610399999999997E-2</v>
      </c>
      <c r="Z5239">
        <v>3.5655480000000003E-2</v>
      </c>
      <c r="AA5239">
        <v>0.99781569999999997</v>
      </c>
      <c r="AB5239">
        <v>20</v>
      </c>
      <c r="AC5239">
        <v>-1.5334000000000201</v>
      </c>
      <c r="AD5239">
        <v>-1.1202891274340001</v>
      </c>
      <c r="AE5239">
        <v>-26.3052999999999</v>
      </c>
      <c r="AF5239">
        <v>1.47050646006137</v>
      </c>
      <c r="AG5239">
        <v>-1.1202891274340001</v>
      </c>
      <c r="AH5239">
        <v>26.261272406736602</v>
      </c>
      <c r="AI5239">
        <v>92.438904412650004</v>
      </c>
      <c r="AJ5239">
        <v>86.795055489934597</v>
      </c>
      <c r="AK5239">
        <v>26.326258097172701</v>
      </c>
      <c r="AL5239">
        <v>92.020735171336995</v>
      </c>
      <c r="AM5239">
        <v>88.537835849157602</v>
      </c>
      <c r="AN5239">
        <v>0.99999997271397001</v>
      </c>
    </row>
    <row r="5240" spans="1:40" x14ac:dyDescent="0.25">
      <c r="A5240" t="str">
        <f>"20190303153913847"</f>
        <v>20190303153913847</v>
      </c>
      <c r="B5240" t="str">
        <f>"1551598753843587"</f>
        <v>1551598753843587</v>
      </c>
      <c r="C5240" t="s">
        <v>40</v>
      </c>
      <c r="D5240">
        <v>4.6756890000000002</v>
      </c>
      <c r="E5240">
        <v>0.51025699999999996</v>
      </c>
      <c r="F5240" t="s">
        <v>42</v>
      </c>
      <c r="G5240">
        <v>-192.4221</v>
      </c>
      <c r="H5240" s="1">
        <v>-9.9539990000000009E-7</v>
      </c>
      <c r="I5240">
        <v>160.334</v>
      </c>
      <c r="J5240">
        <v>-190.9016</v>
      </c>
      <c r="K5240">
        <v>1.1202890000000001</v>
      </c>
      <c r="L5240">
        <v>186.7722</v>
      </c>
      <c r="M5240">
        <v>-2.5456229999999999E-3</v>
      </c>
      <c r="N5240">
        <v>-6.5486549999999996E-3</v>
      </c>
      <c r="O5240">
        <v>-0.99997559999999996</v>
      </c>
      <c r="P5240">
        <v>-2.8123530000000001E-2</v>
      </c>
      <c r="Q5240">
        <v>-4.2348999999999998E-2</v>
      </c>
      <c r="R5240">
        <v>-0.99870720000000002</v>
      </c>
      <c r="S5240">
        <v>-0.17134089999999999</v>
      </c>
      <c r="T5240">
        <v>-0.1261902</v>
      </c>
      <c r="U5240">
        <v>-2.9937290000000001</v>
      </c>
      <c r="V5240">
        <v>2.556218E-2</v>
      </c>
      <c r="W5240">
        <v>-3.5820930000000001E-2</v>
      </c>
      <c r="X5240">
        <v>0.99903120000000001</v>
      </c>
      <c r="Y5240">
        <v>5.4553369999999997E-2</v>
      </c>
      <c r="Z5240">
        <v>3.5504929999999997E-2</v>
      </c>
      <c r="AA5240">
        <v>0.99787939999999997</v>
      </c>
      <c r="AB5240">
        <v>20</v>
      </c>
      <c r="AC5240">
        <v>-1.52049999999999</v>
      </c>
      <c r="AD5240">
        <v>-1.1202899953998999</v>
      </c>
      <c r="AE5240">
        <v>-26.438199999999899</v>
      </c>
      <c r="AF5240">
        <v>1.4505959302496201</v>
      </c>
      <c r="AG5240">
        <v>-1.1202899953998999</v>
      </c>
      <c r="AH5240">
        <v>26.394748223227001</v>
      </c>
      <c r="AI5240">
        <v>92.426726830796795</v>
      </c>
      <c r="AJ5240">
        <v>86.854317447078699</v>
      </c>
      <c r="AK5240">
        <v>26.458307050795899</v>
      </c>
      <c r="AL5240">
        <v>92.052827377377795</v>
      </c>
      <c r="AM5240">
        <v>88.534294492059203</v>
      </c>
      <c r="AN5240">
        <v>0.99999995132292696</v>
      </c>
    </row>
    <row r="5241" spans="1:40" x14ac:dyDescent="0.25">
      <c r="A5241" t="str">
        <f>"20190303153913859"</f>
        <v>20190303153913859</v>
      </c>
      <c r="B5241" t="str">
        <f>"1551598753854323"</f>
        <v>1551598753854323</v>
      </c>
      <c r="C5241" t="s">
        <v>40</v>
      </c>
      <c r="D5241">
        <v>4.5979419999999998</v>
      </c>
      <c r="E5241">
        <v>0.50985009999999997</v>
      </c>
      <c r="F5241" t="s">
        <v>42</v>
      </c>
      <c r="G5241">
        <v>-192.3682</v>
      </c>
      <c r="H5241" s="1">
        <v>-9.8432790000000003E-7</v>
      </c>
      <c r="I5241">
        <v>160.3409</v>
      </c>
      <c r="J5241">
        <v>-190.90209999999999</v>
      </c>
      <c r="K5241">
        <v>1.1202810000000001</v>
      </c>
      <c r="L5241">
        <v>186.667</v>
      </c>
      <c r="M5241">
        <v>-2.7386559999999999E-3</v>
      </c>
      <c r="N5241">
        <v>-6.476473E-3</v>
      </c>
      <c r="O5241">
        <v>-0.99997530000000001</v>
      </c>
      <c r="P5241">
        <v>-2.819607E-2</v>
      </c>
      <c r="Q5241">
        <v>-4.2090040000000002E-2</v>
      </c>
      <c r="R5241">
        <v>-0.99871620000000005</v>
      </c>
      <c r="S5241">
        <v>-0.1661224</v>
      </c>
      <c r="T5241">
        <v>-0.1268938</v>
      </c>
      <c r="U5241">
        <v>-2.9938349999999998</v>
      </c>
      <c r="V5241">
        <v>2.5441910000000002E-2</v>
      </c>
      <c r="W5241">
        <v>-3.5634010000000001E-2</v>
      </c>
      <c r="X5241">
        <v>0.99904099999999996</v>
      </c>
      <c r="Y5241">
        <v>5.2624369999999997E-2</v>
      </c>
      <c r="Z5241">
        <v>3.5813890000000001E-2</v>
      </c>
      <c r="AA5241">
        <v>0.99797199999999997</v>
      </c>
      <c r="AB5241">
        <v>20</v>
      </c>
      <c r="AC5241">
        <v>-1.46610000000001</v>
      </c>
      <c r="AD5241">
        <v>-1.1202819843278999</v>
      </c>
      <c r="AE5241">
        <v>-26.3261</v>
      </c>
      <c r="AF5241">
        <v>1.39148288808811</v>
      </c>
      <c r="AG5241">
        <v>-1.1202819843278999</v>
      </c>
      <c r="AH5241">
        <v>26.282569945684099</v>
      </c>
      <c r="AI5241">
        <v>92.437318429442797</v>
      </c>
      <c r="AJ5241">
        <v>86.969408558189699</v>
      </c>
      <c r="AK5241">
        <v>26.343210497242499</v>
      </c>
      <c r="AL5241">
        <v>92.042110715522995</v>
      </c>
      <c r="AM5241">
        <v>88.541201950101694</v>
      </c>
      <c r="AN5241">
        <v>0.99999999656706395</v>
      </c>
    </row>
    <row r="5242" spans="1:40" x14ac:dyDescent="0.25">
      <c r="A5242" t="str">
        <f>"20190303153913871"</f>
        <v>20190303153913871</v>
      </c>
      <c r="B5242" t="str">
        <f>"1551598753864083"</f>
        <v>1551598753864083</v>
      </c>
      <c r="C5242" t="s">
        <v>40</v>
      </c>
      <c r="D5242">
        <v>4.6144309999999997</v>
      </c>
      <c r="E5242">
        <v>0.50957540000000001</v>
      </c>
      <c r="F5242" t="s">
        <v>42</v>
      </c>
      <c r="G5242">
        <v>-192.31620000000001</v>
      </c>
      <c r="H5242" s="1">
        <v>-1.1493069999999999E-6</v>
      </c>
      <c r="I5242">
        <v>160.7192</v>
      </c>
      <c r="J5242">
        <v>-190.90260000000001</v>
      </c>
      <c r="K5242">
        <v>1.120274</v>
      </c>
      <c r="L5242">
        <v>186.55330000000001</v>
      </c>
      <c r="M5242">
        <v>-2.9474240000000001E-3</v>
      </c>
      <c r="N5242">
        <v>-6.394879E-3</v>
      </c>
      <c r="O5242">
        <v>-0.99997530000000001</v>
      </c>
      <c r="P5242">
        <v>-2.8272740000000001E-2</v>
      </c>
      <c r="Q5242">
        <v>-4.220749E-2</v>
      </c>
      <c r="R5242">
        <v>-0.99870899999999996</v>
      </c>
      <c r="S5242">
        <v>-0.16316220000000001</v>
      </c>
      <c r="T5242">
        <v>-0.12925590000000001</v>
      </c>
      <c r="U5242">
        <v>-2.993805</v>
      </c>
      <c r="V5242">
        <v>2.5309870000000002E-2</v>
      </c>
      <c r="W5242">
        <v>-3.5832990000000002E-2</v>
      </c>
      <c r="X5242">
        <v>0.99903730000000002</v>
      </c>
      <c r="Y5242">
        <v>5.1431079999999997E-2</v>
      </c>
      <c r="Z5242">
        <v>3.668424E-2</v>
      </c>
      <c r="AA5242">
        <v>0.99800259999999996</v>
      </c>
      <c r="AB5242">
        <v>20</v>
      </c>
      <c r="AC5242">
        <v>-1.4136</v>
      </c>
      <c r="AD5242">
        <v>-1.120275149307</v>
      </c>
      <c r="AE5242">
        <v>-25.834099999999999</v>
      </c>
      <c r="AF5242">
        <v>1.3349454531952201</v>
      </c>
      <c r="AG5242">
        <v>-1.120275149307</v>
      </c>
      <c r="AH5242">
        <v>25.789802574845201</v>
      </c>
      <c r="AI5242">
        <v>92.483968430160402</v>
      </c>
      <c r="AJ5242">
        <v>87.036869983459695</v>
      </c>
      <c r="AK5242">
        <v>25.848617228444802</v>
      </c>
      <c r="AL5242">
        <v>92.053518585670304</v>
      </c>
      <c r="AM5242">
        <v>88.548764292027798</v>
      </c>
      <c r="AN5242">
        <v>1.00000005974152</v>
      </c>
    </row>
    <row r="5243" spans="1:40" x14ac:dyDescent="0.25">
      <c r="A5243" t="str">
        <f>"20190303153913882"</f>
        <v>20190303153913882</v>
      </c>
      <c r="B5243" t="str">
        <f>"1551598753873843"</f>
        <v>1551598753873843</v>
      </c>
      <c r="C5243" t="s">
        <v>40</v>
      </c>
      <c r="D5243">
        <v>4.6579519999999999</v>
      </c>
      <c r="E5243">
        <v>0.50926939999999998</v>
      </c>
      <c r="F5243" t="s">
        <v>42</v>
      </c>
      <c r="G5243">
        <v>-192.27</v>
      </c>
      <c r="H5243" s="1">
        <v>-1.3481789999999999E-6</v>
      </c>
      <c r="I5243">
        <v>161.16589999999999</v>
      </c>
      <c r="J5243">
        <v>-190.9032</v>
      </c>
      <c r="K5243">
        <v>1.120269</v>
      </c>
      <c r="L5243">
        <v>186.4443</v>
      </c>
      <c r="M5243">
        <v>-3.1474599999999999E-3</v>
      </c>
      <c r="N5243">
        <v>-6.3080469999999998E-3</v>
      </c>
      <c r="O5243">
        <v>-0.99997510000000001</v>
      </c>
      <c r="P5243">
        <v>-2.8455999999999999E-2</v>
      </c>
      <c r="Q5243">
        <v>-4.2467650000000003E-2</v>
      </c>
      <c r="R5243">
        <v>-0.99869280000000005</v>
      </c>
      <c r="S5243">
        <v>-0.16123959999999901</v>
      </c>
      <c r="T5243">
        <v>-0.132104</v>
      </c>
      <c r="U5243">
        <v>-2.9936980000000002</v>
      </c>
      <c r="V5243">
        <v>2.5293110000000001E-2</v>
      </c>
      <c r="W5243">
        <v>-3.6179990000000002E-2</v>
      </c>
      <c r="X5243">
        <v>0.99902519999999995</v>
      </c>
      <c r="Y5243">
        <v>5.0592199999999997E-2</v>
      </c>
      <c r="Z5243">
        <v>3.7721820000000003E-2</v>
      </c>
      <c r="AA5243">
        <v>0.99800679999999997</v>
      </c>
      <c r="AB5243">
        <v>20</v>
      </c>
      <c r="AC5243">
        <v>-1.36680000000001</v>
      </c>
      <c r="AD5243">
        <v>-1.120270348179</v>
      </c>
      <c r="AE5243">
        <v>-25.278400000000001</v>
      </c>
      <c r="AF5243">
        <v>1.2847130392595101</v>
      </c>
      <c r="AG5243">
        <v>-1.120270348179</v>
      </c>
      <c r="AH5243">
        <v>25.2331627767892</v>
      </c>
      <c r="AI5243">
        <v>92.538792817679806</v>
      </c>
      <c r="AJ5243">
        <v>87.085378016138506</v>
      </c>
      <c r="AK5243">
        <v>25.290670156526001</v>
      </c>
      <c r="AL5243">
        <v>92.073413158063801</v>
      </c>
      <c r="AM5243">
        <v>88.549707320572395</v>
      </c>
      <c r="AN5243">
        <v>1.0000000416624499</v>
      </c>
    </row>
    <row r="5244" spans="1:40" x14ac:dyDescent="0.25">
      <c r="A5244" t="str">
        <f>"20190303153913895"</f>
        <v>20190303153913895</v>
      </c>
      <c r="B5244" t="str">
        <f>"1551598753883603"</f>
        <v>1551598753883603</v>
      </c>
      <c r="C5244" t="s">
        <v>40</v>
      </c>
      <c r="D5244">
        <v>4.6442899999999998</v>
      </c>
      <c r="E5244">
        <v>0.50893900000000003</v>
      </c>
      <c r="F5244" t="s">
        <v>42</v>
      </c>
      <c r="G5244">
        <v>-192.24709999999999</v>
      </c>
      <c r="H5244" s="1">
        <v>-1.3540530000000001E-6</v>
      </c>
      <c r="I5244">
        <v>161.19130000000001</v>
      </c>
      <c r="J5244">
        <v>-190.90379999999999</v>
      </c>
      <c r="K5244">
        <v>1.120263</v>
      </c>
      <c r="L5244">
        <v>186.333</v>
      </c>
      <c r="M5244">
        <v>-3.3515189999999999E-3</v>
      </c>
      <c r="N5244">
        <v>-6.2170269999999904E-3</v>
      </c>
      <c r="O5244">
        <v>-0.99997510000000001</v>
      </c>
      <c r="P5244">
        <v>-2.8571280000000001E-2</v>
      </c>
      <c r="Q5244">
        <v>-4.2632009999999998E-2</v>
      </c>
      <c r="R5244">
        <v>-0.99868239999999997</v>
      </c>
      <c r="S5244">
        <v>-0.15931699999999999</v>
      </c>
      <c r="T5244">
        <v>-0.13280810000000001</v>
      </c>
      <c r="U5244">
        <v>-2.993744</v>
      </c>
      <c r="V5244">
        <v>2.5204359999999999E-2</v>
      </c>
      <c r="W5244">
        <v>-3.6435349999999998E-2</v>
      </c>
      <c r="X5244">
        <v>0.99901810000000002</v>
      </c>
      <c r="Y5244">
        <v>4.9748019999999997E-2</v>
      </c>
      <c r="Z5244">
        <v>3.8047999999999998E-2</v>
      </c>
      <c r="AA5244">
        <v>0.99803679999999995</v>
      </c>
      <c r="AB5244">
        <v>20</v>
      </c>
      <c r="AC5244">
        <v>-1.3432999999999899</v>
      </c>
      <c r="AD5244">
        <v>-1.120264354053</v>
      </c>
      <c r="AE5244">
        <v>-25.141699999999901</v>
      </c>
      <c r="AF5244">
        <v>1.2565402899873099</v>
      </c>
      <c r="AG5244">
        <v>-1.120264354053</v>
      </c>
      <c r="AH5244">
        <v>25.0963760327576</v>
      </c>
      <c r="AI5244">
        <v>92.552707006465695</v>
      </c>
      <c r="AJ5244">
        <v>87.133674378772199</v>
      </c>
      <c r="AK5244">
        <v>25.152772723914399</v>
      </c>
      <c r="AL5244">
        <v>92.088053991215602</v>
      </c>
      <c r="AM5244">
        <v>88.554783766900499</v>
      </c>
      <c r="AN5244">
        <v>0.99999997931011997</v>
      </c>
    </row>
    <row r="5245" spans="1:40" x14ac:dyDescent="0.25">
      <c r="A5245" t="str">
        <f>"20190303153913908"</f>
        <v>20190303153913908</v>
      </c>
      <c r="B5245" t="str">
        <f>"1551598753904100"</f>
        <v>1551598753904100</v>
      </c>
      <c r="C5245" t="s">
        <v>40</v>
      </c>
      <c r="D5245">
        <v>4.6428750000000001</v>
      </c>
      <c r="E5245">
        <v>0.50843050000000001</v>
      </c>
      <c r="F5245" t="s">
        <v>42</v>
      </c>
      <c r="G5245">
        <v>-192.22030000000001</v>
      </c>
      <c r="H5245" s="1">
        <v>-1.3691810000000001E-6</v>
      </c>
      <c r="I5245">
        <v>161.23830000000001</v>
      </c>
      <c r="J5245">
        <v>-190.90440000000001</v>
      </c>
      <c r="K5245">
        <v>1.120255</v>
      </c>
      <c r="L5245">
        <v>186.2149</v>
      </c>
      <c r="M5245">
        <v>-3.5677679999999998E-3</v>
      </c>
      <c r="N5245">
        <v>-6.1178250000000003E-3</v>
      </c>
      <c r="O5245">
        <v>-0.99997510000000001</v>
      </c>
      <c r="P5245">
        <v>-2.8692309999999999E-2</v>
      </c>
      <c r="Q5245">
        <v>-4.2919909999999999E-2</v>
      </c>
      <c r="R5245">
        <v>-0.99866659999999996</v>
      </c>
      <c r="S5245">
        <v>-0.1570587</v>
      </c>
      <c r="T5245">
        <v>-0.1336455</v>
      </c>
      <c r="U5245">
        <v>-2.993744</v>
      </c>
      <c r="V5245">
        <v>2.510913E-2</v>
      </c>
      <c r="W5245">
        <v>-3.682245E-2</v>
      </c>
      <c r="X5245">
        <v>0.99900630000000001</v>
      </c>
      <c r="Y5245">
        <v>4.8780740000000003E-2</v>
      </c>
      <c r="Z5245">
        <v>3.8427650000000001E-2</v>
      </c>
      <c r="AA5245">
        <v>0.99807000000000001</v>
      </c>
      <c r="AB5245">
        <v>21</v>
      </c>
      <c r="AC5245">
        <v>-1.3158999999999901</v>
      </c>
      <c r="AD5245">
        <v>-1.1202563691809999</v>
      </c>
      <c r="AE5245">
        <v>-24.976599999999902</v>
      </c>
      <c r="AF5245">
        <v>1.2243230773685401</v>
      </c>
      <c r="AG5245">
        <v>-1.1202563691809999</v>
      </c>
      <c r="AH5245">
        <v>24.9311202630651</v>
      </c>
      <c r="AI5245">
        <v>92.569708623446999</v>
      </c>
      <c r="AJ5245">
        <v>87.188564520348393</v>
      </c>
      <c r="AK5245">
        <v>24.986290218875698</v>
      </c>
      <c r="AL5245">
        <v>92.110248092204202</v>
      </c>
      <c r="AM5245">
        <v>88.560224946811303</v>
      </c>
      <c r="AN5245">
        <v>0.99999997433652399</v>
      </c>
    </row>
    <row r="5246" spans="1:40" x14ac:dyDescent="0.25">
      <c r="A5246" t="str">
        <f>"20190303153913922"</f>
        <v>20190303153913922</v>
      </c>
      <c r="B5246" t="str">
        <f>"1551598753913859"</f>
        <v>1551598753913859</v>
      </c>
      <c r="C5246" t="s">
        <v>40</v>
      </c>
      <c r="D5246">
        <v>4.646223</v>
      </c>
      <c r="E5246">
        <v>0.50819429999999999</v>
      </c>
      <c r="F5246" t="s">
        <v>42</v>
      </c>
      <c r="G5246">
        <v>-192.1814</v>
      </c>
      <c r="H5246" s="1">
        <v>-1.38726E-6</v>
      </c>
      <c r="I5246">
        <v>161.29849999999999</v>
      </c>
      <c r="J5246">
        <v>-190.9051</v>
      </c>
      <c r="K5246">
        <v>1.120239</v>
      </c>
      <c r="L5246">
        <v>186.08629999999999</v>
      </c>
      <c r="M5246">
        <v>-3.803051E-3</v>
      </c>
      <c r="N5246">
        <v>-6.0104299999999998E-3</v>
      </c>
      <c r="O5246">
        <v>-0.99997460000000005</v>
      </c>
      <c r="P5246">
        <v>-2.8865390000000001E-2</v>
      </c>
      <c r="Q5246">
        <v>-4.2899010000000001E-2</v>
      </c>
      <c r="R5246">
        <v>-0.99866239999999995</v>
      </c>
      <c r="S5246">
        <v>-0.15344240000000001</v>
      </c>
      <c r="T5246">
        <v>-0.13460529999999901</v>
      </c>
      <c r="U5246">
        <v>-2.9938509999999998</v>
      </c>
      <c r="V5246">
        <v>2.5047070000000001E-2</v>
      </c>
      <c r="W5246">
        <v>-3.6908860000000002E-2</v>
      </c>
      <c r="X5246">
        <v>0.99900469999999997</v>
      </c>
      <c r="Y5246">
        <v>4.7340939999999998E-2</v>
      </c>
      <c r="Z5246">
        <v>3.8855580000000001E-2</v>
      </c>
      <c r="AA5246">
        <v>0.99812279999999998</v>
      </c>
      <c r="AB5246">
        <v>21</v>
      </c>
      <c r="AC5246">
        <v>-1.27629999999999</v>
      </c>
      <c r="AD5246">
        <v>-1.12024038726</v>
      </c>
      <c r="AE5246">
        <v>-24.787800000000001</v>
      </c>
      <c r="AF5246">
        <v>1.1796168789913899</v>
      </c>
      <c r="AG5246">
        <v>-1.12024038726</v>
      </c>
      <c r="AH5246">
        <v>24.742074402731301</v>
      </c>
      <c r="AI5246">
        <v>92.589458124799194</v>
      </c>
      <c r="AJ5246">
        <v>87.2704015211648</v>
      </c>
      <c r="AK5246">
        <v>24.7954971770429</v>
      </c>
      <c r="AL5246">
        <v>92.115202323229497</v>
      </c>
      <c r="AM5246">
        <v>88.563779718966998</v>
      </c>
      <c r="AN5246">
        <v>1.0000000051420801</v>
      </c>
    </row>
    <row r="5247" spans="1:40" x14ac:dyDescent="0.25">
      <c r="A5247" t="str">
        <f>"20190303153913939"</f>
        <v>20190303153913939</v>
      </c>
      <c r="B5247" t="str">
        <f>"1551598753933379"</f>
        <v>1551598753933379</v>
      </c>
      <c r="C5247" t="s">
        <v>40</v>
      </c>
      <c r="D5247">
        <v>4.6493419999999999</v>
      </c>
      <c r="E5247">
        <v>0.50781969999999998</v>
      </c>
      <c r="F5247" t="s">
        <v>42</v>
      </c>
      <c r="G5247">
        <v>-192.16679999999999</v>
      </c>
      <c r="H5247" s="1">
        <v>-1.3453939999999999E-6</v>
      </c>
      <c r="I5247">
        <v>161.2182</v>
      </c>
      <c r="J5247">
        <v>-190.90600000000001</v>
      </c>
      <c r="K5247">
        <v>1.120241</v>
      </c>
      <c r="L5247">
        <v>185.92830000000001</v>
      </c>
      <c r="M5247">
        <v>-4.0917339999999996E-3</v>
      </c>
      <c r="N5247">
        <v>-5.8855189999999996E-3</v>
      </c>
      <c r="O5247">
        <v>-0.99997440000000004</v>
      </c>
      <c r="P5247">
        <v>-2.9224090000000001E-2</v>
      </c>
      <c r="Q5247">
        <v>-4.290099E-2</v>
      </c>
      <c r="R5247">
        <v>-0.99865179999999998</v>
      </c>
      <c r="S5247">
        <v>-0.15188599999999999</v>
      </c>
      <c r="T5247">
        <v>-0.13486400000000001</v>
      </c>
      <c r="U5247">
        <v>-2.9938349999999998</v>
      </c>
      <c r="V5247">
        <v>2.5117250000000001E-2</v>
      </c>
      <c r="W5247">
        <v>-3.7035789999999999E-2</v>
      </c>
      <c r="X5247">
        <v>0.99899819999999995</v>
      </c>
      <c r="Y5247">
        <v>4.6535130000000001E-2</v>
      </c>
      <c r="Z5247">
        <v>3.9068070000000003E-2</v>
      </c>
      <c r="AA5247">
        <v>0.99815240000000005</v>
      </c>
      <c r="AB5247">
        <v>21</v>
      </c>
      <c r="AC5247">
        <v>-1.2608000000000099</v>
      </c>
      <c r="AD5247">
        <v>-1.120242345394</v>
      </c>
      <c r="AE5247">
        <v>-24.710100000000001</v>
      </c>
      <c r="AF5247">
        <v>1.15730810946353</v>
      </c>
      <c r="AG5247">
        <v>-1.120242345394</v>
      </c>
      <c r="AH5247">
        <v>24.664490821410499</v>
      </c>
      <c r="AI5247">
        <v>92.597689181777994</v>
      </c>
      <c r="AJ5247">
        <v>87.313535829628606</v>
      </c>
      <c r="AK5247">
        <v>24.717026772087401</v>
      </c>
      <c r="AL5247">
        <v>92.122479937884194</v>
      </c>
      <c r="AM5247">
        <v>88.559747863688898</v>
      </c>
      <c r="AN5247">
        <v>0.99999996479586195</v>
      </c>
    </row>
    <row r="5248" spans="1:40" x14ac:dyDescent="0.25">
      <c r="A5248" t="str">
        <f>"20190303153913952"</f>
        <v>20190303153913952</v>
      </c>
      <c r="B5248" t="str">
        <f>"1551598753944115"</f>
        <v>1551598753944115</v>
      </c>
      <c r="C5248" t="s">
        <v>40</v>
      </c>
      <c r="D5248">
        <v>4.6406159999999996</v>
      </c>
      <c r="E5248">
        <v>0.50764489999999995</v>
      </c>
      <c r="F5248" t="s">
        <v>42</v>
      </c>
      <c r="G5248">
        <v>-192.14869999999999</v>
      </c>
      <c r="H5248" s="1">
        <v>-1.3046819999999999E-6</v>
      </c>
      <c r="I5248">
        <v>161.1422</v>
      </c>
      <c r="J5248">
        <v>-190.9068</v>
      </c>
      <c r="K5248">
        <v>1.1202399999999999</v>
      </c>
      <c r="L5248">
        <v>185.7971</v>
      </c>
      <c r="M5248">
        <v>-4.3310989999999997E-3</v>
      </c>
      <c r="N5248">
        <v>-5.7902409999999998E-3</v>
      </c>
      <c r="O5248">
        <v>-0.99997389999999997</v>
      </c>
      <c r="P5248">
        <v>-2.9799840000000001E-2</v>
      </c>
      <c r="Q5248">
        <v>-4.2143050000000001E-2</v>
      </c>
      <c r="R5248">
        <v>-0.99866719999999998</v>
      </c>
      <c r="S5248">
        <v>-0.1501007</v>
      </c>
      <c r="T5248">
        <v>-0.13531109999999999</v>
      </c>
      <c r="U5248">
        <v>-2.9938509999999998</v>
      </c>
      <c r="V5248">
        <v>2.545408E-2</v>
      </c>
      <c r="W5248">
        <v>-3.637319E-2</v>
      </c>
      <c r="X5248">
        <v>0.99901410000000002</v>
      </c>
      <c r="Y5248">
        <v>4.5701789999999999E-2</v>
      </c>
      <c r="Z5248">
        <v>3.9313309999999997E-2</v>
      </c>
      <c r="AA5248">
        <v>0.99818119999999999</v>
      </c>
      <c r="AB5248">
        <v>21</v>
      </c>
      <c r="AC5248">
        <v>-1.24189999999998</v>
      </c>
      <c r="AD5248">
        <v>-1.1202413046819999</v>
      </c>
      <c r="AE5248">
        <v>-24.654900000000001</v>
      </c>
      <c r="AF5248">
        <v>1.13277105650247</v>
      </c>
      <c r="AG5248">
        <v>-1.1202413046819999</v>
      </c>
      <c r="AH5248">
        <v>24.609369959329001</v>
      </c>
      <c r="AI5248">
        <v>92.603604707056107</v>
      </c>
      <c r="AJ5248">
        <v>87.364531442241997</v>
      </c>
      <c r="AK5248">
        <v>24.660884019886399</v>
      </c>
      <c r="AL5248">
        <v>92.084489984981303</v>
      </c>
      <c r="AM5248">
        <v>88.540465161518597</v>
      </c>
      <c r="AN5248">
        <v>1.00000004556911</v>
      </c>
    </row>
    <row r="5249" spans="1:40" x14ac:dyDescent="0.25">
      <c r="A5249" t="str">
        <f>"20190303153913971"</f>
        <v>20190303153913971</v>
      </c>
      <c r="B5249" t="str">
        <f>"1551598753963638"</f>
        <v>1551598753963638</v>
      </c>
      <c r="C5249" t="s">
        <v>40</v>
      </c>
      <c r="D5249">
        <v>4.6093469999999996</v>
      </c>
      <c r="E5249">
        <v>0.50732120000000003</v>
      </c>
      <c r="F5249" t="s">
        <v>42</v>
      </c>
      <c r="G5249">
        <v>-192.16919999999999</v>
      </c>
      <c r="H5249" s="1">
        <v>-1.0875740000000001E-6</v>
      </c>
      <c r="I5249">
        <v>160.67140000000001</v>
      </c>
      <c r="J5249">
        <v>-190.90790000000001</v>
      </c>
      <c r="K5249">
        <v>1.120239</v>
      </c>
      <c r="L5249">
        <v>185.6233</v>
      </c>
      <c r="M5249">
        <v>-4.6478889999999997E-3</v>
      </c>
      <c r="N5249">
        <v>-5.6819219999999998E-3</v>
      </c>
      <c r="O5249">
        <v>-0.99997340000000001</v>
      </c>
      <c r="P5249">
        <v>-3.0544180000000001E-2</v>
      </c>
      <c r="Q5249">
        <v>-4.0153059999999997E-2</v>
      </c>
      <c r="R5249">
        <v>-0.99872700000000003</v>
      </c>
      <c r="S5249">
        <v>-0.1504211</v>
      </c>
      <c r="T5249">
        <v>-0.1334832</v>
      </c>
      <c r="U5249">
        <v>-2.993881</v>
      </c>
      <c r="V5249">
        <v>2.588259E-2</v>
      </c>
      <c r="W5249">
        <v>-3.449141E-2</v>
      </c>
      <c r="X5249">
        <v>0.99906980000000001</v>
      </c>
      <c r="Y5249">
        <v>4.5492629999999999E-2</v>
      </c>
      <c r="Z5249">
        <v>3.8812970000000002E-2</v>
      </c>
      <c r="AA5249">
        <v>0.99821040000000005</v>
      </c>
      <c r="AB5249">
        <v>21</v>
      </c>
      <c r="AC5249">
        <v>-1.2612999999999699</v>
      </c>
      <c r="AD5249">
        <v>-1.120240087574</v>
      </c>
      <c r="AE5249">
        <v>-24.951899999999899</v>
      </c>
      <c r="AF5249">
        <v>1.1430128408440701</v>
      </c>
      <c r="AG5249">
        <v>-1.120240087574</v>
      </c>
      <c r="AH5249">
        <v>24.907416289152899</v>
      </c>
      <c r="AI5249">
        <v>92.572505299679307</v>
      </c>
      <c r="AJ5249">
        <v>87.372513610662807</v>
      </c>
      <c r="AK5249">
        <v>24.958782069830701</v>
      </c>
      <c r="AL5249">
        <v>91.976604237526104</v>
      </c>
      <c r="AM5249">
        <v>88.515988035458804</v>
      </c>
      <c r="AN5249">
        <v>1.00000001555046</v>
      </c>
    </row>
    <row r="5250" spans="1:40" x14ac:dyDescent="0.25">
      <c r="A5250" t="str">
        <f>"20190303153913983"</f>
        <v>20190303153913983</v>
      </c>
      <c r="B5250" t="str">
        <f>"1551598753974372"</f>
        <v>1551598753974372</v>
      </c>
      <c r="C5250" t="s">
        <v>40</v>
      </c>
      <c r="D5250">
        <v>4.6517049999999998</v>
      </c>
      <c r="E5250">
        <v>0.50720399999999999</v>
      </c>
      <c r="F5250" t="s">
        <v>68</v>
      </c>
      <c r="G5250">
        <v>-192.21469999999999</v>
      </c>
      <c r="H5250" s="1">
        <v>-1.4955959999999999E-5</v>
      </c>
      <c r="I5250">
        <v>159.5307</v>
      </c>
      <c r="J5250">
        <v>-190.90870000000001</v>
      </c>
      <c r="K5250">
        <v>1.1202430000000001</v>
      </c>
      <c r="L5250">
        <v>185.5085</v>
      </c>
      <c r="M5250">
        <v>-4.856834E-3</v>
      </c>
      <c r="N5250">
        <v>-5.6226509999999898E-3</v>
      </c>
      <c r="O5250">
        <v>-0.99997230000000004</v>
      </c>
      <c r="P5250">
        <v>-3.1017659999999999E-2</v>
      </c>
      <c r="Q5250">
        <v>-3.8945840000000002E-2</v>
      </c>
      <c r="R5250">
        <v>-0.99875990000000003</v>
      </c>
      <c r="S5250">
        <v>-0.1499481</v>
      </c>
      <c r="T5250">
        <v>-0.12854740000000001</v>
      </c>
      <c r="U5250">
        <v>-2.9940799999999999</v>
      </c>
      <c r="V5250">
        <v>2.6147730000000001E-2</v>
      </c>
      <c r="W5250">
        <v>-3.334343E-2</v>
      </c>
      <c r="X5250">
        <v>0.99910189999999999</v>
      </c>
      <c r="Y5250">
        <v>4.5126619999999999E-2</v>
      </c>
      <c r="Z5250">
        <v>3.722748E-2</v>
      </c>
      <c r="AA5250">
        <v>0.99828740000000005</v>
      </c>
      <c r="AB5250">
        <v>21</v>
      </c>
      <c r="AC5250">
        <v>-1.3059999999999801</v>
      </c>
      <c r="AD5250">
        <v>-1.1202579559600001</v>
      </c>
      <c r="AE5250">
        <v>-25.977799999999998</v>
      </c>
      <c r="AF5250">
        <v>1.1776282708831001</v>
      </c>
      <c r="AG5250">
        <v>-1.1202579559600001</v>
      </c>
      <c r="AH5250">
        <v>25.935726928245401</v>
      </c>
      <c r="AI5250">
        <v>92.470732372697697</v>
      </c>
      <c r="AJ5250">
        <v>87.400234122557407</v>
      </c>
      <c r="AK5250">
        <v>25.986606502750401</v>
      </c>
      <c r="AL5250">
        <v>91.9107918993477</v>
      </c>
      <c r="AM5250">
        <v>88.500840937322906</v>
      </c>
      <c r="AN5250">
        <v>1.00000004734596</v>
      </c>
    </row>
    <row r="5251" spans="1:40" x14ac:dyDescent="0.25">
      <c r="A5251" t="str">
        <f>"20190303153913994"</f>
        <v>20190303153913994</v>
      </c>
      <c r="B5251" t="str">
        <f>"1551598753984131"</f>
        <v>1551598753984131</v>
      </c>
      <c r="C5251" t="s">
        <v>40</v>
      </c>
      <c r="D5251">
        <v>4.6159699999999999</v>
      </c>
      <c r="E5251">
        <v>0.50710540000000004</v>
      </c>
      <c r="F5251" t="s">
        <v>68</v>
      </c>
      <c r="G5251">
        <v>-192.25640000000001</v>
      </c>
      <c r="H5251" s="1">
        <v>-1.474805E-5</v>
      </c>
      <c r="I5251">
        <v>158.70439999999999</v>
      </c>
      <c r="J5251">
        <v>-190.90940000000001</v>
      </c>
      <c r="K5251">
        <v>1.120242</v>
      </c>
      <c r="L5251">
        <v>185.40539999999999</v>
      </c>
      <c r="M5251">
        <v>-5.0444779999999998E-3</v>
      </c>
      <c r="N5251">
        <v>-5.5750319999999997E-3</v>
      </c>
      <c r="O5251">
        <v>-0.99997179999999997</v>
      </c>
      <c r="P5251">
        <v>-3.1408039999999998E-2</v>
      </c>
      <c r="Q5251">
        <v>-3.8059000000000003E-2</v>
      </c>
      <c r="R5251">
        <v>-0.99878199999999995</v>
      </c>
      <c r="S5251">
        <v>-0.15054319999999999</v>
      </c>
      <c r="T5251">
        <v>-0.12513940000000001</v>
      </c>
      <c r="U5251">
        <v>-2.9941710000000001</v>
      </c>
      <c r="V5251">
        <v>2.6350910000000002E-2</v>
      </c>
      <c r="W5251">
        <v>-3.250422E-2</v>
      </c>
      <c r="X5251">
        <v>0.99912420000000002</v>
      </c>
      <c r="Y5251">
        <v>4.5137740000000003E-2</v>
      </c>
      <c r="Z5251">
        <v>3.6139379999999999E-2</v>
      </c>
      <c r="AA5251">
        <v>0.99832679999999996</v>
      </c>
      <c r="AB5251">
        <v>21</v>
      </c>
      <c r="AC5251">
        <v>-1.347</v>
      </c>
      <c r="AD5251">
        <v>-1.1202567480500001</v>
      </c>
      <c r="AE5251">
        <v>-26.701000000000001</v>
      </c>
      <c r="AF5251">
        <v>1.2101633586959899</v>
      </c>
      <c r="AG5251">
        <v>-1.1202567480500001</v>
      </c>
      <c r="AH5251">
        <v>26.660644390463101</v>
      </c>
      <c r="AI5251">
        <v>92.403630667061094</v>
      </c>
      <c r="AJ5251">
        <v>87.401049635306293</v>
      </c>
      <c r="AK5251">
        <v>26.7115972912706</v>
      </c>
      <c r="AL5251">
        <v>91.862682657955403</v>
      </c>
      <c r="AM5251">
        <v>88.489230858498203</v>
      </c>
      <c r="AN5251">
        <v>1.0000000309006301</v>
      </c>
    </row>
    <row r="5252" spans="1:40" x14ac:dyDescent="0.25">
      <c r="A5252" t="str">
        <f>"20190303153914007"</f>
        <v>20190303153914007</v>
      </c>
      <c r="B5252" t="str">
        <f>"1551598754003651"</f>
        <v>1551598754003651</v>
      </c>
      <c r="C5252" t="s">
        <v>40</v>
      </c>
      <c r="D5252">
        <v>4.5821930000000002</v>
      </c>
      <c r="E5252">
        <v>0.50706640000000003</v>
      </c>
      <c r="F5252" t="s">
        <v>68</v>
      </c>
      <c r="G5252">
        <v>-192.2876</v>
      </c>
      <c r="H5252" s="1">
        <v>-1.4514299999999999E-5</v>
      </c>
      <c r="I5252">
        <v>158.0549</v>
      </c>
      <c r="J5252">
        <v>-190.91030000000001</v>
      </c>
      <c r="K5252">
        <v>1.1202350000000001</v>
      </c>
      <c r="L5252">
        <v>185.27520000000001</v>
      </c>
      <c r="M5252">
        <v>-5.2812190000000002E-3</v>
      </c>
      <c r="N5252">
        <v>-5.5236629999999998E-3</v>
      </c>
      <c r="O5252">
        <v>-0.9999711</v>
      </c>
      <c r="P5252">
        <v>-3.2136119999999997E-2</v>
      </c>
      <c r="Q5252">
        <v>-3.7200209999999997E-2</v>
      </c>
      <c r="R5252">
        <v>-0.99879130000000005</v>
      </c>
      <c r="S5252">
        <v>-0.15087890000000001</v>
      </c>
      <c r="T5252">
        <v>-0.122643</v>
      </c>
      <c r="U5252">
        <v>-2.9942630000000001</v>
      </c>
      <c r="V5252">
        <v>2.684276E-2</v>
      </c>
      <c r="W5252">
        <v>-3.1697019999999999E-2</v>
      </c>
      <c r="X5252">
        <v>0.99913700000000005</v>
      </c>
      <c r="Y5252">
        <v>4.5012940000000001E-2</v>
      </c>
      <c r="Z5252">
        <v>3.5358599999999997E-2</v>
      </c>
      <c r="AA5252">
        <v>0.99836049999999998</v>
      </c>
      <c r="AB5252">
        <v>21</v>
      </c>
      <c r="AC5252">
        <v>-1.37729999999999</v>
      </c>
      <c r="AD5252">
        <v>-1.1202495143</v>
      </c>
      <c r="AE5252">
        <v>-27.220300000000002</v>
      </c>
      <c r="AF5252">
        <v>1.23144187505035</v>
      </c>
      <c r="AG5252">
        <v>-1.1202495143</v>
      </c>
      <c r="AH5252">
        <v>27.181274187155498</v>
      </c>
      <c r="AI5252">
        <v>92.357638033852993</v>
      </c>
      <c r="AJ5252">
        <v>87.406000612066507</v>
      </c>
      <c r="AK5252">
        <v>27.2322065669171</v>
      </c>
      <c r="AL5252">
        <v>91.816409732426607</v>
      </c>
      <c r="AM5252">
        <v>88.461064906843404</v>
      </c>
      <c r="AN5252">
        <v>0.99999998980514904</v>
      </c>
    </row>
    <row r="5253" spans="1:40" x14ac:dyDescent="0.25">
      <c r="A5253" t="str">
        <f>"20190303153914022"</f>
        <v>20190303153914022</v>
      </c>
      <c r="B5253" t="str">
        <f>"1551598754013410"</f>
        <v>1551598754013410</v>
      </c>
      <c r="C5253" t="s">
        <v>40</v>
      </c>
      <c r="D5253">
        <v>4.557976</v>
      </c>
      <c r="E5253">
        <v>0.50708409999999904</v>
      </c>
      <c r="F5253" t="s">
        <v>68</v>
      </c>
      <c r="G5253">
        <v>-192.3417</v>
      </c>
      <c r="H5253" s="1">
        <v>-1.4164780000000001E-5</v>
      </c>
      <c r="I5253">
        <v>157.22899999999899</v>
      </c>
      <c r="J5253">
        <v>-190.91120000000001</v>
      </c>
      <c r="K5253">
        <v>1.1202289999999999</v>
      </c>
      <c r="L5253">
        <v>185.14789999999999</v>
      </c>
      <c r="M5253">
        <v>-5.5122269999999998E-3</v>
      </c>
      <c r="N5253">
        <v>-5.5026399999999996E-3</v>
      </c>
      <c r="O5253">
        <v>-0.99996969999999996</v>
      </c>
      <c r="P5253">
        <v>-3.264425E-2</v>
      </c>
      <c r="Q5253">
        <v>-3.7099979999999998E-2</v>
      </c>
      <c r="R5253">
        <v>-0.9987781</v>
      </c>
      <c r="S5253">
        <v>-0.1528168</v>
      </c>
      <c r="T5253">
        <v>-0.1195997</v>
      </c>
      <c r="U5253">
        <v>-2.9942630000000001</v>
      </c>
      <c r="V5253">
        <v>2.7120120000000001E-2</v>
      </c>
      <c r="W5253">
        <v>-3.1618109999999998E-2</v>
      </c>
      <c r="X5253">
        <v>0.99913200000000002</v>
      </c>
      <c r="Y5253">
        <v>4.5428490000000002E-2</v>
      </c>
      <c r="Z5253">
        <v>3.4365630000000001E-2</v>
      </c>
      <c r="AA5253">
        <v>0.99837629999999999</v>
      </c>
      <c r="AB5253">
        <v>21</v>
      </c>
      <c r="AC5253">
        <v>-1.4304999999999899</v>
      </c>
      <c r="AD5253">
        <v>-1.12024316478</v>
      </c>
      <c r="AE5253">
        <v>-27.918900000000001</v>
      </c>
      <c r="AF5253">
        <v>1.2745339904683</v>
      </c>
      <c r="AG5253">
        <v>-1.12024316478</v>
      </c>
      <c r="AH5253">
        <v>27.881589152954501</v>
      </c>
      <c r="AI5253">
        <v>92.298428947268505</v>
      </c>
      <c r="AJ5253">
        <v>87.382695204477301</v>
      </c>
      <c r="AK5253">
        <v>27.933177322589898</v>
      </c>
      <c r="AL5253">
        <v>91.811886273617105</v>
      </c>
      <c r="AM5253">
        <v>88.445163436776397</v>
      </c>
      <c r="AN5253">
        <v>0.99999997960639297</v>
      </c>
    </row>
    <row r="5254" spans="1:40" x14ac:dyDescent="0.25">
      <c r="A5254" t="str">
        <f>"20190303153914033"</f>
        <v>20190303153914033</v>
      </c>
      <c r="B5254" t="str">
        <f>"1551598754024147"</f>
        <v>1551598754024147</v>
      </c>
      <c r="C5254" t="s">
        <v>40</v>
      </c>
      <c r="D5254">
        <v>4.5369729999999997</v>
      </c>
      <c r="E5254">
        <v>0.50711209999999995</v>
      </c>
      <c r="F5254" t="s">
        <v>68</v>
      </c>
      <c r="G5254">
        <v>-192.3681</v>
      </c>
      <c r="H5254" s="1">
        <v>-1.402207E-5</v>
      </c>
      <c r="I5254">
        <v>156.89089999999999</v>
      </c>
      <c r="J5254">
        <v>-190.91220000000001</v>
      </c>
      <c r="K5254">
        <v>1.120231</v>
      </c>
      <c r="L5254">
        <v>185.0231</v>
      </c>
      <c r="M5254">
        <v>-5.7385300000000004E-3</v>
      </c>
      <c r="N5254">
        <v>-5.5148949999999997E-3</v>
      </c>
      <c r="O5254">
        <v>-0.99996850000000004</v>
      </c>
      <c r="P5254">
        <v>-3.3253629999999999E-2</v>
      </c>
      <c r="Q5254">
        <v>-3.7634800000000003E-2</v>
      </c>
      <c r="R5254">
        <v>-0.99873860000000003</v>
      </c>
      <c r="S5254">
        <v>-0.15437319999999999</v>
      </c>
      <c r="T5254">
        <v>-0.11870360000000001</v>
      </c>
      <c r="U5254">
        <v>-2.994186</v>
      </c>
      <c r="V5254">
        <v>2.750321E-2</v>
      </c>
      <c r="W5254">
        <v>-3.214115E-2</v>
      </c>
      <c r="X5254">
        <v>0.99910489999999996</v>
      </c>
      <c r="Y5254">
        <v>4.5721850000000001E-2</v>
      </c>
      <c r="Z5254">
        <v>3.4055299999999997E-2</v>
      </c>
      <c r="AA5254">
        <v>0.99837359999999997</v>
      </c>
      <c r="AB5254">
        <v>21</v>
      </c>
      <c r="AC5254">
        <v>-1.45589999999998</v>
      </c>
      <c r="AD5254">
        <v>-1.12024502207</v>
      </c>
      <c r="AE5254">
        <v>-28.132200000000001</v>
      </c>
      <c r="AF5254">
        <v>1.2923922651779101</v>
      </c>
      <c r="AG5254">
        <v>-1.12024502207</v>
      </c>
      <c r="AH5254">
        <v>28.095659584226599</v>
      </c>
      <c r="AI5254">
        <v>92.280908819333305</v>
      </c>
      <c r="AJ5254">
        <v>87.366267200542694</v>
      </c>
      <c r="AK5254">
        <v>28.147669781871901</v>
      </c>
      <c r="AL5254">
        <v>91.841869386637896</v>
      </c>
      <c r="AM5254">
        <v>88.423168583674197</v>
      </c>
      <c r="AN5254">
        <v>1.0000000406438101</v>
      </c>
    </row>
    <row r="5255" spans="1:40" x14ac:dyDescent="0.25">
      <c r="A5255" t="str">
        <f>"20190303153914049"</f>
        <v>20190303153914049</v>
      </c>
      <c r="B5255" t="str">
        <f>"1551598754043667"</f>
        <v>1551598754043667</v>
      </c>
      <c r="C5255" t="s">
        <v>40</v>
      </c>
      <c r="D5255">
        <v>4.5550550000000003</v>
      </c>
      <c r="E5255">
        <v>0.50712659999999998</v>
      </c>
      <c r="F5255" t="s">
        <v>68</v>
      </c>
      <c r="G5255">
        <v>-192.36670000000001</v>
      </c>
      <c r="H5255" s="1">
        <v>-1.4151440000000001E-5</v>
      </c>
      <c r="I5255">
        <v>157.1927</v>
      </c>
      <c r="J5255">
        <v>-190.91329999999999</v>
      </c>
      <c r="K5255">
        <v>1.120242</v>
      </c>
      <c r="L5255">
        <v>184.88120000000001</v>
      </c>
      <c r="M5255">
        <v>-5.995238E-3</v>
      </c>
      <c r="N5255">
        <v>-5.5837780000000002E-3</v>
      </c>
      <c r="O5255">
        <v>-0.99996660000000004</v>
      </c>
      <c r="P5255">
        <v>-3.3974070000000002E-2</v>
      </c>
      <c r="Q5255">
        <v>-4.0546039999999998E-2</v>
      </c>
      <c r="R5255">
        <v>-0.99860009999999999</v>
      </c>
      <c r="S5255">
        <v>-0.1564789</v>
      </c>
      <c r="T5255">
        <v>-0.12051770000000001</v>
      </c>
      <c r="U5255">
        <v>-2.9940340000000001</v>
      </c>
      <c r="V5255">
        <v>2.796626E-2</v>
      </c>
      <c r="W5255">
        <v>-3.4984620000000001E-2</v>
      </c>
      <c r="X5255">
        <v>0.99899649999999995</v>
      </c>
      <c r="Y5255">
        <v>4.6167109999999997E-2</v>
      </c>
      <c r="Z5255">
        <v>3.4591150000000001E-2</v>
      </c>
      <c r="AA5255">
        <v>0.99833459999999996</v>
      </c>
      <c r="AB5255">
        <v>21</v>
      </c>
      <c r="AC5255">
        <v>-1.45340000000001</v>
      </c>
      <c r="AD5255">
        <v>-1.12025615144</v>
      </c>
      <c r="AE5255">
        <v>-27.688500000000001</v>
      </c>
      <c r="AF5255">
        <v>1.2852740206201501</v>
      </c>
      <c r="AG5255">
        <v>-1.12025615144</v>
      </c>
      <c r="AH5255">
        <v>27.6515760766294</v>
      </c>
      <c r="AI5255">
        <v>92.317472108092304</v>
      </c>
      <c r="AJ5255">
        <v>87.3387479968615</v>
      </c>
      <c r="AK5255">
        <v>27.7040892771183</v>
      </c>
      <c r="AL5255">
        <v>92.004880143353603</v>
      </c>
      <c r="AM5255">
        <v>88.396460562910306</v>
      </c>
      <c r="AN5255">
        <v>1.00000002117359</v>
      </c>
    </row>
    <row r="5256" spans="1:40" x14ac:dyDescent="0.25">
      <c r="A5256" t="str">
        <f>"20190303153914062"</f>
        <v>20190303153914062</v>
      </c>
      <c r="B5256" t="str">
        <f>"1551598754053427"</f>
        <v>1551598754053427</v>
      </c>
      <c r="C5256" t="s">
        <v>40</v>
      </c>
      <c r="D5256">
        <v>4.5481290000000003</v>
      </c>
      <c r="E5256">
        <v>0.50716139999999998</v>
      </c>
      <c r="F5256" t="s">
        <v>68</v>
      </c>
      <c r="G5256">
        <v>-192.28030000000001</v>
      </c>
      <c r="H5256" s="1">
        <v>-1.485058E-5</v>
      </c>
      <c r="I5256">
        <v>159.11189999999999</v>
      </c>
      <c r="J5256">
        <v>-190.9143</v>
      </c>
      <c r="K5256">
        <v>1.1202730000000001</v>
      </c>
      <c r="L5256">
        <v>184.7602</v>
      </c>
      <c r="M5256">
        <v>-6.213484E-3</v>
      </c>
      <c r="N5256">
        <v>-5.740991E-3</v>
      </c>
      <c r="O5256">
        <v>-0.99996419999999997</v>
      </c>
      <c r="P5256">
        <v>-3.440182E-2</v>
      </c>
      <c r="Q5256">
        <v>-4.2097530000000001E-2</v>
      </c>
      <c r="R5256">
        <v>-0.99852099999999999</v>
      </c>
      <c r="S5256">
        <v>-0.1587982</v>
      </c>
      <c r="T5256">
        <v>-0.13013479999999999</v>
      </c>
      <c r="U5256">
        <v>-2.9935</v>
      </c>
      <c r="V5256">
        <v>2.817557E-2</v>
      </c>
      <c r="W5256">
        <v>-3.6379639999999998E-2</v>
      </c>
      <c r="X5256">
        <v>0.99894079999999996</v>
      </c>
      <c r="Y5256">
        <v>4.6723189999999998E-2</v>
      </c>
      <c r="Z5256">
        <v>3.7640689999999997E-2</v>
      </c>
      <c r="AA5256">
        <v>0.99819840000000004</v>
      </c>
      <c r="AB5256">
        <v>21</v>
      </c>
      <c r="AC5256">
        <v>-1.3660000000000101</v>
      </c>
      <c r="AD5256">
        <v>-1.12028785057999</v>
      </c>
      <c r="AE5256">
        <v>-25.648299999999999</v>
      </c>
      <c r="AF5256">
        <v>1.2043145581096899</v>
      </c>
      <c r="AG5256">
        <v>-1.12028785057999</v>
      </c>
      <c r="AH5256">
        <v>25.6075756453282</v>
      </c>
      <c r="AI5256">
        <v>92.502233384660698</v>
      </c>
      <c r="AJ5256">
        <v>87.307385239897101</v>
      </c>
      <c r="AK5256">
        <v>25.660345844400499</v>
      </c>
      <c r="AL5256">
        <v>92.084859816988001</v>
      </c>
      <c r="AM5256">
        <v>88.384375374649096</v>
      </c>
      <c r="AN5256">
        <v>1.00000003142799</v>
      </c>
    </row>
    <row r="5257" spans="1:40" x14ac:dyDescent="0.25">
      <c r="A5257" t="str">
        <f>"20190303153914075"</f>
        <v>20190303153914075</v>
      </c>
      <c r="B5257" t="str">
        <f>"1551598754064164"</f>
        <v>1551598754064164</v>
      </c>
      <c r="C5257" t="s">
        <v>40</v>
      </c>
      <c r="D5257">
        <v>4.5505589999999998</v>
      </c>
      <c r="E5257">
        <v>0.50716280000000002</v>
      </c>
      <c r="F5257" t="s">
        <v>42</v>
      </c>
      <c r="G5257">
        <v>-192.24539999999999</v>
      </c>
      <c r="H5257" s="1">
        <v>-7.4378580000000003E-7</v>
      </c>
      <c r="I5257">
        <v>159.90119999999999</v>
      </c>
      <c r="J5257">
        <v>-190.9153</v>
      </c>
      <c r="K5257">
        <v>1.1203270000000001</v>
      </c>
      <c r="L5257">
        <v>184.62950000000001</v>
      </c>
      <c r="M5257">
        <v>-6.4485710000000002E-3</v>
      </c>
      <c r="N5257">
        <v>-5.9726980000000002E-3</v>
      </c>
      <c r="O5257">
        <v>-0.99996130000000005</v>
      </c>
      <c r="P5257">
        <v>-3.4620239999999997E-2</v>
      </c>
      <c r="Q5257">
        <v>-4.3951539999999997E-2</v>
      </c>
      <c r="R5257">
        <v>-0.99843380000000004</v>
      </c>
      <c r="S5257">
        <v>-0.16027829999999901</v>
      </c>
      <c r="T5257">
        <v>-0.13489010000000001</v>
      </c>
      <c r="U5257">
        <v>-2.9932249999999998</v>
      </c>
      <c r="V5257">
        <v>2.8158679999999998E-2</v>
      </c>
      <c r="W5257">
        <v>-3.8002710000000002E-2</v>
      </c>
      <c r="X5257">
        <v>0.99888080000000001</v>
      </c>
      <c r="Y5257">
        <v>4.6982040000000003E-2</v>
      </c>
      <c r="Z5257">
        <v>3.8994620000000001E-2</v>
      </c>
      <c r="AA5257">
        <v>0.99813430000000003</v>
      </c>
      <c r="AB5257">
        <v>21</v>
      </c>
      <c r="AC5257">
        <v>-1.3300999999999801</v>
      </c>
      <c r="AD5257">
        <v>-1.1203277437857999</v>
      </c>
      <c r="AE5257">
        <v>-24.728300000000001</v>
      </c>
      <c r="AF5257">
        <v>1.16821634074547</v>
      </c>
      <c r="AG5257">
        <v>-1.1203277437857999</v>
      </c>
      <c r="AH5257">
        <v>24.685839554678999</v>
      </c>
      <c r="AI5257">
        <v>92.595594406319904</v>
      </c>
      <c r="AJ5257">
        <v>87.290593796796799</v>
      </c>
      <c r="AK5257">
        <v>24.738846743363698</v>
      </c>
      <c r="AL5257">
        <v>92.177919367942394</v>
      </c>
      <c r="AM5257">
        <v>88.385246420252201</v>
      </c>
      <c r="AN5257">
        <v>0.99999998491766295</v>
      </c>
    </row>
    <row r="5258" spans="1:40" x14ac:dyDescent="0.25">
      <c r="A5258" t="str">
        <f>"20190303153914090"</f>
        <v>20190303153914090</v>
      </c>
      <c r="B5258" t="str">
        <f>"1551598754083684"</f>
        <v>1551598754083684</v>
      </c>
      <c r="C5258" t="s">
        <v>40</v>
      </c>
      <c r="D5258">
        <v>4.5620770000000004</v>
      </c>
      <c r="E5258">
        <v>0.50718129999999995</v>
      </c>
      <c r="F5258" t="s">
        <v>42</v>
      </c>
      <c r="G5258">
        <v>-192.1994</v>
      </c>
      <c r="H5258" s="1">
        <v>-1.1363269999999999E-6</v>
      </c>
      <c r="I5258">
        <v>160.75749999999999</v>
      </c>
      <c r="J5258">
        <v>-190.91650000000001</v>
      </c>
      <c r="K5258">
        <v>1.120403</v>
      </c>
      <c r="L5258">
        <v>184.48480000000001</v>
      </c>
      <c r="M5258">
        <v>-6.7082890000000001E-3</v>
      </c>
      <c r="N5258">
        <v>-6.3220910000000002E-3</v>
      </c>
      <c r="O5258">
        <v>-0.99995750000000005</v>
      </c>
      <c r="P5258">
        <v>-3.469564E-2</v>
      </c>
      <c r="Q5258">
        <v>-4.5637659999999997E-2</v>
      </c>
      <c r="R5258">
        <v>-0.9983554</v>
      </c>
      <c r="S5258">
        <v>-0.16099550000000001</v>
      </c>
      <c r="T5258">
        <v>-0.14045929999999901</v>
      </c>
      <c r="U5258">
        <v>-2.9929199999999998</v>
      </c>
      <c r="V5258">
        <v>2.7974289999999999E-2</v>
      </c>
      <c r="W5258">
        <v>-3.9340220000000002E-2</v>
      </c>
      <c r="X5258">
        <v>0.99883420000000001</v>
      </c>
      <c r="Y5258">
        <v>4.6962539999999997E-2</v>
      </c>
      <c r="Z5258">
        <v>4.0502759999999999E-2</v>
      </c>
      <c r="AA5258">
        <v>0.99807520000000005</v>
      </c>
      <c r="AB5258">
        <v>21</v>
      </c>
      <c r="AC5258">
        <v>-1.2828999999999799</v>
      </c>
      <c r="AD5258">
        <v>-1.1204041363269901</v>
      </c>
      <c r="AE5258">
        <v>-23.7273</v>
      </c>
      <c r="AF5258">
        <v>1.12120566216683</v>
      </c>
      <c r="AG5258">
        <v>-1.1204041363269901</v>
      </c>
      <c r="AH5258">
        <v>23.682720123868702</v>
      </c>
      <c r="AI5258">
        <v>92.705556646639295</v>
      </c>
      <c r="AJ5258">
        <v>87.289482722973304</v>
      </c>
      <c r="AK5258">
        <v>23.735703908480801</v>
      </c>
      <c r="AL5258">
        <v>92.254610415953096</v>
      </c>
      <c r="AM5258">
        <v>88.3957398795892</v>
      </c>
      <c r="AN5258">
        <v>0.99999998645014598</v>
      </c>
    </row>
    <row r="5259" spans="1:40" x14ac:dyDescent="0.25">
      <c r="A5259" t="str">
        <f>"20190303153914104"</f>
        <v>20190303153914104</v>
      </c>
      <c r="B5259" t="str">
        <f>"1551598754093443"</f>
        <v>1551598754093443</v>
      </c>
      <c r="C5259" t="s">
        <v>40</v>
      </c>
      <c r="D5259">
        <v>4.5508940000000004</v>
      </c>
      <c r="E5259">
        <v>0.50714919999999997</v>
      </c>
      <c r="F5259" t="s">
        <v>42</v>
      </c>
      <c r="G5259">
        <v>-192.15459999999999</v>
      </c>
      <c r="H5259" s="1">
        <v>-1.4835789999999999E-6</v>
      </c>
      <c r="I5259">
        <v>161.51730000000001</v>
      </c>
      <c r="J5259">
        <v>-190.9177</v>
      </c>
      <c r="K5259">
        <v>1.120476</v>
      </c>
      <c r="L5259">
        <v>184.35300000000001</v>
      </c>
      <c r="M5259">
        <v>-6.9444559999999999E-3</v>
      </c>
      <c r="N5259">
        <v>-6.7335110000000002E-3</v>
      </c>
      <c r="O5259">
        <v>-0.99995319999999999</v>
      </c>
      <c r="P5259">
        <v>-3.4207210000000002E-2</v>
      </c>
      <c r="Q5259">
        <v>-4.7380819999999997E-2</v>
      </c>
      <c r="R5259">
        <v>-0.99829100000000004</v>
      </c>
      <c r="S5259">
        <v>-0.16131589999999901</v>
      </c>
      <c r="T5259">
        <v>-0.14598929999999999</v>
      </c>
      <c r="U5259">
        <v>-2.9926759999999999</v>
      </c>
      <c r="V5259">
        <v>2.724965E-2</v>
      </c>
      <c r="W5259">
        <v>-4.0672390000000003E-2</v>
      </c>
      <c r="X5259">
        <v>0.99880089999999999</v>
      </c>
      <c r="Y5259">
        <v>4.68335E-2</v>
      </c>
      <c r="Z5259">
        <v>4.1935159999999999E-2</v>
      </c>
      <c r="AA5259">
        <v>0.99802210000000002</v>
      </c>
      <c r="AB5259">
        <v>21</v>
      </c>
      <c r="AC5259">
        <v>-1.2368999999999899</v>
      </c>
      <c r="AD5259">
        <v>-1.1204774835789999</v>
      </c>
      <c r="AE5259">
        <v>-22.8356999999999</v>
      </c>
      <c r="AF5259">
        <v>1.07570281561051</v>
      </c>
      <c r="AG5259">
        <v>-1.1204774835789999</v>
      </c>
      <c r="AH5259">
        <v>22.7890336008087</v>
      </c>
      <c r="AI5259">
        <v>92.811692063488294</v>
      </c>
      <c r="AJ5259">
        <v>87.297493227731707</v>
      </c>
      <c r="AK5259">
        <v>22.841905761067899</v>
      </c>
      <c r="AL5259">
        <v>92.330999235854307</v>
      </c>
      <c r="AM5259">
        <v>88.437223333678304</v>
      </c>
      <c r="AN5259">
        <v>1.00000001228712</v>
      </c>
    </row>
    <row r="5260" spans="1:40" x14ac:dyDescent="0.25">
      <c r="A5260" t="str">
        <f>"20190303153914117"</f>
        <v>20190303153914117</v>
      </c>
      <c r="B5260" t="str">
        <f>"1551598754113939"</f>
        <v>1551598754113939</v>
      </c>
      <c r="C5260" t="s">
        <v>40</v>
      </c>
      <c r="D5260">
        <v>4.6546919999999998</v>
      </c>
      <c r="E5260">
        <v>0.50704119999999997</v>
      </c>
      <c r="F5260" t="s">
        <v>42</v>
      </c>
      <c r="G5260">
        <v>-192.09950000000001</v>
      </c>
      <c r="H5260" s="1">
        <v>-1.793384E-6</v>
      </c>
      <c r="I5260">
        <v>162.2037</v>
      </c>
      <c r="J5260">
        <v>-190.9188</v>
      </c>
      <c r="K5260">
        <v>1.1205459999999901</v>
      </c>
      <c r="L5260">
        <v>184.23179999999999</v>
      </c>
      <c r="M5260">
        <v>-7.1628560000000004E-3</v>
      </c>
      <c r="N5260">
        <v>-7.1234769999999996E-3</v>
      </c>
      <c r="O5260">
        <v>-0.99994919999999998</v>
      </c>
      <c r="P5260">
        <v>-3.3570780000000001E-2</v>
      </c>
      <c r="Q5260">
        <v>-4.8548809999999998E-2</v>
      </c>
      <c r="R5260">
        <v>-0.9982567</v>
      </c>
      <c r="S5260">
        <v>-0.159668</v>
      </c>
      <c r="T5260">
        <v>-0.15138270000000001</v>
      </c>
      <c r="U5260">
        <v>-2.9924930000000001</v>
      </c>
      <c r="V5260">
        <v>2.6394939999999999E-2</v>
      </c>
      <c r="W5260">
        <v>-4.1450559999999997E-2</v>
      </c>
      <c r="X5260">
        <v>0.99879189999999995</v>
      </c>
      <c r="Y5260">
        <v>4.6066650000000001E-2</v>
      </c>
      <c r="Z5260">
        <v>4.3344029999999999E-2</v>
      </c>
      <c r="AA5260">
        <v>0.99799760000000004</v>
      </c>
      <c r="AB5260">
        <v>21</v>
      </c>
      <c r="AC5260">
        <v>-1.1807000000000001</v>
      </c>
      <c r="AD5260">
        <v>-1.12054779338399</v>
      </c>
      <c r="AE5260">
        <v>-22.028099999999899</v>
      </c>
      <c r="AF5260">
        <v>1.0202491415788399</v>
      </c>
      <c r="AG5260">
        <v>-1.12054779338399</v>
      </c>
      <c r="AH5260">
        <v>21.979280361716299</v>
      </c>
      <c r="AI5260">
        <v>92.915393146647205</v>
      </c>
      <c r="AJ5260">
        <v>87.342313388093501</v>
      </c>
      <c r="AK5260">
        <v>22.0314616148606</v>
      </c>
      <c r="AL5260">
        <v>92.375622636480301</v>
      </c>
      <c r="AM5260">
        <v>88.486204430954402</v>
      </c>
      <c r="AN5260">
        <v>1.0000000506437601</v>
      </c>
    </row>
    <row r="5261" spans="1:40" x14ac:dyDescent="0.25">
      <c r="A5261" t="str">
        <f>"20190303153914132"</f>
        <v>20190303153914132</v>
      </c>
      <c r="B5261" t="str">
        <f>"1551598754123699"</f>
        <v>1551598754123699</v>
      </c>
      <c r="C5261" t="s">
        <v>40</v>
      </c>
      <c r="D5261">
        <v>4.6547489999999998</v>
      </c>
      <c r="E5261">
        <v>0.50692859999999995</v>
      </c>
      <c r="F5261" t="s">
        <v>42</v>
      </c>
      <c r="G5261">
        <v>-192.05609999999999</v>
      </c>
      <c r="H5261" s="1">
        <v>-1.935396E-6</v>
      </c>
      <c r="I5261">
        <v>162.52860000000001</v>
      </c>
      <c r="J5261">
        <v>-190.92009999999999</v>
      </c>
      <c r="K5261">
        <v>1.1206229999999999</v>
      </c>
      <c r="L5261">
        <v>184.08850000000001</v>
      </c>
      <c r="M5261">
        <v>-7.422199E-3</v>
      </c>
      <c r="N5261">
        <v>-7.5878200000000003E-3</v>
      </c>
      <c r="O5261">
        <v>-0.99994369999999999</v>
      </c>
      <c r="P5261">
        <v>-3.3086780000000003E-2</v>
      </c>
      <c r="Q5261">
        <v>-4.955553E-2</v>
      </c>
      <c r="R5261">
        <v>-0.99822290000000002</v>
      </c>
      <c r="S5261">
        <v>-0.1568146</v>
      </c>
      <c r="T5261">
        <v>-0.15450059999999999</v>
      </c>
      <c r="U5261">
        <v>-2.992432</v>
      </c>
      <c r="V5261">
        <v>2.5651960000000001E-2</v>
      </c>
      <c r="W5261">
        <v>-4.1993219999999998E-2</v>
      </c>
      <c r="X5261">
        <v>0.99878849999999997</v>
      </c>
      <c r="Y5261">
        <v>4.4857679999999997E-2</v>
      </c>
      <c r="Z5261">
        <v>4.3920720000000003E-2</v>
      </c>
      <c r="AA5261">
        <v>0.99802740000000001</v>
      </c>
      <c r="AB5261">
        <v>21</v>
      </c>
      <c r="AC5261">
        <v>-1.1359999999999899</v>
      </c>
      <c r="AD5261">
        <v>-1.1206249353959901</v>
      </c>
      <c r="AE5261">
        <v>-21.559899999999999</v>
      </c>
      <c r="AF5261">
        <v>0.97331995997555998</v>
      </c>
      <c r="AG5261">
        <v>-1.1206249353959901</v>
      </c>
      <c r="AH5261">
        <v>21.5097872004221</v>
      </c>
      <c r="AI5261">
        <v>92.979277565926495</v>
      </c>
      <c r="AJ5261">
        <v>87.409127779480997</v>
      </c>
      <c r="AK5261">
        <v>21.560939158528299</v>
      </c>
      <c r="AL5261">
        <v>92.406742076368303</v>
      </c>
      <c r="AM5261">
        <v>88.528791617759396</v>
      </c>
      <c r="AN5261">
        <v>0.99999996065502905</v>
      </c>
    </row>
    <row r="5262" spans="1:40" x14ac:dyDescent="0.25">
      <c r="A5262" t="str">
        <f>"20190303153914147"</f>
        <v>20190303153914147</v>
      </c>
      <c r="B5262" t="str">
        <f>"1551598754144195"</f>
        <v>1551598754144195</v>
      </c>
      <c r="C5262" t="s">
        <v>40</v>
      </c>
      <c r="D5262">
        <v>4.6767149999999997</v>
      </c>
      <c r="E5262">
        <v>0.50673089999999998</v>
      </c>
      <c r="F5262" t="s">
        <v>42</v>
      </c>
      <c r="G5262">
        <v>-192.01840000000001</v>
      </c>
      <c r="H5262" s="1">
        <v>-2.05987E-6</v>
      </c>
      <c r="I5262">
        <v>162.81309999999999</v>
      </c>
      <c r="J5262">
        <v>-190.92150000000001</v>
      </c>
      <c r="K5262">
        <v>1.120682</v>
      </c>
      <c r="L5262">
        <v>183.941</v>
      </c>
      <c r="M5262">
        <v>-7.6908509999999899E-3</v>
      </c>
      <c r="N5262">
        <v>-8.0367839999999999E-3</v>
      </c>
      <c r="O5262">
        <v>-0.9999382</v>
      </c>
      <c r="P5262">
        <v>-3.2619000000000002E-2</v>
      </c>
      <c r="Q5262">
        <v>-5.0646139999999999E-2</v>
      </c>
      <c r="R5262">
        <v>-0.99818390000000001</v>
      </c>
      <c r="S5262">
        <v>-0.15448000000000001</v>
      </c>
      <c r="T5262">
        <v>-0.15761649999999999</v>
      </c>
      <c r="U5262">
        <v>-2.9924010000000001</v>
      </c>
      <c r="V5262">
        <v>2.4915840000000002E-2</v>
      </c>
      <c r="W5262">
        <v>-4.2635190000000003E-2</v>
      </c>
      <c r="X5262">
        <v>0.99878</v>
      </c>
      <c r="Y5262">
        <v>4.3811269999999999E-2</v>
      </c>
      <c r="Z5262">
        <v>4.4511099999999998E-2</v>
      </c>
      <c r="AA5262">
        <v>0.99804780000000004</v>
      </c>
      <c r="AB5262">
        <v>21</v>
      </c>
      <c r="AC5262">
        <v>-1.0969</v>
      </c>
      <c r="AD5262">
        <v>-1.1206840598700001</v>
      </c>
      <c r="AE5262">
        <v>-21.127899999999901</v>
      </c>
      <c r="AF5262">
        <v>0.93175629955940198</v>
      </c>
      <c r="AG5262">
        <v>-1.1206840598700001</v>
      </c>
      <c r="AH5262">
        <v>21.0765710125685</v>
      </c>
      <c r="AI5262">
        <v>93.040702349082693</v>
      </c>
      <c r="AJ5262">
        <v>87.468707510244201</v>
      </c>
      <c r="AK5262">
        <v>21.1269010555656</v>
      </c>
      <c r="AL5262">
        <v>92.443557069859096</v>
      </c>
      <c r="AM5262">
        <v>88.570980144249006</v>
      </c>
      <c r="AN5262">
        <v>1.00000002345462</v>
      </c>
    </row>
    <row r="5263" spans="1:40" x14ac:dyDescent="0.25">
      <c r="A5263" t="str">
        <f>"20190303153914162"</f>
        <v>20190303153914162</v>
      </c>
      <c r="B5263" t="str">
        <f>"1551598754153955"</f>
        <v>1551598754153955</v>
      </c>
      <c r="C5263" t="s">
        <v>40</v>
      </c>
      <c r="D5263">
        <v>4.6668539999999998</v>
      </c>
      <c r="E5263">
        <v>0.50665470000000001</v>
      </c>
      <c r="F5263" t="s">
        <v>42</v>
      </c>
      <c r="G5263">
        <v>-191.97559999999999</v>
      </c>
      <c r="H5263" s="1">
        <v>-2.1944729999999998E-6</v>
      </c>
      <c r="I5263">
        <v>163.12190000000001</v>
      </c>
      <c r="J5263">
        <v>-190.9229</v>
      </c>
      <c r="K5263">
        <v>1.1207049999999901</v>
      </c>
      <c r="L5263">
        <v>183.8022</v>
      </c>
      <c r="M5263">
        <v>-7.9431940000000006E-3</v>
      </c>
      <c r="N5263">
        <v>-8.4293790000000007E-3</v>
      </c>
      <c r="O5263">
        <v>-0.99993290000000001</v>
      </c>
      <c r="P5263">
        <v>-3.1358370000000003E-2</v>
      </c>
      <c r="Q5263">
        <v>-5.218619E-2</v>
      </c>
      <c r="R5263">
        <v>-0.99814499999999995</v>
      </c>
      <c r="S5263">
        <v>-0.15150449999999999</v>
      </c>
      <c r="T5263">
        <v>-0.16107650000000001</v>
      </c>
      <c r="U5263">
        <v>-2.99234</v>
      </c>
      <c r="V5263">
        <v>2.3402829999999999E-2</v>
      </c>
      <c r="W5263">
        <v>-4.378257E-2</v>
      </c>
      <c r="X5263">
        <v>0.99876699999999996</v>
      </c>
      <c r="Y5263">
        <v>4.2568099999999998E-2</v>
      </c>
      <c r="Z5263">
        <v>4.52732E-2</v>
      </c>
      <c r="AA5263">
        <v>0.99806729999999999</v>
      </c>
      <c r="AB5263">
        <v>21</v>
      </c>
      <c r="AC5263">
        <v>-1.05269999999998</v>
      </c>
      <c r="AD5263">
        <v>-1.1207071944729901</v>
      </c>
      <c r="AE5263">
        <v>-20.6802999999999</v>
      </c>
      <c r="AF5263">
        <v>0.88579864446270695</v>
      </c>
      <c r="AG5263">
        <v>-1.1207071944729901</v>
      </c>
      <c r="AH5263">
        <v>20.627587619362799</v>
      </c>
      <c r="AI5263">
        <v>93.106993198887906</v>
      </c>
      <c r="AJ5263">
        <v>87.541090966575496</v>
      </c>
      <c r="AK5263">
        <v>20.676991919734501</v>
      </c>
      <c r="AL5263">
        <v>92.509358458553393</v>
      </c>
      <c r="AM5263">
        <v>88.657706886143103</v>
      </c>
      <c r="AN5263">
        <v>1.0000000630884001</v>
      </c>
    </row>
    <row r="5264" spans="1:40" x14ac:dyDescent="0.25">
      <c r="A5264" t="str">
        <f>"20190303153914176"</f>
        <v>20190303153914176</v>
      </c>
      <c r="B5264" t="str">
        <f>"1551598754163714"</f>
        <v>1551598754163714</v>
      </c>
      <c r="C5264" t="s">
        <v>40</v>
      </c>
      <c r="D5264">
        <v>4.6713449999999996</v>
      </c>
      <c r="E5264">
        <v>0.50659189999999998</v>
      </c>
      <c r="F5264" t="s">
        <v>42</v>
      </c>
      <c r="G5264">
        <v>-191.91890000000001</v>
      </c>
      <c r="H5264" s="1">
        <v>-2.3825160000000001E-6</v>
      </c>
      <c r="I5264">
        <v>163.55170000000001</v>
      </c>
      <c r="J5264">
        <v>-190.92420000000001</v>
      </c>
      <c r="K5264">
        <v>1.120727</v>
      </c>
      <c r="L5264">
        <v>183.66890000000001</v>
      </c>
      <c r="M5264">
        <v>-8.1831739999999997E-3</v>
      </c>
      <c r="N5264">
        <v>-8.79366E-3</v>
      </c>
      <c r="O5264">
        <v>-0.99992789999999998</v>
      </c>
      <c r="P5264">
        <v>-3.1027579999999999E-2</v>
      </c>
      <c r="Q5264">
        <v>-5.3123539999999997E-2</v>
      </c>
      <c r="R5264">
        <v>-0.99810580000000004</v>
      </c>
      <c r="S5264">
        <v>-0.147171</v>
      </c>
      <c r="T5264">
        <v>-0.16560030000000001</v>
      </c>
      <c r="U5264">
        <v>-2.9922939999999998</v>
      </c>
      <c r="V5264">
        <v>2.2832249999999998E-2</v>
      </c>
      <c r="W5264">
        <v>-4.4356100000000002E-2</v>
      </c>
      <c r="X5264">
        <v>0.9987549</v>
      </c>
      <c r="Y5264">
        <v>4.0884240000000002E-2</v>
      </c>
      <c r="Z5264">
        <v>4.6417960000000001E-2</v>
      </c>
      <c r="AA5264">
        <v>0.99808509999999995</v>
      </c>
      <c r="AB5264">
        <v>21</v>
      </c>
      <c r="AC5264">
        <v>-0.99469999999999403</v>
      </c>
      <c r="AD5264">
        <v>-1.1207293825160001</v>
      </c>
      <c r="AE5264">
        <v>-20.1172</v>
      </c>
      <c r="AF5264">
        <v>0.82747589191075099</v>
      </c>
      <c r="AG5264">
        <v>-1.1207293825160001</v>
      </c>
      <c r="AH5264">
        <v>20.0625521080825</v>
      </c>
      <c r="AI5264">
        <v>93.194609370551802</v>
      </c>
      <c r="AJ5264">
        <v>87.638185843284006</v>
      </c>
      <c r="AK5264">
        <v>20.1108614382889</v>
      </c>
      <c r="AL5264">
        <v>92.542251262370897</v>
      </c>
      <c r="AM5264">
        <v>88.690405683202599</v>
      </c>
      <c r="AN5264">
        <v>1.00000006276063</v>
      </c>
    </row>
    <row r="5265" spans="1:40" x14ac:dyDescent="0.25">
      <c r="A5265" t="str">
        <f>"20190303153914188"</f>
        <v>20190303153914188</v>
      </c>
      <c r="B5265" t="str">
        <f>"1551598754184212"</f>
        <v>1551598754184212</v>
      </c>
      <c r="C5265" t="s">
        <v>40</v>
      </c>
      <c r="D5265">
        <v>4.6303869999999998</v>
      </c>
      <c r="E5265">
        <v>0.50647940000000002</v>
      </c>
      <c r="F5265" t="s">
        <v>42</v>
      </c>
      <c r="G5265">
        <v>-191.89340000000001</v>
      </c>
      <c r="H5265" s="1">
        <v>-2.4705560000000002E-6</v>
      </c>
      <c r="I5265">
        <v>163.75219999999999</v>
      </c>
      <c r="J5265">
        <v>-190.9254</v>
      </c>
      <c r="K5265">
        <v>1.1207480000000001</v>
      </c>
      <c r="L5265">
        <v>183.55179999999999</v>
      </c>
      <c r="M5265">
        <v>-8.3922249999999997E-3</v>
      </c>
      <c r="N5265">
        <v>-9.106299E-3</v>
      </c>
      <c r="O5265">
        <v>-0.99992340000000002</v>
      </c>
      <c r="P5265">
        <v>-3.1014460000000001E-2</v>
      </c>
      <c r="Q5265">
        <v>-5.388105E-2</v>
      </c>
      <c r="R5265">
        <v>-0.9980656</v>
      </c>
      <c r="S5265">
        <v>-0.14561459999999901</v>
      </c>
      <c r="T5265">
        <v>-0.16837289999999999</v>
      </c>
      <c r="U5265">
        <v>-2.9921880000000001</v>
      </c>
      <c r="V5265">
        <v>2.261028E-2</v>
      </c>
      <c r="W5265">
        <v>-4.4801590000000002E-2</v>
      </c>
      <c r="X5265">
        <v>0.99873999999999996</v>
      </c>
      <c r="Y5265">
        <v>4.0157329999999998E-2</v>
      </c>
      <c r="Z5265">
        <v>4.7030830000000003E-2</v>
      </c>
      <c r="AA5265">
        <v>0.99808589999999997</v>
      </c>
      <c r="AB5265">
        <v>21</v>
      </c>
      <c r="AC5265">
        <v>-0.96800000000001696</v>
      </c>
      <c r="AD5265">
        <v>-1.1207504705560001</v>
      </c>
      <c r="AE5265">
        <v>-19.799600000000002</v>
      </c>
      <c r="AF5265">
        <v>0.79924159648006199</v>
      </c>
      <c r="AG5265">
        <v>-1.1207504705560001</v>
      </c>
      <c r="AH5265">
        <v>19.7439162194209</v>
      </c>
      <c r="AI5265">
        <v>93.246217944121895</v>
      </c>
      <c r="AJ5265">
        <v>87.681909649584895</v>
      </c>
      <c r="AK5265">
        <v>19.7918441896228</v>
      </c>
      <c r="AL5265">
        <v>92.567801525841602</v>
      </c>
      <c r="AM5265">
        <v>88.703113554201195</v>
      </c>
      <c r="AN5265">
        <v>0.99999999741410295</v>
      </c>
    </row>
    <row r="5266" spans="1:40" x14ac:dyDescent="0.25">
      <c r="A5266" t="str">
        <f>"20190303153914204"</f>
        <v>20190303153914204</v>
      </c>
      <c r="B5266" t="str">
        <f>"1551598754193971"</f>
        <v>1551598754193971</v>
      </c>
      <c r="C5266" t="s">
        <v>40</v>
      </c>
      <c r="D5266">
        <v>4.6302009999999996</v>
      </c>
      <c r="E5266">
        <v>0.50640759999999996</v>
      </c>
      <c r="F5266" t="s">
        <v>42</v>
      </c>
      <c r="G5266">
        <v>-191.8723</v>
      </c>
      <c r="H5266" s="1">
        <v>-2.5702270000000001E-6</v>
      </c>
      <c r="I5266">
        <v>163.97499999999999</v>
      </c>
      <c r="J5266">
        <v>-190.9271</v>
      </c>
      <c r="K5266">
        <v>1.120776</v>
      </c>
      <c r="L5266">
        <v>183.39609999999999</v>
      </c>
      <c r="M5266">
        <v>-8.6626919999999996E-3</v>
      </c>
      <c r="N5266">
        <v>-9.5070180000000008E-3</v>
      </c>
      <c r="O5266">
        <v>-0.99991739999999996</v>
      </c>
      <c r="P5266">
        <v>-3.107412E-2</v>
      </c>
      <c r="Q5266">
        <v>-5.5323499999999998E-2</v>
      </c>
      <c r="R5266">
        <v>-0.99798509999999996</v>
      </c>
      <c r="S5266">
        <v>-0.14471439999999999</v>
      </c>
      <c r="T5266">
        <v>-0.1712919</v>
      </c>
      <c r="U5266">
        <v>-2.9920499999999999</v>
      </c>
      <c r="V5266">
        <v>2.2399559999999999E-2</v>
      </c>
      <c r="W5266">
        <v>-4.5844509999999998E-2</v>
      </c>
      <c r="X5266">
        <v>0.99869739999999996</v>
      </c>
      <c r="Y5266">
        <v>3.9587709999999998E-2</v>
      </c>
      <c r="Z5266">
        <v>4.7604479999999998E-2</v>
      </c>
      <c r="AA5266">
        <v>0.99808140000000001</v>
      </c>
      <c r="AB5266">
        <v>21</v>
      </c>
      <c r="AC5266">
        <v>-0.94519999999999904</v>
      </c>
      <c r="AD5266">
        <v>-1.1207785702269999</v>
      </c>
      <c r="AE5266">
        <v>-19.421099999999999</v>
      </c>
      <c r="AF5266">
        <v>0.77434518055803903</v>
      </c>
      <c r="AG5266">
        <v>-1.1207785702269999</v>
      </c>
      <c r="AH5266">
        <v>19.364222007487399</v>
      </c>
      <c r="AI5266">
        <v>93.309877787939399</v>
      </c>
      <c r="AJ5266">
        <v>87.710050793745097</v>
      </c>
      <c r="AK5266">
        <v>19.4120799765866</v>
      </c>
      <c r="AL5266">
        <v>92.627617962305706</v>
      </c>
      <c r="AM5266">
        <v>88.715141231910394</v>
      </c>
      <c r="AN5266">
        <v>0.99999997807604601</v>
      </c>
    </row>
    <row r="5267" spans="1:40" x14ac:dyDescent="0.25">
      <c r="A5267" t="str">
        <f>"20190303153914218"</f>
        <v>20190303153914218</v>
      </c>
      <c r="B5267" t="str">
        <f>"1551598754213492"</f>
        <v>1551598754213492</v>
      </c>
      <c r="C5267" t="s">
        <v>40</v>
      </c>
      <c r="D5267">
        <v>4.6279899999999996</v>
      </c>
      <c r="E5267">
        <v>0.50630339999999996</v>
      </c>
      <c r="F5267" t="s">
        <v>42</v>
      </c>
      <c r="G5267">
        <v>-191.84450000000001</v>
      </c>
      <c r="H5267" s="1">
        <v>-2.7574839999999998E-6</v>
      </c>
      <c r="I5267">
        <v>164.38679999999999</v>
      </c>
      <c r="J5267">
        <v>-190.92840000000001</v>
      </c>
      <c r="K5267">
        <v>1.1208</v>
      </c>
      <c r="L5267">
        <v>183.27209999999999</v>
      </c>
      <c r="M5267">
        <v>-8.8794430000000008E-3</v>
      </c>
      <c r="N5267">
        <v>-9.8108480000000005E-3</v>
      </c>
      <c r="O5267">
        <v>-0.99991269999999999</v>
      </c>
      <c r="P5267">
        <v>-3.1289669999999999E-2</v>
      </c>
      <c r="Q5267">
        <v>-5.6359979999999997E-2</v>
      </c>
      <c r="R5267">
        <v>-0.99792029999999998</v>
      </c>
      <c r="S5267">
        <v>-0.14439389999999999</v>
      </c>
      <c r="T5267">
        <v>-0.17639460000000001</v>
      </c>
      <c r="U5267">
        <v>-2.9917910000000001</v>
      </c>
      <c r="V5267">
        <v>2.239878E-2</v>
      </c>
      <c r="W5267">
        <v>-4.6578090000000003E-2</v>
      </c>
      <c r="X5267">
        <v>0.99866350000000004</v>
      </c>
      <c r="Y5267">
        <v>3.9264670000000002E-2</v>
      </c>
      <c r="Z5267">
        <v>4.9002469999999999E-2</v>
      </c>
      <c r="AA5267">
        <v>0.99802650000000004</v>
      </c>
      <c r="AB5267">
        <v>21</v>
      </c>
      <c r="AC5267">
        <v>-0.91610000000000003</v>
      </c>
      <c r="AD5267">
        <v>-1.120802757484</v>
      </c>
      <c r="AE5267">
        <v>-18.885300000000001</v>
      </c>
      <c r="AF5267">
        <v>0.74574443338252505</v>
      </c>
      <c r="AG5267">
        <v>-1.120802757484</v>
      </c>
      <c r="AH5267">
        <v>18.8265356242438</v>
      </c>
      <c r="AI5267">
        <v>93.404312942272199</v>
      </c>
      <c r="AJ5267">
        <v>87.731622911947895</v>
      </c>
      <c r="AK5267">
        <v>18.8746066764853</v>
      </c>
      <c r="AL5267">
        <v>92.669693880440605</v>
      </c>
      <c r="AM5267">
        <v>88.715142359544004</v>
      </c>
      <c r="AN5267">
        <v>1.0000000050228901</v>
      </c>
    </row>
    <row r="5268" spans="1:40" x14ac:dyDescent="0.25">
      <c r="A5268" t="str">
        <f>"20190303153914230"</f>
        <v>20190303153914230</v>
      </c>
      <c r="B5268" t="str">
        <f>"1551598754224227"</f>
        <v>1551598754224227</v>
      </c>
      <c r="C5268" t="s">
        <v>40</v>
      </c>
      <c r="D5268">
        <v>4.6078210000000004</v>
      </c>
      <c r="E5268">
        <v>0.50623509999999905</v>
      </c>
      <c r="F5268" t="s">
        <v>42</v>
      </c>
      <c r="G5268">
        <v>-191.82499999999999</v>
      </c>
      <c r="H5268" s="1">
        <v>-2.8834880000000001E-6</v>
      </c>
      <c r="I5268">
        <v>164.6643</v>
      </c>
      <c r="J5268">
        <v>-190.9297</v>
      </c>
      <c r="K5268">
        <v>1.120825</v>
      </c>
      <c r="L5268">
        <v>183.1584</v>
      </c>
      <c r="M5268">
        <v>-9.0795579999999997E-3</v>
      </c>
      <c r="N5268">
        <v>-1.00816E-2</v>
      </c>
      <c r="O5268">
        <v>-0.99990789999999996</v>
      </c>
      <c r="P5268">
        <v>-3.14814E-2</v>
      </c>
      <c r="Q5268">
        <v>-5.6848219999999998E-2</v>
      </c>
      <c r="R5268">
        <v>-0.99788619999999995</v>
      </c>
      <c r="S5268">
        <v>-0.14414979999999999</v>
      </c>
      <c r="T5268">
        <v>-0.1801912</v>
      </c>
      <c r="U5268">
        <v>-2.9915769999999999</v>
      </c>
      <c r="V5268">
        <v>2.2390980000000001E-2</v>
      </c>
      <c r="W5268">
        <v>-4.6796129999999998E-2</v>
      </c>
      <c r="X5268">
        <v>0.99865349999999997</v>
      </c>
      <c r="Y5268">
        <v>3.8983900000000002E-2</v>
      </c>
      <c r="Z5268">
        <v>4.9998359999999999E-2</v>
      </c>
      <c r="AA5268">
        <v>0.99798819999999999</v>
      </c>
      <c r="AB5268">
        <v>21</v>
      </c>
      <c r="AC5268">
        <v>-0.89529999999999099</v>
      </c>
      <c r="AD5268">
        <v>-1.1208278834880001</v>
      </c>
      <c r="AE5268">
        <v>-18.4941</v>
      </c>
      <c r="AF5268">
        <v>0.72468082318885496</v>
      </c>
      <c r="AG5268">
        <v>-1.1208278834880001</v>
      </c>
      <c r="AH5268">
        <v>18.433918931141999</v>
      </c>
      <c r="AI5268">
        <v>93.476762652411495</v>
      </c>
      <c r="AJ5268">
        <v>87.748727069421307</v>
      </c>
      <c r="AK5268">
        <v>18.482174780036399</v>
      </c>
      <c r="AL5268">
        <v>92.682200240258894</v>
      </c>
      <c r="AM5268">
        <v>88.715576782676195</v>
      </c>
      <c r="AN5268">
        <v>1.0000000234152899</v>
      </c>
    </row>
    <row r="5269" spans="1:40" x14ac:dyDescent="0.25">
      <c r="A5269" t="str">
        <f>"20190303153914241"</f>
        <v>20190303153914241</v>
      </c>
      <c r="B5269" t="str">
        <f>"1551598754233987"</f>
        <v>1551598754233987</v>
      </c>
      <c r="C5269" t="s">
        <v>40</v>
      </c>
      <c r="D5269">
        <v>4.6646900000000002</v>
      </c>
      <c r="E5269">
        <v>0.5061755</v>
      </c>
      <c r="F5269" t="s">
        <v>42</v>
      </c>
      <c r="G5269">
        <v>-191.81469999999999</v>
      </c>
      <c r="H5269" s="1">
        <v>-2.939201E-6</v>
      </c>
      <c r="I5269">
        <v>164.78799999999899</v>
      </c>
      <c r="J5269">
        <v>-190.93100000000001</v>
      </c>
      <c r="K5269">
        <v>1.120841</v>
      </c>
      <c r="L5269">
        <v>183.03880000000001</v>
      </c>
      <c r="M5269">
        <v>-9.2958069999999997E-3</v>
      </c>
      <c r="N5269">
        <v>-1.033772E-2</v>
      </c>
      <c r="O5269">
        <v>-0.9999036</v>
      </c>
      <c r="P5269">
        <v>-3.1623419999999999E-2</v>
      </c>
      <c r="Q5269">
        <v>-5.7056849999999999E-2</v>
      </c>
      <c r="R5269">
        <v>-0.99787009999999998</v>
      </c>
      <c r="S5269">
        <v>-0.14411930000000001</v>
      </c>
      <c r="T5269">
        <v>-0.18251290000000001</v>
      </c>
      <c r="U5269">
        <v>-2.9913940000000001</v>
      </c>
      <c r="V5269">
        <v>2.2317719999999999E-2</v>
      </c>
      <c r="W5269">
        <v>-4.6748820000000003E-2</v>
      </c>
      <c r="X5269">
        <v>0.99865729999999997</v>
      </c>
      <c r="Y5269">
        <v>3.8758809999999998E-2</v>
      </c>
      <c r="Z5269">
        <v>5.0517960000000001E-2</v>
      </c>
      <c r="AA5269">
        <v>0.99797080000000005</v>
      </c>
      <c r="AB5269">
        <v>21</v>
      </c>
      <c r="AC5269">
        <v>-0.88370000000000404</v>
      </c>
      <c r="AD5269">
        <v>-1.1208439392009999</v>
      </c>
      <c r="AE5269">
        <v>-18.250800000000002</v>
      </c>
      <c r="AF5269">
        <v>0.711320329011497</v>
      </c>
      <c r="AG5269">
        <v>-1.1208439392009999</v>
      </c>
      <c r="AH5269">
        <v>18.189782244281901</v>
      </c>
      <c r="AI5269">
        <v>93.523388538197807</v>
      </c>
      <c r="AJ5269">
        <v>87.760561606500104</v>
      </c>
      <c r="AK5269">
        <v>18.238159058438502</v>
      </c>
      <c r="AL5269">
        <v>92.679486756183607</v>
      </c>
      <c r="AM5269">
        <v>88.719782695787003</v>
      </c>
      <c r="AN5269">
        <v>0.99999996782033895</v>
      </c>
    </row>
    <row r="5270" spans="1:40" x14ac:dyDescent="0.25">
      <c r="A5270" t="str">
        <f>"20190303153914253"</f>
        <v>20190303153914253</v>
      </c>
      <c r="B5270" t="str">
        <f>"1551598754243746"</f>
        <v>1551598754243746</v>
      </c>
      <c r="C5270" t="s">
        <v>40</v>
      </c>
      <c r="D5270">
        <v>4.6332149999999999</v>
      </c>
      <c r="E5270">
        <v>0.50610639999999996</v>
      </c>
      <c r="F5270" t="s">
        <v>42</v>
      </c>
      <c r="G5270">
        <v>-191.8142</v>
      </c>
      <c r="H5270" s="1">
        <v>-2.8963199999999998E-6</v>
      </c>
      <c r="I5270">
        <v>164.69759999999999</v>
      </c>
      <c r="J5270">
        <v>-190.93219999999999</v>
      </c>
      <c r="K5270">
        <v>1.120859</v>
      </c>
      <c r="L5270">
        <v>182.93549999999999</v>
      </c>
      <c r="M5270">
        <v>-9.4839829999999996E-3</v>
      </c>
      <c r="N5270">
        <v>-1.0550449999999999E-2</v>
      </c>
      <c r="O5270">
        <v>-0.99989950000000005</v>
      </c>
      <c r="P5270">
        <v>-3.177729E-2</v>
      </c>
      <c r="Q5270">
        <v>-5.7415189999999998E-2</v>
      </c>
      <c r="R5270">
        <v>-0.99784490000000003</v>
      </c>
      <c r="S5270">
        <v>-0.144043</v>
      </c>
      <c r="T5270">
        <v>-0.1828052</v>
      </c>
      <c r="U5270">
        <v>-2.9913940000000001</v>
      </c>
      <c r="V5270">
        <v>2.2284269999999998E-2</v>
      </c>
      <c r="W5270">
        <v>-4.6894650000000003E-2</v>
      </c>
      <c r="X5270">
        <v>0.99865130000000002</v>
      </c>
      <c r="Y5270">
        <v>3.8545339999999997E-2</v>
      </c>
      <c r="Z5270">
        <v>5.0402820000000001E-2</v>
      </c>
      <c r="AA5270">
        <v>0.99798489999999995</v>
      </c>
      <c r="AB5270">
        <v>21</v>
      </c>
      <c r="AC5270">
        <v>-0.882000000000005</v>
      </c>
      <c r="AD5270">
        <v>-1.1208618963200001</v>
      </c>
      <c r="AE5270">
        <v>-18.2379</v>
      </c>
      <c r="AF5270">
        <v>0.70632119390344195</v>
      </c>
      <c r="AG5270">
        <v>-1.1208618963200001</v>
      </c>
      <c r="AH5270">
        <v>18.176949675308698</v>
      </c>
      <c r="AI5270">
        <v>93.525959923800798</v>
      </c>
      <c r="AJ5270">
        <v>87.774716125775299</v>
      </c>
      <c r="AK5270">
        <v>18.225167228815401</v>
      </c>
      <c r="AL5270">
        <v>92.687851131382303</v>
      </c>
      <c r="AM5270">
        <v>88.721693182274194</v>
      </c>
      <c r="AN5270">
        <v>1.00000005793987</v>
      </c>
    </row>
    <row r="5271" spans="1:40" x14ac:dyDescent="0.25">
      <c r="A5271" t="str">
        <f>"20190303153914264"</f>
        <v>20190303153914264</v>
      </c>
      <c r="B5271" t="str">
        <f>"1551598754253507"</f>
        <v>1551598754253507</v>
      </c>
      <c r="C5271" t="s">
        <v>40</v>
      </c>
      <c r="D5271">
        <v>4.6477349999999999</v>
      </c>
      <c r="E5271">
        <v>0.50611569999999995</v>
      </c>
      <c r="F5271" t="s">
        <v>42</v>
      </c>
      <c r="G5271">
        <v>-191.81020000000001</v>
      </c>
      <c r="H5271" s="1">
        <v>-2.8965079999999999E-6</v>
      </c>
      <c r="I5271">
        <v>164.7002</v>
      </c>
      <c r="J5271">
        <v>-190.93350000000001</v>
      </c>
      <c r="K5271">
        <v>1.1208739999999999</v>
      </c>
      <c r="L5271">
        <v>182.82650000000001</v>
      </c>
      <c r="M5271">
        <v>-9.6847159999999995E-3</v>
      </c>
      <c r="N5271">
        <v>-1.0757610000000001E-2</v>
      </c>
      <c r="O5271">
        <v>-0.99989550000000005</v>
      </c>
      <c r="P5271">
        <v>-3.2132899999999999E-2</v>
      </c>
      <c r="Q5271">
        <v>-5.768881E-2</v>
      </c>
      <c r="R5271">
        <v>-0.99781759999999997</v>
      </c>
      <c r="S5271">
        <v>-0.14402770000000001</v>
      </c>
      <c r="T5271">
        <v>-0.18386649999999999</v>
      </c>
      <c r="U5271">
        <v>-2.9913180000000001</v>
      </c>
      <c r="V5271">
        <v>2.2440140000000001E-2</v>
      </c>
      <c r="W5271">
        <v>-4.6961459999999997E-2</v>
      </c>
      <c r="X5271">
        <v>0.99864459999999999</v>
      </c>
      <c r="Y5271">
        <v>3.8340180000000001E-2</v>
      </c>
      <c r="Z5271">
        <v>5.0550310000000001E-2</v>
      </c>
      <c r="AA5271">
        <v>0.99798529999999996</v>
      </c>
      <c r="AB5271">
        <v>21</v>
      </c>
      <c r="AC5271">
        <v>-0.87669999999999904</v>
      </c>
      <c r="AD5271">
        <v>-1.1208768965079901</v>
      </c>
      <c r="AE5271">
        <v>-18.126300000000001</v>
      </c>
      <c r="AF5271">
        <v>0.69843623822521295</v>
      </c>
      <c r="AG5271">
        <v>-1.1208768965079901</v>
      </c>
      <c r="AH5271">
        <v>18.065024696459801</v>
      </c>
      <c r="AI5271">
        <v>93.547824155447202</v>
      </c>
      <c r="AJ5271">
        <v>87.785913488033501</v>
      </c>
      <c r="AK5271">
        <v>18.113235367534301</v>
      </c>
      <c r="AL5271">
        <v>92.691683472955106</v>
      </c>
      <c r="AM5271">
        <v>88.712746276532101</v>
      </c>
      <c r="AN5271">
        <v>0.99999998785885502</v>
      </c>
    </row>
    <row r="5272" spans="1:40" x14ac:dyDescent="0.25">
      <c r="A5272" t="str">
        <f>"20190303153914275"</f>
        <v>20190303153914275</v>
      </c>
      <c r="B5272" t="str">
        <f>"1551598754264244"</f>
        <v>1551598754264244</v>
      </c>
      <c r="C5272" t="s">
        <v>40</v>
      </c>
      <c r="D5272">
        <v>4.5320729999999996</v>
      </c>
      <c r="E5272">
        <v>0.50611569999999995</v>
      </c>
      <c r="F5272" t="s">
        <v>42</v>
      </c>
      <c r="G5272">
        <v>-191.81569999999999</v>
      </c>
      <c r="H5272" s="1">
        <v>-2.872447E-6</v>
      </c>
      <c r="I5272">
        <v>164.64619999999999</v>
      </c>
      <c r="J5272">
        <v>-190.93469999999999</v>
      </c>
      <c r="K5272">
        <v>1.1208899999999999</v>
      </c>
      <c r="L5272">
        <v>182.72239999999999</v>
      </c>
      <c r="M5272">
        <v>-9.8764769999999998E-3</v>
      </c>
      <c r="N5272">
        <v>-1.094318E-2</v>
      </c>
      <c r="O5272">
        <v>-0.99989139999999999</v>
      </c>
      <c r="P5272">
        <v>-3.2192949999999998E-2</v>
      </c>
      <c r="Q5272">
        <v>-5.8061759999999997E-2</v>
      </c>
      <c r="R5272">
        <v>-0.99779390000000001</v>
      </c>
      <c r="S5272">
        <v>-0.14515690000000001</v>
      </c>
      <c r="T5272">
        <v>-0.1844181</v>
      </c>
      <c r="U5272">
        <v>-2.9912109999999998</v>
      </c>
      <c r="V5272">
        <v>2.2309229999999999E-2</v>
      </c>
      <c r="W5272">
        <v>-4.7149030000000001E-2</v>
      </c>
      <c r="X5272">
        <v>0.99863869999999999</v>
      </c>
      <c r="Y5272">
        <v>3.8525669999999998E-2</v>
      </c>
      <c r="Z5272">
        <v>5.0549589999999998E-2</v>
      </c>
      <c r="AA5272">
        <v>0.99797820000000004</v>
      </c>
      <c r="AB5272">
        <v>21</v>
      </c>
      <c r="AC5272">
        <v>-0.88100000000000001</v>
      </c>
      <c r="AD5272">
        <v>-1.120892872447</v>
      </c>
      <c r="AE5272">
        <v>-18.0762</v>
      </c>
      <c r="AF5272">
        <v>0.69973296472116298</v>
      </c>
      <c r="AG5272">
        <v>-1.120892872447</v>
      </c>
      <c r="AH5272">
        <v>18.014913954286801</v>
      </c>
      <c r="AI5272">
        <v>93.557693488808496</v>
      </c>
      <c r="AJ5272">
        <v>87.775642893449998</v>
      </c>
      <c r="AK5272">
        <v>18.063309548191299</v>
      </c>
      <c r="AL5272">
        <v>92.7024423464254</v>
      </c>
      <c r="AM5272">
        <v>88.7202457204193</v>
      </c>
      <c r="AN5272">
        <v>0.99999999295541098</v>
      </c>
    </row>
    <row r="5273" spans="1:40" x14ac:dyDescent="0.25">
      <c r="A5273" t="str">
        <f>"20190303153914288"</f>
        <v>20190303153914288</v>
      </c>
      <c r="B5273" t="str">
        <f>"1551598754283764"</f>
        <v>1551598754283764</v>
      </c>
      <c r="C5273" t="s">
        <v>40</v>
      </c>
      <c r="D5273">
        <v>4.6696839999999904</v>
      </c>
      <c r="E5273">
        <v>0.54015559999999996</v>
      </c>
      <c r="F5273" t="s">
        <v>42</v>
      </c>
      <c r="G5273">
        <v>-191.81229999999999</v>
      </c>
      <c r="H5273" s="1">
        <v>-2.8742240000000002E-6</v>
      </c>
      <c r="I5273">
        <v>164.65180000000001</v>
      </c>
      <c r="J5273">
        <v>-190.93610000000001</v>
      </c>
      <c r="K5273">
        <v>1.1209020000000001</v>
      </c>
      <c r="L5273">
        <v>182.60329999999999</v>
      </c>
      <c r="M5273">
        <v>-1.00959E-2</v>
      </c>
      <c r="N5273">
        <v>-1.114512E-2</v>
      </c>
      <c r="O5273">
        <v>-0.99988710000000003</v>
      </c>
      <c r="P5273">
        <v>-3.2300290000000002E-2</v>
      </c>
      <c r="Q5273">
        <v>-5.8477349999999997E-2</v>
      </c>
      <c r="R5273">
        <v>-0.99776609999999999</v>
      </c>
      <c r="S5273">
        <v>-0.14527889999999999</v>
      </c>
      <c r="T5273">
        <v>-0.18553710000000001</v>
      </c>
      <c r="U5273">
        <v>-2.9911500000000002</v>
      </c>
      <c r="V5273">
        <v>2.2198030000000001E-2</v>
      </c>
      <c r="W5273">
        <v>-4.7362929999999998E-2</v>
      </c>
      <c r="X5273">
        <v>0.99863109999999999</v>
      </c>
      <c r="Y5273">
        <v>3.8347230000000003E-2</v>
      </c>
      <c r="Z5273">
        <v>5.072103E-2</v>
      </c>
      <c r="AA5273">
        <v>0.99797639999999999</v>
      </c>
      <c r="AB5273">
        <v>21</v>
      </c>
      <c r="AC5273">
        <v>-0.87619999999998199</v>
      </c>
      <c r="AD5273">
        <v>-1.120904874224</v>
      </c>
      <c r="AE5273">
        <v>-17.9514999999999</v>
      </c>
      <c r="AF5273">
        <v>0.69221513954031999</v>
      </c>
      <c r="AG5273">
        <v>-1.120904874224</v>
      </c>
      <c r="AH5273">
        <v>17.8898475867428</v>
      </c>
      <c r="AI5273">
        <v>93.5825592898304</v>
      </c>
      <c r="AJ5273">
        <v>87.784149328786299</v>
      </c>
      <c r="AK5273">
        <v>17.938289668007801</v>
      </c>
      <c r="AL5273">
        <v>92.714711501796103</v>
      </c>
      <c r="AM5273">
        <v>88.726612841847</v>
      </c>
      <c r="AN5273">
        <v>1.0000000367806301</v>
      </c>
    </row>
    <row r="5274" spans="1:40" x14ac:dyDescent="0.25">
      <c r="A5274" t="str">
        <f>"20190303153914301"</f>
        <v>20190303153914301</v>
      </c>
      <c r="B5274" t="str">
        <f>"1551598754293523"</f>
        <v>1551598754293523</v>
      </c>
      <c r="C5274" t="s">
        <v>40</v>
      </c>
      <c r="D5274">
        <v>4.5976509999999999</v>
      </c>
      <c r="E5274">
        <v>0.54578090000000001</v>
      </c>
      <c r="F5274" t="s">
        <v>68</v>
      </c>
      <c r="G5274">
        <v>-194.63229999999999</v>
      </c>
      <c r="H5274" s="1">
        <v>-1.3897890000000001E-5</v>
      </c>
      <c r="I5274">
        <v>156.13329999999999</v>
      </c>
      <c r="J5274">
        <v>-190.9376</v>
      </c>
      <c r="K5274">
        <v>1.120911</v>
      </c>
      <c r="L5274">
        <v>182.48339999999999</v>
      </c>
      <c r="M5274">
        <v>-1.031368E-2</v>
      </c>
      <c r="N5274">
        <v>-1.1328990000000001E-2</v>
      </c>
      <c r="O5274">
        <v>-0.99988259999999995</v>
      </c>
      <c r="P5274">
        <v>-3.2524989999999997E-2</v>
      </c>
      <c r="Q5274">
        <v>-5.8846809999999999E-2</v>
      </c>
      <c r="R5274">
        <v>-0.99773690000000004</v>
      </c>
      <c r="S5274">
        <v>-0.4169312</v>
      </c>
      <c r="T5274">
        <v>-0.12643850000000001</v>
      </c>
      <c r="U5274">
        <v>-2.9857939999999998</v>
      </c>
      <c r="V5274">
        <v>2.2205630000000001E-2</v>
      </c>
      <c r="W5274">
        <v>-4.7548930000000003E-2</v>
      </c>
      <c r="X5274">
        <v>0.99862209999999996</v>
      </c>
      <c r="Y5274">
        <v>0.12797069999999999</v>
      </c>
      <c r="Z5274">
        <v>3.061494E-2</v>
      </c>
      <c r="AA5274">
        <v>0.99130529999999994</v>
      </c>
      <c r="AB5274">
        <v>21</v>
      </c>
      <c r="AC5274">
        <v>-3.6946999999999801</v>
      </c>
      <c r="AD5274">
        <v>-1.1209248978899999</v>
      </c>
      <c r="AE5274">
        <v>-26.350100000000001</v>
      </c>
      <c r="AF5274">
        <v>3.4166558624708201</v>
      </c>
      <c r="AG5274">
        <v>-1.1209248978899999</v>
      </c>
      <c r="AH5274">
        <v>26.340060164656901</v>
      </c>
      <c r="AI5274">
        <v>92.416581966384896</v>
      </c>
      <c r="AJ5274">
        <v>82.609242729659002</v>
      </c>
      <c r="AK5274">
        <v>26.584370960905002</v>
      </c>
      <c r="AL5274">
        <v>92.725380515321504</v>
      </c>
      <c r="AM5274">
        <v>88.726165535996998</v>
      </c>
      <c r="AN5274">
        <v>1.0000000446781201</v>
      </c>
    </row>
    <row r="5275" spans="1:40" x14ac:dyDescent="0.25">
      <c r="A5275" t="str">
        <f>"20190303153914315"</f>
        <v>20190303153914315</v>
      </c>
      <c r="B5275" t="str">
        <f>"1551598754314019"</f>
        <v>1551598754314019</v>
      </c>
      <c r="C5275" t="s">
        <v>40</v>
      </c>
      <c r="D5275">
        <v>4.5608940000000002</v>
      </c>
      <c r="E5275">
        <v>0.55170059999999999</v>
      </c>
      <c r="F5275" t="s">
        <v>68</v>
      </c>
      <c r="G5275">
        <v>-194.70089999999999</v>
      </c>
      <c r="H5275" s="1">
        <v>-1.46199E-5</v>
      </c>
      <c r="I5275">
        <v>158.1951</v>
      </c>
      <c r="J5275">
        <v>-190.9393</v>
      </c>
      <c r="K5275">
        <v>1.1209199999999999</v>
      </c>
      <c r="L5275">
        <v>182.34059999999999</v>
      </c>
      <c r="M5275">
        <v>-1.05711E-2</v>
      </c>
      <c r="N5275">
        <v>-1.153526E-2</v>
      </c>
      <c r="O5275">
        <v>-0.99987780000000004</v>
      </c>
      <c r="P5275">
        <v>-3.2830419999999999E-2</v>
      </c>
      <c r="Q5275">
        <v>-5.9156500000000001E-2</v>
      </c>
      <c r="R5275">
        <v>-0.99770910000000002</v>
      </c>
      <c r="S5275">
        <v>-0.46229550000000003</v>
      </c>
      <c r="T5275">
        <v>-0.13769589999999901</v>
      </c>
      <c r="U5275">
        <v>-2.9835970000000001</v>
      </c>
      <c r="V5275">
        <v>2.2254349999999999E-2</v>
      </c>
      <c r="W5275">
        <v>-4.7652809999999997E-2</v>
      </c>
      <c r="X5275">
        <v>0.99861599999999995</v>
      </c>
      <c r="Y5275">
        <v>0.1425273</v>
      </c>
      <c r="Z5275">
        <v>3.4074529999999999E-2</v>
      </c>
      <c r="AA5275">
        <v>0.98920419999999998</v>
      </c>
      <c r="AB5275">
        <v>21</v>
      </c>
      <c r="AC5275">
        <v>-3.7615999999999801</v>
      </c>
      <c r="AD5275">
        <v>-1.1209346198999901</v>
      </c>
      <c r="AE5275">
        <v>-24.145499999999998</v>
      </c>
      <c r="AF5275">
        <v>3.4987664885674099</v>
      </c>
      <c r="AG5275">
        <v>-1.1209346198999901</v>
      </c>
      <c r="AH5275">
        <v>24.133138178302101</v>
      </c>
      <c r="AI5275">
        <v>92.631883705956497</v>
      </c>
      <c r="AJ5275">
        <v>81.750865040225193</v>
      </c>
      <c r="AK5275">
        <v>24.411190460455501</v>
      </c>
      <c r="AL5275">
        <v>92.7313393293948</v>
      </c>
      <c r="AM5275">
        <v>88.723363822817802</v>
      </c>
      <c r="AN5275">
        <v>0.99999998092540898</v>
      </c>
    </row>
    <row r="5276" spans="1:40" x14ac:dyDescent="0.25">
      <c r="A5276" t="str">
        <f>"20190303153914328"</f>
        <v>20190303153914328</v>
      </c>
      <c r="B5276" t="str">
        <f>"1551598754323779"</f>
        <v>1551598754323779</v>
      </c>
      <c r="C5276" t="s">
        <v>40</v>
      </c>
      <c r="D5276">
        <v>4.5514239999999999</v>
      </c>
      <c r="E5276">
        <v>0.55359659999999999</v>
      </c>
      <c r="F5276" t="s">
        <v>68</v>
      </c>
      <c r="G5276">
        <v>-194.94810000000001</v>
      </c>
      <c r="H5276" s="1">
        <v>-1.480282E-5</v>
      </c>
      <c r="I5276">
        <v>158.9221</v>
      </c>
      <c r="J5276">
        <v>-190.9409</v>
      </c>
      <c r="K5276">
        <v>1.1209279999999999</v>
      </c>
      <c r="L5276">
        <v>182.2191</v>
      </c>
      <c r="M5276">
        <v>-1.078864E-2</v>
      </c>
      <c r="N5276">
        <v>-1.169981E-2</v>
      </c>
      <c r="O5276">
        <v>-0.99987380000000003</v>
      </c>
      <c r="P5276">
        <v>-3.3266940000000002E-2</v>
      </c>
      <c r="Q5276">
        <v>-5.8996220000000002E-2</v>
      </c>
      <c r="R5276">
        <v>-0.99770429999999999</v>
      </c>
      <c r="S5276">
        <v>-0.51039120000000004</v>
      </c>
      <c r="T5276">
        <v>-0.14271679999999901</v>
      </c>
      <c r="U5276">
        <v>-2.9816280000000002</v>
      </c>
      <c r="V5276">
        <v>2.2473880000000002E-2</v>
      </c>
      <c r="W5276">
        <v>-4.7328299999999997E-2</v>
      </c>
      <c r="X5276">
        <v>0.99862649999999997</v>
      </c>
      <c r="Y5276">
        <v>0.1579198</v>
      </c>
      <c r="Z5276">
        <v>3.548519E-2</v>
      </c>
      <c r="AA5276">
        <v>0.98681410000000003</v>
      </c>
      <c r="AB5276">
        <v>21</v>
      </c>
      <c r="AC5276">
        <v>-4.0072000000000099</v>
      </c>
      <c r="AD5276">
        <v>-1.1209428028199999</v>
      </c>
      <c r="AE5276">
        <v>-23.297000000000001</v>
      </c>
      <c r="AF5276">
        <v>3.7471809555405202</v>
      </c>
      <c r="AG5276">
        <v>-1.1209428028199999</v>
      </c>
      <c r="AH5276">
        <v>23.286518006840598</v>
      </c>
      <c r="AI5276">
        <v>92.720969128417295</v>
      </c>
      <c r="AJ5276">
        <v>80.8585392117986</v>
      </c>
      <c r="AK5276">
        <v>23.6127041815136</v>
      </c>
      <c r="AL5276">
        <v>92.712725316618403</v>
      </c>
      <c r="AM5276">
        <v>88.710788113056694</v>
      </c>
      <c r="AN5276">
        <v>0.99999996488269605</v>
      </c>
    </row>
    <row r="5277" spans="1:40" x14ac:dyDescent="0.25">
      <c r="A5277" t="str">
        <f>"20190303153914343"</f>
        <v>20190303153914343</v>
      </c>
      <c r="B5277" t="str">
        <f>"1551598754333539"</f>
        <v>1551598754333539</v>
      </c>
      <c r="C5277" t="s">
        <v>40</v>
      </c>
      <c r="D5277">
        <v>4.543647</v>
      </c>
      <c r="E5277">
        <v>0.55514289999999999</v>
      </c>
      <c r="F5277" t="s">
        <v>68</v>
      </c>
      <c r="G5277">
        <v>-195.06290000000001</v>
      </c>
      <c r="H5277" s="1">
        <v>-1.4799159999999999E-5</v>
      </c>
      <c r="I5277">
        <v>158.9075</v>
      </c>
      <c r="J5277">
        <v>-190.9426</v>
      </c>
      <c r="K5277">
        <v>1.1209389999999999</v>
      </c>
      <c r="L5277">
        <v>182.08539999999999</v>
      </c>
      <c r="M5277">
        <v>-1.1026620000000001E-2</v>
      </c>
      <c r="N5277">
        <v>-1.186069E-2</v>
      </c>
      <c r="O5277">
        <v>-0.99986900000000001</v>
      </c>
      <c r="P5277">
        <v>-3.3783800000000003E-2</v>
      </c>
      <c r="Q5277">
        <v>-5.869808E-2</v>
      </c>
      <c r="R5277">
        <v>-0.99770409999999998</v>
      </c>
      <c r="S5277">
        <v>-0.52708440000000001</v>
      </c>
      <c r="T5277">
        <v>-0.14333399999999999</v>
      </c>
      <c r="U5277">
        <v>-2.9808349999999999</v>
      </c>
      <c r="V5277">
        <v>2.2753300000000001E-2</v>
      </c>
      <c r="W5277">
        <v>-4.6869620000000001E-2</v>
      </c>
      <c r="X5277">
        <v>0.99864180000000002</v>
      </c>
      <c r="Y5277">
        <v>0.16308719999999999</v>
      </c>
      <c r="Z5277">
        <v>3.5498469999999997E-2</v>
      </c>
      <c r="AA5277">
        <v>0.98597279999999998</v>
      </c>
      <c r="AB5277">
        <v>21</v>
      </c>
      <c r="AC5277">
        <v>-4.1203000000000101</v>
      </c>
      <c r="AD5277">
        <v>-1.12095379915999</v>
      </c>
      <c r="AE5277">
        <v>-23.177899999999902</v>
      </c>
      <c r="AF5277">
        <v>3.8557154432654701</v>
      </c>
      <c r="AG5277">
        <v>-1.12095379915999</v>
      </c>
      <c r="AH5277">
        <v>23.169394150048898</v>
      </c>
      <c r="AI5277">
        <v>92.732338055497394</v>
      </c>
      <c r="AJ5277">
        <v>80.551754490601894</v>
      </c>
      <c r="AK5277">
        <v>23.5147592860231</v>
      </c>
      <c r="AL5277">
        <v>92.686415704576703</v>
      </c>
      <c r="AM5277">
        <v>88.694784713888197</v>
      </c>
      <c r="AN5277">
        <v>0.99999995932353603</v>
      </c>
    </row>
    <row r="5278" spans="1:40" x14ac:dyDescent="0.25">
      <c r="A5278" t="str">
        <f>"20190303153914357"</f>
        <v>20190303153914357</v>
      </c>
      <c r="B5278" t="str">
        <f>"1551598754354035"</f>
        <v>1551598754354035</v>
      </c>
      <c r="C5278" t="s">
        <v>40</v>
      </c>
      <c r="D5278">
        <v>4.5199230000000004</v>
      </c>
      <c r="E5278">
        <v>0.55748520000000001</v>
      </c>
      <c r="F5278" t="s">
        <v>68</v>
      </c>
      <c r="G5278">
        <v>-195.26400000000001</v>
      </c>
      <c r="H5278" s="1">
        <v>-1.46396E-5</v>
      </c>
      <c r="I5278">
        <v>158.27340000000001</v>
      </c>
      <c r="J5278">
        <v>-190.9443</v>
      </c>
      <c r="K5278">
        <v>1.1209480000000001</v>
      </c>
      <c r="L5278">
        <v>181.95590000000001</v>
      </c>
      <c r="M5278">
        <v>-1.1257609999999999E-2</v>
      </c>
      <c r="N5278">
        <v>-1.200594E-2</v>
      </c>
      <c r="O5278">
        <v>-0.99986470000000005</v>
      </c>
      <c r="P5278">
        <v>-3.4527889999999999E-2</v>
      </c>
      <c r="Q5278">
        <v>-5.824816E-2</v>
      </c>
      <c r="R5278">
        <v>-0.99770499999999995</v>
      </c>
      <c r="S5278">
        <v>-0.54086299999999998</v>
      </c>
      <c r="T5278">
        <v>-0.1402987</v>
      </c>
      <c r="U5278">
        <v>-2.9803160000000002</v>
      </c>
      <c r="V5278">
        <v>2.3266999999999999E-2</v>
      </c>
      <c r="W5278">
        <v>-4.627481E-2</v>
      </c>
      <c r="X5278">
        <v>0.99865780000000004</v>
      </c>
      <c r="Y5278">
        <v>0.16730980000000001</v>
      </c>
      <c r="Z5278">
        <v>3.4325799999999997E-2</v>
      </c>
      <c r="AA5278">
        <v>0.98530660000000003</v>
      </c>
      <c r="AB5278">
        <v>21</v>
      </c>
      <c r="AC5278">
        <v>-4.3197000000000099</v>
      </c>
      <c r="AD5278">
        <v>-1.1209626395999901</v>
      </c>
      <c r="AE5278">
        <v>-23.682500000000001</v>
      </c>
      <c r="AF5278">
        <v>4.0440301497721096</v>
      </c>
      <c r="AG5278">
        <v>-1.1209626395999901</v>
      </c>
      <c r="AH5278">
        <v>23.6782911146299</v>
      </c>
      <c r="AI5278">
        <v>92.671806608467605</v>
      </c>
      <c r="AJ5278">
        <v>80.307933323679094</v>
      </c>
      <c r="AK5278">
        <v>24.047291057431099</v>
      </c>
      <c r="AL5278">
        <v>92.652298322753794</v>
      </c>
      <c r="AM5278">
        <v>88.665348857357998</v>
      </c>
      <c r="AN5278">
        <v>1.0000000564151801</v>
      </c>
    </row>
    <row r="5279" spans="1:40" x14ac:dyDescent="0.25">
      <c r="A5279" t="str">
        <f>"20190303153914373"</f>
        <v>20190303153914373</v>
      </c>
      <c r="B5279" t="str">
        <f>"1551598754363795"</f>
        <v>1551598754363795</v>
      </c>
      <c r="C5279" t="s">
        <v>40</v>
      </c>
      <c r="D5279">
        <v>4.5374109999999996</v>
      </c>
      <c r="E5279">
        <v>0.55837630000000005</v>
      </c>
      <c r="F5279" t="s">
        <v>68</v>
      </c>
      <c r="G5279">
        <v>-195.58410000000001</v>
      </c>
      <c r="H5279" s="1">
        <v>-1.4406410000000001E-5</v>
      </c>
      <c r="I5279">
        <v>157.3466</v>
      </c>
      <c r="J5279">
        <v>-190.94640000000001</v>
      </c>
      <c r="K5279">
        <v>1.120959</v>
      </c>
      <c r="L5279">
        <v>181.80289999999999</v>
      </c>
      <c r="M5279">
        <v>-1.153123E-2</v>
      </c>
      <c r="N5279">
        <v>-1.216325E-2</v>
      </c>
      <c r="O5279">
        <v>-0.99985970000000002</v>
      </c>
      <c r="P5279">
        <v>-3.6136920000000003E-2</v>
      </c>
      <c r="Q5279">
        <v>-5.7121940000000003E-2</v>
      </c>
      <c r="R5279">
        <v>-0.99771299999999996</v>
      </c>
      <c r="S5279">
        <v>-0.56175229999999998</v>
      </c>
      <c r="T5279">
        <v>-0.13572000000000001</v>
      </c>
      <c r="U5279">
        <v>-2.9795530000000001</v>
      </c>
      <c r="V5279">
        <v>2.4603389999999999E-2</v>
      </c>
      <c r="W5279">
        <v>-4.4991919999999998E-2</v>
      </c>
      <c r="X5279">
        <v>0.99868429999999997</v>
      </c>
      <c r="Y5279">
        <v>0.1737688</v>
      </c>
      <c r="Z5279">
        <v>3.261812E-2</v>
      </c>
      <c r="AA5279">
        <v>0.98424610000000001</v>
      </c>
      <c r="AB5279">
        <v>21</v>
      </c>
      <c r="AC5279">
        <v>-4.6376999999999899</v>
      </c>
      <c r="AD5279">
        <v>-1.1209734064100001</v>
      </c>
      <c r="AE5279">
        <v>-24.456299999999999</v>
      </c>
      <c r="AF5279">
        <v>4.3465448189444196</v>
      </c>
      <c r="AG5279">
        <v>-1.1209734064100001</v>
      </c>
      <c r="AH5279">
        <v>24.458554347056001</v>
      </c>
      <c r="AI5279">
        <v>92.583693326481097</v>
      </c>
      <c r="AJ5279">
        <v>79.923132114466995</v>
      </c>
      <c r="AK5279">
        <v>24.867044737741999</v>
      </c>
      <c r="AL5279">
        <v>92.578717721757002</v>
      </c>
      <c r="AM5279">
        <v>88.588757903291807</v>
      </c>
      <c r="AN5279">
        <v>0.99999996536563296</v>
      </c>
    </row>
    <row r="5280" spans="1:40" x14ac:dyDescent="0.25">
      <c r="A5280" t="str">
        <f>"20190303153914385"</f>
        <v>20190303153914385</v>
      </c>
      <c r="B5280" t="str">
        <f>"1551598754373555"</f>
        <v>1551598754373555</v>
      </c>
      <c r="C5280" t="s">
        <v>40</v>
      </c>
      <c r="D5280">
        <v>4.5275660000000002</v>
      </c>
      <c r="E5280">
        <v>0.55897959999999902</v>
      </c>
      <c r="F5280" t="s">
        <v>68</v>
      </c>
      <c r="G5280">
        <v>-195.80160000000001</v>
      </c>
      <c r="H5280" s="1">
        <v>-1.4201039999999999E-5</v>
      </c>
      <c r="I5280">
        <v>156.59819999999999</v>
      </c>
      <c r="J5280">
        <v>-190.94800000000001</v>
      </c>
      <c r="K5280">
        <v>1.120967</v>
      </c>
      <c r="L5280">
        <v>181.68510000000001</v>
      </c>
      <c r="M5280">
        <v>-1.1743E-2</v>
      </c>
      <c r="N5280">
        <v>-1.2273239999999999E-2</v>
      </c>
      <c r="O5280">
        <v>-0.99985590000000002</v>
      </c>
      <c r="P5280">
        <v>-3.7268129999999997E-2</v>
      </c>
      <c r="Q5280">
        <v>-5.6851249999999999E-2</v>
      </c>
      <c r="R5280">
        <v>-0.9976872</v>
      </c>
      <c r="S5280">
        <v>-0.57376099999999997</v>
      </c>
      <c r="T5280">
        <v>-0.13246949999999999</v>
      </c>
      <c r="U5280">
        <v>-2.9785309999999998</v>
      </c>
      <c r="V5280">
        <v>2.552366E-2</v>
      </c>
      <c r="W5280">
        <v>-4.4612010000000001E-2</v>
      </c>
      <c r="X5280">
        <v>0.99867830000000002</v>
      </c>
      <c r="Y5280">
        <v>0.17745610000000001</v>
      </c>
      <c r="Z5280">
        <v>3.1422199999999997E-2</v>
      </c>
      <c r="AA5280">
        <v>0.98362700000000003</v>
      </c>
      <c r="AB5280">
        <v>21</v>
      </c>
      <c r="AC5280">
        <v>-4.8536000000000197</v>
      </c>
      <c r="AD5280">
        <v>-1.12098120104</v>
      </c>
      <c r="AE5280">
        <v>-25.0869</v>
      </c>
      <c r="AF5280">
        <v>4.5498909040496596</v>
      </c>
      <c r="AG5280">
        <v>-1.12098120104</v>
      </c>
      <c r="AH5280">
        <v>25.093874082127702</v>
      </c>
      <c r="AI5280">
        <v>92.516806902770597</v>
      </c>
      <c r="AJ5280">
        <v>79.7230744059638</v>
      </c>
      <c r="AK5280">
        <v>25.527644281083202</v>
      </c>
      <c r="AL5280">
        <v>92.556928468463298</v>
      </c>
      <c r="AM5280">
        <v>88.535985295668894</v>
      </c>
      <c r="AN5280">
        <v>1.00000001777346</v>
      </c>
    </row>
    <row r="5281" spans="1:40" x14ac:dyDescent="0.25">
      <c r="A5281" t="str">
        <f>"20190303153914397"</f>
        <v>20190303153914397</v>
      </c>
      <c r="B5281" t="str">
        <f>"1551598754394051"</f>
        <v>1551598754394051</v>
      </c>
      <c r="C5281" t="s">
        <v>40</v>
      </c>
      <c r="D5281">
        <v>4.5441449999999897</v>
      </c>
      <c r="E5281">
        <v>0.5602222</v>
      </c>
      <c r="F5281" t="s">
        <v>68</v>
      </c>
      <c r="G5281">
        <v>-195.86259999999999</v>
      </c>
      <c r="H5281" s="1">
        <v>-1.417937E-5</v>
      </c>
      <c r="I5281">
        <v>156.5351</v>
      </c>
      <c r="J5281">
        <v>-190.9496</v>
      </c>
      <c r="K5281">
        <v>1.120973</v>
      </c>
      <c r="L5281">
        <v>181.5728</v>
      </c>
      <c r="M5281">
        <v>-1.194542E-2</v>
      </c>
      <c r="N5281">
        <v>-1.236927E-2</v>
      </c>
      <c r="O5281">
        <v>-0.99985230000000003</v>
      </c>
      <c r="P5281">
        <v>-3.8420919999999997E-2</v>
      </c>
      <c r="Q5281">
        <v>-5.6688959999999997E-2</v>
      </c>
      <c r="R5281">
        <v>-0.9976526</v>
      </c>
      <c r="S5281">
        <v>-0.58186340000000003</v>
      </c>
      <c r="T5281">
        <v>-0.13271839999999999</v>
      </c>
      <c r="U5281">
        <v>-2.9776310000000001</v>
      </c>
      <c r="V5281">
        <v>2.6474910000000001E-2</v>
      </c>
      <c r="W5281">
        <v>-4.4354499999999998E-2</v>
      </c>
      <c r="X5281">
        <v>0.99866500000000002</v>
      </c>
      <c r="Y5281">
        <v>0.17988950000000001</v>
      </c>
      <c r="Z5281">
        <v>3.1400539999999998E-2</v>
      </c>
      <c r="AA5281">
        <v>0.98318550000000005</v>
      </c>
      <c r="AB5281">
        <v>21</v>
      </c>
      <c r="AC5281">
        <v>-4.9129999999999798</v>
      </c>
      <c r="AD5281">
        <v>-1.1209871793699999</v>
      </c>
      <c r="AE5281">
        <v>-25.037700000000001</v>
      </c>
      <c r="AF5281">
        <v>4.60465278904993</v>
      </c>
      <c r="AG5281">
        <v>-1.1209871793699999</v>
      </c>
      <c r="AH5281">
        <v>25.046261125363699</v>
      </c>
      <c r="AI5281">
        <v>92.520472607777407</v>
      </c>
      <c r="AJ5281">
        <v>79.582731032211996</v>
      </c>
      <c r="AK5281">
        <v>25.490677431640002</v>
      </c>
      <c r="AL5281">
        <v>92.542159626983903</v>
      </c>
      <c r="AM5281">
        <v>88.481427306957798</v>
      </c>
      <c r="AN5281">
        <v>1.00000001237737</v>
      </c>
    </row>
    <row r="5282" spans="1:40" x14ac:dyDescent="0.25">
      <c r="A5282" t="str">
        <f>"20190303153914410"</f>
        <v>20190303153914410</v>
      </c>
      <c r="B5282" t="str">
        <f>"1551598754403811"</f>
        <v>1551598754403811</v>
      </c>
      <c r="C5282" t="s">
        <v>40</v>
      </c>
      <c r="D5282">
        <v>4.5053729999999996</v>
      </c>
      <c r="E5282">
        <v>0.56057889999999999</v>
      </c>
      <c r="F5282" t="s">
        <v>68</v>
      </c>
      <c r="G5282">
        <v>-196.0335</v>
      </c>
      <c r="H5282" s="1">
        <v>-1.403059E-5</v>
      </c>
      <c r="I5282">
        <v>156.15299999999999</v>
      </c>
      <c r="J5282">
        <v>-190.9512</v>
      </c>
      <c r="K5282">
        <v>1.1209769999999999</v>
      </c>
      <c r="L5282">
        <v>181.45529999999999</v>
      </c>
      <c r="M5282">
        <v>-1.215756E-2</v>
      </c>
      <c r="N5282">
        <v>-1.246505E-2</v>
      </c>
      <c r="O5282">
        <v>-0.99984870000000003</v>
      </c>
      <c r="P5282">
        <v>-3.9444050000000001E-2</v>
      </c>
      <c r="Q5282">
        <v>-5.6452339999999997E-2</v>
      </c>
      <c r="R5282">
        <v>-0.99762609999999996</v>
      </c>
      <c r="S5282">
        <v>-0.59532169999999995</v>
      </c>
      <c r="T5282">
        <v>-0.13126650000000001</v>
      </c>
      <c r="U5282">
        <v>-2.976639</v>
      </c>
      <c r="V5282">
        <v>2.7286749999999999E-2</v>
      </c>
      <c r="W5282">
        <v>-4.4022779999999997E-2</v>
      </c>
      <c r="X5282">
        <v>0.99865780000000004</v>
      </c>
      <c r="Y5282">
        <v>0.18402099999999999</v>
      </c>
      <c r="Z5282">
        <v>3.0806119999999999E-2</v>
      </c>
      <c r="AA5282">
        <v>0.98243950000000002</v>
      </c>
      <c r="AB5282">
        <v>21</v>
      </c>
      <c r="AC5282">
        <v>-5.0823</v>
      </c>
      <c r="AD5282">
        <v>-1.1209910305899999</v>
      </c>
      <c r="AE5282">
        <v>-25.302299999999999</v>
      </c>
      <c r="AF5282">
        <v>4.76529553408007</v>
      </c>
      <c r="AG5282">
        <v>-1.1209910305899999</v>
      </c>
      <c r="AH5282">
        <v>25.3144616786544</v>
      </c>
      <c r="AI5282">
        <v>92.491842264553895</v>
      </c>
      <c r="AJ5282">
        <v>79.339169943695495</v>
      </c>
      <c r="AK5282">
        <v>25.7834565661365</v>
      </c>
      <c r="AL5282">
        <v>92.523134952729293</v>
      </c>
      <c r="AM5282">
        <v>88.434872566266193</v>
      </c>
      <c r="AN5282">
        <v>0.99999998669266499</v>
      </c>
    </row>
    <row r="5283" spans="1:40" x14ac:dyDescent="0.25">
      <c r="A5283" t="str">
        <f>"20190303153914422"</f>
        <v>20190303153914422</v>
      </c>
      <c r="B5283" t="str">
        <f>"1551598754413571"</f>
        <v>1551598754413571</v>
      </c>
      <c r="C5283" t="s">
        <v>40</v>
      </c>
      <c r="D5283">
        <v>4.5138559999999996</v>
      </c>
      <c r="E5283">
        <v>0.56085739999999995</v>
      </c>
      <c r="F5283" t="s">
        <v>68</v>
      </c>
      <c r="G5283">
        <v>-196.10769999999999</v>
      </c>
      <c r="H5283" s="1">
        <v>-1.394114E-5</v>
      </c>
      <c r="I5283">
        <v>155.92910000000001</v>
      </c>
      <c r="J5283">
        <v>-190.9529</v>
      </c>
      <c r="K5283">
        <v>1.1209830000000001</v>
      </c>
      <c r="L5283">
        <v>181.3381</v>
      </c>
      <c r="M5283">
        <v>-1.236978E-2</v>
      </c>
      <c r="N5283">
        <v>-1.2549980000000001E-2</v>
      </c>
      <c r="O5283">
        <v>-0.99984490000000004</v>
      </c>
      <c r="P5283">
        <v>-4.055106E-2</v>
      </c>
      <c r="Q5283">
        <v>-5.634492E-2</v>
      </c>
      <c r="R5283">
        <v>-0.99758760000000002</v>
      </c>
      <c r="S5283">
        <v>-0.60116579999999997</v>
      </c>
      <c r="T5283">
        <v>-0.13069059999999999</v>
      </c>
      <c r="U5283">
        <v>-2.9759669999999998</v>
      </c>
      <c r="V5283">
        <v>2.8182490000000001E-2</v>
      </c>
      <c r="W5283">
        <v>-4.3831259999999997E-2</v>
      </c>
      <c r="X5283">
        <v>0.99864140000000001</v>
      </c>
      <c r="Y5283">
        <v>0.18570990000000001</v>
      </c>
      <c r="Z5283">
        <v>3.0526480000000002E-2</v>
      </c>
      <c r="AA5283">
        <v>0.98213030000000001</v>
      </c>
      <c r="AB5283">
        <v>21</v>
      </c>
      <c r="AC5283">
        <v>-5.1547999999999901</v>
      </c>
      <c r="AD5283">
        <v>-1.12099694114</v>
      </c>
      <c r="AE5283">
        <v>-25.408999999999899</v>
      </c>
      <c r="AF5283">
        <v>4.8310456397102897</v>
      </c>
      <c r="AG5283">
        <v>-1.12099694114</v>
      </c>
      <c r="AH5283">
        <v>25.423296480917202</v>
      </c>
      <c r="AI5283">
        <v>92.480395848909694</v>
      </c>
      <c r="AJ5283">
        <v>79.240685829457504</v>
      </c>
      <c r="AK5283">
        <v>25.902502583179601</v>
      </c>
      <c r="AL5283">
        <v>92.5121509312429</v>
      </c>
      <c r="AM5283">
        <v>88.383494545071997</v>
      </c>
      <c r="AN5283">
        <v>1.00000003894487</v>
      </c>
    </row>
    <row r="5284" spans="1:40" x14ac:dyDescent="0.25">
      <c r="A5284" t="str">
        <f>"20190303153914434"</f>
        <v>20190303153914434</v>
      </c>
      <c r="B5284" t="str">
        <f>"1551598754423332"</f>
        <v>1551598754423332</v>
      </c>
      <c r="C5284" t="s">
        <v>40</v>
      </c>
      <c r="D5284">
        <v>4.5735289999999997</v>
      </c>
      <c r="E5284">
        <v>0.56111619999999995</v>
      </c>
      <c r="F5284" t="s">
        <v>68</v>
      </c>
      <c r="G5284">
        <v>-196.12370000000001</v>
      </c>
      <c r="H5284" s="1">
        <v>-1.3963300000000001E-5</v>
      </c>
      <c r="I5284">
        <v>155.97739999999999</v>
      </c>
      <c r="J5284">
        <v>-190.95439999999999</v>
      </c>
      <c r="K5284">
        <v>1.1209910000000001</v>
      </c>
      <c r="L5284">
        <v>181.2303</v>
      </c>
      <c r="M5284">
        <v>-1.256475E-2</v>
      </c>
      <c r="N5284">
        <v>-1.2623850000000001E-2</v>
      </c>
      <c r="O5284">
        <v>-0.99984130000000004</v>
      </c>
      <c r="P5284">
        <v>-4.1308600000000001E-2</v>
      </c>
      <c r="Q5284">
        <v>-5.6189429999999999E-2</v>
      </c>
      <c r="R5284">
        <v>-0.99756520000000004</v>
      </c>
      <c r="S5284">
        <v>-0.60661319999999996</v>
      </c>
      <c r="T5284">
        <v>-0.13151060000000001</v>
      </c>
      <c r="U5284">
        <v>-2.9752040000000002</v>
      </c>
      <c r="V5284">
        <v>2.8745819999999998E-2</v>
      </c>
      <c r="W5284">
        <v>-4.3602349999999998E-2</v>
      </c>
      <c r="X5284">
        <v>0.99863539999999995</v>
      </c>
      <c r="Y5284">
        <v>0.1872915</v>
      </c>
      <c r="Z5284">
        <v>3.071923E-2</v>
      </c>
      <c r="AA5284">
        <v>0.98182389999999997</v>
      </c>
      <c r="AB5284">
        <v>21</v>
      </c>
      <c r="AC5284">
        <v>-5.1693000000000202</v>
      </c>
      <c r="AD5284">
        <v>-1.1210049632999901</v>
      </c>
      <c r="AE5284">
        <v>-25.2529</v>
      </c>
      <c r="AF5284">
        <v>4.8424116307542402</v>
      </c>
      <c r="AG5284">
        <v>-1.1210049632999901</v>
      </c>
      <c r="AH5284">
        <v>25.268072314787599</v>
      </c>
      <c r="AI5284">
        <v>92.494889731049994</v>
      </c>
      <c r="AJ5284">
        <v>79.151285460019494</v>
      </c>
      <c r="AK5284">
        <v>25.7523024414273</v>
      </c>
      <c r="AL5284">
        <v>92.499022714676002</v>
      </c>
      <c r="AM5284">
        <v>88.351190539375096</v>
      </c>
      <c r="AN5284">
        <v>1.0000000746130699</v>
      </c>
    </row>
    <row r="5285" spans="1:40" x14ac:dyDescent="0.25">
      <c r="A5285" t="str">
        <f>"20190303153914451"</f>
        <v>20190303153914451</v>
      </c>
      <c r="B5285" t="str">
        <f>"1551598754443828"</f>
        <v>1551598754443828</v>
      </c>
      <c r="C5285" t="s">
        <v>40</v>
      </c>
      <c r="D5285">
        <v>4.525671</v>
      </c>
      <c r="E5285">
        <v>0.56190810000000002</v>
      </c>
      <c r="F5285" t="s">
        <v>68</v>
      </c>
      <c r="G5285">
        <v>-196.20359999999999</v>
      </c>
      <c r="H5285" s="1">
        <v>-1.3840309999999999E-5</v>
      </c>
      <c r="I5285">
        <v>155.67420000000001</v>
      </c>
      <c r="J5285">
        <v>-190.95679999999999</v>
      </c>
      <c r="K5285">
        <v>1.1209990000000001</v>
      </c>
      <c r="L5285">
        <v>181.0701</v>
      </c>
      <c r="M5285">
        <v>-1.285439E-2</v>
      </c>
      <c r="N5285">
        <v>-1.272413E-2</v>
      </c>
      <c r="O5285">
        <v>-0.99983659999999996</v>
      </c>
      <c r="P5285">
        <v>-4.203643E-2</v>
      </c>
      <c r="Q5285">
        <v>-5.5238130000000003E-2</v>
      </c>
      <c r="R5285">
        <v>-0.99758820000000004</v>
      </c>
      <c r="S5285">
        <v>-0.61099239999999999</v>
      </c>
      <c r="T5285">
        <v>-0.1304823</v>
      </c>
      <c r="U5285">
        <v>-2.9746700000000001</v>
      </c>
      <c r="V5285">
        <v>2.918482E-2</v>
      </c>
      <c r="W5285">
        <v>-4.2550650000000002E-2</v>
      </c>
      <c r="X5285">
        <v>0.998668</v>
      </c>
      <c r="Y5285">
        <v>0.18843070000000001</v>
      </c>
      <c r="Z5285">
        <v>3.0277680000000001E-2</v>
      </c>
      <c r="AA5285">
        <v>0.98161969999999998</v>
      </c>
      <c r="AB5285">
        <v>21</v>
      </c>
      <c r="AC5285">
        <v>-5.2468000000000004</v>
      </c>
      <c r="AD5285">
        <v>-1.1210128403099999</v>
      </c>
      <c r="AE5285">
        <v>-25.395899999999902</v>
      </c>
      <c r="AF5285">
        <v>4.9107145702107298</v>
      </c>
      <c r="AG5285">
        <v>-1.1210128403099999</v>
      </c>
      <c r="AH5285">
        <v>25.413760395044001</v>
      </c>
      <c r="AI5285">
        <v>92.479892308798298</v>
      </c>
      <c r="AJ5285">
        <v>79.063492276342998</v>
      </c>
      <c r="AK5285">
        <v>25.908126230874501</v>
      </c>
      <c r="AL5285">
        <v>92.438708837692502</v>
      </c>
      <c r="AM5285">
        <v>88.326079107191106</v>
      </c>
      <c r="AN5285">
        <v>1.00000004287892</v>
      </c>
    </row>
    <row r="5286" spans="1:40" x14ac:dyDescent="0.25">
      <c r="A5286" t="str">
        <f>"20190303153914462"</f>
        <v>20190303153914462</v>
      </c>
      <c r="B5286" t="str">
        <f>"1551598754453587"</f>
        <v>1551598754453587</v>
      </c>
      <c r="C5286" t="s">
        <v>40</v>
      </c>
      <c r="D5286">
        <v>4.486059</v>
      </c>
      <c r="E5286">
        <v>0.56220789999999998</v>
      </c>
      <c r="F5286" t="s">
        <v>68</v>
      </c>
      <c r="G5286">
        <v>-196.4855</v>
      </c>
      <c r="H5286" s="1">
        <v>-1.338984E-5</v>
      </c>
      <c r="I5286">
        <v>154.53030000000001</v>
      </c>
      <c r="J5286">
        <v>-190.95840000000001</v>
      </c>
      <c r="K5286">
        <v>1.1210039999999999</v>
      </c>
      <c r="L5286">
        <v>180.96080000000001</v>
      </c>
      <c r="M5286">
        <v>-1.30519E-2</v>
      </c>
      <c r="N5286">
        <v>-1.2785070000000001E-2</v>
      </c>
      <c r="O5286">
        <v>-0.99983319999999998</v>
      </c>
      <c r="P5286">
        <v>-4.2419199999999997E-2</v>
      </c>
      <c r="Q5286">
        <v>-5.4828700000000001E-2</v>
      </c>
      <c r="R5286">
        <v>-0.9975946</v>
      </c>
      <c r="S5286">
        <v>-0.61958310000000005</v>
      </c>
      <c r="T5286">
        <v>-0.12562690000000001</v>
      </c>
      <c r="U5286">
        <v>-2.9741970000000002</v>
      </c>
      <c r="V5286">
        <v>2.93706E-2</v>
      </c>
      <c r="W5286">
        <v>-4.208025E-2</v>
      </c>
      <c r="X5286">
        <v>0.99868239999999997</v>
      </c>
      <c r="Y5286">
        <v>0.19099640000000001</v>
      </c>
      <c r="Z5286">
        <v>2.8604190000000002E-2</v>
      </c>
      <c r="AA5286">
        <v>0.98117390000000004</v>
      </c>
      <c r="AB5286">
        <v>21</v>
      </c>
      <c r="AC5286">
        <v>-5.5270999999999901</v>
      </c>
      <c r="AD5286">
        <v>-1.12101738984</v>
      </c>
      <c r="AE5286">
        <v>-26.430499999999899</v>
      </c>
      <c r="AF5286">
        <v>5.1727172555006797</v>
      </c>
      <c r="AG5286">
        <v>-1.12101738984</v>
      </c>
      <c r="AH5286">
        <v>26.4547969913842</v>
      </c>
      <c r="AI5286">
        <v>92.381404283610607</v>
      </c>
      <c r="AJ5286">
        <v>78.9365170169837</v>
      </c>
      <c r="AK5286">
        <v>26.9790653590711</v>
      </c>
      <c r="AL5286">
        <v>92.411732946676693</v>
      </c>
      <c r="AM5286">
        <v>88.315453928773096</v>
      </c>
      <c r="AN5286">
        <v>0.99999995782708995</v>
      </c>
    </row>
    <row r="5287" spans="1:40" x14ac:dyDescent="0.25">
      <c r="A5287" t="str">
        <f>"20190303153914475"</f>
        <v>20190303153914475</v>
      </c>
      <c r="B5287" t="str">
        <f>"1551598754463348"</f>
        <v>1551598754463348</v>
      </c>
      <c r="C5287" t="s">
        <v>40</v>
      </c>
      <c r="D5287">
        <v>4.4895129999999996</v>
      </c>
      <c r="E5287">
        <v>0.56246629999999997</v>
      </c>
      <c r="F5287" t="s">
        <v>68</v>
      </c>
      <c r="G5287">
        <v>-196.59620000000001</v>
      </c>
      <c r="H5287" s="1">
        <v>-1.327979E-5</v>
      </c>
      <c r="I5287">
        <v>154.0539</v>
      </c>
      <c r="J5287">
        <v>-190.96</v>
      </c>
      <c r="K5287">
        <v>1.121008</v>
      </c>
      <c r="L5287">
        <v>180.85290000000001</v>
      </c>
      <c r="M5287">
        <v>-1.3247119999999999E-2</v>
      </c>
      <c r="N5287">
        <v>-1.284162E-2</v>
      </c>
      <c r="O5287">
        <v>-0.99983010000000005</v>
      </c>
      <c r="P5287">
        <v>-4.2627459999999999E-2</v>
      </c>
      <c r="Q5287">
        <v>-5.4348760000000003E-2</v>
      </c>
      <c r="R5287">
        <v>-0.99761200000000005</v>
      </c>
      <c r="S5287">
        <v>-0.62312319999999999</v>
      </c>
      <c r="T5287">
        <v>-0.1239015</v>
      </c>
      <c r="U5287">
        <v>-2.9739070000000001</v>
      </c>
      <c r="V5287">
        <v>2.9384049999999998E-2</v>
      </c>
      <c r="W5287">
        <v>-4.1543549999999999E-2</v>
      </c>
      <c r="X5287">
        <v>0.9987045</v>
      </c>
      <c r="Y5287">
        <v>0.1919466</v>
      </c>
      <c r="Z5287">
        <v>2.7975690000000001E-2</v>
      </c>
      <c r="AA5287">
        <v>0.98100659999999895</v>
      </c>
      <c r="AB5287">
        <v>21</v>
      </c>
      <c r="AC5287">
        <v>-5.6361999999999997</v>
      </c>
      <c r="AD5287">
        <v>-1.1210212797900001</v>
      </c>
      <c r="AE5287">
        <v>-26.798999999999999</v>
      </c>
      <c r="AF5287">
        <v>5.2718326702990597</v>
      </c>
      <c r="AG5287">
        <v>-1.1210212797900001</v>
      </c>
      <c r="AH5287">
        <v>26.8263649735154</v>
      </c>
      <c r="AI5287">
        <v>92.348028360049597</v>
      </c>
      <c r="AJ5287">
        <v>78.882089610437106</v>
      </c>
      <c r="AK5287">
        <v>27.3624334828909</v>
      </c>
      <c r="AL5287">
        <v>92.380955323695403</v>
      </c>
      <c r="AM5287">
        <v>88.314720223265297</v>
      </c>
      <c r="AN5287">
        <v>0.99999998363062703</v>
      </c>
    </row>
    <row r="5288" spans="1:40" x14ac:dyDescent="0.25">
      <c r="A5288" t="str">
        <f>"20190303153914487"</f>
        <v>20190303153914487</v>
      </c>
      <c r="B5288" t="str">
        <f>"1551598754483843"</f>
        <v>1551598754483843</v>
      </c>
      <c r="C5288" t="s">
        <v>40</v>
      </c>
      <c r="D5288">
        <v>4.4663830000000004</v>
      </c>
      <c r="E5288">
        <v>0.56289140000000004</v>
      </c>
      <c r="F5288" t="s">
        <v>68</v>
      </c>
      <c r="G5288">
        <v>-196.69149999999999</v>
      </c>
      <c r="H5288" s="1">
        <v>-1.317822E-5</v>
      </c>
      <c r="I5288">
        <v>153.61670000000001</v>
      </c>
      <c r="J5288">
        <v>-190.96190000000001</v>
      </c>
      <c r="K5288">
        <v>1.121011</v>
      </c>
      <c r="L5288">
        <v>180.7338</v>
      </c>
      <c r="M5288">
        <v>-1.346293E-2</v>
      </c>
      <c r="N5288">
        <v>-1.289969E-2</v>
      </c>
      <c r="O5288">
        <v>-0.99982660000000001</v>
      </c>
      <c r="P5288">
        <v>-4.3078560000000002E-2</v>
      </c>
      <c r="Q5288">
        <v>-5.3567829999999997E-2</v>
      </c>
      <c r="R5288">
        <v>-0.99763489999999999</v>
      </c>
      <c r="S5288">
        <v>-0.62577819999999995</v>
      </c>
      <c r="T5288">
        <v>-0.12239659999999999</v>
      </c>
      <c r="U5288">
        <v>-2.9737399999999998</v>
      </c>
      <c r="V5288">
        <v>2.961979E-2</v>
      </c>
      <c r="W5288">
        <v>-4.0704379999999998E-2</v>
      </c>
      <c r="X5288">
        <v>0.99873210000000001</v>
      </c>
      <c r="Y5288">
        <v>0.19258790000000001</v>
      </c>
      <c r="Z5288">
        <v>2.741907E-2</v>
      </c>
      <c r="AA5288">
        <v>0.98089660000000001</v>
      </c>
      <c r="AB5288">
        <v>21</v>
      </c>
      <c r="AC5288">
        <v>-5.7295999999999703</v>
      </c>
      <c r="AD5288">
        <v>-1.1210241782199999</v>
      </c>
      <c r="AE5288">
        <v>-27.117099999999901</v>
      </c>
      <c r="AF5288">
        <v>5.3552138412204604</v>
      </c>
      <c r="AG5288">
        <v>-1.1210241782199999</v>
      </c>
      <c r="AH5288">
        <v>27.147373301801501</v>
      </c>
      <c r="AI5288">
        <v>92.319971808441693</v>
      </c>
      <c r="AJ5288">
        <v>78.840849259689705</v>
      </c>
      <c r="AK5288">
        <v>27.693228191756901</v>
      </c>
      <c r="AL5288">
        <v>92.332833691845906</v>
      </c>
      <c r="AM5288">
        <v>88.301254505489595</v>
      </c>
      <c r="AN5288">
        <v>0.99999999304061904</v>
      </c>
    </row>
    <row r="5289" spans="1:40" x14ac:dyDescent="0.25">
      <c r="A5289" t="str">
        <f>"20190303153914499"</f>
        <v>20190303153914499</v>
      </c>
      <c r="B5289" t="str">
        <f>"1551598754493603"</f>
        <v>1551598754493603</v>
      </c>
      <c r="C5289" t="s">
        <v>40</v>
      </c>
      <c r="D5289">
        <v>4.4706340000000004</v>
      </c>
      <c r="E5289">
        <v>0.56309790000000004</v>
      </c>
      <c r="F5289" t="s">
        <v>68</v>
      </c>
      <c r="G5289">
        <v>-196.79640000000001</v>
      </c>
      <c r="H5289" s="1">
        <v>-1.30883E-5</v>
      </c>
      <c r="I5289">
        <v>153.22229999999999</v>
      </c>
      <c r="J5289">
        <v>-190.96350000000001</v>
      </c>
      <c r="K5289">
        <v>1.1210150000000001</v>
      </c>
      <c r="L5289">
        <v>180.63149999999999</v>
      </c>
      <c r="M5289">
        <v>-1.365004E-2</v>
      </c>
      <c r="N5289">
        <v>-1.294443E-2</v>
      </c>
      <c r="O5289">
        <v>-0.99982320000000002</v>
      </c>
      <c r="P5289">
        <v>-4.3474949999999998E-2</v>
      </c>
      <c r="Q5289">
        <v>-5.3194850000000002E-2</v>
      </c>
      <c r="R5289">
        <v>-0.99763749999999995</v>
      </c>
      <c r="S5289">
        <v>-0.6305847</v>
      </c>
      <c r="T5289">
        <v>-0.1211573</v>
      </c>
      <c r="U5289">
        <v>-2.973373</v>
      </c>
      <c r="V5289">
        <v>2.9829479999999998E-2</v>
      </c>
      <c r="W5289">
        <v>-4.028673E-2</v>
      </c>
      <c r="X5289">
        <v>0.99874280000000004</v>
      </c>
      <c r="Y5289">
        <v>0.1939486</v>
      </c>
      <c r="Z5289">
        <v>2.6959960000000002E-2</v>
      </c>
      <c r="AA5289">
        <v>0.98064119999999999</v>
      </c>
      <c r="AB5289">
        <v>21</v>
      </c>
      <c r="AC5289">
        <v>-5.8328999999999898</v>
      </c>
      <c r="AD5289">
        <v>-1.1210280882999999</v>
      </c>
      <c r="AE5289">
        <v>-27.409199999999998</v>
      </c>
      <c r="AF5289">
        <v>5.4494676665381201</v>
      </c>
      <c r="AG5289">
        <v>-1.1210280882999999</v>
      </c>
      <c r="AH5289">
        <v>27.442355616061</v>
      </c>
      <c r="AI5289">
        <v>92.294495094341798</v>
      </c>
      <c r="AJ5289">
        <v>78.768390550924295</v>
      </c>
      <c r="AK5289">
        <v>28.0006479136065</v>
      </c>
      <c r="AL5289">
        <v>92.308884449112199</v>
      </c>
      <c r="AM5289">
        <v>88.289253864900203</v>
      </c>
      <c r="AN5289">
        <v>0.99999999952150098</v>
      </c>
    </row>
    <row r="5290" spans="1:40" x14ac:dyDescent="0.25">
      <c r="A5290" t="str">
        <f>"20190303153914510"</f>
        <v>20190303153914510</v>
      </c>
      <c r="B5290" t="str">
        <f>"1551598754503363"</f>
        <v>1551598754503363</v>
      </c>
      <c r="C5290" t="s">
        <v>40</v>
      </c>
      <c r="D5290">
        <v>4.4715540000000003</v>
      </c>
      <c r="E5290">
        <v>0.5633184</v>
      </c>
      <c r="F5290" t="s">
        <v>68</v>
      </c>
      <c r="G5290">
        <v>-196.8912</v>
      </c>
      <c r="H5290" s="1">
        <v>-1.2992080000000001E-5</v>
      </c>
      <c r="I5290">
        <v>152.8065</v>
      </c>
      <c r="J5290">
        <v>-190.96510000000001</v>
      </c>
      <c r="K5290">
        <v>1.121016</v>
      </c>
      <c r="L5290">
        <v>180.52549999999999</v>
      </c>
      <c r="M5290">
        <v>-1.3844270000000001E-2</v>
      </c>
      <c r="N5290">
        <v>-1.298943E-2</v>
      </c>
      <c r="O5290">
        <v>-0.99982009999999999</v>
      </c>
      <c r="P5290">
        <v>-4.3594319999999999E-2</v>
      </c>
      <c r="Q5290">
        <v>-5.3100290000000001E-2</v>
      </c>
      <c r="R5290">
        <v>-0.99763740000000001</v>
      </c>
      <c r="S5290">
        <v>-0.63337710000000003</v>
      </c>
      <c r="T5290">
        <v>-0.1197817</v>
      </c>
      <c r="U5290">
        <v>-2.9730989999999999</v>
      </c>
      <c r="V5290">
        <v>2.9754909999999999E-2</v>
      </c>
      <c r="W5290">
        <v>-4.0147170000000003E-2</v>
      </c>
      <c r="X5290">
        <v>0.99875060000000004</v>
      </c>
      <c r="Y5290">
        <v>0.19466040000000001</v>
      </c>
      <c r="Z5290">
        <v>2.645993E-2</v>
      </c>
      <c r="AA5290">
        <v>0.98051379999999999</v>
      </c>
      <c r="AB5290">
        <v>21</v>
      </c>
      <c r="AC5290">
        <v>-5.9260999999999902</v>
      </c>
      <c r="AD5290">
        <v>-1.1210289920799901</v>
      </c>
      <c r="AE5290">
        <v>-27.718999999999902</v>
      </c>
      <c r="AF5290">
        <v>5.5330959929111199</v>
      </c>
      <c r="AG5290">
        <v>-1.1210289920799901</v>
      </c>
      <c r="AH5290">
        <v>27.754980518161599</v>
      </c>
      <c r="AI5290">
        <v>92.268342764514003</v>
      </c>
      <c r="AJ5290">
        <v>78.725602654860594</v>
      </c>
      <c r="AK5290">
        <v>28.323326090545599</v>
      </c>
      <c r="AL5290">
        <v>92.300881877144803</v>
      </c>
      <c r="AM5290">
        <v>88.293541305476595</v>
      </c>
      <c r="AN5290">
        <v>0.99999995546423703</v>
      </c>
    </row>
    <row r="5291" spans="1:40" x14ac:dyDescent="0.25">
      <c r="A5291" t="str">
        <f>"20190303153914523"</f>
        <v>20190303153914523</v>
      </c>
      <c r="B5291" t="str">
        <f>"1551598754514100"</f>
        <v>1551598754514100</v>
      </c>
      <c r="C5291" t="s">
        <v>40</v>
      </c>
      <c r="D5291">
        <v>4.4612769999999999</v>
      </c>
      <c r="E5291">
        <v>0.56355290000000002</v>
      </c>
      <c r="F5291" t="s">
        <v>68</v>
      </c>
      <c r="G5291">
        <v>-196.90090000000001</v>
      </c>
      <c r="H5291" s="1">
        <v>-1.2979779999999999E-5</v>
      </c>
      <c r="I5291">
        <v>152.7542</v>
      </c>
      <c r="J5291">
        <v>-190.96729999999999</v>
      </c>
      <c r="K5291">
        <v>1.1210169999999999</v>
      </c>
      <c r="L5291">
        <v>180.39169999999999</v>
      </c>
      <c r="M5291">
        <v>-1.409351E-2</v>
      </c>
      <c r="N5291">
        <v>-1.303965E-2</v>
      </c>
      <c r="O5291">
        <v>-0.99981560000000003</v>
      </c>
      <c r="P5291">
        <v>-4.3927349999999997E-2</v>
      </c>
      <c r="Q5291">
        <v>-5.2918479999999997E-2</v>
      </c>
      <c r="R5291">
        <v>-0.99763210000000002</v>
      </c>
      <c r="S5291">
        <v>-0.63543700000000003</v>
      </c>
      <c r="T5291">
        <v>-0.1200078</v>
      </c>
      <c r="U5291">
        <v>-2.9729610000000002</v>
      </c>
      <c r="V5291">
        <v>2.9839049999999999E-2</v>
      </c>
      <c r="W5291">
        <v>-3.9915329999999999E-2</v>
      </c>
      <c r="X5291">
        <v>0.99875740000000002</v>
      </c>
      <c r="Y5291">
        <v>0.1950742</v>
      </c>
      <c r="Z5291">
        <v>2.6481620000000001E-2</v>
      </c>
      <c r="AA5291">
        <v>0.98043089999999999</v>
      </c>
      <c r="AB5291">
        <v>21</v>
      </c>
      <c r="AC5291">
        <v>-5.93360000000001</v>
      </c>
      <c r="AD5291">
        <v>-1.1210299797800001</v>
      </c>
      <c r="AE5291">
        <v>-27.6374999999999</v>
      </c>
      <c r="AF5291">
        <v>5.5347631270720301</v>
      </c>
      <c r="AG5291">
        <v>-1.1210299797800001</v>
      </c>
      <c r="AH5291">
        <v>27.674860669062699</v>
      </c>
      <c r="AI5291">
        <v>92.274626708844593</v>
      </c>
      <c r="AJ5291">
        <v>78.690483594418495</v>
      </c>
      <c r="AK5291">
        <v>28.245145142845299</v>
      </c>
      <c r="AL5291">
        <v>92.287587726075799</v>
      </c>
      <c r="AM5291">
        <v>88.288730344645799</v>
      </c>
      <c r="AN5291">
        <v>0.99999997326433498</v>
      </c>
    </row>
    <row r="5292" spans="1:40" x14ac:dyDescent="0.25">
      <c r="A5292" t="str">
        <f>"20190303153914541"</f>
        <v>20190303153914541</v>
      </c>
      <c r="B5292" t="str">
        <f>"1551598754533619"</f>
        <v>1551598754533619</v>
      </c>
      <c r="C5292" t="s">
        <v>40</v>
      </c>
      <c r="D5292">
        <v>4.4587680000000001</v>
      </c>
      <c r="E5292">
        <v>0.5640155</v>
      </c>
      <c r="F5292" t="s">
        <v>68</v>
      </c>
      <c r="G5292">
        <v>-196.96979999999999</v>
      </c>
      <c r="H5292" s="1">
        <v>-1.2908000000000001E-5</v>
      </c>
      <c r="I5292">
        <v>152.44460000000001</v>
      </c>
      <c r="J5292">
        <v>-190.96969999999999</v>
      </c>
      <c r="K5292">
        <v>1.121016</v>
      </c>
      <c r="L5292">
        <v>180.239</v>
      </c>
      <c r="M5292">
        <v>-1.4381970000000001E-2</v>
      </c>
      <c r="N5292">
        <v>-1.309196E-2</v>
      </c>
      <c r="O5292">
        <v>-0.99981109999999895</v>
      </c>
      <c r="P5292">
        <v>-4.4792539999999999E-2</v>
      </c>
      <c r="Q5292">
        <v>-5.3471190000000002E-2</v>
      </c>
      <c r="R5292">
        <v>-0.99756440000000002</v>
      </c>
      <c r="S5292">
        <v>-0.63847349999999903</v>
      </c>
      <c r="T5292">
        <v>-0.11924170000000001</v>
      </c>
      <c r="U5292">
        <v>-2.9726720000000002</v>
      </c>
      <c r="V5292">
        <v>3.0416490000000001E-2</v>
      </c>
      <c r="W5292">
        <v>-4.0416970000000003E-2</v>
      </c>
      <c r="X5292">
        <v>0.99871980000000005</v>
      </c>
      <c r="Y5292">
        <v>0.19576979999999999</v>
      </c>
      <c r="Z5292">
        <v>2.6174679999999999E-2</v>
      </c>
      <c r="AA5292">
        <v>0.98030050000000002</v>
      </c>
      <c r="AB5292">
        <v>21</v>
      </c>
      <c r="AC5292">
        <v>-6.0000999999999998</v>
      </c>
      <c r="AD5292">
        <v>-1.121028908</v>
      </c>
      <c r="AE5292">
        <v>-27.7944</v>
      </c>
      <c r="AF5292">
        <v>5.59101676313922</v>
      </c>
      <c r="AG5292">
        <v>-1.121028908</v>
      </c>
      <c r="AH5292">
        <v>27.834561952877301</v>
      </c>
      <c r="AI5292">
        <v>92.261207183632706</v>
      </c>
      <c r="AJ5292">
        <v>78.642366434838493</v>
      </c>
      <c r="AK5292">
        <v>28.412655866124901</v>
      </c>
      <c r="AL5292">
        <v>92.3163528103739</v>
      </c>
      <c r="AM5292">
        <v>88.255568791970106</v>
      </c>
      <c r="AN5292">
        <v>0.99999996661996904</v>
      </c>
    </row>
    <row r="5293" spans="1:40" x14ac:dyDescent="0.25">
      <c r="A5293" t="str">
        <f>"20190303153914556"</f>
        <v>20190303153914556</v>
      </c>
      <c r="B5293" t="str">
        <f>"1551598754543379"</f>
        <v>1551598754543379</v>
      </c>
      <c r="C5293" t="s">
        <v>40</v>
      </c>
      <c r="D5293">
        <v>4.4726589999999904</v>
      </c>
      <c r="E5293">
        <v>0.5642104</v>
      </c>
      <c r="F5293" t="s">
        <v>68</v>
      </c>
      <c r="G5293">
        <v>-197.00749999999999</v>
      </c>
      <c r="H5293" s="1">
        <v>-1.289821E-5</v>
      </c>
      <c r="I5293">
        <v>152.39240000000001</v>
      </c>
      <c r="J5293">
        <v>-190.97200000000001</v>
      </c>
      <c r="K5293">
        <v>1.1210119999999999</v>
      </c>
      <c r="L5293">
        <v>180.10380000000001</v>
      </c>
      <c r="M5293">
        <v>-1.464181E-2</v>
      </c>
      <c r="N5293">
        <v>-1.313345E-2</v>
      </c>
      <c r="O5293">
        <v>-0.9998068</v>
      </c>
      <c r="P5293">
        <v>-4.5333650000000003E-2</v>
      </c>
      <c r="Q5293">
        <v>-5.4005909999999997E-2</v>
      </c>
      <c r="R5293">
        <v>-0.99751129999999999</v>
      </c>
      <c r="S5293">
        <v>-0.64439389999999996</v>
      </c>
      <c r="T5293">
        <v>-0.1196443</v>
      </c>
      <c r="U5293">
        <v>-2.9719850000000001</v>
      </c>
      <c r="V5293">
        <v>3.0698219999999998E-2</v>
      </c>
      <c r="W5293">
        <v>-4.0911160000000002E-2</v>
      </c>
      <c r="X5293">
        <v>0.99869110000000005</v>
      </c>
      <c r="Y5293">
        <v>0.1974255</v>
      </c>
      <c r="Z5293">
        <v>2.626003E-2</v>
      </c>
      <c r="AA5293">
        <v>0.97996609999999995</v>
      </c>
      <c r="AB5293">
        <v>21</v>
      </c>
      <c r="AC5293">
        <v>-6.0354999999999803</v>
      </c>
      <c r="AD5293">
        <v>-1.12102489821</v>
      </c>
      <c r="AE5293">
        <v>-27.711400000000001</v>
      </c>
      <c r="AF5293">
        <v>5.6202919342667004</v>
      </c>
      <c r="AG5293">
        <v>-1.12102489821</v>
      </c>
      <c r="AH5293">
        <v>27.7534457896185</v>
      </c>
      <c r="AI5293">
        <v>92.267080351663395</v>
      </c>
      <c r="AJ5293">
        <v>78.551969109304494</v>
      </c>
      <c r="AK5293">
        <v>28.338986069478299</v>
      </c>
      <c r="AL5293">
        <v>92.344691154142893</v>
      </c>
      <c r="AM5293">
        <v>88.2393707141769</v>
      </c>
      <c r="AN5293">
        <v>1.00000000847146</v>
      </c>
    </row>
    <row r="5294" spans="1:40" x14ac:dyDescent="0.25">
      <c r="A5294" t="str">
        <f>"20190303153914570"</f>
        <v>20190303153914570</v>
      </c>
      <c r="B5294" t="str">
        <f>"1551598754563875"</f>
        <v>1551598754563875</v>
      </c>
      <c r="C5294" t="s">
        <v>40</v>
      </c>
      <c r="D5294">
        <v>4.4620639999999998</v>
      </c>
      <c r="E5294">
        <v>0.56465699999999996</v>
      </c>
      <c r="F5294" t="s">
        <v>68</v>
      </c>
      <c r="G5294">
        <v>-196.99119999999999</v>
      </c>
      <c r="H5294" s="1">
        <v>-1.29224E-5</v>
      </c>
      <c r="I5294">
        <v>152.49430000000001</v>
      </c>
      <c r="J5294">
        <v>-190.9743</v>
      </c>
      <c r="K5294">
        <v>1.1210059999999999</v>
      </c>
      <c r="L5294">
        <v>179.96719999999999</v>
      </c>
      <c r="M5294">
        <v>-1.490908E-2</v>
      </c>
      <c r="N5294">
        <v>-1.317071E-2</v>
      </c>
      <c r="O5294">
        <v>-0.99980219999999997</v>
      </c>
      <c r="P5294">
        <v>-4.601533E-2</v>
      </c>
      <c r="Q5294">
        <v>-5.4640870000000001E-2</v>
      </c>
      <c r="R5294">
        <v>-0.99744549999999998</v>
      </c>
      <c r="S5294">
        <v>-0.64782709999999999</v>
      </c>
      <c r="T5294">
        <v>-0.1206512</v>
      </c>
      <c r="U5294">
        <v>-2.9714969999999998</v>
      </c>
      <c r="V5294">
        <v>3.1113149999999999E-2</v>
      </c>
      <c r="W5294">
        <v>-4.1510070000000003E-2</v>
      </c>
      <c r="X5294">
        <v>0.99865349999999997</v>
      </c>
      <c r="Y5294">
        <v>0.19827529999999999</v>
      </c>
      <c r="Z5294">
        <v>2.6552139999999998E-2</v>
      </c>
      <c r="AA5294">
        <v>0.97978670000000001</v>
      </c>
      <c r="AB5294">
        <v>21</v>
      </c>
      <c r="AC5294">
        <v>-6.0168999999999899</v>
      </c>
      <c r="AD5294">
        <v>-1.1210189224</v>
      </c>
      <c r="AE5294">
        <v>-27.4728999999999</v>
      </c>
      <c r="AF5294">
        <v>5.5977063285044197</v>
      </c>
      <c r="AG5294">
        <v>-1.1210189224</v>
      </c>
      <c r="AH5294">
        <v>27.515842967778699</v>
      </c>
      <c r="AI5294">
        <v>92.286210889488899</v>
      </c>
      <c r="AJ5294">
        <v>78.500910171083007</v>
      </c>
      <c r="AK5294">
        <v>28.101825808868899</v>
      </c>
      <c r="AL5294">
        <v>92.379035452652403</v>
      </c>
      <c r="AM5294">
        <v>88.215521452945396</v>
      </c>
      <c r="AN5294">
        <v>0.99999996353828802</v>
      </c>
    </row>
    <row r="5295" spans="1:40" x14ac:dyDescent="0.25">
      <c r="A5295" t="str">
        <f>"20190303153914584"</f>
        <v>20190303153914584</v>
      </c>
      <c r="B5295" t="str">
        <f>"1551598754573635"</f>
        <v>1551598754573635</v>
      </c>
      <c r="C5295" t="s">
        <v>40</v>
      </c>
      <c r="D5295">
        <v>4.43879</v>
      </c>
      <c r="E5295">
        <v>0.564841699999999</v>
      </c>
      <c r="F5295" t="s">
        <v>68</v>
      </c>
      <c r="G5295">
        <v>-196.97669999999999</v>
      </c>
      <c r="H5295" s="1">
        <v>-1.296575E-5</v>
      </c>
      <c r="I5295">
        <v>152.67169999999999</v>
      </c>
      <c r="J5295">
        <v>-190.97659999999999</v>
      </c>
      <c r="K5295">
        <v>1.1209990000000001</v>
      </c>
      <c r="L5295">
        <v>179.8339</v>
      </c>
      <c r="M5295">
        <v>-1.5177919999999999E-2</v>
      </c>
      <c r="N5295">
        <v>-1.3198059999999999E-2</v>
      </c>
      <c r="O5295">
        <v>-0.99979790000000002</v>
      </c>
      <c r="P5295">
        <v>-4.7023500000000003E-2</v>
      </c>
      <c r="Q5295">
        <v>-5.5241730000000003E-2</v>
      </c>
      <c r="R5295">
        <v>-0.9973651</v>
      </c>
      <c r="S5295">
        <v>-0.65330509999999997</v>
      </c>
      <c r="T5295">
        <v>-0.12201239999999999</v>
      </c>
      <c r="U5295">
        <v>-2.9708559999999999</v>
      </c>
      <c r="V5295">
        <v>3.1853090000000001E-2</v>
      </c>
      <c r="W5295">
        <v>-4.208522E-2</v>
      </c>
      <c r="X5295">
        <v>0.99860610000000005</v>
      </c>
      <c r="Y5295">
        <v>0.1997757</v>
      </c>
      <c r="Z5295">
        <v>2.696691E-2</v>
      </c>
      <c r="AA5295">
        <v>0.97947050000000002</v>
      </c>
      <c r="AB5295">
        <v>21</v>
      </c>
      <c r="AC5295">
        <v>-6.0000999999999998</v>
      </c>
      <c r="AD5295">
        <v>-1.12101196575</v>
      </c>
      <c r="AE5295">
        <v>-27.162199999999999</v>
      </c>
      <c r="AF5295">
        <v>5.5780481632987398</v>
      </c>
      <c r="AG5295">
        <v>-1.12101196575</v>
      </c>
      <c r="AH5295">
        <v>27.205963708845601</v>
      </c>
      <c r="AI5295">
        <v>92.311486710161205</v>
      </c>
      <c r="AJ5295">
        <v>78.413205187431899</v>
      </c>
      <c r="AK5295">
        <v>27.794527347419699</v>
      </c>
      <c r="AL5295">
        <v>92.412017944248205</v>
      </c>
      <c r="AM5295">
        <v>88.1730243468255</v>
      </c>
      <c r="AN5295">
        <v>0.99999996402110203</v>
      </c>
    </row>
    <row r="5296" spans="1:40" x14ac:dyDescent="0.25">
      <c r="A5296" t="str">
        <f>"20190303153914596"</f>
        <v>20190303153914596</v>
      </c>
      <c r="B5296" t="str">
        <f>"1551598754583396"</f>
        <v>1551598754583396</v>
      </c>
      <c r="C5296" t="s">
        <v>40</v>
      </c>
      <c r="D5296">
        <v>4.4963730000000002</v>
      </c>
      <c r="E5296">
        <v>0.56498749999999998</v>
      </c>
      <c r="F5296" t="s">
        <v>68</v>
      </c>
      <c r="G5296">
        <v>-196.93809999999999</v>
      </c>
      <c r="H5296" s="1">
        <v>-1.3025499999999999E-5</v>
      </c>
      <c r="I5296">
        <v>152.9228</v>
      </c>
      <c r="J5296">
        <v>-190.97839999999999</v>
      </c>
      <c r="K5296">
        <v>1.1209929999999999</v>
      </c>
      <c r="L5296">
        <v>179.73159999999999</v>
      </c>
      <c r="M5296">
        <v>-1.538817E-2</v>
      </c>
      <c r="N5296">
        <v>-1.3215620000000001E-2</v>
      </c>
      <c r="O5296">
        <v>-0.99979459999999998</v>
      </c>
      <c r="P5296">
        <v>-4.73236E-2</v>
      </c>
      <c r="Q5296">
        <v>-5.5274320000000002E-2</v>
      </c>
      <c r="R5296">
        <v>-0.99734940000000005</v>
      </c>
      <c r="S5296">
        <v>-0.65794370000000002</v>
      </c>
      <c r="T5296">
        <v>-0.1237214</v>
      </c>
      <c r="U5296">
        <v>-2.970062</v>
      </c>
      <c r="V5296">
        <v>3.1943039999999999E-2</v>
      </c>
      <c r="W5296">
        <v>-4.2100770000000003E-2</v>
      </c>
      <c r="X5296">
        <v>0.99860260000000001</v>
      </c>
      <c r="Y5296">
        <v>0.2010786</v>
      </c>
      <c r="Z5296">
        <v>2.7509499999999999E-2</v>
      </c>
      <c r="AA5296">
        <v>0.97918870000000002</v>
      </c>
      <c r="AB5296">
        <v>21</v>
      </c>
      <c r="AC5296">
        <v>-5.95969999999999</v>
      </c>
      <c r="AD5296">
        <v>-1.1210060255000001</v>
      </c>
      <c r="AE5296">
        <v>-26.808799999999898</v>
      </c>
      <c r="AF5296">
        <v>5.5371942037830904</v>
      </c>
      <c r="AG5296">
        <v>-1.1210060255000001</v>
      </c>
      <c r="AH5296">
        <v>26.852601740495398</v>
      </c>
      <c r="AI5296">
        <v>92.341315321882206</v>
      </c>
      <c r="AJ5296">
        <v>78.348523122872194</v>
      </c>
      <c r="AK5296">
        <v>27.440470010429401</v>
      </c>
      <c r="AL5296">
        <v>92.412909614804093</v>
      </c>
      <c r="AM5296">
        <v>88.167862241056994</v>
      </c>
      <c r="AN5296">
        <v>0.99999999268289697</v>
      </c>
    </row>
    <row r="5297" spans="1:40" x14ac:dyDescent="0.25">
      <c r="A5297" t="str">
        <f>"20190303153914607"</f>
        <v>20190303153914607</v>
      </c>
      <c r="B5297" t="str">
        <f>"1551598754603891"</f>
        <v>1551598754603891</v>
      </c>
      <c r="C5297" t="s">
        <v>40</v>
      </c>
      <c r="D5297">
        <v>4.5284459999999997</v>
      </c>
      <c r="E5297">
        <v>0.56528429999999996</v>
      </c>
      <c r="F5297" t="s">
        <v>68</v>
      </c>
      <c r="G5297">
        <v>-196.95859999999999</v>
      </c>
      <c r="H5297" s="1">
        <v>-1.3001520000000001E-5</v>
      </c>
      <c r="I5297">
        <v>152.8202</v>
      </c>
      <c r="J5297">
        <v>-190.9804</v>
      </c>
      <c r="K5297">
        <v>1.1209899999999999</v>
      </c>
      <c r="L5297">
        <v>179.6207</v>
      </c>
      <c r="M5297">
        <v>-1.5619279999999999E-2</v>
      </c>
      <c r="N5297">
        <v>-1.323186E-2</v>
      </c>
      <c r="O5297">
        <v>-0.99979050000000003</v>
      </c>
      <c r="P5297">
        <v>-4.7487300000000003E-2</v>
      </c>
      <c r="Q5297">
        <v>-5.523807E-2</v>
      </c>
      <c r="R5297">
        <v>-0.99734350000000005</v>
      </c>
      <c r="S5297">
        <v>-0.65994259999999905</v>
      </c>
      <c r="T5297">
        <v>-0.123708</v>
      </c>
      <c r="U5297">
        <v>-2.9697879999999999</v>
      </c>
      <c r="V5297">
        <v>3.1875590000000002E-2</v>
      </c>
      <c r="W5297">
        <v>-4.2048639999999998E-2</v>
      </c>
      <c r="X5297">
        <v>0.99860700000000002</v>
      </c>
      <c r="Y5297">
        <v>0.20149929999999999</v>
      </c>
      <c r="Z5297">
        <v>2.748805E-2</v>
      </c>
      <c r="AA5297">
        <v>0.9791029</v>
      </c>
      <c r="AB5297">
        <v>21</v>
      </c>
      <c r="AC5297">
        <v>-5.9781999999999798</v>
      </c>
      <c r="AD5297">
        <v>-1.1210030015200001</v>
      </c>
      <c r="AE5297">
        <v>-26.8005</v>
      </c>
      <c r="AF5297">
        <v>5.5495803645963404</v>
      </c>
      <c r="AG5297">
        <v>-1.1210030015200001</v>
      </c>
      <c r="AH5297">
        <v>26.845871320775299</v>
      </c>
      <c r="AI5297">
        <v>92.341657678028298</v>
      </c>
      <c r="AJ5297">
        <v>78.320327817881306</v>
      </c>
      <c r="AK5297">
        <v>27.436386367817398</v>
      </c>
      <c r="AL5297">
        <v>92.409920022234203</v>
      </c>
      <c r="AM5297">
        <v>88.171736352018499</v>
      </c>
      <c r="AN5297">
        <v>1.0000000409063401</v>
      </c>
    </row>
    <row r="5298" spans="1:40" x14ac:dyDescent="0.25">
      <c r="A5298" t="str">
        <f>"20190303153914618"</f>
        <v>20190303153914618</v>
      </c>
      <c r="B5298" t="str">
        <f>"1551598754613652"</f>
        <v>1551598754613652</v>
      </c>
      <c r="C5298" t="s">
        <v>40</v>
      </c>
      <c r="D5298">
        <v>4.442863</v>
      </c>
      <c r="E5298">
        <v>0.56537199999999999</v>
      </c>
      <c r="F5298" t="s">
        <v>68</v>
      </c>
      <c r="G5298">
        <v>-197.03700000000001</v>
      </c>
      <c r="H5298" s="1">
        <v>-1.292249E-5</v>
      </c>
      <c r="I5298">
        <v>152.4785</v>
      </c>
      <c r="J5298">
        <v>-190.9821</v>
      </c>
      <c r="K5298">
        <v>1.120986</v>
      </c>
      <c r="L5298">
        <v>179.52199999999999</v>
      </c>
      <c r="M5298">
        <v>-1.5831319999999999E-2</v>
      </c>
      <c r="N5298">
        <v>-1.3243990000000001E-2</v>
      </c>
      <c r="O5298">
        <v>-0.99978699999999998</v>
      </c>
      <c r="P5298">
        <v>-4.7697499999999997E-2</v>
      </c>
      <c r="Q5298">
        <v>-5.480877E-2</v>
      </c>
      <c r="R5298">
        <v>-0.99735700000000005</v>
      </c>
      <c r="S5298">
        <v>-0.66265869999999905</v>
      </c>
      <c r="T5298">
        <v>-0.1226493</v>
      </c>
      <c r="U5298">
        <v>-2.9696349999999998</v>
      </c>
      <c r="V5298">
        <v>3.187363E-2</v>
      </c>
      <c r="W5298">
        <v>-4.1607360000000003E-2</v>
      </c>
      <c r="X5298">
        <v>0.99862550000000005</v>
      </c>
      <c r="Y5298">
        <v>0.20215759999999999</v>
      </c>
      <c r="Z5298">
        <v>2.7123629999999999E-2</v>
      </c>
      <c r="AA5298">
        <v>0.97897730000000005</v>
      </c>
      <c r="AB5298">
        <v>21</v>
      </c>
      <c r="AC5298">
        <v>-6.0548999999999999</v>
      </c>
      <c r="AD5298">
        <v>-1.1209989224899899</v>
      </c>
      <c r="AE5298">
        <v>-27.043500000000002</v>
      </c>
      <c r="AF5298">
        <v>5.6167789169384301</v>
      </c>
      <c r="AG5298">
        <v>-1.1209989224899899</v>
      </c>
      <c r="AH5298">
        <v>27.091647765975999</v>
      </c>
      <c r="AI5298">
        <v>92.320150579674802</v>
      </c>
      <c r="AJ5298">
        <v>78.287086059755396</v>
      </c>
      <c r="AK5298">
        <v>27.6904716944602</v>
      </c>
      <c r="AL5298">
        <v>92.384614504255893</v>
      </c>
      <c r="AM5298">
        <v>88.171882538309902</v>
      </c>
      <c r="AN5298">
        <v>0.99999999497289804</v>
      </c>
    </row>
    <row r="5299" spans="1:40" x14ac:dyDescent="0.25">
      <c r="A5299" t="str">
        <f>"20190303153914630"</f>
        <v>20190303153914630</v>
      </c>
      <c r="B5299" t="str">
        <f>"1551598754623411"</f>
        <v>1551598754623411</v>
      </c>
      <c r="C5299" t="s">
        <v>40</v>
      </c>
      <c r="D5299">
        <v>4.4720420000000001</v>
      </c>
      <c r="E5299">
        <v>0.56546980000000002</v>
      </c>
      <c r="F5299" t="s">
        <v>68</v>
      </c>
      <c r="G5299">
        <v>-197.12960000000001</v>
      </c>
      <c r="H5299" s="1">
        <v>-1.281705E-5</v>
      </c>
      <c r="I5299">
        <v>152.02690000000001</v>
      </c>
      <c r="J5299">
        <v>-190.98410000000001</v>
      </c>
      <c r="K5299">
        <v>1.1209849999999999</v>
      </c>
      <c r="L5299">
        <v>179.4118</v>
      </c>
      <c r="M5299">
        <v>-1.6069759999999999E-2</v>
      </c>
      <c r="N5299">
        <v>-1.3256499999999999E-2</v>
      </c>
      <c r="O5299">
        <v>-0.99978299999999998</v>
      </c>
      <c r="P5299">
        <v>-4.7436930000000002E-2</v>
      </c>
      <c r="Q5299">
        <v>-5.4431880000000002E-2</v>
      </c>
      <c r="R5299">
        <v>-0.99739009999999995</v>
      </c>
      <c r="S5299">
        <v>-0.66394039999999999</v>
      </c>
      <c r="T5299">
        <v>-0.1210707</v>
      </c>
      <c r="U5299">
        <v>-2.9695429999999998</v>
      </c>
      <c r="V5299">
        <v>3.1374199999999998E-2</v>
      </c>
      <c r="W5299">
        <v>-4.1217650000000002E-2</v>
      </c>
      <c r="X5299">
        <v>0.99865749999999998</v>
      </c>
      <c r="Y5299">
        <v>0.20233660000000001</v>
      </c>
      <c r="Z5299">
        <v>2.659135E-2</v>
      </c>
      <c r="AA5299">
        <v>0.97895500000000002</v>
      </c>
      <c r="AB5299">
        <v>21</v>
      </c>
      <c r="AC5299">
        <v>-6.1454999999999904</v>
      </c>
      <c r="AD5299">
        <v>-1.1209978170499999</v>
      </c>
      <c r="AE5299">
        <v>-27.384899999999899</v>
      </c>
      <c r="AF5299">
        <v>5.6955126871350501</v>
      </c>
      <c r="AG5299">
        <v>-1.1209978170499999</v>
      </c>
      <c r="AH5299">
        <v>27.436358773251399</v>
      </c>
      <c r="AI5299">
        <v>92.290908605050504</v>
      </c>
      <c r="AJ5299">
        <v>78.2725374213599</v>
      </c>
      <c r="AK5299">
        <v>28.043703100869401</v>
      </c>
      <c r="AL5299">
        <v>92.362266538174893</v>
      </c>
      <c r="AM5299">
        <v>88.200566071048399</v>
      </c>
      <c r="AN5299">
        <v>1.0000000187017</v>
      </c>
    </row>
    <row r="5300" spans="1:40" x14ac:dyDescent="0.25">
      <c r="A5300" t="str">
        <f>"20190303153914642"</f>
        <v>20190303153914642</v>
      </c>
      <c r="B5300" t="str">
        <f>"1551598754634148"</f>
        <v>1551598754634148</v>
      </c>
      <c r="C5300" t="s">
        <v>40</v>
      </c>
      <c r="D5300">
        <v>4.495546</v>
      </c>
      <c r="E5300">
        <v>0.56554819999999995</v>
      </c>
      <c r="F5300" t="s">
        <v>68</v>
      </c>
      <c r="G5300">
        <v>-197.2243</v>
      </c>
      <c r="H5300" s="1">
        <v>-1.269421E-5</v>
      </c>
      <c r="I5300">
        <v>151.5052</v>
      </c>
      <c r="J5300">
        <v>-190.9864</v>
      </c>
      <c r="K5300">
        <v>1.120978</v>
      </c>
      <c r="L5300">
        <v>179.29150000000001</v>
      </c>
      <c r="M5300">
        <v>-1.634031E-2</v>
      </c>
      <c r="N5300">
        <v>-1.326306E-2</v>
      </c>
      <c r="O5300">
        <v>-0.99977870000000002</v>
      </c>
      <c r="P5300">
        <v>-4.7325939999999997E-2</v>
      </c>
      <c r="Q5300">
        <v>-5.3829099999999901E-2</v>
      </c>
      <c r="R5300">
        <v>-0.99742799999999998</v>
      </c>
      <c r="S5300">
        <v>-0.6640625</v>
      </c>
      <c r="T5300">
        <v>-0.119293899999999</v>
      </c>
      <c r="U5300">
        <v>-2.969757</v>
      </c>
      <c r="V5300">
        <v>3.0992240000000001E-2</v>
      </c>
      <c r="W5300">
        <v>-4.0608060000000001E-2</v>
      </c>
      <c r="X5300">
        <v>0.99869439999999998</v>
      </c>
      <c r="Y5300">
        <v>0.20209920000000001</v>
      </c>
      <c r="Z5300">
        <v>2.5999319999999999E-2</v>
      </c>
      <c r="AA5300">
        <v>0.97901990000000005</v>
      </c>
      <c r="AB5300">
        <v>21</v>
      </c>
      <c r="AC5300">
        <v>-6.23789999999999</v>
      </c>
      <c r="AD5300">
        <v>-1.1209906942100001</v>
      </c>
      <c r="AE5300">
        <v>-27.786300000000001</v>
      </c>
      <c r="AF5300">
        <v>5.77404358873632</v>
      </c>
      <c r="AG5300">
        <v>-1.1209906942100001</v>
      </c>
      <c r="AH5300">
        <v>27.841387784663102</v>
      </c>
      <c r="AI5300">
        <v>92.257690911044605</v>
      </c>
      <c r="AJ5300">
        <v>78.2834856731846</v>
      </c>
      <c r="AK5300">
        <v>28.455914557032202</v>
      </c>
      <c r="AL5300">
        <v>92.327310335099995</v>
      </c>
      <c r="AM5300">
        <v>88.222524475655405</v>
      </c>
      <c r="AN5300">
        <v>1.0000000190342699</v>
      </c>
    </row>
    <row r="5301" spans="1:40" x14ac:dyDescent="0.25">
      <c r="A5301" t="str">
        <f>"20190303153914655"</f>
        <v>20190303153914655</v>
      </c>
      <c r="B5301" t="str">
        <f>"1551598754643908"</f>
        <v>1551598754643908</v>
      </c>
      <c r="C5301" t="s">
        <v>40</v>
      </c>
      <c r="D5301">
        <v>4.5606239999999998</v>
      </c>
      <c r="E5301">
        <v>0.56561949999999905</v>
      </c>
      <c r="F5301" t="s">
        <v>68</v>
      </c>
      <c r="G5301">
        <v>-197.32320000000001</v>
      </c>
      <c r="H5301" s="1">
        <v>-1.2564830000000001E-5</v>
      </c>
      <c r="I5301">
        <v>150.9562</v>
      </c>
      <c r="J5301">
        <v>-190.98849999999999</v>
      </c>
      <c r="K5301">
        <v>1.1209750000000001</v>
      </c>
      <c r="L5301">
        <v>179.1797</v>
      </c>
      <c r="M5301">
        <v>-1.6595970000000002E-2</v>
      </c>
      <c r="N5301">
        <v>-1.3264049999999999E-2</v>
      </c>
      <c r="O5301">
        <v>-0.99977439999999995</v>
      </c>
      <c r="P5301">
        <v>-4.7264130000000001E-2</v>
      </c>
      <c r="Q5301">
        <v>-5.3665919999999999E-2</v>
      </c>
      <c r="R5301">
        <v>-0.99743999999999999</v>
      </c>
      <c r="S5301">
        <v>-0.66416929999999996</v>
      </c>
      <c r="T5301">
        <v>-0.11749270000000001</v>
      </c>
      <c r="U5301">
        <v>-2.9698639999999998</v>
      </c>
      <c r="V5301">
        <v>3.0674489999999999E-2</v>
      </c>
      <c r="W5301">
        <v>-4.044391E-2</v>
      </c>
      <c r="X5301">
        <v>0.99871089999999996</v>
      </c>
      <c r="Y5301">
        <v>0.2018789</v>
      </c>
      <c r="Z5301">
        <v>2.5406120000000001E-2</v>
      </c>
      <c r="AA5301">
        <v>0.97908090000000003</v>
      </c>
      <c r="AB5301">
        <v>21</v>
      </c>
      <c r="AC5301">
        <v>-6.3347000000000202</v>
      </c>
      <c r="AD5301">
        <v>-1.1209875648300001</v>
      </c>
      <c r="AE5301">
        <v>-28.223500000000001</v>
      </c>
      <c r="AF5301">
        <v>5.8565940052427097</v>
      </c>
      <c r="AG5301">
        <v>-1.1209875648300001</v>
      </c>
      <c r="AH5301">
        <v>28.282275496855501</v>
      </c>
      <c r="AI5301">
        <v>92.222664126140899</v>
      </c>
      <c r="AJ5301">
        <v>78.300745325706799</v>
      </c>
      <c r="AK5301">
        <v>28.904038017944501</v>
      </c>
      <c r="AL5301">
        <v>92.317897433131606</v>
      </c>
      <c r="AM5301">
        <v>88.2407656974231</v>
      </c>
      <c r="AN5301">
        <v>1.00000004798582</v>
      </c>
    </row>
    <row r="5302" spans="1:40" x14ac:dyDescent="0.25">
      <c r="A5302" t="str">
        <f>"20190303153914667"</f>
        <v>20190303153914667</v>
      </c>
      <c r="B5302" t="str">
        <f>"1551598754663427"</f>
        <v>1551598754663427</v>
      </c>
      <c r="C5302" t="s">
        <v>40</v>
      </c>
      <c r="D5302">
        <v>4.4957320000000003</v>
      </c>
      <c r="E5302">
        <v>0.56580850000000005</v>
      </c>
      <c r="F5302" t="s">
        <v>68</v>
      </c>
      <c r="G5302">
        <v>-197.38800000000001</v>
      </c>
      <c r="H5302" s="1">
        <v>-1.2423409999999999E-5</v>
      </c>
      <c r="I5302">
        <v>150.59039999999999</v>
      </c>
      <c r="J5302">
        <v>-190.9907</v>
      </c>
      <c r="K5302">
        <v>1.12097</v>
      </c>
      <c r="L5302">
        <v>179.06559999999999</v>
      </c>
      <c r="M5302">
        <v>-1.6861939999999999E-2</v>
      </c>
      <c r="N5302">
        <v>-1.325989E-2</v>
      </c>
      <c r="O5302">
        <v>-0.99977009999999999</v>
      </c>
      <c r="P5302">
        <v>-4.7224450000000001E-2</v>
      </c>
      <c r="Q5302">
        <v>-5.3409409999999997E-2</v>
      </c>
      <c r="R5302">
        <v>-0.9974556</v>
      </c>
      <c r="S5302">
        <v>-0.66479489999999997</v>
      </c>
      <c r="T5302">
        <v>-0.11645129999999999</v>
      </c>
      <c r="U5302">
        <v>-2.9699399999999998</v>
      </c>
      <c r="V5302">
        <v>3.0368559999999999E-2</v>
      </c>
      <c r="W5302">
        <v>-4.0191549999999999E-2</v>
      </c>
      <c r="X5302">
        <v>0.99873040000000002</v>
      </c>
      <c r="Y5302">
        <v>0.20181180000000001</v>
      </c>
      <c r="Z5302">
        <v>2.5066740000000001E-2</v>
      </c>
      <c r="AA5302">
        <v>0.97910350000000002</v>
      </c>
      <c r="AB5302">
        <v>21</v>
      </c>
      <c r="AC5302">
        <v>-6.3973000000000004</v>
      </c>
      <c r="AD5302">
        <v>-1.1209824234100001</v>
      </c>
      <c r="AE5302">
        <v>-28.475200000000001</v>
      </c>
      <c r="AF5302">
        <v>5.9074857968296097</v>
      </c>
      <c r="AG5302">
        <v>-1.1209824234100001</v>
      </c>
      <c r="AH5302">
        <v>28.536930832877701</v>
      </c>
      <c r="AI5302">
        <v>92.202867438715302</v>
      </c>
      <c r="AJ5302">
        <v>78.304290356094597</v>
      </c>
      <c r="AK5302">
        <v>29.1635287884334</v>
      </c>
      <c r="AL5302">
        <v>92.303426589925607</v>
      </c>
      <c r="AM5302">
        <v>88.258334428711706</v>
      </c>
      <c r="AN5302">
        <v>1.0000000110060101</v>
      </c>
    </row>
    <row r="5303" spans="1:40" x14ac:dyDescent="0.25">
      <c r="A5303" t="str">
        <f>"20190303153914680"</f>
        <v>20190303153914680</v>
      </c>
      <c r="B5303" t="str">
        <f>"1551598754674164"</f>
        <v>1551598754674164</v>
      </c>
      <c r="C5303" t="s">
        <v>40</v>
      </c>
      <c r="D5303">
        <v>4.5608870000000001</v>
      </c>
      <c r="E5303">
        <v>0.56580850000000005</v>
      </c>
      <c r="F5303" t="s">
        <v>68</v>
      </c>
      <c r="G5303">
        <v>-197.4615</v>
      </c>
      <c r="H5303" s="1">
        <v>-1.227405E-5</v>
      </c>
      <c r="I5303">
        <v>150.21180000000001</v>
      </c>
      <c r="J5303">
        <v>-190.99279999999999</v>
      </c>
      <c r="K5303">
        <v>1.1209579999999999</v>
      </c>
      <c r="L5303">
        <v>178.9605</v>
      </c>
      <c r="M5303">
        <v>-1.7114899999999999E-2</v>
      </c>
      <c r="N5303">
        <v>-1.323963E-2</v>
      </c>
      <c r="O5303">
        <v>-0.99976580000000004</v>
      </c>
      <c r="P5303">
        <v>-4.710723E-2</v>
      </c>
      <c r="Q5303">
        <v>-5.3330820000000001E-2</v>
      </c>
      <c r="R5303">
        <v>-0.99746509999999999</v>
      </c>
      <c r="S5303">
        <v>-0.66604609999999997</v>
      </c>
      <c r="T5303">
        <v>-0.115383399999999</v>
      </c>
      <c r="U5303">
        <v>-2.9699399999999998</v>
      </c>
      <c r="V5303">
        <v>2.999804E-2</v>
      </c>
      <c r="W5303">
        <v>-4.0133229999999999E-2</v>
      </c>
      <c r="X5303">
        <v>0.99874399999999997</v>
      </c>
      <c r="Y5303">
        <v>0.20195920000000001</v>
      </c>
      <c r="Z5303">
        <v>2.4734019999999999E-2</v>
      </c>
      <c r="AA5303">
        <v>0.9790816</v>
      </c>
      <c r="AB5303">
        <v>21</v>
      </c>
      <c r="AC5303">
        <v>-6.4687000000000099</v>
      </c>
      <c r="AD5303">
        <v>-1.1209702740499901</v>
      </c>
      <c r="AE5303">
        <v>-28.7486999999999</v>
      </c>
      <c r="AF5303">
        <v>5.9670430843964501</v>
      </c>
      <c r="AG5303">
        <v>-1.1209702740499901</v>
      </c>
      <c r="AH5303">
        <v>28.8135128751629</v>
      </c>
      <c r="AI5303">
        <v>92.181684372472404</v>
      </c>
      <c r="AJ5303">
        <v>78.299901950285502</v>
      </c>
      <c r="AK5303">
        <v>29.4462340840645</v>
      </c>
      <c r="AL5303">
        <v>92.300082270630298</v>
      </c>
      <c r="AM5303">
        <v>88.279594664129803</v>
      </c>
      <c r="AN5303">
        <v>1.0000000680450301</v>
      </c>
    </row>
    <row r="5304" spans="1:40" x14ac:dyDescent="0.25">
      <c r="A5304" t="str">
        <f>"20190303153914691"</f>
        <v>20190303153914691</v>
      </c>
      <c r="B5304" t="str">
        <f>"1551598754683923"</f>
        <v>1551598754683923</v>
      </c>
      <c r="C5304" t="s">
        <v>40</v>
      </c>
      <c r="D5304">
        <v>4.6560959999999998</v>
      </c>
      <c r="E5304">
        <v>0.54648580000000002</v>
      </c>
      <c r="F5304" t="s">
        <v>68</v>
      </c>
      <c r="G5304">
        <v>-197.4716</v>
      </c>
      <c r="H5304" s="1">
        <v>-1.2208269999999999E-5</v>
      </c>
      <c r="I5304">
        <v>150.05430000000001</v>
      </c>
      <c r="J5304">
        <v>-190.99510000000001</v>
      </c>
      <c r="K5304">
        <v>1.120949</v>
      </c>
      <c r="L5304">
        <v>178.84110000000001</v>
      </c>
      <c r="M5304">
        <v>-1.740481E-2</v>
      </c>
      <c r="N5304">
        <v>-1.3207770000000001E-2</v>
      </c>
      <c r="O5304">
        <v>-0.99976149999999997</v>
      </c>
      <c r="P5304">
        <v>-4.7221409999999998E-2</v>
      </c>
      <c r="Q5304">
        <v>-5.3241169999999997E-2</v>
      </c>
      <c r="R5304">
        <v>-0.99746480000000004</v>
      </c>
      <c r="S5304">
        <v>-0.66567989999999999</v>
      </c>
      <c r="T5304">
        <v>-0.1151768</v>
      </c>
      <c r="U5304">
        <v>-2.9700319999999998</v>
      </c>
      <c r="V5304">
        <v>2.9822029999999999E-2</v>
      </c>
      <c r="W5304">
        <v>-4.0075739999999999E-2</v>
      </c>
      <c r="X5304">
        <v>0.99875150000000001</v>
      </c>
      <c r="Y5304">
        <v>0.20155439999999999</v>
      </c>
      <c r="Z5304">
        <v>2.469903E-2</v>
      </c>
      <c r="AA5304">
        <v>0.97916590000000003</v>
      </c>
      <c r="AB5304">
        <v>21</v>
      </c>
      <c r="AC5304">
        <v>-6.4764999999999802</v>
      </c>
      <c r="AD5304">
        <v>-1.12096120827</v>
      </c>
      <c r="AE5304">
        <v>-28.786799999999999</v>
      </c>
      <c r="AF5304">
        <v>5.9658360549273404</v>
      </c>
      <c r="AG5304">
        <v>-1.12096120827</v>
      </c>
      <c r="AH5304">
        <v>28.853527146872299</v>
      </c>
      <c r="AI5304">
        <v>92.178786222452402</v>
      </c>
      <c r="AJ5304">
        <v>78.317979868234303</v>
      </c>
      <c r="AK5304">
        <v>29.485145118856199</v>
      </c>
      <c r="AL5304">
        <v>92.296785866968094</v>
      </c>
      <c r="AM5304">
        <v>88.289695764487107</v>
      </c>
      <c r="AN5304">
        <v>0.99999998858105899</v>
      </c>
    </row>
    <row r="5305" spans="1:40" x14ac:dyDescent="0.25">
      <c r="A5305" t="str">
        <f>"20190303153914707"</f>
        <v>20190303153914707</v>
      </c>
      <c r="B5305" t="str">
        <f>"1551598754703443"</f>
        <v>1551598754703443</v>
      </c>
      <c r="C5305" t="s">
        <v>40</v>
      </c>
      <c r="D5305">
        <v>4.5379990000000001</v>
      </c>
      <c r="E5305">
        <v>0.52849639999999998</v>
      </c>
      <c r="F5305" t="s">
        <v>68</v>
      </c>
      <c r="G5305">
        <v>-195.64089999999999</v>
      </c>
      <c r="H5305" s="1">
        <v>-1.263643E-5</v>
      </c>
      <c r="I5305">
        <v>151.83369999999999</v>
      </c>
      <c r="J5305">
        <v>-190.99789999999999</v>
      </c>
      <c r="K5305">
        <v>1.120938</v>
      </c>
      <c r="L5305">
        <v>178.70099999999999</v>
      </c>
      <c r="M5305">
        <v>-1.7750539999999999E-2</v>
      </c>
      <c r="N5305">
        <v>-1.314532E-2</v>
      </c>
      <c r="O5305">
        <v>-0.99975610000000004</v>
      </c>
      <c r="P5305">
        <v>-4.7103199999999998E-2</v>
      </c>
      <c r="Q5305">
        <v>-5.2070859999999997E-2</v>
      </c>
      <c r="R5305">
        <v>-0.99753190000000003</v>
      </c>
      <c r="S5305">
        <v>-0.51206969999999996</v>
      </c>
      <c r="T5305">
        <v>-0.12355380000000001</v>
      </c>
      <c r="U5305">
        <v>-2.976791</v>
      </c>
      <c r="V5305">
        <v>2.9357350000000001E-2</v>
      </c>
      <c r="W5305">
        <v>-3.8967300000000003E-2</v>
      </c>
      <c r="X5305">
        <v>0.99880919999999895</v>
      </c>
      <c r="Y5305">
        <v>0.15188979999999999</v>
      </c>
      <c r="Z5305">
        <v>2.780183E-2</v>
      </c>
      <c r="AA5305">
        <v>0.98800639999999995</v>
      </c>
      <c r="AB5305">
        <v>21</v>
      </c>
      <c r="AC5305">
        <v>-4.6429999999999998</v>
      </c>
      <c r="AD5305">
        <v>-1.1209506364299999</v>
      </c>
      <c r="AE5305">
        <v>-26.8673</v>
      </c>
      <c r="AF5305">
        <v>4.1582896409540204</v>
      </c>
      <c r="AG5305">
        <v>-1.1209506364299999</v>
      </c>
      <c r="AH5305">
        <v>26.9000219707852</v>
      </c>
      <c r="AI5305">
        <v>92.358214151047093</v>
      </c>
      <c r="AJ5305">
        <v>81.212592905477607</v>
      </c>
      <c r="AK5305">
        <v>27.242596886055299</v>
      </c>
      <c r="AL5305">
        <v>92.233227109699399</v>
      </c>
      <c r="AM5305">
        <v>88.316427078489099</v>
      </c>
      <c r="AN5305">
        <v>1.0000000612364699</v>
      </c>
    </row>
    <row r="5306" spans="1:40" x14ac:dyDescent="0.25">
      <c r="A5306" t="str">
        <f>"20190303153914719"</f>
        <v>20190303153914719</v>
      </c>
      <c r="B5306" t="str">
        <f>"1551598754714180"</f>
        <v>1551598754714180</v>
      </c>
      <c r="C5306" t="s">
        <v>40</v>
      </c>
      <c r="D5306">
        <v>4.5925469999999997</v>
      </c>
      <c r="E5306">
        <v>0.52281309999999903</v>
      </c>
      <c r="F5306" t="s">
        <v>68</v>
      </c>
      <c r="G5306">
        <v>-195.0866</v>
      </c>
      <c r="H5306" s="1">
        <v>-1.053497E-5</v>
      </c>
      <c r="I5306">
        <v>145.58799999999999</v>
      </c>
      <c r="J5306">
        <v>-191.0001</v>
      </c>
      <c r="K5306">
        <v>1.12093</v>
      </c>
      <c r="L5306">
        <v>178.59559999999999</v>
      </c>
      <c r="M5306">
        <v>-1.801614E-2</v>
      </c>
      <c r="N5306">
        <v>-1.308483E-2</v>
      </c>
      <c r="O5306">
        <v>-0.99975199999999997</v>
      </c>
      <c r="P5306">
        <v>-4.7227320000000003E-2</v>
      </c>
      <c r="Q5306">
        <v>-5.0922710000000003E-2</v>
      </c>
      <c r="R5306">
        <v>-0.99758519999999995</v>
      </c>
      <c r="S5306">
        <v>-0.36854550000000003</v>
      </c>
      <c r="T5306">
        <v>-0.1010407</v>
      </c>
      <c r="U5306">
        <v>-2.984756</v>
      </c>
      <c r="V5306">
        <v>2.9215830000000002E-2</v>
      </c>
      <c r="W5306">
        <v>-3.7878990000000001E-2</v>
      </c>
      <c r="X5306">
        <v>0.99885520000000005</v>
      </c>
      <c r="Y5306">
        <v>0.10458580000000001</v>
      </c>
      <c r="Z5306">
        <v>2.0538629999999999E-2</v>
      </c>
      <c r="AA5306">
        <v>0.99430379999999996</v>
      </c>
      <c r="AB5306">
        <v>21</v>
      </c>
      <c r="AC5306">
        <v>-4.0865</v>
      </c>
      <c r="AD5306">
        <v>-1.1209405349699999</v>
      </c>
      <c r="AE5306">
        <v>-33.007599999999996</v>
      </c>
      <c r="AF5306">
        <v>3.4871551551118798</v>
      </c>
      <c r="AG5306">
        <v>-1.1209405349699999</v>
      </c>
      <c r="AH5306">
        <v>33.038343614727502</v>
      </c>
      <c r="AI5306">
        <v>91.932486430961902</v>
      </c>
      <c r="AJ5306">
        <v>83.974811851957398</v>
      </c>
      <c r="AK5306">
        <v>33.240771765462497</v>
      </c>
      <c r="AL5306">
        <v>92.170825492464999</v>
      </c>
      <c r="AM5306">
        <v>88.324615386296401</v>
      </c>
      <c r="AN5306">
        <v>1.00000004658652</v>
      </c>
    </row>
    <row r="5307" spans="1:40" x14ac:dyDescent="0.25">
      <c r="A5307" t="str">
        <f>"20190303153914730"</f>
        <v>20190303153914730</v>
      </c>
      <c r="B5307" t="str">
        <f>"1551598754723939"</f>
        <v>1551598754723939</v>
      </c>
      <c r="C5307" t="s">
        <v>40</v>
      </c>
      <c r="D5307">
        <v>4.5819640000000001</v>
      </c>
      <c r="E5307">
        <v>0.51878359999999901</v>
      </c>
      <c r="F5307" t="s">
        <v>68</v>
      </c>
      <c r="G5307">
        <v>-195.10550000000001</v>
      </c>
      <c r="H5307" s="1">
        <v>-9.1140589999999992E-6</v>
      </c>
      <c r="I5307">
        <v>140.70689999999999</v>
      </c>
      <c r="J5307">
        <v>-191.0025</v>
      </c>
      <c r="K5307">
        <v>1.1209209999999901</v>
      </c>
      <c r="L5307">
        <v>178.4845</v>
      </c>
      <c r="M5307">
        <v>-1.8298410000000001E-2</v>
      </c>
      <c r="N5307">
        <v>-1.301676E-2</v>
      </c>
      <c r="O5307">
        <v>-0.99974799999999997</v>
      </c>
      <c r="P5307">
        <v>-4.7404559999999998E-2</v>
      </c>
      <c r="Q5307">
        <v>-4.9540069999999999E-2</v>
      </c>
      <c r="R5307">
        <v>-0.99764660000000005</v>
      </c>
      <c r="S5307">
        <v>-0.32369999999999999</v>
      </c>
      <c r="T5307">
        <v>-8.8383199999999995E-2</v>
      </c>
      <c r="U5307">
        <v>-2.9874269999999998</v>
      </c>
      <c r="V5307">
        <v>2.911091E-2</v>
      </c>
      <c r="W5307">
        <v>-3.6563610000000003E-2</v>
      </c>
      <c r="X5307">
        <v>0.9989072</v>
      </c>
      <c r="Y5307">
        <v>8.9472940000000001E-2</v>
      </c>
      <c r="Z5307">
        <v>1.641865E-2</v>
      </c>
      <c r="AA5307">
        <v>0.99585389999999996</v>
      </c>
      <c r="AB5307">
        <v>21</v>
      </c>
      <c r="AC5307">
        <v>-4.1029999999999998</v>
      </c>
      <c r="AD5307">
        <v>-1.12093011405899</v>
      </c>
      <c r="AE5307">
        <v>-37.7776</v>
      </c>
      <c r="AF5307">
        <v>3.40801895295421</v>
      </c>
      <c r="AG5307">
        <v>-1.12093011405899</v>
      </c>
      <c r="AH5307">
        <v>37.813455080603703</v>
      </c>
      <c r="AI5307">
        <v>91.691110273369503</v>
      </c>
      <c r="AJ5307">
        <v>84.850008879091007</v>
      </c>
      <c r="AK5307">
        <v>37.983265560469299</v>
      </c>
      <c r="AL5307">
        <v>92.095407670799702</v>
      </c>
      <c r="AM5307">
        <v>88.330715476407804</v>
      </c>
      <c r="AN5307">
        <v>0.99999996843454897</v>
      </c>
    </row>
    <row r="5308" spans="1:40" x14ac:dyDescent="0.25">
      <c r="A5308" t="str">
        <f>"20190303153914743"</f>
        <v>20190303153914743</v>
      </c>
      <c r="B5308" t="str">
        <f>"1551598754733700"</f>
        <v>1551598754733700</v>
      </c>
      <c r="C5308" t="s">
        <v>40</v>
      </c>
      <c r="D5308">
        <v>4.6107100000000001</v>
      </c>
      <c r="E5308">
        <v>0.51542929999999998</v>
      </c>
      <c r="F5308" t="s">
        <v>68</v>
      </c>
      <c r="G5308">
        <v>-195.08670000000001</v>
      </c>
      <c r="H5308" s="1">
        <v>-7.8482039999999998E-6</v>
      </c>
      <c r="I5308">
        <v>136.68170000000001</v>
      </c>
      <c r="J5308">
        <v>-191.00489999999999</v>
      </c>
      <c r="K5308">
        <v>1.1209129999999901</v>
      </c>
      <c r="L5308">
        <v>178.3681</v>
      </c>
      <c r="M5308">
        <v>-1.8600410000000001E-2</v>
      </c>
      <c r="N5308">
        <v>-1.2936110000000001E-2</v>
      </c>
      <c r="O5308">
        <v>-0.99974350000000001</v>
      </c>
      <c r="P5308">
        <v>-4.7429069999999997E-2</v>
      </c>
      <c r="Q5308">
        <v>-4.810089E-2</v>
      </c>
      <c r="R5308">
        <v>-0.99771589999999999</v>
      </c>
      <c r="S5308">
        <v>-0.29205320000000001</v>
      </c>
      <c r="T5308">
        <v>-8.0154900000000001E-2</v>
      </c>
      <c r="U5308">
        <v>-2.9892120000000002</v>
      </c>
      <c r="V5308">
        <v>2.8833729999999998E-2</v>
      </c>
      <c r="W5308">
        <v>-3.52038E-2</v>
      </c>
      <c r="X5308">
        <v>0.99896410000000002</v>
      </c>
      <c r="Y5308">
        <v>7.867942E-2</v>
      </c>
      <c r="Z5308">
        <v>1.377109E-2</v>
      </c>
      <c r="AA5308">
        <v>0.99680480000000005</v>
      </c>
      <c r="AB5308">
        <v>21</v>
      </c>
      <c r="AC5308">
        <v>-4.0818000000000101</v>
      </c>
      <c r="AD5308">
        <v>-1.1209208482039901</v>
      </c>
      <c r="AE5308">
        <v>-41.6863999999999</v>
      </c>
      <c r="AF5308">
        <v>3.3032791373993602</v>
      </c>
      <c r="AG5308">
        <v>-1.1209208482039901</v>
      </c>
      <c r="AH5308">
        <v>41.725234007724602</v>
      </c>
      <c r="AI5308">
        <v>91.534045660581697</v>
      </c>
      <c r="AJ5308">
        <v>85.473481810387696</v>
      </c>
      <c r="AK5308">
        <v>41.870792560051797</v>
      </c>
      <c r="AL5308">
        <v>92.017446050959194</v>
      </c>
      <c r="AM5308">
        <v>88.346694854987902</v>
      </c>
      <c r="AN5308">
        <v>0.99999998230448095</v>
      </c>
    </row>
    <row r="5309" spans="1:40" x14ac:dyDescent="0.25">
      <c r="A5309" t="str">
        <f>"20190303153914757"</f>
        <v>20190303153914757</v>
      </c>
      <c r="B5309" t="str">
        <f>"1551598754754196"</f>
        <v>1551598754754196</v>
      </c>
      <c r="C5309" t="s">
        <v>40</v>
      </c>
      <c r="D5309">
        <v>4.546341</v>
      </c>
      <c r="E5309">
        <v>0.51202199999999998</v>
      </c>
      <c r="F5309" t="s">
        <v>68</v>
      </c>
      <c r="G5309">
        <v>-194.75720000000001</v>
      </c>
      <c r="H5309" s="1">
        <v>-7.6071969999999999E-6</v>
      </c>
      <c r="I5309">
        <v>136.0762</v>
      </c>
      <c r="J5309">
        <v>-191.0076</v>
      </c>
      <c r="K5309">
        <v>1.1209070000000001</v>
      </c>
      <c r="L5309">
        <v>178.24590000000001</v>
      </c>
      <c r="M5309">
        <v>-1.8920039999999999E-2</v>
      </c>
      <c r="N5309">
        <v>-1.284859E-2</v>
      </c>
      <c r="O5309">
        <v>-0.99973849999999997</v>
      </c>
      <c r="P5309">
        <v>-4.7657579999999998E-2</v>
      </c>
      <c r="Q5309">
        <v>-4.674122E-2</v>
      </c>
      <c r="R5309">
        <v>-0.99776949999999998</v>
      </c>
      <c r="S5309">
        <v>-0.26531979999999999</v>
      </c>
      <c r="T5309">
        <v>-7.9259629999999998E-2</v>
      </c>
      <c r="U5309">
        <v>-2.9904329999999999</v>
      </c>
      <c r="V5309">
        <v>2.8743169999999998E-2</v>
      </c>
      <c r="W5309">
        <v>-3.3930589999999997E-2</v>
      </c>
      <c r="X5309">
        <v>0.99901079999999998</v>
      </c>
      <c r="Y5309">
        <v>6.9486740000000005E-2</v>
      </c>
      <c r="Z5309">
        <v>1.356862E-2</v>
      </c>
      <c r="AA5309">
        <v>0.99749060000000001</v>
      </c>
      <c r="AB5309">
        <v>21</v>
      </c>
      <c r="AC5309">
        <v>-3.7496000000000098</v>
      </c>
      <c r="AD5309">
        <v>-1.120914607197</v>
      </c>
      <c r="AE5309">
        <v>-42.169699999999999</v>
      </c>
      <c r="AF5309">
        <v>2.94894324640179</v>
      </c>
      <c r="AG5309">
        <v>-1.120914607197</v>
      </c>
      <c r="AH5309">
        <v>42.203513748832798</v>
      </c>
      <c r="AI5309">
        <v>91.517704885559397</v>
      </c>
      <c r="AJ5309">
        <v>86.002991022449294</v>
      </c>
      <c r="AK5309">
        <v>42.321262842394503</v>
      </c>
      <c r="AL5309">
        <v>91.944452796010793</v>
      </c>
      <c r="AM5309">
        <v>88.351961631960407</v>
      </c>
      <c r="AN5309">
        <v>1.0000000166380101</v>
      </c>
    </row>
    <row r="5310" spans="1:40" x14ac:dyDescent="0.25">
      <c r="A5310" t="str">
        <f>"20190303153914775"</f>
        <v>20190303153914775</v>
      </c>
      <c r="B5310" t="str">
        <f>"1551598754763955"</f>
        <v>1551598754763955</v>
      </c>
      <c r="C5310" t="s">
        <v>40</v>
      </c>
      <c r="D5310">
        <v>4.6388619999999996</v>
      </c>
      <c r="E5310">
        <v>0.51039959999999995</v>
      </c>
      <c r="F5310" t="s">
        <v>68</v>
      </c>
      <c r="G5310">
        <v>-194.3733</v>
      </c>
      <c r="H5310" s="1">
        <v>-7.5581440000000001E-6</v>
      </c>
      <c r="I5310">
        <v>136.09520000000001</v>
      </c>
      <c r="J5310">
        <v>-191.01130000000001</v>
      </c>
      <c r="K5310">
        <v>1.1208990000000001</v>
      </c>
      <c r="L5310">
        <v>178.07749999999999</v>
      </c>
      <c r="M5310">
        <v>-1.9364889999999999E-2</v>
      </c>
      <c r="N5310">
        <v>-1.272243E-2</v>
      </c>
      <c r="O5310">
        <v>-0.99973179999999995</v>
      </c>
      <c r="P5310">
        <v>-4.7750510000000003E-2</v>
      </c>
      <c r="Q5310">
        <v>-4.4717609999999998E-2</v>
      </c>
      <c r="R5310">
        <v>-0.99785800000000002</v>
      </c>
      <c r="S5310">
        <v>-0.23887630000000001</v>
      </c>
      <c r="T5310">
        <v>-7.9555029999999999E-2</v>
      </c>
      <c r="U5310">
        <v>-2.9915769999999999</v>
      </c>
      <c r="V5310">
        <v>2.8391860000000001E-2</v>
      </c>
      <c r="W5310">
        <v>-3.203135E-2</v>
      </c>
      <c r="X5310">
        <v>0.99908350000000001</v>
      </c>
      <c r="Y5310">
        <v>6.0253760000000003E-2</v>
      </c>
      <c r="Z5310">
        <v>1.3799550000000001E-2</v>
      </c>
      <c r="AA5310">
        <v>0.99808770000000002</v>
      </c>
      <c r="AB5310">
        <v>21</v>
      </c>
      <c r="AC5310">
        <v>-3.3619999999999899</v>
      </c>
      <c r="AD5310">
        <v>-1.1209065581440001</v>
      </c>
      <c r="AE5310">
        <v>-41.982299999999903</v>
      </c>
      <c r="AF5310">
        <v>2.5465175058187701</v>
      </c>
      <c r="AG5310">
        <v>-1.1209065581440001</v>
      </c>
      <c r="AH5310">
        <v>42.009779935267098</v>
      </c>
      <c r="AI5310">
        <v>91.525606560433602</v>
      </c>
      <c r="AJ5310">
        <v>86.531131747551399</v>
      </c>
      <c r="AK5310">
        <v>42.101814606131803</v>
      </c>
      <c r="AL5310">
        <v>91.835575194441901</v>
      </c>
      <c r="AM5310">
        <v>88.372212074207297</v>
      </c>
      <c r="AN5310">
        <v>0.99999997253466499</v>
      </c>
    </row>
    <row r="5311" spans="1:40" x14ac:dyDescent="0.25">
      <c r="A5311" t="str">
        <f>"20190303153914788"</f>
        <v>20190303153914788</v>
      </c>
      <c r="B5311" t="str">
        <f>"1551598754783476"</f>
        <v>1551598754783476</v>
      </c>
      <c r="C5311" t="s">
        <v>40</v>
      </c>
      <c r="D5311">
        <v>4.5760269999999998</v>
      </c>
      <c r="E5311">
        <v>0.50813850000000005</v>
      </c>
      <c r="F5311" t="s">
        <v>68</v>
      </c>
      <c r="G5311">
        <v>-194.28919999999999</v>
      </c>
      <c r="H5311" s="1">
        <v>-7.1033259999999997E-6</v>
      </c>
      <c r="I5311">
        <v>134.71109999999999</v>
      </c>
      <c r="J5311">
        <v>-191.01410000000001</v>
      </c>
      <c r="K5311">
        <v>1.1208910000000001</v>
      </c>
      <c r="L5311">
        <v>177.9513</v>
      </c>
      <c r="M5311">
        <v>-1.9699230000000002E-2</v>
      </c>
      <c r="N5311">
        <v>-1.262427E-2</v>
      </c>
      <c r="O5311">
        <v>-0.99972620000000001</v>
      </c>
      <c r="P5311">
        <v>-4.7938519999999998E-2</v>
      </c>
      <c r="Q5311">
        <v>-4.4060299999999997E-2</v>
      </c>
      <c r="R5311">
        <v>-0.99787820000000005</v>
      </c>
      <c r="S5311">
        <v>-0.2261658</v>
      </c>
      <c r="T5311">
        <v>-7.7339770000000002E-2</v>
      </c>
      <c r="U5311">
        <v>-2.9921720000000001</v>
      </c>
      <c r="V5311">
        <v>2.8246090000000001E-2</v>
      </c>
      <c r="W5311">
        <v>-3.1471510000000001E-2</v>
      </c>
      <c r="X5311">
        <v>0.99910549999999998</v>
      </c>
      <c r="Y5311">
        <v>5.5691419999999998E-2</v>
      </c>
      <c r="Z5311">
        <v>1.316169E-2</v>
      </c>
      <c r="AA5311">
        <v>0.99836130000000001</v>
      </c>
      <c r="AB5311">
        <v>21</v>
      </c>
      <c r="AC5311">
        <v>-3.2750999999999801</v>
      </c>
      <c r="AD5311">
        <v>-1.1208981033259999</v>
      </c>
      <c r="AE5311">
        <v>-43.240200000000002</v>
      </c>
      <c r="AF5311">
        <v>2.42098022798932</v>
      </c>
      <c r="AG5311">
        <v>-1.1208981033259999</v>
      </c>
      <c r="AH5311">
        <v>43.267421021313702</v>
      </c>
      <c r="AI5311">
        <v>91.481672229043497</v>
      </c>
      <c r="AJ5311">
        <v>86.797418105775193</v>
      </c>
      <c r="AK5311">
        <v>43.349593765778003</v>
      </c>
      <c r="AL5311">
        <v>91.803482405047205</v>
      </c>
      <c r="AM5311">
        <v>88.380600671017007</v>
      </c>
      <c r="AN5311">
        <v>1.0000000488361001</v>
      </c>
    </row>
    <row r="5312" spans="1:40" x14ac:dyDescent="0.25">
      <c r="A5312" t="str">
        <f>"20190303153914801"</f>
        <v>20190303153914801</v>
      </c>
      <c r="B5312" t="str">
        <f>"1551598754794233"</f>
        <v>1551598754794233</v>
      </c>
      <c r="C5312" t="s">
        <v>40</v>
      </c>
      <c r="D5312">
        <v>4.6516349999999997</v>
      </c>
      <c r="E5312">
        <v>0.50712279999999998</v>
      </c>
      <c r="F5312" t="s">
        <v>68</v>
      </c>
      <c r="G5312">
        <v>-193.97489999999999</v>
      </c>
      <c r="H5312" s="1">
        <v>-7.3132539999999898E-6</v>
      </c>
      <c r="I5312">
        <v>135.5085</v>
      </c>
      <c r="J5312">
        <v>-191.01650000000001</v>
      </c>
      <c r="K5312">
        <v>1.1208819999999999</v>
      </c>
      <c r="L5312">
        <v>177.84270000000001</v>
      </c>
      <c r="M5312">
        <v>-1.998629E-2</v>
      </c>
      <c r="N5312">
        <v>-1.253872E-2</v>
      </c>
      <c r="O5312">
        <v>-0.99972169999999905</v>
      </c>
      <c r="P5312">
        <v>-4.8171699999999998E-2</v>
      </c>
      <c r="Q5312">
        <v>-4.3651700000000002E-2</v>
      </c>
      <c r="R5312">
        <v>-0.99788489999999996</v>
      </c>
      <c r="S5312">
        <v>-0.208786</v>
      </c>
      <c r="T5312">
        <v>-7.9040529999999998E-2</v>
      </c>
      <c r="U5312">
        <v>-2.992874</v>
      </c>
      <c r="V5312">
        <v>2.819261E-2</v>
      </c>
      <c r="W5312">
        <v>-3.1148140000000001E-2</v>
      </c>
      <c r="X5312">
        <v>0.99911709999999998</v>
      </c>
      <c r="Y5312">
        <v>4.9619879999999998E-2</v>
      </c>
      <c r="Z5312">
        <v>1.3816510000000001E-2</v>
      </c>
      <c r="AA5312">
        <v>0.99867260000000002</v>
      </c>
      <c r="AB5312">
        <v>21</v>
      </c>
      <c r="AC5312">
        <v>-2.9583999999999802</v>
      </c>
      <c r="AD5312">
        <v>-1.1208893132540001</v>
      </c>
      <c r="AE5312">
        <v>-42.334200000000003</v>
      </c>
      <c r="AF5312">
        <v>2.11016680200304</v>
      </c>
      <c r="AG5312">
        <v>-1.1208893132540001</v>
      </c>
      <c r="AH5312">
        <v>42.355326201343701</v>
      </c>
      <c r="AI5312">
        <v>91.514041975828803</v>
      </c>
      <c r="AJ5312">
        <v>87.147849394140096</v>
      </c>
      <c r="AK5312">
        <v>42.422669109888297</v>
      </c>
      <c r="AL5312">
        <v>91.784945660360407</v>
      </c>
      <c r="AM5312">
        <v>88.383683904052504</v>
      </c>
      <c r="AN5312">
        <v>1.00000000469824</v>
      </c>
    </row>
    <row r="5313" spans="1:40" x14ac:dyDescent="0.25">
      <c r="A5313" t="str">
        <f>"20190303153914814"</f>
        <v>20190303153914814</v>
      </c>
      <c r="B5313" t="str">
        <f>"1551598754803993"</f>
        <v>1551598754803993</v>
      </c>
      <c r="C5313" t="s">
        <v>40</v>
      </c>
      <c r="D5313">
        <v>4.6307619999999998</v>
      </c>
      <c r="E5313">
        <v>0.50627829999999996</v>
      </c>
      <c r="F5313" t="s">
        <v>68</v>
      </c>
      <c r="G5313">
        <v>-193.7764</v>
      </c>
      <c r="H5313" s="1">
        <v>-7.7006250000000005E-6</v>
      </c>
      <c r="I5313">
        <v>136.80860000000001</v>
      </c>
      <c r="J5313">
        <v>-191.01939999999999</v>
      </c>
      <c r="K5313">
        <v>1.1208739999999999</v>
      </c>
      <c r="L5313">
        <v>177.71879999999999</v>
      </c>
      <c r="M5313">
        <v>-2.0312710000000001E-2</v>
      </c>
      <c r="N5313">
        <v>-1.2442730000000001E-2</v>
      </c>
      <c r="O5313">
        <v>-0.99971650000000001</v>
      </c>
      <c r="P5313">
        <v>-4.843256E-2</v>
      </c>
      <c r="Q5313">
        <v>-4.3340320000000002E-2</v>
      </c>
      <c r="R5313">
        <v>-0.9978861</v>
      </c>
      <c r="S5313">
        <v>-0.20130919999999999</v>
      </c>
      <c r="T5313">
        <v>-8.1759449999999997E-2</v>
      </c>
      <c r="U5313">
        <v>-2.9930880000000002</v>
      </c>
      <c r="V5313">
        <v>2.812746E-2</v>
      </c>
      <c r="W5313">
        <v>-3.093249E-2</v>
      </c>
      <c r="X5313">
        <v>0.99912570000000001</v>
      </c>
      <c r="Y5313">
        <v>4.680517E-2</v>
      </c>
      <c r="Z5313">
        <v>1.482001E-2</v>
      </c>
      <c r="AA5313">
        <v>0.99879410000000002</v>
      </c>
      <c r="AB5313">
        <v>21</v>
      </c>
      <c r="AC5313">
        <v>-2.7570000000000001</v>
      </c>
      <c r="AD5313">
        <v>-1.120881700625</v>
      </c>
      <c r="AE5313">
        <v>-40.910199999999897</v>
      </c>
      <c r="AF5313">
        <v>1.92393219001768</v>
      </c>
      <c r="AG5313">
        <v>-1.120881700625</v>
      </c>
      <c r="AH5313">
        <v>40.927179969026803</v>
      </c>
      <c r="AI5313">
        <v>91.567050371294499</v>
      </c>
      <c r="AJ5313">
        <v>87.308583102579206</v>
      </c>
      <c r="AK5313">
        <v>40.987704876898</v>
      </c>
      <c r="AL5313">
        <v>91.772583755371897</v>
      </c>
      <c r="AM5313">
        <v>88.387430930147502</v>
      </c>
      <c r="AN5313">
        <v>1.00000006867206</v>
      </c>
    </row>
    <row r="5314" spans="1:40" x14ac:dyDescent="0.25">
      <c r="A5314" t="str">
        <f>"20190303153914827"</f>
        <v>20190303153914827</v>
      </c>
      <c r="B5314" t="str">
        <f>"1551598754813755"</f>
        <v>1551598754813755</v>
      </c>
      <c r="C5314" t="s">
        <v>40</v>
      </c>
      <c r="D5314">
        <v>4.62425</v>
      </c>
      <c r="E5314">
        <v>0.50560309999999997</v>
      </c>
      <c r="F5314" t="s">
        <v>68</v>
      </c>
      <c r="G5314">
        <v>-193.62690000000001</v>
      </c>
      <c r="H5314" s="1">
        <v>-7.9945839999999992E-6</v>
      </c>
      <c r="I5314">
        <v>137.79470000000001</v>
      </c>
      <c r="J5314">
        <v>-191.0224</v>
      </c>
      <c r="K5314">
        <v>1.120862</v>
      </c>
      <c r="L5314">
        <v>177.5909</v>
      </c>
      <c r="M5314">
        <v>-2.0648420000000001E-2</v>
      </c>
      <c r="N5314">
        <v>-1.2346879999999999E-2</v>
      </c>
      <c r="O5314">
        <v>-0.9997106</v>
      </c>
      <c r="P5314">
        <v>-4.8798689999999999E-2</v>
      </c>
      <c r="Q5314">
        <v>-4.3284919999999998E-2</v>
      </c>
      <c r="R5314">
        <v>-0.99787029999999999</v>
      </c>
      <c r="S5314">
        <v>-0.19549559999999999</v>
      </c>
      <c r="T5314">
        <v>-8.4036230000000003E-2</v>
      </c>
      <c r="U5314">
        <v>-2.9932400000000001</v>
      </c>
      <c r="V5314">
        <v>2.8158309999999999E-2</v>
      </c>
      <c r="W5314">
        <v>-3.097302E-2</v>
      </c>
      <c r="X5314">
        <v>0.99912350000000005</v>
      </c>
      <c r="Y5314">
        <v>4.453443E-2</v>
      </c>
      <c r="Z5314">
        <v>1.5675709999999999E-2</v>
      </c>
      <c r="AA5314">
        <v>0.99888489999999996</v>
      </c>
      <c r="AB5314">
        <v>21</v>
      </c>
      <c r="AC5314">
        <v>-2.6044999999999998</v>
      </c>
      <c r="AD5314">
        <v>-1.1208699945839999</v>
      </c>
      <c r="AE5314">
        <v>-39.796199999999999</v>
      </c>
      <c r="AF5314">
        <v>1.7807467658605101</v>
      </c>
      <c r="AG5314">
        <v>-1.1208699945839999</v>
      </c>
      <c r="AH5314">
        <v>39.810051125167</v>
      </c>
      <c r="AI5314">
        <v>91.611152317077995</v>
      </c>
      <c r="AJ5314">
        <v>87.438804933446207</v>
      </c>
      <c r="AK5314">
        <v>39.865619011590603</v>
      </c>
      <c r="AL5314">
        <v>91.774907200157401</v>
      </c>
      <c r="AM5314">
        <v>88.385659658354697</v>
      </c>
      <c r="AN5314">
        <v>0.999999993321113</v>
      </c>
    </row>
    <row r="5315" spans="1:40" x14ac:dyDescent="0.25">
      <c r="A5315" t="str">
        <f>"20190303153914842"</f>
        <v>20190303153914842</v>
      </c>
      <c r="B5315" t="str">
        <f>"1551598754834253"</f>
        <v>1551598754834253</v>
      </c>
      <c r="C5315" t="s">
        <v>40</v>
      </c>
      <c r="D5315">
        <v>4.6061899999999998</v>
      </c>
      <c r="E5315">
        <v>0.50463179999999996</v>
      </c>
      <c r="F5315" t="s">
        <v>68</v>
      </c>
      <c r="G5315">
        <v>-193.46270000000001</v>
      </c>
      <c r="H5315" s="1">
        <v>-8.4709060000000002E-6</v>
      </c>
      <c r="I5315">
        <v>139.35749999999999</v>
      </c>
      <c r="J5315">
        <v>-191.02549999999999</v>
      </c>
      <c r="K5315">
        <v>1.120844</v>
      </c>
      <c r="L5315">
        <v>177.4581</v>
      </c>
      <c r="M5315">
        <v>-2.0996230000000001E-2</v>
      </c>
      <c r="N5315">
        <v>-1.2254660000000001E-2</v>
      </c>
      <c r="O5315">
        <v>-0.99970460000000005</v>
      </c>
      <c r="P5315">
        <v>-4.9282090000000001E-2</v>
      </c>
      <c r="Q5315">
        <v>-4.3181520000000001E-2</v>
      </c>
      <c r="R5315">
        <v>-0.9978513</v>
      </c>
      <c r="S5315">
        <v>-0.19105530000000001</v>
      </c>
      <c r="T5315">
        <v>-8.7751750000000003E-2</v>
      </c>
      <c r="U5315">
        <v>-2.9932560000000001</v>
      </c>
      <c r="V5315">
        <v>2.8294360000000001E-2</v>
      </c>
      <c r="W5315">
        <v>-3.0962090000000001E-2</v>
      </c>
      <c r="X5315">
        <v>0.99912000000000001</v>
      </c>
      <c r="Y5315">
        <v>4.2709700000000003E-2</v>
      </c>
      <c r="Z5315">
        <v>1.7007709999999999E-2</v>
      </c>
      <c r="AA5315">
        <v>0.99894269999999996</v>
      </c>
      <c r="AB5315">
        <v>21</v>
      </c>
      <c r="AC5315">
        <v>-2.43720000000001</v>
      </c>
      <c r="AD5315">
        <v>-1.1208524709059999</v>
      </c>
      <c r="AE5315">
        <v>-38.1006</v>
      </c>
      <c r="AF5315">
        <v>1.63522432754831</v>
      </c>
      <c r="AG5315">
        <v>-1.1208524709059999</v>
      </c>
      <c r="AH5315">
        <v>38.110527808073599</v>
      </c>
      <c r="AI5315">
        <v>91.683068414087202</v>
      </c>
      <c r="AJ5315">
        <v>87.543093088254096</v>
      </c>
      <c r="AK5315">
        <v>38.162057055049999</v>
      </c>
      <c r="AL5315">
        <v>91.774280648282897</v>
      </c>
      <c r="AM5315">
        <v>88.377858271677198</v>
      </c>
      <c r="AN5315">
        <v>0.99999999811248796</v>
      </c>
    </row>
    <row r="5316" spans="1:40" x14ac:dyDescent="0.25">
      <c r="A5316" t="str">
        <f>"20190303153914853"</f>
        <v>20190303153914853</v>
      </c>
      <c r="B5316" t="str">
        <f>"1551598754844010"</f>
        <v>1551598754844010</v>
      </c>
      <c r="C5316" t="s">
        <v>40</v>
      </c>
      <c r="D5316">
        <v>4.6692809999999998</v>
      </c>
      <c r="E5316">
        <v>0.50409799999999905</v>
      </c>
      <c r="F5316" t="s">
        <v>68</v>
      </c>
      <c r="G5316">
        <v>-193.2868</v>
      </c>
      <c r="H5316" s="1">
        <v>-8.8927989999999996E-6</v>
      </c>
      <c r="I5316">
        <v>140.84100000000001</v>
      </c>
      <c r="J5316">
        <v>-191.02809999999999</v>
      </c>
      <c r="K5316">
        <v>1.1208340000000001</v>
      </c>
      <c r="L5316">
        <v>177.34710000000001</v>
      </c>
      <c r="M5316">
        <v>-2.128727E-2</v>
      </c>
      <c r="N5316">
        <v>-1.218093E-2</v>
      </c>
      <c r="O5316">
        <v>-0.99969940000000002</v>
      </c>
      <c r="P5316">
        <v>-4.9686109999999999E-2</v>
      </c>
      <c r="Q5316">
        <v>-4.3377409999999998E-2</v>
      </c>
      <c r="R5316">
        <v>-0.9978226</v>
      </c>
      <c r="S5316">
        <v>-0.1848602</v>
      </c>
      <c r="T5316">
        <v>-9.1627239999999999E-2</v>
      </c>
      <c r="U5316">
        <v>-2.9933619999999999</v>
      </c>
      <c r="V5316">
        <v>2.8407740000000001E-2</v>
      </c>
      <c r="W5316">
        <v>-3.1232059999999999E-2</v>
      </c>
      <c r="X5316">
        <v>0.99910840000000001</v>
      </c>
      <c r="Y5316">
        <v>4.0356049999999997E-2</v>
      </c>
      <c r="Z5316">
        <v>1.8374379999999999E-2</v>
      </c>
      <c r="AA5316">
        <v>0.99901640000000003</v>
      </c>
      <c r="AB5316">
        <v>21</v>
      </c>
      <c r="AC5316">
        <v>-2.2587000000000002</v>
      </c>
      <c r="AD5316">
        <v>-1.120842892799</v>
      </c>
      <c r="AE5316">
        <v>-36.506100000000004</v>
      </c>
      <c r="AF5316">
        <v>1.4796259219107399</v>
      </c>
      <c r="AG5316">
        <v>-1.120842892799</v>
      </c>
      <c r="AH5316">
        <v>36.5116245497791</v>
      </c>
      <c r="AI5316">
        <v>91.756886694384903</v>
      </c>
      <c r="AJ5316">
        <v>87.679370362475595</v>
      </c>
      <c r="AK5316">
        <v>36.558778821552004</v>
      </c>
      <c r="AL5316">
        <v>91.789756238649503</v>
      </c>
      <c r="AM5316">
        <v>88.371342686757203</v>
      </c>
      <c r="AN5316">
        <v>1.00000001810715</v>
      </c>
    </row>
    <row r="5317" spans="1:40" x14ac:dyDescent="0.25">
      <c r="A5317" t="str">
        <f>"20190303153914866"</f>
        <v>20190303153914866</v>
      </c>
      <c r="B5317" t="str">
        <f>"1551598754853769"</f>
        <v>1551598754853769</v>
      </c>
      <c r="C5317" t="s">
        <v>40</v>
      </c>
      <c r="D5317">
        <v>4.660825</v>
      </c>
      <c r="E5317">
        <v>0.50364120000000001</v>
      </c>
      <c r="F5317" t="s">
        <v>68</v>
      </c>
      <c r="G5317">
        <v>-193.17150000000001</v>
      </c>
      <c r="H5317" s="1">
        <v>-9.2381819999999998E-6</v>
      </c>
      <c r="I5317">
        <v>142.05770000000001</v>
      </c>
      <c r="J5317">
        <v>-191.03110000000001</v>
      </c>
      <c r="K5317">
        <v>1.120824</v>
      </c>
      <c r="L5317">
        <v>177.22620000000001</v>
      </c>
      <c r="M5317">
        <v>-2.1604910000000001E-2</v>
      </c>
      <c r="N5317">
        <v>-1.2105019999999999E-2</v>
      </c>
      <c r="O5317">
        <v>-0.99969359999999996</v>
      </c>
      <c r="P5317">
        <v>-5.0199250000000001E-2</v>
      </c>
      <c r="Q5317">
        <v>-4.3398760000000002E-2</v>
      </c>
      <c r="R5317">
        <v>-0.99779620000000002</v>
      </c>
      <c r="S5317">
        <v>-0.18180850000000001</v>
      </c>
      <c r="T5317">
        <v>-9.5074179999999994E-2</v>
      </c>
      <c r="U5317">
        <v>-2.9933779999999999</v>
      </c>
      <c r="V5317">
        <v>2.8603730000000001E-2</v>
      </c>
      <c r="W5317">
        <v>-3.1329700000000002E-2</v>
      </c>
      <c r="X5317">
        <v>0.99909970000000003</v>
      </c>
      <c r="Y5317">
        <v>3.9022290000000001E-2</v>
      </c>
      <c r="Z5317">
        <v>1.9599809999999999E-2</v>
      </c>
      <c r="AA5317">
        <v>0.99904610000000005</v>
      </c>
      <c r="AB5317">
        <v>21</v>
      </c>
      <c r="AC5317">
        <v>-2.1404000000000001</v>
      </c>
      <c r="AD5317">
        <v>-1.1208332381820001</v>
      </c>
      <c r="AE5317">
        <v>-35.168499999999902</v>
      </c>
      <c r="AF5317">
        <v>1.37863746171235</v>
      </c>
      <c r="AG5317">
        <v>-1.1208332381820001</v>
      </c>
      <c r="AH5317">
        <v>35.170944508877</v>
      </c>
      <c r="AI5317">
        <v>91.823893526772906</v>
      </c>
      <c r="AJ5317">
        <v>87.755258201428404</v>
      </c>
      <c r="AK5317">
        <v>35.215795405544299</v>
      </c>
      <c r="AL5317">
        <v>91.795353429269099</v>
      </c>
      <c r="AM5317">
        <v>88.3600981355778</v>
      </c>
      <c r="AN5317">
        <v>0.99999996700604599</v>
      </c>
    </row>
    <row r="5318" spans="1:40" x14ac:dyDescent="0.25">
      <c r="A5318" t="str">
        <f>"20190303153914879"</f>
        <v>20190303153914879</v>
      </c>
      <c r="B5318" t="str">
        <f>"1551598754874266"</f>
        <v>1551598754874266</v>
      </c>
      <c r="C5318" t="s">
        <v>40</v>
      </c>
      <c r="D5318">
        <v>4.6588050000000001</v>
      </c>
      <c r="E5318">
        <v>0.50292150000000002</v>
      </c>
      <c r="F5318" t="s">
        <v>68</v>
      </c>
      <c r="G5318">
        <v>-193.1088</v>
      </c>
      <c r="H5318" s="1">
        <v>-9.3910509999999999E-6</v>
      </c>
      <c r="I5318">
        <v>142.6018</v>
      </c>
      <c r="J5318">
        <v>-191.03370000000001</v>
      </c>
      <c r="K5318">
        <v>1.1208180000000001</v>
      </c>
      <c r="L5318">
        <v>177.12129999999999</v>
      </c>
      <c r="M5318">
        <v>-2.1882200000000001E-2</v>
      </c>
      <c r="N5318">
        <v>-1.2043470000000001E-2</v>
      </c>
      <c r="O5318">
        <v>-0.99968840000000003</v>
      </c>
      <c r="P5318">
        <v>-5.0758810000000001E-2</v>
      </c>
      <c r="Q5318">
        <v>-4.3571730000000003E-2</v>
      </c>
      <c r="R5318">
        <v>-0.99776039999999999</v>
      </c>
      <c r="S5318">
        <v>-0.17962649999999999</v>
      </c>
      <c r="T5318">
        <v>-9.6898789999999999E-2</v>
      </c>
      <c r="U5318">
        <v>-2.9933619999999999</v>
      </c>
      <c r="V5318">
        <v>2.888661E-2</v>
      </c>
      <c r="W5318">
        <v>-3.1564729999999999E-2</v>
      </c>
      <c r="X5318">
        <v>0.99908419999999998</v>
      </c>
      <c r="Y5318">
        <v>3.8019219999999999E-2</v>
      </c>
      <c r="Z5318">
        <v>2.0270320000000001E-2</v>
      </c>
      <c r="AA5318">
        <v>0.99907140000000005</v>
      </c>
      <c r="AB5318">
        <v>21</v>
      </c>
      <c r="AC5318">
        <v>-2.0750999999999902</v>
      </c>
      <c r="AD5318">
        <v>-1.120827391051</v>
      </c>
      <c r="AE5318">
        <v>-34.519499999999901</v>
      </c>
      <c r="AF5318">
        <v>1.3178016547817799</v>
      </c>
      <c r="AG5318">
        <v>-1.120827391051</v>
      </c>
      <c r="AH5318">
        <v>34.520381869201501</v>
      </c>
      <c r="AI5318">
        <v>91.8583060377603</v>
      </c>
      <c r="AJ5318">
        <v>87.813818287841301</v>
      </c>
      <c r="AK5318">
        <v>34.563703789342</v>
      </c>
      <c r="AL5318">
        <v>91.808826254176907</v>
      </c>
      <c r="AM5318">
        <v>88.343863438992202</v>
      </c>
      <c r="AN5318">
        <v>1.00000000355345</v>
      </c>
    </row>
    <row r="5319" spans="1:40" x14ac:dyDescent="0.25">
      <c r="A5319" t="str">
        <f>"20190303153914890"</f>
        <v>20190303153914890</v>
      </c>
      <c r="B5319" t="str">
        <f>"1551598754884025"</f>
        <v>1551598754884025</v>
      </c>
      <c r="C5319" t="s">
        <v>40</v>
      </c>
      <c r="D5319">
        <v>4.6365069999999999</v>
      </c>
      <c r="E5319">
        <v>0.50275300000000001</v>
      </c>
      <c r="F5319" t="s">
        <v>68</v>
      </c>
      <c r="G5319">
        <v>-192.98050000000001</v>
      </c>
      <c r="H5319" s="1">
        <v>-9.7277119999999995E-6</v>
      </c>
      <c r="I5319">
        <v>143.9436</v>
      </c>
      <c r="J5319">
        <v>-191.03639999999999</v>
      </c>
      <c r="K5319">
        <v>1.1208089999999999</v>
      </c>
      <c r="L5319">
        <v>177.0093</v>
      </c>
      <c r="M5319">
        <v>-2.2179049999999999E-2</v>
      </c>
      <c r="N5319">
        <v>-1.1979460000000001E-2</v>
      </c>
      <c r="O5319">
        <v>-0.99968219999999997</v>
      </c>
      <c r="P5319">
        <v>-5.1243579999999997E-2</v>
      </c>
      <c r="Q5319">
        <v>-4.3605949999999997E-2</v>
      </c>
      <c r="R5319">
        <v>-0.99773350000000005</v>
      </c>
      <c r="S5319">
        <v>-0.17564389999999999</v>
      </c>
      <c r="T5319">
        <v>-0.1011238</v>
      </c>
      <c r="U5319">
        <v>-2.9933779999999999</v>
      </c>
      <c r="V5319">
        <v>2.907508E-2</v>
      </c>
      <c r="W5319">
        <v>-3.1663299999999998E-2</v>
      </c>
      <c r="X5319">
        <v>0.99907559999999995</v>
      </c>
      <c r="Y5319">
        <v>3.639597E-2</v>
      </c>
      <c r="Z5319">
        <v>2.174338E-2</v>
      </c>
      <c r="AA5319">
        <v>0.99910089999999996</v>
      </c>
      <c r="AB5319">
        <v>21</v>
      </c>
      <c r="AC5319">
        <v>-1.9441000000000199</v>
      </c>
      <c r="AD5319">
        <v>-1.1208187277120001</v>
      </c>
      <c r="AE5319">
        <v>-33.0656999999999</v>
      </c>
      <c r="AF5319">
        <v>1.20881910700977</v>
      </c>
      <c r="AG5319">
        <v>-1.1208187277120001</v>
      </c>
      <c r="AH5319">
        <v>33.062828631613499</v>
      </c>
      <c r="AI5319">
        <v>91.9402686890175</v>
      </c>
      <c r="AJ5319">
        <v>87.906126004577899</v>
      </c>
      <c r="AK5319">
        <v>33.103898794210103</v>
      </c>
      <c r="AL5319">
        <v>91.8144767487031</v>
      </c>
      <c r="AM5319">
        <v>88.333049751171004</v>
      </c>
      <c r="AN5319">
        <v>0.999999989679628</v>
      </c>
    </row>
    <row r="5320" spans="1:40" x14ac:dyDescent="0.25">
      <c r="A5320" t="str">
        <f>"20190303153914902"</f>
        <v>20190303153914902</v>
      </c>
      <c r="B5320" t="str">
        <f>"1551598754894204"</f>
        <v>1551598754894204</v>
      </c>
      <c r="C5320" t="s">
        <v>40</v>
      </c>
      <c r="D5320">
        <v>4.6549559999999897</v>
      </c>
      <c r="E5320">
        <v>0.50244100000000003</v>
      </c>
      <c r="F5320" t="s">
        <v>68</v>
      </c>
      <c r="G5320">
        <v>-192.95269999999999</v>
      </c>
      <c r="H5320" s="1">
        <v>-9.8334690000000002E-6</v>
      </c>
      <c r="I5320">
        <v>144.36320000000001</v>
      </c>
      <c r="J5320">
        <v>-191.0394</v>
      </c>
      <c r="K5320">
        <v>1.120803</v>
      </c>
      <c r="L5320">
        <v>176.89259999999999</v>
      </c>
      <c r="M5320">
        <v>-2.2491810000000001E-2</v>
      </c>
      <c r="N5320">
        <v>-1.1918150000000001E-2</v>
      </c>
      <c r="O5320">
        <v>-0.99967620000000001</v>
      </c>
      <c r="P5320">
        <v>-5.2169779999999999E-2</v>
      </c>
      <c r="Q5320">
        <v>-4.3928549999999997E-2</v>
      </c>
      <c r="R5320">
        <v>-0.99767209999999995</v>
      </c>
      <c r="S5320">
        <v>-0.175705</v>
      </c>
      <c r="T5320">
        <v>-0.1027672</v>
      </c>
      <c r="U5320">
        <v>-2.9933010000000002</v>
      </c>
      <c r="V5320">
        <v>2.968958E-2</v>
      </c>
      <c r="W5320">
        <v>-3.2048119999999999E-2</v>
      </c>
      <c r="X5320">
        <v>0.99904530000000002</v>
      </c>
      <c r="Y5320">
        <v>3.6104369999999997E-2</v>
      </c>
      <c r="Z5320">
        <v>2.2352819999999999E-2</v>
      </c>
      <c r="AA5320">
        <v>0.99909800000000004</v>
      </c>
      <c r="AB5320">
        <v>21</v>
      </c>
      <c r="AC5320">
        <v>-1.91329999999999</v>
      </c>
      <c r="AD5320">
        <v>-1.120812833469</v>
      </c>
      <c r="AE5320">
        <v>-32.529399999999903</v>
      </c>
      <c r="AF5320">
        <v>1.1797233160394001</v>
      </c>
      <c r="AG5320">
        <v>-1.120812833469</v>
      </c>
      <c r="AH5320">
        <v>32.5257258634133</v>
      </c>
      <c r="AI5320">
        <v>91.9722940509061</v>
      </c>
      <c r="AJ5320">
        <v>87.922765813126901</v>
      </c>
      <c r="AK5320">
        <v>32.566406179558598</v>
      </c>
      <c r="AL5320">
        <v>91.836536428442201</v>
      </c>
      <c r="AM5320">
        <v>88.297787778905999</v>
      </c>
      <c r="AN5320">
        <v>1.0000000323041001</v>
      </c>
    </row>
    <row r="5321" spans="1:40" x14ac:dyDescent="0.25">
      <c r="A5321" t="str">
        <f>"20190303153914914"</f>
        <v>20190303153914914</v>
      </c>
      <c r="B5321" t="str">
        <f>"1551598754903963"</f>
        <v>1551598754903963</v>
      </c>
      <c r="C5321" t="s">
        <v>40</v>
      </c>
      <c r="D5321">
        <v>4.6777300000000004</v>
      </c>
      <c r="E5321">
        <v>0.50213629999999998</v>
      </c>
      <c r="F5321" t="s">
        <v>68</v>
      </c>
      <c r="G5321">
        <v>-192.9068</v>
      </c>
      <c r="H5321" s="1">
        <v>-1.0027829999999999E-5</v>
      </c>
      <c r="I5321">
        <v>145.13120000000001</v>
      </c>
      <c r="J5321">
        <v>-191.04220000000001</v>
      </c>
      <c r="K5321">
        <v>1.1207959999999999</v>
      </c>
      <c r="L5321">
        <v>176.7818</v>
      </c>
      <c r="M5321">
        <v>-2.2790270000000001E-2</v>
      </c>
      <c r="N5321">
        <v>-1.186281E-2</v>
      </c>
      <c r="O5321">
        <v>-0.99966999999999995</v>
      </c>
      <c r="P5321">
        <v>-5.2812089999999999E-2</v>
      </c>
      <c r="Q5321">
        <v>-4.4282630000000003E-2</v>
      </c>
      <c r="R5321">
        <v>-0.99762229999999996</v>
      </c>
      <c r="S5321">
        <v>-0.17597960000000001</v>
      </c>
      <c r="T5321">
        <v>-0.1056231</v>
      </c>
      <c r="U5321">
        <v>-2.993134</v>
      </c>
      <c r="V5321">
        <v>3.0034290000000002E-2</v>
      </c>
      <c r="W5321">
        <v>-3.2458170000000001E-2</v>
      </c>
      <c r="X5321">
        <v>0.99902170000000001</v>
      </c>
      <c r="Y5321">
        <v>3.5899220000000003E-2</v>
      </c>
      <c r="Z5321">
        <v>2.3361079999999999E-2</v>
      </c>
      <c r="AA5321">
        <v>0.99908229999999998</v>
      </c>
      <c r="AB5321">
        <v>21</v>
      </c>
      <c r="AC5321">
        <v>-1.86459999999999</v>
      </c>
      <c r="AD5321">
        <v>-1.1208060278299901</v>
      </c>
      <c r="AE5321">
        <v>-31.650600000000001</v>
      </c>
      <c r="AF5321">
        <v>1.1413129847652701</v>
      </c>
      <c r="AG5321">
        <v>-1.1208060278299901</v>
      </c>
      <c r="AH5321">
        <v>31.645329948493401</v>
      </c>
      <c r="AI5321">
        <v>92.027122213445693</v>
      </c>
      <c r="AJ5321">
        <v>87.934479225992504</v>
      </c>
      <c r="AK5321">
        <v>31.685733525203901</v>
      </c>
      <c r="AL5321">
        <v>91.860042899917204</v>
      </c>
      <c r="AM5321">
        <v>88.277995470465001</v>
      </c>
      <c r="AN5321">
        <v>0.99999997422322096</v>
      </c>
    </row>
    <row r="5322" spans="1:40" x14ac:dyDescent="0.25">
      <c r="A5322" t="str">
        <f>"20190303153914927"</f>
        <v>20190303153914927</v>
      </c>
      <c r="B5322" t="str">
        <f>"1551598754913724"</f>
        <v>1551598754913724</v>
      </c>
      <c r="C5322" t="s">
        <v>40</v>
      </c>
      <c r="D5322">
        <v>4.6708669999999897</v>
      </c>
      <c r="E5322">
        <v>0.50183270000000002</v>
      </c>
      <c r="F5322" t="s">
        <v>68</v>
      </c>
      <c r="G5322">
        <v>-192.84979999999999</v>
      </c>
      <c r="H5322" s="1">
        <v>-1.022801E-5</v>
      </c>
      <c r="I5322">
        <v>145.92850000000001</v>
      </c>
      <c r="J5322">
        <v>-191.04509999999999</v>
      </c>
      <c r="K5322">
        <v>1.1207879999999999</v>
      </c>
      <c r="L5322">
        <v>176.6696</v>
      </c>
      <c r="M5322">
        <v>-2.3094190000000001E-2</v>
      </c>
      <c r="N5322">
        <v>-1.1810009999999999E-2</v>
      </c>
      <c r="O5322">
        <v>-0.99966359999999999</v>
      </c>
      <c r="P5322">
        <v>-5.3411680000000003E-2</v>
      </c>
      <c r="Q5322">
        <v>-4.4589009999999998E-2</v>
      </c>
      <c r="R5322">
        <v>-0.99757669999999998</v>
      </c>
      <c r="S5322">
        <v>-0.17535400000000001</v>
      </c>
      <c r="T5322">
        <v>-0.1087277</v>
      </c>
      <c r="U5322">
        <v>-2.9930270000000001</v>
      </c>
      <c r="V5322">
        <v>3.033083E-2</v>
      </c>
      <c r="W5322">
        <v>-3.2817859999999997E-2</v>
      </c>
      <c r="X5322">
        <v>0.99900100000000003</v>
      </c>
      <c r="Y5322">
        <v>3.5387839999999997E-2</v>
      </c>
      <c r="Z5322">
        <v>2.4449350000000002E-2</v>
      </c>
      <c r="AA5322">
        <v>0.99907449999999998</v>
      </c>
      <c r="AB5322">
        <v>21</v>
      </c>
      <c r="AC5322">
        <v>-1.80469999999999</v>
      </c>
      <c r="AD5322">
        <v>-1.12079822801</v>
      </c>
      <c r="AE5322">
        <v>-30.7410999999999</v>
      </c>
      <c r="AF5322">
        <v>1.0927807140700101</v>
      </c>
      <c r="AG5322">
        <v>-1.12079822801</v>
      </c>
      <c r="AH5322">
        <v>30.733867438724602</v>
      </c>
      <c r="AI5322">
        <v>92.087210882395993</v>
      </c>
      <c r="AJ5322">
        <v>87.963635477078398</v>
      </c>
      <c r="AK5322">
        <v>30.7737057582939</v>
      </c>
      <c r="AL5322">
        <v>91.880662585379795</v>
      </c>
      <c r="AM5322">
        <v>88.260967840440699</v>
      </c>
      <c r="AN5322">
        <v>0.99999998459223405</v>
      </c>
    </row>
    <row r="5323" spans="1:40" x14ac:dyDescent="0.25">
      <c r="A5323" t="str">
        <f>"20190303153914943"</f>
        <v>20190303153914943</v>
      </c>
      <c r="B5323" t="str">
        <f>"1551598754934219"</f>
        <v>1551598754934219</v>
      </c>
      <c r="C5323" t="s">
        <v>40</v>
      </c>
      <c r="D5323">
        <v>4.6773089999999904</v>
      </c>
      <c r="E5323">
        <v>0.50139860000000003</v>
      </c>
      <c r="F5323" t="s">
        <v>68</v>
      </c>
      <c r="G5323">
        <v>-192.8031</v>
      </c>
      <c r="H5323" s="1">
        <v>-1.0393150000000001E-5</v>
      </c>
      <c r="I5323">
        <v>146.58619999999999</v>
      </c>
      <c r="J5323">
        <v>-191.0489</v>
      </c>
      <c r="K5323">
        <v>1.1207849999999999</v>
      </c>
      <c r="L5323">
        <v>176.52510000000001</v>
      </c>
      <c r="M5323">
        <v>-2.3488229999999999E-2</v>
      </c>
      <c r="N5323">
        <v>-1.174852E-2</v>
      </c>
      <c r="O5323">
        <v>-0.99965519999999997</v>
      </c>
      <c r="P5323">
        <v>-5.4415560000000002E-2</v>
      </c>
      <c r="Q5323">
        <v>-4.4926540000000001E-2</v>
      </c>
      <c r="R5323">
        <v>-0.99750729999999999</v>
      </c>
      <c r="S5323">
        <v>-0.1748962</v>
      </c>
      <c r="T5323">
        <v>-0.1115054</v>
      </c>
      <c r="U5323">
        <v>-2.9929199999999998</v>
      </c>
      <c r="V5323">
        <v>3.094208E-2</v>
      </c>
      <c r="W5323">
        <v>-3.3217759999999999E-2</v>
      </c>
      <c r="X5323">
        <v>0.99896910000000005</v>
      </c>
      <c r="Y5323">
        <v>3.4842310000000001E-2</v>
      </c>
      <c r="Z5323">
        <v>2.5437299999999999E-2</v>
      </c>
      <c r="AA5323">
        <v>0.99906899999999998</v>
      </c>
      <c r="AB5323">
        <v>21</v>
      </c>
      <c r="AC5323">
        <v>-1.75419999999999</v>
      </c>
      <c r="AD5323">
        <v>-1.1207953931499901</v>
      </c>
      <c r="AE5323">
        <v>-29.9389</v>
      </c>
      <c r="AF5323">
        <v>1.04899066363904</v>
      </c>
      <c r="AG5323">
        <v>-1.1207953931499901</v>
      </c>
      <c r="AH5323">
        <v>29.930042740162602</v>
      </c>
      <c r="AI5323">
        <v>92.143248010002793</v>
      </c>
      <c r="AJ5323">
        <v>87.992714310918601</v>
      </c>
      <c r="AK5323">
        <v>29.969384747666499</v>
      </c>
      <c r="AL5323">
        <v>91.903587548245895</v>
      </c>
      <c r="AM5323">
        <v>88.225887098855694</v>
      </c>
      <c r="AN5323">
        <v>1.0000000473244699</v>
      </c>
    </row>
    <row r="5324" spans="1:40" x14ac:dyDescent="0.25">
      <c r="A5324" t="str">
        <f>"20190303153914957"</f>
        <v>20190303153914957</v>
      </c>
      <c r="B5324" t="str">
        <f>"1551598754943980"</f>
        <v>1551598754943980</v>
      </c>
      <c r="C5324" t="s">
        <v>40</v>
      </c>
      <c r="D5324">
        <v>4.6890000000000001</v>
      </c>
      <c r="E5324">
        <v>0.50116720000000003</v>
      </c>
      <c r="F5324" t="s">
        <v>68</v>
      </c>
      <c r="G5324">
        <v>-192.73750000000001</v>
      </c>
      <c r="H5324" s="1">
        <v>-1.063644E-5</v>
      </c>
      <c r="I5324">
        <v>147.55289999999999</v>
      </c>
      <c r="J5324">
        <v>-191.05240000000001</v>
      </c>
      <c r="K5324">
        <v>1.1207830000000001</v>
      </c>
      <c r="L5324">
        <v>176.3947</v>
      </c>
      <c r="M5324">
        <v>-2.3844799999999999E-2</v>
      </c>
      <c r="N5324">
        <v>-1.1697290000000001E-2</v>
      </c>
      <c r="O5324">
        <v>-0.99964739999999996</v>
      </c>
      <c r="P5324">
        <v>-5.4857669999999997E-2</v>
      </c>
      <c r="Q5324">
        <v>-4.51972E-2</v>
      </c>
      <c r="R5324">
        <v>-0.997471</v>
      </c>
      <c r="S5324">
        <v>-0.1744232</v>
      </c>
      <c r="T5324">
        <v>-0.1157758</v>
      </c>
      <c r="U5324">
        <v>-2.9927670000000002</v>
      </c>
      <c r="V5324">
        <v>3.1028480000000001E-2</v>
      </c>
      <c r="W5324">
        <v>-3.3539869999999999E-2</v>
      </c>
      <c r="X5324">
        <v>0.99895560000000005</v>
      </c>
      <c r="Y5324">
        <v>3.4329110000000003E-2</v>
      </c>
      <c r="Z5324">
        <v>2.6912640000000002E-2</v>
      </c>
      <c r="AA5324">
        <v>0.99904820000000005</v>
      </c>
      <c r="AB5324">
        <v>21</v>
      </c>
      <c r="AC5324">
        <v>-1.6851</v>
      </c>
      <c r="AD5324">
        <v>-1.12079363644</v>
      </c>
      <c r="AE5324">
        <v>-28.841799999999999</v>
      </c>
      <c r="AF5324">
        <v>0.99534895269078005</v>
      </c>
      <c r="AG5324">
        <v>-1.12079363644</v>
      </c>
      <c r="AH5324">
        <v>28.830393218245302</v>
      </c>
      <c r="AI5324">
        <v>92.224952142863899</v>
      </c>
      <c r="AJ5324">
        <v>88.022689054491806</v>
      </c>
      <c r="AK5324">
        <v>28.869334440401499</v>
      </c>
      <c r="AL5324">
        <v>91.922053490676106</v>
      </c>
      <c r="AM5324">
        <v>88.220912370825005</v>
      </c>
      <c r="AN5324">
        <v>0.99999999011104301</v>
      </c>
    </row>
    <row r="5325" spans="1:40" x14ac:dyDescent="0.25">
      <c r="A5325" t="str">
        <f>"20190303153914972"</f>
        <v>20190303153914972</v>
      </c>
      <c r="B5325" t="str">
        <f>"1551598754963499"</f>
        <v>1551598754963499</v>
      </c>
      <c r="C5325" t="s">
        <v>40</v>
      </c>
      <c r="D5325">
        <v>4.6864470000000003</v>
      </c>
      <c r="E5325">
        <v>0.50065550000000003</v>
      </c>
      <c r="F5325" t="s">
        <v>68</v>
      </c>
      <c r="G5325">
        <v>-192.70240000000001</v>
      </c>
      <c r="H5325" s="1">
        <v>-1.075004E-5</v>
      </c>
      <c r="I5325">
        <v>148.00720000000001</v>
      </c>
      <c r="J5325">
        <v>-191.05629999999999</v>
      </c>
      <c r="K5325">
        <v>1.1207819999999999</v>
      </c>
      <c r="L5325">
        <v>176.25110000000001</v>
      </c>
      <c r="M5325">
        <v>-2.423792E-2</v>
      </c>
      <c r="N5325">
        <v>-1.16446E-2</v>
      </c>
      <c r="O5325">
        <v>-0.99963829999999998</v>
      </c>
      <c r="P5325">
        <v>-5.531515E-2</v>
      </c>
      <c r="Q5325">
        <v>-4.5201650000000003E-2</v>
      </c>
      <c r="R5325">
        <v>-0.99744520000000003</v>
      </c>
      <c r="S5325">
        <v>-0.1739502</v>
      </c>
      <c r="T5325">
        <v>-0.11815680000000001</v>
      </c>
      <c r="U5325">
        <v>-2.9926759999999999</v>
      </c>
      <c r="V5325">
        <v>3.1093719999999998E-2</v>
      </c>
      <c r="W5325">
        <v>-3.3597059999999998E-2</v>
      </c>
      <c r="X5325">
        <v>0.9989517</v>
      </c>
      <c r="Y5325">
        <v>3.3779190000000001E-2</v>
      </c>
      <c r="Z5325">
        <v>2.77594E-2</v>
      </c>
      <c r="AA5325">
        <v>0.99904380000000004</v>
      </c>
      <c r="AB5325">
        <v>21</v>
      </c>
      <c r="AC5325">
        <v>-1.6461000000000101</v>
      </c>
      <c r="AD5325">
        <v>-1.1207927500399999</v>
      </c>
      <c r="AE5325">
        <v>-28.2439</v>
      </c>
      <c r="AF5325">
        <v>0.95949066000556904</v>
      </c>
      <c r="AG5325">
        <v>-1.1207927500399999</v>
      </c>
      <c r="AH5325">
        <v>28.231196560292801</v>
      </c>
      <c r="AI5325">
        <v>92.272166884856802</v>
      </c>
      <c r="AJ5325">
        <v>88.053443729843195</v>
      </c>
      <c r="AK5325">
        <v>28.269723343907501</v>
      </c>
      <c r="AL5325">
        <v>91.925331987231701</v>
      </c>
      <c r="AM5325">
        <v>88.217167144519493</v>
      </c>
      <c r="AN5325">
        <v>1.0000000403984799</v>
      </c>
    </row>
    <row r="5326" spans="1:40" x14ac:dyDescent="0.25">
      <c r="A5326" t="str">
        <f>"20190303153914986"</f>
        <v>20190303153914986</v>
      </c>
      <c r="B5326" t="str">
        <f>"1551598754974235"</f>
        <v>1551598754974235</v>
      </c>
      <c r="C5326" t="s">
        <v>40</v>
      </c>
      <c r="D5326">
        <v>4.6763019999999997</v>
      </c>
      <c r="E5326">
        <v>0.50047470000000005</v>
      </c>
      <c r="F5326" t="s">
        <v>68</v>
      </c>
      <c r="G5326">
        <v>-192.63669999999999</v>
      </c>
      <c r="H5326" s="1">
        <v>-1.0903170000000001E-5</v>
      </c>
      <c r="I5326">
        <v>148.63200000000001</v>
      </c>
      <c r="J5326">
        <v>-191.06</v>
      </c>
      <c r="K5326">
        <v>1.120781</v>
      </c>
      <c r="L5326">
        <v>176.1156</v>
      </c>
      <c r="M5326">
        <v>-2.4609619999999999E-2</v>
      </c>
      <c r="N5326">
        <v>-1.159666E-2</v>
      </c>
      <c r="O5326">
        <v>-0.99963000000000002</v>
      </c>
      <c r="P5326">
        <v>-5.5819779999999999E-2</v>
      </c>
      <c r="Q5326">
        <v>-4.4984219999999998E-2</v>
      </c>
      <c r="R5326">
        <v>-0.99742710000000001</v>
      </c>
      <c r="S5326">
        <v>-0.1712494</v>
      </c>
      <c r="T5326">
        <v>-0.12144389999999899</v>
      </c>
      <c r="U5326">
        <v>-2.9926759999999999</v>
      </c>
      <c r="V5326">
        <v>3.122751E-2</v>
      </c>
      <c r="W5326">
        <v>-3.3427569999999997E-2</v>
      </c>
      <c r="X5326">
        <v>0.99895319999999999</v>
      </c>
      <c r="Y5326">
        <v>3.2507300000000003E-2</v>
      </c>
      <c r="Z5326">
        <v>2.8903100000000001E-2</v>
      </c>
      <c r="AA5326">
        <v>0.99905350000000004</v>
      </c>
      <c r="AB5326">
        <v>21</v>
      </c>
      <c r="AC5326">
        <v>-1.57669999999998</v>
      </c>
      <c r="AD5326">
        <v>-1.12079190317</v>
      </c>
      <c r="AE5326">
        <v>-27.483599999999999</v>
      </c>
      <c r="AF5326">
        <v>0.89832700867645898</v>
      </c>
      <c r="AG5326">
        <v>-1.12079190317</v>
      </c>
      <c r="AH5326">
        <v>27.468548274796099</v>
      </c>
      <c r="AI5326">
        <v>92.335281308663994</v>
      </c>
      <c r="AJ5326">
        <v>88.126875596512903</v>
      </c>
      <c r="AK5326">
        <v>27.5060776962025</v>
      </c>
      <c r="AL5326">
        <v>91.915615492355201</v>
      </c>
      <c r="AM5326">
        <v>88.209503644094696</v>
      </c>
      <c r="AN5326">
        <v>1.0000000278035699</v>
      </c>
    </row>
    <row r="5327" spans="1:40" x14ac:dyDescent="0.25">
      <c r="A5327" t="str">
        <f>"20190303153915009"</f>
        <v>20190303153915009</v>
      </c>
      <c r="B5327" t="str">
        <f>"1551598755004023"</f>
        <v>1551598755004023</v>
      </c>
      <c r="C5327" t="s">
        <v>40</v>
      </c>
      <c r="D5327">
        <v>4.686191</v>
      </c>
      <c r="E5327">
        <v>0.49991550000000001</v>
      </c>
      <c r="F5327" t="s">
        <v>68</v>
      </c>
      <c r="G5327">
        <v>-192.63319999999999</v>
      </c>
      <c r="H5327" s="1">
        <v>-1.090573E-5</v>
      </c>
      <c r="I5327">
        <v>148.64410000000001</v>
      </c>
      <c r="J5327">
        <v>-191.0658</v>
      </c>
      <c r="K5327">
        <v>1.1207739999999999</v>
      </c>
      <c r="L5327">
        <v>175.90450000000001</v>
      </c>
      <c r="M5327">
        <v>-2.5188350000000002E-2</v>
      </c>
      <c r="N5327">
        <v>-1.1519740000000001E-2</v>
      </c>
      <c r="O5327">
        <v>-0.99961639999999996</v>
      </c>
      <c r="P5327">
        <v>-5.6314000000000003E-2</v>
      </c>
      <c r="Q5327">
        <v>-4.5180650000000003E-2</v>
      </c>
      <c r="R5327">
        <v>-0.9973902</v>
      </c>
      <c r="S5327">
        <v>-0.1713867</v>
      </c>
      <c r="T5327">
        <v>-0.1220951</v>
      </c>
      <c r="U5327">
        <v>-2.992645</v>
      </c>
      <c r="V5327">
        <v>3.1144249999999998E-2</v>
      </c>
      <c r="W5327">
        <v>-3.3700809999999998E-2</v>
      </c>
      <c r="X5327">
        <v>0.99894660000000002</v>
      </c>
      <c r="Y5327">
        <v>3.197465E-2</v>
      </c>
      <c r="Z5327">
        <v>2.919679E-2</v>
      </c>
      <c r="AA5327">
        <v>0.99906209999999995</v>
      </c>
      <c r="AB5327">
        <v>21</v>
      </c>
      <c r="AC5327">
        <v>-1.5673999999999899</v>
      </c>
      <c r="AD5327">
        <v>-1.1207849057299999</v>
      </c>
      <c r="AE5327">
        <v>-27.260400000000001</v>
      </c>
      <c r="AF5327">
        <v>0.87873212669773604</v>
      </c>
      <c r="AG5327">
        <v>-1.1207849057299999</v>
      </c>
      <c r="AH5327">
        <v>27.2453298389316</v>
      </c>
      <c r="AI5327">
        <v>92.354412355322296</v>
      </c>
      <c r="AJ5327">
        <v>88.152703759550107</v>
      </c>
      <c r="AK5327">
        <v>27.282527870187899</v>
      </c>
      <c r="AL5327">
        <v>91.931279852402497</v>
      </c>
      <c r="AM5327">
        <v>88.214262649442205</v>
      </c>
      <c r="AN5327">
        <v>1.00000000927713</v>
      </c>
    </row>
    <row r="5328" spans="1:40" x14ac:dyDescent="0.25">
      <c r="A5328" t="str">
        <f>"20190303153915024"</f>
        <v>20190303153915024</v>
      </c>
      <c r="B5328" t="str">
        <f>"1551598755013785"</f>
        <v>1551598755013785</v>
      </c>
      <c r="C5328" t="s">
        <v>40</v>
      </c>
      <c r="D5328">
        <v>4.6679940000000002</v>
      </c>
      <c r="E5328">
        <v>0.49973620000000002</v>
      </c>
      <c r="F5328" t="s">
        <v>68</v>
      </c>
      <c r="G5328">
        <v>-192.55719999999999</v>
      </c>
      <c r="H5328" s="1">
        <v>-1.108634E-5</v>
      </c>
      <c r="I5328">
        <v>149.3801</v>
      </c>
      <c r="J5328">
        <v>-191.06970000000001</v>
      </c>
      <c r="K5328">
        <v>1.1207670000000001</v>
      </c>
      <c r="L5328">
        <v>175.7671</v>
      </c>
      <c r="M5328">
        <v>-2.5564989999999999E-2</v>
      </c>
      <c r="N5328">
        <v>-1.1460049999999999E-2</v>
      </c>
      <c r="O5328">
        <v>-0.99960780000000005</v>
      </c>
      <c r="P5328">
        <v>-5.67386E-2</v>
      </c>
      <c r="Q5328">
        <v>-4.521476E-2</v>
      </c>
      <c r="R5328">
        <v>-0.99736499999999995</v>
      </c>
      <c r="S5328">
        <v>-0.16825870000000001</v>
      </c>
      <c r="T5328">
        <v>-0.12645239999999999</v>
      </c>
      <c r="U5328">
        <v>-2.9926149999999998</v>
      </c>
      <c r="V5328">
        <v>3.1193120000000001E-2</v>
      </c>
      <c r="W5328">
        <v>-3.3794599999999897E-2</v>
      </c>
      <c r="X5328">
        <v>0.99894190000000005</v>
      </c>
      <c r="Y5328">
        <v>3.0555410000000002E-2</v>
      </c>
      <c r="Z5328">
        <v>3.0709E-2</v>
      </c>
      <c r="AA5328">
        <v>0.99906119999999998</v>
      </c>
      <c r="AB5328">
        <v>21</v>
      </c>
      <c r="AC5328">
        <v>-1.4874999999999801</v>
      </c>
      <c r="AD5328">
        <v>-1.1207780863400001</v>
      </c>
      <c r="AE5328">
        <v>-26.386999999999901</v>
      </c>
      <c r="AF5328">
        <v>0.81092793738993896</v>
      </c>
      <c r="AG5328">
        <v>-1.1207780863400001</v>
      </c>
      <c r="AH5328">
        <v>26.368983578179598</v>
      </c>
      <c r="AI5328">
        <v>92.432666238256701</v>
      </c>
      <c r="AJ5328">
        <v>88.238532439386404</v>
      </c>
      <c r="AK5328">
        <v>26.405246497330101</v>
      </c>
      <c r="AL5328">
        <v>91.936656699085106</v>
      </c>
      <c r="AM5328">
        <v>88.211453968622607</v>
      </c>
      <c r="AN5328">
        <v>1.00000000265005</v>
      </c>
    </row>
    <row r="5329" spans="1:40" x14ac:dyDescent="0.25">
      <c r="A5329" t="str">
        <f>"20190303153915037"</f>
        <v>20190303153915037</v>
      </c>
      <c r="B5329" t="str">
        <f>"1551598755023543"</f>
        <v>1551598755023543</v>
      </c>
      <c r="C5329" t="s">
        <v>40</v>
      </c>
      <c r="D5329">
        <v>4.6521169999999996</v>
      </c>
      <c r="E5329">
        <v>0.49958039999999998</v>
      </c>
      <c r="F5329" t="s">
        <v>68</v>
      </c>
      <c r="G5329">
        <v>-192.54230000000001</v>
      </c>
      <c r="H5329" s="1">
        <v>-1.11277E-5</v>
      </c>
      <c r="I5329">
        <v>149.547</v>
      </c>
      <c r="J5329">
        <v>-191.07310000000001</v>
      </c>
      <c r="K5329">
        <v>1.12076</v>
      </c>
      <c r="L5329">
        <v>175.65010000000001</v>
      </c>
      <c r="M5329">
        <v>-2.588592E-2</v>
      </c>
      <c r="N5329">
        <v>-1.1406670000000001E-2</v>
      </c>
      <c r="O5329">
        <v>-0.99959989999999999</v>
      </c>
      <c r="P5329">
        <v>-5.7012460000000001E-2</v>
      </c>
      <c r="Q5329">
        <v>-4.5044460000000001E-2</v>
      </c>
      <c r="R5329">
        <v>-0.99735689999999999</v>
      </c>
      <c r="S5329">
        <v>-0.1680603</v>
      </c>
      <c r="T5329">
        <v>-0.12791730000000001</v>
      </c>
      <c r="U5329">
        <v>-2.992569</v>
      </c>
      <c r="V5329">
        <v>3.1146650000000001E-2</v>
      </c>
      <c r="W5329">
        <v>-3.3677470000000001E-2</v>
      </c>
      <c r="X5329">
        <v>0.99894729999999998</v>
      </c>
      <c r="Y5329">
        <v>3.0168500000000001E-2</v>
      </c>
      <c r="Z5329">
        <v>3.1250510000000002E-2</v>
      </c>
      <c r="AA5329">
        <v>0.99905619999999995</v>
      </c>
      <c r="AB5329">
        <v>21</v>
      </c>
      <c r="AC5329">
        <v>-1.4692000000000001</v>
      </c>
      <c r="AD5329">
        <v>-1.1207711277000001</v>
      </c>
      <c r="AE5329">
        <v>-26.103100000000001</v>
      </c>
      <c r="AF5329">
        <v>0.791506386547976</v>
      </c>
      <c r="AG5329">
        <v>-1.1207711277000001</v>
      </c>
      <c r="AH5329">
        <v>26.084450316245199</v>
      </c>
      <c r="AI5329">
        <v>92.459185157677695</v>
      </c>
      <c r="AJ5329">
        <v>88.261950558341795</v>
      </c>
      <c r="AK5329">
        <v>26.120512218968798</v>
      </c>
      <c r="AL5329">
        <v>91.929941833127003</v>
      </c>
      <c r="AM5329">
        <v>88.214126378867505</v>
      </c>
      <c r="AN5329">
        <v>0.99999999698455599</v>
      </c>
    </row>
    <row r="5330" spans="1:40" x14ac:dyDescent="0.25">
      <c r="A5330" t="str">
        <f>"20190303153915050"</f>
        <v>20190303153915050</v>
      </c>
      <c r="B5330" t="str">
        <f>"1551598755044039"</f>
        <v>1551598755044039</v>
      </c>
      <c r="C5330" t="s">
        <v>40</v>
      </c>
      <c r="D5330">
        <v>4.6985760000000001</v>
      </c>
      <c r="E5330">
        <v>0.49931059999999999</v>
      </c>
      <c r="F5330" t="s">
        <v>68</v>
      </c>
      <c r="G5330">
        <v>-192.53899999999999</v>
      </c>
      <c r="H5330" s="1">
        <v>-1.11115E-5</v>
      </c>
      <c r="I5330">
        <v>149.48769999999999</v>
      </c>
      <c r="J5330">
        <v>-191.07689999999999</v>
      </c>
      <c r="K5330">
        <v>1.120754</v>
      </c>
      <c r="L5330">
        <v>175.52</v>
      </c>
      <c r="M5330">
        <v>-2.6242339999999999E-2</v>
      </c>
      <c r="N5330">
        <v>-1.134459E-2</v>
      </c>
      <c r="O5330">
        <v>-0.99959140000000002</v>
      </c>
      <c r="P5330">
        <v>-5.7238820000000003E-2</v>
      </c>
      <c r="Q5330">
        <v>-4.4901179999999999E-2</v>
      </c>
      <c r="R5330">
        <v>-0.99735030000000002</v>
      </c>
      <c r="S5330">
        <v>-0.16767879999999999</v>
      </c>
      <c r="T5330">
        <v>-0.12819910000000001</v>
      </c>
      <c r="U5330">
        <v>-2.992569</v>
      </c>
      <c r="V5330">
        <v>3.101719E-2</v>
      </c>
      <c r="W5330">
        <v>-3.3595960000000001E-2</v>
      </c>
      <c r="X5330">
        <v>0.99895409999999996</v>
      </c>
      <c r="Y5330">
        <v>2.9685070000000001E-2</v>
      </c>
      <c r="Z5330">
        <v>3.1406290000000003E-2</v>
      </c>
      <c r="AA5330">
        <v>0.9990658</v>
      </c>
      <c r="AB5330">
        <v>21</v>
      </c>
      <c r="AC5330">
        <v>-1.4621000000000199</v>
      </c>
      <c r="AD5330">
        <v>-1.1207651114999999</v>
      </c>
      <c r="AE5330">
        <v>-26.032299999999999</v>
      </c>
      <c r="AF5330">
        <v>0.77696846220868399</v>
      </c>
      <c r="AG5330">
        <v>-1.1207651114999999</v>
      </c>
      <c r="AH5330">
        <v>26.013639048962499</v>
      </c>
      <c r="AI5330">
        <v>92.465893070702506</v>
      </c>
      <c r="AJ5330">
        <v>88.289213473972694</v>
      </c>
      <c r="AK5330">
        <v>26.049361047751798</v>
      </c>
      <c r="AL5330">
        <v>91.925268957369099</v>
      </c>
      <c r="AM5330">
        <v>88.221556623822593</v>
      </c>
      <c r="AN5330">
        <v>1.00000002425531</v>
      </c>
    </row>
    <row r="5331" spans="1:40" x14ac:dyDescent="0.25">
      <c r="A5331" t="str">
        <f>"20190303153915065"</f>
        <v>20190303153915065</v>
      </c>
      <c r="B5331" t="str">
        <f>"1551598755053799"</f>
        <v>1551598755053799</v>
      </c>
      <c r="C5331" t="s">
        <v>40</v>
      </c>
      <c r="D5331">
        <v>4.6598100000000002</v>
      </c>
      <c r="E5331">
        <v>0.49915920000000003</v>
      </c>
      <c r="F5331" t="s">
        <v>68</v>
      </c>
      <c r="G5331">
        <v>-192.51390000000001</v>
      </c>
      <c r="H5331" s="1">
        <v>-1.115683E-5</v>
      </c>
      <c r="I5331">
        <v>149.6533</v>
      </c>
      <c r="J5331">
        <v>-191.08099999999999</v>
      </c>
      <c r="K5331">
        <v>1.120744</v>
      </c>
      <c r="L5331">
        <v>175.3792</v>
      </c>
      <c r="M5331">
        <v>-2.6628140000000002E-2</v>
      </c>
      <c r="N5331">
        <v>-1.1268790000000001E-2</v>
      </c>
      <c r="O5331">
        <v>-0.99958179999999996</v>
      </c>
      <c r="P5331">
        <v>-5.7305559999999998E-2</v>
      </c>
      <c r="Q5331">
        <v>-4.4808319999999999E-2</v>
      </c>
      <c r="R5331">
        <v>-0.99735039999999997</v>
      </c>
      <c r="S5331">
        <v>-0.16625980000000001</v>
      </c>
      <c r="T5331">
        <v>-0.1296641</v>
      </c>
      <c r="U5331">
        <v>-2.9925839999999999</v>
      </c>
      <c r="V5331">
        <v>3.0698570000000001E-2</v>
      </c>
      <c r="W5331">
        <v>-3.3578410000000003E-2</v>
      </c>
      <c r="X5331">
        <v>0.99896450000000003</v>
      </c>
      <c r="Y5331">
        <v>2.8825989999999999E-2</v>
      </c>
      <c r="Z5331">
        <v>3.1969919999999999E-2</v>
      </c>
      <c r="AA5331">
        <v>0.99907310000000005</v>
      </c>
      <c r="AB5331">
        <v>21</v>
      </c>
      <c r="AC5331">
        <v>-1.4329000000000101</v>
      </c>
      <c r="AD5331">
        <v>-1.12075515683</v>
      </c>
      <c r="AE5331">
        <v>-25.725899999999999</v>
      </c>
      <c r="AF5331">
        <v>0.74590411698785997</v>
      </c>
      <c r="AG5331">
        <v>-1.12075515683</v>
      </c>
      <c r="AH5331">
        <v>25.706296658385099</v>
      </c>
      <c r="AI5331">
        <v>92.4953783184488</v>
      </c>
      <c r="AJ5331">
        <v>88.337949248541705</v>
      </c>
      <c r="AK5331">
        <v>25.741525847591099</v>
      </c>
      <c r="AL5331">
        <v>91.924262910823401</v>
      </c>
      <c r="AM5331">
        <v>88.239832210665398</v>
      </c>
      <c r="AN5331">
        <v>0.99999999203921097</v>
      </c>
    </row>
    <row r="5332" spans="1:40" x14ac:dyDescent="0.25">
      <c r="A5332" t="str">
        <f>"20190303153915080"</f>
        <v>20190303153915080</v>
      </c>
      <c r="B5332" t="str">
        <f>"1551598755074295"</f>
        <v>1551598755074295</v>
      </c>
      <c r="C5332" t="s">
        <v>40</v>
      </c>
      <c r="D5332">
        <v>4.6760250000000001</v>
      </c>
      <c r="E5332">
        <v>0.49884810000000002</v>
      </c>
      <c r="F5332" t="s">
        <v>68</v>
      </c>
      <c r="G5332">
        <v>-192.50219999999999</v>
      </c>
      <c r="H5332" s="1">
        <v>-1.11479199999999E-5</v>
      </c>
      <c r="I5332">
        <v>149.63740000000001</v>
      </c>
      <c r="J5332">
        <v>-191.0848</v>
      </c>
      <c r="K5332">
        <v>1.1207290000000001</v>
      </c>
      <c r="L5332">
        <v>175.25219999999999</v>
      </c>
      <c r="M5332">
        <v>-2.6976320000000002E-2</v>
      </c>
      <c r="N5332">
        <v>-1.119209E-2</v>
      </c>
      <c r="O5332">
        <v>-0.99957370000000001</v>
      </c>
      <c r="P5332">
        <v>-5.7718970000000001E-2</v>
      </c>
      <c r="Q5332">
        <v>-4.4867610000000002E-2</v>
      </c>
      <c r="R5332">
        <v>-0.9973244</v>
      </c>
      <c r="S5332">
        <v>-0.16522220000000001</v>
      </c>
      <c r="T5332">
        <v>-0.13029250000000001</v>
      </c>
      <c r="U5332">
        <v>-2.9925989999999998</v>
      </c>
      <c r="V5332">
        <v>3.0764639999999999E-2</v>
      </c>
      <c r="W5332">
        <v>-3.3714399999999999E-2</v>
      </c>
      <c r="X5332">
        <v>0.99895789999999995</v>
      </c>
      <c r="Y5332">
        <v>2.8131960000000001E-2</v>
      </c>
      <c r="Z5332">
        <v>3.2255789999999999E-2</v>
      </c>
      <c r="AA5332">
        <v>0.99908359999999996</v>
      </c>
      <c r="AB5332">
        <v>21</v>
      </c>
      <c r="AC5332">
        <v>-1.41739999999998</v>
      </c>
      <c r="AD5332">
        <v>-1.1207401479200001</v>
      </c>
      <c r="AE5332">
        <v>-25.614799999999899</v>
      </c>
      <c r="AF5332">
        <v>0.72446531011111004</v>
      </c>
      <c r="AG5332">
        <v>-1.1207401479200001</v>
      </c>
      <c r="AH5332">
        <v>25.594866834854599</v>
      </c>
      <c r="AI5332">
        <v>92.506245841566894</v>
      </c>
      <c r="AJ5332">
        <v>88.378670030129896</v>
      </c>
      <c r="AK5332">
        <v>25.629633566609101</v>
      </c>
      <c r="AL5332">
        <v>91.932058953214494</v>
      </c>
      <c r="AM5332">
        <v>88.236034690570705</v>
      </c>
      <c r="AN5332">
        <v>1.0000000049070401</v>
      </c>
    </row>
    <row r="5333" spans="1:40" x14ac:dyDescent="0.25">
      <c r="A5333" t="str">
        <f>"20190303153915093"</f>
        <v>20190303153915093</v>
      </c>
      <c r="B5333" t="str">
        <f>"1551598755084054"</f>
        <v>1551598755084054</v>
      </c>
      <c r="C5333" t="s">
        <v>40</v>
      </c>
      <c r="D5333">
        <v>4.6393990000000001</v>
      </c>
      <c r="E5333">
        <v>0.49871389999999999</v>
      </c>
      <c r="F5333" t="s">
        <v>68</v>
      </c>
      <c r="G5333">
        <v>-192.47630000000001</v>
      </c>
      <c r="H5333" s="1">
        <v>-1.123151E-5</v>
      </c>
      <c r="I5333">
        <v>149.84289999999999</v>
      </c>
      <c r="J5333">
        <v>-191.08869999999999</v>
      </c>
      <c r="K5333">
        <v>1.120716</v>
      </c>
      <c r="L5333">
        <v>175.12190000000001</v>
      </c>
      <c r="M5333">
        <v>-2.7333079999999999E-2</v>
      </c>
      <c r="N5333">
        <v>-1.1107850000000001E-2</v>
      </c>
      <c r="O5333">
        <v>-0.99956489999999998</v>
      </c>
      <c r="P5333">
        <v>-5.7938539999999997E-2</v>
      </c>
      <c r="Q5333">
        <v>-4.4808859999999999E-2</v>
      </c>
      <c r="R5333">
        <v>-0.99731440000000005</v>
      </c>
      <c r="S5333">
        <v>-0.1638947</v>
      </c>
      <c r="T5333">
        <v>-0.13199849999999999</v>
      </c>
      <c r="U5333">
        <v>-2.992645</v>
      </c>
      <c r="V5333">
        <v>3.0628030000000001E-2</v>
      </c>
      <c r="W5333">
        <v>-3.3739640000000001E-2</v>
      </c>
      <c r="X5333">
        <v>0.99896130000000005</v>
      </c>
      <c r="Y5333">
        <v>2.7331580000000001E-2</v>
      </c>
      <c r="Z5333">
        <v>3.2907499999999999E-2</v>
      </c>
      <c r="AA5333">
        <v>0.99908459999999999</v>
      </c>
      <c r="AB5333">
        <v>21</v>
      </c>
      <c r="AC5333">
        <v>-1.3876000000000199</v>
      </c>
      <c r="AD5333">
        <v>-1.1207272315100001</v>
      </c>
      <c r="AE5333">
        <v>-25.279</v>
      </c>
      <c r="AF5333">
        <v>0.69472470490932003</v>
      </c>
      <c r="AG5333">
        <v>-1.1207272315100001</v>
      </c>
      <c r="AH5333">
        <v>25.2579876097154</v>
      </c>
      <c r="AI5333">
        <v>92.539656840902296</v>
      </c>
      <c r="AJ5333">
        <v>88.424468298862493</v>
      </c>
      <c r="AK5333">
        <v>25.2923824507617</v>
      </c>
      <c r="AL5333">
        <v>91.933505816847102</v>
      </c>
      <c r="AM5333">
        <v>88.2438686141396</v>
      </c>
      <c r="AN5333">
        <v>1.00000005921334</v>
      </c>
    </row>
    <row r="5334" spans="1:40" x14ac:dyDescent="0.25">
      <c r="A5334" t="str">
        <f>"20190303153915105"</f>
        <v>20190303153915105</v>
      </c>
      <c r="B5334" t="str">
        <f>"1551598755093815"</f>
        <v>1551598755093815</v>
      </c>
      <c r="C5334" t="s">
        <v>40</v>
      </c>
      <c r="D5334">
        <v>4.6416979999999999</v>
      </c>
      <c r="E5334">
        <v>0.4985578</v>
      </c>
      <c r="F5334" t="s">
        <v>68</v>
      </c>
      <c r="G5334">
        <v>-192.4734</v>
      </c>
      <c r="H5334" s="1">
        <v>-1.120861E-5</v>
      </c>
      <c r="I5334">
        <v>149.79079999999999</v>
      </c>
      <c r="J5334">
        <v>-191.09229999999999</v>
      </c>
      <c r="K5334">
        <v>1.1207</v>
      </c>
      <c r="L5334">
        <v>175.00149999999999</v>
      </c>
      <c r="M5334">
        <v>-2.7662200000000001E-2</v>
      </c>
      <c r="N5334">
        <v>-1.1023989999999999E-2</v>
      </c>
      <c r="O5334">
        <v>-0.99955649999999996</v>
      </c>
      <c r="P5334">
        <v>-5.8077200000000002E-2</v>
      </c>
      <c r="Q5334">
        <v>-4.4637870000000003E-2</v>
      </c>
      <c r="R5334">
        <v>-0.99731369999999997</v>
      </c>
      <c r="S5334">
        <v>-0.1635895</v>
      </c>
      <c r="T5334">
        <v>-0.13240350000000001</v>
      </c>
      <c r="U5334">
        <v>-2.9926300000000001</v>
      </c>
      <c r="V5334">
        <v>3.0437929999999998E-2</v>
      </c>
      <c r="W5334">
        <v>-3.365216E-2</v>
      </c>
      <c r="X5334">
        <v>0.99897000000000002</v>
      </c>
      <c r="Y5334">
        <v>2.6900940000000002E-2</v>
      </c>
      <c r="Z5334">
        <v>3.3126120000000002E-2</v>
      </c>
      <c r="AA5334">
        <v>0.99908909999999995</v>
      </c>
      <c r="AB5334">
        <v>21</v>
      </c>
      <c r="AC5334">
        <v>-1.3811</v>
      </c>
      <c r="AD5334">
        <v>-1.12071120861</v>
      </c>
      <c r="AE5334">
        <v>-25.210699999999999</v>
      </c>
      <c r="AF5334">
        <v>0.681802290059211</v>
      </c>
      <c r="AG5334">
        <v>-1.12071120861</v>
      </c>
      <c r="AH5334">
        <v>25.189628707736301</v>
      </c>
      <c r="AI5334">
        <v>92.546533866186394</v>
      </c>
      <c r="AJ5334">
        <v>88.449565943981597</v>
      </c>
      <c r="AK5334">
        <v>25.2237634465884</v>
      </c>
      <c r="AL5334">
        <v>91.928490852196802</v>
      </c>
      <c r="AM5334">
        <v>88.254776880489899</v>
      </c>
      <c r="AN5334">
        <v>0.99999999817767504</v>
      </c>
    </row>
    <row r="5335" spans="1:40" x14ac:dyDescent="0.25">
      <c r="A5335" t="str">
        <f>"20190303153915121"</f>
        <v>20190303153915121</v>
      </c>
      <c r="B5335" t="str">
        <f>"1551598755114314"</f>
        <v>1551598755114314</v>
      </c>
      <c r="C5335" t="s">
        <v>40</v>
      </c>
      <c r="D5335">
        <v>4.636171</v>
      </c>
      <c r="E5335">
        <v>0.49825649999999999</v>
      </c>
      <c r="F5335" t="s">
        <v>68</v>
      </c>
      <c r="G5335">
        <v>-192.46799999999999</v>
      </c>
      <c r="H5335" s="1">
        <v>-1.1173869999999999E-5</v>
      </c>
      <c r="I5335">
        <v>149.71199999999999</v>
      </c>
      <c r="J5335">
        <v>-191.0967</v>
      </c>
      <c r="K5335">
        <v>1.120684</v>
      </c>
      <c r="L5335">
        <v>174.85980000000001</v>
      </c>
      <c r="M5335">
        <v>-2.8049709999999999E-2</v>
      </c>
      <c r="N5335">
        <v>-1.092249E-2</v>
      </c>
      <c r="O5335">
        <v>-0.99954699999999996</v>
      </c>
      <c r="P5335">
        <v>-5.8055089999999997E-2</v>
      </c>
      <c r="Q5335">
        <v>-4.4641220000000002E-2</v>
      </c>
      <c r="R5335">
        <v>-0.9973149</v>
      </c>
      <c r="S5335">
        <v>-0.162796</v>
      </c>
      <c r="T5335">
        <v>-0.13262119999999999</v>
      </c>
      <c r="U5335">
        <v>-2.9926759999999999</v>
      </c>
      <c r="V5335">
        <v>3.0028559999999999E-2</v>
      </c>
      <c r="W5335">
        <v>-3.3756500000000002E-2</v>
      </c>
      <c r="X5335">
        <v>0.9989789</v>
      </c>
      <c r="Y5335">
        <v>2.624845E-2</v>
      </c>
      <c r="Z5335">
        <v>3.3299339999999997E-2</v>
      </c>
      <c r="AA5335">
        <v>0.99910069999999995</v>
      </c>
      <c r="AB5335">
        <v>21</v>
      </c>
      <c r="AC5335">
        <v>-1.37129999999999</v>
      </c>
      <c r="AD5335">
        <v>-1.1206951738699999</v>
      </c>
      <c r="AE5335">
        <v>-25.147799999999901</v>
      </c>
      <c r="AF5335">
        <v>0.664015083588813</v>
      </c>
      <c r="AG5335">
        <v>-1.1206951738699999</v>
      </c>
      <c r="AH5335">
        <v>25.126617723902399</v>
      </c>
      <c r="AI5335">
        <v>92.552918603956797</v>
      </c>
      <c r="AJ5335">
        <v>88.486210545823397</v>
      </c>
      <c r="AK5335">
        <v>25.160361522583401</v>
      </c>
      <c r="AL5335">
        <v>91.934472432338296</v>
      </c>
      <c r="AM5335">
        <v>88.2782500814168</v>
      </c>
      <c r="AN5335">
        <v>1.0000000291765601</v>
      </c>
    </row>
    <row r="5336" spans="1:40" x14ac:dyDescent="0.25">
      <c r="A5336" t="str">
        <f>"20190303153915132"</f>
        <v>20190303153915132</v>
      </c>
      <c r="B5336" t="str">
        <f>"1551598755124071"</f>
        <v>1551598755124071</v>
      </c>
      <c r="C5336" t="s">
        <v>40</v>
      </c>
      <c r="D5336">
        <v>4.6479739999999996</v>
      </c>
      <c r="E5336">
        <v>0.49814639999999999</v>
      </c>
      <c r="F5336" t="s">
        <v>68</v>
      </c>
      <c r="G5336">
        <v>-192.43510000000001</v>
      </c>
      <c r="H5336" s="1">
        <v>-1.123212E-5</v>
      </c>
      <c r="I5336">
        <v>149.8614</v>
      </c>
      <c r="J5336">
        <v>-191.1</v>
      </c>
      <c r="K5336">
        <v>1.1206719999999999</v>
      </c>
      <c r="L5336">
        <v>174.75360000000001</v>
      </c>
      <c r="M5336">
        <v>-2.8339779999999998E-2</v>
      </c>
      <c r="N5336">
        <v>-1.0846939999999999E-2</v>
      </c>
      <c r="O5336">
        <v>-0.99953959999999997</v>
      </c>
      <c r="P5336">
        <v>-5.8171050000000002E-2</v>
      </c>
      <c r="Q5336">
        <v>-4.4588120000000002E-2</v>
      </c>
      <c r="R5336">
        <v>-0.99731040000000004</v>
      </c>
      <c r="S5336">
        <v>-0.1602325</v>
      </c>
      <c r="T5336">
        <v>-0.13416810000000001</v>
      </c>
      <c r="U5336">
        <v>-2.9927670000000002</v>
      </c>
      <c r="V5336">
        <v>2.9854780000000001E-2</v>
      </c>
      <c r="W5336">
        <v>-3.3778679999999998E-2</v>
      </c>
      <c r="X5336">
        <v>0.99898330000000002</v>
      </c>
      <c r="Y5336">
        <v>2.5102670000000001E-2</v>
      </c>
      <c r="Z5336">
        <v>3.3889349999999999E-2</v>
      </c>
      <c r="AA5336">
        <v>0.99911030000000001</v>
      </c>
      <c r="AB5336">
        <v>21</v>
      </c>
      <c r="AC5336">
        <v>-1.3351000000000099</v>
      </c>
      <c r="AD5336">
        <v>-1.12068323212</v>
      </c>
      <c r="AE5336">
        <v>-24.892199999999999</v>
      </c>
      <c r="AF5336">
        <v>0.62781390476066001</v>
      </c>
      <c r="AG5336">
        <v>-1.12068323212</v>
      </c>
      <c r="AH5336">
        <v>24.8697747360244</v>
      </c>
      <c r="AI5336">
        <v>92.579299693428396</v>
      </c>
      <c r="AJ5336">
        <v>88.553929444084801</v>
      </c>
      <c r="AK5336">
        <v>24.9029270694503</v>
      </c>
      <c r="AL5336">
        <v>91.935744091666706</v>
      </c>
      <c r="AM5336">
        <v>88.288215708636599</v>
      </c>
      <c r="AN5336">
        <v>0.99999997039513999</v>
      </c>
    </row>
    <row r="5337" spans="1:40" x14ac:dyDescent="0.25">
      <c r="A5337" t="str">
        <f>"20190303153915144"</f>
        <v>20190303153915144</v>
      </c>
      <c r="B5337" t="str">
        <f>"1551598755133831"</f>
        <v>1551598755133831</v>
      </c>
      <c r="C5337" t="s">
        <v>40</v>
      </c>
      <c r="D5337">
        <v>4.6376650000000001</v>
      </c>
      <c r="E5337">
        <v>0.4980407</v>
      </c>
      <c r="F5337" t="s">
        <v>68</v>
      </c>
      <c r="G5337">
        <v>-192.4324</v>
      </c>
      <c r="H5337" s="1">
        <v>-1.121229E-5</v>
      </c>
      <c r="I5337">
        <v>149.81630000000001</v>
      </c>
      <c r="J5337">
        <v>-191.1035</v>
      </c>
      <c r="K5337">
        <v>1.120662</v>
      </c>
      <c r="L5337">
        <v>174.6413</v>
      </c>
      <c r="M5337">
        <v>-2.864626E-2</v>
      </c>
      <c r="N5337">
        <v>-1.0769630000000001E-2</v>
      </c>
      <c r="O5337">
        <v>-0.99953170000000002</v>
      </c>
      <c r="P5337">
        <v>-5.8574040000000001E-2</v>
      </c>
      <c r="Q5337">
        <v>-4.4697380000000002E-2</v>
      </c>
      <c r="R5337">
        <v>-0.99728229999999995</v>
      </c>
      <c r="S5337">
        <v>-0.1599121</v>
      </c>
      <c r="T5337">
        <v>-0.13449439999999999</v>
      </c>
      <c r="U5337">
        <v>-2.9927519999999999</v>
      </c>
      <c r="V5337">
        <v>2.9952050000000001E-2</v>
      </c>
      <c r="W5337">
        <v>-3.3965370000000002E-2</v>
      </c>
      <c r="X5337">
        <v>0.99897409999999998</v>
      </c>
      <c r="Y5337">
        <v>2.4689610000000001E-2</v>
      </c>
      <c r="Z5337">
        <v>3.4075210000000002E-2</v>
      </c>
      <c r="AA5337">
        <v>0.99911430000000001</v>
      </c>
      <c r="AB5337">
        <v>21</v>
      </c>
      <c r="AC5337">
        <v>-1.3289</v>
      </c>
      <c r="AD5337">
        <v>-1.1206732122900001</v>
      </c>
      <c r="AE5337">
        <v>-24.8249999999999</v>
      </c>
      <c r="AF5337">
        <v>0.61591841447037399</v>
      </c>
      <c r="AG5337">
        <v>-1.1206732122900001</v>
      </c>
      <c r="AH5337">
        <v>24.802480992350599</v>
      </c>
      <c r="AI5337">
        <v>92.586291801429596</v>
      </c>
      <c r="AJ5337">
        <v>88.577469958960705</v>
      </c>
      <c r="AK5337">
        <v>24.8354248467374</v>
      </c>
      <c r="AL5337">
        <v>91.946446701373901</v>
      </c>
      <c r="AM5337">
        <v>88.282626064075401</v>
      </c>
      <c r="AN5337">
        <v>1.00000001206462</v>
      </c>
    </row>
    <row r="5338" spans="1:40" x14ac:dyDescent="0.25">
      <c r="A5338" t="str">
        <f>"20190303153915156"</f>
        <v>20190303153915156</v>
      </c>
      <c r="B5338" t="str">
        <f>"1551598755143590"</f>
        <v>1551598755143590</v>
      </c>
      <c r="C5338" t="s">
        <v>40</v>
      </c>
      <c r="D5338">
        <v>4.6107279999999999</v>
      </c>
      <c r="E5338">
        <v>0.49811270000000002</v>
      </c>
      <c r="F5338" t="s">
        <v>68</v>
      </c>
      <c r="G5338">
        <v>-192.43209999999999</v>
      </c>
      <c r="H5338" s="1">
        <v>-1.1210040000000001E-5</v>
      </c>
      <c r="I5338">
        <v>149.81120000000001</v>
      </c>
      <c r="J5338">
        <v>-191.10679999999999</v>
      </c>
      <c r="K5338">
        <v>1.120652</v>
      </c>
      <c r="L5338">
        <v>174.5368</v>
      </c>
      <c r="M5338">
        <v>-2.8931370000000001E-2</v>
      </c>
      <c r="N5338">
        <v>-1.070103E-2</v>
      </c>
      <c r="O5338">
        <v>-0.99952410000000003</v>
      </c>
      <c r="P5338">
        <v>-5.873714E-2</v>
      </c>
      <c r="Q5338">
        <v>-4.4936179999999999E-2</v>
      </c>
      <c r="R5338">
        <v>-0.99726210000000004</v>
      </c>
      <c r="S5338">
        <v>-0.16012570000000001</v>
      </c>
      <c r="T5338">
        <v>-0.13507259999999999</v>
      </c>
      <c r="U5338">
        <v>-2.9927220000000001</v>
      </c>
      <c r="V5338">
        <v>2.9830550000000001E-2</v>
      </c>
      <c r="W5338">
        <v>-3.427272E-2</v>
      </c>
      <c r="X5338">
        <v>0.99896719999999894</v>
      </c>
      <c r="Y5338">
        <v>2.4475739999999999E-2</v>
      </c>
      <c r="Z5338">
        <v>3.4336150000000003E-2</v>
      </c>
      <c r="AA5338">
        <v>0.99911059999999996</v>
      </c>
      <c r="AB5338">
        <v>21</v>
      </c>
      <c r="AC5338">
        <v>-1.3252999999999899</v>
      </c>
      <c r="AD5338">
        <v>-1.12066321004</v>
      </c>
      <c r="AE5338">
        <v>-24.725599999999901</v>
      </c>
      <c r="AF5338">
        <v>0.60811306259157705</v>
      </c>
      <c r="AG5338">
        <v>-1.12066321004</v>
      </c>
      <c r="AH5338">
        <v>24.7029925002055</v>
      </c>
      <c r="AI5338">
        <v>92.596684262214595</v>
      </c>
      <c r="AJ5338">
        <v>88.589835769329895</v>
      </c>
      <c r="AK5338">
        <v>24.735875282521199</v>
      </c>
      <c r="AL5338">
        <v>91.964066892981506</v>
      </c>
      <c r="AM5338">
        <v>88.289576609751805</v>
      </c>
      <c r="AN5338">
        <v>0.99999997386266903</v>
      </c>
    </row>
    <row r="5339" spans="1:40" x14ac:dyDescent="0.25">
      <c r="A5339" t="str">
        <f>"20190303153915171"</f>
        <v>20190303153915171</v>
      </c>
      <c r="B5339" t="str">
        <f>"1551598755164086"</f>
        <v>1551598755164086</v>
      </c>
      <c r="C5339" t="s">
        <v>40</v>
      </c>
      <c r="D5339">
        <v>4.7426219999999999</v>
      </c>
      <c r="E5339">
        <v>0.52424300000000001</v>
      </c>
      <c r="F5339" t="s">
        <v>68</v>
      </c>
      <c r="G5339">
        <v>-192.4325</v>
      </c>
      <c r="H5339" s="1">
        <v>-1.1268840000000001E-5</v>
      </c>
      <c r="I5339">
        <v>149.94810000000001</v>
      </c>
      <c r="J5339">
        <v>-191.1114</v>
      </c>
      <c r="K5339">
        <v>1.120641</v>
      </c>
      <c r="L5339">
        <v>174.39330000000001</v>
      </c>
      <c r="M5339">
        <v>-2.9322600000000001E-2</v>
      </c>
      <c r="N5339">
        <v>-1.061104E-2</v>
      </c>
      <c r="O5339">
        <v>-0.99951389999999996</v>
      </c>
      <c r="P5339">
        <v>-5.9242549999999998E-2</v>
      </c>
      <c r="Q5339">
        <v>-4.494745E-2</v>
      </c>
      <c r="R5339">
        <v>-0.9972316</v>
      </c>
      <c r="S5339">
        <v>-0.1613464</v>
      </c>
      <c r="T5339">
        <v>-0.13639100000000001</v>
      </c>
      <c r="U5339">
        <v>-2.9925839999999999</v>
      </c>
      <c r="V5339">
        <v>2.9945670000000001E-2</v>
      </c>
      <c r="W5339">
        <v>-3.4374080000000001E-2</v>
      </c>
      <c r="X5339">
        <v>0.99896030000000002</v>
      </c>
      <c r="Y5339">
        <v>2.4492320000000001E-2</v>
      </c>
      <c r="Z5339">
        <v>3.4865729999999998E-2</v>
      </c>
      <c r="AA5339">
        <v>0.99909190000000003</v>
      </c>
      <c r="AB5339">
        <v>21</v>
      </c>
      <c r="AC5339">
        <v>-1.3210999999999999</v>
      </c>
      <c r="AD5339">
        <v>-1.12065226884</v>
      </c>
      <c r="AE5339">
        <v>-24.4452</v>
      </c>
      <c r="AF5339">
        <v>0.60243244647070604</v>
      </c>
      <c r="AG5339">
        <v>-1.12065226884</v>
      </c>
      <c r="AH5339">
        <v>24.422250784072499</v>
      </c>
      <c r="AI5339">
        <v>92.626463568552893</v>
      </c>
      <c r="AJ5339">
        <v>88.586950950376405</v>
      </c>
      <c r="AK5339">
        <v>24.455369956726202</v>
      </c>
      <c r="AL5339">
        <v>91.969877764279602</v>
      </c>
      <c r="AM5339">
        <v>88.282967952783395</v>
      </c>
      <c r="AN5339">
        <v>1.0000000007518399</v>
      </c>
    </row>
    <row r="5340" spans="1:40" x14ac:dyDescent="0.25">
      <c r="A5340" t="str">
        <f>"20190303153915185"</f>
        <v>20190303153915185</v>
      </c>
      <c r="B5340" t="str">
        <f>"1551598755173849"</f>
        <v>1551598755173849</v>
      </c>
      <c r="C5340" t="s">
        <v>40</v>
      </c>
      <c r="D5340">
        <v>4.5608950000000004</v>
      </c>
      <c r="E5340">
        <v>0.53501669999999901</v>
      </c>
      <c r="F5340" t="s">
        <v>68</v>
      </c>
      <c r="G5340">
        <v>-193.51830000000001</v>
      </c>
      <c r="H5340" s="1">
        <v>-1.333376E-5</v>
      </c>
      <c r="I5340">
        <v>155.04859999999999</v>
      </c>
      <c r="J5340">
        <v>-191.11609999999999</v>
      </c>
      <c r="K5340">
        <v>1.1206290000000001</v>
      </c>
      <c r="L5340">
        <v>174.24930000000001</v>
      </c>
      <c r="M5340">
        <v>-2.9713860000000002E-2</v>
      </c>
      <c r="N5340">
        <v>-1.0527359999999999E-2</v>
      </c>
      <c r="O5340">
        <v>-0.99950309999999998</v>
      </c>
      <c r="P5340">
        <v>-5.9247809999999998E-2</v>
      </c>
      <c r="Q5340">
        <v>-4.4737819999999998E-2</v>
      </c>
      <c r="R5340">
        <v>-0.99724049999999997</v>
      </c>
      <c r="S5340">
        <v>-0.37059019999999998</v>
      </c>
      <c r="T5340">
        <v>-0.17254890000000001</v>
      </c>
      <c r="U5340">
        <v>-2.9785309999999998</v>
      </c>
      <c r="V5340">
        <v>2.9559889999999998E-2</v>
      </c>
      <c r="W5340">
        <v>-3.424754E-2</v>
      </c>
      <c r="X5340">
        <v>0.99897610000000003</v>
      </c>
      <c r="Y5340">
        <v>9.3756190000000003E-2</v>
      </c>
      <c r="Z5340">
        <v>4.69539E-2</v>
      </c>
      <c r="AA5340">
        <v>0.99448729999999996</v>
      </c>
      <c r="AB5340">
        <v>21</v>
      </c>
      <c r="AC5340">
        <v>-2.4022000000000201</v>
      </c>
      <c r="AD5340">
        <v>-1.12064233376</v>
      </c>
      <c r="AE5340">
        <v>-19.200700000000001</v>
      </c>
      <c r="AF5340">
        <v>1.8244615778629201</v>
      </c>
      <c r="AG5340">
        <v>-1.12064233376</v>
      </c>
      <c r="AH5340">
        <v>19.19921057082</v>
      </c>
      <c r="AI5340">
        <v>93.325570034261006</v>
      </c>
      <c r="AJ5340">
        <v>84.571600543107195</v>
      </c>
      <c r="AK5340">
        <v>19.3182345423178</v>
      </c>
      <c r="AL5340">
        <v>91.962623355702604</v>
      </c>
      <c r="AM5340">
        <v>88.305101704498995</v>
      </c>
      <c r="AN5340">
        <v>0.99999996473203601</v>
      </c>
    </row>
    <row r="5341" spans="1:40" x14ac:dyDescent="0.25">
      <c r="A5341" t="str">
        <f>"20190303153915201"</f>
        <v>20190303153915201</v>
      </c>
      <c r="B5341" t="str">
        <f>"1551598755194342"</f>
        <v>1551598755194342</v>
      </c>
      <c r="C5341" t="s">
        <v>40</v>
      </c>
      <c r="D5341">
        <v>4.8004490000000004</v>
      </c>
      <c r="E5341">
        <v>0.55203250000000004</v>
      </c>
      <c r="F5341" t="s">
        <v>68</v>
      </c>
      <c r="G5341">
        <v>-194.08029999999999</v>
      </c>
      <c r="H5341" s="1">
        <v>-1.333604E-5</v>
      </c>
      <c r="I5341">
        <v>154.93780000000001</v>
      </c>
      <c r="J5341">
        <v>-191.12039999999999</v>
      </c>
      <c r="K5341">
        <v>1.1206240000000001</v>
      </c>
      <c r="L5341">
        <v>174.11580000000001</v>
      </c>
      <c r="M5341">
        <v>-3.0073579999999999E-2</v>
      </c>
      <c r="N5341">
        <v>-1.045453E-2</v>
      </c>
      <c r="O5341">
        <v>-0.99949339999999998</v>
      </c>
      <c r="P5341">
        <v>-5.90291999999999E-2</v>
      </c>
      <c r="Q5341">
        <v>-4.5296389999999999E-2</v>
      </c>
      <c r="R5341">
        <v>-0.99722840000000001</v>
      </c>
      <c r="S5341">
        <v>-0.45640560000000002</v>
      </c>
      <c r="T5341">
        <v>-0.172548799999999</v>
      </c>
      <c r="U5341">
        <v>-2.9734500000000001</v>
      </c>
      <c r="V5341">
        <v>2.8981900000000001E-2</v>
      </c>
      <c r="W5341">
        <v>-3.4878409999999999E-2</v>
      </c>
      <c r="X5341">
        <v>0.99897119999999995</v>
      </c>
      <c r="Y5341">
        <v>0.1217111</v>
      </c>
      <c r="Z5341">
        <v>4.6926839999999997E-2</v>
      </c>
      <c r="AA5341">
        <v>0.99145559999999999</v>
      </c>
      <c r="AB5341">
        <v>21</v>
      </c>
      <c r="AC5341">
        <v>-2.9599000000000002</v>
      </c>
      <c r="AD5341">
        <v>-1.1206373360399999</v>
      </c>
      <c r="AE5341">
        <v>-19.178000000000001</v>
      </c>
      <c r="AF5341">
        <v>2.3738617387639298</v>
      </c>
      <c r="AG5341">
        <v>-1.1206373360399999</v>
      </c>
      <c r="AH5341">
        <v>19.194330553896201</v>
      </c>
      <c r="AI5341">
        <v>93.316142582216898</v>
      </c>
      <c r="AJ5341">
        <v>82.949736207637599</v>
      </c>
      <c r="AK5341">
        <v>19.3730062975762</v>
      </c>
      <c r="AL5341">
        <v>91.998791172490797</v>
      </c>
      <c r="AM5341">
        <v>88.338215450729095</v>
      </c>
      <c r="AN5341">
        <v>0.99999995622058802</v>
      </c>
    </row>
    <row r="5342" spans="1:40" x14ac:dyDescent="0.25">
      <c r="A5342" t="str">
        <f>"20190303153915214"</f>
        <v>20190303153915214</v>
      </c>
      <c r="B5342" t="str">
        <f>"1551598755204102"</f>
        <v>1551598755204102</v>
      </c>
      <c r="C5342" t="s">
        <v>40</v>
      </c>
      <c r="D5342">
        <v>4.7303169999999897</v>
      </c>
      <c r="E5342">
        <v>0.55203250000000004</v>
      </c>
      <c r="F5342" t="s">
        <v>68</v>
      </c>
      <c r="G5342">
        <v>-194.8597</v>
      </c>
      <c r="H5342" s="1">
        <v>-1.358617E-5</v>
      </c>
      <c r="I5342">
        <v>155.3597</v>
      </c>
      <c r="J5342">
        <v>-191.1249</v>
      </c>
      <c r="K5342">
        <v>1.1206210000000001</v>
      </c>
      <c r="L5342">
        <v>173.98070000000001</v>
      </c>
      <c r="M5342">
        <v>-3.043442E-2</v>
      </c>
      <c r="N5342">
        <v>-1.0384350000000001E-2</v>
      </c>
      <c r="O5342">
        <v>-0.99948309999999996</v>
      </c>
      <c r="P5342">
        <v>-5.8861520000000001E-2</v>
      </c>
      <c r="Q5342">
        <v>-4.520967E-2</v>
      </c>
      <c r="R5342">
        <v>-0.99724250000000003</v>
      </c>
      <c r="S5342">
        <v>-0.59117129999999996</v>
      </c>
      <c r="T5342">
        <v>-0.17716989999999999</v>
      </c>
      <c r="U5342">
        <v>-2.9653019999999999</v>
      </c>
      <c r="V5342">
        <v>2.8453550000000001E-2</v>
      </c>
      <c r="W5342">
        <v>-3.4861070000000001E-2</v>
      </c>
      <c r="X5342">
        <v>0.99898699999999996</v>
      </c>
      <c r="Y5342">
        <v>0.16528970000000001</v>
      </c>
      <c r="Z5342">
        <v>4.8276989999999999E-2</v>
      </c>
      <c r="AA5342">
        <v>0.98506280000000002</v>
      </c>
      <c r="AB5342">
        <v>21</v>
      </c>
      <c r="AC5342">
        <v>-3.7347999999999999</v>
      </c>
      <c r="AD5342">
        <v>-1.12063458616999</v>
      </c>
      <c r="AE5342">
        <v>-18.620999999999999</v>
      </c>
      <c r="AF5342">
        <v>3.1553340105411198</v>
      </c>
      <c r="AG5342">
        <v>-1.12063458616999</v>
      </c>
      <c r="AH5342">
        <v>18.661073178952901</v>
      </c>
      <c r="AI5342">
        <v>93.3886137378272</v>
      </c>
      <c r="AJ5342">
        <v>80.402836509261903</v>
      </c>
      <c r="AK5342">
        <v>18.959103533237901</v>
      </c>
      <c r="AL5342">
        <v>91.997797046647804</v>
      </c>
      <c r="AM5342">
        <v>88.368519618989595</v>
      </c>
      <c r="AN5342">
        <v>0.99999996243907296</v>
      </c>
    </row>
    <row r="5343" spans="1:40" x14ac:dyDescent="0.25">
      <c r="A5343" t="str">
        <f>"20190303153915226"</f>
        <v>20190303153915226</v>
      </c>
      <c r="B5343" t="str">
        <f>"1551598755223623"</f>
        <v>1551598755223623</v>
      </c>
      <c r="C5343" t="s">
        <v>40</v>
      </c>
      <c r="D5343">
        <v>4.7093189999999998</v>
      </c>
      <c r="E5343">
        <v>0.61149069999999905</v>
      </c>
      <c r="F5343" t="s">
        <v>68</v>
      </c>
      <c r="G5343">
        <v>-194.86709999999999</v>
      </c>
      <c r="H5343" s="1">
        <v>-1.351734E-5</v>
      </c>
      <c r="I5343">
        <v>155.1977</v>
      </c>
      <c r="J5343">
        <v>-191.12880000000001</v>
      </c>
      <c r="K5343">
        <v>1.120617</v>
      </c>
      <c r="L5343">
        <v>173.8646</v>
      </c>
      <c r="M5343">
        <v>-3.074035E-2</v>
      </c>
      <c r="N5343">
        <v>-1.0327350000000001E-2</v>
      </c>
      <c r="O5343">
        <v>-0.99947430000000004</v>
      </c>
      <c r="P5343">
        <v>-5.8463260000000003E-2</v>
      </c>
      <c r="Q5343">
        <v>-4.4844179999999997E-2</v>
      </c>
      <c r="R5343">
        <v>-0.99728209999999995</v>
      </c>
      <c r="S5343">
        <v>-0.59082029999999996</v>
      </c>
      <c r="T5343">
        <v>-0.1769242</v>
      </c>
      <c r="U5343">
        <v>-2.9654389999999999</v>
      </c>
      <c r="V5343">
        <v>2.7749119999999999E-2</v>
      </c>
      <c r="W5343">
        <v>-3.4551390000000001E-2</v>
      </c>
      <c r="X5343">
        <v>0.99901759999999995</v>
      </c>
      <c r="Y5343">
        <v>0.16486779999999901</v>
      </c>
      <c r="Z5343">
        <v>4.825227E-2</v>
      </c>
      <c r="AA5343">
        <v>0.98513470000000003</v>
      </c>
      <c r="AB5343">
        <v>21</v>
      </c>
      <c r="AC5343">
        <v>-3.7382999999999802</v>
      </c>
      <c r="AD5343">
        <v>-1.12063051734</v>
      </c>
      <c r="AE5343">
        <v>-18.666899999999998</v>
      </c>
      <c r="AF5343">
        <v>3.1517547801476198</v>
      </c>
      <c r="AG5343">
        <v>-1.12063051734</v>
      </c>
      <c r="AH5343">
        <v>18.7081760979592</v>
      </c>
      <c r="AI5343">
        <v>93.380431029484598</v>
      </c>
      <c r="AJ5343">
        <v>80.437211105862701</v>
      </c>
      <c r="AK5343">
        <v>19.004873687105398</v>
      </c>
      <c r="AL5343">
        <v>91.980042941169501</v>
      </c>
      <c r="AM5343">
        <v>88.408938176960305</v>
      </c>
      <c r="AN5343">
        <v>0.99999998866073303</v>
      </c>
    </row>
    <row r="5344" spans="1:40" x14ac:dyDescent="0.25">
      <c r="A5344" t="str">
        <f>"20190303153915239"</f>
        <v>20190303153915239</v>
      </c>
      <c r="B5344" t="str">
        <f>"1551598755234359"</f>
        <v>1551598755234359</v>
      </c>
      <c r="C5344" t="s">
        <v>40</v>
      </c>
      <c r="D5344">
        <v>4.7335909999999997</v>
      </c>
      <c r="E5344">
        <v>0.6127956</v>
      </c>
      <c r="F5344" t="s">
        <v>68</v>
      </c>
      <c r="G5344">
        <v>-196.30619999999999</v>
      </c>
      <c r="H5344" s="1">
        <v>-1.49646799999999E-5</v>
      </c>
      <c r="I5344">
        <v>159.56540000000001</v>
      </c>
      <c r="J5344">
        <v>-191.1326</v>
      </c>
      <c r="K5344">
        <v>1.1206199999999999</v>
      </c>
      <c r="L5344">
        <v>173.74950000000001</v>
      </c>
      <c r="M5344">
        <v>-3.1036979999999999E-2</v>
      </c>
      <c r="N5344">
        <v>-1.0275279999999999E-2</v>
      </c>
      <c r="O5344">
        <v>-0.99946539999999995</v>
      </c>
      <c r="P5344">
        <v>-5.8177619999999999E-2</v>
      </c>
      <c r="Q5344">
        <v>-4.4746719999999997E-2</v>
      </c>
      <c r="R5344">
        <v>-0.9973033</v>
      </c>
      <c r="S5344">
        <v>-1.062881</v>
      </c>
      <c r="T5344">
        <v>-0.2300575</v>
      </c>
      <c r="U5344">
        <v>-2.9355319999999998</v>
      </c>
      <c r="V5344">
        <v>2.716706E-2</v>
      </c>
      <c r="W5344">
        <v>-3.450495E-2</v>
      </c>
      <c r="X5344">
        <v>0.99903520000000001</v>
      </c>
      <c r="Y5344">
        <v>0.31027929999999998</v>
      </c>
      <c r="Z5344">
        <v>6.3622269999999995E-2</v>
      </c>
      <c r="AA5344">
        <v>0.94851410000000003</v>
      </c>
      <c r="AB5344">
        <v>21</v>
      </c>
      <c r="AC5344">
        <v>-5.1735999999999898</v>
      </c>
      <c r="AD5344">
        <v>-1.12063496468</v>
      </c>
      <c r="AE5344">
        <v>-14.184100000000001</v>
      </c>
      <c r="AF5344">
        <v>4.7049325313427</v>
      </c>
      <c r="AG5344">
        <v>-1.12063496468</v>
      </c>
      <c r="AH5344">
        <v>14.2592916405022</v>
      </c>
      <c r="AI5344">
        <v>94.268192590281501</v>
      </c>
      <c r="AJ5344">
        <v>71.739406357759904</v>
      </c>
      <c r="AK5344">
        <v>15.057211260304699</v>
      </c>
      <c r="AL5344">
        <v>91.977380543309806</v>
      </c>
      <c r="AM5344">
        <v>88.442322781827301</v>
      </c>
      <c r="AN5344">
        <v>0.99999998578129201</v>
      </c>
    </row>
    <row r="5345" spans="1:40" x14ac:dyDescent="0.25">
      <c r="A5345" t="str">
        <f>"20190303153915253"</f>
        <v>20190303153915253</v>
      </c>
      <c r="B5345" t="str">
        <f>"1551598755244119"</f>
        <v>1551598755244119</v>
      </c>
      <c r="C5345" t="s">
        <v>40</v>
      </c>
      <c r="D5345">
        <v>4.7211069999999999</v>
      </c>
      <c r="E5345">
        <v>0.613734</v>
      </c>
      <c r="F5345" t="s">
        <v>68</v>
      </c>
      <c r="G5345">
        <v>-196.3921</v>
      </c>
      <c r="H5345" s="1">
        <v>-1.4911159999999999E-5</v>
      </c>
      <c r="I5345">
        <v>159.3527</v>
      </c>
      <c r="J5345">
        <v>-191.13759999999999</v>
      </c>
      <c r="K5345">
        <v>1.120622</v>
      </c>
      <c r="L5345">
        <v>173.60409999999999</v>
      </c>
      <c r="M5345">
        <v>-3.1402689999999997E-2</v>
      </c>
      <c r="N5345">
        <v>-1.021447E-2</v>
      </c>
      <c r="O5345">
        <v>-0.99945470000000003</v>
      </c>
      <c r="P5345">
        <v>-5.731265E-2</v>
      </c>
      <c r="Q5345">
        <v>-4.4535579999999998E-2</v>
      </c>
      <c r="R5345">
        <v>-0.99736270000000005</v>
      </c>
      <c r="S5345">
        <v>-1.0723419999999999</v>
      </c>
      <c r="T5345">
        <v>-0.22848399999999999</v>
      </c>
      <c r="U5345">
        <v>-2.935333</v>
      </c>
      <c r="V5345">
        <v>2.593608E-2</v>
      </c>
      <c r="W5345">
        <v>-3.435262E-2</v>
      </c>
      <c r="X5345">
        <v>0.99907319999999999</v>
      </c>
      <c r="Y5345">
        <v>0.31266270000000002</v>
      </c>
      <c r="Z5345">
        <v>6.3116430000000001E-2</v>
      </c>
      <c r="AA5345">
        <v>0.94776490000000002</v>
      </c>
      <c r="AB5345">
        <v>21</v>
      </c>
      <c r="AC5345">
        <v>-5.2545000000000002</v>
      </c>
      <c r="AD5345">
        <v>-1.1206369111599901</v>
      </c>
      <c r="AE5345">
        <v>-14.251399999999901</v>
      </c>
      <c r="AF5345">
        <v>4.7783428967681001</v>
      </c>
      <c r="AG5345">
        <v>-1.1206369111599901</v>
      </c>
      <c r="AH5345">
        <v>14.3313752570993</v>
      </c>
      <c r="AI5345">
        <v>94.242434716889605</v>
      </c>
      <c r="AJ5345">
        <v>71.5606694419739</v>
      </c>
      <c r="AK5345">
        <v>15.1484885280857</v>
      </c>
      <c r="AL5345">
        <v>91.968647430660894</v>
      </c>
      <c r="AM5345">
        <v>88.5129275509222</v>
      </c>
      <c r="AN5345">
        <v>1.00000002085243</v>
      </c>
    </row>
    <row r="5346" spans="1:40" x14ac:dyDescent="0.25">
      <c r="A5346" t="str">
        <f>"20190303153915265"</f>
        <v>20190303153915265</v>
      </c>
      <c r="B5346" t="str">
        <f>"1551598755253879"</f>
        <v>1551598755253879</v>
      </c>
      <c r="C5346" t="s">
        <v>40</v>
      </c>
      <c r="D5346">
        <v>4.7022320000000004</v>
      </c>
      <c r="E5346">
        <v>0.61423939999999999</v>
      </c>
      <c r="F5346" t="s">
        <v>68</v>
      </c>
      <c r="G5346">
        <v>-196.4872</v>
      </c>
      <c r="H5346" s="1">
        <v>-1.482924E-5</v>
      </c>
      <c r="I5346">
        <v>159.02709999999999</v>
      </c>
      <c r="J5346">
        <v>-191.1414</v>
      </c>
      <c r="K5346">
        <v>1.1206290000000001</v>
      </c>
      <c r="L5346">
        <v>173.49209999999999</v>
      </c>
      <c r="M5346">
        <v>-3.1674460000000002E-2</v>
      </c>
      <c r="N5346">
        <v>-1.0173110000000001E-2</v>
      </c>
      <c r="O5346">
        <v>-0.99944659999999996</v>
      </c>
      <c r="P5346">
        <v>-5.7060640000000003E-2</v>
      </c>
      <c r="Q5346">
        <v>-4.4471999999999998E-2</v>
      </c>
      <c r="R5346">
        <v>-0.99737989999999999</v>
      </c>
      <c r="S5346">
        <v>-1.077469</v>
      </c>
      <c r="T5346">
        <v>-0.22570750000000001</v>
      </c>
      <c r="U5346">
        <v>-2.935959</v>
      </c>
      <c r="V5346">
        <v>2.5412899999999999E-2</v>
      </c>
      <c r="W5346">
        <v>-3.4329209999999999E-2</v>
      </c>
      <c r="X5346">
        <v>0.99908750000000002</v>
      </c>
      <c r="Y5346">
        <v>0.31381940000000003</v>
      </c>
      <c r="Z5346">
        <v>6.222192E-2</v>
      </c>
      <c r="AA5346">
        <v>0.94744170000000005</v>
      </c>
      <c r="AB5346">
        <v>21</v>
      </c>
      <c r="AC5346">
        <v>-5.3457999999999899</v>
      </c>
      <c r="AD5346">
        <v>-1.1206438292400001</v>
      </c>
      <c r="AE5346">
        <v>-14.465</v>
      </c>
      <c r="AF5346">
        <v>4.8592619954015204</v>
      </c>
      <c r="AG5346">
        <v>-1.1206438292400001</v>
      </c>
      <c r="AH5346">
        <v>14.5502387141496</v>
      </c>
      <c r="AI5346">
        <v>94.178191119449096</v>
      </c>
      <c r="AJ5346">
        <v>71.532514731654302</v>
      </c>
      <c r="AK5346">
        <v>15.3810830688448</v>
      </c>
      <c r="AL5346">
        <v>91.967305245413698</v>
      </c>
      <c r="AM5346">
        <v>88.542932408572696</v>
      </c>
      <c r="AN5346">
        <v>1.0000000714009301</v>
      </c>
    </row>
    <row r="5347" spans="1:40" x14ac:dyDescent="0.25">
      <c r="A5347" t="str">
        <f>"20190303153915277"</f>
        <v>20190303153915277</v>
      </c>
      <c r="B5347" t="str">
        <f>"1551598755274375"</f>
        <v>1551598755274375</v>
      </c>
      <c r="C5347" t="s">
        <v>40</v>
      </c>
      <c r="D5347">
        <v>4.6803790000000003</v>
      </c>
      <c r="E5347">
        <v>0.61495979999999995</v>
      </c>
      <c r="F5347" t="s">
        <v>68</v>
      </c>
      <c r="G5347">
        <v>-196.61959999999999</v>
      </c>
      <c r="H5347" s="1">
        <v>-1.4723819999999999E-5</v>
      </c>
      <c r="I5347">
        <v>158.60810000000001</v>
      </c>
      <c r="J5347">
        <v>-191.14490000000001</v>
      </c>
      <c r="K5347">
        <v>1.120641</v>
      </c>
      <c r="L5347">
        <v>173.38900000000001</v>
      </c>
      <c r="M5347">
        <v>-3.1912990000000002E-2</v>
      </c>
      <c r="N5347">
        <v>-1.014173E-2</v>
      </c>
      <c r="O5347">
        <v>-0.99943939999999998</v>
      </c>
      <c r="P5347">
        <v>-5.6762260000000002E-2</v>
      </c>
      <c r="Q5347">
        <v>-4.4441599999999998E-2</v>
      </c>
      <c r="R5347">
        <v>-0.99739849999999997</v>
      </c>
      <c r="S5347">
        <v>-1.0807040000000001</v>
      </c>
      <c r="T5347">
        <v>-0.22107170000000001</v>
      </c>
      <c r="U5347">
        <v>-2.9362029999999999</v>
      </c>
      <c r="V5347">
        <v>2.4876680000000002E-2</v>
      </c>
      <c r="W5347">
        <v>-3.4328940000000002E-2</v>
      </c>
      <c r="X5347">
        <v>0.99910089999999996</v>
      </c>
      <c r="Y5347">
        <v>0.31452079999999999</v>
      </c>
      <c r="Z5347">
        <v>6.0747509999999998E-2</v>
      </c>
      <c r="AA5347">
        <v>0.94730479999999995</v>
      </c>
      <c r="AB5347">
        <v>21</v>
      </c>
      <c r="AC5347">
        <v>-5.4746999999999799</v>
      </c>
      <c r="AD5347">
        <v>-1.1206557238199999</v>
      </c>
      <c r="AE5347">
        <v>-14.780900000000001</v>
      </c>
      <c r="AF5347">
        <v>4.9750361369387299</v>
      </c>
      <c r="AG5347">
        <v>-1.1206557238199999</v>
      </c>
      <c r="AH5347">
        <v>14.8729129309603</v>
      </c>
      <c r="AI5347">
        <v>94.087237601192001</v>
      </c>
      <c r="AJ5347">
        <v>71.504749665337101</v>
      </c>
      <c r="AK5347">
        <v>15.722925709520601</v>
      </c>
      <c r="AL5347">
        <v>91.967289972183707</v>
      </c>
      <c r="AM5347">
        <v>88.573683267427</v>
      </c>
      <c r="AN5347">
        <v>0.99999996685507697</v>
      </c>
    </row>
    <row r="5348" spans="1:40" x14ac:dyDescent="0.25">
      <c r="A5348" t="str">
        <f>"20190303153915291"</f>
        <v>20190303153915291</v>
      </c>
      <c r="B5348" t="str">
        <f>"1551598755284135"</f>
        <v>1551598755284135</v>
      </c>
      <c r="C5348" t="s">
        <v>40</v>
      </c>
      <c r="D5348">
        <v>4.6770630000000004</v>
      </c>
      <c r="E5348">
        <v>0.6156104</v>
      </c>
      <c r="F5348" t="s">
        <v>68</v>
      </c>
      <c r="G5348">
        <v>-196.68299999999999</v>
      </c>
      <c r="H5348" s="1">
        <v>-1.467361E-5</v>
      </c>
      <c r="I5348">
        <v>158.40860000000001</v>
      </c>
      <c r="J5348">
        <v>-191.14959999999999</v>
      </c>
      <c r="K5348">
        <v>1.1206560000000001</v>
      </c>
      <c r="L5348">
        <v>173.2533</v>
      </c>
      <c r="M5348">
        <v>-3.2215750000000001E-2</v>
      </c>
      <c r="N5348">
        <v>-1.010628E-2</v>
      </c>
      <c r="O5348">
        <v>-0.99943009999999999</v>
      </c>
      <c r="P5348">
        <v>-5.6775760000000002E-2</v>
      </c>
      <c r="Q5348">
        <v>-4.4583860000000003E-2</v>
      </c>
      <c r="R5348">
        <v>-0.99739120000000003</v>
      </c>
      <c r="S5348">
        <v>-1.0854950000000001</v>
      </c>
      <c r="T5348">
        <v>-0.2196562</v>
      </c>
      <c r="U5348">
        <v>-2.936264</v>
      </c>
      <c r="V5348">
        <v>2.458917E-2</v>
      </c>
      <c r="W5348">
        <v>-3.4505380000000002E-2</v>
      </c>
      <c r="X5348">
        <v>0.99910200000000005</v>
      </c>
      <c r="Y5348">
        <v>0.31559769999999998</v>
      </c>
      <c r="Z5348">
        <v>6.0297700000000003E-2</v>
      </c>
      <c r="AA5348">
        <v>0.94697540000000002</v>
      </c>
      <c r="AB5348">
        <v>21</v>
      </c>
      <c r="AC5348">
        <v>-5.5334000000000003</v>
      </c>
      <c r="AD5348">
        <v>-1.1206706736099901</v>
      </c>
      <c r="AE5348">
        <v>-14.8446999999999</v>
      </c>
      <c r="AF5348">
        <v>5.0271147904065803</v>
      </c>
      <c r="AG5348">
        <v>-1.1206706736099901</v>
      </c>
      <c r="AH5348">
        <v>14.9405044537721</v>
      </c>
      <c r="AI5348">
        <v>94.066451838094693</v>
      </c>
      <c r="AJ5348">
        <v>71.403170866946397</v>
      </c>
      <c r="AK5348">
        <v>15.8033686031744</v>
      </c>
      <c r="AL5348">
        <v>91.977405112712503</v>
      </c>
      <c r="AM5348">
        <v>88.590162654841095</v>
      </c>
      <c r="AN5348">
        <v>1.0000000274671099</v>
      </c>
    </row>
    <row r="5349" spans="1:40" x14ac:dyDescent="0.25">
      <c r="A5349" t="str">
        <f>"20190303153915303"</f>
        <v>20190303153915303</v>
      </c>
      <c r="B5349" t="str">
        <f>"1551598755293895"</f>
        <v>1551598755293895</v>
      </c>
      <c r="C5349" t="s">
        <v>40</v>
      </c>
      <c r="D5349">
        <v>4.6918610000000003</v>
      </c>
      <c r="E5349">
        <v>0.61612159999999905</v>
      </c>
      <c r="F5349" t="s">
        <v>68</v>
      </c>
      <c r="G5349">
        <v>-196.76259999999999</v>
      </c>
      <c r="H5349" s="1">
        <v>-1.460699E-5</v>
      </c>
      <c r="I5349">
        <v>158.1438</v>
      </c>
      <c r="J5349">
        <v>-191.15379999999999</v>
      </c>
      <c r="K5349">
        <v>1.120679</v>
      </c>
      <c r="L5349">
        <v>173.1327</v>
      </c>
      <c r="M5349">
        <v>-3.2459099999999998E-2</v>
      </c>
      <c r="N5349">
        <v>-1.008686E-2</v>
      </c>
      <c r="O5349">
        <v>-0.99942220000000004</v>
      </c>
      <c r="P5349">
        <v>-5.6913279999999997E-2</v>
      </c>
      <c r="Q5349">
        <v>-4.4455580000000001E-2</v>
      </c>
      <c r="R5349">
        <v>-0.99738919999999998</v>
      </c>
      <c r="S5349">
        <v>-1.0906830000000001</v>
      </c>
      <c r="T5349">
        <v>-0.21776380000000001</v>
      </c>
      <c r="U5349">
        <v>-2.9360050000000002</v>
      </c>
      <c r="V5349">
        <v>2.448527E-2</v>
      </c>
      <c r="W5349">
        <v>-3.4395139999999998E-2</v>
      </c>
      <c r="X5349">
        <v>0.99910829999999995</v>
      </c>
      <c r="Y5349">
        <v>0.3168784</v>
      </c>
      <c r="Z5349">
        <v>5.9683479999999997E-2</v>
      </c>
      <c r="AA5349">
        <v>0.9465865</v>
      </c>
      <c r="AB5349">
        <v>21</v>
      </c>
      <c r="AC5349">
        <v>-5.6087999999999996</v>
      </c>
      <c r="AD5349">
        <v>-1.12069360699</v>
      </c>
      <c r="AE5349">
        <v>-14.988899999999999</v>
      </c>
      <c r="AF5349">
        <v>5.0943124982385903</v>
      </c>
      <c r="AG5349">
        <v>-1.12069360699</v>
      </c>
      <c r="AH5349">
        <v>15.0890751458404</v>
      </c>
      <c r="AI5349">
        <v>94.025242059006104</v>
      </c>
      <c r="AJ5349">
        <v>71.344497159284302</v>
      </c>
      <c r="AK5349">
        <v>15.9652172784236</v>
      </c>
      <c r="AL5349">
        <v>91.971085178876606</v>
      </c>
      <c r="AM5349">
        <v>88.596126294086204</v>
      </c>
      <c r="AN5349">
        <v>0.99999997461573997</v>
      </c>
    </row>
    <row r="5350" spans="1:40" x14ac:dyDescent="0.25">
      <c r="A5350" t="str">
        <f>"20190303153915315"</f>
        <v>20190303153915315</v>
      </c>
      <c r="B5350" t="str">
        <f>"1551598755303654"</f>
        <v>1551598755303654</v>
      </c>
      <c r="C5350" t="s">
        <v>40</v>
      </c>
      <c r="D5350">
        <v>4.6691310000000001</v>
      </c>
      <c r="E5350">
        <v>0.61647130000000006</v>
      </c>
      <c r="F5350" t="s">
        <v>68</v>
      </c>
      <c r="G5350">
        <v>-196.83359999999999</v>
      </c>
      <c r="H5350" s="1">
        <v>-1.45474399999999E-5</v>
      </c>
      <c r="I5350">
        <v>157.90710000000001</v>
      </c>
      <c r="J5350">
        <v>-191.1576</v>
      </c>
      <c r="K5350">
        <v>1.1206989999999999</v>
      </c>
      <c r="L5350">
        <v>173.02279999999999</v>
      </c>
      <c r="M5350">
        <v>-3.2664449999999998E-2</v>
      </c>
      <c r="N5350">
        <v>-1.00765E-2</v>
      </c>
      <c r="O5350">
        <v>-0.99941550000000001</v>
      </c>
      <c r="P5350">
        <v>-5.7154030000000001E-2</v>
      </c>
      <c r="Q5350">
        <v>-4.4119699999999998E-2</v>
      </c>
      <c r="R5350">
        <v>-0.9973902</v>
      </c>
      <c r="S5350">
        <v>-1.0951390000000001</v>
      </c>
      <c r="T5350">
        <v>-0.21608520000000001</v>
      </c>
      <c r="U5350">
        <v>-2.9356990000000001</v>
      </c>
      <c r="V5350">
        <v>2.452257E-2</v>
      </c>
      <c r="W5350">
        <v>-3.4068300000000003E-2</v>
      </c>
      <c r="X5350">
        <v>0.99911859999999997</v>
      </c>
      <c r="Y5350">
        <v>0.31798929999999997</v>
      </c>
      <c r="Z5350">
        <v>5.9134689999999997E-2</v>
      </c>
      <c r="AA5350">
        <v>0.94624839999999999</v>
      </c>
      <c r="AB5350">
        <v>21</v>
      </c>
      <c r="AC5350">
        <v>-5.6759999999999797</v>
      </c>
      <c r="AD5350">
        <v>-1.1207135474399901</v>
      </c>
      <c r="AE5350">
        <v>-15.115699999999901</v>
      </c>
      <c r="AF5350">
        <v>5.1543671510350997</v>
      </c>
      <c r="AG5350">
        <v>-1.1207135474399901</v>
      </c>
      <c r="AH5350">
        <v>15.219720808020099</v>
      </c>
      <c r="AI5350">
        <v>93.989607853296704</v>
      </c>
      <c r="AJ5350">
        <v>71.290624715043506</v>
      </c>
      <c r="AK5350">
        <v>16.107867675678399</v>
      </c>
      <c r="AL5350">
        <v>91.952347611739697</v>
      </c>
      <c r="AM5350">
        <v>88.594003028893894</v>
      </c>
      <c r="AN5350">
        <v>0.99999999118512695</v>
      </c>
    </row>
    <row r="5351" spans="1:40" x14ac:dyDescent="0.25">
      <c r="A5351" t="str">
        <f>"20190303153915327"</f>
        <v>20190303153915327</v>
      </c>
      <c r="B5351" t="str">
        <f>"1551598755324151"</f>
        <v>1551598755324151</v>
      </c>
      <c r="C5351" t="s">
        <v>40</v>
      </c>
      <c r="D5351">
        <v>4.6780540000000004</v>
      </c>
      <c r="E5351">
        <v>0.61704650000000005</v>
      </c>
      <c r="F5351" t="s">
        <v>68</v>
      </c>
      <c r="G5351">
        <v>-196.88579999999999</v>
      </c>
      <c r="H5351" s="1">
        <v>-1.449964E-5</v>
      </c>
      <c r="I5351">
        <v>157.71709999999999</v>
      </c>
      <c r="J5351">
        <v>-191.16149999999999</v>
      </c>
      <c r="K5351">
        <v>1.1207279999999999</v>
      </c>
      <c r="L5351">
        <v>172.91</v>
      </c>
      <c r="M5351">
        <v>-3.286004E-2</v>
      </c>
      <c r="N5351">
        <v>-1.0072630000000001E-2</v>
      </c>
      <c r="O5351">
        <v>-0.99940929999999994</v>
      </c>
      <c r="P5351">
        <v>-5.7684480000000003E-2</v>
      </c>
      <c r="Q5351">
        <v>-4.3319169999999997E-2</v>
      </c>
      <c r="R5351">
        <v>-0.99739480000000003</v>
      </c>
      <c r="S5351">
        <v>-1.098587</v>
      </c>
      <c r="T5351">
        <v>-0.21493789999999999</v>
      </c>
      <c r="U5351">
        <v>-2.935425</v>
      </c>
      <c r="V5351">
        <v>2.48595E-2</v>
      </c>
      <c r="W5351">
        <v>-3.3270180000000003E-2</v>
      </c>
      <c r="X5351">
        <v>0.99913719999999995</v>
      </c>
      <c r="Y5351">
        <v>0.31881619999999999</v>
      </c>
      <c r="Z5351">
        <v>5.8755509999999997E-2</v>
      </c>
      <c r="AA5351">
        <v>0.94599370000000005</v>
      </c>
      <c r="AB5351">
        <v>21</v>
      </c>
      <c r="AC5351">
        <v>-5.7243000000000004</v>
      </c>
      <c r="AD5351">
        <v>-1.1207424996399999</v>
      </c>
      <c r="AE5351">
        <v>-15.1929</v>
      </c>
      <c r="AF5351">
        <v>5.1971782560070503</v>
      </c>
      <c r="AG5351">
        <v>-1.1207424996399999</v>
      </c>
      <c r="AH5351">
        <v>15.299897852342999</v>
      </c>
      <c r="AI5351">
        <v>93.967638658065397</v>
      </c>
      <c r="AJ5351">
        <v>71.238037362215707</v>
      </c>
      <c r="AK5351">
        <v>16.197333109723399</v>
      </c>
      <c r="AL5351">
        <v>91.906592702150505</v>
      </c>
      <c r="AM5351">
        <v>88.574719647606102</v>
      </c>
      <c r="AN5351">
        <v>1.00000002202066</v>
      </c>
    </row>
    <row r="5352" spans="1:40" x14ac:dyDescent="0.25">
      <c r="A5352" t="str">
        <f>"20190303153915338"</f>
        <v>20190303153915338</v>
      </c>
      <c r="B5352" t="str">
        <f>"1551598755333911"</f>
        <v>1551598755333911</v>
      </c>
      <c r="C5352" t="s">
        <v>40</v>
      </c>
      <c r="D5352">
        <v>4.6509669999999996</v>
      </c>
      <c r="E5352">
        <v>0.61755969999999905</v>
      </c>
      <c r="F5352" t="s">
        <v>68</v>
      </c>
      <c r="G5352">
        <v>-196.9442</v>
      </c>
      <c r="H5352" s="1">
        <v>-1.4457269999999999E-5</v>
      </c>
      <c r="I5352">
        <v>157.5488</v>
      </c>
      <c r="J5352">
        <v>-191.1653</v>
      </c>
      <c r="K5352">
        <v>1.1207670000000001</v>
      </c>
      <c r="L5352">
        <v>172.8006</v>
      </c>
      <c r="M5352">
        <v>-3.3015599999999999E-2</v>
      </c>
      <c r="N5352">
        <v>-1.0086299999999999E-2</v>
      </c>
      <c r="O5352">
        <v>-0.99940399999999996</v>
      </c>
      <c r="P5352">
        <v>-5.8280770000000003E-2</v>
      </c>
      <c r="Q5352">
        <v>-4.2517249999999999E-2</v>
      </c>
      <c r="R5352">
        <v>-0.99739469999999997</v>
      </c>
      <c r="S5352">
        <v>-1.1047359999999999</v>
      </c>
      <c r="T5352">
        <v>-0.21411040000000001</v>
      </c>
      <c r="U5352">
        <v>-2.9346619999999999</v>
      </c>
      <c r="V5352">
        <v>2.530259E-2</v>
      </c>
      <c r="W5352">
        <v>-3.2452960000000003E-2</v>
      </c>
      <c r="X5352">
        <v>0.99915299999999996</v>
      </c>
      <c r="Y5352">
        <v>0.32049229999999901</v>
      </c>
      <c r="Z5352">
        <v>5.84509E-2</v>
      </c>
      <c r="AA5352">
        <v>0.94544600000000001</v>
      </c>
      <c r="AB5352">
        <v>21</v>
      </c>
      <c r="AC5352">
        <v>-5.7788999999999904</v>
      </c>
      <c r="AD5352">
        <v>-1.1207814572699999</v>
      </c>
      <c r="AE5352">
        <v>-15.251799999999999</v>
      </c>
      <c r="AF5352">
        <v>5.2473973746470604</v>
      </c>
      <c r="AG5352">
        <v>-1.1207814572699999</v>
      </c>
      <c r="AH5352">
        <v>15.361747650339</v>
      </c>
      <c r="AI5352">
        <v>93.9495661264787</v>
      </c>
      <c r="AJ5352">
        <v>71.140419530515999</v>
      </c>
      <c r="AK5352">
        <v>16.271896667417401</v>
      </c>
      <c r="AL5352">
        <v>91.859744059805294</v>
      </c>
      <c r="AM5352">
        <v>88.549349469723893</v>
      </c>
      <c r="AN5352">
        <v>1.0000000665412301</v>
      </c>
    </row>
    <row r="5353" spans="1:40" x14ac:dyDescent="0.25">
      <c r="A5353" t="str">
        <f>"20190303153915351"</f>
        <v>20190303153915351</v>
      </c>
      <c r="B5353" t="str">
        <f>"1551598755343672"</f>
        <v>1551598755343672</v>
      </c>
      <c r="C5353" t="s">
        <v>40</v>
      </c>
      <c r="D5353">
        <v>4.6674509999999998</v>
      </c>
      <c r="E5353">
        <v>0.61792760000000002</v>
      </c>
      <c r="F5353" t="s">
        <v>68</v>
      </c>
      <c r="G5353">
        <v>-197.07900000000001</v>
      </c>
      <c r="H5353" s="1">
        <v>-1.4363239999999899E-5</v>
      </c>
      <c r="I5353">
        <v>157.17500000000001</v>
      </c>
      <c r="J5353">
        <v>-191.1694</v>
      </c>
      <c r="K5353">
        <v>1.120819</v>
      </c>
      <c r="L5353">
        <v>172.68299999999999</v>
      </c>
      <c r="M5353">
        <v>-3.3166340000000002E-2</v>
      </c>
      <c r="N5353">
        <v>-1.0111230000000001E-2</v>
      </c>
      <c r="O5353">
        <v>-0.99939889999999998</v>
      </c>
      <c r="P5353">
        <v>-5.8880219999999997E-2</v>
      </c>
      <c r="Q5353">
        <v>-4.1457720000000003E-2</v>
      </c>
      <c r="R5353">
        <v>-0.99740430000000002</v>
      </c>
      <c r="S5353">
        <v>-1.1104130000000001</v>
      </c>
      <c r="T5353">
        <v>-0.21044840000000001</v>
      </c>
      <c r="U5353">
        <v>-2.9339900000000001</v>
      </c>
      <c r="V5353">
        <v>2.5753689999999999E-2</v>
      </c>
      <c r="W5353">
        <v>-3.1366449999999997E-2</v>
      </c>
      <c r="X5353">
        <v>0.99917610000000001</v>
      </c>
      <c r="Y5353">
        <v>0.32204719999999998</v>
      </c>
      <c r="Z5353">
        <v>5.723425E-2</v>
      </c>
      <c r="AA5353">
        <v>0.94499200000000005</v>
      </c>
      <c r="AB5353">
        <v>21</v>
      </c>
      <c r="AC5353">
        <v>-5.90960000000001</v>
      </c>
      <c r="AD5353">
        <v>-1.12083336324</v>
      </c>
      <c r="AE5353">
        <v>-15.5079999999999</v>
      </c>
      <c r="AF5353">
        <v>5.3674961660135896</v>
      </c>
      <c r="AG5353">
        <v>-1.12083336324</v>
      </c>
      <c r="AH5353">
        <v>15.624211107321701</v>
      </c>
      <c r="AI5353">
        <v>93.881291092020106</v>
      </c>
      <c r="AJ5353">
        <v>71.040502126797705</v>
      </c>
      <c r="AK5353">
        <v>16.558449663131999</v>
      </c>
      <c r="AL5353">
        <v>91.797460038267502</v>
      </c>
      <c r="AM5353">
        <v>88.523532429412398</v>
      </c>
      <c r="AN5353">
        <v>0.99999999277271401</v>
      </c>
    </row>
    <row r="5354" spans="1:40" x14ac:dyDescent="0.25">
      <c r="A5354" t="str">
        <f>"20190303153915367"</f>
        <v>20190303153915367</v>
      </c>
      <c r="B5354" t="str">
        <f>"1551598755364166"</f>
        <v>1551598755364166</v>
      </c>
      <c r="C5354" t="s">
        <v>40</v>
      </c>
      <c r="D5354">
        <v>4.6724860000000001</v>
      </c>
      <c r="E5354">
        <v>0.61829480000000003</v>
      </c>
      <c r="F5354" t="s">
        <v>68</v>
      </c>
      <c r="G5354">
        <v>-197.23</v>
      </c>
      <c r="H5354" s="1">
        <v>-1.425405E-5</v>
      </c>
      <c r="I5354">
        <v>156.74109999999999</v>
      </c>
      <c r="J5354">
        <v>-191.1747</v>
      </c>
      <c r="K5354">
        <v>1.1209</v>
      </c>
      <c r="L5354">
        <v>172.52889999999999</v>
      </c>
      <c r="M5354">
        <v>-3.3296159999999998E-2</v>
      </c>
      <c r="N5354">
        <v>-1.019427E-2</v>
      </c>
      <c r="O5354">
        <v>-0.99939370000000005</v>
      </c>
      <c r="P5354">
        <v>-5.9786440000000003E-2</v>
      </c>
      <c r="Q5354">
        <v>-3.999958E-2</v>
      </c>
      <c r="R5354">
        <v>-0.99740980000000001</v>
      </c>
      <c r="S5354">
        <v>-1.115189</v>
      </c>
      <c r="T5354">
        <v>-0.20624110000000001</v>
      </c>
      <c r="U5354">
        <v>-2.9334259999999999</v>
      </c>
      <c r="V5354">
        <v>2.6533810000000001E-2</v>
      </c>
      <c r="W5354">
        <v>-2.982195E-2</v>
      </c>
      <c r="X5354">
        <v>0.99920299999999995</v>
      </c>
      <c r="Y5354">
        <v>0.3233587</v>
      </c>
      <c r="Z5354">
        <v>5.5790859999999998E-2</v>
      </c>
      <c r="AA5354">
        <v>0.94463039999999998</v>
      </c>
      <c r="AB5354">
        <v>21</v>
      </c>
      <c r="AC5354">
        <v>-6.0552999999999804</v>
      </c>
      <c r="AD5354">
        <v>-1.1209142540499999</v>
      </c>
      <c r="AE5354">
        <v>-15.787800000000001</v>
      </c>
      <c r="AF5354">
        <v>5.5020636218922903</v>
      </c>
      <c r="AG5354">
        <v>-1.1209142540499999</v>
      </c>
      <c r="AH5354">
        <v>15.910755882291101</v>
      </c>
      <c r="AI5354">
        <v>93.809215386015495</v>
      </c>
      <c r="AJ5354">
        <v>70.924214933029205</v>
      </c>
      <c r="AK5354">
        <v>16.8725014627394</v>
      </c>
      <c r="AL5354">
        <v>91.708925217718104</v>
      </c>
      <c r="AM5354">
        <v>88.478869529653494</v>
      </c>
      <c r="AN5354">
        <v>1.00000001349195</v>
      </c>
    </row>
    <row r="5355" spans="1:40" x14ac:dyDescent="0.25">
      <c r="A5355" t="str">
        <f>"20190303153915383"</f>
        <v>20190303153915383</v>
      </c>
      <c r="B5355" t="str">
        <f>"1551598755373927"</f>
        <v>1551598755373927</v>
      </c>
      <c r="C5355" t="s">
        <v>40</v>
      </c>
      <c r="D5355">
        <v>4.670941</v>
      </c>
      <c r="E5355">
        <v>0.61846489999999998</v>
      </c>
      <c r="F5355" t="s">
        <v>68</v>
      </c>
      <c r="G5355">
        <v>-197.40969999999999</v>
      </c>
      <c r="H5355" s="1">
        <v>-1.412189E-5</v>
      </c>
      <c r="I5355">
        <v>156.2158</v>
      </c>
      <c r="J5355">
        <v>-191.1797</v>
      </c>
      <c r="K5355">
        <v>1.120987</v>
      </c>
      <c r="L5355">
        <v>172.38220000000001</v>
      </c>
      <c r="M5355">
        <v>-3.3364890000000001E-2</v>
      </c>
      <c r="N5355">
        <v>-1.032428E-2</v>
      </c>
      <c r="O5355">
        <v>-0.99939009999999995</v>
      </c>
      <c r="P5355">
        <v>-6.0154680000000002E-2</v>
      </c>
      <c r="Q5355">
        <v>-3.9980580000000002E-2</v>
      </c>
      <c r="R5355">
        <v>-0.99738850000000001</v>
      </c>
      <c r="S5355">
        <v>-1.1208499999999999</v>
      </c>
      <c r="T5355">
        <v>-0.20150299999999999</v>
      </c>
      <c r="U5355">
        <v>-2.9325410000000001</v>
      </c>
      <c r="V5355">
        <v>2.6837360000000001E-2</v>
      </c>
      <c r="W5355">
        <v>-2.9670040000000002E-2</v>
      </c>
      <c r="X5355">
        <v>0.99919939999999996</v>
      </c>
      <c r="Y5355">
        <v>0.32501249999999998</v>
      </c>
      <c r="Z5355">
        <v>5.4131770000000003E-2</v>
      </c>
      <c r="AA5355">
        <v>0.94415919999999998</v>
      </c>
      <c r="AB5355">
        <v>21</v>
      </c>
      <c r="AC5355">
        <v>-6.2299999999999898</v>
      </c>
      <c r="AD5355">
        <v>-1.12100112189</v>
      </c>
      <c r="AE5355">
        <v>-16.166399999999999</v>
      </c>
      <c r="AF5355">
        <v>5.6634023385779999</v>
      </c>
      <c r="AG5355">
        <v>-1.12100112189</v>
      </c>
      <c r="AH5355">
        <v>16.297044856904702</v>
      </c>
      <c r="AI5355">
        <v>93.717514955727196</v>
      </c>
      <c r="AJ5355">
        <v>70.837098352603803</v>
      </c>
      <c r="AK5355">
        <v>17.2894314721987</v>
      </c>
      <c r="AL5355">
        <v>91.700217588977395</v>
      </c>
      <c r="AM5355">
        <v>88.461470388974107</v>
      </c>
      <c r="AN5355">
        <v>0.99999999806286499</v>
      </c>
    </row>
    <row r="5356" spans="1:40" x14ac:dyDescent="0.25">
      <c r="A5356" t="str">
        <f>"20190303153915401"</f>
        <v>20190303153915401</v>
      </c>
      <c r="B5356" t="str">
        <f>"1551598755394422"</f>
        <v>1551598755394422</v>
      </c>
      <c r="C5356" t="s">
        <v>40</v>
      </c>
      <c r="D5356">
        <v>4.5812419999999996</v>
      </c>
      <c r="E5356">
        <v>0.61922200000000005</v>
      </c>
      <c r="F5356" t="s">
        <v>68</v>
      </c>
      <c r="G5356">
        <v>-197.45760000000001</v>
      </c>
      <c r="H5356" s="1">
        <v>-1.4066659999999999E-5</v>
      </c>
      <c r="I5356">
        <v>155.99629999999999</v>
      </c>
      <c r="J5356">
        <v>-191.1857</v>
      </c>
      <c r="K5356">
        <v>1.1210960000000001</v>
      </c>
      <c r="L5356">
        <v>172.2054</v>
      </c>
      <c r="M5356">
        <v>-3.3386569999999997E-2</v>
      </c>
      <c r="N5356">
        <v>-1.053169E-2</v>
      </c>
      <c r="O5356">
        <v>-0.99938700000000003</v>
      </c>
      <c r="P5356">
        <v>-6.093457E-2</v>
      </c>
      <c r="Q5356">
        <v>-4.0218780000000003E-2</v>
      </c>
      <c r="R5356">
        <v>-0.99733119999999997</v>
      </c>
      <c r="S5356">
        <v>-1.1233519999999999</v>
      </c>
      <c r="T5356">
        <v>-0.20058909999999999</v>
      </c>
      <c r="U5356">
        <v>-2.9320529999999998</v>
      </c>
      <c r="V5356">
        <v>2.7601199999999999E-2</v>
      </c>
      <c r="W5356">
        <v>-2.969747E-2</v>
      </c>
      <c r="X5356">
        <v>0.9991778</v>
      </c>
      <c r="Y5356">
        <v>0.325754299999999</v>
      </c>
      <c r="Z5356">
        <v>5.3627260000000003E-2</v>
      </c>
      <c r="AA5356">
        <v>0.9439324</v>
      </c>
      <c r="AB5356">
        <v>21</v>
      </c>
      <c r="AC5356">
        <v>-6.2719000000000102</v>
      </c>
      <c r="AD5356">
        <v>-1.12111006665999</v>
      </c>
      <c r="AE5356">
        <v>-16.209099999999999</v>
      </c>
      <c r="AF5356">
        <v>5.7034752815541303</v>
      </c>
      <c r="AG5356">
        <v>-1.12111006665999</v>
      </c>
      <c r="AH5356">
        <v>16.341476350198</v>
      </c>
      <c r="AI5356">
        <v>93.706064130037305</v>
      </c>
      <c r="AJ5356">
        <v>70.760074951894794</v>
      </c>
      <c r="AK5356">
        <v>17.344462152887399</v>
      </c>
      <c r="AL5356">
        <v>91.701789866041395</v>
      </c>
      <c r="AM5356">
        <v>88.417668807120194</v>
      </c>
      <c r="AN5356">
        <v>1.00000002098934</v>
      </c>
    </row>
    <row r="5357" spans="1:40" x14ac:dyDescent="0.25">
      <c r="A5357" t="str">
        <f>"20190303153915416"</f>
        <v>20190303153915416</v>
      </c>
      <c r="B5357" t="str">
        <f>"1551598755413943"</f>
        <v>1551598755413943</v>
      </c>
      <c r="C5357" t="s">
        <v>40</v>
      </c>
      <c r="D5357">
        <v>4.5706800000000003</v>
      </c>
      <c r="E5357">
        <v>0.61988719999999997</v>
      </c>
      <c r="F5357" t="s">
        <v>68</v>
      </c>
      <c r="G5357">
        <v>-197.7792</v>
      </c>
      <c r="H5357" s="1">
        <v>-1.374587E-5</v>
      </c>
      <c r="I5357">
        <v>155.1284</v>
      </c>
      <c r="J5357">
        <v>-191.19059999999999</v>
      </c>
      <c r="K5357">
        <v>1.121189</v>
      </c>
      <c r="L5357">
        <v>172.06</v>
      </c>
      <c r="M5357">
        <v>-3.334964E-2</v>
      </c>
      <c r="N5357">
        <v>-1.073021E-2</v>
      </c>
      <c r="O5357">
        <v>-0.99938640000000001</v>
      </c>
      <c r="P5357">
        <v>-6.1098670000000001E-2</v>
      </c>
      <c r="Q5357">
        <v>-4.0182379999999997E-2</v>
      </c>
      <c r="R5357">
        <v>-0.99732310000000002</v>
      </c>
      <c r="S5357">
        <v>-1.131699</v>
      </c>
      <c r="T5357">
        <v>-0.1924274</v>
      </c>
      <c r="U5357">
        <v>-2.9311069999999999</v>
      </c>
      <c r="V5357">
        <v>2.780583E-2</v>
      </c>
      <c r="W5357">
        <v>-2.945944E-2</v>
      </c>
      <c r="X5357">
        <v>0.99917909999999999</v>
      </c>
      <c r="Y5357">
        <v>0.3282854</v>
      </c>
      <c r="Z5357">
        <v>5.0793119999999997E-2</v>
      </c>
      <c r="AA5357">
        <v>0.94321200000000005</v>
      </c>
      <c r="AB5357">
        <v>21</v>
      </c>
      <c r="AC5357">
        <v>-6.5886000000000102</v>
      </c>
      <c r="AD5357">
        <v>-1.12120274587</v>
      </c>
      <c r="AE5357">
        <v>-16.9316</v>
      </c>
      <c r="AF5357">
        <v>5.9973992799985503</v>
      </c>
      <c r="AG5357">
        <v>-1.12120274587</v>
      </c>
      <c r="AH5357">
        <v>17.0768858116075</v>
      </c>
      <c r="AI5357">
        <v>93.544766582507606</v>
      </c>
      <c r="AJ5357">
        <v>70.648734112109906</v>
      </c>
      <c r="AK5357">
        <v>18.134109372774699</v>
      </c>
      <c r="AL5357">
        <v>91.688145904781706</v>
      </c>
      <c r="AM5357">
        <v>88.405945810569605</v>
      </c>
      <c r="AN5357">
        <v>0.99999994833195405</v>
      </c>
    </row>
    <row r="5358" spans="1:40" x14ac:dyDescent="0.25">
      <c r="A5358" t="str">
        <f>"20190303153915430"</f>
        <v>20190303153915430</v>
      </c>
      <c r="B5358" t="str">
        <f>"1551598755423703"</f>
        <v>1551598755423703</v>
      </c>
      <c r="C5358" t="s">
        <v>40</v>
      </c>
      <c r="D5358">
        <v>4.552619</v>
      </c>
      <c r="E5358">
        <v>0.62037310000000001</v>
      </c>
      <c r="F5358" t="s">
        <v>68</v>
      </c>
      <c r="G5358">
        <v>-198.06659999999999</v>
      </c>
      <c r="H5358" s="1">
        <v>-1.3482559999999999E-5</v>
      </c>
      <c r="I5358">
        <v>154.3416</v>
      </c>
      <c r="J5358">
        <v>-191.19479999999999</v>
      </c>
      <c r="K5358">
        <v>1.1212690000000001</v>
      </c>
      <c r="L5358">
        <v>171.9332</v>
      </c>
      <c r="M5358">
        <v>-3.3284019999999997E-2</v>
      </c>
      <c r="N5358">
        <v>-1.0911789999999999E-2</v>
      </c>
      <c r="O5358">
        <v>-0.99938660000000001</v>
      </c>
      <c r="P5358">
        <v>-6.1543510000000003E-2</v>
      </c>
      <c r="Q5358">
        <v>-4.0200340000000001E-2</v>
      </c>
      <c r="R5358">
        <v>-0.99729509999999999</v>
      </c>
      <c r="S5358">
        <v>-1.1373899999999999</v>
      </c>
      <c r="T5358">
        <v>-0.1854634</v>
      </c>
      <c r="U5358">
        <v>-2.9308930000000002</v>
      </c>
      <c r="V5358">
        <v>2.831991E-2</v>
      </c>
      <c r="W5358">
        <v>-2.9293099999999999E-2</v>
      </c>
      <c r="X5358">
        <v>0.99916959999999999</v>
      </c>
      <c r="Y5358">
        <v>0.3300073</v>
      </c>
      <c r="Z5358">
        <v>4.8362549999999997E-2</v>
      </c>
      <c r="AA5358">
        <v>0.94273870000000004</v>
      </c>
      <c r="AB5358">
        <v>21</v>
      </c>
      <c r="AC5358">
        <v>-6.8718000000000004</v>
      </c>
      <c r="AD5358">
        <v>-1.1212824825600001</v>
      </c>
      <c r="AE5358">
        <v>-17.5916</v>
      </c>
      <c r="AF5358">
        <v>6.2603711851691397</v>
      </c>
      <c r="AG5358">
        <v>-1.1212824825600001</v>
      </c>
      <c r="AH5358">
        <v>17.7480270062518</v>
      </c>
      <c r="AI5358">
        <v>93.409648988217</v>
      </c>
      <c r="AJ5358">
        <v>70.570410426228804</v>
      </c>
      <c r="AK5358">
        <v>18.853169080991002</v>
      </c>
      <c r="AL5358">
        <v>91.678611128849198</v>
      </c>
      <c r="AM5358">
        <v>88.376474804953503</v>
      </c>
      <c r="AN5358">
        <v>0.99999999628708902</v>
      </c>
    </row>
    <row r="5359" spans="1:40" x14ac:dyDescent="0.25">
      <c r="A5359" t="str">
        <f>"20190303153915445"</f>
        <v>20190303153915445</v>
      </c>
      <c r="B5359" t="str">
        <f>"1551598755433464"</f>
        <v>1551598755433464</v>
      </c>
      <c r="C5359" t="s">
        <v>40</v>
      </c>
      <c r="D5359">
        <v>4.6671529999999999</v>
      </c>
      <c r="E5359">
        <v>0.6205503</v>
      </c>
      <c r="F5359" t="s">
        <v>68</v>
      </c>
      <c r="G5359">
        <v>-198.35820000000001</v>
      </c>
      <c r="H5359" s="1">
        <v>-1.3312319999999999E-5</v>
      </c>
      <c r="I5359">
        <v>153.56219999999999</v>
      </c>
      <c r="J5359">
        <v>-191.1995</v>
      </c>
      <c r="K5359">
        <v>1.1213500000000001</v>
      </c>
      <c r="L5359">
        <v>171.78919999999999</v>
      </c>
      <c r="M5359">
        <v>-3.3139229999999999E-2</v>
      </c>
      <c r="N5359">
        <v>-1.110707E-2</v>
      </c>
      <c r="O5359">
        <v>-0.99938930000000004</v>
      </c>
      <c r="P5359">
        <v>-6.1924670000000001E-2</v>
      </c>
      <c r="Q5359">
        <v>-4.024614E-2</v>
      </c>
      <c r="R5359">
        <v>-0.99726950000000003</v>
      </c>
      <c r="S5359">
        <v>-1.1426540000000001</v>
      </c>
      <c r="T5359">
        <v>-0.17886009999999999</v>
      </c>
      <c r="U5359">
        <v>-2.9304350000000001</v>
      </c>
      <c r="V5359">
        <v>2.884981E-2</v>
      </c>
      <c r="W5359">
        <v>-2.914038E-2</v>
      </c>
      <c r="X5359">
        <v>0.99915889999999996</v>
      </c>
      <c r="Y5359">
        <v>0.33170429999999901</v>
      </c>
      <c r="Z5359">
        <v>4.6040699999999997E-2</v>
      </c>
      <c r="AA5359">
        <v>0.94225930000000002</v>
      </c>
      <c r="AB5359">
        <v>21</v>
      </c>
      <c r="AC5359">
        <v>-7.1586999999999996</v>
      </c>
      <c r="AD5359">
        <v>-1.12136331232</v>
      </c>
      <c r="AE5359">
        <v>-18.227</v>
      </c>
      <c r="AF5359">
        <v>6.5292912256109501</v>
      </c>
      <c r="AG5359">
        <v>-1.12136331232</v>
      </c>
      <c r="AH5359">
        <v>18.3939195307013</v>
      </c>
      <c r="AI5359">
        <v>93.288119791096193</v>
      </c>
      <c r="AJ5359">
        <v>70.456659731175606</v>
      </c>
      <c r="AK5359">
        <v>19.550585037000101</v>
      </c>
      <c r="AL5359">
        <v>91.669857190189205</v>
      </c>
      <c r="AM5359">
        <v>88.346095687086901</v>
      </c>
      <c r="AN5359">
        <v>0.99999999036639498</v>
      </c>
    </row>
    <row r="5360" spans="1:40" x14ac:dyDescent="0.25">
      <c r="A5360" t="str">
        <f>"20190303153915457"</f>
        <v>20190303153915457</v>
      </c>
      <c r="B5360" t="str">
        <f>"1551598755453959"</f>
        <v>1551598755453959</v>
      </c>
      <c r="C5360" t="s">
        <v>40</v>
      </c>
      <c r="D5360">
        <v>4.8681479999999997</v>
      </c>
      <c r="E5360">
        <v>0.620583</v>
      </c>
      <c r="F5360" t="s">
        <v>68</v>
      </c>
      <c r="G5360">
        <v>-198.38329999999999</v>
      </c>
      <c r="H5360" s="1">
        <v>-1.327646E-5</v>
      </c>
      <c r="I5360">
        <v>153.41079999999999</v>
      </c>
      <c r="J5360">
        <v>-191.20330000000001</v>
      </c>
      <c r="K5360">
        <v>1.121416</v>
      </c>
      <c r="L5360">
        <v>171.6695</v>
      </c>
      <c r="M5360">
        <v>-3.298077E-2</v>
      </c>
      <c r="N5360">
        <v>-1.1260040000000001E-2</v>
      </c>
      <c r="O5360">
        <v>-0.99939270000000002</v>
      </c>
      <c r="P5360">
        <v>-6.1735320000000003E-2</v>
      </c>
      <c r="Q5360">
        <v>-4.0482980000000002E-2</v>
      </c>
      <c r="R5360">
        <v>-0.99727149999999998</v>
      </c>
      <c r="S5360">
        <v>-1.1452329999999999</v>
      </c>
      <c r="T5360">
        <v>-0.17876700000000001</v>
      </c>
      <c r="U5360">
        <v>-2.9298709999999999</v>
      </c>
      <c r="V5360">
        <v>2.8821699999999999E-2</v>
      </c>
      <c r="W5360">
        <v>-2.9221629999999998E-2</v>
      </c>
      <c r="X5360">
        <v>0.99915739999999997</v>
      </c>
      <c r="Y5360">
        <v>0.33263579999999998</v>
      </c>
      <c r="Z5360">
        <v>4.5851309999999999E-2</v>
      </c>
      <c r="AA5360">
        <v>0.94194009999999995</v>
      </c>
      <c r="AB5360">
        <v>21</v>
      </c>
      <c r="AC5360">
        <v>-7.1799999999999704</v>
      </c>
      <c r="AD5360">
        <v>-1.12142927646</v>
      </c>
      <c r="AE5360">
        <v>-18.258700000000001</v>
      </c>
      <c r="AF5360">
        <v>6.5524620230707598</v>
      </c>
      <c r="AG5360">
        <v>-1.12142927646</v>
      </c>
      <c r="AH5360">
        <v>18.4253855445364</v>
      </c>
      <c r="AI5360">
        <v>93.282036462377704</v>
      </c>
      <c r="AJ5360">
        <v>70.423523323871606</v>
      </c>
      <c r="AK5360">
        <v>19.587934925629501</v>
      </c>
      <c r="AL5360">
        <v>91.674514352389096</v>
      </c>
      <c r="AM5360">
        <v>88.347703806626399</v>
      </c>
      <c r="AN5360">
        <v>1.0000000520127501</v>
      </c>
    </row>
    <row r="5361" spans="1:40" x14ac:dyDescent="0.25">
      <c r="A5361" t="str">
        <f>"20190303153915470"</f>
        <v>20190303153915470</v>
      </c>
      <c r="B5361" t="str">
        <f>"1551598755463719"</f>
        <v>1551598755463719</v>
      </c>
      <c r="C5361" t="s">
        <v>40</v>
      </c>
      <c r="D5361">
        <v>5.1345479999999997</v>
      </c>
      <c r="E5361">
        <v>0.6181797</v>
      </c>
      <c r="F5361" t="s">
        <v>68</v>
      </c>
      <c r="G5361">
        <v>-198.3126</v>
      </c>
      <c r="H5361" s="1">
        <v>-1.32865899999999E-5</v>
      </c>
      <c r="I5361">
        <v>153.4759</v>
      </c>
      <c r="J5361">
        <v>-191.2072</v>
      </c>
      <c r="K5361">
        <v>1.12148</v>
      </c>
      <c r="L5361">
        <v>171.54580000000001</v>
      </c>
      <c r="M5361">
        <v>-3.2790029999999998E-2</v>
      </c>
      <c r="N5361">
        <v>-1.14121E-2</v>
      </c>
      <c r="O5361">
        <v>-0.99939730000000004</v>
      </c>
      <c r="P5361">
        <v>-6.1734940000000002E-2</v>
      </c>
      <c r="Q5361">
        <v>-4.0693760000000002E-2</v>
      </c>
      <c r="R5361">
        <v>-0.99726320000000002</v>
      </c>
      <c r="S5361">
        <v>-1.1449279999999999</v>
      </c>
      <c r="T5361">
        <v>-0.18060229999999999</v>
      </c>
      <c r="U5361">
        <v>-2.9300079999999999</v>
      </c>
      <c r="V5361">
        <v>2.9015139999999998E-2</v>
      </c>
      <c r="W5361">
        <v>-2.9277600000000001E-2</v>
      </c>
      <c r="X5361">
        <v>0.99915010000000004</v>
      </c>
      <c r="Y5361">
        <v>0.33270529999999998</v>
      </c>
      <c r="Z5361">
        <v>4.6282089999999998E-2</v>
      </c>
      <c r="AA5361">
        <v>0.94189449999999997</v>
      </c>
      <c r="AB5361">
        <v>21</v>
      </c>
      <c r="AC5361">
        <v>-7.1054000000000004</v>
      </c>
      <c r="AD5361">
        <v>-1.12149328659</v>
      </c>
      <c r="AE5361">
        <v>-18.069900000000001</v>
      </c>
      <c r="AF5361">
        <v>6.4873848760351196</v>
      </c>
      <c r="AG5361">
        <v>-1.12149328659</v>
      </c>
      <c r="AH5361">
        <v>18.232357788142998</v>
      </c>
      <c r="AI5361">
        <v>93.316690948118904</v>
      </c>
      <c r="AJ5361">
        <v>70.413571145385504</v>
      </c>
      <c r="AK5361">
        <v>19.3846016269754</v>
      </c>
      <c r="AL5361">
        <v>91.677722674968905</v>
      </c>
      <c r="AM5361">
        <v>88.336608302614195</v>
      </c>
      <c r="AN5361">
        <v>0.99999998927049405</v>
      </c>
    </row>
    <row r="5362" spans="1:40" x14ac:dyDescent="0.25">
      <c r="A5362" t="str">
        <f>"20190303153915482"</f>
        <v>20190303153915482</v>
      </c>
      <c r="B5362" t="str">
        <f>"1551598755473479"</f>
        <v>1551598755473479</v>
      </c>
      <c r="C5362" t="s">
        <v>40</v>
      </c>
      <c r="D5362">
        <v>4.6632249999999997</v>
      </c>
      <c r="E5362">
        <v>0.6181797</v>
      </c>
      <c r="F5362" t="s">
        <v>68</v>
      </c>
      <c r="G5362">
        <v>-198.52199999999999</v>
      </c>
      <c r="H5362" s="1">
        <v>-1.305924E-5</v>
      </c>
      <c r="I5362">
        <v>152.49860000000001</v>
      </c>
      <c r="J5362">
        <v>-191.21080000000001</v>
      </c>
      <c r="K5362">
        <v>1.1215329999999999</v>
      </c>
      <c r="L5362">
        <v>171.4289</v>
      </c>
      <c r="M5362">
        <v>-3.2557639999999999E-2</v>
      </c>
      <c r="N5362">
        <v>-1.15487E-2</v>
      </c>
      <c r="O5362">
        <v>-0.99940340000000005</v>
      </c>
      <c r="P5362">
        <v>-6.1456440000000001E-2</v>
      </c>
      <c r="Q5362">
        <v>-4.0983980000000003E-2</v>
      </c>
      <c r="R5362">
        <v>-0.99726840000000005</v>
      </c>
      <c r="S5362">
        <v>-1.125793</v>
      </c>
      <c r="T5362">
        <v>-0.17260539999999999</v>
      </c>
      <c r="U5362">
        <v>-2.9315030000000002</v>
      </c>
      <c r="V5362">
        <v>2.8971730000000001E-2</v>
      </c>
      <c r="W5362">
        <v>-2.9428650000000001E-2</v>
      </c>
      <c r="X5362">
        <v>0.99914689999999995</v>
      </c>
      <c r="Y5362">
        <v>0.3274569</v>
      </c>
      <c r="Z5362">
        <v>4.3689909999999998E-2</v>
      </c>
      <c r="AA5362">
        <v>0.94385549999999996</v>
      </c>
      <c r="AB5362">
        <v>21</v>
      </c>
      <c r="AC5362">
        <v>-7.3112000000000101</v>
      </c>
      <c r="AD5362">
        <v>-1.1215460592399999</v>
      </c>
      <c r="AE5362">
        <v>-18.9302999999999</v>
      </c>
      <c r="AF5362">
        <v>6.6705815224432197</v>
      </c>
      <c r="AG5362">
        <v>-1.1215460592399999</v>
      </c>
      <c r="AH5362">
        <v>19.099973669404299</v>
      </c>
      <c r="AI5362">
        <v>93.173011015256407</v>
      </c>
      <c r="AJ5362">
        <v>70.748470328443503</v>
      </c>
      <c r="AK5362">
        <v>20.262367028126199</v>
      </c>
      <c r="AL5362">
        <v>91.686380970636804</v>
      </c>
      <c r="AM5362">
        <v>88.339090217254494</v>
      </c>
      <c r="AN5362">
        <v>0.99999996717981199</v>
      </c>
    </row>
    <row r="5363" spans="1:40" x14ac:dyDescent="0.25">
      <c r="A5363" t="str">
        <f>"20190303153915493"</f>
        <v>20190303153915493</v>
      </c>
      <c r="B5363" t="str">
        <f>"1551598755484215"</f>
        <v>1551598755484215</v>
      </c>
      <c r="C5363" t="s">
        <v>40</v>
      </c>
      <c r="D5363">
        <v>4.5990659999999997</v>
      </c>
      <c r="E5363">
        <v>0.52469309999999902</v>
      </c>
      <c r="F5363" t="s">
        <v>68</v>
      </c>
      <c r="G5363">
        <v>-198.4845</v>
      </c>
      <c r="H5363" s="1">
        <v>-1.304941E-5</v>
      </c>
      <c r="I5363">
        <v>152.4727</v>
      </c>
      <c r="J5363">
        <v>-191.21420000000001</v>
      </c>
      <c r="K5363">
        <v>1.1215850000000001</v>
      </c>
      <c r="L5363">
        <v>171.31970000000001</v>
      </c>
      <c r="M5363">
        <v>-3.2320290000000002E-2</v>
      </c>
      <c r="N5363">
        <v>-1.167406E-2</v>
      </c>
      <c r="O5363">
        <v>-0.99940960000000001</v>
      </c>
      <c r="P5363">
        <v>-6.095826E-2</v>
      </c>
      <c r="Q5363">
        <v>-4.1594220000000001E-2</v>
      </c>
      <c r="R5363">
        <v>-0.99727370000000004</v>
      </c>
      <c r="S5363">
        <v>-1.1249389999999999</v>
      </c>
      <c r="T5363">
        <v>-0.17345759999999999</v>
      </c>
      <c r="U5363">
        <v>-2.9317470000000001</v>
      </c>
      <c r="V5363">
        <v>2.8713800000000001E-2</v>
      </c>
      <c r="W5363">
        <v>-2.9911360000000001E-2</v>
      </c>
      <c r="X5363">
        <v>0.99914000000000003</v>
      </c>
      <c r="Y5363">
        <v>0.327410799999999</v>
      </c>
      <c r="Z5363">
        <v>4.3836069999999998E-2</v>
      </c>
      <c r="AA5363">
        <v>0.9438647</v>
      </c>
      <c r="AB5363">
        <v>21</v>
      </c>
      <c r="AC5363">
        <v>-7.27029999999999</v>
      </c>
      <c r="AD5363">
        <v>-1.12159804941</v>
      </c>
      <c r="AE5363">
        <v>-18.847000000000001</v>
      </c>
      <c r="AF5363">
        <v>6.63685930759552</v>
      </c>
      <c r="AG5363">
        <v>-1.12159804941</v>
      </c>
      <c r="AH5363">
        <v>19.013531809842199</v>
      </c>
      <c r="AI5363">
        <v>93.187738298884</v>
      </c>
      <c r="AJ5363">
        <v>70.757959295760102</v>
      </c>
      <c r="AK5363">
        <v>20.169786204547101</v>
      </c>
      <c r="AL5363">
        <v>91.7140504187619</v>
      </c>
      <c r="AM5363">
        <v>88.3538574584895</v>
      </c>
      <c r="AN5363">
        <v>0.999999955683743</v>
      </c>
    </row>
    <row r="5364" spans="1:40" x14ac:dyDescent="0.25">
      <c r="A5364" t="str">
        <f>"20190303153915507"</f>
        <v>20190303153915507</v>
      </c>
      <c r="B5364" t="str">
        <f>"1551598755503735"</f>
        <v>1551598755503735</v>
      </c>
      <c r="C5364" t="s">
        <v>40</v>
      </c>
      <c r="D5364">
        <v>4.5963849999999997</v>
      </c>
      <c r="E5364">
        <v>0.50576829999999995</v>
      </c>
      <c r="F5364" t="s">
        <v>68</v>
      </c>
      <c r="G5364">
        <v>-195.98220000000001</v>
      </c>
      <c r="H5364" s="1">
        <v>-7.0960280000000003E-6</v>
      </c>
      <c r="I5364">
        <v>133.85810000000001</v>
      </c>
      <c r="J5364">
        <v>-191.21789999999999</v>
      </c>
      <c r="K5364">
        <v>1.1216390000000001</v>
      </c>
      <c r="L5364">
        <v>171.197</v>
      </c>
      <c r="M5364">
        <v>-3.2025560000000002E-2</v>
      </c>
      <c r="N5364">
        <v>-1.1812080000000001E-2</v>
      </c>
      <c r="O5364">
        <v>-0.99941709999999995</v>
      </c>
      <c r="P5364">
        <v>-6.0399799999999997E-2</v>
      </c>
      <c r="Q5364">
        <v>-4.2279560000000001E-2</v>
      </c>
      <c r="R5364">
        <v>-0.99727849999999996</v>
      </c>
      <c r="S5364">
        <v>-0.3794556</v>
      </c>
      <c r="T5364">
        <v>-8.9260220000000001E-2</v>
      </c>
      <c r="U5364">
        <v>-2.9813230000000002</v>
      </c>
      <c r="V5364">
        <v>2.845344E-2</v>
      </c>
      <c r="W5364">
        <v>-3.0456299999999999E-2</v>
      </c>
      <c r="X5364">
        <v>0.99913099999999999</v>
      </c>
      <c r="Y5364">
        <v>9.4379400000000002E-2</v>
      </c>
      <c r="Z5364">
        <v>1.7931889999999999E-2</v>
      </c>
      <c r="AA5364">
        <v>0.9953748</v>
      </c>
      <c r="AB5364">
        <v>21</v>
      </c>
      <c r="AC5364">
        <v>-4.76430000000002</v>
      </c>
      <c r="AD5364">
        <v>-1.1216460960279999</v>
      </c>
      <c r="AE5364">
        <v>-37.338900000000002</v>
      </c>
      <c r="AF5364">
        <v>3.5628095218827598</v>
      </c>
      <c r="AG5364">
        <v>-1.1216460960279999</v>
      </c>
      <c r="AH5364">
        <v>37.4390913802198</v>
      </c>
      <c r="AI5364">
        <v>91.708310601989496</v>
      </c>
      <c r="AJ5364">
        <v>84.563942172690602</v>
      </c>
      <c r="AK5364">
        <v>37.624955349214702</v>
      </c>
      <c r="AL5364">
        <v>91.745287390649395</v>
      </c>
      <c r="AM5364">
        <v>88.368760932351705</v>
      </c>
      <c r="AN5364">
        <v>0.99999996980926098</v>
      </c>
    </row>
    <row r="5365" spans="1:40" x14ac:dyDescent="0.25">
      <c r="A5365" t="str">
        <f>"20190303153915523"</f>
        <v>20190303153915523</v>
      </c>
      <c r="B5365" t="str">
        <f>"1551598755513495"</f>
        <v>1551598755513495</v>
      </c>
      <c r="C5365" t="s">
        <v>40</v>
      </c>
      <c r="D5365">
        <v>4.6436669999999998</v>
      </c>
      <c r="E5365">
        <v>0.49985550000000001</v>
      </c>
      <c r="F5365" t="s">
        <v>68</v>
      </c>
      <c r="G5365">
        <v>-193.4401</v>
      </c>
      <c r="H5365" s="1">
        <v>-9.2390590000000005E-6</v>
      </c>
      <c r="I5365">
        <v>141.93100000000001</v>
      </c>
      <c r="J5365">
        <v>-191.22210000000001</v>
      </c>
      <c r="K5365">
        <v>1.121699</v>
      </c>
      <c r="L5365">
        <v>171.0522</v>
      </c>
      <c r="M5365">
        <v>-3.1625220000000002E-2</v>
      </c>
      <c r="N5365">
        <v>-1.1966040000000001E-2</v>
      </c>
      <c r="O5365">
        <v>-0.99942819999999999</v>
      </c>
      <c r="P5365">
        <v>-5.8926430000000002E-2</v>
      </c>
      <c r="Q5365">
        <v>-4.2990639999999997E-2</v>
      </c>
      <c r="R5365">
        <v>-0.99733660000000002</v>
      </c>
      <c r="S5365">
        <v>-0.22700500000000001</v>
      </c>
      <c r="T5365">
        <v>-0.1145786</v>
      </c>
      <c r="U5365">
        <v>-2.9895779999999998</v>
      </c>
      <c r="V5365">
        <v>2.738287E-2</v>
      </c>
      <c r="W5365">
        <v>-3.1011339999999998E-2</v>
      </c>
      <c r="X5365">
        <v>0.99914389999999997</v>
      </c>
      <c r="Y5365">
        <v>4.4100260000000002E-2</v>
      </c>
      <c r="Z5365">
        <v>2.6249970000000001E-2</v>
      </c>
      <c r="AA5365">
        <v>0.99868219999999996</v>
      </c>
      <c r="AB5365">
        <v>21</v>
      </c>
      <c r="AC5365">
        <v>-2.21799999999998</v>
      </c>
      <c r="AD5365">
        <v>-1.1217082390590001</v>
      </c>
      <c r="AE5365">
        <v>-29.121199999999899</v>
      </c>
      <c r="AF5365">
        <v>1.2939513832899301</v>
      </c>
      <c r="AG5365">
        <v>-1.1217082390590001</v>
      </c>
      <c r="AH5365">
        <v>29.133805136316798</v>
      </c>
      <c r="AI5365">
        <v>92.202740649105195</v>
      </c>
      <c r="AJ5365">
        <v>87.456931493349003</v>
      </c>
      <c r="AK5365">
        <v>29.184090550791101</v>
      </c>
      <c r="AL5365">
        <v>91.777103766498996</v>
      </c>
      <c r="AM5365">
        <v>88.430125781482502</v>
      </c>
      <c r="AN5365">
        <v>1.0000000288426201</v>
      </c>
    </row>
    <row r="5366" spans="1:40" x14ac:dyDescent="0.25">
      <c r="A5366" t="str">
        <f>"20190303153915535"</f>
        <v>20190303153915535</v>
      </c>
      <c r="B5366" t="str">
        <f>"1551598755524231"</f>
        <v>1551598755524231</v>
      </c>
      <c r="C5366" t="s">
        <v>40</v>
      </c>
      <c r="D5366">
        <v>4.6281999999999996</v>
      </c>
      <c r="E5366">
        <v>0.49608449999999998</v>
      </c>
      <c r="F5366" t="s">
        <v>68</v>
      </c>
      <c r="G5366">
        <v>-192.7475</v>
      </c>
      <c r="H5366" s="1">
        <v>-9.9771639999999998E-6</v>
      </c>
      <c r="I5366">
        <v>145.0462</v>
      </c>
      <c r="J5366">
        <v>-191.22550000000001</v>
      </c>
      <c r="K5366">
        <v>1.1217429999999999</v>
      </c>
      <c r="L5366">
        <v>170.9316</v>
      </c>
      <c r="M5366">
        <v>-3.1262819999999997E-2</v>
      </c>
      <c r="N5366">
        <v>-1.208707E-2</v>
      </c>
      <c r="O5366">
        <v>-0.99943800000000005</v>
      </c>
      <c r="P5366">
        <v>-5.8029669999999998E-2</v>
      </c>
      <c r="Q5366">
        <v>-4.2722799999999998E-2</v>
      </c>
      <c r="R5366">
        <v>-0.99740050000000002</v>
      </c>
      <c r="S5366">
        <v>-0.17550660000000001</v>
      </c>
      <c r="T5366">
        <v>-0.12905730000000001</v>
      </c>
      <c r="U5366">
        <v>-2.9920960000000001</v>
      </c>
      <c r="V5366">
        <v>2.6848810000000001E-2</v>
      </c>
      <c r="W5366">
        <v>-3.062055E-2</v>
      </c>
      <c r="X5366">
        <v>0.99917040000000001</v>
      </c>
      <c r="Y5366">
        <v>2.727885E-2</v>
      </c>
      <c r="Z5366">
        <v>3.0948239999999998E-2</v>
      </c>
      <c r="AA5366">
        <v>0.9991487</v>
      </c>
      <c r="AB5366">
        <v>21</v>
      </c>
      <c r="AC5366">
        <v>-1.52199999999999</v>
      </c>
      <c r="AD5366">
        <v>-1.121752977164</v>
      </c>
      <c r="AE5366">
        <v>-25.885400000000001</v>
      </c>
      <c r="AF5366">
        <v>0.71061621703937905</v>
      </c>
      <c r="AG5366">
        <v>-1.121752977164</v>
      </c>
      <c r="AH5366">
        <v>25.871911980148202</v>
      </c>
      <c r="AI5366">
        <v>92.481737602006007</v>
      </c>
      <c r="AJ5366">
        <v>88.426669202536502</v>
      </c>
      <c r="AK5366">
        <v>25.9059671631505</v>
      </c>
      <c r="AL5366">
        <v>91.754702591848002</v>
      </c>
      <c r="AM5366">
        <v>88.460769648202699</v>
      </c>
      <c r="AN5366">
        <v>0.99999998245843902</v>
      </c>
    </row>
    <row r="5367" spans="1:40" x14ac:dyDescent="0.25">
      <c r="A5367" t="str">
        <f>"20190303153915546"</f>
        <v>20190303153915546</v>
      </c>
      <c r="B5367" t="str">
        <f>"1551598755543751"</f>
        <v>1551598755543751</v>
      </c>
      <c r="C5367" t="s">
        <v>40</v>
      </c>
      <c r="D5367">
        <v>4.5826289999999998</v>
      </c>
      <c r="E5367">
        <v>0.49170659999999999</v>
      </c>
      <c r="F5367" t="s">
        <v>68</v>
      </c>
      <c r="G5367">
        <v>-192.40770000000001</v>
      </c>
      <c r="H5367" s="1">
        <v>-1.021406E-5</v>
      </c>
      <c r="I5367">
        <v>146.173</v>
      </c>
      <c r="J5367">
        <v>-191.2286</v>
      </c>
      <c r="K5367">
        <v>1.1217779999999999</v>
      </c>
      <c r="L5367">
        <v>170.821</v>
      </c>
      <c r="M5367">
        <v>-3.090888E-2</v>
      </c>
      <c r="N5367">
        <v>-1.2192369999999999E-2</v>
      </c>
      <c r="O5367">
        <v>-0.99944789999999994</v>
      </c>
      <c r="P5367">
        <v>-5.72212E-2</v>
      </c>
      <c r="Q5367">
        <v>-4.2326709999999997E-2</v>
      </c>
      <c r="R5367">
        <v>-0.99746409999999996</v>
      </c>
      <c r="S5367">
        <v>-0.1429443</v>
      </c>
      <c r="T5367">
        <v>-0.1356368</v>
      </c>
      <c r="U5367">
        <v>-2.9936829999999999</v>
      </c>
      <c r="V5367">
        <v>2.6393949999999999E-2</v>
      </c>
      <c r="W5367">
        <v>-3.011759E-2</v>
      </c>
      <c r="X5367">
        <v>0.99919780000000002</v>
      </c>
      <c r="Y5367">
        <v>1.6763630000000002E-2</v>
      </c>
      <c r="Z5367">
        <v>3.3025690000000003E-2</v>
      </c>
      <c r="AA5367">
        <v>0.99931389999999998</v>
      </c>
      <c r="AB5367">
        <v>21</v>
      </c>
      <c r="AC5367">
        <v>-1.1791</v>
      </c>
      <c r="AD5367">
        <v>-1.12178821406</v>
      </c>
      <c r="AE5367">
        <v>-24.648</v>
      </c>
      <c r="AF5367">
        <v>0.415778622361899</v>
      </c>
      <c r="AG5367">
        <v>-1.12178821406</v>
      </c>
      <c r="AH5367">
        <v>24.621784499872302</v>
      </c>
      <c r="AI5367">
        <v>92.608266248575305</v>
      </c>
      <c r="AJ5367">
        <v>89.032560118326799</v>
      </c>
      <c r="AK5367">
        <v>24.6508326962431</v>
      </c>
      <c r="AL5367">
        <v>91.725871817658103</v>
      </c>
      <c r="AM5367">
        <v>88.486875816698401</v>
      </c>
      <c r="AN5367">
        <v>0.99999997667442497</v>
      </c>
    </row>
    <row r="5368" spans="1:40" x14ac:dyDescent="0.25">
      <c r="A5368" t="str">
        <f>"20190303153915559"</f>
        <v>20190303153915559</v>
      </c>
      <c r="B5368" t="str">
        <f>"1551598755553511"</f>
        <v>1551598755553511</v>
      </c>
      <c r="C5368" t="s">
        <v>40</v>
      </c>
      <c r="D5368">
        <v>4.6247989999999897</v>
      </c>
      <c r="E5368">
        <v>0.48999779999999998</v>
      </c>
      <c r="F5368" t="s">
        <v>68</v>
      </c>
      <c r="G5368">
        <v>-192.0924</v>
      </c>
      <c r="H5368" s="1">
        <v>-1.020716E-5</v>
      </c>
      <c r="I5368">
        <v>146.35890000000001</v>
      </c>
      <c r="J5368">
        <v>-191.23150000000001</v>
      </c>
      <c r="K5368">
        <v>1.121807</v>
      </c>
      <c r="L5368">
        <v>170.71549999999999</v>
      </c>
      <c r="M5368">
        <v>-3.0544330000000001E-2</v>
      </c>
      <c r="N5368">
        <v>-1.228337E-2</v>
      </c>
      <c r="O5368">
        <v>-0.99945799999999996</v>
      </c>
      <c r="P5368">
        <v>-5.6512680000000003E-2</v>
      </c>
      <c r="Q5368">
        <v>-4.1980759999999999E-2</v>
      </c>
      <c r="R5368">
        <v>-0.99751900000000004</v>
      </c>
      <c r="S5368">
        <v>-0.1057892</v>
      </c>
      <c r="T5368">
        <v>-0.13737939999999901</v>
      </c>
      <c r="U5368">
        <v>-2.995743</v>
      </c>
      <c r="V5368">
        <v>2.6049300000000001E-2</v>
      </c>
      <c r="W5368">
        <v>-2.9679549999999999E-2</v>
      </c>
      <c r="X5368">
        <v>0.99922</v>
      </c>
      <c r="Y5368">
        <v>4.7255980000000001E-3</v>
      </c>
      <c r="Z5368">
        <v>3.349622E-2</v>
      </c>
      <c r="AA5368">
        <v>0.99942770000000003</v>
      </c>
      <c r="AB5368">
        <v>21</v>
      </c>
      <c r="AC5368">
        <v>-0.86089999999998601</v>
      </c>
      <c r="AD5368">
        <v>-1.1218172071600001</v>
      </c>
      <c r="AE5368">
        <v>-24.356599999999901</v>
      </c>
      <c r="AF5368">
        <v>0.116239867668516</v>
      </c>
      <c r="AG5368">
        <v>-1.1218172071600001</v>
      </c>
      <c r="AH5368">
        <v>24.320004716366</v>
      </c>
      <c r="AI5368">
        <v>92.640999896277506</v>
      </c>
      <c r="AJ5368">
        <v>89.726151240857504</v>
      </c>
      <c r="AK5368">
        <v>24.3461416852277</v>
      </c>
      <c r="AL5368">
        <v>91.700762665982296</v>
      </c>
      <c r="AM5368">
        <v>88.506658223573893</v>
      </c>
      <c r="AN5368">
        <v>1.0000000250593399</v>
      </c>
    </row>
    <row r="5369" spans="1:40" x14ac:dyDescent="0.25">
      <c r="A5369" t="str">
        <f>"20190303153915571"</f>
        <v>20190303153915571</v>
      </c>
      <c r="B5369" t="str">
        <f>"1551598755564247"</f>
        <v>1551598755564247</v>
      </c>
      <c r="C5369" t="s">
        <v>40</v>
      </c>
      <c r="D5369">
        <v>4.5933349999999997</v>
      </c>
      <c r="E5369">
        <v>0.48860759999999998</v>
      </c>
      <c r="F5369" t="s">
        <v>68</v>
      </c>
      <c r="G5369">
        <v>-191.97110000000001</v>
      </c>
      <c r="H5369" s="1">
        <v>-1.0112990000000001E-5</v>
      </c>
      <c r="I5369">
        <v>146.08349999999999</v>
      </c>
      <c r="J5369">
        <v>-191.2345</v>
      </c>
      <c r="K5369">
        <v>1.1218319999999999</v>
      </c>
      <c r="L5369">
        <v>170.60069999999999</v>
      </c>
      <c r="M5369">
        <v>-3.0138999999999999E-2</v>
      </c>
      <c r="N5369">
        <v>-1.237892E-2</v>
      </c>
      <c r="O5369">
        <v>-0.99946900000000005</v>
      </c>
      <c r="P5369">
        <v>-5.6066070000000003E-2</v>
      </c>
      <c r="Q5369">
        <v>-4.1640829999999997E-2</v>
      </c>
      <c r="R5369">
        <v>-0.9975581</v>
      </c>
      <c r="S5369">
        <v>-8.9981080000000005E-2</v>
      </c>
      <c r="T5369">
        <v>-0.1364747</v>
      </c>
      <c r="U5369">
        <v>-2.996613</v>
      </c>
      <c r="V5369">
        <v>2.6007559999999999E-2</v>
      </c>
      <c r="W5369">
        <v>-2.9242830000000001E-2</v>
      </c>
      <c r="X5369">
        <v>0.99923399999999996</v>
      </c>
      <c r="Y5369">
        <v>-1.4369569999999999E-4</v>
      </c>
      <c r="Z5369">
        <v>3.3090639999999998E-2</v>
      </c>
      <c r="AA5369">
        <v>0.99945240000000002</v>
      </c>
      <c r="AB5369">
        <v>21</v>
      </c>
      <c r="AC5369">
        <v>-0.73660000000000903</v>
      </c>
      <c r="AD5369">
        <v>-1.12184211299</v>
      </c>
      <c r="AE5369">
        <v>-24.517199999999999</v>
      </c>
      <c r="AF5369">
        <v>-2.7095656138983399E-3</v>
      </c>
      <c r="AG5369">
        <v>-1.12184211299</v>
      </c>
      <c r="AH5369">
        <v>24.477060374744401</v>
      </c>
      <c r="AI5369">
        <v>92.624165926139696</v>
      </c>
      <c r="AJ5369">
        <v>90.006342537501595</v>
      </c>
      <c r="AK5369">
        <v>24.502755389080299</v>
      </c>
      <c r="AL5369">
        <v>91.675729526230796</v>
      </c>
      <c r="AM5369">
        <v>88.509070873224502</v>
      </c>
      <c r="AN5369">
        <v>1.0000000615197699</v>
      </c>
    </row>
    <row r="5370" spans="1:40" x14ac:dyDescent="0.25">
      <c r="A5370" t="str">
        <f>"20190303153915583"</f>
        <v>20190303153915583</v>
      </c>
      <c r="B5370" t="str">
        <f>"1551598755574007"</f>
        <v>1551598755574007</v>
      </c>
      <c r="C5370" t="s">
        <v>40</v>
      </c>
      <c r="D5370">
        <v>4.6091699999999998</v>
      </c>
      <c r="E5370">
        <v>0.48748359999999902</v>
      </c>
      <c r="F5370" t="s">
        <v>68</v>
      </c>
      <c r="G5370">
        <v>-191.8785</v>
      </c>
      <c r="H5370" s="1">
        <v>-9.9938299999999995E-6</v>
      </c>
      <c r="I5370">
        <v>145.69380000000001</v>
      </c>
      <c r="J5370">
        <v>-191.2379</v>
      </c>
      <c r="K5370">
        <v>1.1218509999999999</v>
      </c>
      <c r="L5370">
        <v>170.4718</v>
      </c>
      <c r="M5370">
        <v>-2.9662500000000001E-2</v>
      </c>
      <c r="N5370">
        <v>-1.2475699999999999E-2</v>
      </c>
      <c r="O5370">
        <v>-0.99948219999999999</v>
      </c>
      <c r="P5370">
        <v>-5.5037599999999999E-2</v>
      </c>
      <c r="Q5370">
        <v>-4.1751139999999999E-2</v>
      </c>
      <c r="R5370">
        <v>-0.99761109999999997</v>
      </c>
      <c r="S5370">
        <v>-7.7499390000000001E-2</v>
      </c>
      <c r="T5370">
        <v>-0.13500570000000001</v>
      </c>
      <c r="U5370">
        <v>-2.99736</v>
      </c>
      <c r="V5370">
        <v>2.5454930000000001E-2</v>
      </c>
      <c r="W5370">
        <v>-2.9256250000000001E-2</v>
      </c>
      <c r="X5370">
        <v>0.99924780000000002</v>
      </c>
      <c r="Y5370">
        <v>-3.8313230000000002E-3</v>
      </c>
      <c r="Z5370">
        <v>3.2496780000000003E-2</v>
      </c>
      <c r="AA5370">
        <v>0.99946449999999998</v>
      </c>
      <c r="AB5370">
        <v>21</v>
      </c>
      <c r="AC5370">
        <v>-0.64060000000000605</v>
      </c>
      <c r="AD5370">
        <v>-1.1218609938299999</v>
      </c>
      <c r="AE5370">
        <v>-24.777999999999899</v>
      </c>
      <c r="AF5370">
        <v>-9.4522851926112095E-2</v>
      </c>
      <c r="AG5370">
        <v>-1.1218609938299999</v>
      </c>
      <c r="AH5370">
        <v>24.735425758190999</v>
      </c>
      <c r="AI5370">
        <v>92.596818547583496</v>
      </c>
      <c r="AJ5370">
        <v>90.218946468696402</v>
      </c>
      <c r="AK5370">
        <v>24.761033784920802</v>
      </c>
      <c r="AL5370">
        <v>91.676498828067906</v>
      </c>
      <c r="AM5370">
        <v>88.540757657507399</v>
      </c>
      <c r="AN5370">
        <v>1.0000000237151001</v>
      </c>
    </row>
    <row r="5371" spans="1:40" x14ac:dyDescent="0.25">
      <c r="A5371" t="str">
        <f>"20190303153915598"</f>
        <v>20190303153915598</v>
      </c>
      <c r="B5371" t="str">
        <f>"1551598755593527"</f>
        <v>1551598755593527</v>
      </c>
      <c r="C5371" t="s">
        <v>40</v>
      </c>
      <c r="D5371">
        <v>4.5883479999999999</v>
      </c>
      <c r="E5371">
        <v>0.48561799999999999</v>
      </c>
      <c r="F5371" t="s">
        <v>68</v>
      </c>
      <c r="G5371">
        <v>-191.7757</v>
      </c>
      <c r="H5371" s="1">
        <v>-1.0025839999999999E-5</v>
      </c>
      <c r="I5371">
        <v>145.8844</v>
      </c>
      <c r="J5371">
        <v>-191.24090000000001</v>
      </c>
      <c r="K5371">
        <v>1.1218549999999901</v>
      </c>
      <c r="L5371">
        <v>170.3528</v>
      </c>
      <c r="M5371">
        <v>-2.921551E-2</v>
      </c>
      <c r="N5371">
        <v>-1.2559219999999999E-2</v>
      </c>
      <c r="O5371">
        <v>-0.99949440000000001</v>
      </c>
      <c r="P5371">
        <v>-5.4094139999999999E-2</v>
      </c>
      <c r="Q5371">
        <v>-4.2190709999999999E-2</v>
      </c>
      <c r="R5371">
        <v>-0.99764430000000004</v>
      </c>
      <c r="S5371">
        <v>-6.5567020000000004E-2</v>
      </c>
      <c r="T5371">
        <v>-0.13678370000000001</v>
      </c>
      <c r="U5371">
        <v>-2.997833</v>
      </c>
      <c r="V5371">
        <v>2.4958330000000001E-2</v>
      </c>
      <c r="W5371">
        <v>-2.9612719999999999E-2</v>
      </c>
      <c r="X5371">
        <v>0.99924979999999997</v>
      </c>
      <c r="Y5371">
        <v>-7.3631440000000003E-3</v>
      </c>
      <c r="Z5371">
        <v>3.2999130000000002E-2</v>
      </c>
      <c r="AA5371">
        <v>0.99942830000000005</v>
      </c>
      <c r="AB5371">
        <v>21</v>
      </c>
      <c r="AC5371">
        <v>-0.53479999999998995</v>
      </c>
      <c r="AD5371">
        <v>-1.12186502583999</v>
      </c>
      <c r="AE5371">
        <v>-24.468399999999999</v>
      </c>
      <c r="AF5371">
        <v>-0.17996323840792999</v>
      </c>
      <c r="AG5371">
        <v>-1.12186502583999</v>
      </c>
      <c r="AH5371">
        <v>24.422263856937501</v>
      </c>
      <c r="AI5371">
        <v>92.630027893858994</v>
      </c>
      <c r="AJ5371">
        <v>90.422194578888494</v>
      </c>
      <c r="AK5371">
        <v>24.4486797148897</v>
      </c>
      <c r="AL5371">
        <v>91.696931952787807</v>
      </c>
      <c r="AM5371">
        <v>88.569216914390495</v>
      </c>
      <c r="AN5371">
        <v>0.99999999711111298</v>
      </c>
    </row>
    <row r="5372" spans="1:40" x14ac:dyDescent="0.25">
      <c r="A5372" t="str">
        <f>"20190303153915614"</f>
        <v>20190303153915614</v>
      </c>
      <c r="B5372" t="str">
        <f>"1551598755604263"</f>
        <v>1551598755604263</v>
      </c>
      <c r="C5372" t="s">
        <v>40</v>
      </c>
      <c r="D5372">
        <v>4.6155410000000003</v>
      </c>
      <c r="E5372">
        <v>0.48487330000000001</v>
      </c>
      <c r="F5372" t="s">
        <v>68</v>
      </c>
      <c r="G5372">
        <v>-191.6131</v>
      </c>
      <c r="H5372" s="1">
        <v>-1.031214E-5</v>
      </c>
      <c r="I5372">
        <v>147.07939999999999</v>
      </c>
      <c r="J5372">
        <v>-191.24469999999999</v>
      </c>
      <c r="K5372">
        <v>1.121845</v>
      </c>
      <c r="L5372">
        <v>170.20249999999999</v>
      </c>
      <c r="M5372">
        <v>-2.8647180000000001E-2</v>
      </c>
      <c r="N5372">
        <v>-1.265749E-2</v>
      </c>
      <c r="O5372">
        <v>-0.9995096</v>
      </c>
      <c r="P5372">
        <v>-5.2229369999999997E-2</v>
      </c>
      <c r="Q5372">
        <v>-4.4699570000000001E-2</v>
      </c>
      <c r="R5372">
        <v>-0.99763449999999998</v>
      </c>
      <c r="S5372">
        <v>-4.7943119999999999E-2</v>
      </c>
      <c r="T5372">
        <v>-0.14453299999999999</v>
      </c>
      <c r="U5372">
        <v>-2.998367</v>
      </c>
      <c r="V5372">
        <v>2.3665350000000002E-2</v>
      </c>
      <c r="W5372">
        <v>-3.2025810000000002E-2</v>
      </c>
      <c r="X5372">
        <v>0.99920679999999995</v>
      </c>
      <c r="Y5372">
        <v>-1.266986E-2</v>
      </c>
      <c r="Z5372">
        <v>3.5469609999999999E-2</v>
      </c>
      <c r="AA5372">
        <v>0.99929049999999997</v>
      </c>
      <c r="AB5372">
        <v>21</v>
      </c>
      <c r="AC5372">
        <v>-0.368400000000008</v>
      </c>
      <c r="AD5372">
        <v>-1.1218553121399999</v>
      </c>
      <c r="AE5372">
        <v>-23.123099999999901</v>
      </c>
      <c r="AF5372">
        <v>-0.29352505144100699</v>
      </c>
      <c r="AG5372">
        <v>-1.1218553121399999</v>
      </c>
      <c r="AH5372">
        <v>23.0698732964855</v>
      </c>
      <c r="AI5372">
        <v>92.783794656210802</v>
      </c>
      <c r="AJ5372">
        <v>90.728952387439094</v>
      </c>
      <c r="AK5372">
        <v>23.098999333587901</v>
      </c>
      <c r="AL5372">
        <v>91.835257626288296</v>
      </c>
      <c r="AM5372">
        <v>88.643252596997499</v>
      </c>
      <c r="AN5372">
        <v>0.99999996523150803</v>
      </c>
    </row>
    <row r="5373" spans="1:40" x14ac:dyDescent="0.25">
      <c r="A5373" t="str">
        <f>"20190303153915634"</f>
        <v>20190303153915634</v>
      </c>
      <c r="B5373" t="str">
        <f>"1551598755623783"</f>
        <v>1551598755623783</v>
      </c>
      <c r="C5373" t="s">
        <v>40</v>
      </c>
      <c r="D5373">
        <v>4.6120070000000002</v>
      </c>
      <c r="E5373">
        <v>0.48390080000000002</v>
      </c>
      <c r="F5373" t="s">
        <v>68</v>
      </c>
      <c r="G5373">
        <v>-191.51050000000001</v>
      </c>
      <c r="H5373" s="1">
        <v>-1.061773E-5</v>
      </c>
      <c r="I5373">
        <v>148.30719999999999</v>
      </c>
      <c r="J5373">
        <v>-191.24950000000001</v>
      </c>
      <c r="K5373">
        <v>1.121821</v>
      </c>
      <c r="L5373">
        <v>170.0052</v>
      </c>
      <c r="M5373">
        <v>-2.7909409999999999E-2</v>
      </c>
      <c r="N5373">
        <v>-1.277239E-2</v>
      </c>
      <c r="O5373">
        <v>-0.99952909999999995</v>
      </c>
      <c r="P5373">
        <v>-4.9372159999999998E-2</v>
      </c>
      <c r="Q5373">
        <v>-4.7024709999999997E-2</v>
      </c>
      <c r="R5373">
        <v>-0.99767289999999997</v>
      </c>
      <c r="S5373">
        <v>-3.6407469999999997E-2</v>
      </c>
      <c r="T5373">
        <v>-0.15362600000000001</v>
      </c>
      <c r="U5373">
        <v>-2.9983219999999999</v>
      </c>
      <c r="V5373">
        <v>2.154677E-2</v>
      </c>
      <c r="W5373">
        <v>-3.4240079999999999E-2</v>
      </c>
      <c r="X5373">
        <v>0.99918130000000005</v>
      </c>
      <c r="Y5373">
        <v>-1.577514E-2</v>
      </c>
      <c r="Z5373">
        <v>3.8377590000000003E-2</v>
      </c>
      <c r="AA5373">
        <v>0.99913879999999999</v>
      </c>
      <c r="AB5373">
        <v>21</v>
      </c>
      <c r="AC5373">
        <v>-0.26099999999999501</v>
      </c>
      <c r="AD5373">
        <v>-1.1218316177299901</v>
      </c>
      <c r="AE5373">
        <v>-21.698</v>
      </c>
      <c r="AF5373">
        <v>-0.34381040993281098</v>
      </c>
      <c r="AG5373">
        <v>-1.1218316177299901</v>
      </c>
      <c r="AH5373">
        <v>21.6389963283927</v>
      </c>
      <c r="AI5373">
        <v>92.967357351053593</v>
      </c>
      <c r="AJ5373">
        <v>90.910265327320005</v>
      </c>
      <c r="AK5373">
        <v>21.670783877762901</v>
      </c>
      <c r="AL5373">
        <v>91.962195690924503</v>
      </c>
      <c r="AM5373">
        <v>88.764640938612004</v>
      </c>
      <c r="AN5373">
        <v>0.99999995832276301</v>
      </c>
    </row>
    <row r="5374" spans="1:40" x14ac:dyDescent="0.25">
      <c r="A5374" t="str">
        <f>"20190303153915647"</f>
        <v>20190303153915647</v>
      </c>
      <c r="B5374" t="str">
        <f>"1551598755644279"</f>
        <v>1551598755644279</v>
      </c>
      <c r="C5374" t="s">
        <v>40</v>
      </c>
      <c r="D5374">
        <v>4.5687939999999996</v>
      </c>
      <c r="E5374">
        <v>0.48292010000000002</v>
      </c>
      <c r="F5374" t="s">
        <v>68</v>
      </c>
      <c r="G5374">
        <v>-191.38759999999999</v>
      </c>
      <c r="H5374" s="1">
        <v>-1.0862179999999999E-5</v>
      </c>
      <c r="I5374">
        <v>149.3168</v>
      </c>
      <c r="J5374">
        <v>-191.25239999999999</v>
      </c>
      <c r="K5374">
        <v>1.1217980000000001</v>
      </c>
      <c r="L5374">
        <v>169.88210000000001</v>
      </c>
      <c r="M5374">
        <v>-2.745767E-2</v>
      </c>
      <c r="N5374">
        <v>-1.283774E-2</v>
      </c>
      <c r="O5374">
        <v>-0.99954069999999995</v>
      </c>
      <c r="P5374">
        <v>-4.7583140000000003E-2</v>
      </c>
      <c r="Q5374">
        <v>-4.8217059999999999E-2</v>
      </c>
      <c r="R5374">
        <v>-0.99770309999999995</v>
      </c>
      <c r="S5374">
        <v>-2.0019530000000001E-2</v>
      </c>
      <c r="T5374">
        <v>-0.16258499999999901</v>
      </c>
      <c r="U5374">
        <v>-2.9983369999999998</v>
      </c>
      <c r="V5374">
        <v>2.0209029999999999E-2</v>
      </c>
      <c r="W5374">
        <v>-3.5369680000000001E-2</v>
      </c>
      <c r="X5374">
        <v>0.99916990000000006</v>
      </c>
      <c r="Y5374">
        <v>-2.0781859999999999E-2</v>
      </c>
      <c r="Z5374">
        <v>4.1286290000000003E-2</v>
      </c>
      <c r="AA5374">
        <v>0.99893120000000002</v>
      </c>
      <c r="AB5374">
        <v>21</v>
      </c>
      <c r="AC5374">
        <v>-0.13519999999999699</v>
      </c>
      <c r="AD5374">
        <v>-1.12180886217999</v>
      </c>
      <c r="AE5374">
        <v>-20.565300000000001</v>
      </c>
      <c r="AF5374">
        <v>-0.42829827560459499</v>
      </c>
      <c r="AG5374">
        <v>-1.12180886217999</v>
      </c>
      <c r="AH5374">
        <v>20.500260544280799</v>
      </c>
      <c r="AI5374">
        <v>93.131515846006593</v>
      </c>
      <c r="AJ5374">
        <v>91.196868401152997</v>
      </c>
      <c r="AK5374">
        <v>20.535398143682201</v>
      </c>
      <c r="AL5374">
        <v>92.026956254857097</v>
      </c>
      <c r="AM5374">
        <v>88.841303892190894</v>
      </c>
      <c r="AN5374">
        <v>0.99999995411142495</v>
      </c>
    </row>
    <row r="5375" spans="1:40" x14ac:dyDescent="0.25">
      <c r="A5375" t="str">
        <f>"20190303153915658"</f>
        <v>20190303153915658</v>
      </c>
      <c r="B5375" t="str">
        <f>"1551598755654039"</f>
        <v>1551598755654039</v>
      </c>
      <c r="C5375" t="s">
        <v>40</v>
      </c>
      <c r="D5375">
        <v>4.6047089999999997</v>
      </c>
      <c r="E5375">
        <v>0.48257309999999998</v>
      </c>
      <c r="F5375" t="s">
        <v>68</v>
      </c>
      <c r="G5375">
        <v>-191.2979</v>
      </c>
      <c r="H5375" s="1">
        <v>-1.111891E-5</v>
      </c>
      <c r="I5375">
        <v>150.0677</v>
      </c>
      <c r="J5375">
        <v>-191.25489999999999</v>
      </c>
      <c r="K5375">
        <v>1.1217820000000001</v>
      </c>
      <c r="L5375">
        <v>169.77369999999999</v>
      </c>
      <c r="M5375">
        <v>-2.7073259999999998E-2</v>
      </c>
      <c r="N5375">
        <v>-1.2889319999999999E-2</v>
      </c>
      <c r="O5375">
        <v>-0.99955050000000001</v>
      </c>
      <c r="P5375">
        <v>-4.591245E-2</v>
      </c>
      <c r="Q5375">
        <v>-4.8418700000000002E-2</v>
      </c>
      <c r="R5375">
        <v>-0.99777139999999997</v>
      </c>
      <c r="S5375">
        <v>-6.8817139999999997E-3</v>
      </c>
      <c r="T5375">
        <v>-0.1697545</v>
      </c>
      <c r="U5375">
        <v>-2.9983520000000001</v>
      </c>
      <c r="V5375">
        <v>1.8919990000000001E-2</v>
      </c>
      <c r="W5375">
        <v>-3.5521740000000003E-2</v>
      </c>
      <c r="X5375">
        <v>0.99918980000000002</v>
      </c>
      <c r="Y5375">
        <v>-2.4772200000000001E-2</v>
      </c>
      <c r="Z5375">
        <v>4.3612600000000001E-2</v>
      </c>
      <c r="AA5375">
        <v>0.99874130000000005</v>
      </c>
      <c r="AB5375">
        <v>21</v>
      </c>
      <c r="AC5375">
        <v>-4.3000000000006297E-2</v>
      </c>
      <c r="AD5375">
        <v>-1.1217931189100001</v>
      </c>
      <c r="AE5375">
        <v>-19.7059999999999</v>
      </c>
      <c r="AF5375">
        <v>-0.48898107255940698</v>
      </c>
      <c r="AG5375">
        <v>-1.1217931189100001</v>
      </c>
      <c r="AH5375">
        <v>19.636306281876902</v>
      </c>
      <c r="AI5375">
        <v>93.268658047667103</v>
      </c>
      <c r="AJ5375">
        <v>91.426478198742103</v>
      </c>
      <c r="AK5375">
        <v>19.6744007961268</v>
      </c>
      <c r="AL5375">
        <v>92.035674019569299</v>
      </c>
      <c r="AM5375">
        <v>88.915215063103005</v>
      </c>
      <c r="AN5375">
        <v>1.00000000822913</v>
      </c>
    </row>
    <row r="5376" spans="1:40" x14ac:dyDescent="0.25">
      <c r="A5376" t="str">
        <f>"20190303153915670"</f>
        <v>20190303153915670</v>
      </c>
      <c r="B5376" t="str">
        <f>"1551598755663799"</f>
        <v>1551598755663799</v>
      </c>
      <c r="C5376" t="s">
        <v>40</v>
      </c>
      <c r="D5376">
        <v>4.5935819999999996</v>
      </c>
      <c r="E5376">
        <v>0.48226459999999999</v>
      </c>
      <c r="F5376" t="s">
        <v>68</v>
      </c>
      <c r="G5376">
        <v>-191.24969999999999</v>
      </c>
      <c r="H5376" s="1">
        <v>-1.111361E-5</v>
      </c>
      <c r="I5376">
        <v>150.0753</v>
      </c>
      <c r="J5376">
        <v>-191.25739999999999</v>
      </c>
      <c r="K5376">
        <v>1.1217680000000001</v>
      </c>
      <c r="L5376">
        <v>169.66749999999999</v>
      </c>
      <c r="M5376">
        <v>-2.6700680000000001E-2</v>
      </c>
      <c r="N5376">
        <v>-1.29382E-2</v>
      </c>
      <c r="O5376">
        <v>-0.99955989999999995</v>
      </c>
      <c r="P5376">
        <v>-4.4548079999999997E-2</v>
      </c>
      <c r="Q5376">
        <v>-4.8907590000000001E-2</v>
      </c>
      <c r="R5376">
        <v>-0.99780970000000002</v>
      </c>
      <c r="S5376">
        <v>7.9345700000000002E-4</v>
      </c>
      <c r="T5376">
        <v>-0.17075570000000001</v>
      </c>
      <c r="U5376">
        <v>-2.9984280000000001</v>
      </c>
      <c r="V5376">
        <v>1.792645E-2</v>
      </c>
      <c r="W5376">
        <v>-3.5963589999999997E-2</v>
      </c>
      <c r="X5376">
        <v>0.99919230000000003</v>
      </c>
      <c r="Y5376">
        <v>-2.6954990000000002E-2</v>
      </c>
      <c r="Z5376">
        <v>4.3893500000000002E-2</v>
      </c>
      <c r="AA5376">
        <v>0.99867249999999996</v>
      </c>
      <c r="AB5376">
        <v>21</v>
      </c>
      <c r="AC5376">
        <v>7.6999999999998103E-3</v>
      </c>
      <c r="AD5376">
        <v>-1.1217791136099999</v>
      </c>
      <c r="AE5376">
        <v>-19.592199999999899</v>
      </c>
      <c r="AF5376">
        <v>-0.52913137482728101</v>
      </c>
      <c r="AG5376">
        <v>-1.1217791136099999</v>
      </c>
      <c r="AH5376">
        <v>19.521012412095502</v>
      </c>
      <c r="AI5376">
        <v>93.287692139920296</v>
      </c>
      <c r="AJ5376">
        <v>91.552663989686494</v>
      </c>
      <c r="AK5376">
        <v>19.5603756095006</v>
      </c>
      <c r="AL5376">
        <v>92.061006373912207</v>
      </c>
      <c r="AM5376">
        <v>88.972170074983396</v>
      </c>
      <c r="AN5376">
        <v>0.99999999489728997</v>
      </c>
    </row>
    <row r="5377" spans="1:40" x14ac:dyDescent="0.25">
      <c r="A5377" t="str">
        <f>"20190303153915681"</f>
        <v>20190303153915681</v>
      </c>
      <c r="B5377" t="str">
        <f>"1551598755673559"</f>
        <v>1551598755673559</v>
      </c>
      <c r="C5377" t="s">
        <v>40</v>
      </c>
      <c r="D5377">
        <v>4.5949869999999997</v>
      </c>
      <c r="E5377">
        <v>0.48198390000000002</v>
      </c>
      <c r="F5377" t="s">
        <v>68</v>
      </c>
      <c r="G5377">
        <v>-191.20820000000001</v>
      </c>
      <c r="H5377" s="1">
        <v>-1.114429E-5</v>
      </c>
      <c r="I5377">
        <v>150.16399999999999</v>
      </c>
      <c r="J5377">
        <v>-191.25980000000001</v>
      </c>
      <c r="K5377">
        <v>1.1217569999999999</v>
      </c>
      <c r="L5377">
        <v>169.56489999999999</v>
      </c>
      <c r="M5377">
        <v>-2.6354889999999999E-2</v>
      </c>
      <c r="N5377">
        <v>-1.298035E-2</v>
      </c>
      <c r="O5377">
        <v>-0.99956849999999997</v>
      </c>
      <c r="P5377">
        <v>-4.3156710000000001E-2</v>
      </c>
      <c r="Q5377">
        <v>-4.8754760000000001E-2</v>
      </c>
      <c r="R5377">
        <v>-0.99787800000000004</v>
      </c>
      <c r="S5377">
        <v>7.5683590000000002E-3</v>
      </c>
      <c r="T5377">
        <v>-0.17246230000000001</v>
      </c>
      <c r="U5377">
        <v>-2.9984739999999999</v>
      </c>
      <c r="V5377">
        <v>1.6877650000000001E-2</v>
      </c>
      <c r="W5377">
        <v>-3.5770110000000001E-2</v>
      </c>
      <c r="X5377">
        <v>0.99921749999999998</v>
      </c>
      <c r="Y5377">
        <v>-2.8864500000000001E-2</v>
      </c>
      <c r="Z5377">
        <v>4.4415650000000001E-2</v>
      </c>
      <c r="AA5377">
        <v>0.99859609999999999</v>
      </c>
      <c r="AB5377">
        <v>21</v>
      </c>
      <c r="AC5377">
        <v>5.1600000000007598E-2</v>
      </c>
      <c r="AD5377">
        <v>-1.1217681442899901</v>
      </c>
      <c r="AE5377">
        <v>-19.4009</v>
      </c>
      <c r="AF5377">
        <v>-0.561057958066841</v>
      </c>
      <c r="AG5377">
        <v>-1.1217681442899901</v>
      </c>
      <c r="AH5377">
        <v>19.328182391869401</v>
      </c>
      <c r="AI5377">
        <v>93.320208193732896</v>
      </c>
      <c r="AJ5377">
        <v>91.662713436278594</v>
      </c>
      <c r="AK5377">
        <v>19.368835390266099</v>
      </c>
      <c r="AL5377">
        <v>92.0499136713089</v>
      </c>
      <c r="AM5377">
        <v>89.032316622790205</v>
      </c>
      <c r="AN5377">
        <v>0.99999998407259205</v>
      </c>
    </row>
    <row r="5378" spans="1:40" x14ac:dyDescent="0.25">
      <c r="A5378" t="str">
        <f>"20190303153915693"</f>
        <v>20190303153915693</v>
      </c>
      <c r="B5378" t="str">
        <f>"1551598755684295"</f>
        <v>1551598755684295</v>
      </c>
      <c r="C5378" t="s">
        <v>40</v>
      </c>
      <c r="D5378">
        <v>4.5857910000000004</v>
      </c>
      <c r="E5378">
        <v>0.48184450000000001</v>
      </c>
      <c r="F5378" t="s">
        <v>68</v>
      </c>
      <c r="G5378">
        <v>-191.1694</v>
      </c>
      <c r="H5378" s="1">
        <v>-1.1071430000000001E-5</v>
      </c>
      <c r="I5378">
        <v>150.0102</v>
      </c>
      <c r="J5378">
        <v>-191.2621</v>
      </c>
      <c r="K5378">
        <v>1.121742</v>
      </c>
      <c r="L5378">
        <v>169.46129999999999</v>
      </c>
      <c r="M5378">
        <v>-2.6010729999999999E-2</v>
      </c>
      <c r="N5378">
        <v>-1.3021309999999999E-2</v>
      </c>
      <c r="O5378">
        <v>-0.99957700000000005</v>
      </c>
      <c r="P5378">
        <v>-4.1775310000000003E-2</v>
      </c>
      <c r="Q5378">
        <v>-4.8490270000000002E-2</v>
      </c>
      <c r="R5378">
        <v>-0.9979498</v>
      </c>
      <c r="S5378">
        <v>1.3854979999999999E-2</v>
      </c>
      <c r="T5378">
        <v>-0.1720139</v>
      </c>
      <c r="U5378">
        <v>-2.9985499999999998</v>
      </c>
      <c r="V5378">
        <v>1.583704E-2</v>
      </c>
      <c r="W5378">
        <v>-3.5465990000000003E-2</v>
      </c>
      <c r="X5378">
        <v>0.99924539999999995</v>
      </c>
      <c r="Y5378">
        <v>-3.0613040000000001E-2</v>
      </c>
      <c r="Z5378">
        <v>4.4223169999999999E-2</v>
      </c>
      <c r="AA5378">
        <v>0.99855249999999995</v>
      </c>
      <c r="AB5378">
        <v>21</v>
      </c>
      <c r="AC5378">
        <v>9.2700000000007707E-2</v>
      </c>
      <c r="AD5378">
        <v>-1.1217530714299999</v>
      </c>
      <c r="AE5378">
        <v>-19.4511</v>
      </c>
      <c r="AF5378">
        <v>-0.59666437754914003</v>
      </c>
      <c r="AG5378">
        <v>-1.1217530714299999</v>
      </c>
      <c r="AH5378">
        <v>19.377660220948702</v>
      </c>
      <c r="AI5378">
        <v>93.311530937319205</v>
      </c>
      <c r="AJ5378">
        <v>91.763657338433205</v>
      </c>
      <c r="AK5378">
        <v>19.419270170921401</v>
      </c>
      <c r="AL5378">
        <v>92.032477764643204</v>
      </c>
      <c r="AM5378">
        <v>89.091995232642503</v>
      </c>
      <c r="AN5378">
        <v>1.0000000088519001</v>
      </c>
    </row>
    <row r="5379" spans="1:40" x14ac:dyDescent="0.25">
      <c r="A5379" t="str">
        <f>"20190303153915703"</f>
        <v>20190303153915703</v>
      </c>
      <c r="B5379" t="str">
        <f>"1551598755694055"</f>
        <v>1551598755694055</v>
      </c>
      <c r="C5379" t="s">
        <v>40</v>
      </c>
      <c r="D5379">
        <v>4.5799260000000004</v>
      </c>
      <c r="E5379">
        <v>0.4817208</v>
      </c>
      <c r="F5379" t="s">
        <v>68</v>
      </c>
      <c r="G5379">
        <v>-191.1353</v>
      </c>
      <c r="H5379" s="1">
        <v>-1.0948580000000001E-5</v>
      </c>
      <c r="I5379">
        <v>149.7379</v>
      </c>
      <c r="J5379">
        <v>-191.26439999999999</v>
      </c>
      <c r="K5379">
        <v>1.1217299999999999</v>
      </c>
      <c r="L5379">
        <v>169.35659999999999</v>
      </c>
      <c r="M5379">
        <v>-2.567345E-2</v>
      </c>
      <c r="N5379">
        <v>-1.3059110000000001E-2</v>
      </c>
      <c r="O5379">
        <v>-0.99958530000000001</v>
      </c>
      <c r="P5379">
        <v>-4.0730799999999998E-2</v>
      </c>
      <c r="Q5379">
        <v>-4.8146210000000002E-2</v>
      </c>
      <c r="R5379">
        <v>-0.99800979999999995</v>
      </c>
      <c r="S5379">
        <v>1.927185E-2</v>
      </c>
      <c r="T5379">
        <v>-0.1705469</v>
      </c>
      <c r="U5379">
        <v>-2.998672</v>
      </c>
      <c r="V5379">
        <v>1.512669E-2</v>
      </c>
      <c r="W5379">
        <v>-3.508505E-2</v>
      </c>
      <c r="X5379">
        <v>0.99926979999999999</v>
      </c>
      <c r="Y5379">
        <v>-3.2078849999999999E-2</v>
      </c>
      <c r="Z5379">
        <v>4.3695169999999998E-2</v>
      </c>
      <c r="AA5379">
        <v>0.99852969999999996</v>
      </c>
      <c r="AB5379">
        <v>21</v>
      </c>
      <c r="AC5379">
        <v>0.129099999999994</v>
      </c>
      <c r="AD5379">
        <v>-1.1217409485799901</v>
      </c>
      <c r="AE5379">
        <v>-19.618699999999901</v>
      </c>
      <c r="AF5379">
        <v>-0.63071812696804797</v>
      </c>
      <c r="AG5379">
        <v>-1.1217409485799901</v>
      </c>
      <c r="AH5379">
        <v>19.545023216900901</v>
      </c>
      <c r="AI5379">
        <v>93.283048788003001</v>
      </c>
      <c r="AJ5379">
        <v>91.848294074692902</v>
      </c>
      <c r="AK5379">
        <v>19.5873438898847</v>
      </c>
      <c r="AL5379">
        <v>92.010638025526802</v>
      </c>
      <c r="AM5379">
        <v>89.132737422223201</v>
      </c>
      <c r="AN5379">
        <v>0.99999995533794805</v>
      </c>
    </row>
    <row r="5380" spans="1:40" x14ac:dyDescent="0.25">
      <c r="A5380" t="str">
        <f>"20190303153915715"</f>
        <v>20190303153915715</v>
      </c>
      <c r="B5380" t="str">
        <f>"1551598755703816"</f>
        <v>1551598755703816</v>
      </c>
      <c r="C5380" t="s">
        <v>40</v>
      </c>
      <c r="D5380">
        <v>4.5416069999999999</v>
      </c>
      <c r="E5380">
        <v>0.48173120000000003</v>
      </c>
      <c r="F5380" t="s">
        <v>68</v>
      </c>
      <c r="G5380">
        <v>-191.10910000000001</v>
      </c>
      <c r="H5380" s="1">
        <v>-1.08418899999999E-5</v>
      </c>
      <c r="I5380">
        <v>149.4271</v>
      </c>
      <c r="J5380">
        <v>-191.26679999999999</v>
      </c>
      <c r="K5380">
        <v>1.1217170000000001</v>
      </c>
      <c r="L5380">
        <v>169.24680000000001</v>
      </c>
      <c r="M5380">
        <v>-2.5326660000000001E-2</v>
      </c>
      <c r="N5380">
        <v>-1.3096150000000001E-2</v>
      </c>
      <c r="O5380">
        <v>-0.99959339999999997</v>
      </c>
      <c r="P5380">
        <v>-3.9648419999999997E-2</v>
      </c>
      <c r="Q5380">
        <v>-4.755989E-2</v>
      </c>
      <c r="R5380">
        <v>-0.9980812</v>
      </c>
      <c r="S5380">
        <v>2.336121E-2</v>
      </c>
      <c r="T5380">
        <v>-0.16878779999999999</v>
      </c>
      <c r="U5380">
        <v>-2.9987789999999999</v>
      </c>
      <c r="V5380">
        <v>1.4387580000000001E-2</v>
      </c>
      <c r="W5380">
        <v>-3.446246E-2</v>
      </c>
      <c r="X5380">
        <v>0.99930240000000004</v>
      </c>
      <c r="Y5380">
        <v>-3.3093299999999999E-2</v>
      </c>
      <c r="Z5380">
        <v>4.3071739999999997E-2</v>
      </c>
      <c r="AA5380">
        <v>0.99852370000000001</v>
      </c>
      <c r="AB5380">
        <v>21</v>
      </c>
      <c r="AC5380">
        <v>0.157699999999977</v>
      </c>
      <c r="AD5380">
        <v>-1.1217278418899901</v>
      </c>
      <c r="AE5380">
        <v>-19.819700000000001</v>
      </c>
      <c r="AF5380">
        <v>-0.65755315655209001</v>
      </c>
      <c r="AG5380">
        <v>-1.1217278418899901</v>
      </c>
      <c r="AH5380">
        <v>19.746100722516601</v>
      </c>
      <c r="AI5380">
        <v>93.249541716181497</v>
      </c>
      <c r="AJ5380">
        <v>91.907267885784407</v>
      </c>
      <c r="AK5380">
        <v>19.788864122246501</v>
      </c>
      <c r="AL5380">
        <v>91.974944617899794</v>
      </c>
      <c r="AM5380">
        <v>89.175133915032603</v>
      </c>
      <c r="AN5380">
        <v>0.99999997512663297</v>
      </c>
    </row>
    <row r="5381" spans="1:40" x14ac:dyDescent="0.25">
      <c r="A5381" t="str">
        <f>"20190303153915727"</f>
        <v>20190303153915727</v>
      </c>
      <c r="B5381" t="str">
        <f>"1551598755724311"</f>
        <v>1551598755724311</v>
      </c>
      <c r="C5381" t="s">
        <v>40</v>
      </c>
      <c r="D5381">
        <v>4.5640489999999998</v>
      </c>
      <c r="E5381">
        <v>0.48181990000000002</v>
      </c>
      <c r="F5381" t="s">
        <v>68</v>
      </c>
      <c r="G5381">
        <v>-191.08760000000001</v>
      </c>
      <c r="H5381" s="1">
        <v>-1.0718649999999999E-5</v>
      </c>
      <c r="I5381">
        <v>148.9743</v>
      </c>
      <c r="J5381">
        <v>-191.26920000000001</v>
      </c>
      <c r="K5381">
        <v>1.12171</v>
      </c>
      <c r="L5381">
        <v>169.13669999999999</v>
      </c>
      <c r="M5381">
        <v>-2.4984989999999999E-2</v>
      </c>
      <c r="N5381">
        <v>-1.313106E-2</v>
      </c>
      <c r="O5381">
        <v>-0.99960170000000004</v>
      </c>
      <c r="P5381">
        <v>-3.8715199999999998E-2</v>
      </c>
      <c r="Q5381">
        <v>-4.7201060000000003E-2</v>
      </c>
      <c r="R5381">
        <v>-0.99813510000000005</v>
      </c>
      <c r="S5381">
        <v>2.650452E-2</v>
      </c>
      <c r="T5381">
        <v>-0.16593749999999999</v>
      </c>
      <c r="U5381">
        <v>-2.9989170000000001</v>
      </c>
      <c r="V5381">
        <v>1.379328E-2</v>
      </c>
      <c r="W5381">
        <v>-3.4069380000000003E-2</v>
      </c>
      <c r="X5381">
        <v>0.99932430000000005</v>
      </c>
      <c r="Y5381">
        <v>-3.379807E-2</v>
      </c>
      <c r="Z5381">
        <v>4.2088059999999997E-2</v>
      </c>
      <c r="AA5381">
        <v>0.99854209999999999</v>
      </c>
      <c r="AB5381">
        <v>21</v>
      </c>
      <c r="AC5381">
        <v>0.18160000000000301</v>
      </c>
      <c r="AD5381">
        <v>-1.12172071865</v>
      </c>
      <c r="AE5381">
        <v>-20.162399999999899</v>
      </c>
      <c r="AF5381">
        <v>-0.68322949644296604</v>
      </c>
      <c r="AG5381">
        <v>-1.12172071865</v>
      </c>
      <c r="AH5381">
        <v>20.089391967860301</v>
      </c>
      <c r="AI5381">
        <v>93.194032701924797</v>
      </c>
      <c r="AJ5381">
        <v>91.947848117536296</v>
      </c>
      <c r="AK5381">
        <v>20.132280783701201</v>
      </c>
      <c r="AL5381">
        <v>91.952409476902005</v>
      </c>
      <c r="AM5381">
        <v>89.209219120970602</v>
      </c>
      <c r="AN5381">
        <v>1.0000000168986101</v>
      </c>
    </row>
    <row r="5382" spans="1:40" x14ac:dyDescent="0.25">
      <c r="A5382" t="str">
        <f>"20190303153915738"</f>
        <v>20190303153915738</v>
      </c>
      <c r="B5382" t="str">
        <f>"1551598755734071"</f>
        <v>1551598755734071</v>
      </c>
      <c r="C5382" t="s">
        <v>40</v>
      </c>
      <c r="D5382">
        <v>4.557982</v>
      </c>
      <c r="E5382">
        <v>0.48180329999999899</v>
      </c>
      <c r="F5382" t="s">
        <v>68</v>
      </c>
      <c r="G5382">
        <v>-191.07140000000001</v>
      </c>
      <c r="H5382" s="1">
        <v>-1.0600540000000001E-5</v>
      </c>
      <c r="I5382">
        <v>148.53729999999999</v>
      </c>
      <c r="J5382">
        <v>-191.2715</v>
      </c>
      <c r="K5382">
        <v>1.121707</v>
      </c>
      <c r="L5382">
        <v>169.02940000000001</v>
      </c>
      <c r="M5382">
        <v>-2.4659710000000001E-2</v>
      </c>
      <c r="N5382">
        <v>-1.31615E-2</v>
      </c>
      <c r="O5382">
        <v>-0.99960950000000004</v>
      </c>
      <c r="P5382">
        <v>-3.7457669999999998E-2</v>
      </c>
      <c r="Q5382">
        <v>-4.6360060000000002E-2</v>
      </c>
      <c r="R5382">
        <v>-0.99822259999999996</v>
      </c>
      <c r="S5382">
        <v>2.8793329999999999E-2</v>
      </c>
      <c r="T5382">
        <v>-0.1633095</v>
      </c>
      <c r="U5382">
        <v>-2.9990230000000002</v>
      </c>
      <c r="V5382">
        <v>1.2857449999999999E-2</v>
      </c>
      <c r="W5382">
        <v>-3.3198489999999997E-2</v>
      </c>
      <c r="X5382">
        <v>0.99936599999999998</v>
      </c>
      <c r="Y5382">
        <v>-3.4234859999999999E-2</v>
      </c>
      <c r="Z5382">
        <v>4.118339E-2</v>
      </c>
      <c r="AA5382">
        <v>0.99856489999999998</v>
      </c>
      <c r="AB5382">
        <v>21</v>
      </c>
      <c r="AC5382">
        <v>0.20009999999999101</v>
      </c>
      <c r="AD5382">
        <v>-1.12171760053999</v>
      </c>
      <c r="AE5382">
        <v>-20.492100000000001</v>
      </c>
      <c r="AF5382">
        <v>-0.70330488110272005</v>
      </c>
      <c r="AG5382">
        <v>-1.12171760053999</v>
      </c>
      <c r="AH5382">
        <v>20.4197533859302</v>
      </c>
      <c r="AI5382">
        <v>93.142407259983401</v>
      </c>
      <c r="AJ5382">
        <v>91.972623162051207</v>
      </c>
      <c r="AK5382">
        <v>20.4626297545881</v>
      </c>
      <c r="AL5382">
        <v>91.902483076706901</v>
      </c>
      <c r="AM5382">
        <v>89.262895697437799</v>
      </c>
      <c r="AN5382">
        <v>0.999999927857388</v>
      </c>
    </row>
    <row r="5383" spans="1:40" x14ac:dyDescent="0.25">
      <c r="A5383" t="str">
        <f>"20190303153915751"</f>
        <v>20190303153915751</v>
      </c>
      <c r="B5383" t="str">
        <f>"1551598755743831"</f>
        <v>1551598755743831</v>
      </c>
      <c r="C5383" t="s">
        <v>40</v>
      </c>
      <c r="D5383">
        <v>4.5558899999999998</v>
      </c>
      <c r="E5383">
        <v>0.48183229999999999</v>
      </c>
      <c r="F5383" t="s">
        <v>68</v>
      </c>
      <c r="G5383">
        <v>-191.04249999999999</v>
      </c>
      <c r="H5383" s="1">
        <v>-1.0460520000000001E-5</v>
      </c>
      <c r="I5383">
        <v>148.0258</v>
      </c>
      <c r="J5383">
        <v>-191.2739</v>
      </c>
      <c r="K5383">
        <v>1.1216999999999999</v>
      </c>
      <c r="L5383">
        <v>168.91739999999999</v>
      </c>
      <c r="M5383">
        <v>-2.4322199999999999E-2</v>
      </c>
      <c r="N5383">
        <v>-1.319202E-2</v>
      </c>
      <c r="O5383">
        <v>-0.99961739999999999</v>
      </c>
      <c r="P5383">
        <v>-3.6314739999999998E-2</v>
      </c>
      <c r="Q5383">
        <v>-4.5691259999999997E-2</v>
      </c>
      <c r="R5383">
        <v>-0.99829570000000001</v>
      </c>
      <c r="S5383">
        <v>3.2699579999999999E-2</v>
      </c>
      <c r="T5383">
        <v>-0.16017190000000001</v>
      </c>
      <c r="U5383">
        <v>-2.9991300000000001</v>
      </c>
      <c r="V5383">
        <v>1.204904E-2</v>
      </c>
      <c r="W5383">
        <v>-3.249966E-2</v>
      </c>
      <c r="X5383">
        <v>0.99939909999999998</v>
      </c>
      <c r="Y5383">
        <v>-3.5197770000000003E-2</v>
      </c>
      <c r="Z5383">
        <v>4.010872E-2</v>
      </c>
      <c r="AA5383">
        <v>0.9985752</v>
      </c>
      <c r="AB5383">
        <v>21</v>
      </c>
      <c r="AC5383">
        <v>0.23140000000000699</v>
      </c>
      <c r="AD5383">
        <v>-1.1217104605199999</v>
      </c>
      <c r="AE5383">
        <v>-20.891599999999901</v>
      </c>
      <c r="AF5383">
        <v>-0.737379813408507</v>
      </c>
      <c r="AG5383">
        <v>-1.1217104605199999</v>
      </c>
      <c r="AH5383">
        <v>20.819777559319299</v>
      </c>
      <c r="AI5383">
        <v>93.082023450631496</v>
      </c>
      <c r="AJ5383">
        <v>92.028412599102793</v>
      </c>
      <c r="AK5383">
        <v>20.863007955853199</v>
      </c>
      <c r="AL5383">
        <v>91.862421338157802</v>
      </c>
      <c r="AM5383">
        <v>89.309259240597001</v>
      </c>
      <c r="AN5383">
        <v>0.99999998417292302</v>
      </c>
    </row>
    <row r="5384" spans="1:40" x14ac:dyDescent="0.25">
      <c r="A5384" t="str">
        <f>"20190303153915762"</f>
        <v>20190303153915762</v>
      </c>
      <c r="B5384" t="str">
        <f>"1551598755753592"</f>
        <v>1551598755753592</v>
      </c>
      <c r="C5384" t="s">
        <v>40</v>
      </c>
      <c r="D5384">
        <v>4.5630379999999997</v>
      </c>
      <c r="E5384">
        <v>0.48188130000000001</v>
      </c>
      <c r="F5384" t="s">
        <v>68</v>
      </c>
      <c r="G5384">
        <v>-191.01859999999999</v>
      </c>
      <c r="H5384" s="1">
        <v>-1.033265E-5</v>
      </c>
      <c r="I5384">
        <v>147.55709999999999</v>
      </c>
      <c r="J5384">
        <v>-191.27610000000001</v>
      </c>
      <c r="K5384">
        <v>1.1216999999999999</v>
      </c>
      <c r="L5384">
        <v>168.8098</v>
      </c>
      <c r="M5384">
        <v>-2.4002229999999999E-2</v>
      </c>
      <c r="N5384">
        <v>-1.321814E-2</v>
      </c>
      <c r="O5384">
        <v>-0.99962470000000003</v>
      </c>
      <c r="P5384">
        <v>-3.5078209999999999E-2</v>
      </c>
      <c r="Q5384">
        <v>-4.4951390000000001E-2</v>
      </c>
      <c r="R5384">
        <v>-0.99837339999999997</v>
      </c>
      <c r="S5384">
        <v>3.5842899999999997E-2</v>
      </c>
      <c r="T5384">
        <v>-0.1574998</v>
      </c>
      <c r="U5384">
        <v>-2.9992070000000002</v>
      </c>
      <c r="V5384">
        <v>1.112961E-2</v>
      </c>
      <c r="W5384">
        <v>-3.1734119999999998E-2</v>
      </c>
      <c r="X5384">
        <v>0.99943439999999995</v>
      </c>
      <c r="Y5384">
        <v>-3.5924310000000001E-2</v>
      </c>
      <c r="Z5384">
        <v>3.9193690000000003E-2</v>
      </c>
      <c r="AA5384">
        <v>0.99858559999999996</v>
      </c>
      <c r="AB5384">
        <v>21</v>
      </c>
      <c r="AC5384">
        <v>0.25750000000002099</v>
      </c>
      <c r="AD5384">
        <v>-1.12171033265</v>
      </c>
      <c r="AE5384">
        <v>-21.252700000000001</v>
      </c>
      <c r="AF5384">
        <v>-0.76545047462147697</v>
      </c>
      <c r="AG5384">
        <v>-1.12171033265</v>
      </c>
      <c r="AH5384">
        <v>21.1813988130707</v>
      </c>
      <c r="AI5384">
        <v>93.029426003552103</v>
      </c>
      <c r="AJ5384">
        <v>92.069646358474401</v>
      </c>
      <c r="AK5384">
        <v>21.224886434980601</v>
      </c>
      <c r="AL5384">
        <v>91.818536418561294</v>
      </c>
      <c r="AM5384">
        <v>89.361985815814194</v>
      </c>
      <c r="AN5384">
        <v>1.00000002124714</v>
      </c>
    </row>
    <row r="5385" spans="1:40" x14ac:dyDescent="0.25">
      <c r="A5385" t="str">
        <f>"20190303153915773"</f>
        <v>20190303153915773</v>
      </c>
      <c r="B5385" t="str">
        <f>"1551598755764327"</f>
        <v>1551598755764327</v>
      </c>
      <c r="C5385" t="s">
        <v>40</v>
      </c>
      <c r="D5385">
        <v>4.5549770000000001</v>
      </c>
      <c r="E5385">
        <v>0.4819119</v>
      </c>
      <c r="F5385" t="s">
        <v>68</v>
      </c>
      <c r="G5385">
        <v>-190.99189999999999</v>
      </c>
      <c r="H5385" s="1">
        <v>-1.0198040000000001E-5</v>
      </c>
      <c r="I5385">
        <v>147.06460000000001</v>
      </c>
      <c r="J5385">
        <v>-191.27809999999999</v>
      </c>
      <c r="K5385">
        <v>1.1216999999999999</v>
      </c>
      <c r="L5385">
        <v>168.714</v>
      </c>
      <c r="M5385">
        <v>-2.3717419999999999E-2</v>
      </c>
      <c r="N5385">
        <v>-1.324033E-2</v>
      </c>
      <c r="O5385">
        <v>-0.99963120000000005</v>
      </c>
      <c r="P5385">
        <v>-3.3583790000000002E-2</v>
      </c>
      <c r="Q5385">
        <v>-4.4197989999999999E-2</v>
      </c>
      <c r="R5385">
        <v>-0.99845830000000002</v>
      </c>
      <c r="S5385">
        <v>3.9199829999999998E-2</v>
      </c>
      <c r="T5385">
        <v>-0.15471699999999999</v>
      </c>
      <c r="U5385">
        <v>-2.9993129999999999</v>
      </c>
      <c r="V5385">
        <v>9.9172070000000008E-3</v>
      </c>
      <c r="W5385">
        <v>-3.0959110000000001E-2</v>
      </c>
      <c r="X5385">
        <v>0.99947140000000001</v>
      </c>
      <c r="Y5385">
        <v>-3.675693E-2</v>
      </c>
      <c r="Z5385">
        <v>3.824499E-2</v>
      </c>
      <c r="AA5385">
        <v>0.99859209999999998</v>
      </c>
      <c r="AB5385">
        <v>21</v>
      </c>
      <c r="AC5385">
        <v>0.286200000000008</v>
      </c>
      <c r="AD5385">
        <v>-1.1217101980399999</v>
      </c>
      <c r="AE5385">
        <v>-21.6494</v>
      </c>
      <c r="AF5385">
        <v>-0.79749178889150996</v>
      </c>
      <c r="AG5385">
        <v>-1.1217101980399999</v>
      </c>
      <c r="AH5385">
        <v>21.578602029149199</v>
      </c>
      <c r="AI5385">
        <v>92.973674397410406</v>
      </c>
      <c r="AJ5385">
        <v>92.116547092018394</v>
      </c>
      <c r="AK5385">
        <v>21.622448807989802</v>
      </c>
      <c r="AL5385">
        <v>91.774109913098599</v>
      </c>
      <c r="AM5385">
        <v>89.431504034123407</v>
      </c>
      <c r="AN5385">
        <v>0.99999994845231499</v>
      </c>
    </row>
    <row r="5386" spans="1:40" x14ac:dyDescent="0.25">
      <c r="A5386" t="str">
        <f>"20190303153915784"</f>
        <v>20190303153915784</v>
      </c>
      <c r="B5386" t="str">
        <f>"1551598755774087"</f>
        <v>1551598755774087</v>
      </c>
      <c r="C5386" t="s">
        <v>40</v>
      </c>
      <c r="D5386">
        <v>4.5243760000000002</v>
      </c>
      <c r="E5386">
        <v>0.4819444</v>
      </c>
      <c r="F5386" t="s">
        <v>68</v>
      </c>
      <c r="G5386">
        <v>-190.95820000000001</v>
      </c>
      <c r="H5386" s="1">
        <v>-1.0070909999999999E-5</v>
      </c>
      <c r="I5386">
        <v>146.6052</v>
      </c>
      <c r="J5386">
        <v>-191.28020000000001</v>
      </c>
      <c r="K5386">
        <v>1.121704</v>
      </c>
      <c r="L5386">
        <v>168.60589999999999</v>
      </c>
      <c r="M5386">
        <v>-2.3396500000000001E-2</v>
      </c>
      <c r="N5386">
        <v>-1.3263260000000001E-2</v>
      </c>
      <c r="O5386">
        <v>-0.99963829999999998</v>
      </c>
      <c r="P5386">
        <v>-3.1998779999999998E-2</v>
      </c>
      <c r="Q5386">
        <v>-4.4175209999999999E-2</v>
      </c>
      <c r="R5386">
        <v>-0.99851140000000005</v>
      </c>
      <c r="S5386">
        <v>4.3395999999999997E-2</v>
      </c>
      <c r="T5386">
        <v>-0.15217439999999999</v>
      </c>
      <c r="U5386">
        <v>-2.9993439999999998</v>
      </c>
      <c r="V5386">
        <v>8.6517790000000001E-3</v>
      </c>
      <c r="W5386">
        <v>-3.091439E-2</v>
      </c>
      <c r="X5386">
        <v>0.99948459999999995</v>
      </c>
      <c r="Y5386">
        <v>-3.7832959999999999E-2</v>
      </c>
      <c r="Z5386">
        <v>3.737621E-2</v>
      </c>
      <c r="AA5386">
        <v>0.9985849</v>
      </c>
      <c r="AB5386">
        <v>21</v>
      </c>
      <c r="AC5386">
        <v>0.32200000000000201</v>
      </c>
      <c r="AD5386">
        <v>-1.12171407091</v>
      </c>
      <c r="AE5386">
        <v>-22.000699999999899</v>
      </c>
      <c r="AF5386">
        <v>-0.83452759208199601</v>
      </c>
      <c r="AG5386">
        <v>-1.12171407091</v>
      </c>
      <c r="AH5386">
        <v>21.9301468240755</v>
      </c>
      <c r="AI5386">
        <v>92.925979438568405</v>
      </c>
      <c r="AJ5386">
        <v>92.179276275961001</v>
      </c>
      <c r="AK5386">
        <v>21.9746676535581</v>
      </c>
      <c r="AL5386">
        <v>91.771546311000094</v>
      </c>
      <c r="AM5386">
        <v>89.5040463442256</v>
      </c>
      <c r="AN5386">
        <v>1.0000000092130401</v>
      </c>
    </row>
    <row r="5387" spans="1:40" x14ac:dyDescent="0.25">
      <c r="A5387" t="str">
        <f>"20190303153915798"</f>
        <v>20190303153915798</v>
      </c>
      <c r="B5387" t="str">
        <f>"1551598755793607"</f>
        <v>1551598755793607</v>
      </c>
      <c r="C5387" t="s">
        <v>40</v>
      </c>
      <c r="D5387">
        <v>4.5403659999999997</v>
      </c>
      <c r="E5387">
        <v>0.48211900000000002</v>
      </c>
      <c r="F5387" t="s">
        <v>68</v>
      </c>
      <c r="G5387">
        <v>-190.92679999999999</v>
      </c>
      <c r="H5387" s="1">
        <v>-1.00539399999999E-5</v>
      </c>
      <c r="I5387">
        <v>146.56190000000001</v>
      </c>
      <c r="J5387">
        <v>-191.28270000000001</v>
      </c>
      <c r="K5387">
        <v>1.121707</v>
      </c>
      <c r="L5387">
        <v>168.48330000000001</v>
      </c>
      <c r="M5387">
        <v>-2.3031639999999999E-2</v>
      </c>
      <c r="N5387">
        <v>-1.32871E-2</v>
      </c>
      <c r="O5387">
        <v>-0.9996467</v>
      </c>
      <c r="P5387">
        <v>-3.0008610000000002E-2</v>
      </c>
      <c r="Q5387">
        <v>-4.357333E-2</v>
      </c>
      <c r="R5387">
        <v>-0.99859960000000003</v>
      </c>
      <c r="S5387">
        <v>4.8080440000000002E-2</v>
      </c>
      <c r="T5387">
        <v>-0.1526198</v>
      </c>
      <c r="U5387">
        <v>-2.9992830000000001</v>
      </c>
      <c r="V5387">
        <v>7.0239940000000004E-3</v>
      </c>
      <c r="W5387">
        <v>-3.02896E-2</v>
      </c>
      <c r="X5387">
        <v>0.99951650000000003</v>
      </c>
      <c r="Y5387">
        <v>-3.9027119999999998E-2</v>
      </c>
      <c r="Z5387">
        <v>3.7499989999999997E-2</v>
      </c>
      <c r="AA5387">
        <v>0.99853429999999999</v>
      </c>
      <c r="AB5387">
        <v>21</v>
      </c>
      <c r="AC5387">
        <v>0.35590000000001898</v>
      </c>
      <c r="AD5387">
        <v>-1.1217170539399901</v>
      </c>
      <c r="AE5387">
        <v>-21.921399999999998</v>
      </c>
      <c r="AF5387">
        <v>-0.85848856629418302</v>
      </c>
      <c r="AG5387">
        <v>-1.1217170539399901</v>
      </c>
      <c r="AH5387">
        <v>21.850189668241502</v>
      </c>
      <c r="AI5387">
        <v>92.936535770851293</v>
      </c>
      <c r="AJ5387">
        <v>92.2499797775085</v>
      </c>
      <c r="AK5387">
        <v>21.8957996041635</v>
      </c>
      <c r="AL5387">
        <v>91.735731696705599</v>
      </c>
      <c r="AM5387">
        <v>89.597366739913497</v>
      </c>
      <c r="AN5387">
        <v>1.00000001506606</v>
      </c>
    </row>
    <row r="5388" spans="1:40" x14ac:dyDescent="0.25">
      <c r="A5388" t="str">
        <f>"20190303153915817"</f>
        <v>20190303153915817</v>
      </c>
      <c r="B5388" t="str">
        <f>"1551598755814103"</f>
        <v>1551598755814103</v>
      </c>
      <c r="C5388" t="s">
        <v>40</v>
      </c>
      <c r="D5388">
        <v>4.5308919999999997</v>
      </c>
      <c r="E5388">
        <v>0.48235929999999999</v>
      </c>
      <c r="F5388" t="s">
        <v>68</v>
      </c>
      <c r="G5388">
        <v>-190.8937</v>
      </c>
      <c r="H5388" s="1">
        <v>-9.9965389999999999E-6</v>
      </c>
      <c r="I5388">
        <v>146.36660000000001</v>
      </c>
      <c r="J5388">
        <v>-191.2859</v>
      </c>
      <c r="K5388">
        <v>1.1217239999999999</v>
      </c>
      <c r="L5388">
        <v>168.31639999999999</v>
      </c>
      <c r="M5388">
        <v>-2.2531499999999999E-2</v>
      </c>
      <c r="N5388">
        <v>-1.331652E-2</v>
      </c>
      <c r="O5388">
        <v>-0.99965740000000003</v>
      </c>
      <c r="P5388">
        <v>-2.5710460000000001E-2</v>
      </c>
      <c r="Q5388">
        <v>-4.2060670000000001E-2</v>
      </c>
      <c r="R5388">
        <v>-0.99878420000000001</v>
      </c>
      <c r="S5388">
        <v>5.2749629999999999E-2</v>
      </c>
      <c r="T5388">
        <v>-0.1521121</v>
      </c>
      <c r="U5388">
        <v>-2.9991759999999998</v>
      </c>
      <c r="V5388">
        <v>3.221177E-3</v>
      </c>
      <c r="W5388">
        <v>-2.874968E-2</v>
      </c>
      <c r="X5388">
        <v>0.99958150000000001</v>
      </c>
      <c r="Y5388">
        <v>-4.0081529999999997E-2</v>
      </c>
      <c r="Z5388">
        <v>3.7302769999999999E-2</v>
      </c>
      <c r="AA5388">
        <v>0.9984999</v>
      </c>
      <c r="AB5388">
        <v>21</v>
      </c>
      <c r="AC5388">
        <v>0.39220000000000199</v>
      </c>
      <c r="AD5388">
        <v>-1.1217339965390001</v>
      </c>
      <c r="AE5388">
        <v>-21.9497999999999</v>
      </c>
      <c r="AF5388">
        <v>-0.88439719339962897</v>
      </c>
      <c r="AG5388">
        <v>-1.1217339965390001</v>
      </c>
      <c r="AH5388">
        <v>21.878268430636599</v>
      </c>
      <c r="AI5388">
        <v>92.932685711060699</v>
      </c>
      <c r="AJ5388">
        <v>92.314838271885193</v>
      </c>
      <c r="AK5388">
        <v>21.924850628400598</v>
      </c>
      <c r="AL5388">
        <v>91.647462251107598</v>
      </c>
      <c r="AM5388">
        <v>89.815363521329502</v>
      </c>
      <c r="AN5388">
        <v>1.0000000476118001</v>
      </c>
    </row>
    <row r="5389" spans="1:40" x14ac:dyDescent="0.25">
      <c r="A5389" t="str">
        <f>"20190303153915831"</f>
        <v>20190303153915831</v>
      </c>
      <c r="B5389" t="str">
        <f>"1551598755823864"</f>
        <v>1551598755823864</v>
      </c>
      <c r="C5389" t="s">
        <v>40</v>
      </c>
      <c r="D5389">
        <v>4.5380469999999997</v>
      </c>
      <c r="E5389">
        <v>0.48247020000000002</v>
      </c>
      <c r="F5389" t="s">
        <v>68</v>
      </c>
      <c r="G5389">
        <v>-190.80260000000001</v>
      </c>
      <c r="H5389" s="1">
        <v>-9.7578869999999996E-6</v>
      </c>
      <c r="I5389">
        <v>145.52279999999999</v>
      </c>
      <c r="J5389">
        <v>-191.2886</v>
      </c>
      <c r="K5389">
        <v>1.1217299999999999</v>
      </c>
      <c r="L5389">
        <v>168.17400000000001</v>
      </c>
      <c r="M5389">
        <v>-2.210177E-2</v>
      </c>
      <c r="N5389">
        <v>-1.333898E-2</v>
      </c>
      <c r="O5389">
        <v>-0.99966690000000002</v>
      </c>
      <c r="P5389">
        <v>-2.3692120000000001E-2</v>
      </c>
      <c r="Q5389">
        <v>-4.1537829999999998E-2</v>
      </c>
      <c r="R5389">
        <v>-0.99885610000000002</v>
      </c>
      <c r="S5389">
        <v>6.358337E-2</v>
      </c>
      <c r="T5389">
        <v>-0.1475919</v>
      </c>
      <c r="U5389">
        <v>-2.9990540000000001</v>
      </c>
      <c r="V5389">
        <v>1.630729E-3</v>
      </c>
      <c r="W5389">
        <v>-2.820537E-2</v>
      </c>
      <c r="X5389">
        <v>0.99960079999999996</v>
      </c>
      <c r="Y5389">
        <v>-4.3258350000000001E-2</v>
      </c>
      <c r="Z5389">
        <v>3.5776479999999999E-2</v>
      </c>
      <c r="AA5389">
        <v>0.99842319999999996</v>
      </c>
      <c r="AB5389">
        <v>21</v>
      </c>
      <c r="AC5389">
        <v>0.48599999999999</v>
      </c>
      <c r="AD5389">
        <v>-1.1217397578870001</v>
      </c>
      <c r="AE5389">
        <v>-22.651199999999999</v>
      </c>
      <c r="AF5389">
        <v>-0.98414487201206902</v>
      </c>
      <c r="AG5389">
        <v>-1.1217397578870001</v>
      </c>
      <c r="AH5389">
        <v>22.579573501705401</v>
      </c>
      <c r="AI5389">
        <v>92.841388757640999</v>
      </c>
      <c r="AJ5389">
        <v>92.495692921647503</v>
      </c>
      <c r="AK5389">
        <v>22.628830741610301</v>
      </c>
      <c r="AL5389">
        <v>91.616263041115104</v>
      </c>
      <c r="AM5389">
        <v>89.906528879987505</v>
      </c>
      <c r="AN5389">
        <v>0.99999998076727303</v>
      </c>
    </row>
    <row r="5390" spans="1:40" x14ac:dyDescent="0.25">
      <c r="A5390" t="str">
        <f>"20190303153915843"</f>
        <v>20190303153915843</v>
      </c>
      <c r="B5390" t="str">
        <f>"1551598755833623"</f>
        <v>1551598755833623</v>
      </c>
      <c r="C5390" t="s">
        <v>40</v>
      </c>
      <c r="D5390">
        <v>4.5789350000000004</v>
      </c>
      <c r="E5390">
        <v>0.4825953</v>
      </c>
      <c r="F5390" t="s">
        <v>68</v>
      </c>
      <c r="G5390">
        <v>-190.76230000000001</v>
      </c>
      <c r="H5390" s="1">
        <v>-9.6766259999999993E-6</v>
      </c>
      <c r="I5390">
        <v>145.24180000000001</v>
      </c>
      <c r="J5390">
        <v>-191.29069999999999</v>
      </c>
      <c r="K5390">
        <v>1.121737</v>
      </c>
      <c r="L5390">
        <v>168.06049999999999</v>
      </c>
      <c r="M5390">
        <v>-2.1755480000000001E-2</v>
      </c>
      <c r="N5390">
        <v>-1.335483E-2</v>
      </c>
      <c r="O5390">
        <v>-0.99967430000000002</v>
      </c>
      <c r="P5390">
        <v>-2.184898E-2</v>
      </c>
      <c r="Q5390">
        <v>-4.0811750000000001E-2</v>
      </c>
      <c r="R5390">
        <v>-0.99892829999999999</v>
      </c>
      <c r="S5390">
        <v>6.8817139999999999E-2</v>
      </c>
      <c r="T5390">
        <v>-0.14669489999999999</v>
      </c>
      <c r="U5390">
        <v>-2.9989469999999998</v>
      </c>
      <c r="V5390">
        <v>1.3196700000000001E-4</v>
      </c>
      <c r="W5390">
        <v>-2.7464309999999999E-2</v>
      </c>
      <c r="X5390">
        <v>0.99962280000000003</v>
      </c>
      <c r="Y5390">
        <v>-4.4654310000000003E-2</v>
      </c>
      <c r="Z5390">
        <v>3.5462359999999998E-2</v>
      </c>
      <c r="AA5390">
        <v>0.99837290000000001</v>
      </c>
      <c r="AB5390">
        <v>21</v>
      </c>
      <c r="AC5390">
        <v>0.528399999999976</v>
      </c>
      <c r="AD5390">
        <v>-1.121746676626</v>
      </c>
      <c r="AE5390">
        <v>-22.8186999999999</v>
      </c>
      <c r="AF5390">
        <v>-1.02228173571425</v>
      </c>
      <c r="AG5390">
        <v>-1.121746676626</v>
      </c>
      <c r="AH5390">
        <v>22.746860740021599</v>
      </c>
      <c r="AI5390">
        <v>92.820374879923605</v>
      </c>
      <c r="AJ5390">
        <v>92.573236077333206</v>
      </c>
      <c r="AK5390">
        <v>22.797435142568801</v>
      </c>
      <c r="AL5390">
        <v>91.573786902928703</v>
      </c>
      <c r="AM5390">
        <v>89.992435994766097</v>
      </c>
      <c r="AN5390">
        <v>1.00000002400945</v>
      </c>
    </row>
    <row r="5391" spans="1:40" x14ac:dyDescent="0.25">
      <c r="A5391" t="str">
        <f>"20190303153915858"</f>
        <v>20190303153915858</v>
      </c>
      <c r="B5391" t="str">
        <f>"1551598755854119"</f>
        <v>1551598755854119</v>
      </c>
      <c r="C5391" t="s">
        <v>40</v>
      </c>
      <c r="D5391">
        <v>4.5442499999999999</v>
      </c>
      <c r="E5391">
        <v>0.48275760000000001</v>
      </c>
      <c r="F5391" t="s">
        <v>68</v>
      </c>
      <c r="G5391">
        <v>-190.72120000000001</v>
      </c>
      <c r="H5391" s="1">
        <v>-9.5397100000000002E-6</v>
      </c>
      <c r="I5391">
        <v>144.75030000000001</v>
      </c>
      <c r="J5391">
        <v>-191.29300000000001</v>
      </c>
      <c r="K5391">
        <v>1.1217410000000001</v>
      </c>
      <c r="L5391">
        <v>167.93450000000001</v>
      </c>
      <c r="M5391">
        <v>-2.1369039999999999E-2</v>
      </c>
      <c r="N5391">
        <v>-1.3371040000000001E-2</v>
      </c>
      <c r="O5391">
        <v>-0.99968219999999997</v>
      </c>
      <c r="P5391">
        <v>-1.948971E-2</v>
      </c>
      <c r="Q5391">
        <v>-4.0166170000000001E-2</v>
      </c>
      <c r="R5391">
        <v>-0.99900290000000003</v>
      </c>
      <c r="S5391">
        <v>7.3272710000000005E-2</v>
      </c>
      <c r="T5391">
        <v>-0.14431729999999901</v>
      </c>
      <c r="U5391">
        <v>-2.9989469999999998</v>
      </c>
      <c r="V5391">
        <v>-1.842614E-3</v>
      </c>
      <c r="W5391">
        <v>-2.680387E-2</v>
      </c>
      <c r="X5391">
        <v>0.99963900000000006</v>
      </c>
      <c r="Y5391">
        <v>-4.5751020000000003E-2</v>
      </c>
      <c r="Z5391">
        <v>3.4654879999999999E-2</v>
      </c>
      <c r="AA5391">
        <v>0.99835160000000001</v>
      </c>
      <c r="AB5391">
        <v>21</v>
      </c>
      <c r="AC5391">
        <v>0.57179999999999598</v>
      </c>
      <c r="AD5391">
        <v>-1.1217505397099901</v>
      </c>
      <c r="AE5391">
        <v>-23.184200000000001</v>
      </c>
      <c r="AF5391">
        <v>-1.06464695604417</v>
      </c>
      <c r="AG5391">
        <v>-1.1217505397099901</v>
      </c>
      <c r="AH5391">
        <v>23.112610577377701</v>
      </c>
      <c r="AI5391">
        <v>92.775682063385105</v>
      </c>
      <c r="AJ5391">
        <v>92.637377889903803</v>
      </c>
      <c r="AK5391">
        <v>23.1642950489728</v>
      </c>
      <c r="AL5391">
        <v>91.535932598286394</v>
      </c>
      <c r="AM5391">
        <v>90.105612011839298</v>
      </c>
      <c r="AN5391">
        <v>0.99999998649716404</v>
      </c>
    </row>
    <row r="5392" spans="1:40" x14ac:dyDescent="0.25">
      <c r="A5392" t="str">
        <f>"20190303153915868"</f>
        <v>20190303153915868</v>
      </c>
      <c r="B5392" t="str">
        <f>"1551598755863879"</f>
        <v>1551598755863879</v>
      </c>
      <c r="C5392" t="s">
        <v>40</v>
      </c>
      <c r="D5392">
        <v>4.5540940000000001</v>
      </c>
      <c r="E5392">
        <v>0.48275760000000001</v>
      </c>
      <c r="F5392" t="s">
        <v>68</v>
      </c>
      <c r="G5392">
        <v>-190.66589999999999</v>
      </c>
      <c r="H5392" s="1">
        <v>-9.3867419999999993E-6</v>
      </c>
      <c r="I5392">
        <v>144.20750000000001</v>
      </c>
      <c r="J5392">
        <v>-191.29499999999999</v>
      </c>
      <c r="K5392">
        <v>1.121745</v>
      </c>
      <c r="L5392">
        <v>167.82490000000001</v>
      </c>
      <c r="M5392">
        <v>-2.103147E-2</v>
      </c>
      <c r="N5392">
        <v>-1.338431E-2</v>
      </c>
      <c r="O5392">
        <v>-0.9996893</v>
      </c>
      <c r="P5392">
        <v>-1.8351159999999998E-2</v>
      </c>
      <c r="Q5392">
        <v>-3.9839239999999998E-2</v>
      </c>
      <c r="R5392">
        <v>-0.99903790000000003</v>
      </c>
      <c r="S5392">
        <v>7.9254149999999995E-2</v>
      </c>
      <c r="T5392">
        <v>-0.14177629999999999</v>
      </c>
      <c r="U5392">
        <v>-2.9988250000000001</v>
      </c>
      <c r="V5392">
        <v>-2.6448650000000001E-3</v>
      </c>
      <c r="W5392">
        <v>-2.6464189999999999E-2</v>
      </c>
      <c r="X5392">
        <v>0.99964620000000004</v>
      </c>
      <c r="Y5392">
        <v>-4.7405009999999997E-2</v>
      </c>
      <c r="Z5392">
        <v>3.3796800000000002E-2</v>
      </c>
      <c r="AA5392">
        <v>0.99830379999999996</v>
      </c>
      <c r="AB5392">
        <v>21</v>
      </c>
      <c r="AC5392">
        <v>0.629099999999994</v>
      </c>
      <c r="AD5392">
        <v>-1.1217543867419999</v>
      </c>
      <c r="AE5392">
        <v>-23.6174</v>
      </c>
      <c r="AF5392">
        <v>-1.1231818665647</v>
      </c>
      <c r="AG5392">
        <v>-1.1217543867419999</v>
      </c>
      <c r="AH5392">
        <v>23.545862289489499</v>
      </c>
      <c r="AI5392">
        <v>92.724487093030703</v>
      </c>
      <c r="AJ5392">
        <v>92.731046108726204</v>
      </c>
      <c r="AK5392">
        <v>23.599311459556599</v>
      </c>
      <c r="AL5392">
        <v>91.516463536094705</v>
      </c>
      <c r="AM5392">
        <v>90.151592881839207</v>
      </c>
      <c r="AN5392">
        <v>0.99999993691883005</v>
      </c>
    </row>
    <row r="5393" spans="1:40" x14ac:dyDescent="0.25">
      <c r="A5393" t="str">
        <f>"20190303153915881"</f>
        <v>20190303153915881</v>
      </c>
      <c r="B5393" t="str">
        <f>"1551598755873639"</f>
        <v>1551598755873639</v>
      </c>
      <c r="C5393" t="s">
        <v>40</v>
      </c>
      <c r="D5393">
        <v>4.5292690000000002</v>
      </c>
      <c r="E5393">
        <v>0.47222039999999998</v>
      </c>
      <c r="F5393" t="s">
        <v>68</v>
      </c>
      <c r="G5393">
        <v>-190.63740000000001</v>
      </c>
      <c r="H5393" s="1">
        <v>-9.3093079999999993E-6</v>
      </c>
      <c r="I5393">
        <v>143.93299999999999</v>
      </c>
      <c r="J5393">
        <v>-191.29679999999999</v>
      </c>
      <c r="K5393">
        <v>1.121756</v>
      </c>
      <c r="L5393">
        <v>167.71770000000001</v>
      </c>
      <c r="M5393">
        <v>-2.0698950000000001E-2</v>
      </c>
      <c r="N5393">
        <v>-1.339563E-2</v>
      </c>
      <c r="O5393">
        <v>-0.99969600000000003</v>
      </c>
      <c r="P5393">
        <v>-1.7413950000000001E-2</v>
      </c>
      <c r="Q5393">
        <v>-3.946972E-2</v>
      </c>
      <c r="R5393">
        <v>-0.99906919999999999</v>
      </c>
      <c r="S5393">
        <v>8.2534789999999997E-2</v>
      </c>
      <c r="T5393">
        <v>-0.14079739999999999</v>
      </c>
      <c r="U5393">
        <v>-2.9987949999999999</v>
      </c>
      <c r="V5393">
        <v>-3.2502659999999999E-3</v>
      </c>
      <c r="W5393">
        <v>-2.6083720000000001E-2</v>
      </c>
      <c r="X5393">
        <v>0.9996545</v>
      </c>
      <c r="Y5393">
        <v>-4.8164430000000001E-2</v>
      </c>
      <c r="Z5393">
        <v>3.3459610000000001E-2</v>
      </c>
      <c r="AA5393">
        <v>0.99827889999999997</v>
      </c>
      <c r="AB5393">
        <v>21</v>
      </c>
      <c r="AC5393">
        <v>0.65939999999997601</v>
      </c>
      <c r="AD5393">
        <v>-1.121765309308</v>
      </c>
      <c r="AE5393">
        <v>-23.784700000000001</v>
      </c>
      <c r="AF5393">
        <v>-1.14906720151232</v>
      </c>
      <c r="AG5393">
        <v>-1.121765309308</v>
      </c>
      <c r="AH5393">
        <v>23.7132464698573</v>
      </c>
      <c r="AI5393">
        <v>92.7052129742045</v>
      </c>
      <c r="AJ5393">
        <v>92.774198130873799</v>
      </c>
      <c r="AK5393">
        <v>23.767557110123001</v>
      </c>
      <c r="AL5393">
        <v>91.494656553962002</v>
      </c>
      <c r="AM5393">
        <v>90.186290231140603</v>
      </c>
      <c r="AN5393">
        <v>1.00000002202417</v>
      </c>
    </row>
    <row r="5394" spans="1:40" x14ac:dyDescent="0.25">
      <c r="A5394" t="str">
        <f>"20190303153915894"</f>
        <v>20190303153915894</v>
      </c>
      <c r="B5394" t="str">
        <f>"1551598755884375"</f>
        <v>1551598755884375</v>
      </c>
      <c r="C5394" t="s">
        <v>40</v>
      </c>
      <c r="D5394">
        <v>4.4940009999999999</v>
      </c>
      <c r="E5394">
        <v>0.4715685</v>
      </c>
      <c r="F5394" t="s">
        <v>42</v>
      </c>
      <c r="G5394">
        <v>-187.59209999999999</v>
      </c>
      <c r="H5394" s="1">
        <v>-1.390054E-6</v>
      </c>
      <c r="I5394">
        <v>101.8501</v>
      </c>
      <c r="J5394">
        <v>-191.2988</v>
      </c>
      <c r="K5394">
        <v>1.1217600000000001</v>
      </c>
      <c r="L5394">
        <v>167.601</v>
      </c>
      <c r="M5394">
        <v>-2.0335209999999999E-2</v>
      </c>
      <c r="N5394">
        <v>-1.340737E-2</v>
      </c>
      <c r="O5394">
        <v>-0.99970360000000003</v>
      </c>
      <c r="P5394">
        <v>-1.6603759999999999E-2</v>
      </c>
      <c r="Q5394">
        <v>-3.9636440000000002E-2</v>
      </c>
      <c r="R5394">
        <v>-0.99907679999999999</v>
      </c>
      <c r="S5394">
        <v>0.16894529999999999</v>
      </c>
      <c r="T5394">
        <v>-5.1154850000000002E-2</v>
      </c>
      <c r="U5394">
        <v>-3.0037229999999999</v>
      </c>
      <c r="V5394">
        <v>-3.6964160000000001E-3</v>
      </c>
      <c r="W5394">
        <v>-2.6239169999999999E-2</v>
      </c>
      <c r="X5394">
        <v>0.99964889999999995</v>
      </c>
      <c r="Y5394">
        <v>-7.6433959999999995E-2</v>
      </c>
      <c r="Z5394">
        <v>3.5697939999999998E-3</v>
      </c>
      <c r="AA5394">
        <v>0.99706830000000002</v>
      </c>
      <c r="AB5394">
        <v>21</v>
      </c>
      <c r="AC5394">
        <v>3.7067000000000099</v>
      </c>
      <c r="AD5394">
        <v>-1.121761390054</v>
      </c>
      <c r="AE5394">
        <v>-65.750900000000001</v>
      </c>
      <c r="AF5394">
        <v>-5.0416487305353996</v>
      </c>
      <c r="AG5394">
        <v>-1.121761390054</v>
      </c>
      <c r="AH5394">
        <v>65.642872053587894</v>
      </c>
      <c r="AI5394">
        <v>90.976149553663703</v>
      </c>
      <c r="AJ5394">
        <v>94.391934609402497</v>
      </c>
      <c r="AK5394">
        <v>65.845753257002301</v>
      </c>
      <c r="AL5394">
        <v>91.503566204569097</v>
      </c>
      <c r="AM5394">
        <v>90.2118624557705</v>
      </c>
      <c r="AN5394">
        <v>1.0000000404023699</v>
      </c>
    </row>
    <row r="5395" spans="1:40" x14ac:dyDescent="0.25">
      <c r="A5395" t="str">
        <f>"20190303153915904"</f>
        <v>20190303153915904</v>
      </c>
      <c r="B5395" t="str">
        <f>"1551598755894136"</f>
        <v>1551598755894136</v>
      </c>
      <c r="C5395" t="s">
        <v>40</v>
      </c>
      <c r="D5395">
        <v>4.4856989999999897</v>
      </c>
      <c r="E5395">
        <v>0.47166999999999998</v>
      </c>
      <c r="F5395" t="s">
        <v>42</v>
      </c>
      <c r="G5395">
        <v>-187.96420000000001</v>
      </c>
      <c r="H5395" s="1">
        <v>-9.648780000000001E-7</v>
      </c>
      <c r="I5395">
        <v>110.8916</v>
      </c>
      <c r="J5395">
        <v>-191.3006</v>
      </c>
      <c r="K5395">
        <v>1.121766</v>
      </c>
      <c r="L5395">
        <v>167.49180000000001</v>
      </c>
      <c r="M5395">
        <v>-1.9992220000000002E-2</v>
      </c>
      <c r="N5395">
        <v>-1.341726E-2</v>
      </c>
      <c r="O5395">
        <v>-0.99971010000000005</v>
      </c>
      <c r="P5395">
        <v>-1.591424E-2</v>
      </c>
      <c r="Q5395">
        <v>-4.0221519999999997E-2</v>
      </c>
      <c r="R5395">
        <v>-0.99906410000000001</v>
      </c>
      <c r="S5395">
        <v>0.17660519999999999</v>
      </c>
      <c r="T5395">
        <v>-5.9409379999999998E-2</v>
      </c>
      <c r="U5395">
        <v>-3.0033720000000002</v>
      </c>
      <c r="V5395">
        <v>-4.0424160000000001E-3</v>
      </c>
      <c r="W5395">
        <v>-2.6814950000000001E-2</v>
      </c>
      <c r="X5395">
        <v>0.99963219999999997</v>
      </c>
      <c r="Y5395">
        <v>-7.8630069999999996E-2</v>
      </c>
      <c r="Z5395">
        <v>6.2991490000000004E-3</v>
      </c>
      <c r="AA5395">
        <v>0.99688399999999999</v>
      </c>
      <c r="AB5395">
        <v>21</v>
      </c>
      <c r="AC5395">
        <v>3.33639999999999</v>
      </c>
      <c r="AD5395">
        <v>-1.121766964878</v>
      </c>
      <c r="AE5395">
        <v>-56.600200000000001</v>
      </c>
      <c r="AF5395">
        <v>-4.4656505475078996</v>
      </c>
      <c r="AG5395">
        <v>-1.121766964878</v>
      </c>
      <c r="AH5395">
        <v>56.5000612820957</v>
      </c>
      <c r="AI5395">
        <v>91.133880688917998</v>
      </c>
      <c r="AJ5395">
        <v>94.519147757387202</v>
      </c>
      <c r="AK5395">
        <v>56.687364736919299</v>
      </c>
      <c r="AL5395">
        <v>91.536567706099603</v>
      </c>
      <c r="AM5395">
        <v>90.231697331590595</v>
      </c>
      <c r="AN5395">
        <v>0.99999995897372795</v>
      </c>
    </row>
    <row r="5396" spans="1:40" x14ac:dyDescent="0.25">
      <c r="A5396" t="str">
        <f>"20190303153915917"</f>
        <v>20190303153915917</v>
      </c>
      <c r="B5396" t="str">
        <f>"1551598755913655"</f>
        <v>1551598755913655</v>
      </c>
      <c r="C5396" t="s">
        <v>40</v>
      </c>
      <c r="D5396">
        <v>4.4745650000000001</v>
      </c>
      <c r="E5396">
        <v>0.47174899999999997</v>
      </c>
      <c r="F5396" t="s">
        <v>42</v>
      </c>
      <c r="G5396">
        <v>-188.1687</v>
      </c>
      <c r="H5396" s="1">
        <v>-2.4674829999999998E-6</v>
      </c>
      <c r="I5396">
        <v>114.62730000000001</v>
      </c>
      <c r="J5396">
        <v>-191.30240000000001</v>
      </c>
      <c r="K5396">
        <v>1.1217680000000001</v>
      </c>
      <c r="L5396">
        <v>167.38339999999999</v>
      </c>
      <c r="M5396">
        <v>-1.964753E-2</v>
      </c>
      <c r="N5396">
        <v>-1.3426189999999999E-2</v>
      </c>
      <c r="O5396">
        <v>-0.99971699999999997</v>
      </c>
      <c r="P5396">
        <v>-1.559031E-2</v>
      </c>
      <c r="Q5396">
        <v>-4.0504150000000003E-2</v>
      </c>
      <c r="R5396">
        <v>-0.999058</v>
      </c>
      <c r="S5396">
        <v>0.17791750000000001</v>
      </c>
      <c r="T5396">
        <v>-6.3724520000000007E-2</v>
      </c>
      <c r="U5396">
        <v>-3.003082</v>
      </c>
      <c r="V5396">
        <v>-4.0209369999999996E-3</v>
      </c>
      <c r="W5396">
        <v>-2.7088790000000001E-2</v>
      </c>
      <c r="X5396">
        <v>0.99962499999999999</v>
      </c>
      <c r="Y5396">
        <v>-7.8724710000000003E-2</v>
      </c>
      <c r="Z5396">
        <v>7.7244339999999996E-3</v>
      </c>
      <c r="AA5396">
        <v>0.99686649999999999</v>
      </c>
      <c r="AB5396">
        <v>21</v>
      </c>
      <c r="AC5396">
        <v>3.1337000000000002</v>
      </c>
      <c r="AD5396">
        <v>-1.121770467483</v>
      </c>
      <c r="AE5396">
        <v>-52.756099999999897</v>
      </c>
      <c r="AF5396">
        <v>-4.1678375155919101</v>
      </c>
      <c r="AG5396">
        <v>-1.121770467483</v>
      </c>
      <c r="AH5396">
        <v>52.660613889265797</v>
      </c>
      <c r="AI5396">
        <v>91.216520655411998</v>
      </c>
      <c r="AJ5396">
        <v>94.525255904502202</v>
      </c>
      <c r="AK5396">
        <v>52.837198011745699</v>
      </c>
      <c r="AL5396">
        <v>91.552263134799702</v>
      </c>
      <c r="AM5396">
        <v>90.230467902727597</v>
      </c>
      <c r="AN5396">
        <v>1.0000000555515001</v>
      </c>
    </row>
    <row r="5397" spans="1:40" x14ac:dyDescent="0.25">
      <c r="A5397" t="str">
        <f>"20190303153915930"</f>
        <v>20190303153915930</v>
      </c>
      <c r="B5397" t="str">
        <f>"1551598755924391"</f>
        <v>1551598755924391</v>
      </c>
      <c r="C5397" t="s">
        <v>40</v>
      </c>
      <c r="D5397">
        <v>4.4895630000000004</v>
      </c>
      <c r="E5397">
        <v>0.47194520000000001</v>
      </c>
      <c r="F5397" t="s">
        <v>42</v>
      </c>
      <c r="G5397">
        <v>-188.2885</v>
      </c>
      <c r="H5397" s="1">
        <v>-3.302448E-6</v>
      </c>
      <c r="I5397">
        <v>116.6232</v>
      </c>
      <c r="J5397">
        <v>-191.30430000000001</v>
      </c>
      <c r="K5397">
        <v>1.121772</v>
      </c>
      <c r="L5397">
        <v>167.26519999999999</v>
      </c>
      <c r="M5397">
        <v>-1.9268830000000001E-2</v>
      </c>
      <c r="N5397">
        <v>-1.343538E-2</v>
      </c>
      <c r="O5397">
        <v>-0.99972439999999996</v>
      </c>
      <c r="P5397">
        <v>-1.5047029999999999E-2</v>
      </c>
      <c r="Q5397">
        <v>-4.0885629999999999E-2</v>
      </c>
      <c r="R5397">
        <v>-0.99905069999999996</v>
      </c>
      <c r="S5397">
        <v>0.17829900000000001</v>
      </c>
      <c r="T5397">
        <v>-6.6362619999999997E-2</v>
      </c>
      <c r="U5397">
        <v>-3.0029140000000001</v>
      </c>
      <c r="V5397">
        <v>-4.1848639999999999E-3</v>
      </c>
      <c r="W5397">
        <v>-2.746146E-2</v>
      </c>
      <c r="X5397">
        <v>0.99961409999999995</v>
      </c>
      <c r="Y5397">
        <v>-7.8475710000000004E-2</v>
      </c>
      <c r="Z5397">
        <v>8.5926219999999994E-3</v>
      </c>
      <c r="AA5397">
        <v>0.99687899999999996</v>
      </c>
      <c r="AB5397">
        <v>21</v>
      </c>
      <c r="AC5397">
        <v>3.0158000000000098</v>
      </c>
      <c r="AD5397">
        <v>-1.1217753024479999</v>
      </c>
      <c r="AE5397">
        <v>-50.642000000000003</v>
      </c>
      <c r="AF5397">
        <v>-3.9891893653402799</v>
      </c>
      <c r="AG5397">
        <v>-1.1217753024479999</v>
      </c>
      <c r="AH5397">
        <v>50.549764260485297</v>
      </c>
      <c r="AI5397">
        <v>91.267331974648798</v>
      </c>
      <c r="AJ5397">
        <v>94.512207004030202</v>
      </c>
      <c r="AK5397">
        <v>50.719332393204503</v>
      </c>
      <c r="AL5397">
        <v>91.573623591025594</v>
      </c>
      <c r="AM5397">
        <v>90.239866208606202</v>
      </c>
      <c r="AN5397">
        <v>0.99999999689541996</v>
      </c>
    </row>
    <row r="5398" spans="1:40" x14ac:dyDescent="0.25">
      <c r="A5398" t="str">
        <f>"20190303153915941"</f>
        <v>20190303153915941</v>
      </c>
      <c r="B5398" t="str">
        <f>"1551598755934151"</f>
        <v>1551598755934151</v>
      </c>
      <c r="C5398" t="s">
        <v>40</v>
      </c>
      <c r="D5398">
        <v>4.4630609999999997</v>
      </c>
      <c r="E5398">
        <v>0.4721747</v>
      </c>
      <c r="F5398" t="s">
        <v>42</v>
      </c>
      <c r="G5398">
        <v>-188.31319999999999</v>
      </c>
      <c r="H5398" s="1">
        <v>-3.403866E-6</v>
      </c>
      <c r="I5398">
        <v>116.8698</v>
      </c>
      <c r="J5398">
        <v>-191.30600000000001</v>
      </c>
      <c r="K5398">
        <v>1.121777</v>
      </c>
      <c r="L5398">
        <v>167.15599999999901</v>
      </c>
      <c r="M5398">
        <v>-1.890998E-2</v>
      </c>
      <c r="N5398">
        <v>-1.344269E-2</v>
      </c>
      <c r="O5398">
        <v>-0.99973080000000003</v>
      </c>
      <c r="P5398">
        <v>-1.482676E-2</v>
      </c>
      <c r="Q5398">
        <v>-4.149709E-2</v>
      </c>
      <c r="R5398">
        <v>-0.99902869999999999</v>
      </c>
      <c r="S5398">
        <v>0.17822270000000001</v>
      </c>
      <c r="T5398">
        <v>-6.684089E-2</v>
      </c>
      <c r="U5398">
        <v>-3.0028079999999999</v>
      </c>
      <c r="V5398">
        <v>-4.045613E-3</v>
      </c>
      <c r="W5398">
        <v>-2.8065819999999998E-2</v>
      </c>
      <c r="X5398">
        <v>0.99959790000000004</v>
      </c>
      <c r="Y5398">
        <v>-7.8094650000000002E-2</v>
      </c>
      <c r="Z5398">
        <v>8.7455699999999994E-3</v>
      </c>
      <c r="AA5398">
        <v>0.9969076</v>
      </c>
      <c r="AB5398">
        <v>21</v>
      </c>
      <c r="AC5398">
        <v>2.9927999999999799</v>
      </c>
      <c r="AD5398">
        <v>-1.121780403866</v>
      </c>
      <c r="AE5398">
        <v>-50.286199999999901</v>
      </c>
      <c r="AF5398">
        <v>-3.9413073016116198</v>
      </c>
      <c r="AG5398">
        <v>-1.121780403866</v>
      </c>
      <c r="AH5398">
        <v>50.195716423882402</v>
      </c>
      <c r="AI5398">
        <v>91.276313418364197</v>
      </c>
      <c r="AJ5398">
        <v>94.489584440928297</v>
      </c>
      <c r="AK5398">
        <v>50.362706855639203</v>
      </c>
      <c r="AL5398">
        <v>91.608264202169295</v>
      </c>
      <c r="AM5398">
        <v>90.231888527211296</v>
      </c>
      <c r="AN5398">
        <v>1.0000000094606101</v>
      </c>
    </row>
    <row r="5399" spans="1:40" x14ac:dyDescent="0.25">
      <c r="A5399" t="str">
        <f>"20190303153915953"</f>
        <v>20190303153915953</v>
      </c>
      <c r="B5399" t="str">
        <f>"1551598755943911"</f>
        <v>1551598755943911</v>
      </c>
      <c r="C5399" t="s">
        <v>40</v>
      </c>
      <c r="D5399">
        <v>4.450971</v>
      </c>
      <c r="E5399">
        <v>0.4723329</v>
      </c>
      <c r="F5399" t="s">
        <v>42</v>
      </c>
      <c r="G5399">
        <v>-188.45480000000001</v>
      </c>
      <c r="H5399" s="1">
        <v>-4.2218E-6</v>
      </c>
      <c r="I5399">
        <v>118.83499999999999</v>
      </c>
      <c r="J5399">
        <v>-191.30760000000001</v>
      </c>
      <c r="K5399">
        <v>1.1217820000000001</v>
      </c>
      <c r="L5399">
        <v>167.04730000000001</v>
      </c>
      <c r="M5399">
        <v>-1.854888E-2</v>
      </c>
      <c r="N5399">
        <v>-1.3449590000000001E-2</v>
      </c>
      <c r="O5399">
        <v>-0.99973749999999995</v>
      </c>
      <c r="P5399">
        <v>-1.4559259999999999E-2</v>
      </c>
      <c r="Q5399">
        <v>-4.216578E-2</v>
      </c>
      <c r="R5399">
        <v>-0.99900460000000002</v>
      </c>
      <c r="S5399">
        <v>0.17716979999999999</v>
      </c>
      <c r="T5399">
        <v>-6.9707270000000002E-2</v>
      </c>
      <c r="U5399">
        <v>-3.0026549999999999</v>
      </c>
      <c r="V5399">
        <v>-3.95021E-3</v>
      </c>
      <c r="W5399">
        <v>-2.8727920000000001E-2</v>
      </c>
      <c r="X5399">
        <v>0.99957949999999995</v>
      </c>
      <c r="Y5399">
        <v>-7.738834E-2</v>
      </c>
      <c r="Z5399">
        <v>9.6926270000000005E-3</v>
      </c>
      <c r="AA5399">
        <v>0.99695389999999995</v>
      </c>
      <c r="AB5399">
        <v>21</v>
      </c>
      <c r="AC5399">
        <v>2.8527999999999998</v>
      </c>
      <c r="AD5399">
        <v>-1.1217862218000001</v>
      </c>
      <c r="AE5399">
        <v>-48.212299999999999</v>
      </c>
      <c r="AF5399">
        <v>-3.7446539351858998</v>
      </c>
      <c r="AG5399">
        <v>-1.1217862218000001</v>
      </c>
      <c r="AH5399">
        <v>48.125119559553497</v>
      </c>
      <c r="AI5399">
        <v>91.331287911193897</v>
      </c>
      <c r="AJ5399">
        <v>94.449265362987703</v>
      </c>
      <c r="AK5399">
        <v>48.283620100848204</v>
      </c>
      <c r="AL5399">
        <v>91.646214996998197</v>
      </c>
      <c r="AM5399">
        <v>90.226424394436904</v>
      </c>
      <c r="AN5399">
        <v>1.0000000371833999</v>
      </c>
    </row>
    <row r="5400" spans="1:40" x14ac:dyDescent="0.25">
      <c r="A5400" t="str">
        <f>"20190303153915970"</f>
        <v>20190303153915970</v>
      </c>
      <c r="B5400" t="str">
        <f>"1551598755963431"</f>
        <v>1551598755963431</v>
      </c>
      <c r="C5400" t="s">
        <v>40</v>
      </c>
      <c r="D5400">
        <v>4.458043</v>
      </c>
      <c r="E5400">
        <v>0.47280879999999997</v>
      </c>
      <c r="F5400" t="s">
        <v>68</v>
      </c>
      <c r="G5400">
        <v>-188.5658</v>
      </c>
      <c r="H5400" s="1">
        <v>-6.6796490000000005E-7</v>
      </c>
      <c r="I5400">
        <v>120.4812</v>
      </c>
      <c r="J5400">
        <v>-191.30969999999999</v>
      </c>
      <c r="K5400">
        <v>1.121791</v>
      </c>
      <c r="L5400">
        <v>166.90530000000001</v>
      </c>
      <c r="M5400">
        <v>-1.8068879999999999E-2</v>
      </c>
      <c r="N5400">
        <v>-1.3457800000000001E-2</v>
      </c>
      <c r="O5400">
        <v>-0.99974640000000004</v>
      </c>
      <c r="P5400">
        <v>-1.401896E-2</v>
      </c>
      <c r="Q5400">
        <v>-4.3450099999999998E-2</v>
      </c>
      <c r="R5400">
        <v>-0.99895750000000005</v>
      </c>
      <c r="S5400">
        <v>0.17678829999999901</v>
      </c>
      <c r="T5400">
        <v>-7.2330710000000006E-2</v>
      </c>
      <c r="U5400">
        <v>-3.0025019999999998</v>
      </c>
      <c r="V5400">
        <v>-4.0077330000000003E-3</v>
      </c>
      <c r="W5400">
        <v>-3.000481E-2</v>
      </c>
      <c r="X5400">
        <v>0.99954169999999998</v>
      </c>
      <c r="Y5400">
        <v>-7.6785549999999994E-2</v>
      </c>
      <c r="Z5400">
        <v>1.055768E-2</v>
      </c>
      <c r="AA5400">
        <v>0.99699179999999998</v>
      </c>
      <c r="AB5400">
        <v>21</v>
      </c>
      <c r="AC5400">
        <v>2.7438999999999898</v>
      </c>
      <c r="AD5400">
        <v>-1.12179166796489</v>
      </c>
      <c r="AE5400">
        <v>-46.424100000000003</v>
      </c>
      <c r="AF5400">
        <v>-3.5802759919168201</v>
      </c>
      <c r="AG5400">
        <v>-1.12179166796489</v>
      </c>
      <c r="AH5400">
        <v>46.339972310469797</v>
      </c>
      <c r="AI5400">
        <v>91.382618628854203</v>
      </c>
      <c r="AJ5400">
        <v>94.417956699565707</v>
      </c>
      <c r="AK5400">
        <v>46.491610280347601</v>
      </c>
      <c r="AL5400">
        <v>91.7194070715923</v>
      </c>
      <c r="AM5400">
        <v>90.229730241156204</v>
      </c>
      <c r="AN5400">
        <v>0.99999998029291204</v>
      </c>
    </row>
    <row r="5401" spans="1:40" x14ac:dyDescent="0.25">
      <c r="A5401" t="str">
        <f>"20190303153915980"</f>
        <v>20190303153915980</v>
      </c>
      <c r="B5401" t="str">
        <f>"1551598755974168"</f>
        <v>1551598755974168</v>
      </c>
      <c r="C5401" t="s">
        <v>40</v>
      </c>
      <c r="D5401">
        <v>4.4263810000000001</v>
      </c>
      <c r="E5401">
        <v>0.4729912</v>
      </c>
      <c r="F5401" t="s">
        <v>68</v>
      </c>
      <c r="G5401">
        <v>-188.72890000000001</v>
      </c>
      <c r="H5401" s="1">
        <v>-1.7701889999999999E-6</v>
      </c>
      <c r="I5401">
        <v>122.5333</v>
      </c>
      <c r="J5401">
        <v>-191.31120000000001</v>
      </c>
      <c r="K5401">
        <v>1.1217999999999999</v>
      </c>
      <c r="L5401">
        <v>166.79759999999999</v>
      </c>
      <c r="M5401">
        <v>-1.7695619999999999E-2</v>
      </c>
      <c r="N5401">
        <v>-1.346316E-2</v>
      </c>
      <c r="O5401">
        <v>-0.9997528</v>
      </c>
      <c r="P5401">
        <v>-1.368433E-2</v>
      </c>
      <c r="Q5401">
        <v>-4.3808449999999999E-2</v>
      </c>
      <c r="R5401">
        <v>-0.99894629999999995</v>
      </c>
      <c r="S5401">
        <v>0.17462159999999999</v>
      </c>
      <c r="T5401">
        <v>-7.5902460000000005E-2</v>
      </c>
      <c r="U5401">
        <v>-3.0022890000000002</v>
      </c>
      <c r="V5401">
        <v>-3.9686080000000002E-3</v>
      </c>
      <c r="W5401">
        <v>-3.0358039999999999E-2</v>
      </c>
      <c r="X5401">
        <v>0.99953119999999995</v>
      </c>
      <c r="Y5401">
        <v>-7.5699249999999996E-2</v>
      </c>
      <c r="Z5401">
        <v>1.17419E-2</v>
      </c>
      <c r="AA5401">
        <v>0.99706159999999999</v>
      </c>
      <c r="AB5401">
        <v>21</v>
      </c>
      <c r="AC5401">
        <v>2.5823</v>
      </c>
      <c r="AD5401">
        <v>-1.121801770189</v>
      </c>
      <c r="AE5401">
        <v>-44.264299999999899</v>
      </c>
      <c r="AF5401">
        <v>-3.36309807260043</v>
      </c>
      <c r="AG5401">
        <v>-1.121801770189</v>
      </c>
      <c r="AH5401">
        <v>44.183386416617402</v>
      </c>
      <c r="AI5401">
        <v>91.450215447823098</v>
      </c>
      <c r="AJ5401">
        <v>94.352778121148305</v>
      </c>
      <c r="AK5401">
        <v>44.325393434211698</v>
      </c>
      <c r="AL5401">
        <v>91.739654867368699</v>
      </c>
      <c r="AM5401">
        <v>90.227489941360403</v>
      </c>
      <c r="AN5401">
        <v>0.99999999010776897</v>
      </c>
    </row>
    <row r="5402" spans="1:40" x14ac:dyDescent="0.25">
      <c r="A5402" t="str">
        <f>"20190303153915993"</f>
        <v>20190303153915993</v>
      </c>
      <c r="B5402" t="str">
        <f>"1551598755983927"</f>
        <v>1551598755983927</v>
      </c>
      <c r="C5402" t="s">
        <v>40</v>
      </c>
      <c r="D5402">
        <v>4.4119900000000003</v>
      </c>
      <c r="E5402">
        <v>0.47322389999999998</v>
      </c>
      <c r="F5402" t="s">
        <v>68</v>
      </c>
      <c r="G5402">
        <v>-188.77699999999999</v>
      </c>
      <c r="H5402" s="1">
        <v>-2.098594E-6</v>
      </c>
      <c r="I5402">
        <v>123.14449999999999</v>
      </c>
      <c r="J5402">
        <v>-191.31280000000001</v>
      </c>
      <c r="K5402">
        <v>1.1218090000000001</v>
      </c>
      <c r="L5402">
        <v>166.68680000000001</v>
      </c>
      <c r="M5402">
        <v>-1.7308779999999999E-2</v>
      </c>
      <c r="N5402">
        <v>-1.346841E-2</v>
      </c>
      <c r="O5402">
        <v>-0.99975950000000002</v>
      </c>
      <c r="P5402">
        <v>-1.329106E-2</v>
      </c>
      <c r="Q5402">
        <v>-4.4049860000000003E-2</v>
      </c>
      <c r="R5402">
        <v>-0.99894119999999997</v>
      </c>
      <c r="S5402">
        <v>0.17428589999999999</v>
      </c>
      <c r="T5402">
        <v>-7.7150109999999994E-2</v>
      </c>
      <c r="U5402">
        <v>-3.002167</v>
      </c>
      <c r="V5402">
        <v>-3.9742980000000002E-3</v>
      </c>
      <c r="W5402">
        <v>-3.0594409999999999E-2</v>
      </c>
      <c r="X5402">
        <v>0.99952399999999997</v>
      </c>
      <c r="Y5402">
        <v>-7.5204279999999998E-2</v>
      </c>
      <c r="Z5402">
        <v>1.215289E-2</v>
      </c>
      <c r="AA5402">
        <v>0.99709409999999998</v>
      </c>
      <c r="AB5402">
        <v>21</v>
      </c>
      <c r="AC5402">
        <v>2.5357999999999898</v>
      </c>
      <c r="AD5402">
        <v>-1.121811098594</v>
      </c>
      <c r="AE5402">
        <v>-43.542299999999997</v>
      </c>
      <c r="AF5402">
        <v>-3.28697806793729</v>
      </c>
      <c r="AG5402">
        <v>-1.121811098594</v>
      </c>
      <c r="AH5402">
        <v>43.463128294412002</v>
      </c>
      <c r="AI5402">
        <v>91.474304194137702</v>
      </c>
      <c r="AJ5402">
        <v>94.324864761098297</v>
      </c>
      <c r="AK5402">
        <v>43.601676643181399</v>
      </c>
      <c r="AL5402">
        <v>91.753204112671796</v>
      </c>
      <c r="AM5402">
        <v>90.227817743143007</v>
      </c>
      <c r="AN5402">
        <v>1.0000000197719201</v>
      </c>
    </row>
    <row r="5403" spans="1:40" x14ac:dyDescent="0.25">
      <c r="A5403" t="str">
        <f>"20190303153916008"</f>
        <v>20190303153916008</v>
      </c>
      <c r="B5403" t="str">
        <f>"1551598756004424"</f>
        <v>1551598756004424</v>
      </c>
      <c r="C5403" t="s">
        <v>40</v>
      </c>
      <c r="D5403">
        <v>4.4017749999999998</v>
      </c>
      <c r="E5403">
        <v>0.47366399999999997</v>
      </c>
      <c r="F5403" t="s">
        <v>68</v>
      </c>
      <c r="G5403">
        <v>-188.81530000000001</v>
      </c>
      <c r="H5403" s="1">
        <v>-2.2769190000000001E-6</v>
      </c>
      <c r="I5403">
        <v>123.4796</v>
      </c>
      <c r="J5403">
        <v>-191.31450000000001</v>
      </c>
      <c r="K5403">
        <v>1.1218140000000001</v>
      </c>
      <c r="L5403">
        <v>166.55510000000001</v>
      </c>
      <c r="M5403">
        <v>-1.6843150000000001E-2</v>
      </c>
      <c r="N5403">
        <v>-1.347404E-2</v>
      </c>
      <c r="O5403">
        <v>-0.99976739999999997</v>
      </c>
      <c r="P5403">
        <v>-1.2598389999999999E-2</v>
      </c>
      <c r="Q5403">
        <v>-4.4590009999999999E-2</v>
      </c>
      <c r="R5403">
        <v>-0.99892619999999999</v>
      </c>
      <c r="S5403">
        <v>0.17352290000000001</v>
      </c>
      <c r="T5403">
        <v>-7.7944520000000003E-2</v>
      </c>
      <c r="U5403">
        <v>-3.002075</v>
      </c>
      <c r="V5403">
        <v>-4.2001429999999999E-3</v>
      </c>
      <c r="W5403">
        <v>-3.1129520000000001E-2</v>
      </c>
      <c r="X5403">
        <v>0.99950649999999996</v>
      </c>
      <c r="Y5403">
        <v>-7.4488910000000005E-2</v>
      </c>
      <c r="Z5403">
        <v>1.2413220000000001E-2</v>
      </c>
      <c r="AA5403">
        <v>0.99714460000000005</v>
      </c>
      <c r="AB5403">
        <v>20</v>
      </c>
      <c r="AC5403">
        <v>2.4992000000000001</v>
      </c>
      <c r="AD5403">
        <v>-1.1218162769190001</v>
      </c>
      <c r="AE5403">
        <v>-43.075499999999998</v>
      </c>
      <c r="AF5403">
        <v>-3.2222602203031299</v>
      </c>
      <c r="AG5403">
        <v>-1.1218162769190001</v>
      </c>
      <c r="AH5403">
        <v>42.998224919055403</v>
      </c>
      <c r="AI5403">
        <v>91.490320979202494</v>
      </c>
      <c r="AJ5403">
        <v>94.285699343403095</v>
      </c>
      <c r="AK5403">
        <v>43.133383577876003</v>
      </c>
      <c r="AL5403">
        <v>91.783878364622893</v>
      </c>
      <c r="AM5403">
        <v>90.240767869691197</v>
      </c>
      <c r="AN5403">
        <v>0.99999996587944895</v>
      </c>
    </row>
    <row r="5404" spans="1:40" x14ac:dyDescent="0.25">
      <c r="A5404" t="str">
        <f>"20190303153916022"</f>
        <v>20190303153916022</v>
      </c>
      <c r="B5404" t="str">
        <f>"1551598756014184"</f>
        <v>1551598756014184</v>
      </c>
      <c r="C5404" t="s">
        <v>40</v>
      </c>
      <c r="D5404">
        <v>4.3747910000000001</v>
      </c>
      <c r="E5404">
        <v>0.47389789999999998</v>
      </c>
      <c r="F5404" t="s">
        <v>68</v>
      </c>
      <c r="G5404">
        <v>-188.81110000000001</v>
      </c>
      <c r="H5404" s="1">
        <v>-1.9618879999999999E-6</v>
      </c>
      <c r="I5404">
        <v>122.9038</v>
      </c>
      <c r="J5404">
        <v>-191.31630000000001</v>
      </c>
      <c r="K5404">
        <v>1.1218189999999999</v>
      </c>
      <c r="L5404">
        <v>166.417</v>
      </c>
      <c r="M5404">
        <v>-1.634685E-2</v>
      </c>
      <c r="N5404">
        <v>-1.347899E-2</v>
      </c>
      <c r="O5404">
        <v>-0.99977579999999999</v>
      </c>
      <c r="P5404">
        <v>-1.1825260000000001E-2</v>
      </c>
      <c r="Q5404">
        <v>-4.5003019999999998E-2</v>
      </c>
      <c r="R5404">
        <v>-0.99891730000000001</v>
      </c>
      <c r="S5404">
        <v>0.17216489999999901</v>
      </c>
      <c r="T5404">
        <v>-7.7149029999999993E-2</v>
      </c>
      <c r="U5404">
        <v>-3.0019680000000002</v>
      </c>
      <c r="V5404">
        <v>-4.4760379999999999E-3</v>
      </c>
      <c r="W5404">
        <v>-3.1538139999999999E-2</v>
      </c>
      <c r="X5404">
        <v>0.99949250000000001</v>
      </c>
      <c r="Y5404">
        <v>-7.3546840000000002E-2</v>
      </c>
      <c r="Z5404">
        <v>1.2146830000000001E-2</v>
      </c>
      <c r="AA5404">
        <v>0.99721780000000004</v>
      </c>
      <c r="AB5404">
        <v>20</v>
      </c>
      <c r="AC5404">
        <v>2.5051999999999999</v>
      </c>
      <c r="AD5404">
        <v>-1.121820961888</v>
      </c>
      <c r="AE5404">
        <v>-43.513199999999998</v>
      </c>
      <c r="AF5404">
        <v>-3.2141041235726999</v>
      </c>
      <c r="AG5404">
        <v>-1.121820961888</v>
      </c>
      <c r="AH5404">
        <v>43.437652679952897</v>
      </c>
      <c r="AI5404">
        <v>91.475360615184698</v>
      </c>
      <c r="AJ5404">
        <v>94.231803633102103</v>
      </c>
      <c r="AK5404">
        <v>43.570845963005098</v>
      </c>
      <c r="AL5404">
        <v>91.807302055086495</v>
      </c>
      <c r="AM5404">
        <v>90.256586589609896</v>
      </c>
      <c r="AN5404">
        <v>0.99999997337354296</v>
      </c>
    </row>
    <row r="5405" spans="1:40" x14ac:dyDescent="0.25">
      <c r="A5405" t="str">
        <f>"20190303153916048"</f>
        <v>20190303153916048</v>
      </c>
      <c r="B5405" t="str">
        <f>"1551598756044439"</f>
        <v>1551598756044439</v>
      </c>
      <c r="C5405" t="s">
        <v>40</v>
      </c>
      <c r="D5405">
        <v>4.3152379999999999</v>
      </c>
      <c r="E5405">
        <v>0.47437790000000002</v>
      </c>
      <c r="F5405" t="s">
        <v>68</v>
      </c>
      <c r="G5405">
        <v>-188.81280000000001</v>
      </c>
      <c r="H5405" s="1">
        <v>-1.9309360000000002E-6</v>
      </c>
      <c r="I5405">
        <v>122.84780000000001</v>
      </c>
      <c r="J5405">
        <v>-191.31890000000001</v>
      </c>
      <c r="K5405">
        <v>1.121818</v>
      </c>
      <c r="L5405">
        <v>166.19370000000001</v>
      </c>
      <c r="M5405">
        <v>-1.5539590000000001E-2</v>
      </c>
      <c r="N5405">
        <v>-1.348591E-2</v>
      </c>
      <c r="O5405">
        <v>-0.99978860000000003</v>
      </c>
      <c r="P5405">
        <v>-1.0357730000000001E-2</v>
      </c>
      <c r="Q5405">
        <v>-4.5897319999999998E-2</v>
      </c>
      <c r="R5405">
        <v>-0.99889280000000003</v>
      </c>
      <c r="S5405">
        <v>0.17248540000000001</v>
      </c>
      <c r="T5405">
        <v>-7.7290769999999995E-2</v>
      </c>
      <c r="U5405">
        <v>-3.0018159999999998</v>
      </c>
      <c r="V5405">
        <v>-5.1354970000000002E-3</v>
      </c>
      <c r="W5405">
        <v>-3.2426690000000001E-2</v>
      </c>
      <c r="X5405">
        <v>0.99946089999999999</v>
      </c>
      <c r="Y5405">
        <v>-7.2850689999999996E-2</v>
      </c>
      <c r="Z5405">
        <v>1.218966E-2</v>
      </c>
      <c r="AA5405">
        <v>0.99726840000000005</v>
      </c>
      <c r="AB5405">
        <v>20</v>
      </c>
      <c r="AC5405">
        <v>2.5061</v>
      </c>
      <c r="AD5405">
        <v>-1.121819930936</v>
      </c>
      <c r="AE5405">
        <v>-43.3459</v>
      </c>
      <c r="AF5405">
        <v>-3.1773148158830198</v>
      </c>
      <c r="AG5405">
        <v>-1.121819930936</v>
      </c>
      <c r="AH5405">
        <v>43.272829960827998</v>
      </c>
      <c r="AI5405">
        <v>91.481037965535506</v>
      </c>
      <c r="AJ5405">
        <v>94.199416355158803</v>
      </c>
      <c r="AK5405">
        <v>43.4038203642883</v>
      </c>
      <c r="AL5405">
        <v>91.858238273457999</v>
      </c>
      <c r="AM5405">
        <v>90.294398424526094</v>
      </c>
      <c r="AN5405">
        <v>0.99999997709130095</v>
      </c>
    </row>
    <row r="5406" spans="1:40" x14ac:dyDescent="0.25">
      <c r="A5406" t="str">
        <f>"20190303153916061"</f>
        <v>20190303153916061</v>
      </c>
      <c r="B5406" t="str">
        <f>"1551598756054201"</f>
        <v>1551598756054201</v>
      </c>
      <c r="C5406" t="s">
        <v>40</v>
      </c>
      <c r="D5406">
        <v>4.3359860000000001</v>
      </c>
      <c r="E5406">
        <v>0.47451159999999998</v>
      </c>
      <c r="F5406" t="s">
        <v>68</v>
      </c>
      <c r="G5406">
        <v>-188.7732</v>
      </c>
      <c r="H5406" s="1">
        <v>-1.5136669999999999E-6</v>
      </c>
      <c r="I5406">
        <v>122.0766</v>
      </c>
      <c r="J5406">
        <v>-191.3203</v>
      </c>
      <c r="K5406">
        <v>1.12181</v>
      </c>
      <c r="L5406">
        <v>166.07810000000001</v>
      </c>
      <c r="M5406">
        <v>-1.512466E-2</v>
      </c>
      <c r="N5406">
        <v>-1.348881E-2</v>
      </c>
      <c r="O5406">
        <v>-0.99979479999999998</v>
      </c>
      <c r="P5406">
        <v>-8.0913689999999993E-3</v>
      </c>
      <c r="Q5406">
        <v>-4.609481E-2</v>
      </c>
      <c r="R5406">
        <v>-0.99890449999999997</v>
      </c>
      <c r="S5406">
        <v>0.17320250000000001</v>
      </c>
      <c r="T5406">
        <v>-7.6325420000000005E-2</v>
      </c>
      <c r="U5406">
        <v>-3.0016020000000001</v>
      </c>
      <c r="V5406">
        <v>-6.9874339999999998E-3</v>
      </c>
      <c r="W5406">
        <v>-3.2623279999999998E-2</v>
      </c>
      <c r="X5406">
        <v>0.99944330000000003</v>
      </c>
      <c r="Y5406">
        <v>-7.2678740000000006E-2</v>
      </c>
      <c r="Z5406">
        <v>1.186831E-2</v>
      </c>
      <c r="AA5406">
        <v>0.99728479999999997</v>
      </c>
      <c r="AB5406">
        <v>20</v>
      </c>
      <c r="AC5406">
        <v>2.5470999999999999</v>
      </c>
      <c r="AD5406">
        <v>-1.1218115136669999</v>
      </c>
      <c r="AE5406">
        <v>-44.0015</v>
      </c>
      <c r="AF5406">
        <v>-3.2102970798658399</v>
      </c>
      <c r="AG5406">
        <v>-1.1218115136669999</v>
      </c>
      <c r="AH5406">
        <v>43.929480247542799</v>
      </c>
      <c r="AI5406">
        <v>91.458935206664506</v>
      </c>
      <c r="AJ5406">
        <v>94.179655278558897</v>
      </c>
      <c r="AK5406">
        <v>44.060909015049198</v>
      </c>
      <c r="AL5406">
        <v>91.869507959017</v>
      </c>
      <c r="AM5406">
        <v>90.400566950776593</v>
      </c>
      <c r="AN5406">
        <v>1.00000000627337</v>
      </c>
    </row>
    <row r="5407" spans="1:40" x14ac:dyDescent="0.25">
      <c r="A5407" t="str">
        <f>"20190303153916073"</f>
        <v>20190303153916073</v>
      </c>
      <c r="B5407" t="str">
        <f>"1551598756063959"</f>
        <v>1551598756063959</v>
      </c>
      <c r="C5407" t="s">
        <v>40</v>
      </c>
      <c r="D5407">
        <v>4.2907400000000004</v>
      </c>
      <c r="E5407">
        <v>0.47458539999999999</v>
      </c>
      <c r="F5407" t="s">
        <v>68</v>
      </c>
      <c r="G5407">
        <v>-188.68090000000001</v>
      </c>
      <c r="H5407" s="1">
        <v>-1.3578890000000001E-6</v>
      </c>
      <c r="I5407">
        <v>121.76900000000001</v>
      </c>
      <c r="J5407">
        <v>-191.32149999999999</v>
      </c>
      <c r="K5407">
        <v>1.1217980000000001</v>
      </c>
      <c r="L5407">
        <v>165.96099999999899</v>
      </c>
      <c r="M5407">
        <v>-1.4709069999999999E-2</v>
      </c>
      <c r="N5407">
        <v>-1.34915E-2</v>
      </c>
      <c r="O5407">
        <v>-0.99980100000000005</v>
      </c>
      <c r="P5407">
        <v>-6.7777640000000004E-3</v>
      </c>
      <c r="Q5407">
        <v>-4.6256989999999998E-2</v>
      </c>
      <c r="R5407">
        <v>-0.99890699999999999</v>
      </c>
      <c r="S5407">
        <v>0.17877199999999999</v>
      </c>
      <c r="T5407">
        <v>-7.598531E-2</v>
      </c>
      <c r="U5407">
        <v>-3.0012509999999999</v>
      </c>
      <c r="V5407">
        <v>-7.8862040000000008E-3</v>
      </c>
      <c r="W5407">
        <v>-3.2783689999999997E-2</v>
      </c>
      <c r="X5407">
        <v>0.99943139999999997</v>
      </c>
      <c r="Y5407">
        <v>-7.41148999999999E-2</v>
      </c>
      <c r="Z5407">
        <v>1.1753100000000001E-2</v>
      </c>
      <c r="AA5407">
        <v>0.99718050000000003</v>
      </c>
      <c r="AB5407">
        <v>20</v>
      </c>
      <c r="AC5407">
        <v>2.6405999999999699</v>
      </c>
      <c r="AD5407">
        <v>-1.12179935788899</v>
      </c>
      <c r="AE5407">
        <v>-44.191999999999901</v>
      </c>
      <c r="AF5407">
        <v>-3.2882851579821502</v>
      </c>
      <c r="AG5407">
        <v>-1.12179935788899</v>
      </c>
      <c r="AH5407">
        <v>44.120044962429901</v>
      </c>
      <c r="AI5407">
        <v>91.452465949218805</v>
      </c>
      <c r="AJ5407">
        <v>94.2623975176638</v>
      </c>
      <c r="AK5407">
        <v>44.256633633461199</v>
      </c>
      <c r="AL5407">
        <v>91.878703624896303</v>
      </c>
      <c r="AM5407">
        <v>90.452093888747996</v>
      </c>
      <c r="AN5407">
        <v>1.00000004292475</v>
      </c>
    </row>
    <row r="5408" spans="1:40" x14ac:dyDescent="0.25">
      <c r="A5408" t="str">
        <f>"20190303153916086"</f>
        <v>20190303153916086</v>
      </c>
      <c r="B5408" t="str">
        <f>"1551598756073720"</f>
        <v>1551598756073720</v>
      </c>
      <c r="C5408" t="s">
        <v>40</v>
      </c>
      <c r="D5408">
        <v>4.3147739999999999</v>
      </c>
      <c r="E5408">
        <v>0.47468440000000001</v>
      </c>
      <c r="F5408" t="s">
        <v>68</v>
      </c>
      <c r="G5408">
        <v>-188.61680000000001</v>
      </c>
      <c r="H5408" s="1">
        <v>-1.1792779999999999E-6</v>
      </c>
      <c r="I5408">
        <v>121.4269</v>
      </c>
      <c r="J5408">
        <v>-191.3229</v>
      </c>
      <c r="K5408">
        <v>1.1217839999999999</v>
      </c>
      <c r="L5408">
        <v>165.83330000000001</v>
      </c>
      <c r="M5408">
        <v>-1.4266279999999999E-2</v>
      </c>
      <c r="N5408">
        <v>-1.3494020000000001E-2</v>
      </c>
      <c r="O5408">
        <v>-0.99980740000000001</v>
      </c>
      <c r="P5408">
        <v>-5.4386629999999998E-3</v>
      </c>
      <c r="Q5408">
        <v>-4.6612569999999999E-2</v>
      </c>
      <c r="R5408">
        <v>-0.99889850000000002</v>
      </c>
      <c r="S5408">
        <v>0.18226619999999999</v>
      </c>
      <c r="T5408">
        <v>-7.559478E-2</v>
      </c>
      <c r="U5408">
        <v>-3.0010219999999999</v>
      </c>
      <c r="V5408">
        <v>-8.7829959999999995E-3</v>
      </c>
      <c r="W5408">
        <v>-3.3137640000000003E-2</v>
      </c>
      <c r="X5408">
        <v>0.99941219999999997</v>
      </c>
      <c r="Y5408">
        <v>-7.4834570000000003E-2</v>
      </c>
      <c r="Z5408">
        <v>1.162154E-2</v>
      </c>
      <c r="AA5408">
        <v>0.99712820000000002</v>
      </c>
      <c r="AB5408">
        <v>20</v>
      </c>
      <c r="AC5408">
        <v>2.70609999999999</v>
      </c>
      <c r="AD5408">
        <v>-1.121785179278</v>
      </c>
      <c r="AE5408">
        <v>-44.406399999999998</v>
      </c>
      <c r="AF5408">
        <v>-3.3372744037310502</v>
      </c>
      <c r="AG5408">
        <v>-1.121785179278</v>
      </c>
      <c r="AH5408">
        <v>44.335082406358801</v>
      </c>
      <c r="AI5408">
        <v>91.445325813995794</v>
      </c>
      <c r="AJ5408">
        <v>94.3047583423091</v>
      </c>
      <c r="AK5408">
        <v>44.474659463708903</v>
      </c>
      <c r="AL5408">
        <v>91.898994581653696</v>
      </c>
      <c r="AM5408">
        <v>90.503511611924793</v>
      </c>
      <c r="AN5408">
        <v>0.99999999485617197</v>
      </c>
    </row>
    <row r="5409" spans="1:40" x14ac:dyDescent="0.25">
      <c r="A5409" t="str">
        <f>"20190303153916100"</f>
        <v>20190303153916100</v>
      </c>
      <c r="B5409" t="str">
        <f>"1551598756094216"</f>
        <v>1551598756094216</v>
      </c>
      <c r="C5409" t="s">
        <v>40</v>
      </c>
      <c r="D5409">
        <v>4.2930900000000003</v>
      </c>
      <c r="E5409">
        <v>0.4748695</v>
      </c>
      <c r="F5409" t="s">
        <v>68</v>
      </c>
      <c r="G5409">
        <v>-188.58600000000001</v>
      </c>
      <c r="H5409" s="1">
        <v>-1.261986E-6</v>
      </c>
      <c r="I5409">
        <v>121.5699</v>
      </c>
      <c r="J5409">
        <v>-191.32409999999999</v>
      </c>
      <c r="K5409">
        <v>1.1217649999999999</v>
      </c>
      <c r="L5409">
        <v>165.71940000000001</v>
      </c>
      <c r="M5409">
        <v>-1.3886030000000001E-2</v>
      </c>
      <c r="N5409">
        <v>-1.349587E-2</v>
      </c>
      <c r="O5409">
        <v>-0.99981260000000005</v>
      </c>
      <c r="P5409">
        <v>-4.541092E-3</v>
      </c>
      <c r="Q5409">
        <v>-4.7100629999999997E-2</v>
      </c>
      <c r="R5409">
        <v>-0.99887979999999998</v>
      </c>
      <c r="S5409">
        <v>0.18554689999999999</v>
      </c>
      <c r="T5409">
        <v>-7.6050039999999999E-2</v>
      </c>
      <c r="U5409">
        <v>-3.0007779999999999</v>
      </c>
      <c r="V5409">
        <v>-9.3013360000000003E-3</v>
      </c>
      <c r="W5409">
        <v>-3.3624349999999997E-2</v>
      </c>
      <c r="X5409">
        <v>0.99939129999999998</v>
      </c>
      <c r="Y5409">
        <v>-7.5545879999999996E-2</v>
      </c>
      <c r="Z5409">
        <v>1.177168E-2</v>
      </c>
      <c r="AA5409">
        <v>0.99707279999999998</v>
      </c>
      <c r="AB5409">
        <v>20</v>
      </c>
      <c r="AC5409">
        <v>2.7381000000000002</v>
      </c>
      <c r="AD5409">
        <v>-1.1217662619859901</v>
      </c>
      <c r="AE5409">
        <v>-44.149500000000003</v>
      </c>
      <c r="AF5409">
        <v>-3.3487993670426599</v>
      </c>
      <c r="AG5409">
        <v>-1.1217662619859901</v>
      </c>
      <c r="AH5409">
        <v>44.078870122550498</v>
      </c>
      <c r="AI5409">
        <v>91.453622425860104</v>
      </c>
      <c r="AJ5409">
        <v>94.344580262151496</v>
      </c>
      <c r="AK5409">
        <v>44.220126730120498</v>
      </c>
      <c r="AL5409">
        <v>91.926896471495397</v>
      </c>
      <c r="AM5409">
        <v>90.533236491049294</v>
      </c>
      <c r="AN5409">
        <v>1.0000000411399901</v>
      </c>
    </row>
    <row r="5410" spans="1:40" x14ac:dyDescent="0.25">
      <c r="A5410" t="str">
        <f>"20190303153916114"</f>
        <v>20190303153916114</v>
      </c>
      <c r="B5410" t="str">
        <f>"1551598756103976"</f>
        <v>1551598756103976</v>
      </c>
      <c r="C5410" t="s">
        <v>40</v>
      </c>
      <c r="D5410">
        <v>4.2655649999999996</v>
      </c>
      <c r="E5410">
        <v>0.47499140000000001</v>
      </c>
      <c r="F5410" t="s">
        <v>68</v>
      </c>
      <c r="G5410">
        <v>-188.55189999999999</v>
      </c>
      <c r="H5410" s="1">
        <v>-1.0294310000000001E-6</v>
      </c>
      <c r="I5410">
        <v>121.1371</v>
      </c>
      <c r="J5410">
        <v>-191.3254</v>
      </c>
      <c r="K5410">
        <v>1.1217330000000001</v>
      </c>
      <c r="L5410">
        <v>165.58430000000001</v>
      </c>
      <c r="M5410">
        <v>-1.3447399999999899E-2</v>
      </c>
      <c r="N5410">
        <v>-1.34977999999999E-2</v>
      </c>
      <c r="O5410">
        <v>-0.99981850000000005</v>
      </c>
      <c r="P5410">
        <v>-4.4963440000000002E-3</v>
      </c>
      <c r="Q5410">
        <v>-4.7846809999999997E-2</v>
      </c>
      <c r="R5410">
        <v>-0.99884470000000003</v>
      </c>
      <c r="S5410">
        <v>0.18658449999999999</v>
      </c>
      <c r="T5410">
        <v>-7.5501440000000003E-2</v>
      </c>
      <c r="U5410">
        <v>-3.0006560000000002</v>
      </c>
      <c r="V5410">
        <v>-8.9084360000000005E-3</v>
      </c>
      <c r="W5410">
        <v>-3.4368199999999897E-2</v>
      </c>
      <c r="X5410">
        <v>0.99936959999999997</v>
      </c>
      <c r="Y5410">
        <v>-7.5454629999999995E-2</v>
      </c>
      <c r="Z5410">
        <v>1.158874E-2</v>
      </c>
      <c r="AA5410">
        <v>0.99708189999999997</v>
      </c>
      <c r="AB5410">
        <v>20</v>
      </c>
      <c r="AC5410">
        <v>2.7735000000000101</v>
      </c>
      <c r="AD5410">
        <v>-1.1217340294310001</v>
      </c>
      <c r="AE5410">
        <v>-44.447200000000002</v>
      </c>
      <c r="AF5410">
        <v>-3.3688654835814398</v>
      </c>
      <c r="AG5410">
        <v>-1.1217340294310001</v>
      </c>
      <c r="AH5410">
        <v>44.3777247495482</v>
      </c>
      <c r="AI5410">
        <v>91.443802408183899</v>
      </c>
      <c r="AJ5410">
        <v>94.341192945654797</v>
      </c>
      <c r="AK5410">
        <v>44.519546222147397</v>
      </c>
      <c r="AL5410">
        <v>91.969540538532996</v>
      </c>
      <c r="AM5410">
        <v>90.510724226781306</v>
      </c>
      <c r="AN5410">
        <v>1.00000006540368</v>
      </c>
    </row>
    <row r="5411" spans="1:40" x14ac:dyDescent="0.25">
      <c r="A5411" t="str">
        <f>"20190303153916125"</f>
        <v>20190303153916125</v>
      </c>
      <c r="B5411" t="str">
        <f>"1551598756113735"</f>
        <v>1551598756113735</v>
      </c>
      <c r="C5411" t="s">
        <v>40</v>
      </c>
      <c r="D5411">
        <v>4.231401</v>
      </c>
      <c r="E5411">
        <v>0.47499140000000001</v>
      </c>
      <c r="F5411" t="s">
        <v>68</v>
      </c>
      <c r="G5411">
        <v>-188.61949999999999</v>
      </c>
      <c r="H5411" s="1">
        <v>-1.4386869999999999E-6</v>
      </c>
      <c r="I5411">
        <v>121.9008</v>
      </c>
      <c r="J5411">
        <v>-191.32640000000001</v>
      </c>
      <c r="K5411">
        <v>1.1217090000000001</v>
      </c>
      <c r="L5411">
        <v>165.4796</v>
      </c>
      <c r="M5411">
        <v>-1.312077E-2</v>
      </c>
      <c r="N5411">
        <v>-1.349906E-2</v>
      </c>
      <c r="O5411">
        <v>-0.99982300000000002</v>
      </c>
      <c r="P5411">
        <v>-4.8238630000000003E-3</v>
      </c>
      <c r="Q5411">
        <v>-4.8450269999999997E-2</v>
      </c>
      <c r="R5411">
        <v>-0.99881419999999999</v>
      </c>
      <c r="S5411">
        <v>0.18586730000000001</v>
      </c>
      <c r="T5411">
        <v>-7.7052120000000002E-2</v>
      </c>
      <c r="U5411">
        <v>-3.000626</v>
      </c>
      <c r="V5411">
        <v>-8.2549300000000006E-3</v>
      </c>
      <c r="W5411">
        <v>-3.4969809999999997E-2</v>
      </c>
      <c r="X5411">
        <v>0.99935430000000003</v>
      </c>
      <c r="Y5411">
        <v>-7.4891600000000003E-2</v>
      </c>
      <c r="Z5411">
        <v>1.2103910000000001E-2</v>
      </c>
      <c r="AA5411">
        <v>0.99711819999999896</v>
      </c>
      <c r="AB5411">
        <v>20</v>
      </c>
      <c r="AC5411">
        <v>2.7069000000000099</v>
      </c>
      <c r="AD5411">
        <v>-1.121710438687</v>
      </c>
      <c r="AE5411">
        <v>-43.578800000000001</v>
      </c>
      <c r="AF5411">
        <v>-3.2763439828324499</v>
      </c>
      <c r="AG5411">
        <v>-1.121710438687</v>
      </c>
      <c r="AH5411">
        <v>43.510811387773202</v>
      </c>
      <c r="AI5411">
        <v>91.472593291002298</v>
      </c>
      <c r="AJ5411">
        <v>94.306219195935697</v>
      </c>
      <c r="AK5411">
        <v>43.6484062919194</v>
      </c>
      <c r="AL5411">
        <v>92.004031067262801</v>
      </c>
      <c r="AM5411">
        <v>90.473267481145896</v>
      </c>
      <c r="AN5411">
        <v>1.0000000242046101</v>
      </c>
    </row>
    <row r="5412" spans="1:40" x14ac:dyDescent="0.25">
      <c r="A5412" t="str">
        <f>"20190303153916138"</f>
        <v>20190303153916138</v>
      </c>
      <c r="B5412" t="str">
        <f>"1551598756134232"</f>
        <v>1551598756134232</v>
      </c>
      <c r="C5412" t="s">
        <v>40</v>
      </c>
      <c r="D5412">
        <v>4.289085</v>
      </c>
      <c r="E5412">
        <v>0.47841240000000002</v>
      </c>
      <c r="F5412" t="s">
        <v>68</v>
      </c>
      <c r="G5412">
        <v>-188.69749999999999</v>
      </c>
      <c r="H5412" s="1">
        <v>-1.9267449999999999E-6</v>
      </c>
      <c r="I5412">
        <v>122.8109</v>
      </c>
      <c r="J5412">
        <v>-191.32749999999999</v>
      </c>
      <c r="K5412">
        <v>1.121688</v>
      </c>
      <c r="L5412">
        <v>165.37549999999999</v>
      </c>
      <c r="M5412">
        <v>-1.281206E-2</v>
      </c>
      <c r="N5412">
        <v>-1.3500069999999999E-2</v>
      </c>
      <c r="O5412">
        <v>-0.99982700000000002</v>
      </c>
      <c r="P5412">
        <v>-5.8060759999999899E-3</v>
      </c>
      <c r="Q5412">
        <v>-4.8806469999999998E-2</v>
      </c>
      <c r="R5412">
        <v>-0.99879169999999995</v>
      </c>
      <c r="S5412">
        <v>0.1848755</v>
      </c>
      <c r="T5412">
        <v>-7.8882930000000004E-2</v>
      </c>
      <c r="U5412">
        <v>-3.000626</v>
      </c>
      <c r="V5412">
        <v>-6.9653479999999997E-3</v>
      </c>
      <c r="W5412">
        <v>-3.5323720000000003E-2</v>
      </c>
      <c r="X5412">
        <v>0.99935160000000001</v>
      </c>
      <c r="Y5412">
        <v>-7.4254769999999998E-2</v>
      </c>
      <c r="Z5412">
        <v>1.2712269999999999E-2</v>
      </c>
      <c r="AA5412">
        <v>0.99715830000000005</v>
      </c>
      <c r="AB5412">
        <v>20</v>
      </c>
      <c r="AC5412">
        <v>2.6299999999999901</v>
      </c>
      <c r="AD5412">
        <v>-1.121689926745</v>
      </c>
      <c r="AE5412">
        <v>-42.564599999999899</v>
      </c>
      <c r="AF5412">
        <v>-3.1729787563711498</v>
      </c>
      <c r="AG5412">
        <v>-1.121689926745</v>
      </c>
      <c r="AH5412">
        <v>42.498005968562701</v>
      </c>
      <c r="AI5412">
        <v>91.507715978332598</v>
      </c>
      <c r="AJ5412">
        <v>94.269885320099107</v>
      </c>
      <c r="AK5412">
        <v>42.631050817263898</v>
      </c>
      <c r="AL5412">
        <v>92.024321300764299</v>
      </c>
      <c r="AM5412">
        <v>90.399337511479899</v>
      </c>
      <c r="AN5412">
        <v>0.99999995084497795</v>
      </c>
    </row>
    <row r="5413" spans="1:40" x14ac:dyDescent="0.25">
      <c r="A5413" t="str">
        <f>"20190303153916150"</f>
        <v>20190303153916150</v>
      </c>
      <c r="B5413" t="str">
        <f>"1551598756143993"</f>
        <v>1551598756143993</v>
      </c>
      <c r="C5413" t="s">
        <v>40</v>
      </c>
      <c r="D5413">
        <v>4.3023899999999999</v>
      </c>
      <c r="E5413">
        <v>0.4721803</v>
      </c>
      <c r="F5413" t="s">
        <v>42</v>
      </c>
      <c r="G5413">
        <v>-188.31190000000001</v>
      </c>
      <c r="H5413" s="1">
        <v>-3.384909E-6</v>
      </c>
      <c r="I5413">
        <v>106.82510000000001</v>
      </c>
      <c r="J5413">
        <v>-191.32849999999999</v>
      </c>
      <c r="K5413">
        <v>1.1216699999999999</v>
      </c>
      <c r="L5413">
        <v>165.2603</v>
      </c>
      <c r="M5413">
        <v>-1.248053E-2</v>
      </c>
      <c r="N5413">
        <v>-1.350108E-2</v>
      </c>
      <c r="O5413">
        <v>-0.99983100000000003</v>
      </c>
      <c r="P5413">
        <v>-6.9297899999999999E-3</v>
      </c>
      <c r="Q5413">
        <v>-4.8923580000000001E-2</v>
      </c>
      <c r="R5413">
        <v>-0.99877890000000003</v>
      </c>
      <c r="S5413">
        <v>0.15460209999999999</v>
      </c>
      <c r="T5413">
        <v>-5.7506439999999999E-2</v>
      </c>
      <c r="U5413">
        <v>-3.0017399999999999</v>
      </c>
      <c r="V5413">
        <v>-5.5114319999999897E-3</v>
      </c>
      <c r="W5413">
        <v>-3.5438400000000002E-2</v>
      </c>
      <c r="X5413">
        <v>0.99935669999999999</v>
      </c>
      <c r="Y5413">
        <v>-6.3882229999999998E-2</v>
      </c>
      <c r="Z5413">
        <v>5.6150360000000003E-3</v>
      </c>
      <c r="AA5413">
        <v>0.99794170000000004</v>
      </c>
      <c r="AB5413">
        <v>20</v>
      </c>
      <c r="AC5413">
        <v>3.01659999999998</v>
      </c>
      <c r="AD5413">
        <v>-1.1216733849089999</v>
      </c>
      <c r="AE5413">
        <v>-58.435200000000002</v>
      </c>
      <c r="AF5413">
        <v>-3.7443577694712</v>
      </c>
      <c r="AG5413">
        <v>-1.1216733849089999</v>
      </c>
      <c r="AH5413">
        <v>58.371545666256203</v>
      </c>
      <c r="AI5413">
        <v>91.098608448264997</v>
      </c>
      <c r="AJ5413">
        <v>93.670321888074994</v>
      </c>
      <c r="AK5413">
        <v>58.502270979476101</v>
      </c>
      <c r="AL5413">
        <v>92.030895926711196</v>
      </c>
      <c r="AM5413">
        <v>90.315981862362506</v>
      </c>
      <c r="AN5413">
        <v>1.00000003495606</v>
      </c>
    </row>
    <row r="5414" spans="1:40" x14ac:dyDescent="0.25">
      <c r="A5414" t="str">
        <f>"20190303153916163"</f>
        <v>20190303153916163</v>
      </c>
      <c r="B5414" t="str">
        <f>"1551598756153752"</f>
        <v>1551598756153752</v>
      </c>
      <c r="C5414" t="s">
        <v>40</v>
      </c>
      <c r="D5414">
        <v>4.2541219999999997</v>
      </c>
      <c r="E5414">
        <v>0.47234369999999998</v>
      </c>
      <c r="F5414" t="s">
        <v>68</v>
      </c>
      <c r="G5414">
        <v>-189.35059999999999</v>
      </c>
      <c r="H5414" s="1">
        <v>-6.8469529999999996E-6</v>
      </c>
      <c r="I5414">
        <v>135.744</v>
      </c>
      <c r="J5414">
        <v>-191.3297</v>
      </c>
      <c r="K5414">
        <v>1.121642</v>
      </c>
      <c r="L5414">
        <v>165.13829999999999</v>
      </c>
      <c r="M5414">
        <v>-1.2164070000000001E-2</v>
      </c>
      <c r="N5414">
        <v>-1.3501819999999999E-2</v>
      </c>
      <c r="O5414">
        <v>-0.99983509999999998</v>
      </c>
      <c r="P5414">
        <v>-8.5114179999999998E-3</v>
      </c>
      <c r="Q5414">
        <v>-4.9277179999999997E-2</v>
      </c>
      <c r="R5414">
        <v>-0.99874929999999995</v>
      </c>
      <c r="S5414">
        <v>0.20100399999999999</v>
      </c>
      <c r="T5414">
        <v>-0.1139864</v>
      </c>
      <c r="U5414">
        <v>-2.9994809999999998</v>
      </c>
      <c r="V5414">
        <v>-3.615264E-3</v>
      </c>
      <c r="W5414">
        <v>-3.5789769999999999E-2</v>
      </c>
      <c r="X5414">
        <v>0.99935280000000004</v>
      </c>
      <c r="Y5414">
        <v>-7.8948740000000003E-2</v>
      </c>
      <c r="Z5414">
        <v>2.4367690000000001E-2</v>
      </c>
      <c r="AA5414">
        <v>0.99658080000000004</v>
      </c>
      <c r="AB5414">
        <v>20</v>
      </c>
      <c r="AC5414">
        <v>1.9791000000000101</v>
      </c>
      <c r="AD5414">
        <v>-1.1216488469529999</v>
      </c>
      <c r="AE5414">
        <v>-29.394299999999902</v>
      </c>
      <c r="AF5414">
        <v>-2.3331584275132502</v>
      </c>
      <c r="AG5414">
        <v>-1.1216488469529999</v>
      </c>
      <c r="AH5414">
        <v>29.325540900734001</v>
      </c>
      <c r="AI5414">
        <v>92.183499079090396</v>
      </c>
      <c r="AJ5414">
        <v>94.548906271999101</v>
      </c>
      <c r="AK5414">
        <v>29.439583446515801</v>
      </c>
      <c r="AL5414">
        <v>92.051040798845804</v>
      </c>
      <c r="AM5414">
        <v>90.2072726122516</v>
      </c>
      <c r="AN5414">
        <v>0.99999999831914099</v>
      </c>
    </row>
    <row r="5415" spans="1:40" x14ac:dyDescent="0.25">
      <c r="A5415" t="str">
        <f>"20190303153916176"</f>
        <v>20190303153916176</v>
      </c>
      <c r="B5415" t="str">
        <f>"1551598756163512"</f>
        <v>1551598756163512</v>
      </c>
      <c r="C5415" t="s">
        <v>40</v>
      </c>
      <c r="D5415">
        <v>4.2579599999999997</v>
      </c>
      <c r="E5415">
        <v>0.4721149</v>
      </c>
      <c r="F5415" t="s">
        <v>68</v>
      </c>
      <c r="G5415">
        <v>-189.44739999999999</v>
      </c>
      <c r="H5415" s="1">
        <v>-6.9776820000000001E-6</v>
      </c>
      <c r="I5415">
        <v>136.1703</v>
      </c>
      <c r="J5415">
        <v>-191.33070000000001</v>
      </c>
      <c r="K5415">
        <v>1.1216140000000001</v>
      </c>
      <c r="L5415">
        <v>165.02950000000001</v>
      </c>
      <c r="M5415">
        <v>-1.190333E-2</v>
      </c>
      <c r="N5415">
        <v>-1.350236E-2</v>
      </c>
      <c r="O5415">
        <v>-0.99983809999999995</v>
      </c>
      <c r="P5415">
        <v>-1.025949E-2</v>
      </c>
      <c r="Q5415">
        <v>-5.0231640000000001E-2</v>
      </c>
      <c r="R5415">
        <v>-0.99868509999999999</v>
      </c>
      <c r="S5415">
        <v>0.1949158</v>
      </c>
      <c r="T5415">
        <v>-0.1161503</v>
      </c>
      <c r="U5415">
        <v>-2.9997250000000002</v>
      </c>
      <c r="V5415">
        <v>-1.608064E-3</v>
      </c>
      <c r="W5415">
        <v>-3.6742759999999999E-2</v>
      </c>
      <c r="X5415">
        <v>0.99932350000000003</v>
      </c>
      <c r="Y5415">
        <v>-7.6668520000000004E-2</v>
      </c>
      <c r="Z5415">
        <v>2.5088630000000001E-2</v>
      </c>
      <c r="AA5415">
        <v>0.99674090000000004</v>
      </c>
      <c r="AB5415">
        <v>20</v>
      </c>
      <c r="AC5415">
        <v>1.88330000000002</v>
      </c>
      <c r="AD5415">
        <v>-1.1216209776820001</v>
      </c>
      <c r="AE5415">
        <v>-28.859200000000001</v>
      </c>
      <c r="AF5415">
        <v>-2.2233742217452299</v>
      </c>
      <c r="AG5415">
        <v>-1.1216209776820001</v>
      </c>
      <c r="AH5415">
        <v>28.791430125041199</v>
      </c>
      <c r="AI5415">
        <v>92.224314329814305</v>
      </c>
      <c r="AJ5415">
        <v>94.415815134966905</v>
      </c>
      <c r="AK5415">
        <v>28.8989251563553</v>
      </c>
      <c r="AL5415">
        <v>92.105678967598195</v>
      </c>
      <c r="AM5415">
        <v>90.092197572520604</v>
      </c>
      <c r="AN5415">
        <v>1.0000000369672399</v>
      </c>
    </row>
    <row r="5416" spans="1:40" x14ac:dyDescent="0.25">
      <c r="A5416" t="str">
        <f>"20190303153916187"</f>
        <v>20190303153916187</v>
      </c>
      <c r="B5416" t="str">
        <f>"1551598756184008"</f>
        <v>1551598756184008</v>
      </c>
      <c r="C5416" t="s">
        <v>40</v>
      </c>
      <c r="D5416">
        <v>4.1562089999999996</v>
      </c>
      <c r="E5416">
        <v>0.47329290000000002</v>
      </c>
      <c r="F5416" t="s">
        <v>68</v>
      </c>
      <c r="G5416">
        <v>-189.5179</v>
      </c>
      <c r="H5416" s="1">
        <v>-7.1239319999999997E-6</v>
      </c>
      <c r="I5416">
        <v>136.6403</v>
      </c>
      <c r="J5416">
        <v>-191.33170000000001</v>
      </c>
      <c r="K5416">
        <v>1.1215839999999999</v>
      </c>
      <c r="L5416">
        <v>164.9204</v>
      </c>
      <c r="M5416">
        <v>-1.165974E-2</v>
      </c>
      <c r="N5416">
        <v>-1.3502800000000001E-2</v>
      </c>
      <c r="O5416">
        <v>-0.99984119999999999</v>
      </c>
      <c r="P5416">
        <v>-1.211985E-2</v>
      </c>
      <c r="Q5416">
        <v>-5.1093010000000001E-2</v>
      </c>
      <c r="R5416">
        <v>-0.99862070000000003</v>
      </c>
      <c r="S5416">
        <v>0.1915588</v>
      </c>
      <c r="T5416">
        <v>-0.1185243</v>
      </c>
      <c r="U5416">
        <v>-2.9999539999999998</v>
      </c>
      <c r="V5416">
        <v>4.9468530000000002E-4</v>
      </c>
      <c r="W5416">
        <v>-3.7602940000000001E-2</v>
      </c>
      <c r="X5416">
        <v>0.99929259999999998</v>
      </c>
      <c r="Y5416">
        <v>-7.5308669999999994E-2</v>
      </c>
      <c r="Z5416">
        <v>2.5876900000000001E-2</v>
      </c>
      <c r="AA5416">
        <v>0.99682440000000005</v>
      </c>
      <c r="AB5416">
        <v>20</v>
      </c>
      <c r="AC5416">
        <v>1.8138000000000101</v>
      </c>
      <c r="AD5416">
        <v>-1.121591123932</v>
      </c>
      <c r="AE5416">
        <v>-28.280100000000001</v>
      </c>
      <c r="AF5416">
        <v>-2.1400928332085498</v>
      </c>
      <c r="AG5416">
        <v>-1.121591123932</v>
      </c>
      <c r="AH5416">
        <v>28.212832102186901</v>
      </c>
      <c r="AI5416">
        <v>92.270059782476494</v>
      </c>
      <c r="AJ5416">
        <v>94.337881157611804</v>
      </c>
      <c r="AK5416">
        <v>28.316106003654902</v>
      </c>
      <c r="AL5416">
        <v>92.154997896785204</v>
      </c>
      <c r="AM5416">
        <v>89.971636558139295</v>
      </c>
      <c r="AN5416">
        <v>0.99999996311247397</v>
      </c>
    </row>
    <row r="5417" spans="1:40" x14ac:dyDescent="0.25">
      <c r="A5417" t="str">
        <f>"20190303153916204"</f>
        <v>20190303153916204</v>
      </c>
      <c r="B5417" t="str">
        <f>"1551598756193768"</f>
        <v>1551598756193768</v>
      </c>
      <c r="C5417" t="s">
        <v>40</v>
      </c>
      <c r="D5417">
        <v>4.1570400000000003</v>
      </c>
      <c r="E5417">
        <v>0.474024</v>
      </c>
      <c r="F5417" t="s">
        <v>68</v>
      </c>
      <c r="G5417">
        <v>-189.43879999999999</v>
      </c>
      <c r="H5417" s="1">
        <v>-5.8781859999999898E-6</v>
      </c>
      <c r="I5417">
        <v>132.73150000000001</v>
      </c>
      <c r="J5417">
        <v>-191.333</v>
      </c>
      <c r="K5417">
        <v>1.1215280000000001</v>
      </c>
      <c r="L5417">
        <v>164.7731</v>
      </c>
      <c r="M5417">
        <v>-1.1396959999999999E-2</v>
      </c>
      <c r="N5417">
        <v>-1.3503029999999999E-2</v>
      </c>
      <c r="O5417">
        <v>-0.99984419999999996</v>
      </c>
      <c r="P5417">
        <v>-1.6816959999999999E-2</v>
      </c>
      <c r="Q5417">
        <v>-5.3515750000000001E-2</v>
      </c>
      <c r="R5417">
        <v>-0.99842569999999997</v>
      </c>
      <c r="S5417">
        <v>0.17646789999999901</v>
      </c>
      <c r="T5417">
        <v>-0.104564</v>
      </c>
      <c r="U5417">
        <v>-3.0009160000000001</v>
      </c>
      <c r="V5417">
        <v>5.4529579999999999E-3</v>
      </c>
      <c r="W5417">
        <v>-4.0025060000000001E-2</v>
      </c>
      <c r="X5417">
        <v>0.99918379999999996</v>
      </c>
      <c r="Y5417">
        <v>-7.0041720000000002E-2</v>
      </c>
      <c r="Z5417">
        <v>2.1244209999999999E-2</v>
      </c>
      <c r="AA5417">
        <v>0.99731789999999998</v>
      </c>
      <c r="AB5417">
        <v>20</v>
      </c>
      <c r="AC5417">
        <v>1.8942000000000101</v>
      </c>
      <c r="AD5417">
        <v>-1.121533878186</v>
      </c>
      <c r="AE5417">
        <v>-32.041599999999903</v>
      </c>
      <c r="AF5417">
        <v>-2.2565319584461201</v>
      </c>
      <c r="AG5417">
        <v>-1.121533878186</v>
      </c>
      <c r="AH5417">
        <v>31.978885390973101</v>
      </c>
      <c r="AI5417">
        <v>92.003623405530703</v>
      </c>
      <c r="AJ5417">
        <v>94.036282373760898</v>
      </c>
      <c r="AK5417">
        <v>32.078012494049602</v>
      </c>
      <c r="AL5417">
        <v>92.293879751657997</v>
      </c>
      <c r="AM5417">
        <v>89.6873164100883</v>
      </c>
      <c r="AN5417">
        <v>1.0000000031806899</v>
      </c>
    </row>
    <row r="5418" spans="1:40" x14ac:dyDescent="0.25">
      <c r="A5418" t="str">
        <f>"20190303153916218"</f>
        <v>20190303153916218</v>
      </c>
      <c r="B5418" t="str">
        <f>"1551598756214263"</f>
        <v>1551598756214263</v>
      </c>
      <c r="C5418" t="s">
        <v>40</v>
      </c>
      <c r="D5418">
        <v>4.1218079999999997</v>
      </c>
      <c r="E5418">
        <v>0.47743770000000002</v>
      </c>
      <c r="F5418" t="s">
        <v>68</v>
      </c>
      <c r="G5418">
        <v>-189.6977</v>
      </c>
      <c r="H5418" s="1">
        <v>-6.0937779999999998E-6</v>
      </c>
      <c r="I5418">
        <v>133.45249999999999</v>
      </c>
      <c r="J5418">
        <v>-191.33420000000001</v>
      </c>
      <c r="K5418">
        <v>1.121475</v>
      </c>
      <c r="L5418">
        <v>164.65020000000001</v>
      </c>
      <c r="M5418">
        <v>-1.12303E-2</v>
      </c>
      <c r="N5418">
        <v>-1.3503050000000001E-2</v>
      </c>
      <c r="O5418">
        <v>-0.99984580000000001</v>
      </c>
      <c r="P5418">
        <v>-1.874547E-2</v>
      </c>
      <c r="Q5418">
        <v>-5.476615E-2</v>
      </c>
      <c r="R5418">
        <v>-0.99832330000000002</v>
      </c>
      <c r="S5418">
        <v>0.156723</v>
      </c>
      <c r="T5418">
        <v>-0.10748290000000001</v>
      </c>
      <c r="U5418">
        <v>-3.001633</v>
      </c>
      <c r="V5418">
        <v>7.544622E-3</v>
      </c>
      <c r="W5418">
        <v>-4.1276420000000001E-2</v>
      </c>
      <c r="X5418">
        <v>0.99911930000000004</v>
      </c>
      <c r="Y5418">
        <v>-6.3320409999999994E-2</v>
      </c>
      <c r="Z5418">
        <v>2.2220009999999998E-2</v>
      </c>
      <c r="AA5418">
        <v>0.99774589999999996</v>
      </c>
      <c r="AB5418">
        <v>20</v>
      </c>
      <c r="AC5418">
        <v>1.6365000000000101</v>
      </c>
      <c r="AD5418">
        <v>-1.121481093778</v>
      </c>
      <c r="AE5418">
        <v>-31.197700000000001</v>
      </c>
      <c r="AF5418">
        <v>-1.9842312020382</v>
      </c>
      <c r="AG5418">
        <v>-1.121481093778</v>
      </c>
      <c r="AH5418">
        <v>31.1372262484429</v>
      </c>
      <c r="AI5418">
        <v>92.058579776623006</v>
      </c>
      <c r="AJ5418">
        <v>93.646264237324601</v>
      </c>
      <c r="AK5418">
        <v>31.220534136263002</v>
      </c>
      <c r="AL5418">
        <v>92.365636676297001</v>
      </c>
      <c r="AM5418">
        <v>89.567352184520104</v>
      </c>
      <c r="AN5418">
        <v>1.0000000199008101</v>
      </c>
    </row>
    <row r="5419" spans="1:40" x14ac:dyDescent="0.25">
      <c r="A5419" t="str">
        <f>"20190303153916233"</f>
        <v>20190303153916233</v>
      </c>
      <c r="B5419" t="str">
        <f>"1551598756224023"</f>
        <v>1551598756224023</v>
      </c>
      <c r="C5419" t="s">
        <v>40</v>
      </c>
      <c r="D5419">
        <v>4.2836280000000002</v>
      </c>
      <c r="E5419">
        <v>0.47743770000000002</v>
      </c>
      <c r="F5419" t="s">
        <v>68</v>
      </c>
      <c r="G5419">
        <v>-189.65950000000001</v>
      </c>
      <c r="H5419" s="1">
        <v>-2.4432709999999998E-6</v>
      </c>
      <c r="I5419">
        <v>123.9974</v>
      </c>
      <c r="J5419">
        <v>-191.3355</v>
      </c>
      <c r="K5419">
        <v>1.121407</v>
      </c>
      <c r="L5419">
        <v>164.511</v>
      </c>
      <c r="M5419">
        <v>-1.109711E-2</v>
      </c>
      <c r="N5419">
        <v>-1.3502979999999999E-2</v>
      </c>
      <c r="O5419">
        <v>-0.99984720000000005</v>
      </c>
      <c r="P5419">
        <v>-2.1135049999999999E-2</v>
      </c>
      <c r="Q5419">
        <v>-5.5763319999999998E-2</v>
      </c>
      <c r="R5419">
        <v>-0.99822010000000005</v>
      </c>
      <c r="S5419">
        <v>0.12370299999999999</v>
      </c>
      <c r="T5419">
        <v>-8.2838540000000002E-2</v>
      </c>
      <c r="U5419">
        <v>-3.0028380000000001</v>
      </c>
      <c r="V5419">
        <v>1.0062089999999999E-2</v>
      </c>
      <c r="W5419">
        <v>-4.227537E-2</v>
      </c>
      <c r="X5419">
        <v>0.99905529999999998</v>
      </c>
      <c r="Y5419">
        <v>-5.2228099999999902E-2</v>
      </c>
      <c r="Z5419">
        <v>1.403978E-2</v>
      </c>
      <c r="AA5419">
        <v>0.99853650000000005</v>
      </c>
      <c r="AB5419">
        <v>20</v>
      </c>
      <c r="AC5419">
        <v>1.67599999999998</v>
      </c>
      <c r="AD5419">
        <v>-1.121409443271</v>
      </c>
      <c r="AE5419">
        <v>-40.513599999999997</v>
      </c>
      <c r="AF5419">
        <v>-2.1238971798640001</v>
      </c>
      <c r="AG5419">
        <v>-1.121409443271</v>
      </c>
      <c r="AH5419">
        <v>40.461556891635801</v>
      </c>
      <c r="AI5419">
        <v>91.585389190848005</v>
      </c>
      <c r="AJ5419">
        <v>93.004796910721097</v>
      </c>
      <c r="AK5419">
        <v>40.532777902151899</v>
      </c>
      <c r="AL5419">
        <v>92.422922421385294</v>
      </c>
      <c r="AM5419">
        <v>89.422959071537207</v>
      </c>
      <c r="AN5419">
        <v>0.99999997251094697</v>
      </c>
    </row>
    <row r="5420" spans="1:40" x14ac:dyDescent="0.25">
      <c r="A5420" t="str">
        <f>"20190303153916305"</f>
        <v>20190303153916305</v>
      </c>
      <c r="B5420" t="str">
        <f>"1551598756294297"</f>
        <v>1551598756294297</v>
      </c>
      <c r="C5420" t="s">
        <v>40</v>
      </c>
      <c r="D5420">
        <v>2.8273030000000001</v>
      </c>
      <c r="E5420">
        <v>0.47743770000000002</v>
      </c>
      <c r="F5420" t="s">
        <v>68</v>
      </c>
      <c r="G5420">
        <v>-189.81659999999999</v>
      </c>
      <c r="H5420" s="1">
        <v>-3.0587200000000002E-6</v>
      </c>
      <c r="I5420">
        <v>125.34950000000001</v>
      </c>
      <c r="J5420">
        <v>-191.34289999999999</v>
      </c>
      <c r="K5420">
        <v>1.12101299999999</v>
      </c>
      <c r="L5420">
        <v>163.8623</v>
      </c>
      <c r="M5420">
        <v>-1.1564949999999999E-2</v>
      </c>
      <c r="N5420">
        <v>-1.3502689999999999E-2</v>
      </c>
      <c r="O5420">
        <v>-0.99984220000000001</v>
      </c>
      <c r="P5420">
        <v>-3.6644719999999999E-2</v>
      </c>
      <c r="Q5420">
        <v>-5.8443420000000003E-2</v>
      </c>
      <c r="R5420">
        <v>-0.997618</v>
      </c>
      <c r="S5420">
        <v>0.1164703</v>
      </c>
      <c r="T5420">
        <v>-8.5992689999999997E-2</v>
      </c>
      <c r="U5420">
        <v>-3.0030060000000001</v>
      </c>
      <c r="V5420">
        <v>2.507036E-2</v>
      </c>
      <c r="W5420">
        <v>-4.4981420000000001E-2</v>
      </c>
      <c r="X5420">
        <v>0.99867320000000004</v>
      </c>
      <c r="Y5420">
        <v>-5.0291450000000001E-2</v>
      </c>
      <c r="Z5420">
        <v>1.508929E-2</v>
      </c>
      <c r="AA5420">
        <v>0.99862059999999997</v>
      </c>
      <c r="AB5420">
        <v>20</v>
      </c>
      <c r="AC5420">
        <v>1.52629999999999</v>
      </c>
      <c r="AD5420">
        <v>-1.12101605871999</v>
      </c>
      <c r="AE5420">
        <v>-38.512799999999999</v>
      </c>
      <c r="AF5420">
        <v>-1.9699705652970301</v>
      </c>
      <c r="AG5420">
        <v>-1.12101605871999</v>
      </c>
      <c r="AH5420">
        <v>38.460036441280202</v>
      </c>
      <c r="AI5420">
        <v>91.667374624799507</v>
      </c>
      <c r="AJ5420">
        <v>92.932198059978006</v>
      </c>
      <c r="AK5420">
        <v>38.526768150165999</v>
      </c>
      <c r="AL5420">
        <v>92.578115402182604</v>
      </c>
      <c r="AM5420">
        <v>88.561967828368907</v>
      </c>
      <c r="AN5420">
        <v>1.00000000574699</v>
      </c>
    </row>
    <row r="5421" spans="1:40" x14ac:dyDescent="0.25">
      <c r="A5421" t="str">
        <f>"20190303153916363"</f>
        <v>20190303153916363</v>
      </c>
      <c r="B5421" t="str">
        <f>"1551598756353832"</f>
        <v>1551598756353832</v>
      </c>
      <c r="C5421" t="s">
        <v>40</v>
      </c>
      <c r="D5421">
        <v>3.7364739999999999</v>
      </c>
      <c r="E5421">
        <v>0.47743770000000002</v>
      </c>
      <c r="F5421" t="s">
        <v>68</v>
      </c>
      <c r="G5421">
        <v>-190.51300000000001</v>
      </c>
      <c r="H5421" s="1">
        <v>-4.4377150000000001E-6</v>
      </c>
      <c r="I5421">
        <v>128.3442</v>
      </c>
      <c r="J5421">
        <v>-191.35130000000001</v>
      </c>
      <c r="K5421">
        <v>1.1206</v>
      </c>
      <c r="L5421">
        <v>163.3399</v>
      </c>
      <c r="M5421">
        <v>-1.367411E-2</v>
      </c>
      <c r="N5421">
        <v>-1.3505639999999999E-2</v>
      </c>
      <c r="O5421">
        <v>-0.99981540000000002</v>
      </c>
      <c r="P5421">
        <v>-5.1104620000000003E-2</v>
      </c>
      <c r="Q5421">
        <v>-6.1338480000000001E-2</v>
      </c>
      <c r="R5421">
        <v>-0.99680800000000003</v>
      </c>
      <c r="S5421">
        <v>7.0190429999999998E-2</v>
      </c>
      <c r="T5421">
        <v>-9.4817040000000005E-2</v>
      </c>
      <c r="U5421">
        <v>-3.0041660000000001</v>
      </c>
      <c r="V5421">
        <v>3.7385210000000002E-2</v>
      </c>
      <c r="W5421">
        <v>-4.7926980000000001E-2</v>
      </c>
      <c r="X5421">
        <v>0.99815089999999995</v>
      </c>
      <c r="Y5421">
        <v>-3.7012379999999998E-2</v>
      </c>
      <c r="Z5421">
        <v>1.8022679999999999E-2</v>
      </c>
      <c r="AA5421">
        <v>0.99915229999999999</v>
      </c>
      <c r="AB5421">
        <v>20</v>
      </c>
      <c r="AC5421">
        <v>0.83830000000000304</v>
      </c>
      <c r="AD5421">
        <v>-1.120604437715</v>
      </c>
      <c r="AE5421">
        <v>-34.995699999999999</v>
      </c>
      <c r="AF5421">
        <v>-1.3154522217368201</v>
      </c>
      <c r="AG5421">
        <v>-1.120604437715</v>
      </c>
      <c r="AH5421">
        <v>34.945152704323299</v>
      </c>
      <c r="AI5421">
        <v>91.835405187045396</v>
      </c>
      <c r="AJ5421">
        <v>92.155786558076898</v>
      </c>
      <c r="AK5421">
        <v>34.987853126220401</v>
      </c>
      <c r="AL5421">
        <v>92.747066211147597</v>
      </c>
      <c r="AM5421">
        <v>87.855019758180006</v>
      </c>
      <c r="AN5421">
        <v>0.99999993425473499</v>
      </c>
    </row>
    <row r="5422" spans="1:40" x14ac:dyDescent="0.25">
      <c r="A5422" t="str">
        <f>"20190303153916375"</f>
        <v>20190303153916375</v>
      </c>
      <c r="B5422" t="str">
        <f>"1551598756363592"</f>
        <v>1551598756363592</v>
      </c>
      <c r="C5422" t="s">
        <v>40</v>
      </c>
      <c r="D5422">
        <v>4.0008410000000003</v>
      </c>
      <c r="E5422">
        <v>0.61965760000000003</v>
      </c>
      <c r="F5422" t="s">
        <v>68</v>
      </c>
      <c r="G5422">
        <v>-191.0615</v>
      </c>
      <c r="H5422" s="1">
        <v>-5.4015669999999998E-6</v>
      </c>
      <c r="I5422">
        <v>130.84020000000001</v>
      </c>
      <c r="J5422">
        <v>-191.35319999999999</v>
      </c>
      <c r="K5422">
        <v>1.120517</v>
      </c>
      <c r="L5422">
        <v>163.2449</v>
      </c>
      <c r="M5422">
        <v>-1.424548E-2</v>
      </c>
      <c r="N5422">
        <v>-1.3506779999999999E-2</v>
      </c>
      <c r="O5422">
        <v>-0.99980760000000002</v>
      </c>
      <c r="P5422">
        <v>-5.43528E-2</v>
      </c>
      <c r="Q5422">
        <v>-6.1420420000000003E-2</v>
      </c>
      <c r="R5422">
        <v>-0.99663139999999995</v>
      </c>
      <c r="S5422">
        <v>2.6794430000000001E-2</v>
      </c>
      <c r="T5422">
        <v>-0.10359989999999999</v>
      </c>
      <c r="U5422">
        <v>-3.0045929999999998</v>
      </c>
      <c r="V5422">
        <v>4.0056050000000003E-2</v>
      </c>
      <c r="W5422">
        <v>-4.80217E-2</v>
      </c>
      <c r="X5422">
        <v>0.99804280000000001</v>
      </c>
      <c r="Y5422">
        <v>-2.3153320000000002E-2</v>
      </c>
      <c r="Z5422">
        <v>2.0946739999999998E-2</v>
      </c>
      <c r="AA5422">
        <v>0.99951239999999997</v>
      </c>
      <c r="AB5422">
        <v>20</v>
      </c>
      <c r="AC5422">
        <v>0.29169999999999102</v>
      </c>
      <c r="AD5422">
        <v>-1.1205224015669999</v>
      </c>
      <c r="AE5422">
        <v>-32.404699999999899</v>
      </c>
      <c r="AF5422">
        <v>-0.75243325733101696</v>
      </c>
      <c r="AG5422">
        <v>-1.1205224015669999</v>
      </c>
      <c r="AH5422">
        <v>32.358567190486603</v>
      </c>
      <c r="AI5422">
        <v>91.982727846374303</v>
      </c>
      <c r="AJ5422">
        <v>91.332057818682003</v>
      </c>
      <c r="AK5422">
        <v>32.3867040138447</v>
      </c>
      <c r="AL5422">
        <v>92.752499340737899</v>
      </c>
      <c r="AM5422">
        <v>87.7016902238976</v>
      </c>
      <c r="AN5422">
        <v>1.0000000007221601</v>
      </c>
    </row>
    <row r="5423" spans="1:40" x14ac:dyDescent="0.25">
      <c r="A5423" t="str">
        <f>"20190303153916387"</f>
        <v>20190303153916387</v>
      </c>
      <c r="B5423" t="str">
        <f>"1551598756384088"</f>
        <v>1551598756384088</v>
      </c>
      <c r="C5423" t="s">
        <v>40</v>
      </c>
      <c r="D5423">
        <v>3.9759709999999999</v>
      </c>
      <c r="E5423">
        <v>0.61889559999999999</v>
      </c>
      <c r="F5423" t="s">
        <v>43</v>
      </c>
      <c r="G5423">
        <v>-209.11340000000001</v>
      </c>
      <c r="H5423">
        <v>-0.05</v>
      </c>
      <c r="I5423">
        <v>116.3623</v>
      </c>
      <c r="J5423">
        <v>-191.35550000000001</v>
      </c>
      <c r="K5423">
        <v>1.12042</v>
      </c>
      <c r="L5423">
        <v>163.1319</v>
      </c>
      <c r="M5423">
        <v>-1.499058E-2</v>
      </c>
      <c r="N5423">
        <v>-1.3508340000000001E-2</v>
      </c>
      <c r="O5423">
        <v>-0.99979629999999997</v>
      </c>
      <c r="P5423">
        <v>-5.7940350000000002E-2</v>
      </c>
      <c r="Q5423">
        <v>-6.0929299999999999E-2</v>
      </c>
      <c r="R5423">
        <v>-0.99645890000000004</v>
      </c>
      <c r="S5423">
        <v>-1.1155550000000001</v>
      </c>
      <c r="T5423">
        <v>-7.3522690000000002E-2</v>
      </c>
      <c r="U5423">
        <v>-2.9447939999999999</v>
      </c>
      <c r="V5423">
        <v>4.2892609999999998E-2</v>
      </c>
      <c r="W5423">
        <v>-4.7545549999999999E-2</v>
      </c>
      <c r="X5423">
        <v>0.99794769999999999</v>
      </c>
      <c r="Y5423">
        <v>0.34009679999999998</v>
      </c>
      <c r="Z5423">
        <v>9.9307240000000001E-3</v>
      </c>
      <c r="AA5423">
        <v>0.94033800000000001</v>
      </c>
      <c r="AB5423">
        <v>20</v>
      </c>
      <c r="AC5423">
        <v>-17.757899999999999</v>
      </c>
      <c r="AD5423">
        <v>-1.17042</v>
      </c>
      <c r="AE5423">
        <v>-46.769599999999997</v>
      </c>
      <c r="AF5423">
        <v>17.045406938569201</v>
      </c>
      <c r="AG5423">
        <v>-1.17042</v>
      </c>
      <c r="AH5423">
        <v>47.0048410347962</v>
      </c>
      <c r="AI5423">
        <v>91.340957371290003</v>
      </c>
      <c r="AJ5423">
        <v>70.067791623172596</v>
      </c>
      <c r="AK5423">
        <v>50.013706735097003</v>
      </c>
      <c r="AL5423">
        <v>92.725186802819493</v>
      </c>
      <c r="AM5423">
        <v>87.538895202730501</v>
      </c>
      <c r="AN5423">
        <v>0.99999998362635201</v>
      </c>
    </row>
    <row r="5424" spans="1:40" x14ac:dyDescent="0.25">
      <c r="A5424" t="str">
        <f>"20190303153916400"</f>
        <v>20190303153916400</v>
      </c>
      <c r="B5424" t="str">
        <f>"1551598756393848"</f>
        <v>1551598756393848</v>
      </c>
      <c r="C5424" t="s">
        <v>40</v>
      </c>
      <c r="D5424">
        <v>3.7596660000000002</v>
      </c>
      <c r="E5424">
        <v>0.62188350000000003</v>
      </c>
      <c r="F5424" t="s">
        <v>68</v>
      </c>
      <c r="G5424">
        <v>-203.44</v>
      </c>
      <c r="H5424" s="1">
        <v>-5.592821E-6</v>
      </c>
      <c r="I5424">
        <v>131.42269999999999</v>
      </c>
      <c r="J5424">
        <v>-191.35810000000001</v>
      </c>
      <c r="K5424">
        <v>1.120331</v>
      </c>
      <c r="L5424">
        <v>163.02109999999999</v>
      </c>
      <c r="M5424">
        <v>-1.582834E-2</v>
      </c>
      <c r="N5424">
        <v>-1.351012E-2</v>
      </c>
      <c r="O5424">
        <v>-0.99978350000000005</v>
      </c>
      <c r="P5424">
        <v>-6.1413959999999997E-2</v>
      </c>
      <c r="Q5424">
        <v>-6.0581370000000002E-2</v>
      </c>
      <c r="R5424">
        <v>-0.9962723</v>
      </c>
      <c r="S5424">
        <v>-1.1201319999999999</v>
      </c>
      <c r="T5424">
        <v>-0.10385419999999999</v>
      </c>
      <c r="U5424">
        <v>-2.9391780000000001</v>
      </c>
      <c r="V5424">
        <v>4.5523800000000003E-2</v>
      </c>
      <c r="W5424">
        <v>-4.72126E-2</v>
      </c>
      <c r="X5424">
        <v>0.99784700000000004</v>
      </c>
      <c r="Y5424">
        <v>0.34111039999999998</v>
      </c>
      <c r="Z5424">
        <v>1.9621639999999999E-2</v>
      </c>
      <c r="AA5424">
        <v>0.93981840000000005</v>
      </c>
      <c r="AB5424">
        <v>20</v>
      </c>
      <c r="AC5424">
        <v>-12.0818999999999</v>
      </c>
      <c r="AD5424">
        <v>-1.1203365928210001</v>
      </c>
      <c r="AE5424">
        <v>-31.598400000000002</v>
      </c>
      <c r="AF5424">
        <v>11.567503657402099</v>
      </c>
      <c r="AG5424">
        <v>-1.1203365928210001</v>
      </c>
      <c r="AH5424">
        <v>31.750871875914299</v>
      </c>
      <c r="AI5424">
        <v>91.898861629106406</v>
      </c>
      <c r="AJ5424">
        <v>69.982264690438896</v>
      </c>
      <c r="AK5424">
        <v>33.8109473370084</v>
      </c>
      <c r="AL5424">
        <v>92.706088570598993</v>
      </c>
      <c r="AM5424">
        <v>87.387861829234495</v>
      </c>
      <c r="AN5424">
        <v>1.0000000406870899</v>
      </c>
    </row>
    <row r="5425" spans="1:40" x14ac:dyDescent="0.25">
      <c r="A5425" t="str">
        <f>"20190303153916415"</f>
        <v>20190303153916415</v>
      </c>
      <c r="B5425" t="str">
        <f>"1551598756403607"</f>
        <v>1551598756403607</v>
      </c>
      <c r="C5425" t="s">
        <v>40</v>
      </c>
      <c r="D5425">
        <v>3.7600929999999999</v>
      </c>
      <c r="E5425">
        <v>0.62374370000000001</v>
      </c>
      <c r="F5425" t="s">
        <v>43</v>
      </c>
      <c r="G5425">
        <v>-209.34399999999999</v>
      </c>
      <c r="H5425">
        <v>-0.05</v>
      </c>
      <c r="I5425">
        <v>117.2714</v>
      </c>
      <c r="J5425">
        <v>-191.36150000000001</v>
      </c>
      <c r="K5425">
        <v>1.1202209999999999</v>
      </c>
      <c r="L5425">
        <v>162.88159999999999</v>
      </c>
      <c r="M5425">
        <v>-1.697278E-2</v>
      </c>
      <c r="N5425">
        <v>-1.3512440000000001E-2</v>
      </c>
      <c r="O5425">
        <v>-0.99976469999999995</v>
      </c>
      <c r="P5425">
        <v>-6.5540429999999997E-2</v>
      </c>
      <c r="Q5425">
        <v>-5.9881629999999998E-2</v>
      </c>
      <c r="R5425">
        <v>-0.99605189999999999</v>
      </c>
      <c r="S5425">
        <v>-1.1540680000000001</v>
      </c>
      <c r="T5425">
        <v>-7.5094460000000002E-2</v>
      </c>
      <c r="U5425">
        <v>-2.9355319999999998</v>
      </c>
      <c r="V5425">
        <v>4.8501519999999999E-2</v>
      </c>
      <c r="W5425">
        <v>-4.6531660000000002E-2</v>
      </c>
      <c r="X5425">
        <v>0.99773869999999998</v>
      </c>
      <c r="Y5425">
        <v>0.3499237</v>
      </c>
      <c r="Z5425">
        <v>1.0403219999999999E-2</v>
      </c>
      <c r="AA5425">
        <v>0.93672040000000001</v>
      </c>
      <c r="AB5425">
        <v>20</v>
      </c>
      <c r="AC5425">
        <v>-17.982500000000002</v>
      </c>
      <c r="AD5425">
        <v>-1.170221</v>
      </c>
      <c r="AE5425">
        <v>-45.610199999999899</v>
      </c>
      <c r="AF5425">
        <v>17.1959097764801</v>
      </c>
      <c r="AG5425">
        <v>-1.170221</v>
      </c>
      <c r="AH5425">
        <v>45.882729230660303</v>
      </c>
      <c r="AI5425">
        <v>91.368102857928207</v>
      </c>
      <c r="AJ5425">
        <v>69.455027935830103</v>
      </c>
      <c r="AK5425">
        <v>49.013197935696603</v>
      </c>
      <c r="AL5425">
        <v>92.6670306214166</v>
      </c>
      <c r="AM5425">
        <v>87.216960157348296</v>
      </c>
      <c r="AN5425">
        <v>1.0000000531511699</v>
      </c>
    </row>
    <row r="5426" spans="1:40" x14ac:dyDescent="0.25">
      <c r="A5426" t="str">
        <f>"20190303153916429"</f>
        <v>20190303153916429</v>
      </c>
      <c r="B5426" t="str">
        <f>"1551598756424104"</f>
        <v>1551598756424104</v>
      </c>
      <c r="C5426" t="s">
        <v>40</v>
      </c>
      <c r="D5426">
        <v>3.7430189999999999</v>
      </c>
      <c r="E5426">
        <v>0.62580440000000004</v>
      </c>
      <c r="F5426" t="s">
        <v>69</v>
      </c>
      <c r="G5426">
        <v>-209.94739999999999</v>
      </c>
      <c r="H5426">
        <v>0.28760360000000001</v>
      </c>
      <c r="I5426">
        <v>116.75060000000001</v>
      </c>
      <c r="J5426">
        <v>-191.36500000000001</v>
      </c>
      <c r="K5426">
        <v>1.1201190000000001</v>
      </c>
      <c r="L5426">
        <v>162.75049999999999</v>
      </c>
      <c r="M5426">
        <v>-1.8152749999999999E-2</v>
      </c>
      <c r="N5426">
        <v>-1.3514740000000001E-2</v>
      </c>
      <c r="O5426">
        <v>-0.99974410000000002</v>
      </c>
      <c r="P5426">
        <v>-7.3140709999999998E-2</v>
      </c>
      <c r="Q5426">
        <v>-5.945309E-2</v>
      </c>
      <c r="R5426">
        <v>-0.9955484</v>
      </c>
      <c r="S5426">
        <v>-1.1808780000000001</v>
      </c>
      <c r="T5426">
        <v>-5.2899719999999997E-2</v>
      </c>
      <c r="U5426">
        <v>-2.931</v>
      </c>
      <c r="V5426">
        <v>5.4923140000000002E-2</v>
      </c>
      <c r="W5426">
        <v>-4.613486E-2</v>
      </c>
      <c r="X5426">
        <v>0.99742419999999998</v>
      </c>
      <c r="Y5426">
        <v>0.35672939999999997</v>
      </c>
      <c r="Z5426">
        <v>3.3249899999999999E-3</v>
      </c>
      <c r="AA5426">
        <v>0.93420179999999997</v>
      </c>
      <c r="AB5426">
        <v>20</v>
      </c>
      <c r="AC5426">
        <v>-18.5823999999999</v>
      </c>
      <c r="AD5426">
        <v>-0.83251540000000002</v>
      </c>
      <c r="AE5426">
        <v>-45.999899999999897</v>
      </c>
      <c r="AF5426">
        <v>17.739241528581999</v>
      </c>
      <c r="AG5426">
        <v>-0.83251540000000002</v>
      </c>
      <c r="AH5426">
        <v>46.3166289928119</v>
      </c>
      <c r="AI5426">
        <v>90.961644263103807</v>
      </c>
      <c r="AJ5426">
        <v>69.043189682361401</v>
      </c>
      <c r="AK5426">
        <v>49.604474527590703</v>
      </c>
      <c r="AL5426">
        <v>92.644271340039197</v>
      </c>
      <c r="AM5426">
        <v>86.848192269842201</v>
      </c>
      <c r="AN5426">
        <v>1.0000000056801499</v>
      </c>
    </row>
    <row r="5427" spans="1:40" x14ac:dyDescent="0.25">
      <c r="A5427" t="str">
        <f>"20190303153916450"</f>
        <v>20190303153916450</v>
      </c>
      <c r="B5427" t="str">
        <f>"1551598756443627"</f>
        <v>1551598756443627</v>
      </c>
      <c r="C5427" t="s">
        <v>40</v>
      </c>
      <c r="D5427">
        <v>4.0214220000000003</v>
      </c>
      <c r="E5427">
        <v>0.62159259999999905</v>
      </c>
      <c r="F5427" t="s">
        <v>69</v>
      </c>
      <c r="G5427">
        <v>-210.85599999999999</v>
      </c>
      <c r="H5427">
        <v>0.71318749999999997</v>
      </c>
      <c r="I5427">
        <v>116.0505</v>
      </c>
      <c r="J5427">
        <v>-191.37029999999999</v>
      </c>
      <c r="K5427">
        <v>1.1199969999999999</v>
      </c>
      <c r="L5427">
        <v>162.57060000000001</v>
      </c>
      <c r="M5427">
        <v>-1.996597E-2</v>
      </c>
      <c r="N5427">
        <v>-1.351838E-2</v>
      </c>
      <c r="O5427">
        <v>-0.99970910000000002</v>
      </c>
      <c r="P5427">
        <v>-8.3190790000000001E-2</v>
      </c>
      <c r="Q5427">
        <v>-6.003294E-2</v>
      </c>
      <c r="R5427">
        <v>-0.99472360000000004</v>
      </c>
      <c r="S5427">
        <v>-1.2196499999999999</v>
      </c>
      <c r="T5427">
        <v>-2.546203E-2</v>
      </c>
      <c r="U5427">
        <v>-2.922256</v>
      </c>
      <c r="V5427">
        <v>6.3164670000000006E-2</v>
      </c>
      <c r="W5427">
        <v>-4.6759969999999998E-2</v>
      </c>
      <c r="X5427">
        <v>0.99690710000000005</v>
      </c>
      <c r="Y5427">
        <v>0.36660409999999999</v>
      </c>
      <c r="Z5427">
        <v>-5.3950719999999999E-3</v>
      </c>
      <c r="AA5427">
        <v>0.93036140000000001</v>
      </c>
      <c r="AB5427">
        <v>20</v>
      </c>
      <c r="AC5427">
        <v>-19.485700000000001</v>
      </c>
      <c r="AD5427">
        <v>-0.40680949999999999</v>
      </c>
      <c r="AE5427">
        <v>-46.520099999999999</v>
      </c>
      <c r="AF5427">
        <v>18.5517041307832</v>
      </c>
      <c r="AG5427">
        <v>-0.40680949999999999</v>
      </c>
      <c r="AH5427">
        <v>46.8968605207465</v>
      </c>
      <c r="AI5427">
        <v>90.462157525427898</v>
      </c>
      <c r="AJ5427">
        <v>68.416981565753204</v>
      </c>
      <c r="AK5427">
        <v>50.434578880246001</v>
      </c>
      <c r="AL5427">
        <v>92.6801261684748</v>
      </c>
      <c r="AM5427">
        <v>86.374549208222405</v>
      </c>
      <c r="AN5427">
        <v>1.0000000181805</v>
      </c>
    </row>
    <row r="5428" spans="1:40" x14ac:dyDescent="0.25">
      <c r="A5428" t="str">
        <f>"20190303153916461"</f>
        <v>20190303153916461</v>
      </c>
      <c r="B5428" t="str">
        <f>"1551598756454360"</f>
        <v>1551598756454360</v>
      </c>
      <c r="C5428" t="s">
        <v>40</v>
      </c>
      <c r="D5428">
        <v>3.986729</v>
      </c>
      <c r="E5428">
        <v>0.62009329999999996</v>
      </c>
      <c r="F5428" t="s">
        <v>69</v>
      </c>
      <c r="G5428">
        <v>-210.70070000000001</v>
      </c>
      <c r="H5428">
        <v>0.49304799999999899</v>
      </c>
      <c r="I5428">
        <v>116.2775</v>
      </c>
      <c r="J5428">
        <v>-191.37370000000001</v>
      </c>
      <c r="K5428">
        <v>1.1199300000000001</v>
      </c>
      <c r="L5428">
        <v>162.46539999999999</v>
      </c>
      <c r="M5428">
        <v>-2.1121770000000002E-2</v>
      </c>
      <c r="N5428">
        <v>-1.352073E-2</v>
      </c>
      <c r="O5428">
        <v>-0.99968570000000001</v>
      </c>
      <c r="P5428">
        <v>-8.8925260000000006E-2</v>
      </c>
      <c r="Q5428">
        <v>-6.0765949999999999E-2</v>
      </c>
      <c r="R5428">
        <v>-0.9941835</v>
      </c>
      <c r="S5428">
        <v>-1.215881</v>
      </c>
      <c r="T5428">
        <v>-3.9433240000000001E-2</v>
      </c>
      <c r="U5428">
        <v>-2.911835</v>
      </c>
      <c r="V5428">
        <v>6.7748290000000003E-2</v>
      </c>
      <c r="W5428">
        <v>-4.7519550000000001E-2</v>
      </c>
      <c r="X5428">
        <v>0.99657019999999996</v>
      </c>
      <c r="Y5428">
        <v>0.36568139999999999</v>
      </c>
      <c r="Z5428">
        <v>-9.2060579999999996E-4</v>
      </c>
      <c r="AA5428">
        <v>0.9307396</v>
      </c>
      <c r="AB5428">
        <v>20</v>
      </c>
      <c r="AC5428">
        <v>-19.327000000000002</v>
      </c>
      <c r="AD5428">
        <v>-0.62688199999999905</v>
      </c>
      <c r="AE5428">
        <v>-46.1878999999999</v>
      </c>
      <c r="AF5428">
        <v>18.344152715614999</v>
      </c>
      <c r="AG5428">
        <v>-0.62688199999999905</v>
      </c>
      <c r="AH5428">
        <v>46.578549990825998</v>
      </c>
      <c r="AI5428">
        <v>90.717445966783202</v>
      </c>
      <c r="AJ5428">
        <v>68.503861353410898</v>
      </c>
      <c r="AK5428">
        <v>50.0645806847876</v>
      </c>
      <c r="AL5428">
        <v>92.723695243223204</v>
      </c>
      <c r="AM5428">
        <v>86.110933383104197</v>
      </c>
      <c r="AN5428">
        <v>1.0000000509790801</v>
      </c>
    </row>
    <row r="5429" spans="1:40" x14ac:dyDescent="0.25">
      <c r="A5429" t="str">
        <f>"20190303153916473"</f>
        <v>20190303153916473</v>
      </c>
      <c r="B5429" t="str">
        <f>"1551598756464120"</f>
        <v>1551598756464120</v>
      </c>
      <c r="C5429" t="s">
        <v>40</v>
      </c>
      <c r="D5429">
        <v>3.9800610000000001</v>
      </c>
      <c r="E5429">
        <v>0.61863069999999998</v>
      </c>
      <c r="F5429" t="s">
        <v>69</v>
      </c>
      <c r="G5429">
        <v>-210.62639999999999</v>
      </c>
      <c r="H5429">
        <v>0.3877234</v>
      </c>
      <c r="I5429">
        <v>116.6387</v>
      </c>
      <c r="J5429">
        <v>-191.37729999999999</v>
      </c>
      <c r="K5429">
        <v>1.1198619999999999</v>
      </c>
      <c r="L5429">
        <v>162.3595</v>
      </c>
      <c r="M5429">
        <v>-2.2317199999999999E-2</v>
      </c>
      <c r="N5429">
        <v>-1.3522960000000001E-2</v>
      </c>
      <c r="O5429">
        <v>-0.99965970000000004</v>
      </c>
      <c r="P5429">
        <v>-9.4861580000000001E-2</v>
      </c>
      <c r="Q5429">
        <v>-6.1324190000000001E-2</v>
      </c>
      <c r="R5429">
        <v>-0.99359989999999998</v>
      </c>
      <c r="S5429">
        <v>-1.2206729999999999</v>
      </c>
      <c r="T5429">
        <v>-4.6421999999999998E-2</v>
      </c>
      <c r="U5429">
        <v>-2.9055330000000001</v>
      </c>
      <c r="V5429">
        <v>7.2496850000000002E-2</v>
      </c>
      <c r="W5429">
        <v>-4.8106030000000001E-2</v>
      </c>
      <c r="X5429">
        <v>0.99620779999999998</v>
      </c>
      <c r="Y5429">
        <v>0.36658550000000001</v>
      </c>
      <c r="Z5429">
        <v>1.3251840000000001E-3</v>
      </c>
      <c r="AA5429">
        <v>0.93038339999999997</v>
      </c>
      <c r="AB5429">
        <v>20</v>
      </c>
      <c r="AC5429">
        <v>-19.249099999999999</v>
      </c>
      <c r="AD5429">
        <v>-0.73213859999999997</v>
      </c>
      <c r="AE5429">
        <v>-45.720799999999997</v>
      </c>
      <c r="AF5429">
        <v>18.219883051684</v>
      </c>
      <c r="AG5429">
        <v>-0.73213859999999997</v>
      </c>
      <c r="AH5429">
        <v>46.128988297352798</v>
      </c>
      <c r="AI5429">
        <v>90.845727173088903</v>
      </c>
      <c r="AJ5429">
        <v>68.447126864261605</v>
      </c>
      <c r="AK5429">
        <v>49.602255258042099</v>
      </c>
      <c r="AL5429">
        <v>92.757336735949806</v>
      </c>
      <c r="AM5429">
        <v>85.837761831093601</v>
      </c>
      <c r="AN5429">
        <v>0.99999998208156105</v>
      </c>
    </row>
    <row r="5430" spans="1:40" x14ac:dyDescent="0.25">
      <c r="A5430" t="str">
        <f>"20190303153916485"</f>
        <v>20190303153916485</v>
      </c>
      <c r="B5430" t="str">
        <f>"1551598756473880"</f>
        <v>1551598756473880</v>
      </c>
      <c r="C5430" t="s">
        <v>40</v>
      </c>
      <c r="D5430">
        <v>3.9684159999999999</v>
      </c>
      <c r="E5430">
        <v>0.61745240000000001</v>
      </c>
      <c r="F5430" t="s">
        <v>69</v>
      </c>
      <c r="G5430">
        <v>-210.6112</v>
      </c>
      <c r="H5430">
        <v>0.3660928</v>
      </c>
      <c r="I5430">
        <v>116.8903</v>
      </c>
      <c r="J5430">
        <v>-191.3811</v>
      </c>
      <c r="K5430">
        <v>1.119804</v>
      </c>
      <c r="L5430">
        <v>162.25210000000001</v>
      </c>
      <c r="M5430">
        <v>-2.3582140000000001E-2</v>
      </c>
      <c r="N5430">
        <v>-1.352515E-2</v>
      </c>
      <c r="O5430">
        <v>-0.99963049999999998</v>
      </c>
      <c r="P5430">
        <v>-0.1008347</v>
      </c>
      <c r="Q5430">
        <v>-6.2020319999999997E-2</v>
      </c>
      <c r="R5430">
        <v>-0.99296830000000003</v>
      </c>
      <c r="S5430">
        <v>-1.2264250000000001</v>
      </c>
      <c r="T5430">
        <v>-4.806125E-2</v>
      </c>
      <c r="U5430">
        <v>-2.8992770000000001</v>
      </c>
      <c r="V5430">
        <v>7.7215190000000003E-2</v>
      </c>
      <c r="W5430">
        <v>-4.8830779999999997E-2</v>
      </c>
      <c r="X5430">
        <v>0.99581799999999998</v>
      </c>
      <c r="Y5430">
        <v>0.36768970000000001</v>
      </c>
      <c r="Z5430">
        <v>1.8695649999999999E-3</v>
      </c>
      <c r="AA5430">
        <v>0.92994670000000001</v>
      </c>
      <c r="AB5430">
        <v>20</v>
      </c>
      <c r="AC5430">
        <v>-19.2301</v>
      </c>
      <c r="AD5430">
        <v>-0.75371119999999903</v>
      </c>
      <c r="AE5430">
        <v>-45.361800000000002</v>
      </c>
      <c r="AF5430">
        <v>18.150677489455301</v>
      </c>
      <c r="AG5430">
        <v>-0.75371119999999903</v>
      </c>
      <c r="AH5430">
        <v>45.791994818741102</v>
      </c>
      <c r="AI5430">
        <v>90.8766306269643</v>
      </c>
      <c r="AJ5430">
        <v>68.377997910058895</v>
      </c>
      <c r="AK5430">
        <v>49.263799725344398</v>
      </c>
      <c r="AL5430">
        <v>92.798910497105894</v>
      </c>
      <c r="AM5430">
        <v>85.566187896099805</v>
      </c>
      <c r="AN5430">
        <v>1.0000000598830701</v>
      </c>
    </row>
    <row r="5431" spans="1:40" x14ac:dyDescent="0.25">
      <c r="A5431" t="str">
        <f>"20190303153916498"</f>
        <v>20190303153916498</v>
      </c>
      <c r="B5431" t="str">
        <f>"1551598756494377"</f>
        <v>1551598756494377</v>
      </c>
      <c r="C5431" t="s">
        <v>40</v>
      </c>
      <c r="D5431">
        <v>4.0282539999999996</v>
      </c>
      <c r="E5431">
        <v>0.61493640000000005</v>
      </c>
      <c r="F5431" t="s">
        <v>69</v>
      </c>
      <c r="G5431">
        <v>-210.59790000000001</v>
      </c>
      <c r="H5431">
        <v>0.34723660000000001</v>
      </c>
      <c r="I5431">
        <v>117.2226</v>
      </c>
      <c r="J5431">
        <v>-191.38499999999999</v>
      </c>
      <c r="K5431">
        <v>1.11975</v>
      </c>
      <c r="L5431">
        <v>162.14689999999999</v>
      </c>
      <c r="M5431">
        <v>-2.4880090000000001E-2</v>
      </c>
      <c r="N5431">
        <v>-1.3527279999999999E-2</v>
      </c>
      <c r="O5431">
        <v>-0.99959889999999996</v>
      </c>
      <c r="P5431">
        <v>-0.1065789</v>
      </c>
      <c r="Q5431">
        <v>-6.2541099999999905E-2</v>
      </c>
      <c r="R5431">
        <v>-0.99233559999999998</v>
      </c>
      <c r="S5431">
        <v>-1.2345280000000001</v>
      </c>
      <c r="T5431">
        <v>-4.9629449999999999E-2</v>
      </c>
      <c r="U5431">
        <v>-2.892776</v>
      </c>
      <c r="V5431">
        <v>8.1674040000000003E-2</v>
      </c>
      <c r="W5431">
        <v>-4.9379390000000002E-2</v>
      </c>
      <c r="X5431">
        <v>0.99543510000000002</v>
      </c>
      <c r="Y5431">
        <v>0.3694347</v>
      </c>
      <c r="Z5431">
        <v>2.389632E-3</v>
      </c>
      <c r="AA5431">
        <v>0.92925360000000001</v>
      </c>
      <c r="AB5431">
        <v>20</v>
      </c>
      <c r="AC5431">
        <v>-19.212900000000001</v>
      </c>
      <c r="AD5431">
        <v>-0.77251340000000002</v>
      </c>
      <c r="AE5431">
        <v>-44.924299999999903</v>
      </c>
      <c r="AF5431">
        <v>18.084607758232899</v>
      </c>
      <c r="AG5431">
        <v>-0.77251340000000002</v>
      </c>
      <c r="AH5431">
        <v>45.3771100073238</v>
      </c>
      <c r="AI5431">
        <v>90.906034912080301</v>
      </c>
      <c r="AJ5431">
        <v>68.270724832500605</v>
      </c>
      <c r="AK5431">
        <v>48.854190478802103</v>
      </c>
      <c r="AL5431">
        <v>92.830381652933198</v>
      </c>
      <c r="AM5431">
        <v>85.309469121416896</v>
      </c>
      <c r="AN5431">
        <v>1.0000000056393501</v>
      </c>
    </row>
    <row r="5432" spans="1:40" x14ac:dyDescent="0.25">
      <c r="A5432" t="str">
        <f>"20190303153916511"</f>
        <v>20190303153916511</v>
      </c>
      <c r="B5432" t="str">
        <f>"1551598756504136"</f>
        <v>1551598756504136</v>
      </c>
      <c r="C5432" t="s">
        <v>40</v>
      </c>
      <c r="D5432">
        <v>4.0635409999999998</v>
      </c>
      <c r="E5432">
        <v>0.61378140000000003</v>
      </c>
      <c r="F5432" t="s">
        <v>69</v>
      </c>
      <c r="G5432">
        <v>-209.94669999999999</v>
      </c>
      <c r="H5432">
        <v>0.14342249999999901</v>
      </c>
      <c r="I5432">
        <v>118.6223</v>
      </c>
      <c r="J5432">
        <v>-191.38980000000001</v>
      </c>
      <c r="K5432">
        <v>1.1196950000000001</v>
      </c>
      <c r="L5432">
        <v>162.0248</v>
      </c>
      <c r="M5432">
        <v>-2.6430760000000001E-2</v>
      </c>
      <c r="N5432">
        <v>-1.352971E-2</v>
      </c>
      <c r="O5432">
        <v>-0.99955919999999998</v>
      </c>
      <c r="P5432">
        <v>-0.1122452</v>
      </c>
      <c r="Q5432">
        <v>-6.3220830000000006E-2</v>
      </c>
      <c r="R5432">
        <v>-0.99166739999999998</v>
      </c>
      <c r="S5432">
        <v>-1.2311399999999999</v>
      </c>
      <c r="T5432">
        <v>-6.475496E-2</v>
      </c>
      <c r="U5432">
        <v>-2.8868559999999999</v>
      </c>
      <c r="V5432">
        <v>8.5804199999999997E-2</v>
      </c>
      <c r="W5432">
        <v>-5.00875E-2</v>
      </c>
      <c r="X5432">
        <v>0.99505220000000005</v>
      </c>
      <c r="Y5432">
        <v>0.3677377</v>
      </c>
      <c r="Z5432">
        <v>7.2697739999999997E-3</v>
      </c>
      <c r="AA5432">
        <v>0.92990110000000004</v>
      </c>
      <c r="AB5432">
        <v>20</v>
      </c>
      <c r="AC5432">
        <v>-18.556899999999899</v>
      </c>
      <c r="AD5432">
        <v>-0.97627249999999999</v>
      </c>
      <c r="AE5432">
        <v>-43.402500000000003</v>
      </c>
      <c r="AF5432">
        <v>17.3957087635271</v>
      </c>
      <c r="AG5432">
        <v>-0.97627249999999999</v>
      </c>
      <c r="AH5432">
        <v>43.859091040446501</v>
      </c>
      <c r="AI5432">
        <v>91.185350134373493</v>
      </c>
      <c r="AJ5432">
        <v>68.365376112196302</v>
      </c>
      <c r="AK5432">
        <v>47.1930467153148</v>
      </c>
      <c r="AL5432">
        <v>92.871003654087403</v>
      </c>
      <c r="AM5432">
        <v>85.071527576369306</v>
      </c>
      <c r="AN5432">
        <v>0.99999999955936403</v>
      </c>
    </row>
    <row r="5433" spans="1:40" x14ac:dyDescent="0.25">
      <c r="A5433" t="str">
        <f>"20190303153916523"</f>
        <v>20190303153916523</v>
      </c>
      <c r="B5433" t="str">
        <f>"1551598756513896"</f>
        <v>1551598756513896</v>
      </c>
      <c r="C5433" t="s">
        <v>40</v>
      </c>
      <c r="D5433">
        <v>4.1122969999999999</v>
      </c>
      <c r="E5433">
        <v>0.61378140000000003</v>
      </c>
      <c r="F5433" t="s">
        <v>43</v>
      </c>
      <c r="G5433">
        <v>-211.02680000000001</v>
      </c>
      <c r="H5433">
        <v>-0.05</v>
      </c>
      <c r="I5433">
        <v>116.3479</v>
      </c>
      <c r="J5433">
        <v>-191.39449999999999</v>
      </c>
      <c r="K5433">
        <v>1.119642</v>
      </c>
      <c r="L5433">
        <v>161.9091</v>
      </c>
      <c r="M5433">
        <v>-2.7977680000000001E-2</v>
      </c>
      <c r="N5433">
        <v>-1.353213E-2</v>
      </c>
      <c r="O5433">
        <v>-0.99951690000000004</v>
      </c>
      <c r="P5433">
        <v>-0.1180327</v>
      </c>
      <c r="Q5433">
        <v>-6.3731309999999999E-2</v>
      </c>
      <c r="R5433">
        <v>-0.99096269999999997</v>
      </c>
      <c r="S5433">
        <v>-1.238281</v>
      </c>
      <c r="T5433">
        <v>-7.3759080000000005E-2</v>
      </c>
      <c r="U5433">
        <v>-2.8803100000000001</v>
      </c>
      <c r="V5433">
        <v>9.0062619999999996E-2</v>
      </c>
      <c r="W5433">
        <v>-5.0627369999999998E-2</v>
      </c>
      <c r="X5433">
        <v>0.99464850000000005</v>
      </c>
      <c r="Y5433">
        <v>0.36899080000000001</v>
      </c>
      <c r="Z5433">
        <v>1.018371E-2</v>
      </c>
      <c r="AA5433">
        <v>0.92937729999999996</v>
      </c>
      <c r="AB5433">
        <v>20</v>
      </c>
      <c r="AC5433">
        <v>-19.632300000000001</v>
      </c>
      <c r="AD5433">
        <v>-1.1696420000000001</v>
      </c>
      <c r="AE5433">
        <v>-45.561199999999999</v>
      </c>
      <c r="AF5433">
        <v>18.339606132610999</v>
      </c>
      <c r="AG5433">
        <v>-1.1696420000000001</v>
      </c>
      <c r="AH5433">
        <v>46.067072301136598</v>
      </c>
      <c r="AI5433">
        <v>91.351320933736602</v>
      </c>
      <c r="AJ5433">
        <v>68.292171420232407</v>
      </c>
      <c r="AK5433">
        <v>49.597221352668697</v>
      </c>
      <c r="AL5433">
        <v>92.901975155702004</v>
      </c>
      <c r="AM5433">
        <v>84.826137578438605</v>
      </c>
      <c r="AN5433">
        <v>1.0000000223333101</v>
      </c>
    </row>
    <row r="5434" spans="1:40" x14ac:dyDescent="0.25">
      <c r="A5434" t="str">
        <f>"20190303153916539"</f>
        <v>20190303153916539</v>
      </c>
      <c r="B5434" t="str">
        <f>"1551598756534392"</f>
        <v>1551598756534392</v>
      </c>
      <c r="C5434" t="s">
        <v>40</v>
      </c>
      <c r="D5434">
        <v>4.1551799999999997</v>
      </c>
      <c r="E5434">
        <v>0.584013</v>
      </c>
      <c r="F5434" t="s">
        <v>43</v>
      </c>
      <c r="G5434">
        <v>-210.93690000000001</v>
      </c>
      <c r="H5434">
        <v>-0.05</v>
      </c>
      <c r="I5434">
        <v>117.1748</v>
      </c>
      <c r="J5434">
        <v>-191.40010000000001</v>
      </c>
      <c r="K5434">
        <v>1.1195870000000001</v>
      </c>
      <c r="L5434">
        <v>161.7817</v>
      </c>
      <c r="M5434">
        <v>-2.9738609999999999E-2</v>
      </c>
      <c r="N5434">
        <v>-1.353509E-2</v>
      </c>
      <c r="O5434">
        <v>-0.99946610000000002</v>
      </c>
      <c r="P5434">
        <v>-0.12915599999999999</v>
      </c>
      <c r="Q5434">
        <v>-6.5611760000000005E-2</v>
      </c>
      <c r="R5434">
        <v>-0.98945159999999999</v>
      </c>
      <c r="S5434">
        <v>-1.255096</v>
      </c>
      <c r="T5434">
        <v>-7.5119500000000006E-2</v>
      </c>
      <c r="U5434">
        <v>-2.8730319999999998</v>
      </c>
      <c r="V5434">
        <v>9.9460969999999996E-2</v>
      </c>
      <c r="W5434">
        <v>-5.2567139999999998E-2</v>
      </c>
      <c r="X5434">
        <v>0.99365199999999998</v>
      </c>
      <c r="Y5434">
        <v>0.372778</v>
      </c>
      <c r="Z5434">
        <v>1.063098E-2</v>
      </c>
      <c r="AA5434">
        <v>0.92785969999999995</v>
      </c>
      <c r="AB5434">
        <v>20</v>
      </c>
      <c r="AC5434">
        <v>-19.536799999999999</v>
      </c>
      <c r="AD5434">
        <v>-1.1695869999999999</v>
      </c>
      <c r="AE5434">
        <v>-44.606900000000003</v>
      </c>
      <c r="AF5434">
        <v>18.190995658768799</v>
      </c>
      <c r="AG5434">
        <v>-1.1695869999999999</v>
      </c>
      <c r="AH5434">
        <v>45.1421782446698</v>
      </c>
      <c r="AI5434">
        <v>91.376619555119504</v>
      </c>
      <c r="AJ5434">
        <v>68.051987085041603</v>
      </c>
      <c r="AK5434">
        <v>48.683637019859702</v>
      </c>
      <c r="AL5434">
        <v>93.0132639825609</v>
      </c>
      <c r="AM5434">
        <v>84.283939318466807</v>
      </c>
      <c r="AN5434">
        <v>1.00000004293255</v>
      </c>
    </row>
    <row r="5435" spans="1:40" x14ac:dyDescent="0.25">
      <c r="A5435" t="str">
        <f>"20190303153916551"</f>
        <v>20190303153916551</v>
      </c>
      <c r="B5435" t="str">
        <f>"1551598756544152"</f>
        <v>1551598756544152</v>
      </c>
      <c r="C5435" t="s">
        <v>40</v>
      </c>
      <c r="D5435">
        <v>4.0713379999999999</v>
      </c>
      <c r="E5435">
        <v>0.58567349999999996</v>
      </c>
      <c r="F5435" t="s">
        <v>68</v>
      </c>
      <c r="G5435">
        <v>-195.1576</v>
      </c>
      <c r="H5435" s="1">
        <v>-1.24243899999999E-5</v>
      </c>
      <c r="I5435">
        <v>151.51490000000001</v>
      </c>
      <c r="J5435">
        <v>-191.4051</v>
      </c>
      <c r="K5435">
        <v>1.11954</v>
      </c>
      <c r="L5435">
        <v>161.6712</v>
      </c>
      <c r="M5435">
        <v>-3.1301599999999999E-2</v>
      </c>
      <c r="N5435">
        <v>-1.3537759999999999E-2</v>
      </c>
      <c r="O5435">
        <v>-0.99941829999999998</v>
      </c>
      <c r="P5435">
        <v>-0.13562829999999901</v>
      </c>
      <c r="Q5435">
        <v>-6.6813620000000004E-2</v>
      </c>
      <c r="R5435">
        <v>-0.9885043</v>
      </c>
      <c r="S5435">
        <v>-1.051804</v>
      </c>
      <c r="T5435">
        <v>-0.31340430000000002</v>
      </c>
      <c r="U5435">
        <v>-2.8739170000000001</v>
      </c>
      <c r="V5435">
        <v>0.10439660000000001</v>
      </c>
      <c r="W5435">
        <v>-5.380472E-2</v>
      </c>
      <c r="X5435">
        <v>0.99307920000000005</v>
      </c>
      <c r="Y5435">
        <v>0.31252550000000001</v>
      </c>
      <c r="Z5435">
        <v>8.8938089999999997E-2</v>
      </c>
      <c r="AA5435">
        <v>0.94573660000000004</v>
      </c>
      <c r="AB5435">
        <v>20</v>
      </c>
      <c r="AC5435">
        <v>-3.7524999999999902</v>
      </c>
      <c r="AD5435">
        <v>-1.1195524243899999</v>
      </c>
      <c r="AE5435">
        <v>-10.1562999999999</v>
      </c>
      <c r="AF5435">
        <v>3.39641014974206</v>
      </c>
      <c r="AG5435">
        <v>-1.1195524243899999</v>
      </c>
      <c r="AH5435">
        <v>10.160163670548</v>
      </c>
      <c r="AI5435">
        <v>95.966087492550699</v>
      </c>
      <c r="AJ5435">
        <v>71.515890738061202</v>
      </c>
      <c r="AK5435">
        <v>10.7711617455385</v>
      </c>
      <c r="AL5435">
        <v>93.0842728925046</v>
      </c>
      <c r="AM5435">
        <v>83.998871826283604</v>
      </c>
      <c r="AN5435">
        <v>0.99999994772923695</v>
      </c>
    </row>
    <row r="5436" spans="1:40" x14ac:dyDescent="0.25">
      <c r="A5436" t="str">
        <f>"20190303153916562"</f>
        <v>20190303153916562</v>
      </c>
      <c r="B5436" t="str">
        <f>"1551598756553912"</f>
        <v>1551598756553912</v>
      </c>
      <c r="C5436" t="s">
        <v>40</v>
      </c>
      <c r="D5436">
        <v>4.0993969999999997</v>
      </c>
      <c r="E5436">
        <v>0.58609650000000002</v>
      </c>
      <c r="F5436" t="s">
        <v>68</v>
      </c>
      <c r="G5436">
        <v>-196.0394</v>
      </c>
      <c r="H5436" s="1">
        <v>-1.171017E-5</v>
      </c>
      <c r="I5436">
        <v>149.4034</v>
      </c>
      <c r="J5436">
        <v>-191.40989999999999</v>
      </c>
      <c r="K5436">
        <v>1.1194949999999999</v>
      </c>
      <c r="L5436">
        <v>161.5718</v>
      </c>
      <c r="M5436">
        <v>-3.2761220000000001E-2</v>
      </c>
      <c r="N5436">
        <v>-1.354036E-2</v>
      </c>
      <c r="O5436">
        <v>-0.99937160000000003</v>
      </c>
      <c r="P5436">
        <v>-0.14274239999999999</v>
      </c>
      <c r="Q5436">
        <v>-6.7869700000000005E-2</v>
      </c>
      <c r="R5436">
        <v>-0.98743029999999998</v>
      </c>
      <c r="S5436">
        <v>-1.083618</v>
      </c>
      <c r="T5436">
        <v>-0.26177909999999999</v>
      </c>
      <c r="U5436">
        <v>-2.8685149999999999</v>
      </c>
      <c r="V5436">
        <v>0.110083399999999</v>
      </c>
      <c r="W5436">
        <v>-5.4900659999999997E-2</v>
      </c>
      <c r="X5436">
        <v>0.99240490000000003</v>
      </c>
      <c r="Y5436">
        <v>0.32142359999999998</v>
      </c>
      <c r="Z5436">
        <v>7.2059999999999999E-2</v>
      </c>
      <c r="AA5436">
        <v>0.94418970000000002</v>
      </c>
      <c r="AB5436">
        <v>20</v>
      </c>
      <c r="AC5436">
        <v>-4.6295000000000002</v>
      </c>
      <c r="AD5436">
        <v>-1.11950671017</v>
      </c>
      <c r="AE5436">
        <v>-12.168399999999901</v>
      </c>
      <c r="AF5436">
        <v>4.19729165938453</v>
      </c>
      <c r="AG5436">
        <v>-1.11950671017</v>
      </c>
      <c r="AH5436">
        <v>12.2231710258094</v>
      </c>
      <c r="AI5436">
        <v>94.950832316406306</v>
      </c>
      <c r="AJ5436">
        <v>71.048137575928294</v>
      </c>
      <c r="AK5436">
        <v>12.9721417843871</v>
      </c>
      <c r="AL5436">
        <v>93.1471585498862</v>
      </c>
      <c r="AM5436">
        <v>83.670291251613605</v>
      </c>
      <c r="AN5436">
        <v>0.99999996148400205</v>
      </c>
    </row>
    <row r="5437" spans="1:40" x14ac:dyDescent="0.25">
      <c r="A5437" t="str">
        <f>"20190303153916573"</f>
        <v>20190303153916573</v>
      </c>
      <c r="B5437" t="str">
        <f>"1551598756563672"</f>
        <v>1551598756563672</v>
      </c>
      <c r="C5437" t="s">
        <v>40</v>
      </c>
      <c r="D5437">
        <v>4.1132720000000003</v>
      </c>
      <c r="E5437">
        <v>0.58656730000000001</v>
      </c>
      <c r="F5437" t="s">
        <v>68</v>
      </c>
      <c r="G5437">
        <v>-196.61449999999999</v>
      </c>
      <c r="H5437" s="1">
        <v>-1.1475819999999999E-5</v>
      </c>
      <c r="I5437">
        <v>148.12799999999999</v>
      </c>
      <c r="J5437">
        <v>-191.41480000000001</v>
      </c>
      <c r="K5437">
        <v>1.1194489999999999</v>
      </c>
      <c r="L5437">
        <v>161.4726</v>
      </c>
      <c r="M5437">
        <v>-3.4239560000000002E-2</v>
      </c>
      <c r="N5437">
        <v>-1.3542820000000001E-2</v>
      </c>
      <c r="O5437">
        <v>-0.99932180000000004</v>
      </c>
      <c r="P5437">
        <v>-0.1497415</v>
      </c>
      <c r="Q5437">
        <v>-6.9199860000000002E-2</v>
      </c>
      <c r="R5437">
        <v>-0.98630050000000002</v>
      </c>
      <c r="S5437">
        <v>-1.1078490000000001</v>
      </c>
      <c r="T5437">
        <v>-0.2382995</v>
      </c>
      <c r="U5437">
        <v>-2.8616640000000002</v>
      </c>
      <c r="V5437">
        <v>0.1156397</v>
      </c>
      <c r="W5437">
        <v>-5.6271399999999999E-2</v>
      </c>
      <c r="X5437">
        <v>0.99169600000000002</v>
      </c>
      <c r="Y5437">
        <v>0.32793670000000003</v>
      </c>
      <c r="Z5437">
        <v>6.4404359999999994E-2</v>
      </c>
      <c r="AA5437">
        <v>0.94250179999999995</v>
      </c>
      <c r="AB5437">
        <v>20</v>
      </c>
      <c r="AC5437">
        <v>-5.1996999999999698</v>
      </c>
      <c r="AD5437">
        <v>-1.11946047582</v>
      </c>
      <c r="AE5437">
        <v>-13.3446</v>
      </c>
      <c r="AF5437">
        <v>4.7109131886310003</v>
      </c>
      <c r="AG5437">
        <v>-1.11946047582</v>
      </c>
      <c r="AH5437">
        <v>13.432755742161699</v>
      </c>
      <c r="AI5437">
        <v>94.4966062403888</v>
      </c>
      <c r="AJ5437">
        <v>70.674057706442994</v>
      </c>
      <c r="AK5437">
        <v>14.2788242392824</v>
      </c>
      <c r="AL5437">
        <v>93.225817719655694</v>
      </c>
      <c r="AM5437">
        <v>83.348890459979302</v>
      </c>
      <c r="AN5437">
        <v>0.99999998354502495</v>
      </c>
    </row>
    <row r="5438" spans="1:40" x14ac:dyDescent="0.25">
      <c r="A5438" t="str">
        <f>"20190303153916586"</f>
        <v>20190303153916586</v>
      </c>
      <c r="B5438" t="str">
        <f>"1551598756574409"</f>
        <v>1551598756574409</v>
      </c>
      <c r="C5438" t="s">
        <v>40</v>
      </c>
      <c r="D5438">
        <v>4.1022400000000001</v>
      </c>
      <c r="E5438">
        <v>0.58679829999999999</v>
      </c>
      <c r="F5438" t="s">
        <v>68</v>
      </c>
      <c r="G5438">
        <v>-197.08199999999999</v>
      </c>
      <c r="H5438" s="1">
        <v>-1.1308609999999999E-5</v>
      </c>
      <c r="I5438">
        <v>147.17939999999999</v>
      </c>
      <c r="J5438">
        <v>-191.42060000000001</v>
      </c>
      <c r="K5438">
        <v>1.1194059999999999</v>
      </c>
      <c r="L5438">
        <v>161.36089999999999</v>
      </c>
      <c r="M5438">
        <v>-3.5945680000000001E-2</v>
      </c>
      <c r="N5438">
        <v>-1.354548E-2</v>
      </c>
      <c r="O5438">
        <v>-0.99926199999999998</v>
      </c>
      <c r="P5438">
        <v>-0.1571717</v>
      </c>
      <c r="Q5438">
        <v>-7.1006650000000004E-2</v>
      </c>
      <c r="R5438">
        <v>-0.98501519999999998</v>
      </c>
      <c r="S5438">
        <v>-1.1316679999999999</v>
      </c>
      <c r="T5438">
        <v>-0.2235422</v>
      </c>
      <c r="U5438">
        <v>-2.8541720000000002</v>
      </c>
      <c r="V5438">
        <v>0.12140629999999999</v>
      </c>
      <c r="W5438">
        <v>-5.8122430000000003E-2</v>
      </c>
      <c r="X5438">
        <v>0.99089970000000005</v>
      </c>
      <c r="Y5438">
        <v>0.33408330000000003</v>
      </c>
      <c r="Z5438">
        <v>5.9594910000000001E-2</v>
      </c>
      <c r="AA5438">
        <v>0.94065770000000004</v>
      </c>
      <c r="AB5438">
        <v>20</v>
      </c>
      <c r="AC5438">
        <v>-5.66139999999998</v>
      </c>
      <c r="AD5438">
        <v>-1.1194173086100001</v>
      </c>
      <c r="AE5438">
        <v>-14.1815</v>
      </c>
      <c r="AF5438">
        <v>5.1204118315626799</v>
      </c>
      <c r="AG5438">
        <v>-1.1194173086100001</v>
      </c>
      <c r="AH5438">
        <v>14.299008504390899</v>
      </c>
      <c r="AI5438">
        <v>94.215265072528993</v>
      </c>
      <c r="AJ5438">
        <v>70.297778247637297</v>
      </c>
      <c r="AK5438">
        <v>15.229358379270799</v>
      </c>
      <c r="AL5438">
        <v>93.332047926292205</v>
      </c>
      <c r="AM5438">
        <v>83.014861291706893</v>
      </c>
      <c r="AN5438">
        <v>0.999999961004441</v>
      </c>
    </row>
    <row r="5439" spans="1:40" x14ac:dyDescent="0.25">
      <c r="A5439" t="str">
        <f>"20190303153916598"</f>
        <v>20190303153916598</v>
      </c>
      <c r="B5439" t="str">
        <f>"1551598756593929"</f>
        <v>1551598756593929</v>
      </c>
      <c r="C5439" t="s">
        <v>40</v>
      </c>
      <c r="D5439">
        <v>4.2093699999999998</v>
      </c>
      <c r="E5439">
        <v>0.58440119999999995</v>
      </c>
      <c r="F5439" t="s">
        <v>68</v>
      </c>
      <c r="G5439">
        <v>-197.56549999999999</v>
      </c>
      <c r="H5439" s="1">
        <v>-1.110757E-5</v>
      </c>
      <c r="I5439">
        <v>146.22040000000001</v>
      </c>
      <c r="J5439">
        <v>-191.4263</v>
      </c>
      <c r="K5439">
        <v>1.1193649999999999</v>
      </c>
      <c r="L5439">
        <v>161.2542</v>
      </c>
      <c r="M5439">
        <v>-3.762356E-2</v>
      </c>
      <c r="N5439">
        <v>-1.354796E-2</v>
      </c>
      <c r="O5439">
        <v>-0.99920030000000004</v>
      </c>
      <c r="P5439">
        <v>-0.1642808</v>
      </c>
      <c r="Q5439">
        <v>-7.2180930000000004E-2</v>
      </c>
      <c r="R5439">
        <v>-0.98376920000000001</v>
      </c>
      <c r="S5439">
        <v>-1.1551359999999999</v>
      </c>
      <c r="T5439">
        <v>-0.2104306</v>
      </c>
      <c r="U5439">
        <v>-2.8461460000000001</v>
      </c>
      <c r="V5439">
        <v>0.12688450000000001</v>
      </c>
      <c r="W5439">
        <v>-5.9339049999999997E-2</v>
      </c>
      <c r="X5439">
        <v>0.99014100000000005</v>
      </c>
      <c r="Y5439">
        <v>0.34017930000000002</v>
      </c>
      <c r="Z5439">
        <v>5.532836E-2</v>
      </c>
      <c r="AA5439">
        <v>0.93873150000000005</v>
      </c>
      <c r="AB5439">
        <v>20</v>
      </c>
      <c r="AC5439">
        <v>-6.1391999999999802</v>
      </c>
      <c r="AD5439">
        <v>-1.1193761075699999</v>
      </c>
      <c r="AE5439">
        <v>-15.0337999999999</v>
      </c>
      <c r="AF5439">
        <v>5.54283865791077</v>
      </c>
      <c r="AG5439">
        <v>-1.1193761075699999</v>
      </c>
      <c r="AH5439">
        <v>15.1820157265311</v>
      </c>
      <c r="AI5439">
        <v>93.9619159647999</v>
      </c>
      <c r="AJ5439">
        <v>69.943245923927194</v>
      </c>
      <c r="AK5439">
        <v>16.200915553710701</v>
      </c>
      <c r="AL5439">
        <v>93.401875525826497</v>
      </c>
      <c r="AM5439">
        <v>82.697465824087601</v>
      </c>
      <c r="AN5439">
        <v>0.99999999953807595</v>
      </c>
    </row>
    <row r="5440" spans="1:40" x14ac:dyDescent="0.25">
      <c r="A5440" t="str">
        <f>"20190303153916615"</f>
        <v>20190303153916615</v>
      </c>
      <c r="B5440" t="str">
        <f>"1551598756603584"</f>
        <v>1551598756603584</v>
      </c>
      <c r="C5440" t="s">
        <v>40</v>
      </c>
      <c r="D5440">
        <v>4.1447510000000003</v>
      </c>
      <c r="E5440">
        <v>0.58432629999999997</v>
      </c>
      <c r="F5440" t="s">
        <v>68</v>
      </c>
      <c r="G5440">
        <v>-196.9614</v>
      </c>
      <c r="H5440" s="1">
        <v>-1.141628E-5</v>
      </c>
      <c r="I5440">
        <v>147.6688</v>
      </c>
      <c r="J5440">
        <v>-191.43440000000001</v>
      </c>
      <c r="K5440">
        <v>1.11931</v>
      </c>
      <c r="L5440">
        <v>161.11170000000001</v>
      </c>
      <c r="M5440">
        <v>-3.9916439999999997E-2</v>
      </c>
      <c r="N5440">
        <v>-1.3551219999999999E-2</v>
      </c>
      <c r="O5440">
        <v>-0.99911119999999998</v>
      </c>
      <c r="P5440">
        <v>-0.17215820000000001</v>
      </c>
      <c r="Q5440">
        <v>-7.3046849999999997E-2</v>
      </c>
      <c r="R5440">
        <v>-0.98235720000000004</v>
      </c>
      <c r="S5440">
        <v>-1.1567540000000001</v>
      </c>
      <c r="T5440">
        <v>-0.23393359999999999</v>
      </c>
      <c r="U5440">
        <v>-2.8391570000000002</v>
      </c>
      <c r="V5440">
        <v>0.13253119999999999</v>
      </c>
      <c r="W5440">
        <v>-6.0251810000000003E-2</v>
      </c>
      <c r="X5440">
        <v>0.98934580000000005</v>
      </c>
      <c r="Y5440">
        <v>0.33909420000000001</v>
      </c>
      <c r="Z5440">
        <v>6.3142749999999997E-2</v>
      </c>
      <c r="AA5440">
        <v>0.93863099999999999</v>
      </c>
      <c r="AB5440">
        <v>20</v>
      </c>
      <c r="AC5440">
        <v>-5.5269999999999797</v>
      </c>
      <c r="AD5440">
        <v>-1.11932141627999</v>
      </c>
      <c r="AE5440">
        <v>-13.4429</v>
      </c>
      <c r="AF5440">
        <v>4.9565573104955201</v>
      </c>
      <c r="AG5440">
        <v>-1.11932141627999</v>
      </c>
      <c r="AH5440">
        <v>13.572331559408701</v>
      </c>
      <c r="AI5440">
        <v>94.429666538985003</v>
      </c>
      <c r="AJ5440">
        <v>69.938023205956199</v>
      </c>
      <c r="AK5440">
        <v>14.492360910620899</v>
      </c>
      <c r="AL5440">
        <v>93.454266720525297</v>
      </c>
      <c r="AM5440">
        <v>82.370170287364502</v>
      </c>
      <c r="AN5440">
        <v>0.99999995577967704</v>
      </c>
    </row>
    <row r="5441" spans="1:40" x14ac:dyDescent="0.25">
      <c r="A5441" t="str">
        <f>"20190303153916629"</f>
        <v>20190303153916629</v>
      </c>
      <c r="B5441" t="str">
        <f>"1551598756624080"</f>
        <v>1551598756624080</v>
      </c>
      <c r="C5441" t="s">
        <v>40</v>
      </c>
      <c r="D5441">
        <v>4.4445329999999998</v>
      </c>
      <c r="E5441">
        <v>0.585198</v>
      </c>
      <c r="F5441" t="s">
        <v>68</v>
      </c>
      <c r="G5441">
        <v>-197.32130000000001</v>
      </c>
      <c r="H5441" s="1">
        <v>-1.1297780000000001E-5</v>
      </c>
      <c r="I5441">
        <v>146.9777</v>
      </c>
      <c r="J5441">
        <v>-191.44220000000001</v>
      </c>
      <c r="K5441">
        <v>1.1192550000000001</v>
      </c>
      <c r="L5441">
        <v>160.9785</v>
      </c>
      <c r="M5441">
        <v>-4.2117630000000003E-2</v>
      </c>
      <c r="N5441">
        <v>-1.35543E-2</v>
      </c>
      <c r="O5441">
        <v>-0.99902100000000005</v>
      </c>
      <c r="P5441">
        <v>-0.1856584</v>
      </c>
      <c r="Q5441">
        <v>-7.529081E-2</v>
      </c>
      <c r="R5441">
        <v>-0.97972599999999999</v>
      </c>
      <c r="S5441">
        <v>-1.178955</v>
      </c>
      <c r="T5441">
        <v>-0.22416440000000001</v>
      </c>
      <c r="U5441">
        <v>-2.8305820000000002</v>
      </c>
      <c r="V5441">
        <v>0.1439356</v>
      </c>
      <c r="W5441">
        <v>-6.2582399999999996E-2</v>
      </c>
      <c r="X5441">
        <v>0.98760619999999999</v>
      </c>
      <c r="Y5441">
        <v>0.34438010000000002</v>
      </c>
      <c r="Z5441">
        <v>5.9982969999999997E-2</v>
      </c>
      <c r="AA5441">
        <v>0.93691219999999997</v>
      </c>
      <c r="AB5441">
        <v>20</v>
      </c>
      <c r="AC5441">
        <v>-5.8790999999999896</v>
      </c>
      <c r="AD5441">
        <v>-1.1192662977800001</v>
      </c>
      <c r="AE5441">
        <v>-14.0007999999999</v>
      </c>
      <c r="AF5441">
        <v>5.2555945189056104</v>
      </c>
      <c r="AG5441">
        <v>-1.1192662977800001</v>
      </c>
      <c r="AH5441">
        <v>14.1590854611845</v>
      </c>
      <c r="AI5441">
        <v>94.238374316625496</v>
      </c>
      <c r="AJ5441">
        <v>69.635991726059302</v>
      </c>
      <c r="AK5441">
        <v>15.1444290711015</v>
      </c>
      <c r="AL5441">
        <v>93.588052095124894</v>
      </c>
      <c r="AM5441">
        <v>81.707984976605402</v>
      </c>
      <c r="AN5441">
        <v>1.0000000100077799</v>
      </c>
    </row>
    <row r="5442" spans="1:40" x14ac:dyDescent="0.25">
      <c r="A5442" t="str">
        <f>"20190303153916644"</f>
        <v>20190303153916644</v>
      </c>
      <c r="B5442" t="str">
        <f>"1551598756633840"</f>
        <v>1551598756633840</v>
      </c>
      <c r="C5442" t="s">
        <v>40</v>
      </c>
      <c r="D5442">
        <v>4.3627180000000001</v>
      </c>
      <c r="E5442">
        <v>0.63183029999999996</v>
      </c>
      <c r="F5442" t="s">
        <v>68</v>
      </c>
      <c r="G5442">
        <v>-197.7757</v>
      </c>
      <c r="H5442" s="1">
        <v>-1.119936E-5</v>
      </c>
      <c r="I5442">
        <v>146.42750000000001</v>
      </c>
      <c r="J5442">
        <v>-191.4503</v>
      </c>
      <c r="K5442">
        <v>1.11921</v>
      </c>
      <c r="L5442">
        <v>160.84889999999999</v>
      </c>
      <c r="M5442">
        <v>-4.4332999999999997E-2</v>
      </c>
      <c r="N5442">
        <v>-1.3557420000000001E-2</v>
      </c>
      <c r="O5442">
        <v>-0.9989247</v>
      </c>
      <c r="P5442">
        <v>-0.19345100000000001</v>
      </c>
      <c r="Q5442">
        <v>-7.6857170000000002E-2</v>
      </c>
      <c r="R5442">
        <v>-0.9780951</v>
      </c>
      <c r="S5442">
        <v>-1.2245790000000001</v>
      </c>
      <c r="T5442">
        <v>-0.21640780000000001</v>
      </c>
      <c r="U5442">
        <v>-2.8134000000000001</v>
      </c>
      <c r="V5442">
        <v>0.14959159999999999</v>
      </c>
      <c r="W5442">
        <v>-6.4197980000000002E-2</v>
      </c>
      <c r="X5442">
        <v>0.98666160000000003</v>
      </c>
      <c r="Y5442">
        <v>0.35720200000000002</v>
      </c>
      <c r="Z5442">
        <v>5.7457269999999998E-2</v>
      </c>
      <c r="AA5442">
        <v>0.93225820000000004</v>
      </c>
      <c r="AB5442">
        <v>20</v>
      </c>
      <c r="AC5442">
        <v>-6.3254000000000001</v>
      </c>
      <c r="AD5442">
        <v>-1.1192211993600001</v>
      </c>
      <c r="AE5442">
        <v>-14.421399999999901</v>
      </c>
      <c r="AF5442">
        <v>5.6512310212542003</v>
      </c>
      <c r="AG5442">
        <v>-1.1192211993600001</v>
      </c>
      <c r="AH5442">
        <v>14.6138494043146</v>
      </c>
      <c r="AI5442">
        <v>94.085779214230797</v>
      </c>
      <c r="AJ5442">
        <v>68.858324614488396</v>
      </c>
      <c r="AK5442">
        <v>15.708394652562999</v>
      </c>
      <c r="AL5442">
        <v>93.680804340091797</v>
      </c>
      <c r="AM5442">
        <v>81.378821744132395</v>
      </c>
      <c r="AN5442">
        <v>1.00000007017059</v>
      </c>
    </row>
    <row r="5443" spans="1:40" x14ac:dyDescent="0.25">
      <c r="A5443" t="str">
        <f>"20190303153916659"</f>
        <v>20190303153916659</v>
      </c>
      <c r="B5443" t="str">
        <f>"1551598756654336"</f>
        <v>1551598756654336</v>
      </c>
      <c r="C5443" t="s">
        <v>40</v>
      </c>
      <c r="D5443">
        <v>4.3788720000000003</v>
      </c>
      <c r="E5443">
        <v>0.64024099999999995</v>
      </c>
      <c r="F5443" t="s">
        <v>68</v>
      </c>
      <c r="G5443">
        <v>-198.9819</v>
      </c>
      <c r="H5443" s="1">
        <v>-1.1868460000000001E-5</v>
      </c>
      <c r="I5443">
        <v>148.09440000000001</v>
      </c>
      <c r="J5443">
        <v>-191.45830000000001</v>
      </c>
      <c r="K5443">
        <v>1.1191690000000001</v>
      </c>
      <c r="L5443">
        <v>160.72399999999999</v>
      </c>
      <c r="M5443">
        <v>-4.6513659999999998E-2</v>
      </c>
      <c r="N5443">
        <v>-1.35603999999999E-2</v>
      </c>
      <c r="O5443">
        <v>-0.99882559999999998</v>
      </c>
      <c r="P5443">
        <v>-0.20139499999999999</v>
      </c>
      <c r="Q5443">
        <v>-7.8282619999999997E-2</v>
      </c>
      <c r="R5443">
        <v>-0.9763771</v>
      </c>
      <c r="S5443">
        <v>-1.6118319999999999</v>
      </c>
      <c r="T5443">
        <v>-0.2395235</v>
      </c>
      <c r="U5443">
        <v>-2.729584</v>
      </c>
      <c r="V5443">
        <v>0.15544259999999999</v>
      </c>
      <c r="W5443">
        <v>-6.567423E-2</v>
      </c>
      <c r="X5443">
        <v>0.98565939999999996</v>
      </c>
      <c r="Y5443">
        <v>0.46660620000000003</v>
      </c>
      <c r="Z5443">
        <v>6.2778399999999998E-2</v>
      </c>
      <c r="AA5443">
        <v>0.88223439999999997</v>
      </c>
      <c r="AB5443">
        <v>20</v>
      </c>
      <c r="AC5443">
        <v>-7.5235999999999796</v>
      </c>
      <c r="AD5443">
        <v>-1.11918086846</v>
      </c>
      <c r="AE5443">
        <v>-12.6295999999999</v>
      </c>
      <c r="AF5443">
        <v>6.8880298946027496</v>
      </c>
      <c r="AG5443">
        <v>-1.11918086846</v>
      </c>
      <c r="AH5443">
        <v>12.891193812215</v>
      </c>
      <c r="AI5443">
        <v>94.378721663324498</v>
      </c>
      <c r="AJ5443">
        <v>61.883493469924602</v>
      </c>
      <c r="AK5443">
        <v>14.6587993897645</v>
      </c>
      <c r="AL5443">
        <v>93.765566474226702</v>
      </c>
      <c r="AM5443">
        <v>81.038026646819603</v>
      </c>
      <c r="AN5443">
        <v>0.99999997959460596</v>
      </c>
    </row>
    <row r="5444" spans="1:40" x14ac:dyDescent="0.25">
      <c r="A5444" t="str">
        <f>"20190303153916673"</f>
        <v>20190303153916673</v>
      </c>
      <c r="B5444" t="str">
        <f>"1551598756664096"</f>
        <v>1551598756664096</v>
      </c>
      <c r="C5444" t="s">
        <v>40</v>
      </c>
      <c r="D5444">
        <v>4.4148230000000002</v>
      </c>
      <c r="E5444">
        <v>0.64127029999999996</v>
      </c>
      <c r="F5444" t="s">
        <v>68</v>
      </c>
      <c r="G5444">
        <v>-198.80690000000001</v>
      </c>
      <c r="H5444" s="1">
        <v>-1.210665E-5</v>
      </c>
      <c r="I5444">
        <v>149.0454</v>
      </c>
      <c r="J5444">
        <v>-191.4674</v>
      </c>
      <c r="K5444">
        <v>1.119122</v>
      </c>
      <c r="L5444">
        <v>160.58930000000001</v>
      </c>
      <c r="M5444">
        <v>-4.8914930000000002E-2</v>
      </c>
      <c r="N5444">
        <v>-1.356372E-2</v>
      </c>
      <c r="O5444">
        <v>-0.99871089999999996</v>
      </c>
      <c r="P5444">
        <v>-0.2152202</v>
      </c>
      <c r="Q5444">
        <v>-8.0962399999999907E-2</v>
      </c>
      <c r="R5444">
        <v>-0.97320379999999995</v>
      </c>
      <c r="S5444">
        <v>-1.69969199999999</v>
      </c>
      <c r="T5444">
        <v>-0.2588626</v>
      </c>
      <c r="U5444">
        <v>-2.7012330000000002</v>
      </c>
      <c r="V5444">
        <v>0.16701959999999999</v>
      </c>
      <c r="W5444">
        <v>-6.8449209999999996E-2</v>
      </c>
      <c r="X5444">
        <v>0.98357470000000002</v>
      </c>
      <c r="Y5444">
        <v>0.48899720000000002</v>
      </c>
      <c r="Z5444">
        <v>6.8449319999999994E-2</v>
      </c>
      <c r="AA5444">
        <v>0.86959549999999997</v>
      </c>
      <c r="AB5444">
        <v>20</v>
      </c>
      <c r="AC5444">
        <v>-7.3395000000000099</v>
      </c>
      <c r="AD5444">
        <v>-1.11913410665</v>
      </c>
      <c r="AE5444">
        <v>-11.543900000000001</v>
      </c>
      <c r="AF5444">
        <v>6.7210079077800096</v>
      </c>
      <c r="AG5444">
        <v>-1.11913410665</v>
      </c>
      <c r="AH5444">
        <v>11.8100780475832</v>
      </c>
      <c r="AI5444">
        <v>94.708159700069103</v>
      </c>
      <c r="AJ5444">
        <v>60.356189692312398</v>
      </c>
      <c r="AK5444">
        <v>13.6346012752524</v>
      </c>
      <c r="AL5444">
        <v>93.924919761128393</v>
      </c>
      <c r="AM5444">
        <v>80.362604505206093</v>
      </c>
      <c r="AN5444">
        <v>1.00000001580693</v>
      </c>
    </row>
    <row r="5445" spans="1:40" x14ac:dyDescent="0.25">
      <c r="A5445" t="str">
        <f>"20190303153916685"</f>
        <v>20190303153916685</v>
      </c>
      <c r="B5445" t="str">
        <f>"1551598756673857"</f>
        <v>1551598756673857</v>
      </c>
      <c r="C5445" t="s">
        <v>40</v>
      </c>
      <c r="D5445">
        <v>4.3872269999999904</v>
      </c>
      <c r="E5445">
        <v>0.64236579999999999</v>
      </c>
      <c r="F5445" t="s">
        <v>68</v>
      </c>
      <c r="G5445">
        <v>-198.7646</v>
      </c>
      <c r="H5445" s="1">
        <v>-1.2195749999999999E-5</v>
      </c>
      <c r="I5445">
        <v>149.4117</v>
      </c>
      <c r="J5445">
        <v>-191.47470000000001</v>
      </c>
      <c r="K5445">
        <v>1.119089</v>
      </c>
      <c r="L5445">
        <v>160.4836</v>
      </c>
      <c r="M5445">
        <v>-5.0840509999999998E-2</v>
      </c>
      <c r="N5445">
        <v>-1.356653E-2</v>
      </c>
      <c r="O5445">
        <v>-0.99861480000000002</v>
      </c>
      <c r="P5445">
        <v>-0.22272239999999999</v>
      </c>
      <c r="Q5445">
        <v>-8.1329380000000007E-2</v>
      </c>
      <c r="R5445">
        <v>-0.97148389999999996</v>
      </c>
      <c r="S5445">
        <v>-1.7458499999999999</v>
      </c>
      <c r="T5445">
        <v>-0.2677524</v>
      </c>
      <c r="U5445">
        <v>-2.6742400000000002</v>
      </c>
      <c r="V5445">
        <v>0.1726982</v>
      </c>
      <c r="W5445">
        <v>-6.8866819999999995E-2</v>
      </c>
      <c r="X5445">
        <v>0.98256429999999995</v>
      </c>
      <c r="Y5445">
        <v>0.50169189999999997</v>
      </c>
      <c r="Z5445">
        <v>7.1262699999999998E-2</v>
      </c>
      <c r="AA5445">
        <v>0.86210599999999904</v>
      </c>
      <c r="AB5445">
        <v>20</v>
      </c>
      <c r="AC5445">
        <v>-7.2898999999999798</v>
      </c>
      <c r="AD5445">
        <v>-1.1191011957500001</v>
      </c>
      <c r="AE5445">
        <v>-11.071899999999999</v>
      </c>
      <c r="AF5445">
        <v>6.66998255604042</v>
      </c>
      <c r="AG5445">
        <v>-1.1191011957500001</v>
      </c>
      <c r="AH5445">
        <v>11.3473650532815</v>
      </c>
      <c r="AI5445">
        <v>94.859711214441504</v>
      </c>
      <c r="AJ5445">
        <v>59.552982507373699</v>
      </c>
      <c r="AK5445">
        <v>13.209986693280401</v>
      </c>
      <c r="AL5445">
        <v>93.948903886171195</v>
      </c>
      <c r="AM5445">
        <v>80.031356444485098</v>
      </c>
      <c r="AN5445">
        <v>0.99999995540732001</v>
      </c>
    </row>
    <row r="5446" spans="1:40" x14ac:dyDescent="0.25">
      <c r="A5446" t="str">
        <f>"20190303153916697"</f>
        <v>20190303153916697</v>
      </c>
      <c r="B5446" t="str">
        <f>"1551598756694353"</f>
        <v>1551598756694353</v>
      </c>
      <c r="C5446" t="s">
        <v>40</v>
      </c>
      <c r="D5446">
        <v>4.1099759999999996</v>
      </c>
      <c r="E5446">
        <v>0.64561040000000003</v>
      </c>
      <c r="F5446" t="s">
        <v>68</v>
      </c>
      <c r="G5446">
        <v>-198.94890000000001</v>
      </c>
      <c r="H5446" s="1">
        <v>-1.219567E-5</v>
      </c>
      <c r="I5446">
        <v>149.28739999999999</v>
      </c>
      <c r="J5446">
        <v>-191.4819</v>
      </c>
      <c r="K5446">
        <v>1.119059</v>
      </c>
      <c r="L5446">
        <v>160.38499999999999</v>
      </c>
      <c r="M5446">
        <v>-5.2675619999999999E-2</v>
      </c>
      <c r="N5446">
        <v>-1.3569360000000001E-2</v>
      </c>
      <c r="O5446">
        <v>-0.99851939999999995</v>
      </c>
      <c r="P5446">
        <v>-0.230161</v>
      </c>
      <c r="Q5446">
        <v>-8.0857470000000001E-2</v>
      </c>
      <c r="R5446">
        <v>-0.96978770000000003</v>
      </c>
      <c r="S5446">
        <v>-1.7749790000000001</v>
      </c>
      <c r="T5446">
        <v>-0.26576660000000002</v>
      </c>
      <c r="U5446">
        <v>-2.6589049999999999</v>
      </c>
      <c r="V5446">
        <v>0.1784095</v>
      </c>
      <c r="W5446">
        <v>-6.844546E-2</v>
      </c>
      <c r="X5446">
        <v>0.98157289999999997</v>
      </c>
      <c r="Y5446">
        <v>0.50894759999999895</v>
      </c>
      <c r="Z5446">
        <v>7.0615540000000004E-2</v>
      </c>
      <c r="AA5446">
        <v>0.85789609999999905</v>
      </c>
      <c r="AB5446">
        <v>20</v>
      </c>
      <c r="AC5446">
        <v>-7.4670000000000103</v>
      </c>
      <c r="AD5446">
        <v>-1.1190711956699999</v>
      </c>
      <c r="AE5446">
        <v>-11.0976</v>
      </c>
      <c r="AF5446">
        <v>6.8242376209432596</v>
      </c>
      <c r="AG5446">
        <v>-1.1190711956699999</v>
      </c>
      <c r="AH5446">
        <v>11.3957890882317</v>
      </c>
      <c r="AI5446">
        <v>94.8157567611118</v>
      </c>
      <c r="AJ5446">
        <v>59.085200271676698</v>
      </c>
      <c r="AK5446">
        <v>13.329911792338899</v>
      </c>
      <c r="AL5446">
        <v>93.924704284674405</v>
      </c>
      <c r="AM5446">
        <v>79.698447720322505</v>
      </c>
      <c r="AN5446">
        <v>1.00000004434963</v>
      </c>
    </row>
    <row r="5447" spans="1:40" x14ac:dyDescent="0.25">
      <c r="A5447" t="str">
        <f>"20190303153916710"</f>
        <v>20190303153916710</v>
      </c>
      <c r="B5447" t="str">
        <f>"1551598756704403"</f>
        <v>1551598756704403</v>
      </c>
      <c r="C5447" t="s">
        <v>40</v>
      </c>
      <c r="D5447">
        <v>4.4503750000000002</v>
      </c>
      <c r="E5447">
        <v>0.64486399999999999</v>
      </c>
      <c r="F5447" t="s">
        <v>68</v>
      </c>
      <c r="G5447">
        <v>-200.374</v>
      </c>
      <c r="H5447" s="1">
        <v>-1.164145E-5</v>
      </c>
      <c r="I5447">
        <v>147.48070000000001</v>
      </c>
      <c r="J5447">
        <v>-191.49019999999999</v>
      </c>
      <c r="K5447">
        <v>1.119022</v>
      </c>
      <c r="L5447">
        <v>160.27160000000001</v>
      </c>
      <c r="M5447">
        <v>-5.4809219999999999E-2</v>
      </c>
      <c r="N5447">
        <v>-1.357265E-2</v>
      </c>
      <c r="O5447">
        <v>-0.99840490000000004</v>
      </c>
      <c r="P5447">
        <v>-0.23718639999999999</v>
      </c>
      <c r="Q5447">
        <v>-7.9987539999999996E-2</v>
      </c>
      <c r="R5447">
        <v>-0.96816619999999998</v>
      </c>
      <c r="S5447">
        <v>-1.82074</v>
      </c>
      <c r="T5447">
        <v>-0.22913839999999999</v>
      </c>
      <c r="U5447">
        <v>-2.642258</v>
      </c>
      <c r="V5447">
        <v>0.18341660000000001</v>
      </c>
      <c r="W5447">
        <v>-6.7622829999999995E-2</v>
      </c>
      <c r="X5447">
        <v>0.98070659999999998</v>
      </c>
      <c r="Y5447">
        <v>0.52017590000000002</v>
      </c>
      <c r="Z5447">
        <v>5.8904989999999997E-2</v>
      </c>
      <c r="AA5447">
        <v>0.85202540000000004</v>
      </c>
      <c r="AB5447">
        <v>20</v>
      </c>
      <c r="AC5447">
        <v>-8.8838000000000292</v>
      </c>
      <c r="AD5447">
        <v>-1.1190336414499999</v>
      </c>
      <c r="AE5447">
        <v>-12.790899999999899</v>
      </c>
      <c r="AF5447">
        <v>8.1273566797634906</v>
      </c>
      <c r="AG5447">
        <v>-1.1190336414499999</v>
      </c>
      <c r="AH5447">
        <v>13.190522741421001</v>
      </c>
      <c r="AI5447">
        <v>94.131112487893205</v>
      </c>
      <c r="AJ5447">
        <v>58.360650188950402</v>
      </c>
      <c r="AK5447">
        <v>15.5337069974535</v>
      </c>
      <c r="AL5447">
        <v>93.877461901780094</v>
      </c>
      <c r="AM5447">
        <v>79.406641107358595</v>
      </c>
      <c r="AN5447">
        <v>0.99999996578816297</v>
      </c>
    </row>
    <row r="5448" spans="1:40" x14ac:dyDescent="0.25">
      <c r="A5448" t="str">
        <f>"20190303153916721"</f>
        <v>20190303153916721</v>
      </c>
      <c r="B5448" t="str">
        <f>"1551598756714164"</f>
        <v>1551598756714164</v>
      </c>
      <c r="C5448" t="s">
        <v>40</v>
      </c>
      <c r="D5448">
        <v>4.4568779999999997</v>
      </c>
      <c r="E5448">
        <v>0.64409209999999995</v>
      </c>
      <c r="F5448" t="s">
        <v>68</v>
      </c>
      <c r="G5448">
        <v>-200.31270000000001</v>
      </c>
      <c r="H5448" s="1">
        <v>-1.170972E-5</v>
      </c>
      <c r="I5448">
        <v>147.61869999999999</v>
      </c>
      <c r="J5448">
        <v>-191.4983</v>
      </c>
      <c r="K5448">
        <v>1.118997</v>
      </c>
      <c r="L5448">
        <v>160.16739999999999</v>
      </c>
      <c r="M5448">
        <v>-5.6825840000000002E-2</v>
      </c>
      <c r="N5448">
        <v>-1.35758999999999E-2</v>
      </c>
      <c r="O5448">
        <v>-0.99829190000000001</v>
      </c>
      <c r="P5448">
        <v>-0.2438148</v>
      </c>
      <c r="Q5448">
        <v>-7.8705360000000002E-2</v>
      </c>
      <c r="R5448">
        <v>-0.96662300000000001</v>
      </c>
      <c r="S5448">
        <v>-1.8339080000000001</v>
      </c>
      <c r="T5448">
        <v>-0.23261200000000001</v>
      </c>
      <c r="U5448">
        <v>-2.6301420000000002</v>
      </c>
      <c r="V5448">
        <v>0.18814449999999999</v>
      </c>
      <c r="W5448">
        <v>-6.6385849999999996E-2</v>
      </c>
      <c r="X5448">
        <v>0.97989519999999997</v>
      </c>
      <c r="Y5448">
        <v>0.52311129999999995</v>
      </c>
      <c r="Z5448">
        <v>6.0099079999999999E-2</v>
      </c>
      <c r="AA5448">
        <v>0.85014269999999903</v>
      </c>
      <c r="AB5448">
        <v>20</v>
      </c>
      <c r="AC5448">
        <v>-8.8143999999999991</v>
      </c>
      <c r="AD5448">
        <v>-1.1190087097200001</v>
      </c>
      <c r="AE5448">
        <v>-12.548699999999901</v>
      </c>
      <c r="AF5448">
        <v>8.0441652249299604</v>
      </c>
      <c r="AG5448">
        <v>-1.1190087097200001</v>
      </c>
      <c r="AH5448">
        <v>12.9603404804365</v>
      </c>
      <c r="AI5448">
        <v>94.195659485828102</v>
      </c>
      <c r="AJ5448">
        <v>58.173140761763001</v>
      </c>
      <c r="AK5448">
        <v>15.2948095779987</v>
      </c>
      <c r="AL5448">
        <v>93.806428326130003</v>
      </c>
      <c r="AM5448">
        <v>79.131214036566107</v>
      </c>
      <c r="AN5448">
        <v>1.0000000184717499</v>
      </c>
    </row>
    <row r="5449" spans="1:40" x14ac:dyDescent="0.25">
      <c r="A5449" t="str">
        <f>"20190303153916732"</f>
        <v>20190303153916732</v>
      </c>
      <c r="B5449" t="str">
        <f>"1551598756723924"</f>
        <v>1551598756723924</v>
      </c>
      <c r="C5449" t="s">
        <v>40</v>
      </c>
      <c r="D5449">
        <v>4.4226749999999999</v>
      </c>
      <c r="E5449">
        <v>0.64289180000000001</v>
      </c>
      <c r="F5449" t="s">
        <v>68</v>
      </c>
      <c r="G5449">
        <v>-200.30420000000001</v>
      </c>
      <c r="H5449" s="1">
        <v>-1.172996E-5</v>
      </c>
      <c r="I5449">
        <v>147.67410000000001</v>
      </c>
      <c r="J5449">
        <v>-191.50579999999999</v>
      </c>
      <c r="K5449">
        <v>1.1189800000000001</v>
      </c>
      <c r="L5449">
        <v>160.07310000000001</v>
      </c>
      <c r="M5449">
        <v>-5.8665759999999997E-2</v>
      </c>
      <c r="N5449">
        <v>-1.3578750000000001E-2</v>
      </c>
      <c r="O5449">
        <v>-0.99818560000000001</v>
      </c>
      <c r="P5449">
        <v>-0.24971699999999999</v>
      </c>
      <c r="Q5449">
        <v>-7.7232780000000001E-2</v>
      </c>
      <c r="R5449">
        <v>-0.9652345</v>
      </c>
      <c r="S5449">
        <v>-1.845917</v>
      </c>
      <c r="T5449">
        <v>-0.23457040000000001</v>
      </c>
      <c r="U5449">
        <v>-2.618881</v>
      </c>
      <c r="V5449">
        <v>0.19231690000000001</v>
      </c>
      <c r="W5449">
        <v>-6.4953739999999996E-2</v>
      </c>
      <c r="X5449">
        <v>0.97918090000000002</v>
      </c>
      <c r="Y5449">
        <v>0.52583340000000001</v>
      </c>
      <c r="Z5449">
        <v>6.0812720000000001E-2</v>
      </c>
      <c r="AA5449">
        <v>0.84841089999999997</v>
      </c>
      <c r="AB5449">
        <v>20</v>
      </c>
      <c r="AC5449">
        <v>-8.7984000000000098</v>
      </c>
      <c r="AD5449">
        <v>-1.1189917299599901</v>
      </c>
      <c r="AE5449">
        <v>-12.398999999999999</v>
      </c>
      <c r="AF5449">
        <v>8.0123762330920396</v>
      </c>
      <c r="AG5449">
        <v>-1.1189917299599901</v>
      </c>
      <c r="AH5449">
        <v>12.8243825802675</v>
      </c>
      <c r="AI5449">
        <v>94.232147056677803</v>
      </c>
      <c r="AJ5449">
        <v>58.003815414201398</v>
      </c>
      <c r="AK5449">
        <v>15.1629516901362</v>
      </c>
      <c r="AL5449">
        <v>93.724197001956</v>
      </c>
      <c r="AM5449">
        <v>78.888210522556406</v>
      </c>
      <c r="AN5449">
        <v>1.0000000066451999</v>
      </c>
    </row>
    <row r="5450" spans="1:40" x14ac:dyDescent="0.25">
      <c r="A5450" t="str">
        <f>"20190303153916745"</f>
        <v>20190303153916745</v>
      </c>
      <c r="B5450" t="str">
        <f>"1551598756733684"</f>
        <v>1551598756733684</v>
      </c>
      <c r="C5450" t="s">
        <v>40</v>
      </c>
      <c r="D5450">
        <v>4.4217810000000002</v>
      </c>
      <c r="E5450">
        <v>0.64205369999999995</v>
      </c>
      <c r="F5450" t="s">
        <v>68</v>
      </c>
      <c r="G5450">
        <v>-200.28389999999999</v>
      </c>
      <c r="H5450" s="1">
        <v>-1.17488E-5</v>
      </c>
      <c r="I5450">
        <v>147.7072</v>
      </c>
      <c r="J5450">
        <v>-191.51519999999999</v>
      </c>
      <c r="K5450">
        <v>1.118962</v>
      </c>
      <c r="L5450">
        <v>159.95689999999999</v>
      </c>
      <c r="M5450">
        <v>-6.0973819999999998E-2</v>
      </c>
      <c r="N5450">
        <v>-1.3582240000000001E-2</v>
      </c>
      <c r="O5450">
        <v>-0.99804700000000002</v>
      </c>
      <c r="P5450">
        <v>-0.25553579999999998</v>
      </c>
      <c r="Q5450">
        <v>-7.6084040000000006E-2</v>
      </c>
      <c r="R5450">
        <v>-0.96380109999999997</v>
      </c>
      <c r="S5450">
        <v>-1.8526309999999999</v>
      </c>
      <c r="T5450">
        <v>-0.23616490000000001</v>
      </c>
      <c r="U5450">
        <v>-2.6098479999999999</v>
      </c>
      <c r="V5450">
        <v>0.19595080000000001</v>
      </c>
      <c r="W5450">
        <v>-6.3844139999999994E-2</v>
      </c>
      <c r="X5450">
        <v>0.97853319999999999</v>
      </c>
      <c r="Y5450">
        <v>0.52667769999999903</v>
      </c>
      <c r="Z5450">
        <v>6.1443860000000003E-2</v>
      </c>
      <c r="AA5450">
        <v>0.84784150000000003</v>
      </c>
      <c r="AB5450">
        <v>19</v>
      </c>
      <c r="AC5450">
        <v>-8.7686999999999902</v>
      </c>
      <c r="AD5450">
        <v>-1.1189737488</v>
      </c>
      <c r="AE5450">
        <v>-12.249699999999899</v>
      </c>
      <c r="AF5450">
        <v>7.9614767178315899</v>
      </c>
      <c r="AG5450">
        <v>-1.1189737488</v>
      </c>
      <c r="AH5450">
        <v>12.6915919661692</v>
      </c>
      <c r="AI5450">
        <v>94.271357255008198</v>
      </c>
      <c r="AJ5450">
        <v>57.899818301528803</v>
      </c>
      <c r="AK5450">
        <v>15.0237718438083</v>
      </c>
      <c r="AL5450">
        <v>93.660489359135298</v>
      </c>
      <c r="AM5450">
        <v>78.676321809012506</v>
      </c>
      <c r="AN5450">
        <v>1.0000000068676</v>
      </c>
    </row>
    <row r="5451" spans="1:40" x14ac:dyDescent="0.25">
      <c r="A5451" t="str">
        <f>"20190303153916758"</f>
        <v>20190303153916758</v>
      </c>
      <c r="B5451" t="str">
        <f>"1551598756754180"</f>
        <v>1551598756754180</v>
      </c>
      <c r="C5451" t="s">
        <v>40</v>
      </c>
      <c r="D5451">
        <v>4.4201839999999999</v>
      </c>
      <c r="E5451">
        <v>0.64082839999999996</v>
      </c>
      <c r="F5451" t="s">
        <v>68</v>
      </c>
      <c r="G5451">
        <v>-200.4357</v>
      </c>
      <c r="H5451" s="1">
        <v>-1.1619229999999999E-5</v>
      </c>
      <c r="I5451">
        <v>147.49789999999999</v>
      </c>
      <c r="J5451">
        <v>-191.52369999999999</v>
      </c>
      <c r="K5451">
        <v>1.1189469999999999</v>
      </c>
      <c r="L5451">
        <v>159.8571</v>
      </c>
      <c r="M5451">
        <v>-6.2992919999999994E-2</v>
      </c>
      <c r="N5451">
        <v>-1.358522E-2</v>
      </c>
      <c r="O5451">
        <v>-0.99792150000000002</v>
      </c>
      <c r="P5451">
        <v>-0.25998209999999999</v>
      </c>
      <c r="Q5451">
        <v>-7.4914140000000004E-2</v>
      </c>
      <c r="R5451">
        <v>-0.96270290000000003</v>
      </c>
      <c r="S5451">
        <v>-1.861969</v>
      </c>
      <c r="T5451">
        <v>-0.2335643</v>
      </c>
      <c r="U5451">
        <v>-2.600571</v>
      </c>
      <c r="V5451">
        <v>0.19848150000000001</v>
      </c>
      <c r="W5451">
        <v>-6.2703179999999997E-2</v>
      </c>
      <c r="X5451">
        <v>0.97809679999999999</v>
      </c>
      <c r="Y5451">
        <v>0.52842769999999994</v>
      </c>
      <c r="Z5451">
        <v>6.0719019999999999E-2</v>
      </c>
      <c r="AA5451">
        <v>0.84680419999999901</v>
      </c>
      <c r="AB5451">
        <v>19</v>
      </c>
      <c r="AC5451">
        <v>-8.9120000000000008</v>
      </c>
      <c r="AD5451">
        <v>-1.1189586192299901</v>
      </c>
      <c r="AE5451">
        <v>-12.3592</v>
      </c>
      <c r="AF5451">
        <v>8.0721517130261997</v>
      </c>
      <c r="AG5451">
        <v>-1.1189586192299901</v>
      </c>
      <c r="AH5451">
        <v>12.8269213145514</v>
      </c>
      <c r="AI5451">
        <v>94.222588604384498</v>
      </c>
      <c r="AJ5451">
        <v>57.817248445398199</v>
      </c>
      <c r="AK5451">
        <v>15.1967632106102</v>
      </c>
      <c r="AL5451">
        <v>93.594986032601597</v>
      </c>
      <c r="AM5451">
        <v>78.528946262623094</v>
      </c>
      <c r="AN5451">
        <v>0.99999997239729999</v>
      </c>
    </row>
    <row r="5452" spans="1:40" x14ac:dyDescent="0.25">
      <c r="A5452" t="str">
        <f>"20190303153916770"</f>
        <v>20190303153916770</v>
      </c>
      <c r="B5452" t="str">
        <f>"1551598756763940"</f>
        <v>1551598756763940</v>
      </c>
      <c r="C5452" t="s">
        <v>40</v>
      </c>
      <c r="D5452">
        <v>4.467428</v>
      </c>
      <c r="E5452">
        <v>0.63989759999999996</v>
      </c>
      <c r="F5452" t="s">
        <v>68</v>
      </c>
      <c r="G5452">
        <v>-200.3056</v>
      </c>
      <c r="H5452" s="1">
        <v>-1.17189899999999E-5</v>
      </c>
      <c r="I5452">
        <v>147.63939999999999</v>
      </c>
      <c r="J5452">
        <v>-191.53309999999999</v>
      </c>
      <c r="K5452">
        <v>1.118927</v>
      </c>
      <c r="L5452">
        <v>159.74709999999999</v>
      </c>
      <c r="M5452">
        <v>-6.5239469999999994E-2</v>
      </c>
      <c r="N5452">
        <v>-1.358843E-2</v>
      </c>
      <c r="O5452">
        <v>-0.99777700000000003</v>
      </c>
      <c r="P5452">
        <v>-0.26488020000000001</v>
      </c>
      <c r="Q5452">
        <v>-7.3982809999999996E-2</v>
      </c>
      <c r="R5452">
        <v>-0.96143909999999999</v>
      </c>
      <c r="S5452">
        <v>-1.864655</v>
      </c>
      <c r="T5452">
        <v>-0.2375873</v>
      </c>
      <c r="U5452">
        <v>-2.5941770000000002</v>
      </c>
      <c r="V5452">
        <v>0.20125180000000001</v>
      </c>
      <c r="W5452">
        <v>-6.1804400000000002E-2</v>
      </c>
      <c r="X5452">
        <v>0.97758780000000001</v>
      </c>
      <c r="Y5452">
        <v>0.52802950000000004</v>
      </c>
      <c r="Z5452">
        <v>6.211626E-2</v>
      </c>
      <c r="AA5452">
        <v>0.84695119999999902</v>
      </c>
      <c r="AB5452">
        <v>19</v>
      </c>
      <c r="AC5452">
        <v>-8.7725000000000009</v>
      </c>
      <c r="AD5452">
        <v>-1.11893871899</v>
      </c>
      <c r="AE5452">
        <v>-12.1076999999999</v>
      </c>
      <c r="AF5452">
        <v>7.9194814059269403</v>
      </c>
      <c r="AG5452">
        <v>-1.11893871899</v>
      </c>
      <c r="AH5452">
        <v>12.5837912496683</v>
      </c>
      <c r="AI5452">
        <v>94.303741463119096</v>
      </c>
      <c r="AJ5452">
        <v>57.816156947063298</v>
      </c>
      <c r="AK5452">
        <v>14.910466518888899</v>
      </c>
      <c r="AL5452">
        <v>93.543389591722601</v>
      </c>
      <c r="AM5452">
        <v>78.367281165869898</v>
      </c>
      <c r="AN5452">
        <v>0.99999998878571905</v>
      </c>
    </row>
    <row r="5453" spans="1:40" x14ac:dyDescent="0.25">
      <c r="A5453" t="str">
        <f>"20190303153916784"</f>
        <v>20190303153916784</v>
      </c>
      <c r="B5453" t="str">
        <f>"1551598756773700"</f>
        <v>1551598756773700</v>
      </c>
      <c r="C5453" t="s">
        <v>40</v>
      </c>
      <c r="D5453">
        <v>4.4510399999999999</v>
      </c>
      <c r="E5453">
        <v>0.63910480000000003</v>
      </c>
      <c r="F5453" t="s">
        <v>68</v>
      </c>
      <c r="G5453">
        <v>-200.30529999999999</v>
      </c>
      <c r="H5453" s="1">
        <v>-1.17128399999999E-5</v>
      </c>
      <c r="I5453">
        <v>147.6183</v>
      </c>
      <c r="J5453">
        <v>-191.54470000000001</v>
      </c>
      <c r="K5453">
        <v>1.1189070000000001</v>
      </c>
      <c r="L5453">
        <v>159.61850000000001</v>
      </c>
      <c r="M5453">
        <v>-6.792977E-2</v>
      </c>
      <c r="N5453">
        <v>-1.359224E-2</v>
      </c>
      <c r="O5453">
        <v>-0.99759750000000003</v>
      </c>
      <c r="P5453">
        <v>-0.2724337</v>
      </c>
      <c r="Q5453">
        <v>-7.3298180000000004E-2</v>
      </c>
      <c r="R5453">
        <v>-0.95937850000000002</v>
      </c>
      <c r="S5453">
        <v>-1.870743</v>
      </c>
      <c r="T5453">
        <v>-0.2386229</v>
      </c>
      <c r="U5453">
        <v>-2.5865629999999999</v>
      </c>
      <c r="V5453">
        <v>0.206292</v>
      </c>
      <c r="W5453">
        <v>-6.1174190000000003E-2</v>
      </c>
      <c r="X5453">
        <v>0.97657629999999995</v>
      </c>
      <c r="Y5453">
        <v>0.52821509999999905</v>
      </c>
      <c r="Z5453">
        <v>6.255898E-2</v>
      </c>
      <c r="AA5453">
        <v>0.84680290000000003</v>
      </c>
      <c r="AB5453">
        <v>19</v>
      </c>
      <c r="AC5453">
        <v>-8.7605999999999806</v>
      </c>
      <c r="AD5453">
        <v>-1.11891871283999</v>
      </c>
      <c r="AE5453">
        <v>-12.0002</v>
      </c>
      <c r="AF5453">
        <v>7.88042098927657</v>
      </c>
      <c r="AG5453">
        <v>-1.11891871283999</v>
      </c>
      <c r="AH5453">
        <v>12.496762010825201</v>
      </c>
      <c r="AI5453">
        <v>94.331075432482095</v>
      </c>
      <c r="AJ5453">
        <v>57.764590924584603</v>
      </c>
      <c r="AK5453">
        <v>14.8162773600314</v>
      </c>
      <c r="AL5453">
        <v>93.507212826718202</v>
      </c>
      <c r="AM5453">
        <v>78.072190679529001</v>
      </c>
      <c r="AN5453">
        <v>0.99999997025392195</v>
      </c>
    </row>
    <row r="5454" spans="1:40" x14ac:dyDescent="0.25">
      <c r="A5454" t="str">
        <f>"20190303153916796"</f>
        <v>20190303153916796</v>
      </c>
      <c r="B5454" t="str">
        <f>"1551598756794196"</f>
        <v>1551598756794196</v>
      </c>
      <c r="C5454" t="s">
        <v>40</v>
      </c>
      <c r="D5454">
        <v>4.5025269999999997</v>
      </c>
      <c r="E5454">
        <v>0.63755740000000005</v>
      </c>
      <c r="F5454" t="s">
        <v>68</v>
      </c>
      <c r="G5454">
        <v>-200.32689999999999</v>
      </c>
      <c r="H5454" s="1">
        <v>-1.170637E-5</v>
      </c>
      <c r="I5454">
        <v>147.62880000000001</v>
      </c>
      <c r="J5454">
        <v>-191.55359999999999</v>
      </c>
      <c r="K5454">
        <v>1.1188849999999999</v>
      </c>
      <c r="L5454">
        <v>159.52269999999999</v>
      </c>
      <c r="M5454">
        <v>-6.996629E-2</v>
      </c>
      <c r="N5454">
        <v>-1.359513E-2</v>
      </c>
      <c r="O5454">
        <v>-0.99745669999999997</v>
      </c>
      <c r="P5454">
        <v>-0.27699240000000003</v>
      </c>
      <c r="Q5454">
        <v>-7.2577320000000001E-2</v>
      </c>
      <c r="R5454">
        <v>-0.95812699999999995</v>
      </c>
      <c r="S5454">
        <v>-1.8849640000000001</v>
      </c>
      <c r="T5454">
        <v>-0.24015800000000001</v>
      </c>
      <c r="U5454">
        <v>-2.57341</v>
      </c>
      <c r="V5454">
        <v>0.20893510000000001</v>
      </c>
      <c r="W5454">
        <v>-6.0484839999999998E-2</v>
      </c>
      <c r="X5454">
        <v>0.97605719999999996</v>
      </c>
      <c r="Y5454">
        <v>0.53155889999999995</v>
      </c>
      <c r="Z5454">
        <v>6.3151970000000002E-2</v>
      </c>
      <c r="AA5454">
        <v>0.84466390000000002</v>
      </c>
      <c r="AB5454">
        <v>19</v>
      </c>
      <c r="AC5454">
        <v>-8.7733000000000008</v>
      </c>
      <c r="AD5454">
        <v>-1.1188967063699999</v>
      </c>
      <c r="AE5454">
        <v>-11.893899999999901</v>
      </c>
      <c r="AF5454">
        <v>7.8744158215794</v>
      </c>
      <c r="AG5454">
        <v>-1.1188967063699999</v>
      </c>
      <c r="AH5454">
        <v>12.4075270818419</v>
      </c>
      <c r="AI5454">
        <v>94.354073132923702</v>
      </c>
      <c r="AJ5454">
        <v>57.598815881345502</v>
      </c>
      <c r="AK5454">
        <v>14.737879177727899</v>
      </c>
      <c r="AL5454">
        <v>93.4676426863073</v>
      </c>
      <c r="AM5454">
        <v>77.917591602071795</v>
      </c>
      <c r="AN5454">
        <v>0.999999974776837</v>
      </c>
    </row>
    <row r="5455" spans="1:40" x14ac:dyDescent="0.25">
      <c r="A5455" t="str">
        <f>"20190303153916807"</f>
        <v>20190303153916807</v>
      </c>
      <c r="B5455" t="str">
        <f>"1551598756803956"</f>
        <v>1551598756803956</v>
      </c>
      <c r="C5455" t="s">
        <v>40</v>
      </c>
      <c r="D5455">
        <v>4.5058040000000004</v>
      </c>
      <c r="E5455">
        <v>0.63678590000000002</v>
      </c>
      <c r="F5455" t="s">
        <v>68</v>
      </c>
      <c r="G5455">
        <v>-200.20509999999999</v>
      </c>
      <c r="H5455" s="1">
        <v>-1.1793419999999999E-5</v>
      </c>
      <c r="I5455">
        <v>147.7398</v>
      </c>
      <c r="J5455">
        <v>-191.5634</v>
      </c>
      <c r="K5455">
        <v>1.11887</v>
      </c>
      <c r="L5455">
        <v>159.41839999999999</v>
      </c>
      <c r="M5455">
        <v>-7.2203980000000001E-2</v>
      </c>
      <c r="N5455">
        <v>-1.3598259999999999E-2</v>
      </c>
      <c r="O5455">
        <v>-0.99729730000000005</v>
      </c>
      <c r="P5455">
        <v>-0.28161510000000001</v>
      </c>
      <c r="Q5455">
        <v>-7.1936180000000002E-2</v>
      </c>
      <c r="R5455">
        <v>-0.95682719999999999</v>
      </c>
      <c r="S5455">
        <v>-1.885254</v>
      </c>
      <c r="T5455">
        <v>-0.24381839999999999</v>
      </c>
      <c r="U5455">
        <v>-2.567612</v>
      </c>
      <c r="V5455">
        <v>0.21145079999999999</v>
      </c>
      <c r="W5455">
        <v>-5.9875379999999999E-2</v>
      </c>
      <c r="X5455">
        <v>0.97555289999999995</v>
      </c>
      <c r="Y5455">
        <v>0.53057809999999905</v>
      </c>
      <c r="Z5455">
        <v>6.4461069999999995E-2</v>
      </c>
      <c r="AA5455">
        <v>0.84518139999999997</v>
      </c>
      <c r="AB5455">
        <v>19</v>
      </c>
      <c r="AC5455">
        <v>-8.6416999999999806</v>
      </c>
      <c r="AD5455">
        <v>-1.1188817934199999</v>
      </c>
      <c r="AE5455">
        <v>-11.6785999999999</v>
      </c>
      <c r="AF5455">
        <v>7.7299725015541396</v>
      </c>
      <c r="AG5455">
        <v>-1.1188817934199999</v>
      </c>
      <c r="AH5455">
        <v>12.199774998872201</v>
      </c>
      <c r="AI5455">
        <v>94.429927704402104</v>
      </c>
      <c r="AJ5455">
        <v>57.6409993101216</v>
      </c>
      <c r="AK5455">
        <v>14.485816558466301</v>
      </c>
      <c r="AL5455">
        <v>93.432659771309801</v>
      </c>
      <c r="AM5455">
        <v>77.770333175570201</v>
      </c>
      <c r="AN5455">
        <v>0.999999981324597</v>
      </c>
    </row>
    <row r="5456" spans="1:40" x14ac:dyDescent="0.25">
      <c r="A5456" t="str">
        <f>"20190303153916823"</f>
        <v>20190303153916823</v>
      </c>
      <c r="B5456" t="str">
        <f>"1551598756813715"</f>
        <v>1551598756813715</v>
      </c>
      <c r="C5456" t="s">
        <v>40</v>
      </c>
      <c r="D5456">
        <v>4.485474</v>
      </c>
      <c r="E5456">
        <v>0.63610859999999902</v>
      </c>
      <c r="F5456" t="s">
        <v>68</v>
      </c>
      <c r="G5456">
        <v>-200.154</v>
      </c>
      <c r="H5456" s="1">
        <v>-1.1831489999999999E-5</v>
      </c>
      <c r="I5456">
        <v>147.79159999999999</v>
      </c>
      <c r="J5456">
        <v>-191.57599999999999</v>
      </c>
      <c r="K5456">
        <v>1.1188400000000001</v>
      </c>
      <c r="L5456">
        <v>159.2895</v>
      </c>
      <c r="M5456">
        <v>-7.5037110000000004E-2</v>
      </c>
      <c r="N5456">
        <v>-1.3602599999999999E-2</v>
      </c>
      <c r="O5456">
        <v>-0.99708799999999997</v>
      </c>
      <c r="P5456">
        <v>-0.28617959999999998</v>
      </c>
      <c r="Q5456">
        <v>-7.0810200000000004E-2</v>
      </c>
      <c r="R5456">
        <v>-0.95555590000000001</v>
      </c>
      <c r="S5456">
        <v>-1.891586</v>
      </c>
      <c r="T5456">
        <v>-0.24636749999999999</v>
      </c>
      <c r="U5456">
        <v>-2.5601039999999999</v>
      </c>
      <c r="V5456">
        <v>0.21332889999999999</v>
      </c>
      <c r="W5456">
        <v>-5.8779289999999998E-2</v>
      </c>
      <c r="X5456">
        <v>0.97521060000000004</v>
      </c>
      <c r="Y5456">
        <v>0.53066930000000001</v>
      </c>
      <c r="Z5456">
        <v>6.5382579999999996E-2</v>
      </c>
      <c r="AA5456">
        <v>0.84505339999999995</v>
      </c>
      <c r="AB5456">
        <v>19</v>
      </c>
      <c r="AC5456">
        <v>-8.5780000000000296</v>
      </c>
      <c r="AD5456">
        <v>-1.11885183148999</v>
      </c>
      <c r="AE5456">
        <v>-11.4979</v>
      </c>
      <c r="AF5456">
        <v>7.6444599584064097</v>
      </c>
      <c r="AG5456">
        <v>-1.11885183148999</v>
      </c>
      <c r="AH5456">
        <v>12.0359886631151</v>
      </c>
      <c r="AI5456">
        <v>94.486777407440101</v>
      </c>
      <c r="AJ5456">
        <v>57.579000797541099</v>
      </c>
      <c r="AK5456">
        <v>14.302259282195299</v>
      </c>
      <c r="AL5456">
        <v>93.369747661535001</v>
      </c>
      <c r="AM5456">
        <v>77.660824062261995</v>
      </c>
      <c r="AN5456">
        <v>0.99999996943023595</v>
      </c>
    </row>
    <row r="5457" spans="1:40" x14ac:dyDescent="0.25">
      <c r="A5457" t="str">
        <f>"20190303153916838"</f>
        <v>20190303153916838</v>
      </c>
      <c r="B5457" t="str">
        <f>"1551598756834211"</f>
        <v>1551598756834211</v>
      </c>
      <c r="C5457" t="s">
        <v>40</v>
      </c>
      <c r="D5457">
        <v>4.517633</v>
      </c>
      <c r="E5457">
        <v>0.63485380000000002</v>
      </c>
      <c r="F5457" t="s">
        <v>68</v>
      </c>
      <c r="G5457">
        <v>-200.18010000000001</v>
      </c>
      <c r="H5457" s="1">
        <v>-1.1798910000000001E-5</v>
      </c>
      <c r="I5457">
        <v>147.7209</v>
      </c>
      <c r="J5457">
        <v>-191.5889</v>
      </c>
      <c r="K5457">
        <v>1.118806</v>
      </c>
      <c r="L5457">
        <v>159.1618</v>
      </c>
      <c r="M5457">
        <v>-7.789741E-2</v>
      </c>
      <c r="N5457">
        <v>-1.360716E-2</v>
      </c>
      <c r="O5457">
        <v>-0.99686839999999999</v>
      </c>
      <c r="P5457">
        <v>-0.29051359999999998</v>
      </c>
      <c r="Q5457">
        <v>-6.9767590000000004E-2</v>
      </c>
      <c r="R5457">
        <v>-0.95432380000000006</v>
      </c>
      <c r="S5457">
        <v>-1.8985289999999999</v>
      </c>
      <c r="T5457">
        <v>-0.24687980000000001</v>
      </c>
      <c r="U5457">
        <v>-2.5526580000000001</v>
      </c>
      <c r="V5457">
        <v>0.2149499</v>
      </c>
      <c r="W5457">
        <v>-5.7766629999999999E-2</v>
      </c>
      <c r="X5457">
        <v>0.97491510000000003</v>
      </c>
      <c r="Y5457">
        <v>0.53088780000000002</v>
      </c>
      <c r="Z5457">
        <v>6.5648250000000005E-2</v>
      </c>
      <c r="AA5457">
        <v>0.84489550000000002</v>
      </c>
      <c r="AB5457">
        <v>19</v>
      </c>
      <c r="AC5457">
        <v>-8.5912000000000095</v>
      </c>
      <c r="AD5457">
        <v>-1.1188177989100001</v>
      </c>
      <c r="AE5457">
        <v>-11.440899999999999</v>
      </c>
      <c r="AF5457">
        <v>7.6271508220508002</v>
      </c>
      <c r="AG5457">
        <v>-1.1188177989100001</v>
      </c>
      <c r="AH5457">
        <v>12.0020311434616</v>
      </c>
      <c r="AI5457">
        <v>94.498564022847006</v>
      </c>
      <c r="AJ5457">
        <v>57.564517510604901</v>
      </c>
      <c r="AK5457">
        <v>14.264428993061401</v>
      </c>
      <c r="AL5457">
        <v>93.311627821527196</v>
      </c>
      <c r="AM5457">
        <v>77.566317108691806</v>
      </c>
      <c r="AN5457">
        <v>0.99999994762978694</v>
      </c>
    </row>
    <row r="5458" spans="1:40" x14ac:dyDescent="0.25">
      <c r="A5458" t="str">
        <f>"20190303153916854"</f>
        <v>20190303153916854</v>
      </c>
      <c r="B5458" t="str">
        <f>"1551598756843971"</f>
        <v>1551598756843971</v>
      </c>
      <c r="C5458" t="s">
        <v>40</v>
      </c>
      <c r="D5458">
        <v>4.5081189999999998</v>
      </c>
      <c r="E5458">
        <v>0.63425900000000002</v>
      </c>
      <c r="F5458" t="s">
        <v>68</v>
      </c>
      <c r="G5458">
        <v>-200.10069999999999</v>
      </c>
      <c r="H5458" s="1">
        <v>-1.184487E-5</v>
      </c>
      <c r="I5458">
        <v>147.75700000000001</v>
      </c>
      <c r="J5458">
        <v>-191.6036</v>
      </c>
      <c r="K5458">
        <v>1.1187670000000001</v>
      </c>
      <c r="L5458">
        <v>159.02099999999999</v>
      </c>
      <c r="M5458">
        <v>-8.1118990000000002E-2</v>
      </c>
      <c r="N5458">
        <v>-1.3612600000000001E-2</v>
      </c>
      <c r="O5458">
        <v>-0.99661149999999998</v>
      </c>
      <c r="P5458">
        <v>-0.29555599999999999</v>
      </c>
      <c r="Q5458">
        <v>-6.8543439999999997E-2</v>
      </c>
      <c r="R5458">
        <v>-0.95286349999999997</v>
      </c>
      <c r="S5458">
        <v>-1.9006959999999999</v>
      </c>
      <c r="T5458">
        <v>-0.24983540000000001</v>
      </c>
      <c r="U5458">
        <v>-2.5467219999999999</v>
      </c>
      <c r="V5458">
        <v>0.216945</v>
      </c>
      <c r="W5458">
        <v>-5.6580350000000001E-2</v>
      </c>
      <c r="X5458">
        <v>0.97454269999999998</v>
      </c>
      <c r="Y5458">
        <v>0.52951029999999999</v>
      </c>
      <c r="Z5458">
        <v>6.6731159999999998E-2</v>
      </c>
      <c r="AA5458">
        <v>0.84567479999999995</v>
      </c>
      <c r="AB5458">
        <v>19</v>
      </c>
      <c r="AC5458">
        <v>-8.4970999999999801</v>
      </c>
      <c r="AD5458">
        <v>-1.11877884487</v>
      </c>
      <c r="AE5458">
        <v>-11.263999999999999</v>
      </c>
      <c r="AF5458">
        <v>7.5080774763468101</v>
      </c>
      <c r="AG5458">
        <v>-1.11877884487</v>
      </c>
      <c r="AH5458">
        <v>11.8417590437657</v>
      </c>
      <c r="AI5458">
        <v>94.562025059411297</v>
      </c>
      <c r="AJ5458">
        <v>57.623914443132499</v>
      </c>
      <c r="AK5458">
        <v>14.0659216102309</v>
      </c>
      <c r="AL5458">
        <v>93.243547537199703</v>
      </c>
      <c r="AM5458">
        <v>77.449906745736399</v>
      </c>
      <c r="AN5458">
        <v>0.99999997157720499</v>
      </c>
    </row>
    <row r="5459" spans="1:40" x14ac:dyDescent="0.25">
      <c r="A5459" t="str">
        <f>"20190303153916868"</f>
        <v>20190303153916868</v>
      </c>
      <c r="B5459" t="str">
        <f>"1551598756864468"</f>
        <v>1551598756864468</v>
      </c>
      <c r="C5459" t="s">
        <v>40</v>
      </c>
      <c r="D5459">
        <v>4.5246579999999996</v>
      </c>
      <c r="E5459">
        <v>0.63324809999999998</v>
      </c>
      <c r="F5459" t="s">
        <v>68</v>
      </c>
      <c r="G5459">
        <v>-200.15010000000001</v>
      </c>
      <c r="H5459" s="1">
        <v>-1.17943E-5</v>
      </c>
      <c r="I5459">
        <v>147.66069999999999</v>
      </c>
      <c r="J5459">
        <v>-191.6173</v>
      </c>
      <c r="K5459">
        <v>1.118717</v>
      </c>
      <c r="L5459">
        <v>158.89420000000001</v>
      </c>
      <c r="M5459">
        <v>-8.4086250000000001E-2</v>
      </c>
      <c r="N5459">
        <v>-1.361795E-2</v>
      </c>
      <c r="O5459">
        <v>-0.99636550000000002</v>
      </c>
      <c r="P5459">
        <v>-0.29907660000000003</v>
      </c>
      <c r="Q5459">
        <v>-6.8573179999999997E-2</v>
      </c>
      <c r="R5459">
        <v>-0.951762</v>
      </c>
      <c r="S5459">
        <v>-1.90947</v>
      </c>
      <c r="T5459">
        <v>-0.24995909999999999</v>
      </c>
      <c r="U5459">
        <v>-2.5381320000000001</v>
      </c>
      <c r="V5459">
        <v>0.21763830000000001</v>
      </c>
      <c r="W5459">
        <v>-5.6637899999999998E-2</v>
      </c>
      <c r="X5459">
        <v>0.97438480000000005</v>
      </c>
      <c r="Y5459">
        <v>0.53022089999999999</v>
      </c>
      <c r="Z5459">
        <v>6.687179E-2</v>
      </c>
      <c r="AA5459">
        <v>0.84521829999999998</v>
      </c>
      <c r="AB5459">
        <v>19</v>
      </c>
      <c r="AC5459">
        <v>-8.5327999999999999</v>
      </c>
      <c r="AD5459">
        <v>-1.1187287942999999</v>
      </c>
      <c r="AE5459">
        <v>-11.233499999999999</v>
      </c>
      <c r="AF5459">
        <v>7.5106687189796801</v>
      </c>
      <c r="AG5459">
        <v>-1.1187287942999999</v>
      </c>
      <c r="AH5459">
        <v>11.8368223203332</v>
      </c>
      <c r="AI5459">
        <v>94.562722962907799</v>
      </c>
      <c r="AJ5459">
        <v>57.604165719711197</v>
      </c>
      <c r="AK5459">
        <v>14.063145500370601</v>
      </c>
      <c r="AL5459">
        <v>93.246850080920396</v>
      </c>
      <c r="AM5459">
        <v>77.409101355210296</v>
      </c>
      <c r="AN5459">
        <v>1.00000000990717</v>
      </c>
    </row>
    <row r="5460" spans="1:40" x14ac:dyDescent="0.25">
      <c r="A5460" t="str">
        <f>"20190303153916881"</f>
        <v>20190303153916881</v>
      </c>
      <c r="B5460" t="str">
        <f>"1551598756874228"</f>
        <v>1551598756874228</v>
      </c>
      <c r="C5460" t="s">
        <v>40</v>
      </c>
      <c r="D5460">
        <v>4.4926979999999999</v>
      </c>
      <c r="E5460">
        <v>0.63274189999999997</v>
      </c>
      <c r="F5460" t="s">
        <v>68</v>
      </c>
      <c r="G5460">
        <v>-200.01</v>
      </c>
      <c r="H5460" s="1">
        <v>-1.1889070000000001E-5</v>
      </c>
      <c r="I5460">
        <v>147.7704</v>
      </c>
      <c r="J5460">
        <v>-191.6294</v>
      </c>
      <c r="K5460">
        <v>1.1186659999999999</v>
      </c>
      <c r="L5460">
        <v>158.78639999999999</v>
      </c>
      <c r="M5460">
        <v>-8.6677329999999997E-2</v>
      </c>
      <c r="N5460">
        <v>-1.362303E-2</v>
      </c>
      <c r="O5460">
        <v>-0.99614329999999995</v>
      </c>
      <c r="P5460">
        <v>-0.30183660000000001</v>
      </c>
      <c r="Q5460">
        <v>-6.9259080000000001E-2</v>
      </c>
      <c r="R5460">
        <v>-0.95084080000000004</v>
      </c>
      <c r="S5460">
        <v>-1.9111940000000001</v>
      </c>
      <c r="T5460">
        <v>-0.25475819999999999</v>
      </c>
      <c r="U5460">
        <v>-2.533112</v>
      </c>
      <c r="V5460">
        <v>0.21792439999999999</v>
      </c>
      <c r="W5460">
        <v>-5.7346469999999997E-2</v>
      </c>
      <c r="X5460">
        <v>0.97427940000000002</v>
      </c>
      <c r="Y5460">
        <v>0.52911730000000001</v>
      </c>
      <c r="Z5460">
        <v>6.8521579999999999E-2</v>
      </c>
      <c r="AA5460">
        <v>0.84577760000000002</v>
      </c>
      <c r="AB5460">
        <v>19</v>
      </c>
      <c r="AC5460">
        <v>-8.3805999999999798</v>
      </c>
      <c r="AD5460">
        <v>-1.11867788907</v>
      </c>
      <c r="AE5460">
        <v>-11.015999999999901</v>
      </c>
      <c r="AF5460">
        <v>7.3461423139450002</v>
      </c>
      <c r="AG5460">
        <v>-1.11867788907</v>
      </c>
      <c r="AH5460">
        <v>11.6250736047395</v>
      </c>
      <c r="AI5460">
        <v>94.650689157861393</v>
      </c>
      <c r="AJ5460">
        <v>57.710298134401903</v>
      </c>
      <c r="AK5460">
        <v>13.797086048577</v>
      </c>
      <c r="AL5460">
        <v>93.287514260907699</v>
      </c>
      <c r="AM5460">
        <v>77.391758278630107</v>
      </c>
      <c r="AN5460">
        <v>1.00000000550059</v>
      </c>
    </row>
    <row r="5461" spans="1:40" x14ac:dyDescent="0.25">
      <c r="A5461" t="str">
        <f>"20190303153916896"</f>
        <v>20190303153916896</v>
      </c>
      <c r="B5461" t="str">
        <f>"1551598756893748"</f>
        <v>1551598756893748</v>
      </c>
      <c r="C5461" t="s">
        <v>40</v>
      </c>
      <c r="D5461">
        <v>4.5205199999999897</v>
      </c>
      <c r="E5461">
        <v>0.61972269999999996</v>
      </c>
      <c r="F5461" t="s">
        <v>68</v>
      </c>
      <c r="G5461">
        <v>-199.91220000000001</v>
      </c>
      <c r="H5461" s="1">
        <v>-1.1929E-5</v>
      </c>
      <c r="I5461">
        <v>147.84880000000001</v>
      </c>
      <c r="J5461">
        <v>-191.64490000000001</v>
      </c>
      <c r="K5461">
        <v>1.1185959999999999</v>
      </c>
      <c r="L5461">
        <v>158.65190000000001</v>
      </c>
      <c r="M5461">
        <v>-8.996875E-2</v>
      </c>
      <c r="N5461">
        <v>-1.362965E-2</v>
      </c>
      <c r="O5461">
        <v>-0.99585129999999999</v>
      </c>
      <c r="P5461">
        <v>-0.30590030000000001</v>
      </c>
      <c r="Q5461">
        <v>-7.0902090000000001E-2</v>
      </c>
      <c r="R5461">
        <v>-0.94941980000000004</v>
      </c>
      <c r="S5461">
        <v>-1.9147190000000001</v>
      </c>
      <c r="T5461">
        <v>-0.2586021</v>
      </c>
      <c r="U5461">
        <v>-2.5284270000000002</v>
      </c>
      <c r="V5461">
        <v>0.21886249999999999</v>
      </c>
      <c r="W5461">
        <v>-5.902599E-2</v>
      </c>
      <c r="X5461">
        <v>0.97396870000000002</v>
      </c>
      <c r="Y5461">
        <v>0.52776040000000002</v>
      </c>
      <c r="Z5461">
        <v>6.9845840000000006E-2</v>
      </c>
      <c r="AA5461">
        <v>0.84651669999999901</v>
      </c>
      <c r="AB5461">
        <v>19</v>
      </c>
      <c r="AC5461">
        <v>-8.2673000000000005</v>
      </c>
      <c r="AD5461">
        <v>-1.1186079289999999</v>
      </c>
      <c r="AE5461">
        <v>-10.803100000000001</v>
      </c>
      <c r="AF5461">
        <v>7.2129630112973997</v>
      </c>
      <c r="AG5461">
        <v>-1.1186079289999999</v>
      </c>
      <c r="AH5461">
        <v>11.4258904034953</v>
      </c>
      <c r="AI5461">
        <v>94.732464138814095</v>
      </c>
      <c r="AJ5461">
        <v>57.736505100648003</v>
      </c>
      <c r="AK5461">
        <v>13.5583586991144</v>
      </c>
      <c r="AL5461">
        <v>93.383907198212299</v>
      </c>
      <c r="AM5461">
        <v>77.335320994352799</v>
      </c>
      <c r="AN5461">
        <v>0.99999994499070799</v>
      </c>
    </row>
    <row r="5462" spans="1:40" x14ac:dyDescent="0.25">
      <c r="A5462" t="str">
        <f>"20190303153916908"</f>
        <v>20190303153916908</v>
      </c>
      <c r="B5462" t="str">
        <f>"1551598756904484"</f>
        <v>1551598756904484</v>
      </c>
      <c r="C5462" t="s">
        <v>40</v>
      </c>
      <c r="D5462">
        <v>4.5458299999999996</v>
      </c>
      <c r="E5462">
        <v>0.61910679999999996</v>
      </c>
      <c r="F5462" t="s">
        <v>68</v>
      </c>
      <c r="G5462">
        <v>-197.59800000000001</v>
      </c>
      <c r="H5462" s="1">
        <v>-1.2359620000000001E-5</v>
      </c>
      <c r="I5462">
        <v>150.35489999999999</v>
      </c>
      <c r="J5462">
        <v>-191.65700000000001</v>
      </c>
      <c r="K5462">
        <v>1.1185449999999999</v>
      </c>
      <c r="L5462">
        <v>158.54990000000001</v>
      </c>
      <c r="M5462">
        <v>-9.2514330000000006E-2</v>
      </c>
      <c r="N5462">
        <v>-1.36348999999999E-2</v>
      </c>
      <c r="O5462">
        <v>-0.995618</v>
      </c>
      <c r="P5462">
        <v>-0.30863859999999999</v>
      </c>
      <c r="Q5462">
        <v>-7.1381529999999999E-2</v>
      </c>
      <c r="R5462">
        <v>-0.94849729999999999</v>
      </c>
      <c r="S5462">
        <v>-1.8265229999999999</v>
      </c>
      <c r="T5462">
        <v>-0.343209599999999</v>
      </c>
      <c r="U5462">
        <v>-2.5457000000000001</v>
      </c>
      <c r="V5462">
        <v>0.2191756</v>
      </c>
      <c r="W5462">
        <v>-5.9530399999999997E-2</v>
      </c>
      <c r="X5462">
        <v>0.9738677</v>
      </c>
      <c r="Y5462">
        <v>0.50212230000000002</v>
      </c>
      <c r="Z5462">
        <v>9.7986459999999997E-2</v>
      </c>
      <c r="AA5462">
        <v>0.85922749999999903</v>
      </c>
      <c r="AB5462">
        <v>19</v>
      </c>
      <c r="AC5462">
        <v>-5.9409999999999696</v>
      </c>
      <c r="AD5462">
        <v>-1.11855735962</v>
      </c>
      <c r="AE5462">
        <v>-8.1950000000000198</v>
      </c>
      <c r="AF5462">
        <v>5.0950695828589199</v>
      </c>
      <c r="AG5462">
        <v>-1.11855735962</v>
      </c>
      <c r="AH5462">
        <v>8.6044484924388094</v>
      </c>
      <c r="AI5462">
        <v>96.382449982211398</v>
      </c>
      <c r="AJ5462">
        <v>59.368372836161697</v>
      </c>
      <c r="AK5462">
        <v>10.0621786149902</v>
      </c>
      <c r="AL5462">
        <v>93.412858300756298</v>
      </c>
      <c r="AM5462">
        <v>77.316516059366506</v>
      </c>
      <c r="AN5462">
        <v>1.0000000546314001</v>
      </c>
    </row>
    <row r="5463" spans="1:40" x14ac:dyDescent="0.25">
      <c r="A5463" t="str">
        <f>"20190303153916920"</f>
        <v>20190303153916920</v>
      </c>
      <c r="B5463" t="str">
        <f>"1551598756914244"</f>
        <v>1551598756914244</v>
      </c>
      <c r="C5463" t="s">
        <v>40</v>
      </c>
      <c r="D5463">
        <v>4.5302550000000004</v>
      </c>
      <c r="E5463">
        <v>0.61905030000000005</v>
      </c>
      <c r="F5463" t="s">
        <v>68</v>
      </c>
      <c r="G5463">
        <v>-197.6122</v>
      </c>
      <c r="H5463" s="1">
        <v>-1.232817E-5</v>
      </c>
      <c r="I5463">
        <v>150.2757</v>
      </c>
      <c r="J5463">
        <v>-191.66890000000001</v>
      </c>
      <c r="K5463">
        <v>1.118493</v>
      </c>
      <c r="L5463">
        <v>158.4529</v>
      </c>
      <c r="M5463">
        <v>-9.5008759999999998E-2</v>
      </c>
      <c r="N5463">
        <v>-1.364049E-2</v>
      </c>
      <c r="O5463">
        <v>-0.99538320000000002</v>
      </c>
      <c r="P5463">
        <v>-0.31140259999999997</v>
      </c>
      <c r="Q5463">
        <v>-7.1584750000000003E-2</v>
      </c>
      <c r="R5463">
        <v>-0.94757809999999998</v>
      </c>
      <c r="S5463">
        <v>-1.829407</v>
      </c>
      <c r="T5463">
        <v>-0.34361259999999999</v>
      </c>
      <c r="U5463">
        <v>-2.541763</v>
      </c>
      <c r="V5463">
        <v>0.21956709999999999</v>
      </c>
      <c r="W5463">
        <v>-5.9759020000000003E-2</v>
      </c>
      <c r="X5463">
        <v>0.9737654</v>
      </c>
      <c r="Y5463">
        <v>0.50121890000000002</v>
      </c>
      <c r="Z5463">
        <v>9.8217230000000003E-2</v>
      </c>
      <c r="AA5463">
        <v>0.85972839999999995</v>
      </c>
      <c r="AB5463">
        <v>19</v>
      </c>
      <c r="AC5463">
        <v>-5.94329999999999</v>
      </c>
      <c r="AD5463">
        <v>-1.1185053281699999</v>
      </c>
      <c r="AE5463">
        <v>-8.1771999999999991</v>
      </c>
      <c r="AF5463">
        <v>5.0772738172996297</v>
      </c>
      <c r="AG5463">
        <v>-1.1185053281699999</v>
      </c>
      <c r="AH5463">
        <v>8.5996398972612393</v>
      </c>
      <c r="AI5463">
        <v>96.390519355238396</v>
      </c>
      <c r="AJ5463">
        <v>59.4421683268937</v>
      </c>
      <c r="AK5463">
        <v>10.049058162213401</v>
      </c>
      <c r="AL5463">
        <v>93.425980971662995</v>
      </c>
      <c r="AM5463">
        <v>77.2933036978405</v>
      </c>
      <c r="AN5463">
        <v>0.99999995305546396</v>
      </c>
    </row>
    <row r="5464" spans="1:40" x14ac:dyDescent="0.25">
      <c r="A5464" t="str">
        <f>"20190303153916931"</f>
        <v>20190303153916931</v>
      </c>
      <c r="B5464" t="str">
        <f>"1551598756924004"</f>
        <v>1551598756924004</v>
      </c>
      <c r="C5464" t="s">
        <v>40</v>
      </c>
      <c r="D5464">
        <v>4.5390490000000003</v>
      </c>
      <c r="E5464">
        <v>0.61917159999999904</v>
      </c>
      <c r="F5464" t="s">
        <v>68</v>
      </c>
      <c r="G5464">
        <v>-197.6318</v>
      </c>
      <c r="H5464" s="1">
        <v>-1.230648E-5</v>
      </c>
      <c r="I5464">
        <v>150.21700000000001</v>
      </c>
      <c r="J5464">
        <v>-191.6815</v>
      </c>
      <c r="K5464">
        <v>1.1184400000000001</v>
      </c>
      <c r="L5464">
        <v>158.35169999999999</v>
      </c>
      <c r="M5464">
        <v>-9.7639119999999996E-2</v>
      </c>
      <c r="N5464">
        <v>-1.36463E-2</v>
      </c>
      <c r="O5464">
        <v>-0.99512849999999997</v>
      </c>
      <c r="P5464">
        <v>-0.31436709999999901</v>
      </c>
      <c r="Q5464">
        <v>-7.1743290000000001E-2</v>
      </c>
      <c r="R5464">
        <v>-0.9465867</v>
      </c>
      <c r="S5464">
        <v>-1.8364259999999999</v>
      </c>
      <c r="T5464">
        <v>-0.34447319999999998</v>
      </c>
      <c r="U5464">
        <v>-2.5364689999999999</v>
      </c>
      <c r="V5464">
        <v>0.22003349999999999</v>
      </c>
      <c r="W5464">
        <v>-5.9945190000000002E-2</v>
      </c>
      <c r="X5464">
        <v>0.97364870000000003</v>
      </c>
      <c r="Y5464">
        <v>0.50132929999999998</v>
      </c>
      <c r="Z5464">
        <v>9.855804E-2</v>
      </c>
      <c r="AA5464">
        <v>0.85962510000000003</v>
      </c>
      <c r="AB5464">
        <v>19</v>
      </c>
      <c r="AC5464">
        <v>-5.9502999999999897</v>
      </c>
      <c r="AD5464">
        <v>-1.1184523064799901</v>
      </c>
      <c r="AE5464">
        <v>-8.1346999999999792</v>
      </c>
      <c r="AF5464">
        <v>5.0651481591973004</v>
      </c>
      <c r="AG5464">
        <v>-1.1184523064799901</v>
      </c>
      <c r="AH5464">
        <v>8.5713059162659597</v>
      </c>
      <c r="AI5464">
        <v>96.409672449789198</v>
      </c>
      <c r="AJ5464">
        <v>59.4193582541211</v>
      </c>
      <c r="AK5464">
        <v>10.018679880438601</v>
      </c>
      <c r="AL5464">
        <v>93.436666795398196</v>
      </c>
      <c r="AM5464">
        <v>77.265715056416397</v>
      </c>
      <c r="AN5464">
        <v>0.99999997896903703</v>
      </c>
    </row>
    <row r="5465" spans="1:40" x14ac:dyDescent="0.25">
      <c r="A5465" t="str">
        <f>"20190303153916942"</f>
        <v>20190303153916942</v>
      </c>
      <c r="B5465" t="str">
        <f>"1551598756933764"</f>
        <v>1551598756933764</v>
      </c>
      <c r="C5465" t="s">
        <v>40</v>
      </c>
      <c r="D5465">
        <v>4.5070220000000001</v>
      </c>
      <c r="E5465">
        <v>0.61938839999999995</v>
      </c>
      <c r="F5465" t="s">
        <v>68</v>
      </c>
      <c r="G5465">
        <v>-197.65960000000001</v>
      </c>
      <c r="H5465" s="1">
        <v>-1.2284309999999999E-5</v>
      </c>
      <c r="I5465">
        <v>150.15389999999999</v>
      </c>
      <c r="J5465">
        <v>-191.69460000000001</v>
      </c>
      <c r="K5465">
        <v>1.118382</v>
      </c>
      <c r="L5465">
        <v>158.25020000000001</v>
      </c>
      <c r="M5465">
        <v>-0.10035669999999999</v>
      </c>
      <c r="N5465">
        <v>-1.365279E-2</v>
      </c>
      <c r="O5465">
        <v>-0.99485780000000001</v>
      </c>
      <c r="P5465">
        <v>-0.31697579999999997</v>
      </c>
      <c r="Q5465">
        <v>-7.1628369999999997E-2</v>
      </c>
      <c r="R5465">
        <v>-0.94572489999999998</v>
      </c>
      <c r="S5465">
        <v>-1.8452</v>
      </c>
      <c r="T5465">
        <v>-0.34522029999999998</v>
      </c>
      <c r="U5465">
        <v>-2.5303339999999999</v>
      </c>
      <c r="V5465">
        <v>0.22005050000000001</v>
      </c>
      <c r="W5465">
        <v>-5.9854129999999998E-2</v>
      </c>
      <c r="X5465">
        <v>0.97365049999999997</v>
      </c>
      <c r="Y5465">
        <v>0.50189070000000002</v>
      </c>
      <c r="Z5465">
        <v>9.8853449999999995E-2</v>
      </c>
      <c r="AA5465">
        <v>0.85926349999999996</v>
      </c>
      <c r="AB5465">
        <v>19</v>
      </c>
      <c r="AC5465">
        <v>-5.9649999999999999</v>
      </c>
      <c r="AD5465">
        <v>-1.1183942843100001</v>
      </c>
      <c r="AE5465">
        <v>-8.09630000000001</v>
      </c>
      <c r="AF5465">
        <v>5.0597073237962498</v>
      </c>
      <c r="AG5465">
        <v>-1.1183942843100001</v>
      </c>
      <c r="AH5465">
        <v>8.5483744455630397</v>
      </c>
      <c r="AI5465">
        <v>96.423743842677695</v>
      </c>
      <c r="AJ5465">
        <v>59.379084944155302</v>
      </c>
      <c r="AK5465">
        <v>9.9963067999741799</v>
      </c>
      <c r="AL5465">
        <v>93.431439923119697</v>
      </c>
      <c r="AM5465">
        <v>77.264786054423396</v>
      </c>
      <c r="AN5465">
        <v>1.0000000177892701</v>
      </c>
    </row>
    <row r="5466" spans="1:40" x14ac:dyDescent="0.25">
      <c r="A5466" t="str">
        <f>"20190303153916954"</f>
        <v>20190303153916954</v>
      </c>
      <c r="B5466" t="str">
        <f>"1551598756944501"</f>
        <v>1551598756944501</v>
      </c>
      <c r="C5466" t="s">
        <v>40</v>
      </c>
      <c r="D5466">
        <v>4.564565</v>
      </c>
      <c r="E5466">
        <v>0.61929040000000002</v>
      </c>
      <c r="F5466" t="s">
        <v>68</v>
      </c>
      <c r="G5466">
        <v>-197.76390000000001</v>
      </c>
      <c r="H5466" s="1">
        <v>-1.2230259999999999E-5</v>
      </c>
      <c r="I5466">
        <v>149.9847</v>
      </c>
      <c r="J5466">
        <v>-191.70750000000001</v>
      </c>
      <c r="K5466">
        <v>1.1183270000000001</v>
      </c>
      <c r="L5466">
        <v>158.15190000000001</v>
      </c>
      <c r="M5466">
        <v>-0.1030261</v>
      </c>
      <c r="N5466">
        <v>-1.36592E-2</v>
      </c>
      <c r="O5466">
        <v>-0.99458489999999999</v>
      </c>
      <c r="P5466">
        <v>-0.31969350000000002</v>
      </c>
      <c r="Q5466">
        <v>-7.1762899999999893E-2</v>
      </c>
      <c r="R5466">
        <v>-0.94479959999999996</v>
      </c>
      <c r="S5466">
        <v>-1.854034</v>
      </c>
      <c r="T5466">
        <v>-0.34164270000000002</v>
      </c>
      <c r="U5466">
        <v>-2.5248870000000001</v>
      </c>
      <c r="V5466">
        <v>0.22022910000000001</v>
      </c>
      <c r="W5466">
        <v>-6.0013150000000001E-2</v>
      </c>
      <c r="X5466">
        <v>0.97360029999999997</v>
      </c>
      <c r="Y5466">
        <v>0.50248090000000001</v>
      </c>
      <c r="Z5466">
        <v>9.7736550000000005E-2</v>
      </c>
      <c r="AA5466">
        <v>0.85904629999999904</v>
      </c>
      <c r="AB5466">
        <v>19</v>
      </c>
      <c r="AC5466">
        <v>-6.0563999999999902</v>
      </c>
      <c r="AD5466">
        <v>-1.1183392302599999</v>
      </c>
      <c r="AE5466">
        <v>-8.1671999999999993</v>
      </c>
      <c r="AF5466">
        <v>5.1207045500839898</v>
      </c>
      <c r="AG5466">
        <v>-1.1183392302599999</v>
      </c>
      <c r="AH5466">
        <v>8.6431953459764408</v>
      </c>
      <c r="AI5466">
        <v>96.351983258988696</v>
      </c>
      <c r="AJ5466">
        <v>59.355165733306002</v>
      </c>
      <c r="AK5466">
        <v>10.1082700553506</v>
      </c>
      <c r="AL5466">
        <v>93.440567603658195</v>
      </c>
      <c r="AM5466">
        <v>77.254151543835107</v>
      </c>
      <c r="AN5466">
        <v>0.99999998940991097</v>
      </c>
    </row>
    <row r="5467" spans="1:40" x14ac:dyDescent="0.25">
      <c r="A5467" t="str">
        <f>"20190303153916965"</f>
        <v>20190303153916965</v>
      </c>
      <c r="B5467" t="str">
        <f>"1551598756954260"</f>
        <v>1551598756954260</v>
      </c>
      <c r="C5467" t="s">
        <v>40</v>
      </c>
      <c r="D5467">
        <v>4.5080730000000004</v>
      </c>
      <c r="E5467">
        <v>0.61921079999999995</v>
      </c>
      <c r="F5467" t="s">
        <v>68</v>
      </c>
      <c r="G5467">
        <v>-197.68680000000001</v>
      </c>
      <c r="H5467" s="1">
        <v>-1.224698E-5</v>
      </c>
      <c r="I5467">
        <v>150.0556</v>
      </c>
      <c r="J5467">
        <v>-191.72120000000001</v>
      </c>
      <c r="K5467">
        <v>1.1182730000000001</v>
      </c>
      <c r="L5467">
        <v>158.0504</v>
      </c>
      <c r="M5467">
        <v>-0.1058356</v>
      </c>
      <c r="N5467">
        <v>-1.3666070000000001E-2</v>
      </c>
      <c r="O5467">
        <v>-0.99428989999999995</v>
      </c>
      <c r="P5467">
        <v>-0.32284849999999998</v>
      </c>
      <c r="Q5467">
        <v>-7.1684620000000004E-2</v>
      </c>
      <c r="R5467">
        <v>-0.94373209999999996</v>
      </c>
      <c r="S5467">
        <v>-1.860565</v>
      </c>
      <c r="T5467">
        <v>-0.347991099999999</v>
      </c>
      <c r="U5467">
        <v>-2.5193180000000002</v>
      </c>
      <c r="V5467">
        <v>0.2207229</v>
      </c>
      <c r="W5467">
        <v>-5.996253E-2</v>
      </c>
      <c r="X5467">
        <v>0.97349160000000001</v>
      </c>
      <c r="Y5467">
        <v>0.50226099999999996</v>
      </c>
      <c r="Z5467">
        <v>9.9854600000000002E-2</v>
      </c>
      <c r="AA5467">
        <v>0.85893129999999995</v>
      </c>
      <c r="AB5467">
        <v>19</v>
      </c>
      <c r="AC5467">
        <v>-5.9655999999999896</v>
      </c>
      <c r="AD5467">
        <v>-1.11828524697999</v>
      </c>
      <c r="AE5467">
        <v>-7.9947999999999899</v>
      </c>
      <c r="AF5467">
        <v>5.0227505109189403</v>
      </c>
      <c r="AG5467">
        <v>-1.11828524697999</v>
      </c>
      <c r="AH5467">
        <v>8.4748118851865293</v>
      </c>
      <c r="AI5467">
        <v>96.476216678320199</v>
      </c>
      <c r="AJ5467">
        <v>59.346131015641198</v>
      </c>
      <c r="AK5467">
        <v>9.9146871396856699</v>
      </c>
      <c r="AL5467">
        <v>93.437662024209899</v>
      </c>
      <c r="AM5467">
        <v>77.225129769800901</v>
      </c>
      <c r="AN5467">
        <v>0.99999999942948503</v>
      </c>
    </row>
    <row r="5468" spans="1:40" x14ac:dyDescent="0.25">
      <c r="A5468" t="str">
        <f>"20190303153916977"</f>
        <v>20190303153916977</v>
      </c>
      <c r="B5468" t="str">
        <f>"1551598756973780"</f>
        <v>1551598756973780</v>
      </c>
      <c r="C5468" t="s">
        <v>40</v>
      </c>
      <c r="D5468">
        <v>4.5227909999999998</v>
      </c>
      <c r="E5468">
        <v>0.61916459999999995</v>
      </c>
      <c r="F5468" t="s">
        <v>68</v>
      </c>
      <c r="G5468">
        <v>-197.7122</v>
      </c>
      <c r="H5468" s="1">
        <v>-1.222378E-5</v>
      </c>
      <c r="I5468">
        <v>149.99100000000001</v>
      </c>
      <c r="J5468">
        <v>-191.73439999999999</v>
      </c>
      <c r="K5468">
        <v>1.118217</v>
      </c>
      <c r="L5468">
        <v>157.95529999999999</v>
      </c>
      <c r="M5468">
        <v>-0.1085291</v>
      </c>
      <c r="N5468">
        <v>-1.3672699999999999E-2</v>
      </c>
      <c r="O5468">
        <v>-0.99399939999999998</v>
      </c>
      <c r="P5468">
        <v>-0.32588109999999998</v>
      </c>
      <c r="Q5468">
        <v>-7.195203E-2</v>
      </c>
      <c r="R5468">
        <v>-0.94266899999999998</v>
      </c>
      <c r="S5468">
        <v>-1.8682399999999999</v>
      </c>
      <c r="T5468">
        <v>-0.34872760000000003</v>
      </c>
      <c r="U5468">
        <v>-2.513245</v>
      </c>
      <c r="V5468">
        <v>0.22120799999999999</v>
      </c>
      <c r="W5468">
        <v>-6.025552E-2</v>
      </c>
      <c r="X5468">
        <v>0.97336339999999999</v>
      </c>
      <c r="Y5468">
        <v>0.5025868</v>
      </c>
      <c r="Z5468">
        <v>0.1001611</v>
      </c>
      <c r="AA5468">
        <v>0.85870499999999905</v>
      </c>
      <c r="AB5468">
        <v>19</v>
      </c>
      <c r="AC5468">
        <v>-5.9778000000000002</v>
      </c>
      <c r="AD5468">
        <v>-1.11822922378</v>
      </c>
      <c r="AE5468">
        <v>-7.9642999999999802</v>
      </c>
      <c r="AF5468">
        <v>5.0148096169407097</v>
      </c>
      <c r="AG5468">
        <v>-1.11822922378</v>
      </c>
      <c r="AH5468">
        <v>8.4594029817776093</v>
      </c>
      <c r="AI5468">
        <v>96.487193067911406</v>
      </c>
      <c r="AJ5468">
        <v>59.340159257647102</v>
      </c>
      <c r="AK5468">
        <v>9.8974871002282505</v>
      </c>
      <c r="AL5468">
        <v>93.454479495194306</v>
      </c>
      <c r="AM5468">
        <v>77.196347090198302</v>
      </c>
      <c r="AN5468">
        <v>1.0000000077070099</v>
      </c>
    </row>
    <row r="5469" spans="1:40" x14ac:dyDescent="0.25">
      <c r="A5469" t="str">
        <f>"20190303153916988"</f>
        <v>20190303153916988</v>
      </c>
      <c r="B5469" t="str">
        <f>"1551598756983540"</f>
        <v>1551598756983540</v>
      </c>
      <c r="C5469" t="s">
        <v>40</v>
      </c>
      <c r="D5469">
        <v>4.531047</v>
      </c>
      <c r="E5469">
        <v>0.61918649999999997</v>
      </c>
      <c r="F5469" t="s">
        <v>68</v>
      </c>
      <c r="G5469">
        <v>-197.74979999999999</v>
      </c>
      <c r="H5469" s="1">
        <v>-1.219862E-5</v>
      </c>
      <c r="I5469">
        <v>149.91679999999999</v>
      </c>
      <c r="J5469">
        <v>-191.7483</v>
      </c>
      <c r="K5469">
        <v>1.1181650000000001</v>
      </c>
      <c r="L5469">
        <v>157.85650000000001</v>
      </c>
      <c r="M5469">
        <v>-0.11135050000000001</v>
      </c>
      <c r="N5469">
        <v>-1.3679449999999999E-2</v>
      </c>
      <c r="O5469">
        <v>-0.99368730000000005</v>
      </c>
      <c r="P5469">
        <v>-0.3292716</v>
      </c>
      <c r="Q5469">
        <v>-7.1811570000000005E-2</v>
      </c>
      <c r="R5469">
        <v>-0.94150089999999997</v>
      </c>
      <c r="S5469">
        <v>-1.8762049999999999</v>
      </c>
      <c r="T5469">
        <v>-0.34878039999999999</v>
      </c>
      <c r="U5469">
        <v>-2.5072329999999998</v>
      </c>
      <c r="V5469">
        <v>0.22193930000000001</v>
      </c>
      <c r="W5469">
        <v>-6.0143589999999997E-2</v>
      </c>
      <c r="X5469">
        <v>0.97320379999999995</v>
      </c>
      <c r="Y5469">
        <v>0.50286909999999996</v>
      </c>
      <c r="Z5469">
        <v>0.10024089999999999</v>
      </c>
      <c r="AA5469">
        <v>0.85853040000000003</v>
      </c>
      <c r="AB5469">
        <v>19</v>
      </c>
      <c r="AC5469">
        <v>-6.0014999999999903</v>
      </c>
      <c r="AD5469">
        <v>-1.11817719861999</v>
      </c>
      <c r="AE5469">
        <v>-7.93970000000001</v>
      </c>
      <c r="AF5469">
        <v>5.01667703739444</v>
      </c>
      <c r="AG5469">
        <v>-1.11817719861999</v>
      </c>
      <c r="AH5469">
        <v>8.45196488920989</v>
      </c>
      <c r="AI5469">
        <v>96.490456569835004</v>
      </c>
      <c r="AJ5469">
        <v>59.308683963414801</v>
      </c>
      <c r="AK5469">
        <v>9.8920715339847298</v>
      </c>
      <c r="AL5469">
        <v>93.448054855509199</v>
      </c>
      <c r="AM5469">
        <v>77.153384253247694</v>
      </c>
      <c r="AN5469">
        <v>0.99999997031850796</v>
      </c>
    </row>
    <row r="5470" spans="1:40" x14ac:dyDescent="0.25">
      <c r="A5470" t="str">
        <f>"20190303153917000"</f>
        <v>20190303153917000</v>
      </c>
      <c r="B5470" t="str">
        <f>"1551598756994276"</f>
        <v>1551598756994276</v>
      </c>
      <c r="C5470" t="s">
        <v>40</v>
      </c>
      <c r="D5470">
        <v>4.5672649999999999</v>
      </c>
      <c r="E5470">
        <v>0.61931959999999997</v>
      </c>
      <c r="F5470" t="s">
        <v>68</v>
      </c>
      <c r="G5470">
        <v>-197.81290000000001</v>
      </c>
      <c r="H5470" s="1">
        <v>-1.21652E-5</v>
      </c>
      <c r="I5470">
        <v>149.81280000000001</v>
      </c>
      <c r="J5470">
        <v>-191.762</v>
      </c>
      <c r="K5470">
        <v>1.1181179999999999</v>
      </c>
      <c r="L5470">
        <v>157.76329999999999</v>
      </c>
      <c r="M5470">
        <v>-0.1140972</v>
      </c>
      <c r="N5470">
        <v>-1.368628E-2</v>
      </c>
      <c r="O5470">
        <v>-0.99337529999999996</v>
      </c>
      <c r="P5470">
        <v>-0.33296209999999998</v>
      </c>
      <c r="Q5470">
        <v>-7.1583279999999999E-2</v>
      </c>
      <c r="R5470">
        <v>-0.94021920000000003</v>
      </c>
      <c r="S5470">
        <v>-1.8853</v>
      </c>
      <c r="T5470">
        <v>-0.3476071</v>
      </c>
      <c r="U5470">
        <v>-2.5005489999999999</v>
      </c>
      <c r="V5470">
        <v>0.22305800000000001</v>
      </c>
      <c r="W5470">
        <v>-5.994563E-2</v>
      </c>
      <c r="X5470">
        <v>0.97296020000000005</v>
      </c>
      <c r="Y5470">
        <v>0.5035982</v>
      </c>
      <c r="Z5470">
        <v>9.9921490000000002E-2</v>
      </c>
      <c r="AA5470">
        <v>0.85814020000000002</v>
      </c>
      <c r="AB5470">
        <v>19</v>
      </c>
      <c r="AC5470">
        <v>-6.0509000000000102</v>
      </c>
      <c r="AD5470">
        <v>-1.1181301652</v>
      </c>
      <c r="AE5470">
        <v>-7.9504999999999697</v>
      </c>
      <c r="AF5470">
        <v>5.0410280395470499</v>
      </c>
      <c r="AG5470">
        <v>-1.1181301652</v>
      </c>
      <c r="AH5470">
        <v>8.4827854385037291</v>
      </c>
      <c r="AI5470">
        <v>96.464795221798994</v>
      </c>
      <c r="AJ5470">
        <v>59.278438426273297</v>
      </c>
      <c r="AK5470">
        <v>9.9307516109064409</v>
      </c>
      <c r="AL5470">
        <v>93.436692149425696</v>
      </c>
      <c r="AM5470">
        <v>77.087670410396299</v>
      </c>
      <c r="AN5470">
        <v>0.99999995035206701</v>
      </c>
    </row>
    <row r="5471" spans="1:40" x14ac:dyDescent="0.25">
      <c r="A5471" t="str">
        <f>"20190303153917013"</f>
        <v>20190303153917013</v>
      </c>
      <c r="B5471" t="str">
        <f>"1551598757004036"</f>
        <v>1551598757004036</v>
      </c>
      <c r="C5471" t="s">
        <v>40</v>
      </c>
      <c r="D5471">
        <v>4.5191410000000003</v>
      </c>
      <c r="E5471">
        <v>0.61943329999999996</v>
      </c>
      <c r="F5471" t="s">
        <v>68</v>
      </c>
      <c r="G5471">
        <v>-197.86109999999999</v>
      </c>
      <c r="H5471" s="1">
        <v>-1.2144650000000001E-5</v>
      </c>
      <c r="I5471">
        <v>149.745</v>
      </c>
      <c r="J5471">
        <v>-191.7792</v>
      </c>
      <c r="K5471">
        <v>1.1180669999999999</v>
      </c>
      <c r="L5471">
        <v>157.64760000000001</v>
      </c>
      <c r="M5471">
        <v>-0.1175416</v>
      </c>
      <c r="N5471">
        <v>-1.3694710000000001E-2</v>
      </c>
      <c r="O5471">
        <v>-0.99297369999999996</v>
      </c>
      <c r="P5471">
        <v>-0.33711950000000002</v>
      </c>
      <c r="Q5471">
        <v>-7.1162539999999996E-2</v>
      </c>
      <c r="R5471">
        <v>-0.93876870000000001</v>
      </c>
      <c r="S5471">
        <v>-1.8961490000000001</v>
      </c>
      <c r="T5471">
        <v>-0.3476127</v>
      </c>
      <c r="U5471">
        <v>-2.4927980000000001</v>
      </c>
      <c r="V5471">
        <v>0.22397929999999999</v>
      </c>
      <c r="W5471">
        <v>-5.9557720000000001E-2</v>
      </c>
      <c r="X5471">
        <v>0.97277239999999998</v>
      </c>
      <c r="Y5471">
        <v>0.50425600000000004</v>
      </c>
      <c r="Z5471">
        <v>9.9985149999999995E-2</v>
      </c>
      <c r="AA5471">
        <v>0.85774640000000002</v>
      </c>
      <c r="AB5471">
        <v>19</v>
      </c>
      <c r="AC5471">
        <v>-6.0818999999999903</v>
      </c>
      <c r="AD5471">
        <v>-1.11807914465</v>
      </c>
      <c r="AE5471">
        <v>-7.9025999999999996</v>
      </c>
      <c r="AF5471">
        <v>5.0473094803600604</v>
      </c>
      <c r="AG5471">
        <v>-1.11807914465</v>
      </c>
      <c r="AH5471">
        <v>8.4564429710149795</v>
      </c>
      <c r="AI5471">
        <v>96.477141142365895</v>
      </c>
      <c r="AJ5471">
        <v>59.1687279282269</v>
      </c>
      <c r="AK5471">
        <v>9.9114510383829604</v>
      </c>
      <c r="AL5471">
        <v>93.414426605753505</v>
      </c>
      <c r="AM5471">
        <v>77.033718375079104</v>
      </c>
      <c r="AN5471">
        <v>0.999999995520924</v>
      </c>
    </row>
    <row r="5472" spans="1:40" x14ac:dyDescent="0.25">
      <c r="A5472" t="str">
        <f>"20190303153917026"</f>
        <v>20190303153917026</v>
      </c>
      <c r="B5472" t="str">
        <f>"1551598757023556"</f>
        <v>1551598757023556</v>
      </c>
      <c r="C5472" t="s">
        <v>40</v>
      </c>
      <c r="D5472">
        <v>4.5599369999999997</v>
      </c>
      <c r="E5472">
        <v>0.61968080000000003</v>
      </c>
      <c r="F5472" t="s">
        <v>68</v>
      </c>
      <c r="G5472">
        <v>-197.92699999999999</v>
      </c>
      <c r="H5472" s="1">
        <v>-1.211245E-5</v>
      </c>
      <c r="I5472">
        <v>149.64269999999999</v>
      </c>
      <c r="J5472">
        <v>-191.79679999999999</v>
      </c>
      <c r="K5472">
        <v>1.118012</v>
      </c>
      <c r="L5472">
        <v>157.5325</v>
      </c>
      <c r="M5472">
        <v>-0.12104479999999999</v>
      </c>
      <c r="N5472">
        <v>-1.3703430000000001E-2</v>
      </c>
      <c r="O5472">
        <v>-0.99255260000000001</v>
      </c>
      <c r="P5472">
        <v>-0.3417114</v>
      </c>
      <c r="Q5472">
        <v>-7.0620890000000006E-2</v>
      </c>
      <c r="R5472">
        <v>-0.93714790000000003</v>
      </c>
      <c r="S5472">
        <v>-1.907913</v>
      </c>
      <c r="T5472">
        <v>-0.34698250000000003</v>
      </c>
      <c r="U5472">
        <v>-2.4842379999999999</v>
      </c>
      <c r="V5472">
        <v>0.22529859999999999</v>
      </c>
      <c r="W5472">
        <v>-5.905295E-2</v>
      </c>
      <c r="X5472">
        <v>0.97249850000000004</v>
      </c>
      <c r="Y5472">
        <v>0.5052065</v>
      </c>
      <c r="Z5472">
        <v>9.9847989999999998E-2</v>
      </c>
      <c r="AA5472">
        <v>0.85720289999999999</v>
      </c>
      <c r="AB5472">
        <v>19</v>
      </c>
      <c r="AC5472">
        <v>-6.1302000000000296</v>
      </c>
      <c r="AD5472">
        <v>-1.1180241124500001</v>
      </c>
      <c r="AE5472">
        <v>-7.8898000000000001</v>
      </c>
      <c r="AF5472">
        <v>5.0665677209078899</v>
      </c>
      <c r="AG5472">
        <v>-1.1180241124500001</v>
      </c>
      <c r="AH5472">
        <v>8.4678458850078293</v>
      </c>
      <c r="AI5472">
        <v>96.464025642820104</v>
      </c>
      <c r="AJ5472">
        <v>59.106643716725003</v>
      </c>
      <c r="AK5472">
        <v>9.9309868753719304</v>
      </c>
      <c r="AL5472">
        <v>93.385454333122098</v>
      </c>
      <c r="AM5472">
        <v>76.956399250833002</v>
      </c>
      <c r="AN5472">
        <v>1.0000000212839499</v>
      </c>
    </row>
    <row r="5473" spans="1:40" x14ac:dyDescent="0.25">
      <c r="A5473" t="str">
        <f>"20190303153917044"</f>
        <v>20190303153917044</v>
      </c>
      <c r="B5473" t="str">
        <f>"1551598757034292"</f>
        <v>1551598757034292</v>
      </c>
      <c r="C5473" t="s">
        <v>40</v>
      </c>
      <c r="D5473">
        <v>4.5846150000000003</v>
      </c>
      <c r="E5473">
        <v>0.61974600000000002</v>
      </c>
      <c r="F5473" t="s">
        <v>68</v>
      </c>
      <c r="G5473">
        <v>-198.0479</v>
      </c>
      <c r="H5473" s="1">
        <v>-1.208771E-5</v>
      </c>
      <c r="I5473">
        <v>149.48400000000001</v>
      </c>
      <c r="J5473">
        <v>-191.81970000000001</v>
      </c>
      <c r="K5473">
        <v>1.1179509999999999</v>
      </c>
      <c r="L5473">
        <v>157.38839999999999</v>
      </c>
      <c r="M5473">
        <v>-0.12553410000000001</v>
      </c>
      <c r="N5473">
        <v>-1.371473E-2</v>
      </c>
      <c r="O5473">
        <v>-0.9919945</v>
      </c>
      <c r="P5473">
        <v>-0.34839700000000001</v>
      </c>
      <c r="Q5473">
        <v>-7.0228440000000003E-2</v>
      </c>
      <c r="R5473">
        <v>-0.93471280000000001</v>
      </c>
      <c r="S5473">
        <v>-1.9219059999999999</v>
      </c>
      <c r="T5473">
        <v>-0.34373619999999999</v>
      </c>
      <c r="U5473">
        <v>-2.4745029999999999</v>
      </c>
      <c r="V5473">
        <v>0.22783210000000001</v>
      </c>
      <c r="W5473">
        <v>-5.8714759999999998E-2</v>
      </c>
      <c r="X5473">
        <v>0.97192849999999997</v>
      </c>
      <c r="Y5473">
        <v>0.50603100000000001</v>
      </c>
      <c r="Z5473">
        <v>9.8866480000000007E-2</v>
      </c>
      <c r="AA5473">
        <v>0.85683019999999999</v>
      </c>
      <c r="AB5473">
        <v>19</v>
      </c>
      <c r="AC5473">
        <v>-6.2281999999999798</v>
      </c>
      <c r="AD5473">
        <v>-1.11796308771</v>
      </c>
      <c r="AE5473">
        <v>-7.9043999999999803</v>
      </c>
      <c r="AF5473">
        <v>5.1233258129204504</v>
      </c>
      <c r="AG5473">
        <v>-1.11796308771</v>
      </c>
      <c r="AH5473">
        <v>8.5186495278321708</v>
      </c>
      <c r="AI5473">
        <v>96.416758899359905</v>
      </c>
      <c r="AJ5473">
        <v>58.976261743455602</v>
      </c>
      <c r="AK5473">
        <v>10.003284392081101</v>
      </c>
      <c r="AL5473">
        <v>93.366044037069699</v>
      </c>
      <c r="AM5473">
        <v>76.807357594565502</v>
      </c>
      <c r="AN5473">
        <v>0.99999994897225697</v>
      </c>
    </row>
    <row r="5474" spans="1:40" x14ac:dyDescent="0.25">
      <c r="A5474" t="str">
        <f>"20190303153917066"</f>
        <v>20190303153917066</v>
      </c>
      <c r="B5474" t="str">
        <f>"1551598757053812"</f>
        <v>1551598757053812</v>
      </c>
      <c r="C5474" t="s">
        <v>40</v>
      </c>
      <c r="D5474">
        <v>4.5650589999999998</v>
      </c>
      <c r="E5474">
        <v>0.61978120000000003</v>
      </c>
      <c r="F5474" t="s">
        <v>68</v>
      </c>
      <c r="G5474">
        <v>-198.1283</v>
      </c>
      <c r="H5474" s="1">
        <v>-1.20764E-5</v>
      </c>
      <c r="I5474">
        <v>149.3871</v>
      </c>
      <c r="J5474">
        <v>-191.85120000000001</v>
      </c>
      <c r="K5474">
        <v>1.1178600000000001</v>
      </c>
      <c r="L5474">
        <v>157.1969</v>
      </c>
      <c r="M5474">
        <v>-0.13165189999999999</v>
      </c>
      <c r="N5474">
        <v>-1.373008E-2</v>
      </c>
      <c r="O5474">
        <v>-0.99120109999999995</v>
      </c>
      <c r="P5474">
        <v>-0.35679080000000002</v>
      </c>
      <c r="Q5474">
        <v>-7.0527049999999994E-2</v>
      </c>
      <c r="R5474">
        <v>-0.93151839999999997</v>
      </c>
      <c r="S5474">
        <v>-1.940048</v>
      </c>
      <c r="T5474">
        <v>-0.34379710000000002</v>
      </c>
      <c r="U5474">
        <v>-2.4605869999999999</v>
      </c>
      <c r="V5474">
        <v>0.23056270000000001</v>
      </c>
      <c r="W5474">
        <v>-5.9079810000000003E-2</v>
      </c>
      <c r="X5474">
        <v>0.97126230000000002</v>
      </c>
      <c r="Y5474">
        <v>0.50696379999999996</v>
      </c>
      <c r="Z5474">
        <v>9.9002610000000005E-2</v>
      </c>
      <c r="AA5474">
        <v>0.85626290000000005</v>
      </c>
      <c r="AB5474">
        <v>19</v>
      </c>
      <c r="AC5474">
        <v>-6.2770999999999901</v>
      </c>
      <c r="AD5474">
        <v>-1.1178720764000001</v>
      </c>
      <c r="AE5474">
        <v>-7.8097999999999903</v>
      </c>
      <c r="AF5474">
        <v>5.1303238386897396</v>
      </c>
      <c r="AG5474">
        <v>-1.1178720764000001</v>
      </c>
      <c r="AH5474">
        <v>8.4629405517168408</v>
      </c>
      <c r="AI5474">
        <v>96.444574551620406</v>
      </c>
      <c r="AJ5474">
        <v>58.775314436130699</v>
      </c>
      <c r="AK5474">
        <v>9.9594790752788001</v>
      </c>
      <c r="AL5474">
        <v>93.386995997145604</v>
      </c>
      <c r="AM5474">
        <v>76.646041312459204</v>
      </c>
      <c r="AN5474">
        <v>1.0000000189911</v>
      </c>
    </row>
    <row r="5475" spans="1:40" x14ac:dyDescent="0.25">
      <c r="A5475" t="str">
        <f>"20190303153917086"</f>
        <v>20190303153917086</v>
      </c>
      <c r="B5475" t="str">
        <f>"1551598757084069"</f>
        <v>1551598757084069</v>
      </c>
      <c r="C5475" t="s">
        <v>40</v>
      </c>
      <c r="D5475">
        <v>4.6007249999999997</v>
      </c>
      <c r="E5475">
        <v>0.61969600000000002</v>
      </c>
      <c r="F5475" t="s">
        <v>68</v>
      </c>
      <c r="G5475">
        <v>-198.19919999999999</v>
      </c>
      <c r="H5475" s="1">
        <v>-1.206483E-5</v>
      </c>
      <c r="I5475">
        <v>149.2955</v>
      </c>
      <c r="J5475">
        <v>-191.8811</v>
      </c>
      <c r="K5475">
        <v>1.117774</v>
      </c>
      <c r="L5475">
        <v>157.023</v>
      </c>
      <c r="M5475">
        <v>-0.13737170000000001</v>
      </c>
      <c r="N5475">
        <v>-1.3744370000000001E-2</v>
      </c>
      <c r="O5475">
        <v>-0.99042439999999998</v>
      </c>
      <c r="P5475">
        <v>-0.36511909999999997</v>
      </c>
      <c r="Q5475">
        <v>-7.1718920000000005E-2</v>
      </c>
      <c r="R5475">
        <v>-0.92819439999999998</v>
      </c>
      <c r="S5475">
        <v>-1.9624790000000001</v>
      </c>
      <c r="T5475">
        <v>-0.3455859</v>
      </c>
      <c r="U5475">
        <v>-2.442688</v>
      </c>
      <c r="V5475">
        <v>0.23364119999999999</v>
      </c>
      <c r="W5475">
        <v>-6.0340860000000003E-2</v>
      </c>
      <c r="X5475">
        <v>0.97044870000000005</v>
      </c>
      <c r="Y5475">
        <v>0.50978939999999995</v>
      </c>
      <c r="Z5475">
        <v>9.9716159999999998E-2</v>
      </c>
      <c r="AA5475">
        <v>0.8545007</v>
      </c>
      <c r="AB5475">
        <v>19</v>
      </c>
      <c r="AC5475">
        <v>-6.3180999999999798</v>
      </c>
      <c r="AD5475">
        <v>-1.11778606483</v>
      </c>
      <c r="AE5475">
        <v>-7.7274999999999903</v>
      </c>
      <c r="AF5475">
        <v>5.1321900905656204</v>
      </c>
      <c r="AG5475">
        <v>-1.11778606483</v>
      </c>
      <c r="AH5475">
        <v>8.4166863811827195</v>
      </c>
      <c r="AI5475">
        <v>96.469071534819193</v>
      </c>
      <c r="AJ5475">
        <v>58.6266760361802</v>
      </c>
      <c r="AK5475">
        <v>9.9211607411439005</v>
      </c>
      <c r="AL5475">
        <v>93.459378214506103</v>
      </c>
      <c r="AM5475">
        <v>76.463325452874003</v>
      </c>
      <c r="AN5475">
        <v>0.99999995452733303</v>
      </c>
    </row>
    <row r="5476" spans="1:40" x14ac:dyDescent="0.25">
      <c r="A5476" t="str">
        <f>"20190303153917099"</f>
        <v>20190303153917099</v>
      </c>
      <c r="B5476" t="str">
        <f>"1551598757093828"</f>
        <v>1551598757093828</v>
      </c>
      <c r="C5476" t="s">
        <v>40</v>
      </c>
      <c r="D5476">
        <v>4.5840969999999999</v>
      </c>
      <c r="E5476">
        <v>0.6194345</v>
      </c>
      <c r="F5476" t="s">
        <v>68</v>
      </c>
      <c r="G5476">
        <v>-198.20079999999999</v>
      </c>
      <c r="H5476" s="1">
        <v>-1.2065829999999999E-5</v>
      </c>
      <c r="I5476">
        <v>149.29820000000001</v>
      </c>
      <c r="J5476">
        <v>-191.89940000000001</v>
      </c>
      <c r="K5476">
        <v>1.117723</v>
      </c>
      <c r="L5476">
        <v>156.91990000000001</v>
      </c>
      <c r="M5476">
        <v>-0.14085420000000001</v>
      </c>
      <c r="N5476">
        <v>-1.3753369999999999E-2</v>
      </c>
      <c r="O5476">
        <v>-0.98993489999999995</v>
      </c>
      <c r="P5476">
        <v>-0.37031639999999999</v>
      </c>
      <c r="Q5476">
        <v>-7.1660429999999997E-2</v>
      </c>
      <c r="R5476">
        <v>-0.92613760000000001</v>
      </c>
      <c r="S5476">
        <v>-1.9836579999999999</v>
      </c>
      <c r="T5476">
        <v>-0.35085139999999998</v>
      </c>
      <c r="U5476">
        <v>-2.4246669999999999</v>
      </c>
      <c r="V5476">
        <v>0.23565810000000001</v>
      </c>
      <c r="W5476">
        <v>-6.0326129999999999E-2</v>
      </c>
      <c r="X5476">
        <v>0.96996190000000004</v>
      </c>
      <c r="Y5476">
        <v>0.51421989999999995</v>
      </c>
      <c r="Z5476">
        <v>0.1015528</v>
      </c>
      <c r="AA5476">
        <v>0.85162479999999996</v>
      </c>
      <c r="AB5476">
        <v>19</v>
      </c>
      <c r="AC5476">
        <v>-6.3013999999999699</v>
      </c>
      <c r="AD5476">
        <v>-1.11773506582999</v>
      </c>
      <c r="AE5476">
        <v>-7.6216999999999997</v>
      </c>
      <c r="AF5476">
        <v>5.0997678041479197</v>
      </c>
      <c r="AG5476">
        <v>-1.11773506582999</v>
      </c>
      <c r="AH5476">
        <v>8.3269883126158994</v>
      </c>
      <c r="AI5476">
        <v>96.530151459898207</v>
      </c>
      <c r="AJ5476">
        <v>58.515095238148596</v>
      </c>
      <c r="AK5476">
        <v>9.8283110294725393</v>
      </c>
      <c r="AL5476">
        <v>93.458532429550104</v>
      </c>
      <c r="AM5476">
        <v>76.344230307080693</v>
      </c>
      <c r="AN5476">
        <v>1.0000000347539899</v>
      </c>
    </row>
    <row r="5477" spans="1:40" x14ac:dyDescent="0.25">
      <c r="A5477" t="str">
        <f>"20190303153917111"</f>
        <v>20190303153917111</v>
      </c>
      <c r="B5477" t="str">
        <f>"1551598757103588"</f>
        <v>1551598757103588</v>
      </c>
      <c r="C5477" t="s">
        <v>40</v>
      </c>
      <c r="D5477">
        <v>4.6270360000000004</v>
      </c>
      <c r="E5477">
        <v>0.6194345</v>
      </c>
      <c r="F5477" t="s">
        <v>68</v>
      </c>
      <c r="G5477">
        <v>-198.2191</v>
      </c>
      <c r="H5477" s="1">
        <v>-1.206254E-5</v>
      </c>
      <c r="I5477">
        <v>149.27350000000001</v>
      </c>
      <c r="J5477">
        <v>-191.9179</v>
      </c>
      <c r="K5477">
        <v>1.1176740000000001</v>
      </c>
      <c r="L5477">
        <v>156.81790000000001</v>
      </c>
      <c r="M5477">
        <v>-0.14432979999999901</v>
      </c>
      <c r="N5477">
        <v>-1.37623E-2</v>
      </c>
      <c r="O5477">
        <v>-0.98943389999999998</v>
      </c>
      <c r="P5477">
        <v>-0.37534630000000002</v>
      </c>
      <c r="Q5477">
        <v>-7.1510389999999993E-2</v>
      </c>
      <c r="R5477">
        <v>-0.9241222</v>
      </c>
      <c r="S5477">
        <v>-1.9952700000000001</v>
      </c>
      <c r="T5477">
        <v>-0.35289510000000002</v>
      </c>
      <c r="U5477">
        <v>-2.4141539999999999</v>
      </c>
      <c r="V5477">
        <v>0.23751530000000001</v>
      </c>
      <c r="W5477">
        <v>-6.0218760000000003E-2</v>
      </c>
      <c r="X5477">
        <v>0.96951540000000003</v>
      </c>
      <c r="Y5477">
        <v>0.51541579999999998</v>
      </c>
      <c r="Z5477">
        <v>0.1023178</v>
      </c>
      <c r="AA5477">
        <v>0.85080999999999996</v>
      </c>
      <c r="AB5477">
        <v>19</v>
      </c>
      <c r="AC5477">
        <v>-6.3011999999999899</v>
      </c>
      <c r="AD5477">
        <v>-1.11768606254</v>
      </c>
      <c r="AE5477">
        <v>-7.5443999999999898</v>
      </c>
      <c r="AF5477">
        <v>5.0805413081541397</v>
      </c>
      <c r="AG5477">
        <v>-1.11768606254</v>
      </c>
      <c r="AH5477">
        <v>8.2680335918263399</v>
      </c>
      <c r="AI5477">
        <v>96.5700931877264</v>
      </c>
      <c r="AJ5477">
        <v>58.430106700282302</v>
      </c>
      <c r="AK5477">
        <v>9.7683929893214998</v>
      </c>
      <c r="AL5477">
        <v>93.452369622470997</v>
      </c>
      <c r="AM5477">
        <v>76.2345898269065</v>
      </c>
      <c r="AN5477">
        <v>0.99999996381359302</v>
      </c>
    </row>
    <row r="5478" spans="1:40" x14ac:dyDescent="0.25">
      <c r="A5478" t="str">
        <f>"20190303153917123"</f>
        <v>20190303153917123</v>
      </c>
      <c r="B5478" t="str">
        <f>"1551598757114324"</f>
        <v>1551598757114324</v>
      </c>
      <c r="C5478" t="s">
        <v>40</v>
      </c>
      <c r="D5478">
        <v>4.5985449999999997</v>
      </c>
      <c r="E5478">
        <v>0.63487990000000005</v>
      </c>
      <c r="F5478" t="s">
        <v>68</v>
      </c>
      <c r="G5478">
        <v>-198.2841</v>
      </c>
      <c r="H5478" s="1">
        <v>-1.205453E-5</v>
      </c>
      <c r="I5478">
        <v>149.1994</v>
      </c>
      <c r="J5478">
        <v>-191.9366</v>
      </c>
      <c r="K5478">
        <v>1.117626</v>
      </c>
      <c r="L5478">
        <v>156.71780000000001</v>
      </c>
      <c r="M5478">
        <v>-0.1478257</v>
      </c>
      <c r="N5478">
        <v>-1.377195E-2</v>
      </c>
      <c r="O5478">
        <v>-0.98891759999999995</v>
      </c>
      <c r="P5478">
        <v>-0.38043359999999998</v>
      </c>
      <c r="Q5478">
        <v>-7.088622E-2</v>
      </c>
      <c r="R5478">
        <v>-0.92208760000000001</v>
      </c>
      <c r="S5478">
        <v>-2.0083009999999999</v>
      </c>
      <c r="T5478">
        <v>-0.35258640000000002</v>
      </c>
      <c r="U5478">
        <v>-2.4033509999999998</v>
      </c>
      <c r="V5478">
        <v>0.2394202</v>
      </c>
      <c r="W5478">
        <v>-5.9638869999999997E-2</v>
      </c>
      <c r="X5478">
        <v>0.96908269999999996</v>
      </c>
      <c r="Y5478">
        <v>0.51699209999999995</v>
      </c>
      <c r="Z5478">
        <v>0.1022988</v>
      </c>
      <c r="AA5478">
        <v>0.84985540000000004</v>
      </c>
      <c r="AB5478">
        <v>19</v>
      </c>
      <c r="AC5478">
        <v>-6.3474999999999904</v>
      </c>
      <c r="AD5478">
        <v>-1.11763805453</v>
      </c>
      <c r="AE5478">
        <v>-7.5184000000000104</v>
      </c>
      <c r="AF5478">
        <v>5.1004266711241604</v>
      </c>
      <c r="AG5478">
        <v>-1.11763805453</v>
      </c>
      <c r="AH5478">
        <v>8.2675293737560498</v>
      </c>
      <c r="AI5478">
        <v>96.563111825477506</v>
      </c>
      <c r="AJ5478">
        <v>58.328621451915701</v>
      </c>
      <c r="AK5478">
        <v>9.7783183111600191</v>
      </c>
      <c r="AL5478">
        <v>93.419084240368903</v>
      </c>
      <c r="AM5478">
        <v>76.122483111308497</v>
      </c>
      <c r="AN5478">
        <v>1.0000000532111</v>
      </c>
    </row>
    <row r="5479" spans="1:40" x14ac:dyDescent="0.25">
      <c r="A5479" t="str">
        <f>"20190303153917134"</f>
        <v>20190303153917134</v>
      </c>
      <c r="B5479" t="str">
        <f>"1551598757124084"</f>
        <v>1551598757124084</v>
      </c>
      <c r="C5479" t="s">
        <v>40</v>
      </c>
      <c r="D5479">
        <v>4.2747019999999996</v>
      </c>
      <c r="E5479">
        <v>0.63487990000000005</v>
      </c>
      <c r="F5479" t="s">
        <v>68</v>
      </c>
      <c r="G5479">
        <v>-199.70189999999999</v>
      </c>
      <c r="H5479" s="1">
        <v>-1.1996710000000001E-5</v>
      </c>
      <c r="I5479">
        <v>148.17789999999999</v>
      </c>
      <c r="J5479">
        <v>-191.95590000000001</v>
      </c>
      <c r="K5479">
        <v>1.117575</v>
      </c>
      <c r="L5479">
        <v>156.6165</v>
      </c>
      <c r="M5479">
        <v>-0.15140880000000001</v>
      </c>
      <c r="N5479">
        <v>-1.3781989999999999E-2</v>
      </c>
      <c r="O5479">
        <v>-0.98837520000000001</v>
      </c>
      <c r="P5479">
        <v>-0.385656</v>
      </c>
      <c r="Q5479">
        <v>-6.9847519999999996E-2</v>
      </c>
      <c r="R5479">
        <v>-0.91999520000000001</v>
      </c>
      <c r="S5479">
        <v>-2.1356959999999998</v>
      </c>
      <c r="T5479">
        <v>-0.30738310000000002</v>
      </c>
      <c r="U5479">
        <v>-2.3487239999999998</v>
      </c>
      <c r="V5479">
        <v>0.24138979999999999</v>
      </c>
      <c r="W5479">
        <v>-5.8645790000000003E-2</v>
      </c>
      <c r="X5479">
        <v>0.96865460000000003</v>
      </c>
      <c r="Y5479">
        <v>0.55009200000000003</v>
      </c>
      <c r="Z5479">
        <v>8.6719649999999995E-2</v>
      </c>
      <c r="AA5479">
        <v>0.83058929999999997</v>
      </c>
      <c r="AB5479">
        <v>19</v>
      </c>
      <c r="AC5479">
        <v>-7.74599999999998</v>
      </c>
      <c r="AD5479">
        <v>-1.1175869967100001</v>
      </c>
      <c r="AE5479">
        <v>-8.4385999999999992</v>
      </c>
      <c r="AF5479">
        <v>6.3187331000242004</v>
      </c>
      <c r="AG5479">
        <v>-1.1175869967100001</v>
      </c>
      <c r="AH5479">
        <v>9.4245062018700292</v>
      </c>
      <c r="AI5479">
        <v>95.625170724386393</v>
      </c>
      <c r="AJ5479">
        <v>56.159817712522297</v>
      </c>
      <c r="AK5479">
        <v>11.4016097913252</v>
      </c>
      <c r="AL5479">
        <v>93.362085188514101</v>
      </c>
      <c r="AM5479">
        <v>76.006845202905097</v>
      </c>
      <c r="AN5479">
        <v>1.0000000491649601</v>
      </c>
    </row>
    <row r="5480" spans="1:40" x14ac:dyDescent="0.25">
      <c r="A5480" t="str">
        <f>"20190303153917146"</f>
        <v>20190303153917146</v>
      </c>
      <c r="B5480" t="str">
        <f>"1551598757144580"</f>
        <v>1551598757144580</v>
      </c>
      <c r="C5480" t="s">
        <v>40</v>
      </c>
      <c r="D5480">
        <v>4.5131690000000004</v>
      </c>
      <c r="E5480">
        <v>0.64751819999999904</v>
      </c>
      <c r="F5480" t="s">
        <v>68</v>
      </c>
      <c r="G5480">
        <v>-199.8631</v>
      </c>
      <c r="H5480" s="1">
        <v>-1.197234E-5</v>
      </c>
      <c r="I5480">
        <v>148.01820000000001</v>
      </c>
      <c r="J5480">
        <v>-191.9751</v>
      </c>
      <c r="K5480">
        <v>1.117524</v>
      </c>
      <c r="L5480">
        <v>156.51750000000001</v>
      </c>
      <c r="M5480">
        <v>-0.1549632</v>
      </c>
      <c r="N5480">
        <v>-1.3792169999999999E-2</v>
      </c>
      <c r="O5480">
        <v>-0.98782409999999998</v>
      </c>
      <c r="P5480">
        <v>-0.3906945</v>
      </c>
      <c r="Q5480">
        <v>-6.8821999999999994E-2</v>
      </c>
      <c r="R5480">
        <v>-0.91794419999999999</v>
      </c>
      <c r="S5480">
        <v>-2.1490939999999998</v>
      </c>
      <c r="T5480">
        <v>-0.30374879999999999</v>
      </c>
      <c r="U5480">
        <v>-2.3369450000000001</v>
      </c>
      <c r="V5480">
        <v>0.2432038</v>
      </c>
      <c r="W5480">
        <v>-5.7664149999999997E-2</v>
      </c>
      <c r="X5480">
        <v>0.9682596</v>
      </c>
      <c r="Y5480">
        <v>0.55182609999999999</v>
      </c>
      <c r="Z5480">
        <v>8.5620979999999999E-2</v>
      </c>
      <c r="AA5480">
        <v>0.82955230000000002</v>
      </c>
      <c r="AB5480">
        <v>19</v>
      </c>
      <c r="AC5480">
        <v>-7.8879999999999999</v>
      </c>
      <c r="AD5480">
        <v>-1.11753597234</v>
      </c>
      <c r="AE5480">
        <v>-8.4992999999999999</v>
      </c>
      <c r="AF5480">
        <v>6.41590028700523</v>
      </c>
      <c r="AG5480">
        <v>-1.11753597234</v>
      </c>
      <c r="AH5480">
        <v>9.5305544759198302</v>
      </c>
      <c r="AI5480">
        <v>95.555726739317294</v>
      </c>
      <c r="AJ5480">
        <v>56.051845497532803</v>
      </c>
      <c r="AK5480">
        <v>11.543142196158801</v>
      </c>
      <c r="AL5480">
        <v>93.305746345333702</v>
      </c>
      <c r="AM5480">
        <v>75.900345164642403</v>
      </c>
      <c r="AN5480">
        <v>0.99999994776090895</v>
      </c>
    </row>
    <row r="5481" spans="1:40" x14ac:dyDescent="0.25">
      <c r="A5481" t="str">
        <f>"20190303153917159"</f>
        <v>20190303153917159</v>
      </c>
      <c r="B5481" t="str">
        <f>"1551598757154340"</f>
        <v>1551598757154340</v>
      </c>
      <c r="C5481" t="s">
        <v>40</v>
      </c>
      <c r="D5481">
        <v>4.3609749999999998</v>
      </c>
      <c r="E5481">
        <v>0.65421309999999999</v>
      </c>
      <c r="F5481" t="s">
        <v>68</v>
      </c>
      <c r="G5481">
        <v>-202.0917</v>
      </c>
      <c r="H5481" s="1">
        <v>-1.051194E-5</v>
      </c>
      <c r="I5481">
        <v>146.24440000000001</v>
      </c>
      <c r="J5481">
        <v>-191.99520000000001</v>
      </c>
      <c r="K5481">
        <v>1.1174740000000001</v>
      </c>
      <c r="L5481">
        <v>156.4169</v>
      </c>
      <c r="M5481">
        <v>-0.15865319999999999</v>
      </c>
      <c r="N5481">
        <v>-1.380317E-2</v>
      </c>
      <c r="O5481">
        <v>-0.98723810000000001</v>
      </c>
      <c r="P5481">
        <v>-0.39603709999999998</v>
      </c>
      <c r="Q5481">
        <v>-6.8557430000000003E-2</v>
      </c>
      <c r="R5481">
        <v>-0.91567200000000004</v>
      </c>
      <c r="S5481">
        <v>-2.2548979999999998</v>
      </c>
      <c r="T5481">
        <v>-0.24908859999999999</v>
      </c>
      <c r="U5481">
        <v>-2.2897799999999999</v>
      </c>
      <c r="V5481">
        <v>0.24521709999999999</v>
      </c>
      <c r="W5481">
        <v>-5.7448310000000002E-2</v>
      </c>
      <c r="X5481">
        <v>0.96776459999999997</v>
      </c>
      <c r="Y5481">
        <v>0.57783289999999998</v>
      </c>
      <c r="Z5481">
        <v>6.731558E-2</v>
      </c>
      <c r="AA5481">
        <v>0.81337429999999999</v>
      </c>
      <c r="AB5481">
        <v>19</v>
      </c>
      <c r="AC5481">
        <v>-10.096499999999899</v>
      </c>
      <c r="AD5481">
        <v>-1.1174845119399901</v>
      </c>
      <c r="AE5481">
        <v>-10.1724999999999</v>
      </c>
      <c r="AF5481">
        <v>8.3040623481721294</v>
      </c>
      <c r="AG5481">
        <v>-1.1174845119399901</v>
      </c>
      <c r="AH5481">
        <v>11.575260900838501</v>
      </c>
      <c r="AI5481">
        <v>94.485258733164599</v>
      </c>
      <c r="AJ5481">
        <v>54.344440424012603</v>
      </c>
      <c r="AK5481">
        <v>14.2896076936785</v>
      </c>
      <c r="AL5481">
        <v>93.293358825167104</v>
      </c>
      <c r="AM5481">
        <v>75.7813610876008</v>
      </c>
      <c r="AN5481">
        <v>1.00000002773371</v>
      </c>
    </row>
    <row r="5482" spans="1:40" x14ac:dyDescent="0.25">
      <c r="A5482" t="str">
        <f>"20190303153917170"</f>
        <v>20190303153917170</v>
      </c>
      <c r="B5482" t="str">
        <f>"1551598757164100"</f>
        <v>1551598757164100</v>
      </c>
      <c r="C5482" t="s">
        <v>40</v>
      </c>
      <c r="D5482">
        <v>4.5337180000000004</v>
      </c>
      <c r="E5482">
        <v>0.65499810000000003</v>
      </c>
      <c r="F5482" t="s">
        <v>68</v>
      </c>
      <c r="G5482">
        <v>-205.78630000000001</v>
      </c>
      <c r="H5482" s="1">
        <v>-8.1218659999999996E-6</v>
      </c>
      <c r="I5482">
        <v>142.96889999999999</v>
      </c>
      <c r="J5482">
        <v>-192.01599999999999</v>
      </c>
      <c r="K5482">
        <v>1.117416</v>
      </c>
      <c r="L5482">
        <v>156.31450000000001</v>
      </c>
      <c r="M5482">
        <v>-0.16245109999999999</v>
      </c>
      <c r="N5482">
        <v>-1.3814409999999999E-2</v>
      </c>
      <c r="O5482">
        <v>-0.98661989999999999</v>
      </c>
      <c r="P5482">
        <v>-0.40142709999999998</v>
      </c>
      <c r="Q5482">
        <v>-6.8837060000000005E-2</v>
      </c>
      <c r="R5482">
        <v>-0.91330060000000002</v>
      </c>
      <c r="S5482">
        <v>-2.3175050000000001</v>
      </c>
      <c r="T5482">
        <v>-0.1877867</v>
      </c>
      <c r="U5482">
        <v>-2.2598720000000001</v>
      </c>
      <c r="V5482">
        <v>0.24718699999999999</v>
      </c>
      <c r="W5482">
        <v>-5.7778490000000002E-2</v>
      </c>
      <c r="X5482">
        <v>0.96724359999999998</v>
      </c>
      <c r="Y5482">
        <v>0.59197559999999905</v>
      </c>
      <c r="Z5482">
        <v>4.7360180000000002E-2</v>
      </c>
      <c r="AA5482">
        <v>0.80456319999999903</v>
      </c>
      <c r="AB5482">
        <v>19</v>
      </c>
      <c r="AC5482">
        <v>-13.770300000000001</v>
      </c>
      <c r="AD5482">
        <v>-1.1174241218659999</v>
      </c>
      <c r="AE5482">
        <v>-13.345599999999999</v>
      </c>
      <c r="AF5482">
        <v>11.3804909717696</v>
      </c>
      <c r="AG5482">
        <v>-1.1174241218659999</v>
      </c>
      <c r="AH5482">
        <v>15.353371469402299</v>
      </c>
      <c r="AI5482">
        <v>93.346234651043204</v>
      </c>
      <c r="AJ5482">
        <v>53.452779774644398</v>
      </c>
      <c r="AK5482">
        <v>19.143934467713699</v>
      </c>
      <c r="AL5482">
        <v>93.312308397908097</v>
      </c>
      <c r="AM5482">
        <v>75.664424209651301</v>
      </c>
      <c r="AN5482">
        <v>0.999999974308319</v>
      </c>
    </row>
    <row r="5483" spans="1:40" x14ac:dyDescent="0.25">
      <c r="A5483" t="str">
        <f>"20190303153917183"</f>
        <v>20190303153917183</v>
      </c>
      <c r="B5483" t="str">
        <f>"1551598757173860"</f>
        <v>1551598757173860</v>
      </c>
      <c r="C5483" t="s">
        <v>40</v>
      </c>
      <c r="D5483">
        <v>4.3380159999999997</v>
      </c>
      <c r="E5483">
        <v>0.65904770000000001</v>
      </c>
      <c r="F5483" t="s">
        <v>68</v>
      </c>
      <c r="G5483">
        <v>-205.73490000000001</v>
      </c>
      <c r="H5483" s="1">
        <v>-8.190172E-6</v>
      </c>
      <c r="I5483">
        <v>143.1414</v>
      </c>
      <c r="J5483">
        <v>-192.03890000000001</v>
      </c>
      <c r="K5483">
        <v>1.117354</v>
      </c>
      <c r="L5483">
        <v>156.2054</v>
      </c>
      <c r="M5483">
        <v>-0.16660359999999999</v>
      </c>
      <c r="N5483">
        <v>-1.382748E-2</v>
      </c>
      <c r="O5483">
        <v>-0.985927</v>
      </c>
      <c r="P5483">
        <v>-0.40755259999999999</v>
      </c>
      <c r="Q5483">
        <v>-6.9577109999999998E-2</v>
      </c>
      <c r="R5483">
        <v>-0.91052750000000005</v>
      </c>
      <c r="S5483">
        <v>-2.3364410000000002</v>
      </c>
      <c r="T5483">
        <v>-0.19030639999999999</v>
      </c>
      <c r="U5483">
        <v>-2.243484</v>
      </c>
      <c r="V5483">
        <v>0.2496012</v>
      </c>
      <c r="W5483">
        <v>-5.8579369999999999E-2</v>
      </c>
      <c r="X5483">
        <v>0.96657530000000003</v>
      </c>
      <c r="Y5483">
        <v>0.59474680000000002</v>
      </c>
      <c r="Z5483">
        <v>4.8203450000000002E-2</v>
      </c>
      <c r="AA5483">
        <v>0.80246660000000003</v>
      </c>
      <c r="AB5483">
        <v>19</v>
      </c>
      <c r="AC5483">
        <v>-13.6959999999999</v>
      </c>
      <c r="AD5483">
        <v>-1.1173621901719999</v>
      </c>
      <c r="AE5483">
        <v>-13.063999999999901</v>
      </c>
      <c r="AF5483">
        <v>11.288489249343799</v>
      </c>
      <c r="AG5483">
        <v>-1.1173621901719999</v>
      </c>
      <c r="AH5483">
        <v>15.11074182896</v>
      </c>
      <c r="AI5483">
        <v>93.390221205390901</v>
      </c>
      <c r="AJ5483">
        <v>53.238406769308</v>
      </c>
      <c r="AK5483">
        <v>18.894787810876799</v>
      </c>
      <c r="AL5483">
        <v>93.358273025896395</v>
      </c>
      <c r="AM5483">
        <v>75.520680024572798</v>
      </c>
      <c r="AN5483">
        <v>1.00000005610056</v>
      </c>
    </row>
    <row r="5484" spans="1:40" x14ac:dyDescent="0.25">
      <c r="A5484" t="str">
        <f>"20190303153917198"</f>
        <v>20190303153917198</v>
      </c>
      <c r="B5484" t="str">
        <f>"1551598757194356"</f>
        <v>1551598757194356</v>
      </c>
      <c r="C5484" t="s">
        <v>40</v>
      </c>
      <c r="D5484">
        <v>4.5196699999999996</v>
      </c>
      <c r="E5484">
        <v>0.66240980000000005</v>
      </c>
      <c r="F5484" t="s">
        <v>68</v>
      </c>
      <c r="G5484">
        <v>-209.27549999999999</v>
      </c>
      <c r="H5484" s="1">
        <v>-5.83106199999999E-6</v>
      </c>
      <c r="I5484">
        <v>140.15260000000001</v>
      </c>
      <c r="J5484">
        <v>-192.06460000000001</v>
      </c>
      <c r="K5484">
        <v>1.117278</v>
      </c>
      <c r="L5484">
        <v>156.08600000000001</v>
      </c>
      <c r="M5484">
        <v>-0.1712352</v>
      </c>
      <c r="N5484">
        <v>-1.384237E-2</v>
      </c>
      <c r="O5484">
        <v>-0.98513300000000004</v>
      </c>
      <c r="P5484">
        <v>-0.41680600000000001</v>
      </c>
      <c r="Q5484">
        <v>-7.2119989999999995E-2</v>
      </c>
      <c r="R5484">
        <v>-0.90612979999999999</v>
      </c>
      <c r="S5484">
        <v>-2.3808289999999999</v>
      </c>
      <c r="T5484">
        <v>-0.15433649999999999</v>
      </c>
      <c r="U5484">
        <v>-2.2173159999999998</v>
      </c>
      <c r="V5484">
        <v>0.25489420000000002</v>
      </c>
      <c r="W5484">
        <v>-6.1226490000000001E-2</v>
      </c>
      <c r="X5484">
        <v>0.96502860000000001</v>
      </c>
      <c r="Y5484">
        <v>0.60357069999999902</v>
      </c>
      <c r="Z5484">
        <v>3.658347E-2</v>
      </c>
      <c r="AA5484">
        <v>0.79646969999999995</v>
      </c>
      <c r="AB5484">
        <v>19</v>
      </c>
      <c r="AC5484">
        <v>-17.210899999999899</v>
      </c>
      <c r="AD5484">
        <v>-1.1172838310619999</v>
      </c>
      <c r="AE5484">
        <v>-15.933400000000001</v>
      </c>
      <c r="AF5484">
        <v>14.1958140998314</v>
      </c>
      <c r="AG5484">
        <v>-1.1172838310619999</v>
      </c>
      <c r="AH5484">
        <v>18.603198729386602</v>
      </c>
      <c r="AI5484">
        <v>92.733535300122597</v>
      </c>
      <c r="AJ5484">
        <v>52.6533056026718</v>
      </c>
      <c r="AK5484">
        <v>23.427515106839198</v>
      </c>
      <c r="AL5484">
        <v>93.510215033209803</v>
      </c>
      <c r="AM5484">
        <v>75.204293089861196</v>
      </c>
      <c r="AN5484">
        <v>0.99999996754465903</v>
      </c>
    </row>
    <row r="5485" spans="1:40" x14ac:dyDescent="0.25">
      <c r="A5485" t="str">
        <f>"20190303153917209"</f>
        <v>20190303153917209</v>
      </c>
      <c r="B5485" t="str">
        <f>"1551598757204116"</f>
        <v>1551598757204116</v>
      </c>
      <c r="C5485" t="s">
        <v>40</v>
      </c>
      <c r="D5485">
        <v>4.5405379999999997</v>
      </c>
      <c r="E5485">
        <v>0.66191089999999997</v>
      </c>
      <c r="F5485" t="s">
        <v>42</v>
      </c>
      <c r="G5485">
        <v>-214.35659999999999</v>
      </c>
      <c r="H5485" s="1">
        <v>-3.2844970000000002E-6</v>
      </c>
      <c r="I5485">
        <v>136.02889999999999</v>
      </c>
      <c r="J5485">
        <v>-192.08629999999999</v>
      </c>
      <c r="K5485">
        <v>1.117219</v>
      </c>
      <c r="L5485">
        <v>155.98650000000001</v>
      </c>
      <c r="M5485">
        <v>-0.17514199999999999</v>
      </c>
      <c r="N5485">
        <v>-1.385494E-2</v>
      </c>
      <c r="O5485">
        <v>-0.98444580000000004</v>
      </c>
      <c r="P5485">
        <v>-0.42330849999999998</v>
      </c>
      <c r="Q5485">
        <v>-7.3181579999999996E-2</v>
      </c>
      <c r="R5485">
        <v>-0.90302530000000003</v>
      </c>
      <c r="S5485">
        <v>-2.427765</v>
      </c>
      <c r="T5485">
        <v>-0.1216801</v>
      </c>
      <c r="U5485">
        <v>-2.1843720000000002</v>
      </c>
      <c r="V5485">
        <v>0.25799319999999998</v>
      </c>
      <c r="W5485">
        <v>-6.2358009999999998E-2</v>
      </c>
      <c r="X5485">
        <v>0.96413219999999999</v>
      </c>
      <c r="Y5485">
        <v>0.6143111</v>
      </c>
      <c r="Z5485">
        <v>2.6098039999999999E-2</v>
      </c>
      <c r="AA5485">
        <v>0.78863219999999901</v>
      </c>
      <c r="AB5485">
        <v>19</v>
      </c>
      <c r="AC5485">
        <v>-22.270299999999899</v>
      </c>
      <c r="AD5485">
        <v>-1.1172222844969999</v>
      </c>
      <c r="AE5485">
        <v>-19.957599999999999</v>
      </c>
      <c r="AF5485">
        <v>18.404568088499499</v>
      </c>
      <c r="AG5485">
        <v>-1.1172222844969999</v>
      </c>
      <c r="AH5485">
        <v>23.517074198083399</v>
      </c>
      <c r="AI5485">
        <v>92.142548390884102</v>
      </c>
      <c r="AJ5485">
        <v>51.953106560387297</v>
      </c>
      <c r="AK5485">
        <v>29.883592337524501</v>
      </c>
      <c r="AL5485">
        <v>93.575170528799006</v>
      </c>
      <c r="AM5485">
        <v>75.019144282392602</v>
      </c>
      <c r="AN5485">
        <v>0.99999995586711898</v>
      </c>
    </row>
    <row r="5486" spans="1:40" x14ac:dyDescent="0.25">
      <c r="A5486" t="str">
        <f>"20190303153917221"</f>
        <v>20190303153917221</v>
      </c>
      <c r="B5486" t="str">
        <f>"1551598757213876"</f>
        <v>1551598757213876</v>
      </c>
      <c r="C5486" t="s">
        <v>40</v>
      </c>
      <c r="D5486">
        <v>4.514812</v>
      </c>
      <c r="E5486">
        <v>0.66199759999999996</v>
      </c>
      <c r="F5486" t="s">
        <v>42</v>
      </c>
      <c r="G5486">
        <v>-212.44909999999999</v>
      </c>
      <c r="H5486" s="1">
        <v>-3.8550590000000001E-6</v>
      </c>
      <c r="I5486">
        <v>137.89570000000001</v>
      </c>
      <c r="J5486">
        <v>-192.10910000000001</v>
      </c>
      <c r="K5486">
        <v>1.1171599999999999</v>
      </c>
      <c r="L5486">
        <v>155.8861</v>
      </c>
      <c r="M5486">
        <v>-0.17919889999999999</v>
      </c>
      <c r="N5486">
        <v>-1.386889E-2</v>
      </c>
      <c r="O5486">
        <v>-0.98371520000000001</v>
      </c>
      <c r="P5486">
        <v>-0.42991849999999998</v>
      </c>
      <c r="Q5486">
        <v>-7.3587150000000004E-2</v>
      </c>
      <c r="R5486">
        <v>-0.89986429999999995</v>
      </c>
      <c r="S5486">
        <v>-2.439819</v>
      </c>
      <c r="T5486">
        <v>-0.13386300000000001</v>
      </c>
      <c r="U5486">
        <v>-2.1676030000000002</v>
      </c>
      <c r="V5486">
        <v>0.26107560000000002</v>
      </c>
      <c r="W5486">
        <v>-6.2834020000000004E-2</v>
      </c>
      <c r="X5486">
        <v>0.96327119999999999</v>
      </c>
      <c r="Y5486">
        <v>0.61592219999999998</v>
      </c>
      <c r="Z5486">
        <v>3.007218E-2</v>
      </c>
      <c r="AA5486">
        <v>0.78723279999999995</v>
      </c>
      <c r="AB5486">
        <v>19</v>
      </c>
      <c r="AC5486">
        <v>-20.3399999999999</v>
      </c>
      <c r="AD5486">
        <v>-1.117163855059</v>
      </c>
      <c r="AE5486">
        <v>-17.990399999999902</v>
      </c>
      <c r="AF5486">
        <v>16.758155744019199</v>
      </c>
      <c r="AG5486">
        <v>-1.117163855059</v>
      </c>
      <c r="AH5486">
        <v>21.308320465830398</v>
      </c>
      <c r="AI5486">
        <v>92.359856144022203</v>
      </c>
      <c r="AJ5486">
        <v>51.8163421606789</v>
      </c>
      <c r="AK5486">
        <v>27.131685537289801</v>
      </c>
      <c r="AL5486">
        <v>93.602497346818097</v>
      </c>
      <c r="AM5486">
        <v>74.835422894258102</v>
      </c>
      <c r="AN5486">
        <v>0.99999999386708005</v>
      </c>
    </row>
    <row r="5487" spans="1:40" x14ac:dyDescent="0.25">
      <c r="A5487" t="str">
        <f>"20190303153917236"</f>
        <v>20190303153917236</v>
      </c>
      <c r="B5487" t="str">
        <f>"1551598757234372"</f>
        <v>1551598757234372</v>
      </c>
      <c r="C5487" t="s">
        <v>40</v>
      </c>
      <c r="D5487">
        <v>4.4993319999999999</v>
      </c>
      <c r="E5487">
        <v>0.66221569999999996</v>
      </c>
      <c r="F5487" t="s">
        <v>42</v>
      </c>
      <c r="G5487">
        <v>-213.05520000000001</v>
      </c>
      <c r="H5487" s="1">
        <v>-3.629025E-6</v>
      </c>
      <c r="I5487">
        <v>137.5547</v>
      </c>
      <c r="J5487">
        <v>-192.13550000000001</v>
      </c>
      <c r="K5487">
        <v>1.1170929999999999</v>
      </c>
      <c r="L5487">
        <v>155.77109999999999</v>
      </c>
      <c r="M5487">
        <v>-0.18391150000000001</v>
      </c>
      <c r="N5487">
        <v>-1.3885089999999999E-2</v>
      </c>
      <c r="O5487">
        <v>-0.98284479999999996</v>
      </c>
      <c r="P5487">
        <v>-0.43713639999999998</v>
      </c>
      <c r="Q5487">
        <v>-7.3759340000000007E-2</v>
      </c>
      <c r="R5487">
        <v>-0.89636579999999999</v>
      </c>
      <c r="S5487">
        <v>-2.4562379999999999</v>
      </c>
      <c r="T5487">
        <v>-0.13100349999999999</v>
      </c>
      <c r="U5487">
        <v>-2.1496279999999999</v>
      </c>
      <c r="V5487">
        <v>0.26418520000000001</v>
      </c>
      <c r="W5487">
        <v>-6.3081750000000006E-2</v>
      </c>
      <c r="X5487">
        <v>0.96240680000000001</v>
      </c>
      <c r="Y5487">
        <v>0.61803790000000003</v>
      </c>
      <c r="Z5487">
        <v>2.921725E-2</v>
      </c>
      <c r="AA5487">
        <v>0.7856052</v>
      </c>
      <c r="AB5487">
        <v>19</v>
      </c>
      <c r="AC5487">
        <v>-20.919699999999999</v>
      </c>
      <c r="AD5487">
        <v>-1.117096629025</v>
      </c>
      <c r="AE5487">
        <v>-18.2164</v>
      </c>
      <c r="AF5487">
        <v>17.1844019033697</v>
      </c>
      <c r="AG5487">
        <v>-1.117096629025</v>
      </c>
      <c r="AH5487">
        <v>21.718141192495899</v>
      </c>
      <c r="AI5487">
        <v>92.309859729144804</v>
      </c>
      <c r="AJ5487">
        <v>51.647318574455298</v>
      </c>
      <c r="AK5487">
        <v>27.716948434348001</v>
      </c>
      <c r="AL5487">
        <v>93.616719466084703</v>
      </c>
      <c r="AM5487">
        <v>74.650134890321496</v>
      </c>
      <c r="AN5487">
        <v>0.99999998788417099</v>
      </c>
    </row>
    <row r="5488" spans="1:40" x14ac:dyDescent="0.25">
      <c r="A5488" t="str">
        <f>"20190303153917250"</f>
        <v>20190303153917250</v>
      </c>
      <c r="B5488" t="str">
        <f>"1551598757244132"</f>
        <v>1551598757244132</v>
      </c>
      <c r="C5488" t="s">
        <v>40</v>
      </c>
      <c r="D5488">
        <v>4.476261</v>
      </c>
      <c r="E5488">
        <v>0.66176279999999998</v>
      </c>
      <c r="F5488" t="s">
        <v>42</v>
      </c>
      <c r="G5488">
        <v>-213.55109999999999</v>
      </c>
      <c r="H5488" s="1">
        <v>-3.4313979999999998E-6</v>
      </c>
      <c r="I5488">
        <v>137.34739999999999</v>
      </c>
      <c r="J5488">
        <v>-192.16419999999999</v>
      </c>
      <c r="K5488">
        <v>1.1170199999999999</v>
      </c>
      <c r="L5488">
        <v>155.64949999999999</v>
      </c>
      <c r="M5488">
        <v>-0.1889778</v>
      </c>
      <c r="N5488">
        <v>-1.3902609999999999E-2</v>
      </c>
      <c r="O5488">
        <v>-0.98188299999999995</v>
      </c>
      <c r="P5488">
        <v>-0.4445151</v>
      </c>
      <c r="Q5488">
        <v>-7.3302039999999999E-2</v>
      </c>
      <c r="R5488">
        <v>-0.89276730000000004</v>
      </c>
      <c r="S5488">
        <v>-2.4749759999999998</v>
      </c>
      <c r="T5488">
        <v>-0.1291021</v>
      </c>
      <c r="U5488">
        <v>-2.1292110000000002</v>
      </c>
      <c r="V5488">
        <v>0.26714149999999998</v>
      </c>
      <c r="W5488">
        <v>-6.26998E-2</v>
      </c>
      <c r="X5488">
        <v>0.96161540000000001</v>
      </c>
      <c r="Y5488">
        <v>0.62066100000000002</v>
      </c>
      <c r="Z5488">
        <v>2.8670770000000002E-2</v>
      </c>
      <c r="AA5488">
        <v>0.78355469999999905</v>
      </c>
      <c r="AB5488">
        <v>19</v>
      </c>
      <c r="AC5488">
        <v>-21.386900000000001</v>
      </c>
      <c r="AD5488">
        <v>-1.1170234313979901</v>
      </c>
      <c r="AE5488">
        <v>-18.302099999999999</v>
      </c>
      <c r="AF5488">
        <v>17.514856627322601</v>
      </c>
      <c r="AG5488">
        <v>-1.1170234313979901</v>
      </c>
      <c r="AH5488">
        <v>21.9796850014867</v>
      </c>
      <c r="AI5488">
        <v>92.276023412800697</v>
      </c>
      <c r="AJ5488">
        <v>51.449861318913797</v>
      </c>
      <c r="AK5488">
        <v>28.126935431833601</v>
      </c>
      <c r="AL5488">
        <v>93.594791849473197</v>
      </c>
      <c r="AM5488">
        <v>74.474444684268605</v>
      </c>
      <c r="AN5488">
        <v>1.0000000117297201</v>
      </c>
    </row>
    <row r="5489" spans="1:40" x14ac:dyDescent="0.25">
      <c r="A5489" t="str">
        <f>"20190303153917265"</f>
        <v>20190303153917265</v>
      </c>
      <c r="B5489" t="str">
        <f>"1551598757253891"</f>
        <v>1551598757253891</v>
      </c>
      <c r="C5489" t="s">
        <v>40</v>
      </c>
      <c r="D5489">
        <v>4.5086399999999998</v>
      </c>
      <c r="E5489">
        <v>0.66094030000000004</v>
      </c>
      <c r="F5489" t="s">
        <v>42</v>
      </c>
      <c r="G5489">
        <v>-213.01140000000001</v>
      </c>
      <c r="H5489" s="1">
        <v>-3.5744640000000001E-6</v>
      </c>
      <c r="I5489">
        <v>137.97890000000001</v>
      </c>
      <c r="J5489">
        <v>-192.1952</v>
      </c>
      <c r="K5489">
        <v>1.116946</v>
      </c>
      <c r="L5489">
        <v>155.52269999999999</v>
      </c>
      <c r="M5489">
        <v>-0.1944121</v>
      </c>
      <c r="N5489">
        <v>-1.392198E-2</v>
      </c>
      <c r="O5489">
        <v>-0.98082130000000001</v>
      </c>
      <c r="P5489">
        <v>-0.45437620000000001</v>
      </c>
      <c r="Q5489">
        <v>-7.1738720000000006E-2</v>
      </c>
      <c r="R5489">
        <v>-0.88791659999999994</v>
      </c>
      <c r="S5489">
        <v>-2.489258</v>
      </c>
      <c r="T5489">
        <v>-0.133378</v>
      </c>
      <c r="U5489">
        <v>-2.1099549999999998</v>
      </c>
      <c r="V5489">
        <v>0.27243679999999998</v>
      </c>
      <c r="W5489">
        <v>-6.1247320000000001E-2</v>
      </c>
      <c r="X5489">
        <v>0.96022229999999997</v>
      </c>
      <c r="Y5489">
        <v>0.62202400000000002</v>
      </c>
      <c r="Z5489">
        <v>3.0129710000000001E-2</v>
      </c>
      <c r="AA5489">
        <v>0.78241830000000001</v>
      </c>
      <c r="AB5489">
        <v>19</v>
      </c>
      <c r="AC5489">
        <v>-20.816199999999998</v>
      </c>
      <c r="AD5489">
        <v>-1.1169495744639999</v>
      </c>
      <c r="AE5489">
        <v>-17.543799999999901</v>
      </c>
      <c r="AF5489">
        <v>16.9793078485318</v>
      </c>
      <c r="AG5489">
        <v>-1.1169495744639999</v>
      </c>
      <c r="AH5489">
        <v>21.220587635830999</v>
      </c>
      <c r="AI5489">
        <v>92.353445780494496</v>
      </c>
      <c r="AJ5489">
        <v>51.335520146124203</v>
      </c>
      <c r="AK5489">
        <v>27.200327405696701</v>
      </c>
      <c r="AL5489">
        <v>93.511410793157793</v>
      </c>
      <c r="AM5489">
        <v>74.160160440255893</v>
      </c>
      <c r="AN5489">
        <v>0.999999954809355</v>
      </c>
    </row>
    <row r="5490" spans="1:40" x14ac:dyDescent="0.25">
      <c r="A5490" t="str">
        <f>"20190303153917278"</f>
        <v>20190303153917278</v>
      </c>
      <c r="B5490" t="str">
        <f>"1551598757274388"</f>
        <v>1551598757274388</v>
      </c>
      <c r="C5490" t="s">
        <v>40</v>
      </c>
      <c r="D5490">
        <v>4.5202839999999904</v>
      </c>
      <c r="E5490">
        <v>0.65994059999999999</v>
      </c>
      <c r="F5490" t="s">
        <v>42</v>
      </c>
      <c r="G5490">
        <v>-212.8323</v>
      </c>
      <c r="H5490" s="1">
        <v>-3.592412E-6</v>
      </c>
      <c r="I5490">
        <v>138.3552</v>
      </c>
      <c r="J5490">
        <v>-192.2193</v>
      </c>
      <c r="K5490">
        <v>1.116887</v>
      </c>
      <c r="L5490">
        <v>155.42619999999999</v>
      </c>
      <c r="M5490">
        <v>-0.19862879999999999</v>
      </c>
      <c r="N5490">
        <v>-1.3937339999999999E-2</v>
      </c>
      <c r="O5490">
        <v>-0.97997590000000001</v>
      </c>
      <c r="P5490">
        <v>-0.4608873</v>
      </c>
      <c r="Q5490">
        <v>-7.1367109999999997E-2</v>
      </c>
      <c r="R5490">
        <v>-0.884584499999999</v>
      </c>
      <c r="S5490">
        <v>-2.5064850000000001</v>
      </c>
      <c r="T5490">
        <v>-0.13565949999999999</v>
      </c>
      <c r="U5490">
        <v>-2.085083</v>
      </c>
      <c r="V5490">
        <v>0.27534599999999998</v>
      </c>
      <c r="W5490">
        <v>-6.0945430000000002E-2</v>
      </c>
      <c r="X5490">
        <v>0.95941140000000003</v>
      </c>
      <c r="Y5490">
        <v>0.62585290000000005</v>
      </c>
      <c r="Z5490">
        <v>3.0973649999999998E-2</v>
      </c>
      <c r="AA5490">
        <v>0.77932590000000002</v>
      </c>
      <c r="AB5490">
        <v>19</v>
      </c>
      <c r="AC5490">
        <v>-20.613</v>
      </c>
      <c r="AD5490">
        <v>-1.1168905924120001</v>
      </c>
      <c r="AE5490">
        <v>-17.070999999999898</v>
      </c>
      <c r="AF5490">
        <v>16.781855163321101</v>
      </c>
      <c r="AG5490">
        <v>-1.1168905924120001</v>
      </c>
      <c r="AH5490">
        <v>20.789318415204502</v>
      </c>
      <c r="AI5490">
        <v>92.393779611249897</v>
      </c>
      <c r="AJ5490">
        <v>51.0883342515449</v>
      </c>
      <c r="AK5490">
        <v>26.740865122259301</v>
      </c>
      <c r="AL5490">
        <v>93.494081238486103</v>
      </c>
      <c r="AM5490">
        <v>73.986800786764803</v>
      </c>
      <c r="AN5490">
        <v>0.999999999801922</v>
      </c>
    </row>
    <row r="5491" spans="1:40" x14ac:dyDescent="0.25">
      <c r="A5491" t="str">
        <f>"20190303153917291"</f>
        <v>20190303153917291</v>
      </c>
      <c r="B5491" t="str">
        <f>"1551598757284148"</f>
        <v>1551598757284148</v>
      </c>
      <c r="C5491" t="s">
        <v>40</v>
      </c>
      <c r="D5491">
        <v>4.4833879999999997</v>
      </c>
      <c r="E5491">
        <v>0.65936329999999999</v>
      </c>
      <c r="F5491" t="s">
        <v>42</v>
      </c>
      <c r="G5491">
        <v>-211.92179999999999</v>
      </c>
      <c r="H5491" s="1">
        <v>-3.8713240000000003E-6</v>
      </c>
      <c r="I5491">
        <v>139.20930000000001</v>
      </c>
      <c r="J5491">
        <v>-192.24760000000001</v>
      </c>
      <c r="K5491">
        <v>1.1168169999999999</v>
      </c>
      <c r="L5491">
        <v>155.315</v>
      </c>
      <c r="M5491">
        <v>-0.2035458</v>
      </c>
      <c r="N5491">
        <v>-1.3955250000000001E-2</v>
      </c>
      <c r="O5491">
        <v>-0.97896609999999995</v>
      </c>
      <c r="P5491">
        <v>-0.46789740000000002</v>
      </c>
      <c r="Q5491">
        <v>-7.1382520000000005E-2</v>
      </c>
      <c r="R5491">
        <v>-0.88089549999999905</v>
      </c>
      <c r="S5491">
        <v>-2.5146329999999999</v>
      </c>
      <c r="T5491">
        <v>-0.1425496</v>
      </c>
      <c r="U5491">
        <v>-2.0697779999999999</v>
      </c>
      <c r="V5491">
        <v>0.27813369999999998</v>
      </c>
      <c r="W5491">
        <v>-6.1034900000000003E-2</v>
      </c>
      <c r="X5491">
        <v>0.95860120000000004</v>
      </c>
      <c r="Y5491">
        <v>0.62593679999999996</v>
      </c>
      <c r="Z5491">
        <v>3.3291010000000003E-2</v>
      </c>
      <c r="AA5491">
        <v>0.77916289999999999</v>
      </c>
      <c r="AB5491">
        <v>19</v>
      </c>
      <c r="AC5491">
        <v>-19.6741999999999</v>
      </c>
      <c r="AD5491">
        <v>-1.116820871324</v>
      </c>
      <c r="AE5491">
        <v>-16.105699999999899</v>
      </c>
      <c r="AF5491">
        <v>15.952902218595799</v>
      </c>
      <c r="AG5491">
        <v>-1.116820871324</v>
      </c>
      <c r="AH5491">
        <v>19.735380721229401</v>
      </c>
      <c r="AI5491">
        <v>92.519937080930902</v>
      </c>
      <c r="AJ5491">
        <v>51.049996783927</v>
      </c>
      <c r="AK5491">
        <v>25.4013312695728</v>
      </c>
      <c r="AL5491">
        <v>93.499217271626605</v>
      </c>
      <c r="AM5491">
        <v>73.820158323837603</v>
      </c>
      <c r="AN5491">
        <v>0.99999993736756798</v>
      </c>
    </row>
    <row r="5492" spans="1:40" x14ac:dyDescent="0.25">
      <c r="A5492" t="str">
        <f>"20190303153917302"</f>
        <v>20190303153917302</v>
      </c>
      <c r="B5492" t="str">
        <f>"1551598757293909"</f>
        <v>1551598757293909</v>
      </c>
      <c r="C5492" t="s">
        <v>40</v>
      </c>
      <c r="D5492">
        <v>4.4996349999999996</v>
      </c>
      <c r="E5492">
        <v>0.65879430000000005</v>
      </c>
      <c r="F5492" t="s">
        <v>42</v>
      </c>
      <c r="G5492">
        <v>-211.4271</v>
      </c>
      <c r="H5492" s="1">
        <v>-4.0670990000000002E-6</v>
      </c>
      <c r="I5492">
        <v>139.74469999999999</v>
      </c>
      <c r="J5492">
        <v>-192.2747</v>
      </c>
      <c r="K5492">
        <v>1.116743</v>
      </c>
      <c r="L5492">
        <v>155.21190000000001</v>
      </c>
      <c r="M5492">
        <v>-0.20823320000000001</v>
      </c>
      <c r="N5492">
        <v>-1.3973370000000001E-2</v>
      </c>
      <c r="O5492">
        <v>-0.9779795</v>
      </c>
      <c r="P5492">
        <v>-0.475437</v>
      </c>
      <c r="Q5492">
        <v>-7.1025980000000002E-2</v>
      </c>
      <c r="R5492">
        <v>-0.8768783</v>
      </c>
      <c r="S5492">
        <v>-2.5269780000000002</v>
      </c>
      <c r="T5492">
        <v>-0.1471459</v>
      </c>
      <c r="U5492">
        <v>-2.051453</v>
      </c>
      <c r="V5492">
        <v>0.2817462</v>
      </c>
      <c r="W5492">
        <v>-6.0765909999999999E-2</v>
      </c>
      <c r="X5492">
        <v>0.95756280000000005</v>
      </c>
      <c r="Y5492">
        <v>0.62741950000000002</v>
      </c>
      <c r="Z5492">
        <v>3.4863680000000001E-2</v>
      </c>
      <c r="AA5492">
        <v>0.77790059999999905</v>
      </c>
      <c r="AB5492">
        <v>19</v>
      </c>
      <c r="AC5492">
        <v>-19.1524</v>
      </c>
      <c r="AD5492">
        <v>-1.1167470670990001</v>
      </c>
      <c r="AE5492">
        <v>-15.4672</v>
      </c>
      <c r="AF5492">
        <v>15.4795290084874</v>
      </c>
      <c r="AG5492">
        <v>-1.1167470670990001</v>
      </c>
      <c r="AH5492">
        <v>19.077376998916101</v>
      </c>
      <c r="AI5492">
        <v>92.602661004072999</v>
      </c>
      <c r="AJ5492">
        <v>50.943861905668903</v>
      </c>
      <c r="AK5492">
        <v>24.592870013384999</v>
      </c>
      <c r="AL5492">
        <v>93.483776517100594</v>
      </c>
      <c r="AM5492">
        <v>73.604397501029496</v>
      </c>
      <c r="AN5492">
        <v>0.999999966488203</v>
      </c>
    </row>
    <row r="5493" spans="1:40" x14ac:dyDescent="0.25">
      <c r="A5493" t="str">
        <f>"20190303153917314"</f>
        <v>20190303153917314</v>
      </c>
      <c r="B5493" t="str">
        <f>"1551598757303668"</f>
        <v>1551598757303668</v>
      </c>
      <c r="C5493" t="s">
        <v>40</v>
      </c>
      <c r="D5493">
        <v>4.5017860000000001</v>
      </c>
      <c r="E5493">
        <v>0.6581456</v>
      </c>
      <c r="F5493" t="s">
        <v>42</v>
      </c>
      <c r="G5493">
        <v>-211.12960000000001</v>
      </c>
      <c r="H5493" s="1">
        <v>-4.3110540000000001E-6</v>
      </c>
      <c r="I5493">
        <v>140.13310000000001</v>
      </c>
      <c r="J5493">
        <v>-192.29900000000001</v>
      </c>
      <c r="K5493">
        <v>1.1166769999999999</v>
      </c>
      <c r="L5493">
        <v>155.12100000000001</v>
      </c>
      <c r="M5493">
        <v>-0.21242559999999999</v>
      </c>
      <c r="N5493">
        <v>-1.3989939999999999E-2</v>
      </c>
      <c r="O5493">
        <v>-0.97707730000000004</v>
      </c>
      <c r="P5493">
        <v>-0.4828327</v>
      </c>
      <c r="Q5493">
        <v>-7.0521E-2</v>
      </c>
      <c r="R5493">
        <v>-0.87286859999999999</v>
      </c>
      <c r="S5493">
        <v>-2.5404360000000001</v>
      </c>
      <c r="T5493">
        <v>-0.15046579999999901</v>
      </c>
      <c r="U5493">
        <v>-2.031647</v>
      </c>
      <c r="V5493">
        <v>0.28571479999999999</v>
      </c>
      <c r="W5493">
        <v>-6.0351929999999998E-2</v>
      </c>
      <c r="X5493">
        <v>0.95641240000000005</v>
      </c>
      <c r="Y5493">
        <v>0.62974779999999997</v>
      </c>
      <c r="Z5493">
        <v>3.602938E-2</v>
      </c>
      <c r="AA5493">
        <v>0.77596369999999903</v>
      </c>
      <c r="AB5493">
        <v>19</v>
      </c>
      <c r="AC5493">
        <v>-18.8306</v>
      </c>
      <c r="AD5493">
        <v>-1.1166813110539999</v>
      </c>
      <c r="AE5493">
        <v>-14.9878999999999</v>
      </c>
      <c r="AF5493">
        <v>15.183935902695801</v>
      </c>
      <c r="AG5493">
        <v>-1.1166813110539999</v>
      </c>
      <c r="AH5493">
        <v>18.606203521477401</v>
      </c>
      <c r="AI5493">
        <v>92.662245590140103</v>
      </c>
      <c r="AJ5493">
        <v>50.783200227321402</v>
      </c>
      <c r="AK5493">
        <v>24.0414162671476</v>
      </c>
      <c r="AL5493">
        <v>93.460013511793505</v>
      </c>
      <c r="AM5493">
        <v>73.367221746959402</v>
      </c>
      <c r="AN5493">
        <v>0.99999999063376199</v>
      </c>
    </row>
    <row r="5494" spans="1:40" x14ac:dyDescent="0.25">
      <c r="A5494" t="str">
        <f>"20190303153917325"</f>
        <v>20190303153917325</v>
      </c>
      <c r="B5494" t="str">
        <f>"1551598757314404"</f>
        <v>1551598757314404</v>
      </c>
      <c r="C5494" t="s">
        <v>40</v>
      </c>
      <c r="D5494">
        <v>4.5103390000000001</v>
      </c>
      <c r="E5494">
        <v>0.65751510000000002</v>
      </c>
      <c r="F5494" t="s">
        <v>42</v>
      </c>
      <c r="G5494">
        <v>-210.7458</v>
      </c>
      <c r="H5494" s="1">
        <v>-4.5959320000000004E-6</v>
      </c>
      <c r="I5494">
        <v>140.5806</v>
      </c>
      <c r="J5494">
        <v>-192.3235</v>
      </c>
      <c r="K5494">
        <v>1.1166119999999999</v>
      </c>
      <c r="L5494">
        <v>155.0308</v>
      </c>
      <c r="M5494">
        <v>-0.2166486</v>
      </c>
      <c r="N5494">
        <v>-1.400703E-2</v>
      </c>
      <c r="O5494">
        <v>-0.97614920000000005</v>
      </c>
      <c r="P5494">
        <v>-0.49025560000000001</v>
      </c>
      <c r="Q5494">
        <v>-6.989708E-2</v>
      </c>
      <c r="R5494">
        <v>-0.86877190000000004</v>
      </c>
      <c r="S5494">
        <v>-2.5529329999999999</v>
      </c>
      <c r="T5494">
        <v>-0.15454219999999999</v>
      </c>
      <c r="U5494">
        <v>-2.0122990000000001</v>
      </c>
      <c r="V5494">
        <v>0.2897112</v>
      </c>
      <c r="W5494">
        <v>-5.9821329999999999E-2</v>
      </c>
      <c r="X5494">
        <v>0.95524279999999995</v>
      </c>
      <c r="Y5494">
        <v>0.63181259999999995</v>
      </c>
      <c r="Z5494">
        <v>3.744509E-2</v>
      </c>
      <c r="AA5494">
        <v>0.77421609999999996</v>
      </c>
      <c r="AB5494">
        <v>19</v>
      </c>
      <c r="AC5494">
        <v>-18.4223</v>
      </c>
      <c r="AD5494">
        <v>-1.116616595932</v>
      </c>
      <c r="AE5494">
        <v>-14.450199999999899</v>
      </c>
      <c r="AF5494">
        <v>14.8200469214182</v>
      </c>
      <c r="AG5494">
        <v>-1.116616595932</v>
      </c>
      <c r="AH5494">
        <v>18.057420723971301</v>
      </c>
      <c r="AI5494">
        <v>92.736639652745794</v>
      </c>
      <c r="AJ5494">
        <v>50.6236638857876</v>
      </c>
      <c r="AK5494">
        <v>23.386984982632001</v>
      </c>
      <c r="AL5494">
        <v>93.429557347111</v>
      </c>
      <c r="AM5494">
        <v>73.128215175697903</v>
      </c>
      <c r="AN5494">
        <v>0.99999998894012398</v>
      </c>
    </row>
    <row r="5495" spans="1:40" x14ac:dyDescent="0.25">
      <c r="A5495" t="str">
        <f>"20190303153917336"</f>
        <v>20190303153917336</v>
      </c>
      <c r="B5495" t="str">
        <f>"1551598757333924"</f>
        <v>1551598757333924</v>
      </c>
      <c r="C5495" t="s">
        <v>40</v>
      </c>
      <c r="D5495">
        <v>4.5235029999999998</v>
      </c>
      <c r="E5495">
        <v>0.65651630000000005</v>
      </c>
      <c r="F5495" t="s">
        <v>42</v>
      </c>
      <c r="G5495">
        <v>-210.38130000000001</v>
      </c>
      <c r="H5495" s="1">
        <v>-4.8115990000000004E-6</v>
      </c>
      <c r="I5495">
        <v>141.00729999999999</v>
      </c>
      <c r="J5495">
        <v>-192.34899999999999</v>
      </c>
      <c r="K5495">
        <v>1.1165400000000001</v>
      </c>
      <c r="L5495">
        <v>154.93979999999999</v>
      </c>
      <c r="M5495">
        <v>-0.22099630000000001</v>
      </c>
      <c r="N5495">
        <v>-1.4025650000000001E-2</v>
      </c>
      <c r="O5495">
        <v>-0.97517390000000004</v>
      </c>
      <c r="P5495">
        <v>-0.49780210000000003</v>
      </c>
      <c r="Q5495">
        <v>-6.9136600000000006E-2</v>
      </c>
      <c r="R5495">
        <v>-0.86453099999999905</v>
      </c>
      <c r="S5495">
        <v>-2.5657040000000002</v>
      </c>
      <c r="T5495">
        <v>-0.1586524</v>
      </c>
      <c r="U5495">
        <v>-1.9924930000000001</v>
      </c>
      <c r="V5495">
        <v>0.29375069999999998</v>
      </c>
      <c r="W5495">
        <v>-5.9157830000000002E-2</v>
      </c>
      <c r="X5495">
        <v>0.9540497</v>
      </c>
      <c r="Y5495">
        <v>0.63390150000000001</v>
      </c>
      <c r="Z5495">
        <v>3.8875170000000001E-2</v>
      </c>
      <c r="AA5495">
        <v>0.77243619999999902</v>
      </c>
      <c r="AB5495">
        <v>19</v>
      </c>
      <c r="AC5495">
        <v>-18.0322999999999</v>
      </c>
      <c r="AD5495">
        <v>-1.11654481159899</v>
      </c>
      <c r="AE5495">
        <v>-13.932499999999999</v>
      </c>
      <c r="AF5495">
        <v>14.4722780221718</v>
      </c>
      <c r="AG5495">
        <v>-1.11654481159899</v>
      </c>
      <c r="AH5495">
        <v>17.531319803481502</v>
      </c>
      <c r="AI5495">
        <v>92.811843867665701</v>
      </c>
      <c r="AJ5495">
        <v>50.459989664654103</v>
      </c>
      <c r="AK5495">
        <v>22.760506969733498</v>
      </c>
      <c r="AL5495">
        <v>93.391474190932101</v>
      </c>
      <c r="AM5495">
        <v>72.8864669231356</v>
      </c>
      <c r="AN5495">
        <v>0.99999997633544402</v>
      </c>
    </row>
    <row r="5496" spans="1:40" x14ac:dyDescent="0.25">
      <c r="A5496" t="str">
        <f>"20190303153917349"</f>
        <v>20190303153917349</v>
      </c>
      <c r="B5496" t="str">
        <f>"1551598757343683"</f>
        <v>1551598757343683</v>
      </c>
      <c r="C5496" t="s">
        <v>40</v>
      </c>
      <c r="D5496">
        <v>4.497668</v>
      </c>
      <c r="E5496">
        <v>0.65587949999999995</v>
      </c>
      <c r="F5496" t="s">
        <v>42</v>
      </c>
      <c r="G5496">
        <v>-210.52420000000001</v>
      </c>
      <c r="H5496" s="1">
        <v>-4.7572090000000004E-6</v>
      </c>
      <c r="I5496">
        <v>141.01</v>
      </c>
      <c r="J5496">
        <v>-192.37729999999999</v>
      </c>
      <c r="K5496">
        <v>1.11646</v>
      </c>
      <c r="L5496">
        <v>154.83949999999999</v>
      </c>
      <c r="M5496">
        <v>-0.22584029999999999</v>
      </c>
      <c r="N5496">
        <v>-1.4046370000000001E-2</v>
      </c>
      <c r="O5496">
        <v>-0.97406300000000001</v>
      </c>
      <c r="P5496">
        <v>-0.5056368</v>
      </c>
      <c r="Q5496">
        <v>-6.8971199999999996E-2</v>
      </c>
      <c r="R5496">
        <v>-0.85998519999999901</v>
      </c>
      <c r="S5496">
        <v>-2.5759120000000002</v>
      </c>
      <c r="T5496">
        <v>-0.158244</v>
      </c>
      <c r="U5496">
        <v>-1.9742280000000001</v>
      </c>
      <c r="V5496">
        <v>0.29765839999999999</v>
      </c>
      <c r="W5496">
        <v>-5.9094470000000003E-2</v>
      </c>
      <c r="X5496">
        <v>0.95284170000000001</v>
      </c>
      <c r="Y5496">
        <v>0.63498339999999998</v>
      </c>
      <c r="Z5496">
        <v>3.8854430000000002E-2</v>
      </c>
      <c r="AA5496">
        <v>0.77154800000000001</v>
      </c>
      <c r="AB5496">
        <v>19</v>
      </c>
      <c r="AC5496">
        <v>-18.146899999999999</v>
      </c>
      <c r="AD5496">
        <v>-1.1164647572090001</v>
      </c>
      <c r="AE5496">
        <v>-13.8294999999999</v>
      </c>
      <c r="AF5496">
        <v>14.5196349602985</v>
      </c>
      <c r="AG5496">
        <v>-1.1164647572090001</v>
      </c>
      <c r="AH5496">
        <v>17.528867306799999</v>
      </c>
      <c r="AI5496">
        <v>92.808153761800199</v>
      </c>
      <c r="AJ5496">
        <v>50.364128180276701</v>
      </c>
      <c r="AK5496">
        <v>22.788757798392901</v>
      </c>
      <c r="AL5496">
        <v>93.387837513676402</v>
      </c>
      <c r="AM5496">
        <v>72.651707420894297</v>
      </c>
      <c r="AN5496">
        <v>0.99999999236701498</v>
      </c>
    </row>
    <row r="5497" spans="1:40" x14ac:dyDescent="0.25">
      <c r="A5497" t="str">
        <f>"20190303153917362"</f>
        <v>20190303153917362</v>
      </c>
      <c r="B5497" t="str">
        <f>"1551598757353444"</f>
        <v>1551598757353444</v>
      </c>
      <c r="C5497" t="s">
        <v>40</v>
      </c>
      <c r="D5497">
        <v>4.4968879999999896</v>
      </c>
      <c r="E5497">
        <v>0.65524340000000003</v>
      </c>
      <c r="F5497" t="s">
        <v>42</v>
      </c>
      <c r="G5497">
        <v>-210.32849999999999</v>
      </c>
      <c r="H5497" s="1">
        <v>-4.8837380000000001E-6</v>
      </c>
      <c r="I5497">
        <v>141.2996</v>
      </c>
      <c r="J5497">
        <v>-192.4075</v>
      </c>
      <c r="K5497">
        <v>1.1163719999999999</v>
      </c>
      <c r="L5497">
        <v>154.73650000000001</v>
      </c>
      <c r="M5497">
        <v>-0.23096749999999999</v>
      </c>
      <c r="N5497">
        <v>-1.406986E-2</v>
      </c>
      <c r="O5497">
        <v>-0.97285980000000005</v>
      </c>
      <c r="P5497">
        <v>-0.51344670000000003</v>
      </c>
      <c r="Q5497">
        <v>-6.8763370000000004E-2</v>
      </c>
      <c r="R5497">
        <v>-0.85536219999999996</v>
      </c>
      <c r="S5497">
        <v>-2.5893860000000002</v>
      </c>
      <c r="T5497">
        <v>-0.16104599999999999</v>
      </c>
      <c r="U5497">
        <v>-1.953079</v>
      </c>
      <c r="V5497">
        <v>0.30129640000000002</v>
      </c>
      <c r="W5497">
        <v>-5.89883E-2</v>
      </c>
      <c r="X5497">
        <v>0.9517042</v>
      </c>
      <c r="Y5497">
        <v>0.63682249999999996</v>
      </c>
      <c r="Z5497">
        <v>3.9869429999999997E-2</v>
      </c>
      <c r="AA5497">
        <v>0.76997890000000002</v>
      </c>
      <c r="AB5497">
        <v>19</v>
      </c>
      <c r="AC5497">
        <v>-17.9209999999999</v>
      </c>
      <c r="AD5497">
        <v>-1.1163768837379999</v>
      </c>
      <c r="AE5497">
        <v>-13.4369</v>
      </c>
      <c r="AF5497">
        <v>14.2970359276402</v>
      </c>
      <c r="AG5497">
        <v>-1.1163768837379999</v>
      </c>
      <c r="AH5497">
        <v>17.1704382199589</v>
      </c>
      <c r="AI5497">
        <v>92.860371733346497</v>
      </c>
      <c r="AJ5497">
        <v>50.217403825440599</v>
      </c>
      <c r="AK5497">
        <v>22.371309356588998</v>
      </c>
      <c r="AL5497">
        <v>93.381743723138101</v>
      </c>
      <c r="AM5497">
        <v>72.432932420220695</v>
      </c>
      <c r="AN5497">
        <v>1.00000001224374</v>
      </c>
    </row>
    <row r="5498" spans="1:40" x14ac:dyDescent="0.25">
      <c r="A5498" t="str">
        <f>"20190303153917378"</f>
        <v>20190303153917378</v>
      </c>
      <c r="B5498" t="str">
        <f>"1551598757373940"</f>
        <v>1551598757373940</v>
      </c>
      <c r="C5498" t="s">
        <v>40</v>
      </c>
      <c r="D5498">
        <v>4.4937279999999999</v>
      </c>
      <c r="E5498">
        <v>0.653972</v>
      </c>
      <c r="F5498" t="s">
        <v>42</v>
      </c>
      <c r="G5498">
        <v>-210.3349</v>
      </c>
      <c r="H5498" s="1">
        <v>-4.9041659999999999E-6</v>
      </c>
      <c r="I5498">
        <v>141.42859999999999</v>
      </c>
      <c r="J5498">
        <v>-192.44720000000001</v>
      </c>
      <c r="K5498">
        <v>1.1162559999999999</v>
      </c>
      <c r="L5498">
        <v>154.60399999999899</v>
      </c>
      <c r="M5498">
        <v>-0.23767859999999999</v>
      </c>
      <c r="N5498">
        <v>-1.410084E-2</v>
      </c>
      <c r="O5498">
        <v>-0.97124160000000004</v>
      </c>
      <c r="P5498">
        <v>-0.52500769999999997</v>
      </c>
      <c r="Q5498">
        <v>-6.9231109999999998E-2</v>
      </c>
      <c r="R5498">
        <v>-0.84827739999999996</v>
      </c>
      <c r="S5498">
        <v>-2.6026310000000001</v>
      </c>
      <c r="T5498">
        <v>-0.16207160000000001</v>
      </c>
      <c r="U5498">
        <v>-1.9319919999999999</v>
      </c>
      <c r="V5498">
        <v>0.30761539999999998</v>
      </c>
      <c r="W5498">
        <v>-5.9618810000000001E-2</v>
      </c>
      <c r="X5498">
        <v>0.94964119999999996</v>
      </c>
      <c r="Y5498">
        <v>0.63738090000000003</v>
      </c>
      <c r="Z5498">
        <v>4.0310789999999999E-2</v>
      </c>
      <c r="AA5498">
        <v>0.76949380000000001</v>
      </c>
      <c r="AB5498">
        <v>19</v>
      </c>
      <c r="AC5498">
        <v>-17.887699999999899</v>
      </c>
      <c r="AD5498">
        <v>-1.1162609041660001</v>
      </c>
      <c r="AE5498">
        <v>-13.1753999999999</v>
      </c>
      <c r="AF5498">
        <v>14.207314802688501</v>
      </c>
      <c r="AG5498">
        <v>-1.1162609041660001</v>
      </c>
      <c r="AH5498">
        <v>17.006778391899299</v>
      </c>
      <c r="AI5498">
        <v>92.883673301379801</v>
      </c>
      <c r="AJ5498">
        <v>50.124911232339798</v>
      </c>
      <c r="AK5498">
        <v>22.188383077187801</v>
      </c>
      <c r="AL5498">
        <v>93.417932942443002</v>
      </c>
      <c r="AM5498">
        <v>72.051407765081905</v>
      </c>
      <c r="AN5498">
        <v>1.0000000227801999</v>
      </c>
    </row>
    <row r="5499" spans="1:40" x14ac:dyDescent="0.25">
      <c r="A5499" t="str">
        <f>"20190303153917392"</f>
        <v>20190303153917392</v>
      </c>
      <c r="B5499" t="str">
        <f>"1551598757383701"</f>
        <v>1551598757383701</v>
      </c>
      <c r="C5499" t="s">
        <v>40</v>
      </c>
      <c r="D5499">
        <v>4.4684599999999897</v>
      </c>
      <c r="E5499">
        <v>0.65333719999999995</v>
      </c>
      <c r="F5499" t="s">
        <v>42</v>
      </c>
      <c r="G5499">
        <v>-209.9853</v>
      </c>
      <c r="H5499" s="1">
        <v>-5.1178700000000002E-6</v>
      </c>
      <c r="I5499">
        <v>141.8767</v>
      </c>
      <c r="J5499">
        <v>-192.48050000000001</v>
      </c>
      <c r="K5499">
        <v>1.1161620000000001</v>
      </c>
      <c r="L5499">
        <v>154.49510000000001</v>
      </c>
      <c r="M5499">
        <v>-0.2432985</v>
      </c>
      <c r="N5499">
        <v>-1.4126970000000001E-2</v>
      </c>
      <c r="O5499">
        <v>-0.96984870000000001</v>
      </c>
      <c r="P5499">
        <v>-0.53265430000000002</v>
      </c>
      <c r="Q5499">
        <v>-6.9505999999999998E-2</v>
      </c>
      <c r="R5499">
        <v>-0.84347399999999995</v>
      </c>
      <c r="S5499">
        <v>-2.6200869999999998</v>
      </c>
      <c r="T5499">
        <v>-0.16676199999999999</v>
      </c>
      <c r="U5499">
        <v>-1.9013819999999999</v>
      </c>
      <c r="V5499">
        <v>0.31068440000000003</v>
      </c>
      <c r="W5499">
        <v>-5.999401E-2</v>
      </c>
      <c r="X5499">
        <v>0.94861790000000001</v>
      </c>
      <c r="Y5499">
        <v>0.64116640000000003</v>
      </c>
      <c r="Z5499">
        <v>4.2005639999999997E-2</v>
      </c>
      <c r="AA5499">
        <v>0.76625129999999997</v>
      </c>
      <c r="AB5499">
        <v>19</v>
      </c>
      <c r="AC5499">
        <v>-17.5047999999999</v>
      </c>
      <c r="AD5499">
        <v>-1.1161671178699999</v>
      </c>
      <c r="AE5499">
        <v>-12.618399999999999</v>
      </c>
      <c r="AF5499">
        <v>13.8712434158336</v>
      </c>
      <c r="AG5499">
        <v>-1.1161671178699999</v>
      </c>
      <c r="AH5499">
        <v>16.454450879690999</v>
      </c>
      <c r="AI5499">
        <v>92.968911344802507</v>
      </c>
      <c r="AJ5499">
        <v>49.868823617413803</v>
      </c>
      <c r="AK5499">
        <v>21.5500853058285</v>
      </c>
      <c r="AL5499">
        <v>93.439468950141503</v>
      </c>
      <c r="AM5499">
        <v>71.865721929887897</v>
      </c>
      <c r="AN5499">
        <v>0.99999999891982505</v>
      </c>
    </row>
    <row r="5500" spans="1:40" x14ac:dyDescent="0.25">
      <c r="A5500" t="str">
        <f>"20190303153917403"</f>
        <v>20190303153917403</v>
      </c>
      <c r="B5500" t="str">
        <f>"1551598757394437"</f>
        <v>1551598757394437</v>
      </c>
      <c r="C5500" t="s">
        <v>40</v>
      </c>
      <c r="D5500">
        <v>4.4960180000000003</v>
      </c>
      <c r="E5500">
        <v>0.65328240000000004</v>
      </c>
      <c r="F5500" t="s">
        <v>68</v>
      </c>
      <c r="G5500">
        <v>-209.8989</v>
      </c>
      <c r="H5500" s="1">
        <v>-6.0568399999999996E-6</v>
      </c>
      <c r="I5500">
        <v>142.05510000000001</v>
      </c>
      <c r="J5500">
        <v>-192.51220000000001</v>
      </c>
      <c r="K5500">
        <v>1.1160810000000001</v>
      </c>
      <c r="L5500">
        <v>154.3947</v>
      </c>
      <c r="M5500">
        <v>-0.24860409999999999</v>
      </c>
      <c r="N5500">
        <v>-1.4152140000000001E-2</v>
      </c>
      <c r="O5500">
        <v>-0.96850179999999997</v>
      </c>
      <c r="P5500">
        <v>-0.54006299999999996</v>
      </c>
      <c r="Q5500">
        <v>-6.9884459999999995E-2</v>
      </c>
      <c r="R5500">
        <v>-0.83871810000000002</v>
      </c>
      <c r="S5500">
        <v>-2.6327210000000001</v>
      </c>
      <c r="T5500">
        <v>-0.1687042</v>
      </c>
      <c r="U5500">
        <v>-1.8802639999999999</v>
      </c>
      <c r="V5500">
        <v>0.31383250000000001</v>
      </c>
      <c r="W5500">
        <v>-6.0467880000000002E-2</v>
      </c>
      <c r="X5500">
        <v>0.94755100000000003</v>
      </c>
      <c r="Y5500">
        <v>0.64274439999999999</v>
      </c>
      <c r="Z5500">
        <v>4.2747640000000003E-2</v>
      </c>
      <c r="AA5500">
        <v>0.76488710000000004</v>
      </c>
      <c r="AB5500">
        <v>19</v>
      </c>
      <c r="AC5500">
        <v>-17.386699999999902</v>
      </c>
      <c r="AD5500">
        <v>-1.1160870568400001</v>
      </c>
      <c r="AE5500">
        <v>-12.3395999999999</v>
      </c>
      <c r="AF5500">
        <v>13.735115587911</v>
      </c>
      <c r="AG5500">
        <v>-1.1160870568400001</v>
      </c>
      <c r="AH5500">
        <v>16.230482659789001</v>
      </c>
      <c r="AI5500">
        <v>93.004787110041903</v>
      </c>
      <c r="AJ5500">
        <v>49.760288058977302</v>
      </c>
      <c r="AK5500">
        <v>21.291491678636199</v>
      </c>
      <c r="AL5500">
        <v>93.466668906577496</v>
      </c>
      <c r="AM5500">
        <v>71.674932745063501</v>
      </c>
      <c r="AN5500">
        <v>1.0000000500844699</v>
      </c>
    </row>
    <row r="5501" spans="1:40" x14ac:dyDescent="0.25">
      <c r="A5501" t="str">
        <f>"20190303153917416"</f>
        <v>20190303153917416</v>
      </c>
      <c r="B5501" t="str">
        <f>"1551598757413956"</f>
        <v>1551598757413956</v>
      </c>
      <c r="C5501" t="s">
        <v>40</v>
      </c>
      <c r="D5501">
        <v>4.4784369999999996</v>
      </c>
      <c r="E5501">
        <v>0.65403869999999997</v>
      </c>
      <c r="F5501" t="s">
        <v>42</v>
      </c>
      <c r="G5501">
        <v>-210.41380000000001</v>
      </c>
      <c r="H5501" s="1">
        <v>-4.9472730000000004E-6</v>
      </c>
      <c r="I5501">
        <v>141.8425</v>
      </c>
      <c r="J5501">
        <v>-192.5437</v>
      </c>
      <c r="K5501">
        <v>1.1160079999999999</v>
      </c>
      <c r="L5501">
        <v>154.29669999999999</v>
      </c>
      <c r="M5501">
        <v>-0.25386170000000002</v>
      </c>
      <c r="N5501">
        <v>-1.417652E-2</v>
      </c>
      <c r="O5501">
        <v>-0.96713680000000002</v>
      </c>
      <c r="P5501">
        <v>-0.54720869999999999</v>
      </c>
      <c r="Q5501">
        <v>-6.9927080000000003E-2</v>
      </c>
      <c r="R5501">
        <v>-0.83407030000000004</v>
      </c>
      <c r="S5501">
        <v>-2.648987</v>
      </c>
      <c r="T5501">
        <v>-0.1651522</v>
      </c>
      <c r="U5501">
        <v>-1.857407</v>
      </c>
      <c r="V5501">
        <v>0.31676500000000002</v>
      </c>
      <c r="W5501">
        <v>-6.059792E-2</v>
      </c>
      <c r="X5501">
        <v>0.94656629999999997</v>
      </c>
      <c r="Y5501">
        <v>0.64525549999999998</v>
      </c>
      <c r="Z5501">
        <v>4.1671140000000002E-2</v>
      </c>
      <c r="AA5501">
        <v>0.76282950000000005</v>
      </c>
      <c r="AB5501">
        <v>19</v>
      </c>
      <c r="AC5501">
        <v>-17.870100000000001</v>
      </c>
      <c r="AD5501">
        <v>-1.1160129472729901</v>
      </c>
      <c r="AE5501">
        <v>-12.454199999999901</v>
      </c>
      <c r="AF5501">
        <v>14.0856272945623</v>
      </c>
      <c r="AG5501">
        <v>-1.1160129472729901</v>
      </c>
      <c r="AH5501">
        <v>16.5396940726941</v>
      </c>
      <c r="AI5501">
        <v>92.940727262975003</v>
      </c>
      <c r="AJ5501">
        <v>49.581433388795901</v>
      </c>
      <c r="AK5501">
        <v>21.753433319779901</v>
      </c>
      <c r="AL5501">
        <v>93.474133627624298</v>
      </c>
      <c r="AM5501">
        <v>71.497368263391905</v>
      </c>
      <c r="AN5501">
        <v>0.99999996671450697</v>
      </c>
    </row>
    <row r="5502" spans="1:40" x14ac:dyDescent="0.25">
      <c r="A5502" t="str">
        <f>"20190303153917430"</f>
        <v>20190303153917430</v>
      </c>
      <c r="B5502" t="str">
        <f>"1551598757423717"</f>
        <v>1551598757423717</v>
      </c>
      <c r="C5502" t="s">
        <v>40</v>
      </c>
      <c r="D5502">
        <v>4.5083690000000001</v>
      </c>
      <c r="E5502">
        <v>0.65471480000000004</v>
      </c>
      <c r="F5502" t="s">
        <v>42</v>
      </c>
      <c r="G5502">
        <v>-210.57329999999999</v>
      </c>
      <c r="H5502" s="1">
        <v>-4.9013930000000002E-6</v>
      </c>
      <c r="I5502">
        <v>141.92910000000001</v>
      </c>
      <c r="J5502">
        <v>-192.57900000000001</v>
      </c>
      <c r="K5502">
        <v>1.1159349999999999</v>
      </c>
      <c r="L5502">
        <v>154.18899999999999</v>
      </c>
      <c r="M5502">
        <v>-0.25970510000000002</v>
      </c>
      <c r="N5502">
        <v>-1.4202920000000001E-2</v>
      </c>
      <c r="O5502">
        <v>-0.96558350000000004</v>
      </c>
      <c r="P5502">
        <v>-0.55484469999999997</v>
      </c>
      <c r="Q5502">
        <v>-6.9649699999999995E-2</v>
      </c>
      <c r="R5502">
        <v>-0.82903340000000003</v>
      </c>
      <c r="S5502">
        <v>-2.6698</v>
      </c>
      <c r="T5502">
        <v>-0.1652583</v>
      </c>
      <c r="U5502">
        <v>-1.8313900000000001</v>
      </c>
      <c r="V5502">
        <v>0.31971480000000002</v>
      </c>
      <c r="W5502">
        <v>-6.0409230000000001E-2</v>
      </c>
      <c r="X5502">
        <v>0.94558609999999998</v>
      </c>
      <c r="Y5502">
        <v>0.64846369999999998</v>
      </c>
      <c r="Z5502">
        <v>4.1767680000000001E-2</v>
      </c>
      <c r="AA5502">
        <v>0.76009879999999996</v>
      </c>
      <c r="AB5502">
        <v>18</v>
      </c>
      <c r="AC5502">
        <v>-17.9942999999999</v>
      </c>
      <c r="AD5502">
        <v>-1.115939901393</v>
      </c>
      <c r="AE5502">
        <v>-12.259899999999901</v>
      </c>
      <c r="AF5502">
        <v>14.1552906620456</v>
      </c>
      <c r="AG5502">
        <v>-1.115939901393</v>
      </c>
      <c r="AH5502">
        <v>16.469573828049299</v>
      </c>
      <c r="AI5502">
        <v>92.941615603739095</v>
      </c>
      <c r="AJ5502">
        <v>49.321557463055498</v>
      </c>
      <c r="AK5502">
        <v>21.7454463662644</v>
      </c>
      <c r="AL5502">
        <v>93.463302700398501</v>
      </c>
      <c r="AM5502">
        <v>71.318944663516703</v>
      </c>
      <c r="AN5502">
        <v>0.99999995046071999</v>
      </c>
    </row>
    <row r="5503" spans="1:40" x14ac:dyDescent="0.25">
      <c r="A5503" t="str">
        <f>"20190303153917445"</f>
        <v>20190303153917445</v>
      </c>
      <c r="B5503" t="str">
        <f>"1551598757434452"</f>
        <v>1551598757434452</v>
      </c>
      <c r="C5503" t="s">
        <v>40</v>
      </c>
      <c r="D5503">
        <v>4.5041169999999999</v>
      </c>
      <c r="E5503">
        <v>0.65524150000000003</v>
      </c>
      <c r="F5503" t="s">
        <v>42</v>
      </c>
      <c r="G5503">
        <v>-210.83789999999999</v>
      </c>
      <c r="H5503" s="1">
        <v>-4.8032330000000003E-6</v>
      </c>
      <c r="I5503">
        <v>141.9487</v>
      </c>
      <c r="J5503">
        <v>-192.6217</v>
      </c>
      <c r="K5503">
        <v>1.1158600000000001</v>
      </c>
      <c r="L5503">
        <v>154.06290000000001</v>
      </c>
      <c r="M5503">
        <v>-0.2667139</v>
      </c>
      <c r="N5503">
        <v>-1.4233320000000001E-2</v>
      </c>
      <c r="O5503">
        <v>-0.96367080000000005</v>
      </c>
      <c r="P5503">
        <v>-0.56562509999999999</v>
      </c>
      <c r="Q5503">
        <v>-6.8479689999999996E-2</v>
      </c>
      <c r="R5503">
        <v>-0.82181469999999901</v>
      </c>
      <c r="S5503">
        <v>-2.690903</v>
      </c>
      <c r="T5503">
        <v>-0.1644611</v>
      </c>
      <c r="U5503">
        <v>-1.803909</v>
      </c>
      <c r="V5503">
        <v>0.32516080000000003</v>
      </c>
      <c r="W5503">
        <v>-5.9371430000000003E-2</v>
      </c>
      <c r="X5503">
        <v>0.94379310000000005</v>
      </c>
      <c r="Y5503">
        <v>0.65105780000000002</v>
      </c>
      <c r="Z5503">
        <v>4.1578509999999999E-2</v>
      </c>
      <c r="AA5503">
        <v>0.75788849999999996</v>
      </c>
      <c r="AB5503">
        <v>18</v>
      </c>
      <c r="AC5503">
        <v>-18.216199999999901</v>
      </c>
      <c r="AD5503">
        <v>-1.1158648032330001</v>
      </c>
      <c r="AE5503">
        <v>-12.1142</v>
      </c>
      <c r="AF5503">
        <v>14.2876705078451</v>
      </c>
      <c r="AG5503">
        <v>-1.1158648032330001</v>
      </c>
      <c r="AH5503">
        <v>16.491380540991699</v>
      </c>
      <c r="AI5503">
        <v>92.927557971612401</v>
      </c>
      <c r="AJ5503">
        <v>49.095259253545699</v>
      </c>
      <c r="AK5503">
        <v>21.848302335596799</v>
      </c>
      <c r="AL5503">
        <v>93.403734160694796</v>
      </c>
      <c r="AM5503">
        <v>70.989863758658004</v>
      </c>
      <c r="AN5503">
        <v>0.99999996408224601</v>
      </c>
    </row>
    <row r="5504" spans="1:40" x14ac:dyDescent="0.25">
      <c r="A5504" t="str">
        <f>"20190303153917468"</f>
        <v>20190303153917468</v>
      </c>
      <c r="B5504" t="str">
        <f>"1551598757463732"</f>
        <v>1551598757463732</v>
      </c>
      <c r="C5504" t="s">
        <v>40</v>
      </c>
      <c r="D5504">
        <v>4.5060209999999996</v>
      </c>
      <c r="E5504">
        <v>0.65648419999999996</v>
      </c>
      <c r="F5504" t="s">
        <v>42</v>
      </c>
      <c r="G5504">
        <v>-211.21770000000001</v>
      </c>
      <c r="H5504" s="1">
        <v>-4.6624539999999998E-6</v>
      </c>
      <c r="I5504">
        <v>141.97730000000001</v>
      </c>
      <c r="J5504">
        <v>-192.6808</v>
      </c>
      <c r="K5504">
        <v>1.11578</v>
      </c>
      <c r="L5504">
        <v>153.89340000000001</v>
      </c>
      <c r="M5504">
        <v>-0.2763119</v>
      </c>
      <c r="N5504">
        <v>-1.4272689999999999E-2</v>
      </c>
      <c r="O5504">
        <v>-0.96096199999999998</v>
      </c>
      <c r="P5504">
        <v>-0.57793700000000003</v>
      </c>
      <c r="Q5504">
        <v>-6.7096899999999904E-2</v>
      </c>
      <c r="R5504">
        <v>-0.81331830000000005</v>
      </c>
      <c r="S5504">
        <v>-2.7177730000000002</v>
      </c>
      <c r="T5504">
        <v>-0.16308139999999999</v>
      </c>
      <c r="U5504">
        <v>-1.7662960000000001</v>
      </c>
      <c r="V5504">
        <v>0.32992539999999998</v>
      </c>
      <c r="W5504">
        <v>-5.8112570000000002E-2</v>
      </c>
      <c r="X5504">
        <v>0.94221659999999996</v>
      </c>
      <c r="Y5504">
        <v>0.65430359999999999</v>
      </c>
      <c r="Z5504">
        <v>4.1240810000000003E-2</v>
      </c>
      <c r="AA5504">
        <v>0.75510659999999996</v>
      </c>
      <c r="AB5504">
        <v>18</v>
      </c>
      <c r="AC5504">
        <v>-18.536899999999999</v>
      </c>
      <c r="AD5504">
        <v>-1.115784662454</v>
      </c>
      <c r="AE5504">
        <v>-11.9161</v>
      </c>
      <c r="AF5504">
        <v>14.4850401239962</v>
      </c>
      <c r="AG5504">
        <v>-1.115784662454</v>
      </c>
      <c r="AH5504">
        <v>16.5321899738925</v>
      </c>
      <c r="AI5504">
        <v>92.906019517276107</v>
      </c>
      <c r="AJ5504">
        <v>48.776068275645102</v>
      </c>
      <c r="AK5504">
        <v>22.008513537711298</v>
      </c>
      <c r="AL5504">
        <v>93.3314819672391</v>
      </c>
      <c r="AM5504">
        <v>70.701850393590405</v>
      </c>
      <c r="AN5504">
        <v>0.99999998083636199</v>
      </c>
    </row>
    <row r="5505" spans="1:40" x14ac:dyDescent="0.25">
      <c r="A5505" t="str">
        <f>"20190303153917481"</f>
        <v>20190303153917481</v>
      </c>
      <c r="B5505" t="str">
        <f>"1551598757474468"</f>
        <v>1551598757474468</v>
      </c>
      <c r="C5505" t="s">
        <v>40</v>
      </c>
      <c r="D5505">
        <v>4.4592369999999999</v>
      </c>
      <c r="E5505">
        <v>0.65677099999999999</v>
      </c>
      <c r="F5505" t="s">
        <v>42</v>
      </c>
      <c r="G5505">
        <v>-211.66040000000001</v>
      </c>
      <c r="H5505" s="1">
        <v>-4.5025300000000001E-6</v>
      </c>
      <c r="I5505">
        <v>142.0341</v>
      </c>
      <c r="J5505">
        <v>-192.72229999999999</v>
      </c>
      <c r="K5505">
        <v>1.115731</v>
      </c>
      <c r="L5505">
        <v>153.7782</v>
      </c>
      <c r="M5505">
        <v>-0.28297099999999997</v>
      </c>
      <c r="N5505">
        <v>-1.4299060000000001E-2</v>
      </c>
      <c r="O5505">
        <v>-0.95902209999999999</v>
      </c>
      <c r="P5505">
        <v>-0.58510419999999996</v>
      </c>
      <c r="Q5505">
        <v>-6.6241820000000007E-2</v>
      </c>
      <c r="R5505">
        <v>-0.80824849999999904</v>
      </c>
      <c r="S5505">
        <v>-2.7521059999999999</v>
      </c>
      <c r="T5505">
        <v>-0.1617922</v>
      </c>
      <c r="U5505">
        <v>-1.71963499999999</v>
      </c>
      <c r="V5505">
        <v>0.33170050000000001</v>
      </c>
      <c r="W5505">
        <v>-5.7309659999999998E-2</v>
      </c>
      <c r="X5505">
        <v>0.94164239999999999</v>
      </c>
      <c r="Y5505">
        <v>0.66249049999999998</v>
      </c>
      <c r="Z5505">
        <v>4.0936109999999998E-2</v>
      </c>
      <c r="AA5505">
        <v>0.74795089999999997</v>
      </c>
      <c r="AB5505">
        <v>18</v>
      </c>
      <c r="AC5505">
        <v>-18.938099999999999</v>
      </c>
      <c r="AD5505">
        <v>-1.11573550253</v>
      </c>
      <c r="AE5505">
        <v>-11.7441</v>
      </c>
      <c r="AF5505">
        <v>14.803220476616399</v>
      </c>
      <c r="AG5505">
        <v>-1.11573550253</v>
      </c>
      <c r="AH5505">
        <v>16.581911216359501</v>
      </c>
      <c r="AI5505">
        <v>92.873520296262498</v>
      </c>
      <c r="AJ5505">
        <v>48.243656125878402</v>
      </c>
      <c r="AK5505">
        <v>22.256234672067801</v>
      </c>
      <c r="AL5505">
        <v>93.285401700532901</v>
      </c>
      <c r="AM5505">
        <v>70.594810681423496</v>
      </c>
      <c r="AN5505">
        <v>1.00000001415366</v>
      </c>
    </row>
    <row r="5506" spans="1:40" x14ac:dyDescent="0.25">
      <c r="A5506" t="str">
        <f>"20190303153917493"</f>
        <v>20190303153917493</v>
      </c>
      <c r="B5506" t="str">
        <f>"1551598757484228"</f>
        <v>1551598757484228</v>
      </c>
      <c r="C5506" t="s">
        <v>40</v>
      </c>
      <c r="D5506">
        <v>4.2500519999999904</v>
      </c>
      <c r="E5506">
        <v>0.65769540000000004</v>
      </c>
      <c r="F5506" t="s">
        <v>42</v>
      </c>
      <c r="G5506">
        <v>-212.05350000000001</v>
      </c>
      <c r="H5506" s="1">
        <v>-4.336865E-6</v>
      </c>
      <c r="I5506">
        <v>141.9511</v>
      </c>
      <c r="J5506">
        <v>-192.75880000000001</v>
      </c>
      <c r="K5506">
        <v>1.1156900000000001</v>
      </c>
      <c r="L5506">
        <v>153.6788</v>
      </c>
      <c r="M5506">
        <v>-0.28878290000000001</v>
      </c>
      <c r="N5506">
        <v>-1.432158E-2</v>
      </c>
      <c r="O5506">
        <v>-0.95728769999999996</v>
      </c>
      <c r="P5506">
        <v>-0.59126829999999997</v>
      </c>
      <c r="Q5506">
        <v>-6.5545229999999996E-2</v>
      </c>
      <c r="R5506">
        <v>-0.8038073</v>
      </c>
      <c r="S5506">
        <v>-2.7689970000000002</v>
      </c>
      <c r="T5506">
        <v>-0.1598175</v>
      </c>
      <c r="U5506">
        <v>-1.694107</v>
      </c>
      <c r="V5506">
        <v>0.3331751</v>
      </c>
      <c r="W5506">
        <v>-5.6655810000000001E-2</v>
      </c>
      <c r="X5506">
        <v>0.94116120000000003</v>
      </c>
      <c r="Y5506">
        <v>0.66501860000000002</v>
      </c>
      <c r="Z5506">
        <v>4.0369660000000002E-2</v>
      </c>
      <c r="AA5506">
        <v>0.74573489999999998</v>
      </c>
      <c r="AB5506">
        <v>18</v>
      </c>
      <c r="AC5506">
        <v>-19.294699999999999</v>
      </c>
      <c r="AD5506">
        <v>-1.1156943368650001</v>
      </c>
      <c r="AE5506">
        <v>-11.7277</v>
      </c>
      <c r="AF5506">
        <v>15.048621486447701</v>
      </c>
      <c r="AG5506">
        <v>-1.1156943368650001</v>
      </c>
      <c r="AH5506">
        <v>16.759562257438699</v>
      </c>
      <c r="AI5506">
        <v>92.835710029544202</v>
      </c>
      <c r="AJ5506">
        <v>48.0789342430486</v>
      </c>
      <c r="AK5506">
        <v>22.551911439092098</v>
      </c>
      <c r="AL5506">
        <v>93.247878040734093</v>
      </c>
      <c r="AM5506">
        <v>70.505818631008907</v>
      </c>
      <c r="AN5506">
        <v>0.99999996622610199</v>
      </c>
    </row>
    <row r="5507" spans="1:40" x14ac:dyDescent="0.25">
      <c r="A5507" t="str">
        <f>"20190303153917505"</f>
        <v>20190303153917505</v>
      </c>
      <c r="B5507" t="str">
        <f>"1551598757493989"</f>
        <v>1551598757493989</v>
      </c>
      <c r="C5507" t="s">
        <v>40</v>
      </c>
      <c r="D5507">
        <v>4.4648479999999999</v>
      </c>
      <c r="E5507">
        <v>0.65784849999999995</v>
      </c>
      <c r="F5507" t="s">
        <v>42</v>
      </c>
      <c r="G5507">
        <v>-213.4657</v>
      </c>
      <c r="H5507" s="1">
        <v>-3.5121560000000001E-6</v>
      </c>
      <c r="I5507">
        <v>141.2809</v>
      </c>
      <c r="J5507">
        <v>-192.7946</v>
      </c>
      <c r="K5507">
        <v>1.115648</v>
      </c>
      <c r="L5507">
        <v>153.58330000000001</v>
      </c>
      <c r="M5507">
        <v>-0.29442980000000002</v>
      </c>
      <c r="N5507">
        <v>-1.4343170000000001E-2</v>
      </c>
      <c r="O5507">
        <v>-0.95556549999999996</v>
      </c>
      <c r="P5507">
        <v>-0.59695540000000002</v>
      </c>
      <c r="Q5507">
        <v>-6.4240210000000006E-2</v>
      </c>
      <c r="R5507">
        <v>-0.79969829999999997</v>
      </c>
      <c r="S5507">
        <v>-2.7879330000000002</v>
      </c>
      <c r="T5507">
        <v>-0.150214299999999</v>
      </c>
      <c r="U5507">
        <v>-1.6692199999999999</v>
      </c>
      <c r="V5507">
        <v>0.33427469999999998</v>
      </c>
      <c r="W5507">
        <v>-5.5383630000000003E-2</v>
      </c>
      <c r="X5507">
        <v>0.94084699999999999</v>
      </c>
      <c r="Y5507">
        <v>0.66786190000000001</v>
      </c>
      <c r="Z5507">
        <v>3.7265699999999999E-2</v>
      </c>
      <c r="AA5507">
        <v>0.74335169999999995</v>
      </c>
      <c r="AB5507">
        <v>18</v>
      </c>
      <c r="AC5507">
        <v>-20.671099999999999</v>
      </c>
      <c r="AD5507">
        <v>-1.115651512156</v>
      </c>
      <c r="AE5507">
        <v>-12.3024</v>
      </c>
      <c r="AF5507">
        <v>16.097429820381699</v>
      </c>
      <c r="AG5507">
        <v>-1.115651512156</v>
      </c>
      <c r="AH5507">
        <v>17.805471816119098</v>
      </c>
      <c r="AI5507">
        <v>92.661131988202996</v>
      </c>
      <c r="AJ5507">
        <v>47.884146196364</v>
      </c>
      <c r="AK5507">
        <v>24.029289455023498</v>
      </c>
      <c r="AL5507">
        <v>93.174872740056202</v>
      </c>
      <c r="AM5507">
        <v>70.440319657762004</v>
      </c>
      <c r="AN5507">
        <v>0.99999999947053297</v>
      </c>
    </row>
    <row r="5508" spans="1:40" x14ac:dyDescent="0.25">
      <c r="A5508" t="str">
        <f>"20190303153917520"</f>
        <v>20190303153917520</v>
      </c>
      <c r="B5508" t="str">
        <f>"1551598757514485"</f>
        <v>1551598757514485</v>
      </c>
      <c r="C5508" t="s">
        <v>40</v>
      </c>
      <c r="D5508">
        <v>4.2409559999999997</v>
      </c>
      <c r="E5508">
        <v>0.65937990000000002</v>
      </c>
      <c r="F5508" t="s">
        <v>42</v>
      </c>
      <c r="G5508">
        <v>-214.17349999999999</v>
      </c>
      <c r="H5508" s="1">
        <v>-3.101851E-6</v>
      </c>
      <c r="I5508">
        <v>140.99619999999999</v>
      </c>
      <c r="J5508">
        <v>-192.83680000000001</v>
      </c>
      <c r="K5508">
        <v>1.1155999999999999</v>
      </c>
      <c r="L5508">
        <v>153.4736</v>
      </c>
      <c r="M5508">
        <v>-0.3009966</v>
      </c>
      <c r="N5508">
        <v>-1.436751E-2</v>
      </c>
      <c r="O5508">
        <v>-0.95351710000000001</v>
      </c>
      <c r="P5508">
        <v>-0.60357959999999899</v>
      </c>
      <c r="Q5508">
        <v>-6.4243209999999995E-2</v>
      </c>
      <c r="R5508">
        <v>-0.79471069999999999</v>
      </c>
      <c r="S5508">
        <v>-2.8007659999999999</v>
      </c>
      <c r="T5508">
        <v>-0.14615710000000001</v>
      </c>
      <c r="U5508">
        <v>-1.648987</v>
      </c>
      <c r="V5508">
        <v>0.33561249999999998</v>
      </c>
      <c r="W5508">
        <v>-5.5424319999999999E-2</v>
      </c>
      <c r="X5508">
        <v>0.94036819999999999</v>
      </c>
      <c r="Y5508">
        <v>0.66826750000000001</v>
      </c>
      <c r="Z5508">
        <v>3.5995949999999999E-2</v>
      </c>
      <c r="AA5508">
        <v>0.74304969999999904</v>
      </c>
      <c r="AB5508">
        <v>18</v>
      </c>
      <c r="AC5508">
        <v>-21.336699999999901</v>
      </c>
      <c r="AD5508">
        <v>-1.115603101851</v>
      </c>
      <c r="AE5508">
        <v>-12.477399999999999</v>
      </c>
      <c r="AF5508">
        <v>16.557234449319601</v>
      </c>
      <c r="AG5508">
        <v>-1.115603101851</v>
      </c>
      <c r="AH5508">
        <v>18.284329628387699</v>
      </c>
      <c r="AI5508">
        <v>92.589529948916294</v>
      </c>
      <c r="AJ5508">
        <v>47.837827064506101</v>
      </c>
      <c r="AK5508">
        <v>24.692170679187601</v>
      </c>
      <c r="AL5508">
        <v>93.1772077585007</v>
      </c>
      <c r="AM5508">
        <v>70.358782913136807</v>
      </c>
      <c r="AN5508">
        <v>0.99999997848747602</v>
      </c>
    </row>
    <row r="5509" spans="1:40" x14ac:dyDescent="0.25">
      <c r="A5509" t="str">
        <f>"20190303153917534"</f>
        <v>20190303153917534</v>
      </c>
      <c r="B5509" t="str">
        <f>"1551598757524244"</f>
        <v>1551598757524244</v>
      </c>
      <c r="C5509" t="s">
        <v>40</v>
      </c>
      <c r="D5509">
        <v>4.2460269999999998</v>
      </c>
      <c r="E5509">
        <v>0.65937990000000002</v>
      </c>
      <c r="F5509" t="s">
        <v>42</v>
      </c>
      <c r="G5509">
        <v>-216.38419999999999</v>
      </c>
      <c r="H5509" s="1">
        <v>-1.784974E-6</v>
      </c>
      <c r="I5509">
        <v>139.9744</v>
      </c>
      <c r="J5509">
        <v>-192.8811</v>
      </c>
      <c r="K5509">
        <v>1.115559</v>
      </c>
      <c r="L5509">
        <v>153.3604</v>
      </c>
      <c r="M5509">
        <v>-0.30783300000000002</v>
      </c>
      <c r="N5509">
        <v>-1.439175E-2</v>
      </c>
      <c r="O5509">
        <v>-0.9513317</v>
      </c>
      <c r="P5509">
        <v>-0.61112049999999996</v>
      </c>
      <c r="Q5509">
        <v>-6.4264909999999995E-2</v>
      </c>
      <c r="R5509">
        <v>-0.78892479999999998</v>
      </c>
      <c r="S5509">
        <v>-2.8242950000000002</v>
      </c>
      <c r="T5509">
        <v>-0.13380610000000001</v>
      </c>
      <c r="U5509">
        <v>-1.61911</v>
      </c>
      <c r="V5509">
        <v>0.337810099999999</v>
      </c>
      <c r="W5509">
        <v>-5.5498730000000003E-2</v>
      </c>
      <c r="X5509">
        <v>0.93957659999999998</v>
      </c>
      <c r="Y5509">
        <v>0.67165769999999902</v>
      </c>
      <c r="Z5509">
        <v>3.1981130000000003E-2</v>
      </c>
      <c r="AA5509">
        <v>0.74017100000000002</v>
      </c>
      <c r="AB5509">
        <v>18</v>
      </c>
      <c r="AC5509">
        <v>-23.5030999999999</v>
      </c>
      <c r="AD5509">
        <v>-1.1155607849739999</v>
      </c>
      <c r="AE5509">
        <v>-13.3859999999999</v>
      </c>
      <c r="AF5509">
        <v>18.209502290057799</v>
      </c>
      <c r="AG5509">
        <v>-1.1155607849739999</v>
      </c>
      <c r="AH5509">
        <v>19.937705903796001</v>
      </c>
      <c r="AI5509">
        <v>92.365788841403102</v>
      </c>
      <c r="AJ5509">
        <v>47.593928069431698</v>
      </c>
      <c r="AK5509">
        <v>27.024850901029101</v>
      </c>
      <c r="AL5509">
        <v>93.181477704993895</v>
      </c>
      <c r="AM5509">
        <v>70.224743891316393</v>
      </c>
      <c r="AN5509">
        <v>0.99999997998059098</v>
      </c>
    </row>
    <row r="5510" spans="1:40" x14ac:dyDescent="0.25">
      <c r="A5510" t="str">
        <f>"20190303153917546"</f>
        <v>20190303153917546</v>
      </c>
      <c r="B5510" t="str">
        <f>"1551598757543764"</f>
        <v>1551598757543764</v>
      </c>
      <c r="C5510" t="s">
        <v>40</v>
      </c>
      <c r="D5510">
        <v>4.4870780000000003</v>
      </c>
      <c r="E5510">
        <v>0.65959159999999994</v>
      </c>
      <c r="F5510" t="s">
        <v>42</v>
      </c>
      <c r="G5510">
        <v>-216.52760000000001</v>
      </c>
      <c r="H5510" s="1">
        <v>-1.750768E-6</v>
      </c>
      <c r="I5510">
        <v>140.10069999999999</v>
      </c>
      <c r="J5510">
        <v>-192.91839999999999</v>
      </c>
      <c r="K5510">
        <v>1.1155330000000001</v>
      </c>
      <c r="L5510">
        <v>153.2672</v>
      </c>
      <c r="M5510">
        <v>-0.31351299999999999</v>
      </c>
      <c r="N5510">
        <v>-1.4410890000000001E-2</v>
      </c>
      <c r="O5510">
        <v>-0.94947459999999995</v>
      </c>
      <c r="P5510">
        <v>-0.61691779999999996</v>
      </c>
      <c r="Q5510">
        <v>-6.4574649999999997E-2</v>
      </c>
      <c r="R5510">
        <v>-0.78437400000000002</v>
      </c>
      <c r="S5510">
        <v>-2.8394469999999998</v>
      </c>
      <c r="T5510">
        <v>-0.13395560000000001</v>
      </c>
      <c r="U5510">
        <v>-1.5922240000000001</v>
      </c>
      <c r="V5510">
        <v>0.3391169</v>
      </c>
      <c r="W5510">
        <v>-5.5840790000000001E-2</v>
      </c>
      <c r="X5510">
        <v>0.93908550000000002</v>
      </c>
      <c r="Y5510">
        <v>0.67424039999999996</v>
      </c>
      <c r="Z5510">
        <v>3.212255E-2</v>
      </c>
      <c r="AA5510">
        <v>0.737813099999999</v>
      </c>
      <c r="AB5510">
        <v>18</v>
      </c>
      <c r="AC5510">
        <v>-23.609200000000001</v>
      </c>
      <c r="AD5510">
        <v>-1.11553475076799</v>
      </c>
      <c r="AE5510">
        <v>-13.166499999999999</v>
      </c>
      <c r="AF5510">
        <v>18.2592710349168</v>
      </c>
      <c r="AG5510">
        <v>-1.11553475076799</v>
      </c>
      <c r="AH5510">
        <v>19.871275139438598</v>
      </c>
      <c r="AI5510">
        <v>92.367079124981998</v>
      </c>
      <c r="AJ5510">
        <v>47.4207905665072</v>
      </c>
      <c r="AK5510">
        <v>27.009497814176299</v>
      </c>
      <c r="AL5510">
        <v>93.201106608365393</v>
      </c>
      <c r="AM5510">
        <v>70.144640350705004</v>
      </c>
      <c r="AN5510">
        <v>1.00000002100184</v>
      </c>
    </row>
    <row r="5511" spans="1:40" x14ac:dyDescent="0.25">
      <c r="A5511" t="str">
        <f>"20190303153917559"</f>
        <v>20190303153917559</v>
      </c>
      <c r="B5511" t="str">
        <f>"1551598757554500"</f>
        <v>1551598757554500</v>
      </c>
      <c r="C5511" t="s">
        <v>40</v>
      </c>
      <c r="D5511">
        <v>4.509779</v>
      </c>
      <c r="E5511">
        <v>0.65947089999999997</v>
      </c>
      <c r="F5511" t="s">
        <v>42</v>
      </c>
      <c r="G5511">
        <v>-217.22239999999999</v>
      </c>
      <c r="H5511" s="1">
        <v>-1.3653680000000001E-6</v>
      </c>
      <c r="I5511">
        <v>139.88659999999999</v>
      </c>
      <c r="J5511">
        <v>-192.9564</v>
      </c>
      <c r="K5511">
        <v>1.1155109999999999</v>
      </c>
      <c r="L5511">
        <v>153.17449999999999</v>
      </c>
      <c r="M5511">
        <v>-0.31921569999999999</v>
      </c>
      <c r="N5511">
        <v>-1.4428450000000001E-2</v>
      </c>
      <c r="O5511">
        <v>-0.94757219999999998</v>
      </c>
      <c r="P5511">
        <v>-0.62253890000000001</v>
      </c>
      <c r="Q5511">
        <v>-6.4935580000000007E-2</v>
      </c>
      <c r="R5511">
        <v>-0.77989049999999904</v>
      </c>
      <c r="S5511">
        <v>-2.8524479999999999</v>
      </c>
      <c r="T5511">
        <v>-0.13092509999999999</v>
      </c>
      <c r="U5511">
        <v>-1.570419</v>
      </c>
      <c r="V5511">
        <v>0.34021970000000001</v>
      </c>
      <c r="W5511">
        <v>-5.6227039999999999E-2</v>
      </c>
      <c r="X5511">
        <v>0.93866340000000004</v>
      </c>
      <c r="Y5511">
        <v>0.67558079999999998</v>
      </c>
      <c r="Z5511">
        <v>3.1192419999999998E-2</v>
      </c>
      <c r="AA5511">
        <v>0.73662589999999994</v>
      </c>
      <c r="AB5511">
        <v>18</v>
      </c>
      <c r="AC5511">
        <v>-24.265999999999899</v>
      </c>
      <c r="AD5511">
        <v>-1.1155123653679999</v>
      </c>
      <c r="AE5511">
        <v>-13.2879</v>
      </c>
      <c r="AF5511">
        <v>18.723593627489599</v>
      </c>
      <c r="AG5511">
        <v>-1.1155123653679999</v>
      </c>
      <c r="AH5511">
        <v>20.3064375114797</v>
      </c>
      <c r="AI5511">
        <v>92.312705469104401</v>
      </c>
      <c r="AJ5511">
        <v>47.322329807634503</v>
      </c>
      <c r="AK5511">
        <v>27.6436019825979</v>
      </c>
      <c r="AL5511">
        <v>93.223272152154095</v>
      </c>
      <c r="AM5511">
        <v>70.076889361789497</v>
      </c>
      <c r="AN5511">
        <v>0.99999995139740405</v>
      </c>
    </row>
    <row r="5512" spans="1:40" x14ac:dyDescent="0.25">
      <c r="A5512" t="str">
        <f>"20190303153917575"</f>
        <v>20190303153917575</v>
      </c>
      <c r="B5512" t="str">
        <f>"1551598757564260"</f>
        <v>1551598757564260</v>
      </c>
      <c r="C5512" t="s">
        <v>40</v>
      </c>
      <c r="D5512">
        <v>4.5546230000000003</v>
      </c>
      <c r="E5512">
        <v>0.65933330000000001</v>
      </c>
      <c r="F5512" t="s">
        <v>42</v>
      </c>
      <c r="G5512">
        <v>-216.71090000000001</v>
      </c>
      <c r="H5512" s="1">
        <v>-1.7204719999999999E-6</v>
      </c>
      <c r="I5512">
        <v>140.3125</v>
      </c>
      <c r="J5512">
        <v>-193.01349999999999</v>
      </c>
      <c r="K5512">
        <v>1.115483</v>
      </c>
      <c r="L5512">
        <v>153.0378</v>
      </c>
      <c r="M5512">
        <v>-0.3276848</v>
      </c>
      <c r="N5512">
        <v>-1.445253E-2</v>
      </c>
      <c r="O5512">
        <v>-0.94467670000000004</v>
      </c>
      <c r="P5512">
        <v>-0.63029579999999996</v>
      </c>
      <c r="Q5512">
        <v>-6.4974439999999994E-2</v>
      </c>
      <c r="R5512">
        <v>-0.77363149999999903</v>
      </c>
      <c r="S5512">
        <v>-2.86293</v>
      </c>
      <c r="T5512">
        <v>-0.13444329999999999</v>
      </c>
      <c r="U5512">
        <v>-1.5501560000000001</v>
      </c>
      <c r="V5512">
        <v>0.34118670000000001</v>
      </c>
      <c r="W5512">
        <v>-5.6286660000000002E-2</v>
      </c>
      <c r="X5512">
        <v>0.93830880000000005</v>
      </c>
      <c r="Y5512">
        <v>0.67410530000000002</v>
      </c>
      <c r="Z5512">
        <v>3.2420640000000001E-2</v>
      </c>
      <c r="AA5512">
        <v>0.73792340000000001</v>
      </c>
      <c r="AB5512">
        <v>18</v>
      </c>
      <c r="AC5512">
        <v>-23.697399999999998</v>
      </c>
      <c r="AD5512">
        <v>-1.115484720472</v>
      </c>
      <c r="AE5512">
        <v>-12.725300000000001</v>
      </c>
      <c r="AF5512">
        <v>18.187115586194899</v>
      </c>
      <c r="AG5512">
        <v>-1.115484720472</v>
      </c>
      <c r="AH5512">
        <v>19.754661387202599</v>
      </c>
      <c r="AI5512">
        <v>92.378831144773699</v>
      </c>
      <c r="AJ5512">
        <v>47.3658014287181</v>
      </c>
      <c r="AK5512">
        <v>26.874934902809599</v>
      </c>
      <c r="AL5512">
        <v>93.226693458304794</v>
      </c>
      <c r="AM5512">
        <v>70.017783351127093</v>
      </c>
      <c r="AN5512">
        <v>0.999999978254142</v>
      </c>
    </row>
    <row r="5513" spans="1:40" x14ac:dyDescent="0.25">
      <c r="A5513" t="str">
        <f>"20190303153917590"</f>
        <v>20190303153917590</v>
      </c>
      <c r="B5513" t="str">
        <f>"1551598757583781"</f>
        <v>1551598757583781</v>
      </c>
      <c r="C5513" t="s">
        <v>40</v>
      </c>
      <c r="D5513">
        <v>4.4953310000000002</v>
      </c>
      <c r="E5513">
        <v>0.65905669999999905</v>
      </c>
      <c r="F5513" t="s">
        <v>42</v>
      </c>
      <c r="G5513">
        <v>-216.66069999999999</v>
      </c>
      <c r="H5513" s="1">
        <v>-1.8016170000000001E-6</v>
      </c>
      <c r="I5513">
        <v>140.5283</v>
      </c>
      <c r="J5513">
        <v>-193.06020000000001</v>
      </c>
      <c r="K5513">
        <v>1.115467</v>
      </c>
      <c r="L5513">
        <v>152.9282</v>
      </c>
      <c r="M5513">
        <v>-0.33452609999999999</v>
      </c>
      <c r="N5513">
        <v>-1.447036E-2</v>
      </c>
      <c r="O5513">
        <v>-0.94227550000000004</v>
      </c>
      <c r="P5513">
        <v>-0.63697930000000003</v>
      </c>
      <c r="Q5513">
        <v>-6.5004220000000001E-2</v>
      </c>
      <c r="R5513">
        <v>-0.76813529999999997</v>
      </c>
      <c r="S5513">
        <v>-2.8773499999999999</v>
      </c>
      <c r="T5513">
        <v>-0.13572989999999999</v>
      </c>
      <c r="U5513">
        <v>-1.522141</v>
      </c>
      <c r="V5513">
        <v>0.34251409999999999</v>
      </c>
      <c r="W5513">
        <v>-5.6341040000000002E-2</v>
      </c>
      <c r="X5513">
        <v>0.93782189999999999</v>
      </c>
      <c r="Y5513">
        <v>0.67587439999999999</v>
      </c>
      <c r="Z5513">
        <v>3.2945559999999999E-2</v>
      </c>
      <c r="AA5513">
        <v>0.73628009999999999</v>
      </c>
      <c r="AB5513">
        <v>18</v>
      </c>
      <c r="AC5513">
        <v>-23.600499999999901</v>
      </c>
      <c r="AD5513">
        <v>-1.115468801617</v>
      </c>
      <c r="AE5513">
        <v>-12.399900000000001</v>
      </c>
      <c r="AF5513">
        <v>18.060357341197001</v>
      </c>
      <c r="AG5513">
        <v>-1.115468801617</v>
      </c>
      <c r="AH5513">
        <v>19.5469330423367</v>
      </c>
      <c r="AI5513">
        <v>92.4001028333074</v>
      </c>
      <c r="AJ5513">
        <v>47.263661953217799</v>
      </c>
      <c r="AK5513">
        <v>26.636504449734002</v>
      </c>
      <c r="AL5513">
        <v>93.2298138622794</v>
      </c>
      <c r="AM5513">
        <v>69.936645296530301</v>
      </c>
      <c r="AN5513">
        <v>1.0000000688033399</v>
      </c>
    </row>
    <row r="5514" spans="1:40" x14ac:dyDescent="0.25">
      <c r="A5514" t="str">
        <f>"20190303153917604"</f>
        <v>20190303153917604</v>
      </c>
      <c r="B5514" t="str">
        <f>"1551598757594517"</f>
        <v>1551598757594517</v>
      </c>
      <c r="C5514" t="s">
        <v>40</v>
      </c>
      <c r="D5514">
        <v>4.5206390000000001</v>
      </c>
      <c r="E5514">
        <v>0.65883829999999999</v>
      </c>
      <c r="F5514" t="s">
        <v>42</v>
      </c>
      <c r="G5514">
        <v>-216.46250000000001</v>
      </c>
      <c r="H5514" s="1">
        <v>-1.965137E-6</v>
      </c>
      <c r="I5514">
        <v>140.79060000000001</v>
      </c>
      <c r="J5514">
        <v>-193.10650000000001</v>
      </c>
      <c r="K5514">
        <v>1.1154580000000001</v>
      </c>
      <c r="L5514">
        <v>152.8227</v>
      </c>
      <c r="M5514">
        <v>-0.3411788</v>
      </c>
      <c r="N5514">
        <v>-1.4486199999999999E-2</v>
      </c>
      <c r="O5514">
        <v>-0.93988680000000002</v>
      </c>
      <c r="P5514">
        <v>-0.6424839</v>
      </c>
      <c r="Q5514">
        <v>-6.5018899999999893E-2</v>
      </c>
      <c r="R5514">
        <v>-0.76353599999999999</v>
      </c>
      <c r="S5514">
        <v>-2.8888850000000001</v>
      </c>
      <c r="T5514">
        <v>-0.13769870000000001</v>
      </c>
      <c r="U5514">
        <v>-1.4983219999999999</v>
      </c>
      <c r="V5514">
        <v>0.34262399999999998</v>
      </c>
      <c r="W5514">
        <v>-5.6352060000000002E-2</v>
      </c>
      <c r="X5514">
        <v>0.93778099999999998</v>
      </c>
      <c r="Y5514">
        <v>0.67662639999999996</v>
      </c>
      <c r="Z5514">
        <v>3.3683949999999997E-2</v>
      </c>
      <c r="AA5514">
        <v>0.73555559999999998</v>
      </c>
      <c r="AB5514">
        <v>18</v>
      </c>
      <c r="AC5514">
        <v>-23.355999999999899</v>
      </c>
      <c r="AD5514">
        <v>-1.1154599651369901</v>
      </c>
      <c r="AE5514">
        <v>-12.0320999999999</v>
      </c>
      <c r="AF5514">
        <v>17.816656018042998</v>
      </c>
      <c r="AG5514">
        <v>-1.1154599651369901</v>
      </c>
      <c r="AH5514">
        <v>19.244717332320199</v>
      </c>
      <c r="AI5514">
        <v>92.435489487390001</v>
      </c>
      <c r="AJ5514">
        <v>47.206648595786803</v>
      </c>
      <c r="AK5514">
        <v>26.2495071915646</v>
      </c>
      <c r="AL5514">
        <v>93.230446547150606</v>
      </c>
      <c r="AM5514">
        <v>69.929916002423894</v>
      </c>
      <c r="AN5514">
        <v>0.99999998200162099</v>
      </c>
    </row>
    <row r="5515" spans="1:40" x14ac:dyDescent="0.25">
      <c r="A5515" t="str">
        <f>"20190303153917616"</f>
        <v>20190303153917616</v>
      </c>
      <c r="B5515" t="str">
        <f>"1551598757614036"</f>
        <v>1551598757614036</v>
      </c>
      <c r="C5515" t="s">
        <v>40</v>
      </c>
      <c r="D5515">
        <v>4.5399890000000003</v>
      </c>
      <c r="E5515">
        <v>0.6584025</v>
      </c>
      <c r="F5515" t="s">
        <v>42</v>
      </c>
      <c r="G5515">
        <v>-216.33879999999999</v>
      </c>
      <c r="H5515" s="1">
        <v>-2.0717279999999999E-6</v>
      </c>
      <c r="I5515">
        <v>140.97149999999999</v>
      </c>
      <c r="J5515">
        <v>-193.1497</v>
      </c>
      <c r="K5515">
        <v>1.1154539999999999</v>
      </c>
      <c r="L5515">
        <v>152.7259</v>
      </c>
      <c r="M5515">
        <v>-0.34731220000000002</v>
      </c>
      <c r="N5515">
        <v>-1.4500020000000001E-2</v>
      </c>
      <c r="O5515">
        <v>-0.93763759999999996</v>
      </c>
      <c r="P5515">
        <v>-0.64760609999999996</v>
      </c>
      <c r="Q5515">
        <v>-6.5362229999999993E-2</v>
      </c>
      <c r="R5515">
        <v>-0.75916680000000003</v>
      </c>
      <c r="S5515">
        <v>-2.8982700000000001</v>
      </c>
      <c r="T5515">
        <v>-0.13915539999999901</v>
      </c>
      <c r="U5515">
        <v>-1.4784550000000001</v>
      </c>
      <c r="V5515">
        <v>0.34281040000000002</v>
      </c>
      <c r="W5515">
        <v>-5.6692369999999999E-2</v>
      </c>
      <c r="X5515">
        <v>0.93769239999999998</v>
      </c>
      <c r="Y5515">
        <v>0.67676380000000003</v>
      </c>
      <c r="Z5515">
        <v>3.4238249999999998E-2</v>
      </c>
      <c r="AA5515">
        <v>0.73540360000000005</v>
      </c>
      <c r="AB5515">
        <v>18</v>
      </c>
      <c r="AC5515">
        <v>-23.1891</v>
      </c>
      <c r="AD5515">
        <v>-1.115456071728</v>
      </c>
      <c r="AE5515">
        <v>-11.7544</v>
      </c>
      <c r="AF5515">
        <v>17.6299255593471</v>
      </c>
      <c r="AG5515">
        <v>-1.115456071728</v>
      </c>
      <c r="AH5515">
        <v>19.042173538511399</v>
      </c>
      <c r="AI5515">
        <v>92.461304093499507</v>
      </c>
      <c r="AJ5515">
        <v>47.2053791881332</v>
      </c>
      <c r="AK5515">
        <v>25.9742736288594</v>
      </c>
      <c r="AL5515">
        <v>93.2499759844886</v>
      </c>
      <c r="AM5515">
        <v>69.918123590958302</v>
      </c>
      <c r="AN5515">
        <v>1.00000001609106</v>
      </c>
    </row>
    <row r="5516" spans="1:40" x14ac:dyDescent="0.25">
      <c r="A5516" t="str">
        <f>"20190303153917631"</f>
        <v>20190303153917631</v>
      </c>
      <c r="B5516" t="str">
        <f>"1551598757623797"</f>
        <v>1551598757623797</v>
      </c>
      <c r="C5516" t="s">
        <v>40</v>
      </c>
      <c r="D5516">
        <v>4.5326760000000004</v>
      </c>
      <c r="E5516">
        <v>0.65818359999999998</v>
      </c>
      <c r="F5516" t="s">
        <v>42</v>
      </c>
      <c r="G5516">
        <v>-215.86779999999999</v>
      </c>
      <c r="H5516" s="1">
        <v>-2.3820249999999999E-6</v>
      </c>
      <c r="I5516">
        <v>141.30090000000001</v>
      </c>
      <c r="J5516">
        <v>-193.19919999999999</v>
      </c>
      <c r="K5516">
        <v>1.115448</v>
      </c>
      <c r="L5516">
        <v>152.61670000000001</v>
      </c>
      <c r="M5516">
        <v>-0.35426479999999999</v>
      </c>
      <c r="N5516">
        <v>-1.451502E-2</v>
      </c>
      <c r="O5516">
        <v>-0.93503250000000004</v>
      </c>
      <c r="P5516">
        <v>-0.65289160000000002</v>
      </c>
      <c r="Q5516">
        <v>-6.6074919999999995E-2</v>
      </c>
      <c r="R5516">
        <v>-0.75456400000000001</v>
      </c>
      <c r="S5516">
        <v>-2.9052579999999999</v>
      </c>
      <c r="T5516">
        <v>-0.142648</v>
      </c>
      <c r="U5516">
        <v>-1.4610749999999999</v>
      </c>
      <c r="V5516">
        <v>0.34240700000000002</v>
      </c>
      <c r="W5516">
        <v>-5.7388799999999997E-2</v>
      </c>
      <c r="X5516">
        <v>0.9377974</v>
      </c>
      <c r="Y5516">
        <v>0.67547669999999904</v>
      </c>
      <c r="Z5516">
        <v>3.5460510000000001E-2</v>
      </c>
      <c r="AA5516">
        <v>0.73652819999999997</v>
      </c>
      <c r="AB5516">
        <v>18</v>
      </c>
      <c r="AC5516">
        <v>-22.668600000000001</v>
      </c>
      <c r="AD5516">
        <v>-1.1154503820249999</v>
      </c>
      <c r="AE5516">
        <v>-11.3157999999999</v>
      </c>
      <c r="AF5516">
        <v>17.155645783217199</v>
      </c>
      <c r="AG5516">
        <v>-1.1154503820249999</v>
      </c>
      <c r="AH5516">
        <v>18.577279960392001</v>
      </c>
      <c r="AI5516">
        <v>92.525773600001898</v>
      </c>
      <c r="AJ5516">
        <v>47.2783105849877</v>
      </c>
      <c r="AK5516">
        <v>25.311573292088301</v>
      </c>
      <c r="AL5516">
        <v>93.289943624233501</v>
      </c>
      <c r="AM5516">
        <v>69.941936433839899</v>
      </c>
      <c r="AN5516">
        <v>0.99999999573060006</v>
      </c>
    </row>
    <row r="5517" spans="1:40" x14ac:dyDescent="0.25">
      <c r="A5517" t="str">
        <f>"20190303153917648"</f>
        <v>20190303153917648</v>
      </c>
      <c r="B5517" t="str">
        <f>"1551598757644292"</f>
        <v>1551598757644292</v>
      </c>
      <c r="C5517" t="s">
        <v>40</v>
      </c>
      <c r="D5517">
        <v>4.57517</v>
      </c>
      <c r="E5517">
        <v>0.65765589999999996</v>
      </c>
      <c r="F5517" t="s">
        <v>42</v>
      </c>
      <c r="G5517">
        <v>-215.47239999999999</v>
      </c>
      <c r="H5517" s="1">
        <v>-2.6479570000000002E-6</v>
      </c>
      <c r="I5517">
        <v>141.59790000000001</v>
      </c>
      <c r="J5517">
        <v>-193.25829999999999</v>
      </c>
      <c r="K5517">
        <v>1.1154250000000001</v>
      </c>
      <c r="L5517">
        <v>152.48949999999999</v>
      </c>
      <c r="M5517">
        <v>-0.36243629999999999</v>
      </c>
      <c r="N5517">
        <v>-1.453193E-2</v>
      </c>
      <c r="O5517">
        <v>-0.93189520000000003</v>
      </c>
      <c r="P5517">
        <v>-0.65945750000000003</v>
      </c>
      <c r="Q5517">
        <v>-6.8112909999999999E-2</v>
      </c>
      <c r="R5517">
        <v>-0.74864969999999997</v>
      </c>
      <c r="S5517">
        <v>-2.9140929999999998</v>
      </c>
      <c r="T5517">
        <v>-0.14593889999999901</v>
      </c>
      <c r="U5517">
        <v>-1.441635</v>
      </c>
      <c r="V5517">
        <v>0.34242499999999998</v>
      </c>
      <c r="W5517">
        <v>-5.9420309999999997E-2</v>
      </c>
      <c r="X5517">
        <v>0.93766430000000001</v>
      </c>
      <c r="Y5517">
        <v>0.67381689999999905</v>
      </c>
      <c r="Z5517">
        <v>3.6607899999999999E-2</v>
      </c>
      <c r="AA5517">
        <v>0.73799099999999995</v>
      </c>
      <c r="AB5517">
        <v>18</v>
      </c>
      <c r="AC5517">
        <v>-22.214099999999998</v>
      </c>
      <c r="AD5517">
        <v>-1.115427647957</v>
      </c>
      <c r="AE5517">
        <v>-10.891599999999899</v>
      </c>
      <c r="AF5517">
        <v>16.721482840103299</v>
      </c>
      <c r="AG5517">
        <v>-1.115427647957</v>
      </c>
      <c r="AH5517">
        <v>18.166023499902298</v>
      </c>
      <c r="AI5517">
        <v>92.586675487136006</v>
      </c>
      <c r="AJ5517">
        <v>47.3710159176442</v>
      </c>
      <c r="AK5517">
        <v>24.7155128817652</v>
      </c>
      <c r="AL5517">
        <v>93.406539620538595</v>
      </c>
      <c r="AM5517">
        <v>69.938345789915999</v>
      </c>
      <c r="AN5517">
        <v>0.99999999667999295</v>
      </c>
    </row>
    <row r="5518" spans="1:40" x14ac:dyDescent="0.25">
      <c r="A5518" t="str">
        <f>"20190303153917670"</f>
        <v>20190303153917670</v>
      </c>
      <c r="B5518" t="str">
        <f>"1551598757663812"</f>
        <v>1551598757663812</v>
      </c>
      <c r="C5518" t="s">
        <v>40</v>
      </c>
      <c r="D5518">
        <v>4.5656480000000004</v>
      </c>
      <c r="E5518">
        <v>0.6571129</v>
      </c>
      <c r="F5518" t="s">
        <v>42</v>
      </c>
      <c r="G5518">
        <v>-214.2526</v>
      </c>
      <c r="H5518" s="1">
        <v>-3.4131150000000002E-6</v>
      </c>
      <c r="I5518">
        <v>142.3066</v>
      </c>
      <c r="J5518">
        <v>-193.33590000000001</v>
      </c>
      <c r="K5518">
        <v>1.1154029999999999</v>
      </c>
      <c r="L5518">
        <v>152.3271</v>
      </c>
      <c r="M5518">
        <v>-0.37295889999999998</v>
      </c>
      <c r="N5518">
        <v>-1.4553139999999999E-2</v>
      </c>
      <c r="O5518">
        <v>-0.92773369999999999</v>
      </c>
      <c r="P5518">
        <v>-0.66807569999999905</v>
      </c>
      <c r="Q5518">
        <v>-7.0451250000000007E-2</v>
      </c>
      <c r="R5518">
        <v>-0.74075059999999904</v>
      </c>
      <c r="S5518">
        <v>-2.9234309999999999</v>
      </c>
      <c r="T5518">
        <v>-0.15532219999999999</v>
      </c>
      <c r="U5518">
        <v>-1.417953</v>
      </c>
      <c r="V5518">
        <v>0.34270869999999998</v>
      </c>
      <c r="W5518">
        <v>-6.1760599999999999E-2</v>
      </c>
      <c r="X5518">
        <v>0.93740939999999995</v>
      </c>
      <c r="Y5518">
        <v>0.67109700000000005</v>
      </c>
      <c r="Z5518">
        <v>3.9778769999999998E-2</v>
      </c>
      <c r="AA5518">
        <v>0.74030169999999995</v>
      </c>
      <c r="AB5518">
        <v>18</v>
      </c>
      <c r="AC5518">
        <v>-20.916699999999899</v>
      </c>
      <c r="AD5518">
        <v>-1.1154064131149899</v>
      </c>
      <c r="AE5518">
        <v>-10.020499999999901</v>
      </c>
      <c r="AF5518">
        <v>15.6333947651645</v>
      </c>
      <c r="AG5518">
        <v>-1.1154064131149899</v>
      </c>
      <c r="AH5518">
        <v>17.059779315390799</v>
      </c>
      <c r="AI5518">
        <v>92.759717924554394</v>
      </c>
      <c r="AJ5518">
        <v>47.498197876563303</v>
      </c>
      <c r="AK5518">
        <v>23.166424705589101</v>
      </c>
      <c r="AL5518">
        <v>93.540875179314298</v>
      </c>
      <c r="AM5518">
        <v>69.918028603025107</v>
      </c>
      <c r="AN5518">
        <v>1.0000000039882</v>
      </c>
    </row>
    <row r="5519" spans="1:40" x14ac:dyDescent="0.25">
      <c r="A5519" t="str">
        <f>"20190303153917682"</f>
        <v>20190303153917682</v>
      </c>
      <c r="B5519" t="str">
        <f>"1551598757674549"</f>
        <v>1551598757674549</v>
      </c>
      <c r="C5519" t="s">
        <v>40</v>
      </c>
      <c r="D5519">
        <v>4.5875629999999896</v>
      </c>
      <c r="E5519">
        <v>0.65689929999999996</v>
      </c>
      <c r="F5519" t="s">
        <v>42</v>
      </c>
      <c r="G5519">
        <v>-212.9136</v>
      </c>
      <c r="H5519" s="1">
        <v>-4.2079589999999997E-6</v>
      </c>
      <c r="I5519">
        <v>143.0864</v>
      </c>
      <c r="J5519">
        <v>-193.38579999999999</v>
      </c>
      <c r="K5519">
        <v>1.1153839999999999</v>
      </c>
      <c r="L5519">
        <v>152.22569999999999</v>
      </c>
      <c r="M5519">
        <v>-0.37960919999999998</v>
      </c>
      <c r="N5519">
        <v>-1.4567129999999999E-2</v>
      </c>
      <c r="O5519">
        <v>-0.92503230000000003</v>
      </c>
      <c r="P5519">
        <v>-0.67350209999999999</v>
      </c>
      <c r="Q5519">
        <v>-7.1163770000000001E-2</v>
      </c>
      <c r="R5519">
        <v>-0.73575159999999995</v>
      </c>
      <c r="S5519">
        <v>-2.9362490000000001</v>
      </c>
      <c r="T5519">
        <v>-0.16728779999999999</v>
      </c>
      <c r="U5519">
        <v>-1.38591</v>
      </c>
      <c r="V5519">
        <v>0.34288210000000002</v>
      </c>
      <c r="W5519">
        <v>-6.2480050000000002E-2</v>
      </c>
      <c r="X5519">
        <v>0.93729830000000003</v>
      </c>
      <c r="Y5519">
        <v>0.6734523</v>
      </c>
      <c r="Z5519">
        <v>4.3858679999999997E-2</v>
      </c>
      <c r="AA5519">
        <v>0.73792849999999999</v>
      </c>
      <c r="AB5519">
        <v>18</v>
      </c>
      <c r="AC5519">
        <v>-19.527799999999999</v>
      </c>
      <c r="AD5519">
        <v>-1.1153882079589901</v>
      </c>
      <c r="AE5519">
        <v>-9.1392999999999898</v>
      </c>
      <c r="AF5519">
        <v>14.557072864102899</v>
      </c>
      <c r="AG5519">
        <v>-1.1153882079589901</v>
      </c>
      <c r="AH5519">
        <v>15.8264076232532</v>
      </c>
      <c r="AI5519">
        <v>92.969329841513698</v>
      </c>
      <c r="AJ5519">
        <v>47.392262388092597</v>
      </c>
      <c r="AK5519">
        <v>21.5320142922724</v>
      </c>
      <c r="AL5519">
        <v>93.582176419470699</v>
      </c>
      <c r="AM5519">
        <v>69.906489293805507</v>
      </c>
      <c r="AN5519">
        <v>0.99999999716565102</v>
      </c>
    </row>
    <row r="5520" spans="1:40" x14ac:dyDescent="0.25">
      <c r="A5520" t="str">
        <f>"20190303153917696"</f>
        <v>20190303153917696</v>
      </c>
      <c r="B5520" t="str">
        <f>"1551598757684309"</f>
        <v>1551598757684309</v>
      </c>
      <c r="C5520" t="s">
        <v>40</v>
      </c>
      <c r="D5520">
        <v>4.6365720000000001</v>
      </c>
      <c r="E5520">
        <v>0.65703809999999996</v>
      </c>
      <c r="F5520" t="s">
        <v>42</v>
      </c>
      <c r="G5520">
        <v>-212.48740000000001</v>
      </c>
      <c r="H5520" s="1">
        <v>-4.4224689999999998E-6</v>
      </c>
      <c r="I5520">
        <v>143.37309999999999</v>
      </c>
      <c r="J5520">
        <v>-193.43109999999999</v>
      </c>
      <c r="K5520">
        <v>1.1153679999999999</v>
      </c>
      <c r="L5520">
        <v>152.13499999999999</v>
      </c>
      <c r="M5520">
        <v>-0.38558629999999999</v>
      </c>
      <c r="N5520">
        <v>-1.4579760000000001E-2</v>
      </c>
      <c r="O5520">
        <v>-0.92255670000000001</v>
      </c>
      <c r="P5520">
        <v>-0.67830219999999997</v>
      </c>
      <c r="Q5520">
        <v>-7.1907509999999994E-2</v>
      </c>
      <c r="R5520">
        <v>-0.73125649999999998</v>
      </c>
      <c r="S5520">
        <v>-2.945084</v>
      </c>
      <c r="T5520">
        <v>-0.17197019999999999</v>
      </c>
      <c r="U5520">
        <v>-1.3648990000000001</v>
      </c>
      <c r="V5520">
        <v>0.34296529999999997</v>
      </c>
      <c r="W5520">
        <v>-6.3229889999999997E-2</v>
      </c>
      <c r="X5520">
        <v>0.93721759999999998</v>
      </c>
      <c r="Y5520">
        <v>0.67377819999999899</v>
      </c>
      <c r="Z5520">
        <v>4.5474720000000003E-2</v>
      </c>
      <c r="AA5520">
        <v>0.73753299999999999</v>
      </c>
      <c r="AB5520">
        <v>18</v>
      </c>
      <c r="AC5520">
        <v>-19.0563</v>
      </c>
      <c r="AD5520">
        <v>-1.115372422469</v>
      </c>
      <c r="AE5520">
        <v>-8.76189999999999</v>
      </c>
      <c r="AF5520">
        <v>14.1635029612965</v>
      </c>
      <c r="AG5520">
        <v>-1.115372422469</v>
      </c>
      <c r="AH5520">
        <v>15.3893160546196</v>
      </c>
      <c r="AI5520">
        <v>93.052629806121899</v>
      </c>
      <c r="AJ5520">
        <v>47.3751940357701</v>
      </c>
      <c r="AK5520">
        <v>20.944687164157699</v>
      </c>
      <c r="AL5520">
        <v>93.625224114231102</v>
      </c>
      <c r="AM5520">
        <v>69.900411765215097</v>
      </c>
      <c r="AN5520">
        <v>1.0000000228716299</v>
      </c>
    </row>
    <row r="5521" spans="1:40" x14ac:dyDescent="0.25">
      <c r="A5521" t="str">
        <f>"20190303153917707"</f>
        <v>20190303153917707</v>
      </c>
      <c r="B5521" t="str">
        <f>"1551598757703829"</f>
        <v>1551598757703829</v>
      </c>
      <c r="C5521" t="s">
        <v>40</v>
      </c>
      <c r="D5521">
        <v>4.6459630000000001</v>
      </c>
      <c r="E5521">
        <v>0.68736229999999998</v>
      </c>
      <c r="F5521" t="s">
        <v>42</v>
      </c>
      <c r="G5521">
        <v>-212.3116</v>
      </c>
      <c r="H5521" s="1">
        <v>-4.520071E-6</v>
      </c>
      <c r="I5521">
        <v>143.54259999999999</v>
      </c>
      <c r="J5521">
        <v>-193.4778</v>
      </c>
      <c r="K5521">
        <v>1.115351</v>
      </c>
      <c r="L5521">
        <v>152.04259999999999</v>
      </c>
      <c r="M5521">
        <v>-0.39169739999999997</v>
      </c>
      <c r="N5521">
        <v>-1.45927E-2</v>
      </c>
      <c r="O5521">
        <v>-0.91997839999999997</v>
      </c>
      <c r="P5521">
        <v>-0.68331140000000001</v>
      </c>
      <c r="Q5521">
        <v>-7.2178649999999997E-2</v>
      </c>
      <c r="R5521">
        <v>-0.72655080000000005</v>
      </c>
      <c r="S5521">
        <v>-2.954666</v>
      </c>
      <c r="T5521">
        <v>-0.17454829999999999</v>
      </c>
      <c r="U5521">
        <v>-1.3446499999999999</v>
      </c>
      <c r="V5521">
        <v>0.34319250000000001</v>
      </c>
      <c r="W5521">
        <v>-6.3510689999999995E-2</v>
      </c>
      <c r="X5521">
        <v>0.93711540000000004</v>
      </c>
      <c r="Y5521">
        <v>0.67392919999999901</v>
      </c>
      <c r="Z5521">
        <v>4.6373579999999998E-2</v>
      </c>
      <c r="AA5521">
        <v>0.73733909999999903</v>
      </c>
      <c r="AB5521">
        <v>18</v>
      </c>
      <c r="AC5521">
        <v>-18.8338</v>
      </c>
      <c r="AD5521">
        <v>-1.1153555200709999</v>
      </c>
      <c r="AE5521">
        <v>-8.5</v>
      </c>
      <c r="AF5521">
        <v>13.958082500533999</v>
      </c>
      <c r="AG5521">
        <v>-1.1153555200709999</v>
      </c>
      <c r="AH5521">
        <v>15.154430087752299</v>
      </c>
      <c r="AI5521">
        <v>93.098711575479996</v>
      </c>
      <c r="AJ5521">
        <v>47.353184796631901</v>
      </c>
      <c r="AK5521">
        <v>20.633197433079498</v>
      </c>
      <c r="AL5521">
        <v>93.641345303918499</v>
      </c>
      <c r="AM5521">
        <v>69.886145873732005</v>
      </c>
      <c r="AN5521">
        <v>0.99999998635884302</v>
      </c>
    </row>
    <row r="5522" spans="1:40" x14ac:dyDescent="0.25">
      <c r="A5522" t="str">
        <f>"20190303153917725"</f>
        <v>20190303153917725</v>
      </c>
      <c r="B5522" t="str">
        <f>"1551598757714568"</f>
        <v>1551598757714568</v>
      </c>
      <c r="C5522" t="s">
        <v>40</v>
      </c>
      <c r="D5522">
        <v>4.6574419999999996</v>
      </c>
      <c r="E5522">
        <v>0.68876530000000002</v>
      </c>
      <c r="F5522" t="s">
        <v>42</v>
      </c>
      <c r="G5522">
        <v>-212.1634</v>
      </c>
      <c r="H5522" s="1">
        <v>-4.8626709999999999E-6</v>
      </c>
      <c r="I5522">
        <v>145.1533</v>
      </c>
      <c r="J5522">
        <v>-193.54220000000001</v>
      </c>
      <c r="K5522">
        <v>1.115321</v>
      </c>
      <c r="L5522">
        <v>151.9187</v>
      </c>
      <c r="M5522">
        <v>-0.39999319999999999</v>
      </c>
      <c r="N5522">
        <v>-1.461106E-2</v>
      </c>
      <c r="O5522">
        <v>-0.91640169999999999</v>
      </c>
      <c r="P5522">
        <v>-0.68939150000000005</v>
      </c>
      <c r="Q5522">
        <v>-7.2944720000000005E-2</v>
      </c>
      <c r="R5522">
        <v>-0.72070719999999899</v>
      </c>
      <c r="S5522">
        <v>-3.1397400000000002</v>
      </c>
      <c r="T5522">
        <v>-0.1874131</v>
      </c>
      <c r="U5522">
        <v>-1.157608</v>
      </c>
      <c r="V5522">
        <v>0.34261390000000003</v>
      </c>
      <c r="W5522">
        <v>-6.4278760000000004E-2</v>
      </c>
      <c r="X5522">
        <v>0.93727479999999996</v>
      </c>
      <c r="Y5522">
        <v>0.72008640000000002</v>
      </c>
      <c r="Z5522">
        <v>4.9891369999999997E-2</v>
      </c>
      <c r="AA5522">
        <v>0.6920885</v>
      </c>
      <c r="AB5522">
        <v>18</v>
      </c>
      <c r="AC5522">
        <v>-18.621199999999899</v>
      </c>
      <c r="AD5522">
        <v>-1.1153258626710001</v>
      </c>
      <c r="AE5522">
        <v>-6.7653999999999996</v>
      </c>
      <c r="AF5522">
        <v>14.3145524815695</v>
      </c>
      <c r="AG5522">
        <v>-1.1153258626710001</v>
      </c>
      <c r="AH5522">
        <v>13.606512679764499</v>
      </c>
      <c r="AI5522">
        <v>93.232263595563794</v>
      </c>
      <c r="AJ5522">
        <v>43.547369175487397</v>
      </c>
      <c r="AK5522">
        <v>19.7809896575511</v>
      </c>
      <c r="AL5522">
        <v>93.685442357288096</v>
      </c>
      <c r="AM5522">
        <v>69.920487067287894</v>
      </c>
      <c r="AN5522">
        <v>1.00000004708769</v>
      </c>
    </row>
    <row r="5523" spans="1:40" x14ac:dyDescent="0.25">
      <c r="A5523" t="str">
        <f>"20190303153917738"</f>
        <v>20190303153917738</v>
      </c>
      <c r="B5523" t="str">
        <f>"1551598757734085"</f>
        <v>1551598757734085</v>
      </c>
      <c r="C5523" t="s">
        <v>40</v>
      </c>
      <c r="D5523">
        <v>4.6034490000000003</v>
      </c>
      <c r="E5523">
        <v>0.68926390000000004</v>
      </c>
      <c r="F5523" t="s">
        <v>42</v>
      </c>
      <c r="G5523">
        <v>-212.7962</v>
      </c>
      <c r="H5523" s="1">
        <v>-4.604434E-6</v>
      </c>
      <c r="I5523">
        <v>145.0675</v>
      </c>
      <c r="J5523">
        <v>-193.59389999999999</v>
      </c>
      <c r="K5523">
        <v>1.115286</v>
      </c>
      <c r="L5523">
        <v>151.8212</v>
      </c>
      <c r="M5523">
        <v>-0.40658919999999998</v>
      </c>
      <c r="N5523">
        <v>-1.4626510000000001E-2</v>
      </c>
      <c r="O5523">
        <v>-0.91349420000000003</v>
      </c>
      <c r="P5523">
        <v>-0.69470200000000004</v>
      </c>
      <c r="Q5523">
        <v>-7.2907020000000003E-2</v>
      </c>
      <c r="R5523">
        <v>-0.71559329999999999</v>
      </c>
      <c r="S5523">
        <v>-3.157654</v>
      </c>
      <c r="T5523">
        <v>-0.18291270000000001</v>
      </c>
      <c r="U5523">
        <v>-1.12359599999999</v>
      </c>
      <c r="V5523">
        <v>0.34278150000000002</v>
      </c>
      <c r="W5523">
        <v>-6.4259189999999994E-2</v>
      </c>
      <c r="X5523">
        <v>0.93721480000000001</v>
      </c>
      <c r="Y5523">
        <v>0.72302730000000004</v>
      </c>
      <c r="Z5523">
        <v>4.8478939999999998E-2</v>
      </c>
      <c r="AA5523">
        <v>0.68911630000000001</v>
      </c>
      <c r="AB5523">
        <v>18</v>
      </c>
      <c r="AC5523">
        <v>-19.202300000000001</v>
      </c>
      <c r="AD5523">
        <v>-1.1152906044339901</v>
      </c>
      <c r="AE5523">
        <v>-6.7537000000000003</v>
      </c>
      <c r="AF5523">
        <v>14.7525005557524</v>
      </c>
      <c r="AG5523">
        <v>-1.1152906044339901</v>
      </c>
      <c r="AH5523">
        <v>13.9365680106359</v>
      </c>
      <c r="AI5523">
        <v>93.145553092593502</v>
      </c>
      <c r="AJ5523">
        <v>43.370916345895601</v>
      </c>
      <c r="AK5523">
        <v>20.325060238407499</v>
      </c>
      <c r="AL5523">
        <v>93.684318963720301</v>
      </c>
      <c r="AM5523">
        <v>69.910266595308897</v>
      </c>
      <c r="AN5523">
        <v>0.99999999079037305</v>
      </c>
    </row>
    <row r="5524" spans="1:40" x14ac:dyDescent="0.25">
      <c r="A5524" t="str">
        <f>"20190303153917751"</f>
        <v>20190303153917751</v>
      </c>
      <c r="B5524" t="str">
        <f>"1551598757743845"</f>
        <v>1551598757743845</v>
      </c>
      <c r="C5524" t="s">
        <v>40</v>
      </c>
      <c r="D5524">
        <v>4.6239749999999997</v>
      </c>
      <c r="E5524">
        <v>0.68935080000000004</v>
      </c>
      <c r="F5524" t="s">
        <v>42</v>
      </c>
      <c r="G5524">
        <v>-213.93680000000001</v>
      </c>
      <c r="H5524" s="1">
        <v>-4.1138679999999997E-6</v>
      </c>
      <c r="I5524">
        <v>144.77119999999999</v>
      </c>
      <c r="J5524">
        <v>-193.6465</v>
      </c>
      <c r="K5524">
        <v>1.115248</v>
      </c>
      <c r="L5524">
        <v>151.7234</v>
      </c>
      <c r="M5524">
        <v>-0.41324889999999997</v>
      </c>
      <c r="N5524">
        <v>-1.464266E-2</v>
      </c>
      <c r="O5524">
        <v>-0.91050039999999999</v>
      </c>
      <c r="P5524">
        <v>-0.69995189999999996</v>
      </c>
      <c r="Q5524">
        <v>-7.2988029999999995E-2</v>
      </c>
      <c r="R5524">
        <v>-0.71045059999999904</v>
      </c>
      <c r="S5524">
        <v>-3.16893</v>
      </c>
      <c r="T5524">
        <v>-0.17373479999999999</v>
      </c>
      <c r="U5524">
        <v>-1.0982209999999999</v>
      </c>
      <c r="V5524">
        <v>0.34283449999999999</v>
      </c>
      <c r="W5524">
        <v>-6.4359509999999995E-2</v>
      </c>
      <c r="X5524">
        <v>0.93718860000000004</v>
      </c>
      <c r="Y5524">
        <v>0.72382279999999999</v>
      </c>
      <c r="Z5524">
        <v>4.5556489999999998E-2</v>
      </c>
      <c r="AA5524">
        <v>0.68848030000000005</v>
      </c>
      <c r="AB5524">
        <v>18</v>
      </c>
      <c r="AC5524">
        <v>-20.290299999999998</v>
      </c>
      <c r="AD5524">
        <v>-1.1152521138680001</v>
      </c>
      <c r="AE5524">
        <v>-6.9522000000000004</v>
      </c>
      <c r="AF5524">
        <v>15.560937441986599</v>
      </c>
      <c r="AG5524">
        <v>-1.1152521138680001</v>
      </c>
      <c r="AH5524">
        <v>14.676820588475699</v>
      </c>
      <c r="AI5524">
        <v>92.984574863064793</v>
      </c>
      <c r="AJ5524">
        <v>43.325215243396997</v>
      </c>
      <c r="AK5524">
        <v>21.4195150257239</v>
      </c>
      <c r="AL5524">
        <v>93.690078556568906</v>
      </c>
      <c r="AM5524">
        <v>69.906892055161904</v>
      </c>
      <c r="AN5524">
        <v>1.0000000564438201</v>
      </c>
    </row>
    <row r="5525" spans="1:40" x14ac:dyDescent="0.25">
      <c r="A5525" t="str">
        <f>"20190303153917765"</f>
        <v>20190303153917765</v>
      </c>
      <c r="B5525" t="str">
        <f>"1551598757754580"</f>
        <v>1551598757754580</v>
      </c>
      <c r="C5525" t="s">
        <v>40</v>
      </c>
      <c r="D5525">
        <v>4.6312410000000002</v>
      </c>
      <c r="E5525">
        <v>0.68897889999999995</v>
      </c>
      <c r="F5525" t="s">
        <v>42</v>
      </c>
      <c r="G5525">
        <v>-214.54050000000001</v>
      </c>
      <c r="H5525" s="1">
        <v>-3.8616679999999998E-6</v>
      </c>
      <c r="I5525">
        <v>144.65629999999999</v>
      </c>
      <c r="J5525">
        <v>-193.7045</v>
      </c>
      <c r="K5525">
        <v>1.115197</v>
      </c>
      <c r="L5525">
        <v>151.6181</v>
      </c>
      <c r="M5525">
        <v>-0.42052240000000002</v>
      </c>
      <c r="N5525">
        <v>-1.466219E-2</v>
      </c>
      <c r="O5525">
        <v>-0.90716370000000002</v>
      </c>
      <c r="P5525">
        <v>-0.70566139999999999</v>
      </c>
      <c r="Q5525">
        <v>-7.2685479999999997E-2</v>
      </c>
      <c r="R5525">
        <v>-0.70481149999999904</v>
      </c>
      <c r="S5525">
        <v>-3.17746</v>
      </c>
      <c r="T5525">
        <v>-0.169602</v>
      </c>
      <c r="U5525">
        <v>-1.074738</v>
      </c>
      <c r="V5525">
        <v>0.34287899999999999</v>
      </c>
      <c r="W5525">
        <v>-6.408092E-2</v>
      </c>
      <c r="X5525">
        <v>0.93719129999999995</v>
      </c>
      <c r="Y5525">
        <v>0.72349649999999999</v>
      </c>
      <c r="Z5525">
        <v>4.4273670000000001E-2</v>
      </c>
      <c r="AA5525">
        <v>0.68890689999999999</v>
      </c>
      <c r="AB5525">
        <v>18</v>
      </c>
      <c r="AC5525">
        <v>-20.835999999999999</v>
      </c>
      <c r="AD5525">
        <v>-1.115200861668</v>
      </c>
      <c r="AE5525">
        <v>-6.96180000000001</v>
      </c>
      <c r="AF5525">
        <v>15.934723228611301</v>
      </c>
      <c r="AG5525">
        <v>-1.115200861668</v>
      </c>
      <c r="AH5525">
        <v>15.040358600680801</v>
      </c>
      <c r="AI5525">
        <v>92.913551793082306</v>
      </c>
      <c r="AJ5525">
        <v>43.346119452095699</v>
      </c>
      <c r="AK5525">
        <v>21.940179219217502</v>
      </c>
      <c r="AL5525">
        <v>93.674083889504004</v>
      </c>
      <c r="AM5525">
        <v>69.9045459007246</v>
      </c>
      <c r="AN5525">
        <v>0.99999995287236698</v>
      </c>
    </row>
    <row r="5526" spans="1:40" x14ac:dyDescent="0.25">
      <c r="A5526" t="str">
        <f>"20190303153917779"</f>
        <v>20190303153917779</v>
      </c>
      <c r="B5526" t="str">
        <f>"1551598757774101"</f>
        <v>1551598757774101</v>
      </c>
      <c r="C5526" t="s">
        <v>40</v>
      </c>
      <c r="D5526">
        <v>4.6193489999999997</v>
      </c>
      <c r="E5526">
        <v>0.6880233</v>
      </c>
      <c r="F5526" t="s">
        <v>42</v>
      </c>
      <c r="G5526">
        <v>-214.6284</v>
      </c>
      <c r="H5526" s="1">
        <v>-3.8375540000000003E-6</v>
      </c>
      <c r="I5526">
        <v>144.7107</v>
      </c>
      <c r="J5526">
        <v>-193.7603</v>
      </c>
      <c r="K5526">
        <v>1.1151549999999999</v>
      </c>
      <c r="L5526">
        <v>151.51910000000001</v>
      </c>
      <c r="M5526">
        <v>-0.42743540000000002</v>
      </c>
      <c r="N5526">
        <v>-1.468215E-2</v>
      </c>
      <c r="O5526">
        <v>-0.90392669999999997</v>
      </c>
      <c r="P5526">
        <v>-0.71100859999999899</v>
      </c>
      <c r="Q5526">
        <v>-7.2374220000000003E-2</v>
      </c>
      <c r="R5526">
        <v>-0.69944910000000005</v>
      </c>
      <c r="S5526">
        <v>-3.1839750000000002</v>
      </c>
      <c r="T5526">
        <v>-0.16969919999999999</v>
      </c>
      <c r="U5526">
        <v>-1.051086</v>
      </c>
      <c r="V5526">
        <v>0.34284559999999997</v>
      </c>
      <c r="W5526">
        <v>-6.3790620000000006E-2</v>
      </c>
      <c r="X5526">
        <v>0.93722340000000004</v>
      </c>
      <c r="Y5526">
        <v>0.72326000000000001</v>
      </c>
      <c r="Z5526">
        <v>4.438375E-2</v>
      </c>
      <c r="AA5526">
        <v>0.68914799999999998</v>
      </c>
      <c r="AB5526">
        <v>18</v>
      </c>
      <c r="AC5526">
        <v>-20.868099999999998</v>
      </c>
      <c r="AD5526">
        <v>-1.11515883755399</v>
      </c>
      <c r="AE5526">
        <v>-6.8083999999999998</v>
      </c>
      <c r="AF5526">
        <v>15.913728434294701</v>
      </c>
      <c r="AG5526">
        <v>-1.11515883755399</v>
      </c>
      <c r="AH5526">
        <v>15.0368744360331</v>
      </c>
      <c r="AI5526">
        <v>92.915787633002395</v>
      </c>
      <c r="AJ5526">
        <v>43.377201290271799</v>
      </c>
      <c r="AK5526">
        <v>21.9225437556521</v>
      </c>
      <c r="AL5526">
        <v>93.657416558879305</v>
      </c>
      <c r="AM5526">
        <v>69.906979955238597</v>
      </c>
      <c r="AN5526">
        <v>1.00000002507345</v>
      </c>
    </row>
    <row r="5527" spans="1:40" x14ac:dyDescent="0.25">
      <c r="A5527" t="str">
        <f>"20190303153917794"</f>
        <v>20190303153917794</v>
      </c>
      <c r="B5527" t="str">
        <f>"1551598757783860"</f>
        <v>1551598757783860</v>
      </c>
      <c r="C5527" t="s">
        <v>40</v>
      </c>
      <c r="D5527">
        <v>4.6814280000000004</v>
      </c>
      <c r="E5527">
        <v>0.68756790000000001</v>
      </c>
      <c r="F5527" t="s">
        <v>42</v>
      </c>
      <c r="G5527">
        <v>-214.601</v>
      </c>
      <c r="H5527" s="1">
        <v>-3.8582730000000003E-6</v>
      </c>
      <c r="I5527">
        <v>144.7681</v>
      </c>
      <c r="J5527">
        <v>-193.81899999999999</v>
      </c>
      <c r="K5527">
        <v>1.115102</v>
      </c>
      <c r="L5527">
        <v>151.41650000000001</v>
      </c>
      <c r="M5527">
        <v>-0.43466359999999898</v>
      </c>
      <c r="N5527">
        <v>-1.4703519999999999E-2</v>
      </c>
      <c r="O5527">
        <v>-0.90047299999999997</v>
      </c>
      <c r="P5527">
        <v>-0.71648579999999995</v>
      </c>
      <c r="Q5527">
        <v>-7.2411859999999995E-2</v>
      </c>
      <c r="R5527">
        <v>-0.6938337</v>
      </c>
      <c r="S5527">
        <v>-3.1865540000000001</v>
      </c>
      <c r="T5527">
        <v>-0.17050799999999999</v>
      </c>
      <c r="U5527">
        <v>-1.0322420000000001</v>
      </c>
      <c r="V5527">
        <v>0.34269889999999997</v>
      </c>
      <c r="W5527">
        <v>-6.3848089999999996E-2</v>
      </c>
      <c r="X5527">
        <v>0.93727309999999997</v>
      </c>
      <c r="Y5527">
        <v>0.72156419999999999</v>
      </c>
      <c r="Z5527">
        <v>4.4722869999999998E-2</v>
      </c>
      <c r="AA5527">
        <v>0.69090149999999995</v>
      </c>
      <c r="AB5527">
        <v>18</v>
      </c>
      <c r="AC5527">
        <v>-20.781999999999901</v>
      </c>
      <c r="AD5527">
        <v>-1.115105858273</v>
      </c>
      <c r="AE5527">
        <v>-6.6483999999999996</v>
      </c>
      <c r="AF5527">
        <v>15.7842956202197</v>
      </c>
      <c r="AG5527">
        <v>-1.115105858273</v>
      </c>
      <c r="AH5527">
        <v>14.9823744912257</v>
      </c>
      <c r="AI5527">
        <v>92.933229996082403</v>
      </c>
      <c r="AJ5527">
        <v>43.506946139193701</v>
      </c>
      <c r="AK5527">
        <v>21.791259594088899</v>
      </c>
      <c r="AL5527">
        <v>93.660716204473204</v>
      </c>
      <c r="AM5527">
        <v>69.915870086344199</v>
      </c>
      <c r="AN5527">
        <v>0.99999998932073397</v>
      </c>
    </row>
    <row r="5528" spans="1:40" x14ac:dyDescent="0.25">
      <c r="A5528" t="str">
        <f>"20190303153917807"</f>
        <v>20190303153917807</v>
      </c>
      <c r="B5528" t="str">
        <f>"1551598757804357"</f>
        <v>1551598757804357</v>
      </c>
      <c r="C5528" t="s">
        <v>40</v>
      </c>
      <c r="D5528">
        <v>4.6862539999999999</v>
      </c>
      <c r="E5528">
        <v>0.68642819999999904</v>
      </c>
      <c r="F5528" t="s">
        <v>42</v>
      </c>
      <c r="G5528">
        <v>-214.51349999999999</v>
      </c>
      <c r="H5528" s="1">
        <v>-3.9099319999999997E-6</v>
      </c>
      <c r="I5528">
        <v>144.8698</v>
      </c>
      <c r="J5528">
        <v>-193.87289999999999</v>
      </c>
      <c r="K5528">
        <v>1.1150530000000001</v>
      </c>
      <c r="L5528">
        <v>151.32399999999899</v>
      </c>
      <c r="M5528">
        <v>-0.44123780000000001</v>
      </c>
      <c r="N5528">
        <v>-1.472335E-2</v>
      </c>
      <c r="O5528">
        <v>-0.89726949999999905</v>
      </c>
      <c r="P5528">
        <v>-0.72144049999999904</v>
      </c>
      <c r="Q5528">
        <v>-7.2597839999999997E-2</v>
      </c>
      <c r="R5528">
        <v>-0.68866070000000001</v>
      </c>
      <c r="S5528">
        <v>-3.1918950000000001</v>
      </c>
      <c r="T5528">
        <v>-0.1719928</v>
      </c>
      <c r="U5528">
        <v>-1.0097499999999999</v>
      </c>
      <c r="V5528">
        <v>0.3425609</v>
      </c>
      <c r="W5528">
        <v>-6.4051579999999997E-2</v>
      </c>
      <c r="X5528">
        <v>0.93730970000000002</v>
      </c>
      <c r="Y5528">
        <v>0.72123549999999903</v>
      </c>
      <c r="Z5528">
        <v>4.5278440000000003E-2</v>
      </c>
      <c r="AA5528">
        <v>0.69120859999999995</v>
      </c>
      <c r="AB5528">
        <v>18</v>
      </c>
      <c r="AC5528">
        <v>-20.640599999999999</v>
      </c>
      <c r="AD5528">
        <v>-1.115056909932</v>
      </c>
      <c r="AE5528">
        <v>-6.4541999999999797</v>
      </c>
      <c r="AF5528">
        <v>15.632483005466099</v>
      </c>
      <c r="AG5528">
        <v>-1.115056909932</v>
      </c>
      <c r="AH5528">
        <v>14.8606769206715</v>
      </c>
      <c r="AI5528">
        <v>92.959420697129204</v>
      </c>
      <c r="AJ5528">
        <v>43.5501079010929</v>
      </c>
      <c r="AK5528">
        <v>21.597629392346601</v>
      </c>
      <c r="AL5528">
        <v>93.672399107576894</v>
      </c>
      <c r="AM5528">
        <v>69.924032964860999</v>
      </c>
      <c r="AN5528">
        <v>1.00000002441169</v>
      </c>
    </row>
    <row r="5529" spans="1:40" x14ac:dyDescent="0.25">
      <c r="A5529" t="str">
        <f>"20190303153917823"</f>
        <v>20190303153917823</v>
      </c>
      <c r="B5529" t="str">
        <f>"1551598757814360"</f>
        <v>1551598757814360</v>
      </c>
      <c r="C5529" t="s">
        <v>40</v>
      </c>
      <c r="D5529">
        <v>4.6594680000000004</v>
      </c>
      <c r="E5529">
        <v>0.68583159999999999</v>
      </c>
      <c r="F5529" t="s">
        <v>42</v>
      </c>
      <c r="G5529">
        <v>-213.9984</v>
      </c>
      <c r="H5529" s="1">
        <v>-4.1422820000000001E-6</v>
      </c>
      <c r="I5529">
        <v>145.06469999999999</v>
      </c>
      <c r="J5529">
        <v>-193.93719999999999</v>
      </c>
      <c r="K5529">
        <v>1.115005</v>
      </c>
      <c r="L5529">
        <v>151.21639999999999</v>
      </c>
      <c r="M5529">
        <v>-0.44899489999999997</v>
      </c>
      <c r="N5529">
        <v>-1.474635E-2</v>
      </c>
      <c r="O5529">
        <v>-0.89341269999999995</v>
      </c>
      <c r="P5529">
        <v>-0.72700969999999998</v>
      </c>
      <c r="Q5529">
        <v>-7.3086360000000003E-2</v>
      </c>
      <c r="R5529">
        <v>-0.68272670000000002</v>
      </c>
      <c r="S5529">
        <v>-3.192688</v>
      </c>
      <c r="T5529">
        <v>-0.1768914</v>
      </c>
      <c r="U5529">
        <v>-0.992981</v>
      </c>
      <c r="V5529">
        <v>0.34206160000000002</v>
      </c>
      <c r="W5529">
        <v>-6.4549949999999995E-2</v>
      </c>
      <c r="X5529">
        <v>0.93745789999999996</v>
      </c>
      <c r="Y5529">
        <v>0.71850970000000003</v>
      </c>
      <c r="Z5529">
        <v>4.69259E-2</v>
      </c>
      <c r="AA5529">
        <v>0.69393209999999905</v>
      </c>
      <c r="AB5529">
        <v>18</v>
      </c>
      <c r="AC5529">
        <v>-20.061199999999999</v>
      </c>
      <c r="AD5529">
        <v>-1.1150091422820001</v>
      </c>
      <c r="AE5529">
        <v>-6.1516999999999999</v>
      </c>
      <c r="AF5529">
        <v>15.1198033946613</v>
      </c>
      <c r="AG5529">
        <v>-1.1150091422820001</v>
      </c>
      <c r="AH5529">
        <v>14.4641178393841</v>
      </c>
      <c r="AI5529">
        <v>93.050303867072898</v>
      </c>
      <c r="AJ5529">
        <v>43.730328373953398</v>
      </c>
      <c r="AK5529">
        <v>20.953815999768999</v>
      </c>
      <c r="AL5529">
        <v>93.701012634311397</v>
      </c>
      <c r="AM5529">
        <v>69.953879485376902</v>
      </c>
      <c r="AN5529">
        <v>1.00000007425598</v>
      </c>
    </row>
    <row r="5530" spans="1:40" x14ac:dyDescent="0.25">
      <c r="A5530" t="str">
        <f>"20190303153917838"</f>
        <v>20190303153917838</v>
      </c>
      <c r="B5530" t="str">
        <f>"1551598757833880"</f>
        <v>1551598757833880</v>
      </c>
      <c r="C5530" t="s">
        <v>40</v>
      </c>
      <c r="D5530">
        <v>4.679284</v>
      </c>
      <c r="E5530">
        <v>0.68510280000000001</v>
      </c>
      <c r="F5530" t="s">
        <v>42</v>
      </c>
      <c r="G5530">
        <v>-213.83420000000001</v>
      </c>
      <c r="H5530" s="1">
        <v>-4.2256419999999997E-6</v>
      </c>
      <c r="I5530">
        <v>145.17920000000001</v>
      </c>
      <c r="J5530">
        <v>-194.00309999999999</v>
      </c>
      <c r="K5530">
        <v>1.1149549999999999</v>
      </c>
      <c r="L5530">
        <v>151.10810000000001</v>
      </c>
      <c r="M5530">
        <v>-0.45686130000000003</v>
      </c>
      <c r="N5530">
        <v>-1.476859E-2</v>
      </c>
      <c r="O5530">
        <v>-0.88941539999999997</v>
      </c>
      <c r="P5530">
        <v>-0.73227449999999905</v>
      </c>
      <c r="Q5530">
        <v>-7.4544440000000003E-2</v>
      </c>
      <c r="R5530">
        <v>-0.67691730000000006</v>
      </c>
      <c r="S5530">
        <v>-3.1974179999999999</v>
      </c>
      <c r="T5530">
        <v>-0.17918010000000001</v>
      </c>
      <c r="U5530">
        <v>-0.97016910000000001</v>
      </c>
      <c r="V5530">
        <v>0.34109270000000003</v>
      </c>
      <c r="W5530">
        <v>-6.6005069999999999E-2</v>
      </c>
      <c r="X5530">
        <v>0.93770949999999997</v>
      </c>
      <c r="Y5530">
        <v>0.71715369999999901</v>
      </c>
      <c r="Z5530">
        <v>4.7725360000000001E-2</v>
      </c>
      <c r="AA5530">
        <v>0.69527890000000003</v>
      </c>
      <c r="AB5530">
        <v>18</v>
      </c>
      <c r="AC5530">
        <v>-19.831099999999999</v>
      </c>
      <c r="AD5530">
        <v>-1.114959225642</v>
      </c>
      <c r="AE5530">
        <v>-5.9288999999999898</v>
      </c>
      <c r="AF5530">
        <v>14.8878291924901</v>
      </c>
      <c r="AG5530">
        <v>-1.114959225642</v>
      </c>
      <c r="AH5530">
        <v>14.2934053283211</v>
      </c>
      <c r="AI5530">
        <v>93.092294919075101</v>
      </c>
      <c r="AJ5530">
        <v>43.833042202653203</v>
      </c>
      <c r="AK5530">
        <v>20.668624241087901</v>
      </c>
      <c r="AL5530">
        <v>93.784563341638702</v>
      </c>
      <c r="AM5530">
        <v>70.011096286031105</v>
      </c>
      <c r="AN5530">
        <v>1.0000000028246201</v>
      </c>
    </row>
    <row r="5531" spans="1:40" x14ac:dyDescent="0.25">
      <c r="A5531" t="str">
        <f>"20190303153917860"</f>
        <v>20190303153917860</v>
      </c>
      <c r="B5531" t="str">
        <f>"1551598757854375"</f>
        <v>1551598757854375</v>
      </c>
      <c r="C5531" t="s">
        <v>40</v>
      </c>
      <c r="D5531">
        <v>4.6903860000000002</v>
      </c>
      <c r="E5531">
        <v>0.683944199999999</v>
      </c>
      <c r="F5531" t="s">
        <v>42</v>
      </c>
      <c r="G5531">
        <v>-214.22210000000001</v>
      </c>
      <c r="H5531" s="1">
        <v>-4.0641520000000004E-6</v>
      </c>
      <c r="I5531">
        <v>145.10849999999999</v>
      </c>
      <c r="J5531">
        <v>-194.09700000000001</v>
      </c>
      <c r="K5531">
        <v>1.1149020000000001</v>
      </c>
      <c r="L5531">
        <v>150.9579</v>
      </c>
      <c r="M5531">
        <v>-0.46789750000000002</v>
      </c>
      <c r="N5531">
        <v>-1.4797370000000001E-2</v>
      </c>
      <c r="O5531">
        <v>-0.88365869999999902</v>
      </c>
      <c r="P5531">
        <v>-0.74016930000000003</v>
      </c>
      <c r="Q5531">
        <v>-7.4489940000000004E-2</v>
      </c>
      <c r="R5531">
        <v>-0.66828199999999904</v>
      </c>
      <c r="S5531">
        <v>-3.2008670000000001</v>
      </c>
      <c r="T5531">
        <v>-0.1765089</v>
      </c>
      <c r="U5531">
        <v>-0.94979860000000005</v>
      </c>
      <c r="V5531">
        <v>0.34041769999999999</v>
      </c>
      <c r="W5531">
        <v>-6.5946710000000006E-2</v>
      </c>
      <c r="X5531">
        <v>0.93795879999999998</v>
      </c>
      <c r="Y5531">
        <v>0.71278739999999996</v>
      </c>
      <c r="Z5531">
        <v>4.6866100000000001E-2</v>
      </c>
      <c r="AA5531">
        <v>0.69981269999999995</v>
      </c>
      <c r="AB5531">
        <v>18</v>
      </c>
      <c r="AC5531">
        <v>-20.1251</v>
      </c>
      <c r="AD5531">
        <v>-1.1149060641519899</v>
      </c>
      <c r="AE5531">
        <v>-5.8494000000000002</v>
      </c>
      <c r="AF5531">
        <v>15.005983449953</v>
      </c>
      <c r="AG5531">
        <v>-1.1149060641519899</v>
      </c>
      <c r="AH5531">
        <v>14.545792290552701</v>
      </c>
      <c r="AI5531">
        <v>93.053712742322105</v>
      </c>
      <c r="AJ5531">
        <v>44.107841084656499</v>
      </c>
      <c r="AK5531">
        <v>20.928512326299</v>
      </c>
      <c r="AL5531">
        <v>93.781212478528204</v>
      </c>
      <c r="AM5531">
        <v>70.052413840218904</v>
      </c>
      <c r="AN5531">
        <v>0.99999994476527498</v>
      </c>
    </row>
    <row r="5532" spans="1:40" x14ac:dyDescent="0.25">
      <c r="A5532" t="str">
        <f>"20190303153917882"</f>
        <v>20190303153917882</v>
      </c>
      <c r="B5532" t="str">
        <f>"1551598757873895"</f>
        <v>1551598757873895</v>
      </c>
      <c r="C5532" t="s">
        <v>40</v>
      </c>
      <c r="D5532">
        <v>4.7010449999999997</v>
      </c>
      <c r="E5532">
        <v>0.68267880000000003</v>
      </c>
      <c r="F5532" t="s">
        <v>42</v>
      </c>
      <c r="G5532">
        <v>-213.92519999999999</v>
      </c>
      <c r="H5532" s="1">
        <v>-4.2076920000000002E-6</v>
      </c>
      <c r="I5532">
        <v>145.27500000000001</v>
      </c>
      <c r="J5532">
        <v>-194.19649999999999</v>
      </c>
      <c r="K5532">
        <v>1.114873</v>
      </c>
      <c r="L5532">
        <v>150.8032</v>
      </c>
      <c r="M5532">
        <v>-0.47937580000000002</v>
      </c>
      <c r="N5532">
        <v>-1.4823080000000001E-2</v>
      </c>
      <c r="O5532">
        <v>-0.87748470000000001</v>
      </c>
      <c r="P5532">
        <v>-0.74830699999999895</v>
      </c>
      <c r="Q5532">
        <v>-7.3779310000000001E-2</v>
      </c>
      <c r="R5532">
        <v>-0.65923710000000002</v>
      </c>
      <c r="S5532">
        <v>-3.2055210000000001</v>
      </c>
      <c r="T5532">
        <v>-0.1802404</v>
      </c>
      <c r="U5532">
        <v>-0.91871639999999999</v>
      </c>
      <c r="V5532">
        <v>0.33966229999999997</v>
      </c>
      <c r="W5532">
        <v>-6.5212259999999994E-2</v>
      </c>
      <c r="X5532">
        <v>0.93828400000000001</v>
      </c>
      <c r="Y5532">
        <v>0.71011689999999905</v>
      </c>
      <c r="Z5532">
        <v>4.8142150000000002E-2</v>
      </c>
      <c r="AA5532">
        <v>0.70243599999999995</v>
      </c>
      <c r="AB5532">
        <v>18</v>
      </c>
      <c r="AC5532">
        <v>-19.7287</v>
      </c>
      <c r="AD5532">
        <v>-1.1148772076919999</v>
      </c>
      <c r="AE5532">
        <v>-5.5281999999999902</v>
      </c>
      <c r="AF5532">
        <v>14.6198675058086</v>
      </c>
      <c r="AG5532">
        <v>-1.1148772076919999</v>
      </c>
      <c r="AH5532">
        <v>14.2676966659238</v>
      </c>
      <c r="AI5532">
        <v>93.123854853967501</v>
      </c>
      <c r="AJ5532">
        <v>44.301536705165901</v>
      </c>
      <c r="AK5532">
        <v>20.458510337423</v>
      </c>
      <c r="AL5532">
        <v>93.739040636785901</v>
      </c>
      <c r="AM5532">
        <v>70.099555470370404</v>
      </c>
      <c r="AN5532">
        <v>0.99999999077579804</v>
      </c>
    </row>
    <row r="5533" spans="1:40" x14ac:dyDescent="0.25">
      <c r="A5533" t="str">
        <f>"20190303153917895"</f>
        <v>20190303153917895</v>
      </c>
      <c r="B5533" t="str">
        <f>"1551598757883656"</f>
        <v>1551598757883656</v>
      </c>
      <c r="C5533" t="s">
        <v>40</v>
      </c>
      <c r="D5533">
        <v>4.7190580000000004</v>
      </c>
      <c r="E5533">
        <v>0.68197359999999996</v>
      </c>
      <c r="F5533" t="s">
        <v>42</v>
      </c>
      <c r="G5533">
        <v>-213.76390000000001</v>
      </c>
      <c r="H5533" s="1">
        <v>-4.2913620000000003E-6</v>
      </c>
      <c r="I5533">
        <v>145.3974</v>
      </c>
      <c r="J5533">
        <v>-194.2552</v>
      </c>
      <c r="K5533">
        <v>1.114876</v>
      </c>
      <c r="L5533">
        <v>150.7141</v>
      </c>
      <c r="M5533">
        <v>-0.48601929999999999</v>
      </c>
      <c r="N5533">
        <v>-1.483523E-2</v>
      </c>
      <c r="O5533">
        <v>-0.87382229999999905</v>
      </c>
      <c r="P5533">
        <v>-0.7532449</v>
      </c>
      <c r="Q5533">
        <v>-7.2523329999999997E-2</v>
      </c>
      <c r="R5533">
        <v>-0.65372989999999997</v>
      </c>
      <c r="S5533">
        <v>-3.2098239999999998</v>
      </c>
      <c r="T5533">
        <v>-0.18288370000000001</v>
      </c>
      <c r="U5533">
        <v>-0.88674929999999996</v>
      </c>
      <c r="V5533">
        <v>0.33955360000000001</v>
      </c>
      <c r="W5533">
        <v>-6.3939770000000007E-2</v>
      </c>
      <c r="X5533">
        <v>0.93841090000000005</v>
      </c>
      <c r="Y5533">
        <v>0.71145930000000002</v>
      </c>
      <c r="Z5533">
        <v>4.9150739999999998E-2</v>
      </c>
      <c r="AA5533">
        <v>0.70100640000000003</v>
      </c>
      <c r="AB5533">
        <v>18</v>
      </c>
      <c r="AC5533">
        <v>-19.508700000000001</v>
      </c>
      <c r="AD5533">
        <v>-1.114880291362</v>
      </c>
      <c r="AE5533">
        <v>-5.3166999999999902</v>
      </c>
      <c r="AF5533">
        <v>14.420867624585201</v>
      </c>
      <c r="AG5533">
        <v>-1.114880291362</v>
      </c>
      <c r="AH5533">
        <v>14.0861856339968</v>
      </c>
      <c r="AI5533">
        <v>93.165493467454198</v>
      </c>
      <c r="AJ5533">
        <v>44.327359990439</v>
      </c>
      <c r="AK5533">
        <v>20.1897252785989</v>
      </c>
      <c r="AL5533">
        <v>93.665979873405306</v>
      </c>
      <c r="AM5533">
        <v>70.107903595418804</v>
      </c>
      <c r="AN5533">
        <v>0.99999997934971097</v>
      </c>
    </row>
    <row r="5534" spans="1:40" x14ac:dyDescent="0.25">
      <c r="A5534" t="str">
        <f>"20190303153917909"</f>
        <v>20190303153917909</v>
      </c>
      <c r="B5534" t="str">
        <f>"1551598757904152"</f>
        <v>1551598757904152</v>
      </c>
      <c r="C5534" t="s">
        <v>40</v>
      </c>
      <c r="D5534">
        <v>4.7317900000000002</v>
      </c>
      <c r="E5534">
        <v>0.68130800000000002</v>
      </c>
      <c r="F5534" t="s">
        <v>42</v>
      </c>
      <c r="G5534">
        <v>-213.9708</v>
      </c>
      <c r="H5534" s="1">
        <v>-4.2110309999999998E-6</v>
      </c>
      <c r="I5534">
        <v>145.39240000000001</v>
      </c>
      <c r="J5534">
        <v>-194.31880000000001</v>
      </c>
      <c r="K5534">
        <v>1.114887</v>
      </c>
      <c r="L5534">
        <v>150.61879999999999</v>
      </c>
      <c r="M5534">
        <v>-0.49314419999999998</v>
      </c>
      <c r="N5534">
        <v>-1.484629E-2</v>
      </c>
      <c r="O5534">
        <v>-0.86982099999999996</v>
      </c>
      <c r="P5534">
        <v>-0.75854480000000002</v>
      </c>
      <c r="Q5534">
        <v>-7.1568930000000003E-2</v>
      </c>
      <c r="R5534">
        <v>-0.64767919999999901</v>
      </c>
      <c r="S5534">
        <v>-3.2126769999999998</v>
      </c>
      <c r="T5534">
        <v>-0.18167040000000001</v>
      </c>
      <c r="U5534">
        <v>-0.86717219999999995</v>
      </c>
      <c r="V5534">
        <v>0.33949259999999998</v>
      </c>
      <c r="W5534">
        <v>-6.2963489999999997E-2</v>
      </c>
      <c r="X5534">
        <v>0.93849899999999997</v>
      </c>
      <c r="Y5534">
        <v>0.70987650000000002</v>
      </c>
      <c r="Z5534">
        <v>4.8797159999999999E-2</v>
      </c>
      <c r="AA5534">
        <v>0.70263390000000003</v>
      </c>
      <c r="AB5534">
        <v>18</v>
      </c>
      <c r="AC5534">
        <v>-19.651999999999902</v>
      </c>
      <c r="AD5534">
        <v>-1.1148912110310001</v>
      </c>
      <c r="AE5534">
        <v>-5.2263999999999804</v>
      </c>
      <c r="AF5534">
        <v>14.4744436426273</v>
      </c>
      <c r="AG5534">
        <v>-1.1148912110310001</v>
      </c>
      <c r="AH5534">
        <v>14.1961981319392</v>
      </c>
      <c r="AI5534">
        <v>93.147567575937998</v>
      </c>
      <c r="AJ5534">
        <v>44.443968046599899</v>
      </c>
      <c r="AK5534">
        <v>20.3047911237053</v>
      </c>
      <c r="AL5534">
        <v>93.6099301277211</v>
      </c>
      <c r="AM5534">
        <v>70.112917553965104</v>
      </c>
      <c r="AN5534">
        <v>0.99999999976437004</v>
      </c>
    </row>
    <row r="5535" spans="1:40" x14ac:dyDescent="0.25">
      <c r="A5535" t="str">
        <f>"20190303153917926"</f>
        <v>20190303153917926</v>
      </c>
      <c r="B5535" t="str">
        <f>"1551598757923672"</f>
        <v>1551598757923672</v>
      </c>
      <c r="C5535" t="s">
        <v>40</v>
      </c>
      <c r="D5535">
        <v>4.7397159999999996</v>
      </c>
      <c r="E5535">
        <v>0.66623219999999905</v>
      </c>
      <c r="F5535" t="s">
        <v>42</v>
      </c>
      <c r="G5535">
        <v>-214.10900000000001</v>
      </c>
      <c r="H5535" s="1">
        <v>-4.162431E-6</v>
      </c>
      <c r="I5535">
        <v>145.4177</v>
      </c>
      <c r="J5535">
        <v>-194.39680000000001</v>
      </c>
      <c r="K5535">
        <v>1.114927</v>
      </c>
      <c r="L5535">
        <v>150.5051</v>
      </c>
      <c r="M5535">
        <v>-0.50167659999999903</v>
      </c>
      <c r="N5535">
        <v>-1.485442E-2</v>
      </c>
      <c r="O5535">
        <v>-0.86492780000000002</v>
      </c>
      <c r="P5535">
        <v>-0.76430379999999998</v>
      </c>
      <c r="Q5535">
        <v>-7.102029E-2</v>
      </c>
      <c r="R5535">
        <v>-0.6409338</v>
      </c>
      <c r="S5535">
        <v>-3.2161409999999999</v>
      </c>
      <c r="T5535">
        <v>-0.18118329999999999</v>
      </c>
      <c r="U5535">
        <v>-0.84524539999999904</v>
      </c>
      <c r="V5535">
        <v>0.33863339999999997</v>
      </c>
      <c r="W5535">
        <v>-6.2362309999999997E-2</v>
      </c>
      <c r="X5535">
        <v>0.9388495</v>
      </c>
      <c r="Y5535">
        <v>0.70762460000000005</v>
      </c>
      <c r="Z5535">
        <v>4.8662990000000003E-2</v>
      </c>
      <c r="AA5535">
        <v>0.70491090000000001</v>
      </c>
      <c r="AB5535">
        <v>18</v>
      </c>
      <c r="AC5535">
        <v>-19.712199999999999</v>
      </c>
      <c r="AD5535">
        <v>-1.1149311624310001</v>
      </c>
      <c r="AE5535">
        <v>-5.0873999999999997</v>
      </c>
      <c r="AF5535">
        <v>14.455641819725599</v>
      </c>
      <c r="AG5535">
        <v>-1.1149311624310001</v>
      </c>
      <c r="AH5535">
        <v>14.2482239136635</v>
      </c>
      <c r="AI5535">
        <v>93.144109936070905</v>
      </c>
      <c r="AJ5535">
        <v>44.585980373589699</v>
      </c>
      <c r="AK5535">
        <v>20.327826657344598</v>
      </c>
      <c r="AL5535">
        <v>93.575417185600202</v>
      </c>
      <c r="AM5535">
        <v>70.166145249896303</v>
      </c>
      <c r="AN5535">
        <v>1.00000001047717</v>
      </c>
    </row>
    <row r="5536" spans="1:40" x14ac:dyDescent="0.25">
      <c r="A5536" t="str">
        <f>"20190303153917950"</f>
        <v>20190303153917950</v>
      </c>
      <c r="B5536" t="str">
        <f>"1551598757944168"</f>
        <v>1551598757944168</v>
      </c>
      <c r="C5536" t="s">
        <v>40</v>
      </c>
      <c r="D5536">
        <v>4.7462960000000001</v>
      </c>
      <c r="E5536">
        <v>0.66450399999999998</v>
      </c>
      <c r="F5536" t="s">
        <v>68</v>
      </c>
      <c r="G5536">
        <v>-209.3502</v>
      </c>
      <c r="H5536" s="1">
        <v>-7.3946759999999999E-6</v>
      </c>
      <c r="I5536">
        <v>146.2012</v>
      </c>
      <c r="J5536">
        <v>-194.50569999999999</v>
      </c>
      <c r="K5536">
        <v>1.1149910000000001</v>
      </c>
      <c r="L5536">
        <v>150.34950000000001</v>
      </c>
      <c r="M5536">
        <v>-0.51333309999999999</v>
      </c>
      <c r="N5536">
        <v>-1.485942E-2</v>
      </c>
      <c r="O5536">
        <v>-0.85806079999999996</v>
      </c>
      <c r="P5536">
        <v>-0.77178459999999904</v>
      </c>
      <c r="Q5536">
        <v>-7.1704370000000003E-2</v>
      </c>
      <c r="R5536">
        <v>-0.6318281</v>
      </c>
      <c r="S5536">
        <v>-3.1443940000000001</v>
      </c>
      <c r="T5536">
        <v>-0.23444719999999999</v>
      </c>
      <c r="U5536">
        <v>-0.90502930000000004</v>
      </c>
      <c r="V5536">
        <v>0.33700649999999999</v>
      </c>
      <c r="W5536">
        <v>-6.2954949999999996E-2</v>
      </c>
      <c r="X5536">
        <v>0.93939519999999999</v>
      </c>
      <c r="Y5536">
        <v>0.68011219999999994</v>
      </c>
      <c r="Z5536">
        <v>6.6058439999999996E-2</v>
      </c>
      <c r="AA5536">
        <v>0.73012580000000005</v>
      </c>
      <c r="AB5536">
        <v>18</v>
      </c>
      <c r="AC5536">
        <v>-14.8445</v>
      </c>
      <c r="AD5536">
        <v>-1.114998394676</v>
      </c>
      <c r="AE5536">
        <v>-4.1482999999999999</v>
      </c>
      <c r="AF5536">
        <v>10.5539648792204</v>
      </c>
      <c r="AG5536">
        <v>-1.114998394676</v>
      </c>
      <c r="AH5536">
        <v>11.1226947335863</v>
      </c>
      <c r="AI5536">
        <v>94.159166556508893</v>
      </c>
      <c r="AJ5536">
        <v>46.502922815608997</v>
      </c>
      <c r="AK5536">
        <v>15.3734750212337</v>
      </c>
      <c r="AL5536">
        <v>93.609439760504898</v>
      </c>
      <c r="AM5536">
        <v>70.264634187290397</v>
      </c>
      <c r="AN5536">
        <v>1.0000000242773901</v>
      </c>
    </row>
    <row r="5537" spans="1:40" x14ac:dyDescent="0.25">
      <c r="A5537" t="str">
        <f>"20190303153917971"</f>
        <v>20190303153917971</v>
      </c>
      <c r="B5537" t="str">
        <f>"1551598757963687"</f>
        <v>1551598757963687</v>
      </c>
      <c r="C5537" t="s">
        <v>40</v>
      </c>
      <c r="D5537">
        <v>4.7734030000000001</v>
      </c>
      <c r="E5537">
        <v>0.66333419999999998</v>
      </c>
      <c r="F5537" t="s">
        <v>68</v>
      </c>
      <c r="G5537">
        <v>-209.40719999999999</v>
      </c>
      <c r="H5537" s="1">
        <v>-7.3663169999999999E-6</v>
      </c>
      <c r="I5537">
        <v>146.18950000000001</v>
      </c>
      <c r="J5537">
        <v>-194.60910000000001</v>
      </c>
      <c r="K5537">
        <v>1.1150719999999901</v>
      </c>
      <c r="L5537">
        <v>150.20599999999999</v>
      </c>
      <c r="M5537">
        <v>-0.5240572</v>
      </c>
      <c r="N5537">
        <v>-1.4856029999999999E-2</v>
      </c>
      <c r="O5537">
        <v>-0.85155360000000002</v>
      </c>
      <c r="P5537">
        <v>-0.77830159999999904</v>
      </c>
      <c r="Q5537">
        <v>-7.1584300000000003E-2</v>
      </c>
      <c r="R5537">
        <v>-0.62379689999999999</v>
      </c>
      <c r="S5537">
        <v>-3.1461939999999999</v>
      </c>
      <c r="T5537">
        <v>-0.23541239999999999</v>
      </c>
      <c r="U5537">
        <v>-0.87832639999999995</v>
      </c>
      <c r="V5537">
        <v>0.33498169999999999</v>
      </c>
      <c r="W5537">
        <v>-6.2727959999999999E-2</v>
      </c>
      <c r="X5537">
        <v>0.94013429999999998</v>
      </c>
      <c r="Y5537">
        <v>0.67674840000000003</v>
      </c>
      <c r="Z5537">
        <v>6.6375630000000005E-2</v>
      </c>
      <c r="AA5537">
        <v>0.73321619999999998</v>
      </c>
      <c r="AB5537">
        <v>18</v>
      </c>
      <c r="AC5537">
        <v>-14.7980999999999</v>
      </c>
      <c r="AD5537">
        <v>-1.11507936631699</v>
      </c>
      <c r="AE5537">
        <v>-4.0164999999999997</v>
      </c>
      <c r="AF5537">
        <v>10.4424327080567</v>
      </c>
      <c r="AG5537">
        <v>-1.11507936631699</v>
      </c>
      <c r="AH5537">
        <v>11.1177524650018</v>
      </c>
      <c r="AI5537">
        <v>94.1812493559502</v>
      </c>
      <c r="AJ5537">
        <v>46.794062765094601</v>
      </c>
      <c r="AK5537">
        <v>15.2935353247225</v>
      </c>
      <c r="AL5537">
        <v>93.596408454079494</v>
      </c>
      <c r="AM5537">
        <v>70.388375840403697</v>
      </c>
      <c r="AN5537">
        <v>1.0000000191685701</v>
      </c>
    </row>
    <row r="5538" spans="1:40" x14ac:dyDescent="0.25">
      <c r="A5538" t="str">
        <f>"20190303153917983"</f>
        <v>20190303153917983</v>
      </c>
      <c r="B5538" t="str">
        <f>"1551598757974424"</f>
        <v>1551598757974424</v>
      </c>
      <c r="C5538" t="s">
        <v>40</v>
      </c>
      <c r="D5538">
        <v>4.752364</v>
      </c>
      <c r="E5538">
        <v>0.66333419999999998</v>
      </c>
      <c r="F5538" t="s">
        <v>68</v>
      </c>
      <c r="G5538">
        <v>-209.67410000000001</v>
      </c>
      <c r="H5538" s="1">
        <v>-7.230997E-6</v>
      </c>
      <c r="I5538">
        <v>146.12530000000001</v>
      </c>
      <c r="J5538">
        <v>-194.6713</v>
      </c>
      <c r="K5538">
        <v>1.1151279999999999</v>
      </c>
      <c r="L5538">
        <v>150.1216</v>
      </c>
      <c r="M5538">
        <v>-0.53034159999999997</v>
      </c>
      <c r="N5538">
        <v>-1.485093E-2</v>
      </c>
      <c r="O5538">
        <v>-0.84765400000000002</v>
      </c>
      <c r="P5538">
        <v>-0.78210309999999905</v>
      </c>
      <c r="Q5538">
        <v>-7.170957E-2</v>
      </c>
      <c r="R5538">
        <v>-0.61900940000000004</v>
      </c>
      <c r="S5538">
        <v>-3.149384</v>
      </c>
      <c r="T5538">
        <v>-0.23311100000000001</v>
      </c>
      <c r="U5538">
        <v>-0.85308839999999997</v>
      </c>
      <c r="V5538">
        <v>0.33379419999999999</v>
      </c>
      <c r="W5538">
        <v>-6.2790189999999996E-2</v>
      </c>
      <c r="X5538">
        <v>0.94055239999999996</v>
      </c>
      <c r="Y5538">
        <v>0.67701610000000001</v>
      </c>
      <c r="Z5538">
        <v>6.5722929999999999E-2</v>
      </c>
      <c r="AA5538">
        <v>0.73302780000000001</v>
      </c>
      <c r="AB5538">
        <v>18</v>
      </c>
      <c r="AC5538">
        <v>-15.002800000000001</v>
      </c>
      <c r="AD5538">
        <v>-1.115135230997</v>
      </c>
      <c r="AE5538">
        <v>-3.99629999999999</v>
      </c>
      <c r="AF5538">
        <v>10.544551665565599</v>
      </c>
      <c r="AG5538">
        <v>-1.115135230997</v>
      </c>
      <c r="AH5538">
        <v>11.2871126485252</v>
      </c>
      <c r="AI5538">
        <v>94.129280913907806</v>
      </c>
      <c r="AJ5538">
        <v>46.948051889907497</v>
      </c>
      <c r="AK5538">
        <v>15.4864459561157</v>
      </c>
      <c r="AL5538">
        <v>93.599981094539999</v>
      </c>
      <c r="AM5538">
        <v>70.460650687996605</v>
      </c>
      <c r="AN5538">
        <v>0.99999999652981797</v>
      </c>
    </row>
    <row r="5539" spans="1:40" x14ac:dyDescent="0.25">
      <c r="A5539" t="str">
        <f>"20190303153917995"</f>
        <v>20190303153917995</v>
      </c>
      <c r="B5539" t="str">
        <f>"1551598757984184"</f>
        <v>1551598757984184</v>
      </c>
      <c r="C5539" t="s">
        <v>40</v>
      </c>
      <c r="D5539">
        <v>4.4092779999999996</v>
      </c>
      <c r="E5539">
        <v>0.6656649</v>
      </c>
      <c r="F5539" t="s">
        <v>68</v>
      </c>
      <c r="G5539">
        <v>-209.7328</v>
      </c>
      <c r="H5539" s="1">
        <v>-7.2091679999999902E-6</v>
      </c>
      <c r="I5539">
        <v>146.1413</v>
      </c>
      <c r="J5539">
        <v>-194.72829999999999</v>
      </c>
      <c r="K5539">
        <v>1.115181</v>
      </c>
      <c r="L5539">
        <v>150.0453</v>
      </c>
      <c r="M5539">
        <v>-0.53600590000000004</v>
      </c>
      <c r="N5539">
        <v>-1.484504E-2</v>
      </c>
      <c r="O5539">
        <v>-0.84408379999999905</v>
      </c>
      <c r="P5539">
        <v>-0.7856609</v>
      </c>
      <c r="Q5539">
        <v>-7.1613720000000006E-2</v>
      </c>
      <c r="R5539">
        <v>-0.61449869999999995</v>
      </c>
      <c r="S5539">
        <v>-3.1546020000000001</v>
      </c>
      <c r="T5539">
        <v>-0.23356260000000001</v>
      </c>
      <c r="U5539">
        <v>-0.83367919999999995</v>
      </c>
      <c r="V5539">
        <v>0.33292559999999999</v>
      </c>
      <c r="W5539">
        <v>-6.2641119999999995E-2</v>
      </c>
      <c r="X5539">
        <v>0.94087019999999999</v>
      </c>
      <c r="Y5539">
        <v>0.676602699999999</v>
      </c>
      <c r="Z5539">
        <v>6.5845840000000003E-2</v>
      </c>
      <c r="AA5539">
        <v>0.73339829999999995</v>
      </c>
      <c r="AB5539">
        <v>18</v>
      </c>
      <c r="AC5539">
        <v>-15.0045</v>
      </c>
      <c r="AD5539">
        <v>-1.1151882091680001</v>
      </c>
      <c r="AE5539">
        <v>-3.9039999999999901</v>
      </c>
      <c r="AF5539">
        <v>10.5192288583345</v>
      </c>
      <c r="AG5539">
        <v>-1.1151882091680001</v>
      </c>
      <c r="AH5539">
        <v>11.2806888789355</v>
      </c>
      <c r="AI5539">
        <v>94.135339159581903</v>
      </c>
      <c r="AJ5539">
        <v>47.000499071097799</v>
      </c>
      <c r="AK5539">
        <v>15.4645323918709</v>
      </c>
      <c r="AL5539">
        <v>93.591422976591105</v>
      </c>
      <c r="AM5539">
        <v>70.513746034127394</v>
      </c>
      <c r="AN5539">
        <v>1.0000000491491201</v>
      </c>
    </row>
    <row r="5540" spans="1:40" x14ac:dyDescent="0.25">
      <c r="A5540" t="str">
        <f>"20190303153918008"</f>
        <v>20190303153918008</v>
      </c>
      <c r="B5540" t="str">
        <f>"1551598758003704"</f>
        <v>1551598758003704</v>
      </c>
      <c r="C5540" t="s">
        <v>40</v>
      </c>
      <c r="D5540">
        <v>4.4601790000000001</v>
      </c>
      <c r="E5540">
        <v>0.66992280000000004</v>
      </c>
      <c r="F5540" t="s">
        <v>42</v>
      </c>
      <c r="G5540">
        <v>-212.64439999999999</v>
      </c>
      <c r="H5540" s="1">
        <v>-4.7408140000000004E-6</v>
      </c>
      <c r="I5540">
        <v>145.5076</v>
      </c>
      <c r="J5540">
        <v>-194.7919</v>
      </c>
      <c r="K5540">
        <v>1.1152390000000001</v>
      </c>
      <c r="L5540">
        <v>149.96090000000001</v>
      </c>
      <c r="M5540">
        <v>-0.54224209999999995</v>
      </c>
      <c r="N5540">
        <v>-1.483757E-2</v>
      </c>
      <c r="O5540">
        <v>-0.84009149999999999</v>
      </c>
      <c r="P5540">
        <v>-0.78978359999999903</v>
      </c>
      <c r="Q5540">
        <v>-7.100803E-2</v>
      </c>
      <c r="R5540">
        <v>-0.60926219999999998</v>
      </c>
      <c r="S5540">
        <v>-3.1720730000000001</v>
      </c>
      <c r="T5540">
        <v>-0.1974455</v>
      </c>
      <c r="U5540">
        <v>-0.80340579999999995</v>
      </c>
      <c r="V5540">
        <v>0.33227719999999999</v>
      </c>
      <c r="W5540">
        <v>-6.1981990000000001E-2</v>
      </c>
      <c r="X5540">
        <v>0.94114299999999995</v>
      </c>
      <c r="Y5540">
        <v>0.67951139999999999</v>
      </c>
      <c r="Z5540">
        <v>5.415031E-2</v>
      </c>
      <c r="AA5540">
        <v>0.73166390000000003</v>
      </c>
      <c r="AB5540">
        <v>18</v>
      </c>
      <c r="AC5540">
        <v>-17.8524999999999</v>
      </c>
      <c r="AD5540">
        <v>-1.1152437408139999</v>
      </c>
      <c r="AE5540">
        <v>-4.4533000000000103</v>
      </c>
      <c r="AF5540">
        <v>12.5382855557267</v>
      </c>
      <c r="AG5540">
        <v>-1.1152437408139999</v>
      </c>
      <c r="AH5540">
        <v>13.3738975914056</v>
      </c>
      <c r="AI5540">
        <v>93.4813109378631</v>
      </c>
      <c r="AJ5540">
        <v>46.847025272921996</v>
      </c>
      <c r="AK5540">
        <v>18.366096756354501</v>
      </c>
      <c r="AL5540">
        <v>93.553584163897099</v>
      </c>
      <c r="AM5540">
        <v>70.5540601678277</v>
      </c>
      <c r="AN5540">
        <v>1.00000002558659</v>
      </c>
    </row>
    <row r="5541" spans="1:40" x14ac:dyDescent="0.25">
      <c r="A5541" t="str">
        <f>"20190303153918027"</f>
        <v>20190303153918027</v>
      </c>
      <c r="B5541" t="str">
        <f>"1551598758024199"</f>
        <v>1551598758024199</v>
      </c>
      <c r="C5541" t="s">
        <v>40</v>
      </c>
      <c r="D5541">
        <v>4.4992359999999998</v>
      </c>
      <c r="E5541">
        <v>0.67204739999999996</v>
      </c>
      <c r="F5541" t="s">
        <v>42</v>
      </c>
      <c r="G5541">
        <v>-219.79910000000001</v>
      </c>
      <c r="H5541" s="1">
        <v>-1.2494569999999999E-6</v>
      </c>
      <c r="I5541">
        <v>144.02869999999999</v>
      </c>
      <c r="J5541">
        <v>-194.8818</v>
      </c>
      <c r="K5541">
        <v>1.1153249999999999</v>
      </c>
      <c r="L5541">
        <v>149.8443</v>
      </c>
      <c r="M5541">
        <v>-0.55079849999999997</v>
      </c>
      <c r="N5541">
        <v>-1.482223E-2</v>
      </c>
      <c r="O5541">
        <v>-0.83450669999999905</v>
      </c>
      <c r="P5541">
        <v>-0.79490810000000001</v>
      </c>
      <c r="Q5541">
        <v>-7.0720569999999996E-2</v>
      </c>
      <c r="R5541">
        <v>-0.60259459999999998</v>
      </c>
      <c r="S5541">
        <v>-3.2000890000000002</v>
      </c>
      <c r="T5541">
        <v>-0.14271349999999999</v>
      </c>
      <c r="U5541">
        <v>-0.75912480000000004</v>
      </c>
      <c r="V5541">
        <v>0.33062019999999998</v>
      </c>
      <c r="W5541">
        <v>-6.1601700000000002E-2</v>
      </c>
      <c r="X5541">
        <v>0.94175129999999996</v>
      </c>
      <c r="Y5541">
        <v>0.684017599999999</v>
      </c>
      <c r="Z5541">
        <v>3.6507749999999999E-2</v>
      </c>
      <c r="AA5541">
        <v>0.72855139999999996</v>
      </c>
      <c r="AB5541">
        <v>18</v>
      </c>
      <c r="AC5541">
        <v>-24.917300000000001</v>
      </c>
      <c r="AD5541">
        <v>-1.115326249457</v>
      </c>
      <c r="AE5541">
        <v>-5.8156000000000097</v>
      </c>
      <c r="AF5541">
        <v>17.558998552128902</v>
      </c>
      <c r="AG5541">
        <v>-1.115326249457</v>
      </c>
      <c r="AH5541">
        <v>18.544373271270601</v>
      </c>
      <c r="AI5541">
        <v>92.500657505170196</v>
      </c>
      <c r="AJ5541">
        <v>46.563394145237901</v>
      </c>
      <c r="AK5541">
        <v>25.562788635448399</v>
      </c>
      <c r="AL5541">
        <v>93.531753530610303</v>
      </c>
      <c r="AM5541">
        <v>70.655379221779597</v>
      </c>
      <c r="AN5541">
        <v>0.99999999857130994</v>
      </c>
    </row>
    <row r="5542" spans="1:40" x14ac:dyDescent="0.25">
      <c r="A5542" t="str">
        <f>"20190303153918051"</f>
        <v>20190303153918051</v>
      </c>
      <c r="B5542" t="str">
        <f>"1551598758043720"</f>
        <v>1551598758043720</v>
      </c>
      <c r="C5542" t="s">
        <v>40</v>
      </c>
      <c r="D5542">
        <v>4.4508380000000001</v>
      </c>
      <c r="E5542">
        <v>0.67360129999999996</v>
      </c>
      <c r="F5542" t="s">
        <v>42</v>
      </c>
      <c r="G5542">
        <v>-225.87</v>
      </c>
      <c r="H5542" s="1">
        <v>-2.6295189999999999E-6</v>
      </c>
      <c r="I5542">
        <v>142.90649999999999</v>
      </c>
      <c r="J5542">
        <v>-195.00059999999999</v>
      </c>
      <c r="K5542">
        <v>1.1154500000000001</v>
      </c>
      <c r="L5542">
        <v>149.69329999999999</v>
      </c>
      <c r="M5542">
        <v>-0.5617316</v>
      </c>
      <c r="N5542">
        <v>-1.479425E-2</v>
      </c>
      <c r="O5542">
        <v>-0.82718740000000002</v>
      </c>
      <c r="P5542">
        <v>-0.80123509999999998</v>
      </c>
      <c r="Q5542">
        <v>-7.3273130000000006E-2</v>
      </c>
      <c r="R5542">
        <v>-0.59384689999999996</v>
      </c>
      <c r="S5542">
        <v>-3.2176360000000002</v>
      </c>
      <c r="T5542">
        <v>-0.1158091</v>
      </c>
      <c r="U5542">
        <v>-0.72036739999999999</v>
      </c>
      <c r="V5542">
        <v>0.32834570000000002</v>
      </c>
      <c r="W5542">
        <v>-6.4025109999999996E-2</v>
      </c>
      <c r="X5542">
        <v>0.94238520000000003</v>
      </c>
      <c r="Y5542">
        <v>0.68398130000000001</v>
      </c>
      <c r="Z5542">
        <v>2.789757E-2</v>
      </c>
      <c r="AA5542">
        <v>0.72896589999999994</v>
      </c>
      <c r="AB5542">
        <v>18</v>
      </c>
      <c r="AC5542">
        <v>-30.869399999999999</v>
      </c>
      <c r="AD5542">
        <v>-1.1154526295189999</v>
      </c>
      <c r="AE5542">
        <v>-6.7868000000000004</v>
      </c>
      <c r="AF5542">
        <v>21.697768848212799</v>
      </c>
      <c r="AG5542">
        <v>-1.1154526295189999</v>
      </c>
      <c r="AH5542">
        <v>22.928225179070999</v>
      </c>
      <c r="AI5542">
        <v>92.023742155909304</v>
      </c>
      <c r="AJ5542">
        <v>46.579395561802102</v>
      </c>
      <c r="AK5542">
        <v>31.587037173837</v>
      </c>
      <c r="AL5542">
        <v>93.670879498044698</v>
      </c>
      <c r="AM5542">
        <v>70.790649642783706</v>
      </c>
      <c r="AN5542">
        <v>0.99999998929902101</v>
      </c>
    </row>
    <row r="5543" spans="1:40" x14ac:dyDescent="0.25">
      <c r="A5543" t="str">
        <f>"20190303153918073"</f>
        <v>20190303153918073</v>
      </c>
      <c r="B5543" t="str">
        <f>"1551598758064215"</f>
        <v>1551598758064215</v>
      </c>
      <c r="C5543" t="s">
        <v>40</v>
      </c>
      <c r="D5543">
        <v>4.4686810000000001</v>
      </c>
      <c r="E5543">
        <v>0.67422869999999901</v>
      </c>
      <c r="F5543" t="s">
        <v>42</v>
      </c>
      <c r="G5543">
        <v>-230.4564</v>
      </c>
      <c r="H5543" s="1">
        <v>-4.5919440000000004E-6</v>
      </c>
      <c r="I5543">
        <v>142.27289999999999</v>
      </c>
      <c r="J5543">
        <v>-195.11179999999999</v>
      </c>
      <c r="K5543">
        <v>1.115586</v>
      </c>
      <c r="L5543">
        <v>149.55529999999999</v>
      </c>
      <c r="M5543">
        <v>-0.57155789999999995</v>
      </c>
      <c r="N5543">
        <v>-1.475921E-2</v>
      </c>
      <c r="O5543">
        <v>-0.82042899999999996</v>
      </c>
      <c r="P5543">
        <v>-0.80533980000000005</v>
      </c>
      <c r="Q5543">
        <v>-7.6643959999999997E-2</v>
      </c>
      <c r="R5543">
        <v>-0.58783819999999998</v>
      </c>
      <c r="S5543">
        <v>-3.233368</v>
      </c>
      <c r="T5543">
        <v>-0.1017231</v>
      </c>
      <c r="U5543">
        <v>-0.67669679999999999</v>
      </c>
      <c r="V5543">
        <v>0.32387369999999999</v>
      </c>
      <c r="W5543">
        <v>-6.7225599999999996E-2</v>
      </c>
      <c r="X5543">
        <v>0.94370900000000002</v>
      </c>
      <c r="Y5543">
        <v>0.68558330000000001</v>
      </c>
      <c r="Z5543">
        <v>2.3480830000000001E-2</v>
      </c>
      <c r="AA5543">
        <v>0.72761540000000002</v>
      </c>
      <c r="AB5543">
        <v>18</v>
      </c>
      <c r="AC5543">
        <v>-35.3446</v>
      </c>
      <c r="AD5543">
        <v>-1.1155905919439999</v>
      </c>
      <c r="AE5543">
        <v>-7.2823999999999902</v>
      </c>
      <c r="AF5543">
        <v>24.8144125332092</v>
      </c>
      <c r="AG5543">
        <v>-1.1155905919439999</v>
      </c>
      <c r="AH5543">
        <v>26.154034265917801</v>
      </c>
      <c r="AI5543">
        <v>91.772362543211898</v>
      </c>
      <c r="AJ5543">
        <v>46.505578630528397</v>
      </c>
      <c r="AK5543">
        <v>36.069836707697</v>
      </c>
      <c r="AL5543">
        <v>93.854650002479602</v>
      </c>
      <c r="AM5543">
        <v>71.058172111765202</v>
      </c>
      <c r="AN5543">
        <v>1.00000006576402</v>
      </c>
    </row>
    <row r="5544" spans="1:40" x14ac:dyDescent="0.25">
      <c r="A5544" t="str">
        <f>"20190303153918094"</f>
        <v>20190303153918094</v>
      </c>
      <c r="B5544" t="str">
        <f>"1551598758083737"</f>
        <v>1551598758083737</v>
      </c>
      <c r="C5544" t="s">
        <v>40</v>
      </c>
      <c r="D5544">
        <v>4.7670709999999996</v>
      </c>
      <c r="E5544">
        <v>0.67303100000000005</v>
      </c>
      <c r="F5544" t="s">
        <v>42</v>
      </c>
      <c r="G5544">
        <v>-233.56200000000001</v>
      </c>
      <c r="H5544" s="1">
        <v>-3.3372349999999999E-6</v>
      </c>
      <c r="I5544">
        <v>141.8451</v>
      </c>
      <c r="J5544">
        <v>-195.2218</v>
      </c>
      <c r="K5544">
        <v>1.1157140000000001</v>
      </c>
      <c r="L5544">
        <v>149.42179999999999</v>
      </c>
      <c r="M5544">
        <v>-0.58094069999999998</v>
      </c>
      <c r="N5544">
        <v>-1.472101E-2</v>
      </c>
      <c r="O5544">
        <v>-0.81381289999999995</v>
      </c>
      <c r="P5544">
        <v>-0.80775369999999902</v>
      </c>
      <c r="Q5544">
        <v>-8.0726619999999999E-2</v>
      </c>
      <c r="R5544">
        <v>-0.58396680000000001</v>
      </c>
      <c r="S5544">
        <v>-3.241714</v>
      </c>
      <c r="T5544">
        <v>-9.4054700000000005E-2</v>
      </c>
      <c r="U5544">
        <v>-0.6500397</v>
      </c>
      <c r="V5544">
        <v>0.3172123</v>
      </c>
      <c r="W5544">
        <v>-7.1107760000000006E-2</v>
      </c>
      <c r="X5544">
        <v>0.945685</v>
      </c>
      <c r="Y5544">
        <v>0.68340939999999994</v>
      </c>
      <c r="Z5544">
        <v>2.107502E-2</v>
      </c>
      <c r="AA5544">
        <v>0.72973109999999997</v>
      </c>
      <c r="AB5544">
        <v>17</v>
      </c>
      <c r="AC5544">
        <v>-38.340200000000003</v>
      </c>
      <c r="AD5544">
        <v>-1.11571733723499</v>
      </c>
      <c r="AE5544">
        <v>-7.5766999999999802</v>
      </c>
      <c r="AF5544">
        <v>26.781210180458</v>
      </c>
      <c r="AG5544">
        <v>-1.11571733723499</v>
      </c>
      <c r="AH5544">
        <v>28.419315441638499</v>
      </c>
      <c r="AI5544">
        <v>91.636587839198796</v>
      </c>
      <c r="AJ5544">
        <v>46.699784198872599</v>
      </c>
      <c r="AK5544">
        <v>39.0657846980939</v>
      </c>
      <c r="AL5544">
        <v>94.077615603047803</v>
      </c>
      <c r="AM5544">
        <v>71.456937845861702</v>
      </c>
      <c r="AN5544">
        <v>1.00000003801425</v>
      </c>
    </row>
    <row r="5545" spans="1:40" x14ac:dyDescent="0.25">
      <c r="A5545" t="str">
        <f>"20190303153918107"</f>
        <v>20190303153918107</v>
      </c>
      <c r="B5545" t="str">
        <f>"1551598758104233"</f>
        <v>1551598758104233</v>
      </c>
      <c r="C5545" t="s">
        <v>40</v>
      </c>
      <c r="D5545">
        <v>4.7958089999999904</v>
      </c>
      <c r="E5545">
        <v>0.6706183</v>
      </c>
      <c r="F5545" t="s">
        <v>42</v>
      </c>
      <c r="G5545">
        <v>-228.25810000000001</v>
      </c>
      <c r="H5545" s="1">
        <v>-1.594202E-6</v>
      </c>
      <c r="I5545">
        <v>142.8657</v>
      </c>
      <c r="J5545">
        <v>-195.29130000000001</v>
      </c>
      <c r="K5545">
        <v>1.115793</v>
      </c>
      <c r="L5545">
        <v>149.33860000000001</v>
      </c>
      <c r="M5545">
        <v>-0.5867137</v>
      </c>
      <c r="N5545">
        <v>-1.469677E-2</v>
      </c>
      <c r="O5545">
        <v>-0.80966110000000002</v>
      </c>
      <c r="P5545">
        <v>-0.80968839999999997</v>
      </c>
      <c r="Q5545">
        <v>-8.2271590000000006E-2</v>
      </c>
      <c r="R5545">
        <v>-0.5810649</v>
      </c>
      <c r="S5545">
        <v>-3.23848</v>
      </c>
      <c r="T5545">
        <v>-0.10937139999999999</v>
      </c>
      <c r="U5545">
        <v>-0.64266969999999901</v>
      </c>
      <c r="V5545">
        <v>0.31375160000000002</v>
      </c>
      <c r="W5545">
        <v>-7.2543389999999999E-2</v>
      </c>
      <c r="X5545">
        <v>0.94672979999999995</v>
      </c>
      <c r="Y5545">
        <v>0.67952699999999999</v>
      </c>
      <c r="Z5545">
        <v>2.5914679999999999E-2</v>
      </c>
      <c r="AA5545">
        <v>0.73319269999999903</v>
      </c>
      <c r="AB5545">
        <v>17</v>
      </c>
      <c r="AC5545">
        <v>-32.966799999999999</v>
      </c>
      <c r="AD5545">
        <v>-1.115794594202</v>
      </c>
      <c r="AE5545">
        <v>-6.4729000000000099</v>
      </c>
      <c r="AF5545">
        <v>22.871440846157</v>
      </c>
      <c r="AG5545">
        <v>-1.115794594202</v>
      </c>
      <c r="AH5545">
        <v>24.5584944341254</v>
      </c>
      <c r="AI5545">
        <v>91.9042976816134</v>
      </c>
      <c r="AJ5545">
        <v>47.037116773851203</v>
      </c>
      <c r="AK5545">
        <v>33.577782130847702</v>
      </c>
      <c r="AL5545">
        <v>94.160084462637002</v>
      </c>
      <c r="AM5545">
        <v>71.664512161838303</v>
      </c>
      <c r="AN5545">
        <v>0.99999996207164499</v>
      </c>
    </row>
    <row r="5546" spans="1:40" x14ac:dyDescent="0.25">
      <c r="A5546" t="str">
        <f>"20190303153918127"</f>
        <v>20190303153918127</v>
      </c>
      <c r="B5546" t="str">
        <f>"1551598758123752"</f>
        <v>1551598758123752</v>
      </c>
      <c r="C5546" t="s">
        <v>40</v>
      </c>
      <c r="D5546">
        <v>4.7817809999999996</v>
      </c>
      <c r="E5546">
        <v>0.66875519999999999</v>
      </c>
      <c r="F5546" t="s">
        <v>42</v>
      </c>
      <c r="G5546">
        <v>-222.76570000000001</v>
      </c>
      <c r="H5546" s="1">
        <v>-4.0849690000000001E-6</v>
      </c>
      <c r="I5546">
        <v>143.84520000000001</v>
      </c>
      <c r="J5546">
        <v>-195.39060000000001</v>
      </c>
      <c r="K5546">
        <v>1.115901</v>
      </c>
      <c r="L5546">
        <v>149.2218</v>
      </c>
      <c r="M5546">
        <v>-0.59471739999999995</v>
      </c>
      <c r="N5546">
        <v>-1.466198E-2</v>
      </c>
      <c r="O5546">
        <v>-0.80380099999999999</v>
      </c>
      <c r="P5546">
        <v>-0.81202790000000002</v>
      </c>
      <c r="Q5546">
        <v>-8.3746840000000003E-2</v>
      </c>
      <c r="R5546">
        <v>-0.57757840000000005</v>
      </c>
      <c r="S5546">
        <v>-3.2285460000000001</v>
      </c>
      <c r="T5546">
        <v>-0.1311184</v>
      </c>
      <c r="U5546">
        <v>-0.64553830000000001</v>
      </c>
      <c r="V5546">
        <v>0.308312799999999</v>
      </c>
      <c r="W5546">
        <v>-7.3860330000000002E-2</v>
      </c>
      <c r="X5546">
        <v>0.94841339999999996</v>
      </c>
      <c r="Y5546">
        <v>0.67090839999999996</v>
      </c>
      <c r="Z5546">
        <v>3.2697579999999997E-2</v>
      </c>
      <c r="AA5546">
        <v>0.74081900000000001</v>
      </c>
      <c r="AB5546">
        <v>17</v>
      </c>
      <c r="AC5546">
        <v>-27.3751</v>
      </c>
      <c r="AD5546">
        <v>-1.115905084969</v>
      </c>
      <c r="AE5546">
        <v>-5.3765999999999901</v>
      </c>
      <c r="AF5546">
        <v>18.7785541114492</v>
      </c>
      <c r="AG5546">
        <v>-1.115905084969</v>
      </c>
      <c r="AH5546">
        <v>20.5714683234044</v>
      </c>
      <c r="AI5546">
        <v>92.294232217527295</v>
      </c>
      <c r="AJ5546">
        <v>47.608776627759497</v>
      </c>
      <c r="AK5546">
        <v>27.875879316285602</v>
      </c>
      <c r="AL5546">
        <v>94.235742163934603</v>
      </c>
      <c r="AM5546">
        <v>71.991552200241998</v>
      </c>
      <c r="AN5546">
        <v>1.00000005414555</v>
      </c>
    </row>
    <row r="5547" spans="1:40" x14ac:dyDescent="0.25">
      <c r="A5547" t="str">
        <f>"20190303153918151"</f>
        <v>20190303153918151</v>
      </c>
      <c r="B5547" t="str">
        <f>"1551598758144248"</f>
        <v>1551598758144248</v>
      </c>
      <c r="C5547" t="s">
        <v>40</v>
      </c>
      <c r="D5547">
        <v>4.8148549999999997</v>
      </c>
      <c r="E5547">
        <v>0.66697530000000005</v>
      </c>
      <c r="F5547" t="s">
        <v>42</v>
      </c>
      <c r="G5547">
        <v>-219.3554</v>
      </c>
      <c r="H5547" s="1">
        <v>-1.5689050000000001E-6</v>
      </c>
      <c r="I5547">
        <v>144.441</v>
      </c>
      <c r="J5547">
        <v>-195.51220000000001</v>
      </c>
      <c r="K5547">
        <v>1.1160509999999999</v>
      </c>
      <c r="L5547">
        <v>149.08150000000001</v>
      </c>
      <c r="M5547">
        <v>-0.60414880000000004</v>
      </c>
      <c r="N5547">
        <v>-1.461694E-2</v>
      </c>
      <c r="O5547">
        <v>-0.79673739999999904</v>
      </c>
      <c r="P5547">
        <v>-0.81624030000000003</v>
      </c>
      <c r="Q5547">
        <v>-8.3289820000000001E-2</v>
      </c>
      <c r="R5547">
        <v>-0.57167730000000005</v>
      </c>
      <c r="S5547">
        <v>-3.2218170000000002</v>
      </c>
      <c r="T5547">
        <v>-0.1500214</v>
      </c>
      <c r="U5547">
        <v>-0.64273069999999999</v>
      </c>
      <c r="V5547">
        <v>0.30408439999999998</v>
      </c>
      <c r="W5547">
        <v>-7.3253499999999999E-2</v>
      </c>
      <c r="X5547">
        <v>0.94982449999999996</v>
      </c>
      <c r="Y5547">
        <v>0.66220279999999998</v>
      </c>
      <c r="Z5547">
        <v>3.8504980000000001E-2</v>
      </c>
      <c r="AA5547">
        <v>0.74833470000000002</v>
      </c>
      <c r="AB5547">
        <v>17</v>
      </c>
      <c r="AC5547">
        <v>-23.8432</v>
      </c>
      <c r="AD5547">
        <v>-1.116052568905</v>
      </c>
      <c r="AE5547">
        <v>-4.6405000000000003</v>
      </c>
      <c r="AF5547">
        <v>16.160831616082898</v>
      </c>
      <c r="AG5547">
        <v>-1.116052568905</v>
      </c>
      <c r="AH5547">
        <v>18.065897914549101</v>
      </c>
      <c r="AI5547">
        <v>92.636201312495601</v>
      </c>
      <c r="AJ5547">
        <v>48.185806800352402</v>
      </c>
      <c r="AK5547">
        <v>24.265092608907398</v>
      </c>
      <c r="AL5547">
        <v>94.200879196957104</v>
      </c>
      <c r="AM5547">
        <v>72.247637368934306</v>
      </c>
      <c r="AN5547">
        <v>0.99999998919292898</v>
      </c>
    </row>
    <row r="5548" spans="1:40" x14ac:dyDescent="0.25">
      <c r="A5548" t="str">
        <f>"20190303153918188"</f>
        <v>20190303153918188</v>
      </c>
      <c r="B5548" t="str">
        <f>"1551598758184264"</f>
        <v>1551598758184264</v>
      </c>
      <c r="C5548" t="s">
        <v>40</v>
      </c>
      <c r="D5548">
        <v>4.8330780000000004</v>
      </c>
      <c r="E5548">
        <v>0.66653830000000003</v>
      </c>
      <c r="F5548" t="s">
        <v>42</v>
      </c>
      <c r="G5548">
        <v>-218.00790000000001</v>
      </c>
      <c r="H5548" s="1">
        <v>-2.268378E-6</v>
      </c>
      <c r="I5548">
        <v>144.67599999999999</v>
      </c>
      <c r="J5548">
        <v>-195.71129999999999</v>
      </c>
      <c r="K5548">
        <v>1.1163080000000001</v>
      </c>
      <c r="L5548">
        <v>148.8579</v>
      </c>
      <c r="M5548">
        <v>-0.61872240000000001</v>
      </c>
      <c r="N5548">
        <v>-1.453249E-2</v>
      </c>
      <c r="O5548">
        <v>-0.78547540000000005</v>
      </c>
      <c r="P5548">
        <v>-0.82424459999999999</v>
      </c>
      <c r="Q5548">
        <v>-8.3239350000000004E-2</v>
      </c>
      <c r="R5548">
        <v>-0.56008259999999999</v>
      </c>
      <c r="S5548">
        <v>-3.217743</v>
      </c>
      <c r="T5548">
        <v>-0.15963769999999999</v>
      </c>
      <c r="U5548">
        <v>-0.63015750000000004</v>
      </c>
      <c r="V5548">
        <v>0.30006699999999997</v>
      </c>
      <c r="W5548">
        <v>-7.3022879999999998E-2</v>
      </c>
      <c r="X5548">
        <v>0.9511191</v>
      </c>
      <c r="Y5548">
        <v>0.65083150000000001</v>
      </c>
      <c r="Z5548">
        <v>4.1275800000000001E-2</v>
      </c>
      <c r="AA5548">
        <v>0.75809939999999998</v>
      </c>
      <c r="AB5548">
        <v>17</v>
      </c>
      <c r="AC5548">
        <v>-22.296600000000002</v>
      </c>
      <c r="AD5548">
        <v>-1.116310268378</v>
      </c>
      <c r="AE5548">
        <v>-4.1818999999999802</v>
      </c>
      <c r="AF5548">
        <v>14.891511228934499</v>
      </c>
      <c r="AG5548">
        <v>-1.116310268378</v>
      </c>
      <c r="AH5548">
        <v>17.0407241225716</v>
      </c>
      <c r="AI5548">
        <v>92.823968816819701</v>
      </c>
      <c r="AJ5548">
        <v>48.850509899319398</v>
      </c>
      <c r="AK5548">
        <v>22.658100845356898</v>
      </c>
      <c r="AL5548">
        <v>94.187629931095003</v>
      </c>
      <c r="AM5548">
        <v>72.490121338617499</v>
      </c>
      <c r="AN5548">
        <v>1.0000000439386501</v>
      </c>
    </row>
    <row r="5549" spans="1:40" x14ac:dyDescent="0.25">
      <c r="A5549" t="str">
        <f>"20190303153918203"</f>
        <v>20190303153918203</v>
      </c>
      <c r="B5549" t="str">
        <f>"1551598758194024"</f>
        <v>1551598758194024</v>
      </c>
      <c r="C5549" t="s">
        <v>40</v>
      </c>
      <c r="D5549">
        <v>4.8906660000000004</v>
      </c>
      <c r="E5549">
        <v>0.66551719999999903</v>
      </c>
      <c r="F5549" t="s">
        <v>42</v>
      </c>
      <c r="G5549">
        <v>-221.1858</v>
      </c>
      <c r="H5549" s="1">
        <v>-4.6869220000000002E-6</v>
      </c>
      <c r="I5549">
        <v>144.20769999999999</v>
      </c>
      <c r="J5549">
        <v>-195.7961</v>
      </c>
      <c r="K5549">
        <v>1.116395</v>
      </c>
      <c r="L5549">
        <v>148.76490000000001</v>
      </c>
      <c r="M5549">
        <v>-0.62465669999999995</v>
      </c>
      <c r="N5549">
        <v>-1.449778E-2</v>
      </c>
      <c r="O5549">
        <v>-0.78076509999999999</v>
      </c>
      <c r="P5549">
        <v>-0.82568790000000003</v>
      </c>
      <c r="Q5549">
        <v>-8.3654980000000004E-2</v>
      </c>
      <c r="R5549">
        <v>-0.55789040000000001</v>
      </c>
      <c r="S5549">
        <v>-3.2253569999999998</v>
      </c>
      <c r="T5549">
        <v>-0.14133789999999999</v>
      </c>
      <c r="U5549">
        <v>-0.58876039999999996</v>
      </c>
      <c r="V5549">
        <v>0.29536810000000002</v>
      </c>
      <c r="W5549">
        <v>-7.3328379999999999E-2</v>
      </c>
      <c r="X5549">
        <v>0.95256529999999995</v>
      </c>
      <c r="Y5549">
        <v>0.65506889999999995</v>
      </c>
      <c r="Z5549">
        <v>3.575126E-2</v>
      </c>
      <c r="AA5549">
        <v>0.75472280000000003</v>
      </c>
      <c r="AB5549">
        <v>17</v>
      </c>
      <c r="AC5549">
        <v>-25.389700000000001</v>
      </c>
      <c r="AD5549">
        <v>-1.1163996869220001</v>
      </c>
      <c r="AE5549">
        <v>-4.5572000000000203</v>
      </c>
      <c r="AF5549">
        <v>16.946745445889601</v>
      </c>
      <c r="AG5549">
        <v>-1.1163996869220001</v>
      </c>
      <c r="AH5549">
        <v>19.383679894003301</v>
      </c>
      <c r="AI5549">
        <v>92.482790535305398</v>
      </c>
      <c r="AJ5549">
        <v>48.837478192461603</v>
      </c>
      <c r="AK5549">
        <v>25.771410044891301</v>
      </c>
      <c r="AL5549">
        <v>94.205180993991803</v>
      </c>
      <c r="AM5549">
        <v>72.772565838351397</v>
      </c>
      <c r="AN5549">
        <v>1.00000000828756</v>
      </c>
    </row>
    <row r="5550" spans="1:40" x14ac:dyDescent="0.25">
      <c r="A5550" t="str">
        <f>"20190303153918217"</f>
        <v>20190303153918217</v>
      </c>
      <c r="B5550" t="str">
        <f>"1551598758214520"</f>
        <v>1551598758214520</v>
      </c>
      <c r="C5550" t="s">
        <v>40</v>
      </c>
      <c r="D5550">
        <v>4.8873249999999997</v>
      </c>
      <c r="E5550">
        <v>0.6633251</v>
      </c>
      <c r="F5550" t="s">
        <v>42</v>
      </c>
      <c r="G5550">
        <v>-221.33109999999999</v>
      </c>
      <c r="H5550" s="1">
        <v>-4.6203719999999999E-6</v>
      </c>
      <c r="I5550">
        <v>144.1112</v>
      </c>
      <c r="J5550">
        <v>-195.8733</v>
      </c>
      <c r="K5550">
        <v>1.1164769999999999</v>
      </c>
      <c r="L5550">
        <v>148.68119999999999</v>
      </c>
      <c r="M5550">
        <v>-0.62993769999999905</v>
      </c>
      <c r="N5550">
        <v>-1.44683E-2</v>
      </c>
      <c r="O5550">
        <v>-0.7765109</v>
      </c>
      <c r="P5550">
        <v>-0.82694699999999999</v>
      </c>
      <c r="Q5550">
        <v>-8.3438230000000002E-2</v>
      </c>
      <c r="R5550">
        <v>-0.55605479999999996</v>
      </c>
      <c r="S5550">
        <v>-3.2222749999999998</v>
      </c>
      <c r="T5550">
        <v>-0.14087930000000001</v>
      </c>
      <c r="U5550">
        <v>-0.58724980000000004</v>
      </c>
      <c r="V5550">
        <v>0.29105900000000001</v>
      </c>
      <c r="W5550">
        <v>-7.3015410000000003E-2</v>
      </c>
      <c r="X5550">
        <v>0.95391479999999995</v>
      </c>
      <c r="Y5550">
        <v>0.65015789999999996</v>
      </c>
      <c r="Z5550">
        <v>3.5527990000000002E-2</v>
      </c>
      <c r="AA5550">
        <v>0.75896799999999998</v>
      </c>
      <c r="AB5550">
        <v>17</v>
      </c>
      <c r="AC5550">
        <v>-25.457799999999899</v>
      </c>
      <c r="AD5550">
        <v>-1.116481620372</v>
      </c>
      <c r="AE5550">
        <v>-4.5699999999999896</v>
      </c>
      <c r="AF5550">
        <v>16.8597966243162</v>
      </c>
      <c r="AG5550">
        <v>-1.116481620372</v>
      </c>
      <c r="AH5550">
        <v>19.551102961017801</v>
      </c>
      <c r="AI5550">
        <v>92.476305002161396</v>
      </c>
      <c r="AJ5550">
        <v>49.227321852331201</v>
      </c>
      <c r="AK5550">
        <v>25.8407604457426</v>
      </c>
      <c r="AL5550">
        <v>94.187200892263704</v>
      </c>
      <c r="AM5550">
        <v>73.031975623399404</v>
      </c>
      <c r="AN5550">
        <v>1.0000000186187501</v>
      </c>
    </row>
    <row r="5551" spans="1:40" x14ac:dyDescent="0.25">
      <c r="A5551" t="str">
        <f>"20190303153918239"</f>
        <v>20190303153918239</v>
      </c>
      <c r="B5551" t="str">
        <f>"1551598758234040"</f>
        <v>1551598758234040</v>
      </c>
      <c r="C5551" t="s">
        <v>40</v>
      </c>
      <c r="D5551">
        <v>4.869599</v>
      </c>
      <c r="E5551">
        <v>0.6613985</v>
      </c>
      <c r="F5551" t="s">
        <v>42</v>
      </c>
      <c r="G5551">
        <v>-220.31530000000001</v>
      </c>
      <c r="H5551" s="1">
        <v>-4.975047E-6</v>
      </c>
      <c r="I5551">
        <v>144.16200000000001</v>
      </c>
      <c r="J5551">
        <v>-195.99090000000001</v>
      </c>
      <c r="K5551">
        <v>1.1165830000000001</v>
      </c>
      <c r="L5551">
        <v>148.5556</v>
      </c>
      <c r="M5551">
        <v>-0.63775090000000001</v>
      </c>
      <c r="N5551">
        <v>-1.4426680000000001E-2</v>
      </c>
      <c r="O5551">
        <v>-0.7701076</v>
      </c>
      <c r="P5551">
        <v>-0.8306152</v>
      </c>
      <c r="Q5551">
        <v>-8.2035700000000003E-2</v>
      </c>
      <c r="R5551">
        <v>-0.55077119999999902</v>
      </c>
      <c r="S5551">
        <v>-3.2134860000000001</v>
      </c>
      <c r="T5551">
        <v>-0.14678820000000001</v>
      </c>
      <c r="U5551">
        <v>-0.59414669999999903</v>
      </c>
      <c r="V5551">
        <v>0.2876474</v>
      </c>
      <c r="W5551">
        <v>-7.1524069999999995E-2</v>
      </c>
      <c r="X5551">
        <v>0.95506190000000002</v>
      </c>
      <c r="Y5551">
        <v>0.64041610000000004</v>
      </c>
      <c r="Z5551">
        <v>3.7173770000000002E-2</v>
      </c>
      <c r="AA5551">
        <v>0.76712799999999903</v>
      </c>
      <c r="AB5551">
        <v>17</v>
      </c>
      <c r="AC5551">
        <v>-24.324400000000001</v>
      </c>
      <c r="AD5551">
        <v>-1.116587975047</v>
      </c>
      <c r="AE5551">
        <v>-4.3935999999999904</v>
      </c>
      <c r="AF5551">
        <v>15.8995957761311</v>
      </c>
      <c r="AG5551">
        <v>-1.116587975047</v>
      </c>
      <c r="AH5551">
        <v>18.859933319990802</v>
      </c>
      <c r="AI5551">
        <v>92.591737394178494</v>
      </c>
      <c r="AJ5551">
        <v>49.867917916648103</v>
      </c>
      <c r="AK5551">
        <v>24.692934199582002</v>
      </c>
      <c r="AL5551">
        <v>94.101529552330007</v>
      </c>
      <c r="AM5551">
        <v>73.2386471672163</v>
      </c>
      <c r="AN5551">
        <v>0.99999997607386704</v>
      </c>
    </row>
    <row r="5552" spans="1:40" x14ac:dyDescent="0.25">
      <c r="A5552" t="str">
        <f>"20190303153918265"</f>
        <v>20190303153918265</v>
      </c>
      <c r="B5552" t="str">
        <f>"1551598758254536"</f>
        <v>1551598758254536</v>
      </c>
      <c r="C5552" t="s">
        <v>40</v>
      </c>
      <c r="D5552">
        <v>4.9072940000000003</v>
      </c>
      <c r="E5552">
        <v>0.65966440000000004</v>
      </c>
      <c r="F5552" t="s">
        <v>42</v>
      </c>
      <c r="G5552">
        <v>-219.93109999999999</v>
      </c>
      <c r="H5552" s="1">
        <v>-1.2287279999999999E-6</v>
      </c>
      <c r="I5552">
        <v>144.18530000000001</v>
      </c>
      <c r="J5552">
        <v>-196.13050000000001</v>
      </c>
      <c r="K5552">
        <v>1.1166940000000001</v>
      </c>
      <c r="L5552">
        <v>148.4093</v>
      </c>
      <c r="M5552">
        <v>-0.64669650000000001</v>
      </c>
      <c r="N5552">
        <v>-1.43797E-2</v>
      </c>
      <c r="O5552">
        <v>-0.76261199999999996</v>
      </c>
      <c r="P5552">
        <v>-0.8357424</v>
      </c>
      <c r="Q5552">
        <v>-8.0860749999999995E-2</v>
      </c>
      <c r="R5552">
        <v>-0.54313579999999995</v>
      </c>
      <c r="S5552">
        <v>-3.2086030000000001</v>
      </c>
      <c r="T5552">
        <v>-0.14965110000000001</v>
      </c>
      <c r="U5552">
        <v>-0.58573909999999996</v>
      </c>
      <c r="V5552">
        <v>0.28537210000000002</v>
      </c>
      <c r="W5552">
        <v>-7.0286299999999996E-2</v>
      </c>
      <c r="X5552">
        <v>0.95583609999999997</v>
      </c>
      <c r="Y5552">
        <v>0.63312729999999995</v>
      </c>
      <c r="Z5552">
        <v>3.7914900000000001E-2</v>
      </c>
      <c r="AA5552">
        <v>0.77311859999999999</v>
      </c>
      <c r="AB5552">
        <v>17</v>
      </c>
      <c r="AC5552">
        <v>-23.8005999999999</v>
      </c>
      <c r="AD5552">
        <v>-1.1166952287279901</v>
      </c>
      <c r="AE5552">
        <v>-4.2239999999999798</v>
      </c>
      <c r="AF5552">
        <v>15.3877302172159</v>
      </c>
      <c r="AG5552">
        <v>-1.1166952287279901</v>
      </c>
      <c r="AH5552">
        <v>18.575318029947301</v>
      </c>
      <c r="AI5552">
        <v>92.650643007942406</v>
      </c>
      <c r="AJ5552">
        <v>50.361765080219001</v>
      </c>
      <c r="AK5552">
        <v>24.1468774251531</v>
      </c>
      <c r="AL5552">
        <v>94.030431403219495</v>
      </c>
      <c r="AM5552">
        <v>73.376607257793594</v>
      </c>
      <c r="AN5552">
        <v>1.0000000247446501</v>
      </c>
    </row>
    <row r="5553" spans="1:40" x14ac:dyDescent="0.25">
      <c r="A5553" t="str">
        <f>"20190303153918285"</f>
        <v>20190303153918285</v>
      </c>
      <c r="B5553" t="str">
        <f>"1551598758274056"</f>
        <v>1551598758274056</v>
      </c>
      <c r="C5553" t="s">
        <v>40</v>
      </c>
      <c r="D5553">
        <v>4.9347770000000004</v>
      </c>
      <c r="E5553">
        <v>0.65807899999999997</v>
      </c>
      <c r="F5553" t="s">
        <v>42</v>
      </c>
      <c r="G5553">
        <v>-219.7928</v>
      </c>
      <c r="H5553" s="1">
        <v>-1.303903E-6</v>
      </c>
      <c r="I5553">
        <v>144.22200000000001</v>
      </c>
      <c r="J5553">
        <v>-196.24529999999999</v>
      </c>
      <c r="K5553">
        <v>1.1167689999999999</v>
      </c>
      <c r="L5553">
        <v>148.29140000000001</v>
      </c>
      <c r="M5553">
        <v>-0.65380199999999999</v>
      </c>
      <c r="N5553">
        <v>-1.434243E-2</v>
      </c>
      <c r="O5553">
        <v>-0.75652989999999998</v>
      </c>
      <c r="P5553">
        <v>-0.83961839999999999</v>
      </c>
      <c r="Q5553">
        <v>-7.9999269999999997E-2</v>
      </c>
      <c r="R5553">
        <v>-0.53725310000000004</v>
      </c>
      <c r="S5553">
        <v>-3.2062680000000001</v>
      </c>
      <c r="T5553">
        <v>-0.1513139</v>
      </c>
      <c r="U5553">
        <v>-0.56738279999999996</v>
      </c>
      <c r="V5553">
        <v>0.283228599999999</v>
      </c>
      <c r="W5553">
        <v>-6.9379720000000006E-2</v>
      </c>
      <c r="X5553">
        <v>0.95653960000000005</v>
      </c>
      <c r="Y5553">
        <v>0.63004989999999905</v>
      </c>
      <c r="Z5553">
        <v>3.8388989999999998E-2</v>
      </c>
      <c r="AA5553">
        <v>0.77560530000000005</v>
      </c>
      <c r="AB5553">
        <v>17</v>
      </c>
      <c r="AC5553">
        <v>-23.547499999999999</v>
      </c>
      <c r="AD5553">
        <v>-1.1167703039029999</v>
      </c>
      <c r="AE5553">
        <v>-4.0693999999999999</v>
      </c>
      <c r="AF5553">
        <v>15.1223353609276</v>
      </c>
      <c r="AG5553">
        <v>-1.1167703039029999</v>
      </c>
      <c r="AH5553">
        <v>18.435659518343201</v>
      </c>
      <c r="AI5553">
        <v>92.6815236638855</v>
      </c>
      <c r="AJ5553">
        <v>50.638781269527001</v>
      </c>
      <c r="AK5553">
        <v>23.870604193365502</v>
      </c>
      <c r="AL5553">
        <v>93.9783611903663</v>
      </c>
      <c r="AM5553">
        <v>73.506131274086897</v>
      </c>
      <c r="AN5553">
        <v>0.99999999588669897</v>
      </c>
    </row>
    <row r="5554" spans="1:40" x14ac:dyDescent="0.25">
      <c r="A5554" t="str">
        <f>"20190303153918307"</f>
        <v>20190303153918307</v>
      </c>
      <c r="B5554" t="str">
        <f>"1551598758304312"</f>
        <v>1551598758304312</v>
      </c>
      <c r="C5554" t="s">
        <v>40</v>
      </c>
      <c r="D5554">
        <v>5.0064960000000003</v>
      </c>
      <c r="E5554">
        <v>0.65591929999999998</v>
      </c>
      <c r="F5554" t="s">
        <v>42</v>
      </c>
      <c r="G5554">
        <v>-219.5087</v>
      </c>
      <c r="H5554" s="1">
        <v>-1.4480749999999999E-6</v>
      </c>
      <c r="I5554">
        <v>144.25919999999999</v>
      </c>
      <c r="J5554">
        <v>-196.36449999999999</v>
      </c>
      <c r="K5554">
        <v>1.1168359999999999</v>
      </c>
      <c r="L5554">
        <v>148.17089999999999</v>
      </c>
      <c r="M5554">
        <v>-0.66097830000000002</v>
      </c>
      <c r="N5554">
        <v>-1.4306589999999999E-2</v>
      </c>
      <c r="O5554">
        <v>-0.75026870000000001</v>
      </c>
      <c r="P5554">
        <v>-0.84391430000000001</v>
      </c>
      <c r="Q5554">
        <v>-7.9236790000000001E-2</v>
      </c>
      <c r="R5554">
        <v>-0.53059409999999996</v>
      </c>
      <c r="S5554">
        <v>-3.2031399999999999</v>
      </c>
      <c r="T5554">
        <v>-0.15376819999999999</v>
      </c>
      <c r="U5554">
        <v>-0.55519099999999999</v>
      </c>
      <c r="V5554">
        <v>0.28175879999999998</v>
      </c>
      <c r="W5554">
        <v>-6.8586629999999996E-2</v>
      </c>
      <c r="X5554">
        <v>0.95703079999999996</v>
      </c>
      <c r="Y5554">
        <v>0.62534650000000003</v>
      </c>
      <c r="Z5554">
        <v>3.9038120000000003E-2</v>
      </c>
      <c r="AA5554">
        <v>0.77937009999999995</v>
      </c>
      <c r="AB5554">
        <v>17</v>
      </c>
      <c r="AC5554">
        <v>-23.144200000000001</v>
      </c>
      <c r="AD5554">
        <v>-1.1168374480750001</v>
      </c>
      <c r="AE5554">
        <v>-3.91169999999999</v>
      </c>
      <c r="AF5554">
        <v>14.7469457833185</v>
      </c>
      <c r="AG5554">
        <v>-1.1168374480750001</v>
      </c>
      <c r="AH5554">
        <v>18.1933167649103</v>
      </c>
      <c r="AI5554">
        <v>92.730282493802406</v>
      </c>
      <c r="AJ5554">
        <v>50.972833643442698</v>
      </c>
      <c r="AK5554">
        <v>23.446034008546601</v>
      </c>
      <c r="AL5554">
        <v>93.932811761056698</v>
      </c>
      <c r="AM5554">
        <v>73.595079082197103</v>
      </c>
      <c r="AN5554">
        <v>1.00000004967041</v>
      </c>
    </row>
    <row r="5555" spans="1:40" x14ac:dyDescent="0.25">
      <c r="A5555" t="str">
        <f>"20190303153918334"</f>
        <v>20190303153918334</v>
      </c>
      <c r="B5555" t="str">
        <f>"1551598758323832"</f>
        <v>1551598758323832</v>
      </c>
      <c r="C5555" t="s">
        <v>40</v>
      </c>
      <c r="D5555">
        <v>4.9552060000000004</v>
      </c>
      <c r="E5555">
        <v>0.65465280000000003</v>
      </c>
      <c r="F5555" t="s">
        <v>42</v>
      </c>
      <c r="G5555">
        <v>-219.10140000000001</v>
      </c>
      <c r="H5555" s="1">
        <v>-1.6521889999999999E-6</v>
      </c>
      <c r="I5555">
        <v>144.30279999999999</v>
      </c>
      <c r="J5555">
        <v>-196.5136</v>
      </c>
      <c r="K5555">
        <v>1.1168960000000001</v>
      </c>
      <c r="L5555">
        <v>148.02330000000001</v>
      </c>
      <c r="M5555">
        <v>-0.66968380000000005</v>
      </c>
      <c r="N5555">
        <v>-1.4267500000000001E-2</v>
      </c>
      <c r="O5555">
        <v>-0.74250939999999999</v>
      </c>
      <c r="P5555">
        <v>-0.84899309999999995</v>
      </c>
      <c r="Q5555">
        <v>-7.7764780000000006E-2</v>
      </c>
      <c r="R5555">
        <v>-0.52265019999999995</v>
      </c>
      <c r="S5555">
        <v>-3.1980590000000002</v>
      </c>
      <c r="T5555">
        <v>-0.15708849999999999</v>
      </c>
      <c r="U5555">
        <v>-0.54406739999999998</v>
      </c>
      <c r="V5555">
        <v>0.27970780000000001</v>
      </c>
      <c r="W5555">
        <v>-6.7077220000000007E-2</v>
      </c>
      <c r="X5555">
        <v>0.95773909999999995</v>
      </c>
      <c r="Y5555">
        <v>0.61860660000000001</v>
      </c>
      <c r="Z5555">
        <v>3.9885169999999998E-2</v>
      </c>
      <c r="AA5555">
        <v>0.78468789999999999</v>
      </c>
      <c r="AB5555">
        <v>17</v>
      </c>
      <c r="AC5555">
        <v>-22.587800000000001</v>
      </c>
      <c r="AD5555">
        <v>-1.1168976521889999</v>
      </c>
      <c r="AE5555">
        <v>-3.7205000000000101</v>
      </c>
      <c r="AF5555">
        <v>14.2476324171631</v>
      </c>
      <c r="AG5555">
        <v>-1.1168976521889999</v>
      </c>
      <c r="AH5555">
        <v>17.848522602941198</v>
      </c>
      <c r="AI5555">
        <v>92.799857919148394</v>
      </c>
      <c r="AJ5555">
        <v>51.401286183419202</v>
      </c>
      <c r="AK5555">
        <v>22.865087993877601</v>
      </c>
      <c r="AL5555">
        <v>93.846129493763101</v>
      </c>
      <c r="AM5555">
        <v>73.719550641799003</v>
      </c>
      <c r="AN5555">
        <v>0.99999999524628902</v>
      </c>
    </row>
    <row r="5556" spans="1:40" x14ac:dyDescent="0.25">
      <c r="A5556" t="str">
        <f>"20190303153918353"</f>
        <v>20190303153918353</v>
      </c>
      <c r="B5556" t="str">
        <f>"1551598758344328"</f>
        <v>1551598758344328</v>
      </c>
      <c r="C5556" t="s">
        <v>40</v>
      </c>
      <c r="D5556">
        <v>4.9583629999999896</v>
      </c>
      <c r="E5556">
        <v>0.65329740000000003</v>
      </c>
      <c r="F5556" t="s">
        <v>42</v>
      </c>
      <c r="G5556">
        <v>-219.6361</v>
      </c>
      <c r="H5556" s="1">
        <v>-1.384283E-6</v>
      </c>
      <c r="I5556">
        <v>144.24590000000001</v>
      </c>
      <c r="J5556">
        <v>-196.62129999999999</v>
      </c>
      <c r="K5556">
        <v>1.1169279999999999</v>
      </c>
      <c r="L5556">
        <v>147.9186</v>
      </c>
      <c r="M5556">
        <v>-0.6758111</v>
      </c>
      <c r="N5556">
        <v>-1.4242980000000001E-2</v>
      </c>
      <c r="O5556">
        <v>-0.73693750000000002</v>
      </c>
      <c r="P5556">
        <v>-0.85294490000000001</v>
      </c>
      <c r="Q5556">
        <v>-7.8482609999999994E-2</v>
      </c>
      <c r="R5556">
        <v>-0.51606790000000002</v>
      </c>
      <c r="S5556">
        <v>-3.197845</v>
      </c>
      <c r="T5556">
        <v>-0.15446699999999999</v>
      </c>
      <c r="U5556">
        <v>-0.52241519999999997</v>
      </c>
      <c r="V5556">
        <v>0.27913300000000002</v>
      </c>
      <c r="W5556">
        <v>-6.7787920000000002E-2</v>
      </c>
      <c r="X5556">
        <v>0.95785679999999995</v>
      </c>
      <c r="Y5556">
        <v>0.61730229999999997</v>
      </c>
      <c r="Z5556">
        <v>3.9071910000000001E-2</v>
      </c>
      <c r="AA5556">
        <v>0.78575519999999999</v>
      </c>
      <c r="AB5556">
        <v>17</v>
      </c>
      <c r="AC5556">
        <v>-23.014800000000001</v>
      </c>
      <c r="AD5556">
        <v>-1.1169293842829999</v>
      </c>
      <c r="AE5556">
        <v>-3.6726999999999901</v>
      </c>
      <c r="AF5556">
        <v>14.446703124033499</v>
      </c>
      <c r="AG5556">
        <v>-1.1169293842829999</v>
      </c>
      <c r="AH5556">
        <v>18.220209117171901</v>
      </c>
      <c r="AI5556">
        <v>92.750066557107303</v>
      </c>
      <c r="AJ5556">
        <v>51.589295463302697</v>
      </c>
      <c r="AK5556">
        <v>23.2794068368786</v>
      </c>
      <c r="AL5556">
        <v>93.8869423222786</v>
      </c>
      <c r="AM5556">
        <v>73.753131422744801</v>
      </c>
      <c r="AN5556">
        <v>1.00000004154658</v>
      </c>
    </row>
    <row r="5557" spans="1:40" x14ac:dyDescent="0.25">
      <c r="A5557" t="str">
        <f>"20190303153918385"</f>
        <v>20190303153918385</v>
      </c>
      <c r="B5557" t="str">
        <f>"1551598758373608"</f>
        <v>1551598758373608</v>
      </c>
      <c r="C5557" t="s">
        <v>40</v>
      </c>
      <c r="D5557">
        <v>4.9838469999999999</v>
      </c>
      <c r="E5557">
        <v>0.65199280000000004</v>
      </c>
      <c r="F5557" t="s">
        <v>42</v>
      </c>
      <c r="G5557">
        <v>-219.0993</v>
      </c>
      <c r="H5557" s="1">
        <v>-1.6666770000000001E-6</v>
      </c>
      <c r="I5557">
        <v>144.3535</v>
      </c>
      <c r="J5557">
        <v>-196.80529999999999</v>
      </c>
      <c r="K5557">
        <v>1.1169480000000001</v>
      </c>
      <c r="L5557">
        <v>147.74350000000001</v>
      </c>
      <c r="M5557">
        <v>-0.68601049999999997</v>
      </c>
      <c r="N5557">
        <v>-1.420838E-2</v>
      </c>
      <c r="O5557">
        <v>-0.72745300000000002</v>
      </c>
      <c r="P5557">
        <v>-0.85921840000000005</v>
      </c>
      <c r="Q5557">
        <v>-7.8819959999999994E-2</v>
      </c>
      <c r="R5557">
        <v>-0.50550099999999998</v>
      </c>
      <c r="S5557">
        <v>-3.1959230000000001</v>
      </c>
      <c r="T5557">
        <v>-0.1588049</v>
      </c>
      <c r="U5557">
        <v>-0.50688169999999999</v>
      </c>
      <c r="V5557">
        <v>0.27759299999999998</v>
      </c>
      <c r="W5557">
        <v>-6.8117720000000007E-2</v>
      </c>
      <c r="X5557">
        <v>0.95828080000000004</v>
      </c>
      <c r="Y5557">
        <v>0.60991219999999902</v>
      </c>
      <c r="Z5557">
        <v>4.0116159999999998E-2</v>
      </c>
      <c r="AA5557">
        <v>0.79145299999999996</v>
      </c>
      <c r="AB5557">
        <v>17</v>
      </c>
      <c r="AC5557">
        <v>-22.294</v>
      </c>
      <c r="AD5557">
        <v>-1.116949666677</v>
      </c>
      <c r="AE5557">
        <v>-3.3900000000000099</v>
      </c>
      <c r="AF5557">
        <v>13.8596600833402</v>
      </c>
      <c r="AG5557">
        <v>-1.116949666677</v>
      </c>
      <c r="AH5557">
        <v>17.718305721222599</v>
      </c>
      <c r="AI5557">
        <v>92.842576785838702</v>
      </c>
      <c r="AJ5557">
        <v>51.966677259167099</v>
      </c>
      <c r="AK5557">
        <v>22.522790941939999</v>
      </c>
      <c r="AL5557">
        <v>93.905882432519903</v>
      </c>
      <c r="AM5557">
        <v>73.844853060137297</v>
      </c>
      <c r="AN5557">
        <v>0.99999999453781896</v>
      </c>
    </row>
    <row r="5558" spans="1:40" x14ac:dyDescent="0.25">
      <c r="A5558" t="str">
        <f>"20190303153918406"</f>
        <v>20190303153918406</v>
      </c>
      <c r="B5558" t="str">
        <f>"1551598758403864"</f>
        <v>1551598758403864</v>
      </c>
      <c r="C5558" t="s">
        <v>40</v>
      </c>
      <c r="D5558">
        <v>4.9838579999999997</v>
      </c>
      <c r="E5558">
        <v>0.62052659999999904</v>
      </c>
      <c r="F5558" t="s">
        <v>42</v>
      </c>
      <c r="G5558">
        <v>-219.18109999999999</v>
      </c>
      <c r="H5558" s="1">
        <v>-1.642595E-6</v>
      </c>
      <c r="I5558">
        <v>144.4083</v>
      </c>
      <c r="J5558">
        <v>-196.92859999999999</v>
      </c>
      <c r="K5558">
        <v>1.11694</v>
      </c>
      <c r="L5558">
        <v>147.62880000000001</v>
      </c>
      <c r="M5558">
        <v>-0.69268039999999997</v>
      </c>
      <c r="N5558">
        <v>-1.419019E-2</v>
      </c>
      <c r="O5558">
        <v>-0.7211052</v>
      </c>
      <c r="P5558">
        <v>-0.86328879999999997</v>
      </c>
      <c r="Q5558">
        <v>-7.8812019999999997E-2</v>
      </c>
      <c r="R5558">
        <v>-0.49851889999999999</v>
      </c>
      <c r="S5558">
        <v>-3.1965940000000002</v>
      </c>
      <c r="T5558">
        <v>-0.15956689999999901</v>
      </c>
      <c r="U5558">
        <v>-0.47647089999999998</v>
      </c>
      <c r="V5558">
        <v>0.27653820000000001</v>
      </c>
      <c r="W5558">
        <v>-6.8112279999999997E-2</v>
      </c>
      <c r="X5558">
        <v>0.9585861</v>
      </c>
      <c r="Y5558">
        <v>0.60998589999999997</v>
      </c>
      <c r="Z5558">
        <v>4.0332689999999997E-2</v>
      </c>
      <c r="AA5558">
        <v>0.79138509999999995</v>
      </c>
      <c r="AB5558">
        <v>17</v>
      </c>
      <c r="AC5558">
        <v>-22.252500000000001</v>
      </c>
      <c r="AD5558">
        <v>-1.1169416425950001</v>
      </c>
      <c r="AE5558">
        <v>-3.2205000000000101</v>
      </c>
      <c r="AF5558">
        <v>13.782993023034599</v>
      </c>
      <c r="AG5558">
        <v>-1.1169416425950001</v>
      </c>
      <c r="AH5558">
        <v>17.694308922542099</v>
      </c>
      <c r="AI5558">
        <v>92.850918681221401</v>
      </c>
      <c r="AJ5558">
        <v>52.083169814660799</v>
      </c>
      <c r="AK5558">
        <v>22.4567812375758</v>
      </c>
      <c r="AL5558">
        <v>93.905570055471003</v>
      </c>
      <c r="AM5558">
        <v>73.907915694906393</v>
      </c>
      <c r="AN5558">
        <v>0.99999998492962405</v>
      </c>
    </row>
    <row r="5559" spans="1:40" x14ac:dyDescent="0.25">
      <c r="A5559" t="str">
        <f>"20190303153918428"</f>
        <v>20190303153918428</v>
      </c>
      <c r="B5559" t="str">
        <f>"1551598758423891"</f>
        <v>1551598758423891</v>
      </c>
      <c r="C5559" t="s">
        <v>40</v>
      </c>
      <c r="D5559">
        <v>5.0075710000000004</v>
      </c>
      <c r="E5559">
        <v>0.62062890000000004</v>
      </c>
      <c r="F5559" t="s">
        <v>42</v>
      </c>
      <c r="G5559">
        <v>-210.8853</v>
      </c>
      <c r="H5559" s="1">
        <v>-5.2587640000000002E-6</v>
      </c>
      <c r="I5559">
        <v>144.61940000000001</v>
      </c>
      <c r="J5559">
        <v>-197.05619999999999</v>
      </c>
      <c r="K5559">
        <v>1.1169209999999901</v>
      </c>
      <c r="L5559">
        <v>147.51220000000001</v>
      </c>
      <c r="M5559">
        <v>-0.69945729999999995</v>
      </c>
      <c r="N5559">
        <v>-1.417536E-2</v>
      </c>
      <c r="O5559">
        <v>-0.71453389999999894</v>
      </c>
      <c r="P5559">
        <v>-0.86702089999999998</v>
      </c>
      <c r="Q5559">
        <v>-8.0008880000000004E-2</v>
      </c>
      <c r="R5559">
        <v>-0.49180649999999998</v>
      </c>
      <c r="S5559">
        <v>-3.0703429999999998</v>
      </c>
      <c r="T5559">
        <v>-0.24571750000000001</v>
      </c>
      <c r="U5559">
        <v>-0.66203310000000004</v>
      </c>
      <c r="V5559">
        <v>0.27483400000000002</v>
      </c>
      <c r="W5559">
        <v>-6.93082E-2</v>
      </c>
      <c r="X5559">
        <v>0.95899049999999997</v>
      </c>
      <c r="Y5559">
        <v>0.54820019999999903</v>
      </c>
      <c r="Z5559">
        <v>6.4960260000000006E-2</v>
      </c>
      <c r="AA5559">
        <v>0.83382060000000002</v>
      </c>
      <c r="AB5559">
        <v>17</v>
      </c>
      <c r="AC5559">
        <v>-13.8291</v>
      </c>
      <c r="AD5559">
        <v>-1.1169262587640001</v>
      </c>
      <c r="AE5559">
        <v>-2.89279999999999</v>
      </c>
      <c r="AF5559">
        <v>7.8099495767770701</v>
      </c>
      <c r="AG5559">
        <v>-1.1169262587640001</v>
      </c>
      <c r="AH5559">
        <v>11.668124717326601</v>
      </c>
      <c r="AI5559">
        <v>94.548264174018499</v>
      </c>
      <c r="AJ5559">
        <v>56.203998341108402</v>
      </c>
      <c r="AK5559">
        <v>14.0850264848315</v>
      </c>
      <c r="AL5559">
        <v>93.974253226676893</v>
      </c>
      <c r="AM5559">
        <v>74.0083973358592</v>
      </c>
      <c r="AN5559">
        <v>1.0000000666167399</v>
      </c>
    </row>
    <row r="5560" spans="1:40" x14ac:dyDescent="0.25">
      <c r="A5560" t="str">
        <f>"20190303153918455"</f>
        <v>20190303153918455</v>
      </c>
      <c r="B5560" t="str">
        <f>"1551598758444387"</f>
        <v>1551598758444387</v>
      </c>
      <c r="C5560" t="s">
        <v>40</v>
      </c>
      <c r="D5560">
        <v>5.023269</v>
      </c>
      <c r="E5560">
        <v>0.61913660000000004</v>
      </c>
      <c r="F5560" t="s">
        <v>42</v>
      </c>
      <c r="G5560">
        <v>-210.0283</v>
      </c>
      <c r="H5560" s="1">
        <v>-5.6246850000000003E-6</v>
      </c>
      <c r="I5560">
        <v>144.82679999999999</v>
      </c>
      <c r="J5560">
        <v>-197.2038</v>
      </c>
      <c r="K5560">
        <v>1.1168849999999999</v>
      </c>
      <c r="L5560">
        <v>147.38030000000001</v>
      </c>
      <c r="M5560">
        <v>-0.70715399999999995</v>
      </c>
      <c r="N5560">
        <v>-1.416252E-2</v>
      </c>
      <c r="O5560">
        <v>-0.70691780000000004</v>
      </c>
      <c r="P5560">
        <v>-0.87155559999999999</v>
      </c>
      <c r="Q5560">
        <v>-8.141002E-2</v>
      </c>
      <c r="R5560">
        <v>-0.483491</v>
      </c>
      <c r="S5560">
        <v>-3.0746310000000001</v>
      </c>
      <c r="T5560">
        <v>-0.26473390000000002</v>
      </c>
      <c r="U5560">
        <v>-0.63650509999999905</v>
      </c>
      <c r="V5560">
        <v>0.273512799999999</v>
      </c>
      <c r="W5560">
        <v>-7.0718600000000006E-2</v>
      </c>
      <c r="X5560">
        <v>0.95926520000000004</v>
      </c>
      <c r="Y5560">
        <v>0.54553969999999996</v>
      </c>
      <c r="Z5560">
        <v>7.01291E-2</v>
      </c>
      <c r="AA5560">
        <v>0.83514580000000005</v>
      </c>
      <c r="AB5560">
        <v>17</v>
      </c>
      <c r="AC5560">
        <v>-12.8245</v>
      </c>
      <c r="AD5560">
        <v>-1.1168906246850001</v>
      </c>
      <c r="AE5560">
        <v>-2.5535000000000099</v>
      </c>
      <c r="AF5560">
        <v>7.2082892280826698</v>
      </c>
      <c r="AG5560">
        <v>-1.1168906246850001</v>
      </c>
      <c r="AH5560">
        <v>10.7963363508941</v>
      </c>
      <c r="AI5560">
        <v>94.917438913935399</v>
      </c>
      <c r="AJ5560">
        <v>56.270521873198803</v>
      </c>
      <c r="AK5560">
        <v>13.029495648905201</v>
      </c>
      <c r="AL5560">
        <v>94.055262062348504</v>
      </c>
      <c r="AM5560">
        <v>74.085696753259697</v>
      </c>
      <c r="AN5560">
        <v>1.0000000480404101</v>
      </c>
    </row>
    <row r="5561" spans="1:40" x14ac:dyDescent="0.25">
      <c r="A5561" t="str">
        <f>"20190303153918475"</f>
        <v>20190303153918475</v>
      </c>
      <c r="B5561" t="str">
        <f>"1551598758463907"</f>
        <v>1551598758463907</v>
      </c>
      <c r="C5561" t="s">
        <v>40</v>
      </c>
      <c r="D5561">
        <v>5.049804</v>
      </c>
      <c r="E5561">
        <v>0.61808920000000001</v>
      </c>
      <c r="F5561" t="s">
        <v>68</v>
      </c>
      <c r="G5561">
        <v>-209.3914</v>
      </c>
      <c r="H5561" s="1">
        <v>-7.0422309999999999E-6</v>
      </c>
      <c r="I5561">
        <v>144.93539999999999</v>
      </c>
      <c r="J5561">
        <v>-197.3278</v>
      </c>
      <c r="K5561">
        <v>1.116854</v>
      </c>
      <c r="L5561">
        <v>147.27170000000001</v>
      </c>
      <c r="M5561">
        <v>-0.713516699999999</v>
      </c>
      <c r="N5561">
        <v>-1.4154079999999999E-2</v>
      </c>
      <c r="O5561">
        <v>-0.70049519999999998</v>
      </c>
      <c r="P5561">
        <v>-0.87552229999999998</v>
      </c>
      <c r="Q5561">
        <v>-8.3538290000000001E-2</v>
      </c>
      <c r="R5561">
        <v>-0.47590149999999998</v>
      </c>
      <c r="S5561">
        <v>-3.0737459999999999</v>
      </c>
      <c r="T5561">
        <v>-0.28168189999999999</v>
      </c>
      <c r="U5561">
        <v>-0.61662289999999997</v>
      </c>
      <c r="V5561">
        <v>0.27300679999999999</v>
      </c>
      <c r="W5561">
        <v>-7.2862159999999995E-2</v>
      </c>
      <c r="X5561">
        <v>0.95924880000000001</v>
      </c>
      <c r="Y5561">
        <v>0.5426434</v>
      </c>
      <c r="Z5561">
        <v>7.4752440000000003E-2</v>
      </c>
      <c r="AA5561">
        <v>0.83663029999999905</v>
      </c>
      <c r="AB5561">
        <v>17</v>
      </c>
      <c r="AC5561">
        <v>-12.063599999999999</v>
      </c>
      <c r="AD5561">
        <v>-1.1168610422309999</v>
      </c>
      <c r="AE5561">
        <v>-2.33630000000002</v>
      </c>
      <c r="AF5561">
        <v>6.7285969766595199</v>
      </c>
      <c r="AG5561">
        <v>-1.1168610422309999</v>
      </c>
      <c r="AH5561">
        <v>10.1612276044523</v>
      </c>
      <c r="AI5561">
        <v>95.236139780044596</v>
      </c>
      <c r="AJ5561">
        <v>56.488132403581702</v>
      </c>
      <c r="AK5561">
        <v>12.238134755404801</v>
      </c>
      <c r="AL5561">
        <v>94.178397219200306</v>
      </c>
      <c r="AM5561">
        <v>74.113393218916102</v>
      </c>
      <c r="AN5561">
        <v>0.99999993375377005</v>
      </c>
    </row>
    <row r="5562" spans="1:40" x14ac:dyDescent="0.25">
      <c r="A5562" t="str">
        <f>"20190303153918498"</f>
        <v>20190303153918498</v>
      </c>
      <c r="B5562" t="str">
        <f>"1551598758494165"</f>
        <v>1551598758494165</v>
      </c>
      <c r="C5562" t="s">
        <v>40</v>
      </c>
      <c r="D5562">
        <v>5.0303449999999996</v>
      </c>
      <c r="E5562">
        <v>0.61640539999999999</v>
      </c>
      <c r="F5562" t="s">
        <v>68</v>
      </c>
      <c r="G5562">
        <v>-208.90369999999999</v>
      </c>
      <c r="H5562" s="1">
        <v>-7.2820090000000004E-6</v>
      </c>
      <c r="I5562">
        <v>145.02440000000001</v>
      </c>
      <c r="J5562">
        <v>-197.46199999999999</v>
      </c>
      <c r="K5562">
        <v>1.1168279999999999</v>
      </c>
      <c r="L5562">
        <v>147.15629999999999</v>
      </c>
      <c r="M5562">
        <v>-0.72030050000000001</v>
      </c>
      <c r="N5562">
        <v>-1.4146850000000001E-2</v>
      </c>
      <c r="O5562">
        <v>-0.69351809999999903</v>
      </c>
      <c r="P5562">
        <v>-0.87980559999999997</v>
      </c>
      <c r="Q5562">
        <v>-8.587322E-2</v>
      </c>
      <c r="R5562">
        <v>-0.4675127</v>
      </c>
      <c r="S5562">
        <v>-3.073868</v>
      </c>
      <c r="T5562">
        <v>-0.29657040000000001</v>
      </c>
      <c r="U5562">
        <v>-0.59674069999999901</v>
      </c>
      <c r="V5562">
        <v>0.27265519999999999</v>
      </c>
      <c r="W5562">
        <v>-7.5211760000000003E-2</v>
      </c>
      <c r="X5562">
        <v>0.95916749999999995</v>
      </c>
      <c r="Y5562">
        <v>0.53926770000000002</v>
      </c>
      <c r="Z5562">
        <v>7.8643249999999998E-2</v>
      </c>
      <c r="AA5562">
        <v>0.83845429999999999</v>
      </c>
      <c r="AB5562">
        <v>17</v>
      </c>
      <c r="AC5562">
        <v>-11.4416999999999</v>
      </c>
      <c r="AD5562">
        <v>-1.116835282009</v>
      </c>
      <c r="AE5562">
        <v>-2.1318999999999702</v>
      </c>
      <c r="AF5562">
        <v>6.3416615671990604</v>
      </c>
      <c r="AG5562">
        <v>-1.116835282009</v>
      </c>
      <c r="AH5562">
        <v>9.6322490376663801</v>
      </c>
      <c r="AI5562">
        <v>95.531447679251599</v>
      </c>
      <c r="AJ5562">
        <v>56.6399692823124</v>
      </c>
      <c r="AK5562">
        <v>11.586380539394201</v>
      </c>
      <c r="AL5562">
        <v>94.313389711234194</v>
      </c>
      <c r="AM5562">
        <v>74.131545295592801</v>
      </c>
      <c r="AN5562">
        <v>0.999999979992793</v>
      </c>
    </row>
    <row r="5563" spans="1:40" x14ac:dyDescent="0.25">
      <c r="A5563" t="str">
        <f>"20190303153918520"</f>
        <v>20190303153918520</v>
      </c>
      <c r="B5563" t="str">
        <f>"1551598758513684"</f>
        <v>1551598758513684</v>
      </c>
      <c r="C5563" t="s">
        <v>40</v>
      </c>
      <c r="D5563">
        <v>5.0129650000000003</v>
      </c>
      <c r="E5563">
        <v>0.6164345</v>
      </c>
      <c r="F5563" t="s">
        <v>68</v>
      </c>
      <c r="G5563">
        <v>-208.46039999999999</v>
      </c>
      <c r="H5563" s="1">
        <v>-7.4944949999999996E-6</v>
      </c>
      <c r="I5563">
        <v>145.08459999999999</v>
      </c>
      <c r="J5563">
        <v>-197.59360000000001</v>
      </c>
      <c r="K5563">
        <v>1.1168149999999999</v>
      </c>
      <c r="L5563">
        <v>147.0454</v>
      </c>
      <c r="M5563">
        <v>-0.72684510000000002</v>
      </c>
      <c r="N5563">
        <v>-1.4141030000000001E-2</v>
      </c>
      <c r="O5563">
        <v>-0.68665600000000004</v>
      </c>
      <c r="P5563">
        <v>-0.88381759999999998</v>
      </c>
      <c r="Q5563">
        <v>-8.7009690000000001E-2</v>
      </c>
      <c r="R5563">
        <v>-0.45967000000000002</v>
      </c>
      <c r="S5563">
        <v>-3.0719150000000002</v>
      </c>
      <c r="T5563">
        <v>-0.31193890000000002</v>
      </c>
      <c r="U5563">
        <v>-0.57864380000000004</v>
      </c>
      <c r="V5563">
        <v>0.27199970000000001</v>
      </c>
      <c r="W5563">
        <v>-7.6351619999999995E-2</v>
      </c>
      <c r="X5563">
        <v>0.95926359999999999</v>
      </c>
      <c r="Y5563">
        <v>0.5354913</v>
      </c>
      <c r="Z5563">
        <v>8.2637260000000004E-2</v>
      </c>
      <c r="AA5563">
        <v>0.84048799999999901</v>
      </c>
      <c r="AB5563">
        <v>17</v>
      </c>
      <c r="AC5563">
        <v>-10.8667999999999</v>
      </c>
      <c r="AD5563">
        <v>-1.11682249449499</v>
      </c>
      <c r="AE5563">
        <v>-1.9608000000000001</v>
      </c>
      <c r="AF5563">
        <v>5.9760273075333004</v>
      </c>
      <c r="AG5563">
        <v>-1.11682249449499</v>
      </c>
      <c r="AH5563">
        <v>9.1521775131049203</v>
      </c>
      <c r="AI5563">
        <v>95.833957823743503</v>
      </c>
      <c r="AJ5563">
        <v>56.856975827794102</v>
      </c>
      <c r="AK5563">
        <v>10.987381312031401</v>
      </c>
      <c r="AL5563">
        <v>94.378887004361701</v>
      </c>
      <c r="AM5563">
        <v>74.169287151742196</v>
      </c>
      <c r="AN5563">
        <v>1.0000000304808301</v>
      </c>
    </row>
    <row r="5564" spans="1:40" x14ac:dyDescent="0.25">
      <c r="A5564" t="str">
        <f>"20190303153918542"</f>
        <v>20190303153918542</v>
      </c>
      <c r="B5564" t="str">
        <f>"1551598758534179"</f>
        <v>1551598758534179</v>
      </c>
      <c r="C5564" t="s">
        <v>40</v>
      </c>
      <c r="D5564">
        <v>4.9663349999999999</v>
      </c>
      <c r="E5564">
        <v>0.61628419999999995</v>
      </c>
      <c r="F5564" t="s">
        <v>68</v>
      </c>
      <c r="G5564">
        <v>-208.91759999999999</v>
      </c>
      <c r="H5564" s="1">
        <v>-7.2730959999999998E-6</v>
      </c>
      <c r="I5564">
        <v>145.01390000000001</v>
      </c>
      <c r="J5564">
        <v>-197.72499999999999</v>
      </c>
      <c r="K5564">
        <v>1.1168100000000001</v>
      </c>
      <c r="L5564">
        <v>146.93680000000001</v>
      </c>
      <c r="M5564">
        <v>-0.73327569999999997</v>
      </c>
      <c r="N5564">
        <v>-1.4135979999999999E-2</v>
      </c>
      <c r="O5564">
        <v>-0.67978459999999996</v>
      </c>
      <c r="P5564">
        <v>-0.88769659999999995</v>
      </c>
      <c r="Q5564">
        <v>-8.7302489999999996E-2</v>
      </c>
      <c r="R5564">
        <v>-0.4520769</v>
      </c>
      <c r="S5564">
        <v>-3.0773619999999999</v>
      </c>
      <c r="T5564">
        <v>-0.30350290000000002</v>
      </c>
      <c r="U5564">
        <v>-0.55206299999999997</v>
      </c>
      <c r="V5564">
        <v>0.27117170000000002</v>
      </c>
      <c r="W5564">
        <v>-7.6639609999999997E-2</v>
      </c>
      <c r="X5564">
        <v>0.95947499999999997</v>
      </c>
      <c r="Y5564">
        <v>0.53514079999999997</v>
      </c>
      <c r="Z5564">
        <v>7.9842449999999995E-2</v>
      </c>
      <c r="AA5564">
        <v>0.84098130000000004</v>
      </c>
      <c r="AB5564">
        <v>17</v>
      </c>
      <c r="AC5564">
        <v>-11.192600000000001</v>
      </c>
      <c r="AD5564">
        <v>-1.116817273096</v>
      </c>
      <c r="AE5564">
        <v>-1.9228999999999901</v>
      </c>
      <c r="AF5564">
        <v>6.1397825588541801</v>
      </c>
      <c r="AG5564">
        <v>-1.116817273096</v>
      </c>
      <c r="AH5564">
        <v>9.4242280215797205</v>
      </c>
      <c r="AI5564">
        <v>95.670430189398104</v>
      </c>
      <c r="AJ5564">
        <v>56.916191837602902</v>
      </c>
      <c r="AK5564">
        <v>11.3031095055397</v>
      </c>
      <c r="AL5564">
        <v>94.395436248012601</v>
      </c>
      <c r="AM5564">
        <v>74.218377295457998</v>
      </c>
      <c r="AN5564">
        <v>0.999999998163421</v>
      </c>
    </row>
    <row r="5565" spans="1:40" x14ac:dyDescent="0.25">
      <c r="A5565" t="str">
        <f>"20190303153918565"</f>
        <v>20190303153918565</v>
      </c>
      <c r="B5565" t="str">
        <f>"1551598758553699"</f>
        <v>1551598758553699</v>
      </c>
      <c r="C5565" t="s">
        <v>40</v>
      </c>
      <c r="D5565">
        <v>4.9425600000000003</v>
      </c>
      <c r="E5565">
        <v>0.61601419999999996</v>
      </c>
      <c r="F5565" t="s">
        <v>68</v>
      </c>
      <c r="G5565">
        <v>-209.3973</v>
      </c>
      <c r="H5565" s="1">
        <v>-7.0406750000000001E-6</v>
      </c>
      <c r="I5565">
        <v>144.9393</v>
      </c>
      <c r="J5565">
        <v>-197.86259999999999</v>
      </c>
      <c r="K5565">
        <v>1.1168049999999901</v>
      </c>
      <c r="L5565">
        <v>146.8252</v>
      </c>
      <c r="M5565">
        <v>-0.73990049999999996</v>
      </c>
      <c r="N5565">
        <v>-1.413113E-2</v>
      </c>
      <c r="O5565">
        <v>-0.67256819999999995</v>
      </c>
      <c r="P5565">
        <v>-0.89167299999999905</v>
      </c>
      <c r="Q5565">
        <v>-8.9033189999999998E-2</v>
      </c>
      <c r="R5565">
        <v>-0.44383860000000003</v>
      </c>
      <c r="S5565">
        <v>-3.0819399999999999</v>
      </c>
      <c r="T5565">
        <v>-0.2948828</v>
      </c>
      <c r="U5565">
        <v>-0.52742</v>
      </c>
      <c r="V5565">
        <v>0.2705224</v>
      </c>
      <c r="W5565">
        <v>-7.8366669999999999E-2</v>
      </c>
      <c r="X5565">
        <v>0.95951880000000001</v>
      </c>
      <c r="Y5565">
        <v>0.53391049999999995</v>
      </c>
      <c r="Z5565">
        <v>7.6963580000000004E-2</v>
      </c>
      <c r="AA5565">
        <v>0.84203099999999997</v>
      </c>
      <c r="AB5565">
        <v>17</v>
      </c>
      <c r="AC5565">
        <v>-11.534700000000001</v>
      </c>
      <c r="AD5565">
        <v>-1.11681204067499</v>
      </c>
      <c r="AE5565">
        <v>-1.8858999999999899</v>
      </c>
      <c r="AF5565">
        <v>6.3055557167183203</v>
      </c>
      <c r="AG5565">
        <v>-1.11681204067499</v>
      </c>
      <c r="AH5565">
        <v>9.7151996779682008</v>
      </c>
      <c r="AI5565">
        <v>95.507755269518</v>
      </c>
      <c r="AJ5565">
        <v>57.0148060592403</v>
      </c>
      <c r="AK5565">
        <v>11.6358242859553</v>
      </c>
      <c r="AL5565">
        <v>94.494687969427304</v>
      </c>
      <c r="AM5565">
        <v>74.254972193818702</v>
      </c>
      <c r="AN5565">
        <v>1.00000001571104</v>
      </c>
    </row>
    <row r="5566" spans="1:40" x14ac:dyDescent="0.25">
      <c r="A5566" t="str">
        <f>"20190303153918587"</f>
        <v>20190303153918587</v>
      </c>
      <c r="B5566" t="str">
        <f>"1551598758583955"</f>
        <v>1551598758583955</v>
      </c>
      <c r="C5566" t="s">
        <v>40</v>
      </c>
      <c r="D5566">
        <v>4.9753360000000004</v>
      </c>
      <c r="E5566">
        <v>0.61565360000000002</v>
      </c>
      <c r="F5566" t="s">
        <v>68</v>
      </c>
      <c r="G5566">
        <v>-209.52690000000001</v>
      </c>
      <c r="H5566" s="1">
        <v>-6.9810779999999998E-6</v>
      </c>
      <c r="I5566">
        <v>144.93119999999999</v>
      </c>
      <c r="J5566">
        <v>-197.9982</v>
      </c>
      <c r="K5566">
        <v>1.1168009999999999</v>
      </c>
      <c r="L5566">
        <v>146.71729999999999</v>
      </c>
      <c r="M5566">
        <v>-0.74631890000000001</v>
      </c>
      <c r="N5566">
        <v>-1.412674E-2</v>
      </c>
      <c r="O5566">
        <v>-0.66543890000000006</v>
      </c>
      <c r="P5566">
        <v>-0.89578210000000003</v>
      </c>
      <c r="Q5566">
        <v>-9.1336239999999999E-2</v>
      </c>
      <c r="R5566">
        <v>-0.43500870000000003</v>
      </c>
      <c r="S5566">
        <v>-3.0855869999999999</v>
      </c>
      <c r="T5566">
        <v>-0.29543350000000002</v>
      </c>
      <c r="U5566">
        <v>-0.50100710000000004</v>
      </c>
      <c r="V5566">
        <v>0.270617</v>
      </c>
      <c r="W5566">
        <v>-8.0676049999999999E-2</v>
      </c>
      <c r="X5566">
        <v>0.95930070000000001</v>
      </c>
      <c r="Y5566">
        <v>0.53299300000000005</v>
      </c>
      <c r="Z5566">
        <v>7.6724650000000005E-2</v>
      </c>
      <c r="AA5566">
        <v>0.84263379999999999</v>
      </c>
      <c r="AB5566">
        <v>17</v>
      </c>
      <c r="AC5566">
        <v>-11.528700000000001</v>
      </c>
      <c r="AD5566">
        <v>-1.1168079810779901</v>
      </c>
      <c r="AE5566">
        <v>-1.7861</v>
      </c>
      <c r="AF5566">
        <v>6.28170962470793</v>
      </c>
      <c r="AG5566">
        <v>-1.1168079810779901</v>
      </c>
      <c r="AH5566">
        <v>9.7046667744947204</v>
      </c>
      <c r="AI5566">
        <v>95.518061720310001</v>
      </c>
      <c r="AJ5566">
        <v>57.085522048912097</v>
      </c>
      <c r="AK5566">
        <v>11.614116112719399</v>
      </c>
      <c r="AL5566">
        <v>94.627426114237593</v>
      </c>
      <c r="AM5566">
        <v>74.246336302104595</v>
      </c>
      <c r="AN5566">
        <v>1.00000000937654</v>
      </c>
    </row>
    <row r="5567" spans="1:40" x14ac:dyDescent="0.25">
      <c r="A5567" t="str">
        <f>"20190303153918609"</f>
        <v>20190303153918609</v>
      </c>
      <c r="B5567" t="str">
        <f>"1551598758604451"</f>
        <v>1551598758604451</v>
      </c>
      <c r="C5567" t="s">
        <v>40</v>
      </c>
      <c r="D5567">
        <v>4.9674569999999996</v>
      </c>
      <c r="E5567">
        <v>0.61547700000000005</v>
      </c>
      <c r="F5567" t="s">
        <v>42</v>
      </c>
      <c r="G5567">
        <v>-210.01560000000001</v>
      </c>
      <c r="H5567" s="1">
        <v>-5.6377119999999997E-6</v>
      </c>
      <c r="I5567">
        <v>144.87280000000001</v>
      </c>
      <c r="J5567">
        <v>-198.12569999999999</v>
      </c>
      <c r="K5567">
        <v>1.116792</v>
      </c>
      <c r="L5567">
        <v>146.61799999999999</v>
      </c>
      <c r="M5567">
        <v>-0.75225109999999995</v>
      </c>
      <c r="N5567">
        <v>-1.412324E-2</v>
      </c>
      <c r="O5567">
        <v>-0.65872540000000002</v>
      </c>
      <c r="P5567">
        <v>-0.89969929999999998</v>
      </c>
      <c r="Q5567">
        <v>-9.2440259999999996E-2</v>
      </c>
      <c r="R5567">
        <v>-0.42661060000000001</v>
      </c>
      <c r="S5567">
        <v>-3.0895079999999999</v>
      </c>
      <c r="T5567">
        <v>-0.28711569999999997</v>
      </c>
      <c r="U5567">
        <v>-0.4741821</v>
      </c>
      <c r="V5567">
        <v>0.27090910000000001</v>
      </c>
      <c r="W5567">
        <v>-8.1788369999999999E-2</v>
      </c>
      <c r="X5567">
        <v>0.95912399999999998</v>
      </c>
      <c r="Y5567">
        <v>0.53299649999999998</v>
      </c>
      <c r="Z5567">
        <v>7.4067709999999995E-2</v>
      </c>
      <c r="AA5567">
        <v>0.84286930000000004</v>
      </c>
      <c r="AB5567">
        <v>17</v>
      </c>
      <c r="AC5567">
        <v>-11.889900000000001</v>
      </c>
      <c r="AD5567">
        <v>-1.1167976377119999</v>
      </c>
      <c r="AE5567">
        <v>-1.7451999999999801</v>
      </c>
      <c r="AF5567">
        <v>6.4641722009945797</v>
      </c>
      <c r="AG5567">
        <v>-1.1167976377119999</v>
      </c>
      <c r="AH5567">
        <v>10.008366292338501</v>
      </c>
      <c r="AI5567">
        <v>95.354979719955793</v>
      </c>
      <c r="AJ5567">
        <v>57.142518201945997</v>
      </c>
      <c r="AK5567">
        <v>11.966626719728801</v>
      </c>
      <c r="AL5567">
        <v>94.691368895338798</v>
      </c>
      <c r="AM5567">
        <v>74.227416730548697</v>
      </c>
      <c r="AN5567">
        <v>0.99999996265303204</v>
      </c>
    </row>
    <row r="5568" spans="1:40" x14ac:dyDescent="0.25">
      <c r="A5568" t="str">
        <f>"20190303153918633"</f>
        <v>20190303153918633</v>
      </c>
      <c r="B5568" t="str">
        <f>"1551598758624481"</f>
        <v>1551598758624481</v>
      </c>
      <c r="C5568" t="s">
        <v>40</v>
      </c>
      <c r="D5568">
        <v>4.9594440000000004</v>
      </c>
      <c r="E5568">
        <v>0.61511000000000005</v>
      </c>
      <c r="F5568" t="s">
        <v>42</v>
      </c>
      <c r="G5568">
        <v>-210.31720000000001</v>
      </c>
      <c r="H5568" s="1">
        <v>-5.5189459999999998E-6</v>
      </c>
      <c r="I5568">
        <v>144.8562</v>
      </c>
      <c r="J5568">
        <v>-198.26990000000001</v>
      </c>
      <c r="K5568">
        <v>1.1167990000000001</v>
      </c>
      <c r="L5568">
        <v>146.50790000000001</v>
      </c>
      <c r="M5568">
        <v>-0.75885599999999998</v>
      </c>
      <c r="N5568">
        <v>-1.4120799999999999E-2</v>
      </c>
      <c r="O5568">
        <v>-0.6511053</v>
      </c>
      <c r="P5568">
        <v>-0.9040068</v>
      </c>
      <c r="Q5568">
        <v>-9.1553780000000001E-2</v>
      </c>
      <c r="R5568">
        <v>-0.41759940000000001</v>
      </c>
      <c r="S5568">
        <v>-3.0933839999999999</v>
      </c>
      <c r="T5568">
        <v>-0.28336689999999998</v>
      </c>
      <c r="U5568">
        <v>-0.44700620000000002</v>
      </c>
      <c r="V5568">
        <v>0.27088679999999998</v>
      </c>
      <c r="W5568">
        <v>-8.0905619999999998E-2</v>
      </c>
      <c r="X5568">
        <v>0.95920519999999998</v>
      </c>
      <c r="Y5568">
        <v>0.53200970000000003</v>
      </c>
      <c r="Z5568">
        <v>7.2598040000000003E-2</v>
      </c>
      <c r="AA5568">
        <v>0.84362039999999905</v>
      </c>
      <c r="AB5568">
        <v>17</v>
      </c>
      <c r="AC5568">
        <v>-12.0473</v>
      </c>
      <c r="AD5568">
        <v>-1.1168045189460001</v>
      </c>
      <c r="AE5568">
        <v>-1.6516999999999999</v>
      </c>
      <c r="AF5568">
        <v>6.5361828229996997</v>
      </c>
      <c r="AG5568">
        <v>-1.1168045189460001</v>
      </c>
      <c r="AH5568">
        <v>10.1331421699957</v>
      </c>
      <c r="AI5568">
        <v>95.291478423069904</v>
      </c>
      <c r="AJ5568">
        <v>57.176761566776399</v>
      </c>
      <c r="AK5568">
        <v>12.109892999798101</v>
      </c>
      <c r="AL5568">
        <v>94.640622703476296</v>
      </c>
      <c r="AM5568">
        <v>74.229919141401297</v>
      </c>
      <c r="AN5568">
        <v>0.99999999673443196</v>
      </c>
    </row>
    <row r="5569" spans="1:40" x14ac:dyDescent="0.25">
      <c r="A5569" t="str">
        <f>"20190303153918654"</f>
        <v>20190303153918654</v>
      </c>
      <c r="B5569" t="str">
        <f>"1551598758644001"</f>
        <v>1551598758644001</v>
      </c>
      <c r="C5569" t="s">
        <v>40</v>
      </c>
      <c r="D5569">
        <v>4.9162780000000001</v>
      </c>
      <c r="E5569">
        <v>0.61479619999999902</v>
      </c>
      <c r="F5569" t="s">
        <v>42</v>
      </c>
      <c r="G5569">
        <v>-210.90979999999999</v>
      </c>
      <c r="H5569" s="1">
        <v>-5.2809690000000001E-6</v>
      </c>
      <c r="I5569">
        <v>144.79740000000001</v>
      </c>
      <c r="J5569">
        <v>-198.4084</v>
      </c>
      <c r="K5569">
        <v>1.1167990000000001</v>
      </c>
      <c r="L5569">
        <v>146.40430000000001</v>
      </c>
      <c r="M5569">
        <v>-0.76510429999999996</v>
      </c>
      <c r="N5569">
        <v>-1.411988E-2</v>
      </c>
      <c r="O5569">
        <v>-0.64375159999999998</v>
      </c>
      <c r="P5569">
        <v>-0.90783519999999895</v>
      </c>
      <c r="Q5569">
        <v>-9.0033650000000007E-2</v>
      </c>
      <c r="R5569">
        <v>-0.40954740000000001</v>
      </c>
      <c r="S5569">
        <v>-3.097229</v>
      </c>
      <c r="T5569">
        <v>-0.27365699999999998</v>
      </c>
      <c r="U5569">
        <v>-0.41912840000000001</v>
      </c>
      <c r="V5569">
        <v>0.27026919999999999</v>
      </c>
      <c r="W5569">
        <v>-7.9381569999999999E-2</v>
      </c>
      <c r="X5569">
        <v>0.95950679999999999</v>
      </c>
      <c r="Y5569">
        <v>0.531740199999999</v>
      </c>
      <c r="Z5569">
        <v>6.9545190000000007E-2</v>
      </c>
      <c r="AA5569">
        <v>0.8440472</v>
      </c>
      <c r="AB5569">
        <v>17</v>
      </c>
      <c r="AC5569">
        <v>-12.501399999999901</v>
      </c>
      <c r="AD5569">
        <v>-1.116804280969</v>
      </c>
      <c r="AE5569">
        <v>-1.60689999999999</v>
      </c>
      <c r="AF5569">
        <v>6.7659110901623896</v>
      </c>
      <c r="AG5569">
        <v>-1.116804280969</v>
      </c>
      <c r="AH5569">
        <v>10.5178013272882</v>
      </c>
      <c r="AI5569">
        <v>95.103034324093102</v>
      </c>
      <c r="AJ5569">
        <v>57.247557304626497</v>
      </c>
      <c r="AK5569">
        <v>12.555833283469401</v>
      </c>
      <c r="AL5569">
        <v>94.553018859881902</v>
      </c>
      <c r="AM5569">
        <v>74.268792193417795</v>
      </c>
      <c r="AN5569">
        <v>1.0000000866852601</v>
      </c>
    </row>
    <row r="5570" spans="1:40" x14ac:dyDescent="0.25">
      <c r="A5570" t="str">
        <f>"20190303153918678"</f>
        <v>20190303153918678</v>
      </c>
      <c r="B5570" t="str">
        <f>"1551598758674256"</f>
        <v>1551598758674256</v>
      </c>
      <c r="C5570" t="s">
        <v>40</v>
      </c>
      <c r="D5570">
        <v>5.1446059999999996</v>
      </c>
      <c r="E5570">
        <v>0.61443859999999995</v>
      </c>
      <c r="F5570" t="s">
        <v>42</v>
      </c>
      <c r="G5570">
        <v>-211.66059999999999</v>
      </c>
      <c r="H5570" s="1">
        <v>-4.9787180000000004E-6</v>
      </c>
      <c r="I5570">
        <v>144.71889999999999</v>
      </c>
      <c r="J5570">
        <v>-198.5498</v>
      </c>
      <c r="K5570">
        <v>1.1168</v>
      </c>
      <c r="L5570">
        <v>146.30080000000001</v>
      </c>
      <c r="M5570">
        <v>-0.77138050000000002</v>
      </c>
      <c r="N5570">
        <v>-1.411979E-2</v>
      </c>
      <c r="O5570">
        <v>-0.6362177</v>
      </c>
      <c r="P5570">
        <v>-0.91159520000000005</v>
      </c>
      <c r="Q5570">
        <v>-9.0520660000000003E-2</v>
      </c>
      <c r="R5570">
        <v>-0.40099960000000001</v>
      </c>
      <c r="S5570">
        <v>-3.1007539999999998</v>
      </c>
      <c r="T5570">
        <v>-0.26131140000000003</v>
      </c>
      <c r="U5570">
        <v>-0.39436339999999998</v>
      </c>
      <c r="V5570">
        <v>0.26983790000000002</v>
      </c>
      <c r="W5570">
        <v>-7.9869999999999997E-2</v>
      </c>
      <c r="X5570">
        <v>0.95958759999999999</v>
      </c>
      <c r="Y5570">
        <v>0.53055779999999997</v>
      </c>
      <c r="Z5570">
        <v>6.5741839999999996E-2</v>
      </c>
      <c r="AA5570">
        <v>0.84509559999999995</v>
      </c>
      <c r="AB5570">
        <v>17</v>
      </c>
      <c r="AC5570">
        <v>-13.1107999999999</v>
      </c>
      <c r="AD5570">
        <v>-1.1168049787180001</v>
      </c>
      <c r="AE5570">
        <v>-1.5819000000000101</v>
      </c>
      <c r="AF5570">
        <v>7.0712130621127196</v>
      </c>
      <c r="AG5570">
        <v>-1.1168049787180001</v>
      </c>
      <c r="AH5570">
        <v>11.041984921588901</v>
      </c>
      <c r="AI5570">
        <v>94.868334428221203</v>
      </c>
      <c r="AJ5570">
        <v>57.3647737523006</v>
      </c>
      <c r="AK5570">
        <v>13.159587324034099</v>
      </c>
      <c r="AL5570">
        <v>94.581093209917697</v>
      </c>
      <c r="AM5570">
        <v>74.293913695767799</v>
      </c>
      <c r="AN5570">
        <v>1.00000003562508</v>
      </c>
    </row>
    <row r="5571" spans="1:40" x14ac:dyDescent="0.25">
      <c r="A5571" t="str">
        <f>"20190303153918699"</f>
        <v>20190303153918699</v>
      </c>
      <c r="B5571" t="str">
        <f>"1551598758693776"</f>
        <v>1551598758693776</v>
      </c>
      <c r="C5571" t="s">
        <v>40</v>
      </c>
      <c r="D5571">
        <v>4.806349</v>
      </c>
      <c r="E5571">
        <v>0.57909509999999997</v>
      </c>
      <c r="F5571" t="s">
        <v>42</v>
      </c>
      <c r="G5571">
        <v>-212.0385</v>
      </c>
      <c r="H5571" s="1">
        <v>-4.8302989999999999E-6</v>
      </c>
      <c r="I5571">
        <v>144.7004</v>
      </c>
      <c r="J5571">
        <v>-198.68690000000001</v>
      </c>
      <c r="K5571">
        <v>1.116789</v>
      </c>
      <c r="L5571">
        <v>146.20249999999999</v>
      </c>
      <c r="M5571">
        <v>-0.77737389999999995</v>
      </c>
      <c r="N5571">
        <v>-1.4120239999999999E-2</v>
      </c>
      <c r="O5571">
        <v>-0.62888049999999995</v>
      </c>
      <c r="P5571">
        <v>-0.91541950000000005</v>
      </c>
      <c r="Q5571">
        <v>-9.0761300000000003E-2</v>
      </c>
      <c r="R5571">
        <v>-0.3921347</v>
      </c>
      <c r="S5571">
        <v>-3.1034389999999998</v>
      </c>
      <c r="T5571">
        <v>-0.2569515</v>
      </c>
      <c r="U5571">
        <v>-0.36820979999999998</v>
      </c>
      <c r="V5571">
        <v>0.27003769999999999</v>
      </c>
      <c r="W5571">
        <v>-8.0120170000000004E-2</v>
      </c>
      <c r="X5571">
        <v>0.95951050000000004</v>
      </c>
      <c r="Y5571">
        <v>0.52977399999999997</v>
      </c>
      <c r="Z5571">
        <v>6.4193310000000003E-2</v>
      </c>
      <c r="AA5571">
        <v>0.84570610000000002</v>
      </c>
      <c r="AB5571">
        <v>17</v>
      </c>
      <c r="AC5571">
        <v>-13.3515999999999</v>
      </c>
      <c r="AD5571">
        <v>-1.1167938302989999</v>
      </c>
      <c r="AE5571">
        <v>-1.50209999999998</v>
      </c>
      <c r="AF5571">
        <v>7.1799807263255397</v>
      </c>
      <c r="AG5571">
        <v>-1.1167938302989999</v>
      </c>
      <c r="AH5571">
        <v>11.247246868857699</v>
      </c>
      <c r="AI5571">
        <v>94.7842116760132</v>
      </c>
      <c r="AJ5571">
        <v>57.446786176800302</v>
      </c>
      <c r="AK5571">
        <v>13.390291774970001</v>
      </c>
      <c r="AL5571">
        <v>94.595473140567606</v>
      </c>
      <c r="AM5571">
        <v>74.281658192325494</v>
      </c>
      <c r="AN5571">
        <v>1.00000000033618</v>
      </c>
    </row>
    <row r="5572" spans="1:40" x14ac:dyDescent="0.25">
      <c r="A5572" t="str">
        <f>"20190303153918720"</f>
        <v>20190303153918720</v>
      </c>
      <c r="B5572" t="str">
        <f>"1551598758714553"</f>
        <v>1551598758714553</v>
      </c>
      <c r="C5572" t="s">
        <v>40</v>
      </c>
      <c r="D5572">
        <v>4.798184</v>
      </c>
      <c r="E5572">
        <v>0.5589326</v>
      </c>
      <c r="F5572" t="s">
        <v>42</v>
      </c>
      <c r="G5572">
        <v>-212.17359999999999</v>
      </c>
      <c r="H5572" s="1">
        <v>-4.5675340000000004E-6</v>
      </c>
      <c r="I5572">
        <v>143.51159999999999</v>
      </c>
      <c r="J5572">
        <v>-198.8176</v>
      </c>
      <c r="K5572">
        <v>1.1167750000000001</v>
      </c>
      <c r="L5572">
        <v>146.11060000000001</v>
      </c>
      <c r="M5572">
        <v>-0.78301350000000003</v>
      </c>
      <c r="N5572">
        <v>-1.4121389999999999E-2</v>
      </c>
      <c r="O5572">
        <v>-0.62184459999999997</v>
      </c>
      <c r="P5572">
        <v>-0.91892339999999995</v>
      </c>
      <c r="Q5572">
        <v>-9.1607590000000003E-2</v>
      </c>
      <c r="R5572">
        <v>-0.38365090000000002</v>
      </c>
      <c r="S5572">
        <v>-2.9964900000000001</v>
      </c>
      <c r="T5572">
        <v>-0.24812999999999999</v>
      </c>
      <c r="U5572">
        <v>-0.59785459999999901</v>
      </c>
      <c r="V5572">
        <v>0.27019609999999999</v>
      </c>
      <c r="W5572">
        <v>-8.0975909999999998E-2</v>
      </c>
      <c r="X5572">
        <v>0.95939410000000003</v>
      </c>
      <c r="Y5572">
        <v>0.45387169999999999</v>
      </c>
      <c r="Z5572">
        <v>5.9529800000000001E-2</v>
      </c>
      <c r="AA5572">
        <v>0.88907630000000004</v>
      </c>
      <c r="AB5572">
        <v>17</v>
      </c>
      <c r="AC5572">
        <v>-13.3559999999999</v>
      </c>
      <c r="AD5572">
        <v>-1.116779567534</v>
      </c>
      <c r="AE5572">
        <v>-2.59900000000001</v>
      </c>
      <c r="AF5572">
        <v>6.22896683036321</v>
      </c>
      <c r="AG5572">
        <v>-1.116779567534</v>
      </c>
      <c r="AH5572">
        <v>11.9945027861901</v>
      </c>
      <c r="AI5572">
        <v>94.723601079605004</v>
      </c>
      <c r="AJ5572">
        <v>62.556314366216398</v>
      </c>
      <c r="AK5572">
        <v>13.5615383148132</v>
      </c>
      <c r="AL5572">
        <v>94.644663104196695</v>
      </c>
      <c r="AM5572">
        <v>74.2710804362614</v>
      </c>
      <c r="AN5572">
        <v>1.0000000347851701</v>
      </c>
    </row>
    <row r="5573" spans="1:40" x14ac:dyDescent="0.25">
      <c r="A5573" t="str">
        <f>"20190303153918742"</f>
        <v>20190303153918742</v>
      </c>
      <c r="B5573" t="str">
        <f>"1551598758734073"</f>
        <v>1551598758734073</v>
      </c>
      <c r="C5573" t="s">
        <v>40</v>
      </c>
      <c r="D5573">
        <v>4.8356279999999998</v>
      </c>
      <c r="E5573">
        <v>0.55365549999999997</v>
      </c>
      <c r="F5573" t="s">
        <v>42</v>
      </c>
      <c r="G5573">
        <v>-218.81270000000001</v>
      </c>
      <c r="H5573" s="1">
        <v>-9.6238999999999897E-7</v>
      </c>
      <c r="I5573">
        <v>141.19739999999999</v>
      </c>
      <c r="J5573">
        <v>-198.95910000000001</v>
      </c>
      <c r="K5573">
        <v>1.1167549999999999</v>
      </c>
      <c r="L5573">
        <v>146.01310000000001</v>
      </c>
      <c r="M5573">
        <v>-0.78904259999999904</v>
      </c>
      <c r="N5573">
        <v>-1.412393E-2</v>
      </c>
      <c r="O5573">
        <v>-0.61417650000000001</v>
      </c>
      <c r="P5573">
        <v>-0.92211790000000005</v>
      </c>
      <c r="Q5573">
        <v>-9.2852019999999993E-2</v>
      </c>
      <c r="R5573">
        <v>-0.37560300000000002</v>
      </c>
      <c r="S5573">
        <v>-2.9460449999999998</v>
      </c>
      <c r="T5573">
        <v>-0.16454340000000001</v>
      </c>
      <c r="U5573">
        <v>-0.72389219999999999</v>
      </c>
      <c r="V5573">
        <v>0.269132599999999</v>
      </c>
      <c r="W5573">
        <v>-8.2213359999999999E-2</v>
      </c>
      <c r="X5573">
        <v>0.95958779999999999</v>
      </c>
      <c r="Y5573">
        <v>0.40710150000000001</v>
      </c>
      <c r="Z5573">
        <v>3.6087019999999997E-2</v>
      </c>
      <c r="AA5573">
        <v>0.91266979999999998</v>
      </c>
      <c r="AB5573">
        <v>17</v>
      </c>
      <c r="AC5573">
        <v>-19.8536</v>
      </c>
      <c r="AD5573">
        <v>-1.1167559623900001</v>
      </c>
      <c r="AE5573">
        <v>-4.8157000000000201</v>
      </c>
      <c r="AF5573">
        <v>8.3696472612742294</v>
      </c>
      <c r="AG5573">
        <v>-1.1167559623900001</v>
      </c>
      <c r="AH5573">
        <v>18.5693901939547</v>
      </c>
      <c r="AI5573">
        <v>93.138257586972102</v>
      </c>
      <c r="AJ5573">
        <v>65.737825311212006</v>
      </c>
      <c r="AK5573">
        <v>20.3990291762385</v>
      </c>
      <c r="AL5573">
        <v>94.715800807182504</v>
      </c>
      <c r="AM5573">
        <v>74.332950846863696</v>
      </c>
      <c r="AN5573">
        <v>1.0000000694270399</v>
      </c>
    </row>
    <row r="5574" spans="1:40" x14ac:dyDescent="0.25">
      <c r="A5574" t="str">
        <f>"20190303153918765"</f>
        <v>20190303153918765</v>
      </c>
      <c r="B5574" t="str">
        <f>"1551598758753593"</f>
        <v>1551598758753593</v>
      </c>
      <c r="C5574" t="s">
        <v>40</v>
      </c>
      <c r="D5574">
        <v>4.8709249999999997</v>
      </c>
      <c r="E5574">
        <v>0.55042930000000001</v>
      </c>
      <c r="F5574" t="s">
        <v>42</v>
      </c>
      <c r="G5574">
        <v>-214.94720000000001</v>
      </c>
      <c r="H5574" s="1">
        <v>-3.004846E-6</v>
      </c>
      <c r="I5574">
        <v>142.00620000000001</v>
      </c>
      <c r="J5574">
        <v>-199.10329999999999</v>
      </c>
      <c r="K5574">
        <v>1.1167210000000001</v>
      </c>
      <c r="L5574">
        <v>145.91589999999999</v>
      </c>
      <c r="M5574">
        <v>-0.79510639999999999</v>
      </c>
      <c r="N5574">
        <v>-1.411665E-2</v>
      </c>
      <c r="O5574">
        <v>-0.60630600000000001</v>
      </c>
      <c r="P5574">
        <v>-0.92500760000000004</v>
      </c>
      <c r="Q5574">
        <v>-9.3926460000000003E-2</v>
      </c>
      <c r="R5574">
        <v>-0.36815560000000003</v>
      </c>
      <c r="S5574">
        <v>-2.9333040000000001</v>
      </c>
      <c r="T5574">
        <v>-0.20488890000000001</v>
      </c>
      <c r="U5574">
        <v>-0.73512270000000002</v>
      </c>
      <c r="V5574">
        <v>0.26725490000000002</v>
      </c>
      <c r="W5574">
        <v>-8.3282120000000001E-2</v>
      </c>
      <c r="X5574">
        <v>0.96002030000000005</v>
      </c>
      <c r="Y5574">
        <v>0.39314359999999998</v>
      </c>
      <c r="Z5574">
        <v>4.5797110000000002E-2</v>
      </c>
      <c r="AA5574">
        <v>0.91833589999999998</v>
      </c>
      <c r="AB5574">
        <v>17</v>
      </c>
      <c r="AC5574">
        <v>-15.8439</v>
      </c>
      <c r="AD5574">
        <v>-1.1167240048460001</v>
      </c>
      <c r="AE5574">
        <v>-3.90969999999998</v>
      </c>
      <c r="AF5574">
        <v>6.4679826412434496</v>
      </c>
      <c r="AG5574">
        <v>-1.1167240048460001</v>
      </c>
      <c r="AH5574">
        <v>14.8997780888037</v>
      </c>
      <c r="AI5574">
        <v>93.932935294387704</v>
      </c>
      <c r="AJ5574">
        <v>66.534370909010207</v>
      </c>
      <c r="AK5574">
        <v>16.281439096284501</v>
      </c>
      <c r="AL5574">
        <v>94.777247137337099</v>
      </c>
      <c r="AM5574">
        <v>74.443614457962695</v>
      </c>
      <c r="AN5574">
        <v>1.00000003474889</v>
      </c>
    </row>
    <row r="5575" spans="1:40" x14ac:dyDescent="0.25">
      <c r="A5575" t="str">
        <f>"20190303153918787"</f>
        <v>20190303153918787</v>
      </c>
      <c r="B5575" t="str">
        <f>"1551598758783849"</f>
        <v>1551598758783849</v>
      </c>
      <c r="C5575" t="s">
        <v>40</v>
      </c>
      <c r="D5575">
        <v>4.8611089999999999</v>
      </c>
      <c r="E5575">
        <v>0.54840819999999901</v>
      </c>
      <c r="F5575" t="s">
        <v>42</v>
      </c>
      <c r="G5575">
        <v>-213.34649999999999</v>
      </c>
      <c r="H5575" s="1">
        <v>-3.851782E-6</v>
      </c>
      <c r="I5575">
        <v>142.34540000000001</v>
      </c>
      <c r="J5575">
        <v>-199.2441</v>
      </c>
      <c r="K5575">
        <v>1.116644</v>
      </c>
      <c r="L5575">
        <v>145.82299999999901</v>
      </c>
      <c r="M5575">
        <v>-0.80097680000000004</v>
      </c>
      <c r="N5575">
        <v>-1.402698E-2</v>
      </c>
      <c r="O5575">
        <v>-0.59853109999999998</v>
      </c>
      <c r="P5575">
        <v>-0.92768090000000003</v>
      </c>
      <c r="Q5575">
        <v>-9.4707109999999997E-2</v>
      </c>
      <c r="R5575">
        <v>-0.36116350000000003</v>
      </c>
      <c r="S5575">
        <v>-2.9277799999999998</v>
      </c>
      <c r="T5575">
        <v>-0.2295499</v>
      </c>
      <c r="U5575">
        <v>-0.73394780000000004</v>
      </c>
      <c r="V5575">
        <v>0.2650844</v>
      </c>
      <c r="W5575">
        <v>-8.4144549999999999E-2</v>
      </c>
      <c r="X5575">
        <v>0.96054669999999998</v>
      </c>
      <c r="Y5575">
        <v>0.38365949999999999</v>
      </c>
      <c r="Z5575">
        <v>5.1433949999999999E-2</v>
      </c>
      <c r="AA5575">
        <v>0.92204120000000001</v>
      </c>
      <c r="AB5575">
        <v>17</v>
      </c>
      <c r="AC5575">
        <v>-14.1023999999999</v>
      </c>
      <c r="AD5575">
        <v>-1.116647851782</v>
      </c>
      <c r="AE5575">
        <v>-3.4775999999999598</v>
      </c>
      <c r="AF5575">
        <v>5.6225732596314799</v>
      </c>
      <c r="AG5575">
        <v>-1.116647851782</v>
      </c>
      <c r="AH5575">
        <v>13.2998567035264</v>
      </c>
      <c r="AI5575">
        <v>94.422041647595094</v>
      </c>
      <c r="AJ5575">
        <v>67.083573920714102</v>
      </c>
      <c r="AK5575">
        <v>14.4826247903876</v>
      </c>
      <c r="AL5575">
        <v>94.826834945489693</v>
      </c>
      <c r="AM5575">
        <v>74.571963177040402</v>
      </c>
      <c r="AN5575">
        <v>1.0000000036494701</v>
      </c>
    </row>
    <row r="5576" spans="1:40" x14ac:dyDescent="0.25">
      <c r="A5576" t="str">
        <f>"20190303153918809"</f>
        <v>20190303153918809</v>
      </c>
      <c r="B5576" t="str">
        <f>"1551598758804345"</f>
        <v>1551598758804345</v>
      </c>
      <c r="C5576" t="s">
        <v>40</v>
      </c>
      <c r="D5576">
        <v>4.8427319999999998</v>
      </c>
      <c r="E5576">
        <v>0.54740279999999997</v>
      </c>
      <c r="F5576" t="s">
        <v>42</v>
      </c>
      <c r="G5576">
        <v>-212.9588</v>
      </c>
      <c r="H5576" s="1">
        <v>-4.0546689999999997E-6</v>
      </c>
      <c r="I5576">
        <v>142.41919999999999</v>
      </c>
      <c r="J5576">
        <v>-199.38239999999999</v>
      </c>
      <c r="K5576">
        <v>1.116519</v>
      </c>
      <c r="L5576">
        <v>145.7338</v>
      </c>
      <c r="M5576">
        <v>-0.8066932</v>
      </c>
      <c r="N5576">
        <v>-1.3797820000000001E-2</v>
      </c>
      <c r="O5576">
        <v>-0.59080969999999999</v>
      </c>
      <c r="P5576">
        <v>-0.93034819999999996</v>
      </c>
      <c r="Q5576">
        <v>-9.4064090000000003E-2</v>
      </c>
      <c r="R5576">
        <v>-0.35440700000000003</v>
      </c>
      <c r="S5576">
        <v>-2.9267430000000001</v>
      </c>
      <c r="T5576">
        <v>-0.2382957</v>
      </c>
      <c r="U5576">
        <v>-0.72639469999999995</v>
      </c>
      <c r="V5576">
        <v>0.26287310000000003</v>
      </c>
      <c r="W5576">
        <v>-8.3732130000000002E-2</v>
      </c>
      <c r="X5576">
        <v>0.96119019999999999</v>
      </c>
      <c r="Y5576">
        <v>0.37678689999999998</v>
      </c>
      <c r="Z5576">
        <v>5.3091770000000003E-2</v>
      </c>
      <c r="AA5576">
        <v>0.92477719999999997</v>
      </c>
      <c r="AB5576">
        <v>17</v>
      </c>
      <c r="AC5576">
        <v>-13.5764</v>
      </c>
      <c r="AD5576">
        <v>-1.1165230546689999</v>
      </c>
      <c r="AE5576">
        <v>-3.3146000000000102</v>
      </c>
      <c r="AF5576">
        <v>5.3137938424865103</v>
      </c>
      <c r="AG5576">
        <v>-1.1165230546689999</v>
      </c>
      <c r="AH5576">
        <v>12.8296230467692</v>
      </c>
      <c r="AI5576">
        <v>94.596882837829099</v>
      </c>
      <c r="AJ5576">
        <v>67.501562979242493</v>
      </c>
      <c r="AK5576">
        <v>13.931340791691399</v>
      </c>
      <c r="AL5576">
        <v>94.803121503032799</v>
      </c>
      <c r="AM5576">
        <v>74.704369304711705</v>
      </c>
      <c r="AN5576">
        <v>0.99999996843699201</v>
      </c>
    </row>
    <row r="5577" spans="1:40" x14ac:dyDescent="0.25">
      <c r="A5577" t="str">
        <f>"20190303153918833"</f>
        <v>20190303153918833</v>
      </c>
      <c r="B5577" t="str">
        <f>"1551598758824374"</f>
        <v>1551598758824374</v>
      </c>
      <c r="C5577" t="s">
        <v>40</v>
      </c>
      <c r="D5577">
        <v>4.8426269999999896</v>
      </c>
      <c r="E5577">
        <v>0.54660980000000003</v>
      </c>
      <c r="F5577" t="s">
        <v>42</v>
      </c>
      <c r="G5577">
        <v>-213.04519999999999</v>
      </c>
      <c r="H5577" s="1">
        <v>-4.0115959999999997E-6</v>
      </c>
      <c r="I5577">
        <v>142.41079999999999</v>
      </c>
      <c r="J5577">
        <v>-199.53569999999999</v>
      </c>
      <c r="K5577">
        <v>1.116347</v>
      </c>
      <c r="L5577">
        <v>145.63730000000001</v>
      </c>
      <c r="M5577">
        <v>-0.81296000000000002</v>
      </c>
      <c r="N5577">
        <v>-1.342605E-2</v>
      </c>
      <c r="O5577">
        <v>-0.58216469999999998</v>
      </c>
      <c r="P5577">
        <v>-0.93334550000000005</v>
      </c>
      <c r="Q5577">
        <v>-9.3142000000000003E-2</v>
      </c>
      <c r="R5577">
        <v>-0.34668559999999998</v>
      </c>
      <c r="S5577">
        <v>-2.9290159999999998</v>
      </c>
      <c r="T5577">
        <v>-0.2393593</v>
      </c>
      <c r="U5577">
        <v>-0.71238710000000005</v>
      </c>
      <c r="V5577">
        <v>0.2606192</v>
      </c>
      <c r="W5577">
        <v>-8.3186960000000004E-2</v>
      </c>
      <c r="X5577">
        <v>0.96185109999999996</v>
      </c>
      <c r="Y5577">
        <v>0.37123270000000003</v>
      </c>
      <c r="Z5577">
        <v>5.2847909999999998E-2</v>
      </c>
      <c r="AA5577">
        <v>0.92703469999999999</v>
      </c>
      <c r="AB5577">
        <v>17</v>
      </c>
      <c r="AC5577">
        <v>-13.509499999999999</v>
      </c>
      <c r="AD5577">
        <v>-1.116351011596</v>
      </c>
      <c r="AE5577">
        <v>-3.2265000000000099</v>
      </c>
      <c r="AF5577">
        <v>5.2085639550811003</v>
      </c>
      <c r="AG5577">
        <v>-1.116351011596</v>
      </c>
      <c r="AH5577">
        <v>12.7796408617707</v>
      </c>
      <c r="AI5577">
        <v>94.624770232300406</v>
      </c>
      <c r="AJ5577">
        <v>67.825796665800993</v>
      </c>
      <c r="AK5577">
        <v>13.8453818514008</v>
      </c>
      <c r="AL5577">
        <v>94.771776108713098</v>
      </c>
      <c r="AM5577">
        <v>74.839391197615797</v>
      </c>
      <c r="AN5577">
        <v>0.99999998814694502</v>
      </c>
    </row>
    <row r="5578" spans="1:40" x14ac:dyDescent="0.25">
      <c r="A5578" t="str">
        <f>"20190303153918856"</f>
        <v>20190303153918856</v>
      </c>
      <c r="B5578" t="str">
        <f>"1551598758843893"</f>
        <v>1551598758843893</v>
      </c>
      <c r="C5578" t="s">
        <v>40</v>
      </c>
      <c r="D5578">
        <v>4.8311760000000001</v>
      </c>
      <c r="E5578">
        <v>0.54600749999999998</v>
      </c>
      <c r="F5578" t="s">
        <v>42</v>
      </c>
      <c r="G5578">
        <v>-213.1696</v>
      </c>
      <c r="H5578" s="1">
        <v>-3.952957E-6</v>
      </c>
      <c r="I5578">
        <v>142.41149999999999</v>
      </c>
      <c r="J5578">
        <v>-199.69</v>
      </c>
      <c r="K5578">
        <v>1.1162030000000001</v>
      </c>
      <c r="L5578">
        <v>145.54259999999999</v>
      </c>
      <c r="M5578">
        <v>-0.81917299999999904</v>
      </c>
      <c r="N5578">
        <v>-1.3019040000000001E-2</v>
      </c>
      <c r="O5578">
        <v>-0.57339890000000004</v>
      </c>
      <c r="P5578">
        <v>-0.93694699999999997</v>
      </c>
      <c r="Q5578">
        <v>-9.2945230000000004E-2</v>
      </c>
      <c r="R5578">
        <v>-0.3368852</v>
      </c>
      <c r="S5578">
        <v>-2.9325559999999999</v>
      </c>
      <c r="T5578">
        <v>-0.240119</v>
      </c>
      <c r="U5578">
        <v>-0.69384769999999996</v>
      </c>
      <c r="V5578">
        <v>0.26035970000000003</v>
      </c>
      <c r="W5578">
        <v>-8.3420259999999996E-2</v>
      </c>
      <c r="X5578">
        <v>0.96190120000000001</v>
      </c>
      <c r="Y5578">
        <v>0.36705789999999999</v>
      </c>
      <c r="Z5578">
        <v>5.2574530000000001E-2</v>
      </c>
      <c r="AA5578">
        <v>0.92871110000000001</v>
      </c>
      <c r="AB5578">
        <v>17</v>
      </c>
      <c r="AC5578">
        <v>-13.4796</v>
      </c>
      <c r="AD5578">
        <v>-1.116206952957</v>
      </c>
      <c r="AE5578">
        <v>-3.1311</v>
      </c>
      <c r="AF5578">
        <v>5.1313281018165799</v>
      </c>
      <c r="AG5578">
        <v>-1.116206952957</v>
      </c>
      <c r="AH5578">
        <v>12.7555928077382</v>
      </c>
      <c r="AI5578">
        <v>94.641347121576899</v>
      </c>
      <c r="AJ5578">
        <v>68.086031478288206</v>
      </c>
      <c r="AK5578">
        <v>13.7942594555541</v>
      </c>
      <c r="AL5578">
        <v>94.785189704587495</v>
      </c>
      <c r="AM5578">
        <v>74.8545455207027</v>
      </c>
      <c r="AN5578">
        <v>1.0000000158619899</v>
      </c>
    </row>
    <row r="5579" spans="1:40" x14ac:dyDescent="0.25">
      <c r="A5579" t="str">
        <f>"20190303153918878"</f>
        <v>20190303153918878</v>
      </c>
      <c r="B5579" t="str">
        <f>"1551598758874148"</f>
        <v>1551598758874148</v>
      </c>
      <c r="C5579" t="s">
        <v>40</v>
      </c>
      <c r="D5579">
        <v>4.8640949999999998</v>
      </c>
      <c r="E5579">
        <v>0.54530859999999903</v>
      </c>
      <c r="F5579" t="s">
        <v>42</v>
      </c>
      <c r="G5579">
        <v>-213.26300000000001</v>
      </c>
      <c r="H5579" s="1">
        <v>-3.9213689999999996E-6</v>
      </c>
      <c r="I5579">
        <v>142.45869999999999</v>
      </c>
      <c r="J5579">
        <v>-199.83410000000001</v>
      </c>
      <c r="K5579">
        <v>1.116098</v>
      </c>
      <c r="L5579">
        <v>145.4562</v>
      </c>
      <c r="M5579">
        <v>-0.82488689999999998</v>
      </c>
      <c r="N5579">
        <v>-1.2641680000000001E-2</v>
      </c>
      <c r="O5579">
        <v>-0.56515669999999996</v>
      </c>
      <c r="P5579">
        <v>-0.94001869999999998</v>
      </c>
      <c r="Q5579">
        <v>-9.2603729999999995E-2</v>
      </c>
      <c r="R5579">
        <v>-0.32831339999999998</v>
      </c>
      <c r="S5579">
        <v>-2.9379270000000002</v>
      </c>
      <c r="T5579">
        <v>-0.2416065</v>
      </c>
      <c r="U5579">
        <v>-0.66752619999999996</v>
      </c>
      <c r="V5579">
        <v>0.2595093</v>
      </c>
      <c r="W5579">
        <v>-8.3454390000000003E-2</v>
      </c>
      <c r="X5579">
        <v>0.96212799999999998</v>
      </c>
      <c r="Y5579">
        <v>0.36598760000000002</v>
      </c>
      <c r="Z5579">
        <v>5.2603799999999999E-2</v>
      </c>
      <c r="AA5579">
        <v>0.92913179999999995</v>
      </c>
      <c r="AB5579">
        <v>17</v>
      </c>
      <c r="AC5579">
        <v>-13.428900000000001</v>
      </c>
      <c r="AD5579">
        <v>-1.116101921369</v>
      </c>
      <c r="AE5579">
        <v>-2.9975000000000001</v>
      </c>
      <c r="AF5579">
        <v>5.0837923003315799</v>
      </c>
      <c r="AG5579">
        <v>-1.116101921369</v>
      </c>
      <c r="AH5579">
        <v>12.688909538052499</v>
      </c>
      <c r="AI5579">
        <v>94.667815734101893</v>
      </c>
      <c r="AJ5579">
        <v>68.166567435056507</v>
      </c>
      <c r="AK5579">
        <v>13.7149208133578</v>
      </c>
      <c r="AL5579">
        <v>94.787152127361793</v>
      </c>
      <c r="AM5579">
        <v>74.905149101875793</v>
      </c>
      <c r="AN5579">
        <v>1.0000000001903799</v>
      </c>
    </row>
    <row r="5580" spans="1:40" x14ac:dyDescent="0.25">
      <c r="A5580" t="str">
        <f>"20190303153918900"</f>
        <v>20190303153918900</v>
      </c>
      <c r="B5580" t="str">
        <f>"1551598758894646"</f>
        <v>1551598758894646</v>
      </c>
      <c r="C5580" t="s">
        <v>40</v>
      </c>
      <c r="D5580">
        <v>4.6432900000000004</v>
      </c>
      <c r="E5580">
        <v>0.54500369999999998</v>
      </c>
      <c r="F5580" t="s">
        <v>42</v>
      </c>
      <c r="G5580">
        <v>-213.37989999999999</v>
      </c>
      <c r="H5580" s="1">
        <v>-3.8725529999999997E-6</v>
      </c>
      <c r="I5580">
        <v>142.4829</v>
      </c>
      <c r="J5580">
        <v>-199.98410000000001</v>
      </c>
      <c r="K5580">
        <v>1.116001</v>
      </c>
      <c r="L5580">
        <v>145.3683</v>
      </c>
      <c r="M5580">
        <v>-0.83074429999999999</v>
      </c>
      <c r="N5580">
        <v>-1.221947E-2</v>
      </c>
      <c r="O5580">
        <v>-0.55652000000000001</v>
      </c>
      <c r="P5580">
        <v>-0.94300479999999998</v>
      </c>
      <c r="Q5580">
        <v>-9.2323420000000003E-2</v>
      </c>
      <c r="R5580">
        <v>-0.31971620000000001</v>
      </c>
      <c r="S5580">
        <v>-2.9420009999999999</v>
      </c>
      <c r="T5580">
        <v>-0.2424055</v>
      </c>
      <c r="U5580">
        <v>-0.64576719999999999</v>
      </c>
      <c r="V5580">
        <v>0.25826159999999998</v>
      </c>
      <c r="W5580">
        <v>-8.3583669999999999E-2</v>
      </c>
      <c r="X5580">
        <v>0.96245250000000004</v>
      </c>
      <c r="Y5580">
        <v>0.3631007</v>
      </c>
      <c r="Z5580">
        <v>5.237253E-2</v>
      </c>
      <c r="AA5580">
        <v>0.93027689999999996</v>
      </c>
      <c r="AB5580">
        <v>17</v>
      </c>
      <c r="AC5580">
        <v>-13.3957999999999</v>
      </c>
      <c r="AD5580">
        <v>-1.1160048725530001</v>
      </c>
      <c r="AE5580">
        <v>-2.8854000000000002</v>
      </c>
      <c r="AF5580">
        <v>5.0250485741445496</v>
      </c>
      <c r="AG5580">
        <v>-1.1160048725530001</v>
      </c>
      <c r="AH5580">
        <v>12.6513046531042</v>
      </c>
      <c r="AI5580">
        <v>94.686764094872998</v>
      </c>
      <c r="AJ5580">
        <v>68.337218215934897</v>
      </c>
      <c r="AK5580">
        <v>13.658407281734201</v>
      </c>
      <c r="AL5580">
        <v>94.794585059668705</v>
      </c>
      <c r="AM5580">
        <v>74.979271629700193</v>
      </c>
      <c r="AN5580">
        <v>1.0000000493407299</v>
      </c>
    </row>
    <row r="5581" spans="1:40" x14ac:dyDescent="0.25">
      <c r="A5581" t="str">
        <f>"20190303153918921"</f>
        <v>20190303153918921</v>
      </c>
      <c r="B5581" t="str">
        <f>"1551598758914166"</f>
        <v>1551598758914166</v>
      </c>
      <c r="C5581" t="s">
        <v>40</v>
      </c>
      <c r="D5581">
        <v>4.8348170000000001</v>
      </c>
      <c r="E5581">
        <v>0.5443789</v>
      </c>
      <c r="F5581" t="s">
        <v>42</v>
      </c>
      <c r="G5581">
        <v>-213.59450000000001</v>
      </c>
      <c r="H5581" s="1">
        <v>-3.7756089999999999E-6</v>
      </c>
      <c r="I5581">
        <v>142.49969999999999</v>
      </c>
      <c r="J5581">
        <v>-200.1311</v>
      </c>
      <c r="K5581">
        <v>1.1158809999999999</v>
      </c>
      <c r="L5581">
        <v>145.28399999999999</v>
      </c>
      <c r="M5581">
        <v>-0.83640270000000005</v>
      </c>
      <c r="N5581">
        <v>-1.174065E-2</v>
      </c>
      <c r="O5581">
        <v>-0.54798990000000003</v>
      </c>
      <c r="P5581">
        <v>-0.94566719999999904</v>
      </c>
      <c r="Q5581">
        <v>-9.1127509999999995E-2</v>
      </c>
      <c r="R5581">
        <v>-0.31210470000000001</v>
      </c>
      <c r="S5581">
        <v>-2.9470830000000001</v>
      </c>
      <c r="T5581">
        <v>-0.2416508</v>
      </c>
      <c r="U5581">
        <v>-0.62113949999999996</v>
      </c>
      <c r="V5581">
        <v>0.25623179999999901</v>
      </c>
      <c r="W5581">
        <v>-8.2845589999999997E-2</v>
      </c>
      <c r="X5581">
        <v>0.96305859999999999</v>
      </c>
      <c r="Y5581">
        <v>0.36136040000000003</v>
      </c>
      <c r="Z5581">
        <v>5.1830939999999999E-2</v>
      </c>
      <c r="AA5581">
        <v>0.93098460000000005</v>
      </c>
      <c r="AB5581">
        <v>17</v>
      </c>
      <c r="AC5581">
        <v>-13.4634</v>
      </c>
      <c r="AD5581">
        <v>-1.11588477560899</v>
      </c>
      <c r="AE5581">
        <v>-2.7843</v>
      </c>
      <c r="AF5581">
        <v>5.01631203871829</v>
      </c>
      <c r="AG5581">
        <v>-1.11588477560899</v>
      </c>
      <c r="AH5581">
        <v>12.703781993377101</v>
      </c>
      <c r="AI5581">
        <v>94.670694647701893</v>
      </c>
      <c r="AJ5581">
        <v>68.452541969330099</v>
      </c>
      <c r="AK5581">
        <v>13.7038192573267</v>
      </c>
      <c r="AL5581">
        <v>94.752149257626598</v>
      </c>
      <c r="AM5581">
        <v>75.1010156504706</v>
      </c>
      <c r="AN5581">
        <v>0.99999999707382403</v>
      </c>
    </row>
    <row r="5582" spans="1:40" x14ac:dyDescent="0.25">
      <c r="A5582" t="str">
        <f>"20190303153918944"</f>
        <v>20190303153918944</v>
      </c>
      <c r="B5582" t="str">
        <f>"1551598758933685"</f>
        <v>1551598758933685</v>
      </c>
      <c r="C5582" t="s">
        <v>40</v>
      </c>
      <c r="D5582">
        <v>4.8468929999999997</v>
      </c>
      <c r="E5582">
        <v>0.54398449999999998</v>
      </c>
      <c r="F5582" t="s">
        <v>42</v>
      </c>
      <c r="G5582">
        <v>-213.85910000000001</v>
      </c>
      <c r="H5582" s="1">
        <v>-3.6460930000000001E-6</v>
      </c>
      <c r="I5582">
        <v>142.48310000000001</v>
      </c>
      <c r="J5582">
        <v>-200.28829999999999</v>
      </c>
      <c r="K5582">
        <v>1.115734</v>
      </c>
      <c r="L5582">
        <v>145.1961</v>
      </c>
      <c r="M5582">
        <v>-0.84234259999999905</v>
      </c>
      <c r="N5582">
        <v>-1.1166280000000001E-2</v>
      </c>
      <c r="O5582">
        <v>-0.5388269</v>
      </c>
      <c r="P5582">
        <v>-0.948577</v>
      </c>
      <c r="Q5582">
        <v>-8.9697929999999995E-2</v>
      </c>
      <c r="R5582">
        <v>-0.30357190000000001</v>
      </c>
      <c r="S5582">
        <v>-2.9505620000000001</v>
      </c>
      <c r="T5582">
        <v>-0.2398372</v>
      </c>
      <c r="U5582">
        <v>-0.60200500000000001</v>
      </c>
      <c r="V5582">
        <v>0.25446400000000002</v>
      </c>
      <c r="W5582">
        <v>-8.1982780000000005E-2</v>
      </c>
      <c r="X5582">
        <v>0.96360100000000004</v>
      </c>
      <c r="Y5582">
        <v>0.35724519999999998</v>
      </c>
      <c r="Z5582">
        <v>5.0942660000000001E-2</v>
      </c>
      <c r="AA5582">
        <v>0.93262029999999996</v>
      </c>
      <c r="AB5582">
        <v>17</v>
      </c>
      <c r="AC5582">
        <v>-13.5708</v>
      </c>
      <c r="AD5582">
        <v>-1.115737646093</v>
      </c>
      <c r="AE5582">
        <v>-2.7129999999999899</v>
      </c>
      <c r="AF5582">
        <v>4.9948843067381903</v>
      </c>
      <c r="AG5582">
        <v>-1.115737646093</v>
      </c>
      <c r="AH5582">
        <v>12.8106376362869</v>
      </c>
      <c r="AI5582">
        <v>94.639091091200001</v>
      </c>
      <c r="AJ5582">
        <v>68.699124905803203</v>
      </c>
      <c r="AK5582">
        <v>13.7951504660463</v>
      </c>
      <c r="AL5582">
        <v>94.702545147441498</v>
      </c>
      <c r="AM5582">
        <v>75.207246011308897</v>
      </c>
      <c r="AN5582">
        <v>0.99999999535676398</v>
      </c>
    </row>
    <row r="5583" spans="1:40" x14ac:dyDescent="0.25">
      <c r="A5583" t="str">
        <f>"20190303153918966"</f>
        <v>20190303153918966</v>
      </c>
      <c r="B5583" t="str">
        <f>"1551598758963941"</f>
        <v>1551598758963941</v>
      </c>
      <c r="C5583" t="s">
        <v>40</v>
      </c>
      <c r="D5583">
        <v>5.0258529999999997</v>
      </c>
      <c r="E5583">
        <v>0.54617729999999998</v>
      </c>
      <c r="F5583" t="s">
        <v>42</v>
      </c>
      <c r="G5583">
        <v>-214.18</v>
      </c>
      <c r="H5583" s="1">
        <v>-3.4929789999999999E-6</v>
      </c>
      <c r="I5583">
        <v>142.4777</v>
      </c>
      <c r="J5583">
        <v>-200.44200000000001</v>
      </c>
      <c r="K5583">
        <v>1.115572</v>
      </c>
      <c r="L5583">
        <v>145.1122</v>
      </c>
      <c r="M5583">
        <v>-0.848033499999999</v>
      </c>
      <c r="N5583">
        <v>-1.057394E-2</v>
      </c>
      <c r="O5583">
        <v>-0.52983729999999996</v>
      </c>
      <c r="P5583">
        <v>-0.95159289999999996</v>
      </c>
      <c r="Q5583">
        <v>-8.7782059999999995E-2</v>
      </c>
      <c r="R5583">
        <v>-0.29456009999999999</v>
      </c>
      <c r="S5583">
        <v>-2.9551539999999998</v>
      </c>
      <c r="T5583">
        <v>-0.2373489</v>
      </c>
      <c r="U5583">
        <v>-0.57829280000000005</v>
      </c>
      <c r="V5583">
        <v>0.25344850000000002</v>
      </c>
      <c r="W5583">
        <v>-8.0668669999999998E-2</v>
      </c>
      <c r="X5583">
        <v>0.96397949999999999</v>
      </c>
      <c r="Y5583">
        <v>0.35485420000000001</v>
      </c>
      <c r="Z5583">
        <v>4.9982390000000002E-2</v>
      </c>
      <c r="AA5583">
        <v>0.93358459999999999</v>
      </c>
      <c r="AB5583">
        <v>17</v>
      </c>
      <c r="AC5583">
        <v>-13.738</v>
      </c>
      <c r="AD5583">
        <v>-1.115575492979</v>
      </c>
      <c r="AE5583">
        <v>-2.6345000000000001</v>
      </c>
      <c r="AF5583">
        <v>5.01315776644116</v>
      </c>
      <c r="AG5583">
        <v>-1.115575492979</v>
      </c>
      <c r="AH5583">
        <v>12.9644132939888</v>
      </c>
      <c r="AI5583">
        <v>94.588591864404094</v>
      </c>
      <c r="AJ5583">
        <v>68.8592090653963</v>
      </c>
      <c r="AK5583">
        <v>13.944614427409499</v>
      </c>
      <c r="AL5583">
        <v>94.627001809546599</v>
      </c>
      <c r="AM5583">
        <v>75.269240524049593</v>
      </c>
      <c r="AN5583">
        <v>1.00000002644603</v>
      </c>
    </row>
    <row r="5584" spans="1:40" x14ac:dyDescent="0.25">
      <c r="A5584" t="str">
        <f>"20190303153918988"</f>
        <v>20190303153918988</v>
      </c>
      <c r="B5584" t="str">
        <f>"1551598758984437"</f>
        <v>1551598758984437</v>
      </c>
      <c r="C5584" t="s">
        <v>40</v>
      </c>
      <c r="D5584">
        <v>4.9512859999999996</v>
      </c>
      <c r="E5584">
        <v>0.6019002</v>
      </c>
      <c r="F5584" t="s">
        <v>42</v>
      </c>
      <c r="G5584">
        <v>-215.2544</v>
      </c>
      <c r="H5584" s="1">
        <v>-2.976669E-6</v>
      </c>
      <c r="I5584">
        <v>142.446</v>
      </c>
      <c r="J5584">
        <v>-200.59899999999999</v>
      </c>
      <c r="K5584">
        <v>1.115407</v>
      </c>
      <c r="L5584">
        <v>145.02869999999999</v>
      </c>
      <c r="M5584">
        <v>-0.8537093</v>
      </c>
      <c r="N5584">
        <v>-9.9669860000000006E-3</v>
      </c>
      <c r="O5584">
        <v>-0.52065459999999997</v>
      </c>
      <c r="P5584">
        <v>-0.95441370000000003</v>
      </c>
      <c r="Q5584">
        <v>-8.6493249999999994E-2</v>
      </c>
      <c r="R5584">
        <v>-0.28568059999999901</v>
      </c>
      <c r="S5584">
        <v>-2.9666899999999998</v>
      </c>
      <c r="T5584">
        <v>-0.22343299999999999</v>
      </c>
      <c r="U5584">
        <v>-0.53399659999999904</v>
      </c>
      <c r="V5584">
        <v>0.25207829999999998</v>
      </c>
      <c r="W5584">
        <v>-7.999481E-2</v>
      </c>
      <c r="X5584">
        <v>0.9643948</v>
      </c>
      <c r="Y5584">
        <v>0.35918220000000001</v>
      </c>
      <c r="Z5584">
        <v>4.6674510000000002E-2</v>
      </c>
      <c r="AA5584">
        <v>0.93209960000000003</v>
      </c>
      <c r="AB5584">
        <v>17</v>
      </c>
      <c r="AC5584">
        <v>-14.655399999999901</v>
      </c>
      <c r="AD5584">
        <v>-1.115409976669</v>
      </c>
      <c r="AE5584">
        <v>-2.58269999999998</v>
      </c>
      <c r="AF5584">
        <v>5.3954831054863099</v>
      </c>
      <c r="AG5584">
        <v>-1.115409976669</v>
      </c>
      <c r="AH5584">
        <v>13.7794188875868</v>
      </c>
      <c r="AI5584">
        <v>94.310532123966297</v>
      </c>
      <c r="AJ5584">
        <v>68.616626158122301</v>
      </c>
      <c r="AK5584">
        <v>14.8400728514797</v>
      </c>
      <c r="AL5584">
        <v>94.588267485345696</v>
      </c>
      <c r="AM5584">
        <v>75.351480891721295</v>
      </c>
      <c r="AN5584">
        <v>0.999999984612432</v>
      </c>
    </row>
    <row r="5585" spans="1:40" x14ac:dyDescent="0.25">
      <c r="A5585" t="str">
        <f>"20190303153919014"</f>
        <v>20190303153919014</v>
      </c>
      <c r="B5585" t="str">
        <f>"1551598759003957"</f>
        <v>1551598759003957</v>
      </c>
      <c r="C5585" t="s">
        <v>40</v>
      </c>
      <c r="D5585">
        <v>4.9655360000000002</v>
      </c>
      <c r="E5585">
        <v>0.60151180000000004</v>
      </c>
      <c r="F5585" t="s">
        <v>42</v>
      </c>
      <c r="G5585">
        <v>-219.84800000000001</v>
      </c>
      <c r="H5585" s="1">
        <v>-1.356222E-6</v>
      </c>
      <c r="I5585">
        <v>144.51679999999999</v>
      </c>
      <c r="J5585">
        <v>-200.77780000000001</v>
      </c>
      <c r="K5585">
        <v>1.1152340000000001</v>
      </c>
      <c r="L5585">
        <v>144.93629999999999</v>
      </c>
      <c r="M5585">
        <v>-0.86000719999999997</v>
      </c>
      <c r="N5585">
        <v>-9.2952959999999998E-3</v>
      </c>
      <c r="O5585">
        <v>-0.51019749999999997</v>
      </c>
      <c r="P5585">
        <v>-0.95734739999999996</v>
      </c>
      <c r="Q5585">
        <v>-8.5593290000000002E-2</v>
      </c>
      <c r="R5585">
        <v>-0.27597120000000003</v>
      </c>
      <c r="S5585">
        <v>-3.1023100000000001</v>
      </c>
      <c r="T5585">
        <v>-0.1797677</v>
      </c>
      <c r="U5585">
        <v>-8.2504270000000005E-2</v>
      </c>
      <c r="V5585">
        <v>0.2501292</v>
      </c>
      <c r="W5585">
        <v>-7.9770389999999997E-2</v>
      </c>
      <c r="X5585">
        <v>0.96492080000000002</v>
      </c>
      <c r="Y5585">
        <v>0.48570629999999998</v>
      </c>
      <c r="Z5585">
        <v>3.9766120000000002E-2</v>
      </c>
      <c r="AA5585">
        <v>0.87321700000000002</v>
      </c>
      <c r="AB5585">
        <v>17</v>
      </c>
      <c r="AC5585">
        <v>-19.0701999999999</v>
      </c>
      <c r="AD5585">
        <v>-1.1152353562219901</v>
      </c>
      <c r="AE5585">
        <v>-0.41949999999999898</v>
      </c>
      <c r="AF5585">
        <v>9.3372810273407403</v>
      </c>
      <c r="AG5585">
        <v>-1.1152353562219901</v>
      </c>
      <c r="AH5585">
        <v>16.558649951608199</v>
      </c>
      <c r="AI5585">
        <v>93.357479640978696</v>
      </c>
      <c r="AJ5585">
        <v>60.581720726280899</v>
      </c>
      <c r="AK5585">
        <v>19.042517036967599</v>
      </c>
      <c r="AL5585">
        <v>94.575367684198397</v>
      </c>
      <c r="AM5585">
        <v>75.467517440740906</v>
      </c>
      <c r="AN5585">
        <v>1.0000000410430101</v>
      </c>
    </row>
    <row r="5586" spans="1:40" x14ac:dyDescent="0.25">
      <c r="A5586" t="str">
        <f>"20190303153919035"</f>
        <v>20190303153919035</v>
      </c>
      <c r="B5586" t="str">
        <f>"1551598759024454"</f>
        <v>1551598759024454</v>
      </c>
      <c r="C5586" t="s">
        <v>40</v>
      </c>
      <c r="D5586">
        <v>5.0400099999999997</v>
      </c>
      <c r="E5586">
        <v>0.60000620000000005</v>
      </c>
      <c r="F5586" t="s">
        <v>42</v>
      </c>
      <c r="G5586">
        <v>-221.327</v>
      </c>
      <c r="H5586" s="1">
        <v>-4.7040509999999997E-6</v>
      </c>
      <c r="I5586">
        <v>144.57509999999999</v>
      </c>
      <c r="J5586">
        <v>-200.93299999999999</v>
      </c>
      <c r="K5586">
        <v>1.1150899999999999</v>
      </c>
      <c r="L5586">
        <v>144.85820000000001</v>
      </c>
      <c r="M5586">
        <v>-0.86532809999999905</v>
      </c>
      <c r="N5586">
        <v>-8.7432949999999999E-3</v>
      </c>
      <c r="O5586">
        <v>-0.50112990000000002</v>
      </c>
      <c r="P5586">
        <v>-0.95957130000000002</v>
      </c>
      <c r="Q5586">
        <v>-8.4622050000000004E-2</v>
      </c>
      <c r="R5586">
        <v>-0.26844420000000002</v>
      </c>
      <c r="S5586">
        <v>-3.1029049999999998</v>
      </c>
      <c r="T5586">
        <v>-0.16839999999999999</v>
      </c>
      <c r="U5586">
        <v>-5.4534909999999999E-2</v>
      </c>
      <c r="V5586">
        <v>0.24759709999999999</v>
      </c>
      <c r="W5586">
        <v>-7.9340859999999999E-2</v>
      </c>
      <c r="X5586">
        <v>0.96560900000000005</v>
      </c>
      <c r="Y5586">
        <v>0.48458259999999997</v>
      </c>
      <c r="Z5586">
        <v>3.688193E-2</v>
      </c>
      <c r="AA5586">
        <v>0.87396759999999996</v>
      </c>
      <c r="AB5586">
        <v>18</v>
      </c>
      <c r="AC5586">
        <v>-20.393999999999998</v>
      </c>
      <c r="AD5586">
        <v>-1.115094704051</v>
      </c>
      <c r="AE5586">
        <v>-0.283100000000018</v>
      </c>
      <c r="AF5586">
        <v>9.9457200030877697</v>
      </c>
      <c r="AG5586">
        <v>-1.115094704051</v>
      </c>
      <c r="AH5586">
        <v>17.737030999727398</v>
      </c>
      <c r="AI5586">
        <v>93.138712901613602</v>
      </c>
      <c r="AJ5586">
        <v>60.719257832911701</v>
      </c>
      <c r="AK5586">
        <v>20.365732279103401</v>
      </c>
      <c r="AL5586">
        <v>94.550679279936702</v>
      </c>
      <c r="AM5586">
        <v>75.618324317165701</v>
      </c>
      <c r="AN5586">
        <v>1.00000001843747</v>
      </c>
    </row>
    <row r="5587" spans="1:40" x14ac:dyDescent="0.25">
      <c r="A5587" t="str">
        <f>"20190303153919060"</f>
        <v>20190303153919060</v>
      </c>
      <c r="B5587" t="str">
        <f>"1551598759053733"</f>
        <v>1551598759053733</v>
      </c>
      <c r="C5587" t="s">
        <v>40</v>
      </c>
      <c r="D5587">
        <v>5.068562</v>
      </c>
      <c r="E5587">
        <v>0.59835439999999995</v>
      </c>
      <c r="F5587" t="s">
        <v>42</v>
      </c>
      <c r="G5587">
        <v>-220.43889999999999</v>
      </c>
      <c r="H5587" s="1">
        <v>-5.0106510000000003E-6</v>
      </c>
      <c r="I5587">
        <v>144.59979999999999</v>
      </c>
      <c r="J5587">
        <v>-201.11619999999999</v>
      </c>
      <c r="K5587">
        <v>1.1149450000000001</v>
      </c>
      <c r="L5587">
        <v>144.76859999999999</v>
      </c>
      <c r="M5587">
        <v>-0.87143189999999904</v>
      </c>
      <c r="N5587">
        <v>-8.1417850000000003E-3</v>
      </c>
      <c r="O5587">
        <v>-0.49044900000000002</v>
      </c>
      <c r="P5587">
        <v>-0.96237229999999996</v>
      </c>
      <c r="Q5587">
        <v>-8.2887660000000002E-2</v>
      </c>
      <c r="R5587">
        <v>-0.25878390000000001</v>
      </c>
      <c r="S5587">
        <v>-3.0992890000000002</v>
      </c>
      <c r="T5587">
        <v>-0.177177</v>
      </c>
      <c r="U5587">
        <v>-4.1046140000000002E-2</v>
      </c>
      <c r="V5587">
        <v>0.24549799999999999</v>
      </c>
      <c r="W5587">
        <v>-7.8208559999999996E-2</v>
      </c>
      <c r="X5587">
        <v>0.96623709999999996</v>
      </c>
      <c r="Y5587">
        <v>0.47746749999999999</v>
      </c>
      <c r="Z5587">
        <v>3.8479119999999999E-2</v>
      </c>
      <c r="AA5587">
        <v>0.87780639999999999</v>
      </c>
      <c r="AB5587">
        <v>18</v>
      </c>
      <c r="AC5587">
        <v>-19.322700000000001</v>
      </c>
      <c r="AD5587">
        <v>-1.114950010651</v>
      </c>
      <c r="AE5587">
        <v>-0.168800000000004</v>
      </c>
      <c r="AF5587">
        <v>9.2990515637990399</v>
      </c>
      <c r="AG5587">
        <v>-1.114950010651</v>
      </c>
      <c r="AH5587">
        <v>16.8656159860389</v>
      </c>
      <c r="AI5587">
        <v>93.313238051812405</v>
      </c>
      <c r="AJ5587">
        <v>61.129348942848701</v>
      </c>
      <c r="AK5587">
        <v>19.291564895077201</v>
      </c>
      <c r="AL5587">
        <v>94.485601159347198</v>
      </c>
      <c r="AM5587">
        <v>75.744149032459802</v>
      </c>
      <c r="AN5587">
        <v>0.999999990138841</v>
      </c>
    </row>
    <row r="5588" spans="1:40" x14ac:dyDescent="0.25">
      <c r="A5588" t="str">
        <f>"20190303153919080"</f>
        <v>20190303153919080</v>
      </c>
      <c r="B5588" t="str">
        <f>"1551598759074230"</f>
        <v>1551598759074230</v>
      </c>
      <c r="C5588" t="s">
        <v>40</v>
      </c>
      <c r="D5588">
        <v>5.070182</v>
      </c>
      <c r="E5588">
        <v>0.59720680000000004</v>
      </c>
      <c r="F5588" t="s">
        <v>42</v>
      </c>
      <c r="G5588">
        <v>-220.2021</v>
      </c>
      <c r="H5588" s="1">
        <v>-5.0969770000000001E-6</v>
      </c>
      <c r="I5588">
        <v>144.63220000000001</v>
      </c>
      <c r="J5588">
        <v>-201.2722</v>
      </c>
      <c r="K5588">
        <v>1.1148309999999999</v>
      </c>
      <c r="L5588">
        <v>144.6943</v>
      </c>
      <c r="M5588">
        <v>-0.87648139999999997</v>
      </c>
      <c r="N5588">
        <v>-7.6675049999999998E-3</v>
      </c>
      <c r="O5588">
        <v>-0.4813751</v>
      </c>
      <c r="P5588">
        <v>-0.96465500000000004</v>
      </c>
      <c r="Q5588">
        <v>-8.1432279999999996E-2</v>
      </c>
      <c r="R5588">
        <v>-0.25061860000000002</v>
      </c>
      <c r="S5588">
        <v>-3.0957789999999998</v>
      </c>
      <c r="T5588">
        <v>-0.18084749999999999</v>
      </c>
      <c r="U5588">
        <v>-2.210999E-2</v>
      </c>
      <c r="V5588">
        <v>0.2437127</v>
      </c>
      <c r="W5588">
        <v>-7.7227169999999998E-2</v>
      </c>
      <c r="X5588">
        <v>0.96676779999999995</v>
      </c>
      <c r="Y5588">
        <v>0.47364650000000003</v>
      </c>
      <c r="Z5588">
        <v>3.8988229999999999E-2</v>
      </c>
      <c r="AA5588">
        <v>0.87985159999999996</v>
      </c>
      <c r="AB5588">
        <v>18</v>
      </c>
      <c r="AC5588">
        <v>-18.9299</v>
      </c>
      <c r="AD5588">
        <v>-1.1148360969769999</v>
      </c>
      <c r="AE5588">
        <v>-6.2099999999986701E-2</v>
      </c>
      <c r="AF5588">
        <v>9.0269090494986397</v>
      </c>
      <c r="AG5588">
        <v>-1.1148360969769999</v>
      </c>
      <c r="AH5588">
        <v>16.564632105523899</v>
      </c>
      <c r="AI5588">
        <v>93.382064233064</v>
      </c>
      <c r="AJ5588">
        <v>61.411790631185703</v>
      </c>
      <c r="AK5588">
        <v>18.897486163572001</v>
      </c>
      <c r="AL5588">
        <v>94.429201252408404</v>
      </c>
      <c r="AM5588">
        <v>75.851096465230896</v>
      </c>
      <c r="AN5588">
        <v>0.99999994752216803</v>
      </c>
    </row>
    <row r="5589" spans="1:40" x14ac:dyDescent="0.25">
      <c r="A5589" t="str">
        <f>"20190303153919102"</f>
        <v>20190303153919102</v>
      </c>
      <c r="B5589" t="str">
        <f>"1551598759093749"</f>
        <v>1551598759093749</v>
      </c>
      <c r="C5589" t="s">
        <v>40</v>
      </c>
      <c r="D5589">
        <v>5.0656089999999896</v>
      </c>
      <c r="E5589">
        <v>0.59622200000000003</v>
      </c>
      <c r="F5589" t="s">
        <v>42</v>
      </c>
      <c r="G5589">
        <v>-220.30609999999999</v>
      </c>
      <c r="H5589" s="1">
        <v>-5.0678470000000002E-6</v>
      </c>
      <c r="I5589">
        <v>144.66749999999999</v>
      </c>
      <c r="J5589">
        <v>-201.43770000000001</v>
      </c>
      <c r="K5589">
        <v>1.114711</v>
      </c>
      <c r="L5589">
        <v>144.61770000000001</v>
      </c>
      <c r="M5589">
        <v>-0.88168939999999996</v>
      </c>
      <c r="N5589">
        <v>-7.1950629999999998E-3</v>
      </c>
      <c r="O5589">
        <v>-0.47177560000000002</v>
      </c>
      <c r="P5589">
        <v>-0.96698340000000005</v>
      </c>
      <c r="Q5589">
        <v>-8.2472470000000006E-2</v>
      </c>
      <c r="R5589">
        <v>-0.24112600000000001</v>
      </c>
      <c r="S5589">
        <v>-3.0935060000000001</v>
      </c>
      <c r="T5589">
        <v>-0.18119009999999999</v>
      </c>
      <c r="U5589">
        <v>-4.3487550000000002E-3</v>
      </c>
      <c r="V5589">
        <v>0.2425812</v>
      </c>
      <c r="W5589">
        <v>-7.8750870000000001E-2</v>
      </c>
      <c r="X5589">
        <v>0.9669295</v>
      </c>
      <c r="Y5589">
        <v>0.4690802</v>
      </c>
      <c r="Z5589">
        <v>3.8653819999999998E-2</v>
      </c>
      <c r="AA5589">
        <v>0.88230929999999996</v>
      </c>
      <c r="AB5589">
        <v>18</v>
      </c>
      <c r="AC5589">
        <v>-18.868399999999902</v>
      </c>
      <c r="AD5589">
        <v>-1.1147160678470001</v>
      </c>
      <c r="AE5589">
        <v>4.9799999999976301E-2</v>
      </c>
      <c r="AF5589">
        <v>8.9146752410088297</v>
      </c>
      <c r="AG5589">
        <v>-1.1147160678470001</v>
      </c>
      <c r="AH5589">
        <v>16.5552206470446</v>
      </c>
      <c r="AI5589">
        <v>93.392777939555401</v>
      </c>
      <c r="AJ5589">
        <v>61.6983704961143</v>
      </c>
      <c r="AK5589">
        <v>18.835852973436101</v>
      </c>
      <c r="AL5589">
        <v>94.516769330215098</v>
      </c>
      <c r="AM5589">
        <v>75.916427540565195</v>
      </c>
      <c r="AN5589">
        <v>0.99999999804472295</v>
      </c>
    </row>
    <row r="5590" spans="1:40" x14ac:dyDescent="0.25">
      <c r="A5590" t="str">
        <f>"20190303153919124"</f>
        <v>20190303153919124</v>
      </c>
      <c r="B5590" t="str">
        <f>"1551598759114245"</f>
        <v>1551598759114245</v>
      </c>
      <c r="C5590" t="s">
        <v>40</v>
      </c>
      <c r="D5590">
        <v>5.0943959999999997</v>
      </c>
      <c r="E5590">
        <v>0.59533610000000003</v>
      </c>
      <c r="F5590" t="s">
        <v>42</v>
      </c>
      <c r="G5590">
        <v>-219.6994</v>
      </c>
      <c r="H5590" s="1">
        <v>-1.4824749999999999E-6</v>
      </c>
      <c r="I5590">
        <v>144.72739999999999</v>
      </c>
      <c r="J5590">
        <v>-201.61109999999999</v>
      </c>
      <c r="K5590">
        <v>1.1145879999999999</v>
      </c>
      <c r="L5590">
        <v>144.5395</v>
      </c>
      <c r="M5590">
        <v>-0.88699450000000002</v>
      </c>
      <c r="N5590">
        <v>-6.7235439999999997E-3</v>
      </c>
      <c r="O5590">
        <v>-0.46173110000000001</v>
      </c>
      <c r="P5590">
        <v>-0.96919250000000001</v>
      </c>
      <c r="Q5590">
        <v>-8.4256429999999993E-2</v>
      </c>
      <c r="R5590">
        <v>-0.23144509999999999</v>
      </c>
      <c r="S5590">
        <v>-3.0909580000000001</v>
      </c>
      <c r="T5590">
        <v>-0.18867410000000001</v>
      </c>
      <c r="U5590">
        <v>1.8569950000000002E-2</v>
      </c>
      <c r="V5590">
        <v>0.2411519</v>
      </c>
      <c r="W5590">
        <v>-8.10115E-2</v>
      </c>
      <c r="X5590">
        <v>0.96710030000000002</v>
      </c>
      <c r="Y5590">
        <v>0.4654759</v>
      </c>
      <c r="Z5590">
        <v>3.9889790000000001E-2</v>
      </c>
      <c r="AA5590">
        <v>0.88416119999999898</v>
      </c>
      <c r="AB5590">
        <v>18</v>
      </c>
      <c r="AC5590">
        <v>-18.0883</v>
      </c>
      <c r="AD5590">
        <v>-1.114589482475</v>
      </c>
      <c r="AE5590">
        <v>0.187899999999984</v>
      </c>
      <c r="AF5590">
        <v>8.4865696624325793</v>
      </c>
      <c r="AG5590">
        <v>-1.114589482475</v>
      </c>
      <c r="AH5590">
        <v>15.897468269178299</v>
      </c>
      <c r="AI5590">
        <v>93.539233469713906</v>
      </c>
      <c r="AJ5590">
        <v>61.905294795009802</v>
      </c>
      <c r="AK5590">
        <v>18.055294838891299</v>
      </c>
      <c r="AL5590">
        <v>94.646708929574203</v>
      </c>
      <c r="AM5590">
        <v>75.998509987887601</v>
      </c>
      <c r="AN5590">
        <v>1.0000000461329701</v>
      </c>
    </row>
    <row r="5591" spans="1:40" x14ac:dyDescent="0.25">
      <c r="A5591" t="str">
        <f>"20190303153919147"</f>
        <v>20190303153919147</v>
      </c>
      <c r="B5591" t="str">
        <f>"1551598759144502"</f>
        <v>1551598759144502</v>
      </c>
      <c r="C5591" t="s">
        <v>40</v>
      </c>
      <c r="D5591">
        <v>5.0498190000000003</v>
      </c>
      <c r="E5591">
        <v>0.594365699999999</v>
      </c>
      <c r="F5591" t="s">
        <v>42</v>
      </c>
      <c r="G5591">
        <v>-218.96260000000001</v>
      </c>
      <c r="H5591" s="1">
        <v>-1.844848E-6</v>
      </c>
      <c r="I5591">
        <v>144.78020000000001</v>
      </c>
      <c r="J5591">
        <v>-201.79060000000001</v>
      </c>
      <c r="K5591">
        <v>1.114465</v>
      </c>
      <c r="L5591">
        <v>144.46090000000001</v>
      </c>
      <c r="M5591">
        <v>-0.89231959999999999</v>
      </c>
      <c r="N5591">
        <v>-6.2503530000000002E-3</v>
      </c>
      <c r="O5591">
        <v>-0.45136110000000002</v>
      </c>
      <c r="P5591">
        <v>-0.97124549999999998</v>
      </c>
      <c r="Q5591">
        <v>-8.5989189999999993E-2</v>
      </c>
      <c r="R5591">
        <v>-0.22200990000000001</v>
      </c>
      <c r="S5591">
        <v>-3.0883479999999999</v>
      </c>
      <c r="T5591">
        <v>-0.19838359999999999</v>
      </c>
      <c r="U5591">
        <v>4.2831420000000002E-2</v>
      </c>
      <c r="V5591">
        <v>0.23917169999999999</v>
      </c>
      <c r="W5591">
        <v>-8.3211300000000002E-2</v>
      </c>
      <c r="X5591">
        <v>0.96740519999999997</v>
      </c>
      <c r="Y5591">
        <v>0.46195370000000002</v>
      </c>
      <c r="Z5591">
        <v>4.1530369999999997E-2</v>
      </c>
      <c r="AA5591">
        <v>0.88593120000000003</v>
      </c>
      <c r="AB5591">
        <v>18</v>
      </c>
      <c r="AC5591">
        <v>-17.171999999999901</v>
      </c>
      <c r="AD5591">
        <v>-1.114466844848</v>
      </c>
      <c r="AE5591">
        <v>0.31929999999999797</v>
      </c>
      <c r="AF5591">
        <v>8.0021529679336201</v>
      </c>
      <c r="AG5591">
        <v>-1.114466844848</v>
      </c>
      <c r="AH5591">
        <v>15.115442869800299</v>
      </c>
      <c r="AI5591">
        <v>93.728250417250806</v>
      </c>
      <c r="AJ5591">
        <v>62.103144407780597</v>
      </c>
      <c r="AK5591">
        <v>17.1392269843383</v>
      </c>
      <c r="AL5591">
        <v>94.773175379109304</v>
      </c>
      <c r="AM5591">
        <v>76.1132208065778</v>
      </c>
      <c r="AN5591">
        <v>1.0000000217578</v>
      </c>
    </row>
    <row r="5592" spans="1:40" x14ac:dyDescent="0.25">
      <c r="A5592" t="str">
        <f>"20190303153919167"</f>
        <v>20190303153919167</v>
      </c>
      <c r="B5592" t="str">
        <f>"1551598759164022"</f>
        <v>1551598759164022</v>
      </c>
      <c r="C5592" t="s">
        <v>40</v>
      </c>
      <c r="D5592">
        <v>5.1022480000000003</v>
      </c>
      <c r="E5592">
        <v>0.59366799999999997</v>
      </c>
      <c r="F5592" t="s">
        <v>42</v>
      </c>
      <c r="G5592">
        <v>-218.68719999999999</v>
      </c>
      <c r="H5592" s="1">
        <v>-1.985012E-6</v>
      </c>
      <c r="I5592">
        <v>144.8177</v>
      </c>
      <c r="J5592">
        <v>-201.959</v>
      </c>
      <c r="K5592">
        <v>1.1143590000000001</v>
      </c>
      <c r="L5592">
        <v>144.38939999999999</v>
      </c>
      <c r="M5592">
        <v>-0.89716249999999997</v>
      </c>
      <c r="N5592">
        <v>-5.8123569999999998E-3</v>
      </c>
      <c r="O5592">
        <v>-0.44166270000000002</v>
      </c>
      <c r="P5592">
        <v>-0.97291170000000005</v>
      </c>
      <c r="Q5592">
        <v>-8.7115339999999999E-2</v>
      </c>
      <c r="R5592">
        <v>-0.2141362</v>
      </c>
      <c r="S5592">
        <v>-3.085693</v>
      </c>
      <c r="T5592">
        <v>-0.20352690000000001</v>
      </c>
      <c r="U5592">
        <v>6.5155030000000003E-2</v>
      </c>
      <c r="V5592">
        <v>0.23644380000000001</v>
      </c>
      <c r="W5592">
        <v>-8.475299E-2</v>
      </c>
      <c r="X5592">
        <v>0.96794179999999996</v>
      </c>
      <c r="Y5592">
        <v>0.45868199999999998</v>
      </c>
      <c r="Z5592">
        <v>4.2153719999999999E-2</v>
      </c>
      <c r="AA5592">
        <v>0.8876001</v>
      </c>
      <c r="AB5592">
        <v>19</v>
      </c>
      <c r="AC5592">
        <v>-16.728199999999902</v>
      </c>
      <c r="AD5592">
        <v>-1.114360985012</v>
      </c>
      <c r="AE5592">
        <v>0.42830000000000701</v>
      </c>
      <c r="AF5592">
        <v>7.7382895502029996</v>
      </c>
      <c r="AG5592">
        <v>-1.114360985012</v>
      </c>
      <c r="AH5592">
        <v>14.7535695414731</v>
      </c>
      <c r="AI5592">
        <v>93.826769423383496</v>
      </c>
      <c r="AJ5592">
        <v>62.322860828052903</v>
      </c>
      <c r="AK5592">
        <v>16.697027872731699</v>
      </c>
      <c r="AL5592">
        <v>94.861820818222398</v>
      </c>
      <c r="AM5592">
        <v>76.272903336167403</v>
      </c>
      <c r="AN5592">
        <v>1.0000000340298001</v>
      </c>
    </row>
    <row r="5593" spans="1:40" x14ac:dyDescent="0.25">
      <c r="A5593" t="str">
        <f>"20190303153919189"</f>
        <v>20190303153919189</v>
      </c>
      <c r="B5593" t="str">
        <f>"1551598759184517"</f>
        <v>1551598759184517</v>
      </c>
      <c r="C5593" t="s">
        <v>40</v>
      </c>
      <c r="D5593">
        <v>5.0341239999999896</v>
      </c>
      <c r="E5593">
        <v>0.59314060000000002</v>
      </c>
      <c r="F5593" t="s">
        <v>42</v>
      </c>
      <c r="G5593">
        <v>-218.58240000000001</v>
      </c>
      <c r="H5593" s="1">
        <v>-2.0419810000000002E-6</v>
      </c>
      <c r="I5593">
        <v>144.84559999999999</v>
      </c>
      <c r="J5593">
        <v>-202.1318</v>
      </c>
      <c r="K5593">
        <v>1.114255</v>
      </c>
      <c r="L5593">
        <v>144.31799999999899</v>
      </c>
      <c r="M5593">
        <v>-0.90197890000000003</v>
      </c>
      <c r="N5593">
        <v>-5.3666399999999998E-3</v>
      </c>
      <c r="O5593">
        <v>-0.43174689999999999</v>
      </c>
      <c r="P5593">
        <v>-0.97449200000000002</v>
      </c>
      <c r="Q5593">
        <v>-8.6675409999999994E-2</v>
      </c>
      <c r="R5593">
        <v>-0.20700959999999999</v>
      </c>
      <c r="S5593">
        <v>-3.0836489999999999</v>
      </c>
      <c r="T5593">
        <v>-0.20671419999999999</v>
      </c>
      <c r="U5593">
        <v>8.4640499999999994E-2</v>
      </c>
      <c r="V5593">
        <v>0.23286490000000001</v>
      </c>
      <c r="W5593">
        <v>-8.4719749999999996E-2</v>
      </c>
      <c r="X5593">
        <v>0.96881189999999995</v>
      </c>
      <c r="Y5593">
        <v>0.45446710000000001</v>
      </c>
      <c r="Z5593">
        <v>4.2265320000000002E-2</v>
      </c>
      <c r="AA5593">
        <v>0.88976029999999995</v>
      </c>
      <c r="AB5593">
        <v>19</v>
      </c>
      <c r="AC5593">
        <v>-16.450600000000001</v>
      </c>
      <c r="AD5593">
        <v>-1.1142570419810001</v>
      </c>
      <c r="AE5593">
        <v>0.52760000000000595</v>
      </c>
      <c r="AF5593">
        <v>7.5439136627858101</v>
      </c>
      <c r="AG5593">
        <v>-1.1142570419810001</v>
      </c>
      <c r="AH5593">
        <v>14.5438577514477</v>
      </c>
      <c r="AI5593">
        <v>93.890636689798001</v>
      </c>
      <c r="AJ5593">
        <v>62.584184855856897</v>
      </c>
      <c r="AK5593">
        <v>16.421814771867201</v>
      </c>
      <c r="AL5593">
        <v>94.859909609388694</v>
      </c>
      <c r="AM5593">
        <v>76.484694109347799</v>
      </c>
      <c r="AN5593">
        <v>0.999999997636841</v>
      </c>
    </row>
    <row r="5594" spans="1:40" x14ac:dyDescent="0.25">
      <c r="A5594" t="str">
        <f>"20190303153919212"</f>
        <v>20190303153919212</v>
      </c>
      <c r="B5594" t="str">
        <f>"1551598759204038"</f>
        <v>1551598759204038</v>
      </c>
      <c r="C5594" t="s">
        <v>40</v>
      </c>
      <c r="D5594">
        <v>5.0765029999999998</v>
      </c>
      <c r="E5594">
        <v>0.59250190000000003</v>
      </c>
      <c r="F5594" t="s">
        <v>42</v>
      </c>
      <c r="G5594">
        <v>-218.9374</v>
      </c>
      <c r="H5594" s="1">
        <v>-1.8831710000000001E-6</v>
      </c>
      <c r="I5594">
        <v>144.87950000000001</v>
      </c>
      <c r="J5594">
        <v>-202.321</v>
      </c>
      <c r="K5594">
        <v>1.114152</v>
      </c>
      <c r="L5594">
        <v>144.2422</v>
      </c>
      <c r="M5594">
        <v>-0.90705499999999994</v>
      </c>
      <c r="N5594">
        <v>-4.8947319999999997E-3</v>
      </c>
      <c r="O5594">
        <v>-0.42098409999999897</v>
      </c>
      <c r="P5594">
        <v>-0.97633619999999999</v>
      </c>
      <c r="Q5594">
        <v>-8.5178260000000006E-2</v>
      </c>
      <c r="R5594">
        <v>-0.19877729999999999</v>
      </c>
      <c r="S5594">
        <v>-3.082214</v>
      </c>
      <c r="T5594">
        <v>-0.2043595</v>
      </c>
      <c r="U5594">
        <v>0.10298160000000001</v>
      </c>
      <c r="V5594">
        <v>0.22957350000000001</v>
      </c>
      <c r="W5594">
        <v>-8.3657090000000003E-2</v>
      </c>
      <c r="X5594">
        <v>0.96968940000000003</v>
      </c>
      <c r="Y5594">
        <v>0.44923570000000002</v>
      </c>
      <c r="Z5594">
        <v>4.1112040000000002E-2</v>
      </c>
      <c r="AA5594">
        <v>0.89246689999999995</v>
      </c>
      <c r="AB5594">
        <v>19</v>
      </c>
      <c r="AC5594">
        <v>-16.616399999999999</v>
      </c>
      <c r="AD5594">
        <v>-1.1141538831710001</v>
      </c>
      <c r="AE5594">
        <v>0.63730000000000997</v>
      </c>
      <c r="AF5594">
        <v>7.53954851831433</v>
      </c>
      <c r="AG5594">
        <v>-1.1141538831710001</v>
      </c>
      <c r="AH5594">
        <v>14.7377084153089</v>
      </c>
      <c r="AI5594">
        <v>93.850370653181102</v>
      </c>
      <c r="AJ5594">
        <v>62.906525456817803</v>
      </c>
      <c r="AK5594">
        <v>16.591750361853499</v>
      </c>
      <c r="AL5594">
        <v>94.798806658185597</v>
      </c>
      <c r="AM5594">
        <v>76.680491826948796</v>
      </c>
      <c r="AN5594">
        <v>1.00000001654093</v>
      </c>
    </row>
    <row r="5595" spans="1:40" x14ac:dyDescent="0.25">
      <c r="A5595" t="str">
        <f>"20190303153919234"</f>
        <v>20190303153919234</v>
      </c>
      <c r="B5595" t="str">
        <f>"1551598759224534"</f>
        <v>1551598759224534</v>
      </c>
      <c r="C5595" t="s">
        <v>40</v>
      </c>
      <c r="D5595">
        <v>5.0566839999999997</v>
      </c>
      <c r="E5595">
        <v>0.59223959999999998</v>
      </c>
      <c r="F5595" t="s">
        <v>42</v>
      </c>
      <c r="G5595">
        <v>-219.47229999999999</v>
      </c>
      <c r="H5595" s="1">
        <v>-1.6445530000000001E-6</v>
      </c>
      <c r="I5595">
        <v>144.93289999999999</v>
      </c>
      <c r="J5595">
        <v>-202.50810000000001</v>
      </c>
      <c r="K5595">
        <v>1.1140620000000001</v>
      </c>
      <c r="L5595">
        <v>144.16970000000001</v>
      </c>
      <c r="M5595">
        <v>-0.91186829999999996</v>
      </c>
      <c r="N5595">
        <v>-4.4569809999999996E-3</v>
      </c>
      <c r="O5595">
        <v>-0.41045900000000002</v>
      </c>
      <c r="P5595">
        <v>-0.97806839999999995</v>
      </c>
      <c r="Q5595">
        <v>-8.2697999999999994E-2</v>
      </c>
      <c r="R5595">
        <v>-0.19116379999999999</v>
      </c>
      <c r="S5595">
        <v>-3.0805210000000001</v>
      </c>
      <c r="T5595">
        <v>-0.20011190000000001</v>
      </c>
      <c r="U5595">
        <v>0.124054</v>
      </c>
      <c r="V5595">
        <v>0.22601450000000001</v>
      </c>
      <c r="W5595">
        <v>-8.1569820000000001E-2</v>
      </c>
      <c r="X5595">
        <v>0.97070270000000003</v>
      </c>
      <c r="Y5595">
        <v>0.4451077</v>
      </c>
      <c r="Z5595">
        <v>3.9629890000000001E-2</v>
      </c>
      <c r="AA5595">
        <v>0.894599699999999</v>
      </c>
      <c r="AB5595">
        <v>19</v>
      </c>
      <c r="AC5595">
        <v>-16.964199999999899</v>
      </c>
      <c r="AD5595">
        <v>-1.1140636445530001</v>
      </c>
      <c r="AE5595">
        <v>0.763199999999983</v>
      </c>
      <c r="AF5595">
        <v>7.62629776199514</v>
      </c>
      <c r="AG5595">
        <v>-1.1140636445530001</v>
      </c>
      <c r="AH5595">
        <v>15.0910502258559</v>
      </c>
      <c r="AI5595">
        <v>93.769624800952201</v>
      </c>
      <c r="AJ5595">
        <v>63.190140582019403</v>
      </c>
      <c r="AK5595">
        <v>16.945245713120599</v>
      </c>
      <c r="AL5595">
        <v>94.678804930828704</v>
      </c>
      <c r="AM5595">
        <v>76.893006366586704</v>
      </c>
      <c r="AN5595">
        <v>0.99999996076618503</v>
      </c>
    </row>
    <row r="5596" spans="1:40" x14ac:dyDescent="0.25">
      <c r="A5596" t="str">
        <f>"20190303153919258"</f>
        <v>20190303153919258</v>
      </c>
      <c r="B5596" t="str">
        <f>"1551598759253813"</f>
        <v>1551598759253813</v>
      </c>
      <c r="C5596" t="s">
        <v>40</v>
      </c>
      <c r="D5596">
        <v>5.0403539999999998</v>
      </c>
      <c r="E5596">
        <v>0.59170159999999905</v>
      </c>
      <c r="F5596" t="s">
        <v>42</v>
      </c>
      <c r="G5596">
        <v>-220.43870000000001</v>
      </c>
      <c r="H5596" s="1">
        <v>-5.0851440000000002E-6</v>
      </c>
      <c r="I5596">
        <v>145.01929999999999</v>
      </c>
      <c r="J5596">
        <v>-202.7047</v>
      </c>
      <c r="K5596">
        <v>1.1139680000000001</v>
      </c>
      <c r="L5596">
        <v>144.0958</v>
      </c>
      <c r="M5596">
        <v>-0.91670220000000002</v>
      </c>
      <c r="N5596">
        <v>-4.0356339999999997E-3</v>
      </c>
      <c r="O5596">
        <v>-0.39955109999999999</v>
      </c>
      <c r="P5596">
        <v>-0.97970840000000003</v>
      </c>
      <c r="Q5596">
        <v>-8.1335190000000002E-2</v>
      </c>
      <c r="R5596">
        <v>-0.1831846</v>
      </c>
      <c r="S5596">
        <v>-3.0796199999999998</v>
      </c>
      <c r="T5596">
        <v>-0.1913445</v>
      </c>
      <c r="U5596">
        <v>0.14593510000000001</v>
      </c>
      <c r="V5596">
        <v>0.22239600000000001</v>
      </c>
      <c r="W5596">
        <v>-8.058572E-2</v>
      </c>
      <c r="X5596">
        <v>0.97162029999999999</v>
      </c>
      <c r="Y5596">
        <v>0.44095050000000002</v>
      </c>
      <c r="Z5596">
        <v>3.7234690000000001E-2</v>
      </c>
      <c r="AA5596">
        <v>0.89675869999999902</v>
      </c>
      <c r="AB5596">
        <v>20</v>
      </c>
      <c r="AC5596">
        <v>-17.734000000000002</v>
      </c>
      <c r="AD5596">
        <v>-1.113973085144</v>
      </c>
      <c r="AE5596">
        <v>0.92349999999999</v>
      </c>
      <c r="AF5596">
        <v>7.90118488294583</v>
      </c>
      <c r="AG5596">
        <v>-1.113973085144</v>
      </c>
      <c r="AH5596">
        <v>15.8256622893869</v>
      </c>
      <c r="AI5596">
        <v>93.603587209622503</v>
      </c>
      <c r="AJ5596">
        <v>63.468690376982003</v>
      </c>
      <c r="AK5596">
        <v>17.723465955806699</v>
      </c>
      <c r="AL5596">
        <v>94.622233615945106</v>
      </c>
      <c r="AM5596">
        <v>77.107550595212402</v>
      </c>
      <c r="AN5596">
        <v>1.000000023228</v>
      </c>
    </row>
    <row r="5597" spans="1:40" x14ac:dyDescent="0.25">
      <c r="A5597" t="str">
        <f>"20190303153919282"</f>
        <v>20190303153919282</v>
      </c>
      <c r="B5597" t="str">
        <f>"1551598759274310"</f>
        <v>1551598759274310</v>
      </c>
      <c r="C5597" t="s">
        <v>40</v>
      </c>
      <c r="D5597">
        <v>5.1249399999999996</v>
      </c>
      <c r="E5597">
        <v>0.59154649999999998</v>
      </c>
      <c r="F5597" t="s">
        <v>42</v>
      </c>
      <c r="G5597">
        <v>-221.1155</v>
      </c>
      <c r="H5597" s="1">
        <v>-4.8680550000000003E-6</v>
      </c>
      <c r="I5597">
        <v>145.09399999999999</v>
      </c>
      <c r="J5597">
        <v>-202.905</v>
      </c>
      <c r="K5597">
        <v>1.1138699999999999</v>
      </c>
      <c r="L5597">
        <v>144.023</v>
      </c>
      <c r="M5597">
        <v>-0.92139439999999995</v>
      </c>
      <c r="N5597">
        <v>-3.6464090000000002E-3</v>
      </c>
      <c r="O5597">
        <v>-0.3886117</v>
      </c>
      <c r="P5597">
        <v>-0.98110710000000001</v>
      </c>
      <c r="Q5597">
        <v>-8.1718120000000005E-2</v>
      </c>
      <c r="R5597">
        <v>-0.17536009999999999</v>
      </c>
      <c r="S5597">
        <v>-3.077896</v>
      </c>
      <c r="T5597">
        <v>-0.18623219999999999</v>
      </c>
      <c r="U5597">
        <v>0.16688539999999999</v>
      </c>
      <c r="V5597">
        <v>0.2185542</v>
      </c>
      <c r="W5597">
        <v>-8.1309290000000006E-2</v>
      </c>
      <c r="X5597">
        <v>0.97243139999999995</v>
      </c>
      <c r="Y5597">
        <v>0.43648310000000001</v>
      </c>
      <c r="Z5597">
        <v>3.5596559999999999E-2</v>
      </c>
      <c r="AA5597">
        <v>0.89900800000000003</v>
      </c>
      <c r="AB5597">
        <v>20</v>
      </c>
      <c r="AC5597">
        <v>-18.2105</v>
      </c>
      <c r="AD5597">
        <v>-1.1138748680549999</v>
      </c>
      <c r="AE5597">
        <v>1.07099999999999</v>
      </c>
      <c r="AF5597">
        <v>8.0337269843252805</v>
      </c>
      <c r="AG5597">
        <v>-1.1138748680549999</v>
      </c>
      <c r="AH5597">
        <v>16.302176442758501</v>
      </c>
      <c r="AI5597">
        <v>93.507201489562803</v>
      </c>
      <c r="AJ5597">
        <v>63.765881229545897</v>
      </c>
      <c r="AK5597">
        <v>18.208306984758099</v>
      </c>
      <c r="AL5597">
        <v>94.663827805809305</v>
      </c>
      <c r="AM5597">
        <v>77.333237354118097</v>
      </c>
      <c r="AN5597">
        <v>0.99999998334195095</v>
      </c>
    </row>
    <row r="5598" spans="1:40" x14ac:dyDescent="0.25">
      <c r="A5598" t="str">
        <f>"20190303153919304"</f>
        <v>20190303153919304</v>
      </c>
      <c r="B5598" t="str">
        <f>"1551598759293830"</f>
        <v>1551598759293830</v>
      </c>
      <c r="C5598" t="s">
        <v>40</v>
      </c>
      <c r="D5598">
        <v>5.0243039999999999</v>
      </c>
      <c r="E5598">
        <v>0.59133649999999904</v>
      </c>
      <c r="F5598" t="s">
        <v>42</v>
      </c>
      <c r="G5598">
        <v>-221.34100000000001</v>
      </c>
      <c r="H5598" s="1">
        <v>-4.8033719999999997E-6</v>
      </c>
      <c r="I5598">
        <v>145.1619</v>
      </c>
      <c r="J5598">
        <v>-203.10659999999999</v>
      </c>
      <c r="K5598">
        <v>1.113799</v>
      </c>
      <c r="L5598">
        <v>143.9521</v>
      </c>
      <c r="M5598">
        <v>-0.92587540000000002</v>
      </c>
      <c r="N5598">
        <v>-3.293289E-3</v>
      </c>
      <c r="O5598">
        <v>-0.3778145</v>
      </c>
      <c r="P5598">
        <v>-0.98207940000000005</v>
      </c>
      <c r="Q5598">
        <v>-8.3695679999999995E-2</v>
      </c>
      <c r="R5598">
        <v>-0.16886309999999999</v>
      </c>
      <c r="S5598">
        <v>-3.076263</v>
      </c>
      <c r="T5598">
        <v>-0.1858629</v>
      </c>
      <c r="U5598">
        <v>0.1900482</v>
      </c>
      <c r="V5598">
        <v>0.21352170000000001</v>
      </c>
      <c r="W5598">
        <v>-8.3563280000000004E-2</v>
      </c>
      <c r="X5598">
        <v>0.9733579</v>
      </c>
      <c r="Y5598">
        <v>0.43276550000000003</v>
      </c>
      <c r="Z5598">
        <v>3.4913149999999997E-2</v>
      </c>
      <c r="AA5598">
        <v>0.90083029999999997</v>
      </c>
      <c r="AB5598">
        <v>20</v>
      </c>
      <c r="AC5598">
        <v>-18.234399999999901</v>
      </c>
      <c r="AD5598">
        <v>-1.1138038033719999</v>
      </c>
      <c r="AE5598">
        <v>1.2098</v>
      </c>
      <c r="AF5598">
        <v>7.9797460407316301</v>
      </c>
      <c r="AG5598">
        <v>-1.1138038033719999</v>
      </c>
      <c r="AH5598">
        <v>16.3650008113387</v>
      </c>
      <c r="AI5598">
        <v>93.500704785692406</v>
      </c>
      <c r="AJ5598">
        <v>64.005651706758897</v>
      </c>
      <c r="AK5598">
        <v>18.2408924491675</v>
      </c>
      <c r="AL5598">
        <v>94.793413079508397</v>
      </c>
      <c r="AM5598">
        <v>77.627230631437598</v>
      </c>
      <c r="AN5598">
        <v>0.99999996981382799</v>
      </c>
    </row>
    <row r="5599" spans="1:40" x14ac:dyDescent="0.25">
      <c r="A5599" t="str">
        <f>"20190303153919326"</f>
        <v>20190303153919326</v>
      </c>
      <c r="B5599" t="str">
        <f>"1551598759314325"</f>
        <v>1551598759314325</v>
      </c>
      <c r="C5599" t="s">
        <v>40</v>
      </c>
      <c r="D5599">
        <v>4.99268</v>
      </c>
      <c r="E5599">
        <v>0.59107349999999903</v>
      </c>
      <c r="F5599" t="s">
        <v>42</v>
      </c>
      <c r="G5599">
        <v>-221.0813</v>
      </c>
      <c r="H5599" s="1">
        <v>-4.8933960000000003E-6</v>
      </c>
      <c r="I5599">
        <v>145.1712</v>
      </c>
      <c r="J5599">
        <v>-203.30019999999999</v>
      </c>
      <c r="K5599">
        <v>1.1137649999999999</v>
      </c>
      <c r="L5599">
        <v>143.8862</v>
      </c>
      <c r="M5599">
        <v>-0.92994250000000001</v>
      </c>
      <c r="N5599">
        <v>-2.992771E-3</v>
      </c>
      <c r="O5599">
        <v>-0.36769279999999999</v>
      </c>
      <c r="P5599">
        <v>-0.9829232</v>
      </c>
      <c r="Q5599">
        <v>-8.5662829999999995E-2</v>
      </c>
      <c r="R5599">
        <v>-0.1628616</v>
      </c>
      <c r="S5599">
        <v>-3.074341</v>
      </c>
      <c r="T5599">
        <v>-0.19050239999999999</v>
      </c>
      <c r="U5599">
        <v>0.20852660000000001</v>
      </c>
      <c r="V5599">
        <v>0.2087569</v>
      </c>
      <c r="W5599">
        <v>-8.574445E-2</v>
      </c>
      <c r="X5599">
        <v>0.9742014</v>
      </c>
      <c r="Y5599">
        <v>0.42830760000000001</v>
      </c>
      <c r="Z5599">
        <v>3.5164180000000003E-2</v>
      </c>
      <c r="AA5599">
        <v>0.90294859999999999</v>
      </c>
      <c r="AB5599">
        <v>20</v>
      </c>
      <c r="AC5599">
        <v>-17.781099999999999</v>
      </c>
      <c r="AD5599">
        <v>-1.1137698933960001</v>
      </c>
      <c r="AE5599">
        <v>1.2849999999999899</v>
      </c>
      <c r="AF5599">
        <v>7.7029277501650997</v>
      </c>
      <c r="AG5599">
        <v>-1.1137698933960001</v>
      </c>
      <c r="AH5599">
        <v>16.000535289837401</v>
      </c>
      <c r="AI5599">
        <v>93.588819958952101</v>
      </c>
      <c r="AJ5599">
        <v>64.293051179769606</v>
      </c>
      <c r="AK5599">
        <v>17.793052263763901</v>
      </c>
      <c r="AL5599">
        <v>94.918835200942794</v>
      </c>
      <c r="AM5599">
        <v>77.905273448411506</v>
      </c>
      <c r="AN5599">
        <v>0.99999996088268495</v>
      </c>
    </row>
    <row r="5600" spans="1:40" x14ac:dyDescent="0.25">
      <c r="A5600" t="str">
        <f>"20190303153919349"</f>
        <v>20190303153919349</v>
      </c>
      <c r="B5600" t="str">
        <f>"1551598759344582"</f>
        <v>1551598759344582</v>
      </c>
      <c r="C5600" t="s">
        <v>40</v>
      </c>
      <c r="D5600">
        <v>5.0580600000000002</v>
      </c>
      <c r="E5600">
        <v>0.59052289999999996</v>
      </c>
      <c r="F5600" t="s">
        <v>42</v>
      </c>
      <c r="G5600">
        <v>-220.88339999999999</v>
      </c>
      <c r="H5600" s="1">
        <v>-4.9612519999999998E-6</v>
      </c>
      <c r="I5600">
        <v>145.17410000000001</v>
      </c>
      <c r="J5600">
        <v>-203.50960000000001</v>
      </c>
      <c r="K5600">
        <v>1.113775</v>
      </c>
      <c r="L5600">
        <v>143.81710000000001</v>
      </c>
      <c r="M5600">
        <v>-0.93409030000000004</v>
      </c>
      <c r="N5600">
        <v>-2.7172960000000001E-3</v>
      </c>
      <c r="O5600">
        <v>-0.35702699999999998</v>
      </c>
      <c r="P5600">
        <v>-0.98392369999999996</v>
      </c>
      <c r="Q5600">
        <v>-8.7100579999999997E-2</v>
      </c>
      <c r="R5600">
        <v>-0.1559101</v>
      </c>
      <c r="S5600">
        <v>-3.0724640000000001</v>
      </c>
      <c r="T5600">
        <v>-0.19461829999999999</v>
      </c>
      <c r="U5600">
        <v>0.22506709999999999</v>
      </c>
      <c r="V5600">
        <v>0.2044339</v>
      </c>
      <c r="W5600">
        <v>-8.7363469999999999E-2</v>
      </c>
      <c r="X5600">
        <v>0.97497400000000001</v>
      </c>
      <c r="Y5600">
        <v>0.42280059999999903</v>
      </c>
      <c r="Z5600">
        <v>3.5205449999999999E-2</v>
      </c>
      <c r="AA5600">
        <v>0.90553859999999997</v>
      </c>
      <c r="AB5600">
        <v>20</v>
      </c>
      <c r="AC5600">
        <v>-17.3737999999999</v>
      </c>
      <c r="AD5600">
        <v>-1.1137799612520001</v>
      </c>
      <c r="AE5600">
        <v>1.35699999999999</v>
      </c>
      <c r="AF5600">
        <v>7.4401113436516502</v>
      </c>
      <c r="AG5600">
        <v>-1.1137799612520001</v>
      </c>
      <c r="AH5600">
        <v>15.6802176708684</v>
      </c>
      <c r="AI5600">
        <v>93.671823421282795</v>
      </c>
      <c r="AJ5600">
        <v>64.616113693953594</v>
      </c>
      <c r="AK5600">
        <v>17.391520600966199</v>
      </c>
      <c r="AL5600">
        <v>95.011947728419898</v>
      </c>
      <c r="AM5600">
        <v>78.157706163351307</v>
      </c>
      <c r="AN5600">
        <v>0.99999994801782399</v>
      </c>
    </row>
    <row r="5601" spans="1:40" x14ac:dyDescent="0.25">
      <c r="A5601" t="str">
        <f>"20190303153919368"</f>
        <v>20190303153919368</v>
      </c>
      <c r="B5601" t="str">
        <f>"1551598759364102"</f>
        <v>1551598759364102</v>
      </c>
      <c r="C5601" t="s">
        <v>40</v>
      </c>
      <c r="D5601">
        <v>5.0840199999999998</v>
      </c>
      <c r="E5601">
        <v>0.55144789999999999</v>
      </c>
      <c r="F5601" t="s">
        <v>42</v>
      </c>
      <c r="G5601">
        <v>-220.77070000000001</v>
      </c>
      <c r="H5601" s="1">
        <v>-5.0006050000000004E-6</v>
      </c>
      <c r="I5601">
        <v>145.17959999999999</v>
      </c>
      <c r="J5601">
        <v>-203.6885</v>
      </c>
      <c r="K5601">
        <v>1.113802</v>
      </c>
      <c r="L5601">
        <v>143.76</v>
      </c>
      <c r="M5601">
        <v>-0.93742499999999995</v>
      </c>
      <c r="N5601">
        <v>-2.5314600000000001E-3</v>
      </c>
      <c r="O5601">
        <v>-0.34817809999999999</v>
      </c>
      <c r="P5601">
        <v>-0.98426259999999999</v>
      </c>
      <c r="Q5601">
        <v>-8.9787530000000004E-2</v>
      </c>
      <c r="R5601">
        <v>-0.1522019</v>
      </c>
      <c r="S5601">
        <v>-3.0699010000000002</v>
      </c>
      <c r="T5601">
        <v>-0.19808709999999999</v>
      </c>
      <c r="U5601">
        <v>0.24232480000000001</v>
      </c>
      <c r="V5601">
        <v>0.19877400000000001</v>
      </c>
      <c r="W5601">
        <v>-9.012117E-2</v>
      </c>
      <c r="X5601">
        <v>0.97589300000000001</v>
      </c>
      <c r="Y5601">
        <v>0.41931489999999999</v>
      </c>
      <c r="Z5601">
        <v>3.5258400000000002E-2</v>
      </c>
      <c r="AA5601">
        <v>0.90715590000000002</v>
      </c>
      <c r="AB5601">
        <v>21</v>
      </c>
      <c r="AC5601">
        <v>-17.0822</v>
      </c>
      <c r="AD5601">
        <v>-1.113807000605</v>
      </c>
      <c r="AE5601">
        <v>1.4196</v>
      </c>
      <c r="AF5601">
        <v>7.2478375564285296</v>
      </c>
      <c r="AG5601">
        <v>-1.113807000605</v>
      </c>
      <c r="AH5601">
        <v>15.4538074790979</v>
      </c>
      <c r="AI5601">
        <v>93.733436887397403</v>
      </c>
      <c r="AJ5601">
        <v>64.873417053265499</v>
      </c>
      <c r="AK5601">
        <v>17.105317327661499</v>
      </c>
      <c r="AL5601">
        <v>95.170577751488594</v>
      </c>
      <c r="AM5601">
        <v>78.487240930819297</v>
      </c>
      <c r="AN5601">
        <v>1.0000000379035801</v>
      </c>
    </row>
    <row r="5602" spans="1:40" x14ac:dyDescent="0.25">
      <c r="A5602" t="str">
        <f>"20190303153919404"</f>
        <v>20190303153919404</v>
      </c>
      <c r="B5602" t="str">
        <f>"1551598759394358"</f>
        <v>1551598759394358</v>
      </c>
      <c r="C5602" t="s">
        <v>40</v>
      </c>
      <c r="D5602">
        <v>4.8502640000000001</v>
      </c>
      <c r="E5602">
        <v>0.54479509999999998</v>
      </c>
      <c r="F5602" t="s">
        <v>42</v>
      </c>
      <c r="G5602">
        <v>-220.5213</v>
      </c>
      <c r="H5602" s="1">
        <v>-4.7794469999999997E-6</v>
      </c>
      <c r="I5602">
        <v>143.4545</v>
      </c>
      <c r="J5602">
        <v>-204.0077</v>
      </c>
      <c r="K5602">
        <v>1.11391</v>
      </c>
      <c r="L5602">
        <v>143.66220000000001</v>
      </c>
      <c r="M5602">
        <v>-0.94293269999999996</v>
      </c>
      <c r="N5602">
        <v>-2.322242E-3</v>
      </c>
      <c r="O5602">
        <v>-0.33297510000000002</v>
      </c>
      <c r="P5602">
        <v>-0.98579260000000002</v>
      </c>
      <c r="Q5602">
        <v>-8.9854509999999999E-2</v>
      </c>
      <c r="R5602">
        <v>-0.14191189999999901</v>
      </c>
      <c r="S5602">
        <v>-3.021255</v>
      </c>
      <c r="T5602">
        <v>-0.19991300000000001</v>
      </c>
      <c r="U5602">
        <v>-5.4824829999999998E-2</v>
      </c>
      <c r="V5602">
        <v>0.19320619999999999</v>
      </c>
      <c r="W5602">
        <v>-9.025677E-2</v>
      </c>
      <c r="X5602">
        <v>0.97699800000000003</v>
      </c>
      <c r="Y5602">
        <v>0.31444820000000001</v>
      </c>
      <c r="Z5602">
        <v>3.1639010000000002E-2</v>
      </c>
      <c r="AA5602">
        <v>0.94874720000000001</v>
      </c>
      <c r="AB5602">
        <v>21</v>
      </c>
      <c r="AC5602">
        <v>-16.513599999999901</v>
      </c>
      <c r="AD5602">
        <v>-1.1139147794469999</v>
      </c>
      <c r="AE5602">
        <v>-0.20770000000001601</v>
      </c>
      <c r="AF5602">
        <v>5.2787699853601104</v>
      </c>
      <c r="AG5602">
        <v>-1.1139147794469999</v>
      </c>
      <c r="AH5602">
        <v>15.5695835510887</v>
      </c>
      <c r="AI5602">
        <v>93.876202880620596</v>
      </c>
      <c r="AJ5602">
        <v>71.271092876824</v>
      </c>
      <c r="AK5602">
        <v>16.4778078229035</v>
      </c>
      <c r="AL5602">
        <v>95.178379015951705</v>
      </c>
      <c r="AM5602">
        <v>78.813804737439199</v>
      </c>
      <c r="AN5602">
        <v>1.0000000061266301</v>
      </c>
    </row>
    <row r="5603" spans="1:40" x14ac:dyDescent="0.25">
      <c r="A5603" t="str">
        <f>"20190303153919425"</f>
        <v>20190303153919425</v>
      </c>
      <c r="B5603" t="str">
        <f>"1551598759413878"</f>
        <v>1551598759413878</v>
      </c>
      <c r="C5603" t="s">
        <v>40</v>
      </c>
      <c r="D5603">
        <v>4.8566909999999996</v>
      </c>
      <c r="E5603">
        <v>0.54475719999999905</v>
      </c>
      <c r="F5603" t="s">
        <v>42</v>
      </c>
      <c r="G5603">
        <v>-226.23759999999999</v>
      </c>
      <c r="H5603" s="1">
        <v>-2.5194150000000002E-6</v>
      </c>
      <c r="I5603">
        <v>143.08539999999999</v>
      </c>
      <c r="J5603">
        <v>-204.20760000000001</v>
      </c>
      <c r="K5603">
        <v>1.113985</v>
      </c>
      <c r="L5603">
        <v>143.60319999999999</v>
      </c>
      <c r="M5603">
        <v>-0.9461408</v>
      </c>
      <c r="N5603">
        <v>-2.2639420000000001E-3</v>
      </c>
      <c r="O5603">
        <v>-0.32374789999999998</v>
      </c>
      <c r="P5603">
        <v>-0.98650389999999999</v>
      </c>
      <c r="Q5603">
        <v>-9.1001180000000001E-2</v>
      </c>
      <c r="R5603">
        <v>-0.1361223</v>
      </c>
      <c r="S5603">
        <v>-3.0181580000000001</v>
      </c>
      <c r="T5603">
        <v>-0.15123619999999999</v>
      </c>
      <c r="U5603">
        <v>-7.8292849999999997E-2</v>
      </c>
      <c r="V5603">
        <v>0.18935959999999999</v>
      </c>
      <c r="W5603">
        <v>-9.1378710000000002E-2</v>
      </c>
      <c r="X5603">
        <v>0.97764660000000003</v>
      </c>
      <c r="Y5603">
        <v>0.29835679999999998</v>
      </c>
      <c r="Z5603">
        <v>2.3032250000000001E-2</v>
      </c>
      <c r="AA5603">
        <v>0.95417649999999998</v>
      </c>
      <c r="AB5603">
        <v>21</v>
      </c>
      <c r="AC5603">
        <v>-22.029999999999902</v>
      </c>
      <c r="AD5603">
        <v>-1.113987519415</v>
      </c>
      <c r="AE5603">
        <v>-0.51779999999999304</v>
      </c>
      <c r="AF5603">
        <v>6.6253390763360303</v>
      </c>
      <c r="AG5603">
        <v>-1.113987519415</v>
      </c>
      <c r="AH5603">
        <v>20.957610657988699</v>
      </c>
      <c r="AI5603">
        <v>92.901386288398498</v>
      </c>
      <c r="AJ5603">
        <v>72.456667966887295</v>
      </c>
      <c r="AK5603">
        <v>22.008124194526001</v>
      </c>
      <c r="AL5603">
        <v>95.242928222358103</v>
      </c>
      <c r="AM5603">
        <v>79.038160210244101</v>
      </c>
      <c r="AN5603">
        <v>1.0000000006224901</v>
      </c>
    </row>
    <row r="5604" spans="1:40" x14ac:dyDescent="0.25">
      <c r="A5604" t="str">
        <f>"20190303153919447"</f>
        <v>20190303153919447</v>
      </c>
      <c r="B5604" t="str">
        <f>"1551598759444134"</f>
        <v>1551598759444134</v>
      </c>
      <c r="C5604" t="s">
        <v>40</v>
      </c>
      <c r="D5604">
        <v>4.9610450000000004</v>
      </c>
      <c r="E5604">
        <v>0.54107229999999995</v>
      </c>
      <c r="F5604" t="s">
        <v>42</v>
      </c>
      <c r="G5604">
        <v>-229.40459999999999</v>
      </c>
      <c r="H5604" s="1">
        <v>-1.1606420000000001E-6</v>
      </c>
      <c r="I5604">
        <v>143.0849</v>
      </c>
      <c r="J5604">
        <v>-204.41909999999999</v>
      </c>
      <c r="K5604">
        <v>1.1140589999999999</v>
      </c>
      <c r="L5604">
        <v>143.5428</v>
      </c>
      <c r="M5604">
        <v>-0.94934249999999998</v>
      </c>
      <c r="N5604">
        <v>-2.2770400000000001E-3</v>
      </c>
      <c r="O5604">
        <v>-0.31423479999999998</v>
      </c>
      <c r="P5604">
        <v>-0.98715969999999997</v>
      </c>
      <c r="Q5604">
        <v>-9.2903749999999993E-2</v>
      </c>
      <c r="R5604">
        <v>-0.12994140000000001</v>
      </c>
      <c r="S5604">
        <v>-3.0201570000000002</v>
      </c>
      <c r="T5604">
        <v>-0.13352439999999999</v>
      </c>
      <c r="U5604">
        <v>-6.2118529999999998E-2</v>
      </c>
      <c r="V5604">
        <v>0.1856014</v>
      </c>
      <c r="W5604">
        <v>-9.3189049999999995E-2</v>
      </c>
      <c r="X5604">
        <v>0.97819630000000002</v>
      </c>
      <c r="Y5604">
        <v>0.29407860000000002</v>
      </c>
      <c r="Z5604">
        <v>1.9799690000000002E-2</v>
      </c>
      <c r="AA5604">
        <v>0.95557610000000004</v>
      </c>
      <c r="AB5604">
        <v>21</v>
      </c>
      <c r="AC5604">
        <v>-24.985499999999998</v>
      </c>
      <c r="AD5604">
        <v>-1.114060160642</v>
      </c>
      <c r="AE5604">
        <v>-0.45789999999999498</v>
      </c>
      <c r="AF5604">
        <v>7.4019184351232097</v>
      </c>
      <c r="AG5604">
        <v>-1.114060160642</v>
      </c>
      <c r="AH5604">
        <v>23.816414644797401</v>
      </c>
      <c r="AI5604">
        <v>92.557666906662106</v>
      </c>
      <c r="AJ5604">
        <v>72.735245094459103</v>
      </c>
      <c r="AK5604">
        <v>24.964998159316298</v>
      </c>
      <c r="AL5604">
        <v>95.347097385126304</v>
      </c>
      <c r="AM5604">
        <v>79.2564999942675</v>
      </c>
      <c r="AN5604">
        <v>1.00000004002777</v>
      </c>
    </row>
    <row r="5605" spans="1:40" x14ac:dyDescent="0.25">
      <c r="A5605" t="str">
        <f>"20190303153919471"</f>
        <v>20190303153919471</v>
      </c>
      <c r="B5605" t="str">
        <f>"1551598759464630"</f>
        <v>1551598759464630</v>
      </c>
      <c r="C5605" t="s">
        <v>40</v>
      </c>
      <c r="D5605">
        <v>5.0281129999999896</v>
      </c>
      <c r="E5605">
        <v>0.53985699999999903</v>
      </c>
      <c r="F5605" t="s">
        <v>42</v>
      </c>
      <c r="G5605">
        <v>-225.44659999999999</v>
      </c>
      <c r="H5605" s="1">
        <v>-2.8478460000000001E-6</v>
      </c>
      <c r="I5605">
        <v>143.0444</v>
      </c>
      <c r="J5605">
        <v>-204.63810000000001</v>
      </c>
      <c r="K5605">
        <v>1.114177</v>
      </c>
      <c r="L5605">
        <v>143.48230000000001</v>
      </c>
      <c r="M5605">
        <v>-0.95243849999999997</v>
      </c>
      <c r="N5605">
        <v>-2.4067279999999999E-3</v>
      </c>
      <c r="O5605">
        <v>-0.30472199999999999</v>
      </c>
      <c r="P5605">
        <v>-0.9877861</v>
      </c>
      <c r="Q5605">
        <v>-9.5462179999999994E-2</v>
      </c>
      <c r="R5605">
        <v>-0.12315039999999999</v>
      </c>
      <c r="S5605">
        <v>-3.0146030000000001</v>
      </c>
      <c r="T5605">
        <v>-0.15971740000000001</v>
      </c>
      <c r="U5605">
        <v>-7.1441649999999995E-2</v>
      </c>
      <c r="V5605">
        <v>0.18245600000000001</v>
      </c>
      <c r="W5605">
        <v>-9.5536609999999994E-2</v>
      </c>
      <c r="X5605">
        <v>0.97856149999999997</v>
      </c>
      <c r="Y5605">
        <v>0.28128309999999901</v>
      </c>
      <c r="Z5605">
        <v>2.2961369999999998E-2</v>
      </c>
      <c r="AA5605">
        <v>0.95935009999999998</v>
      </c>
      <c r="AB5605">
        <v>21</v>
      </c>
      <c r="AC5605">
        <v>-20.808499999999899</v>
      </c>
      <c r="AD5605">
        <v>-1.1141798478460001</v>
      </c>
      <c r="AE5605">
        <v>-0.437900000000013</v>
      </c>
      <c r="AF5605">
        <v>5.9068235116943999</v>
      </c>
      <c r="AG5605">
        <v>-1.1141798478460001</v>
      </c>
      <c r="AH5605">
        <v>19.8952934917038</v>
      </c>
      <c r="AI5605">
        <v>93.073032034439606</v>
      </c>
      <c r="AJ5605">
        <v>73.464081654257498</v>
      </c>
      <c r="AK5605">
        <v>20.783519044009001</v>
      </c>
      <c r="AL5605">
        <v>95.482205657908395</v>
      </c>
      <c r="AM5605">
        <v>79.438291599005197</v>
      </c>
      <c r="AN5605">
        <v>1.00000002253427</v>
      </c>
    </row>
    <row r="5606" spans="1:40" x14ac:dyDescent="0.25">
      <c r="A5606" t="str">
        <f>"20190303153919494"</f>
        <v>20190303153919494</v>
      </c>
      <c r="B5606" t="str">
        <f>"1551598759484150"</f>
        <v>1551598759484150</v>
      </c>
      <c r="C5606" t="s">
        <v>40</v>
      </c>
      <c r="D5606">
        <v>5.0331809999999999</v>
      </c>
      <c r="E5606">
        <v>0.53698359999999901</v>
      </c>
      <c r="F5606" t="s">
        <v>42</v>
      </c>
      <c r="G5606">
        <v>-224.69200000000001</v>
      </c>
      <c r="H5606" s="1">
        <v>-3.1812309999999999E-6</v>
      </c>
      <c r="I5606">
        <v>143.08070000000001</v>
      </c>
      <c r="J5606">
        <v>-204.85659999999999</v>
      </c>
      <c r="K5606">
        <v>1.1143829999999999</v>
      </c>
      <c r="L5606">
        <v>143.42410000000001</v>
      </c>
      <c r="M5606">
        <v>-0.95529929999999996</v>
      </c>
      <c r="N5606">
        <v>-2.6573959999999998E-3</v>
      </c>
      <c r="O5606">
        <v>-0.29562889999999997</v>
      </c>
      <c r="P5606">
        <v>-0.98845229999999995</v>
      </c>
      <c r="Q5606">
        <v>-9.7264100000000006E-2</v>
      </c>
      <c r="R5606">
        <v>-0.11619889999999999</v>
      </c>
      <c r="S5606">
        <v>-3.0133969999999999</v>
      </c>
      <c r="T5606">
        <v>-0.1674225</v>
      </c>
      <c r="U5606">
        <v>-6.0333249999999998E-2</v>
      </c>
      <c r="V5606">
        <v>0.17997379999999999</v>
      </c>
      <c r="W5606">
        <v>-9.6994319999999995E-2</v>
      </c>
      <c r="X5606">
        <v>0.97887769999999996</v>
      </c>
      <c r="Y5606">
        <v>0.2756015</v>
      </c>
      <c r="Z5606">
        <v>2.343232E-2</v>
      </c>
      <c r="AA5606">
        <v>0.96098629999999996</v>
      </c>
      <c r="AB5606">
        <v>22</v>
      </c>
      <c r="AC5606">
        <v>-19.8354</v>
      </c>
      <c r="AD5606">
        <v>-1.1143861812310001</v>
      </c>
      <c r="AE5606">
        <v>-0.34340000000000198</v>
      </c>
      <c r="AF5606">
        <v>5.5184733391029797</v>
      </c>
      <c r="AG5606">
        <v>-1.1143861812310001</v>
      </c>
      <c r="AH5606">
        <v>18.990404475284201</v>
      </c>
      <c r="AI5606">
        <v>93.225235951566404</v>
      </c>
      <c r="AJ5606">
        <v>73.796519967413005</v>
      </c>
      <c r="AK5606">
        <v>19.8073437565516</v>
      </c>
      <c r="AL5606">
        <v>95.566116074204402</v>
      </c>
      <c r="AM5606">
        <v>79.582100657238101</v>
      </c>
      <c r="AN5606">
        <v>1.0000000091779899</v>
      </c>
    </row>
    <row r="5607" spans="1:40" x14ac:dyDescent="0.25">
      <c r="A5607" t="str">
        <f>"20190303153919518"</f>
        <v>20190303153919518</v>
      </c>
      <c r="B5607" t="str">
        <f>"1551598759514405"</f>
        <v>1551598759514405</v>
      </c>
      <c r="C5607" t="s">
        <v>40</v>
      </c>
      <c r="D5607">
        <v>5.0442809999999998</v>
      </c>
      <c r="E5607">
        <v>0.53376469999999998</v>
      </c>
      <c r="F5607" t="s">
        <v>42</v>
      </c>
      <c r="G5607">
        <v>-222.83699999999999</v>
      </c>
      <c r="H5607" s="1">
        <v>-3.9211149999999998E-6</v>
      </c>
      <c r="I5607">
        <v>143.0583</v>
      </c>
      <c r="J5607">
        <v>-205.09180000000001</v>
      </c>
      <c r="K5607">
        <v>1.114625</v>
      </c>
      <c r="L5607">
        <v>143.36330000000001</v>
      </c>
      <c r="M5607">
        <v>-0.95817660000000004</v>
      </c>
      <c r="N5607">
        <v>-2.9940100000000001E-3</v>
      </c>
      <c r="O5607">
        <v>-0.28616200000000003</v>
      </c>
      <c r="P5607">
        <v>-0.98917980000000005</v>
      </c>
      <c r="Q5607">
        <v>-9.7903539999999997E-2</v>
      </c>
      <c r="R5607">
        <v>-0.1092621</v>
      </c>
      <c r="S5607">
        <v>-3.009506</v>
      </c>
      <c r="T5607">
        <v>-0.18652279999999999</v>
      </c>
      <c r="U5607">
        <v>-6.1218259999999997E-2</v>
      </c>
      <c r="V5607">
        <v>0.17717629999999901</v>
      </c>
      <c r="W5607">
        <v>-9.7188209999999997E-2</v>
      </c>
      <c r="X5607">
        <v>0.97936869999999998</v>
      </c>
      <c r="Y5607">
        <v>0.26559969999999999</v>
      </c>
      <c r="Z5607">
        <v>2.5268970000000002E-2</v>
      </c>
      <c r="AA5607">
        <v>0.96375219999999995</v>
      </c>
      <c r="AB5607">
        <v>22</v>
      </c>
      <c r="AC5607">
        <v>-17.745200000000001</v>
      </c>
      <c r="AD5607">
        <v>-1.114628921115</v>
      </c>
      <c r="AE5607">
        <v>-0.30500000000000599</v>
      </c>
      <c r="AF5607">
        <v>4.7669769740042804</v>
      </c>
      <c r="AG5607">
        <v>-1.114628921115</v>
      </c>
      <c r="AH5607">
        <v>17.023246093436601</v>
      </c>
      <c r="AI5607">
        <v>93.607804544111104</v>
      </c>
      <c r="AJ5607">
        <v>74.356292691261402</v>
      </c>
      <c r="AK5607">
        <v>17.7131977536575</v>
      </c>
      <c r="AL5607">
        <v>95.577277826483098</v>
      </c>
      <c r="AM5607">
        <v>79.745604599175493</v>
      </c>
      <c r="AN5607">
        <v>1.0000000199921899</v>
      </c>
    </row>
    <row r="5608" spans="1:40" x14ac:dyDescent="0.25">
      <c r="A5608" t="str">
        <f>"20190303153919537"</f>
        <v>20190303153919537</v>
      </c>
      <c r="B5608" t="str">
        <f>"1551598759533926"</f>
        <v>1551598759533926</v>
      </c>
      <c r="C5608" t="s">
        <v>40</v>
      </c>
      <c r="D5608">
        <v>5.0194769999999904</v>
      </c>
      <c r="E5608">
        <v>0.5319043</v>
      </c>
      <c r="F5608" t="s">
        <v>42</v>
      </c>
      <c r="G5608">
        <v>-221.6925</v>
      </c>
      <c r="H5608" s="1">
        <v>-4.3011530000000002E-6</v>
      </c>
      <c r="I5608">
        <v>143.005</v>
      </c>
      <c r="J5608">
        <v>-205.28880000000001</v>
      </c>
      <c r="K5608">
        <v>1.114854</v>
      </c>
      <c r="L5608">
        <v>143.31389999999999</v>
      </c>
      <c r="M5608">
        <v>-0.96042539999999998</v>
      </c>
      <c r="N5608">
        <v>-3.322284E-3</v>
      </c>
      <c r="O5608">
        <v>-0.27851759999999998</v>
      </c>
      <c r="P5608">
        <v>-0.98954969999999998</v>
      </c>
      <c r="Q5608">
        <v>-9.9443699999999996E-2</v>
      </c>
      <c r="R5608">
        <v>-0.1044151</v>
      </c>
      <c r="S5608">
        <v>-3.0057070000000001</v>
      </c>
      <c r="T5608">
        <v>-0.2018131</v>
      </c>
      <c r="U5608">
        <v>-6.4865110000000004E-2</v>
      </c>
      <c r="V5608">
        <v>0.17415410000000001</v>
      </c>
      <c r="W5608">
        <v>-9.8293199999999997E-2</v>
      </c>
      <c r="X5608">
        <v>0.97980040000000002</v>
      </c>
      <c r="Y5608">
        <v>0.2565752</v>
      </c>
      <c r="Z5608">
        <v>2.6570199999999999E-2</v>
      </c>
      <c r="AA5608">
        <v>0.96615899999999999</v>
      </c>
      <c r="AB5608">
        <v>22</v>
      </c>
      <c r="AC5608">
        <v>-16.403699999999901</v>
      </c>
      <c r="AD5608">
        <v>-1.114858301153</v>
      </c>
      <c r="AE5608">
        <v>-0.30889999999999401</v>
      </c>
      <c r="AF5608">
        <v>4.2524318700083796</v>
      </c>
      <c r="AG5608">
        <v>-1.114858301153</v>
      </c>
      <c r="AH5608">
        <v>15.7678441718909</v>
      </c>
      <c r="AI5608">
        <v>93.905268874399994</v>
      </c>
      <c r="AJ5608">
        <v>74.906974321361702</v>
      </c>
      <c r="AK5608">
        <v>16.3692087673701</v>
      </c>
      <c r="AL5608">
        <v>95.640893725330699</v>
      </c>
      <c r="AM5608">
        <v>79.921252110235699</v>
      </c>
      <c r="AN5608">
        <v>1.0000000137766001</v>
      </c>
    </row>
    <row r="5609" spans="1:40" x14ac:dyDescent="0.25">
      <c r="A5609" t="str">
        <f>"20190303153919559"</f>
        <v>20190303153919559</v>
      </c>
      <c r="B5609" t="str">
        <f>"1551598759554423"</f>
        <v>1551598759554423</v>
      </c>
      <c r="C5609" t="s">
        <v>40</v>
      </c>
      <c r="D5609">
        <v>4.9915390000000004</v>
      </c>
      <c r="E5609">
        <v>0.53063590000000005</v>
      </c>
      <c r="F5609" t="s">
        <v>42</v>
      </c>
      <c r="G5609">
        <v>-220.99010000000001</v>
      </c>
      <c r="H5609" s="1">
        <v>-4.5351519999999997E-6</v>
      </c>
      <c r="I5609">
        <v>142.97659999999999</v>
      </c>
      <c r="J5609">
        <v>-205.4922</v>
      </c>
      <c r="K5609">
        <v>1.1151310000000001</v>
      </c>
      <c r="L5609">
        <v>143.26410000000001</v>
      </c>
      <c r="M5609">
        <v>-0.96257009999999998</v>
      </c>
      <c r="N5609">
        <v>-3.7280880000000001E-3</v>
      </c>
      <c r="O5609">
        <v>-0.27100730000000001</v>
      </c>
      <c r="P5609">
        <v>-0.9897553</v>
      </c>
      <c r="Q5609">
        <v>-0.1020011</v>
      </c>
      <c r="R5609">
        <v>-9.9901619999999997E-2</v>
      </c>
      <c r="S5609">
        <v>-3.0034480000000001</v>
      </c>
      <c r="T5609">
        <v>-0.21325810000000001</v>
      </c>
      <c r="U5609">
        <v>-6.4514160000000001E-2</v>
      </c>
      <c r="V5609">
        <v>0.17092739999999901</v>
      </c>
      <c r="W5609">
        <v>-0.1003203</v>
      </c>
      <c r="X5609">
        <v>0.98016309999999995</v>
      </c>
      <c r="Y5609">
        <v>0.24901889999999999</v>
      </c>
      <c r="Z5609">
        <v>2.7293000000000001E-2</v>
      </c>
      <c r="AA5609">
        <v>0.96811400000000003</v>
      </c>
      <c r="AB5609">
        <v>22</v>
      </c>
      <c r="AC5609">
        <v>-15.4979</v>
      </c>
      <c r="AD5609">
        <v>-1.11513553515199</v>
      </c>
      <c r="AE5609">
        <v>-0.28750000000002202</v>
      </c>
      <c r="AF5609">
        <v>3.9031312706835499</v>
      </c>
      <c r="AG5609">
        <v>-1.11513553515199</v>
      </c>
      <c r="AH5609">
        <v>14.9186208481904</v>
      </c>
      <c r="AI5609">
        <v>94.1360839367983</v>
      </c>
      <c r="AJ5609">
        <v>75.338438868328893</v>
      </c>
      <c r="AK5609">
        <v>15.461022249192</v>
      </c>
      <c r="AL5609">
        <v>95.757614948118501</v>
      </c>
      <c r="AM5609">
        <v>80.107853852900902</v>
      </c>
      <c r="AN5609">
        <v>1.0000000206322199</v>
      </c>
    </row>
    <row r="5610" spans="1:40" x14ac:dyDescent="0.25">
      <c r="A5610" t="str">
        <f>"20190303153919581"</f>
        <v>20190303153919581</v>
      </c>
      <c r="B5610" t="str">
        <f>"1551598759573942"</f>
        <v>1551598759573942</v>
      </c>
      <c r="C5610" t="s">
        <v>40</v>
      </c>
      <c r="D5610">
        <v>4.8394329999999997</v>
      </c>
      <c r="E5610">
        <v>0.53058450000000001</v>
      </c>
      <c r="F5610" t="s">
        <v>42</v>
      </c>
      <c r="G5610">
        <v>-220.40260000000001</v>
      </c>
      <c r="H5610" s="1">
        <v>-4.7325300000000004E-6</v>
      </c>
      <c r="I5610">
        <v>142.9622</v>
      </c>
      <c r="J5610">
        <v>-205.7123</v>
      </c>
      <c r="K5610">
        <v>1.115515</v>
      </c>
      <c r="L5610">
        <v>143.21170000000001</v>
      </c>
      <c r="M5610">
        <v>-0.96467689999999995</v>
      </c>
      <c r="N5610">
        <v>-4.2536400000000004E-3</v>
      </c>
      <c r="O5610">
        <v>-0.26340200000000003</v>
      </c>
      <c r="P5610">
        <v>-0.98992389999999997</v>
      </c>
      <c r="Q5610">
        <v>-0.10358489999999999</v>
      </c>
      <c r="R5610">
        <v>-9.6545820000000004E-2</v>
      </c>
      <c r="S5610">
        <v>-3.0017849999999999</v>
      </c>
      <c r="T5610">
        <v>-0.2245018</v>
      </c>
      <c r="U5610">
        <v>-6.0775759999999998E-2</v>
      </c>
      <c r="V5610">
        <v>0.16653289999999901</v>
      </c>
      <c r="W5610">
        <v>-0.1012141</v>
      </c>
      <c r="X5610">
        <v>0.98082749999999996</v>
      </c>
      <c r="Y5610">
        <v>0.24246909999999999</v>
      </c>
      <c r="Z5610">
        <v>2.7920469999999999E-2</v>
      </c>
      <c r="AA5610">
        <v>0.96975730000000004</v>
      </c>
      <c r="AB5610">
        <v>22</v>
      </c>
      <c r="AC5610">
        <v>-14.690300000000001</v>
      </c>
      <c r="AD5610">
        <v>-1.1155197325299999</v>
      </c>
      <c r="AE5610">
        <v>-0.24950000000001099</v>
      </c>
      <c r="AF5610">
        <v>3.6080013040050698</v>
      </c>
      <c r="AG5610">
        <v>-1.1155197325299999</v>
      </c>
      <c r="AH5610">
        <v>14.1556376836862</v>
      </c>
      <c r="AI5610">
        <v>94.366775873784405</v>
      </c>
      <c r="AJ5610">
        <v>75.700857031184697</v>
      </c>
      <c r="AK5610">
        <v>14.6507384085296</v>
      </c>
      <c r="AL5610">
        <v>95.809087783153203</v>
      </c>
      <c r="AM5610">
        <v>80.363751513793304</v>
      </c>
      <c r="AN5610">
        <v>1.0000000427887299</v>
      </c>
    </row>
    <row r="5611" spans="1:40" x14ac:dyDescent="0.25">
      <c r="A5611" t="str">
        <f>"20190303153919603"</f>
        <v>20190303153919603</v>
      </c>
      <c r="B5611" t="str">
        <f>"1551598759594439"</f>
        <v>1551598759594439</v>
      </c>
      <c r="C5611" t="s">
        <v>40</v>
      </c>
      <c r="D5611">
        <v>4.8550129999999996</v>
      </c>
      <c r="E5611">
        <v>0.52998310000000004</v>
      </c>
      <c r="F5611" t="s">
        <v>42</v>
      </c>
      <c r="G5611">
        <v>-221.03559999999999</v>
      </c>
      <c r="H5611" s="1">
        <v>-4.5146150000000001E-6</v>
      </c>
      <c r="I5611">
        <v>142.94810000000001</v>
      </c>
      <c r="J5611">
        <v>-205.92910000000001</v>
      </c>
      <c r="K5611">
        <v>1.11596299999999</v>
      </c>
      <c r="L5611">
        <v>143.1611</v>
      </c>
      <c r="M5611">
        <v>-0.9665397</v>
      </c>
      <c r="N5611">
        <v>-4.855921E-3</v>
      </c>
      <c r="O5611">
        <v>-0.256471</v>
      </c>
      <c r="P5611">
        <v>-0.99010290000000001</v>
      </c>
      <c r="Q5611">
        <v>-0.1041188</v>
      </c>
      <c r="R5611">
        <v>-9.4102379999999999E-2</v>
      </c>
      <c r="S5611">
        <v>-3.00264</v>
      </c>
      <c r="T5611">
        <v>-0.21858920000000001</v>
      </c>
      <c r="U5611">
        <v>-5.1635739999999999E-2</v>
      </c>
      <c r="V5611">
        <v>0.1619854</v>
      </c>
      <c r="W5611">
        <v>-0.10096819999999999</v>
      </c>
      <c r="X5611">
        <v>0.98161410000000004</v>
      </c>
      <c r="Y5611">
        <v>0.23856630000000001</v>
      </c>
      <c r="Z5611">
        <v>2.647238E-2</v>
      </c>
      <c r="AA5611">
        <v>0.9707654</v>
      </c>
      <c r="AB5611">
        <v>22</v>
      </c>
      <c r="AC5611">
        <v>-15.106499999999899</v>
      </c>
      <c r="AD5611">
        <v>-1.1159675146150001</v>
      </c>
      <c r="AE5611">
        <v>-0.212999999999993</v>
      </c>
      <c r="AF5611">
        <v>3.6486418937316198</v>
      </c>
      <c r="AG5611">
        <v>-1.1159675146150001</v>
      </c>
      <c r="AH5611">
        <v>14.5763024950041</v>
      </c>
      <c r="AI5611">
        <v>94.247503149294303</v>
      </c>
      <c r="AJ5611">
        <v>75.946864733903595</v>
      </c>
      <c r="AK5611">
        <v>15.0674007575372</v>
      </c>
      <c r="AL5611">
        <v>95.794926195530394</v>
      </c>
      <c r="AM5611">
        <v>80.629531113106694</v>
      </c>
      <c r="AN5611">
        <v>1.0000000442715999</v>
      </c>
    </row>
    <row r="5612" spans="1:40" x14ac:dyDescent="0.25">
      <c r="A5612" t="str">
        <f>"20190303153919626"</f>
        <v>20190303153919626</v>
      </c>
      <c r="B5612" t="str">
        <f>"1551598759613958"</f>
        <v>1551598759613958</v>
      </c>
      <c r="C5612" t="s">
        <v>40</v>
      </c>
      <c r="D5612">
        <v>4.8327210000000003</v>
      </c>
      <c r="E5612">
        <v>0.52958799999999995</v>
      </c>
      <c r="F5612" t="s">
        <v>42</v>
      </c>
      <c r="G5612">
        <v>-221.5215</v>
      </c>
      <c r="H5612" s="1">
        <v>-4.3415550000000003E-6</v>
      </c>
      <c r="I5612">
        <v>142.90479999999999</v>
      </c>
      <c r="J5612">
        <v>-206.1558</v>
      </c>
      <c r="K5612">
        <v>1.1164889999999901</v>
      </c>
      <c r="L5612">
        <v>143.10929999999999</v>
      </c>
      <c r="M5612">
        <v>-0.96827200000000002</v>
      </c>
      <c r="N5612">
        <v>-5.5827689999999996E-3</v>
      </c>
      <c r="O5612">
        <v>-0.24983639999999999</v>
      </c>
      <c r="P5612">
        <v>-0.9901394</v>
      </c>
      <c r="Q5612">
        <v>-0.1043336</v>
      </c>
      <c r="R5612">
        <v>-9.3479140000000002E-2</v>
      </c>
      <c r="S5612">
        <v>-3.0027010000000001</v>
      </c>
      <c r="T5612">
        <v>-0.21490690000000001</v>
      </c>
      <c r="U5612">
        <v>-4.9362179999999999E-2</v>
      </c>
      <c r="V5612">
        <v>0.15596840000000001</v>
      </c>
      <c r="W5612">
        <v>-0.10025340000000001</v>
      </c>
      <c r="X5612">
        <v>0.98266120000000001</v>
      </c>
      <c r="Y5612">
        <v>0.23271829999999999</v>
      </c>
      <c r="Z5612">
        <v>2.5266190000000001E-2</v>
      </c>
      <c r="AA5612">
        <v>0.97221599999999997</v>
      </c>
      <c r="AB5612">
        <v>22</v>
      </c>
      <c r="AC5612">
        <v>-15.3657</v>
      </c>
      <c r="AD5612">
        <v>-1.11649334155499</v>
      </c>
      <c r="AE5612">
        <v>-0.20449999999999499</v>
      </c>
      <c r="AF5612">
        <v>3.6218374229359598</v>
      </c>
      <c r="AG5612">
        <v>-1.11649334155499</v>
      </c>
      <c r="AH5612">
        <v>14.8511056289365</v>
      </c>
      <c r="AI5612">
        <v>94.177379920658197</v>
      </c>
      <c r="AJ5612">
        <v>76.294435340960902</v>
      </c>
      <c r="AK5612">
        <v>15.327087202131599</v>
      </c>
      <c r="AL5612">
        <v>95.753762788427693</v>
      </c>
      <c r="AM5612">
        <v>80.9812217523844</v>
      </c>
      <c r="AN5612">
        <v>0.99999995999777902</v>
      </c>
    </row>
    <row r="5613" spans="1:40" x14ac:dyDescent="0.25">
      <c r="A5613" t="str">
        <f>"20190303153919647"</f>
        <v>20190303153919647</v>
      </c>
      <c r="B5613" t="str">
        <f>"1551598759644481"</f>
        <v>1551598759644481</v>
      </c>
      <c r="C5613" t="s">
        <v>40</v>
      </c>
      <c r="D5613">
        <v>4.8441830000000001</v>
      </c>
      <c r="E5613">
        <v>0.5288505</v>
      </c>
      <c r="F5613" t="s">
        <v>42</v>
      </c>
      <c r="G5613">
        <v>-222.17869999999999</v>
      </c>
      <c r="H5613" s="1">
        <v>-4.106123E-6</v>
      </c>
      <c r="I5613">
        <v>142.8383</v>
      </c>
      <c r="J5613">
        <v>-206.36009999999999</v>
      </c>
      <c r="K5613">
        <v>1.116984</v>
      </c>
      <c r="L5613">
        <v>143.0634</v>
      </c>
      <c r="M5613">
        <v>-0.96964439999999996</v>
      </c>
      <c r="N5613">
        <v>-6.3268980000000001E-3</v>
      </c>
      <c r="O5613">
        <v>-0.24443770000000001</v>
      </c>
      <c r="P5613">
        <v>-0.99003350000000001</v>
      </c>
      <c r="Q5613">
        <v>-0.1051396</v>
      </c>
      <c r="R5613">
        <v>-9.3698160000000003E-2</v>
      </c>
      <c r="S5613">
        <v>-3.0030060000000001</v>
      </c>
      <c r="T5613">
        <v>-0.20925299999999999</v>
      </c>
      <c r="U5613">
        <v>-5.0796510000000003E-2</v>
      </c>
      <c r="V5613">
        <v>0.15034690000000001</v>
      </c>
      <c r="W5613">
        <v>-0.1001363</v>
      </c>
      <c r="X5613">
        <v>0.98354889999999995</v>
      </c>
      <c r="Y5613">
        <v>0.22692889999999999</v>
      </c>
      <c r="Z5613">
        <v>2.392859E-2</v>
      </c>
      <c r="AA5613">
        <v>0.97361730000000002</v>
      </c>
      <c r="AB5613">
        <v>22</v>
      </c>
      <c r="AC5613">
        <v>-15.8186</v>
      </c>
      <c r="AD5613">
        <v>-1.116988106123</v>
      </c>
      <c r="AE5613">
        <v>-0.225099999999997</v>
      </c>
      <c r="AF5613">
        <v>3.6303703965332499</v>
      </c>
      <c r="AG5613">
        <v>-1.116988106123</v>
      </c>
      <c r="AH5613">
        <v>15.3173887386872</v>
      </c>
      <c r="AI5613">
        <v>94.058742465135197</v>
      </c>
      <c r="AJ5613">
        <v>76.666374209349101</v>
      </c>
      <c r="AK5613">
        <v>15.7813069616336</v>
      </c>
      <c r="AL5613">
        <v>95.747019554839795</v>
      </c>
      <c r="AM5613">
        <v>81.3089499997118</v>
      </c>
      <c r="AN5613">
        <v>0.99999995380425299</v>
      </c>
    </row>
    <row r="5614" spans="1:40" x14ac:dyDescent="0.25">
      <c r="A5614" t="str">
        <f>"20190303153919671"</f>
        <v>20190303153919671</v>
      </c>
      <c r="B5614" t="str">
        <f>"1551598759664000"</f>
        <v>1551598759664000</v>
      </c>
      <c r="C5614" t="s">
        <v>40</v>
      </c>
      <c r="D5614">
        <v>4.839245</v>
      </c>
      <c r="E5614">
        <v>0.52834479999999995</v>
      </c>
      <c r="F5614" t="s">
        <v>42</v>
      </c>
      <c r="G5614">
        <v>-222.58590000000001</v>
      </c>
      <c r="H5614" s="1">
        <v>-3.9524340000000001E-6</v>
      </c>
      <c r="I5614">
        <v>142.75290000000001</v>
      </c>
      <c r="J5614">
        <v>-206.58629999999999</v>
      </c>
      <c r="K5614">
        <v>1.117516</v>
      </c>
      <c r="L5614">
        <v>143.01329999999999</v>
      </c>
      <c r="M5614">
        <v>-0.97097109999999998</v>
      </c>
      <c r="N5614">
        <v>-7.1720580000000003E-3</v>
      </c>
      <c r="O5614">
        <v>-0.23908950000000001</v>
      </c>
      <c r="P5614">
        <v>-0.989811</v>
      </c>
      <c r="Q5614">
        <v>-0.10623489999999999</v>
      </c>
      <c r="R5614">
        <v>-9.4806420000000002E-2</v>
      </c>
      <c r="S5614">
        <v>-3.0028079999999999</v>
      </c>
      <c r="T5614">
        <v>-0.2067145</v>
      </c>
      <c r="U5614">
        <v>-5.7449340000000002E-2</v>
      </c>
      <c r="V5614">
        <v>0.14389449999999901</v>
      </c>
      <c r="W5614">
        <v>-0.1002012</v>
      </c>
      <c r="X5614">
        <v>0.98450700000000002</v>
      </c>
      <c r="Y5614">
        <v>0.2194613</v>
      </c>
      <c r="Z5614">
        <v>2.2913590000000001E-2</v>
      </c>
      <c r="AA5614">
        <v>0.97535210000000006</v>
      </c>
      <c r="AB5614">
        <v>22</v>
      </c>
      <c r="AC5614">
        <v>-15.999599999999999</v>
      </c>
      <c r="AD5614">
        <v>-1.11751995243399</v>
      </c>
      <c r="AE5614">
        <v>-0.26039999999997498</v>
      </c>
      <c r="AF5614">
        <v>3.5552472677037299</v>
      </c>
      <c r="AG5614">
        <v>-1.11751995243399</v>
      </c>
      <c r="AH5614">
        <v>15.5221028973864</v>
      </c>
      <c r="AI5614">
        <v>94.014328058326697</v>
      </c>
      <c r="AJ5614">
        <v>77.099259519144695</v>
      </c>
      <c r="AK5614">
        <v>15.9632174806852</v>
      </c>
      <c r="AL5614">
        <v>95.750756752601802</v>
      </c>
      <c r="AM5614">
        <v>81.684588465398704</v>
      </c>
      <c r="AN5614">
        <v>0.99999997033034405</v>
      </c>
    </row>
    <row r="5615" spans="1:40" x14ac:dyDescent="0.25">
      <c r="A5615" t="str">
        <f>"20190303153919695"</f>
        <v>20190303153919695</v>
      </c>
      <c r="B5615" t="str">
        <f>"1551598759684497"</f>
        <v>1551598759684497</v>
      </c>
      <c r="C5615" t="s">
        <v>40</v>
      </c>
      <c r="D5615">
        <v>4.8556210000000002</v>
      </c>
      <c r="E5615">
        <v>0.52786529999999998</v>
      </c>
      <c r="F5615" t="s">
        <v>42</v>
      </c>
      <c r="G5615">
        <v>-222.7243</v>
      </c>
      <c r="H5615" s="1">
        <v>-3.8896830000000004E-6</v>
      </c>
      <c r="I5615">
        <v>142.66480000000001</v>
      </c>
      <c r="J5615">
        <v>-206.8168</v>
      </c>
      <c r="K5615">
        <v>1.1179779999999999</v>
      </c>
      <c r="L5615">
        <v>142.96289999999999</v>
      </c>
      <c r="M5615">
        <v>-0.97212639999999995</v>
      </c>
      <c r="N5615">
        <v>-7.9620799999999999E-3</v>
      </c>
      <c r="O5615">
        <v>-0.2343229</v>
      </c>
      <c r="P5615">
        <v>-0.98963659999999998</v>
      </c>
      <c r="Q5615">
        <v>-0.1062063</v>
      </c>
      <c r="R5615">
        <v>-9.6642939999999997E-2</v>
      </c>
      <c r="S5615">
        <v>-3.0023650000000002</v>
      </c>
      <c r="T5615">
        <v>-0.2079066</v>
      </c>
      <c r="U5615">
        <v>-6.4819340000000003E-2</v>
      </c>
      <c r="V5615">
        <v>0.13733519999999999</v>
      </c>
      <c r="W5615">
        <v>-9.9218790000000001E-2</v>
      </c>
      <c r="X5615">
        <v>0.98554280000000005</v>
      </c>
      <c r="Y5615">
        <v>0.21229629999999999</v>
      </c>
      <c r="Z5615">
        <v>2.2389650000000001E-2</v>
      </c>
      <c r="AA5615">
        <v>0.97694879999999995</v>
      </c>
      <c r="AB5615">
        <v>22</v>
      </c>
      <c r="AC5615">
        <v>-15.907500000000001</v>
      </c>
      <c r="AD5615">
        <v>-1.1179818896830001</v>
      </c>
      <c r="AE5615">
        <v>-0.298099999999976</v>
      </c>
      <c r="AF5615">
        <v>3.42091799597062</v>
      </c>
      <c r="AG5615">
        <v>-1.1179818896830001</v>
      </c>
      <c r="AH5615">
        <v>15.4581165066565</v>
      </c>
      <c r="AI5615">
        <v>94.039224587523194</v>
      </c>
      <c r="AJ5615">
        <v>77.521424914842498</v>
      </c>
      <c r="AK5615">
        <v>15.871544643612401</v>
      </c>
      <c r="AL5615">
        <v>95.694186901294501</v>
      </c>
      <c r="AM5615">
        <v>82.066929990151806</v>
      </c>
      <c r="AN5615">
        <v>0.99999996803997104</v>
      </c>
    </row>
    <row r="5616" spans="1:40" x14ac:dyDescent="0.25">
      <c r="A5616" t="str">
        <f>"20190303153919716"</f>
        <v>20190303153919716</v>
      </c>
      <c r="B5616" t="str">
        <f>"1551598759704016"</f>
        <v>1551598759704016</v>
      </c>
      <c r="C5616" t="s">
        <v>40</v>
      </c>
      <c r="D5616">
        <v>4.8254900000000003</v>
      </c>
      <c r="E5616">
        <v>0.52743989999999996</v>
      </c>
      <c r="F5616" t="s">
        <v>42</v>
      </c>
      <c r="G5616">
        <v>-223.14359999999999</v>
      </c>
      <c r="H5616" s="1">
        <v>-3.7069040000000001E-6</v>
      </c>
      <c r="I5616">
        <v>142.5599</v>
      </c>
      <c r="J5616">
        <v>-207.0318</v>
      </c>
      <c r="K5616">
        <v>1.11832</v>
      </c>
      <c r="L5616">
        <v>142.91640000000001</v>
      </c>
      <c r="M5616">
        <v>-0.97307770000000005</v>
      </c>
      <c r="N5616">
        <v>-8.6253760000000006E-3</v>
      </c>
      <c r="O5616">
        <v>-0.2303154</v>
      </c>
      <c r="P5616">
        <v>-0.9894811</v>
      </c>
      <c r="Q5616">
        <v>-0.104907</v>
      </c>
      <c r="R5616">
        <v>-9.9606860000000005E-2</v>
      </c>
      <c r="S5616">
        <v>-3.0021360000000001</v>
      </c>
      <c r="T5616">
        <v>-0.20557220000000001</v>
      </c>
      <c r="U5616">
        <v>-7.4096679999999998E-2</v>
      </c>
      <c r="V5616">
        <v>0.13043250000000001</v>
      </c>
      <c r="W5616">
        <v>-9.7129259999999995E-2</v>
      </c>
      <c r="X5616">
        <v>0.98668800000000001</v>
      </c>
      <c r="Y5616">
        <v>0.20530019999999999</v>
      </c>
      <c r="Z5616">
        <v>2.1538729999999999E-2</v>
      </c>
      <c r="AA5616">
        <v>0.97846200000000005</v>
      </c>
      <c r="AB5616">
        <v>22</v>
      </c>
      <c r="AC5616">
        <v>-16.111799999999899</v>
      </c>
      <c r="AD5616">
        <v>-1.118323706904</v>
      </c>
      <c r="AE5616">
        <v>-0.35650000000001097</v>
      </c>
      <c r="AF5616">
        <v>3.3478974131720101</v>
      </c>
      <c r="AG5616">
        <v>-1.118323706904</v>
      </c>
      <c r="AH5616">
        <v>15.685197813851699</v>
      </c>
      <c r="AI5616">
        <v>93.988630003748298</v>
      </c>
      <c r="AJ5616">
        <v>77.951409006847598</v>
      </c>
      <c r="AK5616">
        <v>16.077453015394099</v>
      </c>
      <c r="AL5616">
        <v>95.573884465480106</v>
      </c>
      <c r="AM5616">
        <v>82.469603858087297</v>
      </c>
      <c r="AN5616">
        <v>0.99999996977419803</v>
      </c>
    </row>
    <row r="5617" spans="1:40" x14ac:dyDescent="0.25">
      <c r="A5617" t="str">
        <f>"20190303153919737"</f>
        <v>20190303153919737</v>
      </c>
      <c r="B5617" t="str">
        <f>"1551598759734273"</f>
        <v>1551598759734273</v>
      </c>
      <c r="C5617" t="s">
        <v>40</v>
      </c>
      <c r="D5617">
        <v>4.8500069999999997</v>
      </c>
      <c r="E5617">
        <v>0.52680150000000003</v>
      </c>
      <c r="F5617" t="s">
        <v>42</v>
      </c>
      <c r="G5617">
        <v>-223.8193</v>
      </c>
      <c r="H5617" s="1">
        <v>-3.3833829999999998E-6</v>
      </c>
      <c r="I5617">
        <v>142.43350000000001</v>
      </c>
      <c r="J5617">
        <v>-207.23580000000001</v>
      </c>
      <c r="K5617">
        <v>1.118565</v>
      </c>
      <c r="L5617">
        <v>142.87280000000001</v>
      </c>
      <c r="M5617">
        <v>-0.97389009999999998</v>
      </c>
      <c r="N5617">
        <v>-9.2042419999999996E-3</v>
      </c>
      <c r="O5617">
        <v>-0.22683349999999999</v>
      </c>
      <c r="P5617">
        <v>-0.98942529999999995</v>
      </c>
      <c r="Q5617">
        <v>-0.1034997</v>
      </c>
      <c r="R5617">
        <v>-0.1016157</v>
      </c>
      <c r="S5617">
        <v>-3.0019990000000001</v>
      </c>
      <c r="T5617">
        <v>-0.19998170000000001</v>
      </c>
      <c r="U5617">
        <v>-8.6349490000000001E-2</v>
      </c>
      <c r="V5617">
        <v>0.1249943</v>
      </c>
      <c r="W5617">
        <v>-9.5052639999999994E-2</v>
      </c>
      <c r="X5617">
        <v>0.98759379999999997</v>
      </c>
      <c r="Y5617">
        <v>0.1978837</v>
      </c>
      <c r="Z5617">
        <v>2.0372500000000002E-2</v>
      </c>
      <c r="AA5617">
        <v>0.98001380000000005</v>
      </c>
      <c r="AB5617">
        <v>22</v>
      </c>
      <c r="AC5617">
        <v>-16.583499999999901</v>
      </c>
      <c r="AD5617">
        <v>-1.118568383383</v>
      </c>
      <c r="AE5617">
        <v>-0.43930000000000202</v>
      </c>
      <c r="AF5617">
        <v>3.31891538771082</v>
      </c>
      <c r="AG5617">
        <v>-1.118568383383</v>
      </c>
      <c r="AH5617">
        <v>16.177293636051701</v>
      </c>
      <c r="AI5617">
        <v>93.874929579241098</v>
      </c>
      <c r="AJ5617">
        <v>78.406138216786601</v>
      </c>
      <c r="AK5617">
        <v>16.552076122532998</v>
      </c>
      <c r="AL5617">
        <v>95.454349317694295</v>
      </c>
      <c r="AM5617">
        <v>82.786741415795106</v>
      </c>
      <c r="AN5617">
        <v>1.00000004660094</v>
      </c>
    </row>
    <row r="5618" spans="1:40" x14ac:dyDescent="0.25">
      <c r="A5618" t="str">
        <f>"20190303153919759"</f>
        <v>20190303153919759</v>
      </c>
      <c r="B5618" t="str">
        <f>"1551598759753793"</f>
        <v>1551598759753793</v>
      </c>
      <c r="C5618" t="s">
        <v>40</v>
      </c>
      <c r="D5618">
        <v>4.8053600000000003</v>
      </c>
      <c r="E5618">
        <v>0.52642699999999998</v>
      </c>
      <c r="F5618" t="s">
        <v>42</v>
      </c>
      <c r="G5618">
        <v>-224.4862</v>
      </c>
      <c r="H5618" s="1">
        <v>-3.0654130000000001E-6</v>
      </c>
      <c r="I5618">
        <v>142.31360000000001</v>
      </c>
      <c r="J5618">
        <v>-207.44589999999999</v>
      </c>
      <c r="K5618">
        <v>1.118771</v>
      </c>
      <c r="L5618">
        <v>142.82830000000001</v>
      </c>
      <c r="M5618">
        <v>-0.97464949999999995</v>
      </c>
      <c r="N5618">
        <v>-9.7529539999999994E-3</v>
      </c>
      <c r="O5618">
        <v>-0.2235241</v>
      </c>
      <c r="P5618">
        <v>-0.98925379999999996</v>
      </c>
      <c r="Q5618">
        <v>-0.1036459</v>
      </c>
      <c r="R5618">
        <v>-0.1031231</v>
      </c>
      <c r="S5618">
        <v>-3.001709</v>
      </c>
      <c r="T5618">
        <v>-0.19464039999999999</v>
      </c>
      <c r="U5618">
        <v>-9.7290039999999994E-2</v>
      </c>
      <c r="V5618">
        <v>0.12017700000000001</v>
      </c>
      <c r="W5618">
        <v>-9.4576460000000001E-2</v>
      </c>
      <c r="X5618">
        <v>0.98823720000000004</v>
      </c>
      <c r="Y5618">
        <v>0.1910512</v>
      </c>
      <c r="Z5618">
        <v>1.9294749999999999E-2</v>
      </c>
      <c r="AA5618">
        <v>0.9813904</v>
      </c>
      <c r="AB5618">
        <v>22</v>
      </c>
      <c r="AC5618">
        <v>-17.040299999999998</v>
      </c>
      <c r="AD5618">
        <v>-1.1187740654130001</v>
      </c>
      <c r="AE5618">
        <v>-0.51470000000000404</v>
      </c>
      <c r="AF5618">
        <v>3.2932406125659499</v>
      </c>
      <c r="AG5618">
        <v>-1.1187740654130001</v>
      </c>
      <c r="AH5618">
        <v>16.652449501409301</v>
      </c>
      <c r="AI5618">
        <v>93.770756051666098</v>
      </c>
      <c r="AJ5618">
        <v>78.813353970808194</v>
      </c>
      <c r="AK5618">
        <v>17.011794835897799</v>
      </c>
      <c r="AL5618">
        <v>95.426943050320304</v>
      </c>
      <c r="AM5618">
        <v>83.066451575041</v>
      </c>
      <c r="AN5618">
        <v>0.99999999078948498</v>
      </c>
    </row>
    <row r="5619" spans="1:40" x14ac:dyDescent="0.25">
      <c r="A5619" t="str">
        <f>"20190303153919783"</f>
        <v>20190303153919783</v>
      </c>
      <c r="B5619" t="str">
        <f>"1551598759774289"</f>
        <v>1551598759774289</v>
      </c>
      <c r="C5619" t="s">
        <v>40</v>
      </c>
      <c r="D5619">
        <v>4.7640180000000001</v>
      </c>
      <c r="E5619">
        <v>0.52611629999999998</v>
      </c>
      <c r="F5619" t="s">
        <v>42</v>
      </c>
      <c r="G5619">
        <v>-224.69890000000001</v>
      </c>
      <c r="H5619" s="1">
        <v>-2.9510569999999999E-6</v>
      </c>
      <c r="I5619">
        <v>142.2269</v>
      </c>
      <c r="J5619">
        <v>-207.6703</v>
      </c>
      <c r="K5619">
        <v>1.1189819999999999</v>
      </c>
      <c r="L5619">
        <v>142.78129999999999</v>
      </c>
      <c r="M5619">
        <v>-0.97538979999999997</v>
      </c>
      <c r="N5619">
        <v>-1.027906E-2</v>
      </c>
      <c r="O5619">
        <v>-0.22024779999999999</v>
      </c>
      <c r="P5619">
        <v>-0.98907429999999996</v>
      </c>
      <c r="Q5619">
        <v>-0.1034786</v>
      </c>
      <c r="R5619">
        <v>-0.1049969</v>
      </c>
      <c r="S5619">
        <v>-3.0012970000000001</v>
      </c>
      <c r="T5619">
        <v>-0.1946193</v>
      </c>
      <c r="U5619">
        <v>-0.10461429999999999</v>
      </c>
      <c r="V5619">
        <v>0.11503529999999999</v>
      </c>
      <c r="W5619">
        <v>-9.3810359999999995E-2</v>
      </c>
      <c r="X5619">
        <v>0.98892190000000002</v>
      </c>
      <c r="Y5619">
        <v>0.1853764</v>
      </c>
      <c r="Z5619">
        <v>1.8839209999999999E-2</v>
      </c>
      <c r="AA5619">
        <v>0.982487</v>
      </c>
      <c r="AB5619">
        <v>22</v>
      </c>
      <c r="AC5619">
        <v>-17.028600000000001</v>
      </c>
      <c r="AD5619">
        <v>-1.118984951057</v>
      </c>
      <c r="AE5619">
        <v>-0.55439999999998602</v>
      </c>
      <c r="AF5619">
        <v>3.1961385758262599</v>
      </c>
      <c r="AG5619">
        <v>-1.118984951057</v>
      </c>
      <c r="AH5619">
        <v>16.660646187129</v>
      </c>
      <c r="AI5619">
        <v>93.773796994534905</v>
      </c>
      <c r="AJ5619">
        <v>79.140448293188101</v>
      </c>
      <c r="AK5619">
        <v>17.001310552109601</v>
      </c>
      <c r="AL5619">
        <v>95.382852597038806</v>
      </c>
      <c r="AM5619">
        <v>83.364948348577997</v>
      </c>
      <c r="AN5619">
        <v>1.00000001409451</v>
      </c>
    </row>
    <row r="5620" spans="1:40" x14ac:dyDescent="0.25">
      <c r="A5620" t="str">
        <f>"20190303153919806"</f>
        <v>20190303153919806</v>
      </c>
      <c r="B5620" t="str">
        <f>"1551598759793809"</f>
        <v>1551598759793809</v>
      </c>
      <c r="C5620" t="s">
        <v>40</v>
      </c>
      <c r="D5620">
        <v>4.7939639999999999</v>
      </c>
      <c r="E5620">
        <v>0.52579219999999904</v>
      </c>
      <c r="F5620" t="s">
        <v>42</v>
      </c>
      <c r="G5620">
        <v>-225.00640000000001</v>
      </c>
      <c r="H5620" s="1">
        <v>-2.7935730000000001E-6</v>
      </c>
      <c r="I5620">
        <v>142.13079999999999</v>
      </c>
      <c r="J5620">
        <v>-207.89830000000001</v>
      </c>
      <c r="K5620">
        <v>1.119192</v>
      </c>
      <c r="L5620">
        <v>142.73390000000001</v>
      </c>
      <c r="M5620">
        <v>-0.97607540000000004</v>
      </c>
      <c r="N5620">
        <v>-1.074699E-2</v>
      </c>
      <c r="O5620">
        <v>-0.217167</v>
      </c>
      <c r="P5620">
        <v>-0.98868509999999998</v>
      </c>
      <c r="Q5620">
        <v>-0.1030596</v>
      </c>
      <c r="R5620">
        <v>-0.108998499999999</v>
      </c>
      <c r="S5620">
        <v>-3.0009000000000001</v>
      </c>
      <c r="T5620">
        <v>-0.19369720000000001</v>
      </c>
      <c r="U5620">
        <v>-0.1125946</v>
      </c>
      <c r="V5620">
        <v>0.107971</v>
      </c>
      <c r="W5620">
        <v>-9.2841160000000006E-2</v>
      </c>
      <c r="X5620">
        <v>0.98980950000000001</v>
      </c>
      <c r="Y5620">
        <v>0.1796864</v>
      </c>
      <c r="Z5620">
        <v>1.8309530000000001E-2</v>
      </c>
      <c r="AA5620">
        <v>0.98355349999999997</v>
      </c>
      <c r="AB5620">
        <v>22</v>
      </c>
      <c r="AC5620">
        <v>-17.1081</v>
      </c>
      <c r="AD5620">
        <v>-1.119194793573</v>
      </c>
      <c r="AE5620">
        <v>-0.60310000000001196</v>
      </c>
      <c r="AF5620">
        <v>3.1135157520627699</v>
      </c>
      <c r="AG5620">
        <v>-1.119194793573</v>
      </c>
      <c r="AH5620">
        <v>16.759105343351699</v>
      </c>
      <c r="AI5620">
        <v>93.756525132659306</v>
      </c>
      <c r="AJ5620">
        <v>79.475545831819502</v>
      </c>
      <c r="AK5620">
        <v>17.082569749129199</v>
      </c>
      <c r="AL5620">
        <v>95.327078009426103</v>
      </c>
      <c r="AM5620">
        <v>83.774641056083595</v>
      </c>
      <c r="AN5620">
        <v>1.0000000320606901</v>
      </c>
    </row>
    <row r="5621" spans="1:40" x14ac:dyDescent="0.25">
      <c r="A5621" t="str">
        <f>"20190303153919828"</f>
        <v>20190303153919828</v>
      </c>
      <c r="B5621" t="str">
        <f>"1551598759824064"</f>
        <v>1551598759824064</v>
      </c>
      <c r="C5621" t="s">
        <v>40</v>
      </c>
      <c r="D5621">
        <v>4.8107680000000004</v>
      </c>
      <c r="E5621">
        <v>0.52539469999999899</v>
      </c>
      <c r="F5621" t="s">
        <v>42</v>
      </c>
      <c r="G5621">
        <v>-225.3843</v>
      </c>
      <c r="H5621" s="1">
        <v>-2.594327E-6</v>
      </c>
      <c r="I5621">
        <v>141.99119999999999</v>
      </c>
      <c r="J5621">
        <v>-208.11320000000001</v>
      </c>
      <c r="K5621">
        <v>1.1194010000000001</v>
      </c>
      <c r="L5621">
        <v>142.68960000000001</v>
      </c>
      <c r="M5621">
        <v>-0.97665729999999995</v>
      </c>
      <c r="N5621">
        <v>-1.113043E-2</v>
      </c>
      <c r="O5621">
        <v>-0.21451500000000001</v>
      </c>
      <c r="P5621">
        <v>-0.98832149999999996</v>
      </c>
      <c r="Q5621">
        <v>-0.1017083</v>
      </c>
      <c r="R5621">
        <v>-0.1134734</v>
      </c>
      <c r="S5621">
        <v>-3.0002749999999998</v>
      </c>
      <c r="T5621">
        <v>-0.19203339999999999</v>
      </c>
      <c r="U5621">
        <v>-0.12742609999999999</v>
      </c>
      <c r="V5621">
        <v>0.10088569999999999</v>
      </c>
      <c r="W5621">
        <v>-9.1026979999999993E-2</v>
      </c>
      <c r="X5621">
        <v>0.99072510000000003</v>
      </c>
      <c r="Y5621">
        <v>0.17218530000000001</v>
      </c>
      <c r="Z5621">
        <v>1.7674260000000001E-2</v>
      </c>
      <c r="AA5621">
        <v>0.98490599999999995</v>
      </c>
      <c r="AB5621">
        <v>22</v>
      </c>
      <c r="AC5621">
        <v>-17.271099999999901</v>
      </c>
      <c r="AD5621">
        <v>-1.119403594327</v>
      </c>
      <c r="AE5621">
        <v>-0.69840000000002</v>
      </c>
      <c r="AF5621">
        <v>3.0103743615063001</v>
      </c>
      <c r="AG5621">
        <v>-1.119403594327</v>
      </c>
      <c r="AH5621">
        <v>16.947738885963101</v>
      </c>
      <c r="AI5621">
        <v>93.720840254685697</v>
      </c>
      <c r="AJ5621">
        <v>79.927781911627505</v>
      </c>
      <c r="AK5621">
        <v>17.249384671639501</v>
      </c>
      <c r="AL5621">
        <v>95.222691084693693</v>
      </c>
      <c r="AM5621">
        <v>84.185603303551105</v>
      </c>
      <c r="AN5621">
        <v>1.0000000296611999</v>
      </c>
    </row>
    <row r="5622" spans="1:40" x14ac:dyDescent="0.25">
      <c r="A5622" t="str">
        <f>"20190303153919851"</f>
        <v>20190303153919851</v>
      </c>
      <c r="B5622" t="str">
        <f>"1551598759844560"</f>
        <v>1551598759844560</v>
      </c>
      <c r="C5622" t="s">
        <v>40</v>
      </c>
      <c r="D5622">
        <v>4.8104420000000001</v>
      </c>
      <c r="E5622">
        <v>0.52527609999999902</v>
      </c>
      <c r="F5622" t="s">
        <v>42</v>
      </c>
      <c r="G5622">
        <v>-226.09719999999999</v>
      </c>
      <c r="H5622" s="1">
        <v>-2.243115E-6</v>
      </c>
      <c r="I5622">
        <v>141.82060000000001</v>
      </c>
      <c r="J5622">
        <v>-208.32560000000001</v>
      </c>
      <c r="K5622">
        <v>1.1196159999999999</v>
      </c>
      <c r="L5622">
        <v>142.64599999999999</v>
      </c>
      <c r="M5622">
        <v>-0.97716170000000002</v>
      </c>
      <c r="N5622">
        <v>-1.146082E-2</v>
      </c>
      <c r="O5622">
        <v>-0.2121883</v>
      </c>
      <c r="P5622">
        <v>-0.98812509999999998</v>
      </c>
      <c r="Q5622">
        <v>-0.1001239</v>
      </c>
      <c r="R5622">
        <v>-0.1165519</v>
      </c>
      <c r="S5622">
        <v>-2.999619</v>
      </c>
      <c r="T5622">
        <v>-0.18670919999999999</v>
      </c>
      <c r="U5622">
        <v>-0.144928</v>
      </c>
      <c r="V5622">
        <v>9.5529699999999995E-2</v>
      </c>
      <c r="W5622">
        <v>-8.9041590000000004E-2</v>
      </c>
      <c r="X5622">
        <v>0.99143619999999999</v>
      </c>
      <c r="Y5622">
        <v>0.16415370000000001</v>
      </c>
      <c r="Z5622">
        <v>1.6691750000000002E-2</v>
      </c>
      <c r="AA5622">
        <v>0.98629359999999999</v>
      </c>
      <c r="AB5622">
        <v>22</v>
      </c>
      <c r="AC5622">
        <v>-17.7715999999999</v>
      </c>
      <c r="AD5622">
        <v>-1.1196182431149999</v>
      </c>
      <c r="AE5622">
        <v>-0.82540000000000102</v>
      </c>
      <c r="AF5622">
        <v>2.95287582192771</v>
      </c>
      <c r="AG5622">
        <v>-1.1196182431149999</v>
      </c>
      <c r="AH5622">
        <v>17.4728160823359</v>
      </c>
      <c r="AI5622">
        <v>93.615246328587901</v>
      </c>
      <c r="AJ5622">
        <v>80.407746258573297</v>
      </c>
      <c r="AK5622">
        <v>17.755909508588299</v>
      </c>
      <c r="AL5622">
        <v>95.108472702585701</v>
      </c>
      <c r="AM5622">
        <v>84.496263709758097</v>
      </c>
      <c r="AN5622">
        <v>1.0000000335011201</v>
      </c>
    </row>
    <row r="5623" spans="1:40" x14ac:dyDescent="0.25">
      <c r="A5623" t="str">
        <f>"20190303153919871"</f>
        <v>20190303153919871</v>
      </c>
      <c r="B5623" t="str">
        <f>"1551598759864081"</f>
        <v>1551598759864081</v>
      </c>
      <c r="C5623" t="s">
        <v>40</v>
      </c>
      <c r="D5623">
        <v>4.7771059999999999</v>
      </c>
      <c r="E5623">
        <v>0.52528109999999995</v>
      </c>
      <c r="F5623" t="s">
        <v>42</v>
      </c>
      <c r="G5623">
        <v>-226.87909999999999</v>
      </c>
      <c r="H5623" s="1">
        <v>-1.8710890000000001E-6</v>
      </c>
      <c r="I5623">
        <v>141.68299999999999</v>
      </c>
      <c r="J5623">
        <v>-208.53190000000001</v>
      </c>
      <c r="K5623">
        <v>1.119828</v>
      </c>
      <c r="L5623">
        <v>142.6037</v>
      </c>
      <c r="M5623">
        <v>-0.97757749999999999</v>
      </c>
      <c r="N5623">
        <v>-1.1741069999999999E-2</v>
      </c>
      <c r="O5623">
        <v>-0.2102483</v>
      </c>
      <c r="P5623">
        <v>-0.98796059999999997</v>
      </c>
      <c r="Q5623">
        <v>-9.9974149999999998E-2</v>
      </c>
      <c r="R5623">
        <v>-0.11806410000000001</v>
      </c>
      <c r="S5623">
        <v>-2.999374</v>
      </c>
      <c r="T5623">
        <v>-0.18099860000000001</v>
      </c>
      <c r="U5623">
        <v>-0.15567020000000001</v>
      </c>
      <c r="V5623">
        <v>9.2098139999999995E-2</v>
      </c>
      <c r="W5623">
        <v>-8.855288E-2</v>
      </c>
      <c r="X5623">
        <v>0.99180460000000004</v>
      </c>
      <c r="Y5623">
        <v>0.1587228</v>
      </c>
      <c r="Z5623">
        <v>1.581115E-2</v>
      </c>
      <c r="AA5623">
        <v>0.98719659999999998</v>
      </c>
      <c r="AB5623">
        <v>22</v>
      </c>
      <c r="AC5623">
        <v>-18.347199999999901</v>
      </c>
      <c r="AD5623">
        <v>-1.119829871089</v>
      </c>
      <c r="AE5623">
        <v>-0.92070000000000995</v>
      </c>
      <c r="AF5623">
        <v>2.9466661924709099</v>
      </c>
      <c r="AG5623">
        <v>-1.119829871089</v>
      </c>
      <c r="AH5623">
        <v>18.063512049072902</v>
      </c>
      <c r="AI5623">
        <v>93.501293427554202</v>
      </c>
      <c r="AJ5623">
        <v>80.735056254841993</v>
      </c>
      <c r="AK5623">
        <v>18.336502614649099</v>
      </c>
      <c r="AL5623">
        <v>95.080360689615105</v>
      </c>
      <c r="AM5623">
        <v>84.694775924897797</v>
      </c>
      <c r="AN5623">
        <v>1.0000000222644501</v>
      </c>
    </row>
    <row r="5624" spans="1:40" x14ac:dyDescent="0.25">
      <c r="A5624" t="str">
        <f>"20190303153919896"</f>
        <v>20190303153919896</v>
      </c>
      <c r="B5624" t="str">
        <f>"1551598759884576"</f>
        <v>1551598759884576</v>
      </c>
      <c r="C5624" t="s">
        <v>40</v>
      </c>
      <c r="D5624">
        <v>4.9283849999999996</v>
      </c>
      <c r="E5624">
        <v>0.52495550000000002</v>
      </c>
      <c r="F5624" t="s">
        <v>42</v>
      </c>
      <c r="G5624">
        <v>-227.23230000000001</v>
      </c>
      <c r="H5624" s="1">
        <v>-1.6982980000000001E-6</v>
      </c>
      <c r="I5624">
        <v>141.60310000000001</v>
      </c>
      <c r="J5624">
        <v>-208.75890000000001</v>
      </c>
      <c r="K5624">
        <v>1.1200270000000001</v>
      </c>
      <c r="L5624">
        <v>142.5573</v>
      </c>
      <c r="M5624">
        <v>-0.97796269999999996</v>
      </c>
      <c r="N5624">
        <v>-1.200855E-2</v>
      </c>
      <c r="O5624">
        <v>-0.2084346</v>
      </c>
      <c r="P5624">
        <v>-0.98790979999999995</v>
      </c>
      <c r="Q5624">
        <v>-0.10199229999999999</v>
      </c>
      <c r="R5624">
        <v>-0.11675679999999999</v>
      </c>
      <c r="S5624">
        <v>-2.9992070000000002</v>
      </c>
      <c r="T5624">
        <v>-0.1796005</v>
      </c>
      <c r="U5624">
        <v>-0.1604767</v>
      </c>
      <c r="V5624">
        <v>9.1569510000000007E-2</v>
      </c>
      <c r="W5624">
        <v>-9.0260649999999998E-2</v>
      </c>
      <c r="X5624">
        <v>0.99169960000000001</v>
      </c>
      <c r="Y5624">
        <v>0.15533079999999999</v>
      </c>
      <c r="Z5624">
        <v>1.54358E-2</v>
      </c>
      <c r="AA5624">
        <v>0.98774189999999995</v>
      </c>
      <c r="AB5624">
        <v>22</v>
      </c>
      <c r="AC5624">
        <v>-18.473400000000002</v>
      </c>
      <c r="AD5624">
        <v>-1.1200286982979999</v>
      </c>
      <c r="AE5624">
        <v>-0.95419999999998595</v>
      </c>
      <c r="AF5624">
        <v>2.9068767858680302</v>
      </c>
      <c r="AG5624">
        <v>-1.1200286982979999</v>
      </c>
      <c r="AH5624">
        <v>18.199776754740501</v>
      </c>
      <c r="AI5624">
        <v>93.477617948579194</v>
      </c>
      <c r="AJ5624">
        <v>80.925340218131495</v>
      </c>
      <c r="AK5624">
        <v>18.464459668661299</v>
      </c>
      <c r="AL5624">
        <v>95.178602119170094</v>
      </c>
      <c r="AM5624">
        <v>84.724499520172202</v>
      </c>
      <c r="AN5624">
        <v>1.00000002837011</v>
      </c>
    </row>
    <row r="5625" spans="1:40" x14ac:dyDescent="0.25">
      <c r="A5625" t="str">
        <f>"20190303153919918"</f>
        <v>20190303153919918</v>
      </c>
      <c r="B5625" t="str">
        <f>"1551598759913856"</f>
        <v>1551598759913856</v>
      </c>
      <c r="C5625" t="s">
        <v>40</v>
      </c>
      <c r="D5625">
        <v>4.8831129999999998</v>
      </c>
      <c r="E5625">
        <v>0.52473219999999898</v>
      </c>
      <c r="F5625" t="s">
        <v>42</v>
      </c>
      <c r="G5625">
        <v>-226.48859999999999</v>
      </c>
      <c r="H5625" s="1">
        <v>-2.021144E-6</v>
      </c>
      <c r="I5625">
        <v>141.61750000000001</v>
      </c>
      <c r="J5625">
        <v>-208.9708</v>
      </c>
      <c r="K5625">
        <v>1.1202000000000001</v>
      </c>
      <c r="L5625">
        <v>142.51400000000001</v>
      </c>
      <c r="M5625">
        <v>-0.97825519999999999</v>
      </c>
      <c r="N5625">
        <v>-1.222503E-2</v>
      </c>
      <c r="O5625">
        <v>-0.20704500000000001</v>
      </c>
      <c r="P5625">
        <v>-0.98771030000000004</v>
      </c>
      <c r="Q5625">
        <v>-0.102912</v>
      </c>
      <c r="R5625">
        <v>-0.11763410000000001</v>
      </c>
      <c r="S5625">
        <v>-2.9983520000000001</v>
      </c>
      <c r="T5625">
        <v>-0.18941269999999999</v>
      </c>
      <c r="U5625">
        <v>-0.15893550000000001</v>
      </c>
      <c r="V5625">
        <v>8.9298459999999996E-2</v>
      </c>
      <c r="W5625">
        <v>-9.0923669999999998E-2</v>
      </c>
      <c r="X5625">
        <v>0.99184609999999995</v>
      </c>
      <c r="Y5625">
        <v>0.15435689999999999</v>
      </c>
      <c r="Z5625">
        <v>1.6235779999999998E-2</v>
      </c>
      <c r="AA5625">
        <v>0.98788169999999997</v>
      </c>
      <c r="AB5625">
        <v>22</v>
      </c>
      <c r="AC5625">
        <v>-17.517799999999902</v>
      </c>
      <c r="AD5625">
        <v>-1.120202021144</v>
      </c>
      <c r="AE5625">
        <v>-0.89650000000000296</v>
      </c>
      <c r="AF5625">
        <v>2.7390012470686602</v>
      </c>
      <c r="AG5625">
        <v>-1.120202021144</v>
      </c>
      <c r="AH5625">
        <v>17.253418985856602</v>
      </c>
      <c r="AI5625">
        <v>93.668976385078196</v>
      </c>
      <c r="AJ5625">
        <v>80.979500721191002</v>
      </c>
      <c r="AK5625">
        <v>17.5053548122035</v>
      </c>
      <c r="AL5625">
        <v>95.216747325936694</v>
      </c>
      <c r="AM5625">
        <v>84.855383941487503</v>
      </c>
      <c r="AN5625">
        <v>1.00000000740492</v>
      </c>
    </row>
    <row r="5626" spans="1:40" x14ac:dyDescent="0.25">
      <c r="A5626" t="str">
        <f>"20190303153919940"</f>
        <v>20190303153919940</v>
      </c>
      <c r="B5626" t="str">
        <f>"1551598759934352"</f>
        <v>1551598759934352</v>
      </c>
      <c r="C5626" t="s">
        <v>40</v>
      </c>
      <c r="D5626">
        <v>4.8715250000000001</v>
      </c>
      <c r="E5626">
        <v>0.52457739999999997</v>
      </c>
      <c r="F5626" t="s">
        <v>42</v>
      </c>
      <c r="G5626">
        <v>-226.51859999999999</v>
      </c>
      <c r="H5626" s="1">
        <v>-1.9919430000000001E-6</v>
      </c>
      <c r="I5626">
        <v>141.55609999999999</v>
      </c>
      <c r="J5626">
        <v>-209.17859999999999</v>
      </c>
      <c r="K5626">
        <v>1.1203730000000001</v>
      </c>
      <c r="L5626">
        <v>142.47149999999999</v>
      </c>
      <c r="M5626">
        <v>-0.97847459999999997</v>
      </c>
      <c r="N5626">
        <v>-1.240929E-2</v>
      </c>
      <c r="O5626">
        <v>-0.2059935</v>
      </c>
      <c r="P5626">
        <v>-0.98765499999999995</v>
      </c>
      <c r="Q5626">
        <v>-0.1033263</v>
      </c>
      <c r="R5626">
        <v>-0.1177334</v>
      </c>
      <c r="S5626">
        <v>-2.9978639999999999</v>
      </c>
      <c r="T5626">
        <v>-0.19137489999999999</v>
      </c>
      <c r="U5626">
        <v>-0.16363529999999901</v>
      </c>
      <c r="V5626">
        <v>8.8160100000000005E-2</v>
      </c>
      <c r="W5626">
        <v>-9.11193E-2</v>
      </c>
      <c r="X5626">
        <v>0.99192990000000003</v>
      </c>
      <c r="Y5626">
        <v>0.15173710000000001</v>
      </c>
      <c r="Z5626">
        <v>1.6245610000000001E-2</v>
      </c>
      <c r="AA5626">
        <v>0.98828740000000004</v>
      </c>
      <c r="AB5626">
        <v>22</v>
      </c>
      <c r="AC5626">
        <v>-17.34</v>
      </c>
      <c r="AD5626">
        <v>-1.1203749919429999</v>
      </c>
      <c r="AE5626">
        <v>-0.91540000000000499</v>
      </c>
      <c r="AF5626">
        <v>2.6653417515442701</v>
      </c>
      <c r="AG5626">
        <v>-1.1203749919429999</v>
      </c>
      <c r="AH5626">
        <v>17.085509090298501</v>
      </c>
      <c r="AI5626">
        <v>93.7070657348266</v>
      </c>
      <c r="AJ5626">
        <v>81.133316316579794</v>
      </c>
      <c r="AK5626">
        <v>17.328413304447999</v>
      </c>
      <c r="AL5626">
        <v>95.228003236348599</v>
      </c>
      <c r="AM5626">
        <v>84.921048138946801</v>
      </c>
      <c r="AN5626">
        <v>0.99999992828925199</v>
      </c>
    </row>
    <row r="5627" spans="1:40" x14ac:dyDescent="0.25">
      <c r="A5627" t="str">
        <f>"20190303153919960"</f>
        <v>20190303153919960</v>
      </c>
      <c r="B5627" t="str">
        <f>"1551598759953873"</f>
        <v>1551598759953873</v>
      </c>
      <c r="C5627" t="s">
        <v>40</v>
      </c>
      <c r="D5627">
        <v>4.8383440000000002</v>
      </c>
      <c r="E5627">
        <v>0.52446329999999997</v>
      </c>
      <c r="F5627" t="s">
        <v>42</v>
      </c>
      <c r="G5627">
        <v>-226.61869999999999</v>
      </c>
      <c r="H5627" s="1">
        <v>-1.9369520000000002E-6</v>
      </c>
      <c r="I5627">
        <v>141.51070000000001</v>
      </c>
      <c r="J5627">
        <v>-209.37379999999999</v>
      </c>
      <c r="K5627">
        <v>1.120547</v>
      </c>
      <c r="L5627">
        <v>142.4315</v>
      </c>
      <c r="M5627">
        <v>-0.97862170000000004</v>
      </c>
      <c r="N5627">
        <v>-1.256034E-2</v>
      </c>
      <c r="O5627">
        <v>-0.20528469999999999</v>
      </c>
      <c r="P5627">
        <v>-0.98773860000000002</v>
      </c>
      <c r="Q5627">
        <v>-0.104022699999999</v>
      </c>
      <c r="R5627">
        <v>-0.116412</v>
      </c>
      <c r="S5627">
        <v>-2.997681</v>
      </c>
      <c r="T5627">
        <v>-0.19257589999999999</v>
      </c>
      <c r="U5627">
        <v>-0.16513059999999999</v>
      </c>
      <c r="V5627">
        <v>8.8786190000000001E-2</v>
      </c>
      <c r="W5627">
        <v>-9.1635359999999999E-2</v>
      </c>
      <c r="X5627">
        <v>0.9918266</v>
      </c>
      <c r="Y5627">
        <v>0.15052299999999999</v>
      </c>
      <c r="Z5627">
        <v>1.6256389999999999E-2</v>
      </c>
      <c r="AA5627">
        <v>0.98847280000000004</v>
      </c>
      <c r="AB5627">
        <v>22</v>
      </c>
      <c r="AC5627">
        <v>-17.244900000000001</v>
      </c>
      <c r="AD5627">
        <v>-1.1205489369520001</v>
      </c>
      <c r="AE5627">
        <v>-0.92079999999998496</v>
      </c>
      <c r="AF5627">
        <v>2.62814241708007</v>
      </c>
      <c r="AG5627">
        <v>-1.1205489369520001</v>
      </c>
      <c r="AH5627">
        <v>16.995053017958</v>
      </c>
      <c r="AI5627">
        <v>93.728083959037093</v>
      </c>
      <c r="AJ5627">
        <v>81.209320389253804</v>
      </c>
      <c r="AK5627">
        <v>17.2335309663389</v>
      </c>
      <c r="AL5627">
        <v>95.257695060859504</v>
      </c>
      <c r="AM5627">
        <v>84.884639516132196</v>
      </c>
      <c r="AN5627">
        <v>1.0000000156022999</v>
      </c>
    </row>
    <row r="5628" spans="1:40" x14ac:dyDescent="0.25">
      <c r="A5628" t="str">
        <f>"20190303153919983"</f>
        <v>20190303153919983</v>
      </c>
      <c r="B5628" t="str">
        <f>"1551598759974369"</f>
        <v>1551598759974369</v>
      </c>
      <c r="C5628" t="s">
        <v>40</v>
      </c>
      <c r="D5628">
        <v>4.856903</v>
      </c>
      <c r="E5628">
        <v>0.52435030000000005</v>
      </c>
      <c r="F5628" t="s">
        <v>42</v>
      </c>
      <c r="G5628">
        <v>-226.6037</v>
      </c>
      <c r="H5628" s="1">
        <v>-1.9408210000000001E-6</v>
      </c>
      <c r="I5628">
        <v>141.50110000000001</v>
      </c>
      <c r="J5628">
        <v>-209.5926</v>
      </c>
      <c r="K5628">
        <v>1.1207370000000001</v>
      </c>
      <c r="L5628">
        <v>142.38650000000001</v>
      </c>
      <c r="M5628">
        <v>-0.97872729999999997</v>
      </c>
      <c r="N5628">
        <v>-1.2707980000000001E-2</v>
      </c>
      <c r="O5628">
        <v>-0.20477229999999999</v>
      </c>
      <c r="P5628">
        <v>-0.9879985</v>
      </c>
      <c r="Q5628">
        <v>-0.104403</v>
      </c>
      <c r="R5628">
        <v>-0.1138386</v>
      </c>
      <c r="S5628">
        <v>-2.9976349999999998</v>
      </c>
      <c r="T5628">
        <v>-0.19495219999999999</v>
      </c>
      <c r="U5628">
        <v>-0.16186519999999999</v>
      </c>
      <c r="V5628">
        <v>9.087858E-2</v>
      </c>
      <c r="W5628">
        <v>-9.1835189999999997E-2</v>
      </c>
      <c r="X5628">
        <v>0.99161860000000002</v>
      </c>
      <c r="Y5628">
        <v>0.1510619</v>
      </c>
      <c r="Z5628">
        <v>1.6453639999999999E-2</v>
      </c>
      <c r="AA5628">
        <v>0.98838729999999997</v>
      </c>
      <c r="AB5628">
        <v>22</v>
      </c>
      <c r="AC5628">
        <v>-17.011099999999999</v>
      </c>
      <c r="AD5628">
        <v>-1.120738940821</v>
      </c>
      <c r="AE5628">
        <v>-0.88540000000000396</v>
      </c>
      <c r="AF5628">
        <v>2.6057679421522701</v>
      </c>
      <c r="AG5628">
        <v>-1.120738940821</v>
      </c>
      <c r="AH5628">
        <v>16.759341762734898</v>
      </c>
      <c r="AI5628">
        <v>93.780526201960299</v>
      </c>
      <c r="AJ5628">
        <v>81.1623271565267</v>
      </c>
      <c r="AK5628">
        <v>16.997694510196698</v>
      </c>
      <c r="AL5628">
        <v>95.2691928653079</v>
      </c>
      <c r="AM5628">
        <v>84.763657969837894</v>
      </c>
      <c r="AN5628">
        <v>1.0000000331455501</v>
      </c>
    </row>
    <row r="5629" spans="1:40" x14ac:dyDescent="0.25">
      <c r="A5629" t="str">
        <f>"20190303153920005"</f>
        <v>20190303153920005</v>
      </c>
      <c r="B5629" t="str">
        <f>"1551598759993889"</f>
        <v>1551598759993889</v>
      </c>
      <c r="C5629" t="s">
        <v>40</v>
      </c>
      <c r="D5629">
        <v>4.86022</v>
      </c>
      <c r="E5629">
        <v>0.52435810000000005</v>
      </c>
      <c r="F5629" t="s">
        <v>42</v>
      </c>
      <c r="G5629">
        <v>-226.70820000000001</v>
      </c>
      <c r="H5629" s="1">
        <v>-1.896303E-6</v>
      </c>
      <c r="I5629">
        <v>141.50219999999999</v>
      </c>
      <c r="J5629">
        <v>-209.80699999999999</v>
      </c>
      <c r="K5629">
        <v>1.1209199999999999</v>
      </c>
      <c r="L5629">
        <v>142.34219999999999</v>
      </c>
      <c r="M5629">
        <v>-0.97878189999999998</v>
      </c>
      <c r="N5629">
        <v>-1.283313E-2</v>
      </c>
      <c r="O5629">
        <v>-0.2045035</v>
      </c>
      <c r="P5629">
        <v>-0.98835459999999997</v>
      </c>
      <c r="Q5629">
        <v>-0.10335129999999999</v>
      </c>
      <c r="R5629">
        <v>-0.1116872</v>
      </c>
      <c r="S5629">
        <v>-2.997849</v>
      </c>
      <c r="T5629">
        <v>-0.19630159999999999</v>
      </c>
      <c r="U5629">
        <v>-0.15487670000000001</v>
      </c>
      <c r="V5629">
        <v>9.2820200000000005E-2</v>
      </c>
      <c r="W5629">
        <v>-9.0625880000000006E-2</v>
      </c>
      <c r="X5629">
        <v>0.99155000000000004</v>
      </c>
      <c r="Y5629">
        <v>0.1530782</v>
      </c>
      <c r="Z5629">
        <v>1.662814E-2</v>
      </c>
      <c r="AA5629">
        <v>0.98807420000000001</v>
      </c>
      <c r="AB5629">
        <v>22</v>
      </c>
      <c r="AC5629">
        <v>-16.9011999999999</v>
      </c>
      <c r="AD5629">
        <v>-1.1209218963030001</v>
      </c>
      <c r="AE5629">
        <v>-0.84000000000000297</v>
      </c>
      <c r="AF5629">
        <v>2.6228855696236901</v>
      </c>
      <c r="AG5629">
        <v>-1.1209218963030001</v>
      </c>
      <c r="AH5629">
        <v>16.6427204495815</v>
      </c>
      <c r="AI5629">
        <v>93.806331250032002</v>
      </c>
      <c r="AJ5629">
        <v>81.043874637471703</v>
      </c>
      <c r="AK5629">
        <v>16.8853823934156</v>
      </c>
      <c r="AL5629">
        <v>95.199614410689506</v>
      </c>
      <c r="AM5629">
        <v>84.652057586968098</v>
      </c>
      <c r="AN5629">
        <v>1.0000000210769</v>
      </c>
    </row>
    <row r="5630" spans="1:40" x14ac:dyDescent="0.25">
      <c r="A5630" t="str">
        <f>"20190303153920030"</f>
        <v>20190303153920030</v>
      </c>
      <c r="B5630" t="str">
        <f>"1551598760024146"</f>
        <v>1551598760024146</v>
      </c>
      <c r="C5630" t="s">
        <v>40</v>
      </c>
      <c r="D5630">
        <v>4.8301089999999904</v>
      </c>
      <c r="E5630">
        <v>0.52424870000000001</v>
      </c>
      <c r="F5630" t="s">
        <v>42</v>
      </c>
      <c r="G5630">
        <v>-227.2491</v>
      </c>
      <c r="H5630" s="1">
        <v>-1.658174E-6</v>
      </c>
      <c r="I5630">
        <v>141.4795</v>
      </c>
      <c r="J5630">
        <v>-210.03989999999999</v>
      </c>
      <c r="K5630">
        <v>1.12107</v>
      </c>
      <c r="L5630">
        <v>142.29390000000001</v>
      </c>
      <c r="M5630">
        <v>-0.97880210000000001</v>
      </c>
      <c r="N5630">
        <v>-1.2949469999999999E-2</v>
      </c>
      <c r="O5630">
        <v>-0.204399</v>
      </c>
      <c r="P5630">
        <v>-0.98887340000000001</v>
      </c>
      <c r="Q5630">
        <v>-0.1008361</v>
      </c>
      <c r="R5630">
        <v>-0.1093701</v>
      </c>
      <c r="S5630">
        <v>-2.9984440000000001</v>
      </c>
      <c r="T5630">
        <v>-0.19269510000000001</v>
      </c>
      <c r="U5630">
        <v>-0.14830019999999999</v>
      </c>
      <c r="V5630">
        <v>9.5114160000000003E-2</v>
      </c>
      <c r="W5630">
        <v>-8.7967439999999994E-2</v>
      </c>
      <c r="X5630">
        <v>0.99157200000000001</v>
      </c>
      <c r="Y5630">
        <v>0.15516579999999999</v>
      </c>
      <c r="Z5630">
        <v>1.6351270000000001E-2</v>
      </c>
      <c r="AA5630">
        <v>0.98775310000000005</v>
      </c>
      <c r="AB5630">
        <v>22</v>
      </c>
      <c r="AC5630">
        <v>-17.209199999999999</v>
      </c>
      <c r="AD5630">
        <v>-1.1210716581739999</v>
      </c>
      <c r="AE5630">
        <v>-0.81440000000000601</v>
      </c>
      <c r="AF5630">
        <v>2.7091634943928802</v>
      </c>
      <c r="AG5630">
        <v>-1.1210716581739999</v>
      </c>
      <c r="AH5630">
        <v>16.9405583414228</v>
      </c>
      <c r="AI5630">
        <v>93.7387597033498</v>
      </c>
      <c r="AJ5630">
        <v>80.914095413843697</v>
      </c>
      <c r="AK5630">
        <v>17.192407784288399</v>
      </c>
      <c r="AL5630">
        <v>95.046686131629798</v>
      </c>
      <c r="AM5630">
        <v>84.520804032057697</v>
      </c>
      <c r="AN5630">
        <v>1.00000000255832</v>
      </c>
    </row>
    <row r="5631" spans="1:40" x14ac:dyDescent="0.25">
      <c r="A5631" t="str">
        <f>"20190303153920050"</f>
        <v>20190303153920050</v>
      </c>
      <c r="B5631" t="str">
        <f>"1551598760044641"</f>
        <v>1551598760044641</v>
      </c>
      <c r="C5631" t="s">
        <v>40</v>
      </c>
      <c r="D5631">
        <v>4.7927809999999997</v>
      </c>
      <c r="E5631">
        <v>0.52416819999999997</v>
      </c>
      <c r="F5631" t="s">
        <v>42</v>
      </c>
      <c r="G5631">
        <v>-228.32679999999999</v>
      </c>
      <c r="H5631" s="1">
        <v>-1.181859E-6</v>
      </c>
      <c r="I5631">
        <v>141.42679999999999</v>
      </c>
      <c r="J5631">
        <v>-210.22630000000001</v>
      </c>
      <c r="K5631">
        <v>1.121129</v>
      </c>
      <c r="L5631">
        <v>142.255</v>
      </c>
      <c r="M5631">
        <v>-0.9788017</v>
      </c>
      <c r="N5631">
        <v>-1.302883E-2</v>
      </c>
      <c r="O5631">
        <v>-0.20439599999999999</v>
      </c>
      <c r="P5631">
        <v>-0.98924089999999998</v>
      </c>
      <c r="Q5631">
        <v>-9.9313700000000005E-2</v>
      </c>
      <c r="R5631">
        <v>-0.1074225</v>
      </c>
      <c r="S5631">
        <v>-2.999298</v>
      </c>
      <c r="T5631">
        <v>-0.18387120000000001</v>
      </c>
      <c r="U5631">
        <v>-0.14219670000000001</v>
      </c>
      <c r="V5631">
        <v>9.7099290000000005E-2</v>
      </c>
      <c r="W5631">
        <v>-8.6358399999999905E-2</v>
      </c>
      <c r="X5631">
        <v>0.99152110000000004</v>
      </c>
      <c r="Y5631">
        <v>0.15723870000000001</v>
      </c>
      <c r="Z5631">
        <v>1.5591270000000001E-2</v>
      </c>
      <c r="AA5631">
        <v>0.98743749999999997</v>
      </c>
      <c r="AB5631">
        <v>22</v>
      </c>
      <c r="AC5631">
        <v>-18.100499999999901</v>
      </c>
      <c r="AD5631">
        <v>-1.121130181859</v>
      </c>
      <c r="AE5631">
        <v>-0.82820000000000904</v>
      </c>
      <c r="AF5631">
        <v>2.87825188119974</v>
      </c>
      <c r="AG5631">
        <v>-1.121130181859</v>
      </c>
      <c r="AH5631">
        <v>17.819376498414201</v>
      </c>
      <c r="AI5631">
        <v>93.554151362189003</v>
      </c>
      <c r="AJ5631">
        <v>80.824620119616895</v>
      </c>
      <c r="AK5631">
        <v>18.085116686616701</v>
      </c>
      <c r="AL5631">
        <v>94.954142378979199</v>
      </c>
      <c r="AM5631">
        <v>84.4068800069426</v>
      </c>
      <c r="AN5631">
        <v>1.00000006855713</v>
      </c>
    </row>
    <row r="5632" spans="1:40" x14ac:dyDescent="0.25">
      <c r="A5632" t="str">
        <f>"20190303153920074"</f>
        <v>20190303153920074</v>
      </c>
      <c r="B5632" t="str">
        <f>"1551598760064161"</f>
        <v>1551598760064161</v>
      </c>
      <c r="C5632" t="s">
        <v>40</v>
      </c>
      <c r="D5632">
        <v>4.8191100000000002</v>
      </c>
      <c r="E5632">
        <v>0.52405760000000001</v>
      </c>
      <c r="F5632" t="s">
        <v>42</v>
      </c>
      <c r="G5632">
        <v>-229.03049999999999</v>
      </c>
      <c r="H5632" s="1">
        <v>-8.7170180000000002E-7</v>
      </c>
      <c r="I5632">
        <v>141.39580000000001</v>
      </c>
      <c r="J5632">
        <v>-210.45910000000001</v>
      </c>
      <c r="K5632">
        <v>1.12112099999999</v>
      </c>
      <c r="L5632">
        <v>142.20650000000001</v>
      </c>
      <c r="M5632">
        <v>-0.97879839999999996</v>
      </c>
      <c r="N5632">
        <v>-1.3113349999999999E-2</v>
      </c>
      <c r="O5632">
        <v>-0.2044067</v>
      </c>
      <c r="P5632">
        <v>-0.98930229999999997</v>
      </c>
      <c r="Q5632">
        <v>-0.1001451</v>
      </c>
      <c r="R5632">
        <v>-0.1060758</v>
      </c>
      <c r="S5632">
        <v>-2.9997859999999998</v>
      </c>
      <c r="T5632">
        <v>-0.17885039999999999</v>
      </c>
      <c r="U5632">
        <v>-0.13705439999999999</v>
      </c>
      <c r="V5632">
        <v>9.8434939999999999E-2</v>
      </c>
      <c r="W5632">
        <v>-8.7115449999999997E-2</v>
      </c>
      <c r="X5632">
        <v>0.99132310000000001</v>
      </c>
      <c r="Y5632">
        <v>0.15897620000000001</v>
      </c>
      <c r="Z5632">
        <v>1.517248E-2</v>
      </c>
      <c r="AA5632">
        <v>0.98716579999999998</v>
      </c>
      <c r="AB5632">
        <v>22</v>
      </c>
      <c r="AC5632">
        <v>-18.571399999999901</v>
      </c>
      <c r="AD5632">
        <v>-1.1211218717018001</v>
      </c>
      <c r="AE5632">
        <v>-0.81069999999999698</v>
      </c>
      <c r="AF5632">
        <v>2.9919813766417298</v>
      </c>
      <c r="AG5632">
        <v>-1.1211218717018001</v>
      </c>
      <c r="AH5632">
        <v>18.278457287854099</v>
      </c>
      <c r="AI5632">
        <v>93.463894691236902</v>
      </c>
      <c r="AJ5632">
        <v>80.703757341383096</v>
      </c>
      <c r="AK5632">
        <v>18.555615528278398</v>
      </c>
      <c r="AL5632">
        <v>94.9976825119886</v>
      </c>
      <c r="AM5632">
        <v>84.329316655272393</v>
      </c>
      <c r="AN5632">
        <v>1.00000001381755</v>
      </c>
    </row>
    <row r="5633" spans="1:40" x14ac:dyDescent="0.25">
      <c r="A5633" t="str">
        <f>"20190303153920097"</f>
        <v>20190303153920097</v>
      </c>
      <c r="B5633" t="str">
        <f>"1551598760084657"</f>
        <v>1551598760084657</v>
      </c>
      <c r="C5633" t="s">
        <v>40</v>
      </c>
      <c r="D5633">
        <v>4.7120160000000002</v>
      </c>
      <c r="E5633">
        <v>0.52418529999999997</v>
      </c>
      <c r="F5633" t="s">
        <v>42</v>
      </c>
      <c r="G5633">
        <v>-228.96899999999999</v>
      </c>
      <c r="H5633" s="1">
        <v>-8.9442569999999896E-7</v>
      </c>
      <c r="I5633">
        <v>141.38200000000001</v>
      </c>
      <c r="J5633">
        <v>-210.66130000000001</v>
      </c>
      <c r="K5633">
        <v>1.121065</v>
      </c>
      <c r="L5633">
        <v>142.1643</v>
      </c>
      <c r="M5633">
        <v>-0.97881039999999997</v>
      </c>
      <c r="N5633">
        <v>-1.317699E-2</v>
      </c>
      <c r="O5633">
        <v>-0.20434440000000001</v>
      </c>
      <c r="P5633">
        <v>-0.98944019999999999</v>
      </c>
      <c r="Q5633">
        <v>-9.9479410000000004E-2</v>
      </c>
      <c r="R5633">
        <v>-0.1054132</v>
      </c>
      <c r="S5633">
        <v>-2.9997250000000002</v>
      </c>
      <c r="T5633">
        <v>-0.18168970000000001</v>
      </c>
      <c r="U5633">
        <v>-0.133606</v>
      </c>
      <c r="V5633">
        <v>9.9032319999999993E-2</v>
      </c>
      <c r="W5633">
        <v>-8.6405049999999997E-2</v>
      </c>
      <c r="X5633">
        <v>0.99132569999999998</v>
      </c>
      <c r="Y5633">
        <v>0.16002420000000001</v>
      </c>
      <c r="Z5633">
        <v>1.5468040000000001E-2</v>
      </c>
      <c r="AA5633">
        <v>0.98699190000000003</v>
      </c>
      <c r="AB5633">
        <v>22</v>
      </c>
      <c r="AC5633">
        <v>-18.307700000000001</v>
      </c>
      <c r="AD5633">
        <v>-1.1210658944256999</v>
      </c>
      <c r="AE5633">
        <v>-0.782299999999992</v>
      </c>
      <c r="AF5633">
        <v>2.9645151051514902</v>
      </c>
      <c r="AG5633">
        <v>-1.1210658944256999</v>
      </c>
      <c r="AH5633">
        <v>18.013772151079699</v>
      </c>
      <c r="AI5633">
        <v>93.513996415966702</v>
      </c>
      <c r="AJ5633">
        <v>80.654636008300201</v>
      </c>
      <c r="AK5633">
        <v>18.2904654303637</v>
      </c>
      <c r="AL5633">
        <v>94.956825902597899</v>
      </c>
      <c r="AM5633">
        <v>84.295143714176703</v>
      </c>
      <c r="AN5633">
        <v>0.99999993827528499</v>
      </c>
    </row>
    <row r="5634" spans="1:40" x14ac:dyDescent="0.25">
      <c r="A5634" t="str">
        <f>"20190303153920119"</f>
        <v>20190303153920119</v>
      </c>
      <c r="B5634" t="str">
        <f>"1551598760113937"</f>
        <v>1551598760113937</v>
      </c>
      <c r="C5634" t="s">
        <v>40</v>
      </c>
      <c r="D5634">
        <v>4.8379519999999996</v>
      </c>
      <c r="E5634">
        <v>0.52421390000000001</v>
      </c>
      <c r="F5634" t="s">
        <v>42</v>
      </c>
      <c r="G5634">
        <v>-229.44730000000001</v>
      </c>
      <c r="H5634" s="1">
        <v>-6.8035719999999899E-7</v>
      </c>
      <c r="I5634">
        <v>141.3486</v>
      </c>
      <c r="J5634">
        <v>-210.86920000000001</v>
      </c>
      <c r="K5634">
        <v>1.1209610000000001</v>
      </c>
      <c r="L5634">
        <v>142.12119999999999</v>
      </c>
      <c r="M5634">
        <v>-0.97885420000000001</v>
      </c>
      <c r="N5634">
        <v>-1.323409E-2</v>
      </c>
      <c r="O5634">
        <v>-0.20413039999999999</v>
      </c>
      <c r="P5634">
        <v>-0.98979340000000005</v>
      </c>
      <c r="Q5634">
        <v>-9.6917030000000001E-2</v>
      </c>
      <c r="R5634">
        <v>-0.104482199999999</v>
      </c>
      <c r="S5634">
        <v>-3.0001220000000002</v>
      </c>
      <c r="T5634">
        <v>-0.17903459999999999</v>
      </c>
      <c r="U5634">
        <v>-0.1302643</v>
      </c>
      <c r="V5634">
        <v>9.9775139999999998E-2</v>
      </c>
      <c r="W5634">
        <v>-8.3812620000000004E-2</v>
      </c>
      <c r="X5634">
        <v>0.99147390000000002</v>
      </c>
      <c r="Y5634">
        <v>0.16092790000000001</v>
      </c>
      <c r="Z5634">
        <v>1.5232860000000001E-2</v>
      </c>
      <c r="AA5634">
        <v>0.98684859999999996</v>
      </c>
      <c r="AB5634">
        <v>21</v>
      </c>
      <c r="AC5634">
        <v>-18.578099999999999</v>
      </c>
      <c r="AD5634">
        <v>-1.1209616803572</v>
      </c>
      <c r="AE5634">
        <v>-0.77259999999998197</v>
      </c>
      <c r="AF5634">
        <v>3.0253630066015802</v>
      </c>
      <c r="AG5634">
        <v>-1.1209616803572</v>
      </c>
      <c r="AH5634">
        <v>18.2781403080233</v>
      </c>
      <c r="AI5634">
        <v>93.462448206047199</v>
      </c>
      <c r="AJ5634">
        <v>80.601719269189601</v>
      </c>
      <c r="AK5634">
        <v>18.560705523506599</v>
      </c>
      <c r="AL5634">
        <v>94.807749047256607</v>
      </c>
      <c r="AM5634">
        <v>84.253491569580802</v>
      </c>
      <c r="AN5634">
        <v>1.00000006410724</v>
      </c>
    </row>
    <row r="5635" spans="1:40" x14ac:dyDescent="0.25">
      <c r="A5635" t="str">
        <f>"20190303153920140"</f>
        <v>20190303153920140</v>
      </c>
      <c r="B5635" t="str">
        <f>"1551598760134433"</f>
        <v>1551598760134433</v>
      </c>
      <c r="C5635" t="s">
        <v>40</v>
      </c>
      <c r="D5635">
        <v>4.862482</v>
      </c>
      <c r="E5635">
        <v>0.52418370000000003</v>
      </c>
      <c r="F5635" t="s">
        <v>42</v>
      </c>
      <c r="G5635">
        <v>-230.44479999999999</v>
      </c>
      <c r="H5635" s="1">
        <v>-4.4219629999999998E-6</v>
      </c>
      <c r="I5635">
        <v>141.29239999999999</v>
      </c>
      <c r="J5635">
        <v>-211.07069999999999</v>
      </c>
      <c r="K5635">
        <v>1.1208260000000001</v>
      </c>
      <c r="L5635">
        <v>142.0795</v>
      </c>
      <c r="M5635">
        <v>-0.97893850000000004</v>
      </c>
      <c r="N5635">
        <v>-1.328264E-2</v>
      </c>
      <c r="O5635">
        <v>-0.2037223</v>
      </c>
      <c r="P5635">
        <v>-0.99028729999999998</v>
      </c>
      <c r="Q5635">
        <v>-9.4384300000000004E-2</v>
      </c>
      <c r="R5635">
        <v>-0.10209210000000001</v>
      </c>
      <c r="S5635">
        <v>-3.0006710000000001</v>
      </c>
      <c r="T5635">
        <v>-0.17182839999999999</v>
      </c>
      <c r="U5635">
        <v>-0.12702939999999999</v>
      </c>
      <c r="V5635">
        <v>0.1017745</v>
      </c>
      <c r="W5635">
        <v>-8.1267329999999999E-2</v>
      </c>
      <c r="X5635">
        <v>0.99148250000000004</v>
      </c>
      <c r="Y5635">
        <v>0.16163239999999901</v>
      </c>
      <c r="Z5635">
        <v>1.455334E-2</v>
      </c>
      <c r="AA5635">
        <v>0.9867437</v>
      </c>
      <c r="AB5635">
        <v>21</v>
      </c>
      <c r="AC5635">
        <v>-19.374099999999999</v>
      </c>
      <c r="AD5635">
        <v>-1.1208304219630001</v>
      </c>
      <c r="AE5635">
        <v>-0.78710000000000901</v>
      </c>
      <c r="AF5635">
        <v>3.1661152293491202</v>
      </c>
      <c r="AG5635">
        <v>-1.1208304219630001</v>
      </c>
      <c r="AH5635">
        <v>19.064391068578299</v>
      </c>
      <c r="AI5635">
        <v>93.319291292849201</v>
      </c>
      <c r="AJ5635">
        <v>80.570675027171802</v>
      </c>
      <c r="AK5635">
        <v>19.35798422605</v>
      </c>
      <c r="AL5635">
        <v>94.661415671498503</v>
      </c>
      <c r="AM5635">
        <v>84.139183529575504</v>
      </c>
      <c r="AN5635">
        <v>0.99999998779091404</v>
      </c>
    </row>
    <row r="5636" spans="1:40" x14ac:dyDescent="0.25">
      <c r="A5636" t="str">
        <f>"20190303153920162"</f>
        <v>20190303153920162</v>
      </c>
      <c r="B5636" t="str">
        <f>"1551598760153953"</f>
        <v>1551598760153953</v>
      </c>
      <c r="C5636" t="s">
        <v>40</v>
      </c>
      <c r="D5636">
        <v>4.8729300000000002</v>
      </c>
      <c r="E5636">
        <v>0.52417740000000002</v>
      </c>
      <c r="F5636" t="s">
        <v>42</v>
      </c>
      <c r="G5636">
        <v>-231.41569999999999</v>
      </c>
      <c r="H5636" s="1">
        <v>-4.0874199999999997E-6</v>
      </c>
      <c r="I5636">
        <v>141.26900000000001</v>
      </c>
      <c r="J5636">
        <v>-211.27770000000001</v>
      </c>
      <c r="K5636">
        <v>1.1206480000000001</v>
      </c>
      <c r="L5636">
        <v>142.03710000000001</v>
      </c>
      <c r="M5636">
        <v>-0.97907469999999996</v>
      </c>
      <c r="N5636">
        <v>-1.329518E-2</v>
      </c>
      <c r="O5636">
        <v>-0.2030672</v>
      </c>
      <c r="P5636">
        <v>-0.990842</v>
      </c>
      <c r="Q5636">
        <v>-9.3933379999999997E-2</v>
      </c>
      <c r="R5636">
        <v>-9.7001169999999998E-2</v>
      </c>
      <c r="S5636">
        <v>-3.0013429999999999</v>
      </c>
      <c r="T5636">
        <v>-0.16534760000000001</v>
      </c>
      <c r="U5636">
        <v>-0.1195679</v>
      </c>
      <c r="V5636">
        <v>0.1061761</v>
      </c>
      <c r="W5636">
        <v>-8.0855700000000003E-2</v>
      </c>
      <c r="X5636">
        <v>0.99105449999999995</v>
      </c>
      <c r="Y5636">
        <v>0.16346769999999999</v>
      </c>
      <c r="Z5636">
        <v>1.3975720000000001E-2</v>
      </c>
      <c r="AA5636">
        <v>0.98644969999999998</v>
      </c>
      <c r="AB5636">
        <v>21</v>
      </c>
      <c r="AC5636">
        <v>-20.137999999999899</v>
      </c>
      <c r="AD5636">
        <v>-1.1206520874200001</v>
      </c>
      <c r="AE5636">
        <v>-0.768100000000004</v>
      </c>
      <c r="AF5636">
        <v>3.3273454079067801</v>
      </c>
      <c r="AG5636">
        <v>-1.1206520874200001</v>
      </c>
      <c r="AH5636">
        <v>19.813068275359701</v>
      </c>
      <c r="AI5636">
        <v>93.192658667236202</v>
      </c>
      <c r="AJ5636">
        <v>80.466880002283503</v>
      </c>
      <c r="AK5636">
        <v>20.121748508731098</v>
      </c>
      <c r="AL5636">
        <v>94.637753010891103</v>
      </c>
      <c r="AM5636">
        <v>83.884971448040403</v>
      </c>
      <c r="AN5636">
        <v>1.0000000152019699</v>
      </c>
    </row>
    <row r="5637" spans="1:40" x14ac:dyDescent="0.25">
      <c r="A5637" t="str">
        <f>"20190303153920186"</f>
        <v>20190303153920186</v>
      </c>
      <c r="B5637" t="str">
        <f>"1551598760174449"</f>
        <v>1551598760174449</v>
      </c>
      <c r="C5637" t="s">
        <v>40</v>
      </c>
      <c r="D5637">
        <v>4.883928</v>
      </c>
      <c r="E5637">
        <v>0.52412899999999996</v>
      </c>
      <c r="F5637" t="s">
        <v>42</v>
      </c>
      <c r="G5637">
        <v>-231.63919999999999</v>
      </c>
      <c r="H5637" s="1">
        <v>-4.022585E-6</v>
      </c>
      <c r="I5637">
        <v>141.3323</v>
      </c>
      <c r="J5637">
        <v>-211.49959999999999</v>
      </c>
      <c r="K5637">
        <v>1.120401</v>
      </c>
      <c r="L5637">
        <v>141.99209999999999</v>
      </c>
      <c r="M5637">
        <v>-0.97927980000000003</v>
      </c>
      <c r="N5637">
        <v>-1.316259E-2</v>
      </c>
      <c r="O5637">
        <v>-0.2020835</v>
      </c>
      <c r="P5637">
        <v>-0.99139770000000005</v>
      </c>
      <c r="Q5637">
        <v>-9.5361849999999998E-2</v>
      </c>
      <c r="R5637">
        <v>-8.9647370000000004E-2</v>
      </c>
      <c r="S5637">
        <v>-3.0018919999999998</v>
      </c>
      <c r="T5637">
        <v>-0.16521759999999999</v>
      </c>
      <c r="U5637">
        <v>-0.10389710000000001</v>
      </c>
      <c r="V5637">
        <v>0.1124539</v>
      </c>
      <c r="W5637">
        <v>-8.2486799999999999E-2</v>
      </c>
      <c r="X5637">
        <v>0.99022730000000003</v>
      </c>
      <c r="Y5637">
        <v>0.16761779999999901</v>
      </c>
      <c r="Z5637">
        <v>1.4081299999999901E-2</v>
      </c>
      <c r="AA5637">
        <v>0.9857515</v>
      </c>
      <c r="AB5637">
        <v>21</v>
      </c>
      <c r="AC5637">
        <v>-20.139600000000002</v>
      </c>
      <c r="AD5637">
        <v>-1.120405022585</v>
      </c>
      <c r="AE5637">
        <v>-0.65979999999998995</v>
      </c>
      <c r="AF5637">
        <v>3.41349566204179</v>
      </c>
      <c r="AG5637">
        <v>-1.120405022585</v>
      </c>
      <c r="AH5637">
        <v>19.7961574966636</v>
      </c>
      <c r="AI5637">
        <v>93.192307880927402</v>
      </c>
      <c r="AJ5637">
        <v>80.216566886933805</v>
      </c>
      <c r="AK5637">
        <v>20.119520662334899</v>
      </c>
      <c r="AL5637">
        <v>94.731521351815502</v>
      </c>
      <c r="AM5637">
        <v>83.521035214471297</v>
      </c>
      <c r="AN5637">
        <v>1.00000002873236</v>
      </c>
    </row>
    <row r="5638" spans="1:40" x14ac:dyDescent="0.25">
      <c r="A5638" t="str">
        <f>"20190303153920209"</f>
        <v>20190303153920209</v>
      </c>
      <c r="B5638" t="str">
        <f>"1551598760203728"</f>
        <v>1551598760203728</v>
      </c>
      <c r="C5638" t="s">
        <v>40</v>
      </c>
      <c r="D5638">
        <v>4.8319190000000001</v>
      </c>
      <c r="E5638">
        <v>0.52402789999999999</v>
      </c>
      <c r="F5638" t="s">
        <v>42</v>
      </c>
      <c r="G5638">
        <v>-231.20689999999999</v>
      </c>
      <c r="H5638" s="1">
        <v>-4.191714E-6</v>
      </c>
      <c r="I5638">
        <v>141.45650000000001</v>
      </c>
      <c r="J5638">
        <v>-211.71639999999999</v>
      </c>
      <c r="K5638">
        <v>1.120112</v>
      </c>
      <c r="L5638">
        <v>141.9486</v>
      </c>
      <c r="M5638">
        <v>-0.97954070000000004</v>
      </c>
      <c r="N5638">
        <v>-1.283931E-2</v>
      </c>
      <c r="O5638">
        <v>-0.20083609999999999</v>
      </c>
      <c r="P5638">
        <v>-0.99185400000000001</v>
      </c>
      <c r="Q5638">
        <v>-9.6497940000000004E-2</v>
      </c>
      <c r="R5638">
        <v>-8.3148780000000005E-2</v>
      </c>
      <c r="S5638">
        <v>-3.0022280000000001</v>
      </c>
      <c r="T5638">
        <v>-0.17068349999999999</v>
      </c>
      <c r="U5638">
        <v>-8.1588750000000002E-2</v>
      </c>
      <c r="V5638">
        <v>0.1176075</v>
      </c>
      <c r="W5638">
        <v>-8.4017250000000002E-2</v>
      </c>
      <c r="X5638">
        <v>0.98949969999999998</v>
      </c>
      <c r="Y5638">
        <v>0.17363310000000001</v>
      </c>
      <c r="Z5638">
        <v>1.479537E-2</v>
      </c>
      <c r="AA5638">
        <v>0.9846992</v>
      </c>
      <c r="AB5638">
        <v>21</v>
      </c>
      <c r="AC5638">
        <v>-19.490500000000001</v>
      </c>
      <c r="AD5638">
        <v>-1.1201161917139999</v>
      </c>
      <c r="AE5638">
        <v>-0.49209999999999299</v>
      </c>
      <c r="AF5638">
        <v>3.4213542285771101</v>
      </c>
      <c r="AG5638">
        <v>-1.1201161917139999</v>
      </c>
      <c r="AH5638">
        <v>19.129012953687599</v>
      </c>
      <c r="AI5638">
        <v>93.298945659769203</v>
      </c>
      <c r="AJ5638">
        <v>79.859483284749302</v>
      </c>
      <c r="AK5638">
        <v>19.464826267467501</v>
      </c>
      <c r="AL5638">
        <v>94.819515100964296</v>
      </c>
      <c r="AM5638">
        <v>83.221878406319803</v>
      </c>
      <c r="AN5638">
        <v>1.0000000393269499</v>
      </c>
    </row>
    <row r="5639" spans="1:40" x14ac:dyDescent="0.25">
      <c r="A5639" t="str">
        <f>"20190303153920229"</f>
        <v>20190303153920229</v>
      </c>
      <c r="B5639" t="str">
        <f>"1551598760223720"</f>
        <v>1551598760223720</v>
      </c>
      <c r="C5639" t="s">
        <v>40</v>
      </c>
      <c r="D5639">
        <v>4.8328519999999999</v>
      </c>
      <c r="E5639">
        <v>0.52389960000000002</v>
      </c>
      <c r="F5639" t="s">
        <v>42</v>
      </c>
      <c r="G5639">
        <v>-230.86770000000001</v>
      </c>
      <c r="H5639" s="1">
        <v>-4.3236779999999996E-6</v>
      </c>
      <c r="I5639">
        <v>141.54949999999999</v>
      </c>
      <c r="J5639">
        <v>-211.90819999999999</v>
      </c>
      <c r="K5639">
        <v>1.1198360000000001</v>
      </c>
      <c r="L5639">
        <v>141.91069999999999</v>
      </c>
      <c r="M5639">
        <v>-0.97982250000000004</v>
      </c>
      <c r="N5639">
        <v>-1.244754E-2</v>
      </c>
      <c r="O5639">
        <v>-0.19948250000000001</v>
      </c>
      <c r="P5639">
        <v>-0.99216850000000001</v>
      </c>
      <c r="Q5639">
        <v>-9.6002190000000001E-2</v>
      </c>
      <c r="R5639">
        <v>-7.9910729999999999E-2</v>
      </c>
      <c r="S5639">
        <v>-3.002319</v>
      </c>
      <c r="T5639">
        <v>-0.17559959999999999</v>
      </c>
      <c r="U5639">
        <v>-6.2561039999999998E-2</v>
      </c>
      <c r="V5639">
        <v>0.1194405</v>
      </c>
      <c r="W5639">
        <v>-8.3966579999999999E-2</v>
      </c>
      <c r="X5639">
        <v>0.98928439999999995</v>
      </c>
      <c r="Y5639">
        <v>0.17846419999999999</v>
      </c>
      <c r="Z5639">
        <v>1.542175E-2</v>
      </c>
      <c r="AA5639">
        <v>0.98382559999999997</v>
      </c>
      <c r="AB5639">
        <v>21</v>
      </c>
      <c r="AC5639">
        <v>-18.959499999999998</v>
      </c>
      <c r="AD5639">
        <v>-1.1198403236779999</v>
      </c>
      <c r="AE5639">
        <v>-0.36119999999999602</v>
      </c>
      <c r="AF5639">
        <v>3.4165268311793802</v>
      </c>
      <c r="AG5639">
        <v>-1.1198403236779999</v>
      </c>
      <c r="AH5639">
        <v>18.585624140006701</v>
      </c>
      <c r="AI5639">
        <v>93.391387141364802</v>
      </c>
      <c r="AJ5639">
        <v>79.583817206875807</v>
      </c>
      <c r="AK5639">
        <v>18.930190770626201</v>
      </c>
      <c r="AL5639">
        <v>94.816601713417</v>
      </c>
      <c r="AM5639">
        <v>83.115758545368905</v>
      </c>
      <c r="AN5639">
        <v>1.0000000218402501</v>
      </c>
    </row>
    <row r="5640" spans="1:40" x14ac:dyDescent="0.25">
      <c r="A5640" t="str">
        <f>"20190303153920253"</f>
        <v>20190303153920253</v>
      </c>
      <c r="B5640" t="str">
        <f>"1551598760244215"</f>
        <v>1551598760244215</v>
      </c>
      <c r="C5640" t="s">
        <v>40</v>
      </c>
      <c r="D5640">
        <v>4.882879</v>
      </c>
      <c r="E5640">
        <v>0.52376369999999906</v>
      </c>
      <c r="F5640" t="s">
        <v>42</v>
      </c>
      <c r="G5640">
        <v>-231.13399999999999</v>
      </c>
      <c r="H5640" s="1">
        <v>-4.2360169999999996E-6</v>
      </c>
      <c r="I5640">
        <v>141.56630000000001</v>
      </c>
      <c r="J5640">
        <v>-212.1318</v>
      </c>
      <c r="K5640">
        <v>1.119542</v>
      </c>
      <c r="L5640">
        <v>141.8672</v>
      </c>
      <c r="M5640">
        <v>-0.98020739999999995</v>
      </c>
      <c r="N5640">
        <v>-1.1957199999999999E-2</v>
      </c>
      <c r="O5640">
        <v>-0.19761129999999999</v>
      </c>
      <c r="P5640">
        <v>-0.99253670000000005</v>
      </c>
      <c r="Q5640">
        <v>-9.4525919999999999E-2</v>
      </c>
      <c r="R5640">
        <v>-7.7045429999999998E-2</v>
      </c>
      <c r="S5640">
        <v>-3.0024410000000001</v>
      </c>
      <c r="T5640">
        <v>-0.1748827</v>
      </c>
      <c r="U5640">
        <v>-5.3771970000000002E-2</v>
      </c>
      <c r="V5640">
        <v>0.1203953</v>
      </c>
      <c r="W5640">
        <v>-8.3036650000000004E-2</v>
      </c>
      <c r="X5640">
        <v>0.98924710000000005</v>
      </c>
      <c r="Y5640">
        <v>0.17946679999999901</v>
      </c>
      <c r="Z5640">
        <v>1.535921E-2</v>
      </c>
      <c r="AA5640">
        <v>0.98364410000000002</v>
      </c>
      <c r="AB5640">
        <v>22</v>
      </c>
      <c r="AC5640">
        <v>-19.002199999999998</v>
      </c>
      <c r="AD5640">
        <v>-1.1195462360169901</v>
      </c>
      <c r="AE5640">
        <v>-0.30089999999998401</v>
      </c>
      <c r="AF5640">
        <v>3.44838591074071</v>
      </c>
      <c r="AG5640">
        <v>-1.1195462360169901</v>
      </c>
      <c r="AH5640">
        <v>18.622271651418401</v>
      </c>
      <c r="AI5640">
        <v>93.383029287929403</v>
      </c>
      <c r="AJ5640">
        <v>79.509067105437694</v>
      </c>
      <c r="AK5640">
        <v>18.971920056314701</v>
      </c>
      <c r="AL5640">
        <v>94.763134171086193</v>
      </c>
      <c r="AM5640">
        <v>83.061001668453997</v>
      </c>
      <c r="AN5640">
        <v>0.99999996918185996</v>
      </c>
    </row>
    <row r="5641" spans="1:40" x14ac:dyDescent="0.25">
      <c r="A5641" t="str">
        <f>"20190303153920274"</f>
        <v>20190303153920274</v>
      </c>
      <c r="B5641" t="str">
        <f>"1551598760263736"</f>
        <v>1551598760263736</v>
      </c>
      <c r="C5641" t="s">
        <v>40</v>
      </c>
      <c r="D5641">
        <v>4.8734609999999998</v>
      </c>
      <c r="E5641">
        <v>0.52364460000000002</v>
      </c>
      <c r="F5641" t="s">
        <v>42</v>
      </c>
      <c r="G5641">
        <v>-231.7672</v>
      </c>
      <c r="H5641" s="1">
        <v>-4.0205440000000002E-6</v>
      </c>
      <c r="I5641">
        <v>141.56620000000001</v>
      </c>
      <c r="J5641">
        <v>-212.34350000000001</v>
      </c>
      <c r="K5641">
        <v>1.1192979999999999</v>
      </c>
      <c r="L5641">
        <v>141.82679999999999</v>
      </c>
      <c r="M5641">
        <v>-0.98062039999999995</v>
      </c>
      <c r="N5641">
        <v>-1.1476470000000001E-2</v>
      </c>
      <c r="O5641">
        <v>-0.19558120000000001</v>
      </c>
      <c r="P5641">
        <v>-0.99293620000000005</v>
      </c>
      <c r="Q5641">
        <v>-9.3102219999999999E-2</v>
      </c>
      <c r="R5641">
        <v>-7.3550509999999999E-2</v>
      </c>
      <c r="S5641">
        <v>-3.0026860000000002</v>
      </c>
      <c r="T5641">
        <v>-0.1712042</v>
      </c>
      <c r="U5641">
        <v>-4.6020510000000001E-2</v>
      </c>
      <c r="V5641">
        <v>0.1218204</v>
      </c>
      <c r="W5641">
        <v>-8.2145830000000003E-2</v>
      </c>
      <c r="X5641">
        <v>0.989147</v>
      </c>
      <c r="Y5641">
        <v>0.17999279999999901</v>
      </c>
      <c r="Z5641">
        <v>1.498918E-2</v>
      </c>
      <c r="AA5641">
        <v>0.98355369999999998</v>
      </c>
      <c r="AB5641">
        <v>22</v>
      </c>
      <c r="AC5641">
        <v>-19.4237</v>
      </c>
      <c r="AD5641">
        <v>-1.1193020205440001</v>
      </c>
      <c r="AE5641">
        <v>-0.26059999999998201</v>
      </c>
      <c r="AF5641">
        <v>3.5318679089499101</v>
      </c>
      <c r="AG5641">
        <v>-1.1193020205440001</v>
      </c>
      <c r="AH5641">
        <v>19.036299345076099</v>
      </c>
      <c r="AI5641">
        <v>93.308683751940706</v>
      </c>
      <c r="AJ5641">
        <v>79.489238631462101</v>
      </c>
      <c r="AK5641">
        <v>19.393494287900001</v>
      </c>
      <c r="AL5641">
        <v>94.711918973379497</v>
      </c>
      <c r="AM5641">
        <v>82.978977384273804</v>
      </c>
      <c r="AN5641">
        <v>0.99999996742577302</v>
      </c>
    </row>
    <row r="5642" spans="1:40" x14ac:dyDescent="0.25">
      <c r="A5642" t="str">
        <f>"20190303153920297"</f>
        <v>20190303153920297</v>
      </c>
      <c r="B5642" t="str">
        <f>"1551598760293991"</f>
        <v>1551598760293991</v>
      </c>
      <c r="C5642" t="s">
        <v>40</v>
      </c>
      <c r="D5642">
        <v>4.834079</v>
      </c>
      <c r="E5642">
        <v>0.52336349999999998</v>
      </c>
      <c r="F5642" t="s">
        <v>42</v>
      </c>
      <c r="G5642">
        <v>-232.3912</v>
      </c>
      <c r="H5642" s="1">
        <v>-3.770427E-6</v>
      </c>
      <c r="I5642">
        <v>141.5856</v>
      </c>
      <c r="J5642">
        <v>-212.5703</v>
      </c>
      <c r="K5642">
        <v>1.1190739999999999</v>
      </c>
      <c r="L5642">
        <v>141.7841</v>
      </c>
      <c r="M5642">
        <v>-0.98110200000000003</v>
      </c>
      <c r="N5642">
        <v>-1.0944850000000001E-2</v>
      </c>
      <c r="O5642">
        <v>-0.1931823</v>
      </c>
      <c r="P5642">
        <v>-0.99327639999999995</v>
      </c>
      <c r="Q5642">
        <v>-9.2431470000000002E-2</v>
      </c>
      <c r="R5642">
        <v>-6.9704509999999997E-2</v>
      </c>
      <c r="S5642">
        <v>-3.002945</v>
      </c>
      <c r="T5642">
        <v>-0.1676598</v>
      </c>
      <c r="U5642">
        <v>-3.6117549999999998E-2</v>
      </c>
      <c r="V5642">
        <v>0.12321</v>
      </c>
      <c r="W5642">
        <v>-8.2054440000000006E-2</v>
      </c>
      <c r="X5642">
        <v>0.98898249999999999</v>
      </c>
      <c r="Y5642">
        <v>0.18085229999999999</v>
      </c>
      <c r="Z5642">
        <v>1.4634070000000001E-2</v>
      </c>
      <c r="AA5642">
        <v>0.98340139999999998</v>
      </c>
      <c r="AB5642">
        <v>22</v>
      </c>
      <c r="AC5642">
        <v>-19.820899999999899</v>
      </c>
      <c r="AD5642">
        <v>-1.1190777704270001</v>
      </c>
      <c r="AE5642">
        <v>-0.19849999999999501</v>
      </c>
      <c r="AF5642">
        <v>3.6229677283264299</v>
      </c>
      <c r="AG5642">
        <v>-1.1190777704270001</v>
      </c>
      <c r="AH5642">
        <v>19.423924371810099</v>
      </c>
      <c r="AI5642">
        <v>93.241575069324995</v>
      </c>
      <c r="AJ5642">
        <v>79.434547754967994</v>
      </c>
      <c r="AK5642">
        <v>19.790580290091501</v>
      </c>
      <c r="AL5642">
        <v>94.706664772781906</v>
      </c>
      <c r="AM5642">
        <v>82.898532830033403</v>
      </c>
      <c r="AN5642">
        <v>1.00000001026498</v>
      </c>
    </row>
    <row r="5643" spans="1:40" x14ac:dyDescent="0.25">
      <c r="A5643" t="str">
        <f>"20190303153920320"</f>
        <v>20190303153920320</v>
      </c>
      <c r="B5643" t="str">
        <f>"1551598760314487"</f>
        <v>1551598760314487</v>
      </c>
      <c r="C5643" t="s">
        <v>40</v>
      </c>
      <c r="D5643">
        <v>4.8909029999999998</v>
      </c>
      <c r="E5643">
        <v>0.52320829999999996</v>
      </c>
      <c r="F5643" t="s">
        <v>42</v>
      </c>
      <c r="G5643">
        <v>-232.72649999999999</v>
      </c>
      <c r="H5643" s="1">
        <v>-3.6319139999999999E-6</v>
      </c>
      <c r="I5643">
        <v>141.60550000000001</v>
      </c>
      <c r="J5643">
        <v>-212.78479999999999</v>
      </c>
      <c r="K5643">
        <v>1.1188819999999999</v>
      </c>
      <c r="L5643">
        <v>141.74469999999999</v>
      </c>
      <c r="M5643">
        <v>-0.98158970000000001</v>
      </c>
      <c r="N5643">
        <v>-1.0396880000000001E-2</v>
      </c>
      <c r="O5643">
        <v>-0.19071869999999999</v>
      </c>
      <c r="P5643">
        <v>-0.99372570000000005</v>
      </c>
      <c r="Q5643">
        <v>-9.0203080000000005E-2</v>
      </c>
      <c r="R5643">
        <v>-6.6127199999999997E-2</v>
      </c>
      <c r="S5643">
        <v>-3.0029300000000001</v>
      </c>
      <c r="T5643">
        <v>-0.16672419999999999</v>
      </c>
      <c r="U5643">
        <v>-2.6611329999999999E-2</v>
      </c>
      <c r="V5643">
        <v>0.12430670000000001</v>
      </c>
      <c r="W5643">
        <v>-8.0409910000000001E-2</v>
      </c>
      <c r="X5643">
        <v>0.98898039999999998</v>
      </c>
      <c r="Y5643">
        <v>0.1815003</v>
      </c>
      <c r="Z5643">
        <v>1.4516859999999999E-2</v>
      </c>
      <c r="AA5643">
        <v>0.98328380000000004</v>
      </c>
      <c r="AB5643">
        <v>22</v>
      </c>
      <c r="AC5643">
        <v>-19.941700000000001</v>
      </c>
      <c r="AD5643">
        <v>-1.1188856319139999</v>
      </c>
      <c r="AE5643">
        <v>-0.139199999999988</v>
      </c>
      <c r="AF5643">
        <v>3.6553092182201401</v>
      </c>
      <c r="AG5643">
        <v>-1.1188856319139999</v>
      </c>
      <c r="AH5643">
        <v>19.5406615357977</v>
      </c>
      <c r="AI5643">
        <v>93.221384751966497</v>
      </c>
      <c r="AJ5643">
        <v>79.404606921878894</v>
      </c>
      <c r="AK5643">
        <v>19.911068374015301</v>
      </c>
      <c r="AL5643">
        <v>94.612127430929505</v>
      </c>
      <c r="AM5643">
        <v>82.835961082349996</v>
      </c>
      <c r="AN5643">
        <v>1.00000007043762</v>
      </c>
    </row>
    <row r="5644" spans="1:40" x14ac:dyDescent="0.25">
      <c r="A5644" t="str">
        <f>"20190303153920342"</f>
        <v>20190303153920342</v>
      </c>
      <c r="B5644" t="str">
        <f>"1551598760334514"</f>
        <v>1551598760334514</v>
      </c>
      <c r="C5644" t="s">
        <v>40</v>
      </c>
      <c r="D5644">
        <v>4.6801019999999998</v>
      </c>
      <c r="E5644">
        <v>0.52311759999999996</v>
      </c>
      <c r="F5644" t="s">
        <v>42</v>
      </c>
      <c r="G5644">
        <v>-233.70099999999999</v>
      </c>
      <c r="H5644" s="1">
        <v>-3.2197190000000002E-6</v>
      </c>
      <c r="I5644">
        <v>141.6276</v>
      </c>
      <c r="J5644">
        <v>-213.00120000000001</v>
      </c>
      <c r="K5644">
        <v>1.118692</v>
      </c>
      <c r="L5644">
        <v>141.7055</v>
      </c>
      <c r="M5644">
        <v>-0.98211179999999998</v>
      </c>
      <c r="N5644">
        <v>-9.7755740000000004E-3</v>
      </c>
      <c r="O5644">
        <v>-0.1880454</v>
      </c>
      <c r="P5644">
        <v>-0.99414749999999996</v>
      </c>
      <c r="Q5644">
        <v>-8.7626430000000005E-2</v>
      </c>
      <c r="R5644">
        <v>-6.3185909999999998E-2</v>
      </c>
      <c r="S5644">
        <v>-3.0032199999999998</v>
      </c>
      <c r="T5644">
        <v>-0.16065299999999999</v>
      </c>
      <c r="U5644">
        <v>-1.6799930000000001E-2</v>
      </c>
      <c r="V5644">
        <v>0.12456879999999999</v>
      </c>
      <c r="W5644">
        <v>-7.8481499999999996E-2</v>
      </c>
      <c r="X5644">
        <v>0.98910220000000004</v>
      </c>
      <c r="Y5644">
        <v>0.18207280000000001</v>
      </c>
      <c r="Z5644">
        <v>1.3916710000000001E-2</v>
      </c>
      <c r="AA5644">
        <v>0.98318649999999996</v>
      </c>
      <c r="AB5644">
        <v>22</v>
      </c>
      <c r="AC5644">
        <v>-20.6997999999999</v>
      </c>
      <c r="AD5644">
        <v>-1.1186952197190001</v>
      </c>
      <c r="AE5644">
        <v>-7.7899999999999595E-2</v>
      </c>
      <c r="AF5644">
        <v>3.8050641789364699</v>
      </c>
      <c r="AG5644">
        <v>-1.1186952197190001</v>
      </c>
      <c r="AH5644">
        <v>20.285887706617402</v>
      </c>
      <c r="AI5644">
        <v>93.102466022935005</v>
      </c>
      <c r="AJ5644">
        <v>79.376360538958494</v>
      </c>
      <c r="AK5644">
        <v>20.669959662416801</v>
      </c>
      <c r="AL5644">
        <v>94.5012878802046</v>
      </c>
      <c r="AM5644">
        <v>82.8218879951757</v>
      </c>
      <c r="AN5644">
        <v>0.99999994691026295</v>
      </c>
    </row>
    <row r="5645" spans="1:40" x14ac:dyDescent="0.25">
      <c r="A5645" t="str">
        <f>"20190303153920363"</f>
        <v>20190303153920363</v>
      </c>
      <c r="B5645" t="str">
        <f>"1551598760354035"</f>
        <v>1551598760354035</v>
      </c>
      <c r="C5645" t="s">
        <v>40</v>
      </c>
      <c r="D5645">
        <v>4.7088039999999998</v>
      </c>
      <c r="E5645">
        <v>0.52303809999999995</v>
      </c>
      <c r="F5645" t="s">
        <v>42</v>
      </c>
      <c r="G5645">
        <v>-234.99549999999999</v>
      </c>
      <c r="H5645" s="1">
        <v>-2.6685520000000001E-6</v>
      </c>
      <c r="I5645">
        <v>141.64320000000001</v>
      </c>
      <c r="J5645">
        <v>-213.21889999999999</v>
      </c>
      <c r="K5645">
        <v>1.1184940000000001</v>
      </c>
      <c r="L5645">
        <v>141.6669</v>
      </c>
      <c r="M5645">
        <v>-0.98266200000000004</v>
      </c>
      <c r="N5645">
        <v>-9.0846130000000001E-3</v>
      </c>
      <c r="O5645">
        <v>-0.1851833</v>
      </c>
      <c r="P5645">
        <v>-0.99451290000000003</v>
      </c>
      <c r="Q5645">
        <v>-8.5412589999999997E-2</v>
      </c>
      <c r="R5645">
        <v>-6.0407219999999998E-2</v>
      </c>
      <c r="S5645">
        <v>-3.0036619999999998</v>
      </c>
      <c r="T5645">
        <v>-0.15277489999999999</v>
      </c>
      <c r="U5645">
        <v>-8.4991459999999904E-3</v>
      </c>
      <c r="V5645">
        <v>0.12447270000000001</v>
      </c>
      <c r="W5645">
        <v>-7.6981160000000007E-2</v>
      </c>
      <c r="X5645">
        <v>0.98923220000000001</v>
      </c>
      <c r="Y5645">
        <v>0.1819732</v>
      </c>
      <c r="Z5645">
        <v>1.313432E-2</v>
      </c>
      <c r="AA5645">
        <v>0.98321570000000003</v>
      </c>
      <c r="AB5645">
        <v>22</v>
      </c>
      <c r="AC5645">
        <v>-21.776599999999998</v>
      </c>
      <c r="AD5645">
        <v>-1.1184966685519999</v>
      </c>
      <c r="AE5645">
        <v>-2.3699999999990898E-2</v>
      </c>
      <c r="AF5645">
        <v>3.9989893643091801</v>
      </c>
      <c r="AG5645">
        <v>-1.1184966685519999</v>
      </c>
      <c r="AH5645">
        <v>21.347991709159398</v>
      </c>
      <c r="AI5645">
        <v>92.948001595114405</v>
      </c>
      <c r="AJ5645">
        <v>79.390091371092396</v>
      </c>
      <c r="AK5645">
        <v>21.748096485618198</v>
      </c>
      <c r="AL5645">
        <v>94.415063824850805</v>
      </c>
      <c r="AM5645">
        <v>82.828300710574396</v>
      </c>
      <c r="AN5645">
        <v>0.99999994877853604</v>
      </c>
    </row>
    <row r="5646" spans="1:40" x14ac:dyDescent="0.25">
      <c r="A5646" t="str">
        <f>"20190303153920386"</f>
        <v>20190303153920386</v>
      </c>
      <c r="B5646" t="str">
        <f>"1551598760374530"</f>
        <v>1551598760374530</v>
      </c>
      <c r="C5646" t="s">
        <v>40</v>
      </c>
      <c r="D5646">
        <v>4.6472519999999999</v>
      </c>
      <c r="E5646">
        <v>0.52301039999999999</v>
      </c>
      <c r="F5646" t="s">
        <v>42</v>
      </c>
      <c r="G5646">
        <v>-236.29660000000001</v>
      </c>
      <c r="H5646" s="1">
        <v>-2.1152500000000002E-6</v>
      </c>
      <c r="I5646">
        <v>141.66139999999999</v>
      </c>
      <c r="J5646">
        <v>-213.43809999999999</v>
      </c>
      <c r="K5646">
        <v>1.118295</v>
      </c>
      <c r="L5646">
        <v>141.62880000000001</v>
      </c>
      <c r="M5646">
        <v>-0.98323530000000003</v>
      </c>
      <c r="N5646">
        <v>-8.3425610000000001E-3</v>
      </c>
      <c r="O5646">
        <v>-0.1821509</v>
      </c>
      <c r="P5646">
        <v>-0.99481410000000003</v>
      </c>
      <c r="Q5646">
        <v>-8.3585489999999998E-2</v>
      </c>
      <c r="R5646">
        <v>-5.7952110000000001E-2</v>
      </c>
      <c r="S5646">
        <v>-3.0039980000000002</v>
      </c>
      <c r="T5646">
        <v>-0.14559349999999999</v>
      </c>
      <c r="U5646">
        <v>-7.0190429999999896E-4</v>
      </c>
      <c r="V5646">
        <v>0.1238765</v>
      </c>
      <c r="W5646">
        <v>-7.5914120000000002E-2</v>
      </c>
      <c r="X5646">
        <v>0.98938950000000003</v>
      </c>
      <c r="Y5646">
        <v>0.18153330000000001</v>
      </c>
      <c r="Z5646">
        <v>1.241479E-2</v>
      </c>
      <c r="AA5646">
        <v>0.98330640000000002</v>
      </c>
      <c r="AB5646">
        <v>22</v>
      </c>
      <c r="AC5646">
        <v>-22.858499999999999</v>
      </c>
      <c r="AD5646">
        <v>-1.1182971152500001</v>
      </c>
      <c r="AE5646">
        <v>3.2599999999973699E-2</v>
      </c>
      <c r="AF5646">
        <v>4.1858768650231601</v>
      </c>
      <c r="AG5646">
        <v>-1.1182971152500001</v>
      </c>
      <c r="AH5646">
        <v>22.416473718392201</v>
      </c>
      <c r="AI5646">
        <v>92.807515041746399</v>
      </c>
      <c r="AJ5646">
        <v>79.422849722830605</v>
      </c>
      <c r="AK5646">
        <v>22.831347913219702</v>
      </c>
      <c r="AL5646">
        <v>94.353747437127694</v>
      </c>
      <c r="AM5646">
        <v>82.863419714323996</v>
      </c>
      <c r="AN5646">
        <v>0.99999996178893602</v>
      </c>
    </row>
    <row r="5647" spans="1:40" x14ac:dyDescent="0.25">
      <c r="A5647" t="str">
        <f>"20190303153920408"</f>
        <v>20190303153920408</v>
      </c>
      <c r="B5647" t="str">
        <f>"1551598760403810"</f>
        <v>1551598760403810</v>
      </c>
      <c r="C5647" t="s">
        <v>40</v>
      </c>
      <c r="D5647">
        <v>4.7048550000000002</v>
      </c>
      <c r="E5647">
        <v>0.52298259999999996</v>
      </c>
      <c r="F5647" t="s">
        <v>42</v>
      </c>
      <c r="G5647">
        <v>-237.62020000000001</v>
      </c>
      <c r="H5647" s="1">
        <v>-1.5526249999999901E-6</v>
      </c>
      <c r="I5647">
        <v>141.68109999999999</v>
      </c>
      <c r="J5647">
        <v>-213.6602</v>
      </c>
      <c r="K5647">
        <v>1.118093</v>
      </c>
      <c r="L5647">
        <v>141.59100000000001</v>
      </c>
      <c r="M5647">
        <v>-0.98382930000000002</v>
      </c>
      <c r="N5647">
        <v>-7.566555E-3</v>
      </c>
      <c r="O5647">
        <v>-0.1789492</v>
      </c>
      <c r="P5647">
        <v>-0.99509110000000001</v>
      </c>
      <c r="Q5647">
        <v>-8.2099679999999994E-2</v>
      </c>
      <c r="R5647">
        <v>-5.5261310000000001E-2</v>
      </c>
      <c r="S5647">
        <v>-3.0043329999999999</v>
      </c>
      <c r="T5647">
        <v>-0.1389349</v>
      </c>
      <c r="U5647">
        <v>6.5002439999999996E-3</v>
      </c>
      <c r="V5647">
        <v>0.1233389</v>
      </c>
      <c r="W5647">
        <v>-7.522123E-2</v>
      </c>
      <c r="X5647">
        <v>0.98950959999999999</v>
      </c>
      <c r="Y5647">
        <v>0.18072579999999999</v>
      </c>
      <c r="Z5647">
        <v>1.1739640000000001E-2</v>
      </c>
      <c r="AA5647">
        <v>0.98346350000000005</v>
      </c>
      <c r="AB5647">
        <v>22</v>
      </c>
      <c r="AC5647">
        <v>-23.96</v>
      </c>
      <c r="AD5647">
        <v>-1.1180945526249999</v>
      </c>
      <c r="AE5647">
        <v>9.0099999999978295E-2</v>
      </c>
      <c r="AF5647">
        <v>4.3668814794789199</v>
      </c>
      <c r="AG5647">
        <v>-1.1180945526249999</v>
      </c>
      <c r="AH5647">
        <v>23.505912799093402</v>
      </c>
      <c r="AI5647">
        <v>92.677562736187497</v>
      </c>
      <c r="AJ5647">
        <v>79.475686849084994</v>
      </c>
      <c r="AK5647">
        <v>23.9342375229086</v>
      </c>
      <c r="AL5647">
        <v>94.313933830276795</v>
      </c>
      <c r="AM5647">
        <v>82.894927451605199</v>
      </c>
      <c r="AN5647">
        <v>0.99999998309404103</v>
      </c>
    </row>
    <row r="5648" spans="1:40" x14ac:dyDescent="0.25">
      <c r="A5648" t="str">
        <f>"20190303153920443"</f>
        <v>20190303153920443</v>
      </c>
      <c r="B5648" t="str">
        <f>"1551598760434574"</f>
        <v>1551598760434574</v>
      </c>
      <c r="C5648" t="s">
        <v>40</v>
      </c>
      <c r="D5648">
        <v>4.6338280000000003</v>
      </c>
      <c r="E5648">
        <v>0.52294350000000001</v>
      </c>
      <c r="F5648" t="s">
        <v>42</v>
      </c>
      <c r="G5648">
        <v>-238.85329999999999</v>
      </c>
      <c r="H5648" s="1">
        <v>-1.0324649999999999E-6</v>
      </c>
      <c r="I5648">
        <v>141.71420000000001</v>
      </c>
      <c r="J5648">
        <v>-214.00800000000001</v>
      </c>
      <c r="K5648">
        <v>1.117791</v>
      </c>
      <c r="L5648">
        <v>141.53370000000001</v>
      </c>
      <c r="M5648">
        <v>-0.98477510000000001</v>
      </c>
      <c r="N5648">
        <v>-6.3616760000000001E-3</v>
      </c>
      <c r="O5648">
        <v>-0.17371710000000001</v>
      </c>
      <c r="P5648">
        <v>-0.99518589999999996</v>
      </c>
      <c r="Q5648">
        <v>-8.3232630000000002E-2</v>
      </c>
      <c r="R5648">
        <v>-5.1744940000000003E-2</v>
      </c>
      <c r="S5648">
        <v>-3.0046080000000002</v>
      </c>
      <c r="T5648">
        <v>-0.13334770000000001</v>
      </c>
      <c r="U5648">
        <v>1.4694209999999999E-2</v>
      </c>
      <c r="V5648">
        <v>0.121520699999999</v>
      </c>
      <c r="W5648">
        <v>-7.7577750000000001E-2</v>
      </c>
      <c r="X5648">
        <v>0.9895526</v>
      </c>
      <c r="Y5648">
        <v>0.17821010000000001</v>
      </c>
      <c r="Z5648">
        <v>1.1088209999999999E-2</v>
      </c>
      <c r="AA5648">
        <v>0.98392999999999997</v>
      </c>
      <c r="AB5648">
        <v>23</v>
      </c>
      <c r="AC5648">
        <v>-24.845300000000002</v>
      </c>
      <c r="AD5648">
        <v>-1.1177920324649999</v>
      </c>
      <c r="AE5648">
        <v>0.180499999999995</v>
      </c>
      <c r="AF5648">
        <v>4.48481880860255</v>
      </c>
      <c r="AG5648">
        <v>-1.1177920324649999</v>
      </c>
      <c r="AH5648">
        <v>24.386811206734802</v>
      </c>
      <c r="AI5648">
        <v>92.581143366687897</v>
      </c>
      <c r="AJ5648">
        <v>79.579542106710207</v>
      </c>
      <c r="AK5648">
        <v>24.820951222843199</v>
      </c>
      <c r="AL5648">
        <v>94.4493483596994</v>
      </c>
      <c r="AM5648">
        <v>82.998920876149199</v>
      </c>
      <c r="AN5648">
        <v>0.999999967995155</v>
      </c>
    </row>
    <row r="5649" spans="1:40" x14ac:dyDescent="0.25">
      <c r="A5649" t="str">
        <f>"20190303153920463"</f>
        <v>20190303153920463</v>
      </c>
      <c r="B5649" t="str">
        <f>"1551598760454094"</f>
        <v>1551598760454094</v>
      </c>
      <c r="C5649" t="s">
        <v>40</v>
      </c>
      <c r="D5649">
        <v>4.6610719999999999</v>
      </c>
      <c r="E5649">
        <v>0.52289719999999995</v>
      </c>
      <c r="F5649" t="s">
        <v>42</v>
      </c>
      <c r="G5649">
        <v>-238.79669999999999</v>
      </c>
      <c r="H5649" s="1">
        <v>-1.063266E-6</v>
      </c>
      <c r="I5649">
        <v>141.73869999999999</v>
      </c>
      <c r="J5649">
        <v>-214.23140000000001</v>
      </c>
      <c r="K5649">
        <v>1.1176170000000001</v>
      </c>
      <c r="L5649">
        <v>141.49780000000001</v>
      </c>
      <c r="M5649">
        <v>-0.98538049999999999</v>
      </c>
      <c r="N5649">
        <v>-5.63139E-3</v>
      </c>
      <c r="O5649">
        <v>-0.17027490000000001</v>
      </c>
      <c r="P5649">
        <v>-0.99521159999999997</v>
      </c>
      <c r="Q5649">
        <v>-8.4483849999999999E-2</v>
      </c>
      <c r="R5649">
        <v>-4.9158569999999999E-2</v>
      </c>
      <c r="S5649">
        <v>-3.0044559999999998</v>
      </c>
      <c r="T5649">
        <v>-0.1354795</v>
      </c>
      <c r="U5649">
        <v>2.4856570000000001E-2</v>
      </c>
      <c r="V5649">
        <v>0.1205898</v>
      </c>
      <c r="W5649">
        <v>-7.9570920000000003E-2</v>
      </c>
      <c r="X5649">
        <v>0.98950830000000001</v>
      </c>
      <c r="Y5649">
        <v>0.1780891</v>
      </c>
      <c r="Z5649">
        <v>1.1200359999999999E-2</v>
      </c>
      <c r="AA5649">
        <v>0.98395060000000001</v>
      </c>
      <c r="AB5649">
        <v>23</v>
      </c>
      <c r="AC5649">
        <v>-24.565299999999901</v>
      </c>
      <c r="AD5649">
        <v>-1.117618063266</v>
      </c>
      <c r="AE5649">
        <v>0.24089999999998199</v>
      </c>
      <c r="AF5649">
        <v>4.4111726213901798</v>
      </c>
      <c r="AG5649">
        <v>-1.117618063266</v>
      </c>
      <c r="AH5649">
        <v>24.115620391620499</v>
      </c>
      <c r="AI5649">
        <v>92.610179784307903</v>
      </c>
      <c r="AJ5649">
        <v>79.634186276206506</v>
      </c>
      <c r="AK5649">
        <v>24.541203330394801</v>
      </c>
      <c r="AL5649">
        <v>94.563902393455706</v>
      </c>
      <c r="AM5649">
        <v>83.051717867971007</v>
      </c>
      <c r="AN5649">
        <v>1.0000000534712801</v>
      </c>
    </row>
    <row r="5650" spans="1:40" x14ac:dyDescent="0.25">
      <c r="A5650" t="str">
        <f>"20190303153920486"</f>
        <v>20190303153920486</v>
      </c>
      <c r="B5650" t="str">
        <f>"1551598760474589"</f>
        <v>1551598760474589</v>
      </c>
      <c r="C5650" t="s">
        <v>40</v>
      </c>
      <c r="D5650">
        <v>4.6587930000000002</v>
      </c>
      <c r="E5650">
        <v>0.52283659999999998</v>
      </c>
      <c r="F5650" t="s">
        <v>42</v>
      </c>
      <c r="G5650">
        <v>-238.50290000000001</v>
      </c>
      <c r="H5650" s="1">
        <v>-1.194309E-6</v>
      </c>
      <c r="I5650">
        <v>141.75749999999999</v>
      </c>
      <c r="J5650">
        <v>-214.4675</v>
      </c>
      <c r="K5650">
        <v>1.117443</v>
      </c>
      <c r="L5650">
        <v>141.46090000000001</v>
      </c>
      <c r="M5650">
        <v>-0.98601240000000001</v>
      </c>
      <c r="N5650">
        <v>-4.9174470000000001E-3</v>
      </c>
      <c r="O5650">
        <v>-0.16659959999999999</v>
      </c>
      <c r="P5650">
        <v>-0.99527980000000005</v>
      </c>
      <c r="Q5650">
        <v>-8.5451250000000006E-2</v>
      </c>
      <c r="R5650">
        <v>-4.6000239999999998E-2</v>
      </c>
      <c r="S5650">
        <v>-3.0042719999999998</v>
      </c>
      <c r="T5650">
        <v>-0.13833619999999999</v>
      </c>
      <c r="U5650">
        <v>3.2150270000000002E-2</v>
      </c>
      <c r="V5650">
        <v>0.1200005</v>
      </c>
      <c r="W5650">
        <v>-8.1265840000000006E-2</v>
      </c>
      <c r="X5650">
        <v>0.98944209999999999</v>
      </c>
      <c r="Y5650">
        <v>0.1767965</v>
      </c>
      <c r="Z5650">
        <v>1.1323339999999999E-2</v>
      </c>
      <c r="AA5650">
        <v>0.98418229999999995</v>
      </c>
      <c r="AB5650">
        <v>23</v>
      </c>
      <c r="AC5650">
        <v>-24.035399999999999</v>
      </c>
      <c r="AD5650">
        <v>-1.1174441943090001</v>
      </c>
      <c r="AE5650">
        <v>0.29659999999998299</v>
      </c>
      <c r="AF5650">
        <v>4.2875251829243597</v>
      </c>
      <c r="AG5650">
        <v>-1.1174441943090001</v>
      </c>
      <c r="AH5650">
        <v>23.599073327816999</v>
      </c>
      <c r="AI5650">
        <v>92.6673972561493</v>
      </c>
      <c r="AJ5650">
        <v>79.702710566501807</v>
      </c>
      <c r="AK5650">
        <v>24.011410113804001</v>
      </c>
      <c r="AL5650">
        <v>94.661330133282704</v>
      </c>
      <c r="AM5650">
        <v>83.084885152174095</v>
      </c>
      <c r="AN5650">
        <v>0.99999996300178196</v>
      </c>
    </row>
    <row r="5651" spans="1:40" x14ac:dyDescent="0.25">
      <c r="A5651" t="str">
        <f>"20190303153920509"</f>
        <v>20190303153920509</v>
      </c>
      <c r="B5651" t="str">
        <f>"1551598760503868"</f>
        <v>1551598760503868</v>
      </c>
      <c r="C5651" t="s">
        <v>40</v>
      </c>
      <c r="D5651">
        <v>4.6995870000000002</v>
      </c>
      <c r="E5651">
        <v>0.52279299999999995</v>
      </c>
      <c r="F5651" t="s">
        <v>42</v>
      </c>
      <c r="G5651">
        <v>-238.32509999999999</v>
      </c>
      <c r="H5651" s="1">
        <v>-1.278712E-6</v>
      </c>
      <c r="I5651">
        <v>141.78799999999899</v>
      </c>
      <c r="J5651">
        <v>-214.70650000000001</v>
      </c>
      <c r="K5651">
        <v>1.1173</v>
      </c>
      <c r="L5651">
        <v>141.42449999999999</v>
      </c>
      <c r="M5651">
        <v>-0.98663999999999996</v>
      </c>
      <c r="N5651">
        <v>-4.2645890000000001E-3</v>
      </c>
      <c r="O5651">
        <v>-0.1628599</v>
      </c>
      <c r="P5651">
        <v>-0.9954809</v>
      </c>
      <c r="Q5651">
        <v>-8.5037290000000001E-2</v>
      </c>
      <c r="R5651">
        <v>-4.2266249999999998E-2</v>
      </c>
      <c r="S5651">
        <v>-3.0040589999999998</v>
      </c>
      <c r="T5651">
        <v>-0.14070450000000001</v>
      </c>
      <c r="U5651">
        <v>4.1198730000000003E-2</v>
      </c>
      <c r="V5651">
        <v>0.1199495</v>
      </c>
      <c r="W5651">
        <v>-8.1520179999999998E-2</v>
      </c>
      <c r="X5651">
        <v>0.98942739999999996</v>
      </c>
      <c r="Y5651">
        <v>0.17601919999999999</v>
      </c>
      <c r="Z5651">
        <v>1.1399039999999999E-2</v>
      </c>
      <c r="AA5651">
        <v>0.9843208</v>
      </c>
      <c r="AB5651">
        <v>23</v>
      </c>
      <c r="AC5651">
        <v>-23.618599999999901</v>
      </c>
      <c r="AD5651">
        <v>-1.117301278712</v>
      </c>
      <c r="AE5651">
        <v>0.363499999999987</v>
      </c>
      <c r="AF5651">
        <v>4.1958172501155202</v>
      </c>
      <c r="AG5651">
        <v>-1.117301278712</v>
      </c>
      <c r="AH5651">
        <v>23.192178543111801</v>
      </c>
      <c r="AI5651">
        <v>92.714144098011403</v>
      </c>
      <c r="AJ5651">
        <v>79.745243824359505</v>
      </c>
      <c r="AK5651">
        <v>23.5951348824149</v>
      </c>
      <c r="AL5651">
        <v>94.675951075600295</v>
      </c>
      <c r="AM5651">
        <v>83.087693923432298</v>
      </c>
      <c r="AN5651">
        <v>1.0000000010841199</v>
      </c>
    </row>
    <row r="5652" spans="1:40" x14ac:dyDescent="0.25">
      <c r="A5652" t="str">
        <f>"20190303153920534"</f>
        <v>20190303153920534</v>
      </c>
      <c r="B5652" t="str">
        <f>"1551598760524366"</f>
        <v>1551598760524366</v>
      </c>
      <c r="C5652" t="s">
        <v>40</v>
      </c>
      <c r="D5652">
        <v>4.6735429999999996</v>
      </c>
      <c r="E5652">
        <v>0.52275649999999996</v>
      </c>
      <c r="F5652" t="s">
        <v>42</v>
      </c>
      <c r="G5652">
        <v>-238.96</v>
      </c>
      <c r="H5652" s="1">
        <v>-1.021443E-6</v>
      </c>
      <c r="I5652">
        <v>141.8449</v>
      </c>
      <c r="J5652">
        <v>-214.96639999999999</v>
      </c>
      <c r="K5652">
        <v>1.1171770000000001</v>
      </c>
      <c r="L5652">
        <v>141.386</v>
      </c>
      <c r="M5652">
        <v>-0.98730700000000005</v>
      </c>
      <c r="N5652">
        <v>-3.6433849999999999E-3</v>
      </c>
      <c r="O5652">
        <v>-0.1587829</v>
      </c>
      <c r="P5652">
        <v>-0.99575369999999996</v>
      </c>
      <c r="Q5652">
        <v>-8.3595749999999996E-2</v>
      </c>
      <c r="R5652">
        <v>-3.855662E-2</v>
      </c>
      <c r="S5652">
        <v>-3.004013</v>
      </c>
      <c r="T5652">
        <v>-0.1383876</v>
      </c>
      <c r="U5652">
        <v>5.207825E-2</v>
      </c>
      <c r="V5652">
        <v>0.1195594</v>
      </c>
      <c r="W5652">
        <v>-8.0710970000000007E-2</v>
      </c>
      <c r="X5652">
        <v>0.98954089999999995</v>
      </c>
      <c r="Y5652">
        <v>0.1755311</v>
      </c>
      <c r="Z5652">
        <v>1.107032E-2</v>
      </c>
      <c r="AA5652">
        <v>0.9844117</v>
      </c>
      <c r="AB5652">
        <v>24</v>
      </c>
      <c r="AC5652">
        <v>-23.993600000000001</v>
      </c>
      <c r="AD5652">
        <v>-1.117178021443</v>
      </c>
      <c r="AE5652">
        <v>0.45889999999999898</v>
      </c>
      <c r="AF5652">
        <v>4.2536575772707303</v>
      </c>
      <c r="AG5652">
        <v>-1.117178021443</v>
      </c>
      <c r="AH5652">
        <v>23.565265647262802</v>
      </c>
      <c r="AI5652">
        <v>92.671133309112193</v>
      </c>
      <c r="AJ5652">
        <v>79.767980529905401</v>
      </c>
      <c r="AK5652">
        <v>23.9721387143979</v>
      </c>
      <c r="AL5652">
        <v>94.629433695945295</v>
      </c>
      <c r="AM5652">
        <v>83.110740383224993</v>
      </c>
      <c r="AN5652">
        <v>0.99999995178975398</v>
      </c>
    </row>
    <row r="5653" spans="1:40" x14ac:dyDescent="0.25">
      <c r="A5653" t="str">
        <f>"20190303153920554"</f>
        <v>20190303153920554</v>
      </c>
      <c r="B5653" t="str">
        <f>"1551598760543884"</f>
        <v>1551598760543884</v>
      </c>
      <c r="C5653" t="s">
        <v>40</v>
      </c>
      <c r="D5653">
        <v>4.7235610000000001</v>
      </c>
      <c r="E5653">
        <v>0.52271599999999996</v>
      </c>
      <c r="F5653" t="s">
        <v>42</v>
      </c>
      <c r="G5653">
        <v>-240.13730000000001</v>
      </c>
      <c r="H5653" s="1">
        <v>-4.6367799999999997E-6</v>
      </c>
      <c r="I5653">
        <v>141.9135</v>
      </c>
      <c r="J5653">
        <v>-215.18620000000001</v>
      </c>
      <c r="K5653">
        <v>1.1170990000000001</v>
      </c>
      <c r="L5653">
        <v>141.3544</v>
      </c>
      <c r="M5653">
        <v>-0.98785780000000001</v>
      </c>
      <c r="N5653">
        <v>-3.1792750000000001E-3</v>
      </c>
      <c r="O5653">
        <v>-0.15532850000000001</v>
      </c>
      <c r="P5653">
        <v>-0.99588259999999995</v>
      </c>
      <c r="Q5653">
        <v>-8.3319599999999994E-2</v>
      </c>
      <c r="R5653">
        <v>-3.5716600000000001E-2</v>
      </c>
      <c r="S5653">
        <v>-3.004013</v>
      </c>
      <c r="T5653">
        <v>-0.13332939999999999</v>
      </c>
      <c r="U5653">
        <v>6.2957760000000001E-2</v>
      </c>
      <c r="V5653">
        <v>0.11891359999999999</v>
      </c>
      <c r="W5653">
        <v>-8.0903439999999993E-2</v>
      </c>
      <c r="X5653">
        <v>0.98960300000000001</v>
      </c>
      <c r="Y5653">
        <v>0.1756779</v>
      </c>
      <c r="Z5653">
        <v>1.0552539999999999E-2</v>
      </c>
      <c r="AA5653">
        <v>0.98439120000000002</v>
      </c>
      <c r="AB5653">
        <v>24</v>
      </c>
      <c r="AC5653">
        <v>-24.9511</v>
      </c>
      <c r="AD5653">
        <v>-1.11710363677999</v>
      </c>
      <c r="AE5653">
        <v>0.55910000000000004</v>
      </c>
      <c r="AF5653">
        <v>4.4190967613541696</v>
      </c>
      <c r="AG5653">
        <v>-1.11710363677999</v>
      </c>
      <c r="AH5653">
        <v>24.512307264026699</v>
      </c>
      <c r="AI5653">
        <v>92.568003961125399</v>
      </c>
      <c r="AJ5653">
        <v>79.780446926706603</v>
      </c>
      <c r="AK5653">
        <v>24.932499756895101</v>
      </c>
      <c r="AL5653">
        <v>94.640497585506694</v>
      </c>
      <c r="AM5653">
        <v>83.148023854756602</v>
      </c>
      <c r="AN5653">
        <v>0.99999995423889498</v>
      </c>
    </row>
    <row r="5654" spans="1:40" x14ac:dyDescent="0.25">
      <c r="A5654" t="str">
        <f>"20190303153920576"</f>
        <v>20190303153920576</v>
      </c>
      <c r="B5654" t="str">
        <f>"1551598760564381"</f>
        <v>1551598760564381</v>
      </c>
      <c r="C5654" t="s">
        <v>40</v>
      </c>
      <c r="D5654">
        <v>4.7049450000000004</v>
      </c>
      <c r="E5654">
        <v>0.52269509999999997</v>
      </c>
      <c r="F5654" t="s">
        <v>42</v>
      </c>
      <c r="G5654">
        <v>-240.6619</v>
      </c>
      <c r="H5654" s="1">
        <v>-4.4659839999999997E-6</v>
      </c>
      <c r="I5654">
        <v>141.95699999999999</v>
      </c>
      <c r="J5654">
        <v>-215.42679999999999</v>
      </c>
      <c r="K5654">
        <v>1.1170279999999999</v>
      </c>
      <c r="L5654">
        <v>141.32069999999999</v>
      </c>
      <c r="M5654">
        <v>-0.98844639999999995</v>
      </c>
      <c r="N5654">
        <v>-2.732408E-3</v>
      </c>
      <c r="O5654">
        <v>-0.15154690000000001</v>
      </c>
      <c r="P5654">
        <v>-0.99600310000000003</v>
      </c>
      <c r="Q5654">
        <v>-8.3079490000000006E-2</v>
      </c>
      <c r="R5654">
        <v>-3.2800669999999997E-2</v>
      </c>
      <c r="S5654">
        <v>-3.0039220000000002</v>
      </c>
      <c r="T5654">
        <v>-0.1317217</v>
      </c>
      <c r="U5654">
        <v>7.1060180000000001E-2</v>
      </c>
      <c r="V5654">
        <v>0.118017899999999</v>
      </c>
      <c r="W5654">
        <v>-8.1110710000000003E-2</v>
      </c>
      <c r="X5654">
        <v>0.9896933</v>
      </c>
      <c r="Y5654">
        <v>0.1745756</v>
      </c>
      <c r="Z5654">
        <v>1.0273869999999999E-2</v>
      </c>
      <c r="AA5654">
        <v>0.98459019999999997</v>
      </c>
      <c r="AB5654">
        <v>24</v>
      </c>
      <c r="AC5654">
        <v>-25.235099999999999</v>
      </c>
      <c r="AD5654">
        <v>-1.1170324659840001</v>
      </c>
      <c r="AE5654">
        <v>0.63630000000000497</v>
      </c>
      <c r="AF5654">
        <v>4.4445626556162896</v>
      </c>
      <c r="AG5654">
        <v>-1.1170324659840001</v>
      </c>
      <c r="AH5654">
        <v>24.798645129412101</v>
      </c>
      <c r="AI5654">
        <v>92.538695558678199</v>
      </c>
      <c r="AJ5654">
        <v>79.838985722662201</v>
      </c>
      <c r="AK5654">
        <v>25.218538795582099</v>
      </c>
      <c r="AL5654">
        <v>94.652412226636599</v>
      </c>
      <c r="AM5654">
        <v>83.199764890594906</v>
      </c>
      <c r="AN5654">
        <v>1.0000000000310001</v>
      </c>
    </row>
    <row r="5655" spans="1:40" x14ac:dyDescent="0.25">
      <c r="A5655" t="str">
        <f>"20190303153920598"</f>
        <v>20190303153920598</v>
      </c>
      <c r="B5655" t="str">
        <f>"1551598760594637"</f>
        <v>1551598760594637</v>
      </c>
      <c r="C5655" t="s">
        <v>40</v>
      </c>
      <c r="D5655">
        <v>4.6798320000000002</v>
      </c>
      <c r="E5655">
        <v>0.52259540000000004</v>
      </c>
      <c r="F5655" t="s">
        <v>42</v>
      </c>
      <c r="G5655">
        <v>-241.17789999999999</v>
      </c>
      <c r="H5655" s="1">
        <v>-4.29853799999999E-6</v>
      </c>
      <c r="I5655">
        <v>142.00290000000001</v>
      </c>
      <c r="J5655">
        <v>-215.67760000000001</v>
      </c>
      <c r="K5655">
        <v>1.1169770000000001</v>
      </c>
      <c r="L5655">
        <v>141.28649999999999</v>
      </c>
      <c r="M5655">
        <v>-0.98904400000000003</v>
      </c>
      <c r="N5655">
        <v>-2.3268989999999999E-3</v>
      </c>
      <c r="O5655">
        <v>-0.14760319999999999</v>
      </c>
      <c r="P5655">
        <v>-0.99609259999999999</v>
      </c>
      <c r="Q5655">
        <v>-8.3104960000000005E-2</v>
      </c>
      <c r="R5655">
        <v>-2.9894259999999999E-2</v>
      </c>
      <c r="S5655">
        <v>-3.0037989999999999</v>
      </c>
      <c r="T5655">
        <v>-0.1302992</v>
      </c>
      <c r="U5655">
        <v>7.9589839999999995E-2</v>
      </c>
      <c r="V5655">
        <v>0.1169497</v>
      </c>
      <c r="W5655">
        <v>-8.1539089999999995E-2</v>
      </c>
      <c r="X5655">
        <v>0.98978489999999997</v>
      </c>
      <c r="Y5655">
        <v>0.17345329999999901</v>
      </c>
      <c r="Z5655">
        <v>1.0001650000000001E-2</v>
      </c>
      <c r="AA5655">
        <v>0.98479130000000004</v>
      </c>
      <c r="AB5655">
        <v>24</v>
      </c>
      <c r="AC5655">
        <v>-25.5002999999999</v>
      </c>
      <c r="AD5655">
        <v>-1.1169812985379901</v>
      </c>
      <c r="AE5655">
        <v>0.71640000000002102</v>
      </c>
      <c r="AF5655">
        <v>4.4639306945088002</v>
      </c>
      <c r="AG5655">
        <v>-1.1169812985379901</v>
      </c>
      <c r="AH5655">
        <v>25.0671840238345</v>
      </c>
      <c r="AI5655">
        <v>92.511917496771105</v>
      </c>
      <c r="AJ5655">
        <v>79.902691411839399</v>
      </c>
      <c r="AK5655">
        <v>25.486036163975101</v>
      </c>
      <c r="AL5655">
        <v>94.677038153960197</v>
      </c>
      <c r="AM5655">
        <v>83.261364246872404</v>
      </c>
      <c r="AN5655">
        <v>1.0000000018980599</v>
      </c>
    </row>
    <row r="5656" spans="1:40" x14ac:dyDescent="0.25">
      <c r="A5656" t="str">
        <f>"20190303153920620"</f>
        <v>20190303153920620</v>
      </c>
      <c r="B5656" t="str">
        <f>"1551598760614157"</f>
        <v>1551598760614157</v>
      </c>
      <c r="C5656" t="s">
        <v>40</v>
      </c>
      <c r="D5656">
        <v>4.6956150000000001</v>
      </c>
      <c r="E5656">
        <v>0.52255019999999996</v>
      </c>
      <c r="F5656" t="s">
        <v>42</v>
      </c>
      <c r="G5656">
        <v>-241.55109999999999</v>
      </c>
      <c r="H5656" s="1">
        <v>-4.17815E-6</v>
      </c>
      <c r="I5656">
        <v>142.0403</v>
      </c>
      <c r="J5656">
        <v>-215.9186</v>
      </c>
      <c r="K5656">
        <v>1.116935</v>
      </c>
      <c r="L5656">
        <v>141.25460000000001</v>
      </c>
      <c r="M5656">
        <v>-0.98960230000000005</v>
      </c>
      <c r="N5656">
        <v>-1.9890009999999998E-3</v>
      </c>
      <c r="O5656">
        <v>-0.1438169</v>
      </c>
      <c r="P5656">
        <v>-0.99625909999999995</v>
      </c>
      <c r="Q5656">
        <v>-8.1999559999999999E-2</v>
      </c>
      <c r="R5656">
        <v>-2.7275589999999999E-2</v>
      </c>
      <c r="S5656">
        <v>-3.003571</v>
      </c>
      <c r="T5656">
        <v>-0.129666899999999</v>
      </c>
      <c r="U5656">
        <v>8.7509160000000002E-2</v>
      </c>
      <c r="V5656">
        <v>0.1157768</v>
      </c>
      <c r="W5656">
        <v>-8.0767110000000003E-2</v>
      </c>
      <c r="X5656">
        <v>0.98998609999999998</v>
      </c>
      <c r="Y5656">
        <v>0.172287</v>
      </c>
      <c r="Z5656">
        <v>9.7929109999999996E-3</v>
      </c>
      <c r="AA5656">
        <v>0.98499809999999999</v>
      </c>
      <c r="AB5656">
        <v>25</v>
      </c>
      <c r="AC5656">
        <v>-25.6325</v>
      </c>
      <c r="AD5656">
        <v>-1.11693917815</v>
      </c>
      <c r="AE5656">
        <v>0.78569999999999096</v>
      </c>
      <c r="AF5656">
        <v>4.4554740437132097</v>
      </c>
      <c r="AG5656">
        <v>-1.11693917815</v>
      </c>
      <c r="AH5656">
        <v>25.205219845723501</v>
      </c>
      <c r="AI5656">
        <v>92.498646998931093</v>
      </c>
      <c r="AJ5656">
        <v>79.975500222600203</v>
      </c>
      <c r="AK5656">
        <v>25.620341714215002</v>
      </c>
      <c r="AL5656">
        <v>94.632660426625606</v>
      </c>
      <c r="AM5656">
        <v>83.329678101934704</v>
      </c>
      <c r="AN5656">
        <v>1.0000000358346</v>
      </c>
    </row>
    <row r="5657" spans="1:40" x14ac:dyDescent="0.25">
      <c r="A5657" t="str">
        <f>"20190303153920643"</f>
        <v>20190303153920643</v>
      </c>
      <c r="B5657" t="str">
        <f>"1551598760634654"</f>
        <v>1551598760634654</v>
      </c>
      <c r="C5657" t="s">
        <v>40</v>
      </c>
      <c r="D5657">
        <v>4.676412</v>
      </c>
      <c r="E5657">
        <v>0.52249849999999998</v>
      </c>
      <c r="F5657" t="s">
        <v>42</v>
      </c>
      <c r="G5657">
        <v>-242.64089999999999</v>
      </c>
      <c r="H5657" s="1">
        <v>-3.7997799999999999E-6</v>
      </c>
      <c r="I5657">
        <v>142.0984</v>
      </c>
      <c r="J5657">
        <v>-216.17509999999999</v>
      </c>
      <c r="K5657">
        <v>1.116892</v>
      </c>
      <c r="L5657">
        <v>141.2216</v>
      </c>
      <c r="M5657">
        <v>-0.99017960000000005</v>
      </c>
      <c r="N5657">
        <v>-1.6785120000000001E-3</v>
      </c>
      <c r="O5657">
        <v>-0.13979140000000001</v>
      </c>
      <c r="P5657">
        <v>-0.99644140000000003</v>
      </c>
      <c r="Q5657">
        <v>-8.0520930000000004E-2</v>
      </c>
      <c r="R5657">
        <v>-2.4927339999999999E-2</v>
      </c>
      <c r="S5657">
        <v>-3.0035400000000001</v>
      </c>
      <c r="T5657">
        <v>-0.12554219999999999</v>
      </c>
      <c r="U5657">
        <v>9.4848630000000003E-2</v>
      </c>
      <c r="V5657">
        <v>0.11410389999999999</v>
      </c>
      <c r="W5657">
        <v>-7.9591690000000007E-2</v>
      </c>
      <c r="X5657">
        <v>0.99027540000000003</v>
      </c>
      <c r="Y5657">
        <v>0.17070839999999901</v>
      </c>
      <c r="Z5657">
        <v>9.301452E-3</v>
      </c>
      <c r="AA5657">
        <v>0.98527770000000003</v>
      </c>
      <c r="AB5657">
        <v>25</v>
      </c>
      <c r="AC5657">
        <v>-26.465800000000002</v>
      </c>
      <c r="AD5657">
        <v>-1.11689579977999</v>
      </c>
      <c r="AE5657">
        <v>0.87680000000000202</v>
      </c>
      <c r="AF5657">
        <v>4.55977503526859</v>
      </c>
      <c r="AG5657">
        <v>-1.11689579977999</v>
      </c>
      <c r="AH5657">
        <v>26.037041479667302</v>
      </c>
      <c r="AI5657">
        <v>92.419500598168497</v>
      </c>
      <c r="AJ5657">
        <v>80.066724041676196</v>
      </c>
      <c r="AK5657">
        <v>26.4568806478342</v>
      </c>
      <c r="AL5657">
        <v>94.565096675095305</v>
      </c>
      <c r="AM5657">
        <v>83.427113927090701</v>
      </c>
      <c r="AN5657">
        <v>0.99999995247871198</v>
      </c>
    </row>
    <row r="5658" spans="1:40" x14ac:dyDescent="0.25">
      <c r="A5658" t="str">
        <f>"20190303153920664"</f>
        <v>20190303153920664</v>
      </c>
      <c r="B5658" t="str">
        <f>"1551598760654173"</f>
        <v>1551598760654173</v>
      </c>
      <c r="C5658" t="s">
        <v>40</v>
      </c>
      <c r="D5658">
        <v>4.6815680000000004</v>
      </c>
      <c r="E5658">
        <v>0.52243439999999997</v>
      </c>
      <c r="F5658" t="s">
        <v>42</v>
      </c>
      <c r="G5658">
        <v>-243.9776</v>
      </c>
      <c r="H5658" s="1">
        <v>-3.2427910000000001E-6</v>
      </c>
      <c r="I5658">
        <v>142.1602</v>
      </c>
      <c r="J5658">
        <v>-216.4263</v>
      </c>
      <c r="K5658">
        <v>1.1168439999999999</v>
      </c>
      <c r="L5658">
        <v>141.19030000000001</v>
      </c>
      <c r="M5658">
        <v>-0.99072749999999998</v>
      </c>
      <c r="N5658">
        <v>-1.4178629999999999E-3</v>
      </c>
      <c r="O5658">
        <v>-0.1358567</v>
      </c>
      <c r="P5658">
        <v>-0.99654640000000005</v>
      </c>
      <c r="Q5658">
        <v>-7.9977240000000005E-2</v>
      </c>
      <c r="R5658">
        <v>-2.233578E-2</v>
      </c>
      <c r="S5658">
        <v>-3.0035099999999999</v>
      </c>
      <c r="T5658">
        <v>-0.1206588</v>
      </c>
      <c r="U5658">
        <v>0.1013947</v>
      </c>
      <c r="V5658">
        <v>0.1127479</v>
      </c>
      <c r="W5658">
        <v>-7.9304639999999996E-2</v>
      </c>
      <c r="X5658">
        <v>0.99045380000000005</v>
      </c>
      <c r="Y5658">
        <v>0.16896359999999999</v>
      </c>
      <c r="Z5658">
        <v>8.7629370000000002E-3</v>
      </c>
      <c r="AA5658">
        <v>0.9855834</v>
      </c>
      <c r="AB5658">
        <v>25</v>
      </c>
      <c r="AC5658">
        <v>-27.551300000000001</v>
      </c>
      <c r="AD5658">
        <v>-1.1168472427909999</v>
      </c>
      <c r="AE5658">
        <v>0.96989999999999499</v>
      </c>
      <c r="AF5658">
        <v>4.6962324255357002</v>
      </c>
      <c r="AG5658">
        <v>-1.1168472427909999</v>
      </c>
      <c r="AH5658">
        <v>27.1195809566387</v>
      </c>
      <c r="AI5658">
        <v>92.3236962590655</v>
      </c>
      <c r="AJ5658">
        <v>80.175655798196502</v>
      </c>
      <c r="AK5658">
        <v>27.545845748897701</v>
      </c>
      <c r="AL5658">
        <v>94.548597448925307</v>
      </c>
      <c r="AM5658">
        <v>83.505713942949697</v>
      </c>
      <c r="AN5658">
        <v>1.0000000224071799</v>
      </c>
    </row>
    <row r="5659" spans="1:40" x14ac:dyDescent="0.25">
      <c r="A5659" t="str">
        <f>"20190303153920688"</f>
        <v>20190303153920688</v>
      </c>
      <c r="B5659" t="str">
        <f>"1551598760684430"</f>
        <v>1551598760684430</v>
      </c>
      <c r="C5659" t="s">
        <v>40</v>
      </c>
      <c r="D5659">
        <v>4.7326899999999998</v>
      </c>
      <c r="E5659">
        <v>0.52217290000000005</v>
      </c>
      <c r="F5659" t="s">
        <v>42</v>
      </c>
      <c r="G5659">
        <v>-244.6559</v>
      </c>
      <c r="H5659" s="1">
        <v>-2.9656430000000002E-6</v>
      </c>
      <c r="I5659">
        <v>142.2122</v>
      </c>
      <c r="J5659">
        <v>-216.68559999999999</v>
      </c>
      <c r="K5659">
        <v>1.1167830000000001</v>
      </c>
      <c r="L5659">
        <v>141.15899999999999</v>
      </c>
      <c r="M5659">
        <v>-0.99127520000000002</v>
      </c>
      <c r="N5659">
        <v>-1.1879379999999999E-3</v>
      </c>
      <c r="O5659">
        <v>-0.13180310000000001</v>
      </c>
      <c r="P5659">
        <v>-0.99655990000000005</v>
      </c>
      <c r="Q5659">
        <v>-8.0179769999999997E-2</v>
      </c>
      <c r="R5659">
        <v>-2.0969390000000001E-2</v>
      </c>
      <c r="S5659">
        <v>-3.0032960000000002</v>
      </c>
      <c r="T5659">
        <v>-0.1188197</v>
      </c>
      <c r="U5659">
        <v>0.10871889999999899</v>
      </c>
      <c r="V5659">
        <v>0.1100433</v>
      </c>
      <c r="W5659">
        <v>-7.9725679999999993E-2</v>
      </c>
      <c r="X5659">
        <v>0.9907241</v>
      </c>
      <c r="Y5659">
        <v>0.16734599999999999</v>
      </c>
      <c r="Z5659">
        <v>8.4532310000000003E-3</v>
      </c>
      <c r="AA5659">
        <v>0.98586200000000002</v>
      </c>
      <c r="AB5659">
        <v>25</v>
      </c>
      <c r="AC5659">
        <v>-27.970300000000002</v>
      </c>
      <c r="AD5659">
        <v>-1.1167859656429999</v>
      </c>
      <c r="AE5659">
        <v>1.0531999999999999</v>
      </c>
      <c r="AF5659">
        <v>4.7230677456750998</v>
      </c>
      <c r="AG5659">
        <v>-1.1167859656429999</v>
      </c>
      <c r="AH5659">
        <v>27.5436211399287</v>
      </c>
      <c r="AI5659">
        <v>92.288482453272394</v>
      </c>
      <c r="AJ5659">
        <v>80.269786104732603</v>
      </c>
      <c r="AK5659">
        <v>27.9679395973893</v>
      </c>
      <c r="AL5659">
        <v>94.572798097987402</v>
      </c>
      <c r="AM5659">
        <v>83.661930846554498</v>
      </c>
      <c r="AN5659">
        <v>0.99999997712358102</v>
      </c>
    </row>
    <row r="5660" spans="1:40" x14ac:dyDescent="0.25">
      <c r="A5660" t="str">
        <f>"20190303153920710"</f>
        <v>20190303153920710</v>
      </c>
      <c r="B5660" t="str">
        <f>"1551598760703949"</f>
        <v>1551598760703949</v>
      </c>
      <c r="C5660" t="s">
        <v>40</v>
      </c>
      <c r="D5660">
        <v>4.7274000000000003</v>
      </c>
      <c r="E5660">
        <v>0.52205219999999997</v>
      </c>
      <c r="F5660" t="s">
        <v>42</v>
      </c>
      <c r="G5660">
        <v>-244.47370000000001</v>
      </c>
      <c r="H5660" s="1">
        <v>-3.0362299999999998E-6</v>
      </c>
      <c r="I5660">
        <v>142.18369999999999</v>
      </c>
      <c r="J5660">
        <v>-216.94399999999999</v>
      </c>
      <c r="K5660">
        <v>1.116719</v>
      </c>
      <c r="L5660">
        <v>141.12880000000001</v>
      </c>
      <c r="M5660">
        <v>-0.99180360000000001</v>
      </c>
      <c r="N5660">
        <v>-9.9418849999999997E-4</v>
      </c>
      <c r="O5660">
        <v>-0.1277691</v>
      </c>
      <c r="P5660">
        <v>-0.99644060000000001</v>
      </c>
      <c r="Q5660">
        <v>-8.1711119999999998E-2</v>
      </c>
      <c r="R5660">
        <v>-2.072831E-2</v>
      </c>
      <c r="S5660">
        <v>-3.0029910000000002</v>
      </c>
      <c r="T5660">
        <v>-0.1206884</v>
      </c>
      <c r="U5660">
        <v>0.11074829999999999</v>
      </c>
      <c r="V5660">
        <v>0.1062176</v>
      </c>
      <c r="W5660">
        <v>-8.1432959999999999E-2</v>
      </c>
      <c r="X5660">
        <v>0.99100279999999996</v>
      </c>
      <c r="Y5660">
        <v>0.16400129999999999</v>
      </c>
      <c r="Z5660">
        <v>8.3711889999999994E-3</v>
      </c>
      <c r="AA5660">
        <v>0.98642459999999998</v>
      </c>
      <c r="AB5660">
        <v>25</v>
      </c>
      <c r="AC5660">
        <v>-27.529699999999899</v>
      </c>
      <c r="AD5660">
        <v>-1.1167220362299899</v>
      </c>
      <c r="AE5660">
        <v>1.05489999999997</v>
      </c>
      <c r="AF5660">
        <v>4.5562140785828404</v>
      </c>
      <c r="AG5660">
        <v>-1.1167220362299899</v>
      </c>
      <c r="AH5660">
        <v>27.124713946762501</v>
      </c>
      <c r="AI5660">
        <v>92.324995657624697</v>
      </c>
      <c r="AJ5660">
        <v>80.464880063727506</v>
      </c>
      <c r="AK5660">
        <v>27.527372950025001</v>
      </c>
      <c r="AL5660">
        <v>94.670936943458102</v>
      </c>
      <c r="AM5660">
        <v>83.882282725861302</v>
      </c>
      <c r="AN5660">
        <v>1.0000000275659799</v>
      </c>
    </row>
    <row r="5661" spans="1:40" x14ac:dyDescent="0.25">
      <c r="A5661" t="str">
        <f>"20190303153920733"</f>
        <v>20190303153920733</v>
      </c>
      <c r="B5661" t="str">
        <f>"1551598760724445"</f>
        <v>1551598760724445</v>
      </c>
      <c r="C5661" t="s">
        <v>40</v>
      </c>
      <c r="D5661">
        <v>4.6775989999999998</v>
      </c>
      <c r="E5661">
        <v>0.52193199999999995</v>
      </c>
      <c r="F5661" t="s">
        <v>42</v>
      </c>
      <c r="G5661">
        <v>-243.65719999999999</v>
      </c>
      <c r="H5661" s="1">
        <v>-3.3670729999999998E-6</v>
      </c>
      <c r="I5661">
        <v>142.11070000000001</v>
      </c>
      <c r="J5661">
        <v>-217.20859999999999</v>
      </c>
      <c r="K5661">
        <v>1.116652</v>
      </c>
      <c r="L5661">
        <v>141.09899999999999</v>
      </c>
      <c r="M5661">
        <v>-0.99232620000000005</v>
      </c>
      <c r="N5661">
        <v>-8.2915970000000002E-4</v>
      </c>
      <c r="O5661">
        <v>-0.12364509999999999</v>
      </c>
      <c r="P5661">
        <v>-0.99644619999999995</v>
      </c>
      <c r="Q5661">
        <v>-8.1795510000000002E-2</v>
      </c>
      <c r="R5661">
        <v>-2.011261E-2</v>
      </c>
      <c r="S5661">
        <v>-3.0027159999999999</v>
      </c>
      <c r="T5661">
        <v>-0.12552629999999901</v>
      </c>
      <c r="U5661">
        <v>0.1103821</v>
      </c>
      <c r="V5661">
        <v>0.1026995</v>
      </c>
      <c r="W5661">
        <v>-8.1667359999999994E-2</v>
      </c>
      <c r="X5661">
        <v>0.99135419999999996</v>
      </c>
      <c r="Y5661">
        <v>0.1597701</v>
      </c>
      <c r="Z5661">
        <v>8.4585349999999997E-3</v>
      </c>
      <c r="AA5661">
        <v>0.98711800000000005</v>
      </c>
      <c r="AB5661">
        <v>26</v>
      </c>
      <c r="AC5661">
        <v>-26.448599999999999</v>
      </c>
      <c r="AD5661">
        <v>-1.1166553670729999</v>
      </c>
      <c r="AE5661">
        <v>1.01170000000001</v>
      </c>
      <c r="AF5661">
        <v>4.2665833622268998</v>
      </c>
      <c r="AG5661">
        <v>-1.1166553670729999</v>
      </c>
      <c r="AH5661">
        <v>26.074145226445498</v>
      </c>
      <c r="AI5661">
        <v>92.4201124137535</v>
      </c>
      <c r="AJ5661">
        <v>80.706894599112402</v>
      </c>
      <c r="AK5661">
        <v>26.444502303605798</v>
      </c>
      <c r="AL5661">
        <v>94.684412332143097</v>
      </c>
      <c r="AM5661">
        <v>84.085532105687903</v>
      </c>
      <c r="AN5661">
        <v>0.99999994742362797</v>
      </c>
    </row>
    <row r="5662" spans="1:40" x14ac:dyDescent="0.25">
      <c r="A5662" t="str">
        <f>"20190303153920755"</f>
        <v>20190303153920755</v>
      </c>
      <c r="B5662" t="str">
        <f>"1551598760743965"</f>
        <v>1551598760743965</v>
      </c>
      <c r="C5662" t="s">
        <v>40</v>
      </c>
      <c r="D5662">
        <v>4.7375400000000001</v>
      </c>
      <c r="E5662">
        <v>0.52173429999999998</v>
      </c>
      <c r="F5662" t="s">
        <v>42</v>
      </c>
      <c r="G5662">
        <v>-243.7715</v>
      </c>
      <c r="H5662" s="1">
        <v>-3.310872E-6</v>
      </c>
      <c r="I5662">
        <v>142.0838</v>
      </c>
      <c r="J5662">
        <v>-217.47329999999999</v>
      </c>
      <c r="K5662">
        <v>1.116581</v>
      </c>
      <c r="L5662">
        <v>141.0703</v>
      </c>
      <c r="M5662">
        <v>-0.99283080000000001</v>
      </c>
      <c r="N5662">
        <v>-6.9125699999999905E-4</v>
      </c>
      <c r="O5662">
        <v>-0.1195264</v>
      </c>
      <c r="P5662">
        <v>-0.99646889999999999</v>
      </c>
      <c r="Q5662">
        <v>-8.1853140000000005E-2</v>
      </c>
      <c r="R5662">
        <v>-1.870664E-2</v>
      </c>
      <c r="S5662">
        <v>-3.0025940000000002</v>
      </c>
      <c r="T5662">
        <v>-0.12622369999999999</v>
      </c>
      <c r="U5662">
        <v>0.1113281</v>
      </c>
      <c r="V5662">
        <v>9.9974199999999999E-2</v>
      </c>
      <c r="W5662">
        <v>-8.1853579999999995E-2</v>
      </c>
      <c r="X5662">
        <v>0.99161739999999998</v>
      </c>
      <c r="Y5662">
        <v>0.15598890000000001</v>
      </c>
      <c r="Z5662">
        <v>8.2619530000000007E-3</v>
      </c>
      <c r="AA5662">
        <v>0.98772420000000005</v>
      </c>
      <c r="AB5662">
        <v>26</v>
      </c>
      <c r="AC5662">
        <v>-26.298200000000001</v>
      </c>
      <c r="AD5662">
        <v>-1.1165843108719999</v>
      </c>
      <c r="AE5662">
        <v>1.0134999999999901</v>
      </c>
      <c r="AF5662">
        <v>4.1421080720801502</v>
      </c>
      <c r="AG5662">
        <v>-1.1165843108719999</v>
      </c>
      <c r="AH5662">
        <v>25.941831889108499</v>
      </c>
      <c r="AI5662">
        <v>92.433803924365705</v>
      </c>
      <c r="AJ5662">
        <v>80.928211857392199</v>
      </c>
      <c r="AK5662">
        <v>26.294152611689999</v>
      </c>
      <c r="AL5662">
        <v>94.695117741975395</v>
      </c>
      <c r="AM5662">
        <v>84.242931393204003</v>
      </c>
      <c r="AN5662">
        <v>0.99999995860360702</v>
      </c>
    </row>
    <row r="5663" spans="1:40" x14ac:dyDescent="0.25">
      <c r="A5663" t="str">
        <f>"20190303153920777"</f>
        <v>20190303153920777</v>
      </c>
      <c r="B5663" t="str">
        <f>"1551598760774221"</f>
        <v>1551598760774221</v>
      </c>
      <c r="C5663" t="s">
        <v>40</v>
      </c>
      <c r="D5663">
        <v>4.769501</v>
      </c>
      <c r="E5663">
        <v>0.52147929999999998</v>
      </c>
      <c r="F5663" t="s">
        <v>42</v>
      </c>
      <c r="G5663">
        <v>-243.7199</v>
      </c>
      <c r="H5663" s="1">
        <v>-3.3284729999999999E-6</v>
      </c>
      <c r="I5663">
        <v>142.0668</v>
      </c>
      <c r="J5663">
        <v>-217.73099999999999</v>
      </c>
      <c r="K5663">
        <v>1.116522</v>
      </c>
      <c r="L5663">
        <v>141.04339999999999</v>
      </c>
      <c r="M5663">
        <v>-0.99330479999999999</v>
      </c>
      <c r="N5663">
        <v>-5.8478510000000003E-4</v>
      </c>
      <c r="O5663">
        <v>-0.11552229999999999</v>
      </c>
      <c r="P5663">
        <v>-0.99643539999999997</v>
      </c>
      <c r="Q5663">
        <v>-8.2606600000000002E-2</v>
      </c>
      <c r="R5663">
        <v>-1.7112929999999998E-2</v>
      </c>
      <c r="S5663">
        <v>-3.0022890000000002</v>
      </c>
      <c r="T5663">
        <v>-0.12772359999999999</v>
      </c>
      <c r="U5663">
        <v>0.1139984</v>
      </c>
      <c r="V5663">
        <v>9.7539979999999998E-2</v>
      </c>
      <c r="W5663">
        <v>-8.2706310000000005E-2</v>
      </c>
      <c r="X5663">
        <v>0.99178909999999998</v>
      </c>
      <c r="Y5663">
        <v>0.15288689999999999</v>
      </c>
      <c r="Z5663">
        <v>8.1315989999999998E-3</v>
      </c>
      <c r="AA5663">
        <v>0.98821029999999999</v>
      </c>
      <c r="AB5663">
        <v>26</v>
      </c>
      <c r="AC5663">
        <v>-25.988900000000001</v>
      </c>
      <c r="AD5663">
        <v>-1.1165253284729999</v>
      </c>
      <c r="AE5663">
        <v>1.0234000000000001</v>
      </c>
      <c r="AF5663">
        <v>4.0114535005972902</v>
      </c>
      <c r="AG5663">
        <v>-1.1165253284729999</v>
      </c>
      <c r="AH5663">
        <v>25.649407967706999</v>
      </c>
      <c r="AI5663">
        <v>92.462628526014996</v>
      </c>
      <c r="AJ5663">
        <v>81.111199865074795</v>
      </c>
      <c r="AK5663">
        <v>25.985198038315001</v>
      </c>
      <c r="AL5663">
        <v>94.744141606070201</v>
      </c>
      <c r="AM5663">
        <v>84.383165871259806</v>
      </c>
      <c r="AN5663">
        <v>1.00000000014551</v>
      </c>
    </row>
    <row r="5664" spans="1:40" x14ac:dyDescent="0.25">
      <c r="A5664" t="str">
        <f>"20190303153920799"</f>
        <v>20190303153920799</v>
      </c>
      <c r="B5664" t="str">
        <f>"1551598760793742"</f>
        <v>1551598760793742</v>
      </c>
      <c r="C5664" t="s">
        <v>40</v>
      </c>
      <c r="D5664">
        <v>4.6729609999999999</v>
      </c>
      <c r="E5664">
        <v>0.52136289999999996</v>
      </c>
      <c r="F5664" t="s">
        <v>42</v>
      </c>
      <c r="G5664">
        <v>-243.21629999999999</v>
      </c>
      <c r="H5664" s="1">
        <v>-3.5354789999999999E-6</v>
      </c>
      <c r="I5664">
        <v>142.03280000000001</v>
      </c>
      <c r="J5664">
        <v>-217.99940000000001</v>
      </c>
      <c r="K5664">
        <v>1.1164559999999999</v>
      </c>
      <c r="L5664">
        <v>141.0164</v>
      </c>
      <c r="M5664">
        <v>-0.99378029999999995</v>
      </c>
      <c r="N5664">
        <v>-5.0533260000000003E-4</v>
      </c>
      <c r="O5664">
        <v>-0.1113589</v>
      </c>
      <c r="P5664">
        <v>-0.99641630000000003</v>
      </c>
      <c r="Q5664">
        <v>-8.3383189999999996E-2</v>
      </c>
      <c r="R5664">
        <v>-1.4212539999999999E-2</v>
      </c>
      <c r="S5664">
        <v>-3.0018310000000001</v>
      </c>
      <c r="T5664">
        <v>-0.1315122</v>
      </c>
      <c r="U5664">
        <v>0.1165466</v>
      </c>
      <c r="V5664">
        <v>9.6247719999999995E-2</v>
      </c>
      <c r="W5664">
        <v>-8.356392E-2</v>
      </c>
      <c r="X5664">
        <v>0.99184349999999999</v>
      </c>
      <c r="Y5664">
        <v>0.14958060000000001</v>
      </c>
      <c r="Z5664">
        <v>8.1249119999999998E-3</v>
      </c>
      <c r="AA5664">
        <v>0.98871609999999999</v>
      </c>
      <c r="AB5664">
        <v>26</v>
      </c>
      <c r="AC5664">
        <v>-25.2168999999999</v>
      </c>
      <c r="AD5664">
        <v>-1.1164595354789999</v>
      </c>
      <c r="AE5664">
        <v>1.0164</v>
      </c>
      <c r="AF5664">
        <v>3.8107466244055002</v>
      </c>
      <c r="AG5664">
        <v>-1.1164595354789999</v>
      </c>
      <c r="AH5664">
        <v>24.898145716215101</v>
      </c>
      <c r="AI5664">
        <v>92.537969229849807</v>
      </c>
      <c r="AJ5664">
        <v>81.298212529568801</v>
      </c>
      <c r="AK5664">
        <v>25.212812850526198</v>
      </c>
      <c r="AL5664">
        <v>94.7934495383128</v>
      </c>
      <c r="AM5664">
        <v>84.457416201832899</v>
      </c>
      <c r="AN5664">
        <v>1.0000000404116001</v>
      </c>
    </row>
    <row r="5665" spans="1:40" x14ac:dyDescent="0.25">
      <c r="A5665" t="str">
        <f>"20190303153920823"</f>
        <v>20190303153920823</v>
      </c>
      <c r="B5665" t="str">
        <f>"1551598760814237"</f>
        <v>1551598760814237</v>
      </c>
      <c r="C5665" t="s">
        <v>40</v>
      </c>
      <c r="D5665">
        <v>4.6761599999999897</v>
      </c>
      <c r="E5665">
        <v>0.52131340000000004</v>
      </c>
      <c r="F5665" t="s">
        <v>42</v>
      </c>
      <c r="G5665">
        <v>-242.9812</v>
      </c>
      <c r="H5665" s="1">
        <v>-3.6409499999999998E-6</v>
      </c>
      <c r="I5665">
        <v>142.05019999999999</v>
      </c>
      <c r="J5665">
        <v>-218.2809</v>
      </c>
      <c r="K5665">
        <v>1.1163959999999999</v>
      </c>
      <c r="L5665">
        <v>140.98929999999999</v>
      </c>
      <c r="M5665">
        <v>-0.99425909999999995</v>
      </c>
      <c r="N5665">
        <v>-4.591981E-4</v>
      </c>
      <c r="O5665">
        <v>-0.1069991</v>
      </c>
      <c r="P5665">
        <v>-0.9964421</v>
      </c>
      <c r="Q5665">
        <v>-8.3648879999999995E-2</v>
      </c>
      <c r="R5665">
        <v>-1.029793E-2</v>
      </c>
      <c r="S5665">
        <v>-3.0013429999999999</v>
      </c>
      <c r="T5665">
        <v>-0.13413269999999999</v>
      </c>
      <c r="U5665">
        <v>0.1242065</v>
      </c>
      <c r="V5665">
        <v>9.5779020000000006E-2</v>
      </c>
      <c r="W5665">
        <v>-8.3884130000000001E-2</v>
      </c>
      <c r="X5665">
        <v>0.99186180000000002</v>
      </c>
      <c r="Y5665">
        <v>0.14776529999999999</v>
      </c>
      <c r="Z5665">
        <v>8.0568769999999901E-3</v>
      </c>
      <c r="AA5665">
        <v>0.98898969999999997</v>
      </c>
      <c r="AB5665">
        <v>27</v>
      </c>
      <c r="AC5665">
        <v>-24.700299999999999</v>
      </c>
      <c r="AD5665">
        <v>-1.1163996409500001</v>
      </c>
      <c r="AE5665">
        <v>1.0609</v>
      </c>
      <c r="AF5665">
        <v>3.6901948068478498</v>
      </c>
      <c r="AG5665">
        <v>-1.1163996409500001</v>
      </c>
      <c r="AH5665">
        <v>24.395239257069498</v>
      </c>
      <c r="AI5665">
        <v>92.5907672778022</v>
      </c>
      <c r="AJ5665">
        <v>81.398250939999599</v>
      </c>
      <c r="AK5665">
        <v>24.698007698607299</v>
      </c>
      <c r="AL5665">
        <v>94.811861060890394</v>
      </c>
      <c r="AM5665">
        <v>84.484341349827005</v>
      </c>
      <c r="AN5665">
        <v>0.99999999911862802</v>
      </c>
    </row>
    <row r="5666" spans="1:40" x14ac:dyDescent="0.25">
      <c r="A5666" t="str">
        <f>"20190303153920846"</f>
        <v>20190303153920846</v>
      </c>
      <c r="B5666" t="str">
        <f>"1551598760834733"</f>
        <v>1551598760834733</v>
      </c>
      <c r="C5666" t="s">
        <v>40</v>
      </c>
      <c r="D5666">
        <v>4.6869180000000004</v>
      </c>
      <c r="E5666">
        <v>0.52126779999999995</v>
      </c>
      <c r="F5666" t="s">
        <v>42</v>
      </c>
      <c r="G5666">
        <v>-243.1121</v>
      </c>
      <c r="H5666" s="1">
        <v>-3.6016240000000002E-6</v>
      </c>
      <c r="I5666">
        <v>142.11340000000001</v>
      </c>
      <c r="J5666">
        <v>-218.541</v>
      </c>
      <c r="K5666">
        <v>1.11635</v>
      </c>
      <c r="L5666">
        <v>140.96530000000001</v>
      </c>
      <c r="M5666">
        <v>-0.9946836</v>
      </c>
      <c r="N5666">
        <v>-4.5421390000000001E-4</v>
      </c>
      <c r="O5666">
        <v>-0.1029781</v>
      </c>
      <c r="P5666">
        <v>-0.9964923</v>
      </c>
      <c r="Q5666">
        <v>-8.3407389999999998E-2</v>
      </c>
      <c r="R5666">
        <v>-6.8225430000000004E-3</v>
      </c>
      <c r="S5666">
        <v>-3.0007929999999998</v>
      </c>
      <c r="T5666">
        <v>-0.1349148</v>
      </c>
      <c r="U5666">
        <v>0.135849</v>
      </c>
      <c r="V5666">
        <v>9.5222020000000004E-2</v>
      </c>
      <c r="W5666">
        <v>-8.3654870000000006E-2</v>
      </c>
      <c r="X5666">
        <v>0.99193480000000001</v>
      </c>
      <c r="Y5666">
        <v>0.14760499999999999</v>
      </c>
      <c r="Z5666">
        <v>7.9232550000000006E-3</v>
      </c>
      <c r="AA5666">
        <v>0.98901459999999997</v>
      </c>
      <c r="AB5666">
        <v>27</v>
      </c>
      <c r="AC5666">
        <v>-24.571100000000001</v>
      </c>
      <c r="AD5666">
        <v>-1.1163536016240001</v>
      </c>
      <c r="AE5666">
        <v>1.1480999999999899</v>
      </c>
      <c r="AF5666">
        <v>3.6647332128284602</v>
      </c>
      <c r="AG5666">
        <v>-1.1163536016240001</v>
      </c>
      <c r="AH5666">
        <v>24.272247695856802</v>
      </c>
      <c r="AI5666">
        <v>92.603878409838202</v>
      </c>
      <c r="AJ5666">
        <v>81.414075852962</v>
      </c>
      <c r="AK5666">
        <v>24.572719082228001</v>
      </c>
      <c r="AL5666">
        <v>94.7986790508334</v>
      </c>
      <c r="AM5666">
        <v>84.516622512506004</v>
      </c>
      <c r="AN5666">
        <v>1.00000000890931</v>
      </c>
    </row>
    <row r="5667" spans="1:40" x14ac:dyDescent="0.25">
      <c r="A5667" t="str">
        <f>"20190303153920867"</f>
        <v>20190303153920867</v>
      </c>
      <c r="B5667" t="str">
        <f>"1551598760864013"</f>
        <v>1551598760864013</v>
      </c>
      <c r="C5667" t="s">
        <v>40</v>
      </c>
      <c r="D5667">
        <v>4.6901599999999997</v>
      </c>
      <c r="E5667">
        <v>0.52111300000000005</v>
      </c>
      <c r="F5667" t="s">
        <v>42</v>
      </c>
      <c r="G5667">
        <v>-243.55459999999999</v>
      </c>
      <c r="H5667" s="1">
        <v>-3.4302900000000002E-6</v>
      </c>
      <c r="I5667">
        <v>142.18279999999999</v>
      </c>
      <c r="J5667">
        <v>-218.82849999999999</v>
      </c>
      <c r="K5667">
        <v>1.1163000000000001</v>
      </c>
      <c r="L5667">
        <v>140.9401</v>
      </c>
      <c r="M5667">
        <v>-0.99513309999999999</v>
      </c>
      <c r="N5667">
        <v>-4.9677580000000003E-4</v>
      </c>
      <c r="O5667">
        <v>-9.8537990000000006E-2</v>
      </c>
      <c r="P5667">
        <v>-0.99649699999999997</v>
      </c>
      <c r="Q5667">
        <v>-8.3527840000000006E-2</v>
      </c>
      <c r="R5667">
        <v>-4.0755909999999999E-3</v>
      </c>
      <c r="S5667">
        <v>-3.0003660000000001</v>
      </c>
      <c r="T5667">
        <v>-0.1339062</v>
      </c>
      <c r="U5667">
        <v>0.146041899999999</v>
      </c>
      <c r="V5667">
        <v>9.351669E-2</v>
      </c>
      <c r="W5667">
        <v>-8.3733150000000006E-2</v>
      </c>
      <c r="X5667">
        <v>0.99209040000000004</v>
      </c>
      <c r="Y5667">
        <v>0.1465591</v>
      </c>
      <c r="Z5667">
        <v>7.6446569999999896E-3</v>
      </c>
      <c r="AA5667">
        <v>0.98917239999999995</v>
      </c>
      <c r="AB5667">
        <v>27</v>
      </c>
      <c r="AC5667">
        <v>-24.726099999999999</v>
      </c>
      <c r="AD5667">
        <v>-1.1163034302899999</v>
      </c>
      <c r="AE5667">
        <v>1.2426999999999799</v>
      </c>
      <c r="AF5667">
        <v>3.66566015663004</v>
      </c>
      <c r="AG5667">
        <v>-1.1163034302899999</v>
      </c>
      <c r="AH5667">
        <v>24.433636106608802</v>
      </c>
      <c r="AI5667">
        <v>92.5869514077242</v>
      </c>
      <c r="AJ5667">
        <v>81.4678245769732</v>
      </c>
      <c r="AK5667">
        <v>24.732281963510001</v>
      </c>
      <c r="AL5667">
        <v>94.803180062542907</v>
      </c>
      <c r="AM5667">
        <v>84.615081335452103</v>
      </c>
      <c r="AN5667">
        <v>0.99999998674481905</v>
      </c>
    </row>
    <row r="5668" spans="1:40" x14ac:dyDescent="0.25">
      <c r="A5668" t="str">
        <f>"20190303153920889"</f>
        <v>20190303153920889</v>
      </c>
      <c r="B5668" t="str">
        <f>"1551598760884510"</f>
        <v>1551598760884510</v>
      </c>
      <c r="C5668" t="s">
        <v>40</v>
      </c>
      <c r="D5668">
        <v>4.6713319999999996</v>
      </c>
      <c r="E5668">
        <v>0.52106279999999905</v>
      </c>
      <c r="F5668" t="s">
        <v>42</v>
      </c>
      <c r="G5668">
        <v>-243.75210000000001</v>
      </c>
      <c r="H5668" s="1">
        <v>-3.352726E-6</v>
      </c>
      <c r="I5668">
        <v>142.2098</v>
      </c>
      <c r="J5668">
        <v>-219.09469999999999</v>
      </c>
      <c r="K5668">
        <v>1.116252</v>
      </c>
      <c r="L5668">
        <v>140.9178</v>
      </c>
      <c r="M5668">
        <v>-0.99553080000000005</v>
      </c>
      <c r="N5668">
        <v>-5.9877940000000005E-4</v>
      </c>
      <c r="O5668">
        <v>-9.4435240000000004E-2</v>
      </c>
      <c r="P5668">
        <v>-0.99649330000000003</v>
      </c>
      <c r="Q5668">
        <v>-8.3655220000000002E-2</v>
      </c>
      <c r="R5668">
        <v>-1.7834939999999901E-3</v>
      </c>
      <c r="S5668">
        <v>-2.9998930000000001</v>
      </c>
      <c r="T5668">
        <v>-0.1343626</v>
      </c>
      <c r="U5668">
        <v>0.152832</v>
      </c>
      <c r="V5668">
        <v>9.1697310000000004E-2</v>
      </c>
      <c r="W5668">
        <v>-8.3757559999999995E-2</v>
      </c>
      <c r="X5668">
        <v>0.99225819999999998</v>
      </c>
      <c r="Y5668">
        <v>0.14472679999999999</v>
      </c>
      <c r="Z5668">
        <v>7.4468679999999997E-3</v>
      </c>
      <c r="AA5668">
        <v>0.98944370000000004</v>
      </c>
      <c r="AB5668">
        <v>27</v>
      </c>
      <c r="AC5668">
        <v>-24.657399999999999</v>
      </c>
      <c r="AD5668">
        <v>-1.116255352726</v>
      </c>
      <c r="AE5668">
        <v>1.292</v>
      </c>
      <c r="AF5668">
        <v>3.6073812009356199</v>
      </c>
      <c r="AG5668">
        <v>-1.116255352726</v>
      </c>
      <c r="AH5668">
        <v>24.375377059309599</v>
      </c>
      <c r="AI5668">
        <v>92.593781724357598</v>
      </c>
      <c r="AJ5668">
        <v>81.581738742298199</v>
      </c>
      <c r="AK5668">
        <v>24.666135326087701</v>
      </c>
      <c r="AL5668">
        <v>94.804583372157694</v>
      </c>
      <c r="AM5668">
        <v>84.720135534744898</v>
      </c>
      <c r="AN5668">
        <v>1.0000000304928101</v>
      </c>
    </row>
    <row r="5669" spans="1:40" x14ac:dyDescent="0.25">
      <c r="A5669" t="str">
        <f>"20190303153920912"</f>
        <v>20190303153920912</v>
      </c>
      <c r="B5669" t="str">
        <f>"1551598760904029"</f>
        <v>1551598760904029</v>
      </c>
      <c r="C5669" t="s">
        <v>40</v>
      </c>
      <c r="D5669">
        <v>4.7379470000000001</v>
      </c>
      <c r="E5669">
        <v>0.49703730000000002</v>
      </c>
      <c r="F5669" t="s">
        <v>42</v>
      </c>
      <c r="G5669">
        <v>-243.9289</v>
      </c>
      <c r="H5669" s="1">
        <v>-3.2841679999999998E-6</v>
      </c>
      <c r="I5669">
        <v>142.2372</v>
      </c>
      <c r="J5669">
        <v>-219.3733</v>
      </c>
      <c r="K5669">
        <v>1.1162289999999999</v>
      </c>
      <c r="L5669">
        <v>140.89590000000001</v>
      </c>
      <c r="M5669">
        <v>-0.99592700000000001</v>
      </c>
      <c r="N5669">
        <v>-8.0439589999999896E-4</v>
      </c>
      <c r="O5669">
        <v>-9.0159310000000006E-2</v>
      </c>
      <c r="P5669">
        <v>-0.99641190000000002</v>
      </c>
      <c r="Q5669">
        <v>-8.4632349999999995E-2</v>
      </c>
      <c r="R5669">
        <v>9.3506419999999995E-4</v>
      </c>
      <c r="S5669">
        <v>-2.9995270000000001</v>
      </c>
      <c r="T5669">
        <v>-0.134824</v>
      </c>
      <c r="U5669">
        <v>0.1593628</v>
      </c>
      <c r="V5669">
        <v>9.011827E-2</v>
      </c>
      <c r="W5669">
        <v>-8.4531250000000002E-2</v>
      </c>
      <c r="X5669">
        <v>0.99233720000000003</v>
      </c>
      <c r="Y5669">
        <v>0.14263700000000001</v>
      </c>
      <c r="Z5669">
        <v>7.2326700000000001E-3</v>
      </c>
      <c r="AA5669">
        <v>0.98974870000000004</v>
      </c>
      <c r="AB5669">
        <v>27</v>
      </c>
      <c r="AC5669">
        <v>-24.555599999999998</v>
      </c>
      <c r="AD5669">
        <v>-1.1162322841679999</v>
      </c>
      <c r="AE5669">
        <v>1.34129999999998</v>
      </c>
      <c r="AF5669">
        <v>3.5424558485759499</v>
      </c>
      <c r="AG5669">
        <v>-1.1162322841679999</v>
      </c>
      <c r="AH5669">
        <v>24.284631239571301</v>
      </c>
      <c r="AI5669">
        <v>92.604200053246799</v>
      </c>
      <c r="AJ5669">
        <v>81.700666981028405</v>
      </c>
      <c r="AK5669">
        <v>24.567016147535899</v>
      </c>
      <c r="AL5669">
        <v>94.849070575033295</v>
      </c>
      <c r="AM5669">
        <v>84.810965653064102</v>
      </c>
      <c r="AN5669">
        <v>0.99999997665909701</v>
      </c>
    </row>
    <row r="5670" spans="1:40" x14ac:dyDescent="0.25">
      <c r="A5670" t="str">
        <f>"20190303153920934"</f>
        <v>20190303153920934</v>
      </c>
      <c r="B5670" t="str">
        <f>"1551598760924525"</f>
        <v>1551598760924525</v>
      </c>
      <c r="C5670" t="s">
        <v>40</v>
      </c>
      <c r="D5670">
        <v>4.7386359999999996</v>
      </c>
      <c r="E5670">
        <v>0.4944462</v>
      </c>
      <c r="F5670" t="s">
        <v>42</v>
      </c>
      <c r="G5670">
        <v>-244.2328</v>
      </c>
      <c r="H5670" s="1">
        <v>-2.7434479999999999E-6</v>
      </c>
      <c r="I5670">
        <v>140.69499999999999</v>
      </c>
      <c r="J5670">
        <v>-219.64940000000001</v>
      </c>
      <c r="K5670">
        <v>1.1162319999999999</v>
      </c>
      <c r="L5670">
        <v>140.87530000000001</v>
      </c>
      <c r="M5670">
        <v>-0.99629999999999996</v>
      </c>
      <c r="N5670">
        <v>-1.129786E-3</v>
      </c>
      <c r="O5670">
        <v>-8.5935520000000001E-2</v>
      </c>
      <c r="P5670">
        <v>-0.99632969999999998</v>
      </c>
      <c r="Q5670">
        <v>-8.5466210000000001E-2</v>
      </c>
      <c r="R5670">
        <v>4.7513159999999898E-3</v>
      </c>
      <c r="S5670">
        <v>-2.99939</v>
      </c>
      <c r="T5670">
        <v>-0.13467760000000001</v>
      </c>
      <c r="U5670">
        <v>-2.4230959999999999E-2</v>
      </c>
      <c r="V5670">
        <v>8.9689870000000005E-2</v>
      </c>
      <c r="W5670">
        <v>-8.5050870000000001E-2</v>
      </c>
      <c r="X5670">
        <v>0.99233159999999998</v>
      </c>
      <c r="Y5670">
        <v>7.7721929999999995E-2</v>
      </c>
      <c r="Z5670">
        <v>5.5435399999999996E-3</v>
      </c>
      <c r="AA5670">
        <v>0.9969597</v>
      </c>
      <c r="AB5670">
        <v>28</v>
      </c>
      <c r="AC5670">
        <v>-24.583399999999902</v>
      </c>
      <c r="AD5670">
        <v>-1.116234743448</v>
      </c>
      <c r="AE5670">
        <v>-0.180300000000016</v>
      </c>
      <c r="AF5670">
        <v>1.92897894436372</v>
      </c>
      <c r="AG5670">
        <v>-1.116234743448</v>
      </c>
      <c r="AH5670">
        <v>24.457531127973301</v>
      </c>
      <c r="AI5670">
        <v>92.605070909061496</v>
      </c>
      <c r="AJ5670">
        <v>85.490385647746194</v>
      </c>
      <c r="AK5670">
        <v>24.5588633418988</v>
      </c>
      <c r="AL5670">
        <v>94.878950275792604</v>
      </c>
      <c r="AM5670">
        <v>84.835470343573505</v>
      </c>
      <c r="AN5670">
        <v>0.99999996381346601</v>
      </c>
    </row>
    <row r="5671" spans="1:40" x14ac:dyDescent="0.25">
      <c r="A5671" t="str">
        <f>"20190303153920956"</f>
        <v>20190303153920956</v>
      </c>
      <c r="B5671" t="str">
        <f>"1551598760944045"</f>
        <v>1551598760944045</v>
      </c>
      <c r="C5671" t="s">
        <v>40</v>
      </c>
      <c r="D5671">
        <v>4.7313890000000001</v>
      </c>
      <c r="E5671">
        <v>0.49342259999999999</v>
      </c>
      <c r="F5671" t="s">
        <v>42</v>
      </c>
      <c r="G5671">
        <v>-243.9965</v>
      </c>
      <c r="H5671" s="1">
        <v>-2.8204250000000002E-6</v>
      </c>
      <c r="I5671">
        <v>140.60329999999999</v>
      </c>
      <c r="J5671">
        <v>-219.93279999999999</v>
      </c>
      <c r="K5671">
        <v>1.116247</v>
      </c>
      <c r="L5671">
        <v>140.8554</v>
      </c>
      <c r="M5671">
        <v>-0.99666489999999996</v>
      </c>
      <c r="N5671">
        <v>-1.548982E-3</v>
      </c>
      <c r="O5671">
        <v>-8.1587989999999999E-2</v>
      </c>
      <c r="P5671">
        <v>-0.99625039999999998</v>
      </c>
      <c r="Q5671">
        <v>-8.6202210000000001E-2</v>
      </c>
      <c r="R5671">
        <v>7.3841769999999996E-3</v>
      </c>
      <c r="S5671">
        <v>-2.9994200000000002</v>
      </c>
      <c r="T5671">
        <v>-0.13751360000000001</v>
      </c>
      <c r="U5671">
        <v>-3.3493040000000002E-2</v>
      </c>
      <c r="V5671">
        <v>8.7965420000000002E-2</v>
      </c>
      <c r="W5671">
        <v>-8.5367470000000001E-2</v>
      </c>
      <c r="X5671">
        <v>0.99245879999999997</v>
      </c>
      <c r="Y5671">
        <v>7.0298269999999996E-2</v>
      </c>
      <c r="Z5671">
        <v>5.2735389999999998E-3</v>
      </c>
      <c r="AA5671">
        <v>0.99751210000000001</v>
      </c>
      <c r="AB5671">
        <v>28</v>
      </c>
      <c r="AC5671">
        <v>-24.063700000000001</v>
      </c>
      <c r="AD5671">
        <v>-1.116249820425</v>
      </c>
      <c r="AE5671">
        <v>-0.25210000000001198</v>
      </c>
      <c r="AF5671">
        <v>1.7083761667111601</v>
      </c>
      <c r="AG5671">
        <v>-1.116249820425</v>
      </c>
      <c r="AH5671">
        <v>23.952508327966399</v>
      </c>
      <c r="AI5671">
        <v>92.661452265399006</v>
      </c>
      <c r="AJ5671">
        <v>85.920374190194906</v>
      </c>
      <c r="AK5671">
        <v>24.039284889319902</v>
      </c>
      <c r="AL5671">
        <v>94.897156181732498</v>
      </c>
      <c r="AM5671">
        <v>84.934891963098394</v>
      </c>
      <c r="AN5671">
        <v>0.99999999487370805</v>
      </c>
    </row>
    <row r="5672" spans="1:40" x14ac:dyDescent="0.25">
      <c r="A5672" t="str">
        <f>"20190303153920979"</f>
        <v>20190303153920979</v>
      </c>
      <c r="B5672" t="str">
        <f>"1551598760974301"</f>
        <v>1551598760974301</v>
      </c>
      <c r="C5672" t="s">
        <v>40</v>
      </c>
      <c r="D5672">
        <v>4.7003329999999997</v>
      </c>
      <c r="E5672">
        <v>0.49291550000000001</v>
      </c>
      <c r="F5672" t="s">
        <v>42</v>
      </c>
      <c r="G5672">
        <v>-243.71899999999999</v>
      </c>
      <c r="H5672" s="1">
        <v>-2.9353839999999999E-6</v>
      </c>
      <c r="I5672">
        <v>140.58799999999999</v>
      </c>
      <c r="J5672">
        <v>-220.20179999999999</v>
      </c>
      <c r="K5672">
        <v>1.1162920000000001</v>
      </c>
      <c r="L5672">
        <v>140.83779999999999</v>
      </c>
      <c r="M5672">
        <v>-0.9969943</v>
      </c>
      <c r="N5672">
        <v>-2.0235019999999999E-3</v>
      </c>
      <c r="O5672">
        <v>-7.7450740000000004E-2</v>
      </c>
      <c r="P5672">
        <v>-0.99615869999999995</v>
      </c>
      <c r="Q5672">
        <v>-8.7032799999999994E-2</v>
      </c>
      <c r="R5672">
        <v>9.6605440000000001E-3</v>
      </c>
      <c r="S5672">
        <v>-2.9993439999999998</v>
      </c>
      <c r="T5672">
        <v>-0.14075489999999999</v>
      </c>
      <c r="U5672">
        <v>-3.3721920000000002E-2</v>
      </c>
      <c r="V5672">
        <v>8.6098579999999994E-2</v>
      </c>
      <c r="W5672">
        <v>-8.5719379999999998E-2</v>
      </c>
      <c r="X5672">
        <v>0.99259219999999904</v>
      </c>
      <c r="Y5672">
        <v>6.6083649999999994E-2</v>
      </c>
      <c r="Z5672">
        <v>5.0892469999999999E-3</v>
      </c>
      <c r="AA5672">
        <v>0.9978011</v>
      </c>
      <c r="AB5672">
        <v>28</v>
      </c>
      <c r="AC5672">
        <v>-23.517199999999999</v>
      </c>
      <c r="AD5672">
        <v>-1.1162949353839999</v>
      </c>
      <c r="AE5672">
        <v>-0.249799999999993</v>
      </c>
      <c r="AF5672">
        <v>1.5688438997266101</v>
      </c>
      <c r="AG5672">
        <v>-1.1162949353839999</v>
      </c>
      <c r="AH5672">
        <v>23.413158538238001</v>
      </c>
      <c r="AI5672">
        <v>92.723588549502296</v>
      </c>
      <c r="AJ5672">
        <v>86.166516156179796</v>
      </c>
      <c r="AK5672">
        <v>23.492198243270899</v>
      </c>
      <c r="AL5672">
        <v>94.917393163980094</v>
      </c>
      <c r="AM5672">
        <v>85.042507294383398</v>
      </c>
      <c r="AN5672">
        <v>1.0000000265432101</v>
      </c>
    </row>
    <row r="5673" spans="1:40" x14ac:dyDescent="0.25">
      <c r="A5673" t="str">
        <f>"20190303153920998"</f>
        <v>20190303153920998</v>
      </c>
      <c r="B5673" t="str">
        <f>"1551598760993822"</f>
        <v>1551598760993822</v>
      </c>
      <c r="C5673" t="s">
        <v>40</v>
      </c>
      <c r="D5673">
        <v>4.7508869999999996</v>
      </c>
      <c r="E5673">
        <v>0.49247990000000003</v>
      </c>
      <c r="F5673" t="s">
        <v>42</v>
      </c>
      <c r="G5673">
        <v>-243.71090000000001</v>
      </c>
      <c r="H5673" s="1">
        <v>-2.941034E-6</v>
      </c>
      <c r="I5673">
        <v>140.59610000000001</v>
      </c>
      <c r="J5673">
        <v>-220.47069999999999</v>
      </c>
      <c r="K5673">
        <v>1.116352</v>
      </c>
      <c r="L5673">
        <v>140.8212</v>
      </c>
      <c r="M5673">
        <v>-0.99730600000000003</v>
      </c>
      <c r="N5673">
        <v>-2.5664809999999998E-3</v>
      </c>
      <c r="O5673">
        <v>-7.3309340000000001E-2</v>
      </c>
      <c r="P5673">
        <v>-0.99611249999999996</v>
      </c>
      <c r="Q5673">
        <v>-8.7302999999999895E-2</v>
      </c>
      <c r="R5673">
        <v>1.174825E-2</v>
      </c>
      <c r="S5673">
        <v>-2.9994200000000002</v>
      </c>
      <c r="T5673">
        <v>-0.14242279999999999</v>
      </c>
      <c r="U5673">
        <v>-3.0822749999999999E-2</v>
      </c>
      <c r="V5673">
        <v>8.4052719999999997E-2</v>
      </c>
      <c r="W5673">
        <v>-8.5438139999999996E-2</v>
      </c>
      <c r="X5673">
        <v>0.9927918</v>
      </c>
      <c r="Y5673">
        <v>6.2909209999999993E-2</v>
      </c>
      <c r="Z5673">
        <v>4.8615409999999996E-3</v>
      </c>
      <c r="AA5673">
        <v>0.99800739999999999</v>
      </c>
      <c r="AB5673">
        <v>28</v>
      </c>
      <c r="AC5673">
        <v>-23.240200000000002</v>
      </c>
      <c r="AD5673">
        <v>-1.1163549410339999</v>
      </c>
      <c r="AE5673">
        <v>-0.225099999999997</v>
      </c>
      <c r="AF5673">
        <v>1.47582991176162</v>
      </c>
      <c r="AG5673">
        <v>-1.1163549410339999</v>
      </c>
      <c r="AH5673">
        <v>23.1407777519224</v>
      </c>
      <c r="AI5673">
        <v>92.7563244658825</v>
      </c>
      <c r="AJ5673">
        <v>86.350837457085305</v>
      </c>
      <c r="AK5673">
        <v>23.214648764232699</v>
      </c>
      <c r="AL5673">
        <v>94.901219866816604</v>
      </c>
      <c r="AM5673">
        <v>85.160708495626594</v>
      </c>
      <c r="AN5673">
        <v>1.0000000468266399</v>
      </c>
    </row>
    <row r="5674" spans="1:40" x14ac:dyDescent="0.25">
      <c r="A5674" t="str">
        <f>"20190303153921024"</f>
        <v>20190303153921024</v>
      </c>
      <c r="B5674" t="str">
        <f>"1551598761014318"</f>
        <v>1551598761014318</v>
      </c>
      <c r="C5674" t="s">
        <v>40</v>
      </c>
      <c r="D5674">
        <v>4.662039</v>
      </c>
      <c r="E5674">
        <v>0.49255769999999999</v>
      </c>
      <c r="F5674" t="s">
        <v>42</v>
      </c>
      <c r="G5674">
        <v>-243.90780000000001</v>
      </c>
      <c r="H5674" s="1">
        <v>-2.8580380000000002E-6</v>
      </c>
      <c r="I5674">
        <v>140.60169999999999</v>
      </c>
      <c r="J5674">
        <v>-220.78399999999999</v>
      </c>
      <c r="K5674">
        <v>1.116444</v>
      </c>
      <c r="L5674">
        <v>140.80330000000001</v>
      </c>
      <c r="M5674">
        <v>-0.99764629999999999</v>
      </c>
      <c r="N5674">
        <v>-3.2323489999999998E-3</v>
      </c>
      <c r="O5674">
        <v>-6.8493020000000002E-2</v>
      </c>
      <c r="P5674">
        <v>-0.99603660000000005</v>
      </c>
      <c r="Q5674">
        <v>-8.7826520000000005E-2</v>
      </c>
      <c r="R5674">
        <v>1.4059200000000001E-2</v>
      </c>
      <c r="S5674">
        <v>-2.9995270000000001</v>
      </c>
      <c r="T5674">
        <v>-0.14287339999999901</v>
      </c>
      <c r="U5674">
        <v>-2.8091430000000001E-2</v>
      </c>
      <c r="V5674">
        <v>8.1559320000000005E-2</v>
      </c>
      <c r="W5674">
        <v>-8.5281280000000001E-2</v>
      </c>
      <c r="X5674">
        <v>0.99301320000000004</v>
      </c>
      <c r="Y5674">
        <v>5.9008709999999999E-2</v>
      </c>
      <c r="Z5674">
        <v>4.5368919999999998E-3</v>
      </c>
      <c r="AA5674">
        <v>0.99824710000000005</v>
      </c>
      <c r="AB5674">
        <v>28</v>
      </c>
      <c r="AC5674">
        <v>-23.1237999999999</v>
      </c>
      <c r="AD5674">
        <v>-1.116446858038</v>
      </c>
      <c r="AE5674">
        <v>-0.20160000000001299</v>
      </c>
      <c r="AF5674">
        <v>1.3794852568615701</v>
      </c>
      <c r="AG5674">
        <v>-1.116446858038</v>
      </c>
      <c r="AH5674">
        <v>23.029623777642101</v>
      </c>
      <c r="AI5674">
        <v>92.770495418683694</v>
      </c>
      <c r="AJ5674">
        <v>86.572051942080606</v>
      </c>
      <c r="AK5674">
        <v>23.097900434897898</v>
      </c>
      <c r="AL5674">
        <v>94.892199673203606</v>
      </c>
      <c r="AM5674">
        <v>85.304655230432203</v>
      </c>
      <c r="AN5674">
        <v>1.0000000173857699</v>
      </c>
    </row>
    <row r="5675" spans="1:40" x14ac:dyDescent="0.25">
      <c r="A5675" t="str">
        <f>"20190303153921046"</f>
        <v>20190303153921046</v>
      </c>
      <c r="B5675" t="str">
        <f>"1551598761033838"</f>
        <v>1551598761033838</v>
      </c>
      <c r="C5675" t="s">
        <v>40</v>
      </c>
      <c r="D5675">
        <v>4.6684060000000001</v>
      </c>
      <c r="E5675">
        <v>0.49298839999999999</v>
      </c>
      <c r="F5675" t="s">
        <v>42</v>
      </c>
      <c r="G5675">
        <v>-244.6223</v>
      </c>
      <c r="H5675" s="1">
        <v>-2.5609299999999999E-6</v>
      </c>
      <c r="I5675">
        <v>140.6371</v>
      </c>
      <c r="J5675">
        <v>-221.0686</v>
      </c>
      <c r="K5675">
        <v>1.11653</v>
      </c>
      <c r="L5675">
        <v>140.7884</v>
      </c>
      <c r="M5675">
        <v>-0.99793299999999996</v>
      </c>
      <c r="N5675">
        <v>-3.8311209999999998E-3</v>
      </c>
      <c r="O5675">
        <v>-6.4150230000000003E-2</v>
      </c>
      <c r="P5675">
        <v>-0.99602500000000005</v>
      </c>
      <c r="Q5675">
        <v>-8.7552569999999996E-2</v>
      </c>
      <c r="R5675">
        <v>1.6403330000000001E-2</v>
      </c>
      <c r="S5675">
        <v>-2.9998320000000001</v>
      </c>
      <c r="T5675">
        <v>-0.140494799999999</v>
      </c>
      <c r="U5675">
        <v>-2.0919799999999999E-2</v>
      </c>
      <c r="V5675">
        <v>7.9585240000000002E-2</v>
      </c>
      <c r="W5675">
        <v>-8.4394460000000004E-2</v>
      </c>
      <c r="X5675">
        <v>0.9932491</v>
      </c>
      <c r="Y5675">
        <v>5.7063160000000002E-2</v>
      </c>
      <c r="Z5675">
        <v>4.2001269999999997E-3</v>
      </c>
      <c r="AA5675">
        <v>0.99836170000000002</v>
      </c>
      <c r="AB5675">
        <v>28</v>
      </c>
      <c r="AC5675">
        <v>-23.5536999999999</v>
      </c>
      <c r="AD5675">
        <v>-1.1165325609299901</v>
      </c>
      <c r="AE5675">
        <v>-0.151299999999992</v>
      </c>
      <c r="AF5675">
        <v>1.3569487642629801</v>
      </c>
      <c r="AG5675">
        <v>-1.1165325609299901</v>
      </c>
      <c r="AH5675">
        <v>23.462170703207502</v>
      </c>
      <c r="AI5675">
        <v>92.720033577848099</v>
      </c>
      <c r="AJ5675">
        <v>86.689951476333604</v>
      </c>
      <c r="AK5675">
        <v>23.527885774435799</v>
      </c>
      <c r="AL5675">
        <v>94.841204841041801</v>
      </c>
      <c r="AM5675">
        <v>85.418896132712803</v>
      </c>
      <c r="AN5675">
        <v>1.0000000049776701</v>
      </c>
    </row>
    <row r="5676" spans="1:40" x14ac:dyDescent="0.25">
      <c r="A5676" t="str">
        <f>"20190303153921069"</f>
        <v>20190303153921069</v>
      </c>
      <c r="B5676" t="str">
        <f>"1551598761064094"</f>
        <v>1551598761064094</v>
      </c>
      <c r="C5676" t="s">
        <v>40</v>
      </c>
      <c r="D5676">
        <v>4.6470159999999998</v>
      </c>
      <c r="E5676">
        <v>0.49326379999999997</v>
      </c>
      <c r="F5676" t="s">
        <v>42</v>
      </c>
      <c r="G5676">
        <v>-246.19120000000001</v>
      </c>
      <c r="H5676" s="1">
        <v>-1.9046660000000001E-6</v>
      </c>
      <c r="I5676">
        <v>140.70009999999999</v>
      </c>
      <c r="J5676">
        <v>-221.3597</v>
      </c>
      <c r="K5676">
        <v>1.116633</v>
      </c>
      <c r="L5676">
        <v>140.77430000000001</v>
      </c>
      <c r="M5676">
        <v>-0.99820209999999998</v>
      </c>
      <c r="N5676">
        <v>-4.4618210000000004E-3</v>
      </c>
      <c r="O5676">
        <v>-5.977209E-2</v>
      </c>
      <c r="P5676">
        <v>-0.99598710000000001</v>
      </c>
      <c r="Q5676">
        <v>-8.7262699999999999E-2</v>
      </c>
      <c r="R5676">
        <v>1.9877570000000001E-2</v>
      </c>
      <c r="S5676">
        <v>-3.0004270000000002</v>
      </c>
      <c r="T5676">
        <v>-0.13334889999999999</v>
      </c>
      <c r="U5676">
        <v>-1.0528559999999999E-2</v>
      </c>
      <c r="V5676">
        <v>7.8706799999999993E-2</v>
      </c>
      <c r="W5676">
        <v>-8.3466170000000006E-2</v>
      </c>
      <c r="X5676">
        <v>0.99339750000000004</v>
      </c>
      <c r="Y5676">
        <v>5.61609E-2</v>
      </c>
      <c r="Z5676">
        <v>3.7599199999999999E-3</v>
      </c>
      <c r="AA5676">
        <v>0.99841460000000004</v>
      </c>
      <c r="AB5676">
        <v>28</v>
      </c>
      <c r="AC5676">
        <v>-24.831499999999998</v>
      </c>
      <c r="AD5676">
        <v>-1.116634904666</v>
      </c>
      <c r="AE5676">
        <v>-7.4200000000018904E-2</v>
      </c>
      <c r="AF5676">
        <v>1.4073322316324099</v>
      </c>
      <c r="AG5676">
        <v>-1.116634904666</v>
      </c>
      <c r="AH5676">
        <v>24.741505827232501</v>
      </c>
      <c r="AI5676">
        <v>92.579957760801804</v>
      </c>
      <c r="AJ5676">
        <v>86.744442220363695</v>
      </c>
      <c r="AK5676">
        <v>24.806643628663</v>
      </c>
      <c r="AL5676">
        <v>94.787829543813302</v>
      </c>
      <c r="AM5676">
        <v>85.469923417413099</v>
      </c>
      <c r="AN5676">
        <v>0.99999997745347902</v>
      </c>
    </row>
    <row r="5677" spans="1:40" x14ac:dyDescent="0.25">
      <c r="A5677" t="str">
        <f>"20190303153921091"</f>
        <v>20190303153921091</v>
      </c>
      <c r="B5677" t="str">
        <f>"1551598761084591"</f>
        <v>1551598761084591</v>
      </c>
      <c r="C5677" t="s">
        <v>40</v>
      </c>
      <c r="D5677">
        <v>4.6444400000000003</v>
      </c>
      <c r="E5677">
        <v>0.49337930000000002</v>
      </c>
      <c r="F5677" t="s">
        <v>42</v>
      </c>
      <c r="G5677">
        <v>-247.7303</v>
      </c>
      <c r="H5677" s="1">
        <v>-1.2688930000000001E-6</v>
      </c>
      <c r="I5677">
        <v>140.79220000000001</v>
      </c>
      <c r="J5677">
        <v>-221.63409999999999</v>
      </c>
      <c r="K5677">
        <v>1.11677</v>
      </c>
      <c r="L5677">
        <v>140.76220000000001</v>
      </c>
      <c r="M5677">
        <v>-0.9984324</v>
      </c>
      <c r="N5677">
        <v>-5.1446809999999999E-3</v>
      </c>
      <c r="O5677">
        <v>-5.5735460000000001E-2</v>
      </c>
      <c r="P5677">
        <v>-0.995946</v>
      </c>
      <c r="Q5677">
        <v>-8.7081859999999997E-2</v>
      </c>
      <c r="R5677">
        <v>2.2550170000000001E-2</v>
      </c>
      <c r="S5677">
        <v>-3.000931</v>
      </c>
      <c r="T5677">
        <v>-0.12707109999999999</v>
      </c>
      <c r="U5677">
        <v>2.0446779999999999E-3</v>
      </c>
      <c r="V5677">
        <v>7.7371930000000005E-2</v>
      </c>
      <c r="W5677">
        <v>-8.2588350000000005E-2</v>
      </c>
      <c r="X5677">
        <v>0.99357580000000001</v>
      </c>
      <c r="Y5677">
        <v>5.6321370000000003E-2</v>
      </c>
      <c r="Z5677">
        <v>3.4082040000000002E-3</v>
      </c>
      <c r="AA5677">
        <v>0.99840689999999999</v>
      </c>
      <c r="AB5677">
        <v>28</v>
      </c>
      <c r="AC5677">
        <v>-26.0962</v>
      </c>
      <c r="AD5677">
        <v>-1.116771268893</v>
      </c>
      <c r="AE5677">
        <v>3.0000000000001099E-2</v>
      </c>
      <c r="AF5677">
        <v>1.4817426030438201</v>
      </c>
      <c r="AG5677">
        <v>-1.116771268893</v>
      </c>
      <c r="AH5677">
        <v>26.006335238958499</v>
      </c>
      <c r="AI5677">
        <v>92.454923993833205</v>
      </c>
      <c r="AJ5677">
        <v>86.739028862198893</v>
      </c>
      <c r="AK5677">
        <v>26.072441615042401</v>
      </c>
      <c r="AL5677">
        <v>94.737359506719898</v>
      </c>
      <c r="AM5677">
        <v>85.5472379203093</v>
      </c>
      <c r="AN5677">
        <v>1.0000000607266399</v>
      </c>
    </row>
    <row r="5678" spans="1:40" x14ac:dyDescent="0.25">
      <c r="A5678" t="str">
        <f>"20190303153921111"</f>
        <v>20190303153921111</v>
      </c>
      <c r="B5678" t="str">
        <f>"1551598761104110"</f>
        <v>1551598761104110</v>
      </c>
      <c r="C5678" t="s">
        <v>40</v>
      </c>
      <c r="D5678">
        <v>4.7295030000000002</v>
      </c>
      <c r="E5678">
        <v>0.49324859999999998</v>
      </c>
      <c r="F5678" t="s">
        <v>42</v>
      </c>
      <c r="G5678">
        <v>-248.75980000000001</v>
      </c>
      <c r="H5678" s="1">
        <v>-8.4506159999999905E-7</v>
      </c>
      <c r="I5678">
        <v>140.85910000000001</v>
      </c>
      <c r="J5678">
        <v>-221.90299999999999</v>
      </c>
      <c r="K5678">
        <v>1.1169500000000001</v>
      </c>
      <c r="L5678">
        <v>140.75129999999999</v>
      </c>
      <c r="M5678">
        <v>-0.99863590000000002</v>
      </c>
      <c r="N5678">
        <v>-5.9425529999999997E-3</v>
      </c>
      <c r="O5678">
        <v>-5.1875749999999998E-2</v>
      </c>
      <c r="P5678">
        <v>-0.99588869999999896</v>
      </c>
      <c r="Q5678">
        <v>-8.7089819999999998E-2</v>
      </c>
      <c r="R5678">
        <v>2.4926630000000002E-2</v>
      </c>
      <c r="S5678">
        <v>-3.00116</v>
      </c>
      <c r="T5678">
        <v>-0.1235585</v>
      </c>
      <c r="U5678">
        <v>1.0726930000000001E-2</v>
      </c>
      <c r="V5678">
        <v>7.5920390000000004E-2</v>
      </c>
      <c r="W5678">
        <v>-8.1780900000000004E-2</v>
      </c>
      <c r="X5678">
        <v>0.99375449999999999</v>
      </c>
      <c r="Y5678">
        <v>5.5359940000000003E-2</v>
      </c>
      <c r="Z5678">
        <v>3.1295730000000001E-3</v>
      </c>
      <c r="AA5678">
        <v>0.9984615</v>
      </c>
      <c r="AB5678">
        <v>28</v>
      </c>
      <c r="AC5678">
        <v>-26.8568</v>
      </c>
      <c r="AD5678">
        <v>-1.1169508450615999</v>
      </c>
      <c r="AE5678">
        <v>0.107800000000025</v>
      </c>
      <c r="AF5678">
        <v>1.4983045341832699</v>
      </c>
      <c r="AG5678">
        <v>-1.1169508450615999</v>
      </c>
      <c r="AH5678">
        <v>26.768745037215002</v>
      </c>
      <c r="AI5678">
        <v>92.385604148812405</v>
      </c>
      <c r="AJ5678">
        <v>86.796374084180599</v>
      </c>
      <c r="AK5678">
        <v>26.833900322816699</v>
      </c>
      <c r="AL5678">
        <v>94.690939217030206</v>
      </c>
      <c r="AM5678">
        <v>85.631230294466206</v>
      </c>
      <c r="AN5678">
        <v>1.0000000137464</v>
      </c>
    </row>
    <row r="5679" spans="1:40" x14ac:dyDescent="0.25">
      <c r="A5679" t="str">
        <f>"20190303153921135"</f>
        <v>20190303153921135</v>
      </c>
      <c r="B5679" t="str">
        <f>"1551598761124605"</f>
        <v>1551598761124605</v>
      </c>
      <c r="C5679" t="s">
        <v>40</v>
      </c>
      <c r="D5679">
        <v>4.7230100000000004</v>
      </c>
      <c r="E5679">
        <v>0.49283250000000001</v>
      </c>
      <c r="F5679" t="s">
        <v>42</v>
      </c>
      <c r="G5679">
        <v>-249.06659999999999</v>
      </c>
      <c r="H5679" s="1">
        <v>-7.2516169999999898E-7</v>
      </c>
      <c r="I5679">
        <v>140.9032</v>
      </c>
      <c r="J5679">
        <v>-222.2011</v>
      </c>
      <c r="K5679">
        <v>1.1171409999999999</v>
      </c>
      <c r="L5679">
        <v>140.7405</v>
      </c>
      <c r="M5679">
        <v>-0.99883980000000006</v>
      </c>
      <c r="N5679">
        <v>-6.8614469999999997E-3</v>
      </c>
      <c r="O5679">
        <v>-4.7667109999999999E-2</v>
      </c>
      <c r="P5679">
        <v>-0.99579130000000005</v>
      </c>
      <c r="Q5679">
        <v>-8.7465790000000002E-2</v>
      </c>
      <c r="R5679">
        <v>2.738024E-2</v>
      </c>
      <c r="S5679">
        <v>-3.00116</v>
      </c>
      <c r="T5679">
        <v>-0.1234059</v>
      </c>
      <c r="U5679">
        <v>1.6784670000000002E-2</v>
      </c>
      <c r="V5679">
        <v>7.4197849999999996E-2</v>
      </c>
      <c r="W5679">
        <v>-8.121768E-2</v>
      </c>
      <c r="X5679">
        <v>0.9939308</v>
      </c>
      <c r="Y5679">
        <v>5.3173390000000001E-2</v>
      </c>
      <c r="Z5679">
        <v>2.9069500000000002E-3</v>
      </c>
      <c r="AA5679">
        <v>0.9985811</v>
      </c>
      <c r="AB5679">
        <v>28</v>
      </c>
      <c r="AC5679">
        <v>-26.865500000000001</v>
      </c>
      <c r="AD5679">
        <v>-1.1171417251617</v>
      </c>
      <c r="AE5679">
        <v>0.16270000000000001</v>
      </c>
      <c r="AF5679">
        <v>1.4406548390730001</v>
      </c>
      <c r="AG5679">
        <v>-1.1171417251617</v>
      </c>
      <c r="AH5679">
        <v>26.780898466154699</v>
      </c>
      <c r="AI5679">
        <v>92.385213740133594</v>
      </c>
      <c r="AJ5679">
        <v>86.920791941484694</v>
      </c>
      <c r="AK5679">
        <v>26.842876422878501</v>
      </c>
      <c r="AL5679">
        <v>94.658561286170993</v>
      </c>
      <c r="AM5679">
        <v>85.730736045472</v>
      </c>
      <c r="AN5679">
        <v>1.0000000338389201</v>
      </c>
    </row>
    <row r="5680" spans="1:40" x14ac:dyDescent="0.25">
      <c r="A5680" t="str">
        <f>"20190303153921157"</f>
        <v>20190303153921157</v>
      </c>
      <c r="B5680" t="str">
        <f>"1551598761153885"</f>
        <v>1551598761153885</v>
      </c>
      <c r="C5680" t="s">
        <v>40</v>
      </c>
      <c r="D5680">
        <v>4.6919909999999998</v>
      </c>
      <c r="E5680">
        <v>0.49244529999999997</v>
      </c>
      <c r="F5680" t="s">
        <v>42</v>
      </c>
      <c r="G5680">
        <v>-248.50829999999999</v>
      </c>
      <c r="H5680" s="1">
        <v>-9.7052400000000009E-7</v>
      </c>
      <c r="I5680">
        <v>140.92519999999999</v>
      </c>
      <c r="J5680">
        <v>-222.4846</v>
      </c>
      <c r="K5680">
        <v>1.117294</v>
      </c>
      <c r="L5680">
        <v>140.7313</v>
      </c>
      <c r="M5680">
        <v>-0.99901329999999999</v>
      </c>
      <c r="N5680">
        <v>-7.6914890000000001E-3</v>
      </c>
      <c r="O5680">
        <v>-4.3741589999999997E-2</v>
      </c>
      <c r="P5680">
        <v>-0.99568020000000002</v>
      </c>
      <c r="Q5680">
        <v>-8.8216160000000002E-2</v>
      </c>
      <c r="R5680">
        <v>2.8960650000000001E-2</v>
      </c>
      <c r="S5680">
        <v>-3.0009160000000001</v>
      </c>
      <c r="T5680">
        <v>-0.12743470000000001</v>
      </c>
      <c r="U5680">
        <v>2.107239E-2</v>
      </c>
      <c r="V5680">
        <v>7.1879189999999996E-2</v>
      </c>
      <c r="W5680">
        <v>-8.1114899999999907E-2</v>
      </c>
      <c r="X5680">
        <v>0.99410949999999998</v>
      </c>
      <c r="Y5680">
        <v>5.0676529999999997E-2</v>
      </c>
      <c r="Z5680">
        <v>2.7903810000000002E-3</v>
      </c>
      <c r="AA5680">
        <v>0.99871120000000002</v>
      </c>
      <c r="AB5680">
        <v>28</v>
      </c>
      <c r="AC5680">
        <v>-26.023699999999899</v>
      </c>
      <c r="AD5680">
        <v>-1.1172949705239901</v>
      </c>
      <c r="AE5680">
        <v>0.193899999999985</v>
      </c>
      <c r="AF5680">
        <v>1.32961530477009</v>
      </c>
      <c r="AG5680">
        <v>-1.1172949705239901</v>
      </c>
      <c r="AH5680">
        <v>25.942491628507401</v>
      </c>
      <c r="AI5680">
        <v>92.462870251619705</v>
      </c>
      <c r="AJ5680">
        <v>87.0660202293639</v>
      </c>
      <c r="AK5680">
        <v>26.000559547921501</v>
      </c>
      <c r="AL5680">
        <v>94.652653222774006</v>
      </c>
      <c r="AM5680">
        <v>85.864419705122501</v>
      </c>
      <c r="AN5680">
        <v>0.99999997147365705</v>
      </c>
    </row>
    <row r="5681" spans="1:40" x14ac:dyDescent="0.25">
      <c r="A5681" t="str">
        <f>"20190303153921178"</f>
        <v>20190303153921178</v>
      </c>
      <c r="B5681" t="str">
        <f>"1551598761174382"</f>
        <v>1551598761174382</v>
      </c>
      <c r="C5681" t="s">
        <v>40</v>
      </c>
      <c r="D5681">
        <v>4.7304320000000004</v>
      </c>
      <c r="E5681">
        <v>0.49212630000000002</v>
      </c>
      <c r="F5681" t="s">
        <v>42</v>
      </c>
      <c r="G5681">
        <v>-247.42490000000001</v>
      </c>
      <c r="H5681" s="1">
        <v>-1.434717E-6</v>
      </c>
      <c r="I5681">
        <v>140.923</v>
      </c>
      <c r="J5681">
        <v>-222.74549999999999</v>
      </c>
      <c r="K5681">
        <v>1.117405</v>
      </c>
      <c r="L5681">
        <v>140.72380000000001</v>
      </c>
      <c r="M5681">
        <v>-0.99915560000000003</v>
      </c>
      <c r="N5681">
        <v>-8.3984160000000006E-3</v>
      </c>
      <c r="O5681">
        <v>-4.0218589999999999E-2</v>
      </c>
      <c r="P5681">
        <v>-0.99557980000000001</v>
      </c>
      <c r="Q5681">
        <v>-8.8957040000000001E-2</v>
      </c>
      <c r="R5681">
        <v>3.0128240000000001E-2</v>
      </c>
      <c r="S5681">
        <v>-3.0004270000000002</v>
      </c>
      <c r="T5681">
        <v>-0.1344157</v>
      </c>
      <c r="U5681">
        <v>2.3071290000000001E-2</v>
      </c>
      <c r="V5681">
        <v>6.9547739999999997E-2</v>
      </c>
      <c r="W5681">
        <v>-8.1126409999999996E-2</v>
      </c>
      <c r="X5681">
        <v>0.9942744</v>
      </c>
      <c r="Y5681">
        <v>4.7818140000000002E-2</v>
      </c>
      <c r="Z5681">
        <v>2.734303E-3</v>
      </c>
      <c r="AA5681">
        <v>0.99885230000000003</v>
      </c>
      <c r="AB5681">
        <v>28</v>
      </c>
      <c r="AC5681">
        <v>-24.679400000000001</v>
      </c>
      <c r="AD5681">
        <v>-1.1174064347170001</v>
      </c>
      <c r="AE5681">
        <v>0.19919999999999</v>
      </c>
      <c r="AF5681">
        <v>1.18920679169218</v>
      </c>
      <c r="AG5681">
        <v>-1.1174064347170001</v>
      </c>
      <c r="AH5681">
        <v>24.600990129522899</v>
      </c>
      <c r="AI5681">
        <v>92.597626399697106</v>
      </c>
      <c r="AJ5681">
        <v>87.232488135396807</v>
      </c>
      <c r="AK5681">
        <v>24.655050705416102</v>
      </c>
      <c r="AL5681">
        <v>94.653314826337805</v>
      </c>
      <c r="AM5681">
        <v>85.998778488604898</v>
      </c>
      <c r="AN5681">
        <v>0.99999998251697697</v>
      </c>
    </row>
    <row r="5682" spans="1:40" x14ac:dyDescent="0.25">
      <c r="A5682" t="str">
        <f>"20190303153921200"</f>
        <v>20190303153921200</v>
      </c>
      <c r="B5682" t="str">
        <f>"1551598761193902"</f>
        <v>1551598761193902</v>
      </c>
      <c r="C5682" t="s">
        <v>40</v>
      </c>
      <c r="D5682">
        <v>4.6665140000000003</v>
      </c>
      <c r="E5682">
        <v>0.49203720000000001</v>
      </c>
      <c r="F5682" t="s">
        <v>42</v>
      </c>
      <c r="G5682">
        <v>-246.70509999999999</v>
      </c>
      <c r="H5682" s="1">
        <v>-1.742124E-6</v>
      </c>
      <c r="I5682">
        <v>140.9177</v>
      </c>
      <c r="J5682">
        <v>-223.0318</v>
      </c>
      <c r="K5682">
        <v>1.1175280000000001</v>
      </c>
      <c r="L5682">
        <v>140.7165</v>
      </c>
      <c r="M5682">
        <v>-0.99929380000000001</v>
      </c>
      <c r="N5682">
        <v>-9.1102500000000003E-3</v>
      </c>
      <c r="O5682">
        <v>-3.645636E-2</v>
      </c>
      <c r="P5682">
        <v>-0.99548389999999998</v>
      </c>
      <c r="Q5682">
        <v>-8.9673950000000002E-2</v>
      </c>
      <c r="R5682">
        <v>3.115221E-2</v>
      </c>
      <c r="S5682">
        <v>-3.0000610000000001</v>
      </c>
      <c r="T5682">
        <v>-0.13991479999999901</v>
      </c>
      <c r="U5682">
        <v>2.4291989999999999E-2</v>
      </c>
      <c r="V5682">
        <v>6.6838620000000001E-2</v>
      </c>
      <c r="W5682">
        <v>-8.1104040000000002E-2</v>
      </c>
      <c r="X5682">
        <v>0.99446199999999996</v>
      </c>
      <c r="Y5682">
        <v>4.4464780000000002E-2</v>
      </c>
      <c r="Z5682">
        <v>2.6059899999999999E-3</v>
      </c>
      <c r="AA5682">
        <v>0.9990076</v>
      </c>
      <c r="AB5682">
        <v>28</v>
      </c>
      <c r="AC5682">
        <v>-23.673299999999902</v>
      </c>
      <c r="AD5682">
        <v>-1.117529742124</v>
      </c>
      <c r="AE5682">
        <v>0.20119999999999999</v>
      </c>
      <c r="AF5682">
        <v>1.0617783983617599</v>
      </c>
      <c r="AG5682">
        <v>-1.117529742124</v>
      </c>
      <c r="AH5682">
        <v>23.597644358761499</v>
      </c>
      <c r="AI5682">
        <v>92.708633133368906</v>
      </c>
      <c r="AJ5682">
        <v>87.423708277415002</v>
      </c>
      <c r="AK5682">
        <v>23.647939981620901</v>
      </c>
      <c r="AL5682">
        <v>94.652028950176302</v>
      </c>
      <c r="AM5682">
        <v>86.154885779201507</v>
      </c>
      <c r="AN5682">
        <v>0.99999996793591195</v>
      </c>
    </row>
    <row r="5683" spans="1:40" x14ac:dyDescent="0.25">
      <c r="A5683" t="str">
        <f>"20190303153921223"</f>
        <v>20190303153921223</v>
      </c>
      <c r="B5683" t="str">
        <f>"1551598761214398"</f>
        <v>1551598761214398</v>
      </c>
      <c r="C5683" t="s">
        <v>40</v>
      </c>
      <c r="D5683">
        <v>4.6443479999999999</v>
      </c>
      <c r="E5683">
        <v>0.4920196</v>
      </c>
      <c r="F5683" t="s">
        <v>42</v>
      </c>
      <c r="G5683">
        <v>-246.65369999999999</v>
      </c>
      <c r="H5683" s="1">
        <v>-1.7665280000000001E-6</v>
      </c>
      <c r="I5683">
        <v>140.92660000000001</v>
      </c>
      <c r="J5683">
        <v>-223.31639999999999</v>
      </c>
      <c r="K5683">
        <v>1.1176539999999999</v>
      </c>
      <c r="L5683">
        <v>140.71029999999999</v>
      </c>
      <c r="M5683">
        <v>-0.99941400000000002</v>
      </c>
      <c r="N5683">
        <v>-9.7517490000000005E-3</v>
      </c>
      <c r="O5683">
        <v>-3.2810010000000001E-2</v>
      </c>
      <c r="P5683">
        <v>-0.99542980000000003</v>
      </c>
      <c r="Q5683">
        <v>-9.0071020000000002E-2</v>
      </c>
      <c r="R5683">
        <v>3.1728180000000002E-2</v>
      </c>
      <c r="S5683">
        <v>-2.9999850000000001</v>
      </c>
      <c r="T5683">
        <v>-0.14192660000000001</v>
      </c>
      <c r="U5683">
        <v>2.6687619999999999E-2</v>
      </c>
      <c r="V5683">
        <v>6.3804099999999905E-2</v>
      </c>
      <c r="W5683">
        <v>-8.0827040000000003E-2</v>
      </c>
      <c r="X5683">
        <v>0.99468389999999995</v>
      </c>
      <c r="Y5683">
        <v>4.1621779999999997E-2</v>
      </c>
      <c r="Z5683">
        <v>2.4183799999999999E-3</v>
      </c>
      <c r="AA5683">
        <v>0.99913050000000003</v>
      </c>
      <c r="AB5683">
        <v>28</v>
      </c>
      <c r="AC5683">
        <v>-23.337299999999999</v>
      </c>
      <c r="AD5683">
        <v>-1.117655766528</v>
      </c>
      <c r="AE5683">
        <v>0.21630000000001801</v>
      </c>
      <c r="AF5683">
        <v>0.97967025087967596</v>
      </c>
      <c r="AG5683">
        <v>-1.117655766528</v>
      </c>
      <c r="AH5683">
        <v>23.2642829792354</v>
      </c>
      <c r="AI5683">
        <v>92.748040348888097</v>
      </c>
      <c r="AJ5683">
        <v>87.588671565279199</v>
      </c>
      <c r="AK5683">
        <v>23.311708876675102</v>
      </c>
      <c r="AL5683">
        <v>94.636105512115094</v>
      </c>
      <c r="AM5683">
        <v>86.329784695857498</v>
      </c>
      <c r="AN5683">
        <v>1.0000000172455901</v>
      </c>
    </row>
    <row r="5684" spans="1:40" x14ac:dyDescent="0.25">
      <c r="A5684" t="str">
        <f>"20190303153921245"</f>
        <v>20190303153921245</v>
      </c>
      <c r="B5684" t="str">
        <f>"1551598761233917"</f>
        <v>1551598761233917</v>
      </c>
      <c r="C5684" t="s">
        <v>40</v>
      </c>
      <c r="D5684">
        <v>4.6494330000000001</v>
      </c>
      <c r="E5684">
        <v>0.49203370000000002</v>
      </c>
      <c r="F5684" t="s">
        <v>42</v>
      </c>
      <c r="G5684">
        <v>-246.86949999999999</v>
      </c>
      <c r="H5684" s="1">
        <v>-1.6756019999999999E-6</v>
      </c>
      <c r="I5684">
        <v>140.93279999999999</v>
      </c>
      <c r="J5684">
        <v>-223.5975</v>
      </c>
      <c r="K5684">
        <v>1.117785</v>
      </c>
      <c r="L5684">
        <v>140.70509999999999</v>
      </c>
      <c r="M5684">
        <v>-0.99951780000000001</v>
      </c>
      <c r="N5684">
        <v>-1.031957E-2</v>
      </c>
      <c r="O5684">
        <v>-2.9289249999999999E-2</v>
      </c>
      <c r="P5684">
        <v>-0.99536309999999995</v>
      </c>
      <c r="Q5684">
        <v>-9.0698639999999997E-2</v>
      </c>
      <c r="R5684">
        <v>3.2039659999999998E-2</v>
      </c>
      <c r="S5684">
        <v>-3</v>
      </c>
      <c r="T5684">
        <v>-0.14235780000000001</v>
      </c>
      <c r="U5684">
        <v>2.835083E-2</v>
      </c>
      <c r="V5684">
        <v>6.063027E-2</v>
      </c>
      <c r="W5684">
        <v>-8.0852090000000001E-2</v>
      </c>
      <c r="X5684">
        <v>0.9948804</v>
      </c>
      <c r="Y5684">
        <v>3.8662149999999999E-2</v>
      </c>
      <c r="Z5684">
        <v>2.2032039999999998E-3</v>
      </c>
      <c r="AA5684">
        <v>0.99924990000000002</v>
      </c>
      <c r="AB5684">
        <v>28</v>
      </c>
      <c r="AC5684">
        <v>-23.271999999999899</v>
      </c>
      <c r="AD5684">
        <v>-1.1177866756020001</v>
      </c>
      <c r="AE5684">
        <v>0.22769999999999799</v>
      </c>
      <c r="AF5684">
        <v>0.90716531696590297</v>
      </c>
      <c r="AG5684">
        <v>-1.1177866756020001</v>
      </c>
      <c r="AH5684">
        <v>23.201823385395301</v>
      </c>
      <c r="AI5684">
        <v>92.756084896354395</v>
      </c>
      <c r="AJ5684">
        <v>87.760939673483705</v>
      </c>
      <c r="AK5684">
        <v>23.246440681780399</v>
      </c>
      <c r="AL5684">
        <v>94.637545331047093</v>
      </c>
      <c r="AM5684">
        <v>86.512578246797403</v>
      </c>
      <c r="AN5684">
        <v>1.0000000502008899</v>
      </c>
    </row>
    <row r="5685" spans="1:40" x14ac:dyDescent="0.25">
      <c r="A5685" t="str">
        <f>"20190303153921269"</f>
        <v>20190303153921269</v>
      </c>
      <c r="B5685" t="str">
        <f>"1551598761264174"</f>
        <v>1551598761264174</v>
      </c>
      <c r="C5685" t="s">
        <v>40</v>
      </c>
      <c r="D5685">
        <v>4.7269059999999996</v>
      </c>
      <c r="E5685">
        <v>0.49193680000000001</v>
      </c>
      <c r="F5685" t="s">
        <v>42</v>
      </c>
      <c r="G5685">
        <v>-246.88310000000001</v>
      </c>
      <c r="H5685" s="1">
        <v>-1.6702140000000001E-6</v>
      </c>
      <c r="I5685">
        <v>140.93459999999999</v>
      </c>
      <c r="J5685">
        <v>-223.89189999999999</v>
      </c>
      <c r="K5685">
        <v>1.1179159999999999</v>
      </c>
      <c r="L5685">
        <v>140.70050000000001</v>
      </c>
      <c r="M5685">
        <v>-0.99961100000000003</v>
      </c>
      <c r="N5685">
        <v>-1.084675E-2</v>
      </c>
      <c r="O5685">
        <v>-2.56931E-2</v>
      </c>
      <c r="P5685">
        <v>-0.99529800000000002</v>
      </c>
      <c r="Q5685">
        <v>-9.1181369999999998E-2</v>
      </c>
      <c r="R5685">
        <v>3.2682269999999999E-2</v>
      </c>
      <c r="S5685">
        <v>-2.999908</v>
      </c>
      <c r="T5685">
        <v>-0.14400579999999999</v>
      </c>
      <c r="U5685">
        <v>2.9571529999999999E-2</v>
      </c>
      <c r="V5685">
        <v>5.771548E-2</v>
      </c>
      <c r="W5685">
        <v>-8.0774219999999994E-2</v>
      </c>
      <c r="X5685">
        <v>0.99505999999999994</v>
      </c>
      <c r="Y5685">
        <v>3.5479299999999998E-2</v>
      </c>
      <c r="Z5685">
        <v>1.9975919999999999E-3</v>
      </c>
      <c r="AA5685">
        <v>0.99936840000000005</v>
      </c>
      <c r="AB5685">
        <v>28</v>
      </c>
      <c r="AC5685">
        <v>-22.991199999999999</v>
      </c>
      <c r="AD5685">
        <v>-1.1179176702139999</v>
      </c>
      <c r="AE5685">
        <v>0.23409999999998299</v>
      </c>
      <c r="AF5685">
        <v>0.82282749907437902</v>
      </c>
      <c r="AG5685">
        <v>-1.1179176702139999</v>
      </c>
      <c r="AH5685">
        <v>22.9234026859361</v>
      </c>
      <c r="AI5685">
        <v>92.790167514439403</v>
      </c>
      <c r="AJ5685">
        <v>87.944270672551696</v>
      </c>
      <c r="AK5685">
        <v>22.965390824285802</v>
      </c>
      <c r="AL5685">
        <v>94.633069406182202</v>
      </c>
      <c r="AM5685">
        <v>86.680448875345505</v>
      </c>
      <c r="AN5685">
        <v>0.99999997742411895</v>
      </c>
    </row>
    <row r="5686" spans="1:40" x14ac:dyDescent="0.25">
      <c r="A5686" t="str">
        <f>"20190303153921292"</f>
        <v>20190303153921292</v>
      </c>
      <c r="B5686" t="str">
        <f>"1551598761273934"</f>
        <v>1551598761273934</v>
      </c>
      <c r="C5686" t="s">
        <v>40</v>
      </c>
      <c r="D5686">
        <v>4.6753960000000001</v>
      </c>
      <c r="E5686">
        <v>0.50407840000000004</v>
      </c>
      <c r="F5686" t="s">
        <v>42</v>
      </c>
      <c r="G5686">
        <v>-247.0471</v>
      </c>
      <c r="H5686" s="1">
        <v>-1.6008579999999999E-6</v>
      </c>
      <c r="I5686">
        <v>140.9383</v>
      </c>
      <c r="J5686">
        <v>-224.17019999999999</v>
      </c>
      <c r="K5686">
        <v>1.118034</v>
      </c>
      <c r="L5686">
        <v>140.69720000000001</v>
      </c>
      <c r="M5686">
        <v>-0.99968559999999995</v>
      </c>
      <c r="N5686">
        <v>-1.1280699999999999E-2</v>
      </c>
      <c r="O5686">
        <v>-2.2393840000000002E-2</v>
      </c>
      <c r="P5686">
        <v>-0.99534219999999896</v>
      </c>
      <c r="Q5686">
        <v>-9.0824080000000001E-2</v>
      </c>
      <c r="R5686">
        <v>3.2326840000000003E-2</v>
      </c>
      <c r="S5686">
        <v>-2.9998930000000001</v>
      </c>
      <c r="T5686">
        <v>-0.14483279999999901</v>
      </c>
      <c r="U5686">
        <v>3.0807500000000002E-2</v>
      </c>
      <c r="V5686">
        <v>5.4103789999999999E-2</v>
      </c>
      <c r="W5686">
        <v>-7.9945909999999995E-2</v>
      </c>
      <c r="X5686">
        <v>0.99532980000000004</v>
      </c>
      <c r="Y5686">
        <v>3.2598330000000002E-2</v>
      </c>
      <c r="Z5686">
        <v>1.7983929999999999E-3</v>
      </c>
      <c r="AA5686">
        <v>0.99946690000000005</v>
      </c>
      <c r="AB5686">
        <v>28</v>
      </c>
      <c r="AC5686">
        <v>-22.876899999999999</v>
      </c>
      <c r="AD5686">
        <v>-1.1180356008579999</v>
      </c>
      <c r="AE5686">
        <v>0.24109999999998799</v>
      </c>
      <c r="AF5686">
        <v>0.75157884669542896</v>
      </c>
      <c r="AG5686">
        <v>-1.1180356008579999</v>
      </c>
      <c r="AH5686">
        <v>22.811285192850502</v>
      </c>
      <c r="AI5686">
        <v>92.804438343533405</v>
      </c>
      <c r="AJ5686">
        <v>88.112919829759093</v>
      </c>
      <c r="AK5686">
        <v>22.851030753932001</v>
      </c>
      <c r="AL5686">
        <v>94.585456696133903</v>
      </c>
      <c r="AM5686">
        <v>86.888598072729707</v>
      </c>
      <c r="AN5686">
        <v>0.99999998969306603</v>
      </c>
    </row>
    <row r="5687" spans="1:40" x14ac:dyDescent="0.25">
      <c r="A5687" t="str">
        <f>"20190303153921313"</f>
        <v>20190303153921313</v>
      </c>
      <c r="B5687" t="str">
        <f>"1551598761304190"</f>
        <v>1551598761304190</v>
      </c>
      <c r="C5687" t="s">
        <v>40</v>
      </c>
      <c r="D5687">
        <v>4.719684</v>
      </c>
      <c r="E5687">
        <v>0.5057239</v>
      </c>
      <c r="F5687" t="s">
        <v>68</v>
      </c>
      <c r="G5687">
        <v>-285.62569999999999</v>
      </c>
      <c r="H5687" s="1">
        <v>-7.40445799999999E-6</v>
      </c>
      <c r="I5687">
        <v>143.2398</v>
      </c>
      <c r="J5687">
        <v>-224.4495</v>
      </c>
      <c r="K5687">
        <v>1.118139</v>
      </c>
      <c r="L5687">
        <v>140.69460000000001</v>
      </c>
      <c r="M5687">
        <v>-0.99974790000000002</v>
      </c>
      <c r="N5687">
        <v>-1.1661599999999999E-2</v>
      </c>
      <c r="O5687">
        <v>-1.9182850000000001E-2</v>
      </c>
      <c r="P5687">
        <v>-0.99543170000000003</v>
      </c>
      <c r="Q5687">
        <v>-9.016441E-2</v>
      </c>
      <c r="R5687">
        <v>3.1399719999999999E-2</v>
      </c>
      <c r="S5687">
        <v>-3.0050050000000001</v>
      </c>
      <c r="T5687">
        <v>-5.4669139999999998E-2</v>
      </c>
      <c r="U5687">
        <v>0.1243286</v>
      </c>
      <c r="V5687">
        <v>5.000839E-2</v>
      </c>
      <c r="W5687">
        <v>-7.8866859999999997E-2</v>
      </c>
      <c r="X5687">
        <v>0.99563000000000001</v>
      </c>
      <c r="Y5687">
        <v>6.0481819999999999E-2</v>
      </c>
      <c r="Z5687">
        <v>1.0279829999999999E-3</v>
      </c>
      <c r="AA5687">
        <v>0.99816879999999997</v>
      </c>
      <c r="AB5687">
        <v>28</v>
      </c>
      <c r="AC5687">
        <v>-61.176200000000001</v>
      </c>
      <c r="AD5687">
        <v>-1.1181464044580001</v>
      </c>
      <c r="AE5687">
        <v>2.5451999999999901</v>
      </c>
      <c r="AF5687">
        <v>3.71710575381036</v>
      </c>
      <c r="AG5687">
        <v>-1.1181464044580001</v>
      </c>
      <c r="AH5687">
        <v>61.095739309791199</v>
      </c>
      <c r="AI5687">
        <v>91.046549492371597</v>
      </c>
      <c r="AJ5687">
        <v>86.518377959039199</v>
      </c>
      <c r="AK5687">
        <v>61.218922633257598</v>
      </c>
      <c r="AL5687">
        <v>94.523435980071895</v>
      </c>
      <c r="AM5687">
        <v>87.124570584928705</v>
      </c>
      <c r="AN5687">
        <v>0.99999995878832504</v>
      </c>
    </row>
    <row r="5688" spans="1:40" x14ac:dyDescent="0.25">
      <c r="A5688" t="str">
        <f>"20190303153921336"</f>
        <v>20190303153921336</v>
      </c>
      <c r="B5688" t="str">
        <f>"1551598761333977"</f>
        <v>1551598761333977</v>
      </c>
      <c r="C5688" t="s">
        <v>40</v>
      </c>
      <c r="D5688">
        <v>4.654814</v>
      </c>
      <c r="E5688">
        <v>0.50578339999999999</v>
      </c>
      <c r="F5688" t="s">
        <v>42</v>
      </c>
      <c r="G5688">
        <v>-340.00229999999999</v>
      </c>
      <c r="H5688" s="1">
        <v>-5.3764199999999996E-6</v>
      </c>
      <c r="I5688">
        <v>145.82409999999999</v>
      </c>
      <c r="J5688">
        <v>-224.7433</v>
      </c>
      <c r="K5688">
        <v>1.118241</v>
      </c>
      <c r="L5688">
        <v>140.69280000000001</v>
      </c>
      <c r="M5688">
        <v>-0.99980159999999996</v>
      </c>
      <c r="N5688">
        <v>-1.2010430000000001E-2</v>
      </c>
      <c r="O5688">
        <v>-1.5891800000000001E-2</v>
      </c>
      <c r="P5688">
        <v>-0.99545709999999998</v>
      </c>
      <c r="Q5688">
        <v>-9.006198E-2</v>
      </c>
      <c r="R5688">
        <v>3.0891999999999999E-2</v>
      </c>
      <c r="S5688">
        <v>-3.0069270000000001</v>
      </c>
      <c r="T5688">
        <v>-2.9096480000000001E-2</v>
      </c>
      <c r="U5688">
        <v>0.13348389999999999</v>
      </c>
      <c r="V5688">
        <v>4.6245260000000003E-2</v>
      </c>
      <c r="W5688">
        <v>-7.8382450000000006E-2</v>
      </c>
      <c r="X5688">
        <v>0.99585009999999996</v>
      </c>
      <c r="Y5688">
        <v>6.0213799999999998E-2</v>
      </c>
      <c r="Z5688">
        <v>6.1592099999999996E-4</v>
      </c>
      <c r="AA5688">
        <v>0.99818530000000005</v>
      </c>
      <c r="AB5688">
        <v>28</v>
      </c>
      <c r="AC5688">
        <v>-115.259</v>
      </c>
      <c r="AD5688">
        <v>-1.1182463764199999</v>
      </c>
      <c r="AE5688">
        <v>5.13129999999998</v>
      </c>
      <c r="AF5688">
        <v>6.9618029628751996</v>
      </c>
      <c r="AG5688">
        <v>-1.1182463764199999</v>
      </c>
      <c r="AH5688">
        <v>115.15207346225201</v>
      </c>
      <c r="AI5688">
        <v>90.5553701310386</v>
      </c>
      <c r="AJ5688">
        <v>86.540253306545694</v>
      </c>
      <c r="AK5688">
        <v>115.367747651188</v>
      </c>
      <c r="AL5688">
        <v>94.495595285661196</v>
      </c>
      <c r="AM5688">
        <v>87.341210257035698</v>
      </c>
      <c r="AN5688">
        <v>0.999999927105237</v>
      </c>
    </row>
    <row r="5689" spans="1:40" x14ac:dyDescent="0.25">
      <c r="A5689" t="str">
        <f>"20190303153921359"</f>
        <v>20190303153921359</v>
      </c>
      <c r="B5689" t="str">
        <f>"1551598761354473"</f>
        <v>1551598761354473</v>
      </c>
      <c r="C5689" t="s">
        <v>40</v>
      </c>
      <c r="D5689">
        <v>4.6948679999999996</v>
      </c>
      <c r="E5689">
        <v>0.50586900000000001</v>
      </c>
      <c r="F5689" t="s">
        <v>68</v>
      </c>
      <c r="G5689">
        <v>-420.68490000000003</v>
      </c>
      <c r="H5689" s="1">
        <v>-1.331708E-5</v>
      </c>
      <c r="I5689">
        <v>149.26849999999999</v>
      </c>
      <c r="J5689">
        <v>-225.02109999999999</v>
      </c>
      <c r="K5689">
        <v>1.118328</v>
      </c>
      <c r="L5689">
        <v>140.6918</v>
      </c>
      <c r="M5689">
        <v>-0.99984170000000006</v>
      </c>
      <c r="N5689">
        <v>-1.229745E-2</v>
      </c>
      <c r="O5689">
        <v>-1.286109E-2</v>
      </c>
      <c r="P5689">
        <v>-0.99549500000000002</v>
      </c>
      <c r="Q5689">
        <v>-8.9812970000000006E-2</v>
      </c>
      <c r="R5689">
        <v>3.0392599999999999E-2</v>
      </c>
      <c r="S5689">
        <v>-3.008057</v>
      </c>
      <c r="T5689">
        <v>-1.7167209999999999E-2</v>
      </c>
      <c r="U5689">
        <v>0.13165279999999999</v>
      </c>
      <c r="V5689">
        <v>4.2747220000000002E-2</v>
      </c>
      <c r="W5689">
        <v>-7.7817209999999998E-2</v>
      </c>
      <c r="X5689">
        <v>0.99605080000000001</v>
      </c>
      <c r="Y5689">
        <v>5.6567840000000001E-2</v>
      </c>
      <c r="Z5689">
        <v>4.2463320000000001E-4</v>
      </c>
      <c r="AA5689">
        <v>0.99839869999999997</v>
      </c>
      <c r="AB5689">
        <v>28</v>
      </c>
      <c r="AC5689">
        <v>-195.66380000000001</v>
      </c>
      <c r="AD5689">
        <v>-1.1183413170799901</v>
      </c>
      <c r="AE5689">
        <v>8.5766999999999793</v>
      </c>
      <c r="AF5689">
        <v>11.0922688314698</v>
      </c>
      <c r="AG5689">
        <v>-1.1183413170799901</v>
      </c>
      <c r="AH5689">
        <v>195.53092526050901</v>
      </c>
      <c r="AI5689">
        <v>90.327174261440604</v>
      </c>
      <c r="AJ5689">
        <v>86.753149192917405</v>
      </c>
      <c r="AK5689">
        <v>195.84849207579299</v>
      </c>
      <c r="AL5689">
        <v>94.463109778539206</v>
      </c>
      <c r="AM5689">
        <v>87.542561836592</v>
      </c>
      <c r="AN5689">
        <v>1.0000000195852701</v>
      </c>
    </row>
    <row r="5690" spans="1:40" x14ac:dyDescent="0.25">
      <c r="A5690" t="str">
        <f>"20190303153921380"</f>
        <v>20190303153921380</v>
      </c>
      <c r="B5690" t="str">
        <f>"1551598761373993"</f>
        <v>1551598761373993</v>
      </c>
      <c r="C5690" t="s">
        <v>40</v>
      </c>
      <c r="D5690">
        <v>4.6840109999999999</v>
      </c>
      <c r="E5690">
        <v>0.50633139999999999</v>
      </c>
      <c r="F5690" t="s">
        <v>68</v>
      </c>
      <c r="G5690">
        <v>-433.78930000000003</v>
      </c>
      <c r="H5690">
        <v>7.9982479999999995E-2</v>
      </c>
      <c r="I5690">
        <v>149.72450000000001</v>
      </c>
      <c r="J5690">
        <v>-225.28270000000001</v>
      </c>
      <c r="K5690">
        <v>1.118409</v>
      </c>
      <c r="L5690">
        <v>140.69159999999999</v>
      </c>
      <c r="M5690">
        <v>-0.99987060000000005</v>
      </c>
      <c r="N5690">
        <v>-1.2533000000000001E-2</v>
      </c>
      <c r="O5690">
        <v>-1.0086599999999999E-2</v>
      </c>
      <c r="P5690">
        <v>-0.99548159999999997</v>
      </c>
      <c r="Q5690">
        <v>-9.0232480000000004E-2</v>
      </c>
      <c r="R5690">
        <v>2.9573740000000001E-2</v>
      </c>
      <c r="S5690">
        <v>-3.0082550000000001</v>
      </c>
      <c r="T5690">
        <v>-1.4962080000000001E-2</v>
      </c>
      <c r="U5690">
        <v>0.13015750000000001</v>
      </c>
      <c r="V5690">
        <v>3.917901E-2</v>
      </c>
      <c r="W5690">
        <v>-7.7973570000000006E-2</v>
      </c>
      <c r="X5690">
        <v>0.99618530000000005</v>
      </c>
      <c r="Y5690">
        <v>5.3299489999999998E-2</v>
      </c>
      <c r="Z5690">
        <v>3.9045090000000001E-4</v>
      </c>
      <c r="AA5690">
        <v>0.99857850000000004</v>
      </c>
      <c r="AB5690">
        <v>28</v>
      </c>
      <c r="AC5690">
        <v>-208.50659999999999</v>
      </c>
      <c r="AD5690">
        <v>-1.03842652</v>
      </c>
      <c r="AE5690">
        <v>9.0329000000000104</v>
      </c>
      <c r="AF5690">
        <v>11.1354525667836</v>
      </c>
      <c r="AG5690">
        <v>-1.03842652</v>
      </c>
      <c r="AH5690">
        <v>208.399713634433</v>
      </c>
      <c r="AI5690">
        <v>90.285087783456007</v>
      </c>
      <c r="AJ5690">
        <v>86.941414825463198</v>
      </c>
      <c r="AK5690">
        <v>208.69958619129599</v>
      </c>
      <c r="AL5690">
        <v>94.472095883435898</v>
      </c>
      <c r="AM5690">
        <v>87.747772832281996</v>
      </c>
      <c r="AN5690">
        <v>1.0000000121896</v>
      </c>
    </row>
    <row r="5691" spans="1:40" x14ac:dyDescent="0.25">
      <c r="A5691" t="str">
        <f>"20190303153921402"</f>
        <v>20190303153921402</v>
      </c>
      <c r="B5691" t="str">
        <f>"1551598761394489"</f>
        <v>1551598761394489</v>
      </c>
      <c r="C5691" t="s">
        <v>40</v>
      </c>
      <c r="D5691">
        <v>4.660005</v>
      </c>
      <c r="E5691">
        <v>0.50657029999999903</v>
      </c>
      <c r="F5691" t="s">
        <v>42</v>
      </c>
      <c r="G5691">
        <v>-460.49450000000002</v>
      </c>
      <c r="H5691">
        <v>7.9986009999999996E-2</v>
      </c>
      <c r="I5691">
        <v>150.90799999999999</v>
      </c>
      <c r="J5691">
        <v>-225.554</v>
      </c>
      <c r="K5691">
        <v>1.118493</v>
      </c>
      <c r="L5691">
        <v>140.69200000000001</v>
      </c>
      <c r="M5691">
        <v>-0.99989220000000001</v>
      </c>
      <c r="N5691">
        <v>-1.2745340000000001E-2</v>
      </c>
      <c r="O5691">
        <v>-7.301358E-3</v>
      </c>
      <c r="P5691">
        <v>-0.99549219999999905</v>
      </c>
      <c r="Q5691">
        <v>-9.0330079999999993E-2</v>
      </c>
      <c r="R5691">
        <v>2.8914749999999999E-2</v>
      </c>
      <c r="S5691">
        <v>-3.0085299999999999</v>
      </c>
      <c r="T5691">
        <v>-1.3282179999999999E-2</v>
      </c>
      <c r="U5691">
        <v>0.1306763</v>
      </c>
      <c r="V5691">
        <v>3.5763530000000002E-2</v>
      </c>
      <c r="W5691">
        <v>-7.7832009999999993E-2</v>
      </c>
      <c r="X5691">
        <v>0.99632480000000001</v>
      </c>
      <c r="Y5691">
        <v>5.0686090000000003E-2</v>
      </c>
      <c r="Z5691">
        <v>3.742134E-4</v>
      </c>
      <c r="AA5691">
        <v>0.99871460000000001</v>
      </c>
      <c r="AB5691">
        <v>28</v>
      </c>
      <c r="AC5691">
        <v>-234.94049999999999</v>
      </c>
      <c r="AD5691">
        <v>-1.0385069899999999</v>
      </c>
      <c r="AE5691">
        <v>10.2159999999999</v>
      </c>
      <c r="AF5691">
        <v>11.931018866160001</v>
      </c>
      <c r="AG5691">
        <v>-1.0385069899999999</v>
      </c>
      <c r="AH5691">
        <v>234.85505967431499</v>
      </c>
      <c r="AI5691">
        <v>90.253028603953695</v>
      </c>
      <c r="AJ5691">
        <v>87.091781376548496</v>
      </c>
      <c r="AK5691">
        <v>235.160215092985</v>
      </c>
      <c r="AL5691">
        <v>94.463960515148997</v>
      </c>
      <c r="AM5691">
        <v>87.944224682231294</v>
      </c>
      <c r="AN5691">
        <v>0.99999997947687003</v>
      </c>
    </row>
    <row r="5692" spans="1:40" x14ac:dyDescent="0.25">
      <c r="A5692" t="str">
        <f>"20190303153921423"</f>
        <v>20190303153921423</v>
      </c>
      <c r="B5692" t="str">
        <f>"1551598761414009"</f>
        <v>1551598761414009</v>
      </c>
      <c r="C5692" t="s">
        <v>40</v>
      </c>
      <c r="D5692">
        <v>4.6354829999999998</v>
      </c>
      <c r="E5692">
        <v>0.50686790000000004</v>
      </c>
      <c r="F5692" t="s">
        <v>42</v>
      </c>
      <c r="G5692">
        <v>-456.86750000000001</v>
      </c>
      <c r="H5692">
        <v>7.9987000000000003E-2</v>
      </c>
      <c r="I5692">
        <v>150.69909999999999</v>
      </c>
      <c r="J5692">
        <v>-225.8321</v>
      </c>
      <c r="K5692">
        <v>1.1185929999999999</v>
      </c>
      <c r="L5692">
        <v>140.69309999999999</v>
      </c>
      <c r="M5692">
        <v>-0.99990610000000002</v>
      </c>
      <c r="N5692">
        <v>-1.2933439999999999E-2</v>
      </c>
      <c r="O5692">
        <v>-4.5532020000000001E-3</v>
      </c>
      <c r="P5692">
        <v>-0.99542799999999998</v>
      </c>
      <c r="Q5692">
        <v>-9.1141280000000005E-2</v>
      </c>
      <c r="R5692">
        <v>2.8576919999999999E-2</v>
      </c>
      <c r="S5692">
        <v>-3.0085600000000001</v>
      </c>
      <c r="T5692">
        <v>-1.350725E-2</v>
      </c>
      <c r="U5692">
        <v>0.13015750000000001</v>
      </c>
      <c r="V5692">
        <v>3.270435E-2</v>
      </c>
      <c r="W5692">
        <v>-7.8431319999999999E-2</v>
      </c>
      <c r="X5692">
        <v>0.99638300000000002</v>
      </c>
      <c r="Y5692">
        <v>4.77688E-2</v>
      </c>
      <c r="Z5692">
        <v>3.7782169999999999E-4</v>
      </c>
      <c r="AA5692">
        <v>0.99885829999999998</v>
      </c>
      <c r="AB5692">
        <v>28</v>
      </c>
      <c r="AC5692">
        <v>-231.03540000000001</v>
      </c>
      <c r="AD5692">
        <v>-1.0386059999999999</v>
      </c>
      <c r="AE5692">
        <v>10.006</v>
      </c>
      <c r="AF5692">
        <v>11.0577119404516</v>
      </c>
      <c r="AG5692">
        <v>-1.0386059999999999</v>
      </c>
      <c r="AH5692">
        <v>230.982782380483</v>
      </c>
      <c r="AI5692">
        <v>90.2573320314428</v>
      </c>
      <c r="AJ5692">
        <v>87.259203082601502</v>
      </c>
      <c r="AK5692">
        <v>231.24964313920799</v>
      </c>
      <c r="AL5692">
        <v>94.498403357654297</v>
      </c>
      <c r="AM5692">
        <v>88.120051487788302</v>
      </c>
      <c r="AN5692">
        <v>1.0000000645774301</v>
      </c>
    </row>
    <row r="5693" spans="1:40" x14ac:dyDescent="0.25">
      <c r="A5693" t="str">
        <f>"20190303153921446"</f>
        <v>20190303153921446</v>
      </c>
      <c r="B5693" t="str">
        <f>"1551598761444265"</f>
        <v>1551598761444265</v>
      </c>
      <c r="C5693" t="s">
        <v>40</v>
      </c>
      <c r="D5693">
        <v>4.6230669999999998</v>
      </c>
      <c r="E5693">
        <v>0.50708319999999996</v>
      </c>
      <c r="F5693" t="s">
        <v>42</v>
      </c>
      <c r="G5693">
        <v>-453.48289999999997</v>
      </c>
      <c r="H5693">
        <v>7.9987470000000005E-2</v>
      </c>
      <c r="I5693">
        <v>150.64850000000001</v>
      </c>
      <c r="J5693">
        <v>-226.11</v>
      </c>
      <c r="K5693">
        <v>1.1187180000000001</v>
      </c>
      <c r="L5693">
        <v>140.69489999999999</v>
      </c>
      <c r="M5693">
        <v>-0.99991240000000003</v>
      </c>
      <c r="N5693">
        <v>-1.3095229999999999E-2</v>
      </c>
      <c r="O5693">
        <v>-1.93188E-3</v>
      </c>
      <c r="P5693">
        <v>-0.99542109999999995</v>
      </c>
      <c r="Q5693">
        <v>-9.1725249999999994E-2</v>
      </c>
      <c r="R5693">
        <v>2.6895240000000001E-2</v>
      </c>
      <c r="S5693">
        <v>-3.0087429999999999</v>
      </c>
      <c r="T5693">
        <v>-1.372671E-2</v>
      </c>
      <c r="U5693">
        <v>0.13157650000000001</v>
      </c>
      <c r="V5693">
        <v>2.843124E-2</v>
      </c>
      <c r="W5693">
        <v>-7.8823480000000001E-2</v>
      </c>
      <c r="X5693">
        <v>0.99648309999999996</v>
      </c>
      <c r="Y5693">
        <v>4.5617860000000003E-2</v>
      </c>
      <c r="Z5693">
        <v>3.8638209999999998E-4</v>
      </c>
      <c r="AA5693">
        <v>0.99895889999999998</v>
      </c>
      <c r="AB5693">
        <v>28</v>
      </c>
      <c r="AC5693">
        <v>-227.37289999999999</v>
      </c>
      <c r="AD5693">
        <v>-1.03873053</v>
      </c>
      <c r="AE5693">
        <v>9.9536000000000193</v>
      </c>
      <c r="AF5693">
        <v>10.3926597601178</v>
      </c>
      <c r="AG5693">
        <v>-1.03873053</v>
      </c>
      <c r="AH5693">
        <v>227.34850906851301</v>
      </c>
      <c r="AI5693">
        <v>90.261503267038506</v>
      </c>
      <c r="AJ5693">
        <v>87.382690990803894</v>
      </c>
      <c r="AK5693">
        <v>227.58829256725701</v>
      </c>
      <c r="AL5693">
        <v>94.520942438622797</v>
      </c>
      <c r="AM5693">
        <v>88.365704097754502</v>
      </c>
      <c r="AN5693">
        <v>1.0000000224964201</v>
      </c>
    </row>
    <row r="5694" spans="1:40" x14ac:dyDescent="0.25">
      <c r="A5694" t="str">
        <f>"20190303153921479"</f>
        <v>20190303153921479</v>
      </c>
      <c r="B5694" t="str">
        <f>"1551598761474521"</f>
        <v>1551598761474521</v>
      </c>
      <c r="C5694" t="s">
        <v>40</v>
      </c>
      <c r="D5694">
        <v>4.6203019999999997</v>
      </c>
      <c r="E5694">
        <v>0.5074419</v>
      </c>
      <c r="F5694" t="s">
        <v>42</v>
      </c>
      <c r="G5694">
        <v>-451.80720000000002</v>
      </c>
      <c r="H5694">
        <v>7.9986959999999996E-2</v>
      </c>
      <c r="I5694">
        <v>150.3373</v>
      </c>
      <c r="J5694">
        <v>-226.51249999999999</v>
      </c>
      <c r="K5694">
        <v>1.1189199999999999</v>
      </c>
      <c r="L5694">
        <v>140.69839999999999</v>
      </c>
      <c r="M5694">
        <v>-0.99991050000000004</v>
      </c>
      <c r="N5694">
        <v>-1.3287490000000001E-2</v>
      </c>
      <c r="O5694">
        <v>1.579167E-3</v>
      </c>
      <c r="P5694">
        <v>-0.9955503</v>
      </c>
      <c r="Q5694">
        <v>-9.0685160000000001E-2</v>
      </c>
      <c r="R5694">
        <v>2.5610029999999999E-2</v>
      </c>
      <c r="S5694">
        <v>-3.0090330000000001</v>
      </c>
      <c r="T5694">
        <v>-1.3848539999999999E-2</v>
      </c>
      <c r="U5694">
        <v>0.12855530000000001</v>
      </c>
      <c r="V5694">
        <v>2.3690010000000001E-2</v>
      </c>
      <c r="W5694">
        <v>-7.7555319999999997E-2</v>
      </c>
      <c r="X5694">
        <v>0.99670650000000005</v>
      </c>
      <c r="Y5694">
        <v>4.1104630000000003E-2</v>
      </c>
      <c r="Z5694">
        <v>3.8148609999999998E-4</v>
      </c>
      <c r="AA5694">
        <v>0.99915469999999895</v>
      </c>
      <c r="AB5694">
        <v>28</v>
      </c>
      <c r="AC5694">
        <v>-225.29470000000001</v>
      </c>
      <c r="AD5694">
        <v>-1.0389330400000001</v>
      </c>
      <c r="AE5694">
        <v>9.6388999999999996</v>
      </c>
      <c r="AF5694">
        <v>9.2828815791805006</v>
      </c>
      <c r="AG5694">
        <v>-1.0389330400000001</v>
      </c>
      <c r="AH5694">
        <v>225.30485937035701</v>
      </c>
      <c r="AI5694">
        <v>90.263978314289304</v>
      </c>
      <c r="AJ5694">
        <v>87.640666588729502</v>
      </c>
      <c r="AK5694">
        <v>225.49840560006399</v>
      </c>
      <c r="AL5694">
        <v>94.448059431133998</v>
      </c>
      <c r="AM5694">
        <v>88.638433605843105</v>
      </c>
      <c r="AN5694">
        <v>0.99999994568817396</v>
      </c>
    </row>
    <row r="5695" spans="1:40" x14ac:dyDescent="0.25">
      <c r="A5695" t="str">
        <f>"20190303153921501"</f>
        <v>20190303153921501</v>
      </c>
      <c r="B5695" t="str">
        <f>"1551598761494041"</f>
        <v>1551598761494041</v>
      </c>
      <c r="C5695" t="s">
        <v>40</v>
      </c>
      <c r="D5695">
        <v>4.5847049999999996</v>
      </c>
      <c r="E5695">
        <v>0.5079072</v>
      </c>
      <c r="F5695" t="s">
        <v>70</v>
      </c>
      <c r="G5695">
        <v>-511.05869999999999</v>
      </c>
      <c r="H5695">
        <v>0.17293410000000001</v>
      </c>
      <c r="I5695">
        <v>152.81700000000001</v>
      </c>
      <c r="J5695">
        <v>-226.7978</v>
      </c>
      <c r="K5695">
        <v>1.1190659999999999</v>
      </c>
      <c r="L5695">
        <v>140.70160000000001</v>
      </c>
      <c r="M5695">
        <v>-0.99990270000000003</v>
      </c>
      <c r="N5695">
        <v>-1.340035E-2</v>
      </c>
      <c r="O5695">
        <v>3.8728859999999999E-3</v>
      </c>
      <c r="P5695">
        <v>-0.99558899999999995</v>
      </c>
      <c r="Q5695">
        <v>-9.0465870000000004E-2</v>
      </c>
      <c r="R5695">
        <v>2.4869390000000002E-2</v>
      </c>
      <c r="S5695">
        <v>-3.0091860000000001</v>
      </c>
      <c r="T5695">
        <v>-1.0003690000000001E-2</v>
      </c>
      <c r="U5695">
        <v>0.12815860000000001</v>
      </c>
      <c r="V5695">
        <v>2.0691009999999999E-2</v>
      </c>
      <c r="W5695">
        <v>-7.7202339999999994E-2</v>
      </c>
      <c r="X5695">
        <v>0.99680069999999998</v>
      </c>
      <c r="Y5695">
        <v>3.8679610000000003E-2</v>
      </c>
      <c r="Z5695">
        <v>3.6256610000000002E-4</v>
      </c>
      <c r="AA5695">
        <v>0.99925160000000002</v>
      </c>
      <c r="AB5695">
        <v>28</v>
      </c>
      <c r="AC5695">
        <v>-284.26089999999999</v>
      </c>
      <c r="AD5695">
        <v>-0.94613190000000003</v>
      </c>
      <c r="AE5695">
        <v>12.1153999999999</v>
      </c>
      <c r="AF5695">
        <v>11.014178396202</v>
      </c>
      <c r="AG5695">
        <v>-0.94613190000000003</v>
      </c>
      <c r="AH5695">
        <v>284.30254968743799</v>
      </c>
      <c r="AI5695">
        <v>90.190531285373496</v>
      </c>
      <c r="AJ5695">
        <v>87.781411014787295</v>
      </c>
      <c r="AK5695">
        <v>284.517393229471</v>
      </c>
      <c r="AL5695">
        <v>94.427774205680905</v>
      </c>
      <c r="AM5695">
        <v>88.810858254671302</v>
      </c>
      <c r="AN5695">
        <v>0.99999997735839197</v>
      </c>
    </row>
    <row r="5696" spans="1:40" x14ac:dyDescent="0.25">
      <c r="A5696" t="str">
        <f>"20190303153921614"</f>
        <v>20190303153921614</v>
      </c>
      <c r="B5696" t="str">
        <f>"1551598761604329"</f>
        <v>1551598761604329</v>
      </c>
      <c r="C5696" t="s">
        <v>40</v>
      </c>
      <c r="D5696">
        <v>3.6855169999999999</v>
      </c>
      <c r="E5696">
        <v>0.5079072</v>
      </c>
      <c r="F5696" t="s">
        <v>70</v>
      </c>
      <c r="G5696">
        <v>-511.05869999999999</v>
      </c>
      <c r="H5696">
        <v>0.2392077</v>
      </c>
      <c r="I5696">
        <v>152.99100000000001</v>
      </c>
      <c r="J5696">
        <v>-228.17320000000001</v>
      </c>
      <c r="K5696">
        <v>1.119826</v>
      </c>
      <c r="L5696">
        <v>140.72200000000001</v>
      </c>
      <c r="M5696">
        <v>-0.99983080000000002</v>
      </c>
      <c r="N5696">
        <v>-1.373125E-2</v>
      </c>
      <c r="O5696">
        <v>1.224341E-2</v>
      </c>
      <c r="P5696">
        <v>-0.99580389999999996</v>
      </c>
      <c r="Q5696">
        <v>-8.8069800000000004E-2</v>
      </c>
      <c r="R5696">
        <v>2.487263E-2</v>
      </c>
      <c r="S5696">
        <v>-3.0091860000000001</v>
      </c>
      <c r="T5696">
        <v>-9.3137029999999996E-3</v>
      </c>
      <c r="U5696">
        <v>0.1300964</v>
      </c>
      <c r="V5696">
        <v>1.249019E-2</v>
      </c>
      <c r="W5696">
        <v>-7.4416419999999997E-2</v>
      </c>
      <c r="X5696">
        <v>0.99714910000000001</v>
      </c>
      <c r="Y5696">
        <v>3.0956270000000001E-2</v>
      </c>
      <c r="Z5696">
        <v>3.907189E-4</v>
      </c>
      <c r="AA5696">
        <v>0.99952070000000004</v>
      </c>
      <c r="AB5696">
        <v>27</v>
      </c>
      <c r="AC5696">
        <v>-282.88549999999998</v>
      </c>
      <c r="AD5696">
        <v>-0.88061829999999996</v>
      </c>
      <c r="AE5696">
        <v>12.269</v>
      </c>
      <c r="AF5696">
        <v>8.8041854781135793</v>
      </c>
      <c r="AG5696">
        <v>-0.88061829999999996</v>
      </c>
      <c r="AH5696">
        <v>283.01178391480198</v>
      </c>
      <c r="AI5696">
        <v>90.178194532244007</v>
      </c>
      <c r="AJ5696">
        <v>88.218165935380995</v>
      </c>
      <c r="AK5696">
        <v>283.15006446257797</v>
      </c>
      <c r="AL5696">
        <v>94.2676916395978</v>
      </c>
      <c r="AM5696">
        <v>89.282356321079902</v>
      </c>
      <c r="AN5696">
        <v>1.0000000680213199</v>
      </c>
    </row>
    <row r="5697" spans="1:40" x14ac:dyDescent="0.25">
      <c r="A5697" t="str">
        <f>"20190303153921636"</f>
        <v>20190303153921636</v>
      </c>
      <c r="B5697" t="str">
        <f>"1551598761633609"</f>
        <v>1551598761633609</v>
      </c>
      <c r="C5697" t="s">
        <v>40</v>
      </c>
      <c r="D5697">
        <v>4.5512639999999998</v>
      </c>
      <c r="E5697">
        <v>0.51930390000000004</v>
      </c>
      <c r="F5697" t="s">
        <v>70</v>
      </c>
      <c r="G5697">
        <v>-511.05889999999999</v>
      </c>
      <c r="H5697">
        <v>0.858299699999999</v>
      </c>
      <c r="I5697">
        <v>153.27090000000001</v>
      </c>
      <c r="J5697">
        <v>-228.44710000000001</v>
      </c>
      <c r="K5697">
        <v>1.1199410000000001</v>
      </c>
      <c r="L5697">
        <v>140.72669999999999</v>
      </c>
      <c r="M5697">
        <v>-0.99981699999999996</v>
      </c>
      <c r="N5697">
        <v>-1.3664819999999999E-2</v>
      </c>
      <c r="O5697">
        <v>1.340393E-2</v>
      </c>
      <c r="P5697">
        <v>-0.99596629999999997</v>
      </c>
      <c r="Q5697">
        <v>-8.5961389999999999E-2</v>
      </c>
      <c r="R5697">
        <v>2.573307E-2</v>
      </c>
      <c r="S5697">
        <v>-3.009064</v>
      </c>
      <c r="T5697">
        <v>-2.7813909999999998E-3</v>
      </c>
      <c r="U5697">
        <v>0.13348389999999999</v>
      </c>
      <c r="V5697">
        <v>1.2218039999999999E-2</v>
      </c>
      <c r="W5697">
        <v>-7.2367650000000006E-2</v>
      </c>
      <c r="X5697">
        <v>0.99730319999999995</v>
      </c>
      <c r="Y5697">
        <v>3.092191E-2</v>
      </c>
      <c r="Z5697">
        <v>3.9638640000000001E-4</v>
      </c>
      <c r="AA5697">
        <v>0.99952169999999896</v>
      </c>
      <c r="AB5697">
        <v>27</v>
      </c>
      <c r="AC5697">
        <v>-282.61180000000002</v>
      </c>
      <c r="AD5697">
        <v>-0.26164130000000002</v>
      </c>
      <c r="AE5697">
        <v>12.5442</v>
      </c>
      <c r="AF5697">
        <v>8.7546036733441106</v>
      </c>
      <c r="AG5697">
        <v>-0.26164130000000002</v>
      </c>
      <c r="AH5697">
        <v>282.75432172689801</v>
      </c>
      <c r="AI5697">
        <v>90.052992143828803</v>
      </c>
      <c r="AJ5697">
        <v>88.226581839464401</v>
      </c>
      <c r="AK5697">
        <v>282.88993972371202</v>
      </c>
      <c r="AL5697">
        <v>94.149988546839296</v>
      </c>
      <c r="AM5697">
        <v>89.298100009888799</v>
      </c>
      <c r="AN5697">
        <v>1.0000000149991</v>
      </c>
    </row>
    <row r="5698" spans="1:40" x14ac:dyDescent="0.25">
      <c r="A5698" t="str">
        <f>"20190303153921658"</f>
        <v>20190303153921658</v>
      </c>
      <c r="B5698" t="str">
        <f>"1551598761654105"</f>
        <v>1551598761654105</v>
      </c>
      <c r="C5698" t="s">
        <v>40</v>
      </c>
      <c r="D5698">
        <v>4.4901330000000002</v>
      </c>
      <c r="E5698">
        <v>0.50704249999999995</v>
      </c>
      <c r="F5698" t="s">
        <v>44</v>
      </c>
      <c r="G5698">
        <v>-229.27520000000001</v>
      </c>
      <c r="H5698">
        <v>0.91577549999999996</v>
      </c>
      <c r="I5698">
        <v>140.7937</v>
      </c>
      <c r="J5698">
        <v>-228.72329999999999</v>
      </c>
      <c r="K5698">
        <v>1.120007</v>
      </c>
      <c r="L5698">
        <v>140.73169999999999</v>
      </c>
      <c r="M5698">
        <v>-0.99980550000000001</v>
      </c>
      <c r="N5698">
        <v>-1.345091E-2</v>
      </c>
      <c r="O5698">
        <v>1.442994E-2</v>
      </c>
      <c r="P5698">
        <v>-0.99618019999999996</v>
      </c>
      <c r="Q5698">
        <v>-8.3406930000000004E-2</v>
      </c>
      <c r="R5698">
        <v>2.5860060000000001E-2</v>
      </c>
      <c r="S5698">
        <v>-2.9433750000000001</v>
      </c>
      <c r="T5698">
        <v>-0.72576629999999998</v>
      </c>
      <c r="U5698">
        <v>0.23825070000000001</v>
      </c>
      <c r="V5698">
        <v>1.134219E-2</v>
      </c>
      <c r="W5698">
        <v>-7.0018919999999998E-2</v>
      </c>
      <c r="X5698">
        <v>0.99748119999999996</v>
      </c>
      <c r="Y5698">
        <v>6.4640219999999998E-2</v>
      </c>
      <c r="Z5698">
        <v>4.9733379999999999E-3</v>
      </c>
      <c r="AA5698">
        <v>0.99789629999999996</v>
      </c>
      <c r="AB5698">
        <v>27</v>
      </c>
      <c r="AC5698">
        <v>-0.55190000000001704</v>
      </c>
      <c r="AD5698">
        <v>-0.20423150000000001</v>
      </c>
      <c r="AE5698">
        <v>6.2000000000011803E-2</v>
      </c>
      <c r="AF5698">
        <v>4.7592879562749997E-2</v>
      </c>
      <c r="AG5698">
        <v>-0.20423150000000001</v>
      </c>
      <c r="AH5698">
        <v>0.48689384078495401</v>
      </c>
      <c r="AI5698">
        <v>112.658990695445</v>
      </c>
      <c r="AJ5698">
        <v>84.417189994821697</v>
      </c>
      <c r="AK5698">
        <v>0.53013319078477705</v>
      </c>
      <c r="AL5698">
        <v>94.015073842626094</v>
      </c>
      <c r="AM5698">
        <v>89.3485274593951</v>
      </c>
      <c r="AN5698">
        <v>1.0000000193926999</v>
      </c>
    </row>
    <row r="5699" spans="1:40" x14ac:dyDescent="0.25">
      <c r="A5699" t="str">
        <f>"20190303153921680"</f>
        <v>20190303153921680</v>
      </c>
      <c r="B5699" t="str">
        <f>"1551598761673624"</f>
        <v>1551598761673624</v>
      </c>
      <c r="C5699" t="s">
        <v>40</v>
      </c>
      <c r="D5699">
        <v>4.4987899999999996</v>
      </c>
      <c r="E5699">
        <v>0.50807919999999995</v>
      </c>
      <c r="F5699" t="s">
        <v>42</v>
      </c>
      <c r="G5699">
        <v>-391.55509999999998</v>
      </c>
      <c r="H5699" s="1">
        <v>-5.1945559999999998E-6</v>
      </c>
      <c r="I5699">
        <v>147.77789999999999</v>
      </c>
      <c r="J5699">
        <v>-228.9914</v>
      </c>
      <c r="K5699">
        <v>1.1200559999999999</v>
      </c>
      <c r="L5699">
        <v>140.73660000000001</v>
      </c>
      <c r="M5699">
        <v>-0.99979649999999998</v>
      </c>
      <c r="N5699">
        <v>-1.315647E-2</v>
      </c>
      <c r="O5699">
        <v>1.530257E-2</v>
      </c>
      <c r="P5699">
        <v>-0.99636380000000002</v>
      </c>
      <c r="Q5699">
        <v>-8.1342319999999996E-2</v>
      </c>
      <c r="R5699">
        <v>2.536097E-2</v>
      </c>
      <c r="S5699">
        <v>-3.0063780000000002</v>
      </c>
      <c r="T5699">
        <v>-2.067888E-2</v>
      </c>
      <c r="U5699">
        <v>0.1300964</v>
      </c>
      <c r="V5699">
        <v>9.9896280000000004E-3</v>
      </c>
      <c r="W5699">
        <v>-6.8240809999999999E-2</v>
      </c>
      <c r="X5699">
        <v>0.99761889999999998</v>
      </c>
      <c r="Y5699">
        <v>2.793675E-2</v>
      </c>
      <c r="Z5699">
        <v>3.7598079999999999E-4</v>
      </c>
      <c r="AA5699">
        <v>0.99960959999999999</v>
      </c>
      <c r="AB5699">
        <v>27</v>
      </c>
      <c r="AC5699">
        <v>-162.56369999999899</v>
      </c>
      <c r="AD5699">
        <v>-1.120061194556</v>
      </c>
      <c r="AE5699">
        <v>7.0412999999999704</v>
      </c>
      <c r="AF5699">
        <v>4.55240233066153</v>
      </c>
      <c r="AG5699">
        <v>-1.120061194556</v>
      </c>
      <c r="AH5699">
        <v>162.64471464071701</v>
      </c>
      <c r="AI5699">
        <v>90.394409634449005</v>
      </c>
      <c r="AJ5699">
        <v>88.396717915661995</v>
      </c>
      <c r="AK5699">
        <v>162.71226783687899</v>
      </c>
      <c r="AL5699">
        <v>93.912951259519204</v>
      </c>
      <c r="AM5699">
        <v>89.426289543797296</v>
      </c>
      <c r="AN5699">
        <v>1.0000000352271201</v>
      </c>
    </row>
    <row r="5700" spans="1:40" x14ac:dyDescent="0.25">
      <c r="A5700" t="str">
        <f>"20190303153921703"</f>
        <v>20190303153921703</v>
      </c>
      <c r="B5700" t="str">
        <f>"1551598761694121"</f>
        <v>1551598761694121</v>
      </c>
      <c r="C5700" t="s">
        <v>40</v>
      </c>
      <c r="D5700">
        <v>4.7421759999999997</v>
      </c>
      <c r="E5700">
        <v>0.50428470000000003</v>
      </c>
      <c r="F5700" t="s">
        <v>70</v>
      </c>
      <c r="G5700">
        <v>-511.05950000000001</v>
      </c>
      <c r="H5700">
        <v>2.618763</v>
      </c>
      <c r="I5700">
        <v>153.49799999999999</v>
      </c>
      <c r="J5700">
        <v>-229.27449999999999</v>
      </c>
      <c r="K5700">
        <v>1.1201019999999999</v>
      </c>
      <c r="L5700">
        <v>140.74189999999999</v>
      </c>
      <c r="M5700">
        <v>-0.9997878</v>
      </c>
      <c r="N5700">
        <v>-1.2831189999999999E-2</v>
      </c>
      <c r="O5700">
        <v>1.6117289999999999E-2</v>
      </c>
      <c r="P5700">
        <v>-0.99650419999999995</v>
      </c>
      <c r="Q5700">
        <v>-7.9651180000000002E-2</v>
      </c>
      <c r="R5700">
        <v>2.520468E-2</v>
      </c>
      <c r="S5700">
        <v>-3.0087739999999998</v>
      </c>
      <c r="T5700">
        <v>1.5986920000000002E-2</v>
      </c>
      <c r="U5700">
        <v>0.13612369999999999</v>
      </c>
      <c r="V5700">
        <v>9.0369370000000001E-3</v>
      </c>
      <c r="W5700">
        <v>-6.6868639999999993E-2</v>
      </c>
      <c r="X5700">
        <v>0.99772079999999996</v>
      </c>
      <c r="Y5700">
        <v>2.9091220000000001E-2</v>
      </c>
      <c r="Z5700">
        <v>4.018022E-4</v>
      </c>
      <c r="AA5700">
        <v>0.99957669999999998</v>
      </c>
      <c r="AB5700">
        <v>27</v>
      </c>
      <c r="AC5700">
        <v>-281.78500000000003</v>
      </c>
      <c r="AD5700">
        <v>1.49866099999999</v>
      </c>
      <c r="AE5700">
        <v>12.7561</v>
      </c>
      <c r="AF5700">
        <v>8.2122266407883693</v>
      </c>
      <c r="AG5700">
        <v>1.49866099999999</v>
      </c>
      <c r="AH5700">
        <v>281.94604424679699</v>
      </c>
      <c r="AI5700">
        <v>89.695580967936294</v>
      </c>
      <c r="AJ5700">
        <v>88.331620738102401</v>
      </c>
      <c r="AK5700">
        <v>282.06959871210802</v>
      </c>
      <c r="AL5700">
        <v>93.834152067518701</v>
      </c>
      <c r="AM5700">
        <v>89.481053025004996</v>
      </c>
      <c r="AN5700">
        <v>0.99999993799921305</v>
      </c>
    </row>
    <row r="5701" spans="1:40" x14ac:dyDescent="0.25">
      <c r="A5701" t="str">
        <f>"20190303153921726"</f>
        <v>20190303153921726</v>
      </c>
      <c r="B5701" t="str">
        <f>"1551598761713641"</f>
        <v>1551598761713641</v>
      </c>
      <c r="C5701" t="s">
        <v>40</v>
      </c>
      <c r="D5701">
        <v>4.5437029999999998</v>
      </c>
      <c r="E5701">
        <v>0.5019458</v>
      </c>
      <c r="F5701" t="s">
        <v>70</v>
      </c>
      <c r="G5701">
        <v>-511.0591</v>
      </c>
      <c r="H5701">
        <v>1.1627419999999999</v>
      </c>
      <c r="I5701">
        <v>150.63669999999999</v>
      </c>
      <c r="J5701">
        <v>-229.55439999999999</v>
      </c>
      <c r="K5701">
        <v>1.120153</v>
      </c>
      <c r="L5701">
        <v>140.7473</v>
      </c>
      <c r="M5701">
        <v>-0.9997798</v>
      </c>
      <c r="N5701">
        <v>-1.252403E-2</v>
      </c>
      <c r="O5701">
        <v>1.68331E-2</v>
      </c>
      <c r="P5701">
        <v>-0.9964982</v>
      </c>
      <c r="Q5701">
        <v>-7.9771610000000007E-2</v>
      </c>
      <c r="R5701">
        <v>2.5057679999999999E-2</v>
      </c>
      <c r="S5701">
        <v>-3.007889</v>
      </c>
      <c r="T5701">
        <v>4.5561789999999999E-4</v>
      </c>
      <c r="U5701">
        <v>0.1056213</v>
      </c>
      <c r="V5701">
        <v>8.1897159999999997E-3</v>
      </c>
      <c r="W5701">
        <v>-6.7292530000000003E-2</v>
      </c>
      <c r="X5701">
        <v>0.99769969999999997</v>
      </c>
      <c r="Y5701">
        <v>1.8265489999999999E-2</v>
      </c>
      <c r="Z5701">
        <v>3.2636870000000003E-4</v>
      </c>
      <c r="AA5701">
        <v>0.99983310000000003</v>
      </c>
      <c r="AB5701">
        <v>28</v>
      </c>
      <c r="AC5701">
        <v>-281.50470000000001</v>
      </c>
      <c r="AD5701">
        <v>4.2588999999999697E-2</v>
      </c>
      <c r="AE5701">
        <v>9.8893999999999895</v>
      </c>
      <c r="AF5701">
        <v>5.1490296810558496</v>
      </c>
      <c r="AG5701">
        <v>4.2588999999999697E-2</v>
      </c>
      <c r="AH5701">
        <v>281.631284164504</v>
      </c>
      <c r="AI5701">
        <v>89.991337034113101</v>
      </c>
      <c r="AJ5701">
        <v>88.952585095217501</v>
      </c>
      <c r="AK5701">
        <v>281.678352985505</v>
      </c>
      <c r="AL5701">
        <v>93.858493674710701</v>
      </c>
      <c r="AM5701">
        <v>89.529692528299904</v>
      </c>
      <c r="AN5701">
        <v>1.00000002371102</v>
      </c>
    </row>
    <row r="5702" spans="1:40" x14ac:dyDescent="0.25">
      <c r="A5702" t="str">
        <f>"20190303153921748"</f>
        <v>20190303153921748</v>
      </c>
      <c r="B5702" t="str">
        <f>"1551598761743899"</f>
        <v>1551598761743899</v>
      </c>
      <c r="C5702" t="s">
        <v>40</v>
      </c>
      <c r="D5702">
        <v>4.5620500000000002</v>
      </c>
      <c r="E5702">
        <v>0.50018109999999905</v>
      </c>
      <c r="F5702" t="s">
        <v>70</v>
      </c>
      <c r="G5702">
        <v>-550.16199999999901</v>
      </c>
      <c r="H5702">
        <v>0.2476227</v>
      </c>
      <c r="I5702">
        <v>149.9778</v>
      </c>
      <c r="J5702">
        <v>-229.8329</v>
      </c>
      <c r="K5702">
        <v>1.120187</v>
      </c>
      <c r="L5702">
        <v>140.7527</v>
      </c>
      <c r="M5702">
        <v>-0.99977280000000002</v>
      </c>
      <c r="N5702">
        <v>-1.2232959999999999E-2</v>
      </c>
      <c r="O5702">
        <v>1.7465370000000001E-2</v>
      </c>
      <c r="P5702">
        <v>-0.99657370000000001</v>
      </c>
      <c r="Q5702">
        <v>-7.9224080000000002E-2</v>
      </c>
      <c r="R5702">
        <v>2.3762430000000001E-2</v>
      </c>
      <c r="S5702">
        <v>-3.0077060000000002</v>
      </c>
      <c r="T5702">
        <v>-8.1850289999999999E-3</v>
      </c>
      <c r="U5702">
        <v>8.6593630000000005E-2</v>
      </c>
      <c r="V5702">
        <v>6.2746390000000003E-3</v>
      </c>
      <c r="W5702">
        <v>-6.7031170000000001E-2</v>
      </c>
      <c r="X5702">
        <v>0.99773109999999998</v>
      </c>
      <c r="Y5702">
        <v>1.13154E-2</v>
      </c>
      <c r="Z5702">
        <v>2.5074659999999998E-4</v>
      </c>
      <c r="AA5702">
        <v>0.99993589999999999</v>
      </c>
      <c r="AB5702">
        <v>28</v>
      </c>
      <c r="AC5702">
        <v>-320.32909999999902</v>
      </c>
      <c r="AD5702">
        <v>-0.87256429999999996</v>
      </c>
      <c r="AE5702">
        <v>9.2250999999999905</v>
      </c>
      <c r="AF5702">
        <v>3.6285818048598801</v>
      </c>
      <c r="AG5702">
        <v>-0.87256429999999996</v>
      </c>
      <c r="AH5702">
        <v>320.43898865606798</v>
      </c>
      <c r="AI5702">
        <v>90.1560076175045</v>
      </c>
      <c r="AJ5702">
        <v>89.351222713931904</v>
      </c>
      <c r="AK5702">
        <v>320.460720565401</v>
      </c>
      <c r="AL5702">
        <v>93.843485251807394</v>
      </c>
      <c r="AM5702">
        <v>89.639676869656896</v>
      </c>
      <c r="AN5702">
        <v>0.99999994837667805</v>
      </c>
    </row>
    <row r="5703" spans="1:40" x14ac:dyDescent="0.25">
      <c r="A5703" t="str">
        <f>"20190303153921771"</f>
        <v>20190303153921771</v>
      </c>
      <c r="B5703" t="str">
        <f>"1551598761764394"</f>
        <v>1551598761764394</v>
      </c>
      <c r="C5703" t="s">
        <v>40</v>
      </c>
      <c r="D5703">
        <v>4.53742</v>
      </c>
      <c r="E5703">
        <v>0.49903180000000003</v>
      </c>
      <c r="F5703" t="s">
        <v>46</v>
      </c>
      <c r="G5703">
        <v>0</v>
      </c>
      <c r="H5703">
        <v>0</v>
      </c>
      <c r="I5703">
        <v>0</v>
      </c>
      <c r="J5703">
        <v>-230.0984</v>
      </c>
      <c r="K5703">
        <v>1.120214</v>
      </c>
      <c r="L5703">
        <v>140.75790000000001</v>
      </c>
      <c r="M5703">
        <v>-0.9997663</v>
      </c>
      <c r="N5703">
        <v>-1.197223E-2</v>
      </c>
      <c r="O5703">
        <v>1.8003350000000001E-2</v>
      </c>
      <c r="P5703">
        <v>-0.99671710000000002</v>
      </c>
      <c r="Q5703">
        <v>-7.7849109999999999E-2</v>
      </c>
      <c r="R5703">
        <v>2.224052E-2</v>
      </c>
      <c r="S5703">
        <v>-3.007889</v>
      </c>
      <c r="T5703">
        <v>-1.013291E-2</v>
      </c>
      <c r="U5703">
        <v>6.8344119999999994E-2</v>
      </c>
      <c r="V5703">
        <v>4.22259E-3</v>
      </c>
      <c r="W5703">
        <v>-6.5912170000000006E-2</v>
      </c>
      <c r="X5703">
        <v>0.9978165</v>
      </c>
      <c r="Y5703">
        <v>4.712628E-3</v>
      </c>
      <c r="Z5703">
        <v>1.9105789999999999E-4</v>
      </c>
      <c r="AA5703">
        <v>0.99998889999999996</v>
      </c>
      <c r="AB5703">
        <v>28</v>
      </c>
      <c r="AC5703">
        <v>-3.007889</v>
      </c>
      <c r="AD5703">
        <v>-1.013291E-2</v>
      </c>
      <c r="AE5703">
        <v>6.8344119999999994E-2</v>
      </c>
      <c r="AF5703">
        <v>1.4176924036105E-2</v>
      </c>
      <c r="AG5703">
        <v>-1.013291E-2</v>
      </c>
      <c r="AH5703">
        <v>3.0085978165331602</v>
      </c>
      <c r="AI5703">
        <v>90.192968409866694</v>
      </c>
      <c r="AJ5703">
        <v>89.730016455718797</v>
      </c>
      <c r="AK5703">
        <v>3.0086482816521301</v>
      </c>
      <c r="AL5703">
        <v>93.779228935147003</v>
      </c>
      <c r="AM5703">
        <v>89.757535437228796</v>
      </c>
      <c r="AN5703">
        <v>1.0000000060463301</v>
      </c>
    </row>
    <row r="5704" spans="1:40" x14ac:dyDescent="0.25">
      <c r="A5704" t="str">
        <f>"20190303153921791"</f>
        <v>20190303153921791</v>
      </c>
      <c r="B5704" t="str">
        <f>"1551598761783913"</f>
        <v>1551598761783913</v>
      </c>
      <c r="C5704" t="s">
        <v>40</v>
      </c>
      <c r="D5704">
        <v>4.5430789999999996</v>
      </c>
      <c r="E5704">
        <v>0.49848130000000002</v>
      </c>
      <c r="F5704" t="s">
        <v>63</v>
      </c>
      <c r="G5704">
        <v>-500.22800000000001</v>
      </c>
      <c r="H5704">
        <v>7.9987269999999999E-2</v>
      </c>
      <c r="I5704">
        <v>145.65559999999999</v>
      </c>
      <c r="J5704">
        <v>-230.36179999999999</v>
      </c>
      <c r="K5704">
        <v>1.120228</v>
      </c>
      <c r="L5704">
        <v>140.76320000000001</v>
      </c>
      <c r="M5704">
        <v>-0.99976030000000005</v>
      </c>
      <c r="N5704">
        <v>-1.173012E-2</v>
      </c>
      <c r="O5704">
        <v>1.849307E-2</v>
      </c>
      <c r="P5704">
        <v>-0.99682219999999999</v>
      </c>
      <c r="Q5704">
        <v>-7.7081559999999993E-2</v>
      </c>
      <c r="R5704">
        <v>2.0103200000000002E-2</v>
      </c>
      <c r="S5704">
        <v>-3.0077820000000002</v>
      </c>
      <c r="T5704">
        <v>-1.1582490000000001E-2</v>
      </c>
      <c r="U5704">
        <v>5.4534909999999999E-2</v>
      </c>
      <c r="V5704">
        <v>1.60047799999999E-3</v>
      </c>
      <c r="W5704">
        <v>-6.5382620000000002E-2</v>
      </c>
      <c r="X5704">
        <v>0.99785900000000005</v>
      </c>
      <c r="Y5704">
        <v>-3.6551969999999999E-4</v>
      </c>
      <c r="Z5704">
        <v>1.42886E-4</v>
      </c>
      <c r="AA5704">
        <v>0.99999990000000005</v>
      </c>
      <c r="AB5704">
        <v>28</v>
      </c>
      <c r="AC5704">
        <v>-269.86619999999999</v>
      </c>
      <c r="AD5704">
        <v>-1.0402407300000001</v>
      </c>
      <c r="AE5704">
        <v>4.8923999999999799</v>
      </c>
      <c r="AF5704">
        <v>-9.9432587409234302E-2</v>
      </c>
      <c r="AG5704">
        <v>-1.0402407300000001</v>
      </c>
      <c r="AH5704">
        <v>269.90651611257101</v>
      </c>
      <c r="AI5704">
        <v>90.220821287379593</v>
      </c>
      <c r="AJ5704">
        <v>90.021107557642296</v>
      </c>
      <c r="AK5704">
        <v>269.90853900468102</v>
      </c>
      <c r="AL5704">
        <v>93.748822326269106</v>
      </c>
      <c r="AM5704">
        <v>89.908102691894001</v>
      </c>
      <c r="AN5704">
        <v>1.00000001620444</v>
      </c>
    </row>
    <row r="5705" spans="1:40" x14ac:dyDescent="0.25">
      <c r="A5705" t="str">
        <f>"20190303153921816"</f>
        <v>20190303153921816</v>
      </c>
      <c r="B5705" t="str">
        <f>"1551598761804409"</f>
        <v>1551598761804409</v>
      </c>
      <c r="C5705" t="s">
        <v>40</v>
      </c>
      <c r="D5705">
        <v>4.5801030000000003</v>
      </c>
      <c r="E5705">
        <v>0.49807709999999999</v>
      </c>
      <c r="F5705" t="s">
        <v>63</v>
      </c>
      <c r="G5705">
        <v>-499.95940000000002</v>
      </c>
      <c r="H5705">
        <v>5.1575940000000001E-2</v>
      </c>
      <c r="I5705">
        <v>144.68029999999999</v>
      </c>
      <c r="J5705">
        <v>-230.6566</v>
      </c>
      <c r="K5705">
        <v>1.1202209999999999</v>
      </c>
      <c r="L5705">
        <v>140.76929999999999</v>
      </c>
      <c r="M5705">
        <v>-0.99975340000000001</v>
      </c>
      <c r="N5705">
        <v>-1.1481689999999999E-2</v>
      </c>
      <c r="O5705">
        <v>1.901359E-2</v>
      </c>
      <c r="P5705">
        <v>-0.99687369999999997</v>
      </c>
      <c r="Q5705">
        <v>-7.6841699999999902E-2</v>
      </c>
      <c r="R5705">
        <v>1.8393940000000001E-2</v>
      </c>
      <c r="S5705">
        <v>-3.0077509999999998</v>
      </c>
      <c r="T5705">
        <v>-1.192236E-2</v>
      </c>
      <c r="U5705">
        <v>4.3701169999999998E-2</v>
      </c>
      <c r="V5705">
        <v>-6.2600009999999996E-4</v>
      </c>
      <c r="W5705">
        <v>-6.5388340000000003E-2</v>
      </c>
      <c r="X5705">
        <v>0.99785970000000002</v>
      </c>
      <c r="Y5705">
        <v>-4.4868019999999998E-3</v>
      </c>
      <c r="Z5705">
        <v>1.083129E-4</v>
      </c>
      <c r="AA5705">
        <v>0.99998989999999999</v>
      </c>
      <c r="AB5705">
        <v>28</v>
      </c>
      <c r="AC5705">
        <v>-269.30279999999999</v>
      </c>
      <c r="AD5705">
        <v>-1.0686450599999999</v>
      </c>
      <c r="AE5705">
        <v>3.911</v>
      </c>
      <c r="AF5705">
        <v>-1.2104380858253401</v>
      </c>
      <c r="AG5705">
        <v>-1.0686450599999999</v>
      </c>
      <c r="AH5705">
        <v>269.32423748687501</v>
      </c>
      <c r="AI5705">
        <v>90.227339034214395</v>
      </c>
      <c r="AJ5705">
        <v>90.257505701581195</v>
      </c>
      <c r="AK5705">
        <v>269.32907763646801</v>
      </c>
      <c r="AL5705">
        <v>93.749150807203506</v>
      </c>
      <c r="AM5705">
        <v>90.035944090135601</v>
      </c>
      <c r="AN5705">
        <v>1.0000000038840799</v>
      </c>
    </row>
    <row r="5706" spans="1:40" x14ac:dyDescent="0.25">
      <c r="A5706" t="str">
        <f>"20190303153921836"</f>
        <v>20190303153921836</v>
      </c>
      <c r="B5706" t="str">
        <f>"1551598761823929"</f>
        <v>1551598761823929</v>
      </c>
      <c r="C5706" t="s">
        <v>40</v>
      </c>
      <c r="D5706">
        <v>4.5379040000000002</v>
      </c>
      <c r="E5706">
        <v>0.49772899999999998</v>
      </c>
      <c r="F5706" t="s">
        <v>63</v>
      </c>
      <c r="G5706">
        <v>-472.82760000000002</v>
      </c>
      <c r="H5706" s="1">
        <v>-5.5337269999999997E-6</v>
      </c>
      <c r="I5706">
        <v>143.5975</v>
      </c>
      <c r="J5706">
        <v>-230.91990000000001</v>
      </c>
      <c r="K5706">
        <v>1.120214</v>
      </c>
      <c r="L5706">
        <v>140.7747</v>
      </c>
      <c r="M5706">
        <v>-0.99974700000000005</v>
      </c>
      <c r="N5706">
        <v>-1.1276130000000001E-2</v>
      </c>
      <c r="O5706">
        <v>1.9468539999999999E-2</v>
      </c>
      <c r="P5706">
        <v>-0.99687610000000004</v>
      </c>
      <c r="Q5706">
        <v>-7.7202439999999997E-2</v>
      </c>
      <c r="R5706">
        <v>1.6675860000000001E-2</v>
      </c>
      <c r="S5706">
        <v>-3.0076749999999999</v>
      </c>
      <c r="T5706">
        <v>-1.3912799999999901E-2</v>
      </c>
      <c r="U5706">
        <v>3.5125730000000001E-2</v>
      </c>
      <c r="V5706">
        <v>-2.7970439999999998E-3</v>
      </c>
      <c r="W5706">
        <v>-6.5952529999999995E-2</v>
      </c>
      <c r="X5706">
        <v>0.99781880000000001</v>
      </c>
      <c r="Y5706">
        <v>-7.7920419999999999E-3</v>
      </c>
      <c r="Z5706" s="1">
        <v>6.7544000000000002E-5</v>
      </c>
      <c r="AA5706">
        <v>0.99996969999999996</v>
      </c>
      <c r="AB5706">
        <v>28</v>
      </c>
      <c r="AC5706">
        <v>-241.90770000000001</v>
      </c>
      <c r="AD5706">
        <v>-1.120219533727</v>
      </c>
      <c r="AE5706">
        <v>2.8228</v>
      </c>
      <c r="AF5706">
        <v>-1.8875832150257501</v>
      </c>
      <c r="AG5706">
        <v>-1.120219533727</v>
      </c>
      <c r="AH5706">
        <v>241.91161783974999</v>
      </c>
      <c r="AI5706">
        <v>90.265309452615</v>
      </c>
      <c r="AJ5706">
        <v>90.447057309151006</v>
      </c>
      <c r="AK5706">
        <v>241.92157553232499</v>
      </c>
      <c r="AL5706">
        <v>93.7815466149424</v>
      </c>
      <c r="AM5706">
        <v>90.160608716291307</v>
      </c>
      <c r="AN5706">
        <v>0.99999995865098801</v>
      </c>
    </row>
    <row r="5707" spans="1:40" x14ac:dyDescent="0.25">
      <c r="A5707" t="str">
        <f>"20190303153921859"</f>
        <v>20190303153921859</v>
      </c>
      <c r="B5707" t="str">
        <f>"1551598761854543"</f>
        <v>1551598761854543</v>
      </c>
      <c r="C5707" t="s">
        <v>40</v>
      </c>
      <c r="D5707">
        <v>4.5272730000000001</v>
      </c>
      <c r="E5707">
        <v>0.49714809999999998</v>
      </c>
      <c r="F5707" t="s">
        <v>68</v>
      </c>
      <c r="G5707">
        <v>-421.84350000000001</v>
      </c>
      <c r="H5707" s="1">
        <v>-1.114722E-5</v>
      </c>
      <c r="I5707">
        <v>142.50380000000001</v>
      </c>
      <c r="J5707">
        <v>-231.19739999999999</v>
      </c>
      <c r="K5707">
        <v>1.1202049999999999</v>
      </c>
      <c r="L5707">
        <v>140.7807</v>
      </c>
      <c r="M5707">
        <v>-0.99973979999999996</v>
      </c>
      <c r="N5707">
        <v>-1.107263E-2</v>
      </c>
      <c r="O5707">
        <v>1.9947949999999999E-2</v>
      </c>
      <c r="P5707">
        <v>-0.99683920000000004</v>
      </c>
      <c r="Q5707">
        <v>-7.8022030000000006E-2</v>
      </c>
      <c r="R5707">
        <v>1.49823E-2</v>
      </c>
      <c r="S5707">
        <v>-3.0075989999999999</v>
      </c>
      <c r="T5707">
        <v>-1.7646789999999999E-2</v>
      </c>
      <c r="U5707">
        <v>2.7236940000000001E-2</v>
      </c>
      <c r="V5707">
        <v>-4.968236E-3</v>
      </c>
      <c r="W5707">
        <v>-6.6973980000000002E-2</v>
      </c>
      <c r="X5707">
        <v>0.99774240000000003</v>
      </c>
      <c r="Y5707">
        <v>-1.0893679999999999E-2</v>
      </c>
      <c r="Z5707" s="1">
        <v>1.1592080000000001E-5</v>
      </c>
      <c r="AA5707">
        <v>0.99994059999999996</v>
      </c>
      <c r="AB5707">
        <v>28</v>
      </c>
      <c r="AC5707">
        <v>-190.64609999999999</v>
      </c>
      <c r="AD5707">
        <v>-1.1202161472199901</v>
      </c>
      <c r="AE5707">
        <v>1.7231000000000101</v>
      </c>
      <c r="AF5707">
        <v>-2.0804027397357299</v>
      </c>
      <c r="AG5707">
        <v>-1.1202161472199901</v>
      </c>
      <c r="AH5707">
        <v>190.63595359949699</v>
      </c>
      <c r="AI5707">
        <v>90.336657886417399</v>
      </c>
      <c r="AJ5707">
        <v>90.625241791376396</v>
      </c>
      <c r="AK5707">
        <v>190.65059602468</v>
      </c>
      <c r="AL5707">
        <v>93.840200746387794</v>
      </c>
      <c r="AM5707">
        <v>90.285300696587498</v>
      </c>
      <c r="AN5707">
        <v>1.00000004706187</v>
      </c>
    </row>
    <row r="5708" spans="1:40" x14ac:dyDescent="0.25">
      <c r="A5708" t="str">
        <f>"20190303153921881"</f>
        <v>20190303153921881</v>
      </c>
      <c r="B5708" t="str">
        <f>"1551598761874063"</f>
        <v>1551598761874063</v>
      </c>
      <c r="C5708" t="s">
        <v>40</v>
      </c>
      <c r="D5708">
        <v>4.5682019999999897</v>
      </c>
      <c r="E5708">
        <v>0.4968765</v>
      </c>
      <c r="F5708" t="s">
        <v>42</v>
      </c>
      <c r="G5708">
        <v>-370.51280000000003</v>
      </c>
      <c r="H5708" s="1">
        <v>-4.4563900000000004E-6</v>
      </c>
      <c r="I5708">
        <v>141.61680000000001</v>
      </c>
      <c r="J5708">
        <v>-231.48009999999999</v>
      </c>
      <c r="K5708">
        <v>1.1201909999999999</v>
      </c>
      <c r="L5708">
        <v>140.7869</v>
      </c>
      <c r="M5708">
        <v>-0.99973190000000001</v>
      </c>
      <c r="N5708">
        <v>-1.087963E-2</v>
      </c>
      <c r="O5708">
        <v>2.044151E-2</v>
      </c>
      <c r="P5708">
        <v>-0.99678690000000003</v>
      </c>
      <c r="Q5708">
        <v>-7.9003680000000007E-2</v>
      </c>
      <c r="R5708">
        <v>1.3206209999999999E-2</v>
      </c>
      <c r="S5708">
        <v>-3.0073699999999999</v>
      </c>
      <c r="T5708">
        <v>-2.418172E-2</v>
      </c>
      <c r="U5708">
        <v>1.8051149999999998E-2</v>
      </c>
      <c r="V5708">
        <v>-7.2360699999999998E-3</v>
      </c>
      <c r="W5708">
        <v>-6.8147059999999995E-2</v>
      </c>
      <c r="X5708">
        <v>0.99764909999999996</v>
      </c>
      <c r="Y5708">
        <v>-1.444022E-2</v>
      </c>
      <c r="Z5708" s="1">
        <v>-7.8546740000000001E-5</v>
      </c>
      <c r="AA5708">
        <v>0.9998958</v>
      </c>
      <c r="AB5708">
        <v>28</v>
      </c>
      <c r="AC5708">
        <v>-139.03270000000001</v>
      </c>
      <c r="AD5708">
        <v>-1.1201954563899901</v>
      </c>
      <c r="AE5708">
        <v>0.82990000000000896</v>
      </c>
      <c r="AF5708">
        <v>-2.0123492082971399</v>
      </c>
      <c r="AG5708">
        <v>-1.1201954563899901</v>
      </c>
      <c r="AH5708">
        <v>139.01158736807201</v>
      </c>
      <c r="AI5708">
        <v>90.461647553344307</v>
      </c>
      <c r="AJ5708">
        <v>90.829362974542306</v>
      </c>
      <c r="AK5708">
        <v>139.03066499800599</v>
      </c>
      <c r="AL5708">
        <v>93.907567170978496</v>
      </c>
      <c r="AM5708">
        <v>90.415565955166301</v>
      </c>
      <c r="AN5708">
        <v>1.0000000546132399</v>
      </c>
    </row>
    <row r="5709" spans="1:40" x14ac:dyDescent="0.25">
      <c r="A5709" t="str">
        <f>"20190303153921904"</f>
        <v>20190303153921904</v>
      </c>
      <c r="B5709" t="str">
        <f>"1551598761894560"</f>
        <v>1551598761894560</v>
      </c>
      <c r="C5709" t="s">
        <v>40</v>
      </c>
      <c r="D5709">
        <v>4.5647019999999996</v>
      </c>
      <c r="E5709">
        <v>0.49681140000000001</v>
      </c>
      <c r="F5709" t="s">
        <v>42</v>
      </c>
      <c r="G5709">
        <v>-345.86509999999998</v>
      </c>
      <c r="H5709" s="1">
        <v>-2.175096E-6</v>
      </c>
      <c r="I5709">
        <v>141.19069999999999</v>
      </c>
      <c r="J5709">
        <v>-231.76130000000001</v>
      </c>
      <c r="K5709">
        <v>1.1201760000000001</v>
      </c>
      <c r="L5709">
        <v>140.79320000000001</v>
      </c>
      <c r="M5709">
        <v>-0.99972340000000004</v>
      </c>
      <c r="N5709">
        <v>-1.070306E-2</v>
      </c>
      <c r="O5709">
        <v>2.0937230000000001E-2</v>
      </c>
      <c r="P5709">
        <v>-0.99677870000000002</v>
      </c>
      <c r="Q5709">
        <v>-7.9314689999999993E-2</v>
      </c>
      <c r="R5709">
        <v>1.188639E-2</v>
      </c>
      <c r="S5709">
        <v>-3.0071870000000001</v>
      </c>
      <c r="T5709">
        <v>-2.9449940000000001E-2</v>
      </c>
      <c r="U5709">
        <v>1.062012E-2</v>
      </c>
      <c r="V5709">
        <v>-9.0501379999999992E-3</v>
      </c>
      <c r="W5709">
        <v>-6.8632960000000007E-2</v>
      </c>
      <c r="X5709">
        <v>0.99760090000000001</v>
      </c>
      <c r="Y5709">
        <v>-1.7405770000000001E-2</v>
      </c>
      <c r="Z5709">
        <v>-1.592923E-4</v>
      </c>
      <c r="AA5709">
        <v>0.99984850000000003</v>
      </c>
      <c r="AB5709">
        <v>28</v>
      </c>
      <c r="AC5709">
        <v>-114.103799999999</v>
      </c>
      <c r="AD5709">
        <v>-1.120178175096</v>
      </c>
      <c r="AE5709">
        <v>0.39749999999997898</v>
      </c>
      <c r="AF5709">
        <v>-1.9915498007746799</v>
      </c>
      <c r="AG5709">
        <v>-1.120178175096</v>
      </c>
      <c r="AH5709">
        <v>114.076113514372</v>
      </c>
      <c r="AI5709">
        <v>90.562516020384706</v>
      </c>
      <c r="AJ5709">
        <v>91.000172640494895</v>
      </c>
      <c r="AK5709">
        <v>114.09899536935799</v>
      </c>
      <c r="AL5709">
        <v>93.935472850728303</v>
      </c>
      <c r="AM5709">
        <v>90.5197674611953</v>
      </c>
      <c r="AN5709">
        <v>0.99999997193849399</v>
      </c>
    </row>
    <row r="5710" spans="1:40" x14ac:dyDescent="0.25">
      <c r="A5710" t="str">
        <f>"20190303153921926"</f>
        <v>20190303153921926</v>
      </c>
      <c r="B5710" t="str">
        <f>"1551598761914079"</f>
        <v>1551598761914079</v>
      </c>
      <c r="C5710" t="s">
        <v>40</v>
      </c>
      <c r="D5710">
        <v>4.576835</v>
      </c>
      <c r="E5710">
        <v>0.49675069999999999</v>
      </c>
      <c r="F5710" t="s">
        <v>42</v>
      </c>
      <c r="G5710">
        <v>-338.22539999999998</v>
      </c>
      <c r="H5710" s="1">
        <v>-1.1921E-6</v>
      </c>
      <c r="I5710">
        <v>141.01730000000001</v>
      </c>
      <c r="J5710">
        <v>-232.03659999999999</v>
      </c>
      <c r="K5710">
        <v>1.1201700000000001</v>
      </c>
      <c r="L5710">
        <v>140.79939999999999</v>
      </c>
      <c r="M5710">
        <v>-0.99971509999999997</v>
      </c>
      <c r="N5710">
        <v>-1.0541180000000001E-2</v>
      </c>
      <c r="O5710">
        <v>2.1422730000000001E-2</v>
      </c>
      <c r="P5710">
        <v>-0.99680449999999998</v>
      </c>
      <c r="Q5710">
        <v>-7.9169920000000005E-2</v>
      </c>
      <c r="R5710">
        <v>1.062709E-2</v>
      </c>
      <c r="S5710">
        <v>-3.0070950000000001</v>
      </c>
      <c r="T5710">
        <v>-3.163958E-2</v>
      </c>
      <c r="U5710">
        <v>6.3323969999999896E-3</v>
      </c>
      <c r="V5710">
        <v>-1.0794E-2</v>
      </c>
      <c r="W5710">
        <v>-6.8648150000000005E-2</v>
      </c>
      <c r="X5710">
        <v>0.99758259999999999</v>
      </c>
      <c r="Y5710">
        <v>-1.9316409999999999E-2</v>
      </c>
      <c r="Z5710">
        <v>-2.0297509999999999E-4</v>
      </c>
      <c r="AA5710">
        <v>0.99981339999999996</v>
      </c>
      <c r="AB5710">
        <v>28</v>
      </c>
      <c r="AC5710">
        <v>-106.1888</v>
      </c>
      <c r="AD5710">
        <v>-1.1201711920999999</v>
      </c>
      <c r="AE5710">
        <v>0.217900000000014</v>
      </c>
      <c r="AF5710">
        <v>-2.0569011363824501</v>
      </c>
      <c r="AG5710">
        <v>-1.1201711920999999</v>
      </c>
      <c r="AH5710">
        <v>106.157283006835</v>
      </c>
      <c r="AI5710">
        <v>90.604448935924097</v>
      </c>
      <c r="AJ5710">
        <v>91.110022842251496</v>
      </c>
      <c r="AK5710">
        <v>106.183117119332</v>
      </c>
      <c r="AL5710">
        <v>93.936344878569599</v>
      </c>
      <c r="AM5710">
        <v>90.619925117539395</v>
      </c>
      <c r="AN5710">
        <v>1.00000006137858</v>
      </c>
    </row>
    <row r="5711" spans="1:40" x14ac:dyDescent="0.25">
      <c r="A5711" t="str">
        <f>"20190303153921950"</f>
        <v>20190303153921950</v>
      </c>
      <c r="B5711" t="str">
        <f>"1551598761943865"</f>
        <v>1551598761943865</v>
      </c>
      <c r="C5711" t="s">
        <v>40</v>
      </c>
      <c r="D5711">
        <v>4.5630369999999996</v>
      </c>
      <c r="E5711">
        <v>0.49657040000000002</v>
      </c>
      <c r="F5711" t="s">
        <v>42</v>
      </c>
      <c r="G5711">
        <v>-336.97149999999999</v>
      </c>
      <c r="H5711" s="1">
        <v>-1.7492319999999999E-6</v>
      </c>
      <c r="I5711">
        <v>140.8836</v>
      </c>
      <c r="J5711">
        <v>-232.33150000000001</v>
      </c>
      <c r="K5711">
        <v>1.120161</v>
      </c>
      <c r="L5711">
        <v>140.80629999999999</v>
      </c>
      <c r="M5711">
        <v>-0.99970559999999997</v>
      </c>
      <c r="N5711">
        <v>-1.037067E-2</v>
      </c>
      <c r="O5711">
        <v>2.1935929999999999E-2</v>
      </c>
      <c r="P5711">
        <v>-0.99687780000000004</v>
      </c>
      <c r="Q5711">
        <v>-7.8404050000000003E-2</v>
      </c>
      <c r="R5711">
        <v>9.3588649999999992E-3</v>
      </c>
      <c r="S5711">
        <v>-3.007034</v>
      </c>
      <c r="T5711">
        <v>-3.2099839999999998E-2</v>
      </c>
      <c r="U5711">
        <v>2.4108889999999998E-3</v>
      </c>
      <c r="V5711">
        <v>-1.257404E-2</v>
      </c>
      <c r="W5711">
        <v>-6.8050479999999997E-2</v>
      </c>
      <c r="X5711">
        <v>0.99760260000000001</v>
      </c>
      <c r="Y5711">
        <v>-2.113317E-2</v>
      </c>
      <c r="Z5711">
        <v>-2.290184E-4</v>
      </c>
      <c r="AA5711">
        <v>0.99977669999999996</v>
      </c>
      <c r="AB5711">
        <v>28</v>
      </c>
      <c r="AC5711">
        <v>-104.64</v>
      </c>
      <c r="AD5711">
        <v>-1.1201627492320001</v>
      </c>
      <c r="AE5711">
        <v>7.7300000000008098E-2</v>
      </c>
      <c r="AF5711">
        <v>-2.2179635680685701</v>
      </c>
      <c r="AG5711">
        <v>-1.1201627492320001</v>
      </c>
      <c r="AH5711">
        <v>104.604527220552</v>
      </c>
      <c r="AI5711">
        <v>90.613393376383996</v>
      </c>
      <c r="AJ5711">
        <v>91.214678903829395</v>
      </c>
      <c r="AK5711">
        <v>104.63403481663801</v>
      </c>
      <c r="AL5711">
        <v>93.902021035323301</v>
      </c>
      <c r="AM5711">
        <v>90.722132516135602</v>
      </c>
      <c r="AN5711">
        <v>0.999999960918455</v>
      </c>
    </row>
    <row r="5712" spans="1:40" x14ac:dyDescent="0.25">
      <c r="A5712" t="str">
        <f>"20190303153921972"</f>
        <v>20190303153921972</v>
      </c>
      <c r="B5712" t="str">
        <f>"1551598761964360"</f>
        <v>1551598761964360</v>
      </c>
      <c r="C5712" t="s">
        <v>40</v>
      </c>
      <c r="D5712">
        <v>4.590795</v>
      </c>
      <c r="E5712">
        <v>0.49643870000000001</v>
      </c>
      <c r="F5712" t="s">
        <v>42</v>
      </c>
      <c r="G5712">
        <v>-337.26080000000002</v>
      </c>
      <c r="H5712" s="1">
        <v>-1.566431E-6</v>
      </c>
      <c r="I5712">
        <v>140.7105</v>
      </c>
      <c r="J5712">
        <v>-232.6052</v>
      </c>
      <c r="K5712">
        <v>1.120155</v>
      </c>
      <c r="L5712">
        <v>140.81280000000001</v>
      </c>
      <c r="M5712">
        <v>-0.99969719999999995</v>
      </c>
      <c r="N5712">
        <v>-1.0199359999999999E-2</v>
      </c>
      <c r="O5712">
        <v>2.239404E-2</v>
      </c>
      <c r="P5712">
        <v>-0.99692639999999999</v>
      </c>
      <c r="Q5712">
        <v>-7.7845429999999993E-2</v>
      </c>
      <c r="R5712">
        <v>8.8359559999999903E-3</v>
      </c>
      <c r="S5712">
        <v>-3.0068969999999999</v>
      </c>
      <c r="T5712">
        <v>-3.2099839999999998E-2</v>
      </c>
      <c r="U5712">
        <v>-2.746582E-3</v>
      </c>
      <c r="V5712">
        <v>-1.355289E-2</v>
      </c>
      <c r="W5712">
        <v>-6.7661899999999997E-2</v>
      </c>
      <c r="X5712">
        <v>0.99761619999999995</v>
      </c>
      <c r="Y5712">
        <v>-2.3305800000000002E-2</v>
      </c>
      <c r="Z5712">
        <v>-2.5387769999999998E-4</v>
      </c>
      <c r="AA5712">
        <v>0.99972830000000001</v>
      </c>
      <c r="AB5712">
        <v>28</v>
      </c>
      <c r="AC5712">
        <v>-104.65560000000001</v>
      </c>
      <c r="AD5712">
        <v>-1.120156566431</v>
      </c>
      <c r="AE5712">
        <v>-0.10230000000001301</v>
      </c>
      <c r="AF5712">
        <v>-2.445777745484</v>
      </c>
      <c r="AG5712">
        <v>-1.120156566431</v>
      </c>
      <c r="AH5712">
        <v>104.615076244148</v>
      </c>
      <c r="AI5712">
        <v>90.613298418444003</v>
      </c>
      <c r="AJ5712">
        <v>91.339264139354896</v>
      </c>
      <c r="AK5712">
        <v>104.649657223913</v>
      </c>
      <c r="AL5712">
        <v>93.879705655864498</v>
      </c>
      <c r="AM5712">
        <v>90.778331016333198</v>
      </c>
      <c r="AN5712">
        <v>0.99999994802069903</v>
      </c>
    </row>
    <row r="5713" spans="1:40" x14ac:dyDescent="0.25">
      <c r="A5713" t="str">
        <f>"20190303153921994"</f>
        <v>20190303153921994</v>
      </c>
      <c r="B5713" t="str">
        <f>"1551598761983880"</f>
        <v>1551598761983880</v>
      </c>
      <c r="C5713" t="s">
        <v>40</v>
      </c>
      <c r="D5713">
        <v>4.56759</v>
      </c>
      <c r="E5713">
        <v>0.4963284</v>
      </c>
      <c r="F5713" t="s">
        <v>42</v>
      </c>
      <c r="G5713">
        <v>-339.16669999999999</v>
      </c>
      <c r="H5713" s="1">
        <v>-6.4133909999999996E-7</v>
      </c>
      <c r="I5713">
        <v>140.61969999999999</v>
      </c>
      <c r="J5713">
        <v>-232.89580000000001</v>
      </c>
      <c r="K5713">
        <v>1.1201490000000001</v>
      </c>
      <c r="L5713">
        <v>140.81979999999999</v>
      </c>
      <c r="M5713">
        <v>-0.99968869999999999</v>
      </c>
      <c r="N5713">
        <v>-1.0009580000000001E-2</v>
      </c>
      <c r="O5713">
        <v>2.2860109999999999E-2</v>
      </c>
      <c r="P5713">
        <v>-0.99692170000000002</v>
      </c>
      <c r="Q5713">
        <v>-7.7905470000000004E-2</v>
      </c>
      <c r="R5713">
        <v>8.8518169999999997E-3</v>
      </c>
      <c r="S5713">
        <v>-3.006821</v>
      </c>
      <c r="T5713">
        <v>-3.1607150000000001E-2</v>
      </c>
      <c r="U5713">
        <v>-5.4473880000000001E-3</v>
      </c>
      <c r="V5713">
        <v>-1.3999330000000001E-2</v>
      </c>
      <c r="W5713">
        <v>-6.7911410000000005E-2</v>
      </c>
      <c r="X5713">
        <v>0.99759310000000001</v>
      </c>
      <c r="Y5713">
        <v>-2.4669759999999999E-2</v>
      </c>
      <c r="Z5713">
        <v>-2.6457599999999998E-4</v>
      </c>
      <c r="AA5713">
        <v>0.99969560000000002</v>
      </c>
      <c r="AB5713">
        <v>28</v>
      </c>
      <c r="AC5713">
        <v>-106.270899999999</v>
      </c>
      <c r="AD5713">
        <v>-1.1201496413391001</v>
      </c>
      <c r="AE5713">
        <v>-0.20009999999999101</v>
      </c>
      <c r="AF5713">
        <v>-2.6292414314751098</v>
      </c>
      <c r="AG5713">
        <v>-1.1201496413391001</v>
      </c>
      <c r="AH5713">
        <v>106.22674928673</v>
      </c>
      <c r="AI5713">
        <v>90.603970476683998</v>
      </c>
      <c r="AJ5713">
        <v>91.417850841899195</v>
      </c>
      <c r="AK5713">
        <v>106.265186725238</v>
      </c>
      <c r="AL5713">
        <v>93.894034411153001</v>
      </c>
      <c r="AM5713">
        <v>90.803984990537003</v>
      </c>
      <c r="AN5713">
        <v>0.99999996700812299</v>
      </c>
    </row>
    <row r="5714" spans="1:40" x14ac:dyDescent="0.25">
      <c r="A5714" t="str">
        <f>"20190303153922017"</f>
        <v>20190303153922017</v>
      </c>
      <c r="B5714" t="str">
        <f>"1551598762004377"</f>
        <v>1551598762004377</v>
      </c>
      <c r="C5714" t="s">
        <v>40</v>
      </c>
      <c r="D5714">
        <v>4.5594049999999999</v>
      </c>
      <c r="E5714">
        <v>0.49627539999999998</v>
      </c>
      <c r="F5714" t="s">
        <v>42</v>
      </c>
      <c r="G5714">
        <v>-335.03230000000002</v>
      </c>
      <c r="H5714" s="1">
        <v>-2.592002E-6</v>
      </c>
      <c r="I5714">
        <v>140.60570000000001</v>
      </c>
      <c r="J5714">
        <v>-233.17420000000001</v>
      </c>
      <c r="K5714">
        <v>1.120133</v>
      </c>
      <c r="L5714">
        <v>140.82660000000001</v>
      </c>
      <c r="M5714">
        <v>-0.99968109999999999</v>
      </c>
      <c r="N5714">
        <v>-9.7941350000000007E-3</v>
      </c>
      <c r="O5714">
        <v>2.3279040000000001E-2</v>
      </c>
      <c r="P5714">
        <v>-0.99690769999999995</v>
      </c>
      <c r="Q5714">
        <v>-7.8074350000000001E-2</v>
      </c>
      <c r="R5714">
        <v>8.9215419999999993E-3</v>
      </c>
      <c r="S5714">
        <v>-3.0067439999999999</v>
      </c>
      <c r="T5714">
        <v>-3.2975549999999999E-2</v>
      </c>
      <c r="U5714">
        <v>-6.3018800000000002E-3</v>
      </c>
      <c r="V5714">
        <v>-1.4344310000000001E-2</v>
      </c>
      <c r="W5714">
        <v>-6.8295729999999999E-2</v>
      </c>
      <c r="X5714">
        <v>0.99756199999999995</v>
      </c>
      <c r="Y5714">
        <v>-2.5372539999999999E-2</v>
      </c>
      <c r="Z5714">
        <v>-2.9065519999999997E-4</v>
      </c>
      <c r="AA5714">
        <v>0.99967799999999996</v>
      </c>
      <c r="AB5714">
        <v>28</v>
      </c>
      <c r="AC5714">
        <v>-101.85809999999999</v>
      </c>
      <c r="AD5714">
        <v>-1.120135592002</v>
      </c>
      <c r="AE5714">
        <v>-0.22090000000000001</v>
      </c>
      <c r="AF5714">
        <v>-2.5917990480832902</v>
      </c>
      <c r="AG5714">
        <v>-1.120135592002</v>
      </c>
      <c r="AH5714">
        <v>101.81303923250999</v>
      </c>
      <c r="AI5714">
        <v>90.6301321593117</v>
      </c>
      <c r="AJ5714">
        <v>91.458232491945594</v>
      </c>
      <c r="AK5714">
        <v>101.852182518641</v>
      </c>
      <c r="AL5714">
        <v>93.916105420930194</v>
      </c>
      <c r="AM5714">
        <v>90.823820258976795</v>
      </c>
      <c r="AN5714">
        <v>1.0000000049047999</v>
      </c>
    </row>
    <row r="5715" spans="1:40" x14ac:dyDescent="0.25">
      <c r="A5715" t="str">
        <f>"20190303153922039"</f>
        <v>20190303153922039</v>
      </c>
      <c r="B5715" t="str">
        <f>"1551598762034164"</f>
        <v>1551598762034164</v>
      </c>
      <c r="C5715" t="s">
        <v>40</v>
      </c>
      <c r="D5715">
        <v>4.5434599999999996</v>
      </c>
      <c r="E5715">
        <v>0.49608289999999999</v>
      </c>
      <c r="F5715" t="s">
        <v>42</v>
      </c>
      <c r="G5715">
        <v>-330.6619</v>
      </c>
      <c r="H5715" s="1">
        <v>-4.6340489999999999E-6</v>
      </c>
      <c r="I5715">
        <v>140.6138</v>
      </c>
      <c r="J5715">
        <v>-233.4502</v>
      </c>
      <c r="K5715">
        <v>1.1201110000000001</v>
      </c>
      <c r="L5715">
        <v>140.83340000000001</v>
      </c>
      <c r="M5715">
        <v>-0.99967490000000003</v>
      </c>
      <c r="N5715">
        <v>-9.5203019999999996E-3</v>
      </c>
      <c r="O5715">
        <v>2.365565E-2</v>
      </c>
      <c r="P5715">
        <v>-0.99692369999999997</v>
      </c>
      <c r="Q5715">
        <v>-7.7874730000000003E-2</v>
      </c>
      <c r="R5715">
        <v>8.8853159999999903E-3</v>
      </c>
      <c r="S5715">
        <v>-3.0066380000000001</v>
      </c>
      <c r="T5715">
        <v>-3.4546380000000002E-2</v>
      </c>
      <c r="U5715">
        <v>-6.5612789999999997E-3</v>
      </c>
      <c r="V5715">
        <v>-1.475284E-2</v>
      </c>
      <c r="W5715">
        <v>-6.8369719999999995E-2</v>
      </c>
      <c r="X5715">
        <v>0.99755099999999997</v>
      </c>
      <c r="Y5715">
        <v>-2.5835150000000001E-2</v>
      </c>
      <c r="Z5715">
        <v>-3.179589E-4</v>
      </c>
      <c r="AA5715">
        <v>0.99966619999999995</v>
      </c>
      <c r="AB5715">
        <v>28</v>
      </c>
      <c r="AC5715">
        <v>-97.211699999999993</v>
      </c>
      <c r="AD5715">
        <v>-1.1201156340489999</v>
      </c>
      <c r="AE5715">
        <v>-0.21960000000001301</v>
      </c>
      <c r="AF5715">
        <v>-2.51891413762042</v>
      </c>
      <c r="AG5715">
        <v>-1.1201156340489999</v>
      </c>
      <c r="AH5715">
        <v>97.166398997746299</v>
      </c>
      <c r="AI5715">
        <v>90.660243717071296</v>
      </c>
      <c r="AJ5715">
        <v>91.484986922389794</v>
      </c>
      <c r="AK5715">
        <v>97.205497178171797</v>
      </c>
      <c r="AL5715">
        <v>93.920354564431094</v>
      </c>
      <c r="AM5715">
        <v>90.847288861178797</v>
      </c>
      <c r="AN5715">
        <v>1.00000003125097</v>
      </c>
    </row>
    <row r="5716" spans="1:40" x14ac:dyDescent="0.25">
      <c r="A5716" t="str">
        <f>"20190303153922062"</f>
        <v>20190303153922062</v>
      </c>
      <c r="B5716" t="str">
        <f>"1551598762054660"</f>
        <v>1551598762054660</v>
      </c>
      <c r="C5716" t="s">
        <v>40</v>
      </c>
      <c r="D5716">
        <v>4.5208969999999997</v>
      </c>
      <c r="E5716">
        <v>0.49586980000000003</v>
      </c>
      <c r="F5716" t="s">
        <v>42</v>
      </c>
      <c r="G5716">
        <v>-326.90969999999999</v>
      </c>
      <c r="H5716" s="1">
        <v>-1.563563E-6</v>
      </c>
      <c r="I5716">
        <v>140.57669999999999</v>
      </c>
      <c r="J5716">
        <v>-233.75720000000001</v>
      </c>
      <c r="K5716">
        <v>1.120074</v>
      </c>
      <c r="L5716">
        <v>140.84110000000001</v>
      </c>
      <c r="M5716">
        <v>-0.99966999999999995</v>
      </c>
      <c r="N5716">
        <v>-9.1234239999999998E-3</v>
      </c>
      <c r="O5716">
        <v>2.4018830000000001E-2</v>
      </c>
      <c r="P5716">
        <v>-0.99699660000000001</v>
      </c>
      <c r="Q5716">
        <v>-7.6955389999999999E-2</v>
      </c>
      <c r="R5716">
        <v>8.7230350000000005E-3</v>
      </c>
      <c r="S5716">
        <v>-3.0065309999999998</v>
      </c>
      <c r="T5716">
        <v>-3.6033269999999999E-2</v>
      </c>
      <c r="U5716">
        <v>-8.2550049999999993E-3</v>
      </c>
      <c r="V5716">
        <v>-1.5272340000000001E-2</v>
      </c>
      <c r="W5716">
        <v>-6.7846630000000005E-2</v>
      </c>
      <c r="X5716">
        <v>0.99757890000000005</v>
      </c>
      <c r="Y5716">
        <v>-2.6761150000000001E-2</v>
      </c>
      <c r="Z5716">
        <v>-3.5113339999999997E-4</v>
      </c>
      <c r="AA5716">
        <v>0.99964180000000002</v>
      </c>
      <c r="AB5716">
        <v>28</v>
      </c>
      <c r="AC5716">
        <v>-93.152499999999904</v>
      </c>
      <c r="AD5716">
        <v>-1.120075563563</v>
      </c>
      <c r="AE5716">
        <v>-0.26440000000002301</v>
      </c>
      <c r="AF5716">
        <v>-2.5014689640197498</v>
      </c>
      <c r="AG5716">
        <v>-1.120075563563</v>
      </c>
      <c r="AH5716">
        <v>93.1058119675684</v>
      </c>
      <c r="AI5716">
        <v>90.688994160209504</v>
      </c>
      <c r="AJ5716">
        <v>91.538992474145005</v>
      </c>
      <c r="AK5716">
        <v>93.146143980232694</v>
      </c>
      <c r="AL5716">
        <v>93.890313942566806</v>
      </c>
      <c r="AM5716">
        <v>90.877095808167397</v>
      </c>
      <c r="AN5716">
        <v>1.0000000356483201</v>
      </c>
    </row>
    <row r="5717" spans="1:40" x14ac:dyDescent="0.25">
      <c r="A5717" t="str">
        <f>"20190303153922083"</f>
        <v>20190303153922083</v>
      </c>
      <c r="B5717" t="str">
        <f>"1551598762074179"</f>
        <v>1551598762074179</v>
      </c>
      <c r="C5717" t="s">
        <v>40</v>
      </c>
      <c r="D5717">
        <v>4.5393189999999999</v>
      </c>
      <c r="E5717">
        <v>0.46808169999999999</v>
      </c>
      <c r="F5717" t="s">
        <v>42</v>
      </c>
      <c r="G5717">
        <v>-333.46140000000003</v>
      </c>
      <c r="H5717" s="1">
        <v>-3.3034590000000001E-6</v>
      </c>
      <c r="I5717">
        <v>140.4889</v>
      </c>
      <c r="J5717">
        <v>-234.03129999999999</v>
      </c>
      <c r="K5717">
        <v>1.120028</v>
      </c>
      <c r="L5717">
        <v>140.84790000000001</v>
      </c>
      <c r="M5717">
        <v>-0.99966730000000004</v>
      </c>
      <c r="N5717">
        <v>-8.6756839999999995E-3</v>
      </c>
      <c r="O5717">
        <v>2.4287619999999999E-2</v>
      </c>
      <c r="P5717">
        <v>-0.99715719999999997</v>
      </c>
      <c r="Q5717">
        <v>-7.489469E-2</v>
      </c>
      <c r="R5717">
        <v>8.2753519999999997E-3</v>
      </c>
      <c r="S5717">
        <v>-3.006516</v>
      </c>
      <c r="T5717">
        <v>-3.377521E-2</v>
      </c>
      <c r="U5717">
        <v>-1.062012E-2</v>
      </c>
      <c r="V5717">
        <v>-1.5985220000000001E-2</v>
      </c>
      <c r="W5717">
        <v>-6.6232330000000006E-2</v>
      </c>
      <c r="X5717">
        <v>0.99767620000000001</v>
      </c>
      <c r="Y5717">
        <v>-2.7816509999999999E-2</v>
      </c>
      <c r="Z5717">
        <v>-3.3900679999999999E-4</v>
      </c>
      <c r="AA5717">
        <v>0.99961299999999997</v>
      </c>
      <c r="AB5717">
        <v>28</v>
      </c>
      <c r="AC5717">
        <v>-99.430099999999996</v>
      </c>
      <c r="AD5717">
        <v>-1.1200313034589999</v>
      </c>
      <c r="AE5717">
        <v>-0.35900000000000798</v>
      </c>
      <c r="AF5717">
        <v>-2.7735536960714802</v>
      </c>
      <c r="AG5717">
        <v>-1.1200313034589999</v>
      </c>
      <c r="AH5717">
        <v>99.379437531677397</v>
      </c>
      <c r="AI5717">
        <v>90.645459231880807</v>
      </c>
      <c r="AJ5717">
        <v>91.598637357154104</v>
      </c>
      <c r="AK5717">
        <v>99.424442036846699</v>
      </c>
      <c r="AL5717">
        <v>93.797612853932094</v>
      </c>
      <c r="AM5717">
        <v>90.917940387448695</v>
      </c>
      <c r="AN5717">
        <v>1.0000000244210501</v>
      </c>
    </row>
    <row r="5718" spans="1:40" x14ac:dyDescent="0.25">
      <c r="A5718" t="str">
        <f>"20190303153922106"</f>
        <v>20190303153922106</v>
      </c>
      <c r="B5718" t="str">
        <f>"1551598762094676"</f>
        <v>1551598762094676</v>
      </c>
      <c r="C5718" t="s">
        <v>40</v>
      </c>
      <c r="D5718">
        <v>4.4624059999999997</v>
      </c>
      <c r="E5718">
        <v>0.45560020000000001</v>
      </c>
      <c r="F5718" t="s">
        <v>68</v>
      </c>
      <c r="G5718">
        <v>-280.55439999999999</v>
      </c>
      <c r="H5718" s="1">
        <v>-2.8873019999999999E-6</v>
      </c>
      <c r="I5718">
        <v>137.2414</v>
      </c>
      <c r="J5718">
        <v>-234.31899999999999</v>
      </c>
      <c r="K5718">
        <v>1.1199779999999999</v>
      </c>
      <c r="L5718">
        <v>140.85509999999999</v>
      </c>
      <c r="M5718">
        <v>-0.99966679999999997</v>
      </c>
      <c r="N5718">
        <v>-8.1159449999999994E-3</v>
      </c>
      <c r="O5718">
        <v>2.451163E-2</v>
      </c>
      <c r="P5718">
        <v>-0.99728320000000004</v>
      </c>
      <c r="Q5718">
        <v>-7.3283009999999996E-2</v>
      </c>
      <c r="R5718">
        <v>7.5027779999999999E-3</v>
      </c>
      <c r="S5718">
        <v>-3.0050349999999999</v>
      </c>
      <c r="T5718">
        <v>-7.2345499999999993E-2</v>
      </c>
      <c r="U5718">
        <v>-0.23295589999999999</v>
      </c>
      <c r="V5718">
        <v>-1.6976850000000002E-2</v>
      </c>
      <c r="W5718">
        <v>-6.5179420000000002E-2</v>
      </c>
      <c r="X5718">
        <v>0.99772910000000004</v>
      </c>
      <c r="Y5718">
        <v>-0.1016635</v>
      </c>
      <c r="Z5718">
        <v>-2.025654E-3</v>
      </c>
      <c r="AA5718">
        <v>0.99481679999999995</v>
      </c>
      <c r="AB5718">
        <v>29</v>
      </c>
      <c r="AC5718">
        <v>-46.235399999999899</v>
      </c>
      <c r="AD5718">
        <v>-1.1199808873019901</v>
      </c>
      <c r="AE5718">
        <v>-3.6136999999999899</v>
      </c>
      <c r="AF5718">
        <v>-4.7431900027519802</v>
      </c>
      <c r="AG5718">
        <v>-1.1199808873019901</v>
      </c>
      <c r="AH5718">
        <v>46.106037218980902</v>
      </c>
      <c r="AI5718">
        <v>91.3842191720736</v>
      </c>
      <c r="AJ5718">
        <v>95.873679348404906</v>
      </c>
      <c r="AK5718">
        <v>46.362904100457101</v>
      </c>
      <c r="AL5718">
        <v>93.737155133399597</v>
      </c>
      <c r="AM5718">
        <v>90.974821718916203</v>
      </c>
      <c r="AN5718">
        <v>0.99999996360713295</v>
      </c>
    </row>
    <row r="5719" spans="1:40" x14ac:dyDescent="0.25">
      <c r="A5719" t="str">
        <f>"20190303153922126"</f>
        <v>20190303153922126</v>
      </c>
      <c r="B5719" t="str">
        <f>"1551598762123956"</f>
        <v>1551598762123956</v>
      </c>
      <c r="C5719" t="s">
        <v>40</v>
      </c>
      <c r="D5719">
        <v>4.3932630000000001</v>
      </c>
      <c r="E5719">
        <v>0.45063740000000002</v>
      </c>
      <c r="F5719" t="s">
        <v>68</v>
      </c>
      <c r="G5719">
        <v>-281.28320000000002</v>
      </c>
      <c r="H5719" s="1">
        <v>-2.5864360000000001E-6</v>
      </c>
      <c r="I5719">
        <v>135.62350000000001</v>
      </c>
      <c r="J5719">
        <v>-234.5848</v>
      </c>
      <c r="K5719">
        <v>1.1199170000000001</v>
      </c>
      <c r="L5719">
        <v>140.86179999999999</v>
      </c>
      <c r="M5719">
        <v>-0.99966730000000004</v>
      </c>
      <c r="N5719">
        <v>-7.5357549999999999E-3</v>
      </c>
      <c r="O5719">
        <v>2.4665360000000001E-2</v>
      </c>
      <c r="P5719">
        <v>-0.99741809999999997</v>
      </c>
      <c r="Q5719">
        <v>-7.1483030000000003E-2</v>
      </c>
      <c r="R5719">
        <v>6.8737549999999996E-3</v>
      </c>
      <c r="S5719">
        <v>-3.0054319999999999</v>
      </c>
      <c r="T5719">
        <v>-7.1672079999999999E-2</v>
      </c>
      <c r="U5719">
        <v>-0.33479309999999901</v>
      </c>
      <c r="V5719">
        <v>-1.775564E-2</v>
      </c>
      <c r="W5719">
        <v>-6.3958790000000001E-2</v>
      </c>
      <c r="X5719">
        <v>0.99779459999999998</v>
      </c>
      <c r="Y5719">
        <v>-0.1351386</v>
      </c>
      <c r="Z5719">
        <v>-2.518256E-3</v>
      </c>
      <c r="AA5719">
        <v>0.99082349999999997</v>
      </c>
      <c r="AB5719">
        <v>29</v>
      </c>
      <c r="AC5719">
        <v>-46.698399999999999</v>
      </c>
      <c r="AD5719">
        <v>-1.1199195864360001</v>
      </c>
      <c r="AE5719">
        <v>-5.2382999999999802</v>
      </c>
      <c r="AF5719">
        <v>-6.3849452801363702</v>
      </c>
      <c r="AG5719">
        <v>-1.1199195864360001</v>
      </c>
      <c r="AH5719">
        <v>46.5285559520986</v>
      </c>
      <c r="AI5719">
        <v>91.366018271358897</v>
      </c>
      <c r="AJ5719">
        <v>97.813689545760099</v>
      </c>
      <c r="AK5719">
        <v>46.977955097023802</v>
      </c>
      <c r="AL5719">
        <v>93.6670717005168</v>
      </c>
      <c r="AM5719">
        <v>91.019464200142494</v>
      </c>
      <c r="AN5719">
        <v>1.0000000266796101</v>
      </c>
    </row>
    <row r="5720" spans="1:40" x14ac:dyDescent="0.25">
      <c r="A5720" t="str">
        <f>"20190303153922151"</f>
        <v>20190303153922151</v>
      </c>
      <c r="B5720" t="str">
        <f>"1551598762143983"</f>
        <v>1551598762143983</v>
      </c>
      <c r="C5720" t="s">
        <v>40</v>
      </c>
      <c r="D5720">
        <v>4.3596510000000004</v>
      </c>
      <c r="E5720">
        <v>0.44920019999999999</v>
      </c>
      <c r="F5720" t="s">
        <v>68</v>
      </c>
      <c r="G5720">
        <v>-288.54300000000001</v>
      </c>
      <c r="H5720" s="1">
        <v>-6.1208540000000001E-6</v>
      </c>
      <c r="I5720">
        <v>134.10509999999999</v>
      </c>
      <c r="J5720">
        <v>-234.89500000000001</v>
      </c>
      <c r="K5720">
        <v>1.1198459999999999</v>
      </c>
      <c r="L5720">
        <v>140.86959999999999</v>
      </c>
      <c r="M5720">
        <v>-0.99966960000000005</v>
      </c>
      <c r="N5720">
        <v>-6.8233599999999997E-3</v>
      </c>
      <c r="O5720">
        <v>2.4786550000000001E-2</v>
      </c>
      <c r="P5720">
        <v>-0.99751420000000002</v>
      </c>
      <c r="Q5720">
        <v>-7.0203860000000007E-2</v>
      </c>
      <c r="R5720">
        <v>6.0981749999999999E-3</v>
      </c>
      <c r="S5720">
        <v>-3.00589</v>
      </c>
      <c r="T5720">
        <v>-6.238842E-2</v>
      </c>
      <c r="U5720">
        <v>-0.37640380000000001</v>
      </c>
      <c r="V5720">
        <v>-1.864793E-2</v>
      </c>
      <c r="W5720">
        <v>-6.3391450000000002E-2</v>
      </c>
      <c r="X5720">
        <v>0.99781450000000005</v>
      </c>
      <c r="Y5720">
        <v>-0.14876410000000001</v>
      </c>
      <c r="Z5720">
        <v>-2.3913979999999999E-3</v>
      </c>
      <c r="AA5720">
        <v>0.98886980000000002</v>
      </c>
      <c r="AB5720">
        <v>29</v>
      </c>
      <c r="AC5720">
        <v>-53.648000000000003</v>
      </c>
      <c r="AD5720">
        <v>-1.119852120854</v>
      </c>
      <c r="AE5720">
        <v>-6.7644999999999902</v>
      </c>
      <c r="AF5720">
        <v>-8.0887319328077094</v>
      </c>
      <c r="AG5720">
        <v>-1.119852120854</v>
      </c>
      <c r="AH5720">
        <v>53.440923037882897</v>
      </c>
      <c r="AI5720">
        <v>91.186939681894401</v>
      </c>
      <c r="AJ5720">
        <v>98.606867628004494</v>
      </c>
      <c r="AK5720">
        <v>54.061205204789204</v>
      </c>
      <c r="AL5720">
        <v>93.634499515216206</v>
      </c>
      <c r="AM5720">
        <v>91.070663253915498</v>
      </c>
      <c r="AN5720">
        <v>0.99999999881831803</v>
      </c>
    </row>
    <row r="5721" spans="1:40" x14ac:dyDescent="0.25">
      <c r="A5721" t="str">
        <f>"20190303153922173"</f>
        <v>20190303153922173</v>
      </c>
      <c r="B5721" t="str">
        <f>"1551598762164478"</f>
        <v>1551598762164478</v>
      </c>
      <c r="C5721" t="s">
        <v>40</v>
      </c>
      <c r="D5721">
        <v>4.3423489999999996</v>
      </c>
      <c r="E5721">
        <v>0.44840029999999997</v>
      </c>
      <c r="F5721" t="s">
        <v>68</v>
      </c>
      <c r="G5721">
        <v>-292.90539999999999</v>
      </c>
      <c r="H5721" s="1">
        <v>-6.4741639999999996E-6</v>
      </c>
      <c r="I5721">
        <v>133.3372</v>
      </c>
      <c r="J5721">
        <v>-235.1831</v>
      </c>
      <c r="K5721">
        <v>1.119777</v>
      </c>
      <c r="L5721">
        <v>140.8768</v>
      </c>
      <c r="M5721">
        <v>-0.99967229999999996</v>
      </c>
      <c r="N5721">
        <v>-6.1629819999999896E-3</v>
      </c>
      <c r="O5721">
        <v>2.4851370000000001E-2</v>
      </c>
      <c r="P5721">
        <v>-0.99758570000000002</v>
      </c>
      <c r="Q5721">
        <v>-6.926504E-2</v>
      </c>
      <c r="R5721">
        <v>5.0439919999999997E-3</v>
      </c>
      <c r="S5721">
        <v>-3.0057680000000002</v>
      </c>
      <c r="T5721">
        <v>-5.8024289999999999E-2</v>
      </c>
      <c r="U5721">
        <v>-0.39028930000000001</v>
      </c>
      <c r="V5721">
        <v>-1.9763050000000001E-2</v>
      </c>
      <c r="W5721">
        <v>-6.3112489999999993E-2</v>
      </c>
      <c r="X5721">
        <v>0.99781070000000005</v>
      </c>
      <c r="Y5721">
        <v>-0.15333169999999999</v>
      </c>
      <c r="Z5721">
        <v>-2.2735709999999998E-3</v>
      </c>
      <c r="AA5721">
        <v>0.98817219999999995</v>
      </c>
      <c r="AB5721">
        <v>29</v>
      </c>
      <c r="AC5721">
        <v>-57.722299999999898</v>
      </c>
      <c r="AD5721">
        <v>-1.119783474164</v>
      </c>
      <c r="AE5721">
        <v>-7.5396000000000001</v>
      </c>
      <c r="AF5721">
        <v>-8.9684580619424494</v>
      </c>
      <c r="AG5721">
        <v>-1.119783474164</v>
      </c>
      <c r="AH5721">
        <v>57.4958242539848</v>
      </c>
      <c r="AI5721">
        <v>91.1024187476864</v>
      </c>
      <c r="AJ5721">
        <v>98.865809702057504</v>
      </c>
      <c r="AK5721">
        <v>58.201863902137603</v>
      </c>
      <c r="AL5721">
        <v>93.618484287863893</v>
      </c>
      <c r="AM5721">
        <v>91.134675465179797</v>
      </c>
      <c r="AN5721">
        <v>0.99999997878689595</v>
      </c>
    </row>
    <row r="5722" spans="1:40" x14ac:dyDescent="0.25">
      <c r="A5722" t="str">
        <f>"20190303153922195"</f>
        <v>20190303153922195</v>
      </c>
      <c r="B5722" t="str">
        <f>"1551598762183999"</f>
        <v>1551598762183999</v>
      </c>
      <c r="C5722" t="s">
        <v>40</v>
      </c>
      <c r="D5722">
        <v>4.3271179999999996</v>
      </c>
      <c r="E5722">
        <v>0.4477893</v>
      </c>
      <c r="F5722" t="s">
        <v>68</v>
      </c>
      <c r="G5722">
        <v>-296.55880000000002</v>
      </c>
      <c r="H5722" s="1">
        <v>-6.0382689999999996E-6</v>
      </c>
      <c r="I5722">
        <v>132.70939999999999</v>
      </c>
      <c r="J5722">
        <v>-235.48099999999999</v>
      </c>
      <c r="K5722">
        <v>1.119715</v>
      </c>
      <c r="L5722">
        <v>140.8843</v>
      </c>
      <c r="M5722">
        <v>-0.99967519999999999</v>
      </c>
      <c r="N5722">
        <v>-5.509005E-3</v>
      </c>
      <c r="O5722">
        <v>2.4886999999999999E-2</v>
      </c>
      <c r="P5722">
        <v>-0.99766049999999995</v>
      </c>
      <c r="Q5722">
        <v>-6.823622E-2</v>
      </c>
      <c r="R5722">
        <v>4.187695E-3</v>
      </c>
      <c r="S5722">
        <v>-3.0054780000000001</v>
      </c>
      <c r="T5722">
        <v>-5.4834130000000002E-2</v>
      </c>
      <c r="U5722">
        <v>-0.39994809999999997</v>
      </c>
      <c r="V5722">
        <v>-2.0652790000000001E-2</v>
      </c>
      <c r="W5722">
        <v>-6.2736970000000003E-2</v>
      </c>
      <c r="X5722">
        <v>0.99781640000000005</v>
      </c>
      <c r="Y5722">
        <v>-0.156503799999999</v>
      </c>
      <c r="Z5722">
        <v>-2.1700640000000002E-3</v>
      </c>
      <c r="AA5722">
        <v>0.98767499999999997</v>
      </c>
      <c r="AB5722">
        <v>29</v>
      </c>
      <c r="AC5722">
        <v>-61.077800000000003</v>
      </c>
      <c r="AD5722">
        <v>-1.1197210382689999</v>
      </c>
      <c r="AE5722">
        <v>-8.1748999999999992</v>
      </c>
      <c r="AF5722">
        <v>-9.6892349021469499</v>
      </c>
      <c r="AG5722">
        <v>-1.1197210382689999</v>
      </c>
      <c r="AH5722">
        <v>60.8353438454659</v>
      </c>
      <c r="AI5722">
        <v>91.041331579200204</v>
      </c>
      <c r="AJ5722">
        <v>99.049480908547807</v>
      </c>
      <c r="AK5722">
        <v>61.612288619954597</v>
      </c>
      <c r="AL5722">
        <v>93.596925717000502</v>
      </c>
      <c r="AM5722">
        <v>91.185737942580701</v>
      </c>
      <c r="AN5722">
        <v>1.00000001662426</v>
      </c>
    </row>
    <row r="5723" spans="1:40" x14ac:dyDescent="0.25">
      <c r="A5723" t="str">
        <f>"20190303153922217"</f>
        <v>20190303153922217</v>
      </c>
      <c r="B5723" t="str">
        <f>"1551598762214255"</f>
        <v>1551598762214255</v>
      </c>
      <c r="C5723" t="s">
        <v>40</v>
      </c>
      <c r="D5723">
        <v>4.2863470000000001</v>
      </c>
      <c r="E5723">
        <v>0.44705509999999898</v>
      </c>
      <c r="F5723" t="s">
        <v>68</v>
      </c>
      <c r="G5723">
        <v>-300.86669999999998</v>
      </c>
      <c r="H5723" s="1">
        <v>-5.7490560000000002E-6</v>
      </c>
      <c r="I5723">
        <v>132.01390000000001</v>
      </c>
      <c r="J5723">
        <v>-235.77269999999999</v>
      </c>
      <c r="K5723">
        <v>1.119661</v>
      </c>
      <c r="L5723">
        <v>140.89160000000001</v>
      </c>
      <c r="M5723">
        <v>-0.99967799999999996</v>
      </c>
      <c r="N5723">
        <v>-4.9125640000000003E-3</v>
      </c>
      <c r="O5723">
        <v>2.490216E-2</v>
      </c>
      <c r="P5723">
        <v>-0.99761010000000006</v>
      </c>
      <c r="Q5723">
        <v>-6.9013329999999998E-2</v>
      </c>
      <c r="R5723">
        <v>3.4284239999999998E-3</v>
      </c>
      <c r="S5723">
        <v>-3.0052490000000001</v>
      </c>
      <c r="T5723">
        <v>-5.146444E-2</v>
      </c>
      <c r="U5723">
        <v>-0.4076996</v>
      </c>
      <c r="V5723">
        <v>-2.142266E-2</v>
      </c>
      <c r="W5723">
        <v>-6.411029E-2</v>
      </c>
      <c r="X5723">
        <v>0.99771290000000001</v>
      </c>
      <c r="Y5723">
        <v>-0.15903439999999999</v>
      </c>
      <c r="Z5723">
        <v>-2.0507559999999999E-3</v>
      </c>
      <c r="AA5723">
        <v>0.98727089999999995</v>
      </c>
      <c r="AB5723">
        <v>30</v>
      </c>
      <c r="AC5723">
        <v>-65.093999999999994</v>
      </c>
      <c r="AD5723">
        <v>-1.1196667490559999</v>
      </c>
      <c r="AE5723">
        <v>-8.8777000000000008</v>
      </c>
      <c r="AF5723">
        <v>-10.4928995682028</v>
      </c>
      <c r="AG5723">
        <v>-1.1196667490559999</v>
      </c>
      <c r="AH5723">
        <v>64.833904993324296</v>
      </c>
      <c r="AI5723">
        <v>90.976680738693801</v>
      </c>
      <c r="AJ5723">
        <v>99.193195394761105</v>
      </c>
      <c r="AK5723">
        <v>65.687059849415803</v>
      </c>
      <c r="AL5723">
        <v>93.675769793973203</v>
      </c>
      <c r="AM5723">
        <v>91.230052679753101</v>
      </c>
      <c r="AN5723">
        <v>1.0000000452358799</v>
      </c>
    </row>
    <row r="5724" spans="1:40" x14ac:dyDescent="0.25">
      <c r="A5724" t="str">
        <f>"20190303153922237"</f>
        <v>20190303153922237</v>
      </c>
      <c r="B5724" t="str">
        <f>"1551598762234751"</f>
        <v>1551598762234751</v>
      </c>
      <c r="C5724" t="s">
        <v>40</v>
      </c>
      <c r="D5724">
        <v>4.2935290000000004</v>
      </c>
      <c r="E5724">
        <v>0.4466136</v>
      </c>
      <c r="F5724" t="s">
        <v>68</v>
      </c>
      <c r="G5724">
        <v>-299.94720000000001</v>
      </c>
      <c r="H5724" s="1">
        <v>-5.6184390000000003E-6</v>
      </c>
      <c r="I5724">
        <v>132.01169999999999</v>
      </c>
      <c r="J5724">
        <v>-236.05260000000001</v>
      </c>
      <c r="K5724">
        <v>1.119613</v>
      </c>
      <c r="L5724">
        <v>140.89859999999999</v>
      </c>
      <c r="M5724">
        <v>-0.99968020000000002</v>
      </c>
      <c r="N5724">
        <v>-4.388617E-3</v>
      </c>
      <c r="O5724">
        <v>2.4906480000000002E-2</v>
      </c>
      <c r="P5724">
        <v>-0.99764960000000003</v>
      </c>
      <c r="Q5724">
        <v>-6.8455050000000003E-2</v>
      </c>
      <c r="R5724">
        <v>3.0555420000000001E-3</v>
      </c>
      <c r="S5724">
        <v>-3.0049899999999998</v>
      </c>
      <c r="T5724">
        <v>-5.2428719999999998E-2</v>
      </c>
      <c r="U5724">
        <v>-0.415802</v>
      </c>
      <c r="V5724">
        <v>-2.1799499999999999E-2</v>
      </c>
      <c r="W5724">
        <v>-6.4075179999999995E-2</v>
      </c>
      <c r="X5724">
        <v>0.99770689999999995</v>
      </c>
      <c r="Y5724">
        <v>-0.16166129999999901</v>
      </c>
      <c r="Z5724">
        <v>-2.0837970000000001E-3</v>
      </c>
      <c r="AA5724">
        <v>0.9868441</v>
      </c>
      <c r="AB5724">
        <v>30</v>
      </c>
      <c r="AC5724">
        <v>-63.894599999999997</v>
      </c>
      <c r="AD5724">
        <v>-1.119618618439</v>
      </c>
      <c r="AE5724">
        <v>-8.88689999999999</v>
      </c>
      <c r="AF5724">
        <v>-10.4723933846655</v>
      </c>
      <c r="AG5724">
        <v>-1.119618618439</v>
      </c>
      <c r="AH5724">
        <v>63.634266855268997</v>
      </c>
      <c r="AI5724">
        <v>90.994615286466598</v>
      </c>
      <c r="AJ5724">
        <v>99.345488721871405</v>
      </c>
      <c r="AK5724">
        <v>64.499957265579098</v>
      </c>
      <c r="AL5724">
        <v>93.6737543354444</v>
      </c>
      <c r="AM5724">
        <v>91.2516908920323</v>
      </c>
      <c r="AN5724">
        <v>0.99999995259994501</v>
      </c>
    </row>
    <row r="5725" spans="1:40" x14ac:dyDescent="0.25">
      <c r="A5725" t="str">
        <f>"20190303153922262"</f>
        <v>20190303153922262</v>
      </c>
      <c r="B5725" t="str">
        <f>"1551598762254271"</f>
        <v>1551598762254271</v>
      </c>
      <c r="C5725" t="s">
        <v>40</v>
      </c>
      <c r="D5725">
        <v>4.2865909999999996</v>
      </c>
      <c r="E5725">
        <v>0.44610759999999999</v>
      </c>
      <c r="F5725" t="s">
        <v>68</v>
      </c>
      <c r="G5725">
        <v>-303.63510000000002</v>
      </c>
      <c r="H5725" s="1">
        <v>-5.987904E-6</v>
      </c>
      <c r="I5725">
        <v>131.44499999999999</v>
      </c>
      <c r="J5725">
        <v>-236.37450000000001</v>
      </c>
      <c r="K5725">
        <v>1.1195679999999999</v>
      </c>
      <c r="L5725">
        <v>140.9066</v>
      </c>
      <c r="M5725">
        <v>-0.99968239999999997</v>
      </c>
      <c r="N5725">
        <v>-3.8477899999999998E-3</v>
      </c>
      <c r="O5725">
        <v>2.490554E-2</v>
      </c>
      <c r="P5725">
        <v>-0.99769870000000005</v>
      </c>
      <c r="Q5725">
        <v>-6.7731710000000001E-2</v>
      </c>
      <c r="R5725">
        <v>3.1261660000000001E-3</v>
      </c>
      <c r="S5725">
        <v>-3.0049290000000002</v>
      </c>
      <c r="T5725">
        <v>-4.9781800000000001E-2</v>
      </c>
      <c r="U5725">
        <v>-0.42033389999999998</v>
      </c>
      <c r="V5725">
        <v>-2.172791E-2</v>
      </c>
      <c r="W5725">
        <v>-6.3891669999999998E-2</v>
      </c>
      <c r="X5725">
        <v>0.9977203</v>
      </c>
      <c r="Y5725">
        <v>-0.1631262</v>
      </c>
      <c r="Z5725">
        <v>-1.975376E-3</v>
      </c>
      <c r="AA5725">
        <v>0.98660329999999996</v>
      </c>
      <c r="AB5725">
        <v>30</v>
      </c>
      <c r="AC5725">
        <v>-67.260599999999997</v>
      </c>
      <c r="AD5725">
        <v>-1.1195739879040001</v>
      </c>
      <c r="AE5725">
        <v>-9.4616000000000007</v>
      </c>
      <c r="AF5725">
        <v>-11.1308148894932</v>
      </c>
      <c r="AG5725">
        <v>-1.1195739879040001</v>
      </c>
      <c r="AH5725">
        <v>66.985888635326205</v>
      </c>
      <c r="AI5725">
        <v>90.944579073032401</v>
      </c>
      <c r="AJ5725">
        <v>99.434440552030395</v>
      </c>
      <c r="AK5725">
        <v>67.913605133896993</v>
      </c>
      <c r="AL5725">
        <v>93.663218142211804</v>
      </c>
      <c r="AM5725">
        <v>91.247564864568503</v>
      </c>
      <c r="AN5725">
        <v>1.0000000223002199</v>
      </c>
    </row>
    <row r="5726" spans="1:40" x14ac:dyDescent="0.25">
      <c r="A5726" t="str">
        <f>"20190303153922283"</f>
        <v>20190303153922283</v>
      </c>
      <c r="B5726" t="str">
        <f>"1551598762274767"</f>
        <v>1551598762274767</v>
      </c>
      <c r="C5726" t="s">
        <v>40</v>
      </c>
      <c r="D5726">
        <v>4.2529219999999999</v>
      </c>
      <c r="E5726">
        <v>0.4457083</v>
      </c>
      <c r="F5726" t="s">
        <v>68</v>
      </c>
      <c r="G5726">
        <v>-307.69580000000002</v>
      </c>
      <c r="H5726" s="1">
        <v>-6.4371230000000002E-6</v>
      </c>
      <c r="I5726">
        <v>130.84289999999999</v>
      </c>
      <c r="J5726">
        <v>-236.67449999999999</v>
      </c>
      <c r="K5726">
        <v>1.11954</v>
      </c>
      <c r="L5726">
        <v>140.91409999999999</v>
      </c>
      <c r="M5726">
        <v>-0.99968420000000002</v>
      </c>
      <c r="N5726">
        <v>-3.4019039999999999E-3</v>
      </c>
      <c r="O5726">
        <v>2.490299E-2</v>
      </c>
      <c r="P5726">
        <v>-0.99779620000000002</v>
      </c>
      <c r="Q5726">
        <v>-6.6288990000000006E-2</v>
      </c>
      <c r="R5726">
        <v>2.9079100000000001E-3</v>
      </c>
      <c r="S5726">
        <v>-3.0050810000000001</v>
      </c>
      <c r="T5726">
        <v>-4.717267E-2</v>
      </c>
      <c r="U5726">
        <v>-0.42402649999999997</v>
      </c>
      <c r="V5726">
        <v>-2.194482E-2</v>
      </c>
      <c r="W5726">
        <v>-6.2893749999999998E-2</v>
      </c>
      <c r="X5726">
        <v>0.99777899999999997</v>
      </c>
      <c r="Y5726">
        <v>-0.1643086</v>
      </c>
      <c r="Z5726">
        <v>-1.868916E-3</v>
      </c>
      <c r="AA5726">
        <v>0.98640720000000004</v>
      </c>
      <c r="AB5726">
        <v>30</v>
      </c>
      <c r="AC5726">
        <v>-71.021299999999997</v>
      </c>
      <c r="AD5726">
        <v>-1.1195464371229999</v>
      </c>
      <c r="AE5726">
        <v>-10.071199999999999</v>
      </c>
      <c r="AF5726">
        <v>-11.8338467474629</v>
      </c>
      <c r="AG5726">
        <v>-1.1195464371229999</v>
      </c>
      <c r="AH5726">
        <v>70.731240208823095</v>
      </c>
      <c r="AI5726">
        <v>90.894382699320204</v>
      </c>
      <c r="AJ5726">
        <v>99.498027247935696</v>
      </c>
      <c r="AK5726">
        <v>71.723090107339502</v>
      </c>
      <c r="AL5726">
        <v>93.605926146044695</v>
      </c>
      <c r="AM5726">
        <v>91.259941221448699</v>
      </c>
      <c r="AN5726">
        <v>1.0000000658774399</v>
      </c>
    </row>
    <row r="5727" spans="1:40" x14ac:dyDescent="0.25">
      <c r="A5727" t="str">
        <f>"20190303153922306"</f>
        <v>20190303153922306</v>
      </c>
      <c r="B5727" t="str">
        <f>"1551598762304047"</f>
        <v>1551598762304047</v>
      </c>
      <c r="C5727" t="s">
        <v>40</v>
      </c>
      <c r="D5727">
        <v>4.2040930000000003</v>
      </c>
      <c r="E5727">
        <v>0.44494830000000002</v>
      </c>
      <c r="F5727" t="s">
        <v>68</v>
      </c>
      <c r="G5727">
        <v>-314.73820000000001</v>
      </c>
      <c r="H5727" s="1">
        <v>-4.5504919999999997E-6</v>
      </c>
      <c r="I5727">
        <v>129.79399999999899</v>
      </c>
      <c r="J5727">
        <v>-236.99700000000001</v>
      </c>
      <c r="K5727">
        <v>1.1195120000000001</v>
      </c>
      <c r="L5727">
        <v>140.9221</v>
      </c>
      <c r="M5727">
        <v>-0.9996855</v>
      </c>
      <c r="N5727">
        <v>-2.980889E-3</v>
      </c>
      <c r="O5727">
        <v>2.4901030000000001E-2</v>
      </c>
      <c r="P5727">
        <v>-0.99787959999999998</v>
      </c>
      <c r="Q5727">
        <v>-6.5024529999999997E-2</v>
      </c>
      <c r="R5727">
        <v>2.8742669999999998E-3</v>
      </c>
      <c r="S5727">
        <v>-3.0049899999999998</v>
      </c>
      <c r="T5727">
        <v>-4.3095830000000002E-2</v>
      </c>
      <c r="U5727">
        <v>-0.42805480000000001</v>
      </c>
      <c r="V5727">
        <v>-2.1977859999999998E-2</v>
      </c>
      <c r="W5727">
        <v>-6.204929E-2</v>
      </c>
      <c r="X5727">
        <v>0.99783109999999997</v>
      </c>
      <c r="Y5727">
        <v>-0.16561110000000001</v>
      </c>
      <c r="Z5727">
        <v>-1.711225E-3</v>
      </c>
      <c r="AA5727">
        <v>0.98618969999999995</v>
      </c>
      <c r="AB5727">
        <v>30</v>
      </c>
      <c r="AC5727">
        <v>-77.741199999999907</v>
      </c>
      <c r="AD5727">
        <v>-1.1195165504919999</v>
      </c>
      <c r="AE5727">
        <v>-11.1281</v>
      </c>
      <c r="AF5727">
        <v>-13.0578403792332</v>
      </c>
      <c r="AG5727">
        <v>-1.1195165504919999</v>
      </c>
      <c r="AH5727">
        <v>77.424257961753</v>
      </c>
      <c r="AI5727">
        <v>90.816876450007499</v>
      </c>
      <c r="AJ5727">
        <v>99.573024062521796</v>
      </c>
      <c r="AK5727">
        <v>78.525640612505796</v>
      </c>
      <c r="AL5727">
        <v>93.557447617467105</v>
      </c>
      <c r="AM5727">
        <v>91.261771705811995</v>
      </c>
      <c r="AN5727">
        <v>1.00000002242344</v>
      </c>
    </row>
    <row r="5728" spans="1:40" x14ac:dyDescent="0.25">
      <c r="A5728" t="str">
        <f>"20190303153922327"</f>
        <v>20190303153922327</v>
      </c>
      <c r="B5728" t="str">
        <f>"1551598762324543"</f>
        <v>1551598762324543</v>
      </c>
      <c r="C5728" t="s">
        <v>40</v>
      </c>
      <c r="D5728">
        <v>4.2331699999999897</v>
      </c>
      <c r="E5728">
        <v>0.44457190000000002</v>
      </c>
      <c r="F5728" t="s">
        <v>68</v>
      </c>
      <c r="G5728">
        <v>-315.89269999999999</v>
      </c>
      <c r="H5728">
        <v>7.9988030000000002E-2</v>
      </c>
      <c r="I5728">
        <v>129.52160000000001</v>
      </c>
      <c r="J5728">
        <v>-237.2809</v>
      </c>
      <c r="K5728">
        <v>1.1194930000000001</v>
      </c>
      <c r="L5728">
        <v>140.92920000000001</v>
      </c>
      <c r="M5728">
        <v>-0.99968650000000003</v>
      </c>
      <c r="N5728">
        <v>-2.6631060000000002E-3</v>
      </c>
      <c r="O5728">
        <v>2.490011E-2</v>
      </c>
      <c r="P5728">
        <v>-0.99792610000000004</v>
      </c>
      <c r="Q5728">
        <v>-6.4312809999999998E-2</v>
      </c>
      <c r="R5728">
        <v>2.7511789999999999E-3</v>
      </c>
      <c r="S5728">
        <v>-3.0050659999999998</v>
      </c>
      <c r="T5728">
        <v>-3.9594530000000003E-2</v>
      </c>
      <c r="U5728">
        <v>-0.43423460000000003</v>
      </c>
      <c r="V5728">
        <v>-2.2101160000000002E-2</v>
      </c>
      <c r="W5728">
        <v>-6.165466E-2</v>
      </c>
      <c r="X5728">
        <v>0.99785279999999998</v>
      </c>
      <c r="Y5728">
        <v>-0.16759679999999999</v>
      </c>
      <c r="Z5728">
        <v>-1.5832509999999999E-3</v>
      </c>
      <c r="AA5728">
        <v>0.98585429999999996</v>
      </c>
      <c r="AB5728">
        <v>31</v>
      </c>
      <c r="AC5728">
        <v>-78.611799999999903</v>
      </c>
      <c r="AD5728">
        <v>-1.0395049700000001</v>
      </c>
      <c r="AE5728">
        <v>-11.4076</v>
      </c>
      <c r="AF5728">
        <v>-13.3592244400018</v>
      </c>
      <c r="AG5728">
        <v>-1.0395049700000001</v>
      </c>
      <c r="AH5728">
        <v>78.289967257679905</v>
      </c>
      <c r="AI5728">
        <v>90.749869804434795</v>
      </c>
      <c r="AJ5728">
        <v>99.683556009886502</v>
      </c>
      <c r="AK5728">
        <v>79.428385489254396</v>
      </c>
      <c r="AL5728">
        <v>93.534793743993802</v>
      </c>
      <c r="AM5728">
        <v>91.2688205945486</v>
      </c>
      <c r="AN5728">
        <v>0.99999998442045002</v>
      </c>
    </row>
    <row r="5729" spans="1:40" x14ac:dyDescent="0.25">
      <c r="A5729" t="str">
        <f>"20190303153922352"</f>
        <v>20190303153922352</v>
      </c>
      <c r="B5729" t="str">
        <f>"1551598762344555"</f>
        <v>1551598762344555</v>
      </c>
      <c r="C5729" t="s">
        <v>40</v>
      </c>
      <c r="D5729">
        <v>4.2446460000000004</v>
      </c>
      <c r="E5729">
        <v>0.44438280000000002</v>
      </c>
      <c r="F5729" t="s">
        <v>42</v>
      </c>
      <c r="G5729">
        <v>-320.6438</v>
      </c>
      <c r="H5729">
        <v>7.9986680000000004E-2</v>
      </c>
      <c r="I5729">
        <v>128.7885</v>
      </c>
      <c r="J5729">
        <v>-237.6096</v>
      </c>
      <c r="K5729">
        <v>1.1194740000000001</v>
      </c>
      <c r="L5729">
        <v>140.93729999999999</v>
      </c>
      <c r="M5729">
        <v>-0.99968710000000005</v>
      </c>
      <c r="N5729">
        <v>-2.3635700000000002E-3</v>
      </c>
      <c r="O5729">
        <v>2.4900189999999999E-2</v>
      </c>
      <c r="P5729">
        <v>-0.99792409999999998</v>
      </c>
      <c r="Q5729">
        <v>-6.4299430000000005E-2</v>
      </c>
      <c r="R5729">
        <v>3.619419E-3</v>
      </c>
      <c r="S5729">
        <v>-3.0050050000000001</v>
      </c>
      <c r="T5729">
        <v>-3.7471409999999997E-2</v>
      </c>
      <c r="U5729">
        <v>-0.43763730000000001</v>
      </c>
      <c r="V5729">
        <v>-2.1232890000000001E-2</v>
      </c>
      <c r="W5729">
        <v>-6.1940229999999999E-2</v>
      </c>
      <c r="X5729">
        <v>0.99785400000000002</v>
      </c>
      <c r="Y5729">
        <v>-0.16869489999999901</v>
      </c>
      <c r="Z5729">
        <v>-1.4970929999999999E-3</v>
      </c>
      <c r="AA5729">
        <v>0.98566719999999997</v>
      </c>
      <c r="AB5729">
        <v>31</v>
      </c>
      <c r="AC5729">
        <v>-83.034199999999998</v>
      </c>
      <c r="AD5729">
        <v>-1.0394873200000001</v>
      </c>
      <c r="AE5729">
        <v>-12.1487999999999</v>
      </c>
      <c r="AF5729">
        <v>-14.210425996915999</v>
      </c>
      <c r="AG5729">
        <v>-1.0394873200000001</v>
      </c>
      <c r="AH5729">
        <v>82.693258090149399</v>
      </c>
      <c r="AI5729">
        <v>90.709789962382303</v>
      </c>
      <c r="AJ5729">
        <v>99.750757439851199</v>
      </c>
      <c r="AK5729">
        <v>83.911808909511194</v>
      </c>
      <c r="AL5729">
        <v>93.551186918254004</v>
      </c>
      <c r="AM5729">
        <v>91.218987371317198</v>
      </c>
      <c r="AN5729">
        <v>1.0000000165131</v>
      </c>
    </row>
    <row r="5730" spans="1:40" x14ac:dyDescent="0.25">
      <c r="A5730" t="str">
        <f>"20190303153922374"</f>
        <v>20190303153922374</v>
      </c>
      <c r="B5730" t="str">
        <f>"1551598762364075"</f>
        <v>1551598762364075</v>
      </c>
      <c r="C5730" t="s">
        <v>40</v>
      </c>
      <c r="D5730">
        <v>4.2238579999999999</v>
      </c>
      <c r="E5730">
        <v>0.42292200000000002</v>
      </c>
      <c r="F5730" t="s">
        <v>42</v>
      </c>
      <c r="G5730">
        <v>-321.09480000000002</v>
      </c>
      <c r="H5730">
        <v>7.9986550000000003E-2</v>
      </c>
      <c r="I5730">
        <v>128.8092</v>
      </c>
      <c r="J5730">
        <v>-237.93180000000001</v>
      </c>
      <c r="K5730">
        <v>1.1194660000000001</v>
      </c>
      <c r="L5730">
        <v>140.94540000000001</v>
      </c>
      <c r="M5730">
        <v>-0.99968769999999996</v>
      </c>
      <c r="N5730">
        <v>-2.1555200000000002E-3</v>
      </c>
      <c r="O5730">
        <v>2.4900419999999999E-2</v>
      </c>
      <c r="P5730">
        <v>-0.99791200000000002</v>
      </c>
      <c r="Q5730">
        <v>-6.4447119999999997E-2</v>
      </c>
      <c r="R5730">
        <v>4.3091570000000001E-3</v>
      </c>
      <c r="S5730">
        <v>-3.0054020000000001</v>
      </c>
      <c r="T5730">
        <v>-3.7420750000000003E-2</v>
      </c>
      <c r="U5730">
        <v>-0.43659969999999998</v>
      </c>
      <c r="V5730">
        <v>-2.0543450000000001E-2</v>
      </c>
      <c r="W5730">
        <v>-6.2295570000000001E-2</v>
      </c>
      <c r="X5730">
        <v>0.99784629999999996</v>
      </c>
      <c r="Y5730">
        <v>-0.16834350000000001</v>
      </c>
      <c r="Z5730">
        <v>-1.4800670000000001E-3</v>
      </c>
      <c r="AA5730">
        <v>0.98572729999999997</v>
      </c>
      <c r="AB5730">
        <v>31</v>
      </c>
      <c r="AC5730">
        <v>-83.162999999999997</v>
      </c>
      <c r="AD5730">
        <v>-1.03947945</v>
      </c>
      <c r="AE5730">
        <v>-12.136200000000001</v>
      </c>
      <c r="AF5730">
        <v>-14.201062844506801</v>
      </c>
      <c r="AG5730">
        <v>-1.03947945</v>
      </c>
      <c r="AH5730">
        <v>82.822347191123399</v>
      </c>
      <c r="AI5730">
        <v>90.708723418474705</v>
      </c>
      <c r="AJ5730">
        <v>99.729558497064701</v>
      </c>
      <c r="AK5730">
        <v>84.037443426651095</v>
      </c>
      <c r="AL5730">
        <v>93.5715858357743</v>
      </c>
      <c r="AM5730">
        <v>91.179426854782903</v>
      </c>
      <c r="AN5730">
        <v>1.0000000049016</v>
      </c>
    </row>
    <row r="5731" spans="1:40" x14ac:dyDescent="0.25">
      <c r="A5731" t="str">
        <f>"20190303153922395"</f>
        <v>20190303153922395</v>
      </c>
      <c r="B5731" t="str">
        <f>"1551598762384571"</f>
        <v>1551598762384571</v>
      </c>
      <c r="C5731" t="s">
        <v>40</v>
      </c>
      <c r="D5731">
        <v>4.1863049999999999</v>
      </c>
      <c r="E5731">
        <v>0.42043160000000002</v>
      </c>
      <c r="F5731" t="s">
        <v>68</v>
      </c>
      <c r="G5731">
        <v>-295.24119999999999</v>
      </c>
      <c r="H5731" s="1">
        <v>-5.0345319999999999E-6</v>
      </c>
      <c r="I5731">
        <v>129.40119999999999</v>
      </c>
      <c r="J5731">
        <v>-238.23519999999999</v>
      </c>
      <c r="K5731">
        <v>1.119467</v>
      </c>
      <c r="L5731">
        <v>140.9529</v>
      </c>
      <c r="M5731">
        <v>-0.99968789999999996</v>
      </c>
      <c r="N5731">
        <v>-2.028045E-3</v>
      </c>
      <c r="O5731">
        <v>2.4900849999999999E-2</v>
      </c>
      <c r="P5731">
        <v>-0.99793019999999999</v>
      </c>
      <c r="Q5731">
        <v>-6.414678E-2</v>
      </c>
      <c r="R5731">
        <v>4.539665E-3</v>
      </c>
      <c r="S5731">
        <v>-3.0050810000000001</v>
      </c>
      <c r="T5731">
        <v>-5.8700679999999998E-2</v>
      </c>
      <c r="U5731">
        <v>-0.60533139999999996</v>
      </c>
      <c r="V5731">
        <v>-2.0313379999999999E-2</v>
      </c>
      <c r="W5731">
        <v>-6.2122410000000003E-2</v>
      </c>
      <c r="X5731">
        <v>0.99786180000000002</v>
      </c>
      <c r="Y5731">
        <v>-0.2217701</v>
      </c>
      <c r="Z5731">
        <v>-2.8032339999999999E-3</v>
      </c>
      <c r="AA5731">
        <v>0.97509500000000005</v>
      </c>
      <c r="AB5731">
        <v>31</v>
      </c>
      <c r="AC5731">
        <v>-57.006</v>
      </c>
      <c r="AD5731">
        <v>-1.1194720345319999</v>
      </c>
      <c r="AE5731">
        <v>-11.5517</v>
      </c>
      <c r="AF5731">
        <v>-12.9628169900886</v>
      </c>
      <c r="AG5731">
        <v>-1.1194720345319999</v>
      </c>
      <c r="AH5731">
        <v>56.679680144713203</v>
      </c>
      <c r="AI5731">
        <v>91.103021549752995</v>
      </c>
      <c r="AJ5731">
        <v>102.88216949018999</v>
      </c>
      <c r="AK5731">
        <v>58.1538819277065</v>
      </c>
      <c r="AL5731">
        <v>93.561645264178907</v>
      </c>
      <c r="AM5731">
        <v>91.166203787751101</v>
      </c>
      <c r="AN5731">
        <v>0.999999999565236</v>
      </c>
    </row>
    <row r="5732" spans="1:40" x14ac:dyDescent="0.25">
      <c r="A5732" t="str">
        <f>"20190303153922417"</f>
        <v>20190303153922417</v>
      </c>
      <c r="B5732" t="str">
        <f>"1551598762414828"</f>
        <v>1551598762414828</v>
      </c>
      <c r="C5732" t="s">
        <v>40</v>
      </c>
      <c r="D5732">
        <v>4.1533490000000004</v>
      </c>
      <c r="E5732">
        <v>0.41862709999999997</v>
      </c>
      <c r="F5732" t="s">
        <v>68</v>
      </c>
      <c r="G5732">
        <v>-289.8064</v>
      </c>
      <c r="H5732" s="1">
        <v>-5.5541669999999998E-6</v>
      </c>
      <c r="I5732">
        <v>130.23519999999999</v>
      </c>
      <c r="J5732">
        <v>-238.54580000000001</v>
      </c>
      <c r="K5732">
        <v>1.1194959999999901</v>
      </c>
      <c r="L5732">
        <v>140.9606</v>
      </c>
      <c r="M5732">
        <v>-0.99968800000000002</v>
      </c>
      <c r="N5732">
        <v>-1.9955110000000002E-3</v>
      </c>
      <c r="O5732">
        <v>2.4900889999999998E-2</v>
      </c>
      <c r="P5732">
        <v>-0.99798209999999998</v>
      </c>
      <c r="Q5732">
        <v>-6.3329330000000003E-2</v>
      </c>
      <c r="R5732">
        <v>4.6324399999999998E-3</v>
      </c>
      <c r="S5732">
        <v>-3.0048680000000001</v>
      </c>
      <c r="T5732">
        <v>-6.5227629999999995E-2</v>
      </c>
      <c r="U5732">
        <v>-0.62448119999999996</v>
      </c>
      <c r="V5732">
        <v>-2.022206E-2</v>
      </c>
      <c r="W5732">
        <v>-6.1337330000000002E-2</v>
      </c>
      <c r="X5732">
        <v>0.99791220000000003</v>
      </c>
      <c r="Y5732">
        <v>-0.2277315</v>
      </c>
      <c r="Z5732">
        <v>-3.1608909999999999E-3</v>
      </c>
      <c r="AA5732">
        <v>0.9737188</v>
      </c>
      <c r="AB5732">
        <v>32</v>
      </c>
      <c r="AC5732">
        <v>-51.260599999999897</v>
      </c>
      <c r="AD5732">
        <v>-1.1195015541669999</v>
      </c>
      <c r="AE5732">
        <v>-10.7254</v>
      </c>
      <c r="AF5732">
        <v>-11.9930310449662</v>
      </c>
      <c r="AG5732">
        <v>-1.1195015541669999</v>
      </c>
      <c r="AH5732">
        <v>50.954348915992597</v>
      </c>
      <c r="AI5732">
        <v>91.225156899815701</v>
      </c>
      <c r="AJ5732">
        <v>103.244539292276</v>
      </c>
      <c r="AK5732">
        <v>52.358683623903602</v>
      </c>
      <c r="AL5732">
        <v>93.516577614671505</v>
      </c>
      <c r="AM5732">
        <v>91.160903868978707</v>
      </c>
      <c r="AN5732">
        <v>0.999999979335506</v>
      </c>
    </row>
    <row r="5733" spans="1:40" x14ac:dyDescent="0.25">
      <c r="A5733" t="str">
        <f>"20190303153922439"</f>
        <v>20190303153922439</v>
      </c>
      <c r="B5733" t="str">
        <f>"1551598762434347"</f>
        <v>1551598762434347</v>
      </c>
      <c r="C5733" t="s">
        <v>40</v>
      </c>
      <c r="D5733">
        <v>4.1603719999999997</v>
      </c>
      <c r="E5733">
        <v>0.41812690000000002</v>
      </c>
      <c r="F5733" t="s">
        <v>68</v>
      </c>
      <c r="G5733">
        <v>-288.68869999999998</v>
      </c>
      <c r="H5733" s="1">
        <v>-4.8277189999999998E-6</v>
      </c>
      <c r="I5733">
        <v>130.30510000000001</v>
      </c>
      <c r="J5733">
        <v>-238.8587</v>
      </c>
      <c r="K5733">
        <v>1.119553</v>
      </c>
      <c r="L5733">
        <v>140.9684</v>
      </c>
      <c r="M5733">
        <v>-0.99968780000000002</v>
      </c>
      <c r="N5733">
        <v>-2.1088539999999999E-3</v>
      </c>
      <c r="O5733">
        <v>2.490059E-2</v>
      </c>
      <c r="P5733">
        <v>-0.99799190000000004</v>
      </c>
      <c r="Q5733">
        <v>-6.3189919999999997E-2</v>
      </c>
      <c r="R5733">
        <v>4.4446989999999999E-3</v>
      </c>
      <c r="S5733">
        <v>-3.0047609999999998</v>
      </c>
      <c r="T5733">
        <v>-6.7084909999999998E-2</v>
      </c>
      <c r="U5733">
        <v>-0.63851930000000001</v>
      </c>
      <c r="V5733">
        <v>-2.040985E-2</v>
      </c>
      <c r="W5733">
        <v>-6.1084779999999998E-2</v>
      </c>
      <c r="X5733">
        <v>0.99792389999999997</v>
      </c>
      <c r="Y5733">
        <v>-0.23208780000000001</v>
      </c>
      <c r="Z5733">
        <v>-3.3075119999999999E-3</v>
      </c>
      <c r="AA5733">
        <v>0.97268920000000003</v>
      </c>
      <c r="AB5733">
        <v>32</v>
      </c>
      <c r="AC5733">
        <v>-49.829999999999899</v>
      </c>
      <c r="AD5733">
        <v>-1.1195578277189999</v>
      </c>
      <c r="AE5733">
        <v>-10.6632999999999</v>
      </c>
      <c r="AF5733">
        <v>-11.8950511003455</v>
      </c>
      <c r="AG5733">
        <v>-1.1195578277189999</v>
      </c>
      <c r="AH5733">
        <v>49.525121106330097</v>
      </c>
      <c r="AI5733">
        <v>91.259200847388996</v>
      </c>
      <c r="AJ5733">
        <v>103.505602031666</v>
      </c>
      <c r="AK5733">
        <v>50.945885712254501</v>
      </c>
      <c r="AL5733">
        <v>93.502080268724995</v>
      </c>
      <c r="AM5733">
        <v>91.171667753889906</v>
      </c>
      <c r="AN5733">
        <v>1.0000000112579399</v>
      </c>
    </row>
    <row r="5734" spans="1:40" x14ac:dyDescent="0.25">
      <c r="A5734" t="str">
        <f>"20190303153922461"</f>
        <v>20190303153922461</v>
      </c>
      <c r="B5734" t="str">
        <f>"1551598762453867"</f>
        <v>1551598762453867</v>
      </c>
      <c r="C5734" t="s">
        <v>40</v>
      </c>
      <c r="D5734">
        <v>4.3722659999999998</v>
      </c>
      <c r="E5734">
        <v>0.4181725</v>
      </c>
      <c r="F5734" t="s">
        <v>68</v>
      </c>
      <c r="G5734">
        <v>-288.53460000000001</v>
      </c>
      <c r="H5734" s="1">
        <v>-4.7342590000000001E-6</v>
      </c>
      <c r="I5734">
        <v>130.33590000000001</v>
      </c>
      <c r="J5734">
        <v>-239.1815</v>
      </c>
      <c r="K5734">
        <v>1.119642</v>
      </c>
      <c r="L5734">
        <v>140.97649999999999</v>
      </c>
      <c r="M5734">
        <v>-0.99968710000000005</v>
      </c>
      <c r="N5734">
        <v>-2.42115E-3</v>
      </c>
      <c r="O5734">
        <v>2.4899930000000001E-2</v>
      </c>
      <c r="P5734">
        <v>-0.9979751</v>
      </c>
      <c r="Q5734">
        <v>-6.3486020000000004E-2</v>
      </c>
      <c r="R5734">
        <v>3.9503059999999998E-3</v>
      </c>
      <c r="S5734">
        <v>-3.004578</v>
      </c>
      <c r="T5734">
        <v>-6.7714930000000007E-2</v>
      </c>
      <c r="U5734">
        <v>-0.64309689999999997</v>
      </c>
      <c r="V5734">
        <v>-2.0902850000000001E-2</v>
      </c>
      <c r="W5734">
        <v>-6.1069289999999998E-2</v>
      </c>
      <c r="X5734">
        <v>0.99791459999999998</v>
      </c>
      <c r="Y5734">
        <v>-0.23351420000000001</v>
      </c>
      <c r="Z5734">
        <v>-3.3830660000000001E-3</v>
      </c>
      <c r="AA5734">
        <v>0.97234750000000003</v>
      </c>
      <c r="AB5734">
        <v>32</v>
      </c>
      <c r="AC5734">
        <v>-49.353099999999998</v>
      </c>
      <c r="AD5734">
        <v>-1.119646734259</v>
      </c>
      <c r="AE5734">
        <v>-10.6405999999999</v>
      </c>
      <c r="AF5734">
        <v>-11.860359997123799</v>
      </c>
      <c r="AG5734">
        <v>-1.119646734259</v>
      </c>
      <c r="AH5734">
        <v>49.048724137363202</v>
      </c>
      <c r="AI5734">
        <v>91.2710575273355</v>
      </c>
      <c r="AJ5734">
        <v>103.59362659865199</v>
      </c>
      <c r="AK5734">
        <v>50.474737122386898</v>
      </c>
      <c r="AL5734">
        <v>93.5011912483468</v>
      </c>
      <c r="AM5734">
        <v>91.199972394856601</v>
      </c>
      <c r="AN5734">
        <v>0.99999996810619196</v>
      </c>
    </row>
    <row r="5735" spans="1:40" x14ac:dyDescent="0.25">
      <c r="A5735" t="str">
        <f>"20190303153922484"</f>
        <v>20190303153922484</v>
      </c>
      <c r="B5735" t="str">
        <f>"1551598762474363"</f>
        <v>1551598762474363</v>
      </c>
      <c r="C5735" t="s">
        <v>40</v>
      </c>
      <c r="D5735">
        <v>4.1886080000000003</v>
      </c>
      <c r="E5735">
        <v>0.44829029999999997</v>
      </c>
      <c r="F5735" t="s">
        <v>68</v>
      </c>
      <c r="G5735">
        <v>-287.80950000000001</v>
      </c>
      <c r="H5735" s="1">
        <v>-4.3208659999999999E-6</v>
      </c>
      <c r="I5735">
        <v>130.54990000000001</v>
      </c>
      <c r="J5735">
        <v>-239.5025</v>
      </c>
      <c r="K5735">
        <v>1.1197680000000001</v>
      </c>
      <c r="L5735">
        <v>140.9845</v>
      </c>
      <c r="M5735">
        <v>-0.99968579999999996</v>
      </c>
      <c r="N5735">
        <v>-2.9367360000000001E-3</v>
      </c>
      <c r="O5735">
        <v>2.489924E-2</v>
      </c>
      <c r="P5735">
        <v>-0.99797519999999995</v>
      </c>
      <c r="Q5735">
        <v>-6.3523330000000003E-2</v>
      </c>
      <c r="R5735">
        <v>3.2518730000000002E-3</v>
      </c>
      <c r="S5735">
        <v>-3.0042270000000002</v>
      </c>
      <c r="T5735">
        <v>-6.9171430000000006E-2</v>
      </c>
      <c r="U5735">
        <v>-0.64414979999999999</v>
      </c>
      <c r="V5735">
        <v>-2.1600580000000001E-2</v>
      </c>
      <c r="W5735">
        <v>-6.0592100000000003E-2</v>
      </c>
      <c r="X5735">
        <v>0.99792890000000001</v>
      </c>
      <c r="Y5735">
        <v>-0.2338585</v>
      </c>
      <c r="Z5735">
        <v>-3.5038309999999998E-3</v>
      </c>
      <c r="AA5735">
        <v>0.97226429999999997</v>
      </c>
      <c r="AB5735">
        <v>32</v>
      </c>
      <c r="AC5735">
        <v>-48.307000000000002</v>
      </c>
      <c r="AD5735">
        <v>-1.119772320866</v>
      </c>
      <c r="AE5735">
        <v>-10.4345999999999</v>
      </c>
      <c r="AF5735">
        <v>-11.628207861430701</v>
      </c>
      <c r="AG5735">
        <v>-1.119772320866</v>
      </c>
      <c r="AH5735">
        <v>48.007562506491396</v>
      </c>
      <c r="AI5735">
        <v>91.298638563588099</v>
      </c>
      <c r="AJ5735">
        <v>103.615734324935</v>
      </c>
      <c r="AK5735">
        <v>49.408452373393601</v>
      </c>
      <c r="AL5735">
        <v>93.473799302453102</v>
      </c>
      <c r="AM5735">
        <v>91.239996996012593</v>
      </c>
      <c r="AN5735">
        <v>1.0000000385469701</v>
      </c>
    </row>
    <row r="5736" spans="1:40" x14ac:dyDescent="0.25">
      <c r="A5736" t="str">
        <f>"20190303153922506"</f>
        <v>20190303153922506</v>
      </c>
      <c r="B5736" t="str">
        <f>"1551598762493884"</f>
        <v>1551598762493884</v>
      </c>
      <c r="C5736" t="s">
        <v>40</v>
      </c>
      <c r="D5736">
        <v>4.2140050000000002</v>
      </c>
      <c r="E5736">
        <v>0.50770059999999995</v>
      </c>
      <c r="F5736" t="s">
        <v>68</v>
      </c>
      <c r="G5736">
        <v>-307.23520000000002</v>
      </c>
      <c r="H5736" s="1">
        <v>-6.6653590000000001E-6</v>
      </c>
      <c r="I5736">
        <v>131.81979999999999</v>
      </c>
      <c r="J5736">
        <v>-239.82169999999999</v>
      </c>
      <c r="K5736">
        <v>1.1199129999999999</v>
      </c>
      <c r="L5736">
        <v>140.9924</v>
      </c>
      <c r="M5736">
        <v>-0.99968360000000001</v>
      </c>
      <c r="N5736">
        <v>-3.6178410000000001E-3</v>
      </c>
      <c r="O5736">
        <v>2.4894400000000001E-2</v>
      </c>
      <c r="P5736">
        <v>-0.99797270000000005</v>
      </c>
      <c r="Q5736">
        <v>-6.3613619999999996E-2</v>
      </c>
      <c r="R5736">
        <v>2.0527499999999999E-3</v>
      </c>
      <c r="S5736">
        <v>-3.0042420000000001</v>
      </c>
      <c r="T5736">
        <v>-4.9666879999999997E-2</v>
      </c>
      <c r="U5736">
        <v>-0.40649410000000002</v>
      </c>
      <c r="V5736">
        <v>-2.2793859999999999E-2</v>
      </c>
      <c r="W5736">
        <v>-6.0002859999999998E-2</v>
      </c>
      <c r="X5736">
        <v>0.99793790000000004</v>
      </c>
      <c r="Y5736">
        <v>-0.15868499999999999</v>
      </c>
      <c r="Z5736">
        <v>-1.9142339999999999E-3</v>
      </c>
      <c r="AA5736">
        <v>0.98732739999999997</v>
      </c>
      <c r="AB5736">
        <v>32</v>
      </c>
      <c r="AC5736">
        <v>-67.413499999999999</v>
      </c>
      <c r="AD5736">
        <v>-1.119919665359</v>
      </c>
      <c r="AE5736">
        <v>-9.1726000000000099</v>
      </c>
      <c r="AF5736">
        <v>-10.8450481381805</v>
      </c>
      <c r="AG5736">
        <v>-1.119919665359</v>
      </c>
      <c r="AH5736">
        <v>67.146065282767793</v>
      </c>
      <c r="AI5736">
        <v>90.943316929287704</v>
      </c>
      <c r="AJ5736">
        <v>99.174852861309404</v>
      </c>
      <c r="AK5736">
        <v>68.025461204860804</v>
      </c>
      <c r="AL5736">
        <v>93.439977005816203</v>
      </c>
      <c r="AM5736">
        <v>91.308463113538096</v>
      </c>
      <c r="AN5736">
        <v>0.99999997775914395</v>
      </c>
    </row>
    <row r="5737" spans="1:40" x14ac:dyDescent="0.25">
      <c r="A5737" t="str">
        <f>"20190303153922540"</f>
        <v>20190303153922540</v>
      </c>
      <c r="B5737" t="str">
        <f>"1551598762533901"</f>
        <v>1551598762533901</v>
      </c>
      <c r="C5737" t="s">
        <v>40</v>
      </c>
      <c r="D5737">
        <v>4.1759690000000003</v>
      </c>
      <c r="E5737">
        <v>0.50765369999999999</v>
      </c>
      <c r="F5737" t="s">
        <v>46</v>
      </c>
      <c r="G5737">
        <v>0</v>
      </c>
      <c r="H5737">
        <v>0</v>
      </c>
      <c r="I5737">
        <v>0</v>
      </c>
      <c r="J5737">
        <v>-240.3006</v>
      </c>
      <c r="K5737">
        <v>1.12015</v>
      </c>
      <c r="L5737">
        <v>141.0043</v>
      </c>
      <c r="M5737">
        <v>-0.99967910000000004</v>
      </c>
      <c r="N5737">
        <v>-4.8600919999999999E-3</v>
      </c>
      <c r="O5737">
        <v>2.4864879999999999E-2</v>
      </c>
      <c r="P5737">
        <v>-0.99793869999999896</v>
      </c>
      <c r="Q5737">
        <v>-6.415324E-2</v>
      </c>
      <c r="R5737">
        <v>1.7659570000000001E-3</v>
      </c>
      <c r="S5737">
        <v>-3.0097049999999999</v>
      </c>
      <c r="T5737">
        <v>5.8782220000000003E-2</v>
      </c>
      <c r="U5737">
        <v>6.1126710000000001E-2</v>
      </c>
      <c r="V5737">
        <v>-2.3048450000000002E-2</v>
      </c>
      <c r="W5737">
        <v>-5.9303679999999998E-2</v>
      </c>
      <c r="X5737">
        <v>0.99797389999999997</v>
      </c>
      <c r="Y5737">
        <v>-4.5525979999999997E-3</v>
      </c>
      <c r="Z5737">
        <v>6.3968960000000002E-4</v>
      </c>
      <c r="AA5737">
        <v>0.99998940000000003</v>
      </c>
      <c r="AB5737">
        <v>32</v>
      </c>
      <c r="AC5737">
        <v>-3.0097049999999999</v>
      </c>
      <c r="AD5737">
        <v>5.8782220000000003E-2</v>
      </c>
      <c r="AE5737">
        <v>6.1126710000000001E-2</v>
      </c>
      <c r="AF5737">
        <v>-1.3723787232414899E-2</v>
      </c>
      <c r="AG5737">
        <v>5.8782220000000003E-2</v>
      </c>
      <c r="AH5737">
        <v>3.00914698397027</v>
      </c>
      <c r="AI5737">
        <v>88.880908836773699</v>
      </c>
      <c r="AJ5737">
        <v>90.261306489796695</v>
      </c>
      <c r="AK5737">
        <v>3.0097523590590498</v>
      </c>
      <c r="AL5737">
        <v>93.399845290827201</v>
      </c>
      <c r="AM5737">
        <v>91.323024770275595</v>
      </c>
      <c r="AN5737">
        <v>1.0000000312950701</v>
      </c>
    </row>
    <row r="5738" spans="1:40" x14ac:dyDescent="0.25">
      <c r="A5738" t="str">
        <f>"20190303153922564"</f>
        <v>20190303153922564</v>
      </c>
      <c r="B5738" t="str">
        <f>"1551598762554395"</f>
        <v>1551598762554395</v>
      </c>
      <c r="C5738" t="s">
        <v>40</v>
      </c>
      <c r="D5738">
        <v>4.1686360000000002</v>
      </c>
      <c r="E5738">
        <v>0.50800940000000006</v>
      </c>
      <c r="F5738" t="s">
        <v>46</v>
      </c>
      <c r="G5738">
        <v>0</v>
      </c>
      <c r="H5738">
        <v>0</v>
      </c>
      <c r="I5738">
        <v>0</v>
      </c>
      <c r="J5738">
        <v>-240.64</v>
      </c>
      <c r="K5738">
        <v>1.1203110000000001</v>
      </c>
      <c r="L5738">
        <v>141.0128</v>
      </c>
      <c r="M5738">
        <v>-0.99967490000000003</v>
      </c>
      <c r="N5738">
        <v>-5.810646E-3</v>
      </c>
      <c r="O5738">
        <v>2.4823379999999999E-2</v>
      </c>
      <c r="P5738">
        <v>-0.99790100000000004</v>
      </c>
      <c r="Q5738">
        <v>-6.4737329999999996E-2</v>
      </c>
      <c r="R5738">
        <v>1.6502279999999999E-3</v>
      </c>
      <c r="S5738">
        <v>-3.0101619999999998</v>
      </c>
      <c r="T5738">
        <v>6.3347219999999996E-2</v>
      </c>
      <c r="U5738">
        <v>5.9814449999999998E-2</v>
      </c>
      <c r="V5738">
        <v>-2.3120330000000001E-2</v>
      </c>
      <c r="W5738">
        <v>-5.8940100000000002E-2</v>
      </c>
      <c r="X5738">
        <v>0.99799380000000004</v>
      </c>
      <c r="Y5738">
        <v>-4.9483720000000004E-3</v>
      </c>
      <c r="Z5738">
        <v>7.0411699999999998E-4</v>
      </c>
      <c r="AA5738">
        <v>0.99998750000000003</v>
      </c>
      <c r="AB5738">
        <v>32</v>
      </c>
      <c r="AC5738">
        <v>-3.0101619999999998</v>
      </c>
      <c r="AD5738">
        <v>6.3347219999999996E-2</v>
      </c>
      <c r="AE5738">
        <v>5.9814449999999998E-2</v>
      </c>
      <c r="AF5738">
        <v>-1.49210383883101E-2</v>
      </c>
      <c r="AG5738">
        <v>6.3347219999999996E-2</v>
      </c>
      <c r="AH5738">
        <v>3.0093869779413902</v>
      </c>
      <c r="AI5738">
        <v>88.7941239034852</v>
      </c>
      <c r="AJ5738">
        <v>90.284079623663899</v>
      </c>
      <c r="AK5738">
        <v>3.0100906117044901</v>
      </c>
      <c r="AL5738">
        <v>93.378977108765596</v>
      </c>
      <c r="AM5738">
        <v>91.327122891404997</v>
      </c>
      <c r="AN5738">
        <v>1.00000005494287</v>
      </c>
    </row>
    <row r="5739" spans="1:40" x14ac:dyDescent="0.25">
      <c r="A5739" t="str">
        <f>"20190303153922586"</f>
        <v>20190303153922586</v>
      </c>
      <c r="B5739" t="str">
        <f>"1551598762573914"</f>
        <v>1551598762573914</v>
      </c>
      <c r="C5739" t="s">
        <v>40</v>
      </c>
      <c r="D5739">
        <v>4.1474019999999996</v>
      </c>
      <c r="E5739">
        <v>0.50827389999999995</v>
      </c>
      <c r="F5739" t="s">
        <v>46</v>
      </c>
      <c r="G5739">
        <v>0</v>
      </c>
      <c r="H5739">
        <v>0</v>
      </c>
      <c r="I5739">
        <v>0</v>
      </c>
      <c r="J5739">
        <v>-240.9599</v>
      </c>
      <c r="K5739">
        <v>1.120449</v>
      </c>
      <c r="L5739">
        <v>141.02070000000001</v>
      </c>
      <c r="M5739">
        <v>-0.99967090000000003</v>
      </c>
      <c r="N5739">
        <v>-6.7109200000000004E-3</v>
      </c>
      <c r="O5739">
        <v>2.4762599999999999E-2</v>
      </c>
      <c r="P5739">
        <v>-0.99786229999999998</v>
      </c>
      <c r="Q5739">
        <v>-6.5311690000000006E-2</v>
      </c>
      <c r="R5739">
        <v>2.3540779999999999E-3</v>
      </c>
      <c r="S5739">
        <v>-3.01004</v>
      </c>
      <c r="T5739">
        <v>5.914283E-2</v>
      </c>
      <c r="U5739">
        <v>6.2530520000000006E-2</v>
      </c>
      <c r="V5739">
        <v>-2.235268E-2</v>
      </c>
      <c r="W5739">
        <v>-5.8616889999999998E-2</v>
      </c>
      <c r="X5739">
        <v>0.99803019999999998</v>
      </c>
      <c r="Y5739">
        <v>-3.985578E-3</v>
      </c>
      <c r="Z5739">
        <v>6.7831740000000003E-4</v>
      </c>
      <c r="AA5739">
        <v>0.99999179999999999</v>
      </c>
      <c r="AB5739">
        <v>32</v>
      </c>
      <c r="AC5739">
        <v>-3.01004</v>
      </c>
      <c r="AD5739">
        <v>5.914283E-2</v>
      </c>
      <c r="AE5739">
        <v>6.2530520000000006E-2</v>
      </c>
      <c r="AF5739">
        <v>-1.20221060295758E-2</v>
      </c>
      <c r="AG5739">
        <v>5.914283E-2</v>
      </c>
      <c r="AH5739">
        <v>3.0095040513680198</v>
      </c>
      <c r="AI5739">
        <v>88.874176166012404</v>
      </c>
      <c r="AJ5739">
        <v>90.228878998217198</v>
      </c>
      <c r="AK5739">
        <v>3.0101091409738499</v>
      </c>
      <c r="AL5739">
        <v>93.360426884299102</v>
      </c>
      <c r="AM5739">
        <v>91.283027454239999</v>
      </c>
      <c r="AN5739">
        <v>0.99999993110424401</v>
      </c>
    </row>
    <row r="5740" spans="1:40" x14ac:dyDescent="0.25">
      <c r="A5740" t="str">
        <f>"20190303153922607"</f>
        <v>20190303153922607</v>
      </c>
      <c r="B5740" t="str">
        <f>"1551598762604171"</f>
        <v>1551598762604171</v>
      </c>
      <c r="C5740" t="s">
        <v>40</v>
      </c>
      <c r="D5740">
        <v>4.165438</v>
      </c>
      <c r="E5740">
        <v>0.50884830000000003</v>
      </c>
      <c r="F5740" t="s">
        <v>46</v>
      </c>
      <c r="G5740">
        <v>0</v>
      </c>
      <c r="H5740">
        <v>0</v>
      </c>
      <c r="I5740">
        <v>0</v>
      </c>
      <c r="J5740">
        <v>-241.25210000000001</v>
      </c>
      <c r="K5740">
        <v>1.12056</v>
      </c>
      <c r="L5740">
        <v>141.02780000000001</v>
      </c>
      <c r="M5740">
        <v>-0.99966719999999998</v>
      </c>
      <c r="N5740">
        <v>-7.5112540000000002E-3</v>
      </c>
      <c r="O5740">
        <v>2.4682539999999999E-2</v>
      </c>
      <c r="P5740">
        <v>-0.9978129</v>
      </c>
      <c r="Q5740">
        <v>-6.6017820000000005E-2</v>
      </c>
      <c r="R5740">
        <v>3.3702710000000002E-3</v>
      </c>
      <c r="S5740">
        <v>-3.0099179999999999</v>
      </c>
      <c r="T5740">
        <v>5.570841E-2</v>
      </c>
      <c r="U5740">
        <v>6.7123409999999994E-2</v>
      </c>
      <c r="V5740">
        <v>-2.1253459999999998E-2</v>
      </c>
      <c r="W5740">
        <v>-5.8525199999999902E-2</v>
      </c>
      <c r="X5740">
        <v>0.99805969999999999</v>
      </c>
      <c r="Y5740">
        <v>-2.380105E-3</v>
      </c>
      <c r="Z5740">
        <v>6.5513110000000002E-4</v>
      </c>
      <c r="AA5740">
        <v>0.99999700000000002</v>
      </c>
      <c r="AB5740">
        <v>32</v>
      </c>
      <c r="AC5740">
        <v>-3.0099179999999999</v>
      </c>
      <c r="AD5740">
        <v>5.570841E-2</v>
      </c>
      <c r="AE5740">
        <v>6.7123409999999994E-2</v>
      </c>
      <c r="AF5740">
        <v>-7.1890909634221099E-3</v>
      </c>
      <c r="AG5740">
        <v>5.570841E-2</v>
      </c>
      <c r="AH5740">
        <v>3.0096273138435001</v>
      </c>
      <c r="AI5740">
        <v>88.939575275831601</v>
      </c>
      <c r="AJ5740">
        <v>90.136862057777705</v>
      </c>
      <c r="AK5740">
        <v>3.0101514377530001</v>
      </c>
      <c r="AL5740">
        <v>93.355164044870094</v>
      </c>
      <c r="AM5740">
        <v>91.219916544622905</v>
      </c>
      <c r="AN5740">
        <v>1.0000000366805499</v>
      </c>
    </row>
    <row r="5741" spans="1:40" x14ac:dyDescent="0.25">
      <c r="A5741" t="str">
        <f>"20190303153922630"</f>
        <v>20190303153922630</v>
      </c>
      <c r="B5741" t="str">
        <f>"1551598762624667"</f>
        <v>1551598762624667</v>
      </c>
      <c r="C5741" t="s">
        <v>40</v>
      </c>
      <c r="D5741">
        <v>4.1662699999999999</v>
      </c>
      <c r="E5741">
        <v>0.5088279</v>
      </c>
      <c r="F5741" t="s">
        <v>46</v>
      </c>
      <c r="G5741">
        <v>0</v>
      </c>
      <c r="H5741">
        <v>0</v>
      </c>
      <c r="I5741">
        <v>0</v>
      </c>
      <c r="J5741">
        <v>-241.57550000000001</v>
      </c>
      <c r="K5741">
        <v>1.1206579999999999</v>
      </c>
      <c r="L5741">
        <v>141.03569999999999</v>
      </c>
      <c r="M5741">
        <v>-0.99966350000000004</v>
      </c>
      <c r="N5741">
        <v>-8.3432939999999994E-3</v>
      </c>
      <c r="O5741">
        <v>2.4565879999999998E-2</v>
      </c>
      <c r="P5741">
        <v>-0.99776260000000006</v>
      </c>
      <c r="Q5741">
        <v>-6.6709149999999995E-2</v>
      </c>
      <c r="R5741">
        <v>4.4564619999999996E-3</v>
      </c>
      <c r="S5741">
        <v>-3.0097499999999999</v>
      </c>
      <c r="T5741">
        <v>5.20469E-2</v>
      </c>
      <c r="U5741">
        <v>7.5012209999999996E-2</v>
      </c>
      <c r="V5741">
        <v>-2.0046689999999999E-2</v>
      </c>
      <c r="W5741">
        <v>-5.8387179999999997E-2</v>
      </c>
      <c r="X5741">
        <v>0.99809270000000005</v>
      </c>
      <c r="Y5741">
        <v>3.5674520000000001E-4</v>
      </c>
      <c r="Z5741">
        <v>6.2799480000000005E-4</v>
      </c>
      <c r="AA5741">
        <v>0.99999979999999999</v>
      </c>
      <c r="AB5741">
        <v>32</v>
      </c>
      <c r="AC5741">
        <v>-3.0097499999999999</v>
      </c>
      <c r="AD5741">
        <v>5.20469E-2</v>
      </c>
      <c r="AE5741">
        <v>7.5012209999999996E-2</v>
      </c>
      <c r="AF5741">
        <v>1.04953383645513E-3</v>
      </c>
      <c r="AG5741">
        <v>5.20469E-2</v>
      </c>
      <c r="AH5741">
        <v>3.0097849525739502</v>
      </c>
      <c r="AI5741">
        <v>89.009307847417801</v>
      </c>
      <c r="AJ5741">
        <v>89.9800205470506</v>
      </c>
      <c r="AK5741">
        <v>3.01023511408353</v>
      </c>
      <c r="AL5741">
        <v>93.347242708264801</v>
      </c>
      <c r="AM5741">
        <v>91.150630916022095</v>
      </c>
      <c r="AN5741">
        <v>0.99999998518079902</v>
      </c>
    </row>
    <row r="5742" spans="1:40" x14ac:dyDescent="0.25">
      <c r="A5742" t="str">
        <f>"20190303153922651"</f>
        <v>20190303153922651</v>
      </c>
      <c r="B5742" t="str">
        <f>"1551598762644187"</f>
        <v>1551598762644187</v>
      </c>
      <c r="C5742" t="s">
        <v>40</v>
      </c>
      <c r="D5742">
        <v>4.1612010000000001</v>
      </c>
      <c r="E5742">
        <v>0.50889280000000003</v>
      </c>
      <c r="F5742" t="s">
        <v>70</v>
      </c>
      <c r="G5742">
        <v>-543.9624</v>
      </c>
      <c r="H5742">
        <v>6.0085100000000002</v>
      </c>
      <c r="I5742">
        <v>148.9051</v>
      </c>
      <c r="J5742">
        <v>-241.89590000000001</v>
      </c>
      <c r="K5742">
        <v>1.1207339999999999</v>
      </c>
      <c r="L5742">
        <v>141.04349999999999</v>
      </c>
      <c r="M5742">
        <v>-0.99966060000000001</v>
      </c>
      <c r="N5742">
        <v>-9.0879589999999996E-3</v>
      </c>
      <c r="O5742">
        <v>2.4420319999999999E-2</v>
      </c>
      <c r="P5742">
        <v>-0.99771109999999996</v>
      </c>
      <c r="Q5742">
        <v>-6.7430729999999994E-2</v>
      </c>
      <c r="R5742">
        <v>5.0575919999999996E-3</v>
      </c>
      <c r="S5742">
        <v>-3.0096129999999999</v>
      </c>
      <c r="T5742">
        <v>4.8648480000000001E-2</v>
      </c>
      <c r="U5742">
        <v>7.8323359999999995E-2</v>
      </c>
      <c r="V5742">
        <v>-1.9296649999999999E-2</v>
      </c>
      <c r="W5742">
        <v>-5.8366679999999997E-2</v>
      </c>
      <c r="X5742">
        <v>0.99810869999999996</v>
      </c>
      <c r="Y5742">
        <v>1.6024590000000001E-3</v>
      </c>
      <c r="Z5742">
        <v>6.108296E-4</v>
      </c>
      <c r="AA5742">
        <v>0.99999850000000001</v>
      </c>
      <c r="AB5742">
        <v>32</v>
      </c>
      <c r="AC5742">
        <v>-302.06650000000002</v>
      </c>
      <c r="AD5742">
        <v>4.8877759999999997</v>
      </c>
      <c r="AE5742">
        <v>7.8616000000000099</v>
      </c>
      <c r="AF5742">
        <v>0.48226485501664901</v>
      </c>
      <c r="AG5742">
        <v>4.8877759999999997</v>
      </c>
      <c r="AH5742">
        <v>302.08935869254799</v>
      </c>
      <c r="AI5742">
        <v>89.073042008647803</v>
      </c>
      <c r="AJ5742">
        <v>89.908531311908604</v>
      </c>
      <c r="AK5742">
        <v>302.12928287223599</v>
      </c>
      <c r="AL5742">
        <v>93.346066076807304</v>
      </c>
      <c r="AM5742">
        <v>91.107573638696493</v>
      </c>
      <c r="AN5742">
        <v>1.0000000035255601</v>
      </c>
    </row>
    <row r="5743" spans="1:40" x14ac:dyDescent="0.25">
      <c r="A5743" t="str">
        <f>"20190303153922674"</f>
        <v>20190303153922674</v>
      </c>
      <c r="B5743" t="str">
        <f>"1551598762664683"</f>
        <v>1551598762664683</v>
      </c>
      <c r="C5743" t="s">
        <v>40</v>
      </c>
      <c r="D5743">
        <v>4.1570790000000004</v>
      </c>
      <c r="E5743">
        <v>0.50890179999999996</v>
      </c>
      <c r="F5743" t="s">
        <v>70</v>
      </c>
      <c r="G5743">
        <v>-535.18230000000005</v>
      </c>
      <c r="H5743">
        <v>5.5677120000000002</v>
      </c>
      <c r="I5743">
        <v>148.9051</v>
      </c>
      <c r="J5743">
        <v>-242.21100000000001</v>
      </c>
      <c r="K5743">
        <v>1.1207959999999999</v>
      </c>
      <c r="L5743">
        <v>141.05099999999999</v>
      </c>
      <c r="M5743">
        <v>-0.99965820000000005</v>
      </c>
      <c r="N5743">
        <v>-9.7485030000000004E-3</v>
      </c>
      <c r="O5743">
        <v>2.4256960000000001E-2</v>
      </c>
      <c r="P5743">
        <v>-0.9976372</v>
      </c>
      <c r="Q5743">
        <v>-6.8452470000000001E-2</v>
      </c>
      <c r="R5743">
        <v>5.8828969999999998E-3</v>
      </c>
      <c r="S5743">
        <v>-3.0095830000000001</v>
      </c>
      <c r="T5743">
        <v>4.5633439999999997E-2</v>
      </c>
      <c r="U5743">
        <v>8.0673220000000004E-2</v>
      </c>
      <c r="V5743">
        <v>-1.8303920000000001E-2</v>
      </c>
      <c r="W5743">
        <v>-5.8730159999999997E-2</v>
      </c>
      <c r="X5743">
        <v>0.9981061</v>
      </c>
      <c r="Y5743">
        <v>2.545954E-3</v>
      </c>
      <c r="Z5743">
        <v>5.9721890000000004E-4</v>
      </c>
      <c r="AA5743">
        <v>0.99999660000000001</v>
      </c>
      <c r="AB5743">
        <v>32</v>
      </c>
      <c r="AC5743">
        <v>-292.97129999999999</v>
      </c>
      <c r="AD5743">
        <v>4.4469159999999999</v>
      </c>
      <c r="AE5743">
        <v>7.8540999999999803</v>
      </c>
      <c r="AF5743">
        <v>0.74468632921945999</v>
      </c>
      <c r="AG5743">
        <v>4.4469159999999999</v>
      </c>
      <c r="AH5743">
        <v>293.00815429437898</v>
      </c>
      <c r="AI5743">
        <v>89.130504961448693</v>
      </c>
      <c r="AJ5743">
        <v>89.854381896091098</v>
      </c>
      <c r="AK5743">
        <v>293.042843459175</v>
      </c>
      <c r="AL5743">
        <v>93.366927657679497</v>
      </c>
      <c r="AM5743">
        <v>91.050609572125296</v>
      </c>
      <c r="AN5743">
        <v>1.0000000260191</v>
      </c>
    </row>
    <row r="5744" spans="1:40" x14ac:dyDescent="0.25">
      <c r="A5744" t="str">
        <f>"20190303153922696"</f>
        <v>20190303153922696</v>
      </c>
      <c r="B5744" t="str">
        <f>"1551598762684203"</f>
        <v>1551598762684203</v>
      </c>
      <c r="C5744" t="s">
        <v>40</v>
      </c>
      <c r="D5744">
        <v>4.1322330000000003</v>
      </c>
      <c r="E5744">
        <v>0.50898620000000006</v>
      </c>
      <c r="F5744" t="s">
        <v>46</v>
      </c>
      <c r="G5744">
        <v>0</v>
      </c>
      <c r="H5744">
        <v>0</v>
      </c>
      <c r="I5744">
        <v>0</v>
      </c>
      <c r="J5744">
        <v>-242.5264</v>
      </c>
      <c r="K5744">
        <v>1.1208389999999999</v>
      </c>
      <c r="L5744">
        <v>141.05850000000001</v>
      </c>
      <c r="M5744">
        <v>-0.99965680000000001</v>
      </c>
      <c r="N5744">
        <v>-1.03401E-2</v>
      </c>
      <c r="O5744">
        <v>2.407248E-2</v>
      </c>
      <c r="P5744">
        <v>-0.99754770000000004</v>
      </c>
      <c r="Q5744">
        <v>-6.9631789999999999E-2</v>
      </c>
      <c r="R5744">
        <v>7.1023969999999999E-3</v>
      </c>
      <c r="S5744">
        <v>-3.00943</v>
      </c>
      <c r="T5744">
        <v>4.1266799999999999E-2</v>
      </c>
      <c r="U5744">
        <v>8.3267209999999994E-2</v>
      </c>
      <c r="V5744">
        <v>-1.6895500000000001E-2</v>
      </c>
      <c r="W5744">
        <v>-5.9319829999999997E-2</v>
      </c>
      <c r="X5744">
        <v>0.99809599999999998</v>
      </c>
      <c r="Y5744">
        <v>3.592483E-3</v>
      </c>
      <c r="Z5744">
        <v>5.7280540000000004E-4</v>
      </c>
      <c r="AA5744">
        <v>0.99999340000000003</v>
      </c>
      <c r="AB5744">
        <v>32</v>
      </c>
      <c r="AC5744">
        <v>-3.00943</v>
      </c>
      <c r="AD5744">
        <v>4.1266799999999999E-2</v>
      </c>
      <c r="AE5744">
        <v>8.3267209999999994E-2</v>
      </c>
      <c r="AF5744">
        <v>1.07927378179229E-2</v>
      </c>
      <c r="AG5744">
        <v>4.1266799999999999E-2</v>
      </c>
      <c r="AH5744">
        <v>3.0099968325666602</v>
      </c>
      <c r="AI5744">
        <v>89.214534005807806</v>
      </c>
      <c r="AJ5744">
        <v>89.794559359805106</v>
      </c>
      <c r="AK5744">
        <v>3.0102990489373598</v>
      </c>
      <c r="AL5744">
        <v>93.400772483146397</v>
      </c>
      <c r="AM5744">
        <v>90.969794884710296</v>
      </c>
      <c r="AN5744">
        <v>0.99999996268373803</v>
      </c>
    </row>
    <row r="5745" spans="1:40" x14ac:dyDescent="0.25">
      <c r="A5745" t="str">
        <f>"20190303153922718"</f>
        <v>20190303153922718</v>
      </c>
      <c r="B5745" t="str">
        <f>"1551598762714460"</f>
        <v>1551598762714460</v>
      </c>
      <c r="C5745" t="s">
        <v>40</v>
      </c>
      <c r="D5745">
        <v>4.192742</v>
      </c>
      <c r="E5745">
        <v>0.5088182</v>
      </c>
      <c r="F5745" t="s">
        <v>70</v>
      </c>
      <c r="G5745">
        <v>-550.1635</v>
      </c>
      <c r="H5745">
        <v>4.9505309999999998</v>
      </c>
      <c r="I5745">
        <v>150.03700000000001</v>
      </c>
      <c r="J5745">
        <v>-242.8339</v>
      </c>
      <c r="K5745">
        <v>1.120871</v>
      </c>
      <c r="L5745">
        <v>141.06569999999999</v>
      </c>
      <c r="M5745">
        <v>-0.99965619999999999</v>
      </c>
      <c r="N5745">
        <v>-1.085298E-2</v>
      </c>
      <c r="O5745">
        <v>2.3872839999999999E-2</v>
      </c>
      <c r="P5745">
        <v>-0.9974944</v>
      </c>
      <c r="Q5745">
        <v>-7.0355269999999998E-2</v>
      </c>
      <c r="R5745">
        <v>7.4469619999999997E-3</v>
      </c>
      <c r="S5745">
        <v>-3.0093540000000001</v>
      </c>
      <c r="T5745">
        <v>3.7463070000000001E-2</v>
      </c>
      <c r="U5745">
        <v>8.7829589999999999E-2</v>
      </c>
      <c r="V5745">
        <v>-1.6348930000000001E-2</v>
      </c>
      <c r="W5745">
        <v>-5.9532229999999998E-2</v>
      </c>
      <c r="X5745">
        <v>0.99809250000000005</v>
      </c>
      <c r="Y5745">
        <v>5.3071430000000003E-3</v>
      </c>
      <c r="Z5745">
        <v>5.5191479999999998E-4</v>
      </c>
      <c r="AA5745">
        <v>0.99998580000000004</v>
      </c>
      <c r="AB5745">
        <v>32</v>
      </c>
      <c r="AC5745">
        <v>-307.32960000000003</v>
      </c>
      <c r="AD5745">
        <v>3.8296600000000001</v>
      </c>
      <c r="AE5745">
        <v>8.97130000000001</v>
      </c>
      <c r="AF5745">
        <v>1.6312281286822099</v>
      </c>
      <c r="AG5745">
        <v>3.8296600000000001</v>
      </c>
      <c r="AH5745">
        <v>307.408491405277</v>
      </c>
      <c r="AI5745">
        <v>89.286262669865394</v>
      </c>
      <c r="AJ5745">
        <v>89.695969328779697</v>
      </c>
      <c r="AK5745">
        <v>307.43667281082799</v>
      </c>
      <c r="AL5745">
        <v>93.412963503676195</v>
      </c>
      <c r="AM5745">
        <v>90.938430981559407</v>
      </c>
      <c r="AN5745">
        <v>1.0000000062385801</v>
      </c>
    </row>
    <row r="5746" spans="1:40" x14ac:dyDescent="0.25">
      <c r="A5746" t="str">
        <f>"20190303153922740"</f>
        <v>20190303153922740</v>
      </c>
      <c r="B5746" t="str">
        <f>"1551598762733979"</f>
        <v>1551598762733979</v>
      </c>
      <c r="C5746" t="s">
        <v>40</v>
      </c>
      <c r="D5746">
        <v>4.1973960000000003</v>
      </c>
      <c r="E5746">
        <v>0.50266140000000004</v>
      </c>
      <c r="F5746" t="s">
        <v>70</v>
      </c>
      <c r="G5746">
        <v>-550.16340000000002</v>
      </c>
      <c r="H5746">
        <v>4.5934809999999997</v>
      </c>
      <c r="I5746">
        <v>149.99809999999999</v>
      </c>
      <c r="J5746">
        <v>-243.1498</v>
      </c>
      <c r="K5746">
        <v>1.1208979999999999</v>
      </c>
      <c r="L5746">
        <v>141.07299999999901</v>
      </c>
      <c r="M5746">
        <v>-0.9996564</v>
      </c>
      <c r="N5746">
        <v>-1.131821E-2</v>
      </c>
      <c r="O5746">
        <v>2.364871E-2</v>
      </c>
      <c r="P5746">
        <v>-0.99745019999999995</v>
      </c>
      <c r="Q5746">
        <v>-7.1030570000000001E-2</v>
      </c>
      <c r="R5746">
        <v>6.9125840000000003E-3</v>
      </c>
      <c r="S5746">
        <v>-3.0092620000000001</v>
      </c>
      <c r="T5746">
        <v>3.4003020000000002E-2</v>
      </c>
      <c r="U5746">
        <v>8.7463379999999993E-2</v>
      </c>
      <c r="V5746">
        <v>-1.665616E-2</v>
      </c>
      <c r="W5746">
        <v>-5.9744470000000001E-2</v>
      </c>
      <c r="X5746">
        <v>0.99807469999999998</v>
      </c>
      <c r="Y5746">
        <v>5.4101430000000001E-3</v>
      </c>
      <c r="Z5746">
        <v>5.3481429999999999E-4</v>
      </c>
      <c r="AA5746">
        <v>0.99998520000000002</v>
      </c>
      <c r="AB5746">
        <v>32</v>
      </c>
      <c r="AC5746">
        <v>-307.0136</v>
      </c>
      <c r="AD5746">
        <v>3.4725830000000002</v>
      </c>
      <c r="AE5746">
        <v>8.9251000000000094</v>
      </c>
      <c r="AF5746">
        <v>1.66145156524743</v>
      </c>
      <c r="AG5746">
        <v>3.4725830000000002</v>
      </c>
      <c r="AH5746">
        <v>307.099551500541</v>
      </c>
      <c r="AI5746">
        <v>89.352154836698304</v>
      </c>
      <c r="AJ5746">
        <v>89.690024836116507</v>
      </c>
      <c r="AK5746">
        <v>307.12367832166399</v>
      </c>
      <c r="AL5746">
        <v>93.425145774359194</v>
      </c>
      <c r="AM5746">
        <v>90.956079833090499</v>
      </c>
      <c r="AN5746">
        <v>0.99999996807080704</v>
      </c>
    </row>
    <row r="5747" spans="1:40" x14ac:dyDescent="0.25">
      <c r="A5747" t="str">
        <f>"20190303153922765"</f>
        <v>20190303153922765</v>
      </c>
      <c r="B5747" t="str">
        <f>"1551598762754475"</f>
        <v>1551598762754475</v>
      </c>
      <c r="C5747" t="s">
        <v>40</v>
      </c>
      <c r="D5747">
        <v>4.1834829999999998</v>
      </c>
      <c r="E5747">
        <v>0.50330790000000003</v>
      </c>
      <c r="F5747" t="s">
        <v>42</v>
      </c>
      <c r="G5747">
        <v>-338.5462</v>
      </c>
      <c r="H5747" s="1">
        <v>-1.379053E-6</v>
      </c>
      <c r="I5747">
        <v>142.28989999999999</v>
      </c>
      <c r="J5747">
        <v>-243.4949</v>
      </c>
      <c r="K5747">
        <v>1.120927</v>
      </c>
      <c r="L5747">
        <v>141.08090000000001</v>
      </c>
      <c r="M5747">
        <v>-0.99965740000000003</v>
      </c>
      <c r="N5747">
        <v>-1.1762730000000001E-2</v>
      </c>
      <c r="O5747">
        <v>2.338318E-2</v>
      </c>
      <c r="P5747">
        <v>-0.99745090000000003</v>
      </c>
      <c r="Q5747">
        <v>-7.1106089999999997E-2</v>
      </c>
      <c r="R5747">
        <v>5.9760550000000001E-3</v>
      </c>
      <c r="S5747">
        <v>-3.0048979999999998</v>
      </c>
      <c r="T5747">
        <v>-3.5307289999999998E-2</v>
      </c>
      <c r="U5747">
        <v>3.8330080000000002E-2</v>
      </c>
      <c r="V5747">
        <v>-1.732473E-2</v>
      </c>
      <c r="W5747">
        <v>-5.9377489999999998E-2</v>
      </c>
      <c r="X5747">
        <v>0.99808529999999995</v>
      </c>
      <c r="Y5747">
        <v>-1.063009E-2</v>
      </c>
      <c r="Z5747">
        <v>-1.245982E-4</v>
      </c>
      <c r="AA5747">
        <v>0.99994349999999999</v>
      </c>
      <c r="AB5747">
        <v>32</v>
      </c>
      <c r="AC5747">
        <v>-95.051299999999998</v>
      </c>
      <c r="AD5747">
        <v>-1.120928379053</v>
      </c>
      <c r="AE5747">
        <v>1.2089999999999701</v>
      </c>
      <c r="AF5747">
        <v>-1.01394500331211</v>
      </c>
      <c r="AG5747">
        <v>-1.120928379053</v>
      </c>
      <c r="AH5747">
        <v>95.040364011297797</v>
      </c>
      <c r="AI5747">
        <v>90.675690103561493</v>
      </c>
      <c r="AJ5747">
        <v>90.611240981847303</v>
      </c>
      <c r="AK5747">
        <v>95.052382170573196</v>
      </c>
      <c r="AL5747">
        <v>93.404081696233007</v>
      </c>
      <c r="AM5747">
        <v>90.994438286020497</v>
      </c>
      <c r="AN5747">
        <v>1.0000000493321799</v>
      </c>
    </row>
    <row r="5748" spans="1:40" x14ac:dyDescent="0.25">
      <c r="A5748" t="str">
        <f>"20190303153922788"</f>
        <v>20190303153922788</v>
      </c>
      <c r="B5748" t="str">
        <f>"1551598762784732"</f>
        <v>1551598762784732</v>
      </c>
      <c r="C5748" t="s">
        <v>40</v>
      </c>
      <c r="D5748">
        <v>4.2461159999999998</v>
      </c>
      <c r="E5748">
        <v>0.50273100000000004</v>
      </c>
      <c r="F5748" t="s">
        <v>42</v>
      </c>
      <c r="G5748">
        <v>-361.53809999999999</v>
      </c>
      <c r="H5748" s="1">
        <v>-4.2959200000000004E-6</v>
      </c>
      <c r="I5748">
        <v>142.67920000000001</v>
      </c>
      <c r="J5748">
        <v>-243.82079999999999</v>
      </c>
      <c r="K5748">
        <v>1.1209610000000001</v>
      </c>
      <c r="L5748">
        <v>141.0882</v>
      </c>
      <c r="M5748">
        <v>-0.99965939999999998</v>
      </c>
      <c r="N5748">
        <v>-1.2126649999999999E-2</v>
      </c>
      <c r="O5748">
        <v>2.311175E-2</v>
      </c>
      <c r="P5748">
        <v>-0.99748219999999999</v>
      </c>
      <c r="Q5748">
        <v>-7.0727090000000006E-2</v>
      </c>
      <c r="R5748">
        <v>5.1781090000000002E-3</v>
      </c>
      <c r="S5748">
        <v>-3.005417</v>
      </c>
      <c r="T5748">
        <v>-2.85393E-2</v>
      </c>
      <c r="U5748">
        <v>4.0695189999999999E-2</v>
      </c>
      <c r="V5748">
        <v>-1.7850930000000001E-2</v>
      </c>
      <c r="W5748">
        <v>-5.8636029999999999E-2</v>
      </c>
      <c r="X5748">
        <v>0.9981198</v>
      </c>
      <c r="Y5748">
        <v>-9.574506E-3</v>
      </c>
      <c r="Z5748" s="1">
        <v>-4.2650420000000002E-5</v>
      </c>
      <c r="AA5748">
        <v>0.99995420000000002</v>
      </c>
      <c r="AB5748">
        <v>32</v>
      </c>
      <c r="AC5748">
        <v>-117.71729999999999</v>
      </c>
      <c r="AD5748">
        <v>-1.12096529592</v>
      </c>
      <c r="AE5748">
        <v>1.591</v>
      </c>
      <c r="AF5748">
        <v>-1.1301752786008601</v>
      </c>
      <c r="AG5748">
        <v>-1.12096529592</v>
      </c>
      <c r="AH5748">
        <v>117.71195317157</v>
      </c>
      <c r="AI5748">
        <v>90.545583328549995</v>
      </c>
      <c r="AJ5748">
        <v>90.550090982208403</v>
      </c>
      <c r="AK5748">
        <v>117.72271564494601</v>
      </c>
      <c r="AL5748">
        <v>93.361525225507293</v>
      </c>
      <c r="AM5748">
        <v>91.024600375714002</v>
      </c>
      <c r="AN5748">
        <v>0.99999998743403196</v>
      </c>
    </row>
    <row r="5749" spans="1:40" x14ac:dyDescent="0.25">
      <c r="A5749" t="str">
        <f>"20190303153922809"</f>
        <v>20190303153922809</v>
      </c>
      <c r="B5749" t="str">
        <f>"1551598762804251"</f>
        <v>1551598762804251</v>
      </c>
      <c r="C5749" t="s">
        <v>40</v>
      </c>
      <c r="D5749">
        <v>4.2612889999999997</v>
      </c>
      <c r="E5749">
        <v>0.50263440000000004</v>
      </c>
      <c r="F5749" t="s">
        <v>42</v>
      </c>
      <c r="G5749">
        <v>-370.65339999999998</v>
      </c>
      <c r="H5749" s="1">
        <v>-4.56709E-6</v>
      </c>
      <c r="I5749">
        <v>142.51050000000001</v>
      </c>
      <c r="J5749">
        <v>-244.10659999999999</v>
      </c>
      <c r="K5749">
        <v>1.1209819999999999</v>
      </c>
      <c r="L5749">
        <v>141.09460000000001</v>
      </c>
      <c r="M5749">
        <v>-0.99966189999999999</v>
      </c>
      <c r="N5749">
        <v>-1.2403910000000001E-2</v>
      </c>
      <c r="O5749">
        <v>2.2854059999999999E-2</v>
      </c>
      <c r="P5749">
        <v>-0.99755039999999995</v>
      </c>
      <c r="Q5749">
        <v>-6.9780350000000005E-2</v>
      </c>
      <c r="R5749">
        <v>4.891566E-3</v>
      </c>
      <c r="S5749">
        <v>-3.0055239999999999</v>
      </c>
      <c r="T5749">
        <v>-2.656329E-2</v>
      </c>
      <c r="U5749">
        <v>3.3706670000000001E-2</v>
      </c>
      <c r="V5749">
        <v>-1.788029E-2</v>
      </c>
      <c r="W5749">
        <v>-5.7412499999999998E-2</v>
      </c>
      <c r="X5749">
        <v>0.99819040000000003</v>
      </c>
      <c r="Y5749">
        <v>-1.164187E-2</v>
      </c>
      <c r="Z5749" s="1">
        <v>-4.2100839999999998E-5</v>
      </c>
      <c r="AA5749">
        <v>0.99993220000000005</v>
      </c>
      <c r="AB5749">
        <v>32</v>
      </c>
      <c r="AC5749">
        <v>-126.5468</v>
      </c>
      <c r="AD5749">
        <v>-1.1209865670900001</v>
      </c>
      <c r="AE5749">
        <v>1.4158999999999899</v>
      </c>
      <c r="AF5749">
        <v>-1.4766845700443201</v>
      </c>
      <c r="AG5749">
        <v>-1.1209865670900001</v>
      </c>
      <c r="AH5749">
        <v>126.536176011884</v>
      </c>
      <c r="AI5749">
        <v>90.507536644701005</v>
      </c>
      <c r="AJ5749">
        <v>90.668614743994297</v>
      </c>
      <c r="AK5749">
        <v>126.549757202112</v>
      </c>
      <c r="AL5749">
        <v>93.2913038046145</v>
      </c>
      <c r="AM5749">
        <v>91.026212637279599</v>
      </c>
      <c r="AN5749">
        <v>0.99999998728944695</v>
      </c>
    </row>
    <row r="5750" spans="1:40" x14ac:dyDescent="0.25">
      <c r="A5750" t="str">
        <f>"20190303153922831"</f>
        <v>20190303153922831</v>
      </c>
      <c r="B5750" t="str">
        <f>"1551598762824747"</f>
        <v>1551598762824747</v>
      </c>
      <c r="C5750" t="s">
        <v>40</v>
      </c>
      <c r="D5750">
        <v>4.2105160000000001</v>
      </c>
      <c r="E5750">
        <v>0.50249319999999997</v>
      </c>
      <c r="F5750" t="s">
        <v>68</v>
      </c>
      <c r="G5750">
        <v>-400.53250000000003</v>
      </c>
      <c r="H5750" s="1">
        <v>-6.893163E-6</v>
      </c>
      <c r="I5750">
        <v>142.75739999999999</v>
      </c>
      <c r="J5750">
        <v>-244.4248</v>
      </c>
      <c r="K5750">
        <v>1.1210199999999999</v>
      </c>
      <c r="L5750">
        <v>141.10149999999999</v>
      </c>
      <c r="M5750">
        <v>-0.99966560000000004</v>
      </c>
      <c r="N5750">
        <v>-1.267283E-2</v>
      </c>
      <c r="O5750">
        <v>2.2544359999999999E-2</v>
      </c>
      <c r="P5750">
        <v>-0.99760230000000005</v>
      </c>
      <c r="Q5750">
        <v>-6.9063369999999999E-2</v>
      </c>
      <c r="R5750">
        <v>4.4852159999999898E-3</v>
      </c>
      <c r="S5750">
        <v>-3.0057070000000001</v>
      </c>
      <c r="T5750">
        <v>-2.153969E-2</v>
      </c>
      <c r="U5750">
        <v>3.1951899999999998E-2</v>
      </c>
      <c r="V5750">
        <v>-1.7976490000000001E-2</v>
      </c>
      <c r="W5750">
        <v>-5.6427339999999999E-2</v>
      </c>
      <c r="X5750">
        <v>0.99824489999999999</v>
      </c>
      <c r="Y5750">
        <v>-1.1916589999999999E-2</v>
      </c>
      <c r="Z5750" s="1">
        <v>5.9833839999999997E-6</v>
      </c>
      <c r="AA5750">
        <v>0.99992899999999996</v>
      </c>
      <c r="AB5750">
        <v>32</v>
      </c>
      <c r="AC5750">
        <v>-156.10769999999999</v>
      </c>
      <c r="AD5750">
        <v>-1.1210268931630001</v>
      </c>
      <c r="AE5750">
        <v>1.6558999999999999</v>
      </c>
      <c r="AF5750">
        <v>-1.86405535328636</v>
      </c>
      <c r="AG5750">
        <v>-1.1210268931630001</v>
      </c>
      <c r="AH5750">
        <v>156.097303287188</v>
      </c>
      <c r="AI5750">
        <v>90.4114384117795</v>
      </c>
      <c r="AJ5750">
        <v>90.684172153798997</v>
      </c>
      <c r="AK5750">
        <v>156.11245785390599</v>
      </c>
      <c r="AL5750">
        <v>93.234766460878006</v>
      </c>
      <c r="AM5750">
        <v>91.031676386740202</v>
      </c>
      <c r="AN5750">
        <v>1.0000000396341</v>
      </c>
    </row>
    <row r="5751" spans="1:40" x14ac:dyDescent="0.25">
      <c r="A5751" t="str">
        <f>"20190303153922854"</f>
        <v>20190303153922854</v>
      </c>
      <c r="B5751" t="str">
        <f>"1551598762844268"</f>
        <v>1551598762844268</v>
      </c>
      <c r="C5751" t="s">
        <v>40</v>
      </c>
      <c r="D5751">
        <v>4.181908</v>
      </c>
      <c r="E5751">
        <v>0.50235459999999998</v>
      </c>
      <c r="F5751" t="s">
        <v>68</v>
      </c>
      <c r="G5751">
        <v>-417.38060000000002</v>
      </c>
      <c r="H5751" s="1">
        <v>-1.1144539999999999E-5</v>
      </c>
      <c r="I5751">
        <v>142.804</v>
      </c>
      <c r="J5751">
        <v>-244.7439</v>
      </c>
      <c r="K5751">
        <v>1.1210610000000001</v>
      </c>
      <c r="L5751">
        <v>141.10830000000001</v>
      </c>
      <c r="M5751">
        <v>-0.99967010000000001</v>
      </c>
      <c r="N5751">
        <v>-1.290548E-2</v>
      </c>
      <c r="O5751">
        <v>2.2211270000000002E-2</v>
      </c>
      <c r="P5751">
        <v>-0.99764319999999895</v>
      </c>
      <c r="Q5751">
        <v>-6.849297E-2</v>
      </c>
      <c r="R5751">
        <v>4.1255490000000001E-3</v>
      </c>
      <c r="S5751">
        <v>-3.005722</v>
      </c>
      <c r="T5751">
        <v>-1.94819E-2</v>
      </c>
      <c r="U5751">
        <v>2.9586790000000002E-2</v>
      </c>
      <c r="V5751">
        <v>-1.800301E-2</v>
      </c>
      <c r="W5751">
        <v>-5.5625050000000002E-2</v>
      </c>
      <c r="X5751">
        <v>0.99828939999999999</v>
      </c>
      <c r="Y5751">
        <v>-1.2370229999999999E-2</v>
      </c>
      <c r="Z5751" s="1">
        <v>2.2816089999999999E-5</v>
      </c>
      <c r="AA5751">
        <v>0.99992349999999997</v>
      </c>
      <c r="AB5751">
        <v>31</v>
      </c>
      <c r="AC5751">
        <v>-172.63669999999999</v>
      </c>
      <c r="AD5751">
        <v>-1.12107214454</v>
      </c>
      <c r="AE5751">
        <v>1.69569999999998</v>
      </c>
      <c r="AF5751">
        <v>-2.1394275191357401</v>
      </c>
      <c r="AG5751">
        <v>-1.12107214454</v>
      </c>
      <c r="AH5751">
        <v>172.62449127727101</v>
      </c>
      <c r="AI5751">
        <v>90.372061152241102</v>
      </c>
      <c r="AJ5751">
        <v>90.710060843627801</v>
      </c>
      <c r="AK5751">
        <v>172.641388263647</v>
      </c>
      <c r="AL5751">
        <v>93.188726472519093</v>
      </c>
      <c r="AM5751">
        <v>91.033152002044204</v>
      </c>
      <c r="AN5751">
        <v>0.99999999035446097</v>
      </c>
    </row>
    <row r="5752" spans="1:40" x14ac:dyDescent="0.25">
      <c r="A5752" t="str">
        <f>"20190303153922876"</f>
        <v>20190303153922876</v>
      </c>
      <c r="B5752" t="str">
        <f>"1551598762864763"</f>
        <v>1551598762864763</v>
      </c>
      <c r="C5752" t="s">
        <v>40</v>
      </c>
      <c r="D5752">
        <v>4.1862130000000004</v>
      </c>
      <c r="E5752">
        <v>0.50225949999999997</v>
      </c>
      <c r="F5752" t="s">
        <v>68</v>
      </c>
      <c r="G5752">
        <v>-421.00720000000001</v>
      </c>
      <c r="H5752" s="1">
        <v>-1.1073829999999999E-5</v>
      </c>
      <c r="I5752">
        <v>142.71719999999999</v>
      </c>
      <c r="J5752">
        <v>-245.05539999999999</v>
      </c>
      <c r="K5752">
        <v>1.1210850000000001</v>
      </c>
      <c r="L5752">
        <v>141.11490000000001</v>
      </c>
      <c r="M5752">
        <v>-0.99967499999999998</v>
      </c>
      <c r="N5752">
        <v>-1.3102249999999999E-2</v>
      </c>
      <c r="O5752">
        <v>2.187004E-2</v>
      </c>
      <c r="P5752">
        <v>-0.99766900000000003</v>
      </c>
      <c r="Q5752">
        <v>-6.8142250000000001E-2</v>
      </c>
      <c r="R5752">
        <v>3.660412E-3</v>
      </c>
      <c r="S5752">
        <v>-3.0056609999999999</v>
      </c>
      <c r="T5752">
        <v>-1.9116640000000001E-2</v>
      </c>
      <c r="U5752">
        <v>2.7435299999999999E-2</v>
      </c>
      <c r="V5752">
        <v>-1.8126369999999999E-2</v>
      </c>
      <c r="W5752">
        <v>-5.5078330000000002E-2</v>
      </c>
      <c r="X5752">
        <v>0.99831749999999997</v>
      </c>
      <c r="Y5752">
        <v>-1.2744409999999999E-2</v>
      </c>
      <c r="Z5752" s="1">
        <v>2.3473010000000001E-5</v>
      </c>
      <c r="AA5752">
        <v>0.9999188</v>
      </c>
      <c r="AB5752">
        <v>31</v>
      </c>
      <c r="AC5752">
        <v>-175.95179999999999</v>
      </c>
      <c r="AD5752">
        <v>-1.12109607383</v>
      </c>
      <c r="AE5752">
        <v>1.6022999999999801</v>
      </c>
      <c r="AF5752">
        <v>-2.2463952133273701</v>
      </c>
      <c r="AG5752">
        <v>-1.12109607383</v>
      </c>
      <c r="AH5752">
        <v>175.93761234402399</v>
      </c>
      <c r="AI5752">
        <v>90.365061047508902</v>
      </c>
      <c r="AJ5752">
        <v>90.731520506274506</v>
      </c>
      <c r="AK5752">
        <v>175.95552445199701</v>
      </c>
      <c r="AL5752">
        <v>93.157353566393994</v>
      </c>
      <c r="AM5752">
        <v>91.040200529717197</v>
      </c>
      <c r="AN5752">
        <v>1.0000000092656001</v>
      </c>
    </row>
    <row r="5753" spans="1:40" x14ac:dyDescent="0.25">
      <c r="A5753" t="str">
        <f>"20190303153922896"</f>
        <v>20190303153922896</v>
      </c>
      <c r="B5753" t="str">
        <f>"1551598762894044"</f>
        <v>1551598762894044</v>
      </c>
      <c r="C5753" t="s">
        <v>40</v>
      </c>
      <c r="D5753">
        <v>4.1789809999999896</v>
      </c>
      <c r="E5753">
        <v>0.50213920000000001</v>
      </c>
      <c r="F5753" t="s">
        <v>68</v>
      </c>
      <c r="G5753">
        <v>-437.40010000000001</v>
      </c>
      <c r="H5753" s="1">
        <v>-9.3641129999999996E-6</v>
      </c>
      <c r="I5753">
        <v>142.73089999999999</v>
      </c>
      <c r="J5753">
        <v>-245.3494</v>
      </c>
      <c r="K5753">
        <v>1.1211100000000001</v>
      </c>
      <c r="L5753">
        <v>141.12100000000001</v>
      </c>
      <c r="M5753">
        <v>-0.99968009999999996</v>
      </c>
      <c r="N5753">
        <v>-1.3263759999999999E-2</v>
      </c>
      <c r="O5753">
        <v>2.1535599999999998E-2</v>
      </c>
      <c r="P5753">
        <v>-0.99770230000000004</v>
      </c>
      <c r="Q5753">
        <v>-6.7674440000000002E-2</v>
      </c>
      <c r="R5753">
        <v>3.2034540000000001E-3</v>
      </c>
      <c r="S5753">
        <v>-3.0057529999999999</v>
      </c>
      <c r="T5753">
        <v>-1.7519239999999998E-2</v>
      </c>
      <c r="U5753">
        <v>2.5253299999999999E-2</v>
      </c>
      <c r="V5753">
        <v>-1.8249339999999999E-2</v>
      </c>
      <c r="W5753">
        <v>-5.4449520000000001E-2</v>
      </c>
      <c r="X5753">
        <v>0.99834970000000001</v>
      </c>
      <c r="Y5753">
        <v>-1.3136E-2</v>
      </c>
      <c r="Z5753" s="1">
        <v>3.4763220000000001E-5</v>
      </c>
      <c r="AA5753">
        <v>0.99991370000000002</v>
      </c>
      <c r="AB5753">
        <v>31</v>
      </c>
      <c r="AC5753">
        <v>-192.05070000000001</v>
      </c>
      <c r="AD5753">
        <v>-1.1211193641129999</v>
      </c>
      <c r="AE5753">
        <v>1.6098999999999799</v>
      </c>
      <c r="AF5753">
        <v>-2.52667822267333</v>
      </c>
      <c r="AG5753">
        <v>-1.1211193641129999</v>
      </c>
      <c r="AH5753">
        <v>192.03428172304299</v>
      </c>
      <c r="AI5753">
        <v>90.334466941513099</v>
      </c>
      <c r="AJ5753">
        <v>90.753821890191503</v>
      </c>
      <c r="AK5753">
        <v>192.054175607703</v>
      </c>
      <c r="AL5753">
        <v>93.121271425605997</v>
      </c>
      <c r="AM5753">
        <v>91.047221954446897</v>
      </c>
      <c r="AN5753">
        <v>0.99999995606437697</v>
      </c>
    </row>
    <row r="5754" spans="1:40" x14ac:dyDescent="0.25">
      <c r="A5754" t="str">
        <f>"20190303153922919"</f>
        <v>20190303153922919</v>
      </c>
      <c r="B5754" t="str">
        <f>"1551598762914540"</f>
        <v>1551598762914540</v>
      </c>
      <c r="C5754" t="s">
        <v>40</v>
      </c>
      <c r="D5754">
        <v>4.1918329999999999</v>
      </c>
      <c r="E5754">
        <v>0.50215619999999905</v>
      </c>
      <c r="F5754" t="s">
        <v>42</v>
      </c>
      <c r="G5754">
        <v>-445.74090000000001</v>
      </c>
      <c r="H5754" s="1">
        <v>-1.6035640000000001E-6</v>
      </c>
      <c r="I5754">
        <v>142.65090000000001</v>
      </c>
      <c r="J5754">
        <v>-245.65799999999999</v>
      </c>
      <c r="K5754">
        <v>1.1211329999999999</v>
      </c>
      <c r="L5754">
        <v>141.12719999999999</v>
      </c>
      <c r="M5754">
        <v>-0.99968590000000002</v>
      </c>
      <c r="N5754">
        <v>-1.341067E-2</v>
      </c>
      <c r="O5754">
        <v>2.117482E-2</v>
      </c>
      <c r="P5754">
        <v>-0.99779119999999999</v>
      </c>
      <c r="Q5754">
        <v>-6.6382759999999999E-2</v>
      </c>
      <c r="R5754">
        <v>2.5048800000000001E-3</v>
      </c>
      <c r="S5754">
        <v>-3.0056919999999998</v>
      </c>
      <c r="T5754">
        <v>-1.681566E-2</v>
      </c>
      <c r="U5754">
        <v>2.2949219999999999E-2</v>
      </c>
      <c r="V5754">
        <v>-1.8589250000000002E-2</v>
      </c>
      <c r="W5754">
        <v>-5.3010790000000002E-2</v>
      </c>
      <c r="X5754">
        <v>0.99842089999999994</v>
      </c>
      <c r="Y5754">
        <v>-1.354142E-2</v>
      </c>
      <c r="Z5754" s="1">
        <v>3.6862610000000002E-5</v>
      </c>
      <c r="AA5754">
        <v>0.99990829999999997</v>
      </c>
      <c r="AB5754">
        <v>31</v>
      </c>
      <c r="AC5754">
        <v>-200.0829</v>
      </c>
      <c r="AD5754">
        <v>-1.121134603564</v>
      </c>
      <c r="AE5754">
        <v>1.52370000000001</v>
      </c>
      <c r="AF5754">
        <v>-2.7136566686735399</v>
      </c>
      <c r="AG5754">
        <v>-1.121134603564</v>
      </c>
      <c r="AH5754">
        <v>200.06401684053199</v>
      </c>
      <c r="AI5754">
        <v>90.321045741018807</v>
      </c>
      <c r="AJ5754">
        <v>90.777108959959307</v>
      </c>
      <c r="AK5754">
        <v>200.08556097250801</v>
      </c>
      <c r="AL5754">
        <v>93.038718880264497</v>
      </c>
      <c r="AM5754">
        <v>91.066646864857105</v>
      </c>
      <c r="AN5754">
        <v>0.99999999881439805</v>
      </c>
    </row>
    <row r="5755" spans="1:40" x14ac:dyDescent="0.25">
      <c r="A5755" t="str">
        <f>"20190303153922942"</f>
        <v>20190303153922942</v>
      </c>
      <c r="B5755" t="str">
        <f>"1551598762934060"</f>
        <v>1551598762934060</v>
      </c>
      <c r="C5755" t="s">
        <v>40</v>
      </c>
      <c r="D5755">
        <v>4.1555999999999997</v>
      </c>
      <c r="E5755">
        <v>0.5020732</v>
      </c>
      <c r="F5755" t="s">
        <v>63</v>
      </c>
      <c r="G5755">
        <v>-499.95780000000002</v>
      </c>
      <c r="H5755">
        <v>8.3702129999999996E-3</v>
      </c>
      <c r="I5755">
        <v>142.8597</v>
      </c>
      <c r="J5755">
        <v>-245.9853</v>
      </c>
      <c r="K5755">
        <v>1.1211580000000001</v>
      </c>
      <c r="L5755">
        <v>141.1337</v>
      </c>
      <c r="M5755">
        <v>-0.99969209999999997</v>
      </c>
      <c r="N5755">
        <v>-1.3544860000000001E-2</v>
      </c>
      <c r="O5755">
        <v>2.0786160000000001E-2</v>
      </c>
      <c r="P5755">
        <v>-0.99776949999999998</v>
      </c>
      <c r="Q5755">
        <v>-6.673598E-2</v>
      </c>
      <c r="R5755">
        <v>1.6036539999999999E-3</v>
      </c>
      <c r="S5755">
        <v>-3.0057369999999999</v>
      </c>
      <c r="T5755">
        <v>-1.3152479999999999E-2</v>
      </c>
      <c r="U5755">
        <v>2.0477289999999999E-2</v>
      </c>
      <c r="V5755">
        <v>-1.910129E-2</v>
      </c>
      <c r="W5755">
        <v>-5.323108E-2</v>
      </c>
      <c r="X5755">
        <v>0.9983995</v>
      </c>
      <c r="Y5755">
        <v>-1.3975059999999999E-2</v>
      </c>
      <c r="Z5755" s="1">
        <v>6.5402569999999994E-5</v>
      </c>
      <c r="AA5755">
        <v>0.99990239999999997</v>
      </c>
      <c r="AB5755">
        <v>31</v>
      </c>
      <c r="AC5755">
        <v>-253.9725</v>
      </c>
      <c r="AD5755">
        <v>-1.112787787</v>
      </c>
      <c r="AE5755">
        <v>1.72599999999999</v>
      </c>
      <c r="AF5755">
        <v>-3.5539025739782599</v>
      </c>
      <c r="AG5755">
        <v>-1.112787787</v>
      </c>
      <c r="AH5755">
        <v>253.94862292743201</v>
      </c>
      <c r="AI5755">
        <v>90.251040515474898</v>
      </c>
      <c r="AJ5755">
        <v>90.801777636776606</v>
      </c>
      <c r="AK5755">
        <v>253.97592721930101</v>
      </c>
      <c r="AL5755">
        <v>93.051358457592798</v>
      </c>
      <c r="AM5755">
        <v>91.096044017435005</v>
      </c>
      <c r="AN5755">
        <v>0.99999998437894</v>
      </c>
    </row>
    <row r="5756" spans="1:40" x14ac:dyDescent="0.25">
      <c r="A5756" t="str">
        <f>"20190303153922966"</f>
        <v>20190303153922966</v>
      </c>
      <c r="B5756" t="str">
        <f>"1551598762954557"</f>
        <v>1551598762954557</v>
      </c>
      <c r="C5756" t="s">
        <v>40</v>
      </c>
      <c r="D5756">
        <v>4.1684070000000002</v>
      </c>
      <c r="E5756">
        <v>0.50203009999999904</v>
      </c>
      <c r="F5756" t="s">
        <v>63</v>
      </c>
      <c r="G5756">
        <v>-485.46199999999999</v>
      </c>
      <c r="H5756" s="1">
        <v>-8.0832570000000001E-6</v>
      </c>
      <c r="I5756">
        <v>142.48439999999999</v>
      </c>
      <c r="J5756">
        <v>-246.3048</v>
      </c>
      <c r="K5756">
        <v>1.121175</v>
      </c>
      <c r="L5756">
        <v>141.13990000000001</v>
      </c>
      <c r="M5756">
        <v>-0.99969859999999999</v>
      </c>
      <c r="N5756">
        <v>-1.365713E-2</v>
      </c>
      <c r="O5756">
        <v>2.0403709999999999E-2</v>
      </c>
      <c r="P5756">
        <v>-0.99777700000000003</v>
      </c>
      <c r="Q5756">
        <v>-6.6630120000000001E-2</v>
      </c>
      <c r="R5756">
        <v>1.2388309999999999E-3</v>
      </c>
      <c r="S5756">
        <v>-3.0057369999999999</v>
      </c>
      <c r="T5756">
        <v>-1.4072060000000001E-2</v>
      </c>
      <c r="U5756">
        <v>1.695251E-2</v>
      </c>
      <c r="V5756">
        <v>-1.9084380000000001E-2</v>
      </c>
      <c r="W5756">
        <v>-5.3013169999999998E-2</v>
      </c>
      <c r="X5756">
        <v>0.99841139999999995</v>
      </c>
      <c r="Y5756">
        <v>-1.476504E-2</v>
      </c>
      <c r="Z5756" s="1">
        <v>4.7776979999999999E-5</v>
      </c>
      <c r="AA5756">
        <v>0.99989099999999997</v>
      </c>
      <c r="AB5756">
        <v>31</v>
      </c>
      <c r="AC5756">
        <v>-239.15719999999999</v>
      </c>
      <c r="AD5756">
        <v>-1.121183083257</v>
      </c>
      <c r="AE5756">
        <v>1.34449999999998</v>
      </c>
      <c r="AF5756">
        <v>-3.5358512373946001</v>
      </c>
      <c r="AG5756">
        <v>-1.121183083257</v>
      </c>
      <c r="AH5756">
        <v>239.12958354829601</v>
      </c>
      <c r="AI5756">
        <v>90.268605690223296</v>
      </c>
      <c r="AJ5756">
        <v>90.847133120830804</v>
      </c>
      <c r="AK5756">
        <v>239.15835135629399</v>
      </c>
      <c r="AL5756">
        <v>93.038855533911999</v>
      </c>
      <c r="AM5756">
        <v>91.095060898462805</v>
      </c>
      <c r="AN5756">
        <v>0.999999966701696</v>
      </c>
    </row>
    <row r="5757" spans="1:40" x14ac:dyDescent="0.25">
      <c r="A5757" t="str">
        <f>"20190303153922988"</f>
        <v>20190303153922988</v>
      </c>
      <c r="B5757" t="str">
        <f>"1551598762984811"</f>
        <v>1551598762984811</v>
      </c>
      <c r="C5757" t="s">
        <v>40</v>
      </c>
      <c r="D5757">
        <v>4.1568490000000002</v>
      </c>
      <c r="E5757">
        <v>0.50192959999999998</v>
      </c>
      <c r="F5757" t="s">
        <v>63</v>
      </c>
      <c r="G5757">
        <v>-482.7353</v>
      </c>
      <c r="H5757" s="1">
        <v>-9.0618270000000007E-6</v>
      </c>
      <c r="I5757">
        <v>142.35579999999999</v>
      </c>
      <c r="J5757">
        <v>-246.6174</v>
      </c>
      <c r="K5757">
        <v>1.1211850000000001</v>
      </c>
      <c r="L5757">
        <v>141.14590000000001</v>
      </c>
      <c r="M5757">
        <v>-0.99970499999999995</v>
      </c>
      <c r="N5757">
        <v>-1.375143E-2</v>
      </c>
      <c r="O5757">
        <v>2.0028859999999999E-2</v>
      </c>
      <c r="P5757">
        <v>-0.9977319</v>
      </c>
      <c r="Q5757">
        <v>-6.7300760000000001E-2</v>
      </c>
      <c r="R5757">
        <v>1.5506700000000001E-3</v>
      </c>
      <c r="S5757">
        <v>-3.0056919999999998</v>
      </c>
      <c r="T5757">
        <v>-1.425338E-2</v>
      </c>
      <c r="U5757">
        <v>1.5457149999999999E-2</v>
      </c>
      <c r="V5757">
        <v>-1.8396820000000001E-2</v>
      </c>
      <c r="W5757">
        <v>-5.3589610000000003E-2</v>
      </c>
      <c r="X5757">
        <v>0.99839350000000004</v>
      </c>
      <c r="Y5757">
        <v>-1.488749E-2</v>
      </c>
      <c r="Z5757" s="1">
        <v>4.281593E-5</v>
      </c>
      <c r="AA5757">
        <v>0.99988920000000003</v>
      </c>
      <c r="AB5757">
        <v>31</v>
      </c>
      <c r="AC5757">
        <v>-236.11789999999999</v>
      </c>
      <c r="AD5757">
        <v>-1.121194061827</v>
      </c>
      <c r="AE5757">
        <v>1.20989999999997</v>
      </c>
      <c r="AF5757">
        <v>-3.5198821453276001</v>
      </c>
      <c r="AG5757">
        <v>-1.121194061827</v>
      </c>
      <c r="AH5757">
        <v>236.08943839333901</v>
      </c>
      <c r="AI5757">
        <v>90.272066666647206</v>
      </c>
      <c r="AJ5757">
        <v>90.854165488526405</v>
      </c>
      <c r="AK5757">
        <v>236.118338058109</v>
      </c>
      <c r="AL5757">
        <v>93.071930228415795</v>
      </c>
      <c r="AM5757">
        <v>91.055636751121796</v>
      </c>
      <c r="AN5757">
        <v>0.99999993506415497</v>
      </c>
    </row>
    <row r="5758" spans="1:40" x14ac:dyDescent="0.25">
      <c r="A5758" t="str">
        <f>"20190303153923033"</f>
        <v>20190303153923033</v>
      </c>
      <c r="B5758" t="str">
        <f>"1551598763024828"</f>
        <v>1551598763024828</v>
      </c>
      <c r="C5758" t="s">
        <v>40</v>
      </c>
      <c r="D5758">
        <v>4.1268750000000001</v>
      </c>
      <c r="E5758">
        <v>0.50179839999999998</v>
      </c>
      <c r="F5758" t="s">
        <v>42</v>
      </c>
      <c r="G5758">
        <v>-444.50229999999999</v>
      </c>
      <c r="H5758" s="1">
        <v>-2.0162150000000001E-6</v>
      </c>
      <c r="I5758">
        <v>142.2047</v>
      </c>
      <c r="J5758">
        <v>-247.23150000000001</v>
      </c>
      <c r="K5758">
        <v>1.1212139999999999</v>
      </c>
      <c r="L5758">
        <v>141.15729999999999</v>
      </c>
      <c r="M5758">
        <v>-0.99971739999999998</v>
      </c>
      <c r="N5758">
        <v>-1.38981E-2</v>
      </c>
      <c r="O5758">
        <v>1.9294889999999999E-2</v>
      </c>
      <c r="P5758">
        <v>-0.99766900000000003</v>
      </c>
      <c r="Q5758">
        <v>-6.8219100000000005E-2</v>
      </c>
      <c r="R5758">
        <v>1.7379439999999999E-3</v>
      </c>
      <c r="S5758">
        <v>-3.0056609999999999</v>
      </c>
      <c r="T5758">
        <v>-1.7029639999999999E-2</v>
      </c>
      <c r="U5758">
        <v>1.6082760000000001E-2</v>
      </c>
      <c r="V5758">
        <v>-1.7474880000000002E-2</v>
      </c>
      <c r="W5758">
        <v>-5.4361470000000002E-2</v>
      </c>
      <c r="X5758">
        <v>0.99836840000000004</v>
      </c>
      <c r="Y5758">
        <v>-1.3945300000000001E-2</v>
      </c>
      <c r="Z5758" s="1">
        <v>2.2458400000000002E-5</v>
      </c>
      <c r="AA5758">
        <v>0.99990279999999998</v>
      </c>
      <c r="AB5758">
        <v>31</v>
      </c>
      <c r="AC5758">
        <v>-197.27080000000001</v>
      </c>
      <c r="AD5758">
        <v>-1.121216016215</v>
      </c>
      <c r="AE5758">
        <v>1.0474000000000101</v>
      </c>
      <c r="AF5758">
        <v>-2.7593913097582998</v>
      </c>
      <c r="AG5758">
        <v>-1.121216016215</v>
      </c>
      <c r="AH5758">
        <v>197.24790799932501</v>
      </c>
      <c r="AI5758">
        <v>90.325650950650598</v>
      </c>
      <c r="AJ5758">
        <v>90.801484614677904</v>
      </c>
      <c r="AK5758">
        <v>197.27039457522699</v>
      </c>
      <c r="AL5758">
        <v>93.116218907363006</v>
      </c>
      <c r="AM5758">
        <v>91.002770761295295</v>
      </c>
      <c r="AN5758">
        <v>1.0000000014850601</v>
      </c>
    </row>
    <row r="5759" spans="1:40" x14ac:dyDescent="0.25">
      <c r="A5759" t="str">
        <f>"20190303153923067"</f>
        <v>20190303153923067</v>
      </c>
      <c r="B5759" t="str">
        <f>"1551598763044348"</f>
        <v>1551598763044348</v>
      </c>
      <c r="C5759" t="s">
        <v>40</v>
      </c>
      <c r="D5759">
        <v>4.1594110000000004</v>
      </c>
      <c r="E5759">
        <v>0.50171769999999904</v>
      </c>
      <c r="F5759" t="s">
        <v>68</v>
      </c>
      <c r="G5759">
        <v>-412.47620000000001</v>
      </c>
      <c r="H5759" s="1">
        <v>-1.1295550000000001E-5</v>
      </c>
      <c r="I5759">
        <v>142.00710000000001</v>
      </c>
      <c r="J5759">
        <v>-247.53370000000001</v>
      </c>
      <c r="K5759">
        <v>1.121224</v>
      </c>
      <c r="L5759">
        <v>141.1627</v>
      </c>
      <c r="M5759">
        <v>-0.99972349999999999</v>
      </c>
      <c r="N5759">
        <v>-1.3955270000000001E-2</v>
      </c>
      <c r="O5759">
        <v>1.8934530000000001E-2</v>
      </c>
      <c r="P5759">
        <v>-0.9977222</v>
      </c>
      <c r="Q5759">
        <v>-6.744356E-2</v>
      </c>
      <c r="R5759">
        <v>1.5185229999999999E-3</v>
      </c>
      <c r="S5759">
        <v>-3.0055999999999998</v>
      </c>
      <c r="T5759">
        <v>-2.0393729999999999E-2</v>
      </c>
      <c r="U5759">
        <v>1.5457149999999999E-2</v>
      </c>
      <c r="V5759">
        <v>-1.733666E-2</v>
      </c>
      <c r="W5759">
        <v>-5.3528029999999997E-2</v>
      </c>
      <c r="X5759">
        <v>0.99841579999999996</v>
      </c>
      <c r="Y5759">
        <v>-1.379287E-2</v>
      </c>
      <c r="Z5759" s="1">
        <v>-7.2433209999999997E-6</v>
      </c>
      <c r="AA5759">
        <v>0.99990489999999999</v>
      </c>
      <c r="AB5759">
        <v>31</v>
      </c>
      <c r="AC5759">
        <v>-164.9425</v>
      </c>
      <c r="AD5759">
        <v>-1.12123529555</v>
      </c>
      <c r="AE5759">
        <v>0.84440000000000703</v>
      </c>
      <c r="AF5759">
        <v>-2.2790584340358602</v>
      </c>
      <c r="AG5759">
        <v>-1.12123529555</v>
      </c>
      <c r="AH5759">
        <v>164.921293492839</v>
      </c>
      <c r="AI5759">
        <v>90.389488381291201</v>
      </c>
      <c r="AJ5759">
        <v>90.791723831127001</v>
      </c>
      <c r="AK5759">
        <v>164.94085098387501</v>
      </c>
      <c r="AL5759">
        <v>93.068396806893801</v>
      </c>
      <c r="AM5759">
        <v>90.994793585756497</v>
      </c>
      <c r="AN5759">
        <v>0.999999959732637</v>
      </c>
    </row>
    <row r="5760" spans="1:40" x14ac:dyDescent="0.25">
      <c r="A5760" t="str">
        <f>"20190303153923084"</f>
        <v>20190303153923084</v>
      </c>
      <c r="B5760" t="str">
        <f>"1551598763074603"</f>
        <v>1551598763074603</v>
      </c>
      <c r="C5760" t="s">
        <v>40</v>
      </c>
      <c r="D5760">
        <v>4.1515589999999998</v>
      </c>
      <c r="E5760">
        <v>0.50174839999999998</v>
      </c>
      <c r="F5760" t="s">
        <v>68</v>
      </c>
      <c r="G5760">
        <v>-434.4683</v>
      </c>
      <c r="H5760" s="1">
        <v>-1.038552E-5</v>
      </c>
      <c r="I5760">
        <v>142.03110000000001</v>
      </c>
      <c r="J5760">
        <v>-247.95339999999999</v>
      </c>
      <c r="K5760">
        <v>1.121245</v>
      </c>
      <c r="L5760">
        <v>141.17009999999999</v>
      </c>
      <c r="M5760">
        <v>-0.99973179999999995</v>
      </c>
      <c r="N5760">
        <v>-1.402163E-2</v>
      </c>
      <c r="O5760">
        <v>1.8434229999999999E-2</v>
      </c>
      <c r="P5760">
        <v>-0.99772000000000005</v>
      </c>
      <c r="Q5760">
        <v>-6.7481319999999997E-2</v>
      </c>
      <c r="R5760">
        <v>1.141186E-3</v>
      </c>
      <c r="S5760">
        <v>-3.00563</v>
      </c>
      <c r="T5760">
        <v>-1.802778E-2</v>
      </c>
      <c r="U5760">
        <v>1.396179E-2</v>
      </c>
      <c r="V5760">
        <v>-1.7214810000000001E-2</v>
      </c>
      <c r="W5760">
        <v>-5.3499440000000002E-2</v>
      </c>
      <c r="X5760">
        <v>0.99841950000000002</v>
      </c>
      <c r="Y5760">
        <v>-1.379004E-2</v>
      </c>
      <c r="Z5760" s="1">
        <v>9.9015050000000003E-6</v>
      </c>
      <c r="AA5760">
        <v>0.99990489999999999</v>
      </c>
      <c r="AB5760">
        <v>31</v>
      </c>
      <c r="AC5760">
        <v>-186.51490000000001</v>
      </c>
      <c r="AD5760">
        <v>-1.12125538552</v>
      </c>
      <c r="AE5760">
        <v>0.86100000000001797</v>
      </c>
      <c r="AF5760">
        <v>-2.5776496172626202</v>
      </c>
      <c r="AG5760">
        <v>-1.12125538552</v>
      </c>
      <c r="AH5760">
        <v>186.49233409037799</v>
      </c>
      <c r="AI5760">
        <v>90.344444677327601</v>
      </c>
      <c r="AJ5760">
        <v>90.791877269907701</v>
      </c>
      <c r="AK5760">
        <v>186.513517380553</v>
      </c>
      <c r="AL5760">
        <v>93.066756188392105</v>
      </c>
      <c r="AM5760">
        <v>90.987799450413405</v>
      </c>
      <c r="AN5760">
        <v>1.00000001887194</v>
      </c>
    </row>
    <row r="5761" spans="1:40" x14ac:dyDescent="0.25">
      <c r="A5761" t="str">
        <f>"20190303153923101"</f>
        <v>20190303153923101</v>
      </c>
      <c r="B5761" t="str">
        <f>"1551598763094123"</f>
        <v>1551598763094123</v>
      </c>
      <c r="C5761" t="s">
        <v>40</v>
      </c>
      <c r="D5761">
        <v>4.151618</v>
      </c>
      <c r="E5761">
        <v>0.50200129999999998</v>
      </c>
      <c r="F5761" t="s">
        <v>68</v>
      </c>
      <c r="G5761">
        <v>-437.19260000000003</v>
      </c>
      <c r="H5761" s="1">
        <v>-9.198004E-6</v>
      </c>
      <c r="I5761">
        <v>141.99629999999999</v>
      </c>
      <c r="J5761">
        <v>-248.1919</v>
      </c>
      <c r="K5761">
        <v>1.121254</v>
      </c>
      <c r="L5761">
        <v>141.17420000000001</v>
      </c>
      <c r="M5761">
        <v>-0.99973650000000003</v>
      </c>
      <c r="N5761">
        <v>-1.4053390000000001E-2</v>
      </c>
      <c r="O5761">
        <v>1.815023E-2</v>
      </c>
      <c r="P5761">
        <v>-0.99768460000000003</v>
      </c>
      <c r="Q5761">
        <v>-6.8001519999999996E-2</v>
      </c>
      <c r="R5761">
        <v>1.0739320000000001E-3</v>
      </c>
      <c r="S5761">
        <v>-3.00563</v>
      </c>
      <c r="T5761">
        <v>-1.7808560000000001E-2</v>
      </c>
      <c r="U5761">
        <v>1.312256E-2</v>
      </c>
      <c r="V5761">
        <v>-1.6997740000000001E-2</v>
      </c>
      <c r="W5761">
        <v>-5.3988139999999997E-2</v>
      </c>
      <c r="X5761">
        <v>0.99839690000000003</v>
      </c>
      <c r="Y5761">
        <v>-1.3785210000000001E-2</v>
      </c>
      <c r="Z5761" s="1">
        <v>9.8542729999999993E-6</v>
      </c>
      <c r="AA5761">
        <v>0.99990500000000004</v>
      </c>
      <c r="AB5761">
        <v>31</v>
      </c>
      <c r="AC5761">
        <v>-189.00069999999999</v>
      </c>
      <c r="AD5761">
        <v>-1.121263198004</v>
      </c>
      <c r="AE5761">
        <v>0.82209999999997696</v>
      </c>
      <c r="AF5761">
        <v>-2.6086886153217099</v>
      </c>
      <c r="AG5761">
        <v>-1.121263198004</v>
      </c>
      <c r="AH5761">
        <v>188.97783167088099</v>
      </c>
      <c r="AI5761">
        <v>90.339916987185703</v>
      </c>
      <c r="AJ5761">
        <v>90.790872418991199</v>
      </c>
      <c r="AK5761">
        <v>188.99916230099799</v>
      </c>
      <c r="AL5761">
        <v>93.094797200904296</v>
      </c>
      <c r="AM5761">
        <v>90.975368297120696</v>
      </c>
      <c r="AN5761">
        <v>1.0000000061776799</v>
      </c>
    </row>
    <row r="5762" spans="1:40" x14ac:dyDescent="0.25">
      <c r="A5762" t="str">
        <f>"20190303153923121"</f>
        <v>20190303153923121</v>
      </c>
      <c r="B5762" t="str">
        <f>"1551598763114620"</f>
        <v>1551598763114620</v>
      </c>
      <c r="C5762" t="s">
        <v>40</v>
      </c>
      <c r="D5762">
        <v>4.1381350000000001</v>
      </c>
      <c r="E5762">
        <v>0.50234630000000002</v>
      </c>
      <c r="F5762" t="s">
        <v>68</v>
      </c>
      <c r="G5762">
        <v>-432.78660000000002</v>
      </c>
      <c r="H5762" s="1">
        <v>-1.1032929999999999E-5</v>
      </c>
      <c r="I5762">
        <v>142.0719</v>
      </c>
      <c r="J5762">
        <v>-248.46510000000001</v>
      </c>
      <c r="K5762">
        <v>1.121267</v>
      </c>
      <c r="L5762">
        <v>141.1788</v>
      </c>
      <c r="M5762">
        <v>-0.99974200000000002</v>
      </c>
      <c r="N5762">
        <v>-1.408533E-2</v>
      </c>
      <c r="O5762">
        <v>1.7824880000000001E-2</v>
      </c>
      <c r="P5762">
        <v>-0.99768429999999997</v>
      </c>
      <c r="Q5762">
        <v>-6.8012450000000002E-2</v>
      </c>
      <c r="R5762">
        <v>4.4528759999999998E-4</v>
      </c>
      <c r="S5762">
        <v>-3.0057070000000001</v>
      </c>
      <c r="T5762">
        <v>-1.8257260000000001E-2</v>
      </c>
      <c r="U5762">
        <v>1.461792E-2</v>
      </c>
      <c r="V5762">
        <v>-1.730197E-2</v>
      </c>
      <c r="W5762">
        <v>-5.396745E-2</v>
      </c>
      <c r="X5762">
        <v>0.99839279999999997</v>
      </c>
      <c r="Y5762">
        <v>-1.296251E-2</v>
      </c>
      <c r="Z5762" s="1">
        <v>1.2165E-5</v>
      </c>
      <c r="AA5762">
        <v>0.99991600000000003</v>
      </c>
      <c r="AB5762">
        <v>31</v>
      </c>
      <c r="AC5762">
        <v>-184.32149999999999</v>
      </c>
      <c r="AD5762">
        <v>-1.1212780329300001</v>
      </c>
      <c r="AE5762">
        <v>0.893100000000004</v>
      </c>
      <c r="AF5762">
        <v>-2.3927876470554499</v>
      </c>
      <c r="AG5762">
        <v>-1.1212780329300001</v>
      </c>
      <c r="AH5762">
        <v>184.301310814251</v>
      </c>
      <c r="AI5762">
        <v>90.3485503842724</v>
      </c>
      <c r="AJ5762">
        <v>90.743830473434699</v>
      </c>
      <c r="AK5762">
        <v>184.320253539871</v>
      </c>
      <c r="AL5762">
        <v>93.093609997939794</v>
      </c>
      <c r="AM5762">
        <v>90.992826306945403</v>
      </c>
      <c r="AN5762">
        <v>1.00000001345861</v>
      </c>
    </row>
    <row r="5763" spans="1:40" x14ac:dyDescent="0.25">
      <c r="A5763" t="str">
        <f>"20190303153923144"</f>
        <v>20190303153923144</v>
      </c>
      <c r="B5763" t="str">
        <f>"1551598763134140"</f>
        <v>1551598763134140</v>
      </c>
      <c r="C5763" t="s">
        <v>40</v>
      </c>
      <c r="D5763">
        <v>4.1675019999999998</v>
      </c>
      <c r="E5763">
        <v>0.50268080000000004</v>
      </c>
      <c r="F5763" t="s">
        <v>42</v>
      </c>
      <c r="G5763">
        <v>-452.6823</v>
      </c>
      <c r="H5763" s="1">
        <v>-2.797649E-6</v>
      </c>
      <c r="I5763">
        <v>142.2071</v>
      </c>
      <c r="J5763">
        <v>-248.77809999999999</v>
      </c>
      <c r="K5763">
        <v>1.1212770000000001</v>
      </c>
      <c r="L5763">
        <v>141.184</v>
      </c>
      <c r="M5763">
        <v>-0.99974819999999998</v>
      </c>
      <c r="N5763">
        <v>-1.411664E-2</v>
      </c>
      <c r="O5763">
        <v>1.7452260000000001E-2</v>
      </c>
      <c r="P5763">
        <v>-0.99769790000000003</v>
      </c>
      <c r="Q5763">
        <v>-6.7814920000000001E-2</v>
      </c>
      <c r="R5763">
        <v>-1.51753E-4</v>
      </c>
      <c r="S5763">
        <v>-3.0058440000000002</v>
      </c>
      <c r="T5763">
        <v>-1.6503810000000001E-2</v>
      </c>
      <c r="U5763">
        <v>1.5136719999999999E-2</v>
      </c>
      <c r="V5763">
        <v>-1.752737E-2</v>
      </c>
      <c r="W5763">
        <v>-5.3738670000000002E-2</v>
      </c>
      <c r="X5763">
        <v>0.99840119999999999</v>
      </c>
      <c r="Y5763">
        <v>-1.241753E-2</v>
      </c>
      <c r="Z5763" s="1">
        <v>2.8832689999999999E-5</v>
      </c>
      <c r="AA5763">
        <v>0.99992289999999995</v>
      </c>
      <c r="AB5763">
        <v>31</v>
      </c>
      <c r="AC5763">
        <v>-203.9042</v>
      </c>
      <c r="AD5763">
        <v>-1.1212797976490001</v>
      </c>
      <c r="AE5763">
        <v>1.0230999999999899</v>
      </c>
      <c r="AF5763">
        <v>-2.5359223344617998</v>
      </c>
      <c r="AG5763">
        <v>-1.1212797976490001</v>
      </c>
      <c r="AH5763">
        <v>203.88483069234101</v>
      </c>
      <c r="AI5763">
        <v>90.315074855864395</v>
      </c>
      <c r="AJ5763">
        <v>90.712608948991203</v>
      </c>
      <c r="AK5763">
        <v>203.90368401996901</v>
      </c>
      <c r="AL5763">
        <v>93.080482847254999</v>
      </c>
      <c r="AM5763">
        <v>91.0057491706566</v>
      </c>
      <c r="AN5763">
        <v>1.0000000047569599</v>
      </c>
    </row>
    <row r="5764" spans="1:40" x14ac:dyDescent="0.25">
      <c r="A5764" t="str">
        <f>"20190303153923167"</f>
        <v>20190303153923167</v>
      </c>
      <c r="B5764" t="str">
        <f>"1551598763164396"</f>
        <v>1551598763164396</v>
      </c>
      <c r="C5764" t="s">
        <v>40</v>
      </c>
      <c r="D5764">
        <v>4.1415360000000003</v>
      </c>
      <c r="E5764">
        <v>0.50308969999999997</v>
      </c>
      <c r="F5764" t="s">
        <v>63</v>
      </c>
      <c r="G5764">
        <v>-475.30250000000001</v>
      </c>
      <c r="H5764" s="1">
        <v>-4.1520469999999996E-6</v>
      </c>
      <c r="I5764">
        <v>142.3844</v>
      </c>
      <c r="J5764">
        <v>-249.09129999999999</v>
      </c>
      <c r="K5764">
        <v>1.1212879999999901</v>
      </c>
      <c r="L5764">
        <v>141.18899999999999</v>
      </c>
      <c r="M5764">
        <v>-0.99975429999999998</v>
      </c>
      <c r="N5764">
        <v>-1.414324E-2</v>
      </c>
      <c r="O5764">
        <v>1.707974E-2</v>
      </c>
      <c r="P5764">
        <v>-0.99773160000000005</v>
      </c>
      <c r="Q5764">
        <v>-6.7312739999999996E-2</v>
      </c>
      <c r="R5764">
        <v>-1.041312E-3</v>
      </c>
      <c r="S5764">
        <v>-3.0059200000000001</v>
      </c>
      <c r="T5764">
        <v>-1.4879109999999999E-2</v>
      </c>
      <c r="U5764">
        <v>1.5930179999999999E-2</v>
      </c>
      <c r="V5764">
        <v>-1.8046320000000001E-2</v>
      </c>
      <c r="W5764">
        <v>-5.3209970000000002E-2</v>
      </c>
      <c r="X5764">
        <v>0.99842019999999998</v>
      </c>
      <c r="Y5764">
        <v>-1.1781170000000001E-2</v>
      </c>
      <c r="Z5764" s="1">
        <v>4.4572749999999998E-5</v>
      </c>
      <c r="AA5764">
        <v>0.9999306</v>
      </c>
      <c r="AB5764">
        <v>31</v>
      </c>
      <c r="AC5764">
        <v>-226.21119999999999</v>
      </c>
      <c r="AD5764">
        <v>-1.1212921520469901</v>
      </c>
      <c r="AE5764">
        <v>1.1954</v>
      </c>
      <c r="AF5764">
        <v>-2.6687230094429299</v>
      </c>
      <c r="AG5764">
        <v>-1.1212921520469901</v>
      </c>
      <c r="AH5764">
        <v>226.19305781696499</v>
      </c>
      <c r="AI5764">
        <v>90.284006553034303</v>
      </c>
      <c r="AJ5764">
        <v>90.675968892164207</v>
      </c>
      <c r="AK5764">
        <v>226.21157968410901</v>
      </c>
      <c r="AL5764">
        <v>93.050147383433597</v>
      </c>
      <c r="AM5764">
        <v>91.035501278150093</v>
      </c>
      <c r="AN5764">
        <v>0.99999993317048896</v>
      </c>
    </row>
    <row r="5765" spans="1:40" x14ac:dyDescent="0.25">
      <c r="A5765" t="str">
        <f>"20190303153923188"</f>
        <v>20190303153923188</v>
      </c>
      <c r="B5765" t="str">
        <f>"1551598763183916"</f>
        <v>1551598763183916</v>
      </c>
      <c r="C5765" t="s">
        <v>40</v>
      </c>
      <c r="D5765">
        <v>4.1402559999999999</v>
      </c>
      <c r="E5765">
        <v>0.51051309999999905</v>
      </c>
      <c r="F5765" t="s">
        <v>43</v>
      </c>
      <c r="G5765">
        <v>-538.49599999999998</v>
      </c>
      <c r="H5765">
        <v>-0.05</v>
      </c>
      <c r="I5765">
        <v>142.77269999999999</v>
      </c>
      <c r="J5765">
        <v>-249.39250000000001</v>
      </c>
      <c r="K5765">
        <v>1.121302</v>
      </c>
      <c r="L5765">
        <v>141.19380000000001</v>
      </c>
      <c r="M5765">
        <v>-0.99975999999999998</v>
      </c>
      <c r="N5765">
        <v>-1.416508E-2</v>
      </c>
      <c r="O5765">
        <v>1.6720720000000001E-2</v>
      </c>
      <c r="P5765">
        <v>-0.99775510000000001</v>
      </c>
      <c r="Q5765">
        <v>-6.6926180000000002E-2</v>
      </c>
      <c r="R5765">
        <v>-2.451038E-3</v>
      </c>
      <c r="S5765">
        <v>-3.0059809999999998</v>
      </c>
      <c r="T5765">
        <v>-1.21659E-2</v>
      </c>
      <c r="U5765">
        <v>1.644897E-2</v>
      </c>
      <c r="V5765">
        <v>-1.9097920000000001E-2</v>
      </c>
      <c r="W5765">
        <v>-5.2802269999999998E-2</v>
      </c>
      <c r="X5765">
        <v>0.99842229999999998</v>
      </c>
      <c r="Y5765">
        <v>-1.124964E-2</v>
      </c>
      <c r="Z5765" s="1">
        <v>6.6758339999999997E-5</v>
      </c>
      <c r="AA5765">
        <v>0.99993670000000001</v>
      </c>
      <c r="AB5765">
        <v>31</v>
      </c>
      <c r="AC5765">
        <v>-289.10349999999897</v>
      </c>
      <c r="AD5765">
        <v>-1.1713020000000001</v>
      </c>
      <c r="AE5765">
        <v>1.57889999999997</v>
      </c>
      <c r="AF5765">
        <v>-3.2557703544928902</v>
      </c>
      <c r="AG5765">
        <v>-1.1713020000000001</v>
      </c>
      <c r="AH5765">
        <v>289.08473285122602</v>
      </c>
      <c r="AI5765">
        <v>90.232132764457603</v>
      </c>
      <c r="AJ5765">
        <v>90.645257230042006</v>
      </c>
      <c r="AK5765">
        <v>289.10543882231099</v>
      </c>
      <c r="AL5765">
        <v>93.026754957019705</v>
      </c>
      <c r="AM5765">
        <v>91.095825673102496</v>
      </c>
      <c r="AN5765">
        <v>0.99999994970138295</v>
      </c>
    </row>
    <row r="5766" spans="1:40" x14ac:dyDescent="0.25">
      <c r="A5766" t="str">
        <f>"20190303153923211"</f>
        <v>20190303153923211</v>
      </c>
      <c r="B5766" t="str">
        <f>"1551598763204414"</f>
        <v>1551598763204414</v>
      </c>
      <c r="C5766" t="s">
        <v>40</v>
      </c>
      <c r="D5766">
        <v>4.148663</v>
      </c>
      <c r="E5766">
        <v>0.51038709999999998</v>
      </c>
      <c r="F5766" t="s">
        <v>46</v>
      </c>
      <c r="G5766">
        <v>0</v>
      </c>
      <c r="H5766">
        <v>0</v>
      </c>
      <c r="I5766">
        <v>0</v>
      </c>
      <c r="J5766">
        <v>-249.69450000000001</v>
      </c>
      <c r="K5766">
        <v>1.1213070000000001</v>
      </c>
      <c r="L5766">
        <v>141.19839999999999</v>
      </c>
      <c r="M5766">
        <v>-0.99976560000000003</v>
      </c>
      <c r="N5766">
        <v>-1.4183640000000001E-2</v>
      </c>
      <c r="O5766">
        <v>1.636102E-2</v>
      </c>
      <c r="P5766">
        <v>-0.99773540000000005</v>
      </c>
      <c r="Q5766">
        <v>-6.7161170000000006E-2</v>
      </c>
      <c r="R5766">
        <v>-3.641835E-3</v>
      </c>
      <c r="S5766">
        <v>-3.007736</v>
      </c>
      <c r="T5766">
        <v>1.210952E-2</v>
      </c>
      <c r="U5766">
        <v>7.0281979999999994E-2</v>
      </c>
      <c r="V5766">
        <v>-1.9929410000000002E-2</v>
      </c>
      <c r="W5766">
        <v>-5.3019719999999999E-2</v>
      </c>
      <c r="X5766">
        <v>0.99839449999999996</v>
      </c>
      <c r="Y5766">
        <v>7.0022230000000001E-3</v>
      </c>
      <c r="Z5766">
        <v>3.334837E-4</v>
      </c>
      <c r="AA5766">
        <v>0.99997539999999996</v>
      </c>
      <c r="AB5766">
        <v>31</v>
      </c>
      <c r="AC5766">
        <v>-3.007736</v>
      </c>
      <c r="AD5766">
        <v>1.210952E-2</v>
      </c>
      <c r="AE5766">
        <v>7.0281979999999994E-2</v>
      </c>
      <c r="AF5766">
        <v>2.1057652990122099E-2</v>
      </c>
      <c r="AG5766">
        <v>1.210952E-2</v>
      </c>
      <c r="AH5766">
        <v>3.0084345935780101</v>
      </c>
      <c r="AI5766">
        <v>89.769380512129999</v>
      </c>
      <c r="AJ5766">
        <v>89.598962549448899</v>
      </c>
      <c r="AK5766">
        <v>3.0085326604610798</v>
      </c>
      <c r="AL5766">
        <v>93.039231477095797</v>
      </c>
      <c r="AM5766">
        <v>91.1435554324365</v>
      </c>
      <c r="AN5766">
        <v>0.99999992486103495</v>
      </c>
    </row>
    <row r="5767" spans="1:40" x14ac:dyDescent="0.25">
      <c r="A5767" t="str">
        <f>"20190303153923232"</f>
        <v>20190303153923232</v>
      </c>
      <c r="B5767" t="str">
        <f>"1551598763223932"</f>
        <v>1551598763223932</v>
      </c>
      <c r="C5767" t="s">
        <v>40</v>
      </c>
      <c r="D5767">
        <v>4.1420510000000004</v>
      </c>
      <c r="E5767">
        <v>0.51032179999999905</v>
      </c>
      <c r="F5767" t="s">
        <v>46</v>
      </c>
      <c r="G5767">
        <v>0</v>
      </c>
      <c r="H5767">
        <v>0</v>
      </c>
      <c r="I5767">
        <v>0</v>
      </c>
      <c r="J5767">
        <v>-249.99340000000001</v>
      </c>
      <c r="K5767">
        <v>1.1213139999999999</v>
      </c>
      <c r="L5767">
        <v>141.2029</v>
      </c>
      <c r="M5767">
        <v>-0.99977119999999997</v>
      </c>
      <c r="N5767">
        <v>-1.419896E-2</v>
      </c>
      <c r="O5767">
        <v>1.6004910000000001E-2</v>
      </c>
      <c r="P5767">
        <v>-0.99769920000000001</v>
      </c>
      <c r="Q5767">
        <v>-6.7617239999999995E-2</v>
      </c>
      <c r="R5767">
        <v>-4.953771E-3</v>
      </c>
      <c r="S5767">
        <v>-3.0079349999999998</v>
      </c>
      <c r="T5767">
        <v>1.3164159999999999E-2</v>
      </c>
      <c r="U5767">
        <v>6.5551760000000001E-2</v>
      </c>
      <c r="V5767">
        <v>-2.088485E-2</v>
      </c>
      <c r="W5767">
        <v>-5.3461799999999997E-2</v>
      </c>
      <c r="X5767">
        <v>0.99835149999999995</v>
      </c>
      <c r="Y5767">
        <v>5.7851439999999999E-3</v>
      </c>
      <c r="Z5767">
        <v>3.2570150000000003E-4</v>
      </c>
      <c r="AA5767">
        <v>0.99998319999999996</v>
      </c>
      <c r="AB5767">
        <v>31</v>
      </c>
      <c r="AC5767">
        <v>-3.0079349999999998</v>
      </c>
      <c r="AD5767">
        <v>1.3164159999999999E-2</v>
      </c>
      <c r="AE5767">
        <v>6.5551760000000001E-2</v>
      </c>
      <c r="AF5767">
        <v>1.7396451612573399E-2</v>
      </c>
      <c r="AG5767">
        <v>1.3164159999999999E-2</v>
      </c>
      <c r="AH5767">
        <v>3.0085413044648401</v>
      </c>
      <c r="AI5767">
        <v>89.749302632036603</v>
      </c>
      <c r="AJ5767">
        <v>89.668699197934203</v>
      </c>
      <c r="AK5767">
        <v>3.0086204001682</v>
      </c>
      <c r="AL5767">
        <v>93.064596452569106</v>
      </c>
      <c r="AM5767">
        <v>91.198414839966702</v>
      </c>
      <c r="AN5767">
        <v>1.0000000292855</v>
      </c>
    </row>
    <row r="5768" spans="1:40" x14ac:dyDescent="0.25">
      <c r="A5768" t="str">
        <f>"20190303153923256"</f>
        <v>20190303153923256</v>
      </c>
      <c r="B5768" t="str">
        <f>"1551598763244429"</f>
        <v>1551598763244429</v>
      </c>
      <c r="C5768" t="s">
        <v>40</v>
      </c>
      <c r="D5768">
        <v>4.2640209999999996</v>
      </c>
      <c r="E5768">
        <v>0.51059149999999998</v>
      </c>
      <c r="F5768" t="s">
        <v>46</v>
      </c>
      <c r="G5768">
        <v>0</v>
      </c>
      <c r="H5768">
        <v>0</v>
      </c>
      <c r="I5768">
        <v>0</v>
      </c>
      <c r="J5768">
        <v>-250.31370000000001</v>
      </c>
      <c r="K5768">
        <v>1.1213219999999999</v>
      </c>
      <c r="L5768">
        <v>141.20760000000001</v>
      </c>
      <c r="M5768">
        <v>-0.99977709999999997</v>
      </c>
      <c r="N5768">
        <v>-1.421271E-2</v>
      </c>
      <c r="O5768">
        <v>1.5622530000000001E-2</v>
      </c>
      <c r="P5768">
        <v>-0.99764699999999995</v>
      </c>
      <c r="Q5768">
        <v>-6.8305210000000005E-2</v>
      </c>
      <c r="R5768">
        <v>-5.9308109999999898E-3</v>
      </c>
      <c r="S5768">
        <v>-3.0078429999999998</v>
      </c>
      <c r="T5768">
        <v>9.0937610000000006E-3</v>
      </c>
      <c r="U5768">
        <v>6.1141969999999997E-2</v>
      </c>
      <c r="V5768">
        <v>-2.1479129999999999E-2</v>
      </c>
      <c r="W5768">
        <v>-5.4137190000000002E-2</v>
      </c>
      <c r="X5768">
        <v>0.99830249999999998</v>
      </c>
      <c r="Y5768">
        <v>4.7023480000000003E-3</v>
      </c>
      <c r="Z5768">
        <v>2.9557729999999999E-4</v>
      </c>
      <c r="AA5768">
        <v>0.99998889999999996</v>
      </c>
      <c r="AB5768">
        <v>31</v>
      </c>
      <c r="AC5768">
        <v>-3.0078429999999998</v>
      </c>
      <c r="AD5768">
        <v>9.0937610000000006E-3</v>
      </c>
      <c r="AE5768">
        <v>6.1141969999999997E-2</v>
      </c>
      <c r="AF5768">
        <v>1.4139520723953599E-2</v>
      </c>
      <c r="AG5768">
        <v>9.0937610000000006E-3</v>
      </c>
      <c r="AH5768">
        <v>3.00840365250188</v>
      </c>
      <c r="AI5768">
        <v>89.826809549594302</v>
      </c>
      <c r="AJ5768">
        <v>89.730711370492799</v>
      </c>
      <c r="AK5768">
        <v>3.0084506243117999</v>
      </c>
      <c r="AL5768">
        <v>93.1033495550259</v>
      </c>
      <c r="AM5768">
        <v>91.232565929063298</v>
      </c>
      <c r="AN5768">
        <v>1.00000003493645</v>
      </c>
    </row>
    <row r="5769" spans="1:40" x14ac:dyDescent="0.25">
      <c r="A5769" t="str">
        <f>"20190303153923276"</f>
        <v>20190303153923276</v>
      </c>
      <c r="B5769" t="str">
        <f>"1551598763274684"</f>
        <v>1551598763274684</v>
      </c>
      <c r="C5769" t="s">
        <v>40</v>
      </c>
      <c r="D5769">
        <v>4.1274699999999998</v>
      </c>
      <c r="E5769">
        <v>0.51111430000000002</v>
      </c>
      <c r="F5769" t="s">
        <v>46</v>
      </c>
      <c r="G5769">
        <v>0</v>
      </c>
      <c r="H5769">
        <v>0</v>
      </c>
      <c r="I5769">
        <v>0</v>
      </c>
      <c r="J5769">
        <v>-250.59829999999999</v>
      </c>
      <c r="K5769">
        <v>1.1213280000000001</v>
      </c>
      <c r="L5769">
        <v>141.2116</v>
      </c>
      <c r="M5769">
        <v>-0.99978210000000001</v>
      </c>
      <c r="N5769">
        <v>-1.422294E-2</v>
      </c>
      <c r="O5769">
        <v>1.5283100000000001E-2</v>
      </c>
      <c r="P5769">
        <v>-0.99762660000000003</v>
      </c>
      <c r="Q5769">
        <v>-6.84974E-2</v>
      </c>
      <c r="R5769">
        <v>-7.0386759999999998E-3</v>
      </c>
      <c r="S5769">
        <v>-3.0078130000000001</v>
      </c>
      <c r="T5769">
        <v>5.0082210000000002E-3</v>
      </c>
      <c r="U5769">
        <v>6.0302729999999999E-2</v>
      </c>
      <c r="V5769">
        <v>-2.2248159999999999E-2</v>
      </c>
      <c r="W5769">
        <v>-5.4320090000000001E-2</v>
      </c>
      <c r="X5769">
        <v>0.99827569999999999</v>
      </c>
      <c r="Y5769">
        <v>4.7627390000000002E-3</v>
      </c>
      <c r="Z5769">
        <v>2.727265E-4</v>
      </c>
      <c r="AA5769">
        <v>0.99998860000000001</v>
      </c>
      <c r="AB5769">
        <v>31</v>
      </c>
      <c r="AC5769">
        <v>-3.0078130000000001</v>
      </c>
      <c r="AD5769">
        <v>5.0082210000000002E-3</v>
      </c>
      <c r="AE5769">
        <v>6.0302729999999999E-2</v>
      </c>
      <c r="AF5769">
        <v>1.43222913959605E-2</v>
      </c>
      <c r="AG5769">
        <v>5.0082210000000002E-3</v>
      </c>
      <c r="AH5769">
        <v>3.0083750048551101</v>
      </c>
      <c r="AI5769">
        <v>89.904617473292404</v>
      </c>
      <c r="AJ5769">
        <v>89.7272279390222</v>
      </c>
      <c r="AK5769">
        <v>3.0084132661829202</v>
      </c>
      <c r="AL5769">
        <v>93.113844463790898</v>
      </c>
      <c r="AM5769">
        <v>91.276716125723397</v>
      </c>
      <c r="AN5769">
        <v>1.00000001300574</v>
      </c>
    </row>
    <row r="5770" spans="1:40" x14ac:dyDescent="0.25">
      <c r="A5770" t="str">
        <f>"20190303153923298"</f>
        <v>20190303153923298</v>
      </c>
      <c r="B5770" t="str">
        <f>"1551598763294204"</f>
        <v>1551598763294204</v>
      </c>
      <c r="C5770" t="s">
        <v>40</v>
      </c>
      <c r="D5770">
        <v>4.1176380000000004</v>
      </c>
      <c r="E5770">
        <v>0.51141239999999999</v>
      </c>
      <c r="F5770" t="s">
        <v>46</v>
      </c>
      <c r="G5770">
        <v>0</v>
      </c>
      <c r="H5770">
        <v>0</v>
      </c>
      <c r="I5770">
        <v>0</v>
      </c>
      <c r="J5770">
        <v>-250.893</v>
      </c>
      <c r="K5770">
        <v>1.121332</v>
      </c>
      <c r="L5770">
        <v>141.2157</v>
      </c>
      <c r="M5770">
        <v>-0.99978719999999999</v>
      </c>
      <c r="N5770">
        <v>-1.423176E-2</v>
      </c>
      <c r="O5770">
        <v>1.493134E-2</v>
      </c>
      <c r="P5770">
        <v>-0.99765550000000003</v>
      </c>
      <c r="Q5770">
        <v>-6.7993449999999997E-2</v>
      </c>
      <c r="R5770">
        <v>-7.7568119999999897E-3</v>
      </c>
      <c r="S5770">
        <v>-3.0077820000000002</v>
      </c>
      <c r="T5770">
        <v>2.9922719999999998E-3</v>
      </c>
      <c r="U5770">
        <v>6.1248780000000003E-2</v>
      </c>
      <c r="V5770">
        <v>-2.2616750000000001E-2</v>
      </c>
      <c r="W5770">
        <v>-5.3807260000000003E-2</v>
      </c>
      <c r="X5770">
        <v>0.99829520000000005</v>
      </c>
      <c r="Y5770">
        <v>5.4289580000000002E-3</v>
      </c>
      <c r="Z5770">
        <v>2.632903E-4</v>
      </c>
      <c r="AA5770">
        <v>0.99998520000000002</v>
      </c>
      <c r="AB5770">
        <v>31</v>
      </c>
      <c r="AC5770">
        <v>-3.0077820000000002</v>
      </c>
      <c r="AD5770">
        <v>2.9922719999999998E-3</v>
      </c>
      <c r="AE5770">
        <v>6.1248780000000003E-2</v>
      </c>
      <c r="AF5770">
        <v>1.63271685268335E-2</v>
      </c>
      <c r="AG5770">
        <v>2.9922719999999998E-3</v>
      </c>
      <c r="AH5770">
        <v>3.0083582713477601</v>
      </c>
      <c r="AI5770">
        <v>89.943011450152994</v>
      </c>
      <c r="AJ5770">
        <v>89.689043465285096</v>
      </c>
      <c r="AK5770">
        <v>3.0084040651000201</v>
      </c>
      <c r="AL5770">
        <v>93.084418404139697</v>
      </c>
      <c r="AM5770">
        <v>91.297835234819004</v>
      </c>
      <c r="AN5770">
        <v>1.0000000224761501</v>
      </c>
    </row>
    <row r="5771" spans="1:40" x14ac:dyDescent="0.25">
      <c r="A5771" t="str">
        <f>"20190303153923321"</f>
        <v>20190303153923321</v>
      </c>
      <c r="B5771" t="str">
        <f>"1551598763314700"</f>
        <v>1551598763314700</v>
      </c>
      <c r="C5771" t="s">
        <v>40</v>
      </c>
      <c r="D5771">
        <v>4.1101039999999998</v>
      </c>
      <c r="E5771">
        <v>0.51154069999999996</v>
      </c>
      <c r="F5771" t="s">
        <v>46</v>
      </c>
      <c r="G5771">
        <v>0</v>
      </c>
      <c r="H5771">
        <v>0</v>
      </c>
      <c r="I5771">
        <v>0</v>
      </c>
      <c r="J5771">
        <v>-251.20570000000001</v>
      </c>
      <c r="K5771">
        <v>1.1213379999999999</v>
      </c>
      <c r="L5771">
        <v>141.22</v>
      </c>
      <c r="M5771">
        <v>-0.99979269999999998</v>
      </c>
      <c r="N5771">
        <v>-1.4239399999999999E-2</v>
      </c>
      <c r="O5771">
        <v>1.455818E-2</v>
      </c>
      <c r="P5771">
        <v>-0.99768900000000005</v>
      </c>
      <c r="Q5771">
        <v>-6.7448380000000002E-2</v>
      </c>
      <c r="R5771">
        <v>-8.2170699999999999E-3</v>
      </c>
      <c r="S5771">
        <v>-3.0078130000000001</v>
      </c>
      <c r="T5771">
        <v>4.2810440000000003E-3</v>
      </c>
      <c r="U5771">
        <v>6.14624E-2</v>
      </c>
      <c r="V5771">
        <v>-2.2705010000000001E-2</v>
      </c>
      <c r="W5771">
        <v>-5.325411E-2</v>
      </c>
      <c r="X5771">
        <v>0.99832279999999995</v>
      </c>
      <c r="Y5771">
        <v>5.8730429999999997E-3</v>
      </c>
      <c r="Z5771">
        <v>2.6565939999999999E-4</v>
      </c>
      <c r="AA5771">
        <v>0.9999827</v>
      </c>
      <c r="AB5771">
        <v>31</v>
      </c>
      <c r="AC5771">
        <v>-3.0078130000000001</v>
      </c>
      <c r="AD5771">
        <v>4.2810440000000003E-3</v>
      </c>
      <c r="AE5771">
        <v>6.14624E-2</v>
      </c>
      <c r="AF5771">
        <v>1.7663129531338102E-2</v>
      </c>
      <c r="AG5771">
        <v>4.2810440000000003E-3</v>
      </c>
      <c r="AH5771">
        <v>3.00838295914496</v>
      </c>
      <c r="AI5771">
        <v>89.918467374926095</v>
      </c>
      <c r="AJ5771">
        <v>89.663602952071898</v>
      </c>
      <c r="AK5771">
        <v>3.0084378574862298</v>
      </c>
      <c r="AL5771">
        <v>93.052679911802201</v>
      </c>
      <c r="AM5771">
        <v>91.302862179304796</v>
      </c>
      <c r="AN5771">
        <v>0.99999996535541502</v>
      </c>
    </row>
    <row r="5772" spans="1:40" x14ac:dyDescent="0.25">
      <c r="A5772" t="str">
        <f>"20190303153923334"</f>
        <v>20190303153923334</v>
      </c>
      <c r="B5772" t="str">
        <f>"1551598763324460"</f>
        <v>1551598763324460</v>
      </c>
      <c r="C5772" t="s">
        <v>40</v>
      </c>
      <c r="D5772">
        <v>4.0612159999999999</v>
      </c>
      <c r="E5772">
        <v>0.51146579999999997</v>
      </c>
      <c r="F5772" t="s">
        <v>46</v>
      </c>
      <c r="G5772">
        <v>0</v>
      </c>
      <c r="H5772">
        <v>0</v>
      </c>
      <c r="I5772">
        <v>0</v>
      </c>
      <c r="J5772">
        <v>-251.3879</v>
      </c>
      <c r="K5772">
        <v>1.12134</v>
      </c>
      <c r="L5772">
        <v>141.22239999999999</v>
      </c>
      <c r="M5772">
        <v>-0.99979580000000001</v>
      </c>
      <c r="N5772">
        <v>-1.424316E-2</v>
      </c>
      <c r="O5772">
        <v>1.4340790000000001E-2</v>
      </c>
      <c r="P5772">
        <v>-0.99772179999999999</v>
      </c>
      <c r="Q5772">
        <v>-6.6998150000000006E-2</v>
      </c>
      <c r="R5772">
        <v>-7.9459830000000002E-3</v>
      </c>
      <c r="S5772">
        <v>-3.0079349999999998</v>
      </c>
      <c r="T5772">
        <v>7.1914199999999996E-3</v>
      </c>
      <c r="U5772">
        <v>6.0913090000000003E-2</v>
      </c>
      <c r="V5772">
        <v>-2.2218089999999999E-2</v>
      </c>
      <c r="W5772">
        <v>-5.2799230000000003E-2</v>
      </c>
      <c r="X5772">
        <v>0.99835799999999997</v>
      </c>
      <c r="Y5772">
        <v>5.9073260000000001E-3</v>
      </c>
      <c r="Z5772">
        <v>2.7355350000000001E-4</v>
      </c>
      <c r="AA5772">
        <v>0.9999825</v>
      </c>
      <c r="AB5772">
        <v>31</v>
      </c>
      <c r="AC5772">
        <v>-3.0079349999999998</v>
      </c>
      <c r="AD5772">
        <v>7.1914199999999996E-3</v>
      </c>
      <c r="AE5772">
        <v>6.0913090000000003E-2</v>
      </c>
      <c r="AF5772">
        <v>1.7766186573381401E-2</v>
      </c>
      <c r="AG5772">
        <v>7.1914199999999996E-3</v>
      </c>
      <c r="AH5772">
        <v>3.0084820589819401</v>
      </c>
      <c r="AI5772">
        <v>89.8630438747835</v>
      </c>
      <c r="AJ5772">
        <v>89.661651405545101</v>
      </c>
      <c r="AK5772">
        <v>3.0085431113951402</v>
      </c>
      <c r="AL5772">
        <v>93.026580233149204</v>
      </c>
      <c r="AM5772">
        <v>91.274886051710695</v>
      </c>
      <c r="AN5772">
        <v>1.00000004918791</v>
      </c>
    </row>
    <row r="5773" spans="1:40" x14ac:dyDescent="0.25">
      <c r="A5773" t="str">
        <f>"20190303153923353"</f>
        <v>20190303153923353</v>
      </c>
      <c r="B5773" t="str">
        <f>"1551598763343980"</f>
        <v>1551598763343980</v>
      </c>
      <c r="C5773" t="s">
        <v>40</v>
      </c>
      <c r="D5773">
        <v>4.2273399999999999</v>
      </c>
      <c r="E5773">
        <v>0.51159869999999996</v>
      </c>
      <c r="F5773" t="s">
        <v>46</v>
      </c>
      <c r="G5773">
        <v>0</v>
      </c>
      <c r="H5773">
        <v>0</v>
      </c>
      <c r="I5773">
        <v>0</v>
      </c>
      <c r="J5773">
        <v>-251.65979999999999</v>
      </c>
      <c r="K5773">
        <v>1.121348</v>
      </c>
      <c r="L5773">
        <v>141.226</v>
      </c>
      <c r="M5773">
        <v>-0.99980029999999998</v>
      </c>
      <c r="N5773">
        <v>-1.4247799999999901E-2</v>
      </c>
      <c r="O5773">
        <v>1.401756E-2</v>
      </c>
      <c r="P5773">
        <v>-0.99771270000000001</v>
      </c>
      <c r="Q5773">
        <v>-6.7140210000000006E-2</v>
      </c>
      <c r="R5773">
        <v>-7.8591149999999999E-3</v>
      </c>
      <c r="S5773">
        <v>-3.0079959999999999</v>
      </c>
      <c r="T5773">
        <v>9.2519520000000008E-3</v>
      </c>
      <c r="U5773">
        <v>6.1004639999999999E-2</v>
      </c>
      <c r="V5773">
        <v>-2.1808040000000001E-2</v>
      </c>
      <c r="W5773">
        <v>-5.2936299999999999E-2</v>
      </c>
      <c r="X5773">
        <v>0.99835969999999996</v>
      </c>
      <c r="Y5773">
        <v>6.2607779999999998E-3</v>
      </c>
      <c r="Z5773">
        <v>2.7780650000000002E-4</v>
      </c>
      <c r="AA5773">
        <v>0.99998039999999999</v>
      </c>
      <c r="AB5773">
        <v>31</v>
      </c>
      <c r="AC5773">
        <v>-3.0079959999999999</v>
      </c>
      <c r="AD5773">
        <v>9.2519520000000008E-3</v>
      </c>
      <c r="AE5773">
        <v>6.1004639999999999E-2</v>
      </c>
      <c r="AF5773">
        <v>1.88294249619269E-2</v>
      </c>
      <c r="AG5773">
        <v>9.2519520000000008E-3</v>
      </c>
      <c r="AH5773">
        <v>3.0085271745606499</v>
      </c>
      <c r="AI5773">
        <v>89.823805563925603</v>
      </c>
      <c r="AJ5773">
        <v>89.641408426063293</v>
      </c>
      <c r="AK5773">
        <v>3.0086003233945999</v>
      </c>
      <c r="AL5773">
        <v>93.034445014710201</v>
      </c>
      <c r="AM5773">
        <v>91.251362582073597</v>
      </c>
      <c r="AN5773">
        <v>0.99999996652520995</v>
      </c>
    </row>
    <row r="5774" spans="1:40" x14ac:dyDescent="0.25">
      <c r="A5774" t="str">
        <f>"20190303153923368"</f>
        <v>20190303153923368</v>
      </c>
      <c r="B5774" t="str">
        <f>"1551598763364476"</f>
        <v>1551598763364476</v>
      </c>
      <c r="C5774" t="s">
        <v>40</v>
      </c>
      <c r="D5774">
        <v>4.0500759999999998</v>
      </c>
      <c r="E5774">
        <v>0.51181299999999996</v>
      </c>
      <c r="F5774" t="s">
        <v>46</v>
      </c>
      <c r="G5774">
        <v>0</v>
      </c>
      <c r="H5774">
        <v>0</v>
      </c>
      <c r="I5774">
        <v>0</v>
      </c>
      <c r="J5774">
        <v>-251.84790000000001</v>
      </c>
      <c r="K5774">
        <v>1.1213470000000001</v>
      </c>
      <c r="L5774">
        <v>141.22839999999999</v>
      </c>
      <c r="M5774">
        <v>-0.99980329999999995</v>
      </c>
      <c r="N5774">
        <v>-1.4250519999999999E-2</v>
      </c>
      <c r="O5774">
        <v>1.379645E-2</v>
      </c>
      <c r="P5774">
        <v>-0.99773630000000002</v>
      </c>
      <c r="Q5774">
        <v>-6.6828470000000001E-2</v>
      </c>
      <c r="R5774">
        <v>-7.5228049999999996E-3</v>
      </c>
      <c r="S5774">
        <v>-3.0080110000000002</v>
      </c>
      <c r="T5774">
        <v>9.7786190000000005E-3</v>
      </c>
      <c r="U5774">
        <v>6.2347409999999999E-2</v>
      </c>
      <c r="V5774">
        <v>-2.1252360000000001E-2</v>
      </c>
      <c r="W5774">
        <v>-5.2620930000000003E-2</v>
      </c>
      <c r="X5774">
        <v>0.99838839999999995</v>
      </c>
      <c r="Y5774">
        <v>6.9280490000000004E-3</v>
      </c>
      <c r="Z5774">
        <v>2.7955880000000001E-4</v>
      </c>
      <c r="AA5774">
        <v>0.99997599999999998</v>
      </c>
      <c r="AB5774">
        <v>30</v>
      </c>
      <c r="AC5774">
        <v>-3.0080110000000002</v>
      </c>
      <c r="AD5774">
        <v>9.7786190000000005E-3</v>
      </c>
      <c r="AE5774">
        <v>6.2347409999999999E-2</v>
      </c>
      <c r="AF5774">
        <v>2.08371680922541E-2</v>
      </c>
      <c r="AG5774">
        <v>9.7786190000000005E-3</v>
      </c>
      <c r="AH5774">
        <v>3.0085531320440002</v>
      </c>
      <c r="AI5774">
        <v>89.813778197249803</v>
      </c>
      <c r="AJ5774">
        <v>89.603177126342501</v>
      </c>
      <c r="AK5774">
        <v>3.0086411812137701</v>
      </c>
      <c r="AL5774">
        <v>93.016350289703496</v>
      </c>
      <c r="AM5774">
        <v>91.219451933592396</v>
      </c>
      <c r="AN5774">
        <v>1.0000000111670899</v>
      </c>
    </row>
    <row r="5775" spans="1:40" x14ac:dyDescent="0.25">
      <c r="A5775" t="str">
        <f>"20190303153923388"</f>
        <v>20190303153923388</v>
      </c>
      <c r="B5775" t="str">
        <f>"1551598763383996"</f>
        <v>1551598763383996</v>
      </c>
      <c r="C5775" t="s">
        <v>40</v>
      </c>
      <c r="D5775">
        <v>4.0496819999999998</v>
      </c>
      <c r="E5775">
        <v>0.51212539999999995</v>
      </c>
      <c r="F5775" t="s">
        <v>46</v>
      </c>
      <c r="G5775">
        <v>0</v>
      </c>
      <c r="H5775">
        <v>0</v>
      </c>
      <c r="I5775">
        <v>0</v>
      </c>
      <c r="J5775">
        <v>-252.12780000000001</v>
      </c>
      <c r="K5775">
        <v>1.121351</v>
      </c>
      <c r="L5775">
        <v>141.2319</v>
      </c>
      <c r="M5775">
        <v>-0.99980760000000002</v>
      </c>
      <c r="N5775">
        <v>-1.4253729999999999E-2</v>
      </c>
      <c r="O5775">
        <v>1.34769E-2</v>
      </c>
      <c r="P5775">
        <v>-0.99772689999999997</v>
      </c>
      <c r="Q5775">
        <v>-6.7072999999999994E-2</v>
      </c>
      <c r="R5775">
        <v>-6.4897130000000003E-3</v>
      </c>
      <c r="S5775">
        <v>-3.0081479999999998</v>
      </c>
      <c r="T5775">
        <v>1.240432E-2</v>
      </c>
      <c r="U5775">
        <v>6.4926150000000002E-2</v>
      </c>
      <c r="V5775">
        <v>-1.9901479999999999E-2</v>
      </c>
      <c r="W5775">
        <v>-5.2860829999999998E-2</v>
      </c>
      <c r="X5775">
        <v>0.9984035</v>
      </c>
      <c r="Y5775">
        <v>8.103753E-3</v>
      </c>
      <c r="Z5775">
        <v>2.8871140000000001E-4</v>
      </c>
      <c r="AA5775">
        <v>0.9999671</v>
      </c>
      <c r="AB5775">
        <v>30</v>
      </c>
      <c r="AC5775">
        <v>-3.0081479999999998</v>
      </c>
      <c r="AD5775">
        <v>1.240432E-2</v>
      </c>
      <c r="AE5775">
        <v>6.4926150000000002E-2</v>
      </c>
      <c r="AF5775">
        <v>2.4375210058835101E-2</v>
      </c>
      <c r="AG5775">
        <v>1.240432E-2</v>
      </c>
      <c r="AH5775">
        <v>3.0086987083335899</v>
      </c>
      <c r="AI5775">
        <v>89.7637889655023</v>
      </c>
      <c r="AJ5775">
        <v>89.535823875294199</v>
      </c>
      <c r="AK5775">
        <v>3.0088230149924602</v>
      </c>
      <c r="AL5775">
        <v>93.030114912131594</v>
      </c>
      <c r="AM5775">
        <v>91.141942934181102</v>
      </c>
      <c r="AN5775">
        <v>0.999999942533363</v>
      </c>
    </row>
    <row r="5776" spans="1:40" x14ac:dyDescent="0.25">
      <c r="A5776" t="str">
        <f>"20190303153923412"</f>
        <v>20190303153923412</v>
      </c>
      <c r="B5776" t="str">
        <f>"1551598763404492"</f>
        <v>1551598763404492</v>
      </c>
      <c r="C5776" t="s">
        <v>40</v>
      </c>
      <c r="D5776">
        <v>3.9741140000000001</v>
      </c>
      <c r="E5776">
        <v>0.51235339999999996</v>
      </c>
      <c r="F5776" t="s">
        <v>46</v>
      </c>
      <c r="G5776">
        <v>0</v>
      </c>
      <c r="H5776">
        <v>0</v>
      </c>
      <c r="I5776">
        <v>0</v>
      </c>
      <c r="J5776">
        <v>-252.43879999999999</v>
      </c>
      <c r="K5776">
        <v>1.1213360000000001</v>
      </c>
      <c r="L5776">
        <v>141.23570000000001</v>
      </c>
      <c r="M5776">
        <v>-0.99981189999999998</v>
      </c>
      <c r="N5776">
        <v>-1.4256400000000001E-2</v>
      </c>
      <c r="O5776">
        <v>1.314764E-2</v>
      </c>
      <c r="P5776">
        <v>-0.99776039999999999</v>
      </c>
      <c r="Q5776">
        <v>-6.6647079999999997E-2</v>
      </c>
      <c r="R5776">
        <v>-5.6991159999999997E-3</v>
      </c>
      <c r="S5776">
        <v>-3.0082239999999998</v>
      </c>
      <c r="T5776">
        <v>1.4145019999999999E-2</v>
      </c>
      <c r="U5776">
        <v>7.0373539999999998E-2</v>
      </c>
      <c r="V5776">
        <v>-1.8785019999999999E-2</v>
      </c>
      <c r="W5776">
        <v>-5.2430039999999997E-2</v>
      </c>
      <c r="X5776">
        <v>0.99844790000000005</v>
      </c>
      <c r="Y5776">
        <v>1.02425E-2</v>
      </c>
      <c r="Z5776">
        <v>2.981843E-4</v>
      </c>
      <c r="AA5776">
        <v>0.99994749999999999</v>
      </c>
      <c r="AB5776">
        <v>30</v>
      </c>
      <c r="AC5776">
        <v>-3.0082239999999998</v>
      </c>
      <c r="AD5776">
        <v>1.4145019999999999E-2</v>
      </c>
      <c r="AE5776">
        <v>7.0373539999999998E-2</v>
      </c>
      <c r="AF5776">
        <v>3.08117079775337E-2</v>
      </c>
      <c r="AG5776">
        <v>1.4145019999999999E-2</v>
      </c>
      <c r="AH5776">
        <v>3.00882278608124</v>
      </c>
      <c r="AI5776">
        <v>89.730658286041802</v>
      </c>
      <c r="AJ5776">
        <v>89.413285777826104</v>
      </c>
      <c r="AK5776">
        <v>3.0090137920888602</v>
      </c>
      <c r="AL5776">
        <v>93.005398020697896</v>
      </c>
      <c r="AM5776">
        <v>91.077848324732997</v>
      </c>
      <c r="AN5776">
        <v>0.99999999754260605</v>
      </c>
    </row>
    <row r="5777" spans="1:40" x14ac:dyDescent="0.25">
      <c r="A5777" t="str">
        <f>"20190303153923433"</f>
        <v>20190303153923433</v>
      </c>
      <c r="B5777" t="str">
        <f>"1551598763424012"</f>
        <v>1551598763424012</v>
      </c>
      <c r="C5777" t="s">
        <v>40</v>
      </c>
      <c r="D5777">
        <v>3.9846309999999998</v>
      </c>
      <c r="E5777">
        <v>0.51089039999999997</v>
      </c>
      <c r="F5777" t="s">
        <v>46</v>
      </c>
      <c r="G5777">
        <v>0</v>
      </c>
      <c r="H5777">
        <v>0</v>
      </c>
      <c r="I5777">
        <v>0</v>
      </c>
      <c r="J5777">
        <v>-252.73689999999999</v>
      </c>
      <c r="K5777">
        <v>1.121319</v>
      </c>
      <c r="L5777">
        <v>141.23929999999999</v>
      </c>
      <c r="M5777">
        <v>-0.99981569999999997</v>
      </c>
      <c r="N5777">
        <v>-1.4258120000000001E-2</v>
      </c>
      <c r="O5777">
        <v>1.286521E-2</v>
      </c>
      <c r="P5777">
        <v>-0.99782919999999997</v>
      </c>
      <c r="Q5777">
        <v>-6.5645519999999999E-2</v>
      </c>
      <c r="R5777">
        <v>-5.2978529999999999E-3</v>
      </c>
      <c r="S5777">
        <v>-3.0082550000000001</v>
      </c>
      <c r="T5777">
        <v>1.6033769999999999E-2</v>
      </c>
      <c r="U5777">
        <v>7.4523930000000002E-2</v>
      </c>
      <c r="V5777">
        <v>-1.8106580000000001E-2</v>
      </c>
      <c r="W5777">
        <v>-5.1424209999999998E-2</v>
      </c>
      <c r="X5777">
        <v>0.99851270000000003</v>
      </c>
      <c r="Y5777">
        <v>1.190367E-2</v>
      </c>
      <c r="Z5777">
        <v>3.0513719999999999E-4</v>
      </c>
      <c r="AA5777">
        <v>0.99992910000000002</v>
      </c>
      <c r="AB5777">
        <v>30</v>
      </c>
      <c r="AC5777">
        <v>-3.0082550000000001</v>
      </c>
      <c r="AD5777">
        <v>1.6033769999999999E-2</v>
      </c>
      <c r="AE5777">
        <v>7.4523930000000002E-2</v>
      </c>
      <c r="AF5777">
        <v>3.5810982274419999E-2</v>
      </c>
      <c r="AG5777">
        <v>1.6033769999999999E-2</v>
      </c>
      <c r="AH5777">
        <v>3.0088794248109498</v>
      </c>
      <c r="AI5777">
        <v>89.694705746308699</v>
      </c>
      <c r="AJ5777">
        <v>89.318111169748406</v>
      </c>
      <c r="AK5777">
        <v>3.0091352414410601</v>
      </c>
      <c r="AL5777">
        <v>92.947690475426299</v>
      </c>
      <c r="AM5777">
        <v>91.038862026075904</v>
      </c>
      <c r="AN5777">
        <v>0.99999995483735404</v>
      </c>
    </row>
    <row r="5778" spans="1:40" x14ac:dyDescent="0.25">
      <c r="A5778" t="str">
        <f>"20190303153923446"</f>
        <v>20190303153923446</v>
      </c>
      <c r="B5778" t="str">
        <f>"1551598763433772"</f>
        <v>1551598763433772</v>
      </c>
      <c r="C5778" t="s">
        <v>40</v>
      </c>
      <c r="D5778">
        <v>3.9262679999999999</v>
      </c>
      <c r="E5778">
        <v>0.51089039999999997</v>
      </c>
      <c r="F5778" t="s">
        <v>46</v>
      </c>
      <c r="G5778">
        <v>0</v>
      </c>
      <c r="H5778">
        <v>0</v>
      </c>
      <c r="I5778">
        <v>0</v>
      </c>
      <c r="J5778">
        <v>-252.90969999999999</v>
      </c>
      <c r="K5778">
        <v>1.12131</v>
      </c>
      <c r="L5778">
        <v>141.2413</v>
      </c>
      <c r="M5778">
        <v>-0.99981750000000003</v>
      </c>
      <c r="N5778">
        <v>-1.425881E-2</v>
      </c>
      <c r="O5778">
        <v>1.271447E-2</v>
      </c>
      <c r="P5778">
        <v>-0.99786399999999997</v>
      </c>
      <c r="Q5778">
        <v>-6.5100569999999996E-2</v>
      </c>
      <c r="R5778">
        <v>-5.4186690000000001E-3</v>
      </c>
      <c r="S5778">
        <v>-3.01329</v>
      </c>
      <c r="T5778">
        <v>9.766495E-2</v>
      </c>
      <c r="U5778">
        <v>6.167603E-2</v>
      </c>
      <c r="V5778">
        <v>-1.8079939999999999E-2</v>
      </c>
      <c r="W5778">
        <v>-5.0877400000000003E-2</v>
      </c>
      <c r="X5778">
        <v>0.99854120000000002</v>
      </c>
      <c r="Y5778">
        <v>7.7605209999999899E-3</v>
      </c>
      <c r="Z5778">
        <v>5.2277119999999996E-4</v>
      </c>
      <c r="AA5778">
        <v>0.99996969999999996</v>
      </c>
      <c r="AB5778">
        <v>30</v>
      </c>
      <c r="AC5778">
        <v>-3.01329</v>
      </c>
      <c r="AD5778">
        <v>9.766495E-2</v>
      </c>
      <c r="AE5778">
        <v>6.167603E-2</v>
      </c>
      <c r="AF5778">
        <v>2.3330264900579E-2</v>
      </c>
      <c r="AG5778">
        <v>9.766495E-2</v>
      </c>
      <c r="AH5778">
        <v>3.0106692572195501</v>
      </c>
      <c r="AI5778">
        <v>88.142054306651104</v>
      </c>
      <c r="AJ5778">
        <v>89.556012685658899</v>
      </c>
      <c r="AK5778">
        <v>3.0123432938637298</v>
      </c>
      <c r="AL5778">
        <v>92.916319483735606</v>
      </c>
      <c r="AM5778">
        <v>91.037304293985699</v>
      </c>
      <c r="AN5778">
        <v>0.999999961079301</v>
      </c>
    </row>
    <row r="5779" spans="1:40" x14ac:dyDescent="0.25">
      <c r="A5779" t="str">
        <f>"20190303153923578"</f>
        <v>20190303153923578</v>
      </c>
      <c r="B5779" t="str">
        <f>"1551598763574316"</f>
        <v>1551598763574316</v>
      </c>
      <c r="C5779" t="s">
        <v>40</v>
      </c>
      <c r="D5779">
        <v>3.8973040000000001</v>
      </c>
      <c r="E5779">
        <v>0.51913359999999997</v>
      </c>
      <c r="F5779" t="s">
        <v>46</v>
      </c>
      <c r="G5779">
        <v>0</v>
      </c>
      <c r="H5779">
        <v>0</v>
      </c>
      <c r="I5779">
        <v>0</v>
      </c>
      <c r="J5779">
        <v>-254.68889999999999</v>
      </c>
      <c r="K5779">
        <v>1.121135</v>
      </c>
      <c r="L5779">
        <v>141.26230000000001</v>
      </c>
      <c r="M5779">
        <v>-0.99982559999999998</v>
      </c>
      <c r="N5779">
        <v>-1.4256629999999999E-2</v>
      </c>
      <c r="O5779">
        <v>1.2067410000000001E-2</v>
      </c>
      <c r="P5779">
        <v>-0.9980173</v>
      </c>
      <c r="Q5779">
        <v>-6.1805100000000002E-2</v>
      </c>
      <c r="R5779">
        <v>-1.191418E-2</v>
      </c>
      <c r="S5779">
        <v>-3.0132289999999999</v>
      </c>
      <c r="T5779">
        <v>9.9331859999999994E-2</v>
      </c>
      <c r="U5779">
        <v>6.115723E-2</v>
      </c>
      <c r="V5779">
        <v>-2.3956229999999998E-2</v>
      </c>
      <c r="W5779">
        <v>-4.7574489999999997E-2</v>
      </c>
      <c r="X5779">
        <v>0.99858040000000003</v>
      </c>
      <c r="Y5779">
        <v>8.2353469999999901E-3</v>
      </c>
      <c r="Z5779">
        <v>4.9264260000000005E-4</v>
      </c>
      <c r="AA5779">
        <v>0.99996600000000002</v>
      </c>
      <c r="AB5779">
        <v>30</v>
      </c>
      <c r="AC5779">
        <v>-3.0132289999999999</v>
      </c>
      <c r="AD5779">
        <v>9.9331859999999994E-2</v>
      </c>
      <c r="AE5779">
        <v>6.115723E-2</v>
      </c>
      <c r="AF5779">
        <v>2.47603161127571E-2</v>
      </c>
      <c r="AG5779">
        <v>9.9331859999999994E-2</v>
      </c>
      <c r="AH5779">
        <v>3.01047747217034</v>
      </c>
      <c r="AI5779">
        <v>88.110253237296803</v>
      </c>
      <c r="AJ5779">
        <v>89.528769227408802</v>
      </c>
      <c r="AK5779">
        <v>3.0122175389752601</v>
      </c>
      <c r="AL5779">
        <v>92.726846710601805</v>
      </c>
      <c r="AM5779">
        <v>91.374278564618393</v>
      </c>
      <c r="AN5779">
        <v>1.0000000241593601</v>
      </c>
    </row>
    <row r="5780" spans="1:40" x14ac:dyDescent="0.25">
      <c r="A5780" t="str">
        <f>"20190303153923601"</f>
        <v>20190303153923601</v>
      </c>
      <c r="B5780" t="str">
        <f>"1551598763594812"</f>
        <v>1551598763594812</v>
      </c>
      <c r="C5780" t="s">
        <v>40</v>
      </c>
      <c r="D5780">
        <v>3.9112439999999999</v>
      </c>
      <c r="E5780">
        <v>0.51235169999999997</v>
      </c>
      <c r="F5780" t="s">
        <v>70</v>
      </c>
      <c r="G5780">
        <v>-512.0616</v>
      </c>
      <c r="H5780">
        <v>23.974170000000001</v>
      </c>
      <c r="I5780">
        <v>149.8432</v>
      </c>
      <c r="J5780">
        <v>-254.99520000000001</v>
      </c>
      <c r="K5780">
        <v>1.1211199999999999</v>
      </c>
      <c r="L5780">
        <v>141.26599999999999</v>
      </c>
      <c r="M5780">
        <v>-0.99982550000000003</v>
      </c>
      <c r="N5780">
        <v>-1.425505E-2</v>
      </c>
      <c r="O5780">
        <v>1.20757E-2</v>
      </c>
      <c r="P5780">
        <v>-0.99807979999999996</v>
      </c>
      <c r="Q5780">
        <v>-6.0836349999999997E-2</v>
      </c>
      <c r="R5780">
        <v>-1.1652600000000001E-2</v>
      </c>
      <c r="S5780">
        <v>-3.0238040000000002</v>
      </c>
      <c r="T5780">
        <v>0.26849450000000002</v>
      </c>
      <c r="U5780">
        <v>0.1008148</v>
      </c>
      <c r="V5780">
        <v>-2.370543E-2</v>
      </c>
      <c r="W5780">
        <v>-4.6605479999999998E-2</v>
      </c>
      <c r="X5780">
        <v>0.99863210000000002</v>
      </c>
      <c r="Y5780">
        <v>2.1243129999999999E-2</v>
      </c>
      <c r="Z5780">
        <v>4.5218560000000001E-4</v>
      </c>
      <c r="AA5780">
        <v>0.99977419999999995</v>
      </c>
      <c r="AB5780">
        <v>30</v>
      </c>
      <c r="AC5780">
        <v>-257.06639999999999</v>
      </c>
      <c r="AD5780">
        <v>22.85305</v>
      </c>
      <c r="AE5780">
        <v>8.5771999999999995</v>
      </c>
      <c r="AF5780">
        <v>5.4291430218325702</v>
      </c>
      <c r="AG5780">
        <v>22.85305</v>
      </c>
      <c r="AH5780">
        <v>255.137105827038</v>
      </c>
      <c r="AI5780">
        <v>84.882734453758701</v>
      </c>
      <c r="AJ5780">
        <v>88.780968993399398</v>
      </c>
      <c r="AK5780">
        <v>256.21608118549301</v>
      </c>
      <c r="AL5780">
        <v>92.671264811991094</v>
      </c>
      <c r="AM5780">
        <v>91.3598261692389</v>
      </c>
      <c r="AN5780">
        <v>1.0000000446639601</v>
      </c>
    </row>
    <row r="5781" spans="1:40" x14ac:dyDescent="0.25">
      <c r="A5781" t="str">
        <f>"20190303153923623"</f>
        <v>20190303153923623</v>
      </c>
      <c r="B5781" t="str">
        <f>"1551598763614335"</f>
        <v>1551598763614335</v>
      </c>
      <c r="C5781" t="s">
        <v>40</v>
      </c>
      <c r="D5781">
        <v>3.9445209999999999</v>
      </c>
      <c r="E5781">
        <v>0.50950249999999997</v>
      </c>
      <c r="F5781" t="s">
        <v>46</v>
      </c>
      <c r="G5781">
        <v>0</v>
      </c>
      <c r="H5781">
        <v>0</v>
      </c>
      <c r="I5781">
        <v>0</v>
      </c>
      <c r="J5781">
        <v>-255.2852</v>
      </c>
      <c r="K5781">
        <v>1.1211180000000001</v>
      </c>
      <c r="L5781">
        <v>141.26949999999999</v>
      </c>
      <c r="M5781">
        <v>-0.99982519999999997</v>
      </c>
      <c r="N5781">
        <v>-1.425334E-2</v>
      </c>
      <c r="O5781">
        <v>1.210259E-2</v>
      </c>
      <c r="P5781">
        <v>-0.9981314</v>
      </c>
      <c r="Q5781">
        <v>-6.0147230000000003E-2</v>
      </c>
      <c r="R5781">
        <v>-1.077723E-2</v>
      </c>
      <c r="S5781">
        <v>-3.0199579999999999</v>
      </c>
      <c r="T5781">
        <v>0.2232577</v>
      </c>
      <c r="U5781">
        <v>4.948425E-2</v>
      </c>
      <c r="V5781">
        <v>-2.2859020000000001E-2</v>
      </c>
      <c r="W5781">
        <v>-4.5916520000000002E-2</v>
      </c>
      <c r="X5781">
        <v>0.99868369999999995</v>
      </c>
      <c r="Y5781">
        <v>4.3176220000000001E-3</v>
      </c>
      <c r="Z5781">
        <v>9.370626E-4</v>
      </c>
      <c r="AA5781">
        <v>0.99999020000000005</v>
      </c>
      <c r="AB5781">
        <v>30</v>
      </c>
      <c r="AC5781">
        <v>-3.0199579999999999</v>
      </c>
      <c r="AD5781">
        <v>0.2232577</v>
      </c>
      <c r="AE5781">
        <v>4.948425E-2</v>
      </c>
      <c r="AF5781">
        <v>1.28573495667176E-2</v>
      </c>
      <c r="AG5781">
        <v>0.2232577</v>
      </c>
      <c r="AH5781">
        <v>3.00392290195663</v>
      </c>
      <c r="AI5781">
        <v>85.749513964177694</v>
      </c>
      <c r="AJ5781">
        <v>89.754764888653199</v>
      </c>
      <c r="AK5781">
        <v>3.0122354013168802</v>
      </c>
      <c r="AL5781">
        <v>92.631748130702604</v>
      </c>
      <c r="AM5781">
        <v>91.311222676643197</v>
      </c>
      <c r="AN5781">
        <v>0.99999999712498</v>
      </c>
    </row>
    <row r="5782" spans="1:40" x14ac:dyDescent="0.25">
      <c r="A5782" t="str">
        <f>"20190303153923644"</f>
        <v>20190303153923644</v>
      </c>
      <c r="B5782" t="str">
        <f>"1551598763633867"</f>
        <v>1551598763633867</v>
      </c>
      <c r="C5782" t="s">
        <v>40</v>
      </c>
      <c r="D5782">
        <v>3.9244889999999999</v>
      </c>
      <c r="E5782">
        <v>0.50734389999999996</v>
      </c>
      <c r="F5782" t="s">
        <v>46</v>
      </c>
      <c r="G5782">
        <v>0</v>
      </c>
      <c r="H5782">
        <v>0</v>
      </c>
      <c r="I5782">
        <v>0</v>
      </c>
      <c r="J5782">
        <v>-255.5789</v>
      </c>
      <c r="K5782">
        <v>1.1211070000000001</v>
      </c>
      <c r="L5782">
        <v>141.2731</v>
      </c>
      <c r="M5782">
        <v>-0.99982459999999995</v>
      </c>
      <c r="N5782">
        <v>-1.4251450000000001E-2</v>
      </c>
      <c r="O5782">
        <v>1.2147639999999999E-2</v>
      </c>
      <c r="P5782">
        <v>-0.99821400000000005</v>
      </c>
      <c r="Q5782">
        <v>-5.8942010000000003E-2</v>
      </c>
      <c r="R5782">
        <v>-9.7281309999999992E-3</v>
      </c>
      <c r="S5782">
        <v>-3.0182500000000001</v>
      </c>
      <c r="T5782">
        <v>0.20438729999999999</v>
      </c>
      <c r="U5782">
        <v>3.0456540000000001E-2</v>
      </c>
      <c r="V5782">
        <v>-2.1858260000000001E-2</v>
      </c>
      <c r="W5782">
        <v>-4.4711140000000003E-2</v>
      </c>
      <c r="X5782">
        <v>0.9987608</v>
      </c>
      <c r="Y5782">
        <v>-2.01432E-3</v>
      </c>
      <c r="Z5782">
        <v>1.048261E-3</v>
      </c>
      <c r="AA5782">
        <v>0.99999740000000004</v>
      </c>
      <c r="AB5782">
        <v>30</v>
      </c>
      <c r="AC5782">
        <v>-3.0182500000000001</v>
      </c>
      <c r="AD5782">
        <v>0.20438729999999999</v>
      </c>
      <c r="AE5782">
        <v>3.0456540000000001E-2</v>
      </c>
      <c r="AF5782">
        <v>-6.18568562701792E-3</v>
      </c>
      <c r="AG5782">
        <v>0.20438729999999999</v>
      </c>
      <c r="AH5782">
        <v>3.00462064042493</v>
      </c>
      <c r="AI5782">
        <v>86.1084963428479</v>
      </c>
      <c r="AJ5782">
        <v>90.117956048875698</v>
      </c>
      <c r="AK5782">
        <v>3.0115706241055502</v>
      </c>
      <c r="AL5782">
        <v>92.562613910957296</v>
      </c>
      <c r="AM5782">
        <v>91.253739785555993</v>
      </c>
      <c r="AN5782">
        <v>1.0000000025934801</v>
      </c>
    </row>
    <row r="5783" spans="1:40" x14ac:dyDescent="0.25">
      <c r="A5783" t="str">
        <f>"20190303153923666"</f>
        <v>20190303153923666</v>
      </c>
      <c r="B5783" t="str">
        <f>"1551598763654348"</f>
        <v>1551598763654348</v>
      </c>
      <c r="C5783" t="s">
        <v>40</v>
      </c>
      <c r="D5783">
        <v>3.9040189999999999</v>
      </c>
      <c r="E5783">
        <v>0.50601370000000001</v>
      </c>
      <c r="F5783" t="s">
        <v>46</v>
      </c>
      <c r="G5783">
        <v>0</v>
      </c>
      <c r="H5783">
        <v>0</v>
      </c>
      <c r="I5783">
        <v>0</v>
      </c>
      <c r="J5783">
        <v>-255.86320000000001</v>
      </c>
      <c r="K5783">
        <v>1.1210990000000001</v>
      </c>
      <c r="L5783">
        <v>141.2766</v>
      </c>
      <c r="M5783">
        <v>-0.99982409999999999</v>
      </c>
      <c r="N5783">
        <v>-1.424947E-2</v>
      </c>
      <c r="O5783">
        <v>1.2206969999999999E-2</v>
      </c>
      <c r="P5783">
        <v>-0.99826340000000002</v>
      </c>
      <c r="Q5783">
        <v>-5.8287560000000002E-2</v>
      </c>
      <c r="R5783">
        <v>-8.5509550000000007E-3</v>
      </c>
      <c r="S5783">
        <v>-3.0171809999999999</v>
      </c>
      <c r="T5783">
        <v>0.19758110000000001</v>
      </c>
      <c r="U5783">
        <v>1.6540530000000001E-2</v>
      </c>
      <c r="V5783">
        <v>-2.074252E-2</v>
      </c>
      <c r="W5783">
        <v>-4.4057020000000002E-2</v>
      </c>
      <c r="X5783">
        <v>0.99881370000000003</v>
      </c>
      <c r="Y5783">
        <v>-6.676464E-3</v>
      </c>
      <c r="Z5783">
        <v>1.1429820000000001E-3</v>
      </c>
      <c r="AA5783">
        <v>0.99997709999999995</v>
      </c>
      <c r="AB5783">
        <v>30</v>
      </c>
      <c r="AC5783">
        <v>-3.0171809999999999</v>
      </c>
      <c r="AD5783">
        <v>0.19758110000000001</v>
      </c>
      <c r="AE5783">
        <v>1.6540530000000001E-2</v>
      </c>
      <c r="AF5783">
        <v>-2.0208417306942301E-2</v>
      </c>
      <c r="AG5783">
        <v>0.19758110000000001</v>
      </c>
      <c r="AH5783">
        <v>3.0042751487600401</v>
      </c>
      <c r="AI5783">
        <v>86.237352311914904</v>
      </c>
      <c r="AJ5783">
        <v>90.385397309656597</v>
      </c>
      <c r="AK5783">
        <v>3.01083308083733</v>
      </c>
      <c r="AL5783">
        <v>92.525098530225094</v>
      </c>
      <c r="AM5783">
        <v>91.189699386270803</v>
      </c>
      <c r="AN5783">
        <v>1.00000004022745</v>
      </c>
    </row>
    <row r="5784" spans="1:40" x14ac:dyDescent="0.25">
      <c r="A5784" t="str">
        <f>"20190303153923688"</f>
        <v>20190303153923688</v>
      </c>
      <c r="B5784" t="str">
        <f>"1551598763684604"</f>
        <v>1551598763684604</v>
      </c>
      <c r="C5784" t="s">
        <v>40</v>
      </c>
      <c r="D5784">
        <v>3.9164819999999998</v>
      </c>
      <c r="E5784">
        <v>0.5045347</v>
      </c>
      <c r="F5784" t="s">
        <v>46</v>
      </c>
      <c r="G5784">
        <v>0</v>
      </c>
      <c r="H5784">
        <v>0</v>
      </c>
      <c r="I5784">
        <v>0</v>
      </c>
      <c r="J5784">
        <v>-256.16579999999999</v>
      </c>
      <c r="K5784">
        <v>1.1210929999999999</v>
      </c>
      <c r="L5784">
        <v>141.28039999999999</v>
      </c>
      <c r="M5784">
        <v>-0.99982320000000002</v>
      </c>
      <c r="N5784">
        <v>-1.4247070000000001E-2</v>
      </c>
      <c r="O5784">
        <v>1.22842E-2</v>
      </c>
      <c r="P5784">
        <v>-0.99840030000000002</v>
      </c>
      <c r="Q5784">
        <v>-5.6063679999999998E-2</v>
      </c>
      <c r="R5784">
        <v>-7.3394169999999896E-3</v>
      </c>
      <c r="S5784">
        <v>-3.0167079999999999</v>
      </c>
      <c r="T5784">
        <v>0.195328</v>
      </c>
      <c r="U5784">
        <v>9.5825200000000006E-3</v>
      </c>
      <c r="V5784">
        <v>-1.961181E-2</v>
      </c>
      <c r="W5784">
        <v>-4.1832849999999998E-2</v>
      </c>
      <c r="X5784">
        <v>0.99893209999999999</v>
      </c>
      <c r="Y5784">
        <v>-9.0560899999999993E-3</v>
      </c>
      <c r="Z5784">
        <v>1.197647E-3</v>
      </c>
      <c r="AA5784">
        <v>0.99995829999999997</v>
      </c>
      <c r="AB5784">
        <v>30</v>
      </c>
      <c r="AC5784">
        <v>-3.0167079999999999</v>
      </c>
      <c r="AD5784">
        <v>0.195328</v>
      </c>
      <c r="AE5784">
        <v>9.5825200000000006E-3</v>
      </c>
      <c r="AF5784">
        <v>-2.7365079238198298E-2</v>
      </c>
      <c r="AG5784">
        <v>0.195328</v>
      </c>
      <c r="AH5784">
        <v>3.0040042050665599</v>
      </c>
      <c r="AI5784">
        <v>86.279873621573699</v>
      </c>
      <c r="AJ5784">
        <v>90.521923430001706</v>
      </c>
      <c r="AK5784">
        <v>3.0104722452139199</v>
      </c>
      <c r="AL5784">
        <v>92.3975454350131</v>
      </c>
      <c r="AM5784">
        <v>91.124730703076395</v>
      </c>
      <c r="AN5784">
        <v>0.99999997542050401</v>
      </c>
    </row>
    <row r="5785" spans="1:40" x14ac:dyDescent="0.25">
      <c r="A5785" t="str">
        <f>"20190303153923712"</f>
        <v>20190303153923712</v>
      </c>
      <c r="B5785" t="str">
        <f>"1551598763704124"</f>
        <v>1551598763704124</v>
      </c>
      <c r="C5785" t="s">
        <v>40</v>
      </c>
      <c r="D5785">
        <v>3.90842</v>
      </c>
      <c r="E5785">
        <v>0.5039728</v>
      </c>
      <c r="F5785" t="s">
        <v>46</v>
      </c>
      <c r="G5785">
        <v>0</v>
      </c>
      <c r="H5785">
        <v>0</v>
      </c>
      <c r="I5785">
        <v>0</v>
      </c>
      <c r="J5785">
        <v>-256.47629999999998</v>
      </c>
      <c r="K5785">
        <v>1.1210850000000001</v>
      </c>
      <c r="L5785">
        <v>141.2843</v>
      </c>
      <c r="M5785">
        <v>-0.99982199999999999</v>
      </c>
      <c r="N5785">
        <v>-1.42444999999999E-2</v>
      </c>
      <c r="O5785">
        <v>1.237745E-2</v>
      </c>
      <c r="P5785">
        <v>-0.99847419999999998</v>
      </c>
      <c r="Q5785">
        <v>-5.4875939999999998E-2</v>
      </c>
      <c r="R5785">
        <v>-6.161555E-3</v>
      </c>
      <c r="S5785">
        <v>-3.0158390000000002</v>
      </c>
      <c r="T5785">
        <v>0.19612550000000001</v>
      </c>
      <c r="U5785">
        <v>2.059937E-3</v>
      </c>
      <c r="V5785">
        <v>-1.852906E-2</v>
      </c>
      <c r="W5785">
        <v>-4.0646069999999999E-2</v>
      </c>
      <c r="X5785">
        <v>0.99900180000000005</v>
      </c>
      <c r="Y5785">
        <v>-1.1637679999999999E-2</v>
      </c>
      <c r="Z5785">
        <v>1.2752110000000001E-3</v>
      </c>
      <c r="AA5785">
        <v>0.99993149999999997</v>
      </c>
      <c r="AB5785">
        <v>30</v>
      </c>
      <c r="AC5785">
        <v>-3.0158390000000002</v>
      </c>
      <c r="AD5785">
        <v>0.19612550000000001</v>
      </c>
      <c r="AE5785">
        <v>2.059937E-3</v>
      </c>
      <c r="AF5785">
        <v>-3.5123858756686603E-2</v>
      </c>
      <c r="AG5785">
        <v>0.19612550000000001</v>
      </c>
      <c r="AH5785">
        <v>3.0029336147654</v>
      </c>
      <c r="AI5785">
        <v>86.263500075172203</v>
      </c>
      <c r="AJ5785">
        <v>90.670130398907304</v>
      </c>
      <c r="AK5785">
        <v>3.0095363749076398</v>
      </c>
      <c r="AL5785">
        <v>92.329489961846605</v>
      </c>
      <c r="AM5785">
        <v>91.062575885920495</v>
      </c>
      <c r="AN5785">
        <v>1.0000000127370801</v>
      </c>
    </row>
    <row r="5786" spans="1:40" x14ac:dyDescent="0.25">
      <c r="A5786" t="str">
        <f>"20190303153923734"</f>
        <v>20190303153923734</v>
      </c>
      <c r="B5786" t="str">
        <f>"1551598763724623"</f>
        <v>1551598763724623</v>
      </c>
      <c r="C5786" t="s">
        <v>40</v>
      </c>
      <c r="D5786">
        <v>3.9027620000000001</v>
      </c>
      <c r="E5786">
        <v>0.50347580000000003</v>
      </c>
      <c r="F5786" t="s">
        <v>46</v>
      </c>
      <c r="G5786">
        <v>0</v>
      </c>
      <c r="H5786">
        <v>0</v>
      </c>
      <c r="I5786">
        <v>0</v>
      </c>
      <c r="J5786">
        <v>-256.77910000000003</v>
      </c>
      <c r="K5786">
        <v>1.121078</v>
      </c>
      <c r="L5786">
        <v>141.28819999999999</v>
      </c>
      <c r="M5786">
        <v>-0.99982070000000001</v>
      </c>
      <c r="N5786">
        <v>-1.424185E-2</v>
      </c>
      <c r="O5786">
        <v>1.2479469999999999E-2</v>
      </c>
      <c r="P5786">
        <v>-0.99850649999999996</v>
      </c>
      <c r="Q5786">
        <v>-5.4400700000000003E-2</v>
      </c>
      <c r="R5786">
        <v>-5.0248180000000003E-3</v>
      </c>
      <c r="S5786">
        <v>-3.0153500000000002</v>
      </c>
      <c r="T5786">
        <v>0.19585929999999999</v>
      </c>
      <c r="U5786">
        <v>1.8920899999999999E-3</v>
      </c>
      <c r="V5786">
        <v>-1.7495210000000001E-2</v>
      </c>
      <c r="W5786">
        <v>-4.0172729999999997E-2</v>
      </c>
      <c r="X5786">
        <v>0.99903960000000003</v>
      </c>
      <c r="Y5786">
        <v>-1.1794809999999999E-2</v>
      </c>
      <c r="Z5786">
        <v>1.285832E-3</v>
      </c>
      <c r="AA5786">
        <v>0.99992959999999997</v>
      </c>
      <c r="AB5786">
        <v>30</v>
      </c>
      <c r="AC5786">
        <v>-3.0153500000000002</v>
      </c>
      <c r="AD5786">
        <v>0.19585929999999999</v>
      </c>
      <c r="AE5786">
        <v>1.8920899999999999E-3</v>
      </c>
      <c r="AF5786">
        <v>-3.5591681645748198E-2</v>
      </c>
      <c r="AG5786">
        <v>0.19585929999999999</v>
      </c>
      <c r="AH5786">
        <v>3.0024712361669201</v>
      </c>
      <c r="AI5786">
        <v>86.267991157044904</v>
      </c>
      <c r="AJ5786">
        <v>90.6791597563669</v>
      </c>
      <c r="AK5786">
        <v>3.0090631693616201</v>
      </c>
      <c r="AL5786">
        <v>92.302347376127301</v>
      </c>
      <c r="AM5786">
        <v>91.003262777892601</v>
      </c>
      <c r="AN5786">
        <v>1.0000000264883699</v>
      </c>
    </row>
    <row r="5787" spans="1:40" x14ac:dyDescent="0.25">
      <c r="A5787" t="str">
        <f>"20190303153923755"</f>
        <v>20190303153923755</v>
      </c>
      <c r="B5787" t="str">
        <f>"1551598763744140"</f>
        <v>1551598763744140</v>
      </c>
      <c r="C5787" t="s">
        <v>40</v>
      </c>
      <c r="D5787">
        <v>3.9025069999999999</v>
      </c>
      <c r="E5787">
        <v>0.50304879999999996</v>
      </c>
      <c r="F5787" t="s">
        <v>46</v>
      </c>
      <c r="G5787">
        <v>0</v>
      </c>
      <c r="H5787">
        <v>0</v>
      </c>
      <c r="I5787">
        <v>0</v>
      </c>
      <c r="J5787">
        <v>-257.06110000000001</v>
      </c>
      <c r="K5787">
        <v>1.1210719999999901</v>
      </c>
      <c r="L5787">
        <v>141.29179999999999</v>
      </c>
      <c r="M5787">
        <v>-0.99981949999999997</v>
      </c>
      <c r="N5787">
        <v>-1.42393E-2</v>
      </c>
      <c r="O5787">
        <v>1.258041E-2</v>
      </c>
      <c r="P5787">
        <v>-0.99852819999999998</v>
      </c>
      <c r="Q5787">
        <v>-5.4056180000000002E-2</v>
      </c>
      <c r="R5787">
        <v>-4.4088670000000003E-3</v>
      </c>
      <c r="S5787">
        <v>-3.015015</v>
      </c>
      <c r="T5787">
        <v>0.19449520000000001</v>
      </c>
      <c r="U5787">
        <v>1.1444090000000001E-3</v>
      </c>
      <c r="V5787">
        <v>-1.6980950000000002E-2</v>
      </c>
      <c r="W5787">
        <v>-3.9830339999999999E-2</v>
      </c>
      <c r="X5787">
        <v>0.99906220000000001</v>
      </c>
      <c r="Y5787">
        <v>-1.214352E-2</v>
      </c>
      <c r="Z5787">
        <v>1.2943550000000001E-3</v>
      </c>
      <c r="AA5787">
        <v>0.99992539999999996</v>
      </c>
      <c r="AB5787">
        <v>30</v>
      </c>
      <c r="AC5787">
        <v>-3.015015</v>
      </c>
      <c r="AD5787">
        <v>0.19449520000000001</v>
      </c>
      <c r="AE5787">
        <v>1.1444090000000001E-3</v>
      </c>
      <c r="AF5787">
        <v>-3.66371895018828E-2</v>
      </c>
      <c r="AG5787">
        <v>0.19449520000000001</v>
      </c>
      <c r="AH5787">
        <v>3.0022970139818099</v>
      </c>
      <c r="AI5787">
        <v>86.293711808727096</v>
      </c>
      <c r="AJ5787">
        <v>90.699148729435905</v>
      </c>
      <c r="AK5787">
        <v>3.0088133917944599</v>
      </c>
      <c r="AL5787">
        <v>92.282714120409295</v>
      </c>
      <c r="AM5787">
        <v>90.973756280050196</v>
      </c>
      <c r="AN5787">
        <v>1.00000004405812</v>
      </c>
    </row>
    <row r="5788" spans="1:40" x14ac:dyDescent="0.25">
      <c r="A5788" t="str">
        <f>"20190303153923779"</f>
        <v>20190303153923779</v>
      </c>
      <c r="B5788" t="str">
        <f>"1551598763774397"</f>
        <v>1551598763774397</v>
      </c>
      <c r="C5788" t="s">
        <v>40</v>
      </c>
      <c r="D5788">
        <v>3.9105799999999999</v>
      </c>
      <c r="E5788">
        <v>0.50239409999999995</v>
      </c>
      <c r="F5788" t="s">
        <v>46</v>
      </c>
      <c r="G5788">
        <v>0</v>
      </c>
      <c r="H5788">
        <v>0</v>
      </c>
      <c r="I5788">
        <v>0</v>
      </c>
      <c r="J5788">
        <v>-257.37299999999999</v>
      </c>
      <c r="K5788">
        <v>1.12107</v>
      </c>
      <c r="L5788">
        <v>141.29589999999999</v>
      </c>
      <c r="M5788">
        <v>-0.99981810000000004</v>
      </c>
      <c r="N5788">
        <v>-1.423637E-2</v>
      </c>
      <c r="O5788">
        <v>1.26952E-2</v>
      </c>
      <c r="P5788">
        <v>-0.9985482</v>
      </c>
      <c r="Q5788">
        <v>-5.3655389999999997E-2</v>
      </c>
      <c r="R5788">
        <v>-4.7728370000000003E-3</v>
      </c>
      <c r="S5788">
        <v>-3.0147710000000001</v>
      </c>
      <c r="T5788">
        <v>0.1913966</v>
      </c>
      <c r="U5788">
        <v>-3.8146970000000002E-4</v>
      </c>
      <c r="V5788">
        <v>-1.7459519999999999E-2</v>
      </c>
      <c r="W5788">
        <v>-3.9432120000000001E-2</v>
      </c>
      <c r="X5788">
        <v>0.99906969999999995</v>
      </c>
      <c r="Y5788">
        <v>-1.276478E-2</v>
      </c>
      <c r="Z5788">
        <v>1.2995179999999999E-3</v>
      </c>
      <c r="AA5788">
        <v>0.99991770000000002</v>
      </c>
      <c r="AB5788">
        <v>30</v>
      </c>
      <c r="AC5788">
        <v>-3.0147710000000001</v>
      </c>
      <c r="AD5788">
        <v>0.1913966</v>
      </c>
      <c r="AE5788">
        <v>-3.8146970000000002E-4</v>
      </c>
      <c r="AF5788">
        <v>-3.8503249734277802E-2</v>
      </c>
      <c r="AG5788">
        <v>0.1913966</v>
      </c>
      <c r="AH5788">
        <v>3.0024218702468302</v>
      </c>
      <c r="AI5788">
        <v>86.352777384587199</v>
      </c>
      <c r="AJ5788">
        <v>90.734724459155501</v>
      </c>
      <c r="AK5788">
        <v>3.00876257715163</v>
      </c>
      <c r="AL5788">
        <v>92.259879964987405</v>
      </c>
      <c r="AM5788">
        <v>91.001186393423794</v>
      </c>
      <c r="AN5788">
        <v>0.99999999619220703</v>
      </c>
    </row>
    <row r="5789" spans="1:40" x14ac:dyDescent="0.25">
      <c r="A5789" t="str">
        <f>"20190303153923802"</f>
        <v>20190303153923802</v>
      </c>
      <c r="B5789" t="str">
        <f>"1551598763793916"</f>
        <v>1551598763793916</v>
      </c>
      <c r="C5789" t="s">
        <v>40</v>
      </c>
      <c r="D5789">
        <v>3.9138039999999998</v>
      </c>
      <c r="E5789">
        <v>0.50198779999999998</v>
      </c>
      <c r="F5789" t="s">
        <v>46</v>
      </c>
      <c r="G5789">
        <v>0</v>
      </c>
      <c r="H5789">
        <v>0</v>
      </c>
      <c r="I5789">
        <v>0</v>
      </c>
      <c r="J5789">
        <v>-257.6773</v>
      </c>
      <c r="K5789">
        <v>1.1210690000000001</v>
      </c>
      <c r="L5789">
        <v>141.2998</v>
      </c>
      <c r="M5789">
        <v>-0.99981679999999995</v>
      </c>
      <c r="N5789">
        <v>-1.423345E-2</v>
      </c>
      <c r="O5789">
        <v>1.2806100000000001E-2</v>
      </c>
      <c r="P5789">
        <v>-0.99857890000000005</v>
      </c>
      <c r="Q5789">
        <v>-5.3060429999999999E-2</v>
      </c>
      <c r="R5789">
        <v>-5.0262839999999998E-3</v>
      </c>
      <c r="S5789">
        <v>-3.0143430000000002</v>
      </c>
      <c r="T5789">
        <v>0.18630079999999999</v>
      </c>
      <c r="U5789">
        <v>-6.1340329999999997E-3</v>
      </c>
      <c r="V5789">
        <v>-1.7824380000000001E-2</v>
      </c>
      <c r="W5789">
        <v>-3.883963E-2</v>
      </c>
      <c r="X5789">
        <v>0.99908649999999999</v>
      </c>
      <c r="Y5789">
        <v>-1.478347E-2</v>
      </c>
      <c r="Z5789">
        <v>1.3238989999999999E-3</v>
      </c>
      <c r="AA5789">
        <v>0.9998899</v>
      </c>
      <c r="AB5789">
        <v>30</v>
      </c>
      <c r="AC5789">
        <v>-3.0143430000000002</v>
      </c>
      <c r="AD5789">
        <v>0.18630079999999999</v>
      </c>
      <c r="AE5789">
        <v>-6.1340329999999997E-3</v>
      </c>
      <c r="AF5789">
        <v>-4.4569168361996897E-2</v>
      </c>
      <c r="AG5789">
        <v>0.18630079999999999</v>
      </c>
      <c r="AH5789">
        <v>3.0025480311344901</v>
      </c>
      <c r="AI5789">
        <v>86.449878079975306</v>
      </c>
      <c r="AJ5789">
        <v>90.850423603026698</v>
      </c>
      <c r="AK5789">
        <v>3.0086523691045999</v>
      </c>
      <c r="AL5789">
        <v>92.225906685883004</v>
      </c>
      <c r="AM5789">
        <v>91.0220870912935</v>
      </c>
      <c r="AN5789">
        <v>1.0000000299315801</v>
      </c>
    </row>
    <row r="5790" spans="1:40" x14ac:dyDescent="0.25">
      <c r="A5790" t="str">
        <f>"20190303153923824"</f>
        <v>20190303153923824</v>
      </c>
      <c r="B5790" t="str">
        <f>"1551598763814413"</f>
        <v>1551598763814413</v>
      </c>
      <c r="C5790" t="s">
        <v>40</v>
      </c>
      <c r="D5790">
        <v>3.9387249999999998</v>
      </c>
      <c r="E5790">
        <v>0.50166509999999997</v>
      </c>
      <c r="F5790" t="s">
        <v>46</v>
      </c>
      <c r="G5790">
        <v>0</v>
      </c>
      <c r="H5790">
        <v>0</v>
      </c>
      <c r="I5790">
        <v>0</v>
      </c>
      <c r="J5790">
        <v>-257.97050000000002</v>
      </c>
      <c r="K5790">
        <v>1.121065</v>
      </c>
      <c r="L5790">
        <v>141.30369999999999</v>
      </c>
      <c r="M5790">
        <v>-0.99981560000000003</v>
      </c>
      <c r="N5790">
        <v>-1.4230599999999999E-2</v>
      </c>
      <c r="O5790">
        <v>1.2910680000000001E-2</v>
      </c>
      <c r="P5790">
        <v>-0.99861840000000002</v>
      </c>
      <c r="Q5790">
        <v>-5.219816E-2</v>
      </c>
      <c r="R5790">
        <v>-6.0853230000000001E-3</v>
      </c>
      <c r="S5790">
        <v>-3.0140380000000002</v>
      </c>
      <c r="T5790">
        <v>0.18479760000000001</v>
      </c>
      <c r="U5790">
        <v>-9.9945069999999997E-3</v>
      </c>
      <c r="V5790">
        <v>-1.898789E-2</v>
      </c>
      <c r="W5790">
        <v>-3.797963E-2</v>
      </c>
      <c r="X5790">
        <v>0.99909809999999999</v>
      </c>
      <c r="Y5790">
        <v>-1.616751E-2</v>
      </c>
      <c r="Z5790">
        <v>1.354395E-3</v>
      </c>
      <c r="AA5790">
        <v>0.99986839999999999</v>
      </c>
      <c r="AB5790">
        <v>30</v>
      </c>
      <c r="AC5790">
        <v>-3.0140380000000002</v>
      </c>
      <c r="AD5790">
        <v>0.18479760000000001</v>
      </c>
      <c r="AE5790">
        <v>-9.9945069999999997E-3</v>
      </c>
      <c r="AF5790">
        <v>-4.8727711249855803E-2</v>
      </c>
      <c r="AG5790">
        <v>0.18479760000000001</v>
      </c>
      <c r="AH5790">
        <v>3.0023713071271501</v>
      </c>
      <c r="AI5790">
        <v>86.478319334081206</v>
      </c>
      <c r="AJ5790">
        <v>90.929814077197506</v>
      </c>
      <c r="AK5790">
        <v>3.0084477739641402</v>
      </c>
      <c r="AL5790">
        <v>92.176595986943298</v>
      </c>
      <c r="AM5790">
        <v>91.088776972098003</v>
      </c>
      <c r="AN5790">
        <v>1.0000000028425899</v>
      </c>
    </row>
    <row r="5791" spans="1:40" x14ac:dyDescent="0.25">
      <c r="A5791" t="str">
        <f>"20190303153923845"</f>
        <v>20190303153923845</v>
      </c>
      <c r="B5791" t="str">
        <f>"1551598763833932"</f>
        <v>1551598763833932</v>
      </c>
      <c r="C5791" t="s">
        <v>40</v>
      </c>
      <c r="D5791">
        <v>3.9449010000000002</v>
      </c>
      <c r="E5791">
        <v>0.50144489999999997</v>
      </c>
      <c r="F5791" t="s">
        <v>46</v>
      </c>
      <c r="G5791">
        <v>0</v>
      </c>
      <c r="H5791">
        <v>0</v>
      </c>
      <c r="I5791">
        <v>0</v>
      </c>
      <c r="J5791">
        <v>-258.25400000000002</v>
      </c>
      <c r="K5791">
        <v>1.12107</v>
      </c>
      <c r="L5791">
        <v>141.3075</v>
      </c>
      <c r="M5791">
        <v>-0.99981430000000004</v>
      </c>
      <c r="N5791">
        <v>-1.422782E-2</v>
      </c>
      <c r="O5791">
        <v>1.300983E-2</v>
      </c>
      <c r="P5791">
        <v>-0.99863329999999995</v>
      </c>
      <c r="Q5791">
        <v>-5.1811549999999998E-2</v>
      </c>
      <c r="R5791">
        <v>-6.884711E-3</v>
      </c>
      <c r="S5791">
        <v>-3.0137019999999999</v>
      </c>
      <c r="T5791">
        <v>0.18436469999999999</v>
      </c>
      <c r="U5791">
        <v>-1.5747069999999998E-2</v>
      </c>
      <c r="V5791">
        <v>-1.9886669999999999E-2</v>
      </c>
      <c r="W5791">
        <v>-3.7595549999999998E-2</v>
      </c>
      <c r="X5791">
        <v>0.99909510000000001</v>
      </c>
      <c r="Y5791">
        <v>-1.8172609999999999E-2</v>
      </c>
      <c r="Z5791">
        <v>1.4059809999999999E-3</v>
      </c>
      <c r="AA5791">
        <v>0.99983390000000005</v>
      </c>
      <c r="AB5791">
        <v>30</v>
      </c>
      <c r="AC5791">
        <v>-3.0137019999999999</v>
      </c>
      <c r="AD5791">
        <v>0.18436469999999999</v>
      </c>
      <c r="AE5791">
        <v>-1.5747069999999998E-2</v>
      </c>
      <c r="AF5791">
        <v>-5.47525478908963E-2</v>
      </c>
      <c r="AG5791">
        <v>0.18436469999999999</v>
      </c>
      <c r="AH5791">
        <v>3.0020074788594</v>
      </c>
      <c r="AI5791">
        <v>86.486244970700696</v>
      </c>
      <c r="AJ5791">
        <v>91.044881518174705</v>
      </c>
      <c r="AK5791">
        <v>3.0081617455240601</v>
      </c>
      <c r="AL5791">
        <v>92.154574183889906</v>
      </c>
      <c r="AM5791">
        <v>91.140303677813193</v>
      </c>
      <c r="AN5791">
        <v>0.99999996193374996</v>
      </c>
    </row>
    <row r="5792" spans="1:40" x14ac:dyDescent="0.25">
      <c r="A5792" t="str">
        <f>"20190303153923867"</f>
        <v>20190303153923867</v>
      </c>
      <c r="B5792" t="str">
        <f>"1551598763864353"</f>
        <v>1551598763864353</v>
      </c>
      <c r="C5792" t="s">
        <v>40</v>
      </c>
      <c r="D5792">
        <v>3.942266</v>
      </c>
      <c r="E5792">
        <v>0.50102259999999998</v>
      </c>
      <c r="F5792" t="s">
        <v>46</v>
      </c>
      <c r="G5792">
        <v>0</v>
      </c>
      <c r="H5792">
        <v>0</v>
      </c>
      <c r="I5792">
        <v>0</v>
      </c>
      <c r="J5792">
        <v>-258.5385</v>
      </c>
      <c r="K5792">
        <v>1.121068</v>
      </c>
      <c r="L5792">
        <v>141.31129999999999</v>
      </c>
      <c r="M5792">
        <v>-0.9998129</v>
      </c>
      <c r="N5792">
        <v>-1.4225E-2</v>
      </c>
      <c r="O5792">
        <v>1.3108679999999999E-2</v>
      </c>
      <c r="P5792">
        <v>-0.9986332</v>
      </c>
      <c r="Q5792">
        <v>-5.1810009999999997E-2</v>
      </c>
      <c r="R5792">
        <v>-6.8971619999999897E-3</v>
      </c>
      <c r="S5792">
        <v>-3.0134889999999999</v>
      </c>
      <c r="T5792">
        <v>0.18350839999999999</v>
      </c>
      <c r="U5792">
        <v>-1.9699100000000001E-2</v>
      </c>
      <c r="V5792">
        <v>-1.9997669999999999E-2</v>
      </c>
      <c r="W5792">
        <v>-3.7596810000000001E-2</v>
      </c>
      <c r="X5792">
        <v>0.99909289999999995</v>
      </c>
      <c r="Y5792">
        <v>-1.9581270000000001E-2</v>
      </c>
      <c r="Z5792">
        <v>1.4400439999999999E-3</v>
      </c>
      <c r="AA5792">
        <v>0.99980720000000001</v>
      </c>
      <c r="AB5792">
        <v>30</v>
      </c>
      <c r="AC5792">
        <v>-3.0134889999999999</v>
      </c>
      <c r="AD5792">
        <v>0.18350839999999999</v>
      </c>
      <c r="AE5792">
        <v>-1.9699100000000001E-2</v>
      </c>
      <c r="AF5792">
        <v>-5.8985541275934E-2</v>
      </c>
      <c r="AG5792">
        <v>0.18350839999999999</v>
      </c>
      <c r="AH5792">
        <v>3.00184057222214</v>
      </c>
      <c r="AI5792">
        <v>86.502423601786006</v>
      </c>
      <c r="AJ5792">
        <v>91.125705250930906</v>
      </c>
      <c r="AK5792">
        <v>3.0080228469858898</v>
      </c>
      <c r="AL5792">
        <v>92.154646291961498</v>
      </c>
      <c r="AM5792">
        <v>91.146669258728807</v>
      </c>
      <c r="AN5792">
        <v>1.000000024879</v>
      </c>
    </row>
    <row r="5793" spans="1:40" x14ac:dyDescent="0.25">
      <c r="A5793" t="str">
        <f>"20190303153923890"</f>
        <v>20190303153923890</v>
      </c>
      <c r="B5793" t="str">
        <f>"1551598763883873"</f>
        <v>1551598763883873</v>
      </c>
      <c r="C5793" t="s">
        <v>40</v>
      </c>
      <c r="D5793">
        <v>3.9253260000000001</v>
      </c>
      <c r="E5793">
        <v>0.50083089999999997</v>
      </c>
      <c r="F5793" t="s">
        <v>46</v>
      </c>
      <c r="G5793">
        <v>0</v>
      </c>
      <c r="H5793">
        <v>0</v>
      </c>
      <c r="I5793">
        <v>0</v>
      </c>
      <c r="J5793">
        <v>-258.84309999999999</v>
      </c>
      <c r="K5793">
        <v>1.121068</v>
      </c>
      <c r="L5793">
        <v>141.31540000000001</v>
      </c>
      <c r="M5793">
        <v>-0.99981169999999997</v>
      </c>
      <c r="N5793">
        <v>-1.422176E-2</v>
      </c>
      <c r="O5793">
        <v>1.321456E-2</v>
      </c>
      <c r="P5793">
        <v>-0.99857910000000005</v>
      </c>
      <c r="Q5793">
        <v>-5.2878519999999998E-2</v>
      </c>
      <c r="R5793">
        <v>-6.6395509999999996E-3</v>
      </c>
      <c r="S5793">
        <v>-3.0132140000000001</v>
      </c>
      <c r="T5793">
        <v>0.17926529999999999</v>
      </c>
      <c r="U5793">
        <v>-2.2506709999999999E-2</v>
      </c>
      <c r="V5793">
        <v>-1.984584E-2</v>
      </c>
      <c r="W5793">
        <v>-3.8669229999999999E-2</v>
      </c>
      <c r="X5793">
        <v>0.99905500000000003</v>
      </c>
      <c r="Y5793">
        <v>-2.0620409999999999E-2</v>
      </c>
      <c r="Z5793">
        <v>1.4392960000000001E-3</v>
      </c>
      <c r="AA5793">
        <v>0.99978630000000002</v>
      </c>
      <c r="AB5793">
        <v>30</v>
      </c>
      <c r="AC5793">
        <v>-3.0132140000000001</v>
      </c>
      <c r="AD5793">
        <v>0.17926529999999999</v>
      </c>
      <c r="AE5793">
        <v>-2.2506709999999999E-2</v>
      </c>
      <c r="AF5793">
        <v>-6.2107251070989203E-2</v>
      </c>
      <c r="AG5793">
        <v>0.17926529999999999</v>
      </c>
      <c r="AH5793">
        <v>3.0020285412896301</v>
      </c>
      <c r="AI5793">
        <v>86.5833858679716</v>
      </c>
      <c r="AJ5793">
        <v>91.185190531956195</v>
      </c>
      <c r="AK5793">
        <v>3.0080174070535599</v>
      </c>
      <c r="AL5793">
        <v>92.216136145499306</v>
      </c>
      <c r="AM5793">
        <v>91.138008761206095</v>
      </c>
      <c r="AN5793">
        <v>1.00000002986954</v>
      </c>
    </row>
    <row r="5794" spans="1:40" x14ac:dyDescent="0.25">
      <c r="A5794" t="str">
        <f>"20190303153923913"</f>
        <v>20190303153923913</v>
      </c>
      <c r="B5794" t="str">
        <f>"1551598763904369"</f>
        <v>1551598763904369</v>
      </c>
      <c r="C5794" t="s">
        <v>40</v>
      </c>
      <c r="D5794">
        <v>3.917945</v>
      </c>
      <c r="E5794">
        <v>0.5006372</v>
      </c>
      <c r="F5794" t="s">
        <v>46</v>
      </c>
      <c r="G5794">
        <v>0</v>
      </c>
      <c r="H5794">
        <v>0</v>
      </c>
      <c r="I5794">
        <v>0</v>
      </c>
      <c r="J5794">
        <v>-259.14249999999998</v>
      </c>
      <c r="K5794">
        <v>1.121075</v>
      </c>
      <c r="L5794">
        <v>141.31950000000001</v>
      </c>
      <c r="M5794">
        <v>-0.99981030000000004</v>
      </c>
      <c r="N5794">
        <v>-1.4218720000000001E-2</v>
      </c>
      <c r="O5794">
        <v>1.331889E-2</v>
      </c>
      <c r="P5794">
        <v>-0.99857470000000004</v>
      </c>
      <c r="Q5794">
        <v>-5.3063770000000003E-2</v>
      </c>
      <c r="R5794">
        <v>-5.7802130000000002E-3</v>
      </c>
      <c r="S5794">
        <v>-3.013306</v>
      </c>
      <c r="T5794">
        <v>0.174037</v>
      </c>
      <c r="U5794">
        <v>-2.2888180000000001E-2</v>
      </c>
      <c r="V5794">
        <v>-1.9090619999999999E-2</v>
      </c>
      <c r="W5794">
        <v>-3.8857610000000001E-2</v>
      </c>
      <c r="X5794">
        <v>0.99906240000000002</v>
      </c>
      <c r="Y5794">
        <v>-2.0854009999999999E-2</v>
      </c>
      <c r="Z5794">
        <v>1.4111309999999999E-3</v>
      </c>
      <c r="AA5794">
        <v>0.99978149999999999</v>
      </c>
      <c r="AB5794">
        <v>30</v>
      </c>
      <c r="AC5794">
        <v>-3.013306</v>
      </c>
      <c r="AD5794">
        <v>0.174037</v>
      </c>
      <c r="AE5794">
        <v>-2.2888180000000001E-2</v>
      </c>
      <c r="AF5794">
        <v>-6.2814570944274006E-2</v>
      </c>
      <c r="AG5794">
        <v>0.174037</v>
      </c>
      <c r="AH5794">
        <v>3.0027179761157399</v>
      </c>
      <c r="AI5794">
        <v>86.683581912465399</v>
      </c>
      <c r="AJ5794">
        <v>91.198409234731599</v>
      </c>
      <c r="AK5794">
        <v>3.00841316839634</v>
      </c>
      <c r="AL5794">
        <v>92.226937659098297</v>
      </c>
      <c r="AM5794">
        <v>91.094705248991403</v>
      </c>
      <c r="AN5794">
        <v>1.00000002236032</v>
      </c>
    </row>
    <row r="5795" spans="1:40" x14ac:dyDescent="0.25">
      <c r="A5795" t="str">
        <f>"20190303153923934"</f>
        <v>20190303153923934</v>
      </c>
      <c r="B5795" t="str">
        <f>"1551598763923889"</f>
        <v>1551598763923889</v>
      </c>
      <c r="C5795" t="s">
        <v>40</v>
      </c>
      <c r="D5795">
        <v>3.913958</v>
      </c>
      <c r="E5795">
        <v>0.50044529999999998</v>
      </c>
      <c r="F5795" t="s">
        <v>46</v>
      </c>
      <c r="G5795">
        <v>0</v>
      </c>
      <c r="H5795">
        <v>0</v>
      </c>
      <c r="I5795">
        <v>0</v>
      </c>
      <c r="J5795">
        <v>-259.42809999999997</v>
      </c>
      <c r="K5795">
        <v>1.121078</v>
      </c>
      <c r="L5795">
        <v>141.32339999999999</v>
      </c>
      <c r="M5795">
        <v>-0.9998089</v>
      </c>
      <c r="N5795">
        <v>-1.4216019999999999E-2</v>
      </c>
      <c r="O5795">
        <v>1.3418859999999999E-2</v>
      </c>
      <c r="P5795">
        <v>-0.99859359999999997</v>
      </c>
      <c r="Q5795">
        <v>-5.2720740000000002E-2</v>
      </c>
      <c r="R5795">
        <v>-5.5978119999999998E-3</v>
      </c>
      <c r="S5795">
        <v>-3.013306</v>
      </c>
      <c r="T5795">
        <v>0.17155970000000001</v>
      </c>
      <c r="U5795">
        <v>-2.1545410000000001E-2</v>
      </c>
      <c r="V5795">
        <v>-1.9008460000000001E-2</v>
      </c>
      <c r="W5795">
        <v>-3.8517049999999997E-2</v>
      </c>
      <c r="X5795">
        <v>0.99907710000000005</v>
      </c>
      <c r="Y5795">
        <v>-2.051029E-2</v>
      </c>
      <c r="Z5795">
        <v>1.3914349999999999E-3</v>
      </c>
      <c r="AA5795">
        <v>0.99978869999999997</v>
      </c>
      <c r="AB5795">
        <v>29</v>
      </c>
      <c r="AC5795">
        <v>-3.013306</v>
      </c>
      <c r="AD5795">
        <v>0.17155970000000001</v>
      </c>
      <c r="AE5795">
        <v>-2.1545410000000001E-2</v>
      </c>
      <c r="AF5795">
        <v>-6.17824310018509E-2</v>
      </c>
      <c r="AG5795">
        <v>0.17155970000000001</v>
      </c>
      <c r="AH5795">
        <v>3.0030117707044899</v>
      </c>
      <c r="AI5795">
        <v>86.7309815298388</v>
      </c>
      <c r="AJ5795">
        <v>91.178607845291097</v>
      </c>
      <c r="AK5795">
        <v>3.0085427526352801</v>
      </c>
      <c r="AL5795">
        <v>92.207410509545497</v>
      </c>
      <c r="AM5795">
        <v>91.089979088512393</v>
      </c>
      <c r="AN5795">
        <v>0.99999996821834103</v>
      </c>
    </row>
    <row r="5796" spans="1:40" x14ac:dyDescent="0.25">
      <c r="A5796" t="str">
        <f>"20190303153923956"</f>
        <v>20190303153923956</v>
      </c>
      <c r="B5796" t="str">
        <f>"1551598763944258"</f>
        <v>1551598763944258</v>
      </c>
      <c r="C5796" t="s">
        <v>40</v>
      </c>
      <c r="D5796">
        <v>3.9157470000000001</v>
      </c>
      <c r="E5796">
        <v>0.50030770000000002</v>
      </c>
      <c r="F5796" t="s">
        <v>46</v>
      </c>
      <c r="G5796">
        <v>0</v>
      </c>
      <c r="H5796">
        <v>0</v>
      </c>
      <c r="I5796">
        <v>0</v>
      </c>
      <c r="J5796">
        <v>-259.71679999999998</v>
      </c>
      <c r="K5796">
        <v>1.1210929999999999</v>
      </c>
      <c r="L5796">
        <v>141.32740000000001</v>
      </c>
      <c r="M5796">
        <v>-0.99980769999999997</v>
      </c>
      <c r="N5796">
        <v>-1.421328E-2</v>
      </c>
      <c r="O5796">
        <v>1.351984E-2</v>
      </c>
      <c r="P5796">
        <v>-0.99861339999999998</v>
      </c>
      <c r="Q5796">
        <v>-5.2358969999999998E-2</v>
      </c>
      <c r="R5796">
        <v>-5.4987350000000003E-3</v>
      </c>
      <c r="S5796">
        <v>-3.0131230000000002</v>
      </c>
      <c r="T5796">
        <v>0.1707687</v>
      </c>
      <c r="U5796">
        <v>-2.2018429999999999E-2</v>
      </c>
      <c r="V5796">
        <v>-1.901015E-2</v>
      </c>
      <c r="W5796">
        <v>-3.8157770000000001E-2</v>
      </c>
      <c r="X5796">
        <v>0.9990909</v>
      </c>
      <c r="Y5796">
        <v>-2.0768600000000002E-2</v>
      </c>
      <c r="Z5796">
        <v>1.3979400000000001E-3</v>
      </c>
      <c r="AA5796">
        <v>0.99978330000000004</v>
      </c>
      <c r="AB5796">
        <v>29</v>
      </c>
      <c r="AC5796">
        <v>-3.0131230000000002</v>
      </c>
      <c r="AD5796">
        <v>0.1707687</v>
      </c>
      <c r="AE5796">
        <v>-2.2018429999999999E-2</v>
      </c>
      <c r="AF5796">
        <v>-6.2556544278535103E-2</v>
      </c>
      <c r="AG5796">
        <v>0.1707687</v>
      </c>
      <c r="AH5796">
        <v>3.00290486047408</v>
      </c>
      <c r="AI5796">
        <v>86.745923104789398</v>
      </c>
      <c r="AJ5796">
        <v>91.193413639199093</v>
      </c>
      <c r="AK5796">
        <v>3.0084070321667902</v>
      </c>
      <c r="AL5796">
        <v>92.186810036966406</v>
      </c>
      <c r="AM5796">
        <v>91.090060919648906</v>
      </c>
      <c r="AN5796">
        <v>1.0000000138386</v>
      </c>
    </row>
    <row r="5797" spans="1:40" x14ac:dyDescent="0.25">
      <c r="A5797" t="str">
        <f>"20190303153923979"</f>
        <v>20190303153923979</v>
      </c>
      <c r="B5797" t="str">
        <f>"1551598763974514"</f>
        <v>1551598763974514</v>
      </c>
      <c r="C5797" t="s">
        <v>40</v>
      </c>
      <c r="D5797">
        <v>3.907003</v>
      </c>
      <c r="E5797">
        <v>0.50016329999999998</v>
      </c>
      <c r="F5797" t="s">
        <v>46</v>
      </c>
      <c r="G5797">
        <v>0</v>
      </c>
      <c r="H5797">
        <v>0</v>
      </c>
      <c r="I5797">
        <v>0</v>
      </c>
      <c r="J5797">
        <v>-260.0138</v>
      </c>
      <c r="K5797">
        <v>1.1210910000000001</v>
      </c>
      <c r="L5797">
        <v>141.33150000000001</v>
      </c>
      <c r="M5797">
        <v>-0.99980619999999998</v>
      </c>
      <c r="N5797">
        <v>-1.421039E-2</v>
      </c>
      <c r="O5797">
        <v>1.362417E-2</v>
      </c>
      <c r="P5797">
        <v>-0.99868120000000005</v>
      </c>
      <c r="Q5797">
        <v>-5.1089790000000003E-2</v>
      </c>
      <c r="R5797">
        <v>-5.0751190000000003E-3</v>
      </c>
      <c r="S5797">
        <v>-3.0129700000000001</v>
      </c>
      <c r="T5797">
        <v>0.17021700000000001</v>
      </c>
      <c r="U5797">
        <v>-2.2995000000000002E-2</v>
      </c>
      <c r="V5797">
        <v>-1.869138E-2</v>
      </c>
      <c r="W5797">
        <v>-3.689067E-2</v>
      </c>
      <c r="X5797">
        <v>0.99914449999999999</v>
      </c>
      <c r="Y5797">
        <v>-2.1196909999999999E-2</v>
      </c>
      <c r="Z5797">
        <v>1.4100460000000001E-3</v>
      </c>
      <c r="AA5797">
        <v>0.9997743</v>
      </c>
      <c r="AB5797">
        <v>29</v>
      </c>
      <c r="AC5797">
        <v>-3.0129700000000001</v>
      </c>
      <c r="AD5797">
        <v>0.17021700000000001</v>
      </c>
      <c r="AE5797">
        <v>-2.2995000000000002E-2</v>
      </c>
      <c r="AF5797">
        <v>-6.3842474839005403E-2</v>
      </c>
      <c r="AG5797">
        <v>0.17021700000000001</v>
      </c>
      <c r="AH5797">
        <v>3.00279365038848</v>
      </c>
      <c r="AI5797">
        <v>86.756322862581101</v>
      </c>
      <c r="AJ5797">
        <v>91.217983576247605</v>
      </c>
      <c r="AK5797">
        <v>3.0082917736642401</v>
      </c>
      <c r="AL5797">
        <v>92.1141593913093</v>
      </c>
      <c r="AM5797">
        <v>91.071729147173002</v>
      </c>
      <c r="AN5797">
        <v>1.0000000105497999</v>
      </c>
    </row>
    <row r="5798" spans="1:40" x14ac:dyDescent="0.25">
      <c r="A5798" t="str">
        <f>"20190303153924002"</f>
        <v>20190303153924002</v>
      </c>
      <c r="B5798" t="str">
        <f>"1551598763994034"</f>
        <v>1551598763994034</v>
      </c>
      <c r="C5798" t="s">
        <v>40</v>
      </c>
      <c r="D5798">
        <v>3.9013629999999999</v>
      </c>
      <c r="E5798">
        <v>0.49997170000000002</v>
      </c>
      <c r="F5798" t="s">
        <v>46</v>
      </c>
      <c r="G5798">
        <v>0</v>
      </c>
      <c r="H5798">
        <v>0</v>
      </c>
      <c r="I5798">
        <v>0</v>
      </c>
      <c r="J5798">
        <v>-260.32429999999999</v>
      </c>
      <c r="K5798">
        <v>1.121094</v>
      </c>
      <c r="L5798">
        <v>141.33590000000001</v>
      </c>
      <c r="M5798">
        <v>-0.99980480000000005</v>
      </c>
      <c r="N5798">
        <v>-1.420736E-2</v>
      </c>
      <c r="O5798">
        <v>1.3733199999999999E-2</v>
      </c>
      <c r="P5798">
        <v>-0.99870519999999996</v>
      </c>
      <c r="Q5798">
        <v>-5.0659120000000002E-2</v>
      </c>
      <c r="R5798">
        <v>-4.6596229999999999E-3</v>
      </c>
      <c r="S5798">
        <v>-3.0126949999999999</v>
      </c>
      <c r="T5798">
        <v>0.17208029999999999</v>
      </c>
      <c r="U5798">
        <v>-2.3132320000000001E-2</v>
      </c>
      <c r="V5798">
        <v>-1.838484E-2</v>
      </c>
      <c r="W5798">
        <v>-3.6462759999999997E-2</v>
      </c>
      <c r="X5798">
        <v>0.99916590000000005</v>
      </c>
      <c r="Y5798">
        <v>-2.1350480000000002E-2</v>
      </c>
      <c r="Z5798">
        <v>1.4361599999999999E-3</v>
      </c>
      <c r="AA5798">
        <v>0.99977099999999997</v>
      </c>
      <c r="AB5798">
        <v>29</v>
      </c>
      <c r="AC5798">
        <v>-3.0126949999999999</v>
      </c>
      <c r="AD5798">
        <v>0.17208029999999999</v>
      </c>
      <c r="AE5798">
        <v>-2.3132320000000001E-2</v>
      </c>
      <c r="AF5798">
        <v>-6.4298493331475207E-2</v>
      </c>
      <c r="AG5798">
        <v>0.17208029999999999</v>
      </c>
      <c r="AH5798">
        <v>3.0022986633495101</v>
      </c>
      <c r="AI5798">
        <v>86.720364044407702</v>
      </c>
      <c r="AJ5798">
        <v>91.226883005888297</v>
      </c>
      <c r="AK5798">
        <v>3.0079134279169399</v>
      </c>
      <c r="AL5798">
        <v>92.089625437236094</v>
      </c>
      <c r="AM5798">
        <v>91.054134137288798</v>
      </c>
      <c r="AN5798">
        <v>1.00000001546572</v>
      </c>
    </row>
    <row r="5799" spans="1:40" x14ac:dyDescent="0.25">
      <c r="A5799" t="str">
        <f>"20190303153924025"</f>
        <v>20190303153924025</v>
      </c>
      <c r="B5799" t="str">
        <f>"1551598764014530"</f>
        <v>1551598764014530</v>
      </c>
      <c r="C5799" t="s">
        <v>40</v>
      </c>
      <c r="D5799">
        <v>3.848061</v>
      </c>
      <c r="E5799">
        <v>0.49980140000000001</v>
      </c>
      <c r="F5799" t="s">
        <v>46</v>
      </c>
      <c r="G5799">
        <v>0</v>
      </c>
      <c r="H5799">
        <v>0</v>
      </c>
      <c r="I5799">
        <v>0</v>
      </c>
      <c r="J5799">
        <v>-260.608</v>
      </c>
      <c r="K5799">
        <v>1.121095</v>
      </c>
      <c r="L5799">
        <v>141.3399</v>
      </c>
      <c r="M5799">
        <v>-0.99980349999999996</v>
      </c>
      <c r="N5799">
        <v>-1.420457E-2</v>
      </c>
      <c r="O5799">
        <v>1.3832809999999999E-2</v>
      </c>
      <c r="P5799">
        <v>-0.99871189999999999</v>
      </c>
      <c r="Q5799">
        <v>-5.0592039999999998E-2</v>
      </c>
      <c r="R5799">
        <v>-3.8917079999999998E-3</v>
      </c>
      <c r="S5799">
        <v>-3.012451</v>
      </c>
      <c r="T5799">
        <v>0.17106849999999901</v>
      </c>
      <c r="U5799">
        <v>-2.3269649999999999E-2</v>
      </c>
      <c r="V5799">
        <v>-1.7716429999999998E-2</v>
      </c>
      <c r="W5799">
        <v>-3.6398430000000002E-2</v>
      </c>
      <c r="X5799">
        <v>0.99918030000000002</v>
      </c>
      <c r="Y5799">
        <v>-2.149653E-2</v>
      </c>
      <c r="Z5799">
        <v>1.4382609999999999E-3</v>
      </c>
      <c r="AA5799">
        <v>0.99976790000000004</v>
      </c>
      <c r="AB5799">
        <v>29</v>
      </c>
      <c r="AC5799">
        <v>-3.012451</v>
      </c>
      <c r="AD5799">
        <v>0.17106849999999901</v>
      </c>
      <c r="AE5799">
        <v>-2.3269649999999999E-2</v>
      </c>
      <c r="AF5799">
        <v>-6.4733547817764595E-2</v>
      </c>
      <c r="AG5799">
        <v>0.17106849999999901</v>
      </c>
      <c r="AH5799">
        <v>3.0021600712358398</v>
      </c>
      <c r="AI5799">
        <v>86.739465974123107</v>
      </c>
      <c r="AJ5799">
        <v>91.235238744217597</v>
      </c>
      <c r="AK5799">
        <v>3.00772670919884</v>
      </c>
      <c r="AL5799">
        <v>92.085937194682998</v>
      </c>
      <c r="AM5799">
        <v>91.015802965125403</v>
      </c>
      <c r="AN5799">
        <v>0.99999999475324897</v>
      </c>
    </row>
    <row r="5800" spans="1:40" x14ac:dyDescent="0.25">
      <c r="A5800" t="str">
        <f>"20190303153924046"</f>
        <v>20190303153924046</v>
      </c>
      <c r="B5800" t="str">
        <f>"1551598764043811"</f>
        <v>1551598764043811</v>
      </c>
      <c r="C5800" t="s">
        <v>40</v>
      </c>
      <c r="D5800">
        <v>3.8741750000000001</v>
      </c>
      <c r="E5800">
        <v>0.49947320000000001</v>
      </c>
      <c r="F5800" t="s">
        <v>46</v>
      </c>
      <c r="G5800">
        <v>0</v>
      </c>
      <c r="H5800">
        <v>0</v>
      </c>
      <c r="I5800">
        <v>0</v>
      </c>
      <c r="J5800">
        <v>-260.90249999999997</v>
      </c>
      <c r="K5800">
        <v>1.121102</v>
      </c>
      <c r="L5800">
        <v>141.3441</v>
      </c>
      <c r="M5800">
        <v>-0.99980210000000003</v>
      </c>
      <c r="N5800">
        <v>-1.420162E-2</v>
      </c>
      <c r="O5800">
        <v>1.39363E-2</v>
      </c>
      <c r="P5800">
        <v>-0.99871239999999994</v>
      </c>
      <c r="Q5800">
        <v>-5.0575780000000001E-2</v>
      </c>
      <c r="R5800">
        <v>-3.9577609999999997E-3</v>
      </c>
      <c r="S5800">
        <v>-3.0123600000000001</v>
      </c>
      <c r="T5800">
        <v>0.169456</v>
      </c>
      <c r="U5800">
        <v>-2.209473E-2</v>
      </c>
      <c r="V5800">
        <v>-1.7886530000000001E-2</v>
      </c>
      <c r="W5800">
        <v>-3.6385109999999998E-2</v>
      </c>
      <c r="X5800">
        <v>0.9991778</v>
      </c>
      <c r="Y5800">
        <v>-2.121149E-2</v>
      </c>
      <c r="Z5800">
        <v>1.4264739999999901E-3</v>
      </c>
      <c r="AA5800">
        <v>0.99977400000000005</v>
      </c>
      <c r="AB5800">
        <v>29</v>
      </c>
      <c r="AC5800">
        <v>-3.0123600000000001</v>
      </c>
      <c r="AD5800">
        <v>0.169456</v>
      </c>
      <c r="AE5800">
        <v>-2.209473E-2</v>
      </c>
      <c r="AF5800">
        <v>-6.3875845655901098E-2</v>
      </c>
      <c r="AG5800">
        <v>0.169456</v>
      </c>
      <c r="AH5800">
        <v>3.0022594153222402</v>
      </c>
      <c r="AI5800">
        <v>86.770221436307594</v>
      </c>
      <c r="AJ5800">
        <v>91.218836812237697</v>
      </c>
      <c r="AK5800">
        <v>3.0077162526550398</v>
      </c>
      <c r="AL5800">
        <v>92.085173414435104</v>
      </c>
      <c r="AM5800">
        <v>91.025556442938495</v>
      </c>
      <c r="AN5800">
        <v>1.0000000400989899</v>
      </c>
    </row>
    <row r="5801" spans="1:40" x14ac:dyDescent="0.25">
      <c r="A5801" t="str">
        <f>"20190303153924069"</f>
        <v>20190303153924069</v>
      </c>
      <c r="B5801" t="str">
        <f>"1551598764064307"</f>
        <v>1551598764064307</v>
      </c>
      <c r="C5801" t="s">
        <v>40</v>
      </c>
      <c r="D5801">
        <v>3.8653650000000002</v>
      </c>
      <c r="E5801">
        <v>0.49924760000000001</v>
      </c>
      <c r="F5801" t="s">
        <v>46</v>
      </c>
      <c r="G5801">
        <v>0</v>
      </c>
      <c r="H5801">
        <v>0</v>
      </c>
      <c r="I5801">
        <v>0</v>
      </c>
      <c r="J5801">
        <v>-261.18759999999997</v>
      </c>
      <c r="K5801">
        <v>1.1211100000000001</v>
      </c>
      <c r="L5801">
        <v>141.34819999999999</v>
      </c>
      <c r="M5801">
        <v>-0.99980069999999999</v>
      </c>
      <c r="N5801">
        <v>-1.419876E-2</v>
      </c>
      <c r="O5801">
        <v>1.4036750000000001E-2</v>
      </c>
      <c r="P5801">
        <v>-0.99875990000000003</v>
      </c>
      <c r="Q5801">
        <v>-4.9654570000000002E-2</v>
      </c>
      <c r="R5801">
        <v>-3.613953E-3</v>
      </c>
      <c r="S5801">
        <v>-3.0121150000000001</v>
      </c>
      <c r="T5801">
        <v>0.16508329999999999</v>
      </c>
      <c r="U5801">
        <v>-2.476501E-2</v>
      </c>
      <c r="V5801">
        <v>-1.7643180000000001E-2</v>
      </c>
      <c r="W5801">
        <v>-3.5466209999999998E-2</v>
      </c>
      <c r="X5801">
        <v>0.99921510000000002</v>
      </c>
      <c r="Y5801">
        <v>-2.2200330000000001E-2</v>
      </c>
      <c r="Z5801">
        <v>1.418019E-3</v>
      </c>
      <c r="AA5801">
        <v>0.99975250000000004</v>
      </c>
      <c r="AB5801">
        <v>29</v>
      </c>
      <c r="AC5801">
        <v>-3.0121150000000001</v>
      </c>
      <c r="AD5801">
        <v>0.16508329999999999</v>
      </c>
      <c r="AE5801">
        <v>-2.476501E-2</v>
      </c>
      <c r="AF5801">
        <v>-6.6846359997081495E-2</v>
      </c>
      <c r="AG5801">
        <v>0.16508329999999999</v>
      </c>
      <c r="AH5801">
        <v>3.0024525364457499</v>
      </c>
      <c r="AI5801">
        <v>86.853663542019106</v>
      </c>
      <c r="AJ5801">
        <v>91.275417886590901</v>
      </c>
      <c r="AK5801">
        <v>3.0077304010488102</v>
      </c>
      <c r="AL5801">
        <v>92.032490446563301</v>
      </c>
      <c r="AM5801">
        <v>91.011568696767796</v>
      </c>
      <c r="AN5801">
        <v>0.99999997496014303</v>
      </c>
    </row>
    <row r="5802" spans="1:40" x14ac:dyDescent="0.25">
      <c r="A5802" t="str">
        <f>"20190303153924083"</f>
        <v>20190303153924083</v>
      </c>
      <c r="B5802" t="str">
        <f>"1551598764074067"</f>
        <v>1551598764074067</v>
      </c>
      <c r="C5802" t="s">
        <v>40</v>
      </c>
      <c r="D5802">
        <v>3.8581300000000001</v>
      </c>
      <c r="E5802">
        <v>0.49917460000000002</v>
      </c>
      <c r="F5802" t="s">
        <v>46</v>
      </c>
      <c r="G5802">
        <v>0</v>
      </c>
      <c r="H5802">
        <v>0</v>
      </c>
      <c r="I5802">
        <v>0</v>
      </c>
      <c r="J5802">
        <v>-261.38369999999998</v>
      </c>
      <c r="K5802">
        <v>1.1211089999999999</v>
      </c>
      <c r="L5802">
        <v>141.351</v>
      </c>
      <c r="M5802">
        <v>-0.99979989999999996</v>
      </c>
      <c r="N5802">
        <v>-1.419667E-2</v>
      </c>
      <c r="O5802">
        <v>1.410554E-2</v>
      </c>
      <c r="P5802">
        <v>-0.9987954</v>
      </c>
      <c r="Q5802">
        <v>-4.8945589999999997E-2</v>
      </c>
      <c r="R5802">
        <v>-3.516094E-3</v>
      </c>
      <c r="S5802">
        <v>-3.011841</v>
      </c>
      <c r="T5802">
        <v>0.16489909999999999</v>
      </c>
      <c r="U5802">
        <v>-2.529907E-2</v>
      </c>
      <c r="V5802">
        <v>-1.761455E-2</v>
      </c>
      <c r="W5802">
        <v>-3.4758890000000001E-2</v>
      </c>
      <c r="X5802">
        <v>0.99924049999999998</v>
      </c>
      <c r="Y5802">
        <v>-2.2446810000000001E-2</v>
      </c>
      <c r="Z5802">
        <v>1.426334E-3</v>
      </c>
      <c r="AA5802">
        <v>0.99974700000000005</v>
      </c>
      <c r="AB5802">
        <v>29</v>
      </c>
      <c r="AC5802">
        <v>-3.011841</v>
      </c>
      <c r="AD5802">
        <v>0.16489909999999999</v>
      </c>
      <c r="AE5802">
        <v>-2.529907E-2</v>
      </c>
      <c r="AF5802">
        <v>-6.7581901941835207E-2</v>
      </c>
      <c r="AG5802">
        <v>0.16489909999999999</v>
      </c>
      <c r="AH5802">
        <v>3.00218571220414</v>
      </c>
      <c r="AI5802">
        <v>86.8569057546068</v>
      </c>
      <c r="AJ5802">
        <v>91.289561760261293</v>
      </c>
      <c r="AK5802">
        <v>3.0074703784432502</v>
      </c>
      <c r="AL5802">
        <v>91.991938909019794</v>
      </c>
      <c r="AM5802">
        <v>91.009901874550806</v>
      </c>
      <c r="AN5802">
        <v>1.0000000148229899</v>
      </c>
    </row>
    <row r="5803" spans="1:40" x14ac:dyDescent="0.25">
      <c r="A5803" t="str">
        <f>"20190303153924103"</f>
        <v>20190303153924103</v>
      </c>
      <c r="B5803" t="str">
        <f>"1551598764094563"</f>
        <v>1551598764094563</v>
      </c>
      <c r="C5803" t="s">
        <v>40</v>
      </c>
      <c r="D5803">
        <v>3.8393630000000001</v>
      </c>
      <c r="E5803">
        <v>0.4992859</v>
      </c>
      <c r="F5803" t="s">
        <v>46</v>
      </c>
      <c r="G5803">
        <v>0</v>
      </c>
      <c r="H5803">
        <v>0</v>
      </c>
      <c r="I5803">
        <v>0</v>
      </c>
      <c r="J5803">
        <v>-261.63869999999997</v>
      </c>
      <c r="K5803">
        <v>1.1211120000000001</v>
      </c>
      <c r="L5803">
        <v>141.35470000000001</v>
      </c>
      <c r="M5803">
        <v>-0.99979850000000003</v>
      </c>
      <c r="N5803">
        <v>-1.4192669999999999E-2</v>
      </c>
      <c r="O5803">
        <v>1.4195620000000001E-2</v>
      </c>
      <c r="P5803">
        <v>-0.9988011</v>
      </c>
      <c r="Q5803">
        <v>-4.8855059999999999E-2</v>
      </c>
      <c r="R5803">
        <v>-3.0824619999999998E-3</v>
      </c>
      <c r="S5803">
        <v>-3.0116269999999998</v>
      </c>
      <c r="T5803">
        <v>0.1656021</v>
      </c>
      <c r="U5803">
        <v>-2.5451660000000001E-2</v>
      </c>
      <c r="V5803">
        <v>-1.7271060000000001E-2</v>
      </c>
      <c r="W5803">
        <v>-3.467232E-2</v>
      </c>
      <c r="X5803">
        <v>0.99924950000000001</v>
      </c>
      <c r="Y5803">
        <v>-2.2587280000000001E-2</v>
      </c>
      <c r="Z5803">
        <v>1.4414059999999999E-3</v>
      </c>
      <c r="AA5803">
        <v>0.99974379999999996</v>
      </c>
      <c r="AB5803">
        <v>29</v>
      </c>
      <c r="AC5803">
        <v>-3.0116269999999998</v>
      </c>
      <c r="AD5803">
        <v>0.1656021</v>
      </c>
      <c r="AE5803">
        <v>-2.5451660000000001E-2</v>
      </c>
      <c r="AF5803">
        <v>-6.7999722443913696E-2</v>
      </c>
      <c r="AG5803">
        <v>0.1656021</v>
      </c>
      <c r="AH5803">
        <v>3.00188618123165</v>
      </c>
      <c r="AI5803">
        <v>86.843228850531503</v>
      </c>
      <c r="AJ5803">
        <v>91.297661095386701</v>
      </c>
      <c r="AK5803">
        <v>3.0072194237944099</v>
      </c>
      <c r="AL5803">
        <v>91.986975828932501</v>
      </c>
      <c r="AM5803">
        <v>90.9902034715534</v>
      </c>
      <c r="AN5803">
        <v>1.00000001126897</v>
      </c>
    </row>
    <row r="5804" spans="1:40" x14ac:dyDescent="0.25">
      <c r="A5804" t="str">
        <f>"20190303153924124"</f>
        <v>20190303153924124</v>
      </c>
      <c r="B5804" t="str">
        <f>"1551598764114101"</f>
        <v>1551598764114101</v>
      </c>
      <c r="C5804" t="s">
        <v>40</v>
      </c>
      <c r="D5804">
        <v>3.8347289999999998</v>
      </c>
      <c r="E5804">
        <v>0.5161616</v>
      </c>
      <c r="F5804" t="s">
        <v>46</v>
      </c>
      <c r="G5804">
        <v>0</v>
      </c>
      <c r="H5804">
        <v>0</v>
      </c>
      <c r="I5804">
        <v>0</v>
      </c>
      <c r="J5804">
        <v>-261.91950000000003</v>
      </c>
      <c r="K5804">
        <v>1.121113</v>
      </c>
      <c r="L5804">
        <v>141.3588</v>
      </c>
      <c r="M5804">
        <v>-0.9997973</v>
      </c>
      <c r="N5804">
        <v>-1.4183060000000001E-2</v>
      </c>
      <c r="O5804">
        <v>1.429445E-2</v>
      </c>
      <c r="P5804">
        <v>-0.99879150000000005</v>
      </c>
      <c r="Q5804">
        <v>-4.9080319999999997E-2</v>
      </c>
      <c r="R5804">
        <v>-2.6233839999999999E-3</v>
      </c>
      <c r="S5804">
        <v>-3.0115970000000001</v>
      </c>
      <c r="T5804">
        <v>0.1651396</v>
      </c>
      <c r="U5804">
        <v>-2.3040769999999999E-2</v>
      </c>
      <c r="V5804">
        <v>-1.6910229999999998E-2</v>
      </c>
      <c r="W5804">
        <v>-3.4907309999999997E-2</v>
      </c>
      <c r="X5804">
        <v>0.99924749999999996</v>
      </c>
      <c r="Y5804">
        <v>-2.188677E-2</v>
      </c>
      <c r="Z5804">
        <v>1.430087E-3</v>
      </c>
      <c r="AA5804">
        <v>0.99975939999999996</v>
      </c>
      <c r="AB5804">
        <v>29</v>
      </c>
      <c r="AC5804">
        <v>-3.0115970000000001</v>
      </c>
      <c r="AD5804">
        <v>0.1651396</v>
      </c>
      <c r="AE5804">
        <v>-2.3040769999999999E-2</v>
      </c>
      <c r="AF5804">
        <v>-6.5893746214229096E-2</v>
      </c>
      <c r="AG5804">
        <v>0.1651396</v>
      </c>
      <c r="AH5804">
        <v>3.0019340779569701</v>
      </c>
      <c r="AI5804">
        <v>86.8520284209078</v>
      </c>
      <c r="AJ5804">
        <v>91.257465110829401</v>
      </c>
      <c r="AK5804">
        <v>3.0071949191360501</v>
      </c>
      <c r="AL5804">
        <v>92.000447899452894</v>
      </c>
      <c r="AM5804">
        <v>90.969521898797197</v>
      </c>
      <c r="AN5804">
        <v>1.0000000212131599</v>
      </c>
    </row>
    <row r="5805" spans="1:40" x14ac:dyDescent="0.25">
      <c r="A5805" t="str">
        <f>"20190303153924139"</f>
        <v>20190303153924139</v>
      </c>
      <c r="B5805" t="str">
        <f>"1551598764134578"</f>
        <v>1551598764134578</v>
      </c>
      <c r="C5805" t="s">
        <v>40</v>
      </c>
      <c r="D5805">
        <v>3.820379</v>
      </c>
      <c r="E5805">
        <v>0.51631949999999904</v>
      </c>
      <c r="F5805" t="s">
        <v>70</v>
      </c>
      <c r="G5805">
        <v>-510.17610000000002</v>
      </c>
      <c r="H5805">
        <v>7.113308</v>
      </c>
      <c r="I5805">
        <v>150.88849999999999</v>
      </c>
      <c r="J5805">
        <v>-262.0926</v>
      </c>
      <c r="K5805">
        <v>1.121113</v>
      </c>
      <c r="L5805">
        <v>141.3613</v>
      </c>
      <c r="M5805">
        <v>-0.99979660000000004</v>
      </c>
      <c r="N5805">
        <v>-1.417216E-2</v>
      </c>
      <c r="O5805">
        <v>1.4355440000000001E-2</v>
      </c>
      <c r="P5805">
        <v>-0.99878750000000005</v>
      </c>
      <c r="Q5805">
        <v>-4.9169350000000001E-2</v>
      </c>
      <c r="R5805">
        <v>-2.4619300000000002E-3</v>
      </c>
      <c r="S5805">
        <v>-3.0075069999999999</v>
      </c>
      <c r="T5805">
        <v>7.2592970000000007E-2</v>
      </c>
      <c r="U5805">
        <v>0.115448</v>
      </c>
      <c r="V5805">
        <v>-1.681011E-2</v>
      </c>
      <c r="W5805">
        <v>-3.5007280000000002E-2</v>
      </c>
      <c r="X5805">
        <v>0.99924559999999996</v>
      </c>
      <c r="Y5805">
        <v>2.4015740000000001E-2</v>
      </c>
      <c r="Z5805">
        <v>4.302159E-4</v>
      </c>
      <c r="AA5805">
        <v>0.99971149999999998</v>
      </c>
      <c r="AB5805">
        <v>29</v>
      </c>
      <c r="AC5805">
        <v>-248.08349999999999</v>
      </c>
      <c r="AD5805">
        <v>5.9921949999999997</v>
      </c>
      <c r="AE5805">
        <v>9.5271999999999899</v>
      </c>
      <c r="AF5805">
        <v>5.9610402504151496</v>
      </c>
      <c r="AG5805">
        <v>5.9921949999999997</v>
      </c>
      <c r="AH5805">
        <v>248.050209459532</v>
      </c>
      <c r="AI5805">
        <v>88.616563620664195</v>
      </c>
      <c r="AJ5805">
        <v>88.623356446680901</v>
      </c>
      <c r="AK5805">
        <v>248.194171596963</v>
      </c>
      <c r="AL5805">
        <v>92.006179445879098</v>
      </c>
      <c r="AM5805">
        <v>90.963784591545704</v>
      </c>
      <c r="AN5805">
        <v>0.99999992928528203</v>
      </c>
    </row>
    <row r="5806" spans="1:40" x14ac:dyDescent="0.25">
      <c r="A5806" t="str">
        <f>"20190303153924154"</f>
        <v>20190303153924154</v>
      </c>
      <c r="B5806" t="str">
        <f>"1551598764144338"</f>
        <v>1551598764144338</v>
      </c>
      <c r="C5806" t="s">
        <v>40</v>
      </c>
      <c r="D5806">
        <v>3.97709</v>
      </c>
      <c r="E5806">
        <v>0.51710559999999905</v>
      </c>
      <c r="F5806" t="s">
        <v>70</v>
      </c>
      <c r="G5806">
        <v>-510.17579999999998</v>
      </c>
      <c r="H5806">
        <v>6.151637</v>
      </c>
      <c r="I5806">
        <v>151.05619999999999</v>
      </c>
      <c r="J5806">
        <v>-262.29410000000001</v>
      </c>
      <c r="K5806">
        <v>1.1211059999999999</v>
      </c>
      <c r="L5806">
        <v>141.36429999999999</v>
      </c>
      <c r="M5806">
        <v>-0.99979569999999995</v>
      </c>
      <c r="N5806">
        <v>-1.4155299999999999E-2</v>
      </c>
      <c r="O5806">
        <v>1.4426359999999999E-2</v>
      </c>
      <c r="P5806">
        <v>-0.99878820000000001</v>
      </c>
      <c r="Q5806">
        <v>-4.9163070000000003E-2</v>
      </c>
      <c r="R5806">
        <v>-2.2660010000000001E-3</v>
      </c>
      <c r="S5806">
        <v>-3.0069270000000001</v>
      </c>
      <c r="T5806">
        <v>6.0973640000000003E-2</v>
      </c>
      <c r="U5806">
        <v>0.1175079</v>
      </c>
      <c r="V5806">
        <v>-1.6684790000000001E-2</v>
      </c>
      <c r="W5806">
        <v>-3.501787E-2</v>
      </c>
      <c r="X5806">
        <v>0.99924740000000001</v>
      </c>
      <c r="Y5806">
        <v>2.463541E-2</v>
      </c>
      <c r="Z5806">
        <v>4.2127709999999999E-4</v>
      </c>
      <c r="AA5806">
        <v>0.99969640000000004</v>
      </c>
      <c r="AB5806">
        <v>29</v>
      </c>
      <c r="AC5806">
        <v>-247.8817</v>
      </c>
      <c r="AD5806">
        <v>5.0305309999999999</v>
      </c>
      <c r="AE5806">
        <v>9.6919000000000004</v>
      </c>
      <c r="AF5806">
        <v>6.1119887461177598</v>
      </c>
      <c r="AG5806">
        <v>5.0305309999999999</v>
      </c>
      <c r="AH5806">
        <v>247.89379264526099</v>
      </c>
      <c r="AI5806">
        <v>88.837804265533606</v>
      </c>
      <c r="AJ5806">
        <v>88.587620040629901</v>
      </c>
      <c r="AK5806">
        <v>248.02015055359101</v>
      </c>
      <c r="AL5806">
        <v>92.0067864386682</v>
      </c>
      <c r="AM5806">
        <v>90.956599158604604</v>
      </c>
      <c r="AN5806">
        <v>0.99999999992171995</v>
      </c>
    </row>
    <row r="5807" spans="1:40" x14ac:dyDescent="0.25">
      <c r="A5807" t="str">
        <f>"20190303153924168"</f>
        <v>20190303153924168</v>
      </c>
      <c r="B5807" t="str">
        <f>"1551598764163859"</f>
        <v>1551598764163859</v>
      </c>
      <c r="C5807" t="s">
        <v>40</v>
      </c>
      <c r="D5807">
        <v>3.8404240000000001</v>
      </c>
      <c r="E5807">
        <v>0.51789549999999995</v>
      </c>
      <c r="F5807" t="s">
        <v>70</v>
      </c>
      <c r="G5807">
        <v>-510.17579999999998</v>
      </c>
      <c r="H5807">
        <v>6.1277119999999998</v>
      </c>
      <c r="I5807">
        <v>151.61349999999999</v>
      </c>
      <c r="J5807">
        <v>-262.49549999999999</v>
      </c>
      <c r="K5807">
        <v>1.121103</v>
      </c>
      <c r="L5807">
        <v>141.3673</v>
      </c>
      <c r="M5807">
        <v>-0.99979510000000005</v>
      </c>
      <c r="N5807">
        <v>-1.413354E-2</v>
      </c>
      <c r="O5807">
        <v>1.4496780000000001E-2</v>
      </c>
      <c r="P5807">
        <v>-0.99879660000000003</v>
      </c>
      <c r="Q5807">
        <v>-4.8998720000000003E-2</v>
      </c>
      <c r="R5807">
        <v>-2.1229439999999999E-3</v>
      </c>
      <c r="S5807">
        <v>-3.0069270000000001</v>
      </c>
      <c r="T5807">
        <v>6.0733080000000002E-2</v>
      </c>
      <c r="U5807">
        <v>0.1243286</v>
      </c>
      <c r="V5807">
        <v>-1.661197E-2</v>
      </c>
      <c r="W5807">
        <v>-3.4875179999999999E-2</v>
      </c>
      <c r="X5807">
        <v>0.99925359999999996</v>
      </c>
      <c r="Y5807">
        <v>2.68288E-2</v>
      </c>
      <c r="Z5807">
        <v>4.1630850000000001E-4</v>
      </c>
      <c r="AA5807">
        <v>0.99963990000000003</v>
      </c>
      <c r="AB5807">
        <v>29</v>
      </c>
      <c r="AC5807">
        <v>-247.68029999999999</v>
      </c>
      <c r="AD5807">
        <v>5.0066090000000001</v>
      </c>
      <c r="AE5807">
        <v>10.2461999999999</v>
      </c>
      <c r="AF5807">
        <v>6.6514846695921603</v>
      </c>
      <c r="AG5807">
        <v>5.0066090000000001</v>
      </c>
      <c r="AH5807">
        <v>247.70177989709501</v>
      </c>
      <c r="AI5807">
        <v>88.842498480078703</v>
      </c>
      <c r="AJ5807">
        <v>88.461817924328599</v>
      </c>
      <c r="AK5807">
        <v>247.841643284936</v>
      </c>
      <c r="AL5807">
        <v>91.998605914080599</v>
      </c>
      <c r="AM5807">
        <v>90.952418987881501</v>
      </c>
      <c r="AN5807">
        <v>0.99999999642013604</v>
      </c>
    </row>
    <row r="5808" spans="1:40" x14ac:dyDescent="0.25">
      <c r="A5808" t="str">
        <f>"20190303153924183"</f>
        <v>20190303153924183</v>
      </c>
      <c r="B5808" t="str">
        <f>"1551598764174595"</f>
        <v>1551598764174595</v>
      </c>
      <c r="C5808" t="s">
        <v>40</v>
      </c>
      <c r="D5808">
        <v>3.8648020000000001</v>
      </c>
      <c r="E5808">
        <v>0.51718429999999904</v>
      </c>
      <c r="F5808" t="s">
        <v>70</v>
      </c>
      <c r="G5808">
        <v>-510.17570000000001</v>
      </c>
      <c r="H5808">
        <v>5.9711679999999996</v>
      </c>
      <c r="I5808">
        <v>152.17439999999999</v>
      </c>
      <c r="J5808">
        <v>-262.673</v>
      </c>
      <c r="K5808">
        <v>1.1211009999999999</v>
      </c>
      <c r="L5808">
        <v>141.3699</v>
      </c>
      <c r="M5808">
        <v>-0.99979450000000003</v>
      </c>
      <c r="N5808">
        <v>-1.4112059999999999E-2</v>
      </c>
      <c r="O5808">
        <v>1.455736E-2</v>
      </c>
      <c r="P5808">
        <v>-0.99878560000000005</v>
      </c>
      <c r="Q5808">
        <v>-4.9233850000000003E-2</v>
      </c>
      <c r="R5808">
        <v>-1.8844389999999999E-3</v>
      </c>
      <c r="S5808">
        <v>-3.0067750000000002</v>
      </c>
      <c r="T5808">
        <v>5.8879019999999997E-2</v>
      </c>
      <c r="U5808">
        <v>0.13119510000000001</v>
      </c>
      <c r="V5808">
        <v>-1.6433619999999999E-2</v>
      </c>
      <c r="W5808">
        <v>-3.5131919999999997E-2</v>
      </c>
      <c r="X5808">
        <v>0.99924760000000001</v>
      </c>
      <c r="Y5808">
        <v>2.9048790000000001E-2</v>
      </c>
      <c r="Z5808">
        <v>4.1103199999999998E-4</v>
      </c>
      <c r="AA5808">
        <v>0.99957790000000002</v>
      </c>
      <c r="AB5808">
        <v>29</v>
      </c>
      <c r="AC5808">
        <v>-247.5027</v>
      </c>
      <c r="AD5808">
        <v>4.8500669999999904</v>
      </c>
      <c r="AE5808">
        <v>10.8044999999999</v>
      </c>
      <c r="AF5808">
        <v>7.1972518391373503</v>
      </c>
      <c r="AG5808">
        <v>4.8500669999999904</v>
      </c>
      <c r="AH5808">
        <v>247.53889396875999</v>
      </c>
      <c r="AI5808">
        <v>88.878012768773004</v>
      </c>
      <c r="AJ5808">
        <v>88.334580863200699</v>
      </c>
      <c r="AK5808">
        <v>247.690992188286</v>
      </c>
      <c r="AL5808">
        <v>92.013324963107095</v>
      </c>
      <c r="AM5808">
        <v>90.942201104331005</v>
      </c>
      <c r="AN5808">
        <v>1.0000000408874701</v>
      </c>
    </row>
    <row r="5809" spans="1:40" x14ac:dyDescent="0.25">
      <c r="A5809" t="str">
        <f>"20190303153924204"</f>
        <v>20190303153924204</v>
      </c>
      <c r="B5809" t="str">
        <f>"1551598764194114"</f>
        <v>1551598764194114</v>
      </c>
      <c r="C5809" t="s">
        <v>40</v>
      </c>
      <c r="D5809">
        <v>3.7977989999999999</v>
      </c>
      <c r="E5809">
        <v>0.51698339999999998</v>
      </c>
      <c r="F5809" t="s">
        <v>70</v>
      </c>
      <c r="G5809">
        <v>-511.06029999999998</v>
      </c>
      <c r="H5809">
        <v>5.0109279999999998</v>
      </c>
      <c r="I5809">
        <v>151.83420000000001</v>
      </c>
      <c r="J5809">
        <v>-262.95760000000001</v>
      </c>
      <c r="K5809">
        <v>1.1210929999999999</v>
      </c>
      <c r="L5809">
        <v>141.3742</v>
      </c>
      <c r="M5809">
        <v>-0.99979379999999995</v>
      </c>
      <c r="N5809">
        <v>-1.40669E-2</v>
      </c>
      <c r="O5809">
        <v>1.465084E-2</v>
      </c>
      <c r="P5809">
        <v>-0.99872919999999998</v>
      </c>
      <c r="Q5809">
        <v>-5.0364779999999998E-2</v>
      </c>
      <c r="R5809">
        <v>-1.904974E-3</v>
      </c>
      <c r="S5809">
        <v>-3.006195</v>
      </c>
      <c r="T5809">
        <v>4.7078490000000001E-2</v>
      </c>
      <c r="U5809">
        <v>0.12664790000000001</v>
      </c>
      <c r="V5809">
        <v>-1.65468E-2</v>
      </c>
      <c r="W5809">
        <v>-3.6308779999999999E-2</v>
      </c>
      <c r="X5809">
        <v>0.99920359999999997</v>
      </c>
      <c r="Y5809">
        <v>2.745394E-2</v>
      </c>
      <c r="Z5809">
        <v>4.1363769999999998E-4</v>
      </c>
      <c r="AA5809">
        <v>0.99962300000000004</v>
      </c>
      <c r="AB5809">
        <v>29</v>
      </c>
      <c r="AC5809">
        <v>-248.1027</v>
      </c>
      <c r="AD5809">
        <v>3.8898350000000002</v>
      </c>
      <c r="AE5809">
        <v>10.46</v>
      </c>
      <c r="AF5809">
        <v>6.82193084594849</v>
      </c>
      <c r="AG5809">
        <v>3.8898350000000002</v>
      </c>
      <c r="AH5809">
        <v>248.16843495626401</v>
      </c>
      <c r="AI5809">
        <v>89.102348606500101</v>
      </c>
      <c r="AJ5809">
        <v>88.425386222079595</v>
      </c>
      <c r="AK5809">
        <v>248.29265326512501</v>
      </c>
      <c r="AL5809">
        <v>92.080797262880495</v>
      </c>
      <c r="AM5809">
        <v>90.9487307245073</v>
      </c>
      <c r="AN5809">
        <v>0.99999997917414396</v>
      </c>
    </row>
    <row r="5810" spans="1:40" x14ac:dyDescent="0.25">
      <c r="A5810" t="str">
        <f>"20190303153924226"</f>
        <v>20190303153924226</v>
      </c>
      <c r="B5810" t="str">
        <f>"1551598764214610"</f>
        <v>1551598764214610</v>
      </c>
      <c r="C5810" t="s">
        <v>40</v>
      </c>
      <c r="D5810">
        <v>3.7892030000000001</v>
      </c>
      <c r="E5810">
        <v>0.51644299999999999</v>
      </c>
      <c r="F5810" t="s">
        <v>70</v>
      </c>
      <c r="G5810">
        <v>-511.06009999999998</v>
      </c>
      <c r="H5810">
        <v>4.3929280000000004</v>
      </c>
      <c r="I5810">
        <v>151.6885</v>
      </c>
      <c r="J5810">
        <v>-263.23180000000002</v>
      </c>
      <c r="K5810">
        <v>1.121067</v>
      </c>
      <c r="L5810">
        <v>141.3783</v>
      </c>
      <c r="M5810">
        <v>-0.99979359999999995</v>
      </c>
      <c r="N5810">
        <v>-1.399915E-2</v>
      </c>
      <c r="O5810">
        <v>1.473354E-2</v>
      </c>
      <c r="P5810">
        <v>-0.99870570000000003</v>
      </c>
      <c r="Q5810">
        <v>-5.0836020000000003E-2</v>
      </c>
      <c r="R5810">
        <v>-1.7137140000000001E-3</v>
      </c>
      <c r="S5810">
        <v>-3.0060419999999999</v>
      </c>
      <c r="T5810">
        <v>3.9642450000000003E-2</v>
      </c>
      <c r="U5810">
        <v>0.1249695</v>
      </c>
      <c r="V5810">
        <v>-1.643737E-2</v>
      </c>
      <c r="W5810">
        <v>-3.6848220000000001E-2</v>
      </c>
      <c r="X5810">
        <v>0.99918569999999995</v>
      </c>
      <c r="Y5810">
        <v>2.681569E-2</v>
      </c>
      <c r="Z5810">
        <v>4.1142350000000002E-4</v>
      </c>
      <c r="AA5810">
        <v>0.99964030000000004</v>
      </c>
      <c r="AB5810">
        <v>29</v>
      </c>
      <c r="AC5810">
        <v>-247.82830000000001</v>
      </c>
      <c r="AD5810">
        <v>3.2718609999999901</v>
      </c>
      <c r="AE5810">
        <v>10.3102</v>
      </c>
      <c r="AF5810">
        <v>6.6561770478835998</v>
      </c>
      <c r="AG5810">
        <v>3.2718609999999901</v>
      </c>
      <c r="AH5810">
        <v>247.91017980273401</v>
      </c>
      <c r="AI5810">
        <v>89.244139862938297</v>
      </c>
      <c r="AJ5810">
        <v>88.462026642080204</v>
      </c>
      <c r="AK5810">
        <v>248.02110195933</v>
      </c>
      <c r="AL5810">
        <v>92.111725509104602</v>
      </c>
      <c r="AM5810">
        <v>90.942474439696895</v>
      </c>
      <c r="AN5810">
        <v>1.0000000207670801</v>
      </c>
    </row>
    <row r="5811" spans="1:40" x14ac:dyDescent="0.25">
      <c r="A5811" t="str">
        <f>"20190303153924247"</f>
        <v>20190303153924247</v>
      </c>
      <c r="B5811" t="str">
        <f>"1551598764243890"</f>
        <v>1551598764243890</v>
      </c>
      <c r="C5811" t="s">
        <v>40</v>
      </c>
      <c r="D5811">
        <v>3.7847170000000001</v>
      </c>
      <c r="E5811">
        <v>0.51582220000000001</v>
      </c>
      <c r="F5811" t="s">
        <v>70</v>
      </c>
      <c r="G5811">
        <v>-511.06</v>
      </c>
      <c r="H5811">
        <v>4.1537189999999997</v>
      </c>
      <c r="I5811">
        <v>151.38589999999999</v>
      </c>
      <c r="J5811">
        <v>-263.51209999999998</v>
      </c>
      <c r="K5811">
        <v>1.1210549999999999</v>
      </c>
      <c r="L5811">
        <v>141.38249999999999</v>
      </c>
      <c r="M5811">
        <v>-0.99979399999999996</v>
      </c>
      <c r="N5811">
        <v>-1.3892389999999999E-2</v>
      </c>
      <c r="O5811">
        <v>1.48034E-2</v>
      </c>
      <c r="P5811">
        <v>-0.99869039999999998</v>
      </c>
      <c r="Q5811">
        <v>-5.1146669999999998E-2</v>
      </c>
      <c r="R5811">
        <v>-1.280916E-3</v>
      </c>
      <c r="S5811">
        <v>-3.005951</v>
      </c>
      <c r="T5811">
        <v>3.6784049999999999E-2</v>
      </c>
      <c r="U5811">
        <v>0.1213837</v>
      </c>
      <c r="V5811">
        <v>-1.6073580000000001E-2</v>
      </c>
      <c r="W5811">
        <v>-3.7266100000000003E-2</v>
      </c>
      <c r="X5811">
        <v>0.99917610000000001</v>
      </c>
      <c r="Y5811">
        <v>2.5556349999999999E-2</v>
      </c>
      <c r="Z5811">
        <v>4.079377E-4</v>
      </c>
      <c r="AA5811">
        <v>0.99967329999999999</v>
      </c>
      <c r="AB5811">
        <v>29</v>
      </c>
      <c r="AC5811">
        <v>-247.5479</v>
      </c>
      <c r="AD5811">
        <v>3.032664</v>
      </c>
      <c r="AE5811">
        <v>10.003399999999999</v>
      </c>
      <c r="AF5811">
        <v>6.3364502851253404</v>
      </c>
      <c r="AG5811">
        <v>3.032664</v>
      </c>
      <c r="AH5811">
        <v>247.63176338113999</v>
      </c>
      <c r="AI5811">
        <v>89.298582253379095</v>
      </c>
      <c r="AJ5811">
        <v>88.534224172947603</v>
      </c>
      <c r="AK5811">
        <v>247.73138252632799</v>
      </c>
      <c r="AL5811">
        <v>92.135684768881106</v>
      </c>
      <c r="AM5811">
        <v>90.921628194557002</v>
      </c>
      <c r="AN5811">
        <v>1.0000000004972101</v>
      </c>
    </row>
    <row r="5812" spans="1:40" x14ac:dyDescent="0.25">
      <c r="A5812" t="str">
        <f>"20190303153924261"</f>
        <v>20190303153924261</v>
      </c>
      <c r="B5812" t="str">
        <f>"1551598764254626"</f>
        <v>1551598764254626</v>
      </c>
      <c r="C5812" t="s">
        <v>40</v>
      </c>
      <c r="D5812">
        <v>3.824087</v>
      </c>
      <c r="E5812">
        <v>0.5156792</v>
      </c>
      <c r="F5812" t="s">
        <v>70</v>
      </c>
      <c r="G5812">
        <v>-511.06</v>
      </c>
      <c r="H5812">
        <v>3.9433940000000001</v>
      </c>
      <c r="I5812">
        <v>151.07509999999999</v>
      </c>
      <c r="J5812">
        <v>-263.68279999999999</v>
      </c>
      <c r="K5812">
        <v>1.1210439999999999</v>
      </c>
      <c r="L5812">
        <v>141.38509999999999</v>
      </c>
      <c r="M5812">
        <v>-0.99979470000000004</v>
      </c>
      <c r="N5812">
        <v>-1.3803599999999999E-2</v>
      </c>
      <c r="O5812">
        <v>1.483453E-2</v>
      </c>
      <c r="P5812">
        <v>-0.99872609999999995</v>
      </c>
      <c r="Q5812">
        <v>-5.0445320000000002E-2</v>
      </c>
      <c r="R5812">
        <v>-1.2848779999999999E-3</v>
      </c>
      <c r="S5812">
        <v>-3.0058289999999999</v>
      </c>
      <c r="T5812">
        <v>3.4270519999999999E-2</v>
      </c>
      <c r="U5812">
        <v>0.117691</v>
      </c>
      <c r="V5812">
        <v>-1.6108730000000002E-2</v>
      </c>
      <c r="W5812">
        <v>-3.6653310000000001E-2</v>
      </c>
      <c r="X5812">
        <v>0.99919820000000004</v>
      </c>
      <c r="Y5812">
        <v>2.430044E-2</v>
      </c>
      <c r="Z5812">
        <v>4.0307009999999998E-4</v>
      </c>
      <c r="AA5812">
        <v>0.99970460000000005</v>
      </c>
      <c r="AB5812">
        <v>29</v>
      </c>
      <c r="AC5812">
        <v>-247.37719999999999</v>
      </c>
      <c r="AD5812">
        <v>2.8223500000000001</v>
      </c>
      <c r="AE5812">
        <v>9.6899999999999906</v>
      </c>
      <c r="AF5812">
        <v>6.0180772979474604</v>
      </c>
      <c r="AG5812">
        <v>2.8223500000000001</v>
      </c>
      <c r="AH5812">
        <v>247.46157219199901</v>
      </c>
      <c r="AI5812">
        <v>89.346751340470604</v>
      </c>
      <c r="AJ5812">
        <v>88.606884800486</v>
      </c>
      <c r="AK5812">
        <v>247.55082836787801</v>
      </c>
      <c r="AL5812">
        <v>92.100550484238397</v>
      </c>
      <c r="AM5812">
        <v>90.923622853891004</v>
      </c>
      <c r="AN5812">
        <v>0.99999999959970398</v>
      </c>
    </row>
    <row r="5813" spans="1:40" x14ac:dyDescent="0.25">
      <c r="A5813" t="str">
        <f>"20190303153924281"</f>
        <v>20190303153924281</v>
      </c>
      <c r="B5813" t="str">
        <f>"1551598764274150"</f>
        <v>1551598764274150</v>
      </c>
      <c r="C5813" t="s">
        <v>40</v>
      </c>
      <c r="D5813">
        <v>3.7846880000000001</v>
      </c>
      <c r="E5813">
        <v>0.51546740000000002</v>
      </c>
      <c r="F5813" t="s">
        <v>70</v>
      </c>
      <c r="G5813">
        <v>-511.06</v>
      </c>
      <c r="H5813">
        <v>4.1585029999999996</v>
      </c>
      <c r="I5813">
        <v>150.97929999999999</v>
      </c>
      <c r="J5813">
        <v>-263.95639999999997</v>
      </c>
      <c r="K5813">
        <v>1.1210310000000001</v>
      </c>
      <c r="L5813">
        <v>141.38919999999999</v>
      </c>
      <c r="M5813">
        <v>-0.99979649999999998</v>
      </c>
      <c r="N5813">
        <v>-1.3643189999999999E-2</v>
      </c>
      <c r="O5813">
        <v>1.487336E-2</v>
      </c>
      <c r="P5813">
        <v>-0.99875910000000001</v>
      </c>
      <c r="Q5813">
        <v>-4.9791080000000001E-2</v>
      </c>
      <c r="R5813">
        <v>-1.1710049999999999E-3</v>
      </c>
      <c r="S5813">
        <v>-3.0058289999999999</v>
      </c>
      <c r="T5813">
        <v>3.6908030000000001E-2</v>
      </c>
      <c r="U5813">
        <v>0.1165771</v>
      </c>
      <c r="V5813">
        <v>-1.6032790000000002E-2</v>
      </c>
      <c r="W5813">
        <v>-3.6159539999999997E-2</v>
      </c>
      <c r="X5813">
        <v>0.99921740000000003</v>
      </c>
      <c r="Y5813">
        <v>2.3891900000000001E-2</v>
      </c>
      <c r="Z5813">
        <v>4.0181849999999997E-4</v>
      </c>
      <c r="AA5813">
        <v>0.99971449999999995</v>
      </c>
      <c r="AB5813">
        <v>29</v>
      </c>
      <c r="AC5813">
        <v>-247.1036</v>
      </c>
      <c r="AD5813">
        <v>3.0374720000000002</v>
      </c>
      <c r="AE5813">
        <v>9.5900999999999996</v>
      </c>
      <c r="AF5813">
        <v>5.9125447801852404</v>
      </c>
      <c r="AG5813">
        <v>3.0374720000000002</v>
      </c>
      <c r="AH5813">
        <v>247.181618790784</v>
      </c>
      <c r="AI5813">
        <v>89.296162033271699</v>
      </c>
      <c r="AJ5813">
        <v>88.629755412185503</v>
      </c>
      <c r="AK5813">
        <v>247.270979069443</v>
      </c>
      <c r="AL5813">
        <v>92.072240804360504</v>
      </c>
      <c r="AM5813">
        <v>90.919251786323002</v>
      </c>
      <c r="AN5813">
        <v>0.99999998757547703</v>
      </c>
    </row>
    <row r="5814" spans="1:40" x14ac:dyDescent="0.25">
      <c r="A5814" t="str">
        <f>"20190303153924303"</f>
        <v>20190303153924303</v>
      </c>
      <c r="B5814" t="str">
        <f>"1551598764294642"</f>
        <v>1551598764294642</v>
      </c>
      <c r="C5814" t="s">
        <v>40</v>
      </c>
      <c r="D5814">
        <v>3.7589440000000001</v>
      </c>
      <c r="E5814">
        <v>0.51523180000000002</v>
      </c>
      <c r="F5814" t="s">
        <v>70</v>
      </c>
      <c r="G5814">
        <v>-511.06009999999998</v>
      </c>
      <c r="H5814">
        <v>4.3037419999999997</v>
      </c>
      <c r="I5814">
        <v>150.8613</v>
      </c>
      <c r="J5814">
        <v>-264.23669999999998</v>
      </c>
      <c r="K5814">
        <v>1.1210169999999999</v>
      </c>
      <c r="L5814">
        <v>141.39340000000001</v>
      </c>
      <c r="M5814">
        <v>-0.99979850000000003</v>
      </c>
      <c r="N5814">
        <v>-1.3468249999999999E-2</v>
      </c>
      <c r="O5814">
        <v>1.4899910000000001E-2</v>
      </c>
      <c r="P5814">
        <v>-0.99877380000000004</v>
      </c>
      <c r="Q5814">
        <v>-4.9489360000000003E-2</v>
      </c>
      <c r="R5814">
        <v>-1.4670709999999999E-3</v>
      </c>
      <c r="S5814">
        <v>-3.005798</v>
      </c>
      <c r="T5814">
        <v>3.8715359999999997E-2</v>
      </c>
      <c r="U5814">
        <v>0.1152191</v>
      </c>
      <c r="V5814">
        <v>-1.6354E-2</v>
      </c>
      <c r="W5814">
        <v>-3.6033160000000002E-2</v>
      </c>
      <c r="X5814">
        <v>0.99921680000000002</v>
      </c>
      <c r="Y5814">
        <v>2.3414839999999999E-2</v>
      </c>
      <c r="Z5814">
        <v>3.9944120000000001E-4</v>
      </c>
      <c r="AA5814">
        <v>0.9997258</v>
      </c>
      <c r="AB5814">
        <v>29</v>
      </c>
      <c r="AC5814">
        <v>-246.82339999999999</v>
      </c>
      <c r="AD5814">
        <v>3.182725</v>
      </c>
      <c r="AE5814">
        <v>9.4678999999999807</v>
      </c>
      <c r="AF5814">
        <v>5.7879085824968604</v>
      </c>
      <c r="AG5814">
        <v>3.182725</v>
      </c>
      <c r="AH5814">
        <v>246.896086643286</v>
      </c>
      <c r="AI5814">
        <v>89.261646738886</v>
      </c>
      <c r="AJ5814">
        <v>88.657078734294302</v>
      </c>
      <c r="AK5814">
        <v>246.984427087932</v>
      </c>
      <c r="AL5814">
        <v>92.064994958862997</v>
      </c>
      <c r="AM5814">
        <v>90.937665904594596</v>
      </c>
      <c r="AN5814">
        <v>1.0000000276689101</v>
      </c>
    </row>
    <row r="5815" spans="1:40" x14ac:dyDescent="0.25">
      <c r="A5815" t="str">
        <f>"20190303153924318"</f>
        <v>20190303153924318</v>
      </c>
      <c r="B5815" t="str">
        <f>"1551598764304403"</f>
        <v>1551598764304403</v>
      </c>
      <c r="C5815" t="s">
        <v>40</v>
      </c>
      <c r="D5815">
        <v>3.7484839999999999</v>
      </c>
      <c r="E5815">
        <v>0.51519209999999904</v>
      </c>
      <c r="F5815" t="s">
        <v>70</v>
      </c>
      <c r="G5815">
        <v>-511.06009999999998</v>
      </c>
      <c r="H5815">
        <v>4.3938550000000003</v>
      </c>
      <c r="I5815">
        <v>150.62909999999999</v>
      </c>
      <c r="J5815">
        <v>-264.4171</v>
      </c>
      <c r="K5815">
        <v>1.121005</v>
      </c>
      <c r="L5815">
        <v>141.39609999999999</v>
      </c>
      <c r="M5815">
        <v>-0.99979969999999996</v>
      </c>
      <c r="N5815">
        <v>-1.335829E-2</v>
      </c>
      <c r="O5815">
        <v>1.4910680000000001E-2</v>
      </c>
      <c r="P5815">
        <v>-0.99876540000000003</v>
      </c>
      <c r="Q5815">
        <v>-4.9656069999999997E-2</v>
      </c>
      <c r="R5815">
        <v>-1.5348110000000001E-3</v>
      </c>
      <c r="S5815">
        <v>-3.0058289999999999</v>
      </c>
      <c r="T5815">
        <v>3.985727E-2</v>
      </c>
      <c r="U5815">
        <v>0.1124725</v>
      </c>
      <c r="V5815">
        <v>-1.6431499999999901E-2</v>
      </c>
      <c r="W5815">
        <v>-3.6310259999999997E-2</v>
      </c>
      <c r="X5815">
        <v>0.99920549999999997</v>
      </c>
      <c r="Y5815">
        <v>2.2491520000000001E-2</v>
      </c>
      <c r="Z5815">
        <v>3.9796390000000002E-4</v>
      </c>
      <c r="AA5815">
        <v>0.99974700000000005</v>
      </c>
      <c r="AB5815">
        <v>29</v>
      </c>
      <c r="AC5815">
        <v>-246.643</v>
      </c>
      <c r="AD5815">
        <v>3.27285</v>
      </c>
      <c r="AE5815">
        <v>9.2330000000000005</v>
      </c>
      <c r="AF5815">
        <v>5.5530543327244999</v>
      </c>
      <c r="AG5815">
        <v>3.27285</v>
      </c>
      <c r="AH5815">
        <v>246.70987795468801</v>
      </c>
      <c r="AI5815">
        <v>89.240151959061194</v>
      </c>
      <c r="AJ5815">
        <v>88.710579143640203</v>
      </c>
      <c r="AK5815">
        <v>246.79406767578899</v>
      </c>
      <c r="AL5815">
        <v>92.080882010359701</v>
      </c>
      <c r="AM5815">
        <v>90.942119264615002</v>
      </c>
      <c r="AN5815">
        <v>1.0000000302018801</v>
      </c>
    </row>
    <row r="5816" spans="1:40" x14ac:dyDescent="0.25">
      <c r="A5816" t="str">
        <f>"20190303153924330"</f>
        <v>20190303153924330</v>
      </c>
      <c r="B5816" t="str">
        <f>"1551598764323922"</f>
        <v>1551598764323922</v>
      </c>
      <c r="C5816" t="s">
        <v>40</v>
      </c>
      <c r="D5816">
        <v>3.77536</v>
      </c>
      <c r="E5816">
        <v>0.51508069999999995</v>
      </c>
      <c r="F5816" t="s">
        <v>70</v>
      </c>
      <c r="G5816">
        <v>-511.06009999999998</v>
      </c>
      <c r="H5816">
        <v>4.3920519999999996</v>
      </c>
      <c r="I5816">
        <v>150.58109999999999</v>
      </c>
      <c r="J5816">
        <v>-264.58510000000001</v>
      </c>
      <c r="K5816">
        <v>1.121</v>
      </c>
      <c r="L5816">
        <v>141.39869999999999</v>
      </c>
      <c r="M5816">
        <v>-0.99980089999999999</v>
      </c>
      <c r="N5816">
        <v>-1.3258560000000001E-2</v>
      </c>
      <c r="O5816">
        <v>1.49176E-2</v>
      </c>
      <c r="P5816">
        <v>-0.99875440000000004</v>
      </c>
      <c r="Q5816">
        <v>-4.9878930000000002E-2</v>
      </c>
      <c r="R5816">
        <v>-1.300914E-3</v>
      </c>
      <c r="S5816">
        <v>-3.0058590000000001</v>
      </c>
      <c r="T5816">
        <v>3.9865020000000001E-2</v>
      </c>
      <c r="U5816">
        <v>0.1119385</v>
      </c>
      <c r="V5816">
        <v>-1.6203559999999999E-2</v>
      </c>
      <c r="W5816">
        <v>-3.6633199999999998E-2</v>
      </c>
      <c r="X5816">
        <v>0.99919740000000001</v>
      </c>
      <c r="Y5816">
        <v>2.2306820000000002E-2</v>
      </c>
      <c r="Z5816">
        <v>3.9554750000000001E-4</v>
      </c>
      <c r="AA5816">
        <v>0.9997511</v>
      </c>
      <c r="AB5816">
        <v>29</v>
      </c>
      <c r="AC5816">
        <v>-246.47499999999999</v>
      </c>
      <c r="AD5816">
        <v>3.2710520000000001</v>
      </c>
      <c r="AE5816">
        <v>9.1823999999999995</v>
      </c>
      <c r="AF5816">
        <v>5.5032717495232699</v>
      </c>
      <c r="AG5816">
        <v>3.2710520000000001</v>
      </c>
      <c r="AH5816">
        <v>246.54119772743999</v>
      </c>
      <c r="AI5816">
        <v>89.240046639714507</v>
      </c>
      <c r="AJ5816">
        <v>88.721260815654304</v>
      </c>
      <c r="AK5816">
        <v>246.62430528643401</v>
      </c>
      <c r="AL5816">
        <v>92.099397500525995</v>
      </c>
      <c r="AM5816">
        <v>90.929059895068804</v>
      </c>
      <c r="AN5816">
        <v>0.99999999543283602</v>
      </c>
    </row>
    <row r="5817" spans="1:40" x14ac:dyDescent="0.25">
      <c r="A5817" t="str">
        <f>"20190303153924347"</f>
        <v>20190303153924347</v>
      </c>
      <c r="B5817" t="str">
        <f>"1551598764334659"</f>
        <v>1551598764334659</v>
      </c>
      <c r="C5817" t="s">
        <v>40</v>
      </c>
      <c r="D5817">
        <v>3.7653660000000002</v>
      </c>
      <c r="E5817">
        <v>0.51505869999999998</v>
      </c>
      <c r="F5817" t="s">
        <v>70</v>
      </c>
      <c r="G5817">
        <v>-511.06009999999998</v>
      </c>
      <c r="H5817">
        <v>4.4241640000000002</v>
      </c>
      <c r="I5817">
        <v>150.57480000000001</v>
      </c>
      <c r="J5817">
        <v>-264.80840000000001</v>
      </c>
      <c r="K5817">
        <v>1.1209849999999999</v>
      </c>
      <c r="L5817">
        <v>141.40199999999999</v>
      </c>
      <c r="M5817">
        <v>-0.99980250000000004</v>
      </c>
      <c r="N5817">
        <v>-1.313373E-2</v>
      </c>
      <c r="O5817">
        <v>1.4919450000000001E-2</v>
      </c>
      <c r="P5817">
        <v>-0.99876169999999997</v>
      </c>
      <c r="Q5817">
        <v>-4.974286E-2</v>
      </c>
      <c r="R5817">
        <v>-9.0232340000000004E-4</v>
      </c>
      <c r="S5817">
        <v>-3.00589</v>
      </c>
      <c r="T5817">
        <v>4.0284279999999999E-2</v>
      </c>
      <c r="U5817">
        <v>0.11190799999999999</v>
      </c>
      <c r="V5817">
        <v>-1.5806199999999999E-2</v>
      </c>
      <c r="W5817">
        <v>-3.662199E-2</v>
      </c>
      <c r="X5817">
        <v>0.99920419999999999</v>
      </c>
      <c r="Y5817">
        <v>2.229445E-2</v>
      </c>
      <c r="Z5817">
        <v>3.9286760000000002E-4</v>
      </c>
      <c r="AA5817">
        <v>0.99975139999999996</v>
      </c>
      <c r="AB5817">
        <v>29</v>
      </c>
      <c r="AC5817">
        <v>-246.2517</v>
      </c>
      <c r="AD5817">
        <v>3.3031790000000001</v>
      </c>
      <c r="AE5817">
        <v>9.1727999999999899</v>
      </c>
      <c r="AF5817">
        <v>5.4965346475405203</v>
      </c>
      <c r="AG5817">
        <v>3.3031790000000001</v>
      </c>
      <c r="AH5817">
        <v>246.31689348619599</v>
      </c>
      <c r="AI5817">
        <v>89.231884690580003</v>
      </c>
      <c r="AJ5817">
        <v>88.721663077547802</v>
      </c>
      <c r="AK5817">
        <v>246.400354913153</v>
      </c>
      <c r="AL5817">
        <v>92.0987547326</v>
      </c>
      <c r="AM5817">
        <v>90.906274234808507</v>
      </c>
      <c r="AN5817">
        <v>1.0000000197038199</v>
      </c>
    </row>
    <row r="5818" spans="1:40" x14ac:dyDescent="0.25">
      <c r="A5818" t="str">
        <f>"20190303153924362"</f>
        <v>20190303153924362</v>
      </c>
      <c r="B5818" t="str">
        <f>"1551598764354178"</f>
        <v>1551598764354178</v>
      </c>
      <c r="C5818" t="s">
        <v>40</v>
      </c>
      <c r="D5818">
        <v>3.7823669999999998</v>
      </c>
      <c r="E5818">
        <v>0.51488449999999997</v>
      </c>
      <c r="F5818" t="s">
        <v>70</v>
      </c>
      <c r="G5818">
        <v>-511.06009999999998</v>
      </c>
      <c r="H5818">
        <v>4.442787</v>
      </c>
      <c r="I5818">
        <v>150.63999999999999</v>
      </c>
      <c r="J5818">
        <v>-265.00650000000002</v>
      </c>
      <c r="K5818">
        <v>1.1209769999999999</v>
      </c>
      <c r="L5818">
        <v>141.405</v>
      </c>
      <c r="M5818">
        <v>-0.99980389999999997</v>
      </c>
      <c r="N5818">
        <v>-1.3029499999999999E-2</v>
      </c>
      <c r="O5818">
        <v>1.491525E-2</v>
      </c>
      <c r="P5818">
        <v>-0.99874949999999996</v>
      </c>
      <c r="Q5818">
        <v>-4.9986170000000003E-2</v>
      </c>
      <c r="R5818">
        <v>-9.6000670000000003E-4</v>
      </c>
      <c r="S5818">
        <v>-3.0058289999999999</v>
      </c>
      <c r="T5818">
        <v>4.0547489999999999E-2</v>
      </c>
      <c r="U5818">
        <v>0.1127625</v>
      </c>
      <c r="V5818">
        <v>-1.5859359999999999E-2</v>
      </c>
      <c r="W5818">
        <v>-3.6969759999999997E-2</v>
      </c>
      <c r="X5818">
        <v>0.99919049999999998</v>
      </c>
      <c r="Y5818">
        <v>2.258319E-2</v>
      </c>
      <c r="Z5818">
        <v>3.9030450000000002E-4</v>
      </c>
      <c r="AA5818">
        <v>0.99974490000000005</v>
      </c>
      <c r="AB5818">
        <v>29</v>
      </c>
      <c r="AC5818">
        <v>-246.05359999999999</v>
      </c>
      <c r="AD5818">
        <v>3.3218099999999899</v>
      </c>
      <c r="AE5818">
        <v>9.2349999999999799</v>
      </c>
      <c r="AF5818">
        <v>5.5626977230005501</v>
      </c>
      <c r="AG5818">
        <v>3.3218099999999899</v>
      </c>
      <c r="AH5818">
        <v>246.11918428291</v>
      </c>
      <c r="AI5818">
        <v>89.226937333383603</v>
      </c>
      <c r="AJ5818">
        <v>88.705241735153507</v>
      </c>
      <c r="AK5818">
        <v>246.20444939058001</v>
      </c>
      <c r="AL5818">
        <v>92.118694096109195</v>
      </c>
      <c r="AM5818">
        <v>90.909334204810193</v>
      </c>
      <c r="AN5818">
        <v>0.99999996887215803</v>
      </c>
    </row>
    <row r="5819" spans="1:40" x14ac:dyDescent="0.25">
      <c r="A5819" t="str">
        <f>"20190303153924375"</f>
        <v>20190303153924375</v>
      </c>
      <c r="B5819" t="str">
        <f>"1551598764364915"</f>
        <v>1551598764364915</v>
      </c>
      <c r="C5819" t="s">
        <v>40</v>
      </c>
      <c r="D5819">
        <v>3.7601499999999999</v>
      </c>
      <c r="E5819">
        <v>0.51486799999999999</v>
      </c>
      <c r="F5819" t="s">
        <v>70</v>
      </c>
      <c r="G5819">
        <v>-511.06009999999998</v>
      </c>
      <c r="H5819">
        <v>4.3480259999999999</v>
      </c>
      <c r="I5819">
        <v>150.5069</v>
      </c>
      <c r="J5819">
        <v>-265.17270000000002</v>
      </c>
      <c r="K5819">
        <v>1.120981</v>
      </c>
      <c r="L5819">
        <v>141.4074</v>
      </c>
      <c r="M5819">
        <v>-0.99980519999999995</v>
      </c>
      <c r="N5819">
        <v>-1.294608E-2</v>
      </c>
      <c r="O5819">
        <v>1.4906030000000001E-2</v>
      </c>
      <c r="P5819">
        <v>-0.99874399999999997</v>
      </c>
      <c r="Q5819">
        <v>-5.0102479999999998E-2</v>
      </c>
      <c r="R5819">
        <v>-7.8124360000000003E-4</v>
      </c>
      <c r="S5819">
        <v>-3.0058289999999999</v>
      </c>
      <c r="T5819">
        <v>3.942263E-2</v>
      </c>
      <c r="U5819">
        <v>0.11119080000000001</v>
      </c>
      <c r="V5819">
        <v>-1.5671040000000001E-2</v>
      </c>
      <c r="W5819">
        <v>-3.7169609999999999E-2</v>
      </c>
      <c r="X5819">
        <v>0.99918609999999997</v>
      </c>
      <c r="Y5819">
        <v>2.2070280000000001E-2</v>
      </c>
      <c r="Z5819">
        <v>3.8656520000000002E-4</v>
      </c>
      <c r="AA5819">
        <v>0.99975630000000004</v>
      </c>
      <c r="AB5819">
        <v>29</v>
      </c>
      <c r="AC5819">
        <v>-245.88740000000001</v>
      </c>
      <c r="AD5819">
        <v>3.2270449999999999</v>
      </c>
      <c r="AE5819">
        <v>9.0995000000000008</v>
      </c>
      <c r="AF5819">
        <v>5.43204279744812</v>
      </c>
      <c r="AG5819">
        <v>3.2270449999999999</v>
      </c>
      <c r="AH5819">
        <v>245.953420434994</v>
      </c>
      <c r="AI5819">
        <v>89.248474040419794</v>
      </c>
      <c r="AJ5819">
        <v>88.734790771998902</v>
      </c>
      <c r="AK5819">
        <v>246.03456247458001</v>
      </c>
      <c r="AL5819">
        <v>92.1301524418637</v>
      </c>
      <c r="AM5819">
        <v>90.898542165853002</v>
      </c>
      <c r="AN5819">
        <v>1.0000000119177199</v>
      </c>
    </row>
    <row r="5820" spans="1:40" x14ac:dyDescent="0.25">
      <c r="A5820" t="str">
        <f>"20190303153924394"</f>
        <v>20190303153924394</v>
      </c>
      <c r="B5820" t="str">
        <f>"1551598764384435"</f>
        <v>1551598764384435</v>
      </c>
      <c r="C5820" t="s">
        <v>40</v>
      </c>
      <c r="D5820">
        <v>3.742092</v>
      </c>
      <c r="E5820">
        <v>0.51478020000000002</v>
      </c>
      <c r="F5820" t="s">
        <v>70</v>
      </c>
      <c r="G5820">
        <v>-511.06009999999998</v>
      </c>
      <c r="H5820">
        <v>4.3027430000000004</v>
      </c>
      <c r="I5820">
        <v>150.53710000000001</v>
      </c>
      <c r="J5820">
        <v>-265.40910000000002</v>
      </c>
      <c r="K5820">
        <v>1.1209789999999999</v>
      </c>
      <c r="L5820">
        <v>141.4109</v>
      </c>
      <c r="M5820">
        <v>-0.999807</v>
      </c>
      <c r="N5820">
        <v>-1.283487E-2</v>
      </c>
      <c r="O5820">
        <v>1.488184E-2</v>
      </c>
      <c r="P5820">
        <v>-0.99874399999999997</v>
      </c>
      <c r="Q5820">
        <v>-5.0106749999999999E-2</v>
      </c>
      <c r="R5820">
        <v>-4.8479959999999999E-4</v>
      </c>
      <c r="S5820">
        <v>-3.0057680000000002</v>
      </c>
      <c r="T5820">
        <v>3.8894890000000001E-2</v>
      </c>
      <c r="U5820">
        <v>0.1116028</v>
      </c>
      <c r="V5820">
        <v>-1.5349369999999999E-2</v>
      </c>
      <c r="W5820">
        <v>-3.7285220000000001E-2</v>
      </c>
      <c r="X5820">
        <v>0.99918680000000004</v>
      </c>
      <c r="Y5820">
        <v>2.223197E-2</v>
      </c>
      <c r="Z5820">
        <v>3.823713E-4</v>
      </c>
      <c r="AA5820">
        <v>0.9997528</v>
      </c>
      <c r="AB5820">
        <v>29</v>
      </c>
      <c r="AC5820">
        <v>-245.65099999999899</v>
      </c>
      <c r="AD5820">
        <v>3.1817639999999998</v>
      </c>
      <c r="AE5820">
        <v>9.1262000000000096</v>
      </c>
      <c r="AF5820">
        <v>5.4682334956016101</v>
      </c>
      <c r="AG5820">
        <v>3.1817639999999998</v>
      </c>
      <c r="AH5820">
        <v>245.71845187643899</v>
      </c>
      <c r="AI5820">
        <v>89.258312341722203</v>
      </c>
      <c r="AJ5820">
        <v>88.725146635704206</v>
      </c>
      <c r="AK5820">
        <v>245.79988362948399</v>
      </c>
      <c r="AL5820">
        <v>92.136780971451401</v>
      </c>
      <c r="AM5820">
        <v>90.880100646966397</v>
      </c>
      <c r="AN5820">
        <v>1.0000000260420401</v>
      </c>
    </row>
    <row r="5821" spans="1:40" x14ac:dyDescent="0.25">
      <c r="A5821" t="str">
        <f>"20190303153924416"</f>
        <v>20190303153924416</v>
      </c>
      <c r="B5821" t="str">
        <f>"1551598764404930"</f>
        <v>1551598764404930</v>
      </c>
      <c r="C5821" t="s">
        <v>40</v>
      </c>
      <c r="D5821">
        <v>3.7266949999999999</v>
      </c>
      <c r="E5821">
        <v>0.51470079999999996</v>
      </c>
      <c r="F5821" t="s">
        <v>70</v>
      </c>
      <c r="G5821">
        <v>-511.06009999999998</v>
      </c>
      <c r="H5821">
        <v>4.3261770000000004</v>
      </c>
      <c r="I5821">
        <v>150.5591</v>
      </c>
      <c r="J5821">
        <v>-265.69540000000001</v>
      </c>
      <c r="K5821">
        <v>1.120984</v>
      </c>
      <c r="L5821">
        <v>141.4152</v>
      </c>
      <c r="M5821">
        <v>-0.99980910000000001</v>
      </c>
      <c r="N5821">
        <v>-1.271487E-2</v>
      </c>
      <c r="O5821">
        <v>1.4833880000000001E-2</v>
      </c>
      <c r="P5821">
        <v>-0.99872510000000003</v>
      </c>
      <c r="Q5821">
        <v>-5.0475989999999998E-2</v>
      </c>
      <c r="R5821">
        <v>-5.5358879999999999E-4</v>
      </c>
      <c r="S5821">
        <v>-3.0058289999999999</v>
      </c>
      <c r="T5821">
        <v>3.9219860000000002E-2</v>
      </c>
      <c r="U5821">
        <v>0.1119385</v>
      </c>
      <c r="V5821">
        <v>-1.5368629999999999E-2</v>
      </c>
      <c r="W5821">
        <v>-3.7775129999999997E-2</v>
      </c>
      <c r="X5821">
        <v>0.9991681</v>
      </c>
      <c r="Y5821">
        <v>2.239064E-2</v>
      </c>
      <c r="Z5821">
        <v>3.7839649999999998E-4</v>
      </c>
      <c r="AA5821">
        <v>0.9997492</v>
      </c>
      <c r="AB5821">
        <v>29</v>
      </c>
      <c r="AC5821">
        <v>-245.3647</v>
      </c>
      <c r="AD5821">
        <v>3.2051929999999902</v>
      </c>
      <c r="AE5821">
        <v>9.1439000000000004</v>
      </c>
      <c r="AF5821">
        <v>5.50195133566256</v>
      </c>
      <c r="AG5821">
        <v>3.2051929999999902</v>
      </c>
      <c r="AH5821">
        <v>245.431526440895</v>
      </c>
      <c r="AI5821">
        <v>89.251980884962094</v>
      </c>
      <c r="AJ5821">
        <v>88.715789270522905</v>
      </c>
      <c r="AK5821">
        <v>245.514111410678</v>
      </c>
      <c r="AL5821">
        <v>92.164870540775794</v>
      </c>
      <c r="AM5821">
        <v>90.881221290546094</v>
      </c>
      <c r="AN5821">
        <v>1.0000000236461</v>
      </c>
    </row>
    <row r="5822" spans="1:40" x14ac:dyDescent="0.25">
      <c r="A5822" t="str">
        <f>"20190303153924437"</f>
        <v>20190303153924437</v>
      </c>
      <c r="B5822" t="str">
        <f>"1551598764434211"</f>
        <v>1551598764434211</v>
      </c>
      <c r="C5822" t="s">
        <v>40</v>
      </c>
      <c r="D5822">
        <v>3.7469399999999999</v>
      </c>
      <c r="E5822">
        <v>0.51440200000000003</v>
      </c>
      <c r="F5822" t="s">
        <v>70</v>
      </c>
      <c r="G5822">
        <v>-511.06009999999998</v>
      </c>
      <c r="H5822">
        <v>4.2546419999999996</v>
      </c>
      <c r="I5822">
        <v>150.50790000000001</v>
      </c>
      <c r="J5822">
        <v>-265.9676</v>
      </c>
      <c r="K5822">
        <v>1.1209960000000001</v>
      </c>
      <c r="L5822">
        <v>141.41919999999999</v>
      </c>
      <c r="M5822">
        <v>-0.99981129999999996</v>
      </c>
      <c r="N5822">
        <v>-1.2619699999999999E-2</v>
      </c>
      <c r="O5822">
        <v>1.477032E-2</v>
      </c>
      <c r="P5822">
        <v>-0.99870729999999996</v>
      </c>
      <c r="Q5822">
        <v>-5.0830119999999999E-2</v>
      </c>
      <c r="R5822">
        <v>-5.5991829999999995E-4</v>
      </c>
      <c r="S5822">
        <v>-3.005798</v>
      </c>
      <c r="T5822">
        <v>3.8388850000000002E-2</v>
      </c>
      <c r="U5822">
        <v>0.11138919999999999</v>
      </c>
      <c r="V5822">
        <v>-1.530929E-2</v>
      </c>
      <c r="W5822">
        <v>-3.8225219999999997E-2</v>
      </c>
      <c r="X5822">
        <v>0.99915189999999998</v>
      </c>
      <c r="Y5822">
        <v>2.2272E-2</v>
      </c>
      <c r="Z5822">
        <v>3.7331050000000002E-4</v>
      </c>
      <c r="AA5822">
        <v>0.99975190000000003</v>
      </c>
      <c r="AB5822">
        <v>29</v>
      </c>
      <c r="AC5822">
        <v>-245.0925</v>
      </c>
      <c r="AD5822">
        <v>3.1336460000000002</v>
      </c>
      <c r="AE5822">
        <v>9.08870000000001</v>
      </c>
      <c r="AF5822">
        <v>5.4664331553977501</v>
      </c>
      <c r="AG5822">
        <v>3.1336460000000002</v>
      </c>
      <c r="AH5822">
        <v>245.159991568869</v>
      </c>
      <c r="AI5822">
        <v>89.267864615874501</v>
      </c>
      <c r="AJ5822">
        <v>88.722664099236198</v>
      </c>
      <c r="AK5822">
        <v>245.24094905774501</v>
      </c>
      <c r="AL5822">
        <v>92.190677422159894</v>
      </c>
      <c r="AM5822">
        <v>90.877833560508904</v>
      </c>
      <c r="AN5822">
        <v>1.00000003053898</v>
      </c>
    </row>
    <row r="5823" spans="1:40" x14ac:dyDescent="0.25">
      <c r="A5823" t="str">
        <f>"20190303153924450"</f>
        <v>20190303153924450</v>
      </c>
      <c r="B5823" t="str">
        <f>"1551598764444947"</f>
        <v>1551598764444947</v>
      </c>
      <c r="C5823" t="s">
        <v>40</v>
      </c>
      <c r="D5823">
        <v>3.8139630000000002</v>
      </c>
      <c r="E5823">
        <v>0.51440200000000003</v>
      </c>
      <c r="F5823" t="s">
        <v>70</v>
      </c>
      <c r="G5823">
        <v>-511.06009999999998</v>
      </c>
      <c r="H5823">
        <v>4.2550089999999896</v>
      </c>
      <c r="I5823">
        <v>150.30000000000001</v>
      </c>
      <c r="J5823">
        <v>-266.14620000000002</v>
      </c>
      <c r="K5823">
        <v>1.121005</v>
      </c>
      <c r="L5823">
        <v>141.42179999999999</v>
      </c>
      <c r="M5823">
        <v>-0.99981279999999995</v>
      </c>
      <c r="N5823">
        <v>-1.256727E-2</v>
      </c>
      <c r="O5823">
        <v>1.471926E-2</v>
      </c>
      <c r="P5823">
        <v>-0.99870490000000001</v>
      </c>
      <c r="Q5823">
        <v>-5.087618E-2</v>
      </c>
      <c r="R5823">
        <v>-5.9875E-4</v>
      </c>
      <c r="S5823">
        <v>-3.00589</v>
      </c>
      <c r="T5823">
        <v>3.8437010000000001E-2</v>
      </c>
      <c r="U5823">
        <v>0.10891720000000001</v>
      </c>
      <c r="V5823">
        <v>-1.529636E-2</v>
      </c>
      <c r="W5823">
        <v>-3.8324179999999999E-2</v>
      </c>
      <c r="X5823">
        <v>0.99914820000000004</v>
      </c>
      <c r="Y5823">
        <v>2.1500849999999998E-2</v>
      </c>
      <c r="Z5823">
        <v>3.7079719999999998E-4</v>
      </c>
      <c r="AA5823">
        <v>0.99976869999999995</v>
      </c>
      <c r="AB5823">
        <v>29</v>
      </c>
      <c r="AC5823">
        <v>-244.91390000000001</v>
      </c>
      <c r="AD5823">
        <v>3.1340039999999898</v>
      </c>
      <c r="AE5823">
        <v>8.8782000000000192</v>
      </c>
      <c r="AF5823">
        <v>5.2711403665686198</v>
      </c>
      <c r="AG5823">
        <v>3.1340039999999898</v>
      </c>
      <c r="AH5823">
        <v>244.977992446478</v>
      </c>
      <c r="AI5823">
        <v>89.267224538095604</v>
      </c>
      <c r="AJ5823">
        <v>88.767368864045395</v>
      </c>
      <c r="AK5823">
        <v>245.05473609980001</v>
      </c>
      <c r="AL5823">
        <v>92.1963518052805</v>
      </c>
      <c r="AM5823">
        <v>90.8770955186328</v>
      </c>
      <c r="AN5823">
        <v>0.99999992348257805</v>
      </c>
    </row>
    <row r="5824" spans="1:40" x14ac:dyDescent="0.25">
      <c r="A5824" t="str">
        <f>"20190303153924464"</f>
        <v>20190303153924464</v>
      </c>
      <c r="B5824" t="str">
        <f>"1551598764454707"</f>
        <v>1551598764454707</v>
      </c>
      <c r="C5824" t="s">
        <v>40</v>
      </c>
      <c r="D5824">
        <v>3.7779500000000001</v>
      </c>
      <c r="E5824">
        <v>0.51367189999999996</v>
      </c>
      <c r="F5824" t="s">
        <v>70</v>
      </c>
      <c r="G5824">
        <v>-511.06009999999998</v>
      </c>
      <c r="H5824">
        <v>4.2438039999999999</v>
      </c>
      <c r="I5824">
        <v>150.27600000000001</v>
      </c>
      <c r="J5824">
        <v>-266.3313</v>
      </c>
      <c r="K5824">
        <v>1.121019</v>
      </c>
      <c r="L5824">
        <v>141.42439999999999</v>
      </c>
      <c r="M5824">
        <v>-0.99981430000000004</v>
      </c>
      <c r="N5824">
        <v>-1.252784E-2</v>
      </c>
      <c r="O5824">
        <v>1.4651519999999999E-2</v>
      </c>
      <c r="P5824">
        <v>-0.99870650000000005</v>
      </c>
      <c r="Q5824">
        <v>-5.0845139999999997E-2</v>
      </c>
      <c r="R5824">
        <v>-6.6767319999999999E-4</v>
      </c>
      <c r="S5824">
        <v>-3.005951</v>
      </c>
      <c r="T5824">
        <v>3.8328170000000002E-2</v>
      </c>
      <c r="U5824">
        <v>0.10867309999999999</v>
      </c>
      <c r="V5824">
        <v>-1.529588E-2</v>
      </c>
      <c r="W5824">
        <v>-3.8333069999999997E-2</v>
      </c>
      <c r="X5824">
        <v>0.99914800000000004</v>
      </c>
      <c r="Y5824">
        <v>2.1486709999999999E-2</v>
      </c>
      <c r="Z5824">
        <v>3.6793820000000001E-4</v>
      </c>
      <c r="AA5824">
        <v>0.99976909999999997</v>
      </c>
      <c r="AB5824">
        <v>29</v>
      </c>
      <c r="AC5824">
        <v>-244.72880000000001</v>
      </c>
      <c r="AD5824">
        <v>3.1227849999999999</v>
      </c>
      <c r="AE5824">
        <v>8.8516000000000101</v>
      </c>
      <c r="AF5824">
        <v>5.2638638981457699</v>
      </c>
      <c r="AG5824">
        <v>3.1227849999999999</v>
      </c>
      <c r="AH5824">
        <v>244.792420823686</v>
      </c>
      <c r="AI5824">
        <v>89.269293755104997</v>
      </c>
      <c r="AJ5824">
        <v>88.768137054772794</v>
      </c>
      <c r="AK5824">
        <v>244.86892277709501</v>
      </c>
      <c r="AL5824">
        <v>92.1968612457799</v>
      </c>
      <c r="AM5824">
        <v>90.877068175197806</v>
      </c>
      <c r="AN5824">
        <v>1.00000005705229</v>
      </c>
    </row>
    <row r="5825" spans="1:40" x14ac:dyDescent="0.25">
      <c r="A5825" t="str">
        <f>"20190303153924478"</f>
        <v>20190303153924478</v>
      </c>
      <c r="B5825" t="str">
        <f>"1551598764474227"</f>
        <v>1551598764474227</v>
      </c>
      <c r="C5825" t="s">
        <v>40</v>
      </c>
      <c r="D5825">
        <v>3.7834210000000001</v>
      </c>
      <c r="E5825">
        <v>0.51308999999999905</v>
      </c>
      <c r="F5825" t="s">
        <v>70</v>
      </c>
      <c r="G5825">
        <v>-512.6155</v>
      </c>
      <c r="H5825">
        <v>4.2457929999999999</v>
      </c>
      <c r="I5825">
        <v>149.8432</v>
      </c>
      <c r="J5825">
        <v>-266.49329999999998</v>
      </c>
      <c r="K5825">
        <v>1.1210340000000001</v>
      </c>
      <c r="L5825">
        <v>141.42670000000001</v>
      </c>
      <c r="M5825">
        <v>-0.99981529999999996</v>
      </c>
      <c r="N5825">
        <v>-1.2507809999999999E-2</v>
      </c>
      <c r="O5825">
        <v>1.458621E-2</v>
      </c>
      <c r="P5825">
        <v>-0.99869419999999998</v>
      </c>
      <c r="Q5825">
        <v>-5.1080750000000001E-2</v>
      </c>
      <c r="R5825">
        <v>-7.3654259999999996E-4</v>
      </c>
      <c r="S5825">
        <v>-3.0059200000000001</v>
      </c>
      <c r="T5825">
        <v>3.813863E-2</v>
      </c>
      <c r="U5825">
        <v>0.1027527</v>
      </c>
      <c r="V5825">
        <v>-1.5298590000000001E-2</v>
      </c>
      <c r="W5825">
        <v>-3.8589239999999997E-2</v>
      </c>
      <c r="X5825">
        <v>0.99913810000000003</v>
      </c>
      <c r="Y5825">
        <v>1.9585620000000002E-2</v>
      </c>
      <c r="Z5825">
        <v>3.6570549999999998E-4</v>
      </c>
      <c r="AA5825">
        <v>0.99980809999999998</v>
      </c>
      <c r="AB5825">
        <v>29</v>
      </c>
      <c r="AC5825">
        <v>-246.12219999999999</v>
      </c>
      <c r="AD5825">
        <v>3.1247590000000001</v>
      </c>
      <c r="AE5825">
        <v>8.4164999999999797</v>
      </c>
      <c r="AF5825">
        <v>4.8245564860706303</v>
      </c>
      <c r="AG5825">
        <v>3.1247590000000001</v>
      </c>
      <c r="AH5825">
        <v>246.17915211735999</v>
      </c>
      <c r="AI5825">
        <v>89.272921686054005</v>
      </c>
      <c r="AJ5825">
        <v>88.877275588823807</v>
      </c>
      <c r="AK5825">
        <v>246.24624951726199</v>
      </c>
      <c r="AL5825">
        <v>92.211549567165207</v>
      </c>
      <c r="AM5825">
        <v>90.877232233391993</v>
      </c>
      <c r="AN5825">
        <v>1.0000000595856799</v>
      </c>
    </row>
    <row r="5826" spans="1:40" x14ac:dyDescent="0.25">
      <c r="A5826" t="str">
        <f>"20190303153924493"</f>
        <v>20190303153924493</v>
      </c>
      <c r="B5826" t="str">
        <f>"1551598764483987"</f>
        <v>1551598764483987</v>
      </c>
      <c r="C5826" t="s">
        <v>40</v>
      </c>
      <c r="D5826">
        <v>3.770546</v>
      </c>
      <c r="E5826">
        <v>0.51282700000000003</v>
      </c>
      <c r="F5826" t="s">
        <v>70</v>
      </c>
      <c r="G5826">
        <v>-550.1635</v>
      </c>
      <c r="H5826">
        <v>4.9117620000000004</v>
      </c>
      <c r="I5826">
        <v>150.6695</v>
      </c>
      <c r="J5826">
        <v>-266.70639999999997</v>
      </c>
      <c r="K5826">
        <v>1.1210639999999901</v>
      </c>
      <c r="L5826">
        <v>141.4297</v>
      </c>
      <c r="M5826">
        <v>-0.99981679999999995</v>
      </c>
      <c r="N5826">
        <v>-1.251038E-2</v>
      </c>
      <c r="O5826">
        <v>1.449407E-2</v>
      </c>
      <c r="P5826">
        <v>-0.99866619999999995</v>
      </c>
      <c r="Q5826">
        <v>-5.1629139999999997E-2</v>
      </c>
      <c r="R5826">
        <v>-6.944548E-4</v>
      </c>
      <c r="S5826">
        <v>-3.0060730000000002</v>
      </c>
      <c r="T5826">
        <v>4.0171030000000003E-2</v>
      </c>
      <c r="U5826">
        <v>9.7946169999999999E-2</v>
      </c>
      <c r="V5826">
        <v>-1.5162490000000001E-2</v>
      </c>
      <c r="W5826">
        <v>-3.9135830000000003E-2</v>
      </c>
      <c r="X5826">
        <v>0.99911890000000003</v>
      </c>
      <c r="Y5826">
        <v>1.8079290000000001E-2</v>
      </c>
      <c r="Z5826">
        <v>3.6725940000000002E-4</v>
      </c>
      <c r="AA5826">
        <v>0.99983650000000002</v>
      </c>
      <c r="AB5826">
        <v>29</v>
      </c>
      <c r="AC5826">
        <v>-283.45710000000003</v>
      </c>
      <c r="AD5826">
        <v>3.7906979999999999</v>
      </c>
      <c r="AE5826">
        <v>9.2398000000000007</v>
      </c>
      <c r="AF5826">
        <v>5.1291447987874497</v>
      </c>
      <c r="AG5826">
        <v>3.7906979999999999</v>
      </c>
      <c r="AH5826">
        <v>283.510603390526</v>
      </c>
      <c r="AI5826">
        <v>89.234093806832206</v>
      </c>
      <c r="AJ5826">
        <v>88.963543903672004</v>
      </c>
      <c r="AK5826">
        <v>283.58233328709701</v>
      </c>
      <c r="AL5826">
        <v>92.242890573863505</v>
      </c>
      <c r="AM5826">
        <v>90.8694460693075</v>
      </c>
      <c r="AN5826">
        <v>1.00000004531499</v>
      </c>
    </row>
    <row r="5827" spans="1:40" x14ac:dyDescent="0.25">
      <c r="A5827" t="str">
        <f>"20190303153924506"</f>
        <v>20190303153924506</v>
      </c>
      <c r="B5827" t="str">
        <f>"1551598764504483"</f>
        <v>1551598764504483</v>
      </c>
      <c r="C5827" t="s">
        <v>40</v>
      </c>
      <c r="D5827">
        <v>3.8000370000000001</v>
      </c>
      <c r="E5827">
        <v>0.51211379999999995</v>
      </c>
      <c r="F5827" t="s">
        <v>70</v>
      </c>
      <c r="G5827">
        <v>-550.1635</v>
      </c>
      <c r="H5827">
        <v>4.868239</v>
      </c>
      <c r="I5827">
        <v>150.4811</v>
      </c>
      <c r="J5827">
        <v>-266.87830000000002</v>
      </c>
      <c r="K5827">
        <v>1.121089</v>
      </c>
      <c r="L5827">
        <v>141.43209999999999</v>
      </c>
      <c r="M5827">
        <v>-0.99981730000000002</v>
      </c>
      <c r="N5827">
        <v>-1.255127E-2</v>
      </c>
      <c r="O5827">
        <v>1.441653E-2</v>
      </c>
      <c r="P5827">
        <v>-0.99865760000000003</v>
      </c>
      <c r="Q5827">
        <v>-5.1791740000000003E-2</v>
      </c>
      <c r="R5827">
        <v>-8.3772499999999999E-4</v>
      </c>
      <c r="S5827">
        <v>-3.0061650000000002</v>
      </c>
      <c r="T5827">
        <v>3.9740560000000001E-2</v>
      </c>
      <c r="U5827">
        <v>9.5993040000000002E-2</v>
      </c>
      <c r="V5827">
        <v>-1.522721E-2</v>
      </c>
      <c r="W5827">
        <v>-3.9258059999999997E-2</v>
      </c>
      <c r="X5827">
        <v>0.99911309999999998</v>
      </c>
      <c r="Y5827">
        <v>1.7506870000000001E-2</v>
      </c>
      <c r="Z5827">
        <v>3.6563209999999999E-4</v>
      </c>
      <c r="AA5827">
        <v>0.99984669999999998</v>
      </c>
      <c r="AB5827">
        <v>29</v>
      </c>
      <c r="AC5827">
        <v>-283.28519999999997</v>
      </c>
      <c r="AD5827">
        <v>3.74715</v>
      </c>
      <c r="AE5827">
        <v>9.0489999999999995</v>
      </c>
      <c r="AF5827">
        <v>4.96288069735429</v>
      </c>
      <c r="AG5827">
        <v>3.74715</v>
      </c>
      <c r="AH5827">
        <v>283.33669697009799</v>
      </c>
      <c r="AI5827">
        <v>89.242419194799197</v>
      </c>
      <c r="AJ5827">
        <v>88.996518818817194</v>
      </c>
      <c r="AK5827">
        <v>283.404931445915</v>
      </c>
      <c r="AL5827">
        <v>92.249899268760899</v>
      </c>
      <c r="AM5827">
        <v>90.873161732110304</v>
      </c>
      <c r="AN5827">
        <v>1.0000000248954699</v>
      </c>
    </row>
    <row r="5828" spans="1:40" x14ac:dyDescent="0.25">
      <c r="A5828" t="str">
        <f>"20190303153924522"</f>
        <v>20190303153924522</v>
      </c>
      <c r="B5828" t="str">
        <f>"1551598764514243"</f>
        <v>1551598764514243</v>
      </c>
      <c r="C5828" t="s">
        <v>40</v>
      </c>
      <c r="D5828">
        <v>3.7876439999999998</v>
      </c>
      <c r="E5828">
        <v>0.51176790000000005</v>
      </c>
      <c r="F5828" t="s">
        <v>70</v>
      </c>
      <c r="G5828">
        <v>-550.1635</v>
      </c>
      <c r="H5828">
        <v>4.7626239999999997</v>
      </c>
      <c r="I5828">
        <v>149.90010000000001</v>
      </c>
      <c r="J5828">
        <v>-267.06240000000003</v>
      </c>
      <c r="K5828">
        <v>1.121124</v>
      </c>
      <c r="L5828">
        <v>141.43469999999999</v>
      </c>
      <c r="M5828">
        <v>-0.99981770000000003</v>
      </c>
      <c r="N5828">
        <v>-1.26274E-2</v>
      </c>
      <c r="O5828">
        <v>1.432224E-2</v>
      </c>
      <c r="P5828">
        <v>-0.99863610000000003</v>
      </c>
      <c r="Q5828">
        <v>-5.220052E-2</v>
      </c>
      <c r="R5828">
        <v>-1.068084E-3</v>
      </c>
      <c r="S5828">
        <v>-3.0061040000000001</v>
      </c>
      <c r="T5828">
        <v>3.8642879999999998E-2</v>
      </c>
      <c r="U5828">
        <v>8.9859010000000003E-2</v>
      </c>
      <c r="V5828">
        <v>-1.5362310000000001E-2</v>
      </c>
      <c r="W5828">
        <v>-3.9591300000000003E-2</v>
      </c>
      <c r="X5828">
        <v>0.99909789999999998</v>
      </c>
      <c r="Y5828">
        <v>1.556341E-2</v>
      </c>
      <c r="Z5828">
        <v>3.6314840000000001E-4</v>
      </c>
      <c r="AA5828">
        <v>0.99987879999999996</v>
      </c>
      <c r="AB5828">
        <v>29</v>
      </c>
      <c r="AC5828">
        <v>-283.10109999999997</v>
      </c>
      <c r="AD5828">
        <v>3.6415000000000002</v>
      </c>
      <c r="AE5828">
        <v>8.4654000000000096</v>
      </c>
      <c r="AF5828">
        <v>4.4088375956630097</v>
      </c>
      <c r="AG5828">
        <v>3.6415000000000002</v>
      </c>
      <c r="AH5828">
        <v>283.14650536359898</v>
      </c>
      <c r="AI5828">
        <v>89.263258451271398</v>
      </c>
      <c r="AJ5828">
        <v>89.107926921625307</v>
      </c>
      <c r="AK5828">
        <v>283.20424055937701</v>
      </c>
      <c r="AL5828">
        <v>92.269007329218795</v>
      </c>
      <c r="AM5828">
        <v>90.880920847795906</v>
      </c>
      <c r="AN5828">
        <v>1.0000000426943101</v>
      </c>
    </row>
    <row r="5829" spans="1:40" x14ac:dyDescent="0.25">
      <c r="A5829" t="str">
        <f>"20190303153924537"</f>
        <v>20190303153924537</v>
      </c>
      <c r="B5829" t="str">
        <f>"1551598764534739"</f>
        <v>1551598764534739</v>
      </c>
      <c r="C5829" t="s">
        <v>40</v>
      </c>
      <c r="D5829">
        <v>3.8014579999999998</v>
      </c>
      <c r="E5829">
        <v>0.51112639999999998</v>
      </c>
      <c r="F5829" t="s">
        <v>46</v>
      </c>
      <c r="G5829">
        <v>0</v>
      </c>
      <c r="H5829">
        <v>0</v>
      </c>
      <c r="I5829">
        <v>0</v>
      </c>
      <c r="J5829">
        <v>-267.26679999999999</v>
      </c>
      <c r="K5829">
        <v>1.1211549999999999</v>
      </c>
      <c r="L5829">
        <v>141.4375</v>
      </c>
      <c r="M5829">
        <v>-0.99981810000000004</v>
      </c>
      <c r="N5829">
        <v>-1.2722310000000001E-2</v>
      </c>
      <c r="O5829">
        <v>1.4209019999999999E-2</v>
      </c>
      <c r="P5829">
        <v>-0.9985986</v>
      </c>
      <c r="Q5829">
        <v>-5.2904380000000001E-2</v>
      </c>
      <c r="R5829">
        <v>-1.3696450000000001E-3</v>
      </c>
      <c r="S5829">
        <v>-3.0061650000000002</v>
      </c>
      <c r="T5829">
        <v>3.7097690000000003E-2</v>
      </c>
      <c r="U5829">
        <v>8.6334229999999998E-2</v>
      </c>
      <c r="V5829">
        <v>-1.554963E-2</v>
      </c>
      <c r="W5829">
        <v>-4.0201000000000001E-2</v>
      </c>
      <c r="X5829">
        <v>0.99907060000000003</v>
      </c>
      <c r="Y5829">
        <v>1.450451E-2</v>
      </c>
      <c r="Z5829">
        <v>3.5884550000000001E-4</v>
      </c>
      <c r="AA5829">
        <v>0.99989470000000003</v>
      </c>
      <c r="AB5829">
        <v>29</v>
      </c>
      <c r="AC5829">
        <v>-3.0061650000000002</v>
      </c>
      <c r="AD5829">
        <v>3.7097690000000003E-2</v>
      </c>
      <c r="AE5829">
        <v>8.6334229999999998E-2</v>
      </c>
      <c r="AF5829">
        <v>4.3600762279240701E-2</v>
      </c>
      <c r="AG5829">
        <v>3.7097690000000003E-2</v>
      </c>
      <c r="AH5829">
        <v>3.00663079391675</v>
      </c>
      <c r="AI5829">
        <v>89.293159043683303</v>
      </c>
      <c r="AJ5829">
        <v>89.169181472407402</v>
      </c>
      <c r="AK5829">
        <v>3.00717575076734</v>
      </c>
      <c r="AL5829">
        <v>92.303968526964894</v>
      </c>
      <c r="AM5829">
        <v>90.891684974664301</v>
      </c>
      <c r="AN5829">
        <v>0.99999998758924802</v>
      </c>
    </row>
    <row r="5830" spans="1:40" x14ac:dyDescent="0.25">
      <c r="A5830" t="str">
        <f>"20190303153924560"</f>
        <v>20190303153924560</v>
      </c>
      <c r="B5830" t="str">
        <f>"1551598764554259"</f>
        <v>1551598764554259</v>
      </c>
      <c r="C5830" t="s">
        <v>40</v>
      </c>
      <c r="D5830">
        <v>3.7922889999999998</v>
      </c>
      <c r="E5830">
        <v>0.51052949999999997</v>
      </c>
      <c r="F5830" t="s">
        <v>46</v>
      </c>
      <c r="G5830">
        <v>0</v>
      </c>
      <c r="H5830">
        <v>0</v>
      </c>
      <c r="I5830">
        <v>0</v>
      </c>
      <c r="J5830">
        <v>-267.5598</v>
      </c>
      <c r="K5830">
        <v>1.1211880000000001</v>
      </c>
      <c r="L5830">
        <v>141.44149999999999</v>
      </c>
      <c r="M5830">
        <v>-0.99981900000000001</v>
      </c>
      <c r="N5830">
        <v>-1.28614E-2</v>
      </c>
      <c r="O5830">
        <v>1.403332E-2</v>
      </c>
      <c r="P5830">
        <v>-0.99853210000000003</v>
      </c>
      <c r="Q5830">
        <v>-5.4146359999999998E-2</v>
      </c>
      <c r="R5830">
        <v>-1.450586E-3</v>
      </c>
      <c r="S5830">
        <v>-3.0061650000000002</v>
      </c>
      <c r="T5830">
        <v>3.4334419999999997E-2</v>
      </c>
      <c r="U5830">
        <v>8.0215449999999994E-2</v>
      </c>
      <c r="V5830">
        <v>-1.545318E-2</v>
      </c>
      <c r="W5830">
        <v>-4.1304920000000002E-2</v>
      </c>
      <c r="X5830">
        <v>0.99902709999999995</v>
      </c>
      <c r="Y5830">
        <v>1.2646289999999999E-2</v>
      </c>
      <c r="Z5830">
        <v>3.4983619999999998E-4</v>
      </c>
      <c r="AA5830">
        <v>0.99992000000000003</v>
      </c>
      <c r="AB5830">
        <v>29</v>
      </c>
      <c r="AC5830">
        <v>-3.0061650000000002</v>
      </c>
      <c r="AD5830">
        <v>3.4334419999999997E-2</v>
      </c>
      <c r="AE5830">
        <v>8.0215449999999994E-2</v>
      </c>
      <c r="AF5830">
        <v>3.8012637694011503E-2</v>
      </c>
      <c r="AG5830">
        <v>3.4334419999999997E-2</v>
      </c>
      <c r="AH5830">
        <v>3.0066027873915</v>
      </c>
      <c r="AI5830">
        <v>89.345781667137899</v>
      </c>
      <c r="AJ5830">
        <v>89.275645029846501</v>
      </c>
      <c r="AK5830">
        <v>3.00703909754621</v>
      </c>
      <c r="AL5830">
        <v>92.367270995126106</v>
      </c>
      <c r="AM5830">
        <v>90.886193566348894</v>
      </c>
      <c r="AN5830">
        <v>1.0000000218613601</v>
      </c>
    </row>
    <row r="5831" spans="1:40" x14ac:dyDescent="0.25">
      <c r="A5831" t="str">
        <f>"20190303153924583"</f>
        <v>20190303153924583</v>
      </c>
      <c r="B5831" t="str">
        <f>"1551598764574770"</f>
        <v>1551598764574770</v>
      </c>
      <c r="C5831" t="s">
        <v>40</v>
      </c>
      <c r="D5831">
        <v>3.7652459999999999</v>
      </c>
      <c r="E5831">
        <v>0.50999459999999996</v>
      </c>
      <c r="F5831" t="s">
        <v>46</v>
      </c>
      <c r="G5831">
        <v>0</v>
      </c>
      <c r="H5831">
        <v>0</v>
      </c>
      <c r="I5831">
        <v>0</v>
      </c>
      <c r="J5831">
        <v>-267.85950000000003</v>
      </c>
      <c r="K5831">
        <v>1.1212120000000001</v>
      </c>
      <c r="L5831">
        <v>141.44550000000001</v>
      </c>
      <c r="M5831">
        <v>-0.99981980000000004</v>
      </c>
      <c r="N5831">
        <v>-1.299752E-2</v>
      </c>
      <c r="O5831">
        <v>1.384751E-2</v>
      </c>
      <c r="P5831">
        <v>-0.99848340000000002</v>
      </c>
      <c r="Q5831">
        <v>-5.5032860000000003E-2</v>
      </c>
      <c r="R5831">
        <v>-1.580574E-3</v>
      </c>
      <c r="S5831">
        <v>-3.0061650000000002</v>
      </c>
      <c r="T5831">
        <v>3.0315760000000001E-2</v>
      </c>
      <c r="U5831">
        <v>7.5347899999999995E-2</v>
      </c>
      <c r="V5831">
        <v>-1.5396959999999999E-2</v>
      </c>
      <c r="W5831">
        <v>-4.2056110000000001E-2</v>
      </c>
      <c r="X5831">
        <v>0.99899660000000001</v>
      </c>
      <c r="Y5831">
        <v>1.121372E-2</v>
      </c>
      <c r="Z5831">
        <v>3.3593209999999997E-4</v>
      </c>
      <c r="AA5831">
        <v>0.99993710000000002</v>
      </c>
      <c r="AB5831">
        <v>29</v>
      </c>
      <c r="AC5831">
        <v>-3.0061650000000002</v>
      </c>
      <c r="AD5831">
        <v>3.0315760000000001E-2</v>
      </c>
      <c r="AE5831">
        <v>7.5347899999999995E-2</v>
      </c>
      <c r="AF5831">
        <v>3.3705838800481801E-2</v>
      </c>
      <c r="AG5831">
        <v>3.0315760000000001E-2</v>
      </c>
      <c r="AH5831">
        <v>3.0066146110304599</v>
      </c>
      <c r="AI5831">
        <v>89.422341291392499</v>
      </c>
      <c r="AJ5831">
        <v>89.357709030995693</v>
      </c>
      <c r="AK5831">
        <v>3.0069563595329201</v>
      </c>
      <c r="AL5831">
        <v>92.410348511855403</v>
      </c>
      <c r="AM5831">
        <v>90.882996982545393</v>
      </c>
      <c r="AN5831">
        <v>0.99999999478856605</v>
      </c>
    </row>
    <row r="5832" spans="1:40" x14ac:dyDescent="0.25">
      <c r="A5832" t="str">
        <f>"20190303153924606"</f>
        <v>20190303153924606</v>
      </c>
      <c r="B5832" t="str">
        <f>"1551598764594274"</f>
        <v>1551598764594274</v>
      </c>
      <c r="C5832" t="s">
        <v>40</v>
      </c>
      <c r="D5832">
        <v>3.7729140000000001</v>
      </c>
      <c r="E5832">
        <v>0.50954259999999996</v>
      </c>
      <c r="F5832" t="s">
        <v>46</v>
      </c>
      <c r="G5832">
        <v>0</v>
      </c>
      <c r="H5832">
        <v>0</v>
      </c>
      <c r="I5832">
        <v>0</v>
      </c>
      <c r="J5832">
        <v>-268.15550000000002</v>
      </c>
      <c r="K5832">
        <v>1.1212279999999999</v>
      </c>
      <c r="L5832">
        <v>141.4494</v>
      </c>
      <c r="M5832">
        <v>-0.9998205</v>
      </c>
      <c r="N5832">
        <v>-1.312733E-2</v>
      </c>
      <c r="O5832">
        <v>1.3664890000000001E-2</v>
      </c>
      <c r="P5832">
        <v>-0.99846259999999998</v>
      </c>
      <c r="Q5832">
        <v>-5.5388409999999999E-2</v>
      </c>
      <c r="R5832">
        <v>-2.1961979999999999E-3</v>
      </c>
      <c r="S5832">
        <v>-3.006195</v>
      </c>
      <c r="T5832">
        <v>2.7528170000000001E-2</v>
      </c>
      <c r="U5832">
        <v>7.0739750000000004E-2</v>
      </c>
      <c r="V5832">
        <v>-1.582886E-2</v>
      </c>
      <c r="W5832">
        <v>-4.2282609999999998E-2</v>
      </c>
      <c r="X5832">
        <v>0.99898030000000004</v>
      </c>
      <c r="Y5832">
        <v>9.8639039999999997E-3</v>
      </c>
      <c r="Z5832">
        <v>3.2407120000000001E-4</v>
      </c>
      <c r="AA5832">
        <v>0.99995129999999999</v>
      </c>
      <c r="AB5832">
        <v>29</v>
      </c>
      <c r="AC5832">
        <v>-3.006195</v>
      </c>
      <c r="AD5832">
        <v>2.7528170000000001E-2</v>
      </c>
      <c r="AE5832">
        <v>7.0739750000000004E-2</v>
      </c>
      <c r="AF5832">
        <v>2.9647797101120602E-2</v>
      </c>
      <c r="AG5832">
        <v>2.7528170000000001E-2</v>
      </c>
      <c r="AH5832">
        <v>3.00662902410664</v>
      </c>
      <c r="AI5832">
        <v>89.4754500123246</v>
      </c>
      <c r="AJ5832">
        <v>89.435035523993307</v>
      </c>
      <c r="AK5832">
        <v>3.0069012089885701</v>
      </c>
      <c r="AL5832">
        <v>92.423337533240996</v>
      </c>
      <c r="AM5832">
        <v>90.907776644711205</v>
      </c>
      <c r="AN5832">
        <v>1.0000000058527001</v>
      </c>
    </row>
    <row r="5833" spans="1:40" x14ac:dyDescent="0.25">
      <c r="A5833" t="str">
        <f>"20190303153924627"</f>
        <v>20190303153924627</v>
      </c>
      <c r="B5833" t="str">
        <f>"1551598764624531"</f>
        <v>1551598764624531</v>
      </c>
      <c r="C5833" t="s">
        <v>40</v>
      </c>
      <c r="D5833">
        <v>3.755627</v>
      </c>
      <c r="E5833">
        <v>0.50894189999999995</v>
      </c>
      <c r="F5833" t="s">
        <v>46</v>
      </c>
      <c r="G5833">
        <v>0</v>
      </c>
      <c r="H5833">
        <v>0</v>
      </c>
      <c r="I5833">
        <v>0</v>
      </c>
      <c r="J5833">
        <v>-268.42500000000001</v>
      </c>
      <c r="K5833">
        <v>1.121248</v>
      </c>
      <c r="L5833">
        <v>141.4529</v>
      </c>
      <c r="M5833">
        <v>-0.99982130000000002</v>
      </c>
      <c r="N5833">
        <v>-1.323939E-2</v>
      </c>
      <c r="O5833">
        <v>1.350034E-2</v>
      </c>
      <c r="P5833">
        <v>-0.99849949999999998</v>
      </c>
      <c r="Q5833">
        <v>-5.4711929999999999E-2</v>
      </c>
      <c r="R5833">
        <v>-2.3578050000000001E-3</v>
      </c>
      <c r="S5833">
        <v>-3.006256</v>
      </c>
      <c r="T5833">
        <v>2.630234E-2</v>
      </c>
      <c r="U5833">
        <v>6.513977E-2</v>
      </c>
      <c r="V5833">
        <v>-1.5826529999999998E-2</v>
      </c>
      <c r="W5833">
        <v>-4.149386E-2</v>
      </c>
      <c r="X5833">
        <v>0.99901340000000005</v>
      </c>
      <c r="Y5833">
        <v>8.166085E-3</v>
      </c>
      <c r="Z5833">
        <v>3.1516580000000001E-4</v>
      </c>
      <c r="AA5833">
        <v>0.99996660000000004</v>
      </c>
      <c r="AB5833">
        <v>29</v>
      </c>
      <c r="AC5833">
        <v>-3.006256</v>
      </c>
      <c r="AD5833">
        <v>2.630234E-2</v>
      </c>
      <c r="AE5833">
        <v>6.513977E-2</v>
      </c>
      <c r="AF5833">
        <v>2.4542922653497001E-2</v>
      </c>
      <c r="AG5833">
        <v>2.630234E-2</v>
      </c>
      <c r="AH5833">
        <v>3.00663142149505</v>
      </c>
      <c r="AI5833">
        <v>89.498799747010594</v>
      </c>
      <c r="AJ5833">
        <v>89.532308934604899</v>
      </c>
      <c r="AK5833">
        <v>3.0068466327472101</v>
      </c>
      <c r="AL5833">
        <v>92.378105808887597</v>
      </c>
      <c r="AM5833">
        <v>90.907612975190901</v>
      </c>
      <c r="AN5833">
        <v>0.99999999642454995</v>
      </c>
    </row>
    <row r="5834" spans="1:40" x14ac:dyDescent="0.25">
      <c r="A5834" t="str">
        <f>"20190303153924650"</f>
        <v>20190303153924650</v>
      </c>
      <c r="B5834" t="str">
        <f>"1551598764644051"</f>
        <v>1551598764644051</v>
      </c>
      <c r="C5834" t="s">
        <v>40</v>
      </c>
      <c r="D5834">
        <v>3.73759</v>
      </c>
      <c r="E5834">
        <v>0.50858840000000005</v>
      </c>
      <c r="F5834" t="s">
        <v>46</v>
      </c>
      <c r="G5834">
        <v>0</v>
      </c>
      <c r="H5834">
        <v>0</v>
      </c>
      <c r="I5834">
        <v>0</v>
      </c>
      <c r="J5834">
        <v>-268.71429999999998</v>
      </c>
      <c r="K5834">
        <v>1.1212690000000001</v>
      </c>
      <c r="L5834">
        <v>141.45660000000001</v>
      </c>
      <c r="M5834">
        <v>-0.99982219999999999</v>
      </c>
      <c r="N5834">
        <v>-1.335049E-2</v>
      </c>
      <c r="O5834">
        <v>1.332389E-2</v>
      </c>
      <c r="P5834">
        <v>-0.99855159999999998</v>
      </c>
      <c r="Q5834">
        <v>-5.374959E-2</v>
      </c>
      <c r="R5834">
        <v>-2.427163E-3</v>
      </c>
      <c r="S5834">
        <v>-3.006195</v>
      </c>
      <c r="T5834">
        <v>2.8101330000000001E-2</v>
      </c>
      <c r="U5834">
        <v>5.9844969999999997E-2</v>
      </c>
      <c r="V5834">
        <v>-1.572051E-2</v>
      </c>
      <c r="W5834">
        <v>-4.0419950000000003E-2</v>
      </c>
      <c r="X5834">
        <v>0.99905909999999998</v>
      </c>
      <c r="Y5834">
        <v>6.5826259999999899E-3</v>
      </c>
      <c r="Z5834">
        <v>3.1558189999999998E-4</v>
      </c>
      <c r="AA5834">
        <v>0.99997829999999999</v>
      </c>
      <c r="AB5834">
        <v>29</v>
      </c>
      <c r="AC5834">
        <v>-3.006195</v>
      </c>
      <c r="AD5834">
        <v>2.8101330000000001E-2</v>
      </c>
      <c r="AE5834">
        <v>5.9844969999999997E-2</v>
      </c>
      <c r="AF5834">
        <v>1.9780151415787098E-2</v>
      </c>
      <c r="AG5834">
        <v>2.8101330000000001E-2</v>
      </c>
      <c r="AH5834">
        <v>3.0064629353243499</v>
      </c>
      <c r="AI5834">
        <v>89.464485040090494</v>
      </c>
      <c r="AJ5834">
        <v>89.623044465615607</v>
      </c>
      <c r="AK5834">
        <v>3.00665932899238</v>
      </c>
      <c r="AL5834">
        <v>92.316523623243995</v>
      </c>
      <c r="AM5834">
        <v>90.901492760997897</v>
      </c>
      <c r="AN5834">
        <v>0.99999999604273604</v>
      </c>
    </row>
    <row r="5835" spans="1:40" x14ac:dyDescent="0.25">
      <c r="A5835" t="str">
        <f>"20190303153924673"</f>
        <v>20190303153924673</v>
      </c>
      <c r="B5835" t="str">
        <f>"1551598764664550"</f>
        <v>1551598764664550</v>
      </c>
      <c r="C5835" t="s">
        <v>40</v>
      </c>
      <c r="D5835">
        <v>3.740399</v>
      </c>
      <c r="E5835">
        <v>0.50824990000000003</v>
      </c>
      <c r="F5835" t="s">
        <v>46</v>
      </c>
      <c r="G5835">
        <v>0</v>
      </c>
      <c r="H5835">
        <v>0</v>
      </c>
      <c r="I5835">
        <v>0</v>
      </c>
      <c r="J5835">
        <v>-269.01100000000002</v>
      </c>
      <c r="K5835">
        <v>1.1212799999999901</v>
      </c>
      <c r="L5835">
        <v>141.46039999999999</v>
      </c>
      <c r="M5835">
        <v>-0.99982329999999997</v>
      </c>
      <c r="N5835">
        <v>-1.3451680000000001E-2</v>
      </c>
      <c r="O5835">
        <v>1.314181E-2</v>
      </c>
      <c r="P5835">
        <v>-0.99859679999999995</v>
      </c>
      <c r="Q5835">
        <v>-5.2882520000000002E-2</v>
      </c>
      <c r="R5835">
        <v>-2.7987300000000001E-3</v>
      </c>
      <c r="S5835">
        <v>-3.006195</v>
      </c>
      <c r="T5835">
        <v>3.1103370000000002E-2</v>
      </c>
      <c r="U5835">
        <v>5.6915279999999999E-2</v>
      </c>
      <c r="V5835">
        <v>-1.5911689999999999E-2</v>
      </c>
      <c r="W5835">
        <v>-3.9451350000000003E-2</v>
      </c>
      <c r="X5835">
        <v>0.99909479999999995</v>
      </c>
      <c r="Y5835">
        <v>5.7908119999999898E-3</v>
      </c>
      <c r="Z5835">
        <v>3.2171709999999999E-4</v>
      </c>
      <c r="AA5835">
        <v>0.99998319999999996</v>
      </c>
      <c r="AB5835">
        <v>29</v>
      </c>
      <c r="AC5835">
        <v>-3.006195</v>
      </c>
      <c r="AD5835">
        <v>3.1103370000000002E-2</v>
      </c>
      <c r="AE5835">
        <v>5.6915279999999999E-2</v>
      </c>
      <c r="AF5835">
        <v>1.7398089607560601E-2</v>
      </c>
      <c r="AG5835">
        <v>3.1103370000000002E-2</v>
      </c>
      <c r="AH5835">
        <v>3.0063616723336199</v>
      </c>
      <c r="AI5835">
        <v>89.407257473538493</v>
      </c>
      <c r="AJ5835">
        <v>89.668427791860793</v>
      </c>
      <c r="AK5835">
        <v>3.0065729024961199</v>
      </c>
      <c r="AL5835">
        <v>92.2609826005949</v>
      </c>
      <c r="AM5835">
        <v>90.912421538476906</v>
      </c>
      <c r="AN5835">
        <v>1.0000000051412501</v>
      </c>
    </row>
    <row r="5836" spans="1:40" x14ac:dyDescent="0.25">
      <c r="A5836" t="str">
        <f>"20190303153924694"</f>
        <v>20190303153924694</v>
      </c>
      <c r="B5836" t="str">
        <f>"1551598764684067"</f>
        <v>1551598764684067</v>
      </c>
      <c r="C5836" t="s">
        <v>40</v>
      </c>
      <c r="D5836">
        <v>3.7603179999999998</v>
      </c>
      <c r="E5836">
        <v>0.50795639999999997</v>
      </c>
      <c r="F5836" t="s">
        <v>46</v>
      </c>
      <c r="G5836">
        <v>0</v>
      </c>
      <c r="H5836">
        <v>0</v>
      </c>
      <c r="I5836">
        <v>0</v>
      </c>
      <c r="J5836">
        <v>-269.28530000000001</v>
      </c>
      <c r="K5836">
        <v>1.121289</v>
      </c>
      <c r="L5836">
        <v>141.46379999999999</v>
      </c>
      <c r="M5836">
        <v>-0.99982420000000005</v>
      </c>
      <c r="N5836">
        <v>-1.353559E-2</v>
      </c>
      <c r="O5836">
        <v>1.2972910000000001E-2</v>
      </c>
      <c r="P5836">
        <v>-0.99861679999999997</v>
      </c>
      <c r="Q5836">
        <v>-5.2456959999999997E-2</v>
      </c>
      <c r="R5836">
        <v>-3.5726159999999998E-3</v>
      </c>
      <c r="S5836">
        <v>-3.0061650000000002</v>
      </c>
      <c r="T5836">
        <v>3.3972500000000003E-2</v>
      </c>
      <c r="U5836">
        <v>5.3100590000000003E-2</v>
      </c>
      <c r="V5836">
        <v>-1.6517049999999998E-2</v>
      </c>
      <c r="W5836">
        <v>-3.8941990000000003E-2</v>
      </c>
      <c r="X5836">
        <v>0.99910500000000002</v>
      </c>
      <c r="Y5836">
        <v>4.6916429999999997E-3</v>
      </c>
      <c r="Z5836">
        <v>3.2741820000000002E-4</v>
      </c>
      <c r="AA5836">
        <v>0.99998889999999996</v>
      </c>
      <c r="AB5836">
        <v>29</v>
      </c>
      <c r="AC5836">
        <v>-3.0061650000000002</v>
      </c>
      <c r="AD5836">
        <v>3.3972500000000003E-2</v>
      </c>
      <c r="AE5836">
        <v>5.3100590000000003E-2</v>
      </c>
      <c r="AF5836">
        <v>1.4092039341672E-2</v>
      </c>
      <c r="AG5836">
        <v>3.3972500000000003E-2</v>
      </c>
      <c r="AH5836">
        <v>3.0062171037321201</v>
      </c>
      <c r="AI5836">
        <v>89.352549544419503</v>
      </c>
      <c r="AJ5836">
        <v>89.731420440635006</v>
      </c>
      <c r="AK5836">
        <v>3.0064420817804902</v>
      </c>
      <c r="AL5836">
        <v>92.231775885481497</v>
      </c>
      <c r="AM5836">
        <v>90.947118726646096</v>
      </c>
      <c r="AN5836">
        <v>1.0000000462754299</v>
      </c>
    </row>
    <row r="5837" spans="1:40" x14ac:dyDescent="0.25">
      <c r="A5837" t="str">
        <f>"20190303153924716"</f>
        <v>20190303153924716</v>
      </c>
      <c r="B5837" t="str">
        <f>"1551598764704563"</f>
        <v>1551598764704563</v>
      </c>
      <c r="C5837" t="s">
        <v>40</v>
      </c>
      <c r="D5837">
        <v>3.7328100000000002</v>
      </c>
      <c r="E5837">
        <v>0.50768210000000003</v>
      </c>
      <c r="F5837" t="s">
        <v>46</v>
      </c>
      <c r="G5837">
        <v>0</v>
      </c>
      <c r="H5837">
        <v>0</v>
      </c>
      <c r="I5837">
        <v>0</v>
      </c>
      <c r="J5837">
        <v>-269.5625</v>
      </c>
      <c r="K5837">
        <v>1.1212930000000001</v>
      </c>
      <c r="L5837">
        <v>141.46719999999999</v>
      </c>
      <c r="M5837">
        <v>-0.99982550000000003</v>
      </c>
      <c r="N5837">
        <v>-1.361096E-2</v>
      </c>
      <c r="O5837">
        <v>1.28024E-2</v>
      </c>
      <c r="P5837">
        <v>-0.99859379999999998</v>
      </c>
      <c r="Q5837">
        <v>-5.286018E-2</v>
      </c>
      <c r="R5837">
        <v>-4.0398700000000001E-3</v>
      </c>
      <c r="S5837">
        <v>-3.0061650000000002</v>
      </c>
      <c r="T5837">
        <v>3.5235170000000003E-2</v>
      </c>
      <c r="U5837">
        <v>4.8324579999999999E-2</v>
      </c>
      <c r="V5837">
        <v>-1.6813640000000001E-2</v>
      </c>
      <c r="W5837">
        <v>-3.9270279999999998E-2</v>
      </c>
      <c r="X5837">
        <v>0.99908719999999995</v>
      </c>
      <c r="Y5837">
        <v>3.2739779999999999E-3</v>
      </c>
      <c r="Z5837">
        <v>3.2737789999999999E-4</v>
      </c>
      <c r="AA5837">
        <v>0.99999459999999996</v>
      </c>
      <c r="AB5837">
        <v>29</v>
      </c>
      <c r="AC5837">
        <v>-3.0061650000000002</v>
      </c>
      <c r="AD5837">
        <v>3.5235170000000003E-2</v>
      </c>
      <c r="AE5837">
        <v>4.8324579999999999E-2</v>
      </c>
      <c r="AF5837">
        <v>9.8295802526305407E-3</v>
      </c>
      <c r="AG5837">
        <v>3.5235170000000003E-2</v>
      </c>
      <c r="AH5837">
        <v>3.0061244366553801</v>
      </c>
      <c r="AI5837">
        <v>89.328463162945795</v>
      </c>
      <c r="AJ5837">
        <v>89.812651981801395</v>
      </c>
      <c r="AK5837">
        <v>3.0063469970230501</v>
      </c>
      <c r="AL5837">
        <v>92.250599922073405</v>
      </c>
      <c r="AM5837">
        <v>90.964139747256596</v>
      </c>
      <c r="AN5837">
        <v>1.00000004329258</v>
      </c>
    </row>
    <row r="5838" spans="1:40" x14ac:dyDescent="0.25">
      <c r="A5838" t="str">
        <f>"20190303153924738"</f>
        <v>20190303153924738</v>
      </c>
      <c r="B5838" t="str">
        <f>"1551598764734819"</f>
        <v>1551598764734819</v>
      </c>
      <c r="C5838" t="s">
        <v>40</v>
      </c>
      <c r="D5838">
        <v>3.7399469999999999</v>
      </c>
      <c r="E5838">
        <v>0.50728200000000001</v>
      </c>
      <c r="F5838" t="s">
        <v>46</v>
      </c>
      <c r="G5838">
        <v>0</v>
      </c>
      <c r="H5838">
        <v>0</v>
      </c>
      <c r="I5838">
        <v>0</v>
      </c>
      <c r="J5838">
        <v>-269.85210000000001</v>
      </c>
      <c r="K5838">
        <v>1.121289</v>
      </c>
      <c r="L5838">
        <v>141.47069999999999</v>
      </c>
      <c r="M5838">
        <v>-0.99982669999999996</v>
      </c>
      <c r="N5838">
        <v>-1.368021E-2</v>
      </c>
      <c r="O5838">
        <v>1.26252E-2</v>
      </c>
      <c r="P5838">
        <v>-0.99855950000000004</v>
      </c>
      <c r="Q5838">
        <v>-5.351914E-2</v>
      </c>
      <c r="R5838">
        <v>-3.8393059999999998E-3</v>
      </c>
      <c r="S5838">
        <v>-3.0062259999999998</v>
      </c>
      <c r="T5838">
        <v>3.4175280000000002E-2</v>
      </c>
      <c r="U5838">
        <v>4.4921879999999997E-2</v>
      </c>
      <c r="V5838">
        <v>-1.6435459999999999E-2</v>
      </c>
      <c r="W5838">
        <v>-3.9860260000000002E-2</v>
      </c>
      <c r="X5838">
        <v>0.99907009999999996</v>
      </c>
      <c r="Y5838">
        <v>2.3191039999999998E-3</v>
      </c>
      <c r="Z5838">
        <v>3.1889929999999998E-4</v>
      </c>
      <c r="AA5838">
        <v>0.99999729999999998</v>
      </c>
      <c r="AB5838">
        <v>29</v>
      </c>
      <c r="AC5838">
        <v>-3.0062259999999998</v>
      </c>
      <c r="AD5838">
        <v>3.4175280000000002E-2</v>
      </c>
      <c r="AE5838">
        <v>4.4921879999999997E-2</v>
      </c>
      <c r="AF5838">
        <v>6.9596427605198904E-3</v>
      </c>
      <c r="AG5838">
        <v>3.4175280000000002E-2</v>
      </c>
      <c r="AH5838">
        <v>3.0061651409839198</v>
      </c>
      <c r="AI5838">
        <v>89.348668612545794</v>
      </c>
      <c r="AJ5838">
        <v>89.867353446674699</v>
      </c>
      <c r="AK5838">
        <v>3.0063674494740802</v>
      </c>
      <c r="AL5838">
        <v>92.284429839640893</v>
      </c>
      <c r="AM5838">
        <v>90.942473964317301</v>
      </c>
      <c r="AN5838">
        <v>1.0000000146933401</v>
      </c>
    </row>
    <row r="5839" spans="1:40" x14ac:dyDescent="0.25">
      <c r="A5839" t="str">
        <f>"20190303153924761"</f>
        <v>20190303153924761</v>
      </c>
      <c r="B5839" t="str">
        <f>"1551598764754342"</f>
        <v>1551598764754342</v>
      </c>
      <c r="C5839" t="s">
        <v>40</v>
      </c>
      <c r="D5839">
        <v>3.6916340000000001</v>
      </c>
      <c r="E5839">
        <v>0.50718929999999995</v>
      </c>
      <c r="F5839" t="s">
        <v>46</v>
      </c>
      <c r="G5839">
        <v>0</v>
      </c>
      <c r="H5839">
        <v>0</v>
      </c>
      <c r="I5839">
        <v>0</v>
      </c>
      <c r="J5839">
        <v>-270.13409999999999</v>
      </c>
      <c r="K5839">
        <v>1.1212899999999999</v>
      </c>
      <c r="L5839">
        <v>141.47409999999999</v>
      </c>
      <c r="M5839">
        <v>-0.99982819999999994</v>
      </c>
      <c r="N5839">
        <v>-1.3739029999999999E-2</v>
      </c>
      <c r="O5839">
        <v>1.2453260000000001E-2</v>
      </c>
      <c r="P5839">
        <v>-0.99857390000000001</v>
      </c>
      <c r="Q5839">
        <v>-5.3267170000000003E-2</v>
      </c>
      <c r="R5839">
        <v>-3.6465209999999998E-3</v>
      </c>
      <c r="S5839">
        <v>-3.006195</v>
      </c>
      <c r="T5839">
        <v>3.2329919999999998E-2</v>
      </c>
      <c r="U5839">
        <v>4.237366E-2</v>
      </c>
      <c r="V5839">
        <v>-1.6071220000000001E-2</v>
      </c>
      <c r="W5839">
        <v>-3.9549149999999998E-2</v>
      </c>
      <c r="X5839">
        <v>0.99908830000000004</v>
      </c>
      <c r="Y5839">
        <v>1.6435179999999901E-3</v>
      </c>
      <c r="Z5839">
        <v>3.0745700000000002E-4</v>
      </c>
      <c r="AA5839">
        <v>0.99999859999999896</v>
      </c>
      <c r="AB5839">
        <v>29</v>
      </c>
      <c r="AC5839">
        <v>-3.006195</v>
      </c>
      <c r="AD5839">
        <v>3.2329919999999998E-2</v>
      </c>
      <c r="AE5839">
        <v>4.237366E-2</v>
      </c>
      <c r="AF5839">
        <v>4.9293468893221101E-3</v>
      </c>
      <c r="AG5839">
        <v>3.2329919999999998E-2</v>
      </c>
      <c r="AH5839">
        <v>3.0061419663263602</v>
      </c>
      <c r="AI5839">
        <v>89.3838301425764</v>
      </c>
      <c r="AJ5839">
        <v>89.906048841823093</v>
      </c>
      <c r="AK5839">
        <v>3.0063198505642199</v>
      </c>
      <c r="AL5839">
        <v>92.266590685524207</v>
      </c>
      <c r="AM5839">
        <v>90.921573866967705</v>
      </c>
      <c r="AN5839">
        <v>0.99999992528744697</v>
      </c>
    </row>
    <row r="5840" spans="1:40" x14ac:dyDescent="0.25">
      <c r="A5840" t="str">
        <f>"20190303153924783"</f>
        <v>20190303153924783</v>
      </c>
      <c r="B5840" t="str">
        <f>"1551598764774838"</f>
        <v>1551598764774838</v>
      </c>
      <c r="C5840" t="s">
        <v>40</v>
      </c>
      <c r="D5840">
        <v>3.6855669999999998</v>
      </c>
      <c r="E5840">
        <v>0.50705809999999996</v>
      </c>
      <c r="F5840" t="s">
        <v>46</v>
      </c>
      <c r="G5840">
        <v>0</v>
      </c>
      <c r="H5840">
        <v>0</v>
      </c>
      <c r="I5840">
        <v>0</v>
      </c>
      <c r="J5840">
        <v>-270.42309999999998</v>
      </c>
      <c r="K5840">
        <v>1.121291</v>
      </c>
      <c r="L5840">
        <v>141.47749999999999</v>
      </c>
      <c r="M5840">
        <v>-0.99982950000000004</v>
      </c>
      <c r="N5840">
        <v>-1.379154E-2</v>
      </c>
      <c r="O5840">
        <v>1.2277659999999999E-2</v>
      </c>
      <c r="P5840">
        <v>-0.99858919999999995</v>
      </c>
      <c r="Q5840">
        <v>-5.3001E-2</v>
      </c>
      <c r="R5840">
        <v>-3.2819849999999999E-3</v>
      </c>
      <c r="S5840">
        <v>-3.0062869999999999</v>
      </c>
      <c r="T5840">
        <v>3.4903759999999999E-2</v>
      </c>
      <c r="U5840">
        <v>4.2114260000000001E-2</v>
      </c>
      <c r="V5840">
        <v>-1.5531649999999999E-2</v>
      </c>
      <c r="W5840">
        <v>-3.9230040000000001E-2</v>
      </c>
      <c r="X5840">
        <v>0.99910949999999998</v>
      </c>
      <c r="Y5840">
        <v>1.7326570000000001E-3</v>
      </c>
      <c r="Z5840">
        <v>3.1374289999999997E-4</v>
      </c>
      <c r="AA5840">
        <v>0.99999850000000001</v>
      </c>
      <c r="AB5840">
        <v>29</v>
      </c>
      <c r="AC5840">
        <v>-3.0062869999999999</v>
      </c>
      <c r="AD5840">
        <v>3.4903759999999999E-2</v>
      </c>
      <c r="AE5840">
        <v>4.2114260000000001E-2</v>
      </c>
      <c r="AF5840">
        <v>5.1967038768441602E-3</v>
      </c>
      <c r="AG5840">
        <v>3.4903759999999999E-2</v>
      </c>
      <c r="AH5840">
        <v>3.0061723302375598</v>
      </c>
      <c r="AI5840">
        <v>89.334786874432197</v>
      </c>
      <c r="AJ5840">
        <v>89.900954146927106</v>
      </c>
      <c r="AK5840">
        <v>3.0063794433303301</v>
      </c>
      <c r="AL5840">
        <v>92.248292635552104</v>
      </c>
      <c r="AM5840">
        <v>90.8906194159065</v>
      </c>
      <c r="AN5840">
        <v>1.0000000105901801</v>
      </c>
    </row>
    <row r="5841" spans="1:40" x14ac:dyDescent="0.25">
      <c r="A5841" t="str">
        <f>"20190303153924807"</f>
        <v>20190303153924807</v>
      </c>
      <c r="B5841" t="str">
        <f>"1551598764794355"</f>
        <v>1551598764794355</v>
      </c>
      <c r="C5841" t="s">
        <v>40</v>
      </c>
      <c r="D5841">
        <v>3.685794</v>
      </c>
      <c r="E5841">
        <v>0.50693889999999997</v>
      </c>
      <c r="F5841" t="s">
        <v>46</v>
      </c>
      <c r="G5841">
        <v>0</v>
      </c>
      <c r="H5841">
        <v>0</v>
      </c>
      <c r="I5841">
        <v>0</v>
      </c>
      <c r="J5841">
        <v>-270.70999999999998</v>
      </c>
      <c r="K5841">
        <v>1.121286</v>
      </c>
      <c r="L5841">
        <v>141.48079999999999</v>
      </c>
      <c r="M5841">
        <v>-0.99983109999999997</v>
      </c>
      <c r="N5841">
        <v>-1.383673E-2</v>
      </c>
      <c r="O5841">
        <v>1.2103249999999999E-2</v>
      </c>
      <c r="P5841">
        <v>-0.99853170000000002</v>
      </c>
      <c r="Q5841">
        <v>-5.4094589999999998E-2</v>
      </c>
      <c r="R5841">
        <v>-2.8785149999999999E-3</v>
      </c>
      <c r="S5841">
        <v>-3.006348</v>
      </c>
      <c r="T5841">
        <v>3.7207129999999998E-2</v>
      </c>
      <c r="U5841">
        <v>4.2175289999999997E-2</v>
      </c>
      <c r="V5841">
        <v>-1.495313E-2</v>
      </c>
      <c r="W5841">
        <v>-4.0278899999999999E-2</v>
      </c>
      <c r="X5841">
        <v>0.99907659999999998</v>
      </c>
      <c r="Y5841">
        <v>1.927298E-3</v>
      </c>
      <c r="Z5841">
        <v>3.18645E-4</v>
      </c>
      <c r="AA5841">
        <v>0.9999981</v>
      </c>
      <c r="AB5841">
        <v>29</v>
      </c>
      <c r="AC5841">
        <v>-3.006348</v>
      </c>
      <c r="AD5841">
        <v>3.7207129999999998E-2</v>
      </c>
      <c r="AE5841">
        <v>4.2175289999999997E-2</v>
      </c>
      <c r="AF5841">
        <v>5.781252860271E-3</v>
      </c>
      <c r="AG5841">
        <v>3.7207129999999998E-2</v>
      </c>
      <c r="AH5841">
        <v>3.0061778929626799</v>
      </c>
      <c r="AI5841">
        <v>89.290894017047094</v>
      </c>
      <c r="AJ5841">
        <v>89.889813247042795</v>
      </c>
      <c r="AK5841">
        <v>3.0064136970059501</v>
      </c>
      <c r="AL5841">
        <v>92.308435413097101</v>
      </c>
      <c r="AM5841">
        <v>90.857479070778695</v>
      </c>
      <c r="AN5841">
        <v>1.00000001927478</v>
      </c>
    </row>
    <row r="5842" spans="1:40" x14ac:dyDescent="0.25">
      <c r="A5842" t="str">
        <f>"20190303153924829"</f>
        <v>20190303153924829</v>
      </c>
      <c r="B5842" t="str">
        <f>"1551598764824611"</f>
        <v>1551598764824611</v>
      </c>
      <c r="C5842" t="s">
        <v>40</v>
      </c>
      <c r="D5842">
        <v>3.679373</v>
      </c>
      <c r="E5842">
        <v>0.50675550000000003</v>
      </c>
      <c r="F5842" t="s">
        <v>46</v>
      </c>
      <c r="G5842">
        <v>0</v>
      </c>
      <c r="H5842">
        <v>0</v>
      </c>
      <c r="I5842">
        <v>0</v>
      </c>
      <c r="J5842">
        <v>-270.99930000000001</v>
      </c>
      <c r="K5842">
        <v>1.1212819999999999</v>
      </c>
      <c r="L5842">
        <v>141.48410000000001</v>
      </c>
      <c r="M5842">
        <v>-0.99983270000000002</v>
      </c>
      <c r="N5842">
        <v>-1.387599E-2</v>
      </c>
      <c r="O5842">
        <v>1.1927210000000001E-2</v>
      </c>
      <c r="P5842">
        <v>-0.99847989999999998</v>
      </c>
      <c r="Q5842">
        <v>-5.5075949999999999E-2</v>
      </c>
      <c r="R5842">
        <v>-2.2045329999999998E-3</v>
      </c>
      <c r="S5842">
        <v>-3.0064389999999999</v>
      </c>
      <c r="T5842">
        <v>3.5235519999999999E-2</v>
      </c>
      <c r="U5842">
        <v>4.2465210000000003E-2</v>
      </c>
      <c r="V5842">
        <v>-1.4102689999999999E-2</v>
      </c>
      <c r="W5842">
        <v>-4.1221229999999998E-2</v>
      </c>
      <c r="X5842">
        <v>0.99905049999999995</v>
      </c>
      <c r="Y5842">
        <v>2.1991039999999999E-3</v>
      </c>
      <c r="Z5842">
        <v>3.0763859999999999E-4</v>
      </c>
      <c r="AA5842">
        <v>0.99999760000000004</v>
      </c>
      <c r="AB5842">
        <v>28</v>
      </c>
      <c r="AC5842">
        <v>-3.0064389999999999</v>
      </c>
      <c r="AD5842">
        <v>3.5235519999999999E-2</v>
      </c>
      <c r="AE5842">
        <v>4.2465210000000003E-2</v>
      </c>
      <c r="AF5842">
        <v>6.5994046550389603E-3</v>
      </c>
      <c r="AG5842">
        <v>3.5235519999999999E-2</v>
      </c>
      <c r="AH5842">
        <v>3.0063187838808298</v>
      </c>
      <c r="AI5842">
        <v>89.328497930092396</v>
      </c>
      <c r="AJ5842">
        <v>89.874225771164802</v>
      </c>
      <c r="AK5842">
        <v>3.0065325084432701</v>
      </c>
      <c r="AL5842">
        <v>92.362471902670194</v>
      </c>
      <c r="AM5842">
        <v>90.808738850639699</v>
      </c>
      <c r="AN5842">
        <v>0.999999988609099</v>
      </c>
    </row>
    <row r="5843" spans="1:40" x14ac:dyDescent="0.25">
      <c r="A5843" t="str">
        <f>"20190303153924851"</f>
        <v>20190303153924851</v>
      </c>
      <c r="B5843" t="str">
        <f>"1551598764844134"</f>
        <v>1551598764844134</v>
      </c>
      <c r="C5843" t="s">
        <v>40</v>
      </c>
      <c r="D5843">
        <v>3.6973150000000001</v>
      </c>
      <c r="E5843">
        <v>0.50667269999999998</v>
      </c>
      <c r="F5843" t="s">
        <v>46</v>
      </c>
      <c r="G5843">
        <v>0</v>
      </c>
      <c r="H5843">
        <v>0</v>
      </c>
      <c r="I5843">
        <v>0</v>
      </c>
      <c r="J5843">
        <v>-271.27839999999998</v>
      </c>
      <c r="K5843">
        <v>1.121273</v>
      </c>
      <c r="L5843">
        <v>141.4873</v>
      </c>
      <c r="M5843">
        <v>-0.99983420000000001</v>
      </c>
      <c r="N5843">
        <v>-1.3908159999999999E-2</v>
      </c>
      <c r="O5843">
        <v>1.1757419999999999E-2</v>
      </c>
      <c r="P5843">
        <v>-0.99844370000000005</v>
      </c>
      <c r="Q5843">
        <v>-5.5745509999999998E-2</v>
      </c>
      <c r="R5843">
        <v>-1.698059E-3</v>
      </c>
      <c r="S5843">
        <v>-3.006561</v>
      </c>
      <c r="T5843">
        <v>3.3823369999999998E-2</v>
      </c>
      <c r="U5843">
        <v>4.315186E-2</v>
      </c>
      <c r="V5843">
        <v>-1.342635E-2</v>
      </c>
      <c r="W5843">
        <v>-4.1858760000000002E-2</v>
      </c>
      <c r="X5843">
        <v>0.99903330000000001</v>
      </c>
      <c r="Y5843">
        <v>2.5965020000000001E-3</v>
      </c>
      <c r="Z5843">
        <v>2.9922560000000001E-4</v>
      </c>
      <c r="AA5843">
        <v>0.99999660000000001</v>
      </c>
      <c r="AB5843">
        <v>28</v>
      </c>
      <c r="AC5843">
        <v>-3.006561</v>
      </c>
      <c r="AD5843">
        <v>3.3823369999999998E-2</v>
      </c>
      <c r="AE5843">
        <v>4.315186E-2</v>
      </c>
      <c r="AF5843">
        <v>7.7950723182839002E-3</v>
      </c>
      <c r="AG5843">
        <v>3.3823369999999998E-2</v>
      </c>
      <c r="AH5843">
        <v>3.0064801280018201</v>
      </c>
      <c r="AI5843">
        <v>89.355442909404104</v>
      </c>
      <c r="AJ5843">
        <v>89.851446300979603</v>
      </c>
      <c r="AK5843">
        <v>3.0066804857817</v>
      </c>
      <c r="AL5843">
        <v>92.399031262570105</v>
      </c>
      <c r="AM5843">
        <v>90.769971211128393</v>
      </c>
      <c r="AN5843">
        <v>0.999999978585974</v>
      </c>
    </row>
    <row r="5844" spans="1:40" x14ac:dyDescent="0.25">
      <c r="A5844" t="str">
        <f>"20190303153924873"</f>
        <v>20190303153924873</v>
      </c>
      <c r="B5844" t="str">
        <f>"1551598764864630"</f>
        <v>1551598764864630</v>
      </c>
      <c r="C5844" t="s">
        <v>40</v>
      </c>
      <c r="D5844">
        <v>3.685575</v>
      </c>
      <c r="E5844">
        <v>0.50660379999999905</v>
      </c>
      <c r="F5844" t="s">
        <v>46</v>
      </c>
      <c r="G5844">
        <v>0</v>
      </c>
      <c r="H5844">
        <v>0</v>
      </c>
      <c r="I5844">
        <v>0</v>
      </c>
      <c r="J5844">
        <v>-271.55790000000002</v>
      </c>
      <c r="K5844">
        <v>1.1212799999999901</v>
      </c>
      <c r="L5844">
        <v>141.49039999999999</v>
      </c>
      <c r="M5844">
        <v>-0.99983580000000005</v>
      </c>
      <c r="N5844">
        <v>-1.3935370000000001E-2</v>
      </c>
      <c r="O5844">
        <v>1.158695E-2</v>
      </c>
      <c r="P5844">
        <v>-0.9984151</v>
      </c>
      <c r="Q5844">
        <v>-5.6266950000000003E-2</v>
      </c>
      <c r="R5844">
        <v>-1.1830930000000001E-3</v>
      </c>
      <c r="S5844">
        <v>-3.006561</v>
      </c>
      <c r="T5844">
        <v>3.3042309999999998E-2</v>
      </c>
      <c r="U5844">
        <v>4.4097900000000002E-2</v>
      </c>
      <c r="V5844">
        <v>-1.274057E-2</v>
      </c>
      <c r="W5844">
        <v>-4.235303E-2</v>
      </c>
      <c r="X5844">
        <v>0.99902150000000001</v>
      </c>
      <c r="Y5844">
        <v>3.0814779999999999E-3</v>
      </c>
      <c r="Z5844">
        <v>2.9333000000000001E-4</v>
      </c>
      <c r="AA5844">
        <v>0.99999519999999997</v>
      </c>
      <c r="AB5844">
        <v>28</v>
      </c>
      <c r="AC5844">
        <v>-3.006561</v>
      </c>
      <c r="AD5844">
        <v>3.3042309999999998E-2</v>
      </c>
      <c r="AE5844">
        <v>4.4097900000000002E-2</v>
      </c>
      <c r="AF5844">
        <v>9.2535680086785008E-3</v>
      </c>
      <c r="AG5844">
        <v>3.3042309999999998E-2</v>
      </c>
      <c r="AH5844">
        <v>3.0065070846318398</v>
      </c>
      <c r="AI5844">
        <v>89.370332525028303</v>
      </c>
      <c r="AJ5844">
        <v>89.823652929053495</v>
      </c>
      <c r="AK5844">
        <v>3.0067028906615398</v>
      </c>
      <c r="AL5844">
        <v>92.427375862483601</v>
      </c>
      <c r="AM5844">
        <v>90.730656265849106</v>
      </c>
      <c r="AN5844">
        <v>1.0000000293681699</v>
      </c>
    </row>
    <row r="5845" spans="1:40" x14ac:dyDescent="0.25">
      <c r="A5845" t="str">
        <f>"20190303153924894"</f>
        <v>20190303153924894</v>
      </c>
      <c r="B5845" t="str">
        <f>"1551598764884147"</f>
        <v>1551598764884147</v>
      </c>
      <c r="C5845" t="s">
        <v>40</v>
      </c>
      <c r="D5845">
        <v>3.7006999999999999</v>
      </c>
      <c r="E5845">
        <v>0.50654600000000005</v>
      </c>
      <c r="F5845" t="s">
        <v>46</v>
      </c>
      <c r="G5845">
        <v>0</v>
      </c>
      <c r="H5845">
        <v>0</v>
      </c>
      <c r="I5845">
        <v>0</v>
      </c>
      <c r="J5845">
        <v>-271.8356</v>
      </c>
      <c r="K5845">
        <v>1.121283</v>
      </c>
      <c r="L5845">
        <v>141.49340000000001</v>
      </c>
      <c r="M5845">
        <v>-0.99983750000000005</v>
      </c>
      <c r="N5845">
        <v>-1.395861E-2</v>
      </c>
      <c r="O5845">
        <v>1.141752E-2</v>
      </c>
      <c r="P5845">
        <v>-0.99840099999999998</v>
      </c>
      <c r="Q5845">
        <v>-5.6517999999999902E-2</v>
      </c>
      <c r="R5845">
        <v>-1.1200660000000001E-3</v>
      </c>
      <c r="S5845">
        <v>-3.006653</v>
      </c>
      <c r="T5845">
        <v>3.2393810000000002E-2</v>
      </c>
      <c r="U5845">
        <v>4.5043949999999999E-2</v>
      </c>
      <c r="V5845">
        <v>-1.250798E-2</v>
      </c>
      <c r="W5845">
        <v>-4.258091E-2</v>
      </c>
      <c r="X5845">
        <v>0.99901470000000003</v>
      </c>
      <c r="Y5845">
        <v>3.5649689999999999E-3</v>
      </c>
      <c r="Z5845">
        <v>2.8804520000000003E-4</v>
      </c>
      <c r="AA5845">
        <v>0.99999360000000004</v>
      </c>
      <c r="AB5845">
        <v>28</v>
      </c>
      <c r="AC5845">
        <v>-3.006653</v>
      </c>
      <c r="AD5845">
        <v>3.2393810000000002E-2</v>
      </c>
      <c r="AE5845">
        <v>4.5043949999999999E-2</v>
      </c>
      <c r="AF5845">
        <v>1.0707909027498999E-2</v>
      </c>
      <c r="AG5845">
        <v>3.2393810000000002E-2</v>
      </c>
      <c r="AH5845">
        <v>3.0066223919811499</v>
      </c>
      <c r="AI5845">
        <v>89.382714298087805</v>
      </c>
      <c r="AJ5845">
        <v>89.795945309788294</v>
      </c>
      <c r="AK5845">
        <v>3.00681596147894</v>
      </c>
      <c r="AL5845">
        <v>92.440444341239598</v>
      </c>
      <c r="AM5845">
        <v>90.717323799712403</v>
      </c>
      <c r="AN5845">
        <v>0.99999997713809896</v>
      </c>
    </row>
    <row r="5846" spans="1:40" x14ac:dyDescent="0.25">
      <c r="A5846" t="str">
        <f>"20190303153924916"</f>
        <v>20190303153924916</v>
      </c>
      <c r="B5846" t="str">
        <f>"1551598764904646"</f>
        <v>1551598764904646</v>
      </c>
      <c r="C5846" t="s">
        <v>40</v>
      </c>
      <c r="D5846">
        <v>3.7299389999999999</v>
      </c>
      <c r="E5846">
        <v>0.5064862</v>
      </c>
      <c r="F5846" t="s">
        <v>46</v>
      </c>
      <c r="G5846">
        <v>0</v>
      </c>
      <c r="H5846">
        <v>0</v>
      </c>
      <c r="I5846">
        <v>0</v>
      </c>
      <c r="J5846">
        <v>-272.10930000000002</v>
      </c>
      <c r="K5846">
        <v>1.1212839999999999</v>
      </c>
      <c r="L5846">
        <v>141.49629999999999</v>
      </c>
      <c r="M5846">
        <v>-0.99983900000000003</v>
      </c>
      <c r="N5846">
        <v>-1.397819E-2</v>
      </c>
      <c r="O5846">
        <v>1.125044E-2</v>
      </c>
      <c r="P5846">
        <v>-0.99841380000000002</v>
      </c>
      <c r="Q5846">
        <v>-5.629025E-2</v>
      </c>
      <c r="R5846">
        <v>-1.2329870000000001E-3</v>
      </c>
      <c r="S5846">
        <v>-3.0067140000000001</v>
      </c>
      <c r="T5846">
        <v>3.273964E-2</v>
      </c>
      <c r="U5846">
        <v>4.4799800000000001E-2</v>
      </c>
      <c r="V5846">
        <v>-1.245428E-2</v>
      </c>
      <c r="W5846">
        <v>-4.2333410000000002E-2</v>
      </c>
      <c r="X5846">
        <v>0.99902590000000002</v>
      </c>
      <c r="Y5846">
        <v>3.6505719999999999E-3</v>
      </c>
      <c r="Z5846">
        <v>2.8538739999999998E-4</v>
      </c>
      <c r="AA5846">
        <v>0.99999329999999997</v>
      </c>
      <c r="AB5846">
        <v>28</v>
      </c>
      <c r="AC5846">
        <v>-3.0067140000000001</v>
      </c>
      <c r="AD5846">
        <v>3.273964E-2</v>
      </c>
      <c r="AE5846">
        <v>4.4799800000000001E-2</v>
      </c>
      <c r="AF5846">
        <v>1.09655034388195E-2</v>
      </c>
      <c r="AG5846">
        <v>3.273964E-2</v>
      </c>
      <c r="AH5846">
        <v>3.00667132734538</v>
      </c>
      <c r="AI5846">
        <v>89.376135140041796</v>
      </c>
      <c r="AJ5846">
        <v>89.791039919790506</v>
      </c>
      <c r="AK5846">
        <v>3.0068695676689701</v>
      </c>
      <c r="AL5846">
        <v>92.426250811159804</v>
      </c>
      <c r="AM5846">
        <v>90.714236455941901</v>
      </c>
      <c r="AN5846">
        <v>0.99999998778167798</v>
      </c>
    </row>
    <row r="5847" spans="1:40" x14ac:dyDescent="0.25">
      <c r="A5847" t="str">
        <f>"20190303153924939"</f>
        <v>20190303153924939</v>
      </c>
      <c r="B5847" t="str">
        <f>"1551598764934899"</f>
        <v>1551598764934899</v>
      </c>
      <c r="C5847" t="s">
        <v>40</v>
      </c>
      <c r="D5847">
        <v>3.7049940000000001</v>
      </c>
      <c r="E5847">
        <v>0.50634380000000001</v>
      </c>
      <c r="F5847" t="s">
        <v>46</v>
      </c>
      <c r="G5847">
        <v>0</v>
      </c>
      <c r="H5847">
        <v>0</v>
      </c>
      <c r="I5847">
        <v>0</v>
      </c>
      <c r="J5847">
        <v>-272.40190000000001</v>
      </c>
      <c r="K5847">
        <v>1.1212979999999999</v>
      </c>
      <c r="L5847">
        <v>141.49940000000001</v>
      </c>
      <c r="M5847">
        <v>-0.99984079999999997</v>
      </c>
      <c r="N5847">
        <v>-1.3995870000000001E-2</v>
      </c>
      <c r="O5847">
        <v>1.107182E-2</v>
      </c>
      <c r="P5847">
        <v>-0.99844540000000004</v>
      </c>
      <c r="Q5847">
        <v>-5.5688540000000002E-2</v>
      </c>
      <c r="R5847">
        <v>-2.402464E-3</v>
      </c>
      <c r="S5847">
        <v>-3.0067750000000002</v>
      </c>
      <c r="T5847">
        <v>3.4568790000000002E-2</v>
      </c>
      <c r="U5847">
        <v>4.3945310000000001E-2</v>
      </c>
      <c r="V5847">
        <v>-1.344596E-2</v>
      </c>
      <c r="W5847">
        <v>-4.1714069999999999E-2</v>
      </c>
      <c r="X5847">
        <v>0.99903909999999996</v>
      </c>
      <c r="Y5847">
        <v>3.5449069999999999E-3</v>
      </c>
      <c r="Z5847">
        <v>2.866632E-4</v>
      </c>
      <c r="AA5847">
        <v>0.99999369999999999</v>
      </c>
      <c r="AB5847">
        <v>28</v>
      </c>
      <c r="AC5847">
        <v>-3.0067750000000002</v>
      </c>
      <c r="AD5847">
        <v>3.4568790000000002E-2</v>
      </c>
      <c r="AE5847">
        <v>4.3945310000000001E-2</v>
      </c>
      <c r="AF5847">
        <v>1.06474777614058E-2</v>
      </c>
      <c r="AG5847">
        <v>3.4568790000000002E-2</v>
      </c>
      <c r="AH5847">
        <v>3.0066799286440702</v>
      </c>
      <c r="AI5847">
        <v>89.341284694955903</v>
      </c>
      <c r="AJ5847">
        <v>89.797100788069699</v>
      </c>
      <c r="AK5847">
        <v>3.0068974979762499</v>
      </c>
      <c r="AL5847">
        <v>92.390733860574798</v>
      </c>
      <c r="AM5847">
        <v>90.771091189063895</v>
      </c>
      <c r="AN5847">
        <v>0.99999999040254794</v>
      </c>
    </row>
    <row r="5848" spans="1:40" x14ac:dyDescent="0.25">
      <c r="A5848" t="str">
        <f>"20190303153924962"</f>
        <v>20190303153924962</v>
      </c>
      <c r="B5848" t="str">
        <f>"1551598764954419"</f>
        <v>1551598764954419</v>
      </c>
      <c r="C5848" t="s">
        <v>40</v>
      </c>
      <c r="D5848">
        <v>3.7114370000000001</v>
      </c>
      <c r="E5848">
        <v>0.50625869999999995</v>
      </c>
      <c r="F5848" t="s">
        <v>46</v>
      </c>
      <c r="G5848">
        <v>0</v>
      </c>
      <c r="H5848">
        <v>0</v>
      </c>
      <c r="I5848">
        <v>0</v>
      </c>
      <c r="J5848">
        <v>-272.68540000000002</v>
      </c>
      <c r="K5848">
        <v>1.121299</v>
      </c>
      <c r="L5848">
        <v>141.50229999999999</v>
      </c>
      <c r="M5848">
        <v>-0.99984249999999997</v>
      </c>
      <c r="N5848">
        <v>-1.401032E-2</v>
      </c>
      <c r="O5848">
        <v>1.089887E-2</v>
      </c>
      <c r="P5848">
        <v>-0.99850139999999998</v>
      </c>
      <c r="Q5848">
        <v>-5.4591510000000003E-2</v>
      </c>
      <c r="R5848">
        <v>-3.8086740000000002E-3</v>
      </c>
      <c r="S5848">
        <v>-3.0068359999999998</v>
      </c>
      <c r="T5848">
        <v>3.7769320000000002E-2</v>
      </c>
      <c r="U5848">
        <v>3.9291380000000001E-2</v>
      </c>
      <c r="V5848">
        <v>-1.4680439999999999E-2</v>
      </c>
      <c r="W5848">
        <v>-4.0602470000000002E-2</v>
      </c>
      <c r="X5848">
        <v>0.9990675</v>
      </c>
      <c r="Y5848">
        <v>2.1703159999999998E-3</v>
      </c>
      <c r="Z5848">
        <v>2.9115160000000001E-4</v>
      </c>
      <c r="AA5848">
        <v>0.99999760000000004</v>
      </c>
      <c r="AB5848">
        <v>28</v>
      </c>
      <c r="AC5848">
        <v>-3.0068359999999998</v>
      </c>
      <c r="AD5848">
        <v>3.7769320000000002E-2</v>
      </c>
      <c r="AE5848">
        <v>3.9291380000000001E-2</v>
      </c>
      <c r="AF5848">
        <v>6.5136884535574504E-3</v>
      </c>
      <c r="AG5848">
        <v>3.7769320000000002E-2</v>
      </c>
      <c r="AH5848">
        <v>3.0066113395677898</v>
      </c>
      <c r="AI5848">
        <v>89.280284849668902</v>
      </c>
      <c r="AJ5848">
        <v>89.875871460784893</v>
      </c>
      <c r="AK5848">
        <v>3.0068556162357001</v>
      </c>
      <c r="AL5848">
        <v>92.326989895158405</v>
      </c>
      <c r="AM5848">
        <v>90.841851749873001</v>
      </c>
      <c r="AN5848">
        <v>0.99999997272247099</v>
      </c>
    </row>
    <row r="5849" spans="1:40" x14ac:dyDescent="0.25">
      <c r="A5849" t="str">
        <f>"20190303153924985"</f>
        <v>20190303153924985</v>
      </c>
      <c r="B5849" t="str">
        <f>"1551598764973939"</f>
        <v>1551598764973939</v>
      </c>
      <c r="C5849" t="s">
        <v>40</v>
      </c>
      <c r="D5849">
        <v>3.7213699999999998</v>
      </c>
      <c r="E5849">
        <v>0.50620359999999998</v>
      </c>
      <c r="F5849" t="s">
        <v>46</v>
      </c>
      <c r="G5849">
        <v>0</v>
      </c>
      <c r="H5849">
        <v>0</v>
      </c>
      <c r="I5849">
        <v>0</v>
      </c>
      <c r="J5849">
        <v>-272.97829999999999</v>
      </c>
      <c r="K5849">
        <v>1.121297</v>
      </c>
      <c r="L5849">
        <v>141.50530000000001</v>
      </c>
      <c r="M5849">
        <v>-0.99984430000000002</v>
      </c>
      <c r="N5849">
        <v>-1.4022700000000001E-2</v>
      </c>
      <c r="O5849">
        <v>1.072004E-2</v>
      </c>
      <c r="P5849">
        <v>-0.99853700000000001</v>
      </c>
      <c r="Q5849">
        <v>-5.3816059999999999E-2</v>
      </c>
      <c r="R5849">
        <v>-5.2782339999999997E-3</v>
      </c>
      <c r="S5849">
        <v>-3.006958</v>
      </c>
      <c r="T5849">
        <v>4.1881679999999998E-2</v>
      </c>
      <c r="U5849">
        <v>3.437805E-2</v>
      </c>
      <c r="V5849">
        <v>-1.597196E-2</v>
      </c>
      <c r="W5849">
        <v>-3.9814740000000001E-2</v>
      </c>
      <c r="X5849">
        <v>0.99907939999999995</v>
      </c>
      <c r="Y5849">
        <v>7.1522259999999896E-4</v>
      </c>
      <c r="Z5849">
        <v>2.9964580000000002E-4</v>
      </c>
      <c r="AA5849">
        <v>0.99999970000000005</v>
      </c>
      <c r="AB5849">
        <v>28</v>
      </c>
      <c r="AC5849">
        <v>-3.006958</v>
      </c>
      <c r="AD5849">
        <v>4.1881679999999998E-2</v>
      </c>
      <c r="AE5849">
        <v>3.437805E-2</v>
      </c>
      <c r="AF5849">
        <v>2.1377826732501002E-3</v>
      </c>
      <c r="AG5849">
        <v>4.1881679999999998E-2</v>
      </c>
      <c r="AH5849">
        <v>3.0065705653096999</v>
      </c>
      <c r="AI5849">
        <v>89.201918714895996</v>
      </c>
      <c r="AJ5849">
        <v>89.959260592295806</v>
      </c>
      <c r="AK5849">
        <v>3.0068630180673499</v>
      </c>
      <c r="AL5849">
        <v>92.281819737796795</v>
      </c>
      <c r="AM5849">
        <v>90.915891119118299</v>
      </c>
      <c r="AN5849">
        <v>0.99999998226593401</v>
      </c>
    </row>
    <row r="5850" spans="1:40" x14ac:dyDescent="0.25">
      <c r="A5850" t="str">
        <f>"20190303153925007"</f>
        <v>20190303153925007</v>
      </c>
      <c r="B5850" t="str">
        <f>"1551598764994435"</f>
        <v>1551598764994435</v>
      </c>
      <c r="C5850" t="s">
        <v>40</v>
      </c>
      <c r="D5850">
        <v>3.7079300000000002</v>
      </c>
      <c r="E5850">
        <v>0.50614429999999999</v>
      </c>
      <c r="F5850" t="s">
        <v>46</v>
      </c>
      <c r="G5850">
        <v>0</v>
      </c>
      <c r="H5850">
        <v>0</v>
      </c>
      <c r="I5850">
        <v>0</v>
      </c>
      <c r="J5850">
        <v>-273.24290000000002</v>
      </c>
      <c r="K5850">
        <v>1.121292</v>
      </c>
      <c r="L5850">
        <v>141.50799999999899</v>
      </c>
      <c r="M5850">
        <v>-0.99984580000000001</v>
      </c>
      <c r="N5850">
        <v>-1.403183E-2</v>
      </c>
      <c r="O5850">
        <v>1.055852E-2</v>
      </c>
      <c r="P5850">
        <v>-0.99852030000000003</v>
      </c>
      <c r="Q5850">
        <v>-5.40454E-2</v>
      </c>
      <c r="R5850">
        <v>-6.0117499999999997E-3</v>
      </c>
      <c r="S5850">
        <v>-3.006958</v>
      </c>
      <c r="T5850">
        <v>4.5305129999999999E-2</v>
      </c>
      <c r="U5850">
        <v>2.9510499999999999E-2</v>
      </c>
      <c r="V5850">
        <v>-1.6543970000000002E-2</v>
      </c>
      <c r="W5850">
        <v>-4.003541E-2</v>
      </c>
      <c r="X5850">
        <v>0.99906130000000004</v>
      </c>
      <c r="Y5850">
        <v>-7.4152409999999995E-4</v>
      </c>
      <c r="Z5850">
        <v>3.075954E-4</v>
      </c>
      <c r="AA5850">
        <v>0.99999970000000005</v>
      </c>
      <c r="AB5850">
        <v>28</v>
      </c>
      <c r="AC5850">
        <v>-3.006958</v>
      </c>
      <c r="AD5850">
        <v>4.5305129999999999E-2</v>
      </c>
      <c r="AE5850">
        <v>2.9510499999999999E-2</v>
      </c>
      <c r="AF5850">
        <v>-2.2427884773339999E-3</v>
      </c>
      <c r="AG5850">
        <v>4.5305129999999999E-2</v>
      </c>
      <c r="AH5850">
        <v>3.0064195550427399</v>
      </c>
      <c r="AI5850">
        <v>89.136648925859404</v>
      </c>
      <c r="AJ5850">
        <v>90.042742633854402</v>
      </c>
      <c r="AK5850">
        <v>3.0067617341332298</v>
      </c>
      <c r="AL5850">
        <v>92.294473225135107</v>
      </c>
      <c r="AM5850">
        <v>90.948703576126903</v>
      </c>
      <c r="AN5850">
        <v>1.0000000090774499</v>
      </c>
    </row>
    <row r="5851" spans="1:40" x14ac:dyDescent="0.25">
      <c r="A5851" t="str">
        <f>"20190303153925031"</f>
        <v>20190303153925031</v>
      </c>
      <c r="B5851" t="str">
        <f>"1551598765024691"</f>
        <v>1551598765024691</v>
      </c>
      <c r="C5851" t="s">
        <v>40</v>
      </c>
      <c r="D5851">
        <v>3.7221700000000002</v>
      </c>
      <c r="E5851">
        <v>0.50615329999999903</v>
      </c>
      <c r="F5851" t="s">
        <v>46</v>
      </c>
      <c r="G5851">
        <v>0</v>
      </c>
      <c r="H5851">
        <v>0</v>
      </c>
      <c r="I5851">
        <v>0</v>
      </c>
      <c r="J5851">
        <v>-273.54079999999999</v>
      </c>
      <c r="K5851">
        <v>1.1212740000000001</v>
      </c>
      <c r="L5851">
        <v>141.51089999999999</v>
      </c>
      <c r="M5851">
        <v>-0.99984859999999998</v>
      </c>
      <c r="N5851">
        <v>-1.397784E-2</v>
      </c>
      <c r="O5851">
        <v>1.037479E-2</v>
      </c>
      <c r="P5851">
        <v>-0.99846769999999996</v>
      </c>
      <c r="Q5851">
        <v>-5.5074070000000003E-2</v>
      </c>
      <c r="R5851">
        <v>-5.4363739999999999E-3</v>
      </c>
      <c r="S5851">
        <v>-3.00705</v>
      </c>
      <c r="T5851">
        <v>4.5380829999999997E-2</v>
      </c>
      <c r="U5851">
        <v>2.6809690000000001E-2</v>
      </c>
      <c r="V5851">
        <v>-1.5784369999999999E-2</v>
      </c>
      <c r="W5851">
        <v>-4.111832E-2</v>
      </c>
      <c r="X5851">
        <v>0.99902959999999996</v>
      </c>
      <c r="Y5851">
        <v>-1.45622E-3</v>
      </c>
      <c r="Z5851">
        <v>3.0237349999999999E-4</v>
      </c>
      <c r="AA5851">
        <v>0.99999890000000002</v>
      </c>
      <c r="AB5851">
        <v>28</v>
      </c>
      <c r="AC5851">
        <v>-3.00705</v>
      </c>
      <c r="AD5851">
        <v>4.5380829999999997E-2</v>
      </c>
      <c r="AE5851">
        <v>2.6809690000000001E-2</v>
      </c>
      <c r="AF5851">
        <v>-4.3913097836750202E-3</v>
      </c>
      <c r="AG5851">
        <v>4.5380829999999997E-2</v>
      </c>
      <c r="AH5851">
        <v>3.0064816223435802</v>
      </c>
      <c r="AI5851">
        <v>89.135225110191797</v>
      </c>
      <c r="AJ5851">
        <v>90.083686970293201</v>
      </c>
      <c r="AK5851">
        <v>3.0068273061189901</v>
      </c>
      <c r="AL5851">
        <v>92.356570558722495</v>
      </c>
      <c r="AM5851">
        <v>90.905180928663896</v>
      </c>
      <c r="AN5851">
        <v>1.00000000212603</v>
      </c>
    </row>
    <row r="5852" spans="1:40" x14ac:dyDescent="0.25">
      <c r="A5852" t="str">
        <f>"20190303153925053"</f>
        <v>20190303153925053</v>
      </c>
      <c r="B5852" t="str">
        <f>"1551598765044212"</f>
        <v>1551598765044212</v>
      </c>
      <c r="C5852" t="s">
        <v>40</v>
      </c>
      <c r="D5852">
        <v>3.6753300000000002</v>
      </c>
      <c r="E5852">
        <v>0.50625959999999903</v>
      </c>
      <c r="F5852" t="s">
        <v>46</v>
      </c>
      <c r="G5852">
        <v>0</v>
      </c>
      <c r="H5852">
        <v>0</v>
      </c>
      <c r="I5852">
        <v>0</v>
      </c>
      <c r="J5852">
        <v>-273.82209999999998</v>
      </c>
      <c r="K5852">
        <v>1.12124</v>
      </c>
      <c r="L5852">
        <v>141.5137</v>
      </c>
      <c r="M5852">
        <v>-0.99985239999999997</v>
      </c>
      <c r="N5852">
        <v>-1.3819150000000001E-2</v>
      </c>
      <c r="O5852">
        <v>1.0203469999999999E-2</v>
      </c>
      <c r="P5852">
        <v>-0.99845170000000005</v>
      </c>
      <c r="Q5852">
        <v>-5.5413249999999997E-2</v>
      </c>
      <c r="R5852">
        <v>-4.834395E-3</v>
      </c>
      <c r="S5852">
        <v>-3.0072019999999999</v>
      </c>
      <c r="T5852">
        <v>4.3462870000000001E-2</v>
      </c>
      <c r="U5852">
        <v>2.864075E-2</v>
      </c>
      <c r="V5852">
        <v>-1.5010910000000001E-2</v>
      </c>
      <c r="W5852">
        <v>-4.161596E-2</v>
      </c>
      <c r="X5852">
        <v>0.99902089999999999</v>
      </c>
      <c r="Y5852">
        <v>-6.7677979999999905E-4</v>
      </c>
      <c r="Z5852">
        <v>2.886651E-4</v>
      </c>
      <c r="AA5852">
        <v>0.99999970000000005</v>
      </c>
      <c r="AB5852">
        <v>28</v>
      </c>
      <c r="AC5852">
        <v>-3.0072019999999999</v>
      </c>
      <c r="AD5852">
        <v>4.3462870000000001E-2</v>
      </c>
      <c r="AE5852">
        <v>2.864075E-2</v>
      </c>
      <c r="AF5852">
        <v>-2.0471408042838598E-3</v>
      </c>
      <c r="AG5852">
        <v>4.3462870000000001E-2</v>
      </c>
      <c r="AH5852">
        <v>3.00670968199146</v>
      </c>
      <c r="AI5852">
        <v>89.171830580653307</v>
      </c>
      <c r="AJ5852">
        <v>90.039010254542603</v>
      </c>
      <c r="AK5852">
        <v>3.0070244966802799</v>
      </c>
      <c r="AL5852">
        <v>92.385107693926699</v>
      </c>
      <c r="AM5852">
        <v>90.860839921600402</v>
      </c>
      <c r="AN5852">
        <v>0.99999998709127902</v>
      </c>
    </row>
    <row r="5853" spans="1:40" x14ac:dyDescent="0.25">
      <c r="A5853" t="str">
        <f>"20190303153925074"</f>
        <v>20190303153925074</v>
      </c>
      <c r="B5853" t="str">
        <f>"1551598765064707"</f>
        <v>1551598765064707</v>
      </c>
      <c r="C5853" t="s">
        <v>40</v>
      </c>
      <c r="D5853">
        <v>3.7432669999999999</v>
      </c>
      <c r="E5853">
        <v>0.52396359999999997</v>
      </c>
      <c r="F5853" t="s">
        <v>46</v>
      </c>
      <c r="G5853">
        <v>0</v>
      </c>
      <c r="H5853">
        <v>0</v>
      </c>
      <c r="I5853">
        <v>0</v>
      </c>
      <c r="J5853">
        <v>-274.09460000000001</v>
      </c>
      <c r="K5853">
        <v>1.121197</v>
      </c>
      <c r="L5853">
        <v>141.5163</v>
      </c>
      <c r="M5853">
        <v>-0.99985679999999999</v>
      </c>
      <c r="N5853">
        <v>-1.362352E-2</v>
      </c>
      <c r="O5853">
        <v>1.00363E-2</v>
      </c>
      <c r="P5853">
        <v>-0.9984246</v>
      </c>
      <c r="Q5853">
        <v>-5.591774E-2</v>
      </c>
      <c r="R5853">
        <v>-4.6223369999999998E-3</v>
      </c>
      <c r="S5853">
        <v>-3.0071409999999998</v>
      </c>
      <c r="T5853">
        <v>4.2165639999999997E-2</v>
      </c>
      <c r="U5853">
        <v>3.1158450000000001E-2</v>
      </c>
      <c r="V5853">
        <v>-1.463128E-2</v>
      </c>
      <c r="W5853">
        <v>-4.2316060000000003E-2</v>
      </c>
      <c r="X5853">
        <v>0.99899720000000003</v>
      </c>
      <c r="Y5853">
        <v>3.2754529999999999E-4</v>
      </c>
      <c r="Z5853">
        <v>2.77371E-4</v>
      </c>
      <c r="AA5853">
        <v>0.99999990000000005</v>
      </c>
      <c r="AB5853">
        <v>28</v>
      </c>
      <c r="AC5853">
        <v>-3.0071409999999998</v>
      </c>
      <c r="AD5853">
        <v>4.2165639999999997E-2</v>
      </c>
      <c r="AE5853">
        <v>3.1158450000000001E-2</v>
      </c>
      <c r="AF5853">
        <v>9.73317917564983E-4</v>
      </c>
      <c r="AG5853">
        <v>4.2165639999999997E-2</v>
      </c>
      <c r="AH5853">
        <v>3.0067111702743001</v>
      </c>
      <c r="AI5853">
        <v>89.196545797024399</v>
      </c>
      <c r="AJ5853">
        <v>89.981452489549199</v>
      </c>
      <c r="AK5853">
        <v>3.0070069753821</v>
      </c>
      <c r="AL5853">
        <v>92.425255651737501</v>
      </c>
      <c r="AM5853">
        <v>90.839092101724503</v>
      </c>
      <c r="AN5853">
        <v>1.00000006444809</v>
      </c>
    </row>
    <row r="5854" spans="1:40" x14ac:dyDescent="0.25">
      <c r="A5854" t="str">
        <f>"20190303153925096"</f>
        <v>20190303153925096</v>
      </c>
      <c r="B5854" t="str">
        <f>"1551598765094964"</f>
        <v>1551598765094964</v>
      </c>
      <c r="C5854" t="s">
        <v>40</v>
      </c>
      <c r="D5854">
        <v>3.7617509999999998</v>
      </c>
      <c r="E5854">
        <v>0.52177180000000001</v>
      </c>
      <c r="F5854" t="s">
        <v>68</v>
      </c>
      <c r="G5854">
        <v>-307.49149999999997</v>
      </c>
      <c r="H5854" s="1">
        <v>-1.02801E-5</v>
      </c>
      <c r="I5854">
        <v>143.47470000000001</v>
      </c>
      <c r="J5854">
        <v>-274.37509999999997</v>
      </c>
      <c r="K5854">
        <v>1.1211530000000001</v>
      </c>
      <c r="L5854">
        <v>141.5189</v>
      </c>
      <c r="M5854">
        <v>-0.99986169999999996</v>
      </c>
      <c r="N5854">
        <v>-1.3398599999999899E-2</v>
      </c>
      <c r="O5854">
        <v>9.8614129999999994E-3</v>
      </c>
      <c r="P5854">
        <v>-0.99841340000000001</v>
      </c>
      <c r="Q5854">
        <v>-5.6167670000000003E-2</v>
      </c>
      <c r="R5854">
        <v>-4.0022230000000001E-3</v>
      </c>
      <c r="S5854">
        <v>-2.999908</v>
      </c>
      <c r="T5854">
        <v>-0.1007137</v>
      </c>
      <c r="U5854">
        <v>0.17591860000000001</v>
      </c>
      <c r="V5854">
        <v>-1.383643E-2</v>
      </c>
      <c r="W5854">
        <v>-4.2790429999999997E-2</v>
      </c>
      <c r="X5854">
        <v>0.99898830000000005</v>
      </c>
      <c r="Y5854">
        <v>4.865626E-2</v>
      </c>
      <c r="Z5854">
        <v>9.4355120000000001E-4</v>
      </c>
      <c r="AA5854">
        <v>0.99881509999999996</v>
      </c>
      <c r="AB5854">
        <v>28</v>
      </c>
      <c r="AC5854">
        <v>-33.116399999999999</v>
      </c>
      <c r="AD5854">
        <v>-1.1211632801</v>
      </c>
      <c r="AE5854">
        <v>1.95580000000001</v>
      </c>
      <c r="AF5854">
        <v>1.6272424736887701</v>
      </c>
      <c r="AG5854">
        <v>-1.1211632801</v>
      </c>
      <c r="AH5854">
        <v>33.096275787663203</v>
      </c>
      <c r="AI5854">
        <v>91.9378601426437</v>
      </c>
      <c r="AJ5854">
        <v>87.185208762125797</v>
      </c>
      <c r="AK5854">
        <v>33.155216726510602</v>
      </c>
      <c r="AL5854">
        <v>92.452459736787205</v>
      </c>
      <c r="AM5854">
        <v>90.7935211601677</v>
      </c>
      <c r="AN5854">
        <v>1.0000000456158</v>
      </c>
    </row>
    <row r="5855" spans="1:40" x14ac:dyDescent="0.25">
      <c r="A5855" t="str">
        <f>"20190303153925112"</f>
        <v>20190303153925112</v>
      </c>
      <c r="B5855" t="str">
        <f>"1551598765104723"</f>
        <v>1551598765104723</v>
      </c>
      <c r="C5855" t="s">
        <v>40</v>
      </c>
      <c r="D5855">
        <v>3.6462089999999998</v>
      </c>
      <c r="E5855">
        <v>0.52333039999999997</v>
      </c>
      <c r="F5855" t="s">
        <v>68</v>
      </c>
      <c r="G5855">
        <v>-300.19029999999998</v>
      </c>
      <c r="H5855" s="1">
        <v>-8.9587029999999993E-6</v>
      </c>
      <c r="I5855">
        <v>142.90430000000001</v>
      </c>
      <c r="J5855">
        <v>-274.56169999999997</v>
      </c>
      <c r="K5855">
        <v>1.1211199999999999</v>
      </c>
      <c r="L5855">
        <v>141.5206</v>
      </c>
      <c r="M5855">
        <v>-0.99986489999999995</v>
      </c>
      <c r="N5855">
        <v>-1.3240129999999999E-2</v>
      </c>
      <c r="O5855">
        <v>9.7432520000000009E-3</v>
      </c>
      <c r="P5855">
        <v>-0.99840399999999996</v>
      </c>
      <c r="Q5855">
        <v>-5.6359340000000001E-2</v>
      </c>
      <c r="R5855">
        <v>-3.641703E-3</v>
      </c>
      <c r="S5855">
        <v>-2.9980470000000001</v>
      </c>
      <c r="T5855">
        <v>-0.13020599999999999</v>
      </c>
      <c r="U5855">
        <v>0.1608887</v>
      </c>
      <c r="V5855">
        <v>-1.335797E-2</v>
      </c>
      <c r="W5855">
        <v>-4.3140289999999998E-2</v>
      </c>
      <c r="X5855">
        <v>0.99897970000000003</v>
      </c>
      <c r="Y5855">
        <v>4.3805400000000001E-2</v>
      </c>
      <c r="Z5855">
        <v>9.4676950000000004E-4</v>
      </c>
      <c r="AA5855">
        <v>0.99903960000000003</v>
      </c>
      <c r="AB5855">
        <v>28</v>
      </c>
      <c r="AC5855">
        <v>-25.628599999999999</v>
      </c>
      <c r="AD5855">
        <v>-1.121128958703</v>
      </c>
      <c r="AE5855">
        <v>1.3836999999999999</v>
      </c>
      <c r="AF5855">
        <v>1.13174704997972</v>
      </c>
      <c r="AG5855">
        <v>-1.121128958703</v>
      </c>
      <c r="AH5855">
        <v>25.592034477559601</v>
      </c>
      <c r="AI5855">
        <v>92.505948230907606</v>
      </c>
      <c r="AJ5855">
        <v>87.467879769928501</v>
      </c>
      <c r="AK5855">
        <v>25.641568014218301</v>
      </c>
      <c r="AL5855">
        <v>92.472523926375302</v>
      </c>
      <c r="AM5855">
        <v>90.766091336560805</v>
      </c>
      <c r="AN5855">
        <v>0.99999998049794703</v>
      </c>
    </row>
    <row r="5856" spans="1:40" x14ac:dyDescent="0.25">
      <c r="A5856" t="str">
        <f>"20190303153925130"</f>
        <v>20190303153925130</v>
      </c>
      <c r="B5856" t="str">
        <f>"1551598765124243"</f>
        <v>1551598765124243</v>
      </c>
      <c r="C5856" t="s">
        <v>40</v>
      </c>
      <c r="D5856">
        <v>3.6517210000000002</v>
      </c>
      <c r="E5856">
        <v>0.52536359999999904</v>
      </c>
      <c r="F5856" t="s">
        <v>68</v>
      </c>
      <c r="G5856">
        <v>-303.29090000000002</v>
      </c>
      <c r="H5856" s="1">
        <v>-9.5840130000000006E-6</v>
      </c>
      <c r="I5856">
        <v>143.18979999999999</v>
      </c>
      <c r="J5856">
        <v>-274.7876</v>
      </c>
      <c r="K5856">
        <v>1.1210899999999999</v>
      </c>
      <c r="L5856">
        <v>141.52269999999999</v>
      </c>
      <c r="M5856">
        <v>-0.99986889999999995</v>
      </c>
      <c r="N5856">
        <v>-1.30423E-2</v>
      </c>
      <c r="O5856">
        <v>9.598334E-3</v>
      </c>
      <c r="P5856">
        <v>-0.99837339999999997</v>
      </c>
      <c r="Q5856">
        <v>-5.6957050000000002E-2</v>
      </c>
      <c r="R5856">
        <v>-2.5815450000000002E-3</v>
      </c>
      <c r="S5856">
        <v>-2.9988100000000002</v>
      </c>
      <c r="T5856">
        <v>-0.1170255</v>
      </c>
      <c r="U5856">
        <v>0.17424010000000001</v>
      </c>
      <c r="V5856">
        <v>-1.2152369999999999E-2</v>
      </c>
      <c r="W5856">
        <v>-4.3935490000000001E-2</v>
      </c>
      <c r="X5856">
        <v>0.99896039999999997</v>
      </c>
      <c r="Y5856">
        <v>4.8373840000000001E-2</v>
      </c>
      <c r="Z5856">
        <v>1.0095939999999999E-3</v>
      </c>
      <c r="AA5856">
        <v>0.99882879999999996</v>
      </c>
      <c r="AB5856">
        <v>28</v>
      </c>
      <c r="AC5856">
        <v>-28.503299999999999</v>
      </c>
      <c r="AD5856">
        <v>-1.121099584013</v>
      </c>
      <c r="AE5856">
        <v>1.6671</v>
      </c>
      <c r="AF5856">
        <v>1.3912707365413099</v>
      </c>
      <c r="AG5856">
        <v>-1.121099584013</v>
      </c>
      <c r="AH5856">
        <v>28.4740894829133</v>
      </c>
      <c r="AI5856">
        <v>92.252036630081093</v>
      </c>
      <c r="AJ5856">
        <v>87.202699106451902</v>
      </c>
      <c r="AK5856">
        <v>28.530094118677301</v>
      </c>
      <c r="AL5856">
        <v>92.518128867715205</v>
      </c>
      <c r="AM5856">
        <v>90.696969737951505</v>
      </c>
      <c r="AN5856">
        <v>0.99999994407315596</v>
      </c>
    </row>
    <row r="5857" spans="1:40" x14ac:dyDescent="0.25">
      <c r="A5857" t="str">
        <f>"20190303153925145"</f>
        <v>20190303153925145</v>
      </c>
      <c r="B5857" t="str">
        <f>"1551598765134980"</f>
        <v>1551598765134980</v>
      </c>
      <c r="C5857" t="s">
        <v>40</v>
      </c>
      <c r="D5857">
        <v>3.6447639999999999</v>
      </c>
      <c r="E5857">
        <v>0.52608690000000002</v>
      </c>
      <c r="F5857" t="s">
        <v>68</v>
      </c>
      <c r="G5857">
        <v>-308.19380000000001</v>
      </c>
      <c r="H5857" s="1">
        <v>-1.0440859999999999E-5</v>
      </c>
      <c r="I5857">
        <v>143.67609999999999</v>
      </c>
      <c r="J5857">
        <v>-274.98809999999997</v>
      </c>
      <c r="K5857">
        <v>1.121062</v>
      </c>
      <c r="L5857">
        <v>141.52440000000001</v>
      </c>
      <c r="M5857">
        <v>-0.9998726</v>
      </c>
      <c r="N5857">
        <v>-1.2852519999999999E-2</v>
      </c>
      <c r="O5857">
        <v>9.4697189999999997E-3</v>
      </c>
      <c r="P5857">
        <v>-0.99837719999999996</v>
      </c>
      <c r="Q5857">
        <v>-5.6910790000000003E-2</v>
      </c>
      <c r="R5857">
        <v>-2.0367200000000001E-3</v>
      </c>
      <c r="S5857">
        <v>-2.9996339999999999</v>
      </c>
      <c r="T5857">
        <v>-0.1006668</v>
      </c>
      <c r="U5857">
        <v>0.19335939999999999</v>
      </c>
      <c r="V5857">
        <v>-1.147923E-2</v>
      </c>
      <c r="W5857">
        <v>-4.4078529999999998E-2</v>
      </c>
      <c r="X5857">
        <v>0.99896209999999996</v>
      </c>
      <c r="Y5857">
        <v>5.4833180000000002E-2</v>
      </c>
      <c r="Z5857">
        <v>1.0759929999999999E-3</v>
      </c>
      <c r="AA5857">
        <v>0.99849489999999996</v>
      </c>
      <c r="AB5857">
        <v>28</v>
      </c>
      <c r="AC5857">
        <v>-33.2057</v>
      </c>
      <c r="AD5857">
        <v>-1.1210724408599999</v>
      </c>
      <c r="AE5857">
        <v>2.1516999999999702</v>
      </c>
      <c r="AF5857">
        <v>1.8350459899013101</v>
      </c>
      <c r="AG5857">
        <v>-1.1210724408599999</v>
      </c>
      <c r="AH5857">
        <v>33.186919079182502</v>
      </c>
      <c r="AI5857">
        <v>91.931798646191098</v>
      </c>
      <c r="AJ5857">
        <v>86.835095408169295</v>
      </c>
      <c r="AK5857">
        <v>33.256515078566501</v>
      </c>
      <c r="AL5857">
        <v>92.526332304513701</v>
      </c>
      <c r="AM5857">
        <v>90.658365801681597</v>
      </c>
      <c r="AN5857">
        <v>0.99999998338238105</v>
      </c>
    </row>
    <row r="5858" spans="1:40" x14ac:dyDescent="0.25">
      <c r="A5858" t="str">
        <f>"20190303153925164"</f>
        <v>20190303153925164</v>
      </c>
      <c r="B5858" t="str">
        <f>"1551598765154499"</f>
        <v>1551598765154499</v>
      </c>
      <c r="C5858" t="s">
        <v>40</v>
      </c>
      <c r="D5858">
        <v>3.6940200000000001</v>
      </c>
      <c r="E5858">
        <v>0.52673349999999997</v>
      </c>
      <c r="F5858" t="s">
        <v>68</v>
      </c>
      <c r="G5858">
        <v>-310.8655</v>
      </c>
      <c r="H5858" s="1">
        <v>-1.0365329999999999E-5</v>
      </c>
      <c r="I5858">
        <v>143.9238</v>
      </c>
      <c r="J5858">
        <v>-275.22480000000002</v>
      </c>
      <c r="K5858">
        <v>1.1210290000000001</v>
      </c>
      <c r="L5858">
        <v>141.5265</v>
      </c>
      <c r="M5858">
        <v>-0.99987720000000002</v>
      </c>
      <c r="N5858">
        <v>-1.261464E-2</v>
      </c>
      <c r="O5858">
        <v>9.3179060000000008E-3</v>
      </c>
      <c r="P5858">
        <v>-0.99839520000000004</v>
      </c>
      <c r="Q5858">
        <v>-5.6620330000000003E-2</v>
      </c>
      <c r="R5858">
        <v>-1.124428E-3</v>
      </c>
      <c r="S5858">
        <v>-2.9999389999999999</v>
      </c>
      <c r="T5858">
        <v>-9.3739989999999995E-2</v>
      </c>
      <c r="U5858">
        <v>0.20062260000000001</v>
      </c>
      <c r="V5858">
        <v>-1.0415570000000001E-2</v>
      </c>
      <c r="W5858">
        <v>-4.4025099999999998E-2</v>
      </c>
      <c r="X5858">
        <v>0.99897610000000003</v>
      </c>
      <c r="Y5858">
        <v>5.7388139999999997E-2</v>
      </c>
      <c r="Z5858">
        <v>1.084572E-3</v>
      </c>
      <c r="AA5858">
        <v>0.99835130000000005</v>
      </c>
      <c r="AB5858">
        <v>28</v>
      </c>
      <c r="AC5858">
        <v>-35.640699999999903</v>
      </c>
      <c r="AD5858">
        <v>-1.1210393653299999</v>
      </c>
      <c r="AE5858">
        <v>2.3973</v>
      </c>
      <c r="AF5858">
        <v>2.06304097921273</v>
      </c>
      <c r="AG5858">
        <v>-1.1210393653299999</v>
      </c>
      <c r="AH5858">
        <v>35.626403909744802</v>
      </c>
      <c r="AI5858">
        <v>91.799292500834099</v>
      </c>
      <c r="AJ5858">
        <v>86.685837762561903</v>
      </c>
      <c r="AK5858">
        <v>35.703690605885697</v>
      </c>
      <c r="AL5858">
        <v>92.523268047688802</v>
      </c>
      <c r="AM5858">
        <v>90.597358214496296</v>
      </c>
      <c r="AN5858">
        <v>0.99999997094982196</v>
      </c>
    </row>
    <row r="5859" spans="1:40" x14ac:dyDescent="0.25">
      <c r="A5859" t="str">
        <f>"20190303153925176"</f>
        <v>20190303153925176</v>
      </c>
      <c r="B5859" t="str">
        <f>"1551598765174020"</f>
        <v>1551598765174020</v>
      </c>
      <c r="C5859" t="s">
        <v>40</v>
      </c>
      <c r="D5859">
        <v>3.682534</v>
      </c>
      <c r="E5859">
        <v>0.52690099999999995</v>
      </c>
      <c r="F5859" t="s">
        <v>68</v>
      </c>
      <c r="G5859">
        <v>-313.93830000000003</v>
      </c>
      <c r="H5859" s="1">
        <v>-9.2019900000000003E-6</v>
      </c>
      <c r="I5859">
        <v>144.215</v>
      </c>
      <c r="J5859">
        <v>-275.38580000000002</v>
      </c>
      <c r="K5859">
        <v>1.1210089999999999</v>
      </c>
      <c r="L5859">
        <v>141.52789999999999</v>
      </c>
      <c r="M5859">
        <v>-0.99988030000000006</v>
      </c>
      <c r="N5859">
        <v>-1.243694E-2</v>
      </c>
      <c r="O5859">
        <v>9.2146769999999992E-3</v>
      </c>
      <c r="P5859">
        <v>-0.99840759999999995</v>
      </c>
      <c r="Q5859">
        <v>-5.6408350000000003E-2</v>
      </c>
      <c r="R5859">
        <v>-7.5157550000000005E-4</v>
      </c>
      <c r="S5859">
        <v>-3.0001220000000002</v>
      </c>
      <c r="T5859">
        <v>-8.6875320000000006E-2</v>
      </c>
      <c r="U5859">
        <v>0.20834349999999999</v>
      </c>
      <c r="V5859">
        <v>-9.9392370000000001E-3</v>
      </c>
      <c r="W5859">
        <v>-4.3990349999999998E-2</v>
      </c>
      <c r="X5859">
        <v>0.9989825</v>
      </c>
      <c r="Y5859">
        <v>6.0047370000000003E-2</v>
      </c>
      <c r="Z5859">
        <v>1.0901890000000001E-3</v>
      </c>
      <c r="AA5859">
        <v>0.9981949</v>
      </c>
      <c r="AB5859">
        <v>28</v>
      </c>
      <c r="AC5859">
        <v>-38.552500000000002</v>
      </c>
      <c r="AD5859">
        <v>-1.1210182019899999</v>
      </c>
      <c r="AE5859">
        <v>2.6871000000000098</v>
      </c>
      <c r="AF5859">
        <v>2.3297493121347101</v>
      </c>
      <c r="AG5859">
        <v>-1.1210182019899999</v>
      </c>
      <c r="AH5859">
        <v>38.543194416658103</v>
      </c>
      <c r="AI5859">
        <v>91.662928952968201</v>
      </c>
      <c r="AJ5859">
        <v>86.540956375214705</v>
      </c>
      <c r="AK5859">
        <v>38.629810373685402</v>
      </c>
      <c r="AL5859">
        <v>92.521275047205705</v>
      </c>
      <c r="AM5859">
        <v>90.570037555230897</v>
      </c>
      <c r="AN5859">
        <v>0.99999998731575701</v>
      </c>
    </row>
    <row r="5860" spans="1:40" x14ac:dyDescent="0.25">
      <c r="A5860" t="str">
        <f>"20190303153925191"</f>
        <v>20190303153925191</v>
      </c>
      <c r="B5860" t="str">
        <f>"1551598765184755"</f>
        <v>1551598765184755</v>
      </c>
      <c r="C5860" t="s">
        <v>40</v>
      </c>
      <c r="D5860">
        <v>3.9428390000000002</v>
      </c>
      <c r="E5860">
        <v>0.52689390000000003</v>
      </c>
      <c r="F5860" t="s">
        <v>68</v>
      </c>
      <c r="G5860">
        <v>-314.20080000000002</v>
      </c>
      <c r="H5860" s="1">
        <v>-9.1138150000000001E-6</v>
      </c>
      <c r="I5860">
        <v>144.25530000000001</v>
      </c>
      <c r="J5860">
        <v>-275.56279999999998</v>
      </c>
      <c r="K5860">
        <v>1.1209800000000001</v>
      </c>
      <c r="L5860">
        <v>141.52940000000001</v>
      </c>
      <c r="M5860">
        <v>-0.99988390000000005</v>
      </c>
      <c r="N5860">
        <v>-1.222899E-2</v>
      </c>
      <c r="O5860">
        <v>9.1010729999999995E-3</v>
      </c>
      <c r="P5860">
        <v>-0.99842819999999999</v>
      </c>
      <c r="Q5860">
        <v>-5.6043900000000001E-2</v>
      </c>
      <c r="R5860">
        <v>-7.9722349999999996E-4</v>
      </c>
      <c r="S5860">
        <v>-3.0000309999999999</v>
      </c>
      <c r="T5860">
        <v>-8.664405E-2</v>
      </c>
      <c r="U5860">
        <v>0.21080019999999999</v>
      </c>
      <c r="V5860">
        <v>-9.8716640000000005E-3</v>
      </c>
      <c r="W5860">
        <v>-4.383343E-2</v>
      </c>
      <c r="X5860">
        <v>0.99899009999999999</v>
      </c>
      <c r="Y5860">
        <v>6.0976120000000002E-2</v>
      </c>
      <c r="Z5860">
        <v>1.1013959999999999E-3</v>
      </c>
      <c r="AA5860">
        <v>0.99813859999999999</v>
      </c>
      <c r="AB5860">
        <v>28</v>
      </c>
      <c r="AC5860">
        <v>-38.637999999999998</v>
      </c>
      <c r="AD5860">
        <v>-1.1209891138150001</v>
      </c>
      <c r="AE5860">
        <v>2.72589999999999</v>
      </c>
      <c r="AF5860">
        <v>2.37212676162155</v>
      </c>
      <c r="AG5860">
        <v>-1.1209891138150001</v>
      </c>
      <c r="AH5860">
        <v>38.628855926793598</v>
      </c>
      <c r="AI5860">
        <v>91.659103422443096</v>
      </c>
      <c r="AJ5860">
        <v>86.485984545822703</v>
      </c>
      <c r="AK5860">
        <v>38.717852628722397</v>
      </c>
      <c r="AL5860">
        <v>92.512275431278198</v>
      </c>
      <c r="AM5860">
        <v>90.566158038208698</v>
      </c>
      <c r="AN5860">
        <v>1.0000000196168499</v>
      </c>
    </row>
    <row r="5861" spans="1:40" x14ac:dyDescent="0.25">
      <c r="A5861" t="str">
        <f>"20190303153925203"</f>
        <v>20190303153925203</v>
      </c>
      <c r="B5861" t="str">
        <f>"1551598765194515"</f>
        <v>1551598765194515</v>
      </c>
      <c r="C5861" t="s">
        <v>40</v>
      </c>
      <c r="D5861">
        <v>3.693587</v>
      </c>
      <c r="E5861">
        <v>0.52695040000000004</v>
      </c>
      <c r="F5861" t="s">
        <v>68</v>
      </c>
      <c r="G5861">
        <v>-313.8356</v>
      </c>
      <c r="H5861" s="1">
        <v>-9.2413340000000004E-6</v>
      </c>
      <c r="I5861">
        <v>144.2176</v>
      </c>
      <c r="J5861">
        <v>-275.72320000000002</v>
      </c>
      <c r="K5861">
        <v>1.1209499999999999</v>
      </c>
      <c r="L5861">
        <v>141.5308</v>
      </c>
      <c r="M5861">
        <v>-0.99988730000000003</v>
      </c>
      <c r="N5861">
        <v>-1.202193E-2</v>
      </c>
      <c r="O5861">
        <v>8.997461E-3</v>
      </c>
      <c r="P5861">
        <v>-0.99845550000000005</v>
      </c>
      <c r="Q5861">
        <v>-5.5555769999999997E-2</v>
      </c>
      <c r="R5861">
        <v>-6.7409679999999995E-4</v>
      </c>
      <c r="S5861">
        <v>-2.9999690000000001</v>
      </c>
      <c r="T5861">
        <v>-8.7867379999999995E-2</v>
      </c>
      <c r="U5861">
        <v>0.2107086</v>
      </c>
      <c r="V5861">
        <v>-9.6459900000000001E-3</v>
      </c>
      <c r="W5861">
        <v>-4.355179E-2</v>
      </c>
      <c r="X5861">
        <v>0.99900460000000002</v>
      </c>
      <c r="Y5861">
        <v>6.1050029999999998E-2</v>
      </c>
      <c r="Z5861">
        <v>1.1052220000000001E-3</v>
      </c>
      <c r="AA5861">
        <v>0.99813410000000002</v>
      </c>
      <c r="AB5861">
        <v>28</v>
      </c>
      <c r="AC5861">
        <v>-38.112399999999901</v>
      </c>
      <c r="AD5861">
        <v>-1.1209592413339999</v>
      </c>
      <c r="AE5861">
        <v>2.6867999999999999</v>
      </c>
      <c r="AF5861">
        <v>2.3417359005469098</v>
      </c>
      <c r="AG5861">
        <v>-1.1209592413339999</v>
      </c>
      <c r="AH5861">
        <v>38.1022354050627</v>
      </c>
      <c r="AI5861">
        <v>91.681971165694407</v>
      </c>
      <c r="AJ5861">
        <v>86.483066377789896</v>
      </c>
      <c r="AK5861">
        <v>38.190582864253997</v>
      </c>
      <c r="AL5861">
        <v>92.496123279239995</v>
      </c>
      <c r="AM5861">
        <v>90.5532080050357</v>
      </c>
      <c r="AN5861">
        <v>0.99999999717822197</v>
      </c>
    </row>
    <row r="5862" spans="1:40" x14ac:dyDescent="0.25">
      <c r="A5862" t="str">
        <f>"20190303153925219"</f>
        <v>20190303153925219</v>
      </c>
      <c r="B5862" t="str">
        <f>"1551598765214035"</f>
        <v>1551598765214035</v>
      </c>
      <c r="C5862" t="s">
        <v>40</v>
      </c>
      <c r="D5862">
        <v>3.7263809999999999</v>
      </c>
      <c r="E5862">
        <v>0.52666769999999996</v>
      </c>
      <c r="F5862" t="s">
        <v>68</v>
      </c>
      <c r="G5862">
        <v>-313.577</v>
      </c>
      <c r="H5862" s="1">
        <v>-9.3342100000000002E-6</v>
      </c>
      <c r="I5862">
        <v>144.20060000000001</v>
      </c>
      <c r="J5862">
        <v>-275.92090000000002</v>
      </c>
      <c r="K5862">
        <v>1.1209169999999999</v>
      </c>
      <c r="L5862">
        <v>141.5325</v>
      </c>
      <c r="M5862">
        <v>-0.99989150000000004</v>
      </c>
      <c r="N5862">
        <v>-1.176107E-2</v>
      </c>
      <c r="O5862">
        <v>8.8696550000000006E-3</v>
      </c>
      <c r="P5862">
        <v>-0.99849429999999995</v>
      </c>
      <c r="Q5862">
        <v>-5.484758E-2</v>
      </c>
      <c r="R5862">
        <v>-1.0854980000000001E-3</v>
      </c>
      <c r="S5862">
        <v>-2.9998469999999999</v>
      </c>
      <c r="T5862">
        <v>-8.8834170000000004E-2</v>
      </c>
      <c r="U5862">
        <v>0.2115784</v>
      </c>
      <c r="V5862">
        <v>-9.9296179999999994E-3</v>
      </c>
      <c r="W5862">
        <v>-4.3103950000000002E-2</v>
      </c>
      <c r="X5862">
        <v>0.99902120000000005</v>
      </c>
      <c r="Y5862">
        <v>6.146778E-2</v>
      </c>
      <c r="Z5862">
        <v>1.1127629999999999E-3</v>
      </c>
      <c r="AA5862">
        <v>0.99810840000000001</v>
      </c>
      <c r="AB5862">
        <v>28</v>
      </c>
      <c r="AC5862">
        <v>-37.656099999999903</v>
      </c>
      <c r="AD5862">
        <v>-1.12092633421</v>
      </c>
      <c r="AE5862">
        <v>2.6680999999999999</v>
      </c>
      <c r="AF5862">
        <v>2.33191932045971</v>
      </c>
      <c r="AG5862">
        <v>-1.12092633421</v>
      </c>
      <c r="AH5862">
        <v>37.645094566457402</v>
      </c>
      <c r="AI5862">
        <v>91.702283405860101</v>
      </c>
      <c r="AJ5862">
        <v>86.455351333562206</v>
      </c>
      <c r="AK5862">
        <v>37.733903435522997</v>
      </c>
      <c r="AL5862">
        <v>92.470439927262404</v>
      </c>
      <c r="AM5862">
        <v>90.569463861091805</v>
      </c>
      <c r="AN5862">
        <v>0.99999995293433297</v>
      </c>
    </row>
    <row r="5863" spans="1:40" x14ac:dyDescent="0.25">
      <c r="A5863" t="str">
        <f>"20190303153925243"</f>
        <v>20190303153925243</v>
      </c>
      <c r="B5863" t="str">
        <f>"1551598765234532"</f>
        <v>1551598765234532</v>
      </c>
      <c r="C5863" t="s">
        <v>40</v>
      </c>
      <c r="D5863">
        <v>3.7453639999999999</v>
      </c>
      <c r="E5863">
        <v>0.52633160000000001</v>
      </c>
      <c r="F5863" t="s">
        <v>68</v>
      </c>
      <c r="G5863">
        <v>-314.4726</v>
      </c>
      <c r="H5863" s="1">
        <v>-8.998757E-6</v>
      </c>
      <c r="I5863">
        <v>144.2071</v>
      </c>
      <c r="J5863">
        <v>-276.21949999999998</v>
      </c>
      <c r="K5863">
        <v>1.120859</v>
      </c>
      <c r="L5863">
        <v>141.53489999999999</v>
      </c>
      <c r="M5863">
        <v>-0.99989790000000001</v>
      </c>
      <c r="N5863">
        <v>-1.136233E-2</v>
      </c>
      <c r="O5863">
        <v>8.6759939999999994E-3</v>
      </c>
      <c r="P5863">
        <v>-0.99853099999999995</v>
      </c>
      <c r="Q5863">
        <v>-5.4135559999999999E-2</v>
      </c>
      <c r="R5863">
        <v>-2.3055520000000002E-3</v>
      </c>
      <c r="S5863">
        <v>-2.9999690000000001</v>
      </c>
      <c r="T5863">
        <v>-8.7226869999999998E-2</v>
      </c>
      <c r="U5863">
        <v>0.20812990000000001</v>
      </c>
      <c r="V5863">
        <v>-1.0956820000000001E-2</v>
      </c>
      <c r="W5863">
        <v>-4.2790349999999998E-2</v>
      </c>
      <c r="X5863">
        <v>0.99902400000000002</v>
      </c>
      <c r="Y5863">
        <v>6.0518540000000003E-2</v>
      </c>
      <c r="Z5863">
        <v>1.06949E-3</v>
      </c>
      <c r="AA5863">
        <v>0.99816649999999996</v>
      </c>
      <c r="AB5863">
        <v>28</v>
      </c>
      <c r="AC5863">
        <v>-38.253100000000003</v>
      </c>
      <c r="AD5863">
        <v>-1.1208679987570001</v>
      </c>
      <c r="AE5863">
        <v>2.6722000000000001</v>
      </c>
      <c r="AF5863">
        <v>2.3381965956804001</v>
      </c>
      <c r="AG5863">
        <v>-1.1208679987570001</v>
      </c>
      <c r="AH5863">
        <v>38.242171428803097</v>
      </c>
      <c r="AI5863">
        <v>91.675716139636606</v>
      </c>
      <c r="AJ5863">
        <v>86.501186374735994</v>
      </c>
      <c r="AK5863">
        <v>38.329977615185904</v>
      </c>
      <c r="AL5863">
        <v>92.452455238121601</v>
      </c>
      <c r="AM5863">
        <v>90.6283676603842</v>
      </c>
      <c r="AN5863">
        <v>1.00000000926681</v>
      </c>
    </row>
    <row r="5864" spans="1:40" x14ac:dyDescent="0.25">
      <c r="A5864" t="str">
        <f>"20190303153925263"</f>
        <v>20190303153925263</v>
      </c>
      <c r="B5864" t="str">
        <f>"1551598765254051"</f>
        <v>1551598765254051</v>
      </c>
      <c r="C5864" t="s">
        <v>40</v>
      </c>
      <c r="D5864">
        <v>3.7349399999999999</v>
      </c>
      <c r="E5864">
        <v>0.52623009999999903</v>
      </c>
      <c r="F5864" t="s">
        <v>68</v>
      </c>
      <c r="G5864">
        <v>-314.30369999999999</v>
      </c>
      <c r="H5864" s="1">
        <v>-9.0329270000000001E-6</v>
      </c>
      <c r="I5864">
        <v>144.09559999999999</v>
      </c>
      <c r="J5864">
        <v>-276.4889</v>
      </c>
      <c r="K5864">
        <v>1.120816</v>
      </c>
      <c r="L5864">
        <v>141.53710000000001</v>
      </c>
      <c r="M5864">
        <v>-0.99990330000000005</v>
      </c>
      <c r="N5864">
        <v>-1.1008560000000001E-2</v>
      </c>
      <c r="O5864">
        <v>8.5011329999999993E-3</v>
      </c>
      <c r="P5864">
        <v>-0.99856429999999996</v>
      </c>
      <c r="Q5864">
        <v>-5.3481010000000002E-2</v>
      </c>
      <c r="R5864">
        <v>-3.040671E-3</v>
      </c>
      <c r="S5864">
        <v>-3.000092</v>
      </c>
      <c r="T5864">
        <v>-8.8296650000000004E-2</v>
      </c>
      <c r="U5864">
        <v>0.20172119999999999</v>
      </c>
      <c r="V5864">
        <v>-1.151718E-2</v>
      </c>
      <c r="W5864">
        <v>-4.2489150000000003E-2</v>
      </c>
      <c r="X5864">
        <v>0.99903050000000004</v>
      </c>
      <c r="Y5864">
        <v>5.8568660000000002E-2</v>
      </c>
      <c r="Z5864">
        <v>1.0272E-3</v>
      </c>
      <c r="AA5864">
        <v>0.99828280000000003</v>
      </c>
      <c r="AB5864">
        <v>28</v>
      </c>
      <c r="AC5864">
        <v>-37.814799999999899</v>
      </c>
      <c r="AD5864">
        <v>-1.120825032927</v>
      </c>
      <c r="AE5864">
        <v>2.55849999999998</v>
      </c>
      <c r="AF5864">
        <v>2.2349649064923098</v>
      </c>
      <c r="AG5864">
        <v>-1.120825032927</v>
      </c>
      <c r="AH5864">
        <v>37.8021262317815</v>
      </c>
      <c r="AI5864">
        <v>91.695351440645297</v>
      </c>
      <c r="AJ5864">
        <v>86.616455813493999</v>
      </c>
      <c r="AK5864">
        <v>37.884720726583602</v>
      </c>
      <c r="AL5864">
        <v>92.435182167955105</v>
      </c>
      <c r="AM5864">
        <v>90.660496926390394</v>
      </c>
      <c r="AN5864">
        <v>0.99999995661656105</v>
      </c>
    </row>
    <row r="5865" spans="1:40" x14ac:dyDescent="0.25">
      <c r="A5865" t="str">
        <f>"20190303153925287"</f>
        <v>20190303153925287</v>
      </c>
      <c r="B5865" t="str">
        <f>"1551598765274547"</f>
        <v>1551598765274547</v>
      </c>
      <c r="C5865" t="s">
        <v>40</v>
      </c>
      <c r="D5865">
        <v>3.8718059999999999</v>
      </c>
      <c r="E5865">
        <v>0.52603540000000004</v>
      </c>
      <c r="F5865" t="s">
        <v>68</v>
      </c>
      <c r="G5865">
        <v>-315.19159999999999</v>
      </c>
      <c r="H5865" s="1">
        <v>-8.6842829999999993E-6</v>
      </c>
      <c r="I5865">
        <v>144.10040000000001</v>
      </c>
      <c r="J5865">
        <v>-276.77890000000002</v>
      </c>
      <c r="K5865">
        <v>1.120776</v>
      </c>
      <c r="L5865">
        <v>141.5393</v>
      </c>
      <c r="M5865">
        <v>-0.99990889999999999</v>
      </c>
      <c r="N5865">
        <v>-1.063919E-2</v>
      </c>
      <c r="O5865">
        <v>8.3126429999999998E-3</v>
      </c>
      <c r="P5865">
        <v>-0.9985948</v>
      </c>
      <c r="Q5865">
        <v>-5.2837889999999998E-2</v>
      </c>
      <c r="R5865">
        <v>-4.0922140000000003E-3</v>
      </c>
      <c r="S5865">
        <v>-3.000305</v>
      </c>
      <c r="T5865">
        <v>-8.6888309999999996E-2</v>
      </c>
      <c r="U5865">
        <v>0.19871520000000001</v>
      </c>
      <c r="V5865">
        <v>-1.238098E-2</v>
      </c>
      <c r="W5865">
        <v>-4.2215120000000002E-2</v>
      </c>
      <c r="X5865">
        <v>0.99903180000000003</v>
      </c>
      <c r="Y5865">
        <v>5.7758039999999997E-2</v>
      </c>
      <c r="Z5865">
        <v>9.9086399999999994E-4</v>
      </c>
      <c r="AA5865">
        <v>0.9983301</v>
      </c>
      <c r="AB5865">
        <v>28</v>
      </c>
      <c r="AC5865">
        <v>-38.412699999999901</v>
      </c>
      <c r="AD5865">
        <v>-1.120784684283</v>
      </c>
      <c r="AE5865">
        <v>2.5611000000000099</v>
      </c>
      <c r="AF5865">
        <v>2.239784040994</v>
      </c>
      <c r="AG5865">
        <v>-1.120784684283</v>
      </c>
      <c r="AH5865">
        <v>38.4001171315997</v>
      </c>
      <c r="AI5865">
        <v>91.668982983431206</v>
      </c>
      <c r="AJ5865">
        <v>86.661860750490305</v>
      </c>
      <c r="AK5865">
        <v>38.481707168203798</v>
      </c>
      <c r="AL5865">
        <v>92.419467269190207</v>
      </c>
      <c r="AM5865">
        <v>90.710029036875198</v>
      </c>
      <c r="AN5865">
        <v>0.99999997121680695</v>
      </c>
    </row>
    <row r="5866" spans="1:40" x14ac:dyDescent="0.25">
      <c r="A5866" t="str">
        <f>"20190303153925302"</f>
        <v>20190303153925302</v>
      </c>
      <c r="B5866" t="str">
        <f>"1551598765294067"</f>
        <v>1551598765294067</v>
      </c>
      <c r="C5866" t="s">
        <v>40</v>
      </c>
      <c r="D5866">
        <v>3.8237040000000002</v>
      </c>
      <c r="E5866">
        <v>0.5028009</v>
      </c>
      <c r="F5866" t="s">
        <v>68</v>
      </c>
      <c r="G5866">
        <v>-316.27800000000002</v>
      </c>
      <c r="H5866" s="1">
        <v>-8.2006790000000002E-6</v>
      </c>
      <c r="I5866">
        <v>144.09350000000001</v>
      </c>
      <c r="J5866">
        <v>-276.97489999999999</v>
      </c>
      <c r="K5866">
        <v>1.1207510000000001</v>
      </c>
      <c r="L5866">
        <v>141.54079999999999</v>
      </c>
      <c r="M5866">
        <v>-0.99991240000000003</v>
      </c>
      <c r="N5866">
        <v>-1.039957E-2</v>
      </c>
      <c r="O5866">
        <v>8.1858529999999999E-3</v>
      </c>
      <c r="P5866">
        <v>-0.99858309999999995</v>
      </c>
      <c r="Q5866">
        <v>-5.3055060000000001E-2</v>
      </c>
      <c r="R5866">
        <v>-4.1590469999999999E-3</v>
      </c>
      <c r="S5866">
        <v>-3.0005489999999999</v>
      </c>
      <c r="T5866">
        <v>-8.5140350000000004E-2</v>
      </c>
      <c r="U5866">
        <v>0.1940308</v>
      </c>
      <c r="V5866">
        <v>-1.232072E-2</v>
      </c>
      <c r="W5866">
        <v>-4.2671790000000001E-2</v>
      </c>
      <c r="X5866">
        <v>0.99901320000000005</v>
      </c>
      <c r="Y5866">
        <v>5.6329339999999999E-2</v>
      </c>
      <c r="Z5866">
        <v>9.4454249999999999E-4</v>
      </c>
      <c r="AA5866">
        <v>0.99841179999999996</v>
      </c>
      <c r="AB5866">
        <v>29</v>
      </c>
      <c r="AC5866">
        <v>-39.303100000000001</v>
      </c>
      <c r="AD5866">
        <v>-1.1207592006789999</v>
      </c>
      <c r="AE5866">
        <v>2.55270000000001</v>
      </c>
      <c r="AF5866">
        <v>2.22906271012498</v>
      </c>
      <c r="AG5866">
        <v>-1.1207592006789999</v>
      </c>
      <c r="AH5866">
        <v>39.2908649942746</v>
      </c>
      <c r="AI5866">
        <v>91.631278854608695</v>
      </c>
      <c r="AJ5866">
        <v>86.752956972786706</v>
      </c>
      <c r="AK5866">
        <v>39.369999920623499</v>
      </c>
      <c r="AL5866">
        <v>92.445655994921296</v>
      </c>
      <c r="AM5866">
        <v>90.706586729160193</v>
      </c>
      <c r="AN5866">
        <v>1.00000002778868</v>
      </c>
    </row>
    <row r="5867" spans="1:40" x14ac:dyDescent="0.25">
      <c r="A5867" t="str">
        <f>"20190303153925315"</f>
        <v>20190303153925315</v>
      </c>
      <c r="B5867" t="str">
        <f>"1551598765304803"</f>
        <v>1551598765304803</v>
      </c>
      <c r="C5867" t="s">
        <v>40</v>
      </c>
      <c r="D5867">
        <v>3.7997269999999999</v>
      </c>
      <c r="E5867">
        <v>0.50301070000000003</v>
      </c>
      <c r="F5867" t="s">
        <v>42</v>
      </c>
      <c r="G5867">
        <v>-337.95920000000001</v>
      </c>
      <c r="H5867" s="1">
        <v>-1.5000320000000001E-6</v>
      </c>
      <c r="I5867">
        <v>141.70169999999999</v>
      </c>
      <c r="J5867">
        <v>-277.15249999999997</v>
      </c>
      <c r="K5867">
        <v>1.120738</v>
      </c>
      <c r="L5867">
        <v>141.54220000000001</v>
      </c>
      <c r="M5867">
        <v>-0.99991549999999996</v>
      </c>
      <c r="N5867">
        <v>-1.0190940000000001E-2</v>
      </c>
      <c r="O5867">
        <v>8.0709739999999999E-3</v>
      </c>
      <c r="P5867">
        <v>-0.99859489999999995</v>
      </c>
      <c r="Q5867">
        <v>-5.2808679999999997E-2</v>
      </c>
      <c r="R5867">
        <v>-4.4313640000000001E-3</v>
      </c>
      <c r="S5867">
        <v>-3.0013730000000001</v>
      </c>
      <c r="T5867">
        <v>-5.515838E-2</v>
      </c>
      <c r="U5867">
        <v>7.9193119999999995E-3</v>
      </c>
      <c r="V5867">
        <v>-1.247794E-2</v>
      </c>
      <c r="W5867">
        <v>-4.2633810000000001E-2</v>
      </c>
      <c r="X5867">
        <v>0.99901280000000003</v>
      </c>
      <c r="Y5867">
        <v>-5.4312020000000004E-3</v>
      </c>
      <c r="Z5867">
        <v>-1.4364219999999999E-4</v>
      </c>
      <c r="AA5867">
        <v>0.99998520000000002</v>
      </c>
      <c r="AB5867">
        <v>29</v>
      </c>
      <c r="AC5867">
        <v>-60.806699999999999</v>
      </c>
      <c r="AD5867">
        <v>-1.120739500032</v>
      </c>
      <c r="AE5867">
        <v>0.15949999999997999</v>
      </c>
      <c r="AF5867">
        <v>-0.33118746960087198</v>
      </c>
      <c r="AG5867">
        <v>-1.120739500032</v>
      </c>
      <c r="AH5867">
        <v>60.7853574920615</v>
      </c>
      <c r="AI5867">
        <v>91.056264505618898</v>
      </c>
      <c r="AJ5867">
        <v>90.312171504001398</v>
      </c>
      <c r="AK5867">
        <v>60.796590591945801</v>
      </c>
      <c r="AL5867">
        <v>92.443478090608806</v>
      </c>
      <c r="AM5867">
        <v>90.715602567186295</v>
      </c>
      <c r="AN5867">
        <v>0.99999995765279803</v>
      </c>
    </row>
    <row r="5868" spans="1:40" x14ac:dyDescent="0.25">
      <c r="A5868" t="str">
        <f>"20190303153925331"</f>
        <v>20190303153925331</v>
      </c>
      <c r="B5868" t="str">
        <f>"1551598765324323"</f>
        <v>1551598765324323</v>
      </c>
      <c r="C5868" t="s">
        <v>40</v>
      </c>
      <c r="D5868">
        <v>3.8627669999999998</v>
      </c>
      <c r="E5868">
        <v>0.50219229999999904</v>
      </c>
      <c r="F5868" t="s">
        <v>42</v>
      </c>
      <c r="G5868">
        <v>-350.72030000000001</v>
      </c>
      <c r="H5868" s="1">
        <v>-4.4102569999999998E-6</v>
      </c>
      <c r="I5868">
        <v>141.75489999999999</v>
      </c>
      <c r="J5868">
        <v>-277.35079999999999</v>
      </c>
      <c r="K5868">
        <v>1.1207210000000001</v>
      </c>
      <c r="L5868">
        <v>141.5436</v>
      </c>
      <c r="M5868">
        <v>-0.9999188</v>
      </c>
      <c r="N5868">
        <v>-9.9690769999999998E-3</v>
      </c>
      <c r="O5868">
        <v>7.9424909999999994E-3</v>
      </c>
      <c r="P5868">
        <v>-0.99860729999999998</v>
      </c>
      <c r="Q5868">
        <v>-5.255369E-2</v>
      </c>
      <c r="R5868">
        <v>-4.6458289999999998E-3</v>
      </c>
      <c r="S5868">
        <v>-3.0018310000000001</v>
      </c>
      <c r="T5868">
        <v>-4.5730350000000003E-2</v>
      </c>
      <c r="U5868">
        <v>8.6822510000000002E-3</v>
      </c>
      <c r="V5868">
        <v>-1.2564179999999999E-2</v>
      </c>
      <c r="W5868">
        <v>-4.260042E-2</v>
      </c>
      <c r="X5868">
        <v>0.99901320000000005</v>
      </c>
      <c r="Y5868">
        <v>-5.0495590000000003E-3</v>
      </c>
      <c r="Z5868">
        <v>-1.054416E-4</v>
      </c>
      <c r="AA5868">
        <v>0.99998719999999996</v>
      </c>
      <c r="AB5868">
        <v>29</v>
      </c>
      <c r="AC5868">
        <v>-73.369500000000002</v>
      </c>
      <c r="AD5868">
        <v>-1.1207254102569999</v>
      </c>
      <c r="AE5868">
        <v>0.21129999999999399</v>
      </c>
      <c r="AF5868">
        <v>-0.37138554292052001</v>
      </c>
      <c r="AG5868">
        <v>-1.1207254102569999</v>
      </c>
      <c r="AH5868">
        <v>73.351748982188795</v>
      </c>
      <c r="AI5868">
        <v>90.875330419780497</v>
      </c>
      <c r="AJ5868">
        <v>90.290090456653203</v>
      </c>
      <c r="AK5868">
        <v>73.361250203446801</v>
      </c>
      <c r="AL5868">
        <v>92.441563106894804</v>
      </c>
      <c r="AM5868">
        <v>90.720547572654993</v>
      </c>
      <c r="AN5868">
        <v>1.00000001408874</v>
      </c>
    </row>
    <row r="5869" spans="1:40" x14ac:dyDescent="0.25">
      <c r="A5869" t="str">
        <f>"20190303153925353"</f>
        <v>20190303153925353</v>
      </c>
      <c r="B5869" t="str">
        <f>"1551598765344819"</f>
        <v>1551598765344819</v>
      </c>
      <c r="C5869" t="s">
        <v>40</v>
      </c>
      <c r="D5869">
        <v>3.8713730000000002</v>
      </c>
      <c r="E5869">
        <v>0.5016967</v>
      </c>
      <c r="F5869" t="s">
        <v>42</v>
      </c>
      <c r="G5869">
        <v>-337.75810000000001</v>
      </c>
      <c r="H5869" s="1">
        <v>-1.562105E-6</v>
      </c>
      <c r="I5869">
        <v>141.57769999999999</v>
      </c>
      <c r="J5869">
        <v>-277.6404</v>
      </c>
      <c r="K5869">
        <v>1.1207049999999901</v>
      </c>
      <c r="L5869">
        <v>141.54580000000001</v>
      </c>
      <c r="M5869">
        <v>-0.99992309999999995</v>
      </c>
      <c r="N5869">
        <v>-9.6758940000000009E-3</v>
      </c>
      <c r="O5869">
        <v>7.7552139999999999E-3</v>
      </c>
      <c r="P5869">
        <v>-0.99865380000000004</v>
      </c>
      <c r="Q5869">
        <v>-5.1621359999999998E-2</v>
      </c>
      <c r="R5869">
        <v>-5.0790389999999996E-3</v>
      </c>
      <c r="S5869">
        <v>-3.0012509999999999</v>
      </c>
      <c r="T5869">
        <v>-5.5681469999999997E-2</v>
      </c>
      <c r="U5869">
        <v>1.693726E-3</v>
      </c>
      <c r="V5869">
        <v>-1.2810810000000001E-2</v>
      </c>
      <c r="W5869">
        <v>-4.1960699999999997E-2</v>
      </c>
      <c r="X5869">
        <v>0.99903710000000001</v>
      </c>
      <c r="Y5869">
        <v>-7.189066E-3</v>
      </c>
      <c r="Z5869">
        <v>-1.7029750000000001E-4</v>
      </c>
      <c r="AA5869">
        <v>0.99997409999999998</v>
      </c>
      <c r="AB5869">
        <v>29</v>
      </c>
      <c r="AC5869">
        <v>-60.117699999999999</v>
      </c>
      <c r="AD5869">
        <v>-1.1207065621050001</v>
      </c>
      <c r="AE5869">
        <v>3.1899999999978897E-2</v>
      </c>
      <c r="AF5869">
        <v>-0.434197528756194</v>
      </c>
      <c r="AG5869">
        <v>-1.1207065621050001</v>
      </c>
      <c r="AH5869">
        <v>60.0952551025308</v>
      </c>
      <c r="AI5869">
        <v>91.068347880689799</v>
      </c>
      <c r="AJ5869">
        <v>90.413963680632804</v>
      </c>
      <c r="AK5869">
        <v>60.107272409672497</v>
      </c>
      <c r="AL5869">
        <v>92.404877146031694</v>
      </c>
      <c r="AM5869">
        <v>90.7346725336388</v>
      </c>
      <c r="AN5869">
        <v>0.99999997218687697</v>
      </c>
    </row>
    <row r="5870" spans="1:40" x14ac:dyDescent="0.25">
      <c r="A5870" t="str">
        <f>"20190303153925367"</f>
        <v>20190303153925367</v>
      </c>
      <c r="B5870" t="str">
        <f>"1551598765354579"</f>
        <v>1551598765354579</v>
      </c>
      <c r="C5870" t="s">
        <v>40</v>
      </c>
      <c r="D5870">
        <v>3.8726980000000002</v>
      </c>
      <c r="E5870">
        <v>0.50166270000000002</v>
      </c>
      <c r="F5870" t="s">
        <v>42</v>
      </c>
      <c r="G5870">
        <v>-336.4907</v>
      </c>
      <c r="H5870" s="1">
        <v>-2.134751E-6</v>
      </c>
      <c r="I5870">
        <v>141.47810000000001</v>
      </c>
      <c r="J5870">
        <v>-277.81650000000002</v>
      </c>
      <c r="K5870">
        <v>1.1206940000000001</v>
      </c>
      <c r="L5870">
        <v>141.547</v>
      </c>
      <c r="M5870">
        <v>-0.99992570000000003</v>
      </c>
      <c r="N5870">
        <v>-9.5120469999999992E-3</v>
      </c>
      <c r="O5870">
        <v>7.6413490000000004E-3</v>
      </c>
      <c r="P5870">
        <v>-0.99867070000000002</v>
      </c>
      <c r="Q5870">
        <v>-5.1266659999999999E-2</v>
      </c>
      <c r="R5870">
        <v>-5.3877719999999999E-3</v>
      </c>
      <c r="S5870">
        <v>-3.0010379999999999</v>
      </c>
      <c r="T5870">
        <v>-5.7149890000000002E-2</v>
      </c>
      <c r="U5870">
        <v>-3.4484860000000002E-3</v>
      </c>
      <c r="V5870">
        <v>-1.3006230000000001E-2</v>
      </c>
      <c r="W5870">
        <v>-4.176962E-2</v>
      </c>
      <c r="X5870">
        <v>0.9990426</v>
      </c>
      <c r="Y5870">
        <v>-8.7880179999999999E-3</v>
      </c>
      <c r="Z5870">
        <v>-1.982911E-4</v>
      </c>
      <c r="AA5870">
        <v>0.9999614</v>
      </c>
      <c r="AB5870">
        <v>29</v>
      </c>
      <c r="AC5870">
        <v>-58.6741999999999</v>
      </c>
      <c r="AD5870">
        <v>-1.1206961347510001</v>
      </c>
      <c r="AE5870">
        <v>-6.8899999999985001E-2</v>
      </c>
      <c r="AF5870">
        <v>-0.51707960873352599</v>
      </c>
      <c r="AG5870">
        <v>-1.1206961347510001</v>
      </c>
      <c r="AH5870">
        <v>58.650563303446702</v>
      </c>
      <c r="AI5870">
        <v>91.094633154021494</v>
      </c>
      <c r="AJ5870">
        <v>90.505122372744296</v>
      </c>
      <c r="AK5870">
        <v>58.663548366594902</v>
      </c>
      <c r="AL5870">
        <v>92.393919418813198</v>
      </c>
      <c r="AM5870">
        <v>90.745874089972304</v>
      </c>
      <c r="AN5870">
        <v>0.99999998989425798</v>
      </c>
    </row>
    <row r="5871" spans="1:40" x14ac:dyDescent="0.25">
      <c r="A5871" t="str">
        <f>"20190303153925381"</f>
        <v>20190303153925381</v>
      </c>
      <c r="B5871" t="str">
        <f>"1551598765374099"</f>
        <v>1551598765374099</v>
      </c>
      <c r="C5871" t="s">
        <v>40</v>
      </c>
      <c r="D5871">
        <v>3.8867910000000001</v>
      </c>
      <c r="E5871">
        <v>0.5012548</v>
      </c>
      <c r="F5871" t="s">
        <v>42</v>
      </c>
      <c r="G5871">
        <v>-337.92349999999999</v>
      </c>
      <c r="H5871" s="1">
        <v>-1.4506539999999999E-6</v>
      </c>
      <c r="I5871">
        <v>141.45259999999999</v>
      </c>
      <c r="J5871">
        <v>-277.99779999999998</v>
      </c>
      <c r="K5871">
        <v>1.1206799999999999</v>
      </c>
      <c r="L5871">
        <v>141.54830000000001</v>
      </c>
      <c r="M5871">
        <v>-0.99992800000000004</v>
      </c>
      <c r="N5871">
        <v>-9.358E-3</v>
      </c>
      <c r="O5871">
        <v>7.5243819999999996E-3</v>
      </c>
      <c r="P5871">
        <v>-0.99869010000000003</v>
      </c>
      <c r="Q5871">
        <v>-5.0879540000000001E-2</v>
      </c>
      <c r="R5871">
        <v>-5.459874E-3</v>
      </c>
      <c r="S5871">
        <v>-3.0011290000000002</v>
      </c>
      <c r="T5871">
        <v>-5.595613E-2</v>
      </c>
      <c r="U5871">
        <v>-4.7149660000000001E-3</v>
      </c>
      <c r="V5871">
        <v>-1.296158E-2</v>
      </c>
      <c r="W5871">
        <v>-4.1536249999999997E-2</v>
      </c>
      <c r="X5871">
        <v>0.99905290000000002</v>
      </c>
      <c r="Y5871">
        <v>-9.0930219999999992E-3</v>
      </c>
      <c r="Z5871">
        <v>-1.9718240000000001E-4</v>
      </c>
      <c r="AA5871">
        <v>0.99995860000000003</v>
      </c>
      <c r="AB5871">
        <v>29</v>
      </c>
      <c r="AC5871">
        <v>-59.925699999999999</v>
      </c>
      <c r="AD5871">
        <v>-1.1206814506539999</v>
      </c>
      <c r="AE5871">
        <v>-9.5700000000022101E-2</v>
      </c>
      <c r="AF5871">
        <v>-0.54642974529514099</v>
      </c>
      <c r="AG5871">
        <v>-1.1206814506539999</v>
      </c>
      <c r="AH5871">
        <v>59.9023334836807</v>
      </c>
      <c r="AI5871">
        <v>91.0717471821267</v>
      </c>
      <c r="AJ5871">
        <v>90.522638235179002</v>
      </c>
      <c r="AK5871">
        <v>59.915307469547997</v>
      </c>
      <c r="AL5871">
        <v>92.380536712266107</v>
      </c>
      <c r="AM5871">
        <v>90.743306151708495</v>
      </c>
      <c r="AN5871">
        <v>0.99999997980928401</v>
      </c>
    </row>
    <row r="5872" spans="1:40" x14ac:dyDescent="0.25">
      <c r="A5872" t="str">
        <f>"20190303153925394"</f>
        <v>20190303153925394</v>
      </c>
      <c r="B5872" t="str">
        <f>"1551598765384835"</f>
        <v>1551598765384835</v>
      </c>
      <c r="C5872" t="s">
        <v>40</v>
      </c>
      <c r="D5872">
        <v>3.8875730000000002</v>
      </c>
      <c r="E5872">
        <v>0.50118739999999995</v>
      </c>
      <c r="F5872" t="s">
        <v>42</v>
      </c>
      <c r="G5872">
        <v>-332.70589999999999</v>
      </c>
      <c r="H5872" s="1">
        <v>-3.9032430000000003E-6</v>
      </c>
      <c r="I5872">
        <v>141.4008</v>
      </c>
      <c r="J5872">
        <v>-278.16980000000001</v>
      </c>
      <c r="K5872">
        <v>1.120671</v>
      </c>
      <c r="L5872">
        <v>141.54949999999999</v>
      </c>
      <c r="M5872">
        <v>-0.99993010000000004</v>
      </c>
      <c r="N5872">
        <v>-9.2192420000000008E-3</v>
      </c>
      <c r="O5872">
        <v>7.4133489999999996E-3</v>
      </c>
      <c r="P5872">
        <v>-0.99870769999999998</v>
      </c>
      <c r="Q5872">
        <v>-5.0464299999999997E-2</v>
      </c>
      <c r="R5872">
        <v>-6.0460640000000003E-3</v>
      </c>
      <c r="S5872">
        <v>-3.0007320000000002</v>
      </c>
      <c r="T5872">
        <v>-6.1469320000000001E-2</v>
      </c>
      <c r="U5872">
        <v>-8.0871580000000005E-3</v>
      </c>
      <c r="V5872">
        <v>-1.343716E-2</v>
      </c>
      <c r="W5872">
        <v>-4.125968E-2</v>
      </c>
      <c r="X5872">
        <v>0.99905809999999995</v>
      </c>
      <c r="Y5872">
        <v>-1.0105070000000001E-2</v>
      </c>
      <c r="Z5872">
        <v>-2.3357839999999999E-4</v>
      </c>
      <c r="AA5872">
        <v>0.99994890000000003</v>
      </c>
      <c r="AB5872">
        <v>29</v>
      </c>
      <c r="AC5872">
        <v>-54.536099999999898</v>
      </c>
      <c r="AD5872">
        <v>-1.1206749032429999</v>
      </c>
      <c r="AE5872">
        <v>-0.14869999999999001</v>
      </c>
      <c r="AF5872">
        <v>-0.55277478768434696</v>
      </c>
      <c r="AG5872">
        <v>-1.1206749032429999</v>
      </c>
      <c r="AH5872">
        <v>54.510480832175503</v>
      </c>
      <c r="AI5872">
        <v>91.177711096116695</v>
      </c>
      <c r="AJ5872">
        <v>90.580999769192104</v>
      </c>
      <c r="AK5872">
        <v>54.5248016297137</v>
      </c>
      <c r="AL5872">
        <v>92.364676767612906</v>
      </c>
      <c r="AM5872">
        <v>90.770571939411795</v>
      </c>
      <c r="AN5872">
        <v>1.0000000028190801</v>
      </c>
    </row>
    <row r="5873" spans="1:40" x14ac:dyDescent="0.25">
      <c r="A5873" t="str">
        <f>"20190303153925408"</f>
        <v>20190303153925408</v>
      </c>
      <c r="B5873" t="str">
        <f>"1551598765404356"</f>
        <v>1551598765404356</v>
      </c>
      <c r="C5873" t="s">
        <v>40</v>
      </c>
      <c r="D5873">
        <v>3.9050310000000001</v>
      </c>
      <c r="E5873">
        <v>0.50093750000000004</v>
      </c>
      <c r="F5873" t="s">
        <v>42</v>
      </c>
      <c r="G5873">
        <v>-331.18869999999998</v>
      </c>
      <c r="H5873" s="1">
        <v>-4.5650999999999997E-6</v>
      </c>
      <c r="I5873">
        <v>141.3656</v>
      </c>
      <c r="J5873">
        <v>-278.35149999999999</v>
      </c>
      <c r="K5873">
        <v>1.1206499999999999</v>
      </c>
      <c r="L5873">
        <v>141.55070000000001</v>
      </c>
      <c r="M5873">
        <v>-0.99993209999999999</v>
      </c>
      <c r="N5873">
        <v>-9.0807679999999995E-3</v>
      </c>
      <c r="O5873">
        <v>7.2962259999999899E-3</v>
      </c>
      <c r="P5873">
        <v>-0.99873659999999997</v>
      </c>
      <c r="Q5873">
        <v>-4.9908969999999997E-2</v>
      </c>
      <c r="R5873">
        <v>-5.8470659999999997E-3</v>
      </c>
      <c r="S5873">
        <v>-3.00061</v>
      </c>
      <c r="T5873">
        <v>-6.3424709999999995E-2</v>
      </c>
      <c r="U5873">
        <v>-1.0406489999999999E-2</v>
      </c>
      <c r="V5873">
        <v>-1.312106E-2</v>
      </c>
      <c r="W5873">
        <v>-4.0842349999999999E-2</v>
      </c>
      <c r="X5873">
        <v>0.99907950000000001</v>
      </c>
      <c r="Y5873">
        <v>-1.0760530000000001E-2</v>
      </c>
      <c r="Z5873">
        <v>-2.5052849999999998E-4</v>
      </c>
      <c r="AA5873">
        <v>0.99994209999999994</v>
      </c>
      <c r="AB5873">
        <v>29</v>
      </c>
      <c r="AC5873">
        <v>-52.837200000000003</v>
      </c>
      <c r="AD5873">
        <v>-1.1206545650999999</v>
      </c>
      <c r="AE5873">
        <v>-0.18510000000000501</v>
      </c>
      <c r="AF5873">
        <v>-0.570366566047942</v>
      </c>
      <c r="AG5873">
        <v>-1.1206545650999999</v>
      </c>
      <c r="AH5873">
        <v>52.810686497384999</v>
      </c>
      <c r="AI5873">
        <v>91.215575923199296</v>
      </c>
      <c r="AJ5873">
        <v>90.618782459266697</v>
      </c>
      <c r="AK5873">
        <v>52.825654685948102</v>
      </c>
      <c r="AL5873">
        <v>92.340745228091905</v>
      </c>
      <c r="AM5873">
        <v>90.752430755403395</v>
      </c>
      <c r="AN5873">
        <v>1.0000000535446401</v>
      </c>
    </row>
    <row r="5874" spans="1:40" x14ac:dyDescent="0.25">
      <c r="A5874" t="str">
        <f>"20190303153925423"</f>
        <v>20190303153925423</v>
      </c>
      <c r="B5874" t="str">
        <f>"1551598765414116"</f>
        <v>1551598765414116</v>
      </c>
      <c r="C5874" t="s">
        <v>40</v>
      </c>
      <c r="D5874">
        <v>3.86693</v>
      </c>
      <c r="E5874">
        <v>0.50093809999999905</v>
      </c>
      <c r="F5874" t="s">
        <v>42</v>
      </c>
      <c r="G5874">
        <v>-328.70850000000002</v>
      </c>
      <c r="H5874" s="1">
        <v>-9.9912049999999992E-7</v>
      </c>
      <c r="I5874">
        <v>141.35550000000001</v>
      </c>
      <c r="J5874">
        <v>-278.54160000000002</v>
      </c>
      <c r="K5874">
        <v>1.120641</v>
      </c>
      <c r="L5874">
        <v>141.55199999999999</v>
      </c>
      <c r="M5874">
        <v>-0.99993430000000005</v>
      </c>
      <c r="N5874">
        <v>-8.9485119999999901E-3</v>
      </c>
      <c r="O5874">
        <v>7.1734009999999898E-3</v>
      </c>
      <c r="P5874">
        <v>-0.99874399999999997</v>
      </c>
      <c r="Q5874">
        <v>-4.9769389999999997E-2</v>
      </c>
      <c r="R5874">
        <v>-5.8183080000000003E-3</v>
      </c>
      <c r="S5874">
        <v>-3.000397</v>
      </c>
      <c r="T5874">
        <v>-6.6771269999999994E-2</v>
      </c>
      <c r="U5874">
        <v>-1.1627200000000001E-2</v>
      </c>
      <c r="V5874">
        <v>-1.296957E-2</v>
      </c>
      <c r="W5874">
        <v>-4.0834799999999997E-2</v>
      </c>
      <c r="X5874">
        <v>0.99908169999999996</v>
      </c>
      <c r="Y5874">
        <v>-1.104426E-2</v>
      </c>
      <c r="Z5874">
        <v>-2.677286E-4</v>
      </c>
      <c r="AA5874">
        <v>0.99993900000000002</v>
      </c>
      <c r="AB5874">
        <v>29</v>
      </c>
      <c r="AC5874">
        <v>-50.166899999999998</v>
      </c>
      <c r="AD5874">
        <v>-1.1206419991205001</v>
      </c>
      <c r="AE5874">
        <v>-0.196500000000014</v>
      </c>
      <c r="AF5874">
        <v>-0.55609913045200798</v>
      </c>
      <c r="AG5874">
        <v>-1.1206419991205001</v>
      </c>
      <c r="AH5874">
        <v>50.139180521250402</v>
      </c>
      <c r="AI5874">
        <v>91.280304561078907</v>
      </c>
      <c r="AJ5874">
        <v>90.635447696763094</v>
      </c>
      <c r="AK5874">
        <v>50.154785495260697</v>
      </c>
      <c r="AL5874">
        <v>92.340312486556499</v>
      </c>
      <c r="AM5874">
        <v>90.743742864117905</v>
      </c>
      <c r="AN5874">
        <v>0.99999996695595605</v>
      </c>
    </row>
    <row r="5875" spans="1:40" x14ac:dyDescent="0.25">
      <c r="A5875" t="str">
        <f>"20190303153925438"</f>
        <v>20190303153925438</v>
      </c>
      <c r="B5875" t="str">
        <f>"1551598765434611"</f>
        <v>1551598765434611</v>
      </c>
      <c r="C5875" t="s">
        <v>40</v>
      </c>
      <c r="D5875">
        <v>3.907308</v>
      </c>
      <c r="E5875">
        <v>0.50090279999999998</v>
      </c>
      <c r="F5875" t="s">
        <v>42</v>
      </c>
      <c r="G5875">
        <v>-328.8014</v>
      </c>
      <c r="H5875" s="1">
        <v>-9.6043689999999997E-7</v>
      </c>
      <c r="I5875">
        <v>141.35990000000001</v>
      </c>
      <c r="J5875">
        <v>-278.73540000000003</v>
      </c>
      <c r="K5875">
        <v>1.1206320000000001</v>
      </c>
      <c r="L5875">
        <v>141.55330000000001</v>
      </c>
      <c r="M5875">
        <v>-0.99993620000000005</v>
      </c>
      <c r="N5875">
        <v>-8.8227630000000008E-3</v>
      </c>
      <c r="O5875">
        <v>7.0483330000000004E-3</v>
      </c>
      <c r="P5875">
        <v>-0.99876050000000005</v>
      </c>
      <c r="Q5875">
        <v>-4.9452469999999998E-2</v>
      </c>
      <c r="R5875">
        <v>-5.662668E-3</v>
      </c>
      <c r="S5875">
        <v>-3.0003660000000001</v>
      </c>
      <c r="T5875">
        <v>-6.6899180000000003E-2</v>
      </c>
      <c r="U5875">
        <v>-1.145935E-2</v>
      </c>
      <c r="V5875">
        <v>-1.268907E-2</v>
      </c>
      <c r="W5875">
        <v>-4.0643289999999999E-2</v>
      </c>
      <c r="X5875">
        <v>0.99909309999999996</v>
      </c>
      <c r="Y5875">
        <v>-1.0863340000000001E-2</v>
      </c>
      <c r="Z5875">
        <v>-2.6398019999999999E-4</v>
      </c>
      <c r="AA5875">
        <v>0.99994090000000002</v>
      </c>
      <c r="AB5875">
        <v>29</v>
      </c>
      <c r="AC5875">
        <v>-50.065999999999903</v>
      </c>
      <c r="AD5875">
        <v>-1.1206329604368901</v>
      </c>
      <c r="AE5875">
        <v>-0.19339999999999599</v>
      </c>
      <c r="AF5875">
        <v>-0.54601723151391102</v>
      </c>
      <c r="AG5875">
        <v>-1.1206329604368901</v>
      </c>
      <c r="AH5875">
        <v>50.0383240576625</v>
      </c>
      <c r="AI5875">
        <v>91.282876444586705</v>
      </c>
      <c r="AJ5875">
        <v>90.625185633013402</v>
      </c>
      <c r="AK5875">
        <v>50.053849278040303</v>
      </c>
      <c r="AL5875">
        <v>92.329330680099304</v>
      </c>
      <c r="AM5875">
        <v>90.727650976214093</v>
      </c>
      <c r="AN5875">
        <v>0.99999995599354796</v>
      </c>
    </row>
    <row r="5876" spans="1:40" x14ac:dyDescent="0.25">
      <c r="A5876" t="str">
        <f>"20190303153925465"</f>
        <v>20190303153925465</v>
      </c>
      <c r="B5876" t="str">
        <f>"1551598765454131"</f>
        <v>1551598765454131</v>
      </c>
      <c r="C5876" t="s">
        <v>40</v>
      </c>
      <c r="D5876">
        <v>3.9155660000000001</v>
      </c>
      <c r="E5876">
        <v>0.50083800000000001</v>
      </c>
      <c r="F5876" t="s">
        <v>42</v>
      </c>
      <c r="G5876">
        <v>-330.73379999999997</v>
      </c>
      <c r="H5876" s="1">
        <v>-4.7384170000000001E-6</v>
      </c>
      <c r="I5876">
        <v>141.3578</v>
      </c>
      <c r="J5876">
        <v>-279.09280000000001</v>
      </c>
      <c r="K5876">
        <v>1.1206240000000001</v>
      </c>
      <c r="L5876">
        <v>141.55549999999999</v>
      </c>
      <c r="M5876">
        <v>-0.99993960000000004</v>
      </c>
      <c r="N5876">
        <v>-8.6169539999999996E-3</v>
      </c>
      <c r="O5876">
        <v>6.8179360000000001E-3</v>
      </c>
      <c r="P5876">
        <v>-0.99881140000000002</v>
      </c>
      <c r="Q5876">
        <v>-4.8494879999999997E-2</v>
      </c>
      <c r="R5876">
        <v>-4.9153640000000002E-3</v>
      </c>
      <c r="S5876">
        <v>-3.0004270000000002</v>
      </c>
      <c r="T5876">
        <v>-6.4663289999999998E-2</v>
      </c>
      <c r="U5876">
        <v>-1.127625E-2</v>
      </c>
      <c r="V5876">
        <v>-1.1712790000000001E-2</v>
      </c>
      <c r="W5876">
        <v>-3.9890589999999997E-2</v>
      </c>
      <c r="X5876">
        <v>0.99913540000000001</v>
      </c>
      <c r="Y5876">
        <v>-1.057223E-2</v>
      </c>
      <c r="Z5876">
        <v>-2.476391E-4</v>
      </c>
      <c r="AA5876">
        <v>0.9999441</v>
      </c>
      <c r="AB5876">
        <v>29</v>
      </c>
      <c r="AC5876">
        <v>-51.640999999999899</v>
      </c>
      <c r="AD5876">
        <v>-1.1206287384169999</v>
      </c>
      <c r="AE5876">
        <v>-0.19769999999999699</v>
      </c>
      <c r="AF5876">
        <v>-0.54953474501506505</v>
      </c>
      <c r="AG5876">
        <v>-1.1206287384169999</v>
      </c>
      <c r="AH5876">
        <v>51.6141466390728</v>
      </c>
      <c r="AI5876">
        <v>91.243720528855505</v>
      </c>
      <c r="AJ5876">
        <v>90.610003923026895</v>
      </c>
      <c r="AK5876">
        <v>51.6292352304879</v>
      </c>
      <c r="AL5876">
        <v>92.286169041845397</v>
      </c>
      <c r="AM5876">
        <v>90.6716433966225</v>
      </c>
      <c r="AN5876">
        <v>0.99999999807664597</v>
      </c>
    </row>
    <row r="5877" spans="1:40" x14ac:dyDescent="0.25">
      <c r="A5877" t="str">
        <f>"20190303153925487"</f>
        <v>20190303153925487</v>
      </c>
      <c r="B5877" t="str">
        <f>"1551598765474628"</f>
        <v>1551598765474628</v>
      </c>
      <c r="C5877" t="s">
        <v>40</v>
      </c>
      <c r="D5877">
        <v>3.9017460000000002</v>
      </c>
      <c r="E5877">
        <v>0.50076960000000004</v>
      </c>
      <c r="F5877" t="s">
        <v>42</v>
      </c>
      <c r="G5877">
        <v>-338.59100000000001</v>
      </c>
      <c r="H5877" s="1">
        <v>-1.1115470000000001E-6</v>
      </c>
      <c r="I5877">
        <v>141.364</v>
      </c>
      <c r="J5877">
        <v>-279.37610000000001</v>
      </c>
      <c r="K5877">
        <v>1.1206229999999999</v>
      </c>
      <c r="L5877">
        <v>141.5573</v>
      </c>
      <c r="M5877">
        <v>-0.99994209999999994</v>
      </c>
      <c r="N5877">
        <v>-8.4776290000000004E-3</v>
      </c>
      <c r="O5877">
        <v>6.6353849999999997E-3</v>
      </c>
      <c r="P5877">
        <v>-0.9988264</v>
      </c>
      <c r="Q5877">
        <v>-4.8157129999999999E-2</v>
      </c>
      <c r="R5877">
        <v>-5.1931570000000003E-3</v>
      </c>
      <c r="S5877">
        <v>-3.0008240000000002</v>
      </c>
      <c r="T5877">
        <v>-5.6519390000000003E-2</v>
      </c>
      <c r="U5877">
        <v>-9.6588130000000005E-3</v>
      </c>
      <c r="V5877">
        <v>-1.180817E-2</v>
      </c>
      <c r="W5877">
        <v>-3.9691999999999998E-2</v>
      </c>
      <c r="X5877">
        <v>0.99914219999999998</v>
      </c>
      <c r="Y5877">
        <v>-9.8513349999999993E-3</v>
      </c>
      <c r="Z5877">
        <v>-2.0324150000000001E-4</v>
      </c>
      <c r="AA5877">
        <v>0.99995149999999999</v>
      </c>
      <c r="AB5877">
        <v>29</v>
      </c>
      <c r="AC5877">
        <v>-59.2149</v>
      </c>
      <c r="AD5877">
        <v>-1.1206241115469999</v>
      </c>
      <c r="AE5877">
        <v>-0.19329999999999301</v>
      </c>
      <c r="AF5877">
        <v>-0.58601362853313299</v>
      </c>
      <c r="AG5877">
        <v>-1.1206241115469999</v>
      </c>
      <c r="AH5877">
        <v>59.191114930712097</v>
      </c>
      <c r="AI5877">
        <v>91.084558334659306</v>
      </c>
      <c r="AJ5877">
        <v>90.567230584246204</v>
      </c>
      <c r="AK5877">
        <v>59.204622261382397</v>
      </c>
      <c r="AL5877">
        <v>92.274781623093304</v>
      </c>
      <c r="AM5877">
        <v>90.677107631498401</v>
      </c>
      <c r="AN5877">
        <v>1.00000001178179</v>
      </c>
    </row>
    <row r="5878" spans="1:40" x14ac:dyDescent="0.25">
      <c r="A5878" t="str">
        <f>"20190303153925508"</f>
        <v>20190303153925508</v>
      </c>
      <c r="B5878" t="str">
        <f>"1551598765504885"</f>
        <v>1551598765504885</v>
      </c>
      <c r="C5878" t="s">
        <v>40</v>
      </c>
      <c r="D5878">
        <v>3.8903409999999998</v>
      </c>
      <c r="E5878">
        <v>0.50066390000000005</v>
      </c>
      <c r="F5878" t="s">
        <v>42</v>
      </c>
      <c r="G5878">
        <v>-344.84859999999998</v>
      </c>
      <c r="H5878" s="1">
        <v>-2.6449939999999999E-6</v>
      </c>
      <c r="I5878">
        <v>141.31780000000001</v>
      </c>
      <c r="J5878">
        <v>-279.6671</v>
      </c>
      <c r="K5878">
        <v>1.1206229999999999</v>
      </c>
      <c r="L5878">
        <v>141.559</v>
      </c>
      <c r="M5878">
        <v>-0.99994430000000001</v>
      </c>
      <c r="N5878">
        <v>-8.353002E-3</v>
      </c>
      <c r="O5878">
        <v>6.4480529999999996E-3</v>
      </c>
      <c r="P5878">
        <v>-0.9988378</v>
      </c>
      <c r="Q5878">
        <v>-4.7936600000000003E-2</v>
      </c>
      <c r="R5878">
        <v>-5.0439459999999997E-3</v>
      </c>
      <c r="S5878">
        <v>-3.001007</v>
      </c>
      <c r="T5878">
        <v>-5.1365260000000003E-2</v>
      </c>
      <c r="U5878">
        <v>-1.0971069999999999E-2</v>
      </c>
      <c r="V5878">
        <v>-1.147186E-2</v>
      </c>
      <c r="W5878">
        <v>-3.9595779999999997E-2</v>
      </c>
      <c r="X5878">
        <v>0.99914990000000004</v>
      </c>
      <c r="Y5878">
        <v>-1.0101479999999999E-2</v>
      </c>
      <c r="Z5878">
        <v>-1.85133E-4</v>
      </c>
      <c r="AA5878">
        <v>0.99994899999999998</v>
      </c>
      <c r="AB5878">
        <v>29</v>
      </c>
      <c r="AC5878">
        <v>-65.1814999999999</v>
      </c>
      <c r="AD5878">
        <v>-1.120625644994</v>
      </c>
      <c r="AE5878">
        <v>-0.241199999999992</v>
      </c>
      <c r="AF5878">
        <v>-0.66130795955962696</v>
      </c>
      <c r="AG5878">
        <v>-1.120625644994</v>
      </c>
      <c r="AH5878">
        <v>65.159330114030595</v>
      </c>
      <c r="AI5878">
        <v>90.985238567355495</v>
      </c>
      <c r="AJ5878">
        <v>90.581480105901207</v>
      </c>
      <c r="AK5878">
        <v>65.172321049375</v>
      </c>
      <c r="AL5878">
        <v>92.269264367118595</v>
      </c>
      <c r="AM5878">
        <v>90.657819492847096</v>
      </c>
      <c r="AN5878">
        <v>0.99999997601783797</v>
      </c>
    </row>
    <row r="5879" spans="1:40" x14ac:dyDescent="0.25">
      <c r="A5879" t="str">
        <f>"20190303153925532"</f>
        <v>20190303153925532</v>
      </c>
      <c r="B5879" t="str">
        <f>"1551598765524407"</f>
        <v>1551598765524407</v>
      </c>
      <c r="C5879" t="s">
        <v>40</v>
      </c>
      <c r="D5879">
        <v>3.8986550000000002</v>
      </c>
      <c r="E5879">
        <v>0.50059480000000001</v>
      </c>
      <c r="F5879" t="s">
        <v>42</v>
      </c>
      <c r="G5879">
        <v>-340.28070000000002</v>
      </c>
      <c r="H5879" s="1">
        <v>-4.4845680000000002E-6</v>
      </c>
      <c r="I5879">
        <v>141.3306</v>
      </c>
      <c r="J5879">
        <v>-279.9676</v>
      </c>
      <c r="K5879">
        <v>1.120614</v>
      </c>
      <c r="L5879">
        <v>141.5608</v>
      </c>
      <c r="M5879">
        <v>-0.99994649999999996</v>
      </c>
      <c r="N5879">
        <v>-8.2449469999999903E-3</v>
      </c>
      <c r="O5879">
        <v>6.2548019999999899E-3</v>
      </c>
      <c r="P5879">
        <v>-0.9988496</v>
      </c>
      <c r="Q5879">
        <v>-4.7618550000000003E-2</v>
      </c>
      <c r="R5879">
        <v>-5.6734380000000003E-3</v>
      </c>
      <c r="S5879">
        <v>-3.0007630000000001</v>
      </c>
      <c r="T5879">
        <v>-5.5478329999999999E-2</v>
      </c>
      <c r="U5879">
        <v>-1.1306760000000001E-2</v>
      </c>
      <c r="V5879">
        <v>-1.190836E-2</v>
      </c>
      <c r="W5879">
        <v>-3.9385789999999997E-2</v>
      </c>
      <c r="X5879">
        <v>0.99915310000000002</v>
      </c>
      <c r="Y5879">
        <v>-1.0020029999999999E-2</v>
      </c>
      <c r="Z5879">
        <v>-1.9799039999999999E-4</v>
      </c>
      <c r="AA5879">
        <v>0.9999498</v>
      </c>
      <c r="AB5879">
        <v>29</v>
      </c>
      <c r="AC5879">
        <v>-60.313099999999999</v>
      </c>
      <c r="AD5879">
        <v>-1.1206184845680001</v>
      </c>
      <c r="AE5879">
        <v>-0.23019999999999599</v>
      </c>
      <c r="AF5879">
        <v>-0.60724517018431101</v>
      </c>
      <c r="AG5879">
        <v>-1.1206184845680001</v>
      </c>
      <c r="AH5879">
        <v>60.289667483874403</v>
      </c>
      <c r="AI5879">
        <v>91.0647937568678</v>
      </c>
      <c r="AJ5879">
        <v>90.577070837538898</v>
      </c>
      <c r="AK5879">
        <v>60.303138706047498</v>
      </c>
      <c r="AL5879">
        <v>92.257223416758407</v>
      </c>
      <c r="AM5879">
        <v>90.682844766166099</v>
      </c>
      <c r="AN5879">
        <v>0.99999998336571105</v>
      </c>
    </row>
    <row r="5880" spans="1:40" x14ac:dyDescent="0.25">
      <c r="A5880" t="str">
        <f>"20190303153925554"</f>
        <v>20190303153925554</v>
      </c>
      <c r="B5880" t="str">
        <f>"1551598765544900"</f>
        <v>1551598765544900</v>
      </c>
      <c r="C5880" t="s">
        <v>40</v>
      </c>
      <c r="D5880">
        <v>3.9219200000000001</v>
      </c>
      <c r="E5880">
        <v>0.50051389999999996</v>
      </c>
      <c r="F5880" t="s">
        <v>42</v>
      </c>
      <c r="G5880">
        <v>-338.65440000000001</v>
      </c>
      <c r="H5880" s="1">
        <v>-1.062146E-6</v>
      </c>
      <c r="I5880">
        <v>141.291</v>
      </c>
      <c r="J5880">
        <v>-280.26749999999998</v>
      </c>
      <c r="K5880">
        <v>1.1206</v>
      </c>
      <c r="L5880">
        <v>141.5624</v>
      </c>
      <c r="M5880">
        <v>-0.99994830000000001</v>
      </c>
      <c r="N5880">
        <v>-8.1684240000000005E-3</v>
      </c>
      <c r="O5880">
        <v>6.0618269999999997E-3</v>
      </c>
      <c r="P5880">
        <v>-0.99883690000000003</v>
      </c>
      <c r="Q5880">
        <v>-4.7832550000000001E-2</v>
      </c>
      <c r="R5880">
        <v>-6.0808800000000003E-3</v>
      </c>
      <c r="S5880">
        <v>-3.0006409999999999</v>
      </c>
      <c r="T5880">
        <v>-5.729675E-2</v>
      </c>
      <c r="U5880">
        <v>-1.3793949999999999E-2</v>
      </c>
      <c r="V5880">
        <v>-1.2122620000000001E-2</v>
      </c>
      <c r="W5880">
        <v>-3.9676450000000002E-2</v>
      </c>
      <c r="X5880">
        <v>0.999139</v>
      </c>
      <c r="Y5880">
        <v>-1.0655700000000001E-2</v>
      </c>
      <c r="Z5880">
        <v>-2.1147599999999999E-4</v>
      </c>
      <c r="AA5880">
        <v>0.99994320000000003</v>
      </c>
      <c r="AB5880">
        <v>30</v>
      </c>
      <c r="AC5880">
        <v>-58.386899999999997</v>
      </c>
      <c r="AD5880">
        <v>-1.1206010621459901</v>
      </c>
      <c r="AE5880">
        <v>-0.27139999999999898</v>
      </c>
      <c r="AF5880">
        <v>-0.62510783662943303</v>
      </c>
      <c r="AG5880">
        <v>-1.1206010621459901</v>
      </c>
      <c r="AH5880">
        <v>58.362683996429297</v>
      </c>
      <c r="AI5880">
        <v>91.099917574619695</v>
      </c>
      <c r="AJ5880">
        <v>90.613657029031202</v>
      </c>
      <c r="AK5880">
        <v>58.376788108073903</v>
      </c>
      <c r="AL5880">
        <v>92.273890089249903</v>
      </c>
      <c r="AM5880">
        <v>90.695139397576895</v>
      </c>
      <c r="AN5880">
        <v>0.99999995996063196</v>
      </c>
    </row>
    <row r="5881" spans="1:40" x14ac:dyDescent="0.25">
      <c r="A5881" t="str">
        <f>"20190303153925576"</f>
        <v>20190303153925576</v>
      </c>
      <c r="B5881" t="str">
        <f>"1551598765564420"</f>
        <v>1551598765564420</v>
      </c>
      <c r="C5881" t="s">
        <v>40</v>
      </c>
      <c r="D5881">
        <v>3.880099</v>
      </c>
      <c r="E5881">
        <v>0.50045309999999998</v>
      </c>
      <c r="F5881" t="s">
        <v>42</v>
      </c>
      <c r="G5881">
        <v>-342.79079999999999</v>
      </c>
      <c r="H5881" s="1">
        <v>-3.5054470000000002E-6</v>
      </c>
      <c r="I5881">
        <v>141.23390000000001</v>
      </c>
      <c r="J5881">
        <v>-280.5496</v>
      </c>
      <c r="K5881">
        <v>1.1205989999999999</v>
      </c>
      <c r="L5881">
        <v>141.56399999999999</v>
      </c>
      <c r="M5881">
        <v>-0.99994959999999999</v>
      </c>
      <c r="N5881">
        <v>-8.1206619999999903E-3</v>
      </c>
      <c r="O5881">
        <v>5.8806489999999999E-3</v>
      </c>
      <c r="P5881">
        <v>-0.99884119999999998</v>
      </c>
      <c r="Q5881">
        <v>-4.7707890000000003E-2</v>
      </c>
      <c r="R5881">
        <v>-6.3322250000000004E-3</v>
      </c>
      <c r="S5881">
        <v>-3.0008240000000002</v>
      </c>
      <c r="T5881">
        <v>-5.3783770000000002E-2</v>
      </c>
      <c r="U5881">
        <v>-1.5762330000000001E-2</v>
      </c>
      <c r="V5881">
        <v>-1.219317E-2</v>
      </c>
      <c r="W5881">
        <v>-3.9599519999999999E-2</v>
      </c>
      <c r="X5881">
        <v>0.99914119999999995</v>
      </c>
      <c r="Y5881">
        <v>-1.113039E-2</v>
      </c>
      <c r="Z5881">
        <v>-2.025722E-4</v>
      </c>
      <c r="AA5881">
        <v>0.99993799999999999</v>
      </c>
      <c r="AB5881">
        <v>30</v>
      </c>
      <c r="AC5881">
        <v>-62.2411999999999</v>
      </c>
      <c r="AD5881">
        <v>-1.1206025054469999</v>
      </c>
      <c r="AE5881">
        <v>-0.33009999999998701</v>
      </c>
      <c r="AF5881">
        <v>-0.695899490871277</v>
      </c>
      <c r="AG5881">
        <v>-1.1206025054469999</v>
      </c>
      <c r="AH5881">
        <v>62.218014979536498</v>
      </c>
      <c r="AI5881">
        <v>91.031772524302895</v>
      </c>
      <c r="AJ5881">
        <v>90.640818278279795</v>
      </c>
      <c r="AK5881">
        <v>62.231996706440597</v>
      </c>
      <c r="AL5881">
        <v>92.269478843241401</v>
      </c>
      <c r="AM5881">
        <v>90.6991829598376</v>
      </c>
      <c r="AN5881">
        <v>0.99999996645815903</v>
      </c>
    </row>
    <row r="5882" spans="1:40" x14ac:dyDescent="0.25">
      <c r="A5882" t="str">
        <f>"20190303153925598"</f>
        <v>20190303153925598</v>
      </c>
      <c r="B5882" t="str">
        <f>"1551598765594677"</f>
        <v>1551598765594677</v>
      </c>
      <c r="C5882" t="s">
        <v>40</v>
      </c>
      <c r="D5882">
        <v>3.868404</v>
      </c>
      <c r="E5882">
        <v>0.50048329999999996</v>
      </c>
      <c r="F5882" t="s">
        <v>42</v>
      </c>
      <c r="G5882">
        <v>-346.65379999999999</v>
      </c>
      <c r="H5882" s="1">
        <v>-1.836312E-6</v>
      </c>
      <c r="I5882">
        <v>141.1891</v>
      </c>
      <c r="J5882">
        <v>-280.85250000000002</v>
      </c>
      <c r="K5882">
        <v>1.120603</v>
      </c>
      <c r="L5882">
        <v>141.56559999999999</v>
      </c>
      <c r="M5882">
        <v>-0.99995109999999998</v>
      </c>
      <c r="N5882">
        <v>-8.1025869999999996E-3</v>
      </c>
      <c r="O5882">
        <v>5.6862290000000001E-3</v>
      </c>
      <c r="P5882">
        <v>-0.99885889999999999</v>
      </c>
      <c r="Q5882">
        <v>-4.7187029999999998E-2</v>
      </c>
      <c r="R5882">
        <v>-7.3698359999999899E-3</v>
      </c>
      <c r="S5882">
        <v>-3.0009459999999999</v>
      </c>
      <c r="T5882">
        <v>-5.0872210000000001E-2</v>
      </c>
      <c r="U5882">
        <v>-1.7013549999999999E-2</v>
      </c>
      <c r="V5882">
        <v>-1.30367E-2</v>
      </c>
      <c r="W5882">
        <v>-3.9096939999999997E-2</v>
      </c>
      <c r="X5882">
        <v>0.99915039999999999</v>
      </c>
      <c r="Y5882">
        <v>-1.1352910000000001E-2</v>
      </c>
      <c r="Z5882">
        <v>-1.9253360000000001E-4</v>
      </c>
      <c r="AA5882">
        <v>0.99993549999999998</v>
      </c>
      <c r="AB5882">
        <v>30</v>
      </c>
      <c r="AC5882">
        <v>-65.801299999999898</v>
      </c>
      <c r="AD5882">
        <v>-1.120604836312</v>
      </c>
      <c r="AE5882">
        <v>-0.37649999999999201</v>
      </c>
      <c r="AF5882">
        <v>-0.75044977847590399</v>
      </c>
      <c r="AG5882">
        <v>-1.120604836312</v>
      </c>
      <c r="AH5882">
        <v>65.779018241505099</v>
      </c>
      <c r="AI5882">
        <v>90.975927313646295</v>
      </c>
      <c r="AJ5882">
        <v>90.653639121628601</v>
      </c>
      <c r="AK5882">
        <v>65.792842854564697</v>
      </c>
      <c r="AL5882">
        <v>92.2406606821298</v>
      </c>
      <c r="AM5882">
        <v>90.747540615640403</v>
      </c>
      <c r="AN5882">
        <v>1.0000000240422</v>
      </c>
    </row>
    <row r="5883" spans="1:40" x14ac:dyDescent="0.25">
      <c r="A5883" t="str">
        <f>"20190303153925622"</f>
        <v>20190303153925622</v>
      </c>
      <c r="B5883" t="str">
        <f>"1551598765614199"</f>
        <v>1551598765614199</v>
      </c>
      <c r="C5883" t="s">
        <v>40</v>
      </c>
      <c r="D5883">
        <v>3.8688009999999999</v>
      </c>
      <c r="E5883">
        <v>0.5007547</v>
      </c>
      <c r="F5883" t="s">
        <v>42</v>
      </c>
      <c r="G5883">
        <v>-355.58069999999998</v>
      </c>
      <c r="H5883" s="1">
        <v>-2.2635430000000001E-6</v>
      </c>
      <c r="I5883">
        <v>141.06469999999999</v>
      </c>
      <c r="J5883">
        <v>-281.16090000000003</v>
      </c>
      <c r="K5883">
        <v>1.1206259999999999</v>
      </c>
      <c r="L5883">
        <v>141.56710000000001</v>
      </c>
      <c r="M5883">
        <v>-0.9999517</v>
      </c>
      <c r="N5883">
        <v>-8.1578880000000003E-3</v>
      </c>
      <c r="O5883">
        <v>5.4888150000000002E-3</v>
      </c>
      <c r="P5883">
        <v>-0.99884879999999998</v>
      </c>
      <c r="Q5883">
        <v>-4.721649E-2</v>
      </c>
      <c r="R5883">
        <v>-8.4876190000000001E-3</v>
      </c>
      <c r="S5883">
        <v>-3.0011899999999998</v>
      </c>
      <c r="T5883">
        <v>-4.5005080000000003E-2</v>
      </c>
      <c r="U5883">
        <v>-2.011108E-2</v>
      </c>
      <c r="V5883">
        <v>-1.395717E-2</v>
      </c>
      <c r="W5883">
        <v>-3.907157E-2</v>
      </c>
      <c r="X5883">
        <v>0.999139</v>
      </c>
      <c r="Y5883">
        <v>-1.2187419999999999E-2</v>
      </c>
      <c r="Z5883">
        <v>-1.786182E-4</v>
      </c>
      <c r="AA5883">
        <v>0.99992570000000003</v>
      </c>
      <c r="AB5883">
        <v>30</v>
      </c>
      <c r="AC5883">
        <v>-74.419799999999896</v>
      </c>
      <c r="AD5883">
        <v>-1.120628263543</v>
      </c>
      <c r="AE5883">
        <v>-0.50240000000002205</v>
      </c>
      <c r="AF5883">
        <v>-0.91067603672924402</v>
      </c>
      <c r="AG5883">
        <v>-1.120628263543</v>
      </c>
      <c r="AH5883">
        <v>74.399052047118403</v>
      </c>
      <c r="AI5883">
        <v>90.862882049062193</v>
      </c>
      <c r="AJ5883">
        <v>90.7012896845265</v>
      </c>
      <c r="AK5883">
        <v>74.413063934088598</v>
      </c>
      <c r="AL5883">
        <v>92.239205883287894</v>
      </c>
      <c r="AM5883">
        <v>90.800324003439101</v>
      </c>
      <c r="AN5883">
        <v>1.0000000657488299</v>
      </c>
    </row>
    <row r="5884" spans="1:40" x14ac:dyDescent="0.25">
      <c r="A5884" t="str">
        <f>"20190303153925644"</f>
        <v>20190303153925644</v>
      </c>
      <c r="B5884" t="str">
        <f>"1551598765634692"</f>
        <v>1551598765634692</v>
      </c>
      <c r="C5884" t="s">
        <v>40</v>
      </c>
      <c r="D5884">
        <v>3.8239179999999999</v>
      </c>
      <c r="E5884">
        <v>0.50777519999999998</v>
      </c>
      <c r="F5884" t="s">
        <v>42</v>
      </c>
      <c r="G5884">
        <v>-362.2131</v>
      </c>
      <c r="H5884" s="1">
        <v>-3.6891930000000002E-6</v>
      </c>
      <c r="I5884">
        <v>140.99299999999999</v>
      </c>
      <c r="J5884">
        <v>-281.46409999999997</v>
      </c>
      <c r="K5884">
        <v>1.1206719999999999</v>
      </c>
      <c r="L5884">
        <v>141.5686</v>
      </c>
      <c r="M5884">
        <v>-0.99995129999999999</v>
      </c>
      <c r="N5884">
        <v>-8.3438609999999993E-3</v>
      </c>
      <c r="O5884">
        <v>5.2942850000000001E-3</v>
      </c>
      <c r="P5884">
        <v>-0.99878350000000005</v>
      </c>
      <c r="Q5884">
        <v>-4.8404219999999998E-2</v>
      </c>
      <c r="R5884">
        <v>-9.4247979999999999E-3</v>
      </c>
      <c r="S5884">
        <v>-3.001312</v>
      </c>
      <c r="T5884">
        <v>-4.1496280000000003E-2</v>
      </c>
      <c r="U5884">
        <v>-2.1255489999999998E-2</v>
      </c>
      <c r="V5884">
        <v>-1.4698859999999999E-2</v>
      </c>
      <c r="W5884">
        <v>-4.0074319999999997E-2</v>
      </c>
      <c r="X5884">
        <v>0.99908859999999999</v>
      </c>
      <c r="Y5884">
        <v>-1.237415E-2</v>
      </c>
      <c r="Z5884">
        <v>-1.6618779999999999E-4</v>
      </c>
      <c r="AA5884">
        <v>0.99992340000000002</v>
      </c>
      <c r="AB5884">
        <v>30</v>
      </c>
      <c r="AC5884">
        <v>-80.748999999999995</v>
      </c>
      <c r="AD5884">
        <v>-1.1206756891930001</v>
      </c>
      <c r="AE5884">
        <v>-0.57560000000000799</v>
      </c>
      <c r="AF5884">
        <v>-1.0029218145113199</v>
      </c>
      <c r="AG5884">
        <v>-1.1206756891930001</v>
      </c>
      <c r="AH5884">
        <v>80.729272024998394</v>
      </c>
      <c r="AI5884">
        <v>90.795261842476606</v>
      </c>
      <c r="AJ5884">
        <v>90.711764515394705</v>
      </c>
      <c r="AK5884">
        <v>80.743279149738299</v>
      </c>
      <c r="AL5884">
        <v>92.296704371350998</v>
      </c>
      <c r="AM5884">
        <v>90.842890095860398</v>
      </c>
      <c r="AN5884">
        <v>1.0000000191293601</v>
      </c>
    </row>
    <row r="5885" spans="1:40" x14ac:dyDescent="0.25">
      <c r="A5885" t="str">
        <f>"20190303153925754"</f>
        <v>20190303153925754</v>
      </c>
      <c r="B5885" t="str">
        <f>"1551598765744004"</f>
        <v>1551598765744004</v>
      </c>
      <c r="C5885" t="s">
        <v>40</v>
      </c>
      <c r="D5885">
        <v>3.81576</v>
      </c>
      <c r="E5885">
        <v>0.50943590000000005</v>
      </c>
      <c r="F5885" t="s">
        <v>46</v>
      </c>
      <c r="G5885">
        <v>0</v>
      </c>
      <c r="H5885">
        <v>0</v>
      </c>
      <c r="I5885">
        <v>0</v>
      </c>
      <c r="J5885">
        <v>-282.9282</v>
      </c>
      <c r="K5885">
        <v>1.1210629999999999</v>
      </c>
      <c r="L5885">
        <v>141.57480000000001</v>
      </c>
      <c r="M5885">
        <v>-0.99993410000000005</v>
      </c>
      <c r="N5885">
        <v>-1.0616459999999999E-2</v>
      </c>
      <c r="O5885">
        <v>4.368584E-3</v>
      </c>
      <c r="P5885">
        <v>-0.99865219999999999</v>
      </c>
      <c r="Q5885">
        <v>-5.094257E-2</v>
      </c>
      <c r="R5885">
        <v>-9.9387199999999998E-3</v>
      </c>
      <c r="S5885">
        <v>-3.0058590000000001</v>
      </c>
      <c r="T5885">
        <v>3.9039129999999998E-2</v>
      </c>
      <c r="U5885">
        <v>3.0303960000000001E-2</v>
      </c>
      <c r="V5885">
        <v>-1.428804E-2</v>
      </c>
      <c r="W5885">
        <v>-4.0342940000000001E-2</v>
      </c>
      <c r="X5885">
        <v>0.99908379999999997</v>
      </c>
      <c r="Y5885">
        <v>5.7135409999999999E-3</v>
      </c>
      <c r="Z5885" s="1">
        <v>9.6339650000000005E-5</v>
      </c>
      <c r="AA5885">
        <v>0.99998370000000003</v>
      </c>
      <c r="AB5885">
        <v>30</v>
      </c>
      <c r="AC5885">
        <v>-3.0058590000000001</v>
      </c>
      <c r="AD5885">
        <v>3.9039129999999998E-2</v>
      </c>
      <c r="AE5885">
        <v>3.0303960000000001E-2</v>
      </c>
      <c r="AF5885">
        <v>1.7168687460650599E-2</v>
      </c>
      <c r="AG5885">
        <v>3.9039129999999998E-2</v>
      </c>
      <c r="AH5885">
        <v>3.0054557986569401</v>
      </c>
      <c r="AI5885">
        <v>89.255815005020295</v>
      </c>
      <c r="AJ5885">
        <v>89.672701015359493</v>
      </c>
      <c r="AK5885">
        <v>3.0057583693938001</v>
      </c>
      <c r="AL5885">
        <v>92.312107501860197</v>
      </c>
      <c r="AM5885">
        <v>90.819339264546997</v>
      </c>
      <c r="AN5885">
        <v>1.00000007015866</v>
      </c>
    </row>
    <row r="5886" spans="1:40" x14ac:dyDescent="0.25">
      <c r="A5886" t="str">
        <f>"20190303153925777"</f>
        <v>20190303153925777</v>
      </c>
      <c r="B5886" t="str">
        <f>"1551598765774260"</f>
        <v>1551598765774260</v>
      </c>
      <c r="C5886" t="s">
        <v>40</v>
      </c>
      <c r="D5886">
        <v>3.82836</v>
      </c>
      <c r="E5886">
        <v>0.51098250000000001</v>
      </c>
      <c r="F5886" t="s">
        <v>46</v>
      </c>
      <c r="G5886">
        <v>0</v>
      </c>
      <c r="H5886">
        <v>0</v>
      </c>
      <c r="I5886">
        <v>0</v>
      </c>
      <c r="J5886">
        <v>-283.22309999999999</v>
      </c>
      <c r="K5886">
        <v>1.1211</v>
      </c>
      <c r="L5886">
        <v>141.57589999999999</v>
      </c>
      <c r="M5886">
        <v>-0.9999304</v>
      </c>
      <c r="N5886">
        <v>-1.104275E-2</v>
      </c>
      <c r="O5886">
        <v>4.1802810000000001E-3</v>
      </c>
      <c r="P5886">
        <v>-0.99864459999999999</v>
      </c>
      <c r="Q5886">
        <v>-5.1236909999999997E-2</v>
      </c>
      <c r="R5886">
        <v>-9.1757980000000006E-3</v>
      </c>
      <c r="S5886">
        <v>-3.0080260000000001</v>
      </c>
      <c r="T5886">
        <v>7.0145849999999996E-2</v>
      </c>
      <c r="U5886">
        <v>4.1290279999999999E-2</v>
      </c>
      <c r="V5886">
        <v>-1.333721E-2</v>
      </c>
      <c r="W5886">
        <v>-4.0211049999999998E-2</v>
      </c>
      <c r="X5886">
        <v>0.99910220000000005</v>
      </c>
      <c r="Y5886">
        <v>9.5462529999999993E-3</v>
      </c>
      <c r="Z5886" s="1">
        <v>8.5045229999999999E-5</v>
      </c>
      <c r="AA5886">
        <v>0.99995440000000002</v>
      </c>
      <c r="AB5886">
        <v>30</v>
      </c>
      <c r="AC5886">
        <v>-3.0080260000000001</v>
      </c>
      <c r="AD5886">
        <v>7.0145849999999996E-2</v>
      </c>
      <c r="AE5886">
        <v>4.1290279999999999E-2</v>
      </c>
      <c r="AF5886">
        <v>2.86991561823484E-2</v>
      </c>
      <c r="AG5886">
        <v>7.0145849999999996E-2</v>
      </c>
      <c r="AH5886">
        <v>3.0065376767467402</v>
      </c>
      <c r="AI5886">
        <v>88.663529419253294</v>
      </c>
      <c r="AJ5886">
        <v>89.453094967946896</v>
      </c>
      <c r="AK5886">
        <v>3.00749279027157</v>
      </c>
      <c r="AL5886">
        <v>92.304544768753502</v>
      </c>
      <c r="AM5886">
        <v>90.764807100440095</v>
      </c>
      <c r="AN5886">
        <v>1.0000000078787601</v>
      </c>
    </row>
    <row r="5887" spans="1:40" x14ac:dyDescent="0.25">
      <c r="A5887" t="str">
        <f>"20190303153925799"</f>
        <v>20190303153925799</v>
      </c>
      <c r="B5887" t="str">
        <f>"1551598765794755"</f>
        <v>1551598765794755</v>
      </c>
      <c r="C5887" t="s">
        <v>40</v>
      </c>
      <c r="D5887">
        <v>3.8373330000000001</v>
      </c>
      <c r="E5887">
        <v>0.5086309</v>
      </c>
      <c r="F5887" t="s">
        <v>46</v>
      </c>
      <c r="G5887">
        <v>0</v>
      </c>
      <c r="H5887">
        <v>0</v>
      </c>
      <c r="I5887">
        <v>0</v>
      </c>
      <c r="J5887">
        <v>-283.5231</v>
      </c>
      <c r="K5887">
        <v>1.12113</v>
      </c>
      <c r="L5887">
        <v>141.57689999999999</v>
      </c>
      <c r="M5887">
        <v>-0.99992669999999995</v>
      </c>
      <c r="N5887">
        <v>-1.14392E-2</v>
      </c>
      <c r="O5887">
        <v>3.9851289999999996E-3</v>
      </c>
      <c r="P5887">
        <v>-0.9986119</v>
      </c>
      <c r="Q5887">
        <v>-5.1922500000000003E-2</v>
      </c>
      <c r="R5887">
        <v>-8.8606689999999998E-3</v>
      </c>
      <c r="S5887">
        <v>-3.0081790000000002</v>
      </c>
      <c r="T5887">
        <v>6.9833279999999998E-2</v>
      </c>
      <c r="U5887">
        <v>5.5740360000000003E-2</v>
      </c>
      <c r="V5887">
        <v>-1.2826829999999999E-2</v>
      </c>
      <c r="W5887">
        <v>-4.0500700000000001E-2</v>
      </c>
      <c r="X5887">
        <v>0.99909720000000002</v>
      </c>
      <c r="Y5887">
        <v>1.4541979999999999E-2</v>
      </c>
      <c r="Z5887" s="1">
        <v>5.2501709999999898E-5</v>
      </c>
      <c r="AA5887">
        <v>0.99989430000000001</v>
      </c>
      <c r="AB5887">
        <v>30</v>
      </c>
      <c r="AC5887">
        <v>-3.0081790000000002</v>
      </c>
      <c r="AD5887">
        <v>6.9833279999999998E-2</v>
      </c>
      <c r="AE5887">
        <v>5.5740360000000003E-2</v>
      </c>
      <c r="AF5887">
        <v>4.3727595165362398E-2</v>
      </c>
      <c r="AG5887">
        <v>6.9833279999999998E-2</v>
      </c>
      <c r="AH5887">
        <v>3.00675743669983</v>
      </c>
      <c r="AI5887">
        <v>88.669659836438797</v>
      </c>
      <c r="AJ5887">
        <v>89.166800084949301</v>
      </c>
      <c r="AK5887">
        <v>3.0078861469018801</v>
      </c>
      <c r="AL5887">
        <v>92.321153982645995</v>
      </c>
      <c r="AM5887">
        <v>90.735546901350006</v>
      </c>
      <c r="AN5887">
        <v>1.00000002465808</v>
      </c>
    </row>
    <row r="5888" spans="1:40" x14ac:dyDescent="0.25">
      <c r="A5888" t="str">
        <f>"20190303153925823"</f>
        <v>20190303153925823</v>
      </c>
      <c r="B5888" t="str">
        <f>"1551598765814276"</f>
        <v>1551598765814276</v>
      </c>
      <c r="C5888" t="s">
        <v>40</v>
      </c>
      <c r="D5888">
        <v>3.8258450000000002</v>
      </c>
      <c r="E5888">
        <v>0.50706709999999899</v>
      </c>
      <c r="F5888" t="s">
        <v>46</v>
      </c>
      <c r="G5888">
        <v>0</v>
      </c>
      <c r="H5888">
        <v>0</v>
      </c>
      <c r="I5888">
        <v>0</v>
      </c>
      <c r="J5888">
        <v>-283.82920000000001</v>
      </c>
      <c r="K5888">
        <v>1.121157</v>
      </c>
      <c r="L5888">
        <v>141.5779</v>
      </c>
      <c r="M5888">
        <v>-0.99992329999999996</v>
      </c>
      <c r="N5888">
        <v>-1.1802440000000001E-2</v>
      </c>
      <c r="O5888">
        <v>3.7762939999999999E-3</v>
      </c>
      <c r="P5888">
        <v>-0.9985695</v>
      </c>
      <c r="Q5888">
        <v>-5.285364E-2</v>
      </c>
      <c r="R5888">
        <v>-8.1121000000000006E-3</v>
      </c>
      <c r="S5888">
        <v>-3.0071110000000001</v>
      </c>
      <c r="T5888">
        <v>4.9576160000000001E-2</v>
      </c>
      <c r="U5888">
        <v>3.8604739999999999E-2</v>
      </c>
      <c r="V5888">
        <v>-1.1868490000000001E-2</v>
      </c>
      <c r="W5888">
        <v>-4.1069069999999999E-2</v>
      </c>
      <c r="X5888">
        <v>0.99908580000000002</v>
      </c>
      <c r="Y5888">
        <v>9.0615839999999993E-3</v>
      </c>
      <c r="Z5888" s="1">
        <v>8.5605849999999996E-5</v>
      </c>
      <c r="AA5888">
        <v>0.99995889999999998</v>
      </c>
      <c r="AB5888">
        <v>30</v>
      </c>
      <c r="AC5888">
        <v>-3.0071110000000001</v>
      </c>
      <c r="AD5888">
        <v>4.9576160000000001E-2</v>
      </c>
      <c r="AE5888">
        <v>3.8604739999999999E-2</v>
      </c>
      <c r="AF5888">
        <v>2.7240536695856601E-2</v>
      </c>
      <c r="AG5888">
        <v>4.9576160000000001E-2</v>
      </c>
      <c r="AH5888">
        <v>3.0064183436723901</v>
      </c>
      <c r="AI5888">
        <v>89.055310864279605</v>
      </c>
      <c r="AJ5888">
        <v>89.480868962308705</v>
      </c>
      <c r="AK5888">
        <v>3.0069504651140599</v>
      </c>
      <c r="AL5888">
        <v>92.353746401811094</v>
      </c>
      <c r="AM5888">
        <v>90.6806046099951</v>
      </c>
      <c r="AN5888">
        <v>0.99999998266359202</v>
      </c>
    </row>
    <row r="5889" spans="1:40" x14ac:dyDescent="0.25">
      <c r="A5889" t="str">
        <f>"20190303153925846"</f>
        <v>20190303153925846</v>
      </c>
      <c r="B5889" t="str">
        <f>"1551598765834771"</f>
        <v>1551598765834771</v>
      </c>
      <c r="C5889" t="s">
        <v>40</v>
      </c>
      <c r="D5889">
        <v>3.851931</v>
      </c>
      <c r="E5889">
        <v>0.50569129999999995</v>
      </c>
      <c r="F5889" t="s">
        <v>46</v>
      </c>
      <c r="G5889">
        <v>0</v>
      </c>
      <c r="H5889">
        <v>0</v>
      </c>
      <c r="I5889">
        <v>0</v>
      </c>
      <c r="J5889">
        <v>-284.13</v>
      </c>
      <c r="K5889">
        <v>1.121178</v>
      </c>
      <c r="L5889">
        <v>141.5788</v>
      </c>
      <c r="M5889">
        <v>-0.99992040000000004</v>
      </c>
      <c r="N5889">
        <v>-1.2119660000000001E-2</v>
      </c>
      <c r="O5889">
        <v>3.5579790000000002E-3</v>
      </c>
      <c r="P5889">
        <v>-0.99852609999999997</v>
      </c>
      <c r="Q5889">
        <v>-5.3758899999999998E-2</v>
      </c>
      <c r="R5889">
        <v>-7.4633759999999999E-3</v>
      </c>
      <c r="S5889">
        <v>-3.0065</v>
      </c>
      <c r="T5889">
        <v>3.6558029999999998E-2</v>
      </c>
      <c r="U5889">
        <v>2.9037480000000001E-2</v>
      </c>
      <c r="V5889">
        <v>-1.100069E-2</v>
      </c>
      <c r="W5889">
        <v>-4.1657689999999997E-2</v>
      </c>
      <c r="X5889">
        <v>0.99907140000000005</v>
      </c>
      <c r="Y5889">
        <v>6.1006929999999999E-3</v>
      </c>
      <c r="Z5889" s="1">
        <v>8.6262500000000003E-5</v>
      </c>
      <c r="AA5889">
        <v>0.99998140000000002</v>
      </c>
      <c r="AB5889">
        <v>30</v>
      </c>
      <c r="AC5889">
        <v>-3.0065</v>
      </c>
      <c r="AD5889">
        <v>3.6558029999999998E-2</v>
      </c>
      <c r="AE5889">
        <v>2.9037480000000001E-2</v>
      </c>
      <c r="AF5889">
        <v>1.83367375128097E-2</v>
      </c>
      <c r="AG5889">
        <v>3.6558029999999998E-2</v>
      </c>
      <c r="AH5889">
        <v>3.0061398508460599</v>
      </c>
      <c r="AI5889">
        <v>89.303266408402905</v>
      </c>
      <c r="AJ5889">
        <v>89.650513717991402</v>
      </c>
      <c r="AK5889">
        <v>3.0064180561500198</v>
      </c>
      <c r="AL5889">
        <v>92.387500642694405</v>
      </c>
      <c r="AM5889">
        <v>90.630853448800494</v>
      </c>
      <c r="AN5889">
        <v>1.0000000203072801</v>
      </c>
    </row>
    <row r="5890" spans="1:40" x14ac:dyDescent="0.25">
      <c r="A5890" t="str">
        <f>"20190303153925867"</f>
        <v>20190303153925867</v>
      </c>
      <c r="B5890" t="str">
        <f>"1551598765864560"</f>
        <v>1551598765864560</v>
      </c>
      <c r="C5890" t="s">
        <v>40</v>
      </c>
      <c r="D5890">
        <v>3.8749600000000002</v>
      </c>
      <c r="E5890">
        <v>0.50361489999999998</v>
      </c>
      <c r="F5890" t="s">
        <v>46</v>
      </c>
      <c r="G5890">
        <v>0</v>
      </c>
      <c r="H5890">
        <v>0</v>
      </c>
      <c r="I5890">
        <v>0</v>
      </c>
      <c r="J5890">
        <v>-284.41269999999997</v>
      </c>
      <c r="K5890">
        <v>1.121194</v>
      </c>
      <c r="L5890">
        <v>141.5796</v>
      </c>
      <c r="M5890">
        <v>-0.99991790000000003</v>
      </c>
      <c r="N5890">
        <v>-1.2383E-2</v>
      </c>
      <c r="O5890">
        <v>3.3389130000000002E-3</v>
      </c>
      <c r="P5890">
        <v>-0.99850099999999997</v>
      </c>
      <c r="Q5890">
        <v>-5.42703E-2</v>
      </c>
      <c r="R5890">
        <v>-7.1470229999999997E-3</v>
      </c>
      <c r="S5890">
        <v>-3.005951</v>
      </c>
      <c r="T5890">
        <v>2.577364E-2</v>
      </c>
      <c r="U5890">
        <v>2.02179E-2</v>
      </c>
      <c r="V5890">
        <v>-1.046416E-2</v>
      </c>
      <c r="W5890">
        <v>-4.1906239999999997E-2</v>
      </c>
      <c r="X5890">
        <v>0.99906680000000003</v>
      </c>
      <c r="Y5890">
        <v>3.3874640000000002E-3</v>
      </c>
      <c r="Z5890" s="1">
        <v>7.6425099999999994E-5</v>
      </c>
      <c r="AA5890">
        <v>0.9999943</v>
      </c>
      <c r="AB5890">
        <v>29</v>
      </c>
      <c r="AC5890">
        <v>-3.005951</v>
      </c>
      <c r="AD5890">
        <v>2.577364E-2</v>
      </c>
      <c r="AE5890">
        <v>2.02179E-2</v>
      </c>
      <c r="AF5890">
        <v>1.0179661954732799E-2</v>
      </c>
      <c r="AG5890">
        <v>2.577364E-2</v>
      </c>
      <c r="AH5890">
        <v>3.00578078671963</v>
      </c>
      <c r="AI5890">
        <v>89.508721280470198</v>
      </c>
      <c r="AJ5890">
        <v>89.805957427247805</v>
      </c>
      <c r="AK5890">
        <v>3.0059085222024402</v>
      </c>
      <c r="AL5890">
        <v>92.401753880800698</v>
      </c>
      <c r="AM5890">
        <v>90.600090285562104</v>
      </c>
      <c r="AN5890">
        <v>1.0000000512288401</v>
      </c>
    </row>
    <row r="5891" spans="1:40" x14ac:dyDescent="0.25">
      <c r="A5891" t="str">
        <f>"20190303153925888"</f>
        <v>20190303153925888</v>
      </c>
      <c r="B5891" t="str">
        <f>"1551598765884081"</f>
        <v>1551598765884081</v>
      </c>
      <c r="C5891" t="s">
        <v>40</v>
      </c>
      <c r="D5891">
        <v>3.8508930000000001</v>
      </c>
      <c r="E5891">
        <v>0.50242619999999905</v>
      </c>
      <c r="F5891" t="s">
        <v>46</v>
      </c>
      <c r="G5891">
        <v>0</v>
      </c>
      <c r="H5891">
        <v>0</v>
      </c>
      <c r="I5891">
        <v>0</v>
      </c>
      <c r="J5891">
        <v>-284.69389999999999</v>
      </c>
      <c r="K5891">
        <v>1.121208</v>
      </c>
      <c r="L5891">
        <v>141.58029999999999</v>
      </c>
      <c r="M5891">
        <v>-0.99991569999999996</v>
      </c>
      <c r="N5891">
        <v>-1.2614490000000001E-2</v>
      </c>
      <c r="O5891">
        <v>3.107E-3</v>
      </c>
      <c r="P5891">
        <v>-0.99847620000000004</v>
      </c>
      <c r="Q5891">
        <v>-5.4744609999999999E-2</v>
      </c>
      <c r="R5891">
        <v>-6.9788649999999999E-3</v>
      </c>
      <c r="S5891">
        <v>-3.0052189999999999</v>
      </c>
      <c r="T5891">
        <v>1.237452E-2</v>
      </c>
      <c r="U5891">
        <v>4.6234129999999998E-3</v>
      </c>
      <c r="V5891">
        <v>-1.006341E-2</v>
      </c>
      <c r="W5891">
        <v>-4.2149600000000002E-2</v>
      </c>
      <c r="X5891">
        <v>0.99906059999999997</v>
      </c>
      <c r="Y5891">
        <v>-1.5683839999999999E-3</v>
      </c>
      <c r="Z5891" s="1">
        <v>4.5324229999999998E-5</v>
      </c>
      <c r="AA5891">
        <v>0.99999870000000002</v>
      </c>
      <c r="AB5891">
        <v>29</v>
      </c>
      <c r="AC5891">
        <v>-3.0052189999999999</v>
      </c>
      <c r="AD5891">
        <v>1.237452E-2</v>
      </c>
      <c r="AE5891">
        <v>4.6234129999999998E-3</v>
      </c>
      <c r="AF5891">
        <v>-4.7144869317579802E-3</v>
      </c>
      <c r="AG5891">
        <v>1.237452E-2</v>
      </c>
      <c r="AH5891">
        <v>3.0051679050961599</v>
      </c>
      <c r="AI5891">
        <v>89.764072121025904</v>
      </c>
      <c r="AJ5891">
        <v>90.089885154737203</v>
      </c>
      <c r="AK5891">
        <v>3.0051970805510102</v>
      </c>
      <c r="AL5891">
        <v>92.415709904027096</v>
      </c>
      <c r="AM5891">
        <v>90.577113561340994</v>
      </c>
      <c r="AN5891">
        <v>0.99999997173667299</v>
      </c>
    </row>
    <row r="5892" spans="1:40" x14ac:dyDescent="0.25">
      <c r="A5892" t="str">
        <f>"20190303153925912"</f>
        <v>20190303153925912</v>
      </c>
      <c r="B5892" t="str">
        <f>"1551598765904580"</f>
        <v>1551598765904580</v>
      </c>
      <c r="C5892" t="s">
        <v>40</v>
      </c>
      <c r="D5892">
        <v>3.8514940000000002</v>
      </c>
      <c r="E5892">
        <v>0.50156809999999996</v>
      </c>
      <c r="F5892" t="s">
        <v>46</v>
      </c>
      <c r="G5892">
        <v>0</v>
      </c>
      <c r="H5892">
        <v>0</v>
      </c>
      <c r="I5892">
        <v>0</v>
      </c>
      <c r="J5892">
        <v>-284.99770000000001</v>
      </c>
      <c r="K5892">
        <v>1.1212249999999999</v>
      </c>
      <c r="L5892">
        <v>141.58090000000001</v>
      </c>
      <c r="M5892">
        <v>-0.99991359999999996</v>
      </c>
      <c r="N5892">
        <v>-1.2832090000000001E-2</v>
      </c>
      <c r="O5892">
        <v>2.8387769999999998E-3</v>
      </c>
      <c r="P5892">
        <v>-0.99842500000000001</v>
      </c>
      <c r="Q5892">
        <v>-5.5587060000000001E-2</v>
      </c>
      <c r="R5892">
        <v>-7.58568099999999E-3</v>
      </c>
      <c r="S5892">
        <v>-3.0047609999999998</v>
      </c>
      <c r="T5892">
        <v>3.6989449999999999E-3</v>
      </c>
      <c r="U5892">
        <v>-4.1656489999999996E-3</v>
      </c>
      <c r="V5892">
        <v>-1.040137E-2</v>
      </c>
      <c r="W5892">
        <v>-4.277566E-2</v>
      </c>
      <c r="X5892">
        <v>0.99903050000000004</v>
      </c>
      <c r="Y5892">
        <v>-4.2250999999999999E-3</v>
      </c>
      <c r="Z5892" s="1">
        <v>1.54145299999999E-5</v>
      </c>
      <c r="AA5892">
        <v>0.99999110000000002</v>
      </c>
      <c r="AB5892">
        <v>29</v>
      </c>
      <c r="AC5892">
        <v>-3.0047609999999998</v>
      </c>
      <c r="AD5892">
        <v>3.6989449999999999E-3</v>
      </c>
      <c r="AE5892">
        <v>-4.1656489999999996E-3</v>
      </c>
      <c r="AF5892">
        <v>-1.26961620537905E-2</v>
      </c>
      <c r="AG5892">
        <v>3.6989449999999999E-3</v>
      </c>
      <c r="AH5892">
        <v>3.0047325110391498</v>
      </c>
      <c r="AI5892">
        <v>89.929467286216905</v>
      </c>
      <c r="AJ5892">
        <v>90.242095484331898</v>
      </c>
      <c r="AK5892">
        <v>3.0047616107805699</v>
      </c>
      <c r="AL5892">
        <v>92.451612954927199</v>
      </c>
      <c r="AM5892">
        <v>90.596511387800504</v>
      </c>
      <c r="AN5892">
        <v>0.99999994275827897</v>
      </c>
    </row>
    <row r="5893" spans="1:40" x14ac:dyDescent="0.25">
      <c r="A5893" t="str">
        <f>"20190303153925934"</f>
        <v>20190303153925934</v>
      </c>
      <c r="B5893" t="str">
        <f>"1551598765924096"</f>
        <v>1551598765924096</v>
      </c>
      <c r="C5893" t="s">
        <v>40</v>
      </c>
      <c r="D5893">
        <v>3.8678870000000001</v>
      </c>
      <c r="E5893">
        <v>0.50095489999999998</v>
      </c>
      <c r="F5893" t="s">
        <v>46</v>
      </c>
      <c r="G5893">
        <v>0</v>
      </c>
      <c r="H5893">
        <v>0</v>
      </c>
      <c r="I5893">
        <v>0</v>
      </c>
      <c r="J5893">
        <v>-285.29289999999997</v>
      </c>
      <c r="K5893">
        <v>1.121232</v>
      </c>
      <c r="L5893">
        <v>141.58150000000001</v>
      </c>
      <c r="M5893">
        <v>-0.99991200000000002</v>
      </c>
      <c r="N5893">
        <v>-1.3015789999999999E-2</v>
      </c>
      <c r="O5893">
        <v>2.5630850000000001E-3</v>
      </c>
      <c r="P5893">
        <v>-0.99839960000000005</v>
      </c>
      <c r="Q5893">
        <v>-5.5883629999999997E-2</v>
      </c>
      <c r="R5893">
        <v>-8.6646329999999997E-3</v>
      </c>
      <c r="S5893">
        <v>-3.0044559999999998</v>
      </c>
      <c r="T5893">
        <v>-2.4843220000000002E-3</v>
      </c>
      <c r="U5893">
        <v>-1.2893679999999999E-2</v>
      </c>
      <c r="V5893">
        <v>-1.120353E-2</v>
      </c>
      <c r="W5893">
        <v>-4.288964E-2</v>
      </c>
      <c r="X5893">
        <v>0.99901700000000004</v>
      </c>
      <c r="Y5893">
        <v>-6.8545139999999999E-3</v>
      </c>
      <c r="Z5893" s="1">
        <v>-1.6202040000000001E-5</v>
      </c>
      <c r="AA5893">
        <v>0.99997650000000005</v>
      </c>
      <c r="AB5893">
        <v>29</v>
      </c>
      <c r="AC5893">
        <v>-3.0044559999999998</v>
      </c>
      <c r="AD5893">
        <v>-2.4843220000000002E-3</v>
      </c>
      <c r="AE5893">
        <v>-1.2893679999999999E-2</v>
      </c>
      <c r="AF5893">
        <v>-2.05949520846571E-2</v>
      </c>
      <c r="AG5893">
        <v>-2.4843220000000002E-3</v>
      </c>
      <c r="AH5893">
        <v>3.0044110250046701</v>
      </c>
      <c r="AI5893">
        <v>90.047376270343506</v>
      </c>
      <c r="AJ5893">
        <v>90.392750972400705</v>
      </c>
      <c r="AK5893">
        <v>3.0044826395033102</v>
      </c>
      <c r="AL5893">
        <v>92.458149378218806</v>
      </c>
      <c r="AM5893">
        <v>90.642519673110399</v>
      </c>
      <c r="AN5893">
        <v>1.00000000329639</v>
      </c>
    </row>
    <row r="5894" spans="1:40" x14ac:dyDescent="0.25">
      <c r="A5894" t="str">
        <f>"20190303153925955"</f>
        <v>20190303153925955</v>
      </c>
      <c r="B5894" t="str">
        <f>"1551598765944592"</f>
        <v>1551598765944592</v>
      </c>
      <c r="C5894" t="s">
        <v>40</v>
      </c>
      <c r="D5894">
        <v>3.8657970000000001</v>
      </c>
      <c r="E5894">
        <v>0.50053199999999998</v>
      </c>
      <c r="F5894" t="s">
        <v>46</v>
      </c>
      <c r="G5894">
        <v>0</v>
      </c>
      <c r="H5894">
        <v>0</v>
      </c>
      <c r="I5894">
        <v>0</v>
      </c>
      <c r="J5894">
        <v>-285.5788</v>
      </c>
      <c r="K5894">
        <v>1.121232</v>
      </c>
      <c r="L5894">
        <v>141.58189999999999</v>
      </c>
      <c r="M5894">
        <v>-0.99991070000000004</v>
      </c>
      <c r="N5894">
        <v>-1.3170980000000001E-2</v>
      </c>
      <c r="O5894">
        <v>2.2854619999999998E-3</v>
      </c>
      <c r="P5894">
        <v>-0.99832520000000002</v>
      </c>
      <c r="Q5894">
        <v>-5.6976350000000002E-2</v>
      </c>
      <c r="R5894">
        <v>-1.002424E-2</v>
      </c>
      <c r="S5894">
        <v>-3.0042719999999998</v>
      </c>
      <c r="T5894">
        <v>-6.6710709999999998E-3</v>
      </c>
      <c r="U5894">
        <v>-2.107239E-2</v>
      </c>
      <c r="V5894">
        <v>-1.2284379999999999E-2</v>
      </c>
      <c r="W5894">
        <v>-4.3828949999999998E-2</v>
      </c>
      <c r="X5894">
        <v>0.9989635</v>
      </c>
      <c r="Y5894">
        <v>-9.299257E-3</v>
      </c>
      <c r="Z5894" s="1">
        <v>-4.65406E-5</v>
      </c>
      <c r="AA5894">
        <v>0.99995679999999998</v>
      </c>
      <c r="AB5894">
        <v>29</v>
      </c>
      <c r="AC5894">
        <v>-3.0042719999999998</v>
      </c>
      <c r="AD5894">
        <v>-6.6710709999999998E-3</v>
      </c>
      <c r="AE5894">
        <v>-2.107239E-2</v>
      </c>
      <c r="AF5894">
        <v>-2.79389419619787E-2</v>
      </c>
      <c r="AG5894">
        <v>-6.6710709999999998E-3</v>
      </c>
      <c r="AH5894">
        <v>3.0042011759214802</v>
      </c>
      <c r="AI5894">
        <v>90.127224188569997</v>
      </c>
      <c r="AJ5894">
        <v>90.532832928615306</v>
      </c>
      <c r="AK5894">
        <v>3.0043384950891001</v>
      </c>
      <c r="AL5894">
        <v>92.512018602390299</v>
      </c>
      <c r="AM5894">
        <v>90.704537906470193</v>
      </c>
      <c r="AN5894">
        <v>0.99999997859116796</v>
      </c>
    </row>
    <row r="5895" spans="1:40" x14ac:dyDescent="0.25">
      <c r="A5895" t="str">
        <f>"20190303153925978"</f>
        <v>20190303153925978</v>
      </c>
      <c r="B5895" t="str">
        <f>"1551598765974380"</f>
        <v>1551598765974380</v>
      </c>
      <c r="C5895" t="s">
        <v>40</v>
      </c>
      <c r="D5895">
        <v>3.885195</v>
      </c>
      <c r="E5895">
        <v>0.49984420000000002</v>
      </c>
      <c r="F5895" t="s">
        <v>46</v>
      </c>
      <c r="G5895">
        <v>0</v>
      </c>
      <c r="H5895">
        <v>0</v>
      </c>
      <c r="I5895">
        <v>0</v>
      </c>
      <c r="J5895">
        <v>-285.86329999999998</v>
      </c>
      <c r="K5895">
        <v>1.121246</v>
      </c>
      <c r="L5895">
        <v>141.5822</v>
      </c>
      <c r="M5895">
        <v>-0.99990950000000001</v>
      </c>
      <c r="N5895">
        <v>-1.3305340000000001E-2</v>
      </c>
      <c r="O5895">
        <v>2.0025279999999999E-3</v>
      </c>
      <c r="P5895">
        <v>-0.99831630000000005</v>
      </c>
      <c r="Q5895">
        <v>-5.6930260000000003E-2</v>
      </c>
      <c r="R5895">
        <v>-1.112402E-2</v>
      </c>
      <c r="S5895">
        <v>-3.004089</v>
      </c>
      <c r="T5895">
        <v>-1.2277359999999999E-2</v>
      </c>
      <c r="U5895">
        <v>-2.8472899999999999E-2</v>
      </c>
      <c r="V5895">
        <v>-1.310093E-2</v>
      </c>
      <c r="W5895">
        <v>-4.3649300000000002E-2</v>
      </c>
      <c r="X5895">
        <v>0.99896099999999999</v>
      </c>
      <c r="Y5895">
        <v>-1.147973E-2</v>
      </c>
      <c r="Z5895" s="1">
        <v>-8.1373579999999995E-5</v>
      </c>
      <c r="AA5895">
        <v>0.99993410000000005</v>
      </c>
      <c r="AB5895">
        <v>29</v>
      </c>
      <c r="AC5895">
        <v>-3.004089</v>
      </c>
      <c r="AD5895">
        <v>-1.2277359999999999E-2</v>
      </c>
      <c r="AE5895">
        <v>-2.8472899999999999E-2</v>
      </c>
      <c r="AF5895">
        <v>-3.4488571650947299E-2</v>
      </c>
      <c r="AG5895">
        <v>-1.2277359999999999E-2</v>
      </c>
      <c r="AH5895">
        <v>3.0039757829909002</v>
      </c>
      <c r="AI5895">
        <v>90.234153232178897</v>
      </c>
      <c r="AJ5895">
        <v>90.657782526815197</v>
      </c>
      <c r="AK5895">
        <v>3.0041988449400101</v>
      </c>
      <c r="AL5895">
        <v>92.501715532561207</v>
      </c>
      <c r="AM5895">
        <v>90.751365636134295</v>
      </c>
      <c r="AN5895">
        <v>0.99999998763917697</v>
      </c>
    </row>
    <row r="5896" spans="1:40" x14ac:dyDescent="0.25">
      <c r="A5896" t="str">
        <f>"20190303153926001"</f>
        <v>20190303153926001</v>
      </c>
      <c r="B5896" t="str">
        <f>"1551598765993906"</f>
        <v>1551598765993906</v>
      </c>
      <c r="C5896" t="s">
        <v>40</v>
      </c>
      <c r="D5896">
        <v>3.9135620000000002</v>
      </c>
      <c r="E5896">
        <v>0.49953950000000003</v>
      </c>
      <c r="F5896" t="s">
        <v>63</v>
      </c>
      <c r="G5896">
        <v>-499.9751</v>
      </c>
      <c r="H5896">
        <v>6.7325120000000002E-2</v>
      </c>
      <c r="I5896">
        <v>138.93709999999999</v>
      </c>
      <c r="J5896">
        <v>-286.16520000000003</v>
      </c>
      <c r="K5896">
        <v>1.1212549999999999</v>
      </c>
      <c r="L5896">
        <v>141.58250000000001</v>
      </c>
      <c r="M5896">
        <v>-0.99990840000000003</v>
      </c>
      <c r="N5896">
        <v>-1.342875E-2</v>
      </c>
      <c r="O5896">
        <v>1.698123E-3</v>
      </c>
      <c r="P5896">
        <v>-0.9983225</v>
      </c>
      <c r="Q5896">
        <v>-5.6618580000000002E-2</v>
      </c>
      <c r="R5896">
        <v>-1.2104149999999999E-2</v>
      </c>
      <c r="S5896">
        <v>-3.0038149999999999</v>
      </c>
      <c r="T5896">
        <v>-1.4785649999999999E-2</v>
      </c>
      <c r="U5896">
        <v>-3.7109379999999997E-2</v>
      </c>
      <c r="V5896">
        <v>-1.377711E-2</v>
      </c>
      <c r="W5896">
        <v>-4.3214710000000003E-2</v>
      </c>
      <c r="X5896">
        <v>0.99897080000000005</v>
      </c>
      <c r="Y5896">
        <v>-1.405057E-2</v>
      </c>
      <c r="Z5896">
        <v>-1.144841E-4</v>
      </c>
      <c r="AA5896">
        <v>0.99990129999999999</v>
      </c>
      <c r="AB5896">
        <v>29</v>
      </c>
      <c r="AC5896">
        <v>-213.8099</v>
      </c>
      <c r="AD5896">
        <v>-1.0539298800000001</v>
      </c>
      <c r="AE5896">
        <v>-2.64540000000002</v>
      </c>
      <c r="AF5896">
        <v>-3.0084313438753898</v>
      </c>
      <c r="AG5896">
        <v>-1.0539298800000001</v>
      </c>
      <c r="AH5896">
        <v>213.79990496861299</v>
      </c>
      <c r="AI5896">
        <v>90.282410171140995</v>
      </c>
      <c r="AJ5896">
        <v>90.806169880607797</v>
      </c>
      <c r="AK5896">
        <v>213.82366752053099</v>
      </c>
      <c r="AL5896">
        <v>92.476791836047994</v>
      </c>
      <c r="AM5896">
        <v>90.790133421823896</v>
      </c>
      <c r="AN5896">
        <v>0.99999998958648795</v>
      </c>
    </row>
    <row r="5897" spans="1:40" x14ac:dyDescent="0.25">
      <c r="A5897" t="str">
        <f>"20190303153926014"</f>
        <v>20190303153926014</v>
      </c>
      <c r="B5897" t="str">
        <f>"1551598766004636"</f>
        <v>1551598766004636</v>
      </c>
      <c r="C5897" t="s">
        <v>40</v>
      </c>
      <c r="D5897">
        <v>3.9193630000000002</v>
      </c>
      <c r="E5897">
        <v>0.49942029999999898</v>
      </c>
      <c r="F5897" t="s">
        <v>63</v>
      </c>
      <c r="G5897">
        <v>-493.3458</v>
      </c>
      <c r="H5897" s="1">
        <v>-9.9364479999999999E-6</v>
      </c>
      <c r="I5897">
        <v>138.6523</v>
      </c>
      <c r="J5897">
        <v>-286.33569999999997</v>
      </c>
      <c r="K5897">
        <v>1.121265</v>
      </c>
      <c r="L5897">
        <v>141.58260000000001</v>
      </c>
      <c r="M5897">
        <v>-0.99990789999999996</v>
      </c>
      <c r="N5897">
        <v>-1.349091E-2</v>
      </c>
      <c r="O5897">
        <v>1.5251829999999901E-3</v>
      </c>
      <c r="P5897">
        <v>-0.99831700000000001</v>
      </c>
      <c r="Q5897">
        <v>-5.6654530000000002E-2</v>
      </c>
      <c r="R5897">
        <v>-1.2399189999999999E-2</v>
      </c>
      <c r="S5897">
        <v>-3.003571</v>
      </c>
      <c r="T5897">
        <v>-1.625538E-2</v>
      </c>
      <c r="U5897">
        <v>-4.2480469999999999E-2</v>
      </c>
      <c r="V5897">
        <v>-1.389955E-2</v>
      </c>
      <c r="W5897">
        <v>-4.3188690000000002E-2</v>
      </c>
      <c r="X5897">
        <v>0.99897020000000003</v>
      </c>
      <c r="Y5897">
        <v>-1.566621E-2</v>
      </c>
      <c r="Z5897">
        <v>-1.3575659999999999E-4</v>
      </c>
      <c r="AA5897">
        <v>0.99987729999999997</v>
      </c>
      <c r="AB5897">
        <v>29</v>
      </c>
      <c r="AC5897">
        <v>-207.01009999999999</v>
      </c>
      <c r="AD5897">
        <v>-1.1212749364479999</v>
      </c>
      <c r="AE5897">
        <v>-2.9303000000000101</v>
      </c>
      <c r="AF5897">
        <v>-3.2459583772658398</v>
      </c>
      <c r="AG5897">
        <v>-1.1212749364479999</v>
      </c>
      <c r="AH5897">
        <v>206.99931765583</v>
      </c>
      <c r="AI5897">
        <v>90.3103188791262</v>
      </c>
      <c r="AJ5897">
        <v>90.898382062689606</v>
      </c>
      <c r="AK5897">
        <v>207.02780251272799</v>
      </c>
      <c r="AL5897">
        <v>92.475299678799402</v>
      </c>
      <c r="AM5897">
        <v>90.797155076040596</v>
      </c>
      <c r="AN5897">
        <v>0.99999996046107797</v>
      </c>
    </row>
    <row r="5898" spans="1:40" x14ac:dyDescent="0.25">
      <c r="A5898" t="str">
        <f>"20190303153926027"</f>
        <v>20190303153926027</v>
      </c>
      <c r="B5898" t="str">
        <f>"1551598766024156"</f>
        <v>1551598766024156</v>
      </c>
      <c r="C5898" t="s">
        <v>40</v>
      </c>
      <c r="D5898">
        <v>3.9253480000000001</v>
      </c>
      <c r="E5898">
        <v>0.49920949999999997</v>
      </c>
      <c r="F5898" t="s">
        <v>63</v>
      </c>
      <c r="G5898">
        <v>-480.76530000000002</v>
      </c>
      <c r="H5898" s="1">
        <v>-1.0243399999999999E-5</v>
      </c>
      <c r="I5898">
        <v>138.7182</v>
      </c>
      <c r="J5898">
        <v>-286.5104</v>
      </c>
      <c r="K5898">
        <v>1.121267</v>
      </c>
      <c r="L5898">
        <v>141.58269999999999</v>
      </c>
      <c r="M5898">
        <v>-0.99990730000000005</v>
      </c>
      <c r="N5898">
        <v>-1.354928E-2</v>
      </c>
      <c r="O5898">
        <v>1.34810299999999E-3</v>
      </c>
      <c r="P5898">
        <v>-0.99834270000000003</v>
      </c>
      <c r="Q5898">
        <v>-5.6129489999999997E-2</v>
      </c>
      <c r="R5898">
        <v>-1.2705019999999999E-2</v>
      </c>
      <c r="S5898">
        <v>-3.003571</v>
      </c>
      <c r="T5898">
        <v>-1.7321590000000001E-2</v>
      </c>
      <c r="U5898">
        <v>-4.4250490000000003E-2</v>
      </c>
      <c r="V5898">
        <v>-1.4028509999999999E-2</v>
      </c>
      <c r="W5898">
        <v>-4.2605089999999998E-2</v>
      </c>
      <c r="X5898">
        <v>0.99899349999999998</v>
      </c>
      <c r="Y5898">
        <v>-1.6078160000000001E-2</v>
      </c>
      <c r="Z5898">
        <v>-1.448043E-4</v>
      </c>
      <c r="AA5898">
        <v>0.9998707</v>
      </c>
      <c r="AB5898">
        <v>29</v>
      </c>
      <c r="AC5898">
        <v>-194.25489999999999</v>
      </c>
      <c r="AD5898">
        <v>-1.1212772434</v>
      </c>
      <c r="AE5898">
        <v>-2.8644999999999898</v>
      </c>
      <c r="AF5898">
        <v>-3.1262929101884298</v>
      </c>
      <c r="AG5898">
        <v>-1.1212772434</v>
      </c>
      <c r="AH5898">
        <v>194.24439098008199</v>
      </c>
      <c r="AI5898">
        <v>90.330693827797205</v>
      </c>
      <c r="AJ5898">
        <v>90.922075145783595</v>
      </c>
      <c r="AK5898">
        <v>194.27278347014999</v>
      </c>
      <c r="AL5898">
        <v>92.441830948634802</v>
      </c>
      <c r="AM5898">
        <v>90.804531349251107</v>
      </c>
      <c r="AN5898">
        <v>1.00000000291448</v>
      </c>
    </row>
    <row r="5899" spans="1:40" x14ac:dyDescent="0.25">
      <c r="A5899" t="str">
        <f>"20190303153926042"</f>
        <v>20190303153926042</v>
      </c>
      <c r="B5899" t="str">
        <f>"1551598766033915"</f>
        <v>1551598766033915</v>
      </c>
      <c r="C5899" t="s">
        <v>40</v>
      </c>
      <c r="D5899">
        <v>3.9344790000000001</v>
      </c>
      <c r="E5899">
        <v>0.49910900000000002</v>
      </c>
      <c r="F5899" t="s">
        <v>63</v>
      </c>
      <c r="G5899">
        <v>-483.4599</v>
      </c>
      <c r="H5899" s="1">
        <v>-1.112045E-5</v>
      </c>
      <c r="I5899">
        <v>138.5119</v>
      </c>
      <c r="J5899">
        <v>-286.69880000000001</v>
      </c>
      <c r="K5899">
        <v>1.1212719999999901</v>
      </c>
      <c r="L5899">
        <v>141.58269999999999</v>
      </c>
      <c r="M5899">
        <v>-0.99990679999999998</v>
      </c>
      <c r="N5899">
        <v>-1.360544E-2</v>
      </c>
      <c r="O5899">
        <v>1.1569810000000001E-3</v>
      </c>
      <c r="P5899">
        <v>-0.99836309999999995</v>
      </c>
      <c r="Q5899">
        <v>-5.5686100000000002E-2</v>
      </c>
      <c r="R5899">
        <v>-1.3052619999999999E-2</v>
      </c>
      <c r="S5899">
        <v>-3.0034179999999999</v>
      </c>
      <c r="T5899">
        <v>-1.7099139999999999E-2</v>
      </c>
      <c r="U5899">
        <v>-4.6829219999999998E-2</v>
      </c>
      <c r="V5899">
        <v>-1.4186010000000001E-2</v>
      </c>
      <c r="W5899">
        <v>-4.2105410000000003E-2</v>
      </c>
      <c r="X5899">
        <v>0.99901249999999997</v>
      </c>
      <c r="Y5899">
        <v>-1.6746069999999998E-2</v>
      </c>
      <c r="Z5899">
        <v>-1.5244569999999999E-4</v>
      </c>
      <c r="AA5899">
        <v>0.99985979999999997</v>
      </c>
      <c r="AB5899">
        <v>29</v>
      </c>
      <c r="AC5899">
        <v>-196.7611</v>
      </c>
      <c r="AD5899">
        <v>-1.12128312044999</v>
      </c>
      <c r="AE5899">
        <v>-3.07079999999999</v>
      </c>
      <c r="AF5899">
        <v>-3.29836077610218</v>
      </c>
      <c r="AG5899">
        <v>-1.12128312044999</v>
      </c>
      <c r="AH5899">
        <v>196.75102712012401</v>
      </c>
      <c r="AI5899">
        <v>90.326478954178398</v>
      </c>
      <c r="AJ5899">
        <v>90.960424216954294</v>
      </c>
      <c r="AK5899">
        <v>196.78186687921601</v>
      </c>
      <c r="AL5899">
        <v>92.413175584588103</v>
      </c>
      <c r="AM5899">
        <v>90.813547254505806</v>
      </c>
      <c r="AN5899">
        <v>1.0000000417936099</v>
      </c>
    </row>
    <row r="5900" spans="1:40" x14ac:dyDescent="0.25">
      <c r="A5900" t="str">
        <f>"20190303153926057"</f>
        <v>20190303153926057</v>
      </c>
      <c r="B5900" t="str">
        <f>"1551598766053943"</f>
        <v>1551598766053943</v>
      </c>
      <c r="C5900" t="s">
        <v>40</v>
      </c>
      <c r="D5900">
        <v>3.978148</v>
      </c>
      <c r="E5900">
        <v>0.49890119999999999</v>
      </c>
      <c r="F5900" t="s">
        <v>63</v>
      </c>
      <c r="G5900">
        <v>-488.77929999999998</v>
      </c>
      <c r="H5900" s="1">
        <v>-1.279936E-5</v>
      </c>
      <c r="I5900">
        <v>138.31479999999999</v>
      </c>
      <c r="J5900">
        <v>-286.89929999999998</v>
      </c>
      <c r="K5900">
        <v>1.1212740000000001</v>
      </c>
      <c r="L5900">
        <v>141.58279999999999</v>
      </c>
      <c r="M5900">
        <v>-0.99990619999999997</v>
      </c>
      <c r="N5900">
        <v>-1.366029E-2</v>
      </c>
      <c r="O5900">
        <v>9.5424560000000004E-4</v>
      </c>
      <c r="P5900">
        <v>-0.99837350000000002</v>
      </c>
      <c r="Q5900">
        <v>-5.5418479999999999E-2</v>
      </c>
      <c r="R5900">
        <v>-1.3388560000000001E-2</v>
      </c>
      <c r="S5900">
        <v>-3.0033569999999998</v>
      </c>
      <c r="T5900">
        <v>-1.6664740000000001E-2</v>
      </c>
      <c r="U5900">
        <v>-4.8568729999999997E-2</v>
      </c>
      <c r="V5900">
        <v>-1.431959E-2</v>
      </c>
      <c r="W5900">
        <v>-4.1782899999999998E-2</v>
      </c>
      <c r="X5900">
        <v>0.99902409999999997</v>
      </c>
      <c r="Y5900">
        <v>-1.7122620000000002E-2</v>
      </c>
      <c r="Z5900">
        <v>-1.5672629999999901E-4</v>
      </c>
      <c r="AA5900">
        <v>0.9998534</v>
      </c>
      <c r="AB5900">
        <v>29</v>
      </c>
      <c r="AC5900">
        <v>-201.88</v>
      </c>
      <c r="AD5900">
        <v>-1.12128679936</v>
      </c>
      <c r="AE5900">
        <v>-3.2679999999999998</v>
      </c>
      <c r="AF5900">
        <v>-3.4605528694012002</v>
      </c>
      <c r="AG5900">
        <v>-1.12128679936</v>
      </c>
      <c r="AH5900">
        <v>201.870563346886</v>
      </c>
      <c r="AI5900">
        <v>90.318198464538</v>
      </c>
      <c r="AJ5900">
        <v>90.982092943265499</v>
      </c>
      <c r="AK5900">
        <v>201.90333592151899</v>
      </c>
      <c r="AL5900">
        <v>92.394680930902993</v>
      </c>
      <c r="AM5900">
        <v>90.821197297032597</v>
      </c>
      <c r="AN5900">
        <v>1.00000000688549</v>
      </c>
    </row>
    <row r="5901" spans="1:40" x14ac:dyDescent="0.25">
      <c r="A5901" t="str">
        <f>"20190303153926080"</f>
        <v>20190303153926080</v>
      </c>
      <c r="B5901" t="str">
        <f>"1551598766074440"</f>
        <v>1551598766074440</v>
      </c>
      <c r="C5901" t="s">
        <v>40</v>
      </c>
      <c r="D5901">
        <v>3.9647130000000002</v>
      </c>
      <c r="E5901">
        <v>0.49873250000000002</v>
      </c>
      <c r="F5901" t="s">
        <v>63</v>
      </c>
      <c r="G5901">
        <v>-472.69240000000002</v>
      </c>
      <c r="H5901" s="1">
        <v>-6.6735090000000002E-6</v>
      </c>
      <c r="I5901">
        <v>138.41749999999999</v>
      </c>
      <c r="J5901">
        <v>-287.19420000000002</v>
      </c>
      <c r="K5901">
        <v>1.1212819999999999</v>
      </c>
      <c r="L5901">
        <v>141.58269999999999</v>
      </c>
      <c r="M5901">
        <v>-0.99990559999999995</v>
      </c>
      <c r="N5901">
        <v>-1.37311E-2</v>
      </c>
      <c r="O5901">
        <v>6.5734789999999995E-4</v>
      </c>
      <c r="P5901">
        <v>-0.99835980000000002</v>
      </c>
      <c r="Q5901">
        <v>-5.5753259999999999E-2</v>
      </c>
      <c r="R5901">
        <v>-1.301416E-2</v>
      </c>
      <c r="S5901">
        <v>-3.003174</v>
      </c>
      <c r="T5901">
        <v>-1.8124459999999998E-2</v>
      </c>
      <c r="U5901">
        <v>-5.1162720000000002E-2</v>
      </c>
      <c r="V5901">
        <v>-1.36487E-2</v>
      </c>
      <c r="W5901">
        <v>-4.2046680000000003E-2</v>
      </c>
      <c r="X5901">
        <v>0.99902239999999998</v>
      </c>
      <c r="Y5901">
        <v>-1.7689980000000001E-2</v>
      </c>
      <c r="Z5901">
        <v>-1.6978650000000001E-4</v>
      </c>
      <c r="AA5901">
        <v>0.9998435</v>
      </c>
      <c r="AB5901">
        <v>29</v>
      </c>
      <c r="AC5901">
        <v>-185.4982</v>
      </c>
      <c r="AD5901">
        <v>-1.121288673509</v>
      </c>
      <c r="AE5901">
        <v>-3.1651999999999898</v>
      </c>
      <c r="AF5901">
        <v>-3.2870275844026899</v>
      </c>
      <c r="AG5901">
        <v>-1.121288673509</v>
      </c>
      <c r="AH5901">
        <v>185.48930347902399</v>
      </c>
      <c r="AI5901">
        <v>90.346296202594701</v>
      </c>
      <c r="AJ5901">
        <v>91.015223487066393</v>
      </c>
      <c r="AK5901">
        <v>185.52181419920299</v>
      </c>
      <c r="AL5901">
        <v>92.409807762716298</v>
      </c>
      <c r="AM5901">
        <v>90.782729452902501</v>
      </c>
      <c r="AN5901">
        <v>0.99999998300623605</v>
      </c>
    </row>
    <row r="5902" spans="1:40" x14ac:dyDescent="0.25">
      <c r="A5902" t="str">
        <f>"20190303153926102"</f>
        <v>20190303153926102</v>
      </c>
      <c r="B5902" t="str">
        <f>"1551598766093959"</f>
        <v>1551598766093959</v>
      </c>
      <c r="C5902" t="s">
        <v>40</v>
      </c>
      <c r="D5902">
        <v>4.0106449999999896</v>
      </c>
      <c r="E5902">
        <v>0.49859290000000001</v>
      </c>
      <c r="F5902" t="s">
        <v>42</v>
      </c>
      <c r="G5902">
        <v>-446.17270000000002</v>
      </c>
      <c r="H5902" s="1">
        <v>-7.4458879999999996E-7</v>
      </c>
      <c r="I5902">
        <v>138.86279999999999</v>
      </c>
      <c r="J5902">
        <v>-287.48860000000002</v>
      </c>
      <c r="K5902">
        <v>1.121286</v>
      </c>
      <c r="L5902">
        <v>141.58260000000001</v>
      </c>
      <c r="M5902">
        <v>-0.99990489999999999</v>
      </c>
      <c r="N5902">
        <v>-1.3791670000000001E-2</v>
      </c>
      <c r="O5902">
        <v>3.6195569999999998E-4</v>
      </c>
      <c r="P5902">
        <v>-0.99833649999999996</v>
      </c>
      <c r="Q5902">
        <v>-5.6311859999999998E-2</v>
      </c>
      <c r="R5902">
        <v>-1.238439E-2</v>
      </c>
      <c r="S5902">
        <v>-3.003082</v>
      </c>
      <c r="T5902">
        <v>-2.1180870000000001E-2</v>
      </c>
      <c r="U5902">
        <v>-5.137634E-2</v>
      </c>
      <c r="V5902">
        <v>-1.272379E-2</v>
      </c>
      <c r="W5902">
        <v>-4.2544449999999998E-2</v>
      </c>
      <c r="X5902">
        <v>0.9990135</v>
      </c>
      <c r="Y5902">
        <v>-1.7466010000000001E-2</v>
      </c>
      <c r="Z5902">
        <v>-1.7961149999999999E-4</v>
      </c>
      <c r="AA5902">
        <v>0.99984740000000005</v>
      </c>
      <c r="AB5902">
        <v>29</v>
      </c>
      <c r="AC5902">
        <v>-158.6841</v>
      </c>
      <c r="AD5902">
        <v>-1.1212867445888</v>
      </c>
      <c r="AE5902">
        <v>-2.7198000000000202</v>
      </c>
      <c r="AF5902">
        <v>-2.7771032736404799</v>
      </c>
      <c r="AG5902">
        <v>-1.1212867445888</v>
      </c>
      <c r="AH5902">
        <v>158.675184646475</v>
      </c>
      <c r="AI5902">
        <v>90.404814981491498</v>
      </c>
      <c r="AJ5902">
        <v>91.002677600187795</v>
      </c>
      <c r="AK5902">
        <v>158.70344611617301</v>
      </c>
      <c r="AL5902">
        <v>92.438353510654196</v>
      </c>
      <c r="AM5902">
        <v>90.729699899967798</v>
      </c>
      <c r="AN5902">
        <v>0.999999949120007</v>
      </c>
    </row>
    <row r="5903" spans="1:40" x14ac:dyDescent="0.25">
      <c r="A5903" t="str">
        <f>"20190303153926124"</f>
        <v>20190303153926124</v>
      </c>
      <c r="B5903" t="str">
        <f>"1551598766114458"</f>
        <v>1551598766114458</v>
      </c>
      <c r="C5903" t="s">
        <v>40</v>
      </c>
      <c r="D5903">
        <v>4.000826</v>
      </c>
      <c r="E5903">
        <v>0.49846770000000001</v>
      </c>
      <c r="F5903" t="s">
        <v>68</v>
      </c>
      <c r="G5903">
        <v>-423.61419999999998</v>
      </c>
      <c r="H5903" s="1">
        <v>-1.019059E-5</v>
      </c>
      <c r="I5903">
        <v>139.28899999999999</v>
      </c>
      <c r="J5903">
        <v>-287.76299999999998</v>
      </c>
      <c r="K5903">
        <v>1.1212899999999999</v>
      </c>
      <c r="L5903">
        <v>141.58240000000001</v>
      </c>
      <c r="M5903">
        <v>-0.99990440000000003</v>
      </c>
      <c r="N5903">
        <v>-1.3840170000000001E-2</v>
      </c>
      <c r="O5903" s="1">
        <v>8.7570599999999896E-5</v>
      </c>
      <c r="P5903">
        <v>-0.99835459999999998</v>
      </c>
      <c r="Q5903">
        <v>-5.6159920000000002E-2</v>
      </c>
      <c r="R5903">
        <v>-1.1601739999999999E-2</v>
      </c>
      <c r="S5903">
        <v>-3.0029910000000002</v>
      </c>
      <c r="T5903">
        <v>-2.4736290000000001E-2</v>
      </c>
      <c r="U5903">
        <v>-5.059814E-2</v>
      </c>
      <c r="V5903">
        <v>-1.166731E-2</v>
      </c>
      <c r="W5903">
        <v>-4.2343209999999999E-2</v>
      </c>
      <c r="X5903">
        <v>0.99903500000000001</v>
      </c>
      <c r="Y5903">
        <v>-1.6932889999999999E-2</v>
      </c>
      <c r="Z5903">
        <v>-1.8643929999999999E-4</v>
      </c>
      <c r="AA5903">
        <v>0.99985659999999998</v>
      </c>
      <c r="AB5903">
        <v>29</v>
      </c>
      <c r="AC5903">
        <v>-135.85120000000001</v>
      </c>
      <c r="AD5903">
        <v>-1.12130019059</v>
      </c>
      <c r="AE5903">
        <v>-2.2934000000000201</v>
      </c>
      <c r="AF5903">
        <v>-2.3051407029759599</v>
      </c>
      <c r="AG5903">
        <v>-1.12130019059</v>
      </c>
      <c r="AH5903">
        <v>135.84174682319701</v>
      </c>
      <c r="AI5903">
        <v>90.472866872668106</v>
      </c>
      <c r="AJ5903">
        <v>90.972176532108605</v>
      </c>
      <c r="AK5903">
        <v>135.86593085742899</v>
      </c>
      <c r="AL5903">
        <v>92.426812778262004</v>
      </c>
      <c r="AM5903">
        <v>90.669102916568804</v>
      </c>
      <c r="AN5903">
        <v>1.0000000023903699</v>
      </c>
    </row>
    <row r="5904" spans="1:40" x14ac:dyDescent="0.25">
      <c r="A5904" t="str">
        <f>"20190303153926139"</f>
        <v>20190303153926139</v>
      </c>
      <c r="B5904" t="str">
        <f>"1551598766133975"</f>
        <v>1551598766133975</v>
      </c>
      <c r="C5904" t="s">
        <v>40</v>
      </c>
      <c r="D5904">
        <v>3.9867629999999998</v>
      </c>
      <c r="E5904">
        <v>0.49837310000000001</v>
      </c>
      <c r="F5904" t="s">
        <v>68</v>
      </c>
      <c r="G5904">
        <v>-416.58460000000002</v>
      </c>
      <c r="H5904" s="1">
        <v>-1.003319E-5</v>
      </c>
      <c r="I5904">
        <v>139.47460000000001</v>
      </c>
      <c r="J5904">
        <v>-287.95830000000001</v>
      </c>
      <c r="K5904">
        <v>1.121292</v>
      </c>
      <c r="L5904">
        <v>141.5822</v>
      </c>
      <c r="M5904">
        <v>-0.99990389999999996</v>
      </c>
      <c r="N5904">
        <v>-1.387029E-2</v>
      </c>
      <c r="O5904">
        <v>-1.076523E-4</v>
      </c>
      <c r="P5904">
        <v>-0.99838439999999995</v>
      </c>
      <c r="Q5904">
        <v>-5.5656940000000002E-2</v>
      </c>
      <c r="R5904">
        <v>-1.145996E-2</v>
      </c>
      <c r="S5904">
        <v>-3.0028990000000002</v>
      </c>
      <c r="T5904">
        <v>-2.6138069999999999E-2</v>
      </c>
      <c r="U5904">
        <v>-4.9133299999999998E-2</v>
      </c>
      <c r="V5904">
        <v>-1.133076E-2</v>
      </c>
      <c r="W5904">
        <v>-4.1809539999999999E-2</v>
      </c>
      <c r="X5904">
        <v>0.99906130000000004</v>
      </c>
      <c r="Y5904">
        <v>-1.6250520000000001E-2</v>
      </c>
      <c r="Z5904">
        <v>-1.8399280000000001E-4</v>
      </c>
      <c r="AA5904">
        <v>0.99986790000000003</v>
      </c>
      <c r="AB5904">
        <v>29</v>
      </c>
      <c r="AC5904">
        <v>-128.62629999999999</v>
      </c>
      <c r="AD5904">
        <v>-1.1213020331900001</v>
      </c>
      <c r="AE5904">
        <v>-2.1075999999999899</v>
      </c>
      <c r="AF5904">
        <v>-2.0935926799059601</v>
      </c>
      <c r="AG5904">
        <v>-1.1213020331900001</v>
      </c>
      <c r="AH5904">
        <v>128.61675454304299</v>
      </c>
      <c r="AI5904">
        <v>90.499435221585699</v>
      </c>
      <c r="AJ5904">
        <v>90.932564595723605</v>
      </c>
      <c r="AK5904">
        <v>128.63868002177401</v>
      </c>
      <c r="AL5904">
        <v>92.396208755922302</v>
      </c>
      <c r="AM5904">
        <v>90.649786848546</v>
      </c>
      <c r="AN5904">
        <v>0.999999952457438</v>
      </c>
    </row>
    <row r="5905" spans="1:40" x14ac:dyDescent="0.25">
      <c r="A5905" t="str">
        <f>"20190303153926153"</f>
        <v>20190303153926153</v>
      </c>
      <c r="B5905" t="str">
        <f>"1551598766144711"</f>
        <v>1551598766144711</v>
      </c>
      <c r="C5905" t="s">
        <v>40</v>
      </c>
      <c r="D5905">
        <v>3.9853529999999999</v>
      </c>
      <c r="E5905">
        <v>0.49838339999999998</v>
      </c>
      <c r="F5905" t="s">
        <v>68</v>
      </c>
      <c r="G5905">
        <v>-416.10840000000002</v>
      </c>
      <c r="H5905" s="1">
        <v>-1.007317E-5</v>
      </c>
      <c r="I5905">
        <v>139.47040000000001</v>
      </c>
      <c r="J5905">
        <v>-288.13900000000001</v>
      </c>
      <c r="K5905">
        <v>1.1213010000000001</v>
      </c>
      <c r="L5905">
        <v>141.58199999999999</v>
      </c>
      <c r="M5905">
        <v>-0.99990349999999995</v>
      </c>
      <c r="N5905">
        <v>-1.389577E-2</v>
      </c>
      <c r="O5905">
        <v>-2.8853860000000001E-4</v>
      </c>
      <c r="P5905">
        <v>-0.99840169999999995</v>
      </c>
      <c r="Q5905">
        <v>-5.5438389999999997E-2</v>
      </c>
      <c r="R5905">
        <v>-1.098988E-2</v>
      </c>
      <c r="S5905">
        <v>-3.0028079999999999</v>
      </c>
      <c r="T5905">
        <v>-2.627432E-2</v>
      </c>
      <c r="U5905">
        <v>-4.948425E-2</v>
      </c>
      <c r="V5905">
        <v>-1.06806E-2</v>
      </c>
      <c r="W5905">
        <v>-4.1564940000000002E-2</v>
      </c>
      <c r="X5905">
        <v>0.99907869999999999</v>
      </c>
      <c r="Y5905">
        <v>-1.6186969999999998E-2</v>
      </c>
      <c r="Z5905">
        <v>-1.847799E-4</v>
      </c>
      <c r="AA5905">
        <v>0.99986900000000001</v>
      </c>
      <c r="AB5905">
        <v>29</v>
      </c>
      <c r="AC5905">
        <v>-127.96939999999999</v>
      </c>
      <c r="AD5905">
        <v>-1.12131107317</v>
      </c>
      <c r="AE5905">
        <v>-2.1115999999999802</v>
      </c>
      <c r="AF5905">
        <v>-2.0745130038187298</v>
      </c>
      <c r="AG5905">
        <v>-1.12131107317</v>
      </c>
      <c r="AH5905">
        <v>127.96018208479001</v>
      </c>
      <c r="AI5905">
        <v>90.502002308692695</v>
      </c>
      <c r="AJ5905">
        <v>90.9288078977916</v>
      </c>
      <c r="AK5905">
        <v>127.981909432148</v>
      </c>
      <c r="AL5905">
        <v>92.382181938754798</v>
      </c>
      <c r="AM5905">
        <v>90.612494282744194</v>
      </c>
      <c r="AN5905">
        <v>0.99999998412362601</v>
      </c>
    </row>
    <row r="5906" spans="1:40" x14ac:dyDescent="0.25">
      <c r="A5906" t="str">
        <f>"20190303153926168"</f>
        <v>20190303153926168</v>
      </c>
      <c r="B5906" t="str">
        <f>"1551598766164231"</f>
        <v>1551598766164231</v>
      </c>
      <c r="C5906" t="s">
        <v>40</v>
      </c>
      <c r="D5906">
        <v>4.0210429999999997</v>
      </c>
      <c r="E5906">
        <v>0.49829820000000002</v>
      </c>
      <c r="F5906" t="s">
        <v>68</v>
      </c>
      <c r="G5906">
        <v>-418.88470000000001</v>
      </c>
      <c r="H5906" s="1">
        <v>-9.8383830000000007E-6</v>
      </c>
      <c r="I5906">
        <v>139.49119999999999</v>
      </c>
      <c r="J5906">
        <v>-288.33019999999999</v>
      </c>
      <c r="K5906">
        <v>1.1213029999999999</v>
      </c>
      <c r="L5906">
        <v>141.58170000000001</v>
      </c>
      <c r="M5906">
        <v>-0.99990299999999999</v>
      </c>
      <c r="N5906">
        <v>-1.3920109999999999E-2</v>
      </c>
      <c r="O5906">
        <v>-4.796701E-4</v>
      </c>
      <c r="P5906">
        <v>-0.99843899999999997</v>
      </c>
      <c r="Q5906">
        <v>-5.4870339999999997E-2</v>
      </c>
      <c r="R5906">
        <v>-1.0443620000000001E-2</v>
      </c>
      <c r="S5906">
        <v>-3.0028380000000001</v>
      </c>
      <c r="T5906">
        <v>-2.5753140000000001E-2</v>
      </c>
      <c r="U5906">
        <v>-4.8019409999999998E-2</v>
      </c>
      <c r="V5906">
        <v>-9.9438510000000001E-3</v>
      </c>
      <c r="W5906">
        <v>-4.09717E-2</v>
      </c>
      <c r="X5906">
        <v>0.99911079999999997</v>
      </c>
      <c r="Y5906">
        <v>-1.550815E-2</v>
      </c>
      <c r="Z5906">
        <v>-1.770141E-4</v>
      </c>
      <c r="AA5906">
        <v>0.99987969999999904</v>
      </c>
      <c r="AB5906">
        <v>29</v>
      </c>
      <c r="AC5906">
        <v>-130.55449999999999</v>
      </c>
      <c r="AD5906">
        <v>-1.121312838383</v>
      </c>
      <c r="AE5906">
        <v>-2.09050000000002</v>
      </c>
      <c r="AF5906">
        <v>-2.0277210583309002</v>
      </c>
      <c r="AG5906">
        <v>-1.121312838383</v>
      </c>
      <c r="AH5906">
        <v>130.545860145023</v>
      </c>
      <c r="AI5906">
        <v>90.492065891551306</v>
      </c>
      <c r="AJ5906">
        <v>90.889882809044394</v>
      </c>
      <c r="AK5906">
        <v>130.56642216196201</v>
      </c>
      <c r="AL5906">
        <v>92.348162828779607</v>
      </c>
      <c r="AM5906">
        <v>90.570228930963594</v>
      </c>
      <c r="AN5906">
        <v>0.99999997552511899</v>
      </c>
    </row>
    <row r="5907" spans="1:40" x14ac:dyDescent="0.25">
      <c r="A5907" t="str">
        <f>"20190303153926183"</f>
        <v>20190303153926183</v>
      </c>
      <c r="B5907" t="str">
        <f>"1551598766173991"</f>
        <v>1551598766173991</v>
      </c>
      <c r="C5907" t="s">
        <v>40</v>
      </c>
      <c r="D5907">
        <v>3.999574</v>
      </c>
      <c r="E5907">
        <v>0.4982531</v>
      </c>
      <c r="F5907" t="s">
        <v>68</v>
      </c>
      <c r="G5907">
        <v>-419.85419999999999</v>
      </c>
      <c r="H5907" s="1">
        <v>-9.7681220000000007E-6</v>
      </c>
      <c r="I5907">
        <v>139.52529999999999</v>
      </c>
      <c r="J5907">
        <v>-288.52519999999998</v>
      </c>
      <c r="K5907">
        <v>1.1213029999999999</v>
      </c>
      <c r="L5907">
        <v>141.5814</v>
      </c>
      <c r="M5907">
        <v>-0.99990270000000003</v>
      </c>
      <c r="N5907">
        <v>-1.394187E-2</v>
      </c>
      <c r="O5907">
        <v>-6.7471419999999896E-4</v>
      </c>
      <c r="P5907">
        <v>-0.99842370000000003</v>
      </c>
      <c r="Q5907">
        <v>-5.519164E-2</v>
      </c>
      <c r="R5907">
        <v>-1.022496E-2</v>
      </c>
      <c r="S5907">
        <v>-3.0028079999999999</v>
      </c>
      <c r="T5907">
        <v>-2.560055E-2</v>
      </c>
      <c r="U5907">
        <v>-4.695129E-2</v>
      </c>
      <c r="V5907">
        <v>-9.5302040000000005E-3</v>
      </c>
      <c r="W5907">
        <v>-4.1271170000000003E-2</v>
      </c>
      <c r="X5907">
        <v>0.9991025</v>
      </c>
      <c r="Y5907">
        <v>-1.495777E-2</v>
      </c>
      <c r="Z5907">
        <v>-1.7169740000000001E-4</v>
      </c>
      <c r="AA5907">
        <v>0.99988809999999995</v>
      </c>
      <c r="AB5907">
        <v>29</v>
      </c>
      <c r="AC5907">
        <v>-131.32900000000001</v>
      </c>
      <c r="AD5907">
        <v>-1.1213127681219901</v>
      </c>
      <c r="AE5907">
        <v>-2.05610000000001</v>
      </c>
      <c r="AF5907">
        <v>-1.9673380029990599</v>
      </c>
      <c r="AG5907">
        <v>-1.1213127681219901</v>
      </c>
      <c r="AH5907">
        <v>131.320786472034</v>
      </c>
      <c r="AI5907">
        <v>90.489166427272494</v>
      </c>
      <c r="AJ5907">
        <v>90.858293159973201</v>
      </c>
      <c r="AK5907">
        <v>131.340308819401</v>
      </c>
      <c r="AL5907">
        <v>92.365335735294195</v>
      </c>
      <c r="AM5907">
        <v>90.546514403629601</v>
      </c>
      <c r="AN5907">
        <v>0.99999996988384898</v>
      </c>
    </row>
    <row r="5908" spans="1:40" x14ac:dyDescent="0.25">
      <c r="A5908" t="str">
        <f>"20190303153926202"</f>
        <v>20190303153926202</v>
      </c>
      <c r="B5908" t="str">
        <f>"1551598766194487"</f>
        <v>1551598766194487</v>
      </c>
      <c r="C5908" t="s">
        <v>40</v>
      </c>
      <c r="D5908">
        <v>3.9983960000000001</v>
      </c>
      <c r="E5908">
        <v>0.51373310000000005</v>
      </c>
      <c r="F5908" t="s">
        <v>68</v>
      </c>
      <c r="G5908">
        <v>-410.96910000000003</v>
      </c>
      <c r="H5908" s="1">
        <v>-1.061186E-5</v>
      </c>
      <c r="I5908">
        <v>139.6831</v>
      </c>
      <c r="J5908">
        <v>-288.77260000000001</v>
      </c>
      <c r="K5908">
        <v>1.121305</v>
      </c>
      <c r="L5908">
        <v>141.58099999999999</v>
      </c>
      <c r="M5908">
        <v>-0.99990219999999996</v>
      </c>
      <c r="N5908">
        <v>-1.3966660000000001E-2</v>
      </c>
      <c r="O5908">
        <v>-9.2210990000000004E-4</v>
      </c>
      <c r="P5908">
        <v>-0.99841979999999997</v>
      </c>
      <c r="Q5908">
        <v>-5.5439059999999998E-2</v>
      </c>
      <c r="R5908">
        <v>-9.2084039999999999E-3</v>
      </c>
      <c r="S5908">
        <v>-3.0027469999999998</v>
      </c>
      <c r="T5908">
        <v>-2.7498479999999999E-2</v>
      </c>
      <c r="U5908">
        <v>-4.6554570000000003E-2</v>
      </c>
      <c r="V5908">
        <v>-8.2666849999999993E-3</v>
      </c>
      <c r="W5908">
        <v>-4.1493179999999998E-2</v>
      </c>
      <c r="X5908">
        <v>0.99910460000000001</v>
      </c>
      <c r="Y5908">
        <v>-1.4578509999999999E-2</v>
      </c>
      <c r="Z5908">
        <v>-1.7300599999999999E-4</v>
      </c>
      <c r="AA5908">
        <v>0.9998937</v>
      </c>
      <c r="AB5908">
        <v>29</v>
      </c>
      <c r="AC5908">
        <v>-122.1965</v>
      </c>
      <c r="AD5908">
        <v>-1.1213156118600001</v>
      </c>
      <c r="AE5908">
        <v>-1.8979000000000199</v>
      </c>
      <c r="AF5908">
        <v>-1.7850593426578301</v>
      </c>
      <c r="AG5908">
        <v>-1.1213156118600001</v>
      </c>
      <c r="AH5908">
        <v>122.187911922225</v>
      </c>
      <c r="AI5908">
        <v>90.525731173310405</v>
      </c>
      <c r="AJ5908">
        <v>90.836982068577399</v>
      </c>
      <c r="AK5908">
        <v>122.206094796747</v>
      </c>
      <c r="AL5908">
        <v>92.378066777341104</v>
      </c>
      <c r="AM5908">
        <v>90.474059825972105</v>
      </c>
      <c r="AN5908">
        <v>1.00000001190428</v>
      </c>
    </row>
    <row r="5909" spans="1:40" x14ac:dyDescent="0.25">
      <c r="A5909" t="str">
        <f>"20190303153926216"</f>
        <v>20190303153926216</v>
      </c>
      <c r="B5909" t="str">
        <f>"1551598766204246"</f>
        <v>1551598766204246</v>
      </c>
      <c r="C5909" t="s">
        <v>40</v>
      </c>
      <c r="D5909">
        <v>4.0394839999999999</v>
      </c>
      <c r="E5909">
        <v>0.51499379999999995</v>
      </c>
      <c r="F5909" t="s">
        <v>46</v>
      </c>
      <c r="G5909">
        <v>0</v>
      </c>
      <c r="H5909">
        <v>0</v>
      </c>
      <c r="I5909">
        <v>0</v>
      </c>
      <c r="J5909">
        <v>-288.95800000000003</v>
      </c>
      <c r="K5909">
        <v>1.1213070000000001</v>
      </c>
      <c r="L5909">
        <v>141.5806</v>
      </c>
      <c r="M5909">
        <v>-0.99990179999999995</v>
      </c>
      <c r="N5909">
        <v>-1.398306E-2</v>
      </c>
      <c r="O5909">
        <v>-1.1075830000000001E-3</v>
      </c>
      <c r="P5909">
        <v>-0.99841860000000004</v>
      </c>
      <c r="Q5909">
        <v>-5.5498190000000003E-2</v>
      </c>
      <c r="R5909">
        <v>-8.9863759999999904E-3</v>
      </c>
      <c r="S5909">
        <v>-3.0076290000000001</v>
      </c>
      <c r="T5909">
        <v>3.8623690000000002E-2</v>
      </c>
      <c r="U5909">
        <v>7.9193120000000006E-2</v>
      </c>
      <c r="V5909">
        <v>-7.8588630000000007E-3</v>
      </c>
      <c r="W5909">
        <v>-4.1535710000000003E-2</v>
      </c>
      <c r="X5909">
        <v>0.9991061</v>
      </c>
      <c r="Y5909">
        <v>2.7428709999999999E-2</v>
      </c>
      <c r="Z5909" s="1">
        <v>-1.39747E-5</v>
      </c>
      <c r="AA5909">
        <v>0.99962379999999995</v>
      </c>
      <c r="AB5909">
        <v>29</v>
      </c>
      <c r="AC5909">
        <v>-3.0076290000000001</v>
      </c>
      <c r="AD5909">
        <v>3.8623690000000002E-2</v>
      </c>
      <c r="AE5909">
        <v>7.9193120000000006E-2</v>
      </c>
      <c r="AF5909">
        <v>8.2510997441237605E-2</v>
      </c>
      <c r="AG5909">
        <v>3.8623690000000002E-2</v>
      </c>
      <c r="AH5909">
        <v>3.00704387159867</v>
      </c>
      <c r="AI5909">
        <v>89.264387100796696</v>
      </c>
      <c r="AJ5909">
        <v>88.4282417607876</v>
      </c>
      <c r="AK5909">
        <v>3.0084236237350499</v>
      </c>
      <c r="AL5909">
        <v>92.380505726323307</v>
      </c>
      <c r="AM5909">
        <v>90.450673252224206</v>
      </c>
      <c r="AN5909">
        <v>0.99999998799503298</v>
      </c>
    </row>
    <row r="5910" spans="1:40" x14ac:dyDescent="0.25">
      <c r="A5910" t="str">
        <f>"20190303153926235"</f>
        <v>20190303153926235</v>
      </c>
      <c r="B5910" t="str">
        <f>"1551598766224746"</f>
        <v>1551598766224746</v>
      </c>
      <c r="C5910" t="s">
        <v>40</v>
      </c>
      <c r="D5910">
        <v>4.064762</v>
      </c>
      <c r="E5910">
        <v>0.51523079999999999</v>
      </c>
      <c r="F5910" t="s">
        <v>46</v>
      </c>
      <c r="G5910">
        <v>0</v>
      </c>
      <c r="H5910">
        <v>0</v>
      </c>
      <c r="I5910">
        <v>0</v>
      </c>
      <c r="J5910">
        <v>-289.19690000000003</v>
      </c>
      <c r="K5910">
        <v>1.1213169999999999</v>
      </c>
      <c r="L5910">
        <v>141.58009999999999</v>
      </c>
      <c r="M5910">
        <v>-0.99990120000000005</v>
      </c>
      <c r="N5910">
        <v>-1.4001690000000001E-2</v>
      </c>
      <c r="O5910">
        <v>-1.3458729999999901E-3</v>
      </c>
      <c r="P5910">
        <v>-0.99847529999999995</v>
      </c>
      <c r="Q5910">
        <v>-5.4586790000000003E-2</v>
      </c>
      <c r="R5910">
        <v>-8.2149979999999994E-3</v>
      </c>
      <c r="S5910">
        <v>-3.0067140000000001</v>
      </c>
      <c r="T5910">
        <v>2.0721199999999999E-2</v>
      </c>
      <c r="U5910">
        <v>9.0103150000000007E-2</v>
      </c>
      <c r="V5910">
        <v>-6.850559E-3</v>
      </c>
      <c r="W5910">
        <v>-4.060445E-2</v>
      </c>
      <c r="X5910">
        <v>0.99915180000000003</v>
      </c>
      <c r="Y5910">
        <v>3.1299720000000003E-2</v>
      </c>
      <c r="Z5910" s="1">
        <v>8.3240389999999996E-5</v>
      </c>
      <c r="AA5910">
        <v>0.99951000000000001</v>
      </c>
      <c r="AB5910">
        <v>29</v>
      </c>
      <c r="AC5910">
        <v>-3.0067140000000001</v>
      </c>
      <c r="AD5910">
        <v>2.0721199999999999E-2</v>
      </c>
      <c r="AE5910">
        <v>9.0103150000000007E-2</v>
      </c>
      <c r="AF5910">
        <v>9.4145652341110997E-2</v>
      </c>
      <c r="AG5910">
        <v>2.0721199999999999E-2</v>
      </c>
      <c r="AH5910">
        <v>3.00644733471945</v>
      </c>
      <c r="AI5910">
        <v>89.605302629091696</v>
      </c>
      <c r="AJ5910">
        <v>88.206392528548506</v>
      </c>
      <c r="AK5910">
        <v>3.00799241163037</v>
      </c>
      <c r="AL5910">
        <v>92.327103404729996</v>
      </c>
      <c r="AM5910">
        <v>90.392835170384799</v>
      </c>
      <c r="AN5910">
        <v>0.99999998548082702</v>
      </c>
    </row>
    <row r="5911" spans="1:40" x14ac:dyDescent="0.25">
      <c r="A5911" t="str">
        <f>"20190303153926252"</f>
        <v>20190303153926252</v>
      </c>
      <c r="B5911" t="str">
        <f>"1551598766244263"</f>
        <v>1551598766244263</v>
      </c>
      <c r="C5911" t="s">
        <v>40</v>
      </c>
      <c r="D5911">
        <v>4.363213</v>
      </c>
      <c r="E5911">
        <v>0.51572910000000005</v>
      </c>
      <c r="F5911" t="s">
        <v>70</v>
      </c>
      <c r="G5911">
        <v>-551.89469999999994</v>
      </c>
      <c r="H5911">
        <v>1.579698</v>
      </c>
      <c r="I5911">
        <v>149.8432</v>
      </c>
      <c r="J5911">
        <v>-289.40269999999998</v>
      </c>
      <c r="K5911">
        <v>1.1213280000000001</v>
      </c>
      <c r="L5911">
        <v>141.5796</v>
      </c>
      <c r="M5911">
        <v>-0.99990060000000003</v>
      </c>
      <c r="N5911">
        <v>-1.401588E-2</v>
      </c>
      <c r="O5911">
        <v>-1.5495509999999999E-3</v>
      </c>
      <c r="P5911">
        <v>-0.99850380000000005</v>
      </c>
      <c r="Q5911">
        <v>-5.4092399999999999E-2</v>
      </c>
      <c r="R5911">
        <v>-8.0212679999999998E-3</v>
      </c>
      <c r="S5911">
        <v>-3.0056759999999998</v>
      </c>
      <c r="T5911">
        <v>5.24509E-3</v>
      </c>
      <c r="U5911">
        <v>9.4543459999999996E-2</v>
      </c>
      <c r="V5911">
        <v>-6.4533460000000004E-3</v>
      </c>
      <c r="W5911">
        <v>-4.0095289999999999E-2</v>
      </c>
      <c r="X5911">
        <v>0.99917500000000004</v>
      </c>
      <c r="Y5911">
        <v>3.2988480000000001E-2</v>
      </c>
      <c r="Z5911">
        <v>1.780551E-4</v>
      </c>
      <c r="AA5911">
        <v>0.99945569999999895</v>
      </c>
      <c r="AB5911">
        <v>29</v>
      </c>
      <c r="AC5911">
        <v>-262.49200000000002</v>
      </c>
      <c r="AD5911">
        <v>0.45837</v>
      </c>
      <c r="AE5911">
        <v>8.2635999999999896</v>
      </c>
      <c r="AF5911">
        <v>8.6703483518994897</v>
      </c>
      <c r="AG5911">
        <v>0.45837</v>
      </c>
      <c r="AH5911">
        <v>262.47807909275502</v>
      </c>
      <c r="AI5911">
        <v>89.899998036905401</v>
      </c>
      <c r="AJ5911">
        <v>88.108056104307096</v>
      </c>
      <c r="AK5911">
        <v>262.62164238276898</v>
      </c>
      <c r="AL5911">
        <v>92.297906921859706</v>
      </c>
      <c r="AM5911">
        <v>90.370049639316704</v>
      </c>
      <c r="AN5911">
        <v>0.99999997928988904</v>
      </c>
    </row>
    <row r="5912" spans="1:40" x14ac:dyDescent="0.25">
      <c r="A5912" t="str">
        <f>"20190303153926270"</f>
        <v>20190303153926270</v>
      </c>
      <c r="B5912" t="str">
        <f>"1551598766264760"</f>
        <v>1551598766264760</v>
      </c>
      <c r="C5912" t="s">
        <v>40</v>
      </c>
      <c r="D5912">
        <v>4.0180179999999996</v>
      </c>
      <c r="E5912">
        <v>0.5159416</v>
      </c>
      <c r="F5912" t="s">
        <v>70</v>
      </c>
      <c r="G5912">
        <v>-550.16240000000005</v>
      </c>
      <c r="H5912">
        <v>1.4877</v>
      </c>
      <c r="I5912">
        <v>150.16999999999999</v>
      </c>
      <c r="J5912">
        <v>-289.64150000000001</v>
      </c>
      <c r="K5912">
        <v>1.1213329999999999</v>
      </c>
      <c r="L5912">
        <v>141.57900000000001</v>
      </c>
      <c r="M5912">
        <v>-0.99989989999999995</v>
      </c>
      <c r="N5912">
        <v>-1.403016E-2</v>
      </c>
      <c r="O5912">
        <v>-1.780364E-3</v>
      </c>
      <c r="P5912">
        <v>-0.9985465</v>
      </c>
      <c r="Q5912">
        <v>-5.3297049999999999E-2</v>
      </c>
      <c r="R5912">
        <v>-8.0275840000000008E-3</v>
      </c>
      <c r="S5912">
        <v>-3.0055540000000001</v>
      </c>
      <c r="T5912">
        <v>4.2233469999999997E-3</v>
      </c>
      <c r="U5912">
        <v>9.9014279999999996E-2</v>
      </c>
      <c r="V5912">
        <v>-6.2300949999999997E-3</v>
      </c>
      <c r="W5912">
        <v>-3.9284949999999999E-2</v>
      </c>
      <c r="X5912">
        <v>0.9992086</v>
      </c>
      <c r="Y5912">
        <v>3.4705519999999997E-2</v>
      </c>
      <c r="Z5912">
        <v>1.9168780000000001E-4</v>
      </c>
      <c r="AA5912">
        <v>0.9993976</v>
      </c>
      <c r="AB5912">
        <v>29</v>
      </c>
      <c r="AC5912">
        <v>-260.52089999999998</v>
      </c>
      <c r="AD5912">
        <v>0.366367</v>
      </c>
      <c r="AE5912">
        <v>8.5909999999999798</v>
      </c>
      <c r="AF5912">
        <v>9.0548362236438305</v>
      </c>
      <c r="AG5912">
        <v>0.366367</v>
      </c>
      <c r="AH5912">
        <v>260.50467579298999</v>
      </c>
      <c r="AI5912">
        <v>89.919469391968704</v>
      </c>
      <c r="AJ5912">
        <v>88.009267533884895</v>
      </c>
      <c r="AK5912">
        <v>260.66225348873701</v>
      </c>
      <c r="AL5912">
        <v>92.251441256661707</v>
      </c>
      <c r="AM5912">
        <v>90.357236240681203</v>
      </c>
      <c r="AN5912">
        <v>0.99999997384708506</v>
      </c>
    </row>
    <row r="5913" spans="1:40" x14ac:dyDescent="0.25">
      <c r="A5913" t="str">
        <f>"20190303153926291"</f>
        <v>20190303153926291</v>
      </c>
      <c r="B5913" t="str">
        <f>"1551598766284538"</f>
        <v>1551598766284538</v>
      </c>
      <c r="C5913" t="s">
        <v>40</v>
      </c>
      <c r="D5913">
        <v>3.979155</v>
      </c>
      <c r="E5913">
        <v>0.51610049999999996</v>
      </c>
      <c r="F5913" t="s">
        <v>70</v>
      </c>
      <c r="G5913">
        <v>-550.16250000000002</v>
      </c>
      <c r="H5913">
        <v>1.850104</v>
      </c>
      <c r="I5913">
        <v>150.3056</v>
      </c>
      <c r="J5913">
        <v>-289.9126</v>
      </c>
      <c r="K5913">
        <v>1.1213329999999999</v>
      </c>
      <c r="L5913">
        <v>141.57820000000001</v>
      </c>
      <c r="M5913">
        <v>-0.99989930000000005</v>
      </c>
      <c r="N5913">
        <v>-1.40439E-2</v>
      </c>
      <c r="O5913">
        <v>-2.0304030000000001E-3</v>
      </c>
      <c r="P5913">
        <v>-0.99855190000000005</v>
      </c>
      <c r="Q5913">
        <v>-5.3081150000000001E-2</v>
      </c>
      <c r="R5913">
        <v>-8.7397099999999995E-3</v>
      </c>
      <c r="S5913">
        <v>-3.005585</v>
      </c>
      <c r="T5913">
        <v>8.4081889999999999E-3</v>
      </c>
      <c r="U5913">
        <v>0.1006775</v>
      </c>
      <c r="V5913">
        <v>-6.6932729999999996E-3</v>
      </c>
      <c r="W5913">
        <v>-3.9055310000000003E-2</v>
      </c>
      <c r="X5913">
        <v>0.99921459999999995</v>
      </c>
      <c r="Y5913">
        <v>3.5507700000000003E-2</v>
      </c>
      <c r="Z5913">
        <v>1.6557470000000001E-4</v>
      </c>
      <c r="AA5913">
        <v>0.99936939999999996</v>
      </c>
      <c r="AB5913">
        <v>29</v>
      </c>
      <c r="AC5913">
        <v>-260.24990000000003</v>
      </c>
      <c r="AD5913">
        <v>0.72877099999999995</v>
      </c>
      <c r="AE5913">
        <v>8.7273999999999798</v>
      </c>
      <c r="AF5913">
        <v>9.2557738136357202</v>
      </c>
      <c r="AG5913">
        <v>0.72877099999999995</v>
      </c>
      <c r="AH5913">
        <v>260.22960325454801</v>
      </c>
      <c r="AI5913">
        <v>89.839645426864905</v>
      </c>
      <c r="AJ5913">
        <v>87.962978421327406</v>
      </c>
      <c r="AK5913">
        <v>260.395174429326</v>
      </c>
      <c r="AL5913">
        <v>92.238273763492899</v>
      </c>
      <c r="AM5913">
        <v>90.383791988539002</v>
      </c>
      <c r="AN5913">
        <v>0.99999996699790294</v>
      </c>
    </row>
    <row r="5914" spans="1:40" x14ac:dyDescent="0.25">
      <c r="A5914" t="str">
        <f>"20190303153926306"</f>
        <v>20190303153926306</v>
      </c>
      <c r="B5914" t="str">
        <f>"1551598766294299"</f>
        <v>1551598766294299</v>
      </c>
      <c r="C5914" t="s">
        <v>40</v>
      </c>
      <c r="D5914">
        <v>4.0130879999999998</v>
      </c>
      <c r="E5914">
        <v>0.5158623</v>
      </c>
      <c r="F5914" t="s">
        <v>70</v>
      </c>
      <c r="G5914">
        <v>-550.16250000000002</v>
      </c>
      <c r="H5914">
        <v>1.6914669999999901</v>
      </c>
      <c r="I5914">
        <v>150.20320000000001</v>
      </c>
      <c r="J5914">
        <v>-290.10840000000002</v>
      </c>
      <c r="K5914">
        <v>1.1213280000000001</v>
      </c>
      <c r="L5914">
        <v>141.57759999999999</v>
      </c>
      <c r="M5914">
        <v>-0.99989890000000003</v>
      </c>
      <c r="N5914">
        <v>-1.4052449999999999E-2</v>
      </c>
      <c r="O5914">
        <v>-2.2008879999999998E-3</v>
      </c>
      <c r="P5914">
        <v>-0.99853890000000001</v>
      </c>
      <c r="Q5914">
        <v>-5.3193310000000001E-2</v>
      </c>
      <c r="R5914">
        <v>-9.5275930000000009E-3</v>
      </c>
      <c r="S5914">
        <v>-3.005585</v>
      </c>
      <c r="T5914">
        <v>6.5848829999999997E-3</v>
      </c>
      <c r="U5914">
        <v>9.9609379999999997E-2</v>
      </c>
      <c r="V5914">
        <v>-7.31169099999999E-3</v>
      </c>
      <c r="W5914">
        <v>-3.9159199999999998E-2</v>
      </c>
      <c r="X5914">
        <v>0.99920620000000004</v>
      </c>
      <c r="Y5914">
        <v>3.5323229999999997E-2</v>
      </c>
      <c r="Z5914">
        <v>1.73843E-4</v>
      </c>
      <c r="AA5914">
        <v>0.99937589999999998</v>
      </c>
      <c r="AB5914">
        <v>29</v>
      </c>
      <c r="AC5914">
        <v>-260.05410000000001</v>
      </c>
      <c r="AD5914">
        <v>0.57013899999999895</v>
      </c>
      <c r="AE5914">
        <v>8.6256000000000199</v>
      </c>
      <c r="AF5914">
        <v>9.1979413750512204</v>
      </c>
      <c r="AG5914">
        <v>0.57013899999999895</v>
      </c>
      <c r="AH5914">
        <v>260.03323569181401</v>
      </c>
      <c r="AI5914">
        <v>89.874454166565499</v>
      </c>
      <c r="AJ5914">
        <v>87.974168222818506</v>
      </c>
      <c r="AK5914">
        <v>260.19648508074101</v>
      </c>
      <c r="AL5914">
        <v>92.244230779352193</v>
      </c>
      <c r="AM5914">
        <v>90.419254362459995</v>
      </c>
      <c r="AN5914">
        <v>0.99999996694417903</v>
      </c>
    </row>
    <row r="5915" spans="1:40" x14ac:dyDescent="0.25">
      <c r="A5915" t="str">
        <f>"20190303153926319"</f>
        <v>20190303153926319</v>
      </c>
      <c r="B5915" t="str">
        <f>"1551598766314795"</f>
        <v>1551598766314795</v>
      </c>
      <c r="C5915" t="s">
        <v>40</v>
      </c>
      <c r="D5915">
        <v>3.9970140000000001</v>
      </c>
      <c r="E5915">
        <v>0.51533180000000001</v>
      </c>
      <c r="F5915" t="s">
        <v>70</v>
      </c>
      <c r="G5915">
        <v>-550.43409999999994</v>
      </c>
      <c r="H5915">
        <v>1.483892</v>
      </c>
      <c r="I5915">
        <v>149.8432</v>
      </c>
      <c r="J5915">
        <v>-290.27449999999999</v>
      </c>
      <c r="K5915">
        <v>1.1213200000000001</v>
      </c>
      <c r="L5915">
        <v>141.5771</v>
      </c>
      <c r="M5915">
        <v>-0.99989859999999997</v>
      </c>
      <c r="N5915">
        <v>-1.405884E-2</v>
      </c>
      <c r="O5915">
        <v>-2.3347400000000001E-3</v>
      </c>
      <c r="P5915">
        <v>-0.99852160000000001</v>
      </c>
      <c r="Q5915">
        <v>-5.339298E-2</v>
      </c>
      <c r="R5915">
        <v>-1.019812E-2</v>
      </c>
      <c r="S5915">
        <v>-3.0055239999999999</v>
      </c>
      <c r="T5915">
        <v>4.1863919999999997E-3</v>
      </c>
      <c r="U5915">
        <v>9.5428470000000001E-2</v>
      </c>
      <c r="V5915">
        <v>-7.8495530000000004E-3</v>
      </c>
      <c r="W5915">
        <v>-3.9352730000000002E-2</v>
      </c>
      <c r="X5915">
        <v>0.99919460000000004</v>
      </c>
      <c r="Y5915">
        <v>3.4068759999999997E-2</v>
      </c>
      <c r="Z5915">
        <v>1.7976560000000001E-4</v>
      </c>
      <c r="AA5915">
        <v>0.99941950000000002</v>
      </c>
      <c r="AB5915">
        <v>29</v>
      </c>
      <c r="AC5915">
        <v>-260.15959999999899</v>
      </c>
      <c r="AD5915">
        <v>0.36257199999999901</v>
      </c>
      <c r="AE5915">
        <v>8.2660999999999891</v>
      </c>
      <c r="AF5915">
        <v>8.8735252144899199</v>
      </c>
      <c r="AG5915">
        <v>0.36257199999999901</v>
      </c>
      <c r="AH5915">
        <v>260.13908494398203</v>
      </c>
      <c r="AI5915">
        <v>89.920189782758996</v>
      </c>
      <c r="AJ5915">
        <v>88.046358567581194</v>
      </c>
      <c r="AK5915">
        <v>260.29063452932701</v>
      </c>
      <c r="AL5915">
        <v>92.255327596538294</v>
      </c>
      <c r="AM5915">
        <v>90.450099516449299</v>
      </c>
      <c r="AN5915">
        <v>1.00000005075495</v>
      </c>
    </row>
    <row r="5916" spans="1:40" x14ac:dyDescent="0.25">
      <c r="A5916" t="str">
        <f>"20190303153926335"</f>
        <v>20190303153926335</v>
      </c>
      <c r="B5916" t="str">
        <f>"1551598766324555"</f>
        <v>1551598766324555</v>
      </c>
      <c r="C5916" t="s">
        <v>40</v>
      </c>
      <c r="D5916">
        <v>4.0368190000000004</v>
      </c>
      <c r="E5916">
        <v>0.51506529999999995</v>
      </c>
      <c r="F5916" t="s">
        <v>46</v>
      </c>
      <c r="G5916">
        <v>0</v>
      </c>
      <c r="H5916">
        <v>0</v>
      </c>
      <c r="I5916">
        <v>0</v>
      </c>
      <c r="J5916">
        <v>-290.47809999999998</v>
      </c>
      <c r="K5916">
        <v>1.1213010000000001</v>
      </c>
      <c r="L5916">
        <v>141.57640000000001</v>
      </c>
      <c r="M5916">
        <v>-0.99989810000000001</v>
      </c>
      <c r="N5916">
        <v>-1.4062450000000001E-2</v>
      </c>
      <c r="O5916">
        <v>-2.4849239999999999E-3</v>
      </c>
      <c r="P5916">
        <v>-0.99845030000000001</v>
      </c>
      <c r="Q5916">
        <v>-5.4400270000000001E-2</v>
      </c>
      <c r="R5916">
        <v>-1.1757190000000001E-2</v>
      </c>
      <c r="S5916">
        <v>-3.0054319999999999</v>
      </c>
      <c r="T5916">
        <v>1.268983E-3</v>
      </c>
      <c r="U5916">
        <v>8.9172360000000006E-2</v>
      </c>
      <c r="V5916">
        <v>-9.2599499999999994E-3</v>
      </c>
      <c r="W5916">
        <v>-4.0357490000000003E-2</v>
      </c>
      <c r="X5916">
        <v>0.99914239999999999</v>
      </c>
      <c r="Y5916">
        <v>3.2141160000000002E-2</v>
      </c>
      <c r="Z5916">
        <v>1.8328149999999999E-4</v>
      </c>
      <c r="AA5916">
        <v>0.99948329999999996</v>
      </c>
      <c r="AB5916">
        <v>29</v>
      </c>
      <c r="AC5916">
        <v>-3.0054319999999999</v>
      </c>
      <c r="AD5916">
        <v>1.268983E-3</v>
      </c>
      <c r="AE5916">
        <v>8.9172360000000006E-2</v>
      </c>
      <c r="AF5916">
        <v>9.6641075555270503E-2</v>
      </c>
      <c r="AG5916">
        <v>1.268983E-3</v>
      </c>
      <c r="AH5916">
        <v>3.00520057538471</v>
      </c>
      <c r="AI5916">
        <v>89.975818652163795</v>
      </c>
      <c r="AJ5916">
        <v>88.158120201117697</v>
      </c>
      <c r="AK5916">
        <v>3.0067543308516198</v>
      </c>
      <c r="AL5916">
        <v>92.312941986648298</v>
      </c>
      <c r="AM5916">
        <v>90.530996246149698</v>
      </c>
      <c r="AN5916">
        <v>1.00000000457543</v>
      </c>
    </row>
    <row r="5917" spans="1:40" x14ac:dyDescent="0.25">
      <c r="A5917" t="str">
        <f>"20190303153926350"</f>
        <v>20190303153926350</v>
      </c>
      <c r="B5917" t="str">
        <f>"1551598766344074"</f>
        <v>1551598766344074</v>
      </c>
      <c r="C5917" t="s">
        <v>40</v>
      </c>
      <c r="D5917">
        <v>4.0042450000000001</v>
      </c>
      <c r="E5917">
        <v>0.51526139999999998</v>
      </c>
      <c r="F5917" t="s">
        <v>46</v>
      </c>
      <c r="G5917">
        <v>0</v>
      </c>
      <c r="H5917">
        <v>0</v>
      </c>
      <c r="I5917">
        <v>0</v>
      </c>
      <c r="J5917">
        <v>-290.67540000000002</v>
      </c>
      <c r="K5917">
        <v>1.1212719999999901</v>
      </c>
      <c r="L5917">
        <v>141.57579999999999</v>
      </c>
      <c r="M5917">
        <v>-0.99989779999999995</v>
      </c>
      <c r="N5917">
        <v>-1.405792E-2</v>
      </c>
      <c r="O5917">
        <v>-2.6115040000000002E-3</v>
      </c>
      <c r="P5917">
        <v>-0.99840910000000005</v>
      </c>
      <c r="Q5917">
        <v>-5.4973080000000001E-2</v>
      </c>
      <c r="R5917">
        <v>-1.255296E-2</v>
      </c>
      <c r="S5917">
        <v>-3.0054630000000002</v>
      </c>
      <c r="T5917">
        <v>-3.0674930000000001E-3</v>
      </c>
      <c r="U5917">
        <v>8.2351679999999997E-2</v>
      </c>
      <c r="V5917">
        <v>-9.9310010000000001E-3</v>
      </c>
      <c r="W5917">
        <v>-4.0935079999999999E-2</v>
      </c>
      <c r="X5917">
        <v>0.99911240000000001</v>
      </c>
      <c r="Y5917">
        <v>3.000063E-2</v>
      </c>
      <c r="Z5917">
        <v>1.9218889999999999E-4</v>
      </c>
      <c r="AA5917">
        <v>0.99954989999999999</v>
      </c>
      <c r="AB5917">
        <v>29</v>
      </c>
      <c r="AC5917">
        <v>-3.0054630000000002</v>
      </c>
      <c r="AD5917">
        <v>-3.0674930000000001E-3</v>
      </c>
      <c r="AE5917">
        <v>8.2351679999999997E-2</v>
      </c>
      <c r="AF5917">
        <v>9.0200859335910502E-2</v>
      </c>
      <c r="AG5917">
        <v>-3.0674930000000001E-3</v>
      </c>
      <c r="AH5917">
        <v>3.0052345381925898</v>
      </c>
      <c r="AI5917">
        <v>90.058456412123803</v>
      </c>
      <c r="AJ5917">
        <v>88.280807246531495</v>
      </c>
      <c r="AK5917">
        <v>3.0065894688307302</v>
      </c>
      <c r="AL5917">
        <v>92.346062963236093</v>
      </c>
      <c r="AM5917">
        <v>90.569491185896894</v>
      </c>
      <c r="AN5917">
        <v>0.99999994669461201</v>
      </c>
    </row>
    <row r="5918" spans="1:40" x14ac:dyDescent="0.25">
      <c r="A5918" t="str">
        <f>"20190303153926368"</f>
        <v>20190303153926368</v>
      </c>
      <c r="B5918" t="str">
        <f>"1551598766364570"</f>
        <v>1551598766364570</v>
      </c>
      <c r="C5918" t="s">
        <v>40</v>
      </c>
      <c r="D5918">
        <v>4.0205260000000003</v>
      </c>
      <c r="E5918">
        <v>0.51492550000000004</v>
      </c>
      <c r="F5918" t="s">
        <v>46</v>
      </c>
      <c r="G5918">
        <v>0</v>
      </c>
      <c r="H5918">
        <v>0</v>
      </c>
      <c r="I5918">
        <v>0</v>
      </c>
      <c r="J5918">
        <v>-290.90410000000003</v>
      </c>
      <c r="K5918">
        <v>1.1212329999999999</v>
      </c>
      <c r="L5918">
        <v>141.57509999999999</v>
      </c>
      <c r="M5918">
        <v>-0.99989779999999995</v>
      </c>
      <c r="N5918">
        <v>-1.403269E-2</v>
      </c>
      <c r="O5918">
        <v>-2.728987E-3</v>
      </c>
      <c r="P5918">
        <v>-0.99833629999999995</v>
      </c>
      <c r="Q5918">
        <v>-5.5871219999999999E-2</v>
      </c>
      <c r="R5918">
        <v>-1.42519E-2</v>
      </c>
      <c r="S5918">
        <v>-3.0053709999999998</v>
      </c>
      <c r="T5918">
        <v>-7.92408E-3</v>
      </c>
      <c r="U5918">
        <v>8.1619259999999999E-2</v>
      </c>
      <c r="V5918">
        <v>-1.15151E-2</v>
      </c>
      <c r="W5918">
        <v>-4.1859100000000003E-2</v>
      </c>
      <c r="X5918">
        <v>0.99905719999999998</v>
      </c>
      <c r="Y5918">
        <v>2.987511E-2</v>
      </c>
      <c r="Z5918">
        <v>2.179471E-4</v>
      </c>
      <c r="AA5918">
        <v>0.99955360000000004</v>
      </c>
      <c r="AB5918">
        <v>29</v>
      </c>
      <c r="AC5918">
        <v>-3.0053709999999998</v>
      </c>
      <c r="AD5918">
        <v>-7.92408E-3</v>
      </c>
      <c r="AE5918">
        <v>8.1619259999999999E-2</v>
      </c>
      <c r="AF5918">
        <v>8.9820758184103802E-2</v>
      </c>
      <c r="AG5918">
        <v>-7.92408E-3</v>
      </c>
      <c r="AH5918">
        <v>3.0051161711095302</v>
      </c>
      <c r="AI5918">
        <v>90.151013337767907</v>
      </c>
      <c r="AJ5918">
        <v>88.287980113055596</v>
      </c>
      <c r="AK5918">
        <v>3.00646865300615</v>
      </c>
      <c r="AL5918">
        <v>92.399050624021996</v>
      </c>
      <c r="AM5918">
        <v>90.660360004205998</v>
      </c>
      <c r="AN5918">
        <v>1.0000000353263201</v>
      </c>
    </row>
    <row r="5919" spans="1:40" x14ac:dyDescent="0.25">
      <c r="A5919" t="str">
        <f>"20190303153926391"</f>
        <v>20190303153926391</v>
      </c>
      <c r="B5919" t="str">
        <f>"1551598766384090"</f>
        <v>1551598766384090</v>
      </c>
      <c r="C5919" t="s">
        <v>40</v>
      </c>
      <c r="D5919">
        <v>3.9971009999999998</v>
      </c>
      <c r="E5919">
        <v>0.51485159999999996</v>
      </c>
      <c r="F5919" t="s">
        <v>46</v>
      </c>
      <c r="G5919">
        <v>0</v>
      </c>
      <c r="H5919">
        <v>0</v>
      </c>
      <c r="I5919">
        <v>0</v>
      </c>
      <c r="J5919">
        <v>-291.19959999999998</v>
      </c>
      <c r="K5919">
        <v>1.1211819999999999</v>
      </c>
      <c r="L5919">
        <v>141.57409999999999</v>
      </c>
      <c r="M5919">
        <v>-0.99989859999999997</v>
      </c>
      <c r="N5919">
        <v>-1.3963110000000001E-2</v>
      </c>
      <c r="O5919">
        <v>-2.8330159999999998E-3</v>
      </c>
      <c r="P5919">
        <v>-0.99830890000000005</v>
      </c>
      <c r="Q5919">
        <v>-5.6243210000000002E-2</v>
      </c>
      <c r="R5919">
        <v>-1.471067E-2</v>
      </c>
      <c r="S5919">
        <v>-3.0053709999999998</v>
      </c>
      <c r="T5919">
        <v>-1.2969140000000001E-2</v>
      </c>
      <c r="U5919">
        <v>7.3806759999999999E-2</v>
      </c>
      <c r="V5919">
        <v>-1.18736E-2</v>
      </c>
      <c r="W5919">
        <v>-4.2299990000000003E-2</v>
      </c>
      <c r="X5919">
        <v>0.99903439999999999</v>
      </c>
      <c r="Y5919">
        <v>2.7382009999999998E-2</v>
      </c>
      <c r="Z5919">
        <v>2.2295259999999999E-4</v>
      </c>
      <c r="AA5919">
        <v>0.99962499999999999</v>
      </c>
      <c r="AB5919">
        <v>29</v>
      </c>
      <c r="AC5919">
        <v>-3.0053709999999998</v>
      </c>
      <c r="AD5919">
        <v>-1.2969140000000001E-2</v>
      </c>
      <c r="AE5919">
        <v>7.3806759999999999E-2</v>
      </c>
      <c r="AF5919">
        <v>8.2320025101959293E-2</v>
      </c>
      <c r="AG5919">
        <v>-1.2969140000000001E-2</v>
      </c>
      <c r="AH5919">
        <v>3.0050938938968099</v>
      </c>
      <c r="AI5919">
        <v>90.247178210399795</v>
      </c>
      <c r="AJ5919">
        <v>88.430860757386995</v>
      </c>
      <c r="AK5919">
        <v>3.0062491740141901</v>
      </c>
      <c r="AL5919">
        <v>92.424334235050793</v>
      </c>
      <c r="AM5919">
        <v>90.680932646633295</v>
      </c>
      <c r="AN5919">
        <v>1.00000000195716</v>
      </c>
    </row>
    <row r="5920" spans="1:40" x14ac:dyDescent="0.25">
      <c r="A5920" t="str">
        <f>"20190303153926405"</f>
        <v>20190303153926405</v>
      </c>
      <c r="B5920" t="str">
        <f>"1551598766394827"</f>
        <v>1551598766394827</v>
      </c>
      <c r="C5920" t="s">
        <v>40</v>
      </c>
      <c r="D5920">
        <v>4.002713</v>
      </c>
      <c r="E5920">
        <v>0.51476109999999997</v>
      </c>
      <c r="F5920" t="s">
        <v>63</v>
      </c>
      <c r="G5920">
        <v>-499.95780000000002</v>
      </c>
      <c r="H5920">
        <v>6.498635E-3</v>
      </c>
      <c r="I5920">
        <v>146.5686</v>
      </c>
      <c r="J5920">
        <v>-291.37540000000001</v>
      </c>
      <c r="K5920">
        <v>1.121146</v>
      </c>
      <c r="L5920">
        <v>141.5735</v>
      </c>
      <c r="M5920">
        <v>-0.99989950000000005</v>
      </c>
      <c r="N5920">
        <v>-1.3896149999999999E-2</v>
      </c>
      <c r="O5920">
        <v>-2.8662789999999998E-3</v>
      </c>
      <c r="P5920">
        <v>-0.9983206</v>
      </c>
      <c r="Q5920">
        <v>-5.6008040000000002E-2</v>
      </c>
      <c r="R5920">
        <v>-1.4816650000000001E-2</v>
      </c>
      <c r="S5920">
        <v>-3.0052189999999999</v>
      </c>
      <c r="T5920">
        <v>-1.6046640000000001E-2</v>
      </c>
      <c r="U5920">
        <v>7.1899409999999997E-2</v>
      </c>
      <c r="V5920">
        <v>-1.194895E-2</v>
      </c>
      <c r="W5920">
        <v>-4.2130969999999997E-2</v>
      </c>
      <c r="X5920">
        <v>0.9990407</v>
      </c>
      <c r="Y5920">
        <v>2.6782170000000001E-2</v>
      </c>
      <c r="Z5920">
        <v>2.3309310000000001E-4</v>
      </c>
      <c r="AA5920">
        <v>0.99964120000000001</v>
      </c>
      <c r="AB5920">
        <v>29</v>
      </c>
      <c r="AC5920">
        <v>-208.58240000000001</v>
      </c>
      <c r="AD5920">
        <v>-1.1146473649999999</v>
      </c>
      <c r="AE5920">
        <v>4.9950999999999999</v>
      </c>
      <c r="AF5920">
        <v>5.5928328384629102</v>
      </c>
      <c r="AG5920">
        <v>-1.1146473649999999</v>
      </c>
      <c r="AH5920">
        <v>208.561271724862</v>
      </c>
      <c r="AI5920">
        <v>90.306102044873299</v>
      </c>
      <c r="AJ5920">
        <v>88.463909739545997</v>
      </c>
      <c r="AK5920">
        <v>208.63922517445999</v>
      </c>
      <c r="AL5920">
        <v>92.414641325820199</v>
      </c>
      <c r="AM5920">
        <v>90.685249121327303</v>
      </c>
      <c r="AN5920">
        <v>1.0000000581478601</v>
      </c>
    </row>
    <row r="5921" spans="1:40" x14ac:dyDescent="0.25">
      <c r="A5921" t="str">
        <f>"20190303153926418"</f>
        <v>20190303153926418</v>
      </c>
      <c r="B5921" t="str">
        <f>"1551598766414347"</f>
        <v>1551598766414347</v>
      </c>
      <c r="C5921" t="s">
        <v>40</v>
      </c>
      <c r="D5921">
        <v>4.0148780000000004</v>
      </c>
      <c r="E5921">
        <v>0.51485519999999996</v>
      </c>
      <c r="F5921" t="s">
        <v>63</v>
      </c>
      <c r="G5921">
        <v>-492.17630000000003</v>
      </c>
      <c r="H5921" s="1">
        <v>-7.1999140000000003E-6</v>
      </c>
      <c r="I5921">
        <v>146.30940000000001</v>
      </c>
      <c r="J5921">
        <v>-291.53820000000002</v>
      </c>
      <c r="K5921">
        <v>1.121116</v>
      </c>
      <c r="L5921">
        <v>141.57299999999901</v>
      </c>
      <c r="M5921">
        <v>-0.99990029999999996</v>
      </c>
      <c r="N5921">
        <v>-1.382454E-2</v>
      </c>
      <c r="O5921">
        <v>-2.8812109999999998E-3</v>
      </c>
      <c r="P5921">
        <v>-0.99829239999999997</v>
      </c>
      <c r="Q5921">
        <v>-5.6469169999999999E-2</v>
      </c>
      <c r="R5921">
        <v>-1.4950130000000001E-2</v>
      </c>
      <c r="S5921">
        <v>-3.005188</v>
      </c>
      <c r="T5921">
        <v>-1.6779180000000001E-2</v>
      </c>
      <c r="U5921">
        <v>7.0877079999999995E-2</v>
      </c>
      <c r="V5921">
        <v>-1.20692E-2</v>
      </c>
      <c r="W5921">
        <v>-4.2663479999999997E-2</v>
      </c>
      <c r="X5921">
        <v>0.99901660000000003</v>
      </c>
      <c r="Y5921">
        <v>2.6457410000000001E-2</v>
      </c>
      <c r="Z5921">
        <v>2.3302699999999999E-4</v>
      </c>
      <c r="AA5921">
        <v>0.99964989999999998</v>
      </c>
      <c r="AB5921">
        <v>29</v>
      </c>
      <c r="AC5921">
        <v>-200.63810000000001</v>
      </c>
      <c r="AD5921">
        <v>-1.1211231999139999</v>
      </c>
      <c r="AE5921">
        <v>4.7364000000000299</v>
      </c>
      <c r="AF5921">
        <v>5.3143504383307203</v>
      </c>
      <c r="AG5921">
        <v>-1.1211231999139999</v>
      </c>
      <c r="AH5921">
        <v>200.617358718519</v>
      </c>
      <c r="AI5921">
        <v>90.3200741664307</v>
      </c>
      <c r="AJ5921">
        <v>88.482590635422198</v>
      </c>
      <c r="AK5921">
        <v>200.690866401552</v>
      </c>
      <c r="AL5921">
        <v>92.445179494652905</v>
      </c>
      <c r="AM5921">
        <v>90.692161253677199</v>
      </c>
      <c r="AN5921">
        <v>1.00000000259495</v>
      </c>
    </row>
    <row r="5922" spans="1:40" x14ac:dyDescent="0.25">
      <c r="A5922" t="str">
        <f>"20190303153926447"</f>
        <v>20190303153926447</v>
      </c>
      <c r="B5922" t="str">
        <f>"1551598766433866"</f>
        <v>1551598766433866</v>
      </c>
      <c r="C5922" t="s">
        <v>40</v>
      </c>
      <c r="D5922">
        <v>4.0332059999999998</v>
      </c>
      <c r="E5922">
        <v>0.51482269999999997</v>
      </c>
      <c r="F5922" t="s">
        <v>63</v>
      </c>
      <c r="G5922">
        <v>-480.86149999999998</v>
      </c>
      <c r="H5922" s="1">
        <v>-1.011306E-5</v>
      </c>
      <c r="I5922">
        <v>146.05930000000001</v>
      </c>
      <c r="J5922">
        <v>-291.90309999999999</v>
      </c>
      <c r="K5922">
        <v>1.1210439999999999</v>
      </c>
      <c r="L5922">
        <v>141.5719</v>
      </c>
      <c r="M5922">
        <v>-0.99990279999999998</v>
      </c>
      <c r="N5922">
        <v>-1.363893E-2</v>
      </c>
      <c r="O5922">
        <v>-2.8881710000000001E-3</v>
      </c>
      <c r="P5922">
        <v>-0.99827949999999999</v>
      </c>
      <c r="Q5922">
        <v>-5.7109069999999998E-2</v>
      </c>
      <c r="R5922">
        <v>-1.3285109999999999E-2</v>
      </c>
      <c r="S5922">
        <v>-3.0052189999999999</v>
      </c>
      <c r="T5922">
        <v>-1.7796159999999998E-2</v>
      </c>
      <c r="U5922">
        <v>7.1212769999999995E-2</v>
      </c>
      <c r="V5922">
        <v>-1.0401530000000001E-2</v>
      </c>
      <c r="W5922">
        <v>-4.3487970000000001E-2</v>
      </c>
      <c r="X5922">
        <v>0.99899979999999999</v>
      </c>
      <c r="Y5922">
        <v>2.6575629999999999E-2</v>
      </c>
      <c r="Z5922">
        <v>2.3765860000000001E-4</v>
      </c>
      <c r="AA5922">
        <v>0.99964679999999995</v>
      </c>
      <c r="AB5922">
        <v>29</v>
      </c>
      <c r="AC5922">
        <v>-188.95840000000001</v>
      </c>
      <c r="AD5922">
        <v>-1.12105411306</v>
      </c>
      <c r="AE5922">
        <v>4.4874000000000001</v>
      </c>
      <c r="AF5922">
        <v>5.0329991735611301</v>
      </c>
      <c r="AG5922">
        <v>-1.12105411306</v>
      </c>
      <c r="AH5922">
        <v>188.93800363245199</v>
      </c>
      <c r="AI5922">
        <v>90.339837077449204</v>
      </c>
      <c r="AJ5922">
        <v>88.474095072639898</v>
      </c>
      <c r="AK5922">
        <v>189.00835182505</v>
      </c>
      <c r="AL5922">
        <v>92.492463193122902</v>
      </c>
      <c r="AM5922">
        <v>90.596538893218707</v>
      </c>
      <c r="AN5922">
        <v>0.99999999788055005</v>
      </c>
    </row>
    <row r="5923" spans="1:40" x14ac:dyDescent="0.25">
      <c r="A5923" t="str">
        <f>"20190303153926471"</f>
        <v>20190303153926471</v>
      </c>
      <c r="B5923" t="str">
        <f>"1551598766464123"</f>
        <v>1551598766464123</v>
      </c>
      <c r="C5923" t="s">
        <v>40</v>
      </c>
      <c r="D5923">
        <v>4.0337670000000001</v>
      </c>
      <c r="E5923">
        <v>0.51493100000000003</v>
      </c>
      <c r="F5923" t="s">
        <v>42</v>
      </c>
      <c r="G5923">
        <v>-462.44799999999998</v>
      </c>
      <c r="H5923" s="1">
        <v>-4.0194330000000003E-6</v>
      </c>
      <c r="I5923">
        <v>145.88800000000001</v>
      </c>
      <c r="J5923">
        <v>-292.20569999999998</v>
      </c>
      <c r="K5923">
        <v>1.1209960000000001</v>
      </c>
      <c r="L5923">
        <v>141.571</v>
      </c>
      <c r="M5923">
        <v>-0.99990520000000005</v>
      </c>
      <c r="N5923">
        <v>-1.346816E-2</v>
      </c>
      <c r="O5923">
        <v>-2.8818120000000001E-3</v>
      </c>
      <c r="P5923">
        <v>-0.99832900000000002</v>
      </c>
      <c r="Q5923">
        <v>-5.6596130000000001E-2</v>
      </c>
      <c r="R5923">
        <v>-1.166449E-2</v>
      </c>
      <c r="S5923">
        <v>-3.0050349999999999</v>
      </c>
      <c r="T5923">
        <v>-1.9753099999999999E-2</v>
      </c>
      <c r="U5923">
        <v>7.6049800000000001E-2</v>
      </c>
      <c r="V5923">
        <v>-8.78869E-3</v>
      </c>
      <c r="W5923">
        <v>-4.314465E-2</v>
      </c>
      <c r="X5923">
        <v>0.99903019999999998</v>
      </c>
      <c r="Y5923">
        <v>2.8178479999999999E-2</v>
      </c>
      <c r="Z5923">
        <v>2.625304E-4</v>
      </c>
      <c r="AA5923">
        <v>0.99960289999999996</v>
      </c>
      <c r="AB5923">
        <v>29</v>
      </c>
      <c r="AC5923">
        <v>-170.2423</v>
      </c>
      <c r="AD5923">
        <v>-1.1210000194330001</v>
      </c>
      <c r="AE5923">
        <v>4.3170000000000002</v>
      </c>
      <c r="AF5923">
        <v>4.8074245401339297</v>
      </c>
      <c r="AG5923">
        <v>-1.1210000194330001</v>
      </c>
      <c r="AH5923">
        <v>170.221775190009</v>
      </c>
      <c r="AI5923">
        <v>90.377167039242195</v>
      </c>
      <c r="AJ5923">
        <v>88.382275487949698</v>
      </c>
      <c r="AK5923">
        <v>170.29333727598001</v>
      </c>
      <c r="AL5923">
        <v>92.472773868066895</v>
      </c>
      <c r="AM5923">
        <v>90.504030663767395</v>
      </c>
      <c r="AN5923">
        <v>1.0000000212037801</v>
      </c>
    </row>
    <row r="5924" spans="1:40" x14ac:dyDescent="0.25">
      <c r="A5924" t="str">
        <f>"20190303153926492"</f>
        <v>20190303153926492</v>
      </c>
      <c r="B5924" t="str">
        <f>"1551598766484618"</f>
        <v>1551598766484618</v>
      </c>
      <c r="C5924" t="s">
        <v>40</v>
      </c>
      <c r="D5924">
        <v>4.0649249999999997</v>
      </c>
      <c r="E5924">
        <v>0.51498549999999998</v>
      </c>
      <c r="F5924" t="s">
        <v>63</v>
      </c>
      <c r="G5924">
        <v>-491.67790000000002</v>
      </c>
      <c r="H5924" s="1">
        <v>-6.8900869999999997E-6</v>
      </c>
      <c r="I5924">
        <v>146.9991</v>
      </c>
      <c r="J5924">
        <v>-292.48239999999998</v>
      </c>
      <c r="K5924">
        <v>1.120973</v>
      </c>
      <c r="L5924">
        <v>141.5702</v>
      </c>
      <c r="M5924">
        <v>-0.99990730000000005</v>
      </c>
      <c r="N5924">
        <v>-1.3310600000000001E-2</v>
      </c>
      <c r="O5924">
        <v>-2.8702509999999999E-3</v>
      </c>
      <c r="P5924">
        <v>-0.99834800000000001</v>
      </c>
      <c r="Q5924">
        <v>-5.6519319999999998E-2</v>
      </c>
      <c r="R5924">
        <v>-1.033573E-2</v>
      </c>
      <c r="S5924">
        <v>-3.0050050000000001</v>
      </c>
      <c r="T5924">
        <v>-1.6887659999999999E-2</v>
      </c>
      <c r="U5924">
        <v>8.1771849999999993E-2</v>
      </c>
      <c r="V5924">
        <v>-7.4724329999999997E-3</v>
      </c>
      <c r="W5924">
        <v>-4.3224949999999998E-2</v>
      </c>
      <c r="X5924">
        <v>0.99903739999999996</v>
      </c>
      <c r="Y5924">
        <v>3.0069459999999999E-2</v>
      </c>
      <c r="Z5924">
        <v>2.6257709999999998E-4</v>
      </c>
      <c r="AA5924">
        <v>0.99954779999999999</v>
      </c>
      <c r="AB5924">
        <v>29</v>
      </c>
      <c r="AC5924">
        <v>-199.19550000000001</v>
      </c>
      <c r="AD5924">
        <v>-1.1209798900870001</v>
      </c>
      <c r="AE5924">
        <v>5.4288999999999898</v>
      </c>
      <c r="AF5924">
        <v>6.0004794769500096</v>
      </c>
      <c r="AG5924">
        <v>-1.1209798900870001</v>
      </c>
      <c r="AH5924">
        <v>199.17279269260399</v>
      </c>
      <c r="AI5924">
        <v>90.322321190467093</v>
      </c>
      <c r="AJ5924">
        <v>88.274371789091006</v>
      </c>
      <c r="AK5924">
        <v>199.26631350742201</v>
      </c>
      <c r="AL5924">
        <v>92.477379117148203</v>
      </c>
      <c r="AM5924">
        <v>90.428543405681197</v>
      </c>
      <c r="AN5924">
        <v>0.99999998007809998</v>
      </c>
    </row>
    <row r="5925" spans="1:40" x14ac:dyDescent="0.25">
      <c r="A5925" t="str">
        <f>"20190303153926513"</f>
        <v>20190303153926513</v>
      </c>
      <c r="B5925" t="str">
        <f>"1551598766504138"</f>
        <v>1551598766504138</v>
      </c>
      <c r="C5925" t="s">
        <v>40</v>
      </c>
      <c r="D5925">
        <v>4.0271369999999997</v>
      </c>
      <c r="E5925">
        <v>0.51497729999999997</v>
      </c>
      <c r="F5925" t="s">
        <v>63</v>
      </c>
      <c r="G5925">
        <v>-495.40809999999999</v>
      </c>
      <c r="H5925" s="1">
        <v>-6.9506349999999999E-6</v>
      </c>
      <c r="I5925">
        <v>147.3819</v>
      </c>
      <c r="J5925">
        <v>-292.75720000000001</v>
      </c>
      <c r="K5925">
        <v>1.120962</v>
      </c>
      <c r="L5925">
        <v>141.5694</v>
      </c>
      <c r="M5925">
        <v>-0.9999093</v>
      </c>
      <c r="N5925">
        <v>-1.3160679999999999E-2</v>
      </c>
      <c r="O5925">
        <v>-2.8561150000000002E-3</v>
      </c>
      <c r="P5925">
        <v>-0.99838859999999996</v>
      </c>
      <c r="Q5925">
        <v>-5.5878900000000002E-2</v>
      </c>
      <c r="R5925">
        <v>-9.8864859999999999E-3</v>
      </c>
      <c r="S5925">
        <v>-3.0049130000000002</v>
      </c>
      <c r="T5925">
        <v>-1.659942E-2</v>
      </c>
      <c r="U5925">
        <v>8.6059570000000002E-2</v>
      </c>
      <c r="V5925">
        <v>-7.0371720000000004E-3</v>
      </c>
      <c r="W5925">
        <v>-4.273383E-2</v>
      </c>
      <c r="X5925">
        <v>0.99906170000000005</v>
      </c>
      <c r="Y5925">
        <v>3.1481250000000002E-2</v>
      </c>
      <c r="Z5925">
        <v>2.7234010000000002E-4</v>
      </c>
      <c r="AA5925">
        <v>0.99950430000000001</v>
      </c>
      <c r="AB5925">
        <v>29</v>
      </c>
      <c r="AC5925">
        <v>-202.65090000000001</v>
      </c>
      <c r="AD5925">
        <v>-1.120968950635</v>
      </c>
      <c r="AE5925">
        <v>5.8125</v>
      </c>
      <c r="AF5925">
        <v>6.3911253101433099</v>
      </c>
      <c r="AG5925">
        <v>-1.120968950635</v>
      </c>
      <c r="AH5925">
        <v>202.62727584606799</v>
      </c>
      <c r="AI5925">
        <v>90.316809329116595</v>
      </c>
      <c r="AJ5925">
        <v>88.193416240333505</v>
      </c>
      <c r="AK5925">
        <v>202.73114208457699</v>
      </c>
      <c r="AL5925">
        <v>92.449213960050301</v>
      </c>
      <c r="AM5925">
        <v>90.403572259116302</v>
      </c>
      <c r="AN5925">
        <v>0.99999999121155803</v>
      </c>
    </row>
    <row r="5926" spans="1:40" x14ac:dyDescent="0.25">
      <c r="A5926" t="str">
        <f>"20190303153926536"</f>
        <v>20190303153926536</v>
      </c>
      <c r="B5926" t="str">
        <f>"1551598766524635"</f>
        <v>1551598766524635</v>
      </c>
      <c r="C5926" t="s">
        <v>40</v>
      </c>
      <c r="D5926">
        <v>4.0510970000000004</v>
      </c>
      <c r="E5926">
        <v>0.51494359999999995</v>
      </c>
      <c r="F5926" t="s">
        <v>63</v>
      </c>
      <c r="G5926">
        <v>-499.9855</v>
      </c>
      <c r="H5926">
        <v>7.7733730000000001E-2</v>
      </c>
      <c r="I5926">
        <v>147.59389999999999</v>
      </c>
      <c r="J5926">
        <v>-293.04070000000002</v>
      </c>
      <c r="K5926">
        <v>1.1209549999999999</v>
      </c>
      <c r="L5926">
        <v>141.5686</v>
      </c>
      <c r="M5926">
        <v>-0.99991129999999995</v>
      </c>
      <c r="N5926">
        <v>-1.3016969999999999E-2</v>
      </c>
      <c r="O5926">
        <v>-2.842678E-3</v>
      </c>
      <c r="P5926">
        <v>-0.99837390000000004</v>
      </c>
      <c r="Q5926">
        <v>-5.6068930000000003E-2</v>
      </c>
      <c r="R5926">
        <v>-1.030908E-2</v>
      </c>
      <c r="S5926">
        <v>-3.004883</v>
      </c>
      <c r="T5926">
        <v>-1.512718E-2</v>
      </c>
      <c r="U5926">
        <v>8.7356569999999995E-2</v>
      </c>
      <c r="V5926">
        <v>-7.473436E-3</v>
      </c>
      <c r="W5926">
        <v>-4.3067599999999998E-2</v>
      </c>
      <c r="X5926">
        <v>0.99904420000000005</v>
      </c>
      <c r="Y5926">
        <v>3.1899329999999997E-2</v>
      </c>
      <c r="Z5926">
        <v>2.6526069999999999E-4</v>
      </c>
      <c r="AA5926">
        <v>0.99949100000000002</v>
      </c>
      <c r="AB5926">
        <v>29</v>
      </c>
      <c r="AC5926">
        <v>-206.94479999999999</v>
      </c>
      <c r="AD5926">
        <v>-1.0432212700000001</v>
      </c>
      <c r="AE5926">
        <v>6.0252999999999801</v>
      </c>
      <c r="AF5926">
        <v>6.6134349684729097</v>
      </c>
      <c r="AG5926">
        <v>-1.0432212700000001</v>
      </c>
      <c r="AH5926">
        <v>206.92158037939799</v>
      </c>
      <c r="AI5926">
        <v>90.288714036235007</v>
      </c>
      <c r="AJ5926">
        <v>88.169388780341393</v>
      </c>
      <c r="AK5926">
        <v>207.02986803697601</v>
      </c>
      <c r="AL5926">
        <v>92.468355193286598</v>
      </c>
      <c r="AM5926">
        <v>90.428598008335598</v>
      </c>
      <c r="AN5926">
        <v>0.99999999198452205</v>
      </c>
    </row>
    <row r="5927" spans="1:40" x14ac:dyDescent="0.25">
      <c r="A5927" t="str">
        <f>"20190303153926559"</f>
        <v>20190303153926559</v>
      </c>
      <c r="B5927" t="str">
        <f>"1551598766554891"</f>
        <v>1551598766554891</v>
      </c>
      <c r="C5927" t="s">
        <v>40</v>
      </c>
      <c r="D5927">
        <v>4.0375240000000003</v>
      </c>
      <c r="E5927">
        <v>0.51490309999999995</v>
      </c>
      <c r="F5927" t="s">
        <v>63</v>
      </c>
      <c r="G5927">
        <v>-494.69439999999997</v>
      </c>
      <c r="H5927" s="1">
        <v>-6.9287460000000003E-6</v>
      </c>
      <c r="I5927">
        <v>147.334</v>
      </c>
      <c r="J5927">
        <v>-293.33390000000003</v>
      </c>
      <c r="K5927">
        <v>1.120946</v>
      </c>
      <c r="L5927">
        <v>141.56780000000001</v>
      </c>
      <c r="M5927">
        <v>-0.99991300000000005</v>
      </c>
      <c r="N5927">
        <v>-1.288125E-2</v>
      </c>
      <c r="O5927">
        <v>-2.8332499999999998E-3</v>
      </c>
      <c r="P5927">
        <v>-0.9983824</v>
      </c>
      <c r="Q5927">
        <v>-5.5774780000000003E-2</v>
      </c>
      <c r="R5927">
        <v>-1.1030369999999999E-2</v>
      </c>
      <c r="S5927">
        <v>-3.0047609999999998</v>
      </c>
      <c r="T5927">
        <v>-1.6703010000000001E-2</v>
      </c>
      <c r="U5927">
        <v>8.5906979999999994E-2</v>
      </c>
      <c r="V5927">
        <v>-8.2037840000000004E-3</v>
      </c>
      <c r="W5927">
        <v>-4.2908950000000001E-2</v>
      </c>
      <c r="X5927">
        <v>0.99904530000000002</v>
      </c>
      <c r="Y5927">
        <v>3.1409140000000002E-2</v>
      </c>
      <c r="Z5927">
        <v>2.6888660000000002E-4</v>
      </c>
      <c r="AA5927">
        <v>0.99950660000000002</v>
      </c>
      <c r="AB5927">
        <v>29</v>
      </c>
      <c r="AC5927">
        <v>-201.3605</v>
      </c>
      <c r="AD5927">
        <v>-1.1209529287459901</v>
      </c>
      <c r="AE5927">
        <v>5.7661999999999898</v>
      </c>
      <c r="AF5927">
        <v>6.3365326267090998</v>
      </c>
      <c r="AG5927">
        <v>-1.1209529287459901</v>
      </c>
      <c r="AH5927">
        <v>201.33711883988099</v>
      </c>
      <c r="AI5927">
        <v>90.318835519568097</v>
      </c>
      <c r="AJ5927">
        <v>88.197367777815202</v>
      </c>
      <c r="AK5927">
        <v>201.439925545911</v>
      </c>
      <c r="AL5927">
        <v>92.459256797741901</v>
      </c>
      <c r="AM5927">
        <v>90.4704808025852</v>
      </c>
      <c r="AN5927">
        <v>0.999999995757055</v>
      </c>
    </row>
    <row r="5928" spans="1:40" x14ac:dyDescent="0.25">
      <c r="A5928" t="str">
        <f>"20190303153926583"</f>
        <v>20190303153926583</v>
      </c>
      <c r="B5928" t="str">
        <f>"1551598766574414"</f>
        <v>1551598766574414</v>
      </c>
      <c r="C5928" t="s">
        <v>40</v>
      </c>
      <c r="D5928">
        <v>4.0232929999999998</v>
      </c>
      <c r="E5928">
        <v>0.51479470000000005</v>
      </c>
      <c r="F5928" t="s">
        <v>63</v>
      </c>
      <c r="G5928">
        <v>-492.3664</v>
      </c>
      <c r="H5928" s="1">
        <v>-6.8965790000000002E-6</v>
      </c>
      <c r="I5928">
        <v>147.0812</v>
      </c>
      <c r="J5928">
        <v>-293.63139999999999</v>
      </c>
      <c r="K5928">
        <v>1.1209370000000001</v>
      </c>
      <c r="L5928">
        <v>141.56700000000001</v>
      </c>
      <c r="M5928">
        <v>-0.99991459999999999</v>
      </c>
      <c r="N5928">
        <v>-1.276352E-2</v>
      </c>
      <c r="O5928">
        <v>-2.8290709999999998E-3</v>
      </c>
      <c r="P5928">
        <v>-0.99838939999999998</v>
      </c>
      <c r="Q5928">
        <v>-5.5458649999999998E-2</v>
      </c>
      <c r="R5928">
        <v>-1.195394E-2</v>
      </c>
      <c r="S5928">
        <v>-3.0048219999999999</v>
      </c>
      <c r="T5928">
        <v>-1.6923190000000001E-2</v>
      </c>
      <c r="U5928">
        <v>8.3236690000000002E-2</v>
      </c>
      <c r="V5928">
        <v>-9.1313729999999999E-3</v>
      </c>
      <c r="W5928">
        <v>-4.2710320000000003E-2</v>
      </c>
      <c r="X5928">
        <v>0.99904579999999998</v>
      </c>
      <c r="Y5928">
        <v>3.0516870000000001E-2</v>
      </c>
      <c r="Z5928">
        <v>2.6054700000000002E-4</v>
      </c>
      <c r="AA5928">
        <v>0.99953420000000004</v>
      </c>
      <c r="AB5928">
        <v>29</v>
      </c>
      <c r="AC5928">
        <v>-198.73500000000001</v>
      </c>
      <c r="AD5928">
        <v>-1.120943896579</v>
      </c>
      <c r="AE5928">
        <v>5.5141999999999802</v>
      </c>
      <c r="AF5928">
        <v>6.07626596122845</v>
      </c>
      <c r="AG5928">
        <v>-1.120943896579</v>
      </c>
      <c r="AH5928">
        <v>198.71228625325799</v>
      </c>
      <c r="AI5928">
        <v>90.323053345618902</v>
      </c>
      <c r="AJ5928">
        <v>88.248543388795696</v>
      </c>
      <c r="AK5928">
        <v>198.80832535698201</v>
      </c>
      <c r="AL5928">
        <v>92.447865605510103</v>
      </c>
      <c r="AM5928">
        <v>90.523674255459596</v>
      </c>
      <c r="AN5928">
        <v>1.0000000319525</v>
      </c>
    </row>
    <row r="5929" spans="1:40" x14ac:dyDescent="0.25">
      <c r="A5929" t="str">
        <f>"20190303153926603"</f>
        <v>20190303153926603</v>
      </c>
      <c r="B5929" t="str">
        <f>"1551598766594907"</f>
        <v>1551598766594907</v>
      </c>
      <c r="C5929" t="s">
        <v>40</v>
      </c>
      <c r="D5929">
        <v>4.042351</v>
      </c>
      <c r="E5929">
        <v>0.49918240000000003</v>
      </c>
      <c r="F5929" t="s">
        <v>63</v>
      </c>
      <c r="G5929">
        <v>-501.00060000000002</v>
      </c>
      <c r="H5929">
        <v>7.9987379999999997E-2</v>
      </c>
      <c r="I5929">
        <v>147.0616</v>
      </c>
      <c r="J5929">
        <v>-293.9033</v>
      </c>
      <c r="K5929">
        <v>1.12094</v>
      </c>
      <c r="L5929">
        <v>141.56620000000001</v>
      </c>
      <c r="M5929">
        <v>-0.99991540000000001</v>
      </c>
      <c r="N5929">
        <v>-1.2698350000000001E-2</v>
      </c>
      <c r="O5929">
        <v>-2.8290339999999998E-3</v>
      </c>
      <c r="P5929">
        <v>-0.99840249999999997</v>
      </c>
      <c r="Q5929">
        <v>-5.5061699999999998E-2</v>
      </c>
      <c r="R5929">
        <v>-1.267155E-2</v>
      </c>
      <c r="S5929">
        <v>-3.0049130000000002</v>
      </c>
      <c r="T5929">
        <v>-1.508403E-2</v>
      </c>
      <c r="U5929">
        <v>7.9620360000000001E-2</v>
      </c>
      <c r="V5929">
        <v>-9.8489409999999999E-3</v>
      </c>
      <c r="W5929">
        <v>-4.2378319999999997E-2</v>
      </c>
      <c r="X5929">
        <v>0.99905310000000003</v>
      </c>
      <c r="Y5929">
        <v>2.931421E-2</v>
      </c>
      <c r="Z5929">
        <v>2.3800700000000001E-4</v>
      </c>
      <c r="AA5929">
        <v>0.99957019999999996</v>
      </c>
      <c r="AB5929">
        <v>29</v>
      </c>
      <c r="AC5929">
        <v>-207.09729999999999</v>
      </c>
      <c r="AD5929">
        <v>-1.0409526200000001</v>
      </c>
      <c r="AE5929">
        <v>5.4953999999999796</v>
      </c>
      <c r="AF5929">
        <v>6.0811570032313398</v>
      </c>
      <c r="AG5929">
        <v>-1.0409526200000001</v>
      </c>
      <c r="AH5929">
        <v>207.07569518247701</v>
      </c>
      <c r="AI5929">
        <v>90.287894668696893</v>
      </c>
      <c r="AJ5929">
        <v>88.317887955841996</v>
      </c>
      <c r="AK5929">
        <v>207.16758334295699</v>
      </c>
      <c r="AL5929">
        <v>92.428826221585098</v>
      </c>
      <c r="AM5929">
        <v>90.564819299733301</v>
      </c>
      <c r="AN5929">
        <v>1.00000001013222</v>
      </c>
    </row>
    <row r="5930" spans="1:40" x14ac:dyDescent="0.25">
      <c r="A5930" t="str">
        <f>"20190303153926626"</f>
        <v>20190303153926626</v>
      </c>
      <c r="B5930" t="str">
        <f>"1551598766614427"</f>
        <v>1551598766614427</v>
      </c>
      <c r="C5930" t="s">
        <v>40</v>
      </c>
      <c r="D5930">
        <v>4.0265570000000004</v>
      </c>
      <c r="E5930">
        <v>0.49845200000000001</v>
      </c>
      <c r="F5930" t="s">
        <v>42</v>
      </c>
      <c r="G5930">
        <v>-389.07810000000001</v>
      </c>
      <c r="H5930" s="1">
        <v>-5.0358640000000004E-7</v>
      </c>
      <c r="I5930">
        <v>140.08879999999999</v>
      </c>
      <c r="J5930">
        <v>-294.18290000000002</v>
      </c>
      <c r="K5930">
        <v>1.12096</v>
      </c>
      <c r="L5930">
        <v>141.56540000000001</v>
      </c>
      <c r="M5930">
        <v>-0.999915</v>
      </c>
      <c r="N5930">
        <v>-1.271888E-2</v>
      </c>
      <c r="O5930">
        <v>-2.8319109999999999E-3</v>
      </c>
      <c r="P5930">
        <v>-0.99840969999999996</v>
      </c>
      <c r="Q5930">
        <v>-5.4758469999999997E-2</v>
      </c>
      <c r="R5930">
        <v>-1.3397549999999999E-2</v>
      </c>
      <c r="S5930">
        <v>-3.0022579999999999</v>
      </c>
      <c r="T5930">
        <v>-3.5359740000000001E-2</v>
      </c>
      <c r="U5930">
        <v>-4.6600339999999997E-2</v>
      </c>
      <c r="V5930">
        <v>-1.0571759999999999E-2</v>
      </c>
      <c r="W5930">
        <v>-4.2054460000000002E-2</v>
      </c>
      <c r="X5930">
        <v>0.99905940000000004</v>
      </c>
      <c r="Y5930">
        <v>-1.268621E-2</v>
      </c>
      <c r="Z5930">
        <v>-1.5805959999999999E-4</v>
      </c>
      <c r="AA5930">
        <v>0.99991949999999996</v>
      </c>
      <c r="AB5930">
        <v>29</v>
      </c>
      <c r="AC5930">
        <v>-94.895200000000003</v>
      </c>
      <c r="AD5930">
        <v>-1.1209605035864001</v>
      </c>
      <c r="AE5930">
        <v>-1.4766000000000099</v>
      </c>
      <c r="AF5930">
        <v>-1.2076690760083999</v>
      </c>
      <c r="AG5930">
        <v>-1.1209605035864001</v>
      </c>
      <c r="AH5930">
        <v>94.885764405871299</v>
      </c>
      <c r="AI5930">
        <v>90.676794015010003</v>
      </c>
      <c r="AJ5930">
        <v>90.729199006705002</v>
      </c>
      <c r="AK5930">
        <v>94.900070094464496</v>
      </c>
      <c r="AL5930">
        <v>92.410253848061998</v>
      </c>
      <c r="AM5930">
        <v>90.606264876364804</v>
      </c>
      <c r="AN5930">
        <v>1.00000001222187</v>
      </c>
    </row>
    <row r="5931" spans="1:40" x14ac:dyDescent="0.25">
      <c r="A5931" t="str">
        <f>"20190303153926648"</f>
        <v>20190303153926648</v>
      </c>
      <c r="B5931" t="str">
        <f>"1551598766644683"</f>
        <v>1551598766644683</v>
      </c>
      <c r="C5931" t="s">
        <v>40</v>
      </c>
      <c r="D5931">
        <v>4.0423410000000004</v>
      </c>
      <c r="E5931">
        <v>0.4977897</v>
      </c>
      <c r="F5931" t="s">
        <v>42</v>
      </c>
      <c r="G5931">
        <v>-371.34359999999998</v>
      </c>
      <c r="H5931" s="1">
        <v>-3.8413580000000003E-6</v>
      </c>
      <c r="I5931">
        <v>140.16309999999999</v>
      </c>
      <c r="J5931">
        <v>-294.46469999999999</v>
      </c>
      <c r="K5931">
        <v>1.121003</v>
      </c>
      <c r="L5931">
        <v>141.56460000000001</v>
      </c>
      <c r="M5931">
        <v>-0.99991399999999997</v>
      </c>
      <c r="N5931">
        <v>-1.2813659999999999E-2</v>
      </c>
      <c r="O5931">
        <v>-2.8349120000000002E-3</v>
      </c>
      <c r="P5931">
        <v>-0.9983978</v>
      </c>
      <c r="Q5931">
        <v>-5.4782230000000001E-2</v>
      </c>
      <c r="R5931">
        <v>-1.4173379999999999E-2</v>
      </c>
      <c r="S5931">
        <v>-3.0016780000000001</v>
      </c>
      <c r="T5931">
        <v>-4.3607350000000003E-2</v>
      </c>
      <c r="U5931">
        <v>-5.4550170000000002E-2</v>
      </c>
      <c r="V5931">
        <v>-1.134449E-2</v>
      </c>
      <c r="W5931">
        <v>-4.1983640000000003E-2</v>
      </c>
      <c r="X5931">
        <v>0.99905390000000005</v>
      </c>
      <c r="Y5931">
        <v>-1.5332429999999999E-2</v>
      </c>
      <c r="Z5931">
        <v>-2.047567E-4</v>
      </c>
      <c r="AA5931">
        <v>0.99988250000000001</v>
      </c>
      <c r="AB5931">
        <v>29</v>
      </c>
      <c r="AC5931">
        <v>-76.878899999999902</v>
      </c>
      <c r="AD5931">
        <v>-1.1210068413580001</v>
      </c>
      <c r="AE5931">
        <v>-1.40150000000002</v>
      </c>
      <c r="AF5931">
        <v>-1.1832800779789601</v>
      </c>
      <c r="AG5931">
        <v>-1.1210068413580001</v>
      </c>
      <c r="AH5931">
        <v>76.866226680605706</v>
      </c>
      <c r="AI5931">
        <v>90.835435836820807</v>
      </c>
      <c r="AJ5931">
        <v>90.881942599847306</v>
      </c>
      <c r="AK5931">
        <v>76.883506763125595</v>
      </c>
      <c r="AL5931">
        <v>92.406192581179297</v>
      </c>
      <c r="AM5931">
        <v>90.650578975741993</v>
      </c>
      <c r="AN5931">
        <v>1.0000000092931001</v>
      </c>
    </row>
    <row r="5932" spans="1:40" x14ac:dyDescent="0.25">
      <c r="A5932" t="str">
        <f>"20190303153926672"</f>
        <v>20190303153926672</v>
      </c>
      <c r="B5932" t="str">
        <f>"1551598766664203"</f>
        <v>1551598766664203</v>
      </c>
      <c r="C5932" t="s">
        <v>40</v>
      </c>
      <c r="D5932">
        <v>4.0466670000000002</v>
      </c>
      <c r="E5932">
        <v>0.49770639999999999</v>
      </c>
      <c r="F5932" t="s">
        <v>42</v>
      </c>
      <c r="G5932">
        <v>-364.39780000000002</v>
      </c>
      <c r="H5932" s="1">
        <v>-2.5183230000000001E-6</v>
      </c>
      <c r="I5932">
        <v>140.11500000000001</v>
      </c>
      <c r="J5932">
        <v>-294.7627</v>
      </c>
      <c r="K5932">
        <v>1.121038</v>
      </c>
      <c r="L5932">
        <v>141.56379999999999</v>
      </c>
      <c r="M5932">
        <v>-0.99991240000000003</v>
      </c>
      <c r="N5932">
        <v>-1.2934799999999899E-2</v>
      </c>
      <c r="O5932">
        <v>-2.835714E-3</v>
      </c>
      <c r="P5932">
        <v>-0.99834219999999896</v>
      </c>
      <c r="Q5932">
        <v>-5.5676870000000003E-2</v>
      </c>
      <c r="R5932">
        <v>-1.4619429999999999E-2</v>
      </c>
      <c r="S5932">
        <v>-3.0012819999999998</v>
      </c>
      <c r="T5932">
        <v>-4.8109649999999997E-2</v>
      </c>
      <c r="U5932">
        <v>-6.2210080000000001E-2</v>
      </c>
      <c r="V5932">
        <v>-1.179E-2</v>
      </c>
      <c r="W5932">
        <v>-4.2757879999999998E-2</v>
      </c>
      <c r="X5932">
        <v>0.99901589999999996</v>
      </c>
      <c r="Y5932">
        <v>-1.788383E-2</v>
      </c>
      <c r="Z5932">
        <v>-2.502335E-4</v>
      </c>
      <c r="AA5932">
        <v>0.99983999999999995</v>
      </c>
      <c r="AB5932">
        <v>28</v>
      </c>
      <c r="AC5932">
        <v>-69.635099999999994</v>
      </c>
      <c r="AD5932">
        <v>-1.1210405183229999</v>
      </c>
      <c r="AE5932">
        <v>-1.4487999999999699</v>
      </c>
      <c r="AF5932">
        <v>-1.25098836114876</v>
      </c>
      <c r="AG5932">
        <v>-1.1210405183229999</v>
      </c>
      <c r="AH5932">
        <v>69.620892799846402</v>
      </c>
      <c r="AI5932">
        <v>90.922352092089</v>
      </c>
      <c r="AJ5932">
        <v>91.029412836915498</v>
      </c>
      <c r="AK5932">
        <v>69.641154628359999</v>
      </c>
      <c r="AL5932">
        <v>92.450593151794095</v>
      </c>
      <c r="AM5932">
        <v>90.676151281972096</v>
      </c>
      <c r="AN5932">
        <v>1.00000000442745</v>
      </c>
    </row>
    <row r="5933" spans="1:40" x14ac:dyDescent="0.25">
      <c r="A5933" t="str">
        <f>"20190303153926693"</f>
        <v>20190303153926693</v>
      </c>
      <c r="B5933" t="str">
        <f>"1551598766684699"</f>
        <v>1551598766684699</v>
      </c>
      <c r="C5933" t="s">
        <v>40</v>
      </c>
      <c r="D5933">
        <v>4.0714220000000001</v>
      </c>
      <c r="E5933">
        <v>0.49776209999999999</v>
      </c>
      <c r="F5933" t="s">
        <v>42</v>
      </c>
      <c r="G5933">
        <v>-359.70139999999998</v>
      </c>
      <c r="H5933" s="1">
        <v>-2.5915059999999999E-7</v>
      </c>
      <c r="I5933">
        <v>140.17529999999999</v>
      </c>
      <c r="J5933">
        <v>-295.04140000000001</v>
      </c>
      <c r="K5933">
        <v>1.121054</v>
      </c>
      <c r="L5933">
        <v>141.56299999999999</v>
      </c>
      <c r="M5933">
        <v>-0.99991090000000005</v>
      </c>
      <c r="N5933">
        <v>-1.3044409999999999E-2</v>
      </c>
      <c r="O5933">
        <v>-2.8353699999999998E-3</v>
      </c>
      <c r="P5933">
        <v>-0.99826959999999998</v>
      </c>
      <c r="Q5933">
        <v>-5.706083E-2</v>
      </c>
      <c r="R5933">
        <v>-1.421795E-2</v>
      </c>
      <c r="S5933">
        <v>-3.00116</v>
      </c>
      <c r="T5933">
        <v>-5.1809069999999999E-2</v>
      </c>
      <c r="U5933">
        <v>-6.4163209999999998E-2</v>
      </c>
      <c r="V5933">
        <v>-1.138875E-2</v>
      </c>
      <c r="W5933">
        <v>-4.4033240000000001E-2</v>
      </c>
      <c r="X5933">
        <v>0.99896510000000005</v>
      </c>
      <c r="Y5933">
        <v>-1.8534720000000001E-2</v>
      </c>
      <c r="Z5933">
        <v>-2.6891970000000003E-4</v>
      </c>
      <c r="AA5933">
        <v>0.99982819999999994</v>
      </c>
      <c r="AB5933">
        <v>28</v>
      </c>
      <c r="AC5933">
        <v>-64.659999999999897</v>
      </c>
      <c r="AD5933">
        <v>-1.1210542591506001</v>
      </c>
      <c r="AE5933">
        <v>-1.3876999999999899</v>
      </c>
      <c r="AF5933">
        <v>-1.20398205282478</v>
      </c>
      <c r="AG5933">
        <v>-1.1210542591506001</v>
      </c>
      <c r="AH5933">
        <v>64.644252223667493</v>
      </c>
      <c r="AI5933">
        <v>90.993345942473397</v>
      </c>
      <c r="AJ5933">
        <v>91.066995335570795</v>
      </c>
      <c r="AK5933">
        <v>64.665181365187706</v>
      </c>
      <c r="AL5933">
        <v>92.523734939876206</v>
      </c>
      <c r="AM5933">
        <v>90.653175011750804</v>
      </c>
      <c r="AN5933">
        <v>0.999999950434733</v>
      </c>
    </row>
    <row r="5934" spans="1:40" x14ac:dyDescent="0.25">
      <c r="A5934" t="str">
        <f>"20190303153926715"</f>
        <v>20190303153926715</v>
      </c>
      <c r="B5934" t="str">
        <f>"1551598766704219"</f>
        <v>1551598766704219</v>
      </c>
      <c r="C5934" t="s">
        <v>40</v>
      </c>
      <c r="D5934">
        <v>4.0673089999999998</v>
      </c>
      <c r="E5934">
        <v>0.49777310000000002</v>
      </c>
      <c r="F5934" t="s">
        <v>42</v>
      </c>
      <c r="G5934">
        <v>-353.79739999999998</v>
      </c>
      <c r="H5934" s="1">
        <v>-2.8356419999999999E-6</v>
      </c>
      <c r="I5934">
        <v>140.33949999999999</v>
      </c>
      <c r="J5934">
        <v>-295.31889999999999</v>
      </c>
      <c r="K5934">
        <v>1.12107</v>
      </c>
      <c r="L5934">
        <v>141.56219999999999</v>
      </c>
      <c r="M5934">
        <v>-0.99990959999999995</v>
      </c>
      <c r="N5934">
        <v>-1.3151309999999999E-2</v>
      </c>
      <c r="O5934">
        <v>-2.83548E-3</v>
      </c>
      <c r="P5934">
        <v>-0.99817619999999896</v>
      </c>
      <c r="Q5934">
        <v>-5.8700540000000002E-2</v>
      </c>
      <c r="R5934">
        <v>-1.409613E-2</v>
      </c>
      <c r="S5934">
        <v>-3.0010379999999999</v>
      </c>
      <c r="T5934">
        <v>-5.7259440000000002E-2</v>
      </c>
      <c r="U5934">
        <v>-6.2484739999999997E-2</v>
      </c>
      <c r="V5934">
        <v>-1.1266979999999999E-2</v>
      </c>
      <c r="W5934">
        <v>-4.5567249999999997E-2</v>
      </c>
      <c r="X5934">
        <v>0.9988977</v>
      </c>
      <c r="Y5934">
        <v>-1.7975870000000001E-2</v>
      </c>
      <c r="Z5934">
        <v>-2.7289140000000001E-4</v>
      </c>
      <c r="AA5934">
        <v>0.99983840000000002</v>
      </c>
      <c r="AB5934">
        <v>28</v>
      </c>
      <c r="AC5934">
        <v>-58.478499999999997</v>
      </c>
      <c r="AD5934">
        <v>-1.1210728356419899</v>
      </c>
      <c r="AE5934">
        <v>-1.2226999999999999</v>
      </c>
      <c r="AF5934">
        <v>-1.0564780405021501</v>
      </c>
      <c r="AG5934">
        <v>-1.1210728356419899</v>
      </c>
      <c r="AH5934">
        <v>58.4602564780932</v>
      </c>
      <c r="AI5934">
        <v>91.098428085783894</v>
      </c>
      <c r="AJ5934">
        <v>91.035321227978699</v>
      </c>
      <c r="AK5934">
        <v>58.480548369841003</v>
      </c>
      <c r="AL5934">
        <v>92.611715543786502</v>
      </c>
      <c r="AM5934">
        <v>90.646235372446995</v>
      </c>
      <c r="AN5934">
        <v>0.99999996708808503</v>
      </c>
    </row>
    <row r="5935" spans="1:40" x14ac:dyDescent="0.25">
      <c r="A5935" t="str">
        <f>"20190303153926737"</f>
        <v>20190303153926737</v>
      </c>
      <c r="B5935" t="str">
        <f>"1551598766734475"</f>
        <v>1551598766734475</v>
      </c>
      <c r="C5935" t="s">
        <v>40</v>
      </c>
      <c r="D5935">
        <v>4.0628330000000004</v>
      </c>
      <c r="E5935">
        <v>0.49785390000000002</v>
      </c>
      <c r="F5935" t="s">
        <v>42</v>
      </c>
      <c r="G5935">
        <v>-349.83870000000002</v>
      </c>
      <c r="H5935" s="1">
        <v>-2.6858500000000002E-7</v>
      </c>
      <c r="I5935">
        <v>140.43219999999999</v>
      </c>
      <c r="J5935">
        <v>-295.59300000000002</v>
      </c>
      <c r="K5935">
        <v>1.1210869999999999</v>
      </c>
      <c r="L5935">
        <v>141.56139999999999</v>
      </c>
      <c r="M5935">
        <v>-0.99990829999999997</v>
      </c>
      <c r="N5935">
        <v>-1.3254800000000001E-2</v>
      </c>
      <c r="O5935">
        <v>-2.835803E-3</v>
      </c>
      <c r="P5935">
        <v>-0.99818499999999999</v>
      </c>
      <c r="Q5935">
        <v>-5.8544640000000002E-2</v>
      </c>
      <c r="R5935">
        <v>-1.41227E-2</v>
      </c>
      <c r="S5935">
        <v>-3.0009769999999998</v>
      </c>
      <c r="T5935">
        <v>-6.1707970000000001E-2</v>
      </c>
      <c r="U5935">
        <v>-6.2194819999999998E-2</v>
      </c>
      <c r="V5935">
        <v>-1.1293310000000001E-2</v>
      </c>
      <c r="W5935">
        <v>-4.530787E-2</v>
      </c>
      <c r="X5935">
        <v>0.99890919999999905</v>
      </c>
      <c r="Y5935">
        <v>-1.7878749999999999E-2</v>
      </c>
      <c r="Z5935">
        <v>-2.8159190000000002E-4</v>
      </c>
      <c r="AA5935">
        <v>0.99984010000000001</v>
      </c>
      <c r="AB5935">
        <v>28</v>
      </c>
      <c r="AC5935">
        <v>-54.245699999999999</v>
      </c>
      <c r="AD5935">
        <v>-1.121087268585</v>
      </c>
      <c r="AE5935">
        <v>-1.12919999999999</v>
      </c>
      <c r="AF5935">
        <v>-0.97493561868759404</v>
      </c>
      <c r="AG5935">
        <v>-1.121087268585</v>
      </c>
      <c r="AH5935">
        <v>54.225533627456002</v>
      </c>
      <c r="AI5935">
        <v>91.184203089498993</v>
      </c>
      <c r="AJ5935">
        <v>91.030025427462704</v>
      </c>
      <c r="AK5935">
        <v>54.245883100072497</v>
      </c>
      <c r="AL5935">
        <v>92.596838802089493</v>
      </c>
      <c r="AM5935">
        <v>90.647737985944303</v>
      </c>
      <c r="AN5935">
        <v>0.999999965889665</v>
      </c>
    </row>
    <row r="5936" spans="1:40" x14ac:dyDescent="0.25">
      <c r="A5936" t="str">
        <f>"20190303153926760"</f>
        <v>20190303153926760</v>
      </c>
      <c r="B5936" t="str">
        <f>"1551598766754971"</f>
        <v>1551598766754971</v>
      </c>
      <c r="C5936" t="s">
        <v>40</v>
      </c>
      <c r="D5936">
        <v>4.0417899999999998</v>
      </c>
      <c r="E5936">
        <v>0.49802479999999899</v>
      </c>
      <c r="F5936" t="s">
        <v>42</v>
      </c>
      <c r="G5936">
        <v>-350.61900000000003</v>
      </c>
      <c r="H5936" s="1">
        <v>-4.2095720000000004E-6</v>
      </c>
      <c r="I5936">
        <v>140.42930000000001</v>
      </c>
      <c r="J5936">
        <v>-295.8854</v>
      </c>
      <c r="K5936">
        <v>1.1211120000000001</v>
      </c>
      <c r="L5936">
        <v>141.56059999999999</v>
      </c>
      <c r="M5936">
        <v>-0.99990679999999998</v>
      </c>
      <c r="N5936">
        <v>-1.3358480000000001E-2</v>
      </c>
      <c r="O5936">
        <v>-2.8364839999999998E-3</v>
      </c>
      <c r="P5936">
        <v>-0.99826060000000005</v>
      </c>
      <c r="Q5936">
        <v>-5.712623E-2</v>
      </c>
      <c r="R5936">
        <v>-1.457809E-2</v>
      </c>
      <c r="S5936">
        <v>-3.001007</v>
      </c>
      <c r="T5936">
        <v>-6.1142090000000003E-2</v>
      </c>
      <c r="U5936">
        <v>-6.1737060000000003E-2</v>
      </c>
      <c r="V5936">
        <v>-1.174804E-2</v>
      </c>
      <c r="W5936">
        <v>-4.3784969999999999E-2</v>
      </c>
      <c r="X5936">
        <v>0.99897190000000002</v>
      </c>
      <c r="Y5936">
        <v>-1.7725520000000002E-2</v>
      </c>
      <c r="Z5936">
        <v>-2.7907220000000001E-4</v>
      </c>
      <c r="AA5936">
        <v>0.99984280000000003</v>
      </c>
      <c r="AB5936">
        <v>28</v>
      </c>
      <c r="AC5936">
        <v>-54.733600000000003</v>
      </c>
      <c r="AD5936">
        <v>-1.121116209572</v>
      </c>
      <c r="AE5936">
        <v>-1.13129999999998</v>
      </c>
      <c r="AF5936">
        <v>-0.97562146532599303</v>
      </c>
      <c r="AG5936">
        <v>-1.121116209572</v>
      </c>
      <c r="AH5936">
        <v>54.7136431685012</v>
      </c>
      <c r="AI5936">
        <v>91.173674978980699</v>
      </c>
      <c r="AJ5936">
        <v>91.021556338151797</v>
      </c>
      <c r="AK5936">
        <v>54.733823980871698</v>
      </c>
      <c r="AL5936">
        <v>92.5094962625585</v>
      </c>
      <c r="AM5936">
        <v>90.673774789321399</v>
      </c>
      <c r="AN5936">
        <v>0.999999998515676</v>
      </c>
    </row>
    <row r="5937" spans="1:40" x14ac:dyDescent="0.25">
      <c r="A5937" t="str">
        <f>"20190303153926782"</f>
        <v>20190303153926782</v>
      </c>
      <c r="B5937" t="str">
        <f>"1551598766774494"</f>
        <v>1551598766774494</v>
      </c>
      <c r="C5937" t="s">
        <v>40</v>
      </c>
      <c r="D5937">
        <v>4.047161</v>
      </c>
      <c r="E5937">
        <v>0.4982972</v>
      </c>
      <c r="F5937" t="s">
        <v>42</v>
      </c>
      <c r="G5937">
        <v>-358.971</v>
      </c>
      <c r="H5937" s="1">
        <v>-5.9465749999999999E-7</v>
      </c>
      <c r="I5937">
        <v>140.2586</v>
      </c>
      <c r="J5937">
        <v>-296.16399999999999</v>
      </c>
      <c r="K5937">
        <v>1.1211279999999999</v>
      </c>
      <c r="L5937">
        <v>141.5598</v>
      </c>
      <c r="M5937">
        <v>-0.99990570000000001</v>
      </c>
      <c r="N5937">
        <v>-1.3448409999999999E-2</v>
      </c>
      <c r="O5937">
        <v>-2.837198E-3</v>
      </c>
      <c r="P5937">
        <v>-0.9983301</v>
      </c>
      <c r="Q5937">
        <v>-5.5732530000000002E-2</v>
      </c>
      <c r="R5937">
        <v>-1.52114E-2</v>
      </c>
      <c r="S5937">
        <v>-3.001312</v>
      </c>
      <c r="T5937">
        <v>-5.3337219999999998E-2</v>
      </c>
      <c r="U5937">
        <v>-6.1935419999999998E-2</v>
      </c>
      <c r="V5937">
        <v>-1.237999E-2</v>
      </c>
      <c r="W5937">
        <v>-4.2300539999999998E-2</v>
      </c>
      <c r="X5937">
        <v>0.99902820000000003</v>
      </c>
      <c r="Y5937">
        <v>-1.7789889999999999E-2</v>
      </c>
      <c r="Z5937">
        <v>-2.6544509999999998E-4</v>
      </c>
      <c r="AA5937">
        <v>0.99984170000000006</v>
      </c>
      <c r="AB5937">
        <v>28</v>
      </c>
      <c r="AC5937">
        <v>-62.807000000000002</v>
      </c>
      <c r="AD5937">
        <v>-1.1211285946575</v>
      </c>
      <c r="AE5937">
        <v>-1.3011999999999899</v>
      </c>
      <c r="AF5937">
        <v>-1.1226252238035399</v>
      </c>
      <c r="AG5937">
        <v>-1.1211285946575</v>
      </c>
      <c r="AH5937">
        <v>62.790440553308997</v>
      </c>
      <c r="AI5937">
        <v>91.022748850265003</v>
      </c>
      <c r="AJ5937">
        <v>91.024277492673605</v>
      </c>
      <c r="AK5937">
        <v>62.810481940497098</v>
      </c>
      <c r="AL5937">
        <v>92.424365848349595</v>
      </c>
      <c r="AM5937">
        <v>90.709974825923993</v>
      </c>
      <c r="AN5937">
        <v>0.99999997211596503</v>
      </c>
    </row>
    <row r="5938" spans="1:40" x14ac:dyDescent="0.25">
      <c r="A5938" t="str">
        <f>"20190303153926804"</f>
        <v>20190303153926804</v>
      </c>
      <c r="B5938" t="str">
        <f>"1551598766794987"</f>
        <v>1551598766794987</v>
      </c>
      <c r="C5938" t="s">
        <v>40</v>
      </c>
      <c r="D5938">
        <v>4.073995</v>
      </c>
      <c r="E5938">
        <v>0.49835299999999999</v>
      </c>
      <c r="F5938" t="s">
        <v>42</v>
      </c>
      <c r="G5938">
        <v>-369.1343</v>
      </c>
      <c r="H5938" s="1">
        <v>-4.7132709999999999E-7</v>
      </c>
      <c r="I5938">
        <v>140.05840000000001</v>
      </c>
      <c r="J5938">
        <v>-296.4504</v>
      </c>
      <c r="K5938">
        <v>1.12114</v>
      </c>
      <c r="L5938">
        <v>141.55889999999999</v>
      </c>
      <c r="M5938">
        <v>-0.99990449999999997</v>
      </c>
      <c r="N5938">
        <v>-1.3531369999999999E-2</v>
      </c>
      <c r="O5938">
        <v>-2.8367919999999999E-3</v>
      </c>
      <c r="P5938">
        <v>-0.99836190000000002</v>
      </c>
      <c r="Q5938">
        <v>-5.4879490000000003E-2</v>
      </c>
      <c r="R5938">
        <v>-1.6181170000000002E-2</v>
      </c>
      <c r="S5938">
        <v>-3.001465</v>
      </c>
      <c r="T5938">
        <v>-4.6115040000000003E-2</v>
      </c>
      <c r="U5938">
        <v>-6.1752319999999999E-2</v>
      </c>
      <c r="V5938">
        <v>-1.33503999999999E-2</v>
      </c>
      <c r="W5938">
        <v>-4.1364190000000002E-2</v>
      </c>
      <c r="X5938">
        <v>0.99905500000000003</v>
      </c>
      <c r="Y5938">
        <v>-1.7729249999999998E-2</v>
      </c>
      <c r="Z5938">
        <v>-2.509632E-4</v>
      </c>
      <c r="AA5938">
        <v>0.99984280000000003</v>
      </c>
      <c r="AB5938">
        <v>28</v>
      </c>
      <c r="AC5938">
        <v>-72.683899999999994</v>
      </c>
      <c r="AD5938">
        <v>-1.1211404713271</v>
      </c>
      <c r="AE5938">
        <v>-1.50049999999998</v>
      </c>
      <c r="AF5938">
        <v>-1.2939782510856199</v>
      </c>
      <c r="AG5938">
        <v>-1.1211404713271</v>
      </c>
      <c r="AH5938">
        <v>72.6705815606106</v>
      </c>
      <c r="AI5938">
        <v>90.8837323400044</v>
      </c>
      <c r="AJ5938">
        <v>91.020105481440297</v>
      </c>
      <c r="AK5938">
        <v>72.690747416903704</v>
      </c>
      <c r="AL5938">
        <v>92.370669727333905</v>
      </c>
      <c r="AM5938">
        <v>90.765599540440604</v>
      </c>
      <c r="AN5938">
        <v>1.0000000612097499</v>
      </c>
    </row>
    <row r="5939" spans="1:40" x14ac:dyDescent="0.25">
      <c r="A5939" t="str">
        <f>"20190303153926826"</f>
        <v>20190303153926826</v>
      </c>
      <c r="B5939" t="str">
        <f>"1551598766814507"</f>
        <v>1551598766814507</v>
      </c>
      <c r="C5939" t="s">
        <v>40</v>
      </c>
      <c r="D5939">
        <v>4.0580679999999996</v>
      </c>
      <c r="E5939">
        <v>0.4983419</v>
      </c>
      <c r="F5939" t="s">
        <v>42</v>
      </c>
      <c r="G5939">
        <v>-374.99579999999997</v>
      </c>
      <c r="H5939" s="1">
        <v>-2.197524E-6</v>
      </c>
      <c r="I5939">
        <v>139.8734</v>
      </c>
      <c r="J5939">
        <v>-296.72120000000001</v>
      </c>
      <c r="K5939">
        <v>1.1211450000000001</v>
      </c>
      <c r="L5939">
        <v>141.5582</v>
      </c>
      <c r="M5939">
        <v>-0.9999036</v>
      </c>
      <c r="N5939">
        <v>-1.360132E-2</v>
      </c>
      <c r="O5939">
        <v>-2.832944E-3</v>
      </c>
      <c r="P5939">
        <v>-0.99834500000000004</v>
      </c>
      <c r="Q5939">
        <v>-5.486079E-2</v>
      </c>
      <c r="R5939">
        <v>-1.7266099999999899E-2</v>
      </c>
      <c r="S5939">
        <v>-3.0015260000000001</v>
      </c>
      <c r="T5939">
        <v>-4.2843220000000001E-2</v>
      </c>
      <c r="U5939">
        <v>-6.4407350000000002E-2</v>
      </c>
      <c r="V5939">
        <v>-1.4438990000000001E-2</v>
      </c>
      <c r="W5939">
        <v>-4.1275680000000002E-2</v>
      </c>
      <c r="X5939">
        <v>0.99904349999999997</v>
      </c>
      <c r="Y5939">
        <v>-1.861693E-2</v>
      </c>
      <c r="Z5939">
        <v>-2.5758509999999999E-4</v>
      </c>
      <c r="AA5939">
        <v>0.99982669999999996</v>
      </c>
      <c r="AB5939">
        <v>28</v>
      </c>
      <c r="AC5939">
        <v>-78.274599999999893</v>
      </c>
      <c r="AD5939">
        <v>-1.1211471975239999</v>
      </c>
      <c r="AE5939">
        <v>-1.6847999999999901</v>
      </c>
      <c r="AF5939">
        <v>-1.46272524368802</v>
      </c>
      <c r="AG5939">
        <v>-1.1211471975239999</v>
      </c>
      <c r="AH5939">
        <v>78.263010560794797</v>
      </c>
      <c r="AI5939">
        <v>90.820584263731305</v>
      </c>
      <c r="AJ5939">
        <v>91.070725827454197</v>
      </c>
      <c r="AK5939">
        <v>78.284707051991504</v>
      </c>
      <c r="AL5939">
        <v>92.365594192400707</v>
      </c>
      <c r="AM5939">
        <v>90.828027600324802</v>
      </c>
      <c r="AN5939">
        <v>1.00000004054196</v>
      </c>
    </row>
    <row r="5940" spans="1:40" x14ac:dyDescent="0.25">
      <c r="A5940" t="str">
        <f>"20190303153926849"</f>
        <v>20190303153926849</v>
      </c>
      <c r="B5940" t="str">
        <f>"1551598766844763"</f>
        <v>1551598766844763</v>
      </c>
      <c r="C5940" t="s">
        <v>40</v>
      </c>
      <c r="D5940">
        <v>4.0618949999999998</v>
      </c>
      <c r="E5940">
        <v>0.49834650000000003</v>
      </c>
      <c r="F5940" t="s">
        <v>42</v>
      </c>
      <c r="G5940">
        <v>-374.95359999999999</v>
      </c>
      <c r="H5940" s="1">
        <v>-2.1950979999999999E-6</v>
      </c>
      <c r="I5940">
        <v>139.7962</v>
      </c>
      <c r="J5940">
        <v>-297.00810000000001</v>
      </c>
      <c r="K5940">
        <v>1.121143</v>
      </c>
      <c r="L5940">
        <v>141.5574</v>
      </c>
      <c r="M5940">
        <v>-0.99990270000000003</v>
      </c>
      <c r="N5940">
        <v>-1.3667E-2</v>
      </c>
      <c r="O5940">
        <v>-2.822714E-3</v>
      </c>
      <c r="P5940">
        <v>-0.99836320000000001</v>
      </c>
      <c r="Q5940">
        <v>-5.4389119999999999E-2</v>
      </c>
      <c r="R5940">
        <v>-1.7686070000000002E-2</v>
      </c>
      <c r="S5940">
        <v>-3.001404</v>
      </c>
      <c r="T5940">
        <v>-4.3013099999999999E-2</v>
      </c>
      <c r="U5940">
        <v>-6.7596439999999994E-2</v>
      </c>
      <c r="V5940">
        <v>-1.486996E-2</v>
      </c>
      <c r="W5940">
        <v>-4.0738000000000003E-2</v>
      </c>
      <c r="X5940">
        <v>0.99905920000000004</v>
      </c>
      <c r="Y5940">
        <v>-1.9689600000000002E-2</v>
      </c>
      <c r="Z5940">
        <v>-2.7377690000000002E-4</v>
      </c>
      <c r="AA5940">
        <v>0.99980610000000003</v>
      </c>
      <c r="AB5940">
        <v>28</v>
      </c>
      <c r="AC5940">
        <v>-77.945499999999896</v>
      </c>
      <c r="AD5940">
        <v>-1.121145195098</v>
      </c>
      <c r="AE5940">
        <v>-1.7612000000000001</v>
      </c>
      <c r="AF5940">
        <v>-1.5408359727268399</v>
      </c>
      <c r="AG5940">
        <v>-1.121145195098</v>
      </c>
      <c r="AH5940">
        <v>77.934045619680006</v>
      </c>
      <c r="AI5940">
        <v>90.824028933866302</v>
      </c>
      <c r="AJ5940">
        <v>91.132648729074603</v>
      </c>
      <c r="AK5940">
        <v>77.957338388978499</v>
      </c>
      <c r="AL5940">
        <v>92.334761575779297</v>
      </c>
      <c r="AM5940">
        <v>90.852725287690404</v>
      </c>
      <c r="AN5940">
        <v>0.99999999272952</v>
      </c>
    </row>
    <row r="5941" spans="1:40" x14ac:dyDescent="0.25">
      <c r="A5941" t="str">
        <f>"20190303153926873"</f>
        <v>20190303153926873</v>
      </c>
      <c r="B5941" t="str">
        <f>"1551598766864283"</f>
        <v>1551598766864283</v>
      </c>
      <c r="C5941" t="s">
        <v>40</v>
      </c>
      <c r="D5941">
        <v>4.0926260000000001</v>
      </c>
      <c r="E5941">
        <v>0.49818109999999999</v>
      </c>
      <c r="F5941" t="s">
        <v>42</v>
      </c>
      <c r="G5941">
        <v>-376.59399999999999</v>
      </c>
      <c r="H5941" s="1">
        <v>-1.475059E-6</v>
      </c>
      <c r="I5941">
        <v>139.73490000000001</v>
      </c>
      <c r="J5941">
        <v>-297.3023</v>
      </c>
      <c r="K5941">
        <v>1.12114</v>
      </c>
      <c r="L5941">
        <v>141.5566</v>
      </c>
      <c r="M5941">
        <v>-0.99990199999999996</v>
      </c>
      <c r="N5941">
        <v>-1.3724760000000001E-2</v>
      </c>
      <c r="O5941">
        <v>-2.8054849999999999E-3</v>
      </c>
      <c r="P5941">
        <v>-0.99838450000000001</v>
      </c>
      <c r="Q5941">
        <v>-5.3866339999999999E-2</v>
      </c>
      <c r="R5941">
        <v>-1.8091469999999998E-2</v>
      </c>
      <c r="S5941">
        <v>-3.0013730000000001</v>
      </c>
      <c r="T5941">
        <v>-4.2281029999999997E-2</v>
      </c>
      <c r="U5941">
        <v>-6.8725590000000003E-2</v>
      </c>
      <c r="V5941">
        <v>-1.529288E-2</v>
      </c>
      <c r="W5941">
        <v>-4.0157020000000002E-2</v>
      </c>
      <c r="X5941">
        <v>0.99907639999999998</v>
      </c>
      <c r="Y5941">
        <v>-2.0083009999999998E-2</v>
      </c>
      <c r="Z5941">
        <v>-2.7827439999999999E-4</v>
      </c>
      <c r="AA5941">
        <v>0.99979830000000003</v>
      </c>
      <c r="AB5941">
        <v>28</v>
      </c>
      <c r="AC5941">
        <v>-79.291699999999906</v>
      </c>
      <c r="AD5941">
        <v>-1.1211414750589901</v>
      </c>
      <c r="AE5941">
        <v>-1.8216999999999901</v>
      </c>
      <c r="AF5941">
        <v>-1.5989007375531401</v>
      </c>
      <c r="AG5941">
        <v>-1.1211414750589901</v>
      </c>
      <c r="AH5941">
        <v>79.280657370432706</v>
      </c>
      <c r="AI5941">
        <v>90.810025275020905</v>
      </c>
      <c r="AJ5941">
        <v>91.155361848778597</v>
      </c>
      <c r="AK5941">
        <v>79.304703989508596</v>
      </c>
      <c r="AL5941">
        <v>92.3014464651867</v>
      </c>
      <c r="AM5941">
        <v>90.876959015582599</v>
      </c>
      <c r="AN5941">
        <v>1.00000005573546</v>
      </c>
    </row>
    <row r="5942" spans="1:40" x14ac:dyDescent="0.25">
      <c r="A5942" t="str">
        <f>"20190303153926895"</f>
        <v>20190303153926895</v>
      </c>
      <c r="B5942" t="str">
        <f>"1551598766884779"</f>
        <v>1551598766884779</v>
      </c>
      <c r="C5942" t="s">
        <v>40</v>
      </c>
      <c r="D5942">
        <v>4.1714120000000001</v>
      </c>
      <c r="E5942">
        <v>0.49814209999999898</v>
      </c>
      <c r="F5942" t="s">
        <v>42</v>
      </c>
      <c r="G5942">
        <v>-375.92180000000002</v>
      </c>
      <c r="H5942" s="1">
        <v>-1.7512409999999999E-6</v>
      </c>
      <c r="I5942">
        <v>139.68899999999999</v>
      </c>
      <c r="J5942">
        <v>-297.57909999999998</v>
      </c>
      <c r="K5942">
        <v>1.121135</v>
      </c>
      <c r="L5942">
        <v>141.5558</v>
      </c>
      <c r="M5942">
        <v>-0.99990120000000005</v>
      </c>
      <c r="N5942">
        <v>-1.37725E-2</v>
      </c>
      <c r="O5942">
        <v>-2.7834349999999999E-3</v>
      </c>
      <c r="P5942">
        <v>-0.99838579999999999</v>
      </c>
      <c r="Q5942">
        <v>-5.3977079999999997E-2</v>
      </c>
      <c r="R5942">
        <v>-1.7666049999999999E-2</v>
      </c>
      <c r="S5942">
        <v>-3.0012819999999998</v>
      </c>
      <c r="T5942">
        <v>-4.279935E-2</v>
      </c>
      <c r="U5942">
        <v>-7.1289060000000001E-2</v>
      </c>
      <c r="V5942">
        <v>-1.488981E-2</v>
      </c>
      <c r="W5942">
        <v>-4.0219900000000003E-2</v>
      </c>
      <c r="X5942">
        <v>0.99907990000000002</v>
      </c>
      <c r="Y5942">
        <v>-2.0958979999999999E-2</v>
      </c>
      <c r="Z5942">
        <v>-2.9242979999999998E-4</v>
      </c>
      <c r="AA5942">
        <v>0.99978029999999996</v>
      </c>
      <c r="AB5942">
        <v>28</v>
      </c>
      <c r="AC5942">
        <v>-78.342699999999994</v>
      </c>
      <c r="AD5942">
        <v>-1.121136751241</v>
      </c>
      <c r="AE5942">
        <v>-1.86680000000001</v>
      </c>
      <c r="AF5942">
        <v>-1.6483728646990401</v>
      </c>
      <c r="AG5942">
        <v>-1.121136751241</v>
      </c>
      <c r="AH5942">
        <v>78.331560234692404</v>
      </c>
      <c r="AI5942">
        <v>90.819820297413202</v>
      </c>
      <c r="AJ5942">
        <v>91.205527767129794</v>
      </c>
      <c r="AK5942">
        <v>78.356923175411296</v>
      </c>
      <c r="AL5942">
        <v>92.305052272734997</v>
      </c>
      <c r="AM5942">
        <v>90.853845738810193</v>
      </c>
      <c r="AN5942">
        <v>0.99999999669092798</v>
      </c>
    </row>
    <row r="5943" spans="1:40" x14ac:dyDescent="0.25">
      <c r="A5943" t="str">
        <f>"20190303153926916"</f>
        <v>20190303153926916</v>
      </c>
      <c r="B5943" t="str">
        <f>"1551598766904299"</f>
        <v>1551598766904299</v>
      </c>
      <c r="C5943" t="s">
        <v>40</v>
      </c>
      <c r="D5943">
        <v>4.0452339999999998</v>
      </c>
      <c r="E5943">
        <v>0.49831399999999998</v>
      </c>
      <c r="F5943" t="s">
        <v>42</v>
      </c>
      <c r="G5943">
        <v>-370.46749999999997</v>
      </c>
      <c r="H5943" s="1">
        <v>-4.134065E-6</v>
      </c>
      <c r="I5943">
        <v>139.85059999999999</v>
      </c>
      <c r="J5943">
        <v>-297.84530000000001</v>
      </c>
      <c r="K5943">
        <v>1.1211310000000001</v>
      </c>
      <c r="L5943">
        <v>141.55510000000001</v>
      </c>
      <c r="M5943">
        <v>-0.99990100000000004</v>
      </c>
      <c r="N5943">
        <v>-1.3812609999999999E-2</v>
      </c>
      <c r="O5943">
        <v>-2.7586189999999999E-3</v>
      </c>
      <c r="P5943">
        <v>-0.99837909999999996</v>
      </c>
      <c r="Q5943">
        <v>-5.4361130000000001E-2</v>
      </c>
      <c r="R5943">
        <v>-1.686959E-2</v>
      </c>
      <c r="S5943">
        <v>-3.0010680000000001</v>
      </c>
      <c r="T5943">
        <v>-4.6161170000000001E-2</v>
      </c>
      <c r="U5943">
        <v>-7.0205690000000001E-2</v>
      </c>
      <c r="V5943">
        <v>-1.4118800000000001E-2</v>
      </c>
      <c r="W5943">
        <v>-4.05639E-2</v>
      </c>
      <c r="X5943">
        <v>0.9990772</v>
      </c>
      <c r="Y5943">
        <v>-2.062433E-2</v>
      </c>
      <c r="Z5943">
        <v>-2.967437E-4</v>
      </c>
      <c r="AA5943">
        <v>0.99978730000000005</v>
      </c>
      <c r="AB5943">
        <v>28</v>
      </c>
      <c r="AC5943">
        <v>-72.622199999999907</v>
      </c>
      <c r="AD5943">
        <v>-1.121135134065</v>
      </c>
      <c r="AE5943">
        <v>-1.7045000000000201</v>
      </c>
      <c r="AF5943">
        <v>-1.50377926250717</v>
      </c>
      <c r="AG5943">
        <v>-1.121135134065</v>
      </c>
      <c r="AH5943">
        <v>72.609330743101296</v>
      </c>
      <c r="AI5943">
        <v>90.884424053378297</v>
      </c>
      <c r="AJ5943">
        <v>91.186457560452098</v>
      </c>
      <c r="AK5943">
        <v>72.6335542777597</v>
      </c>
      <c r="AL5943">
        <v>92.324778085684102</v>
      </c>
      <c r="AM5943">
        <v>90.809640943548203</v>
      </c>
      <c r="AN5943">
        <v>1.0000000110282401</v>
      </c>
    </row>
    <row r="5944" spans="1:40" x14ac:dyDescent="0.25">
      <c r="A5944" t="str">
        <f>"20190303153926938"</f>
        <v>20190303153926938</v>
      </c>
      <c r="B5944" t="str">
        <f>"1551598766934555"</f>
        <v>1551598766934555</v>
      </c>
      <c r="C5944" t="s">
        <v>40</v>
      </c>
      <c r="D5944">
        <v>4.0838380000000001</v>
      </c>
      <c r="E5944">
        <v>0.49834420000000001</v>
      </c>
      <c r="F5944" t="s">
        <v>42</v>
      </c>
      <c r="G5944">
        <v>-369.61419999999998</v>
      </c>
      <c r="H5944" s="1">
        <v>-2.4112859999999999E-7</v>
      </c>
      <c r="I5944">
        <v>139.96700000000001</v>
      </c>
      <c r="J5944">
        <v>-298.12700000000001</v>
      </c>
      <c r="K5944">
        <v>1.121135</v>
      </c>
      <c r="L5944">
        <v>141.55439999999999</v>
      </c>
      <c r="M5944">
        <v>-0.99990049999999997</v>
      </c>
      <c r="N5944">
        <v>-1.38493E-2</v>
      </c>
      <c r="O5944">
        <v>-2.7287940000000001E-3</v>
      </c>
      <c r="P5944">
        <v>-0.99835459999999998</v>
      </c>
      <c r="Q5944">
        <v>-5.5190700000000002E-2</v>
      </c>
      <c r="R5944">
        <v>-1.556546E-2</v>
      </c>
      <c r="S5944">
        <v>-3.00116</v>
      </c>
      <c r="T5944">
        <v>-4.6882390000000003E-2</v>
      </c>
      <c r="U5944">
        <v>-6.640625E-2</v>
      </c>
      <c r="V5944">
        <v>-1.284448E-2</v>
      </c>
      <c r="W5944">
        <v>-4.1357159999999997E-2</v>
      </c>
      <c r="X5944">
        <v>0.99906189999999995</v>
      </c>
      <c r="Y5944">
        <v>-1.9388530000000001E-2</v>
      </c>
      <c r="Z5944">
        <v>-2.8087709999999999E-4</v>
      </c>
      <c r="AA5944">
        <v>0.99981200000000003</v>
      </c>
      <c r="AB5944">
        <v>28</v>
      </c>
      <c r="AC5944">
        <v>-71.487199999999902</v>
      </c>
      <c r="AD5944">
        <v>-1.1211352411286</v>
      </c>
      <c r="AE5944">
        <v>-1.5873999999999699</v>
      </c>
      <c r="AF5944">
        <v>-1.3919593673866</v>
      </c>
      <c r="AG5944">
        <v>-1.1211352411286</v>
      </c>
      <c r="AH5944">
        <v>71.473695091020105</v>
      </c>
      <c r="AI5944">
        <v>90.898496635573906</v>
      </c>
      <c r="AJ5944">
        <v>91.115701604973296</v>
      </c>
      <c r="AK5944">
        <v>71.496038946737897</v>
      </c>
      <c r="AL5944">
        <v>92.370266648837301</v>
      </c>
      <c r="AM5944">
        <v>90.736584940699501</v>
      </c>
      <c r="AN5944">
        <v>1.0000000376906699</v>
      </c>
    </row>
    <row r="5945" spans="1:40" x14ac:dyDescent="0.25">
      <c r="A5945" t="str">
        <f>"20190303153926961"</f>
        <v>20190303153926961</v>
      </c>
      <c r="B5945" t="str">
        <f>"1551598766955051"</f>
        <v>1551598766955051</v>
      </c>
      <c r="C5945" t="s">
        <v>40</v>
      </c>
      <c r="D5945">
        <v>4.0807060000000002</v>
      </c>
      <c r="E5945">
        <v>0.4983475</v>
      </c>
      <c r="F5945" t="s">
        <v>42</v>
      </c>
      <c r="G5945">
        <v>-367.06319999999999</v>
      </c>
      <c r="H5945" s="1">
        <v>-1.377294E-6</v>
      </c>
      <c r="I5945">
        <v>140.124</v>
      </c>
      <c r="J5945">
        <v>-298.4085</v>
      </c>
      <c r="K5945">
        <v>1.1211329999999999</v>
      </c>
      <c r="L5945">
        <v>141.55359999999999</v>
      </c>
      <c r="M5945">
        <v>-0.99990009999999996</v>
      </c>
      <c r="N5945">
        <v>-1.388064E-2</v>
      </c>
      <c r="O5945">
        <v>-2.6969289999999998E-3</v>
      </c>
      <c r="P5945">
        <v>-0.99836049999999998</v>
      </c>
      <c r="Q5945">
        <v>-5.5247600000000001E-2</v>
      </c>
      <c r="R5945">
        <v>-1.497017E-2</v>
      </c>
      <c r="S5945">
        <v>-3.001312</v>
      </c>
      <c r="T5945">
        <v>-4.8811550000000002E-2</v>
      </c>
      <c r="U5945">
        <v>-6.2271119999999999E-2</v>
      </c>
      <c r="V5945">
        <v>-1.228137E-2</v>
      </c>
      <c r="W5945">
        <v>-4.138273E-2</v>
      </c>
      <c r="X5945">
        <v>0.99906790000000001</v>
      </c>
      <c r="Y5945">
        <v>-1.80424E-2</v>
      </c>
      <c r="Z5945">
        <v>-2.6552439999999997E-4</v>
      </c>
      <c r="AA5945">
        <v>0.99983719999999998</v>
      </c>
      <c r="AB5945">
        <v>28</v>
      </c>
      <c r="AC5945">
        <v>-68.654699999999906</v>
      </c>
      <c r="AD5945">
        <v>-1.1211343772939999</v>
      </c>
      <c r="AE5945">
        <v>-1.42959999999999</v>
      </c>
      <c r="AF5945">
        <v>-1.2440885052969799</v>
      </c>
      <c r="AG5945">
        <v>-1.1211343772939999</v>
      </c>
      <c r="AH5945">
        <v>68.640009850174096</v>
      </c>
      <c r="AI5945">
        <v>90.935606084947494</v>
      </c>
      <c r="AJ5945">
        <v>91.038362565673097</v>
      </c>
      <c r="AK5945">
        <v>68.660437303682897</v>
      </c>
      <c r="AL5945">
        <v>92.371733009595701</v>
      </c>
      <c r="AM5945">
        <v>90.704291696400603</v>
      </c>
      <c r="AN5945">
        <v>1.0000000156008599</v>
      </c>
    </row>
    <row r="5946" spans="1:40" x14ac:dyDescent="0.25">
      <c r="A5946" t="str">
        <f>"20190303153926983"</f>
        <v>20190303153926983</v>
      </c>
      <c r="B5946" t="str">
        <f>"1551598766974574"</f>
        <v>1551598766974574</v>
      </c>
      <c r="C5946" t="s">
        <v>40</v>
      </c>
      <c r="D5946">
        <v>4.0963620000000001</v>
      </c>
      <c r="E5946">
        <v>0.4982279</v>
      </c>
      <c r="F5946" t="s">
        <v>42</v>
      </c>
      <c r="G5946">
        <v>-367.28550000000001</v>
      </c>
      <c r="H5946" s="1">
        <v>-1.292381E-6</v>
      </c>
      <c r="I5946">
        <v>140.16329999999999</v>
      </c>
      <c r="J5946">
        <v>-298.68599999999998</v>
      </c>
      <c r="K5946">
        <v>1.1211370000000001</v>
      </c>
      <c r="L5946">
        <v>141.55289999999999</v>
      </c>
      <c r="M5946">
        <v>-0.99989989999999995</v>
      </c>
      <c r="N5946">
        <v>-1.39071E-2</v>
      </c>
      <c r="O5946">
        <v>-2.6649209999999998E-3</v>
      </c>
      <c r="P5946">
        <v>-0.99836049999999998</v>
      </c>
      <c r="Q5946">
        <v>-5.5492479999999997E-2</v>
      </c>
      <c r="R5946">
        <v>-1.405119E-2</v>
      </c>
      <c r="S5946">
        <v>-3.0013429999999999</v>
      </c>
      <c r="T5946">
        <v>-4.8853870000000001E-2</v>
      </c>
      <c r="U5946">
        <v>-6.0577390000000002E-2</v>
      </c>
      <c r="V5946">
        <v>-1.139422E-2</v>
      </c>
      <c r="W5946">
        <v>-4.1601249999999999E-2</v>
      </c>
      <c r="X5946">
        <v>0.99906930000000005</v>
      </c>
      <c r="Y5946">
        <v>-1.7510319999999999E-2</v>
      </c>
      <c r="Z5946">
        <v>-2.5796789999999999E-4</v>
      </c>
      <c r="AA5946">
        <v>0.99984660000000003</v>
      </c>
      <c r="AB5946">
        <v>28</v>
      </c>
      <c r="AC5946">
        <v>-68.599500000000006</v>
      </c>
      <c r="AD5946">
        <v>-1.121138292381</v>
      </c>
      <c r="AE5946">
        <v>-1.3895999999999999</v>
      </c>
      <c r="AF5946">
        <v>-1.2064430538836</v>
      </c>
      <c r="AG5946">
        <v>-1.121138292381</v>
      </c>
      <c r="AH5946">
        <v>68.584648339522204</v>
      </c>
      <c r="AI5946">
        <v>90.936373369928702</v>
      </c>
      <c r="AJ5946">
        <v>91.007761482491404</v>
      </c>
      <c r="AK5946">
        <v>68.604420001693995</v>
      </c>
      <c r="AL5946">
        <v>92.384264161234597</v>
      </c>
      <c r="AM5946">
        <v>90.653420552508905</v>
      </c>
      <c r="AN5946">
        <v>0.99999997922673001</v>
      </c>
    </row>
    <row r="5947" spans="1:40" x14ac:dyDescent="0.25">
      <c r="A5947" t="str">
        <f>"20190303153926997"</f>
        <v>20190303153926997</v>
      </c>
      <c r="B5947" t="str">
        <f>"1551598766995068"</f>
        <v>1551598766995068</v>
      </c>
      <c r="C5947" t="s">
        <v>40</v>
      </c>
      <c r="D5947">
        <v>4.1036700000000002</v>
      </c>
      <c r="E5947">
        <v>0.49819150000000001</v>
      </c>
      <c r="F5947" t="s">
        <v>42</v>
      </c>
      <c r="G5947">
        <v>-364.95580000000001</v>
      </c>
      <c r="H5947" s="1">
        <v>-2.3166649999999999E-6</v>
      </c>
      <c r="I5947">
        <v>140.2567</v>
      </c>
      <c r="J5947">
        <v>-298.86489999999998</v>
      </c>
      <c r="K5947">
        <v>1.1211390000000001</v>
      </c>
      <c r="L5947">
        <v>141.55240000000001</v>
      </c>
      <c r="M5947">
        <v>-0.99989969999999995</v>
      </c>
      <c r="N5947">
        <v>-1.392199E-2</v>
      </c>
      <c r="O5947">
        <v>-2.64452E-3</v>
      </c>
      <c r="P5947">
        <v>-0.99837010000000004</v>
      </c>
      <c r="Q5947">
        <v>-5.5477249999999999E-2</v>
      </c>
      <c r="R5947">
        <v>-1.3418340000000001E-2</v>
      </c>
      <c r="S5947">
        <v>-3.001312</v>
      </c>
      <c r="T5947">
        <v>-5.0775649999999999E-2</v>
      </c>
      <c r="U5947">
        <v>-5.8700559999999999E-2</v>
      </c>
      <c r="V5947">
        <v>-1.0781590000000001E-2</v>
      </c>
      <c r="W5947">
        <v>-4.15711E-2</v>
      </c>
      <c r="X5947">
        <v>0.9990774</v>
      </c>
      <c r="Y5947">
        <v>-1.6905819999999998E-2</v>
      </c>
      <c r="Z5947">
        <v>-2.5277790000000002E-4</v>
      </c>
      <c r="AA5947">
        <v>0.99985710000000005</v>
      </c>
      <c r="AB5947">
        <v>28</v>
      </c>
      <c r="AC5947">
        <v>-66.090900000000005</v>
      </c>
      <c r="AD5947">
        <v>-1.1211413166649999</v>
      </c>
      <c r="AE5947">
        <v>-1.2957000000000101</v>
      </c>
      <c r="AF5947">
        <v>-1.1205775021328801</v>
      </c>
      <c r="AG5947">
        <v>-1.1211413166649999</v>
      </c>
      <c r="AH5947">
        <v>66.075088921234297</v>
      </c>
      <c r="AI5947">
        <v>90.971943741153595</v>
      </c>
      <c r="AJ5947">
        <v>90.971594715444397</v>
      </c>
      <c r="AK5947">
        <v>66.094099795210496</v>
      </c>
      <c r="AL5947">
        <v>92.382535088363795</v>
      </c>
      <c r="AM5947">
        <v>90.618286055700196</v>
      </c>
      <c r="AN5947">
        <v>1.0000000251144401</v>
      </c>
    </row>
    <row r="5948" spans="1:40" x14ac:dyDescent="0.25">
      <c r="A5948" t="str">
        <f>"20190303153927012"</f>
        <v>20190303153927012</v>
      </c>
      <c r="B5948" t="str">
        <f>"1551598767004827"</f>
        <v>1551598767004827</v>
      </c>
      <c r="C5948" t="s">
        <v>40</v>
      </c>
      <c r="D5948">
        <v>4.0903070000000001</v>
      </c>
      <c r="E5948">
        <v>0.49817220000000001</v>
      </c>
      <c r="F5948" t="s">
        <v>42</v>
      </c>
      <c r="G5948">
        <v>-365.02870000000001</v>
      </c>
      <c r="H5948" s="1">
        <v>-2.295559E-6</v>
      </c>
      <c r="I5948">
        <v>140.29499999999999</v>
      </c>
      <c r="J5948">
        <v>-299.04649999999998</v>
      </c>
      <c r="K5948">
        <v>1.121138</v>
      </c>
      <c r="L5948">
        <v>141.55199999999999</v>
      </c>
      <c r="M5948">
        <v>-0.99989950000000005</v>
      </c>
      <c r="N5948">
        <v>-1.393579E-2</v>
      </c>
      <c r="O5948">
        <v>-2.62423E-3</v>
      </c>
      <c r="P5948">
        <v>-0.99837120000000001</v>
      </c>
      <c r="Q5948">
        <v>-5.551656E-2</v>
      </c>
      <c r="R5948">
        <v>-1.316141E-2</v>
      </c>
      <c r="S5948">
        <v>-3.001312</v>
      </c>
      <c r="T5948">
        <v>-5.0857069999999997E-2</v>
      </c>
      <c r="U5948">
        <v>-5.7037350000000001E-2</v>
      </c>
      <c r="V5948">
        <v>-1.054481E-2</v>
      </c>
      <c r="W5948">
        <v>-4.1596630000000002E-2</v>
      </c>
      <c r="X5948">
        <v>0.99907880000000004</v>
      </c>
      <c r="Y5948">
        <v>-1.6372359999999999E-2</v>
      </c>
      <c r="Z5948">
        <v>-2.4491269999999998E-4</v>
      </c>
      <c r="AA5948">
        <v>0.99986589999999997</v>
      </c>
      <c r="AB5948">
        <v>28</v>
      </c>
      <c r="AC5948">
        <v>-65.982200000000006</v>
      </c>
      <c r="AD5948">
        <v>-1.121140295559</v>
      </c>
      <c r="AE5948">
        <v>-1.2570000000000301</v>
      </c>
      <c r="AF5948">
        <v>-1.0835136840514701</v>
      </c>
      <c r="AG5948">
        <v>-1.121140295559</v>
      </c>
      <c r="AH5948">
        <v>65.966233337188797</v>
      </c>
      <c r="AI5948">
        <v>90.973555091624505</v>
      </c>
      <c r="AJ5948">
        <v>90.941014455223296</v>
      </c>
      <c r="AK5948">
        <v>65.984656535912194</v>
      </c>
      <c r="AL5948">
        <v>92.383999269762995</v>
      </c>
      <c r="AM5948">
        <v>90.6047077324382</v>
      </c>
      <c r="AN5948">
        <v>0.99999996062736496</v>
      </c>
    </row>
    <row r="5949" spans="1:40" x14ac:dyDescent="0.25">
      <c r="A5949" t="str">
        <f>"20190303153927025"</f>
        <v>20190303153927025</v>
      </c>
      <c r="B5949" t="str">
        <f>"1551598767014587"</f>
        <v>1551598767014587</v>
      </c>
      <c r="C5949" t="s">
        <v>40</v>
      </c>
      <c r="D5949">
        <v>4.0914099999999998</v>
      </c>
      <c r="E5949">
        <v>0.49818770000000001</v>
      </c>
      <c r="F5949" t="s">
        <v>42</v>
      </c>
      <c r="G5949">
        <v>-365.15710000000001</v>
      </c>
      <c r="H5949" s="1">
        <v>-2.2437589999999999E-6</v>
      </c>
      <c r="I5949">
        <v>140.3073</v>
      </c>
      <c r="J5949">
        <v>-299.20670000000001</v>
      </c>
      <c r="K5949">
        <v>1.1211390000000001</v>
      </c>
      <c r="L5949">
        <v>141.55160000000001</v>
      </c>
      <c r="M5949">
        <v>-0.99989930000000005</v>
      </c>
      <c r="N5949">
        <v>-1.39466E-2</v>
      </c>
      <c r="O5949">
        <v>-2.6065429999999998E-3</v>
      </c>
      <c r="P5949">
        <v>-0.9983805</v>
      </c>
      <c r="Q5949">
        <v>-5.5342759999999998E-2</v>
      </c>
      <c r="R5949">
        <v>-1.317483E-2</v>
      </c>
      <c r="S5949">
        <v>-3.0013429999999999</v>
      </c>
      <c r="T5949">
        <v>-5.0898430000000001E-2</v>
      </c>
      <c r="U5949">
        <v>-5.6503299999999999E-2</v>
      </c>
      <c r="V5949">
        <v>-1.057633E-2</v>
      </c>
      <c r="W5949">
        <v>-4.1411910000000003E-2</v>
      </c>
      <c r="X5949">
        <v>0.99908620000000004</v>
      </c>
      <c r="Y5949">
        <v>-1.621204E-2</v>
      </c>
      <c r="Z5949">
        <v>-2.4268099999999999E-4</v>
      </c>
      <c r="AA5949">
        <v>0.9998686</v>
      </c>
      <c r="AB5949">
        <v>28</v>
      </c>
      <c r="AC5949">
        <v>-65.950400000000002</v>
      </c>
      <c r="AD5949">
        <v>-1.12114124375899</v>
      </c>
      <c r="AE5949">
        <v>-1.2443</v>
      </c>
      <c r="AF5949">
        <v>-1.0720667821212999</v>
      </c>
      <c r="AG5949">
        <v>-1.12114124375899</v>
      </c>
      <c r="AH5949">
        <v>65.934371833153804</v>
      </c>
      <c r="AI5949">
        <v>90.974028912186697</v>
      </c>
      <c r="AJ5949">
        <v>90.931524606342805</v>
      </c>
      <c r="AK5949">
        <v>65.952616884444893</v>
      </c>
      <c r="AL5949">
        <v>92.373406324313393</v>
      </c>
      <c r="AM5949">
        <v>90.606510666667504</v>
      </c>
      <c r="AN5949">
        <v>1.0000000200382699</v>
      </c>
    </row>
    <row r="5950" spans="1:40" x14ac:dyDescent="0.25">
      <c r="A5950" t="str">
        <f>"20190303153927039"</f>
        <v>20190303153927039</v>
      </c>
      <c r="B5950" t="str">
        <f>"1551598767034108"</f>
        <v>1551598767034108</v>
      </c>
      <c r="C5950" t="s">
        <v>40</v>
      </c>
      <c r="D5950">
        <v>4.0881600000000002</v>
      </c>
      <c r="E5950">
        <v>0.49812780000000001</v>
      </c>
      <c r="F5950" t="s">
        <v>42</v>
      </c>
      <c r="G5950">
        <v>-365.48750000000001</v>
      </c>
      <c r="H5950" s="1">
        <v>-2.1018860000000002E-6</v>
      </c>
      <c r="I5950">
        <v>140.30670000000001</v>
      </c>
      <c r="J5950">
        <v>-299.38310000000001</v>
      </c>
      <c r="K5950">
        <v>1.1211340000000001</v>
      </c>
      <c r="L5950">
        <v>141.55109999999999</v>
      </c>
      <c r="M5950">
        <v>-0.99989930000000005</v>
      </c>
      <c r="N5950">
        <v>-1.395732E-2</v>
      </c>
      <c r="O5950">
        <v>-2.5875450000000001E-3</v>
      </c>
      <c r="P5950">
        <v>-0.99840329999999999</v>
      </c>
      <c r="Q5950">
        <v>-5.482687E-2</v>
      </c>
      <c r="R5950">
        <v>-1.3609660000000001E-2</v>
      </c>
      <c r="S5950">
        <v>-3.0012819999999998</v>
      </c>
      <c r="T5950">
        <v>-5.0766829999999999E-2</v>
      </c>
      <c r="U5950">
        <v>-5.6365970000000001E-2</v>
      </c>
      <c r="V5950">
        <v>-1.1030099999999999E-2</v>
      </c>
      <c r="W5950">
        <v>-4.0884999999999998E-2</v>
      </c>
      <c r="X5950">
        <v>0.99910299999999996</v>
      </c>
      <c r="Y5950">
        <v>-1.6185700000000001E-2</v>
      </c>
      <c r="Z5950">
        <v>-2.4220620000000001E-4</v>
      </c>
      <c r="AA5950">
        <v>0.99986900000000001</v>
      </c>
      <c r="AB5950">
        <v>28</v>
      </c>
      <c r="AC5950">
        <v>-66.104399999999998</v>
      </c>
      <c r="AD5950">
        <v>-1.121136101886</v>
      </c>
      <c r="AE5950">
        <v>-1.24439999999998</v>
      </c>
      <c r="AF5950">
        <v>-1.0730225305244301</v>
      </c>
      <c r="AG5950">
        <v>-1.121136101886</v>
      </c>
      <c r="AH5950">
        <v>66.088395690256405</v>
      </c>
      <c r="AI5950">
        <v>90.971755216019005</v>
      </c>
      <c r="AJ5950">
        <v>90.930182375420998</v>
      </c>
      <c r="AK5950">
        <v>66.106613651145807</v>
      </c>
      <c r="AL5950">
        <v>92.343191001601497</v>
      </c>
      <c r="AM5950">
        <v>90.632519874294701</v>
      </c>
      <c r="AN5950">
        <v>1.0000000254700001</v>
      </c>
    </row>
    <row r="5951" spans="1:40" x14ac:dyDescent="0.25">
      <c r="A5951" t="str">
        <f>"20190303153927063"</f>
        <v>20190303153927063</v>
      </c>
      <c r="B5951" t="str">
        <f>"1551598767054604"</f>
        <v>1551598767054604</v>
      </c>
      <c r="C5951" t="s">
        <v>40</v>
      </c>
      <c r="D5951">
        <v>4.1073729999999999</v>
      </c>
      <c r="E5951">
        <v>0.49801099999999998</v>
      </c>
      <c r="F5951" t="s">
        <v>42</v>
      </c>
      <c r="G5951">
        <v>-365.08679999999998</v>
      </c>
      <c r="H5951" s="1">
        <v>-2.2671159999999999E-6</v>
      </c>
      <c r="I5951">
        <v>140.2816</v>
      </c>
      <c r="J5951">
        <v>-299.66890000000001</v>
      </c>
      <c r="K5951">
        <v>1.121138</v>
      </c>
      <c r="L5951">
        <v>141.5504</v>
      </c>
      <c r="M5951">
        <v>-0.99989930000000005</v>
      </c>
      <c r="N5951">
        <v>-1.397252E-2</v>
      </c>
      <c r="O5951">
        <v>-2.5572559999999999E-3</v>
      </c>
      <c r="P5951">
        <v>-0.99839679999999997</v>
      </c>
      <c r="Q5951">
        <v>-5.4710010000000003E-2</v>
      </c>
      <c r="R5951">
        <v>-1.4521340000000001E-2</v>
      </c>
      <c r="S5951">
        <v>-3.00116</v>
      </c>
      <c r="T5951">
        <v>-5.1210400000000003E-2</v>
      </c>
      <c r="U5951">
        <v>-5.7983399999999997E-2</v>
      </c>
      <c r="V5951">
        <v>-1.197203E-2</v>
      </c>
      <c r="W5951">
        <v>-4.0752940000000001E-2</v>
      </c>
      <c r="X5951">
        <v>0.99909749999999997</v>
      </c>
      <c r="Y5951">
        <v>-1.675521E-2</v>
      </c>
      <c r="Z5951">
        <v>-2.5211750000000001E-4</v>
      </c>
      <c r="AA5951">
        <v>0.99985959999999996</v>
      </c>
      <c r="AB5951">
        <v>28</v>
      </c>
      <c r="AC5951">
        <v>-65.417899999999904</v>
      </c>
      <c r="AD5951">
        <v>-1.121140267116</v>
      </c>
      <c r="AE5951">
        <v>-1.2687999999999899</v>
      </c>
      <c r="AF5951">
        <v>-1.1011659247807799</v>
      </c>
      <c r="AG5951">
        <v>-1.121140267116</v>
      </c>
      <c r="AH5951">
        <v>65.401728747570402</v>
      </c>
      <c r="AI5951">
        <v>90.981949793966393</v>
      </c>
      <c r="AJ5951">
        <v>90.964595285219204</v>
      </c>
      <c r="AK5951">
        <v>65.420605661085304</v>
      </c>
      <c r="AL5951">
        <v>92.335618332136903</v>
      </c>
      <c r="AM5951">
        <v>90.686533559198097</v>
      </c>
      <c r="AN5951">
        <v>0.999999973063606</v>
      </c>
    </row>
    <row r="5952" spans="1:40" x14ac:dyDescent="0.25">
      <c r="A5952" t="str">
        <f>"20190303153927085"</f>
        <v>20190303153927085</v>
      </c>
      <c r="B5952" t="str">
        <f>"1551598767074125"</f>
        <v>1551598767074125</v>
      </c>
      <c r="C5952" t="s">
        <v>40</v>
      </c>
      <c r="D5952">
        <v>4.025811</v>
      </c>
      <c r="E5952">
        <v>0.4979712</v>
      </c>
      <c r="F5952" t="s">
        <v>42</v>
      </c>
      <c r="G5952">
        <v>-363.49099999999999</v>
      </c>
      <c r="H5952" s="1">
        <v>-2.9403410000000001E-6</v>
      </c>
      <c r="I5952">
        <v>140.239</v>
      </c>
      <c r="J5952">
        <v>-299.9572</v>
      </c>
      <c r="K5952">
        <v>1.121135</v>
      </c>
      <c r="L5952">
        <v>141.5497</v>
      </c>
      <c r="M5952">
        <v>-0.99989910000000004</v>
      </c>
      <c r="N5952">
        <v>-1.3985310000000001E-2</v>
      </c>
      <c r="O5952">
        <v>-2.5269519999999998E-3</v>
      </c>
      <c r="P5952">
        <v>-0.99841619999999998</v>
      </c>
      <c r="Q5952">
        <v>-5.423617E-2</v>
      </c>
      <c r="R5952">
        <v>-1.4966699999999999E-2</v>
      </c>
      <c r="S5952">
        <v>-3.0010680000000001</v>
      </c>
      <c r="T5952">
        <v>-5.2718760000000003E-2</v>
      </c>
      <c r="U5952">
        <v>-6.1660769999999997E-2</v>
      </c>
      <c r="V5952">
        <v>-1.2446769999999999E-2</v>
      </c>
      <c r="W5952">
        <v>-4.0266030000000001E-2</v>
      </c>
      <c r="X5952">
        <v>0.99911150000000004</v>
      </c>
      <c r="Y5952">
        <v>-1.801024E-2</v>
      </c>
      <c r="Z5952">
        <v>-2.7509350000000003E-4</v>
      </c>
      <c r="AA5952">
        <v>0.9998378</v>
      </c>
      <c r="AB5952">
        <v>28</v>
      </c>
      <c r="AC5952">
        <v>-63.5337999999999</v>
      </c>
      <c r="AD5952">
        <v>-1.121137940341</v>
      </c>
      <c r="AE5952">
        <v>-1.31069999999999</v>
      </c>
      <c r="AF5952">
        <v>-1.1497753840368099</v>
      </c>
      <c r="AG5952">
        <v>-1.121137940341</v>
      </c>
      <c r="AH5952">
        <v>63.517139152851598</v>
      </c>
      <c r="AI5952">
        <v>91.011054413778297</v>
      </c>
      <c r="AJ5952">
        <v>91.037044232889102</v>
      </c>
      <c r="AK5952">
        <v>63.537436994875101</v>
      </c>
      <c r="AL5952">
        <v>92.307697387543598</v>
      </c>
      <c r="AM5952">
        <v>90.713744662181298</v>
      </c>
      <c r="AN5952">
        <v>1.0000000323438201</v>
      </c>
    </row>
    <row r="5953" spans="1:40" x14ac:dyDescent="0.25">
      <c r="A5953" t="str">
        <f>"20190303153927107"</f>
        <v>20190303153927107</v>
      </c>
      <c r="B5953" t="str">
        <f>"1551598767094621"</f>
        <v>1551598767094621</v>
      </c>
      <c r="C5953" t="s">
        <v>40</v>
      </c>
      <c r="D5953">
        <v>4.0668819999999997</v>
      </c>
      <c r="E5953">
        <v>0.49786930000000001</v>
      </c>
      <c r="F5953" t="s">
        <v>42</v>
      </c>
      <c r="G5953">
        <v>-364.21929999999998</v>
      </c>
      <c r="H5953" s="1">
        <v>-2.615915E-6</v>
      </c>
      <c r="I5953">
        <v>140.19399999999999</v>
      </c>
      <c r="J5953">
        <v>-300.21710000000002</v>
      </c>
      <c r="K5953">
        <v>1.121127</v>
      </c>
      <c r="L5953">
        <v>141.54910000000001</v>
      </c>
      <c r="M5953">
        <v>-0.99989930000000005</v>
      </c>
      <c r="N5953">
        <v>-1.3963700000000001E-2</v>
      </c>
      <c r="O5953">
        <v>-2.4996269999999999E-3</v>
      </c>
      <c r="P5953">
        <v>-0.99844160000000004</v>
      </c>
      <c r="Q5953">
        <v>-5.3665350000000001E-2</v>
      </c>
      <c r="R5953">
        <v>-1.530635E-2</v>
      </c>
      <c r="S5953">
        <v>-3.0009459999999999</v>
      </c>
      <c r="T5953">
        <v>-5.2355529999999997E-2</v>
      </c>
      <c r="U5953">
        <v>-6.3308719999999999E-2</v>
      </c>
      <c r="V5953">
        <v>-1.281389E-2</v>
      </c>
      <c r="W5953">
        <v>-3.971649E-2</v>
      </c>
      <c r="X5953">
        <v>0.99912880000000004</v>
      </c>
      <c r="Y5953">
        <v>-1.8587099999999999E-2</v>
      </c>
      <c r="Z5953">
        <v>-2.8321969999999999E-4</v>
      </c>
      <c r="AA5953">
        <v>0.99982720000000003</v>
      </c>
      <c r="AB5953">
        <v>28</v>
      </c>
      <c r="AC5953">
        <v>-64.002199999999903</v>
      </c>
      <c r="AD5953">
        <v>-1.1211296159149999</v>
      </c>
      <c r="AE5953">
        <v>-1.35510000000002</v>
      </c>
      <c r="AF5953">
        <v>-1.1947320910735899</v>
      </c>
      <c r="AG5953">
        <v>-1.1211296159149999</v>
      </c>
      <c r="AH5953">
        <v>63.985762548514998</v>
      </c>
      <c r="AI5953">
        <v>91.003633139091605</v>
      </c>
      <c r="AJ5953">
        <v>91.069693480135101</v>
      </c>
      <c r="AK5953">
        <v>64.006734999529996</v>
      </c>
      <c r="AL5953">
        <v>92.2761859828464</v>
      </c>
      <c r="AM5953">
        <v>90.734781708650203</v>
      </c>
      <c r="AN5953">
        <v>0.99999997717214495</v>
      </c>
    </row>
    <row r="5954" spans="1:40" x14ac:dyDescent="0.25">
      <c r="A5954" t="str">
        <f>"20190303153927128"</f>
        <v>20190303153927128</v>
      </c>
      <c r="B5954" t="str">
        <f>"1551598767124875"</f>
        <v>1551598767124875</v>
      </c>
      <c r="C5954" t="s">
        <v>40</v>
      </c>
      <c r="D5954">
        <v>4.0730579999999996</v>
      </c>
      <c r="E5954">
        <v>0.49786530000000001</v>
      </c>
      <c r="F5954" t="s">
        <v>42</v>
      </c>
      <c r="G5954">
        <v>-364.5949</v>
      </c>
      <c r="H5954" s="1">
        <v>-2.4438619999999998E-6</v>
      </c>
      <c r="I5954">
        <v>140.15289999999999</v>
      </c>
      <c r="J5954">
        <v>-300.48770000000002</v>
      </c>
      <c r="K5954">
        <v>1.1210899999999999</v>
      </c>
      <c r="L5954">
        <v>141.54839999999999</v>
      </c>
      <c r="M5954">
        <v>-0.9999015</v>
      </c>
      <c r="N5954">
        <v>-1.3817110000000001E-2</v>
      </c>
      <c r="O5954">
        <v>-2.471558E-3</v>
      </c>
      <c r="P5954">
        <v>-0.99845360000000005</v>
      </c>
      <c r="Q5954">
        <v>-5.3530210000000002E-2</v>
      </c>
      <c r="R5954">
        <v>-1.4997750000000001E-2</v>
      </c>
      <c r="S5954">
        <v>-3.0009160000000001</v>
      </c>
      <c r="T5954">
        <v>-5.2260519999999998E-2</v>
      </c>
      <c r="U5954">
        <v>-6.5078739999999996E-2</v>
      </c>
      <c r="V5954">
        <v>-1.253375E-2</v>
      </c>
      <c r="W5954">
        <v>-3.9727699999999998E-2</v>
      </c>
      <c r="X5954">
        <v>0.99913189999999996</v>
      </c>
      <c r="Y5954">
        <v>-1.920471E-2</v>
      </c>
      <c r="Z5954">
        <v>-2.9102210000000003E-4</v>
      </c>
      <c r="AA5954">
        <v>0.99981549999999997</v>
      </c>
      <c r="AB5954">
        <v>28</v>
      </c>
      <c r="AC5954">
        <v>-64.107199999999906</v>
      </c>
      <c r="AD5954">
        <v>-1.121092443862</v>
      </c>
      <c r="AE5954">
        <v>-1.39549999999999</v>
      </c>
      <c r="AF5954">
        <v>-1.2366579311096</v>
      </c>
      <c r="AG5954">
        <v>-1.121092443862</v>
      </c>
      <c r="AH5954">
        <v>64.090862412806004</v>
      </c>
      <c r="AI5954">
        <v>91.001942591340196</v>
      </c>
      <c r="AJ5954">
        <v>91.105407011682999</v>
      </c>
      <c r="AK5954">
        <v>64.112594830684301</v>
      </c>
      <c r="AL5954">
        <v>92.276828793757701</v>
      </c>
      <c r="AM5954">
        <v>90.718717228177496</v>
      </c>
      <c r="AN5954">
        <v>0.99999996931697999</v>
      </c>
    </row>
    <row r="5955" spans="1:40" x14ac:dyDescent="0.25">
      <c r="A5955" t="str">
        <f>"20190303153927152"</f>
        <v>20190303153927152</v>
      </c>
      <c r="B5955" t="str">
        <f>"1551598767144399"</f>
        <v>1551598767144399</v>
      </c>
      <c r="C5955" t="s">
        <v>40</v>
      </c>
      <c r="D5955">
        <v>4.1273080000000002</v>
      </c>
      <c r="E5955">
        <v>0.51627060000000002</v>
      </c>
      <c r="F5955" t="s">
        <v>42</v>
      </c>
      <c r="G5955">
        <v>-364.00900000000001</v>
      </c>
      <c r="H5955" s="1">
        <v>-2.7048770000000001E-6</v>
      </c>
      <c r="I5955">
        <v>140.1892</v>
      </c>
      <c r="J5955">
        <v>-300.77069999999998</v>
      </c>
      <c r="K5955">
        <v>1.121027</v>
      </c>
      <c r="L5955">
        <v>141.5478</v>
      </c>
      <c r="M5955">
        <v>-0.99990559999999995</v>
      </c>
      <c r="N5955">
        <v>-1.35242E-2</v>
      </c>
      <c r="O5955">
        <v>-2.442399E-3</v>
      </c>
      <c r="P5955">
        <v>-0.99846040000000003</v>
      </c>
      <c r="Q5955">
        <v>-5.3461509999999997E-2</v>
      </c>
      <c r="R5955">
        <v>-1.47963E-2</v>
      </c>
      <c r="S5955">
        <v>-3.0008240000000002</v>
      </c>
      <c r="T5955">
        <v>-5.2961830000000001E-2</v>
      </c>
      <c r="U5955">
        <v>-6.4208979999999999E-2</v>
      </c>
      <c r="V5955">
        <v>-1.2361169999999999E-2</v>
      </c>
      <c r="W5955">
        <v>-3.995162E-2</v>
      </c>
      <c r="X5955">
        <v>0.99912509999999999</v>
      </c>
      <c r="Y5955">
        <v>-1.8944909999999999E-2</v>
      </c>
      <c r="Z5955">
        <v>-2.8522500000000001E-4</v>
      </c>
      <c r="AA5955">
        <v>0.9998205</v>
      </c>
      <c r="AB5955">
        <v>28</v>
      </c>
      <c r="AC5955">
        <v>-63.238300000000002</v>
      </c>
      <c r="AD5955">
        <v>-1.1210297048769999</v>
      </c>
      <c r="AE5955">
        <v>-1.35859999999999</v>
      </c>
      <c r="AF5955">
        <v>-1.20375056252447</v>
      </c>
      <c r="AG5955">
        <v>-1.1210297048769999</v>
      </c>
      <c r="AH5955">
        <v>63.221571745328099</v>
      </c>
      <c r="AI5955">
        <v>91.015664476516605</v>
      </c>
      <c r="AJ5955">
        <v>91.090790567415993</v>
      </c>
      <c r="AK5955">
        <v>63.242966857712098</v>
      </c>
      <c r="AL5955">
        <v>92.2896687078143</v>
      </c>
      <c r="AM5955">
        <v>90.708826890783897</v>
      </c>
      <c r="AN5955">
        <v>0.99999994795720004</v>
      </c>
    </row>
    <row r="5956" spans="1:40" x14ac:dyDescent="0.25">
      <c r="A5956" t="str">
        <f>"20190303153927166"</f>
        <v>20190303153927166</v>
      </c>
      <c r="B5956" t="str">
        <f>"1551598767154155"</f>
        <v>1551598767154155</v>
      </c>
      <c r="C5956" t="s">
        <v>40</v>
      </c>
      <c r="D5956">
        <v>4.065785</v>
      </c>
      <c r="E5956">
        <v>0.51627060000000002</v>
      </c>
      <c r="F5956" t="s">
        <v>46</v>
      </c>
      <c r="G5956">
        <v>0</v>
      </c>
      <c r="H5956">
        <v>0</v>
      </c>
      <c r="I5956">
        <v>0</v>
      </c>
      <c r="J5956">
        <v>-300.9599</v>
      </c>
      <c r="K5956">
        <v>1.1209789999999999</v>
      </c>
      <c r="L5956">
        <v>141.54740000000001</v>
      </c>
      <c r="M5956">
        <v>-0.99990869999999998</v>
      </c>
      <c r="N5956">
        <v>-1.330537E-2</v>
      </c>
      <c r="O5956">
        <v>-2.422829E-3</v>
      </c>
      <c r="P5956">
        <v>-0.99847390000000003</v>
      </c>
      <c r="Q5956">
        <v>-5.3232359999999999E-2</v>
      </c>
      <c r="R5956">
        <v>-1.472673E-2</v>
      </c>
      <c r="S5956">
        <v>-3.0081790000000002</v>
      </c>
      <c r="T5956">
        <v>4.3400050000000003E-2</v>
      </c>
      <c r="U5956">
        <v>8.1192020000000004E-2</v>
      </c>
      <c r="V5956">
        <v>-1.2310679999999999E-2</v>
      </c>
      <c r="W5956">
        <v>-3.9940980000000001E-2</v>
      </c>
      <c r="X5956">
        <v>0.99912619999999996</v>
      </c>
      <c r="Y5956">
        <v>2.9401509999999999E-2</v>
      </c>
      <c r="Z5956" s="1">
        <v>-8.3575199999999999E-5</v>
      </c>
      <c r="AA5956">
        <v>0.99956769999999995</v>
      </c>
      <c r="AB5956">
        <v>28</v>
      </c>
      <c r="AC5956">
        <v>-3.0081790000000002</v>
      </c>
      <c r="AD5956">
        <v>4.3400050000000003E-2</v>
      </c>
      <c r="AE5956">
        <v>8.1192020000000004E-2</v>
      </c>
      <c r="AF5956">
        <v>8.8462329169164994E-2</v>
      </c>
      <c r="AG5956">
        <v>4.3400050000000003E-2</v>
      </c>
      <c r="AH5956">
        <v>3.0073479184808898</v>
      </c>
      <c r="AI5956">
        <v>89.173560133776405</v>
      </c>
      <c r="AJ5956">
        <v>88.315107818642801</v>
      </c>
      <c r="AK5956">
        <v>3.0089617230555401</v>
      </c>
      <c r="AL5956">
        <v>92.289058476521902</v>
      </c>
      <c r="AM5956">
        <v>90.7059311578803</v>
      </c>
      <c r="AN5956">
        <v>0.99999999912593096</v>
      </c>
    </row>
    <row r="5957" spans="1:40" x14ac:dyDescent="0.25">
      <c r="A5957" t="str">
        <f>"20190303153927184"</f>
        <v>20190303153927184</v>
      </c>
      <c r="B5957" t="str">
        <f>"1551598767174652"</f>
        <v>1551598767174652</v>
      </c>
      <c r="C5957" t="s">
        <v>40</v>
      </c>
      <c r="D5957">
        <v>4.0653300000000003</v>
      </c>
      <c r="E5957">
        <v>0.53089489999999995</v>
      </c>
      <c r="F5957" t="s">
        <v>46</v>
      </c>
      <c r="G5957">
        <v>0</v>
      </c>
      <c r="H5957">
        <v>0</v>
      </c>
      <c r="I5957">
        <v>0</v>
      </c>
      <c r="J5957">
        <v>-301.1832</v>
      </c>
      <c r="K5957">
        <v>1.1209340000000001</v>
      </c>
      <c r="L5957">
        <v>141.54689999999999</v>
      </c>
      <c r="M5957">
        <v>-0.99991200000000002</v>
      </c>
      <c r="N5957">
        <v>-1.305776E-2</v>
      </c>
      <c r="O5957">
        <v>-2.3991659999999999E-3</v>
      </c>
      <c r="P5957">
        <v>-0.99843059999999995</v>
      </c>
      <c r="Q5957">
        <v>-5.402071E-2</v>
      </c>
      <c r="R5957">
        <v>-1.4794359999999999E-2</v>
      </c>
      <c r="S5957">
        <v>-3.0081790000000002</v>
      </c>
      <c r="T5957">
        <v>4.412663E-2</v>
      </c>
      <c r="U5957">
        <v>8.1268309999999996E-2</v>
      </c>
      <c r="V5957">
        <v>-1.2402109999999999E-2</v>
      </c>
      <c r="W5957">
        <v>-4.0977260000000001E-2</v>
      </c>
      <c r="X5957">
        <v>0.9990831</v>
      </c>
      <c r="Y5957">
        <v>2.9403080000000002E-2</v>
      </c>
      <c r="Z5957" s="1">
        <v>-9.0095799999999999E-5</v>
      </c>
      <c r="AA5957">
        <v>0.9995676</v>
      </c>
      <c r="AB5957">
        <v>28</v>
      </c>
      <c r="AC5957">
        <v>-3.0081790000000002</v>
      </c>
      <c r="AD5957">
        <v>4.412663E-2</v>
      </c>
      <c r="AE5957">
        <v>8.1268309999999996E-2</v>
      </c>
      <c r="AF5957">
        <v>8.8466789173201305E-2</v>
      </c>
      <c r="AG5957">
        <v>4.412663E-2</v>
      </c>
      <c r="AH5957">
        <v>3.0073287146875902</v>
      </c>
      <c r="AI5957">
        <v>89.1597209714038</v>
      </c>
      <c r="AJ5957">
        <v>88.315012166928895</v>
      </c>
      <c r="AK5957">
        <v>3.0089532283580498</v>
      </c>
      <c r="AL5957">
        <v>92.348481616638495</v>
      </c>
      <c r="AM5957">
        <v>90.711204167202396</v>
      </c>
      <c r="AN5957">
        <v>0.99999999443758403</v>
      </c>
    </row>
    <row r="5958" spans="1:40" x14ac:dyDescent="0.25">
      <c r="A5958" t="str">
        <f>"20190303153927205"</f>
        <v>20190303153927205</v>
      </c>
      <c r="B5958" t="str">
        <f>"1551598767194171"</f>
        <v>1551598767194171</v>
      </c>
      <c r="C5958" t="s">
        <v>40</v>
      </c>
      <c r="D5958">
        <v>4.0439980000000002</v>
      </c>
      <c r="E5958">
        <v>0.53131079999999997</v>
      </c>
      <c r="F5958" t="s">
        <v>70</v>
      </c>
      <c r="G5958">
        <v>-511.92619999999999</v>
      </c>
      <c r="H5958">
        <v>3.151087</v>
      </c>
      <c r="I5958">
        <v>155.40889999999999</v>
      </c>
      <c r="J5958">
        <v>-301.45209999999997</v>
      </c>
      <c r="K5958">
        <v>1.1208880000000001</v>
      </c>
      <c r="L5958">
        <v>141.5462</v>
      </c>
      <c r="M5958">
        <v>-0.99991569999999996</v>
      </c>
      <c r="N5958">
        <v>-1.2775119999999999E-2</v>
      </c>
      <c r="O5958">
        <v>-2.3704220000000001E-3</v>
      </c>
      <c r="P5958">
        <v>-0.99836239999999998</v>
      </c>
      <c r="Q5958">
        <v>-5.5236449999999999E-2</v>
      </c>
      <c r="R5958">
        <v>-1.4884639999999999E-2</v>
      </c>
      <c r="S5958">
        <v>-3.0092159999999999</v>
      </c>
      <c r="T5958">
        <v>2.8989319999999999E-2</v>
      </c>
      <c r="U5958">
        <v>0.197937</v>
      </c>
      <c r="V5958">
        <v>-1.2521849999999999E-2</v>
      </c>
      <c r="W5958">
        <v>-4.2476170000000001E-2</v>
      </c>
      <c r="X5958">
        <v>0.99901899999999999</v>
      </c>
      <c r="Y5958">
        <v>6.8000850000000002E-2</v>
      </c>
      <c r="Z5958" s="1">
        <v>5.4601000000000001E-5</v>
      </c>
      <c r="AA5958">
        <v>0.9976853</v>
      </c>
      <c r="AB5958">
        <v>28</v>
      </c>
      <c r="AC5958">
        <v>-210.47409999999999</v>
      </c>
      <c r="AD5958">
        <v>2.0301990000000001</v>
      </c>
      <c r="AE5958">
        <v>13.862699999999901</v>
      </c>
      <c r="AF5958">
        <v>14.3602838029135</v>
      </c>
      <c r="AG5958">
        <v>2.0301990000000001</v>
      </c>
      <c r="AH5958">
        <v>210.421151980042</v>
      </c>
      <c r="AI5958">
        <v>89.448495027250104</v>
      </c>
      <c r="AJ5958">
        <v>86.095877960268496</v>
      </c>
      <c r="AK5958">
        <v>210.92036568213999</v>
      </c>
      <c r="AL5958">
        <v>92.434437710369394</v>
      </c>
      <c r="AM5958">
        <v>90.718116060519904</v>
      </c>
      <c r="AN5958">
        <v>0.99999999205314505</v>
      </c>
    </row>
    <row r="5959" spans="1:40" x14ac:dyDescent="0.25">
      <c r="A5959" t="str">
        <f>"20190303153927221"</f>
        <v>20190303153927221</v>
      </c>
      <c r="B5959" t="str">
        <f>"1551598767214667"</f>
        <v>1551598767214667</v>
      </c>
      <c r="C5959" t="s">
        <v>40</v>
      </c>
      <c r="D5959">
        <v>4.0461470000000004</v>
      </c>
      <c r="E5959">
        <v>0.53175280000000003</v>
      </c>
      <c r="F5959" t="s">
        <v>70</v>
      </c>
      <c r="G5959">
        <v>-511.92630000000003</v>
      </c>
      <c r="H5959">
        <v>3.2268520000000001</v>
      </c>
      <c r="I5959">
        <v>155.60310000000001</v>
      </c>
      <c r="J5959">
        <v>-301.64269999999999</v>
      </c>
      <c r="K5959">
        <v>1.120862</v>
      </c>
      <c r="L5959">
        <v>141.54580000000001</v>
      </c>
      <c r="M5959">
        <v>-0.99991799999999997</v>
      </c>
      <c r="N5959">
        <v>-1.258393E-2</v>
      </c>
      <c r="O5959">
        <v>-2.3501500000000001E-3</v>
      </c>
      <c r="P5959">
        <v>-0.99835660000000004</v>
      </c>
      <c r="Q5959">
        <v>-5.5332529999999998E-2</v>
      </c>
      <c r="R5959">
        <v>-1.491989E-2</v>
      </c>
      <c r="S5959">
        <v>-3.0096440000000002</v>
      </c>
      <c r="T5959">
        <v>3.011453E-2</v>
      </c>
      <c r="U5959">
        <v>0.20100399999999999</v>
      </c>
      <c r="V5959">
        <v>-1.257696E-2</v>
      </c>
      <c r="W5959">
        <v>-4.2763330000000002E-2</v>
      </c>
      <c r="X5959">
        <v>0.99900610000000001</v>
      </c>
      <c r="Y5959">
        <v>6.8983429999999998E-2</v>
      </c>
      <c r="Z5959" s="1">
        <v>3.677723E-5</v>
      </c>
      <c r="AA5959">
        <v>0.9976178</v>
      </c>
      <c r="AB5959">
        <v>28</v>
      </c>
      <c r="AC5959">
        <v>-210.28360000000001</v>
      </c>
      <c r="AD5959">
        <v>2.1059899999999998</v>
      </c>
      <c r="AE5959">
        <v>14.0572999999999</v>
      </c>
      <c r="AF5959">
        <v>14.550045458288899</v>
      </c>
      <c r="AG5959">
        <v>2.1059899999999998</v>
      </c>
      <c r="AH5959">
        <v>210.22898760658501</v>
      </c>
      <c r="AI5959">
        <v>89.427422590362596</v>
      </c>
      <c r="AJ5959">
        <v>86.0408461125608</v>
      </c>
      <c r="AK5959">
        <v>210.74241681922501</v>
      </c>
      <c r="AL5959">
        <v>92.450905624500393</v>
      </c>
      <c r="AM5959">
        <v>90.721285545616894</v>
      </c>
      <c r="AN5959">
        <v>1.00000003507636</v>
      </c>
    </row>
    <row r="5960" spans="1:40" x14ac:dyDescent="0.25">
      <c r="A5960" t="str">
        <f>"20190303153927235"</f>
        <v>20190303153927235</v>
      </c>
      <c r="B5960" t="str">
        <f>"1551598767224428"</f>
        <v>1551598767224428</v>
      </c>
      <c r="C5960" t="s">
        <v>40</v>
      </c>
      <c r="D5960">
        <v>4.0265459999999997</v>
      </c>
      <c r="E5960">
        <v>0.53194490000000005</v>
      </c>
      <c r="F5960" t="s">
        <v>70</v>
      </c>
      <c r="G5960">
        <v>-511.92630000000003</v>
      </c>
      <c r="H5960">
        <v>3.4190239999999998</v>
      </c>
      <c r="I5960">
        <v>155.83850000000001</v>
      </c>
      <c r="J5960">
        <v>-301.80939999999998</v>
      </c>
      <c r="K5960">
        <v>1.120844</v>
      </c>
      <c r="L5960">
        <v>141.5454</v>
      </c>
      <c r="M5960">
        <v>-0.99992020000000004</v>
      </c>
      <c r="N5960">
        <v>-1.2421990000000001E-2</v>
      </c>
      <c r="O5960">
        <v>-2.3326969999999999E-3</v>
      </c>
      <c r="P5960">
        <v>-0.99833799999999995</v>
      </c>
      <c r="Q5960">
        <v>-5.572444E-2</v>
      </c>
      <c r="R5960">
        <v>-1.4708290000000001E-2</v>
      </c>
      <c r="S5960">
        <v>-3.009827</v>
      </c>
      <c r="T5960">
        <v>3.2894609999999998E-2</v>
      </c>
      <c r="U5960">
        <v>0.2045746</v>
      </c>
      <c r="V5960">
        <v>-1.2383730000000001E-2</v>
      </c>
      <c r="W5960">
        <v>-4.3317269999999998E-2</v>
      </c>
      <c r="X5960">
        <v>0.9989846</v>
      </c>
      <c r="Y5960">
        <v>7.0139709999999994E-2</v>
      </c>
      <c r="Z5960" s="1">
        <v>-1.0803919999999901E-6</v>
      </c>
      <c r="AA5960">
        <v>0.99753720000000001</v>
      </c>
      <c r="AB5960">
        <v>28</v>
      </c>
      <c r="AC5960">
        <v>-210.11689999999999</v>
      </c>
      <c r="AD5960">
        <v>2.2981799999999999</v>
      </c>
      <c r="AE5960">
        <v>14.293100000000001</v>
      </c>
      <c r="AF5960">
        <v>14.781477763143799</v>
      </c>
      <c r="AG5960">
        <v>2.2981799999999999</v>
      </c>
      <c r="AH5960">
        <v>210.05797036116701</v>
      </c>
      <c r="AI5960">
        <v>89.374715498350795</v>
      </c>
      <c r="AJ5960">
        <v>85.974813398886099</v>
      </c>
      <c r="AK5960">
        <v>210.58994427186599</v>
      </c>
      <c r="AL5960">
        <v>92.482673605823805</v>
      </c>
      <c r="AM5960">
        <v>90.710220280193099</v>
      </c>
      <c r="AN5960">
        <v>0.99999998684306202</v>
      </c>
    </row>
    <row r="5961" spans="1:40" x14ac:dyDescent="0.25">
      <c r="A5961" t="str">
        <f>"20190303153927247"</f>
        <v>20190303153927247</v>
      </c>
      <c r="B5961" t="str">
        <f>"1551598767244924"</f>
        <v>1551598767244924</v>
      </c>
      <c r="C5961" t="s">
        <v>40</v>
      </c>
      <c r="D5961">
        <v>4.0253370000000004</v>
      </c>
      <c r="E5961">
        <v>0.53207040000000005</v>
      </c>
      <c r="F5961" t="s">
        <v>70</v>
      </c>
      <c r="G5961">
        <v>-511.9264</v>
      </c>
      <c r="H5961">
        <v>3.5101450000000001</v>
      </c>
      <c r="I5961">
        <v>155.98589999999999</v>
      </c>
      <c r="J5961">
        <v>-301.97210000000001</v>
      </c>
      <c r="K5961">
        <v>1.1208290000000001</v>
      </c>
      <c r="L5961">
        <v>141.54509999999999</v>
      </c>
      <c r="M5961">
        <v>-0.99992210000000004</v>
      </c>
      <c r="N5961">
        <v>-1.226905E-2</v>
      </c>
      <c r="O5961">
        <v>-2.3155490000000001E-3</v>
      </c>
      <c r="P5961">
        <v>-0.99833620000000001</v>
      </c>
      <c r="Q5961">
        <v>-5.5779330000000002E-2</v>
      </c>
      <c r="R5961">
        <v>-1.461576E-2</v>
      </c>
      <c r="S5961">
        <v>-3.009979</v>
      </c>
      <c r="T5961">
        <v>3.4227970000000003E-2</v>
      </c>
      <c r="U5961">
        <v>0.2068634</v>
      </c>
      <c r="V5961">
        <v>-1.230788E-2</v>
      </c>
      <c r="W5961">
        <v>-4.3524979999999998E-2</v>
      </c>
      <c r="X5961">
        <v>0.99897650000000004</v>
      </c>
      <c r="Y5961">
        <v>7.087396E-2</v>
      </c>
      <c r="Z5961" s="1">
        <v>-2.1853080000000001E-5</v>
      </c>
      <c r="AA5961">
        <v>0.99748530000000002</v>
      </c>
      <c r="AB5961">
        <v>28</v>
      </c>
      <c r="AC5961">
        <v>-209.95429999999999</v>
      </c>
      <c r="AD5961">
        <v>2.389316</v>
      </c>
      <c r="AE5961">
        <v>14.4407999999999</v>
      </c>
      <c r="AF5961">
        <v>14.9250335058533</v>
      </c>
      <c r="AG5961">
        <v>2.389316</v>
      </c>
      <c r="AH5961">
        <v>209.89324122821</v>
      </c>
      <c r="AI5961">
        <v>89.349445165531904</v>
      </c>
      <c r="AJ5961">
        <v>85.932672753102594</v>
      </c>
      <c r="AK5961">
        <v>210.43677950724799</v>
      </c>
      <c r="AL5961">
        <v>92.494585770092996</v>
      </c>
      <c r="AM5961">
        <v>90.705876365168706</v>
      </c>
      <c r="AN5961">
        <v>0.99999997767317195</v>
      </c>
    </row>
    <row r="5962" spans="1:40" x14ac:dyDescent="0.25">
      <c r="A5962" t="str">
        <f>"20190303153927263"</f>
        <v>20190303153927263</v>
      </c>
      <c r="B5962" t="str">
        <f>"1551598767254687"</f>
        <v>1551598767254687</v>
      </c>
      <c r="C5962" t="s">
        <v>40</v>
      </c>
      <c r="D5962">
        <v>4.0308449999999896</v>
      </c>
      <c r="E5962">
        <v>0.53219369999999999</v>
      </c>
      <c r="F5962" t="s">
        <v>70</v>
      </c>
      <c r="G5962">
        <v>-511.92630000000003</v>
      </c>
      <c r="H5962">
        <v>3.3757440000000001</v>
      </c>
      <c r="I5962">
        <v>156.0729</v>
      </c>
      <c r="J5962">
        <v>-302.16449999999998</v>
      </c>
      <c r="K5962">
        <v>1.1208129999999901</v>
      </c>
      <c r="L5962">
        <v>141.5446</v>
      </c>
      <c r="M5962">
        <v>-0.99992420000000004</v>
      </c>
      <c r="N5962">
        <v>-1.2101209999999999E-2</v>
      </c>
      <c r="O5962">
        <v>-2.2954619999999998E-3</v>
      </c>
      <c r="P5962">
        <v>-0.99838099999999996</v>
      </c>
      <c r="Q5962">
        <v>-5.5196189999999999E-2</v>
      </c>
      <c r="R5962">
        <v>-1.375826E-2</v>
      </c>
      <c r="S5962">
        <v>-3.0098569999999998</v>
      </c>
      <c r="T5962">
        <v>3.2326580000000001E-2</v>
      </c>
      <c r="U5962">
        <v>0.20826720000000001</v>
      </c>
      <c r="V5962">
        <v>-1.147019E-2</v>
      </c>
      <c r="W5962">
        <v>-4.3109130000000002E-2</v>
      </c>
      <c r="X5962">
        <v>0.99900449999999996</v>
      </c>
      <c r="Y5962">
        <v>7.1319899999999894E-2</v>
      </c>
      <c r="Z5962" s="1">
        <v>-2.8376819999999999E-6</v>
      </c>
      <c r="AA5962">
        <v>0.99745349999999999</v>
      </c>
      <c r="AB5962">
        <v>28</v>
      </c>
      <c r="AC5962">
        <v>-209.76179999999999</v>
      </c>
      <c r="AD5962">
        <v>2.254931</v>
      </c>
      <c r="AE5962">
        <v>14.5283</v>
      </c>
      <c r="AF5962">
        <v>15.008071113842201</v>
      </c>
      <c r="AG5962">
        <v>2.254931</v>
      </c>
      <c r="AH5962">
        <v>209.70377766757301</v>
      </c>
      <c r="AI5962">
        <v>89.385497577048596</v>
      </c>
      <c r="AJ5962">
        <v>85.906437586444497</v>
      </c>
      <c r="AK5962">
        <v>210.25223252185401</v>
      </c>
      <c r="AL5962">
        <v>92.470736936828999</v>
      </c>
      <c r="AM5962">
        <v>90.657819460024001</v>
      </c>
      <c r="AN5962">
        <v>0.99999997668412099</v>
      </c>
    </row>
    <row r="5963" spans="1:40" x14ac:dyDescent="0.25">
      <c r="A5963" t="str">
        <f>"20190303153927278"</f>
        <v>20190303153927278</v>
      </c>
      <c r="B5963" t="str">
        <f>"1551598767264443"</f>
        <v>1551598767264443</v>
      </c>
      <c r="C5963" t="s">
        <v>40</v>
      </c>
      <c r="D5963">
        <v>4.0119699999999998</v>
      </c>
      <c r="E5963">
        <v>0.5322422</v>
      </c>
      <c r="F5963" t="s">
        <v>70</v>
      </c>
      <c r="G5963">
        <v>-511.9264</v>
      </c>
      <c r="H5963">
        <v>3.5440480000000001</v>
      </c>
      <c r="I5963">
        <v>156.29490000000001</v>
      </c>
      <c r="J5963">
        <v>-302.3372</v>
      </c>
      <c r="K5963">
        <v>1.120803</v>
      </c>
      <c r="L5963">
        <v>141.54429999999999</v>
      </c>
      <c r="M5963">
        <v>-0.99992590000000003</v>
      </c>
      <c r="N5963">
        <v>-1.196149E-2</v>
      </c>
      <c r="O5963">
        <v>-2.2773419999999999E-3</v>
      </c>
      <c r="P5963">
        <v>-0.9983919</v>
      </c>
      <c r="Q5963">
        <v>-5.5043439999999999E-2</v>
      </c>
      <c r="R5963">
        <v>-1.355921E-2</v>
      </c>
      <c r="S5963">
        <v>-3.0097049999999999</v>
      </c>
      <c r="T5963">
        <v>3.4769649999999999E-2</v>
      </c>
      <c r="U5963">
        <v>0.21163940000000001</v>
      </c>
      <c r="V5963">
        <v>-1.128965E-2</v>
      </c>
      <c r="W5963">
        <v>-4.3095870000000001E-2</v>
      </c>
      <c r="X5963">
        <v>0.99900719999999998</v>
      </c>
      <c r="Y5963">
        <v>7.2417049999999997E-2</v>
      </c>
      <c r="Z5963" s="1">
        <v>-3.7594349999999997E-5</v>
      </c>
      <c r="AA5963">
        <v>0.99737439999999999</v>
      </c>
      <c r="AB5963">
        <v>28</v>
      </c>
      <c r="AC5963">
        <v>-209.58920000000001</v>
      </c>
      <c r="AD5963">
        <v>2.4232450000000001</v>
      </c>
      <c r="AE5963">
        <v>14.7506</v>
      </c>
      <c r="AF5963">
        <v>15.225876846408299</v>
      </c>
      <c r="AG5963">
        <v>2.4232450000000001</v>
      </c>
      <c r="AH5963">
        <v>209.527190935871</v>
      </c>
      <c r="AI5963">
        <v>89.339129061368794</v>
      </c>
      <c r="AJ5963">
        <v>85.843748187953906</v>
      </c>
      <c r="AK5963">
        <v>210.09365336332499</v>
      </c>
      <c r="AL5963">
        <v>92.469976311971095</v>
      </c>
      <c r="AM5963">
        <v>90.647464565811106</v>
      </c>
      <c r="AN5963">
        <v>1.00000004793</v>
      </c>
    </row>
    <row r="5964" spans="1:40" x14ac:dyDescent="0.25">
      <c r="A5964" t="str">
        <f>"20190303153927297"</f>
        <v>20190303153927297</v>
      </c>
      <c r="B5964" t="str">
        <f>"1551598767284939"</f>
        <v>1551598767284939</v>
      </c>
      <c r="C5964" t="s">
        <v>40</v>
      </c>
      <c r="D5964">
        <v>4.0260809999999996</v>
      </c>
      <c r="E5964">
        <v>0.53232780000000002</v>
      </c>
      <c r="F5964" t="s">
        <v>70</v>
      </c>
      <c r="G5964">
        <v>-511.9264</v>
      </c>
      <c r="H5964">
        <v>3.5717949999999998</v>
      </c>
      <c r="I5964">
        <v>156.35159999999999</v>
      </c>
      <c r="J5964">
        <v>-302.58699999999999</v>
      </c>
      <c r="K5964">
        <v>1.120792</v>
      </c>
      <c r="L5964">
        <v>141.5437</v>
      </c>
      <c r="M5964">
        <v>-0.99992809999999999</v>
      </c>
      <c r="N5964">
        <v>-1.1781089999999999E-2</v>
      </c>
      <c r="O5964">
        <v>-2.251365E-3</v>
      </c>
      <c r="P5964">
        <v>-0.99842790000000003</v>
      </c>
      <c r="Q5964">
        <v>-5.4549680000000003E-2</v>
      </c>
      <c r="R5964">
        <v>-1.288956E-2</v>
      </c>
      <c r="S5964">
        <v>-3.009674</v>
      </c>
      <c r="T5964">
        <v>3.5196539999999998E-2</v>
      </c>
      <c r="U5964">
        <v>0.21263119999999999</v>
      </c>
      <c r="V5964">
        <v>-1.0645750000000001E-2</v>
      </c>
      <c r="W5964">
        <v>-4.2782019999999997E-2</v>
      </c>
      <c r="X5964">
        <v>0.99902769999999996</v>
      </c>
      <c r="Y5964">
        <v>7.2718770000000002E-2</v>
      </c>
      <c r="Z5964" s="1">
        <v>-4.8543440000000003E-5</v>
      </c>
      <c r="AA5964">
        <v>0.99735249999999998</v>
      </c>
      <c r="AB5964">
        <v>28</v>
      </c>
      <c r="AC5964">
        <v>-209.33940000000001</v>
      </c>
      <c r="AD5964">
        <v>2.451003</v>
      </c>
      <c r="AE5964">
        <v>14.807899999999901</v>
      </c>
      <c r="AF5964">
        <v>15.2771107433928</v>
      </c>
      <c r="AG5964">
        <v>2.451003</v>
      </c>
      <c r="AH5964">
        <v>209.276983465694</v>
      </c>
      <c r="AI5964">
        <v>89.330776520939907</v>
      </c>
      <c r="AJ5964">
        <v>85.824843804671403</v>
      </c>
      <c r="AK5964">
        <v>209.84816734218199</v>
      </c>
      <c r="AL5964">
        <v>92.451977575813004</v>
      </c>
      <c r="AM5964">
        <v>90.610527074394398</v>
      </c>
      <c r="AN5964">
        <v>0.99999998929781597</v>
      </c>
    </row>
    <row r="5965" spans="1:40" x14ac:dyDescent="0.25">
      <c r="A5965" t="str">
        <f>"20190303153927319"</f>
        <v>20190303153927319</v>
      </c>
      <c r="B5965" t="str">
        <f>"1551598767314219"</f>
        <v>1551598767314219</v>
      </c>
      <c r="C5965" t="s">
        <v>40</v>
      </c>
      <c r="D5965">
        <v>4.0223519999999997</v>
      </c>
      <c r="E5965">
        <v>0.53246709999999997</v>
      </c>
      <c r="F5965" t="s">
        <v>70</v>
      </c>
      <c r="G5965">
        <v>-511.92649999999998</v>
      </c>
      <c r="H5965">
        <v>3.7530929999999998</v>
      </c>
      <c r="I5965">
        <v>156.52600000000001</v>
      </c>
      <c r="J5965">
        <v>-302.85399999999998</v>
      </c>
      <c r="K5965">
        <v>1.1207860000000001</v>
      </c>
      <c r="L5965">
        <v>141.54320000000001</v>
      </c>
      <c r="M5965">
        <v>-0.99993019999999999</v>
      </c>
      <c r="N5965">
        <v>-1.1616700000000001E-2</v>
      </c>
      <c r="O5965">
        <v>-2.2237099999999998E-3</v>
      </c>
      <c r="P5965">
        <v>-0.99843729999999997</v>
      </c>
      <c r="Q5965">
        <v>-5.4442259999999999E-2</v>
      </c>
      <c r="R5965">
        <v>-1.2622420000000001E-2</v>
      </c>
      <c r="S5965">
        <v>-3.0095830000000001</v>
      </c>
      <c r="T5965">
        <v>3.7844059999999999E-2</v>
      </c>
      <c r="U5965">
        <v>0.2153931</v>
      </c>
      <c r="V5965">
        <v>-1.040611E-2</v>
      </c>
      <c r="W5965">
        <v>-4.2838769999999998E-2</v>
      </c>
      <c r="X5965">
        <v>0.99902780000000002</v>
      </c>
      <c r="Y5965">
        <v>7.3603420000000003E-2</v>
      </c>
      <c r="Z5965" s="1">
        <v>-8.7801769999999995E-5</v>
      </c>
      <c r="AA5965">
        <v>0.99728760000000005</v>
      </c>
      <c r="AB5965">
        <v>28</v>
      </c>
      <c r="AC5965">
        <v>-209.07249999999999</v>
      </c>
      <c r="AD5965">
        <v>2.632307</v>
      </c>
      <c r="AE5965">
        <v>14.9827999999999</v>
      </c>
      <c r="AF5965">
        <v>15.4452750152458</v>
      </c>
      <c r="AG5965">
        <v>2.632307</v>
      </c>
      <c r="AH5965">
        <v>209.00570142730899</v>
      </c>
      <c r="AI5965">
        <v>89.280392669284495</v>
      </c>
      <c r="AJ5965">
        <v>85.773591769262296</v>
      </c>
      <c r="AK5965">
        <v>209.59214868300799</v>
      </c>
      <c r="AL5965">
        <v>92.455232077934696</v>
      </c>
      <c r="AM5965">
        <v>90.596784816637793</v>
      </c>
      <c r="AN5965">
        <v>0.99999999625664204</v>
      </c>
    </row>
    <row r="5966" spans="1:40" x14ac:dyDescent="0.25">
      <c r="A5966" t="str">
        <f>"20190303153927341"</f>
        <v>20190303153927341</v>
      </c>
      <c r="B5966" t="str">
        <f>"1551598767334719"</f>
        <v>1551598767334719</v>
      </c>
      <c r="C5966" t="s">
        <v>40</v>
      </c>
      <c r="D5966">
        <v>3.994157</v>
      </c>
      <c r="E5966">
        <v>0.53260620000000003</v>
      </c>
      <c r="F5966" t="s">
        <v>70</v>
      </c>
      <c r="G5966">
        <v>-511.92649999999998</v>
      </c>
      <c r="H5966">
        <v>3.7977500000000002</v>
      </c>
      <c r="I5966">
        <v>156.64009999999999</v>
      </c>
      <c r="J5966">
        <v>-303.13369999999998</v>
      </c>
      <c r="K5966">
        <v>1.120779</v>
      </c>
      <c r="L5966">
        <v>141.54259999999999</v>
      </c>
      <c r="M5966">
        <v>-0.99993180000000004</v>
      </c>
      <c r="N5966">
        <v>-1.147141E-2</v>
      </c>
      <c r="O5966">
        <v>-2.194152E-3</v>
      </c>
      <c r="P5966">
        <v>-0.99844549999999999</v>
      </c>
      <c r="Q5966">
        <v>-5.4217660000000001E-2</v>
      </c>
      <c r="R5966">
        <v>-1.2931049999999999E-2</v>
      </c>
      <c r="S5966">
        <v>-3.0095209999999999</v>
      </c>
      <c r="T5966">
        <v>3.8534520000000003E-2</v>
      </c>
      <c r="U5966">
        <v>0.2173157</v>
      </c>
      <c r="V5966">
        <v>-1.0743890000000001E-2</v>
      </c>
      <c r="W5966">
        <v>-4.2759209999999999E-2</v>
      </c>
      <c r="X5966">
        <v>0.99902760000000002</v>
      </c>
      <c r="Y5966">
        <v>7.4209029999999995E-2</v>
      </c>
      <c r="Z5966">
        <v>-1.014391E-4</v>
      </c>
      <c r="AA5966">
        <v>0.99724270000000004</v>
      </c>
      <c r="AB5966">
        <v>28</v>
      </c>
      <c r="AC5966">
        <v>-208.7928</v>
      </c>
      <c r="AD5966">
        <v>2.676971</v>
      </c>
      <c r="AE5966">
        <v>15.097499999999901</v>
      </c>
      <c r="AF5966">
        <v>15.5530735767321</v>
      </c>
      <c r="AG5966">
        <v>2.676971</v>
      </c>
      <c r="AH5966">
        <v>208.72503660983199</v>
      </c>
      <c r="AI5966">
        <v>89.267233319898807</v>
      </c>
      <c r="AJ5966">
        <v>85.738500484730906</v>
      </c>
      <c r="AK5966">
        <v>209.320818790663</v>
      </c>
      <c r="AL5966">
        <v>92.450669525575293</v>
      </c>
      <c r="AM5966">
        <v>90.616154971472696</v>
      </c>
      <c r="AN5966">
        <v>0.99999996338695696</v>
      </c>
    </row>
    <row r="5967" spans="1:40" x14ac:dyDescent="0.25">
      <c r="A5967" t="str">
        <f>"20190303153927363"</f>
        <v>20190303153927363</v>
      </c>
      <c r="B5967" t="str">
        <f>"1551598767354235"</f>
        <v>1551598767354235</v>
      </c>
      <c r="C5967" t="s">
        <v>40</v>
      </c>
      <c r="D5967">
        <v>4.0214530000000002</v>
      </c>
      <c r="E5967">
        <v>0.53286699999999998</v>
      </c>
      <c r="F5967" t="s">
        <v>70</v>
      </c>
      <c r="G5967">
        <v>-511.92649999999998</v>
      </c>
      <c r="H5967">
        <v>3.9554610000000001</v>
      </c>
      <c r="I5967">
        <v>156.61420000000001</v>
      </c>
      <c r="J5967">
        <v>-303.42129999999997</v>
      </c>
      <c r="K5967">
        <v>1.120779</v>
      </c>
      <c r="L5967">
        <v>141.542</v>
      </c>
      <c r="M5967">
        <v>-0.99993330000000002</v>
      </c>
      <c r="N5967">
        <v>-1.1350860000000001E-2</v>
      </c>
      <c r="O5967">
        <v>-2.1637890000000002E-3</v>
      </c>
      <c r="P5967">
        <v>-0.99845300000000003</v>
      </c>
      <c r="Q5967">
        <v>-5.3917960000000001E-2</v>
      </c>
      <c r="R5967">
        <v>-1.3585069999999999E-2</v>
      </c>
      <c r="S5967">
        <v>-3.0097049999999999</v>
      </c>
      <c r="T5967">
        <v>4.0861960000000003E-2</v>
      </c>
      <c r="U5967">
        <v>0.21725459999999999</v>
      </c>
      <c r="V5967">
        <v>-1.142805E-2</v>
      </c>
      <c r="W5967">
        <v>-4.2579810000000003E-2</v>
      </c>
      <c r="X5967">
        <v>0.99902769999999996</v>
      </c>
      <c r="Y5967">
        <v>7.4153759999999999E-2</v>
      </c>
      <c r="Z5967">
        <v>-1.3515350000000001E-4</v>
      </c>
      <c r="AA5967">
        <v>0.99724679999999999</v>
      </c>
      <c r="AB5967">
        <v>28</v>
      </c>
      <c r="AC5967">
        <v>-208.5052</v>
      </c>
      <c r="AD5967">
        <v>2.8346819999999999</v>
      </c>
      <c r="AE5967">
        <v>15.0722</v>
      </c>
      <c r="AF5967">
        <v>15.5205012494354</v>
      </c>
      <c r="AG5967">
        <v>2.8346819999999999</v>
      </c>
      <c r="AH5967">
        <v>208.433771899139</v>
      </c>
      <c r="AI5967">
        <v>89.222981101165402</v>
      </c>
      <c r="AJ5967">
        <v>85.741471703570596</v>
      </c>
      <c r="AK5967">
        <v>209.03004245604799</v>
      </c>
      <c r="AL5967">
        <v>92.440381220040507</v>
      </c>
      <c r="AM5967">
        <v>90.655387708478898</v>
      </c>
      <c r="AN5967">
        <v>0.99999999295686404</v>
      </c>
    </row>
    <row r="5968" spans="1:40" x14ac:dyDescent="0.25">
      <c r="A5968" t="str">
        <f>"20190303153927385"</f>
        <v>20190303153927385</v>
      </c>
      <c r="B5968" t="str">
        <f>"1551598767374735"</f>
        <v>1551598767374735</v>
      </c>
      <c r="C5968" t="s">
        <v>40</v>
      </c>
      <c r="D5968">
        <v>4.0197629999999904</v>
      </c>
      <c r="E5968">
        <v>0.53307059999999995</v>
      </c>
      <c r="F5968" t="s">
        <v>70</v>
      </c>
      <c r="G5968">
        <v>-511.92649999999998</v>
      </c>
      <c r="H5968">
        <v>4.0748369999999996</v>
      </c>
      <c r="I5968">
        <v>156.595</v>
      </c>
      <c r="J5968">
        <v>-303.68849999999998</v>
      </c>
      <c r="K5968">
        <v>1.120779</v>
      </c>
      <c r="L5968">
        <v>141.54140000000001</v>
      </c>
      <c r="M5968">
        <v>-0.99993430000000005</v>
      </c>
      <c r="N5968">
        <v>-1.1265809999999999E-2</v>
      </c>
      <c r="O5968">
        <v>-2.135657E-3</v>
      </c>
      <c r="P5968">
        <v>-0.9984092</v>
      </c>
      <c r="Q5968">
        <v>-5.4488170000000002E-2</v>
      </c>
      <c r="R5968">
        <v>-1.449513E-2</v>
      </c>
      <c r="S5968">
        <v>-3.0099179999999999</v>
      </c>
      <c r="T5968">
        <v>4.2644500000000002E-2</v>
      </c>
      <c r="U5968">
        <v>0.2173004</v>
      </c>
      <c r="V5968">
        <v>-1.2367100000000001E-2</v>
      </c>
      <c r="W5968">
        <v>-4.3235339999999997E-2</v>
      </c>
      <c r="X5968">
        <v>0.9989884</v>
      </c>
      <c r="Y5968">
        <v>7.4135270000000003E-2</v>
      </c>
      <c r="Z5968">
        <v>-1.6055250000000001E-4</v>
      </c>
      <c r="AA5968">
        <v>0.99724820000000003</v>
      </c>
      <c r="AB5968">
        <v>28</v>
      </c>
      <c r="AC5968">
        <v>-208.238</v>
      </c>
      <c r="AD5968">
        <v>2.9540579999999999</v>
      </c>
      <c r="AE5968">
        <v>15.0535999999999</v>
      </c>
      <c r="AF5968">
        <v>15.4952167406586</v>
      </c>
      <c r="AG5968">
        <v>2.9540579999999999</v>
      </c>
      <c r="AH5968">
        <v>208.16370023945299</v>
      </c>
      <c r="AI5968">
        <v>89.189211132311598</v>
      </c>
      <c r="AJ5968">
        <v>85.742888046191098</v>
      </c>
      <c r="AK5968">
        <v>208.76051901135</v>
      </c>
      <c r="AL5968">
        <v>92.477974849702093</v>
      </c>
      <c r="AM5968">
        <v>90.7092639315768</v>
      </c>
      <c r="AN5968">
        <v>1.0000000315609401</v>
      </c>
    </row>
    <row r="5969" spans="1:40" x14ac:dyDescent="0.25">
      <c r="A5969" t="str">
        <f>"20190303153927401"</f>
        <v>20190303153927401</v>
      </c>
      <c r="B5969" t="str">
        <f>"1551598767394252"</f>
        <v>1551598767394252</v>
      </c>
      <c r="C5969" t="s">
        <v>40</v>
      </c>
      <c r="D5969">
        <v>4.039974</v>
      </c>
      <c r="E5969">
        <v>0.53319519999999998</v>
      </c>
      <c r="F5969" t="s">
        <v>70</v>
      </c>
      <c r="G5969">
        <v>-511.92649999999998</v>
      </c>
      <c r="H5969">
        <v>3.957522</v>
      </c>
      <c r="I5969">
        <v>156.4956</v>
      </c>
      <c r="J5969">
        <v>-303.87729999999999</v>
      </c>
      <c r="K5969">
        <v>1.120779</v>
      </c>
      <c r="L5969">
        <v>141.541</v>
      </c>
      <c r="M5969">
        <v>-0.99993489999999996</v>
      </c>
      <c r="N5969">
        <v>-1.1221449999999999E-2</v>
      </c>
      <c r="O5969">
        <v>-2.115979E-3</v>
      </c>
      <c r="P5969">
        <v>-0.99840390000000001</v>
      </c>
      <c r="Q5969">
        <v>-5.4488769999999999E-2</v>
      </c>
      <c r="R5969">
        <v>-1.487347E-2</v>
      </c>
      <c r="S5969">
        <v>-3.0101930000000001</v>
      </c>
      <c r="T5969">
        <v>4.100728E-2</v>
      </c>
      <c r="U5969">
        <v>0.21617130000000001</v>
      </c>
      <c r="V5969">
        <v>-1.2764360000000001E-2</v>
      </c>
      <c r="W5969">
        <v>-4.3280270000000003E-2</v>
      </c>
      <c r="X5969">
        <v>0.99898140000000002</v>
      </c>
      <c r="Y5969">
        <v>7.3737330000000004E-2</v>
      </c>
      <c r="Z5969">
        <v>-1.398173E-4</v>
      </c>
      <c r="AA5969">
        <v>0.99727770000000004</v>
      </c>
      <c r="AB5969">
        <v>28</v>
      </c>
      <c r="AC5969">
        <v>-208.04920000000001</v>
      </c>
      <c r="AD5969">
        <v>2.8367429999999998</v>
      </c>
      <c r="AE5969">
        <v>14.954599999999999</v>
      </c>
      <c r="AF5969">
        <v>15.391975083317099</v>
      </c>
      <c r="AG5969">
        <v>2.8367429999999998</v>
      </c>
      <c r="AH5969">
        <v>207.97862156273499</v>
      </c>
      <c r="AI5969">
        <v>89.220688558951394</v>
      </c>
      <c r="AJ5969">
        <v>85.767399571669401</v>
      </c>
      <c r="AK5969">
        <v>208.56669685007</v>
      </c>
      <c r="AL5969">
        <v>92.480551703562597</v>
      </c>
      <c r="AM5969">
        <v>90.732049825978393</v>
      </c>
      <c r="AN5969">
        <v>0.99999997410172103</v>
      </c>
    </row>
    <row r="5970" spans="1:40" x14ac:dyDescent="0.25">
      <c r="A5970" t="str">
        <f>"20190303153927418"</f>
        <v>20190303153927418</v>
      </c>
      <c r="B5970" t="str">
        <f>"1551598767414748"</f>
        <v>1551598767414748</v>
      </c>
      <c r="C5970" t="s">
        <v>40</v>
      </c>
      <c r="D5970">
        <v>4.0549189999999999</v>
      </c>
      <c r="E5970">
        <v>0.5331728</v>
      </c>
      <c r="F5970" t="s">
        <v>70</v>
      </c>
      <c r="G5970">
        <v>-511.92649999999998</v>
      </c>
      <c r="H5970">
        <v>3.9952200000000002</v>
      </c>
      <c r="I5970">
        <v>156.4675</v>
      </c>
      <c r="J5970">
        <v>-304.10669999999999</v>
      </c>
      <c r="K5970">
        <v>1.1207830000000001</v>
      </c>
      <c r="L5970">
        <v>141.54060000000001</v>
      </c>
      <c r="M5970">
        <v>-0.99993529999999997</v>
      </c>
      <c r="N5970">
        <v>-1.1181190000000001E-2</v>
      </c>
      <c r="O5970">
        <v>-2.0920330000000001E-3</v>
      </c>
      <c r="P5970">
        <v>-0.99834970000000001</v>
      </c>
      <c r="Q5970">
        <v>-5.5212150000000002E-2</v>
      </c>
      <c r="R5970">
        <v>-1.5800459999999999E-2</v>
      </c>
      <c r="S5970">
        <v>-3.010284</v>
      </c>
      <c r="T5970">
        <v>4.1591169999999997E-2</v>
      </c>
      <c r="U5970">
        <v>0.2159729</v>
      </c>
      <c r="V5970">
        <v>-1.371612E-2</v>
      </c>
      <c r="W5970">
        <v>-4.404433E-2</v>
      </c>
      <c r="X5970">
        <v>0.99893540000000003</v>
      </c>
      <c r="Y5970">
        <v>7.3645749999999996E-2</v>
      </c>
      <c r="Z5970">
        <v>-1.480384E-4</v>
      </c>
      <c r="AA5970">
        <v>0.99728450000000002</v>
      </c>
      <c r="AB5970">
        <v>28</v>
      </c>
      <c r="AC5970">
        <v>-207.81979999999999</v>
      </c>
      <c r="AD5970">
        <v>2.8744369999999901</v>
      </c>
      <c r="AE5970">
        <v>14.9268999999999</v>
      </c>
      <c r="AF5970">
        <v>15.3587372312347</v>
      </c>
      <c r="AG5970">
        <v>2.8744369999999901</v>
      </c>
      <c r="AH5970">
        <v>207.748575799234</v>
      </c>
      <c r="AI5970">
        <v>89.209455701733702</v>
      </c>
      <c r="AJ5970">
        <v>85.771846615292304</v>
      </c>
      <c r="AK5970">
        <v>208.33536412240599</v>
      </c>
      <c r="AL5970">
        <v>92.524370881964103</v>
      </c>
      <c r="AM5970">
        <v>90.786663887373805</v>
      </c>
      <c r="AN5970">
        <v>0.999999984163081</v>
      </c>
    </row>
    <row r="5971" spans="1:40" x14ac:dyDescent="0.25">
      <c r="A5971" t="str">
        <f>"20190303153927442"</f>
        <v>20190303153927442</v>
      </c>
      <c r="B5971" t="str">
        <f>"1551598767434271"</f>
        <v>1551598767434271</v>
      </c>
      <c r="C5971" t="s">
        <v>40</v>
      </c>
      <c r="D5971">
        <v>4.0075029999999998</v>
      </c>
      <c r="E5971">
        <v>0.51015699999999997</v>
      </c>
      <c r="F5971" t="s">
        <v>70</v>
      </c>
      <c r="G5971">
        <v>-511.92649999999998</v>
      </c>
      <c r="H5971">
        <v>3.858266</v>
      </c>
      <c r="I5971">
        <v>156.22380000000001</v>
      </c>
      <c r="J5971">
        <v>-304.39530000000002</v>
      </c>
      <c r="K5971">
        <v>1.120795</v>
      </c>
      <c r="L5971">
        <v>141.54</v>
      </c>
      <c r="M5971">
        <v>-0.99993569999999998</v>
      </c>
      <c r="N5971">
        <v>-1.1151299999999999E-2</v>
      </c>
      <c r="O5971">
        <v>-2.0618260000000001E-3</v>
      </c>
      <c r="P5971">
        <v>-0.99836360000000002</v>
      </c>
      <c r="Q5971">
        <v>-5.4699560000000001E-2</v>
      </c>
      <c r="R5971">
        <v>-1.668969E-2</v>
      </c>
      <c r="S5971">
        <v>-3.0105590000000002</v>
      </c>
      <c r="T5971">
        <v>3.9656879999999999E-2</v>
      </c>
      <c r="U5971">
        <v>0.21270749999999999</v>
      </c>
      <c r="V5971">
        <v>-1.4635260000000001E-2</v>
      </c>
      <c r="W5971">
        <v>-4.356136E-2</v>
      </c>
      <c r="X5971">
        <v>0.99894360000000004</v>
      </c>
      <c r="Y5971">
        <v>7.2533260000000002E-2</v>
      </c>
      <c r="Z5971">
        <v>-1.222586E-4</v>
      </c>
      <c r="AA5971">
        <v>0.99736599999999997</v>
      </c>
      <c r="AB5971">
        <v>28</v>
      </c>
      <c r="AC5971">
        <v>-207.53120000000001</v>
      </c>
      <c r="AD5971">
        <v>2.73747099999999</v>
      </c>
      <c r="AE5971">
        <v>14.6838</v>
      </c>
      <c r="AF5971">
        <v>15.109072833672499</v>
      </c>
      <c r="AG5971">
        <v>2.73747099999999</v>
      </c>
      <c r="AH5971">
        <v>207.46456389040301</v>
      </c>
      <c r="AI5971">
        <v>89.246029248370803</v>
      </c>
      <c r="AJ5971">
        <v>85.834659837816005</v>
      </c>
      <c r="AK5971">
        <v>208.03202421647501</v>
      </c>
      <c r="AL5971">
        <v>92.496671990133095</v>
      </c>
      <c r="AM5971">
        <v>90.839365347566499</v>
      </c>
      <c r="AN5971">
        <v>1.00000004945063</v>
      </c>
    </row>
    <row r="5972" spans="1:40" x14ac:dyDescent="0.25">
      <c r="A5972" t="str">
        <f>"20190303153927463"</f>
        <v>20190303153927463</v>
      </c>
      <c r="B5972" t="str">
        <f>"1551598767454767"</f>
        <v>1551598767454767</v>
      </c>
      <c r="C5972" t="s">
        <v>40</v>
      </c>
      <c r="D5972">
        <v>4.0109180000000002</v>
      </c>
      <c r="E5972">
        <v>0.50654189999999999</v>
      </c>
      <c r="F5972" t="s">
        <v>68</v>
      </c>
      <c r="G5972">
        <v>-429.8143</v>
      </c>
      <c r="H5972" s="1">
        <v>-1.240426E-5</v>
      </c>
      <c r="I5972">
        <v>142.70779999999999</v>
      </c>
      <c r="J5972">
        <v>-304.67430000000002</v>
      </c>
      <c r="K5972">
        <v>1.1208049999999901</v>
      </c>
      <c r="L5972">
        <v>141.5395</v>
      </c>
      <c r="M5972">
        <v>-0.99993589999999999</v>
      </c>
      <c r="N5972">
        <v>-1.114561E-2</v>
      </c>
      <c r="O5972">
        <v>-2.0329459999999999E-3</v>
      </c>
      <c r="P5972">
        <v>-0.99841760000000002</v>
      </c>
      <c r="Q5972">
        <v>-5.3476349999999999E-2</v>
      </c>
      <c r="R5972">
        <v>-1.7393860000000001E-2</v>
      </c>
      <c r="S5972">
        <v>-3.003876</v>
      </c>
      <c r="T5972">
        <v>-2.6844139999999999E-2</v>
      </c>
      <c r="U5972">
        <v>2.7969359999999999E-2</v>
      </c>
      <c r="V5972">
        <v>-1.536819E-2</v>
      </c>
      <c r="W5972">
        <v>-4.2343239999999997E-2</v>
      </c>
      <c r="X5972">
        <v>0.99898489999999995</v>
      </c>
      <c r="Y5972">
        <v>1.1342629999999999E-2</v>
      </c>
      <c r="Z5972">
        <v>1.0940410000000001E-4</v>
      </c>
      <c r="AA5972">
        <v>0.99993569999999998</v>
      </c>
      <c r="AB5972">
        <v>28</v>
      </c>
      <c r="AC5972">
        <v>-125.14</v>
      </c>
      <c r="AD5972">
        <v>-1.1208174042600001</v>
      </c>
      <c r="AE5972">
        <v>1.1682999999999799</v>
      </c>
      <c r="AF5972">
        <v>1.42260212056181</v>
      </c>
      <c r="AG5972">
        <v>-1.1208174042600001</v>
      </c>
      <c r="AH5972">
        <v>125.127329417084</v>
      </c>
      <c r="AI5972">
        <v>90.513175179760495</v>
      </c>
      <c r="AJ5972">
        <v>89.348618833757399</v>
      </c>
      <c r="AK5972">
        <v>125.140435493483</v>
      </c>
      <c r="AL5972">
        <v>92.426814551025899</v>
      </c>
      <c r="AM5972">
        <v>90.881357639051004</v>
      </c>
      <c r="AN5972">
        <v>0.99999998083279096</v>
      </c>
    </row>
    <row r="5973" spans="1:40" x14ac:dyDescent="0.25">
      <c r="A5973" t="str">
        <f>"20190303153927486"</f>
        <v>20190303153927486</v>
      </c>
      <c r="B5973" t="str">
        <f>"1551598767474284"</f>
        <v>1551598767474284</v>
      </c>
      <c r="C5973" t="s">
        <v>40</v>
      </c>
      <c r="D5973">
        <v>4.017881</v>
      </c>
      <c r="E5973">
        <v>0.50489539999999999</v>
      </c>
      <c r="F5973" t="s">
        <v>46</v>
      </c>
      <c r="G5973">
        <v>0</v>
      </c>
      <c r="H5973">
        <v>0</v>
      </c>
      <c r="I5973">
        <v>0</v>
      </c>
      <c r="J5973">
        <v>-304.9588</v>
      </c>
      <c r="K5973">
        <v>1.1208229999999999</v>
      </c>
      <c r="L5973">
        <v>141.53890000000001</v>
      </c>
      <c r="M5973">
        <v>-0.99993560000000004</v>
      </c>
      <c r="N5973">
        <v>-1.117861E-2</v>
      </c>
      <c r="O5973">
        <v>-2.002729E-3</v>
      </c>
      <c r="P5973">
        <v>-0.99843230000000005</v>
      </c>
      <c r="Q5973">
        <v>-5.3349000000000001E-2</v>
      </c>
      <c r="R5973">
        <v>-1.694702E-2</v>
      </c>
      <c r="S5973">
        <v>-3.0046689999999998</v>
      </c>
      <c r="T5973">
        <v>-5.9866909999999995E-4</v>
      </c>
      <c r="U5973">
        <v>-3.3416750000000001E-3</v>
      </c>
      <c r="V5973">
        <v>-1.4951010000000001E-2</v>
      </c>
      <c r="W5973">
        <v>-4.2182789999999998E-2</v>
      </c>
      <c r="X5973">
        <v>0.99899800000000005</v>
      </c>
      <c r="Y5973">
        <v>8.9057310000000001E-4</v>
      </c>
      <c r="Z5973" s="1">
        <v>-1.692285E-5</v>
      </c>
      <c r="AA5973">
        <v>0.99999959999999999</v>
      </c>
      <c r="AB5973">
        <v>28</v>
      </c>
      <c r="AC5973">
        <v>-3.0046689999999998</v>
      </c>
      <c r="AD5973">
        <v>-5.9866909999999995E-4</v>
      </c>
      <c r="AE5973">
        <v>-3.3416750000000001E-3</v>
      </c>
      <c r="AF5973">
        <v>2.6762448220530098E-3</v>
      </c>
      <c r="AG5973">
        <v>-5.9866909999999995E-4</v>
      </c>
      <c r="AH5973">
        <v>3.00466954709783</v>
      </c>
      <c r="AI5973">
        <v>90.011415963771398</v>
      </c>
      <c r="AJ5973">
        <v>89.948966936199</v>
      </c>
      <c r="AK5973">
        <v>3.0046707985981</v>
      </c>
      <c r="AL5973">
        <v>92.417613266790994</v>
      </c>
      <c r="AM5973">
        <v>90.857424964506293</v>
      </c>
      <c r="AN5973">
        <v>0.99999996223810095</v>
      </c>
    </row>
    <row r="5974" spans="1:40" x14ac:dyDescent="0.25">
      <c r="A5974" t="str">
        <f>"20190303153927508"</f>
        <v>20190303153927508</v>
      </c>
      <c r="B5974" t="str">
        <f>"1551598767504539"</f>
        <v>1551598767504539</v>
      </c>
      <c r="C5974" t="s">
        <v>40</v>
      </c>
      <c r="D5974">
        <v>4.0035720000000001</v>
      </c>
      <c r="E5974">
        <v>0.50405140000000004</v>
      </c>
      <c r="F5974" t="s">
        <v>46</v>
      </c>
      <c r="G5974">
        <v>0</v>
      </c>
      <c r="H5974">
        <v>0</v>
      </c>
      <c r="I5974">
        <v>0</v>
      </c>
      <c r="J5974">
        <v>-305.23869999999999</v>
      </c>
      <c r="K5974">
        <v>1.1208549999999999</v>
      </c>
      <c r="L5974">
        <v>141.5384</v>
      </c>
      <c r="M5974">
        <v>-0.9999344</v>
      </c>
      <c r="N5974">
        <v>-1.1288950000000001E-2</v>
      </c>
      <c r="O5974">
        <v>-1.9734190000000001E-3</v>
      </c>
      <c r="P5974">
        <v>-0.99841860000000004</v>
      </c>
      <c r="Q5974">
        <v>-5.3647720000000003E-2</v>
      </c>
      <c r="R5974">
        <v>-1.6805839999999999E-2</v>
      </c>
      <c r="S5974">
        <v>-3.0049130000000002</v>
      </c>
      <c r="T5974">
        <v>9.2381240000000003E-3</v>
      </c>
      <c r="U5974">
        <v>-1.542664E-2</v>
      </c>
      <c r="V5974">
        <v>-1.483894E-2</v>
      </c>
      <c r="W5974">
        <v>-4.237142E-2</v>
      </c>
      <c r="X5974">
        <v>0.99899170000000004</v>
      </c>
      <c r="Y5974">
        <v>-3.1604519999999998E-3</v>
      </c>
      <c r="Z5974" s="1">
        <v>-4.1326650000000002E-5</v>
      </c>
      <c r="AA5974">
        <v>0.99999499999999997</v>
      </c>
      <c r="AB5974">
        <v>28</v>
      </c>
      <c r="AC5974">
        <v>-3.0049130000000002</v>
      </c>
      <c r="AD5974">
        <v>9.2381240000000003E-3</v>
      </c>
      <c r="AE5974">
        <v>-1.542664E-2</v>
      </c>
      <c r="AF5974">
        <v>-9.4961903170690497E-3</v>
      </c>
      <c r="AG5974">
        <v>9.2381240000000003E-3</v>
      </c>
      <c r="AH5974">
        <v>3.0049091929224501</v>
      </c>
      <c r="AI5974">
        <v>89.823854509003795</v>
      </c>
      <c r="AJ5974">
        <v>90.181066974212698</v>
      </c>
      <c r="AK5974">
        <v>3.0049383984160798</v>
      </c>
      <c r="AL5974">
        <v>92.428430613035005</v>
      </c>
      <c r="AM5974">
        <v>90.851004180552707</v>
      </c>
      <c r="AN5974">
        <v>0.99999997402101404</v>
      </c>
    </row>
    <row r="5975" spans="1:40" x14ac:dyDescent="0.25">
      <c r="A5975" t="str">
        <f>"20190303153927531"</f>
        <v>20190303153927531</v>
      </c>
      <c r="B5975" t="str">
        <f>"1551598767525035"</f>
        <v>1551598767525035</v>
      </c>
      <c r="C5975" t="s">
        <v>40</v>
      </c>
      <c r="D5975">
        <v>4.0321319999999998</v>
      </c>
      <c r="E5975">
        <v>0.50372700000000004</v>
      </c>
      <c r="F5975" t="s">
        <v>46</v>
      </c>
      <c r="G5975">
        <v>0</v>
      </c>
      <c r="H5975">
        <v>0</v>
      </c>
      <c r="I5975">
        <v>0</v>
      </c>
      <c r="J5975">
        <v>-305.52449999999999</v>
      </c>
      <c r="K5975">
        <v>1.1209070000000001</v>
      </c>
      <c r="L5975">
        <v>141.53790000000001</v>
      </c>
      <c r="M5975">
        <v>-0.99993200000000004</v>
      </c>
      <c r="N5975">
        <v>-1.150433E-2</v>
      </c>
      <c r="O5975">
        <v>-1.9442369999999999E-3</v>
      </c>
      <c r="P5975">
        <v>-0.99841310000000005</v>
      </c>
      <c r="Q5975">
        <v>-5.3851860000000001E-2</v>
      </c>
      <c r="R5975">
        <v>-1.6474229999999999E-2</v>
      </c>
      <c r="S5975">
        <v>-3.0051570000000001</v>
      </c>
      <c r="T5975">
        <v>1.4549609999999999E-2</v>
      </c>
      <c r="U5975">
        <v>-2.1987920000000001E-2</v>
      </c>
      <c r="V5975">
        <v>-1.453694E-2</v>
      </c>
      <c r="W5975">
        <v>-4.2360500000000002E-2</v>
      </c>
      <c r="X5975">
        <v>0.99899660000000001</v>
      </c>
      <c r="Y5975">
        <v>-5.3725500000000002E-3</v>
      </c>
      <c r="Z5975" s="1">
        <v>-4.9679609999999897E-5</v>
      </c>
      <c r="AA5975">
        <v>0.99998560000000003</v>
      </c>
      <c r="AB5975">
        <v>28</v>
      </c>
      <c r="AC5975">
        <v>-3.0051570000000001</v>
      </c>
      <c r="AD5975">
        <v>1.4549609999999999E-2</v>
      </c>
      <c r="AE5975">
        <v>-2.1987920000000001E-2</v>
      </c>
      <c r="AF5975">
        <v>-1.6144376305151999E-2</v>
      </c>
      <c r="AG5975">
        <v>1.4549609999999999E-2</v>
      </c>
      <c r="AH5975">
        <v>3.0051236338912202</v>
      </c>
      <c r="AI5975">
        <v>89.722602859278695</v>
      </c>
      <c r="AJ5975">
        <v>90.307806213326003</v>
      </c>
      <c r="AK5975">
        <v>3.0052022206515399</v>
      </c>
      <c r="AL5975">
        <v>92.427804388921899</v>
      </c>
      <c r="AM5975">
        <v>90.833683045574404</v>
      </c>
      <c r="AN5975">
        <v>0.99999997069818602</v>
      </c>
    </row>
    <row r="5976" spans="1:40" x14ac:dyDescent="0.25">
      <c r="A5976" t="str">
        <f>"20190303153927553"</f>
        <v>20190303153927553</v>
      </c>
      <c r="B5976" t="str">
        <f>"1551598767544556"</f>
        <v>1551598767544556</v>
      </c>
      <c r="C5976" t="s">
        <v>40</v>
      </c>
      <c r="D5976">
        <v>4.0300919999999998</v>
      </c>
      <c r="E5976">
        <v>0.5030481</v>
      </c>
      <c r="F5976" t="s">
        <v>46</v>
      </c>
      <c r="G5976">
        <v>0</v>
      </c>
      <c r="H5976">
        <v>0</v>
      </c>
      <c r="I5976">
        <v>0</v>
      </c>
      <c r="J5976">
        <v>-305.80079999999998</v>
      </c>
      <c r="K5976">
        <v>1.1209610000000001</v>
      </c>
      <c r="L5976">
        <v>141.53739999999999</v>
      </c>
      <c r="M5976">
        <v>-0.99992910000000002</v>
      </c>
      <c r="N5976">
        <v>-1.175142E-2</v>
      </c>
      <c r="O5976">
        <v>-1.9155070000000001E-3</v>
      </c>
      <c r="P5976">
        <v>-0.99841060000000004</v>
      </c>
      <c r="Q5976">
        <v>-5.392719E-2</v>
      </c>
      <c r="R5976">
        <v>-1.6371199999999999E-2</v>
      </c>
      <c r="S5976">
        <v>-3.0052189999999999</v>
      </c>
      <c r="T5976">
        <v>1.526833E-2</v>
      </c>
      <c r="U5976">
        <v>-2.3559569999999998E-2</v>
      </c>
      <c r="V5976">
        <v>-1.446273E-2</v>
      </c>
      <c r="W5976">
        <v>-4.2189020000000001E-2</v>
      </c>
      <c r="X5976">
        <v>0.99900500000000003</v>
      </c>
      <c r="Y5976">
        <v>-5.9240899999999999E-3</v>
      </c>
      <c r="Z5976" s="1">
        <v>-5.2002639999999999E-5</v>
      </c>
      <c r="AA5976">
        <v>0.9999825</v>
      </c>
      <c r="AB5976">
        <v>28</v>
      </c>
      <c r="AC5976">
        <v>-3.0052189999999999</v>
      </c>
      <c r="AD5976">
        <v>1.526833E-2</v>
      </c>
      <c r="AE5976">
        <v>-2.3559569999999998E-2</v>
      </c>
      <c r="AF5976">
        <v>-1.78021516473219E-2</v>
      </c>
      <c r="AG5976">
        <v>1.526833E-2</v>
      </c>
      <c r="AH5976">
        <v>3.0051810509426899</v>
      </c>
      <c r="AI5976">
        <v>89.708906725151195</v>
      </c>
      <c r="AJ5976">
        <v>90.339405915179199</v>
      </c>
      <c r="AK5976">
        <v>3.00527256458532</v>
      </c>
      <c r="AL5976">
        <v>92.417970356690503</v>
      </c>
      <c r="AM5976">
        <v>90.829420778412398</v>
      </c>
      <c r="AN5976">
        <v>1.0000000369963</v>
      </c>
    </row>
    <row r="5977" spans="1:40" x14ac:dyDescent="0.25">
      <c r="A5977" t="str">
        <f>"20190303153927574"</f>
        <v>20190303153927574</v>
      </c>
      <c r="B5977" t="str">
        <f>"1551598767565052"</f>
        <v>1551598767565052</v>
      </c>
      <c r="C5977" t="s">
        <v>40</v>
      </c>
      <c r="D5977">
        <v>4.0442450000000001</v>
      </c>
      <c r="E5977">
        <v>0.50223980000000001</v>
      </c>
      <c r="F5977" t="s">
        <v>46</v>
      </c>
      <c r="G5977">
        <v>0</v>
      </c>
      <c r="H5977">
        <v>0</v>
      </c>
      <c r="I5977">
        <v>0</v>
      </c>
      <c r="J5977">
        <v>-306.07209999999998</v>
      </c>
      <c r="K5977">
        <v>1.1210020000000001</v>
      </c>
      <c r="L5977">
        <v>141.5369</v>
      </c>
      <c r="M5977">
        <v>-0.99992639999999999</v>
      </c>
      <c r="N5977">
        <v>-1.198754E-2</v>
      </c>
      <c r="O5977">
        <v>-1.88686E-3</v>
      </c>
      <c r="P5977">
        <v>-0.99841559999999996</v>
      </c>
      <c r="Q5977">
        <v>-5.3843250000000002E-2</v>
      </c>
      <c r="R5977">
        <v>-1.6345160000000001E-2</v>
      </c>
      <c r="S5977">
        <v>-3.0051269999999999</v>
      </c>
      <c r="T5977">
        <v>1.5652659999999999E-2</v>
      </c>
      <c r="U5977">
        <v>-2.868652E-2</v>
      </c>
      <c r="V5977">
        <v>-1.446531E-2</v>
      </c>
      <c r="W5977">
        <v>-4.1869129999999997E-2</v>
      </c>
      <c r="X5977">
        <v>0.99901839999999997</v>
      </c>
      <c r="Y5977">
        <v>-7.6589140000000002E-3</v>
      </c>
      <c r="Z5977" s="1">
        <v>-5.8408690000000001E-5</v>
      </c>
      <c r="AA5977">
        <v>0.99997069999999999</v>
      </c>
      <c r="AB5977">
        <v>28</v>
      </c>
      <c r="AC5977">
        <v>-3.0051269999999999</v>
      </c>
      <c r="AD5977">
        <v>1.5652659999999999E-2</v>
      </c>
      <c r="AE5977">
        <v>-2.868652E-2</v>
      </c>
      <c r="AF5977">
        <v>-2.3015183384217399E-2</v>
      </c>
      <c r="AG5977">
        <v>1.5652659999999999E-2</v>
      </c>
      <c r="AH5977">
        <v>3.00509426013575</v>
      </c>
      <c r="AI5977">
        <v>89.701574437371093</v>
      </c>
      <c r="AJ5977">
        <v>90.438803903201602</v>
      </c>
      <c r="AK5977">
        <v>3.00522315589577</v>
      </c>
      <c r="AL5977">
        <v>92.399625850391502</v>
      </c>
      <c r="AM5977">
        <v>90.829557592154103</v>
      </c>
      <c r="AN5977">
        <v>1.00000001638945</v>
      </c>
    </row>
    <row r="5978" spans="1:40" x14ac:dyDescent="0.25">
      <c r="A5978" t="str">
        <f>"20190303153927597"</f>
        <v>20190303153927597</v>
      </c>
      <c r="B5978" t="str">
        <f>"1551598767584575"</f>
        <v>1551598767584575</v>
      </c>
      <c r="C5978" t="s">
        <v>40</v>
      </c>
      <c r="D5978">
        <v>4.0906269999999996</v>
      </c>
      <c r="E5978">
        <v>0.50143769999999999</v>
      </c>
      <c r="F5978" t="s">
        <v>46</v>
      </c>
      <c r="G5978">
        <v>0</v>
      </c>
      <c r="H5978">
        <v>0</v>
      </c>
      <c r="I5978">
        <v>0</v>
      </c>
      <c r="J5978">
        <v>-306.34530000000001</v>
      </c>
      <c r="K5978">
        <v>1.1210310000000001</v>
      </c>
      <c r="L5978">
        <v>141.53639999999999</v>
      </c>
      <c r="M5978">
        <v>-0.99992380000000003</v>
      </c>
      <c r="N5978">
        <v>-1.22107E-2</v>
      </c>
      <c r="O5978">
        <v>-1.8578030000000001E-3</v>
      </c>
      <c r="P5978">
        <v>-0.99843020000000005</v>
      </c>
      <c r="Q5978">
        <v>-5.3598439999999997E-2</v>
      </c>
      <c r="R5978">
        <v>-1.6267319999999998E-2</v>
      </c>
      <c r="S5978">
        <v>-3.0050659999999998</v>
      </c>
      <c r="T5978">
        <v>1.6466499999999998E-2</v>
      </c>
      <c r="U5978">
        <v>-3.497314E-2</v>
      </c>
      <c r="V5978">
        <v>-1.441605E-2</v>
      </c>
      <c r="W5978">
        <v>-4.1401229999999997E-2</v>
      </c>
      <c r="X5978">
        <v>0.9990386</v>
      </c>
      <c r="Y5978">
        <v>-9.7799110000000005E-3</v>
      </c>
      <c r="Z5978" s="1">
        <v>-6.5783879999999997E-5</v>
      </c>
      <c r="AA5978">
        <v>0.99995219999999996</v>
      </c>
      <c r="AB5978">
        <v>28</v>
      </c>
      <c r="AC5978">
        <v>-3.0050659999999998</v>
      </c>
      <c r="AD5978">
        <v>1.6466499999999998E-2</v>
      </c>
      <c r="AE5978">
        <v>-3.497314E-2</v>
      </c>
      <c r="AF5978">
        <v>-2.9388960892924601E-2</v>
      </c>
      <c r="AG5978">
        <v>1.6466499999999998E-2</v>
      </c>
      <c r="AH5978">
        <v>3.0050355750024602</v>
      </c>
      <c r="AI5978">
        <v>89.686058160621101</v>
      </c>
      <c r="AJ5978">
        <v>90.560329386878095</v>
      </c>
      <c r="AK5978">
        <v>3.0052243948954902</v>
      </c>
      <c r="AL5978">
        <v>92.372793917482099</v>
      </c>
      <c r="AM5978">
        <v>90.826716305293203</v>
      </c>
      <c r="AN5978">
        <v>1.00000000431653</v>
      </c>
    </row>
    <row r="5979" spans="1:40" x14ac:dyDescent="0.25">
      <c r="A5979" t="str">
        <f>"20190303153927620"</f>
        <v>20190303153927620</v>
      </c>
      <c r="B5979" t="str">
        <f>"1551598767614828"</f>
        <v>1551598767614828</v>
      </c>
      <c r="C5979" t="s">
        <v>40</v>
      </c>
      <c r="D5979">
        <v>4.0433199999999996</v>
      </c>
      <c r="E5979">
        <v>0.50069949999999996</v>
      </c>
      <c r="F5979" t="s">
        <v>46</v>
      </c>
      <c r="G5979">
        <v>0</v>
      </c>
      <c r="H5979">
        <v>0</v>
      </c>
      <c r="I5979">
        <v>0</v>
      </c>
      <c r="J5979">
        <v>-306.63369999999998</v>
      </c>
      <c r="K5979">
        <v>1.1210560000000001</v>
      </c>
      <c r="L5979">
        <v>141.5359</v>
      </c>
      <c r="M5979">
        <v>-0.99992110000000001</v>
      </c>
      <c r="N5979">
        <v>-1.243237E-2</v>
      </c>
      <c r="O5979">
        <v>-1.8278039999999999E-3</v>
      </c>
      <c r="P5979">
        <v>-0.99842520000000001</v>
      </c>
      <c r="Q5979">
        <v>-5.3861989999999998E-2</v>
      </c>
      <c r="R5979">
        <v>-1.5688549999999999E-2</v>
      </c>
      <c r="S5979">
        <v>-3.0049440000000001</v>
      </c>
      <c r="T5979">
        <v>1.583385E-2</v>
      </c>
      <c r="U5979">
        <v>-4.1015629999999997E-2</v>
      </c>
      <c r="V5979">
        <v>-1.3867229999999999E-2</v>
      </c>
      <c r="W5979">
        <v>-4.144341E-2</v>
      </c>
      <c r="X5979">
        <v>0.99904459999999995</v>
      </c>
      <c r="Y5979">
        <v>-1.1820819999999999E-2</v>
      </c>
      <c r="Z5979" s="1">
        <v>-7.4698019999999997E-5</v>
      </c>
      <c r="AA5979">
        <v>0.99993010000000004</v>
      </c>
      <c r="AB5979">
        <v>28</v>
      </c>
      <c r="AC5979">
        <v>-3.0049440000000001</v>
      </c>
      <c r="AD5979">
        <v>1.583385E-2</v>
      </c>
      <c r="AE5979">
        <v>-4.1015629999999997E-2</v>
      </c>
      <c r="AF5979">
        <v>-3.55217025187348E-2</v>
      </c>
      <c r="AG5979">
        <v>1.583385E-2</v>
      </c>
      <c r="AH5979">
        <v>3.00493053712681</v>
      </c>
      <c r="AI5979">
        <v>89.698115815742796</v>
      </c>
      <c r="AJ5979">
        <v>90.677269846024103</v>
      </c>
      <c r="AK5979">
        <v>3.0051821966584402</v>
      </c>
      <c r="AL5979">
        <v>92.375212776440904</v>
      </c>
      <c r="AM5979">
        <v>90.795242506037894</v>
      </c>
      <c r="AN5979">
        <v>0.99999998454473005</v>
      </c>
    </row>
    <row r="5980" spans="1:40" x14ac:dyDescent="0.25">
      <c r="A5980" t="str">
        <f>"20190303153927642"</f>
        <v>20190303153927642</v>
      </c>
      <c r="B5980" t="str">
        <f>"1551598767634350"</f>
        <v>1551598767634350</v>
      </c>
      <c r="C5980" t="s">
        <v>40</v>
      </c>
      <c r="D5980">
        <v>4.0533989999999998</v>
      </c>
      <c r="E5980">
        <v>0.50032330000000003</v>
      </c>
      <c r="F5980" t="s">
        <v>46</v>
      </c>
      <c r="G5980">
        <v>0</v>
      </c>
      <c r="H5980">
        <v>0</v>
      </c>
      <c r="I5980">
        <v>0</v>
      </c>
      <c r="J5980">
        <v>-306.91250000000002</v>
      </c>
      <c r="K5980">
        <v>1.121067</v>
      </c>
      <c r="L5980">
        <v>141.53540000000001</v>
      </c>
      <c r="M5980">
        <v>-0.99991859999999999</v>
      </c>
      <c r="N5980">
        <v>-1.263154E-2</v>
      </c>
      <c r="O5980">
        <v>-1.7988800000000001E-3</v>
      </c>
      <c r="P5980">
        <v>-0.99842039999999999</v>
      </c>
      <c r="Q5980">
        <v>-5.4109150000000002E-2</v>
      </c>
      <c r="R5980">
        <v>-1.5132380000000001E-2</v>
      </c>
      <c r="S5980">
        <v>-3.0048219999999999</v>
      </c>
      <c r="T5980">
        <v>1.4548419999999999E-2</v>
      </c>
      <c r="U5980">
        <v>-4.5043949999999999E-2</v>
      </c>
      <c r="V5980">
        <v>-1.3340329999999999E-2</v>
      </c>
      <c r="W5980">
        <v>-4.1491689999999998E-2</v>
      </c>
      <c r="X5980">
        <v>0.99904979999999999</v>
      </c>
      <c r="Y5980">
        <v>-1.3190550000000001E-2</v>
      </c>
      <c r="Z5980" s="1">
        <v>-8.2816309999999996E-5</v>
      </c>
      <c r="AA5980">
        <v>0.99991300000000005</v>
      </c>
      <c r="AB5980">
        <v>28</v>
      </c>
      <c r="AC5980">
        <v>-3.0048219999999999</v>
      </c>
      <c r="AD5980">
        <v>1.4548419999999999E-2</v>
      </c>
      <c r="AE5980">
        <v>-4.5043949999999999E-2</v>
      </c>
      <c r="AF5980">
        <v>-3.9637202662490503E-2</v>
      </c>
      <c r="AG5980">
        <v>1.4548419999999999E-2</v>
      </c>
      <c r="AH5980">
        <v>3.0048277493248801</v>
      </c>
      <c r="AI5980">
        <v>89.722618363174604</v>
      </c>
      <c r="AJ5980">
        <v>90.755754705945094</v>
      </c>
      <c r="AK5980">
        <v>3.0051243846922899</v>
      </c>
      <c r="AL5980">
        <v>92.377981328508994</v>
      </c>
      <c r="AM5980">
        <v>90.765026110646204</v>
      </c>
      <c r="AN5980">
        <v>1.0000000138117999</v>
      </c>
    </row>
    <row r="5981" spans="1:40" x14ac:dyDescent="0.25">
      <c r="A5981" t="str">
        <f>"20190303153927665"</f>
        <v>20190303153927665</v>
      </c>
      <c r="B5981" t="str">
        <f>"1551598767654843"</f>
        <v>1551598767654843</v>
      </c>
      <c r="C5981" t="s">
        <v>40</v>
      </c>
      <c r="D5981">
        <v>4.050135</v>
      </c>
      <c r="E5981">
        <v>0.49945489999999998</v>
      </c>
      <c r="F5981" t="s">
        <v>46</v>
      </c>
      <c r="G5981">
        <v>0</v>
      </c>
      <c r="H5981">
        <v>0</v>
      </c>
      <c r="I5981">
        <v>0</v>
      </c>
      <c r="J5981">
        <v>-307.18810000000002</v>
      </c>
      <c r="K5981">
        <v>1.1210800000000001</v>
      </c>
      <c r="L5981">
        <v>141.535</v>
      </c>
      <c r="M5981">
        <v>-0.99991640000000004</v>
      </c>
      <c r="N5981">
        <v>-1.281039E-2</v>
      </c>
      <c r="O5981">
        <v>-1.770087E-3</v>
      </c>
      <c r="P5981">
        <v>-0.99842050000000004</v>
      </c>
      <c r="Q5981">
        <v>-5.4305300000000001E-2</v>
      </c>
      <c r="R5981">
        <v>-1.4406540000000001E-2</v>
      </c>
      <c r="S5981">
        <v>-3.004791</v>
      </c>
      <c r="T5981">
        <v>1.3766169999999999E-2</v>
      </c>
      <c r="U5981">
        <v>-4.6340939999999997E-2</v>
      </c>
      <c r="V5981">
        <v>-1.264289E-2</v>
      </c>
      <c r="W5981">
        <v>-4.1509200000000003E-2</v>
      </c>
      <c r="X5981">
        <v>0.99905809999999995</v>
      </c>
      <c r="Y5981">
        <v>-1.3651E-2</v>
      </c>
      <c r="Z5981" s="1">
        <v>-8.6960530000000004E-5</v>
      </c>
      <c r="AA5981">
        <v>0.99990679999999998</v>
      </c>
      <c r="AB5981">
        <v>28</v>
      </c>
      <c r="AC5981">
        <v>-3.004791</v>
      </c>
      <c r="AD5981">
        <v>1.3766169999999999E-2</v>
      </c>
      <c r="AE5981">
        <v>-4.6340939999999997E-2</v>
      </c>
      <c r="AF5981">
        <v>-4.10208287605092E-2</v>
      </c>
      <c r="AG5981">
        <v>1.3766169999999999E-2</v>
      </c>
      <c r="AH5981">
        <v>3.0048052724037899</v>
      </c>
      <c r="AI5981">
        <v>89.737532264482695</v>
      </c>
      <c r="AJ5981">
        <v>90.782138659105698</v>
      </c>
      <c r="AK5981">
        <v>3.0051167932202398</v>
      </c>
      <c r="AL5981">
        <v>92.3789855427422</v>
      </c>
      <c r="AM5981">
        <v>90.725028477240002</v>
      </c>
      <c r="AN5981">
        <v>0.99999997176389999</v>
      </c>
    </row>
    <row r="5982" spans="1:40" x14ac:dyDescent="0.25">
      <c r="A5982" t="str">
        <f>"20190303153927688"</f>
        <v>20190303153927688</v>
      </c>
      <c r="B5982" t="str">
        <f>"1551598767684630"</f>
        <v>1551598767684630</v>
      </c>
      <c r="C5982" t="s">
        <v>40</v>
      </c>
      <c r="D5982">
        <v>4.0293269999999897</v>
      </c>
      <c r="E5982">
        <v>0.49885010000000002</v>
      </c>
      <c r="F5982" t="s">
        <v>46</v>
      </c>
      <c r="G5982">
        <v>0</v>
      </c>
      <c r="H5982">
        <v>0</v>
      </c>
      <c r="I5982">
        <v>0</v>
      </c>
      <c r="J5982">
        <v>-307.47399999999999</v>
      </c>
      <c r="K5982">
        <v>1.1210869999999999</v>
      </c>
      <c r="L5982">
        <v>141.53450000000001</v>
      </c>
      <c r="M5982">
        <v>-0.99991430000000003</v>
      </c>
      <c r="N5982">
        <v>-1.297621E-2</v>
      </c>
      <c r="O5982">
        <v>-1.740272E-3</v>
      </c>
      <c r="P5982">
        <v>-0.99841780000000002</v>
      </c>
      <c r="Q5982">
        <v>-5.4566980000000001E-2</v>
      </c>
      <c r="R5982">
        <v>-1.3584799999999999E-2</v>
      </c>
      <c r="S5982">
        <v>-3.0044559999999998</v>
      </c>
      <c r="T5982">
        <v>8.1268550000000005E-3</v>
      </c>
      <c r="U5982">
        <v>-5.0994869999999998E-2</v>
      </c>
      <c r="V5982">
        <v>-1.1850599999999999E-2</v>
      </c>
      <c r="W5982">
        <v>-4.1605320000000001E-2</v>
      </c>
      <c r="X5982">
        <v>0.99906379999999995</v>
      </c>
      <c r="Y5982">
        <v>-1.5230870000000001E-2</v>
      </c>
      <c r="Z5982">
        <v>-1.0552059999999999E-4</v>
      </c>
      <c r="AA5982">
        <v>0.999884</v>
      </c>
      <c r="AB5982">
        <v>28</v>
      </c>
      <c r="AC5982">
        <v>-3.0044559999999998</v>
      </c>
      <c r="AD5982">
        <v>8.1268550000000005E-3</v>
      </c>
      <c r="AE5982">
        <v>-5.0994869999999998E-2</v>
      </c>
      <c r="AF5982">
        <v>-4.5765447153201799E-2</v>
      </c>
      <c r="AG5982">
        <v>8.1268550000000005E-3</v>
      </c>
      <c r="AH5982">
        <v>3.00451822534896</v>
      </c>
      <c r="AI5982">
        <v>89.845040264956594</v>
      </c>
      <c r="AJ5982">
        <v>90.872673754139399</v>
      </c>
      <c r="AK5982">
        <v>3.0048777493234802</v>
      </c>
      <c r="AL5982">
        <v>92.384497607965798</v>
      </c>
      <c r="AM5982">
        <v>90.679593758451304</v>
      </c>
      <c r="AN5982">
        <v>0.99999995792155005</v>
      </c>
    </row>
    <row r="5983" spans="1:40" x14ac:dyDescent="0.25">
      <c r="A5983" t="str">
        <f>"20190303153927710"</f>
        <v>20190303153927710</v>
      </c>
      <c r="B5983" t="str">
        <f>"1551598767694390"</f>
        <v>1551598767694390</v>
      </c>
      <c r="C5983" t="s">
        <v>40</v>
      </c>
      <c r="D5983">
        <v>4.0424160000000002</v>
      </c>
      <c r="E5983">
        <v>0.49865080000000001</v>
      </c>
      <c r="F5983" t="s">
        <v>46</v>
      </c>
      <c r="G5983">
        <v>0</v>
      </c>
      <c r="H5983">
        <v>0</v>
      </c>
      <c r="I5983">
        <v>0</v>
      </c>
      <c r="J5983">
        <v>-307.75099999999998</v>
      </c>
      <c r="K5983">
        <v>1.1210979999999999</v>
      </c>
      <c r="L5983">
        <v>141.53399999999999</v>
      </c>
      <c r="M5983">
        <v>-0.99991260000000004</v>
      </c>
      <c r="N5983">
        <v>-1.311797E-2</v>
      </c>
      <c r="O5983">
        <v>-1.7111489999999999E-3</v>
      </c>
      <c r="P5983">
        <v>-0.99839370000000005</v>
      </c>
      <c r="Q5983">
        <v>-5.5030969999999998E-2</v>
      </c>
      <c r="R5983">
        <v>-1.348383E-2</v>
      </c>
      <c r="S5983">
        <v>-3.0044249999999999</v>
      </c>
      <c r="T5983">
        <v>6.2196250000000003E-3</v>
      </c>
      <c r="U5983">
        <v>-5.3405759999999997E-2</v>
      </c>
      <c r="V5983">
        <v>-1.177946E-2</v>
      </c>
      <c r="W5983">
        <v>-4.192796E-2</v>
      </c>
      <c r="X5983">
        <v>0.99905120000000003</v>
      </c>
      <c r="Y5983">
        <v>-1.606223E-2</v>
      </c>
      <c r="Z5983">
        <v>-1.147278E-4</v>
      </c>
      <c r="AA5983">
        <v>0.99987099999999995</v>
      </c>
      <c r="AB5983">
        <v>28</v>
      </c>
      <c r="AC5983">
        <v>-3.0044249999999999</v>
      </c>
      <c r="AD5983">
        <v>6.2196250000000003E-3</v>
      </c>
      <c r="AE5983">
        <v>-5.3405759999999997E-2</v>
      </c>
      <c r="AF5983">
        <v>-4.8264014357404399E-2</v>
      </c>
      <c r="AG5983">
        <v>6.2196250000000003E-3</v>
      </c>
      <c r="AH5983">
        <v>3.00449912194548</v>
      </c>
      <c r="AI5983">
        <v>89.881407259830695</v>
      </c>
      <c r="AJ5983">
        <v>90.920315295920105</v>
      </c>
      <c r="AK5983">
        <v>3.0048931882162102</v>
      </c>
      <c r="AL5983">
        <v>92.402999551278199</v>
      </c>
      <c r="AM5983">
        <v>90.675523006440699</v>
      </c>
      <c r="AN5983">
        <v>1.0000000048645401</v>
      </c>
    </row>
    <row r="5984" spans="1:40" x14ac:dyDescent="0.25">
      <c r="A5984" t="str">
        <f>"20190303153927732"</f>
        <v>20190303153927732</v>
      </c>
      <c r="B5984" t="str">
        <f>"1551598767724646"</f>
        <v>1551598767724646</v>
      </c>
      <c r="C5984" t="s">
        <v>40</v>
      </c>
      <c r="D5984">
        <v>4.0255720000000004</v>
      </c>
      <c r="E5984">
        <v>0.49834349999999999</v>
      </c>
      <c r="F5984" t="s">
        <v>46</v>
      </c>
      <c r="G5984">
        <v>0</v>
      </c>
      <c r="H5984">
        <v>0</v>
      </c>
      <c r="I5984">
        <v>0</v>
      </c>
      <c r="J5984">
        <v>-308.02120000000002</v>
      </c>
      <c r="K5984">
        <v>1.1211040000000001</v>
      </c>
      <c r="L5984">
        <v>141.53360000000001</v>
      </c>
      <c r="M5984">
        <v>-0.99991099999999999</v>
      </c>
      <c r="N5984">
        <v>-1.323911E-2</v>
      </c>
      <c r="O5984">
        <v>-1.6833320000000001E-3</v>
      </c>
      <c r="P5984">
        <v>-0.99841709999999995</v>
      </c>
      <c r="Q5984">
        <v>-5.4477200000000003E-2</v>
      </c>
      <c r="R5984">
        <v>-1.4004559999999999E-2</v>
      </c>
      <c r="S5984">
        <v>-3.0043030000000002</v>
      </c>
      <c r="T5984">
        <v>4.1185620000000001E-3</v>
      </c>
      <c r="U5984">
        <v>-5.4702760000000003E-2</v>
      </c>
      <c r="V5984">
        <v>-1.2327650000000001E-2</v>
      </c>
      <c r="W5984">
        <v>-4.1252820000000003E-2</v>
      </c>
      <c r="X5984">
        <v>0.99907270000000004</v>
      </c>
      <c r="Y5984">
        <v>-1.6522209999999999E-2</v>
      </c>
      <c r="Z5984">
        <v>-1.2265139999999999E-4</v>
      </c>
      <c r="AA5984">
        <v>0.99986350000000002</v>
      </c>
      <c r="AB5984">
        <v>28</v>
      </c>
      <c r="AC5984">
        <v>-3.0043030000000002</v>
      </c>
      <c r="AD5984">
        <v>4.1185620000000001E-3</v>
      </c>
      <c r="AE5984">
        <v>-5.4702760000000003E-2</v>
      </c>
      <c r="AF5984">
        <v>-4.9644906869972097E-2</v>
      </c>
      <c r="AG5984">
        <v>4.1185620000000001E-3</v>
      </c>
      <c r="AH5984">
        <v>3.0043851893477602</v>
      </c>
      <c r="AI5984">
        <v>89.921466840010396</v>
      </c>
      <c r="AJ5984">
        <v>90.946677809845298</v>
      </c>
      <c r="AK5984">
        <v>3.0047981538371702</v>
      </c>
      <c r="AL5984">
        <v>92.364283359557206</v>
      </c>
      <c r="AM5984">
        <v>90.706942020314997</v>
      </c>
      <c r="AN5984">
        <v>1.00000001299888</v>
      </c>
    </row>
    <row r="5985" spans="1:40" x14ac:dyDescent="0.25">
      <c r="A5985" t="str">
        <f>"20190303153927753"</f>
        <v>20190303153927753</v>
      </c>
      <c r="B5985" t="str">
        <f>"1551598767744166"</f>
        <v>1551598767744166</v>
      </c>
      <c r="C5985" t="s">
        <v>40</v>
      </c>
      <c r="D5985">
        <v>4.0261800000000001</v>
      </c>
      <c r="E5985">
        <v>0.4979518</v>
      </c>
      <c r="F5985" t="s">
        <v>46</v>
      </c>
      <c r="G5985">
        <v>0</v>
      </c>
      <c r="H5985">
        <v>0</v>
      </c>
      <c r="I5985">
        <v>0</v>
      </c>
      <c r="J5985">
        <v>-308.29820000000001</v>
      </c>
      <c r="K5985">
        <v>1.1211040000000001</v>
      </c>
      <c r="L5985">
        <v>141.53309999999999</v>
      </c>
      <c r="M5985">
        <v>-0.99990959999999995</v>
      </c>
      <c r="N5985">
        <v>-1.334801E-2</v>
      </c>
      <c r="O5985">
        <v>-1.6544890000000001E-3</v>
      </c>
      <c r="P5985">
        <v>-0.99842410000000004</v>
      </c>
      <c r="Q5985">
        <v>-5.4136780000000002E-2</v>
      </c>
      <c r="R5985">
        <v>-1.47867E-2</v>
      </c>
      <c r="S5985">
        <v>-3.0041500000000001</v>
      </c>
      <c r="T5985">
        <v>4.1558740000000004E-3</v>
      </c>
      <c r="U5985">
        <v>-5.8654789999999998E-2</v>
      </c>
      <c r="V5985">
        <v>-1.3138240000000001E-2</v>
      </c>
      <c r="W5985">
        <v>-4.0803449999999998E-2</v>
      </c>
      <c r="X5985">
        <v>0.99908079999999999</v>
      </c>
      <c r="Y5985">
        <v>-1.7866839999999998E-2</v>
      </c>
      <c r="Z5985">
        <v>-1.3127399999999999E-4</v>
      </c>
      <c r="AA5985">
        <v>0.99984039999999996</v>
      </c>
      <c r="AB5985">
        <v>28</v>
      </c>
      <c r="AC5985">
        <v>-3.0041500000000001</v>
      </c>
      <c r="AD5985">
        <v>4.1558740000000004E-3</v>
      </c>
      <c r="AE5985">
        <v>-5.8654789999999998E-2</v>
      </c>
      <c r="AF5985">
        <v>-5.3683831325841501E-2</v>
      </c>
      <c r="AG5985">
        <v>4.1558740000000004E-3</v>
      </c>
      <c r="AH5985">
        <v>3.0042371928104799</v>
      </c>
      <c r="AI5985">
        <v>89.920753300831393</v>
      </c>
      <c r="AJ5985">
        <v>91.023730631060005</v>
      </c>
      <c r="AK5985">
        <v>3.0047196767253199</v>
      </c>
      <c r="AL5985">
        <v>92.338514711805104</v>
      </c>
      <c r="AM5985">
        <v>90.753414853459503</v>
      </c>
      <c r="AN5985">
        <v>0.99999998990541905</v>
      </c>
    </row>
    <row r="5986" spans="1:40" x14ac:dyDescent="0.25">
      <c r="A5986" t="str">
        <f>"20190303153927775"</f>
        <v>20190303153927775</v>
      </c>
      <c r="B5986" t="str">
        <f>"1551598767764195"</f>
        <v>1551598767764195</v>
      </c>
      <c r="C5986" t="s">
        <v>40</v>
      </c>
      <c r="D5986">
        <v>4.035304</v>
      </c>
      <c r="E5986">
        <v>0.49767660000000002</v>
      </c>
      <c r="F5986" t="s">
        <v>46</v>
      </c>
      <c r="G5986">
        <v>0</v>
      </c>
      <c r="H5986">
        <v>0</v>
      </c>
      <c r="I5986">
        <v>0</v>
      </c>
      <c r="J5986">
        <v>-308.56400000000002</v>
      </c>
      <c r="K5986">
        <v>1.1211059999999999</v>
      </c>
      <c r="L5986">
        <v>141.53270000000001</v>
      </c>
      <c r="M5986">
        <v>-0.99990829999999997</v>
      </c>
      <c r="N5986">
        <v>-1.3439619999999999E-2</v>
      </c>
      <c r="O5986">
        <v>-1.626967E-3</v>
      </c>
      <c r="P5986">
        <v>-0.99842019999999998</v>
      </c>
      <c r="Q5986">
        <v>-5.4089560000000002E-2</v>
      </c>
      <c r="R5986">
        <v>-1.5230759999999999E-2</v>
      </c>
      <c r="S5986">
        <v>-3.0039669999999998</v>
      </c>
      <c r="T5986">
        <v>3.5260920000000002E-3</v>
      </c>
      <c r="U5986">
        <v>-6.4193730000000004E-2</v>
      </c>
      <c r="V5986">
        <v>-1.3609939999999999E-2</v>
      </c>
      <c r="W5986">
        <v>-4.066471E-2</v>
      </c>
      <c r="X5986">
        <v>0.99908019999999997</v>
      </c>
      <c r="Y5986">
        <v>-1.973832E-2</v>
      </c>
      <c r="Z5986">
        <v>-1.4484909999999999E-4</v>
      </c>
      <c r="AA5986">
        <v>0.99980519999999995</v>
      </c>
      <c r="AB5986">
        <v>28</v>
      </c>
      <c r="AC5986">
        <v>-3.0039669999999998</v>
      </c>
      <c r="AD5986">
        <v>3.5260920000000002E-3</v>
      </c>
      <c r="AE5986">
        <v>-6.4193730000000004E-2</v>
      </c>
      <c r="AF5986">
        <v>-5.9305766427848197E-2</v>
      </c>
      <c r="AG5986">
        <v>3.5260920000000002E-3</v>
      </c>
      <c r="AH5986">
        <v>3.0040633368040801</v>
      </c>
      <c r="AI5986">
        <v>89.9327608255157</v>
      </c>
      <c r="AJ5986">
        <v>91.130977744826097</v>
      </c>
      <c r="AK5986">
        <v>3.0046507515494798</v>
      </c>
      <c r="AL5986">
        <v>92.330558757657997</v>
      </c>
      <c r="AM5986">
        <v>90.780461759742906</v>
      </c>
      <c r="AN5986">
        <v>1.00000004756911</v>
      </c>
    </row>
    <row r="5987" spans="1:40" x14ac:dyDescent="0.25">
      <c r="A5987" t="str">
        <f>"20190303153927798"</f>
        <v>20190303153927798</v>
      </c>
      <c r="B5987" t="str">
        <f>"1551598767794449"</f>
        <v>1551598767794449</v>
      </c>
      <c r="C5987" t="s">
        <v>40</v>
      </c>
      <c r="D5987">
        <v>4.0262869999999999</v>
      </c>
      <c r="E5987">
        <v>0.49736710000000001</v>
      </c>
      <c r="F5987" t="s">
        <v>46</v>
      </c>
      <c r="G5987">
        <v>0</v>
      </c>
      <c r="H5987">
        <v>0</v>
      </c>
      <c r="I5987">
        <v>0</v>
      </c>
      <c r="J5987">
        <v>-308.84300000000002</v>
      </c>
      <c r="K5987">
        <v>1.1211100000000001</v>
      </c>
      <c r="L5987">
        <v>141.53229999999999</v>
      </c>
      <c r="M5987">
        <v>-0.99990730000000005</v>
      </c>
      <c r="N5987">
        <v>-1.3523439999999999E-2</v>
      </c>
      <c r="O5987">
        <v>-1.598084E-3</v>
      </c>
      <c r="P5987">
        <v>-0.99841069999999998</v>
      </c>
      <c r="Q5987">
        <v>-5.4189859999999999E-2</v>
      </c>
      <c r="R5987">
        <v>-1.548861E-2</v>
      </c>
      <c r="S5987">
        <v>-3.0038149999999999</v>
      </c>
      <c r="T5987">
        <v>2.728701E-3</v>
      </c>
      <c r="U5987">
        <v>-6.7703250000000006E-2</v>
      </c>
      <c r="V5987">
        <v>-1.3896729999999999E-2</v>
      </c>
      <c r="W5987">
        <v>-4.0681349999999998E-2</v>
      </c>
      <c r="X5987">
        <v>0.99907550000000001</v>
      </c>
      <c r="Y5987">
        <v>-2.0935800000000001E-2</v>
      </c>
      <c r="Z5987">
        <v>-1.5513959999999901E-4</v>
      </c>
      <c r="AA5987">
        <v>0.99978080000000003</v>
      </c>
      <c r="AB5987">
        <v>28</v>
      </c>
      <c r="AC5987">
        <v>-3.0038149999999999</v>
      </c>
      <c r="AD5987">
        <v>2.728701E-3</v>
      </c>
      <c r="AE5987">
        <v>-6.7703250000000006E-2</v>
      </c>
      <c r="AF5987">
        <v>-6.2902324057399497E-2</v>
      </c>
      <c r="AG5987">
        <v>2.728701E-3</v>
      </c>
      <c r="AH5987">
        <v>3.0039168913792902</v>
      </c>
      <c r="AI5987">
        <v>89.947965024487701</v>
      </c>
      <c r="AJ5987">
        <v>91.199604111342396</v>
      </c>
      <c r="AK5987">
        <v>3.0045766487967702</v>
      </c>
      <c r="AL5987">
        <v>92.331513122872494</v>
      </c>
      <c r="AM5987">
        <v>90.796909376454906</v>
      </c>
      <c r="AN5987">
        <v>0.99999997302138199</v>
      </c>
    </row>
    <row r="5988" spans="1:40" x14ac:dyDescent="0.25">
      <c r="A5988" t="str">
        <f>"20190303153927822"</f>
        <v>20190303153927822</v>
      </c>
      <c r="B5988" t="str">
        <f>"1551598767814943"</f>
        <v>1551598767814943</v>
      </c>
      <c r="C5988" t="s">
        <v>40</v>
      </c>
      <c r="D5988">
        <v>4.0611309999999996</v>
      </c>
      <c r="E5988">
        <v>0.49720789999999998</v>
      </c>
      <c r="F5988" t="s">
        <v>46</v>
      </c>
      <c r="G5988">
        <v>0</v>
      </c>
      <c r="H5988">
        <v>0</v>
      </c>
      <c r="I5988">
        <v>0</v>
      </c>
      <c r="J5988">
        <v>-309.13650000000001</v>
      </c>
      <c r="K5988">
        <v>1.121111</v>
      </c>
      <c r="L5988">
        <v>141.53190000000001</v>
      </c>
      <c r="M5988">
        <v>-0.99990630000000003</v>
      </c>
      <c r="N5988">
        <v>-1.3599450000000001E-2</v>
      </c>
      <c r="O5988">
        <v>-1.567602E-3</v>
      </c>
      <c r="P5988">
        <v>-0.99842379999999997</v>
      </c>
      <c r="Q5988">
        <v>-5.3966569999999998E-2</v>
      </c>
      <c r="R5988">
        <v>-1.541235E-2</v>
      </c>
      <c r="S5988">
        <v>-3.0037539999999998</v>
      </c>
      <c r="T5988">
        <v>1.1678929999999999E-3</v>
      </c>
      <c r="U5988">
        <v>-7.0846560000000003E-2</v>
      </c>
      <c r="V5988">
        <v>-1.385116E-2</v>
      </c>
      <c r="W5988">
        <v>-4.0381979999999998E-2</v>
      </c>
      <c r="X5988">
        <v>0.99908830000000004</v>
      </c>
      <c r="Y5988">
        <v>-2.201233E-2</v>
      </c>
      <c r="Z5988">
        <v>-1.6735259999999999E-4</v>
      </c>
      <c r="AA5988">
        <v>0.99975769999999997</v>
      </c>
      <c r="AB5988">
        <v>28</v>
      </c>
      <c r="AC5988">
        <v>-3.0037539999999998</v>
      </c>
      <c r="AD5988">
        <v>1.1678929999999999E-3</v>
      </c>
      <c r="AE5988">
        <v>-7.0846560000000003E-2</v>
      </c>
      <c r="AF5988">
        <v>-6.6137336706382097E-2</v>
      </c>
      <c r="AG5988">
        <v>1.1678929999999999E-3</v>
      </c>
      <c r="AH5988">
        <v>3.0038609242649201</v>
      </c>
      <c r="AI5988">
        <v>89.977728954557506</v>
      </c>
      <c r="AJ5988">
        <v>91.261302773426095</v>
      </c>
      <c r="AK5988">
        <v>3.0045891505506002</v>
      </c>
      <c r="AL5988">
        <v>92.3143463270806</v>
      </c>
      <c r="AM5988">
        <v>90.794286320614802</v>
      </c>
      <c r="AN5988">
        <v>0.99999999506947701</v>
      </c>
    </row>
    <row r="5989" spans="1:40" x14ac:dyDescent="0.25">
      <c r="A5989" t="str">
        <f>"20190303153927843"</f>
        <v>20190303153927843</v>
      </c>
      <c r="B5989" t="str">
        <f>"1551598767834467"</f>
        <v>1551598767834467</v>
      </c>
      <c r="C5989" t="s">
        <v>40</v>
      </c>
      <c r="D5989">
        <v>4.0314110000000003</v>
      </c>
      <c r="E5989">
        <v>0.4970967</v>
      </c>
      <c r="F5989" t="s">
        <v>46</v>
      </c>
      <c r="G5989">
        <v>0</v>
      </c>
      <c r="H5989">
        <v>0</v>
      </c>
      <c r="I5989">
        <v>0</v>
      </c>
      <c r="J5989">
        <v>-309.3999</v>
      </c>
      <c r="K5989">
        <v>1.1211169999999999</v>
      </c>
      <c r="L5989">
        <v>141.53149999999999</v>
      </c>
      <c r="M5989">
        <v>-0.99990559999999995</v>
      </c>
      <c r="N5989">
        <v>-1.365821E-2</v>
      </c>
      <c r="O5989">
        <v>-1.540345E-3</v>
      </c>
      <c r="P5989">
        <v>-0.99841829999999998</v>
      </c>
      <c r="Q5989">
        <v>-5.4267429999999998E-2</v>
      </c>
      <c r="R5989">
        <v>-1.4704500000000001E-2</v>
      </c>
      <c r="S5989">
        <v>-3.0036930000000002</v>
      </c>
      <c r="T5989">
        <v>9.1946129999999999E-4</v>
      </c>
      <c r="U5989">
        <v>-7.1929930000000003E-2</v>
      </c>
      <c r="V5989">
        <v>-1.317025E-2</v>
      </c>
      <c r="W5989">
        <v>-4.0624260000000002E-2</v>
      </c>
      <c r="X5989">
        <v>0.99908770000000002</v>
      </c>
      <c r="Y5989">
        <v>-2.2400429999999999E-2</v>
      </c>
      <c r="Z5989">
        <v>-1.710835E-4</v>
      </c>
      <c r="AA5989">
        <v>0.99974909999999995</v>
      </c>
      <c r="AB5989">
        <v>28</v>
      </c>
      <c r="AC5989">
        <v>-3.0036930000000002</v>
      </c>
      <c r="AD5989">
        <v>9.1946129999999999E-4</v>
      </c>
      <c r="AE5989">
        <v>-7.1929930000000003E-2</v>
      </c>
      <c r="AF5989">
        <v>-6.7302683540779396E-2</v>
      </c>
      <c r="AG5989">
        <v>9.1946129999999999E-4</v>
      </c>
      <c r="AH5989">
        <v>3.0037999618897802</v>
      </c>
      <c r="AI5989">
        <v>89.982466198700607</v>
      </c>
      <c r="AJ5989">
        <v>91.283545731298304</v>
      </c>
      <c r="AK5989">
        <v>3.00455399480022</v>
      </c>
      <c r="AL5989">
        <v>92.328239316317607</v>
      </c>
      <c r="AM5989">
        <v>90.755245045206294</v>
      </c>
      <c r="AN5989">
        <v>1.00000000913845</v>
      </c>
    </row>
    <row r="5990" spans="1:40" x14ac:dyDescent="0.25">
      <c r="A5990" t="str">
        <f>"20190303153927865"</f>
        <v>20190303153927865</v>
      </c>
      <c r="B5990" t="str">
        <f>"1551598767853985"</f>
        <v>1551598767853985</v>
      </c>
      <c r="C5990" t="s">
        <v>40</v>
      </c>
      <c r="D5990">
        <v>4.0420410000000002</v>
      </c>
      <c r="E5990">
        <v>0.49697629999999998</v>
      </c>
      <c r="F5990" t="s">
        <v>46</v>
      </c>
      <c r="G5990">
        <v>0</v>
      </c>
      <c r="H5990">
        <v>0</v>
      </c>
      <c r="I5990">
        <v>0</v>
      </c>
      <c r="J5990">
        <v>-309.66809999999998</v>
      </c>
      <c r="K5990">
        <v>1.121119</v>
      </c>
      <c r="L5990">
        <v>141.53110000000001</v>
      </c>
      <c r="M5990">
        <v>-0.99990489999999999</v>
      </c>
      <c r="N5990">
        <v>-1.3709829999999999E-2</v>
      </c>
      <c r="O5990">
        <v>-1.5124450000000001E-3</v>
      </c>
      <c r="P5990">
        <v>-0.99841060000000004</v>
      </c>
      <c r="Q5990">
        <v>-5.445622E-2</v>
      </c>
      <c r="R5990">
        <v>-1.4520730000000001E-2</v>
      </c>
      <c r="S5990">
        <v>-3.0037229999999999</v>
      </c>
      <c r="T5990">
        <v>-5.9473510000000002E-4</v>
      </c>
      <c r="U5990">
        <v>-7.0632929999999997E-2</v>
      </c>
      <c r="V5990">
        <v>-1.3014390000000001E-2</v>
      </c>
      <c r="W5990">
        <v>-4.0761579999999999E-2</v>
      </c>
      <c r="X5990">
        <v>0.99908410000000003</v>
      </c>
      <c r="Y5990">
        <v>-2.1996539999999998E-2</v>
      </c>
      <c r="Z5990">
        <v>-1.734239E-4</v>
      </c>
      <c r="AA5990">
        <v>0.99975800000000004</v>
      </c>
      <c r="AB5990">
        <v>28</v>
      </c>
      <c r="AC5990">
        <v>-3.0037229999999999</v>
      </c>
      <c r="AD5990">
        <v>-5.9473510000000002E-4</v>
      </c>
      <c r="AE5990">
        <v>-7.0632929999999997E-2</v>
      </c>
      <c r="AF5990">
        <v>-6.6089453896785305E-2</v>
      </c>
      <c r="AG5990">
        <v>-5.9473510000000002E-4</v>
      </c>
      <c r="AH5990">
        <v>3.0038262846232202</v>
      </c>
      <c r="AI5990">
        <v>90.011341390218803</v>
      </c>
      <c r="AJ5990">
        <v>91.260404426682001</v>
      </c>
      <c r="AK5990">
        <v>3.0045532975501601</v>
      </c>
      <c r="AL5990">
        <v>92.336113810337807</v>
      </c>
      <c r="AM5990">
        <v>90.746310994145404</v>
      </c>
      <c r="AN5990">
        <v>0.99999995981198797</v>
      </c>
    </row>
    <row r="5991" spans="1:40" x14ac:dyDescent="0.25">
      <c r="A5991" t="str">
        <f>"20190303153927888"</f>
        <v>20190303153927888</v>
      </c>
      <c r="B5991" t="str">
        <f>"1551598767884747"</f>
        <v>1551598767884747</v>
      </c>
      <c r="C5991" t="s">
        <v>40</v>
      </c>
      <c r="D5991">
        <v>4.0477489999999996</v>
      </c>
      <c r="E5991">
        <v>0.49687730000000002</v>
      </c>
      <c r="F5991" t="s">
        <v>46</v>
      </c>
      <c r="G5991">
        <v>0</v>
      </c>
      <c r="H5991">
        <v>0</v>
      </c>
      <c r="I5991">
        <v>0</v>
      </c>
      <c r="J5991">
        <v>-309.94650000000001</v>
      </c>
      <c r="K5991">
        <v>1.1211199999999999</v>
      </c>
      <c r="L5991">
        <v>141.5307</v>
      </c>
      <c r="M5991">
        <v>-0.99990429999999997</v>
      </c>
      <c r="N5991">
        <v>-1.37562E-2</v>
      </c>
      <c r="O5991">
        <v>-1.4834379999999999E-3</v>
      </c>
      <c r="P5991">
        <v>-0.99843409999999999</v>
      </c>
      <c r="Q5991">
        <v>-5.4110119999999998E-2</v>
      </c>
      <c r="R5991">
        <v>-1.420365E-2</v>
      </c>
      <c r="S5991">
        <v>-3.0036930000000002</v>
      </c>
      <c r="T5991">
        <v>-1.3867619999999999E-3</v>
      </c>
      <c r="U5991">
        <v>-7.0877079999999995E-2</v>
      </c>
      <c r="V5991">
        <v>-1.2726370000000001E-2</v>
      </c>
      <c r="W5991">
        <v>-4.0368899999999999E-2</v>
      </c>
      <c r="X5991">
        <v>0.99910379999999999</v>
      </c>
      <c r="Y5991">
        <v>-2.210695E-2</v>
      </c>
      <c r="Z5991">
        <v>-1.7690490000000001E-4</v>
      </c>
      <c r="AA5991">
        <v>0.99975559999999997</v>
      </c>
      <c r="AB5991">
        <v>28</v>
      </c>
      <c r="AC5991">
        <v>-3.0036930000000002</v>
      </c>
      <c r="AD5991">
        <v>-1.3867619999999999E-3</v>
      </c>
      <c r="AE5991">
        <v>-7.0877079999999995E-2</v>
      </c>
      <c r="AF5991">
        <v>-6.6420773957020895E-2</v>
      </c>
      <c r="AG5991">
        <v>-1.3867619999999999E-3</v>
      </c>
      <c r="AH5991">
        <v>3.0037942062146601</v>
      </c>
      <c r="AI5991">
        <v>90.026445282455498</v>
      </c>
      <c r="AJ5991">
        <v>91.266734563612999</v>
      </c>
      <c r="AK5991">
        <v>3.0045287942721899</v>
      </c>
      <c r="AL5991">
        <v>92.313596261663506</v>
      </c>
      <c r="AM5991">
        <v>90.729781887803497</v>
      </c>
      <c r="AN5991">
        <v>1.00000000587751</v>
      </c>
    </row>
    <row r="5992" spans="1:40" x14ac:dyDescent="0.25">
      <c r="A5992" t="str">
        <f>"20190303153927912"</f>
        <v>20190303153927912</v>
      </c>
      <c r="B5992" t="str">
        <f>"1551598767904267"</f>
        <v>1551598767904267</v>
      </c>
      <c r="C5992" t="s">
        <v>40</v>
      </c>
      <c r="D5992">
        <v>4.0439509999999999</v>
      </c>
      <c r="E5992">
        <v>0.49680859999999899</v>
      </c>
      <c r="F5992" t="s">
        <v>46</v>
      </c>
      <c r="G5992">
        <v>0</v>
      </c>
      <c r="H5992">
        <v>0</v>
      </c>
      <c r="I5992">
        <v>0</v>
      </c>
      <c r="J5992">
        <v>-310.23050000000001</v>
      </c>
      <c r="K5992">
        <v>1.1211169999999999</v>
      </c>
      <c r="L5992">
        <v>141.53039999999999</v>
      </c>
      <c r="M5992">
        <v>-0.99990389999999996</v>
      </c>
      <c r="N5992">
        <v>-1.37898E-2</v>
      </c>
      <c r="O5992">
        <v>-1.4535129999999901E-3</v>
      </c>
      <c r="P5992">
        <v>-0.99841659999999999</v>
      </c>
      <c r="Q5992">
        <v>-5.4593530000000001E-2</v>
      </c>
      <c r="R5992">
        <v>-1.357506E-2</v>
      </c>
      <c r="S5992">
        <v>-3.0036010000000002</v>
      </c>
      <c r="T5992">
        <v>-1.0399820000000001E-3</v>
      </c>
      <c r="U5992">
        <v>-7.0785520000000005E-2</v>
      </c>
      <c r="V5992">
        <v>-1.2127300000000001E-2</v>
      </c>
      <c r="W5992">
        <v>-4.0819000000000001E-2</v>
      </c>
      <c r="X5992">
        <v>0.99909289999999995</v>
      </c>
      <c r="Y5992">
        <v>-2.2107149999999999E-2</v>
      </c>
      <c r="Z5992">
        <v>-1.758206E-4</v>
      </c>
      <c r="AA5992">
        <v>0.99975559999999997</v>
      </c>
      <c r="AB5992">
        <v>27</v>
      </c>
      <c r="AC5992">
        <v>-3.0036010000000002</v>
      </c>
      <c r="AD5992">
        <v>-1.0399820000000001E-3</v>
      </c>
      <c r="AE5992">
        <v>-7.0785520000000005E-2</v>
      </c>
      <c r="AF5992">
        <v>-6.6419249174841502E-2</v>
      </c>
      <c r="AG5992">
        <v>-1.0399820000000001E-3</v>
      </c>
      <c r="AH5992">
        <v>3.0037003640937598</v>
      </c>
      <c r="AI5992">
        <v>90.019832875232595</v>
      </c>
      <c r="AJ5992">
        <v>91.266745055151404</v>
      </c>
      <c r="AK5992">
        <v>3.0044348013362598</v>
      </c>
      <c r="AL5992">
        <v>92.339406515042896</v>
      </c>
      <c r="AM5992">
        <v>90.695439817630501</v>
      </c>
      <c r="AN5992">
        <v>0.999999942498348</v>
      </c>
    </row>
    <row r="5993" spans="1:40" x14ac:dyDescent="0.25">
      <c r="A5993" t="str">
        <f>"20190303153927932"</f>
        <v>20190303153927932</v>
      </c>
      <c r="B5993" t="str">
        <f>"1551598767924767"</f>
        <v>1551598767924767</v>
      </c>
      <c r="C5993" t="s">
        <v>40</v>
      </c>
      <c r="D5993">
        <v>4.0444950000000004</v>
      </c>
      <c r="E5993">
        <v>0.49667919999999999</v>
      </c>
      <c r="F5993" t="s">
        <v>46</v>
      </c>
      <c r="G5993">
        <v>0</v>
      </c>
      <c r="H5993">
        <v>0</v>
      </c>
      <c r="I5993">
        <v>0</v>
      </c>
      <c r="J5993">
        <v>-310.49329999999998</v>
      </c>
      <c r="K5993">
        <v>1.1210990000000001</v>
      </c>
      <c r="L5993">
        <v>141.53</v>
      </c>
      <c r="M5993">
        <v>-0.99990460000000003</v>
      </c>
      <c r="N5993">
        <v>-1.3737360000000001E-2</v>
      </c>
      <c r="O5993">
        <v>-1.4254949999999999E-3</v>
      </c>
      <c r="P5993">
        <v>-0.99842900000000001</v>
      </c>
      <c r="Q5993">
        <v>-5.4406719999999999E-2</v>
      </c>
      <c r="R5993">
        <v>-1.3395779999999999E-2</v>
      </c>
      <c r="S5993">
        <v>-3.0037229999999999</v>
      </c>
      <c r="T5993">
        <v>-2.9113289999999998E-3</v>
      </c>
      <c r="U5993">
        <v>-6.9580080000000002E-2</v>
      </c>
      <c r="V5993">
        <v>-1.197635E-2</v>
      </c>
      <c r="W5993">
        <v>-4.068447E-2</v>
      </c>
      <c r="X5993">
        <v>0.99910030000000005</v>
      </c>
      <c r="Y5993">
        <v>-2.173309E-2</v>
      </c>
      <c r="Z5993">
        <v>-1.7803559999999999E-4</v>
      </c>
      <c r="AA5993">
        <v>0.99976379999999998</v>
      </c>
      <c r="AB5993">
        <v>27</v>
      </c>
      <c r="AC5993">
        <v>-3.0037229999999999</v>
      </c>
      <c r="AD5993">
        <v>-2.9113289999999998E-3</v>
      </c>
      <c r="AE5993">
        <v>-6.9580080000000002E-2</v>
      </c>
      <c r="AF5993">
        <v>-6.5297751694253697E-2</v>
      </c>
      <c r="AG5993">
        <v>-2.9113289999999998E-3</v>
      </c>
      <c r="AH5993">
        <v>3.00381632265294</v>
      </c>
      <c r="AI5993">
        <v>90.055518512405996</v>
      </c>
      <c r="AJ5993">
        <v>91.245314636959293</v>
      </c>
      <c r="AK5993">
        <v>3.0045273792144198</v>
      </c>
      <c r="AL5993">
        <v>92.331691890961594</v>
      </c>
      <c r="AM5993">
        <v>90.6867793404368</v>
      </c>
      <c r="AN5993">
        <v>1.0000000342592901</v>
      </c>
    </row>
    <row r="5994" spans="1:40" x14ac:dyDescent="0.25">
      <c r="A5994" t="str">
        <f>"20190303153927955"</f>
        <v>20190303153927955</v>
      </c>
      <c r="B5994" t="str">
        <f>"1551598767944284"</f>
        <v>1551598767944284</v>
      </c>
      <c r="C5994" t="s">
        <v>40</v>
      </c>
      <c r="D5994">
        <v>4.051107</v>
      </c>
      <c r="E5994">
        <v>0.47800219999999999</v>
      </c>
      <c r="F5994" t="s">
        <v>46</v>
      </c>
      <c r="G5994">
        <v>0</v>
      </c>
      <c r="H5994">
        <v>0</v>
      </c>
      <c r="I5994">
        <v>0</v>
      </c>
      <c r="J5994">
        <v>-310.7654</v>
      </c>
      <c r="K5994">
        <v>1.1210610000000001</v>
      </c>
      <c r="L5994">
        <v>141.52969999999999</v>
      </c>
      <c r="M5994">
        <v>-0.99990650000000003</v>
      </c>
      <c r="N5994">
        <v>-1.359956E-2</v>
      </c>
      <c r="O5994">
        <v>-1.3974879999999999E-3</v>
      </c>
      <c r="P5994">
        <v>-0.99840779999999996</v>
      </c>
      <c r="Q5994">
        <v>-5.4932309999999998E-2</v>
      </c>
      <c r="R5994">
        <v>-1.281973E-2</v>
      </c>
      <c r="S5994">
        <v>-3.0036010000000002</v>
      </c>
      <c r="T5994">
        <v>-2.8382540000000001E-3</v>
      </c>
      <c r="U5994">
        <v>-6.9839479999999995E-2</v>
      </c>
      <c r="V5994">
        <v>-1.142816E-2</v>
      </c>
      <c r="W5994">
        <v>-4.1348009999999998E-2</v>
      </c>
      <c r="X5994">
        <v>0.99907950000000001</v>
      </c>
      <c r="Y5994">
        <v>-2.1848329999999999E-2</v>
      </c>
      <c r="Z5994">
        <v>-1.76595999999999E-4</v>
      </c>
      <c r="AA5994">
        <v>0.99976129999999996</v>
      </c>
      <c r="AB5994">
        <v>27</v>
      </c>
      <c r="AC5994">
        <v>-3.0036010000000002</v>
      </c>
      <c r="AD5994">
        <v>-2.8382540000000001E-3</v>
      </c>
      <c r="AE5994">
        <v>-6.9839479999999995E-2</v>
      </c>
      <c r="AF5994">
        <v>-6.5641468451443502E-2</v>
      </c>
      <c r="AG5994">
        <v>-2.8382540000000001E-3</v>
      </c>
      <c r="AH5994">
        <v>3.0036929947045499</v>
      </c>
      <c r="AI5994">
        <v>90.054127072654893</v>
      </c>
      <c r="AJ5994">
        <v>91.251919074127201</v>
      </c>
      <c r="AK5994">
        <v>3.0044115005277598</v>
      </c>
      <c r="AL5994">
        <v>92.369741904869898</v>
      </c>
      <c r="AM5994">
        <v>90.655360038597806</v>
      </c>
      <c r="AN5994">
        <v>1.00000005404609</v>
      </c>
    </row>
    <row r="5995" spans="1:40" x14ac:dyDescent="0.25">
      <c r="A5995" t="str">
        <f>"20190303153927970"</f>
        <v>20190303153927970</v>
      </c>
      <c r="B5995" t="str">
        <f>"1551598767964310"</f>
        <v>1551598767964310</v>
      </c>
      <c r="C5995" t="s">
        <v>40</v>
      </c>
      <c r="D5995">
        <v>4.065296</v>
      </c>
      <c r="E5995">
        <v>0.47565160000000001</v>
      </c>
      <c r="F5995" t="s">
        <v>42</v>
      </c>
      <c r="G5995">
        <v>-386.70460000000003</v>
      </c>
      <c r="H5995" s="1">
        <v>-2.0543259999999998E-6</v>
      </c>
      <c r="I5995">
        <v>136.05770000000001</v>
      </c>
      <c r="J5995">
        <v>-310.94510000000002</v>
      </c>
      <c r="K5995">
        <v>1.121024</v>
      </c>
      <c r="L5995">
        <v>141.52940000000001</v>
      </c>
      <c r="M5995">
        <v>-0.99990860000000004</v>
      </c>
      <c r="N5995">
        <v>-1.3451579999999999E-2</v>
      </c>
      <c r="O5995">
        <v>-1.379211E-3</v>
      </c>
      <c r="P5995">
        <v>-0.99843760000000004</v>
      </c>
      <c r="Q5995">
        <v>-5.4416840000000001E-2</v>
      </c>
      <c r="R5995">
        <v>-1.269961E-2</v>
      </c>
      <c r="S5995">
        <v>-2.999603</v>
      </c>
      <c r="T5995">
        <v>-4.4282080000000001E-2</v>
      </c>
      <c r="U5995">
        <v>-0.21614069999999999</v>
      </c>
      <c r="V5995">
        <v>-1.132639E-2</v>
      </c>
      <c r="W5995">
        <v>-4.0980059999999999E-2</v>
      </c>
      <c r="X5995">
        <v>0.99909570000000003</v>
      </c>
      <c r="Y5995">
        <v>-7.0479650000000005E-2</v>
      </c>
      <c r="Z5995">
        <v>-9.9244349999999992E-4</v>
      </c>
      <c r="AA5995">
        <v>0.99751270000000003</v>
      </c>
      <c r="AB5995">
        <v>27</v>
      </c>
      <c r="AC5995">
        <v>-75.759500000000003</v>
      </c>
      <c r="AD5995">
        <v>-1.121026054326</v>
      </c>
      <c r="AE5995">
        <v>-5.4716999999999896</v>
      </c>
      <c r="AF5995">
        <v>-5.3660281794245703</v>
      </c>
      <c r="AG5995">
        <v>-1.121026054326</v>
      </c>
      <c r="AH5995">
        <v>75.750475278065593</v>
      </c>
      <c r="AI5995">
        <v>90.845735385789894</v>
      </c>
      <c r="AJ5995">
        <v>94.051961933564996</v>
      </c>
      <c r="AK5995">
        <v>75.948571169507105</v>
      </c>
      <c r="AL5995">
        <v>92.348642319148198</v>
      </c>
      <c r="AM5995">
        <v>90.649513900598905</v>
      </c>
      <c r="AN5995">
        <v>0.99999993509326002</v>
      </c>
    </row>
    <row r="5996" spans="1:40" x14ac:dyDescent="0.25">
      <c r="A5996" t="str">
        <f>"20190303153927982"</f>
        <v>20190303153927982</v>
      </c>
      <c r="B5996" t="str">
        <f>"1551598767974070"</f>
        <v>1551598767974070</v>
      </c>
      <c r="C5996" t="s">
        <v>40</v>
      </c>
      <c r="D5996">
        <v>4.0493459999999999</v>
      </c>
      <c r="E5996">
        <v>0.47493410000000003</v>
      </c>
      <c r="F5996" t="s">
        <v>42</v>
      </c>
      <c r="G5996">
        <v>-390.61930000000001</v>
      </c>
      <c r="H5996" s="1">
        <v>-4.772696E-6</v>
      </c>
      <c r="I5996">
        <v>135.2972</v>
      </c>
      <c r="J5996">
        <v>-311.11770000000001</v>
      </c>
      <c r="K5996">
        <v>1.1209849999999999</v>
      </c>
      <c r="L5996">
        <v>141.5292</v>
      </c>
      <c r="M5996">
        <v>-0.99991149999999995</v>
      </c>
      <c r="N5996">
        <v>-1.324728E-2</v>
      </c>
      <c r="O5996">
        <v>-1.3609379999999999E-3</v>
      </c>
      <c r="P5996">
        <v>-0.99845919999999999</v>
      </c>
      <c r="Q5996">
        <v>-5.4006779999999997E-2</v>
      </c>
      <c r="R5996">
        <v>-1.276473E-2</v>
      </c>
      <c r="S5996">
        <v>-2.9994510000000001</v>
      </c>
      <c r="T5996">
        <v>-4.2202709999999997E-2</v>
      </c>
      <c r="U5996">
        <v>-0.2346191</v>
      </c>
      <c r="V5996">
        <v>-1.140938E-2</v>
      </c>
      <c r="W5996">
        <v>-4.0773879999999998E-2</v>
      </c>
      <c r="X5996">
        <v>0.99910319999999997</v>
      </c>
      <c r="Y5996">
        <v>-7.6610830000000005E-2</v>
      </c>
      <c r="Z5996">
        <v>-1.0452860000000001E-3</v>
      </c>
      <c r="AA5996">
        <v>0.99706050000000002</v>
      </c>
      <c r="AB5996">
        <v>27</v>
      </c>
      <c r="AC5996">
        <v>-79.501599999999996</v>
      </c>
      <c r="AD5996">
        <v>-1.1209897726960001</v>
      </c>
      <c r="AE5996">
        <v>-6.2319999999999904</v>
      </c>
      <c r="AF5996">
        <v>-6.1225781700999002</v>
      </c>
      <c r="AG5996">
        <v>-1.1209897726960001</v>
      </c>
      <c r="AH5996">
        <v>79.494300246647498</v>
      </c>
      <c r="AI5996">
        <v>90.805518239159198</v>
      </c>
      <c r="AJ5996">
        <v>94.404173744512093</v>
      </c>
      <c r="AK5996">
        <v>79.737609402487195</v>
      </c>
      <c r="AL5996">
        <v>92.336819172388999</v>
      </c>
      <c r="AM5996">
        <v>90.654267654063204</v>
      </c>
      <c r="AN5996">
        <v>0.99999994374623702</v>
      </c>
    </row>
    <row r="5997" spans="1:40" x14ac:dyDescent="0.25">
      <c r="A5997" t="str">
        <f>"20190303153927995"</f>
        <v>20190303153927995</v>
      </c>
      <c r="B5997" t="str">
        <f>"1551598767984806"</f>
        <v>1551598767984806</v>
      </c>
      <c r="C5997" t="s">
        <v>40</v>
      </c>
      <c r="D5997">
        <v>4.0047930000000003</v>
      </c>
      <c r="E5997">
        <v>0.47497810000000001</v>
      </c>
      <c r="F5997" t="s">
        <v>42</v>
      </c>
      <c r="G5997">
        <v>-389.18849999999998</v>
      </c>
      <c r="H5997" s="1">
        <v>-1.4188779999999999E-6</v>
      </c>
      <c r="I5997">
        <v>135.26900000000001</v>
      </c>
      <c r="J5997">
        <v>-311.26760000000002</v>
      </c>
      <c r="K5997">
        <v>1.120943</v>
      </c>
      <c r="L5997">
        <v>141.529</v>
      </c>
      <c r="M5997">
        <v>-0.99991399999999997</v>
      </c>
      <c r="N5997">
        <v>-1.30603E-2</v>
      </c>
      <c r="O5997">
        <v>-1.3450630000000001E-3</v>
      </c>
      <c r="P5997">
        <v>-0.99846659999999998</v>
      </c>
      <c r="Q5997">
        <v>-5.391489E-2</v>
      </c>
      <c r="R5997">
        <v>-1.2579999999999999E-2</v>
      </c>
      <c r="S5997">
        <v>-2.9992369999999999</v>
      </c>
      <c r="T5997">
        <v>-4.3064829999999998E-2</v>
      </c>
      <c r="U5997">
        <v>-0.24049380000000001</v>
      </c>
      <c r="V5997">
        <v>-1.1240689999999999E-2</v>
      </c>
      <c r="W5997">
        <v>-4.0868759999999997E-2</v>
      </c>
      <c r="X5997">
        <v>0.99910129999999997</v>
      </c>
      <c r="Y5997">
        <v>-7.8572089999999997E-2</v>
      </c>
      <c r="Z5997">
        <v>-1.0754E-3</v>
      </c>
      <c r="AA5997">
        <v>0.99690780000000001</v>
      </c>
      <c r="AB5997">
        <v>27</v>
      </c>
      <c r="AC5997">
        <v>-77.920899999999904</v>
      </c>
      <c r="AD5997">
        <v>-1.120944418878</v>
      </c>
      <c r="AE5997">
        <v>-6.25999999999999</v>
      </c>
      <c r="AF5997">
        <v>-6.1539115274199903</v>
      </c>
      <c r="AG5997">
        <v>-1.120944418878</v>
      </c>
      <c r="AH5997">
        <v>77.913229761229005</v>
      </c>
      <c r="AI5997">
        <v>90.821703738439794</v>
      </c>
      <c r="AJ5997">
        <v>94.516083778384399</v>
      </c>
      <c r="AK5997">
        <v>78.163920803037897</v>
      </c>
      <c r="AL5997">
        <v>92.342259780379294</v>
      </c>
      <c r="AM5997">
        <v>90.644596222023296</v>
      </c>
      <c r="AN5997">
        <v>1.00000000815865</v>
      </c>
    </row>
    <row r="5998" spans="1:40" x14ac:dyDescent="0.25">
      <c r="A5998" t="str">
        <f>"20190303153928091"</f>
        <v>20190303153928091</v>
      </c>
      <c r="B5998" t="str">
        <f>"1551598768084359"</f>
        <v>1551598768084359</v>
      </c>
      <c r="C5998" t="s">
        <v>40</v>
      </c>
      <c r="D5998">
        <v>3.9742899999999999</v>
      </c>
      <c r="E5998">
        <v>0.47497810000000001</v>
      </c>
      <c r="F5998" t="s">
        <v>42</v>
      </c>
      <c r="G5998">
        <v>-394.26920000000001</v>
      </c>
      <c r="H5998" s="1">
        <v>-3.278208E-6</v>
      </c>
      <c r="I5998">
        <v>134.89529999999999</v>
      </c>
      <c r="J5998">
        <v>-312.4289</v>
      </c>
      <c r="K5998">
        <v>1.1207370000000001</v>
      </c>
      <c r="L5998">
        <v>141.52760000000001</v>
      </c>
      <c r="M5998">
        <v>-0.99993109999999996</v>
      </c>
      <c r="N5998">
        <v>-1.1680950000000001E-2</v>
      </c>
      <c r="O5998">
        <v>-1.221228E-3</v>
      </c>
      <c r="P5998">
        <v>-0.99842350000000002</v>
      </c>
      <c r="Q5998">
        <v>-5.445974E-2</v>
      </c>
      <c r="R5998">
        <v>-1.359515E-2</v>
      </c>
      <c r="S5998">
        <v>-2.9993590000000001</v>
      </c>
      <c r="T5998">
        <v>-4.0506720000000003E-2</v>
      </c>
      <c r="U5998">
        <v>-0.2397156</v>
      </c>
      <c r="V5998">
        <v>-1.237972E-2</v>
      </c>
      <c r="W5998">
        <v>-4.2792190000000001E-2</v>
      </c>
      <c r="X5998">
        <v>0.99900730000000004</v>
      </c>
      <c r="Y5998">
        <v>-7.8437450000000006E-2</v>
      </c>
      <c r="Z5998">
        <v>-9.8545969999999997E-4</v>
      </c>
      <c r="AA5998">
        <v>0.99691859999999999</v>
      </c>
      <c r="AB5998">
        <v>28</v>
      </c>
      <c r="AC5998">
        <v>-81.840299999999999</v>
      </c>
      <c r="AD5998">
        <v>-1.120740278208</v>
      </c>
      <c r="AE5998">
        <v>-6.6323000000000096</v>
      </c>
      <c r="AF5998">
        <v>-6.5311257712978303</v>
      </c>
      <c r="AG5998">
        <v>-1.120740278208</v>
      </c>
      <c r="AH5998">
        <v>81.833092865087394</v>
      </c>
      <c r="AI5998">
        <v>90.782155123882006</v>
      </c>
      <c r="AJ5998">
        <v>94.563122654061303</v>
      </c>
      <c r="AK5998">
        <v>82.100954625861206</v>
      </c>
      <c r="AL5998">
        <v>92.452560764024696</v>
      </c>
      <c r="AM5998">
        <v>90.709974194767099</v>
      </c>
      <c r="AN5998">
        <v>1.0000000072227799</v>
      </c>
    </row>
    <row r="5999" spans="1:40" x14ac:dyDescent="0.25">
      <c r="A5999" t="str">
        <f>"20190303153928113"</f>
        <v>20190303153928113</v>
      </c>
      <c r="B5999" t="str">
        <f>"1551598768104854"</f>
        <v>1551598768104854</v>
      </c>
      <c r="C5999" t="s">
        <v>40</v>
      </c>
      <c r="D5999">
        <v>4.0923189999999998</v>
      </c>
      <c r="E5999">
        <v>0.51601679999999905</v>
      </c>
      <c r="F5999" t="s">
        <v>42</v>
      </c>
      <c r="G5999">
        <v>-391.66829999999999</v>
      </c>
      <c r="H5999" s="1">
        <v>-4.3558449999999996E-6</v>
      </c>
      <c r="I5999">
        <v>135.11019999999999</v>
      </c>
      <c r="J5999">
        <v>-312.72019999999998</v>
      </c>
      <c r="K5999">
        <v>1.1207180000000001</v>
      </c>
      <c r="L5999">
        <v>141.5273</v>
      </c>
      <c r="M5999">
        <v>-0.9999344</v>
      </c>
      <c r="N5999">
        <v>-1.139415E-2</v>
      </c>
      <c r="O5999">
        <v>-1.191211E-3</v>
      </c>
      <c r="P5999">
        <v>-0.99846040000000003</v>
      </c>
      <c r="Q5999">
        <v>-5.3744130000000001E-2</v>
      </c>
      <c r="R5999">
        <v>-1.374825E-2</v>
      </c>
      <c r="S5999">
        <v>-2.9991150000000002</v>
      </c>
      <c r="T5999">
        <v>-4.241872E-2</v>
      </c>
      <c r="U5999">
        <v>-0.24288940000000001</v>
      </c>
      <c r="V5999">
        <v>-1.25624E-2</v>
      </c>
      <c r="W5999">
        <v>-4.2362709999999998E-2</v>
      </c>
      <c r="X5999">
        <v>0.99902329999999995</v>
      </c>
      <c r="Y5999">
        <v>-7.9520980000000005E-2</v>
      </c>
      <c r="Z5999">
        <v>-1.01198E-3</v>
      </c>
      <c r="AA5999">
        <v>0.99683270000000002</v>
      </c>
      <c r="AB5999">
        <v>28</v>
      </c>
      <c r="AC5999">
        <v>-78.948099999999997</v>
      </c>
      <c r="AD5999">
        <v>-1.1207223558449999</v>
      </c>
      <c r="AE5999">
        <v>-6.4170999999999996</v>
      </c>
      <c r="AF5999">
        <v>-6.3217799108741204</v>
      </c>
      <c r="AG5999">
        <v>-1.1207223558449999</v>
      </c>
      <c r="AH5999">
        <v>78.939885240128206</v>
      </c>
      <c r="AI5999">
        <v>90.810787397355298</v>
      </c>
      <c r="AJ5999">
        <v>94.578673279030696</v>
      </c>
      <c r="AK5999">
        <v>79.200545462547396</v>
      </c>
      <c r="AL5999">
        <v>92.427931095221595</v>
      </c>
      <c r="AM5999">
        <v>90.720438218724397</v>
      </c>
      <c r="AN5999">
        <v>0.999999983517596</v>
      </c>
    </row>
    <row r="6000" spans="1:40" x14ac:dyDescent="0.25">
      <c r="A6000" t="str">
        <f>"20190303153928133"</f>
        <v>20190303153928133</v>
      </c>
      <c r="B6000" t="str">
        <f>"1551598768124374"</f>
        <v>1551598768124374</v>
      </c>
      <c r="C6000" t="s">
        <v>40</v>
      </c>
      <c r="D6000">
        <v>3.823941</v>
      </c>
      <c r="E6000">
        <v>0.51827509999999999</v>
      </c>
      <c r="F6000" t="s">
        <v>46</v>
      </c>
      <c r="G6000">
        <v>0</v>
      </c>
      <c r="H6000">
        <v>0</v>
      </c>
      <c r="I6000">
        <v>0</v>
      </c>
      <c r="J6000">
        <v>-312.97309999999999</v>
      </c>
      <c r="K6000">
        <v>1.1207069999999999</v>
      </c>
      <c r="L6000">
        <v>141.52699999999999</v>
      </c>
      <c r="M6000">
        <v>-0.99993710000000002</v>
      </c>
      <c r="N6000">
        <v>-1.1166189999999999E-2</v>
      </c>
      <c r="O6000">
        <v>-1.1654949999999999E-3</v>
      </c>
      <c r="P6000">
        <v>-0.9984885</v>
      </c>
      <c r="Q6000">
        <v>-5.3090940000000003E-2</v>
      </c>
      <c r="R6000">
        <v>-1.422497E-2</v>
      </c>
      <c r="S6000">
        <v>-3.010132</v>
      </c>
      <c r="T6000">
        <v>8.093119E-2</v>
      </c>
      <c r="U6000">
        <v>8.1436159999999994E-2</v>
      </c>
      <c r="V6000">
        <v>-1.306473E-2</v>
      </c>
      <c r="W6000">
        <v>-4.1936939999999999E-2</v>
      </c>
      <c r="X6000">
        <v>0.9990348</v>
      </c>
      <c r="Y6000">
        <v>2.820245E-2</v>
      </c>
      <c r="Z6000">
        <v>-2.6581750000000001E-4</v>
      </c>
      <c r="AA6000">
        <v>0.9996022</v>
      </c>
      <c r="AB6000">
        <v>28</v>
      </c>
      <c r="AC6000">
        <v>-3.010132</v>
      </c>
      <c r="AD6000">
        <v>8.093119E-2</v>
      </c>
      <c r="AE6000">
        <v>8.1436159999999994E-2</v>
      </c>
      <c r="AF6000">
        <v>8.4883301984686604E-2</v>
      </c>
      <c r="AG6000">
        <v>8.093119E-2</v>
      </c>
      <c r="AH6000">
        <v>3.0078623299035101</v>
      </c>
      <c r="AI6000">
        <v>88.4593533295225</v>
      </c>
      <c r="AJ6000">
        <v>88.383514948229006</v>
      </c>
      <c r="AK6000">
        <v>3.01014797445628</v>
      </c>
      <c r="AL6000">
        <v>92.403514621338502</v>
      </c>
      <c r="AM6000">
        <v>90.749234383033496</v>
      </c>
      <c r="AN6000">
        <v>0.99999996285878701</v>
      </c>
    </row>
    <row r="6001" spans="1:40" x14ac:dyDescent="0.25">
      <c r="A6001" t="str">
        <f>"20190303153928155"</f>
        <v>20190303153928155</v>
      </c>
      <c r="B6001" t="str">
        <f>"1551598768144872"</f>
        <v>1551598768144872</v>
      </c>
      <c r="C6001" t="s">
        <v>40</v>
      </c>
      <c r="D6001">
        <v>3.9542139999999999</v>
      </c>
      <c r="E6001">
        <v>0.51816669999999998</v>
      </c>
      <c r="F6001" t="s">
        <v>46</v>
      </c>
      <c r="G6001">
        <v>0</v>
      </c>
      <c r="H6001">
        <v>0</v>
      </c>
      <c r="I6001">
        <v>0</v>
      </c>
      <c r="J6001">
        <v>-313.24549999999999</v>
      </c>
      <c r="K6001">
        <v>1.120689</v>
      </c>
      <c r="L6001">
        <v>141.52670000000001</v>
      </c>
      <c r="M6001">
        <v>-0.99993949999999998</v>
      </c>
      <c r="N6001">
        <v>-1.094613E-2</v>
      </c>
      <c r="O6001">
        <v>-1.136752E-3</v>
      </c>
      <c r="P6001">
        <v>-0.99855329999999998</v>
      </c>
      <c r="Q6001">
        <v>-5.1729709999999998E-2</v>
      </c>
      <c r="R6001">
        <v>-1.4684010000000001E-2</v>
      </c>
      <c r="S6001">
        <v>-3.0112920000000001</v>
      </c>
      <c r="T6001">
        <v>0.10018009999999999</v>
      </c>
      <c r="U6001">
        <v>9.7671510000000003E-2</v>
      </c>
      <c r="V6001">
        <v>-1.355223E-2</v>
      </c>
      <c r="W6001">
        <v>-4.079489E-2</v>
      </c>
      <c r="X6001">
        <v>0.99907570000000001</v>
      </c>
      <c r="Y6001">
        <v>3.3540710000000001E-2</v>
      </c>
      <c r="Z6001">
        <v>-4.2419289999999998E-4</v>
      </c>
      <c r="AA6001">
        <v>0.99943729999999997</v>
      </c>
      <c r="AB6001">
        <v>28</v>
      </c>
      <c r="AC6001">
        <v>-3.0112920000000001</v>
      </c>
      <c r="AD6001">
        <v>0.10018009999999999</v>
      </c>
      <c r="AE6001">
        <v>9.7671510000000003E-2</v>
      </c>
      <c r="AF6001">
        <v>0.10098309643407199</v>
      </c>
      <c r="AG6001">
        <v>0.10018009999999999</v>
      </c>
      <c r="AH6001">
        <v>3.0078535172543299</v>
      </c>
      <c r="AI6001">
        <v>88.093475195280902</v>
      </c>
      <c r="AJ6001">
        <v>88.077122841528507</v>
      </c>
      <c r="AK6001">
        <v>3.0112151068066599</v>
      </c>
      <c r="AL6001">
        <v>92.338023663481295</v>
      </c>
      <c r="AM6001">
        <v>90.777156287597293</v>
      </c>
      <c r="AN6001">
        <v>1.0000000701592799</v>
      </c>
    </row>
    <row r="6002" spans="1:40" x14ac:dyDescent="0.25">
      <c r="A6002" t="str">
        <f>"20190303153928171"</f>
        <v>20190303153928171</v>
      </c>
      <c r="B6002" t="str">
        <f>"1551598768164826"</f>
        <v>1551598768164826</v>
      </c>
      <c r="C6002" t="s">
        <v>40</v>
      </c>
      <c r="D6002">
        <v>3.9611329999999998</v>
      </c>
      <c r="E6002">
        <v>0.5147526</v>
      </c>
      <c r="F6002" t="s">
        <v>46</v>
      </c>
      <c r="G6002">
        <v>0</v>
      </c>
      <c r="H6002">
        <v>0</v>
      </c>
      <c r="I6002">
        <v>0</v>
      </c>
      <c r="J6002">
        <v>-313.44889999999998</v>
      </c>
      <c r="K6002">
        <v>1.1206849999999999</v>
      </c>
      <c r="L6002">
        <v>141.5265</v>
      </c>
      <c r="M6002">
        <v>-0.99994119999999997</v>
      </c>
      <c r="N6002">
        <v>-1.0796999999999999E-2</v>
      </c>
      <c r="O6002">
        <v>-1.1152079999999999E-3</v>
      </c>
      <c r="P6002">
        <v>-0.99856049999999996</v>
      </c>
      <c r="Q6002">
        <v>-5.1636479999999998E-2</v>
      </c>
      <c r="R6002">
        <v>-1.4523060000000001E-2</v>
      </c>
      <c r="S6002">
        <v>-3.011841</v>
      </c>
      <c r="T6002">
        <v>0.11722059999999999</v>
      </c>
      <c r="U6002">
        <v>9.5108029999999996E-2</v>
      </c>
      <c r="V6002">
        <v>-1.3413090000000001E-2</v>
      </c>
      <c r="W6002">
        <v>-4.0850610000000002E-2</v>
      </c>
      <c r="X6002">
        <v>0.99907520000000005</v>
      </c>
      <c r="Y6002">
        <v>3.2657789999999999E-2</v>
      </c>
      <c r="Z6002">
        <v>-5.1413000000000001E-4</v>
      </c>
      <c r="AA6002">
        <v>0.99946650000000004</v>
      </c>
      <c r="AB6002">
        <v>28</v>
      </c>
      <c r="AC6002">
        <v>-3.011841</v>
      </c>
      <c r="AD6002">
        <v>0.11722059999999999</v>
      </c>
      <c r="AE6002">
        <v>9.5108029999999996E-2</v>
      </c>
      <c r="AF6002">
        <v>9.8318215320359004E-2</v>
      </c>
      <c r="AG6002">
        <v>0.11722059999999999</v>
      </c>
      <c r="AH6002">
        <v>3.0071824338866402</v>
      </c>
      <c r="AI6002">
        <v>87.768919598823402</v>
      </c>
      <c r="AJ6002">
        <v>88.127412277451299</v>
      </c>
      <c r="AK6002">
        <v>3.0110717911077001</v>
      </c>
      <c r="AL6002">
        <v>92.341219083877704</v>
      </c>
      <c r="AM6002">
        <v>90.769178615239198</v>
      </c>
      <c r="AN6002">
        <v>0.99999996928787904</v>
      </c>
    </row>
    <row r="6003" spans="1:40" x14ac:dyDescent="0.25">
      <c r="A6003" t="str">
        <f>"20190303153928184"</f>
        <v>20190303153928184</v>
      </c>
      <c r="B6003" t="str">
        <f>"1551598768174586"</f>
        <v>1551598768174586</v>
      </c>
      <c r="C6003" t="s">
        <v>40</v>
      </c>
      <c r="D6003">
        <v>3.9410720000000001</v>
      </c>
      <c r="E6003">
        <v>0.51374200000000003</v>
      </c>
      <c r="F6003" t="s">
        <v>46</v>
      </c>
      <c r="G6003">
        <v>0</v>
      </c>
      <c r="H6003">
        <v>0</v>
      </c>
      <c r="I6003">
        <v>0</v>
      </c>
      <c r="J6003">
        <v>-313.61320000000001</v>
      </c>
      <c r="K6003">
        <v>1.1206830000000001</v>
      </c>
      <c r="L6003">
        <v>141.5264</v>
      </c>
      <c r="M6003">
        <v>-0.99994240000000001</v>
      </c>
      <c r="N6003">
        <v>-1.0687810000000001E-2</v>
      </c>
      <c r="O6003">
        <v>-1.097939E-3</v>
      </c>
      <c r="P6003">
        <v>-0.99857850000000004</v>
      </c>
      <c r="Q6003">
        <v>-5.1334350000000001E-2</v>
      </c>
      <c r="R6003">
        <v>-1.435549E-2</v>
      </c>
      <c r="S6003">
        <v>-3.0104980000000001</v>
      </c>
      <c r="T6003">
        <v>0.10070610000000001</v>
      </c>
      <c r="U6003">
        <v>6.8832400000000002E-2</v>
      </c>
      <c r="V6003">
        <v>-1.326218E-2</v>
      </c>
      <c r="W6003">
        <v>-4.065742E-2</v>
      </c>
      <c r="X6003">
        <v>0.99908509999999995</v>
      </c>
      <c r="Y6003">
        <v>2.394568E-2</v>
      </c>
      <c r="Z6003">
        <v>-3.2078070000000002E-4</v>
      </c>
      <c r="AA6003">
        <v>0.99971319999999997</v>
      </c>
      <c r="AB6003">
        <v>28</v>
      </c>
      <c r="AC6003">
        <v>-3.0104980000000001</v>
      </c>
      <c r="AD6003">
        <v>0.10070610000000001</v>
      </c>
      <c r="AE6003">
        <v>6.8832400000000002E-2</v>
      </c>
      <c r="AF6003">
        <v>7.2057299201918404E-2</v>
      </c>
      <c r="AG6003">
        <v>0.10070610000000001</v>
      </c>
      <c r="AH6003">
        <v>3.00705743101671</v>
      </c>
      <c r="AI6003">
        <v>88.082436114115893</v>
      </c>
      <c r="AJ6003">
        <v>88.627299522140007</v>
      </c>
      <c r="AK6003">
        <v>3.0096060151419</v>
      </c>
      <c r="AL6003">
        <v>92.330140896947796</v>
      </c>
      <c r="AM6003">
        <v>90.760518112414303</v>
      </c>
      <c r="AN6003">
        <v>0.99999997413070896</v>
      </c>
    </row>
    <row r="6004" spans="1:40" x14ac:dyDescent="0.25">
      <c r="A6004" t="str">
        <f>"20190303153928200"</f>
        <v>20190303153928200</v>
      </c>
      <c r="B6004" t="str">
        <f>"1551598768194105"</f>
        <v>1551598768194105</v>
      </c>
      <c r="C6004" t="s">
        <v>40</v>
      </c>
      <c r="D6004">
        <v>3.9319250000000001</v>
      </c>
      <c r="E6004">
        <v>0.51222639999999997</v>
      </c>
      <c r="F6004" t="s">
        <v>46</v>
      </c>
      <c r="G6004">
        <v>0</v>
      </c>
      <c r="H6004">
        <v>0</v>
      </c>
      <c r="I6004">
        <v>0</v>
      </c>
      <c r="J6004">
        <v>-313.8125</v>
      </c>
      <c r="K6004">
        <v>1.120682</v>
      </c>
      <c r="L6004">
        <v>141.52619999999999</v>
      </c>
      <c r="M6004">
        <v>-0.99994380000000005</v>
      </c>
      <c r="N6004">
        <v>-1.0565929999999999E-2</v>
      </c>
      <c r="O6004">
        <v>-1.0769130000000001E-3</v>
      </c>
      <c r="P6004">
        <v>-0.99860879999999996</v>
      </c>
      <c r="Q6004">
        <v>-5.0866790000000002E-2</v>
      </c>
      <c r="R6004">
        <v>-1.39086E-2</v>
      </c>
      <c r="S6004">
        <v>-3.0102540000000002</v>
      </c>
      <c r="T6004">
        <v>9.8929409999999995E-2</v>
      </c>
      <c r="U6004">
        <v>6.1355590000000002E-2</v>
      </c>
      <c r="V6004">
        <v>-1.283693E-2</v>
      </c>
      <c r="W6004">
        <v>-4.0311369999999999E-2</v>
      </c>
      <c r="X6004">
        <v>0.99910469999999896</v>
      </c>
      <c r="Y6004">
        <v>2.1445840000000001E-2</v>
      </c>
      <c r="Z6004">
        <v>-2.8568689999999998E-4</v>
      </c>
      <c r="AA6004">
        <v>0.99977000000000005</v>
      </c>
      <c r="AB6004">
        <v>28</v>
      </c>
      <c r="AC6004">
        <v>-3.0102540000000002</v>
      </c>
      <c r="AD6004">
        <v>9.8929409999999995E-2</v>
      </c>
      <c r="AE6004">
        <v>6.1355590000000002E-2</v>
      </c>
      <c r="AF6004">
        <v>6.45278519252485E-2</v>
      </c>
      <c r="AG6004">
        <v>9.8929409999999995E-2</v>
      </c>
      <c r="AH6004">
        <v>3.0069398739739102</v>
      </c>
      <c r="AI6004">
        <v>88.116061256068605</v>
      </c>
      <c r="AJ6004">
        <v>88.770641797997797</v>
      </c>
      <c r="AK6004">
        <v>3.0092587588194002</v>
      </c>
      <c r="AL6004">
        <v>92.310297369688897</v>
      </c>
      <c r="AM6004">
        <v>90.736120490822003</v>
      </c>
      <c r="AN6004">
        <v>0.99999999744259505</v>
      </c>
    </row>
    <row r="6005" spans="1:40" x14ac:dyDescent="0.25">
      <c r="A6005" t="str">
        <f>"20190303153928216"</f>
        <v>20190303153928216</v>
      </c>
      <c r="B6005" t="str">
        <f>"1551598768204841"</f>
        <v>1551598768204841</v>
      </c>
      <c r="C6005" t="s">
        <v>40</v>
      </c>
      <c r="D6005">
        <v>3.932156</v>
      </c>
      <c r="E6005">
        <v>0.51156829999999998</v>
      </c>
      <c r="F6005" t="s">
        <v>46</v>
      </c>
      <c r="G6005">
        <v>0</v>
      </c>
      <c r="H6005">
        <v>0</v>
      </c>
      <c r="I6005">
        <v>0</v>
      </c>
      <c r="J6005">
        <v>-314.00130000000001</v>
      </c>
      <c r="K6005">
        <v>1.120681</v>
      </c>
      <c r="L6005">
        <v>141.52600000000001</v>
      </c>
      <c r="M6005">
        <v>-0.99994470000000002</v>
      </c>
      <c r="N6005">
        <v>-1.045984E-2</v>
      </c>
      <c r="O6005">
        <v>-1.0568089999999999E-3</v>
      </c>
      <c r="P6005">
        <v>-0.99862669999999998</v>
      </c>
      <c r="Q6005">
        <v>-5.0615599999999997E-2</v>
      </c>
      <c r="R6005">
        <v>-1.3525789999999999E-2</v>
      </c>
      <c r="S6005">
        <v>-3.0098569999999998</v>
      </c>
      <c r="T6005">
        <v>9.763384E-2</v>
      </c>
      <c r="U6005">
        <v>5.0506589999999997E-2</v>
      </c>
      <c r="V6005">
        <v>-1.2473980000000001E-2</v>
      </c>
      <c r="W6005">
        <v>-4.0166060000000003E-2</v>
      </c>
      <c r="X6005">
        <v>0.99911519999999998</v>
      </c>
      <c r="Y6005">
        <v>1.782742E-2</v>
      </c>
      <c r="Z6005">
        <v>-2.4110430000000001E-4</v>
      </c>
      <c r="AA6005">
        <v>0.99984099999999998</v>
      </c>
      <c r="AB6005">
        <v>28</v>
      </c>
      <c r="AC6005">
        <v>-3.0098569999999998</v>
      </c>
      <c r="AD6005">
        <v>9.763384E-2</v>
      </c>
      <c r="AE6005">
        <v>5.0506589999999997E-2</v>
      </c>
      <c r="AF6005">
        <v>5.3631163675595901E-2</v>
      </c>
      <c r="AG6005">
        <v>9.763384E-2</v>
      </c>
      <c r="AH6005">
        <v>3.0066391670672399</v>
      </c>
      <c r="AI6005">
        <v>88.140397683950695</v>
      </c>
      <c r="AJ6005">
        <v>88.978090380681607</v>
      </c>
      <c r="AK6005">
        <v>3.0087020040830099</v>
      </c>
      <c r="AL6005">
        <v>92.301964855706899</v>
      </c>
      <c r="AM6005">
        <v>90.715302175401504</v>
      </c>
      <c r="AN6005">
        <v>1.0000000477119999</v>
      </c>
    </row>
    <row r="6006" spans="1:40" x14ac:dyDescent="0.25">
      <c r="A6006" t="str">
        <f>"20190303153928234"</f>
        <v>20190303153928234</v>
      </c>
      <c r="B6006" t="str">
        <f>"1551598768224361"</f>
        <v>1551598768224361</v>
      </c>
      <c r="C6006" t="s">
        <v>40</v>
      </c>
      <c r="D6006">
        <v>3.950196</v>
      </c>
      <c r="E6006">
        <v>0.51028999999999902</v>
      </c>
      <c r="F6006" t="s">
        <v>46</v>
      </c>
      <c r="G6006">
        <v>0</v>
      </c>
      <c r="H6006">
        <v>0</v>
      </c>
      <c r="I6006">
        <v>0</v>
      </c>
      <c r="J6006">
        <v>-314.22669999999999</v>
      </c>
      <c r="K6006">
        <v>1.1206750000000001</v>
      </c>
      <c r="L6006">
        <v>141.5258</v>
      </c>
      <c r="M6006">
        <v>-0.99994590000000005</v>
      </c>
      <c r="N6006">
        <v>-1.034526E-2</v>
      </c>
      <c r="O6006">
        <v>-1.0330910000000001E-3</v>
      </c>
      <c r="P6006">
        <v>-0.99863279999999999</v>
      </c>
      <c r="Q6006">
        <v>-5.0498840000000003E-2</v>
      </c>
      <c r="R6006">
        <v>-1.351844E-2</v>
      </c>
      <c r="S6006">
        <v>-3.0097960000000001</v>
      </c>
      <c r="T6006">
        <v>9.950328E-2</v>
      </c>
      <c r="U6006">
        <v>4.6264649999999997E-2</v>
      </c>
      <c r="V6006">
        <v>-1.249018E-2</v>
      </c>
      <c r="W6006">
        <v>-4.0163730000000002E-2</v>
      </c>
      <c r="X6006">
        <v>0.99911499999999998</v>
      </c>
      <c r="Y6006">
        <v>1.6395429999999999E-2</v>
      </c>
      <c r="Z6006">
        <v>-2.3092020000000001E-4</v>
      </c>
      <c r="AA6006">
        <v>0.99986549999999996</v>
      </c>
      <c r="AB6006">
        <v>28</v>
      </c>
      <c r="AC6006">
        <v>-3.0097960000000001</v>
      </c>
      <c r="AD6006">
        <v>9.950328E-2</v>
      </c>
      <c r="AE6006">
        <v>4.6264649999999997E-2</v>
      </c>
      <c r="AF6006">
        <v>4.93202931081222E-2</v>
      </c>
      <c r="AG6006">
        <v>9.950328E-2</v>
      </c>
      <c r="AH6006">
        <v>3.00646145682845</v>
      </c>
      <c r="AI6006">
        <v>88.104658357161696</v>
      </c>
      <c r="AJ6006">
        <v>89.060160515171802</v>
      </c>
      <c r="AK6006">
        <v>3.0085119054838501</v>
      </c>
      <c r="AL6006">
        <v>92.3018314587692</v>
      </c>
      <c r="AM6006">
        <v>90.716231187402698</v>
      </c>
      <c r="AN6006">
        <v>0.99999995651447104</v>
      </c>
    </row>
    <row r="6007" spans="1:40" x14ac:dyDescent="0.25">
      <c r="A6007" t="str">
        <f>"20190303153928249"</f>
        <v>20190303153928249</v>
      </c>
      <c r="B6007" t="str">
        <f>"1551598768244858"</f>
        <v>1551598768244858</v>
      </c>
      <c r="C6007" t="s">
        <v>40</v>
      </c>
      <c r="D6007">
        <v>3.9727700000000001</v>
      </c>
      <c r="E6007">
        <v>0.50940829999999904</v>
      </c>
      <c r="F6007" t="s">
        <v>46</v>
      </c>
      <c r="G6007">
        <v>0</v>
      </c>
      <c r="H6007">
        <v>0</v>
      </c>
      <c r="I6007">
        <v>0</v>
      </c>
      <c r="J6007">
        <v>-314.41800000000001</v>
      </c>
      <c r="K6007">
        <v>1.1206659999999999</v>
      </c>
      <c r="L6007">
        <v>141.5256</v>
      </c>
      <c r="M6007">
        <v>-0.99994700000000003</v>
      </c>
      <c r="N6007">
        <v>-1.0256940000000001E-2</v>
      </c>
      <c r="O6007">
        <v>-1.0132089999999999E-3</v>
      </c>
      <c r="P6007">
        <v>-0.99861230000000001</v>
      </c>
      <c r="Q6007">
        <v>-5.0933619999999999E-2</v>
      </c>
      <c r="R6007">
        <v>-1.339621E-2</v>
      </c>
      <c r="S6007">
        <v>-3.0095830000000001</v>
      </c>
      <c r="T6007">
        <v>9.8833799999999999E-2</v>
      </c>
      <c r="U6007">
        <v>3.6087040000000001E-2</v>
      </c>
      <c r="V6007">
        <v>-1.238796E-2</v>
      </c>
      <c r="W6007">
        <v>-4.0686960000000001E-2</v>
      </c>
      <c r="X6007">
        <v>0.99909510000000001</v>
      </c>
      <c r="Y6007">
        <v>1.299728E-2</v>
      </c>
      <c r="Z6007">
        <v>-1.903276E-4</v>
      </c>
      <c r="AA6007">
        <v>0.99991549999999996</v>
      </c>
      <c r="AB6007">
        <v>28</v>
      </c>
      <c r="AC6007">
        <v>-3.0095830000000001</v>
      </c>
      <c r="AD6007">
        <v>9.8833799999999999E-2</v>
      </c>
      <c r="AE6007">
        <v>3.6087040000000001E-2</v>
      </c>
      <c r="AF6007">
        <v>3.9094363022504401E-2</v>
      </c>
      <c r="AG6007">
        <v>9.8833799999999999E-2</v>
      </c>
      <c r="AH6007">
        <v>3.0063032202911502</v>
      </c>
      <c r="AI6007">
        <v>88.117208349711802</v>
      </c>
      <c r="AJ6007">
        <v>89.254960132426604</v>
      </c>
      <c r="AK6007">
        <v>3.0081814342847601</v>
      </c>
      <c r="AL6007">
        <v>92.331834861633098</v>
      </c>
      <c r="AM6007">
        <v>90.710384281199396</v>
      </c>
      <c r="AN6007">
        <v>0.99999995455550506</v>
      </c>
    </row>
    <row r="6008" spans="1:40" x14ac:dyDescent="0.25">
      <c r="A6008" t="str">
        <f>"20190303153928267"</f>
        <v>20190303153928267</v>
      </c>
      <c r="B6008" t="str">
        <f>"1551598768254617"</f>
        <v>1551598768254617</v>
      </c>
      <c r="C6008" t="s">
        <v>40</v>
      </c>
      <c r="D6008">
        <v>3.9603329999999999</v>
      </c>
      <c r="E6008">
        <v>0.50910979999999995</v>
      </c>
      <c r="F6008" t="s">
        <v>46</v>
      </c>
      <c r="G6008">
        <v>0</v>
      </c>
      <c r="H6008">
        <v>0</v>
      </c>
      <c r="I6008">
        <v>0</v>
      </c>
      <c r="J6008">
        <v>-314.6422</v>
      </c>
      <c r="K6008">
        <v>1.1206590000000001</v>
      </c>
      <c r="L6008">
        <v>141.52539999999999</v>
      </c>
      <c r="M6008">
        <v>-0.99994799999999995</v>
      </c>
      <c r="N6008">
        <v>-1.0165530000000001E-2</v>
      </c>
      <c r="O6008">
        <v>-9.8973859999999998E-4</v>
      </c>
      <c r="P6008">
        <v>-0.9985948</v>
      </c>
      <c r="Q6008">
        <v>-5.1210249999999999E-2</v>
      </c>
      <c r="R6008">
        <v>-1.364285E-2</v>
      </c>
      <c r="S6008">
        <v>-3.00943</v>
      </c>
      <c r="T6008">
        <v>9.6243620000000002E-2</v>
      </c>
      <c r="U6008">
        <v>2.9510499999999999E-2</v>
      </c>
      <c r="V6008">
        <v>-1.265837E-2</v>
      </c>
      <c r="W6008">
        <v>-4.1055040000000001E-2</v>
      </c>
      <c r="X6008">
        <v>0.99907670000000004</v>
      </c>
      <c r="Y6008">
        <v>1.0790630000000001E-2</v>
      </c>
      <c r="Z6008">
        <v>-1.593407E-4</v>
      </c>
      <c r="AA6008">
        <v>0.99994179999999999</v>
      </c>
      <c r="AB6008">
        <v>28</v>
      </c>
      <c r="AC6008">
        <v>-3.00943</v>
      </c>
      <c r="AD6008">
        <v>9.6243620000000002E-2</v>
      </c>
      <c r="AE6008">
        <v>2.9510499999999999E-2</v>
      </c>
      <c r="AF6008">
        <v>3.2455996381937899E-2</v>
      </c>
      <c r="AG6008">
        <v>9.6243620000000002E-2</v>
      </c>
      <c r="AH6008">
        <v>3.0063248516541798</v>
      </c>
      <c r="AI6008">
        <v>88.166482393489801</v>
      </c>
      <c r="AJ6008">
        <v>89.381464258426206</v>
      </c>
      <c r="AK6008">
        <v>3.0080401160498802</v>
      </c>
      <c r="AL6008">
        <v>92.352941818970294</v>
      </c>
      <c r="AM6008">
        <v>90.725902596707201</v>
      </c>
      <c r="AN6008">
        <v>1.0000000015616699</v>
      </c>
    </row>
    <row r="6009" spans="1:40" x14ac:dyDescent="0.25">
      <c r="A6009" t="str">
        <f>"20190303153928282"</f>
        <v>20190303153928282</v>
      </c>
      <c r="B6009" t="str">
        <f>"1551598768274138"</f>
        <v>1551598768274138</v>
      </c>
      <c r="C6009" t="s">
        <v>40</v>
      </c>
      <c r="D6009">
        <v>3.9546510000000001</v>
      </c>
      <c r="E6009">
        <v>0.50852810000000004</v>
      </c>
      <c r="F6009" t="s">
        <v>46</v>
      </c>
      <c r="G6009">
        <v>0</v>
      </c>
      <c r="H6009">
        <v>0</v>
      </c>
      <c r="I6009">
        <v>0</v>
      </c>
      <c r="J6009">
        <v>-314.84030000000001</v>
      </c>
      <c r="K6009">
        <v>1.1206590000000001</v>
      </c>
      <c r="L6009">
        <v>141.52520000000001</v>
      </c>
      <c r="M6009">
        <v>-0.99994859999999997</v>
      </c>
      <c r="N6009">
        <v>-1.009646E-2</v>
      </c>
      <c r="O6009">
        <v>-9.6876869999999997E-4</v>
      </c>
      <c r="P6009">
        <v>-0.99859989999999998</v>
      </c>
      <c r="Q6009">
        <v>-5.1070400000000002E-2</v>
      </c>
      <c r="R6009">
        <v>-1.3793140000000001E-2</v>
      </c>
      <c r="S6009">
        <v>-3.0094599999999998</v>
      </c>
      <c r="T6009">
        <v>9.4928029999999997E-2</v>
      </c>
      <c r="U6009">
        <v>2.6367189999999999E-2</v>
      </c>
      <c r="V6009">
        <v>-1.2829429999999999E-2</v>
      </c>
      <c r="W6009">
        <v>-4.0984140000000002E-2</v>
      </c>
      <c r="X6009">
        <v>0.9990774</v>
      </c>
      <c r="Y6009">
        <v>9.7257479999999993E-3</v>
      </c>
      <c r="Z6009">
        <v>-1.445691E-4</v>
      </c>
      <c r="AA6009">
        <v>0.99995270000000003</v>
      </c>
      <c r="AB6009">
        <v>28</v>
      </c>
      <c r="AC6009">
        <v>-3.0094599999999998</v>
      </c>
      <c r="AD6009">
        <v>9.4928029999999997E-2</v>
      </c>
      <c r="AE6009">
        <v>2.6367189999999999E-2</v>
      </c>
      <c r="AF6009">
        <v>2.9253692339504801E-2</v>
      </c>
      <c r="AG6009">
        <v>9.4928029999999997E-2</v>
      </c>
      <c r="AH6009">
        <v>3.0064419403104998</v>
      </c>
      <c r="AI6009">
        <v>88.191579296556895</v>
      </c>
      <c r="AJ6009">
        <v>89.442510367841606</v>
      </c>
      <c r="AK6009">
        <v>3.00808248720895</v>
      </c>
      <c r="AL6009">
        <v>92.348876194357004</v>
      </c>
      <c r="AM6009">
        <v>90.735710559040101</v>
      </c>
      <c r="AN6009">
        <v>0.99999997259821105</v>
      </c>
    </row>
    <row r="6010" spans="1:40" x14ac:dyDescent="0.25">
      <c r="A6010" t="str">
        <f>"20190303153928302"</f>
        <v>20190303153928302</v>
      </c>
      <c r="B6010" t="str">
        <f>"1551598768294634"</f>
        <v>1551598768294634</v>
      </c>
      <c r="C6010" t="s">
        <v>40</v>
      </c>
      <c r="D6010">
        <v>3.9892059999999998</v>
      </c>
      <c r="E6010">
        <v>0.50803549999999997</v>
      </c>
      <c r="F6010" t="s">
        <v>46</v>
      </c>
      <c r="G6010">
        <v>0</v>
      </c>
      <c r="H6010">
        <v>0</v>
      </c>
      <c r="I6010">
        <v>0</v>
      </c>
      <c r="J6010">
        <v>-315.08159999999998</v>
      </c>
      <c r="K6010">
        <v>1.120657</v>
      </c>
      <c r="L6010">
        <v>141.52500000000001</v>
      </c>
      <c r="M6010">
        <v>-0.99994930000000004</v>
      </c>
      <c r="N6010">
        <v>-1.002399E-2</v>
      </c>
      <c r="O6010">
        <v>-9.4349259999999997E-4</v>
      </c>
      <c r="P6010">
        <v>-0.99859379999999998</v>
      </c>
      <c r="Q6010">
        <v>-5.104061E-2</v>
      </c>
      <c r="R6010">
        <v>-1.432251E-2</v>
      </c>
      <c r="S6010">
        <v>-3.009369</v>
      </c>
      <c r="T6010">
        <v>9.489715E-2</v>
      </c>
      <c r="U6010">
        <v>2.1347049999999999E-2</v>
      </c>
      <c r="V6010">
        <v>-1.3384409999999999E-2</v>
      </c>
      <c r="W6010">
        <v>-4.1026760000000002E-2</v>
      </c>
      <c r="X6010">
        <v>0.99906839999999997</v>
      </c>
      <c r="Y6010">
        <v>8.0333260000000004E-3</v>
      </c>
      <c r="Z6010">
        <v>-1.2555549999999999E-4</v>
      </c>
      <c r="AA6010">
        <v>0.99996779999999996</v>
      </c>
      <c r="AB6010">
        <v>28</v>
      </c>
      <c r="AC6010">
        <v>-3.009369</v>
      </c>
      <c r="AD6010">
        <v>9.489715E-2</v>
      </c>
      <c r="AE6010">
        <v>2.1347049999999999E-2</v>
      </c>
      <c r="AF6010">
        <v>2.4162474933727199E-2</v>
      </c>
      <c r="AG6010">
        <v>9.489715E-2</v>
      </c>
      <c r="AH6010">
        <v>3.00635818544565</v>
      </c>
      <c r="AI6010">
        <v>88.192089678020906</v>
      </c>
      <c r="AJ6010">
        <v>89.539516603386801</v>
      </c>
      <c r="AK6010">
        <v>3.0079525982749602</v>
      </c>
      <c r="AL6010">
        <v>92.351320125386394</v>
      </c>
      <c r="AM6010">
        <v>90.767539370451502</v>
      </c>
      <c r="AN6010">
        <v>1.0000000026728499</v>
      </c>
    </row>
    <row r="6011" spans="1:40" x14ac:dyDescent="0.25">
      <c r="A6011" t="str">
        <f>"20190303153928324"</f>
        <v>20190303153928324</v>
      </c>
      <c r="B6011" t="str">
        <f>"1551598768314154"</f>
        <v>1551598768314154</v>
      </c>
      <c r="C6011" t="s">
        <v>40</v>
      </c>
      <c r="D6011">
        <v>4.0211980000000001</v>
      </c>
      <c r="E6011">
        <v>0.50746959999999997</v>
      </c>
      <c r="F6011" t="s">
        <v>46</v>
      </c>
      <c r="G6011">
        <v>0</v>
      </c>
      <c r="H6011">
        <v>0</v>
      </c>
      <c r="I6011">
        <v>0</v>
      </c>
      <c r="J6011">
        <v>-315.36579999999998</v>
      </c>
      <c r="K6011">
        <v>1.1206529999999999</v>
      </c>
      <c r="L6011">
        <v>141.5248</v>
      </c>
      <c r="M6011">
        <v>-0.99995020000000001</v>
      </c>
      <c r="N6011">
        <v>-9.95243E-3</v>
      </c>
      <c r="O6011">
        <v>-9.1345670000000001E-4</v>
      </c>
      <c r="P6011">
        <v>-0.99860159999999998</v>
      </c>
      <c r="Q6011">
        <v>-5.0807369999999998E-2</v>
      </c>
      <c r="R6011">
        <v>-1.462506E-2</v>
      </c>
      <c r="S6011">
        <v>-3.0093079999999999</v>
      </c>
      <c r="T6011">
        <v>9.4199779999999997E-2</v>
      </c>
      <c r="U6011">
        <v>1.5914919999999999E-2</v>
      </c>
      <c r="V6011">
        <v>-1.3716549999999999E-2</v>
      </c>
      <c r="W6011">
        <v>-4.0864919999999999E-2</v>
      </c>
      <c r="X6011">
        <v>0.99907049999999997</v>
      </c>
      <c r="Y6011">
        <v>6.1991279999999999E-3</v>
      </c>
      <c r="Z6011">
        <v>-1.0382119999999999E-4</v>
      </c>
      <c r="AA6011">
        <v>0.9999808</v>
      </c>
      <c r="AB6011">
        <v>28</v>
      </c>
      <c r="AC6011">
        <v>-3.0093079999999999</v>
      </c>
      <c r="AD6011">
        <v>9.4199779999999997E-2</v>
      </c>
      <c r="AE6011">
        <v>1.5914919999999999E-2</v>
      </c>
      <c r="AF6011">
        <v>1.8645651946864201E-2</v>
      </c>
      <c r="AG6011">
        <v>9.4199779999999997E-2</v>
      </c>
      <c r="AH6011">
        <v>3.0063464730695402</v>
      </c>
      <c r="AI6011">
        <v>88.205336318341097</v>
      </c>
      <c r="AJ6011">
        <v>89.644650583441802</v>
      </c>
      <c r="AK6011">
        <v>3.0078797141884199</v>
      </c>
      <c r="AL6011">
        <v>92.342039659037496</v>
      </c>
      <c r="AM6011">
        <v>90.786582179030106</v>
      </c>
      <c r="AN6011">
        <v>0.99999997470037905</v>
      </c>
    </row>
    <row r="6012" spans="1:40" x14ac:dyDescent="0.25">
      <c r="A6012" t="str">
        <f>"20190303153928346"</f>
        <v>20190303153928346</v>
      </c>
      <c r="B6012" t="str">
        <f>"1551598768334650"</f>
        <v>1551598768334650</v>
      </c>
      <c r="C6012" t="s">
        <v>40</v>
      </c>
      <c r="D6012">
        <v>4.0154560000000004</v>
      </c>
      <c r="E6012">
        <v>0.50701600000000002</v>
      </c>
      <c r="F6012" t="s">
        <v>46</v>
      </c>
      <c r="G6012">
        <v>0</v>
      </c>
      <c r="H6012">
        <v>0</v>
      </c>
      <c r="I6012">
        <v>0</v>
      </c>
      <c r="J6012">
        <v>-315.63510000000002</v>
      </c>
      <c r="K6012">
        <v>1.1206590000000001</v>
      </c>
      <c r="L6012">
        <v>141.52459999999999</v>
      </c>
      <c r="M6012">
        <v>-0.99995080000000003</v>
      </c>
      <c r="N6012">
        <v>-9.8949880000000004E-3</v>
      </c>
      <c r="O6012">
        <v>-8.8516059999999995E-4</v>
      </c>
      <c r="P6012">
        <v>-0.99857899999999999</v>
      </c>
      <c r="Q6012">
        <v>-5.1221879999999997E-2</v>
      </c>
      <c r="R6012">
        <v>-1.4711749999999999E-2</v>
      </c>
      <c r="S6012">
        <v>-3.009064</v>
      </c>
      <c r="T6012">
        <v>9.1988920000000002E-2</v>
      </c>
      <c r="U6012">
        <v>1.062012E-2</v>
      </c>
      <c r="V6012">
        <v>-1.383204E-2</v>
      </c>
      <c r="W6012">
        <v>-4.1337020000000002E-2</v>
      </c>
      <c r="X6012">
        <v>0.99904950000000003</v>
      </c>
      <c r="Y6012">
        <v>4.4124330000000003E-3</v>
      </c>
      <c r="Z6012" s="1">
        <v>-8.1404530000000005E-5</v>
      </c>
      <c r="AA6012">
        <v>0.9999903</v>
      </c>
      <c r="AB6012">
        <v>28</v>
      </c>
      <c r="AC6012">
        <v>-3.009064</v>
      </c>
      <c r="AD6012">
        <v>9.1988920000000002E-2</v>
      </c>
      <c r="AE6012">
        <v>1.062012E-2</v>
      </c>
      <c r="AF6012">
        <v>1.32713479969964E-2</v>
      </c>
      <c r="AG6012">
        <v>9.1988920000000002E-2</v>
      </c>
      <c r="AH6012">
        <v>3.0062439332870201</v>
      </c>
      <c r="AI6012">
        <v>88.247353962874001</v>
      </c>
      <c r="AJ6012">
        <v>89.747064008796997</v>
      </c>
      <c r="AK6012">
        <v>3.00768028162992</v>
      </c>
      <c r="AL6012">
        <v>92.369111839655602</v>
      </c>
      <c r="AM6012">
        <v>90.793220837174204</v>
      </c>
      <c r="AN6012">
        <v>0.999999989001645</v>
      </c>
    </row>
    <row r="6013" spans="1:40" x14ac:dyDescent="0.25">
      <c r="A6013" t="str">
        <f>"20190303153928367"</f>
        <v>20190303153928367</v>
      </c>
      <c r="B6013" t="str">
        <f>"1551598768364906"</f>
        <v>1551598768364906</v>
      </c>
      <c r="C6013" t="s">
        <v>40</v>
      </c>
      <c r="D6013">
        <v>4.0441659999999997</v>
      </c>
      <c r="E6013">
        <v>0.5062084</v>
      </c>
      <c r="F6013" t="s">
        <v>46</v>
      </c>
      <c r="G6013">
        <v>0</v>
      </c>
      <c r="H6013">
        <v>0</v>
      </c>
      <c r="I6013">
        <v>0</v>
      </c>
      <c r="J6013">
        <v>-315.91050000000001</v>
      </c>
      <c r="K6013">
        <v>1.120654</v>
      </c>
      <c r="L6013">
        <v>141.52440000000001</v>
      </c>
      <c r="M6013">
        <v>-0.99995120000000004</v>
      </c>
      <c r="N6013">
        <v>-9.8451119999999996E-3</v>
      </c>
      <c r="O6013">
        <v>-8.5606810000000001E-4</v>
      </c>
      <c r="P6013">
        <v>-0.99857309999999999</v>
      </c>
      <c r="Q6013">
        <v>-5.1474100000000002E-2</v>
      </c>
      <c r="R6013">
        <v>-1.423527E-2</v>
      </c>
      <c r="S6013">
        <v>-3.0088810000000001</v>
      </c>
      <c r="T6013">
        <v>8.8100079999999997E-2</v>
      </c>
      <c r="U6013">
        <v>6.8664549999999996E-3</v>
      </c>
      <c r="V6013">
        <v>-1.338407E-2</v>
      </c>
      <c r="W6013">
        <v>-4.1639160000000001E-2</v>
      </c>
      <c r="X6013">
        <v>0.99904300000000001</v>
      </c>
      <c r="Y6013">
        <v>3.136617E-3</v>
      </c>
      <c r="Z6013" s="1">
        <v>-6.3953590000000003E-5</v>
      </c>
      <c r="AA6013">
        <v>0.99999510000000003</v>
      </c>
      <c r="AB6013">
        <v>28</v>
      </c>
      <c r="AC6013">
        <v>-3.0088810000000001</v>
      </c>
      <c r="AD6013">
        <v>8.8100079999999997E-2</v>
      </c>
      <c r="AE6013">
        <v>6.8664549999999996E-3</v>
      </c>
      <c r="AF6013">
        <v>9.43429612436451E-3</v>
      </c>
      <c r="AG6013">
        <v>8.8100079999999997E-2</v>
      </c>
      <c r="AH6013">
        <v>3.00629667629478</v>
      </c>
      <c r="AI6013">
        <v>88.321425256300003</v>
      </c>
      <c r="AJ6013">
        <v>89.820196196730805</v>
      </c>
      <c r="AK6013">
        <v>3.0076020906929202</v>
      </c>
      <c r="AL6013">
        <v>92.386438235024301</v>
      </c>
      <c r="AM6013">
        <v>90.767539386565304</v>
      </c>
      <c r="AN6013">
        <v>0.99999993441213297</v>
      </c>
    </row>
    <row r="6014" spans="1:40" x14ac:dyDescent="0.25">
      <c r="A6014" t="str">
        <f>"20190303153928392"</f>
        <v>20190303153928392</v>
      </c>
      <c r="B6014" t="str">
        <f>"1551598768384425"</f>
        <v>1551598768384425</v>
      </c>
      <c r="C6014" t="s">
        <v>40</v>
      </c>
      <c r="D6014">
        <v>4.0602029999999996</v>
      </c>
      <c r="E6014">
        <v>0.50576779999999999</v>
      </c>
      <c r="F6014" t="s">
        <v>46</v>
      </c>
      <c r="G6014">
        <v>0</v>
      </c>
      <c r="H6014">
        <v>0</v>
      </c>
      <c r="I6014">
        <v>0</v>
      </c>
      <c r="J6014">
        <v>-316.20620000000002</v>
      </c>
      <c r="K6014">
        <v>1.1206499999999999</v>
      </c>
      <c r="L6014">
        <v>141.5241</v>
      </c>
      <c r="M6014">
        <v>-0.99995160000000005</v>
      </c>
      <c r="N6014">
        <v>-9.8006859999999994E-3</v>
      </c>
      <c r="O6014">
        <v>-8.2473789999999996E-4</v>
      </c>
      <c r="P6014">
        <v>-0.99858400000000003</v>
      </c>
      <c r="Q6014">
        <v>-5.1418180000000001E-2</v>
      </c>
      <c r="R6014">
        <v>-1.365449E-2</v>
      </c>
      <c r="S6014">
        <v>-3.0084840000000002</v>
      </c>
      <c r="T6014">
        <v>8.0874089999999996E-2</v>
      </c>
      <c r="U6014">
        <v>2.0904539999999998E-3</v>
      </c>
      <c r="V6014">
        <v>-1.283481E-2</v>
      </c>
      <c r="W6014">
        <v>-4.1627579999999997E-2</v>
      </c>
      <c r="X6014">
        <v>0.99905069999999996</v>
      </c>
      <c r="Y6014">
        <v>1.5187270000000001E-3</v>
      </c>
      <c r="Z6014" s="1">
        <v>-4.3214019999999998E-5</v>
      </c>
      <c r="AA6014">
        <v>0.99999890000000002</v>
      </c>
      <c r="AB6014">
        <v>28</v>
      </c>
      <c r="AC6014">
        <v>-3.0084840000000002</v>
      </c>
      <c r="AD6014">
        <v>8.0874089999999996E-2</v>
      </c>
      <c r="AE6014">
        <v>2.0904539999999998E-3</v>
      </c>
      <c r="AF6014">
        <v>4.5684819408885096E-3</v>
      </c>
      <c r="AG6014">
        <v>8.0874089999999996E-2</v>
      </c>
      <c r="AH6014">
        <v>3.0063087676229299</v>
      </c>
      <c r="AI6014">
        <v>88.459033409394706</v>
      </c>
      <c r="AJ6014">
        <v>89.912931587292107</v>
      </c>
      <c r="AK6014">
        <v>3.0073998563122699</v>
      </c>
      <c r="AL6014">
        <v>92.385774150079897</v>
      </c>
      <c r="AM6014">
        <v>90.736038712316699</v>
      </c>
      <c r="AN6014">
        <v>0.99999994446743901</v>
      </c>
    </row>
    <row r="6015" spans="1:40" x14ac:dyDescent="0.25">
      <c r="A6015" t="str">
        <f>"20190303153928412"</f>
        <v>20190303153928412</v>
      </c>
      <c r="B6015" t="str">
        <f>"1551598768404922"</f>
        <v>1551598768404922</v>
      </c>
      <c r="C6015" t="s">
        <v>40</v>
      </c>
      <c r="D6015">
        <v>4.0868529999999996</v>
      </c>
      <c r="E6015">
        <v>0.50532969999999999</v>
      </c>
      <c r="F6015" t="s">
        <v>46</v>
      </c>
      <c r="G6015">
        <v>0</v>
      </c>
      <c r="H6015">
        <v>0</v>
      </c>
      <c r="I6015">
        <v>0</v>
      </c>
      <c r="J6015">
        <v>-316.4828</v>
      </c>
      <c r="K6015">
        <v>1.1206419999999999</v>
      </c>
      <c r="L6015">
        <v>141.524</v>
      </c>
      <c r="M6015">
        <v>-0.99995199999999995</v>
      </c>
      <c r="N6015">
        <v>-9.7664499999999994E-3</v>
      </c>
      <c r="O6015">
        <v>-7.9572309999999995E-4</v>
      </c>
      <c r="P6015">
        <v>-0.99860700000000002</v>
      </c>
      <c r="Q6015">
        <v>-5.109797E-2</v>
      </c>
      <c r="R6015">
        <v>-1.315728E-2</v>
      </c>
      <c r="S6015">
        <v>-3.00827</v>
      </c>
      <c r="T6015">
        <v>7.7777499999999999E-2</v>
      </c>
      <c r="U6015">
        <v>4.2724609999999998E-4</v>
      </c>
      <c r="V6015">
        <v>-1.236667E-2</v>
      </c>
      <c r="W6015">
        <v>-4.1341419999999997E-2</v>
      </c>
      <c r="X6015">
        <v>0.99906859999999997</v>
      </c>
      <c r="Y6015">
        <v>9.3708539999999996E-4</v>
      </c>
      <c r="Z6015" s="1">
        <v>-3.5874780000000003E-5</v>
      </c>
      <c r="AA6015">
        <v>0.99999959999999999</v>
      </c>
      <c r="AB6015">
        <v>28</v>
      </c>
      <c r="AC6015">
        <v>-3.00827</v>
      </c>
      <c r="AD6015">
        <v>7.7777499999999999E-2</v>
      </c>
      <c r="AE6015">
        <v>4.2724609999999998E-4</v>
      </c>
      <c r="AF6015">
        <v>2.8192255076243899E-3</v>
      </c>
      <c r="AG6015">
        <v>7.7777499999999999E-2</v>
      </c>
      <c r="AH6015">
        <v>3.0062591486405101</v>
      </c>
      <c r="AI6015">
        <v>88.517983171904902</v>
      </c>
      <c r="AJ6015">
        <v>89.946268878448606</v>
      </c>
      <c r="AK6015">
        <v>3.00726642589636</v>
      </c>
      <c r="AL6015">
        <v>92.369363994338698</v>
      </c>
      <c r="AM6015">
        <v>90.7091823450193</v>
      </c>
      <c r="AN6015">
        <v>1.0000000575202299</v>
      </c>
    </row>
    <row r="6016" spans="1:40" x14ac:dyDescent="0.25">
      <c r="A6016" t="str">
        <f>"20190303153928434"</f>
        <v>20190303153928434</v>
      </c>
      <c r="B6016" t="str">
        <f>"1551598768424442"</f>
        <v>1551598768424442</v>
      </c>
      <c r="C6016" t="s">
        <v>40</v>
      </c>
      <c r="D6016">
        <v>4.1247369999999997</v>
      </c>
      <c r="E6016">
        <v>0.505023</v>
      </c>
      <c r="F6016" t="s">
        <v>46</v>
      </c>
      <c r="G6016">
        <v>0</v>
      </c>
      <c r="H6016">
        <v>0</v>
      </c>
      <c r="I6016">
        <v>0</v>
      </c>
      <c r="J6016">
        <v>-316.76139999999998</v>
      </c>
      <c r="K6016">
        <v>1.1206370000000001</v>
      </c>
      <c r="L6016">
        <v>141.52379999999999</v>
      </c>
      <c r="M6016">
        <v>-0.99995230000000002</v>
      </c>
      <c r="N6016">
        <v>-9.7372959999999995E-3</v>
      </c>
      <c r="O6016">
        <v>-7.6661449999999897E-4</v>
      </c>
      <c r="P6016">
        <v>-0.99864269999999999</v>
      </c>
      <c r="Q6016">
        <v>-5.0551239999999997E-2</v>
      </c>
      <c r="R6016">
        <v>-1.254886E-2</v>
      </c>
      <c r="S6016">
        <v>-3.007965</v>
      </c>
      <c r="T6016">
        <v>7.5782059999999998E-2</v>
      </c>
      <c r="U6016">
        <v>-1.7242430000000001E-3</v>
      </c>
      <c r="V6016">
        <v>-1.178715E-2</v>
      </c>
      <c r="W6016">
        <v>-4.0823560000000002E-2</v>
      </c>
      <c r="X6016">
        <v>0.99909689999999995</v>
      </c>
      <c r="Y6016">
        <v>1.9291999999999999E-4</v>
      </c>
      <c r="Z6016" s="1">
        <v>-2.8264579999999999E-5</v>
      </c>
      <c r="AA6016">
        <v>1</v>
      </c>
      <c r="AB6016">
        <v>28</v>
      </c>
      <c r="AC6016">
        <v>-3.007965</v>
      </c>
      <c r="AD6016">
        <v>7.5782059999999998E-2</v>
      </c>
      <c r="AE6016">
        <v>-1.7242430000000001E-3</v>
      </c>
      <c r="AF6016">
        <v>5.8144735209927705E-4</v>
      </c>
      <c r="AG6016">
        <v>7.5782059999999998E-2</v>
      </c>
      <c r="AH6016">
        <v>3.0060574115007501</v>
      </c>
      <c r="AI6016">
        <v>88.555891638389298</v>
      </c>
      <c r="AJ6016">
        <v>89.988917550695604</v>
      </c>
      <c r="AK6016">
        <v>3.0070125407017301</v>
      </c>
      <c r="AL6016">
        <v>92.339667731916904</v>
      </c>
      <c r="AM6016">
        <v>90.6759330514776</v>
      </c>
      <c r="AN6016">
        <v>1.0000000577729</v>
      </c>
    </row>
    <row r="6017" spans="1:40" x14ac:dyDescent="0.25">
      <c r="A6017" t="str">
        <f>"20190303153928456"</f>
        <v>20190303153928456</v>
      </c>
      <c r="B6017" t="str">
        <f>"1551598768443962"</f>
        <v>1551598768443962</v>
      </c>
      <c r="C6017" t="s">
        <v>40</v>
      </c>
      <c r="D6017">
        <v>4.124714</v>
      </c>
      <c r="E6017">
        <v>0.50469520000000001</v>
      </c>
      <c r="F6017" t="s">
        <v>46</v>
      </c>
      <c r="G6017">
        <v>0</v>
      </c>
      <c r="H6017">
        <v>0</v>
      </c>
      <c r="I6017">
        <v>0</v>
      </c>
      <c r="J6017">
        <v>-317.04199999999997</v>
      </c>
      <c r="K6017">
        <v>1.120641</v>
      </c>
      <c r="L6017">
        <v>141.52359999999999</v>
      </c>
      <c r="M6017">
        <v>-0.99995259999999997</v>
      </c>
      <c r="N6017">
        <v>-9.7109640000000007E-3</v>
      </c>
      <c r="O6017">
        <v>-7.3728089999999997E-4</v>
      </c>
      <c r="P6017">
        <v>-0.9986718</v>
      </c>
      <c r="Q6017">
        <v>-4.9944410000000002E-2</v>
      </c>
      <c r="R6017">
        <v>-1.2659109999999999E-2</v>
      </c>
      <c r="S6017">
        <v>-3.0078130000000001</v>
      </c>
      <c r="T6017">
        <v>7.5008630000000007E-2</v>
      </c>
      <c r="U6017">
        <v>-2.27356E-3</v>
      </c>
      <c r="V6017">
        <v>-1.1926539999999999E-2</v>
      </c>
      <c r="W6017">
        <v>-4.0242769999999997E-2</v>
      </c>
      <c r="X6017">
        <v>0.99911870000000003</v>
      </c>
      <c r="Y6017" s="1">
        <v>-1.900768E-5</v>
      </c>
      <c r="Z6017" s="1">
        <v>-2.5397069999999999E-5</v>
      </c>
      <c r="AA6017">
        <v>1</v>
      </c>
      <c r="AB6017">
        <v>28</v>
      </c>
      <c r="AC6017">
        <v>-3.0078130000000001</v>
      </c>
      <c r="AD6017">
        <v>7.5008630000000007E-2</v>
      </c>
      <c r="AE6017">
        <v>-2.27356E-3</v>
      </c>
      <c r="AF6017" s="1">
        <v>-5.58170771382919E-5</v>
      </c>
      <c r="AG6017">
        <v>7.5008630000000007E-2</v>
      </c>
      <c r="AH6017">
        <v>3.0059444619054299</v>
      </c>
      <c r="AI6017">
        <v>88.570570316318694</v>
      </c>
      <c r="AJ6017">
        <v>90.0010639195051</v>
      </c>
      <c r="AK6017">
        <v>3.0068801781497698</v>
      </c>
      <c r="AL6017">
        <v>92.306363797174896</v>
      </c>
      <c r="AM6017">
        <v>90.683910682285898</v>
      </c>
      <c r="AN6017">
        <v>0.99999994979166595</v>
      </c>
    </row>
    <row r="6018" spans="1:40" x14ac:dyDescent="0.25">
      <c r="A6018" t="str">
        <f>"20190303153928480"</f>
        <v>20190303153928480</v>
      </c>
      <c r="B6018" t="str">
        <f>"1551598768474217"</f>
        <v>1551598768474217</v>
      </c>
      <c r="C6018" t="s">
        <v>40</v>
      </c>
      <c r="D6018">
        <v>4.1252360000000001</v>
      </c>
      <c r="E6018">
        <v>0.50433039999999996</v>
      </c>
      <c r="F6018" t="s">
        <v>46</v>
      </c>
      <c r="G6018">
        <v>0</v>
      </c>
      <c r="H6018">
        <v>0</v>
      </c>
      <c r="I6018">
        <v>0</v>
      </c>
      <c r="J6018">
        <v>-317.33839999999998</v>
      </c>
      <c r="K6018">
        <v>1.1206320000000001</v>
      </c>
      <c r="L6018">
        <v>141.52340000000001</v>
      </c>
      <c r="M6018">
        <v>-0.99995290000000003</v>
      </c>
      <c r="N6018">
        <v>-9.6820759999999995E-3</v>
      </c>
      <c r="O6018">
        <v>-7.0626710000000004E-4</v>
      </c>
      <c r="P6018">
        <v>-0.99866929999999998</v>
      </c>
      <c r="Q6018">
        <v>-4.9920649999999997E-2</v>
      </c>
      <c r="R6018">
        <v>-1.29572E-2</v>
      </c>
      <c r="S6018">
        <v>-3.0076290000000001</v>
      </c>
      <c r="T6018">
        <v>7.4101089999999994E-2</v>
      </c>
      <c r="U6018">
        <v>-5.1879880000000001E-3</v>
      </c>
      <c r="V6018">
        <v>-1.2255739999999999E-2</v>
      </c>
      <c r="W6018">
        <v>-4.0247850000000002E-2</v>
      </c>
      <c r="X6018">
        <v>0.99911459999999996</v>
      </c>
      <c r="Y6018">
        <v>-1.0188689999999999E-3</v>
      </c>
      <c r="Z6018" s="1">
        <v>-1.6618560000000001E-5</v>
      </c>
      <c r="AA6018">
        <v>0.99999950000000004</v>
      </c>
      <c r="AB6018">
        <v>28</v>
      </c>
      <c r="AC6018">
        <v>-3.0076290000000001</v>
      </c>
      <c r="AD6018">
        <v>7.4101089999999994E-2</v>
      </c>
      <c r="AE6018">
        <v>-5.1879880000000001E-3</v>
      </c>
      <c r="AF6018">
        <v>-3.0618391879813399E-3</v>
      </c>
      <c r="AG6018">
        <v>7.4101089999999994E-2</v>
      </c>
      <c r="AH6018">
        <v>3.0058073441491802</v>
      </c>
      <c r="AI6018">
        <v>88.587794481603495</v>
      </c>
      <c r="AJ6018">
        <v>90.058363821182098</v>
      </c>
      <c r="AK6018">
        <v>3.0067221581881398</v>
      </c>
      <c r="AL6018">
        <v>92.306654891568201</v>
      </c>
      <c r="AM6018">
        <v>90.702789209552506</v>
      </c>
      <c r="AN6018">
        <v>1.00000003826286</v>
      </c>
    </row>
    <row r="6019" spans="1:40" x14ac:dyDescent="0.25">
      <c r="A6019" t="str">
        <f>"20190303153928503"</f>
        <v>20190303153928503</v>
      </c>
      <c r="B6019" t="str">
        <f>"1551598768494714"</f>
        <v>1551598768494714</v>
      </c>
      <c r="C6019" t="s">
        <v>40</v>
      </c>
      <c r="D6019">
        <v>4.1977890000000002</v>
      </c>
      <c r="E6019">
        <v>0.50397959999999997</v>
      </c>
      <c r="F6019" t="s">
        <v>46</v>
      </c>
      <c r="G6019">
        <v>0</v>
      </c>
      <c r="H6019">
        <v>0</v>
      </c>
      <c r="I6019">
        <v>0</v>
      </c>
      <c r="J6019">
        <v>-317.63690000000003</v>
      </c>
      <c r="K6019">
        <v>1.1206210000000001</v>
      </c>
      <c r="L6019">
        <v>141.5232</v>
      </c>
      <c r="M6019">
        <v>-0.99995339999999999</v>
      </c>
      <c r="N6019">
        <v>-9.6541270000000002E-3</v>
      </c>
      <c r="O6019">
        <v>-6.7513999999999996E-4</v>
      </c>
      <c r="P6019">
        <v>-0.99867269999999997</v>
      </c>
      <c r="Q6019">
        <v>-4.9680120000000001E-2</v>
      </c>
      <c r="R6019">
        <v>-1.360014E-2</v>
      </c>
      <c r="S6019">
        <v>-3.0074160000000001</v>
      </c>
      <c r="T6019">
        <v>7.0368890000000003E-2</v>
      </c>
      <c r="U6019">
        <v>-8.8195800000000005E-3</v>
      </c>
      <c r="V6019">
        <v>-1.2929970000000001E-2</v>
      </c>
      <c r="W6019">
        <v>-4.0035170000000002E-2</v>
      </c>
      <c r="X6019">
        <v>0.99911459999999996</v>
      </c>
      <c r="Y6019">
        <v>-2.2574349999999999E-3</v>
      </c>
      <c r="Z6019" s="1">
        <v>-6.8031400000000004E-6</v>
      </c>
      <c r="AA6019">
        <v>0.99999740000000004</v>
      </c>
      <c r="AB6019">
        <v>29</v>
      </c>
      <c r="AC6019">
        <v>-3.0074160000000001</v>
      </c>
      <c r="AD6019">
        <v>7.0368890000000003E-2</v>
      </c>
      <c r="AE6019">
        <v>-8.8195800000000005E-3</v>
      </c>
      <c r="AF6019">
        <v>-6.78534213244022E-3</v>
      </c>
      <c r="AG6019">
        <v>7.0368890000000003E-2</v>
      </c>
      <c r="AH6019">
        <v>3.00577565811796</v>
      </c>
      <c r="AI6019">
        <v>88.658884014815499</v>
      </c>
      <c r="AJ6019">
        <v>90.129341258486306</v>
      </c>
      <c r="AK6019">
        <v>3.0066069128640902</v>
      </c>
      <c r="AL6019">
        <v>92.294459503588399</v>
      </c>
      <c r="AM6019">
        <v>90.741447833937499</v>
      </c>
      <c r="AN6019">
        <v>0.99999999144714402</v>
      </c>
    </row>
    <row r="6020" spans="1:40" x14ac:dyDescent="0.25">
      <c r="A6020" t="str">
        <f>"20190303153928524"</f>
        <v>20190303153928524</v>
      </c>
      <c r="B6020" t="str">
        <f>"1551598768514234"</f>
        <v>1551598768514234</v>
      </c>
      <c r="C6020" t="s">
        <v>40</v>
      </c>
      <c r="D6020">
        <v>4.1601619999999997</v>
      </c>
      <c r="E6020">
        <v>0.50341809999999998</v>
      </c>
      <c r="F6020" t="s">
        <v>46</v>
      </c>
      <c r="G6020">
        <v>0</v>
      </c>
      <c r="H6020">
        <v>0</v>
      </c>
      <c r="I6020">
        <v>0</v>
      </c>
      <c r="J6020">
        <v>-317.91370000000001</v>
      </c>
      <c r="K6020">
        <v>1.1206160000000001</v>
      </c>
      <c r="L6020">
        <v>141.5231</v>
      </c>
      <c r="M6020">
        <v>-0.99995350000000005</v>
      </c>
      <c r="N6020">
        <v>-9.631354E-3</v>
      </c>
      <c r="O6020">
        <v>-6.4582530000000004E-4</v>
      </c>
      <c r="P6020">
        <v>-0.99866200000000005</v>
      </c>
      <c r="Q6020">
        <v>-4.9830260000000001E-2</v>
      </c>
      <c r="R6020">
        <v>-1.3836869999999999E-2</v>
      </c>
      <c r="S6020">
        <v>-3.0072019999999999</v>
      </c>
      <c r="T6020">
        <v>6.8300250000000007E-2</v>
      </c>
      <c r="U6020">
        <v>-1.3412479999999999E-2</v>
      </c>
      <c r="V6020">
        <v>-1.3195719999999999E-2</v>
      </c>
      <c r="W6020">
        <v>-4.0208130000000002E-2</v>
      </c>
      <c r="X6020">
        <v>0.9991042</v>
      </c>
      <c r="Y6020">
        <v>-3.8139960000000001E-3</v>
      </c>
      <c r="Z6020" s="1">
        <v>4.0522169999999998E-6</v>
      </c>
      <c r="AA6020">
        <v>0.99999269999999996</v>
      </c>
      <c r="AB6020">
        <v>29</v>
      </c>
      <c r="AC6020">
        <v>-3.0072019999999999</v>
      </c>
      <c r="AD6020">
        <v>6.8300250000000007E-2</v>
      </c>
      <c r="AE6020">
        <v>-1.3412479999999999E-2</v>
      </c>
      <c r="AF6020">
        <v>-1.1464346450478601E-2</v>
      </c>
      <c r="AG6020">
        <v>6.8300250000000007E-2</v>
      </c>
      <c r="AH6020">
        <v>3.0056596111194298</v>
      </c>
      <c r="AI6020">
        <v>88.698251050072102</v>
      </c>
      <c r="AJ6020">
        <v>90.218539544080102</v>
      </c>
      <c r="AK6020">
        <v>3.0064573925642502</v>
      </c>
      <c r="AL6020">
        <v>92.304377321082995</v>
      </c>
      <c r="AM6020">
        <v>90.756692951616898</v>
      </c>
      <c r="AN6020">
        <v>1.0000000116010199</v>
      </c>
    </row>
    <row r="6021" spans="1:40" x14ac:dyDescent="0.25">
      <c r="A6021" t="str">
        <f>"20190303153928546"</f>
        <v>20190303153928546</v>
      </c>
      <c r="B6021" t="str">
        <f>"1551598768534730"</f>
        <v>1551598768534730</v>
      </c>
      <c r="C6021" t="s">
        <v>40</v>
      </c>
      <c r="D6021">
        <v>4.0580339999999904</v>
      </c>
      <c r="E6021">
        <v>0.50317869999999998</v>
      </c>
      <c r="F6021" t="s">
        <v>46</v>
      </c>
      <c r="G6021">
        <v>0</v>
      </c>
      <c r="H6021">
        <v>0</v>
      </c>
      <c r="I6021">
        <v>0</v>
      </c>
      <c r="J6021">
        <v>-318.18680000000001</v>
      </c>
      <c r="K6021">
        <v>1.120611</v>
      </c>
      <c r="L6021">
        <v>141.52289999999999</v>
      </c>
      <c r="M6021">
        <v>-0.99995369999999995</v>
      </c>
      <c r="N6021">
        <v>-9.6118379999999993E-3</v>
      </c>
      <c r="O6021">
        <v>-6.17122E-4</v>
      </c>
      <c r="P6021">
        <v>-0.9986467</v>
      </c>
      <c r="Q6021">
        <v>-5.0178E-2</v>
      </c>
      <c r="R6021">
        <v>-1.368832E-2</v>
      </c>
      <c r="S6021">
        <v>-3.006866</v>
      </c>
      <c r="T6021">
        <v>6.2757370000000007E-2</v>
      </c>
      <c r="U6021">
        <v>-1.8478390000000001E-2</v>
      </c>
      <c r="V6021">
        <v>-1.307643E-2</v>
      </c>
      <c r="W6021">
        <v>-4.0575519999999997E-2</v>
      </c>
      <c r="X6021">
        <v>0.9990909</v>
      </c>
      <c r="Y6021">
        <v>-5.5277800000000004E-3</v>
      </c>
      <c r="Z6021" s="1">
        <v>1.230135E-5</v>
      </c>
      <c r="AA6021">
        <v>0.99998469999999995</v>
      </c>
      <c r="AB6021">
        <v>29</v>
      </c>
      <c r="AC6021">
        <v>-3.006866</v>
      </c>
      <c r="AD6021">
        <v>6.2757370000000007E-2</v>
      </c>
      <c r="AE6021">
        <v>-1.8478390000000001E-2</v>
      </c>
      <c r="AF6021">
        <v>-1.66154601111108E-2</v>
      </c>
      <c r="AG6021">
        <v>6.2757370000000007E-2</v>
      </c>
      <c r="AH6021">
        <v>3.00556761496934</v>
      </c>
      <c r="AI6021">
        <v>88.803834901114897</v>
      </c>
      <c r="AJ6021">
        <v>90.316740850013502</v>
      </c>
      <c r="AK6021">
        <v>3.0062686588454701</v>
      </c>
      <c r="AL6021">
        <v>92.3254444458222</v>
      </c>
      <c r="AM6021">
        <v>90.749863173315802</v>
      </c>
      <c r="AN6021">
        <v>0.99999999615381197</v>
      </c>
    </row>
    <row r="6022" spans="1:40" x14ac:dyDescent="0.25">
      <c r="A6022" t="str">
        <f>"20190303153928569"</f>
        <v>20190303153928569</v>
      </c>
      <c r="B6022" t="str">
        <f>"1551598768564987"</f>
        <v>1551598768564987</v>
      </c>
      <c r="C6022" t="s">
        <v>40</v>
      </c>
      <c r="D6022">
        <v>4.0795339999999998</v>
      </c>
      <c r="E6022">
        <v>0.50318649999999998</v>
      </c>
      <c r="F6022" t="s">
        <v>46</v>
      </c>
      <c r="G6022">
        <v>0</v>
      </c>
      <c r="H6022">
        <v>0</v>
      </c>
      <c r="I6022">
        <v>0</v>
      </c>
      <c r="J6022">
        <v>-318.48630000000003</v>
      </c>
      <c r="K6022">
        <v>1.1206</v>
      </c>
      <c r="L6022">
        <v>141.52279999999999</v>
      </c>
      <c r="M6022">
        <v>-0.99995389999999995</v>
      </c>
      <c r="N6022">
        <v>-9.5933289999999994E-3</v>
      </c>
      <c r="O6022">
        <v>-5.8580090000000002E-4</v>
      </c>
      <c r="P6022">
        <v>-0.99864229999999998</v>
      </c>
      <c r="Q6022">
        <v>-5.0362530000000003E-2</v>
      </c>
      <c r="R6022">
        <v>-1.3323359999999999E-2</v>
      </c>
      <c r="S6022">
        <v>-3.0068049999999999</v>
      </c>
      <c r="T6022">
        <v>5.9050800000000001E-2</v>
      </c>
      <c r="U6022">
        <v>-1.977539E-2</v>
      </c>
      <c r="V6022">
        <v>-1.2741880000000001E-2</v>
      </c>
      <c r="W6022">
        <v>-4.0778620000000002E-2</v>
      </c>
      <c r="X6022">
        <v>0.99908699999999995</v>
      </c>
      <c r="Y6022">
        <v>-5.9905790000000002E-3</v>
      </c>
      <c r="Z6022" s="1">
        <v>1.2958780000000001E-5</v>
      </c>
      <c r="AA6022">
        <v>0.99998209999999998</v>
      </c>
      <c r="AB6022">
        <v>29</v>
      </c>
      <c r="AC6022">
        <v>-3.0068049999999999</v>
      </c>
      <c r="AD6022">
        <v>5.9050800000000001E-2</v>
      </c>
      <c r="AE6022">
        <v>-1.977539E-2</v>
      </c>
      <c r="AF6022">
        <v>-1.8006971778797402E-2</v>
      </c>
      <c r="AG6022">
        <v>5.9050800000000001E-2</v>
      </c>
      <c r="AH6022">
        <v>3.0056568602481599</v>
      </c>
      <c r="AI6022">
        <v>88.874500360414501</v>
      </c>
      <c r="AJ6022">
        <v>90.343256462495006</v>
      </c>
      <c r="AK6022">
        <v>3.0062908058885598</v>
      </c>
      <c r="AL6022">
        <v>92.337090749625304</v>
      </c>
      <c r="AM6022">
        <v>90.730683483167098</v>
      </c>
      <c r="AN6022">
        <v>1.0000000424620099</v>
      </c>
    </row>
    <row r="6023" spans="1:40" x14ac:dyDescent="0.25">
      <c r="A6023" t="str">
        <f>"20190303153928592"</f>
        <v>20190303153928592</v>
      </c>
      <c r="B6023" t="str">
        <f>"1551598768584516"</f>
        <v>1551598768584516</v>
      </c>
      <c r="C6023" t="s">
        <v>40</v>
      </c>
      <c r="D6023">
        <v>4.1249659999999997</v>
      </c>
      <c r="E6023">
        <v>0.50405699999999998</v>
      </c>
      <c r="F6023" t="s">
        <v>46</v>
      </c>
      <c r="G6023">
        <v>0</v>
      </c>
      <c r="H6023">
        <v>0</v>
      </c>
      <c r="I6023">
        <v>0</v>
      </c>
      <c r="J6023">
        <v>-318.7722</v>
      </c>
      <c r="K6023">
        <v>1.1205940000000001</v>
      </c>
      <c r="L6023">
        <v>141.52269999999999</v>
      </c>
      <c r="M6023">
        <v>-0.99995420000000002</v>
      </c>
      <c r="N6023">
        <v>-9.5728689999999995E-3</v>
      </c>
      <c r="O6023">
        <v>-5.5602009999999999E-4</v>
      </c>
      <c r="P6023">
        <v>-0.99865470000000001</v>
      </c>
      <c r="Q6023">
        <v>-5.0178540000000001E-2</v>
      </c>
      <c r="R6023">
        <v>-1.3089740000000001E-2</v>
      </c>
      <c r="S6023">
        <v>-3.0066830000000002</v>
      </c>
      <c r="T6023">
        <v>5.6470510000000002E-2</v>
      </c>
      <c r="U6023">
        <v>-1.8478390000000001E-2</v>
      </c>
      <c r="V6023">
        <v>-1.253807E-2</v>
      </c>
      <c r="W6023">
        <v>-4.061497E-2</v>
      </c>
      <c r="X6023">
        <v>0.99909619999999999</v>
      </c>
      <c r="Y6023">
        <v>-5.5893619999999996E-3</v>
      </c>
      <c r="Z6023" s="1">
        <v>9.964482E-6</v>
      </c>
      <c r="AA6023">
        <v>0.9999844</v>
      </c>
      <c r="AB6023">
        <v>29</v>
      </c>
      <c r="AC6023">
        <v>-3.0066830000000002</v>
      </c>
      <c r="AD6023">
        <v>5.6470510000000002E-2</v>
      </c>
      <c r="AE6023">
        <v>-1.8478390000000001E-2</v>
      </c>
      <c r="AF6023">
        <v>-1.6800608442651601E-2</v>
      </c>
      <c r="AG6023">
        <v>5.6470510000000002E-2</v>
      </c>
      <c r="AH6023">
        <v>3.00563261043501</v>
      </c>
      <c r="AI6023">
        <v>88.9236572955394</v>
      </c>
      <c r="AJ6023">
        <v>90.320263337706194</v>
      </c>
      <c r="AK6023">
        <v>3.0062100006243901</v>
      </c>
      <c r="AL6023">
        <v>92.3277066249954</v>
      </c>
      <c r="AM6023">
        <v>90.718990609579095</v>
      </c>
      <c r="AN6023">
        <v>0.99999999792093197</v>
      </c>
    </row>
    <row r="6024" spans="1:40" x14ac:dyDescent="0.25">
      <c r="A6024" t="str">
        <f>"20190303153928613"</f>
        <v>20190303153928613</v>
      </c>
      <c r="B6024" t="str">
        <f>"1551598768604026"</f>
        <v>1551598768604026</v>
      </c>
      <c r="C6024" t="s">
        <v>40</v>
      </c>
      <c r="D6024">
        <v>4.0903460000000003</v>
      </c>
      <c r="E6024">
        <v>0.50461780000000001</v>
      </c>
      <c r="F6024" t="s">
        <v>46</v>
      </c>
      <c r="G6024">
        <v>0</v>
      </c>
      <c r="H6024">
        <v>0</v>
      </c>
      <c r="I6024">
        <v>0</v>
      </c>
      <c r="J6024">
        <v>-319.05329999999998</v>
      </c>
      <c r="K6024">
        <v>1.120592</v>
      </c>
      <c r="L6024">
        <v>141.52250000000001</v>
      </c>
      <c r="M6024">
        <v>-0.99995429999999996</v>
      </c>
      <c r="N6024">
        <v>-9.5514640000000008E-3</v>
      </c>
      <c r="O6024">
        <v>-5.2683139999999999E-4</v>
      </c>
      <c r="P6024">
        <v>-0.99861610000000001</v>
      </c>
      <c r="Q6024">
        <v>-5.0878109999999997E-2</v>
      </c>
      <c r="R6024">
        <v>-1.331737E-2</v>
      </c>
      <c r="S6024">
        <v>-3.0065919999999999</v>
      </c>
      <c r="T6024">
        <v>5.282974E-2</v>
      </c>
      <c r="U6024">
        <v>-1.094055E-2</v>
      </c>
      <c r="V6024">
        <v>-1.279542E-2</v>
      </c>
      <c r="W6024">
        <v>-4.1336249999999998E-2</v>
      </c>
      <c r="X6024">
        <v>0.99906340000000005</v>
      </c>
      <c r="Y6024">
        <v>-3.1119530000000002E-3</v>
      </c>
      <c r="Z6024" s="1">
        <v>-1.8123030000000001E-6</v>
      </c>
      <c r="AA6024">
        <v>0.99999519999999997</v>
      </c>
      <c r="AB6024">
        <v>29</v>
      </c>
      <c r="AC6024">
        <v>-3.0065919999999999</v>
      </c>
      <c r="AD6024">
        <v>5.282974E-2</v>
      </c>
      <c r="AE6024">
        <v>-1.094055E-2</v>
      </c>
      <c r="AF6024">
        <v>-9.3536213393324002E-3</v>
      </c>
      <c r="AG6024">
        <v>5.282974E-2</v>
      </c>
      <c r="AH6024">
        <v>3.0056693565765999</v>
      </c>
      <c r="AI6024">
        <v>88.993037999731698</v>
      </c>
      <c r="AJ6024">
        <v>90.178303476626894</v>
      </c>
      <c r="AK6024">
        <v>3.0061481588112402</v>
      </c>
      <c r="AL6024">
        <v>92.369067556690993</v>
      </c>
      <c r="AM6024">
        <v>90.733770731983697</v>
      </c>
      <c r="AN6024">
        <v>1.00000004277829</v>
      </c>
    </row>
    <row r="6025" spans="1:40" x14ac:dyDescent="0.25">
      <c r="A6025" t="str">
        <f>"20190303153928635"</f>
        <v>20190303153928635</v>
      </c>
      <c r="B6025" t="str">
        <f>"1551598768624521"</f>
        <v>1551598768624521</v>
      </c>
      <c r="C6025" t="s">
        <v>40</v>
      </c>
      <c r="D6025">
        <v>4.0975859999999997</v>
      </c>
      <c r="E6025">
        <v>0.5051156</v>
      </c>
      <c r="F6025" t="s">
        <v>46</v>
      </c>
      <c r="G6025">
        <v>0</v>
      </c>
      <c r="H6025">
        <v>0</v>
      </c>
      <c r="I6025">
        <v>0</v>
      </c>
      <c r="J6025">
        <v>-319.33920000000001</v>
      </c>
      <c r="K6025">
        <v>1.120584</v>
      </c>
      <c r="L6025">
        <v>141.5224</v>
      </c>
      <c r="M6025">
        <v>-0.99995449999999997</v>
      </c>
      <c r="N6025">
        <v>-9.5312890000000001E-3</v>
      </c>
      <c r="O6025">
        <v>-4.9705279999999897E-4</v>
      </c>
      <c r="P6025">
        <v>-0.99860170000000004</v>
      </c>
      <c r="Q6025">
        <v>-5.1272100000000001E-2</v>
      </c>
      <c r="R6025">
        <v>-1.2881490000000001E-2</v>
      </c>
      <c r="S6025">
        <v>-3.0061650000000002</v>
      </c>
      <c r="T6025">
        <v>4.1195629999999997E-2</v>
      </c>
      <c r="U6025">
        <v>-7.0343019999999897E-3</v>
      </c>
      <c r="V6025">
        <v>-1.2389320000000001E-2</v>
      </c>
      <c r="W6025">
        <v>-4.1750559999999999E-2</v>
      </c>
      <c r="X6025">
        <v>0.99905129999999998</v>
      </c>
      <c r="Y6025">
        <v>-1.84296E-3</v>
      </c>
      <c r="Z6025" s="1">
        <v>-7.7045500000000006E-6</v>
      </c>
      <c r="AA6025">
        <v>0.99999830000000001</v>
      </c>
      <c r="AB6025">
        <v>29</v>
      </c>
      <c r="AC6025">
        <v>-3.0061650000000002</v>
      </c>
      <c r="AD6025">
        <v>4.1195629999999997E-2</v>
      </c>
      <c r="AE6025">
        <v>-7.0343019999999897E-3</v>
      </c>
      <c r="AF6025">
        <v>-5.53897042719777E-3</v>
      </c>
      <c r="AG6025">
        <v>4.1195629999999997E-2</v>
      </c>
      <c r="AH6025">
        <v>3.0056037004939</v>
      </c>
      <c r="AI6025">
        <v>89.214738810527194</v>
      </c>
      <c r="AJ6025">
        <v>90.105589192946894</v>
      </c>
      <c r="AK6025">
        <v>3.0058911098952201</v>
      </c>
      <c r="AL6025">
        <v>92.392826258431398</v>
      </c>
      <c r="AM6025">
        <v>90.710493406649306</v>
      </c>
      <c r="AN6025">
        <v>1.0000000522710299</v>
      </c>
    </row>
    <row r="6026" spans="1:40" x14ac:dyDescent="0.25">
      <c r="A6026" t="str">
        <f>"20190303153928659"</f>
        <v>20190303153928659</v>
      </c>
      <c r="B6026" t="str">
        <f>"1551598768654779"</f>
        <v>1551598768654779</v>
      </c>
      <c r="C6026" t="s">
        <v>40</v>
      </c>
      <c r="D6026">
        <v>3.9451960000000001</v>
      </c>
      <c r="E6026">
        <v>0.50613359999999996</v>
      </c>
      <c r="F6026" t="s">
        <v>46</v>
      </c>
      <c r="G6026">
        <v>0</v>
      </c>
      <c r="H6026">
        <v>0</v>
      </c>
      <c r="I6026">
        <v>0</v>
      </c>
      <c r="J6026">
        <v>-319.64109999999999</v>
      </c>
      <c r="K6026">
        <v>1.1205700000000001</v>
      </c>
      <c r="L6026">
        <v>141.5223</v>
      </c>
      <c r="M6026">
        <v>-0.99995460000000003</v>
      </c>
      <c r="N6026">
        <v>-9.5127679999999996E-3</v>
      </c>
      <c r="O6026">
        <v>-4.653751E-4</v>
      </c>
      <c r="P6026">
        <v>-0.99857370000000001</v>
      </c>
      <c r="Q6026">
        <v>-5.1964389999999999E-2</v>
      </c>
      <c r="R6026">
        <v>-1.225557E-2</v>
      </c>
      <c r="S6026">
        <v>-3.0057680000000002</v>
      </c>
      <c r="T6026">
        <v>3.0752419999999999E-2</v>
      </c>
      <c r="U6026">
        <v>-1.373291E-3</v>
      </c>
      <c r="V6026">
        <v>-1.179492E-2</v>
      </c>
      <c r="W6026">
        <v>-4.2461640000000002E-2</v>
      </c>
      <c r="X6026">
        <v>0.99902840000000004</v>
      </c>
      <c r="Y6026" s="1">
        <v>8.4202290000000005E-6</v>
      </c>
      <c r="Z6026" s="1">
        <v>-9.1910980000000003E-6</v>
      </c>
      <c r="AA6026">
        <v>1</v>
      </c>
      <c r="AB6026">
        <v>29</v>
      </c>
      <c r="AC6026">
        <v>-3.0057680000000002</v>
      </c>
      <c r="AD6026">
        <v>3.0752419999999999E-2</v>
      </c>
      <c r="AE6026">
        <v>-1.373291E-3</v>
      </c>
      <c r="AF6026" s="1">
        <v>2.5579412091283501E-5</v>
      </c>
      <c r="AG6026">
        <v>3.0752419999999999E-2</v>
      </c>
      <c r="AH6026">
        <v>3.0054537143940299</v>
      </c>
      <c r="AI6026">
        <v>89.413758269144395</v>
      </c>
      <c r="AJ6026">
        <v>89.999512355705804</v>
      </c>
      <c r="AK6026">
        <v>3.0056110429253802</v>
      </c>
      <c r="AL6026">
        <v>92.433604608082703</v>
      </c>
      <c r="AM6026">
        <v>90.6764249527277</v>
      </c>
      <c r="AN6026">
        <v>0.99999992750792499</v>
      </c>
    </row>
    <row r="6027" spans="1:40" x14ac:dyDescent="0.25">
      <c r="A6027" t="str">
        <f>"20190303153928681"</f>
        <v>20190303153928681</v>
      </c>
      <c r="B6027" t="str">
        <f>"1551598768674298"</f>
        <v>1551598768674298</v>
      </c>
      <c r="C6027" t="s">
        <v>40</v>
      </c>
      <c r="D6027">
        <v>4.0422560000000001</v>
      </c>
      <c r="E6027">
        <v>0.50671769999999905</v>
      </c>
      <c r="F6027" t="s">
        <v>46</v>
      </c>
      <c r="G6027">
        <v>0</v>
      </c>
      <c r="H6027">
        <v>0</v>
      </c>
      <c r="I6027">
        <v>0</v>
      </c>
      <c r="J6027">
        <v>-319.92590000000001</v>
      </c>
      <c r="K6027">
        <v>1.120565</v>
      </c>
      <c r="L6027">
        <v>141.5222</v>
      </c>
      <c r="M6027">
        <v>-0.99995489999999998</v>
      </c>
      <c r="N6027">
        <v>-9.4974440000000007E-3</v>
      </c>
      <c r="O6027">
        <v>-4.3562000000000001E-4</v>
      </c>
      <c r="P6027">
        <v>-0.99856009999999995</v>
      </c>
      <c r="Q6027">
        <v>-5.2366839999999998E-2</v>
      </c>
      <c r="R6027">
        <v>-1.163751E-2</v>
      </c>
      <c r="S6027">
        <v>-3.0054630000000002</v>
      </c>
      <c r="T6027">
        <v>2.073991E-2</v>
      </c>
      <c r="U6027">
        <v>9.1400149999999996E-3</v>
      </c>
      <c r="V6027">
        <v>-1.1206870000000001E-2</v>
      </c>
      <c r="W6027">
        <v>-4.287958E-2</v>
      </c>
      <c r="X6027">
        <v>0.99901740000000006</v>
      </c>
      <c r="Y6027">
        <v>3.4767299999999999E-3</v>
      </c>
      <c r="Z6027" s="1">
        <v>-2.6287759999999999E-6</v>
      </c>
      <c r="AA6027">
        <v>0.99999400000000005</v>
      </c>
      <c r="AB6027">
        <v>29</v>
      </c>
      <c r="AC6027">
        <v>-3.0054630000000002</v>
      </c>
      <c r="AD6027">
        <v>2.073991E-2</v>
      </c>
      <c r="AE6027">
        <v>9.1400149999999996E-3</v>
      </c>
      <c r="AF6027">
        <v>1.0448815280109301E-2</v>
      </c>
      <c r="AG6027">
        <v>2.073991E-2</v>
      </c>
      <c r="AH6027">
        <v>3.0053156207318601</v>
      </c>
      <c r="AI6027">
        <v>89.604606166237801</v>
      </c>
      <c r="AJ6027">
        <v>89.800796096057397</v>
      </c>
      <c r="AK6027">
        <v>3.0054053473404299</v>
      </c>
      <c r="AL6027">
        <v>92.457572438122099</v>
      </c>
      <c r="AM6027">
        <v>90.642710947902501</v>
      </c>
      <c r="AN6027">
        <v>1.0000000089094601</v>
      </c>
    </row>
    <row r="6028" spans="1:40" x14ac:dyDescent="0.25">
      <c r="A6028" t="str">
        <f>"20190303153928703"</f>
        <v>20190303153928703</v>
      </c>
      <c r="B6028" t="str">
        <f>"1551598768694794"</f>
        <v>1551598768694794</v>
      </c>
      <c r="C6028" t="s">
        <v>40</v>
      </c>
      <c r="D6028">
        <v>3.9377420000000001</v>
      </c>
      <c r="E6028">
        <v>0.50737710000000003</v>
      </c>
      <c r="F6028" t="s">
        <v>46</v>
      </c>
      <c r="G6028">
        <v>0</v>
      </c>
      <c r="H6028">
        <v>0</v>
      </c>
      <c r="I6028">
        <v>0</v>
      </c>
      <c r="J6028">
        <v>-320.21929999999998</v>
      </c>
      <c r="K6028">
        <v>1.120563</v>
      </c>
      <c r="L6028">
        <v>141.52209999999999</v>
      </c>
      <c r="M6028">
        <v>-0.99995509999999999</v>
      </c>
      <c r="N6028">
        <v>-9.483656E-3</v>
      </c>
      <c r="O6028">
        <v>-4.0503750000000003E-4</v>
      </c>
      <c r="P6028">
        <v>-0.99858250000000004</v>
      </c>
      <c r="Q6028">
        <v>-5.2032469999999997E-2</v>
      </c>
      <c r="R6028">
        <v>-1.121281E-2</v>
      </c>
      <c r="S6028">
        <v>-3.0052490000000001</v>
      </c>
      <c r="T6028">
        <v>1.4085530000000001E-2</v>
      </c>
      <c r="U6028">
        <v>1.5716549999999999E-2</v>
      </c>
      <c r="V6028">
        <v>-1.081258E-2</v>
      </c>
      <c r="W6028">
        <v>-4.2558829999999999E-2</v>
      </c>
      <c r="X6028">
        <v>0.99903549999999997</v>
      </c>
      <c r="Y6028">
        <v>5.6347029999999996E-3</v>
      </c>
      <c r="Z6028" s="1">
        <v>7.7751029999999993E-6</v>
      </c>
      <c r="AA6028">
        <v>0.99998410000000004</v>
      </c>
      <c r="AB6028">
        <v>29</v>
      </c>
      <c r="AC6028">
        <v>-3.0052490000000001</v>
      </c>
      <c r="AD6028">
        <v>1.4085530000000001E-2</v>
      </c>
      <c r="AE6028">
        <v>1.5716549999999999E-2</v>
      </c>
      <c r="AF6028">
        <v>1.6933469829173001E-2</v>
      </c>
      <c r="AG6028">
        <v>1.4085530000000001E-2</v>
      </c>
      <c r="AH6028">
        <v>3.00517637224644</v>
      </c>
      <c r="AI6028">
        <v>89.731455794946299</v>
      </c>
      <c r="AJ6028">
        <v>89.677155026719504</v>
      </c>
      <c r="AK6028">
        <v>3.0052570893126802</v>
      </c>
      <c r="AL6028">
        <v>92.439177929402305</v>
      </c>
      <c r="AM6028">
        <v>90.620089087736702</v>
      </c>
      <c r="AN6028">
        <v>1.0000000480787301</v>
      </c>
    </row>
    <row r="6029" spans="1:40" x14ac:dyDescent="0.25">
      <c r="A6029" t="str">
        <f>"20190303153928726"</f>
        <v>20190303153928726</v>
      </c>
      <c r="B6029" t="str">
        <f>"1551598768714313"</f>
        <v>1551598768714313</v>
      </c>
      <c r="C6029" t="s">
        <v>40</v>
      </c>
      <c r="D6029">
        <v>3.9472779999999998</v>
      </c>
      <c r="E6029">
        <v>0.50817999999999997</v>
      </c>
      <c r="F6029" t="s">
        <v>46</v>
      </c>
      <c r="G6029">
        <v>0</v>
      </c>
      <c r="H6029">
        <v>0</v>
      </c>
      <c r="I6029">
        <v>0</v>
      </c>
      <c r="J6029">
        <v>-320.5061</v>
      </c>
      <c r="K6029">
        <v>1.120557</v>
      </c>
      <c r="L6029">
        <v>141.52199999999999</v>
      </c>
      <c r="M6029">
        <v>-0.99995520000000004</v>
      </c>
      <c r="N6029">
        <v>-9.4721279999999998E-3</v>
      </c>
      <c r="O6029">
        <v>-3.751809E-4</v>
      </c>
      <c r="P6029">
        <v>-0.99859500000000001</v>
      </c>
      <c r="Q6029">
        <v>-5.1843199999999999E-2</v>
      </c>
      <c r="R6029">
        <v>-1.097797E-2</v>
      </c>
      <c r="S6029">
        <v>-3.005096</v>
      </c>
      <c r="T6029">
        <v>1.1105780000000001E-2</v>
      </c>
      <c r="U6029">
        <v>2.217102E-2</v>
      </c>
      <c r="V6029">
        <v>-1.060734E-2</v>
      </c>
      <c r="W6029">
        <v>-4.2380979999999999E-2</v>
      </c>
      <c r="X6029">
        <v>0.99904519999999997</v>
      </c>
      <c r="Y6029">
        <v>7.7528440000000001E-3</v>
      </c>
      <c r="Z6029" s="1">
        <v>1.745319E-5</v>
      </c>
      <c r="AA6029">
        <v>0.99997000000000003</v>
      </c>
      <c r="AB6029">
        <v>29</v>
      </c>
      <c r="AC6029">
        <v>-3.005096</v>
      </c>
      <c r="AD6029">
        <v>1.1105780000000001E-2</v>
      </c>
      <c r="AE6029">
        <v>2.217102E-2</v>
      </c>
      <c r="AF6029">
        <v>2.3298205308782099E-2</v>
      </c>
      <c r="AG6029">
        <v>1.1105780000000001E-2</v>
      </c>
      <c r="AH6029">
        <v>3.0050464298122899</v>
      </c>
      <c r="AI6029">
        <v>89.788258745087205</v>
      </c>
      <c r="AJ6029">
        <v>89.555793189856104</v>
      </c>
      <c r="AK6029">
        <v>3.0051572654434602</v>
      </c>
      <c r="AL6029">
        <v>92.428978820690403</v>
      </c>
      <c r="AM6029">
        <v>90.608313795811299</v>
      </c>
      <c r="AN6029">
        <v>0.99999998738533702</v>
      </c>
    </row>
    <row r="6030" spans="1:40" x14ac:dyDescent="0.25">
      <c r="A6030" t="str">
        <f>"20190303153928747"</f>
        <v>20190303153928747</v>
      </c>
      <c r="B6030" t="str">
        <f>"1551598768744570"</f>
        <v>1551598768744570</v>
      </c>
      <c r="C6030" t="s">
        <v>40</v>
      </c>
      <c r="D6030">
        <v>3.9387829999999999</v>
      </c>
      <c r="E6030">
        <v>0.50943689999999997</v>
      </c>
      <c r="F6030" t="s">
        <v>46</v>
      </c>
      <c r="G6030">
        <v>0</v>
      </c>
      <c r="H6030">
        <v>0</v>
      </c>
      <c r="I6030">
        <v>0</v>
      </c>
      <c r="J6030">
        <v>-320.79020000000003</v>
      </c>
      <c r="K6030">
        <v>1.1205499999999999</v>
      </c>
      <c r="L6030">
        <v>141.52199999999999</v>
      </c>
      <c r="M6030">
        <v>-0.99995520000000004</v>
      </c>
      <c r="N6030">
        <v>-9.4625449999999993E-3</v>
      </c>
      <c r="O6030">
        <v>-3.4557179999999998E-4</v>
      </c>
      <c r="P6030">
        <v>-0.99859929999999997</v>
      </c>
      <c r="Q6030">
        <v>-5.183024E-2</v>
      </c>
      <c r="R6030">
        <v>-1.0629420000000001E-2</v>
      </c>
      <c r="S6030">
        <v>-3.005096</v>
      </c>
      <c r="T6030">
        <v>1.0414120000000001E-2</v>
      </c>
      <c r="U6030">
        <v>2.9296880000000001E-2</v>
      </c>
      <c r="V6030">
        <v>-1.028864E-2</v>
      </c>
      <c r="W6030">
        <v>-4.2377600000000001E-2</v>
      </c>
      <c r="X6030">
        <v>0.99904870000000001</v>
      </c>
      <c r="Y6030">
        <v>1.0094250000000001E-2</v>
      </c>
      <c r="Z6030" s="1">
        <v>2.58028E-5</v>
      </c>
      <c r="AA6030">
        <v>0.99994899999999998</v>
      </c>
      <c r="AB6030">
        <v>29</v>
      </c>
      <c r="AC6030">
        <v>-3.005096</v>
      </c>
      <c r="AD6030">
        <v>1.0414120000000001E-2</v>
      </c>
      <c r="AE6030">
        <v>2.9296880000000001E-2</v>
      </c>
      <c r="AF6030">
        <v>3.0335036871271901E-2</v>
      </c>
      <c r="AG6030">
        <v>1.0414120000000001E-2</v>
      </c>
      <c r="AH6030">
        <v>3.0050496099146198</v>
      </c>
      <c r="AI6030">
        <v>89.801450088065295</v>
      </c>
      <c r="AJ6030">
        <v>89.421636653195804</v>
      </c>
      <c r="AK6030">
        <v>3.00522076167548</v>
      </c>
      <c r="AL6030">
        <v>92.428784929341703</v>
      </c>
      <c r="AM6030">
        <v>90.590036111403904</v>
      </c>
      <c r="AN6030">
        <v>1.0000000110332401</v>
      </c>
    </row>
    <row r="6031" spans="1:40" x14ac:dyDescent="0.25">
      <c r="A6031" t="str">
        <f>"20190303153928770"</f>
        <v>20190303153928770</v>
      </c>
      <c r="B6031" t="str">
        <f>"1551598768765065"</f>
        <v>1551598768765065</v>
      </c>
      <c r="C6031" t="s">
        <v>40</v>
      </c>
      <c r="D6031">
        <v>3.9123139999999998</v>
      </c>
      <c r="E6031">
        <v>0.5101774</v>
      </c>
      <c r="F6031" t="s">
        <v>46</v>
      </c>
      <c r="G6031">
        <v>0</v>
      </c>
      <c r="H6031">
        <v>0</v>
      </c>
      <c r="I6031">
        <v>0</v>
      </c>
      <c r="J6031">
        <v>-321.08670000000001</v>
      </c>
      <c r="K6031">
        <v>1.1205499999999999</v>
      </c>
      <c r="L6031">
        <v>141.52189999999999</v>
      </c>
      <c r="M6031">
        <v>-0.99995540000000005</v>
      </c>
      <c r="N6031">
        <v>-9.4543960000000003E-3</v>
      </c>
      <c r="O6031">
        <v>-3.1465809999999997E-4</v>
      </c>
      <c r="P6031">
        <v>-0.99859169999999997</v>
      </c>
      <c r="Q6031">
        <v>-5.2019910000000003E-2</v>
      </c>
      <c r="R6031">
        <v>-1.04353E-2</v>
      </c>
      <c r="S6031">
        <v>-3.0050659999999998</v>
      </c>
      <c r="T6031">
        <v>8.5484979999999999E-3</v>
      </c>
      <c r="U6031">
        <v>4.0435789999999999E-2</v>
      </c>
      <c r="V6031">
        <v>-1.0125159999999999E-2</v>
      </c>
      <c r="W6031">
        <v>-4.2575500000000002E-2</v>
      </c>
      <c r="X6031">
        <v>0.99904199999999999</v>
      </c>
      <c r="Y6031">
        <v>1.3769409999999999E-2</v>
      </c>
      <c r="Z6031" s="1">
        <v>4.1640960000000001E-5</v>
      </c>
      <c r="AA6031">
        <v>0.99990520000000005</v>
      </c>
      <c r="AB6031">
        <v>29</v>
      </c>
      <c r="AC6031">
        <v>-3.0050659999999998</v>
      </c>
      <c r="AD6031">
        <v>8.5484979999999999E-3</v>
      </c>
      <c r="AE6031">
        <v>4.0435789999999999E-2</v>
      </c>
      <c r="AF6031">
        <v>4.1381063676329502E-2</v>
      </c>
      <c r="AG6031">
        <v>8.5484979999999999E-3</v>
      </c>
      <c r="AH6031">
        <v>3.0050288140341599</v>
      </c>
      <c r="AI6031">
        <v>89.8370248230367</v>
      </c>
      <c r="AJ6031">
        <v>89.211052340547695</v>
      </c>
      <c r="AK6031">
        <v>3.00532587957189</v>
      </c>
      <c r="AL6031">
        <v>92.440133899809794</v>
      </c>
      <c r="AM6031">
        <v>90.580665350765898</v>
      </c>
      <c r="AN6031">
        <v>1.00000005491463</v>
      </c>
    </row>
    <row r="6032" spans="1:40" x14ac:dyDescent="0.25">
      <c r="A6032" t="str">
        <f>"20190303153928792"</f>
        <v>20190303153928792</v>
      </c>
      <c r="B6032" t="str">
        <f>"1551598768784590"</f>
        <v>1551598768784590</v>
      </c>
      <c r="C6032" t="s">
        <v>40</v>
      </c>
      <c r="D6032">
        <v>3.9224380000000001</v>
      </c>
      <c r="E6032">
        <v>0.5108663</v>
      </c>
      <c r="F6032" t="s">
        <v>46</v>
      </c>
      <c r="G6032">
        <v>0</v>
      </c>
      <c r="H6032">
        <v>0</v>
      </c>
      <c r="I6032">
        <v>0</v>
      </c>
      <c r="J6032">
        <v>-321.37959999999998</v>
      </c>
      <c r="K6032">
        <v>1.1205449999999999</v>
      </c>
      <c r="L6032">
        <v>141.52180000000001</v>
      </c>
      <c r="M6032">
        <v>-0.99995540000000005</v>
      </c>
      <c r="N6032">
        <v>-9.4480480000000006E-3</v>
      </c>
      <c r="O6032">
        <v>-2.8399129999999998E-4</v>
      </c>
      <c r="P6032">
        <v>-0.99860970000000004</v>
      </c>
      <c r="Q6032">
        <v>-5.1534219999999999E-2</v>
      </c>
      <c r="R6032">
        <v>-1.109593E-2</v>
      </c>
      <c r="S6032">
        <v>-3.0050659999999998</v>
      </c>
      <c r="T6032">
        <v>6.5425630000000004E-3</v>
      </c>
      <c r="U6032">
        <v>4.6905519999999999E-2</v>
      </c>
      <c r="V6032">
        <v>-1.0816599999999999E-2</v>
      </c>
      <c r="W6032">
        <v>-4.2095920000000002E-2</v>
      </c>
      <c r="X6032">
        <v>0.99905500000000003</v>
      </c>
      <c r="Y6032">
        <v>1.5890990000000001E-2</v>
      </c>
      <c r="Z6032" s="1">
        <v>5.4476379999999998E-5</v>
      </c>
      <c r="AA6032">
        <v>0.99987380000000003</v>
      </c>
      <c r="AB6032">
        <v>29</v>
      </c>
      <c r="AC6032">
        <v>-3.0050659999999998</v>
      </c>
      <c r="AD6032">
        <v>6.5425630000000004E-3</v>
      </c>
      <c r="AE6032">
        <v>4.6905519999999999E-2</v>
      </c>
      <c r="AF6032">
        <v>4.7758742411521303E-2</v>
      </c>
      <c r="AG6032">
        <v>6.5425630000000004E-3</v>
      </c>
      <c r="AH6032">
        <v>3.0050383167329202</v>
      </c>
      <c r="AI6032">
        <v>89.875271699554105</v>
      </c>
      <c r="AJ6032">
        <v>89.089481153491207</v>
      </c>
      <c r="AK6032">
        <v>3.0054249263025001</v>
      </c>
      <c r="AL6032">
        <v>92.412631516319806</v>
      </c>
      <c r="AM6032">
        <v>90.6203075053959</v>
      </c>
      <c r="AN6032">
        <v>0.99999997917060301</v>
      </c>
    </row>
    <row r="6033" spans="1:40" x14ac:dyDescent="0.25">
      <c r="A6033" t="str">
        <f>"20190303153928815"</f>
        <v>20190303153928815</v>
      </c>
      <c r="B6033" t="str">
        <f>"1551598768804106"</f>
        <v>1551598768804106</v>
      </c>
      <c r="C6033" t="s">
        <v>40</v>
      </c>
      <c r="D6033">
        <v>4.1645589999999997</v>
      </c>
      <c r="E6033">
        <v>0.51154449999999996</v>
      </c>
      <c r="F6033" t="s">
        <v>46</v>
      </c>
      <c r="G6033">
        <v>0</v>
      </c>
      <c r="H6033">
        <v>0</v>
      </c>
      <c r="I6033">
        <v>0</v>
      </c>
      <c r="J6033">
        <v>-321.68029999999999</v>
      </c>
      <c r="K6033">
        <v>1.1205459999999901</v>
      </c>
      <c r="L6033">
        <v>141.52180000000001</v>
      </c>
      <c r="M6033">
        <v>-0.9999555</v>
      </c>
      <c r="N6033">
        <v>-9.443E-3</v>
      </c>
      <c r="O6033">
        <v>-2.527346E-4</v>
      </c>
      <c r="P6033">
        <v>-0.99857189999999996</v>
      </c>
      <c r="Q6033">
        <v>-5.2154180000000001E-2</v>
      </c>
      <c r="R6033">
        <v>-1.1591209999999999E-2</v>
      </c>
      <c r="S6033">
        <v>-3.005096</v>
      </c>
      <c r="T6033">
        <v>6.6773889999999997E-3</v>
      </c>
      <c r="U6033">
        <v>5.0415040000000001E-2</v>
      </c>
      <c r="V6033">
        <v>-1.134319E-2</v>
      </c>
      <c r="W6033">
        <v>-4.2721200000000001E-2</v>
      </c>
      <c r="X6033">
        <v>0.99902270000000004</v>
      </c>
      <c r="Y6033">
        <v>1.7026980000000001E-2</v>
      </c>
      <c r="Z6033" s="1">
        <v>5.853624E-5</v>
      </c>
      <c r="AA6033">
        <v>0.99985500000000005</v>
      </c>
      <c r="AB6033">
        <v>29</v>
      </c>
      <c r="AC6033">
        <v>-3.005096</v>
      </c>
      <c r="AD6033">
        <v>6.6773889999999997E-3</v>
      </c>
      <c r="AE6033">
        <v>5.0415040000000001E-2</v>
      </c>
      <c r="AF6033">
        <v>5.1174311303894403E-2</v>
      </c>
      <c r="AG6033">
        <v>6.6773889999999997E-3</v>
      </c>
      <c r="AH6033">
        <v>3.0050683288320199</v>
      </c>
      <c r="AI6033">
        <v>89.872705018981094</v>
      </c>
      <c r="AJ6033">
        <v>89.024385353736804</v>
      </c>
      <c r="AK6033">
        <v>3.0055114470935802</v>
      </c>
      <c r="AL6033">
        <v>92.448489479448995</v>
      </c>
      <c r="AM6033">
        <v>90.650524744149806</v>
      </c>
      <c r="AN6033">
        <v>1.0000000620020499</v>
      </c>
    </row>
    <row r="6034" spans="1:40" x14ac:dyDescent="0.25">
      <c r="A6034" t="str">
        <f>"20190303153928836"</f>
        <v>20190303153928836</v>
      </c>
      <c r="B6034" t="str">
        <f>"1551598768824602"</f>
        <v>1551598768824602</v>
      </c>
      <c r="C6034" t="s">
        <v>40</v>
      </c>
      <c r="D6034">
        <v>4.0504800000000003</v>
      </c>
      <c r="E6034">
        <v>0.51179949999999996</v>
      </c>
      <c r="F6034" t="s">
        <v>46</v>
      </c>
      <c r="G6034">
        <v>0</v>
      </c>
      <c r="H6034">
        <v>0</v>
      </c>
      <c r="I6034">
        <v>0</v>
      </c>
      <c r="J6034">
        <v>-321.9538</v>
      </c>
      <c r="K6034">
        <v>1.120544</v>
      </c>
      <c r="L6034">
        <v>141.52170000000001</v>
      </c>
      <c r="M6034">
        <v>-0.9999555</v>
      </c>
      <c r="N6034">
        <v>-9.4395299999999998E-3</v>
      </c>
      <c r="O6034">
        <v>-2.2422729999999999E-4</v>
      </c>
      <c r="P6034">
        <v>-0.99859659999999995</v>
      </c>
      <c r="Q6034">
        <v>-5.1614309999999997E-2</v>
      </c>
      <c r="R6034">
        <v>-1.1866410000000001E-2</v>
      </c>
      <c r="S6034">
        <v>-3.0050659999999998</v>
      </c>
      <c r="T6034">
        <v>3.4025909999999999E-3</v>
      </c>
      <c r="U6034">
        <v>5.4397580000000001E-2</v>
      </c>
      <c r="V6034">
        <v>-1.1646419999999999E-2</v>
      </c>
      <c r="W6034">
        <v>-4.2184560000000003E-2</v>
      </c>
      <c r="X6034">
        <v>0.99904199999999999</v>
      </c>
      <c r="Y6034">
        <v>1.8323269999999999E-2</v>
      </c>
      <c r="Z6034" s="1">
        <v>7.3747280000000003E-5</v>
      </c>
      <c r="AA6034">
        <v>0.9998321</v>
      </c>
      <c r="AB6034">
        <v>29</v>
      </c>
      <c r="AC6034">
        <v>-3.0050659999999998</v>
      </c>
      <c r="AD6034">
        <v>3.4025909999999999E-3</v>
      </c>
      <c r="AE6034">
        <v>5.4397580000000001E-2</v>
      </c>
      <c r="AF6034">
        <v>5.50713558550084E-2</v>
      </c>
      <c r="AG6034">
        <v>3.4025909999999999E-3</v>
      </c>
      <c r="AH6034">
        <v>3.0050498750642398</v>
      </c>
      <c r="AI6034">
        <v>89.9351354224045</v>
      </c>
      <c r="AJ6034">
        <v>88.950099592197603</v>
      </c>
      <c r="AK6034">
        <v>3.0055563850117402</v>
      </c>
      <c r="AL6034">
        <v>92.417714565666301</v>
      </c>
      <c r="AM6034">
        <v>90.667900335296196</v>
      </c>
      <c r="AN6034">
        <v>1.0000000469826</v>
      </c>
    </row>
    <row r="6035" spans="1:40" x14ac:dyDescent="0.25">
      <c r="A6035" t="str">
        <f>"20190303153928859"</f>
        <v>20190303153928859</v>
      </c>
      <c r="B6035" t="str">
        <f>"1551598768854858"</f>
        <v>1551598768854858</v>
      </c>
      <c r="C6035" t="s">
        <v>40</v>
      </c>
      <c r="D6035">
        <v>4.0090779999999997</v>
      </c>
      <c r="E6035">
        <v>0.51191469999999994</v>
      </c>
      <c r="F6035" t="s">
        <v>46</v>
      </c>
      <c r="G6035">
        <v>0</v>
      </c>
      <c r="H6035">
        <v>0</v>
      </c>
      <c r="I6035">
        <v>0</v>
      </c>
      <c r="J6035">
        <v>-322.25220000000002</v>
      </c>
      <c r="K6035">
        <v>1.1205449999999999</v>
      </c>
      <c r="L6035">
        <v>141.52170000000001</v>
      </c>
      <c r="M6035">
        <v>-0.9999555</v>
      </c>
      <c r="N6035">
        <v>-9.4368179999999996E-3</v>
      </c>
      <c r="O6035">
        <v>-1.9310090000000001E-4</v>
      </c>
      <c r="P6035">
        <v>-0.99858389999999997</v>
      </c>
      <c r="Q6035">
        <v>-5.1749900000000001E-2</v>
      </c>
      <c r="R6035">
        <v>-1.235119E-2</v>
      </c>
      <c r="S6035">
        <v>-3.0050349999999999</v>
      </c>
      <c r="T6035">
        <v>3.2858850000000001E-3</v>
      </c>
      <c r="U6035">
        <v>5.551147E-2</v>
      </c>
      <c r="V6035">
        <v>-1.216275E-2</v>
      </c>
      <c r="W6035">
        <v>-4.232292E-2</v>
      </c>
      <c r="X6035">
        <v>0.99902990000000003</v>
      </c>
      <c r="Y6035">
        <v>1.866282E-2</v>
      </c>
      <c r="Z6035" s="1">
        <v>7.5832149999999999E-5</v>
      </c>
      <c r="AA6035">
        <v>0.99982579999999999</v>
      </c>
      <c r="AB6035">
        <v>29</v>
      </c>
      <c r="AC6035">
        <v>-3.0050349999999999</v>
      </c>
      <c r="AD6035">
        <v>3.2858850000000001E-3</v>
      </c>
      <c r="AE6035">
        <v>5.551147E-2</v>
      </c>
      <c r="AF6035">
        <v>5.6091702697139201E-2</v>
      </c>
      <c r="AG6035">
        <v>3.2858850000000001E-3</v>
      </c>
      <c r="AH6035">
        <v>3.0050206324372102</v>
      </c>
      <c r="AI6035">
        <v>89.937360004783798</v>
      </c>
      <c r="AJ6035">
        <v>88.930641400125694</v>
      </c>
      <c r="AK6035">
        <v>3.00554588677748</v>
      </c>
      <c r="AL6035">
        <v>92.425649327164194</v>
      </c>
      <c r="AM6035">
        <v>90.6975164758517</v>
      </c>
      <c r="AN6035">
        <v>0.99999995156944799</v>
      </c>
    </row>
    <row r="6036" spans="1:40" x14ac:dyDescent="0.25">
      <c r="A6036" t="str">
        <f>"20190303153928875"</f>
        <v>20190303153928875</v>
      </c>
      <c r="B6036" t="str">
        <f>"1551598768864618"</f>
        <v>1551598768864618</v>
      </c>
      <c r="C6036" t="s">
        <v>40</v>
      </c>
      <c r="D6036">
        <v>4.0404090000000004</v>
      </c>
      <c r="E6036">
        <v>0.51192340000000003</v>
      </c>
      <c r="F6036" t="s">
        <v>46</v>
      </c>
      <c r="G6036">
        <v>0</v>
      </c>
      <c r="H6036">
        <v>0</v>
      </c>
      <c r="I6036">
        <v>0</v>
      </c>
      <c r="J6036">
        <v>-322.45870000000002</v>
      </c>
      <c r="K6036">
        <v>1.120544</v>
      </c>
      <c r="L6036">
        <v>141.52170000000001</v>
      </c>
      <c r="M6036">
        <v>-0.9999555</v>
      </c>
      <c r="N6036">
        <v>-9.4355050000000003E-3</v>
      </c>
      <c r="O6036">
        <v>-1.7151779999999999E-4</v>
      </c>
      <c r="P6036">
        <v>-0.99860070000000001</v>
      </c>
      <c r="Q6036">
        <v>-5.1366990000000001E-2</v>
      </c>
      <c r="R6036">
        <v>-1.258017E-2</v>
      </c>
      <c r="S6036">
        <v>-3.0049440000000001</v>
      </c>
      <c r="T6036">
        <v>8.0752369999999903E-4</v>
      </c>
      <c r="U6036">
        <v>5.5007929999999997E-2</v>
      </c>
      <c r="V6036">
        <v>-1.241304E-2</v>
      </c>
      <c r="W6036">
        <v>-4.194117E-2</v>
      </c>
      <c r="X6036">
        <v>0.99904300000000001</v>
      </c>
      <c r="Y6036">
        <v>1.8474259999999999E-2</v>
      </c>
      <c r="Z6036" s="1">
        <v>8.3019699999999994E-5</v>
      </c>
      <c r="AA6036">
        <v>0.99982939999999998</v>
      </c>
      <c r="AB6036">
        <v>29</v>
      </c>
      <c r="AC6036">
        <v>-3.0049440000000001</v>
      </c>
      <c r="AD6036">
        <v>8.0752369999999903E-4</v>
      </c>
      <c r="AE6036">
        <v>5.5007929999999997E-2</v>
      </c>
      <c r="AF6036">
        <v>5.55233494952386E-2</v>
      </c>
      <c r="AG6036">
        <v>8.0752369999999903E-4</v>
      </c>
      <c r="AH6036">
        <v>3.00493430360312</v>
      </c>
      <c r="AI6036">
        <v>89.984605386380906</v>
      </c>
      <c r="AJ6036">
        <v>88.941443871397695</v>
      </c>
      <c r="AK6036">
        <v>3.0054473316636998</v>
      </c>
      <c r="AL6036">
        <v>92.403757033047697</v>
      </c>
      <c r="AM6036">
        <v>90.711859456963595</v>
      </c>
      <c r="AN6036">
        <v>1.000000030576</v>
      </c>
    </row>
    <row r="6037" spans="1:40" x14ac:dyDescent="0.25">
      <c r="A6037" t="str">
        <f>"20190303153928887"</f>
        <v>20190303153928887</v>
      </c>
      <c r="B6037" t="str">
        <f>"1551598768884138"</f>
        <v>1551598768884138</v>
      </c>
      <c r="C6037" t="s">
        <v>40</v>
      </c>
      <c r="D6037">
        <v>4.0541400000000003</v>
      </c>
      <c r="E6037">
        <v>0.51193729999999904</v>
      </c>
      <c r="F6037" t="s">
        <v>46</v>
      </c>
      <c r="G6037">
        <v>0</v>
      </c>
      <c r="H6037">
        <v>0</v>
      </c>
      <c r="I6037">
        <v>0</v>
      </c>
      <c r="J6037">
        <v>-322.62479999999999</v>
      </c>
      <c r="K6037">
        <v>1.1205430000000001</v>
      </c>
      <c r="L6037">
        <v>141.52170000000001</v>
      </c>
      <c r="M6037">
        <v>-0.9999557</v>
      </c>
      <c r="N6037">
        <v>-9.4347560000000007E-3</v>
      </c>
      <c r="O6037">
        <v>-1.542289E-4</v>
      </c>
      <c r="P6037">
        <v>-0.99861100000000003</v>
      </c>
      <c r="Q6037">
        <v>-5.1060849999999998E-2</v>
      </c>
      <c r="R6037">
        <v>-1.301225E-2</v>
      </c>
      <c r="S6037">
        <v>-3.0049739999999998</v>
      </c>
      <c r="T6037">
        <v>1.4073849999999999E-3</v>
      </c>
      <c r="U6037">
        <v>5.4519650000000003E-2</v>
      </c>
      <c r="V6037">
        <v>-1.2862429999999999E-2</v>
      </c>
      <c r="W6037">
        <v>-4.1635650000000003E-2</v>
      </c>
      <c r="X6037">
        <v>0.99905010000000005</v>
      </c>
      <c r="Y6037">
        <v>1.8294390000000001E-2</v>
      </c>
      <c r="Z6037" s="1">
        <v>8.0499449999999994E-5</v>
      </c>
      <c r="AA6037">
        <v>0.99983259999999996</v>
      </c>
      <c r="AB6037">
        <v>29</v>
      </c>
      <c r="AC6037">
        <v>-3.0049739999999998</v>
      </c>
      <c r="AD6037">
        <v>1.4073849999999999E-3</v>
      </c>
      <c r="AE6037">
        <v>5.4519650000000003E-2</v>
      </c>
      <c r="AF6037">
        <v>5.4983111655711001E-2</v>
      </c>
      <c r="AG6037">
        <v>1.4073849999999999E-3</v>
      </c>
      <c r="AH6037">
        <v>3.0049648964473699</v>
      </c>
      <c r="AI6037">
        <v>89.973169829789001</v>
      </c>
      <c r="AJ6037">
        <v>88.9517518997488</v>
      </c>
      <c r="AK6037">
        <v>3.0054682084794799</v>
      </c>
      <c r="AL6037">
        <v>92.386236709995799</v>
      </c>
      <c r="AM6037">
        <v>90.737622906441899</v>
      </c>
      <c r="AN6037">
        <v>1.00000003588321</v>
      </c>
    </row>
    <row r="6038" spans="1:40" x14ac:dyDescent="0.25">
      <c r="A6038" t="str">
        <f>"20190303153928905"</f>
        <v>20190303153928905</v>
      </c>
      <c r="B6038" t="str">
        <f>"1551598768894875"</f>
        <v>1551598768894875</v>
      </c>
      <c r="C6038" t="s">
        <v>40</v>
      </c>
      <c r="D6038">
        <v>3.9985970000000002</v>
      </c>
      <c r="E6038">
        <v>0.5119437</v>
      </c>
      <c r="F6038" t="s">
        <v>46</v>
      </c>
      <c r="G6038">
        <v>0</v>
      </c>
      <c r="H6038">
        <v>0</v>
      </c>
      <c r="I6038">
        <v>0</v>
      </c>
      <c r="J6038">
        <v>-322.86040000000003</v>
      </c>
      <c r="K6038">
        <v>1.120547</v>
      </c>
      <c r="L6038">
        <v>141.52170000000001</v>
      </c>
      <c r="M6038">
        <v>-0.9999557</v>
      </c>
      <c r="N6038">
        <v>-9.4342269999999999E-3</v>
      </c>
      <c r="O6038">
        <v>-1.296692E-4</v>
      </c>
      <c r="P6038">
        <v>-0.99862550000000005</v>
      </c>
      <c r="Q6038">
        <v>-5.0719260000000002E-2</v>
      </c>
      <c r="R6038">
        <v>-1.324267E-2</v>
      </c>
      <c r="S6038">
        <v>-3.0049440000000001</v>
      </c>
      <c r="T6038">
        <v>1.3027189999999999E-3</v>
      </c>
      <c r="U6038">
        <v>5.33905E-2</v>
      </c>
      <c r="V6038">
        <v>-1.3117490000000001E-2</v>
      </c>
      <c r="W6038">
        <v>-4.1294409999999997E-2</v>
      </c>
      <c r="X6038">
        <v>0.99906090000000003</v>
      </c>
      <c r="Y6038">
        <v>1.7894440000000001E-2</v>
      </c>
      <c r="Z6038" s="1">
        <v>7.9260530000000007E-5</v>
      </c>
      <c r="AA6038">
        <v>0.9998399</v>
      </c>
      <c r="AB6038">
        <v>29</v>
      </c>
      <c r="AC6038">
        <v>-3.0049440000000001</v>
      </c>
      <c r="AD6038">
        <v>1.3027189999999999E-3</v>
      </c>
      <c r="AE6038">
        <v>5.33905E-2</v>
      </c>
      <c r="AF6038">
        <v>5.3780155390079701E-2</v>
      </c>
      <c r="AG6038">
        <v>1.3027189999999999E-3</v>
      </c>
      <c r="AH6038">
        <v>3.0049364867430701</v>
      </c>
      <c r="AI6038">
        <v>89.975164751395695</v>
      </c>
      <c r="AJ6038">
        <v>88.974671510886594</v>
      </c>
      <c r="AK6038">
        <v>3.0054179894900401</v>
      </c>
      <c r="AL6038">
        <v>92.366668379210296</v>
      </c>
      <c r="AM6038">
        <v>90.752240059256494</v>
      </c>
      <c r="AN6038">
        <v>0.99999998937497803</v>
      </c>
    </row>
    <row r="6039" spans="1:40" x14ac:dyDescent="0.25">
      <c r="A6039" t="str">
        <f>"20190303153928928"</f>
        <v>20190303153928928</v>
      </c>
      <c r="B6039" t="str">
        <f>"1551598768924154"</f>
        <v>1551598768924154</v>
      </c>
      <c r="C6039" t="s">
        <v>40</v>
      </c>
      <c r="D6039">
        <v>4.0500249999999998</v>
      </c>
      <c r="E6039">
        <v>0.51202309999999995</v>
      </c>
      <c r="F6039" t="s">
        <v>46</v>
      </c>
      <c r="G6039">
        <v>0</v>
      </c>
      <c r="H6039">
        <v>0</v>
      </c>
      <c r="I6039">
        <v>0</v>
      </c>
      <c r="J6039">
        <v>-323.1472</v>
      </c>
      <c r="K6039">
        <v>1.1205430000000001</v>
      </c>
      <c r="L6039">
        <v>141.52170000000001</v>
      </c>
      <c r="M6039">
        <v>-0.9999555</v>
      </c>
      <c r="N6039">
        <v>-9.4341970000000001E-3</v>
      </c>
      <c r="O6039" s="1">
        <v>-9.9508880000000004E-5</v>
      </c>
      <c r="P6039">
        <v>-0.9986294</v>
      </c>
      <c r="Q6039">
        <v>-5.0617059999999998E-2</v>
      </c>
      <c r="R6039">
        <v>-1.33226E-2</v>
      </c>
      <c r="S6039">
        <v>-3.004883</v>
      </c>
      <c r="T6039">
        <v>1.9056800000000001E-3</v>
      </c>
      <c r="U6039">
        <v>5.264282E-2</v>
      </c>
      <c r="V6039">
        <v>-1.322711E-2</v>
      </c>
      <c r="W6039">
        <v>-4.1192220000000002E-2</v>
      </c>
      <c r="X6039">
        <v>0.9990637</v>
      </c>
      <c r="Y6039">
        <v>1.7615949999999998E-2</v>
      </c>
      <c r="Z6039" s="1">
        <v>7.6516919999999994E-5</v>
      </c>
      <c r="AA6039">
        <v>0.99984479999999998</v>
      </c>
      <c r="AB6039">
        <v>29</v>
      </c>
      <c r="AC6039">
        <v>-3.004883</v>
      </c>
      <c r="AD6039">
        <v>1.9056800000000001E-3</v>
      </c>
      <c r="AE6039">
        <v>5.264282E-2</v>
      </c>
      <c r="AF6039">
        <v>5.2941824299569E-2</v>
      </c>
      <c r="AG6039">
        <v>1.9056800000000001E-3</v>
      </c>
      <c r="AH6039">
        <v>3.0048765382621299</v>
      </c>
      <c r="AI6039">
        <v>89.963668902117405</v>
      </c>
      <c r="AJ6039">
        <v>88.990630980834794</v>
      </c>
      <c r="AK6039">
        <v>3.0053434876191201</v>
      </c>
      <c r="AL6039">
        <v>92.360808274324995</v>
      </c>
      <c r="AM6039">
        <v>90.7585235081376</v>
      </c>
      <c r="AN6039">
        <v>1.0000000160425799</v>
      </c>
    </row>
    <row r="6040" spans="1:40" x14ac:dyDescent="0.25">
      <c r="A6040" t="str">
        <f>"20190303153928949"</f>
        <v>20190303153928949</v>
      </c>
      <c r="B6040" t="str">
        <f>"1551598768944651"</f>
        <v>1551598768944651</v>
      </c>
      <c r="C6040" t="s">
        <v>40</v>
      </c>
      <c r="D6040">
        <v>3.9576910000000001</v>
      </c>
      <c r="E6040">
        <v>0.51225699999999996</v>
      </c>
      <c r="F6040" t="s">
        <v>46</v>
      </c>
      <c r="G6040">
        <v>0</v>
      </c>
      <c r="H6040">
        <v>0</v>
      </c>
      <c r="I6040">
        <v>0</v>
      </c>
      <c r="J6040">
        <v>-323.43779999999998</v>
      </c>
      <c r="K6040">
        <v>1.120541</v>
      </c>
      <c r="L6040">
        <v>141.52170000000001</v>
      </c>
      <c r="M6040">
        <v>-0.9999555</v>
      </c>
      <c r="N6040">
        <v>-9.4348009999999996E-3</v>
      </c>
      <c r="O6040" s="1">
        <v>-6.9470749999999996E-5</v>
      </c>
      <c r="P6040">
        <v>-0.99863619999999997</v>
      </c>
      <c r="Q6040">
        <v>-5.0523459999999999E-2</v>
      </c>
      <c r="R6040">
        <v>-1.315755E-2</v>
      </c>
      <c r="S6040">
        <v>-3.0049130000000002</v>
      </c>
      <c r="T6040">
        <v>1.125336E-3</v>
      </c>
      <c r="U6040">
        <v>5.2886959999999997E-2</v>
      </c>
      <c r="V6040">
        <v>-1.3092339999999999E-2</v>
      </c>
      <c r="W6040">
        <v>-4.1097969999999998E-2</v>
      </c>
      <c r="X6040">
        <v>0.99906930000000005</v>
      </c>
      <c r="Y6040">
        <v>1.7666930000000001E-2</v>
      </c>
      <c r="Z6040" s="1">
        <v>7.9360909999999995E-5</v>
      </c>
      <c r="AA6040">
        <v>0.99984390000000001</v>
      </c>
      <c r="AB6040">
        <v>29</v>
      </c>
      <c r="AC6040">
        <v>-3.0049130000000002</v>
      </c>
      <c r="AD6040">
        <v>1.125336E-3</v>
      </c>
      <c r="AE6040">
        <v>5.2886959999999997E-2</v>
      </c>
      <c r="AF6040">
        <v>5.3095715277275697E-2</v>
      </c>
      <c r="AG6040">
        <v>1.125336E-3</v>
      </c>
      <c r="AH6040">
        <v>3.00490889718216</v>
      </c>
      <c r="AI6040">
        <v>89.978546125862593</v>
      </c>
      <c r="AJ6040">
        <v>88.987708461580795</v>
      </c>
      <c r="AK6040">
        <v>3.0053781628484701</v>
      </c>
      <c r="AL6040">
        <v>92.355403703990802</v>
      </c>
      <c r="AM6040">
        <v>90.750791652171202</v>
      </c>
      <c r="AN6040">
        <v>0.99999995935364205</v>
      </c>
    </row>
    <row r="6041" spans="1:40" x14ac:dyDescent="0.25">
      <c r="A6041" t="str">
        <f>"20190303153928972"</f>
        <v>20190303153928972</v>
      </c>
      <c r="B6041" t="str">
        <f>"1551598768965154"</f>
        <v>1551598768965154</v>
      </c>
      <c r="C6041" t="s">
        <v>40</v>
      </c>
      <c r="D6041">
        <v>3.9451109999999998</v>
      </c>
      <c r="E6041">
        <v>0.51262350000000001</v>
      </c>
      <c r="F6041" t="s">
        <v>46</v>
      </c>
      <c r="G6041">
        <v>0</v>
      </c>
      <c r="H6041">
        <v>0</v>
      </c>
      <c r="I6041">
        <v>0</v>
      </c>
      <c r="J6041">
        <v>-323.74299999999999</v>
      </c>
      <c r="K6041">
        <v>1.12053799999999</v>
      </c>
      <c r="L6041">
        <v>141.52170000000001</v>
      </c>
      <c r="M6041">
        <v>-0.9999555</v>
      </c>
      <c r="N6041">
        <v>-9.4360629999999997E-3</v>
      </c>
      <c r="O6041" s="1">
        <v>-3.7766650000000002E-5</v>
      </c>
      <c r="P6041">
        <v>-0.9986275</v>
      </c>
      <c r="Q6041">
        <v>-5.0749700000000002E-2</v>
      </c>
      <c r="R6041">
        <v>-1.2952099999999999E-2</v>
      </c>
      <c r="S6041">
        <v>-3.0049739999999998</v>
      </c>
      <c r="T6041">
        <v>2.8902289999999998E-3</v>
      </c>
      <c r="U6041">
        <v>5.5313109999999999E-2</v>
      </c>
      <c r="V6041">
        <v>-1.291834E-2</v>
      </c>
      <c r="W6041">
        <v>-4.1323039999999998E-2</v>
      </c>
      <c r="X6041">
        <v>0.99906229999999996</v>
      </c>
      <c r="Y6041">
        <v>1.8441900000000001E-2</v>
      </c>
      <c r="Z6041" s="1">
        <v>7.7757819999999997E-5</v>
      </c>
      <c r="AA6041">
        <v>0.99982990000000005</v>
      </c>
      <c r="AB6041">
        <v>30</v>
      </c>
      <c r="AC6041">
        <v>-3.0049739999999998</v>
      </c>
      <c r="AD6041">
        <v>2.8902289999999998E-3</v>
      </c>
      <c r="AE6041">
        <v>5.5313109999999999E-2</v>
      </c>
      <c r="AF6041">
        <v>5.5426551555143998E-2</v>
      </c>
      <c r="AG6041">
        <v>2.8902289999999998E-3</v>
      </c>
      <c r="AH6041">
        <v>3.00496912985348</v>
      </c>
      <c r="AI6041">
        <v>89.944901360737603</v>
      </c>
      <c r="AJ6041">
        <v>88.943301155386393</v>
      </c>
      <c r="AK6041">
        <v>3.00548164649418</v>
      </c>
      <c r="AL6041">
        <v>92.368310185220395</v>
      </c>
      <c r="AM6041">
        <v>90.740819779981294</v>
      </c>
      <c r="AN6041">
        <v>0.99999997821224296</v>
      </c>
    </row>
    <row r="6042" spans="1:40" x14ac:dyDescent="0.25">
      <c r="A6042" t="str">
        <f>"20190303153928986"</f>
        <v>20190303153928986</v>
      </c>
      <c r="B6042" t="str">
        <f>"1551598768974906"</f>
        <v>1551598768974906</v>
      </c>
      <c r="C6042" t="s">
        <v>40</v>
      </c>
      <c r="D6042">
        <v>4.0361880000000001</v>
      </c>
      <c r="E6042">
        <v>0.51265260000000001</v>
      </c>
      <c r="F6042" t="s">
        <v>46</v>
      </c>
      <c r="G6042">
        <v>0</v>
      </c>
      <c r="H6042">
        <v>0</v>
      </c>
      <c r="I6042">
        <v>0</v>
      </c>
      <c r="J6042">
        <v>-323.9384</v>
      </c>
      <c r="K6042">
        <v>1.120536</v>
      </c>
      <c r="L6042">
        <v>141.52170000000001</v>
      </c>
      <c r="M6042">
        <v>-0.9999555</v>
      </c>
      <c r="N6042">
        <v>-9.4371379999999994E-3</v>
      </c>
      <c r="O6042" s="1">
        <v>-1.7565639999999999E-5</v>
      </c>
      <c r="P6042">
        <v>-0.99864640000000005</v>
      </c>
      <c r="Q6042">
        <v>-5.0394099999999997E-2</v>
      </c>
      <c r="R6042">
        <v>-1.287549E-2</v>
      </c>
      <c r="S6042">
        <v>-3.005188</v>
      </c>
      <c r="T6042">
        <v>5.9703589999999997E-3</v>
      </c>
      <c r="U6042">
        <v>5.8914179999999997E-2</v>
      </c>
      <c r="V6042">
        <v>-1.286231E-2</v>
      </c>
      <c r="W6042">
        <v>-4.0966210000000003E-2</v>
      </c>
      <c r="X6042">
        <v>0.99907769999999996</v>
      </c>
      <c r="Y6042">
        <v>1.9618099999999999E-2</v>
      </c>
      <c r="Z6042" s="1">
        <v>7.2893719999999896E-5</v>
      </c>
      <c r="AA6042">
        <v>0.99980749999999996</v>
      </c>
      <c r="AB6042">
        <v>30</v>
      </c>
      <c r="AC6042">
        <v>-3.005188</v>
      </c>
      <c r="AD6042">
        <v>5.9703589999999997E-3</v>
      </c>
      <c r="AE6042">
        <v>5.8914179999999997E-2</v>
      </c>
      <c r="AF6042">
        <v>5.8966737743417902E-2</v>
      </c>
      <c r="AG6042">
        <v>5.9703589999999997E-3</v>
      </c>
      <c r="AH6042">
        <v>3.0051751080157798</v>
      </c>
      <c r="AI6042">
        <v>89.886192957817102</v>
      </c>
      <c r="AJ6042">
        <v>88.875901872864304</v>
      </c>
      <c r="AK6042">
        <v>3.0057594965639498</v>
      </c>
      <c r="AL6042">
        <v>92.347848047077704</v>
      </c>
      <c r="AM6042">
        <v>90.737595650806895</v>
      </c>
      <c r="AN6042">
        <v>0.99999996000879399</v>
      </c>
    </row>
    <row r="6043" spans="1:40" x14ac:dyDescent="0.25">
      <c r="A6043" t="str">
        <f>"20190303153929000"</f>
        <v>20190303153929000</v>
      </c>
      <c r="B6043" t="str">
        <f>"1551598768994426"</f>
        <v>1551598768994426</v>
      </c>
      <c r="C6043" t="s">
        <v>40</v>
      </c>
      <c r="D6043">
        <v>3.9430640000000001</v>
      </c>
      <c r="E6043">
        <v>0.51299740000000005</v>
      </c>
      <c r="F6043" t="s">
        <v>46</v>
      </c>
      <c r="G6043">
        <v>0</v>
      </c>
      <c r="H6043">
        <v>0</v>
      </c>
      <c r="I6043">
        <v>0</v>
      </c>
      <c r="J6043">
        <v>-324.11380000000003</v>
      </c>
      <c r="K6043">
        <v>1.120536</v>
      </c>
      <c r="L6043">
        <v>141.52170000000001</v>
      </c>
      <c r="M6043">
        <v>-0.99995540000000005</v>
      </c>
      <c r="N6043">
        <v>-9.4382979999999995E-3</v>
      </c>
      <c r="O6043" s="1">
        <v>6.6805839999999998E-7</v>
      </c>
      <c r="P6043">
        <v>-0.99865890000000002</v>
      </c>
      <c r="Q6043">
        <v>-5.016325E-2</v>
      </c>
      <c r="R6043">
        <v>-1.2814300000000001E-2</v>
      </c>
      <c r="S6043">
        <v>-3.0051269999999999</v>
      </c>
      <c r="T6043">
        <v>6.5001249999999998E-3</v>
      </c>
      <c r="U6043">
        <v>5.9280399999999997E-2</v>
      </c>
      <c r="V6043">
        <v>-1.281908E-2</v>
      </c>
      <c r="W6043">
        <v>-4.0734100000000002E-2</v>
      </c>
      <c r="X6043">
        <v>0.99908779999999997</v>
      </c>
      <c r="Y6043">
        <v>1.9722070000000001E-2</v>
      </c>
      <c r="Z6043" s="1">
        <v>7.176246E-5</v>
      </c>
      <c r="AA6043">
        <v>0.99980550000000001</v>
      </c>
      <c r="AB6043">
        <v>30</v>
      </c>
      <c r="AC6043">
        <v>-3.0051269999999999</v>
      </c>
      <c r="AD6043">
        <v>6.5001249999999998E-3</v>
      </c>
      <c r="AE6043">
        <v>5.9280399999999997E-2</v>
      </c>
      <c r="AF6043">
        <v>5.9278115078224301E-2</v>
      </c>
      <c r="AG6043">
        <v>6.5001249999999998E-3</v>
      </c>
      <c r="AH6043">
        <v>3.0051129852916798</v>
      </c>
      <c r="AI6043">
        <v>89.876092275368293</v>
      </c>
      <c r="AJ6043">
        <v>88.869944187238303</v>
      </c>
      <c r="AK6043">
        <v>3.0057046097248001</v>
      </c>
      <c r="AL6043">
        <v>92.334537887125904</v>
      </c>
      <c r="AM6043">
        <v>90.735109446528099</v>
      </c>
      <c r="AN6043">
        <v>1.0000000139118399</v>
      </c>
    </row>
    <row r="6044" spans="1:40" x14ac:dyDescent="0.25">
      <c r="A6044" t="str">
        <f>"20190303153929014"</f>
        <v>20190303153929014</v>
      </c>
      <c r="B6044" t="str">
        <f>"1551598769005163"</f>
        <v>1551598769005163</v>
      </c>
      <c r="C6044" t="s">
        <v>40</v>
      </c>
      <c r="D6044">
        <v>3.9551259999999999</v>
      </c>
      <c r="E6044">
        <v>0.51316249999999997</v>
      </c>
      <c r="F6044" t="s">
        <v>46</v>
      </c>
      <c r="G6044">
        <v>0</v>
      </c>
      <c r="H6044">
        <v>0</v>
      </c>
      <c r="I6044">
        <v>0</v>
      </c>
      <c r="J6044">
        <v>-324.31639999999999</v>
      </c>
      <c r="K6044">
        <v>1.120539</v>
      </c>
      <c r="L6044">
        <v>141.52170000000001</v>
      </c>
      <c r="M6044">
        <v>-0.99995540000000005</v>
      </c>
      <c r="N6044">
        <v>-9.4425470000000008E-3</v>
      </c>
      <c r="O6044" s="1">
        <v>2.1687649999999999E-5</v>
      </c>
      <c r="P6044">
        <v>-0.99865740000000003</v>
      </c>
      <c r="Q6044">
        <v>-5.0287060000000001E-2</v>
      </c>
      <c r="R6044">
        <v>-1.243057E-2</v>
      </c>
      <c r="S6044">
        <v>-3.0053709999999998</v>
      </c>
      <c r="T6044">
        <v>1.111698E-2</v>
      </c>
      <c r="U6044">
        <v>6.216431E-2</v>
      </c>
      <c r="V6044">
        <v>-1.2456480000000001E-2</v>
      </c>
      <c r="W6044">
        <v>-4.0853729999999998E-2</v>
      </c>
      <c r="X6044">
        <v>0.99908750000000002</v>
      </c>
      <c r="Y6044">
        <v>2.065852E-2</v>
      </c>
      <c r="Z6044" s="1">
        <v>5.9627480000000003E-5</v>
      </c>
      <c r="AA6044">
        <v>0.99978659999999997</v>
      </c>
      <c r="AB6044">
        <v>30</v>
      </c>
      <c r="AC6044">
        <v>-3.0053709999999998</v>
      </c>
      <c r="AD6044">
        <v>1.111698E-2</v>
      </c>
      <c r="AE6044">
        <v>6.216431E-2</v>
      </c>
      <c r="AF6044">
        <v>6.2098278324082497E-2</v>
      </c>
      <c r="AG6044">
        <v>1.111698E-2</v>
      </c>
      <c r="AH6044">
        <v>3.0053312435553798</v>
      </c>
      <c r="AI6044">
        <v>89.788104155533802</v>
      </c>
      <c r="AJ6044">
        <v>88.816282549553904</v>
      </c>
      <c r="AK6044">
        <v>3.00599329122758</v>
      </c>
      <c r="AL6044">
        <v>92.341397896237396</v>
      </c>
      <c r="AM6044">
        <v>90.714318569589494</v>
      </c>
      <c r="AN6044">
        <v>1.00000001190257</v>
      </c>
    </row>
    <row r="6045" spans="1:40" x14ac:dyDescent="0.25">
      <c r="A6045" t="str">
        <f>"20190303153929031"</f>
        <v>20190303153929031</v>
      </c>
      <c r="B6045" t="str">
        <f>"1551598769024682"</f>
        <v>1551598769024682</v>
      </c>
      <c r="C6045" t="s">
        <v>40</v>
      </c>
      <c r="D6045">
        <v>3.947953</v>
      </c>
      <c r="E6045">
        <v>0.51349319999999998</v>
      </c>
      <c r="F6045" t="s">
        <v>46</v>
      </c>
      <c r="G6045">
        <v>0</v>
      </c>
      <c r="H6045">
        <v>0</v>
      </c>
      <c r="I6045">
        <v>0</v>
      </c>
      <c r="J6045">
        <v>-324.517</v>
      </c>
      <c r="K6045">
        <v>1.120539</v>
      </c>
      <c r="L6045">
        <v>141.52180000000001</v>
      </c>
      <c r="M6045">
        <v>-0.99995540000000005</v>
      </c>
      <c r="N6045">
        <v>-9.451447E-3</v>
      </c>
      <c r="O6045" s="1">
        <v>4.2385780000000002E-5</v>
      </c>
      <c r="P6045">
        <v>-0.99865749999999998</v>
      </c>
      <c r="Q6045">
        <v>-5.0343789999999999E-2</v>
      </c>
      <c r="R6045">
        <v>-1.2195330000000001E-2</v>
      </c>
      <c r="S6045">
        <v>-3.0054319999999999</v>
      </c>
      <c r="T6045">
        <v>1.2455340000000001E-2</v>
      </c>
      <c r="U6045">
        <v>6.4712519999999996E-2</v>
      </c>
      <c r="V6045">
        <v>-1.22416E-2</v>
      </c>
      <c r="W6045">
        <v>-4.0901600000000003E-2</v>
      </c>
      <c r="X6045">
        <v>0.99908819999999998</v>
      </c>
      <c r="Y6045">
        <v>2.148473E-2</v>
      </c>
      <c r="Z6045" s="1">
        <v>5.7606560000000002E-5</v>
      </c>
      <c r="AA6045">
        <v>0.99976920000000002</v>
      </c>
      <c r="AB6045">
        <v>30</v>
      </c>
      <c r="AC6045">
        <v>-3.0054319999999999</v>
      </c>
      <c r="AD6045">
        <v>1.2455340000000001E-2</v>
      </c>
      <c r="AE6045">
        <v>6.4712519999999996E-2</v>
      </c>
      <c r="AF6045">
        <v>6.4584017962625098E-2</v>
      </c>
      <c r="AG6045">
        <v>1.2455340000000001E-2</v>
      </c>
      <c r="AH6045">
        <v>3.0053831467040899</v>
      </c>
      <c r="AI6045">
        <v>89.762602777751596</v>
      </c>
      <c r="AJ6045">
        <v>88.768934933950902</v>
      </c>
      <c r="AK6045">
        <v>3.0061028075173502</v>
      </c>
      <c r="AL6045">
        <v>92.344142933460105</v>
      </c>
      <c r="AM6045">
        <v>90.701996998418494</v>
      </c>
      <c r="AN6045">
        <v>1.00000001451617</v>
      </c>
    </row>
    <row r="6046" spans="1:40" x14ac:dyDescent="0.25">
      <c r="A6046" t="str">
        <f>"20190303153929045"</f>
        <v>20190303153929045</v>
      </c>
      <c r="B6046" t="str">
        <f>"1551598769034443"</f>
        <v>1551598769034443</v>
      </c>
      <c r="C6046" t="s">
        <v>40</v>
      </c>
      <c r="D6046">
        <v>3.930399</v>
      </c>
      <c r="E6046">
        <v>0.51365190000000005</v>
      </c>
      <c r="F6046" t="s">
        <v>46</v>
      </c>
      <c r="G6046">
        <v>0</v>
      </c>
      <c r="H6046">
        <v>0</v>
      </c>
      <c r="I6046">
        <v>0</v>
      </c>
      <c r="J6046">
        <v>-324.7133</v>
      </c>
      <c r="K6046">
        <v>1.120539</v>
      </c>
      <c r="L6046">
        <v>141.52180000000001</v>
      </c>
      <c r="M6046">
        <v>-0.99995520000000004</v>
      </c>
      <c r="N6046">
        <v>-9.4649810000000008E-3</v>
      </c>
      <c r="O6046" s="1">
        <v>6.2406589999999999E-5</v>
      </c>
      <c r="P6046">
        <v>-0.99866120000000003</v>
      </c>
      <c r="Q6046">
        <v>-5.0319160000000002E-2</v>
      </c>
      <c r="R6046">
        <v>-1.1996059999999999E-2</v>
      </c>
      <c r="S6046">
        <v>-3.0057070000000001</v>
      </c>
      <c r="T6046">
        <v>1.591039E-2</v>
      </c>
      <c r="U6046">
        <v>6.8084720000000001E-2</v>
      </c>
      <c r="V6046">
        <v>-1.206249E-2</v>
      </c>
      <c r="W6046">
        <v>-4.0863429999999999E-2</v>
      </c>
      <c r="X6046">
        <v>0.99909190000000003</v>
      </c>
      <c r="Y6046">
        <v>2.2583869999999999E-2</v>
      </c>
      <c r="Z6046" s="1">
        <v>4.8049780000000001E-5</v>
      </c>
      <c r="AA6046">
        <v>0.99974499999999999</v>
      </c>
      <c r="AB6046">
        <v>30</v>
      </c>
      <c r="AC6046">
        <v>-3.0057070000000001</v>
      </c>
      <c r="AD6046">
        <v>1.591039E-2</v>
      </c>
      <c r="AE6046">
        <v>6.8084720000000001E-2</v>
      </c>
      <c r="AF6046">
        <v>6.7895234089743406E-2</v>
      </c>
      <c r="AG6046">
        <v>1.591039E-2</v>
      </c>
      <c r="AH6046">
        <v>3.0056270687465099</v>
      </c>
      <c r="AI6046">
        <v>89.696783009892201</v>
      </c>
      <c r="AJ6046">
        <v>88.705944285721301</v>
      </c>
      <c r="AK6046">
        <v>3.00643592642581</v>
      </c>
      <c r="AL6046">
        <v>92.341954218336099</v>
      </c>
      <c r="AM6046">
        <v>90.691724343630696</v>
      </c>
      <c r="AN6046">
        <v>0.99999997411098696</v>
      </c>
    </row>
    <row r="6047" spans="1:40" x14ac:dyDescent="0.25">
      <c r="A6047" t="str">
        <f>"20190303153929062"</f>
        <v>20190303153929062</v>
      </c>
      <c r="B6047" t="str">
        <f>"1551598769054939"</f>
        <v>1551598769054939</v>
      </c>
      <c r="C6047" t="s">
        <v>40</v>
      </c>
      <c r="D6047">
        <v>3.9525329999999999</v>
      </c>
      <c r="E6047">
        <v>0.51394459999999997</v>
      </c>
      <c r="F6047" t="s">
        <v>46</v>
      </c>
      <c r="G6047">
        <v>0</v>
      </c>
      <c r="H6047">
        <v>0</v>
      </c>
      <c r="I6047">
        <v>0</v>
      </c>
      <c r="J6047">
        <v>-324.93189999999998</v>
      </c>
      <c r="K6047">
        <v>1.1205400000000001</v>
      </c>
      <c r="L6047">
        <v>141.52180000000001</v>
      </c>
      <c r="M6047">
        <v>-0.99995500000000004</v>
      </c>
      <c r="N6047">
        <v>-9.4837889999999994E-3</v>
      </c>
      <c r="O6047" s="1">
        <v>8.4548019999999897E-5</v>
      </c>
      <c r="P6047">
        <v>-0.99866710000000003</v>
      </c>
      <c r="Q6047">
        <v>-5.0306429999999999E-2</v>
      </c>
      <c r="R6047">
        <v>-1.1546570000000001E-2</v>
      </c>
      <c r="S6047">
        <v>-3.0057680000000002</v>
      </c>
      <c r="T6047">
        <v>1.773512E-2</v>
      </c>
      <c r="U6047">
        <v>6.9824220000000006E-2</v>
      </c>
      <c r="V6047">
        <v>-1.163517E-2</v>
      </c>
      <c r="W6047">
        <v>-4.0831890000000003E-2</v>
      </c>
      <c r="X6047">
        <v>0.99909829999999999</v>
      </c>
      <c r="Y6047">
        <v>2.313954E-2</v>
      </c>
      <c r="Z6047" s="1">
        <v>4.2786400000000001E-5</v>
      </c>
      <c r="AA6047">
        <v>0.99973230000000002</v>
      </c>
      <c r="AB6047">
        <v>30</v>
      </c>
      <c r="AC6047">
        <v>-3.0057680000000002</v>
      </c>
      <c r="AD6047">
        <v>1.773512E-2</v>
      </c>
      <c r="AE6047">
        <v>6.9824220000000006E-2</v>
      </c>
      <c r="AF6047">
        <v>6.9567655940693501E-2</v>
      </c>
      <c r="AG6047">
        <v>1.773512E-2</v>
      </c>
      <c r="AH6047">
        <v>3.0056693092617999</v>
      </c>
      <c r="AI6047">
        <v>89.662017485984805</v>
      </c>
      <c r="AJ6047">
        <v>88.674098471140496</v>
      </c>
      <c r="AK6047">
        <v>3.0065265988966101</v>
      </c>
      <c r="AL6047">
        <v>92.340145500085995</v>
      </c>
      <c r="AM6047">
        <v>90.667217630290097</v>
      </c>
      <c r="AN6047">
        <v>1.0000000167423899</v>
      </c>
    </row>
    <row r="6048" spans="1:40" x14ac:dyDescent="0.25">
      <c r="A6048" t="str">
        <f>"20190303153929084"</f>
        <v>20190303153929084</v>
      </c>
      <c r="B6048" t="str">
        <f>"1551598769074459"</f>
        <v>1551598769074459</v>
      </c>
      <c r="C6048" t="s">
        <v>40</v>
      </c>
      <c r="D6048">
        <v>3.9469590000000001</v>
      </c>
      <c r="E6048">
        <v>0.5142428</v>
      </c>
      <c r="F6048" t="s">
        <v>46</v>
      </c>
      <c r="G6048">
        <v>0</v>
      </c>
      <c r="H6048">
        <v>0</v>
      </c>
      <c r="I6048">
        <v>0</v>
      </c>
      <c r="J6048">
        <v>-325.23129999999998</v>
      </c>
      <c r="K6048">
        <v>1.120547</v>
      </c>
      <c r="L6048">
        <v>141.52189999999999</v>
      </c>
      <c r="M6048">
        <v>-0.99995469999999997</v>
      </c>
      <c r="N6048">
        <v>-9.5201810000000008E-3</v>
      </c>
      <c r="O6048">
        <v>1.1423539999999999E-4</v>
      </c>
      <c r="P6048">
        <v>-0.99865729999999997</v>
      </c>
      <c r="Q6048">
        <v>-5.0520049999999997E-2</v>
      </c>
      <c r="R6048">
        <v>-1.1477579999999999E-2</v>
      </c>
      <c r="S6048">
        <v>-3.0059200000000001</v>
      </c>
      <c r="T6048">
        <v>2.1168349999999999E-2</v>
      </c>
      <c r="U6048">
        <v>7.3303220000000002E-2</v>
      </c>
      <c r="V6048">
        <v>-1.159554E-2</v>
      </c>
      <c r="W6048">
        <v>-4.1009249999999997E-2</v>
      </c>
      <c r="X6048">
        <v>0.99909150000000002</v>
      </c>
      <c r="Y6048">
        <v>2.426505E-2</v>
      </c>
      <c r="Z6048" s="1">
        <v>3.1988700000000001E-5</v>
      </c>
      <c r="AA6048">
        <v>0.99970559999999997</v>
      </c>
      <c r="AB6048">
        <v>30</v>
      </c>
      <c r="AC6048">
        <v>-3.0059200000000001</v>
      </c>
      <c r="AD6048">
        <v>2.1168349999999999E-2</v>
      </c>
      <c r="AE6048">
        <v>7.3303220000000002E-2</v>
      </c>
      <c r="AF6048">
        <v>7.2956205537690194E-2</v>
      </c>
      <c r="AG6048">
        <v>2.1168349999999999E-2</v>
      </c>
      <c r="AH6048">
        <v>3.00577937797769</v>
      </c>
      <c r="AI6048">
        <v>89.596617109321798</v>
      </c>
      <c r="AJ6048">
        <v>88.6095912034707</v>
      </c>
      <c r="AK6048">
        <v>3.0067391599611901</v>
      </c>
      <c r="AL6048">
        <v>92.350315989909902</v>
      </c>
      <c r="AM6048">
        <v>90.664949781739196</v>
      </c>
      <c r="AN6048">
        <v>1.0000000202528501</v>
      </c>
    </row>
    <row r="6049" spans="1:40" x14ac:dyDescent="0.25">
      <c r="A6049" t="str">
        <f>"20190303153929106"</f>
        <v>20190303153929106</v>
      </c>
      <c r="B6049" t="str">
        <f>"1551598769094955"</f>
        <v>1551598769094955</v>
      </c>
      <c r="C6049" t="s">
        <v>40</v>
      </c>
      <c r="D6049">
        <v>3.9402089999999999</v>
      </c>
      <c r="E6049">
        <v>0.51453599999999999</v>
      </c>
      <c r="F6049" t="s">
        <v>46</v>
      </c>
      <c r="G6049">
        <v>0</v>
      </c>
      <c r="H6049">
        <v>0</v>
      </c>
      <c r="I6049">
        <v>0</v>
      </c>
      <c r="J6049">
        <v>-325.52390000000003</v>
      </c>
      <c r="K6049">
        <v>1.1205590000000001</v>
      </c>
      <c r="L6049">
        <v>141.52189999999999</v>
      </c>
      <c r="M6049">
        <v>-0.99995420000000002</v>
      </c>
      <c r="N6049">
        <v>-9.5735779999999993E-3</v>
      </c>
      <c r="O6049">
        <v>1.4294889999999901E-4</v>
      </c>
      <c r="P6049">
        <v>-0.99863139999999995</v>
      </c>
      <c r="Q6049">
        <v>-5.0978549999999997E-2</v>
      </c>
      <c r="R6049">
        <v>-1.169039E-2</v>
      </c>
      <c r="S6049">
        <v>-3.0061040000000001</v>
      </c>
      <c r="T6049">
        <v>2.3914580000000001E-2</v>
      </c>
      <c r="U6049">
        <v>7.5759889999999996E-2</v>
      </c>
      <c r="V6049">
        <v>-1.1836879999999999E-2</v>
      </c>
      <c r="W6049">
        <v>-4.1414609999999998E-2</v>
      </c>
      <c r="X6049">
        <v>0.99907199999999996</v>
      </c>
      <c r="Y6049">
        <v>2.5051299999999999E-2</v>
      </c>
      <c r="Z6049" s="1">
        <v>2.2813550000000001E-5</v>
      </c>
      <c r="AA6049">
        <v>0.99968619999999997</v>
      </c>
      <c r="AB6049">
        <v>30</v>
      </c>
      <c r="AC6049">
        <v>-3.0061040000000001</v>
      </c>
      <c r="AD6049">
        <v>2.3914580000000001E-2</v>
      </c>
      <c r="AE6049">
        <v>7.5759889999999996E-2</v>
      </c>
      <c r="AF6049">
        <v>7.53253861633469E-2</v>
      </c>
      <c r="AG6049">
        <v>2.3914580000000001E-2</v>
      </c>
      <c r="AH6049">
        <v>3.0059246830518802</v>
      </c>
      <c r="AI6049">
        <v>89.544318052639994</v>
      </c>
      <c r="AJ6049">
        <v>88.564527014147899</v>
      </c>
      <c r="AK6049">
        <v>3.0069634219786798</v>
      </c>
      <c r="AL6049">
        <v>92.373561033724599</v>
      </c>
      <c r="AM6049">
        <v>90.678801463419106</v>
      </c>
      <c r="AN6049">
        <v>1.00000007141679</v>
      </c>
    </row>
    <row r="6050" spans="1:40" x14ac:dyDescent="0.25">
      <c r="A6050" t="str">
        <f>"20190303153929129"</f>
        <v>20190303153929129</v>
      </c>
      <c r="B6050" t="str">
        <f>"1551598769125210"</f>
        <v>1551598769125210</v>
      </c>
      <c r="C6050" t="s">
        <v>40</v>
      </c>
      <c r="D6050">
        <v>3.9191760000000002</v>
      </c>
      <c r="E6050">
        <v>0.51497789999999999</v>
      </c>
      <c r="F6050" t="s">
        <v>46</v>
      </c>
      <c r="G6050">
        <v>0</v>
      </c>
      <c r="H6050">
        <v>0</v>
      </c>
      <c r="I6050">
        <v>0</v>
      </c>
      <c r="J6050">
        <v>-325.82209999999998</v>
      </c>
      <c r="K6050">
        <v>1.1205780000000001</v>
      </c>
      <c r="L6050">
        <v>141.52199999999999</v>
      </c>
      <c r="M6050">
        <v>-0.99995339999999999</v>
      </c>
      <c r="N6050">
        <v>-9.6612239999999995E-3</v>
      </c>
      <c r="O6050">
        <v>1.716791E-4</v>
      </c>
      <c r="P6050">
        <v>-0.99863009999999997</v>
      </c>
      <c r="Q6050">
        <v>-5.0880769999999999E-2</v>
      </c>
      <c r="R6050">
        <v>-1.2230649999999999E-2</v>
      </c>
      <c r="S6050">
        <v>-3.006348</v>
      </c>
      <c r="T6050">
        <v>2.5790810000000001E-2</v>
      </c>
      <c r="U6050">
        <v>7.7392580000000002E-2</v>
      </c>
      <c r="V6050">
        <v>-1.240579E-2</v>
      </c>
      <c r="W6050">
        <v>-4.1229219999999997E-2</v>
      </c>
      <c r="X6050">
        <v>0.99907270000000004</v>
      </c>
      <c r="Y6050">
        <v>2.556305E-2</v>
      </c>
      <c r="Z6050" s="1">
        <v>1.7009270000000001E-5</v>
      </c>
      <c r="AA6050">
        <v>0.99967320000000004</v>
      </c>
      <c r="AB6050">
        <v>30</v>
      </c>
      <c r="AC6050">
        <v>-3.006348</v>
      </c>
      <c r="AD6050">
        <v>2.5790810000000001E-2</v>
      </c>
      <c r="AE6050">
        <v>7.7392580000000002E-2</v>
      </c>
      <c r="AF6050">
        <v>7.6870774096387304E-2</v>
      </c>
      <c r="AG6050">
        <v>2.5790810000000001E-2</v>
      </c>
      <c r="AH6050">
        <v>3.00614015102756</v>
      </c>
      <c r="AI6050">
        <v>89.508610583771201</v>
      </c>
      <c r="AJ6050">
        <v>88.535194272756002</v>
      </c>
      <c r="AK6050">
        <v>3.0072334278220998</v>
      </c>
      <c r="AL6050">
        <v>92.362930044238198</v>
      </c>
      <c r="AM6050">
        <v>90.711422581474196</v>
      </c>
      <c r="AN6050">
        <v>1.0000000060463099</v>
      </c>
    </row>
    <row r="6051" spans="1:40" x14ac:dyDescent="0.25">
      <c r="A6051" t="str">
        <f>"20190303153929150"</f>
        <v>20190303153929150</v>
      </c>
      <c r="B6051" t="str">
        <f>"1551598769144731"</f>
        <v>1551598769144731</v>
      </c>
      <c r="C6051" t="s">
        <v>40</v>
      </c>
      <c r="D6051">
        <v>3.9452919999999998</v>
      </c>
      <c r="E6051">
        <v>0.51523960000000002</v>
      </c>
      <c r="F6051" t="s">
        <v>46</v>
      </c>
      <c r="G6051">
        <v>0</v>
      </c>
      <c r="H6051">
        <v>0</v>
      </c>
      <c r="I6051">
        <v>0</v>
      </c>
      <c r="J6051">
        <v>-326.11090000000002</v>
      </c>
      <c r="K6051">
        <v>1.1206149999999999</v>
      </c>
      <c r="L6051">
        <v>141.52209999999999</v>
      </c>
      <c r="M6051">
        <v>-0.99995179999999995</v>
      </c>
      <c r="N6051">
        <v>-9.8185540000000002E-3</v>
      </c>
      <c r="O6051">
        <v>1.9839090000000001E-4</v>
      </c>
      <c r="P6051">
        <v>-0.99860899999999997</v>
      </c>
      <c r="Q6051">
        <v>-5.1076139999999999E-2</v>
      </c>
      <c r="R6051">
        <v>-1.3087079999999999E-2</v>
      </c>
      <c r="S6051">
        <v>-3.0065919999999999</v>
      </c>
      <c r="T6051">
        <v>3.0510539999999999E-2</v>
      </c>
      <c r="U6051">
        <v>7.920837E-2</v>
      </c>
      <c r="V6051">
        <v>-1.3289E-2</v>
      </c>
      <c r="W6051">
        <v>-4.1267539999999998E-2</v>
      </c>
      <c r="X6051">
        <v>0.99905969999999999</v>
      </c>
      <c r="Y6051">
        <v>2.613743E-2</v>
      </c>
      <c r="Z6051" s="1">
        <v>-2.9176589999999997E-7</v>
      </c>
      <c r="AA6051">
        <v>0.9996583</v>
      </c>
      <c r="AB6051">
        <v>30</v>
      </c>
      <c r="AC6051">
        <v>-3.0065919999999999</v>
      </c>
      <c r="AD6051">
        <v>3.0510539999999999E-2</v>
      </c>
      <c r="AE6051">
        <v>7.920837E-2</v>
      </c>
      <c r="AF6051">
        <v>7.8603770245200794E-2</v>
      </c>
      <c r="AG6051">
        <v>3.0510539999999999E-2</v>
      </c>
      <c r="AH6051">
        <v>3.00629828341981</v>
      </c>
      <c r="AI6051">
        <v>89.418731003016703</v>
      </c>
      <c r="AJ6051">
        <v>88.502264911338898</v>
      </c>
      <c r="AK6051">
        <v>3.0074804761861298</v>
      </c>
      <c r="AL6051">
        <v>92.365127631328505</v>
      </c>
      <c r="AM6051">
        <v>90.762075293041406</v>
      </c>
      <c r="AN6051">
        <v>0.99999994577136897</v>
      </c>
    </row>
    <row r="6052" spans="1:40" x14ac:dyDescent="0.25">
      <c r="A6052" t="str">
        <f>"20190303153929165"</f>
        <v>20190303153929165</v>
      </c>
      <c r="B6052" t="str">
        <f>"1551598769154490"</f>
        <v>1551598769154490</v>
      </c>
      <c r="C6052" t="s">
        <v>40</v>
      </c>
      <c r="D6052">
        <v>3.967495</v>
      </c>
      <c r="E6052">
        <v>0.51529290000000005</v>
      </c>
      <c r="F6052" t="s">
        <v>46</v>
      </c>
      <c r="G6052">
        <v>0</v>
      </c>
      <c r="H6052">
        <v>0</v>
      </c>
      <c r="I6052">
        <v>0</v>
      </c>
      <c r="J6052">
        <v>-326.31819999999999</v>
      </c>
      <c r="K6052">
        <v>1.1206579999999999</v>
      </c>
      <c r="L6052">
        <v>141.52209999999999</v>
      </c>
      <c r="M6052">
        <v>-0.99994989999999995</v>
      </c>
      <c r="N6052">
        <v>-1.001021E-2</v>
      </c>
      <c r="O6052">
        <v>2.1567689999999999E-4</v>
      </c>
      <c r="P6052">
        <v>-0.99860289999999996</v>
      </c>
      <c r="Q6052">
        <v>-5.102069E-2</v>
      </c>
      <c r="R6052">
        <v>-1.3755150000000001E-2</v>
      </c>
      <c r="S6052">
        <v>-3.0068969999999999</v>
      </c>
      <c r="T6052">
        <v>3.2661320000000001E-2</v>
      </c>
      <c r="U6052">
        <v>7.8674320000000006E-2</v>
      </c>
      <c r="V6052">
        <v>-1.3974189999999999E-2</v>
      </c>
      <c r="W6052">
        <v>-4.1020639999999997E-2</v>
      </c>
      <c r="X6052">
        <v>0.99906059999999997</v>
      </c>
      <c r="Y6052">
        <v>2.5939980000000001E-2</v>
      </c>
      <c r="Z6052" s="1">
        <v>-6.4946649999999999E-6</v>
      </c>
      <c r="AA6052">
        <v>0.99966350000000004</v>
      </c>
      <c r="AB6052">
        <v>30</v>
      </c>
      <c r="AC6052">
        <v>-3.0068969999999999</v>
      </c>
      <c r="AD6052">
        <v>3.2661320000000001E-2</v>
      </c>
      <c r="AE6052">
        <v>7.8674320000000006E-2</v>
      </c>
      <c r="AF6052">
        <v>7.8016568905884306E-2</v>
      </c>
      <c r="AG6052">
        <v>3.2661320000000001E-2</v>
      </c>
      <c r="AH6052">
        <v>3.0065594099959898</v>
      </c>
      <c r="AI6052">
        <v>89.3778095529279</v>
      </c>
      <c r="AJ6052">
        <v>88.513577599613299</v>
      </c>
      <c r="AK6052">
        <v>3.0077487981351498</v>
      </c>
      <c r="AL6052">
        <v>92.350969123304296</v>
      </c>
      <c r="AM6052">
        <v>90.801362700078798</v>
      </c>
      <c r="AN6052">
        <v>1.00000002668226</v>
      </c>
    </row>
    <row r="6053" spans="1:40" x14ac:dyDescent="0.25">
      <c r="A6053" t="str">
        <f>"20190303153929183"</f>
        <v>20190303153929183</v>
      </c>
      <c r="B6053" t="str">
        <f>"1551598769174986"</f>
        <v>1551598769174986</v>
      </c>
      <c r="C6053" t="s">
        <v>40</v>
      </c>
      <c r="D6053">
        <v>4.0377599999999996</v>
      </c>
      <c r="E6053">
        <v>0.51527529999999999</v>
      </c>
      <c r="F6053" t="s">
        <v>46</v>
      </c>
      <c r="G6053">
        <v>0</v>
      </c>
      <c r="H6053">
        <v>0</v>
      </c>
      <c r="I6053">
        <v>0</v>
      </c>
      <c r="J6053">
        <v>-326.56049999999999</v>
      </c>
      <c r="K6053">
        <v>1.1207180000000001</v>
      </c>
      <c r="L6053">
        <v>141.5222</v>
      </c>
      <c r="M6053">
        <v>-0.99994729999999998</v>
      </c>
      <c r="N6053">
        <v>-1.027021E-2</v>
      </c>
      <c r="O6053">
        <v>2.3473640000000001E-4</v>
      </c>
      <c r="P6053">
        <v>-0.99857940000000001</v>
      </c>
      <c r="Q6053">
        <v>-5.1382770000000001E-2</v>
      </c>
      <c r="R6053">
        <v>-1.4114420000000001E-2</v>
      </c>
      <c r="S6053">
        <v>-3.0069270000000001</v>
      </c>
      <c r="T6053">
        <v>3.2858489999999997E-2</v>
      </c>
      <c r="U6053">
        <v>7.7072139999999997E-2</v>
      </c>
      <c r="V6053">
        <v>-1.435238E-2</v>
      </c>
      <c r="W6053">
        <v>-4.1123189999999997E-2</v>
      </c>
      <c r="X6053">
        <v>0.99905100000000002</v>
      </c>
      <c r="Y6053">
        <v>2.538841E-2</v>
      </c>
      <c r="Z6053" s="1">
        <v>-3.3180400000000001E-6</v>
      </c>
      <c r="AA6053">
        <v>0.9996777</v>
      </c>
      <c r="AB6053">
        <v>30</v>
      </c>
      <c r="AC6053">
        <v>-3.0069270000000001</v>
      </c>
      <c r="AD6053">
        <v>3.2858489999999997E-2</v>
      </c>
      <c r="AE6053">
        <v>7.7072139999999997E-2</v>
      </c>
      <c r="AF6053">
        <v>7.6357153472587994E-2</v>
      </c>
      <c r="AG6053">
        <v>3.2858489999999997E-2</v>
      </c>
      <c r="AH6053">
        <v>3.00658622177093</v>
      </c>
      <c r="AI6053">
        <v>89.3740505239371</v>
      </c>
      <c r="AJ6053">
        <v>88.545193094570394</v>
      </c>
      <c r="AK6053">
        <v>3.00773516191075</v>
      </c>
      <c r="AL6053">
        <v>92.356849820758598</v>
      </c>
      <c r="AM6053">
        <v>90.823055314947894</v>
      </c>
      <c r="AN6053">
        <v>1.0000000040842201</v>
      </c>
    </row>
    <row r="6054" spans="1:40" x14ac:dyDescent="0.25">
      <c r="A6054" t="str">
        <f>"20190303153929200"</f>
        <v>20190303153929200</v>
      </c>
      <c r="B6054" t="str">
        <f>"1551598769194507"</f>
        <v>1551598769194507</v>
      </c>
      <c r="C6054" t="s">
        <v>40</v>
      </c>
      <c r="D6054">
        <v>4.0254399999999997</v>
      </c>
      <c r="E6054">
        <v>0.51521260000000002</v>
      </c>
      <c r="F6054" t="s">
        <v>46</v>
      </c>
      <c r="G6054">
        <v>0</v>
      </c>
      <c r="H6054">
        <v>0</v>
      </c>
      <c r="I6054">
        <v>0</v>
      </c>
      <c r="J6054">
        <v>-326.77780000000001</v>
      </c>
      <c r="K6054">
        <v>1.12077</v>
      </c>
      <c r="L6054">
        <v>141.5223</v>
      </c>
      <c r="M6054">
        <v>-0.99994459999999996</v>
      </c>
      <c r="N6054">
        <v>-1.0528060000000001E-2</v>
      </c>
      <c r="O6054">
        <v>2.4923140000000001E-4</v>
      </c>
      <c r="P6054">
        <v>-0.99856860000000003</v>
      </c>
      <c r="Q6054">
        <v>-5.1528980000000002E-2</v>
      </c>
      <c r="R6054">
        <v>-1.434187E-2</v>
      </c>
      <c r="S6054">
        <v>-3.006958</v>
      </c>
      <c r="T6054">
        <v>3.2255770000000003E-2</v>
      </c>
      <c r="U6054">
        <v>7.5759889999999996E-2</v>
      </c>
      <c r="V6054">
        <v>-1.459397E-2</v>
      </c>
      <c r="W6054">
        <v>-4.1011939999999997E-2</v>
      </c>
      <c r="X6054">
        <v>0.99905200000000005</v>
      </c>
      <c r="Y6054">
        <v>2.4937730000000002E-2</v>
      </c>
      <c r="Z6054" s="1">
        <v>2.864865E-6</v>
      </c>
      <c r="AA6054">
        <v>0.99968900000000005</v>
      </c>
      <c r="AB6054">
        <v>30</v>
      </c>
      <c r="AC6054">
        <v>-3.006958</v>
      </c>
      <c r="AD6054">
        <v>3.2255770000000003E-2</v>
      </c>
      <c r="AE6054">
        <v>7.5759889999999996E-2</v>
      </c>
      <c r="AF6054">
        <v>7.5001792855931407E-2</v>
      </c>
      <c r="AG6054">
        <v>3.2255770000000003E-2</v>
      </c>
      <c r="AH6054">
        <v>3.00663103743251</v>
      </c>
      <c r="AI6054">
        <v>89.385533549264807</v>
      </c>
      <c r="AJ6054">
        <v>88.571026807154794</v>
      </c>
      <c r="AK6054">
        <v>3.0077393335996399</v>
      </c>
      <c r="AL6054">
        <v>92.350470455363904</v>
      </c>
      <c r="AM6054">
        <v>90.836906806088095</v>
      </c>
      <c r="AN6054">
        <v>0.99999993094345996</v>
      </c>
    </row>
    <row r="6055" spans="1:40" x14ac:dyDescent="0.25">
      <c r="A6055" t="str">
        <f>"20190303153929215"</f>
        <v>20190303153929215</v>
      </c>
      <c r="B6055" t="str">
        <f>"1551598769204267"</f>
        <v>1551598769204267</v>
      </c>
      <c r="C6055" t="s">
        <v>40</v>
      </c>
      <c r="D6055">
        <v>4.0233530000000002</v>
      </c>
      <c r="E6055">
        <v>0.5151829</v>
      </c>
      <c r="F6055" t="s">
        <v>46</v>
      </c>
      <c r="G6055">
        <v>0</v>
      </c>
      <c r="H6055">
        <v>0</v>
      </c>
      <c r="I6055">
        <v>0</v>
      </c>
      <c r="J6055">
        <v>-326.99540000000002</v>
      </c>
      <c r="K6055">
        <v>1.120819</v>
      </c>
      <c r="L6055">
        <v>141.5224</v>
      </c>
      <c r="M6055">
        <v>-0.99994159999999999</v>
      </c>
      <c r="N6055">
        <v>-1.079712E-2</v>
      </c>
      <c r="O6055">
        <v>2.6075890000000002E-4</v>
      </c>
      <c r="P6055">
        <v>-0.99855450000000001</v>
      </c>
      <c r="Q6055">
        <v>-5.1751279999999997E-2</v>
      </c>
      <c r="R6055">
        <v>-1.4511339999999999E-2</v>
      </c>
      <c r="S6055">
        <v>-3.006958</v>
      </c>
      <c r="T6055">
        <v>3.0272480000000001E-2</v>
      </c>
      <c r="U6055">
        <v>7.473755E-2</v>
      </c>
      <c r="V6055">
        <v>-1.477503E-2</v>
      </c>
      <c r="W6055">
        <v>-4.0965670000000003E-2</v>
      </c>
      <c r="X6055">
        <v>0.99905129999999998</v>
      </c>
      <c r="Y6055">
        <v>2.4586650000000002E-2</v>
      </c>
      <c r="Z6055" s="1">
        <v>1.4455790000000001E-5</v>
      </c>
      <c r="AA6055">
        <v>0.99969770000000002</v>
      </c>
      <c r="AB6055">
        <v>30</v>
      </c>
      <c r="AC6055">
        <v>-3.006958</v>
      </c>
      <c r="AD6055">
        <v>3.0272480000000001E-2</v>
      </c>
      <c r="AE6055">
        <v>7.473755E-2</v>
      </c>
      <c r="AF6055">
        <v>7.3945920537096199E-2</v>
      </c>
      <c r="AG6055">
        <v>3.0272480000000001E-2</v>
      </c>
      <c r="AH6055">
        <v>3.00667283692942</v>
      </c>
      <c r="AI6055">
        <v>89.423315220538896</v>
      </c>
      <c r="AJ6055">
        <v>88.591155248754006</v>
      </c>
      <c r="AK6055">
        <v>3.0077343583732001</v>
      </c>
      <c r="AL6055">
        <v>92.347817001908595</v>
      </c>
      <c r="AM6055">
        <v>90.847288974459403</v>
      </c>
      <c r="AN6055">
        <v>0.99999999383086902</v>
      </c>
    </row>
    <row r="6056" spans="1:40" x14ac:dyDescent="0.25">
      <c r="A6056" t="str">
        <f>"20190303153929239"</f>
        <v>20190303153929239</v>
      </c>
      <c r="B6056" t="str">
        <f>"1551598769234522"</f>
        <v>1551598769234522</v>
      </c>
      <c r="C6056" t="s">
        <v>40</v>
      </c>
      <c r="D6056">
        <v>4.0259140000000002</v>
      </c>
      <c r="E6056">
        <v>0.51514450000000001</v>
      </c>
      <c r="F6056" t="s">
        <v>46</v>
      </c>
      <c r="G6056">
        <v>0</v>
      </c>
      <c r="H6056">
        <v>0</v>
      </c>
      <c r="I6056">
        <v>0</v>
      </c>
      <c r="J6056">
        <v>-327.30200000000002</v>
      </c>
      <c r="K6056">
        <v>1.120878</v>
      </c>
      <c r="L6056">
        <v>141.5224</v>
      </c>
      <c r="M6056">
        <v>-0.99993759999999998</v>
      </c>
      <c r="N6056">
        <v>-1.1174409999999999E-2</v>
      </c>
      <c r="O6056">
        <v>2.7156350000000001E-4</v>
      </c>
      <c r="P6056">
        <v>-0.99853910000000001</v>
      </c>
      <c r="Q6056">
        <v>-5.2138810000000001E-2</v>
      </c>
      <c r="R6056">
        <v>-1.4204919999999999E-2</v>
      </c>
      <c r="S6056">
        <v>-3.0068969999999999</v>
      </c>
      <c r="T6056">
        <v>2.882707E-2</v>
      </c>
      <c r="U6056">
        <v>7.3989869999999999E-2</v>
      </c>
      <c r="V6056">
        <v>-1.4478710000000001E-2</v>
      </c>
      <c r="W6056">
        <v>-4.0976600000000002E-2</v>
      </c>
      <c r="X6056">
        <v>0.99905520000000003</v>
      </c>
      <c r="Y6056">
        <v>2.4328019999999999E-2</v>
      </c>
      <c r="Z6056" s="1">
        <v>2.4991109999999999E-5</v>
      </c>
      <c r="AA6056">
        <v>0.99970400000000004</v>
      </c>
      <c r="AB6056">
        <v>30</v>
      </c>
      <c r="AC6056">
        <v>-3.0068969999999999</v>
      </c>
      <c r="AD6056">
        <v>2.882707E-2</v>
      </c>
      <c r="AE6056">
        <v>7.3989869999999999E-2</v>
      </c>
      <c r="AF6056">
        <v>7.3166532187071295E-2</v>
      </c>
      <c r="AG6056">
        <v>2.882707E-2</v>
      </c>
      <c r="AH6056">
        <v>3.0066408094541801</v>
      </c>
      <c r="AI6056">
        <v>89.450838941583697</v>
      </c>
      <c r="AJ6056">
        <v>88.605983707135493</v>
      </c>
      <c r="AK6056">
        <v>3.0076690806124802</v>
      </c>
      <c r="AL6056">
        <v>92.348443747826906</v>
      </c>
      <c r="AM6056">
        <v>90.830295368126599</v>
      </c>
      <c r="AN6056">
        <v>1.0000000037189301</v>
      </c>
    </row>
    <row r="6057" spans="1:40" x14ac:dyDescent="0.25">
      <c r="A6057" t="str">
        <f>"20190303153929255"</f>
        <v>20190303153929255</v>
      </c>
      <c r="B6057" t="str">
        <f>"1551598769244282"</f>
        <v>1551598769244282</v>
      </c>
      <c r="C6057" t="s">
        <v>40</v>
      </c>
      <c r="D6057">
        <v>4.0254750000000001</v>
      </c>
      <c r="E6057">
        <v>0.51486779999999999</v>
      </c>
      <c r="F6057" t="s">
        <v>46</v>
      </c>
      <c r="G6057">
        <v>0</v>
      </c>
      <c r="H6057">
        <v>0</v>
      </c>
      <c r="I6057">
        <v>0</v>
      </c>
      <c r="J6057">
        <v>-327.51429999999999</v>
      </c>
      <c r="K6057">
        <v>1.120914</v>
      </c>
      <c r="L6057">
        <v>141.52250000000001</v>
      </c>
      <c r="M6057">
        <v>-0.99993480000000001</v>
      </c>
      <c r="N6057">
        <v>-1.1424520000000001E-2</v>
      </c>
      <c r="O6057">
        <v>2.7637099999999997E-4</v>
      </c>
      <c r="P6057">
        <v>-0.99851299999999998</v>
      </c>
      <c r="Q6057">
        <v>-5.266796E-2</v>
      </c>
      <c r="R6057">
        <v>-1.406933E-2</v>
      </c>
      <c r="S6057">
        <v>-3.0069270000000001</v>
      </c>
      <c r="T6057">
        <v>2.806616E-2</v>
      </c>
      <c r="U6057">
        <v>7.4584960000000006E-2</v>
      </c>
      <c r="V6057">
        <v>-1.4347530000000001E-2</v>
      </c>
      <c r="W6057">
        <v>-4.1256250000000001E-2</v>
      </c>
      <c r="X6057">
        <v>0.99904559999999998</v>
      </c>
      <c r="Y6057">
        <v>2.4520739999999999E-2</v>
      </c>
      <c r="Z6057" s="1">
        <v>3.1414059999999999E-5</v>
      </c>
      <c r="AA6057">
        <v>0.99969929999999996</v>
      </c>
      <c r="AB6057">
        <v>30</v>
      </c>
      <c r="AC6057">
        <v>-3.0069270000000001</v>
      </c>
      <c r="AD6057">
        <v>2.806616E-2</v>
      </c>
      <c r="AE6057">
        <v>7.4584960000000006E-2</v>
      </c>
      <c r="AF6057">
        <v>7.3747454611926E-2</v>
      </c>
      <c r="AG6057">
        <v>2.806616E-2</v>
      </c>
      <c r="AH6057">
        <v>3.0066857167947401</v>
      </c>
      <c r="AI6057">
        <v>89.465344068671499</v>
      </c>
      <c r="AJ6057">
        <v>88.594940992917898</v>
      </c>
      <c r="AK6057">
        <v>3.00772096378244</v>
      </c>
      <c r="AL6057">
        <v>92.3644800341836</v>
      </c>
      <c r="AM6057">
        <v>90.822781670458099</v>
      </c>
      <c r="AN6057">
        <v>1.0000000203302599</v>
      </c>
    </row>
    <row r="6058" spans="1:40" x14ac:dyDescent="0.25">
      <c r="A6058" t="str">
        <f>"20190303153929272"</f>
        <v>20190303153929272</v>
      </c>
      <c r="B6058" t="str">
        <f>"1551598769264782"</f>
        <v>1551598769264782</v>
      </c>
      <c r="C6058" t="s">
        <v>40</v>
      </c>
      <c r="D6058">
        <v>3.9424730000000001</v>
      </c>
      <c r="E6058">
        <v>0.47343869999999999</v>
      </c>
      <c r="F6058" t="s">
        <v>46</v>
      </c>
      <c r="G6058">
        <v>0</v>
      </c>
      <c r="H6058">
        <v>0</v>
      </c>
      <c r="I6058">
        <v>0</v>
      </c>
      <c r="J6058">
        <v>-327.74220000000003</v>
      </c>
      <c r="K6058">
        <v>1.1209359999999999</v>
      </c>
      <c r="L6058">
        <v>141.52260000000001</v>
      </c>
      <c r="M6058">
        <v>-0.99993180000000004</v>
      </c>
      <c r="N6058">
        <v>-1.167939E-2</v>
      </c>
      <c r="O6058">
        <v>2.7927639999999999E-4</v>
      </c>
      <c r="P6058">
        <v>-0.99847609999999998</v>
      </c>
      <c r="Q6058">
        <v>-5.3613460000000002E-2</v>
      </c>
      <c r="R6058">
        <v>-1.308288E-2</v>
      </c>
      <c r="S6058">
        <v>-3.0068359999999998</v>
      </c>
      <c r="T6058">
        <v>2.5597930000000001E-2</v>
      </c>
      <c r="U6058">
        <v>7.2845460000000001E-2</v>
      </c>
      <c r="V6058">
        <v>-1.336389E-2</v>
      </c>
      <c r="W6058">
        <v>-4.1947610000000003E-2</v>
      </c>
      <c r="X6058">
        <v>0.99903039999999999</v>
      </c>
      <c r="Y6058">
        <v>2.3940679999999999E-2</v>
      </c>
      <c r="Z6058" s="1">
        <v>4.357933E-5</v>
      </c>
      <c r="AA6058">
        <v>0.99971339999999997</v>
      </c>
      <c r="AB6058">
        <v>30</v>
      </c>
      <c r="AC6058">
        <v>-3.0068359999999998</v>
      </c>
      <c r="AD6058">
        <v>2.5597930000000001E-2</v>
      </c>
      <c r="AE6058">
        <v>7.2845460000000001E-2</v>
      </c>
      <c r="AF6058">
        <v>7.2000446388749001E-2</v>
      </c>
      <c r="AG6058">
        <v>2.5597930000000001E-2</v>
      </c>
      <c r="AH6058">
        <v>3.0066384488311502</v>
      </c>
      <c r="AI6058">
        <v>89.512346557095199</v>
      </c>
      <c r="AJ6058">
        <v>88.628191096209704</v>
      </c>
      <c r="AK6058">
        <v>3.00760936298088</v>
      </c>
      <c r="AL6058">
        <v>92.404126493800902</v>
      </c>
      <c r="AM6058">
        <v>90.766391922164004</v>
      </c>
      <c r="AN6058">
        <v>0.99999996783240097</v>
      </c>
    </row>
    <row r="6059" spans="1:40" x14ac:dyDescent="0.25">
      <c r="A6059" t="str">
        <f>"20190303153929295"</f>
        <v>20190303153929295</v>
      </c>
      <c r="B6059" t="str">
        <f>"1551598769284299"</f>
        <v>1551598769284299</v>
      </c>
      <c r="C6059" t="s">
        <v>40</v>
      </c>
      <c r="D6059">
        <v>3.9189020000000001</v>
      </c>
      <c r="E6059">
        <v>0.46912470000000001</v>
      </c>
      <c r="F6059" t="s">
        <v>42</v>
      </c>
      <c r="G6059">
        <v>-371.62029999999999</v>
      </c>
      <c r="H6059" s="1">
        <v>-3.8951439999999997E-6</v>
      </c>
      <c r="I6059">
        <v>137.8237</v>
      </c>
      <c r="J6059">
        <v>-328.04309999999998</v>
      </c>
      <c r="K6059">
        <v>1.120962</v>
      </c>
      <c r="L6059">
        <v>141.52269999999999</v>
      </c>
      <c r="M6059">
        <v>-0.99992820000000004</v>
      </c>
      <c r="N6059">
        <v>-1.1989390000000001E-2</v>
      </c>
      <c r="O6059">
        <v>2.795629E-4</v>
      </c>
      <c r="P6059">
        <v>-0.99848579999999998</v>
      </c>
      <c r="Q6059">
        <v>-5.3545629999999997E-2</v>
      </c>
      <c r="R6059">
        <v>-1.263097E-2</v>
      </c>
      <c r="S6059">
        <v>-2.9971920000000001</v>
      </c>
      <c r="T6059">
        <v>-7.6568369999999997E-2</v>
      </c>
      <c r="U6059">
        <v>-0.25265500000000002</v>
      </c>
      <c r="V6059">
        <v>-1.2911540000000001E-2</v>
      </c>
      <c r="W6059">
        <v>-4.1570030000000001E-2</v>
      </c>
      <c r="X6059">
        <v>0.99905219999999995</v>
      </c>
      <c r="Y6059">
        <v>-8.4237690000000004E-2</v>
      </c>
      <c r="Z6059">
        <v>-1.5837129999999901E-3</v>
      </c>
      <c r="AA6059">
        <v>0.99644440000000001</v>
      </c>
      <c r="AB6059">
        <v>30</v>
      </c>
      <c r="AC6059">
        <v>-43.577199999999998</v>
      </c>
      <c r="AD6059">
        <v>-1.120965895144</v>
      </c>
      <c r="AE6059">
        <v>-3.6989999999999799</v>
      </c>
      <c r="AF6059">
        <v>-3.7087467480274401</v>
      </c>
      <c r="AG6059">
        <v>-1.120965895144</v>
      </c>
      <c r="AH6059">
        <v>43.547554509361603</v>
      </c>
      <c r="AI6059">
        <v>91.469219684240798</v>
      </c>
      <c r="AJ6059">
        <v>94.867873946885098</v>
      </c>
      <c r="AK6059">
        <v>43.719570797583401</v>
      </c>
      <c r="AL6059">
        <v>92.382473701002596</v>
      </c>
      <c r="AM6059">
        <v>90.740437352759898</v>
      </c>
      <c r="AN6059">
        <v>1.0000000367921</v>
      </c>
    </row>
    <row r="6060" spans="1:40" x14ac:dyDescent="0.25">
      <c r="A6060" t="str">
        <f>"20190303153929317"</f>
        <v>20190303153929317</v>
      </c>
      <c r="B6060" t="str">
        <f>"1551598769314554"</f>
        <v>1551598769314554</v>
      </c>
      <c r="C6060" t="s">
        <v>40</v>
      </c>
      <c r="D6060">
        <v>3.872382</v>
      </c>
      <c r="E6060">
        <v>0.46768959999999998</v>
      </c>
      <c r="F6060" t="s">
        <v>42</v>
      </c>
      <c r="G6060">
        <v>-368.29059999999998</v>
      </c>
      <c r="H6060" s="1">
        <v>-1.081126E-6</v>
      </c>
      <c r="I6060">
        <v>137.68690000000001</v>
      </c>
      <c r="J6060">
        <v>-328.33879999999999</v>
      </c>
      <c r="K6060">
        <v>1.120987</v>
      </c>
      <c r="L6060">
        <v>141.52279999999999</v>
      </c>
      <c r="M6060">
        <v>-0.99992479999999995</v>
      </c>
      <c r="N6060">
        <v>-1.226558E-2</v>
      </c>
      <c r="O6060">
        <v>2.770351E-4</v>
      </c>
      <c r="P6060">
        <v>-0.99841860000000004</v>
      </c>
      <c r="Q6060">
        <v>-5.4796770000000002E-2</v>
      </c>
      <c r="R6060">
        <v>-1.256089E-2</v>
      </c>
      <c r="S6060">
        <v>-2.996429</v>
      </c>
      <c r="T6060">
        <v>-8.3455920000000003E-2</v>
      </c>
      <c r="U6060">
        <v>-0.28556819999999999</v>
      </c>
      <c r="V6060">
        <v>-1.283955E-2</v>
      </c>
      <c r="W6060">
        <v>-4.2546010000000002E-2</v>
      </c>
      <c r="X6060">
        <v>0.99901200000000001</v>
      </c>
      <c r="Y6060">
        <v>-9.5095959999999993E-2</v>
      </c>
      <c r="Z6060">
        <v>-1.910061E-3</v>
      </c>
      <c r="AA6060">
        <v>0.99546630000000003</v>
      </c>
      <c r="AB6060">
        <v>30</v>
      </c>
      <c r="AC6060">
        <v>-39.951799999999899</v>
      </c>
      <c r="AD6060">
        <v>-1.120988081126</v>
      </c>
      <c r="AE6060">
        <v>-3.8358999999999801</v>
      </c>
      <c r="AF6060">
        <v>-3.84397009742767</v>
      </c>
      <c r="AG6060">
        <v>-1.120988081126</v>
      </c>
      <c r="AH6060">
        <v>39.919594876959501</v>
      </c>
      <c r="AI6060">
        <v>91.601106632334904</v>
      </c>
      <c r="AJ6060">
        <v>95.500213743991594</v>
      </c>
      <c r="AK6060">
        <v>40.1199049790565</v>
      </c>
      <c r="AL6060">
        <v>92.438442857286901</v>
      </c>
      <c r="AM6060">
        <v>90.736339027751498</v>
      </c>
      <c r="AN6060">
        <v>0.999999996577561</v>
      </c>
    </row>
    <row r="6061" spans="1:40" x14ac:dyDescent="0.25">
      <c r="A6061" t="str">
        <f>"20190303153929339"</f>
        <v>20190303153929339</v>
      </c>
      <c r="B6061" t="str">
        <f>"1551598769335050"</f>
        <v>1551598769335050</v>
      </c>
      <c r="C6061" t="s">
        <v>40</v>
      </c>
      <c r="D6061">
        <v>3.8687860000000001</v>
      </c>
      <c r="E6061">
        <v>0.4670222</v>
      </c>
      <c r="F6061" t="s">
        <v>42</v>
      </c>
      <c r="G6061">
        <v>-364.41390000000001</v>
      </c>
      <c r="H6061" s="1">
        <v>-2.674525E-6</v>
      </c>
      <c r="I6061">
        <v>137.9486</v>
      </c>
      <c r="J6061">
        <v>-328.63319999999999</v>
      </c>
      <c r="K6061">
        <v>1.1210039999999999</v>
      </c>
      <c r="L6061">
        <v>141.52279999999999</v>
      </c>
      <c r="M6061">
        <v>-0.99992170000000002</v>
      </c>
      <c r="N6061">
        <v>-1.2512240000000001E-2</v>
      </c>
      <c r="O6061">
        <v>2.6734680000000001E-4</v>
      </c>
      <c r="P6061">
        <v>-0.99838950000000004</v>
      </c>
      <c r="Q6061">
        <v>-5.531577E-2</v>
      </c>
      <c r="R6061">
        <v>-1.260822E-2</v>
      </c>
      <c r="S6061">
        <v>-2.995911</v>
      </c>
      <c r="T6061">
        <v>-9.309423E-2</v>
      </c>
      <c r="U6061">
        <v>-0.29681400000000002</v>
      </c>
      <c r="V6061">
        <v>-1.287656E-2</v>
      </c>
      <c r="W6061">
        <v>-4.2819009999999998E-2</v>
      </c>
      <c r="X6061">
        <v>0.99899979999999999</v>
      </c>
      <c r="Y6061">
        <v>-9.8789979999999999E-2</v>
      </c>
      <c r="Z6061">
        <v>-2.1555060000000002E-3</v>
      </c>
      <c r="AA6061">
        <v>0.99510600000000005</v>
      </c>
      <c r="AB6061">
        <v>30</v>
      </c>
      <c r="AC6061">
        <v>-35.780700000000003</v>
      </c>
      <c r="AD6061">
        <v>-1.121006674525</v>
      </c>
      <c r="AE6061">
        <v>-3.5741999999999901</v>
      </c>
      <c r="AF6061">
        <v>-3.5802869153688999</v>
      </c>
      <c r="AG6061">
        <v>-1.121006674525</v>
      </c>
      <c r="AH6061">
        <v>35.745003720363798</v>
      </c>
      <c r="AI6061">
        <v>91.787338970324001</v>
      </c>
      <c r="AJ6061">
        <v>95.719776424496104</v>
      </c>
      <c r="AK6061">
        <v>35.941346682191998</v>
      </c>
      <c r="AL6061">
        <v>92.454099019262003</v>
      </c>
      <c r="AM6061">
        <v>90.738470307375593</v>
      </c>
      <c r="AN6061">
        <v>0.99999993690742495</v>
      </c>
    </row>
    <row r="6062" spans="1:40" x14ac:dyDescent="0.25">
      <c r="A6062" t="str">
        <f>"20190303153929362"</f>
        <v>20190303153929362</v>
      </c>
      <c r="B6062" t="str">
        <f>"1551598769354574"</f>
        <v>1551598769354574</v>
      </c>
      <c r="C6062" t="s">
        <v>40</v>
      </c>
      <c r="D6062">
        <v>3.8837449999999998</v>
      </c>
      <c r="E6062">
        <v>0.46691389999999999</v>
      </c>
      <c r="F6062" t="s">
        <v>42</v>
      </c>
      <c r="G6062">
        <v>-363.51760000000002</v>
      </c>
      <c r="H6062" s="1">
        <v>-3.0490360000000001E-6</v>
      </c>
      <c r="I6062">
        <v>138.0051</v>
      </c>
      <c r="J6062">
        <v>-328.92939999999999</v>
      </c>
      <c r="K6062">
        <v>1.1210249999999999</v>
      </c>
      <c r="L6062">
        <v>141.52289999999999</v>
      </c>
      <c r="M6062">
        <v>-0.99991909999999895</v>
      </c>
      <c r="N6062">
        <v>-1.273267E-2</v>
      </c>
      <c r="O6062">
        <v>2.431015E-4</v>
      </c>
      <c r="P6062">
        <v>-0.99836369999999997</v>
      </c>
      <c r="Q6062">
        <v>-5.570626E-2</v>
      </c>
      <c r="R6062">
        <v>-1.291725E-2</v>
      </c>
      <c r="S6062">
        <v>-2.9956969999999998</v>
      </c>
      <c r="T6062">
        <v>-9.6266630000000006E-2</v>
      </c>
      <c r="U6062">
        <v>-0.30207820000000002</v>
      </c>
      <c r="V6062">
        <v>-1.31599E-2</v>
      </c>
      <c r="W6062">
        <v>-4.2989859999999998E-2</v>
      </c>
      <c r="X6062">
        <v>0.99898880000000001</v>
      </c>
      <c r="Y6062">
        <v>-0.1004985</v>
      </c>
      <c r="Z6062">
        <v>-2.2566460000000002E-3</v>
      </c>
      <c r="AA6062">
        <v>0.9949346</v>
      </c>
      <c r="AB6062">
        <v>30</v>
      </c>
      <c r="AC6062">
        <v>-34.588200000000001</v>
      </c>
      <c r="AD6062">
        <v>-1.1210280490359901</v>
      </c>
      <c r="AE6062">
        <v>-3.51779999999999</v>
      </c>
      <c r="AF6062">
        <v>-3.5225466297940402</v>
      </c>
      <c r="AG6062">
        <v>-1.1210280490359901</v>
      </c>
      <c r="AH6062">
        <v>34.551420635097898</v>
      </c>
      <c r="AI6062">
        <v>91.848745252593503</v>
      </c>
      <c r="AJ6062">
        <v>95.821240292393099</v>
      </c>
      <c r="AK6062">
        <v>34.748607260569003</v>
      </c>
      <c r="AL6062">
        <v>92.463896952371698</v>
      </c>
      <c r="AM6062">
        <v>90.754726297382902</v>
      </c>
      <c r="AN6062">
        <v>0.99999996677813396</v>
      </c>
    </row>
    <row r="6063" spans="1:40" x14ac:dyDescent="0.25">
      <c r="A6063" t="str">
        <f>"20190303153929384"</f>
        <v>20190303153929384</v>
      </c>
      <c r="B6063" t="str">
        <f>"1551598769375066"</f>
        <v>1551598769375066</v>
      </c>
      <c r="C6063" t="s">
        <v>40</v>
      </c>
      <c r="D6063">
        <v>3.8657720000000002</v>
      </c>
      <c r="E6063">
        <v>0.46664870000000003</v>
      </c>
      <c r="F6063" t="s">
        <v>42</v>
      </c>
      <c r="G6063">
        <v>-365.31700000000001</v>
      </c>
      <c r="H6063" s="1">
        <v>-2.3080639999999998E-6</v>
      </c>
      <c r="I6063">
        <v>137.8306</v>
      </c>
      <c r="J6063">
        <v>-329.22160000000002</v>
      </c>
      <c r="K6063">
        <v>1.1210530000000001</v>
      </c>
      <c r="L6063">
        <v>141.52289999999999</v>
      </c>
      <c r="M6063">
        <v>-0.99991640000000004</v>
      </c>
      <c r="N6063">
        <v>-1.292461E-2</v>
      </c>
      <c r="O6063">
        <v>1.9895000000000001E-4</v>
      </c>
      <c r="P6063">
        <v>-0.99829889999999999</v>
      </c>
      <c r="Q6063">
        <v>-5.6816140000000001E-2</v>
      </c>
      <c r="R6063">
        <v>-1.3076020000000001E-2</v>
      </c>
      <c r="S6063">
        <v>-2.9958499999999999</v>
      </c>
      <c r="T6063">
        <v>-9.2296240000000002E-2</v>
      </c>
      <c r="U6063">
        <v>-0.30398560000000002</v>
      </c>
      <c r="V6063">
        <v>-1.3273210000000001E-2</v>
      </c>
      <c r="W6063">
        <v>-4.390923E-2</v>
      </c>
      <c r="X6063">
        <v>0.99894729999999998</v>
      </c>
      <c r="Y6063">
        <v>-0.1010809</v>
      </c>
      <c r="Z6063">
        <v>-2.2113810000000001E-3</v>
      </c>
      <c r="AA6063">
        <v>0.99487570000000003</v>
      </c>
      <c r="AB6063">
        <v>30</v>
      </c>
      <c r="AC6063">
        <v>-36.095399999999898</v>
      </c>
      <c r="AD6063">
        <v>-1.121055308064</v>
      </c>
      <c r="AE6063">
        <v>-3.6922999999999799</v>
      </c>
      <c r="AF6063">
        <v>-3.69595348348895</v>
      </c>
      <c r="AG6063">
        <v>-1.121055308064</v>
      </c>
      <c r="AH6063">
        <v>36.060240888074901</v>
      </c>
      <c r="AI6063">
        <v>91.771386843400094</v>
      </c>
      <c r="AJ6063">
        <v>95.852031168396607</v>
      </c>
      <c r="AK6063">
        <v>36.266483287766498</v>
      </c>
      <c r="AL6063">
        <v>92.516622803615405</v>
      </c>
      <c r="AM6063">
        <v>90.761255536771003</v>
      </c>
      <c r="AN6063">
        <v>0.99999995338009195</v>
      </c>
    </row>
    <row r="6064" spans="1:40" x14ac:dyDescent="0.25">
      <c r="A6064" t="str">
        <f>"20190303153929406"</f>
        <v>20190303153929406</v>
      </c>
      <c r="B6064" t="str">
        <f>"1551598769394587"</f>
        <v>1551598769394587</v>
      </c>
      <c r="C6064" t="s">
        <v>40</v>
      </c>
      <c r="D6064">
        <v>3.8398650000000001</v>
      </c>
      <c r="E6064">
        <v>0.4664008</v>
      </c>
      <c r="F6064" t="s">
        <v>42</v>
      </c>
      <c r="G6064">
        <v>-365.24040000000002</v>
      </c>
      <c r="H6064" s="1">
        <v>-2.3404090000000001E-6</v>
      </c>
      <c r="I6064">
        <v>137.83349999999999</v>
      </c>
      <c r="J6064">
        <v>-329.51229999999998</v>
      </c>
      <c r="K6064">
        <v>1.121078</v>
      </c>
      <c r="L6064">
        <v>141.52289999999999</v>
      </c>
      <c r="M6064">
        <v>-0.99991430000000003</v>
      </c>
      <c r="N6064">
        <v>-1.309281E-2</v>
      </c>
      <c r="O6064">
        <v>1.309641E-4</v>
      </c>
      <c r="P6064">
        <v>-0.9982837</v>
      </c>
      <c r="Q6064">
        <v>-5.6959509999999998E-2</v>
      </c>
      <c r="R6064">
        <v>-1.361091E-2</v>
      </c>
      <c r="S6064">
        <v>-2.9957889999999998</v>
      </c>
      <c r="T6064">
        <v>-9.3241690000000002E-2</v>
      </c>
      <c r="U6064">
        <v>-0.30685420000000002</v>
      </c>
      <c r="V6064">
        <v>-1.37386E-2</v>
      </c>
      <c r="W6064">
        <v>-4.3885399999999998E-2</v>
      </c>
      <c r="X6064">
        <v>0.99894210000000006</v>
      </c>
      <c r="Y6064">
        <v>-0.10195609999999999</v>
      </c>
      <c r="Z6064">
        <v>-2.2539320000000002E-3</v>
      </c>
      <c r="AA6064">
        <v>0.99478630000000001</v>
      </c>
      <c r="AB6064">
        <v>30</v>
      </c>
      <c r="AC6064">
        <v>-35.728099999999998</v>
      </c>
      <c r="AD6064">
        <v>-1.121080340409</v>
      </c>
      <c r="AE6064">
        <v>-3.6894</v>
      </c>
      <c r="AF6064">
        <v>-3.69048420629171</v>
      </c>
      <c r="AG6064">
        <v>-1.121080340409</v>
      </c>
      <c r="AH6064">
        <v>35.692844583270002</v>
      </c>
      <c r="AI6064">
        <v>91.789484075557894</v>
      </c>
      <c r="AJ6064">
        <v>95.903156736132601</v>
      </c>
      <c r="AK6064">
        <v>35.900635777824498</v>
      </c>
      <c r="AL6064">
        <v>92.515256014638993</v>
      </c>
      <c r="AM6064">
        <v>90.787947741519503</v>
      </c>
      <c r="AN6064">
        <v>0.99999999830776498</v>
      </c>
    </row>
    <row r="6065" spans="1:40" x14ac:dyDescent="0.25">
      <c r="A6065" t="str">
        <f>"20190303153929429"</f>
        <v>20190303153929429</v>
      </c>
      <c r="B6065" t="str">
        <f>"1551598769424843"</f>
        <v>1551598769424843</v>
      </c>
      <c r="C6065" t="s">
        <v>40</v>
      </c>
      <c r="D6065">
        <v>3.8472529999999998</v>
      </c>
      <c r="E6065">
        <v>0.46593620000000002</v>
      </c>
      <c r="F6065" t="s">
        <v>42</v>
      </c>
      <c r="G6065">
        <v>-365.60570000000001</v>
      </c>
      <c r="H6065" s="1">
        <v>-2.1927350000000001E-6</v>
      </c>
      <c r="I6065">
        <v>137.7824</v>
      </c>
      <c r="J6065">
        <v>-329.80919999999998</v>
      </c>
      <c r="K6065">
        <v>1.1211009999999999</v>
      </c>
      <c r="L6065">
        <v>141.52279999999999</v>
      </c>
      <c r="M6065">
        <v>-0.99991229999999998</v>
      </c>
      <c r="N6065">
        <v>-1.324319E-2</v>
      </c>
      <c r="O6065" s="1">
        <v>3.6226380000000001E-5</v>
      </c>
      <c r="P6065">
        <v>-0.99827929999999998</v>
      </c>
      <c r="Q6065">
        <v>-5.6880769999999997E-2</v>
      </c>
      <c r="R6065">
        <v>-1.425278E-2</v>
      </c>
      <c r="S6065">
        <v>-2.9956360000000002</v>
      </c>
      <c r="T6065">
        <v>-9.3046069999999995E-2</v>
      </c>
      <c r="U6065">
        <v>-0.3104401</v>
      </c>
      <c r="V6065">
        <v>-1.4283189999999999E-2</v>
      </c>
      <c r="W6065">
        <v>-4.365724E-2</v>
      </c>
      <c r="X6065">
        <v>0.99894450000000001</v>
      </c>
      <c r="Y6065">
        <v>-0.1030445</v>
      </c>
      <c r="Z6065">
        <v>-2.2807000000000001E-3</v>
      </c>
      <c r="AA6065">
        <v>0.99467410000000001</v>
      </c>
      <c r="AB6065">
        <v>29</v>
      </c>
      <c r="AC6065">
        <v>-35.796500000000002</v>
      </c>
      <c r="AD6065">
        <v>-1.1211031927349999</v>
      </c>
      <c r="AE6065">
        <v>-3.74039999999999</v>
      </c>
      <c r="AF6065">
        <v>-3.7380699401954498</v>
      </c>
      <c r="AG6065">
        <v>-1.1211031927349999</v>
      </c>
      <c r="AH6065">
        <v>35.761665881160098</v>
      </c>
      <c r="AI6065">
        <v>91.7858711948479</v>
      </c>
      <c r="AJ6065">
        <v>95.967302568787602</v>
      </c>
      <c r="AK6065">
        <v>35.973973728826202</v>
      </c>
      <c r="AL6065">
        <v>92.502170766287094</v>
      </c>
      <c r="AM6065">
        <v>90.819175382254301</v>
      </c>
      <c r="AN6065">
        <v>1.0000000391006201</v>
      </c>
    </row>
    <row r="6066" spans="1:40" x14ac:dyDescent="0.25">
      <c r="A6066" t="str">
        <f>"20190303153929452"</f>
        <v>20190303153929452</v>
      </c>
      <c r="B6066" t="str">
        <f>"1551598769444365"</f>
        <v>1551598769444365</v>
      </c>
      <c r="C6066" t="s">
        <v>40</v>
      </c>
      <c r="D6066">
        <v>3.912166</v>
      </c>
      <c r="E6066">
        <v>0.46564410000000001</v>
      </c>
      <c r="F6066" t="s">
        <v>42</v>
      </c>
      <c r="G6066">
        <v>-366.63990000000001</v>
      </c>
      <c r="H6066" s="1">
        <v>-1.775018E-6</v>
      </c>
      <c r="I6066">
        <v>137.6361</v>
      </c>
      <c r="J6066">
        <v>-330.11259999999999</v>
      </c>
      <c r="K6066">
        <v>1.1211279999999999</v>
      </c>
      <c r="L6066">
        <v>141.52269999999999</v>
      </c>
      <c r="M6066">
        <v>-0.99991070000000004</v>
      </c>
      <c r="N6066">
        <v>-1.337494E-2</v>
      </c>
      <c r="O6066" s="1">
        <v>-8.7986330000000004E-5</v>
      </c>
      <c r="P6066">
        <v>-0.99825229999999998</v>
      </c>
      <c r="Q6066">
        <v>-5.7147000000000003E-2</v>
      </c>
      <c r="R6066">
        <v>-1.506178E-2</v>
      </c>
      <c r="S6066">
        <v>-2.9954529999999999</v>
      </c>
      <c r="T6066">
        <v>-9.1179850000000007E-2</v>
      </c>
      <c r="U6066">
        <v>-0.31610110000000002</v>
      </c>
      <c r="V6066">
        <v>-1.496664E-2</v>
      </c>
      <c r="W6066">
        <v>-4.3792949999999997E-2</v>
      </c>
      <c r="X6066">
        <v>0.9989285</v>
      </c>
      <c r="Y6066">
        <v>-0.10478750000000001</v>
      </c>
      <c r="Z6066">
        <v>-2.2915230000000002E-3</v>
      </c>
      <c r="AA6066">
        <v>0.99449200000000004</v>
      </c>
      <c r="AB6066">
        <v>29</v>
      </c>
      <c r="AC6066">
        <v>-36.527299999999997</v>
      </c>
      <c r="AD6066">
        <v>-1.121129775018</v>
      </c>
      <c r="AE6066">
        <v>-3.8865999999999801</v>
      </c>
      <c r="AF6066">
        <v>-3.87977174982972</v>
      </c>
      <c r="AG6066">
        <v>-1.121129775018</v>
      </c>
      <c r="AH6066">
        <v>36.493647669831702</v>
      </c>
      <c r="AI6066">
        <v>91.749788826490601</v>
      </c>
      <c r="AJ6066">
        <v>96.068526824215098</v>
      </c>
      <c r="AK6066">
        <v>36.7164252215956</v>
      </c>
      <c r="AL6066">
        <v>92.509953954686594</v>
      </c>
      <c r="AM6066">
        <v>90.858380903190707</v>
      </c>
      <c r="AN6066">
        <v>0.99999998544742097</v>
      </c>
    </row>
    <row r="6067" spans="1:40" x14ac:dyDescent="0.25">
      <c r="A6067" t="str">
        <f>"20190303153929473"</f>
        <v>20190303153929473</v>
      </c>
      <c r="B6067" t="str">
        <f>"1551598769464862"</f>
        <v>1551598769464862</v>
      </c>
      <c r="C6067" t="s">
        <v>40</v>
      </c>
      <c r="D6067">
        <v>3.8690039999999999</v>
      </c>
      <c r="E6067">
        <v>0.4374171</v>
      </c>
      <c r="F6067" t="s">
        <v>42</v>
      </c>
      <c r="G6067">
        <v>-366.33879999999999</v>
      </c>
      <c r="H6067" s="1">
        <v>-1.903174E-6</v>
      </c>
      <c r="I6067">
        <v>137.64179999999999</v>
      </c>
      <c r="J6067">
        <v>-330.39100000000002</v>
      </c>
      <c r="K6067">
        <v>1.121148</v>
      </c>
      <c r="L6067">
        <v>141.52250000000001</v>
      </c>
      <c r="M6067">
        <v>-0.9999091</v>
      </c>
      <c r="N6067">
        <v>-1.348039E-2</v>
      </c>
      <c r="O6067">
        <v>-2.1933050000000001E-4</v>
      </c>
      <c r="P6067">
        <v>-0.99819250000000004</v>
      </c>
      <c r="Q6067">
        <v>-5.7752390000000001E-2</v>
      </c>
      <c r="R6067">
        <v>-1.6627880000000001E-2</v>
      </c>
      <c r="S6067">
        <v>-2.995117</v>
      </c>
      <c r="T6067">
        <v>-9.2693090000000006E-2</v>
      </c>
      <c r="U6067">
        <v>-0.32086179999999997</v>
      </c>
      <c r="V6067">
        <v>-1.6400000000000001E-2</v>
      </c>
      <c r="W6067">
        <v>-4.4294500000000001E-2</v>
      </c>
      <c r="X6067">
        <v>0.99888390000000005</v>
      </c>
      <c r="Y6067">
        <v>-0.1062283</v>
      </c>
      <c r="Z6067">
        <v>-2.3532029999999999E-3</v>
      </c>
      <c r="AA6067">
        <v>0.99433899999999997</v>
      </c>
      <c r="AB6067">
        <v>29</v>
      </c>
      <c r="AC6067">
        <v>-35.947800000000001</v>
      </c>
      <c r="AD6067">
        <v>-1.121149903174</v>
      </c>
      <c r="AE6067">
        <v>-3.8807000000000098</v>
      </c>
      <c r="AF6067">
        <v>-3.8690945943622301</v>
      </c>
      <c r="AG6067">
        <v>-1.121149903174</v>
      </c>
      <c r="AH6067">
        <v>35.914118828935401</v>
      </c>
      <c r="AI6067">
        <v>91.777771618159406</v>
      </c>
      <c r="AJ6067">
        <v>96.148865490977101</v>
      </c>
      <c r="AK6067">
        <v>36.139324860107799</v>
      </c>
      <c r="AL6067">
        <v>92.538718519028706</v>
      </c>
      <c r="AM6067">
        <v>90.940616188208097</v>
      </c>
      <c r="AN6067">
        <v>1.0000000042047299</v>
      </c>
    </row>
    <row r="6068" spans="1:40" x14ac:dyDescent="0.25">
      <c r="A6068" t="str">
        <f>"20190303153929495"</f>
        <v>20190303153929495</v>
      </c>
      <c r="B6068" t="str">
        <f>"1551598769484382"</f>
        <v>1551598769484382</v>
      </c>
      <c r="C6068" t="s">
        <v>40</v>
      </c>
      <c r="D6068">
        <v>3.9231129999999999</v>
      </c>
      <c r="E6068">
        <v>0.43038900000000002</v>
      </c>
      <c r="F6068" t="s">
        <v>42</v>
      </c>
      <c r="G6068">
        <v>-390.27370000000002</v>
      </c>
      <c r="H6068" s="1">
        <v>-5.7744409999999998E-6</v>
      </c>
      <c r="I6068">
        <v>130.48580000000001</v>
      </c>
      <c r="J6068">
        <v>-330.67869999999999</v>
      </c>
      <c r="K6068">
        <v>1.121162</v>
      </c>
      <c r="L6068">
        <v>141.5223</v>
      </c>
      <c r="M6068">
        <v>-0.99990769999999995</v>
      </c>
      <c r="N6068">
        <v>-1.3574920000000001E-2</v>
      </c>
      <c r="O6068">
        <v>-3.668705E-4</v>
      </c>
      <c r="P6068">
        <v>-0.99814740000000002</v>
      </c>
      <c r="Q6068">
        <v>-5.8180120000000002E-2</v>
      </c>
      <c r="R6068">
        <v>-1.7799860000000001E-2</v>
      </c>
      <c r="S6068">
        <v>-2.9929809999999999</v>
      </c>
      <c r="T6068">
        <v>-5.603611E-2</v>
      </c>
      <c r="U6068">
        <v>-0.55162049999999996</v>
      </c>
      <c r="V6068">
        <v>-1.7423310000000001E-2</v>
      </c>
      <c r="W6068">
        <v>-4.4628899999999999E-2</v>
      </c>
      <c r="X6068">
        <v>0.99885170000000001</v>
      </c>
      <c r="Y6068">
        <v>-0.18083759999999999</v>
      </c>
      <c r="Z6068">
        <v>-2.9146319999999999E-3</v>
      </c>
      <c r="AA6068">
        <v>0.98350859999999996</v>
      </c>
      <c r="AB6068">
        <v>29</v>
      </c>
      <c r="AC6068">
        <v>-59.594999999999999</v>
      </c>
      <c r="AD6068">
        <v>-1.121167774441</v>
      </c>
      <c r="AE6068">
        <v>-11.036499999999901</v>
      </c>
      <c r="AF6068">
        <v>-11.010865703115901</v>
      </c>
      <c r="AG6068">
        <v>-1.121167774441</v>
      </c>
      <c r="AH6068">
        <v>59.578657665447899</v>
      </c>
      <c r="AI6068">
        <v>91.060132192787904</v>
      </c>
      <c r="AJ6068">
        <v>100.47081642977</v>
      </c>
      <c r="AK6068">
        <v>60.597958958426403</v>
      </c>
      <c r="AL6068">
        <v>92.557897167294897</v>
      </c>
      <c r="AM6068">
        <v>90.999328426320304</v>
      </c>
      <c r="AN6068">
        <v>1.0000000145197201</v>
      </c>
    </row>
    <row r="6069" spans="1:40" x14ac:dyDescent="0.25">
      <c r="A6069" t="str">
        <f>"20190303153929519"</f>
        <v>20190303153929519</v>
      </c>
      <c r="B6069" t="str">
        <f>"1551598769514634"</f>
        <v>1551598769514634</v>
      </c>
      <c r="C6069" t="s">
        <v>40</v>
      </c>
      <c r="D6069">
        <v>3.9396909999999998</v>
      </c>
      <c r="E6069">
        <v>0.42651929999999999</v>
      </c>
      <c r="F6069" t="s">
        <v>42</v>
      </c>
      <c r="G6069">
        <v>-388.17469999999997</v>
      </c>
      <c r="H6069" s="1">
        <v>-3.2255810000000002E-6</v>
      </c>
      <c r="I6069">
        <v>129.77539999999999</v>
      </c>
      <c r="J6069">
        <v>-330.98289999999997</v>
      </c>
      <c r="K6069">
        <v>1.1211739999999999</v>
      </c>
      <c r="L6069">
        <v>141.52199999999999</v>
      </c>
      <c r="M6069">
        <v>-0.99990659999999998</v>
      </c>
      <c r="N6069">
        <v>-1.366126E-2</v>
      </c>
      <c r="O6069">
        <v>-5.2980180000000005E-4</v>
      </c>
      <c r="P6069">
        <v>-0.9981331</v>
      </c>
      <c r="Q6069">
        <v>-5.8126339999999999E-2</v>
      </c>
      <c r="R6069">
        <v>-1.8756180000000001E-2</v>
      </c>
      <c r="S6069">
        <v>-2.991241</v>
      </c>
      <c r="T6069">
        <v>-5.8328869999999998E-2</v>
      </c>
      <c r="U6069">
        <v>-0.61112979999999995</v>
      </c>
      <c r="V6069">
        <v>-1.8216920000000001E-2</v>
      </c>
      <c r="W6069">
        <v>-4.4489460000000002E-2</v>
      </c>
      <c r="X6069">
        <v>0.9988437</v>
      </c>
      <c r="Y6069">
        <v>-0.1995894</v>
      </c>
      <c r="Z6069">
        <v>-3.3003910000000002E-3</v>
      </c>
      <c r="AA6069">
        <v>0.97987409999999997</v>
      </c>
      <c r="AB6069">
        <v>29</v>
      </c>
      <c r="AC6069">
        <v>-57.191800000000001</v>
      </c>
      <c r="AD6069">
        <v>-1.121177225581</v>
      </c>
      <c r="AE6069">
        <v>-11.746600000000001</v>
      </c>
      <c r="AF6069">
        <v>-11.7119763733516</v>
      </c>
      <c r="AG6069">
        <v>-1.121177225581</v>
      </c>
      <c r="AH6069">
        <v>57.176931724398102</v>
      </c>
      <c r="AI6069">
        <v>91.100518771978003</v>
      </c>
      <c r="AJ6069">
        <v>101.57618762190501</v>
      </c>
      <c r="AK6069">
        <v>58.374900002977199</v>
      </c>
      <c r="AL6069">
        <v>92.5499000585191</v>
      </c>
      <c r="AM6069">
        <v>91.044845083129104</v>
      </c>
      <c r="AN6069">
        <v>0.99999995262753205</v>
      </c>
    </row>
    <row r="6070" spans="1:40" x14ac:dyDescent="0.25">
      <c r="A6070" t="str">
        <f>"20190303153929541"</f>
        <v>20190303153929541</v>
      </c>
      <c r="B6070" t="str">
        <f>"1551598769535131"</f>
        <v>1551598769535131</v>
      </c>
      <c r="C6070" t="s">
        <v>40</v>
      </c>
      <c r="D6070">
        <v>3.9261680000000001</v>
      </c>
      <c r="E6070">
        <v>0.42654629999999999</v>
      </c>
      <c r="F6070" t="s">
        <v>42</v>
      </c>
      <c r="G6070">
        <v>-389.20409999999998</v>
      </c>
      <c r="H6070">
        <v>7.9985630000000002E-2</v>
      </c>
      <c r="I6070">
        <v>128.9666</v>
      </c>
      <c r="J6070">
        <v>-331.28370000000001</v>
      </c>
      <c r="K6070">
        <v>1.121189</v>
      </c>
      <c r="L6070">
        <v>141.52170000000001</v>
      </c>
      <c r="M6070">
        <v>-0.99990540000000006</v>
      </c>
      <c r="N6070">
        <v>-1.3734390000000001E-2</v>
      </c>
      <c r="O6070">
        <v>-6.924794E-4</v>
      </c>
      <c r="P6070">
        <v>-0.99813750000000001</v>
      </c>
      <c r="Q6070">
        <v>-5.8113339999999999E-2</v>
      </c>
      <c r="R6070">
        <v>-1.8547049999999999E-2</v>
      </c>
      <c r="S6070">
        <v>-2.9904169999999999</v>
      </c>
      <c r="T6070">
        <v>-5.347872E-2</v>
      </c>
      <c r="U6070">
        <v>-0.64488219999999996</v>
      </c>
      <c r="V6070">
        <v>-1.7845010000000001E-2</v>
      </c>
      <c r="W6070">
        <v>-4.4403369999999998E-2</v>
      </c>
      <c r="X6070">
        <v>0.99885429999999997</v>
      </c>
      <c r="Y6070">
        <v>-0.2100687</v>
      </c>
      <c r="Z6070">
        <v>-3.313285E-3</v>
      </c>
      <c r="AA6070">
        <v>0.97768100000000002</v>
      </c>
      <c r="AB6070">
        <v>29</v>
      </c>
      <c r="AC6070">
        <v>-57.920399999999901</v>
      </c>
      <c r="AD6070">
        <v>-1.0412033700000001</v>
      </c>
      <c r="AE6070">
        <v>-12.555099999999999</v>
      </c>
      <c r="AF6070">
        <v>-12.5111229579796</v>
      </c>
      <c r="AG6070">
        <v>-1.0412033700000001</v>
      </c>
      <c r="AH6070">
        <v>57.911206765181298</v>
      </c>
      <c r="AI6070">
        <v>91.006804926811995</v>
      </c>
      <c r="AJ6070">
        <v>102.190809476955</v>
      </c>
      <c r="AK6070">
        <v>59.25639350422</v>
      </c>
      <c r="AL6070">
        <v>92.544962443897603</v>
      </c>
      <c r="AM6070">
        <v>91.023507632285103</v>
      </c>
      <c r="AN6070">
        <v>1.00000000813887</v>
      </c>
    </row>
    <row r="6071" spans="1:40" x14ac:dyDescent="0.25">
      <c r="A6071" t="str">
        <f>"20190303153929563"</f>
        <v>20190303153929563</v>
      </c>
      <c r="B6071" t="str">
        <f>"1551598769554654"</f>
        <v>1551598769554654</v>
      </c>
      <c r="C6071" t="s">
        <v>40</v>
      </c>
      <c r="D6071">
        <v>3.9509650000000001</v>
      </c>
      <c r="E6071">
        <v>0.42653869999999999</v>
      </c>
      <c r="F6071" t="s">
        <v>42</v>
      </c>
      <c r="G6071">
        <v>-393.41910000000001</v>
      </c>
      <c r="H6071">
        <v>7.9985890000000004E-2</v>
      </c>
      <c r="I6071">
        <v>128.13839999999999</v>
      </c>
      <c r="J6071">
        <v>-331.56740000000002</v>
      </c>
      <c r="K6071">
        <v>1.1211990000000001</v>
      </c>
      <c r="L6071">
        <v>141.5213</v>
      </c>
      <c r="M6071">
        <v>-0.99990449999999997</v>
      </c>
      <c r="N6071">
        <v>-1.37936E-2</v>
      </c>
      <c r="O6071">
        <v>-8.4514080000000003E-4</v>
      </c>
      <c r="P6071">
        <v>-0.99815940000000003</v>
      </c>
      <c r="Q6071">
        <v>-5.793011E-2</v>
      </c>
      <c r="R6071">
        <v>-1.7944600000000002E-2</v>
      </c>
      <c r="S6071">
        <v>-2.990723</v>
      </c>
      <c r="T6071">
        <v>-5.0115590000000002E-2</v>
      </c>
      <c r="U6071">
        <v>-0.64416499999999999</v>
      </c>
      <c r="V6071">
        <v>-1.7089790000000001E-2</v>
      </c>
      <c r="W6071">
        <v>-4.4160539999999998E-2</v>
      </c>
      <c r="X6071">
        <v>0.99887820000000005</v>
      </c>
      <c r="Y6071">
        <v>-0.20968029999999999</v>
      </c>
      <c r="Z6071">
        <v>-3.197068E-3</v>
      </c>
      <c r="AA6071">
        <v>0.97776479999999999</v>
      </c>
      <c r="AB6071">
        <v>29</v>
      </c>
      <c r="AC6071">
        <v>-61.851700000000001</v>
      </c>
      <c r="AD6071">
        <v>-1.0412131099999999</v>
      </c>
      <c r="AE6071">
        <v>-13.382899999999999</v>
      </c>
      <c r="AF6071">
        <v>-13.327009085952101</v>
      </c>
      <c r="AG6071">
        <v>-1.0412131099999999</v>
      </c>
      <c r="AH6071">
        <v>61.846246974064897</v>
      </c>
      <c r="AI6071">
        <v>90.942874141392906</v>
      </c>
      <c r="AJ6071">
        <v>102.160500672019</v>
      </c>
      <c r="AK6071">
        <v>63.274414740039397</v>
      </c>
      <c r="AL6071">
        <v>92.531035830550806</v>
      </c>
      <c r="AM6071">
        <v>90.980176878688795</v>
      </c>
      <c r="AN6071">
        <v>0.99999993632528505</v>
      </c>
    </row>
    <row r="6072" spans="1:40" x14ac:dyDescent="0.25">
      <c r="A6072" t="str">
        <f>"20190303153929584"</f>
        <v>20190303153929584</v>
      </c>
      <c r="B6072" t="str">
        <f>"1551598769575147"</f>
        <v>1551598769575147</v>
      </c>
      <c r="C6072" t="s">
        <v>40</v>
      </c>
      <c r="D6072">
        <v>3.94014</v>
      </c>
      <c r="E6072">
        <v>0.42564540000000001</v>
      </c>
      <c r="F6072" t="s">
        <v>42</v>
      </c>
      <c r="G6072">
        <v>-396.94799999999998</v>
      </c>
      <c r="H6072">
        <v>7.9986360000000006E-2</v>
      </c>
      <c r="I6072">
        <v>127.4803</v>
      </c>
      <c r="J6072">
        <v>-331.8494</v>
      </c>
      <c r="K6072">
        <v>1.1212029999999999</v>
      </c>
      <c r="L6072">
        <v>141.52099999999999</v>
      </c>
      <c r="M6072">
        <v>-0.99990369999999995</v>
      </c>
      <c r="N6072">
        <v>-1.3844479999999999E-2</v>
      </c>
      <c r="O6072">
        <v>-9.9463500000000001E-4</v>
      </c>
      <c r="P6072">
        <v>-0.99815480000000001</v>
      </c>
      <c r="Q6072">
        <v>-5.8155369999999998E-2</v>
      </c>
      <c r="R6072">
        <v>-1.745619E-2</v>
      </c>
      <c r="S6072">
        <v>-2.9911799999999999</v>
      </c>
      <c r="T6072">
        <v>-4.7635789999999997E-2</v>
      </c>
      <c r="U6072">
        <v>-0.64237979999999995</v>
      </c>
      <c r="V6072">
        <v>-1.645189E-2</v>
      </c>
      <c r="W6072">
        <v>-4.4334850000000002E-2</v>
      </c>
      <c r="X6072">
        <v>0.99888129999999997</v>
      </c>
      <c r="Y6072">
        <v>-0.20894950000000001</v>
      </c>
      <c r="Z6072">
        <v>-3.1058460000000002E-3</v>
      </c>
      <c r="AA6072">
        <v>0.9779215</v>
      </c>
      <c r="AB6072">
        <v>29</v>
      </c>
      <c r="AC6072">
        <v>-65.098600000000005</v>
      </c>
      <c r="AD6072">
        <v>-1.04121664</v>
      </c>
      <c r="AE6072">
        <v>-14.040699999999999</v>
      </c>
      <c r="AF6072">
        <v>-13.9725219081623</v>
      </c>
      <c r="AG6072">
        <v>-1.04121664</v>
      </c>
      <c r="AH6072">
        <v>65.096621575817494</v>
      </c>
      <c r="AI6072">
        <v>90.895961170705306</v>
      </c>
      <c r="AJ6072">
        <v>102.114317585953</v>
      </c>
      <c r="AK6072">
        <v>66.587428551872193</v>
      </c>
      <c r="AL6072">
        <v>92.541032566887395</v>
      </c>
      <c r="AM6072">
        <v>90.943594239163104</v>
      </c>
      <c r="AN6072">
        <v>1.00000004754939</v>
      </c>
    </row>
    <row r="6073" spans="1:40" x14ac:dyDescent="0.25">
      <c r="A6073" t="str">
        <f>"20190303153929608"</f>
        <v>20190303153929608</v>
      </c>
      <c r="B6073" t="str">
        <f>"1551598769604426"</f>
        <v>1551598769604426</v>
      </c>
      <c r="C6073" t="s">
        <v>40</v>
      </c>
      <c r="D6073">
        <v>4.0438199999999904</v>
      </c>
      <c r="E6073">
        <v>0.42454500000000001</v>
      </c>
      <c r="F6073" t="s">
        <v>42</v>
      </c>
      <c r="G6073">
        <v>-394.08580000000001</v>
      </c>
      <c r="H6073">
        <v>7.9985710000000002E-2</v>
      </c>
      <c r="I6073">
        <v>128.04230000000001</v>
      </c>
      <c r="J6073">
        <v>-332.14909999999998</v>
      </c>
      <c r="K6073">
        <v>1.121211</v>
      </c>
      <c r="L6073">
        <v>141.5205</v>
      </c>
      <c r="M6073">
        <v>-0.99990279999999998</v>
      </c>
      <c r="N6073">
        <v>-1.389081E-2</v>
      </c>
      <c r="O6073">
        <v>-1.151476E-3</v>
      </c>
      <c r="P6073">
        <v>-0.99818929999999995</v>
      </c>
      <c r="Q6073">
        <v>-5.7781810000000003E-2</v>
      </c>
      <c r="R6073">
        <v>-1.6717289999999999E-2</v>
      </c>
      <c r="S6073">
        <v>-2.9913020000000001</v>
      </c>
      <c r="T6073">
        <v>-5.0044539999999998E-2</v>
      </c>
      <c r="U6073">
        <v>-0.64782709999999999</v>
      </c>
      <c r="V6073">
        <v>-1.5556250000000001E-2</v>
      </c>
      <c r="W6073">
        <v>-4.3914309999999998E-2</v>
      </c>
      <c r="X6073">
        <v>0.99891419999999997</v>
      </c>
      <c r="Y6073">
        <v>-0.21048520000000001</v>
      </c>
      <c r="Z6073">
        <v>-3.216099E-3</v>
      </c>
      <c r="AA6073">
        <v>0.97759180000000001</v>
      </c>
      <c r="AB6073">
        <v>29</v>
      </c>
      <c r="AC6073">
        <v>-61.936700000000002</v>
      </c>
      <c r="AD6073">
        <v>-1.0412252900000001</v>
      </c>
      <c r="AE6073">
        <v>-13.4781999999999</v>
      </c>
      <c r="AF6073">
        <v>-13.403248879665099</v>
      </c>
      <c r="AG6073">
        <v>-1.0412252900000001</v>
      </c>
      <c r="AH6073">
        <v>61.935467857295002</v>
      </c>
      <c r="AI6073">
        <v>90.941348369480806</v>
      </c>
      <c r="AJ6073">
        <v>102.210893624132</v>
      </c>
      <c r="AK6073">
        <v>63.377704355213098</v>
      </c>
      <c r="AL6073">
        <v>92.5169139762844</v>
      </c>
      <c r="AM6073">
        <v>90.892204181559904</v>
      </c>
      <c r="AN6073">
        <v>1.0000000212492299</v>
      </c>
    </row>
    <row r="6074" spans="1:40" x14ac:dyDescent="0.25">
      <c r="A6074" t="str">
        <f>"20190303153929630"</f>
        <v>20190303153929630</v>
      </c>
      <c r="B6074" t="str">
        <f>"1551598769624923"</f>
        <v>1551598769624923</v>
      </c>
      <c r="C6074" t="s">
        <v>40</v>
      </c>
      <c r="D6074">
        <v>4.0256480000000003</v>
      </c>
      <c r="E6074">
        <v>0.42412729999999998</v>
      </c>
      <c r="F6074" t="s">
        <v>42</v>
      </c>
      <c r="G6074">
        <v>-389.87299999999999</v>
      </c>
      <c r="H6074">
        <v>7.9985420000000002E-2</v>
      </c>
      <c r="I6074">
        <v>128.89009999999999</v>
      </c>
      <c r="J6074">
        <v>-332.43389999999999</v>
      </c>
      <c r="K6074">
        <v>1.121216</v>
      </c>
      <c r="L6074">
        <v>141.52000000000001</v>
      </c>
      <c r="M6074">
        <v>-0.99990230000000002</v>
      </c>
      <c r="N6074">
        <v>-1.392817E-2</v>
      </c>
      <c r="O6074">
        <v>-1.299307E-3</v>
      </c>
      <c r="P6074">
        <v>-0.99820850000000005</v>
      </c>
      <c r="Q6074">
        <v>-5.737921E-2</v>
      </c>
      <c r="R6074">
        <v>-1.6967110000000001E-2</v>
      </c>
      <c r="S6074">
        <v>-2.9913639999999999</v>
      </c>
      <c r="T6074">
        <v>-5.3958300000000001E-2</v>
      </c>
      <c r="U6074">
        <v>-0.65452580000000005</v>
      </c>
      <c r="V6074">
        <v>-1.565896E-2</v>
      </c>
      <c r="W6074">
        <v>-4.3474119999999998E-2</v>
      </c>
      <c r="X6074">
        <v>0.99893180000000004</v>
      </c>
      <c r="Y6074">
        <v>-0.2124191</v>
      </c>
      <c r="Z6074">
        <v>-3.3848720000000001E-3</v>
      </c>
      <c r="AA6074">
        <v>0.97717279999999995</v>
      </c>
      <c r="AB6074">
        <v>29</v>
      </c>
      <c r="AC6074">
        <v>-57.439100000000003</v>
      </c>
      <c r="AD6074">
        <v>-1.0412305799999999</v>
      </c>
      <c r="AE6074">
        <v>-12.629899999999999</v>
      </c>
      <c r="AF6074">
        <v>-12.5513168316942</v>
      </c>
      <c r="AG6074">
        <v>-1.0412305799999999</v>
      </c>
      <c r="AH6074">
        <v>57.437459253040203</v>
      </c>
      <c r="AI6074">
        <v>91.014611442052498</v>
      </c>
      <c r="AJ6074">
        <v>102.326589684231</v>
      </c>
      <c r="AK6074">
        <v>58.802053031972797</v>
      </c>
      <c r="AL6074">
        <v>92.491668960906694</v>
      </c>
      <c r="AM6074">
        <v>90.898078169156193</v>
      </c>
      <c r="AN6074">
        <v>0.99999997159464704</v>
      </c>
    </row>
    <row r="6075" spans="1:40" x14ac:dyDescent="0.25">
      <c r="A6075" t="str">
        <f>"20190303153929653"</f>
        <v>20190303153929653</v>
      </c>
      <c r="B6075" t="str">
        <f>"1551598769644446"</f>
        <v>1551598769644446</v>
      </c>
      <c r="C6075" t="s">
        <v>40</v>
      </c>
      <c r="D6075">
        <v>4.0258820000000002</v>
      </c>
      <c r="E6075">
        <v>0.42376520000000001</v>
      </c>
      <c r="F6075" t="s">
        <v>42</v>
      </c>
      <c r="G6075">
        <v>-388.16090000000003</v>
      </c>
      <c r="H6075">
        <v>7.9985909999999993E-2</v>
      </c>
      <c r="I6075">
        <v>129.24860000000001</v>
      </c>
      <c r="J6075">
        <v>-332.72359999999998</v>
      </c>
      <c r="K6075">
        <v>1.121229</v>
      </c>
      <c r="L6075">
        <v>141.51939999999999</v>
      </c>
      <c r="M6075">
        <v>-0.99990159999999995</v>
      </c>
      <c r="N6075">
        <v>-1.3960490000000001E-2</v>
      </c>
      <c r="O6075">
        <v>-1.448649E-3</v>
      </c>
      <c r="P6075">
        <v>-0.99820419999999999</v>
      </c>
      <c r="Q6075">
        <v>-5.7145170000000002E-2</v>
      </c>
      <c r="R6075">
        <v>-1.7974239999999999E-2</v>
      </c>
      <c r="S6075">
        <v>-2.990936</v>
      </c>
      <c r="T6075">
        <v>-5.5884120000000002E-2</v>
      </c>
      <c r="U6075">
        <v>-0.65861510000000001</v>
      </c>
      <c r="V6075">
        <v>-1.6517480000000001E-2</v>
      </c>
      <c r="W6075">
        <v>-4.3208040000000003E-2</v>
      </c>
      <c r="X6075">
        <v>0.99892959999999997</v>
      </c>
      <c r="Y6075">
        <v>-0.21357300000000001</v>
      </c>
      <c r="Z6075">
        <v>-3.4734449999999999E-3</v>
      </c>
      <c r="AA6075">
        <v>0.97692089999999998</v>
      </c>
      <c r="AB6075">
        <v>29</v>
      </c>
      <c r="AC6075">
        <v>-55.4373</v>
      </c>
      <c r="AD6075">
        <v>-1.04124309</v>
      </c>
      <c r="AE6075">
        <v>-12.2707999999999</v>
      </c>
      <c r="AF6075">
        <v>-12.186371833921701</v>
      </c>
      <c r="AG6075">
        <v>-1.04124309</v>
      </c>
      <c r="AH6075">
        <v>55.436376364778802</v>
      </c>
      <c r="AI6075">
        <v>91.0509535969708</v>
      </c>
      <c r="AJ6075">
        <v>102.397923713015</v>
      </c>
      <c r="AK6075">
        <v>56.769566407578701</v>
      </c>
      <c r="AL6075">
        <v>92.476409156756901</v>
      </c>
      <c r="AM6075">
        <v>90.947309655823503</v>
      </c>
      <c r="AN6075">
        <v>1.00000005381117</v>
      </c>
    </row>
    <row r="6076" spans="1:40" x14ac:dyDescent="0.25">
      <c r="A6076" t="str">
        <f>"20190303153929674"</f>
        <v>20190303153929674</v>
      </c>
      <c r="B6076" t="str">
        <f>"1551598769664940"</f>
        <v>1551598769664940</v>
      </c>
      <c r="C6076" t="s">
        <v>40</v>
      </c>
      <c r="D6076">
        <v>4.035005</v>
      </c>
      <c r="E6076">
        <v>0.42330869999999998</v>
      </c>
      <c r="F6076" t="s">
        <v>42</v>
      </c>
      <c r="G6076">
        <v>-387.39929999999998</v>
      </c>
      <c r="H6076">
        <v>7.9986130000000003E-2</v>
      </c>
      <c r="I6076">
        <v>129.3716</v>
      </c>
      <c r="J6076">
        <v>-333.01179999999999</v>
      </c>
      <c r="K6076">
        <v>1.121232</v>
      </c>
      <c r="L6076">
        <v>141.5188</v>
      </c>
      <c r="M6076">
        <v>-0.99990100000000004</v>
      </c>
      <c r="N6076">
        <v>-1.398774E-2</v>
      </c>
      <c r="O6076">
        <v>-1.5966439999999999E-3</v>
      </c>
      <c r="P6076">
        <v>-0.99819360000000001</v>
      </c>
      <c r="Q6076">
        <v>-5.6992840000000003E-2</v>
      </c>
      <c r="R6076">
        <v>-1.9018529999999999E-2</v>
      </c>
      <c r="S6076">
        <v>-2.990173</v>
      </c>
      <c r="T6076">
        <v>-5.6944849999999998E-2</v>
      </c>
      <c r="U6076">
        <v>-0.66435239999999995</v>
      </c>
      <c r="V6076">
        <v>-1.741359E-2</v>
      </c>
      <c r="W6076">
        <v>-4.3028789999999997E-2</v>
      </c>
      <c r="X6076">
        <v>0.99892199999999998</v>
      </c>
      <c r="Y6076">
        <v>-0.21526500000000001</v>
      </c>
      <c r="Z6076">
        <v>-3.540891E-3</v>
      </c>
      <c r="AA6076">
        <v>0.97654929999999995</v>
      </c>
      <c r="AB6076">
        <v>29</v>
      </c>
      <c r="AC6076">
        <v>-54.387499999999903</v>
      </c>
      <c r="AD6076">
        <v>-1.04124587</v>
      </c>
      <c r="AE6076">
        <v>-12.1471999999999</v>
      </c>
      <c r="AF6076">
        <v>-12.056129586071901</v>
      </c>
      <c r="AG6076">
        <v>-1.04124587</v>
      </c>
      <c r="AH6076">
        <v>54.387839749001998</v>
      </c>
      <c r="AI6076">
        <v>91.070797535023402</v>
      </c>
      <c r="AJ6076">
        <v>102.498630178855</v>
      </c>
      <c r="AK6076">
        <v>55.717785007312202</v>
      </c>
      <c r="AL6076">
        <v>92.466129619011099</v>
      </c>
      <c r="AM6076">
        <v>90.998700765464704</v>
      </c>
      <c r="AN6076">
        <v>0.99999993598477399</v>
      </c>
    </row>
    <row r="6077" spans="1:40" x14ac:dyDescent="0.25">
      <c r="A6077" t="str">
        <f>"20190303153929696"</f>
        <v>20190303153929696</v>
      </c>
      <c r="B6077" t="str">
        <f>"1551598769684696"</f>
        <v>1551598769684696</v>
      </c>
      <c r="C6077" t="s">
        <v>40</v>
      </c>
      <c r="D6077">
        <v>4.0820189999999998</v>
      </c>
      <c r="E6077">
        <v>0.42295729999999998</v>
      </c>
      <c r="F6077" t="s">
        <v>42</v>
      </c>
      <c r="G6077">
        <v>-386.31389999999999</v>
      </c>
      <c r="H6077">
        <v>7.9986429999999997E-2</v>
      </c>
      <c r="I6077">
        <v>129.55199999999999</v>
      </c>
      <c r="J6077">
        <v>-333.29379999999998</v>
      </c>
      <c r="K6077">
        <v>1.121235</v>
      </c>
      <c r="L6077">
        <v>141.51820000000001</v>
      </c>
      <c r="M6077">
        <v>-0.99990040000000002</v>
      </c>
      <c r="N6077">
        <v>-1.4010409999999999E-2</v>
      </c>
      <c r="O6077">
        <v>-1.741151E-3</v>
      </c>
      <c r="P6077">
        <v>-0.99819690000000005</v>
      </c>
      <c r="Q6077">
        <v>-5.6767209999999999E-2</v>
      </c>
      <c r="R6077">
        <v>-1.9514469999999999E-2</v>
      </c>
      <c r="S6077">
        <v>-2.9893190000000001</v>
      </c>
      <c r="T6077">
        <v>-5.8395740000000002E-2</v>
      </c>
      <c r="U6077">
        <v>-0.67112729999999998</v>
      </c>
      <c r="V6077">
        <v>-1.7765299999999901E-2</v>
      </c>
      <c r="W6077">
        <v>-4.2780489999999997E-2</v>
      </c>
      <c r="X6077">
        <v>0.99892650000000005</v>
      </c>
      <c r="Y6077">
        <v>-0.21728720000000001</v>
      </c>
      <c r="Z6077">
        <v>-3.6277269999999999E-3</v>
      </c>
      <c r="AA6077">
        <v>0.976101</v>
      </c>
      <c r="AB6077">
        <v>29</v>
      </c>
      <c r="AC6077">
        <v>-53.020099999999999</v>
      </c>
      <c r="AD6077">
        <v>-1.04124857</v>
      </c>
      <c r="AE6077">
        <v>-11.966199999999899</v>
      </c>
      <c r="AF6077">
        <v>-11.8695008449294</v>
      </c>
      <c r="AG6077">
        <v>-1.04124857</v>
      </c>
      <c r="AH6077">
        <v>53.021398435452802</v>
      </c>
      <c r="AI6077">
        <v>91.097878821620498</v>
      </c>
      <c r="AJ6077">
        <v>102.618332878296</v>
      </c>
      <c r="AK6077">
        <v>54.343701943678298</v>
      </c>
      <c r="AL6077">
        <v>92.451889894253398</v>
      </c>
      <c r="AM6077">
        <v>91.018863168852107</v>
      </c>
      <c r="AN6077">
        <v>0.99999996430548899</v>
      </c>
    </row>
    <row r="6078" spans="1:40" x14ac:dyDescent="0.25">
      <c r="A6078" t="str">
        <f>"20190303153929720"</f>
        <v>20190303153929720</v>
      </c>
      <c r="B6078" t="str">
        <f>"1551598769714949"</f>
        <v>1551598769714949</v>
      </c>
      <c r="C6078" t="s">
        <v>40</v>
      </c>
      <c r="D6078">
        <v>4.052746</v>
      </c>
      <c r="E6078">
        <v>0.42251230000000001</v>
      </c>
      <c r="F6078" t="s">
        <v>42</v>
      </c>
      <c r="G6078">
        <v>-386.00689999999997</v>
      </c>
      <c r="H6078">
        <v>5.9216970000000001E-2</v>
      </c>
      <c r="I6078">
        <v>129.607</v>
      </c>
      <c r="J6078">
        <v>-333.59730000000002</v>
      </c>
      <c r="K6078">
        <v>1.1212439999999999</v>
      </c>
      <c r="L6078">
        <v>141.51750000000001</v>
      </c>
      <c r="M6078">
        <v>-0.99989989999999995</v>
      </c>
      <c r="N6078">
        <v>-1.403101E-2</v>
      </c>
      <c r="O6078">
        <v>-1.8970860000000001E-3</v>
      </c>
      <c r="P6078">
        <v>-0.99821530000000003</v>
      </c>
      <c r="Q6078">
        <v>-5.6346029999999998E-2</v>
      </c>
      <c r="R6078">
        <v>-1.9786720000000001E-2</v>
      </c>
      <c r="S6078">
        <v>-2.988861</v>
      </c>
      <c r="T6078">
        <v>-6.0217020000000003E-2</v>
      </c>
      <c r="U6078">
        <v>-0.67536929999999995</v>
      </c>
      <c r="V6078">
        <v>-1.788234E-2</v>
      </c>
      <c r="W6078">
        <v>-4.2338479999999998E-2</v>
      </c>
      <c r="X6078">
        <v>0.99894329999999998</v>
      </c>
      <c r="Y6078">
        <v>-0.21848129999999999</v>
      </c>
      <c r="Z6078">
        <v>-3.713998E-3</v>
      </c>
      <c r="AA6078">
        <v>0.97583410000000004</v>
      </c>
      <c r="AB6078">
        <v>29</v>
      </c>
      <c r="AC6078">
        <v>-52.409599999999898</v>
      </c>
      <c r="AD6078">
        <v>-1.0620270300000001</v>
      </c>
      <c r="AE6078">
        <v>-11.910500000000001</v>
      </c>
      <c r="AF6078">
        <v>-11.8064332958437</v>
      </c>
      <c r="AG6078">
        <v>-1.0620270300000001</v>
      </c>
      <c r="AH6078">
        <v>52.411638334814597</v>
      </c>
      <c r="AI6078">
        <v>91.132466891387395</v>
      </c>
      <c r="AJ6078">
        <v>102.69475701301801</v>
      </c>
      <c r="AK6078">
        <v>53.735459442728001</v>
      </c>
      <c r="AL6078">
        <v>92.426541481289803</v>
      </c>
      <c r="AM6078">
        <v>91.025556892626298</v>
      </c>
      <c r="AN6078">
        <v>1.0000000207937301</v>
      </c>
    </row>
    <row r="6079" spans="1:40" x14ac:dyDescent="0.25">
      <c r="A6079" t="str">
        <f>"20190303153929742"</f>
        <v>20190303153929742</v>
      </c>
      <c r="B6079" t="str">
        <f>"1551598769734468"</f>
        <v>1551598769734468</v>
      </c>
      <c r="C6079" t="s">
        <v>40</v>
      </c>
      <c r="D6079">
        <v>4.0391250000000003</v>
      </c>
      <c r="E6079">
        <v>0.4223075</v>
      </c>
      <c r="F6079" t="s">
        <v>42</v>
      </c>
      <c r="G6079">
        <v>-385.92869999999999</v>
      </c>
      <c r="H6079">
        <v>1.6988880000000001E-2</v>
      </c>
      <c r="I6079">
        <v>129.61619999999999</v>
      </c>
      <c r="J6079">
        <v>-333.88580000000002</v>
      </c>
      <c r="K6079">
        <v>1.1212470000000001</v>
      </c>
      <c r="L6079">
        <v>141.51679999999999</v>
      </c>
      <c r="M6079">
        <v>-0.99989930000000005</v>
      </c>
      <c r="N6079">
        <v>-1.404745E-2</v>
      </c>
      <c r="O6079">
        <v>-2.0453670000000002E-3</v>
      </c>
      <c r="P6079">
        <v>-0.99824970000000002</v>
      </c>
      <c r="Q6079">
        <v>-5.5808280000000002E-2</v>
      </c>
      <c r="R6079">
        <v>-1.957981E-2</v>
      </c>
      <c r="S6079">
        <v>-2.9883419999999998</v>
      </c>
      <c r="T6079">
        <v>-6.3057660000000001E-2</v>
      </c>
      <c r="U6079">
        <v>-0.67961119999999997</v>
      </c>
      <c r="V6079">
        <v>-1.7526920000000001E-2</v>
      </c>
      <c r="W6079">
        <v>-4.1783729999999998E-2</v>
      </c>
      <c r="X6079">
        <v>0.998973</v>
      </c>
      <c r="Y6079">
        <v>-0.2196845</v>
      </c>
      <c r="Z6079">
        <v>-3.8369139999999999E-3</v>
      </c>
      <c r="AA6079">
        <v>0.97556350000000003</v>
      </c>
      <c r="AB6079">
        <v>29</v>
      </c>
      <c r="AC6079">
        <v>-52.042899999999896</v>
      </c>
      <c r="AD6079">
        <v>-1.1042581199999999</v>
      </c>
      <c r="AE6079">
        <v>-11.900599999999899</v>
      </c>
      <c r="AF6079">
        <v>-11.7890739181819</v>
      </c>
      <c r="AG6079">
        <v>-1.1042581199999999</v>
      </c>
      <c r="AH6079">
        <v>52.044867654266902</v>
      </c>
      <c r="AI6079">
        <v>91.185462749830506</v>
      </c>
      <c r="AJ6079">
        <v>102.763113969641</v>
      </c>
      <c r="AK6079">
        <v>53.374805845024902</v>
      </c>
      <c r="AL6079">
        <v>92.394728391416805</v>
      </c>
      <c r="AM6079">
        <v>91.005147808541395</v>
      </c>
      <c r="AN6079">
        <v>1.0000000638731901</v>
      </c>
    </row>
    <row r="6080" spans="1:40" x14ac:dyDescent="0.25">
      <c r="A6080" t="str">
        <f>"20190303153929764"</f>
        <v>20190303153929764</v>
      </c>
      <c r="B6080" t="str">
        <f>"1551598769754964"</f>
        <v>1551598769754964</v>
      </c>
      <c r="C6080" t="s">
        <v>40</v>
      </c>
      <c r="D6080">
        <v>4.0471349999999999</v>
      </c>
      <c r="E6080">
        <v>0.42207600000000001</v>
      </c>
      <c r="F6080" t="s">
        <v>42</v>
      </c>
      <c r="G6080">
        <v>-386.14960000000002</v>
      </c>
      <c r="H6080">
        <v>1.3935940000000001E-2</v>
      </c>
      <c r="I6080">
        <v>129.61619999999999</v>
      </c>
      <c r="J6080">
        <v>-334.1669</v>
      </c>
      <c r="K6080">
        <v>1.1212519999999999</v>
      </c>
      <c r="L6080">
        <v>141.51609999999999</v>
      </c>
      <c r="M6080">
        <v>-0.99989910000000004</v>
      </c>
      <c r="N6080">
        <v>-1.404527E-2</v>
      </c>
      <c r="O6080">
        <v>-2.1899409999999999E-3</v>
      </c>
      <c r="P6080">
        <v>-0.99825949999999997</v>
      </c>
      <c r="Q6080">
        <v>-5.5753270000000001E-2</v>
      </c>
      <c r="R6080">
        <v>-1.9233420000000001E-2</v>
      </c>
      <c r="S6080">
        <v>-2.9883419999999998</v>
      </c>
      <c r="T6080">
        <v>-6.3314079999999995E-2</v>
      </c>
      <c r="U6080">
        <v>-0.68045040000000001</v>
      </c>
      <c r="V6080">
        <v>-1.7036799999999901E-2</v>
      </c>
      <c r="W6080">
        <v>-4.1730629999999998E-2</v>
      </c>
      <c r="X6080">
        <v>0.99898359999999997</v>
      </c>
      <c r="Y6080">
        <v>-0.21980330000000001</v>
      </c>
      <c r="Z6080">
        <v>-3.8468450000000002E-3</v>
      </c>
      <c r="AA6080">
        <v>0.97553659999999998</v>
      </c>
      <c r="AB6080">
        <v>29</v>
      </c>
      <c r="AC6080">
        <v>-51.982700000000001</v>
      </c>
      <c r="AD6080">
        <v>-1.10731606</v>
      </c>
      <c r="AE6080">
        <v>-11.899900000000001</v>
      </c>
      <c r="AF6080">
        <v>-11.7809416771209</v>
      </c>
      <c r="AG6080">
        <v>-1.10731606</v>
      </c>
      <c r="AH6080">
        <v>51.986223366296201</v>
      </c>
      <c r="AI6080">
        <v>91.190059821200293</v>
      </c>
      <c r="AJ6080">
        <v>102.768514622057</v>
      </c>
      <c r="AK6080">
        <v>53.315890272477802</v>
      </c>
      <c r="AL6080">
        <v>92.3916835650721</v>
      </c>
      <c r="AM6080">
        <v>90.977035177138106</v>
      </c>
      <c r="AN6080">
        <v>0.99999996555169701</v>
      </c>
    </row>
    <row r="6081" spans="1:40" x14ac:dyDescent="0.25">
      <c r="A6081" t="str">
        <f>"20190303153929786"</f>
        <v>20190303153929786</v>
      </c>
      <c r="B6081" t="str">
        <f>"1551598769774488"</f>
        <v>1551598769774488</v>
      </c>
      <c r="C6081" t="s">
        <v>40</v>
      </c>
      <c r="D6081">
        <v>4.0847889999999998</v>
      </c>
      <c r="E6081">
        <v>0.4218421</v>
      </c>
      <c r="F6081" t="s">
        <v>42</v>
      </c>
      <c r="G6081">
        <v>-385.83139999999997</v>
      </c>
      <c r="H6081" s="1">
        <v>-4.0328700000000004E-6</v>
      </c>
      <c r="I6081">
        <v>129.73840000000001</v>
      </c>
      <c r="J6081">
        <v>-334.44810000000001</v>
      </c>
      <c r="K6081">
        <v>1.1212390000000001</v>
      </c>
      <c r="L6081">
        <v>141.5153</v>
      </c>
      <c r="M6081">
        <v>-0.99989939999999999</v>
      </c>
      <c r="N6081">
        <v>-1.3983850000000001E-2</v>
      </c>
      <c r="O6081">
        <v>-2.3363809999999998E-3</v>
      </c>
      <c r="P6081">
        <v>-0.99823390000000001</v>
      </c>
      <c r="Q6081">
        <v>-5.6256229999999997E-2</v>
      </c>
      <c r="R6081">
        <v>-1.9088339999999999E-2</v>
      </c>
      <c r="S6081">
        <v>-2.988464</v>
      </c>
      <c r="T6081">
        <v>-6.4857600000000001E-2</v>
      </c>
      <c r="U6081">
        <v>-0.68125919999999995</v>
      </c>
      <c r="V6081">
        <v>-1.6745349999999999E-2</v>
      </c>
      <c r="W6081">
        <v>-4.2295180000000002E-2</v>
      </c>
      <c r="X6081">
        <v>0.99896479999999999</v>
      </c>
      <c r="Y6081">
        <v>-0.21989980000000001</v>
      </c>
      <c r="Z6081">
        <v>-3.8952840000000002E-3</v>
      </c>
      <c r="AA6081">
        <v>0.97551469999999996</v>
      </c>
      <c r="AB6081">
        <v>29</v>
      </c>
      <c r="AC6081">
        <v>-51.383299999999899</v>
      </c>
      <c r="AD6081">
        <v>-1.1212430328699901</v>
      </c>
      <c r="AE6081">
        <v>-11.7768999999999</v>
      </c>
      <c r="AF6081">
        <v>-11.6515340053401</v>
      </c>
      <c r="AG6081">
        <v>-1.1212430328699901</v>
      </c>
      <c r="AH6081">
        <v>51.387430186387498</v>
      </c>
      <c r="AI6081">
        <v>91.219028286429094</v>
      </c>
      <c r="AJ6081">
        <v>102.77518381401801</v>
      </c>
      <c r="AK6081">
        <v>52.703732427383201</v>
      </c>
      <c r="AL6081">
        <v>92.424058447975995</v>
      </c>
      <c r="AM6081">
        <v>90.960342179265098</v>
      </c>
      <c r="AN6081">
        <v>0.99999998031844695</v>
      </c>
    </row>
    <row r="6082" spans="1:40" x14ac:dyDescent="0.25">
      <c r="A6082" t="str">
        <f>"20190303153929808"</f>
        <v>20190303153929808</v>
      </c>
      <c r="B6082" t="str">
        <f>"1551598769804740"</f>
        <v>1551598769804740</v>
      </c>
      <c r="C6082" t="s">
        <v>40</v>
      </c>
      <c r="D6082">
        <v>4.0485110000000004</v>
      </c>
      <c r="E6082">
        <v>0.42157990000000001</v>
      </c>
      <c r="F6082" t="s">
        <v>42</v>
      </c>
      <c r="G6082">
        <v>-383.35270000000003</v>
      </c>
      <c r="H6082" s="1">
        <v>-4.7151120000000003E-6</v>
      </c>
      <c r="I6082">
        <v>130.34460000000001</v>
      </c>
      <c r="J6082">
        <v>-334.73610000000002</v>
      </c>
      <c r="K6082">
        <v>1.1212120000000001</v>
      </c>
      <c r="L6082">
        <v>141.5145</v>
      </c>
      <c r="M6082">
        <v>-0.99990120000000005</v>
      </c>
      <c r="N6082">
        <v>-1.3846860000000001E-2</v>
      </c>
      <c r="O6082">
        <v>-2.4784329999999999E-3</v>
      </c>
      <c r="P6082">
        <v>-0.99820189999999998</v>
      </c>
      <c r="Q6082">
        <v>-5.6986839999999997E-2</v>
      </c>
      <c r="R6082">
        <v>-1.8594349999999999E-2</v>
      </c>
      <c r="S6082">
        <v>-2.9884029999999999</v>
      </c>
      <c r="T6082">
        <v>-6.8515779999999998E-2</v>
      </c>
      <c r="U6082">
        <v>-0.68260189999999998</v>
      </c>
      <c r="V6082">
        <v>-1.6108819999999999E-2</v>
      </c>
      <c r="W6082">
        <v>-4.316308E-2</v>
      </c>
      <c r="X6082">
        <v>0.99893810000000005</v>
      </c>
      <c r="Y6082">
        <v>-0.22017490000000001</v>
      </c>
      <c r="Z6082">
        <v>-4.0135199999999996E-3</v>
      </c>
      <c r="AA6082">
        <v>0.97545219999999999</v>
      </c>
      <c r="AB6082">
        <v>29</v>
      </c>
      <c r="AC6082">
        <v>-48.616599999999998</v>
      </c>
      <c r="AD6082">
        <v>-1.1212167151120001</v>
      </c>
      <c r="AE6082">
        <v>-11.169899999999901</v>
      </c>
      <c r="AF6082">
        <v>-11.043781770179899</v>
      </c>
      <c r="AG6082">
        <v>-1.1212167151120001</v>
      </c>
      <c r="AH6082">
        <v>48.619574206108801</v>
      </c>
      <c r="AI6082">
        <v>91.288259798546207</v>
      </c>
      <c r="AJ6082">
        <v>102.797406354846</v>
      </c>
      <c r="AK6082">
        <v>49.870685163660298</v>
      </c>
      <c r="AL6082">
        <v>92.473831023311305</v>
      </c>
      <c r="AM6082">
        <v>90.923868462653999</v>
      </c>
      <c r="AN6082">
        <v>0.99999993659424202</v>
      </c>
    </row>
    <row r="6083" spans="1:40" x14ac:dyDescent="0.25">
      <c r="A6083" t="str">
        <f>"20190303153929826"</f>
        <v>20190303153929826</v>
      </c>
      <c r="B6083" t="str">
        <f>"1551598769814501"</f>
        <v>1551598769814501</v>
      </c>
      <c r="C6083" t="s">
        <v>40</v>
      </c>
      <c r="D6083">
        <v>4.0338409999999998</v>
      </c>
      <c r="E6083">
        <v>0.42148950000000002</v>
      </c>
      <c r="F6083" t="s">
        <v>42</v>
      </c>
      <c r="G6083">
        <v>-380.12090000000001</v>
      </c>
      <c r="H6083" s="1">
        <v>-5.7244510000000001E-6</v>
      </c>
      <c r="I6083">
        <v>131.1371</v>
      </c>
      <c r="J6083">
        <v>-334.96440000000001</v>
      </c>
      <c r="K6083">
        <v>1.121183</v>
      </c>
      <c r="L6083">
        <v>141.5137</v>
      </c>
      <c r="M6083">
        <v>-0.99990279999999998</v>
      </c>
      <c r="N6083">
        <v>-1.3704940000000001E-2</v>
      </c>
      <c r="O6083">
        <v>-2.592825E-3</v>
      </c>
      <c r="P6083">
        <v>-0.99819449999999998</v>
      </c>
      <c r="Q6083">
        <v>-5.7137540000000001E-2</v>
      </c>
      <c r="R6083">
        <v>-1.8528469999999998E-2</v>
      </c>
      <c r="S6083">
        <v>-2.988464</v>
      </c>
      <c r="T6083">
        <v>-7.382917E-2</v>
      </c>
      <c r="U6083">
        <v>-0.68331909999999996</v>
      </c>
      <c r="V6083">
        <v>-1.592857E-2</v>
      </c>
      <c r="W6083">
        <v>-4.3455569999999999E-2</v>
      </c>
      <c r="X6083">
        <v>0.99892840000000005</v>
      </c>
      <c r="Y6083">
        <v>-0.2202703</v>
      </c>
      <c r="Z6083">
        <v>-4.1867040000000003E-3</v>
      </c>
      <c r="AA6083">
        <v>0.97542989999999996</v>
      </c>
      <c r="AB6083">
        <v>29</v>
      </c>
      <c r="AC6083">
        <v>-45.156500000000001</v>
      </c>
      <c r="AD6083">
        <v>-1.1211887244509999</v>
      </c>
      <c r="AE6083">
        <v>-10.3765999999999</v>
      </c>
      <c r="AF6083">
        <v>-10.253467233534399</v>
      </c>
      <c r="AG6083">
        <v>-1.1211887244509999</v>
      </c>
      <c r="AH6083">
        <v>45.156813524813302</v>
      </c>
      <c r="AI6083">
        <v>91.387000545132295</v>
      </c>
      <c r="AJ6083">
        <v>102.79287025141799</v>
      </c>
      <c r="AK6083">
        <v>46.3198495483283</v>
      </c>
      <c r="AL6083">
        <v>92.490604980420002</v>
      </c>
      <c r="AM6083">
        <v>90.913541447010005</v>
      </c>
      <c r="AN6083">
        <v>1.00000002711641</v>
      </c>
    </row>
    <row r="6084" spans="1:40" x14ac:dyDescent="0.25">
      <c r="A6084" t="str">
        <f>"20190303153929842"</f>
        <v>20190303153929842</v>
      </c>
      <c r="B6084" t="str">
        <f>"1551598769834996"</f>
        <v>1551598769834996</v>
      </c>
      <c r="C6084" t="s">
        <v>40</v>
      </c>
      <c r="D6084">
        <v>4.057429</v>
      </c>
      <c r="E6084">
        <v>0.42134569999999999</v>
      </c>
      <c r="F6084" t="s">
        <v>42</v>
      </c>
      <c r="G6084">
        <v>-379.44490000000002</v>
      </c>
      <c r="H6084" s="1">
        <v>-2.3785089999999998E-6</v>
      </c>
      <c r="I6084">
        <v>131.33449999999999</v>
      </c>
      <c r="J6084">
        <v>-335.17250000000001</v>
      </c>
      <c r="K6084">
        <v>1.1211530000000001</v>
      </c>
      <c r="L6084">
        <v>141.51310000000001</v>
      </c>
      <c r="M6084">
        <v>-0.99990440000000003</v>
      </c>
      <c r="N6084">
        <v>-1.356896E-2</v>
      </c>
      <c r="O6084">
        <v>-2.701387E-3</v>
      </c>
      <c r="P6084">
        <v>-0.99819230000000003</v>
      </c>
      <c r="Q6084">
        <v>-5.7186910000000001E-2</v>
      </c>
      <c r="R6084">
        <v>-1.8495540000000001E-2</v>
      </c>
      <c r="S6084">
        <v>-2.9884029999999999</v>
      </c>
      <c r="T6084">
        <v>-7.5326320000000002E-2</v>
      </c>
      <c r="U6084">
        <v>-0.68388369999999998</v>
      </c>
      <c r="V6084">
        <v>-1.5787450000000001E-2</v>
      </c>
      <c r="W6084">
        <v>-4.3640650000000003E-2</v>
      </c>
      <c r="X6084">
        <v>0.99892250000000005</v>
      </c>
      <c r="Y6084">
        <v>-0.22034090000000001</v>
      </c>
      <c r="Z6084">
        <v>-4.2245039999999996E-3</v>
      </c>
      <c r="AA6084">
        <v>0.9754138</v>
      </c>
      <c r="AB6084">
        <v>29</v>
      </c>
      <c r="AC6084">
        <v>-44.272399999999998</v>
      </c>
      <c r="AD6084">
        <v>-1.121155378509</v>
      </c>
      <c r="AE6084">
        <v>-10.178599999999999</v>
      </c>
      <c r="AF6084">
        <v>-10.052831689998699</v>
      </c>
      <c r="AG6084">
        <v>-1.121155378509</v>
      </c>
      <c r="AH6084">
        <v>44.272770311302402</v>
      </c>
      <c r="AI6084">
        <v>91.414642432288701</v>
      </c>
      <c r="AJ6084">
        <v>102.79299143051701</v>
      </c>
      <c r="AK6084">
        <v>45.413594940364902</v>
      </c>
      <c r="AL6084">
        <v>92.501219531891607</v>
      </c>
      <c r="AM6084">
        <v>90.905454579208396</v>
      </c>
      <c r="AN6084">
        <v>0.99999995545808595</v>
      </c>
    </row>
    <row r="6085" spans="1:40" x14ac:dyDescent="0.25">
      <c r="A6085" t="str">
        <f>"20190303153929858"</f>
        <v>20190303153929858</v>
      </c>
      <c r="B6085" t="str">
        <f>"1551598769854517"</f>
        <v>1551598769854517</v>
      </c>
      <c r="C6085" t="s">
        <v>40</v>
      </c>
      <c r="D6085">
        <v>4.0571060000000001</v>
      </c>
      <c r="E6085">
        <v>0.4212804</v>
      </c>
      <c r="F6085" t="s">
        <v>42</v>
      </c>
      <c r="G6085">
        <v>-378.25279999999998</v>
      </c>
      <c r="H6085" s="1">
        <v>-2.7027840000000002E-6</v>
      </c>
      <c r="I6085">
        <v>131.6404</v>
      </c>
      <c r="J6085">
        <v>-335.37150000000003</v>
      </c>
      <c r="K6085">
        <v>1.121129</v>
      </c>
      <c r="L6085">
        <v>141.51240000000001</v>
      </c>
      <c r="M6085">
        <v>-0.99990579999999996</v>
      </c>
      <c r="N6085">
        <v>-1.343715E-2</v>
      </c>
      <c r="O6085">
        <v>-2.8077140000000002E-3</v>
      </c>
      <c r="P6085">
        <v>-0.99820229999999999</v>
      </c>
      <c r="Q6085">
        <v>-5.7077900000000001E-2</v>
      </c>
      <c r="R6085">
        <v>-1.8281760000000001E-2</v>
      </c>
      <c r="S6085">
        <v>-2.9882810000000002</v>
      </c>
      <c r="T6085">
        <v>-7.7769519999999995E-2</v>
      </c>
      <c r="U6085">
        <v>-0.68481449999999999</v>
      </c>
      <c r="V6085">
        <v>-1.546782E-2</v>
      </c>
      <c r="W6085">
        <v>-4.3662979999999997E-2</v>
      </c>
      <c r="X6085">
        <v>0.9989266</v>
      </c>
      <c r="Y6085">
        <v>-0.22052920000000001</v>
      </c>
      <c r="Z6085">
        <v>-4.2986040000000001E-3</v>
      </c>
      <c r="AA6085">
        <v>0.97537090000000004</v>
      </c>
      <c r="AB6085">
        <v>29</v>
      </c>
      <c r="AC6085">
        <v>-42.881299999999896</v>
      </c>
      <c r="AD6085">
        <v>-1.121131702784</v>
      </c>
      <c r="AE6085">
        <v>-9.8720000000000105</v>
      </c>
      <c r="AF6085">
        <v>-9.7452256150935703</v>
      </c>
      <c r="AG6085">
        <v>-1.121131702784</v>
      </c>
      <c r="AH6085">
        <v>42.881014733063502</v>
      </c>
      <c r="AI6085">
        <v>91.460444094579699</v>
      </c>
      <c r="AJ6085">
        <v>102.803682189638</v>
      </c>
      <c r="AK6085">
        <v>43.988723363167402</v>
      </c>
      <c r="AL6085">
        <v>92.502499978905504</v>
      </c>
      <c r="AM6085">
        <v>90.887122220745098</v>
      </c>
      <c r="AN6085">
        <v>1.0000000307327901</v>
      </c>
    </row>
    <row r="6086" spans="1:40" x14ac:dyDescent="0.25">
      <c r="A6086" t="str">
        <f>"20190303153929875"</f>
        <v>20190303153929875</v>
      </c>
      <c r="B6086" t="str">
        <f>"1551598769864276"</f>
        <v>1551598769864276</v>
      </c>
      <c r="C6086" t="s">
        <v>40</v>
      </c>
      <c r="D6086">
        <v>4.0584170000000004</v>
      </c>
      <c r="E6086">
        <v>0.42122280000000001</v>
      </c>
      <c r="F6086" t="s">
        <v>42</v>
      </c>
      <c r="G6086">
        <v>-377.66800000000001</v>
      </c>
      <c r="H6086" s="1">
        <v>-2.8534340000000002E-6</v>
      </c>
      <c r="I6086">
        <v>131.82230000000001</v>
      </c>
      <c r="J6086">
        <v>-335.59640000000002</v>
      </c>
      <c r="K6086">
        <v>1.1211040000000001</v>
      </c>
      <c r="L6086">
        <v>141.51169999999999</v>
      </c>
      <c r="M6086">
        <v>-0.99990760000000001</v>
      </c>
      <c r="N6086">
        <v>-1.328563E-2</v>
      </c>
      <c r="O6086">
        <v>-2.9296529999999999E-3</v>
      </c>
      <c r="P6086">
        <v>-0.99820549999999997</v>
      </c>
      <c r="Q6086">
        <v>-5.6980099999999902E-2</v>
      </c>
      <c r="R6086">
        <v>-1.8423709999999999E-2</v>
      </c>
      <c r="S6086">
        <v>-2.9883730000000002</v>
      </c>
      <c r="T6086">
        <v>-7.921135E-2</v>
      </c>
      <c r="U6086">
        <v>-0.68463130000000005</v>
      </c>
      <c r="V6086">
        <v>-1.548827E-2</v>
      </c>
      <c r="W6086">
        <v>-4.3716360000000003E-2</v>
      </c>
      <c r="X6086">
        <v>0.99892389999999998</v>
      </c>
      <c r="Y6086">
        <v>-0.22034419999999999</v>
      </c>
      <c r="Z6086">
        <v>-4.3270940000000001E-3</v>
      </c>
      <c r="AA6086">
        <v>0.97541259999999996</v>
      </c>
      <c r="AB6086">
        <v>29</v>
      </c>
      <c r="AC6086">
        <v>-42.071599999999897</v>
      </c>
      <c r="AD6086">
        <v>-1.1211068534340001</v>
      </c>
      <c r="AE6086">
        <v>-9.6893999999999707</v>
      </c>
      <c r="AF6086">
        <v>-9.5596460349373107</v>
      </c>
      <c r="AG6086">
        <v>-1.1211068534340001</v>
      </c>
      <c r="AH6086">
        <v>42.071438599291902</v>
      </c>
      <c r="AI6086">
        <v>91.488513938151996</v>
      </c>
      <c r="AJ6086">
        <v>102.80161837989</v>
      </c>
      <c r="AK6086">
        <v>43.158425118441201</v>
      </c>
      <c r="AL6086">
        <v>92.505561472061999</v>
      </c>
      <c r="AM6086">
        <v>90.888297297542096</v>
      </c>
      <c r="AN6086">
        <v>0.99999998231522602</v>
      </c>
    </row>
    <row r="6087" spans="1:40" x14ac:dyDescent="0.25">
      <c r="A6087" t="str">
        <f>"20190303153929891"</f>
        <v>20190303153929891</v>
      </c>
      <c r="B6087" t="str">
        <f>"1551598769884773"</f>
        <v>1551598769884773</v>
      </c>
      <c r="C6087" t="s">
        <v>40</v>
      </c>
      <c r="D6087">
        <v>4.0374270000000001</v>
      </c>
      <c r="E6087">
        <v>0.42115530000000001</v>
      </c>
      <c r="F6087" t="s">
        <v>42</v>
      </c>
      <c r="G6087">
        <v>-377.59089999999998</v>
      </c>
      <c r="H6087" s="1">
        <v>-2.864989E-6</v>
      </c>
      <c r="I6087">
        <v>131.87729999999999</v>
      </c>
      <c r="J6087">
        <v>-335.8023</v>
      </c>
      <c r="K6087">
        <v>1.1210850000000001</v>
      </c>
      <c r="L6087">
        <v>141.51089999999999</v>
      </c>
      <c r="M6087">
        <v>-0.99990900000000005</v>
      </c>
      <c r="N6087">
        <v>-1.314281E-2</v>
      </c>
      <c r="O6087">
        <v>-3.0408369999999998E-3</v>
      </c>
      <c r="P6087">
        <v>-0.99820149999999996</v>
      </c>
      <c r="Q6087">
        <v>-5.6993000000000002E-2</v>
      </c>
      <c r="R6087">
        <v>-1.859771E-2</v>
      </c>
      <c r="S6087">
        <v>-2.9882200000000001</v>
      </c>
      <c r="T6087">
        <v>-7.9775090000000007E-2</v>
      </c>
      <c r="U6087">
        <v>-0.68554689999999996</v>
      </c>
      <c r="V6087">
        <v>-1.5551509999999999E-2</v>
      </c>
      <c r="W6087">
        <v>-4.3871920000000002E-2</v>
      </c>
      <c r="X6087">
        <v>0.99891609999999997</v>
      </c>
      <c r="Y6087">
        <v>-0.22052949999999999</v>
      </c>
      <c r="Z6087">
        <v>-4.3329869999999999E-3</v>
      </c>
      <c r="AA6087">
        <v>0.97537059999999998</v>
      </c>
      <c r="AB6087">
        <v>29</v>
      </c>
      <c r="AC6087">
        <v>-41.788599999999903</v>
      </c>
      <c r="AD6087">
        <v>-1.1210878649889999</v>
      </c>
      <c r="AE6087">
        <v>-9.6335999999999995</v>
      </c>
      <c r="AF6087">
        <v>-9.4999798601410692</v>
      </c>
      <c r="AG6087">
        <v>-1.1210878649889999</v>
      </c>
      <c r="AH6087">
        <v>41.789144762742801</v>
      </c>
      <c r="AI6087">
        <v>91.4985045153215</v>
      </c>
      <c r="AJ6087">
        <v>102.80745619261</v>
      </c>
      <c r="AK6087">
        <v>42.8700253714129</v>
      </c>
      <c r="AL6087">
        <v>92.514482956842897</v>
      </c>
      <c r="AM6087">
        <v>90.891930674025005</v>
      </c>
      <c r="AN6087">
        <v>0.99999998483348795</v>
      </c>
    </row>
    <row r="6088" spans="1:40" x14ac:dyDescent="0.25">
      <c r="A6088" t="str">
        <f>"20190303153929904"</f>
        <v>20190303153929904</v>
      </c>
      <c r="B6088" t="str">
        <f>"1551598769894533"</f>
        <v>1551598769894533</v>
      </c>
      <c r="C6088" t="s">
        <v>40</v>
      </c>
      <c r="D6088">
        <v>4.0678429999999999</v>
      </c>
      <c r="E6088">
        <v>0.42131829999999998</v>
      </c>
      <c r="F6088" t="s">
        <v>42</v>
      </c>
      <c r="G6088">
        <v>-377.13189999999997</v>
      </c>
      <c r="H6088" s="1">
        <v>-2.9844320000000002E-6</v>
      </c>
      <c r="I6088">
        <v>132.0155</v>
      </c>
      <c r="J6088">
        <v>-335.97980000000001</v>
      </c>
      <c r="K6088">
        <v>1.1210690000000001</v>
      </c>
      <c r="L6088">
        <v>141.5103</v>
      </c>
      <c r="M6088">
        <v>-0.99991039999999998</v>
      </c>
      <c r="N6088">
        <v>-1.3014690000000001E-2</v>
      </c>
      <c r="O6088">
        <v>-3.1351059999999999E-3</v>
      </c>
      <c r="P6088">
        <v>-0.99821280000000001</v>
      </c>
      <c r="Q6088">
        <v>-5.6692880000000001E-2</v>
      </c>
      <c r="R6088">
        <v>-1.8904649999999999E-2</v>
      </c>
      <c r="S6088">
        <v>-2.9879760000000002</v>
      </c>
      <c r="T6088">
        <v>-8.1050629999999999E-2</v>
      </c>
      <c r="U6088">
        <v>-0.68647769999999997</v>
      </c>
      <c r="V6088">
        <v>-1.5764549999999999E-2</v>
      </c>
      <c r="W6088">
        <v>-4.3699679999999998E-2</v>
      </c>
      <c r="X6088">
        <v>0.99892029999999998</v>
      </c>
      <c r="Y6088">
        <v>-0.22074079999999999</v>
      </c>
      <c r="Z6088">
        <v>-4.366544E-3</v>
      </c>
      <c r="AA6088">
        <v>0.97532269999999999</v>
      </c>
      <c r="AB6088">
        <v>29</v>
      </c>
      <c r="AC6088">
        <v>-41.152099999999898</v>
      </c>
      <c r="AD6088">
        <v>-1.1210719844320001</v>
      </c>
      <c r="AE6088">
        <v>-9.4947999999999908</v>
      </c>
      <c r="AF6088">
        <v>-9.3591315276697102</v>
      </c>
      <c r="AG6088">
        <v>-1.1210719844320001</v>
      </c>
      <c r="AH6088">
        <v>41.152670240696402</v>
      </c>
      <c r="AI6088">
        <v>91.521617593871895</v>
      </c>
      <c r="AJ6088">
        <v>102.812542663332</v>
      </c>
      <c r="AK6088">
        <v>42.218389515541702</v>
      </c>
      <c r="AL6088">
        <v>92.504604884069394</v>
      </c>
      <c r="AM6088">
        <v>90.904143409032002</v>
      </c>
      <c r="AN6088">
        <v>0.99999997441044697</v>
      </c>
    </row>
    <row r="6089" spans="1:40" x14ac:dyDescent="0.25">
      <c r="A6089" t="str">
        <f>"20190303153929918"</f>
        <v>20190303153929918</v>
      </c>
      <c r="B6089" t="str">
        <f>"1551598769915029"</f>
        <v>1551598769915029</v>
      </c>
      <c r="C6089" t="s">
        <v>40</v>
      </c>
      <c r="D6089">
        <v>4.127961</v>
      </c>
      <c r="E6089">
        <v>0.46449810000000002</v>
      </c>
      <c r="F6089" t="s">
        <v>42</v>
      </c>
      <c r="G6089">
        <v>-377.63279999999997</v>
      </c>
      <c r="H6089" s="1">
        <v>-2.8326350000000001E-6</v>
      </c>
      <c r="I6089">
        <v>131.94540000000001</v>
      </c>
      <c r="J6089">
        <v>-336.1508</v>
      </c>
      <c r="K6089">
        <v>1.121049</v>
      </c>
      <c r="L6089">
        <v>141.50970000000001</v>
      </c>
      <c r="M6089">
        <v>-0.99991180000000002</v>
      </c>
      <c r="N6089">
        <v>-1.2888439999999999E-2</v>
      </c>
      <c r="O6089">
        <v>-3.2248770000000001E-3</v>
      </c>
      <c r="P6089">
        <v>-0.99822549999999999</v>
      </c>
      <c r="Q6089">
        <v>-5.635366E-2</v>
      </c>
      <c r="R6089">
        <v>-1.9249100000000002E-2</v>
      </c>
      <c r="S6089">
        <v>-2.9878230000000001</v>
      </c>
      <c r="T6089">
        <v>-8.0415959999999995E-2</v>
      </c>
      <c r="U6089">
        <v>-0.68609619999999905</v>
      </c>
      <c r="V6089">
        <v>-1.6019530000000001E-2</v>
      </c>
      <c r="W6089">
        <v>-4.3486490000000003E-2</v>
      </c>
      <c r="X6089">
        <v>0.99892559999999997</v>
      </c>
      <c r="Y6089">
        <v>-0.22054779999999999</v>
      </c>
      <c r="Z6089">
        <v>-4.3246550000000002E-3</v>
      </c>
      <c r="AA6089">
        <v>0.97536659999999997</v>
      </c>
      <c r="AB6089">
        <v>29</v>
      </c>
      <c r="AC6089">
        <v>-41.4819999999999</v>
      </c>
      <c r="AD6089">
        <v>-1.1210518326350001</v>
      </c>
      <c r="AE6089">
        <v>-9.5642999999999994</v>
      </c>
      <c r="AF6089">
        <v>-9.4239294452453706</v>
      </c>
      <c r="AG6089">
        <v>-1.1210518326350001</v>
      </c>
      <c r="AH6089">
        <v>41.483862044080801</v>
      </c>
      <c r="AI6089">
        <v>91.5095308055255</v>
      </c>
      <c r="AJ6089">
        <v>102.79872238828</v>
      </c>
      <c r="AK6089">
        <v>42.555587335774703</v>
      </c>
      <c r="AL6089">
        <v>92.492378241840299</v>
      </c>
      <c r="AM6089">
        <v>90.918759902929494</v>
      </c>
      <c r="AN6089">
        <v>1.0000000272446501</v>
      </c>
    </row>
    <row r="6090" spans="1:40" x14ac:dyDescent="0.25">
      <c r="A6090" t="str">
        <f>"20190303153929932"</f>
        <v>20190303153929932</v>
      </c>
      <c r="B6090" t="str">
        <f>"1551598769924788"</f>
        <v>1551598769924788</v>
      </c>
      <c r="C6090" t="s">
        <v>40</v>
      </c>
      <c r="D6090">
        <v>4.0168350000000004</v>
      </c>
      <c r="E6090">
        <v>0.46449810000000002</v>
      </c>
      <c r="F6090" t="s">
        <v>42</v>
      </c>
      <c r="G6090">
        <v>-440.0247</v>
      </c>
      <c r="H6090">
        <v>7.2112709999999997E-2</v>
      </c>
      <c r="I6090">
        <v>129.5943</v>
      </c>
      <c r="J6090">
        <v>-336.3331</v>
      </c>
      <c r="K6090">
        <v>1.121032</v>
      </c>
      <c r="L6090">
        <v>141.50899999999999</v>
      </c>
      <c r="M6090">
        <v>-0.99991319999999995</v>
      </c>
      <c r="N6090">
        <v>-1.275044E-2</v>
      </c>
      <c r="O6090">
        <v>-3.3189959999999998E-3</v>
      </c>
      <c r="P6090">
        <v>-0.99824789999999997</v>
      </c>
      <c r="Q6090">
        <v>-5.5776949999999999E-2</v>
      </c>
      <c r="R6090">
        <v>-1.9752519999999999E-2</v>
      </c>
      <c r="S6090">
        <v>-2.9969790000000001</v>
      </c>
      <c r="T6090">
        <v>-3.0264019999999999E-2</v>
      </c>
      <c r="U6090">
        <v>-0.34378049999999999</v>
      </c>
      <c r="V6090">
        <v>-1.642853E-2</v>
      </c>
      <c r="W6090">
        <v>-4.3047490000000001E-2</v>
      </c>
      <c r="X6090">
        <v>0.99893799999999999</v>
      </c>
      <c r="Y6090">
        <v>-0.11065079999999999</v>
      </c>
      <c r="Z6090">
        <v>-1.273424E-3</v>
      </c>
      <c r="AA6090">
        <v>0.99385849999999998</v>
      </c>
      <c r="AB6090">
        <v>29</v>
      </c>
      <c r="AC6090">
        <v>-103.69159999999999</v>
      </c>
      <c r="AD6090">
        <v>-1.0489192899999999</v>
      </c>
      <c r="AE6090">
        <v>-11.9146999999999</v>
      </c>
      <c r="AF6090">
        <v>-11.5692859384011</v>
      </c>
      <c r="AG6090">
        <v>-1.0489192899999999</v>
      </c>
      <c r="AH6090">
        <v>103.720101617193</v>
      </c>
      <c r="AI6090">
        <v>90.575840345522494</v>
      </c>
      <c r="AJ6090">
        <v>96.364653125320302</v>
      </c>
      <c r="AK6090">
        <v>104.368616395362</v>
      </c>
      <c r="AL6090">
        <v>92.467201748983697</v>
      </c>
      <c r="AM6090">
        <v>90.942201200648796</v>
      </c>
      <c r="AN6090">
        <v>1.0000000554186199</v>
      </c>
    </row>
    <row r="6091" spans="1:40" x14ac:dyDescent="0.25">
      <c r="A6091" t="str">
        <f>"20190303153929956"</f>
        <v>20190303153929956</v>
      </c>
      <c r="B6091" t="str">
        <f>"1551598769944309"</f>
        <v>1551598769944309</v>
      </c>
      <c r="C6091" t="s">
        <v>40</v>
      </c>
      <c r="D6091">
        <v>4.0440880000000003</v>
      </c>
      <c r="E6091">
        <v>0.50617749999999995</v>
      </c>
      <c r="F6091" t="s">
        <v>42</v>
      </c>
      <c r="G6091">
        <v>-445.4348</v>
      </c>
      <c r="H6091">
        <v>7.9987749999999996E-2</v>
      </c>
      <c r="I6091">
        <v>128.93260000000001</v>
      </c>
      <c r="J6091">
        <v>-336.62869999999998</v>
      </c>
      <c r="K6091">
        <v>1.1210039999999999</v>
      </c>
      <c r="L6091">
        <v>141.5078</v>
      </c>
      <c r="M6091">
        <v>-0.99991569999999996</v>
      </c>
      <c r="N6091">
        <v>-1.251273E-2</v>
      </c>
      <c r="O6091">
        <v>-3.4716220000000002E-3</v>
      </c>
      <c r="P6091">
        <v>-0.99826700000000002</v>
      </c>
      <c r="Q6091">
        <v>-5.5320920000000003E-2</v>
      </c>
      <c r="R6091">
        <v>-2.0068929999999999E-2</v>
      </c>
      <c r="S6091">
        <v>-2.9967959999999998</v>
      </c>
      <c r="T6091">
        <v>-2.8595329999999999E-2</v>
      </c>
      <c r="U6091">
        <v>-0.34544370000000002</v>
      </c>
      <c r="V6091">
        <v>-1.6592539999999999E-2</v>
      </c>
      <c r="W6091">
        <v>-4.2828779999999997E-2</v>
      </c>
      <c r="X6091">
        <v>0.99894459999999996</v>
      </c>
      <c r="Y6091">
        <v>-0.11105139999999999</v>
      </c>
      <c r="Z6091">
        <v>-1.2354849999999999E-3</v>
      </c>
      <c r="AA6091">
        <v>0.99381390000000003</v>
      </c>
      <c r="AB6091">
        <v>29</v>
      </c>
      <c r="AC6091">
        <v>-108.8061</v>
      </c>
      <c r="AD6091">
        <v>-1.04101625</v>
      </c>
      <c r="AE6091">
        <v>-12.575199999999899</v>
      </c>
      <c r="AF6091">
        <v>-12.196259266178799</v>
      </c>
      <c r="AG6091">
        <v>-1.04101625</v>
      </c>
      <c r="AH6091">
        <v>108.83927221433601</v>
      </c>
      <c r="AI6091">
        <v>90.544592576403105</v>
      </c>
      <c r="AJ6091">
        <v>96.393750297098507</v>
      </c>
      <c r="AK6091">
        <v>109.525429152627</v>
      </c>
      <c r="AL6091">
        <v>92.4546592432593</v>
      </c>
      <c r="AM6091">
        <v>90.951599416557997</v>
      </c>
      <c r="AN6091">
        <v>0.99999996532454904</v>
      </c>
    </row>
    <row r="6092" spans="1:40" x14ac:dyDescent="0.25">
      <c r="A6092" t="str">
        <f>"20190303153929971"</f>
        <v>20190303153929971</v>
      </c>
      <c r="B6092" t="str">
        <f>"1551598769964804"</f>
        <v>1551598769964804</v>
      </c>
      <c r="C6092" t="s">
        <v>40</v>
      </c>
      <c r="D6092">
        <v>3.9949170000000001</v>
      </c>
      <c r="E6092">
        <v>0.50701949999999996</v>
      </c>
      <c r="F6092" t="s">
        <v>46</v>
      </c>
      <c r="G6092">
        <v>0</v>
      </c>
      <c r="H6092">
        <v>0</v>
      </c>
      <c r="I6092">
        <v>0</v>
      </c>
      <c r="J6092">
        <v>-336.83690000000001</v>
      </c>
      <c r="K6092">
        <v>1.1209849999999999</v>
      </c>
      <c r="L6092">
        <v>141.50700000000001</v>
      </c>
      <c r="M6092">
        <v>-0.99991739999999996</v>
      </c>
      <c r="N6092">
        <v>-1.234301E-2</v>
      </c>
      <c r="O6092">
        <v>-3.579156E-3</v>
      </c>
      <c r="P6092">
        <v>-0.99827540000000003</v>
      </c>
      <c r="Q6092">
        <v>-5.517644E-2</v>
      </c>
      <c r="R6092">
        <v>-2.004796E-2</v>
      </c>
      <c r="S6092">
        <v>-3.0054020000000001</v>
      </c>
      <c r="T6092">
        <v>8.2643030000000006E-3</v>
      </c>
      <c r="U6092">
        <v>-1.4709470000000001E-2</v>
      </c>
      <c r="V6092">
        <v>-1.6464389999999999E-2</v>
      </c>
      <c r="W6092">
        <v>-4.285373E-2</v>
      </c>
      <c r="X6092">
        <v>0.99894570000000005</v>
      </c>
      <c r="Y6092">
        <v>-1.3152939999999901E-3</v>
      </c>
      <c r="Z6092" s="1">
        <v>-6.0329840000000002E-5</v>
      </c>
      <c r="AA6092">
        <v>0.99999910000000003</v>
      </c>
      <c r="AB6092">
        <v>29</v>
      </c>
      <c r="AC6092">
        <v>-3.0054020000000001</v>
      </c>
      <c r="AD6092">
        <v>8.2643030000000006E-3</v>
      </c>
      <c r="AE6092">
        <v>-1.4709470000000001E-2</v>
      </c>
      <c r="AF6092">
        <v>-3.9517236180085799E-3</v>
      </c>
      <c r="AG6092">
        <v>8.2643030000000006E-3</v>
      </c>
      <c r="AH6092">
        <v>3.0054126735164401</v>
      </c>
      <c r="AI6092">
        <v>89.842448232182093</v>
      </c>
      <c r="AJ6092">
        <v>90.075336394441507</v>
      </c>
      <c r="AK6092">
        <v>3.0054266340998601</v>
      </c>
      <c r="AL6092">
        <v>92.4560899647648</v>
      </c>
      <c r="AM6092">
        <v>90.944250177125795</v>
      </c>
      <c r="AN6092">
        <v>1.00000001493073</v>
      </c>
    </row>
    <row r="6093" spans="1:40" x14ac:dyDescent="0.25">
      <c r="A6093" t="str">
        <f>"20190303153929984"</f>
        <v>20190303153929984</v>
      </c>
      <c r="B6093" t="str">
        <f>"1551598769974565"</f>
        <v>1551598769974565</v>
      </c>
      <c r="C6093" t="s">
        <v>40</v>
      </c>
      <c r="D6093">
        <v>3.9902679999999999</v>
      </c>
      <c r="E6093">
        <v>0.50726769999999999</v>
      </c>
      <c r="F6093" t="s">
        <v>46</v>
      </c>
      <c r="G6093">
        <v>0</v>
      </c>
      <c r="H6093">
        <v>0</v>
      </c>
      <c r="I6093">
        <v>0</v>
      </c>
      <c r="J6093">
        <v>-337.01400000000001</v>
      </c>
      <c r="K6093">
        <v>1.120973</v>
      </c>
      <c r="L6093">
        <v>141.50630000000001</v>
      </c>
      <c r="M6093">
        <v>-0.99991890000000005</v>
      </c>
      <c r="N6093">
        <v>-1.220414E-2</v>
      </c>
      <c r="O6093">
        <v>-3.671395E-3</v>
      </c>
      <c r="P6093">
        <v>-0.99825960000000002</v>
      </c>
      <c r="Q6093">
        <v>-5.5394119999999998E-2</v>
      </c>
      <c r="R6093">
        <v>-2.0238949999999999E-2</v>
      </c>
      <c r="S6093">
        <v>-3.0054630000000002</v>
      </c>
      <c r="T6093">
        <v>8.0940719999999904E-3</v>
      </c>
      <c r="U6093">
        <v>-7.8582759999999904E-3</v>
      </c>
      <c r="V6093">
        <v>-1.6563209999999998E-2</v>
      </c>
      <c r="W6093">
        <v>-4.321034E-2</v>
      </c>
      <c r="X6093">
        <v>0.9989287</v>
      </c>
      <c r="Y6093">
        <v>1.0566239999999999E-3</v>
      </c>
      <c r="Z6093" s="1">
        <v>-4.9669919999999998E-5</v>
      </c>
      <c r="AA6093">
        <v>0.99999950000000004</v>
      </c>
      <c r="AB6093">
        <v>29</v>
      </c>
      <c r="AC6093">
        <v>-3.0054630000000002</v>
      </c>
      <c r="AD6093">
        <v>8.0940719999999904E-3</v>
      </c>
      <c r="AE6093">
        <v>-7.8582759999999904E-3</v>
      </c>
      <c r="AF6093">
        <v>3.1768163255877298E-3</v>
      </c>
      <c r="AG6093">
        <v>8.0940719999999904E-3</v>
      </c>
      <c r="AH6093">
        <v>3.0054497963085498</v>
      </c>
      <c r="AI6093">
        <v>89.845695381444798</v>
      </c>
      <c r="AJ6093">
        <v>89.939437318108105</v>
      </c>
      <c r="AK6093">
        <v>3.00546237445998</v>
      </c>
      <c r="AL6093">
        <v>92.4765411674489</v>
      </c>
      <c r="AM6093">
        <v>90.949932736183399</v>
      </c>
      <c r="AN6093">
        <v>1.00000001054605</v>
      </c>
    </row>
    <row r="6094" spans="1:40" x14ac:dyDescent="0.25">
      <c r="A6094" t="str">
        <f>"20190303153929998"</f>
        <v>20190303153929998</v>
      </c>
      <c r="B6094" t="str">
        <f>"1551598769995062"</f>
        <v>1551598769995062</v>
      </c>
      <c r="C6094" t="s">
        <v>40</v>
      </c>
      <c r="D6094">
        <v>3.9940699999999998</v>
      </c>
      <c r="E6094">
        <v>0.5072508</v>
      </c>
      <c r="F6094" t="s">
        <v>46</v>
      </c>
      <c r="G6094">
        <v>0</v>
      </c>
      <c r="H6094">
        <v>0</v>
      </c>
      <c r="I6094">
        <v>0</v>
      </c>
      <c r="J6094">
        <v>-337.18990000000002</v>
      </c>
      <c r="K6094">
        <v>1.1209579999999999</v>
      </c>
      <c r="L6094">
        <v>141.50550000000001</v>
      </c>
      <c r="M6094">
        <v>-0.99992009999999998</v>
      </c>
      <c r="N6094">
        <v>-1.207342E-2</v>
      </c>
      <c r="O6094">
        <v>-3.7630960000000001E-3</v>
      </c>
      <c r="P6094">
        <v>-0.99825889999999995</v>
      </c>
      <c r="Q6094">
        <v>-5.5409149999999997E-2</v>
      </c>
      <c r="R6094">
        <v>-2.0228360000000001E-2</v>
      </c>
      <c r="S6094">
        <v>-3.0054630000000002</v>
      </c>
      <c r="T6094">
        <v>5.9835909999999999E-3</v>
      </c>
      <c r="U6094">
        <v>-6.4392090000000004E-3</v>
      </c>
      <c r="V6094">
        <v>-1.6460699999999901E-2</v>
      </c>
      <c r="W6094">
        <v>-4.3355919999999999E-2</v>
      </c>
      <c r="X6094">
        <v>0.99892409999999998</v>
      </c>
      <c r="Y6094">
        <v>1.6205239999999999E-3</v>
      </c>
      <c r="Z6094" s="1">
        <v>-4.4756979999999997E-5</v>
      </c>
      <c r="AA6094">
        <v>0.99999870000000002</v>
      </c>
      <c r="AB6094">
        <v>29</v>
      </c>
      <c r="AC6094">
        <v>-3.0054630000000002</v>
      </c>
      <c r="AD6094">
        <v>5.9835909999999999E-3</v>
      </c>
      <c r="AE6094">
        <v>-6.4392090000000004E-3</v>
      </c>
      <c r="AF6094">
        <v>4.8714867154758101E-3</v>
      </c>
      <c r="AG6094">
        <v>5.9835909999999999E-3</v>
      </c>
      <c r="AH6094">
        <v>3.0054540372632399</v>
      </c>
      <c r="AI6094">
        <v>89.885929512459398</v>
      </c>
      <c r="AJ6094">
        <v>89.907130376690404</v>
      </c>
      <c r="AK6094">
        <v>3.0054639416978501</v>
      </c>
      <c r="AL6094">
        <v>92.484890077736196</v>
      </c>
      <c r="AM6094">
        <v>90.944058999528707</v>
      </c>
      <c r="AN6094">
        <v>1.00000002400217</v>
      </c>
    </row>
    <row r="6095" spans="1:40" x14ac:dyDescent="0.25">
      <c r="A6095" t="str">
        <f>"20190303153930021"</f>
        <v>20190303153930021</v>
      </c>
      <c r="B6095" t="str">
        <f>"1551598770014581"</f>
        <v>1551598770014581</v>
      </c>
      <c r="C6095" t="s">
        <v>40</v>
      </c>
      <c r="D6095">
        <v>3.9963700000000002</v>
      </c>
      <c r="E6095">
        <v>0.506826</v>
      </c>
      <c r="F6095" t="s">
        <v>46</v>
      </c>
      <c r="G6095">
        <v>0</v>
      </c>
      <c r="H6095">
        <v>0</v>
      </c>
      <c r="I6095">
        <v>0</v>
      </c>
      <c r="J6095">
        <v>-337.48480000000001</v>
      </c>
      <c r="K6095">
        <v>1.120932</v>
      </c>
      <c r="L6095">
        <v>141.5043</v>
      </c>
      <c r="M6095">
        <v>-0.99992190000000003</v>
      </c>
      <c r="N6095">
        <v>-1.1869579999999999E-2</v>
      </c>
      <c r="O6095">
        <v>-3.917663E-3</v>
      </c>
      <c r="P6095">
        <v>-0.99824089999999999</v>
      </c>
      <c r="Q6095">
        <v>-5.5438210000000002E-2</v>
      </c>
      <c r="R6095">
        <v>-2.1020879999999999E-2</v>
      </c>
      <c r="S6095">
        <v>-3.005341</v>
      </c>
      <c r="T6095">
        <v>4.5834780000000002E-3</v>
      </c>
      <c r="U6095">
        <v>-6.5307619999999999E-3</v>
      </c>
      <c r="V6095">
        <v>-1.709832E-2</v>
      </c>
      <c r="W6095">
        <v>-4.358894E-2</v>
      </c>
      <c r="X6095">
        <v>0.99890319999999999</v>
      </c>
      <c r="Y6095">
        <v>1.7445620000000001E-3</v>
      </c>
      <c r="Z6095" s="1">
        <v>-4.3453740000000003E-5</v>
      </c>
      <c r="AA6095">
        <v>0.99999850000000001</v>
      </c>
      <c r="AB6095">
        <v>29</v>
      </c>
      <c r="AC6095">
        <v>-3.005341</v>
      </c>
      <c r="AD6095">
        <v>4.5834780000000002E-3</v>
      </c>
      <c r="AE6095">
        <v>-6.5307619999999999E-3</v>
      </c>
      <c r="AF6095">
        <v>5.2440184061522304E-3</v>
      </c>
      <c r="AG6095">
        <v>4.5834780000000002E-3</v>
      </c>
      <c r="AH6095">
        <v>3.00533653040881</v>
      </c>
      <c r="AI6095">
        <v>89.912617659008504</v>
      </c>
      <c r="AJ6095">
        <v>89.900024568168405</v>
      </c>
      <c r="AK6095">
        <v>3.0053446007087601</v>
      </c>
      <c r="AL6095">
        <v>92.498253894652706</v>
      </c>
      <c r="AM6095">
        <v>90.980641478536796</v>
      </c>
      <c r="AN6095">
        <v>0.99999997560369203</v>
      </c>
    </row>
    <row r="6096" spans="1:40" x14ac:dyDescent="0.25">
      <c r="A6096" t="str">
        <f>"20190303153930036"</f>
        <v>20190303153930036</v>
      </c>
      <c r="B6096" t="str">
        <f>"1551598770024341"</f>
        <v>1551598770024341</v>
      </c>
      <c r="C6096" t="s">
        <v>40</v>
      </c>
      <c r="D6096">
        <v>3.9744199999999998</v>
      </c>
      <c r="E6096">
        <v>0.50673649999999903</v>
      </c>
      <c r="F6096" t="s">
        <v>46</v>
      </c>
      <c r="G6096">
        <v>0</v>
      </c>
      <c r="H6096">
        <v>0</v>
      </c>
      <c r="I6096">
        <v>0</v>
      </c>
      <c r="J6096">
        <v>-337.68459999999999</v>
      </c>
      <c r="K6096">
        <v>1.120924</v>
      </c>
      <c r="L6096">
        <v>141.5034</v>
      </c>
      <c r="M6096">
        <v>-0.99992309999999995</v>
      </c>
      <c r="N6096">
        <v>-1.1744569999999999E-2</v>
      </c>
      <c r="O6096">
        <v>-4.0222959999999999E-3</v>
      </c>
      <c r="P6096">
        <v>-0.99821210000000005</v>
      </c>
      <c r="Q6096">
        <v>-5.5881029999999998E-2</v>
      </c>
      <c r="R6096">
        <v>-2.1213619999999999E-2</v>
      </c>
      <c r="S6096">
        <v>-3.0053709999999998</v>
      </c>
      <c r="T6096">
        <v>6.0901640000000003E-3</v>
      </c>
      <c r="U6096">
        <v>-1.2451169999999999E-2</v>
      </c>
      <c r="V6096">
        <v>-1.7186960000000001E-2</v>
      </c>
      <c r="W6096">
        <v>-4.4156960000000002E-2</v>
      </c>
      <c r="X6096">
        <v>0.99887680000000001</v>
      </c>
      <c r="Y6096">
        <v>-1.207483E-4</v>
      </c>
      <c r="Z6096" s="1">
        <v>-5.5979000000000001E-5</v>
      </c>
      <c r="AA6096">
        <v>1</v>
      </c>
      <c r="AB6096">
        <v>29</v>
      </c>
      <c r="AC6096">
        <v>-3.0053709999999998</v>
      </c>
      <c r="AD6096">
        <v>6.0901640000000003E-3</v>
      </c>
      <c r="AE6096">
        <v>-1.2451169999999999E-2</v>
      </c>
      <c r="AF6096">
        <v>-3.6174415947830897E-4</v>
      </c>
      <c r="AG6096">
        <v>6.0901640000000003E-3</v>
      </c>
      <c r="AH6096">
        <v>3.0053844294330001</v>
      </c>
      <c r="AI6096">
        <v>89.883894981895693</v>
      </c>
      <c r="AJ6096">
        <v>90.006896426726101</v>
      </c>
      <c r="AK6096">
        <v>3.0053906218052102</v>
      </c>
      <c r="AL6096">
        <v>92.530830235781806</v>
      </c>
      <c r="AM6096">
        <v>90.985750303145096</v>
      </c>
      <c r="AN6096">
        <v>1.00000004514436</v>
      </c>
    </row>
    <row r="6097" spans="1:40" x14ac:dyDescent="0.25">
      <c r="A6097" t="str">
        <f>"20190303153930055"</f>
        <v>20190303153930055</v>
      </c>
      <c r="B6097" t="str">
        <f>"1551598770044368"</f>
        <v>1551598770044368</v>
      </c>
      <c r="C6097" t="s">
        <v>40</v>
      </c>
      <c r="D6097">
        <v>3.975419</v>
      </c>
      <c r="E6097">
        <v>0.50672779999999995</v>
      </c>
      <c r="F6097" t="s">
        <v>46</v>
      </c>
      <c r="G6097">
        <v>0</v>
      </c>
      <c r="H6097">
        <v>0</v>
      </c>
      <c r="I6097">
        <v>0</v>
      </c>
      <c r="J6097">
        <v>-337.92200000000003</v>
      </c>
      <c r="K6097">
        <v>1.1209150000000001</v>
      </c>
      <c r="L6097">
        <v>141.50229999999999</v>
      </c>
      <c r="M6097">
        <v>-0.99992409999999998</v>
      </c>
      <c r="N6097">
        <v>-1.161453E-2</v>
      </c>
      <c r="O6097">
        <v>-4.1466979999999999E-3</v>
      </c>
      <c r="P6097">
        <v>-0.99818770000000001</v>
      </c>
      <c r="Q6097">
        <v>-5.616844E-2</v>
      </c>
      <c r="R6097">
        <v>-2.1607729999999999E-2</v>
      </c>
      <c r="S6097">
        <v>-3.0054020000000001</v>
      </c>
      <c r="T6097">
        <v>5.6663750000000004E-3</v>
      </c>
      <c r="U6097">
        <v>-1.3809200000000001E-2</v>
      </c>
      <c r="V6097">
        <v>-1.7456699999999999E-2</v>
      </c>
      <c r="W6097">
        <v>-4.4574589999999997E-2</v>
      </c>
      <c r="X6097">
        <v>0.99885349999999995</v>
      </c>
      <c r="Y6097">
        <v>-4.4815529999999999E-4</v>
      </c>
      <c r="Z6097" s="1">
        <v>-5.8161510000000003E-5</v>
      </c>
      <c r="AA6097">
        <v>0.99999990000000005</v>
      </c>
      <c r="AB6097">
        <v>29</v>
      </c>
      <c r="AC6097">
        <v>-3.0054020000000001</v>
      </c>
      <c r="AD6097">
        <v>5.6663750000000004E-3</v>
      </c>
      <c r="AE6097">
        <v>-1.3809200000000001E-2</v>
      </c>
      <c r="AF6097">
        <v>-1.3457432067892001E-3</v>
      </c>
      <c r="AG6097">
        <v>5.6663750000000004E-3</v>
      </c>
      <c r="AH6097">
        <v>3.0054227405333398</v>
      </c>
      <c r="AI6097">
        <v>89.891975610942197</v>
      </c>
      <c r="AJ6097">
        <v>90.025655426061803</v>
      </c>
      <c r="AK6097">
        <v>3.0054283834663802</v>
      </c>
      <c r="AL6097">
        <v>92.554782441355101</v>
      </c>
      <c r="AM6097">
        <v>91.001241344094694</v>
      </c>
      <c r="AN6097">
        <v>0.99999997245540295</v>
      </c>
    </row>
    <row r="6098" spans="1:40" x14ac:dyDescent="0.25">
      <c r="A6098" t="str">
        <f>"20190303153930077"</f>
        <v>20190303153930077</v>
      </c>
      <c r="B6098" t="str">
        <f>"1551598770074624"</f>
        <v>1551598770074624</v>
      </c>
      <c r="C6098" t="s">
        <v>40</v>
      </c>
      <c r="D6098">
        <v>3.9214349999999998</v>
      </c>
      <c r="E6098">
        <v>0.5066851</v>
      </c>
      <c r="F6098" t="s">
        <v>46</v>
      </c>
      <c r="G6098">
        <v>0</v>
      </c>
      <c r="H6098">
        <v>0</v>
      </c>
      <c r="I6098">
        <v>0</v>
      </c>
      <c r="J6098">
        <v>-338.20760000000001</v>
      </c>
      <c r="K6098">
        <v>1.1209169999999999</v>
      </c>
      <c r="L6098">
        <v>141.5009</v>
      </c>
      <c r="M6098">
        <v>-0.99992479999999995</v>
      </c>
      <c r="N6098">
        <v>-1.1494229999999999E-2</v>
      </c>
      <c r="O6098">
        <v>-4.2957250000000002E-3</v>
      </c>
      <c r="P6098">
        <v>-0.99816199999999999</v>
      </c>
      <c r="Q6098">
        <v>-5.6554550000000002E-2</v>
      </c>
      <c r="R6098">
        <v>-2.1779650000000001E-2</v>
      </c>
      <c r="S6098">
        <v>-3.0055540000000001</v>
      </c>
      <c r="T6098">
        <v>7.0013999999999996E-3</v>
      </c>
      <c r="U6098">
        <v>-1.496887E-2</v>
      </c>
      <c r="V6098">
        <v>-1.748011E-2</v>
      </c>
      <c r="W6098">
        <v>-4.508115E-2</v>
      </c>
      <c r="X6098">
        <v>0.99883040000000001</v>
      </c>
      <c r="Y6098">
        <v>-6.8475789999999904E-4</v>
      </c>
      <c r="Z6098" s="1">
        <v>-6.252187E-5</v>
      </c>
      <c r="AA6098">
        <v>0.99999979999999999</v>
      </c>
      <c r="AB6098">
        <v>29</v>
      </c>
      <c r="AC6098">
        <v>-3.0055540000000001</v>
      </c>
      <c r="AD6098">
        <v>7.0013999999999996E-3</v>
      </c>
      <c r="AE6098">
        <v>-1.496887E-2</v>
      </c>
      <c r="AF6098">
        <v>-2.0568354189299501E-3</v>
      </c>
      <c r="AG6098">
        <v>7.0013999999999996E-3</v>
      </c>
      <c r="AH6098">
        <v>3.0055742621015402</v>
      </c>
      <c r="AI6098">
        <v>89.866531379309393</v>
      </c>
      <c r="AJ6098">
        <v>90.039209801516705</v>
      </c>
      <c r="AK6098">
        <v>3.0055831206574699</v>
      </c>
      <c r="AL6098">
        <v>92.583835285759207</v>
      </c>
      <c r="AM6098">
        <v>91.002606949348404</v>
      </c>
      <c r="AN6098">
        <v>1.00000001614754</v>
      </c>
    </row>
    <row r="6099" spans="1:40" x14ac:dyDescent="0.25">
      <c r="A6099" t="str">
        <f>"20190303153930100"</f>
        <v>20190303153930100</v>
      </c>
      <c r="B6099" t="str">
        <f>"1551598770095123"</f>
        <v>1551598770095123</v>
      </c>
      <c r="C6099" t="s">
        <v>40</v>
      </c>
      <c r="D6099">
        <v>3.9544060000000001</v>
      </c>
      <c r="E6099">
        <v>0.50664319999999996</v>
      </c>
      <c r="F6099" t="s">
        <v>46</v>
      </c>
      <c r="G6099">
        <v>0</v>
      </c>
      <c r="H6099">
        <v>0</v>
      </c>
      <c r="I6099">
        <v>0</v>
      </c>
      <c r="J6099">
        <v>-338.50279999999998</v>
      </c>
      <c r="K6099">
        <v>1.1209209999999901</v>
      </c>
      <c r="L6099">
        <v>141.49950000000001</v>
      </c>
      <c r="M6099">
        <v>-0.99992510000000001</v>
      </c>
      <c r="N6099">
        <v>-1.140682E-2</v>
      </c>
      <c r="O6099">
        <v>-4.4494829999999997E-3</v>
      </c>
      <c r="P6099">
        <v>-0.99815370000000003</v>
      </c>
      <c r="Q6099">
        <v>-5.6727630000000001E-2</v>
      </c>
      <c r="R6099">
        <v>-2.1709989999999998E-2</v>
      </c>
      <c r="S6099">
        <v>-3.0057680000000002</v>
      </c>
      <c r="T6099">
        <v>1.0200020000000001E-2</v>
      </c>
      <c r="U6099">
        <v>-1.5670779999999999E-2</v>
      </c>
      <c r="V6099">
        <v>-1.725701E-2</v>
      </c>
      <c r="W6099">
        <v>-4.5341579999999999E-2</v>
      </c>
      <c r="X6099">
        <v>0.99882249999999995</v>
      </c>
      <c r="Y6099">
        <v>-7.6423270000000002E-4</v>
      </c>
      <c r="Z6099" s="1">
        <v>-6.8916569999999907E-5</v>
      </c>
      <c r="AA6099">
        <v>0.99999970000000005</v>
      </c>
      <c r="AB6099">
        <v>29</v>
      </c>
      <c r="AC6099">
        <v>-3.0057680000000002</v>
      </c>
      <c r="AD6099">
        <v>1.0200020000000001E-2</v>
      </c>
      <c r="AE6099">
        <v>-1.5670779999999999E-2</v>
      </c>
      <c r="AF6099">
        <v>-2.2956154232285399E-3</v>
      </c>
      <c r="AG6099">
        <v>1.0200020000000001E-2</v>
      </c>
      <c r="AH6099">
        <v>3.0057733607339299</v>
      </c>
      <c r="AI6099">
        <v>89.805568945804694</v>
      </c>
      <c r="AJ6099">
        <v>90.043758804732605</v>
      </c>
      <c r="AK6099">
        <v>3.00579154406222</v>
      </c>
      <c r="AL6099">
        <v>92.598772076423899</v>
      </c>
      <c r="AM6099">
        <v>90.989820988543798</v>
      </c>
      <c r="AN6099">
        <v>1.00000002488864</v>
      </c>
    </row>
    <row r="6100" spans="1:40" x14ac:dyDescent="0.25">
      <c r="A6100" t="str">
        <f>"20190303153930122"</f>
        <v>20190303153930122</v>
      </c>
      <c r="B6100" t="str">
        <f>"1551598770114643"</f>
        <v>1551598770114643</v>
      </c>
      <c r="C6100" t="s">
        <v>40</v>
      </c>
      <c r="D6100">
        <v>3.9076780000000002</v>
      </c>
      <c r="E6100">
        <v>0.50661610000000001</v>
      </c>
      <c r="F6100" t="s">
        <v>46</v>
      </c>
      <c r="G6100">
        <v>0</v>
      </c>
      <c r="H6100">
        <v>0</v>
      </c>
      <c r="I6100">
        <v>0</v>
      </c>
      <c r="J6100">
        <v>-338.79629999999997</v>
      </c>
      <c r="K6100">
        <v>1.1209340000000001</v>
      </c>
      <c r="L6100">
        <v>141.49799999999999</v>
      </c>
      <c r="M6100">
        <v>-0.99992490000000001</v>
      </c>
      <c r="N6100">
        <v>-1.136097E-2</v>
      </c>
      <c r="O6100">
        <v>-4.602292E-3</v>
      </c>
      <c r="P6100">
        <v>-0.99815019999999999</v>
      </c>
      <c r="Q6100">
        <v>-5.685453E-2</v>
      </c>
      <c r="R6100">
        <v>-2.1536679999999999E-2</v>
      </c>
      <c r="S6100">
        <v>-3.0058289999999999</v>
      </c>
      <c r="T6100">
        <v>1.075649E-2</v>
      </c>
      <c r="U6100">
        <v>-1.594543E-2</v>
      </c>
      <c r="V6100">
        <v>-1.693062E-2</v>
      </c>
      <c r="W6100">
        <v>-4.5514249999999999E-2</v>
      </c>
      <c r="X6100">
        <v>0.99882020000000005</v>
      </c>
      <c r="Y6100">
        <v>-7.0270580000000003E-4</v>
      </c>
      <c r="Z6100" s="1">
        <v>-7.1491179999999996E-5</v>
      </c>
      <c r="AA6100">
        <v>0.99999979999999999</v>
      </c>
      <c r="AB6100">
        <v>29</v>
      </c>
      <c r="AC6100">
        <v>-3.0058289999999999</v>
      </c>
      <c r="AD6100">
        <v>1.075649E-2</v>
      </c>
      <c r="AE6100">
        <v>-1.594543E-2</v>
      </c>
      <c r="AF6100">
        <v>-2.1106388664575201E-3</v>
      </c>
      <c r="AG6100">
        <v>1.075649E-2</v>
      </c>
      <c r="AH6100">
        <v>3.0058320610894098</v>
      </c>
      <c r="AI6100">
        <v>89.794965691974696</v>
      </c>
      <c r="AJ6100">
        <v>90.0402320145608</v>
      </c>
      <c r="AK6100">
        <v>3.0058520483128501</v>
      </c>
      <c r="AL6100">
        <v>92.608675647449402</v>
      </c>
      <c r="AM6100">
        <v>90.971105890947598</v>
      </c>
      <c r="AN6100">
        <v>0.99999999238734305</v>
      </c>
    </row>
    <row r="6101" spans="1:40" x14ac:dyDescent="0.25">
      <c r="A6101" t="str">
        <f>"20190303153930145"</f>
        <v>20190303153930145</v>
      </c>
      <c r="B6101" t="str">
        <f>"1551598770134160"</f>
        <v>1551598770134160</v>
      </c>
      <c r="C6101" t="s">
        <v>40</v>
      </c>
      <c r="D6101">
        <v>3.9785360000000001</v>
      </c>
      <c r="E6101">
        <v>0.50633079999999997</v>
      </c>
      <c r="F6101" t="s">
        <v>46</v>
      </c>
      <c r="G6101">
        <v>0</v>
      </c>
      <c r="H6101">
        <v>0</v>
      </c>
      <c r="I6101">
        <v>0</v>
      </c>
      <c r="J6101">
        <v>-339.09129999999999</v>
      </c>
      <c r="K6101">
        <v>1.1209530000000001</v>
      </c>
      <c r="L6101">
        <v>141.4965</v>
      </c>
      <c r="M6101">
        <v>-0.99992389999999998</v>
      </c>
      <c r="N6101">
        <v>-1.138525E-2</v>
      </c>
      <c r="O6101">
        <v>-4.7568269999999999E-3</v>
      </c>
      <c r="P6101">
        <v>-0.99814179999999997</v>
      </c>
      <c r="Q6101">
        <v>-5.7053670000000001E-2</v>
      </c>
      <c r="R6101">
        <v>-2.1401960000000001E-2</v>
      </c>
      <c r="S6101">
        <v>-3.0058289999999999</v>
      </c>
      <c r="T6101">
        <v>1.144886E-2</v>
      </c>
      <c r="U6101">
        <v>-1.580811E-2</v>
      </c>
      <c r="V6101">
        <v>-1.6641400000000001E-2</v>
      </c>
      <c r="W6101">
        <v>-4.5689199999999999E-2</v>
      </c>
      <c r="X6101">
        <v>0.99881710000000001</v>
      </c>
      <c r="Y6101">
        <v>-5.0250480000000003E-4</v>
      </c>
      <c r="Z6101" s="1">
        <v>-7.4180209999999999E-5</v>
      </c>
      <c r="AA6101">
        <v>0.99999990000000005</v>
      </c>
      <c r="AB6101">
        <v>29</v>
      </c>
      <c r="AC6101">
        <v>-3.0058289999999999</v>
      </c>
      <c r="AD6101">
        <v>1.144886E-2</v>
      </c>
      <c r="AE6101">
        <v>-1.580811E-2</v>
      </c>
      <c r="AF6101">
        <v>-1.5087743182569001E-3</v>
      </c>
      <c r="AG6101">
        <v>1.144886E-2</v>
      </c>
      <c r="AH6101">
        <v>3.0058265835035698</v>
      </c>
      <c r="AI6101">
        <v>89.781767814873206</v>
      </c>
      <c r="AJ6101">
        <v>90.028759607719195</v>
      </c>
      <c r="AK6101">
        <v>3.0058487658050899</v>
      </c>
      <c r="AL6101">
        <v>92.618709912561599</v>
      </c>
      <c r="AM6101">
        <v>90.9545228785002</v>
      </c>
      <c r="AN6101">
        <v>1.0000000192214999</v>
      </c>
    </row>
    <row r="6102" spans="1:40" x14ac:dyDescent="0.25">
      <c r="A6102" t="str">
        <f>"20190303153930166"</f>
        <v>20190303153930166</v>
      </c>
      <c r="B6102" t="str">
        <f>"1551598770154656"</f>
        <v>1551598770154656</v>
      </c>
      <c r="C6102" t="s">
        <v>40</v>
      </c>
      <c r="D6102">
        <v>3.929986</v>
      </c>
      <c r="E6102">
        <v>0.50585500000000005</v>
      </c>
      <c r="F6102" t="s">
        <v>46</v>
      </c>
      <c r="G6102">
        <v>0</v>
      </c>
      <c r="H6102">
        <v>0</v>
      </c>
      <c r="I6102">
        <v>0</v>
      </c>
      <c r="J6102">
        <v>-339.36349999999999</v>
      </c>
      <c r="K6102">
        <v>1.121</v>
      </c>
      <c r="L6102">
        <v>141.495</v>
      </c>
      <c r="M6102">
        <v>-0.99992179999999997</v>
      </c>
      <c r="N6102">
        <v>-1.1511810000000001E-2</v>
      </c>
      <c r="O6102">
        <v>-4.8882800000000001E-3</v>
      </c>
      <c r="P6102">
        <v>-0.99812109999999998</v>
      </c>
      <c r="Q6102">
        <v>-5.7460810000000001E-2</v>
      </c>
      <c r="R6102">
        <v>-2.1274959999999999E-2</v>
      </c>
      <c r="S6102">
        <v>-3.0057070000000001</v>
      </c>
      <c r="T6102">
        <v>7.9325439999999997E-3</v>
      </c>
      <c r="U6102">
        <v>-1.7623900000000001E-2</v>
      </c>
      <c r="V6102">
        <v>-1.6382560000000001E-2</v>
      </c>
      <c r="W6102">
        <v>-4.5970230000000001E-2</v>
      </c>
      <c r="X6102">
        <v>0.99880840000000004</v>
      </c>
      <c r="Y6102">
        <v>-9.752901E-4</v>
      </c>
      <c r="Z6102" s="1">
        <v>-7.3501850000000005E-5</v>
      </c>
      <c r="AA6102">
        <v>0.99999950000000004</v>
      </c>
      <c r="AB6102">
        <v>29</v>
      </c>
      <c r="AC6102">
        <v>-3.0057070000000001</v>
      </c>
      <c r="AD6102">
        <v>7.9325439999999997E-3</v>
      </c>
      <c r="AE6102">
        <v>-1.7623900000000001E-2</v>
      </c>
      <c r="AF6102">
        <v>-2.9299581055672302E-3</v>
      </c>
      <c r="AG6102">
        <v>7.9325439999999997E-3</v>
      </c>
      <c r="AH6102">
        <v>3.0057363054419599</v>
      </c>
      <c r="AI6102">
        <v>89.848789123635697</v>
      </c>
      <c r="AJ6102">
        <v>90.055851266833699</v>
      </c>
      <c r="AK6102">
        <v>3.0057482009909999</v>
      </c>
      <c r="AL6102">
        <v>92.634828903514702</v>
      </c>
      <c r="AM6102">
        <v>90.939687115529907</v>
      </c>
      <c r="AN6102">
        <v>0.99999993511448104</v>
      </c>
    </row>
    <row r="6103" spans="1:40" x14ac:dyDescent="0.25">
      <c r="A6103" t="str">
        <f>"20190303153930181"</f>
        <v>20190303153930181</v>
      </c>
      <c r="B6103" t="str">
        <f>"1551598770174176"</f>
        <v>1551598770174176</v>
      </c>
      <c r="C6103" t="s">
        <v>40</v>
      </c>
      <c r="D6103">
        <v>3.9520789999999999</v>
      </c>
      <c r="E6103">
        <v>0.50547909999999996</v>
      </c>
      <c r="F6103" t="s">
        <v>46</v>
      </c>
      <c r="G6103">
        <v>0</v>
      </c>
      <c r="H6103">
        <v>0</v>
      </c>
      <c r="I6103">
        <v>0</v>
      </c>
      <c r="J6103">
        <v>-339.57010000000002</v>
      </c>
      <c r="K6103">
        <v>1.121041</v>
      </c>
      <c r="L6103">
        <v>141.4939</v>
      </c>
      <c r="M6103">
        <v>-0.99991969999999997</v>
      </c>
      <c r="N6103">
        <v>-1.166245E-2</v>
      </c>
      <c r="O6103">
        <v>-4.9885800000000003E-3</v>
      </c>
      <c r="P6103">
        <v>-0.99810140000000003</v>
      </c>
      <c r="Q6103">
        <v>-5.7630689999999998E-2</v>
      </c>
      <c r="R6103">
        <v>-2.1734059999999999E-2</v>
      </c>
      <c r="S6103">
        <v>-3.0053100000000001</v>
      </c>
      <c r="T6103">
        <v>1.9249919999999999E-3</v>
      </c>
      <c r="U6103">
        <v>-2.0935059999999998E-2</v>
      </c>
      <c r="V6103">
        <v>-1.6741659999999998E-2</v>
      </c>
      <c r="W6103">
        <v>-4.5989889999999999E-2</v>
      </c>
      <c r="X6103">
        <v>0.99880159999999996</v>
      </c>
      <c r="Y6103">
        <v>-1.9773529999999998E-3</v>
      </c>
      <c r="Z6103" s="1">
        <v>-7.2273590000000005E-5</v>
      </c>
      <c r="AA6103">
        <v>0.99999800000000005</v>
      </c>
      <c r="AB6103">
        <v>29</v>
      </c>
      <c r="AC6103">
        <v>-3.0053100000000001</v>
      </c>
      <c r="AD6103">
        <v>1.9249919999999999E-3</v>
      </c>
      <c r="AE6103">
        <v>-2.0935059999999998E-2</v>
      </c>
      <c r="AF6103">
        <v>-5.9415502879798503E-3</v>
      </c>
      <c r="AG6103">
        <v>1.9249919999999999E-3</v>
      </c>
      <c r="AH6103">
        <v>3.0053758100499701</v>
      </c>
      <c r="AI6103">
        <v>89.963301199734303</v>
      </c>
      <c r="AJ6103">
        <v>90.113272127438705</v>
      </c>
      <c r="AK6103">
        <v>3.0053822996829398</v>
      </c>
      <c r="AL6103">
        <v>92.635956374163996</v>
      </c>
      <c r="AM6103">
        <v>90.960287450132398</v>
      </c>
      <c r="AN6103">
        <v>0.99999999466216305</v>
      </c>
    </row>
    <row r="6104" spans="1:40" x14ac:dyDescent="0.25">
      <c r="A6104" t="str">
        <f>"20190303153930202"</f>
        <v>20190303153930202</v>
      </c>
      <c r="B6104" t="str">
        <f>"1551598770194672"</f>
        <v>1551598770194672</v>
      </c>
      <c r="C6104" t="s">
        <v>40</v>
      </c>
      <c r="D6104">
        <v>3.9511250000000002</v>
      </c>
      <c r="E6104">
        <v>0.50530149999999996</v>
      </c>
      <c r="F6104" t="s">
        <v>46</v>
      </c>
      <c r="G6104">
        <v>0</v>
      </c>
      <c r="H6104">
        <v>0</v>
      </c>
      <c r="I6104">
        <v>0</v>
      </c>
      <c r="J6104">
        <v>-339.81240000000003</v>
      </c>
      <c r="K6104">
        <v>1.121078</v>
      </c>
      <c r="L6104">
        <v>141.49260000000001</v>
      </c>
      <c r="M6104">
        <v>-0.99991660000000004</v>
      </c>
      <c r="N6104">
        <v>-1.185774E-2</v>
      </c>
      <c r="O6104">
        <v>-5.1115229999999998E-3</v>
      </c>
      <c r="P6104">
        <v>-0.99808240000000004</v>
      </c>
      <c r="Q6104">
        <v>-5.7830100000000002E-2</v>
      </c>
      <c r="R6104">
        <v>-2.2078819999999999E-2</v>
      </c>
      <c r="S6104">
        <v>-3.0050050000000001</v>
      </c>
      <c r="T6104">
        <v>-2.4386640000000001E-3</v>
      </c>
      <c r="U6104">
        <v>-2.523804E-2</v>
      </c>
      <c r="V6104">
        <v>-1.6964070000000001E-2</v>
      </c>
      <c r="W6104">
        <v>-4.5994300000000002E-2</v>
      </c>
      <c r="X6104">
        <v>0.99879770000000001</v>
      </c>
      <c r="Y6104">
        <v>-3.2868559999999999E-3</v>
      </c>
      <c r="Z6104" s="1">
        <v>-7.7286839999999996E-5</v>
      </c>
      <c r="AA6104">
        <v>0.99999459999999996</v>
      </c>
      <c r="AB6104">
        <v>29</v>
      </c>
      <c r="AC6104">
        <v>-3.0050050000000001</v>
      </c>
      <c r="AD6104">
        <v>-2.4386640000000001E-3</v>
      </c>
      <c r="AE6104">
        <v>-2.523804E-2</v>
      </c>
      <c r="AF6104">
        <v>-9.8764711344417194E-3</v>
      </c>
      <c r="AG6104">
        <v>-2.4386640000000001E-3</v>
      </c>
      <c r="AH6104">
        <v>3.0050927722540401</v>
      </c>
      <c r="AI6104">
        <v>90.046495858912607</v>
      </c>
      <c r="AJ6104">
        <v>90.188306357878602</v>
      </c>
      <c r="AK6104">
        <v>3.0051099916005799</v>
      </c>
      <c r="AL6104">
        <v>92.636209169137004</v>
      </c>
      <c r="AM6104">
        <v>90.973046061514694</v>
      </c>
      <c r="AN6104">
        <v>1.00000005041437</v>
      </c>
    </row>
    <row r="6105" spans="1:40" x14ac:dyDescent="0.25">
      <c r="A6105" t="str">
        <f>"20190303153930216"</f>
        <v>20190303153930216</v>
      </c>
      <c r="B6105" t="str">
        <f>"1551598770204432"</f>
        <v>1551598770204432</v>
      </c>
      <c r="C6105" t="s">
        <v>40</v>
      </c>
      <c r="D6105">
        <v>3.9630079999999999</v>
      </c>
      <c r="E6105">
        <v>0.50428989999999996</v>
      </c>
      <c r="F6105" t="s">
        <v>46</v>
      </c>
      <c r="G6105">
        <v>0</v>
      </c>
      <c r="H6105">
        <v>0</v>
      </c>
      <c r="I6105">
        <v>0</v>
      </c>
      <c r="J6105">
        <v>-340.01339999999999</v>
      </c>
      <c r="K6105">
        <v>1.1211059999999999</v>
      </c>
      <c r="L6105">
        <v>141.4914</v>
      </c>
      <c r="M6105">
        <v>-0.99991419999999998</v>
      </c>
      <c r="N6105">
        <v>-1.202049E-2</v>
      </c>
      <c r="O6105">
        <v>-5.2173519999999998E-3</v>
      </c>
      <c r="P6105">
        <v>-0.9980675</v>
      </c>
      <c r="Q6105">
        <v>-5.8161110000000002E-2</v>
      </c>
      <c r="R6105">
        <v>-2.1881879999999999E-2</v>
      </c>
      <c r="S6105">
        <v>-3.004883</v>
      </c>
      <c r="T6105">
        <v>-4.911065E-3</v>
      </c>
      <c r="U6105">
        <v>-2.7618409999999999E-2</v>
      </c>
      <c r="V6105">
        <v>-1.666198E-2</v>
      </c>
      <c r="W6105">
        <v>-4.616265E-2</v>
      </c>
      <c r="X6105">
        <v>0.99879499999999999</v>
      </c>
      <c r="Y6105">
        <v>-3.9733930000000004E-3</v>
      </c>
      <c r="Z6105" s="1">
        <v>-8.1319630000000002E-5</v>
      </c>
      <c r="AA6105">
        <v>0.99999210000000005</v>
      </c>
      <c r="AB6105">
        <v>29</v>
      </c>
      <c r="AC6105">
        <v>-3.004883</v>
      </c>
      <c r="AD6105">
        <v>-4.911065E-3</v>
      </c>
      <c r="AE6105">
        <v>-2.7618409999999999E-2</v>
      </c>
      <c r="AF6105">
        <v>-1.19393380074144E-2</v>
      </c>
      <c r="AG6105">
        <v>-4.911065E-3</v>
      </c>
      <c r="AH6105">
        <v>3.0049781755517402</v>
      </c>
      <c r="AI6105">
        <v>90.093638226136406</v>
      </c>
      <c r="AJ6105">
        <v>90.227645606201406</v>
      </c>
      <c r="AK6105">
        <v>3.0050059071312498</v>
      </c>
      <c r="AL6105">
        <v>92.645865218469297</v>
      </c>
      <c r="AM6105">
        <v>90.955724236680894</v>
      </c>
      <c r="AN6105">
        <v>1.0000000319287701</v>
      </c>
    </row>
    <row r="6106" spans="1:40" x14ac:dyDescent="0.25">
      <c r="A6106" t="str">
        <f>"20190303153930232"</f>
        <v>20190303153930232</v>
      </c>
      <c r="B6106" t="str">
        <f>"1551598770224928"</f>
        <v>1551598770224928</v>
      </c>
      <c r="C6106" t="s">
        <v>40</v>
      </c>
      <c r="D6106">
        <v>3.9823040000000001</v>
      </c>
      <c r="E6106">
        <v>0.47171030000000003</v>
      </c>
      <c r="F6106" t="s">
        <v>46</v>
      </c>
      <c r="G6106">
        <v>0</v>
      </c>
      <c r="H6106">
        <v>0</v>
      </c>
      <c r="I6106">
        <v>0</v>
      </c>
      <c r="J6106">
        <v>-340.2362</v>
      </c>
      <c r="K6106">
        <v>1.1211310000000001</v>
      </c>
      <c r="L6106">
        <v>141.49010000000001</v>
      </c>
      <c r="M6106">
        <v>-0.99991149999999995</v>
      </c>
      <c r="N6106">
        <v>-1.219495E-2</v>
      </c>
      <c r="O6106">
        <v>-5.3368590000000002E-3</v>
      </c>
      <c r="P6106">
        <v>-0.99804740000000003</v>
      </c>
      <c r="Q6106">
        <v>-5.8514219999999999E-2</v>
      </c>
      <c r="R6106">
        <v>-2.1861060000000002E-2</v>
      </c>
      <c r="S6106">
        <v>-3.0046689999999998</v>
      </c>
      <c r="T6106">
        <v>-6.576419E-3</v>
      </c>
      <c r="U6106">
        <v>-3.5140989999999997E-2</v>
      </c>
      <c r="V6106">
        <v>-1.6522309999999998E-2</v>
      </c>
      <c r="W6106">
        <v>-4.6341519999999997E-2</v>
      </c>
      <c r="X6106">
        <v>0.99878900000000004</v>
      </c>
      <c r="Y6106">
        <v>-6.3577740000000001E-3</v>
      </c>
      <c r="Z6106" s="1">
        <v>-9.9130510000000003E-5</v>
      </c>
      <c r="AA6106">
        <v>0.99997979999999997</v>
      </c>
      <c r="AB6106">
        <v>29</v>
      </c>
      <c r="AC6106">
        <v>-3.0046689999999998</v>
      </c>
      <c r="AD6106">
        <v>-6.576419E-3</v>
      </c>
      <c r="AE6106">
        <v>-3.5140989999999997E-2</v>
      </c>
      <c r="AF6106">
        <v>-1.9103712329494E-2</v>
      </c>
      <c r="AG6106">
        <v>-6.576419E-3</v>
      </c>
      <c r="AH6106">
        <v>3.0047993675056102</v>
      </c>
      <c r="AI6106">
        <v>90.125397003345995</v>
      </c>
      <c r="AJ6106">
        <v>90.364266364678201</v>
      </c>
      <c r="AK6106">
        <v>3.0048672915910499</v>
      </c>
      <c r="AL6106">
        <v>92.656124792454605</v>
      </c>
      <c r="AM6106">
        <v>90.9477199831192</v>
      </c>
      <c r="AN6106">
        <v>0.99999999486232305</v>
      </c>
    </row>
    <row r="6107" spans="1:40" x14ac:dyDescent="0.25">
      <c r="A6107" t="str">
        <f>"20190303153930255"</f>
        <v>20190303153930255</v>
      </c>
      <c r="B6107" t="str">
        <f>"1551598770244448"</f>
        <v>1551598770244448</v>
      </c>
      <c r="C6107" t="s">
        <v>40</v>
      </c>
      <c r="D6107">
        <v>3.9591669999999999</v>
      </c>
      <c r="E6107">
        <v>0.47234009999999998</v>
      </c>
      <c r="F6107" t="s">
        <v>42</v>
      </c>
      <c r="G6107">
        <v>-386.19900000000001</v>
      </c>
      <c r="H6107" s="1">
        <v>-2.0789149999999999E-6</v>
      </c>
      <c r="I6107">
        <v>136.98910000000001</v>
      </c>
      <c r="J6107">
        <v>-340.51830000000001</v>
      </c>
      <c r="K6107">
        <v>1.1211599999999999</v>
      </c>
      <c r="L6107">
        <v>141.48849999999999</v>
      </c>
      <c r="M6107">
        <v>-0.99990800000000002</v>
      </c>
      <c r="N6107">
        <v>-1.240583E-2</v>
      </c>
      <c r="O6107">
        <v>-5.4863169999999897E-3</v>
      </c>
      <c r="P6107">
        <v>-0.9980675</v>
      </c>
      <c r="Q6107">
        <v>-5.8241370000000001E-2</v>
      </c>
      <c r="R6107">
        <v>-2.1669569999999999E-2</v>
      </c>
      <c r="S6107">
        <v>-2.995209</v>
      </c>
      <c r="T6107">
        <v>-7.3059799999999994E-2</v>
      </c>
      <c r="U6107">
        <v>-0.29330440000000002</v>
      </c>
      <c r="V6107">
        <v>-1.6182140000000001E-2</v>
      </c>
      <c r="W6107">
        <v>-4.585761E-2</v>
      </c>
      <c r="X6107">
        <v>0.99881690000000001</v>
      </c>
      <c r="Y6107">
        <v>-9.1955709999999996E-2</v>
      </c>
      <c r="Z6107">
        <v>-1.624992E-3</v>
      </c>
      <c r="AA6107">
        <v>0.99576180000000003</v>
      </c>
      <c r="AB6107">
        <v>29</v>
      </c>
      <c r="AC6107">
        <v>-45.680700000000002</v>
      </c>
      <c r="AD6107">
        <v>-1.1211620789150001</v>
      </c>
      <c r="AE6107">
        <v>-4.4993999999999801</v>
      </c>
      <c r="AF6107">
        <v>-4.2461609560471896</v>
      </c>
      <c r="AG6107">
        <v>-1.1211620789150001</v>
      </c>
      <c r="AH6107">
        <v>45.6774485839926</v>
      </c>
      <c r="AI6107">
        <v>91.400020296601099</v>
      </c>
      <c r="AJ6107">
        <v>95.310934214247595</v>
      </c>
      <c r="AK6107">
        <v>45.888083381365398</v>
      </c>
      <c r="AL6107">
        <v>92.628369293556503</v>
      </c>
      <c r="AM6107">
        <v>90.928185352572996</v>
      </c>
      <c r="AN6107">
        <v>0.99999999088775005</v>
      </c>
    </row>
    <row r="6108" spans="1:40" x14ac:dyDescent="0.25">
      <c r="A6108" t="str">
        <f>"20190303153930277"</f>
        <v>20190303153930277</v>
      </c>
      <c r="B6108" t="str">
        <f>"1551598770274704"</f>
        <v>1551598770274704</v>
      </c>
      <c r="C6108" t="s">
        <v>40</v>
      </c>
      <c r="D6108">
        <v>3.9811899999999998</v>
      </c>
      <c r="E6108">
        <v>0.47100439999999999</v>
      </c>
      <c r="F6108" t="s">
        <v>42</v>
      </c>
      <c r="G6108">
        <v>-384.6422</v>
      </c>
      <c r="H6108" s="1">
        <v>-2.7003779999999998E-6</v>
      </c>
      <c r="I6108">
        <v>137.25059999999999</v>
      </c>
      <c r="J6108">
        <v>-340.80680000000001</v>
      </c>
      <c r="K6108">
        <v>1.121192</v>
      </c>
      <c r="L6108">
        <v>141.48670000000001</v>
      </c>
      <c r="M6108">
        <v>-0.99990460000000003</v>
      </c>
      <c r="N6108">
        <v>-1.260967E-2</v>
      </c>
      <c r="O6108">
        <v>-5.6346010000000004E-3</v>
      </c>
      <c r="P6108">
        <v>-0.99809890000000001</v>
      </c>
      <c r="Q6108">
        <v>-5.7437050000000003E-2</v>
      </c>
      <c r="R6108">
        <v>-2.2358139999999999E-2</v>
      </c>
      <c r="S6108">
        <v>-2.9951479999999999</v>
      </c>
      <c r="T6108">
        <v>-7.6104999999999895E-2</v>
      </c>
      <c r="U6108">
        <v>-0.28765869999999999</v>
      </c>
      <c r="V6108">
        <v>-1.6722520000000001E-2</v>
      </c>
      <c r="W6108">
        <v>-4.4849430000000003E-2</v>
      </c>
      <c r="X6108">
        <v>0.99885380000000001</v>
      </c>
      <c r="Y6108">
        <v>-8.9948199999999895E-2</v>
      </c>
      <c r="Z6108">
        <v>-1.636609E-3</v>
      </c>
      <c r="AA6108">
        <v>0.99594510000000003</v>
      </c>
      <c r="AB6108">
        <v>29</v>
      </c>
      <c r="AC6108">
        <v>-43.8353999999999</v>
      </c>
      <c r="AD6108">
        <v>-1.1211947003780001</v>
      </c>
      <c r="AE6108">
        <v>-4.23610000000002</v>
      </c>
      <c r="AF6108">
        <v>-3.9864343053722102</v>
      </c>
      <c r="AG6108">
        <v>-1.1211947003780001</v>
      </c>
      <c r="AH6108">
        <v>43.830166152990898</v>
      </c>
      <c r="AI6108">
        <v>91.459310551436801</v>
      </c>
      <c r="AJ6108">
        <v>95.196858224244806</v>
      </c>
      <c r="AK6108">
        <v>44.025358613258298</v>
      </c>
      <c r="AL6108">
        <v>92.570545271476703</v>
      </c>
      <c r="AM6108">
        <v>90.959139683360803</v>
      </c>
      <c r="AN6108">
        <v>1.0000000139104499</v>
      </c>
    </row>
    <row r="6109" spans="1:40" x14ac:dyDescent="0.25">
      <c r="A6109" t="str">
        <f>"20190303153930301"</f>
        <v>20190303153930301</v>
      </c>
      <c r="B6109" t="str">
        <f>"1551598770294224"</f>
        <v>1551598770294224</v>
      </c>
      <c r="C6109" t="s">
        <v>40</v>
      </c>
      <c r="D6109">
        <v>4.0110479999999997</v>
      </c>
      <c r="E6109">
        <v>0.47029729999999997</v>
      </c>
      <c r="F6109" t="s">
        <v>42</v>
      </c>
      <c r="G6109">
        <v>-379.37959999999998</v>
      </c>
      <c r="H6109" s="1">
        <v>-7.2854490000000002E-7</v>
      </c>
      <c r="I6109">
        <v>137.61920000000001</v>
      </c>
      <c r="J6109">
        <v>-341.10250000000002</v>
      </c>
      <c r="K6109">
        <v>1.121213</v>
      </c>
      <c r="L6109">
        <v>141.48490000000001</v>
      </c>
      <c r="M6109">
        <v>-0.99990140000000005</v>
      </c>
      <c r="N6109">
        <v>-1.2802040000000001E-2</v>
      </c>
      <c r="O6109">
        <v>-5.7836789999999999E-3</v>
      </c>
      <c r="P6109">
        <v>-0.99811830000000001</v>
      </c>
      <c r="Q6109">
        <v>-5.6923359999999999E-2</v>
      </c>
      <c r="R6109">
        <v>-2.279374E-2</v>
      </c>
      <c r="S6109">
        <v>-2.9939879999999999</v>
      </c>
      <c r="T6109">
        <v>-8.7026240000000005E-2</v>
      </c>
      <c r="U6109">
        <v>-0.30018620000000001</v>
      </c>
      <c r="V6109">
        <v>-1.700931E-2</v>
      </c>
      <c r="W6109">
        <v>-4.4143439999999999E-2</v>
      </c>
      <c r="X6109">
        <v>0.9988804</v>
      </c>
      <c r="Y6109">
        <v>-9.3949850000000001E-2</v>
      </c>
      <c r="Z6109">
        <v>-1.871017E-3</v>
      </c>
      <c r="AA6109">
        <v>0.99557519999999999</v>
      </c>
      <c r="AB6109">
        <v>29</v>
      </c>
      <c r="AC6109">
        <v>-38.277099999999898</v>
      </c>
      <c r="AD6109">
        <v>-1.1212137285449</v>
      </c>
      <c r="AE6109">
        <v>-3.8656999999999999</v>
      </c>
      <c r="AF6109">
        <v>-3.6411421079019299</v>
      </c>
      <c r="AG6109">
        <v>-1.1212137285449</v>
      </c>
      <c r="AH6109">
        <v>38.266317620299802</v>
      </c>
      <c r="AI6109">
        <v>91.670759871241501</v>
      </c>
      <c r="AJ6109">
        <v>95.435481207734298</v>
      </c>
      <c r="AK6109">
        <v>38.4555080618197</v>
      </c>
      <c r="AL6109">
        <v>92.530054938090501</v>
      </c>
      <c r="AM6109">
        <v>90.975559732051707</v>
      </c>
      <c r="AN6109">
        <v>1.00000000671293</v>
      </c>
    </row>
    <row r="6110" spans="1:40" x14ac:dyDescent="0.25">
      <c r="A6110" t="str">
        <f>"20190303153930322"</f>
        <v>20190303153930322</v>
      </c>
      <c r="B6110" t="str">
        <f>"1551598770314723"</f>
        <v>1551598770314723</v>
      </c>
      <c r="C6110" t="s">
        <v>40</v>
      </c>
      <c r="D6110">
        <v>4.033798</v>
      </c>
      <c r="E6110">
        <v>0.47013100000000002</v>
      </c>
      <c r="F6110" t="s">
        <v>42</v>
      </c>
      <c r="G6110">
        <v>-377.0215</v>
      </c>
      <c r="H6110" s="1">
        <v>-1.581675E-6</v>
      </c>
      <c r="I6110">
        <v>137.80330000000001</v>
      </c>
      <c r="J6110">
        <v>-341.3843</v>
      </c>
      <c r="K6110">
        <v>1.1212299999999999</v>
      </c>
      <c r="L6110">
        <v>141.48310000000001</v>
      </c>
      <c r="M6110">
        <v>-0.99989850000000002</v>
      </c>
      <c r="N6110">
        <v>-1.296744E-2</v>
      </c>
      <c r="O6110">
        <v>-5.9261499999999998E-3</v>
      </c>
      <c r="P6110">
        <v>-0.99812160000000005</v>
      </c>
      <c r="Q6110">
        <v>-5.6890040000000003E-2</v>
      </c>
      <c r="R6110">
        <v>-2.2736059999999999E-2</v>
      </c>
      <c r="S6110">
        <v>-2.9932859999999999</v>
      </c>
      <c r="T6110">
        <v>-9.3435879999999999E-2</v>
      </c>
      <c r="U6110">
        <v>-0.30679319999999999</v>
      </c>
      <c r="V6110">
        <v>-1.680941E-2</v>
      </c>
      <c r="W6110">
        <v>-4.3944810000000001E-2</v>
      </c>
      <c r="X6110">
        <v>0.99889249999999996</v>
      </c>
      <c r="Y6110">
        <v>-9.5997410000000005E-2</v>
      </c>
      <c r="Z6110">
        <v>-2.0104989999999998E-3</v>
      </c>
      <c r="AA6110">
        <v>0.99537960000000003</v>
      </c>
      <c r="AB6110">
        <v>29</v>
      </c>
      <c r="AC6110">
        <v>-35.6372</v>
      </c>
      <c r="AD6110">
        <v>-1.121231581675</v>
      </c>
      <c r="AE6110">
        <v>-3.6798000000000002</v>
      </c>
      <c r="AF6110">
        <v>-3.4651323644049201</v>
      </c>
      <c r="AG6110">
        <v>-1.121231581675</v>
      </c>
      <c r="AH6110">
        <v>35.623491942482502</v>
      </c>
      <c r="AI6110">
        <v>91.794297900268305</v>
      </c>
      <c r="AJ6110">
        <v>95.555739101272493</v>
      </c>
      <c r="AK6110">
        <v>35.809181514504097</v>
      </c>
      <c r="AL6110">
        <v>92.518663328995004</v>
      </c>
      <c r="AM6110">
        <v>90.964085076756206</v>
      </c>
      <c r="AN6110">
        <v>0.99999996457336604</v>
      </c>
    </row>
    <row r="6111" spans="1:40" x14ac:dyDescent="0.25">
      <c r="A6111" t="str">
        <f>"20190303153930344"</f>
        <v>20190303153930344</v>
      </c>
      <c r="B6111" t="str">
        <f>"1551598770334240"</f>
        <v>1551598770334240</v>
      </c>
      <c r="C6111" t="s">
        <v>40</v>
      </c>
      <c r="D6111">
        <v>4.0511499999999998</v>
      </c>
      <c r="E6111">
        <v>0.46990280000000001</v>
      </c>
      <c r="F6111" t="s">
        <v>42</v>
      </c>
      <c r="G6111">
        <v>-375.4384</v>
      </c>
      <c r="H6111" s="1">
        <v>-2.2295439999999999E-6</v>
      </c>
      <c r="I6111">
        <v>137.9795</v>
      </c>
      <c r="J6111">
        <v>-341.67649999999998</v>
      </c>
      <c r="K6111">
        <v>1.121238</v>
      </c>
      <c r="L6111">
        <v>141.4812</v>
      </c>
      <c r="M6111">
        <v>-0.99989550000000005</v>
      </c>
      <c r="N6111">
        <v>-1.312076E-2</v>
      </c>
      <c r="O6111">
        <v>-6.0756899999999999E-3</v>
      </c>
      <c r="P6111">
        <v>-0.99807970000000001</v>
      </c>
      <c r="Q6111">
        <v>-5.7576000000000002E-2</v>
      </c>
      <c r="R6111">
        <v>-2.2842749999999998E-2</v>
      </c>
      <c r="S6111">
        <v>-2.993042</v>
      </c>
      <c r="T6111">
        <v>-9.8546030000000007E-2</v>
      </c>
      <c r="U6111">
        <v>-0.30792239999999999</v>
      </c>
      <c r="V6111">
        <v>-1.67671E-2</v>
      </c>
      <c r="W6111">
        <v>-4.4478049999999998E-2</v>
      </c>
      <c r="X6111">
        <v>0.99886969999999997</v>
      </c>
      <c r="Y6111">
        <v>-9.6221860000000006E-2</v>
      </c>
      <c r="Z6111">
        <v>-2.092698E-3</v>
      </c>
      <c r="AA6111">
        <v>0.99535770000000001</v>
      </c>
      <c r="AB6111">
        <v>29</v>
      </c>
      <c r="AC6111">
        <v>-33.761899999999997</v>
      </c>
      <c r="AD6111">
        <v>-1.121240229544</v>
      </c>
      <c r="AE6111">
        <v>-3.5017</v>
      </c>
      <c r="AF6111">
        <v>-3.2928977217381799</v>
      </c>
      <c r="AG6111">
        <v>-1.121240229544</v>
      </c>
      <c r="AH6111">
        <v>33.745731126183998</v>
      </c>
      <c r="AI6111">
        <v>91.894027925612406</v>
      </c>
      <c r="AJ6111">
        <v>95.573259510044096</v>
      </c>
      <c r="AK6111">
        <v>33.924544570249999</v>
      </c>
      <c r="AL6111">
        <v>92.549245404526502</v>
      </c>
      <c r="AM6111">
        <v>90.961680836402607</v>
      </c>
      <c r="AN6111">
        <v>1.0000000550761401</v>
      </c>
    </row>
    <row r="6112" spans="1:40" x14ac:dyDescent="0.25">
      <c r="A6112" t="str">
        <f>"20190303153930367"</f>
        <v>20190303153930367</v>
      </c>
      <c r="B6112" t="str">
        <f>"1551598770354736"</f>
        <v>1551598770354736</v>
      </c>
      <c r="C6112" t="s">
        <v>40</v>
      </c>
      <c r="D6112">
        <v>4.0735279999999996</v>
      </c>
      <c r="E6112">
        <v>0.4697672</v>
      </c>
      <c r="F6112" t="s">
        <v>42</v>
      </c>
      <c r="G6112">
        <v>-373.75</v>
      </c>
      <c r="H6112" s="1">
        <v>-2.9221689999999999E-6</v>
      </c>
      <c r="I6112">
        <v>138.15819999999999</v>
      </c>
      <c r="J6112">
        <v>-341.9545</v>
      </c>
      <c r="K6112">
        <v>1.1212390000000001</v>
      </c>
      <c r="L6112">
        <v>141.47929999999999</v>
      </c>
      <c r="M6112">
        <v>-0.99989289999999997</v>
      </c>
      <c r="N6112">
        <v>-1.3250029999999999E-2</v>
      </c>
      <c r="O6112">
        <v>-6.2194679999999997E-3</v>
      </c>
      <c r="P6112">
        <v>-0.99809740000000002</v>
      </c>
      <c r="Q6112">
        <v>-5.7275590000000001E-2</v>
      </c>
      <c r="R6112">
        <v>-2.282789E-2</v>
      </c>
      <c r="S6112">
        <v>-2.9926149999999998</v>
      </c>
      <c r="T6112">
        <v>-0.1046175</v>
      </c>
      <c r="U6112">
        <v>-0.31004330000000002</v>
      </c>
      <c r="V6112">
        <v>-1.66088E-2</v>
      </c>
      <c r="W6112">
        <v>-4.4048190000000001E-2</v>
      </c>
      <c r="X6112">
        <v>0.99889139999999998</v>
      </c>
      <c r="Y6112">
        <v>-9.6782930000000003E-2</v>
      </c>
      <c r="Z6112">
        <v>-2.195289E-3</v>
      </c>
      <c r="AA6112">
        <v>0.9953031</v>
      </c>
      <c r="AB6112">
        <v>29</v>
      </c>
      <c r="AC6112">
        <v>-31.795500000000001</v>
      </c>
      <c r="AD6112">
        <v>-1.121241922169</v>
      </c>
      <c r="AE6112">
        <v>-3.3210999999999999</v>
      </c>
      <c r="AF6112">
        <v>-3.1194299671505599</v>
      </c>
      <c r="AG6112">
        <v>-1.121241922169</v>
      </c>
      <c r="AH6112">
        <v>31.776452715544501</v>
      </c>
      <c r="AI6112">
        <v>92.011201123581003</v>
      </c>
      <c r="AJ6112">
        <v>95.6066462896774</v>
      </c>
      <c r="AK6112">
        <v>31.948880636905301</v>
      </c>
      <c r="AL6112">
        <v>92.524592061544794</v>
      </c>
      <c r="AM6112">
        <v>90.952582494312196</v>
      </c>
      <c r="AN6112">
        <v>1.0000000621368299</v>
      </c>
    </row>
    <row r="6113" spans="1:40" x14ac:dyDescent="0.25">
      <c r="A6113" t="str">
        <f>"20190303153930389"</f>
        <v>20190303153930389</v>
      </c>
      <c r="B6113" t="str">
        <f>"1551598770384992"</f>
        <v>1551598770384992</v>
      </c>
      <c r="C6113" t="s">
        <v>40</v>
      </c>
      <c r="D6113">
        <v>4.0806769999999997</v>
      </c>
      <c r="E6113">
        <v>0.46939170000000002</v>
      </c>
      <c r="F6113" t="s">
        <v>42</v>
      </c>
      <c r="G6113">
        <v>-373.67099999999999</v>
      </c>
      <c r="H6113" s="1">
        <v>-2.9517110000000001E-6</v>
      </c>
      <c r="I6113">
        <v>138.18270000000001</v>
      </c>
      <c r="J6113">
        <v>-342.24560000000002</v>
      </c>
      <c r="K6113">
        <v>1.121245</v>
      </c>
      <c r="L6113">
        <v>141.47739999999999</v>
      </c>
      <c r="M6113">
        <v>-0.99989030000000001</v>
      </c>
      <c r="N6113">
        <v>-1.3369809999999999E-2</v>
      </c>
      <c r="O6113">
        <v>-6.3702250000000002E-3</v>
      </c>
      <c r="P6113">
        <v>-0.99809709999999996</v>
      </c>
      <c r="Q6113">
        <v>-5.7109809999999997E-2</v>
      </c>
      <c r="R6113">
        <v>-2.3255319999999999E-2</v>
      </c>
      <c r="S6113">
        <v>-2.9924930000000001</v>
      </c>
      <c r="T6113">
        <v>-0.1057907</v>
      </c>
      <c r="U6113">
        <v>-0.31103520000000001</v>
      </c>
      <c r="V6113">
        <v>-1.6885750000000001E-2</v>
      </c>
      <c r="W6113">
        <v>-4.3762759999999998E-2</v>
      </c>
      <c r="X6113">
        <v>0.99889919999999999</v>
      </c>
      <c r="Y6113">
        <v>-9.6961510000000001E-2</v>
      </c>
      <c r="Z6113">
        <v>-2.2194139999999998E-3</v>
      </c>
      <c r="AA6113">
        <v>0.99528559999999999</v>
      </c>
      <c r="AB6113">
        <v>29</v>
      </c>
      <c r="AC6113">
        <v>-31.4253999999999</v>
      </c>
      <c r="AD6113">
        <v>-1.1212479517109999</v>
      </c>
      <c r="AE6113">
        <v>-3.29469999999997</v>
      </c>
      <c r="AF6113">
        <v>-3.0905367717069998</v>
      </c>
      <c r="AG6113">
        <v>-1.1212479517109999</v>
      </c>
      <c r="AH6113">
        <v>31.4062054854334</v>
      </c>
      <c r="AI6113">
        <v>92.034855286567193</v>
      </c>
      <c r="AJ6113">
        <v>95.620113452792694</v>
      </c>
      <c r="AK6113">
        <v>31.5778143242967</v>
      </c>
      <c r="AL6113">
        <v>92.508222599674397</v>
      </c>
      <c r="AM6113">
        <v>90.968456146191599</v>
      </c>
      <c r="AN6113">
        <v>0.99999995973825895</v>
      </c>
    </row>
    <row r="6114" spans="1:40" x14ac:dyDescent="0.25">
      <c r="A6114" t="str">
        <f>"20190303153930419"</f>
        <v>20190303153930419</v>
      </c>
      <c r="B6114" t="str">
        <f>"1551598770414273"</f>
        <v>1551598770414273</v>
      </c>
      <c r="C6114" t="s">
        <v>40</v>
      </c>
      <c r="D6114">
        <v>4.1100830000000004</v>
      </c>
      <c r="E6114">
        <v>0.46909250000000002</v>
      </c>
      <c r="F6114" t="s">
        <v>42</v>
      </c>
      <c r="G6114">
        <v>-372.9298</v>
      </c>
      <c r="H6114" s="1">
        <v>-3.2586640000000001E-6</v>
      </c>
      <c r="I6114">
        <v>138.2449</v>
      </c>
      <c r="J6114">
        <v>-342.53019999999998</v>
      </c>
      <c r="K6114">
        <v>1.121246</v>
      </c>
      <c r="L6114">
        <v>141.47540000000001</v>
      </c>
      <c r="M6114">
        <v>-0.99988809999999995</v>
      </c>
      <c r="N6114">
        <v>-1.3470879999999999E-2</v>
      </c>
      <c r="O6114">
        <v>-6.5178839999999998E-3</v>
      </c>
      <c r="P6114">
        <v>-0.99808629999999998</v>
      </c>
      <c r="Q6114">
        <v>-5.7061000000000001E-2</v>
      </c>
      <c r="R6114">
        <v>-2.382803E-2</v>
      </c>
      <c r="S6114">
        <v>-2.9920960000000001</v>
      </c>
      <c r="T6114">
        <v>-0.10933610000000001</v>
      </c>
      <c r="U6114">
        <v>-0.3152008</v>
      </c>
      <c r="V6114">
        <v>-1.731121E-2</v>
      </c>
      <c r="W6114">
        <v>-4.361313E-2</v>
      </c>
      <c r="X6114">
        <v>0.99889850000000002</v>
      </c>
      <c r="Y6114">
        <v>-9.8192710000000002E-2</v>
      </c>
      <c r="Z6114">
        <v>-2.3021819999999998E-3</v>
      </c>
      <c r="AA6114">
        <v>0.99516479999999996</v>
      </c>
      <c r="AB6114">
        <v>29</v>
      </c>
      <c r="AC6114">
        <v>-30.3996</v>
      </c>
      <c r="AD6114">
        <v>-1.1212492586639999</v>
      </c>
      <c r="AE6114">
        <v>-3.2305000000000001</v>
      </c>
      <c r="AF6114">
        <v>-3.02819875761671</v>
      </c>
      <c r="AG6114">
        <v>-1.1212492586639999</v>
      </c>
      <c r="AH6114">
        <v>30.379145600583001</v>
      </c>
      <c r="AI6114">
        <v>92.103328659439995</v>
      </c>
      <c r="AJ6114">
        <v>95.692449760853506</v>
      </c>
      <c r="AK6114">
        <v>30.5502810958771</v>
      </c>
      <c r="AL6114">
        <v>92.499641142366499</v>
      </c>
      <c r="AM6114">
        <v>90.992853619318296</v>
      </c>
      <c r="AN6114">
        <v>0.99999999820115504</v>
      </c>
    </row>
    <row r="6115" spans="1:40" x14ac:dyDescent="0.25">
      <c r="A6115" t="str">
        <f>"20190303153930433"</f>
        <v>20190303153930433</v>
      </c>
      <c r="B6115" t="str">
        <f>"1551598770425008"</f>
        <v>1551598770425008</v>
      </c>
      <c r="C6115" t="s">
        <v>40</v>
      </c>
      <c r="D6115">
        <v>4.0968580000000001</v>
      </c>
      <c r="E6115">
        <v>0.46898919999999999</v>
      </c>
      <c r="F6115" t="s">
        <v>42</v>
      </c>
      <c r="G6115">
        <v>-372.19880000000001</v>
      </c>
      <c r="H6115" s="1">
        <v>-3.560744E-6</v>
      </c>
      <c r="I6115">
        <v>138.3098</v>
      </c>
      <c r="J6115">
        <v>-342.81659999999999</v>
      </c>
      <c r="K6115">
        <v>1.121243</v>
      </c>
      <c r="L6115">
        <v>141.4734</v>
      </c>
      <c r="M6115">
        <v>-0.99988600000000005</v>
      </c>
      <c r="N6115">
        <v>-1.3559669999999999E-2</v>
      </c>
      <c r="O6115">
        <v>-6.6653509999999999E-3</v>
      </c>
      <c r="P6115">
        <v>-0.99806280000000003</v>
      </c>
      <c r="Q6115">
        <v>-5.7483060000000002E-2</v>
      </c>
      <c r="R6115">
        <v>-2.3804599999999999E-2</v>
      </c>
      <c r="S6115">
        <v>-2.991638</v>
      </c>
      <c r="T6115">
        <v>-0.1130617</v>
      </c>
      <c r="U6115">
        <v>-0.3191986</v>
      </c>
      <c r="V6115">
        <v>-1.714044E-2</v>
      </c>
      <c r="W6115">
        <v>-4.3946699999999998E-2</v>
      </c>
      <c r="X6115">
        <v>0.99888679999999996</v>
      </c>
      <c r="Y6115">
        <v>-9.9370410000000006E-2</v>
      </c>
      <c r="Z6115">
        <v>-2.3867720000000001E-3</v>
      </c>
      <c r="AA6115">
        <v>0.99504760000000003</v>
      </c>
      <c r="AB6115">
        <v>29</v>
      </c>
      <c r="AC6115">
        <v>-29.382200000000001</v>
      </c>
      <c r="AD6115">
        <v>-1.1212465607439901</v>
      </c>
      <c r="AE6115">
        <v>-3.1636000000000002</v>
      </c>
      <c r="AF6115">
        <v>-2.96340308132203</v>
      </c>
      <c r="AG6115">
        <v>-1.1212465607439901</v>
      </c>
      <c r="AH6115">
        <v>29.360369808106899</v>
      </c>
      <c r="AI6115">
        <v>92.175967576042595</v>
      </c>
      <c r="AJ6115">
        <v>95.763463520284802</v>
      </c>
      <c r="AK6115">
        <v>29.530835865941199</v>
      </c>
      <c r="AL6115">
        <v>92.5187717010743</v>
      </c>
      <c r="AM6115">
        <v>90.983072854114297</v>
      </c>
      <c r="AN6115">
        <v>0.99999997316926104</v>
      </c>
    </row>
    <row r="6116" spans="1:40" x14ac:dyDescent="0.25">
      <c r="A6116" t="str">
        <f>"20190303153930456"</f>
        <v>20190303153930456</v>
      </c>
      <c r="B6116" t="str">
        <f>"1551598770444528"</f>
        <v>1551598770444528</v>
      </c>
      <c r="C6116" t="s">
        <v>40</v>
      </c>
      <c r="D6116">
        <v>4.1141290000000001</v>
      </c>
      <c r="E6116">
        <v>0.46887640000000003</v>
      </c>
      <c r="F6116" t="s">
        <v>42</v>
      </c>
      <c r="G6116">
        <v>-371.90910000000002</v>
      </c>
      <c r="H6116" s="1">
        <v>-3.6756559999999999E-6</v>
      </c>
      <c r="I6116">
        <v>138.36259999999999</v>
      </c>
      <c r="J6116">
        <v>-343.09460000000001</v>
      </c>
      <c r="K6116">
        <v>1.1212409999999999</v>
      </c>
      <c r="L6116">
        <v>141.47130000000001</v>
      </c>
      <c r="M6116">
        <v>-0.99988390000000005</v>
      </c>
      <c r="N6116">
        <v>-1.363458E-2</v>
      </c>
      <c r="O6116">
        <v>-6.8081929999999997E-3</v>
      </c>
      <c r="P6116">
        <v>-0.99802159999999995</v>
      </c>
      <c r="Q6116">
        <v>-5.8175020000000001E-2</v>
      </c>
      <c r="R6116">
        <v>-2.3848339999999999E-2</v>
      </c>
      <c r="S6116">
        <v>-2.9915470000000002</v>
      </c>
      <c r="T6116">
        <v>-0.1152967</v>
      </c>
      <c r="U6116">
        <v>-0.31986999999999999</v>
      </c>
      <c r="V6116">
        <v>-1.7041379999999998E-2</v>
      </c>
      <c r="W6116">
        <v>-4.456425E-2</v>
      </c>
      <c r="X6116">
        <v>0.99886109999999995</v>
      </c>
      <c r="Y6116">
        <v>-9.9448900000000007E-2</v>
      </c>
      <c r="Z6116">
        <v>-2.4215690000000002E-3</v>
      </c>
      <c r="AA6116">
        <v>0.99503969999999997</v>
      </c>
      <c r="AB6116">
        <v>29</v>
      </c>
      <c r="AC6116">
        <v>-28.814499999999999</v>
      </c>
      <c r="AD6116">
        <v>-1.1212446756559999</v>
      </c>
      <c r="AE6116">
        <v>-3.1087000000000198</v>
      </c>
      <c r="AF6116">
        <v>-2.9080823236953899</v>
      </c>
      <c r="AG6116">
        <v>-1.1212446756559999</v>
      </c>
      <c r="AH6116">
        <v>28.791904032041</v>
      </c>
      <c r="AI6116">
        <v>92.218867687900399</v>
      </c>
      <c r="AJ6116">
        <v>95.767513019887105</v>
      </c>
      <c r="AK6116">
        <v>28.9601082562606</v>
      </c>
      <c r="AL6116">
        <v>92.554189499056505</v>
      </c>
      <c r="AM6116">
        <v>90.977417614631705</v>
      </c>
      <c r="AN6116">
        <v>0.99999993905178597</v>
      </c>
    </row>
    <row r="6117" spans="1:40" x14ac:dyDescent="0.25">
      <c r="A6117" t="str">
        <f>"20190303153930478"</f>
        <v>20190303153930478</v>
      </c>
      <c r="B6117" t="str">
        <f>"1551598770474784"</f>
        <v>1551598770474784</v>
      </c>
      <c r="C6117" t="s">
        <v>40</v>
      </c>
      <c r="D6117">
        <v>4.083456</v>
      </c>
      <c r="E6117">
        <v>0.46870590000000001</v>
      </c>
      <c r="F6117" t="s">
        <v>42</v>
      </c>
      <c r="G6117">
        <v>-371.29149999999998</v>
      </c>
      <c r="H6117" s="1">
        <v>-3.9255659999999996E-6</v>
      </c>
      <c r="I6117">
        <v>138.44730000000001</v>
      </c>
      <c r="J6117">
        <v>-343.3793</v>
      </c>
      <c r="K6117">
        <v>1.1212409999999999</v>
      </c>
      <c r="L6117">
        <v>141.4692</v>
      </c>
      <c r="M6117">
        <v>-0.99988200000000005</v>
      </c>
      <c r="N6117">
        <v>-1.370123E-2</v>
      </c>
      <c r="O6117">
        <v>-6.9546759999999999E-3</v>
      </c>
      <c r="P6117">
        <v>-0.9980175</v>
      </c>
      <c r="Q6117">
        <v>-5.8469640000000003E-2</v>
      </c>
      <c r="R6117">
        <v>-2.329357E-2</v>
      </c>
      <c r="S6117">
        <v>-2.9913020000000001</v>
      </c>
      <c r="T6117">
        <v>-0.1189487</v>
      </c>
      <c r="U6117">
        <v>-0.3208008</v>
      </c>
      <c r="V6117">
        <v>-1.634058E-2</v>
      </c>
      <c r="W6117">
        <v>-4.4792169999999999E-2</v>
      </c>
      <c r="X6117">
        <v>0.99886269999999999</v>
      </c>
      <c r="Y6117">
        <v>-9.9612229999999996E-2</v>
      </c>
      <c r="Z6117">
        <v>-2.4782239999999998E-3</v>
      </c>
      <c r="AA6117">
        <v>0.99502330000000005</v>
      </c>
      <c r="AB6117">
        <v>29</v>
      </c>
      <c r="AC6117">
        <v>-27.912199999999899</v>
      </c>
      <c r="AD6117">
        <v>-1.121244925566</v>
      </c>
      <c r="AE6117">
        <v>-3.02189999999998</v>
      </c>
      <c r="AF6117">
        <v>-2.8231854934739702</v>
      </c>
      <c r="AG6117">
        <v>-1.121244925566</v>
      </c>
      <c r="AH6117">
        <v>27.888062580977401</v>
      </c>
      <c r="AI6117">
        <v>92.290652929845507</v>
      </c>
      <c r="AJ6117">
        <v>95.780517080058601</v>
      </c>
      <c r="AK6117">
        <v>28.053014116743</v>
      </c>
      <c r="AL6117">
        <v>92.567261190859</v>
      </c>
      <c r="AM6117">
        <v>90.937228672045705</v>
      </c>
      <c r="AN6117">
        <v>1.00000002324966</v>
      </c>
    </row>
    <row r="6118" spans="1:40" x14ac:dyDescent="0.25">
      <c r="A6118" t="str">
        <f>"20190303153930501"</f>
        <v>20190303153930501</v>
      </c>
      <c r="B6118" t="str">
        <f>"1551598770494304"</f>
        <v>1551598770494304</v>
      </c>
      <c r="C6118" t="s">
        <v>40</v>
      </c>
      <c r="D6118">
        <v>4.1023339999999999</v>
      </c>
      <c r="E6118">
        <v>0.46858359999999899</v>
      </c>
      <c r="F6118" t="s">
        <v>42</v>
      </c>
      <c r="G6118">
        <v>-370.83519999999999</v>
      </c>
      <c r="H6118" s="1">
        <v>-4.1071050000000004E-6</v>
      </c>
      <c r="I6118">
        <v>138.5273</v>
      </c>
      <c r="J6118">
        <v>-343.67090000000002</v>
      </c>
      <c r="K6118">
        <v>1.1212439999999999</v>
      </c>
      <c r="L6118">
        <v>141.46709999999999</v>
      </c>
      <c r="M6118">
        <v>-0.9998802</v>
      </c>
      <c r="N6118">
        <v>-1.375992E-2</v>
      </c>
      <c r="O6118">
        <v>-7.104918E-3</v>
      </c>
      <c r="P6118">
        <v>-0.99806700000000004</v>
      </c>
      <c r="Q6118">
        <v>-5.7950040000000001E-2</v>
      </c>
      <c r="R6118">
        <v>-2.2458189999999999E-2</v>
      </c>
      <c r="S6118">
        <v>-2.991333</v>
      </c>
      <c r="T6118">
        <v>-0.12216</v>
      </c>
      <c r="U6118">
        <v>-0.32051089999999999</v>
      </c>
      <c r="V6118">
        <v>-1.535504E-2</v>
      </c>
      <c r="W6118">
        <v>-4.421311E-2</v>
      </c>
      <c r="X6118">
        <v>0.99890409999999996</v>
      </c>
      <c r="Y6118">
        <v>-9.9361690000000003E-2</v>
      </c>
      <c r="Z6118">
        <v>-2.5165029999999998E-3</v>
      </c>
      <c r="AA6118">
        <v>0.99504820000000005</v>
      </c>
      <c r="AB6118">
        <v>29</v>
      </c>
      <c r="AC6118">
        <v>-27.164299999999901</v>
      </c>
      <c r="AD6118">
        <v>-1.121248107105</v>
      </c>
      <c r="AE6118">
        <v>-2.9397999999999902</v>
      </c>
      <c r="AF6118">
        <v>-2.7420896523853799</v>
      </c>
      <c r="AG6118">
        <v>-1.121248107105</v>
      </c>
      <c r="AH6118">
        <v>27.1388007374971</v>
      </c>
      <c r="AI6118">
        <v>92.353876436832905</v>
      </c>
      <c r="AJ6118">
        <v>95.769553800508305</v>
      </c>
      <c r="AK6118">
        <v>27.300013891003399</v>
      </c>
      <c r="AL6118">
        <v>92.5340506819133</v>
      </c>
      <c r="AM6118">
        <v>90.880674831868802</v>
      </c>
      <c r="AN6118">
        <v>0.99999998867304096</v>
      </c>
    </row>
    <row r="6119" spans="1:40" x14ac:dyDescent="0.25">
      <c r="A6119" t="str">
        <f>"20190303153930523"</f>
        <v>20190303153930523</v>
      </c>
      <c r="B6119" t="str">
        <f>"1551598770514800"</f>
        <v>1551598770514800</v>
      </c>
      <c r="C6119" t="s">
        <v>40</v>
      </c>
      <c r="D6119">
        <v>4.1053930000000003</v>
      </c>
      <c r="E6119">
        <v>0.46859479999999998</v>
      </c>
      <c r="F6119" t="s">
        <v>42</v>
      </c>
      <c r="G6119">
        <v>-371.2525</v>
      </c>
      <c r="H6119" s="1">
        <v>-3.9281840000000003E-6</v>
      </c>
      <c r="I6119">
        <v>138.52699999999999</v>
      </c>
      <c r="J6119">
        <v>-343.95769999999999</v>
      </c>
      <c r="K6119">
        <v>1.121251</v>
      </c>
      <c r="L6119">
        <v>141.4649</v>
      </c>
      <c r="M6119">
        <v>-0.9998785</v>
      </c>
      <c r="N6119">
        <v>-1.380954E-2</v>
      </c>
      <c r="O6119">
        <v>-7.2529500000000002E-3</v>
      </c>
      <c r="P6119">
        <v>-0.99808719999999995</v>
      </c>
      <c r="Q6119">
        <v>-5.7711869999999998E-2</v>
      </c>
      <c r="R6119">
        <v>-2.2162890000000001E-2</v>
      </c>
      <c r="S6119">
        <v>-2.9915769999999999</v>
      </c>
      <c r="T6119">
        <v>-0.121613899999999</v>
      </c>
      <c r="U6119">
        <v>-0.3188782</v>
      </c>
      <c r="V6119">
        <v>-1.491225E-2</v>
      </c>
      <c r="W6119">
        <v>-4.3924980000000002E-2</v>
      </c>
      <c r="X6119">
        <v>0.99892349999999996</v>
      </c>
      <c r="Y6119">
        <v>-9.8670339999999995E-2</v>
      </c>
      <c r="Z6119">
        <v>-2.4887220000000001E-3</v>
      </c>
      <c r="AA6119">
        <v>0.99511709999999998</v>
      </c>
      <c r="AB6119">
        <v>28</v>
      </c>
      <c r="AC6119">
        <v>-27.294799999999999</v>
      </c>
      <c r="AD6119">
        <v>-1.1212549281839901</v>
      </c>
      <c r="AE6119">
        <v>-2.93789999999998</v>
      </c>
      <c r="AF6119">
        <v>-2.7352730792859798</v>
      </c>
      <c r="AG6119">
        <v>-1.1212549281839901</v>
      </c>
      <c r="AH6119">
        <v>27.269900939649901</v>
      </c>
      <c r="AI6119">
        <v>92.342758614149105</v>
      </c>
      <c r="AJ6119">
        <v>95.7278233850232</v>
      </c>
      <c r="AK6119">
        <v>27.429663298891601</v>
      </c>
      <c r="AL6119">
        <v>92.517526044440501</v>
      </c>
      <c r="AM6119">
        <v>90.855266220916207</v>
      </c>
      <c r="AN6119">
        <v>0.99999996896015597</v>
      </c>
    </row>
    <row r="6120" spans="1:40" x14ac:dyDescent="0.25">
      <c r="A6120" t="str">
        <f>"20190303153930546"</f>
        <v>20190303153930546</v>
      </c>
      <c r="B6120" t="str">
        <f>"1551598770534320"</f>
        <v>1551598770534320</v>
      </c>
      <c r="C6120" t="s">
        <v>40</v>
      </c>
      <c r="D6120">
        <v>4.05687</v>
      </c>
      <c r="E6120">
        <v>0.44763249999999999</v>
      </c>
      <c r="F6120" t="s">
        <v>42</v>
      </c>
      <c r="G6120">
        <v>-371.65469999999999</v>
      </c>
      <c r="H6120" s="1">
        <v>-3.756847E-6</v>
      </c>
      <c r="I6120">
        <v>138.52010000000001</v>
      </c>
      <c r="J6120">
        <v>-344.24549999999999</v>
      </c>
      <c r="K6120">
        <v>1.1212470000000001</v>
      </c>
      <c r="L6120">
        <v>141.46260000000001</v>
      </c>
      <c r="M6120">
        <v>-0.99987669999999995</v>
      </c>
      <c r="N6120">
        <v>-1.385231E-2</v>
      </c>
      <c r="O6120">
        <v>-7.4012959999999999E-3</v>
      </c>
      <c r="P6120">
        <v>-0.99807639999999997</v>
      </c>
      <c r="Q6120">
        <v>-5.7838689999999998E-2</v>
      </c>
      <c r="R6120">
        <v>-2.2328540000000001E-2</v>
      </c>
      <c r="S6120">
        <v>-2.9916689999999999</v>
      </c>
      <c r="T6120">
        <v>-0.1211115</v>
      </c>
      <c r="U6120">
        <v>-0.31806950000000001</v>
      </c>
      <c r="V6120">
        <v>-1.492982E-2</v>
      </c>
      <c r="W6120">
        <v>-4.4009140000000002E-2</v>
      </c>
      <c r="X6120">
        <v>0.99891949999999996</v>
      </c>
      <c r="Y6120">
        <v>-9.8254670000000002E-2</v>
      </c>
      <c r="Z6120">
        <v>-2.4688620000000001E-3</v>
      </c>
      <c r="AA6120">
        <v>0.99515830000000005</v>
      </c>
      <c r="AB6120">
        <v>28</v>
      </c>
      <c r="AC6120">
        <v>-27.409199999999998</v>
      </c>
      <c r="AD6120">
        <v>-1.12125075684699</v>
      </c>
      <c r="AE6120">
        <v>-2.9424999999999901</v>
      </c>
      <c r="AF6120">
        <v>-2.7350115714857801</v>
      </c>
      <c r="AG6120">
        <v>-1.12125075684699</v>
      </c>
      <c r="AH6120">
        <v>27.384924356799701</v>
      </c>
      <c r="AI6120">
        <v>92.3330201744606</v>
      </c>
      <c r="AJ6120">
        <v>95.703382357325907</v>
      </c>
      <c r="AK6120">
        <v>27.543993421135099</v>
      </c>
      <c r="AL6120">
        <v>92.522352808822902</v>
      </c>
      <c r="AM6120">
        <v>90.856277196116594</v>
      </c>
      <c r="AN6120">
        <v>0.99999993570450796</v>
      </c>
    </row>
    <row r="6121" spans="1:40" x14ac:dyDescent="0.25">
      <c r="A6121" t="str">
        <f>"20190303153930567"</f>
        <v>20190303153930567</v>
      </c>
      <c r="B6121" t="str">
        <f>"1551598770564577"</f>
        <v>1551598770564577</v>
      </c>
      <c r="C6121" t="s">
        <v>40</v>
      </c>
      <c r="D6121">
        <v>3.8561589999999999</v>
      </c>
      <c r="E6121">
        <v>0.38078119999999999</v>
      </c>
      <c r="F6121" t="s">
        <v>42</v>
      </c>
      <c r="G6121">
        <v>-385.2645</v>
      </c>
      <c r="H6121" s="1">
        <v>-2.882288E-6</v>
      </c>
      <c r="I6121">
        <v>134.7878</v>
      </c>
      <c r="J6121">
        <v>-344.5154</v>
      </c>
      <c r="K6121">
        <v>1.121245</v>
      </c>
      <c r="L6121">
        <v>141.4605</v>
      </c>
      <c r="M6121">
        <v>-0.99987519999999996</v>
      </c>
      <c r="N6121">
        <v>-1.388668E-2</v>
      </c>
      <c r="O6121">
        <v>-7.5405230000000004E-3</v>
      </c>
      <c r="P6121">
        <v>-0.99807129999999999</v>
      </c>
      <c r="Q6121">
        <v>-5.7801669999999999E-2</v>
      </c>
      <c r="R6121">
        <v>-2.265002E-2</v>
      </c>
      <c r="S6121">
        <v>-2.990173</v>
      </c>
      <c r="T6121">
        <v>-8.1736210000000004E-2</v>
      </c>
      <c r="U6121">
        <v>-0.48657230000000001</v>
      </c>
      <c r="V6121">
        <v>-1.51123E-2</v>
      </c>
      <c r="W6121">
        <v>-4.3937860000000002E-2</v>
      </c>
      <c r="X6121">
        <v>0.99892000000000003</v>
      </c>
      <c r="Y6121">
        <v>-0.1530793</v>
      </c>
      <c r="Z6121">
        <v>-3.047667E-3</v>
      </c>
      <c r="AA6121">
        <v>0.98820920000000001</v>
      </c>
      <c r="AB6121">
        <v>28</v>
      </c>
      <c r="AC6121">
        <v>-40.749099999999999</v>
      </c>
      <c r="AD6121">
        <v>-1.1212478822880001</v>
      </c>
      <c r="AE6121">
        <v>-6.6726999999999901</v>
      </c>
      <c r="AF6121">
        <v>-6.3605211705143097</v>
      </c>
      <c r="AG6121">
        <v>-1.1212478822880001</v>
      </c>
      <c r="AH6121">
        <v>40.7682012256288</v>
      </c>
      <c r="AI6121">
        <v>91.5565874622189</v>
      </c>
      <c r="AJ6121">
        <v>98.867611452751305</v>
      </c>
      <c r="AK6121">
        <v>41.276623620972899</v>
      </c>
      <c r="AL6121">
        <v>92.518264543776993</v>
      </c>
      <c r="AM6121">
        <v>90.866741039178905</v>
      </c>
      <c r="AN6121">
        <v>1.00000004177633</v>
      </c>
    </row>
    <row r="6122" spans="1:40" x14ac:dyDescent="0.25">
      <c r="A6122" t="str">
        <f>"20190303153930590"</f>
        <v>20190303153930590</v>
      </c>
      <c r="B6122" t="str">
        <f>"1551598770585072"</f>
        <v>1551598770585072</v>
      </c>
      <c r="C6122" t="s">
        <v>40</v>
      </c>
      <c r="D6122">
        <v>3.9107120000000002</v>
      </c>
      <c r="E6122">
        <v>0.31861139999999999</v>
      </c>
      <c r="F6122" t="s">
        <v>42</v>
      </c>
      <c r="G6122">
        <v>-360.84780000000001</v>
      </c>
      <c r="H6122" s="1">
        <v>-4.5741190000000003E-6</v>
      </c>
      <c r="I6122">
        <v>135.86410000000001</v>
      </c>
      <c r="J6122">
        <v>-344.80329999999998</v>
      </c>
      <c r="K6122">
        <v>1.121246</v>
      </c>
      <c r="L6122">
        <v>141.4581</v>
      </c>
      <c r="M6122">
        <v>-0.99987360000000003</v>
      </c>
      <c r="N6122">
        <v>-1.391793E-2</v>
      </c>
      <c r="O6122">
        <v>-7.6889069999999896E-3</v>
      </c>
      <c r="P6122">
        <v>-0.99803390000000003</v>
      </c>
      <c r="Q6122">
        <v>-5.811819E-2</v>
      </c>
      <c r="R6122">
        <v>-2.3463919999999999E-2</v>
      </c>
      <c r="S6122">
        <v>-2.9708860000000001</v>
      </c>
      <c r="T6122">
        <v>-0.2039571</v>
      </c>
      <c r="U6122">
        <v>-1.0179750000000001</v>
      </c>
      <c r="V6122">
        <v>-1.5778E-2</v>
      </c>
      <c r="W6122">
        <v>-4.4223680000000001E-2</v>
      </c>
      <c r="X6122">
        <v>0.99889709999999998</v>
      </c>
      <c r="Y6122">
        <v>-0.31606210000000001</v>
      </c>
      <c r="Z6122">
        <v>-1.2391660000000001E-2</v>
      </c>
      <c r="AA6122">
        <v>0.94865759999999999</v>
      </c>
      <c r="AB6122">
        <v>28</v>
      </c>
      <c r="AC6122">
        <v>-16.044499999999999</v>
      </c>
      <c r="AD6122">
        <v>-1.121250574119</v>
      </c>
      <c r="AE6122">
        <v>-5.5939999999999896</v>
      </c>
      <c r="AF6122">
        <v>-5.44674059947915</v>
      </c>
      <c r="AG6122">
        <v>-1.121250574119</v>
      </c>
      <c r="AH6122">
        <v>16.017295518380202</v>
      </c>
      <c r="AI6122">
        <v>93.791753533234896</v>
      </c>
      <c r="AJ6122">
        <v>108.78079112239899</v>
      </c>
      <c r="AK6122">
        <v>16.955174482472898</v>
      </c>
      <c r="AL6122">
        <v>92.534656741355207</v>
      </c>
      <c r="AM6122">
        <v>90.904935691663397</v>
      </c>
      <c r="AN6122">
        <v>1.0000000477725699</v>
      </c>
    </row>
    <row r="6123" spans="1:40" x14ac:dyDescent="0.25">
      <c r="A6123" t="str">
        <f>"20190303153930613"</f>
        <v>20190303153930613</v>
      </c>
      <c r="B6123" t="str">
        <f>"1551598770604596"</f>
        <v>1551598770604596</v>
      </c>
      <c r="C6123" t="s">
        <v>40</v>
      </c>
      <c r="D6123">
        <v>3.9240870000000001</v>
      </c>
      <c r="E6123">
        <v>0.31271529999999997</v>
      </c>
      <c r="F6123" t="s">
        <v>44</v>
      </c>
      <c r="G6123">
        <v>-345.75699999999898</v>
      </c>
      <c r="H6123">
        <v>0.99950709999999998</v>
      </c>
      <c r="I6123">
        <v>140.96899999999999</v>
      </c>
      <c r="J6123">
        <v>-345.08819999999997</v>
      </c>
      <c r="K6123">
        <v>1.1212470000000001</v>
      </c>
      <c r="L6123">
        <v>141.45580000000001</v>
      </c>
      <c r="M6123">
        <v>-0.99987210000000004</v>
      </c>
      <c r="N6123">
        <v>-1.394393E-2</v>
      </c>
      <c r="O6123">
        <v>-7.8360619999999995E-3</v>
      </c>
      <c r="P6123">
        <v>-0.99803790000000003</v>
      </c>
      <c r="Q6123">
        <v>-5.781244E-2</v>
      </c>
      <c r="R6123">
        <v>-2.4046629999999999E-2</v>
      </c>
      <c r="S6123">
        <v>-2.9484249999999999</v>
      </c>
      <c r="T6123">
        <v>-0.37630449999999999</v>
      </c>
      <c r="U6123">
        <v>-1.51268</v>
      </c>
      <c r="V6123">
        <v>-1.6214059999999999E-2</v>
      </c>
      <c r="W6123">
        <v>-4.3891930000000003E-2</v>
      </c>
      <c r="X6123">
        <v>0.99890469999999998</v>
      </c>
      <c r="Y6123">
        <v>-0.44628620000000002</v>
      </c>
      <c r="Z6123">
        <v>-2.9195929999999998E-2</v>
      </c>
      <c r="AA6123">
        <v>0.89441389999999998</v>
      </c>
      <c r="AB6123">
        <v>28</v>
      </c>
      <c r="AC6123">
        <v>-0.66879999999997597</v>
      </c>
      <c r="AD6123">
        <v>-0.121739899999999</v>
      </c>
      <c r="AE6123">
        <v>-0.486800000000016</v>
      </c>
      <c r="AF6123">
        <v>-0.47133510234780601</v>
      </c>
      <c r="AG6123">
        <v>-0.121739899999999</v>
      </c>
      <c r="AH6123">
        <v>0.65833549190353002</v>
      </c>
      <c r="AI6123">
        <v>98.550813106770804</v>
      </c>
      <c r="AJ6123">
        <v>125.60075849103301</v>
      </c>
      <c r="AK6123">
        <v>0.81876919938227399</v>
      </c>
      <c r="AL6123">
        <v>92.515630516527594</v>
      </c>
      <c r="AM6123">
        <v>90.929934188150497</v>
      </c>
      <c r="AN6123">
        <v>0.99999999847144905</v>
      </c>
    </row>
    <row r="6124" spans="1:40" x14ac:dyDescent="0.25">
      <c r="A6124" t="str">
        <f>"20190303153930634"</f>
        <v>20190303153930634</v>
      </c>
      <c r="B6124" t="str">
        <f>"1551598770624112"</f>
        <v>1551598770624112</v>
      </c>
      <c r="C6124" t="s">
        <v>40</v>
      </c>
      <c r="D6124">
        <v>3.925586</v>
      </c>
      <c r="E6124">
        <v>0.31066749999999999</v>
      </c>
      <c r="F6124" t="s">
        <v>44</v>
      </c>
      <c r="G6124">
        <v>-346.00970000000001</v>
      </c>
      <c r="H6124">
        <v>1.001522</v>
      </c>
      <c r="I6124">
        <v>140.9674</v>
      </c>
      <c r="J6124">
        <v>-345.36430000000001</v>
      </c>
      <c r="K6124">
        <v>1.1212470000000001</v>
      </c>
      <c r="L6124">
        <v>141.45339999999999</v>
      </c>
      <c r="M6124">
        <v>-0.99987079999999995</v>
      </c>
      <c r="N6124">
        <v>-1.39653E-2</v>
      </c>
      <c r="O6124">
        <v>-7.9783010000000001E-3</v>
      </c>
      <c r="P6124">
        <v>-0.99805089999999996</v>
      </c>
      <c r="Q6124">
        <v>-5.7316060000000002E-2</v>
      </c>
      <c r="R6124">
        <v>-2.4688709999999999E-2</v>
      </c>
      <c r="S6124">
        <v>-2.9461360000000001</v>
      </c>
      <c r="T6124">
        <v>-0.38275409999999999</v>
      </c>
      <c r="U6124">
        <v>-1.561447</v>
      </c>
      <c r="V6124">
        <v>-1.6714079999999999E-2</v>
      </c>
      <c r="W6124">
        <v>-4.3374070000000001E-2</v>
      </c>
      <c r="X6124">
        <v>0.99891909999999895</v>
      </c>
      <c r="Y6124">
        <v>-0.45787159999999899</v>
      </c>
      <c r="Z6124">
        <v>-3.0349850000000001E-2</v>
      </c>
      <c r="AA6124">
        <v>0.88850010000000001</v>
      </c>
      <c r="AB6124">
        <v>28</v>
      </c>
      <c r="AC6124">
        <v>-0.64539999999999498</v>
      </c>
      <c r="AD6124">
        <v>-0.119724999999999</v>
      </c>
      <c r="AE6124">
        <v>-0.48599999999999</v>
      </c>
      <c r="AF6124">
        <v>-0.47050261797224302</v>
      </c>
      <c r="AG6124">
        <v>-0.119724999999999</v>
      </c>
      <c r="AH6124">
        <v>0.63530599844344604</v>
      </c>
      <c r="AI6124">
        <v>98.611613759412407</v>
      </c>
      <c r="AJ6124">
        <v>126.523356685987</v>
      </c>
      <c r="AK6124">
        <v>0.79957520021693995</v>
      </c>
      <c r="AL6124">
        <v>92.485930986778996</v>
      </c>
      <c r="AM6124">
        <v>90.958593031398493</v>
      </c>
      <c r="AN6124">
        <v>1.00000001938171</v>
      </c>
    </row>
    <row r="6125" spans="1:40" x14ac:dyDescent="0.25">
      <c r="A6125" t="str">
        <f>"20190303153930657"</f>
        <v>20190303153930657</v>
      </c>
      <c r="B6125" t="str">
        <f>"1551598770654369"</f>
        <v>1551598770654369</v>
      </c>
      <c r="C6125" t="s">
        <v>40</v>
      </c>
      <c r="D6125">
        <v>3.8996650000000002</v>
      </c>
      <c r="E6125">
        <v>0.30873050000000002</v>
      </c>
      <c r="F6125" t="s">
        <v>44</v>
      </c>
      <c r="G6125">
        <v>-346.26330000000002</v>
      </c>
      <c r="H6125">
        <v>1.0040290000000001</v>
      </c>
      <c r="I6125">
        <v>140.97130000000001</v>
      </c>
      <c r="J6125">
        <v>-345.64460000000003</v>
      </c>
      <c r="K6125">
        <v>1.121259</v>
      </c>
      <c r="L6125">
        <v>141.45099999999999</v>
      </c>
      <c r="M6125">
        <v>-0.99986929999999996</v>
      </c>
      <c r="N6125">
        <v>-1.3983600000000001E-2</v>
      </c>
      <c r="O6125">
        <v>-8.1231369999999904E-3</v>
      </c>
      <c r="P6125">
        <v>-0.99806110000000003</v>
      </c>
      <c r="Q6125">
        <v>-5.7139370000000002E-2</v>
      </c>
      <c r="R6125">
        <v>-2.4691370000000001E-2</v>
      </c>
      <c r="S6125">
        <v>-2.944763</v>
      </c>
      <c r="T6125">
        <v>-0.38396580000000002</v>
      </c>
      <c r="U6125">
        <v>-1.579315</v>
      </c>
      <c r="V6125">
        <v>-1.6572280000000002E-2</v>
      </c>
      <c r="W6125">
        <v>-4.3178880000000003E-2</v>
      </c>
      <c r="X6125">
        <v>0.99892990000000004</v>
      </c>
      <c r="Y6125">
        <v>-0.46206320000000001</v>
      </c>
      <c r="Z6125">
        <v>-3.0688920000000001E-2</v>
      </c>
      <c r="AA6125">
        <v>0.88631589999999905</v>
      </c>
      <c r="AB6125">
        <v>28</v>
      </c>
      <c r="AC6125">
        <v>-0.61869999999998904</v>
      </c>
      <c r="AD6125">
        <v>-0.117229999999999</v>
      </c>
      <c r="AE6125">
        <v>-0.47969999999997898</v>
      </c>
      <c r="AF6125">
        <v>-0.46424822560224499</v>
      </c>
      <c r="AG6125">
        <v>-0.117229999999999</v>
      </c>
      <c r="AH6125">
        <v>0.60892297506944804</v>
      </c>
      <c r="AI6125">
        <v>98.704366737414801</v>
      </c>
      <c r="AJ6125">
        <v>127.322215537009</v>
      </c>
      <c r="AK6125">
        <v>0.77463312441584997</v>
      </c>
      <c r="AL6125">
        <v>92.474736982894399</v>
      </c>
      <c r="AM6125">
        <v>90.950451681605102</v>
      </c>
      <c r="AN6125">
        <v>1.0000000006282299</v>
      </c>
    </row>
    <row r="6126" spans="1:40" x14ac:dyDescent="0.25">
      <c r="A6126" t="str">
        <f>"20190303153930679"</f>
        <v>20190303153930679</v>
      </c>
      <c r="B6126" t="str">
        <f>"1551598770674864"</f>
        <v>1551598770674864</v>
      </c>
      <c r="C6126" t="s">
        <v>40</v>
      </c>
      <c r="D6126">
        <v>3.8819949999999999</v>
      </c>
      <c r="E6126">
        <v>0.30803960000000002</v>
      </c>
      <c r="F6126" t="s">
        <v>44</v>
      </c>
      <c r="G6126">
        <v>-346.51729999999998</v>
      </c>
      <c r="H6126">
        <v>1.006513</v>
      </c>
      <c r="I6126">
        <v>140.9785</v>
      </c>
      <c r="J6126">
        <v>-345.93299999999999</v>
      </c>
      <c r="K6126">
        <v>1.1212569999999999</v>
      </c>
      <c r="L6126">
        <v>141.4485</v>
      </c>
      <c r="M6126">
        <v>-0.99986819999999998</v>
      </c>
      <c r="N6126">
        <v>-1.3978320000000001E-2</v>
      </c>
      <c r="O6126">
        <v>-8.2724600000000006E-3</v>
      </c>
      <c r="P6126">
        <v>-0.99807630000000003</v>
      </c>
      <c r="Q6126">
        <v>-5.680317E-2</v>
      </c>
      <c r="R6126">
        <v>-2.4849940000000001E-2</v>
      </c>
      <c r="S6126">
        <v>-2.9442140000000001</v>
      </c>
      <c r="T6126">
        <v>-0.3870827</v>
      </c>
      <c r="U6126">
        <v>-1.5947720000000001</v>
      </c>
      <c r="V6126">
        <v>-1.658157E-2</v>
      </c>
      <c r="W6126">
        <v>-4.2847730000000001E-2</v>
      </c>
      <c r="X6126">
        <v>0.99894400000000005</v>
      </c>
      <c r="Y6126">
        <v>-0.46553240000000001</v>
      </c>
      <c r="Z6126">
        <v>-3.1105029999999999E-2</v>
      </c>
      <c r="AA6126">
        <v>0.8844841</v>
      </c>
      <c r="AB6126">
        <v>28</v>
      </c>
      <c r="AC6126">
        <v>-0.58429999999992699</v>
      </c>
      <c r="AD6126">
        <v>-0.114743999999999</v>
      </c>
      <c r="AE6126">
        <v>-0.46999999999999797</v>
      </c>
      <c r="AF6126">
        <v>-0.45450772480544699</v>
      </c>
      <c r="AG6126">
        <v>-0.114743999999999</v>
      </c>
      <c r="AH6126">
        <v>0.57471178780146204</v>
      </c>
      <c r="AI6126">
        <v>98.900300072073193</v>
      </c>
      <c r="AJ6126">
        <v>128.33852019928599</v>
      </c>
      <c r="AK6126">
        <v>0.74164485873076502</v>
      </c>
      <c r="AL6126">
        <v>92.455745921091605</v>
      </c>
      <c r="AM6126">
        <v>90.950970962310805</v>
      </c>
      <c r="AN6126">
        <v>0.99999999578290899</v>
      </c>
    </row>
    <row r="6127" spans="1:40" x14ac:dyDescent="0.25">
      <c r="A6127" t="str">
        <f>"20190303153930703"</f>
        <v>20190303153930703</v>
      </c>
      <c r="B6127" t="str">
        <f>"1551598770694384"</f>
        <v>1551598770694384</v>
      </c>
      <c r="C6127" t="s">
        <v>40</v>
      </c>
      <c r="D6127">
        <v>3.989633</v>
      </c>
      <c r="E6127">
        <v>0.30761490000000002</v>
      </c>
      <c r="F6127" t="s">
        <v>44</v>
      </c>
      <c r="G6127">
        <v>-346.77260000000001</v>
      </c>
      <c r="H6127">
        <v>1.0108980000000001</v>
      </c>
      <c r="I6127">
        <v>140.99199999999999</v>
      </c>
      <c r="J6127">
        <v>-346.22309999999999</v>
      </c>
      <c r="K6127">
        <v>1.1212249999999999</v>
      </c>
      <c r="L6127">
        <v>141.446</v>
      </c>
      <c r="M6127">
        <v>-0.9998686</v>
      </c>
      <c r="N6127">
        <v>-1.3852120000000001E-2</v>
      </c>
      <c r="O6127">
        <v>-8.4228510000000003E-3</v>
      </c>
      <c r="P6127">
        <v>-0.99808569999999996</v>
      </c>
      <c r="Q6127">
        <v>-5.6624000000000001E-2</v>
      </c>
      <c r="R6127">
        <v>-2.4877119999999999E-2</v>
      </c>
      <c r="S6127">
        <v>-2.9439090000000001</v>
      </c>
      <c r="T6127">
        <v>-0.3869438</v>
      </c>
      <c r="U6127">
        <v>-1.600876</v>
      </c>
      <c r="V6127">
        <v>-1.6458710000000001E-2</v>
      </c>
      <c r="W6127">
        <v>-4.2794470000000001E-2</v>
      </c>
      <c r="X6127">
        <v>0.99894830000000001</v>
      </c>
      <c r="Y6127">
        <v>-0.46685369999999998</v>
      </c>
      <c r="Z6127">
        <v>-3.1128360000000001E-2</v>
      </c>
      <c r="AA6127">
        <v>0.88378650000000003</v>
      </c>
      <c r="AB6127">
        <v>28</v>
      </c>
      <c r="AC6127">
        <v>-0.54950000000002297</v>
      </c>
      <c r="AD6127">
        <v>-0.11032699999999999</v>
      </c>
      <c r="AE6127">
        <v>-0.45399999999997898</v>
      </c>
      <c r="AF6127">
        <v>-0.43884150332195598</v>
      </c>
      <c r="AG6127">
        <v>-0.11032699999999999</v>
      </c>
      <c r="AH6127">
        <v>0.54035913817497006</v>
      </c>
      <c r="AI6127">
        <v>99.005935577965005</v>
      </c>
      <c r="AJ6127">
        <v>129.08106380065001</v>
      </c>
      <c r="AK6127">
        <v>0.70479919847859496</v>
      </c>
      <c r="AL6127">
        <v>92.452691582693703</v>
      </c>
      <c r="AM6127">
        <v>90.943922025725797</v>
      </c>
      <c r="AN6127">
        <v>0.99999998093516695</v>
      </c>
    </row>
    <row r="6128" spans="1:40" x14ac:dyDescent="0.25">
      <c r="A6128" t="str">
        <f>"20190303153930724"</f>
        <v>20190303153930724</v>
      </c>
      <c r="B6128" t="str">
        <f>"1551598770714881"</f>
        <v>1551598770714881</v>
      </c>
      <c r="C6128" t="s">
        <v>40</v>
      </c>
      <c r="D6128">
        <v>3.96095</v>
      </c>
      <c r="E6128">
        <v>0.30715920000000002</v>
      </c>
      <c r="F6128" t="s">
        <v>44</v>
      </c>
      <c r="G6128">
        <v>-347.02859999999998</v>
      </c>
      <c r="H6128">
        <v>1.014991</v>
      </c>
      <c r="I6128">
        <v>141.00729999999999</v>
      </c>
      <c r="J6128">
        <v>-346.49849999999998</v>
      </c>
      <c r="K6128">
        <v>1.1211580000000001</v>
      </c>
      <c r="L6128">
        <v>141.4435</v>
      </c>
      <c r="M6128">
        <v>-0.99987130000000002</v>
      </c>
      <c r="N6128">
        <v>-1.356739E-2</v>
      </c>
      <c r="O6128">
        <v>-8.5661920000000003E-3</v>
      </c>
      <c r="P6128">
        <v>-0.99806309999999998</v>
      </c>
      <c r="Q6128">
        <v>-5.7040449999999999E-2</v>
      </c>
      <c r="R6128">
        <v>-2.4831300000000001E-2</v>
      </c>
      <c r="S6128">
        <v>-2.9437869999999999</v>
      </c>
      <c r="T6128">
        <v>-0.38822620000000002</v>
      </c>
      <c r="U6128">
        <v>-1.603912</v>
      </c>
      <c r="V6128">
        <v>-1.626959E-2</v>
      </c>
      <c r="W6128">
        <v>-4.3495579999999999E-2</v>
      </c>
      <c r="X6128">
        <v>0.99892119999999995</v>
      </c>
      <c r="Y6128">
        <v>-0.46743089999999998</v>
      </c>
      <c r="Z6128">
        <v>-3.1165060000000001E-2</v>
      </c>
      <c r="AA6128">
        <v>0.88348009999999999</v>
      </c>
      <c r="AB6128">
        <v>28</v>
      </c>
      <c r="AC6128">
        <v>-0.53010000000000401</v>
      </c>
      <c r="AD6128">
        <v>-0.106167</v>
      </c>
      <c r="AE6128">
        <v>-0.43620000000001302</v>
      </c>
      <c r="AF6128">
        <v>-0.421560257559841</v>
      </c>
      <c r="AG6128">
        <v>-0.106167</v>
      </c>
      <c r="AH6128">
        <v>0.52134846844407001</v>
      </c>
      <c r="AI6128">
        <v>98.998040022211697</v>
      </c>
      <c r="AJ6128">
        <v>128.95886335941</v>
      </c>
      <c r="AK6128">
        <v>0.67881419268596399</v>
      </c>
      <c r="AL6128">
        <v>92.492899460975593</v>
      </c>
      <c r="AM6128">
        <v>90.933103059247699</v>
      </c>
      <c r="AN6128">
        <v>1.00000006442387</v>
      </c>
    </row>
    <row r="6129" spans="1:40" x14ac:dyDescent="0.25">
      <c r="A6129" t="str">
        <f>"20190303153930747"</f>
        <v>20190303153930747</v>
      </c>
      <c r="B6129" t="str">
        <f>"1551598770734400"</f>
        <v>1551598770734400</v>
      </c>
      <c r="C6129" t="s">
        <v>40</v>
      </c>
      <c r="D6129">
        <v>3.8807640000000001</v>
      </c>
      <c r="E6129">
        <v>0.30681849999999999</v>
      </c>
      <c r="F6129" t="s">
        <v>44</v>
      </c>
      <c r="G6129">
        <v>-347.2842</v>
      </c>
      <c r="H6129">
        <v>1.0169999999999999</v>
      </c>
      <c r="I6129">
        <v>141.01429999999999</v>
      </c>
      <c r="J6129">
        <v>-346.77569999999997</v>
      </c>
      <c r="K6129">
        <v>1.1210739999999999</v>
      </c>
      <c r="L6129">
        <v>141.4409</v>
      </c>
      <c r="M6129">
        <v>-0.99987510000000002</v>
      </c>
      <c r="N6129">
        <v>-1.3194569999999999E-2</v>
      </c>
      <c r="O6129">
        <v>-8.7115950000000008E-3</v>
      </c>
      <c r="P6129">
        <v>-0.9980772</v>
      </c>
      <c r="Q6129">
        <v>-5.6609819999999998E-2</v>
      </c>
      <c r="R6129">
        <v>-2.5254180000000001E-2</v>
      </c>
      <c r="S6129">
        <v>-2.9435419999999999</v>
      </c>
      <c r="T6129">
        <v>-0.39021830000000002</v>
      </c>
      <c r="U6129">
        <v>-1.6075440000000001</v>
      </c>
      <c r="V6129">
        <v>-1.6547329999999999E-2</v>
      </c>
      <c r="W6129">
        <v>-4.3437200000000002E-2</v>
      </c>
      <c r="X6129">
        <v>0.99891909999999895</v>
      </c>
      <c r="Y6129">
        <v>-0.46814810000000001</v>
      </c>
      <c r="Z6129">
        <v>-3.123838E-2</v>
      </c>
      <c r="AA6129">
        <v>0.88309769999999899</v>
      </c>
      <c r="AB6129">
        <v>28</v>
      </c>
      <c r="AC6129">
        <v>-0.50850000000002604</v>
      </c>
      <c r="AD6129">
        <v>-0.104073999999999</v>
      </c>
      <c r="AE6129">
        <v>-0.42660000000000697</v>
      </c>
      <c r="AF6129">
        <v>-0.412023754511808</v>
      </c>
      <c r="AG6129">
        <v>-0.104073999999999</v>
      </c>
      <c r="AH6129">
        <v>0.49990691276581001</v>
      </c>
      <c r="AI6129">
        <v>99.126736668649798</v>
      </c>
      <c r="AJ6129">
        <v>129.49537955629501</v>
      </c>
      <c r="AK6129">
        <v>0.656126430795964</v>
      </c>
      <c r="AL6129">
        <v>92.489551563611002</v>
      </c>
      <c r="AM6129">
        <v>90.949031272337805</v>
      </c>
      <c r="AN6129">
        <v>0.99999998640938903</v>
      </c>
    </row>
    <row r="6130" spans="1:40" x14ac:dyDescent="0.25">
      <c r="A6130" t="str">
        <f>"20190303153930768"</f>
        <v>20190303153930768</v>
      </c>
      <c r="B6130" t="str">
        <f>"1551598770764656"</f>
        <v>1551598770764656</v>
      </c>
      <c r="C6130" t="s">
        <v>40</v>
      </c>
      <c r="D6130">
        <v>4.1335169999999897</v>
      </c>
      <c r="E6130">
        <v>0.30641469999999998</v>
      </c>
      <c r="F6130" t="s">
        <v>44</v>
      </c>
      <c r="G6130">
        <v>-347.57190000000003</v>
      </c>
      <c r="H6130">
        <v>1.015503</v>
      </c>
      <c r="I6130">
        <v>141.0051</v>
      </c>
      <c r="J6130">
        <v>-347.0573</v>
      </c>
      <c r="K6130">
        <v>1.121</v>
      </c>
      <c r="L6130">
        <v>141.4383</v>
      </c>
      <c r="M6130">
        <v>-0.99987879999999996</v>
      </c>
      <c r="N6130">
        <v>-1.2809610000000001E-2</v>
      </c>
      <c r="O6130">
        <v>-8.860794E-3</v>
      </c>
      <c r="P6130">
        <v>-0.99799499999999997</v>
      </c>
      <c r="Q6130">
        <v>-5.7841570000000002E-2</v>
      </c>
      <c r="R6130">
        <v>-2.570306E-2</v>
      </c>
      <c r="S6130">
        <v>-2.942841</v>
      </c>
      <c r="T6130">
        <v>-0.39014389999999999</v>
      </c>
      <c r="U6130">
        <v>-1.6112979999999999</v>
      </c>
      <c r="V6130">
        <v>-1.6848109999999999E-2</v>
      </c>
      <c r="W6130">
        <v>-4.5054419999999998E-2</v>
      </c>
      <c r="X6130">
        <v>0.99884249999999997</v>
      </c>
      <c r="Y6130">
        <v>-0.46898030000000002</v>
      </c>
      <c r="Z6130">
        <v>-3.117282E-2</v>
      </c>
      <c r="AA6130">
        <v>0.88265830000000001</v>
      </c>
      <c r="AB6130">
        <v>28</v>
      </c>
      <c r="AC6130">
        <v>-0.51460000000002903</v>
      </c>
      <c r="AD6130">
        <v>-0.10549699999999899</v>
      </c>
      <c r="AE6130">
        <v>-0.43319999999999897</v>
      </c>
      <c r="AF6130">
        <v>-0.41833304116861902</v>
      </c>
      <c r="AG6130">
        <v>-0.10549699999999899</v>
      </c>
      <c r="AH6130">
        <v>0.50597309598676099</v>
      </c>
      <c r="AI6130">
        <v>99.128963203576504</v>
      </c>
      <c r="AJ6130">
        <v>129.58357166542399</v>
      </c>
      <c r="AK6130">
        <v>0.66493678211151297</v>
      </c>
      <c r="AL6130">
        <v>92.582302125215705</v>
      </c>
      <c r="AM6130">
        <v>90.966352614006297</v>
      </c>
      <c r="AN6130">
        <v>1.0000000496891699</v>
      </c>
    </row>
    <row r="6131" spans="1:40" x14ac:dyDescent="0.25">
      <c r="A6131" t="str">
        <f>"20190303153930791"</f>
        <v>20190303153930791</v>
      </c>
      <c r="B6131" t="str">
        <f>"1551598770784176"</f>
        <v>1551598770784176</v>
      </c>
      <c r="C6131" t="s">
        <v>40</v>
      </c>
      <c r="D6131">
        <v>4.3461949999999998</v>
      </c>
      <c r="E6131">
        <v>0.35543669999999999</v>
      </c>
      <c r="F6131" t="s">
        <v>44</v>
      </c>
      <c r="G6131">
        <v>-347.86790000000002</v>
      </c>
      <c r="H6131">
        <v>1.012529</v>
      </c>
      <c r="I6131">
        <v>140.9931</v>
      </c>
      <c r="J6131">
        <v>-347.339</v>
      </c>
      <c r="K6131">
        <v>1.1209420000000001</v>
      </c>
      <c r="L6131">
        <v>141.4357</v>
      </c>
      <c r="M6131">
        <v>-0.99988200000000005</v>
      </c>
      <c r="N6131">
        <v>-1.2444500000000001E-2</v>
      </c>
      <c r="O6131">
        <v>-9.0106760000000004E-3</v>
      </c>
      <c r="P6131">
        <v>-0.99798730000000002</v>
      </c>
      <c r="Q6131">
        <v>-5.7918980000000002E-2</v>
      </c>
      <c r="R6131">
        <v>-2.5826749999999999E-2</v>
      </c>
      <c r="S6131">
        <v>-2.9416199999999999</v>
      </c>
      <c r="T6131">
        <v>-0.39360519999999999</v>
      </c>
      <c r="U6131">
        <v>-1.6158140000000001</v>
      </c>
      <c r="V6131">
        <v>-1.6822050000000002E-2</v>
      </c>
      <c r="W6131">
        <v>-4.5496540000000002E-2</v>
      </c>
      <c r="X6131">
        <v>0.99882289999999996</v>
      </c>
      <c r="Y6131">
        <v>-0.46999030000000003</v>
      </c>
      <c r="Z6131">
        <v>-3.1378040000000003E-2</v>
      </c>
      <c r="AA6131">
        <v>0.882113699999999</v>
      </c>
      <c r="AB6131">
        <v>28</v>
      </c>
      <c r="AC6131">
        <v>-0.52890000000002102</v>
      </c>
      <c r="AD6131">
        <v>-0.108413</v>
      </c>
      <c r="AE6131">
        <v>-0.442599999999998</v>
      </c>
      <c r="AF6131">
        <v>-0.42725786682570899</v>
      </c>
      <c r="AG6131">
        <v>-0.108413</v>
      </c>
      <c r="AH6131">
        <v>0.52001673096255596</v>
      </c>
      <c r="AI6131">
        <v>99.150738533250504</v>
      </c>
      <c r="AJ6131">
        <v>129.40732229349399</v>
      </c>
      <c r="AK6131">
        <v>0.68170379477778997</v>
      </c>
      <c r="AL6131">
        <v>92.607659733897805</v>
      </c>
      <c r="AM6131">
        <v>90.964877110155896</v>
      </c>
      <c r="AN6131">
        <v>1.0000000510412901</v>
      </c>
    </row>
    <row r="6132" spans="1:40" x14ac:dyDescent="0.25">
      <c r="A6132" t="str">
        <f>"20190303153930806"</f>
        <v>20190303153930806</v>
      </c>
      <c r="B6132" t="str">
        <f>"1551598770794913"</f>
        <v>1551598770794913</v>
      </c>
      <c r="C6132" t="s">
        <v>40</v>
      </c>
      <c r="D6132">
        <v>4.2979810000000001</v>
      </c>
      <c r="E6132">
        <v>0.43122670000000002</v>
      </c>
      <c r="F6132" t="s">
        <v>42</v>
      </c>
      <c r="G6132">
        <v>-359.38099999999997</v>
      </c>
      <c r="H6132" s="1">
        <v>-1.042756E-6</v>
      </c>
      <c r="I6132">
        <v>136.4365</v>
      </c>
      <c r="J6132">
        <v>-347.54390000000001</v>
      </c>
      <c r="K6132">
        <v>1.120911</v>
      </c>
      <c r="L6132">
        <v>141.43369999999999</v>
      </c>
      <c r="M6132">
        <v>-0.9998842</v>
      </c>
      <c r="N6132">
        <v>-1.219051E-2</v>
      </c>
      <c r="O6132">
        <v>-9.1191250000000005E-3</v>
      </c>
      <c r="P6132">
        <v>-0.997977</v>
      </c>
      <c r="Q6132">
        <v>-5.8026000000000001E-2</v>
      </c>
      <c r="R6132">
        <v>-2.5986769999999999E-2</v>
      </c>
      <c r="S6132">
        <v>-2.9582820000000001</v>
      </c>
      <c r="T6132">
        <v>-0.27537509999999998</v>
      </c>
      <c r="U6132">
        <v>-1.2280879999999901</v>
      </c>
      <c r="V6132">
        <v>-1.687369E-2</v>
      </c>
      <c r="W6132">
        <v>-4.585736E-2</v>
      </c>
      <c r="X6132">
        <v>0.99880550000000001</v>
      </c>
      <c r="Y6132">
        <v>-0.37341570000000002</v>
      </c>
      <c r="Z6132">
        <v>-1.832232E-2</v>
      </c>
      <c r="AA6132">
        <v>0.92748319999999995</v>
      </c>
      <c r="AB6132">
        <v>28</v>
      </c>
      <c r="AC6132">
        <v>-11.8370999999999</v>
      </c>
      <c r="AD6132">
        <v>-1.120912042756</v>
      </c>
      <c r="AE6132">
        <v>-4.9971999999999897</v>
      </c>
      <c r="AF6132">
        <v>-4.8521121681352799</v>
      </c>
      <c r="AG6132">
        <v>-1.120912042756</v>
      </c>
      <c r="AH6132">
        <v>11.792432448895401</v>
      </c>
      <c r="AI6132">
        <v>95.023577162841903</v>
      </c>
      <c r="AJ6132">
        <v>112.365197362393</v>
      </c>
      <c r="AK6132">
        <v>12.800816355276901</v>
      </c>
      <c r="AL6132">
        <v>92.628354870445605</v>
      </c>
      <c r="AM6132">
        <v>90.967855365808305</v>
      </c>
      <c r="AN6132">
        <v>1.0000000228553101</v>
      </c>
    </row>
    <row r="6133" spans="1:40" x14ac:dyDescent="0.25">
      <c r="A6133" t="str">
        <f>"20190303153930823"</f>
        <v>20190303153930823</v>
      </c>
      <c r="B6133" t="str">
        <f>"1551598770814432"</f>
        <v>1551598770814432</v>
      </c>
      <c r="C6133" t="s">
        <v>40</v>
      </c>
      <c r="D6133">
        <v>4.1561620000000001</v>
      </c>
      <c r="E6133">
        <v>0.4496424</v>
      </c>
      <c r="F6133" t="s">
        <v>42</v>
      </c>
      <c r="G6133">
        <v>-369.97210000000001</v>
      </c>
      <c r="H6133" s="1">
        <v>-4.798419E-6</v>
      </c>
      <c r="I6133">
        <v>136.7175</v>
      </c>
      <c r="J6133">
        <v>-347.73759999999999</v>
      </c>
      <c r="K6133">
        <v>1.1208830000000001</v>
      </c>
      <c r="L6133">
        <v>141.43180000000001</v>
      </c>
      <c r="M6133">
        <v>-0.99988619999999995</v>
      </c>
      <c r="N6133">
        <v>-1.19618E-2</v>
      </c>
      <c r="O6133">
        <v>-9.2213260000000002E-3</v>
      </c>
      <c r="P6133">
        <v>-0.99799789999999999</v>
      </c>
      <c r="Q6133">
        <v>-5.7699199999999999E-2</v>
      </c>
      <c r="R6133">
        <v>-2.5911710000000001E-2</v>
      </c>
      <c r="S6133">
        <v>-2.9811100000000001</v>
      </c>
      <c r="T6133">
        <v>-0.1489897</v>
      </c>
      <c r="U6133">
        <v>-0.62686160000000002</v>
      </c>
      <c r="V6133">
        <v>-1.6696119999999998E-2</v>
      </c>
      <c r="W6133">
        <v>-4.5758739999999999E-2</v>
      </c>
      <c r="X6133">
        <v>0.99881299999999995</v>
      </c>
      <c r="Y6133">
        <v>-0.19645770000000001</v>
      </c>
      <c r="Z6133">
        <v>-5.6954709999999997E-3</v>
      </c>
      <c r="AA6133">
        <v>0.98049580000000003</v>
      </c>
      <c r="AB6133">
        <v>28</v>
      </c>
      <c r="AC6133">
        <v>-22.234500000000001</v>
      </c>
      <c r="AD6133">
        <v>-1.120887798419</v>
      </c>
      <c r="AE6133">
        <v>-4.7142999999999997</v>
      </c>
      <c r="AF6133">
        <v>-4.4981137213612099</v>
      </c>
      <c r="AG6133">
        <v>-1.120887798419</v>
      </c>
      <c r="AH6133">
        <v>22.2229823816268</v>
      </c>
      <c r="AI6133">
        <v>92.830154225814198</v>
      </c>
      <c r="AJ6133">
        <v>101.44254325813</v>
      </c>
      <c r="AK6133">
        <v>22.701329530250799</v>
      </c>
      <c r="AL6133">
        <v>92.622698441413704</v>
      </c>
      <c r="AM6133">
        <v>90.957664872978299</v>
      </c>
      <c r="AN6133">
        <v>1.0000000158392199</v>
      </c>
    </row>
    <row r="6134" spans="1:40" x14ac:dyDescent="0.25">
      <c r="A6134" t="str">
        <f>"20190303153930836"</f>
        <v>20190303153930836</v>
      </c>
      <c r="B6134" t="str">
        <f>"1551598770824193"</f>
        <v>1551598770824193</v>
      </c>
      <c r="C6134" t="s">
        <v>40</v>
      </c>
      <c r="D6134">
        <v>4.1151160000000004</v>
      </c>
      <c r="E6134">
        <v>0.45414450000000001</v>
      </c>
      <c r="F6134" t="s">
        <v>42</v>
      </c>
      <c r="G6134">
        <v>-373.17959999999999</v>
      </c>
      <c r="H6134" s="1">
        <v>-3.311976E-6</v>
      </c>
      <c r="I6134">
        <v>137.34030000000001</v>
      </c>
      <c r="J6134">
        <v>-347.91149999999999</v>
      </c>
      <c r="K6134">
        <v>1.1208659999999999</v>
      </c>
      <c r="L6134">
        <v>141.43010000000001</v>
      </c>
      <c r="M6134">
        <v>-0.99988730000000003</v>
      </c>
      <c r="N6134">
        <v>-1.176892E-2</v>
      </c>
      <c r="O6134">
        <v>-9.3125629999999994E-3</v>
      </c>
      <c r="P6134">
        <v>-0.99803949999999997</v>
      </c>
      <c r="Q6134">
        <v>-5.70909E-2</v>
      </c>
      <c r="R6134">
        <v>-2.5646240000000001E-2</v>
      </c>
      <c r="S6134">
        <v>-2.9859619999999998</v>
      </c>
      <c r="T6134">
        <v>-0.13155159999999999</v>
      </c>
      <c r="U6134">
        <v>-0.48019410000000001</v>
      </c>
      <c r="V6134">
        <v>-1.6339699999999999E-2</v>
      </c>
      <c r="W6134">
        <v>-4.534262E-2</v>
      </c>
      <c r="X6134">
        <v>0.9988378</v>
      </c>
      <c r="Y6134">
        <v>-0.14940010000000001</v>
      </c>
      <c r="Z6134">
        <v>-3.8552859999999999E-3</v>
      </c>
      <c r="AA6134">
        <v>0.98876929999999996</v>
      </c>
      <c r="AB6134">
        <v>28</v>
      </c>
      <c r="AC6134">
        <v>-25.2681</v>
      </c>
      <c r="AD6134">
        <v>-1.12086931197599</v>
      </c>
      <c r="AE6134">
        <v>-4.0897999999999897</v>
      </c>
      <c r="AF6134">
        <v>-3.84691909907998</v>
      </c>
      <c r="AG6134">
        <v>-1.12086931197599</v>
      </c>
      <c r="AH6134">
        <v>25.256663828575601</v>
      </c>
      <c r="AI6134">
        <v>92.512135725894893</v>
      </c>
      <c r="AJ6134">
        <v>98.660332272362993</v>
      </c>
      <c r="AK6134">
        <v>25.572528273893301</v>
      </c>
      <c r="AL6134">
        <v>92.598831933539302</v>
      </c>
      <c r="AM6134">
        <v>90.937201566578693</v>
      </c>
      <c r="AN6134">
        <v>0.99999994484669497</v>
      </c>
    </row>
    <row r="6135" spans="1:40" x14ac:dyDescent="0.25">
      <c r="A6135" t="str">
        <f>"20190303153930859"</f>
        <v>20190303153930859</v>
      </c>
      <c r="B6135" t="str">
        <f>"1551598770844689"</f>
        <v>1551598770844689</v>
      </c>
      <c r="C6135" t="s">
        <v>40</v>
      </c>
      <c r="D6135">
        <v>4.0964879999999999</v>
      </c>
      <c r="E6135">
        <v>0.45947929999999998</v>
      </c>
      <c r="F6135" t="s">
        <v>42</v>
      </c>
      <c r="G6135">
        <v>-375.33800000000002</v>
      </c>
      <c r="H6135" s="1">
        <v>-2.382921E-6</v>
      </c>
      <c r="I6135">
        <v>137.35759999999999</v>
      </c>
      <c r="J6135">
        <v>-348.19819999999999</v>
      </c>
      <c r="K6135">
        <v>1.120849</v>
      </c>
      <c r="L6135">
        <v>141.4273</v>
      </c>
      <c r="M6135">
        <v>-0.99988929999999998</v>
      </c>
      <c r="N6135">
        <v>-1.148388E-2</v>
      </c>
      <c r="O6135">
        <v>-9.4627740000000002E-3</v>
      </c>
      <c r="P6135">
        <v>-0.99809239999999999</v>
      </c>
      <c r="Q6135">
        <v>-5.6113139999999999E-2</v>
      </c>
      <c r="R6135">
        <v>-2.5748879999999998E-2</v>
      </c>
      <c r="S6135">
        <v>-2.9875180000000001</v>
      </c>
      <c r="T6135">
        <v>-0.1220942</v>
      </c>
      <c r="U6135">
        <v>-0.44360349999999998</v>
      </c>
      <c r="V6135">
        <v>-1.629162E-2</v>
      </c>
      <c r="W6135">
        <v>-4.4649050000000003E-2</v>
      </c>
      <c r="X6135">
        <v>0.99886989999999998</v>
      </c>
      <c r="Y6135">
        <v>-0.13736770000000001</v>
      </c>
      <c r="Z6135">
        <v>-3.3077060000000001E-3</v>
      </c>
      <c r="AA6135">
        <v>0.99051460000000002</v>
      </c>
      <c r="AB6135">
        <v>28</v>
      </c>
      <c r="AC6135">
        <v>-27.139800000000001</v>
      </c>
      <c r="AD6135">
        <v>-1.1208513829210001</v>
      </c>
      <c r="AE6135">
        <v>-4.0697000000000099</v>
      </c>
      <c r="AF6135">
        <v>-3.8063336437261301</v>
      </c>
      <c r="AG6135">
        <v>-1.1208513829210001</v>
      </c>
      <c r="AH6135">
        <v>27.131838929806001</v>
      </c>
      <c r="AI6135">
        <v>92.342702159211399</v>
      </c>
      <c r="AJ6135">
        <v>97.985922597916399</v>
      </c>
      <c r="AK6135">
        <v>27.4204516254363</v>
      </c>
      <c r="AL6135">
        <v>92.559052825844105</v>
      </c>
      <c r="AM6135">
        <v>90.934414291585298</v>
      </c>
      <c r="AN6135">
        <v>1.0000000158370601</v>
      </c>
    </row>
    <row r="6136" spans="1:40" x14ac:dyDescent="0.25">
      <c r="A6136" t="str">
        <f>"20190303153930874"</f>
        <v>20190303153930874</v>
      </c>
      <c r="B6136" t="str">
        <f>"1551598770865185"</f>
        <v>1551598770865185</v>
      </c>
      <c r="C6136" t="s">
        <v>40</v>
      </c>
      <c r="D6136">
        <v>4.0480039999999997</v>
      </c>
      <c r="E6136">
        <v>0.46204289999999998</v>
      </c>
      <c r="F6136" t="s">
        <v>42</v>
      </c>
      <c r="G6136">
        <v>-380.46660000000003</v>
      </c>
      <c r="H6136" s="1">
        <v>-4.5203139999999997E-6</v>
      </c>
      <c r="I6136">
        <v>137.08949999999999</v>
      </c>
      <c r="J6136">
        <v>-348.40820000000002</v>
      </c>
      <c r="K6136">
        <v>1.1208400000000001</v>
      </c>
      <c r="L6136">
        <v>141.42519999999999</v>
      </c>
      <c r="M6136">
        <v>-0.99989039999999996</v>
      </c>
      <c r="N6136">
        <v>-1.1300610000000001E-2</v>
      </c>
      <c r="O6136">
        <v>-9.5727120000000006E-3</v>
      </c>
      <c r="P6136">
        <v>-0.99812449999999997</v>
      </c>
      <c r="Q6136">
        <v>-5.5411040000000002E-2</v>
      </c>
      <c r="R6136">
        <v>-2.6025530000000002E-2</v>
      </c>
      <c r="S6136">
        <v>-2.9895320000000001</v>
      </c>
      <c r="T6136">
        <v>-0.1038429</v>
      </c>
      <c r="U6136">
        <v>-0.40187070000000003</v>
      </c>
      <c r="V6136">
        <v>-1.6458710000000001E-2</v>
      </c>
      <c r="W6136">
        <v>-4.4129740000000001E-2</v>
      </c>
      <c r="X6136">
        <v>0.99889019999999995</v>
      </c>
      <c r="Y6136">
        <v>-0.1236387</v>
      </c>
      <c r="Z6136">
        <v>-2.6159220000000001E-3</v>
      </c>
      <c r="AA6136">
        <v>0.99232390000000004</v>
      </c>
      <c r="AB6136">
        <v>29</v>
      </c>
      <c r="AC6136">
        <v>-32.058399999999999</v>
      </c>
      <c r="AD6136">
        <v>-1.1208445203140001</v>
      </c>
      <c r="AE6136">
        <v>-4.3357000000000001</v>
      </c>
      <c r="AF6136">
        <v>-4.0237656803450701</v>
      </c>
      <c r="AG6136">
        <v>-1.1208445203140001</v>
      </c>
      <c r="AH6136">
        <v>32.059952385305301</v>
      </c>
      <c r="AI6136">
        <v>91.986722237217904</v>
      </c>
      <c r="AJ6136">
        <v>97.153646941108903</v>
      </c>
      <c r="AK6136">
        <v>32.330906724635497</v>
      </c>
      <c r="AL6136">
        <v>92.529269294499201</v>
      </c>
      <c r="AM6136">
        <v>90.943976918592099</v>
      </c>
      <c r="AN6136">
        <v>0.999999977371685</v>
      </c>
    </row>
    <row r="6137" spans="1:40" x14ac:dyDescent="0.25">
      <c r="A6137" t="str">
        <f>"20190303153930888"</f>
        <v>20190303153930888</v>
      </c>
      <c r="B6137" t="str">
        <f>"1551598770874945"</f>
        <v>1551598770874945</v>
      </c>
      <c r="C6137" t="s">
        <v>40</v>
      </c>
      <c r="D6137">
        <v>4.0733980000000001</v>
      </c>
      <c r="E6137">
        <v>0.46302379999999999</v>
      </c>
      <c r="F6137" t="s">
        <v>42</v>
      </c>
      <c r="G6137">
        <v>-384.09480000000002</v>
      </c>
      <c r="H6137" s="1">
        <v>-3.003832E-6</v>
      </c>
      <c r="I6137">
        <v>136.86369999999999</v>
      </c>
      <c r="J6137">
        <v>-348.58550000000002</v>
      </c>
      <c r="K6137">
        <v>1.1208389999999999</v>
      </c>
      <c r="L6137">
        <v>141.42339999999999</v>
      </c>
      <c r="M6137">
        <v>-0.99989099999999997</v>
      </c>
      <c r="N6137">
        <v>-1.1161839999999999E-2</v>
      </c>
      <c r="O6137">
        <v>-9.6652709999999996E-3</v>
      </c>
      <c r="P6137">
        <v>-0.9981371</v>
      </c>
      <c r="Q6137">
        <v>-5.5147420000000003E-2</v>
      </c>
      <c r="R6137">
        <v>-2.609732E-2</v>
      </c>
      <c r="S6137">
        <v>-2.9904480000000002</v>
      </c>
      <c r="T6137">
        <v>-9.3923930000000003E-2</v>
      </c>
      <c r="U6137">
        <v>-0.38223269999999998</v>
      </c>
      <c r="V6137">
        <v>-1.6437839999999999E-2</v>
      </c>
      <c r="W6137">
        <v>-4.4004620000000001E-2</v>
      </c>
      <c r="X6137">
        <v>0.99889609999999995</v>
      </c>
      <c r="Y6137">
        <v>-0.1171172</v>
      </c>
      <c r="Z6137">
        <v>-2.2930530000000002E-3</v>
      </c>
      <c r="AA6137">
        <v>0.99311539999999998</v>
      </c>
      <c r="AB6137">
        <v>29</v>
      </c>
      <c r="AC6137">
        <v>-35.509300000000003</v>
      </c>
      <c r="AD6137">
        <v>-1.1208420038319999</v>
      </c>
      <c r="AE6137">
        <v>-4.5596999999999897</v>
      </c>
      <c r="AF6137">
        <v>-4.2121299954198497</v>
      </c>
      <c r="AG6137">
        <v>-1.1208420038319999</v>
      </c>
      <c r="AH6137">
        <v>35.516901993184597</v>
      </c>
      <c r="AI6137">
        <v>91.794969149207304</v>
      </c>
      <c r="AJ6137">
        <v>96.763407231870204</v>
      </c>
      <c r="AK6137">
        <v>35.783357208196001</v>
      </c>
      <c r="AL6137">
        <v>92.522093383455996</v>
      </c>
      <c r="AM6137">
        <v>90.942774584096796</v>
      </c>
      <c r="AN6137">
        <v>1.0000000138802001</v>
      </c>
    </row>
    <row r="6138" spans="1:40" x14ac:dyDescent="0.25">
      <c r="A6138" t="str">
        <f>"20190303153930903"</f>
        <v>20190303153930903</v>
      </c>
      <c r="B6138" t="str">
        <f>"1551598770894464"</f>
        <v>1551598770894464</v>
      </c>
      <c r="C6138" t="s">
        <v>40</v>
      </c>
      <c r="D6138">
        <v>4.0384599999999997</v>
      </c>
      <c r="E6138">
        <v>0.46429090000000001</v>
      </c>
      <c r="F6138" t="s">
        <v>42</v>
      </c>
      <c r="G6138">
        <v>-385.91980000000001</v>
      </c>
      <c r="H6138" s="1">
        <v>-2.2420279999999998E-6</v>
      </c>
      <c r="I6138">
        <v>136.7449</v>
      </c>
      <c r="J6138">
        <v>-348.77170000000001</v>
      </c>
      <c r="K6138">
        <v>1.1208389999999999</v>
      </c>
      <c r="L6138">
        <v>141.42150000000001</v>
      </c>
      <c r="M6138">
        <v>-0.99989139999999999</v>
      </c>
      <c r="N6138">
        <v>-1.1046479999999999E-2</v>
      </c>
      <c r="O6138">
        <v>-9.762738E-3</v>
      </c>
      <c r="P6138">
        <v>-0.99812789999999996</v>
      </c>
      <c r="Q6138">
        <v>-5.4981019999999999E-2</v>
      </c>
      <c r="R6138">
        <v>-2.6798880000000001E-2</v>
      </c>
      <c r="S6138">
        <v>-2.9908450000000002</v>
      </c>
      <c r="T6138">
        <v>-8.9790699999999904E-2</v>
      </c>
      <c r="U6138">
        <v>-0.37478640000000002</v>
      </c>
      <c r="V6138">
        <v>-1.7041839999999999E-2</v>
      </c>
      <c r="W6138">
        <v>-4.3953640000000002E-2</v>
      </c>
      <c r="X6138">
        <v>0.9988882</v>
      </c>
      <c r="Y6138">
        <v>-0.1145772</v>
      </c>
      <c r="Z6138">
        <v>-2.1639340000000002E-3</v>
      </c>
      <c r="AA6138">
        <v>0.99341199999999996</v>
      </c>
      <c r="AB6138">
        <v>29</v>
      </c>
      <c r="AC6138">
        <v>-37.148099999999999</v>
      </c>
      <c r="AD6138">
        <v>-1.1208412420279901</v>
      </c>
      <c r="AE6138">
        <v>-4.6765999999999996</v>
      </c>
      <c r="AF6138">
        <v>-4.3098255339711304</v>
      </c>
      <c r="AG6138">
        <v>-1.1208412420279901</v>
      </c>
      <c r="AH6138">
        <v>37.158688463496198</v>
      </c>
      <c r="AI6138">
        <v>91.716227170948997</v>
      </c>
      <c r="AJ6138">
        <v>96.615851914366402</v>
      </c>
      <c r="AK6138">
        <v>37.424577613518402</v>
      </c>
      <c r="AL6138">
        <v>92.519169672333604</v>
      </c>
      <c r="AM6138">
        <v>90.977417479992596</v>
      </c>
      <c r="AN6138">
        <v>0.99999999143953699</v>
      </c>
    </row>
    <row r="6139" spans="1:40" x14ac:dyDescent="0.25">
      <c r="A6139" t="str">
        <f>"20190303153930919"</f>
        <v>20190303153930919</v>
      </c>
      <c r="B6139" t="str">
        <f>"1551598770914961"</f>
        <v>1551598770914961</v>
      </c>
      <c r="C6139" t="s">
        <v>40</v>
      </c>
      <c r="D6139">
        <v>4.0512220000000001</v>
      </c>
      <c r="E6139">
        <v>0.46515630000000002</v>
      </c>
      <c r="F6139" t="s">
        <v>42</v>
      </c>
      <c r="G6139">
        <v>-387.91300000000001</v>
      </c>
      <c r="H6139" s="1">
        <v>-1.4936580000000001E-6</v>
      </c>
      <c r="I6139">
        <v>136.61930000000001</v>
      </c>
      <c r="J6139">
        <v>-348.98410000000001</v>
      </c>
      <c r="K6139">
        <v>1.120851</v>
      </c>
      <c r="L6139">
        <v>141.41929999999999</v>
      </c>
      <c r="M6139">
        <v>-0.99989119999999998</v>
      </c>
      <c r="N6139">
        <v>-1.0960879999999999E-2</v>
      </c>
      <c r="O6139">
        <v>-9.8738479999999993E-3</v>
      </c>
      <c r="P6139">
        <v>-0.99811130000000003</v>
      </c>
      <c r="Q6139">
        <v>-5.4986350000000003E-2</v>
      </c>
      <c r="R6139">
        <v>-2.7389460000000001E-2</v>
      </c>
      <c r="S6139">
        <v>-2.991028</v>
      </c>
      <c r="T6139">
        <v>-8.5650439999999994E-2</v>
      </c>
      <c r="U6139">
        <v>-0.36695860000000002</v>
      </c>
      <c r="V6139">
        <v>-1.752188E-2</v>
      </c>
      <c r="W6139">
        <v>-4.4044729999999997E-2</v>
      </c>
      <c r="X6139">
        <v>0.99887590000000004</v>
      </c>
      <c r="Y6139">
        <v>-0.1119053</v>
      </c>
      <c r="Z6139">
        <v>-2.0379550000000001E-3</v>
      </c>
      <c r="AA6139">
        <v>0.99371679999999996</v>
      </c>
      <c r="AB6139">
        <v>29</v>
      </c>
      <c r="AC6139">
        <v>-38.928899999999999</v>
      </c>
      <c r="AD6139">
        <v>-1.120852493658</v>
      </c>
      <c r="AE6139">
        <v>-4.7999999999999803</v>
      </c>
      <c r="AF6139">
        <v>-4.41176229452768</v>
      </c>
      <c r="AG6139">
        <v>-1.120852493658</v>
      </c>
      <c r="AH6139">
        <v>38.942599583669697</v>
      </c>
      <c r="AI6139">
        <v>91.638168528630004</v>
      </c>
      <c r="AJ6139">
        <v>96.463415659598994</v>
      </c>
      <c r="AK6139">
        <v>39.207729074635097</v>
      </c>
      <c r="AL6139">
        <v>92.524393759647893</v>
      </c>
      <c r="AM6139">
        <v>91.004956491433802</v>
      </c>
      <c r="AN6139">
        <v>1.00000000906015</v>
      </c>
    </row>
    <row r="6140" spans="1:40" x14ac:dyDescent="0.25">
      <c r="A6140" t="str">
        <f>"20190303153930934"</f>
        <v>20190303153930934</v>
      </c>
      <c r="B6140" t="str">
        <f>"1551598770924720"</f>
        <v>1551598770924720</v>
      </c>
      <c r="C6140" t="s">
        <v>40</v>
      </c>
      <c r="D6140">
        <v>4.0182159999999998</v>
      </c>
      <c r="E6140">
        <v>0.46544390000000002</v>
      </c>
      <c r="F6140" t="s">
        <v>42</v>
      </c>
      <c r="G6140">
        <v>-389.03280000000001</v>
      </c>
      <c r="H6140" s="1">
        <v>-1.1247709999999899E-6</v>
      </c>
      <c r="I6140">
        <v>136.5736</v>
      </c>
      <c r="J6140">
        <v>-349.17149999999998</v>
      </c>
      <c r="K6140">
        <v>1.120873</v>
      </c>
      <c r="L6140">
        <v>141.41739999999999</v>
      </c>
      <c r="M6140">
        <v>-0.99989059999999996</v>
      </c>
      <c r="N6140">
        <v>-1.093568E-2</v>
      </c>
      <c r="O6140">
        <v>-9.9725430000000004E-3</v>
      </c>
      <c r="P6140">
        <v>-0.99811079999999996</v>
      </c>
      <c r="Q6140">
        <v>-5.4890769999999998E-2</v>
      </c>
      <c r="R6140">
        <v>-2.761081E-2</v>
      </c>
      <c r="S6140">
        <v>-2.9911189999999999</v>
      </c>
      <c r="T6140">
        <v>-8.3713289999999996E-2</v>
      </c>
      <c r="U6140">
        <v>-0.36190800000000001</v>
      </c>
      <c r="V6140">
        <v>-1.764435E-2</v>
      </c>
      <c r="W6140">
        <v>-4.3974350000000002E-2</v>
      </c>
      <c r="X6140">
        <v>0.99887680000000001</v>
      </c>
      <c r="Y6140">
        <v>-0.1101533</v>
      </c>
      <c r="Z6140">
        <v>-1.9708949999999999E-3</v>
      </c>
      <c r="AA6140">
        <v>0.99391260000000003</v>
      </c>
      <c r="AB6140">
        <v>29</v>
      </c>
      <c r="AC6140">
        <v>-39.8613</v>
      </c>
      <c r="AD6140">
        <v>-1.1208741247709999</v>
      </c>
      <c r="AE6140">
        <v>-4.8437999999999803</v>
      </c>
      <c r="AF6140">
        <v>-4.4425552480170802</v>
      </c>
      <c r="AG6140">
        <v>-1.1208741247709999</v>
      </c>
      <c r="AH6140">
        <v>39.876553953157298</v>
      </c>
      <c r="AI6140">
        <v>91.600185554913907</v>
      </c>
      <c r="AJ6140">
        <v>96.356977380472898</v>
      </c>
      <c r="AK6140">
        <v>40.138911434097601</v>
      </c>
      <c r="AL6140">
        <v>92.520357485394896</v>
      </c>
      <c r="AM6140">
        <v>91.0119783145486</v>
      </c>
      <c r="AN6140">
        <v>0.99999996406154101</v>
      </c>
    </row>
    <row r="6141" spans="1:40" x14ac:dyDescent="0.25">
      <c r="A6141" t="str">
        <f>"20190303153930948"</f>
        <v>20190303153930948</v>
      </c>
      <c r="B6141" t="str">
        <f>"1551598770934481"</f>
        <v>1551598770934481</v>
      </c>
      <c r="C6141" t="s">
        <v>40</v>
      </c>
      <c r="D6141">
        <v>4.0525539999999998</v>
      </c>
      <c r="E6141">
        <v>0.46576060000000002</v>
      </c>
      <c r="F6141" t="s">
        <v>42</v>
      </c>
      <c r="G6141">
        <v>-389.6447</v>
      </c>
      <c r="H6141" s="1">
        <v>-9.2481080000000002E-7</v>
      </c>
      <c r="I6141">
        <v>136.54239999999999</v>
      </c>
      <c r="J6141">
        <v>-349.34620000000001</v>
      </c>
      <c r="K6141">
        <v>1.1209020000000001</v>
      </c>
      <c r="L6141">
        <v>141.41550000000001</v>
      </c>
      <c r="M6141">
        <v>-0.99988920000000003</v>
      </c>
      <c r="N6141">
        <v>-1.0958890000000001E-2</v>
      </c>
      <c r="O6141">
        <v>-1.006483E-2</v>
      </c>
      <c r="P6141">
        <v>-0.99807670000000004</v>
      </c>
      <c r="Q6141">
        <v>-5.5095020000000001E-2</v>
      </c>
      <c r="R6141">
        <v>-2.841664E-2</v>
      </c>
      <c r="S6141">
        <v>-2.9911500000000002</v>
      </c>
      <c r="T6141">
        <v>-8.28377E-2</v>
      </c>
      <c r="U6141">
        <v>-0.36027530000000002</v>
      </c>
      <c r="V6141">
        <v>-1.835817E-2</v>
      </c>
      <c r="W6141">
        <v>-4.4155920000000001E-2</v>
      </c>
      <c r="X6141">
        <v>0.99885590000000002</v>
      </c>
      <c r="Y6141">
        <v>-0.1095269</v>
      </c>
      <c r="Z6141">
        <v>-1.9456460000000001E-3</v>
      </c>
      <c r="AA6141">
        <v>0.99398189999999997</v>
      </c>
      <c r="AB6141">
        <v>29</v>
      </c>
      <c r="AC6141">
        <v>-40.298499999999898</v>
      </c>
      <c r="AD6141">
        <v>-1.1209029248108</v>
      </c>
      <c r="AE6141">
        <v>-4.8731000000000204</v>
      </c>
      <c r="AF6141">
        <v>-4.4638274154686899</v>
      </c>
      <c r="AG6141">
        <v>-1.1209029248108</v>
      </c>
      <c r="AH6141">
        <v>40.314767457734902</v>
      </c>
      <c r="AI6141">
        <v>91.582960010076604</v>
      </c>
      <c r="AJ6141">
        <v>96.318302674207999</v>
      </c>
      <c r="AK6141">
        <v>40.576626938832398</v>
      </c>
      <c r="AL6141">
        <v>92.530770860518899</v>
      </c>
      <c r="AM6141">
        <v>91.052931907942707</v>
      </c>
      <c r="AN6141">
        <v>0.99999993832080003</v>
      </c>
    </row>
    <row r="6142" spans="1:40" x14ac:dyDescent="0.25">
      <c r="A6142" t="str">
        <f>"20190303153930971"</f>
        <v>20190303153930971</v>
      </c>
      <c r="B6142" t="str">
        <f>"1551598770964737"</f>
        <v>1551598770964737</v>
      </c>
      <c r="C6142" t="s">
        <v>40</v>
      </c>
      <c r="D6142">
        <v>4.0216659999999997</v>
      </c>
      <c r="E6142">
        <v>0.4664142</v>
      </c>
      <c r="F6142" t="s">
        <v>42</v>
      </c>
      <c r="G6142">
        <v>-389.58620000000002</v>
      </c>
      <c r="H6142" s="1">
        <v>-9.3762670000000001E-7</v>
      </c>
      <c r="I6142">
        <v>136.5692</v>
      </c>
      <c r="J6142">
        <v>-349.63040000000001</v>
      </c>
      <c r="K6142">
        <v>1.120973</v>
      </c>
      <c r="L6142">
        <v>141.41249999999999</v>
      </c>
      <c r="M6142">
        <v>-0.99988619999999995</v>
      </c>
      <c r="N6142">
        <v>-1.112318E-2</v>
      </c>
      <c r="O6142">
        <v>-1.0204329999999999E-2</v>
      </c>
      <c r="P6142">
        <v>-0.99802230000000003</v>
      </c>
      <c r="Q6142">
        <v>-5.568708E-2</v>
      </c>
      <c r="R6142">
        <v>-2.916697E-2</v>
      </c>
      <c r="S6142">
        <v>-2.990936</v>
      </c>
      <c r="T6142">
        <v>-8.3313940000000003E-2</v>
      </c>
      <c r="U6142">
        <v>-0.36021419999999998</v>
      </c>
      <c r="V6142">
        <v>-1.8968889999999999E-2</v>
      </c>
      <c r="W6142">
        <v>-4.458467E-2</v>
      </c>
      <c r="X6142">
        <v>0.99882550000000003</v>
      </c>
      <c r="Y6142">
        <v>-0.1093759</v>
      </c>
      <c r="Z6142">
        <v>-1.958244E-3</v>
      </c>
      <c r="AA6142">
        <v>0.99399850000000001</v>
      </c>
      <c r="AB6142">
        <v>29</v>
      </c>
      <c r="AC6142">
        <v>-39.955800000000004</v>
      </c>
      <c r="AD6142">
        <v>-1.1209739376267001</v>
      </c>
      <c r="AE6142">
        <v>-4.8432999999999904</v>
      </c>
      <c r="AF6142">
        <v>-4.4318626430343997</v>
      </c>
      <c r="AG6142">
        <v>-1.1209739376267001</v>
      </c>
      <c r="AH6142">
        <v>39.972138522923402</v>
      </c>
      <c r="AI6142">
        <v>91.596596660012594</v>
      </c>
      <c r="AJ6142">
        <v>96.3267599346145</v>
      </c>
      <c r="AK6142">
        <v>40.232696245110702</v>
      </c>
      <c r="AL6142">
        <v>92.555360498598205</v>
      </c>
      <c r="AM6142">
        <v>91.087984543586998</v>
      </c>
      <c r="AN6142">
        <v>0.99999999551854502</v>
      </c>
    </row>
    <row r="6143" spans="1:40" x14ac:dyDescent="0.25">
      <c r="A6143" t="str">
        <f>"20190303153930992"</f>
        <v>20190303153930992</v>
      </c>
      <c r="B6143" t="str">
        <f>"1551598770984256"</f>
        <v>1551598770984256</v>
      </c>
      <c r="C6143" t="s">
        <v>40</v>
      </c>
      <c r="D6143">
        <v>4.0115879999999997</v>
      </c>
      <c r="E6143">
        <v>0.4667791</v>
      </c>
      <c r="F6143" t="s">
        <v>42</v>
      </c>
      <c r="G6143">
        <v>-389.51049999999998</v>
      </c>
      <c r="H6143" s="1">
        <v>-9.4213840000000001E-7</v>
      </c>
      <c r="I6143">
        <v>136.649</v>
      </c>
      <c r="J6143">
        <v>-349.90640000000002</v>
      </c>
      <c r="K6143">
        <v>1.1210439999999999</v>
      </c>
      <c r="L6143">
        <v>141.40950000000001</v>
      </c>
      <c r="M6143">
        <v>-0.99988220000000005</v>
      </c>
      <c r="N6143">
        <v>-1.136267E-2</v>
      </c>
      <c r="O6143">
        <v>-1.0342759999999999E-2</v>
      </c>
      <c r="P6143">
        <v>-0.99796530000000006</v>
      </c>
      <c r="Q6143">
        <v>-5.6343020000000001E-2</v>
      </c>
      <c r="R6143">
        <v>-2.9854410000000001E-2</v>
      </c>
      <c r="S6143">
        <v>-2.9908450000000002</v>
      </c>
      <c r="T6143">
        <v>-8.4068660000000003E-2</v>
      </c>
      <c r="U6143">
        <v>-0.35723880000000002</v>
      </c>
      <c r="V6143">
        <v>-1.951862E-2</v>
      </c>
      <c r="W6143">
        <v>-4.5001939999999997E-2</v>
      </c>
      <c r="X6143">
        <v>0.99879620000000002</v>
      </c>
      <c r="Y6143">
        <v>-0.1082663</v>
      </c>
      <c r="Z6143">
        <v>-1.9609190000000002E-3</v>
      </c>
      <c r="AA6143">
        <v>0.99412</v>
      </c>
      <c r="AB6143">
        <v>29</v>
      </c>
      <c r="AC6143">
        <v>-39.604099999999903</v>
      </c>
      <c r="AD6143">
        <v>-1.1210449421383999</v>
      </c>
      <c r="AE6143">
        <v>-4.7605000000000004</v>
      </c>
      <c r="AF6143">
        <v>-4.3471697521890702</v>
      </c>
      <c r="AG6143">
        <v>-1.1210449421383999</v>
      </c>
      <c r="AH6143">
        <v>39.619928109469299</v>
      </c>
      <c r="AI6143">
        <v>91.611086631856793</v>
      </c>
      <c r="AJ6143">
        <v>96.261548783908495</v>
      </c>
      <c r="AK6143">
        <v>39.873466491091001</v>
      </c>
      <c r="AL6143">
        <v>92.579292317837997</v>
      </c>
      <c r="AM6143">
        <v>91.119539920405003</v>
      </c>
      <c r="AN6143">
        <v>1.0000000001324501</v>
      </c>
    </row>
    <row r="6144" spans="1:40" x14ac:dyDescent="0.25">
      <c r="A6144" t="str">
        <f>"20190303153931009"</f>
        <v>20190303153931009</v>
      </c>
      <c r="B6144" t="str">
        <f>"1551598771004752"</f>
        <v>1551598771004752</v>
      </c>
      <c r="C6144" t="s">
        <v>40</v>
      </c>
      <c r="D6144">
        <v>4.0059490000000002</v>
      </c>
      <c r="E6144">
        <v>0.4670221</v>
      </c>
      <c r="F6144" t="s">
        <v>42</v>
      </c>
      <c r="G6144">
        <v>-389.12279999999998</v>
      </c>
      <c r="H6144" s="1">
        <v>-1.051056E-6</v>
      </c>
      <c r="I6144">
        <v>136.7355</v>
      </c>
      <c r="J6144">
        <v>-350.13040000000001</v>
      </c>
      <c r="K6144">
        <v>1.121092</v>
      </c>
      <c r="L6144">
        <v>141.40710000000001</v>
      </c>
      <c r="M6144">
        <v>-0.9998785</v>
      </c>
      <c r="N6144">
        <v>-1.157039E-2</v>
      </c>
      <c r="O6144">
        <v>-1.045919E-2</v>
      </c>
      <c r="P6144">
        <v>-0.99794300000000002</v>
      </c>
      <c r="Q6144">
        <v>-5.6592770000000001E-2</v>
      </c>
      <c r="R6144">
        <v>-3.0120790000000001E-2</v>
      </c>
      <c r="S6144">
        <v>-2.990631</v>
      </c>
      <c r="T6144">
        <v>-8.5490699999999906E-2</v>
      </c>
      <c r="U6144">
        <v>-0.35643010000000003</v>
      </c>
      <c r="V6144">
        <v>-1.9669559999999999E-2</v>
      </c>
      <c r="W6144">
        <v>-4.5044290000000001E-2</v>
      </c>
      <c r="X6144">
        <v>0.99879130000000005</v>
      </c>
      <c r="Y6144">
        <v>-0.107892</v>
      </c>
      <c r="Z6144">
        <v>-1.9857149999999999E-3</v>
      </c>
      <c r="AA6144">
        <v>0.99416070000000001</v>
      </c>
      <c r="AB6144">
        <v>29</v>
      </c>
      <c r="AC6144">
        <v>-38.992399999999897</v>
      </c>
      <c r="AD6144">
        <v>-1.121093051056</v>
      </c>
      <c r="AE6144">
        <v>-4.6716000000000104</v>
      </c>
      <c r="AF6144">
        <v>-4.2600165472337999</v>
      </c>
      <c r="AG6144">
        <v>-1.121093051056</v>
      </c>
      <c r="AH6144">
        <v>39.007342047014802</v>
      </c>
      <c r="AI6144">
        <v>91.636534718547594</v>
      </c>
      <c r="AJ6144">
        <v>96.232608020367607</v>
      </c>
      <c r="AK6144">
        <v>39.255284028836698</v>
      </c>
      <c r="AL6144">
        <v>92.581721334238395</v>
      </c>
      <c r="AM6144">
        <v>91.128200771008395</v>
      </c>
      <c r="AN6144">
        <v>0.99999997030394305</v>
      </c>
    </row>
    <row r="6145" spans="1:40" x14ac:dyDescent="0.25">
      <c r="A6145" t="str">
        <f>"20190303153931022"</f>
        <v>20190303153931022</v>
      </c>
      <c r="B6145" t="str">
        <f>"1551598771014513"</f>
        <v>1551598771014513</v>
      </c>
      <c r="C6145" t="s">
        <v>40</v>
      </c>
      <c r="D6145">
        <v>3.9963000000000002</v>
      </c>
      <c r="E6145">
        <v>0.46709620000000002</v>
      </c>
      <c r="F6145" t="s">
        <v>42</v>
      </c>
      <c r="G6145">
        <v>-389.33269999999999</v>
      </c>
      <c r="H6145" s="1">
        <v>-9.7572239999999998E-7</v>
      </c>
      <c r="I6145">
        <v>136.7501</v>
      </c>
      <c r="J6145">
        <v>-350.29899999999998</v>
      </c>
      <c r="K6145">
        <v>1.121119</v>
      </c>
      <c r="L6145">
        <v>141.40520000000001</v>
      </c>
      <c r="M6145">
        <v>-0.99987579999999998</v>
      </c>
      <c r="N6145">
        <v>-1.1723549999999999E-2</v>
      </c>
      <c r="O6145">
        <v>-1.0548989999999999E-2</v>
      </c>
      <c r="P6145">
        <v>-0.9979382</v>
      </c>
      <c r="Q6145">
        <v>-5.6569920000000003E-2</v>
      </c>
      <c r="R6145">
        <v>-3.0325169999999999E-2</v>
      </c>
      <c r="S6145">
        <v>-2.9906009999999998</v>
      </c>
      <c r="T6145">
        <v>-8.5524080000000002E-2</v>
      </c>
      <c r="U6145">
        <v>-0.35525509999999999</v>
      </c>
      <c r="V6145">
        <v>-1.9784019999999999E-2</v>
      </c>
      <c r="W6145">
        <v>-4.4868379999999999E-2</v>
      </c>
      <c r="X6145">
        <v>0.99879700000000005</v>
      </c>
      <c r="Y6145">
        <v>-0.10741879999999999</v>
      </c>
      <c r="Z6145">
        <v>-1.9850839999999998E-3</v>
      </c>
      <c r="AA6145">
        <v>0.99421190000000004</v>
      </c>
      <c r="AB6145">
        <v>29</v>
      </c>
      <c r="AC6145">
        <v>-39.033699999999897</v>
      </c>
      <c r="AD6145">
        <v>-1.1211199757224</v>
      </c>
      <c r="AE6145">
        <v>-4.6551</v>
      </c>
      <c r="AF6145">
        <v>-4.2395982153018501</v>
      </c>
      <c r="AG6145">
        <v>-1.1211199757224</v>
      </c>
      <c r="AH6145">
        <v>39.048876326625901</v>
      </c>
      <c r="AI6145">
        <v>91.634946579856603</v>
      </c>
      <c r="AJ6145">
        <v>96.196422026421899</v>
      </c>
      <c r="AK6145">
        <v>39.294348771792599</v>
      </c>
      <c r="AL6145">
        <v>92.571632122690005</v>
      </c>
      <c r="AM6145">
        <v>91.134757747680894</v>
      </c>
      <c r="AN6145">
        <v>1.0000000130900899</v>
      </c>
    </row>
    <row r="6146" spans="1:40" x14ac:dyDescent="0.25">
      <c r="A6146" t="str">
        <f>"20190303153931037"</f>
        <v>20190303153931037</v>
      </c>
      <c r="B6146" t="str">
        <f>"1551598771024273"</f>
        <v>1551598771024273</v>
      </c>
      <c r="C6146" t="s">
        <v>40</v>
      </c>
      <c r="D6146">
        <v>4.0068650000000003</v>
      </c>
      <c r="E6146">
        <v>0.46721760000000001</v>
      </c>
      <c r="F6146" t="s">
        <v>42</v>
      </c>
      <c r="G6146">
        <v>-389.41550000000001</v>
      </c>
      <c r="H6146" s="1">
        <v>-9.4504100000000002E-7</v>
      </c>
      <c r="I6146">
        <v>136.75960000000001</v>
      </c>
      <c r="J6146">
        <v>-350.47899999999998</v>
      </c>
      <c r="K6146">
        <v>1.12114</v>
      </c>
      <c r="L6146">
        <v>141.4032</v>
      </c>
      <c r="M6146">
        <v>-0.99987289999999995</v>
      </c>
      <c r="N6146">
        <v>-1.188405E-2</v>
      </c>
      <c r="O6146">
        <v>-1.064469E-2</v>
      </c>
      <c r="P6146">
        <v>-0.99795639999999997</v>
      </c>
      <c r="Q6146">
        <v>-5.6420669999999999E-2</v>
      </c>
      <c r="R6146">
        <v>-3.0003579999999998E-2</v>
      </c>
      <c r="S6146">
        <v>-2.9905400000000002</v>
      </c>
      <c r="T6146">
        <v>-8.5712189999999994E-2</v>
      </c>
      <c r="U6146">
        <v>-0.35516360000000002</v>
      </c>
      <c r="V6146">
        <v>-1.9367559999999999E-2</v>
      </c>
      <c r="W6146">
        <v>-4.4558439999999998E-2</v>
      </c>
      <c r="X6146">
        <v>0.99881909999999896</v>
      </c>
      <c r="Y6146">
        <v>-0.1072956</v>
      </c>
      <c r="Z6146">
        <v>-1.9940650000000002E-3</v>
      </c>
      <c r="AA6146">
        <v>0.99422509999999997</v>
      </c>
      <c r="AB6146">
        <v>29</v>
      </c>
      <c r="AC6146">
        <v>-38.936499999999903</v>
      </c>
      <c r="AD6146">
        <v>-1.1211409450409999</v>
      </c>
      <c r="AE6146">
        <v>-4.6435999999999904</v>
      </c>
      <c r="AF6146">
        <v>-4.2253865676765203</v>
      </c>
      <c r="AG6146">
        <v>-1.1211409450409999</v>
      </c>
      <c r="AH6146">
        <v>38.951884765090099</v>
      </c>
      <c r="AI6146">
        <v>91.639062681138995</v>
      </c>
      <c r="AJ6146">
        <v>96.191070358464003</v>
      </c>
      <c r="AK6146">
        <v>39.196430646396998</v>
      </c>
      <c r="AL6146">
        <v>92.553855930239706</v>
      </c>
      <c r="AM6146">
        <v>91.110852208128605</v>
      </c>
      <c r="AN6146">
        <v>1.0000000757401899</v>
      </c>
    </row>
    <row r="6147" spans="1:40" x14ac:dyDescent="0.25">
      <c r="A6147" t="str">
        <f>"20190303153931054"</f>
        <v>20190303153931054</v>
      </c>
      <c r="B6147" t="str">
        <f>"1551598771044769"</f>
        <v>1551598771044769</v>
      </c>
      <c r="C6147" t="s">
        <v>40</v>
      </c>
      <c r="D6147">
        <v>4.0078760000000004</v>
      </c>
      <c r="E6147">
        <v>0.46732580000000001</v>
      </c>
      <c r="F6147" t="s">
        <v>42</v>
      </c>
      <c r="G6147">
        <v>-390.2047</v>
      </c>
      <c r="H6147" s="1">
        <v>-4.6999630000000004E-6</v>
      </c>
      <c r="I6147">
        <v>136.71010000000001</v>
      </c>
      <c r="J6147">
        <v>-350.70530000000002</v>
      </c>
      <c r="K6147">
        <v>1.12117</v>
      </c>
      <c r="L6147">
        <v>141.4007</v>
      </c>
      <c r="M6147">
        <v>-0.99986920000000001</v>
      </c>
      <c r="N6147">
        <v>-1.2080240000000001E-2</v>
      </c>
      <c r="O6147">
        <v>-1.076363E-2</v>
      </c>
      <c r="P6147">
        <v>-0.99795009999999995</v>
      </c>
      <c r="Q6147">
        <v>-5.6600409999999997E-2</v>
      </c>
      <c r="R6147">
        <v>-2.986842E-2</v>
      </c>
      <c r="S6147">
        <v>-2.9907530000000002</v>
      </c>
      <c r="T6147">
        <v>-8.4405659999999993E-2</v>
      </c>
      <c r="U6147">
        <v>-0.3533173</v>
      </c>
      <c r="V6147">
        <v>-1.9113709999999999E-2</v>
      </c>
      <c r="W6147">
        <v>-4.4542150000000003E-2</v>
      </c>
      <c r="X6147">
        <v>0.99882470000000001</v>
      </c>
      <c r="Y6147">
        <v>-0.1065653</v>
      </c>
      <c r="Z6147">
        <v>-1.9713299999999999E-3</v>
      </c>
      <c r="AA6147">
        <v>0.99430379999999996</v>
      </c>
      <c r="AB6147">
        <v>28</v>
      </c>
      <c r="AC6147">
        <v>-39.499399999999902</v>
      </c>
      <c r="AD6147">
        <v>-1.1211746999629999</v>
      </c>
      <c r="AE6147">
        <v>-4.6905999999999803</v>
      </c>
      <c r="AF6147">
        <v>-4.2617544406325196</v>
      </c>
      <c r="AG6147">
        <v>-1.1211746999629999</v>
      </c>
      <c r="AH6147">
        <v>39.516208134013503</v>
      </c>
      <c r="AI6147">
        <v>91.615825223277994</v>
      </c>
      <c r="AJ6147">
        <v>96.155458697706194</v>
      </c>
      <c r="AK6147">
        <v>39.761165587929597</v>
      </c>
      <c r="AL6147">
        <v>92.552921696756101</v>
      </c>
      <c r="AM6147">
        <v>91.096289735182197</v>
      </c>
      <c r="AN6147">
        <v>1.00000005918333</v>
      </c>
    </row>
    <row r="6148" spans="1:40" x14ac:dyDescent="0.25">
      <c r="A6148" t="str">
        <f>"20190303153931072"</f>
        <v>20190303153931072</v>
      </c>
      <c r="B6148" t="str">
        <f>"1551598771064290"</f>
        <v>1551598771064290</v>
      </c>
      <c r="C6148" t="s">
        <v>40</v>
      </c>
      <c r="D6148">
        <v>4.0113019999999997</v>
      </c>
      <c r="E6148">
        <v>0.46735510000000002</v>
      </c>
      <c r="F6148" t="s">
        <v>42</v>
      </c>
      <c r="G6148">
        <v>-390.33760000000001</v>
      </c>
      <c r="H6148" s="1">
        <v>-4.6384579999999998E-6</v>
      </c>
      <c r="I6148">
        <v>136.7354</v>
      </c>
      <c r="J6148">
        <v>-350.91570000000002</v>
      </c>
      <c r="K6148">
        <v>1.121192</v>
      </c>
      <c r="L6148">
        <v>141.39830000000001</v>
      </c>
      <c r="M6148">
        <v>-0.99986580000000003</v>
      </c>
      <c r="N6148">
        <v>-1.225656E-2</v>
      </c>
      <c r="O6148">
        <v>-1.0872710000000001E-2</v>
      </c>
      <c r="P6148">
        <v>-0.99801030000000002</v>
      </c>
      <c r="Q6148">
        <v>-5.5842349999999999E-2</v>
      </c>
      <c r="R6148">
        <v>-2.9285370000000002E-2</v>
      </c>
      <c r="S6148">
        <v>-2.9907840000000001</v>
      </c>
      <c r="T6148">
        <v>-8.4607600000000005E-2</v>
      </c>
      <c r="U6148">
        <v>-0.3520508</v>
      </c>
      <c r="V6148">
        <v>-1.8421010000000002E-2</v>
      </c>
      <c r="W6148">
        <v>-4.3607180000000002E-2</v>
      </c>
      <c r="X6148">
        <v>0.99887890000000001</v>
      </c>
      <c r="Y6148">
        <v>-0.1060401</v>
      </c>
      <c r="Z6148">
        <v>-1.9731449999999999E-3</v>
      </c>
      <c r="AA6148">
        <v>0.99435989999999996</v>
      </c>
      <c r="AB6148">
        <v>28</v>
      </c>
      <c r="AC6148">
        <v>-39.421900000000001</v>
      </c>
      <c r="AD6148">
        <v>-1.1211966384580001</v>
      </c>
      <c r="AE6148">
        <v>-4.6628999999999996</v>
      </c>
      <c r="AF6148">
        <v>-4.2305944026360001</v>
      </c>
      <c r="AG6148">
        <v>-1.1211966384580001</v>
      </c>
      <c r="AH6148">
        <v>39.438810180400999</v>
      </c>
      <c r="AI6148">
        <v>91.619125755121203</v>
      </c>
      <c r="AJ6148">
        <v>96.122695824684598</v>
      </c>
      <c r="AK6148">
        <v>39.680911775656099</v>
      </c>
      <c r="AL6148">
        <v>92.4992999325695</v>
      </c>
      <c r="AM6148">
        <v>91.056510955297796</v>
      </c>
      <c r="AN6148">
        <v>0.99999998831109105</v>
      </c>
    </row>
    <row r="6149" spans="1:40" x14ac:dyDescent="0.25">
      <c r="A6149" t="str">
        <f>"20190303153931093"</f>
        <v>20190303153931093</v>
      </c>
      <c r="B6149" t="str">
        <f>"1551598771084785"</f>
        <v>1551598771084785</v>
      </c>
      <c r="C6149" t="s">
        <v>40</v>
      </c>
      <c r="D6149">
        <v>4.0139079999999998</v>
      </c>
      <c r="E6149">
        <v>0.46740310000000002</v>
      </c>
      <c r="F6149" t="s">
        <v>42</v>
      </c>
      <c r="G6149">
        <v>-391.5856</v>
      </c>
      <c r="H6149" s="1">
        <v>-4.1204109999999996E-6</v>
      </c>
      <c r="I6149">
        <v>136.63759999999999</v>
      </c>
      <c r="J6149">
        <v>-351.19600000000003</v>
      </c>
      <c r="K6149">
        <v>1.121218</v>
      </c>
      <c r="L6149">
        <v>141.39510000000001</v>
      </c>
      <c r="M6149">
        <v>-0.99986140000000001</v>
      </c>
      <c r="N6149">
        <v>-1.2476020000000001E-2</v>
      </c>
      <c r="O6149">
        <v>-1.1015E-2</v>
      </c>
      <c r="P6149">
        <v>-0.99806229999999996</v>
      </c>
      <c r="Q6149">
        <v>-5.5152609999999998E-2</v>
      </c>
      <c r="R6149">
        <v>-2.880361E-2</v>
      </c>
      <c r="S6149">
        <v>-2.9911189999999999</v>
      </c>
      <c r="T6149">
        <v>-8.2459930000000001E-2</v>
      </c>
      <c r="U6149">
        <v>-0.3501282</v>
      </c>
      <c r="V6149">
        <v>-1.7797279999999999E-2</v>
      </c>
      <c r="W6149">
        <v>-4.2697539999999999E-2</v>
      </c>
      <c r="X6149">
        <v>0.99892950000000003</v>
      </c>
      <c r="Y6149">
        <v>-0.10525760000000001</v>
      </c>
      <c r="Z6149">
        <v>-1.939163E-3</v>
      </c>
      <c r="AA6149">
        <v>0.99444310000000002</v>
      </c>
      <c r="AB6149">
        <v>28</v>
      </c>
      <c r="AC6149">
        <v>-40.389600000000002</v>
      </c>
      <c r="AD6149">
        <v>-1.121222120411</v>
      </c>
      <c r="AE6149">
        <v>-4.7575000000000198</v>
      </c>
      <c r="AF6149">
        <v>-4.3090100181048596</v>
      </c>
      <c r="AG6149">
        <v>-1.121222120411</v>
      </c>
      <c r="AH6149">
        <v>40.408843248331102</v>
      </c>
      <c r="AI6149">
        <v>91.580419717165697</v>
      </c>
      <c r="AJ6149">
        <v>96.086752444241398</v>
      </c>
      <c r="AK6149">
        <v>40.6534047657466</v>
      </c>
      <c r="AL6149">
        <v>92.447132813001303</v>
      </c>
      <c r="AM6149">
        <v>91.020693811247696</v>
      </c>
      <c r="AN6149">
        <v>0.99999998453384897</v>
      </c>
    </row>
    <row r="6150" spans="1:40" x14ac:dyDescent="0.25">
      <c r="A6150" t="str">
        <f>"20190303153931115"</f>
        <v>20190303153931115</v>
      </c>
      <c r="B6150" t="str">
        <f>"1551598771104305"</f>
        <v>1551598771104305</v>
      </c>
      <c r="C6150" t="s">
        <v>40</v>
      </c>
      <c r="D6150">
        <v>3.999536</v>
      </c>
      <c r="E6150">
        <v>0.46745550000000002</v>
      </c>
      <c r="F6150" t="s">
        <v>42</v>
      </c>
      <c r="G6150">
        <v>-392.89679999999998</v>
      </c>
      <c r="H6150" s="1">
        <v>-3.5752609999999999E-6</v>
      </c>
      <c r="I6150">
        <v>136.53980000000001</v>
      </c>
      <c r="J6150">
        <v>-351.4676</v>
      </c>
      <c r="K6150">
        <v>1.1212390000000001</v>
      </c>
      <c r="L6150">
        <v>141.392</v>
      </c>
      <c r="M6150">
        <v>-0.99985769999999996</v>
      </c>
      <c r="N6150">
        <v>-1.267019E-2</v>
      </c>
      <c r="O6150">
        <v>-1.1153440000000001E-2</v>
      </c>
      <c r="P6150">
        <v>-0.99810960000000004</v>
      </c>
      <c r="Q6150">
        <v>-5.446223E-2</v>
      </c>
      <c r="R6150">
        <v>-2.848326E-2</v>
      </c>
      <c r="S6150">
        <v>-2.991333</v>
      </c>
      <c r="T6150">
        <v>-8.0428840000000001E-2</v>
      </c>
      <c r="U6150">
        <v>-0.34828189999999998</v>
      </c>
      <c r="V6150">
        <v>-1.7338260000000001E-2</v>
      </c>
      <c r="W6150">
        <v>-4.1812559999999999E-2</v>
      </c>
      <c r="X6150">
        <v>0.99897499999999995</v>
      </c>
      <c r="Y6150">
        <v>-0.1045085</v>
      </c>
      <c r="Z6150">
        <v>-1.906584E-3</v>
      </c>
      <c r="AA6150">
        <v>0.99452220000000002</v>
      </c>
      <c r="AB6150">
        <v>28</v>
      </c>
      <c r="AC6150">
        <v>-41.429199999999902</v>
      </c>
      <c r="AD6150">
        <v>-1.12124257526099</v>
      </c>
      <c r="AE6150">
        <v>-4.8521999999999803</v>
      </c>
      <c r="AF6150">
        <v>-4.3866134709521898</v>
      </c>
      <c r="AG6150">
        <v>-1.12124257526099</v>
      </c>
      <c r="AH6150">
        <v>41.450795317263498</v>
      </c>
      <c r="AI6150">
        <v>91.540870832579699</v>
      </c>
      <c r="AJ6150">
        <v>96.040956027515094</v>
      </c>
      <c r="AK6150">
        <v>41.6973379856531</v>
      </c>
      <c r="AL6150">
        <v>92.396381879312798</v>
      </c>
      <c r="AM6150">
        <v>90.994328577889704</v>
      </c>
      <c r="AN6150">
        <v>0.99999997802928997</v>
      </c>
    </row>
    <row r="6151" spans="1:40" x14ac:dyDescent="0.25">
      <c r="A6151" t="str">
        <f>"20190303153931132"</f>
        <v>20190303153931132</v>
      </c>
      <c r="B6151" t="str">
        <f>"1551598771124801"</f>
        <v>1551598771124801</v>
      </c>
      <c r="C6151" t="s">
        <v>40</v>
      </c>
      <c r="D6151">
        <v>3.9947560000000002</v>
      </c>
      <c r="E6151">
        <v>0.46761049999999899</v>
      </c>
      <c r="F6151" t="s">
        <v>42</v>
      </c>
      <c r="G6151">
        <v>-394.3501</v>
      </c>
      <c r="H6151" s="1">
        <v>-2.9728609999999999E-6</v>
      </c>
      <c r="I6151">
        <v>136.42099999999999</v>
      </c>
      <c r="J6151">
        <v>-351.68119999999999</v>
      </c>
      <c r="K6151">
        <v>1.1212489999999999</v>
      </c>
      <c r="L6151">
        <v>141.3895</v>
      </c>
      <c r="M6151">
        <v>-0.99985469999999999</v>
      </c>
      <c r="N6151">
        <v>-1.2810230000000001E-2</v>
      </c>
      <c r="O6151">
        <v>-1.126257E-2</v>
      </c>
      <c r="P6151">
        <v>-0.99811539999999999</v>
      </c>
      <c r="Q6151">
        <v>-5.4338949999999997E-2</v>
      </c>
      <c r="R6151">
        <v>-2.8514959999999999E-2</v>
      </c>
      <c r="S6151">
        <v>-2.9915159999999998</v>
      </c>
      <c r="T6151">
        <v>-7.8218700000000002E-2</v>
      </c>
      <c r="U6151">
        <v>-0.3467712</v>
      </c>
      <c r="V6151">
        <v>-1.7260810000000001E-2</v>
      </c>
      <c r="W6151">
        <v>-4.1549250000000003E-2</v>
      </c>
      <c r="X6151">
        <v>0.99898739999999997</v>
      </c>
      <c r="Y6151">
        <v>-0.1038999</v>
      </c>
      <c r="Z6151">
        <v>-1.87189E-3</v>
      </c>
      <c r="AA6151">
        <v>0.99458599999999997</v>
      </c>
      <c r="AB6151">
        <v>28</v>
      </c>
      <c r="AC6151">
        <v>-42.668900000000001</v>
      </c>
      <c r="AD6151">
        <v>-1.121251972861</v>
      </c>
      <c r="AE6151">
        <v>-4.9684999999999997</v>
      </c>
      <c r="AF6151">
        <v>-4.4845287204800197</v>
      </c>
      <c r="AG6151">
        <v>-1.121251972861</v>
      </c>
      <c r="AH6151">
        <v>42.693069424557301</v>
      </c>
      <c r="AI6151">
        <v>91.496190652225906</v>
      </c>
      <c r="AJ6151">
        <v>95.996424433817396</v>
      </c>
      <c r="AK6151">
        <v>42.942594014818503</v>
      </c>
      <c r="AL6151">
        <v>92.3812820324288</v>
      </c>
      <c r="AM6151">
        <v>90.989875513736905</v>
      </c>
      <c r="AN6151">
        <v>1.0000000505480799</v>
      </c>
    </row>
    <row r="6152" spans="1:40" x14ac:dyDescent="0.25">
      <c r="A6152" t="str">
        <f>"20190303153931149"</f>
        <v>20190303153931149</v>
      </c>
      <c r="B6152" t="str">
        <f>"1551598771144321"</f>
        <v>1551598771144321</v>
      </c>
      <c r="C6152" t="s">
        <v>40</v>
      </c>
      <c r="D6152">
        <v>4.0725730000000002</v>
      </c>
      <c r="E6152">
        <v>0.46769369999999999</v>
      </c>
      <c r="F6152" t="s">
        <v>42</v>
      </c>
      <c r="G6152">
        <v>-395.03609999999998</v>
      </c>
      <c r="H6152" s="1">
        <v>-2.685886E-6</v>
      </c>
      <c r="I6152">
        <v>136.37970000000001</v>
      </c>
      <c r="J6152">
        <v>-351.90100000000001</v>
      </c>
      <c r="K6152">
        <v>1.1212580000000001</v>
      </c>
      <c r="L6152">
        <v>141.3869</v>
      </c>
      <c r="M6152">
        <v>-0.9998515</v>
      </c>
      <c r="N6152">
        <v>-1.2942230000000001E-2</v>
      </c>
      <c r="O6152">
        <v>-1.13756E-2</v>
      </c>
      <c r="P6152">
        <v>-0.99812020000000001</v>
      </c>
      <c r="Q6152">
        <v>-5.4268360000000002E-2</v>
      </c>
      <c r="R6152">
        <v>-2.8480680000000001E-2</v>
      </c>
      <c r="S6152">
        <v>-2.9915470000000002</v>
      </c>
      <c r="T6152">
        <v>-7.7367779999999997E-2</v>
      </c>
      <c r="U6152">
        <v>-0.345672599999999</v>
      </c>
      <c r="V6152">
        <v>-1.711329E-2</v>
      </c>
      <c r="W6152">
        <v>-4.1346670000000002E-2</v>
      </c>
      <c r="X6152">
        <v>0.99899830000000001</v>
      </c>
      <c r="Y6152">
        <v>-0.1034268</v>
      </c>
      <c r="Z6152">
        <v>-1.8581019999999999E-3</v>
      </c>
      <c r="AA6152">
        <v>0.9946353</v>
      </c>
      <c r="AB6152">
        <v>28</v>
      </c>
      <c r="AC6152">
        <v>-43.135099999999902</v>
      </c>
      <c r="AD6152">
        <v>-1.1212606858859999</v>
      </c>
      <c r="AE6152">
        <v>-5.0071999999999797</v>
      </c>
      <c r="AF6152">
        <v>-4.5131382315170203</v>
      </c>
      <c r="AG6152">
        <v>-1.1212606858859999</v>
      </c>
      <c r="AH6152">
        <v>43.160497546852397</v>
      </c>
      <c r="AI6152">
        <v>91.480078456725806</v>
      </c>
      <c r="AJ6152">
        <v>95.969519806349297</v>
      </c>
      <c r="AK6152">
        <v>43.410300513983401</v>
      </c>
      <c r="AL6152">
        <v>92.369665172920307</v>
      </c>
      <c r="AM6152">
        <v>90.981406470447496</v>
      </c>
      <c r="AN6152">
        <v>1.0000000076088</v>
      </c>
    </row>
    <row r="6153" spans="1:40" x14ac:dyDescent="0.25">
      <c r="A6153" t="str">
        <f>"20190303153931173"</f>
        <v>20190303153931173</v>
      </c>
      <c r="B6153" t="str">
        <f>"1551598771164817"</f>
        <v>1551598771164817</v>
      </c>
      <c r="C6153" t="s">
        <v>40</v>
      </c>
      <c r="D6153">
        <v>4.0198749999999999</v>
      </c>
      <c r="E6153">
        <v>0.50543369999999999</v>
      </c>
      <c r="F6153" t="s">
        <v>42</v>
      </c>
      <c r="G6153">
        <v>-395.49130000000002</v>
      </c>
      <c r="H6153" s="1">
        <v>-2.4936280000000001E-6</v>
      </c>
      <c r="I6153">
        <v>136.36279999999999</v>
      </c>
      <c r="J6153">
        <v>-352.19199999999898</v>
      </c>
      <c r="K6153">
        <v>1.121256</v>
      </c>
      <c r="L6153">
        <v>141.38339999999999</v>
      </c>
      <c r="M6153">
        <v>-0.99984790000000001</v>
      </c>
      <c r="N6153">
        <v>-1.3097080000000001E-2</v>
      </c>
      <c r="O6153">
        <v>-1.1526679999999999E-2</v>
      </c>
      <c r="P6153">
        <v>-0.99808390000000002</v>
      </c>
      <c r="Q6153">
        <v>-5.4721980000000003E-2</v>
      </c>
      <c r="R6153">
        <v>-2.8881029999999999E-2</v>
      </c>
      <c r="S6153">
        <v>-2.9916689999999999</v>
      </c>
      <c r="T6153">
        <v>-7.6953889999999997E-2</v>
      </c>
      <c r="U6153">
        <v>-0.34480290000000002</v>
      </c>
      <c r="V6153">
        <v>-1.7364109999999999E-2</v>
      </c>
      <c r="W6153">
        <v>-4.1645939999999999E-2</v>
      </c>
      <c r="X6153">
        <v>0.99898149999999997</v>
      </c>
      <c r="Y6153">
        <v>-0.10298690000000001</v>
      </c>
      <c r="Z6153">
        <v>-1.8518740000000001E-3</v>
      </c>
      <c r="AA6153">
        <v>0.99468100000000004</v>
      </c>
      <c r="AB6153">
        <v>28</v>
      </c>
      <c r="AC6153">
        <v>-43.299300000000002</v>
      </c>
      <c r="AD6153">
        <v>-1.1212584936279999</v>
      </c>
      <c r="AE6153">
        <v>-5.0206</v>
      </c>
      <c r="AF6153">
        <v>-4.5181368982556602</v>
      </c>
      <c r="AG6153">
        <v>-1.1212584936279999</v>
      </c>
      <c r="AH6153">
        <v>43.325630936462701</v>
      </c>
      <c r="AI6153">
        <v>91.474479939222604</v>
      </c>
      <c r="AJ6153">
        <v>95.953470084676098</v>
      </c>
      <c r="AK6153">
        <v>43.575005194302499</v>
      </c>
      <c r="AL6153">
        <v>92.386826959893895</v>
      </c>
      <c r="AM6153">
        <v>90.995804268263399</v>
      </c>
      <c r="AN6153">
        <v>0.99999996698841198</v>
      </c>
    </row>
    <row r="6154" spans="1:40" x14ac:dyDescent="0.25">
      <c r="A6154" t="str">
        <f>"20190303153931194"</f>
        <v>20190303153931194</v>
      </c>
      <c r="B6154" t="str">
        <f>"1551598771184337"</f>
        <v>1551598771184337</v>
      </c>
      <c r="C6154" t="s">
        <v>40</v>
      </c>
      <c r="D6154">
        <v>4.2022909999999998</v>
      </c>
      <c r="E6154">
        <v>0.5117429</v>
      </c>
      <c r="F6154" t="s">
        <v>46</v>
      </c>
      <c r="G6154">
        <v>0</v>
      </c>
      <c r="H6154">
        <v>0</v>
      </c>
      <c r="I6154">
        <v>0</v>
      </c>
      <c r="J6154">
        <v>-352.46280000000002</v>
      </c>
      <c r="K6154">
        <v>1.121256</v>
      </c>
      <c r="L6154">
        <v>141.3801</v>
      </c>
      <c r="M6154">
        <v>-0.99984459999999997</v>
      </c>
      <c r="N6154">
        <v>-1.3224359999999999E-2</v>
      </c>
      <c r="O6154">
        <v>-1.166698E-2</v>
      </c>
      <c r="P6154">
        <v>-0.99805580000000005</v>
      </c>
      <c r="Q6154">
        <v>-5.5232030000000001E-2</v>
      </c>
      <c r="R6154">
        <v>-2.88893E-2</v>
      </c>
      <c r="S6154">
        <v>-3.0054020000000001</v>
      </c>
      <c r="T6154">
        <v>1.747978E-2</v>
      </c>
      <c r="U6154">
        <v>-4.7149660000000003E-2</v>
      </c>
      <c r="V6154">
        <v>-1.723189E-2</v>
      </c>
      <c r="W6154">
        <v>-4.2029070000000002E-2</v>
      </c>
      <c r="X6154">
        <v>0.99896779999999996</v>
      </c>
      <c r="Y6154">
        <v>-4.0209410000000001E-3</v>
      </c>
      <c r="Z6154">
        <v>-2.3703400000000001E-4</v>
      </c>
      <c r="AA6154">
        <v>0.99999190000000004</v>
      </c>
      <c r="AB6154">
        <v>28</v>
      </c>
      <c r="AC6154">
        <v>-3.0054020000000001</v>
      </c>
      <c r="AD6154">
        <v>1.747978E-2</v>
      </c>
      <c r="AE6154">
        <v>-4.7149660000000003E-2</v>
      </c>
      <c r="AF6154">
        <v>-1.20790143440255E-2</v>
      </c>
      <c r="AG6154">
        <v>1.747978E-2</v>
      </c>
      <c r="AH6154">
        <v>3.0056459064625098</v>
      </c>
      <c r="AI6154">
        <v>89.666794335054007</v>
      </c>
      <c r="AJ6154">
        <v>90.230257601313795</v>
      </c>
      <c r="AK6154">
        <v>3.0057210050720302</v>
      </c>
      <c r="AL6154">
        <v>92.408797794685</v>
      </c>
      <c r="AM6154">
        <v>90.988236719652306</v>
      </c>
      <c r="AN6154">
        <v>1.00000002309743</v>
      </c>
    </row>
    <row r="6155" spans="1:40" x14ac:dyDescent="0.25">
      <c r="A6155" t="str">
        <f>"20190303153931215"</f>
        <v>20190303153931215</v>
      </c>
      <c r="B6155" t="str">
        <f>"1551598771204833"</f>
        <v>1551598771204833</v>
      </c>
      <c r="C6155" t="s">
        <v>40</v>
      </c>
      <c r="D6155">
        <v>4.0520139999999998</v>
      </c>
      <c r="E6155">
        <v>0.51459120000000003</v>
      </c>
      <c r="F6155" t="s">
        <v>46</v>
      </c>
      <c r="G6155">
        <v>0</v>
      </c>
      <c r="H6155">
        <v>0</v>
      </c>
      <c r="I6155">
        <v>0</v>
      </c>
      <c r="J6155">
        <v>-352.73829999999998</v>
      </c>
      <c r="K6155">
        <v>1.1212549999999999</v>
      </c>
      <c r="L6155">
        <v>141.3768</v>
      </c>
      <c r="M6155">
        <v>-0.99984139999999999</v>
      </c>
      <c r="N6155">
        <v>-1.3338249999999999E-2</v>
      </c>
      <c r="O6155">
        <v>-1.180924E-2</v>
      </c>
      <c r="P6155">
        <v>-0.99806119999999998</v>
      </c>
      <c r="Q6155">
        <v>-5.5273509999999998E-2</v>
      </c>
      <c r="R6155">
        <v>-2.8615519999999998E-2</v>
      </c>
      <c r="S6155">
        <v>-3.0071720000000002</v>
      </c>
      <c r="T6155">
        <v>2.2177100000000002E-2</v>
      </c>
      <c r="U6155">
        <v>3.1280520000000001E-3</v>
      </c>
      <c r="V6155">
        <v>-1.6816089999999999E-2</v>
      </c>
      <c r="W6155">
        <v>-4.195658E-2</v>
      </c>
      <c r="X6155">
        <v>0.99897789999999997</v>
      </c>
      <c r="Y6155">
        <v>1.2848149999999999E-2</v>
      </c>
      <c r="Z6155">
        <v>-2.062918E-4</v>
      </c>
      <c r="AA6155">
        <v>0.99991739999999996</v>
      </c>
      <c r="AB6155">
        <v>28</v>
      </c>
      <c r="AC6155">
        <v>-3.0071720000000002</v>
      </c>
      <c r="AD6155">
        <v>2.2177100000000002E-2</v>
      </c>
      <c r="AE6155">
        <v>3.1280520000000001E-3</v>
      </c>
      <c r="AF6155">
        <v>3.8641304129994801E-2</v>
      </c>
      <c r="AG6155">
        <v>2.2177100000000002E-2</v>
      </c>
      <c r="AH6155">
        <v>3.0067617971199101</v>
      </c>
      <c r="AI6155">
        <v>89.577443653877097</v>
      </c>
      <c r="AJ6155">
        <v>89.263705635620397</v>
      </c>
      <c r="AK6155">
        <v>3.0070918640389102</v>
      </c>
      <c r="AL6155">
        <v>92.404640836273103</v>
      </c>
      <c r="AM6155">
        <v>90.964385694118306</v>
      </c>
      <c r="AN6155">
        <v>0.99999999008829699</v>
      </c>
    </row>
    <row r="6156" spans="1:40" x14ac:dyDescent="0.25">
      <c r="A6156" t="str">
        <f>"20190303153931232"</f>
        <v>20190303153931232</v>
      </c>
      <c r="B6156" t="str">
        <f>"1551598771224353"</f>
        <v>1551598771224353</v>
      </c>
      <c r="C6156" t="s">
        <v>40</v>
      </c>
      <c r="D6156">
        <v>4.0337189999999996</v>
      </c>
      <c r="E6156">
        <v>0.51481149999999998</v>
      </c>
      <c r="F6156" t="s">
        <v>46</v>
      </c>
      <c r="G6156">
        <v>0</v>
      </c>
      <c r="H6156">
        <v>0</v>
      </c>
      <c r="I6156">
        <v>0</v>
      </c>
      <c r="J6156">
        <v>-352.9366</v>
      </c>
      <c r="K6156">
        <v>1.1212530000000001</v>
      </c>
      <c r="L6156">
        <v>141.37430000000001</v>
      </c>
      <c r="M6156">
        <v>-0.99983920000000004</v>
      </c>
      <c r="N6156">
        <v>-1.341203E-2</v>
      </c>
      <c r="O6156">
        <v>-1.191177E-2</v>
      </c>
      <c r="P6156">
        <v>-0.99803759999999997</v>
      </c>
      <c r="Q6156">
        <v>-5.5578259999999997E-2</v>
      </c>
      <c r="R6156">
        <v>-2.8846690000000001E-2</v>
      </c>
      <c r="S6156">
        <v>-3.0084840000000002</v>
      </c>
      <c r="T6156">
        <v>3.4078839999999999E-2</v>
      </c>
      <c r="U6156">
        <v>2.6443479999999998E-2</v>
      </c>
      <c r="V6156">
        <v>-1.6945490000000001E-2</v>
      </c>
      <c r="W6156">
        <v>-4.21879E-2</v>
      </c>
      <c r="X6156">
        <v>0.99896600000000002</v>
      </c>
      <c r="Y6156">
        <v>2.0697650000000001E-2</v>
      </c>
      <c r="Z6156">
        <v>-2.7309280000000001E-4</v>
      </c>
      <c r="AA6156">
        <v>0.9997857</v>
      </c>
      <c r="AB6156">
        <v>28</v>
      </c>
      <c r="AC6156">
        <v>-3.0084840000000002</v>
      </c>
      <c r="AD6156">
        <v>3.4078839999999999E-2</v>
      </c>
      <c r="AE6156">
        <v>2.6443479999999998E-2</v>
      </c>
      <c r="AF6156">
        <v>6.2273203150358503E-2</v>
      </c>
      <c r="AG6156">
        <v>3.4078839999999999E-2</v>
      </c>
      <c r="AH6156">
        <v>3.0075696162078498</v>
      </c>
      <c r="AI6156">
        <v>89.350947100020804</v>
      </c>
      <c r="AJ6156">
        <v>88.813832290847202</v>
      </c>
      <c r="AK6156">
        <v>3.0084072722128199</v>
      </c>
      <c r="AL6156">
        <v>92.417906172144995</v>
      </c>
      <c r="AM6156">
        <v>90.971816809278394</v>
      </c>
      <c r="AN6156">
        <v>1.0000000188468701</v>
      </c>
    </row>
    <row r="6157" spans="1:40" x14ac:dyDescent="0.25">
      <c r="A6157" t="str">
        <f>"20190303153931243"</f>
        <v>20190303153931243</v>
      </c>
      <c r="B6157" t="str">
        <f>"1551598771235090"</f>
        <v>1551598771235090</v>
      </c>
      <c r="C6157" t="s">
        <v>40</v>
      </c>
      <c r="D6157">
        <v>3.9637820000000001</v>
      </c>
      <c r="E6157">
        <v>0.51551910000000001</v>
      </c>
      <c r="F6157" t="s">
        <v>46</v>
      </c>
      <c r="G6157">
        <v>0</v>
      </c>
      <c r="H6157">
        <v>0</v>
      </c>
      <c r="I6157">
        <v>0</v>
      </c>
      <c r="J6157">
        <v>-353.0992</v>
      </c>
      <c r="K6157">
        <v>1.121251</v>
      </c>
      <c r="L6157">
        <v>141.3723</v>
      </c>
      <c r="M6157">
        <v>-0.99983739999999999</v>
      </c>
      <c r="N6157">
        <v>-1.346632E-2</v>
      </c>
      <c r="O6157">
        <v>-1.1995570000000001E-2</v>
      </c>
      <c r="P6157">
        <v>-0.99803560000000002</v>
      </c>
      <c r="Q6157">
        <v>-5.5662509999999998E-2</v>
      </c>
      <c r="R6157">
        <v>-2.8750060000000001E-2</v>
      </c>
      <c r="S6157">
        <v>-3.007568</v>
      </c>
      <c r="T6157">
        <v>1.552916E-2</v>
      </c>
      <c r="U6157">
        <v>2.7893069999999999E-2</v>
      </c>
      <c r="V6157">
        <v>-1.6764930000000001E-2</v>
      </c>
      <c r="W6157">
        <v>-4.2217869999999998E-2</v>
      </c>
      <c r="X6157">
        <v>0.99896779999999996</v>
      </c>
      <c r="Y6157">
        <v>2.1267749999999998E-2</v>
      </c>
      <c r="Z6157">
        <v>-1.3517020000000001E-4</v>
      </c>
      <c r="AA6157">
        <v>0.99977380000000005</v>
      </c>
      <c r="AB6157">
        <v>28</v>
      </c>
      <c r="AC6157">
        <v>-3.007568</v>
      </c>
      <c r="AD6157">
        <v>1.552916E-2</v>
      </c>
      <c r="AE6157">
        <v>2.7893069999999999E-2</v>
      </c>
      <c r="AF6157">
        <v>6.3970120409373304E-2</v>
      </c>
      <c r="AG6157">
        <v>1.552916E-2</v>
      </c>
      <c r="AH6157">
        <v>3.0069367853910101</v>
      </c>
      <c r="AI6157">
        <v>89.704168658415099</v>
      </c>
      <c r="AJ6157">
        <v>88.781263000167002</v>
      </c>
      <c r="AK6157">
        <v>3.0076572548169702</v>
      </c>
      <c r="AL6157">
        <v>92.419624810453698</v>
      </c>
      <c r="AM6157">
        <v>90.9614619905051</v>
      </c>
      <c r="AN6157">
        <v>1.0000000384310399</v>
      </c>
    </row>
    <row r="6158" spans="1:40" x14ac:dyDescent="0.25">
      <c r="A6158" t="str">
        <f>"20190303153931260"</f>
        <v>20190303153931260</v>
      </c>
      <c r="B6158" t="str">
        <f>"1551598771254612"</f>
        <v>1551598771254612</v>
      </c>
      <c r="C6158" t="s">
        <v>40</v>
      </c>
      <c r="D6158">
        <v>4.0761070000000004</v>
      </c>
      <c r="E6158">
        <v>0.51542209999999999</v>
      </c>
      <c r="F6158" t="s">
        <v>46</v>
      </c>
      <c r="G6158">
        <v>0</v>
      </c>
      <c r="H6158">
        <v>0</v>
      </c>
      <c r="I6158">
        <v>0</v>
      </c>
      <c r="J6158">
        <v>-353.30099999999999</v>
      </c>
      <c r="K6158">
        <v>1.1212470000000001</v>
      </c>
      <c r="L6158">
        <v>141.3698</v>
      </c>
      <c r="M6158">
        <v>-0.99983540000000004</v>
      </c>
      <c r="N6158">
        <v>-1.352803E-2</v>
      </c>
      <c r="O6158">
        <v>-1.209994E-2</v>
      </c>
      <c r="P6158">
        <v>-0.99801709999999999</v>
      </c>
      <c r="Q6158">
        <v>-5.6020140000000003E-2</v>
      </c>
      <c r="R6158">
        <v>-2.870199E-2</v>
      </c>
      <c r="S6158">
        <v>-3.0078429999999998</v>
      </c>
      <c r="T6158">
        <v>1.742637E-2</v>
      </c>
      <c r="U6158">
        <v>3.3737179999999999E-2</v>
      </c>
      <c r="V6158">
        <v>-1.661325E-2</v>
      </c>
      <c r="W6158">
        <v>-4.2514009999999998E-2</v>
      </c>
      <c r="X6158">
        <v>0.99895780000000001</v>
      </c>
      <c r="Y6158">
        <v>2.3313420000000001E-2</v>
      </c>
      <c r="Z6158">
        <v>-1.4361549999999999E-4</v>
      </c>
      <c r="AA6158">
        <v>0.99972819999999996</v>
      </c>
      <c r="AB6158">
        <v>28</v>
      </c>
      <c r="AC6158">
        <v>-3.0078429999999998</v>
      </c>
      <c r="AD6158">
        <v>1.742637E-2</v>
      </c>
      <c r="AE6158">
        <v>3.3737179999999999E-2</v>
      </c>
      <c r="AF6158">
        <v>7.0130402144187601E-2</v>
      </c>
      <c r="AG6158">
        <v>1.742637E-2</v>
      </c>
      <c r="AH6158">
        <v>3.0071135845675201</v>
      </c>
      <c r="AI6158">
        <v>89.668062132816402</v>
      </c>
      <c r="AJ6158">
        <v>88.664018601915203</v>
      </c>
      <c r="AK6158">
        <v>3.0079817257035999</v>
      </c>
      <c r="AL6158">
        <v>92.436607568364806</v>
      </c>
      <c r="AM6158">
        <v>90.952774350180306</v>
      </c>
      <c r="AN6158">
        <v>1.00000006365133</v>
      </c>
    </row>
    <row r="6159" spans="1:40" x14ac:dyDescent="0.25">
      <c r="A6159" t="str">
        <f>"20190303153931276"</f>
        <v>20190303153931276</v>
      </c>
      <c r="B6159" t="str">
        <f>"1551598771264369"</f>
        <v>1551598771264369</v>
      </c>
      <c r="C6159" t="s">
        <v>40</v>
      </c>
      <c r="D6159">
        <v>4.0728650000000002</v>
      </c>
      <c r="E6159">
        <v>0.51536099999999996</v>
      </c>
      <c r="F6159" t="s">
        <v>46</v>
      </c>
      <c r="G6159">
        <v>0</v>
      </c>
      <c r="H6159">
        <v>0</v>
      </c>
      <c r="I6159">
        <v>0</v>
      </c>
      <c r="J6159">
        <v>-353.49189999999999</v>
      </c>
      <c r="K6159">
        <v>1.121243</v>
      </c>
      <c r="L6159">
        <v>141.3673</v>
      </c>
      <c r="M6159">
        <v>-0.99983330000000004</v>
      </c>
      <c r="N6159">
        <v>-1.3581269999999999E-2</v>
      </c>
      <c r="O6159">
        <v>-1.2198519999999999E-2</v>
      </c>
      <c r="P6159">
        <v>-0.99800860000000002</v>
      </c>
      <c r="Q6159">
        <v>-5.6144390000000002E-2</v>
      </c>
      <c r="R6159">
        <v>-2.8749549999999999E-2</v>
      </c>
      <c r="S6159">
        <v>-3.0072019999999999</v>
      </c>
      <c r="T6159">
        <v>5.5661199999999999E-3</v>
      </c>
      <c r="U6159">
        <v>3.3432009999999998E-2</v>
      </c>
      <c r="V6159">
        <v>-1.656175E-2</v>
      </c>
      <c r="W6159">
        <v>-4.2585119999999997E-2</v>
      </c>
      <c r="X6159">
        <v>0.9989555</v>
      </c>
      <c r="Y6159">
        <v>2.3313489999999999E-2</v>
      </c>
      <c r="Z6159" s="1">
        <v>-5.1501269999999999E-5</v>
      </c>
      <c r="AA6159">
        <v>0.99972819999999996</v>
      </c>
      <c r="AB6159">
        <v>28</v>
      </c>
      <c r="AC6159">
        <v>-3.0072019999999999</v>
      </c>
      <c r="AD6159">
        <v>5.5661199999999999E-3</v>
      </c>
      <c r="AE6159">
        <v>3.3432009999999998E-2</v>
      </c>
      <c r="AF6159">
        <v>7.0116081365538596E-2</v>
      </c>
      <c r="AG6159">
        <v>5.5661199999999999E-3</v>
      </c>
      <c r="AH6159">
        <v>3.0065600509827202</v>
      </c>
      <c r="AI6159">
        <v>89.893955841266404</v>
      </c>
      <c r="AJ6159">
        <v>88.664045486988897</v>
      </c>
      <c r="AK6159">
        <v>3.00738268045873</v>
      </c>
      <c r="AL6159">
        <v>92.4406858722907</v>
      </c>
      <c r="AM6159">
        <v>90.949823539745793</v>
      </c>
      <c r="AN6159">
        <v>0.999999937494361</v>
      </c>
    </row>
    <row r="6160" spans="1:40" x14ac:dyDescent="0.25">
      <c r="A6160" t="str">
        <f>"20190303153931294"</f>
        <v>20190303153931294</v>
      </c>
      <c r="B6160" t="str">
        <f>"1551598771284866"</f>
        <v>1551598771284866</v>
      </c>
      <c r="C6160" t="s">
        <v>40</v>
      </c>
      <c r="D6160">
        <v>4.109477</v>
      </c>
      <c r="E6160">
        <v>0.51530889999999996</v>
      </c>
      <c r="F6160" t="s">
        <v>46</v>
      </c>
      <c r="G6160">
        <v>0</v>
      </c>
      <c r="H6160">
        <v>0</v>
      </c>
      <c r="I6160">
        <v>0</v>
      </c>
      <c r="J6160">
        <v>-353.72320000000002</v>
      </c>
      <c r="K6160">
        <v>1.1212420000000001</v>
      </c>
      <c r="L6160">
        <v>141.36439999999999</v>
      </c>
      <c r="M6160">
        <v>-0.99983109999999997</v>
      </c>
      <c r="N6160">
        <v>-1.363906E-2</v>
      </c>
      <c r="O6160">
        <v>-1.2318000000000001E-2</v>
      </c>
      <c r="P6160">
        <v>-0.99801879999999998</v>
      </c>
      <c r="Q6160">
        <v>-5.6017480000000001E-2</v>
      </c>
      <c r="R6160">
        <v>-2.864469E-2</v>
      </c>
      <c r="S6160">
        <v>-3.0069270000000001</v>
      </c>
      <c r="T6160">
        <v>6.3443180000000003E-4</v>
      </c>
      <c r="U6160">
        <v>3.2867430000000003E-2</v>
      </c>
      <c r="V6160">
        <v>-1.6337999999999998E-2</v>
      </c>
      <c r="W6160">
        <v>-4.240029E-2</v>
      </c>
      <c r="X6160">
        <v>0.9989671</v>
      </c>
      <c r="Y6160">
        <v>2.3246349999999999E-2</v>
      </c>
      <c r="Z6160" s="1">
        <v>-1.4518970000000001E-5</v>
      </c>
      <c r="AA6160">
        <v>0.9997298</v>
      </c>
      <c r="AB6160">
        <v>28</v>
      </c>
      <c r="AC6160">
        <v>-3.0069270000000001</v>
      </c>
      <c r="AD6160">
        <v>6.3443180000000003E-4</v>
      </c>
      <c r="AE6160">
        <v>3.2867430000000003E-2</v>
      </c>
      <c r="AF6160">
        <v>6.9907705425176797E-2</v>
      </c>
      <c r="AG6160">
        <v>6.3443180000000003E-4</v>
      </c>
      <c r="AH6160">
        <v>3.0062937911984902</v>
      </c>
      <c r="AI6160">
        <v>89.987911880040699</v>
      </c>
      <c r="AJ6160">
        <v>88.667896410766303</v>
      </c>
      <c r="AK6160">
        <v>3.0071065576031901</v>
      </c>
      <c r="AL6160">
        <v>92.430086189166602</v>
      </c>
      <c r="AM6160">
        <v>90.936982805291706</v>
      </c>
      <c r="AN6160">
        <v>0.99999999085924696</v>
      </c>
    </row>
    <row r="6161" spans="1:40" x14ac:dyDescent="0.25">
      <c r="A6161" t="str">
        <f>"20190303153931316"</f>
        <v>20190303153931316</v>
      </c>
      <c r="B6161" t="str">
        <f>"1551598771304385"</f>
        <v>1551598771304385</v>
      </c>
      <c r="C6161" t="s">
        <v>40</v>
      </c>
      <c r="D6161">
        <v>4.090865</v>
      </c>
      <c r="E6161">
        <v>0.51495869999999999</v>
      </c>
      <c r="F6161" t="s">
        <v>46</v>
      </c>
      <c r="G6161">
        <v>0</v>
      </c>
      <c r="H6161">
        <v>0</v>
      </c>
      <c r="I6161">
        <v>0</v>
      </c>
      <c r="J6161">
        <v>-353.99470000000002</v>
      </c>
      <c r="K6161">
        <v>1.1212470000000001</v>
      </c>
      <c r="L6161">
        <v>141.36089999999999</v>
      </c>
      <c r="M6161">
        <v>-0.99982870000000001</v>
      </c>
      <c r="N6161">
        <v>-1.3698180000000001E-2</v>
      </c>
      <c r="O6161">
        <v>-1.245858E-2</v>
      </c>
      <c r="P6161">
        <v>-0.99800800000000001</v>
      </c>
      <c r="Q6161">
        <v>-5.6182379999999997E-2</v>
      </c>
      <c r="R6161">
        <v>-2.8702249999999999E-2</v>
      </c>
      <c r="S6161">
        <v>-3.0065309999999998</v>
      </c>
      <c r="T6161">
        <v>-6.2470440000000002E-3</v>
      </c>
      <c r="U6161">
        <v>3.2989499999999998E-2</v>
      </c>
      <c r="V6161">
        <v>-1.6255510000000001E-2</v>
      </c>
      <c r="W6161">
        <v>-4.2506170000000003E-2</v>
      </c>
      <c r="X6161">
        <v>0.99896399999999996</v>
      </c>
      <c r="Y6161">
        <v>2.3428879999999999E-2</v>
      </c>
      <c r="Z6161" s="1">
        <v>4.0041650000000003E-5</v>
      </c>
      <c r="AA6161">
        <v>0.99972550000000004</v>
      </c>
      <c r="AB6161">
        <v>28</v>
      </c>
      <c r="AC6161">
        <v>-3.0065309999999998</v>
      </c>
      <c r="AD6161">
        <v>-6.2470440000000002E-3</v>
      </c>
      <c r="AE6161">
        <v>3.2989499999999998E-2</v>
      </c>
      <c r="AF6161">
        <v>7.0447251415767506E-2</v>
      </c>
      <c r="AG6161">
        <v>-6.2470440000000002E-3</v>
      </c>
      <c r="AH6161">
        <v>3.0058735993429799</v>
      </c>
      <c r="AI6161">
        <v>90.119043755267299</v>
      </c>
      <c r="AJ6161">
        <v>88.657431431679299</v>
      </c>
      <c r="AK6161">
        <v>3.0067054953915702</v>
      </c>
      <c r="AL6161">
        <v>92.436158009264901</v>
      </c>
      <c r="AM6161">
        <v>90.9322557408411</v>
      </c>
      <c r="AN6161">
        <v>1.0000000446947099</v>
      </c>
    </row>
    <row r="6162" spans="1:40" x14ac:dyDescent="0.25">
      <c r="A6162" t="str">
        <f>"20190303153931339"</f>
        <v>20190303153931339</v>
      </c>
      <c r="B6162" t="str">
        <f>"1551598771334641"</f>
        <v>1551598771334641</v>
      </c>
      <c r="C6162" t="s">
        <v>40</v>
      </c>
      <c r="D6162">
        <v>3.9904009999999999</v>
      </c>
      <c r="E6162">
        <v>0.51556820000000003</v>
      </c>
      <c r="F6162" t="s">
        <v>46</v>
      </c>
      <c r="G6162">
        <v>0</v>
      </c>
      <c r="H6162">
        <v>0</v>
      </c>
      <c r="I6162">
        <v>0</v>
      </c>
      <c r="J6162">
        <v>-354.28129999999999</v>
      </c>
      <c r="K6162">
        <v>1.1212500000000001</v>
      </c>
      <c r="L6162">
        <v>141.3571</v>
      </c>
      <c r="M6162">
        <v>-0.99982610000000005</v>
      </c>
      <c r="N6162">
        <v>-1.3751960000000001E-2</v>
      </c>
      <c r="O6162">
        <v>-1.260724E-2</v>
      </c>
      <c r="P6162">
        <v>-0.99805330000000003</v>
      </c>
      <c r="Q6162">
        <v>-5.5526260000000001E-2</v>
      </c>
      <c r="R6162">
        <v>-2.8405610000000001E-2</v>
      </c>
      <c r="S6162">
        <v>-3.0062259999999998</v>
      </c>
      <c r="T6162">
        <v>-1.0881780000000001E-2</v>
      </c>
      <c r="U6162">
        <v>3.0059809999999999E-2</v>
      </c>
      <c r="V6162">
        <v>-1.5810129999999999E-2</v>
      </c>
      <c r="W6162">
        <v>-4.179567E-2</v>
      </c>
      <c r="X6162">
        <v>0.99900109999999998</v>
      </c>
      <c r="Y6162">
        <v>2.2604329999999999E-2</v>
      </c>
      <c r="Z6162" s="1">
        <v>6.8603649999999998E-5</v>
      </c>
      <c r="AA6162">
        <v>0.99974450000000004</v>
      </c>
      <c r="AB6162">
        <v>28</v>
      </c>
      <c r="AC6162">
        <v>-3.0062259999999998</v>
      </c>
      <c r="AD6162">
        <v>-1.0881780000000001E-2</v>
      </c>
      <c r="AE6162">
        <v>3.0059809999999999E-2</v>
      </c>
      <c r="AF6162">
        <v>6.7960321676744095E-2</v>
      </c>
      <c r="AG6162">
        <v>-1.0881780000000001E-2</v>
      </c>
      <c r="AH6162">
        <v>3.00556865306931</v>
      </c>
      <c r="AI6162">
        <v>90.207387716768906</v>
      </c>
      <c r="AJ6162">
        <v>88.704678998508001</v>
      </c>
      <c r="AK6162">
        <v>3.00635659008895</v>
      </c>
      <c r="AL6162">
        <v>92.395413211021307</v>
      </c>
      <c r="AM6162">
        <v>90.906683793549803</v>
      </c>
      <c r="AN6162">
        <v>1.00000001802128</v>
      </c>
    </row>
    <row r="6163" spans="1:40" x14ac:dyDescent="0.25">
      <c r="A6163" t="str">
        <f>"20190303153931361"</f>
        <v>20190303153931361</v>
      </c>
      <c r="B6163" t="str">
        <f>"1551598771355137"</f>
        <v>1551598771355137</v>
      </c>
      <c r="C6163" t="s">
        <v>40</v>
      </c>
      <c r="D6163">
        <v>3.9900030000000002</v>
      </c>
      <c r="E6163">
        <v>0.51583310000000004</v>
      </c>
      <c r="F6163" t="s">
        <v>46</v>
      </c>
      <c r="G6163">
        <v>0</v>
      </c>
      <c r="H6163">
        <v>0</v>
      </c>
      <c r="I6163">
        <v>0</v>
      </c>
      <c r="J6163">
        <v>-354.56569999999999</v>
      </c>
      <c r="K6163">
        <v>1.1212549999999999</v>
      </c>
      <c r="L6163">
        <v>141.35339999999999</v>
      </c>
      <c r="M6163">
        <v>-0.99982349999999998</v>
      </c>
      <c r="N6163">
        <v>-1.379764E-2</v>
      </c>
      <c r="O6163">
        <v>-1.275429E-2</v>
      </c>
      <c r="P6163">
        <v>-0.99810200000000004</v>
      </c>
      <c r="Q6163">
        <v>-5.4715130000000001E-2</v>
      </c>
      <c r="R6163">
        <v>-2.8264439999999998E-2</v>
      </c>
      <c r="S6163">
        <v>-3.0068049999999999</v>
      </c>
      <c r="T6163">
        <v>-5.0950050000000003E-4</v>
      </c>
      <c r="U6163">
        <v>3.5629269999999998E-2</v>
      </c>
      <c r="V6163">
        <v>-1.552106E-2</v>
      </c>
      <c r="W6163">
        <v>-4.0938219999999997E-2</v>
      </c>
      <c r="X6163">
        <v>0.99904110000000002</v>
      </c>
      <c r="Y6163">
        <v>2.4601140000000001E-2</v>
      </c>
      <c r="Z6163" s="1">
        <v>-2.0033189999999998E-6</v>
      </c>
      <c r="AA6163">
        <v>0.99969730000000001</v>
      </c>
      <c r="AB6163">
        <v>28</v>
      </c>
      <c r="AC6163">
        <v>-3.0068049999999999</v>
      </c>
      <c r="AD6163">
        <v>-5.0950050000000003E-4</v>
      </c>
      <c r="AE6163">
        <v>3.5629269999999998E-2</v>
      </c>
      <c r="AF6163">
        <v>7.3979681641835604E-2</v>
      </c>
      <c r="AG6163">
        <v>-5.0950050000000003E-4</v>
      </c>
      <c r="AH6163">
        <v>3.00610582655175</v>
      </c>
      <c r="AI6163">
        <v>90.009708038804902</v>
      </c>
      <c r="AJ6163">
        <v>88.590246529557504</v>
      </c>
      <c r="AK6163">
        <v>3.0070160447385299</v>
      </c>
      <c r="AL6163">
        <v>92.346242943980897</v>
      </c>
      <c r="AM6163">
        <v>90.890073184891506</v>
      </c>
      <c r="AN6163">
        <v>0.99999998032475002</v>
      </c>
    </row>
    <row r="6164" spans="1:40" x14ac:dyDescent="0.25">
      <c r="A6164" t="str">
        <f>"20190303153931383"</f>
        <v>20190303153931383</v>
      </c>
      <c r="B6164" t="str">
        <f>"1551598771374658"</f>
        <v>1551598771374658</v>
      </c>
      <c r="C6164" t="s">
        <v>40</v>
      </c>
      <c r="D6164">
        <v>4.0241619999999996</v>
      </c>
      <c r="E6164">
        <v>0.51614729999999998</v>
      </c>
      <c r="F6164" t="s">
        <v>46</v>
      </c>
      <c r="G6164">
        <v>0</v>
      </c>
      <c r="H6164">
        <v>0</v>
      </c>
      <c r="I6164">
        <v>0</v>
      </c>
      <c r="J6164">
        <v>-354.83690000000001</v>
      </c>
      <c r="K6164">
        <v>1.1212530000000001</v>
      </c>
      <c r="L6164">
        <v>141.34979999999999</v>
      </c>
      <c r="M6164">
        <v>-0.99982130000000002</v>
      </c>
      <c r="N6164">
        <v>-1.383496E-2</v>
      </c>
      <c r="O6164">
        <v>-1.289305E-2</v>
      </c>
      <c r="P6164">
        <v>-0.99814460000000005</v>
      </c>
      <c r="Q6164">
        <v>-5.4315599999999901E-2</v>
      </c>
      <c r="R6164">
        <v>-2.75222E-2</v>
      </c>
      <c r="S6164">
        <v>-3.0071110000000001</v>
      </c>
      <c r="T6164">
        <v>5.8509110000000003E-3</v>
      </c>
      <c r="U6164">
        <v>3.8070680000000003E-2</v>
      </c>
      <c r="V6164">
        <v>-1.464096E-2</v>
      </c>
      <c r="W6164">
        <v>-4.0500750000000002E-2</v>
      </c>
      <c r="X6164">
        <v>0.99907230000000002</v>
      </c>
      <c r="Y6164">
        <v>2.5550090000000001E-2</v>
      </c>
      <c r="Z6164" s="1">
        <v>-5.1558270000000002E-5</v>
      </c>
      <c r="AA6164">
        <v>0.99967349999999999</v>
      </c>
      <c r="AB6164">
        <v>28</v>
      </c>
      <c r="AC6164">
        <v>-3.0071110000000001</v>
      </c>
      <c r="AD6164">
        <v>5.8509110000000003E-3</v>
      </c>
      <c r="AE6164">
        <v>3.8070680000000003E-2</v>
      </c>
      <c r="AF6164">
        <v>7.6841762436859001E-2</v>
      </c>
      <c r="AG6164">
        <v>5.8509110000000003E-3</v>
      </c>
      <c r="AH6164">
        <v>3.00635873119159</v>
      </c>
      <c r="AI6164">
        <v>89.888528727415604</v>
      </c>
      <c r="AJ6164">
        <v>88.535853275281994</v>
      </c>
      <c r="AK6164">
        <v>3.0073462903739299</v>
      </c>
      <c r="AL6164">
        <v>92.321156757155805</v>
      </c>
      <c r="AM6164">
        <v>90.839584055443197</v>
      </c>
      <c r="AN6164">
        <v>1.0000000645437801</v>
      </c>
    </row>
    <row r="6165" spans="1:40" x14ac:dyDescent="0.25">
      <c r="A6165" t="str">
        <f>"20190303153931406"</f>
        <v>20190303153931406</v>
      </c>
      <c r="B6165" t="str">
        <f>"1551598771395154"</f>
        <v>1551598771395154</v>
      </c>
      <c r="C6165" t="s">
        <v>40</v>
      </c>
      <c r="D6165">
        <v>4.0137070000000001</v>
      </c>
      <c r="E6165">
        <v>0.5164514</v>
      </c>
      <c r="F6165" t="s">
        <v>46</v>
      </c>
      <c r="G6165">
        <v>0</v>
      </c>
      <c r="H6165">
        <v>0</v>
      </c>
      <c r="I6165">
        <v>0</v>
      </c>
      <c r="J6165">
        <v>-355.12139999999999</v>
      </c>
      <c r="K6165">
        <v>1.1212500000000001</v>
      </c>
      <c r="L6165">
        <v>141.346</v>
      </c>
      <c r="M6165">
        <v>-0.99981889999999995</v>
      </c>
      <c r="N6165">
        <v>-1.3868490000000001E-2</v>
      </c>
      <c r="O6165">
        <v>-1.30321E-2</v>
      </c>
      <c r="P6165">
        <v>-0.99813960000000002</v>
      </c>
      <c r="Q6165">
        <v>-5.4655240000000001E-2</v>
      </c>
      <c r="R6165">
        <v>-2.702562E-2</v>
      </c>
      <c r="S6165">
        <v>-3.007355</v>
      </c>
      <c r="T6165">
        <v>1.156223E-2</v>
      </c>
      <c r="U6165">
        <v>4.2800900000000003E-2</v>
      </c>
      <c r="V6165">
        <v>-1.400527E-2</v>
      </c>
      <c r="W6165">
        <v>-4.0806710000000003E-2</v>
      </c>
      <c r="X6165">
        <v>0.99906890000000004</v>
      </c>
      <c r="Y6165">
        <v>2.7259950000000002E-2</v>
      </c>
      <c r="Z6165" s="1">
        <v>-9.4188670000000006E-5</v>
      </c>
      <c r="AA6165">
        <v>0.99962839999999997</v>
      </c>
      <c r="AB6165">
        <v>28</v>
      </c>
      <c r="AC6165">
        <v>-3.007355</v>
      </c>
      <c r="AD6165">
        <v>1.156223E-2</v>
      </c>
      <c r="AE6165">
        <v>4.2800900000000003E-2</v>
      </c>
      <c r="AF6165">
        <v>8.1991973464965506E-2</v>
      </c>
      <c r="AG6165">
        <v>1.156223E-2</v>
      </c>
      <c r="AH6165">
        <v>3.0064972916925701</v>
      </c>
      <c r="AI6165">
        <v>89.779737867672694</v>
      </c>
      <c r="AJ6165">
        <v>88.437839967332295</v>
      </c>
      <c r="AK6165">
        <v>3.0076373341594902</v>
      </c>
      <c r="AL6165">
        <v>92.338701625648596</v>
      </c>
      <c r="AM6165">
        <v>90.803138106446596</v>
      </c>
      <c r="AN6165">
        <v>1.0000000010579999</v>
      </c>
    </row>
    <row r="6166" spans="1:40" x14ac:dyDescent="0.25">
      <c r="A6166" t="str">
        <f>"20190303153931428"</f>
        <v>20190303153931428</v>
      </c>
      <c r="B6166" t="str">
        <f>"1551598771425409"</f>
        <v>1551598771425409</v>
      </c>
      <c r="C6166" t="s">
        <v>40</v>
      </c>
      <c r="D6166">
        <v>3.9791699999999999</v>
      </c>
      <c r="E6166">
        <v>0.51642169999999998</v>
      </c>
      <c r="F6166" t="s">
        <v>46</v>
      </c>
      <c r="G6166">
        <v>0</v>
      </c>
      <c r="H6166">
        <v>0</v>
      </c>
      <c r="I6166">
        <v>0</v>
      </c>
      <c r="J6166">
        <v>-355.3947</v>
      </c>
      <c r="K6166">
        <v>1.12124</v>
      </c>
      <c r="L6166">
        <v>141.34229999999999</v>
      </c>
      <c r="M6166">
        <v>-0.99981710000000001</v>
      </c>
      <c r="N6166">
        <v>-1.3895909999999999E-2</v>
      </c>
      <c r="O6166">
        <v>-1.315447E-2</v>
      </c>
      <c r="P6166">
        <v>-0.99805060000000001</v>
      </c>
      <c r="Q6166">
        <v>-5.624904E-2</v>
      </c>
      <c r="R6166">
        <v>-2.7047229999999998E-2</v>
      </c>
      <c r="S6166">
        <v>-3.0076900000000002</v>
      </c>
      <c r="T6166">
        <v>1.4857769999999999E-2</v>
      </c>
      <c r="U6166">
        <v>4.679871E-2</v>
      </c>
      <c r="V6166">
        <v>-1.390575E-2</v>
      </c>
      <c r="W6166">
        <v>-4.2373899999999999E-2</v>
      </c>
      <c r="X6166">
        <v>0.99900500000000003</v>
      </c>
      <c r="Y6166">
        <v>2.8708899999999999E-2</v>
      </c>
      <c r="Z6166">
        <v>-1.191817E-4</v>
      </c>
      <c r="AA6166">
        <v>0.99958780000000003</v>
      </c>
      <c r="AB6166">
        <v>28</v>
      </c>
      <c r="AC6166">
        <v>-3.0076900000000002</v>
      </c>
      <c r="AD6166">
        <v>1.4857769999999999E-2</v>
      </c>
      <c r="AE6166">
        <v>4.679871E-2</v>
      </c>
      <c r="AF6166">
        <v>8.6360934067550493E-2</v>
      </c>
      <c r="AG6166">
        <v>1.4857769999999999E-2</v>
      </c>
      <c r="AH6166">
        <v>3.0067406861787198</v>
      </c>
      <c r="AI6166">
        <v>89.716992666623796</v>
      </c>
      <c r="AJ6166">
        <v>88.354777638202904</v>
      </c>
      <c r="AK6166">
        <v>3.0080173733183302</v>
      </c>
      <c r="AL6166">
        <v>92.428572883795198</v>
      </c>
      <c r="AM6166">
        <v>90.7974828297871</v>
      </c>
      <c r="AN6166">
        <v>0.99999995365463501</v>
      </c>
    </row>
    <row r="6167" spans="1:40" x14ac:dyDescent="0.25">
      <c r="A6167" t="str">
        <f>"20190303153931450"</f>
        <v>20190303153931450</v>
      </c>
      <c r="B6167" t="str">
        <f>"1551598771444930"</f>
        <v>1551598771444930</v>
      </c>
      <c r="C6167" t="s">
        <v>40</v>
      </c>
      <c r="D6167">
        <v>3.9822489999999999</v>
      </c>
      <c r="E6167">
        <v>0.51640520000000001</v>
      </c>
      <c r="F6167" t="s">
        <v>46</v>
      </c>
      <c r="G6167">
        <v>0</v>
      </c>
      <c r="H6167">
        <v>0</v>
      </c>
      <c r="I6167">
        <v>0</v>
      </c>
      <c r="J6167">
        <v>-355.673</v>
      </c>
      <c r="K6167">
        <v>1.1212249999999999</v>
      </c>
      <c r="L6167">
        <v>141.33850000000001</v>
      </c>
      <c r="M6167">
        <v>-0.99981520000000002</v>
      </c>
      <c r="N6167">
        <v>-1.391944E-2</v>
      </c>
      <c r="O6167">
        <v>-1.326134E-2</v>
      </c>
      <c r="P6167">
        <v>-0.99801200000000001</v>
      </c>
      <c r="Q6167">
        <v>-5.6938009999999997E-2</v>
      </c>
      <c r="R6167">
        <v>-2.7023269999999999E-2</v>
      </c>
      <c r="S6167">
        <v>-3.0076900000000002</v>
      </c>
      <c r="T6167">
        <v>1.0320070000000001E-2</v>
      </c>
      <c r="U6167">
        <v>4.6401980000000002E-2</v>
      </c>
      <c r="V6167">
        <v>-1.377722E-2</v>
      </c>
      <c r="W6167">
        <v>-4.3039359999999999E-2</v>
      </c>
      <c r="X6167">
        <v>0.99897840000000004</v>
      </c>
      <c r="Y6167">
        <v>2.8684149999999999E-2</v>
      </c>
      <c r="Z6167" s="1">
        <v>-7.9639390000000001E-5</v>
      </c>
      <c r="AA6167">
        <v>0.99958849999999999</v>
      </c>
      <c r="AB6167">
        <v>28</v>
      </c>
      <c r="AC6167">
        <v>-3.0076900000000002</v>
      </c>
      <c r="AD6167">
        <v>1.0320070000000001E-2</v>
      </c>
      <c r="AE6167">
        <v>4.6401980000000002E-2</v>
      </c>
      <c r="AF6167">
        <v>8.6286746469935893E-2</v>
      </c>
      <c r="AG6167">
        <v>1.0320070000000001E-2</v>
      </c>
      <c r="AH6167">
        <v>3.0067746628742702</v>
      </c>
      <c r="AI6167">
        <v>89.803426969532296</v>
      </c>
      <c r="AJ6167">
        <v>88.356208741131496</v>
      </c>
      <c r="AK6167">
        <v>3.0080302158994101</v>
      </c>
      <c r="AL6167">
        <v>92.466735587200901</v>
      </c>
      <c r="AM6167">
        <v>90.790133719212307</v>
      </c>
      <c r="AN6167">
        <v>1.00000002098334</v>
      </c>
    </row>
    <row r="6168" spans="1:40" x14ac:dyDescent="0.25">
      <c r="A6168" t="str">
        <f>"20190303153931473"</f>
        <v>20190303153931473</v>
      </c>
      <c r="B6168" t="str">
        <f>"1551598771464449"</f>
        <v>1551598771464449</v>
      </c>
      <c r="C6168" t="s">
        <v>40</v>
      </c>
      <c r="D6168">
        <v>4.0215110000000003</v>
      </c>
      <c r="E6168">
        <v>0.46807989999999999</v>
      </c>
      <c r="F6168" t="s">
        <v>46</v>
      </c>
      <c r="G6168">
        <v>0</v>
      </c>
      <c r="H6168">
        <v>0</v>
      </c>
      <c r="I6168">
        <v>0</v>
      </c>
      <c r="J6168">
        <v>-355.94479999999999</v>
      </c>
      <c r="K6168">
        <v>1.1212059999999999</v>
      </c>
      <c r="L6168">
        <v>141.3348</v>
      </c>
      <c r="M6168">
        <v>-0.99981390000000003</v>
      </c>
      <c r="N6168">
        <v>-1.393874E-2</v>
      </c>
      <c r="O6168">
        <v>-1.3343549999999999E-2</v>
      </c>
      <c r="P6168">
        <v>-0.99797789999999997</v>
      </c>
      <c r="Q6168">
        <v>-5.7273919999999999E-2</v>
      </c>
      <c r="R6168">
        <v>-2.7564419999999999E-2</v>
      </c>
      <c r="S6168">
        <v>-3.0078130000000001</v>
      </c>
      <c r="T6168">
        <v>9.4023939999999997E-3</v>
      </c>
      <c r="U6168">
        <v>4.6371460000000003E-2</v>
      </c>
      <c r="V6168">
        <v>-1.423813E-2</v>
      </c>
      <c r="W6168">
        <v>-4.33558E-2</v>
      </c>
      <c r="X6168">
        <v>0.99895820000000002</v>
      </c>
      <c r="Y6168">
        <v>2.8755599999999999E-2</v>
      </c>
      <c r="Z6168" s="1">
        <v>-7.2210210000000003E-5</v>
      </c>
      <c r="AA6168">
        <v>0.99958650000000004</v>
      </c>
      <c r="AB6168">
        <v>28</v>
      </c>
      <c r="AC6168">
        <v>-3.0078130000000001</v>
      </c>
      <c r="AD6168">
        <v>9.4023939999999997E-3</v>
      </c>
      <c r="AE6168">
        <v>4.6371460000000003E-2</v>
      </c>
      <c r="AF6168">
        <v>8.6505284792622497E-2</v>
      </c>
      <c r="AG6168">
        <v>9.4023939999999997E-3</v>
      </c>
      <c r="AH6168">
        <v>3.00689696922585</v>
      </c>
      <c r="AI6168">
        <v>89.820914069164999</v>
      </c>
      <c r="AJ6168">
        <v>88.352114800022704</v>
      </c>
      <c r="AK6168">
        <v>3.00815573946057</v>
      </c>
      <c r="AL6168">
        <v>92.484883336153104</v>
      </c>
      <c r="AM6168">
        <v>90.816580235662002</v>
      </c>
      <c r="AN6168">
        <v>0.99999996754338705</v>
      </c>
    </row>
    <row r="6169" spans="1:40" x14ac:dyDescent="0.25">
      <c r="A6169" t="str">
        <f>"20190303153931495"</f>
        <v>20190303153931495</v>
      </c>
      <c r="B6169" t="str">
        <f>"1551598771484477"</f>
        <v>1551598771484477</v>
      </c>
      <c r="C6169" t="s">
        <v>40</v>
      </c>
      <c r="D6169">
        <v>3.9734639999999999</v>
      </c>
      <c r="E6169">
        <v>0.44830969999999998</v>
      </c>
      <c r="F6169" t="s">
        <v>43</v>
      </c>
      <c r="G6169">
        <v>-528.2414</v>
      </c>
      <c r="H6169">
        <v>-0.05</v>
      </c>
      <c r="I6169">
        <v>121.77419999999999</v>
      </c>
      <c r="J6169">
        <v>-356.2208</v>
      </c>
      <c r="K6169">
        <v>1.121186</v>
      </c>
      <c r="L6169">
        <v>141.33099999999999</v>
      </c>
      <c r="M6169">
        <v>-0.99981279999999995</v>
      </c>
      <c r="N6169">
        <v>-1.3955209999999999E-2</v>
      </c>
      <c r="O6169">
        <v>-1.340439E-2</v>
      </c>
      <c r="P6169">
        <v>-0.99799930000000003</v>
      </c>
      <c r="Q6169">
        <v>-5.6710120000000003E-2</v>
      </c>
      <c r="R6169">
        <v>-2.7959609999999999E-2</v>
      </c>
      <c r="S6169">
        <v>-2.9954830000000001</v>
      </c>
      <c r="T6169">
        <v>-2.0362140000000001E-2</v>
      </c>
      <c r="U6169">
        <v>-0.340072599999999</v>
      </c>
      <c r="V6169">
        <v>-1.457431E-2</v>
      </c>
      <c r="W6169">
        <v>-4.2774609999999998E-2</v>
      </c>
      <c r="X6169">
        <v>0.99897840000000004</v>
      </c>
      <c r="Y6169">
        <v>-9.946692E-2</v>
      </c>
      <c r="Z6169">
        <v>-1.1290110000000001E-3</v>
      </c>
      <c r="AA6169">
        <v>0.99504020000000004</v>
      </c>
      <c r="AB6169">
        <v>28</v>
      </c>
      <c r="AC6169">
        <v>-172.0206</v>
      </c>
      <c r="AD6169">
        <v>-1.1711860000000001</v>
      </c>
      <c r="AE6169">
        <v>-19.556799999999999</v>
      </c>
      <c r="AF6169">
        <v>-17.248197590106201</v>
      </c>
      <c r="AG6169">
        <v>-1.1711860000000001</v>
      </c>
      <c r="AH6169">
        <v>172.259431571985</v>
      </c>
      <c r="AI6169">
        <v>90.387607903607204</v>
      </c>
      <c r="AJ6169">
        <v>95.717921875959306</v>
      </c>
      <c r="AK6169">
        <v>173.124763573145</v>
      </c>
      <c r="AL6169">
        <v>92.451552695181405</v>
      </c>
      <c r="AM6169">
        <v>90.835841109955297</v>
      </c>
      <c r="AN6169">
        <v>0.99999996071959296</v>
      </c>
    </row>
    <row r="6170" spans="1:40" x14ac:dyDescent="0.25">
      <c r="A6170" t="str">
        <f>"20190303153931516"</f>
        <v>20190303153931516</v>
      </c>
      <c r="B6170" t="str">
        <f>"1551598771504972"</f>
        <v>1551598771504972</v>
      </c>
      <c r="C6170" t="s">
        <v>40</v>
      </c>
      <c r="D6170">
        <v>3.9405749999999999</v>
      </c>
      <c r="E6170">
        <v>0.44061139999999999</v>
      </c>
      <c r="F6170" t="s">
        <v>42</v>
      </c>
      <c r="G6170">
        <v>-443.34620000000001</v>
      </c>
      <c r="H6170">
        <v>7.9987000000000003E-2</v>
      </c>
      <c r="I6170">
        <v>126.79810000000001</v>
      </c>
      <c r="J6170">
        <v>-356.49310000000003</v>
      </c>
      <c r="K6170">
        <v>1.1211819999999999</v>
      </c>
      <c r="L6170">
        <v>141.32730000000001</v>
      </c>
      <c r="M6170">
        <v>-0.99981209999999998</v>
      </c>
      <c r="N6170">
        <v>-1.396882E-2</v>
      </c>
      <c r="O6170">
        <v>-1.3440540000000001E-2</v>
      </c>
      <c r="P6170">
        <v>-0.99792559999999997</v>
      </c>
      <c r="Q6170">
        <v>-5.7768819999999999E-2</v>
      </c>
      <c r="R6170">
        <v>-2.8412059999999999E-2</v>
      </c>
      <c r="S6170">
        <v>-2.9900509999999998</v>
      </c>
      <c r="T6170">
        <v>-3.573287E-2</v>
      </c>
      <c r="U6170">
        <v>-0.49874879999999999</v>
      </c>
      <c r="V6170">
        <v>-1.499377E-2</v>
      </c>
      <c r="W6170">
        <v>-4.3819959999999998E-2</v>
      </c>
      <c r="X6170">
        <v>0.99892689999999995</v>
      </c>
      <c r="Y6170">
        <v>-0.15123300000000001</v>
      </c>
      <c r="Z6170">
        <v>-1.9881429999999999E-3</v>
      </c>
      <c r="AA6170">
        <v>0.98849609999999999</v>
      </c>
      <c r="AB6170">
        <v>28</v>
      </c>
      <c r="AC6170">
        <v>-86.853099999999898</v>
      </c>
      <c r="AD6170">
        <v>-1.0411950000000001</v>
      </c>
      <c r="AE6170">
        <v>-14.529199999999999</v>
      </c>
      <c r="AF6170">
        <v>-13.358553356737801</v>
      </c>
      <c r="AG6170">
        <v>-1.0411950000000001</v>
      </c>
      <c r="AH6170">
        <v>87.0283859725686</v>
      </c>
      <c r="AI6170">
        <v>90.677511438483606</v>
      </c>
      <c r="AJ6170">
        <v>98.726591208096394</v>
      </c>
      <c r="AK6170">
        <v>88.053818768996095</v>
      </c>
      <c r="AL6170">
        <v>92.511503022502595</v>
      </c>
      <c r="AM6170">
        <v>90.859938032351494</v>
      </c>
      <c r="AN6170">
        <v>0.99999997678841201</v>
      </c>
    </row>
    <row r="6171" spans="1:40" x14ac:dyDescent="0.25">
      <c r="A6171" t="str">
        <f>"20190303153931540"</f>
        <v>20190303153931540</v>
      </c>
      <c r="B6171" t="str">
        <f>"1551598771535228"</f>
        <v>1551598771535228</v>
      </c>
      <c r="C6171" t="s">
        <v>40</v>
      </c>
      <c r="D6171">
        <v>3.9222589999999999</v>
      </c>
      <c r="E6171">
        <v>0.43507129999999999</v>
      </c>
      <c r="F6171" t="s">
        <v>68</v>
      </c>
      <c r="G6171">
        <v>-426.63260000000002</v>
      </c>
      <c r="H6171" s="1">
        <v>-6.2126840000000002E-6</v>
      </c>
      <c r="I6171">
        <v>128.1481</v>
      </c>
      <c r="J6171">
        <v>-356.77510000000001</v>
      </c>
      <c r="K6171">
        <v>1.1211719999999901</v>
      </c>
      <c r="L6171">
        <v>141.3235</v>
      </c>
      <c r="M6171">
        <v>-0.99981169999999997</v>
      </c>
      <c r="N6171">
        <v>-1.39807E-2</v>
      </c>
      <c r="O6171">
        <v>-1.3457520000000001E-2</v>
      </c>
      <c r="P6171">
        <v>-0.9979268</v>
      </c>
      <c r="Q6171">
        <v>-5.7580249999999999E-2</v>
      </c>
      <c r="R6171">
        <v>-2.8758479999999999E-2</v>
      </c>
      <c r="S6171">
        <v>-2.9875180000000001</v>
      </c>
      <c r="T6171">
        <v>-4.7755840000000001E-2</v>
      </c>
      <c r="U6171">
        <v>-0.56135559999999995</v>
      </c>
      <c r="V6171">
        <v>-1.532448E-2</v>
      </c>
      <c r="W6171">
        <v>-4.3618869999999997E-2</v>
      </c>
      <c r="X6171">
        <v>0.99893069999999895</v>
      </c>
      <c r="Y6171">
        <v>-0.17138419999999999</v>
      </c>
      <c r="Z6171">
        <v>-2.5398769999999998E-3</v>
      </c>
      <c r="AA6171">
        <v>0.98520099999999999</v>
      </c>
      <c r="AB6171">
        <v>28</v>
      </c>
      <c r="AC6171">
        <v>-69.857500000000002</v>
      </c>
      <c r="AD6171">
        <v>-1.12117821268399</v>
      </c>
      <c r="AE6171">
        <v>-13.1753999999999</v>
      </c>
      <c r="AF6171">
        <v>-12.230963742208999</v>
      </c>
      <c r="AG6171">
        <v>-1.12117821268399</v>
      </c>
      <c r="AH6171">
        <v>70.011083793139804</v>
      </c>
      <c r="AI6171">
        <v>90.903787225608994</v>
      </c>
      <c r="AJ6171">
        <v>99.909588448878793</v>
      </c>
      <c r="AK6171">
        <v>71.0802741169298</v>
      </c>
      <c r="AL6171">
        <v>92.499970342781097</v>
      </c>
      <c r="AM6171">
        <v>90.878898964451096</v>
      </c>
      <c r="AN6171">
        <v>0.99999999445491805</v>
      </c>
    </row>
    <row r="6172" spans="1:40" x14ac:dyDescent="0.25">
      <c r="A6172" t="str">
        <f>"20190303153931562"</f>
        <v>20190303153931562</v>
      </c>
      <c r="B6172" t="str">
        <f>"1551598771554748"</f>
        <v>1551598771554748</v>
      </c>
      <c r="C6172" t="s">
        <v>40</v>
      </c>
      <c r="D6172">
        <v>3.9347089999999998</v>
      </c>
      <c r="E6172">
        <v>0.43295359999999999</v>
      </c>
      <c r="F6172" t="s">
        <v>68</v>
      </c>
      <c r="G6172">
        <v>-422.97269999999997</v>
      </c>
      <c r="H6172" s="1">
        <v>-5.5124329999999901E-6</v>
      </c>
      <c r="I6172">
        <v>127.8856</v>
      </c>
      <c r="J6172">
        <v>-357.05579999999998</v>
      </c>
      <c r="K6172">
        <v>1.1211690000000001</v>
      </c>
      <c r="L6172">
        <v>141.31970000000001</v>
      </c>
      <c r="M6172">
        <v>-0.99981160000000002</v>
      </c>
      <c r="N6172">
        <v>-1.3990499999999999E-2</v>
      </c>
      <c r="O6172">
        <v>-1.345858E-2</v>
      </c>
      <c r="P6172">
        <v>-0.99790780000000001</v>
      </c>
      <c r="Q6172">
        <v>-5.812573E-2</v>
      </c>
      <c r="R6172">
        <v>-2.8310189999999999E-2</v>
      </c>
      <c r="S6172">
        <v>-2.9858090000000002</v>
      </c>
      <c r="T6172">
        <v>-5.0570129999999998E-2</v>
      </c>
      <c r="U6172">
        <v>-0.60610959999999903</v>
      </c>
      <c r="V6172">
        <v>-1.487685E-2</v>
      </c>
      <c r="W6172">
        <v>-4.4154409999999998E-2</v>
      </c>
      <c r="X6172">
        <v>0.99891390000000002</v>
      </c>
      <c r="Y6172">
        <v>-0.18568290000000001</v>
      </c>
      <c r="Z6172">
        <v>-2.8296189999999998E-3</v>
      </c>
      <c r="AA6172">
        <v>0.98260559999999997</v>
      </c>
      <c r="AB6172">
        <v>28</v>
      </c>
      <c r="AC6172">
        <v>-65.916899999999998</v>
      </c>
      <c r="AD6172">
        <v>-1.1211745124329999</v>
      </c>
      <c r="AE6172">
        <v>-13.434100000000001</v>
      </c>
      <c r="AF6172">
        <v>-12.542164579942799</v>
      </c>
      <c r="AG6172">
        <v>-1.1211745124329999</v>
      </c>
      <c r="AH6172">
        <v>66.073397359213899</v>
      </c>
      <c r="AI6172">
        <v>90.955085693451295</v>
      </c>
      <c r="AJ6172">
        <v>100.748106844408</v>
      </c>
      <c r="AK6172">
        <v>67.262595573069305</v>
      </c>
      <c r="AL6172">
        <v>92.530684214398306</v>
      </c>
      <c r="AM6172">
        <v>90.853244414619695</v>
      </c>
      <c r="AN6172">
        <v>0.99999995610078896</v>
      </c>
    </row>
    <row r="6173" spans="1:40" x14ac:dyDescent="0.25">
      <c r="A6173" t="str">
        <f>"20190303153931584"</f>
        <v>20190303153931584</v>
      </c>
      <c r="B6173" t="str">
        <f>"1551598771575244"</f>
        <v>1551598771575244</v>
      </c>
      <c r="C6173" t="s">
        <v>40</v>
      </c>
      <c r="D6173">
        <v>3.9407920000000001</v>
      </c>
      <c r="E6173">
        <v>0.43147600000000003</v>
      </c>
      <c r="F6173" t="s">
        <v>68</v>
      </c>
      <c r="G6173">
        <v>-422.56950000000001</v>
      </c>
      <c r="H6173" s="1">
        <v>-5.3190339999999999E-6</v>
      </c>
      <c r="I6173">
        <v>127.6814</v>
      </c>
      <c r="J6173">
        <v>-357.32580000000002</v>
      </c>
      <c r="K6173">
        <v>1.121165</v>
      </c>
      <c r="L6173">
        <v>141.31610000000001</v>
      </c>
      <c r="M6173">
        <v>-0.99981180000000003</v>
      </c>
      <c r="N6173">
        <v>-1.399823E-2</v>
      </c>
      <c r="O6173">
        <v>-1.3443439999999999E-2</v>
      </c>
      <c r="P6173">
        <v>-0.99797060000000004</v>
      </c>
      <c r="Q6173">
        <v>-5.7226779999999998E-2</v>
      </c>
      <c r="R6173">
        <v>-2.792859E-2</v>
      </c>
      <c r="S6173">
        <v>-2.9856569999999998</v>
      </c>
      <c r="T6173">
        <v>-5.1095250000000002E-2</v>
      </c>
      <c r="U6173">
        <v>-0.62153630000000004</v>
      </c>
      <c r="V6173">
        <v>-1.451066E-2</v>
      </c>
      <c r="W6173">
        <v>-4.3246689999999997E-2</v>
      </c>
      <c r="X6173">
        <v>0.99895909999999999</v>
      </c>
      <c r="Y6173">
        <v>-0.1905744</v>
      </c>
      <c r="Z6173">
        <v>-2.9202730000000001E-3</v>
      </c>
      <c r="AA6173">
        <v>0.9816684</v>
      </c>
      <c r="AB6173">
        <v>28</v>
      </c>
      <c r="AC6173">
        <v>-65.243699999999905</v>
      </c>
      <c r="AD6173">
        <v>-1.1211703190340001</v>
      </c>
      <c r="AE6173">
        <v>-13.6347</v>
      </c>
      <c r="AF6173">
        <v>-12.752673752946199</v>
      </c>
      <c r="AG6173">
        <v>-1.1211703190340001</v>
      </c>
      <c r="AH6173">
        <v>65.402612843553598</v>
      </c>
      <c r="AI6173">
        <v>90.963951720834004</v>
      </c>
      <c r="AJ6173">
        <v>101.033503664162</v>
      </c>
      <c r="AK6173">
        <v>66.643750475923298</v>
      </c>
      <c r="AL6173">
        <v>92.478625696402801</v>
      </c>
      <c r="AM6173">
        <v>90.832207353357902</v>
      </c>
      <c r="AN6173">
        <v>1.00000005946119</v>
      </c>
    </row>
    <row r="6174" spans="1:40" x14ac:dyDescent="0.25">
      <c r="A6174" t="str">
        <f>"20190303153931606"</f>
        <v>20190303153931606</v>
      </c>
      <c r="B6174" t="str">
        <f>"1551598771595273"</f>
        <v>1551598771595273</v>
      </c>
      <c r="C6174" t="s">
        <v>40</v>
      </c>
      <c r="D6174">
        <v>3.9125399999999999</v>
      </c>
      <c r="E6174">
        <v>0.43031700000000001</v>
      </c>
      <c r="F6174" t="s">
        <v>68</v>
      </c>
      <c r="G6174">
        <v>-427.32279999999997</v>
      </c>
      <c r="H6174" s="1">
        <v>-5.6927149999999898E-6</v>
      </c>
      <c r="I6174">
        <v>126.4893</v>
      </c>
      <c r="J6174">
        <v>-357.5926</v>
      </c>
      <c r="K6174">
        <v>1.1211580000000001</v>
      </c>
      <c r="L6174">
        <v>141.3125</v>
      </c>
      <c r="M6174">
        <v>-0.99981200000000003</v>
      </c>
      <c r="N6174">
        <v>-1.400445E-2</v>
      </c>
      <c r="O6174">
        <v>-1.340797E-2</v>
      </c>
      <c r="P6174">
        <v>-0.9980019</v>
      </c>
      <c r="Q6174">
        <v>-5.6882330000000002E-2</v>
      </c>
      <c r="R6174">
        <v>-2.7506559999999999E-2</v>
      </c>
      <c r="S6174">
        <v>-2.9856259999999999</v>
      </c>
      <c r="T6174">
        <v>-4.7822000000000003E-2</v>
      </c>
      <c r="U6174">
        <v>-0.63241579999999997</v>
      </c>
      <c r="V6174">
        <v>-1.412456E-2</v>
      </c>
      <c r="W6174">
        <v>-4.2895259999999998E-2</v>
      </c>
      <c r="X6174">
        <v>0.99897970000000003</v>
      </c>
      <c r="Y6174">
        <v>-0.19403999999999999</v>
      </c>
      <c r="Z6174">
        <v>-2.8841869999999999E-3</v>
      </c>
      <c r="AA6174">
        <v>0.98098940000000001</v>
      </c>
      <c r="AB6174">
        <v>28</v>
      </c>
      <c r="AC6174">
        <v>-69.730199999999897</v>
      </c>
      <c r="AD6174">
        <v>-1.1211636927149999</v>
      </c>
      <c r="AE6174">
        <v>-14.8232</v>
      </c>
      <c r="AF6174">
        <v>-13.8834011386254</v>
      </c>
      <c r="AG6174">
        <v>-1.1211636927149999</v>
      </c>
      <c r="AH6174">
        <v>69.905408513820404</v>
      </c>
      <c r="AI6174">
        <v>90.901248832256996</v>
      </c>
      <c r="AJ6174">
        <v>101.232930274537</v>
      </c>
      <c r="AK6174">
        <v>71.279534052110407</v>
      </c>
      <c r="AL6174">
        <v>92.458471749748995</v>
      </c>
      <c r="AM6174">
        <v>90.810050248398895</v>
      </c>
      <c r="AN6174">
        <v>0.99999997376887495</v>
      </c>
    </row>
    <row r="6175" spans="1:40" x14ac:dyDescent="0.25">
      <c r="A6175" t="str">
        <f>"20190303153931628"</f>
        <v>20190303153931628</v>
      </c>
      <c r="B6175" t="str">
        <f>"1551598771624552"</f>
        <v>1551598771624552</v>
      </c>
      <c r="C6175" t="s">
        <v>40</v>
      </c>
      <c r="D6175">
        <v>3.9250690000000001</v>
      </c>
      <c r="E6175">
        <v>0.4288942</v>
      </c>
      <c r="F6175" t="s">
        <v>68</v>
      </c>
      <c r="G6175">
        <v>-428.29340000000002</v>
      </c>
      <c r="H6175" s="1">
        <v>-5.715349E-6</v>
      </c>
      <c r="I6175">
        <v>126.1485</v>
      </c>
      <c r="J6175">
        <v>-357.86810000000003</v>
      </c>
      <c r="K6175">
        <v>1.1211409999999999</v>
      </c>
      <c r="L6175">
        <v>141.30889999999999</v>
      </c>
      <c r="M6175">
        <v>-0.99981279999999995</v>
      </c>
      <c r="N6175">
        <v>-1.400964E-2</v>
      </c>
      <c r="O6175">
        <v>-1.334868E-2</v>
      </c>
      <c r="P6175">
        <v>-0.99799490000000002</v>
      </c>
      <c r="Q6175">
        <v>-5.7405299999999999E-2</v>
      </c>
      <c r="R6175">
        <v>-2.6664810000000001E-2</v>
      </c>
      <c r="S6175">
        <v>-2.9856569999999998</v>
      </c>
      <c r="T6175">
        <v>-4.7346119999999998E-2</v>
      </c>
      <c r="U6175">
        <v>-0.64036559999999998</v>
      </c>
      <c r="V6175">
        <v>-1.3344470000000001E-2</v>
      </c>
      <c r="W6175">
        <v>-4.341271E-2</v>
      </c>
      <c r="X6175">
        <v>0.99896810000000003</v>
      </c>
      <c r="Y6175">
        <v>-0.19659409999999999</v>
      </c>
      <c r="Z6175">
        <v>-2.909755E-3</v>
      </c>
      <c r="AA6175">
        <v>0.98048069999999998</v>
      </c>
      <c r="AB6175">
        <v>28</v>
      </c>
      <c r="AC6175">
        <v>-70.425299999999993</v>
      </c>
      <c r="AD6175">
        <v>-1.121146715349</v>
      </c>
      <c r="AE6175">
        <v>-15.1603999999999</v>
      </c>
      <c r="AF6175">
        <v>-14.215428823940901</v>
      </c>
      <c r="AG6175">
        <v>-1.121146715349</v>
      </c>
      <c r="AH6175">
        <v>70.604314066129803</v>
      </c>
      <c r="AI6175">
        <v>90.891846040250599</v>
      </c>
      <c r="AJ6175">
        <v>101.38370268668599</v>
      </c>
      <c r="AK6175">
        <v>72.029886514936095</v>
      </c>
      <c r="AL6175">
        <v>92.488147027397204</v>
      </c>
      <c r="AM6175">
        <v>90.765326077606403</v>
      </c>
      <c r="AN6175">
        <v>1.0000000015433601</v>
      </c>
    </row>
    <row r="6176" spans="1:40" x14ac:dyDescent="0.25">
      <c r="A6176" t="str">
        <f>"20190303153931651"</f>
        <v>20190303153931651</v>
      </c>
      <c r="B6176" t="str">
        <f>"1551598771645049"</f>
        <v>1551598771645049</v>
      </c>
      <c r="C6176" t="s">
        <v>40</v>
      </c>
      <c r="D6176">
        <v>3.9224960000000002</v>
      </c>
      <c r="E6176">
        <v>0.42813800000000002</v>
      </c>
      <c r="F6176" t="s">
        <v>68</v>
      </c>
      <c r="G6176">
        <v>-426.44830000000002</v>
      </c>
      <c r="H6176" s="1">
        <v>-5.5223210000000004E-6</v>
      </c>
      <c r="I6176">
        <v>126.4</v>
      </c>
      <c r="J6176">
        <v>-358.14920000000001</v>
      </c>
      <c r="K6176">
        <v>1.121108</v>
      </c>
      <c r="L6176">
        <v>141.30520000000001</v>
      </c>
      <c r="M6176">
        <v>-0.99981390000000003</v>
      </c>
      <c r="N6176">
        <v>-1.401376E-2</v>
      </c>
      <c r="O6176">
        <v>-1.3260950000000001E-2</v>
      </c>
      <c r="P6176">
        <v>-0.99798830000000005</v>
      </c>
      <c r="Q6176">
        <v>-5.8011149999999997E-2</v>
      </c>
      <c r="R6176">
        <v>-2.5575029999999999E-2</v>
      </c>
      <c r="S6176">
        <v>-2.9858699999999998</v>
      </c>
      <c r="T6176">
        <v>-4.8812870000000001E-2</v>
      </c>
      <c r="U6176">
        <v>-0.64910889999999999</v>
      </c>
      <c r="V6176">
        <v>-1.234477E-2</v>
      </c>
      <c r="W6176">
        <v>-4.401414E-2</v>
      </c>
      <c r="X6176">
        <v>0.99895469999999997</v>
      </c>
      <c r="Y6176">
        <v>-0.19940530000000001</v>
      </c>
      <c r="Z6176">
        <v>-2.9941690000000001E-3</v>
      </c>
      <c r="AA6176">
        <v>0.97991249999999996</v>
      </c>
      <c r="AB6176">
        <v>27</v>
      </c>
      <c r="AC6176">
        <v>-68.299099999999996</v>
      </c>
      <c r="AD6176">
        <v>-1.121113522321</v>
      </c>
      <c r="AE6176">
        <v>-14.905200000000001</v>
      </c>
      <c r="AF6176">
        <v>-13.994489944202201</v>
      </c>
      <c r="AG6176">
        <v>-1.121113522321</v>
      </c>
      <c r="AH6176">
        <v>68.473158810309201</v>
      </c>
      <c r="AI6176">
        <v>90.9190275052012</v>
      </c>
      <c r="AJ6176">
        <v>101.550987772429</v>
      </c>
      <c r="AK6176">
        <v>69.897611703048497</v>
      </c>
      <c r="AL6176">
        <v>92.522639238569894</v>
      </c>
      <c r="AM6176">
        <v>90.708007298720801</v>
      </c>
      <c r="AN6176">
        <v>1.0000000652591801</v>
      </c>
    </row>
    <row r="6177" spans="1:40" x14ac:dyDescent="0.25">
      <c r="A6177" t="str">
        <f>"20190303153931673"</f>
        <v>20190303153931673</v>
      </c>
      <c r="B6177" t="str">
        <f>"1551598771664568"</f>
        <v>1551598771664568</v>
      </c>
      <c r="C6177" t="s">
        <v>40</v>
      </c>
      <c r="D6177">
        <v>3.9216359999999999</v>
      </c>
      <c r="E6177">
        <v>0.42773349999999999</v>
      </c>
      <c r="F6177" t="s">
        <v>68</v>
      </c>
      <c r="G6177">
        <v>-422.59570000000002</v>
      </c>
      <c r="H6177" s="1">
        <v>-5.0986239999999996E-6</v>
      </c>
      <c r="I6177">
        <v>127.2375</v>
      </c>
      <c r="J6177">
        <v>-358.4196</v>
      </c>
      <c r="K6177">
        <v>1.121092</v>
      </c>
      <c r="L6177">
        <v>141.30170000000001</v>
      </c>
      <c r="M6177">
        <v>-0.99981529999999996</v>
      </c>
      <c r="N6177">
        <v>-1.401678E-2</v>
      </c>
      <c r="O6177">
        <v>-1.315322E-2</v>
      </c>
      <c r="P6177">
        <v>-0.99800560000000005</v>
      </c>
      <c r="Q6177">
        <v>-5.7887099999999997E-2</v>
      </c>
      <c r="R6177">
        <v>-2.5187520000000001E-2</v>
      </c>
      <c r="S6177">
        <v>-2.9863279999999999</v>
      </c>
      <c r="T6177">
        <v>-5.1950219999999998E-2</v>
      </c>
      <c r="U6177">
        <v>-0.65187069999999903</v>
      </c>
      <c r="V6177">
        <v>-1.2067130000000001E-2</v>
      </c>
      <c r="W6177">
        <v>-4.3886370000000001E-2</v>
      </c>
      <c r="X6177">
        <v>0.99896370000000001</v>
      </c>
      <c r="Y6177">
        <v>-0.20033980000000001</v>
      </c>
      <c r="Z6177">
        <v>-3.0990570000000001E-3</v>
      </c>
      <c r="AA6177">
        <v>0.97972150000000002</v>
      </c>
      <c r="AB6177">
        <v>27</v>
      </c>
      <c r="AC6177">
        <v>-64.176100000000005</v>
      </c>
      <c r="AD6177">
        <v>-1.1210970986239901</v>
      </c>
      <c r="AE6177">
        <v>-14.0642</v>
      </c>
      <c r="AF6177">
        <v>-13.2149298793712</v>
      </c>
      <c r="AG6177">
        <v>-1.1210970986239901</v>
      </c>
      <c r="AH6177">
        <v>64.336821037640306</v>
      </c>
      <c r="AI6177">
        <v>90.977891383299394</v>
      </c>
      <c r="AJ6177">
        <v>101.60724398102499</v>
      </c>
      <c r="AK6177">
        <v>65.6895560317666</v>
      </c>
      <c r="AL6177">
        <v>92.515311511241293</v>
      </c>
      <c r="AM6177">
        <v>90.6920791954511</v>
      </c>
      <c r="AN6177">
        <v>1.0000000515079499</v>
      </c>
    </row>
    <row r="6178" spans="1:40" x14ac:dyDescent="0.25">
      <c r="A6178" t="str">
        <f>"20190303153931695"</f>
        <v>20190303153931695</v>
      </c>
      <c r="B6178" t="str">
        <f>"1551598771685065"</f>
        <v>1551598771685065</v>
      </c>
      <c r="C6178" t="s">
        <v>40</v>
      </c>
      <c r="D6178">
        <v>3.9227880000000002</v>
      </c>
      <c r="E6178">
        <v>0.427398</v>
      </c>
      <c r="F6178" t="s">
        <v>68</v>
      </c>
      <c r="G6178">
        <v>-422.69450000000001</v>
      </c>
      <c r="H6178" s="1">
        <v>-5.1159410000000001E-6</v>
      </c>
      <c r="I6178">
        <v>127.2285</v>
      </c>
      <c r="J6178">
        <v>-358.68729999999999</v>
      </c>
      <c r="K6178">
        <v>1.1210800000000001</v>
      </c>
      <c r="L6178">
        <v>141.29830000000001</v>
      </c>
      <c r="M6178">
        <v>-0.99981690000000001</v>
      </c>
      <c r="N6178">
        <v>-1.4018940000000001E-2</v>
      </c>
      <c r="O6178">
        <v>-1.302685E-2</v>
      </c>
      <c r="P6178">
        <v>-0.99807449999999998</v>
      </c>
      <c r="Q6178">
        <v>-5.6711650000000002E-2</v>
      </c>
      <c r="R6178">
        <v>-2.512408E-2</v>
      </c>
      <c r="S6178">
        <v>-2.9864809999999999</v>
      </c>
      <c r="T6178">
        <v>-5.2090879999999999E-2</v>
      </c>
      <c r="U6178">
        <v>-0.65390009999999998</v>
      </c>
      <c r="V6178">
        <v>-1.213063E-2</v>
      </c>
      <c r="W6178">
        <v>-4.2707479999999999E-2</v>
      </c>
      <c r="X6178">
        <v>0.99901399999999996</v>
      </c>
      <c r="Y6178">
        <v>-0.20108809999999999</v>
      </c>
      <c r="Z6178">
        <v>-3.1154400000000001E-3</v>
      </c>
      <c r="AA6178">
        <v>0.9795682</v>
      </c>
      <c r="AB6178">
        <v>27</v>
      </c>
      <c r="AC6178">
        <v>-64.007199999999997</v>
      </c>
      <c r="AD6178">
        <v>-1.12108511594099</v>
      </c>
      <c r="AE6178">
        <v>-14.069800000000001</v>
      </c>
      <c r="AF6178">
        <v>-13.230839981667099</v>
      </c>
      <c r="AG6178">
        <v>-1.12108511594099</v>
      </c>
      <c r="AH6178">
        <v>64.166293616922999</v>
      </c>
      <c r="AI6178">
        <v>90.980325599968893</v>
      </c>
      <c r="AJ6178">
        <v>101.650878738912</v>
      </c>
      <c r="AK6178">
        <v>65.525759781866299</v>
      </c>
      <c r="AL6178">
        <v>92.4477027499683</v>
      </c>
      <c r="AM6178">
        <v>90.695685691700604</v>
      </c>
      <c r="AN6178">
        <v>1.0000000266140701</v>
      </c>
    </row>
    <row r="6179" spans="1:40" x14ac:dyDescent="0.25">
      <c r="A6179" t="str">
        <f>"20190303153931718"</f>
        <v>20190303153931718</v>
      </c>
      <c r="B6179" t="str">
        <f>"1551598771715321"</f>
        <v>1551598771715321</v>
      </c>
      <c r="C6179" t="s">
        <v>40</v>
      </c>
      <c r="D6179">
        <v>3.8967900000000002</v>
      </c>
      <c r="E6179">
        <v>0.42653269999999999</v>
      </c>
      <c r="F6179" t="s">
        <v>68</v>
      </c>
      <c r="G6179">
        <v>-426.92869999999999</v>
      </c>
      <c r="H6179" s="1">
        <v>-5.560778E-6</v>
      </c>
      <c r="I6179">
        <v>126.30329999999999</v>
      </c>
      <c r="J6179">
        <v>-358.96280000000002</v>
      </c>
      <c r="K6179">
        <v>1.121068</v>
      </c>
      <c r="L6179">
        <v>141.29490000000001</v>
      </c>
      <c r="M6179">
        <v>-0.99981880000000001</v>
      </c>
      <c r="N6179">
        <v>-1.4020380000000001E-2</v>
      </c>
      <c r="O6179">
        <v>-1.2879689999999999E-2</v>
      </c>
      <c r="P6179">
        <v>-0.99813750000000001</v>
      </c>
      <c r="Q6179">
        <v>-5.5690770000000001E-2</v>
      </c>
      <c r="R6179">
        <v>-2.491239E-2</v>
      </c>
      <c r="S6179">
        <v>-2.9864809999999999</v>
      </c>
      <c r="T6179">
        <v>-4.906261E-2</v>
      </c>
      <c r="U6179">
        <v>-0.65623469999999995</v>
      </c>
      <c r="V6179">
        <v>-1.206541E-2</v>
      </c>
      <c r="W6179">
        <v>-4.1684119999999998E-2</v>
      </c>
      <c r="X6179">
        <v>0.999058</v>
      </c>
      <c r="Y6179">
        <v>-0.20196720000000001</v>
      </c>
      <c r="Z6179">
        <v>-3.0416010000000001E-3</v>
      </c>
      <c r="AA6179">
        <v>0.97938760000000002</v>
      </c>
      <c r="AB6179">
        <v>27</v>
      </c>
      <c r="AC6179">
        <v>-67.965899999999905</v>
      </c>
      <c r="AD6179">
        <v>-1.121073560778</v>
      </c>
      <c r="AE6179">
        <v>-14.9916</v>
      </c>
      <c r="AF6179">
        <v>-14.111229357928799</v>
      </c>
      <c r="AG6179">
        <v>-1.121073560778</v>
      </c>
      <c r="AH6179">
        <v>68.135689659811007</v>
      </c>
      <c r="AI6179">
        <v>90.923049008082899</v>
      </c>
      <c r="AJ6179">
        <v>101.700811451832</v>
      </c>
      <c r="AK6179">
        <v>69.590630154775994</v>
      </c>
      <c r="AL6179">
        <v>92.389016302481394</v>
      </c>
      <c r="AM6179">
        <v>90.6919152499256</v>
      </c>
      <c r="AN6179">
        <v>1.0000000136713201</v>
      </c>
    </row>
    <row r="6180" spans="1:40" x14ac:dyDescent="0.25">
      <c r="A6180" t="str">
        <f>"20190303153931741"</f>
        <v>20190303153931741</v>
      </c>
      <c r="B6180" t="str">
        <f>"1551598771734843"</f>
        <v>1551598771734843</v>
      </c>
      <c r="C6180" t="s">
        <v>40</v>
      </c>
      <c r="D6180">
        <v>3.901354</v>
      </c>
      <c r="E6180">
        <v>0.42625590000000002</v>
      </c>
      <c r="F6180" t="s">
        <v>68</v>
      </c>
      <c r="G6180">
        <v>-427.69</v>
      </c>
      <c r="H6180" s="1">
        <v>-5.5855250000000002E-6</v>
      </c>
      <c r="I6180">
        <v>126.0545</v>
      </c>
      <c r="J6180">
        <v>-359.24540000000002</v>
      </c>
      <c r="K6180">
        <v>1.1210739999999999</v>
      </c>
      <c r="L6180">
        <v>141.29150000000001</v>
      </c>
      <c r="M6180">
        <v>-0.99982090000000001</v>
      </c>
      <c r="N6180">
        <v>-1.402145E-2</v>
      </c>
      <c r="O6180">
        <v>-1.2716999999999999E-2</v>
      </c>
      <c r="P6180">
        <v>-0.99814270000000005</v>
      </c>
      <c r="Q6180">
        <v>-5.5702660000000001E-2</v>
      </c>
      <c r="R6180">
        <v>-2.467258E-2</v>
      </c>
      <c r="S6180">
        <v>-2.9863590000000002</v>
      </c>
      <c r="T6180">
        <v>-4.8713329999999999E-2</v>
      </c>
      <c r="U6180">
        <v>-0.66223140000000003</v>
      </c>
      <c r="V6180">
        <v>-1.198919E-2</v>
      </c>
      <c r="W6180">
        <v>-4.1694769999999999E-2</v>
      </c>
      <c r="X6180">
        <v>0.99905849999999996</v>
      </c>
      <c r="Y6180">
        <v>-0.20400989999999999</v>
      </c>
      <c r="Z6180">
        <v>-3.0628750000000001E-3</v>
      </c>
      <c r="AA6180">
        <v>0.97896399999999995</v>
      </c>
      <c r="AB6180">
        <v>27</v>
      </c>
      <c r="AC6180">
        <v>-68.444599999999895</v>
      </c>
      <c r="AD6180">
        <v>-1.121079585525</v>
      </c>
      <c r="AE6180">
        <v>-15.237</v>
      </c>
      <c r="AF6180">
        <v>-14.361601090756899</v>
      </c>
      <c r="AG6180">
        <v>-1.121079585525</v>
      </c>
      <c r="AH6180">
        <v>68.615312991024496</v>
      </c>
      <c r="AI6180">
        <v>90.916200415695599</v>
      </c>
      <c r="AJ6180">
        <v>101.821693545287</v>
      </c>
      <c r="AK6180">
        <v>70.111151624997305</v>
      </c>
      <c r="AL6180">
        <v>92.389626969402499</v>
      </c>
      <c r="AM6180">
        <v>90.6875443372993</v>
      </c>
      <c r="AN6180">
        <v>1.00000004047222</v>
      </c>
    </row>
    <row r="6181" spans="1:40" x14ac:dyDescent="0.25">
      <c r="A6181" t="str">
        <f>"20190303153931764"</f>
        <v>20190303153931764</v>
      </c>
      <c r="B6181" t="str">
        <f>"1551598771754360"</f>
        <v>1551598771754360</v>
      </c>
      <c r="C6181" t="s">
        <v>40</v>
      </c>
      <c r="D6181">
        <v>3.8714840000000001</v>
      </c>
      <c r="E6181">
        <v>0.42605510000000002</v>
      </c>
      <c r="F6181" t="s">
        <v>68</v>
      </c>
      <c r="G6181">
        <v>-429.95830000000001</v>
      </c>
      <c r="H6181">
        <v>5.1346079999999997E-3</v>
      </c>
      <c r="I6181">
        <v>125.5745</v>
      </c>
      <c r="J6181">
        <v>-359.52</v>
      </c>
      <c r="K6181">
        <v>1.1210719999999901</v>
      </c>
      <c r="L6181">
        <v>141.28809999999999</v>
      </c>
      <c r="M6181">
        <v>-0.99982289999999996</v>
      </c>
      <c r="N6181">
        <v>-1.4022099999999999E-2</v>
      </c>
      <c r="O6181">
        <v>-1.2553989999999999E-2</v>
      </c>
      <c r="P6181">
        <v>-0.99812940000000006</v>
      </c>
      <c r="Q6181">
        <v>-5.5884549999999998E-2</v>
      </c>
      <c r="R6181">
        <v>-2.4791830000000001E-2</v>
      </c>
      <c r="S6181">
        <v>-2.9864809999999999</v>
      </c>
      <c r="T6181">
        <v>-4.7130470000000001E-2</v>
      </c>
      <c r="U6181">
        <v>-0.66378780000000004</v>
      </c>
      <c r="V6181">
        <v>-1.2271590000000001E-2</v>
      </c>
      <c r="W6181">
        <v>-4.1875999999999997E-2</v>
      </c>
      <c r="X6181">
        <v>0.99904749999999998</v>
      </c>
      <c r="Y6181">
        <v>-0.20464940000000001</v>
      </c>
      <c r="Z6181">
        <v>-3.02593E-3</v>
      </c>
      <c r="AA6181">
        <v>0.9788306</v>
      </c>
      <c r="AB6181">
        <v>27</v>
      </c>
      <c r="AC6181">
        <v>-70.438299999999998</v>
      </c>
      <c r="AD6181">
        <v>-1.11593739199999</v>
      </c>
      <c r="AE6181">
        <v>-15.7135999999999</v>
      </c>
      <c r="AF6181">
        <v>-14.824448376242101</v>
      </c>
      <c r="AG6181">
        <v>-1.11593739199999</v>
      </c>
      <c r="AH6181">
        <v>70.613152617795805</v>
      </c>
      <c r="AI6181">
        <v>90.886087321926794</v>
      </c>
      <c r="AJ6181">
        <v>101.85642678494899</v>
      </c>
      <c r="AK6181">
        <v>72.161117705775894</v>
      </c>
      <c r="AL6181">
        <v>92.400019738939505</v>
      </c>
      <c r="AM6181">
        <v>90.7037452739131</v>
      </c>
      <c r="AN6181">
        <v>1.0000000492766801</v>
      </c>
    </row>
    <row r="6182" spans="1:40" x14ac:dyDescent="0.25">
      <c r="A6182" t="str">
        <f>"20190303153931784"</f>
        <v>20190303153931784</v>
      </c>
      <c r="B6182" t="str">
        <f>"1551598771774856"</f>
        <v>1551598771774856</v>
      </c>
      <c r="C6182" t="s">
        <v>40</v>
      </c>
      <c r="D6182">
        <v>3.873599</v>
      </c>
      <c r="E6182">
        <v>0.42587540000000002</v>
      </c>
      <c r="F6182" t="s">
        <v>68</v>
      </c>
      <c r="G6182">
        <v>-429.95830000000001</v>
      </c>
      <c r="H6182">
        <v>1.9424239999999999E-2</v>
      </c>
      <c r="I6182">
        <v>125.58629999999999</v>
      </c>
      <c r="J6182">
        <v>-359.77780000000001</v>
      </c>
      <c r="K6182">
        <v>1.121075</v>
      </c>
      <c r="L6182">
        <v>141.2851</v>
      </c>
      <c r="M6182">
        <v>-0.99982479999999996</v>
      </c>
      <c r="N6182">
        <v>-1.402229E-2</v>
      </c>
      <c r="O6182">
        <v>-1.240139E-2</v>
      </c>
      <c r="P6182">
        <v>-0.99812820000000002</v>
      </c>
      <c r="Q6182">
        <v>-5.5997949999999998E-2</v>
      </c>
      <c r="R6182">
        <v>-2.4587979999999999E-2</v>
      </c>
      <c r="S6182">
        <v>-2.9865110000000001</v>
      </c>
      <c r="T6182">
        <v>-4.6708699999999999E-2</v>
      </c>
      <c r="U6182">
        <v>-0.66574100000000003</v>
      </c>
      <c r="V6182">
        <v>-1.222056E-2</v>
      </c>
      <c r="W6182">
        <v>-4.1989249999999999E-2</v>
      </c>
      <c r="X6182">
        <v>0.99904329999999997</v>
      </c>
      <c r="Y6182">
        <v>-0.20540700000000001</v>
      </c>
      <c r="Z6182">
        <v>-3.0248720000000001E-3</v>
      </c>
      <c r="AA6182">
        <v>0.97867199999999999</v>
      </c>
      <c r="AB6182">
        <v>27</v>
      </c>
      <c r="AC6182">
        <v>-70.180499999999995</v>
      </c>
      <c r="AD6182">
        <v>-1.1016507600000001</v>
      </c>
      <c r="AE6182">
        <v>-15.6988</v>
      </c>
      <c r="AF6182">
        <v>-14.8236926004915</v>
      </c>
      <c r="AG6182">
        <v>-1.1016507600000001</v>
      </c>
      <c r="AH6182">
        <v>70.353298605755498</v>
      </c>
      <c r="AI6182">
        <v>90.877840314374296</v>
      </c>
      <c r="AJ6182">
        <v>101.898383699428</v>
      </c>
      <c r="AK6182">
        <v>71.906481776133901</v>
      </c>
      <c r="AL6182">
        <v>92.406514371377298</v>
      </c>
      <c r="AM6182">
        <v>90.700822068333594</v>
      </c>
      <c r="AN6182">
        <v>0.99999997723858203</v>
      </c>
    </row>
    <row r="6183" spans="1:40" x14ac:dyDescent="0.25">
      <c r="A6183" t="str">
        <f>"20190303153931800"</f>
        <v>20190303153931800</v>
      </c>
      <c r="B6183" t="str">
        <f>"1551598771794377"</f>
        <v>1551598771794377</v>
      </c>
      <c r="C6183" t="s">
        <v>40</v>
      </c>
      <c r="D6183">
        <v>3.8377469999999998</v>
      </c>
      <c r="E6183">
        <v>0.42563289999999998</v>
      </c>
      <c r="F6183" t="s">
        <v>68</v>
      </c>
      <c r="G6183">
        <v>-429.95839999999998</v>
      </c>
      <c r="H6183">
        <v>4.0196200000000001E-2</v>
      </c>
      <c r="I6183">
        <v>125.62130000000001</v>
      </c>
      <c r="J6183">
        <v>-359.96600000000001</v>
      </c>
      <c r="K6183">
        <v>1.1210789999999999</v>
      </c>
      <c r="L6183">
        <v>141.28290000000001</v>
      </c>
      <c r="M6183">
        <v>-0.99982629999999995</v>
      </c>
      <c r="N6183">
        <v>-1.4022160000000001E-2</v>
      </c>
      <c r="O6183">
        <v>-1.229124E-2</v>
      </c>
      <c r="P6183">
        <v>-0.99811360000000005</v>
      </c>
      <c r="Q6183">
        <v>-5.6205970000000001E-2</v>
      </c>
      <c r="R6183">
        <v>-2.470402E-2</v>
      </c>
      <c r="S6183">
        <v>-2.9866329999999999</v>
      </c>
      <c r="T6183">
        <v>-4.5998329999999997E-2</v>
      </c>
      <c r="U6183">
        <v>-0.66659550000000001</v>
      </c>
      <c r="V6183">
        <v>-1.2446260000000001E-2</v>
      </c>
      <c r="W6183">
        <v>-4.2197499999999999E-2</v>
      </c>
      <c r="X6183">
        <v>0.99903180000000003</v>
      </c>
      <c r="Y6183">
        <v>-0.20577400000000001</v>
      </c>
      <c r="Z6183">
        <v>-3.0091219999999999E-3</v>
      </c>
      <c r="AA6183">
        <v>0.97859490000000005</v>
      </c>
      <c r="AB6183">
        <v>27</v>
      </c>
      <c r="AC6183">
        <v>-69.992399999999904</v>
      </c>
      <c r="AD6183">
        <v>-1.0808827999999999</v>
      </c>
      <c r="AE6183">
        <v>-15.6616</v>
      </c>
      <c r="AF6183">
        <v>-14.796678369976799</v>
      </c>
      <c r="AG6183">
        <v>-1.0808827999999999</v>
      </c>
      <c r="AH6183">
        <v>70.163696182891997</v>
      </c>
      <c r="AI6183">
        <v>90.863589054387603</v>
      </c>
      <c r="AJ6183">
        <v>101.908497586526</v>
      </c>
      <c r="AK6183">
        <v>71.715090883697897</v>
      </c>
      <c r="AL6183">
        <v>92.418456655756202</v>
      </c>
      <c r="AM6183">
        <v>90.713772352242103</v>
      </c>
      <c r="AN6183">
        <v>1.0000000379027301</v>
      </c>
    </row>
    <row r="6184" spans="1:40" x14ac:dyDescent="0.25">
      <c r="A6184" t="str">
        <f>"20190303153931814"</f>
        <v>20190303153931814</v>
      </c>
      <c r="B6184" t="str">
        <f>"1551598771805112"</f>
        <v>1551598771805112</v>
      </c>
      <c r="C6184" t="s">
        <v>40</v>
      </c>
      <c r="D6184">
        <v>3.8781340000000002</v>
      </c>
      <c r="E6184">
        <v>0.42551729999999999</v>
      </c>
      <c r="F6184" t="s">
        <v>68</v>
      </c>
      <c r="G6184">
        <v>-429.95830000000001</v>
      </c>
      <c r="H6184">
        <v>4.1289430000000002E-2</v>
      </c>
      <c r="I6184">
        <v>125.60550000000001</v>
      </c>
      <c r="J6184">
        <v>-360.12799999999999</v>
      </c>
      <c r="K6184">
        <v>1.1210819999999999</v>
      </c>
      <c r="L6184">
        <v>141.28100000000001</v>
      </c>
      <c r="M6184">
        <v>-0.99982740000000003</v>
      </c>
      <c r="N6184">
        <v>-1.4018350000000001E-2</v>
      </c>
      <c r="O6184">
        <v>-1.219728E-2</v>
      </c>
      <c r="P6184">
        <v>-0.99811329999999998</v>
      </c>
      <c r="Q6184">
        <v>-5.6264139999999997E-2</v>
      </c>
      <c r="R6184">
        <v>-2.4588450000000001E-2</v>
      </c>
      <c r="S6184">
        <v>-2.986542</v>
      </c>
      <c r="T6184">
        <v>-4.6074150000000001E-2</v>
      </c>
      <c r="U6184">
        <v>-0.66894529999999996</v>
      </c>
      <c r="V6184">
        <v>-1.2424309999999999E-2</v>
      </c>
      <c r="W6184">
        <v>-4.2259499999999998E-2</v>
      </c>
      <c r="X6184">
        <v>0.99902939999999996</v>
      </c>
      <c r="Y6184">
        <v>-0.20660529999999999</v>
      </c>
      <c r="Z6184">
        <v>-3.023343E-3</v>
      </c>
      <c r="AA6184">
        <v>0.9784197</v>
      </c>
      <c r="AB6184">
        <v>27</v>
      </c>
      <c r="AC6184">
        <v>-69.830299999999895</v>
      </c>
      <c r="AD6184">
        <v>-1.07979257</v>
      </c>
      <c r="AE6184">
        <v>-15.6755</v>
      </c>
      <c r="AF6184">
        <v>-14.8191369282574</v>
      </c>
      <c r="AG6184">
        <v>-1.07979257</v>
      </c>
      <c r="AH6184">
        <v>70.000386935008706</v>
      </c>
      <c r="AI6184">
        <v>90.864588390476101</v>
      </c>
      <c r="AJ6184">
        <v>101.953079039526</v>
      </c>
      <c r="AK6184">
        <v>71.5599534819833</v>
      </c>
      <c r="AL6184">
        <v>92.422012292677707</v>
      </c>
      <c r="AM6184">
        <v>90.712515397583104</v>
      </c>
      <c r="AN6184">
        <v>0.99999998544179203</v>
      </c>
    </row>
    <row r="6185" spans="1:40" x14ac:dyDescent="0.25">
      <c r="A6185" t="str">
        <f>"20190303153931830"</f>
        <v>20190303153931830</v>
      </c>
      <c r="B6185" t="str">
        <f>"1551598771824633"</f>
        <v>1551598771824633</v>
      </c>
      <c r="C6185" t="s">
        <v>40</v>
      </c>
      <c r="D6185">
        <v>3.9036949999999999</v>
      </c>
      <c r="E6185">
        <v>0.42531350000000001</v>
      </c>
      <c r="F6185" t="s">
        <v>68</v>
      </c>
      <c r="G6185">
        <v>-429.95839999999998</v>
      </c>
      <c r="H6185">
        <v>3.7538479999999999E-2</v>
      </c>
      <c r="I6185">
        <v>125.6249</v>
      </c>
      <c r="J6185">
        <v>-360.33139999999997</v>
      </c>
      <c r="K6185">
        <v>1.121078</v>
      </c>
      <c r="L6185">
        <v>141.27860000000001</v>
      </c>
      <c r="M6185">
        <v>-0.99982910000000003</v>
      </c>
      <c r="N6185">
        <v>-1.400289E-2</v>
      </c>
      <c r="O6185">
        <v>-1.2080479999999999E-2</v>
      </c>
      <c r="P6185">
        <v>-0.99812319999999999</v>
      </c>
      <c r="Q6185">
        <v>-5.5878539999999997E-2</v>
      </c>
      <c r="R6185">
        <v>-2.5055919999999999E-2</v>
      </c>
      <c r="S6185">
        <v>-2.986542</v>
      </c>
      <c r="T6185">
        <v>-4.6341540000000001E-2</v>
      </c>
      <c r="U6185">
        <v>-0.66958619999999902</v>
      </c>
      <c r="V6185">
        <v>-1.300902E-2</v>
      </c>
      <c r="W6185">
        <v>-4.1889019999999999E-2</v>
      </c>
      <c r="X6185">
        <v>0.99903759999999997</v>
      </c>
      <c r="Y6185">
        <v>-0.20691909999999999</v>
      </c>
      <c r="Z6185">
        <v>-3.0343940000000002E-3</v>
      </c>
      <c r="AA6185">
        <v>0.97835329999999998</v>
      </c>
      <c r="AB6185">
        <v>27</v>
      </c>
      <c r="AC6185">
        <v>-69.626999999999995</v>
      </c>
      <c r="AD6185">
        <v>-1.08353952</v>
      </c>
      <c r="AE6185">
        <v>-15.653700000000001</v>
      </c>
      <c r="AF6185">
        <v>-14.807933936285901</v>
      </c>
      <c r="AG6185">
        <v>-1.08353952</v>
      </c>
      <c r="AH6185">
        <v>69.794951401573798</v>
      </c>
      <c r="AI6185">
        <v>90.870059763421494</v>
      </c>
      <c r="AJ6185">
        <v>101.978445331519</v>
      </c>
      <c r="AK6185">
        <v>71.356739040548007</v>
      </c>
      <c r="AL6185">
        <v>92.400766442443995</v>
      </c>
      <c r="AM6185">
        <v>90.746037804610395</v>
      </c>
      <c r="AN6185">
        <v>1.0000000254058401</v>
      </c>
    </row>
    <row r="6186" spans="1:40" x14ac:dyDescent="0.25">
      <c r="A6186" t="str">
        <f>"20190303153931847"</f>
        <v>20190303153931847</v>
      </c>
      <c r="B6186" t="str">
        <f>"1551598771834392"</f>
        <v>1551598771834392</v>
      </c>
      <c r="C6186" t="s">
        <v>40</v>
      </c>
      <c r="D6186">
        <v>3.885535</v>
      </c>
      <c r="E6186">
        <v>0.42521439999999999</v>
      </c>
      <c r="F6186" t="s">
        <v>68</v>
      </c>
      <c r="G6186">
        <v>-429.98480000000001</v>
      </c>
      <c r="H6186">
        <v>7.6472219999999994E-2</v>
      </c>
      <c r="I6186">
        <v>125.5925</v>
      </c>
      <c r="J6186">
        <v>-360.53440000000001</v>
      </c>
      <c r="K6186">
        <v>1.1210659999999999</v>
      </c>
      <c r="L6186">
        <v>141.27629999999999</v>
      </c>
      <c r="M6186">
        <v>-0.99983100000000003</v>
      </c>
      <c r="N6186">
        <v>-1.3969399999999899E-2</v>
      </c>
      <c r="O6186">
        <v>-1.1965460000000001E-2</v>
      </c>
      <c r="P6186">
        <v>-0.99812299999999998</v>
      </c>
      <c r="Q6186">
        <v>-5.5721859999999998E-2</v>
      </c>
      <c r="R6186">
        <v>-2.5415E-2</v>
      </c>
      <c r="S6186">
        <v>-2.9862669999999998</v>
      </c>
      <c r="T6186">
        <v>-4.4785619999999998E-2</v>
      </c>
      <c r="U6186">
        <v>-0.67251590000000006</v>
      </c>
      <c r="V6186">
        <v>-1.3482610000000001E-2</v>
      </c>
      <c r="W6186">
        <v>-4.1765620000000003E-2</v>
      </c>
      <c r="X6186">
        <v>0.99903649999999999</v>
      </c>
      <c r="Y6186">
        <v>-0.2079666</v>
      </c>
      <c r="Z6186">
        <v>-2.9988549999999999E-3</v>
      </c>
      <c r="AA6186">
        <v>0.97813139999999998</v>
      </c>
      <c r="AB6186">
        <v>27</v>
      </c>
      <c r="AC6186">
        <v>-69.450400000000002</v>
      </c>
      <c r="AD6186">
        <v>-1.04459377999999</v>
      </c>
      <c r="AE6186">
        <v>-15.6837999999999</v>
      </c>
      <c r="AF6186">
        <v>-14.848393944884201</v>
      </c>
      <c r="AG6186">
        <v>-1.04459377999999</v>
      </c>
      <c r="AH6186">
        <v>69.618124019198106</v>
      </c>
      <c r="AI6186">
        <v>90.840730249899806</v>
      </c>
      <c r="AJ6186">
        <v>102.03984163766999</v>
      </c>
      <c r="AK6186">
        <v>71.191636944658995</v>
      </c>
      <c r="AL6186">
        <v>92.3936899201627</v>
      </c>
      <c r="AM6186">
        <v>90.773194729390895</v>
      </c>
      <c r="AN6186">
        <v>1.0000000380593199</v>
      </c>
    </row>
    <row r="6187" spans="1:40" x14ac:dyDescent="0.25">
      <c r="A6187" t="str">
        <f>"20190303153931860"</f>
        <v>20190303153931860</v>
      </c>
      <c r="B6187" t="str">
        <f>"1551598771854888"</f>
        <v>1551598771854888</v>
      </c>
      <c r="C6187" t="s">
        <v>40</v>
      </c>
      <c r="D6187">
        <v>3.895772</v>
      </c>
      <c r="E6187">
        <v>0.42498960000000002</v>
      </c>
      <c r="F6187" t="s">
        <v>68</v>
      </c>
      <c r="G6187">
        <v>-431.56970000000001</v>
      </c>
      <c r="H6187">
        <v>7.998777E-2</v>
      </c>
      <c r="I6187">
        <v>125.2342</v>
      </c>
      <c r="J6187">
        <v>-360.69619999999998</v>
      </c>
      <c r="K6187">
        <v>1.121059</v>
      </c>
      <c r="L6187">
        <v>141.27449999999999</v>
      </c>
      <c r="M6187">
        <v>-0.99983250000000001</v>
      </c>
      <c r="N6187">
        <v>-1.393175E-2</v>
      </c>
      <c r="O6187">
        <v>-1.187497E-2</v>
      </c>
      <c r="P6187">
        <v>-0.9981179</v>
      </c>
      <c r="Q6187">
        <v>-5.5763140000000003E-2</v>
      </c>
      <c r="R6187">
        <v>-2.552741E-2</v>
      </c>
      <c r="S6187">
        <v>-2.9860530000000001</v>
      </c>
      <c r="T6187">
        <v>-4.3762919999999997E-2</v>
      </c>
      <c r="U6187">
        <v>-0.67434689999999997</v>
      </c>
      <c r="V6187">
        <v>-1.36855E-2</v>
      </c>
      <c r="W6187">
        <v>-4.1844529999999998E-2</v>
      </c>
      <c r="X6187">
        <v>0.99903039999999999</v>
      </c>
      <c r="Y6187">
        <v>-0.2086422</v>
      </c>
      <c r="Z6187">
        <v>-2.9731290000000001E-3</v>
      </c>
      <c r="AA6187">
        <v>0.97798750000000001</v>
      </c>
      <c r="AB6187">
        <v>27</v>
      </c>
      <c r="AC6187">
        <v>-70.873500000000007</v>
      </c>
      <c r="AD6187">
        <v>-1.04107123</v>
      </c>
      <c r="AE6187">
        <v>-16.040299999999899</v>
      </c>
      <c r="AF6187">
        <v>-15.194347711571201</v>
      </c>
      <c r="AG6187">
        <v>-1.04107123</v>
      </c>
      <c r="AH6187">
        <v>71.044415913969601</v>
      </c>
      <c r="AI6187">
        <v>90.820977716003</v>
      </c>
      <c r="AJ6187">
        <v>102.072042686336</v>
      </c>
      <c r="AK6187">
        <v>72.658523686097297</v>
      </c>
      <c r="AL6187">
        <v>92.398215179974301</v>
      </c>
      <c r="AM6187">
        <v>90.784833321909105</v>
      </c>
      <c r="AN6187">
        <v>0.999999998862665</v>
      </c>
    </row>
    <row r="6188" spans="1:40" x14ac:dyDescent="0.25">
      <c r="A6188" t="str">
        <f>"20190303153931874"</f>
        <v>20190303153931874</v>
      </c>
      <c r="B6188" t="str">
        <f>"1551598771864649"</f>
        <v>1551598771864649</v>
      </c>
      <c r="C6188" t="s">
        <v>40</v>
      </c>
      <c r="D6188">
        <v>3.9044099999999999</v>
      </c>
      <c r="E6188">
        <v>0.4248789</v>
      </c>
      <c r="F6188" t="s">
        <v>68</v>
      </c>
      <c r="G6188">
        <v>-433.34820000000002</v>
      </c>
      <c r="H6188">
        <v>7.9987740000000002E-2</v>
      </c>
      <c r="I6188">
        <v>124.8163</v>
      </c>
      <c r="J6188">
        <v>-360.8673</v>
      </c>
      <c r="K6188">
        <v>1.1210530000000001</v>
      </c>
      <c r="L6188">
        <v>141.27260000000001</v>
      </c>
      <c r="M6188">
        <v>-0.99983429999999995</v>
      </c>
      <c r="N6188">
        <v>-1.38829E-2</v>
      </c>
      <c r="O6188">
        <v>-1.1779990000000001E-2</v>
      </c>
      <c r="P6188">
        <v>-0.9981061</v>
      </c>
      <c r="Q6188">
        <v>-5.582032E-2</v>
      </c>
      <c r="R6188">
        <v>-2.5852320000000002E-2</v>
      </c>
      <c r="S6188">
        <v>-2.9859010000000001</v>
      </c>
      <c r="T6188">
        <v>-4.2786600000000001E-2</v>
      </c>
      <c r="U6188">
        <v>-0.67640690000000003</v>
      </c>
      <c r="V6188">
        <v>-1.4105599999999999E-2</v>
      </c>
      <c r="W6188">
        <v>-4.195049E-2</v>
      </c>
      <c r="X6188">
        <v>0.99902009999999997</v>
      </c>
      <c r="Y6188">
        <v>-0.20938899999999999</v>
      </c>
      <c r="Z6188">
        <v>-2.9481799999999999E-3</v>
      </c>
      <c r="AA6188">
        <v>0.97782800000000003</v>
      </c>
      <c r="AB6188">
        <v>27</v>
      </c>
      <c r="AC6188">
        <v>-72.480900000000005</v>
      </c>
      <c r="AD6188">
        <v>-1.0410652600000001</v>
      </c>
      <c r="AE6188">
        <v>-16.456299999999999</v>
      </c>
      <c r="AF6188">
        <v>-15.598191194036101</v>
      </c>
      <c r="AG6188">
        <v>-1.0410652600000001</v>
      </c>
      <c r="AH6188">
        <v>72.655489193605405</v>
      </c>
      <c r="AI6188">
        <v>90.802636881609502</v>
      </c>
      <c r="AJ6188">
        <v>102.116739490257</v>
      </c>
      <c r="AK6188">
        <v>74.318285067427297</v>
      </c>
      <c r="AL6188">
        <v>92.4042916076056</v>
      </c>
      <c r="AM6188">
        <v>90.808930318146807</v>
      </c>
      <c r="AN6188">
        <v>0.99999998588330397</v>
      </c>
    </row>
    <row r="6189" spans="1:40" x14ac:dyDescent="0.25">
      <c r="A6189" t="str">
        <f>"20190303153931891"</f>
        <v>20190303153931891</v>
      </c>
      <c r="B6189" t="str">
        <f>"1551598771885144"</f>
        <v>1551598771885144</v>
      </c>
      <c r="C6189" t="s">
        <v>40</v>
      </c>
      <c r="D6189">
        <v>3.9006259999999999</v>
      </c>
      <c r="E6189">
        <v>0.42455929999999997</v>
      </c>
      <c r="F6189" t="s">
        <v>68</v>
      </c>
      <c r="G6189">
        <v>-434.38279999999997</v>
      </c>
      <c r="H6189">
        <v>7.9987730000000007E-2</v>
      </c>
      <c r="I6189">
        <v>124.57680000000001</v>
      </c>
      <c r="J6189">
        <v>-361.06580000000002</v>
      </c>
      <c r="K6189">
        <v>1.1210370000000001</v>
      </c>
      <c r="L6189">
        <v>141.27029999999999</v>
      </c>
      <c r="M6189">
        <v>-0.99983659999999996</v>
      </c>
      <c r="N6189">
        <v>-1.381129E-2</v>
      </c>
      <c r="O6189">
        <v>-1.167149E-2</v>
      </c>
      <c r="P6189">
        <v>-0.99812970000000001</v>
      </c>
      <c r="Q6189">
        <v>-5.5574289999999998E-2</v>
      </c>
      <c r="R6189">
        <v>-2.5473229999999999E-2</v>
      </c>
      <c r="S6189">
        <v>-2.985779</v>
      </c>
      <c r="T6189">
        <v>-4.2282100000000003E-2</v>
      </c>
      <c r="U6189">
        <v>-0.6780853</v>
      </c>
      <c r="V6189">
        <v>-1.383417E-2</v>
      </c>
      <c r="W6189">
        <v>-4.1775809999999997E-2</v>
      </c>
      <c r="X6189">
        <v>0.99903120000000001</v>
      </c>
      <c r="Y6189">
        <v>-0.2100272</v>
      </c>
      <c r="Z6189">
        <v>-2.9332609999999999E-3</v>
      </c>
      <c r="AA6189">
        <v>0.97769119999999998</v>
      </c>
      <c r="AB6189">
        <v>27</v>
      </c>
      <c r="AC6189">
        <v>-73.316999999999894</v>
      </c>
      <c r="AD6189">
        <v>-1.04104927</v>
      </c>
      <c r="AE6189">
        <v>-16.693499999999901</v>
      </c>
      <c r="AF6189">
        <v>-15.8335275367251</v>
      </c>
      <c r="AG6189">
        <v>-1.04104927</v>
      </c>
      <c r="AH6189">
        <v>73.492774426446005</v>
      </c>
      <c r="AI6189">
        <v>90.793358294980905</v>
      </c>
      <c r="AJ6189">
        <v>102.158156229577</v>
      </c>
      <c r="AK6189">
        <v>75.186250543136396</v>
      </c>
      <c r="AL6189">
        <v>92.394274435833495</v>
      </c>
      <c r="AM6189">
        <v>90.793357500276599</v>
      </c>
      <c r="AN6189">
        <v>0.999999970567092</v>
      </c>
    </row>
    <row r="6190" spans="1:40" x14ac:dyDescent="0.25">
      <c r="A6190" t="str">
        <f>"20190303153931904"</f>
        <v>20190303153931904</v>
      </c>
      <c r="B6190" t="str">
        <f>"1551598771894905"</f>
        <v>1551598771894905</v>
      </c>
      <c r="C6190" t="s">
        <v>40</v>
      </c>
      <c r="D6190">
        <v>3.8962669999999999</v>
      </c>
      <c r="E6190">
        <v>0.42441329999999999</v>
      </c>
      <c r="F6190" t="s">
        <v>43</v>
      </c>
      <c r="G6190">
        <v>-445.23919999999998</v>
      </c>
      <c r="H6190">
        <v>-0.05</v>
      </c>
      <c r="I6190">
        <v>122.1151</v>
      </c>
      <c r="J6190">
        <v>-361.24099999999999</v>
      </c>
      <c r="K6190">
        <v>1.1210180000000001</v>
      </c>
      <c r="L6190">
        <v>141.26840000000001</v>
      </c>
      <c r="M6190">
        <v>-0.99983880000000003</v>
      </c>
      <c r="N6190">
        <v>-1.3733759999999999E-2</v>
      </c>
      <c r="O6190">
        <v>-1.1578410000000001E-2</v>
      </c>
      <c r="P6190">
        <v>-0.99816050000000001</v>
      </c>
      <c r="Q6190">
        <v>-5.5097210000000001E-2</v>
      </c>
      <c r="R6190">
        <v>-2.5300820000000002E-2</v>
      </c>
      <c r="S6190">
        <v>-2.9859309999999999</v>
      </c>
      <c r="T6190">
        <v>-4.1540859999999999E-2</v>
      </c>
      <c r="U6190">
        <v>-0.67950440000000001</v>
      </c>
      <c r="V6190">
        <v>-1.3754840000000001E-2</v>
      </c>
      <c r="W6190">
        <v>-4.1375759999999998E-2</v>
      </c>
      <c r="X6190">
        <v>0.99904890000000002</v>
      </c>
      <c r="Y6190">
        <v>-0.2105503</v>
      </c>
      <c r="Z6190">
        <v>-2.9084179999999999E-3</v>
      </c>
      <c r="AA6190">
        <v>0.97757870000000002</v>
      </c>
      <c r="AB6190">
        <v>27</v>
      </c>
      <c r="AC6190">
        <v>-83.998199999999997</v>
      </c>
      <c r="AD6190">
        <v>-1.1710179999999999</v>
      </c>
      <c r="AE6190">
        <v>-19.153300000000002</v>
      </c>
      <c r="AF6190">
        <v>-18.1760007505952</v>
      </c>
      <c r="AG6190">
        <v>-1.1710179999999999</v>
      </c>
      <c r="AH6190">
        <v>84.198798651526602</v>
      </c>
      <c r="AI6190">
        <v>90.778866839034507</v>
      </c>
      <c r="AJ6190">
        <v>102.181520540553</v>
      </c>
      <c r="AK6190">
        <v>86.146247630423701</v>
      </c>
      <c r="AL6190">
        <v>92.371333526228099</v>
      </c>
      <c r="AM6190">
        <v>90.788794712184696</v>
      </c>
      <c r="AN6190">
        <v>0.99999992686510397</v>
      </c>
    </row>
    <row r="6191" spans="1:40" x14ac:dyDescent="0.25">
      <c r="A6191" t="str">
        <f>"20190303153931919"</f>
        <v>20190303153931919</v>
      </c>
      <c r="B6191" t="str">
        <f>"1551598771914424"</f>
        <v>1551598771914424</v>
      </c>
      <c r="C6191" t="s">
        <v>40</v>
      </c>
      <c r="D6191">
        <v>3.9131629999999999</v>
      </c>
      <c r="E6191">
        <v>0.42418499999999998</v>
      </c>
      <c r="F6191" t="s">
        <v>43</v>
      </c>
      <c r="G6191">
        <v>-448.43810000000002</v>
      </c>
      <c r="H6191">
        <v>-0.05</v>
      </c>
      <c r="I6191">
        <v>121.4096</v>
      </c>
      <c r="J6191">
        <v>-361.4049</v>
      </c>
      <c r="K6191">
        <v>1.1210020000000001</v>
      </c>
      <c r="L6191">
        <v>141.26660000000001</v>
      </c>
      <c r="M6191">
        <v>-0.99984090000000003</v>
      </c>
      <c r="N6191">
        <v>-1.365566E-2</v>
      </c>
      <c r="O6191">
        <v>-1.1485479999999999E-2</v>
      </c>
      <c r="P6191">
        <v>-0.99820520000000001</v>
      </c>
      <c r="Q6191">
        <v>-5.4871339999999998E-2</v>
      </c>
      <c r="R6191">
        <v>-2.3996300000000002E-2</v>
      </c>
      <c r="S6191">
        <v>-2.986084</v>
      </c>
      <c r="T6191">
        <v>-4.0101770000000002E-2</v>
      </c>
      <c r="U6191">
        <v>-0.68006899999999904</v>
      </c>
      <c r="V6191">
        <v>-1.254251E-2</v>
      </c>
      <c r="W6191">
        <v>-4.1227930000000003E-2</v>
      </c>
      <c r="X6191">
        <v>0.99907109999999999</v>
      </c>
      <c r="Y6191">
        <v>-0.2108082</v>
      </c>
      <c r="Z6191">
        <v>-2.8580120000000001E-3</v>
      </c>
      <c r="AA6191">
        <v>0.97752329999999998</v>
      </c>
      <c r="AB6191">
        <v>27</v>
      </c>
      <c r="AC6191">
        <v>-87.033199999999994</v>
      </c>
      <c r="AD6191">
        <v>-1.1710020000000001</v>
      </c>
      <c r="AE6191">
        <v>-19.856999999999999</v>
      </c>
      <c r="AF6191">
        <v>-18.852734792553999</v>
      </c>
      <c r="AG6191">
        <v>-1.1710020000000001</v>
      </c>
      <c r="AH6191">
        <v>87.240535064872603</v>
      </c>
      <c r="AI6191">
        <v>90.751667940168502</v>
      </c>
      <c r="AJ6191">
        <v>102.194141877354</v>
      </c>
      <c r="AK6191">
        <v>89.2620177525001</v>
      </c>
      <c r="AL6191">
        <v>92.362855942672596</v>
      </c>
      <c r="AM6191">
        <v>90.719263260801895</v>
      </c>
      <c r="AN6191">
        <v>1.0000000598121901</v>
      </c>
    </row>
    <row r="6192" spans="1:40" x14ac:dyDescent="0.25">
      <c r="A6192" t="str">
        <f>"20190303153931936"</f>
        <v>20190303153931936</v>
      </c>
      <c r="B6192" t="str">
        <f>"1551598771925161"</f>
        <v>1551598771925161</v>
      </c>
      <c r="C6192" t="s">
        <v>40</v>
      </c>
      <c r="D6192">
        <v>3.9138480000000002</v>
      </c>
      <c r="E6192">
        <v>0.42404930000000002</v>
      </c>
      <c r="F6192" t="s">
        <v>43</v>
      </c>
      <c r="G6192">
        <v>-451.04300000000001</v>
      </c>
      <c r="H6192">
        <v>-0.05</v>
      </c>
      <c r="I6192">
        <v>120.9225</v>
      </c>
      <c r="J6192">
        <v>-361.61720000000003</v>
      </c>
      <c r="K6192">
        <v>1.120984</v>
      </c>
      <c r="L6192">
        <v>141.26439999999999</v>
      </c>
      <c r="M6192">
        <v>-0.9998437</v>
      </c>
      <c r="N6192">
        <v>-1.354882E-2</v>
      </c>
      <c r="O6192">
        <v>-1.13607E-2</v>
      </c>
      <c r="P6192">
        <v>-0.99821729999999997</v>
      </c>
      <c r="Q6192">
        <v>-5.5005190000000002E-2</v>
      </c>
      <c r="R6192">
        <v>-2.316522E-2</v>
      </c>
      <c r="S6192">
        <v>-2.9869690000000002</v>
      </c>
      <c r="T6192">
        <v>-3.9020779999999998E-2</v>
      </c>
      <c r="U6192">
        <v>-0.67791749999999995</v>
      </c>
      <c r="V6192">
        <v>-1.1836380000000001E-2</v>
      </c>
      <c r="W6192">
        <v>-4.1468749999999999E-2</v>
      </c>
      <c r="X6192">
        <v>0.99906969999999995</v>
      </c>
      <c r="Y6192">
        <v>-0.21019959999999999</v>
      </c>
      <c r="Z6192">
        <v>-2.8032970000000002E-3</v>
      </c>
      <c r="AA6192">
        <v>0.97765449999999998</v>
      </c>
      <c r="AB6192">
        <v>27</v>
      </c>
      <c r="AC6192">
        <v>-89.425799999999896</v>
      </c>
      <c r="AD6192">
        <v>-1.170984</v>
      </c>
      <c r="AE6192">
        <v>-20.3418999999999</v>
      </c>
      <c r="AF6192">
        <v>-19.3214041215221</v>
      </c>
      <c r="AG6192">
        <v>-1.170984</v>
      </c>
      <c r="AH6192">
        <v>89.636533888033895</v>
      </c>
      <c r="AI6192">
        <v>90.731649352854703</v>
      </c>
      <c r="AJ6192">
        <v>102.164149370961</v>
      </c>
      <c r="AK6192">
        <v>91.702759327165694</v>
      </c>
      <c r="AL6192">
        <v>92.376665837131299</v>
      </c>
      <c r="AM6192">
        <v>90.6787743554287</v>
      </c>
      <c r="AN6192">
        <v>1.00000001128807</v>
      </c>
    </row>
    <row r="6193" spans="1:40" x14ac:dyDescent="0.25">
      <c r="A6193" t="str">
        <f>"20190303153931953"</f>
        <v>20190303153931953</v>
      </c>
      <c r="B6193" t="str">
        <f>"1551598771944681"</f>
        <v>1551598771944681</v>
      </c>
      <c r="C6193" t="s">
        <v>40</v>
      </c>
      <c r="D6193">
        <v>3.9304070000000002</v>
      </c>
      <c r="E6193">
        <v>0.4238034</v>
      </c>
      <c r="F6193" t="s">
        <v>43</v>
      </c>
      <c r="G6193">
        <v>-450.53570000000002</v>
      </c>
      <c r="H6193">
        <v>-0.05</v>
      </c>
      <c r="I6193">
        <v>121.1293</v>
      </c>
      <c r="J6193">
        <v>-361.81950000000001</v>
      </c>
      <c r="K6193">
        <v>1.120965</v>
      </c>
      <c r="L6193">
        <v>141.26220000000001</v>
      </c>
      <c r="M6193">
        <v>-0.99984660000000003</v>
      </c>
      <c r="N6193">
        <v>-1.344187E-2</v>
      </c>
      <c r="O6193">
        <v>-1.123943E-2</v>
      </c>
      <c r="P6193">
        <v>-0.99824179999999996</v>
      </c>
      <c r="Q6193">
        <v>-5.5345800000000001E-2</v>
      </c>
      <c r="R6193">
        <v>-2.1223809999999999E-2</v>
      </c>
      <c r="S6193">
        <v>-2.9874879999999999</v>
      </c>
      <c r="T6193">
        <v>-3.9342759999999997E-2</v>
      </c>
      <c r="U6193">
        <v>-0.67649840000000006</v>
      </c>
      <c r="V6193">
        <v>-1.001587E-2</v>
      </c>
      <c r="W6193">
        <v>-4.1916870000000002E-2</v>
      </c>
      <c r="X6193">
        <v>0.99907089999999998</v>
      </c>
      <c r="Y6193">
        <v>-0.20983969999999999</v>
      </c>
      <c r="Z6193">
        <v>-2.795652E-3</v>
      </c>
      <c r="AA6193">
        <v>0.97773180000000004</v>
      </c>
      <c r="AB6193">
        <v>27</v>
      </c>
      <c r="AC6193">
        <v>-88.716200000000001</v>
      </c>
      <c r="AD6193">
        <v>-1.170965</v>
      </c>
      <c r="AE6193">
        <v>-20.132899999999999</v>
      </c>
      <c r="AF6193">
        <v>-19.131248905805201</v>
      </c>
      <c r="AG6193">
        <v>-1.170965</v>
      </c>
      <c r="AH6193">
        <v>88.922165310265299</v>
      </c>
      <c r="AI6193">
        <v>90.737576284845503</v>
      </c>
      <c r="AJ6193">
        <v>102.141875966762</v>
      </c>
      <c r="AK6193">
        <v>90.964428911488497</v>
      </c>
      <c r="AL6193">
        <v>92.402363587827196</v>
      </c>
      <c r="AM6193">
        <v>90.5743815128005</v>
      </c>
      <c r="AN6193">
        <v>1.0000000024346301</v>
      </c>
    </row>
    <row r="6194" spans="1:40" x14ac:dyDescent="0.25">
      <c r="A6194" t="str">
        <f>"20190303153931975"</f>
        <v>20190303153931975</v>
      </c>
      <c r="B6194" t="str">
        <f>"1551598771965177"</f>
        <v>1551598771965177</v>
      </c>
      <c r="C6194" t="s">
        <v>40</v>
      </c>
      <c r="D6194">
        <v>3.9665460000000001</v>
      </c>
      <c r="E6194">
        <v>0.4236452</v>
      </c>
      <c r="F6194" t="s">
        <v>43</v>
      </c>
      <c r="G6194">
        <v>-448.51100000000002</v>
      </c>
      <c r="H6194">
        <v>-0.05</v>
      </c>
      <c r="I6194">
        <v>121.7503</v>
      </c>
      <c r="J6194">
        <v>-362.09070000000003</v>
      </c>
      <c r="K6194">
        <v>1.1209499999999999</v>
      </c>
      <c r="L6194">
        <v>141.2594</v>
      </c>
      <c r="M6194">
        <v>-0.99985020000000002</v>
      </c>
      <c r="N6194">
        <v>-1.329406E-2</v>
      </c>
      <c r="O6194">
        <v>-1.107693E-2</v>
      </c>
      <c r="P6194">
        <v>-0.99825010000000003</v>
      </c>
      <c r="Q6194">
        <v>-5.5753759999999999E-2</v>
      </c>
      <c r="R6194">
        <v>-1.9700120000000002E-2</v>
      </c>
      <c r="S6194">
        <v>-2.9887389999999998</v>
      </c>
      <c r="T6194">
        <v>-4.0369629999999997E-2</v>
      </c>
      <c r="U6194">
        <v>-0.6726837</v>
      </c>
      <c r="V6194">
        <v>-8.6536489999999994E-3</v>
      </c>
      <c r="W6194">
        <v>-4.2473209999999997E-2</v>
      </c>
      <c r="X6194">
        <v>0.99906019999999895</v>
      </c>
      <c r="Y6194">
        <v>-0.20872180000000001</v>
      </c>
      <c r="Z6194">
        <v>-2.7946360000000001E-3</v>
      </c>
      <c r="AA6194">
        <v>0.97797109999999998</v>
      </c>
      <c r="AB6194">
        <v>27</v>
      </c>
      <c r="AC6194">
        <v>-86.420299999999898</v>
      </c>
      <c r="AD6194">
        <v>-1.1709499999999999</v>
      </c>
      <c r="AE6194">
        <v>-19.5091</v>
      </c>
      <c r="AF6194">
        <v>-18.547306641994801</v>
      </c>
      <c r="AG6194">
        <v>-1.1709499999999999</v>
      </c>
      <c r="AH6194">
        <v>86.615986525607894</v>
      </c>
      <c r="AI6194">
        <v>90.757359985822504</v>
      </c>
      <c r="AJ6194">
        <v>102.086369314414</v>
      </c>
      <c r="AK6194">
        <v>88.587261101012501</v>
      </c>
      <c r="AL6194">
        <v>92.434267768849196</v>
      </c>
      <c r="AM6194">
        <v>90.496271561824997</v>
      </c>
      <c r="AN6194">
        <v>1.0000000712163699</v>
      </c>
    </row>
    <row r="6195" spans="1:40" x14ac:dyDescent="0.25">
      <c r="A6195" t="str">
        <f>"20190303153931997"</f>
        <v>20190303153931997</v>
      </c>
      <c r="B6195" t="str">
        <f>"1551598771984696"</f>
        <v>1551598771984696</v>
      </c>
      <c r="C6195" t="s">
        <v>40</v>
      </c>
      <c r="D6195">
        <v>3.9610210000000001</v>
      </c>
      <c r="E6195">
        <v>0.42346309999999898</v>
      </c>
      <c r="F6195" t="s">
        <v>43</v>
      </c>
      <c r="G6195">
        <v>-446.00540000000001</v>
      </c>
      <c r="H6195">
        <v>-0.05</v>
      </c>
      <c r="I6195">
        <v>122.4734</v>
      </c>
      <c r="J6195">
        <v>-362.35129999999998</v>
      </c>
      <c r="K6195">
        <v>1.120938</v>
      </c>
      <c r="L6195">
        <v>141.25659999999999</v>
      </c>
      <c r="M6195">
        <v>-0.99985380000000001</v>
      </c>
      <c r="N6195">
        <v>-1.315707E-2</v>
      </c>
      <c r="O6195">
        <v>-1.092306E-2</v>
      </c>
      <c r="P6195">
        <v>-0.99827580000000005</v>
      </c>
      <c r="Q6195">
        <v>-5.546914E-2</v>
      </c>
      <c r="R6195">
        <v>-1.9210069999999999E-2</v>
      </c>
      <c r="S6195">
        <v>-2.9897459999999998</v>
      </c>
      <c r="T6195">
        <v>-4.1719079999999999E-2</v>
      </c>
      <c r="U6195">
        <v>-0.66931149999999995</v>
      </c>
      <c r="V6195">
        <v>-8.3164150000000006E-3</v>
      </c>
      <c r="W6195">
        <v>-4.2325399999999999E-2</v>
      </c>
      <c r="X6195">
        <v>0.99906930000000005</v>
      </c>
      <c r="Y6195">
        <v>-0.20775009999999999</v>
      </c>
      <c r="Z6195">
        <v>-2.806785E-3</v>
      </c>
      <c r="AA6195">
        <v>0.97817790000000004</v>
      </c>
      <c r="AB6195">
        <v>27</v>
      </c>
      <c r="AC6195">
        <v>-83.6541</v>
      </c>
      <c r="AD6195">
        <v>-1.17093799999999</v>
      </c>
      <c r="AE6195">
        <v>-18.783199999999901</v>
      </c>
      <c r="AF6195">
        <v>-17.864909181683998</v>
      </c>
      <c r="AG6195">
        <v>-1.17093799999999</v>
      </c>
      <c r="AH6195">
        <v>83.838658412525106</v>
      </c>
      <c r="AI6195">
        <v>90.782605172788095</v>
      </c>
      <c r="AJ6195">
        <v>102.02906254465999</v>
      </c>
      <c r="AK6195">
        <v>85.728914143839106</v>
      </c>
      <c r="AL6195">
        <v>92.425791347523798</v>
      </c>
      <c r="AM6195">
        <v>90.476928352130301</v>
      </c>
      <c r="AN6195">
        <v>1.0000000342230499</v>
      </c>
    </row>
    <row r="6196" spans="1:40" x14ac:dyDescent="0.25">
      <c r="A6196" t="str">
        <f>"20190303153932013"</f>
        <v>20190303153932013</v>
      </c>
      <c r="B6196" t="str">
        <f>"1551598772005193"</f>
        <v>1551598772005193</v>
      </c>
      <c r="C6196" t="s">
        <v>40</v>
      </c>
      <c r="D6196">
        <v>3.9520059999999999</v>
      </c>
      <c r="E6196">
        <v>0.4232281</v>
      </c>
      <c r="F6196" t="s">
        <v>43</v>
      </c>
      <c r="G6196">
        <v>-447.45960000000002</v>
      </c>
      <c r="H6196">
        <v>-0.05</v>
      </c>
      <c r="I6196">
        <v>122.20480000000001</v>
      </c>
      <c r="J6196">
        <v>-362.54759999999999</v>
      </c>
      <c r="K6196">
        <v>1.1209229999999999</v>
      </c>
      <c r="L6196">
        <v>141.25460000000001</v>
      </c>
      <c r="M6196">
        <v>-0.99985619999999997</v>
      </c>
      <c r="N6196">
        <v>-1.306E-2</v>
      </c>
      <c r="O6196">
        <v>-1.080886E-2</v>
      </c>
      <c r="P6196">
        <v>-0.998309</v>
      </c>
      <c r="Q6196">
        <v>-5.4939549999999997E-2</v>
      </c>
      <c r="R6196">
        <v>-1.8995229999999998E-2</v>
      </c>
      <c r="S6196">
        <v>-2.990021</v>
      </c>
      <c r="T6196">
        <v>-4.1137340000000001E-2</v>
      </c>
      <c r="U6196">
        <v>-0.6693268</v>
      </c>
      <c r="V6196">
        <v>-8.2155719999999904E-3</v>
      </c>
      <c r="W6196">
        <v>-4.1892529999999997E-2</v>
      </c>
      <c r="X6196">
        <v>0.99908830000000004</v>
      </c>
      <c r="Y6196">
        <v>-0.20784839999999999</v>
      </c>
      <c r="Z6196">
        <v>-2.7789389999999998E-3</v>
      </c>
      <c r="AA6196">
        <v>0.9781571</v>
      </c>
      <c r="AB6196">
        <v>27</v>
      </c>
      <c r="AC6196">
        <v>-84.912000000000006</v>
      </c>
      <c r="AD6196">
        <v>-1.1709229999999999</v>
      </c>
      <c r="AE6196">
        <v>-19.049800000000001</v>
      </c>
      <c r="AF6196">
        <v>-18.127524743737499</v>
      </c>
      <c r="AG6196">
        <v>-1.1709229999999999</v>
      </c>
      <c r="AH6196">
        <v>85.097556333081798</v>
      </c>
      <c r="AI6196">
        <v>90.771029580354295</v>
      </c>
      <c r="AJ6196">
        <v>102.025430732285</v>
      </c>
      <c r="AK6196">
        <v>87.014782122744904</v>
      </c>
      <c r="AL6196">
        <v>92.400967895385705</v>
      </c>
      <c r="AM6196">
        <v>90.471136527692096</v>
      </c>
      <c r="AN6196">
        <v>0.99999995544498799</v>
      </c>
    </row>
    <row r="6197" spans="1:40" x14ac:dyDescent="0.25">
      <c r="A6197" t="str">
        <f>"20190303153932032"</f>
        <v>20190303153932032</v>
      </c>
      <c r="B6197" t="str">
        <f>"1551598772024716"</f>
        <v>1551598772024716</v>
      </c>
      <c r="C6197" t="s">
        <v>40</v>
      </c>
      <c r="D6197">
        <v>3.953497</v>
      </c>
      <c r="E6197">
        <v>0.41560599999999998</v>
      </c>
      <c r="F6197" t="s">
        <v>43</v>
      </c>
      <c r="G6197">
        <v>-450.5462</v>
      </c>
      <c r="H6197">
        <v>-0.05</v>
      </c>
      <c r="I6197">
        <v>121.52249999999999</v>
      </c>
      <c r="J6197">
        <v>-362.7672</v>
      </c>
      <c r="K6197">
        <v>1.1209150000000001</v>
      </c>
      <c r="L6197">
        <v>141.25239999999999</v>
      </c>
      <c r="M6197">
        <v>-0.99985889999999999</v>
      </c>
      <c r="N6197">
        <v>-1.296043E-2</v>
      </c>
      <c r="O6197">
        <v>-1.0683170000000001E-2</v>
      </c>
      <c r="P6197">
        <v>-0.99833190000000005</v>
      </c>
      <c r="Q6197">
        <v>-5.4389739999999999E-2</v>
      </c>
      <c r="R6197">
        <v>-1.9371220000000001E-2</v>
      </c>
      <c r="S6197">
        <v>-2.9901430000000002</v>
      </c>
      <c r="T6197">
        <v>-3.9787290000000003E-2</v>
      </c>
      <c r="U6197">
        <v>-0.67048649999999999</v>
      </c>
      <c r="V6197">
        <v>-8.7169090000000001E-3</v>
      </c>
      <c r="W6197">
        <v>-4.1441730000000003E-2</v>
      </c>
      <c r="X6197">
        <v>0.99910290000000002</v>
      </c>
      <c r="Y6197">
        <v>-0.20832590000000001</v>
      </c>
      <c r="Z6197">
        <v>-2.7321289999999998E-3</v>
      </c>
      <c r="AA6197">
        <v>0.97805569999999997</v>
      </c>
      <c r="AB6197">
        <v>27</v>
      </c>
      <c r="AC6197">
        <v>-87.778999999999996</v>
      </c>
      <c r="AD6197">
        <v>-1.1709149999999999</v>
      </c>
      <c r="AE6197">
        <v>-19.729900000000001</v>
      </c>
      <c r="AF6197">
        <v>-18.787754815948698</v>
      </c>
      <c r="AG6197">
        <v>-1.1709149999999999</v>
      </c>
      <c r="AH6197">
        <v>87.9698850552832</v>
      </c>
      <c r="AI6197">
        <v>90.745768635336404</v>
      </c>
      <c r="AJ6197">
        <v>102.055560735353</v>
      </c>
      <c r="AK6197">
        <v>89.961388659808705</v>
      </c>
      <c r="AL6197">
        <v>92.375116392576402</v>
      </c>
      <c r="AM6197">
        <v>90.499877864430303</v>
      </c>
      <c r="AN6197">
        <v>1.00000000313815</v>
      </c>
    </row>
    <row r="6198" spans="1:40" x14ac:dyDescent="0.25">
      <c r="A6198" t="str">
        <f>"20190303153932053"</f>
        <v>20190303153932053</v>
      </c>
      <c r="B6198" t="str">
        <f>"1551598772045210"</f>
        <v>1551598772045210</v>
      </c>
      <c r="C6198" t="s">
        <v>40</v>
      </c>
      <c r="D6198">
        <v>3.9538989999999998</v>
      </c>
      <c r="E6198">
        <v>0.41554390000000002</v>
      </c>
      <c r="F6198" t="s">
        <v>43</v>
      </c>
      <c r="G6198">
        <v>-460.012</v>
      </c>
      <c r="H6198">
        <v>-0.05</v>
      </c>
      <c r="I6198">
        <v>117.4195</v>
      </c>
      <c r="J6198">
        <v>-363.03609999999998</v>
      </c>
      <c r="K6198">
        <v>1.120911</v>
      </c>
      <c r="L6198">
        <v>141.24969999999999</v>
      </c>
      <c r="M6198">
        <v>-0.99986180000000002</v>
      </c>
      <c r="N6198">
        <v>-1.286814E-2</v>
      </c>
      <c r="O6198">
        <v>-1.052911E-2</v>
      </c>
      <c r="P6198">
        <v>-0.99834829999999997</v>
      </c>
      <c r="Q6198">
        <v>-5.3783480000000002E-2</v>
      </c>
      <c r="R6198">
        <v>-2.0208609999999998E-2</v>
      </c>
      <c r="S6198">
        <v>-2.9887999999999999</v>
      </c>
      <c r="T6198">
        <v>-3.5987850000000002E-2</v>
      </c>
      <c r="U6198">
        <v>-0.73249819999999999</v>
      </c>
      <c r="V6198">
        <v>-9.7080420000000001E-3</v>
      </c>
      <c r="W6198">
        <v>-4.0927020000000001E-2</v>
      </c>
      <c r="X6198">
        <v>0.99911499999999998</v>
      </c>
      <c r="Y6198">
        <v>-0.22776270000000001</v>
      </c>
      <c r="Z6198">
        <v>-2.846852E-3</v>
      </c>
      <c r="AA6198">
        <v>0.97371249999999998</v>
      </c>
      <c r="AB6198">
        <v>27</v>
      </c>
      <c r="AC6198">
        <v>-96.975899999999896</v>
      </c>
      <c r="AD6198">
        <v>-1.170911</v>
      </c>
      <c r="AE6198">
        <v>-23.830199999999898</v>
      </c>
      <c r="AF6198">
        <v>-22.8045890805287</v>
      </c>
      <c r="AG6198">
        <v>-1.170911</v>
      </c>
      <c r="AH6198">
        <v>97.208090352427405</v>
      </c>
      <c r="AI6198">
        <v>90.671878505312606</v>
      </c>
      <c r="AJ6198">
        <v>103.202590750814</v>
      </c>
      <c r="AK6198">
        <v>99.854059234802193</v>
      </c>
      <c r="AL6198">
        <v>92.345600587806601</v>
      </c>
      <c r="AM6198">
        <v>90.556705013733705</v>
      </c>
      <c r="AN6198">
        <v>1.0000000251352701</v>
      </c>
    </row>
    <row r="6199" spans="1:40" x14ac:dyDescent="0.25">
      <c r="A6199" t="str">
        <f>"20190303153932077"</f>
        <v>20190303153932077</v>
      </c>
      <c r="B6199" t="str">
        <f>"1551598772064728"</f>
        <v>1551598772064728</v>
      </c>
      <c r="C6199" t="s">
        <v>40</v>
      </c>
      <c r="D6199">
        <v>3.9547859999999999</v>
      </c>
      <c r="E6199">
        <v>0.4151997</v>
      </c>
      <c r="F6199" t="s">
        <v>43</v>
      </c>
      <c r="G6199">
        <v>-457.90269999999998</v>
      </c>
      <c r="H6199">
        <v>-0.05</v>
      </c>
      <c r="I6199">
        <v>117.8952</v>
      </c>
      <c r="J6199">
        <v>-363.31029999999998</v>
      </c>
      <c r="K6199">
        <v>1.120916</v>
      </c>
      <c r="L6199">
        <v>141.24700000000001</v>
      </c>
      <c r="M6199">
        <v>-0.99986399999999998</v>
      </c>
      <c r="N6199">
        <v>-1.2818009999999999E-2</v>
      </c>
      <c r="O6199">
        <v>-1.038237E-2</v>
      </c>
      <c r="P6199">
        <v>-0.99834610000000001</v>
      </c>
      <c r="Q6199">
        <v>-5.3429629999999999E-2</v>
      </c>
      <c r="R6199">
        <v>-2.1223200000000001E-2</v>
      </c>
      <c r="S6199">
        <v>-2.9880680000000002</v>
      </c>
      <c r="T6199">
        <v>-3.688085E-2</v>
      </c>
      <c r="U6199">
        <v>-0.73561100000000001</v>
      </c>
      <c r="V6199">
        <v>-1.0869190000000001E-2</v>
      </c>
      <c r="W6199">
        <v>-4.0622760000000001E-2</v>
      </c>
      <c r="X6199">
        <v>0.99911539999999999</v>
      </c>
      <c r="Y6199">
        <v>-0.22891600000000001</v>
      </c>
      <c r="Z6199">
        <v>-2.885725E-3</v>
      </c>
      <c r="AA6199">
        <v>0.97344189999999997</v>
      </c>
      <c r="AB6199">
        <v>27</v>
      </c>
      <c r="AC6199">
        <v>-94.592399999999998</v>
      </c>
      <c r="AD6199">
        <v>-1.1709160000000001</v>
      </c>
      <c r="AE6199">
        <v>-23.351800000000001</v>
      </c>
      <c r="AF6199">
        <v>-22.365137125192199</v>
      </c>
      <c r="AG6199">
        <v>-1.1709160000000001</v>
      </c>
      <c r="AH6199">
        <v>94.816073783636298</v>
      </c>
      <c r="AI6199">
        <v>90.688632923398004</v>
      </c>
      <c r="AJ6199">
        <v>103.272278513497</v>
      </c>
      <c r="AK6199">
        <v>97.425141778966207</v>
      </c>
      <c r="AL6199">
        <v>92.328153403953095</v>
      </c>
      <c r="AM6199">
        <v>90.623285506292305</v>
      </c>
      <c r="AN6199">
        <v>0.99999996521921597</v>
      </c>
    </row>
    <row r="6200" spans="1:40" x14ac:dyDescent="0.25">
      <c r="A6200" t="str">
        <f>"20190303153932098"</f>
        <v>20190303153932098</v>
      </c>
      <c r="B6200" t="str">
        <f>"1551598772094985"</f>
        <v>1551598772094985</v>
      </c>
      <c r="C6200" t="s">
        <v>40</v>
      </c>
      <c r="D6200">
        <v>3.9430200000000002</v>
      </c>
      <c r="E6200">
        <v>0.4163772</v>
      </c>
      <c r="F6200" t="s">
        <v>43</v>
      </c>
      <c r="G6200">
        <v>-456.8218</v>
      </c>
      <c r="H6200">
        <v>-0.05</v>
      </c>
      <c r="I6200">
        <v>118.0408</v>
      </c>
      <c r="J6200">
        <v>-363.57170000000002</v>
      </c>
      <c r="K6200">
        <v>1.1209389999999999</v>
      </c>
      <c r="L6200">
        <v>141.24440000000001</v>
      </c>
      <c r="M6200">
        <v>-0.99986509999999995</v>
      </c>
      <c r="N6200">
        <v>-1.283221E-2</v>
      </c>
      <c r="O6200">
        <v>-1.0247869999999999E-2</v>
      </c>
      <c r="P6200">
        <v>-0.99832180000000004</v>
      </c>
      <c r="Q6200">
        <v>-5.3521640000000002E-2</v>
      </c>
      <c r="R6200">
        <v>-2.2117120000000001E-2</v>
      </c>
      <c r="S6200">
        <v>-2.9872130000000001</v>
      </c>
      <c r="T6200">
        <v>-3.7404779999999999E-2</v>
      </c>
      <c r="U6200">
        <v>-0.74131769999999997</v>
      </c>
      <c r="V6200">
        <v>-1.189773E-2</v>
      </c>
      <c r="W6200">
        <v>-4.0700420000000001E-2</v>
      </c>
      <c r="X6200">
        <v>0.99910060000000001</v>
      </c>
      <c r="Y6200">
        <v>-0.2308626</v>
      </c>
      <c r="Z6200">
        <v>-2.9305149999999999E-3</v>
      </c>
      <c r="AA6200">
        <v>0.97298189999999996</v>
      </c>
      <c r="AB6200">
        <v>27</v>
      </c>
      <c r="AC6200">
        <v>-93.250099999999904</v>
      </c>
      <c r="AD6200">
        <v>-1.170939</v>
      </c>
      <c r="AE6200">
        <v>-23.203600000000002</v>
      </c>
      <c r="AF6200">
        <v>-22.243384939170099</v>
      </c>
      <c r="AG6200">
        <v>-1.170939</v>
      </c>
      <c r="AH6200">
        <v>93.469130967241497</v>
      </c>
      <c r="AI6200">
        <v>90.698240807023794</v>
      </c>
      <c r="AJ6200">
        <v>103.386017768342</v>
      </c>
      <c r="AK6200">
        <v>96.086511620857394</v>
      </c>
      <c r="AL6200">
        <v>92.332606492176694</v>
      </c>
      <c r="AM6200">
        <v>90.682271128491095</v>
      </c>
      <c r="AN6200">
        <v>1.0000000445438399</v>
      </c>
    </row>
    <row r="6201" spans="1:40" x14ac:dyDescent="0.25">
      <c r="A6201" t="str">
        <f>"20190303153932121"</f>
        <v>20190303153932121</v>
      </c>
      <c r="B6201" t="str">
        <f>"1551598772114505"</f>
        <v>1551598772114505</v>
      </c>
      <c r="C6201" t="s">
        <v>40</v>
      </c>
      <c r="D6201">
        <v>4.1964480000000002</v>
      </c>
      <c r="E6201">
        <v>0.41678609999999999</v>
      </c>
      <c r="F6201" t="s">
        <v>43</v>
      </c>
      <c r="G6201">
        <v>-465.6841</v>
      </c>
      <c r="H6201">
        <v>-0.05</v>
      </c>
      <c r="I6201">
        <v>116.1279</v>
      </c>
      <c r="J6201">
        <v>-363.84890000000001</v>
      </c>
      <c r="K6201">
        <v>1.120978</v>
      </c>
      <c r="L6201">
        <v>141.24180000000001</v>
      </c>
      <c r="M6201">
        <v>-0.99986580000000003</v>
      </c>
      <c r="N6201">
        <v>-1.2908930000000001E-2</v>
      </c>
      <c r="O6201">
        <v>-1.009527E-2</v>
      </c>
      <c r="P6201">
        <v>-0.99829939999999995</v>
      </c>
      <c r="Q6201">
        <v>-5.3700320000000003E-2</v>
      </c>
      <c r="R6201">
        <v>-2.2690620000000002E-2</v>
      </c>
      <c r="S6201">
        <v>-2.9869379999999999</v>
      </c>
      <c r="T6201">
        <v>-3.4251690000000001E-2</v>
      </c>
      <c r="U6201">
        <v>-0.7346954</v>
      </c>
      <c r="V6201">
        <v>-1.2623250000000001E-2</v>
      </c>
      <c r="W6201">
        <v>-4.0802629999999999E-2</v>
      </c>
      <c r="X6201">
        <v>0.99908750000000002</v>
      </c>
      <c r="Y6201">
        <v>-0.22900300000000001</v>
      </c>
      <c r="Z6201">
        <v>-2.8080739999999998E-3</v>
      </c>
      <c r="AA6201">
        <v>0.97342169999999895</v>
      </c>
      <c r="AB6201">
        <v>27</v>
      </c>
      <c r="AC6201">
        <v>-101.8352</v>
      </c>
      <c r="AD6201">
        <v>-1.1709780000000001</v>
      </c>
      <c r="AE6201">
        <v>-25.113900000000001</v>
      </c>
      <c r="AF6201">
        <v>-24.081479062068599</v>
      </c>
      <c r="AG6201">
        <v>-1.1709780000000001</v>
      </c>
      <c r="AH6201">
        <v>102.07084026358299</v>
      </c>
      <c r="AI6201">
        <v>90.639718746822098</v>
      </c>
      <c r="AJ6201">
        <v>103.27498700082199</v>
      </c>
      <c r="AK6201">
        <v>104.879670362789</v>
      </c>
      <c r="AL6201">
        <v>92.338467627048402</v>
      </c>
      <c r="AM6201">
        <v>90.723881007391498</v>
      </c>
      <c r="AN6201">
        <v>1.00000001685586</v>
      </c>
    </row>
    <row r="6202" spans="1:40" x14ac:dyDescent="0.25">
      <c r="A6202" t="str">
        <f>"20190303153932143"</f>
        <v>20190303153932143</v>
      </c>
      <c r="B6202" t="str">
        <f>"1551598772135001"</f>
        <v>1551598772135001</v>
      </c>
      <c r="C6202" t="s">
        <v>40</v>
      </c>
      <c r="D6202">
        <v>4.1004630000000004</v>
      </c>
      <c r="E6202">
        <v>0.46077249999999997</v>
      </c>
      <c r="F6202" t="s">
        <v>43</v>
      </c>
      <c r="G6202">
        <v>-457.75119999999998</v>
      </c>
      <c r="H6202">
        <v>-0.05</v>
      </c>
      <c r="I6202">
        <v>118.18989999999999</v>
      </c>
      <c r="J6202">
        <v>-364.11829999999998</v>
      </c>
      <c r="K6202">
        <v>1.1210150000000001</v>
      </c>
      <c r="L6202">
        <v>141.23920000000001</v>
      </c>
      <c r="M6202">
        <v>-0.99986609999999998</v>
      </c>
      <c r="N6202">
        <v>-1.300492E-2</v>
      </c>
      <c r="O6202">
        <v>-9.9389830000000002E-3</v>
      </c>
      <c r="P6202">
        <v>-0.99824749999999995</v>
      </c>
      <c r="Q6202">
        <v>-5.4647910000000001E-2</v>
      </c>
      <c r="R6202">
        <v>-2.2704760000000001E-2</v>
      </c>
      <c r="S6202">
        <v>-2.98645</v>
      </c>
      <c r="T6202">
        <v>-3.7241580000000003E-2</v>
      </c>
      <c r="U6202">
        <v>-0.73313899999999999</v>
      </c>
      <c r="V6202">
        <v>-1.2793819999999999E-2</v>
      </c>
      <c r="W6202">
        <v>-4.1655089999999999E-2</v>
      </c>
      <c r="X6202">
        <v>0.99905010000000005</v>
      </c>
      <c r="Y6202">
        <v>-0.22870940000000001</v>
      </c>
      <c r="Z6202">
        <v>-2.9195470000000002E-3</v>
      </c>
      <c r="AA6202">
        <v>0.97349039999999998</v>
      </c>
      <c r="AB6202">
        <v>27</v>
      </c>
      <c r="AC6202">
        <v>-93.632900000000006</v>
      </c>
      <c r="AD6202">
        <v>-1.1710149999999999</v>
      </c>
      <c r="AE6202">
        <v>-23.049299999999999</v>
      </c>
      <c r="AF6202">
        <v>-22.114205604751302</v>
      </c>
      <c r="AG6202">
        <v>-1.1710149999999999</v>
      </c>
      <c r="AH6202">
        <v>93.843540841531194</v>
      </c>
      <c r="AI6202">
        <v>90.695863241523</v>
      </c>
      <c r="AJ6202">
        <v>103.259824928047</v>
      </c>
      <c r="AK6202">
        <v>96.421053319986001</v>
      </c>
      <c r="AL6202">
        <v>92.387351675575005</v>
      </c>
      <c r="AM6202">
        <v>90.733688753982406</v>
      </c>
      <c r="AN6202">
        <v>0.999999965331554</v>
      </c>
    </row>
    <row r="6203" spans="1:40" x14ac:dyDescent="0.25">
      <c r="A6203" t="str">
        <f>"20190303153932166"</f>
        <v>20190303153932166</v>
      </c>
      <c r="B6203" t="str">
        <f>"1551598772154521"</f>
        <v>1551598772154521</v>
      </c>
      <c r="C6203" t="s">
        <v>40</v>
      </c>
      <c r="D6203">
        <v>4.1002559999999999</v>
      </c>
      <c r="E6203">
        <v>0.52361950000000002</v>
      </c>
      <c r="F6203" t="s">
        <v>68</v>
      </c>
      <c r="G6203">
        <v>-433.81720000000001</v>
      </c>
      <c r="H6203" s="1">
        <v>-6.846371E-6</v>
      </c>
      <c r="I6203">
        <v>132.3382</v>
      </c>
      <c r="J6203">
        <v>-364.38290000000001</v>
      </c>
      <c r="K6203">
        <v>1.121035</v>
      </c>
      <c r="L6203">
        <v>141.23679999999999</v>
      </c>
      <c r="M6203">
        <v>-0.99986640000000004</v>
      </c>
      <c r="N6203">
        <v>-1.3097620000000001E-2</v>
      </c>
      <c r="O6203">
        <v>-9.7856060000000005E-3</v>
      </c>
      <c r="P6203">
        <v>-0.99822250000000001</v>
      </c>
      <c r="Q6203">
        <v>-5.5236019999999997E-2</v>
      </c>
      <c r="R6203">
        <v>-2.238894E-2</v>
      </c>
      <c r="S6203">
        <v>-2.9938959999999999</v>
      </c>
      <c r="T6203">
        <v>-4.815316E-2</v>
      </c>
      <c r="U6203">
        <v>-0.3823395</v>
      </c>
      <c r="V6203">
        <v>-1.2631109999999999E-2</v>
      </c>
      <c r="W6203">
        <v>-4.2151050000000002E-2</v>
      </c>
      <c r="X6203">
        <v>0.99903140000000001</v>
      </c>
      <c r="Y6203">
        <v>-0.1169367</v>
      </c>
      <c r="Z6203">
        <v>-1.676503E-3</v>
      </c>
      <c r="AA6203">
        <v>0.99313799999999997</v>
      </c>
      <c r="AB6203">
        <v>27</v>
      </c>
      <c r="AC6203">
        <v>-69.434299999999993</v>
      </c>
      <c r="AD6203">
        <v>-1.1210418463709999</v>
      </c>
      <c r="AE6203">
        <v>-8.8985999999999805</v>
      </c>
      <c r="AF6203">
        <v>-8.2165516922052895</v>
      </c>
      <c r="AG6203">
        <v>-1.1210418463709999</v>
      </c>
      <c r="AH6203">
        <v>69.500236500852097</v>
      </c>
      <c r="AI6203">
        <v>90.917713312103402</v>
      </c>
      <c r="AJ6203">
        <v>96.742403644234301</v>
      </c>
      <c r="AK6203">
        <v>69.993223459177599</v>
      </c>
      <c r="AL6203">
        <v>92.415792995570598</v>
      </c>
      <c r="AM6203">
        <v>90.724372361613703</v>
      </c>
      <c r="AN6203">
        <v>0.999999997070947</v>
      </c>
    </row>
    <row r="6204" spans="1:40" x14ac:dyDescent="0.25">
      <c r="A6204" t="str">
        <f>"20190303153932187"</f>
        <v>20190303153932187</v>
      </c>
      <c r="B6204" t="str">
        <f>"1551598772175017"</f>
        <v>1551598772175017</v>
      </c>
      <c r="C6204" t="s">
        <v>40</v>
      </c>
      <c r="D6204">
        <v>4.0447110000000004</v>
      </c>
      <c r="E6204">
        <v>0.52629419999999905</v>
      </c>
      <c r="F6204" t="s">
        <v>46</v>
      </c>
      <c r="G6204">
        <v>0</v>
      </c>
      <c r="H6204">
        <v>0</v>
      </c>
      <c r="I6204">
        <v>0</v>
      </c>
      <c r="J6204">
        <v>-364.6447</v>
      </c>
      <c r="K6204">
        <v>1.121043</v>
      </c>
      <c r="L6204">
        <v>141.23429999999999</v>
      </c>
      <c r="M6204">
        <v>-0.99986660000000005</v>
      </c>
      <c r="N6204">
        <v>-1.3186460000000001E-2</v>
      </c>
      <c r="O6204">
        <v>-9.6389419999999993E-3</v>
      </c>
      <c r="P6204">
        <v>-0.99817549999999999</v>
      </c>
      <c r="Q6204">
        <v>-5.6340399999999999E-2</v>
      </c>
      <c r="R6204">
        <v>-2.1713509999999998E-2</v>
      </c>
      <c r="S6204">
        <v>-3.0084230000000001</v>
      </c>
      <c r="T6204">
        <v>7.1234699999999998E-3</v>
      </c>
      <c r="U6204">
        <v>0.118927</v>
      </c>
      <c r="V6204">
        <v>-1.2102760000000001E-2</v>
      </c>
      <c r="W6204">
        <v>-4.3167450000000003E-2</v>
      </c>
      <c r="X6204">
        <v>0.99899450000000001</v>
      </c>
      <c r="Y6204">
        <v>4.9130380000000001E-2</v>
      </c>
      <c r="Z6204">
        <v>1.160536E-4</v>
      </c>
      <c r="AA6204">
        <v>0.99879240000000002</v>
      </c>
      <c r="AB6204">
        <v>27</v>
      </c>
      <c r="AC6204">
        <v>-3.0084230000000001</v>
      </c>
      <c r="AD6204">
        <v>7.1234699999999998E-3</v>
      </c>
      <c r="AE6204">
        <v>0.118927</v>
      </c>
      <c r="AF6204">
        <v>0.147921182275668</v>
      </c>
      <c r="AG6204">
        <v>7.1234699999999998E-3</v>
      </c>
      <c r="AH6204">
        <v>3.0071199535925799</v>
      </c>
      <c r="AI6204">
        <v>89.864438028719903</v>
      </c>
      <c r="AJ6204">
        <v>87.183872390466107</v>
      </c>
      <c r="AK6204">
        <v>3.0107643274233999</v>
      </c>
      <c r="AL6204">
        <v>92.4740815857743</v>
      </c>
      <c r="AM6204">
        <v>90.694101064396193</v>
      </c>
      <c r="AN6204">
        <v>0.99999995828468402</v>
      </c>
    </row>
    <row r="6205" spans="1:40" x14ac:dyDescent="0.25">
      <c r="A6205" t="str">
        <f>"20190303153932210"</f>
        <v>20190303153932210</v>
      </c>
      <c r="B6205" t="str">
        <f>"1551598772204301"</f>
        <v>1551598772204301</v>
      </c>
      <c r="C6205" t="s">
        <v>40</v>
      </c>
      <c r="D6205">
        <v>4.035412</v>
      </c>
      <c r="E6205">
        <v>0.52741079999999996</v>
      </c>
      <c r="F6205" t="s">
        <v>70</v>
      </c>
      <c r="G6205">
        <v>-550.16269999999997</v>
      </c>
      <c r="H6205">
        <v>2.4673759999999998</v>
      </c>
      <c r="I6205">
        <v>149.99440000000001</v>
      </c>
      <c r="J6205">
        <v>-364.916</v>
      </c>
      <c r="K6205">
        <v>1.1210549999999999</v>
      </c>
      <c r="L6205">
        <v>141.2319</v>
      </c>
      <c r="M6205">
        <v>-0.99986679999999994</v>
      </c>
      <c r="N6205">
        <v>-1.3276899999999999E-2</v>
      </c>
      <c r="O6205">
        <v>-9.4922549999999998E-3</v>
      </c>
      <c r="P6205">
        <v>-0.99821269999999995</v>
      </c>
      <c r="Q6205">
        <v>-5.600086E-2</v>
      </c>
      <c r="R6205">
        <v>-2.0873240000000001E-2</v>
      </c>
      <c r="S6205">
        <v>-3.0097960000000001</v>
      </c>
      <c r="T6205">
        <v>2.1843189999999998E-2</v>
      </c>
      <c r="U6205">
        <v>0.14212040000000001</v>
      </c>
      <c r="V6205">
        <v>-1.1408919999999999E-2</v>
      </c>
      <c r="W6205">
        <v>-4.2737320000000002E-2</v>
      </c>
      <c r="X6205">
        <v>0.99902120000000005</v>
      </c>
      <c r="Y6205">
        <v>5.6646349999999998E-2</v>
      </c>
      <c r="Z6205" s="1">
        <v>-2.397399E-5</v>
      </c>
      <c r="AA6205">
        <v>0.99839429999999996</v>
      </c>
      <c r="AB6205">
        <v>27</v>
      </c>
      <c r="AC6205">
        <v>-185.2467</v>
      </c>
      <c r="AD6205">
        <v>1.3463210000000001</v>
      </c>
      <c r="AE6205">
        <v>8.7625000000000099</v>
      </c>
      <c r="AF6205">
        <v>10.520114649311299</v>
      </c>
      <c r="AG6205">
        <v>1.3463210000000001</v>
      </c>
      <c r="AH6205">
        <v>185.145411990127</v>
      </c>
      <c r="AI6205">
        <v>89.5840408190126</v>
      </c>
      <c r="AJ6205">
        <v>86.747903568736206</v>
      </c>
      <c r="AK6205">
        <v>185.448938992553</v>
      </c>
      <c r="AL6205">
        <v>92.449414083600203</v>
      </c>
      <c r="AM6205">
        <v>90.654294973465198</v>
      </c>
      <c r="AN6205">
        <v>1.0000000000128899</v>
      </c>
    </row>
    <row r="6206" spans="1:40" x14ac:dyDescent="0.25">
      <c r="A6206" t="str">
        <f>"20190303153932227"</f>
        <v>20190303153932227</v>
      </c>
      <c r="B6206" t="str">
        <f>"1551598772215034"</f>
        <v>1551598772215034</v>
      </c>
      <c r="C6206" t="s">
        <v>40</v>
      </c>
      <c r="D6206">
        <v>4.0699589999999999</v>
      </c>
      <c r="E6206">
        <v>0.52769960000000005</v>
      </c>
      <c r="F6206" t="s">
        <v>70</v>
      </c>
      <c r="G6206">
        <v>-550.16290000000004</v>
      </c>
      <c r="H6206">
        <v>3.0342120000000001</v>
      </c>
      <c r="I6206">
        <v>150.66309999999999</v>
      </c>
      <c r="J6206">
        <v>-365.12619999999998</v>
      </c>
      <c r="K6206">
        <v>1.1210610000000001</v>
      </c>
      <c r="L6206">
        <v>141.22999999999999</v>
      </c>
      <c r="M6206">
        <v>-0.99986710000000001</v>
      </c>
      <c r="N6206">
        <v>-1.334391E-2</v>
      </c>
      <c r="O6206">
        <v>-9.3794110000000007E-3</v>
      </c>
      <c r="P6206">
        <v>-0.99826009999999998</v>
      </c>
      <c r="Q6206">
        <v>-5.5312859999999998E-2</v>
      </c>
      <c r="R6206">
        <v>-2.0438479999999998E-2</v>
      </c>
      <c r="S6206">
        <v>-3.0103149999999999</v>
      </c>
      <c r="T6206">
        <v>3.1090019999999999E-2</v>
      </c>
      <c r="U6206">
        <v>0.15325929999999999</v>
      </c>
      <c r="V6206">
        <v>-1.108629E-2</v>
      </c>
      <c r="W6206">
        <v>-4.1981919999999999E-2</v>
      </c>
      <c r="X6206">
        <v>0.99905690000000003</v>
      </c>
      <c r="Y6206">
        <v>6.0209720000000001E-2</v>
      </c>
      <c r="Z6206">
        <v>-1.3059439999999999E-4</v>
      </c>
      <c r="AA6206">
        <v>0.99818580000000001</v>
      </c>
      <c r="AB6206">
        <v>27</v>
      </c>
      <c r="AC6206">
        <v>-185.0367</v>
      </c>
      <c r="AD6206">
        <v>1.913151</v>
      </c>
      <c r="AE6206">
        <v>9.4330999999999907</v>
      </c>
      <c r="AF6206">
        <v>11.1671838719104</v>
      </c>
      <c r="AG6206">
        <v>1.913151</v>
      </c>
      <c r="AH6206">
        <v>184.92035746230499</v>
      </c>
      <c r="AI6206">
        <v>89.408327674535499</v>
      </c>
      <c r="AJ6206">
        <v>86.544153277018097</v>
      </c>
      <c r="AK6206">
        <v>185.26711728303201</v>
      </c>
      <c r="AL6206">
        <v>92.406093875315804</v>
      </c>
      <c r="AM6206">
        <v>90.635771152841002</v>
      </c>
      <c r="AN6206">
        <v>1.0000000384352199</v>
      </c>
    </row>
    <row r="6207" spans="1:40" x14ac:dyDescent="0.25">
      <c r="A6207" t="str">
        <f>"20190303153932243"</f>
        <v>20190303153932243</v>
      </c>
      <c r="B6207" t="str">
        <f>"1551598772234362"</f>
        <v>1551598772234362</v>
      </c>
      <c r="C6207" t="s">
        <v>40</v>
      </c>
      <c r="D6207">
        <v>4.0321089999999904</v>
      </c>
      <c r="E6207">
        <v>0.52834780000000003</v>
      </c>
      <c r="F6207" t="s">
        <v>70</v>
      </c>
      <c r="G6207">
        <v>-546.88850000000002</v>
      </c>
      <c r="H6207">
        <v>3.2132969999999998</v>
      </c>
      <c r="I6207">
        <v>150.69999999999999</v>
      </c>
      <c r="J6207">
        <v>-365.31889999999999</v>
      </c>
      <c r="K6207">
        <v>1.1210719999999901</v>
      </c>
      <c r="L6207">
        <v>141.22829999999999</v>
      </c>
      <c r="M6207">
        <v>-0.99986719999999896</v>
      </c>
      <c r="N6207">
        <v>-1.3401039999999999E-2</v>
      </c>
      <c r="O6207">
        <v>-9.2743900000000004E-3</v>
      </c>
      <c r="P6207">
        <v>-0.99832520000000002</v>
      </c>
      <c r="Q6207">
        <v>-5.4145510000000001E-2</v>
      </c>
      <c r="R6207">
        <v>-2.0377960000000001E-2</v>
      </c>
      <c r="S6207">
        <v>-3.0104060000000001</v>
      </c>
      <c r="T6207">
        <v>3.4652950000000002E-2</v>
      </c>
      <c r="U6207">
        <v>0.15684509999999999</v>
      </c>
      <c r="V6207">
        <v>-1.1129729999999999E-2</v>
      </c>
      <c r="W6207">
        <v>-4.0756699999999903E-2</v>
      </c>
      <c r="X6207">
        <v>0.99910710000000003</v>
      </c>
      <c r="Y6207">
        <v>6.1288629999999997E-2</v>
      </c>
      <c r="Z6207">
        <v>-1.7241770000000001E-4</v>
      </c>
      <c r="AA6207">
        <v>0.99812009999999995</v>
      </c>
      <c r="AB6207">
        <v>27</v>
      </c>
      <c r="AC6207">
        <v>-181.56960000000001</v>
      </c>
      <c r="AD6207">
        <v>2.092225</v>
      </c>
      <c r="AE6207">
        <v>9.4716999999999896</v>
      </c>
      <c r="AF6207">
        <v>11.1539140716223</v>
      </c>
      <c r="AG6207">
        <v>2.092225</v>
      </c>
      <c r="AH6207">
        <v>181.449910095539</v>
      </c>
      <c r="AI6207">
        <v>89.340619494301905</v>
      </c>
      <c r="AJ6207">
        <v>86.482395226621804</v>
      </c>
      <c r="AK6207">
        <v>181.804447355523</v>
      </c>
      <c r="AL6207">
        <v>92.335833907617697</v>
      </c>
      <c r="AM6207">
        <v>90.638230056350494</v>
      </c>
      <c r="AN6207">
        <v>0.99999998837758597</v>
      </c>
    </row>
    <row r="6208" spans="1:40" x14ac:dyDescent="0.25">
      <c r="A6208" t="str">
        <f>"20190303153932265"</f>
        <v>20190303153932265</v>
      </c>
      <c r="B6208" t="str">
        <f>"1551598772254858"</f>
        <v>1551598772254858</v>
      </c>
      <c r="C6208" t="s">
        <v>40</v>
      </c>
      <c r="D6208">
        <v>4.0107679999999997</v>
      </c>
      <c r="E6208">
        <v>0.52892989999999995</v>
      </c>
      <c r="F6208" t="s">
        <v>70</v>
      </c>
      <c r="G6208">
        <v>-541.48270000000002</v>
      </c>
      <c r="H6208">
        <v>3.456712</v>
      </c>
      <c r="I6208">
        <v>150.69999999999999</v>
      </c>
      <c r="J6208">
        <v>-365.57690000000002</v>
      </c>
      <c r="K6208">
        <v>1.1210789999999999</v>
      </c>
      <c r="L6208">
        <v>141.2261</v>
      </c>
      <c r="M6208">
        <v>-0.99986759999999997</v>
      </c>
      <c r="N6208">
        <v>-1.3471510000000001E-2</v>
      </c>
      <c r="O6208">
        <v>-9.1312049999999999E-3</v>
      </c>
      <c r="P6208">
        <v>-0.99834440000000002</v>
      </c>
      <c r="Q6208">
        <v>-5.3798680000000001E-2</v>
      </c>
      <c r="R6208">
        <v>-2.0363949999999999E-2</v>
      </c>
      <c r="S6208">
        <v>-3.010529</v>
      </c>
      <c r="T6208">
        <v>3.9915319999999997E-2</v>
      </c>
      <c r="U6208">
        <v>0.16186519999999999</v>
      </c>
      <c r="V6208">
        <v>-1.1258550000000001E-2</v>
      </c>
      <c r="W6208">
        <v>-4.033921E-2</v>
      </c>
      <c r="X6208">
        <v>0.99912259999999997</v>
      </c>
      <c r="Y6208">
        <v>6.280231E-2</v>
      </c>
      <c r="Z6208">
        <v>-2.3656179999999999E-4</v>
      </c>
      <c r="AA6208">
        <v>0.99802599999999997</v>
      </c>
      <c r="AB6208">
        <v>27</v>
      </c>
      <c r="AC6208">
        <v>-175.9058</v>
      </c>
      <c r="AD6208">
        <v>2.3356330000000001</v>
      </c>
      <c r="AE6208">
        <v>9.4738999999999791</v>
      </c>
      <c r="AF6208">
        <v>11.077935210920399</v>
      </c>
      <c r="AG6208">
        <v>2.3356330000000001</v>
      </c>
      <c r="AH6208">
        <v>175.78104880644801</v>
      </c>
      <c r="AI6208">
        <v>89.240252991132294</v>
      </c>
      <c r="AJ6208">
        <v>86.393919392376404</v>
      </c>
      <c r="AK6208">
        <v>176.145260934102</v>
      </c>
      <c r="AL6208">
        <v>92.3118938038088</v>
      </c>
      <c r="AM6208">
        <v>90.6456065526543</v>
      </c>
      <c r="AN6208">
        <v>0.99999998832114301</v>
      </c>
    </row>
    <row r="6209" spans="1:40" x14ac:dyDescent="0.25">
      <c r="A6209" t="str">
        <f>"20190303153932288"</f>
        <v>20190303153932288</v>
      </c>
      <c r="B6209" t="str">
        <f>"1551598772285113"</f>
        <v>1551598772285113</v>
      </c>
      <c r="C6209" t="s">
        <v>40</v>
      </c>
      <c r="D6209">
        <v>4.0657620000000003</v>
      </c>
      <c r="E6209">
        <v>0.5295917</v>
      </c>
      <c r="F6209" t="s">
        <v>70</v>
      </c>
      <c r="G6209">
        <v>-536.59990000000005</v>
      </c>
      <c r="H6209">
        <v>3.5621999999999998</v>
      </c>
      <c r="I6209">
        <v>150.69999999999999</v>
      </c>
      <c r="J6209">
        <v>-365.84620000000001</v>
      </c>
      <c r="K6209">
        <v>1.1210789999999999</v>
      </c>
      <c r="L6209">
        <v>141.22380000000001</v>
      </c>
      <c r="M6209">
        <v>-0.99986819999999998</v>
      </c>
      <c r="N6209">
        <v>-1.353731E-2</v>
      </c>
      <c r="O6209">
        <v>-8.9796600000000004E-3</v>
      </c>
      <c r="P6209">
        <v>-0.99828640000000002</v>
      </c>
      <c r="Q6209">
        <v>-5.4754700000000003E-2</v>
      </c>
      <c r="R6209">
        <v>-2.0653299999999999E-2</v>
      </c>
      <c r="S6209">
        <v>-3.0106809999999999</v>
      </c>
      <c r="T6209">
        <v>4.2974110000000003E-2</v>
      </c>
      <c r="U6209">
        <v>0.1667786</v>
      </c>
      <c r="V6209">
        <v>-1.169977E-2</v>
      </c>
      <c r="W6209">
        <v>-4.1230049999999997E-2</v>
      </c>
      <c r="X6209">
        <v>0.9990812</v>
      </c>
      <c r="Y6209">
        <v>6.4271549999999997E-2</v>
      </c>
      <c r="Z6209">
        <v>-2.724728E-4</v>
      </c>
      <c r="AA6209">
        <v>0.99793240000000005</v>
      </c>
      <c r="AB6209">
        <v>27</v>
      </c>
      <c r="AC6209">
        <v>-170.75370000000001</v>
      </c>
      <c r="AD6209">
        <v>2.4411209999999999</v>
      </c>
      <c r="AE6209">
        <v>9.4761999999999702</v>
      </c>
      <c r="AF6209">
        <v>11.007025607732301</v>
      </c>
      <c r="AG6209">
        <v>2.4411209999999999</v>
      </c>
      <c r="AH6209">
        <v>170.626947799768</v>
      </c>
      <c r="AI6209">
        <v>89.182038167773996</v>
      </c>
      <c r="AJ6209">
        <v>86.309003451214906</v>
      </c>
      <c r="AK6209">
        <v>170.99903216080099</v>
      </c>
      <c r="AL6209">
        <v>92.362977600317706</v>
      </c>
      <c r="AM6209">
        <v>90.6709332552348</v>
      </c>
      <c r="AN6209">
        <v>1.0000000229172401</v>
      </c>
    </row>
    <row r="6210" spans="1:40" x14ac:dyDescent="0.25">
      <c r="A6210" t="str">
        <f>"20190303153932311"</f>
        <v>20190303153932311</v>
      </c>
      <c r="B6210" t="str">
        <f>"1551598772304637"</f>
        <v>1551598772304637</v>
      </c>
      <c r="C6210" t="s">
        <v>40</v>
      </c>
      <c r="D6210">
        <v>4.0644809999999998</v>
      </c>
      <c r="E6210">
        <v>0.52954669999999904</v>
      </c>
      <c r="F6210" t="s">
        <v>70</v>
      </c>
      <c r="G6210">
        <v>-532.48580000000004</v>
      </c>
      <c r="H6210">
        <v>3.3605100000000001</v>
      </c>
      <c r="I6210">
        <v>150.69999999999999</v>
      </c>
      <c r="J6210">
        <v>-366.12180000000001</v>
      </c>
      <c r="K6210">
        <v>1.1210869999999999</v>
      </c>
      <c r="L6210">
        <v>141.22149999999999</v>
      </c>
      <c r="M6210">
        <v>-0.99986870000000005</v>
      </c>
      <c r="N6210">
        <v>-1.359662E-2</v>
      </c>
      <c r="O6210">
        <v>-8.8242570000000003E-3</v>
      </c>
      <c r="P6210">
        <v>-0.99824060000000003</v>
      </c>
      <c r="Q6210">
        <v>-5.54286999999999E-2</v>
      </c>
      <c r="R6210">
        <v>-2.1060349999999999E-2</v>
      </c>
      <c r="S6210">
        <v>-3.0108950000000001</v>
      </c>
      <c r="T6210">
        <v>4.0463449999999998E-2</v>
      </c>
      <c r="U6210">
        <v>0.17121889999999901</v>
      </c>
      <c r="V6210">
        <v>-1.226256E-2</v>
      </c>
      <c r="W6210">
        <v>-4.1845170000000001E-2</v>
      </c>
      <c r="X6210">
        <v>0.99904879999999996</v>
      </c>
      <c r="Y6210">
        <v>6.5580219999999995E-2</v>
      </c>
      <c r="Z6210">
        <v>-2.3244229999999999E-4</v>
      </c>
      <c r="AA6210">
        <v>0.99784729999999999</v>
      </c>
      <c r="AB6210">
        <v>27</v>
      </c>
      <c r="AC6210">
        <v>-166.364</v>
      </c>
      <c r="AD6210">
        <v>2.2394229999999902</v>
      </c>
      <c r="AE6210">
        <v>9.4784999999999897</v>
      </c>
      <c r="AF6210">
        <v>10.9443285112203</v>
      </c>
      <c r="AG6210">
        <v>2.2394229999999902</v>
      </c>
      <c r="AH6210">
        <v>166.24384745788601</v>
      </c>
      <c r="AI6210">
        <v>89.229898528888</v>
      </c>
      <c r="AJ6210">
        <v>86.233482941601295</v>
      </c>
      <c r="AK6210">
        <v>166.61875692590999</v>
      </c>
      <c r="AL6210">
        <v>92.398252006577806</v>
      </c>
      <c r="AM6210">
        <v>90.703226562841905</v>
      </c>
      <c r="AN6210">
        <v>0.99999994670575898</v>
      </c>
    </row>
    <row r="6211" spans="1:40" x14ac:dyDescent="0.25">
      <c r="A6211" t="str">
        <f>"20190303153932332"</f>
        <v>20190303153932332</v>
      </c>
      <c r="B6211" t="str">
        <f>"1551598772325129"</f>
        <v>1551598772325129</v>
      </c>
      <c r="C6211" t="s">
        <v>40</v>
      </c>
      <c r="D6211">
        <v>4.0672319999999997</v>
      </c>
      <c r="E6211">
        <v>0.52954049999999997</v>
      </c>
      <c r="F6211" t="s">
        <v>70</v>
      </c>
      <c r="G6211">
        <v>-534.64290000000005</v>
      </c>
      <c r="H6211">
        <v>3.2796319999999999</v>
      </c>
      <c r="I6211">
        <v>150.69999999999999</v>
      </c>
      <c r="J6211">
        <v>-366.38350000000003</v>
      </c>
      <c r="K6211">
        <v>1.1210880000000001</v>
      </c>
      <c r="L6211">
        <v>141.2193</v>
      </c>
      <c r="M6211">
        <v>-0.99986920000000001</v>
      </c>
      <c r="N6211">
        <v>-1.364567E-2</v>
      </c>
      <c r="O6211">
        <v>-8.6774850000000004E-3</v>
      </c>
      <c r="P6211">
        <v>-0.99819760000000002</v>
      </c>
      <c r="Q6211">
        <v>-5.6108150000000002E-2</v>
      </c>
      <c r="R6211">
        <v>-2.1295310000000001E-2</v>
      </c>
      <c r="S6211">
        <v>-3.011047</v>
      </c>
      <c r="T6211">
        <v>3.8568499999999999E-2</v>
      </c>
      <c r="U6211">
        <v>0.16935729999999999</v>
      </c>
      <c r="V6211">
        <v>-1.264476E-2</v>
      </c>
      <c r="W6211">
        <v>-4.247604E-2</v>
      </c>
      <c r="X6211">
        <v>0.9990175</v>
      </c>
      <c r="Y6211">
        <v>6.4816380000000007E-2</v>
      </c>
      <c r="Z6211">
        <v>-2.0154109999999999E-4</v>
      </c>
      <c r="AA6211">
        <v>0.99789720000000004</v>
      </c>
      <c r="AB6211">
        <v>27</v>
      </c>
      <c r="AC6211">
        <v>-168.2594</v>
      </c>
      <c r="AD6211">
        <v>2.158544</v>
      </c>
      <c r="AE6211">
        <v>9.4806999999999793</v>
      </c>
      <c r="AF6211">
        <v>10.938752871917499</v>
      </c>
      <c r="AG6211">
        <v>2.158544</v>
      </c>
      <c r="AH6211">
        <v>168.14320299878401</v>
      </c>
      <c r="AI6211">
        <v>89.266055242584898</v>
      </c>
      <c r="AJ6211">
        <v>86.277801249821806</v>
      </c>
      <c r="AK6211">
        <v>168.512469394058</v>
      </c>
      <c r="AL6211">
        <v>92.434430151506206</v>
      </c>
      <c r="AM6211">
        <v>90.725165170503004</v>
      </c>
      <c r="AN6211">
        <v>1.0000000346178901</v>
      </c>
    </row>
    <row r="6212" spans="1:40" x14ac:dyDescent="0.25">
      <c r="A6212" t="str">
        <f>"20190303153932355"</f>
        <v>20190303153932355</v>
      </c>
      <c r="B6212" t="str">
        <f>"1551598772344650"</f>
        <v>1551598772344650</v>
      </c>
      <c r="C6212" t="s">
        <v>40</v>
      </c>
      <c r="D6212">
        <v>4.0866660000000001</v>
      </c>
      <c r="E6212">
        <v>0.52951819999999905</v>
      </c>
      <c r="F6212" t="s">
        <v>70</v>
      </c>
      <c r="G6212">
        <v>-535.86109999999996</v>
      </c>
      <c r="H6212">
        <v>3.17639</v>
      </c>
      <c r="I6212">
        <v>150.69999999999999</v>
      </c>
      <c r="J6212">
        <v>-366.64870000000002</v>
      </c>
      <c r="K6212">
        <v>1.1210869999999999</v>
      </c>
      <c r="L6212">
        <v>141.21719999999999</v>
      </c>
      <c r="M6212">
        <v>-0.99987000000000004</v>
      </c>
      <c r="N6212">
        <v>-1.368922E-2</v>
      </c>
      <c r="O6212">
        <v>-8.5297210000000005E-3</v>
      </c>
      <c r="P6212">
        <v>-0.99820549999999997</v>
      </c>
      <c r="Q6212">
        <v>-5.5951960000000002E-2</v>
      </c>
      <c r="R6212">
        <v>-2.1338180000000002E-2</v>
      </c>
      <c r="S6212">
        <v>-3.0110779999999999</v>
      </c>
      <c r="T6212">
        <v>3.6516899999999998E-2</v>
      </c>
      <c r="U6212">
        <v>0.1684418</v>
      </c>
      <c r="V6212">
        <v>-1.283493E-2</v>
      </c>
      <c r="W6212">
        <v>-4.2276189999999998E-2</v>
      </c>
      <c r="X6212">
        <v>0.99902349999999995</v>
      </c>
      <c r="Y6212">
        <v>6.4366320000000005E-2</v>
      </c>
      <c r="Z6212">
        <v>-1.6908719999999999E-4</v>
      </c>
      <c r="AA6212">
        <v>0.99792630000000004</v>
      </c>
      <c r="AB6212">
        <v>27</v>
      </c>
      <c r="AC6212">
        <v>-169.21239999999901</v>
      </c>
      <c r="AD6212">
        <v>2.0553029999999999</v>
      </c>
      <c r="AE6212">
        <v>9.4827999999999903</v>
      </c>
      <c r="AF6212">
        <v>10.9243180146201</v>
      </c>
      <c r="AG6212">
        <v>2.0553029999999999</v>
      </c>
      <c r="AH6212">
        <v>169.10048021251399</v>
      </c>
      <c r="AI6212">
        <v>89.305090935091201</v>
      </c>
      <c r="AJ6212">
        <v>86.303684430471293</v>
      </c>
      <c r="AK6212">
        <v>169.465446043166</v>
      </c>
      <c r="AL6212">
        <v>92.4229694214809</v>
      </c>
      <c r="AM6212">
        <v>90.736065631012096</v>
      </c>
      <c r="AN6212">
        <v>0.99999998261063505</v>
      </c>
    </row>
    <row r="6213" spans="1:40" x14ac:dyDescent="0.25">
      <c r="A6213" t="str">
        <f>"20190303153932377"</f>
        <v>20190303153932377</v>
      </c>
      <c r="B6213" t="str">
        <f>"1551598772374906"</f>
        <v>1551598772374906</v>
      </c>
      <c r="C6213" t="s">
        <v>40</v>
      </c>
      <c r="D6213">
        <v>4.0800559999999999</v>
      </c>
      <c r="E6213">
        <v>0.52938589999999996</v>
      </c>
      <c r="F6213" t="s">
        <v>70</v>
      </c>
      <c r="G6213">
        <v>-536.50459999999998</v>
      </c>
      <c r="H6213">
        <v>3.2200739999999999</v>
      </c>
      <c r="I6213">
        <v>150.69999999999999</v>
      </c>
      <c r="J6213">
        <v>-366.9151</v>
      </c>
      <c r="K6213">
        <v>1.121089</v>
      </c>
      <c r="L6213">
        <v>141.21510000000001</v>
      </c>
      <c r="M6213">
        <v>-0.9998707</v>
      </c>
      <c r="N6213">
        <v>-1.372724E-2</v>
      </c>
      <c r="O6213">
        <v>-8.3812079999999994E-3</v>
      </c>
      <c r="P6213">
        <v>-0.9981679</v>
      </c>
      <c r="Q6213">
        <v>-5.649966E-2</v>
      </c>
      <c r="R6213">
        <v>-2.1650079999999999E-2</v>
      </c>
      <c r="S6213">
        <v>-3.0111080000000001</v>
      </c>
      <c r="T6213">
        <v>3.7210350000000003E-2</v>
      </c>
      <c r="U6213">
        <v>0.16810610000000001</v>
      </c>
      <c r="V6213">
        <v>-1.329577E-2</v>
      </c>
      <c r="W6213">
        <v>-4.278622E-2</v>
      </c>
      <c r="X6213">
        <v>0.99899579999999999</v>
      </c>
      <c r="Y6213">
        <v>6.4106549999999998E-2</v>
      </c>
      <c r="Z6213">
        <v>-1.7386189999999999E-4</v>
      </c>
      <c r="AA6213">
        <v>0.99794300000000002</v>
      </c>
      <c r="AB6213">
        <v>27</v>
      </c>
      <c r="AC6213">
        <v>-169.58949999999999</v>
      </c>
      <c r="AD6213">
        <v>2.0989849999999999</v>
      </c>
      <c r="AE6213">
        <v>9.4848999999999801</v>
      </c>
      <c r="AF6213">
        <v>10.904400342492099</v>
      </c>
      <c r="AG6213">
        <v>2.0989849999999999</v>
      </c>
      <c r="AH6213">
        <v>169.47815916319601</v>
      </c>
      <c r="AI6213">
        <v>89.291892762528903</v>
      </c>
      <c r="AJ6213">
        <v>86.318604632945707</v>
      </c>
      <c r="AK6213">
        <v>169.841567698267</v>
      </c>
      <c r="AL6213">
        <v>92.452218355280493</v>
      </c>
      <c r="AM6213">
        <v>90.762512246463601</v>
      </c>
      <c r="AN6213">
        <v>1.0000000232697099</v>
      </c>
    </row>
    <row r="6214" spans="1:40" x14ac:dyDescent="0.25">
      <c r="A6214" t="str">
        <f>"20190303153932399"</f>
        <v>20190303153932399</v>
      </c>
      <c r="B6214" t="str">
        <f>"1551598772394426"</f>
        <v>1551598772394426</v>
      </c>
      <c r="C6214" t="s">
        <v>40</v>
      </c>
      <c r="D6214">
        <v>4.0882709999999998</v>
      </c>
      <c r="E6214">
        <v>0.52929349999999997</v>
      </c>
      <c r="F6214" t="s">
        <v>70</v>
      </c>
      <c r="G6214">
        <v>-539.15390000000002</v>
      </c>
      <c r="H6214">
        <v>3.1012580000000001</v>
      </c>
      <c r="I6214">
        <v>150.69999999999999</v>
      </c>
      <c r="J6214">
        <v>-367.17219999999998</v>
      </c>
      <c r="K6214">
        <v>1.121086</v>
      </c>
      <c r="L6214">
        <v>141.2131</v>
      </c>
      <c r="M6214">
        <v>-0.99987139999999997</v>
      </c>
      <c r="N6214">
        <v>-1.375906E-2</v>
      </c>
      <c r="O6214">
        <v>-8.2379020000000001E-3</v>
      </c>
      <c r="P6214">
        <v>-0.99817100000000003</v>
      </c>
      <c r="Q6214">
        <v>-5.6340460000000002E-2</v>
      </c>
      <c r="R6214">
        <v>-2.1920800000000001E-2</v>
      </c>
      <c r="S6214">
        <v>-3.0111080000000001</v>
      </c>
      <c r="T6214">
        <v>3.4618379999999997E-2</v>
      </c>
      <c r="U6214">
        <v>0.165817299999999</v>
      </c>
      <c r="V6214">
        <v>-1.370936E-2</v>
      </c>
      <c r="W6214">
        <v>-4.2595069999999999E-2</v>
      </c>
      <c r="X6214">
        <v>0.99899830000000001</v>
      </c>
      <c r="Y6214">
        <v>6.3207749999999993E-2</v>
      </c>
      <c r="Z6214">
        <v>-1.3576420000000001E-4</v>
      </c>
      <c r="AA6214">
        <v>0.99800040000000001</v>
      </c>
      <c r="AB6214">
        <v>27</v>
      </c>
      <c r="AC6214">
        <v>-171.98169999999999</v>
      </c>
      <c r="AD6214">
        <v>1.980172</v>
      </c>
      <c r="AE6214">
        <v>9.4868999999999897</v>
      </c>
      <c r="AF6214">
        <v>10.902039663756399</v>
      </c>
      <c r="AG6214">
        <v>1.980172</v>
      </c>
      <c r="AH6214">
        <v>171.874987504887</v>
      </c>
      <c r="AI6214">
        <v>89.341248192646503</v>
      </c>
      <c r="AJ6214">
        <v>86.370587916423403</v>
      </c>
      <c r="AK6214">
        <v>172.23178243223501</v>
      </c>
      <c r="AL6214">
        <v>92.441256464823098</v>
      </c>
      <c r="AM6214">
        <v>90.786226728024602</v>
      </c>
      <c r="AN6214">
        <v>0.99999994497139999</v>
      </c>
    </row>
    <row r="6215" spans="1:40" x14ac:dyDescent="0.25">
      <c r="A6215" t="str">
        <f>"20190303153932421"</f>
        <v>20190303153932421</v>
      </c>
      <c r="B6215" t="str">
        <f>"1551598772414921"</f>
        <v>1551598772414921</v>
      </c>
      <c r="C6215" t="s">
        <v>40</v>
      </c>
      <c r="D6215">
        <v>4.0812939999999998</v>
      </c>
      <c r="E6215">
        <v>0.52923599999999904</v>
      </c>
      <c r="F6215" t="s">
        <v>70</v>
      </c>
      <c r="G6215">
        <v>-541.32230000000004</v>
      </c>
      <c r="H6215">
        <v>3.139837</v>
      </c>
      <c r="I6215">
        <v>150.69999999999999</v>
      </c>
      <c r="J6215">
        <v>-367.43869999999998</v>
      </c>
      <c r="K6215">
        <v>1.121086</v>
      </c>
      <c r="L6215">
        <v>141.21100000000001</v>
      </c>
      <c r="M6215">
        <v>-0.99987239999999999</v>
      </c>
      <c r="N6215">
        <v>-1.378747E-2</v>
      </c>
      <c r="O6215">
        <v>-8.0890930000000003E-3</v>
      </c>
      <c r="P6215">
        <v>-0.99812350000000005</v>
      </c>
      <c r="Q6215">
        <v>-5.7045489999999997E-2</v>
      </c>
      <c r="R6215">
        <v>-2.2268799999999998E-2</v>
      </c>
      <c r="S6215">
        <v>-3.0111080000000001</v>
      </c>
      <c r="T6215">
        <v>3.490555E-2</v>
      </c>
      <c r="U6215">
        <v>0.16403199999999901</v>
      </c>
      <c r="V6215">
        <v>-1.420626E-2</v>
      </c>
      <c r="W6215">
        <v>-4.3272159999999997E-2</v>
      </c>
      <c r="X6215">
        <v>0.99896229999999997</v>
      </c>
      <c r="Y6215">
        <v>6.2469280000000002E-2</v>
      </c>
      <c r="Z6215">
        <v>-1.3595639999999901E-4</v>
      </c>
      <c r="AA6215">
        <v>0.99804689999999996</v>
      </c>
      <c r="AB6215">
        <v>27</v>
      </c>
      <c r="AC6215">
        <v>-173.8836</v>
      </c>
      <c r="AD6215">
        <v>2.018751</v>
      </c>
      <c r="AE6215">
        <v>9.4889999999999706</v>
      </c>
      <c r="AF6215">
        <v>10.8939195655035</v>
      </c>
      <c r="AG6215">
        <v>2.018751</v>
      </c>
      <c r="AH6215">
        <v>173.77779178591501</v>
      </c>
      <c r="AI6215">
        <v>89.335737151962704</v>
      </c>
      <c r="AJ6215">
        <v>86.412890947695203</v>
      </c>
      <c r="AK6215">
        <v>174.130622686214</v>
      </c>
      <c r="AL6215">
        <v>92.480086566444697</v>
      </c>
      <c r="AM6215">
        <v>90.814749341767495</v>
      </c>
      <c r="AN6215">
        <v>0.99999998723777095</v>
      </c>
    </row>
    <row r="6216" spans="1:40" x14ac:dyDescent="0.25">
      <c r="A6216" t="str">
        <f>"20190303153932444"</f>
        <v>20190303153932444</v>
      </c>
      <c r="B6216" t="str">
        <f>"1551598772434442"</f>
        <v>1551598772434442</v>
      </c>
      <c r="C6216" t="s">
        <v>40</v>
      </c>
      <c r="D6216">
        <v>4.072082</v>
      </c>
      <c r="E6216">
        <v>0.52921269999999998</v>
      </c>
      <c r="F6216" t="s">
        <v>70</v>
      </c>
      <c r="G6216">
        <v>-543.19590000000005</v>
      </c>
      <c r="H6216">
        <v>3.0112589999999999</v>
      </c>
      <c r="I6216">
        <v>150.69999999999999</v>
      </c>
      <c r="J6216">
        <v>-367.70499999999998</v>
      </c>
      <c r="K6216">
        <v>1.1210869999999999</v>
      </c>
      <c r="L6216">
        <v>141.20910000000001</v>
      </c>
      <c r="M6216">
        <v>-0.99987320000000002</v>
      </c>
      <c r="N6216">
        <v>-1.3811800000000001E-2</v>
      </c>
      <c r="O6216">
        <v>-7.9401390000000006E-3</v>
      </c>
      <c r="P6216">
        <v>-0.99812330000000005</v>
      </c>
      <c r="Q6216">
        <v>-5.705433E-2</v>
      </c>
      <c r="R6216">
        <v>-2.224363E-2</v>
      </c>
      <c r="S6216">
        <v>-3.0111080000000001</v>
      </c>
      <c r="T6216">
        <v>3.2383559999999999E-2</v>
      </c>
      <c r="U6216">
        <v>0.16256709999999999</v>
      </c>
      <c r="V6216">
        <v>-1.433012E-2</v>
      </c>
      <c r="W6216">
        <v>-4.325669E-2</v>
      </c>
      <c r="X6216">
        <v>0.99896119999999999</v>
      </c>
      <c r="Y6216">
        <v>6.1836910000000002E-2</v>
      </c>
      <c r="Z6216" s="1">
        <v>-9.9813909999999997E-5</v>
      </c>
      <c r="AA6216">
        <v>0.99808629999999998</v>
      </c>
      <c r="AB6216">
        <v>27</v>
      </c>
      <c r="AC6216">
        <v>-175.49090000000001</v>
      </c>
      <c r="AD6216">
        <v>1.890172</v>
      </c>
      <c r="AE6216">
        <v>9.4908999999999804</v>
      </c>
      <c r="AF6216">
        <v>10.882896828578801</v>
      </c>
      <c r="AG6216">
        <v>1.890172</v>
      </c>
      <c r="AH6216">
        <v>175.38971310045599</v>
      </c>
      <c r="AI6216">
        <v>89.383733384177603</v>
      </c>
      <c r="AJ6216">
        <v>86.449360467560894</v>
      </c>
      <c r="AK6216">
        <v>175.73719485365501</v>
      </c>
      <c r="AL6216">
        <v>92.479199372237602</v>
      </c>
      <c r="AM6216">
        <v>90.821852824753606</v>
      </c>
      <c r="AN6216">
        <v>0.99999998633720499</v>
      </c>
    </row>
    <row r="6217" spans="1:40" x14ac:dyDescent="0.25">
      <c r="A6217" t="str">
        <f>"20190303153932466"</f>
        <v>20190303153932466</v>
      </c>
      <c r="B6217" t="str">
        <f>"1551598772454938"</f>
        <v>1551598772454938</v>
      </c>
      <c r="C6217" t="s">
        <v>40</v>
      </c>
      <c r="D6217">
        <v>4.0729030000000002</v>
      </c>
      <c r="E6217">
        <v>0.52922159999999996</v>
      </c>
      <c r="F6217" t="s">
        <v>70</v>
      </c>
      <c r="G6217">
        <v>-543.69709999999998</v>
      </c>
      <c r="H6217">
        <v>3.0171800000000002</v>
      </c>
      <c r="I6217">
        <v>150.69999999999999</v>
      </c>
      <c r="J6217">
        <v>-367.9683</v>
      </c>
      <c r="K6217">
        <v>1.1210899999999999</v>
      </c>
      <c r="L6217">
        <v>141.2071</v>
      </c>
      <c r="M6217">
        <v>-0.99987389999999998</v>
      </c>
      <c r="N6217">
        <v>-1.383239E-2</v>
      </c>
      <c r="O6217">
        <v>-7.7925909999999998E-3</v>
      </c>
      <c r="P6217">
        <v>-0.99811260000000002</v>
      </c>
      <c r="Q6217">
        <v>-5.7034559999999998E-2</v>
      </c>
      <c r="R6217">
        <v>-2.2765629999999999E-2</v>
      </c>
      <c r="S6217">
        <v>-3.0111080000000001</v>
      </c>
      <c r="T6217">
        <v>3.2441619999999997E-2</v>
      </c>
      <c r="U6217">
        <v>0.162384</v>
      </c>
      <c r="V6217">
        <v>-1.4999409999999999E-2</v>
      </c>
      <c r="W6217">
        <v>-4.3216299999999999E-2</v>
      </c>
      <c r="X6217">
        <v>0.99895319999999999</v>
      </c>
      <c r="Y6217">
        <v>6.1629150000000001E-2</v>
      </c>
      <c r="Z6217" s="1">
        <v>-9.6782290000000003E-5</v>
      </c>
      <c r="AA6217">
        <v>0.99809910000000002</v>
      </c>
      <c r="AB6217">
        <v>26</v>
      </c>
      <c r="AC6217">
        <v>-175.72879999999901</v>
      </c>
      <c r="AD6217">
        <v>1.8960900000000001</v>
      </c>
      <c r="AE6217">
        <v>9.4928999999999899</v>
      </c>
      <c r="AF6217">
        <v>10.8608647340271</v>
      </c>
      <c r="AG6217">
        <v>1.8960900000000001</v>
      </c>
      <c r="AH6217">
        <v>175.62909455529501</v>
      </c>
      <c r="AI6217">
        <v>89.382638576833997</v>
      </c>
      <c r="AJ6217">
        <v>86.461347744353205</v>
      </c>
      <c r="AK6217">
        <v>175.97480613534401</v>
      </c>
      <c r="AL6217">
        <v>92.476882838738206</v>
      </c>
      <c r="AM6217">
        <v>90.860238809616206</v>
      </c>
      <c r="AN6217">
        <v>1.0000000633381301</v>
      </c>
    </row>
    <row r="6218" spans="1:40" x14ac:dyDescent="0.25">
      <c r="A6218" t="str">
        <f>"20190303153932489"</f>
        <v>20190303153932489</v>
      </c>
      <c r="B6218" t="str">
        <f>"1551598772485194"</f>
        <v>1551598772485194</v>
      </c>
      <c r="C6218" t="s">
        <v>40</v>
      </c>
      <c r="D6218">
        <v>4.0265069999999996</v>
      </c>
      <c r="E6218">
        <v>0.50952419999999998</v>
      </c>
      <c r="F6218" t="s">
        <v>70</v>
      </c>
      <c r="G6218">
        <v>-545.90790000000004</v>
      </c>
      <c r="H6218">
        <v>3.0661999999999998</v>
      </c>
      <c r="I6218">
        <v>150.69999999999999</v>
      </c>
      <c r="J6218">
        <v>-368.22890000000001</v>
      </c>
      <c r="K6218">
        <v>1.1210910000000001</v>
      </c>
      <c r="L6218">
        <v>141.20529999999999</v>
      </c>
      <c r="M6218">
        <v>-0.99987490000000001</v>
      </c>
      <c r="N6218">
        <v>-1.3849749999999999E-2</v>
      </c>
      <c r="O6218">
        <v>-7.6470449999999999E-3</v>
      </c>
      <c r="P6218">
        <v>-0.99812529999999999</v>
      </c>
      <c r="Q6218">
        <v>-5.6767619999999998E-2</v>
      </c>
      <c r="R6218">
        <v>-2.2880810000000001E-2</v>
      </c>
      <c r="S6218">
        <v>-3.0112000000000001</v>
      </c>
      <c r="T6218">
        <v>3.2917019999999998E-2</v>
      </c>
      <c r="U6218">
        <v>0.1606445</v>
      </c>
      <c r="V6218">
        <v>-1.5259669999999999E-2</v>
      </c>
      <c r="W6218">
        <v>-4.2931820000000002E-2</v>
      </c>
      <c r="X6218">
        <v>0.9989614</v>
      </c>
      <c r="Y6218">
        <v>6.0907240000000001E-2</v>
      </c>
      <c r="Z6218" s="1">
        <v>-9.9929979999999999E-5</v>
      </c>
      <c r="AA6218">
        <v>0.99814340000000001</v>
      </c>
      <c r="AB6218">
        <v>26</v>
      </c>
      <c r="AC6218">
        <v>-177.679</v>
      </c>
      <c r="AD6218">
        <v>1.945109</v>
      </c>
      <c r="AE6218">
        <v>9.4946999999999893</v>
      </c>
      <c r="AF6218">
        <v>10.8519750567598</v>
      </c>
      <c r="AG6218">
        <v>1.945109</v>
      </c>
      <c r="AH6218">
        <v>177.57996920991201</v>
      </c>
      <c r="AI6218">
        <v>89.373608471218901</v>
      </c>
      <c r="AJ6218">
        <v>86.502983390166307</v>
      </c>
      <c r="AK6218">
        <v>177.92187689052699</v>
      </c>
      <c r="AL6218">
        <v>92.460568501331196</v>
      </c>
      <c r="AM6218">
        <v>90.875155629146306</v>
      </c>
      <c r="AN6218">
        <v>0.99999993869348802</v>
      </c>
    </row>
    <row r="6219" spans="1:40" x14ac:dyDescent="0.25">
      <c r="A6219" t="str">
        <f>"20190303153932511"</f>
        <v>20190303153932511</v>
      </c>
      <c r="B6219" t="str">
        <f>"1551598772504248"</f>
        <v>1551598772504248</v>
      </c>
      <c r="C6219" t="s">
        <v>40</v>
      </c>
      <c r="D6219">
        <v>4.0200610000000001</v>
      </c>
      <c r="E6219">
        <v>0.50781759999999998</v>
      </c>
      <c r="F6219" t="s">
        <v>46</v>
      </c>
      <c r="G6219">
        <v>0</v>
      </c>
      <c r="H6219">
        <v>0</v>
      </c>
      <c r="I6219">
        <v>0</v>
      </c>
      <c r="J6219">
        <v>-368.49560000000002</v>
      </c>
      <c r="K6219">
        <v>1.1210979999999999</v>
      </c>
      <c r="L6219">
        <v>141.20339999999999</v>
      </c>
      <c r="M6219">
        <v>-0.99987570000000003</v>
      </c>
      <c r="N6219">
        <v>-1.3864680000000001E-2</v>
      </c>
      <c r="O6219">
        <v>-7.4980239999999998E-3</v>
      </c>
      <c r="P6219">
        <v>-0.99815620000000005</v>
      </c>
      <c r="Q6219">
        <v>-5.634405E-2</v>
      </c>
      <c r="R6219">
        <v>-2.257114E-2</v>
      </c>
      <c r="S6219">
        <v>-3.0060120000000001</v>
      </c>
      <c r="T6219">
        <v>5.0950049999999997E-3</v>
      </c>
      <c r="U6219">
        <v>3.7231450000000002E-3</v>
      </c>
      <c r="V6219">
        <v>-1.5098E-2</v>
      </c>
      <c r="W6219">
        <v>-4.2493080000000003E-2</v>
      </c>
      <c r="X6219">
        <v>0.9989827</v>
      </c>
      <c r="Y6219">
        <v>8.7364509999999992E-3</v>
      </c>
      <c r="Z6219" s="1">
        <v>-6.3508370000000001E-5</v>
      </c>
      <c r="AA6219">
        <v>0.99996189999999996</v>
      </c>
      <c r="AB6219">
        <v>26</v>
      </c>
      <c r="AC6219">
        <v>-3.0060120000000001</v>
      </c>
      <c r="AD6219">
        <v>5.0950049999999997E-3</v>
      </c>
      <c r="AE6219">
        <v>3.7231450000000002E-3</v>
      </c>
      <c r="AF6219">
        <v>2.6264283163502801E-2</v>
      </c>
      <c r="AG6219">
        <v>5.0950049999999997E-3</v>
      </c>
      <c r="AH6219">
        <v>3.0058909287355</v>
      </c>
      <c r="AI6219">
        <v>89.902887074876404</v>
      </c>
      <c r="AJ6219">
        <v>89.499384934850994</v>
      </c>
      <c r="AK6219">
        <v>3.00600998785773</v>
      </c>
      <c r="AL6219">
        <v>92.435407381731807</v>
      </c>
      <c r="AM6219">
        <v>90.865866670944499</v>
      </c>
      <c r="AN6219">
        <v>1.0000000231755799</v>
      </c>
    </row>
    <row r="6220" spans="1:40" x14ac:dyDescent="0.25">
      <c r="A6220" t="str">
        <f>"20190303153932533"</f>
        <v>20190303153932533</v>
      </c>
      <c r="B6220" t="str">
        <f>"1551598772524744"</f>
        <v>1551598772524744</v>
      </c>
      <c r="C6220" t="s">
        <v>40</v>
      </c>
      <c r="D6220">
        <v>4.0280849999999999</v>
      </c>
      <c r="E6220">
        <v>0.50726800000000005</v>
      </c>
      <c r="F6220" t="s">
        <v>46</v>
      </c>
      <c r="G6220">
        <v>0</v>
      </c>
      <c r="H6220">
        <v>0</v>
      </c>
      <c r="I6220">
        <v>0</v>
      </c>
      <c r="J6220">
        <v>-368.75779999999997</v>
      </c>
      <c r="K6220">
        <v>1.121105</v>
      </c>
      <c r="L6220">
        <v>141.20160000000001</v>
      </c>
      <c r="M6220">
        <v>-0.99987669999999995</v>
      </c>
      <c r="N6220">
        <v>-1.3876950000000001E-2</v>
      </c>
      <c r="O6220">
        <v>-7.3516099999999997E-3</v>
      </c>
      <c r="P6220">
        <v>-0.99816000000000005</v>
      </c>
      <c r="Q6220">
        <v>-5.6417679999999998E-2</v>
      </c>
      <c r="R6220">
        <v>-2.2220179999999999E-2</v>
      </c>
      <c r="S6220">
        <v>-3.0054630000000002</v>
      </c>
      <c r="T6220">
        <v>2.1795030000000002E-3</v>
      </c>
      <c r="U6220">
        <v>-8.8043210000000004E-3</v>
      </c>
      <c r="V6220">
        <v>-1.4893129999999999E-2</v>
      </c>
      <c r="W6220">
        <v>-4.2554519999999998E-2</v>
      </c>
      <c r="X6220">
        <v>0.99898310000000001</v>
      </c>
      <c r="Y6220">
        <v>4.4221759999999999E-3</v>
      </c>
      <c r="Z6220" s="1">
        <v>-7.8273299999999995E-5</v>
      </c>
      <c r="AA6220">
        <v>0.99999020000000005</v>
      </c>
      <c r="AB6220">
        <v>26</v>
      </c>
      <c r="AC6220">
        <v>-3.0054630000000002</v>
      </c>
      <c r="AD6220">
        <v>2.1795030000000002E-3</v>
      </c>
      <c r="AE6220">
        <v>-8.8043210000000004E-3</v>
      </c>
      <c r="AF6220">
        <v>1.3293029200718599E-2</v>
      </c>
      <c r="AG6220">
        <v>2.1795030000000002E-3</v>
      </c>
      <c r="AH6220">
        <v>3.0054449180367202</v>
      </c>
      <c r="AI6220">
        <v>89.958450384749597</v>
      </c>
      <c r="AJ6220">
        <v>89.746583442913007</v>
      </c>
      <c r="AK6220">
        <v>3.0054751055717301</v>
      </c>
      <c r="AL6220">
        <v>92.438930967602801</v>
      </c>
      <c r="AM6220">
        <v>90.854118836280804</v>
      </c>
      <c r="AN6220">
        <v>0.99999996328961704</v>
      </c>
    </row>
    <row r="6221" spans="1:40" x14ac:dyDescent="0.25">
      <c r="A6221" t="str">
        <f>"20190303153932555"</f>
        <v>20190303153932555</v>
      </c>
      <c r="B6221" t="str">
        <f>"1551598772545238"</f>
        <v>1551598772545238</v>
      </c>
      <c r="C6221" t="s">
        <v>40</v>
      </c>
      <c r="D6221">
        <v>4.0264100000000003</v>
      </c>
      <c r="E6221">
        <v>0.50688770000000005</v>
      </c>
      <c r="F6221" t="s">
        <v>46</v>
      </c>
      <c r="G6221">
        <v>0</v>
      </c>
      <c r="H6221">
        <v>0</v>
      </c>
      <c r="I6221">
        <v>0</v>
      </c>
      <c r="J6221">
        <v>-369.01979999999998</v>
      </c>
      <c r="K6221">
        <v>1.121102</v>
      </c>
      <c r="L6221">
        <v>141.19980000000001</v>
      </c>
      <c r="M6221">
        <v>-0.99987769999999998</v>
      </c>
      <c r="N6221">
        <v>-1.388704E-2</v>
      </c>
      <c r="O6221">
        <v>-7.2048260000000001E-3</v>
      </c>
      <c r="P6221">
        <v>-0.9981506</v>
      </c>
      <c r="Q6221">
        <v>-5.6691169999999999E-2</v>
      </c>
      <c r="R6221">
        <v>-2.194801E-2</v>
      </c>
      <c r="S6221">
        <v>-3.0050349999999999</v>
      </c>
      <c r="T6221">
        <v>-3.2423729999999998E-3</v>
      </c>
      <c r="U6221">
        <v>-1.2069699999999999E-2</v>
      </c>
      <c r="V6221">
        <v>-1.4768160000000001E-2</v>
      </c>
      <c r="W6221">
        <v>-4.2818130000000003E-2</v>
      </c>
      <c r="X6221">
        <v>0.99897369999999996</v>
      </c>
      <c r="Y6221">
        <v>3.1884909999999999E-3</v>
      </c>
      <c r="Z6221" s="1">
        <v>-6.8424999999999996E-5</v>
      </c>
      <c r="AA6221">
        <v>0.99999490000000002</v>
      </c>
      <c r="AB6221">
        <v>26</v>
      </c>
      <c r="AC6221">
        <v>-3.0050349999999999</v>
      </c>
      <c r="AD6221">
        <v>-3.2423729999999998E-3</v>
      </c>
      <c r="AE6221">
        <v>-1.2069699999999999E-2</v>
      </c>
      <c r="AF6221">
        <v>9.5834425593388003E-3</v>
      </c>
      <c r="AG6221">
        <v>-3.2423729999999998E-3</v>
      </c>
      <c r="AH6221">
        <v>3.0050404590592699</v>
      </c>
      <c r="AI6221">
        <v>90.061820555910998</v>
      </c>
      <c r="AJ6221">
        <v>89.8172773518898</v>
      </c>
      <c r="AK6221">
        <v>3.0050574896226401</v>
      </c>
      <c r="AL6221">
        <v>92.454048466396003</v>
      </c>
      <c r="AM6221">
        <v>90.846960841775797</v>
      </c>
      <c r="AN6221">
        <v>0.99999997204908497</v>
      </c>
    </row>
    <row r="6222" spans="1:40" x14ac:dyDescent="0.25">
      <c r="A6222" t="str">
        <f>"20190303153932579"</f>
        <v>20190303153932579</v>
      </c>
      <c r="B6222" t="str">
        <f>"1551598772574517"</f>
        <v>1551598772574517</v>
      </c>
      <c r="C6222" t="s">
        <v>40</v>
      </c>
      <c r="D6222">
        <v>4.0521039999999999</v>
      </c>
      <c r="E6222">
        <v>0.50663349999999996</v>
      </c>
      <c r="F6222" t="s">
        <v>46</v>
      </c>
      <c r="G6222">
        <v>0</v>
      </c>
      <c r="H6222">
        <v>0</v>
      </c>
      <c r="I6222">
        <v>0</v>
      </c>
      <c r="J6222">
        <v>-369.28739999999999</v>
      </c>
      <c r="K6222">
        <v>1.121111</v>
      </c>
      <c r="L6222">
        <v>141.19799999999901</v>
      </c>
      <c r="M6222">
        <v>-0.99987859999999995</v>
      </c>
      <c r="N6222">
        <v>-1.389572E-2</v>
      </c>
      <c r="O6222">
        <v>-7.0549319999999999E-3</v>
      </c>
      <c r="P6222">
        <v>-0.99819720000000001</v>
      </c>
      <c r="Q6222">
        <v>-5.605719E-2</v>
      </c>
      <c r="R6222">
        <v>-2.145261E-2</v>
      </c>
      <c r="S6222">
        <v>-3.0048520000000001</v>
      </c>
      <c r="T6222">
        <v>-8.0025200000000008E-3</v>
      </c>
      <c r="U6222">
        <v>-1.4434809999999999E-2</v>
      </c>
      <c r="V6222">
        <v>-1.442177E-2</v>
      </c>
      <c r="W6222">
        <v>-4.2175089999999998E-2</v>
      </c>
      <c r="X6222">
        <v>0.99900619999999996</v>
      </c>
      <c r="Y6222">
        <v>2.2513780000000001E-3</v>
      </c>
      <c r="Z6222" s="1">
        <v>-6.0609770000000002E-5</v>
      </c>
      <c r="AA6222">
        <v>0.99999740000000004</v>
      </c>
      <c r="AB6222">
        <v>26</v>
      </c>
      <c r="AC6222">
        <v>-3.0048520000000001</v>
      </c>
      <c r="AD6222">
        <v>-8.0025200000000008E-3</v>
      </c>
      <c r="AE6222">
        <v>-1.4434809999999999E-2</v>
      </c>
      <c r="AF6222">
        <v>6.7665739794750598E-3</v>
      </c>
      <c r="AG6222">
        <v>-8.0025200000000008E-3</v>
      </c>
      <c r="AH6222">
        <v>3.0048577403647898</v>
      </c>
      <c r="AI6222">
        <v>90.152589045655006</v>
      </c>
      <c r="AJ6222">
        <v>89.870977094771902</v>
      </c>
      <c r="AK6222">
        <v>3.0048760151926301</v>
      </c>
      <c r="AL6222">
        <v>92.4171714679552</v>
      </c>
      <c r="AM6222">
        <v>90.827071103382394</v>
      </c>
      <c r="AN6222">
        <v>1.0000000566524301</v>
      </c>
    </row>
    <row r="6223" spans="1:40" x14ac:dyDescent="0.25">
      <c r="A6223" t="str">
        <f>"20190303153932601"</f>
        <v>20190303153932601</v>
      </c>
      <c r="B6223" t="str">
        <f>"1551598772595013"</f>
        <v>1551598772595013</v>
      </c>
      <c r="C6223" t="s">
        <v>40</v>
      </c>
      <c r="D6223">
        <v>4.0464149999999997</v>
      </c>
      <c r="E6223">
        <v>0.50646159999999996</v>
      </c>
      <c r="F6223" t="s">
        <v>46</v>
      </c>
      <c r="G6223">
        <v>0</v>
      </c>
      <c r="H6223">
        <v>0</v>
      </c>
      <c r="I6223">
        <v>0</v>
      </c>
      <c r="J6223">
        <v>-369.55279999999999</v>
      </c>
      <c r="K6223">
        <v>1.121116</v>
      </c>
      <c r="L6223">
        <v>141.19630000000001</v>
      </c>
      <c r="M6223">
        <v>-0.99987959999999998</v>
      </c>
      <c r="N6223">
        <v>-1.3902899999999999E-2</v>
      </c>
      <c r="O6223">
        <v>-6.9051390000000002E-3</v>
      </c>
      <c r="P6223">
        <v>-0.99824760000000001</v>
      </c>
      <c r="Q6223">
        <v>-5.5199739999999997E-2</v>
      </c>
      <c r="R6223">
        <v>-2.1333890000000001E-2</v>
      </c>
      <c r="S6223">
        <v>-3.0046080000000002</v>
      </c>
      <c r="T6223">
        <v>-8.9365239999999995E-3</v>
      </c>
      <c r="U6223">
        <v>-1.490784E-2</v>
      </c>
      <c r="V6223">
        <v>-1.4451830000000001E-2</v>
      </c>
      <c r="W6223">
        <v>-4.1309869999999999E-2</v>
      </c>
      <c r="X6223">
        <v>0.99904190000000004</v>
      </c>
      <c r="Y6223">
        <v>1.943782E-3</v>
      </c>
      <c r="Z6223" s="1">
        <v>-5.9066249999999997E-5</v>
      </c>
      <c r="AA6223">
        <v>0.9999981</v>
      </c>
      <c r="AB6223">
        <v>26</v>
      </c>
      <c r="AC6223">
        <v>-3.0046080000000002</v>
      </c>
      <c r="AD6223">
        <v>-8.9365239999999995E-3</v>
      </c>
      <c r="AE6223">
        <v>-1.490784E-2</v>
      </c>
      <c r="AF6223">
        <v>5.84170317024675E-3</v>
      </c>
      <c r="AG6223">
        <v>-8.9365239999999995E-3</v>
      </c>
      <c r="AH6223">
        <v>3.0046127256367798</v>
      </c>
      <c r="AI6223">
        <v>90.170412188825495</v>
      </c>
      <c r="AJ6223">
        <v>89.888603109402297</v>
      </c>
      <c r="AK6223">
        <v>3.0046316942373501</v>
      </c>
      <c r="AL6223">
        <v>92.367554810068796</v>
      </c>
      <c r="AM6223">
        <v>90.828765155668904</v>
      </c>
      <c r="AN6223">
        <v>1.00000003935268</v>
      </c>
    </row>
    <row r="6224" spans="1:40" x14ac:dyDescent="0.25">
      <c r="A6224" t="str">
        <f>"20190303153932623"</f>
        <v>20190303153932623</v>
      </c>
      <c r="B6224" t="str">
        <f>"1551598772614532"</f>
        <v>1551598772614532</v>
      </c>
      <c r="C6224" t="s">
        <v>40</v>
      </c>
      <c r="D6224">
        <v>4.0612409999999999</v>
      </c>
      <c r="E6224">
        <v>0.50639749999999994</v>
      </c>
      <c r="F6224" t="s">
        <v>46</v>
      </c>
      <c r="G6224">
        <v>0</v>
      </c>
      <c r="H6224">
        <v>0</v>
      </c>
      <c r="I6224">
        <v>0</v>
      </c>
      <c r="J6224">
        <v>-369.81110000000001</v>
      </c>
      <c r="K6224">
        <v>1.121108</v>
      </c>
      <c r="L6224">
        <v>141.19470000000001</v>
      </c>
      <c r="M6224">
        <v>-0.99988060000000001</v>
      </c>
      <c r="N6224">
        <v>-1.390854E-2</v>
      </c>
      <c r="O6224">
        <v>-6.7561440000000004E-3</v>
      </c>
      <c r="P6224">
        <v>-0.99831409999999998</v>
      </c>
      <c r="Q6224">
        <v>-5.3891340000000003E-2</v>
      </c>
      <c r="R6224">
        <v>-2.156191E-2</v>
      </c>
      <c r="S6224">
        <v>-3.0044559999999998</v>
      </c>
      <c r="T6224">
        <v>-8.7208749999999995E-3</v>
      </c>
      <c r="U6224">
        <v>-1.58844E-2</v>
      </c>
      <c r="V6224">
        <v>-1.482849E-2</v>
      </c>
      <c r="W6224">
        <v>-3.9994879999999997E-2</v>
      </c>
      <c r="X6224">
        <v>0.99908980000000003</v>
      </c>
      <c r="Y6224">
        <v>1.4695039999999999E-3</v>
      </c>
      <c r="Z6224" s="1">
        <v>-6.201061E-5</v>
      </c>
      <c r="AA6224">
        <v>0.99999890000000002</v>
      </c>
      <c r="AB6224">
        <v>26</v>
      </c>
      <c r="AC6224">
        <v>-3.0044559999999998</v>
      </c>
      <c r="AD6224">
        <v>-8.7208749999999995E-3</v>
      </c>
      <c r="AE6224">
        <v>-1.58844E-2</v>
      </c>
      <c r="AF6224">
        <v>4.4164232848750498E-3</v>
      </c>
      <c r="AG6224">
        <v>-8.7208749999999995E-3</v>
      </c>
      <c r="AH6224">
        <v>3.00446943068247</v>
      </c>
      <c r="AI6224">
        <v>90.166308028616896</v>
      </c>
      <c r="AJ6224">
        <v>89.915778063864295</v>
      </c>
      <c r="AK6224">
        <v>3.0044853333575801</v>
      </c>
      <c r="AL6224">
        <v>92.292149297851097</v>
      </c>
      <c r="AM6224">
        <v>90.850321478984895</v>
      </c>
      <c r="AN6224">
        <v>0.99999995150296594</v>
      </c>
    </row>
    <row r="6225" spans="1:40" x14ac:dyDescent="0.25">
      <c r="A6225" t="str">
        <f>"20190303153932644"</f>
        <v>20190303153932644</v>
      </c>
      <c r="B6225" t="str">
        <f>"1551598772635029"</f>
        <v>1551598772635029</v>
      </c>
      <c r="C6225" t="s">
        <v>40</v>
      </c>
      <c r="D6225">
        <v>4.060708</v>
      </c>
      <c r="E6225">
        <v>0.50632690000000002</v>
      </c>
      <c r="F6225" t="s">
        <v>46</v>
      </c>
      <c r="G6225">
        <v>0</v>
      </c>
      <c r="H6225">
        <v>0</v>
      </c>
      <c r="I6225">
        <v>0</v>
      </c>
      <c r="J6225">
        <v>-370.06439999999998</v>
      </c>
      <c r="K6225">
        <v>1.1211059999999999</v>
      </c>
      <c r="L6225">
        <v>141.19319999999999</v>
      </c>
      <c r="M6225">
        <v>-0.99988140000000003</v>
      </c>
      <c r="N6225">
        <v>-1.3912880000000001E-2</v>
      </c>
      <c r="O6225">
        <v>-6.6030539999999997E-3</v>
      </c>
      <c r="P6225">
        <v>-0.9983128</v>
      </c>
      <c r="Q6225">
        <v>-5.3810940000000002E-2</v>
      </c>
      <c r="R6225">
        <v>-2.1815330000000001E-2</v>
      </c>
      <c r="S6225">
        <v>-3.0044249999999999</v>
      </c>
      <c r="T6225">
        <v>-5.900621E-3</v>
      </c>
      <c r="U6225">
        <v>-1.7105099999999901E-2</v>
      </c>
      <c r="V6225">
        <v>-1.523443E-2</v>
      </c>
      <c r="W6225">
        <v>-3.990991E-2</v>
      </c>
      <c r="X6225">
        <v>0.99908719999999995</v>
      </c>
      <c r="Y6225">
        <v>9.1001319999999995E-4</v>
      </c>
      <c r="Z6225" s="1">
        <v>-7.1680200000000005E-5</v>
      </c>
      <c r="AA6225">
        <v>0.99999959999999999</v>
      </c>
      <c r="AB6225">
        <v>26</v>
      </c>
      <c r="AC6225">
        <v>-3.0044249999999999</v>
      </c>
      <c r="AD6225">
        <v>-5.900621E-3</v>
      </c>
      <c r="AE6225">
        <v>-1.7105099999999901E-2</v>
      </c>
      <c r="AF6225">
        <v>2.73556342422024E-3</v>
      </c>
      <c r="AG6225">
        <v>-5.900621E-3</v>
      </c>
      <c r="AH6225">
        <v>3.0044608580426302</v>
      </c>
      <c r="AI6225">
        <v>90.112526047425305</v>
      </c>
      <c r="AJ6225">
        <v>89.947832172595398</v>
      </c>
      <c r="AK6225">
        <v>3.0044678976726802</v>
      </c>
      <c r="AL6225">
        <v>92.287276734539702</v>
      </c>
      <c r="AM6225">
        <v>90.873598321427906</v>
      </c>
      <c r="AN6225">
        <v>1.0000000609887301</v>
      </c>
    </row>
    <row r="6226" spans="1:40" x14ac:dyDescent="0.25">
      <c r="A6226" t="str">
        <f>"20190303153932667"</f>
        <v>20190303153932667</v>
      </c>
      <c r="B6226" t="str">
        <f>"1551598772654549"</f>
        <v>1551598772654549</v>
      </c>
      <c r="C6226" t="s">
        <v>40</v>
      </c>
      <c r="D6226">
        <v>4.0610269999999904</v>
      </c>
      <c r="E6226">
        <v>0.50616819999999996</v>
      </c>
      <c r="F6226" t="s">
        <v>46</v>
      </c>
      <c r="G6226">
        <v>0</v>
      </c>
      <c r="H6226">
        <v>0</v>
      </c>
      <c r="I6226">
        <v>0</v>
      </c>
      <c r="J6226">
        <v>-370.32319999999999</v>
      </c>
      <c r="K6226">
        <v>1.1210960000000001</v>
      </c>
      <c r="L6226">
        <v>141.1917</v>
      </c>
      <c r="M6226">
        <v>-0.99988250000000001</v>
      </c>
      <c r="N6226">
        <v>-1.3916400000000001E-2</v>
      </c>
      <c r="O6226">
        <v>-6.4358360000000003E-3</v>
      </c>
      <c r="P6226">
        <v>-0.99825649999999999</v>
      </c>
      <c r="Q6226">
        <v>-5.4796379999999999E-2</v>
      </c>
      <c r="R6226">
        <v>-2.1945030000000001E-2</v>
      </c>
      <c r="S6226">
        <v>-3.0042719999999998</v>
      </c>
      <c r="T6226">
        <v>-7.3753600000000001E-3</v>
      </c>
      <c r="U6226">
        <v>-1.8585210000000001E-2</v>
      </c>
      <c r="V6226">
        <v>-1.5532519999999999E-2</v>
      </c>
      <c r="W6226">
        <v>-4.089218E-2</v>
      </c>
      <c r="X6226">
        <v>0.99904280000000001</v>
      </c>
      <c r="Y6226">
        <v>2.4989670000000002E-4</v>
      </c>
      <c r="Z6226" s="1">
        <v>-7.1723679999999998E-5</v>
      </c>
      <c r="AA6226">
        <v>0.99999990000000005</v>
      </c>
      <c r="AB6226">
        <v>26</v>
      </c>
      <c r="AC6226">
        <v>-3.0042719999999998</v>
      </c>
      <c r="AD6226">
        <v>-7.3753600000000001E-3</v>
      </c>
      <c r="AE6226">
        <v>-1.8585210000000001E-2</v>
      </c>
      <c r="AF6226">
        <v>7.5204391041549005E-4</v>
      </c>
      <c r="AG6226">
        <v>-7.3753600000000001E-3</v>
      </c>
      <c r="AH6226">
        <v>3.0043112860617298</v>
      </c>
      <c r="AI6226">
        <v>90.140656575836402</v>
      </c>
      <c r="AJ6226">
        <v>89.985657630960105</v>
      </c>
      <c r="AK6226">
        <v>3.0043204331534001</v>
      </c>
      <c r="AL6226">
        <v>92.343602852889504</v>
      </c>
      <c r="AM6226">
        <v>90.890728750589801</v>
      </c>
      <c r="AN6226">
        <v>0.99999997289727105</v>
      </c>
    </row>
    <row r="6227" spans="1:40" x14ac:dyDescent="0.25">
      <c r="A6227" t="str">
        <f>"20190303153932690"</f>
        <v>20190303153932690</v>
      </c>
      <c r="B6227" t="str">
        <f>"1551598772684805"</f>
        <v>1551598772684805</v>
      </c>
      <c r="C6227" t="s">
        <v>40</v>
      </c>
      <c r="D6227">
        <v>4.0462449999999999</v>
      </c>
      <c r="E6227">
        <v>0.50591549999999996</v>
      </c>
      <c r="F6227" t="s">
        <v>46</v>
      </c>
      <c r="G6227">
        <v>0</v>
      </c>
      <c r="H6227">
        <v>0</v>
      </c>
      <c r="I6227">
        <v>0</v>
      </c>
      <c r="J6227">
        <v>-370.5926</v>
      </c>
      <c r="K6227">
        <v>1.1210869999999999</v>
      </c>
      <c r="L6227">
        <v>141.1901</v>
      </c>
      <c r="M6227">
        <v>-0.99988370000000004</v>
      </c>
      <c r="N6227">
        <v>-1.391677E-2</v>
      </c>
      <c r="O6227">
        <v>-6.2428830000000003E-3</v>
      </c>
      <c r="P6227">
        <v>-0.99820520000000001</v>
      </c>
      <c r="Q6227">
        <v>-5.5598370000000001E-2</v>
      </c>
      <c r="R6227">
        <v>-2.2260249999999999E-2</v>
      </c>
      <c r="S6227">
        <v>-3.004181</v>
      </c>
      <c r="T6227">
        <v>-1.0954500000000001E-2</v>
      </c>
      <c r="U6227">
        <v>-2.0156859999999999E-2</v>
      </c>
      <c r="V6227">
        <v>-1.604266E-2</v>
      </c>
      <c r="W6227">
        <v>-4.1693809999999998E-2</v>
      </c>
      <c r="X6227">
        <v>0.99900160000000005</v>
      </c>
      <c r="Y6227">
        <v>-4.6628799999999998E-4</v>
      </c>
      <c r="Z6227" s="1">
        <v>-6.8217069999999897E-5</v>
      </c>
      <c r="AA6227">
        <v>0.99999990000000005</v>
      </c>
      <c r="AB6227">
        <v>26</v>
      </c>
      <c r="AC6227">
        <v>-3.004181</v>
      </c>
      <c r="AD6227">
        <v>-1.0954500000000001E-2</v>
      </c>
      <c r="AE6227">
        <v>-2.0156859999999999E-2</v>
      </c>
      <c r="AF6227">
        <v>-1.39988217682878E-3</v>
      </c>
      <c r="AG6227">
        <v>-1.0954500000000001E-2</v>
      </c>
      <c r="AH6227">
        <v>3.0042083520857599</v>
      </c>
      <c r="AI6227">
        <v>90.208921517166701</v>
      </c>
      <c r="AJ6227">
        <v>90.026698326261894</v>
      </c>
      <c r="AK6227">
        <v>3.0042286503331002</v>
      </c>
      <c r="AL6227">
        <v>92.389572089027496</v>
      </c>
      <c r="AM6227">
        <v>90.920016253687706</v>
      </c>
      <c r="AN6227">
        <v>0.99999996876737496</v>
      </c>
    </row>
    <row r="6228" spans="1:40" x14ac:dyDescent="0.25">
      <c r="A6228" t="str">
        <f>"20190303153932713"</f>
        <v>20190303153932713</v>
      </c>
      <c r="B6228" t="str">
        <f>"1551598772704325"</f>
        <v>1551598772704325</v>
      </c>
      <c r="C6228" t="s">
        <v>40</v>
      </c>
      <c r="D6228">
        <v>4.0519429999999996</v>
      </c>
      <c r="E6228">
        <v>0.50583639999999996</v>
      </c>
      <c r="F6228" t="s">
        <v>46</v>
      </c>
      <c r="G6228">
        <v>0</v>
      </c>
      <c r="H6228">
        <v>0</v>
      </c>
      <c r="I6228">
        <v>0</v>
      </c>
      <c r="J6228">
        <v>-370.8535</v>
      </c>
      <c r="K6228">
        <v>1.121049</v>
      </c>
      <c r="L6228">
        <v>141.18870000000001</v>
      </c>
      <c r="M6228">
        <v>-0.9998861</v>
      </c>
      <c r="N6228">
        <v>-1.383728E-2</v>
      </c>
      <c r="O6228">
        <v>-6.0251999999999997E-3</v>
      </c>
      <c r="P6228">
        <v>-0.99820799999999998</v>
      </c>
      <c r="Q6228">
        <v>-5.5595230000000002E-2</v>
      </c>
      <c r="R6228">
        <v>-2.214137E-2</v>
      </c>
      <c r="S6228">
        <v>-3.004089</v>
      </c>
      <c r="T6228">
        <v>-1.42647E-2</v>
      </c>
      <c r="U6228">
        <v>-2.3132320000000001E-2</v>
      </c>
      <c r="V6228">
        <v>-1.6142650000000001E-2</v>
      </c>
      <c r="W6228">
        <v>-4.1769319999999999E-2</v>
      </c>
      <c r="X6228">
        <v>0.99899689999999997</v>
      </c>
      <c r="Y6228">
        <v>-1.6744869999999999E-3</v>
      </c>
      <c r="Z6228" s="1">
        <v>-7.0329219999999999E-5</v>
      </c>
      <c r="AA6228">
        <v>0.99999859999999896</v>
      </c>
      <c r="AB6228">
        <v>26</v>
      </c>
      <c r="AC6228">
        <v>-3.004089</v>
      </c>
      <c r="AD6228">
        <v>-1.42647E-2</v>
      </c>
      <c r="AE6228">
        <v>-2.3132320000000001E-2</v>
      </c>
      <c r="AF6228">
        <v>-5.0298163811244301E-3</v>
      </c>
      <c r="AG6228">
        <v>-1.42647E-2</v>
      </c>
      <c r="AH6228">
        <v>3.00410611921872</v>
      </c>
      <c r="AI6228">
        <v>90.272060901118294</v>
      </c>
      <c r="AJ6228">
        <v>90.095931025614107</v>
      </c>
      <c r="AK6228">
        <v>3.0041441969796101</v>
      </c>
      <c r="AL6228">
        <v>92.393902110075203</v>
      </c>
      <c r="AM6228">
        <v>90.9257538511375</v>
      </c>
      <c r="AN6228">
        <v>1.00000003372594</v>
      </c>
    </row>
    <row r="6229" spans="1:40" x14ac:dyDescent="0.25">
      <c r="A6229" t="str">
        <f>"20190303153932734"</f>
        <v>20190303153932734</v>
      </c>
      <c r="B6229" t="str">
        <f>"1551598772724821"</f>
        <v>1551598772724821</v>
      </c>
      <c r="C6229" t="s">
        <v>40</v>
      </c>
      <c r="D6229">
        <v>4.0575089999999996</v>
      </c>
      <c r="E6229">
        <v>0.50578579999999995</v>
      </c>
      <c r="F6229" t="s">
        <v>46</v>
      </c>
      <c r="G6229">
        <v>0</v>
      </c>
      <c r="H6229">
        <v>0</v>
      </c>
      <c r="I6229">
        <v>0</v>
      </c>
      <c r="J6229">
        <v>-371.11489999999998</v>
      </c>
      <c r="K6229">
        <v>1.120992</v>
      </c>
      <c r="L6229">
        <v>141.1874</v>
      </c>
      <c r="M6229">
        <v>-0.99988969999999999</v>
      </c>
      <c r="N6229">
        <v>-1.3691719999999999E-2</v>
      </c>
      <c r="O6229">
        <v>-5.7878399999999998E-3</v>
      </c>
      <c r="P6229">
        <v>-0.99825680000000006</v>
      </c>
      <c r="Q6229">
        <v>-5.4730429999999997E-2</v>
      </c>
      <c r="R6229">
        <v>-2.2094820000000001E-2</v>
      </c>
      <c r="S6229">
        <v>-3.0039669999999998</v>
      </c>
      <c r="T6229">
        <v>-1.504517E-2</v>
      </c>
      <c r="U6229">
        <v>-2.3498539999999998E-2</v>
      </c>
      <c r="V6229">
        <v>-1.633511E-2</v>
      </c>
      <c r="W6229">
        <v>-4.1048429999999997E-2</v>
      </c>
      <c r="X6229">
        <v>0.99902360000000001</v>
      </c>
      <c r="Y6229">
        <v>-2.0340470000000002E-3</v>
      </c>
      <c r="Z6229" s="1">
        <v>-6.928212E-5</v>
      </c>
      <c r="AA6229">
        <v>0.9999979</v>
      </c>
      <c r="AB6229">
        <v>26</v>
      </c>
      <c r="AC6229">
        <v>-3.0039669999999998</v>
      </c>
      <c r="AD6229">
        <v>-1.504517E-2</v>
      </c>
      <c r="AE6229">
        <v>-2.3498539999999998E-2</v>
      </c>
      <c r="AF6229">
        <v>-6.1098860827728998E-3</v>
      </c>
      <c r="AG6229">
        <v>-1.504517E-2</v>
      </c>
      <c r="AH6229">
        <v>3.00397734520668</v>
      </c>
      <c r="AI6229">
        <v>90.286958140280305</v>
      </c>
      <c r="AJ6229">
        <v>90.116535566979195</v>
      </c>
      <c r="AK6229">
        <v>3.0040212346724999</v>
      </c>
      <c r="AL6229">
        <v>92.352562821822602</v>
      </c>
      <c r="AM6229">
        <v>90.936764121140897</v>
      </c>
      <c r="AN6229">
        <v>0.999999981390568</v>
      </c>
    </row>
    <row r="6230" spans="1:40" x14ac:dyDescent="0.25">
      <c r="A6230" t="str">
        <f>"20190303153932756"</f>
        <v>20190303153932756</v>
      </c>
      <c r="B6230" t="str">
        <f>"1551598772744341"</f>
        <v>1551598772744341</v>
      </c>
      <c r="C6230" t="s">
        <v>40</v>
      </c>
      <c r="D6230">
        <v>4.0510299999999999</v>
      </c>
      <c r="E6230">
        <v>0.50575950000000003</v>
      </c>
      <c r="F6230" t="s">
        <v>46</v>
      </c>
      <c r="G6230">
        <v>0</v>
      </c>
      <c r="H6230">
        <v>0</v>
      </c>
      <c r="I6230">
        <v>0</v>
      </c>
      <c r="J6230">
        <v>-371.36540000000002</v>
      </c>
      <c r="K6230">
        <v>1.120927</v>
      </c>
      <c r="L6230">
        <v>141.18620000000001</v>
      </c>
      <c r="M6230">
        <v>-0.99989360000000005</v>
      </c>
      <c r="N6230">
        <v>-1.349992E-2</v>
      </c>
      <c r="O6230">
        <v>-5.5351549999999999E-3</v>
      </c>
      <c r="P6230">
        <v>-0.99828539999999999</v>
      </c>
      <c r="Q6230">
        <v>-5.4229630000000001E-2</v>
      </c>
      <c r="R6230">
        <v>-2.2043650000000001E-2</v>
      </c>
      <c r="S6230">
        <v>-3.0039669999999998</v>
      </c>
      <c r="T6230">
        <v>-1.3789529999999999E-2</v>
      </c>
      <c r="U6230">
        <v>-2.377319E-2</v>
      </c>
      <c r="V6230">
        <v>-1.6537779999999998E-2</v>
      </c>
      <c r="W6230">
        <v>-4.0738179999999999E-2</v>
      </c>
      <c r="X6230">
        <v>0.99903299999999995</v>
      </c>
      <c r="Y6230">
        <v>-2.3781990000000001E-3</v>
      </c>
      <c r="Z6230" s="1">
        <v>-7.0832230000000005E-5</v>
      </c>
      <c r="AA6230">
        <v>0.99999720000000003</v>
      </c>
      <c r="AB6230">
        <v>26</v>
      </c>
      <c r="AC6230">
        <v>-3.0039669999999998</v>
      </c>
      <c r="AD6230">
        <v>-1.3789529999999999E-2</v>
      </c>
      <c r="AE6230">
        <v>-2.377319E-2</v>
      </c>
      <c r="AF6230">
        <v>-7.1437377101842203E-3</v>
      </c>
      <c r="AG6230">
        <v>-1.3789529999999999E-2</v>
      </c>
      <c r="AH6230">
        <v>3.0039892773456498</v>
      </c>
      <c r="AI6230">
        <v>90.2630082913401</v>
      </c>
      <c r="AJ6230">
        <v>90.136253898191598</v>
      </c>
      <c r="AK6230">
        <v>3.0040294210499501</v>
      </c>
      <c r="AL6230">
        <v>92.334771842565701</v>
      </c>
      <c r="AM6230">
        <v>90.948375538640207</v>
      </c>
      <c r="AN6230">
        <v>1.00000001628302</v>
      </c>
    </row>
    <row r="6231" spans="1:40" x14ac:dyDescent="0.25">
      <c r="A6231" t="str">
        <f>"20190303153932780"</f>
        <v>20190303153932780</v>
      </c>
      <c r="B6231" t="str">
        <f>"1551598772774596"</f>
        <v>1551598772774596</v>
      </c>
      <c r="C6231" t="s">
        <v>40</v>
      </c>
      <c r="D6231">
        <v>4.0522039999999997</v>
      </c>
      <c r="E6231">
        <v>0.50572600000000001</v>
      </c>
      <c r="F6231" t="s">
        <v>46</v>
      </c>
      <c r="G6231">
        <v>0</v>
      </c>
      <c r="H6231">
        <v>0</v>
      </c>
      <c r="I6231">
        <v>0</v>
      </c>
      <c r="J6231">
        <v>-371.63670000000002</v>
      </c>
      <c r="K6231">
        <v>1.1208670000000001</v>
      </c>
      <c r="L6231">
        <v>141.18510000000001</v>
      </c>
      <c r="M6231">
        <v>-0.99989839999999997</v>
      </c>
      <c r="N6231">
        <v>-1.326548E-2</v>
      </c>
      <c r="O6231">
        <v>-5.223335E-3</v>
      </c>
      <c r="P6231">
        <v>-0.9982856</v>
      </c>
      <c r="Q6231">
        <v>-5.416112E-2</v>
      </c>
      <c r="R6231">
        <v>-2.2197020000000001E-2</v>
      </c>
      <c r="S6231">
        <v>-3.0039060000000002</v>
      </c>
      <c r="T6231">
        <v>-1.352239E-2</v>
      </c>
      <c r="U6231">
        <v>-2.3834230000000001E-2</v>
      </c>
      <c r="V6231">
        <v>-1.700403E-2</v>
      </c>
      <c r="W6231">
        <v>-4.090303E-2</v>
      </c>
      <c r="X6231">
        <v>0.99901839999999997</v>
      </c>
      <c r="Y6231">
        <v>-2.710517E-3</v>
      </c>
      <c r="Z6231" s="1">
        <v>-6.9860859999999896E-5</v>
      </c>
      <c r="AA6231">
        <v>0.99999629999999995</v>
      </c>
      <c r="AB6231">
        <v>26</v>
      </c>
      <c r="AC6231">
        <v>-3.0039060000000002</v>
      </c>
      <c r="AD6231">
        <v>-1.352239E-2</v>
      </c>
      <c r="AE6231">
        <v>-2.3834230000000001E-2</v>
      </c>
      <c r="AF6231">
        <v>-8.1419522711070596E-3</v>
      </c>
      <c r="AG6231">
        <v>-1.352239E-2</v>
      </c>
      <c r="AH6231">
        <v>3.0039286504545402</v>
      </c>
      <c r="AI6231">
        <v>90.257918175466003</v>
      </c>
      <c r="AJ6231">
        <v>90.155296085242597</v>
      </c>
      <c r="AK6231">
        <v>3.00397012026413</v>
      </c>
      <c r="AL6231">
        <v>92.344225017837402</v>
      </c>
      <c r="AM6231">
        <v>90.975122267334498</v>
      </c>
      <c r="AN6231">
        <v>0.99999997921898998</v>
      </c>
    </row>
    <row r="6232" spans="1:40" x14ac:dyDescent="0.25">
      <c r="A6232" t="str">
        <f>"20190303153932801"</f>
        <v>20190303153932801</v>
      </c>
      <c r="B6232" t="str">
        <f>"1551598772795093"</f>
        <v>1551598772795093</v>
      </c>
      <c r="C6232" t="s">
        <v>40</v>
      </c>
      <c r="D6232">
        <v>4.0944430000000001</v>
      </c>
      <c r="E6232">
        <v>0.50569070000000005</v>
      </c>
      <c r="F6232" t="s">
        <v>46</v>
      </c>
      <c r="G6232">
        <v>0</v>
      </c>
      <c r="H6232">
        <v>0</v>
      </c>
      <c r="I6232">
        <v>0</v>
      </c>
      <c r="J6232">
        <v>-371.8956</v>
      </c>
      <c r="K6232">
        <v>1.1208129999999901</v>
      </c>
      <c r="L6232">
        <v>141.1841</v>
      </c>
      <c r="M6232">
        <v>-0.99990299999999999</v>
      </c>
      <c r="N6232">
        <v>-1.3051719999999999E-2</v>
      </c>
      <c r="O6232">
        <v>-4.8854099999999998E-3</v>
      </c>
      <c r="P6232">
        <v>-0.99829909999999999</v>
      </c>
      <c r="Q6232">
        <v>-5.3834269999999997E-2</v>
      </c>
      <c r="R6232">
        <v>-2.2382530000000001E-2</v>
      </c>
      <c r="S6232">
        <v>-3.003784</v>
      </c>
      <c r="T6232">
        <v>-1.489234E-2</v>
      </c>
      <c r="U6232">
        <v>-2.4429320000000001E-2</v>
      </c>
      <c r="V6232">
        <v>-1.7529070000000001E-2</v>
      </c>
      <c r="W6232">
        <v>-4.078851E-2</v>
      </c>
      <c r="X6232">
        <v>0.99901399999999996</v>
      </c>
      <c r="Y6232">
        <v>-3.2468340000000001E-3</v>
      </c>
      <c r="Z6232" s="1">
        <v>-6.8783930000000006E-5</v>
      </c>
      <c r="AA6232">
        <v>0.99999479999999996</v>
      </c>
      <c r="AB6232">
        <v>26</v>
      </c>
      <c r="AC6232">
        <v>-3.003784</v>
      </c>
      <c r="AD6232">
        <v>-1.489234E-2</v>
      </c>
      <c r="AE6232">
        <v>-2.4429320000000001E-2</v>
      </c>
      <c r="AF6232">
        <v>-9.7528238995801299E-3</v>
      </c>
      <c r="AG6232">
        <v>-1.489234E-2</v>
      </c>
      <c r="AH6232">
        <v>3.0037936755924299</v>
      </c>
      <c r="AI6232">
        <v>90.284059703411799</v>
      </c>
      <c r="AJ6232">
        <v>90.186029316439502</v>
      </c>
      <c r="AK6232">
        <v>3.0038464249847698</v>
      </c>
      <c r="AL6232">
        <v>92.337658042639205</v>
      </c>
      <c r="AM6232">
        <v>91.005229834830004</v>
      </c>
      <c r="AN6232">
        <v>0.99999997151954201</v>
      </c>
    </row>
    <row r="6233" spans="1:40" x14ac:dyDescent="0.25">
      <c r="A6233" t="str">
        <f>"20190303153932818"</f>
        <v>20190303153932818</v>
      </c>
      <c r="B6233" t="str">
        <f>"1551598772814613"</f>
        <v>1551598772814613</v>
      </c>
      <c r="C6233" t="s">
        <v>40</v>
      </c>
      <c r="D6233">
        <v>4.0876359999999998</v>
      </c>
      <c r="E6233">
        <v>0.50566619999999995</v>
      </c>
      <c r="F6233" t="s">
        <v>46</v>
      </c>
      <c r="G6233">
        <v>0</v>
      </c>
      <c r="H6233">
        <v>0</v>
      </c>
      <c r="I6233">
        <v>0</v>
      </c>
      <c r="J6233">
        <v>-372.08519999999999</v>
      </c>
      <c r="K6233">
        <v>1.1207769999999999</v>
      </c>
      <c r="L6233">
        <v>141.18340000000001</v>
      </c>
      <c r="M6233">
        <v>-0.99990610000000002</v>
      </c>
      <c r="N6233">
        <v>-1.291258E-2</v>
      </c>
      <c r="O6233">
        <v>-4.6132029999999997E-3</v>
      </c>
      <c r="P6233">
        <v>-0.9983187</v>
      </c>
      <c r="Q6233">
        <v>-5.360798E-2</v>
      </c>
      <c r="R6233">
        <v>-2.204484E-2</v>
      </c>
      <c r="S6233">
        <v>-3.0037539999999998</v>
      </c>
      <c r="T6233">
        <v>-1.4791729999999999E-2</v>
      </c>
      <c r="U6233">
        <v>-2.5390630000000001E-2</v>
      </c>
      <c r="V6233">
        <v>-1.7464830000000001E-2</v>
      </c>
      <c r="W6233">
        <v>-4.070033E-2</v>
      </c>
      <c r="X6233">
        <v>0.99901870000000004</v>
      </c>
      <c r="Y6233">
        <v>-3.8391300000000001E-3</v>
      </c>
      <c r="Z6233" s="1">
        <v>-7.1095310000000004E-5</v>
      </c>
      <c r="AA6233">
        <v>0.99999260000000001</v>
      </c>
      <c r="AB6233">
        <v>26</v>
      </c>
      <c r="AC6233">
        <v>-3.0037539999999998</v>
      </c>
      <c r="AD6233">
        <v>-1.4791729999999999E-2</v>
      </c>
      <c r="AE6233">
        <v>-2.5390630000000001E-2</v>
      </c>
      <c r="AF6233">
        <v>-1.15319993836147E-2</v>
      </c>
      <c r="AG6233">
        <v>-1.4791729999999999E-2</v>
      </c>
      <c r="AH6233">
        <v>3.0037663382761299</v>
      </c>
      <c r="AI6233">
        <v>90.282142653325707</v>
      </c>
      <c r="AJ6233">
        <v>90.219967724979298</v>
      </c>
      <c r="AK6233">
        <v>3.0038248945714199</v>
      </c>
      <c r="AL6233">
        <v>92.332601551820304</v>
      </c>
      <c r="AM6233">
        <v>91.001541940097596</v>
      </c>
      <c r="AN6233">
        <v>0.99999995004936204</v>
      </c>
    </row>
    <row r="6234" spans="1:40" x14ac:dyDescent="0.25">
      <c r="A6234" t="str">
        <f>"20190303153932835"</f>
        <v>20190303153932835</v>
      </c>
      <c r="B6234" t="str">
        <f>"1551598772824373"</f>
        <v>1551598772824373</v>
      </c>
      <c r="C6234" t="s">
        <v>40</v>
      </c>
      <c r="D6234">
        <v>4.096063</v>
      </c>
      <c r="E6234">
        <v>0.50564070000000005</v>
      </c>
      <c r="F6234" t="s">
        <v>46</v>
      </c>
      <c r="G6234">
        <v>0</v>
      </c>
      <c r="H6234">
        <v>0</v>
      </c>
      <c r="I6234">
        <v>0</v>
      </c>
      <c r="J6234">
        <v>-372.27969999999999</v>
      </c>
      <c r="K6234">
        <v>1.120746</v>
      </c>
      <c r="L6234">
        <v>141.18279999999999</v>
      </c>
      <c r="M6234">
        <v>-0.99990900000000005</v>
      </c>
      <c r="N6234">
        <v>-1.278586E-2</v>
      </c>
      <c r="O6234">
        <v>-4.3149290000000003E-3</v>
      </c>
      <c r="P6234">
        <v>-0.99837670000000001</v>
      </c>
      <c r="Q6234">
        <v>-5.2533469999999999E-2</v>
      </c>
      <c r="R6234">
        <v>-2.200794E-2</v>
      </c>
      <c r="S6234">
        <v>-3.0036619999999998</v>
      </c>
      <c r="T6234">
        <v>-1.508844E-2</v>
      </c>
      <c r="U6234">
        <v>-2.4490359999999999E-2</v>
      </c>
      <c r="V6234">
        <v>-1.7727030000000001E-2</v>
      </c>
      <c r="W6234">
        <v>-3.9750710000000002E-2</v>
      </c>
      <c r="X6234">
        <v>0.9990523</v>
      </c>
      <c r="Y6234">
        <v>-3.8379719999999998E-3</v>
      </c>
      <c r="Z6234" s="1">
        <v>-6.767493E-5</v>
      </c>
      <c r="AA6234">
        <v>0.99999260000000001</v>
      </c>
      <c r="AB6234">
        <v>26</v>
      </c>
      <c r="AC6234">
        <v>-3.0036619999999998</v>
      </c>
      <c r="AD6234">
        <v>-1.508844E-2</v>
      </c>
      <c r="AE6234">
        <v>-2.4490359999999999E-2</v>
      </c>
      <c r="AF6234">
        <v>-1.15281939844843E-2</v>
      </c>
      <c r="AG6234">
        <v>-1.508844E-2</v>
      </c>
      <c r="AH6234">
        <v>3.0036639265919498</v>
      </c>
      <c r="AI6234">
        <v>90.287811923688295</v>
      </c>
      <c r="AJ6234">
        <v>90.219902636787793</v>
      </c>
      <c r="AK6234">
        <v>3.00372394606894</v>
      </c>
      <c r="AL6234">
        <v>92.2781482962029</v>
      </c>
      <c r="AM6234">
        <v>91.016540804126805</v>
      </c>
      <c r="AN6234">
        <v>0.99999993233670503</v>
      </c>
    </row>
    <row r="6235" spans="1:40" x14ac:dyDescent="0.25">
      <c r="A6235" t="str">
        <f>"20190303153932849"</f>
        <v>20190303153932849</v>
      </c>
      <c r="B6235" t="str">
        <f>"1551598772844869"</f>
        <v>1551598772844869</v>
      </c>
      <c r="C6235" t="s">
        <v>40</v>
      </c>
      <c r="D6235">
        <v>4.078919</v>
      </c>
      <c r="E6235">
        <v>0.50557549999999996</v>
      </c>
      <c r="F6235" t="s">
        <v>46</v>
      </c>
      <c r="G6235">
        <v>0</v>
      </c>
      <c r="H6235">
        <v>0</v>
      </c>
      <c r="I6235">
        <v>0</v>
      </c>
      <c r="J6235">
        <v>-372.45310000000001</v>
      </c>
      <c r="K6235">
        <v>1.120719</v>
      </c>
      <c r="L6235">
        <v>141.1824</v>
      </c>
      <c r="M6235">
        <v>-0.99991140000000001</v>
      </c>
      <c r="N6235">
        <v>-1.268594E-2</v>
      </c>
      <c r="O6235">
        <v>-4.0345989999999998E-3</v>
      </c>
      <c r="P6235">
        <v>-0.99841279999999999</v>
      </c>
      <c r="Q6235">
        <v>-5.1932480000000003E-2</v>
      </c>
      <c r="R6235">
        <v>-2.1791370000000001E-2</v>
      </c>
      <c r="S6235">
        <v>-3.0036930000000002</v>
      </c>
      <c r="T6235">
        <v>-1.222873E-2</v>
      </c>
      <c r="U6235">
        <v>-2.4597170000000002E-2</v>
      </c>
      <c r="V6235">
        <v>-1.7791689999999999E-2</v>
      </c>
      <c r="W6235">
        <v>-3.9248249999999998E-2</v>
      </c>
      <c r="X6235">
        <v>0.99907109999999999</v>
      </c>
      <c r="Y6235">
        <v>-4.1538549999999997E-3</v>
      </c>
      <c r="Z6235" s="1">
        <v>-6.9564509999999995E-5</v>
      </c>
      <c r="AA6235">
        <v>0.99999139999999997</v>
      </c>
      <c r="AB6235">
        <v>26</v>
      </c>
      <c r="AC6235">
        <v>-3.0036930000000002</v>
      </c>
      <c r="AD6235">
        <v>-1.222873E-2</v>
      </c>
      <c r="AE6235">
        <v>-2.4597170000000002E-2</v>
      </c>
      <c r="AF6235">
        <v>-1.24770910509683E-2</v>
      </c>
      <c r="AG6235">
        <v>-1.222873E-2</v>
      </c>
      <c r="AH6235">
        <v>3.0037180135592498</v>
      </c>
      <c r="AI6235">
        <v>90.233259147169505</v>
      </c>
      <c r="AJ6235">
        <v>90.237998554764602</v>
      </c>
      <c r="AK6235">
        <v>3.0037688201023101</v>
      </c>
      <c r="AL6235">
        <v>92.249336783429797</v>
      </c>
      <c r="AM6235">
        <v>91.020228697694606</v>
      </c>
      <c r="AN6235">
        <v>1.0000000161081599</v>
      </c>
    </row>
    <row r="6236" spans="1:40" x14ac:dyDescent="0.25">
      <c r="A6236" t="str">
        <f>"20190303153932868"</f>
        <v>20190303153932868</v>
      </c>
      <c r="B6236" t="str">
        <f>"1551598772864389"</f>
        <v>1551598772864389</v>
      </c>
      <c r="C6236" t="s">
        <v>40</v>
      </c>
      <c r="D6236">
        <v>4.0523920000000002</v>
      </c>
      <c r="E6236">
        <v>0.50551749999999995</v>
      </c>
      <c r="F6236" t="s">
        <v>46</v>
      </c>
      <c r="G6236">
        <v>0</v>
      </c>
      <c r="H6236">
        <v>0</v>
      </c>
      <c r="I6236">
        <v>0</v>
      </c>
      <c r="J6236">
        <v>-372.67200000000003</v>
      </c>
      <c r="K6236">
        <v>1.1206940000000001</v>
      </c>
      <c r="L6236">
        <v>141.18190000000001</v>
      </c>
      <c r="M6236">
        <v>-0.99991390000000002</v>
      </c>
      <c r="N6236">
        <v>-1.259911E-2</v>
      </c>
      <c r="O6236">
        <v>-3.6559180000000002E-3</v>
      </c>
      <c r="P6236">
        <v>-0.99847260000000004</v>
      </c>
      <c r="Q6236">
        <v>-5.0923789999999997E-2</v>
      </c>
      <c r="R6236">
        <v>-2.1431789999999999E-2</v>
      </c>
      <c r="S6236">
        <v>-3.0036320000000001</v>
      </c>
      <c r="T6236">
        <v>-1.1267900000000001E-2</v>
      </c>
      <c r="U6236">
        <v>-2.4429320000000001E-2</v>
      </c>
      <c r="V6236">
        <v>-1.7812339999999999E-2</v>
      </c>
      <c r="W6236">
        <v>-3.8324490000000003E-2</v>
      </c>
      <c r="X6236">
        <v>0.99910659999999896</v>
      </c>
      <c r="Y6236">
        <v>-4.4768569999999999E-3</v>
      </c>
      <c r="Z6236" s="1">
        <v>-6.8949829999999997E-5</v>
      </c>
      <c r="AA6236">
        <v>0.99999000000000005</v>
      </c>
      <c r="AB6236">
        <v>26</v>
      </c>
      <c r="AC6236">
        <v>-3.0036320000000001</v>
      </c>
      <c r="AD6236">
        <v>-1.1267900000000001E-2</v>
      </c>
      <c r="AE6236">
        <v>-2.4429320000000001E-2</v>
      </c>
      <c r="AF6236">
        <v>-1.3447063045597001E-2</v>
      </c>
      <c r="AG6236">
        <v>-1.1267900000000001E-2</v>
      </c>
      <c r="AH6236">
        <v>3.0036589742869002</v>
      </c>
      <c r="AI6236">
        <v>90.214935723871804</v>
      </c>
      <c r="AJ6236">
        <v>90.256505421781</v>
      </c>
      <c r="AK6236">
        <v>3.0037102095390602</v>
      </c>
      <c r="AL6236">
        <v>92.196369363376206</v>
      </c>
      <c r="AM6236">
        <v>91.021376294832507</v>
      </c>
      <c r="AN6236">
        <v>1.00000002207679</v>
      </c>
    </row>
    <row r="6237" spans="1:40" x14ac:dyDescent="0.25">
      <c r="A6237" t="str">
        <f>"20190303153932882"</f>
        <v>20190303153932882</v>
      </c>
      <c r="B6237" t="str">
        <f>"1551598772875125"</f>
        <v>1551598772875125</v>
      </c>
      <c r="C6237" t="s">
        <v>40</v>
      </c>
      <c r="D6237">
        <v>4.0738789999999998</v>
      </c>
      <c r="E6237">
        <v>0.50548519999999997</v>
      </c>
      <c r="F6237" t="s">
        <v>46</v>
      </c>
      <c r="G6237">
        <v>0</v>
      </c>
      <c r="H6237">
        <v>0</v>
      </c>
      <c r="I6237">
        <v>0</v>
      </c>
      <c r="J6237">
        <v>-372.84559999999999</v>
      </c>
      <c r="K6237">
        <v>1.1206879999999999</v>
      </c>
      <c r="L6237">
        <v>141.1816</v>
      </c>
      <c r="M6237">
        <v>-0.99991529999999995</v>
      </c>
      <c r="N6237">
        <v>-1.25857E-2</v>
      </c>
      <c r="O6237">
        <v>-3.346473E-3</v>
      </c>
      <c r="P6237">
        <v>-0.99850300000000003</v>
      </c>
      <c r="Q6237">
        <v>-5.043719E-2</v>
      </c>
      <c r="R6237">
        <v>-2.1168820000000001E-2</v>
      </c>
      <c r="S6237">
        <v>-3.0036010000000002</v>
      </c>
      <c r="T6237">
        <v>-9.2195269999999999E-3</v>
      </c>
      <c r="U6237">
        <v>-2.3895260000000001E-2</v>
      </c>
      <c r="V6237">
        <v>-1.785935E-2</v>
      </c>
      <c r="W6237">
        <v>-3.7850179999999997E-2</v>
      </c>
      <c r="X6237">
        <v>0.99912380000000001</v>
      </c>
      <c r="Y6237">
        <v>-4.6086520000000004E-3</v>
      </c>
      <c r="Z6237" s="1">
        <v>-6.7923959999999898E-5</v>
      </c>
      <c r="AA6237">
        <v>0.99998940000000003</v>
      </c>
      <c r="AB6237">
        <v>26</v>
      </c>
      <c r="AC6237">
        <v>-3.0036010000000002</v>
      </c>
      <c r="AD6237">
        <v>-9.2195269999999999E-3</v>
      </c>
      <c r="AE6237">
        <v>-2.3895260000000001E-2</v>
      </c>
      <c r="AF6237">
        <v>-1.3842730979069601E-2</v>
      </c>
      <c r="AG6237">
        <v>-9.2195269999999999E-3</v>
      </c>
      <c r="AH6237">
        <v>3.0036358521792601</v>
      </c>
      <c r="AI6237">
        <v>90.1758644334964</v>
      </c>
      <c r="AJ6237">
        <v>90.264054794206203</v>
      </c>
      <c r="AK6237">
        <v>3.0036818994986301</v>
      </c>
      <c r="AL6237">
        <v>92.169173760792006</v>
      </c>
      <c r="AM6237">
        <v>91.0240536933416</v>
      </c>
      <c r="AN6237">
        <v>0.99999998011744695</v>
      </c>
    </row>
    <row r="6238" spans="1:40" x14ac:dyDescent="0.25">
      <c r="A6238" t="str">
        <f>"20190303153932895"</f>
        <v>20190303153932895</v>
      </c>
      <c r="B6238" t="str">
        <f>"1551598772884885"</f>
        <v>1551598772884885</v>
      </c>
      <c r="C6238" t="s">
        <v>40</v>
      </c>
      <c r="D6238">
        <v>4.0845409999999998</v>
      </c>
      <c r="E6238">
        <v>0.50543439999999995</v>
      </c>
      <c r="F6238" t="s">
        <v>46</v>
      </c>
      <c r="G6238">
        <v>0</v>
      </c>
      <c r="H6238">
        <v>0</v>
      </c>
      <c r="I6238">
        <v>0</v>
      </c>
      <c r="J6238">
        <v>-372.99090000000001</v>
      </c>
      <c r="K6238">
        <v>1.1206959999999999</v>
      </c>
      <c r="L6238">
        <v>141.1814</v>
      </c>
      <c r="M6238">
        <v>-0.99991589999999997</v>
      </c>
      <c r="N6238">
        <v>-1.260175E-2</v>
      </c>
      <c r="O6238">
        <v>-3.0792530000000001E-3</v>
      </c>
      <c r="P6238">
        <v>-0.99851579999999995</v>
      </c>
      <c r="Q6238">
        <v>-5.0373309999999998E-2</v>
      </c>
      <c r="R6238">
        <v>-2.0703369999999999E-2</v>
      </c>
      <c r="S6238">
        <v>-3.003571</v>
      </c>
      <c r="T6238">
        <v>-8.2484480000000002E-3</v>
      </c>
      <c r="U6238">
        <v>-2.342224E-2</v>
      </c>
      <c r="V6238">
        <v>-1.7661690000000001E-2</v>
      </c>
      <c r="W6238">
        <v>-3.7769829999999997E-2</v>
      </c>
      <c r="X6238">
        <v>0.99913039999999997</v>
      </c>
      <c r="Y6238">
        <v>-4.7185049999999996E-3</v>
      </c>
      <c r="Z6238" s="1">
        <v>-6.6560810000000002E-5</v>
      </c>
      <c r="AA6238">
        <v>0.99998889999999996</v>
      </c>
      <c r="AB6238">
        <v>26</v>
      </c>
      <c r="AC6238">
        <v>-3.003571</v>
      </c>
      <c r="AD6238">
        <v>-8.2484480000000002E-3</v>
      </c>
      <c r="AE6238">
        <v>-2.342224E-2</v>
      </c>
      <c r="AF6238">
        <v>-1.41725330212637E-2</v>
      </c>
      <c r="AG6238">
        <v>-8.2484480000000002E-3</v>
      </c>
      <c r="AH6238">
        <v>3.0036062359147202</v>
      </c>
      <c r="AI6238">
        <v>90.157342464969304</v>
      </c>
      <c r="AJ6238">
        <v>90.270348453502706</v>
      </c>
      <c r="AK6238">
        <v>3.00365099803762</v>
      </c>
      <c r="AL6238">
        <v>92.164566651672203</v>
      </c>
      <c r="AM6238">
        <v>91.012715570083401</v>
      </c>
      <c r="AN6238">
        <v>1.0000000257780199</v>
      </c>
    </row>
    <row r="6239" spans="1:40" x14ac:dyDescent="0.25">
      <c r="A6239" t="str">
        <f>"20190303153932914"</f>
        <v>20190303153932914</v>
      </c>
      <c r="B6239" t="str">
        <f>"1551598772904405"</f>
        <v>1551598772904405</v>
      </c>
      <c r="C6239" t="s">
        <v>40</v>
      </c>
      <c r="D6239">
        <v>4.1306890000000003</v>
      </c>
      <c r="E6239">
        <v>0.50288859999999902</v>
      </c>
      <c r="F6239" t="s">
        <v>46</v>
      </c>
      <c r="G6239">
        <v>0</v>
      </c>
      <c r="H6239">
        <v>0</v>
      </c>
      <c r="I6239">
        <v>0</v>
      </c>
      <c r="J6239">
        <v>-373.20429999999999</v>
      </c>
      <c r="K6239">
        <v>1.120719</v>
      </c>
      <c r="L6239">
        <v>141.18119999999999</v>
      </c>
      <c r="M6239">
        <v>-0.99991629999999998</v>
      </c>
      <c r="N6239">
        <v>-1.266687E-2</v>
      </c>
      <c r="O6239">
        <v>-2.6684450000000002E-3</v>
      </c>
      <c r="P6239">
        <v>-0.99852059999999998</v>
      </c>
      <c r="Q6239">
        <v>-5.0598579999999997E-2</v>
      </c>
      <c r="R6239">
        <v>-1.991443E-2</v>
      </c>
      <c r="S6239">
        <v>-3.003571</v>
      </c>
      <c r="T6239">
        <v>-8.5077290000000003E-3</v>
      </c>
      <c r="U6239">
        <v>-2.2262569999999999E-2</v>
      </c>
      <c r="V6239">
        <v>-1.728474E-2</v>
      </c>
      <c r="W6239">
        <v>-3.7929890000000001E-2</v>
      </c>
      <c r="X6239">
        <v>0.99913090000000004</v>
      </c>
      <c r="Y6239">
        <v>-4.7432459999999996E-3</v>
      </c>
      <c r="Z6239" s="1">
        <v>-6.3004340000000005E-5</v>
      </c>
      <c r="AA6239">
        <v>0.99998869999999895</v>
      </c>
      <c r="AB6239">
        <v>26</v>
      </c>
      <c r="AC6239">
        <v>-3.003571</v>
      </c>
      <c r="AD6239">
        <v>-8.5077290000000003E-3</v>
      </c>
      <c r="AE6239">
        <v>-2.2262569999999999E-2</v>
      </c>
      <c r="AF6239">
        <v>-1.4246870050473801E-2</v>
      </c>
      <c r="AG6239">
        <v>-8.5077290000000003E-3</v>
      </c>
      <c r="AH6239">
        <v>3.0035956185203001</v>
      </c>
      <c r="AI6239">
        <v>90.162288882989699</v>
      </c>
      <c r="AJ6239">
        <v>90.271767410514599</v>
      </c>
      <c r="AK6239">
        <v>3.0036414556922901</v>
      </c>
      <c r="AL6239">
        <v>92.173744052500197</v>
      </c>
      <c r="AM6239">
        <v>90.991105241967006</v>
      </c>
      <c r="AN6239">
        <v>0.99999999706354503</v>
      </c>
    </row>
    <row r="6240" spans="1:40" x14ac:dyDescent="0.25">
      <c r="A6240" t="str">
        <f>"20190303153932926"</f>
        <v>20190303153932926</v>
      </c>
      <c r="B6240" t="str">
        <f>"1551598772915141"</f>
        <v>1551598772915141</v>
      </c>
      <c r="C6240" t="s">
        <v>40</v>
      </c>
      <c r="D6240">
        <v>4.1381969999999999</v>
      </c>
      <c r="E6240">
        <v>0.50302990000000003</v>
      </c>
      <c r="F6240" t="s">
        <v>42</v>
      </c>
      <c r="G6240">
        <v>-445.86259999999999</v>
      </c>
      <c r="H6240" s="1">
        <v>-9.0767730000000004E-7</v>
      </c>
      <c r="I6240">
        <v>140.23169999999999</v>
      </c>
      <c r="J6240">
        <v>-373.35820000000001</v>
      </c>
      <c r="K6240">
        <v>1.1207400000000001</v>
      </c>
      <c r="L6240">
        <v>141.18109999999999</v>
      </c>
      <c r="M6240">
        <v>-0.99991629999999998</v>
      </c>
      <c r="N6240">
        <v>-1.27291E-2</v>
      </c>
      <c r="O6240">
        <v>-2.3579730000000002E-3</v>
      </c>
      <c r="P6240">
        <v>-0.99852850000000004</v>
      </c>
      <c r="Q6240">
        <v>-5.076804E-2</v>
      </c>
      <c r="R6240">
        <v>-1.9073679999999999E-2</v>
      </c>
      <c r="S6240">
        <v>-3.001312</v>
      </c>
      <c r="T6240">
        <v>-4.6293849999999998E-2</v>
      </c>
      <c r="U6240">
        <v>-3.9215090000000001E-2</v>
      </c>
      <c r="V6240">
        <v>-1.6754410000000001E-2</v>
      </c>
      <c r="W6240">
        <v>-3.8037429999999997E-2</v>
      </c>
      <c r="X6240">
        <v>0.99913589999999997</v>
      </c>
      <c r="Y6240">
        <v>-1.070455E-2</v>
      </c>
      <c r="Z6240">
        <v>-1.4433849999999999E-4</v>
      </c>
      <c r="AA6240">
        <v>0.99994269999999996</v>
      </c>
      <c r="AB6240">
        <v>26</v>
      </c>
      <c r="AC6240">
        <v>-72.504399999999904</v>
      </c>
      <c r="AD6240">
        <v>-1.1207409076773001</v>
      </c>
      <c r="AE6240">
        <v>-0.94939999999999702</v>
      </c>
      <c r="AF6240">
        <v>-0.778234190857366</v>
      </c>
      <c r="AG6240">
        <v>-1.1207409076773001</v>
      </c>
      <c r="AH6240">
        <v>72.489119947845694</v>
      </c>
      <c r="AI6240">
        <v>90.885717868204793</v>
      </c>
      <c r="AJ6240">
        <v>90.615096743400201</v>
      </c>
      <c r="AK6240">
        <v>72.501960107648898</v>
      </c>
      <c r="AL6240">
        <v>92.179909971578695</v>
      </c>
      <c r="AM6240">
        <v>90.960697156132198</v>
      </c>
      <c r="AN6240">
        <v>1.0000000515021299</v>
      </c>
    </row>
    <row r="6241" spans="1:40" x14ac:dyDescent="0.25">
      <c r="A6241" t="str">
        <f>"20190303153932946"</f>
        <v>20190303153932946</v>
      </c>
      <c r="B6241" t="str">
        <f>"1551598772934661"</f>
        <v>1551598772934661</v>
      </c>
      <c r="C6241" t="s">
        <v>40</v>
      </c>
      <c r="D6241">
        <v>4.0988740000000004</v>
      </c>
      <c r="E6241">
        <v>0.50334659999999998</v>
      </c>
      <c r="F6241" t="s">
        <v>42</v>
      </c>
      <c r="G6241">
        <v>-441.79539999999997</v>
      </c>
      <c r="H6241" s="1">
        <v>-2.6902940000000001E-6</v>
      </c>
      <c r="I6241">
        <v>140.37379999999999</v>
      </c>
      <c r="J6241">
        <v>-373.58479999999997</v>
      </c>
      <c r="K6241">
        <v>1.120765</v>
      </c>
      <c r="L6241">
        <v>141.18109999999999</v>
      </c>
      <c r="M6241">
        <v>-0.99991600000000003</v>
      </c>
      <c r="N6241">
        <v>-1.2821259999999999E-2</v>
      </c>
      <c r="O6241">
        <v>-1.8834100000000001E-3</v>
      </c>
      <c r="P6241">
        <v>-0.99853309999999995</v>
      </c>
      <c r="Q6241">
        <v>-5.1156100000000003E-2</v>
      </c>
      <c r="R6241">
        <v>-1.774396E-2</v>
      </c>
      <c r="S6241">
        <v>-3.0012509999999999</v>
      </c>
      <c r="T6241">
        <v>-4.9149159999999997E-2</v>
      </c>
      <c r="U6241">
        <v>-3.5400389999999997E-2</v>
      </c>
      <c r="V6241">
        <v>-1.589952E-2</v>
      </c>
      <c r="W6241">
        <v>-3.8334029999999998E-2</v>
      </c>
      <c r="X6241">
        <v>0.99913850000000004</v>
      </c>
      <c r="Y6241">
        <v>-9.9085800000000002E-3</v>
      </c>
      <c r="Z6241">
        <v>-1.3796459999999901E-4</v>
      </c>
      <c r="AA6241">
        <v>0.99995089999999998</v>
      </c>
      <c r="AB6241">
        <v>26</v>
      </c>
      <c r="AC6241">
        <v>-68.210599999999999</v>
      </c>
      <c r="AD6241">
        <v>-1.120767690294</v>
      </c>
      <c r="AE6241">
        <v>-0.80729999999999702</v>
      </c>
      <c r="AF6241">
        <v>-0.67863628660188702</v>
      </c>
      <c r="AG6241">
        <v>-1.120767690294</v>
      </c>
      <c r="AH6241">
        <v>68.193591450173201</v>
      </c>
      <c r="AI6241">
        <v>90.941529806461105</v>
      </c>
      <c r="AJ6241">
        <v>90.570166649220695</v>
      </c>
      <c r="AK6241">
        <v>68.206177009844495</v>
      </c>
      <c r="AL6241">
        <v>92.196916377366307</v>
      </c>
      <c r="AM6241">
        <v>90.911683923970102</v>
      </c>
      <c r="AN6241">
        <v>1.0000000173872601</v>
      </c>
    </row>
    <row r="6242" spans="1:40" x14ac:dyDescent="0.25">
      <c r="A6242" t="str">
        <f>"20190303153932960"</f>
        <v>20190303153932960</v>
      </c>
      <c r="B6242" t="str">
        <f>"1551598772955157"</f>
        <v>1551598772955157</v>
      </c>
      <c r="C6242" t="s">
        <v>40</v>
      </c>
      <c r="D6242">
        <v>4.1190550000000004</v>
      </c>
      <c r="E6242">
        <v>0.50273840000000003</v>
      </c>
      <c r="F6242" t="s">
        <v>42</v>
      </c>
      <c r="G6242">
        <v>-443.23750000000001</v>
      </c>
      <c r="H6242" s="1">
        <v>-2.1076949999999998E-6</v>
      </c>
      <c r="I6242">
        <v>140.50919999999999</v>
      </c>
      <c r="J6242">
        <v>-373.74</v>
      </c>
      <c r="K6242">
        <v>1.1207750000000001</v>
      </c>
      <c r="L6242">
        <v>141.18119999999999</v>
      </c>
      <c r="M6242">
        <v>-0.99991589999999997</v>
      </c>
      <c r="N6242">
        <v>-1.2882319999999999E-2</v>
      </c>
      <c r="O6242">
        <v>-1.553521E-3</v>
      </c>
      <c r="P6242">
        <v>-0.99857839999999998</v>
      </c>
      <c r="Q6242">
        <v>-5.0507240000000002E-2</v>
      </c>
      <c r="R6242">
        <v>-1.7045029999999999E-2</v>
      </c>
      <c r="S6242">
        <v>-3.001404</v>
      </c>
      <c r="T6242">
        <v>-4.8295020000000001E-2</v>
      </c>
      <c r="U6242">
        <v>-2.894592E-2</v>
      </c>
      <c r="V6242">
        <v>-1.552975E-2</v>
      </c>
      <c r="W6242">
        <v>-3.762393E-2</v>
      </c>
      <c r="X6242">
        <v>0.99917129999999998</v>
      </c>
      <c r="Y6242">
        <v>-8.0882139999999998E-3</v>
      </c>
      <c r="Z6242">
        <v>-1.1219210000000001E-4</v>
      </c>
      <c r="AA6242">
        <v>0.9999673</v>
      </c>
      <c r="AB6242">
        <v>26</v>
      </c>
      <c r="AC6242">
        <v>-69.497500000000002</v>
      </c>
      <c r="AD6242">
        <v>-1.1207771076949999</v>
      </c>
      <c r="AE6242">
        <v>-0.67199999999999704</v>
      </c>
      <c r="AF6242">
        <v>-0.56387777556323504</v>
      </c>
      <c r="AG6242">
        <v>-1.1207771076949999</v>
      </c>
      <c r="AH6242">
        <v>69.480391687863701</v>
      </c>
      <c r="AI6242">
        <v>90.924118496343695</v>
      </c>
      <c r="AJ6242">
        <v>90.464981653689605</v>
      </c>
      <c r="AK6242">
        <v>69.491718417160101</v>
      </c>
      <c r="AL6242">
        <v>92.156201285740906</v>
      </c>
      <c r="AM6242">
        <v>90.890455412896003</v>
      </c>
      <c r="AN6242">
        <v>1.0000000099936901</v>
      </c>
    </row>
    <row r="6243" spans="1:40" x14ac:dyDescent="0.25">
      <c r="A6243" t="str">
        <f>"20190303153932982"</f>
        <v>20190303153932982</v>
      </c>
      <c r="B6243" t="str">
        <f>"1551598772974677"</f>
        <v>1551598772974677</v>
      </c>
      <c r="C6243" t="s">
        <v>40</v>
      </c>
      <c r="D6243">
        <v>4.2074259999999999</v>
      </c>
      <c r="E6243">
        <v>0.51236369999999998</v>
      </c>
      <c r="F6243" t="s">
        <v>68</v>
      </c>
      <c r="G6243">
        <v>-435.02730000000003</v>
      </c>
      <c r="H6243" s="1">
        <v>-9.6459530000000002E-6</v>
      </c>
      <c r="I6243">
        <v>140.5386</v>
      </c>
      <c r="J6243">
        <v>-373.99020000000002</v>
      </c>
      <c r="K6243">
        <v>1.1207860000000001</v>
      </c>
      <c r="L6243">
        <v>141.1814</v>
      </c>
      <c r="M6243">
        <v>-0.9999152</v>
      </c>
      <c r="N6243">
        <v>-1.2980500000000001E-2</v>
      </c>
      <c r="O6243">
        <v>-1.021285E-3</v>
      </c>
      <c r="P6243">
        <v>-0.99857890000000005</v>
      </c>
      <c r="Q6243">
        <v>-5.0915000000000002E-2</v>
      </c>
      <c r="R6243">
        <v>-1.5750750000000001E-2</v>
      </c>
      <c r="S6243">
        <v>-3.0009459999999999</v>
      </c>
      <c r="T6243">
        <v>-5.487943E-2</v>
      </c>
      <c r="U6243">
        <v>-3.1463619999999998E-2</v>
      </c>
      <c r="V6243">
        <v>-1.4767270000000001E-2</v>
      </c>
      <c r="W6243">
        <v>-3.793415E-2</v>
      </c>
      <c r="X6243">
        <v>0.99917109999999998</v>
      </c>
      <c r="Y6243">
        <v>-9.4599839999999994E-3</v>
      </c>
      <c r="Z6243">
        <v>-1.4248240000000001E-4</v>
      </c>
      <c r="AA6243">
        <v>0.99995520000000004</v>
      </c>
      <c r="AB6243">
        <v>26</v>
      </c>
      <c r="AC6243">
        <v>-61.037100000000002</v>
      </c>
      <c r="AD6243">
        <v>-1.120795645953</v>
      </c>
      <c r="AE6243">
        <v>-0.64279999999999404</v>
      </c>
      <c r="AF6243">
        <v>-0.580262503303272</v>
      </c>
      <c r="AG6243">
        <v>-1.120795645953</v>
      </c>
      <c r="AH6243">
        <v>61.017153062841999</v>
      </c>
      <c r="AI6243">
        <v>91.052273557847599</v>
      </c>
      <c r="AJ6243">
        <v>90.544856464062804</v>
      </c>
      <c r="AK6243">
        <v>61.030204451132398</v>
      </c>
      <c r="AL6243">
        <v>92.173988346427294</v>
      </c>
      <c r="AM6243">
        <v>90.846742512973506</v>
      </c>
      <c r="AN6243">
        <v>0.99999997953734199</v>
      </c>
    </row>
    <row r="6244" spans="1:40" x14ac:dyDescent="0.25">
      <c r="A6244" t="str">
        <f>"20190303153933003"</f>
        <v>20190303153933003</v>
      </c>
      <c r="B6244" t="str">
        <f>"1551598772995173"</f>
        <v>1551598772995173</v>
      </c>
      <c r="C6244" t="s">
        <v>40</v>
      </c>
      <c r="D6244">
        <v>4.1726779999999897</v>
      </c>
      <c r="E6244">
        <v>0.54124259999999902</v>
      </c>
      <c r="F6244" t="s">
        <v>46</v>
      </c>
      <c r="G6244">
        <v>0</v>
      </c>
      <c r="H6244">
        <v>0</v>
      </c>
      <c r="I6244">
        <v>0</v>
      </c>
      <c r="J6244">
        <v>-374.2432</v>
      </c>
      <c r="K6244">
        <v>1.120795</v>
      </c>
      <c r="L6244">
        <v>141.18170000000001</v>
      </c>
      <c r="M6244">
        <v>-0.99991439999999998</v>
      </c>
      <c r="N6244">
        <v>-1.30799E-2</v>
      </c>
      <c r="O6244">
        <v>-4.8752080000000002E-4</v>
      </c>
      <c r="P6244">
        <v>-0.99860470000000001</v>
      </c>
      <c r="Q6244">
        <v>-5.081546E-2</v>
      </c>
      <c r="R6244">
        <v>-1.4367649999999999E-2</v>
      </c>
      <c r="S6244">
        <v>-3.0058590000000001</v>
      </c>
      <c r="T6244">
        <v>1.6132830000000001E-2</v>
      </c>
      <c r="U6244">
        <v>4.7668460000000003E-2</v>
      </c>
      <c r="V6244">
        <v>-1.3917870000000001E-2</v>
      </c>
      <c r="W6244">
        <v>-3.7735690000000002E-2</v>
      </c>
      <c r="X6244">
        <v>0.99919080000000005</v>
      </c>
      <c r="Y6244">
        <v>1.6344279999999999E-2</v>
      </c>
      <c r="Z6244" s="1">
        <v>5.4050240000000002E-5</v>
      </c>
      <c r="AA6244">
        <v>0.99986640000000004</v>
      </c>
      <c r="AB6244">
        <v>26</v>
      </c>
      <c r="AC6244">
        <v>-3.0058590000000001</v>
      </c>
      <c r="AD6244">
        <v>1.6132830000000001E-2</v>
      </c>
      <c r="AE6244">
        <v>4.7668460000000003E-2</v>
      </c>
      <c r="AF6244">
        <v>4.9132583434515403E-2</v>
      </c>
      <c r="AG6244">
        <v>1.6132830000000001E-2</v>
      </c>
      <c r="AH6244">
        <v>3.0057488393547702</v>
      </c>
      <c r="AI6244">
        <v>89.692518975885704</v>
      </c>
      <c r="AJ6244">
        <v>89.063514907975303</v>
      </c>
      <c r="AK6244">
        <v>3.00619366712148</v>
      </c>
      <c r="AL6244">
        <v>92.162609294476894</v>
      </c>
      <c r="AM6244">
        <v>90.798029409158303</v>
      </c>
      <c r="AN6244">
        <v>0.99999997210487601</v>
      </c>
    </row>
    <row r="6245" spans="1:40" x14ac:dyDescent="0.25">
      <c r="A6245" t="str">
        <f>"20190303153933025"</f>
        <v>20190303153933025</v>
      </c>
      <c r="B6245" t="str">
        <f>"1551598773014693"</f>
        <v>1551598773014693</v>
      </c>
      <c r="C6245" t="s">
        <v>40</v>
      </c>
      <c r="D6245">
        <v>4.161721</v>
      </c>
      <c r="E6245">
        <v>0.54062209999999999</v>
      </c>
      <c r="F6245" t="s">
        <v>70</v>
      </c>
      <c r="G6245">
        <v>-511.92630000000003</v>
      </c>
      <c r="H6245">
        <v>3.2760039999999999</v>
      </c>
      <c r="I6245">
        <v>154.0719</v>
      </c>
      <c r="J6245">
        <v>-374.49200000000002</v>
      </c>
      <c r="K6245">
        <v>1.1208070000000001</v>
      </c>
      <c r="L6245">
        <v>141.18219999999999</v>
      </c>
      <c r="M6245">
        <v>-0.9999133</v>
      </c>
      <c r="N6245">
        <v>-1.317452E-2</v>
      </c>
      <c r="O6245" s="1">
        <v>3.5077489999999997E-5</v>
      </c>
      <c r="P6245">
        <v>-0.99861149999999999</v>
      </c>
      <c r="Q6245">
        <v>-5.1162560000000003E-2</v>
      </c>
      <c r="R6245">
        <v>-1.25643E-2</v>
      </c>
      <c r="S6245">
        <v>-3.0106199999999999</v>
      </c>
      <c r="T6245">
        <v>4.7127370000000002E-2</v>
      </c>
      <c r="U6245">
        <v>0.28186040000000001</v>
      </c>
      <c r="V6245">
        <v>-1.263703E-2</v>
      </c>
      <c r="W6245">
        <v>-3.7989370000000001E-2</v>
      </c>
      <c r="X6245">
        <v>0.99919829999999998</v>
      </c>
      <c r="Y6245">
        <v>9.3177739999999995E-2</v>
      </c>
      <c r="Z6245">
        <v>-1.114868E-4</v>
      </c>
      <c r="AA6245">
        <v>0.99564949999999997</v>
      </c>
      <c r="AB6245">
        <v>26</v>
      </c>
      <c r="AC6245">
        <v>-137.43430000000001</v>
      </c>
      <c r="AD6245">
        <v>2.1551969999999998</v>
      </c>
      <c r="AE6245">
        <v>12.889699999999999</v>
      </c>
      <c r="AF6245">
        <v>12.881738542516899</v>
      </c>
      <c r="AG6245">
        <v>2.1551969999999998</v>
      </c>
      <c r="AH6245">
        <v>137.40125778981599</v>
      </c>
      <c r="AI6245">
        <v>89.105287914257104</v>
      </c>
      <c r="AJ6245">
        <v>84.644021754650893</v>
      </c>
      <c r="AK6245">
        <v>138.02061333079999</v>
      </c>
      <c r="AL6245">
        <v>92.177154316033295</v>
      </c>
      <c r="AM6245">
        <v>90.724590788653401</v>
      </c>
      <c r="AN6245">
        <v>1.0000000647415499</v>
      </c>
    </row>
    <row r="6246" spans="1:40" x14ac:dyDescent="0.25">
      <c r="A6246" t="str">
        <f>"20190303153933042"</f>
        <v>20190303153933042</v>
      </c>
      <c r="B6246" t="str">
        <f>"1551598773035189"</f>
        <v>1551598773035189</v>
      </c>
      <c r="C6246" t="s">
        <v>40</v>
      </c>
      <c r="D6246">
        <v>4.1921280000000003</v>
      </c>
      <c r="E6246">
        <v>0.54037819999999903</v>
      </c>
      <c r="F6246" t="s">
        <v>70</v>
      </c>
      <c r="G6246">
        <v>-511.92579999999998</v>
      </c>
      <c r="H6246">
        <v>1.7317209999999901</v>
      </c>
      <c r="I6246">
        <v>154.1183</v>
      </c>
      <c r="J6246">
        <v>-374.68470000000002</v>
      </c>
      <c r="K6246">
        <v>1.1208149999999999</v>
      </c>
      <c r="L6246">
        <v>141.18270000000001</v>
      </c>
      <c r="M6246">
        <v>-0.99991229999999998</v>
      </c>
      <c r="N6246">
        <v>-1.3242510000000001E-2</v>
      </c>
      <c r="O6246">
        <v>4.4054789999999999E-4</v>
      </c>
      <c r="P6246">
        <v>-0.99861820000000001</v>
      </c>
      <c r="Q6246">
        <v>-5.1210459999999999E-2</v>
      </c>
      <c r="R6246">
        <v>-1.1815900000000001E-2</v>
      </c>
      <c r="S6246">
        <v>-3.0084230000000001</v>
      </c>
      <c r="T6246">
        <v>1.337385E-2</v>
      </c>
      <c r="U6246">
        <v>0.283172599999999</v>
      </c>
      <c r="V6246">
        <v>-1.229352E-2</v>
      </c>
      <c r="W6246">
        <v>-3.7969650000000001E-2</v>
      </c>
      <c r="X6246">
        <v>0.99920330000000002</v>
      </c>
      <c r="Y6246">
        <v>9.3275609999999995E-2</v>
      </c>
      <c r="Z6246">
        <v>4.1989099999999998E-4</v>
      </c>
      <c r="AA6246">
        <v>0.99564019999999998</v>
      </c>
      <c r="AB6246">
        <v>26</v>
      </c>
      <c r="AC6246">
        <v>-137.24109999999899</v>
      </c>
      <c r="AD6246">
        <v>0.61090599999999995</v>
      </c>
      <c r="AE6246">
        <v>12.9355999999999</v>
      </c>
      <c r="AF6246">
        <v>12.874879307744701</v>
      </c>
      <c r="AG6246">
        <v>0.61090599999999995</v>
      </c>
      <c r="AH6246">
        <v>137.24409047054701</v>
      </c>
      <c r="AI6246">
        <v>89.746079410207003</v>
      </c>
      <c r="AJ6246">
        <v>84.640762553777606</v>
      </c>
      <c r="AK6246">
        <v>137.84801809390501</v>
      </c>
      <c r="AL6246">
        <v>92.176023703539897</v>
      </c>
      <c r="AM6246">
        <v>90.704892862322097</v>
      </c>
      <c r="AN6246">
        <v>1.0000000298430001</v>
      </c>
    </row>
    <row r="6247" spans="1:40" x14ac:dyDescent="0.25">
      <c r="A6247" t="str">
        <f>"20190303153933058"</f>
        <v>20190303153933058</v>
      </c>
      <c r="B6247" t="str">
        <f>"1551598773054709"</f>
        <v>1551598773054709</v>
      </c>
      <c r="C6247" t="s">
        <v>40</v>
      </c>
      <c r="D6247">
        <v>4.1470129999999896</v>
      </c>
      <c r="E6247">
        <v>0.54038369999999902</v>
      </c>
      <c r="F6247" t="s">
        <v>70</v>
      </c>
      <c r="G6247">
        <v>-511.92590000000001</v>
      </c>
      <c r="H6247">
        <v>2.0821350000000001</v>
      </c>
      <c r="I6247">
        <v>154.1088</v>
      </c>
      <c r="J6247">
        <v>-374.87540000000001</v>
      </c>
      <c r="K6247">
        <v>1.120819</v>
      </c>
      <c r="L6247">
        <v>141.1832</v>
      </c>
      <c r="M6247">
        <v>-0.99991110000000005</v>
      </c>
      <c r="N6247">
        <v>-1.3304949999999999E-2</v>
      </c>
      <c r="O6247">
        <v>8.4274839999999996E-4</v>
      </c>
      <c r="P6247">
        <v>-0.99863829999999998</v>
      </c>
      <c r="Q6247">
        <v>-5.1018149999999998E-2</v>
      </c>
      <c r="R6247">
        <v>-1.0904219999999999E-2</v>
      </c>
      <c r="S6247">
        <v>-3.0086360000000001</v>
      </c>
      <c r="T6247">
        <v>2.107525E-2</v>
      </c>
      <c r="U6247">
        <v>0.28337099999999998</v>
      </c>
      <c r="V6247">
        <v>-1.1782870000000001E-2</v>
      </c>
      <c r="W6247">
        <v>-3.7715310000000002E-2</v>
      </c>
      <c r="X6247">
        <v>0.99921910000000003</v>
      </c>
      <c r="Y6247">
        <v>9.2933920000000003E-2</v>
      </c>
      <c r="Z6247">
        <v>3.1193030000000002E-4</v>
      </c>
      <c r="AA6247">
        <v>0.99567220000000001</v>
      </c>
      <c r="AB6247">
        <v>26</v>
      </c>
      <c r="AC6247">
        <v>-137.0505</v>
      </c>
      <c r="AD6247">
        <v>0.96131599999999995</v>
      </c>
      <c r="AE6247">
        <v>12.925599999999999</v>
      </c>
      <c r="AF6247">
        <v>12.809461414035599</v>
      </c>
      <c r="AG6247">
        <v>0.96131599999999995</v>
      </c>
      <c r="AH6247">
        <v>137.05466158500499</v>
      </c>
      <c r="AI6247">
        <v>89.599871636543199</v>
      </c>
      <c r="AJ6247">
        <v>84.660508513352895</v>
      </c>
      <c r="AK6247">
        <v>137.65531843103599</v>
      </c>
      <c r="AL6247">
        <v>92.161440616527699</v>
      </c>
      <c r="AM6247">
        <v>90.6756050121258</v>
      </c>
      <c r="AN6247">
        <v>1.0000000452193201</v>
      </c>
    </row>
    <row r="6248" spans="1:40" x14ac:dyDescent="0.25">
      <c r="A6248" t="str">
        <f>"20190303153933081"</f>
        <v>20190303153933081</v>
      </c>
      <c r="B6248" t="str">
        <f>"1551598773074229"</f>
        <v>1551598773074229</v>
      </c>
      <c r="C6248" t="s">
        <v>40</v>
      </c>
      <c r="D6248">
        <v>4.1483610000000004</v>
      </c>
      <c r="E6248">
        <v>0.54041269999999997</v>
      </c>
      <c r="F6248" t="s">
        <v>70</v>
      </c>
      <c r="G6248">
        <v>-511.92599999999999</v>
      </c>
      <c r="H6248">
        <v>2.2958449999999999</v>
      </c>
      <c r="I6248">
        <v>154.2133</v>
      </c>
      <c r="J6248">
        <v>-375.14</v>
      </c>
      <c r="K6248">
        <v>1.12083</v>
      </c>
      <c r="L6248">
        <v>141.1841</v>
      </c>
      <c r="M6248">
        <v>-0.99990950000000001</v>
      </c>
      <c r="N6248">
        <v>-1.3383549999999999E-2</v>
      </c>
      <c r="O6248">
        <v>1.4007329999999999E-3</v>
      </c>
      <c r="P6248">
        <v>-0.99863670000000004</v>
      </c>
      <c r="Q6248">
        <v>-5.1163029999999998E-2</v>
      </c>
      <c r="R6248">
        <v>-1.0344539999999999E-2</v>
      </c>
      <c r="S6248">
        <v>-3.008575</v>
      </c>
      <c r="T6248">
        <v>2.5795459999999999E-2</v>
      </c>
      <c r="U6248">
        <v>0.2860413</v>
      </c>
      <c r="V6248">
        <v>-1.178046E-2</v>
      </c>
      <c r="W6248">
        <v>-3.778186E-2</v>
      </c>
      <c r="X6248">
        <v>0.99921660000000001</v>
      </c>
      <c r="Y6248">
        <v>9.3256110000000003E-2</v>
      </c>
      <c r="Z6248">
        <v>2.5728030000000002E-4</v>
      </c>
      <c r="AA6248">
        <v>0.99564209999999997</v>
      </c>
      <c r="AB6248">
        <v>26</v>
      </c>
      <c r="AC6248">
        <v>-136.786</v>
      </c>
      <c r="AD6248">
        <v>1.1750149999999999</v>
      </c>
      <c r="AE6248">
        <v>13.029199999999999</v>
      </c>
      <c r="AF6248">
        <v>12.836630687024799</v>
      </c>
      <c r="AG6248">
        <v>1.1750149999999999</v>
      </c>
      <c r="AH6248">
        <v>136.79411443336201</v>
      </c>
      <c r="AI6248">
        <v>89.510013330428706</v>
      </c>
      <c r="AJ6248">
        <v>84.639116871081896</v>
      </c>
      <c r="AK6248">
        <v>137.40010731892801</v>
      </c>
      <c r="AL6248">
        <v>92.165256401004498</v>
      </c>
      <c r="AM6248">
        <v>90.675468530427693</v>
      </c>
      <c r="AN6248">
        <v>1.0000000309492101</v>
      </c>
    </row>
    <row r="6249" spans="1:40" x14ac:dyDescent="0.25">
      <c r="A6249" t="str">
        <f>"20190303153933103"</f>
        <v>20190303153933103</v>
      </c>
      <c r="B6249" t="str">
        <f>"1551598773095031"</f>
        <v>1551598773095031</v>
      </c>
      <c r="C6249" t="s">
        <v>40</v>
      </c>
      <c r="D6249">
        <v>4.1822839999999903</v>
      </c>
      <c r="E6249">
        <v>0.54008179999999995</v>
      </c>
      <c r="F6249" t="s">
        <v>70</v>
      </c>
      <c r="G6249">
        <v>-511.92599999999999</v>
      </c>
      <c r="H6249">
        <v>2.3038249999999998</v>
      </c>
      <c r="I6249">
        <v>154.2764</v>
      </c>
      <c r="J6249">
        <v>-375.40230000000003</v>
      </c>
      <c r="K6249">
        <v>1.1208389999999999</v>
      </c>
      <c r="L6249">
        <v>141.18510000000001</v>
      </c>
      <c r="M6249">
        <v>-0.99990760000000001</v>
      </c>
      <c r="N6249">
        <v>-1.3452830000000001E-2</v>
      </c>
      <c r="O6249">
        <v>1.9525149999999999E-3</v>
      </c>
      <c r="P6249">
        <v>-0.99858639999999999</v>
      </c>
      <c r="Q6249">
        <v>-5.2201419999999998E-2</v>
      </c>
      <c r="R6249">
        <v>-1.0012760000000001E-2</v>
      </c>
      <c r="S6249">
        <v>-3.0084230000000001</v>
      </c>
      <c r="T6249">
        <v>2.601933E-2</v>
      </c>
      <c r="U6249">
        <v>0.2879486</v>
      </c>
      <c r="V6249">
        <v>-1.2000139999999999E-2</v>
      </c>
      <c r="W6249">
        <v>-3.8751580000000001E-2</v>
      </c>
      <c r="X6249">
        <v>0.99917679999999998</v>
      </c>
      <c r="Y6249">
        <v>9.3337130000000004E-2</v>
      </c>
      <c r="Z6249">
        <v>2.6963209999999999E-4</v>
      </c>
      <c r="AA6249">
        <v>0.99563449999999998</v>
      </c>
      <c r="AB6249">
        <v>26</v>
      </c>
      <c r="AC6249">
        <v>-136.523699999999</v>
      </c>
      <c r="AD6249">
        <v>1.1829860000000001</v>
      </c>
      <c r="AE6249">
        <v>13.091299999999899</v>
      </c>
      <c r="AF6249">
        <v>12.823732269757601</v>
      </c>
      <c r="AG6249">
        <v>1.1829860000000001</v>
      </c>
      <c r="AH6249">
        <v>136.538844614363</v>
      </c>
      <c r="AI6249">
        <v>89.505771038438994</v>
      </c>
      <c r="AJ6249">
        <v>84.634518032341305</v>
      </c>
      <c r="AK6249">
        <v>137.14482729519099</v>
      </c>
      <c r="AL6249">
        <v>92.220858096136794</v>
      </c>
      <c r="AM6249">
        <v>90.688090756809501</v>
      </c>
      <c r="AN6249">
        <v>0.99999998298537696</v>
      </c>
    </row>
    <row r="6250" spans="1:40" x14ac:dyDescent="0.25">
      <c r="A6250" t="str">
        <f>"20190303153933125"</f>
        <v>20190303153933125</v>
      </c>
      <c r="B6250" t="str">
        <f>"1551598773114551"</f>
        <v>1551598773114551</v>
      </c>
      <c r="C6250" t="s">
        <v>40</v>
      </c>
      <c r="D6250">
        <v>4.1427809999999896</v>
      </c>
      <c r="E6250">
        <v>0.54009980000000002</v>
      </c>
      <c r="F6250" t="s">
        <v>70</v>
      </c>
      <c r="G6250">
        <v>-511.92579999999998</v>
      </c>
      <c r="H6250">
        <v>1.780427</v>
      </c>
      <c r="I6250">
        <v>154.1925</v>
      </c>
      <c r="J6250">
        <v>-375.64589999999998</v>
      </c>
      <c r="K6250">
        <v>1.1208400000000001</v>
      </c>
      <c r="L6250">
        <v>141.18610000000001</v>
      </c>
      <c r="M6250">
        <v>-0.99990579999999996</v>
      </c>
      <c r="N6250">
        <v>-1.350954E-2</v>
      </c>
      <c r="O6250">
        <v>2.4620089999999998E-3</v>
      </c>
      <c r="P6250">
        <v>-0.9985465</v>
      </c>
      <c r="Q6250">
        <v>-5.2981439999999998E-2</v>
      </c>
      <c r="R6250">
        <v>-9.9050639999999999E-3</v>
      </c>
      <c r="S6250">
        <v>-3.0078429999999998</v>
      </c>
      <c r="T6250">
        <v>1.45328E-2</v>
      </c>
      <c r="U6250">
        <v>0.28657529999999998</v>
      </c>
      <c r="V6250">
        <v>-1.240143E-2</v>
      </c>
      <c r="W6250">
        <v>-3.9475160000000002E-2</v>
      </c>
      <c r="X6250">
        <v>0.99914360000000002</v>
      </c>
      <c r="Y6250">
        <v>9.2397409999999999E-2</v>
      </c>
      <c r="Z6250">
        <v>4.4790109999999999E-4</v>
      </c>
      <c r="AA6250">
        <v>0.99572210000000005</v>
      </c>
      <c r="AB6250">
        <v>26</v>
      </c>
      <c r="AC6250">
        <v>-136.2799</v>
      </c>
      <c r="AD6250">
        <v>0.65958699999999904</v>
      </c>
      <c r="AE6250">
        <v>13.0063999999999</v>
      </c>
      <c r="AF6250">
        <v>12.6705135129988</v>
      </c>
      <c r="AG6250">
        <v>0.65958699999999904</v>
      </c>
      <c r="AH6250">
        <v>136.30834747939099</v>
      </c>
      <c r="AI6250">
        <v>89.723941778741803</v>
      </c>
      <c r="AJ6250">
        <v>84.689343628656303</v>
      </c>
      <c r="AK6250">
        <v>136.89756228748499</v>
      </c>
      <c r="AL6250">
        <v>92.262347868852004</v>
      </c>
      <c r="AM6250">
        <v>90.711122118374604</v>
      </c>
      <c r="AN6250">
        <v>1.00000000857201</v>
      </c>
    </row>
    <row r="6251" spans="1:40" x14ac:dyDescent="0.25">
      <c r="A6251" t="str">
        <f>"20190303153933140"</f>
        <v>20190303153933140</v>
      </c>
      <c r="B6251" t="str">
        <f>"1551598773135046"</f>
        <v>1551598773135046</v>
      </c>
      <c r="C6251" t="s">
        <v>40</v>
      </c>
      <c r="D6251">
        <v>4.1456879999999998</v>
      </c>
      <c r="E6251">
        <v>0.54014189999999995</v>
      </c>
      <c r="F6251" t="s">
        <v>70</v>
      </c>
      <c r="G6251">
        <v>-511.92579999999998</v>
      </c>
      <c r="H6251">
        <v>1.766856</v>
      </c>
      <c r="I6251">
        <v>154.19059999999999</v>
      </c>
      <c r="J6251">
        <v>-375.82190000000003</v>
      </c>
      <c r="K6251">
        <v>1.1208419999999999</v>
      </c>
      <c r="L6251">
        <v>141.18700000000001</v>
      </c>
      <c r="M6251">
        <v>-0.99990429999999997</v>
      </c>
      <c r="N6251">
        <v>-1.354618E-2</v>
      </c>
      <c r="O6251">
        <v>2.829079E-3</v>
      </c>
      <c r="P6251">
        <v>-0.99853080000000005</v>
      </c>
      <c r="Q6251">
        <v>-5.3292920000000001E-2</v>
      </c>
      <c r="R6251">
        <v>-9.8016969999999998E-3</v>
      </c>
      <c r="S6251">
        <v>-3.007965</v>
      </c>
      <c r="T6251">
        <v>1.4259819999999999E-2</v>
      </c>
      <c r="U6251">
        <v>0.28703309999999999</v>
      </c>
      <c r="V6251">
        <v>-1.2664750000000001E-2</v>
      </c>
      <c r="W6251">
        <v>-3.9750090000000002E-2</v>
      </c>
      <c r="X6251">
        <v>0.99912939999999995</v>
      </c>
      <c r="Y6251">
        <v>9.2178289999999996E-2</v>
      </c>
      <c r="Z6251">
        <v>4.5939050000000001E-4</v>
      </c>
      <c r="AA6251">
        <v>0.99574240000000003</v>
      </c>
      <c r="AB6251">
        <v>26</v>
      </c>
      <c r="AC6251">
        <v>-136.10389999999899</v>
      </c>
      <c r="AD6251">
        <v>0.64601399999999998</v>
      </c>
      <c r="AE6251">
        <v>13.003599999999899</v>
      </c>
      <c r="AF6251">
        <v>12.618182251218199</v>
      </c>
      <c r="AG6251">
        <v>0.64601399999999998</v>
      </c>
      <c r="AH6251">
        <v>136.13710752259601</v>
      </c>
      <c r="AI6251">
        <v>89.729275674429005</v>
      </c>
      <c r="AJ6251">
        <v>84.704538080344506</v>
      </c>
      <c r="AK6251">
        <v>136.72215585643801</v>
      </c>
      <c r="AL6251">
        <v>92.2781125637202</v>
      </c>
      <c r="AM6251">
        <v>90.726230119252406</v>
      </c>
      <c r="AN6251">
        <v>1.00000001174596</v>
      </c>
    </row>
    <row r="6252" spans="1:40" x14ac:dyDescent="0.25">
      <c r="A6252" t="str">
        <f>"20190303153933159"</f>
        <v>20190303153933159</v>
      </c>
      <c r="B6252" t="str">
        <f>"1551598773154567"</f>
        <v>1551598773154567</v>
      </c>
      <c r="C6252" t="s">
        <v>40</v>
      </c>
      <c r="D6252">
        <v>4.1201119999999998</v>
      </c>
      <c r="E6252">
        <v>0.5402941</v>
      </c>
      <c r="F6252" t="s">
        <v>70</v>
      </c>
      <c r="G6252">
        <v>-511.92579999999998</v>
      </c>
      <c r="H6252">
        <v>1.852441</v>
      </c>
      <c r="I6252">
        <v>154.1995</v>
      </c>
      <c r="J6252">
        <v>-376.03410000000002</v>
      </c>
      <c r="K6252">
        <v>1.120843</v>
      </c>
      <c r="L6252">
        <v>141.18809999999999</v>
      </c>
      <c r="M6252">
        <v>-0.99990239999999997</v>
      </c>
      <c r="N6252">
        <v>-1.3586269999999999E-2</v>
      </c>
      <c r="O6252">
        <v>3.2706279999999998E-3</v>
      </c>
      <c r="P6252">
        <v>-0.99852989999999997</v>
      </c>
      <c r="Q6252">
        <v>-5.3197179999999997E-2</v>
      </c>
      <c r="R6252">
        <v>-1.0412609999999999E-2</v>
      </c>
      <c r="S6252">
        <v>-3.0081180000000001</v>
      </c>
      <c r="T6252">
        <v>1.6170500000000001E-2</v>
      </c>
      <c r="U6252">
        <v>0.28759770000000001</v>
      </c>
      <c r="V6252">
        <v>-1.3716290000000001E-2</v>
      </c>
      <c r="W6252">
        <v>-3.9613460000000003E-2</v>
      </c>
      <c r="X6252">
        <v>0.99912100000000004</v>
      </c>
      <c r="Y6252">
        <v>9.1919210000000001E-2</v>
      </c>
      <c r="Z6252">
        <v>4.4124259999999999E-4</v>
      </c>
      <c r="AA6252">
        <v>0.99576629999999999</v>
      </c>
      <c r="AB6252">
        <v>26</v>
      </c>
      <c r="AC6252">
        <v>-135.89169999999899</v>
      </c>
      <c r="AD6252">
        <v>0.73159799999999997</v>
      </c>
      <c r="AE6252">
        <v>13.0114</v>
      </c>
      <c r="AF6252">
        <v>12.5664772729481</v>
      </c>
      <c r="AG6252">
        <v>0.73159799999999997</v>
      </c>
      <c r="AH6252">
        <v>135.92962842090901</v>
      </c>
      <c r="AI6252">
        <v>89.692936040051094</v>
      </c>
      <c r="AJ6252">
        <v>84.718110045829107</v>
      </c>
      <c r="AK6252">
        <v>136.511228363573</v>
      </c>
      <c r="AL6252">
        <v>92.270277943583196</v>
      </c>
      <c r="AM6252">
        <v>90.786527519479193</v>
      </c>
      <c r="AN6252">
        <v>1.0000000677327601</v>
      </c>
    </row>
    <row r="6253" spans="1:40" x14ac:dyDescent="0.25">
      <c r="A6253" t="str">
        <f>"20190303153933175"</f>
        <v>20190303153933175</v>
      </c>
      <c r="B6253" t="str">
        <f>"1551598773164328"</f>
        <v>1551598773164328</v>
      </c>
      <c r="C6253" t="s">
        <v>40</v>
      </c>
      <c r="D6253">
        <v>4.1233950000000004</v>
      </c>
      <c r="E6253">
        <v>0.54035669999999902</v>
      </c>
      <c r="F6253" t="s">
        <v>70</v>
      </c>
      <c r="G6253">
        <v>-511.92579999999998</v>
      </c>
      <c r="H6253">
        <v>1.9162140000000001</v>
      </c>
      <c r="I6253">
        <v>154.1516</v>
      </c>
      <c r="J6253">
        <v>-376.21710000000002</v>
      </c>
      <c r="K6253">
        <v>1.1208400000000001</v>
      </c>
      <c r="L6253">
        <v>141.1891</v>
      </c>
      <c r="M6253">
        <v>-0.99990069999999998</v>
      </c>
      <c r="N6253">
        <v>-1.361739E-2</v>
      </c>
      <c r="O6253">
        <v>3.6514439999999998E-3</v>
      </c>
      <c r="P6253">
        <v>-0.99852220000000003</v>
      </c>
      <c r="Q6253">
        <v>-5.3340169999999999E-2</v>
      </c>
      <c r="R6253">
        <v>-1.04035E-2</v>
      </c>
      <c r="S6253">
        <v>-3.0083920000000002</v>
      </c>
      <c r="T6253">
        <v>1.7609E-2</v>
      </c>
      <c r="U6253">
        <v>0.2869873</v>
      </c>
      <c r="V6253">
        <v>-1.4087830000000001E-2</v>
      </c>
      <c r="W6253">
        <v>-3.9725200000000002E-2</v>
      </c>
      <c r="X6253">
        <v>0.99911139999999998</v>
      </c>
      <c r="Y6253">
        <v>9.1331300000000004E-2</v>
      </c>
      <c r="Z6253">
        <v>4.2752749999999998E-4</v>
      </c>
      <c r="AA6253">
        <v>0.9958205</v>
      </c>
      <c r="AB6253">
        <v>26</v>
      </c>
      <c r="AC6253">
        <v>-135.708699999999</v>
      </c>
      <c r="AD6253">
        <v>0.79537399999999903</v>
      </c>
      <c r="AE6253">
        <v>12.9625</v>
      </c>
      <c r="AF6253">
        <v>12.466410593408201</v>
      </c>
      <c r="AG6253">
        <v>0.79537399999999903</v>
      </c>
      <c r="AH6253">
        <v>135.75051047364801</v>
      </c>
      <c r="AI6253">
        <v>89.665709508137098</v>
      </c>
      <c r="AJ6253">
        <v>84.753059075376299</v>
      </c>
      <c r="AK6253">
        <v>136.32404449230199</v>
      </c>
      <c r="AL6253">
        <v>92.276685202595104</v>
      </c>
      <c r="AM6253">
        <v>90.807837558236102</v>
      </c>
      <c r="AN6253">
        <v>1.00000007403955</v>
      </c>
    </row>
    <row r="6254" spans="1:40" x14ac:dyDescent="0.25">
      <c r="A6254" t="str">
        <f>"20190303153933193"</f>
        <v>20190303153933193</v>
      </c>
      <c r="B6254" t="str">
        <f>"1551598773184824"</f>
        <v>1551598773184824</v>
      </c>
      <c r="C6254" t="s">
        <v>40</v>
      </c>
      <c r="D6254">
        <v>4.1295679999999999</v>
      </c>
      <c r="E6254">
        <v>0.54048909999999994</v>
      </c>
      <c r="F6254" t="s">
        <v>70</v>
      </c>
      <c r="G6254">
        <v>-511.92579999999998</v>
      </c>
      <c r="H6254">
        <v>1.9745220000000001</v>
      </c>
      <c r="I6254">
        <v>154.15899999999999</v>
      </c>
      <c r="J6254">
        <v>-376.42380000000003</v>
      </c>
      <c r="K6254">
        <v>1.120841</v>
      </c>
      <c r="L6254">
        <v>141.19040000000001</v>
      </c>
      <c r="M6254">
        <v>-0.99989870000000003</v>
      </c>
      <c r="N6254">
        <v>-1.364888E-2</v>
      </c>
      <c r="O6254">
        <v>4.0814270000000003E-3</v>
      </c>
      <c r="P6254">
        <v>-0.99853190000000003</v>
      </c>
      <c r="Q6254">
        <v>-5.3130690000000001E-2</v>
      </c>
      <c r="R6254">
        <v>-1.057107E-2</v>
      </c>
      <c r="S6254">
        <v>-3.0084529999999998</v>
      </c>
      <c r="T6254">
        <v>1.8925790000000001E-2</v>
      </c>
      <c r="U6254">
        <v>0.28752139999999998</v>
      </c>
      <c r="V6254">
        <v>-1.4683959999999999E-2</v>
      </c>
      <c r="W6254">
        <v>-3.9483740000000003E-2</v>
      </c>
      <c r="X6254">
        <v>0.99911229999999995</v>
      </c>
      <c r="Y6254">
        <v>9.1076470000000007E-2</v>
      </c>
      <c r="Z6254">
        <v>4.1835880000000002E-4</v>
      </c>
      <c r="AA6254">
        <v>0.99584379999999995</v>
      </c>
      <c r="AB6254">
        <v>26</v>
      </c>
      <c r="AC6254">
        <v>-135.50199999999899</v>
      </c>
      <c r="AD6254">
        <v>0.85368100000000002</v>
      </c>
      <c r="AE6254">
        <v>12.968599999999901</v>
      </c>
      <c r="AF6254">
        <v>12.4149107249332</v>
      </c>
      <c r="AG6254">
        <v>0.85368100000000002</v>
      </c>
      <c r="AH6254">
        <v>135.54847518559001</v>
      </c>
      <c r="AI6254">
        <v>89.640661360928803</v>
      </c>
      <c r="AJ6254">
        <v>84.766869187360797</v>
      </c>
      <c r="AK6254">
        <v>136.11850684126799</v>
      </c>
      <c r="AL6254">
        <v>92.262839900824602</v>
      </c>
      <c r="AM6254">
        <v>90.8420158235906</v>
      </c>
      <c r="AN6254">
        <v>0.99999998620847896</v>
      </c>
    </row>
    <row r="6255" spans="1:40" x14ac:dyDescent="0.25">
      <c r="A6255" t="str">
        <f>"20190303153933214"</f>
        <v>20190303153933214</v>
      </c>
      <c r="B6255" t="str">
        <f>"1551598773204852"</f>
        <v>1551598773204852</v>
      </c>
      <c r="C6255" t="s">
        <v>40</v>
      </c>
      <c r="D6255">
        <v>4.1004690000000004</v>
      </c>
      <c r="E6255">
        <v>0.54053869999999904</v>
      </c>
      <c r="F6255" t="s">
        <v>70</v>
      </c>
      <c r="G6255">
        <v>-511.92590000000001</v>
      </c>
      <c r="H6255">
        <v>2.1267450000000001</v>
      </c>
      <c r="I6255">
        <v>154.16980000000001</v>
      </c>
      <c r="J6255">
        <v>-376.67759999999998</v>
      </c>
      <c r="K6255">
        <v>1.120846</v>
      </c>
      <c r="L6255">
        <v>141.19200000000001</v>
      </c>
      <c r="M6255">
        <v>-0.99989589999999995</v>
      </c>
      <c r="N6255">
        <v>-1.36824999999999E-2</v>
      </c>
      <c r="O6255">
        <v>4.6106879999999999E-3</v>
      </c>
      <c r="P6255">
        <v>-0.99850870000000003</v>
      </c>
      <c r="Q6255">
        <v>-5.3473130000000001E-2</v>
      </c>
      <c r="R6255">
        <v>-1.101398E-2</v>
      </c>
      <c r="S6255">
        <v>-3.008667</v>
      </c>
      <c r="T6255">
        <v>2.2335890000000001E-2</v>
      </c>
      <c r="U6255">
        <v>0.28819270000000002</v>
      </c>
      <c r="V6255">
        <v>-1.5655639999999998E-2</v>
      </c>
      <c r="W6255">
        <v>-3.9792139999999997E-2</v>
      </c>
      <c r="X6255">
        <v>0.99908529999999995</v>
      </c>
      <c r="Y6255">
        <v>9.0763070000000001E-2</v>
      </c>
      <c r="Z6255">
        <v>3.83335E-4</v>
      </c>
      <c r="AA6255">
        <v>0.99587239999999999</v>
      </c>
      <c r="AB6255">
        <v>26</v>
      </c>
      <c r="AC6255">
        <v>-135.2483</v>
      </c>
      <c r="AD6255">
        <v>1.0058989999999901</v>
      </c>
      <c r="AE6255">
        <v>12.9778</v>
      </c>
      <c r="AF6255">
        <v>12.3533389295907</v>
      </c>
      <c r="AG6255">
        <v>1.0058989999999901</v>
      </c>
      <c r="AH6255">
        <v>135.29928848220001</v>
      </c>
      <c r="AI6255">
        <v>89.575799826553407</v>
      </c>
      <c r="AJ6255">
        <v>84.7831422001547</v>
      </c>
      <c r="AK6255">
        <v>135.86579510420199</v>
      </c>
      <c r="AL6255">
        <v>92.280523842597205</v>
      </c>
      <c r="AM6255">
        <v>90.897749861146195</v>
      </c>
      <c r="AN6255">
        <v>0.999999975072839</v>
      </c>
    </row>
    <row r="6256" spans="1:40" x14ac:dyDescent="0.25">
      <c r="A6256" t="str">
        <f>"20190303153933237"</f>
        <v>20190303153933237</v>
      </c>
      <c r="B6256" t="str">
        <f>"1551598773224370"</f>
        <v>1551598773224370</v>
      </c>
      <c r="C6256" t="s">
        <v>40</v>
      </c>
      <c r="D6256">
        <v>4.0774509999999999</v>
      </c>
      <c r="E6256">
        <v>0.54052029999999995</v>
      </c>
      <c r="F6256" t="s">
        <v>70</v>
      </c>
      <c r="G6256">
        <v>-511.92590000000001</v>
      </c>
      <c r="H6256">
        <v>2.1627429999999999</v>
      </c>
      <c r="I6256">
        <v>154.10419999999999</v>
      </c>
      <c r="J6256">
        <v>-376.92770000000002</v>
      </c>
      <c r="K6256">
        <v>1.1208560000000001</v>
      </c>
      <c r="L6256">
        <v>141.19380000000001</v>
      </c>
      <c r="M6256">
        <v>-0.99989289999999997</v>
      </c>
      <c r="N6256">
        <v>-1.371091E-2</v>
      </c>
      <c r="O6256">
        <v>5.1324769999999999E-3</v>
      </c>
      <c r="P6256">
        <v>-0.99852240000000003</v>
      </c>
      <c r="Q6256">
        <v>-5.3220290000000003E-2</v>
      </c>
      <c r="R6256">
        <v>-1.0984010000000001E-2</v>
      </c>
      <c r="S6256">
        <v>-3.0089109999999999</v>
      </c>
      <c r="T6256">
        <v>2.3180369999999999E-2</v>
      </c>
      <c r="U6256">
        <v>0.28726200000000002</v>
      </c>
      <c r="V6256">
        <v>-1.614604E-2</v>
      </c>
      <c r="W6256">
        <v>-3.9510459999999997E-2</v>
      </c>
      <c r="X6256">
        <v>0.99908869999999905</v>
      </c>
      <c r="Y6256">
        <v>8.9930549999999998E-2</v>
      </c>
      <c r="Z6256">
        <v>3.8198129999999998E-4</v>
      </c>
      <c r="AA6256">
        <v>0.99594800000000006</v>
      </c>
      <c r="AB6256">
        <v>26</v>
      </c>
      <c r="AC6256">
        <v>-134.9982</v>
      </c>
      <c r="AD6256">
        <v>1.041887</v>
      </c>
      <c r="AE6256">
        <v>12.9103999999999</v>
      </c>
      <c r="AF6256">
        <v>12.2165686040411</v>
      </c>
      <c r="AG6256">
        <v>1.041887</v>
      </c>
      <c r="AH6256">
        <v>135.05471860732499</v>
      </c>
      <c r="AI6256">
        <v>89.559794570228803</v>
      </c>
      <c r="AJ6256">
        <v>84.831294733043904</v>
      </c>
      <c r="AK6256">
        <v>135.61012902833599</v>
      </c>
      <c r="AL6256">
        <v>92.264372006652493</v>
      </c>
      <c r="AM6256">
        <v>90.925863163326795</v>
      </c>
      <c r="AN6256">
        <v>1.0000000007623899</v>
      </c>
    </row>
    <row r="6257" spans="1:40" x14ac:dyDescent="0.25">
      <c r="A6257" t="str">
        <f>"20190303153933259"</f>
        <v>20190303153933259</v>
      </c>
      <c r="B6257" t="str">
        <f>"1551598773254626"</f>
        <v>1551598773254626</v>
      </c>
      <c r="C6257" t="s">
        <v>40</v>
      </c>
      <c r="D6257">
        <v>4.1264640000000004</v>
      </c>
      <c r="E6257">
        <v>0.54050390000000004</v>
      </c>
      <c r="F6257" t="s">
        <v>70</v>
      </c>
      <c r="G6257">
        <v>-511.92590000000001</v>
      </c>
      <c r="H6257">
        <v>2.2317529999999999</v>
      </c>
      <c r="I6257">
        <v>154.08760000000001</v>
      </c>
      <c r="J6257">
        <v>-377.18900000000002</v>
      </c>
      <c r="K6257">
        <v>1.120865</v>
      </c>
      <c r="L6257">
        <v>141.19579999999999</v>
      </c>
      <c r="M6257">
        <v>-0.99988969999999999</v>
      </c>
      <c r="N6257">
        <v>-1.3736470000000001E-2</v>
      </c>
      <c r="O6257">
        <v>5.6780069999999997E-3</v>
      </c>
      <c r="P6257">
        <v>-0.99854699999999996</v>
      </c>
      <c r="Q6257">
        <v>-5.2835350000000003E-2</v>
      </c>
      <c r="R6257">
        <v>-1.061519E-2</v>
      </c>
      <c r="S6257">
        <v>-3.0089109999999999</v>
      </c>
      <c r="T6257">
        <v>2.4761200000000001E-2</v>
      </c>
      <c r="U6257">
        <v>0.28738399999999997</v>
      </c>
      <c r="V6257">
        <v>-1.6322099999999999E-2</v>
      </c>
      <c r="W6257">
        <v>-3.9099670000000003E-2</v>
      </c>
      <c r="X6257">
        <v>0.99910200000000005</v>
      </c>
      <c r="Y6257">
        <v>8.9427339999999994E-2</v>
      </c>
      <c r="Z6257">
        <v>3.7294420000000001E-4</v>
      </c>
      <c r="AA6257">
        <v>0.99599329999999997</v>
      </c>
      <c r="AB6257">
        <v>26</v>
      </c>
      <c r="AC6257">
        <v>-134.73689999999999</v>
      </c>
      <c r="AD6257">
        <v>1.1108880000000001</v>
      </c>
      <c r="AE6257">
        <v>12.8918</v>
      </c>
      <c r="AF6257">
        <v>12.125666227673999</v>
      </c>
      <c r="AG6257">
        <v>1.1108880000000001</v>
      </c>
      <c r="AH6257">
        <v>134.798854047247</v>
      </c>
      <c r="AI6257">
        <v>89.529730362944605</v>
      </c>
      <c r="AJ6257">
        <v>84.859862484197606</v>
      </c>
      <c r="AK6257">
        <v>135.34768895723499</v>
      </c>
      <c r="AL6257">
        <v>92.240817271465403</v>
      </c>
      <c r="AM6257">
        <v>90.935944737071196</v>
      </c>
      <c r="AN6257">
        <v>1.0000000007732499</v>
      </c>
    </row>
    <row r="6258" spans="1:40" x14ac:dyDescent="0.25">
      <c r="A6258" t="str">
        <f>"20190303153933281"</f>
        <v>20190303153933281</v>
      </c>
      <c r="B6258" t="str">
        <f>"1551598773275122"</f>
        <v>1551598773275122</v>
      </c>
      <c r="C6258" t="s">
        <v>40</v>
      </c>
      <c r="D6258">
        <v>4.0651669999999998</v>
      </c>
      <c r="E6258">
        <v>0.52241870000000001</v>
      </c>
      <c r="F6258" t="s">
        <v>70</v>
      </c>
      <c r="G6258">
        <v>-511.92599999999999</v>
      </c>
      <c r="H6258">
        <v>2.3535550000000001</v>
      </c>
      <c r="I6258">
        <v>154.11369999999999</v>
      </c>
      <c r="J6258">
        <v>-377.44220000000001</v>
      </c>
      <c r="K6258">
        <v>1.120879</v>
      </c>
      <c r="L6258">
        <v>141.1979</v>
      </c>
      <c r="M6258">
        <v>-0.99988619999999995</v>
      </c>
      <c r="N6258">
        <v>-1.3757709999999999E-2</v>
      </c>
      <c r="O6258">
        <v>6.2069389999999999E-3</v>
      </c>
      <c r="P6258">
        <v>-0.99857569999999996</v>
      </c>
      <c r="Q6258">
        <v>-5.2430730000000002E-2</v>
      </c>
      <c r="R6258">
        <v>-9.8802049999999995E-3</v>
      </c>
      <c r="S6258">
        <v>-3.0089419999999998</v>
      </c>
      <c r="T6258">
        <v>2.7529359999999999E-2</v>
      </c>
      <c r="U6258">
        <v>0.28848269999999998</v>
      </c>
      <c r="V6258">
        <v>-1.6114650000000001E-2</v>
      </c>
      <c r="W6258">
        <v>-3.8673739999999998E-2</v>
      </c>
      <c r="X6258">
        <v>0.99912199999999995</v>
      </c>
      <c r="Y6258">
        <v>8.9259969999999994E-2</v>
      </c>
      <c r="Z6258">
        <v>3.4990519999999998E-4</v>
      </c>
      <c r="AA6258">
        <v>0.99600829999999996</v>
      </c>
      <c r="AB6258">
        <v>26</v>
      </c>
      <c r="AC6258">
        <v>-134.48379999999901</v>
      </c>
      <c r="AD6258">
        <v>1.2326760000000001</v>
      </c>
      <c r="AE6258">
        <v>12.9157999999999</v>
      </c>
      <c r="AF6258">
        <v>12.0797338848745</v>
      </c>
      <c r="AG6258">
        <v>1.2326760000000001</v>
      </c>
      <c r="AH6258">
        <v>134.55018313085699</v>
      </c>
      <c r="AI6258">
        <v>89.477204318754204</v>
      </c>
      <c r="AJ6258">
        <v>84.869816172737004</v>
      </c>
      <c r="AK6258">
        <v>135.096969771337</v>
      </c>
      <c r="AL6258">
        <v>92.216394686064604</v>
      </c>
      <c r="AM6258">
        <v>90.924032684423494</v>
      </c>
      <c r="AN6258">
        <v>1.0000000554971</v>
      </c>
    </row>
    <row r="6259" spans="1:40" x14ac:dyDescent="0.25">
      <c r="A6259" t="str">
        <f>"20190303153933304"</f>
        <v>20190303153933304</v>
      </c>
      <c r="B6259" t="str">
        <f>"1551598773295150"</f>
        <v>1551598773295150</v>
      </c>
      <c r="C6259" t="s">
        <v>40</v>
      </c>
      <c r="D6259">
        <v>4.0650180000000002</v>
      </c>
      <c r="E6259">
        <v>0.5159724</v>
      </c>
      <c r="F6259" t="s">
        <v>46</v>
      </c>
      <c r="G6259">
        <v>0</v>
      </c>
      <c r="H6259">
        <v>0</v>
      </c>
      <c r="I6259">
        <v>0</v>
      </c>
      <c r="J6259">
        <v>-377.69909999999999</v>
      </c>
      <c r="K6259">
        <v>1.1208819999999999</v>
      </c>
      <c r="L6259">
        <v>141.20009999999999</v>
      </c>
      <c r="M6259">
        <v>-0.9998823</v>
      </c>
      <c r="N6259">
        <v>-1.377602E-2</v>
      </c>
      <c r="O6259">
        <v>6.7435200000000002E-3</v>
      </c>
      <c r="P6259">
        <v>-0.99862309999999999</v>
      </c>
      <c r="Q6259">
        <v>-5.1745810000000003E-2</v>
      </c>
      <c r="R6259">
        <v>-8.6226419999999998E-3</v>
      </c>
      <c r="S6259">
        <v>-3.0077820000000002</v>
      </c>
      <c r="T6259">
        <v>3.8837549999999998E-2</v>
      </c>
      <c r="U6259">
        <v>0.14619450000000001</v>
      </c>
      <c r="V6259">
        <v>-1.539281E-2</v>
      </c>
      <c r="W6259">
        <v>-3.7970660000000003E-2</v>
      </c>
      <c r="X6259">
        <v>0.9991603</v>
      </c>
      <c r="Y6259">
        <v>4.1813419999999997E-2</v>
      </c>
      <c r="Z6259">
        <v>1.982702E-4</v>
      </c>
      <c r="AA6259">
        <v>0.99912540000000005</v>
      </c>
      <c r="AB6259">
        <v>25</v>
      </c>
      <c r="AC6259">
        <v>-3.0077820000000002</v>
      </c>
      <c r="AD6259">
        <v>3.8837549999999998E-2</v>
      </c>
      <c r="AE6259">
        <v>0.14619450000000001</v>
      </c>
      <c r="AF6259">
        <v>0.125885271648143</v>
      </c>
      <c r="AG6259">
        <v>3.8837549999999998E-2</v>
      </c>
      <c r="AH6259">
        <v>3.0081991841749001</v>
      </c>
      <c r="AI6259">
        <v>89.260966974564099</v>
      </c>
      <c r="AJ6259">
        <v>87.603719552445995</v>
      </c>
      <c r="AK6259">
        <v>3.0110824944824199</v>
      </c>
      <c r="AL6259">
        <v>92.176081662988295</v>
      </c>
      <c r="AM6259">
        <v>90.882614416529293</v>
      </c>
      <c r="AN6259">
        <v>1.00000000735831</v>
      </c>
    </row>
    <row r="6260" spans="1:40" x14ac:dyDescent="0.25">
      <c r="A6260" t="str">
        <f>"20190303153933326"</f>
        <v>20190303153933326</v>
      </c>
      <c r="B6260" t="str">
        <f>"1551598773314670"</f>
        <v>1551598773314670</v>
      </c>
      <c r="C6260" t="s">
        <v>40</v>
      </c>
      <c r="D6260">
        <v>4.0660749999999997</v>
      </c>
      <c r="E6260">
        <v>0.51344369999999995</v>
      </c>
      <c r="F6260" t="s">
        <v>46</v>
      </c>
      <c r="G6260">
        <v>0</v>
      </c>
      <c r="H6260">
        <v>0</v>
      </c>
      <c r="I6260">
        <v>0</v>
      </c>
      <c r="J6260">
        <v>-377.94229999999999</v>
      </c>
      <c r="K6260">
        <v>1.120887</v>
      </c>
      <c r="L6260">
        <v>141.20230000000001</v>
      </c>
      <c r="M6260">
        <v>-0.99987870000000001</v>
      </c>
      <c r="N6260">
        <v>-1.379068E-2</v>
      </c>
      <c r="O6260">
        <v>7.2513959999999898E-3</v>
      </c>
      <c r="P6260">
        <v>-0.99859489999999995</v>
      </c>
      <c r="Q6260">
        <v>-5.2607189999999998E-2</v>
      </c>
      <c r="R6260">
        <v>-6.4045550000000001E-3</v>
      </c>
      <c r="S6260">
        <v>-3.0053100000000001</v>
      </c>
      <c r="T6260">
        <v>5.8380369999999999E-3</v>
      </c>
      <c r="U6260">
        <v>9.9060060000000005E-2</v>
      </c>
      <c r="V6260">
        <v>-1.3682410000000001E-2</v>
      </c>
      <c r="W6260">
        <v>-3.8819220000000002E-2</v>
      </c>
      <c r="X6260">
        <v>0.99915259999999995</v>
      </c>
      <c r="Y6260">
        <v>2.569596E-2</v>
      </c>
      <c r="Z6260">
        <v>2.6635059999999998E-4</v>
      </c>
      <c r="AA6260">
        <v>0.99966980000000005</v>
      </c>
      <c r="AB6260">
        <v>25</v>
      </c>
      <c r="AC6260">
        <v>-3.0053100000000001</v>
      </c>
      <c r="AD6260">
        <v>5.8380369999999999E-3</v>
      </c>
      <c r="AE6260">
        <v>9.9060060000000005E-2</v>
      </c>
      <c r="AF6260">
        <v>7.7262400264081196E-2</v>
      </c>
      <c r="AG6260">
        <v>5.8380369999999999E-3</v>
      </c>
      <c r="AH6260">
        <v>3.0059380313183399</v>
      </c>
      <c r="AI6260">
        <v>89.8887588438118</v>
      </c>
      <c r="AJ6260">
        <v>88.527635991798107</v>
      </c>
      <c r="AK6260">
        <v>3.0069364824180398</v>
      </c>
      <c r="AL6260">
        <v>92.224736398259907</v>
      </c>
      <c r="AM6260">
        <v>90.784560185058098</v>
      </c>
      <c r="AN6260">
        <v>1.00000002913578</v>
      </c>
    </row>
    <row r="6261" spans="1:40" x14ac:dyDescent="0.25">
      <c r="A6261" t="str">
        <f>"20190303153933348"</f>
        <v>20190303153933348</v>
      </c>
      <c r="B6261" t="str">
        <f>"1551598773344926"</f>
        <v>1551598773344926</v>
      </c>
      <c r="C6261" t="s">
        <v>40</v>
      </c>
      <c r="D6261">
        <v>4.0442539999999996</v>
      </c>
      <c r="E6261">
        <v>0.51241119999999996</v>
      </c>
      <c r="F6261" t="s">
        <v>46</v>
      </c>
      <c r="G6261">
        <v>0</v>
      </c>
      <c r="H6261">
        <v>0</v>
      </c>
      <c r="I6261">
        <v>0</v>
      </c>
      <c r="J6261">
        <v>-378.19889999999998</v>
      </c>
      <c r="K6261">
        <v>1.1208880000000001</v>
      </c>
      <c r="L6261">
        <v>141.20480000000001</v>
      </c>
      <c r="M6261">
        <v>-0.99987459999999995</v>
      </c>
      <c r="N6261">
        <v>-1.380377E-2</v>
      </c>
      <c r="O6261">
        <v>7.7815969999999899E-3</v>
      </c>
      <c r="P6261">
        <v>-0.99860159999999998</v>
      </c>
      <c r="Q6261">
        <v>-5.2712670000000003E-2</v>
      </c>
      <c r="R6261">
        <v>-4.0411379999999997E-3</v>
      </c>
      <c r="S6261">
        <v>-3.0045470000000001</v>
      </c>
      <c r="T6261">
        <v>-4.2864080000000002E-3</v>
      </c>
      <c r="U6261">
        <v>8.5876460000000002E-2</v>
      </c>
      <c r="V6261">
        <v>-1.184808E-2</v>
      </c>
      <c r="W6261">
        <v>-3.8913160000000002E-2</v>
      </c>
      <c r="X6261">
        <v>0.99917230000000001</v>
      </c>
      <c r="Y6261">
        <v>2.0790840000000001E-2</v>
      </c>
      <c r="Z6261">
        <v>2.5466429999999998E-4</v>
      </c>
      <c r="AA6261">
        <v>0.9997838</v>
      </c>
      <c r="AB6261">
        <v>25</v>
      </c>
      <c r="AC6261">
        <v>-3.0045470000000001</v>
      </c>
      <c r="AD6261">
        <v>-4.2864080000000002E-3</v>
      </c>
      <c r="AE6261">
        <v>8.5876460000000002E-2</v>
      </c>
      <c r="AF6261">
        <v>6.2491334275412702E-2</v>
      </c>
      <c r="AG6261">
        <v>-4.2864080000000002E-3</v>
      </c>
      <c r="AH6261">
        <v>3.0051182220100099</v>
      </c>
      <c r="AI6261">
        <v>90.081707213929704</v>
      </c>
      <c r="AJ6261">
        <v>88.808707852733505</v>
      </c>
      <c r="AK6261">
        <v>3.00577096073697</v>
      </c>
      <c r="AL6261">
        <v>92.230123014406004</v>
      </c>
      <c r="AM6261">
        <v>90.679375483716001</v>
      </c>
      <c r="AN6261">
        <v>0.99999994805407899</v>
      </c>
    </row>
    <row r="6262" spans="1:40" x14ac:dyDescent="0.25">
      <c r="A6262" t="str">
        <f>"20190303153933372"</f>
        <v>20190303153933372</v>
      </c>
      <c r="B6262" t="str">
        <f>"1551598773364446"</f>
        <v>1551598773364446</v>
      </c>
      <c r="C6262" t="s">
        <v>40</v>
      </c>
      <c r="D6262">
        <v>4.0669209999999998</v>
      </c>
      <c r="E6262">
        <v>0.51181999999999905</v>
      </c>
      <c r="F6262" t="s">
        <v>46</v>
      </c>
      <c r="G6262">
        <v>0</v>
      </c>
      <c r="H6262">
        <v>0</v>
      </c>
      <c r="I6262">
        <v>0</v>
      </c>
      <c r="J6262">
        <v>-378.45460000000003</v>
      </c>
      <c r="K6262">
        <v>1.120887</v>
      </c>
      <c r="L6262">
        <v>141.20740000000001</v>
      </c>
      <c r="M6262">
        <v>-0.99987020000000004</v>
      </c>
      <c r="N6262">
        <v>-1.3814480000000001E-2</v>
      </c>
      <c r="O6262">
        <v>8.294137E-3</v>
      </c>
      <c r="P6262">
        <v>-0.99866779999999999</v>
      </c>
      <c r="Q6262">
        <v>-5.1538529999999999E-2</v>
      </c>
      <c r="R6262">
        <v>-2.5648820000000001E-3</v>
      </c>
      <c r="S6262">
        <v>-3.004578</v>
      </c>
      <c r="T6262">
        <v>4.9185750000000001E-4</v>
      </c>
      <c r="U6262">
        <v>8.467102E-2</v>
      </c>
      <c r="V6262">
        <v>-1.088282E-2</v>
      </c>
      <c r="W6262">
        <v>-3.7728579999999998E-2</v>
      </c>
      <c r="X6262">
        <v>0.99922880000000003</v>
      </c>
      <c r="Y6262">
        <v>1.9877720000000001E-2</v>
      </c>
      <c r="Z6262">
        <v>2.5163079999999998E-4</v>
      </c>
      <c r="AA6262">
        <v>0.99980239999999998</v>
      </c>
      <c r="AB6262">
        <v>25</v>
      </c>
      <c r="AC6262">
        <v>-3.004578</v>
      </c>
      <c r="AD6262">
        <v>4.9185750000000001E-4</v>
      </c>
      <c r="AE6262">
        <v>8.467102E-2</v>
      </c>
      <c r="AF6262">
        <v>5.9745346235175099E-2</v>
      </c>
      <c r="AG6262">
        <v>4.9185750000000001E-4</v>
      </c>
      <c r="AH6262">
        <v>3.0051768915435702</v>
      </c>
      <c r="AI6262">
        <v>89.990624248756305</v>
      </c>
      <c r="AJ6262">
        <v>88.861063618420701</v>
      </c>
      <c r="AK6262">
        <v>3.00577076600795</v>
      </c>
      <c r="AL6262">
        <v>92.162201488334205</v>
      </c>
      <c r="AM6262">
        <v>90.623996228367304</v>
      </c>
      <c r="AN6262">
        <v>1.0000000381347001</v>
      </c>
    </row>
    <row r="6263" spans="1:40" x14ac:dyDescent="0.25">
      <c r="A6263" t="str">
        <f>"20190303153933394"</f>
        <v>20190303153933394</v>
      </c>
      <c r="B6263" t="str">
        <f>"1551598773384942"</f>
        <v>1551598773384942</v>
      </c>
      <c r="C6263" t="s">
        <v>40</v>
      </c>
      <c r="D6263">
        <v>4.0393720000000002</v>
      </c>
      <c r="E6263">
        <v>0.51128099999999999</v>
      </c>
      <c r="F6263" t="s">
        <v>46</v>
      </c>
      <c r="G6263">
        <v>0</v>
      </c>
      <c r="H6263">
        <v>0</v>
      </c>
      <c r="I6263">
        <v>0</v>
      </c>
      <c r="J6263">
        <v>-378.71210000000002</v>
      </c>
      <c r="K6263">
        <v>1.12090499999999</v>
      </c>
      <c r="L6263">
        <v>141.21010000000001</v>
      </c>
      <c r="M6263">
        <v>-0.99986609999999998</v>
      </c>
      <c r="N6263">
        <v>-1.382329E-2</v>
      </c>
      <c r="O6263">
        <v>8.7833019999999998E-3</v>
      </c>
      <c r="P6263">
        <v>-0.998749</v>
      </c>
      <c r="Q6263">
        <v>-4.9964939999999999E-2</v>
      </c>
      <c r="R6263">
        <v>-2.041218E-3</v>
      </c>
      <c r="S6263">
        <v>-3.0042110000000002</v>
      </c>
      <c r="T6263" s="1">
        <v>7.4625019999999999E-5</v>
      </c>
      <c r="U6263">
        <v>8.4320069999999997E-2</v>
      </c>
      <c r="V6263">
        <v>-1.084534E-2</v>
      </c>
      <c r="W6263">
        <v>-3.6145709999999998E-2</v>
      </c>
      <c r="X6263">
        <v>0.9992877</v>
      </c>
      <c r="Y6263">
        <v>1.9275319999999999E-2</v>
      </c>
      <c r="Z6263">
        <v>2.5463649999999999E-4</v>
      </c>
      <c r="AA6263">
        <v>0.99981419999999999</v>
      </c>
      <c r="AB6263">
        <v>25</v>
      </c>
      <c r="AC6263">
        <v>-3.0042110000000002</v>
      </c>
      <c r="AD6263" s="1">
        <v>7.4625019999999999E-5</v>
      </c>
      <c r="AE6263">
        <v>8.4320069999999997E-2</v>
      </c>
      <c r="AF6263">
        <v>5.7927408800758001E-2</v>
      </c>
      <c r="AG6263" s="1">
        <v>7.4625019999999999E-5</v>
      </c>
      <c r="AH6263">
        <v>3.0048357710360198</v>
      </c>
      <c r="AI6263">
        <v>89.998577325111796</v>
      </c>
      <c r="AJ6263">
        <v>88.895585241367897</v>
      </c>
      <c r="AK6263">
        <v>3.00539408416881</v>
      </c>
      <c r="AL6263">
        <v>92.071447817015098</v>
      </c>
      <c r="AM6263">
        <v>90.621810729139099</v>
      </c>
      <c r="AN6263">
        <v>1.0000000205612001</v>
      </c>
    </row>
    <row r="6264" spans="1:40" x14ac:dyDescent="0.25">
      <c r="A6264" t="str">
        <f>"20190303153933415"</f>
        <v>20190303153933415</v>
      </c>
      <c r="B6264" t="str">
        <f>"1551598773404968"</f>
        <v>1551598773404968</v>
      </c>
      <c r="C6264" t="s">
        <v>40</v>
      </c>
      <c r="D6264">
        <v>4.0323140000000004</v>
      </c>
      <c r="E6264">
        <v>0.51120920000000003</v>
      </c>
      <c r="F6264" t="s">
        <v>46</v>
      </c>
      <c r="G6264">
        <v>0</v>
      </c>
      <c r="H6264">
        <v>0</v>
      </c>
      <c r="I6264">
        <v>0</v>
      </c>
      <c r="J6264">
        <v>-378.95870000000002</v>
      </c>
      <c r="K6264">
        <v>1.120919</v>
      </c>
      <c r="L6264">
        <v>141.21279999999999</v>
      </c>
      <c r="M6264">
        <v>-0.99986180000000002</v>
      </c>
      <c r="N6264">
        <v>-1.383008E-2</v>
      </c>
      <c r="O6264">
        <v>9.2250849999999992E-3</v>
      </c>
      <c r="P6264">
        <v>-0.99872539999999999</v>
      </c>
      <c r="Q6264">
        <v>-5.0453350000000001E-2</v>
      </c>
      <c r="R6264">
        <v>-1.4979660000000001E-3</v>
      </c>
      <c r="S6264">
        <v>-3.0040279999999999</v>
      </c>
      <c r="T6264">
        <v>2.2306439999999999E-3</v>
      </c>
      <c r="U6264">
        <v>8.1619259999999999E-2</v>
      </c>
      <c r="V6264">
        <v>-1.0741270000000001E-2</v>
      </c>
      <c r="W6264">
        <v>-3.6628290000000001E-2</v>
      </c>
      <c r="X6264">
        <v>0.99927120000000003</v>
      </c>
      <c r="Y6264">
        <v>1.793726E-2</v>
      </c>
      <c r="Z6264">
        <v>2.5182690000000001E-4</v>
      </c>
      <c r="AA6264">
        <v>0.99983909999999998</v>
      </c>
      <c r="AB6264">
        <v>25</v>
      </c>
      <c r="AC6264">
        <v>-3.0040279999999999</v>
      </c>
      <c r="AD6264">
        <v>2.2306439999999999E-3</v>
      </c>
      <c r="AE6264">
        <v>8.1619259999999999E-2</v>
      </c>
      <c r="AF6264">
        <v>5.39006921546804E-2</v>
      </c>
      <c r="AG6264">
        <v>2.2306439999999999E-3</v>
      </c>
      <c r="AH6264">
        <v>3.0046515092827502</v>
      </c>
      <c r="AI6264">
        <v>89.957470640722306</v>
      </c>
      <c r="AJ6264">
        <v>88.972276502959502</v>
      </c>
      <c r="AK6264">
        <v>3.0051357627605602</v>
      </c>
      <c r="AL6264">
        <v>92.0991160451849</v>
      </c>
      <c r="AM6264">
        <v>90.615854571162103</v>
      </c>
      <c r="AN6264">
        <v>0.99999996882948805</v>
      </c>
    </row>
    <row r="6265" spans="1:40" x14ac:dyDescent="0.25">
      <c r="A6265" t="str">
        <f>"20190303153933438"</f>
        <v>20190303153933438</v>
      </c>
      <c r="B6265" t="str">
        <f>"1551598773424488"</f>
        <v>1551598773424488</v>
      </c>
      <c r="C6265" t="s">
        <v>40</v>
      </c>
      <c r="D6265">
        <v>4.0571999999999999</v>
      </c>
      <c r="E6265">
        <v>0.51106980000000002</v>
      </c>
      <c r="F6265" t="s">
        <v>46</v>
      </c>
      <c r="G6265">
        <v>0</v>
      </c>
      <c r="H6265">
        <v>0</v>
      </c>
      <c r="I6265">
        <v>0</v>
      </c>
      <c r="J6265">
        <v>-379.20639999999997</v>
      </c>
      <c r="K6265">
        <v>1.120933</v>
      </c>
      <c r="L6265">
        <v>141.21559999999999</v>
      </c>
      <c r="M6265">
        <v>-0.99985809999999997</v>
      </c>
      <c r="N6265">
        <v>-1.3835800000000001E-2</v>
      </c>
      <c r="O6265">
        <v>9.6299509999999994E-3</v>
      </c>
      <c r="P6265">
        <v>-0.99861279999999997</v>
      </c>
      <c r="Q6265">
        <v>-5.2653190000000002E-2</v>
      </c>
      <c r="R6265">
        <v>-6.7909019999999999E-4</v>
      </c>
      <c r="S6265">
        <v>-3.0042420000000001</v>
      </c>
      <c r="T6265">
        <v>5.6048629999999999E-3</v>
      </c>
      <c r="U6265">
        <v>8.2565310000000003E-2</v>
      </c>
      <c r="V6265">
        <v>-1.032491E-2</v>
      </c>
      <c r="W6265">
        <v>-3.882476E-2</v>
      </c>
      <c r="X6265">
        <v>0.99919270000000004</v>
      </c>
      <c r="Y6265">
        <v>1.7845409999999999E-2</v>
      </c>
      <c r="Z6265">
        <v>2.580239E-4</v>
      </c>
      <c r="AA6265">
        <v>0.99984070000000003</v>
      </c>
      <c r="AB6265">
        <v>25</v>
      </c>
      <c r="AC6265">
        <v>-3.0042420000000001</v>
      </c>
      <c r="AD6265">
        <v>5.6048629999999999E-3</v>
      </c>
      <c r="AE6265">
        <v>8.2565310000000003E-2</v>
      </c>
      <c r="AF6265">
        <v>5.3627827108969198E-2</v>
      </c>
      <c r="AG6265">
        <v>5.6048629999999999E-3</v>
      </c>
      <c r="AH6265">
        <v>3.0048873943108498</v>
      </c>
      <c r="AI6265">
        <v>89.893146248088698</v>
      </c>
      <c r="AJ6265">
        <v>88.977558359691798</v>
      </c>
      <c r="AK6265">
        <v>3.0053711269688299</v>
      </c>
      <c r="AL6265">
        <v>92.225054101732795</v>
      </c>
      <c r="AM6265">
        <v>90.592030659239597</v>
      </c>
      <c r="AN6265">
        <v>1.0000000087444201</v>
      </c>
    </row>
    <row r="6266" spans="1:40" x14ac:dyDescent="0.25">
      <c r="A6266" t="str">
        <f>"20190303153933460"</f>
        <v>20190303153933460</v>
      </c>
      <c r="B6266" t="str">
        <f>"1551598773454756"</f>
        <v>1551598773454756</v>
      </c>
      <c r="C6266" t="s">
        <v>40</v>
      </c>
      <c r="D6266">
        <v>4.058935</v>
      </c>
      <c r="E6266">
        <v>0.51086620000000005</v>
      </c>
      <c r="F6266" t="s">
        <v>46</v>
      </c>
      <c r="G6266">
        <v>0</v>
      </c>
      <c r="H6266">
        <v>0</v>
      </c>
      <c r="I6266">
        <v>0</v>
      </c>
      <c r="J6266">
        <v>-379.46260000000001</v>
      </c>
      <c r="K6266">
        <v>1.1209530000000001</v>
      </c>
      <c r="L6266">
        <v>141.21860000000001</v>
      </c>
      <c r="M6266">
        <v>-0.99985429999999997</v>
      </c>
      <c r="N6266">
        <v>-1.3840659999999999E-2</v>
      </c>
      <c r="O6266">
        <v>9.9995599999999994E-3</v>
      </c>
      <c r="P6266">
        <v>-0.99840839999999997</v>
      </c>
      <c r="Q6266">
        <v>-5.6399480000000002E-2</v>
      </c>
      <c r="R6266" s="1">
        <v>2.1904819999999999E-5</v>
      </c>
      <c r="S6266">
        <v>-3.0043639999999998</v>
      </c>
      <c r="T6266">
        <v>2.5675300000000002E-3</v>
      </c>
      <c r="U6266">
        <v>8.4014889999999995E-2</v>
      </c>
      <c r="V6266">
        <v>-9.9903470000000001E-3</v>
      </c>
      <c r="W6266">
        <v>-4.256969E-2</v>
      </c>
      <c r="X6266">
        <v>0.99904349999999997</v>
      </c>
      <c r="Y6266">
        <v>1.7956529999999998E-2</v>
      </c>
      <c r="Z6266">
        <v>2.6355349999999998E-4</v>
      </c>
      <c r="AA6266">
        <v>0.99983869999999997</v>
      </c>
      <c r="AB6266">
        <v>25</v>
      </c>
      <c r="AC6266">
        <v>-3.0043639999999998</v>
      </c>
      <c r="AD6266">
        <v>2.5675300000000002E-3</v>
      </c>
      <c r="AE6266">
        <v>8.4014889999999995E-2</v>
      </c>
      <c r="AF6266">
        <v>5.3965455977932897E-2</v>
      </c>
      <c r="AG6266">
        <v>2.5675300000000002E-3</v>
      </c>
      <c r="AH6266">
        <v>3.0050517618491401</v>
      </c>
      <c r="AI6266">
        <v>89.951054127108307</v>
      </c>
      <c r="AJ6266">
        <v>88.971178938468896</v>
      </c>
      <c r="AK6266">
        <v>3.00553738190724</v>
      </c>
      <c r="AL6266">
        <v>92.439800964868795</v>
      </c>
      <c r="AM6266">
        <v>90.572933651332093</v>
      </c>
      <c r="AN6266">
        <v>0.99999995021606203</v>
      </c>
    </row>
    <row r="6267" spans="1:40" x14ac:dyDescent="0.25">
      <c r="A6267" t="str">
        <f>"20190303153933483"</f>
        <v>20190303153933483</v>
      </c>
      <c r="B6267" t="str">
        <f>"1551598773475244"</f>
        <v>1551598773475244</v>
      </c>
      <c r="C6267" t="s">
        <v>40</v>
      </c>
      <c r="D6267">
        <v>4.0765140000000004</v>
      </c>
      <c r="E6267">
        <v>0.51072010000000001</v>
      </c>
      <c r="F6267" t="s">
        <v>46</v>
      </c>
      <c r="G6267">
        <v>0</v>
      </c>
      <c r="H6267">
        <v>0</v>
      </c>
      <c r="I6267">
        <v>0</v>
      </c>
      <c r="J6267">
        <v>-379.71260000000001</v>
      </c>
      <c r="K6267">
        <v>1.120986</v>
      </c>
      <c r="L6267">
        <v>141.22149999999999</v>
      </c>
      <c r="M6267">
        <v>-0.99985100000000005</v>
      </c>
      <c r="N6267">
        <v>-1.384431E-2</v>
      </c>
      <c r="O6267">
        <v>1.03126E-2</v>
      </c>
      <c r="P6267">
        <v>-0.99823609999999896</v>
      </c>
      <c r="Q6267">
        <v>-5.9368860000000002E-2</v>
      </c>
      <c r="R6267">
        <v>2.8637589999999999E-4</v>
      </c>
      <c r="S6267">
        <v>-3.0044559999999998</v>
      </c>
      <c r="T6267">
        <v>-5.7971480000000002E-3</v>
      </c>
      <c r="U6267">
        <v>8.4457400000000002E-2</v>
      </c>
      <c r="V6267">
        <v>-1.003476E-2</v>
      </c>
      <c r="W6267">
        <v>-4.5538339999999997E-2</v>
      </c>
      <c r="X6267">
        <v>0.99891220000000003</v>
      </c>
      <c r="Y6267">
        <v>1.7789070000000001E-2</v>
      </c>
      <c r="Z6267">
        <v>2.6319249999999999E-4</v>
      </c>
      <c r="AA6267">
        <v>0.99984170000000006</v>
      </c>
      <c r="AB6267">
        <v>25</v>
      </c>
      <c r="AC6267">
        <v>-3.0044559999999998</v>
      </c>
      <c r="AD6267">
        <v>-5.7971480000000002E-3</v>
      </c>
      <c r="AE6267">
        <v>8.4457400000000002E-2</v>
      </c>
      <c r="AF6267">
        <v>5.3465987059977599E-2</v>
      </c>
      <c r="AG6267">
        <v>-5.7971480000000002E-3</v>
      </c>
      <c r="AH6267">
        <v>3.0051560829853101</v>
      </c>
      <c r="AI6267">
        <v>90.110509782618195</v>
      </c>
      <c r="AJ6267">
        <v>88.980734390677796</v>
      </c>
      <c r="AK6267">
        <v>3.0056372538616301</v>
      </c>
      <c r="AL6267">
        <v>92.610057289236707</v>
      </c>
      <c r="AM6267">
        <v>90.575556147073698</v>
      </c>
      <c r="AN6267">
        <v>1.00000001006352</v>
      </c>
    </row>
    <row r="6268" spans="1:40" x14ac:dyDescent="0.25">
      <c r="A6268" t="str">
        <f>"20190303153933505"</f>
        <v>20190303153933505</v>
      </c>
      <c r="B6268" t="str">
        <f>"1551598773494290"</f>
        <v>1551598773494290</v>
      </c>
      <c r="C6268" t="s">
        <v>40</v>
      </c>
      <c r="D6268">
        <v>4.1100159999999999</v>
      </c>
      <c r="E6268">
        <v>0.51031150000000003</v>
      </c>
      <c r="F6268" t="s">
        <v>46</v>
      </c>
      <c r="G6268">
        <v>0</v>
      </c>
      <c r="H6268">
        <v>0</v>
      </c>
      <c r="I6268">
        <v>0</v>
      </c>
      <c r="J6268">
        <v>-379.95839999999998</v>
      </c>
      <c r="K6268">
        <v>1.1210199999999999</v>
      </c>
      <c r="L6268">
        <v>141.2243</v>
      </c>
      <c r="M6268">
        <v>-0.99984810000000002</v>
      </c>
      <c r="N6268">
        <v>-1.3847079999999999E-2</v>
      </c>
      <c r="O6268">
        <v>1.058106E-2</v>
      </c>
      <c r="P6268">
        <v>-0.99813830000000003</v>
      </c>
      <c r="Q6268">
        <v>-6.099073E-2</v>
      </c>
      <c r="R6268">
        <v>-2.7525869999999998E-4</v>
      </c>
      <c r="S6268">
        <v>-3.004486</v>
      </c>
      <c r="T6268">
        <v>-1.3255599999999999E-2</v>
      </c>
      <c r="U6268">
        <v>8.4167480000000003E-2</v>
      </c>
      <c r="V6268">
        <v>-1.086083E-2</v>
      </c>
      <c r="W6268">
        <v>-4.7159100000000002E-2</v>
      </c>
      <c r="X6268">
        <v>0.99882839999999995</v>
      </c>
      <c r="Y6268">
        <v>1.742322E-2</v>
      </c>
      <c r="Z6268">
        <v>2.5892269999999999E-4</v>
      </c>
      <c r="AA6268">
        <v>0.99984819999999996</v>
      </c>
      <c r="AB6268">
        <v>25</v>
      </c>
      <c r="AC6268">
        <v>-3.004486</v>
      </c>
      <c r="AD6268">
        <v>-1.3255599999999999E-2</v>
      </c>
      <c r="AE6268">
        <v>8.4167480000000003E-2</v>
      </c>
      <c r="AF6268">
        <v>5.2368052679068397E-2</v>
      </c>
      <c r="AG6268">
        <v>-1.3255599999999999E-2</v>
      </c>
      <c r="AH6268">
        <v>3.0051499903222498</v>
      </c>
      <c r="AI6268">
        <v>90.252689457573595</v>
      </c>
      <c r="AJ6268">
        <v>89.001658902768597</v>
      </c>
      <c r="AK6268">
        <v>3.00563547161105</v>
      </c>
      <c r="AL6268">
        <v>92.703019788279207</v>
      </c>
      <c r="AM6268">
        <v>90.622985087096794</v>
      </c>
      <c r="AN6268">
        <v>1.00000005549382</v>
      </c>
    </row>
    <row r="6269" spans="1:40" x14ac:dyDescent="0.25">
      <c r="A6269" t="str">
        <f>"20190303153933527"</f>
        <v>20190303153933527</v>
      </c>
      <c r="B6269" t="str">
        <f>"1551598773524546"</f>
        <v>1551598773524546</v>
      </c>
      <c r="C6269" t="s">
        <v>40</v>
      </c>
      <c r="D6269">
        <v>4.0498710000000004</v>
      </c>
      <c r="E6269">
        <v>0.51002959999999997</v>
      </c>
      <c r="F6269" t="s">
        <v>43</v>
      </c>
      <c r="G6269">
        <v>-542.23329999999999</v>
      </c>
      <c r="H6269">
        <v>-0.05</v>
      </c>
      <c r="I6269">
        <v>145.5027</v>
      </c>
      <c r="J6269">
        <v>-380.20909999999998</v>
      </c>
      <c r="K6269">
        <v>1.1210439999999999</v>
      </c>
      <c r="L6269">
        <v>141.22730000000001</v>
      </c>
      <c r="M6269">
        <v>-0.9998456</v>
      </c>
      <c r="N6269">
        <v>-1.384925E-2</v>
      </c>
      <c r="O6269">
        <v>1.082461E-2</v>
      </c>
      <c r="P6269">
        <v>-0.99812679999999998</v>
      </c>
      <c r="Q6269">
        <v>-6.1159579999999998E-2</v>
      </c>
      <c r="R6269">
        <v>-1.554015E-3</v>
      </c>
      <c r="S6269">
        <v>-3.0043030000000002</v>
      </c>
      <c r="T6269">
        <v>-2.1679879999999999E-2</v>
      </c>
      <c r="U6269">
        <v>7.920837E-2</v>
      </c>
      <c r="V6269">
        <v>-1.2379569999999999E-2</v>
      </c>
      <c r="W6269">
        <v>-4.7326159999999999E-2</v>
      </c>
      <c r="X6269">
        <v>0.99880279999999999</v>
      </c>
      <c r="Y6269">
        <v>1.5531440000000001E-2</v>
      </c>
      <c r="Z6269">
        <v>2.3541480000000001E-4</v>
      </c>
      <c r="AA6269">
        <v>0.99987939999999997</v>
      </c>
      <c r="AB6269">
        <v>25</v>
      </c>
      <c r="AC6269">
        <v>-162.02420000000001</v>
      </c>
      <c r="AD6269">
        <v>-1.171044</v>
      </c>
      <c r="AE6269">
        <v>4.2753999999999897</v>
      </c>
      <c r="AF6269">
        <v>2.5210010433174501</v>
      </c>
      <c r="AG6269">
        <v>-1.171044</v>
      </c>
      <c r="AH6269">
        <v>162.05253009806401</v>
      </c>
      <c r="AI6269">
        <v>90.413980539827094</v>
      </c>
      <c r="AJ6269">
        <v>89.108739189011501</v>
      </c>
      <c r="AK6269">
        <v>162.07636873244101</v>
      </c>
      <c r="AL6269">
        <v>92.712602399559103</v>
      </c>
      <c r="AM6269">
        <v>90.710110940288502</v>
      </c>
      <c r="AN6269">
        <v>1.00000002623078</v>
      </c>
    </row>
    <row r="6270" spans="1:40" x14ac:dyDescent="0.25">
      <c r="A6270" t="str">
        <f>"20190303153933549"</f>
        <v>20190303153933549</v>
      </c>
      <c r="B6270" t="str">
        <f>"1551598773545042"</f>
        <v>1551598773545042</v>
      </c>
      <c r="C6270" t="s">
        <v>40</v>
      </c>
      <c r="D6270">
        <v>4.1755269999999998</v>
      </c>
      <c r="E6270">
        <v>0.50970230000000005</v>
      </c>
      <c r="F6270" t="s">
        <v>43</v>
      </c>
      <c r="G6270">
        <v>-522.2903</v>
      </c>
      <c r="H6270">
        <v>-0.05</v>
      </c>
      <c r="I6270">
        <v>144.68610000000001</v>
      </c>
      <c r="J6270">
        <v>-380.46570000000003</v>
      </c>
      <c r="K6270">
        <v>1.1210629999999999</v>
      </c>
      <c r="L6270">
        <v>141.2304</v>
      </c>
      <c r="M6270">
        <v>-0.99984300000000004</v>
      </c>
      <c r="N6270">
        <v>-1.385081E-2</v>
      </c>
      <c r="O6270">
        <v>1.10524E-2</v>
      </c>
      <c r="P6270">
        <v>-0.99821199999999999</v>
      </c>
      <c r="Q6270">
        <v>-5.9687990000000003E-2</v>
      </c>
      <c r="R6270">
        <v>-3.1581370000000001E-3</v>
      </c>
      <c r="S6270">
        <v>-3.0042719999999998</v>
      </c>
      <c r="T6270">
        <v>-2.4761439999999999E-2</v>
      </c>
      <c r="U6270">
        <v>7.313538E-2</v>
      </c>
      <c r="V6270">
        <v>-1.4209390000000001E-2</v>
      </c>
      <c r="W6270">
        <v>-4.5851950000000002E-2</v>
      </c>
      <c r="X6270">
        <v>0.99884720000000005</v>
      </c>
      <c r="Y6270">
        <v>1.328387E-2</v>
      </c>
      <c r="Z6270">
        <v>2.087561E-4</v>
      </c>
      <c r="AA6270">
        <v>0.99991169999999996</v>
      </c>
      <c r="AB6270">
        <v>25</v>
      </c>
      <c r="AC6270">
        <v>-141.82459999999901</v>
      </c>
      <c r="AD6270">
        <v>-1.171063</v>
      </c>
      <c r="AE6270">
        <v>3.4557000000000002</v>
      </c>
      <c r="AF6270">
        <v>1.88770768928246</v>
      </c>
      <c r="AG6270">
        <v>-1.171063</v>
      </c>
      <c r="AH6270">
        <v>141.844467958895</v>
      </c>
      <c r="AI6270">
        <v>90.472979337207903</v>
      </c>
      <c r="AJ6270">
        <v>89.237536010446107</v>
      </c>
      <c r="AK6270">
        <v>141.861862103287</v>
      </c>
      <c r="AL6270">
        <v>92.628044585305005</v>
      </c>
      <c r="AM6270">
        <v>90.815022721437799</v>
      </c>
      <c r="AN6270">
        <v>1.0000000185154001</v>
      </c>
    </row>
    <row r="6271" spans="1:40" x14ac:dyDescent="0.25">
      <c r="A6271" t="str">
        <f>"20190303153933572"</f>
        <v>20190303153933572</v>
      </c>
      <c r="B6271" t="str">
        <f>"1551598773564565"</f>
        <v>1551598773564565</v>
      </c>
      <c r="C6271" t="s">
        <v>40</v>
      </c>
      <c r="D6271">
        <v>4.186852</v>
      </c>
      <c r="E6271">
        <v>0.4434845</v>
      </c>
      <c r="F6271" t="s">
        <v>43</v>
      </c>
      <c r="G6271">
        <v>-545.25099999999998</v>
      </c>
      <c r="H6271">
        <v>-0.05</v>
      </c>
      <c r="I6271">
        <v>144.846</v>
      </c>
      <c r="J6271">
        <v>-380.7167</v>
      </c>
      <c r="K6271">
        <v>1.1210659999999999</v>
      </c>
      <c r="L6271">
        <v>141.23339999999999</v>
      </c>
      <c r="M6271">
        <v>-0.99984059999999997</v>
      </c>
      <c r="N6271">
        <v>-1.385171E-2</v>
      </c>
      <c r="O6271">
        <v>1.1264379999999999E-2</v>
      </c>
      <c r="P6271">
        <v>-0.9982898</v>
      </c>
      <c r="Q6271">
        <v>-5.8289680000000003E-2</v>
      </c>
      <c r="R6271">
        <v>-4.4550070000000004E-3</v>
      </c>
      <c r="S6271">
        <v>-3.0042719999999998</v>
      </c>
      <c r="T6271">
        <v>-2.1350149999999998E-2</v>
      </c>
      <c r="U6271">
        <v>6.5917970000000006E-2</v>
      </c>
      <c r="V6271">
        <v>-1.571782E-2</v>
      </c>
      <c r="W6271">
        <v>-4.4451650000000002E-2</v>
      </c>
      <c r="X6271">
        <v>0.99888790000000005</v>
      </c>
      <c r="Y6271">
        <v>1.0671450000000001E-2</v>
      </c>
      <c r="Z6271">
        <v>1.878297E-4</v>
      </c>
      <c r="AA6271">
        <v>0.99994300000000003</v>
      </c>
      <c r="AB6271">
        <v>25</v>
      </c>
      <c r="AC6271">
        <v>-164.53429999999901</v>
      </c>
      <c r="AD6271">
        <v>-1.1710659999999999</v>
      </c>
      <c r="AE6271">
        <v>3.6126000000000098</v>
      </c>
      <c r="AF6271">
        <v>1.7587269785297299</v>
      </c>
      <c r="AG6271">
        <v>-1.1710659999999999</v>
      </c>
      <c r="AH6271">
        <v>164.55622459152099</v>
      </c>
      <c r="AI6271">
        <v>90.407715813861103</v>
      </c>
      <c r="AJ6271">
        <v>89.387663414686003</v>
      </c>
      <c r="AK6271">
        <v>164.56978935386701</v>
      </c>
      <c r="AL6271">
        <v>92.547731393255603</v>
      </c>
      <c r="AM6271">
        <v>90.901492983841393</v>
      </c>
      <c r="AN6271">
        <v>1.0000000179098401</v>
      </c>
    </row>
    <row r="6272" spans="1:40" x14ac:dyDescent="0.25">
      <c r="A6272" t="str">
        <f>"20190303153933595"</f>
        <v>20190303153933595</v>
      </c>
      <c r="B6272" t="str">
        <f>"1551598773585058"</f>
        <v>1551598773585058</v>
      </c>
      <c r="C6272" t="s">
        <v>40</v>
      </c>
      <c r="D6272">
        <v>3.8967109999999998</v>
      </c>
      <c r="E6272">
        <v>0.37084040000000001</v>
      </c>
      <c r="F6272" t="s">
        <v>68</v>
      </c>
      <c r="G6272">
        <v>-411.44229999999999</v>
      </c>
      <c r="H6272" s="1">
        <v>-9.1696370000000007E-6</v>
      </c>
      <c r="I6272">
        <v>136.46549999999999</v>
      </c>
      <c r="J6272">
        <v>-380.96730000000002</v>
      </c>
      <c r="K6272">
        <v>1.1210659999999999</v>
      </c>
      <c r="L6272">
        <v>141.23650000000001</v>
      </c>
      <c r="M6272">
        <v>-0.99983820000000001</v>
      </c>
      <c r="N6272">
        <v>-1.385219E-2</v>
      </c>
      <c r="O6272">
        <v>1.1475229999999999E-2</v>
      </c>
      <c r="P6272">
        <v>-0.99830969999999997</v>
      </c>
      <c r="Q6272">
        <v>-5.7784809999999999E-2</v>
      </c>
      <c r="R6272">
        <v>-6.2443330000000003E-3</v>
      </c>
      <c r="S6272">
        <v>-2.9966740000000001</v>
      </c>
      <c r="T6272">
        <v>-0.1093388</v>
      </c>
      <c r="U6272">
        <v>-0.46501160000000002</v>
      </c>
      <c r="V6272">
        <v>-1.7717719999999999E-2</v>
      </c>
      <c r="W6272">
        <v>-4.3945659999999998E-2</v>
      </c>
      <c r="X6272">
        <v>0.99887680000000001</v>
      </c>
      <c r="Y6272">
        <v>-0.16452</v>
      </c>
      <c r="Z6272">
        <v>-4.3875939999999999E-3</v>
      </c>
      <c r="AA6272">
        <v>0.98636400000000002</v>
      </c>
      <c r="AB6272">
        <v>25</v>
      </c>
      <c r="AC6272">
        <v>-30.474999999999898</v>
      </c>
      <c r="AD6272">
        <v>-1.1210751696369901</v>
      </c>
      <c r="AE6272">
        <v>-4.7710000000000097</v>
      </c>
      <c r="AF6272">
        <v>-5.1136724063654304</v>
      </c>
      <c r="AG6272">
        <v>-1.1210751696369901</v>
      </c>
      <c r="AH6272">
        <v>30.378113387881498</v>
      </c>
      <c r="AI6272">
        <v>92.084190229025893</v>
      </c>
      <c r="AJ6272">
        <v>99.555251867432901</v>
      </c>
      <c r="AK6272">
        <v>30.825901901202901</v>
      </c>
      <c r="AL6272">
        <v>92.518711987947697</v>
      </c>
      <c r="AM6272">
        <v>91.016185514687095</v>
      </c>
      <c r="AN6272">
        <v>1.0000000001065299</v>
      </c>
    </row>
    <row r="6273" spans="1:40" x14ac:dyDescent="0.25">
      <c r="A6273" t="str">
        <f>"20190303153933616"</f>
        <v>20190303153933616</v>
      </c>
      <c r="B6273" t="str">
        <f>"1551598773605084"</f>
        <v>1551598773605084</v>
      </c>
      <c r="C6273" t="s">
        <v>40</v>
      </c>
      <c r="D6273">
        <v>3.8744890000000001</v>
      </c>
      <c r="E6273">
        <v>0.36281750000000001</v>
      </c>
      <c r="F6273" t="s">
        <v>68</v>
      </c>
      <c r="G6273">
        <v>-402.48239999999998</v>
      </c>
      <c r="H6273" s="1">
        <v>-3.6424920000000001E-6</v>
      </c>
      <c r="I6273">
        <v>133.6867</v>
      </c>
      <c r="J6273">
        <v>-381.2081</v>
      </c>
      <c r="K6273">
        <v>1.1210599999999999</v>
      </c>
      <c r="L6273">
        <v>141.23949999999999</v>
      </c>
      <c r="M6273">
        <v>-0.99983580000000005</v>
      </c>
      <c r="N6273">
        <v>-1.38523E-2</v>
      </c>
      <c r="O6273">
        <v>1.16822E-2</v>
      </c>
      <c r="P6273">
        <v>-0.99826429999999999</v>
      </c>
      <c r="Q6273">
        <v>-5.8459450000000003E-2</v>
      </c>
      <c r="R6273">
        <v>-7.144938E-3</v>
      </c>
      <c r="S6273">
        <v>-2.9895320000000001</v>
      </c>
      <c r="T6273">
        <v>-0.15577389999999999</v>
      </c>
      <c r="U6273">
        <v>-1.0490569999999999</v>
      </c>
      <c r="V6273">
        <v>-1.8824549999999999E-2</v>
      </c>
      <c r="W6273">
        <v>-4.4620470000000002E-2</v>
      </c>
      <c r="X6273">
        <v>0.99882660000000001</v>
      </c>
      <c r="Y6273">
        <v>-0.34157559999999998</v>
      </c>
      <c r="Z6273">
        <v>-1.1505919999999999E-2</v>
      </c>
      <c r="AA6273">
        <v>0.93978390000000001</v>
      </c>
      <c r="AB6273">
        <v>25</v>
      </c>
      <c r="AC6273">
        <v>-21.274299999999901</v>
      </c>
      <c r="AD6273">
        <v>-1.121063642492</v>
      </c>
      <c r="AE6273">
        <v>-7.5527999999999897</v>
      </c>
      <c r="AF6273">
        <v>-7.7816492828441604</v>
      </c>
      <c r="AG6273">
        <v>-1.121063642492</v>
      </c>
      <c r="AH6273">
        <v>21.132493053812901</v>
      </c>
      <c r="AI6273">
        <v>92.849916714539305</v>
      </c>
      <c r="AJ6273">
        <v>110.21529545221</v>
      </c>
      <c r="AK6273">
        <v>22.547574413252502</v>
      </c>
      <c r="AL6273">
        <v>92.557413812945597</v>
      </c>
      <c r="AM6273">
        <v>91.079706519869006</v>
      </c>
      <c r="AN6273">
        <v>0.99999996344663999</v>
      </c>
    </row>
    <row r="6274" spans="1:40" x14ac:dyDescent="0.25">
      <c r="A6274" t="str">
        <f>"20190303153933639"</f>
        <v>20190303153933639</v>
      </c>
      <c r="B6274" t="str">
        <f>"1551598773635341"</f>
        <v>1551598773635341</v>
      </c>
      <c r="C6274" t="s">
        <v>40</v>
      </c>
      <c r="D6274">
        <v>3.872986</v>
      </c>
      <c r="E6274">
        <v>0.35847099999999998</v>
      </c>
      <c r="F6274" t="s">
        <v>42</v>
      </c>
      <c r="G6274">
        <v>-399.6678</v>
      </c>
      <c r="H6274" s="1">
        <v>-1.501915E-6</v>
      </c>
      <c r="I6274">
        <v>134.34389999999999</v>
      </c>
      <c r="J6274">
        <v>-381.45659999999998</v>
      </c>
      <c r="K6274">
        <v>1.1210530000000001</v>
      </c>
      <c r="L6274">
        <v>141.24270000000001</v>
      </c>
      <c r="M6274">
        <v>-0.99983330000000004</v>
      </c>
      <c r="N6274">
        <v>-1.385189E-2</v>
      </c>
      <c r="O6274">
        <v>1.1903479999999999E-2</v>
      </c>
      <c r="P6274">
        <v>-0.9981776</v>
      </c>
      <c r="Q6274">
        <v>-5.9947300000000002E-2</v>
      </c>
      <c r="R6274">
        <v>-6.9283919999999898E-3</v>
      </c>
      <c r="S6274">
        <v>-2.9866329999999999</v>
      </c>
      <c r="T6274">
        <v>-0.18137900000000001</v>
      </c>
      <c r="U6274">
        <v>-1.1156459999999999</v>
      </c>
      <c r="V6274">
        <v>-1.882851E-2</v>
      </c>
      <c r="W6274">
        <v>-4.610968E-2</v>
      </c>
      <c r="X6274">
        <v>0.99875890000000001</v>
      </c>
      <c r="Y6274">
        <v>-0.36031400000000002</v>
      </c>
      <c r="Z6274">
        <v>-1.3694400000000001E-2</v>
      </c>
      <c r="AA6274">
        <v>0.93273059999999997</v>
      </c>
      <c r="AB6274">
        <v>25</v>
      </c>
      <c r="AC6274">
        <v>-18.211200000000002</v>
      </c>
      <c r="AD6274">
        <v>-1.121054501915</v>
      </c>
      <c r="AE6274">
        <v>-6.89880000000002</v>
      </c>
      <c r="AF6274">
        <v>-7.0916077702377898</v>
      </c>
      <c r="AG6274">
        <v>-1.121054501915</v>
      </c>
      <c r="AH6274">
        <v>18.067906881019301</v>
      </c>
      <c r="AI6274">
        <v>93.305568626648196</v>
      </c>
      <c r="AJ6274">
        <v>111.42988177981699</v>
      </c>
      <c r="AK6274">
        <v>19.442142963787301</v>
      </c>
      <c r="AL6274">
        <v>92.642827168948997</v>
      </c>
      <c r="AM6274">
        <v>91.080006782046993</v>
      </c>
      <c r="AN6274">
        <v>0.99999997785386596</v>
      </c>
    </row>
    <row r="6275" spans="1:40" x14ac:dyDescent="0.25">
      <c r="A6275" t="str">
        <f>"20190303153933661"</f>
        <v>20190303153933661</v>
      </c>
      <c r="B6275" t="str">
        <f>"1551598773654861"</f>
        <v>1551598773654861</v>
      </c>
      <c r="C6275" t="s">
        <v>40</v>
      </c>
      <c r="D6275">
        <v>3.8828999999999998</v>
      </c>
      <c r="E6275">
        <v>0.35688300000000001</v>
      </c>
      <c r="F6275" t="s">
        <v>42</v>
      </c>
      <c r="G6275">
        <v>-398.60270000000003</v>
      </c>
      <c r="H6275" s="1">
        <v>-1.785059E-6</v>
      </c>
      <c r="I6275">
        <v>134.6421</v>
      </c>
      <c r="J6275">
        <v>-381.70870000000002</v>
      </c>
      <c r="K6275">
        <v>1.121046</v>
      </c>
      <c r="L6275">
        <v>141.24600000000001</v>
      </c>
      <c r="M6275">
        <v>-0.99983049999999996</v>
      </c>
      <c r="N6275">
        <v>-1.38511E-2</v>
      </c>
      <c r="O6275">
        <v>1.213526E-2</v>
      </c>
      <c r="P6275">
        <v>-0.99814069999999999</v>
      </c>
      <c r="Q6275">
        <v>-6.0588959999999997E-2</v>
      </c>
      <c r="R6275">
        <v>-6.6645360000000004E-3</v>
      </c>
      <c r="S6275">
        <v>-2.985779</v>
      </c>
      <c r="T6275">
        <v>-0.1952189</v>
      </c>
      <c r="U6275">
        <v>-1.1494139999999999</v>
      </c>
      <c r="V6275">
        <v>-1.879699E-2</v>
      </c>
      <c r="W6275">
        <v>-4.6752490000000001E-2</v>
      </c>
      <c r="X6275">
        <v>0.9987296</v>
      </c>
      <c r="Y6275">
        <v>-0.36969590000000002</v>
      </c>
      <c r="Z6275">
        <v>-1.49128E-2</v>
      </c>
      <c r="AA6275">
        <v>0.9290332</v>
      </c>
      <c r="AB6275">
        <v>25</v>
      </c>
      <c r="AC6275">
        <v>-16.893999999999998</v>
      </c>
      <c r="AD6275">
        <v>-1.1210477850589999</v>
      </c>
      <c r="AE6275">
        <v>-6.6039000000000003</v>
      </c>
      <c r="AF6275">
        <v>-6.7825391973274396</v>
      </c>
      <c r="AG6275">
        <v>-1.1210477850589999</v>
      </c>
      <c r="AH6275">
        <v>16.7486335301511</v>
      </c>
      <c r="AI6275">
        <v>93.550061630827102</v>
      </c>
      <c r="AJ6275">
        <v>112.04601547327999</v>
      </c>
      <c r="AK6275">
        <v>18.1045936498716</v>
      </c>
      <c r="AL6275">
        <v>92.679697261293995</v>
      </c>
      <c r="AM6275">
        <v>91.078230840188994</v>
      </c>
      <c r="AN6275">
        <v>0.99999996803520896</v>
      </c>
    </row>
    <row r="6276" spans="1:40" x14ac:dyDescent="0.25">
      <c r="A6276" t="str">
        <f>"20190303153933684"</f>
        <v>20190303153933684</v>
      </c>
      <c r="B6276" t="str">
        <f>"1551598773675360"</f>
        <v>1551598773675360</v>
      </c>
      <c r="C6276" t="s">
        <v>40</v>
      </c>
      <c r="D6276">
        <v>4.0698420000000004</v>
      </c>
      <c r="E6276">
        <v>0.35894100000000001</v>
      </c>
      <c r="F6276" t="s">
        <v>42</v>
      </c>
      <c r="G6276">
        <v>-398.4796</v>
      </c>
      <c r="H6276" s="1">
        <v>-1.8053520000000001E-6</v>
      </c>
      <c r="I6276">
        <v>134.72319999999999</v>
      </c>
      <c r="J6276">
        <v>-381.9579</v>
      </c>
      <c r="K6276">
        <v>1.121043</v>
      </c>
      <c r="L6276">
        <v>141.2492</v>
      </c>
      <c r="M6276">
        <v>-0.99982769999999999</v>
      </c>
      <c r="N6276">
        <v>-1.3850100000000001E-2</v>
      </c>
      <c r="O6276">
        <v>1.236902E-2</v>
      </c>
      <c r="P6276">
        <v>-0.99818980000000002</v>
      </c>
      <c r="Q6276">
        <v>-5.9473060000000001E-2</v>
      </c>
      <c r="R6276">
        <v>-8.9615349999999996E-3</v>
      </c>
      <c r="S6276">
        <v>-2.9857480000000001</v>
      </c>
      <c r="T6276">
        <v>-0.1995825</v>
      </c>
      <c r="U6276">
        <v>-1.16124</v>
      </c>
      <c r="V6276">
        <v>-2.13273E-2</v>
      </c>
      <c r="W6276">
        <v>-4.5636320000000001E-2</v>
      </c>
      <c r="X6276">
        <v>0.99873040000000002</v>
      </c>
      <c r="Y6276">
        <v>-0.3730714</v>
      </c>
      <c r="Z6276">
        <v>-1.532801E-2</v>
      </c>
      <c r="AA6276">
        <v>0.92767599999999995</v>
      </c>
      <c r="AB6276">
        <v>25</v>
      </c>
      <c r="AC6276">
        <v>-16.521699999999999</v>
      </c>
      <c r="AD6276">
        <v>-1.1210448053519999</v>
      </c>
      <c r="AE6276">
        <v>-6.5260000000000096</v>
      </c>
      <c r="AF6276">
        <v>-6.7031811601885298</v>
      </c>
      <c r="AG6276">
        <v>-1.1210448053519999</v>
      </c>
      <c r="AH6276">
        <v>16.374494263989799</v>
      </c>
      <c r="AI6276">
        <v>93.625383576300393</v>
      </c>
      <c r="AJ6276">
        <v>112.262584044866</v>
      </c>
      <c r="AK6276">
        <v>17.728887204879701</v>
      </c>
      <c r="AL6276">
        <v>92.615677077887398</v>
      </c>
      <c r="AM6276">
        <v>91.223331728168006</v>
      </c>
      <c r="AN6276">
        <v>0.99999996965629501</v>
      </c>
    </row>
    <row r="6277" spans="1:40" x14ac:dyDescent="0.25">
      <c r="A6277" t="str">
        <f>"20190303153933706"</f>
        <v>20190303153933706</v>
      </c>
      <c r="B6277" t="str">
        <f>"1551598773695383"</f>
        <v>1551598773695383</v>
      </c>
      <c r="C6277" t="s">
        <v>40</v>
      </c>
      <c r="D6277">
        <v>4.0670650000000004</v>
      </c>
      <c r="E6277">
        <v>0.36019109999999999</v>
      </c>
      <c r="F6277" t="s">
        <v>42</v>
      </c>
      <c r="G6277">
        <v>-398.75330000000002</v>
      </c>
      <c r="H6277" s="1">
        <v>-1.70083499999999E-6</v>
      </c>
      <c r="I6277">
        <v>134.76589999999999</v>
      </c>
      <c r="J6277">
        <v>-382.20089999999999</v>
      </c>
      <c r="K6277">
        <v>1.1210450000000001</v>
      </c>
      <c r="L6277">
        <v>141.2525</v>
      </c>
      <c r="M6277">
        <v>-0.99982479999999996</v>
      </c>
      <c r="N6277">
        <v>-1.3848930000000001E-2</v>
      </c>
      <c r="O6277">
        <v>1.259943E-2</v>
      </c>
      <c r="P6277">
        <v>-0.99823459999999997</v>
      </c>
      <c r="Q6277">
        <v>-5.7692510000000002E-2</v>
      </c>
      <c r="R6277">
        <v>-1.4121099999999999E-2</v>
      </c>
      <c r="S6277">
        <v>-2.983276</v>
      </c>
      <c r="T6277">
        <v>-0.19912469999999999</v>
      </c>
      <c r="U6277">
        <v>-1.151581</v>
      </c>
      <c r="V6277">
        <v>-2.6716230000000001E-2</v>
      </c>
      <c r="W6277">
        <v>-4.3855100000000001E-2</v>
      </c>
      <c r="X6277">
        <v>0.99868060000000003</v>
      </c>
      <c r="Y6277">
        <v>-0.37093900000000002</v>
      </c>
      <c r="Z6277">
        <v>-1.524201E-2</v>
      </c>
      <c r="AA6277">
        <v>0.92853209999999997</v>
      </c>
      <c r="AB6277">
        <v>25</v>
      </c>
      <c r="AC6277">
        <v>-16.552399999999999</v>
      </c>
      <c r="AD6277">
        <v>-1.121046700835</v>
      </c>
      <c r="AE6277">
        <v>-6.4866000000000099</v>
      </c>
      <c r="AF6277">
        <v>-6.6681411844398797</v>
      </c>
      <c r="AG6277">
        <v>-1.121046700835</v>
      </c>
      <c r="AH6277">
        <v>16.404122640759699</v>
      </c>
      <c r="AI6277">
        <v>93.622490455917003</v>
      </c>
      <c r="AJ6277">
        <v>112.12133842507301</v>
      </c>
      <c r="AK6277">
        <v>17.743057576814699</v>
      </c>
      <c r="AL6277">
        <v>92.513518316031906</v>
      </c>
      <c r="AM6277">
        <v>91.532384055745297</v>
      </c>
      <c r="AN6277">
        <v>0.99999998377889099</v>
      </c>
    </row>
    <row r="6278" spans="1:40" x14ac:dyDescent="0.25">
      <c r="A6278" t="str">
        <f>"20190303153933728"</f>
        <v>20190303153933728</v>
      </c>
      <c r="B6278" t="str">
        <f>"1551598773724662"</f>
        <v>1551598773724662</v>
      </c>
      <c r="C6278" t="s">
        <v>40</v>
      </c>
      <c r="D6278">
        <v>4.0949999999999998</v>
      </c>
      <c r="E6278">
        <v>0.36169430000000002</v>
      </c>
      <c r="F6278" t="s">
        <v>42</v>
      </c>
      <c r="G6278">
        <v>-399.27789999999999</v>
      </c>
      <c r="H6278" s="1">
        <v>-1.562029E-6</v>
      </c>
      <c r="I6278">
        <v>134.61670000000001</v>
      </c>
      <c r="J6278">
        <v>-382.45069999999998</v>
      </c>
      <c r="K6278">
        <v>1.1210370000000001</v>
      </c>
      <c r="L6278">
        <v>141.2559</v>
      </c>
      <c r="M6278">
        <v>-0.99982179999999998</v>
      </c>
      <c r="N6278">
        <v>-1.38475E-2</v>
      </c>
      <c r="O6278">
        <v>1.2837289999999999E-2</v>
      </c>
      <c r="P6278">
        <v>-0.99817259999999997</v>
      </c>
      <c r="Q6278">
        <v>-5.7528820000000001E-2</v>
      </c>
      <c r="R6278">
        <v>-1.8495609999999999E-2</v>
      </c>
      <c r="S6278">
        <v>-2.9776310000000001</v>
      </c>
      <c r="T6278">
        <v>-0.1954719</v>
      </c>
      <c r="U6278">
        <v>-1.157043</v>
      </c>
      <c r="V6278">
        <v>-3.1327279999999999E-2</v>
      </c>
      <c r="W6278">
        <v>-4.369253E-2</v>
      </c>
      <c r="X6278">
        <v>0.99855380000000005</v>
      </c>
      <c r="Y6278">
        <v>-0.3732529</v>
      </c>
      <c r="Z6278">
        <v>-1.5129220000000001E-2</v>
      </c>
      <c r="AA6278">
        <v>0.92760629999999999</v>
      </c>
      <c r="AB6278">
        <v>25</v>
      </c>
      <c r="AC6278">
        <v>-16.827200000000001</v>
      </c>
      <c r="AD6278">
        <v>-1.121038562029</v>
      </c>
      <c r="AE6278">
        <v>-6.6391999999999802</v>
      </c>
      <c r="AF6278">
        <v>-6.8284647156225402</v>
      </c>
      <c r="AG6278">
        <v>-1.121038562029</v>
      </c>
      <c r="AH6278">
        <v>16.6765301137869</v>
      </c>
      <c r="AI6278">
        <v>93.559750880562206</v>
      </c>
      <c r="AJ6278">
        <v>112.26740966668299</v>
      </c>
      <c r="AK6278">
        <v>18.055229560049899</v>
      </c>
      <c r="AL6278">
        <v>92.504194604156993</v>
      </c>
      <c r="AM6278">
        <v>91.796931117326906</v>
      </c>
      <c r="AN6278">
        <v>1.0000000635722099</v>
      </c>
    </row>
    <row r="6279" spans="1:40" x14ac:dyDescent="0.25">
      <c r="A6279" t="str">
        <f>"20190303153933751"</f>
        <v>20190303153933751</v>
      </c>
      <c r="B6279" t="str">
        <f>"1551598773745159"</f>
        <v>1551598773745159</v>
      </c>
      <c r="C6279" t="s">
        <v>40</v>
      </c>
      <c r="D6279">
        <v>4.0954670000000002</v>
      </c>
      <c r="E6279">
        <v>0.36246339999999999</v>
      </c>
      <c r="F6279" t="s">
        <v>42</v>
      </c>
      <c r="G6279">
        <v>-399.15320000000003</v>
      </c>
      <c r="H6279" s="1">
        <v>-1.569386E-6</v>
      </c>
      <c r="I6279">
        <v>134.74860000000001</v>
      </c>
      <c r="J6279">
        <v>-382.70389999999998</v>
      </c>
      <c r="K6279">
        <v>1.1210340000000001</v>
      </c>
      <c r="L6279">
        <v>141.2594</v>
      </c>
      <c r="M6279">
        <v>-0.9998186</v>
      </c>
      <c r="N6279">
        <v>-1.384583E-2</v>
      </c>
      <c r="O6279">
        <v>1.3079E-2</v>
      </c>
      <c r="P6279">
        <v>-0.99798299999999995</v>
      </c>
      <c r="Q6279">
        <v>-5.892675E-2</v>
      </c>
      <c r="R6279">
        <v>-2.3616950000000001E-2</v>
      </c>
      <c r="S6279">
        <v>-2.9725649999999999</v>
      </c>
      <c r="T6279">
        <v>-0.199514</v>
      </c>
      <c r="U6279">
        <v>-1.158112</v>
      </c>
      <c r="V6279">
        <v>-3.6687360000000002E-2</v>
      </c>
      <c r="W6279">
        <v>-4.5093300000000003E-2</v>
      </c>
      <c r="X6279">
        <v>0.99830890000000005</v>
      </c>
      <c r="Y6279">
        <v>-0.37426130000000002</v>
      </c>
      <c r="Z6279">
        <v>-1.5461910000000001E-2</v>
      </c>
      <c r="AA6279">
        <v>0.92719439999999997</v>
      </c>
      <c r="AB6279">
        <v>25</v>
      </c>
      <c r="AC6279">
        <v>-16.449300000000001</v>
      </c>
      <c r="AD6279">
        <v>-1.1210355693859999</v>
      </c>
      <c r="AE6279">
        <v>-6.5107999999999802</v>
      </c>
      <c r="AF6279">
        <v>-6.69850638617591</v>
      </c>
      <c r="AG6279">
        <v>-1.1210355693859999</v>
      </c>
      <c r="AH6279">
        <v>16.297288613245598</v>
      </c>
      <c r="AI6279">
        <v>93.640375068770098</v>
      </c>
      <c r="AJ6279">
        <v>112.34362707749899</v>
      </c>
      <c r="AK6279">
        <v>17.655829765176499</v>
      </c>
      <c r="AL6279">
        <v>92.5845321438036</v>
      </c>
      <c r="AM6279">
        <v>92.104644537256306</v>
      </c>
      <c r="AN6279">
        <v>1.00000001395393</v>
      </c>
    </row>
    <row r="6280" spans="1:40" x14ac:dyDescent="0.25">
      <c r="A6280" t="str">
        <f>"20190303153933764"</f>
        <v>20190303153933764</v>
      </c>
      <c r="B6280" t="str">
        <f>"1551598773754919"</f>
        <v>1551598773754919</v>
      </c>
      <c r="C6280" t="s">
        <v>40</v>
      </c>
      <c r="D6280">
        <v>4.083297</v>
      </c>
      <c r="E6280">
        <v>0.3628091</v>
      </c>
      <c r="F6280" t="s">
        <v>42</v>
      </c>
      <c r="G6280">
        <v>-398.7457</v>
      </c>
      <c r="H6280" s="1">
        <v>-1.6548860000000001E-6</v>
      </c>
      <c r="I6280">
        <v>134.94829999999999</v>
      </c>
      <c r="J6280">
        <v>-382.86160000000001</v>
      </c>
      <c r="K6280">
        <v>1.1210290000000001</v>
      </c>
      <c r="L6280">
        <v>141.26159999999999</v>
      </c>
      <c r="M6280">
        <v>-0.99981679999999995</v>
      </c>
      <c r="N6280">
        <v>-1.384471E-2</v>
      </c>
      <c r="O6280">
        <v>1.322957E-2</v>
      </c>
      <c r="P6280">
        <v>-0.99788270000000001</v>
      </c>
      <c r="Q6280">
        <v>-5.9566040000000001E-2</v>
      </c>
      <c r="R6280">
        <v>-2.6126219999999999E-2</v>
      </c>
      <c r="S6280">
        <v>-2.9662480000000002</v>
      </c>
      <c r="T6280">
        <v>-0.20728740000000001</v>
      </c>
      <c r="U6280">
        <v>-1.16694599999999</v>
      </c>
      <c r="V6280">
        <v>-3.9345659999999998E-2</v>
      </c>
      <c r="W6280">
        <v>-4.573443E-2</v>
      </c>
      <c r="X6280">
        <v>0.99817849999999997</v>
      </c>
      <c r="Y6280">
        <v>-0.37738319999999997</v>
      </c>
      <c r="Z6280">
        <v>-1.6122439999999998E-2</v>
      </c>
      <c r="AA6280">
        <v>0.92591679999999998</v>
      </c>
      <c r="AB6280">
        <v>25</v>
      </c>
      <c r="AC6280">
        <v>-15.884099999999901</v>
      </c>
      <c r="AD6280">
        <v>-1.1210306548860001</v>
      </c>
      <c r="AE6280">
        <v>-6.3132999999999901</v>
      </c>
      <c r="AF6280">
        <v>-6.4949697917093596</v>
      </c>
      <c r="AG6280">
        <v>-1.1210306548860001</v>
      </c>
      <c r="AH6280">
        <v>15.7315117519504</v>
      </c>
      <c r="AI6280">
        <v>93.768470806776506</v>
      </c>
      <c r="AJ6280">
        <v>112.433952369777</v>
      </c>
      <c r="AK6280">
        <v>17.056429999450799</v>
      </c>
      <c r="AL6280">
        <v>92.621304114427801</v>
      </c>
      <c r="AM6280">
        <v>92.257285442900496</v>
      </c>
      <c r="AN6280">
        <v>1.00000001845525</v>
      </c>
    </row>
    <row r="6281" spans="1:40" x14ac:dyDescent="0.25">
      <c r="A6281" t="str">
        <f>"20190303153933780"</f>
        <v>20190303153933780</v>
      </c>
      <c r="B6281" t="str">
        <f>"1551598773775415"</f>
        <v>1551598773775415</v>
      </c>
      <c r="C6281" t="s">
        <v>40</v>
      </c>
      <c r="D6281">
        <v>4.0516920000000001</v>
      </c>
      <c r="E6281">
        <v>0.36340489999999998</v>
      </c>
      <c r="F6281" t="s">
        <v>42</v>
      </c>
      <c r="G6281">
        <v>-398.78429999999997</v>
      </c>
      <c r="H6281" s="1">
        <v>-1.6372899999999999E-6</v>
      </c>
      <c r="I6281">
        <v>134.96510000000001</v>
      </c>
      <c r="J6281">
        <v>-383.01089999999999</v>
      </c>
      <c r="K6281">
        <v>1.1210249999999999</v>
      </c>
      <c r="L6281">
        <v>141.2638</v>
      </c>
      <c r="M6281">
        <v>-0.99981469999999995</v>
      </c>
      <c r="N6281">
        <v>-1.3843599999999999E-2</v>
      </c>
      <c r="O6281">
        <v>1.337227E-2</v>
      </c>
      <c r="P6281">
        <v>-0.997784</v>
      </c>
      <c r="Q6281">
        <v>-6.0097440000000002E-2</v>
      </c>
      <c r="R6281">
        <v>-2.8556479999999999E-2</v>
      </c>
      <c r="S6281">
        <v>-2.9632260000000001</v>
      </c>
      <c r="T6281">
        <v>-0.208625</v>
      </c>
      <c r="U6281">
        <v>-1.171783</v>
      </c>
      <c r="V6281">
        <v>-4.1916630000000003E-2</v>
      </c>
      <c r="W6281">
        <v>-4.6267660000000002E-2</v>
      </c>
      <c r="X6281">
        <v>0.99804930000000003</v>
      </c>
      <c r="Y6281">
        <v>-0.37912639999999997</v>
      </c>
      <c r="Z6281">
        <v>-1.6299129999999998E-2</v>
      </c>
      <c r="AA6281">
        <v>0.92520139999999995</v>
      </c>
      <c r="AB6281">
        <v>25</v>
      </c>
      <c r="AC6281">
        <v>-15.773399999999899</v>
      </c>
      <c r="AD6281">
        <v>-1.12102663729</v>
      </c>
      <c r="AE6281">
        <v>-6.2986999999999904</v>
      </c>
      <c r="AF6281">
        <v>-6.4808500651630299</v>
      </c>
      <c r="AG6281">
        <v>-1.12102663729</v>
      </c>
      <c r="AH6281">
        <v>15.619708042955599</v>
      </c>
      <c r="AI6281">
        <v>93.792610935856104</v>
      </c>
      <c r="AJ6281">
        <v>112.53429186829599</v>
      </c>
      <c r="AK6281">
        <v>16.947961459591799</v>
      </c>
      <c r="AL6281">
        <v>92.651888228472103</v>
      </c>
      <c r="AM6281">
        <v>92.404926702703094</v>
      </c>
      <c r="AN6281">
        <v>1.0000000527314501</v>
      </c>
    </row>
    <row r="6282" spans="1:40" x14ac:dyDescent="0.25">
      <c r="A6282" t="str">
        <f>"20190303153933794"</f>
        <v>20190303153933794</v>
      </c>
      <c r="B6282" t="str">
        <f>"1551598773785175"</f>
        <v>1551598773785175</v>
      </c>
      <c r="C6282" t="s">
        <v>40</v>
      </c>
      <c r="D6282">
        <v>4.0739049999999999</v>
      </c>
      <c r="E6282">
        <v>0.36362630000000001</v>
      </c>
      <c r="F6282" t="s">
        <v>42</v>
      </c>
      <c r="G6282">
        <v>-398.71179999999998</v>
      </c>
      <c r="H6282" s="1">
        <v>-1.643337E-6</v>
      </c>
      <c r="I6282">
        <v>135.0351</v>
      </c>
      <c r="J6282">
        <v>-383.18380000000002</v>
      </c>
      <c r="K6282">
        <v>1.121024</v>
      </c>
      <c r="L6282">
        <v>141.2663</v>
      </c>
      <c r="M6282">
        <v>-0.99981260000000005</v>
      </c>
      <c r="N6282">
        <v>-1.384228E-2</v>
      </c>
      <c r="O6282">
        <v>1.353684E-2</v>
      </c>
      <c r="P6282">
        <v>-0.99767329999999999</v>
      </c>
      <c r="Q6282">
        <v>-6.0867289999999998E-2</v>
      </c>
      <c r="R6282">
        <v>-3.0714950000000001E-2</v>
      </c>
      <c r="S6282">
        <v>-2.9602970000000002</v>
      </c>
      <c r="T6282">
        <v>-0.2113621</v>
      </c>
      <c r="U6282">
        <v>-1.1743619999999999</v>
      </c>
      <c r="V6282">
        <v>-4.4238300000000001E-2</v>
      </c>
      <c r="W6282">
        <v>-4.7039820000000003E-2</v>
      </c>
      <c r="X6282">
        <v>0.99791289999999999</v>
      </c>
      <c r="Y6282">
        <v>-0.38025890000000001</v>
      </c>
      <c r="Z6282">
        <v>-1.6546450000000001E-2</v>
      </c>
      <c r="AA6282">
        <v>0.92473209999999995</v>
      </c>
      <c r="AB6282">
        <v>25</v>
      </c>
      <c r="AC6282">
        <v>-15.527999999999899</v>
      </c>
      <c r="AD6282">
        <v>-1.1210256433370001</v>
      </c>
      <c r="AE6282">
        <v>-6.2312000000000003</v>
      </c>
      <c r="AF6282">
        <v>-6.4120649534445198</v>
      </c>
      <c r="AG6282">
        <v>-1.1210256433370001</v>
      </c>
      <c r="AH6282">
        <v>15.373206788279999</v>
      </c>
      <c r="AI6282">
        <v>93.850271389089897</v>
      </c>
      <c r="AJ6282">
        <v>112.640700865082</v>
      </c>
      <c r="AK6282">
        <v>16.694512943342499</v>
      </c>
      <c r="AL6282">
        <v>92.696178202123093</v>
      </c>
      <c r="AM6282">
        <v>92.538307143849494</v>
      </c>
      <c r="AN6282">
        <v>0.999999963919465</v>
      </c>
    </row>
    <row r="6283" spans="1:40" x14ac:dyDescent="0.25">
      <c r="A6283" t="str">
        <f>"20190303153933810"</f>
        <v>20190303153933810</v>
      </c>
      <c r="B6283" t="str">
        <f>"1551598773804695"</f>
        <v>1551598773804695</v>
      </c>
      <c r="C6283" t="s">
        <v>40</v>
      </c>
      <c r="D6283">
        <v>4.0740239999999996</v>
      </c>
      <c r="E6283">
        <v>0.36405890000000002</v>
      </c>
      <c r="F6283" t="s">
        <v>42</v>
      </c>
      <c r="G6283">
        <v>-398.7346</v>
      </c>
      <c r="H6283" s="1">
        <v>-1.626966E-6</v>
      </c>
      <c r="I6283">
        <v>135.06739999999999</v>
      </c>
      <c r="J6283">
        <v>-383.34859999999998</v>
      </c>
      <c r="K6283">
        <v>1.121014</v>
      </c>
      <c r="L6283">
        <v>141.26859999999999</v>
      </c>
      <c r="M6283">
        <v>-0.99981059999999999</v>
      </c>
      <c r="N6283">
        <v>-1.3840979999999999E-2</v>
      </c>
      <c r="O6283">
        <v>1.36938999999999E-2</v>
      </c>
      <c r="P6283">
        <v>-0.99748300000000001</v>
      </c>
      <c r="Q6283">
        <v>-6.1304539999999998E-2</v>
      </c>
      <c r="R6283">
        <v>-3.5634579999999999E-2</v>
      </c>
      <c r="S6283">
        <v>-2.957703</v>
      </c>
      <c r="T6283">
        <v>-0.2132144</v>
      </c>
      <c r="U6283">
        <v>-1.1789700000000001</v>
      </c>
      <c r="V6283">
        <v>-4.9312010000000003E-2</v>
      </c>
      <c r="W6283">
        <v>-4.7479880000000002E-2</v>
      </c>
      <c r="X6283">
        <v>0.99765429999999999</v>
      </c>
      <c r="Y6283">
        <v>-0.38190289999999999</v>
      </c>
      <c r="Z6283">
        <v>-1.6754769999999999E-2</v>
      </c>
      <c r="AA6283">
        <v>0.92405060000000006</v>
      </c>
      <c r="AB6283">
        <v>25</v>
      </c>
      <c r="AC6283">
        <v>-15.385999999999999</v>
      </c>
      <c r="AD6283">
        <v>-1.1210156269660001</v>
      </c>
      <c r="AE6283">
        <v>-6.2012</v>
      </c>
      <c r="AF6283">
        <v>-6.3821875305005502</v>
      </c>
      <c r="AG6283">
        <v>-1.1210156269660001</v>
      </c>
      <c r="AH6283">
        <v>15.2300794470013</v>
      </c>
      <c r="AI6283">
        <v>93.883611306623905</v>
      </c>
      <c r="AJ6283">
        <v>112.736193687968</v>
      </c>
      <c r="AK6283">
        <v>16.551263204733001</v>
      </c>
      <c r="AL6283">
        <v>92.721419732671905</v>
      </c>
      <c r="AM6283">
        <v>92.829710161968407</v>
      </c>
      <c r="AN6283">
        <v>1.00000005782177</v>
      </c>
    </row>
    <row r="6284" spans="1:40" x14ac:dyDescent="0.25">
      <c r="A6284" t="str">
        <f>"20190303153933829"</f>
        <v>20190303153933829</v>
      </c>
      <c r="B6284" t="str">
        <f>"1551598773825191"</f>
        <v>1551598773825191</v>
      </c>
      <c r="C6284" t="s">
        <v>40</v>
      </c>
      <c r="D6284">
        <v>4.0853099999999998</v>
      </c>
      <c r="E6284">
        <v>0.36428450000000001</v>
      </c>
      <c r="F6284" t="s">
        <v>42</v>
      </c>
      <c r="G6284">
        <v>-398.76440000000002</v>
      </c>
      <c r="H6284" s="1">
        <v>-1.6203749999999999E-6</v>
      </c>
      <c r="I6284">
        <v>135.05420000000001</v>
      </c>
      <c r="J6284">
        <v>-383.5634</v>
      </c>
      <c r="K6284">
        <v>1.1210119999999999</v>
      </c>
      <c r="L6284">
        <v>141.27180000000001</v>
      </c>
      <c r="M6284">
        <v>-0.99980769999999997</v>
      </c>
      <c r="N6284">
        <v>-1.3839209999999999E-2</v>
      </c>
      <c r="O6284">
        <v>1.389816E-2</v>
      </c>
      <c r="P6284">
        <v>-0.99726840000000005</v>
      </c>
      <c r="Q6284">
        <v>-6.213465E-2</v>
      </c>
      <c r="R6284">
        <v>-3.993878E-2</v>
      </c>
      <c r="S6284">
        <v>-2.9518740000000001</v>
      </c>
      <c r="T6284">
        <v>-0.21465719999999999</v>
      </c>
      <c r="U6284">
        <v>-1.1899569999999999</v>
      </c>
      <c r="V6284">
        <v>-5.381677E-2</v>
      </c>
      <c r="W6284">
        <v>-4.8313769999999999E-2</v>
      </c>
      <c r="X6284">
        <v>0.99738130000000003</v>
      </c>
      <c r="Y6284">
        <v>-0.3856521</v>
      </c>
      <c r="Z6284">
        <v>-1.7038729999999998E-2</v>
      </c>
      <c r="AA6284">
        <v>0.92248699999999995</v>
      </c>
      <c r="AB6284">
        <v>25</v>
      </c>
      <c r="AC6284">
        <v>-15.201000000000001</v>
      </c>
      <c r="AD6284">
        <v>-1.1210136203749901</v>
      </c>
      <c r="AE6284">
        <v>-6.2176</v>
      </c>
      <c r="AF6284">
        <v>-6.3984749174848501</v>
      </c>
      <c r="AG6284">
        <v>-1.1210136203749901</v>
      </c>
      <c r="AH6284">
        <v>15.0430243799451</v>
      </c>
      <c r="AI6284">
        <v>93.922916359389404</v>
      </c>
      <c r="AJ6284">
        <v>113.042231866116</v>
      </c>
      <c r="AK6284">
        <v>16.385656389121898</v>
      </c>
      <c r="AL6284">
        <v>92.769253275050602</v>
      </c>
      <c r="AM6284">
        <v>93.088574571044106</v>
      </c>
      <c r="AN6284">
        <v>0.99999996134726699</v>
      </c>
    </row>
    <row r="6285" spans="1:40" x14ac:dyDescent="0.25">
      <c r="A6285" t="str">
        <f>"20190303153933852"</f>
        <v>20190303153933852</v>
      </c>
      <c r="B6285" t="str">
        <f>"1551598773844714"</f>
        <v>1551598773844714</v>
      </c>
      <c r="C6285" t="s">
        <v>40</v>
      </c>
      <c r="D6285">
        <v>3.8413409999999999</v>
      </c>
      <c r="E6285">
        <v>0.33738620000000002</v>
      </c>
      <c r="F6285" t="s">
        <v>42</v>
      </c>
      <c r="G6285">
        <v>-398.7176</v>
      </c>
      <c r="H6285" s="1">
        <v>-1.625427E-6</v>
      </c>
      <c r="I6285">
        <v>135.095</v>
      </c>
      <c r="J6285">
        <v>-383.80680000000001</v>
      </c>
      <c r="K6285">
        <v>1.1210199999999999</v>
      </c>
      <c r="L6285">
        <v>141.27549999999999</v>
      </c>
      <c r="M6285">
        <v>-0.99980460000000004</v>
      </c>
      <c r="N6285">
        <v>-1.383712E-2</v>
      </c>
      <c r="O6285">
        <v>1.412882E-2</v>
      </c>
      <c r="P6285">
        <v>-0.99718320000000005</v>
      </c>
      <c r="Q6285">
        <v>-6.1840680000000002E-2</v>
      </c>
      <c r="R6285">
        <v>-4.2448010000000001E-2</v>
      </c>
      <c r="S6285">
        <v>-2.9465330000000001</v>
      </c>
      <c r="T6285">
        <v>-0.21796740000000001</v>
      </c>
      <c r="U6285">
        <v>-1.2009890000000001</v>
      </c>
      <c r="V6285">
        <v>-5.6553899999999997E-2</v>
      </c>
      <c r="W6285">
        <v>-4.802269E-2</v>
      </c>
      <c r="X6285">
        <v>0.99724389999999996</v>
      </c>
      <c r="Y6285">
        <v>-0.38936330000000002</v>
      </c>
      <c r="Z6285">
        <v>-1.7449570000000001E-2</v>
      </c>
      <c r="AA6285">
        <v>0.92091900000000004</v>
      </c>
      <c r="AB6285">
        <v>25</v>
      </c>
      <c r="AC6285">
        <v>-14.910799999999901</v>
      </c>
      <c r="AD6285">
        <v>-1.121021625427</v>
      </c>
      <c r="AE6285">
        <v>-6.1804999999999897</v>
      </c>
      <c r="AF6285">
        <v>-6.3598976452009603</v>
      </c>
      <c r="AG6285">
        <v>-1.121021625427</v>
      </c>
      <c r="AH6285">
        <v>14.750828072626801</v>
      </c>
      <c r="AI6285">
        <v>93.992027913996694</v>
      </c>
      <c r="AJ6285">
        <v>113.32354566457499</v>
      </c>
      <c r="AK6285">
        <v>16.102543785697399</v>
      </c>
      <c r="AL6285">
        <v>92.752556243393101</v>
      </c>
      <c r="AM6285">
        <v>93.245778510879305</v>
      </c>
      <c r="AN6285">
        <v>0.99999995922362706</v>
      </c>
    </row>
    <row r="6286" spans="1:40" x14ac:dyDescent="0.25">
      <c r="A6286" t="str">
        <f>"20190303153933865"</f>
        <v>20190303153933865</v>
      </c>
      <c r="B6286" t="str">
        <f>"1551598773855446"</f>
        <v>1551598773855446</v>
      </c>
      <c r="C6286" t="s">
        <v>40</v>
      </c>
      <c r="D6286">
        <v>3.8586200000000002</v>
      </c>
      <c r="E6286">
        <v>0.33071260000000002</v>
      </c>
      <c r="F6286" t="s">
        <v>44</v>
      </c>
      <c r="G6286">
        <v>-384.73259999999999</v>
      </c>
      <c r="H6286">
        <v>1.0372429999999999</v>
      </c>
      <c r="I6286">
        <v>140.82669999999999</v>
      </c>
      <c r="J6286">
        <v>-383.9658</v>
      </c>
      <c r="K6286">
        <v>1.121024</v>
      </c>
      <c r="L6286">
        <v>141.27789999999999</v>
      </c>
      <c r="M6286">
        <v>-0.99980230000000003</v>
      </c>
      <c r="N6286">
        <v>-1.3835709999999999E-2</v>
      </c>
      <c r="O6286">
        <v>1.4279439999999999E-2</v>
      </c>
      <c r="P6286">
        <v>-0.997139</v>
      </c>
      <c r="Q6286">
        <v>-6.1940639999999998E-2</v>
      </c>
      <c r="R6286">
        <v>-4.3328390000000001E-2</v>
      </c>
      <c r="S6286">
        <v>-2.9314879999999999</v>
      </c>
      <c r="T6286">
        <v>-0.26527420000000002</v>
      </c>
      <c r="U6286">
        <v>-1.4220120000000001</v>
      </c>
      <c r="V6286">
        <v>-5.7583570000000001E-2</v>
      </c>
      <c r="W6286">
        <v>-4.812458E-2</v>
      </c>
      <c r="X6286">
        <v>0.99718010000000001</v>
      </c>
      <c r="Y6286">
        <v>-0.44746279999999999</v>
      </c>
      <c r="Z6286">
        <v>-2.3445009999999999E-2</v>
      </c>
      <c r="AA6286">
        <v>0.89399519999999899</v>
      </c>
      <c r="AB6286">
        <v>25</v>
      </c>
      <c r="AC6286">
        <v>-0.76679999999998905</v>
      </c>
      <c r="AD6286">
        <v>-8.37809999999998E-2</v>
      </c>
      <c r="AE6286">
        <v>-0.45119999999999999</v>
      </c>
      <c r="AF6286">
        <v>-0.45804277941410998</v>
      </c>
      <c r="AG6286">
        <v>-8.37809999999998E-2</v>
      </c>
      <c r="AH6286">
        <v>0.75359573260258095</v>
      </c>
      <c r="AI6286">
        <v>95.426976113299006</v>
      </c>
      <c r="AJ6286">
        <v>121.291639103823</v>
      </c>
      <c r="AK6286">
        <v>0.88584929414163005</v>
      </c>
      <c r="AL6286">
        <v>92.758400763126801</v>
      </c>
      <c r="AM6286">
        <v>93.304955163994805</v>
      </c>
      <c r="AN6286">
        <v>0.99999999728506495</v>
      </c>
    </row>
    <row r="6287" spans="1:40" x14ac:dyDescent="0.25">
      <c r="A6287" t="str">
        <f>"20190303153933880"</f>
        <v>20190303153933880</v>
      </c>
      <c r="B6287" t="str">
        <f>"1551598773874967"</f>
        <v>1551598773874967</v>
      </c>
      <c r="C6287" t="s">
        <v>40</v>
      </c>
      <c r="D6287">
        <v>3.8441619999999999</v>
      </c>
      <c r="E6287">
        <v>0.32807209999999998</v>
      </c>
      <c r="F6287" t="s">
        <v>44</v>
      </c>
      <c r="G6287">
        <v>-384.80380000000002</v>
      </c>
      <c r="H6287">
        <v>1.0422819999999999</v>
      </c>
      <c r="I6287">
        <v>140.8552</v>
      </c>
      <c r="J6287">
        <v>-384.11939999999998</v>
      </c>
      <c r="K6287">
        <v>1.1210290000000001</v>
      </c>
      <c r="L6287">
        <v>141.28020000000001</v>
      </c>
      <c r="M6287">
        <v>-0.99980040000000003</v>
      </c>
      <c r="N6287">
        <v>-1.3834320000000001E-2</v>
      </c>
      <c r="O6287">
        <v>1.4424569999999999E-2</v>
      </c>
      <c r="P6287">
        <v>-0.99713110000000005</v>
      </c>
      <c r="Q6287">
        <v>-6.1756430000000001E-2</v>
      </c>
      <c r="R6287">
        <v>-4.3772579999999998E-2</v>
      </c>
      <c r="S6287">
        <v>-2.9272770000000001</v>
      </c>
      <c r="T6287">
        <v>-0.2750379</v>
      </c>
      <c r="U6287">
        <v>-1.477646</v>
      </c>
      <c r="V6287">
        <v>-5.8172729999999999E-2</v>
      </c>
      <c r="W6287">
        <v>-4.7941879999999999E-2</v>
      </c>
      <c r="X6287">
        <v>0.99715469999999895</v>
      </c>
      <c r="Y6287">
        <v>-0.4615126</v>
      </c>
      <c r="Z6287">
        <v>-2.488375E-2</v>
      </c>
      <c r="AA6287">
        <v>0.88678459999999903</v>
      </c>
      <c r="AB6287">
        <v>25</v>
      </c>
      <c r="AC6287">
        <v>-0.68440000000003898</v>
      </c>
      <c r="AD6287">
        <v>-7.8747000000000095E-2</v>
      </c>
      <c r="AE6287">
        <v>-0.42500000000001098</v>
      </c>
      <c r="AF6287">
        <v>-0.43071367418949702</v>
      </c>
      <c r="AG6287">
        <v>-7.8747000000000095E-2</v>
      </c>
      <c r="AH6287">
        <v>0.67177929168621398</v>
      </c>
      <c r="AI6287">
        <v>95.635737552126002</v>
      </c>
      <c r="AJ6287">
        <v>122.66610646233001</v>
      </c>
      <c r="AK6287">
        <v>0.80187453874109804</v>
      </c>
      <c r="AL6287">
        <v>92.747920739101005</v>
      </c>
      <c r="AM6287">
        <v>93.338778196712298</v>
      </c>
      <c r="AN6287">
        <v>0.99999999305283804</v>
      </c>
    </row>
    <row r="6288" spans="1:40" x14ac:dyDescent="0.25">
      <c r="A6288" t="str">
        <f>"20190303153933893"</f>
        <v>20190303153933893</v>
      </c>
      <c r="B6288" t="str">
        <f>"1551598773884726"</f>
        <v>1551598773884726</v>
      </c>
      <c r="C6288" t="s">
        <v>40</v>
      </c>
      <c r="D6288">
        <v>4.0726230000000001</v>
      </c>
      <c r="E6288">
        <v>0.32913779999999998</v>
      </c>
      <c r="F6288" t="s">
        <v>44</v>
      </c>
      <c r="G6288">
        <v>-384.95620000000002</v>
      </c>
      <c r="H6288">
        <v>1.041674</v>
      </c>
      <c r="I6288">
        <v>140.85130000000001</v>
      </c>
      <c r="J6288">
        <v>-384.267</v>
      </c>
      <c r="K6288">
        <v>1.1210290000000001</v>
      </c>
      <c r="L6288">
        <v>141.2825</v>
      </c>
      <c r="M6288">
        <v>-0.99979839999999998</v>
      </c>
      <c r="N6288">
        <v>-1.383295E-2</v>
      </c>
      <c r="O6288">
        <v>1.4563990000000001E-2</v>
      </c>
      <c r="P6288">
        <v>-0.99713960000000001</v>
      </c>
      <c r="Q6288">
        <v>-6.1261650000000001E-2</v>
      </c>
      <c r="R6288">
        <v>-4.4273449999999999E-2</v>
      </c>
      <c r="S6288">
        <v>-2.9256289999999998</v>
      </c>
      <c r="T6288">
        <v>-0.277445</v>
      </c>
      <c r="U6288">
        <v>-1.499817</v>
      </c>
      <c r="V6288">
        <v>-5.8812200000000002E-2</v>
      </c>
      <c r="W6288">
        <v>-4.744839E-2</v>
      </c>
      <c r="X6288">
        <v>0.99714080000000005</v>
      </c>
      <c r="Y6288">
        <v>-0.4671149</v>
      </c>
      <c r="Z6288">
        <v>-2.5355180000000001E-2</v>
      </c>
      <c r="AA6288">
        <v>0.88383299999999998</v>
      </c>
      <c r="AB6288">
        <v>25</v>
      </c>
      <c r="AC6288">
        <v>-0.68920000000002801</v>
      </c>
      <c r="AD6288">
        <v>-7.9354999999999995E-2</v>
      </c>
      <c r="AE6288">
        <v>-0.43119999999998898</v>
      </c>
      <c r="AF6288">
        <v>-0.43702879167787601</v>
      </c>
      <c r="AG6288">
        <v>-7.9354999999999995E-2</v>
      </c>
      <c r="AH6288">
        <v>0.67640167025492903</v>
      </c>
      <c r="AI6288">
        <v>95.627786796934302</v>
      </c>
      <c r="AJ6288">
        <v>122.866841414525</v>
      </c>
      <c r="AK6288">
        <v>0.80920368282903998</v>
      </c>
      <c r="AL6288">
        <v>92.7196136108047</v>
      </c>
      <c r="AM6288">
        <v>93.3754426196856</v>
      </c>
      <c r="AN6288">
        <v>0.99999999980353604</v>
      </c>
    </row>
    <row r="6289" spans="1:40" x14ac:dyDescent="0.25">
      <c r="A6289" t="str">
        <f>"20190303153933907"</f>
        <v>20190303153933907</v>
      </c>
      <c r="B6289" t="str">
        <f>"1551598773895463"</f>
        <v>1551598773895463</v>
      </c>
      <c r="C6289" t="s">
        <v>40</v>
      </c>
      <c r="D6289">
        <v>4.0752899999999999</v>
      </c>
      <c r="E6289">
        <v>0.33000289999999999</v>
      </c>
      <c r="F6289" t="s">
        <v>44</v>
      </c>
      <c r="G6289">
        <v>-385.16879999999998</v>
      </c>
      <c r="H6289">
        <v>1.0374239999999999</v>
      </c>
      <c r="I6289">
        <v>140.82259999999999</v>
      </c>
      <c r="J6289">
        <v>-384.423</v>
      </c>
      <c r="K6289">
        <v>1.121027</v>
      </c>
      <c r="L6289">
        <v>141.285</v>
      </c>
      <c r="M6289">
        <v>-0.99979629999999997</v>
      </c>
      <c r="N6289">
        <v>-1.383148E-2</v>
      </c>
      <c r="O6289">
        <v>1.471139E-2</v>
      </c>
      <c r="P6289">
        <v>-0.99710430000000005</v>
      </c>
      <c r="Q6289">
        <v>-6.109742E-2</v>
      </c>
      <c r="R6289">
        <v>-4.5281889999999998E-2</v>
      </c>
      <c r="S6289">
        <v>-2.9256289999999998</v>
      </c>
      <c r="T6289">
        <v>-0.27123140000000001</v>
      </c>
      <c r="U6289">
        <v>-1.4929349999999999</v>
      </c>
      <c r="V6289">
        <v>-5.996659E-2</v>
      </c>
      <c r="W6289">
        <v>-4.7286000000000002E-2</v>
      </c>
      <c r="X6289">
        <v>0.99707970000000001</v>
      </c>
      <c r="Y6289">
        <v>-0.46568209999999999</v>
      </c>
      <c r="Z6289">
        <v>-2.4808210000000001E-2</v>
      </c>
      <c r="AA6289">
        <v>0.88460430000000001</v>
      </c>
      <c r="AB6289">
        <v>25</v>
      </c>
      <c r="AC6289">
        <v>-0.74579999999997404</v>
      </c>
      <c r="AD6289">
        <v>-8.3603000000000094E-2</v>
      </c>
      <c r="AE6289">
        <v>-0.46240000000000198</v>
      </c>
      <c r="AF6289">
        <v>-0.46906511753765701</v>
      </c>
      <c r="AG6289">
        <v>-8.3603000000000094E-2</v>
      </c>
      <c r="AH6289">
        <v>0.73226937779701595</v>
      </c>
      <c r="AI6289">
        <v>95.491384807058395</v>
      </c>
      <c r="AJ6289">
        <v>122.64214625007099</v>
      </c>
      <c r="AK6289">
        <v>0.87363034960951702</v>
      </c>
      <c r="AL6289">
        <v>92.710299048055305</v>
      </c>
      <c r="AM6289">
        <v>93.441749859751297</v>
      </c>
      <c r="AN6289">
        <v>0.99999994293215699</v>
      </c>
    </row>
    <row r="6290" spans="1:40" x14ac:dyDescent="0.25">
      <c r="A6290" t="str">
        <f>"20190303153933929"</f>
        <v>20190303153933929</v>
      </c>
      <c r="B6290" t="str">
        <f>"1551598773924746"</f>
        <v>1551598773924746</v>
      </c>
      <c r="C6290" t="s">
        <v>40</v>
      </c>
      <c r="D6290">
        <v>4.0639370000000001</v>
      </c>
      <c r="E6290">
        <v>0.33176899999999998</v>
      </c>
      <c r="F6290" t="s">
        <v>44</v>
      </c>
      <c r="G6290">
        <v>-385.26100000000002</v>
      </c>
      <c r="H6290">
        <v>1.0443</v>
      </c>
      <c r="I6290">
        <v>140.8586</v>
      </c>
      <c r="J6290">
        <v>-384.66019999999997</v>
      </c>
      <c r="K6290">
        <v>1.121027</v>
      </c>
      <c r="L6290">
        <v>141.28870000000001</v>
      </c>
      <c r="M6290">
        <v>-0.99979300000000004</v>
      </c>
      <c r="N6290">
        <v>-1.382919E-2</v>
      </c>
      <c r="O6290">
        <v>1.493562E-2</v>
      </c>
      <c r="P6290">
        <v>-0.99713490000000005</v>
      </c>
      <c r="Q6290">
        <v>-6.0773130000000002E-2</v>
      </c>
      <c r="R6290">
        <v>-4.5044189999999998E-2</v>
      </c>
      <c r="S6290">
        <v>-2.924652</v>
      </c>
      <c r="T6290">
        <v>-0.26778750000000001</v>
      </c>
      <c r="U6290">
        <v>-1.488937</v>
      </c>
      <c r="V6290">
        <v>-5.9953239999999998E-2</v>
      </c>
      <c r="W6290">
        <v>-4.6963810000000002E-2</v>
      </c>
      <c r="X6290">
        <v>0.99709579999999998</v>
      </c>
      <c r="Y6290">
        <v>-0.46508430000000001</v>
      </c>
      <c r="Z6290">
        <v>-2.4532410000000001E-2</v>
      </c>
      <c r="AA6290">
        <v>0.8849264</v>
      </c>
      <c r="AB6290">
        <v>25</v>
      </c>
      <c r="AC6290">
        <v>-0.60079999999999201</v>
      </c>
      <c r="AD6290">
        <v>-7.6726999999999906E-2</v>
      </c>
      <c r="AE6290">
        <v>-0.43010000000000997</v>
      </c>
      <c r="AF6290">
        <v>-0.43434260566161798</v>
      </c>
      <c r="AG6290">
        <v>-7.6726999999999906E-2</v>
      </c>
      <c r="AH6290">
        <v>0.58796838920736605</v>
      </c>
      <c r="AI6290">
        <v>95.991925985036701</v>
      </c>
      <c r="AJ6290">
        <v>126.45393507076299</v>
      </c>
      <c r="AK6290">
        <v>0.735015209590271</v>
      </c>
      <c r="AL6290">
        <v>92.691818200636206</v>
      </c>
      <c r="AM6290">
        <v>93.440930057285001</v>
      </c>
      <c r="AN6290">
        <v>1.0000000124069199</v>
      </c>
    </row>
    <row r="6291" spans="1:40" x14ac:dyDescent="0.25">
      <c r="A6291" t="str">
        <f>"20190303153933945"</f>
        <v>20190303153933945</v>
      </c>
      <c r="B6291" t="str">
        <f>"1551598773935478"</f>
        <v>1551598773935478</v>
      </c>
      <c r="C6291" t="s">
        <v>40</v>
      </c>
      <c r="D6291">
        <v>4.0302619999999996</v>
      </c>
      <c r="E6291">
        <v>0.33198539999999999</v>
      </c>
      <c r="F6291" t="s">
        <v>42</v>
      </c>
      <c r="G6291">
        <v>-397.17759999999998</v>
      </c>
      <c r="H6291" s="1">
        <v>-2.1797949999999999E-6</v>
      </c>
      <c r="I6291">
        <v>134.9811</v>
      </c>
      <c r="J6291">
        <v>-384.8331</v>
      </c>
      <c r="K6291">
        <v>1.121032</v>
      </c>
      <c r="L6291">
        <v>141.29150000000001</v>
      </c>
      <c r="M6291">
        <v>-0.99979050000000003</v>
      </c>
      <c r="N6291">
        <v>-1.3827529999999999E-2</v>
      </c>
      <c r="O6291">
        <v>1.5099400000000001E-2</v>
      </c>
      <c r="P6291">
        <v>-0.99715860000000001</v>
      </c>
      <c r="Q6291">
        <v>-6.0765800000000002E-2</v>
      </c>
      <c r="R6291">
        <v>-4.4526629999999998E-2</v>
      </c>
      <c r="S6291">
        <v>-2.9260250000000001</v>
      </c>
      <c r="T6291">
        <v>-0.26204749999999999</v>
      </c>
      <c r="U6291">
        <v>-1.474426</v>
      </c>
      <c r="V6291">
        <v>-5.9599050000000001E-2</v>
      </c>
      <c r="W6291">
        <v>-4.6958079999999999E-2</v>
      </c>
      <c r="X6291">
        <v>0.99711729999999998</v>
      </c>
      <c r="Y6291">
        <v>-0.46164820000000001</v>
      </c>
      <c r="Z6291">
        <v>-2.3927650000000002E-2</v>
      </c>
      <c r="AA6291">
        <v>0.88674030000000004</v>
      </c>
      <c r="AB6291">
        <v>24</v>
      </c>
      <c r="AC6291">
        <v>-12.344499999999901</v>
      </c>
      <c r="AD6291">
        <v>-1.1210341797949901</v>
      </c>
      <c r="AE6291">
        <v>-6.3104000000000102</v>
      </c>
      <c r="AF6291">
        <v>-6.4538951280835199</v>
      </c>
      <c r="AG6291">
        <v>-1.1210341797949901</v>
      </c>
      <c r="AH6291">
        <v>12.1682401422292</v>
      </c>
      <c r="AI6291">
        <v>94.652968057706204</v>
      </c>
      <c r="AJ6291">
        <v>117.940966672854</v>
      </c>
      <c r="AK6291">
        <v>13.819390294637699</v>
      </c>
      <c r="AL6291">
        <v>92.691489542393398</v>
      </c>
      <c r="AM6291">
        <v>93.420576661883402</v>
      </c>
      <c r="AN6291">
        <v>1.00000000899873</v>
      </c>
    </row>
    <row r="6292" spans="1:40" x14ac:dyDescent="0.25">
      <c r="A6292" t="str">
        <f>"20190303153933958"</f>
        <v>20190303153933958</v>
      </c>
      <c r="B6292" t="str">
        <f>"1551598773954999"</f>
        <v>1551598773954999</v>
      </c>
      <c r="C6292" t="s">
        <v>40</v>
      </c>
      <c r="D6292">
        <v>4.0039680000000004</v>
      </c>
      <c r="E6292">
        <v>0.33218229999999999</v>
      </c>
      <c r="F6292" t="s">
        <v>44</v>
      </c>
      <c r="G6292">
        <v>-385.66809999999998</v>
      </c>
      <c r="H6292">
        <v>1.0464089999999999</v>
      </c>
      <c r="I6292">
        <v>140.87190000000001</v>
      </c>
      <c r="J6292">
        <v>-384.9828</v>
      </c>
      <c r="K6292">
        <v>1.1210290000000001</v>
      </c>
      <c r="L6292">
        <v>141.29390000000001</v>
      </c>
      <c r="M6292">
        <v>-0.99978829999999996</v>
      </c>
      <c r="N6292">
        <v>-1.3826069999999999E-2</v>
      </c>
      <c r="O6292">
        <v>1.524096E-2</v>
      </c>
      <c r="P6292">
        <v>-0.99719040000000003</v>
      </c>
      <c r="Q6292">
        <v>-6.07293E-2</v>
      </c>
      <c r="R6292">
        <v>-4.3857779999999999E-2</v>
      </c>
      <c r="S6292">
        <v>-2.9268800000000001</v>
      </c>
      <c r="T6292">
        <v>-0.26157010000000003</v>
      </c>
      <c r="U6292">
        <v>-1.4711459999999901</v>
      </c>
      <c r="V6292">
        <v>-5.9071369999999998E-2</v>
      </c>
      <c r="W6292">
        <v>-4.6922819999999997E-2</v>
      </c>
      <c r="X6292">
        <v>0.99715039999999999</v>
      </c>
      <c r="Y6292">
        <v>-0.46088499999999999</v>
      </c>
      <c r="Z6292">
        <v>-2.3860659999999999E-2</v>
      </c>
      <c r="AA6292">
        <v>0.88713899999999901</v>
      </c>
      <c r="AB6292">
        <v>24</v>
      </c>
      <c r="AC6292">
        <v>-0.68529999999998303</v>
      </c>
      <c r="AD6292">
        <v>-7.4620000000000103E-2</v>
      </c>
      <c r="AE6292">
        <v>-0.42199999999999599</v>
      </c>
      <c r="AF6292">
        <v>-0.42871117514920198</v>
      </c>
      <c r="AG6292">
        <v>-7.4620000000000103E-2</v>
      </c>
      <c r="AH6292">
        <v>0.67300260118286703</v>
      </c>
      <c r="AI6292">
        <v>95.342450057594405</v>
      </c>
      <c r="AJ6292">
        <v>122.49765229501099</v>
      </c>
      <c r="AK6292">
        <v>0.80143241592583103</v>
      </c>
      <c r="AL6292">
        <v>92.689466956151193</v>
      </c>
      <c r="AM6292">
        <v>93.390250129689704</v>
      </c>
      <c r="AN6292">
        <v>1.00000004900529</v>
      </c>
    </row>
    <row r="6293" spans="1:40" x14ac:dyDescent="0.25">
      <c r="A6293" t="str">
        <f>"20190303153933972"</f>
        <v>20190303153933972</v>
      </c>
      <c r="B6293" t="str">
        <f>"1551598773964759"</f>
        <v>1551598773964759</v>
      </c>
      <c r="C6293" t="s">
        <v>40</v>
      </c>
      <c r="D6293">
        <v>4.0168150000000002</v>
      </c>
      <c r="E6293">
        <v>0.33215840000000002</v>
      </c>
      <c r="F6293" t="s">
        <v>44</v>
      </c>
      <c r="G6293">
        <v>-385.8313</v>
      </c>
      <c r="H6293">
        <v>1.0454220000000001</v>
      </c>
      <c r="I6293">
        <v>140.86859999999999</v>
      </c>
      <c r="J6293">
        <v>-385.13010000000003</v>
      </c>
      <c r="K6293">
        <v>1.12103</v>
      </c>
      <c r="L6293">
        <v>141.2963</v>
      </c>
      <c r="M6293">
        <v>-0.99978610000000001</v>
      </c>
      <c r="N6293">
        <v>-1.3824650000000001E-2</v>
      </c>
      <c r="O6293">
        <v>1.5380319999999999E-2</v>
      </c>
      <c r="P6293">
        <v>-0.99720030000000004</v>
      </c>
      <c r="Q6293">
        <v>-6.1160359999999997E-2</v>
      </c>
      <c r="R6293">
        <v>-4.3026170000000002E-2</v>
      </c>
      <c r="S6293">
        <v>-2.9279790000000001</v>
      </c>
      <c r="T6293">
        <v>-0.26091409999999998</v>
      </c>
      <c r="U6293">
        <v>-1.4674990000000001</v>
      </c>
      <c r="V6293">
        <v>-5.8378819999999998E-2</v>
      </c>
      <c r="W6293">
        <v>-4.7355380000000002E-2</v>
      </c>
      <c r="X6293">
        <v>0.99717069999999997</v>
      </c>
      <c r="Y6293">
        <v>-0.46000350000000001</v>
      </c>
      <c r="Z6293">
        <v>-2.3772580000000001E-2</v>
      </c>
      <c r="AA6293">
        <v>0.88759880000000002</v>
      </c>
      <c r="AB6293">
        <v>24</v>
      </c>
      <c r="AC6293">
        <v>-0.70119999999997096</v>
      </c>
      <c r="AD6293">
        <v>-7.5608000000000106E-2</v>
      </c>
      <c r="AE6293">
        <v>-0.42770000000001501</v>
      </c>
      <c r="AF6293">
        <v>-0.43475107286857401</v>
      </c>
      <c r="AG6293">
        <v>-7.5608000000000106E-2</v>
      </c>
      <c r="AH6293">
        <v>0.68870225464824297</v>
      </c>
      <c r="AI6293">
        <v>95.303787333279203</v>
      </c>
      <c r="AJ6293">
        <v>122.262631797468</v>
      </c>
      <c r="AK6293">
        <v>0.81794612327582406</v>
      </c>
      <c r="AL6293">
        <v>92.714278500625994</v>
      </c>
      <c r="AM6293">
        <v>93.3505260307589</v>
      </c>
      <c r="AN6293">
        <v>1.00000001178901</v>
      </c>
    </row>
    <row r="6294" spans="1:40" x14ac:dyDescent="0.25">
      <c r="A6294" t="str">
        <f>"20190303153933987"</f>
        <v>20190303153933987</v>
      </c>
      <c r="B6294" t="str">
        <f>"1551598773974519"</f>
        <v>1551598773974519</v>
      </c>
      <c r="C6294" t="s">
        <v>40</v>
      </c>
      <c r="D6294">
        <v>3.80891</v>
      </c>
      <c r="E6294">
        <v>0.33116849999999998</v>
      </c>
      <c r="F6294" t="s">
        <v>44</v>
      </c>
      <c r="G6294">
        <v>-386.0428</v>
      </c>
      <c r="H6294">
        <v>1.0393680000000001</v>
      </c>
      <c r="I6294">
        <v>140.84</v>
      </c>
      <c r="J6294">
        <v>-385.29329999999999</v>
      </c>
      <c r="K6294">
        <v>1.1210260000000001</v>
      </c>
      <c r="L6294">
        <v>141.29900000000001</v>
      </c>
      <c r="M6294">
        <v>-0.9997838</v>
      </c>
      <c r="N6294">
        <v>-1.3823139999999999E-2</v>
      </c>
      <c r="O6294">
        <v>1.553499E-2</v>
      </c>
      <c r="P6294">
        <v>-0.9972413</v>
      </c>
      <c r="Q6294">
        <v>-6.1718429999999998E-2</v>
      </c>
      <c r="R6294">
        <v>-4.1238150000000001E-2</v>
      </c>
      <c r="S6294">
        <v>-2.929138</v>
      </c>
      <c r="T6294">
        <v>-0.26205410000000001</v>
      </c>
      <c r="U6294">
        <v>-1.4651179999999999</v>
      </c>
      <c r="V6294">
        <v>-5.6746779999999997E-2</v>
      </c>
      <c r="W6294">
        <v>-4.7914789999999999E-2</v>
      </c>
      <c r="X6294">
        <v>0.99723819999999996</v>
      </c>
      <c r="Y6294">
        <v>-0.45941110000000002</v>
      </c>
      <c r="Z6294">
        <v>-2.3839320000000001E-2</v>
      </c>
      <c r="AA6294">
        <v>0.88790369999999996</v>
      </c>
      <c r="AB6294">
        <v>24</v>
      </c>
      <c r="AC6294">
        <v>-0.74950000000001105</v>
      </c>
      <c r="AD6294">
        <v>-8.1657999999999994E-2</v>
      </c>
      <c r="AE6294">
        <v>-0.45900000000000302</v>
      </c>
      <c r="AF6294">
        <v>-0.46656158404131798</v>
      </c>
      <c r="AG6294">
        <v>-8.1657999999999994E-2</v>
      </c>
      <c r="AH6294">
        <v>0.73592540361028502</v>
      </c>
      <c r="AI6294">
        <v>95.353747422028903</v>
      </c>
      <c r="AJ6294">
        <v>122.373857576673</v>
      </c>
      <c r="AK6294">
        <v>0.87517651953540498</v>
      </c>
      <c r="AL6294">
        <v>92.746366720497704</v>
      </c>
      <c r="AM6294">
        <v>93.256843192399401</v>
      </c>
      <c r="AN6294">
        <v>1.00000002584017</v>
      </c>
    </row>
    <row r="6295" spans="1:40" x14ac:dyDescent="0.25">
      <c r="A6295" t="str">
        <f>"20190303153934007"</f>
        <v>20190303153934007</v>
      </c>
      <c r="B6295" t="str">
        <f>"1551598773995015"</f>
        <v>1551598773995015</v>
      </c>
      <c r="C6295" t="s">
        <v>40</v>
      </c>
      <c r="D6295">
        <v>3.9925959999999998</v>
      </c>
      <c r="E6295">
        <v>0.33040449999999999</v>
      </c>
      <c r="F6295" t="s">
        <v>44</v>
      </c>
      <c r="G6295">
        <v>-386.14980000000003</v>
      </c>
      <c r="H6295">
        <v>1.0428500000000001</v>
      </c>
      <c r="I6295">
        <v>140.87029999999999</v>
      </c>
      <c r="J6295">
        <v>-385.51459999999997</v>
      </c>
      <c r="K6295">
        <v>1.1210310000000001</v>
      </c>
      <c r="L6295">
        <v>141.30269999999999</v>
      </c>
      <c r="M6295">
        <v>-0.99978049999999996</v>
      </c>
      <c r="N6295">
        <v>-1.382094E-2</v>
      </c>
      <c r="O6295">
        <v>1.5744620000000001E-2</v>
      </c>
      <c r="P6295">
        <v>-0.99726649999999994</v>
      </c>
      <c r="Q6295">
        <v>-6.2160090000000001E-2</v>
      </c>
      <c r="R6295">
        <v>-3.99469E-2</v>
      </c>
      <c r="S6295">
        <v>-2.9310610000000001</v>
      </c>
      <c r="T6295">
        <v>-0.26750889999999999</v>
      </c>
      <c r="U6295">
        <v>-1.4678040000000001</v>
      </c>
      <c r="V6295">
        <v>-5.5664690000000003E-2</v>
      </c>
      <c r="W6295">
        <v>-4.8358619999999998E-2</v>
      </c>
      <c r="X6295">
        <v>0.99727770000000004</v>
      </c>
      <c r="Y6295">
        <v>-0.45994560000000001</v>
      </c>
      <c r="Z6295">
        <v>-2.429431E-2</v>
      </c>
      <c r="AA6295">
        <v>0.88761469999999898</v>
      </c>
      <c r="AB6295">
        <v>24</v>
      </c>
      <c r="AC6295">
        <v>-0.63520000000005405</v>
      </c>
      <c r="AD6295">
        <v>-7.8180999999999806E-2</v>
      </c>
      <c r="AE6295">
        <v>-0.43240000000000101</v>
      </c>
      <c r="AF6295">
        <v>-0.43781610026054502</v>
      </c>
      <c r="AG6295">
        <v>-7.8180999999999806E-2</v>
      </c>
      <c r="AH6295">
        <v>0.62187503499469998</v>
      </c>
      <c r="AI6295">
        <v>95.869249568563802</v>
      </c>
      <c r="AJ6295">
        <v>125.14653578874</v>
      </c>
      <c r="AK6295">
        <v>0.764541539458787</v>
      </c>
      <c r="AL6295">
        <v>92.771825995195798</v>
      </c>
      <c r="AM6295">
        <v>93.194742892173593</v>
      </c>
      <c r="AN6295">
        <v>0.99999996237919397</v>
      </c>
    </row>
    <row r="6296" spans="1:40" x14ac:dyDescent="0.25">
      <c r="A6296" t="str">
        <f>"20190303153934031"</f>
        <v>20190303153934031</v>
      </c>
      <c r="B6296" t="str">
        <f>"1551598774025274"</f>
        <v>1551598774025274</v>
      </c>
      <c r="C6296" t="s">
        <v>40</v>
      </c>
      <c r="D6296">
        <v>3.7687849999999998</v>
      </c>
      <c r="E6296">
        <v>0.3294009</v>
      </c>
      <c r="F6296" t="s">
        <v>42</v>
      </c>
      <c r="G6296">
        <v>-397.70740000000001</v>
      </c>
      <c r="H6296" s="1">
        <v>-1.9438419999999998E-6</v>
      </c>
      <c r="I6296">
        <v>135.19040000000001</v>
      </c>
      <c r="J6296">
        <v>-385.7638</v>
      </c>
      <c r="K6296">
        <v>1.1210310000000001</v>
      </c>
      <c r="L6296">
        <v>141.30690000000001</v>
      </c>
      <c r="M6296">
        <v>-0.99977680000000002</v>
      </c>
      <c r="N6296">
        <v>-1.3818449999999999E-2</v>
      </c>
      <c r="O6296">
        <v>1.598024E-2</v>
      </c>
      <c r="P6296">
        <v>-0.99730350000000001</v>
      </c>
      <c r="Q6296">
        <v>-6.2248860000000003E-2</v>
      </c>
      <c r="R6296">
        <v>-3.8868119999999999E-2</v>
      </c>
      <c r="S6296">
        <v>-2.9324949999999999</v>
      </c>
      <c r="T6296">
        <v>-0.26962160000000002</v>
      </c>
      <c r="U6296">
        <v>-1.470062</v>
      </c>
      <c r="V6296">
        <v>-5.4821769999999999E-2</v>
      </c>
      <c r="W6296">
        <v>-4.8449680000000002E-2</v>
      </c>
      <c r="X6296">
        <v>0.99731999999999998</v>
      </c>
      <c r="Y6296">
        <v>-0.4604994</v>
      </c>
      <c r="Z6296">
        <v>-2.449322E-2</v>
      </c>
      <c r="AA6296">
        <v>0.8873221</v>
      </c>
      <c r="AB6296">
        <v>24</v>
      </c>
      <c r="AC6296">
        <v>-11.9436</v>
      </c>
      <c r="AD6296">
        <v>-1.1210329438419999</v>
      </c>
      <c r="AE6296">
        <v>-6.1165000000000003</v>
      </c>
      <c r="AF6296">
        <v>-6.2628875840207199</v>
      </c>
      <c r="AG6296">
        <v>-1.1210329438419999</v>
      </c>
      <c r="AH6296">
        <v>11.7622290877833</v>
      </c>
      <c r="AI6296">
        <v>94.808727620512698</v>
      </c>
      <c r="AJ6296">
        <v>118.033405902949</v>
      </c>
      <c r="AK6296">
        <v>13.372752479005801</v>
      </c>
      <c r="AL6296">
        <v>92.777049394606294</v>
      </c>
      <c r="AM6296">
        <v>93.146330262584797</v>
      </c>
      <c r="AN6296">
        <v>0.99999999017901697</v>
      </c>
    </row>
    <row r="6297" spans="1:40" x14ac:dyDescent="0.25">
      <c r="A6297" t="str">
        <f>"20190303153934045"</f>
        <v>20190303153934045</v>
      </c>
      <c r="B6297" t="str">
        <f>"1551598774035031"</f>
        <v>1551598774035031</v>
      </c>
      <c r="C6297" t="s">
        <v>40</v>
      </c>
      <c r="D6297">
        <v>3.8695409999999999</v>
      </c>
      <c r="E6297">
        <v>0.32901589999999997</v>
      </c>
      <c r="F6297" t="s">
        <v>44</v>
      </c>
      <c r="G6297">
        <v>-386.6927</v>
      </c>
      <c r="H6297">
        <v>1.035283</v>
      </c>
      <c r="I6297">
        <v>140.8399</v>
      </c>
      <c r="J6297">
        <v>-385.9323</v>
      </c>
      <c r="K6297">
        <v>1.1210279999999999</v>
      </c>
      <c r="L6297">
        <v>141.3098</v>
      </c>
      <c r="M6297">
        <v>-0.99977419999999995</v>
      </c>
      <c r="N6297">
        <v>-1.3816760000000001E-2</v>
      </c>
      <c r="O6297">
        <v>1.6139919999999999E-2</v>
      </c>
      <c r="P6297">
        <v>-0.997336</v>
      </c>
      <c r="Q6297">
        <v>-6.2194850000000003E-2</v>
      </c>
      <c r="R6297">
        <v>-3.8114849999999999E-2</v>
      </c>
      <c r="S6297">
        <v>-2.9337770000000001</v>
      </c>
      <c r="T6297">
        <v>-0.27080490000000002</v>
      </c>
      <c r="U6297">
        <v>-1.4748380000000001</v>
      </c>
      <c r="V6297">
        <v>-5.4227930000000001E-2</v>
      </c>
      <c r="W6297">
        <v>-4.8397170000000003E-2</v>
      </c>
      <c r="X6297">
        <v>0.99735499999999999</v>
      </c>
      <c r="Y6297">
        <v>-0.46162160000000002</v>
      </c>
      <c r="Z6297">
        <v>-2.4640280000000001E-2</v>
      </c>
      <c r="AA6297">
        <v>0.88673469999999999</v>
      </c>
      <c r="AB6297">
        <v>24</v>
      </c>
      <c r="AC6297">
        <v>-0.76040000000000396</v>
      </c>
      <c r="AD6297">
        <v>-8.5745000000000099E-2</v>
      </c>
      <c r="AE6297">
        <v>-0.46989999999999499</v>
      </c>
      <c r="AF6297">
        <v>-0.477716989844787</v>
      </c>
      <c r="AG6297">
        <v>-8.5745000000000099E-2</v>
      </c>
      <c r="AH6297">
        <v>0.74585302299487499</v>
      </c>
      <c r="AI6297">
        <v>95.529436927397995</v>
      </c>
      <c r="AJ6297">
        <v>122.639459936683</v>
      </c>
      <c r="AK6297">
        <v>0.88986654017440003</v>
      </c>
      <c r="AL6297">
        <v>92.774037301124395</v>
      </c>
      <c r="AM6297">
        <v>93.112206969173002</v>
      </c>
      <c r="AN6297">
        <v>0.99999997524054596</v>
      </c>
    </row>
    <row r="6298" spans="1:40" x14ac:dyDescent="0.25">
      <c r="A6298" t="str">
        <f>"20190303153934064"</f>
        <v>20190303153934064</v>
      </c>
      <c r="B6298" t="str">
        <f>"1551598774054550"</f>
        <v>1551598774054550</v>
      </c>
      <c r="C6298" t="s">
        <v>40</v>
      </c>
      <c r="D6298">
        <v>3.7576960000000001</v>
      </c>
      <c r="E6298">
        <v>0.32761059999999997</v>
      </c>
      <c r="F6298" t="s">
        <v>44</v>
      </c>
      <c r="G6298">
        <v>-386.77159999999998</v>
      </c>
      <c r="H6298">
        <v>1.0430649999999999</v>
      </c>
      <c r="I6298">
        <v>140.8878</v>
      </c>
      <c r="J6298">
        <v>-386.12970000000001</v>
      </c>
      <c r="K6298">
        <v>1.1210260000000001</v>
      </c>
      <c r="L6298">
        <v>141.31319999999999</v>
      </c>
      <c r="M6298">
        <v>-0.99977130000000003</v>
      </c>
      <c r="N6298">
        <v>-1.3814770000000001E-2</v>
      </c>
      <c r="O6298">
        <v>1.632654E-2</v>
      </c>
      <c r="P6298">
        <v>-0.99734540000000005</v>
      </c>
      <c r="Q6298">
        <v>-6.2055649999999997E-2</v>
      </c>
      <c r="R6298">
        <v>-3.809473E-2</v>
      </c>
      <c r="S6298">
        <v>-2.9346619999999999</v>
      </c>
      <c r="T6298">
        <v>-0.272596</v>
      </c>
      <c r="U6298">
        <v>-1.4755100000000001</v>
      </c>
      <c r="V6298">
        <v>-5.439426E-2</v>
      </c>
      <c r="W6298">
        <v>-4.8259969999999999E-2</v>
      </c>
      <c r="X6298">
        <v>0.99735260000000003</v>
      </c>
      <c r="Y6298">
        <v>-0.46181820000000001</v>
      </c>
      <c r="Z6298">
        <v>-2.4798609999999999E-2</v>
      </c>
      <c r="AA6298">
        <v>0.88662790000000002</v>
      </c>
      <c r="AB6298">
        <v>24</v>
      </c>
      <c r="AC6298">
        <v>-0.64189999999996405</v>
      </c>
      <c r="AD6298">
        <v>-7.79610000000001E-2</v>
      </c>
      <c r="AE6298">
        <v>-0.425399999999996</v>
      </c>
      <c r="AF6298">
        <v>-0.43140266517659898</v>
      </c>
      <c r="AG6298">
        <v>-7.79610000000001E-2</v>
      </c>
      <c r="AH6298">
        <v>0.62842743359811104</v>
      </c>
      <c r="AI6298">
        <v>95.839739982686893</v>
      </c>
      <c r="AJ6298">
        <v>124.46880718250701</v>
      </c>
      <c r="AK6298">
        <v>0.76622921919043396</v>
      </c>
      <c r="AL6298">
        <v>92.766167098041393</v>
      </c>
      <c r="AM6298">
        <v>93.121741495983599</v>
      </c>
      <c r="AN6298">
        <v>0.99999998447605398</v>
      </c>
    </row>
    <row r="6299" spans="1:40" x14ac:dyDescent="0.25">
      <c r="A6299" t="str">
        <f>"20190303153934086"</f>
        <v>20190303153934086</v>
      </c>
      <c r="B6299" t="str">
        <f>"1551598774075046"</f>
        <v>1551598774075046</v>
      </c>
      <c r="C6299" t="s">
        <v>40</v>
      </c>
      <c r="D6299">
        <v>3.9588109999999999</v>
      </c>
      <c r="E6299">
        <v>0.3275305</v>
      </c>
      <c r="F6299" t="s">
        <v>44</v>
      </c>
      <c r="G6299">
        <v>-386.94560000000001</v>
      </c>
      <c r="H6299">
        <v>1.0445279999999999</v>
      </c>
      <c r="I6299">
        <v>140.90010000000001</v>
      </c>
      <c r="J6299">
        <v>-386.36649999999997</v>
      </c>
      <c r="K6299">
        <v>1.121024</v>
      </c>
      <c r="L6299">
        <v>141.31729999999999</v>
      </c>
      <c r="M6299">
        <v>-0.99976770000000004</v>
      </c>
      <c r="N6299">
        <v>-1.381225E-2</v>
      </c>
      <c r="O6299">
        <v>1.6548730000000001E-2</v>
      </c>
      <c r="P6299">
        <v>-0.99736619999999998</v>
      </c>
      <c r="Q6299">
        <v>-6.1869800000000003E-2</v>
      </c>
      <c r="R6299">
        <v>-3.7857099999999998E-2</v>
      </c>
      <c r="S6299">
        <v>-2.934113</v>
      </c>
      <c r="T6299">
        <v>-0.27508449999999901</v>
      </c>
      <c r="U6299">
        <v>-1.4868159999999999</v>
      </c>
      <c r="V6299">
        <v>-5.4377620000000002E-2</v>
      </c>
      <c r="W6299">
        <v>-4.8076639999999997E-2</v>
      </c>
      <c r="X6299">
        <v>0.99736239999999998</v>
      </c>
      <c r="Y6299">
        <v>-0.46475929999999999</v>
      </c>
      <c r="Z6299">
        <v>-2.515152E-2</v>
      </c>
      <c r="AA6299">
        <v>0.88507969999999903</v>
      </c>
      <c r="AB6299">
        <v>24</v>
      </c>
      <c r="AC6299">
        <v>-0.57910000000003903</v>
      </c>
      <c r="AD6299">
        <v>-7.6495999999999897E-2</v>
      </c>
      <c r="AE6299">
        <v>-0.41719999999997898</v>
      </c>
      <c r="AF6299">
        <v>-0.42188098209167002</v>
      </c>
      <c r="AG6299">
        <v>-7.6495999999999897E-2</v>
      </c>
      <c r="AH6299">
        <v>0.56561861703405203</v>
      </c>
      <c r="AI6299">
        <v>96.1871988701931</v>
      </c>
      <c r="AJ6299">
        <v>126.71834981514699</v>
      </c>
      <c r="AK6299">
        <v>0.70976025600349502</v>
      </c>
      <c r="AL6299">
        <v>92.755650749732595</v>
      </c>
      <c r="AM6299">
        <v>93.120757793572096</v>
      </c>
      <c r="AN6299">
        <v>1.00000002290215</v>
      </c>
    </row>
    <row r="6300" spans="1:40" x14ac:dyDescent="0.25">
      <c r="A6300" t="str">
        <f>"20190303153934103"</f>
        <v>20190303153934103</v>
      </c>
      <c r="B6300" t="str">
        <f>"1551598774094567"</f>
        <v>1551598774094567</v>
      </c>
      <c r="C6300" t="s">
        <v>40</v>
      </c>
      <c r="D6300">
        <v>4.2529599999999999</v>
      </c>
      <c r="E6300">
        <v>0.38749689999999998</v>
      </c>
      <c r="F6300" t="s">
        <v>44</v>
      </c>
      <c r="G6300">
        <v>-387.19470000000001</v>
      </c>
      <c r="H6300">
        <v>1.0441180000000001</v>
      </c>
      <c r="I6300">
        <v>140.89769999999999</v>
      </c>
      <c r="J6300">
        <v>-386.54509999999999</v>
      </c>
      <c r="K6300">
        <v>1.1210279999999999</v>
      </c>
      <c r="L6300">
        <v>141.32040000000001</v>
      </c>
      <c r="M6300">
        <v>-0.99976500000000001</v>
      </c>
      <c r="N6300">
        <v>-1.381042E-2</v>
      </c>
      <c r="O6300">
        <v>1.671338E-2</v>
      </c>
      <c r="P6300">
        <v>-0.99735649999999998</v>
      </c>
      <c r="Q6300">
        <v>-6.1981939999999999E-2</v>
      </c>
      <c r="R6300">
        <v>-3.7925830000000001E-2</v>
      </c>
      <c r="S6300">
        <v>-2.9346009999999998</v>
      </c>
      <c r="T6300">
        <v>-0.27250960000000002</v>
      </c>
      <c r="U6300">
        <v>-1.4867549999999901</v>
      </c>
      <c r="V6300">
        <v>-5.4610359999999997E-2</v>
      </c>
      <c r="W6300">
        <v>-4.8191060000000001E-2</v>
      </c>
      <c r="X6300">
        <v>0.99734409999999896</v>
      </c>
      <c r="Y6300">
        <v>-0.46486450000000001</v>
      </c>
      <c r="Z6300">
        <v>-2.4960550000000001E-2</v>
      </c>
      <c r="AA6300">
        <v>0.88502990000000004</v>
      </c>
      <c r="AB6300">
        <v>24</v>
      </c>
      <c r="AC6300">
        <v>-0.64960000000002005</v>
      </c>
      <c r="AD6300">
        <v>-7.6910000000000006E-2</v>
      </c>
      <c r="AE6300">
        <v>-0.42270000000002</v>
      </c>
      <c r="AF6300">
        <v>-0.42927160280305798</v>
      </c>
      <c r="AG6300">
        <v>-7.6910000000000006E-2</v>
      </c>
      <c r="AH6300">
        <v>0.63617885231206595</v>
      </c>
      <c r="AI6300">
        <v>95.722701840192499</v>
      </c>
      <c r="AJ6300">
        <v>124.010122484562</v>
      </c>
      <c r="AK6300">
        <v>0.77130589859160503</v>
      </c>
      <c r="AL6300">
        <v>92.762214309402694</v>
      </c>
      <c r="AM6300">
        <v>93.134145674794894</v>
      </c>
      <c r="AN6300">
        <v>0.99999996174403005</v>
      </c>
    </row>
    <row r="6301" spans="1:40" x14ac:dyDescent="0.25">
      <c r="A6301" t="str">
        <f>"20190303153934118"</f>
        <v>20190303153934118</v>
      </c>
      <c r="B6301" t="str">
        <f>"1551598774115063"</f>
        <v>1551598774115063</v>
      </c>
      <c r="C6301" t="s">
        <v>40</v>
      </c>
      <c r="D6301">
        <v>4.130852</v>
      </c>
      <c r="E6301">
        <v>0.41655350000000002</v>
      </c>
      <c r="F6301" t="s">
        <v>68</v>
      </c>
      <c r="G6301">
        <v>-408.10129999999998</v>
      </c>
      <c r="H6301" s="1">
        <v>-7.0483739999999998E-6</v>
      </c>
      <c r="I6301">
        <v>133.95830000000001</v>
      </c>
      <c r="J6301">
        <v>-386.72230000000002</v>
      </c>
      <c r="K6301">
        <v>1.1210279999999999</v>
      </c>
      <c r="L6301">
        <v>141.3236</v>
      </c>
      <c r="M6301">
        <v>-0.99976240000000005</v>
      </c>
      <c r="N6301">
        <v>-1.3808610000000001E-2</v>
      </c>
      <c r="O6301">
        <v>1.687398E-2</v>
      </c>
      <c r="P6301">
        <v>-0.99736320000000001</v>
      </c>
      <c r="Q6301">
        <v>-6.1719160000000002E-2</v>
      </c>
      <c r="R6301">
        <v>-3.8178629999999998E-2</v>
      </c>
      <c r="S6301">
        <v>-2.9599609999999998</v>
      </c>
      <c r="T6301">
        <v>-0.15393399999999999</v>
      </c>
      <c r="U6301">
        <v>-1.0109250000000001</v>
      </c>
      <c r="V6301">
        <v>-5.5022889999999998E-2</v>
      </c>
      <c r="W6301">
        <v>-4.7930430000000003E-2</v>
      </c>
      <c r="X6301">
        <v>0.99733400000000005</v>
      </c>
      <c r="Y6301">
        <v>-0.33858640000000001</v>
      </c>
      <c r="Z6301">
        <v>-1.158723E-2</v>
      </c>
      <c r="AA6301">
        <v>0.94086400000000003</v>
      </c>
      <c r="AB6301">
        <v>24</v>
      </c>
      <c r="AC6301">
        <v>-21.378999999999898</v>
      </c>
      <c r="AD6301">
        <v>-1.1210350483739999</v>
      </c>
      <c r="AE6301">
        <v>-7.3652999999999897</v>
      </c>
      <c r="AF6301">
        <v>-7.7060939354653204</v>
      </c>
      <c r="AG6301">
        <v>-1.1210350483739999</v>
      </c>
      <c r="AH6301">
        <v>21.199556561030501</v>
      </c>
      <c r="AI6301">
        <v>92.8451746076733</v>
      </c>
      <c r="AJ6301">
        <v>109.97633723167399</v>
      </c>
      <c r="AK6301">
        <v>22.5845478525966</v>
      </c>
      <c r="AL6301">
        <v>92.747263994121596</v>
      </c>
      <c r="AM6301">
        <v>93.157805382156894</v>
      </c>
      <c r="AN6301">
        <v>0.99999997604996804</v>
      </c>
    </row>
    <row r="6302" spans="1:40" x14ac:dyDescent="0.25">
      <c r="A6302" t="str">
        <f>"20190303153934142"</f>
        <v>20190303153934142</v>
      </c>
      <c r="B6302" t="str">
        <f>"1551598774135558"</f>
        <v>1551598774135558</v>
      </c>
      <c r="C6302" t="s">
        <v>40</v>
      </c>
      <c r="D6302">
        <v>4.1172940000000002</v>
      </c>
      <c r="E6302">
        <v>0.43378339999999999</v>
      </c>
      <c r="F6302" t="s">
        <v>68</v>
      </c>
      <c r="G6302">
        <v>-413.34269999999998</v>
      </c>
      <c r="H6302" s="1">
        <v>-8.068819E-6</v>
      </c>
      <c r="I6302">
        <v>134.32900000000001</v>
      </c>
      <c r="J6302">
        <v>-386.97059999999999</v>
      </c>
      <c r="K6302">
        <v>1.121038</v>
      </c>
      <c r="L6302">
        <v>141.32810000000001</v>
      </c>
      <c r="M6302">
        <v>-0.99975849999999999</v>
      </c>
      <c r="N6302">
        <v>-1.380605E-2</v>
      </c>
      <c r="O6302">
        <v>1.70942E-2</v>
      </c>
      <c r="P6302">
        <v>-0.99733170000000004</v>
      </c>
      <c r="Q6302">
        <v>-6.1885540000000003E-2</v>
      </c>
      <c r="R6302">
        <v>-3.8724559999999998E-2</v>
      </c>
      <c r="S6302">
        <v>-2.9702449999999998</v>
      </c>
      <c r="T6302">
        <v>-0.1250829</v>
      </c>
      <c r="U6302">
        <v>-0.7804413</v>
      </c>
      <c r="V6302">
        <v>-5.57876E-2</v>
      </c>
      <c r="W6302">
        <v>-4.8100459999999998E-2</v>
      </c>
      <c r="X6302">
        <v>0.99728329999999998</v>
      </c>
      <c r="Y6302">
        <v>-0.27031620000000001</v>
      </c>
      <c r="Z6302">
        <v>-7.9687390000000007E-3</v>
      </c>
      <c r="AA6302">
        <v>0.9627386</v>
      </c>
      <c r="AB6302">
        <v>24</v>
      </c>
      <c r="AC6302">
        <v>-26.3720999999999</v>
      </c>
      <c r="AD6302">
        <v>-1.121046068819</v>
      </c>
      <c r="AE6302">
        <v>-6.9990999999999897</v>
      </c>
      <c r="AF6302">
        <v>-7.43637676320769</v>
      </c>
      <c r="AG6302">
        <v>-1.121046068819</v>
      </c>
      <c r="AH6302">
        <v>26.204355010061001</v>
      </c>
      <c r="AI6302">
        <v>92.356722810668799</v>
      </c>
      <c r="AJ6302">
        <v>105.84309374662401</v>
      </c>
      <c r="AK6302">
        <v>27.2621471118124</v>
      </c>
      <c r="AL6302">
        <v>92.757017329480206</v>
      </c>
      <c r="AM6302">
        <v>93.201764418490001</v>
      </c>
      <c r="AN6302">
        <v>0.99999994551242899</v>
      </c>
    </row>
    <row r="6303" spans="1:40" x14ac:dyDescent="0.25">
      <c r="A6303" t="str">
        <f>"20190303153934158"</f>
        <v>20190303153934158</v>
      </c>
      <c r="B6303" t="str">
        <f>"1551598774145319"</f>
        <v>1551598774145319</v>
      </c>
      <c r="C6303" t="s">
        <v>40</v>
      </c>
      <c r="D6303">
        <v>4.130566</v>
      </c>
      <c r="E6303">
        <v>0.43864809999999999</v>
      </c>
      <c r="F6303" t="s">
        <v>68</v>
      </c>
      <c r="G6303">
        <v>-415.08109999999999</v>
      </c>
      <c r="H6303" s="1">
        <v>-8.312431E-6</v>
      </c>
      <c r="I6303">
        <v>135.23570000000001</v>
      </c>
      <c r="J6303">
        <v>-387.1343</v>
      </c>
      <c r="K6303">
        <v>1.12104</v>
      </c>
      <c r="L6303">
        <v>141.33099999999999</v>
      </c>
      <c r="M6303">
        <v>-0.99975630000000004</v>
      </c>
      <c r="N6303">
        <v>-1.380438E-2</v>
      </c>
      <c r="O6303">
        <v>1.7235529999999999E-2</v>
      </c>
      <c r="P6303">
        <v>-0.99729820000000002</v>
      </c>
      <c r="Q6303">
        <v>-6.2151690000000002E-2</v>
      </c>
      <c r="R6303">
        <v>-3.9160420000000001E-2</v>
      </c>
      <c r="S6303">
        <v>-2.9755859999999998</v>
      </c>
      <c r="T6303">
        <v>-0.1186668</v>
      </c>
      <c r="U6303">
        <v>-0.64489750000000001</v>
      </c>
      <c r="V6303">
        <v>-5.6363219999999999E-2</v>
      </c>
      <c r="W6303">
        <v>-4.8369179999999998E-2</v>
      </c>
      <c r="X6303">
        <v>0.99723799999999996</v>
      </c>
      <c r="Y6303">
        <v>-0.22838510000000001</v>
      </c>
      <c r="Z6303">
        <v>-6.5398160000000004E-3</v>
      </c>
      <c r="AA6303">
        <v>0.97354890000000005</v>
      </c>
      <c r="AB6303">
        <v>24</v>
      </c>
      <c r="AC6303">
        <v>-27.9468</v>
      </c>
      <c r="AD6303">
        <v>-1.121048312431</v>
      </c>
      <c r="AE6303">
        <v>-6.0952999999999999</v>
      </c>
      <c r="AF6303">
        <v>-6.5660324866638202</v>
      </c>
      <c r="AG6303">
        <v>-1.121048312431</v>
      </c>
      <c r="AH6303">
        <v>27.794888207723901</v>
      </c>
      <c r="AI6303">
        <v>92.247849302536807</v>
      </c>
      <c r="AJ6303">
        <v>103.29140834834099</v>
      </c>
      <c r="AK6303">
        <v>28.5819058569333</v>
      </c>
      <c r="AL6303">
        <v>92.772431617067298</v>
      </c>
      <c r="AM6303">
        <v>93.234877257549201</v>
      </c>
      <c r="AN6303">
        <v>1.0000000093933199</v>
      </c>
    </row>
    <row r="6304" spans="1:40" x14ac:dyDescent="0.25">
      <c r="A6304" t="str">
        <f>"20190303153934171"</f>
        <v>20190303153934171</v>
      </c>
      <c r="B6304" t="str">
        <f>"1551598774164839"</f>
        <v>1551598774164839</v>
      </c>
      <c r="C6304" t="s">
        <v>40</v>
      </c>
      <c r="D6304">
        <v>4.0927030000000002</v>
      </c>
      <c r="E6304">
        <v>0.44516549999999999</v>
      </c>
      <c r="F6304" t="s">
        <v>68</v>
      </c>
      <c r="G6304">
        <v>-415.32589999999999</v>
      </c>
      <c r="H6304" s="1">
        <v>-8.44101E-6</v>
      </c>
      <c r="I6304">
        <v>135.57910000000001</v>
      </c>
      <c r="J6304">
        <v>-387.28910000000002</v>
      </c>
      <c r="K6304">
        <v>1.1210450000000001</v>
      </c>
      <c r="L6304">
        <v>141.3338</v>
      </c>
      <c r="M6304">
        <v>-0.99975389999999997</v>
      </c>
      <c r="N6304">
        <v>-1.3802770000000001E-2</v>
      </c>
      <c r="O6304">
        <v>1.736733E-2</v>
      </c>
      <c r="P6304">
        <v>-0.9972278</v>
      </c>
      <c r="Q6304">
        <v>-6.2831010000000007E-2</v>
      </c>
      <c r="R6304">
        <v>-3.9864410000000003E-2</v>
      </c>
      <c r="S6304">
        <v>-2.9768979999999998</v>
      </c>
      <c r="T6304">
        <v>-0.11837739999999999</v>
      </c>
      <c r="U6304">
        <v>-0.60737609999999997</v>
      </c>
      <c r="V6304">
        <v>-5.7197249999999998E-2</v>
      </c>
      <c r="W6304">
        <v>-4.9051400000000002E-2</v>
      </c>
      <c r="X6304">
        <v>0.99715719999999997</v>
      </c>
      <c r="Y6304">
        <v>-0.21667030000000001</v>
      </c>
      <c r="Z6304">
        <v>-6.2203060000000001E-3</v>
      </c>
      <c r="AA6304">
        <v>0.97622500000000001</v>
      </c>
      <c r="AB6304">
        <v>24</v>
      </c>
      <c r="AC6304">
        <v>-28.0367999999999</v>
      </c>
      <c r="AD6304">
        <v>-1.1210534410099999</v>
      </c>
      <c r="AE6304">
        <v>-5.7546999999999802</v>
      </c>
      <c r="AF6304">
        <v>-6.2312428421209001</v>
      </c>
      <c r="AG6304">
        <v>-1.1210534410099999</v>
      </c>
      <c r="AH6304">
        <v>27.8898295044722</v>
      </c>
      <c r="AI6304">
        <v>92.246481051853095</v>
      </c>
      <c r="AJ6304">
        <v>102.59437923518701</v>
      </c>
      <c r="AK6304">
        <v>28.599435972823098</v>
      </c>
      <c r="AL6304">
        <v>92.811566359777203</v>
      </c>
      <c r="AM6304">
        <v>93.282906572412998</v>
      </c>
      <c r="AN6304">
        <v>1.0000000233806801</v>
      </c>
    </row>
    <row r="6305" spans="1:40" x14ac:dyDescent="0.25">
      <c r="A6305" t="str">
        <f>"20190303153934186"</f>
        <v>20190303153934186</v>
      </c>
      <c r="B6305" t="str">
        <f>"1551598774174599"</f>
        <v>1551598774174599</v>
      </c>
      <c r="C6305" t="s">
        <v>40</v>
      </c>
      <c r="D6305">
        <v>4.1321890000000003</v>
      </c>
      <c r="E6305">
        <v>0.44737349999999998</v>
      </c>
      <c r="F6305" t="s">
        <v>68</v>
      </c>
      <c r="G6305">
        <v>-415.42619999999999</v>
      </c>
      <c r="H6305" s="1">
        <v>-8.6451509999999906E-6</v>
      </c>
      <c r="I6305">
        <v>136.06630000000001</v>
      </c>
      <c r="J6305">
        <v>-387.44830000000002</v>
      </c>
      <c r="K6305">
        <v>1.1210500000000001</v>
      </c>
      <c r="L6305">
        <v>141.33670000000001</v>
      </c>
      <c r="M6305">
        <v>-0.99975170000000002</v>
      </c>
      <c r="N6305">
        <v>-1.380113E-2</v>
      </c>
      <c r="O6305">
        <v>1.7499790000000001E-2</v>
      </c>
      <c r="P6305">
        <v>-0.99720509999999996</v>
      </c>
      <c r="Q6305">
        <v>-6.2874620000000006E-2</v>
      </c>
      <c r="R6305">
        <v>-4.0358699999999997E-2</v>
      </c>
      <c r="S6305">
        <v>-2.9785460000000001</v>
      </c>
      <c r="T6305">
        <v>-0.1186731</v>
      </c>
      <c r="U6305">
        <v>-0.55761719999999904</v>
      </c>
      <c r="V6305">
        <v>-5.7822850000000002E-2</v>
      </c>
      <c r="W6305">
        <v>-4.9097340000000003E-2</v>
      </c>
      <c r="X6305">
        <v>0.99711879999999997</v>
      </c>
      <c r="Y6305">
        <v>-0.20097380000000001</v>
      </c>
      <c r="Z6305">
        <v>-5.8191369999999899E-3</v>
      </c>
      <c r="AA6305">
        <v>0.97957930000000004</v>
      </c>
      <c r="AB6305">
        <v>24</v>
      </c>
      <c r="AC6305">
        <v>-27.977899999999899</v>
      </c>
      <c r="AD6305">
        <v>-1.1210586451510001</v>
      </c>
      <c r="AE6305">
        <v>-5.2703999999999898</v>
      </c>
      <c r="AF6305">
        <v>-5.7503306383602499</v>
      </c>
      <c r="AG6305">
        <v>-1.1210586451510001</v>
      </c>
      <c r="AH6305">
        <v>27.838210989626401</v>
      </c>
      <c r="AI6305">
        <v>92.258455809501797</v>
      </c>
      <c r="AJ6305">
        <v>101.671014230867</v>
      </c>
      <c r="AK6305">
        <v>28.4480063631758</v>
      </c>
      <c r="AL6305">
        <v>92.814201864563103</v>
      </c>
      <c r="AM6305">
        <v>93.318861349474901</v>
      </c>
      <c r="AN6305">
        <v>0.99999996604531805</v>
      </c>
    </row>
    <row r="6306" spans="1:40" x14ac:dyDescent="0.25">
      <c r="A6306" t="str">
        <f>"20190303153934199"</f>
        <v>20190303153934199</v>
      </c>
      <c r="B6306" t="str">
        <f>"1551598774195095"</f>
        <v>1551598774195095</v>
      </c>
      <c r="C6306" t="s">
        <v>40</v>
      </c>
      <c r="D6306">
        <v>4.1198739999999896</v>
      </c>
      <c r="E6306">
        <v>0.45069429999999999</v>
      </c>
      <c r="F6306" t="s">
        <v>68</v>
      </c>
      <c r="G6306">
        <v>-416.01060000000001</v>
      </c>
      <c r="H6306" s="1">
        <v>-8.6284330000000005E-6</v>
      </c>
      <c r="I6306">
        <v>136.1454</v>
      </c>
      <c r="J6306">
        <v>-387.58960000000002</v>
      </c>
      <c r="K6306">
        <v>1.121048</v>
      </c>
      <c r="L6306">
        <v>141.33930000000001</v>
      </c>
      <c r="M6306">
        <v>-0.99974960000000002</v>
      </c>
      <c r="N6306">
        <v>-1.379966E-2</v>
      </c>
      <c r="O6306">
        <v>1.7615749999999999E-2</v>
      </c>
      <c r="P6306">
        <v>-0.99713249999999998</v>
      </c>
      <c r="Q6306">
        <v>-6.3049900000000006E-2</v>
      </c>
      <c r="R6306">
        <v>-4.1848120000000003E-2</v>
      </c>
      <c r="S6306">
        <v>-2.9791560000000001</v>
      </c>
      <c r="T6306">
        <v>-0.11693099999999999</v>
      </c>
      <c r="U6306">
        <v>-0.54147339999999999</v>
      </c>
      <c r="V6306">
        <v>-5.9425989999999998E-2</v>
      </c>
      <c r="W6306">
        <v>-4.927525E-2</v>
      </c>
      <c r="X6306">
        <v>0.99701580000000001</v>
      </c>
      <c r="Y6306">
        <v>-0.1959255</v>
      </c>
      <c r="Z6306">
        <v>-5.6207239999999997E-3</v>
      </c>
      <c r="AA6306">
        <v>0.98060270000000005</v>
      </c>
      <c r="AB6306">
        <v>24</v>
      </c>
      <c r="AC6306">
        <v>-28.4209999999999</v>
      </c>
      <c r="AD6306">
        <v>-1.1210566284329999</v>
      </c>
      <c r="AE6306">
        <v>-5.19390000000001</v>
      </c>
      <c r="AF6306">
        <v>-5.68523913081928</v>
      </c>
      <c r="AG6306">
        <v>-1.1210566284329999</v>
      </c>
      <c r="AH6306">
        <v>28.282503840656599</v>
      </c>
      <c r="AI6306">
        <v>92.225420703369295</v>
      </c>
      <c r="AJ6306">
        <v>101.365901592348</v>
      </c>
      <c r="AK6306">
        <v>28.870031787919899</v>
      </c>
      <c r="AL6306">
        <v>92.8244076083582</v>
      </c>
      <c r="AM6306">
        <v>93.411014085326102</v>
      </c>
      <c r="AN6306">
        <v>1.0000000019998401</v>
      </c>
    </row>
    <row r="6307" spans="1:40" x14ac:dyDescent="0.25">
      <c r="A6307" t="str">
        <f>"20190303153934220"</f>
        <v>20190303153934220</v>
      </c>
      <c r="B6307" t="str">
        <f>"1551598774214615"</f>
        <v>1551598774214615</v>
      </c>
      <c r="C6307" t="s">
        <v>40</v>
      </c>
      <c r="D6307">
        <v>4.1233380000000004</v>
      </c>
      <c r="E6307">
        <v>0.45301449999999999</v>
      </c>
      <c r="F6307" t="s">
        <v>68</v>
      </c>
      <c r="G6307">
        <v>-416.40519999999998</v>
      </c>
      <c r="H6307" s="1">
        <v>-8.6681549999999997E-6</v>
      </c>
      <c r="I6307">
        <v>136.31559999999999</v>
      </c>
      <c r="J6307">
        <v>-387.8143</v>
      </c>
      <c r="K6307">
        <v>1.1210530000000001</v>
      </c>
      <c r="L6307">
        <v>141.34350000000001</v>
      </c>
      <c r="M6307">
        <v>-0.99974640000000004</v>
      </c>
      <c r="N6307">
        <v>-1.379733E-2</v>
      </c>
      <c r="O6307">
        <v>1.7796860000000001E-2</v>
      </c>
      <c r="P6307">
        <v>-0.99704859999999995</v>
      </c>
      <c r="Q6307">
        <v>-6.3283049999999993E-2</v>
      </c>
      <c r="R6307">
        <v>-4.3468960000000001E-2</v>
      </c>
      <c r="S6307">
        <v>-2.9794619999999998</v>
      </c>
      <c r="T6307">
        <v>-0.1159147</v>
      </c>
      <c r="U6307">
        <v>-0.51943969999999995</v>
      </c>
      <c r="V6307">
        <v>-6.1225090000000003E-2</v>
      </c>
      <c r="W6307">
        <v>-4.9512140000000003E-2</v>
      </c>
      <c r="X6307">
        <v>0.99689519999999998</v>
      </c>
      <c r="Y6307">
        <v>-0.1890616</v>
      </c>
      <c r="Z6307">
        <v>-5.4071550000000003E-3</v>
      </c>
      <c r="AA6307">
        <v>0.98195030000000005</v>
      </c>
      <c r="AB6307">
        <v>24</v>
      </c>
      <c r="AC6307">
        <v>-28.590899999999898</v>
      </c>
      <c r="AD6307">
        <v>-1.1210616681550001</v>
      </c>
      <c r="AE6307">
        <v>-5.0279000000000096</v>
      </c>
      <c r="AF6307">
        <v>-5.5277365174154998</v>
      </c>
      <c r="AG6307">
        <v>-1.1210616681550001</v>
      </c>
      <c r="AH6307">
        <v>28.4544464605091</v>
      </c>
      <c r="AI6307">
        <v>92.214835392207704</v>
      </c>
      <c r="AJ6307">
        <v>100.993698629123</v>
      </c>
      <c r="AK6307">
        <v>29.0080708362993</v>
      </c>
      <c r="AL6307">
        <v>92.837996993758907</v>
      </c>
      <c r="AM6307">
        <v>93.514450348751893</v>
      </c>
      <c r="AN6307">
        <v>1.00000000171796</v>
      </c>
    </row>
    <row r="6308" spans="1:40" x14ac:dyDescent="0.25">
      <c r="A6308" t="str">
        <f>"20190303153934241"</f>
        <v>20190303153934241</v>
      </c>
      <c r="B6308" t="str">
        <f>"1551598774235111"</f>
        <v>1551598774235111</v>
      </c>
      <c r="C6308" t="s">
        <v>40</v>
      </c>
      <c r="D6308">
        <v>4.1083790000000002</v>
      </c>
      <c r="E6308">
        <v>0.45477040000000002</v>
      </c>
      <c r="F6308" t="s">
        <v>68</v>
      </c>
      <c r="G6308">
        <v>-416.67189999999999</v>
      </c>
      <c r="H6308" s="1">
        <v>-8.7014369999999905E-6</v>
      </c>
      <c r="I6308">
        <v>136.44540000000001</v>
      </c>
      <c r="J6308">
        <v>-388.04500000000002</v>
      </c>
      <c r="K6308">
        <v>1.1210549999999999</v>
      </c>
      <c r="L6308">
        <v>141.34780000000001</v>
      </c>
      <c r="M6308">
        <v>-0.9997433</v>
      </c>
      <c r="N6308">
        <v>-1.379492E-2</v>
      </c>
      <c r="O6308">
        <v>1.7978750000000002E-2</v>
      </c>
      <c r="P6308">
        <v>-0.99696399999999996</v>
      </c>
      <c r="Q6308">
        <v>-6.3128260000000005E-2</v>
      </c>
      <c r="R6308">
        <v>-4.5583699999999998E-2</v>
      </c>
      <c r="S6308">
        <v>-2.979492</v>
      </c>
      <c r="T6308">
        <v>-0.1157475</v>
      </c>
      <c r="U6308">
        <v>-0.505722</v>
      </c>
      <c r="V6308">
        <v>-6.3519000000000006E-2</v>
      </c>
      <c r="W6308">
        <v>-4.9361170000000003E-2</v>
      </c>
      <c r="X6308">
        <v>0.99675919999999896</v>
      </c>
      <c r="Y6308">
        <v>-0.1848504</v>
      </c>
      <c r="Z6308">
        <v>-5.2958119999999996E-3</v>
      </c>
      <c r="AA6308">
        <v>0.98275239999999997</v>
      </c>
      <c r="AB6308">
        <v>24</v>
      </c>
      <c r="AC6308">
        <v>-28.6268999999999</v>
      </c>
      <c r="AD6308">
        <v>-1.121063701437</v>
      </c>
      <c r="AE6308">
        <v>-4.9024000000000001</v>
      </c>
      <c r="AF6308">
        <v>-5.40827446102195</v>
      </c>
      <c r="AG6308">
        <v>-1.121063701437</v>
      </c>
      <c r="AH6308">
        <v>28.4916748438092</v>
      </c>
      <c r="AI6308">
        <v>92.213768939243394</v>
      </c>
      <c r="AJ6308">
        <v>100.747983239685</v>
      </c>
      <c r="AK6308">
        <v>29.022090756418201</v>
      </c>
      <c r="AL6308">
        <v>92.829336336032696</v>
      </c>
      <c r="AM6308">
        <v>93.646273004822106</v>
      </c>
      <c r="AN6308">
        <v>1.0000000456247</v>
      </c>
    </row>
    <row r="6309" spans="1:40" x14ac:dyDescent="0.25">
      <c r="A6309" t="str">
        <f>"20190303153934264"</f>
        <v>20190303153934264</v>
      </c>
      <c r="B6309" t="str">
        <f>"1551598774254632"</f>
        <v>1551598774254632</v>
      </c>
      <c r="C6309" t="s">
        <v>40</v>
      </c>
      <c r="D6309">
        <v>4.1001640000000004</v>
      </c>
      <c r="E6309">
        <v>0.45613029999999999</v>
      </c>
      <c r="F6309" t="s">
        <v>68</v>
      </c>
      <c r="G6309">
        <v>-417.22449999999998</v>
      </c>
      <c r="H6309" s="1">
        <v>-8.6755950000000001E-6</v>
      </c>
      <c r="I6309">
        <v>136.4691</v>
      </c>
      <c r="J6309">
        <v>-388.28879999999998</v>
      </c>
      <c r="K6309">
        <v>1.1210580000000001</v>
      </c>
      <c r="L6309">
        <v>141.35239999999999</v>
      </c>
      <c r="M6309">
        <v>-0.99973979999999996</v>
      </c>
      <c r="N6309">
        <v>-1.379236E-2</v>
      </c>
      <c r="O6309">
        <v>1.8168139999999999E-2</v>
      </c>
      <c r="P6309">
        <v>-0.99684170000000005</v>
      </c>
      <c r="Q6309">
        <v>-6.2230639999999997E-2</v>
      </c>
      <c r="R6309">
        <v>-4.933995E-2</v>
      </c>
      <c r="S6309">
        <v>-2.9791560000000001</v>
      </c>
      <c r="T6309">
        <v>-0.11445809999999999</v>
      </c>
      <c r="U6309">
        <v>-0.49810789999999999</v>
      </c>
      <c r="V6309">
        <v>-6.7460190000000003E-2</v>
      </c>
      <c r="W6309">
        <v>-4.8467959999999997E-2</v>
      </c>
      <c r="X6309">
        <v>0.99654399999999999</v>
      </c>
      <c r="Y6309">
        <v>-0.18261769999999999</v>
      </c>
      <c r="Z6309">
        <v>-5.1957959999999999E-3</v>
      </c>
      <c r="AA6309">
        <v>0.98317030000000005</v>
      </c>
      <c r="AB6309">
        <v>24</v>
      </c>
      <c r="AC6309">
        <v>-28.935700000000001</v>
      </c>
      <c r="AD6309">
        <v>-1.1210666755949901</v>
      </c>
      <c r="AE6309">
        <v>-4.8832999999999904</v>
      </c>
      <c r="AF6309">
        <v>-5.4003699621757404</v>
      </c>
      <c r="AG6309">
        <v>-1.1210666755949901</v>
      </c>
      <c r="AH6309">
        <v>28.800160915646799</v>
      </c>
      <c r="AI6309">
        <v>92.191005734835301</v>
      </c>
      <c r="AJ6309">
        <v>100.62030830460699</v>
      </c>
      <c r="AK6309">
        <v>29.323540969443801</v>
      </c>
      <c r="AL6309">
        <v>92.778098015678296</v>
      </c>
      <c r="AM6309">
        <v>93.8726802708387</v>
      </c>
      <c r="AN6309">
        <v>0.99999998215869801</v>
      </c>
    </row>
    <row r="6310" spans="1:40" x14ac:dyDescent="0.25">
      <c r="A6310" t="str">
        <f>"20190303153934286"</f>
        <v>20190303153934286</v>
      </c>
      <c r="B6310" t="str">
        <f>"1551598774275127"</f>
        <v>1551598774275127</v>
      </c>
      <c r="C6310" t="s">
        <v>40</v>
      </c>
      <c r="D6310">
        <v>4.1383140000000003</v>
      </c>
      <c r="E6310">
        <v>0.45732499999999998</v>
      </c>
      <c r="F6310" t="s">
        <v>68</v>
      </c>
      <c r="G6310">
        <v>-418.46929999999998</v>
      </c>
      <c r="H6310" s="1">
        <v>-8.5350200000000001E-6</v>
      </c>
      <c r="I6310">
        <v>136.3013</v>
      </c>
      <c r="J6310">
        <v>-388.5215</v>
      </c>
      <c r="K6310">
        <v>1.1210420000000001</v>
      </c>
      <c r="L6310">
        <v>141.35679999999999</v>
      </c>
      <c r="M6310">
        <v>-0.9997376</v>
      </c>
      <c r="N6310">
        <v>-1.371323E-2</v>
      </c>
      <c r="O6310">
        <v>1.8349560000000001E-2</v>
      </c>
      <c r="P6310">
        <v>-0.99663900000000005</v>
      </c>
      <c r="Q6310">
        <v>-6.1113059999999997E-2</v>
      </c>
      <c r="R6310">
        <v>-5.4554900000000003E-2</v>
      </c>
      <c r="S6310">
        <v>-2.9779360000000001</v>
      </c>
      <c r="T6310">
        <v>-0.1106169</v>
      </c>
      <c r="U6310">
        <v>-0.4983978</v>
      </c>
      <c r="V6310">
        <v>-7.2850979999999996E-2</v>
      </c>
      <c r="W6310">
        <v>-4.7432009999999997E-2</v>
      </c>
      <c r="X6310">
        <v>0.9962143</v>
      </c>
      <c r="Y6310">
        <v>-0.1829653</v>
      </c>
      <c r="Z6310">
        <v>-5.0645170000000002E-3</v>
      </c>
      <c r="AA6310">
        <v>0.98310629999999999</v>
      </c>
      <c r="AB6310">
        <v>24</v>
      </c>
      <c r="AC6310">
        <v>-29.947799999999901</v>
      </c>
      <c r="AD6310">
        <v>-1.12105053502</v>
      </c>
      <c r="AE6310">
        <v>-5.0554999999999897</v>
      </c>
      <c r="AF6310">
        <v>-5.5966042416494401</v>
      </c>
      <c r="AG6310">
        <v>-1.12105053502</v>
      </c>
      <c r="AH6310">
        <v>29.809368408125302</v>
      </c>
      <c r="AI6310">
        <v>92.116776658101898</v>
      </c>
      <c r="AJ6310">
        <v>100.63329777439699</v>
      </c>
      <c r="AK6310">
        <v>30.350900781213301</v>
      </c>
      <c r="AL6310">
        <v>92.718674057889302</v>
      </c>
      <c r="AM6310">
        <v>94.182470550538596</v>
      </c>
      <c r="AN6310">
        <v>0.99999999619204505</v>
      </c>
    </row>
    <row r="6311" spans="1:40" x14ac:dyDescent="0.25">
      <c r="A6311" t="str">
        <f>"20190303153934309"</f>
        <v>20190303153934309</v>
      </c>
      <c r="B6311" t="str">
        <f>"1551598774304410"</f>
        <v>1551598774304410</v>
      </c>
      <c r="C6311" t="s">
        <v>40</v>
      </c>
      <c r="D6311">
        <v>4.0954969999999999</v>
      </c>
      <c r="E6311">
        <v>0.45876129999999998</v>
      </c>
      <c r="F6311" t="s">
        <v>68</v>
      </c>
      <c r="G6311">
        <v>-420.13080000000002</v>
      </c>
      <c r="H6311" s="1">
        <v>-8.3509580000000003E-6</v>
      </c>
      <c r="I6311">
        <v>136.00049999999999</v>
      </c>
      <c r="J6311">
        <v>-388.76209999999998</v>
      </c>
      <c r="K6311">
        <v>1.120992</v>
      </c>
      <c r="L6311">
        <v>141.36150000000001</v>
      </c>
      <c r="M6311">
        <v>-0.99973730000000005</v>
      </c>
      <c r="N6311">
        <v>-1.3505390000000001E-2</v>
      </c>
      <c r="O6311">
        <v>1.852554E-2</v>
      </c>
      <c r="P6311">
        <v>-0.99644690000000002</v>
      </c>
      <c r="Q6311">
        <v>-6.0153360000000003E-2</v>
      </c>
      <c r="R6311">
        <v>-5.8953650000000003E-2</v>
      </c>
      <c r="S6311">
        <v>-2.9760439999999999</v>
      </c>
      <c r="T6311">
        <v>-0.1055479</v>
      </c>
      <c r="U6311">
        <v>-0.50430299999999995</v>
      </c>
      <c r="V6311">
        <v>-7.7420359999999994E-2</v>
      </c>
      <c r="W6311">
        <v>-4.6681809999999997E-2</v>
      </c>
      <c r="X6311">
        <v>0.99590500000000004</v>
      </c>
      <c r="Y6311">
        <v>-0.18514890000000001</v>
      </c>
      <c r="Z6311">
        <v>-4.9227799999999999E-3</v>
      </c>
      <c r="AA6311">
        <v>0.98269810000000002</v>
      </c>
      <c r="AB6311">
        <v>24</v>
      </c>
      <c r="AC6311">
        <v>-31.3687</v>
      </c>
      <c r="AD6311">
        <v>-1.121000350958</v>
      </c>
      <c r="AE6311">
        <v>-5.3610000000000104</v>
      </c>
      <c r="AF6311">
        <v>-5.9338918490828103</v>
      </c>
      <c r="AG6311">
        <v>-1.121000350958</v>
      </c>
      <c r="AH6311">
        <v>31.225245792184701</v>
      </c>
      <c r="AI6311">
        <v>92.019942031187497</v>
      </c>
      <c r="AJ6311">
        <v>100.75990656854</v>
      </c>
      <c r="AK6311">
        <v>31.803831357963801</v>
      </c>
      <c r="AL6311">
        <v>92.675643254076306</v>
      </c>
      <c r="AM6311">
        <v>94.445159313359298</v>
      </c>
      <c r="AN6311">
        <v>0.99999993627619999</v>
      </c>
    </row>
    <row r="6312" spans="1:40" x14ac:dyDescent="0.25">
      <c r="A6312" t="str">
        <f>"20190303153934331"</f>
        <v>20190303153934331</v>
      </c>
      <c r="B6312" t="str">
        <f>"1551598774324913"</f>
        <v>1551598774324913</v>
      </c>
      <c r="C6312" t="s">
        <v>40</v>
      </c>
      <c r="D6312">
        <v>4.1354119999999996</v>
      </c>
      <c r="E6312">
        <v>0.4595245</v>
      </c>
      <c r="F6312" t="s">
        <v>68</v>
      </c>
      <c r="G6312">
        <v>-421.61070000000001</v>
      </c>
      <c r="H6312" s="1">
        <v>-8.4710700000000005E-6</v>
      </c>
      <c r="I6312">
        <v>135.77359999999999</v>
      </c>
      <c r="J6312">
        <v>-389.0025</v>
      </c>
      <c r="K6312">
        <v>1.120941</v>
      </c>
      <c r="L6312">
        <v>141.36609999999999</v>
      </c>
      <c r="M6312">
        <v>-0.9997376</v>
      </c>
      <c r="N6312">
        <v>-1.3246580000000001E-2</v>
      </c>
      <c r="O6312">
        <v>1.86926E-2</v>
      </c>
      <c r="P6312">
        <v>-0.99606150000000004</v>
      </c>
      <c r="Q6312">
        <v>-6.0428639999999999E-2</v>
      </c>
      <c r="R6312">
        <v>-6.4885979999999996E-2</v>
      </c>
      <c r="S6312">
        <v>-2.97464</v>
      </c>
      <c r="T6312">
        <v>-0.1015133</v>
      </c>
      <c r="U6312">
        <v>-0.50601200000000002</v>
      </c>
      <c r="V6312">
        <v>-8.3510000000000001E-2</v>
      </c>
      <c r="W6312">
        <v>-4.7221060000000002E-2</v>
      </c>
      <c r="X6312">
        <v>0.99538749999999998</v>
      </c>
      <c r="Y6312">
        <v>-0.18594869999999999</v>
      </c>
      <c r="Z6312">
        <v>-4.7779299999999997E-3</v>
      </c>
      <c r="AA6312">
        <v>0.98254779999999997</v>
      </c>
      <c r="AB6312">
        <v>24</v>
      </c>
      <c r="AC6312">
        <v>-32.608199999999997</v>
      </c>
      <c r="AD6312">
        <v>-1.1209494710700001</v>
      </c>
      <c r="AE6312">
        <v>-5.5925000000000002</v>
      </c>
      <c r="AF6312">
        <v>-6.1939976879182597</v>
      </c>
      <c r="AG6312">
        <v>-1.1209494710700001</v>
      </c>
      <c r="AH6312">
        <v>32.4606904028551</v>
      </c>
      <c r="AI6312">
        <v>91.942757220712096</v>
      </c>
      <c r="AJ6312">
        <v>100.80304822803799</v>
      </c>
      <c r="AK6312">
        <v>33.0653679323947</v>
      </c>
      <c r="AL6312">
        <v>92.706573912127496</v>
      </c>
      <c r="AM6312">
        <v>94.795711749262793</v>
      </c>
      <c r="AN6312">
        <v>1.0000000118818799</v>
      </c>
    </row>
    <row r="6313" spans="1:40" x14ac:dyDescent="0.25">
      <c r="A6313" t="str">
        <f>"20190303153934354"</f>
        <v>20190303153934354</v>
      </c>
      <c r="B6313" t="str">
        <f>"1551598774344423"</f>
        <v>1551598774344423</v>
      </c>
      <c r="C6313" t="s">
        <v>40</v>
      </c>
      <c r="D6313">
        <v>4.1462599999999998</v>
      </c>
      <c r="E6313">
        <v>0.4602581</v>
      </c>
      <c r="F6313" t="s">
        <v>68</v>
      </c>
      <c r="G6313">
        <v>-421.49849999999998</v>
      </c>
      <c r="H6313" s="1">
        <v>-8.427913E-6</v>
      </c>
      <c r="I6313">
        <v>135.7072</v>
      </c>
      <c r="J6313">
        <v>-389.24610000000001</v>
      </c>
      <c r="K6313">
        <v>1.120906</v>
      </c>
      <c r="L6313">
        <v>141.3708</v>
      </c>
      <c r="M6313">
        <v>-0.99973769999999995</v>
      </c>
      <c r="N6313">
        <v>-1.3010270000000001E-2</v>
      </c>
      <c r="O6313">
        <v>1.8849899999999999E-2</v>
      </c>
      <c r="P6313">
        <v>-0.99545629999999996</v>
      </c>
      <c r="Q6313">
        <v>-6.1104119999999998E-2</v>
      </c>
      <c r="R6313">
        <v>-7.3027809999999999E-2</v>
      </c>
      <c r="S6313">
        <v>-2.971924</v>
      </c>
      <c r="T6313">
        <v>-0.1025165</v>
      </c>
      <c r="U6313">
        <v>-0.51753229999999995</v>
      </c>
      <c r="V6313">
        <v>-9.1794420000000002E-2</v>
      </c>
      <c r="W6313">
        <v>-4.8142259999999999E-2</v>
      </c>
      <c r="X6313">
        <v>0.99461350000000004</v>
      </c>
      <c r="Y6313">
        <v>-0.1899438</v>
      </c>
      <c r="Z6313">
        <v>-4.8981609999999998E-3</v>
      </c>
      <c r="AA6313">
        <v>0.98178270000000001</v>
      </c>
      <c r="AB6313">
        <v>24</v>
      </c>
      <c r="AC6313">
        <v>-32.252399999999902</v>
      </c>
      <c r="AD6313">
        <v>-1.1209144279130001</v>
      </c>
      <c r="AE6313">
        <v>-5.6635999999999997</v>
      </c>
      <c r="AF6313">
        <v>-6.2632605951161304</v>
      </c>
      <c r="AG6313">
        <v>-1.1209144279130001</v>
      </c>
      <c r="AH6313">
        <v>32.1022857275373</v>
      </c>
      <c r="AI6313">
        <v>91.962803684786493</v>
      </c>
      <c r="AJ6313">
        <v>101.03990851979999</v>
      </c>
      <c r="AK6313">
        <v>32.726772394623303</v>
      </c>
      <c r="AL6313">
        <v>92.759415048758896</v>
      </c>
      <c r="AM6313">
        <v>95.272978794554106</v>
      </c>
      <c r="AN6313">
        <v>0.99999995356164595</v>
      </c>
    </row>
    <row r="6314" spans="1:40" x14ac:dyDescent="0.25">
      <c r="A6314" t="str">
        <f>"20190303153934375"</f>
        <v>20190303153934375</v>
      </c>
      <c r="B6314" t="str">
        <f>"1551598774364919"</f>
        <v>1551598774364919</v>
      </c>
      <c r="C6314" t="s">
        <v>40</v>
      </c>
      <c r="D6314">
        <v>4.1367989999999999</v>
      </c>
      <c r="E6314">
        <v>0.46093849999999997</v>
      </c>
      <c r="F6314" t="s">
        <v>68</v>
      </c>
      <c r="G6314">
        <v>-421.1198</v>
      </c>
      <c r="H6314" s="1">
        <v>-8.3364429999999996E-6</v>
      </c>
      <c r="I6314">
        <v>135.61619999999999</v>
      </c>
      <c r="J6314">
        <v>-389.48050000000001</v>
      </c>
      <c r="K6314">
        <v>1.1208940000000001</v>
      </c>
      <c r="L6314">
        <v>141.37540000000001</v>
      </c>
      <c r="M6314">
        <v>-0.99973769999999995</v>
      </c>
      <c r="N6314">
        <v>-1.280503E-2</v>
      </c>
      <c r="O6314">
        <v>1.89876E-2</v>
      </c>
      <c r="P6314">
        <v>-0.9947608</v>
      </c>
      <c r="Q6314">
        <v>-6.1503629999999997E-2</v>
      </c>
      <c r="R6314">
        <v>-8.1659140000000005E-2</v>
      </c>
      <c r="S6314">
        <v>-2.9679869999999999</v>
      </c>
      <c r="T6314">
        <v>-0.1043762</v>
      </c>
      <c r="U6314">
        <v>-0.53585819999999995</v>
      </c>
      <c r="V6314">
        <v>-0.100546</v>
      </c>
      <c r="W6314">
        <v>-4.8758290000000003E-2</v>
      </c>
      <c r="X6314">
        <v>0.99373690000000003</v>
      </c>
      <c r="Y6314">
        <v>-0.19616230000000001</v>
      </c>
      <c r="Z6314">
        <v>-5.1085180000000003E-3</v>
      </c>
      <c r="AA6314">
        <v>0.98055820000000005</v>
      </c>
      <c r="AB6314">
        <v>24</v>
      </c>
      <c r="AC6314">
        <v>-31.639299999999899</v>
      </c>
      <c r="AD6314">
        <v>-1.120902336443</v>
      </c>
      <c r="AE6314">
        <v>-5.7592000000000203</v>
      </c>
      <c r="AF6314">
        <v>-6.3512493365778004</v>
      </c>
      <c r="AG6314">
        <v>-1.120902336443</v>
      </c>
      <c r="AH6314">
        <v>31.485981779410299</v>
      </c>
      <c r="AI6314">
        <v>91.998648160806496</v>
      </c>
      <c r="AJ6314">
        <v>101.404479517352</v>
      </c>
      <c r="AK6314">
        <v>32.139723688864798</v>
      </c>
      <c r="AL6314">
        <v>92.7947524868556</v>
      </c>
      <c r="AM6314">
        <v>95.777507815241904</v>
      </c>
      <c r="AN6314">
        <v>0.99999994769066503</v>
      </c>
    </row>
    <row r="6315" spans="1:40" x14ac:dyDescent="0.25">
      <c r="A6315" t="str">
        <f>"20190303153934399"</f>
        <v>20190303153934399</v>
      </c>
      <c r="B6315" t="str">
        <f>"1551598774395175"</f>
        <v>1551598774395175</v>
      </c>
      <c r="C6315" t="s">
        <v>40</v>
      </c>
      <c r="D6315">
        <v>4.1500949999999897</v>
      </c>
      <c r="E6315">
        <v>0.4620455</v>
      </c>
      <c r="F6315" t="s">
        <v>68</v>
      </c>
      <c r="G6315">
        <v>-420.99020000000002</v>
      </c>
      <c r="H6315" s="1">
        <v>-8.2550229999999993E-6</v>
      </c>
      <c r="I6315">
        <v>135.46199999999999</v>
      </c>
      <c r="J6315">
        <v>-389.72539999999998</v>
      </c>
      <c r="K6315">
        <v>1.1208899999999999</v>
      </c>
      <c r="L6315">
        <v>141.3802</v>
      </c>
      <c r="M6315">
        <v>-0.99973820000000002</v>
      </c>
      <c r="N6315">
        <v>-1.2598369999999999E-2</v>
      </c>
      <c r="O6315">
        <v>1.9105839999999999E-2</v>
      </c>
      <c r="P6315">
        <v>-0.99426539999999997</v>
      </c>
      <c r="Q6315">
        <v>-6.0321319999999998E-2</v>
      </c>
      <c r="R6315">
        <v>-8.8306369999999995E-2</v>
      </c>
      <c r="S6315">
        <v>-2.9636230000000001</v>
      </c>
      <c r="T6315">
        <v>-0.1054257</v>
      </c>
      <c r="U6315">
        <v>-0.55618290000000004</v>
      </c>
      <c r="V6315">
        <v>-0.107297699999999</v>
      </c>
      <c r="W6315">
        <v>-4.7792220000000003E-2</v>
      </c>
      <c r="X6315">
        <v>0.9930776</v>
      </c>
      <c r="Y6315">
        <v>-0.20302139999999999</v>
      </c>
      <c r="Z6315">
        <v>-5.3045890000000002E-3</v>
      </c>
      <c r="AA6315">
        <v>0.97916000000000003</v>
      </c>
      <c r="AB6315">
        <v>24</v>
      </c>
      <c r="AC6315">
        <v>-31.264800000000001</v>
      </c>
      <c r="AD6315">
        <v>-1.120898255023</v>
      </c>
      <c r="AE6315">
        <v>-5.9181999999999801</v>
      </c>
      <c r="AF6315">
        <v>-6.5064334297285802</v>
      </c>
      <c r="AG6315">
        <v>-1.120898255023</v>
      </c>
      <c r="AH6315">
        <v>31.107410338648201</v>
      </c>
      <c r="AI6315">
        <v>92.019980385082107</v>
      </c>
      <c r="AJ6315">
        <v>101.813688910102</v>
      </c>
      <c r="AK6315">
        <v>31.8003312380648</v>
      </c>
      <c r="AL6315">
        <v>92.739335976175099</v>
      </c>
      <c r="AM6315">
        <v>96.166636982895994</v>
      </c>
      <c r="AN6315">
        <v>1.00000000616978</v>
      </c>
    </row>
    <row r="6316" spans="1:40" x14ac:dyDescent="0.25">
      <c r="A6316" t="str">
        <f>"20190303153934421"</f>
        <v>20190303153934421</v>
      </c>
      <c r="B6316" t="str">
        <f>"1551598774414695"</f>
        <v>1551598774414695</v>
      </c>
      <c r="C6316" t="s">
        <v>40</v>
      </c>
      <c r="D6316">
        <v>4.2115019999999896</v>
      </c>
      <c r="E6316">
        <v>0.46216360000000001</v>
      </c>
      <c r="F6316" t="s">
        <v>68</v>
      </c>
      <c r="G6316">
        <v>-422.2047</v>
      </c>
      <c r="H6316" s="1">
        <v>-8.3060130000000003E-6</v>
      </c>
      <c r="I6316">
        <v>135.15899999999999</v>
      </c>
      <c r="J6316">
        <v>-389.9701</v>
      </c>
      <c r="K6316">
        <v>1.1209100000000001</v>
      </c>
      <c r="L6316">
        <v>141.38489999999999</v>
      </c>
      <c r="M6316">
        <v>-0.99973920000000005</v>
      </c>
      <c r="N6316">
        <v>-1.2401570000000001E-2</v>
      </c>
      <c r="O6316">
        <v>1.9186399999999999E-2</v>
      </c>
      <c r="P6316">
        <v>-0.99395880000000003</v>
      </c>
      <c r="Q6316">
        <v>-5.6298359999999999E-2</v>
      </c>
      <c r="R6316">
        <v>-9.421583E-2</v>
      </c>
      <c r="S6316">
        <v>-2.9607239999999999</v>
      </c>
      <c r="T6316">
        <v>-0.102178</v>
      </c>
      <c r="U6316">
        <v>-0.56710819999999995</v>
      </c>
      <c r="V6316">
        <v>-0.113277</v>
      </c>
      <c r="W6316">
        <v>-4.3974600000000003E-2</v>
      </c>
      <c r="X6316">
        <v>0.99258979999999997</v>
      </c>
      <c r="Y6316">
        <v>-0.20676710000000001</v>
      </c>
      <c r="Z6316">
        <v>-5.2495379999999998E-3</v>
      </c>
      <c r="AA6316">
        <v>0.97837609999999997</v>
      </c>
      <c r="AB6316">
        <v>24</v>
      </c>
      <c r="AC6316">
        <v>-32.2346</v>
      </c>
      <c r="AD6316">
        <v>-1.1209183060129999</v>
      </c>
      <c r="AE6316">
        <v>-6.2258999999999904</v>
      </c>
      <c r="AF6316">
        <v>-6.8352990634925996</v>
      </c>
      <c r="AG6316">
        <v>-1.1209183060129999</v>
      </c>
      <c r="AH6316">
        <v>32.071816696732</v>
      </c>
      <c r="AI6316">
        <v>91.957753976864694</v>
      </c>
      <c r="AJ6316">
        <v>102.031145898302</v>
      </c>
      <c r="AK6316">
        <v>32.811266317606801</v>
      </c>
      <c r="AL6316">
        <v>92.520371789017702</v>
      </c>
      <c r="AM6316">
        <v>96.510580377342094</v>
      </c>
      <c r="AN6316">
        <v>0.99999997761909898</v>
      </c>
    </row>
    <row r="6317" spans="1:40" x14ac:dyDescent="0.25">
      <c r="A6317" t="str">
        <f>"20190303153934442"</f>
        <v>20190303153934442</v>
      </c>
      <c r="B6317" t="str">
        <f>"1551598774435191"</f>
        <v>1551598774435191</v>
      </c>
      <c r="C6317" t="s">
        <v>40</v>
      </c>
      <c r="D6317">
        <v>4.1223530000000004</v>
      </c>
      <c r="E6317">
        <v>0.40422809999999998</v>
      </c>
      <c r="F6317" t="s">
        <v>68</v>
      </c>
      <c r="G6317">
        <v>-427.08789999999999</v>
      </c>
      <c r="H6317" s="1">
        <v>-8.5956169999999993E-6</v>
      </c>
      <c r="I6317">
        <v>134.06540000000001</v>
      </c>
      <c r="J6317">
        <v>-390.20339999999999</v>
      </c>
      <c r="K6317">
        <v>1.120954</v>
      </c>
      <c r="L6317">
        <v>141.38939999999999</v>
      </c>
      <c r="M6317">
        <v>-0.99974039999999997</v>
      </c>
      <c r="N6317">
        <v>-1.223112E-2</v>
      </c>
      <c r="O6317">
        <v>1.92284E-2</v>
      </c>
      <c r="P6317">
        <v>-0.99335720000000005</v>
      </c>
      <c r="Q6317">
        <v>-4.8435560000000003E-2</v>
      </c>
      <c r="R6317">
        <v>-0.10438260000000001</v>
      </c>
      <c r="S6317">
        <v>-2.9578859999999998</v>
      </c>
      <c r="T6317">
        <v>-8.932495E-2</v>
      </c>
      <c r="U6317">
        <v>-0.58328250000000004</v>
      </c>
      <c r="V6317">
        <v>-0.12346889999999899</v>
      </c>
      <c r="W6317">
        <v>-3.6296210000000002E-2</v>
      </c>
      <c r="X6317">
        <v>0.99168440000000002</v>
      </c>
      <c r="Y6317">
        <v>-0.21216550000000001</v>
      </c>
      <c r="Z6317">
        <v>-4.8251040000000002E-3</v>
      </c>
      <c r="AA6317">
        <v>0.97722180000000003</v>
      </c>
      <c r="AB6317">
        <v>24</v>
      </c>
      <c r="AC6317">
        <v>-36.884500000000003</v>
      </c>
      <c r="AD6317">
        <v>-1.120962595617</v>
      </c>
      <c r="AE6317">
        <v>-7.3239999999999803</v>
      </c>
      <c r="AF6317">
        <v>-8.02479789212512</v>
      </c>
      <c r="AG6317">
        <v>-1.120962595617</v>
      </c>
      <c r="AH6317">
        <v>36.704225458046999</v>
      </c>
      <c r="AI6317">
        <v>91.708950529184193</v>
      </c>
      <c r="AJ6317">
        <v>102.33275365821</v>
      </c>
      <c r="AK6317">
        <v>37.587951591239602</v>
      </c>
      <c r="AL6317">
        <v>92.080076605907195</v>
      </c>
      <c r="AM6317">
        <v>97.097045974615696</v>
      </c>
      <c r="AN6317">
        <v>0.99999996666546598</v>
      </c>
    </row>
    <row r="6318" spans="1:40" x14ac:dyDescent="0.25">
      <c r="A6318" t="str">
        <f>"20190303153934465"</f>
        <v>20190303153934465</v>
      </c>
      <c r="B6318" t="str">
        <f>"1551598774454711"</f>
        <v>1551598774454711</v>
      </c>
      <c r="C6318" t="s">
        <v>40</v>
      </c>
      <c r="D6318">
        <v>3.8796569999999999</v>
      </c>
      <c r="E6318">
        <v>0.33721240000000002</v>
      </c>
      <c r="F6318" t="s">
        <v>68</v>
      </c>
      <c r="G6318">
        <v>-423.53539999999998</v>
      </c>
      <c r="H6318" s="1">
        <v>-6.0786149999999999E-6</v>
      </c>
      <c r="I6318">
        <v>129.07210000000001</v>
      </c>
      <c r="J6318">
        <v>-390.44200000000001</v>
      </c>
      <c r="K6318">
        <v>1.1209899999999999</v>
      </c>
      <c r="L6318">
        <v>141.39400000000001</v>
      </c>
      <c r="M6318">
        <v>-0.99974220000000003</v>
      </c>
      <c r="N6318">
        <v>-1.207631E-2</v>
      </c>
      <c r="O6318">
        <v>1.9238189999999999E-2</v>
      </c>
      <c r="P6318">
        <v>-0.99215909999999996</v>
      </c>
      <c r="Q6318">
        <v>-4.2349499999999998E-2</v>
      </c>
      <c r="R6318">
        <v>-0.117589899999999</v>
      </c>
      <c r="S6318">
        <v>-2.9025569999999998</v>
      </c>
      <c r="T6318">
        <v>-9.7613450000000004E-2</v>
      </c>
      <c r="U6318">
        <v>-1.0726009999999999</v>
      </c>
      <c r="V6318">
        <v>-0.13665829999999901</v>
      </c>
      <c r="W6318">
        <v>-3.038801E-2</v>
      </c>
      <c r="X6318">
        <v>0.99015209999999998</v>
      </c>
      <c r="Y6318">
        <v>-0.36435119999999999</v>
      </c>
      <c r="Z6318">
        <v>-8.6022900000000003E-3</v>
      </c>
      <c r="AA6318">
        <v>0.93122179999999999</v>
      </c>
      <c r="AB6318">
        <v>24</v>
      </c>
      <c r="AC6318">
        <v>-33.093400000000003</v>
      </c>
      <c r="AD6318">
        <v>-1.1209960786149999</v>
      </c>
      <c r="AE6318">
        <v>-12.321899999999999</v>
      </c>
      <c r="AF6318">
        <v>-12.9432794230268</v>
      </c>
      <c r="AG6318">
        <v>-1.1209960786149999</v>
      </c>
      <c r="AH6318">
        <v>32.817135622143901</v>
      </c>
      <c r="AI6318">
        <v>91.820054555192499</v>
      </c>
      <c r="AJ6318">
        <v>111.524580064642</v>
      </c>
      <c r="AK6318">
        <v>35.2951767933383</v>
      </c>
      <c r="AL6318">
        <v>91.741372707348305</v>
      </c>
      <c r="AM6318">
        <v>97.858173870612006</v>
      </c>
      <c r="AN6318">
        <v>1.00000005162252</v>
      </c>
    </row>
    <row r="6319" spans="1:40" x14ac:dyDescent="0.25">
      <c r="A6319" t="str">
        <f>"20190303153934487"</f>
        <v>20190303153934487</v>
      </c>
      <c r="B6319" t="str">
        <f>"1551598774484967"</f>
        <v>1551598774484967</v>
      </c>
      <c r="C6319" t="s">
        <v>40</v>
      </c>
      <c r="D6319">
        <v>3.9275829999999998</v>
      </c>
      <c r="E6319">
        <v>0.33373839999999999</v>
      </c>
      <c r="F6319" t="s">
        <v>68</v>
      </c>
      <c r="G6319">
        <v>-409.3075</v>
      </c>
      <c r="H6319" s="1">
        <v>-6.2345420000000001E-6</v>
      </c>
      <c r="I6319">
        <v>130.41290000000001</v>
      </c>
      <c r="J6319">
        <v>-390.68200000000002</v>
      </c>
      <c r="K6319">
        <v>1.121027</v>
      </c>
      <c r="L6319">
        <v>141.39859999999999</v>
      </c>
      <c r="M6319">
        <v>-0.99974419999999997</v>
      </c>
      <c r="N6319">
        <v>-1.1943189999999999E-2</v>
      </c>
      <c r="O6319">
        <v>1.920521E-2</v>
      </c>
      <c r="P6319">
        <v>-0.99083520000000003</v>
      </c>
      <c r="Q6319">
        <v>-4.0912320000000002E-2</v>
      </c>
      <c r="R6319">
        <v>-0.12873080000000001</v>
      </c>
      <c r="S6319">
        <v>-2.821869</v>
      </c>
      <c r="T6319">
        <v>-0.16767699999999999</v>
      </c>
      <c r="U6319">
        <v>-1.6425479999999999</v>
      </c>
      <c r="V6319">
        <v>-0.1477368</v>
      </c>
      <c r="W6319">
        <v>-2.91106E-2</v>
      </c>
      <c r="X6319">
        <v>0.98859819999999998</v>
      </c>
      <c r="Y6319">
        <v>-0.51869270000000001</v>
      </c>
      <c r="Z6319">
        <v>-1.8450350000000001E-2</v>
      </c>
      <c r="AA6319">
        <v>0.85476160000000001</v>
      </c>
      <c r="AB6319">
        <v>24</v>
      </c>
      <c r="AC6319">
        <v>-18.625499999999999</v>
      </c>
      <c r="AD6319">
        <v>-1.121033234542</v>
      </c>
      <c r="AE6319">
        <v>-10.9856999999999</v>
      </c>
      <c r="AF6319">
        <v>-11.311006060352099</v>
      </c>
      <c r="AG6319">
        <v>-1.121033234542</v>
      </c>
      <c r="AH6319">
        <v>18.361717298087999</v>
      </c>
      <c r="AI6319">
        <v>92.975645567020194</v>
      </c>
      <c r="AJ6319">
        <v>121.63349502954</v>
      </c>
      <c r="AK6319">
        <v>21.595097493301001</v>
      </c>
      <c r="AL6319">
        <v>91.668150189832602</v>
      </c>
      <c r="AM6319">
        <v>98.499422271939594</v>
      </c>
      <c r="AN6319">
        <v>0.99999999507491999</v>
      </c>
    </row>
    <row r="6320" spans="1:40" x14ac:dyDescent="0.25">
      <c r="A6320" t="str">
        <f>"20190303153934511"</f>
        <v>20190303153934511</v>
      </c>
      <c r="B6320" t="str">
        <f>"1551598774504487"</f>
        <v>1551598774504487</v>
      </c>
      <c r="C6320" t="s">
        <v>40</v>
      </c>
      <c r="D6320">
        <v>4.106916</v>
      </c>
      <c r="E6320">
        <v>0.3359587</v>
      </c>
      <c r="F6320" t="s">
        <v>68</v>
      </c>
      <c r="G6320">
        <v>-408.00360000000001</v>
      </c>
      <c r="H6320" s="1">
        <v>-5.5570250000000004E-6</v>
      </c>
      <c r="I6320">
        <v>130.86670000000001</v>
      </c>
      <c r="J6320">
        <v>-390.93060000000003</v>
      </c>
      <c r="K6320">
        <v>1.121073</v>
      </c>
      <c r="L6320">
        <v>141.4033</v>
      </c>
      <c r="M6320">
        <v>-0.99974739999999995</v>
      </c>
      <c r="N6320">
        <v>-1.18336E-2</v>
      </c>
      <c r="O6320">
        <v>1.9108670000000001E-2</v>
      </c>
      <c r="P6320">
        <v>-0.98980080000000004</v>
      </c>
      <c r="Q6320">
        <v>-4.0346069999999998E-2</v>
      </c>
      <c r="R6320">
        <v>-0.13662759999999999</v>
      </c>
      <c r="S6320">
        <v>-2.7991640000000002</v>
      </c>
      <c r="T6320">
        <v>-0.18115880000000001</v>
      </c>
      <c r="U6320">
        <v>-1.7019500000000001</v>
      </c>
      <c r="V6320">
        <v>-0.1555146</v>
      </c>
      <c r="W6320">
        <v>-2.8680850000000001E-2</v>
      </c>
      <c r="X6320">
        <v>0.98741719999999999</v>
      </c>
      <c r="Y6320">
        <v>-0.53472929999999996</v>
      </c>
      <c r="Z6320">
        <v>-2.0279930000000002E-2</v>
      </c>
      <c r="AA6320">
        <v>0.84477999999999998</v>
      </c>
      <c r="AB6320">
        <v>24</v>
      </c>
      <c r="AC6320">
        <v>-17.072999999999901</v>
      </c>
      <c r="AD6320">
        <v>-1.1210785570249999</v>
      </c>
      <c r="AE6320">
        <v>-10.5365999999999</v>
      </c>
      <c r="AF6320">
        <v>-10.8271336357059</v>
      </c>
      <c r="AG6320">
        <v>-1.1210785570249999</v>
      </c>
      <c r="AH6320">
        <v>16.816020213829901</v>
      </c>
      <c r="AI6320">
        <v>93.208274655720501</v>
      </c>
      <c r="AJ6320">
        <v>122.775794790581</v>
      </c>
      <c r="AK6320">
        <v>20.0315295404118</v>
      </c>
      <c r="AL6320">
        <v>91.643516944695605</v>
      </c>
      <c r="AM6320">
        <v>98.950354309683902</v>
      </c>
      <c r="AN6320">
        <v>1.00000005441285</v>
      </c>
    </row>
    <row r="6321" spans="1:40" x14ac:dyDescent="0.25">
      <c r="A6321" t="str">
        <f>"20190303153934532"</f>
        <v>20190303153934532</v>
      </c>
      <c r="B6321" t="str">
        <f>"1551598774524983"</f>
        <v>1551598774524983</v>
      </c>
      <c r="C6321" t="s">
        <v>40</v>
      </c>
      <c r="D6321">
        <v>4.1377829999999998</v>
      </c>
      <c r="E6321">
        <v>0.33909499999999998</v>
      </c>
      <c r="F6321" t="s">
        <v>44</v>
      </c>
      <c r="G6321">
        <v>-391.84109999999998</v>
      </c>
      <c r="H6321">
        <v>1.0624750000000001</v>
      </c>
      <c r="I6321">
        <v>140.84569999999999</v>
      </c>
      <c r="J6321">
        <v>-391.16989999999998</v>
      </c>
      <c r="K6321">
        <v>1.121127</v>
      </c>
      <c r="L6321">
        <v>141.40770000000001</v>
      </c>
      <c r="M6321">
        <v>-0.99975150000000002</v>
      </c>
      <c r="N6321">
        <v>-1.175492E-2</v>
      </c>
      <c r="O6321">
        <v>1.894937E-2</v>
      </c>
      <c r="P6321">
        <v>-0.98891200000000001</v>
      </c>
      <c r="Q6321">
        <v>-3.9292100000000003E-2</v>
      </c>
      <c r="R6321">
        <v>-0.1432126</v>
      </c>
      <c r="S6321">
        <v>-2.7879640000000001</v>
      </c>
      <c r="T6321">
        <v>-0.17942069999999999</v>
      </c>
      <c r="U6321">
        <v>-1.7068479999999999</v>
      </c>
      <c r="V6321">
        <v>-0.16192129999999999</v>
      </c>
      <c r="W6321">
        <v>-2.7734169999999999E-2</v>
      </c>
      <c r="X6321">
        <v>0.98641380000000001</v>
      </c>
      <c r="Y6321">
        <v>-0.53718699999999997</v>
      </c>
      <c r="Z6321">
        <v>-2.0229540000000001E-2</v>
      </c>
      <c r="AA6321">
        <v>0.84322059999999999</v>
      </c>
      <c r="AB6321">
        <v>24</v>
      </c>
      <c r="AC6321">
        <v>-0.67119999999999802</v>
      </c>
      <c r="AD6321">
        <v>-5.8651999999999899E-2</v>
      </c>
      <c r="AE6321">
        <v>-0.56200000000001105</v>
      </c>
      <c r="AF6321">
        <v>-0.57205091058506796</v>
      </c>
      <c r="AG6321">
        <v>-5.8651999999999899E-2</v>
      </c>
      <c r="AH6321">
        <v>0.65747785637714096</v>
      </c>
      <c r="AI6321">
        <v>93.850185339649101</v>
      </c>
      <c r="AJ6321">
        <v>131.02550972126599</v>
      </c>
      <c r="AK6321">
        <v>0.87347549080182296</v>
      </c>
      <c r="AL6321">
        <v>91.589254770211198</v>
      </c>
      <c r="AM6321">
        <v>99.322051387894703</v>
      </c>
      <c r="AN6321">
        <v>0.999999938204857</v>
      </c>
    </row>
    <row r="6322" spans="1:40" x14ac:dyDescent="0.25">
      <c r="A6322" t="str">
        <f>"20190303153934554"</f>
        <v>20190303153934554</v>
      </c>
      <c r="B6322" t="str">
        <f>"1551598774544504"</f>
        <v>1551598774544504</v>
      </c>
      <c r="C6322" t="s">
        <v>40</v>
      </c>
      <c r="D6322">
        <v>4.1578629999999999</v>
      </c>
      <c r="E6322">
        <v>0.34155449999999998</v>
      </c>
      <c r="F6322" t="s">
        <v>44</v>
      </c>
      <c r="G6322">
        <v>-392.06049999999999</v>
      </c>
      <c r="H6322">
        <v>1.064292</v>
      </c>
      <c r="I6322">
        <v>140.8631</v>
      </c>
      <c r="J6322">
        <v>-391.40440000000001</v>
      </c>
      <c r="K6322">
        <v>1.1211739999999999</v>
      </c>
      <c r="L6322">
        <v>141.4119</v>
      </c>
      <c r="M6322">
        <v>-0.99975599999999998</v>
      </c>
      <c r="N6322">
        <v>-1.169472E-2</v>
      </c>
      <c r="O6322">
        <v>1.8743269999999999E-2</v>
      </c>
      <c r="P6322">
        <v>-0.98784939999999999</v>
      </c>
      <c r="Q6322">
        <v>-3.8420299999999998E-2</v>
      </c>
      <c r="R6322">
        <v>-0.15059259999999999</v>
      </c>
      <c r="S6322">
        <v>-2.7802120000000001</v>
      </c>
      <c r="T6322">
        <v>-0.1774125</v>
      </c>
      <c r="U6322">
        <v>-1.7008509999999999</v>
      </c>
      <c r="V6322">
        <v>-0.1690738</v>
      </c>
      <c r="W6322">
        <v>-2.6954160000000001E-2</v>
      </c>
      <c r="X6322">
        <v>0.98523470000000002</v>
      </c>
      <c r="Y6322">
        <v>-0.53675450000000002</v>
      </c>
      <c r="Z6322">
        <v>-2.0045839999999999E-2</v>
      </c>
      <c r="AA6322">
        <v>0.84350029999999998</v>
      </c>
      <c r="AB6322">
        <v>24</v>
      </c>
      <c r="AC6322">
        <v>-0.65609999999998003</v>
      </c>
      <c r="AD6322">
        <v>-5.6881999999999801E-2</v>
      </c>
      <c r="AE6322">
        <v>-0.54879999999999995</v>
      </c>
      <c r="AF6322">
        <v>-0.55853188894087502</v>
      </c>
      <c r="AG6322">
        <v>-5.6881999999999801E-2</v>
      </c>
      <c r="AH6322">
        <v>0.64285482750356004</v>
      </c>
      <c r="AI6322">
        <v>93.821359731395205</v>
      </c>
      <c r="AJ6322">
        <v>130.98510775090199</v>
      </c>
      <c r="AK6322">
        <v>0.853496199249003</v>
      </c>
      <c r="AL6322">
        <v>91.544546757028996</v>
      </c>
      <c r="AM6322">
        <v>99.737545123921507</v>
      </c>
      <c r="AN6322">
        <v>0.99999994533591596</v>
      </c>
    </row>
    <row r="6323" spans="1:40" x14ac:dyDescent="0.25">
      <c r="A6323" t="str">
        <f>"20190303153934576"</f>
        <v>20190303153934576</v>
      </c>
      <c r="B6323" t="str">
        <f>"1551598774564999"</f>
        <v>1551598774564999</v>
      </c>
      <c r="C6323" t="s">
        <v>40</v>
      </c>
      <c r="D6323">
        <v>4.1873290000000001</v>
      </c>
      <c r="E6323">
        <v>0.3438505</v>
      </c>
      <c r="F6323" t="s">
        <v>44</v>
      </c>
      <c r="G6323">
        <v>-392.27789999999999</v>
      </c>
      <c r="H6323">
        <v>1.0646279999999999</v>
      </c>
      <c r="I6323">
        <v>140.87530000000001</v>
      </c>
      <c r="J6323">
        <v>-391.64479999999998</v>
      </c>
      <c r="K6323">
        <v>1.121205</v>
      </c>
      <c r="L6323">
        <v>141.4161</v>
      </c>
      <c r="M6323">
        <v>-0.99976129999999996</v>
      </c>
      <c r="N6323">
        <v>-1.1653709999999999E-2</v>
      </c>
      <c r="O6323">
        <v>1.8478720000000001E-2</v>
      </c>
      <c r="P6323">
        <v>-0.98670959999999996</v>
      </c>
      <c r="Q6323">
        <v>-3.8547140000000001E-2</v>
      </c>
      <c r="R6323">
        <v>-0.15785489999999999</v>
      </c>
      <c r="S6323">
        <v>-2.7704770000000001</v>
      </c>
      <c r="T6323">
        <v>-0.179345</v>
      </c>
      <c r="U6323">
        <v>-1.7022250000000001</v>
      </c>
      <c r="V6323">
        <v>-0.17605109999999999</v>
      </c>
      <c r="W6323">
        <v>-2.715482E-2</v>
      </c>
      <c r="X6323">
        <v>0.98400639999999995</v>
      </c>
      <c r="Y6323">
        <v>-0.53812550000000003</v>
      </c>
      <c r="Z6323">
        <v>-2.0305400000000001E-2</v>
      </c>
      <c r="AA6323">
        <v>0.84262009999999898</v>
      </c>
      <c r="AB6323">
        <v>24</v>
      </c>
      <c r="AC6323">
        <v>-0.63310000000001299</v>
      </c>
      <c r="AD6323">
        <v>-5.6576999999999801E-2</v>
      </c>
      <c r="AE6323">
        <v>-0.54079999999998996</v>
      </c>
      <c r="AF6323">
        <v>-0.54986851250940105</v>
      </c>
      <c r="AG6323">
        <v>-5.6576999999999801E-2</v>
      </c>
      <c r="AH6323">
        <v>0.62013467996924598</v>
      </c>
      <c r="AI6323">
        <v>93.905129885335498</v>
      </c>
      <c r="AJ6323">
        <v>131.56315035670801</v>
      </c>
      <c r="AK6323">
        <v>0.830736636533421</v>
      </c>
      <c r="AL6323">
        <v>91.556047877492801</v>
      </c>
      <c r="AM6323">
        <v>100.14361169899701</v>
      </c>
      <c r="AN6323">
        <v>0.99999998465070095</v>
      </c>
    </row>
    <row r="6324" spans="1:40" x14ac:dyDescent="0.25">
      <c r="A6324" t="str">
        <f>"20190303153934600"</f>
        <v>20190303153934600</v>
      </c>
      <c r="B6324" t="str">
        <f>"1551598774595255"</f>
        <v>1551598774595255</v>
      </c>
      <c r="C6324" t="s">
        <v>40</v>
      </c>
      <c r="D6324">
        <v>4.2222150000000003</v>
      </c>
      <c r="E6324">
        <v>0.34572009999999997</v>
      </c>
      <c r="F6324" t="s">
        <v>44</v>
      </c>
      <c r="G6324">
        <v>-392.49590000000001</v>
      </c>
      <c r="H6324">
        <v>1.0644849999999999</v>
      </c>
      <c r="I6324">
        <v>140.89070000000001</v>
      </c>
      <c r="J6324">
        <v>-391.8947</v>
      </c>
      <c r="K6324">
        <v>1.1212470000000001</v>
      </c>
      <c r="L6324">
        <v>141.4204</v>
      </c>
      <c r="M6324">
        <v>-0.99976739999999997</v>
      </c>
      <c r="N6324">
        <v>-1.16563E-2</v>
      </c>
      <c r="O6324">
        <v>1.814497E-2</v>
      </c>
      <c r="P6324">
        <v>-0.98572360000000003</v>
      </c>
      <c r="Q6324">
        <v>-4.0085910000000002E-2</v>
      </c>
      <c r="R6324">
        <v>-0.16353039999999999</v>
      </c>
      <c r="S6324">
        <v>-2.760529</v>
      </c>
      <c r="T6324">
        <v>-0.183973</v>
      </c>
      <c r="U6324">
        <v>-1.7045439999999901</v>
      </c>
      <c r="V6324">
        <v>-0.18137600000000001</v>
      </c>
      <c r="W6324">
        <v>-2.8721719999999999E-2</v>
      </c>
      <c r="X6324">
        <v>0.98299429999999999</v>
      </c>
      <c r="Y6324">
        <v>-0.53965229999999997</v>
      </c>
      <c r="Z6324">
        <v>-2.0839079999999999E-2</v>
      </c>
      <c r="AA6324">
        <v>0.84162999999999899</v>
      </c>
      <c r="AB6324">
        <v>24</v>
      </c>
      <c r="AC6324">
        <v>-0.60120000000000495</v>
      </c>
      <c r="AD6324">
        <v>-5.6761999999999702E-2</v>
      </c>
      <c r="AE6324">
        <v>-0.52969999999999096</v>
      </c>
      <c r="AF6324">
        <v>-0.537823272010027</v>
      </c>
      <c r="AG6324">
        <v>-5.6761999999999702E-2</v>
      </c>
      <c r="AH6324">
        <v>0.588535464419354</v>
      </c>
      <c r="AI6324">
        <v>94.072364739497701</v>
      </c>
      <c r="AJ6324">
        <v>132.42210577092101</v>
      </c>
      <c r="AK6324">
        <v>0.799280795114505</v>
      </c>
      <c r="AL6324">
        <v>91.645859690583194</v>
      </c>
      <c r="AM6324">
        <v>100.454279686918</v>
      </c>
      <c r="AN6324">
        <v>0.99999999220412406</v>
      </c>
    </row>
    <row r="6325" spans="1:40" x14ac:dyDescent="0.25">
      <c r="A6325" t="str">
        <f>"20190303153934622"</f>
        <v>20190303153934622</v>
      </c>
      <c r="B6325" t="str">
        <f>"1551598774614775"</f>
        <v>1551598774614775</v>
      </c>
      <c r="C6325" t="s">
        <v>40</v>
      </c>
      <c r="D6325">
        <v>4.2073219999999996</v>
      </c>
      <c r="E6325">
        <v>0.3614291</v>
      </c>
      <c r="F6325" t="s">
        <v>44</v>
      </c>
      <c r="G6325">
        <v>-392.71499999999997</v>
      </c>
      <c r="H6325">
        <v>1.0637000000000001</v>
      </c>
      <c r="I6325">
        <v>140.91229999999999</v>
      </c>
      <c r="J6325">
        <v>-392.1354</v>
      </c>
      <c r="K6325">
        <v>1.121302</v>
      </c>
      <c r="L6325">
        <v>141.42429999999999</v>
      </c>
      <c r="M6325">
        <v>-0.99977289999999996</v>
      </c>
      <c r="N6325">
        <v>-1.1743200000000001E-2</v>
      </c>
      <c r="O6325">
        <v>1.7781459999999999E-2</v>
      </c>
      <c r="P6325">
        <v>-0.98473619999999995</v>
      </c>
      <c r="Q6325">
        <v>-4.1021219999999997E-2</v>
      </c>
      <c r="R6325">
        <v>-0.16915069999999999</v>
      </c>
      <c r="S6325">
        <v>-2.7526860000000002</v>
      </c>
      <c r="T6325">
        <v>-0.19312389999999999</v>
      </c>
      <c r="U6325">
        <v>-1.705368</v>
      </c>
      <c r="V6325">
        <v>-0.18661829999999999</v>
      </c>
      <c r="W6325">
        <v>-2.9600520000000002E-2</v>
      </c>
      <c r="X6325">
        <v>0.98198649999999998</v>
      </c>
      <c r="Y6325">
        <v>-0.5404909</v>
      </c>
      <c r="Z6325">
        <v>-2.179642E-2</v>
      </c>
      <c r="AA6325">
        <v>0.84106749999999997</v>
      </c>
      <c r="AB6325">
        <v>24</v>
      </c>
      <c r="AC6325">
        <v>-0.57959999999997003</v>
      </c>
      <c r="AD6325">
        <v>-5.7601999999999903E-2</v>
      </c>
      <c r="AE6325">
        <v>-0.51200000000000001</v>
      </c>
      <c r="AF6325">
        <v>-0.51934469860975196</v>
      </c>
      <c r="AG6325">
        <v>-5.7601999999999903E-2</v>
      </c>
      <c r="AH6325">
        <v>0.56725662583443004</v>
      </c>
      <c r="AI6325">
        <v>94.2832468488091</v>
      </c>
      <c r="AJ6325">
        <v>132.47527067750701</v>
      </c>
      <c r="AK6325">
        <v>0.77124379150247702</v>
      </c>
      <c r="AL6325">
        <v>91.696232576091106</v>
      </c>
      <c r="AM6325">
        <v>100.760268337482</v>
      </c>
      <c r="AN6325">
        <v>1.0000000334307</v>
      </c>
    </row>
    <row r="6326" spans="1:40" x14ac:dyDescent="0.25">
      <c r="A6326" t="str">
        <f>"20190303153934644"</f>
        <v>20190303153934644</v>
      </c>
      <c r="B6326" t="str">
        <f>"1551598774635271"</f>
        <v>1551598774635271</v>
      </c>
      <c r="C6326" t="s">
        <v>40</v>
      </c>
      <c r="D6326">
        <v>4.2372370000000004</v>
      </c>
      <c r="E6326">
        <v>0.36209980000000003</v>
      </c>
      <c r="F6326" t="s">
        <v>44</v>
      </c>
      <c r="G6326">
        <v>-392.93790000000001</v>
      </c>
      <c r="H6326">
        <v>1.059131</v>
      </c>
      <c r="I6326">
        <v>140.9605</v>
      </c>
      <c r="J6326">
        <v>-392.3734</v>
      </c>
      <c r="K6326">
        <v>1.121356</v>
      </c>
      <c r="L6326">
        <v>141.4281</v>
      </c>
      <c r="M6326">
        <v>-0.99977800000000006</v>
      </c>
      <c r="N6326">
        <v>-1.190925E-2</v>
      </c>
      <c r="O6326">
        <v>1.7386189999999999E-2</v>
      </c>
      <c r="P6326">
        <v>-0.98374680000000003</v>
      </c>
      <c r="Q6326">
        <v>-4.2441319999999998E-2</v>
      </c>
      <c r="R6326">
        <v>-0.17447480000000001</v>
      </c>
      <c r="S6326">
        <v>-2.7632140000000001</v>
      </c>
      <c r="T6326">
        <v>-0.21407000000000001</v>
      </c>
      <c r="U6326">
        <v>-1.5975189999999999</v>
      </c>
      <c r="V6326">
        <v>-0.19153310000000001</v>
      </c>
      <c r="W6326">
        <v>-3.0883540000000001E-2</v>
      </c>
      <c r="X6326">
        <v>0.98100010000000004</v>
      </c>
      <c r="Y6326">
        <v>-0.51407959999999997</v>
      </c>
      <c r="Z6326">
        <v>-2.2801780000000001E-2</v>
      </c>
      <c r="AA6326">
        <v>0.85743939999999996</v>
      </c>
      <c r="AB6326">
        <v>24</v>
      </c>
      <c r="AC6326">
        <v>-0.56450000000000899</v>
      </c>
      <c r="AD6326">
        <v>-6.2224999999999898E-2</v>
      </c>
      <c r="AE6326">
        <v>-0.46760000000000401</v>
      </c>
      <c r="AF6326">
        <v>-0.47392929320695598</v>
      </c>
      <c r="AG6326">
        <v>-6.2224999999999898E-2</v>
      </c>
      <c r="AH6326">
        <v>0.55230430252068097</v>
      </c>
      <c r="AI6326">
        <v>94.886956797419401</v>
      </c>
      <c r="AJ6326">
        <v>130.63271252728799</v>
      </c>
      <c r="AK6326">
        <v>0.73042519683229801</v>
      </c>
      <c r="AL6326">
        <v>91.769777981035304</v>
      </c>
      <c r="AM6326">
        <v>101.04760422125</v>
      </c>
      <c r="AN6326">
        <v>0.99999995881927495</v>
      </c>
    </row>
    <row r="6327" spans="1:40" x14ac:dyDescent="0.25">
      <c r="A6327" t="str">
        <f>"20190303153934666"</f>
        <v>20190303153934666</v>
      </c>
      <c r="B6327" t="str">
        <f>"1551598774654791"</f>
        <v>1551598774654791</v>
      </c>
      <c r="C6327" t="s">
        <v>40</v>
      </c>
      <c r="D6327">
        <v>4.2453709999999996</v>
      </c>
      <c r="E6327">
        <v>0.36292619999999998</v>
      </c>
      <c r="F6327" t="s">
        <v>44</v>
      </c>
      <c r="G6327">
        <v>-393.15449999999998</v>
      </c>
      <c r="H6327">
        <v>1.058589</v>
      </c>
      <c r="I6327">
        <v>140.97239999999999</v>
      </c>
      <c r="J6327">
        <v>-392.6103</v>
      </c>
      <c r="K6327">
        <v>1.1214170000000001</v>
      </c>
      <c r="L6327">
        <v>141.43170000000001</v>
      </c>
      <c r="M6327">
        <v>-0.99978310000000004</v>
      </c>
      <c r="N6327">
        <v>-1.2095740000000001E-2</v>
      </c>
      <c r="O6327">
        <v>1.695588E-2</v>
      </c>
      <c r="P6327">
        <v>-0.98275570000000001</v>
      </c>
      <c r="Q6327">
        <v>-4.3188160000000003E-2</v>
      </c>
      <c r="R6327">
        <v>-0.1797945</v>
      </c>
      <c r="S6327">
        <v>-2.7549130000000002</v>
      </c>
      <c r="T6327">
        <v>-0.22139690000000001</v>
      </c>
      <c r="U6327">
        <v>-1.607407</v>
      </c>
      <c r="V6327">
        <v>-0.19641210000000001</v>
      </c>
      <c r="W6327">
        <v>-3.1471119999999998E-2</v>
      </c>
      <c r="X6327">
        <v>0.9800162</v>
      </c>
      <c r="Y6327">
        <v>-0.51701960000000002</v>
      </c>
      <c r="Z6327">
        <v>-2.3664379999999999E-2</v>
      </c>
      <c r="AA6327">
        <v>0.85564629999999997</v>
      </c>
      <c r="AB6327">
        <v>24</v>
      </c>
      <c r="AC6327">
        <v>-0.54419999999998903</v>
      </c>
      <c r="AD6327">
        <v>-6.2828000000000106E-2</v>
      </c>
      <c r="AE6327">
        <v>-0.45930000000001298</v>
      </c>
      <c r="AF6327">
        <v>-0.464843671079125</v>
      </c>
      <c r="AG6327">
        <v>-6.2828000000000106E-2</v>
      </c>
      <c r="AH6327">
        <v>0.53219076259981701</v>
      </c>
      <c r="AI6327">
        <v>95.081028508460406</v>
      </c>
      <c r="AJ6327">
        <v>131.135688649749</v>
      </c>
      <c r="AK6327">
        <v>0.70940397794408605</v>
      </c>
      <c r="AL6327">
        <v>91.803460229918102</v>
      </c>
      <c r="AM6327">
        <v>101.332914896144</v>
      </c>
      <c r="AN6327">
        <v>0.99999994834145001</v>
      </c>
    </row>
    <row r="6328" spans="1:40" x14ac:dyDescent="0.25">
      <c r="A6328" t="str">
        <f>"20190303153934688"</f>
        <v>20190303153934688</v>
      </c>
      <c r="B6328" t="str">
        <f>"1551598774685047"</f>
        <v>1551598774685047</v>
      </c>
      <c r="C6328" t="s">
        <v>40</v>
      </c>
      <c r="D6328">
        <v>4.2369940000000001</v>
      </c>
      <c r="E6328">
        <v>0.36378539999999998</v>
      </c>
      <c r="F6328" t="s">
        <v>44</v>
      </c>
      <c r="G6328">
        <v>-393.37099999999998</v>
      </c>
      <c r="H6328">
        <v>1.0603149999999999</v>
      </c>
      <c r="I6328">
        <v>140.9846</v>
      </c>
      <c r="J6328">
        <v>-392.85</v>
      </c>
      <c r="K6328">
        <v>1.1214649999999999</v>
      </c>
      <c r="L6328">
        <v>141.43530000000001</v>
      </c>
      <c r="M6328">
        <v>-0.99978880000000003</v>
      </c>
      <c r="N6328">
        <v>-1.226877E-2</v>
      </c>
      <c r="O6328">
        <v>1.6489130000000001E-2</v>
      </c>
      <c r="P6328">
        <v>-0.98228369999999998</v>
      </c>
      <c r="Q6328">
        <v>-4.2484599999999997E-2</v>
      </c>
      <c r="R6328">
        <v>-0.1825215</v>
      </c>
      <c r="S6328">
        <v>-2.7473749999999999</v>
      </c>
      <c r="T6328">
        <v>-0.22067580000000001</v>
      </c>
      <c r="U6328">
        <v>-1.6156619999999999</v>
      </c>
      <c r="V6328">
        <v>-0.19867299999999999</v>
      </c>
      <c r="W6328">
        <v>-3.0612239999999999E-2</v>
      </c>
      <c r="X6328">
        <v>0.9795876</v>
      </c>
      <c r="Y6328">
        <v>-0.51954730000000005</v>
      </c>
      <c r="Z6328">
        <v>-2.3761529999999999E-2</v>
      </c>
      <c r="AA6328">
        <v>0.85411130000000002</v>
      </c>
      <c r="AB6328">
        <v>24</v>
      </c>
      <c r="AC6328">
        <v>-0.52099999999995805</v>
      </c>
      <c r="AD6328">
        <v>-6.1150000000000003E-2</v>
      </c>
      <c r="AE6328">
        <v>-0.45070000000001098</v>
      </c>
      <c r="AF6328">
        <v>-0.45564004428409</v>
      </c>
      <c r="AG6328">
        <v>-6.1150000000000003E-2</v>
      </c>
      <c r="AH6328">
        <v>0.50948254726069797</v>
      </c>
      <c r="AI6328">
        <v>95.112368189119096</v>
      </c>
      <c r="AJ6328">
        <v>131.80687851344399</v>
      </c>
      <c r="AK6328">
        <v>0.68623584751778799</v>
      </c>
      <c r="AL6328">
        <v>91.754226265762597</v>
      </c>
      <c r="AM6328">
        <v>101.46481675886</v>
      </c>
      <c r="AN6328">
        <v>0.99999996812028802</v>
      </c>
    </row>
    <row r="6329" spans="1:40" x14ac:dyDescent="0.25">
      <c r="A6329" t="str">
        <f>"20190303153934711"</f>
        <v>20190303153934711</v>
      </c>
      <c r="B6329" t="str">
        <f>"1551598774704567"</f>
        <v>1551598774704567</v>
      </c>
      <c r="C6329" t="s">
        <v>40</v>
      </c>
      <c r="D6329">
        <v>4.2706499999999998</v>
      </c>
      <c r="E6329">
        <v>0.3643805</v>
      </c>
      <c r="F6329" t="s">
        <v>44</v>
      </c>
      <c r="G6329">
        <v>-393.58789999999999</v>
      </c>
      <c r="H6329">
        <v>1.062384</v>
      </c>
      <c r="I6329">
        <v>141.00069999999999</v>
      </c>
      <c r="J6329">
        <v>-393.089</v>
      </c>
      <c r="K6329">
        <v>1.1215010000000001</v>
      </c>
      <c r="L6329">
        <v>141.43870000000001</v>
      </c>
      <c r="M6329">
        <v>-0.99979470000000004</v>
      </c>
      <c r="N6329">
        <v>-1.242768E-2</v>
      </c>
      <c r="O6329">
        <v>1.60041E-2</v>
      </c>
      <c r="P6329">
        <v>-0.98117960000000004</v>
      </c>
      <c r="Q6329">
        <v>-4.3106209999999999E-2</v>
      </c>
      <c r="R6329">
        <v>-0.18822330000000001</v>
      </c>
      <c r="S6329">
        <v>-2.7442319999999998</v>
      </c>
      <c r="T6329">
        <v>-0.2197027</v>
      </c>
      <c r="U6329">
        <v>-1.616455</v>
      </c>
      <c r="V6329">
        <v>-0.20388000000000001</v>
      </c>
      <c r="W6329">
        <v>-3.1102930000000001E-2</v>
      </c>
      <c r="X6329">
        <v>0.97850170000000003</v>
      </c>
      <c r="Y6329">
        <v>-0.51975109999999902</v>
      </c>
      <c r="Z6329">
        <v>-2.371119E-2</v>
      </c>
      <c r="AA6329">
        <v>0.85398859999999999</v>
      </c>
      <c r="AB6329">
        <v>24</v>
      </c>
      <c r="AC6329">
        <v>-0.49889999999999102</v>
      </c>
      <c r="AD6329">
        <v>-5.9117000000000003E-2</v>
      </c>
      <c r="AE6329">
        <v>-0.43800000000001599</v>
      </c>
      <c r="AF6329">
        <v>-0.44242085065604603</v>
      </c>
      <c r="AG6329">
        <v>-5.9117000000000003E-2</v>
      </c>
      <c r="AH6329">
        <v>0.48795658216962901</v>
      </c>
      <c r="AI6329">
        <v>95.128722388324604</v>
      </c>
      <c r="AJ6329">
        <v>132.19799203361299</v>
      </c>
      <c r="AK6329">
        <v>0.66131131463697601</v>
      </c>
      <c r="AL6329">
        <v>91.782354049883693</v>
      </c>
      <c r="AM6329">
        <v>101.76971878709401</v>
      </c>
      <c r="AN6329">
        <v>1.00000001177873</v>
      </c>
    </row>
    <row r="6330" spans="1:40" x14ac:dyDescent="0.25">
      <c r="A6330" t="str">
        <f>"20190303153934733"</f>
        <v>20190303153934733</v>
      </c>
      <c r="B6330" t="str">
        <f>"1551598774725063"</f>
        <v>1551598774725063</v>
      </c>
      <c r="C6330" t="s">
        <v>40</v>
      </c>
      <c r="D6330">
        <v>4.3638320000000004</v>
      </c>
      <c r="E6330">
        <v>0.38157469999999999</v>
      </c>
      <c r="F6330" t="s">
        <v>44</v>
      </c>
      <c r="G6330">
        <v>-393.99470000000002</v>
      </c>
      <c r="H6330">
        <v>1.0477810000000001</v>
      </c>
      <c r="I6330">
        <v>140.89949999999999</v>
      </c>
      <c r="J6330">
        <v>-393.33089999999999</v>
      </c>
      <c r="K6330">
        <v>1.1215329999999999</v>
      </c>
      <c r="L6330">
        <v>141.4419</v>
      </c>
      <c r="M6330">
        <v>-0.99980069999999999</v>
      </c>
      <c r="N6330">
        <v>-1.258419E-2</v>
      </c>
      <c r="O6330">
        <v>1.549791E-2</v>
      </c>
      <c r="P6330">
        <v>-0.98004979999999997</v>
      </c>
      <c r="Q6330">
        <v>-4.3200250000000003E-2</v>
      </c>
      <c r="R6330">
        <v>-0.1939998</v>
      </c>
      <c r="S6330">
        <v>-2.735474</v>
      </c>
      <c r="T6330">
        <v>-0.22266720000000001</v>
      </c>
      <c r="U6330">
        <v>-1.627777</v>
      </c>
      <c r="V6330">
        <v>-0.20914170000000001</v>
      </c>
      <c r="W6330">
        <v>-3.1069510000000002E-2</v>
      </c>
      <c r="X6330">
        <v>0.97739169999999997</v>
      </c>
      <c r="Y6330">
        <v>-0.52307079999999995</v>
      </c>
      <c r="Z6330">
        <v>-2.418389E-2</v>
      </c>
      <c r="AA6330">
        <v>0.85194609999999904</v>
      </c>
      <c r="AB6330">
        <v>24</v>
      </c>
      <c r="AC6330">
        <v>-0.66380000000003703</v>
      </c>
      <c r="AD6330">
        <v>-7.3751999999999998E-2</v>
      </c>
      <c r="AE6330">
        <v>-0.54240000000001398</v>
      </c>
      <c r="AF6330">
        <v>-0.54856259578099997</v>
      </c>
      <c r="AG6330">
        <v>-7.3751999999999998E-2</v>
      </c>
      <c r="AH6330">
        <v>0.65049840291287397</v>
      </c>
      <c r="AI6330">
        <v>94.953617280118706</v>
      </c>
      <c r="AJ6330">
        <v>130.140795945208</v>
      </c>
      <c r="AK6330">
        <v>0.85411266890626902</v>
      </c>
      <c r="AL6330">
        <v>91.780438230692795</v>
      </c>
      <c r="AM6330">
        <v>102.07797660587001</v>
      </c>
      <c r="AN6330">
        <v>1.0000000501797</v>
      </c>
    </row>
    <row r="6331" spans="1:40" x14ac:dyDescent="0.25">
      <c r="A6331" t="str">
        <f>"20190303153934748"</f>
        <v>20190303153934748</v>
      </c>
      <c r="B6331" t="str">
        <f>"1551598774734823"</f>
        <v>1551598774734823</v>
      </c>
      <c r="C6331" t="s">
        <v>40</v>
      </c>
      <c r="D6331">
        <v>4.5659109999999998</v>
      </c>
      <c r="E6331">
        <v>0.38157469999999999</v>
      </c>
      <c r="F6331" t="s">
        <v>68</v>
      </c>
      <c r="G6331">
        <v>-413.7285</v>
      </c>
      <c r="H6331" s="1">
        <v>-6.3553260000000002E-6</v>
      </c>
      <c r="I6331">
        <v>130.27420000000001</v>
      </c>
      <c r="J6331">
        <v>-393.4896</v>
      </c>
      <c r="K6331">
        <v>1.1215459999999999</v>
      </c>
      <c r="L6331">
        <v>141.44399999999999</v>
      </c>
      <c r="M6331">
        <v>-0.99980460000000004</v>
      </c>
      <c r="N6331">
        <v>-1.2683699999999999E-2</v>
      </c>
      <c r="O6331">
        <v>1.516034E-2</v>
      </c>
      <c r="P6331">
        <v>-0.97958020000000001</v>
      </c>
      <c r="Q6331">
        <v>-4.3129609999999999E-2</v>
      </c>
      <c r="R6331">
        <v>-0.19637370000000001</v>
      </c>
      <c r="S6331">
        <v>-2.7557369999999999</v>
      </c>
      <c r="T6331">
        <v>-0.15152160000000001</v>
      </c>
      <c r="U6331">
        <v>-1.5087740000000001</v>
      </c>
      <c r="V6331">
        <v>-0.21117749999999999</v>
      </c>
      <c r="W6331">
        <v>-3.0913090000000001E-2</v>
      </c>
      <c r="X6331">
        <v>0.97695880000000002</v>
      </c>
      <c r="Y6331">
        <v>-0.49273210000000001</v>
      </c>
      <c r="Z6331">
        <v>-1.6583440000000001E-2</v>
      </c>
      <c r="AA6331">
        <v>0.87002299999999999</v>
      </c>
      <c r="AB6331">
        <v>24</v>
      </c>
      <c r="AC6331">
        <v>-20.238900000000001</v>
      </c>
      <c r="AD6331">
        <v>-1.1215523553259901</v>
      </c>
      <c r="AE6331">
        <v>-11.169799999999899</v>
      </c>
      <c r="AF6331">
        <v>-11.4484207863078</v>
      </c>
      <c r="AG6331">
        <v>-1.1215523553259901</v>
      </c>
      <c r="AH6331">
        <v>20.020096463542501</v>
      </c>
      <c r="AI6331">
        <v>92.784179115524694</v>
      </c>
      <c r="AJ6331">
        <v>119.76292648618001</v>
      </c>
      <c r="AK6331">
        <v>23.089575149743499</v>
      </c>
      <c r="AL6331">
        <v>91.771471760648097</v>
      </c>
      <c r="AM6331">
        <v>102.197284341011</v>
      </c>
      <c r="AN6331">
        <v>1.00000002626851</v>
      </c>
    </row>
    <row r="6332" spans="1:40" x14ac:dyDescent="0.25">
      <c r="A6332" t="str">
        <f>"20190303153934762"</f>
        <v>20190303153934762</v>
      </c>
      <c r="B6332" t="str">
        <f>"1551598774754343"</f>
        <v>1551598774754343</v>
      </c>
      <c r="C6332" t="s">
        <v>40</v>
      </c>
      <c r="D6332">
        <v>4.4354950000000004</v>
      </c>
      <c r="E6332">
        <v>0.46484350000000002</v>
      </c>
      <c r="F6332" t="s">
        <v>68</v>
      </c>
      <c r="G6332">
        <v>-413.9212</v>
      </c>
      <c r="H6332" s="1">
        <v>-6.3110600000000002E-6</v>
      </c>
      <c r="I6332">
        <v>130.19299999999899</v>
      </c>
      <c r="J6332">
        <v>-393.63440000000003</v>
      </c>
      <c r="K6332">
        <v>1.1215580000000001</v>
      </c>
      <c r="L6332">
        <v>141.44579999999999</v>
      </c>
      <c r="M6332">
        <v>-0.99980840000000004</v>
      </c>
      <c r="N6332">
        <v>-1.2767580000000001E-2</v>
      </c>
      <c r="O6332">
        <v>1.484312E-2</v>
      </c>
      <c r="P6332">
        <v>-0.9791185</v>
      </c>
      <c r="Q6332">
        <v>-4.3061830000000002E-2</v>
      </c>
      <c r="R6332">
        <v>-0.1986772</v>
      </c>
      <c r="S6332">
        <v>-2.752075</v>
      </c>
      <c r="T6332">
        <v>-0.15106929999999999</v>
      </c>
      <c r="U6332">
        <v>-1.5154719999999999</v>
      </c>
      <c r="V6332">
        <v>-0.2131644</v>
      </c>
      <c r="W6332">
        <v>-3.0773490000000001E-2</v>
      </c>
      <c r="X6332">
        <v>0.97653160000000006</v>
      </c>
      <c r="Y6332">
        <v>-0.49456879999999998</v>
      </c>
      <c r="Z6332">
        <v>-1.6621790000000001E-2</v>
      </c>
      <c r="AA6332">
        <v>0.86897950000000002</v>
      </c>
      <c r="AB6332">
        <v>24</v>
      </c>
      <c r="AC6332">
        <v>-20.2867999999999</v>
      </c>
      <c r="AD6332">
        <v>-1.12156431106</v>
      </c>
      <c r="AE6332">
        <v>-11.252800000000001</v>
      </c>
      <c r="AF6332">
        <v>-11.5257644840531</v>
      </c>
      <c r="AG6332">
        <v>-1.12156431106</v>
      </c>
      <c r="AH6332">
        <v>20.070612725314199</v>
      </c>
      <c r="AI6332">
        <v>92.774325653833898</v>
      </c>
      <c r="AJ6332">
        <v>119.86705872544</v>
      </c>
      <c r="AK6332">
        <v>23.1717640376223</v>
      </c>
      <c r="AL6332">
        <v>91.763469478343893</v>
      </c>
      <c r="AM6332">
        <v>102.31378213380501</v>
      </c>
      <c r="AN6332">
        <v>1.0000000174563499</v>
      </c>
    </row>
    <row r="6333" spans="1:40" x14ac:dyDescent="0.25">
      <c r="A6333" t="str">
        <f>"20190303153934778"</f>
        <v>20190303153934778</v>
      </c>
      <c r="B6333" t="str">
        <f>"1551598774774840"</f>
        <v>1551598774774840</v>
      </c>
      <c r="C6333" t="s">
        <v>40</v>
      </c>
      <c r="D6333">
        <v>4.4444049999999997</v>
      </c>
      <c r="E6333">
        <v>0.47903400000000002</v>
      </c>
      <c r="F6333" t="s">
        <v>68</v>
      </c>
      <c r="G6333">
        <v>-421.60019999999997</v>
      </c>
      <c r="H6333" s="1">
        <v>-7.33839399999999E-6</v>
      </c>
      <c r="I6333">
        <v>132.99639999999999</v>
      </c>
      <c r="J6333">
        <v>-393.803</v>
      </c>
      <c r="K6333">
        <v>1.1215740000000001</v>
      </c>
      <c r="L6333">
        <v>141.4479</v>
      </c>
      <c r="M6333">
        <v>-0.99981279999999995</v>
      </c>
      <c r="N6333">
        <v>-1.2859239999999999E-2</v>
      </c>
      <c r="O6333">
        <v>1.4463180000000001E-2</v>
      </c>
      <c r="P6333">
        <v>-0.97844359999999997</v>
      </c>
      <c r="Q6333">
        <v>-4.2676260000000001E-2</v>
      </c>
      <c r="R6333">
        <v>-0.20205719999999999</v>
      </c>
      <c r="S6333">
        <v>-2.8822329999999998</v>
      </c>
      <c r="T6333">
        <v>-0.1155915</v>
      </c>
      <c r="U6333">
        <v>-0.87081909999999896</v>
      </c>
      <c r="V6333">
        <v>-0.21616289999999999</v>
      </c>
      <c r="W6333">
        <v>-3.0312950000000002E-2</v>
      </c>
      <c r="X6333">
        <v>0.97588660000000005</v>
      </c>
      <c r="Y6333">
        <v>-0.3027319</v>
      </c>
      <c r="Z6333">
        <v>-8.3113909999999996E-3</v>
      </c>
      <c r="AA6333">
        <v>0.95303950000000004</v>
      </c>
      <c r="AB6333">
        <v>24</v>
      </c>
      <c r="AC6333">
        <v>-27.797199999999901</v>
      </c>
      <c r="AD6333">
        <v>-1.1215813383939901</v>
      </c>
      <c r="AE6333">
        <v>-8.45150000000001</v>
      </c>
      <c r="AF6333">
        <v>-8.8395118150700096</v>
      </c>
      <c r="AG6333">
        <v>-1.1215813383939901</v>
      </c>
      <c r="AH6333">
        <v>27.630869229817002</v>
      </c>
      <c r="AI6333">
        <v>92.214031584716096</v>
      </c>
      <c r="AJ6333">
        <v>107.74022043087599</v>
      </c>
      <c r="AK6333">
        <v>29.0320486397816</v>
      </c>
      <c r="AL6333">
        <v>91.7370702544534</v>
      </c>
      <c r="AM6333">
        <v>102.48959358149099</v>
      </c>
      <c r="AN6333">
        <v>0.99999996516683498</v>
      </c>
    </row>
    <row r="6334" spans="1:40" x14ac:dyDescent="0.25">
      <c r="A6334" t="str">
        <f>"20190303153934795"</f>
        <v>20190303153934795</v>
      </c>
      <c r="B6334" t="str">
        <f>"1551598774784600"</f>
        <v>1551598774784600</v>
      </c>
      <c r="C6334" t="s">
        <v>40</v>
      </c>
      <c r="D6334">
        <v>4.3856919999999997</v>
      </c>
      <c r="E6334">
        <v>0.4819176</v>
      </c>
      <c r="F6334" t="s">
        <v>68</v>
      </c>
      <c r="G6334">
        <v>-416.89100000000002</v>
      </c>
      <c r="H6334" s="1">
        <v>-8.2266619999999997E-6</v>
      </c>
      <c r="I6334">
        <v>135.3194</v>
      </c>
      <c r="J6334">
        <v>-393.98070000000001</v>
      </c>
      <c r="K6334">
        <v>1.121588</v>
      </c>
      <c r="L6334">
        <v>141.44999999999999</v>
      </c>
      <c r="M6334">
        <v>-0.99981770000000003</v>
      </c>
      <c r="N6334">
        <v>-1.294795E-2</v>
      </c>
      <c r="O6334">
        <v>1.4046329999999999E-2</v>
      </c>
      <c r="P6334">
        <v>-0.97812840000000001</v>
      </c>
      <c r="Q6334">
        <v>-4.2531909999999999E-2</v>
      </c>
      <c r="R6334">
        <v>-0.20360739999999999</v>
      </c>
      <c r="S6334">
        <v>-2.90097</v>
      </c>
      <c r="T6334">
        <v>-0.14092470000000001</v>
      </c>
      <c r="U6334">
        <v>-0.77003480000000002</v>
      </c>
      <c r="V6334">
        <v>-0.21730150000000001</v>
      </c>
      <c r="W6334">
        <v>-3.0091030000000001E-2</v>
      </c>
      <c r="X6334">
        <v>0.97564059999999997</v>
      </c>
      <c r="Y6334">
        <v>-0.26971840000000002</v>
      </c>
      <c r="Z6334">
        <v>-8.7053449999999997E-3</v>
      </c>
      <c r="AA6334">
        <v>0.96289990000000003</v>
      </c>
      <c r="AB6334">
        <v>24</v>
      </c>
      <c r="AC6334">
        <v>-22.9102999999999</v>
      </c>
      <c r="AD6334">
        <v>-1.1215962266619901</v>
      </c>
      <c r="AE6334">
        <v>-6.1305999999999798</v>
      </c>
      <c r="AF6334">
        <v>-6.437430066878</v>
      </c>
      <c r="AG6334">
        <v>-1.1215962266619901</v>
      </c>
      <c r="AH6334">
        <v>22.770991542942699</v>
      </c>
      <c r="AI6334">
        <v>92.713665549313603</v>
      </c>
      <c r="AJ6334">
        <v>105.78576249619999</v>
      </c>
      <c r="AK6334">
        <v>23.690009282614799</v>
      </c>
      <c r="AL6334">
        <v>91.724349318037994</v>
      </c>
      <c r="AM6334">
        <v>102.55636516024001</v>
      </c>
      <c r="AN6334">
        <v>0.99999999617853497</v>
      </c>
    </row>
    <row r="6335" spans="1:40" x14ac:dyDescent="0.25">
      <c r="A6335" t="str">
        <f>"20190303153934812"</f>
        <v>20190303153934812</v>
      </c>
      <c r="B6335" t="str">
        <f>"1551598774805095"</f>
        <v>1551598774805095</v>
      </c>
      <c r="C6335" t="s">
        <v>40</v>
      </c>
      <c r="D6335">
        <v>4.3274299999999997</v>
      </c>
      <c r="E6335">
        <v>0.48674230000000002</v>
      </c>
      <c r="F6335" t="s">
        <v>68</v>
      </c>
      <c r="G6335">
        <v>-415.66919999999999</v>
      </c>
      <c r="H6335" s="1">
        <v>-8.5215710000000005E-6</v>
      </c>
      <c r="I6335">
        <v>135.83240000000001</v>
      </c>
      <c r="J6335">
        <v>-394.17469999999997</v>
      </c>
      <c r="K6335">
        <v>1.121604</v>
      </c>
      <c r="L6335">
        <v>141.4521</v>
      </c>
      <c r="M6335">
        <v>-0.99982289999999996</v>
      </c>
      <c r="N6335">
        <v>-1.3035740000000001E-2</v>
      </c>
      <c r="O6335">
        <v>1.3569380000000001E-2</v>
      </c>
      <c r="P6335">
        <v>-0.97751189999999999</v>
      </c>
      <c r="Q6335">
        <v>-4.1820929999999999E-2</v>
      </c>
      <c r="R6335">
        <v>-0.20669100000000001</v>
      </c>
      <c r="S6335">
        <v>-2.9039609999999998</v>
      </c>
      <c r="T6335">
        <v>-0.150175799999999</v>
      </c>
      <c r="U6335">
        <v>-0.75216669999999997</v>
      </c>
      <c r="V6335">
        <v>-0.219911</v>
      </c>
      <c r="W6335">
        <v>-2.9311210000000001E-2</v>
      </c>
      <c r="X6335">
        <v>0.97507949999999999</v>
      </c>
      <c r="Y6335">
        <v>-0.2634262</v>
      </c>
      <c r="Z6335">
        <v>-8.9592019999999994E-3</v>
      </c>
      <c r="AA6335">
        <v>0.96463790000000005</v>
      </c>
      <c r="AB6335">
        <v>24</v>
      </c>
      <c r="AC6335">
        <v>-21.494499999999999</v>
      </c>
      <c r="AD6335">
        <v>-1.121612521571</v>
      </c>
      <c r="AE6335">
        <v>-5.6196999999999901</v>
      </c>
      <c r="AF6335">
        <v>-5.8958477250923904</v>
      </c>
      <c r="AG6335">
        <v>-1.121612521571</v>
      </c>
      <c r="AH6335">
        <v>21.361813942009</v>
      </c>
      <c r="AI6335">
        <v>92.897445916061201</v>
      </c>
      <c r="AJ6335">
        <v>105.429472840629</v>
      </c>
      <c r="AK6335">
        <v>22.1888740124196</v>
      </c>
      <c r="AL6335">
        <v>91.679649172859598</v>
      </c>
      <c r="AM6335">
        <v>102.70935756092599</v>
      </c>
      <c r="AN6335">
        <v>1.0000000131364499</v>
      </c>
    </row>
    <row r="6336" spans="1:40" x14ac:dyDescent="0.25">
      <c r="A6336" t="str">
        <f>"20190303153934835"</f>
        <v>20190303153934835</v>
      </c>
      <c r="B6336" t="str">
        <f>"1551598774824616"</f>
        <v>1551598774824616</v>
      </c>
      <c r="C6336" t="s">
        <v>40</v>
      </c>
      <c r="D6336">
        <v>4.3046699999999998</v>
      </c>
      <c r="E6336">
        <v>0.4897937</v>
      </c>
      <c r="F6336" t="s">
        <v>68</v>
      </c>
      <c r="G6336">
        <v>-416.06029999999998</v>
      </c>
      <c r="H6336" s="1">
        <v>-8.5642869999999997E-6</v>
      </c>
      <c r="I6336">
        <v>136.0087</v>
      </c>
      <c r="J6336">
        <v>-394.41039999999998</v>
      </c>
      <c r="K6336">
        <v>1.121631</v>
      </c>
      <c r="L6336">
        <v>141.4546</v>
      </c>
      <c r="M6336">
        <v>-0.99982990000000005</v>
      </c>
      <c r="N6336">
        <v>-1.313052E-2</v>
      </c>
      <c r="O6336">
        <v>1.295346E-2</v>
      </c>
      <c r="P6336">
        <v>-0.97688370000000002</v>
      </c>
      <c r="Q6336">
        <v>-4.1386689999999997E-2</v>
      </c>
      <c r="R6336">
        <v>-0.20972660000000001</v>
      </c>
      <c r="S6336">
        <v>-2.9095759999999999</v>
      </c>
      <c r="T6336">
        <v>-0.14911269999999999</v>
      </c>
      <c r="U6336">
        <v>-0.72367859999999995</v>
      </c>
      <c r="V6336">
        <v>-0.22233700000000001</v>
      </c>
      <c r="W6336">
        <v>-2.8806249999999999E-2</v>
      </c>
      <c r="X6336">
        <v>0.97454419999999997</v>
      </c>
      <c r="Y6336">
        <v>-0.2535135</v>
      </c>
      <c r="Z6336">
        <v>-8.5717280000000007E-3</v>
      </c>
      <c r="AA6336">
        <v>0.96729390000000004</v>
      </c>
      <c r="AB6336">
        <v>24</v>
      </c>
      <c r="AC6336">
        <v>-21.649899999999999</v>
      </c>
      <c r="AD6336">
        <v>-1.1216395642870001</v>
      </c>
      <c r="AE6336">
        <v>-5.4458999999999902</v>
      </c>
      <c r="AF6336">
        <v>-5.7114905008412604</v>
      </c>
      <c r="AG6336">
        <v>-1.1216395642870001</v>
      </c>
      <c r="AH6336">
        <v>21.523201851815799</v>
      </c>
      <c r="AI6336">
        <v>92.883536428445197</v>
      </c>
      <c r="AJ6336">
        <v>104.861731290347</v>
      </c>
      <c r="AK6336">
        <v>22.296354343420798</v>
      </c>
      <c r="AL6336">
        <v>91.650704944854994</v>
      </c>
      <c r="AM6336">
        <v>102.851758351203</v>
      </c>
      <c r="AN6336">
        <v>0.99999996968085003</v>
      </c>
    </row>
    <row r="6337" spans="1:40" x14ac:dyDescent="0.25">
      <c r="A6337" t="str">
        <f>"20190303153934855"</f>
        <v>20190303153934855</v>
      </c>
      <c r="B6337" t="str">
        <f>"1551598774845112"</f>
        <v>1551598774845112</v>
      </c>
      <c r="C6337" t="s">
        <v>40</v>
      </c>
      <c r="D6337">
        <v>4.3059079999999996</v>
      </c>
      <c r="E6337">
        <v>0.49202279999999998</v>
      </c>
      <c r="F6337" t="s">
        <v>68</v>
      </c>
      <c r="G6337">
        <v>-416.33730000000003</v>
      </c>
      <c r="H6337" s="1">
        <v>-8.5878320000000002E-6</v>
      </c>
      <c r="I6337">
        <v>136.1182</v>
      </c>
      <c r="J6337">
        <v>-394.63339999999999</v>
      </c>
      <c r="K6337">
        <v>1.1216649999999999</v>
      </c>
      <c r="L6337">
        <v>141.45679999999999</v>
      </c>
      <c r="M6337">
        <v>-0.99983679999999997</v>
      </c>
      <c r="N6337">
        <v>-1.32102E-2</v>
      </c>
      <c r="O6337">
        <v>1.232956E-2</v>
      </c>
      <c r="P6337">
        <v>-0.97630349999999999</v>
      </c>
      <c r="Q6337">
        <v>-4.1815150000000002E-2</v>
      </c>
      <c r="R6337">
        <v>-0.2123283</v>
      </c>
      <c r="S6337">
        <v>-2.9124759999999998</v>
      </c>
      <c r="T6337">
        <v>-0.14898400000000001</v>
      </c>
      <c r="U6337">
        <v>-0.70881649999999996</v>
      </c>
      <c r="V6337">
        <v>-0.2243211</v>
      </c>
      <c r="W6337">
        <v>-2.9180649999999999E-2</v>
      </c>
      <c r="X6337">
        <v>0.97407829999999995</v>
      </c>
      <c r="Y6337">
        <v>-0.24803539999999999</v>
      </c>
      <c r="Z6337">
        <v>-8.3730750000000007E-3</v>
      </c>
      <c r="AA6337">
        <v>0.96871479999999999</v>
      </c>
      <c r="AB6337">
        <v>24</v>
      </c>
      <c r="AC6337">
        <v>-21.703900000000001</v>
      </c>
      <c r="AD6337">
        <v>-1.1216735878320001</v>
      </c>
      <c r="AE6337">
        <v>-5.33859999999998</v>
      </c>
      <c r="AF6337">
        <v>-5.5917341071623898</v>
      </c>
      <c r="AG6337">
        <v>-1.1216735878320001</v>
      </c>
      <c r="AH6337">
        <v>21.5820667635926</v>
      </c>
      <c r="AI6337">
        <v>92.880193750899394</v>
      </c>
      <c r="AJ6337">
        <v>104.52545828376</v>
      </c>
      <c r="AK6337">
        <v>22.322886187744899</v>
      </c>
      <c r="AL6337">
        <v>91.672165456110903</v>
      </c>
      <c r="AM6337">
        <v>102.968578454564</v>
      </c>
      <c r="AN6337">
        <v>1.00000000038526</v>
      </c>
    </row>
    <row r="6338" spans="1:40" x14ac:dyDescent="0.25">
      <c r="A6338" t="str">
        <f>"20190303153934878"</f>
        <v>20190303153934878</v>
      </c>
      <c r="B6338" t="str">
        <f>"1551598774874395"</f>
        <v>1551598774874395</v>
      </c>
      <c r="C6338" t="s">
        <v>40</v>
      </c>
      <c r="D6338">
        <v>4.2906060000000004</v>
      </c>
      <c r="E6338">
        <v>0.49441069999999998</v>
      </c>
      <c r="F6338" t="s">
        <v>68</v>
      </c>
      <c r="G6338">
        <v>-416.05489999999998</v>
      </c>
      <c r="H6338" s="1">
        <v>-8.6998040000000002E-6</v>
      </c>
      <c r="I6338">
        <v>136.3176</v>
      </c>
      <c r="J6338">
        <v>-394.87130000000002</v>
      </c>
      <c r="K6338">
        <v>1.1217029999999999</v>
      </c>
      <c r="L6338">
        <v>141.4589</v>
      </c>
      <c r="M6338">
        <v>-0.99984450000000002</v>
      </c>
      <c r="N6338">
        <v>-1.328502E-2</v>
      </c>
      <c r="O6338">
        <v>1.160279E-2</v>
      </c>
      <c r="P6338">
        <v>-0.97568239999999995</v>
      </c>
      <c r="Q6338">
        <v>-4.2528919999999998E-2</v>
      </c>
      <c r="R6338">
        <v>-0.2150243</v>
      </c>
      <c r="S6338">
        <v>-2.9142459999999999</v>
      </c>
      <c r="T6338">
        <v>-0.15259610000000001</v>
      </c>
      <c r="U6338">
        <v>-0.6991425</v>
      </c>
      <c r="V6338">
        <v>-0.2262981</v>
      </c>
      <c r="W6338">
        <v>-2.985167E-2</v>
      </c>
      <c r="X6338">
        <v>0.97360060000000004</v>
      </c>
      <c r="Y6338">
        <v>-0.24414469999999999</v>
      </c>
      <c r="Z6338">
        <v>-8.3912220000000003E-3</v>
      </c>
      <c r="AA6338">
        <v>0.96970250000000002</v>
      </c>
      <c r="AB6338">
        <v>24</v>
      </c>
      <c r="AC6338">
        <v>-21.183599999999899</v>
      </c>
      <c r="AD6338">
        <v>-1.121711699804</v>
      </c>
      <c r="AE6338">
        <v>-5.1413000000000002</v>
      </c>
      <c r="AF6338">
        <v>-5.3725382935040997</v>
      </c>
      <c r="AG6338">
        <v>-1.121711699804</v>
      </c>
      <c r="AH6338">
        <v>21.066731893067399</v>
      </c>
      <c r="AI6338">
        <v>92.9535159590734</v>
      </c>
      <c r="AJ6338">
        <v>104.30688399090801</v>
      </c>
      <c r="AK6338">
        <v>21.769924150236001</v>
      </c>
      <c r="AL6338">
        <v>91.710628760868602</v>
      </c>
      <c r="AM6338">
        <v>103.08515732705099</v>
      </c>
      <c r="AN6338">
        <v>1.0000000402928699</v>
      </c>
    </row>
    <row r="6339" spans="1:40" x14ac:dyDescent="0.25">
      <c r="A6339" t="str">
        <f>"20190303153934894"</f>
        <v>20190303153934894</v>
      </c>
      <c r="B6339" t="str">
        <f>"1551598774885127"</f>
        <v>1551598774885127</v>
      </c>
      <c r="C6339" t="s">
        <v>40</v>
      </c>
      <c r="D6339">
        <v>4.2744109999999997</v>
      </c>
      <c r="E6339">
        <v>0.4950059</v>
      </c>
      <c r="F6339" t="s">
        <v>68</v>
      </c>
      <c r="G6339">
        <v>-415.5505</v>
      </c>
      <c r="H6339" s="1">
        <v>-8.8564939999999992E-6</v>
      </c>
      <c r="I6339">
        <v>136.57480000000001</v>
      </c>
      <c r="J6339">
        <v>-395.04259999999999</v>
      </c>
      <c r="K6339">
        <v>1.121739</v>
      </c>
      <c r="L6339">
        <v>141.46019999999999</v>
      </c>
      <c r="M6339">
        <v>-0.99985020000000002</v>
      </c>
      <c r="N6339">
        <v>-1.3333100000000001E-2</v>
      </c>
      <c r="O6339">
        <v>1.1030770000000001E-2</v>
      </c>
      <c r="P6339">
        <v>-0.97526170000000001</v>
      </c>
      <c r="Q6339">
        <v>-4.3263389999999999E-2</v>
      </c>
      <c r="R6339">
        <v>-0.2167781</v>
      </c>
      <c r="S6339">
        <v>-2.916077</v>
      </c>
      <c r="T6339">
        <v>-0.15817829999999999</v>
      </c>
      <c r="U6339">
        <v>-0.68873600000000001</v>
      </c>
      <c r="V6339">
        <v>-0.22748660000000001</v>
      </c>
      <c r="W6339">
        <v>-3.0564359999999999E-2</v>
      </c>
      <c r="X6339">
        <v>0.97330139999999998</v>
      </c>
      <c r="Y6339">
        <v>-0.24015449999999999</v>
      </c>
      <c r="Z6339">
        <v>-8.4897310000000004E-3</v>
      </c>
      <c r="AA6339">
        <v>0.97069749999999999</v>
      </c>
      <c r="AB6339">
        <v>24</v>
      </c>
      <c r="AC6339">
        <v>-20.507899999999999</v>
      </c>
      <c r="AD6339">
        <v>-1.121747856494</v>
      </c>
      <c r="AE6339">
        <v>-4.8853999999999704</v>
      </c>
      <c r="AF6339">
        <v>-5.0969102054940496</v>
      </c>
      <c r="AG6339">
        <v>-1.121747856494</v>
      </c>
      <c r="AH6339">
        <v>20.395014415518599</v>
      </c>
      <c r="AI6339">
        <v>93.054407302646993</v>
      </c>
      <c r="AJ6339">
        <v>104.03136932662601</v>
      </c>
      <c r="AK6339">
        <v>21.052159625692301</v>
      </c>
      <c r="AL6339">
        <v>91.751481648703702</v>
      </c>
      <c r="AM6339">
        <v>103.15539919453001</v>
      </c>
      <c r="AN6339">
        <v>0.99999997426186404</v>
      </c>
    </row>
    <row r="6340" spans="1:40" x14ac:dyDescent="0.25">
      <c r="A6340" t="str">
        <f>"20190303153934912"</f>
        <v>20190303153934912</v>
      </c>
      <c r="B6340" t="str">
        <f>"1551598774904647"</f>
        <v>1551598774904647</v>
      </c>
      <c r="C6340" t="s">
        <v>40</v>
      </c>
      <c r="D6340">
        <v>4.2736330000000002</v>
      </c>
      <c r="E6340">
        <v>0.49615710000000002</v>
      </c>
      <c r="F6340" t="s">
        <v>68</v>
      </c>
      <c r="G6340">
        <v>-415.34500000000003</v>
      </c>
      <c r="H6340" s="1">
        <v>-8.9123279999999993E-6</v>
      </c>
      <c r="I6340">
        <v>136.66120000000001</v>
      </c>
      <c r="J6340">
        <v>-395.23360000000002</v>
      </c>
      <c r="K6340">
        <v>1.1217889999999999</v>
      </c>
      <c r="L6340">
        <v>141.4616</v>
      </c>
      <c r="M6340">
        <v>-0.99985710000000005</v>
      </c>
      <c r="N6340">
        <v>-1.338113E-2</v>
      </c>
      <c r="O6340">
        <v>1.033353E-2</v>
      </c>
      <c r="P6340">
        <v>-0.97477100000000005</v>
      </c>
      <c r="Q6340">
        <v>-4.4043690000000003E-2</v>
      </c>
      <c r="R6340">
        <v>-0.21881890000000001</v>
      </c>
      <c r="S6340">
        <v>-2.9157099999999998</v>
      </c>
      <c r="T6340">
        <v>-0.16109860000000001</v>
      </c>
      <c r="U6340">
        <v>-0.68920899999999996</v>
      </c>
      <c r="V6340">
        <v>-0.22883990000000001</v>
      </c>
      <c r="W6340">
        <v>-3.1330900000000002E-2</v>
      </c>
      <c r="X6340">
        <v>0.97295980000000004</v>
      </c>
      <c r="Y6340">
        <v>-0.23964079999999999</v>
      </c>
      <c r="Z6340">
        <v>-8.5788530000000009E-3</v>
      </c>
      <c r="AA6340">
        <v>0.97082369999999996</v>
      </c>
      <c r="AB6340">
        <v>24</v>
      </c>
      <c r="AC6340">
        <v>-20.1114</v>
      </c>
      <c r="AD6340">
        <v>-1.121797912328</v>
      </c>
      <c r="AE6340">
        <v>-4.80039999999999</v>
      </c>
      <c r="AF6340">
        <v>-4.9932857070364296</v>
      </c>
      <c r="AG6340">
        <v>-1.121797912328</v>
      </c>
      <c r="AH6340">
        <v>20.001838825373898</v>
      </c>
      <c r="AI6340">
        <v>93.114665410692496</v>
      </c>
      <c r="AJ6340">
        <v>104.016900561236</v>
      </c>
      <c r="AK6340">
        <v>20.646183402857599</v>
      </c>
      <c r="AL6340">
        <v>91.795422071124705</v>
      </c>
      <c r="AM6340">
        <v>103.23539648249999</v>
      </c>
      <c r="AN6340">
        <v>1.00000004877142</v>
      </c>
    </row>
    <row r="6341" spans="1:40" x14ac:dyDescent="0.25">
      <c r="A6341" t="str">
        <f>"20190303153934927"</f>
        <v>20190303153934927</v>
      </c>
      <c r="B6341" t="str">
        <f>"1551598774914407"</f>
        <v>1551598774914407</v>
      </c>
      <c r="C6341" t="s">
        <v>40</v>
      </c>
      <c r="D6341">
        <v>4.2640169999999999</v>
      </c>
      <c r="E6341">
        <v>0.496668</v>
      </c>
      <c r="F6341" t="s">
        <v>68</v>
      </c>
      <c r="G6341">
        <v>-414.98840000000001</v>
      </c>
      <c r="H6341" s="1">
        <v>-9.0093840000000001E-6</v>
      </c>
      <c r="I6341">
        <v>136.8116</v>
      </c>
      <c r="J6341">
        <v>-395.38780000000003</v>
      </c>
      <c r="K6341">
        <v>1.1218319999999999</v>
      </c>
      <c r="L6341">
        <v>141.46250000000001</v>
      </c>
      <c r="M6341">
        <v>-0.99986280000000005</v>
      </c>
      <c r="N6341">
        <v>-1.3416330000000001E-2</v>
      </c>
      <c r="O6341">
        <v>9.7187330000000002E-3</v>
      </c>
      <c r="P6341">
        <v>-0.9744661</v>
      </c>
      <c r="Q6341">
        <v>-4.3944959999999998E-2</v>
      </c>
      <c r="R6341">
        <v>-0.2201919</v>
      </c>
      <c r="S6341">
        <v>-2.916077</v>
      </c>
      <c r="T6341">
        <v>-0.165592299999999</v>
      </c>
      <c r="U6341">
        <v>-0.68640140000000005</v>
      </c>
      <c r="V6341">
        <v>-0.22960839999999999</v>
      </c>
      <c r="W6341">
        <v>-3.1226719999999999E-2</v>
      </c>
      <c r="X6341">
        <v>0.97278200000000004</v>
      </c>
      <c r="Y6341">
        <v>-0.2381114</v>
      </c>
      <c r="Z6341">
        <v>-8.7004700000000001E-3</v>
      </c>
      <c r="AA6341">
        <v>0.97119889999999998</v>
      </c>
      <c r="AB6341">
        <v>24</v>
      </c>
      <c r="AC6341">
        <v>-19.600599999999901</v>
      </c>
      <c r="AD6341">
        <v>-1.1218410093840001</v>
      </c>
      <c r="AE6341">
        <v>-4.6509</v>
      </c>
      <c r="AF6341">
        <v>-4.82622317601151</v>
      </c>
      <c r="AG6341">
        <v>-1.1218410093840001</v>
      </c>
      <c r="AH6341">
        <v>19.494013626624501</v>
      </c>
      <c r="AI6341">
        <v>93.197303472098099</v>
      </c>
      <c r="AJ6341">
        <v>103.905379775014</v>
      </c>
      <c r="AK6341">
        <v>20.113863991536501</v>
      </c>
      <c r="AL6341">
        <v>91.789450211599004</v>
      </c>
      <c r="AM6341">
        <v>103.280613137847</v>
      </c>
      <c r="AN6341">
        <v>0.999999972458258</v>
      </c>
    </row>
    <row r="6342" spans="1:40" x14ac:dyDescent="0.25">
      <c r="A6342" t="str">
        <f>"20190303153934941"</f>
        <v>20190303153934941</v>
      </c>
      <c r="B6342" t="str">
        <f>"1551598774934904"</f>
        <v>1551598774934904</v>
      </c>
      <c r="C6342" t="s">
        <v>40</v>
      </c>
      <c r="D6342">
        <v>4.2589829999999997</v>
      </c>
      <c r="E6342">
        <v>0.49743769999999998</v>
      </c>
      <c r="F6342" t="s">
        <v>68</v>
      </c>
      <c r="G6342">
        <v>-415.096</v>
      </c>
      <c r="H6342" s="1">
        <v>-9.0046339999999998E-6</v>
      </c>
      <c r="I6342">
        <v>136.82230000000001</v>
      </c>
      <c r="J6342">
        <v>-395.53559999999999</v>
      </c>
      <c r="K6342">
        <v>1.12188</v>
      </c>
      <c r="L6342">
        <v>141.4632</v>
      </c>
      <c r="M6342">
        <v>-0.9998686</v>
      </c>
      <c r="N6342">
        <v>-1.344679E-2</v>
      </c>
      <c r="O6342">
        <v>9.0740460000000005E-3</v>
      </c>
      <c r="P6342">
        <v>-0.97415419999999997</v>
      </c>
      <c r="Q6342">
        <v>-4.4415349999999999E-2</v>
      </c>
      <c r="R6342">
        <v>-0.22147549999999999</v>
      </c>
      <c r="S6342">
        <v>-2.9159549999999999</v>
      </c>
      <c r="T6342">
        <v>-0.16598299999999999</v>
      </c>
      <c r="U6342">
        <v>-0.68653869999999995</v>
      </c>
      <c r="V6342">
        <v>-0.23025799999999999</v>
      </c>
      <c r="W6342">
        <v>-3.1697740000000002E-2</v>
      </c>
      <c r="X6342">
        <v>0.97261319999999996</v>
      </c>
      <c r="Y6342">
        <v>-0.2375371</v>
      </c>
      <c r="Z6342">
        <v>-8.673432E-3</v>
      </c>
      <c r="AA6342">
        <v>0.97133979999999998</v>
      </c>
      <c r="AB6342">
        <v>24</v>
      </c>
      <c r="AC6342">
        <v>-19.560400000000001</v>
      </c>
      <c r="AD6342">
        <v>-1.121889004634</v>
      </c>
      <c r="AE6342">
        <v>-4.6408999999999798</v>
      </c>
      <c r="AF6342">
        <v>-4.80325810638492</v>
      </c>
      <c r="AG6342">
        <v>-1.121889004634</v>
      </c>
      <c r="AH6342">
        <v>19.4568844707998</v>
      </c>
      <c r="AI6342">
        <v>93.204056152974104</v>
      </c>
      <c r="AJ6342">
        <v>103.867158173611</v>
      </c>
      <c r="AK6342">
        <v>20.072375960142899</v>
      </c>
      <c r="AL6342">
        <v>91.816451051109993</v>
      </c>
      <c r="AM6342">
        <v>103.319078187141</v>
      </c>
      <c r="AN6342">
        <v>0.99999996504967303</v>
      </c>
    </row>
    <row r="6343" spans="1:40" x14ac:dyDescent="0.25">
      <c r="A6343" t="str">
        <f>"20190303153934956"</f>
        <v>20190303153934956</v>
      </c>
      <c r="B6343" t="str">
        <f>"1551598774944664"</f>
        <v>1551598774944664</v>
      </c>
      <c r="C6343" t="s">
        <v>40</v>
      </c>
      <c r="D6343">
        <v>4.2606950000000001</v>
      </c>
      <c r="E6343">
        <v>0.49774259999999898</v>
      </c>
      <c r="F6343" t="s">
        <v>68</v>
      </c>
      <c r="G6343">
        <v>-414.99579999999997</v>
      </c>
      <c r="H6343" s="1">
        <v>-9.0460850000000003E-6</v>
      </c>
      <c r="I6343">
        <v>136.89699999999999</v>
      </c>
      <c r="J6343">
        <v>-395.69529999999997</v>
      </c>
      <c r="K6343">
        <v>1.1219330000000001</v>
      </c>
      <c r="L6343">
        <v>141.4639</v>
      </c>
      <c r="M6343">
        <v>-0.9998745</v>
      </c>
      <c r="N6343">
        <v>-1.3477360000000001E-2</v>
      </c>
      <c r="O6343">
        <v>8.3261910000000001E-3</v>
      </c>
      <c r="P6343">
        <v>-0.97367879999999996</v>
      </c>
      <c r="Q6343">
        <v>-4.4999009999999999E-2</v>
      </c>
      <c r="R6343">
        <v>-0.22343879999999999</v>
      </c>
      <c r="S6343">
        <v>-2.916382</v>
      </c>
      <c r="T6343">
        <v>-0.1681308</v>
      </c>
      <c r="U6343">
        <v>-0.68431090000000006</v>
      </c>
      <c r="V6343">
        <v>-0.23148479999999999</v>
      </c>
      <c r="W6343">
        <v>-3.2290050000000001E-2</v>
      </c>
      <c r="X6343">
        <v>0.97230249999999996</v>
      </c>
      <c r="Y6343">
        <v>-0.236068</v>
      </c>
      <c r="Z6343">
        <v>-8.6846159999999992E-3</v>
      </c>
      <c r="AA6343">
        <v>0.9716977</v>
      </c>
      <c r="AB6343">
        <v>24</v>
      </c>
      <c r="AC6343">
        <v>-19.3005</v>
      </c>
      <c r="AD6343">
        <v>-1.121942046085</v>
      </c>
      <c r="AE6343">
        <v>-4.5668999999999702</v>
      </c>
      <c r="AF6343">
        <v>-4.7123765119104997</v>
      </c>
      <c r="AG6343">
        <v>-1.121942046085</v>
      </c>
      <c r="AH6343">
        <v>19.2003621862956</v>
      </c>
      <c r="AI6343">
        <v>93.248004772694898</v>
      </c>
      <c r="AJ6343">
        <v>103.78962945177599</v>
      </c>
      <c r="AK6343">
        <v>19.801998748351298</v>
      </c>
      <c r="AL6343">
        <v>91.850405223042998</v>
      </c>
      <c r="AM6343">
        <v>103.39161690433799</v>
      </c>
      <c r="AN6343">
        <v>1.00000000573314</v>
      </c>
    </row>
    <row r="6344" spans="1:40" x14ac:dyDescent="0.25">
      <c r="A6344" t="str">
        <f>"20190303153934971"</f>
        <v>20190303153934971</v>
      </c>
      <c r="B6344" t="str">
        <f>"1551598774965160"</f>
        <v>1551598774965160</v>
      </c>
      <c r="C6344" t="s">
        <v>40</v>
      </c>
      <c r="D6344">
        <v>4.2579849999999997</v>
      </c>
      <c r="E6344">
        <v>0.49835180000000001</v>
      </c>
      <c r="F6344" t="s">
        <v>68</v>
      </c>
      <c r="G6344">
        <v>-414.87639999999999</v>
      </c>
      <c r="H6344" s="1">
        <v>-9.0750550000000008E-6</v>
      </c>
      <c r="I6344">
        <v>136.9393</v>
      </c>
      <c r="J6344">
        <v>-395.8546</v>
      </c>
      <c r="K6344">
        <v>1.1219950000000001</v>
      </c>
      <c r="L6344">
        <v>141.46430000000001</v>
      </c>
      <c r="M6344">
        <v>-0.99988060000000001</v>
      </c>
      <c r="N6344">
        <v>-1.3505410000000001E-2</v>
      </c>
      <c r="O6344">
        <v>7.5203689999999998E-3</v>
      </c>
      <c r="P6344">
        <v>-0.973383</v>
      </c>
      <c r="Q6344">
        <v>-4.5620229999999998E-2</v>
      </c>
      <c r="R6344">
        <v>-0.22459879999999999</v>
      </c>
      <c r="S6344">
        <v>-2.915375</v>
      </c>
      <c r="T6344">
        <v>-0.1705265</v>
      </c>
      <c r="U6344">
        <v>-0.68769840000000004</v>
      </c>
      <c r="V6344">
        <v>-0.23185269999999999</v>
      </c>
      <c r="W6344">
        <v>-3.2921409999999998E-2</v>
      </c>
      <c r="X6344">
        <v>0.97219370000000005</v>
      </c>
      <c r="Y6344">
        <v>-0.23641690000000001</v>
      </c>
      <c r="Z6344">
        <v>-8.7683769999999904E-3</v>
      </c>
      <c r="AA6344">
        <v>0.97161220000000004</v>
      </c>
      <c r="AB6344">
        <v>24</v>
      </c>
      <c r="AC6344">
        <v>-19.021799999999899</v>
      </c>
      <c r="AD6344">
        <v>-1.122004075055</v>
      </c>
      <c r="AE6344">
        <v>-4.5250000000000004</v>
      </c>
      <c r="AF6344">
        <v>-4.6526153784322801</v>
      </c>
      <c r="AG6344">
        <v>-1.122004075055</v>
      </c>
      <c r="AH6344">
        <v>18.924911253884201</v>
      </c>
      <c r="AI6344">
        <v>93.2950419609802</v>
      </c>
      <c r="AJ6344">
        <v>103.812023876346</v>
      </c>
      <c r="AK6344">
        <v>19.520706671928099</v>
      </c>
      <c r="AL6344">
        <v>91.886598662680001</v>
      </c>
      <c r="AM6344">
        <v>103.41357855812799</v>
      </c>
      <c r="AN6344">
        <v>1.0000000420266799</v>
      </c>
    </row>
    <row r="6345" spans="1:40" x14ac:dyDescent="0.25">
      <c r="A6345" t="str">
        <f>"20190303153934990"</f>
        <v>20190303153934990</v>
      </c>
      <c r="B6345" t="str">
        <f>"1551598774984679"</f>
        <v>1551598774984679</v>
      </c>
      <c r="C6345" t="s">
        <v>40</v>
      </c>
      <c r="D6345">
        <v>4.2405119999999998</v>
      </c>
      <c r="E6345">
        <v>0.49893389999999999</v>
      </c>
      <c r="F6345" t="s">
        <v>68</v>
      </c>
      <c r="G6345">
        <v>-414.70859999999999</v>
      </c>
      <c r="H6345" s="1">
        <v>-9.1272749999999998E-6</v>
      </c>
      <c r="I6345">
        <v>137.02510000000001</v>
      </c>
      <c r="J6345">
        <v>-396.05399999999997</v>
      </c>
      <c r="K6345">
        <v>1.122074</v>
      </c>
      <c r="L6345">
        <v>141.46459999999999</v>
      </c>
      <c r="M6345">
        <v>-0.99988790000000005</v>
      </c>
      <c r="N6345">
        <v>-1.3536930000000001E-2</v>
      </c>
      <c r="O6345">
        <v>6.407154E-3</v>
      </c>
      <c r="P6345">
        <v>-0.9728386</v>
      </c>
      <c r="Q6345">
        <v>-4.6664410000000003E-2</v>
      </c>
      <c r="R6345">
        <v>-0.22673299999999999</v>
      </c>
      <c r="S6345">
        <v>-2.9154659999999999</v>
      </c>
      <c r="T6345">
        <v>-0.1734995</v>
      </c>
      <c r="U6345">
        <v>-0.68646240000000003</v>
      </c>
      <c r="V6345">
        <v>-0.23289290000000001</v>
      </c>
      <c r="W6345">
        <v>-3.398822E-2</v>
      </c>
      <c r="X6345">
        <v>0.97190829999999995</v>
      </c>
      <c r="Y6345">
        <v>-0.23492650000000001</v>
      </c>
      <c r="Z6345">
        <v>-8.7937659999999997E-3</v>
      </c>
      <c r="AA6345">
        <v>0.97197339999999999</v>
      </c>
      <c r="AB6345">
        <v>24</v>
      </c>
      <c r="AC6345">
        <v>-18.654599999999899</v>
      </c>
      <c r="AD6345">
        <v>-1.122083127275</v>
      </c>
      <c r="AE6345">
        <v>-4.4394999999999802</v>
      </c>
      <c r="AF6345">
        <v>-4.5433854727832097</v>
      </c>
      <c r="AG6345">
        <v>-1.122083127275</v>
      </c>
      <c r="AH6345">
        <v>18.5622100974612</v>
      </c>
      <c r="AI6345">
        <v>93.360354682936304</v>
      </c>
      <c r="AJ6345">
        <v>103.753615746854</v>
      </c>
      <c r="AK6345">
        <v>19.143068348650502</v>
      </c>
      <c r="AL6345">
        <v>91.947756645368301</v>
      </c>
      <c r="AM6345">
        <v>103.475380899963</v>
      </c>
      <c r="AN6345">
        <v>1.00000002278903</v>
      </c>
    </row>
    <row r="6346" spans="1:40" x14ac:dyDescent="0.25">
      <c r="A6346" t="str">
        <f>"20190303153935006"</f>
        <v>20190303153935006</v>
      </c>
      <c r="B6346" t="str">
        <f>"1551598774994439"</f>
        <v>1551598774994439</v>
      </c>
      <c r="C6346" t="s">
        <v>40</v>
      </c>
      <c r="D6346">
        <v>4.270632</v>
      </c>
      <c r="E6346">
        <v>0.49921209999999999</v>
      </c>
      <c r="F6346" t="s">
        <v>68</v>
      </c>
      <c r="G6346">
        <v>-414.45659999999998</v>
      </c>
      <c r="H6346" s="1">
        <v>-9.1901750000000005E-6</v>
      </c>
      <c r="I6346">
        <v>137.1183</v>
      </c>
      <c r="J6346">
        <v>-396.21949999999998</v>
      </c>
      <c r="K6346">
        <v>1.122144</v>
      </c>
      <c r="L6346">
        <v>141.46459999999999</v>
      </c>
      <c r="M6346">
        <v>-0.99989349999999999</v>
      </c>
      <c r="N6346">
        <v>-1.356023E-2</v>
      </c>
      <c r="O6346">
        <v>5.3981929999999999E-3</v>
      </c>
      <c r="P6346">
        <v>-0.97239980000000004</v>
      </c>
      <c r="Q6346">
        <v>-4.6988439999999999E-2</v>
      </c>
      <c r="R6346">
        <v>-0.22854140000000001</v>
      </c>
      <c r="S6346">
        <v>-2.9147949999999998</v>
      </c>
      <c r="T6346">
        <v>-0.17772779999999999</v>
      </c>
      <c r="U6346">
        <v>-0.68841549999999996</v>
      </c>
      <c r="V6346">
        <v>-0.23371220000000001</v>
      </c>
      <c r="W6346">
        <v>-3.4333679999999998E-2</v>
      </c>
      <c r="X6346">
        <v>0.97169939999999999</v>
      </c>
      <c r="Y6346">
        <v>-0.2345921</v>
      </c>
      <c r="Z6346">
        <v>-8.9149639999999992E-3</v>
      </c>
      <c r="AA6346">
        <v>0.97205299999999994</v>
      </c>
      <c r="AB6346">
        <v>24</v>
      </c>
      <c r="AC6346">
        <v>-18.237100000000002</v>
      </c>
      <c r="AD6346">
        <v>-1.1221531901749999</v>
      </c>
      <c r="AE6346">
        <v>-4.3462999999999798</v>
      </c>
      <c r="AF6346">
        <v>-4.4288262855577702</v>
      </c>
      <c r="AG6346">
        <v>-1.1221531901749999</v>
      </c>
      <c r="AH6346">
        <v>18.148351217656799</v>
      </c>
      <c r="AI6346">
        <v>93.437595221026598</v>
      </c>
      <c r="AJ6346">
        <v>103.714109836513</v>
      </c>
      <c r="AK6346">
        <v>18.714603441411601</v>
      </c>
      <c r="AL6346">
        <v>91.967561729867199</v>
      </c>
      <c r="AM6346">
        <v>103.523848723718</v>
      </c>
      <c r="AN6346">
        <v>0.99999995898576999</v>
      </c>
    </row>
    <row r="6347" spans="1:40" x14ac:dyDescent="0.25">
      <c r="A6347" t="str">
        <f>"20190303153935024"</f>
        <v>20190303153935024</v>
      </c>
      <c r="B6347" t="str">
        <f>"1551598775014935"</f>
        <v>1551598775014935</v>
      </c>
      <c r="C6347" t="s">
        <v>40</v>
      </c>
      <c r="D6347">
        <v>4.2540480000000001</v>
      </c>
      <c r="E6347">
        <v>0.49968879999999999</v>
      </c>
      <c r="F6347" t="s">
        <v>68</v>
      </c>
      <c r="G6347">
        <v>-414.51080000000002</v>
      </c>
      <c r="H6347" s="1">
        <v>-9.1878920000000004E-6</v>
      </c>
      <c r="I6347">
        <v>137.124</v>
      </c>
      <c r="J6347">
        <v>-396.40940000000001</v>
      </c>
      <c r="K6347">
        <v>1.122214</v>
      </c>
      <c r="L6347">
        <v>141.46420000000001</v>
      </c>
      <c r="M6347">
        <v>-0.99989899999999998</v>
      </c>
      <c r="N6347">
        <v>-1.3584499999999999E-2</v>
      </c>
      <c r="O6347">
        <v>4.1542319999999999E-3</v>
      </c>
      <c r="P6347">
        <v>-0.97165789999999996</v>
      </c>
      <c r="Q6347">
        <v>-4.7455450000000003E-2</v>
      </c>
      <c r="R6347">
        <v>-0.2315797</v>
      </c>
      <c r="S6347">
        <v>-2.9139710000000001</v>
      </c>
      <c r="T6347">
        <v>-0.1787696</v>
      </c>
      <c r="U6347">
        <v>-0.69149780000000005</v>
      </c>
      <c r="V6347">
        <v>-0.2355314</v>
      </c>
      <c r="W6347">
        <v>-3.483145E-2</v>
      </c>
      <c r="X6347">
        <v>0.97124239999999995</v>
      </c>
      <c r="Y6347">
        <v>-0.23441400000000001</v>
      </c>
      <c r="Z6347">
        <v>-8.8970569999999999E-3</v>
      </c>
      <c r="AA6347">
        <v>0.97209610000000002</v>
      </c>
      <c r="AB6347">
        <v>24</v>
      </c>
      <c r="AC6347">
        <v>-18.101400000000002</v>
      </c>
      <c r="AD6347">
        <v>-1.1222231878919999</v>
      </c>
      <c r="AE6347">
        <v>-4.3402000000000003</v>
      </c>
      <c r="AF6347">
        <v>-4.3993768881791899</v>
      </c>
      <c r="AG6347">
        <v>-1.1222231878919999</v>
      </c>
      <c r="AH6347">
        <v>18.017724526080201</v>
      </c>
      <c r="AI6347">
        <v>93.462565246666898</v>
      </c>
      <c r="AJ6347">
        <v>103.72139672893201</v>
      </c>
      <c r="AK6347">
        <v>18.5809660401552</v>
      </c>
      <c r="AL6347">
        <v>91.9960987695424</v>
      </c>
      <c r="AM6347">
        <v>103.63137959662799</v>
      </c>
      <c r="AN6347">
        <v>1.00000003492641</v>
      </c>
    </row>
    <row r="6348" spans="1:40" x14ac:dyDescent="0.25">
      <c r="A6348" t="str">
        <f>"20190303153935047"</f>
        <v>20190303153935047</v>
      </c>
      <c r="B6348" t="str">
        <f>"1551598775034455"</f>
        <v>1551598775034455</v>
      </c>
      <c r="C6348" t="s">
        <v>40</v>
      </c>
      <c r="D6348">
        <v>4.2438469999999997</v>
      </c>
      <c r="E6348">
        <v>0.50011149999999904</v>
      </c>
      <c r="F6348" t="s">
        <v>68</v>
      </c>
      <c r="G6348">
        <v>-414.49250000000001</v>
      </c>
      <c r="H6348" s="1">
        <v>-9.19489E-6</v>
      </c>
      <c r="I6348">
        <v>137.13630000000001</v>
      </c>
      <c r="J6348">
        <v>-396.6429</v>
      </c>
      <c r="K6348">
        <v>1.122317</v>
      </c>
      <c r="L6348">
        <v>141.4633</v>
      </c>
      <c r="M6348">
        <v>-0.99990429999999997</v>
      </c>
      <c r="N6348">
        <v>-1.3611180000000001E-2</v>
      </c>
      <c r="O6348">
        <v>2.4821040000000002E-3</v>
      </c>
      <c r="P6348">
        <v>-0.97053690000000004</v>
      </c>
      <c r="Q6348">
        <v>-4.8468499999999998E-2</v>
      </c>
      <c r="R6348">
        <v>-0.23602770000000001</v>
      </c>
      <c r="S6348">
        <v>-2.9125369999999999</v>
      </c>
      <c r="T6348">
        <v>-0.18074950000000001</v>
      </c>
      <c r="U6348">
        <v>-0.69706729999999995</v>
      </c>
      <c r="V6348">
        <v>-0.23834240000000001</v>
      </c>
      <c r="W6348">
        <v>-3.5892260000000002E-2</v>
      </c>
      <c r="X6348">
        <v>0.97051779999999999</v>
      </c>
      <c r="Y6348">
        <v>-0.23464550000000001</v>
      </c>
      <c r="Z6348">
        <v>-8.9124259999999993E-3</v>
      </c>
      <c r="AA6348">
        <v>0.97204020000000002</v>
      </c>
      <c r="AB6348">
        <v>24</v>
      </c>
      <c r="AC6348">
        <v>-17.849599999999999</v>
      </c>
      <c r="AD6348">
        <v>-1.1223261948899901</v>
      </c>
      <c r="AE6348">
        <v>-4.3269999999999902</v>
      </c>
      <c r="AF6348">
        <v>-4.3550333627894204</v>
      </c>
      <c r="AG6348">
        <v>-1.1223261948899901</v>
      </c>
      <c r="AH6348">
        <v>17.772440516952098</v>
      </c>
      <c r="AI6348">
        <v>93.509849157198204</v>
      </c>
      <c r="AJ6348">
        <v>103.76868940904799</v>
      </c>
      <c r="AK6348">
        <v>18.332636842727901</v>
      </c>
      <c r="AL6348">
        <v>92.056916656622803</v>
      </c>
      <c r="AM6348">
        <v>103.79779317890799</v>
      </c>
      <c r="AN6348">
        <v>1.00000007704125</v>
      </c>
    </row>
    <row r="6349" spans="1:40" x14ac:dyDescent="0.25">
      <c r="A6349" t="str">
        <f>"20190303153935069"</f>
        <v>20190303153935069</v>
      </c>
      <c r="B6349" t="str">
        <f>"1551598775064712"</f>
        <v>1551598775064712</v>
      </c>
      <c r="C6349" t="s">
        <v>40</v>
      </c>
      <c r="D6349">
        <v>4.2563069999999996</v>
      </c>
      <c r="E6349">
        <v>0.50063009999999997</v>
      </c>
      <c r="F6349" t="s">
        <v>68</v>
      </c>
      <c r="G6349">
        <v>-414.32170000000002</v>
      </c>
      <c r="H6349" s="1">
        <v>-9.2240160000000006E-6</v>
      </c>
      <c r="I6349">
        <v>137.1686</v>
      </c>
      <c r="J6349">
        <v>-396.87470000000002</v>
      </c>
      <c r="K6349">
        <v>1.122431</v>
      </c>
      <c r="L6349">
        <v>141.46190000000001</v>
      </c>
      <c r="M6349">
        <v>-0.99990679999999998</v>
      </c>
      <c r="N6349">
        <v>-1.3634749999999999E-2</v>
      </c>
      <c r="O6349">
        <v>6.4853689999999999E-4</v>
      </c>
      <c r="P6349">
        <v>-0.96935320000000003</v>
      </c>
      <c r="Q6349">
        <v>-4.8535630000000003E-2</v>
      </c>
      <c r="R6349">
        <v>-0.24082919999999999</v>
      </c>
      <c r="S6349">
        <v>-2.9099430000000002</v>
      </c>
      <c r="T6349">
        <v>-0.18473600000000001</v>
      </c>
      <c r="U6349">
        <v>-0.70690920000000002</v>
      </c>
      <c r="V6349">
        <v>-0.24135419999999999</v>
      </c>
      <c r="W6349">
        <v>-3.6016680000000002E-2</v>
      </c>
      <c r="X6349">
        <v>0.96976850000000003</v>
      </c>
      <c r="Y6349">
        <v>-0.23614250000000001</v>
      </c>
      <c r="Z6349">
        <v>-9.0478629999999997E-3</v>
      </c>
      <c r="AA6349">
        <v>0.97167630000000005</v>
      </c>
      <c r="AB6349">
        <v>23</v>
      </c>
      <c r="AC6349">
        <v>-17.446999999999999</v>
      </c>
      <c r="AD6349">
        <v>-1.1224402240160001</v>
      </c>
      <c r="AE6349">
        <v>-4.2933000000000101</v>
      </c>
      <c r="AF6349">
        <v>-4.2878813560003799</v>
      </c>
      <c r="AG6349">
        <v>-1.1224402240160001</v>
      </c>
      <c r="AH6349">
        <v>17.376398854289501</v>
      </c>
      <c r="AI6349">
        <v>93.588574104017198</v>
      </c>
      <c r="AJ6349">
        <v>103.861644585186</v>
      </c>
      <c r="AK6349">
        <v>17.932792189811899</v>
      </c>
      <c r="AL6349">
        <v>92.0640501737535</v>
      </c>
      <c r="AM6349">
        <v>103.97573180775299</v>
      </c>
      <c r="AN6349">
        <v>0.99999999734405598</v>
      </c>
    </row>
    <row r="6350" spans="1:40" x14ac:dyDescent="0.25">
      <c r="A6350" t="str">
        <f>"20190303153935092"</f>
        <v>20190303153935092</v>
      </c>
      <c r="B6350" t="str">
        <f>"1551598775085208"</f>
        <v>1551598775085208</v>
      </c>
      <c r="C6350" t="s">
        <v>40</v>
      </c>
      <c r="D6350">
        <v>4.2491240000000001</v>
      </c>
      <c r="E6350">
        <v>0.50094259999999902</v>
      </c>
      <c r="F6350" t="s">
        <v>68</v>
      </c>
      <c r="G6350">
        <v>-414.44060000000002</v>
      </c>
      <c r="H6350" s="1">
        <v>-9.1957859999999993E-6</v>
      </c>
      <c r="I6350">
        <v>137.12790000000001</v>
      </c>
      <c r="J6350">
        <v>-397.10629999999998</v>
      </c>
      <c r="K6350">
        <v>1.122563</v>
      </c>
      <c r="L6350">
        <v>141.4597</v>
      </c>
      <c r="M6350">
        <v>-0.99990590000000001</v>
      </c>
      <c r="N6350">
        <v>-1.365595E-2</v>
      </c>
      <c r="O6350">
        <v>-1.381707E-3</v>
      </c>
      <c r="P6350">
        <v>-0.96797169999999999</v>
      </c>
      <c r="Q6350">
        <v>-4.8870249999999997E-2</v>
      </c>
      <c r="R6350">
        <v>-0.24625739999999999</v>
      </c>
      <c r="S6350">
        <v>-2.907349</v>
      </c>
      <c r="T6350">
        <v>-0.18577669999999999</v>
      </c>
      <c r="U6350">
        <v>-0.717315699999999</v>
      </c>
      <c r="V6350">
        <v>-0.24480469999999999</v>
      </c>
      <c r="W6350">
        <v>-3.6423410000000003E-2</v>
      </c>
      <c r="X6350">
        <v>0.96888799999999997</v>
      </c>
      <c r="Y6350">
        <v>-0.2376423</v>
      </c>
      <c r="Z6350">
        <v>-9.0533620000000006E-3</v>
      </c>
      <c r="AA6350">
        <v>0.97131060000000002</v>
      </c>
      <c r="AB6350">
        <v>23</v>
      </c>
      <c r="AC6350">
        <v>-17.334299999999999</v>
      </c>
      <c r="AD6350">
        <v>-1.122572195786</v>
      </c>
      <c r="AE6350">
        <v>-4.3317999999999799</v>
      </c>
      <c r="AF6350">
        <v>-4.2909049164808701</v>
      </c>
      <c r="AG6350">
        <v>-1.122572195786</v>
      </c>
      <c r="AH6350">
        <v>17.272089941775199</v>
      </c>
      <c r="AI6350">
        <v>93.609213509105004</v>
      </c>
      <c r="AJ6350">
        <v>103.951548090983</v>
      </c>
      <c r="AK6350">
        <v>17.832473869146799</v>
      </c>
      <c r="AL6350">
        <v>92.087369421167196</v>
      </c>
      <c r="AM6350">
        <v>104.17989850601499</v>
      </c>
      <c r="AN6350">
        <v>0.99999998124105804</v>
      </c>
    </row>
    <row r="6351" spans="1:40" x14ac:dyDescent="0.25">
      <c r="A6351" t="str">
        <f>"20190303153935114"</f>
        <v>20190303153935114</v>
      </c>
      <c r="B6351" t="str">
        <f>"1551598775104634"</f>
        <v>1551598775104634</v>
      </c>
      <c r="C6351" t="s">
        <v>40</v>
      </c>
      <c r="D6351">
        <v>4.2525469999999999</v>
      </c>
      <c r="E6351">
        <v>0.50122079999999902</v>
      </c>
      <c r="F6351" t="s">
        <v>68</v>
      </c>
      <c r="G6351">
        <v>-414.48829999999998</v>
      </c>
      <c r="H6351" s="1">
        <v>-9.1722429999999993E-6</v>
      </c>
      <c r="I6351">
        <v>137.08359999999999</v>
      </c>
      <c r="J6351">
        <v>-397.34249999999997</v>
      </c>
      <c r="K6351">
        <v>1.1227</v>
      </c>
      <c r="L6351">
        <v>141.45689999999999</v>
      </c>
      <c r="M6351">
        <v>-0.99990000000000001</v>
      </c>
      <c r="N6351">
        <v>-1.3675669999999999E-2</v>
      </c>
      <c r="O6351">
        <v>-3.646079E-3</v>
      </c>
      <c r="P6351">
        <v>-0.96651240000000005</v>
      </c>
      <c r="Q6351">
        <v>-4.9208050000000003E-2</v>
      </c>
      <c r="R6351">
        <v>-0.2518589</v>
      </c>
      <c r="S6351">
        <v>-2.9038089999999999</v>
      </c>
      <c r="T6351">
        <v>-0.18753529999999999</v>
      </c>
      <c r="U6351">
        <v>-0.73106380000000004</v>
      </c>
      <c r="V6351">
        <v>-0.24820529999999999</v>
      </c>
      <c r="W6351">
        <v>-3.6842819999999998E-2</v>
      </c>
      <c r="X6351">
        <v>0.96800660000000005</v>
      </c>
      <c r="Y6351">
        <v>-0.24003369999999999</v>
      </c>
      <c r="Z6351">
        <v>-9.1103729999999997E-3</v>
      </c>
      <c r="AA6351">
        <v>0.97072179999999997</v>
      </c>
      <c r="AB6351">
        <v>23</v>
      </c>
      <c r="AC6351">
        <v>-17.145800000000001</v>
      </c>
      <c r="AD6351">
        <v>-1.122709172243</v>
      </c>
      <c r="AE6351">
        <v>-4.3733000000000004</v>
      </c>
      <c r="AF6351">
        <v>-4.2934657742489497</v>
      </c>
      <c r="AG6351">
        <v>-1.122709172243</v>
      </c>
      <c r="AH6351">
        <v>17.0928216553949</v>
      </c>
      <c r="AI6351">
        <v>93.645052929901894</v>
      </c>
      <c r="AJ6351">
        <v>104.100144196836</v>
      </c>
      <c r="AK6351">
        <v>17.659526505068701</v>
      </c>
      <c r="AL6351">
        <v>92.111415901201994</v>
      </c>
      <c r="AM6351">
        <v>104.38131014476301</v>
      </c>
      <c r="AN6351">
        <v>1.0000000209886</v>
      </c>
    </row>
    <row r="6352" spans="1:40" x14ac:dyDescent="0.25">
      <c r="A6352" t="str">
        <f>"20190303153935130"</f>
        <v>20190303153935130</v>
      </c>
      <c r="B6352" t="str">
        <f>"1551598775125130"</f>
        <v>1551598775125130</v>
      </c>
      <c r="C6352" t="s">
        <v>40</v>
      </c>
      <c r="D6352">
        <v>4.2437290000000001</v>
      </c>
      <c r="E6352">
        <v>0.50146999999999997</v>
      </c>
      <c r="F6352" t="s">
        <v>68</v>
      </c>
      <c r="G6352">
        <v>-414.53379999999999</v>
      </c>
      <c r="H6352" s="1">
        <v>-9.1472620000000007E-6</v>
      </c>
      <c r="I6352">
        <v>137.03569999999999</v>
      </c>
      <c r="J6352">
        <v>-397.50650000000002</v>
      </c>
      <c r="K6352">
        <v>1.122787</v>
      </c>
      <c r="L6352">
        <v>141.4545</v>
      </c>
      <c r="M6352">
        <v>-0.99989229999999996</v>
      </c>
      <c r="N6352">
        <v>-1.368839E-2</v>
      </c>
      <c r="O6352">
        <v>-5.3016790000000001E-3</v>
      </c>
      <c r="P6352">
        <v>-0.96551160000000003</v>
      </c>
      <c r="Q6352">
        <v>-4.9692979999999998E-2</v>
      </c>
      <c r="R6352">
        <v>-0.25557469999999999</v>
      </c>
      <c r="S6352">
        <v>-2.8999630000000001</v>
      </c>
      <c r="T6352">
        <v>-0.18938730000000001</v>
      </c>
      <c r="U6352">
        <v>-0.74580380000000002</v>
      </c>
      <c r="V6352">
        <v>-0.2503146</v>
      </c>
      <c r="W6352">
        <v>-3.7381949999999997E-2</v>
      </c>
      <c r="X6352">
        <v>0.96744260000000004</v>
      </c>
      <c r="Y6352">
        <v>-0.24334649999999999</v>
      </c>
      <c r="Z6352">
        <v>-9.2363150000000001E-3</v>
      </c>
      <c r="AA6352">
        <v>0.96989550000000002</v>
      </c>
      <c r="AB6352">
        <v>23</v>
      </c>
      <c r="AC6352">
        <v>-17.027299999999901</v>
      </c>
      <c r="AD6352">
        <v>-1.1227961472620001</v>
      </c>
      <c r="AE6352">
        <v>-4.4188000000000001</v>
      </c>
      <c r="AF6352">
        <v>-4.3108942307715301</v>
      </c>
      <c r="AG6352">
        <v>-1.1227961472620001</v>
      </c>
      <c r="AH6352">
        <v>16.981310649145801</v>
      </c>
      <c r="AI6352">
        <v>93.666883593986199</v>
      </c>
      <c r="AJ6352">
        <v>104.244265176162</v>
      </c>
      <c r="AK6352">
        <v>17.555893358641701</v>
      </c>
      <c r="AL6352">
        <v>92.142327121299601</v>
      </c>
      <c r="AM6352">
        <v>104.506490833388</v>
      </c>
      <c r="AN6352">
        <v>0.99999999672686102</v>
      </c>
    </row>
    <row r="6353" spans="1:40" x14ac:dyDescent="0.25">
      <c r="A6353" t="str">
        <f>"20190303153935146"</f>
        <v>20190303153935146</v>
      </c>
      <c r="B6353" t="str">
        <f>"1551598775134889"</f>
        <v>1551598775134889</v>
      </c>
      <c r="C6353" t="s">
        <v>40</v>
      </c>
      <c r="D6353">
        <v>4.2820640000000001</v>
      </c>
      <c r="E6353">
        <v>0.50141639999999998</v>
      </c>
      <c r="F6353" t="s">
        <v>68</v>
      </c>
      <c r="G6353">
        <v>-414.53050000000002</v>
      </c>
      <c r="H6353" s="1">
        <v>-9.1405169999999998E-6</v>
      </c>
      <c r="I6353">
        <v>137.01949999999999</v>
      </c>
      <c r="J6353">
        <v>-397.68290000000002</v>
      </c>
      <c r="K6353">
        <v>1.1228640000000001</v>
      </c>
      <c r="L6353">
        <v>141.45140000000001</v>
      </c>
      <c r="M6353">
        <v>-0.99988030000000006</v>
      </c>
      <c r="N6353">
        <v>-1.370057E-2</v>
      </c>
      <c r="O6353">
        <v>-7.1905340000000002E-3</v>
      </c>
      <c r="P6353">
        <v>-0.96298779999999995</v>
      </c>
      <c r="Q6353">
        <v>-5.1710810000000003E-2</v>
      </c>
      <c r="R6353">
        <v>-0.26453840000000001</v>
      </c>
      <c r="S6353">
        <v>-2.8975520000000001</v>
      </c>
      <c r="T6353">
        <v>-0.1911051</v>
      </c>
      <c r="U6353">
        <v>-0.75485230000000003</v>
      </c>
      <c r="V6353">
        <v>-0.25745420000000002</v>
      </c>
      <c r="W6353">
        <v>-3.9492890000000003E-2</v>
      </c>
      <c r="X6353">
        <v>0.96548310000000004</v>
      </c>
      <c r="Y6353">
        <v>-0.2445367</v>
      </c>
      <c r="Z6353">
        <v>-9.2593099999999998E-3</v>
      </c>
      <c r="AA6353">
        <v>0.96959580000000001</v>
      </c>
      <c r="AB6353">
        <v>23</v>
      </c>
      <c r="AC6353">
        <v>-16.8476</v>
      </c>
      <c r="AD6353">
        <v>-1.1228731405169901</v>
      </c>
      <c r="AE6353">
        <v>-4.4319000000000104</v>
      </c>
      <c r="AF6353">
        <v>-4.2927960547469599</v>
      </c>
      <c r="AG6353">
        <v>-1.1228731405169901</v>
      </c>
      <c r="AH6353">
        <v>16.809200023554698</v>
      </c>
      <c r="AI6353">
        <v>93.703233585961797</v>
      </c>
      <c r="AJ6353">
        <v>104.326193233016</v>
      </c>
      <c r="AK6353">
        <v>17.384997770756801</v>
      </c>
      <c r="AL6353">
        <v>92.263364569350202</v>
      </c>
      <c r="AM6353">
        <v>104.930976159045</v>
      </c>
      <c r="AN6353">
        <v>0.99999998492190001</v>
      </c>
    </row>
    <row r="6354" spans="1:40" x14ac:dyDescent="0.25">
      <c r="A6354" t="str">
        <f>"20190303153935169"</f>
        <v>20190303153935169</v>
      </c>
      <c r="B6354" t="str">
        <f>"1551598775165145"</f>
        <v>1551598775165145</v>
      </c>
      <c r="C6354" t="s">
        <v>40</v>
      </c>
      <c r="D6354">
        <v>4.2734170000000002</v>
      </c>
      <c r="E6354">
        <v>0.44085580000000002</v>
      </c>
      <c r="F6354" t="s">
        <v>68</v>
      </c>
      <c r="G6354">
        <v>-414.0711</v>
      </c>
      <c r="H6354" s="1">
        <v>-9.1795700000000006E-6</v>
      </c>
      <c r="I6354">
        <v>137.01660000000001</v>
      </c>
      <c r="J6354">
        <v>-397.91520000000003</v>
      </c>
      <c r="K6354">
        <v>1.1229720000000001</v>
      </c>
      <c r="L6354">
        <v>141.4468</v>
      </c>
      <c r="M6354">
        <v>-0.99985780000000002</v>
      </c>
      <c r="N6354">
        <v>-1.371496E-2</v>
      </c>
      <c r="O6354">
        <v>-9.817961E-3</v>
      </c>
      <c r="P6354">
        <v>-0.96045069999999999</v>
      </c>
      <c r="Q6354">
        <v>-5.1965450000000003E-2</v>
      </c>
      <c r="R6354">
        <v>-0.27355800000000002</v>
      </c>
      <c r="S6354">
        <v>-2.8898320000000002</v>
      </c>
      <c r="T6354">
        <v>-0.1980035</v>
      </c>
      <c r="U6354">
        <v>-0.78202819999999995</v>
      </c>
      <c r="V6354">
        <v>-0.26395109999999999</v>
      </c>
      <c r="W6354">
        <v>-3.9848330000000001E-2</v>
      </c>
      <c r="X6354">
        <v>0.96371260000000003</v>
      </c>
      <c r="Y6354">
        <v>-0.25107649999999998</v>
      </c>
      <c r="Z6354">
        <v>-9.6670880000000008E-3</v>
      </c>
      <c r="AA6354">
        <v>0.96791899999999997</v>
      </c>
      <c r="AB6354">
        <v>23</v>
      </c>
      <c r="AC6354">
        <v>-16.1558999999999</v>
      </c>
      <c r="AD6354">
        <v>-1.12298117956999</v>
      </c>
      <c r="AE6354">
        <v>-4.4301999999999797</v>
      </c>
      <c r="AF6354">
        <v>-4.2522455799310901</v>
      </c>
      <c r="AG6354">
        <v>-1.12298117956999</v>
      </c>
      <c r="AH6354">
        <v>16.126156086897701</v>
      </c>
      <c r="AI6354">
        <v>93.8522333467089</v>
      </c>
      <c r="AJ6354">
        <v>104.771870872609</v>
      </c>
      <c r="AK6354">
        <v>16.7151305511115</v>
      </c>
      <c r="AL6354">
        <v>92.283745736241201</v>
      </c>
      <c r="AM6354">
        <v>105.317099673508</v>
      </c>
      <c r="AN6354">
        <v>1.00000002399687</v>
      </c>
    </row>
    <row r="6355" spans="1:40" x14ac:dyDescent="0.25">
      <c r="A6355" t="str">
        <f>"20190303153935191"</f>
        <v>20190303153935191</v>
      </c>
      <c r="B6355" t="str">
        <f>"1551598775184666"</f>
        <v>1551598775184666</v>
      </c>
      <c r="C6355" t="s">
        <v>40</v>
      </c>
      <c r="D6355">
        <v>4.155761</v>
      </c>
      <c r="E6355">
        <v>0.38129489999999999</v>
      </c>
      <c r="F6355" t="s">
        <v>68</v>
      </c>
      <c r="G6355">
        <v>-413.24529999999999</v>
      </c>
      <c r="H6355" s="1">
        <v>-8.0853009999999997E-6</v>
      </c>
      <c r="I6355">
        <v>134.34719999999999</v>
      </c>
      <c r="J6355">
        <v>-398.14600000000002</v>
      </c>
      <c r="K6355">
        <v>1.1230850000000001</v>
      </c>
      <c r="L6355">
        <v>141.44139999999999</v>
      </c>
      <c r="M6355">
        <v>-0.99982599999999999</v>
      </c>
      <c r="N6355">
        <v>-1.372848E-2</v>
      </c>
      <c r="O6355">
        <v>-1.263537E-2</v>
      </c>
      <c r="P6355">
        <v>-0.95791760000000004</v>
      </c>
      <c r="Q6355">
        <v>-5.2967090000000001E-2</v>
      </c>
      <c r="R6355">
        <v>-0.28211419999999998</v>
      </c>
      <c r="S6355">
        <v>-2.749908</v>
      </c>
      <c r="T6355">
        <v>-0.20143990000000001</v>
      </c>
      <c r="U6355">
        <v>-1.2735289999999999</v>
      </c>
      <c r="V6355">
        <v>-0.26980929999999997</v>
      </c>
      <c r="W6355">
        <v>-4.0952639999999998E-2</v>
      </c>
      <c r="X6355">
        <v>0.96204250000000002</v>
      </c>
      <c r="Y6355">
        <v>-0.40766140000000001</v>
      </c>
      <c r="Z6355">
        <v>-1.6414149999999999E-2</v>
      </c>
      <c r="AA6355">
        <v>0.91298559999999995</v>
      </c>
      <c r="AB6355">
        <v>23</v>
      </c>
      <c r="AC6355">
        <v>-15.099299999999999</v>
      </c>
      <c r="AD6355">
        <v>-1.1230930853009999</v>
      </c>
      <c r="AE6355">
        <v>-7.0941999999999998</v>
      </c>
      <c r="AF6355">
        <v>-6.8716876833454199</v>
      </c>
      <c r="AG6355">
        <v>-1.1230930853009999</v>
      </c>
      <c r="AH6355">
        <v>15.1192199721806</v>
      </c>
      <c r="AI6355">
        <v>93.868761343588005</v>
      </c>
      <c r="AJ6355">
        <v>114.441803269381</v>
      </c>
      <c r="AK6355">
        <v>16.6454871440543</v>
      </c>
      <c r="AL6355">
        <v>92.347069856389197</v>
      </c>
      <c r="AM6355">
        <v>105.666399729807</v>
      </c>
      <c r="AN6355">
        <v>0.99999997444785405</v>
      </c>
    </row>
    <row r="6356" spans="1:40" x14ac:dyDescent="0.25">
      <c r="A6356" t="str">
        <f>"20190303153935214"</f>
        <v>20190303153935214</v>
      </c>
      <c r="B6356" t="str">
        <f>"1551598775205171"</f>
        <v>1551598775205171</v>
      </c>
      <c r="C6356" t="s">
        <v>40</v>
      </c>
      <c r="D6356">
        <v>4.1474449999999896</v>
      </c>
      <c r="E6356">
        <v>0.37952200000000003</v>
      </c>
      <c r="F6356" t="s">
        <v>44</v>
      </c>
      <c r="G6356">
        <v>-399.01940000000002</v>
      </c>
      <c r="H6356">
        <v>1.0566739999999999</v>
      </c>
      <c r="I6356">
        <v>140.85310000000001</v>
      </c>
      <c r="J6356">
        <v>-398.38040000000001</v>
      </c>
      <c r="K6356">
        <v>1.1232059999999999</v>
      </c>
      <c r="L6356">
        <v>141.4349</v>
      </c>
      <c r="M6356">
        <v>-0.99978259999999997</v>
      </c>
      <c r="N6356">
        <v>-1.3741990000000001E-2</v>
      </c>
      <c r="O6356">
        <v>-1.568582E-2</v>
      </c>
      <c r="P6356">
        <v>-0.95566980000000001</v>
      </c>
      <c r="Q6356">
        <v>-5.2652869999999997E-2</v>
      </c>
      <c r="R6356">
        <v>-0.28969509999999998</v>
      </c>
      <c r="S6356">
        <v>-2.6043400000000001</v>
      </c>
      <c r="T6356">
        <v>-0.1980413</v>
      </c>
      <c r="U6356">
        <v>-1.75385999999999</v>
      </c>
      <c r="V6356">
        <v>-0.27447969999999999</v>
      </c>
      <c r="W6356">
        <v>-4.0739320000000002E-2</v>
      </c>
      <c r="X6356">
        <v>0.96072950000000001</v>
      </c>
      <c r="Y6356">
        <v>-0.54418129999999998</v>
      </c>
      <c r="Z6356">
        <v>-2.1950299999999999E-2</v>
      </c>
      <c r="AA6356">
        <v>0.83868050000000005</v>
      </c>
      <c r="AB6356">
        <v>23</v>
      </c>
      <c r="AC6356">
        <v>-0.63900000000001</v>
      </c>
      <c r="AD6356">
        <v>-6.6531999999999994E-2</v>
      </c>
      <c r="AE6356">
        <v>-0.58179999999998699</v>
      </c>
      <c r="AF6356">
        <v>-0.56833558294453002</v>
      </c>
      <c r="AG6356">
        <v>-6.6531999999999994E-2</v>
      </c>
      <c r="AH6356">
        <v>0.64422976029380297</v>
      </c>
      <c r="AI6356">
        <v>94.428412277275598</v>
      </c>
      <c r="AJ6356">
        <v>131.418542629412</v>
      </c>
      <c r="AK6356">
        <v>0.86166340639086603</v>
      </c>
      <c r="AL6356">
        <v>92.334837287014594</v>
      </c>
      <c r="AM6356">
        <v>105.944599564542</v>
      </c>
      <c r="AN6356">
        <v>0.99999998503820098</v>
      </c>
    </row>
    <row r="6357" spans="1:40" x14ac:dyDescent="0.25">
      <c r="A6357" t="str">
        <f>"20190303153935236"</f>
        <v>20190303153935236</v>
      </c>
      <c r="B6357" t="str">
        <f>"1551598775224691"</f>
        <v>1551598775224691</v>
      </c>
      <c r="C6357" t="s">
        <v>40</v>
      </c>
      <c r="D6357">
        <v>4.1310310000000001</v>
      </c>
      <c r="E6357">
        <v>0.38023180000000001</v>
      </c>
      <c r="F6357" t="s">
        <v>44</v>
      </c>
      <c r="G6357">
        <v>-399.2253</v>
      </c>
      <c r="H6357">
        <v>1.0584020000000001</v>
      </c>
      <c r="I6357">
        <v>140.851</v>
      </c>
      <c r="J6357">
        <v>-398.60980000000001</v>
      </c>
      <c r="K6357">
        <v>1.123327</v>
      </c>
      <c r="L6357">
        <v>141.42779999999999</v>
      </c>
      <c r="M6357">
        <v>-0.99972839999999996</v>
      </c>
      <c r="N6357">
        <v>-1.375465E-2</v>
      </c>
      <c r="O6357">
        <v>-1.881847E-2</v>
      </c>
      <c r="P6357">
        <v>-0.95356320000000006</v>
      </c>
      <c r="Q6357">
        <v>-5.3407700000000002E-2</v>
      </c>
      <c r="R6357">
        <v>-0.29642170000000001</v>
      </c>
      <c r="S6357">
        <v>-2.5863649999999998</v>
      </c>
      <c r="T6357">
        <v>-0.1983695</v>
      </c>
      <c r="U6357">
        <v>-1.787552</v>
      </c>
      <c r="V6357">
        <v>-0.27822129999999901</v>
      </c>
      <c r="W6357">
        <v>-4.1584910000000003E-2</v>
      </c>
      <c r="X6357">
        <v>0.95961640000000004</v>
      </c>
      <c r="Y6357">
        <v>-0.55164369999999996</v>
      </c>
      <c r="Z6357">
        <v>-2.2177970000000002E-2</v>
      </c>
      <c r="AA6357">
        <v>0.833785</v>
      </c>
      <c r="AB6357">
        <v>23</v>
      </c>
      <c r="AC6357">
        <v>-0.61549999999999705</v>
      </c>
      <c r="AD6357">
        <v>-6.4924999999999899E-2</v>
      </c>
      <c r="AE6357">
        <v>-0.57679999999999099</v>
      </c>
      <c r="AF6357">
        <v>-0.56178587644769395</v>
      </c>
      <c r="AG6357">
        <v>-6.4924999999999899E-2</v>
      </c>
      <c r="AH6357">
        <v>0.622558379357533</v>
      </c>
      <c r="AI6357">
        <v>94.427260438750295</v>
      </c>
      <c r="AJ6357">
        <v>132.06254610152001</v>
      </c>
      <c r="AK6357">
        <v>0.84106929697224297</v>
      </c>
      <c r="AL6357">
        <v>92.383327050017897</v>
      </c>
      <c r="AM6357">
        <v>106.16844379714</v>
      </c>
      <c r="AN6357">
        <v>1.0000000158311699</v>
      </c>
    </row>
    <row r="6358" spans="1:40" x14ac:dyDescent="0.25">
      <c r="A6358" t="str">
        <f>"20190303153935258"</f>
        <v>20190303153935258</v>
      </c>
      <c r="B6358" t="str">
        <f>"1551598775254948"</f>
        <v>1551598775254948</v>
      </c>
      <c r="C6358" t="s">
        <v>40</v>
      </c>
      <c r="D6358">
        <v>4.2785339999999996</v>
      </c>
      <c r="E6358">
        <v>0.38207859999999899</v>
      </c>
      <c r="F6358" t="s">
        <v>44</v>
      </c>
      <c r="G6358">
        <v>-399.43200000000002</v>
      </c>
      <c r="H6358">
        <v>1.0584439999999999</v>
      </c>
      <c r="I6358">
        <v>140.8528</v>
      </c>
      <c r="J6358">
        <v>-398.83460000000002</v>
      </c>
      <c r="K6358">
        <v>1.123435</v>
      </c>
      <c r="L6358">
        <v>141.41990000000001</v>
      </c>
      <c r="M6358">
        <v>-0.99966250000000001</v>
      </c>
      <c r="N6358">
        <v>-1.376553E-2</v>
      </c>
      <c r="O6358">
        <v>-2.2035240000000001E-2</v>
      </c>
      <c r="P6358">
        <v>-0.95180759999999998</v>
      </c>
      <c r="Q6358">
        <v>-5.2048450000000003E-2</v>
      </c>
      <c r="R6358">
        <v>-0.3022475</v>
      </c>
      <c r="S6358">
        <v>-2.5749819999999999</v>
      </c>
      <c r="T6358">
        <v>-0.20321040000000001</v>
      </c>
      <c r="U6358">
        <v>-1.8005369999999901</v>
      </c>
      <c r="V6358">
        <v>-0.28099410000000002</v>
      </c>
      <c r="W6358">
        <v>-4.0304810000000003E-2</v>
      </c>
      <c r="X6358">
        <v>0.95886280000000002</v>
      </c>
      <c r="Y6358">
        <v>-0.55344959999999999</v>
      </c>
      <c r="Z6358">
        <v>-2.2553670000000001E-2</v>
      </c>
      <c r="AA6358">
        <v>0.83257719999999902</v>
      </c>
      <c r="AB6358">
        <v>23</v>
      </c>
      <c r="AC6358">
        <v>-0.59739999999993598</v>
      </c>
      <c r="AD6358">
        <v>-6.4990999999999993E-2</v>
      </c>
      <c r="AE6358">
        <v>-0.56710000000001004</v>
      </c>
      <c r="AF6358">
        <v>-0.55037093058792697</v>
      </c>
      <c r="AG6358">
        <v>-6.4990999999999993E-2</v>
      </c>
      <c r="AH6358">
        <v>0.60597985387115305</v>
      </c>
      <c r="AI6358">
        <v>94.539308095600603</v>
      </c>
      <c r="AJ6358">
        <v>132.246766380541</v>
      </c>
      <c r="AK6358">
        <v>0.82118425131935202</v>
      </c>
      <c r="AL6358">
        <v>92.309921161736</v>
      </c>
      <c r="AM6358">
        <v>106.33318734829</v>
      </c>
      <c r="AN6358">
        <v>1.00000001558389</v>
      </c>
    </row>
    <row r="6359" spans="1:40" x14ac:dyDescent="0.25">
      <c r="A6359" t="str">
        <f>"20190303153935281"</f>
        <v>20190303153935281</v>
      </c>
      <c r="B6359" t="str">
        <f>"1551598775274472"</f>
        <v>1551598775274472</v>
      </c>
      <c r="C6359" t="s">
        <v>40</v>
      </c>
      <c r="D6359">
        <v>4.2168229999999998</v>
      </c>
      <c r="E6359">
        <v>0.383851</v>
      </c>
      <c r="F6359" t="s">
        <v>44</v>
      </c>
      <c r="G6359">
        <v>-399.6388</v>
      </c>
      <c r="H6359">
        <v>1.0617179999999999</v>
      </c>
      <c r="I6359">
        <v>140.85570000000001</v>
      </c>
      <c r="J6359">
        <v>-399.07279999999997</v>
      </c>
      <c r="K6359">
        <v>1.1235520000000001</v>
      </c>
      <c r="L6359">
        <v>141.41050000000001</v>
      </c>
      <c r="M6359">
        <v>-0.99957649999999998</v>
      </c>
      <c r="N6359">
        <v>-1.377654E-2</v>
      </c>
      <c r="O6359">
        <v>-2.5630839999999998E-2</v>
      </c>
      <c r="P6359">
        <v>-0.9497913</v>
      </c>
      <c r="Q6359">
        <v>-5.0278469999999999E-2</v>
      </c>
      <c r="R6359">
        <v>-0.30881819999999999</v>
      </c>
      <c r="S6359">
        <v>-2.568756</v>
      </c>
      <c r="T6359">
        <v>-0.19711049999999999</v>
      </c>
      <c r="U6359">
        <v>-1.8023830000000001</v>
      </c>
      <c r="V6359">
        <v>-0.28416540000000001</v>
      </c>
      <c r="W6359">
        <v>-3.8624600000000002E-2</v>
      </c>
      <c r="X6359">
        <v>0.95799699999999999</v>
      </c>
      <c r="Y6359">
        <v>-0.55188289999999995</v>
      </c>
      <c r="Z6359">
        <v>-2.178043E-2</v>
      </c>
      <c r="AA6359">
        <v>0.83363719999999997</v>
      </c>
      <c r="AB6359">
        <v>23</v>
      </c>
      <c r="AC6359">
        <v>-0.56600000000003003</v>
      </c>
      <c r="AD6359">
        <v>-6.1834000000000097E-2</v>
      </c>
      <c r="AE6359">
        <v>-0.55479999999999996</v>
      </c>
      <c r="AF6359">
        <v>-0.53684164941934098</v>
      </c>
      <c r="AG6359">
        <v>-6.1834000000000097E-2</v>
      </c>
      <c r="AH6359">
        <v>0.57652619279386497</v>
      </c>
      <c r="AI6359">
        <v>94.488084865855001</v>
      </c>
      <c r="AJ6359">
        <v>132.95863094037199</v>
      </c>
      <c r="AK6359">
        <v>0.79019292016865605</v>
      </c>
      <c r="AL6359">
        <v>92.213577093762098</v>
      </c>
      <c r="AM6359">
        <v>106.521647906057</v>
      </c>
      <c r="AN6359">
        <v>1.0000000431456499</v>
      </c>
    </row>
    <row r="6360" spans="1:40" x14ac:dyDescent="0.25">
      <c r="A6360" t="str">
        <f>"20190303153935303"</f>
        <v>20190303153935303</v>
      </c>
      <c r="B6360" t="str">
        <f>"1551598775294963"</f>
        <v>1551598775294963</v>
      </c>
      <c r="C6360" t="s">
        <v>40</v>
      </c>
      <c r="D6360">
        <v>4.2311110000000003</v>
      </c>
      <c r="E6360">
        <v>0.38524239999999998</v>
      </c>
      <c r="F6360" t="s">
        <v>44</v>
      </c>
      <c r="G6360">
        <v>-399.84690000000001</v>
      </c>
      <c r="H6360">
        <v>1.0655650000000001</v>
      </c>
      <c r="I6360">
        <v>140.86449999999999</v>
      </c>
      <c r="J6360">
        <v>-399.29860000000002</v>
      </c>
      <c r="K6360">
        <v>1.123677</v>
      </c>
      <c r="L6360">
        <v>141.4007</v>
      </c>
      <c r="M6360">
        <v>-0.99947739999999996</v>
      </c>
      <c r="N6360">
        <v>-1.3787779999999999E-2</v>
      </c>
      <c r="O6360">
        <v>-2.924011E-2</v>
      </c>
      <c r="P6360">
        <v>-0.94809100000000002</v>
      </c>
      <c r="Q6360">
        <v>-4.8639839999999997E-2</v>
      </c>
      <c r="R6360">
        <v>-0.31425809999999998</v>
      </c>
      <c r="S6360">
        <v>-2.561035</v>
      </c>
      <c r="T6360">
        <v>-0.1918714</v>
      </c>
      <c r="U6360">
        <v>-1.8065340000000001</v>
      </c>
      <c r="V6360">
        <v>-0.28619240000000001</v>
      </c>
      <c r="W6360">
        <v>-3.7071159999999999E-2</v>
      </c>
      <c r="X6360">
        <v>0.95745469999999999</v>
      </c>
      <c r="Y6360">
        <v>-0.55102169999999995</v>
      </c>
      <c r="Z6360">
        <v>-2.1130650000000001E-2</v>
      </c>
      <c r="AA6360">
        <v>0.83422339999999995</v>
      </c>
      <c r="AB6360">
        <v>23</v>
      </c>
      <c r="AC6360">
        <v>-0.54829999999998302</v>
      </c>
      <c r="AD6360">
        <v>-5.8112000000000101E-2</v>
      </c>
      <c r="AE6360">
        <v>-0.536200000000008</v>
      </c>
      <c r="AF6360">
        <v>-0.51696847865485496</v>
      </c>
      <c r="AG6360">
        <v>-5.8112000000000101E-2</v>
      </c>
      <c r="AH6360">
        <v>0.56052711008087097</v>
      </c>
      <c r="AI6360">
        <v>94.358074939649399</v>
      </c>
      <c r="AJ6360">
        <v>132.68503225779901</v>
      </c>
      <c r="AK6360">
        <v>0.76473789863084995</v>
      </c>
      <c r="AL6360">
        <v>92.124507952777606</v>
      </c>
      <c r="AM6360">
        <v>106.641910164488</v>
      </c>
      <c r="AN6360">
        <v>0.99999993163679501</v>
      </c>
    </row>
    <row r="6361" spans="1:40" x14ac:dyDescent="0.25">
      <c r="A6361" t="str">
        <f>"20190303153935325"</f>
        <v>20190303153935325</v>
      </c>
      <c r="B6361" t="str">
        <f>"1551598775314991"</f>
        <v>1551598775314991</v>
      </c>
      <c r="C6361" t="s">
        <v>40</v>
      </c>
      <c r="D6361">
        <v>4.238245</v>
      </c>
      <c r="E6361">
        <v>0.38608609999999999</v>
      </c>
      <c r="F6361" t="s">
        <v>44</v>
      </c>
      <c r="G6361">
        <v>-400.05399999999997</v>
      </c>
      <c r="H6361">
        <v>1.0688040000000001</v>
      </c>
      <c r="I6361">
        <v>140.8655</v>
      </c>
      <c r="J6361">
        <v>-399.52120000000002</v>
      </c>
      <c r="K6361">
        <v>1.1238109999999999</v>
      </c>
      <c r="L6361">
        <v>141.38990000000001</v>
      </c>
      <c r="M6361">
        <v>-0.99935969999999996</v>
      </c>
      <c r="N6361">
        <v>-1.380028E-2</v>
      </c>
      <c r="O6361">
        <v>-3.3014290000000002E-2</v>
      </c>
      <c r="P6361">
        <v>-0.94653399999999999</v>
      </c>
      <c r="Q6361">
        <v>-4.9022830000000003E-2</v>
      </c>
      <c r="R6361">
        <v>-0.31885760000000002</v>
      </c>
      <c r="S6361">
        <v>-2.554535</v>
      </c>
      <c r="T6361">
        <v>-0.1855851</v>
      </c>
      <c r="U6361">
        <v>-1.810684</v>
      </c>
      <c r="V6361">
        <v>-0.2872113</v>
      </c>
      <c r="W6361">
        <v>-3.7543680000000003E-2</v>
      </c>
      <c r="X6361">
        <v>0.95713119999999996</v>
      </c>
      <c r="Y6361">
        <v>-0.54985030000000001</v>
      </c>
      <c r="Z6361">
        <v>-2.0376709999999999E-2</v>
      </c>
      <c r="AA6361">
        <v>0.83501460000000005</v>
      </c>
      <c r="AB6361">
        <v>23</v>
      </c>
      <c r="AC6361">
        <v>-0.53280000000000804</v>
      </c>
      <c r="AD6361">
        <v>-5.5007E-2</v>
      </c>
      <c r="AE6361">
        <v>-0.52440000000001397</v>
      </c>
      <c r="AF6361">
        <v>-0.50379481493690803</v>
      </c>
      <c r="AG6361">
        <v>-5.5007E-2</v>
      </c>
      <c r="AH6361">
        <v>0.546863088159521</v>
      </c>
      <c r="AI6361">
        <v>94.230963541497701</v>
      </c>
      <c r="AJ6361">
        <v>132.65266169502499</v>
      </c>
      <c r="AK6361">
        <v>0.74558314277998605</v>
      </c>
      <c r="AL6361">
        <v>92.1516000779054</v>
      </c>
      <c r="AM6361">
        <v>106.703195043679</v>
      </c>
      <c r="AN6361">
        <v>0.99999999638453596</v>
      </c>
    </row>
    <row r="6362" spans="1:40" x14ac:dyDescent="0.25">
      <c r="A6362" t="str">
        <f>"20190303153935348"</f>
        <v>20190303153935348</v>
      </c>
      <c r="B6362" t="str">
        <f>"1551598775345246"</f>
        <v>1551598775345246</v>
      </c>
      <c r="C6362" t="s">
        <v>40</v>
      </c>
      <c r="D6362">
        <v>4.2488149999999996</v>
      </c>
      <c r="E6362">
        <v>0.38732539999999999</v>
      </c>
      <c r="F6362" t="s">
        <v>44</v>
      </c>
      <c r="G6362">
        <v>-400.26170000000002</v>
      </c>
      <c r="H6362">
        <v>1.069763</v>
      </c>
      <c r="I6362">
        <v>140.86199999999999</v>
      </c>
      <c r="J6362">
        <v>-399.74849999999998</v>
      </c>
      <c r="K6362">
        <v>1.1239629999999901</v>
      </c>
      <c r="L6362">
        <v>141.37790000000001</v>
      </c>
      <c r="M6362">
        <v>-0.99921579999999999</v>
      </c>
      <c r="N6362">
        <v>-1.381487E-2</v>
      </c>
      <c r="O6362">
        <v>-3.7109740000000002E-2</v>
      </c>
      <c r="P6362">
        <v>-0.94477639999999996</v>
      </c>
      <c r="Q6362">
        <v>-5.0736459999999997E-2</v>
      </c>
      <c r="R6362">
        <v>-0.32376480000000002</v>
      </c>
      <c r="S6362">
        <v>-2.5478209999999999</v>
      </c>
      <c r="T6362">
        <v>-0.1859556</v>
      </c>
      <c r="U6362">
        <v>-1.816727</v>
      </c>
      <c r="V6362">
        <v>-0.2882324</v>
      </c>
      <c r="W6362">
        <v>-3.9364820000000002E-2</v>
      </c>
      <c r="X6362">
        <v>0.95675100000000002</v>
      </c>
      <c r="Y6362">
        <v>-0.54878159999999998</v>
      </c>
      <c r="Z6362">
        <v>-2.0182120000000001E-2</v>
      </c>
      <c r="AA6362">
        <v>0.83572209999999902</v>
      </c>
      <c r="AB6362">
        <v>23</v>
      </c>
      <c r="AC6362">
        <v>-0.51320000000003996</v>
      </c>
      <c r="AD6362">
        <v>-5.4199999999999797E-2</v>
      </c>
      <c r="AE6362">
        <v>-0.51590000000001601</v>
      </c>
      <c r="AF6362">
        <v>-0.49375883430448098</v>
      </c>
      <c r="AG6362">
        <v>-5.4199999999999797E-2</v>
      </c>
      <c r="AH6362">
        <v>0.52905814004219198</v>
      </c>
      <c r="AI6362">
        <v>94.283220488751496</v>
      </c>
      <c r="AJ6362">
        <v>133.02340117157701</v>
      </c>
      <c r="AK6362">
        <v>0.72569824445055897</v>
      </c>
      <c r="AL6362">
        <v>92.256020975124201</v>
      </c>
      <c r="AM6362">
        <v>106.765540563484</v>
      </c>
      <c r="AN6362">
        <v>0.99999999073219603</v>
      </c>
    </row>
    <row r="6363" spans="1:40" x14ac:dyDescent="0.25">
      <c r="A6363" t="str">
        <f>"20190303153935370"</f>
        <v>20190303153935370</v>
      </c>
      <c r="B6363" t="str">
        <f>"1551598775364766"</f>
        <v>1551598775364766</v>
      </c>
      <c r="C6363" t="s">
        <v>40</v>
      </c>
      <c r="D6363">
        <v>4.2348819999999998</v>
      </c>
      <c r="E6363">
        <v>0.38807180000000002</v>
      </c>
      <c r="F6363" t="s">
        <v>44</v>
      </c>
      <c r="G6363">
        <v>-400.46480000000003</v>
      </c>
      <c r="H6363">
        <v>1.0698749999999999</v>
      </c>
      <c r="I6363">
        <v>140.86490000000001</v>
      </c>
      <c r="J6363">
        <v>-399.97710000000001</v>
      </c>
      <c r="K6363">
        <v>1.124139</v>
      </c>
      <c r="L6363">
        <v>141.36439999999999</v>
      </c>
      <c r="M6363">
        <v>-0.9990426</v>
      </c>
      <c r="N6363">
        <v>-1.38312E-2</v>
      </c>
      <c r="O6363">
        <v>-4.1508339999999998E-2</v>
      </c>
      <c r="P6363">
        <v>-0.94245389999999996</v>
      </c>
      <c r="Q6363">
        <v>-5.1402980000000001E-2</v>
      </c>
      <c r="R6363">
        <v>-0.33036199999999999</v>
      </c>
      <c r="S6363">
        <v>-2.5411990000000002</v>
      </c>
      <c r="T6363">
        <v>-0.19187380000000001</v>
      </c>
      <c r="U6363">
        <v>-1.820557</v>
      </c>
      <c r="V6363">
        <v>-0.29068660000000002</v>
      </c>
      <c r="W6363">
        <v>-4.0167019999999998E-2</v>
      </c>
      <c r="X6363">
        <v>0.95597489999999996</v>
      </c>
      <c r="Y6363">
        <v>-0.54690499999999997</v>
      </c>
      <c r="Z6363">
        <v>-2.0393229999999998E-2</v>
      </c>
      <c r="AA6363">
        <v>0.83694619999999997</v>
      </c>
      <c r="AB6363">
        <v>23</v>
      </c>
      <c r="AC6363">
        <v>-0.48770000000001701</v>
      </c>
      <c r="AD6363">
        <v>-5.4264E-2</v>
      </c>
      <c r="AE6363">
        <v>-0.49949999999998301</v>
      </c>
      <c r="AF6363">
        <v>-0.47594819444640901</v>
      </c>
      <c r="AG6363">
        <v>-5.4264E-2</v>
      </c>
      <c r="AH6363">
        <v>0.50496399833262395</v>
      </c>
      <c r="AI6363">
        <v>94.471430097978597</v>
      </c>
      <c r="AJ6363">
        <v>133.305660306193</v>
      </c>
      <c r="AK6363">
        <v>0.69603154030896297</v>
      </c>
      <c r="AL6363">
        <v>92.302019900712494</v>
      </c>
      <c r="AM6363">
        <v>106.91312485795299</v>
      </c>
      <c r="AN6363">
        <v>1.00000004917262</v>
      </c>
    </row>
    <row r="6364" spans="1:40" x14ac:dyDescent="0.25">
      <c r="A6364" t="str">
        <f>"20190303153935392"</f>
        <v>20190303153935392</v>
      </c>
      <c r="B6364" t="str">
        <f>"1551598775385263"</f>
        <v>1551598775385263</v>
      </c>
      <c r="C6364" t="s">
        <v>40</v>
      </c>
      <c r="D6364">
        <v>4.2197129999999996</v>
      </c>
      <c r="E6364">
        <v>0.3885729</v>
      </c>
      <c r="F6364" t="s">
        <v>44</v>
      </c>
      <c r="G6364">
        <v>-400.84109999999998</v>
      </c>
      <c r="H6364">
        <v>1.0579019999999999</v>
      </c>
      <c r="I6364">
        <v>140.7389</v>
      </c>
      <c r="J6364">
        <v>-400.20240000000001</v>
      </c>
      <c r="K6364">
        <v>1.1243259999999999</v>
      </c>
      <c r="L6364">
        <v>141.34979999999999</v>
      </c>
      <c r="M6364">
        <v>-0.99883840000000002</v>
      </c>
      <c r="N6364">
        <v>-1.384907E-2</v>
      </c>
      <c r="O6364">
        <v>-4.6152220000000001E-2</v>
      </c>
      <c r="P6364">
        <v>-0.93966059999999996</v>
      </c>
      <c r="Q6364">
        <v>-5.050632E-2</v>
      </c>
      <c r="R6364">
        <v>-0.33835969999999999</v>
      </c>
      <c r="S6364">
        <v>-2.5302120000000001</v>
      </c>
      <c r="T6364">
        <v>-0.1939765</v>
      </c>
      <c r="U6364">
        <v>-1.8325199999999999</v>
      </c>
      <c r="V6364">
        <v>-0.29434900000000003</v>
      </c>
      <c r="W6364">
        <v>-3.9424679999999997E-2</v>
      </c>
      <c r="X6364">
        <v>0.95488450000000002</v>
      </c>
      <c r="Y6364">
        <v>-0.54731300000000005</v>
      </c>
      <c r="Z6364">
        <v>-2.0372609999999999E-2</v>
      </c>
      <c r="AA6364">
        <v>0.83668009999999904</v>
      </c>
      <c r="AB6364">
        <v>23</v>
      </c>
      <c r="AC6364">
        <v>-0.63869999999997096</v>
      </c>
      <c r="AD6364">
        <v>-6.6423999999999803E-2</v>
      </c>
      <c r="AE6364">
        <v>-0.61089999999998601</v>
      </c>
      <c r="AF6364">
        <v>-0.57750668947626704</v>
      </c>
      <c r="AG6364">
        <v>-6.6423999999999803E-2</v>
      </c>
      <c r="AH6364">
        <v>0.66247447744861199</v>
      </c>
      <c r="AI6364">
        <v>94.322205750521604</v>
      </c>
      <c r="AJ6364">
        <v>131.08002320076301</v>
      </c>
      <c r="AK6364">
        <v>0.88136176308973702</v>
      </c>
      <c r="AL6364">
        <v>92.259453290315093</v>
      </c>
      <c r="AM6364">
        <v>107.13223498319699</v>
      </c>
      <c r="AN6364">
        <v>1.00000002376717</v>
      </c>
    </row>
    <row r="6365" spans="1:40" x14ac:dyDescent="0.25">
      <c r="A6365" t="str">
        <f>"20190303153935415"</f>
        <v>20190303153935415</v>
      </c>
      <c r="B6365" t="str">
        <f>"1551598775405289"</f>
        <v>1551598775405289</v>
      </c>
      <c r="C6365" t="s">
        <v>40</v>
      </c>
      <c r="D6365">
        <v>4.2098170000000001</v>
      </c>
      <c r="E6365">
        <v>0.38907229999999998</v>
      </c>
      <c r="F6365" t="s">
        <v>44</v>
      </c>
      <c r="G6365">
        <v>-401.04349999999999</v>
      </c>
      <c r="H6365">
        <v>1.0605439999999999</v>
      </c>
      <c r="I6365">
        <v>140.7311</v>
      </c>
      <c r="J6365">
        <v>-400.43200000000002</v>
      </c>
      <c r="K6365">
        <v>1.12449</v>
      </c>
      <c r="L6365">
        <v>141.33340000000001</v>
      </c>
      <c r="M6365">
        <v>-0.9985948</v>
      </c>
      <c r="N6365">
        <v>-1.386765E-2</v>
      </c>
      <c r="O6365">
        <v>-5.1147619999999998E-2</v>
      </c>
      <c r="P6365">
        <v>-0.93653050000000004</v>
      </c>
      <c r="Q6365">
        <v>-4.973143E-2</v>
      </c>
      <c r="R6365">
        <v>-0.3470414</v>
      </c>
      <c r="S6365">
        <v>-2.5161129999999998</v>
      </c>
      <c r="T6365">
        <v>-0.19080520000000001</v>
      </c>
      <c r="U6365">
        <v>-1.850266</v>
      </c>
      <c r="V6365">
        <v>-0.2983924</v>
      </c>
      <c r="W6365">
        <v>-3.8801160000000001E-2</v>
      </c>
      <c r="X6365">
        <v>0.95365429999999995</v>
      </c>
      <c r="Y6365">
        <v>-0.5492281</v>
      </c>
      <c r="Z6365">
        <v>-1.998076E-2</v>
      </c>
      <c r="AA6365">
        <v>0.835433599999999</v>
      </c>
      <c r="AB6365">
        <v>23</v>
      </c>
      <c r="AC6365">
        <v>-0.61150000000003502</v>
      </c>
      <c r="AD6365">
        <v>-6.3945999999999795E-2</v>
      </c>
      <c r="AE6365">
        <v>-0.60230000000001305</v>
      </c>
      <c r="AF6365">
        <v>-0.56708408242445696</v>
      </c>
      <c r="AG6365">
        <v>-6.3945999999999795E-2</v>
      </c>
      <c r="AH6365">
        <v>0.63796754739722705</v>
      </c>
      <c r="AI6365">
        <v>94.284348787310194</v>
      </c>
      <c r="AJ6365">
        <v>131.63363054844299</v>
      </c>
      <c r="AK6365">
        <v>0.85596497532739102</v>
      </c>
      <c r="AL6365">
        <v>92.223700834051797</v>
      </c>
      <c r="AM6365">
        <v>107.374571570684</v>
      </c>
      <c r="AN6365">
        <v>1.00000003915179</v>
      </c>
    </row>
    <row r="6366" spans="1:40" x14ac:dyDescent="0.25">
      <c r="A6366" t="str">
        <f>"20190303153935437"</f>
        <v>20190303153935437</v>
      </c>
      <c r="B6366" t="str">
        <f>"1551598775424809"</f>
        <v>1551598775424809</v>
      </c>
      <c r="C6366" t="s">
        <v>40</v>
      </c>
      <c r="D6366">
        <v>4.2269569999999996</v>
      </c>
      <c r="E6366">
        <v>0.3895998</v>
      </c>
      <c r="F6366" t="s">
        <v>44</v>
      </c>
      <c r="G6366">
        <v>-401.24619999999999</v>
      </c>
      <c r="H6366">
        <v>1.0628789999999999</v>
      </c>
      <c r="I6366">
        <v>140.72489999999999</v>
      </c>
      <c r="J6366">
        <v>-400.65600000000001</v>
      </c>
      <c r="K6366">
        <v>1.12464599999999</v>
      </c>
      <c r="L6366">
        <v>141.31610000000001</v>
      </c>
      <c r="M6366">
        <v>-0.99831809999999999</v>
      </c>
      <c r="N6366">
        <v>-1.3885150000000001E-2</v>
      </c>
      <c r="O6366">
        <v>-5.6288560000000001E-2</v>
      </c>
      <c r="P6366">
        <v>-0.93302739999999995</v>
      </c>
      <c r="Q6366">
        <v>-4.9887019999999997E-2</v>
      </c>
      <c r="R6366">
        <v>-0.35633029999999999</v>
      </c>
      <c r="S6366">
        <v>-2.5005489999999999</v>
      </c>
      <c r="T6366">
        <v>-0.1892035</v>
      </c>
      <c r="U6366">
        <v>-1.8694919999999999</v>
      </c>
      <c r="V6366">
        <v>-0.30293680000000001</v>
      </c>
      <c r="W6366">
        <v>-3.9107040000000003E-2</v>
      </c>
      <c r="X6366">
        <v>0.9522079</v>
      </c>
      <c r="Y6366">
        <v>-0.55155279999999995</v>
      </c>
      <c r="Z6366">
        <v>-1.9731760000000001E-2</v>
      </c>
      <c r="AA6366">
        <v>0.83390649999999999</v>
      </c>
      <c r="AB6366">
        <v>23</v>
      </c>
      <c r="AC6366">
        <v>-0.59019999999998096</v>
      </c>
      <c r="AD6366">
        <v>-6.17669999999996E-2</v>
      </c>
      <c r="AE6366">
        <v>-0.59120000000001405</v>
      </c>
      <c r="AF6366">
        <v>-0.55400902415559505</v>
      </c>
      <c r="AG6366">
        <v>-6.17669999999996E-2</v>
      </c>
      <c r="AH6366">
        <v>0.61916013760127897</v>
      </c>
      <c r="AI6366">
        <v>94.251739423895899</v>
      </c>
      <c r="AJ6366">
        <v>131.82138470532399</v>
      </c>
      <c r="AK6366">
        <v>0.83312690337623296</v>
      </c>
      <c r="AL6366">
        <v>92.241239922147201</v>
      </c>
      <c r="AM6366">
        <v>107.648023792312</v>
      </c>
      <c r="AN6366">
        <v>0.99999997509710503</v>
      </c>
    </row>
    <row r="6367" spans="1:40" x14ac:dyDescent="0.25">
      <c r="A6367" t="str">
        <f>"20190303153935459"</f>
        <v>20190303153935459</v>
      </c>
      <c r="B6367" t="str">
        <f>"1551598775455064"</f>
        <v>1551598775455064</v>
      </c>
      <c r="C6367" t="s">
        <v>40</v>
      </c>
      <c r="D6367">
        <v>4.2277990000000001</v>
      </c>
      <c r="E6367">
        <v>0.39030779999999998</v>
      </c>
      <c r="F6367" t="s">
        <v>44</v>
      </c>
      <c r="G6367">
        <v>-401.44740000000002</v>
      </c>
      <c r="H6367">
        <v>1.0643530000000001</v>
      </c>
      <c r="I6367">
        <v>140.71360000000001</v>
      </c>
      <c r="J6367">
        <v>-400.88299999999998</v>
      </c>
      <c r="K6367">
        <v>1.124798</v>
      </c>
      <c r="L6367">
        <v>141.297</v>
      </c>
      <c r="M6367">
        <v>-0.9979922</v>
      </c>
      <c r="N6367">
        <v>-1.390362E-2</v>
      </c>
      <c r="O6367">
        <v>-6.1793309999999997E-2</v>
      </c>
      <c r="P6367">
        <v>-0.92922680000000002</v>
      </c>
      <c r="Q6367">
        <v>-4.9800089999999998E-2</v>
      </c>
      <c r="R6367">
        <v>-0.36613899999999999</v>
      </c>
      <c r="S6367">
        <v>-2.4832459999999998</v>
      </c>
      <c r="T6367">
        <v>-0.18920719999999999</v>
      </c>
      <c r="U6367">
        <v>-1.89032</v>
      </c>
      <c r="V6367">
        <v>-0.30769429999999998</v>
      </c>
      <c r="W6367">
        <v>-3.917967E-2</v>
      </c>
      <c r="X6367">
        <v>0.95067829999999998</v>
      </c>
      <c r="Y6367">
        <v>-0.55417510000000003</v>
      </c>
      <c r="Z6367">
        <v>-1.9608029999999999E-2</v>
      </c>
      <c r="AA6367">
        <v>0.83216919999999905</v>
      </c>
      <c r="AB6367">
        <v>23</v>
      </c>
      <c r="AC6367">
        <v>-0.56439999999997703</v>
      </c>
      <c r="AD6367">
        <v>-6.0444999999999798E-2</v>
      </c>
      <c r="AE6367">
        <v>-0.58339999999998304</v>
      </c>
      <c r="AF6367">
        <v>-0.54438676587548396</v>
      </c>
      <c r="AG6367">
        <v>-6.0444999999999798E-2</v>
      </c>
      <c r="AH6367">
        <v>0.596069714154009</v>
      </c>
      <c r="AI6367">
        <v>94.282172108284797</v>
      </c>
      <c r="AJ6367">
        <v>132.405258152606</v>
      </c>
      <c r="AK6367">
        <v>0.80951198448016304</v>
      </c>
      <c r="AL6367">
        <v>92.245404384344099</v>
      </c>
      <c r="AM6367">
        <v>107.934570576222</v>
      </c>
      <c r="AN6367">
        <v>1.0000000294423399</v>
      </c>
    </row>
    <row r="6368" spans="1:40" x14ac:dyDescent="0.25">
      <c r="A6368" t="str">
        <f>"20190303153935482"</f>
        <v>20190303153935482</v>
      </c>
      <c r="B6368" t="str">
        <f>"1551598775474585"</f>
        <v>1551598775474585</v>
      </c>
      <c r="C6368" t="s">
        <v>40</v>
      </c>
      <c r="D6368">
        <v>4.2011839999999996</v>
      </c>
      <c r="E6368">
        <v>0.39052700000000001</v>
      </c>
      <c r="F6368" t="s">
        <v>44</v>
      </c>
      <c r="G6368">
        <v>-401.64870000000002</v>
      </c>
      <c r="H6368">
        <v>1.0664199999999999</v>
      </c>
      <c r="I6368">
        <v>140.7037</v>
      </c>
      <c r="J6368">
        <v>-401.10570000000001</v>
      </c>
      <c r="K6368">
        <v>1.1249670000000001</v>
      </c>
      <c r="L6368">
        <v>141.27680000000001</v>
      </c>
      <c r="M6368">
        <v>-0.99762169999999895</v>
      </c>
      <c r="N6368">
        <v>-1.3924819999999999E-2</v>
      </c>
      <c r="O6368">
        <v>-6.7505549999999998E-2</v>
      </c>
      <c r="P6368">
        <v>-0.92484489999999997</v>
      </c>
      <c r="Q6368">
        <v>-4.971859E-2</v>
      </c>
      <c r="R6368">
        <v>-0.37708079999999999</v>
      </c>
      <c r="S6368">
        <v>-2.4653320000000001</v>
      </c>
      <c r="T6368">
        <v>-0.1879429</v>
      </c>
      <c r="U6368">
        <v>-1.911179</v>
      </c>
      <c r="V6368">
        <v>-0.31344709999999998</v>
      </c>
      <c r="W6368">
        <v>-3.9283949999999998E-2</v>
      </c>
      <c r="X6368">
        <v>0.94879279999999999</v>
      </c>
      <c r="Y6368">
        <v>-0.55674309999999905</v>
      </c>
      <c r="Z6368">
        <v>-1.937759E-2</v>
      </c>
      <c r="AA6368">
        <v>0.83045869999999999</v>
      </c>
      <c r="AB6368">
        <v>23</v>
      </c>
      <c r="AC6368">
        <v>-0.54300000000000603</v>
      </c>
      <c r="AD6368">
        <v>-5.8546999999999898E-2</v>
      </c>
      <c r="AE6368">
        <v>-0.57310000000001005</v>
      </c>
      <c r="AF6368">
        <v>-0.53220654799323097</v>
      </c>
      <c r="AG6368">
        <v>-5.8546999999999898E-2</v>
      </c>
      <c r="AH6368">
        <v>0.577277609129213</v>
      </c>
      <c r="AI6368">
        <v>94.264421708086701</v>
      </c>
      <c r="AJ6368">
        <v>132.673727531205</v>
      </c>
      <c r="AK6368">
        <v>0.78735062007838197</v>
      </c>
      <c r="AL6368">
        <v>92.251383755714699</v>
      </c>
      <c r="AM6368">
        <v>108.281701712966</v>
      </c>
      <c r="AN6368">
        <v>1.0000000452789199</v>
      </c>
    </row>
    <row r="6369" spans="1:40" x14ac:dyDescent="0.25">
      <c r="A6369" t="str">
        <f>"20190303153935504"</f>
        <v>20190303153935504</v>
      </c>
      <c r="B6369" t="str">
        <f>"1551598775495081"</f>
        <v>1551598775495081</v>
      </c>
      <c r="C6369" t="s">
        <v>40</v>
      </c>
      <c r="D6369">
        <v>4.2301380000000002</v>
      </c>
      <c r="E6369">
        <v>0.39839229999999998</v>
      </c>
      <c r="F6369" t="s">
        <v>44</v>
      </c>
      <c r="G6369">
        <v>-401.84820000000002</v>
      </c>
      <c r="H6369">
        <v>1.067755</v>
      </c>
      <c r="I6369">
        <v>140.68770000000001</v>
      </c>
      <c r="J6369">
        <v>-401.32920000000001</v>
      </c>
      <c r="K6369">
        <v>1.1251610000000001</v>
      </c>
      <c r="L6369">
        <v>141.25489999999999</v>
      </c>
      <c r="M6369">
        <v>-0.99719400000000002</v>
      </c>
      <c r="N6369">
        <v>-1.394984E-2</v>
      </c>
      <c r="O6369">
        <v>-7.3550710000000005E-2</v>
      </c>
      <c r="P6369">
        <v>-0.92033370000000003</v>
      </c>
      <c r="Q6369">
        <v>-4.9360059999999997E-2</v>
      </c>
      <c r="R6369">
        <v>-0.3880072</v>
      </c>
      <c r="S6369">
        <v>-2.4432680000000002</v>
      </c>
      <c r="T6369">
        <v>-0.1882733</v>
      </c>
      <c r="U6369">
        <v>-1.9385829999999999</v>
      </c>
      <c r="V6369">
        <v>-0.31890770000000002</v>
      </c>
      <c r="W6369">
        <v>-3.9125989999999999E-2</v>
      </c>
      <c r="X6369">
        <v>0.94697790000000004</v>
      </c>
      <c r="Y6369">
        <v>-0.56105919999999998</v>
      </c>
      <c r="Z6369">
        <v>-1.9334770000000001E-2</v>
      </c>
      <c r="AA6369">
        <v>0.8275498</v>
      </c>
      <c r="AB6369">
        <v>23</v>
      </c>
      <c r="AC6369">
        <v>-0.51900000000000501</v>
      </c>
      <c r="AD6369">
        <v>-5.7405999999999999E-2</v>
      </c>
      <c r="AE6369">
        <v>-0.56719999999998505</v>
      </c>
      <c r="AF6369">
        <v>-0.52456228942951799</v>
      </c>
      <c r="AG6369">
        <v>-5.7405999999999999E-2</v>
      </c>
      <c r="AH6369">
        <v>0.55621494008786798</v>
      </c>
      <c r="AI6369">
        <v>94.293964092031501</v>
      </c>
      <c r="AJ6369">
        <v>133.32246183787299</v>
      </c>
      <c r="AK6369">
        <v>0.76670470450133998</v>
      </c>
      <c r="AL6369">
        <v>92.2423263325758</v>
      </c>
      <c r="AM6369">
        <v>108.61165296390701</v>
      </c>
      <c r="AN6369">
        <v>1.00000005365058</v>
      </c>
    </row>
    <row r="6370" spans="1:40" x14ac:dyDescent="0.25">
      <c r="A6370" t="str">
        <f>"20190303153935525"</f>
        <v>20190303153935525</v>
      </c>
      <c r="B6370" t="str">
        <f>"1551598775515108"</f>
        <v>1551598775515108</v>
      </c>
      <c r="C6370" t="s">
        <v>40</v>
      </c>
      <c r="D6370">
        <v>4.2265300000000003</v>
      </c>
      <c r="E6370">
        <v>0.39918409999999999</v>
      </c>
      <c r="F6370" t="s">
        <v>44</v>
      </c>
      <c r="G6370">
        <v>-402.1259</v>
      </c>
      <c r="H6370">
        <v>1.072279</v>
      </c>
      <c r="I6370">
        <v>140.6328</v>
      </c>
      <c r="J6370">
        <v>-401.54919999999998</v>
      </c>
      <c r="K6370">
        <v>1.1253740000000001</v>
      </c>
      <c r="L6370">
        <v>141.23159999999999</v>
      </c>
      <c r="M6370">
        <v>-0.99671169999999998</v>
      </c>
      <c r="N6370">
        <v>-1.397698E-2</v>
      </c>
      <c r="O6370">
        <v>-7.9816559999999995E-2</v>
      </c>
      <c r="P6370">
        <v>-0.91571400000000003</v>
      </c>
      <c r="Q6370">
        <v>-4.8586169999999998E-2</v>
      </c>
      <c r="R6370">
        <v>-0.39888289999999998</v>
      </c>
      <c r="S6370">
        <v>-2.4456180000000001</v>
      </c>
      <c r="T6370">
        <v>-0.1623406</v>
      </c>
      <c r="U6370">
        <v>-1.910339</v>
      </c>
      <c r="V6370">
        <v>-0.32415110000000003</v>
      </c>
      <c r="W6370">
        <v>-3.856205E-2</v>
      </c>
      <c r="X6370">
        <v>0.94521900000000003</v>
      </c>
      <c r="Y6370">
        <v>-0.54980779999999996</v>
      </c>
      <c r="Z6370">
        <v>-1.6735429999999999E-2</v>
      </c>
      <c r="AA6370">
        <v>0.83512350000000002</v>
      </c>
      <c r="AB6370">
        <v>23</v>
      </c>
      <c r="AC6370">
        <v>-0.57670000000001598</v>
      </c>
      <c r="AD6370">
        <v>-5.3094999999999802E-2</v>
      </c>
      <c r="AE6370">
        <v>-0.59879999999998201</v>
      </c>
      <c r="AF6370">
        <v>-0.54861676589670405</v>
      </c>
      <c r="AG6370">
        <v>-5.3094999999999802E-2</v>
      </c>
      <c r="AH6370">
        <v>0.62012911989059405</v>
      </c>
      <c r="AI6370">
        <v>93.669149955230395</v>
      </c>
      <c r="AJ6370">
        <v>131.49859371883699</v>
      </c>
      <c r="AK6370">
        <v>0.82967436996947297</v>
      </c>
      <c r="AL6370">
        <v>92.209990748940101</v>
      </c>
      <c r="AM6370">
        <v>108.92876735907601</v>
      </c>
      <c r="AN6370">
        <v>0.99999996264620505</v>
      </c>
    </row>
    <row r="6371" spans="1:40" x14ac:dyDescent="0.25">
      <c r="A6371" t="str">
        <f>"20190303153935549"</f>
        <v>20190303153935549</v>
      </c>
      <c r="B6371" t="str">
        <f>"1551598775544391"</f>
        <v>1551598775544391</v>
      </c>
      <c r="C6371" t="s">
        <v>40</v>
      </c>
      <c r="D6371">
        <v>4.2306379999999999</v>
      </c>
      <c r="E6371">
        <v>0.39991710000000003</v>
      </c>
      <c r="F6371" t="s">
        <v>68</v>
      </c>
      <c r="G6371">
        <v>-418.35939999999999</v>
      </c>
      <c r="H6371" s="1">
        <v>-4.9097809999999997E-6</v>
      </c>
      <c r="I6371">
        <v>127.8327</v>
      </c>
      <c r="J6371">
        <v>-401.7765</v>
      </c>
      <c r="K6371">
        <v>1.125589</v>
      </c>
      <c r="L6371">
        <v>141.20570000000001</v>
      </c>
      <c r="M6371">
        <v>-0.99614270000000005</v>
      </c>
      <c r="N6371">
        <v>-1.400651E-2</v>
      </c>
      <c r="O6371">
        <v>-8.6623889999999995E-2</v>
      </c>
      <c r="P6371">
        <v>-0.91070519999999999</v>
      </c>
      <c r="Q6371">
        <v>-4.6782789999999998E-2</v>
      </c>
      <c r="R6371">
        <v>-0.41039920000000002</v>
      </c>
      <c r="S6371">
        <v>-2.425446</v>
      </c>
      <c r="T6371">
        <v>-0.16237399999999999</v>
      </c>
      <c r="U6371">
        <v>-1.933243</v>
      </c>
      <c r="V6371">
        <v>-0.32959470000000002</v>
      </c>
      <c r="W6371">
        <v>-3.6983290000000002E-2</v>
      </c>
      <c r="X6371">
        <v>0.94339790000000001</v>
      </c>
      <c r="Y6371">
        <v>-0.55230210000000002</v>
      </c>
      <c r="Z6371">
        <v>-1.6590569999999999E-2</v>
      </c>
      <c r="AA6371">
        <v>0.83347899999999997</v>
      </c>
      <c r="AB6371">
        <v>23</v>
      </c>
      <c r="AC6371">
        <v>-16.582899999999899</v>
      </c>
      <c r="AD6371">
        <v>-1.1255939097809999</v>
      </c>
      <c r="AE6371">
        <v>-13.372999999999999</v>
      </c>
      <c r="AF6371">
        <v>-11.8530158512581</v>
      </c>
      <c r="AG6371">
        <v>-1.1255939097809999</v>
      </c>
      <c r="AH6371">
        <v>17.629871382268998</v>
      </c>
      <c r="AI6371">
        <v>93.032932446922302</v>
      </c>
      <c r="AJ6371">
        <v>123.913955107813</v>
      </c>
      <c r="AK6371">
        <v>21.273770502082101</v>
      </c>
      <c r="AL6371">
        <v>92.119469743127397</v>
      </c>
      <c r="AM6371">
        <v>109.257870665881</v>
      </c>
      <c r="AN6371">
        <v>1.00000001386586</v>
      </c>
    </row>
    <row r="6372" spans="1:40" x14ac:dyDescent="0.25">
      <c r="A6372" t="str">
        <f>"20190303153935571"</f>
        <v>20190303153935571</v>
      </c>
      <c r="B6372" t="str">
        <f>"1551598775564887"</f>
        <v>1551598775564887</v>
      </c>
      <c r="C6372" t="s">
        <v>40</v>
      </c>
      <c r="D6372">
        <v>4.2590170000000001</v>
      </c>
      <c r="E6372">
        <v>0.40070899999999998</v>
      </c>
      <c r="F6372" t="s">
        <v>68</v>
      </c>
      <c r="G6372">
        <v>-418.74799999999999</v>
      </c>
      <c r="H6372" s="1">
        <v>-4.655611E-6</v>
      </c>
      <c r="I6372">
        <v>127.37820000000001</v>
      </c>
      <c r="J6372">
        <v>-401.99639999999999</v>
      </c>
      <c r="K6372">
        <v>1.1258090000000001</v>
      </c>
      <c r="L6372">
        <v>141.17859999999999</v>
      </c>
      <c r="M6372">
        <v>-0.99551310000000004</v>
      </c>
      <c r="N6372">
        <v>-1.4036699999999999E-2</v>
      </c>
      <c r="O6372">
        <v>-9.3577530000000006E-2</v>
      </c>
      <c r="P6372">
        <v>-0.90520860000000003</v>
      </c>
      <c r="Q6372">
        <v>-4.479006E-2</v>
      </c>
      <c r="R6372">
        <v>-0.4226009</v>
      </c>
      <c r="S6372">
        <v>-2.403473</v>
      </c>
      <c r="T6372">
        <v>-0.15940460000000001</v>
      </c>
      <c r="U6372">
        <v>-1.958237</v>
      </c>
      <c r="V6372">
        <v>-0.33566879999999999</v>
      </c>
      <c r="W6372">
        <v>-3.5220149999999999E-2</v>
      </c>
      <c r="X6372">
        <v>0.94132139999999997</v>
      </c>
      <c r="Y6372">
        <v>-0.55544039999999995</v>
      </c>
      <c r="Z6372">
        <v>-1.6264919999999999E-2</v>
      </c>
      <c r="AA6372">
        <v>0.83139730000000001</v>
      </c>
      <c r="AB6372">
        <v>23</v>
      </c>
      <c r="AC6372">
        <v>-16.7516</v>
      </c>
      <c r="AD6372">
        <v>-1.1258136556110001</v>
      </c>
      <c r="AE6372">
        <v>-13.8003999999999</v>
      </c>
      <c r="AF6372">
        <v>-12.139441656702701</v>
      </c>
      <c r="AG6372">
        <v>-1.1258136556110001</v>
      </c>
      <c r="AH6372">
        <v>17.921394485632899</v>
      </c>
      <c r="AI6372">
        <v>92.977306453389701</v>
      </c>
      <c r="AJ6372">
        <v>124.112593027391</v>
      </c>
      <c r="AK6372">
        <v>21.675098164329601</v>
      </c>
      <c r="AL6372">
        <v>92.018383402364293</v>
      </c>
      <c r="AM6372">
        <v>109.625888168982</v>
      </c>
      <c r="AN6372">
        <v>0.999999990178711</v>
      </c>
    </row>
    <row r="6373" spans="1:40" x14ac:dyDescent="0.25">
      <c r="A6373" t="str">
        <f>"20190303153935593"</f>
        <v>20190303153935593</v>
      </c>
      <c r="B6373" t="str">
        <f>"1551598775584405"</f>
        <v>1551598775584405</v>
      </c>
      <c r="C6373" t="s">
        <v>40</v>
      </c>
      <c r="D6373">
        <v>4.2616809999999896</v>
      </c>
      <c r="E6373">
        <v>0.40558680000000003</v>
      </c>
      <c r="F6373" t="s">
        <v>44</v>
      </c>
      <c r="G6373">
        <v>-402.81</v>
      </c>
      <c r="H6373">
        <v>1.07304</v>
      </c>
      <c r="I6373">
        <v>140.50020000000001</v>
      </c>
      <c r="J6373">
        <v>-402.2192</v>
      </c>
      <c r="K6373">
        <v>1.126009</v>
      </c>
      <c r="L6373">
        <v>141.14920000000001</v>
      </c>
      <c r="M6373">
        <v>-0.99479030000000002</v>
      </c>
      <c r="N6373">
        <v>-1.406899E-2</v>
      </c>
      <c r="O6373">
        <v>-0.100967</v>
      </c>
      <c r="P6373">
        <v>-0.89947969999999899</v>
      </c>
      <c r="Q6373">
        <v>-4.4102769999999999E-2</v>
      </c>
      <c r="R6373">
        <v>-0.43473139999999999</v>
      </c>
      <c r="S6373">
        <v>-2.3800050000000001</v>
      </c>
      <c r="T6373">
        <v>-0.154368899999999</v>
      </c>
      <c r="U6373">
        <v>-1.9846950000000001</v>
      </c>
      <c r="V6373">
        <v>-0.34131129999999998</v>
      </c>
      <c r="W6373">
        <v>-3.4752959999999999E-2</v>
      </c>
      <c r="X6373">
        <v>0.93930760000000002</v>
      </c>
      <c r="Y6373">
        <v>-0.55878619999999901</v>
      </c>
      <c r="Z6373">
        <v>-1.5805659999999999E-2</v>
      </c>
      <c r="AA6373">
        <v>0.82916119999999904</v>
      </c>
      <c r="AB6373">
        <v>23</v>
      </c>
      <c r="AC6373">
        <v>-0.59080000000000099</v>
      </c>
      <c r="AD6373">
        <v>-5.2969000000000002E-2</v>
      </c>
      <c r="AE6373">
        <v>-0.64900000000000002</v>
      </c>
      <c r="AF6373">
        <v>-0.58389867511136695</v>
      </c>
      <c r="AG6373">
        <v>-5.2969000000000002E-2</v>
      </c>
      <c r="AH6373">
        <v>0.65094320761046698</v>
      </c>
      <c r="AI6373">
        <v>93.466398988661197</v>
      </c>
      <c r="AJ6373">
        <v>131.89223301688301</v>
      </c>
      <c r="AK6373">
        <v>0.87605390090565405</v>
      </c>
      <c r="AL6373">
        <v>91.991599029801193</v>
      </c>
      <c r="AM6373">
        <v>109.96936205397699</v>
      </c>
      <c r="AN6373">
        <v>0.99999996957710502</v>
      </c>
    </row>
    <row r="6374" spans="1:40" x14ac:dyDescent="0.25">
      <c r="A6374" t="str">
        <f>"20190303153935616"</f>
        <v>20190303153935616</v>
      </c>
      <c r="B6374" t="str">
        <f>"1551598775604431"</f>
        <v>1551598775604431</v>
      </c>
      <c r="C6374" t="s">
        <v>40</v>
      </c>
      <c r="D6374">
        <v>4.2605750000000002</v>
      </c>
      <c r="E6374">
        <v>0.40766049999999998</v>
      </c>
      <c r="F6374" t="s">
        <v>44</v>
      </c>
      <c r="G6374">
        <v>-403.0086</v>
      </c>
      <c r="H6374">
        <v>1.0706450000000001</v>
      </c>
      <c r="I6374">
        <v>140.48929999999999</v>
      </c>
      <c r="J6374">
        <v>-402.43700000000001</v>
      </c>
      <c r="K6374">
        <v>1.1261620000000001</v>
      </c>
      <c r="L6374">
        <v>141.11840000000001</v>
      </c>
      <c r="M6374">
        <v>-0.99399970000000004</v>
      </c>
      <c r="N6374">
        <v>-1.4100140000000001E-2</v>
      </c>
      <c r="O6374">
        <v>-0.1084706</v>
      </c>
      <c r="P6374">
        <v>-0.89383869999999899</v>
      </c>
      <c r="Q6374">
        <v>-4.5894789999999998E-2</v>
      </c>
      <c r="R6374">
        <v>-0.44603419999999999</v>
      </c>
      <c r="S6374">
        <v>-2.36972</v>
      </c>
      <c r="T6374">
        <v>-0.16619800000000001</v>
      </c>
      <c r="U6374">
        <v>-1.9808349999999999</v>
      </c>
      <c r="V6374">
        <v>-0.34603099999999998</v>
      </c>
      <c r="W6374">
        <v>-3.6729449999999997E-2</v>
      </c>
      <c r="X6374">
        <v>0.93750389999999995</v>
      </c>
      <c r="Y6374">
        <v>-0.55339519999999998</v>
      </c>
      <c r="Z6374">
        <v>-1.6075430000000002E-2</v>
      </c>
      <c r="AA6374">
        <v>0.832763699999999</v>
      </c>
      <c r="AB6374">
        <v>23</v>
      </c>
      <c r="AC6374">
        <v>-0.57160000000004596</v>
      </c>
      <c r="AD6374">
        <v>-5.5516999999999997E-2</v>
      </c>
      <c r="AE6374">
        <v>-0.62910000000002197</v>
      </c>
      <c r="AF6374">
        <v>-0.56098624573164801</v>
      </c>
      <c r="AG6374">
        <v>-5.5516999999999997E-2</v>
      </c>
      <c r="AH6374">
        <v>0.63376868753139004</v>
      </c>
      <c r="AI6374">
        <v>93.752828795733095</v>
      </c>
      <c r="AJ6374">
        <v>131.513946437209</v>
      </c>
      <c r="AK6374">
        <v>0.84820425280963496</v>
      </c>
      <c r="AL6374">
        <v>92.104915851971498</v>
      </c>
      <c r="AM6374">
        <v>110.259012707991</v>
      </c>
      <c r="AN6374">
        <v>1.0000000339867501</v>
      </c>
    </row>
    <row r="6375" spans="1:40" x14ac:dyDescent="0.25">
      <c r="A6375" t="str">
        <f>"20190303153935638"</f>
        <v>20190303153935638</v>
      </c>
      <c r="B6375" t="str">
        <f>"1551598775634687"</f>
        <v>1551598775634687</v>
      </c>
      <c r="C6375" t="s">
        <v>40</v>
      </c>
      <c r="D6375">
        <v>4.13286</v>
      </c>
      <c r="E6375">
        <v>0.3723089</v>
      </c>
      <c r="F6375" t="s">
        <v>44</v>
      </c>
      <c r="G6375">
        <v>-403.2045</v>
      </c>
      <c r="H6375">
        <v>1.068702</v>
      </c>
      <c r="I6375">
        <v>140.46709999999999</v>
      </c>
      <c r="J6375">
        <v>-402.65899999999999</v>
      </c>
      <c r="K6375">
        <v>1.1262840000000001</v>
      </c>
      <c r="L6375">
        <v>141.08500000000001</v>
      </c>
      <c r="M6375">
        <v>-0.99310419999999999</v>
      </c>
      <c r="N6375">
        <v>-1.412971E-2</v>
      </c>
      <c r="O6375">
        <v>-0.1163815</v>
      </c>
      <c r="P6375">
        <v>-0.88821830000000002</v>
      </c>
      <c r="Q6375">
        <v>-4.7984770000000003E-2</v>
      </c>
      <c r="R6375">
        <v>-0.45690910000000001</v>
      </c>
      <c r="S6375">
        <v>-2.3513489999999999</v>
      </c>
      <c r="T6375">
        <v>-0.1760359</v>
      </c>
      <c r="U6375">
        <v>-1.995819</v>
      </c>
      <c r="V6375">
        <v>-0.3499776</v>
      </c>
      <c r="W6375">
        <v>-3.8978029999999997E-2</v>
      </c>
      <c r="X6375">
        <v>0.93594679999999997</v>
      </c>
      <c r="Y6375">
        <v>-0.55296279999999998</v>
      </c>
      <c r="Z6375">
        <v>-1.633422E-2</v>
      </c>
      <c r="AA6375">
        <v>0.83304579999999995</v>
      </c>
      <c r="AB6375">
        <v>23</v>
      </c>
      <c r="AC6375">
        <v>-0.54550000000000398</v>
      </c>
      <c r="AD6375">
        <v>-5.7582000000000001E-2</v>
      </c>
      <c r="AE6375">
        <v>-0.61790000000001999</v>
      </c>
      <c r="AF6375">
        <v>-0.54753557180438095</v>
      </c>
      <c r="AG6375">
        <v>-5.7582000000000001E-2</v>
      </c>
      <c r="AH6375">
        <v>0.61073096946059602</v>
      </c>
      <c r="AI6375">
        <v>94.015674395302796</v>
      </c>
      <c r="AJ6375">
        <v>131.87702011441201</v>
      </c>
      <c r="AK6375">
        <v>0.82225495205163102</v>
      </c>
      <c r="AL6375">
        <v>92.233842475582605</v>
      </c>
      <c r="AM6375">
        <v>110.50222516561701</v>
      </c>
      <c r="AN6375">
        <v>1.0000000098773401</v>
      </c>
    </row>
    <row r="6376" spans="1:40" x14ac:dyDescent="0.25">
      <c r="A6376" t="str">
        <f>"20190303153935661"</f>
        <v>20190303153935661</v>
      </c>
      <c r="B6376" t="str">
        <f>"1551598775655183"</f>
        <v>1551598775655183</v>
      </c>
      <c r="C6376" t="s">
        <v>40</v>
      </c>
      <c r="D6376">
        <v>4.169149</v>
      </c>
      <c r="E6376">
        <v>0.35774990000000001</v>
      </c>
      <c r="F6376" t="s">
        <v>68</v>
      </c>
      <c r="G6376">
        <v>-413.55840000000001</v>
      </c>
      <c r="H6376" s="1">
        <v>-6.17369E-6</v>
      </c>
      <c r="I6376">
        <v>129.804</v>
      </c>
      <c r="J6376">
        <v>-402.87759999999997</v>
      </c>
      <c r="K6376">
        <v>1.126403</v>
      </c>
      <c r="L6376">
        <v>141.05019999999999</v>
      </c>
      <c r="M6376">
        <v>-0.99212739999999999</v>
      </c>
      <c r="N6376">
        <v>-1.415773E-2</v>
      </c>
      <c r="O6376">
        <v>-0.1244302</v>
      </c>
      <c r="P6376">
        <v>-0.88387789999999999</v>
      </c>
      <c r="Q6376">
        <v>-4.8956340000000001E-2</v>
      </c>
      <c r="R6376">
        <v>-0.46514909999999998</v>
      </c>
      <c r="S6376">
        <v>-2.196075</v>
      </c>
      <c r="T6376">
        <v>-0.2269304</v>
      </c>
      <c r="U6376">
        <v>-2.2729490000000001</v>
      </c>
      <c r="V6376">
        <v>-0.35107369999999999</v>
      </c>
      <c r="W6376">
        <v>-4.0051049999999998E-2</v>
      </c>
      <c r="X6376">
        <v>0.93549090000000001</v>
      </c>
      <c r="Y6376">
        <v>-0.62538990000000005</v>
      </c>
      <c r="Z6376">
        <v>-2.2788030000000001E-2</v>
      </c>
      <c r="AA6376">
        <v>0.77997969999999905</v>
      </c>
      <c r="AB6376">
        <v>23</v>
      </c>
      <c r="AC6376">
        <v>-10.6808</v>
      </c>
      <c r="AD6376">
        <v>-1.1264091736899999</v>
      </c>
      <c r="AE6376">
        <v>-11.2461999999999</v>
      </c>
      <c r="AF6376">
        <v>-9.7780601454600298</v>
      </c>
      <c r="AG6376">
        <v>-1.1264091736899999</v>
      </c>
      <c r="AH6376">
        <v>11.9343363407423</v>
      </c>
      <c r="AI6376">
        <v>94.175659179825502</v>
      </c>
      <c r="AJ6376">
        <v>129.328504894589</v>
      </c>
      <c r="AK6376">
        <v>15.4695714785113</v>
      </c>
      <c r="AL6376">
        <v>92.295370009923303</v>
      </c>
      <c r="AM6376">
        <v>110.570252473446</v>
      </c>
      <c r="AN6376">
        <v>1.0000000267103</v>
      </c>
    </row>
    <row r="6377" spans="1:40" x14ac:dyDescent="0.25">
      <c r="A6377" t="str">
        <f>"20190303153935683"</f>
        <v>20190303153935683</v>
      </c>
      <c r="B6377" t="str">
        <f>"1551598775674707"</f>
        <v>1551598775674707</v>
      </c>
      <c r="C6377" t="s">
        <v>40</v>
      </c>
      <c r="D6377">
        <v>4.145524</v>
      </c>
      <c r="E6377">
        <v>0.35157139999999998</v>
      </c>
      <c r="F6377" t="s">
        <v>68</v>
      </c>
      <c r="G6377">
        <v>-412.58080000000001</v>
      </c>
      <c r="H6377" s="1">
        <v>-6.3452340000000003E-6</v>
      </c>
      <c r="I6377">
        <v>130.08590000000001</v>
      </c>
      <c r="J6377">
        <v>-403.09980000000002</v>
      </c>
      <c r="K6377">
        <v>1.1265400000000001</v>
      </c>
      <c r="L6377">
        <v>141.01249999999999</v>
      </c>
      <c r="M6377">
        <v>-0.99103030000000003</v>
      </c>
      <c r="N6377">
        <v>-1.4188070000000001E-2</v>
      </c>
      <c r="O6377">
        <v>-0.13288239999999901</v>
      </c>
      <c r="P6377">
        <v>-0.87834780000000001</v>
      </c>
      <c r="Q6377">
        <v>-4.8984300000000001E-2</v>
      </c>
      <c r="R6377">
        <v>-0.47550589999999998</v>
      </c>
      <c r="S6377">
        <v>-2.119904</v>
      </c>
      <c r="T6377">
        <v>-0.2460907</v>
      </c>
      <c r="U6377">
        <v>-2.3954010000000001</v>
      </c>
      <c r="V6377">
        <v>-0.35407870000000002</v>
      </c>
      <c r="W6377">
        <v>-4.0218619999999997E-2</v>
      </c>
      <c r="X6377">
        <v>0.93435040000000003</v>
      </c>
      <c r="Y6377">
        <v>-0.65213319999999997</v>
      </c>
      <c r="Z6377">
        <v>-2.5162790000000001E-2</v>
      </c>
      <c r="AA6377">
        <v>0.75768669999999905</v>
      </c>
      <c r="AB6377">
        <v>23</v>
      </c>
      <c r="AC6377">
        <v>-9.4809999999999892</v>
      </c>
      <c r="AD6377">
        <v>-1.1265463452340001</v>
      </c>
      <c r="AE6377">
        <v>-10.926599999999899</v>
      </c>
      <c r="AF6377">
        <v>-9.5120141039671608</v>
      </c>
      <c r="AG6377">
        <v>-1.1265463452340001</v>
      </c>
      <c r="AH6377">
        <v>10.7836091279417</v>
      </c>
      <c r="AI6377">
        <v>94.479683805589104</v>
      </c>
      <c r="AJ6377">
        <v>131.41489604696699</v>
      </c>
      <c r="AK6377">
        <v>14.4233749450764</v>
      </c>
      <c r="AL6377">
        <v>92.304978944181698</v>
      </c>
      <c r="AM6377">
        <v>110.75455791748399</v>
      </c>
      <c r="AN6377">
        <v>0.99999996658427603</v>
      </c>
    </row>
    <row r="6378" spans="1:40" x14ac:dyDescent="0.25">
      <c r="A6378" t="str">
        <f>"20190303153935704"</f>
        <v>20190303153935704</v>
      </c>
      <c r="B6378" t="str">
        <f>"1551598775695199"</f>
        <v>1551598775695199</v>
      </c>
      <c r="C6378" t="s">
        <v>40</v>
      </c>
      <c r="D6378">
        <v>4.13429</v>
      </c>
      <c r="E6378">
        <v>0.3490722</v>
      </c>
      <c r="F6378" t="s">
        <v>68</v>
      </c>
      <c r="G6378">
        <v>-412.23469999999998</v>
      </c>
      <c r="H6378" s="1">
        <v>-6.3848170000000001E-6</v>
      </c>
      <c r="I6378">
        <v>130.13380000000001</v>
      </c>
      <c r="J6378">
        <v>-403.30810000000002</v>
      </c>
      <c r="K6378">
        <v>1.1266879999999999</v>
      </c>
      <c r="L6378">
        <v>140.9752</v>
      </c>
      <c r="M6378">
        <v>-0.98989959999999999</v>
      </c>
      <c r="N6378">
        <v>-1.4219219999999999E-2</v>
      </c>
      <c r="O6378">
        <v>-0.14105580000000001</v>
      </c>
      <c r="P6378">
        <v>-0.87428280000000003</v>
      </c>
      <c r="Q6378">
        <v>-4.8326300000000003E-2</v>
      </c>
      <c r="R6378">
        <v>-0.48300559999999998</v>
      </c>
      <c r="S6378">
        <v>-2.067993</v>
      </c>
      <c r="T6378">
        <v>-0.25503089999999901</v>
      </c>
      <c r="U6378">
        <v>-2.4627690000000002</v>
      </c>
      <c r="V6378">
        <v>-0.35435489999999997</v>
      </c>
      <c r="W6378">
        <v>-3.9654380000000003E-2</v>
      </c>
      <c r="X6378">
        <v>0.93426980000000004</v>
      </c>
      <c r="Y6378">
        <v>-0.66529780000000005</v>
      </c>
      <c r="Z6378">
        <v>-2.6089040000000001E-2</v>
      </c>
      <c r="AA6378">
        <v>0.74612219999999996</v>
      </c>
      <c r="AB6378">
        <v>22</v>
      </c>
      <c r="AC6378">
        <v>-8.9265999999999401</v>
      </c>
      <c r="AD6378">
        <v>-1.1266943848169999</v>
      </c>
      <c r="AE6378">
        <v>-10.841399999999901</v>
      </c>
      <c r="AF6378">
        <v>-9.4131168247087</v>
      </c>
      <c r="AG6378">
        <v>-1.1266943848169999</v>
      </c>
      <c r="AH6378">
        <v>10.3004270243996</v>
      </c>
      <c r="AI6378">
        <v>94.616346495763594</v>
      </c>
      <c r="AJ6378">
        <v>132.42284595412201</v>
      </c>
      <c r="AK6378">
        <v>13.9991073100171</v>
      </c>
      <c r="AL6378">
        <v>92.272624570544707</v>
      </c>
      <c r="AM6378">
        <v>110.77100548554699</v>
      </c>
      <c r="AN6378">
        <v>0.99999996209961595</v>
      </c>
    </row>
    <row r="6379" spans="1:40" x14ac:dyDescent="0.25">
      <c r="A6379" t="str">
        <f>"20190303153935722"</f>
        <v>20190303153935722</v>
      </c>
      <c r="B6379" t="str">
        <f>"1551598775714719"</f>
        <v>1551598775714719</v>
      </c>
      <c r="C6379" t="s">
        <v>40</v>
      </c>
      <c r="D6379">
        <v>4.1121359999999996</v>
      </c>
      <c r="E6379">
        <v>0.34798459999999998</v>
      </c>
      <c r="F6379" t="s">
        <v>68</v>
      </c>
      <c r="G6379">
        <v>-412.26929999999999</v>
      </c>
      <c r="H6379" s="1">
        <v>-6.3240919999999999E-6</v>
      </c>
      <c r="I6379">
        <v>129.9896</v>
      </c>
      <c r="J6379">
        <v>-403.47070000000002</v>
      </c>
      <c r="K6379">
        <v>1.126808</v>
      </c>
      <c r="L6379">
        <v>140.94460000000001</v>
      </c>
      <c r="M6379">
        <v>-0.98894099999999996</v>
      </c>
      <c r="N6379">
        <v>-1.424548E-2</v>
      </c>
      <c r="O6379">
        <v>-0.14762439999999999</v>
      </c>
      <c r="P6379">
        <v>-0.87139560000000005</v>
      </c>
      <c r="Q6379">
        <v>-4.8090979999999998E-2</v>
      </c>
      <c r="R6379">
        <v>-0.48821809999999899</v>
      </c>
      <c r="S6379">
        <v>-2.0373839999999999</v>
      </c>
      <c r="T6379">
        <v>-0.25615969999999999</v>
      </c>
      <c r="U6379">
        <v>-2.4976349999999998</v>
      </c>
      <c r="V6379">
        <v>-0.35372199999999998</v>
      </c>
      <c r="W6379">
        <v>-3.948401E-2</v>
      </c>
      <c r="X6379">
        <v>0.93451680000000004</v>
      </c>
      <c r="Y6379">
        <v>-0.67091919999999905</v>
      </c>
      <c r="Z6379">
        <v>-2.60822E-2</v>
      </c>
      <c r="AA6379">
        <v>0.74107159999999905</v>
      </c>
      <c r="AB6379">
        <v>22</v>
      </c>
      <c r="AC6379">
        <v>-8.7985999999999596</v>
      </c>
      <c r="AD6379">
        <v>-1.1268143240919899</v>
      </c>
      <c r="AE6379">
        <v>-10.955</v>
      </c>
      <c r="AF6379">
        <v>-9.4749909850935801</v>
      </c>
      <c r="AG6379">
        <v>-1.1268143240919899</v>
      </c>
      <c r="AH6379">
        <v>10.2536237957454</v>
      </c>
      <c r="AI6379">
        <v>94.614397815357293</v>
      </c>
      <c r="AJ6379">
        <v>132.73987011515899</v>
      </c>
      <c r="AK6379">
        <v>14.0064972649574</v>
      </c>
      <c r="AL6379">
        <v>92.2628554762683</v>
      </c>
      <c r="AM6379">
        <v>110.73205067779099</v>
      </c>
      <c r="AN6379">
        <v>0.999999944905958</v>
      </c>
    </row>
    <row r="6380" spans="1:40" x14ac:dyDescent="0.25">
      <c r="A6380" t="str">
        <f>"20190303153935739"</f>
        <v>20190303153935739</v>
      </c>
      <c r="B6380" t="str">
        <f>"1551598775735215"</f>
        <v>1551598775735215</v>
      </c>
      <c r="C6380" t="s">
        <v>40</v>
      </c>
      <c r="D6380">
        <v>4.0959669999999999</v>
      </c>
      <c r="E6380">
        <v>0.34842319999999999</v>
      </c>
      <c r="F6380" t="s">
        <v>68</v>
      </c>
      <c r="G6380">
        <v>-412.36849999999998</v>
      </c>
      <c r="H6380" s="1">
        <v>-6.2598440000000001E-6</v>
      </c>
      <c r="I6380">
        <v>129.846</v>
      </c>
      <c r="J6380">
        <v>-403.63389999999998</v>
      </c>
      <c r="K6380">
        <v>1.1269340000000001</v>
      </c>
      <c r="L6380">
        <v>140.9126</v>
      </c>
      <c r="M6380">
        <v>-0.98790960000000005</v>
      </c>
      <c r="N6380">
        <v>-1.427288E-2</v>
      </c>
      <c r="O6380">
        <v>-0.15437379999999901</v>
      </c>
      <c r="P6380">
        <v>-0.86951279999999997</v>
      </c>
      <c r="Q6380">
        <v>-4.7673779999999999E-2</v>
      </c>
      <c r="R6380">
        <v>-0.4916046</v>
      </c>
      <c r="S6380">
        <v>-2.0182190000000002</v>
      </c>
      <c r="T6380">
        <v>-0.25558589999999998</v>
      </c>
      <c r="U6380">
        <v>-2.517395</v>
      </c>
      <c r="V6380">
        <v>-0.3509679</v>
      </c>
      <c r="W6380">
        <v>-3.9095680000000001E-2</v>
      </c>
      <c r="X6380">
        <v>0.93557100000000004</v>
      </c>
      <c r="Y6380">
        <v>-0.67216039999999999</v>
      </c>
      <c r="Z6380">
        <v>-2.5649789999999999E-2</v>
      </c>
      <c r="AA6380">
        <v>0.73996110000000004</v>
      </c>
      <c r="AB6380">
        <v>22</v>
      </c>
      <c r="AC6380">
        <v>-8.7346000000000004</v>
      </c>
      <c r="AD6380">
        <v>-1.1269402598439999</v>
      </c>
      <c r="AE6380">
        <v>-11.0665999999999</v>
      </c>
      <c r="AF6380">
        <v>-9.5245247375353195</v>
      </c>
      <c r="AG6380">
        <v>-1.1269402598439999</v>
      </c>
      <c r="AH6380">
        <v>10.272801500226</v>
      </c>
      <c r="AI6380">
        <v>94.599258012531806</v>
      </c>
      <c r="AJ6380">
        <v>132.83542983685001</v>
      </c>
      <c r="AK6380">
        <v>14.054074728996801</v>
      </c>
      <c r="AL6380">
        <v>92.240588448803805</v>
      </c>
      <c r="AM6380">
        <v>110.562958989121</v>
      </c>
      <c r="AN6380">
        <v>1.0000000175330299</v>
      </c>
    </row>
    <row r="6381" spans="1:40" x14ac:dyDescent="0.25">
      <c r="A6381" t="str">
        <f>"20190303153935760"</f>
        <v>20190303153935760</v>
      </c>
      <c r="B6381" t="str">
        <f>"1551598775754736"</f>
        <v>1551598775754736</v>
      </c>
      <c r="C6381" t="s">
        <v>40</v>
      </c>
      <c r="D6381">
        <v>4.0693530000000004</v>
      </c>
      <c r="E6381">
        <v>0.3488986</v>
      </c>
      <c r="F6381" t="s">
        <v>68</v>
      </c>
      <c r="G6381">
        <v>-412.21980000000002</v>
      </c>
      <c r="H6381" s="1">
        <v>-6.3888539999999999E-6</v>
      </c>
      <c r="I6381">
        <v>130.14160000000001</v>
      </c>
      <c r="J6381">
        <v>-403.85019999999997</v>
      </c>
      <c r="K6381">
        <v>1.1271009999999999</v>
      </c>
      <c r="L6381">
        <v>140.86799999999999</v>
      </c>
      <c r="M6381">
        <v>-0.98642770000000002</v>
      </c>
      <c r="N6381">
        <v>-1.431051E-2</v>
      </c>
      <c r="O6381">
        <v>-0.16357140000000001</v>
      </c>
      <c r="P6381">
        <v>-0.86558029999999997</v>
      </c>
      <c r="Q6381">
        <v>-4.8039810000000002E-2</v>
      </c>
      <c r="R6381">
        <v>-0.49846099999999999</v>
      </c>
      <c r="S6381">
        <v>-2.0100709999999999</v>
      </c>
      <c r="T6381">
        <v>-0.26383040000000002</v>
      </c>
      <c r="U6381">
        <v>-2.5216219999999998</v>
      </c>
      <c r="V6381">
        <v>-0.34962840000000001</v>
      </c>
      <c r="W6381">
        <v>-3.9543580000000002E-2</v>
      </c>
      <c r="X6381">
        <v>0.93605360000000004</v>
      </c>
      <c r="Y6381">
        <v>-0.66724989999999995</v>
      </c>
      <c r="Z6381">
        <v>-2.5224050000000001E-2</v>
      </c>
      <c r="AA6381">
        <v>0.74440680000000004</v>
      </c>
      <c r="AB6381">
        <v>22</v>
      </c>
      <c r="AC6381">
        <v>-8.3696000000000392</v>
      </c>
      <c r="AD6381">
        <v>-1.127107388854</v>
      </c>
      <c r="AE6381">
        <v>-10.7263999999999</v>
      </c>
      <c r="AF6381">
        <v>-9.1499387642809396</v>
      </c>
      <c r="AG6381">
        <v>-1.127107388854</v>
      </c>
      <c r="AH6381">
        <v>9.9433222692913699</v>
      </c>
      <c r="AI6381">
        <v>94.768085437538502</v>
      </c>
      <c r="AJ6381">
        <v>132.620553651036</v>
      </c>
      <c r="AK6381">
        <v>13.5595504426616</v>
      </c>
      <c r="AL6381">
        <v>92.266271066538593</v>
      </c>
      <c r="AM6381">
        <v>110.481325239838</v>
      </c>
      <c r="AN6381">
        <v>1.0000000274393599</v>
      </c>
    </row>
    <row r="6382" spans="1:40" x14ac:dyDescent="0.25">
      <c r="A6382" t="str">
        <f>"20190303153935784"</f>
        <v>20190303153935784</v>
      </c>
      <c r="B6382" t="str">
        <f>"1551598775775235"</f>
        <v>1551598775775235</v>
      </c>
      <c r="C6382" t="s">
        <v>40</v>
      </c>
      <c r="D6382">
        <v>4.078144</v>
      </c>
      <c r="E6382">
        <v>0.34899659999999999</v>
      </c>
      <c r="F6382" t="s">
        <v>68</v>
      </c>
      <c r="G6382">
        <v>-412.09059999999999</v>
      </c>
      <c r="H6382" s="1">
        <v>-6.4958830000000001E-6</v>
      </c>
      <c r="I6382">
        <v>130.38589999999999</v>
      </c>
      <c r="J6382">
        <v>-404.06799999999998</v>
      </c>
      <c r="K6382">
        <v>1.127257</v>
      </c>
      <c r="L6382">
        <v>140.82069999999999</v>
      </c>
      <c r="M6382">
        <v>-0.98479689999999998</v>
      </c>
      <c r="N6382">
        <v>-1.434907E-2</v>
      </c>
      <c r="O6382">
        <v>-0.17311589999999999</v>
      </c>
      <c r="P6382">
        <v>-0.86007180000000005</v>
      </c>
      <c r="Q6382">
        <v>-4.7777569999999998E-2</v>
      </c>
      <c r="R6382">
        <v>-0.50793100000000002</v>
      </c>
      <c r="S6382">
        <v>-1.99176</v>
      </c>
      <c r="T6382">
        <v>-0.27243040000000002</v>
      </c>
      <c r="U6382">
        <v>-2.5335999999999999</v>
      </c>
      <c r="V6382">
        <v>-0.35082269999999999</v>
      </c>
      <c r="W6382">
        <v>-3.9403319999999999E-2</v>
      </c>
      <c r="X6382">
        <v>0.93561260000000002</v>
      </c>
      <c r="Y6382">
        <v>-0.66498480000000004</v>
      </c>
      <c r="Z6382">
        <v>-2.4924100000000001E-2</v>
      </c>
      <c r="AA6382">
        <v>0.74644089999999996</v>
      </c>
      <c r="AB6382">
        <v>22</v>
      </c>
      <c r="AC6382">
        <v>-8.0225999999999509</v>
      </c>
      <c r="AD6382">
        <v>-1.1272634958829999</v>
      </c>
      <c r="AE6382">
        <v>-10.4347999999999</v>
      </c>
      <c r="AF6382">
        <v>-8.8235161876271402</v>
      </c>
      <c r="AG6382">
        <v>-1.1272634958829999</v>
      </c>
      <c r="AH6382">
        <v>9.6373735121409201</v>
      </c>
      <c r="AI6382">
        <v>94.930771044809106</v>
      </c>
      <c r="AJ6382">
        <v>132.47572211107001</v>
      </c>
      <c r="AK6382">
        <v>13.1150344686921</v>
      </c>
      <c r="AL6382">
        <v>92.258228412441099</v>
      </c>
      <c r="AM6382">
        <v>110.554325816465</v>
      </c>
      <c r="AN6382">
        <v>1.0000000628705299</v>
      </c>
    </row>
    <row r="6383" spans="1:40" x14ac:dyDescent="0.25">
      <c r="A6383" t="str">
        <f>"20190303153935805"</f>
        <v>20190303153935805</v>
      </c>
      <c r="B6383" t="str">
        <f>"1551598775794751"</f>
        <v>1551598775794751</v>
      </c>
      <c r="C6383" t="s">
        <v>40</v>
      </c>
      <c r="D6383">
        <v>4.0863019999999999</v>
      </c>
      <c r="E6383">
        <v>0.34862090000000001</v>
      </c>
      <c r="F6383" t="s">
        <v>68</v>
      </c>
      <c r="G6383">
        <v>-412.09190000000001</v>
      </c>
      <c r="H6383" s="1">
        <v>-6.495819E-6</v>
      </c>
      <c r="I6383">
        <v>130.38589999999999</v>
      </c>
      <c r="J6383">
        <v>-404.27339999999998</v>
      </c>
      <c r="K6383">
        <v>1.1273879999999901</v>
      </c>
      <c r="L6383">
        <v>140.77369999999999</v>
      </c>
      <c r="M6383">
        <v>-0.98312299999999997</v>
      </c>
      <c r="N6383">
        <v>-1.438496E-2</v>
      </c>
      <c r="O6383">
        <v>-0.1823796</v>
      </c>
      <c r="P6383">
        <v>-0.85419820000000002</v>
      </c>
      <c r="Q6383">
        <v>-4.6977720000000001E-2</v>
      </c>
      <c r="R6383">
        <v>-0.51782139999999999</v>
      </c>
      <c r="S6383">
        <v>-1.9642029999999999</v>
      </c>
      <c r="T6383">
        <v>-0.27594790000000002</v>
      </c>
      <c r="U6383">
        <v>-2.5543670000000001</v>
      </c>
      <c r="V6383">
        <v>-0.35279870000000002</v>
      </c>
      <c r="W6383">
        <v>-3.8724880000000003E-2</v>
      </c>
      <c r="X6383">
        <v>0.93489750000000005</v>
      </c>
      <c r="Y6383">
        <v>-0.6659195</v>
      </c>
      <c r="Z6383">
        <v>-2.4513489999999999E-2</v>
      </c>
      <c r="AA6383">
        <v>0.74562069999999903</v>
      </c>
      <c r="AB6383">
        <v>22</v>
      </c>
      <c r="AC6383">
        <v>-7.8185000000000198</v>
      </c>
      <c r="AD6383">
        <v>-1.1273944958190001</v>
      </c>
      <c r="AE6383">
        <v>-10.3878</v>
      </c>
      <c r="AF6383">
        <v>-8.7218771340831704</v>
      </c>
      <c r="AG6383">
        <v>-1.1273944958190001</v>
      </c>
      <c r="AH6383">
        <v>9.5105488895116697</v>
      </c>
      <c r="AI6383">
        <v>94.993003074062898</v>
      </c>
      <c r="AJ6383">
        <v>132.523126618861</v>
      </c>
      <c r="AK6383">
        <v>12.953482129181999</v>
      </c>
      <c r="AL6383">
        <v>92.219327251145799</v>
      </c>
      <c r="AM6383">
        <v>110.67481050793999</v>
      </c>
      <c r="AN6383">
        <v>0.999999937279475</v>
      </c>
    </row>
    <row r="6384" spans="1:40" x14ac:dyDescent="0.25">
      <c r="A6384" t="str">
        <f>"20190303153935828"</f>
        <v>20190303153935828</v>
      </c>
      <c r="B6384" t="str">
        <f>"1551598775825007"</f>
        <v>1551598775825007</v>
      </c>
      <c r="C6384" t="s">
        <v>40</v>
      </c>
      <c r="D6384">
        <v>4.0569629999999997</v>
      </c>
      <c r="E6384">
        <v>0.348850299999999</v>
      </c>
      <c r="F6384" t="s">
        <v>68</v>
      </c>
      <c r="G6384">
        <v>-412.2405</v>
      </c>
      <c r="H6384" s="1">
        <v>-6.3884399999999999E-6</v>
      </c>
      <c r="I6384">
        <v>130.14349999999999</v>
      </c>
      <c r="J6384">
        <v>-404.48939999999999</v>
      </c>
      <c r="K6384">
        <v>1.127513</v>
      </c>
      <c r="L6384">
        <v>140.7218</v>
      </c>
      <c r="M6384">
        <v>-0.98121230000000004</v>
      </c>
      <c r="N6384">
        <v>-1.4422590000000001E-2</v>
      </c>
      <c r="O6384">
        <v>-0.19239210000000001</v>
      </c>
      <c r="P6384">
        <v>-0.84763310000000003</v>
      </c>
      <c r="Q6384">
        <v>-4.5940750000000002E-2</v>
      </c>
      <c r="R6384">
        <v>-0.52859029999999996</v>
      </c>
      <c r="S6384">
        <v>-1.933289</v>
      </c>
      <c r="T6384">
        <v>-0.27357019999999999</v>
      </c>
      <c r="U6384">
        <v>-2.5794980000000001</v>
      </c>
      <c r="V6384">
        <v>-0.35509079999999998</v>
      </c>
      <c r="W6384">
        <v>-3.7811499999999998E-2</v>
      </c>
      <c r="X6384">
        <v>0.93406679999999997</v>
      </c>
      <c r="Y6384">
        <v>-0.66758519999999999</v>
      </c>
      <c r="Z6384">
        <v>-2.3733290000000001E-2</v>
      </c>
      <c r="AA6384">
        <v>0.74415500000000001</v>
      </c>
      <c r="AB6384">
        <v>22</v>
      </c>
      <c r="AC6384">
        <v>-7.7511000000000001</v>
      </c>
      <c r="AD6384">
        <v>-1.1275193884400001</v>
      </c>
      <c r="AE6384">
        <v>-10.5783</v>
      </c>
      <c r="AF6384">
        <v>-8.8240026152248792</v>
      </c>
      <c r="AG6384">
        <v>-1.1275193884400001</v>
      </c>
      <c r="AH6384">
        <v>9.5709078751083396</v>
      </c>
      <c r="AI6384">
        <v>94.950211696532804</v>
      </c>
      <c r="AJ6384">
        <v>132.674844668128</v>
      </c>
      <c r="AK6384">
        <v>13.0666215862637</v>
      </c>
      <c r="AL6384">
        <v>92.166955958962902</v>
      </c>
      <c r="AM6384">
        <v>110.814584944291</v>
      </c>
      <c r="AN6384">
        <v>0.99999998631956399</v>
      </c>
    </row>
    <row r="6385" spans="1:40" x14ac:dyDescent="0.25">
      <c r="A6385" t="str">
        <f>"20190303153935851"</f>
        <v>20190303153935851</v>
      </c>
      <c r="B6385" t="str">
        <f>"1551598775844528"</f>
        <v>1551598775844528</v>
      </c>
      <c r="C6385" t="s">
        <v>40</v>
      </c>
      <c r="D6385">
        <v>4.0041169999999999</v>
      </c>
      <c r="E6385">
        <v>0.34886869999999998</v>
      </c>
      <c r="F6385" t="s">
        <v>68</v>
      </c>
      <c r="G6385">
        <v>-412.40469999999999</v>
      </c>
      <c r="H6385" s="1">
        <v>-6.2769820000000001E-6</v>
      </c>
      <c r="I6385">
        <v>129.89320000000001</v>
      </c>
      <c r="J6385">
        <v>-404.70310000000001</v>
      </c>
      <c r="K6385">
        <v>1.1276250000000001</v>
      </c>
      <c r="L6385">
        <v>140.6678</v>
      </c>
      <c r="M6385">
        <v>-0.97916000000000003</v>
      </c>
      <c r="N6385">
        <v>-1.4460310000000001E-2</v>
      </c>
      <c r="O6385">
        <v>-0.2025748</v>
      </c>
      <c r="P6385">
        <v>-0.84048049999999996</v>
      </c>
      <c r="Q6385">
        <v>-4.599603E-2</v>
      </c>
      <c r="R6385">
        <v>-0.53988590000000003</v>
      </c>
      <c r="S6385">
        <v>-1.9019779999999999</v>
      </c>
      <c r="T6385">
        <v>-0.27093289999999998</v>
      </c>
      <c r="U6385">
        <v>-2.60202</v>
      </c>
      <c r="V6385">
        <v>-0.35787219999999997</v>
      </c>
      <c r="W6385">
        <v>-3.799201E-2</v>
      </c>
      <c r="X6385">
        <v>0.93299730000000003</v>
      </c>
      <c r="Y6385">
        <v>-0.66881699999999999</v>
      </c>
      <c r="Z6385">
        <v>-2.2913389999999999E-2</v>
      </c>
      <c r="AA6385">
        <v>0.74307389999999995</v>
      </c>
      <c r="AB6385">
        <v>22</v>
      </c>
      <c r="AC6385">
        <v>-7.7015999999999796</v>
      </c>
      <c r="AD6385">
        <v>-1.1276312769820001</v>
      </c>
      <c r="AE6385">
        <v>-10.7745999999999</v>
      </c>
      <c r="AF6385">
        <v>-8.9261404066143495</v>
      </c>
      <c r="AG6385">
        <v>-1.1276312769820001</v>
      </c>
      <c r="AH6385">
        <v>9.6547889037415704</v>
      </c>
      <c r="AI6385">
        <v>94.901650279551006</v>
      </c>
      <c r="AJ6385">
        <v>132.75430484030301</v>
      </c>
      <c r="AK6385">
        <v>13.1970634472685</v>
      </c>
      <c r="AL6385">
        <v>92.177305972957697</v>
      </c>
      <c r="AM6385">
        <v>110.985445058908</v>
      </c>
      <c r="AN6385">
        <v>0.99999993308198198</v>
      </c>
    </row>
    <row r="6386" spans="1:40" x14ac:dyDescent="0.25">
      <c r="A6386" t="str">
        <f>"20190303153935872"</f>
        <v>20190303153935872</v>
      </c>
      <c r="B6386" t="str">
        <f>"1551598775865023"</f>
        <v>1551598775865023</v>
      </c>
      <c r="C6386" t="s">
        <v>40</v>
      </c>
      <c r="D6386">
        <v>4.0587809999999998</v>
      </c>
      <c r="E6386">
        <v>0.34893180000000001</v>
      </c>
      <c r="F6386" t="s">
        <v>68</v>
      </c>
      <c r="G6386">
        <v>-412.47269999999997</v>
      </c>
      <c r="H6386" s="1">
        <v>-6.208334E-6</v>
      </c>
      <c r="I6386">
        <v>129.73439999999999</v>
      </c>
      <c r="J6386">
        <v>-404.91160000000002</v>
      </c>
      <c r="K6386">
        <v>1.127723</v>
      </c>
      <c r="L6386">
        <v>140.61250000000001</v>
      </c>
      <c r="M6386">
        <v>-0.97700319999999996</v>
      </c>
      <c r="N6386">
        <v>-1.44964E-2</v>
      </c>
      <c r="O6386">
        <v>-0.2127319</v>
      </c>
      <c r="P6386">
        <v>-0.83267209999999903</v>
      </c>
      <c r="Q6386">
        <v>-4.7336089999999997E-2</v>
      </c>
      <c r="R6386">
        <v>-0.5517396</v>
      </c>
      <c r="S6386">
        <v>-1.8669739999999999</v>
      </c>
      <c r="T6386">
        <v>-0.27096019999999998</v>
      </c>
      <c r="U6386">
        <v>-2.6272129999999998</v>
      </c>
      <c r="V6386">
        <v>-0.36138320000000002</v>
      </c>
      <c r="W6386">
        <v>-3.946334E-2</v>
      </c>
      <c r="X6386">
        <v>0.93158189999999996</v>
      </c>
      <c r="Y6386">
        <v>-0.67105669999999995</v>
      </c>
      <c r="Z6386">
        <v>-2.2314759999999999E-2</v>
      </c>
      <c r="AA6386">
        <v>0.74107019999999901</v>
      </c>
      <c r="AB6386">
        <v>22</v>
      </c>
      <c r="AC6386">
        <v>-7.56109999999995</v>
      </c>
      <c r="AD6386">
        <v>-1.127729208334</v>
      </c>
      <c r="AE6386">
        <v>-10.8781</v>
      </c>
      <c r="AF6386">
        <v>-8.9555025524566094</v>
      </c>
      <c r="AG6386">
        <v>-1.127729208334</v>
      </c>
      <c r="AH6386">
        <v>9.6325543472986492</v>
      </c>
      <c r="AI6386">
        <v>94.900717331175699</v>
      </c>
      <c r="AJ6386">
        <v>132.91397945042601</v>
      </c>
      <c r="AK6386">
        <v>13.2007159801295</v>
      </c>
      <c r="AL6386">
        <v>92.261670114000097</v>
      </c>
      <c r="AM6386">
        <v>111.202480240117</v>
      </c>
      <c r="AN6386">
        <v>1.0000000044269</v>
      </c>
    </row>
    <row r="6387" spans="1:40" x14ac:dyDescent="0.25">
      <c r="A6387" t="str">
        <f>"20190303153935895"</f>
        <v>20190303153935895</v>
      </c>
      <c r="B6387" t="str">
        <f>"1551598775884543"</f>
        <v>1551598775884543</v>
      </c>
      <c r="C6387" t="s">
        <v>40</v>
      </c>
      <c r="D6387">
        <v>4.0539860000000001</v>
      </c>
      <c r="E6387">
        <v>0.34907389999999999</v>
      </c>
      <c r="F6387" t="s">
        <v>68</v>
      </c>
      <c r="G6387">
        <v>-412.47239999999999</v>
      </c>
      <c r="H6387" s="1">
        <v>-6.1726430000000001E-6</v>
      </c>
      <c r="I6387">
        <v>129.64670000000001</v>
      </c>
      <c r="J6387">
        <v>-405.11649999999997</v>
      </c>
      <c r="K6387">
        <v>1.1277919999999999</v>
      </c>
      <c r="L6387">
        <v>140.5556</v>
      </c>
      <c r="M6387">
        <v>-0.97473750000000003</v>
      </c>
      <c r="N6387">
        <v>-1.452897E-2</v>
      </c>
      <c r="O6387">
        <v>-0.22288060000000001</v>
      </c>
      <c r="P6387">
        <v>-0.82463739999999996</v>
      </c>
      <c r="Q6387">
        <v>-4.8160469999999997E-2</v>
      </c>
      <c r="R6387">
        <v>-0.56360790000000005</v>
      </c>
      <c r="S6387">
        <v>-1.8293459999999999</v>
      </c>
      <c r="T6387">
        <v>-0.27285219999999999</v>
      </c>
      <c r="U6387">
        <v>-2.653152</v>
      </c>
      <c r="V6387">
        <v>-0.3650217</v>
      </c>
      <c r="W6387">
        <v>-4.0405799999999999E-2</v>
      </c>
      <c r="X6387">
        <v>0.9301218</v>
      </c>
      <c r="Y6387">
        <v>-0.67384160000000004</v>
      </c>
      <c r="Z6387">
        <v>-2.1842489999999999E-2</v>
      </c>
      <c r="AA6387">
        <v>0.73855289999999996</v>
      </c>
      <c r="AB6387">
        <v>22</v>
      </c>
      <c r="AC6387">
        <v>-7.3559000000000099</v>
      </c>
      <c r="AD6387">
        <v>-1.127798172643</v>
      </c>
      <c r="AE6387">
        <v>-10.9088999999999</v>
      </c>
      <c r="AF6387">
        <v>-8.92916975184888</v>
      </c>
      <c r="AG6387">
        <v>-1.127798172643</v>
      </c>
      <c r="AH6387">
        <v>9.5324287556659897</v>
      </c>
      <c r="AI6387">
        <v>94.935056423354496</v>
      </c>
      <c r="AJ6387">
        <v>133.12844479442199</v>
      </c>
      <c r="AK6387">
        <v>13.1098893648038</v>
      </c>
      <c r="AL6387">
        <v>92.315712177726496</v>
      </c>
      <c r="AM6387">
        <v>111.427279328631</v>
      </c>
      <c r="AN6387">
        <v>1.0000000164898799</v>
      </c>
    </row>
    <row r="6388" spans="1:40" x14ac:dyDescent="0.25">
      <c r="A6388" t="str">
        <f>"20190303153935917"</f>
        <v>20190303153935917</v>
      </c>
      <c r="B6388" t="str">
        <f>"1551598775905040"</f>
        <v>1551598775905040</v>
      </c>
      <c r="C6388" t="s">
        <v>40</v>
      </c>
      <c r="D6388">
        <v>4.0322849999999999</v>
      </c>
      <c r="E6388">
        <v>0.34915249999999998</v>
      </c>
      <c r="F6388" t="s">
        <v>68</v>
      </c>
      <c r="G6388">
        <v>-412.4984</v>
      </c>
      <c r="H6388" s="1">
        <v>-6.1099170000000004E-6</v>
      </c>
      <c r="I6388">
        <v>129.5205</v>
      </c>
      <c r="J6388">
        <v>-405.32380000000001</v>
      </c>
      <c r="K6388">
        <v>1.1278539999999999</v>
      </c>
      <c r="L6388">
        <v>140.4956</v>
      </c>
      <c r="M6388">
        <v>-0.97229840000000001</v>
      </c>
      <c r="N6388">
        <v>-1.4557560000000001E-2</v>
      </c>
      <c r="O6388">
        <v>-0.2332893</v>
      </c>
      <c r="P6388">
        <v>-0.81604779999999999</v>
      </c>
      <c r="Q6388">
        <v>-4.9642039999999998E-2</v>
      </c>
      <c r="R6388">
        <v>-0.5758489</v>
      </c>
      <c r="S6388">
        <v>-1.7915650000000001</v>
      </c>
      <c r="T6388">
        <v>-0.27371069999999997</v>
      </c>
      <c r="U6388">
        <v>-2.6781769999999998</v>
      </c>
      <c r="V6388">
        <v>-0.36893959999999998</v>
      </c>
      <c r="W6388">
        <v>-4.1999830000000002E-2</v>
      </c>
      <c r="X6388">
        <v>0.92850390000000005</v>
      </c>
      <c r="Y6388">
        <v>-0.67633180000000004</v>
      </c>
      <c r="Z6388">
        <v>-2.1264640000000001E-2</v>
      </c>
      <c r="AA6388">
        <v>0.73629019999999901</v>
      </c>
      <c r="AB6388">
        <v>22</v>
      </c>
      <c r="AC6388">
        <v>-7.1745999999999901</v>
      </c>
      <c r="AD6388">
        <v>-1.127860109917</v>
      </c>
      <c r="AE6388">
        <v>-10.9750999999999</v>
      </c>
      <c r="AF6388">
        <v>-8.9321803612955399</v>
      </c>
      <c r="AG6388">
        <v>-1.127860109917</v>
      </c>
      <c r="AH6388">
        <v>9.4671897556444708</v>
      </c>
      <c r="AI6388">
        <v>94.9524820225121</v>
      </c>
      <c r="AJ6388">
        <v>133.33444595337701</v>
      </c>
      <c r="AK6388">
        <v>13.0645932314647</v>
      </c>
      <c r="AL6388">
        <v>92.407121153763796</v>
      </c>
      <c r="AM6388">
        <v>111.67032285219</v>
      </c>
      <c r="AN6388">
        <v>0.99999995324169799</v>
      </c>
    </row>
    <row r="6389" spans="1:40" x14ac:dyDescent="0.25">
      <c r="A6389" t="str">
        <f>"20190303153935940"</f>
        <v>20190303153935940</v>
      </c>
      <c r="B6389" t="str">
        <f>"1551598775935299"</f>
        <v>1551598775935299</v>
      </c>
      <c r="C6389" t="s">
        <v>40</v>
      </c>
      <c r="D6389">
        <v>4.0214800000000004</v>
      </c>
      <c r="E6389">
        <v>0.34962700000000002</v>
      </c>
      <c r="F6389" t="s">
        <v>68</v>
      </c>
      <c r="G6389">
        <v>-412.50200000000001</v>
      </c>
      <c r="H6389" s="1">
        <v>-6.0547930000000001E-6</v>
      </c>
      <c r="I6389">
        <v>129.4127</v>
      </c>
      <c r="J6389">
        <v>-405.53339999999997</v>
      </c>
      <c r="K6389">
        <v>1.1278900000000001</v>
      </c>
      <c r="L6389">
        <v>140.4323</v>
      </c>
      <c r="M6389">
        <v>-0.96967610000000004</v>
      </c>
      <c r="N6389">
        <v>-1.4582879999999999E-2</v>
      </c>
      <c r="O6389">
        <v>-0.24395800000000001</v>
      </c>
      <c r="P6389">
        <v>-0.80779290000000004</v>
      </c>
      <c r="Q6389">
        <v>-5.0043610000000002E-2</v>
      </c>
      <c r="R6389">
        <v>-0.58733800000000003</v>
      </c>
      <c r="S6389">
        <v>-1.7513729999999901</v>
      </c>
      <c r="T6389">
        <v>-0.27518110000000001</v>
      </c>
      <c r="U6389">
        <v>-2.7040709999999999</v>
      </c>
      <c r="V6389">
        <v>-0.37186780000000003</v>
      </c>
      <c r="W6389">
        <v>-4.2482300000000001E-2</v>
      </c>
      <c r="X6389">
        <v>0.9273131</v>
      </c>
      <c r="Y6389">
        <v>-0.67915809999999999</v>
      </c>
      <c r="Z6389">
        <v>-2.0705620000000001E-2</v>
      </c>
      <c r="AA6389">
        <v>0.73370000000000002</v>
      </c>
      <c r="AB6389">
        <v>22</v>
      </c>
      <c r="AC6389">
        <v>-6.9685999999999799</v>
      </c>
      <c r="AD6389">
        <v>-1.1278960547929999</v>
      </c>
      <c r="AE6389">
        <v>-11.019599999999899</v>
      </c>
      <c r="AF6389">
        <v>-8.91960280970161</v>
      </c>
      <c r="AG6389">
        <v>-1.1278960547929999</v>
      </c>
      <c r="AH6389">
        <v>9.3764404243839206</v>
      </c>
      <c r="AI6389">
        <v>94.981018595583606</v>
      </c>
      <c r="AJ6389">
        <v>133.569667262324</v>
      </c>
      <c r="AK6389">
        <v>12.990346370488901</v>
      </c>
      <c r="AL6389">
        <v>92.434789241298404</v>
      </c>
      <c r="AM6389">
        <v>111.85159691557</v>
      </c>
      <c r="AN6389">
        <v>0.99999999596086997</v>
      </c>
    </row>
    <row r="6390" spans="1:40" x14ac:dyDescent="0.25">
      <c r="A6390" t="str">
        <f>"20190303153935962"</f>
        <v>20190303153935962</v>
      </c>
      <c r="B6390" t="str">
        <f>"1551598775954815"</f>
        <v>1551598775954815</v>
      </c>
      <c r="C6390" t="s">
        <v>40</v>
      </c>
      <c r="D6390">
        <v>4.031174</v>
      </c>
      <c r="E6390">
        <v>0.34989340000000002</v>
      </c>
      <c r="F6390" t="s">
        <v>68</v>
      </c>
      <c r="G6390">
        <v>-412.60910000000001</v>
      </c>
      <c r="H6390" s="1">
        <v>-5.9339269999999997E-6</v>
      </c>
      <c r="I6390">
        <v>129.18770000000001</v>
      </c>
      <c r="J6390">
        <v>-405.73570000000001</v>
      </c>
      <c r="K6390">
        <v>1.1279189999999999</v>
      </c>
      <c r="L6390">
        <v>140.36869999999999</v>
      </c>
      <c r="M6390">
        <v>-0.96699579999999996</v>
      </c>
      <c r="N6390">
        <v>-1.4605999999999999E-2</v>
      </c>
      <c r="O6390">
        <v>-0.25437340000000003</v>
      </c>
      <c r="P6390">
        <v>-0.80017249999999995</v>
      </c>
      <c r="Q6390">
        <v>-5.113931E-2</v>
      </c>
      <c r="R6390">
        <v>-0.59758559999999905</v>
      </c>
      <c r="S6390">
        <v>-1.7151179999999999</v>
      </c>
      <c r="T6390">
        <v>-0.27339580000000002</v>
      </c>
      <c r="U6390">
        <v>-2.7256320000000001</v>
      </c>
      <c r="V6390">
        <v>-0.3737066</v>
      </c>
      <c r="W6390">
        <v>-4.3630559999999999E-2</v>
      </c>
      <c r="X6390">
        <v>0.92652020000000002</v>
      </c>
      <c r="Y6390">
        <v>-0.68091199999999996</v>
      </c>
      <c r="Z6390">
        <v>-1.9946180000000001E-2</v>
      </c>
      <c r="AA6390">
        <v>0.73209360000000001</v>
      </c>
      <c r="AB6390">
        <v>22</v>
      </c>
      <c r="AC6390">
        <v>-6.8734000000000002</v>
      </c>
      <c r="AD6390">
        <v>-1.1279249339270001</v>
      </c>
      <c r="AE6390">
        <v>-11.1809999999999</v>
      </c>
      <c r="AF6390">
        <v>-8.9980813323972804</v>
      </c>
      <c r="AG6390">
        <v>-1.1279249339270001</v>
      </c>
      <c r="AH6390">
        <v>9.4221231354030301</v>
      </c>
      <c r="AI6390">
        <v>94.947967426553603</v>
      </c>
      <c r="AJ6390">
        <v>133.68125702591601</v>
      </c>
      <c r="AK6390">
        <v>13.077235437955</v>
      </c>
      <c r="AL6390">
        <v>92.5006408428317</v>
      </c>
      <c r="AM6390">
        <v>111.966401270216</v>
      </c>
      <c r="AN6390">
        <v>0.99999996482875597</v>
      </c>
    </row>
    <row r="6391" spans="1:40" x14ac:dyDescent="0.25">
      <c r="A6391" t="str">
        <f>"20190303153935979"</f>
        <v>20190303153935979</v>
      </c>
      <c r="B6391" t="str">
        <f>"1551598775975312"</f>
        <v>1551598775975312</v>
      </c>
      <c r="C6391" t="s">
        <v>40</v>
      </c>
      <c r="D6391">
        <v>4.0264769999999999</v>
      </c>
      <c r="E6391">
        <v>0.3502344</v>
      </c>
      <c r="F6391" t="s">
        <v>68</v>
      </c>
      <c r="G6391">
        <v>-412.68</v>
      </c>
      <c r="H6391" s="1">
        <v>-5.8483060000000001E-6</v>
      </c>
      <c r="I6391">
        <v>129.02770000000001</v>
      </c>
      <c r="J6391">
        <v>-405.89409999999998</v>
      </c>
      <c r="K6391">
        <v>1.1279399999999999</v>
      </c>
      <c r="L6391">
        <v>140.31700000000001</v>
      </c>
      <c r="M6391">
        <v>-0.96478929999999996</v>
      </c>
      <c r="N6391">
        <v>-1.462391E-2</v>
      </c>
      <c r="O6391">
        <v>-0.2626172</v>
      </c>
      <c r="P6391">
        <v>-0.79492189999999996</v>
      </c>
      <c r="Q6391">
        <v>-5.2068290000000003E-2</v>
      </c>
      <c r="R6391">
        <v>-0.6044735</v>
      </c>
      <c r="S6391">
        <v>-1.6812130000000001</v>
      </c>
      <c r="T6391">
        <v>-0.27306989999999998</v>
      </c>
      <c r="U6391">
        <v>-2.7456360000000002</v>
      </c>
      <c r="V6391">
        <v>-0.3737975</v>
      </c>
      <c r="W6391">
        <v>-4.4571560000000003E-2</v>
      </c>
      <c r="X6391">
        <v>0.92643880000000001</v>
      </c>
      <c r="Y6391">
        <v>-0.68361959999999999</v>
      </c>
      <c r="Z6391">
        <v>-1.9488450000000001E-2</v>
      </c>
      <c r="AA6391">
        <v>0.72957830000000001</v>
      </c>
      <c r="AB6391">
        <v>22</v>
      </c>
      <c r="AC6391">
        <v>-6.7859000000000202</v>
      </c>
      <c r="AD6391">
        <v>-1.1279458483060001</v>
      </c>
      <c r="AE6391">
        <v>-11.2892999999999</v>
      </c>
      <c r="AF6391">
        <v>-9.0443530515334203</v>
      </c>
      <c r="AG6391">
        <v>-1.1279458483060001</v>
      </c>
      <c r="AH6391">
        <v>9.4434953830498891</v>
      </c>
      <c r="AI6391">
        <v>94.930200494517607</v>
      </c>
      <c r="AJ6391">
        <v>133.76320822524301</v>
      </c>
      <c r="AK6391">
        <v>13.124488142673499</v>
      </c>
      <c r="AL6391">
        <v>92.554608534351104</v>
      </c>
      <c r="AM6391">
        <v>111.972982482877</v>
      </c>
      <c r="AN6391">
        <v>1.00000002255626</v>
      </c>
    </row>
    <row r="6392" spans="1:40" x14ac:dyDescent="0.25">
      <c r="A6392" t="str">
        <f>"20190303153935995"</f>
        <v>20190303153935995</v>
      </c>
      <c r="B6392" t="str">
        <f>"1551598775985072"</f>
        <v>1551598775985072</v>
      </c>
      <c r="C6392" t="s">
        <v>40</v>
      </c>
      <c r="D6392">
        <v>4.0150180000000004</v>
      </c>
      <c r="E6392">
        <v>0.35044750000000002</v>
      </c>
      <c r="F6392" t="s">
        <v>68</v>
      </c>
      <c r="G6392">
        <v>-412.74270000000001</v>
      </c>
      <c r="H6392" s="1">
        <v>-5.7949750000000004E-6</v>
      </c>
      <c r="I6392">
        <v>128.93020000000001</v>
      </c>
      <c r="J6392">
        <v>-406.0401</v>
      </c>
      <c r="K6392">
        <v>1.1279600000000001</v>
      </c>
      <c r="L6392">
        <v>140.2681</v>
      </c>
      <c r="M6392">
        <v>-0.96267210000000003</v>
      </c>
      <c r="N6392">
        <v>-1.4640210000000001E-2</v>
      </c>
      <c r="O6392">
        <v>-0.27027420000000002</v>
      </c>
      <c r="P6392">
        <v>-0.78996560000000005</v>
      </c>
      <c r="Q6392">
        <v>-5.372329E-2</v>
      </c>
      <c r="R6392">
        <v>-0.61079319999999904</v>
      </c>
      <c r="S6392">
        <v>-1.6588130000000001</v>
      </c>
      <c r="T6392">
        <v>-0.27320029999999901</v>
      </c>
      <c r="U6392">
        <v>-2.7580110000000002</v>
      </c>
      <c r="V6392">
        <v>-0.37382530000000003</v>
      </c>
      <c r="W6392">
        <v>-4.6239410000000002E-2</v>
      </c>
      <c r="X6392">
        <v>0.9263458</v>
      </c>
      <c r="Y6392">
        <v>-0.68363949999999996</v>
      </c>
      <c r="Z6392">
        <v>-1.8887520000000001E-2</v>
      </c>
      <c r="AA6392">
        <v>0.72957550000000004</v>
      </c>
      <c r="AB6392">
        <v>22</v>
      </c>
      <c r="AC6392">
        <v>-6.7026000000000101</v>
      </c>
      <c r="AD6392">
        <v>-1.1279657949749999</v>
      </c>
      <c r="AE6392">
        <v>-11.3378999999999</v>
      </c>
      <c r="AF6392">
        <v>-9.0378292212929594</v>
      </c>
      <c r="AG6392">
        <v>-1.1279657949749999</v>
      </c>
      <c r="AH6392">
        <v>9.4484694922584591</v>
      </c>
      <c r="AI6392">
        <v>94.930631526459806</v>
      </c>
      <c r="AJ6392">
        <v>133.72748535787699</v>
      </c>
      <c r="AK6392">
        <v>13.1235757175409</v>
      </c>
      <c r="AL6392">
        <v>92.650268056110306</v>
      </c>
      <c r="AM6392">
        <v>111.976457084207</v>
      </c>
      <c r="AN6392">
        <v>0.99999998956743896</v>
      </c>
    </row>
    <row r="6393" spans="1:40" x14ac:dyDescent="0.25">
      <c r="A6393" t="str">
        <f>"20190303153936018"</f>
        <v>20190303153936018</v>
      </c>
      <c r="B6393" t="str">
        <f>"1551598776015328"</f>
        <v>1551598776015328</v>
      </c>
      <c r="C6393" t="s">
        <v>40</v>
      </c>
      <c r="D6393">
        <v>4.025544</v>
      </c>
      <c r="E6393">
        <v>0.35044370000000002</v>
      </c>
      <c r="F6393" t="s">
        <v>68</v>
      </c>
      <c r="G6393">
        <v>-412.70659999999998</v>
      </c>
      <c r="H6393" s="1">
        <v>-5.8281570000000002E-6</v>
      </c>
      <c r="I6393">
        <v>128.99119999999999</v>
      </c>
      <c r="J6393">
        <v>-406.24430000000001</v>
      </c>
      <c r="K6393">
        <v>1.1279939999999999</v>
      </c>
      <c r="L6393">
        <v>140.19730000000001</v>
      </c>
      <c r="M6393">
        <v>-0.95957009999999998</v>
      </c>
      <c r="N6393">
        <v>-1.466257E-2</v>
      </c>
      <c r="O6393">
        <v>-0.28108810000000001</v>
      </c>
      <c r="P6393">
        <v>-0.78318880000000002</v>
      </c>
      <c r="Q6393">
        <v>-5.6010850000000001E-2</v>
      </c>
      <c r="R6393">
        <v>-0.61925600000000003</v>
      </c>
      <c r="S6393">
        <v>-1.637329</v>
      </c>
      <c r="T6393">
        <v>-0.27703450000000002</v>
      </c>
      <c r="U6393">
        <v>-2.7696689999999999</v>
      </c>
      <c r="V6393">
        <v>-0.37337189999999998</v>
      </c>
      <c r="W6393">
        <v>-4.853876E-2</v>
      </c>
      <c r="X6393">
        <v>0.92641099999999998</v>
      </c>
      <c r="Y6393">
        <v>-0.68096540000000005</v>
      </c>
      <c r="Z6393">
        <v>-1.7935779999999998E-2</v>
      </c>
      <c r="AA6393">
        <v>0.73209599999999997</v>
      </c>
      <c r="AB6393">
        <v>22</v>
      </c>
      <c r="AC6393">
        <v>-6.4622999999999697</v>
      </c>
      <c r="AD6393">
        <v>-1.1279998281569901</v>
      </c>
      <c r="AE6393">
        <v>-11.206099999999999</v>
      </c>
      <c r="AF6393">
        <v>-8.8700772012605391</v>
      </c>
      <c r="AG6393">
        <v>-1.1279998281569901</v>
      </c>
      <c r="AH6393">
        <v>9.2813627558578702</v>
      </c>
      <c r="AI6393">
        <v>95.021232099431202</v>
      </c>
      <c r="AJ6393">
        <v>133.70198205080399</v>
      </c>
      <c r="AK6393">
        <v>12.8877596103616</v>
      </c>
      <c r="AL6393">
        <v>92.782159387802494</v>
      </c>
      <c r="AM6393">
        <v>111.950938723051</v>
      </c>
      <c r="AN6393">
        <v>0.99999996392647295</v>
      </c>
    </row>
    <row r="6394" spans="1:40" x14ac:dyDescent="0.25">
      <c r="A6394" t="str">
        <f>"20190303153936041"</f>
        <v>20190303153936041</v>
      </c>
      <c r="B6394" t="str">
        <f>"1551598776034847"</f>
        <v>1551598776034847</v>
      </c>
      <c r="C6394" t="s">
        <v>40</v>
      </c>
      <c r="D6394">
        <v>3.9471780000000001</v>
      </c>
      <c r="E6394">
        <v>0.32869080000000001</v>
      </c>
      <c r="F6394" t="s">
        <v>68</v>
      </c>
      <c r="G6394">
        <v>-412.61219999999997</v>
      </c>
      <c r="H6394" s="1">
        <v>-5.9142379999999998E-6</v>
      </c>
      <c r="I6394">
        <v>129.14940000000001</v>
      </c>
      <c r="J6394">
        <v>-406.45249999999999</v>
      </c>
      <c r="K6394">
        <v>1.1280319999999999</v>
      </c>
      <c r="L6394">
        <v>140.12219999999999</v>
      </c>
      <c r="M6394">
        <v>-0.95623290000000005</v>
      </c>
      <c r="N6394">
        <v>-1.468446E-2</v>
      </c>
      <c r="O6394">
        <v>-0.29223860000000002</v>
      </c>
      <c r="P6394">
        <v>-0.77641669999999996</v>
      </c>
      <c r="Q6394">
        <v>-5.737163E-2</v>
      </c>
      <c r="R6394">
        <v>-0.62760369999999999</v>
      </c>
      <c r="S6394">
        <v>-1.6064149999999999</v>
      </c>
      <c r="T6394">
        <v>-0.28455839999999999</v>
      </c>
      <c r="U6394">
        <v>-2.7870330000000001</v>
      </c>
      <c r="V6394">
        <v>-0.37250549999999999</v>
      </c>
      <c r="W6394">
        <v>-4.9903879999999998E-2</v>
      </c>
      <c r="X6394">
        <v>0.92668720000000004</v>
      </c>
      <c r="Y6394">
        <v>-0.68045710000000004</v>
      </c>
      <c r="Z6394">
        <v>-1.7179179999999999E-2</v>
      </c>
      <c r="AA6394">
        <v>0.73258650000000003</v>
      </c>
      <c r="AB6394">
        <v>22</v>
      </c>
      <c r="AC6394">
        <v>-6.1596999999999804</v>
      </c>
      <c r="AD6394">
        <v>-1.1280379142379999</v>
      </c>
      <c r="AE6394">
        <v>-10.9727999999999</v>
      </c>
      <c r="AF6394">
        <v>-8.6240819503573807</v>
      </c>
      <c r="AG6394">
        <v>-1.1280379142379999</v>
      </c>
      <c r="AH6394">
        <v>9.0252350110828896</v>
      </c>
      <c r="AI6394">
        <v>95.163489736037604</v>
      </c>
      <c r="AJ6394">
        <v>133.697942781927</v>
      </c>
      <c r="AK6394">
        <v>12.534038695796101</v>
      </c>
      <c r="AL6394">
        <v>92.860469955330103</v>
      </c>
      <c r="AM6394">
        <v>111.898915977199</v>
      </c>
      <c r="AN6394">
        <v>0.99999995570657096</v>
      </c>
    </row>
    <row r="6395" spans="1:40" x14ac:dyDescent="0.25">
      <c r="A6395" t="str">
        <f>"20190303153936067"</f>
        <v>20190303153936067</v>
      </c>
      <c r="B6395" t="str">
        <f>"1551598776055343"</f>
        <v>1551598776055343</v>
      </c>
      <c r="C6395" t="s">
        <v>40</v>
      </c>
      <c r="D6395">
        <v>3.9941499999999999</v>
      </c>
      <c r="E6395">
        <v>0.32925650000000001</v>
      </c>
      <c r="F6395" t="s">
        <v>68</v>
      </c>
      <c r="G6395">
        <v>-411.29079999999999</v>
      </c>
      <c r="H6395" s="1">
        <v>-6.5604340000000004E-6</v>
      </c>
      <c r="I6395">
        <v>130.43039999999999</v>
      </c>
      <c r="J6395">
        <v>-406.678</v>
      </c>
      <c r="K6395">
        <v>1.1280749999999999</v>
      </c>
      <c r="L6395">
        <v>140.0378</v>
      </c>
      <c r="M6395">
        <v>-0.95241739999999997</v>
      </c>
      <c r="N6395">
        <v>-1.470692E-2</v>
      </c>
      <c r="O6395">
        <v>-0.3044422</v>
      </c>
      <c r="P6395">
        <v>-0.76889779999999996</v>
      </c>
      <c r="Q6395">
        <v>-5.7164350000000003E-2</v>
      </c>
      <c r="R6395">
        <v>-0.63681119999999902</v>
      </c>
      <c r="S6395">
        <v>-1.465576</v>
      </c>
      <c r="T6395">
        <v>-0.34170099999999998</v>
      </c>
      <c r="U6395">
        <v>-2.9358059999999999</v>
      </c>
      <c r="V6395">
        <v>-0.371693</v>
      </c>
      <c r="W6395">
        <v>-4.9700660000000001E-2</v>
      </c>
      <c r="X6395">
        <v>0.92702439999999997</v>
      </c>
      <c r="Y6395">
        <v>-0.71331020000000001</v>
      </c>
      <c r="Z6395">
        <v>-2.0252289999999999E-2</v>
      </c>
      <c r="AA6395">
        <v>0.7005557</v>
      </c>
      <c r="AB6395">
        <v>22</v>
      </c>
      <c r="AC6395">
        <v>-4.6127999999999298</v>
      </c>
      <c r="AD6395">
        <v>-1.128081560434</v>
      </c>
      <c r="AE6395">
        <v>-9.6074000000000108</v>
      </c>
      <c r="AF6395">
        <v>-7.6609266398968003</v>
      </c>
      <c r="AG6395">
        <v>-1.128081560434</v>
      </c>
      <c r="AH6395">
        <v>7.2379050536691301</v>
      </c>
      <c r="AI6395">
        <v>96.109428580431</v>
      </c>
      <c r="AJ6395">
        <v>136.62635850439699</v>
      </c>
      <c r="AK6395">
        <v>10.599511052628801</v>
      </c>
      <c r="AL6395">
        <v>92.848811599486396</v>
      </c>
      <c r="AM6395">
        <v>111.848454050499</v>
      </c>
      <c r="AN6395">
        <v>1.00000004002439</v>
      </c>
    </row>
    <row r="6396" spans="1:40" x14ac:dyDescent="0.25">
      <c r="A6396" t="str">
        <f>"20190303153936085"</f>
        <v>20190303153936085</v>
      </c>
      <c r="B6396" t="str">
        <f>"1551598776074864"</f>
        <v>1551598776074864</v>
      </c>
      <c r="C6396" t="s">
        <v>40</v>
      </c>
      <c r="D6396">
        <v>3.9517769999999999</v>
      </c>
      <c r="E6396">
        <v>0.32921630000000002</v>
      </c>
      <c r="F6396" t="s">
        <v>68</v>
      </c>
      <c r="G6396">
        <v>-411.4178</v>
      </c>
      <c r="H6396" s="1">
        <v>-6.49488899999999E-6</v>
      </c>
      <c r="I6396">
        <v>130.2876</v>
      </c>
      <c r="J6396">
        <v>-406.84840000000003</v>
      </c>
      <c r="K6396">
        <v>1.1281080000000001</v>
      </c>
      <c r="L6396">
        <v>139.9716</v>
      </c>
      <c r="M6396">
        <v>-0.94938370000000005</v>
      </c>
      <c r="N6396">
        <v>-1.472293E-2</v>
      </c>
      <c r="O6396">
        <v>-0.31377329999999998</v>
      </c>
      <c r="P6396">
        <v>-0.76344350000000005</v>
      </c>
      <c r="Q6396">
        <v>-5.7487780000000002E-2</v>
      </c>
      <c r="R6396">
        <v>-0.64331130000000003</v>
      </c>
      <c r="S6396">
        <v>-1.4336850000000001</v>
      </c>
      <c r="T6396">
        <v>-0.34122659999999899</v>
      </c>
      <c r="U6396">
        <v>-2.9492950000000002</v>
      </c>
      <c r="V6396">
        <v>-0.37045990000000001</v>
      </c>
      <c r="W6396">
        <v>-5.0010760000000001E-2</v>
      </c>
      <c r="X6396">
        <v>0.92750120000000003</v>
      </c>
      <c r="Y6396">
        <v>-0.71386340000000004</v>
      </c>
      <c r="Z6396">
        <v>-1.932391E-2</v>
      </c>
      <c r="AA6396">
        <v>0.70001840000000004</v>
      </c>
      <c r="AB6396">
        <v>22</v>
      </c>
      <c r="AC6396">
        <v>-4.5693999999999697</v>
      </c>
      <c r="AD6396">
        <v>-1.1281144948889901</v>
      </c>
      <c r="AE6396">
        <v>-9.6839999999999904</v>
      </c>
      <c r="AF6396">
        <v>-7.6757223195674404</v>
      </c>
      <c r="AG6396">
        <v>-1.1281144948889901</v>
      </c>
      <c r="AH6396">
        <v>7.2965082422468699</v>
      </c>
      <c r="AI6396">
        <v>96.080375618254706</v>
      </c>
      <c r="AJ6396">
        <v>136.45086744645599</v>
      </c>
      <c r="AK6396">
        <v>10.650276426922501</v>
      </c>
      <c r="AL6396">
        <v>92.866601128861802</v>
      </c>
      <c r="AM6396">
        <v>111.772615791845</v>
      </c>
      <c r="AN6396">
        <v>1.0000000448126101</v>
      </c>
    </row>
    <row r="6397" spans="1:40" x14ac:dyDescent="0.25">
      <c r="A6397" t="str">
        <f>"20190303153936108"</f>
        <v>20190303153936108</v>
      </c>
      <c r="B6397" t="str">
        <f>"1551598776105119"</f>
        <v>1551598776105119</v>
      </c>
      <c r="C6397" t="s">
        <v>40</v>
      </c>
      <c r="D6397">
        <v>3.9793560000000001</v>
      </c>
      <c r="E6397">
        <v>0.33001329999999901</v>
      </c>
      <c r="F6397" t="s">
        <v>68</v>
      </c>
      <c r="G6397">
        <v>-411.48099999999999</v>
      </c>
      <c r="H6397" s="1">
        <v>-6.4664560000000003E-6</v>
      </c>
      <c r="I6397">
        <v>130.2268</v>
      </c>
      <c r="J6397">
        <v>-407.04759999999999</v>
      </c>
      <c r="K6397">
        <v>1.128142</v>
      </c>
      <c r="L6397">
        <v>139.89169999999999</v>
      </c>
      <c r="M6397">
        <v>-0.94567460000000003</v>
      </c>
      <c r="N6397">
        <v>-1.4741020000000001E-2</v>
      </c>
      <c r="O6397">
        <v>-0.32478030000000002</v>
      </c>
      <c r="P6397">
        <v>-0.75711439999999997</v>
      </c>
      <c r="Q6397">
        <v>-5.8052369999999999E-2</v>
      </c>
      <c r="R6397">
        <v>-0.65069809999999995</v>
      </c>
      <c r="S6397">
        <v>-1.40802</v>
      </c>
      <c r="T6397">
        <v>-0.34287459999999997</v>
      </c>
      <c r="U6397">
        <v>-2.961792</v>
      </c>
      <c r="V6397">
        <v>-0.3686991</v>
      </c>
      <c r="W6397">
        <v>-5.0548999999999997E-2</v>
      </c>
      <c r="X6397">
        <v>0.92817340000000004</v>
      </c>
      <c r="Y6397">
        <v>-0.71187159999999905</v>
      </c>
      <c r="Z6397">
        <v>-1.8016669999999999E-2</v>
      </c>
      <c r="AA6397">
        <v>0.70207849999999905</v>
      </c>
      <c r="AB6397">
        <v>22</v>
      </c>
      <c r="AC6397">
        <v>-4.4333999999999998</v>
      </c>
      <c r="AD6397">
        <v>-1.128148466456</v>
      </c>
      <c r="AE6397">
        <v>-9.6648999999999798</v>
      </c>
      <c r="AF6397">
        <v>-7.6150870599731402</v>
      </c>
      <c r="AG6397">
        <v>-1.128148466456</v>
      </c>
      <c r="AH6397">
        <v>7.2507021497588102</v>
      </c>
      <c r="AI6397">
        <v>96.123888965689105</v>
      </c>
      <c r="AJ6397">
        <v>136.40413249719401</v>
      </c>
      <c r="AK6397">
        <v>10.575204563404601</v>
      </c>
      <c r="AL6397">
        <v>92.897479065703493</v>
      </c>
      <c r="AM6397">
        <v>111.664502170982</v>
      </c>
      <c r="AN6397">
        <v>1.0000000441046799</v>
      </c>
    </row>
    <row r="6398" spans="1:40" x14ac:dyDescent="0.25">
      <c r="A6398" t="str">
        <f>"20190303153936130"</f>
        <v>20190303153936130</v>
      </c>
      <c r="B6398" t="str">
        <f>"1551598776125619"</f>
        <v>1551598776125619</v>
      </c>
      <c r="C6398" t="s">
        <v>40</v>
      </c>
      <c r="D6398">
        <v>3.929948</v>
      </c>
      <c r="E6398">
        <v>0.33054699999999998</v>
      </c>
      <c r="F6398" t="s">
        <v>68</v>
      </c>
      <c r="G6398">
        <v>-411.62790000000001</v>
      </c>
      <c r="H6398" s="1">
        <v>-6.3885029999999998E-6</v>
      </c>
      <c r="I6398">
        <v>130.05629999999999</v>
      </c>
      <c r="J6398">
        <v>-407.23989999999998</v>
      </c>
      <c r="K6398">
        <v>1.1281620000000001</v>
      </c>
      <c r="L6398">
        <v>139.81190000000001</v>
      </c>
      <c r="M6398">
        <v>-0.94192330000000002</v>
      </c>
      <c r="N6398">
        <v>-1.475748E-2</v>
      </c>
      <c r="O6398">
        <v>-0.33550360000000001</v>
      </c>
      <c r="P6398">
        <v>-0.75075519999999996</v>
      </c>
      <c r="Q6398">
        <v>-5.8510230000000003E-2</v>
      </c>
      <c r="R6398">
        <v>-0.65798440000000002</v>
      </c>
      <c r="S6398">
        <v>-1.3833310000000001</v>
      </c>
      <c r="T6398">
        <v>-0.34072350000000001</v>
      </c>
      <c r="U6398">
        <v>-2.9704739999999998</v>
      </c>
      <c r="V6398">
        <v>-0.3671256</v>
      </c>
      <c r="W6398">
        <v>-5.0978780000000001E-2</v>
      </c>
      <c r="X6398">
        <v>0.92877330000000002</v>
      </c>
      <c r="Y6398">
        <v>-0.70956529999999995</v>
      </c>
      <c r="Z6398">
        <v>-1.6630369999999998E-2</v>
      </c>
      <c r="AA6398">
        <v>0.70444340000000005</v>
      </c>
      <c r="AB6398">
        <v>22</v>
      </c>
      <c r="AC6398">
        <v>-4.3880000000000301</v>
      </c>
      <c r="AD6398">
        <v>-1.1281683885030001</v>
      </c>
      <c r="AE6398">
        <v>-9.75560000000001</v>
      </c>
      <c r="AF6398">
        <v>-7.6327783466680303</v>
      </c>
      <c r="AG6398">
        <v>-1.1281683885030001</v>
      </c>
      <c r="AH6398">
        <v>7.3255233184855504</v>
      </c>
      <c r="AI6398">
        <v>96.086946512632906</v>
      </c>
      <c r="AJ6398">
        <v>136.17673392779801</v>
      </c>
      <c r="AK6398">
        <v>10.6393308573357</v>
      </c>
      <c r="AL6398">
        <v>92.922135732003497</v>
      </c>
      <c r="AM6398">
        <v>111.56790096351</v>
      </c>
      <c r="AN6398">
        <v>0.99999994248926705</v>
      </c>
    </row>
    <row r="6399" spans="1:40" x14ac:dyDescent="0.25">
      <c r="A6399" t="str">
        <f>"20190303153936151"</f>
        <v>20190303153936151</v>
      </c>
      <c r="B6399" t="str">
        <f>"1551598776145136"</f>
        <v>1551598776145136</v>
      </c>
      <c r="C6399" t="s">
        <v>40</v>
      </c>
      <c r="D6399">
        <v>3.9117679999999999</v>
      </c>
      <c r="E6399">
        <v>0.33102140000000002</v>
      </c>
      <c r="F6399" t="s">
        <v>68</v>
      </c>
      <c r="G6399">
        <v>-411.77839999999998</v>
      </c>
      <c r="H6399" s="1">
        <v>-6.2933249999999996E-6</v>
      </c>
      <c r="I6399">
        <v>129.8441</v>
      </c>
      <c r="J6399">
        <v>-407.43349999999998</v>
      </c>
      <c r="K6399">
        <v>1.128166</v>
      </c>
      <c r="L6399">
        <v>139.7286</v>
      </c>
      <c r="M6399">
        <v>-0.93797299999999995</v>
      </c>
      <c r="N6399">
        <v>-1.4772469999999999E-2</v>
      </c>
      <c r="O6399">
        <v>-0.34639370000000003</v>
      </c>
      <c r="P6399">
        <v>-0.74449739999999998</v>
      </c>
      <c r="Q6399">
        <v>-6.1248089999999998E-2</v>
      </c>
      <c r="R6399">
        <v>-0.66481049999999997</v>
      </c>
      <c r="S6399">
        <v>-1.3572390000000001</v>
      </c>
      <c r="T6399">
        <v>-0.33737410000000001</v>
      </c>
      <c r="U6399">
        <v>-2.98082</v>
      </c>
      <c r="V6399">
        <v>-0.36487330000000001</v>
      </c>
      <c r="W6399">
        <v>-5.3669389999999997E-2</v>
      </c>
      <c r="X6399">
        <v>0.92950900000000003</v>
      </c>
      <c r="Y6399">
        <v>-0.70753900000000003</v>
      </c>
      <c r="Z6399">
        <v>-1.5246310000000001E-2</v>
      </c>
      <c r="AA6399">
        <v>0.70650979999999997</v>
      </c>
      <c r="AB6399">
        <v>22</v>
      </c>
      <c r="AC6399">
        <v>-4.3448999999999902</v>
      </c>
      <c r="AD6399">
        <v>-1.128172293325</v>
      </c>
      <c r="AE6399">
        <v>-9.8844999999999992</v>
      </c>
      <c r="AF6399">
        <v>-7.6833128306939003</v>
      </c>
      <c r="AG6399">
        <v>-1.128172293325</v>
      </c>
      <c r="AH6399">
        <v>7.4191470144371303</v>
      </c>
      <c r="AI6399">
        <v>96.029642155064707</v>
      </c>
      <c r="AJ6399">
        <v>136.00209126180599</v>
      </c>
      <c r="AK6399">
        <v>10.740102941758201</v>
      </c>
      <c r="AL6399">
        <v>93.076507812970902</v>
      </c>
      <c r="AM6399">
        <v>111.43219811180199</v>
      </c>
      <c r="AN6399">
        <v>0.99999995477842996</v>
      </c>
    </row>
    <row r="6400" spans="1:40" x14ac:dyDescent="0.25">
      <c r="A6400" t="str">
        <f>"20190303153936185"</f>
        <v>20190303153936185</v>
      </c>
      <c r="B6400" t="str">
        <f>"1551598776175392"</f>
        <v>1551598776175392</v>
      </c>
      <c r="C6400" t="s">
        <v>40</v>
      </c>
      <c r="D6400">
        <v>3.9228499999999999</v>
      </c>
      <c r="E6400">
        <v>0.33219569999999998</v>
      </c>
      <c r="F6400" t="s">
        <v>68</v>
      </c>
      <c r="G6400">
        <v>-411.84179999999998</v>
      </c>
      <c r="H6400" s="1">
        <v>-6.2814829999999899E-6</v>
      </c>
      <c r="I6400">
        <v>129.82409999999999</v>
      </c>
      <c r="J6400">
        <v>-407.72039999999998</v>
      </c>
      <c r="K6400">
        <v>1.1281699999999999</v>
      </c>
      <c r="L6400">
        <v>139.6002</v>
      </c>
      <c r="M6400">
        <v>-0.93181049999999999</v>
      </c>
      <c r="N6400">
        <v>-1.478963E-2</v>
      </c>
      <c r="O6400">
        <v>-0.36264380000000002</v>
      </c>
      <c r="P6400">
        <v>-0.73355249999999905</v>
      </c>
      <c r="Q6400">
        <v>-6.20736E-2</v>
      </c>
      <c r="R6400">
        <v>-0.67679239999999996</v>
      </c>
      <c r="S6400">
        <v>-1.3310550000000001</v>
      </c>
      <c r="T6400">
        <v>-0.3406419</v>
      </c>
      <c r="U6400">
        <v>-2.9905849999999998</v>
      </c>
      <c r="V6400">
        <v>-0.36379860000000003</v>
      </c>
      <c r="W6400">
        <v>-5.4459069999999998E-2</v>
      </c>
      <c r="X6400">
        <v>0.9298843</v>
      </c>
      <c r="Y6400">
        <v>-0.70133400000000001</v>
      </c>
      <c r="Z6400">
        <v>-1.298445E-2</v>
      </c>
      <c r="AA6400">
        <v>0.71271459999999998</v>
      </c>
      <c r="AB6400">
        <v>22</v>
      </c>
      <c r="AC6400">
        <v>-4.1213999999999897</v>
      </c>
      <c r="AD6400">
        <v>-1.1281762814830001</v>
      </c>
      <c r="AE6400">
        <v>-9.7761000000000102</v>
      </c>
      <c r="AF6400">
        <v>-7.5305513594523701</v>
      </c>
      <c r="AG6400">
        <v>-1.1281762814830001</v>
      </c>
      <c r="AH6400">
        <v>7.3038234539857498</v>
      </c>
      <c r="AI6400">
        <v>96.138026514336005</v>
      </c>
      <c r="AJ6400">
        <v>135.87563789228801</v>
      </c>
      <c r="AK6400">
        <v>10.551200052432099</v>
      </c>
      <c r="AL6400">
        <v>93.121819240078196</v>
      </c>
      <c r="AM6400">
        <v>111.366926153604</v>
      </c>
      <c r="AN6400">
        <v>1.0000000115268499</v>
      </c>
    </row>
    <row r="6401" spans="1:40" x14ac:dyDescent="0.25">
      <c r="A6401" t="str">
        <f>"20190303153936207"</f>
        <v>20190303153936207</v>
      </c>
      <c r="B6401" t="str">
        <f>"1551598776204672"</f>
        <v>1551598776204672</v>
      </c>
      <c r="C6401" t="s">
        <v>40</v>
      </c>
      <c r="D6401">
        <v>3.9598239999999998</v>
      </c>
      <c r="E6401">
        <v>0.3330629</v>
      </c>
      <c r="F6401" t="s">
        <v>68</v>
      </c>
      <c r="G6401">
        <v>-412.0027</v>
      </c>
      <c r="H6401" s="1">
        <v>-6.1865519999999997E-6</v>
      </c>
      <c r="I6401">
        <v>129.61439999999999</v>
      </c>
      <c r="J6401">
        <v>-407.91300000000001</v>
      </c>
      <c r="K6401">
        <v>1.1281559999999999</v>
      </c>
      <c r="L6401">
        <v>139.51070000000001</v>
      </c>
      <c r="M6401">
        <v>-0.9274715</v>
      </c>
      <c r="N6401">
        <v>-1.479801E-2</v>
      </c>
      <c r="O6401">
        <v>-0.37360120000000002</v>
      </c>
      <c r="P6401">
        <v>-0.72542229999999996</v>
      </c>
      <c r="Q6401">
        <v>-6.1164969999999999E-2</v>
      </c>
      <c r="R6401">
        <v>-0.68558109999999906</v>
      </c>
      <c r="S6401">
        <v>-1.288605</v>
      </c>
      <c r="T6401">
        <v>-0.33948830000000002</v>
      </c>
      <c r="U6401">
        <v>-3.0048979999999998</v>
      </c>
      <c r="V6401">
        <v>-0.36402960000000001</v>
      </c>
      <c r="W6401">
        <v>-5.3539030000000001E-2</v>
      </c>
      <c r="X6401">
        <v>0.92984730000000004</v>
      </c>
      <c r="Y6401">
        <v>-0.70270469999999996</v>
      </c>
      <c r="Z6401">
        <v>-1.1924769999999999E-2</v>
      </c>
      <c r="AA6401">
        <v>0.71138169999999901</v>
      </c>
      <c r="AB6401">
        <v>22</v>
      </c>
      <c r="AC6401">
        <v>-4.0896999999999899</v>
      </c>
      <c r="AD6401">
        <v>-1.128162186552</v>
      </c>
      <c r="AE6401">
        <v>-9.8963000000000196</v>
      </c>
      <c r="AF6401">
        <v>-7.5674577385672501</v>
      </c>
      <c r="AG6401">
        <v>-1.128162186552</v>
      </c>
      <c r="AH6401">
        <v>7.4089302283004397</v>
      </c>
      <c r="AI6401">
        <v>96.0805522342214</v>
      </c>
      <c r="AJ6401">
        <v>135.60646252504401</v>
      </c>
      <c r="AK6401">
        <v>10.650418474031399</v>
      </c>
      <c r="AL6401">
        <v>93.069027874517602</v>
      </c>
      <c r="AM6401">
        <v>111.38004295734</v>
      </c>
      <c r="AN6401">
        <v>0.99999998936339496</v>
      </c>
    </row>
    <row r="6402" spans="1:40" x14ac:dyDescent="0.25">
      <c r="A6402" t="str">
        <f>"20190303153936230"</f>
        <v>20190303153936230</v>
      </c>
      <c r="B6402" t="str">
        <f>"1551598776225171"</f>
        <v>1551598776225171</v>
      </c>
      <c r="C6402" t="s">
        <v>40</v>
      </c>
      <c r="D6402">
        <v>3.9747560000000002</v>
      </c>
      <c r="E6402">
        <v>0.3334838</v>
      </c>
      <c r="F6402" t="s">
        <v>68</v>
      </c>
      <c r="G6402">
        <v>-412.16460000000001</v>
      </c>
      <c r="H6402" s="1">
        <v>-6.0263990000000002E-6</v>
      </c>
      <c r="I6402">
        <v>129.3185</v>
      </c>
      <c r="J6402">
        <v>-408.10410000000002</v>
      </c>
      <c r="K6402">
        <v>1.128136</v>
      </c>
      <c r="L6402">
        <v>139.41899999999899</v>
      </c>
      <c r="M6402">
        <v>-0.92299900000000001</v>
      </c>
      <c r="N6402">
        <v>-1.480421E-2</v>
      </c>
      <c r="O6402">
        <v>-0.38451750000000001</v>
      </c>
      <c r="P6402">
        <v>-0.71657799999999905</v>
      </c>
      <c r="Q6402">
        <v>-6.1372400000000001E-2</v>
      </c>
      <c r="R6402">
        <v>-0.69480169999999997</v>
      </c>
      <c r="S6402">
        <v>-1.257782</v>
      </c>
      <c r="T6402">
        <v>-0.33374799999999999</v>
      </c>
      <c r="U6402">
        <v>-3.0151819999999998</v>
      </c>
      <c r="V6402">
        <v>-0.36495420000000001</v>
      </c>
      <c r="W6402">
        <v>-5.3747830000000003E-2</v>
      </c>
      <c r="X6402">
        <v>0.92947270000000004</v>
      </c>
      <c r="Y6402">
        <v>-0.70148659999999996</v>
      </c>
      <c r="Z6402">
        <v>-1.064214E-2</v>
      </c>
      <c r="AA6402">
        <v>0.71260319999999899</v>
      </c>
      <c r="AB6402">
        <v>22</v>
      </c>
      <c r="AC6402">
        <v>-4.0604999999999896</v>
      </c>
      <c r="AD6402">
        <v>-1.1281420263990001</v>
      </c>
      <c r="AE6402">
        <v>-10.100499999999901</v>
      </c>
      <c r="AF6402">
        <v>-7.6797921405649401</v>
      </c>
      <c r="AG6402">
        <v>-1.1281420263990001</v>
      </c>
      <c r="AH6402">
        <v>7.5513951864817699</v>
      </c>
      <c r="AI6402">
        <v>95.979590685169299</v>
      </c>
      <c r="AJ6402">
        <v>135.48298462625701</v>
      </c>
      <c r="AK6402">
        <v>10.8293804539516</v>
      </c>
      <c r="AL6402">
        <v>93.081008609101502</v>
      </c>
      <c r="AM6402">
        <v>111.437280135569</v>
      </c>
      <c r="AN6402">
        <v>0.99999994868631803</v>
      </c>
    </row>
    <row r="6403" spans="1:40" x14ac:dyDescent="0.25">
      <c r="A6403" t="str">
        <f>"20190303153936253"</f>
        <v>20190303153936253</v>
      </c>
      <c r="B6403" t="str">
        <f>"1551598776244688"</f>
        <v>1551598776244688</v>
      </c>
      <c r="C6403" t="s">
        <v>40</v>
      </c>
      <c r="D6403">
        <v>3.9420929999999998</v>
      </c>
      <c r="E6403">
        <v>0.3337328</v>
      </c>
      <c r="F6403" t="s">
        <v>68</v>
      </c>
      <c r="G6403">
        <v>-412.27640000000002</v>
      </c>
      <c r="H6403" s="1">
        <v>-5.8947139999999996E-6</v>
      </c>
      <c r="I6403">
        <v>129.0728</v>
      </c>
      <c r="J6403">
        <v>-408.29640000000001</v>
      </c>
      <c r="K6403">
        <v>1.1281110000000001</v>
      </c>
      <c r="L6403">
        <v>139.3237</v>
      </c>
      <c r="M6403">
        <v>-0.91833330000000002</v>
      </c>
      <c r="N6403">
        <v>-1.4808379999999999E-2</v>
      </c>
      <c r="O6403">
        <v>-0.39553070000000001</v>
      </c>
      <c r="P6403">
        <v>-0.70729709999999901</v>
      </c>
      <c r="Q6403">
        <v>-6.332372E-2</v>
      </c>
      <c r="R6403">
        <v>-0.70407449999999905</v>
      </c>
      <c r="S6403">
        <v>-1.2214659999999999</v>
      </c>
      <c r="T6403">
        <v>-0.33027030000000002</v>
      </c>
      <c r="U6403">
        <v>-3.0289000000000001</v>
      </c>
      <c r="V6403">
        <v>-0.36597750000000001</v>
      </c>
      <c r="W6403">
        <v>-5.5701769999999998E-2</v>
      </c>
      <c r="X6403">
        <v>0.92895519999999998</v>
      </c>
      <c r="Y6403">
        <v>-0.70151529999999995</v>
      </c>
      <c r="Z6403">
        <v>-9.4833580000000008E-3</v>
      </c>
      <c r="AA6403">
        <v>0.71259139999999999</v>
      </c>
      <c r="AB6403">
        <v>22</v>
      </c>
      <c r="AC6403">
        <v>-3.9800000000000102</v>
      </c>
      <c r="AD6403">
        <v>-1.1281168947139999</v>
      </c>
      <c r="AE6403">
        <v>-10.2509</v>
      </c>
      <c r="AF6403">
        <v>-7.7587333446152797</v>
      </c>
      <c r="AG6403">
        <v>-1.1281168947139999</v>
      </c>
      <c r="AH6403">
        <v>7.6300549137190696</v>
      </c>
      <c r="AI6403">
        <v>95.918661407967306</v>
      </c>
      <c r="AJ6403">
        <v>135.479086400689</v>
      </c>
      <c r="AK6403">
        <v>10.9402161234297</v>
      </c>
      <c r="AL6403">
        <v>93.193129029599007</v>
      </c>
      <c r="AM6403">
        <v>111.50279321524199</v>
      </c>
      <c r="AN6403">
        <v>0.99999999064721101</v>
      </c>
    </row>
    <row r="6404" spans="1:40" x14ac:dyDescent="0.25">
      <c r="A6404" t="str">
        <f>"20190303153936274"</f>
        <v>20190303153936274</v>
      </c>
      <c r="B6404" t="str">
        <f>"1551598776265183"</f>
        <v>1551598776265183</v>
      </c>
      <c r="C6404" t="s">
        <v>40</v>
      </c>
      <c r="D6404">
        <v>3.9531930000000002</v>
      </c>
      <c r="E6404">
        <v>0.3444374</v>
      </c>
      <c r="F6404" t="s">
        <v>68</v>
      </c>
      <c r="G6404">
        <v>-412.31459999999998</v>
      </c>
      <c r="H6404" s="1">
        <v>-5.8449840000000003E-6</v>
      </c>
      <c r="I6404">
        <v>128.9796</v>
      </c>
      <c r="J6404">
        <v>-408.48379999999997</v>
      </c>
      <c r="K6404">
        <v>1.128077</v>
      </c>
      <c r="L6404">
        <v>139.22810000000001</v>
      </c>
      <c r="M6404">
        <v>-0.913632</v>
      </c>
      <c r="N6404">
        <v>-1.4810810000000001E-2</v>
      </c>
      <c r="O6404">
        <v>-0.40627249999999998</v>
      </c>
      <c r="P6404">
        <v>-0.69832559999999999</v>
      </c>
      <c r="Q6404">
        <v>-6.5163529999999997E-2</v>
      </c>
      <c r="R6404">
        <v>-0.71280809999999994</v>
      </c>
      <c r="S6404">
        <v>-1.18222</v>
      </c>
      <c r="T6404">
        <v>-0.3319085</v>
      </c>
      <c r="U6404">
        <v>-3.043396</v>
      </c>
      <c r="V6404">
        <v>-0.36666559999999998</v>
      </c>
      <c r="W6404">
        <v>-5.7535650000000001E-2</v>
      </c>
      <c r="X6404">
        <v>0.92857199999999995</v>
      </c>
      <c r="Y6404">
        <v>-0.70230780000000004</v>
      </c>
      <c r="Z6404">
        <v>-8.3882509999999993E-3</v>
      </c>
      <c r="AA6404">
        <v>0.71182409999999996</v>
      </c>
      <c r="AB6404">
        <v>22</v>
      </c>
      <c r="AC6404">
        <v>-3.8308</v>
      </c>
      <c r="AD6404">
        <v>-1.1280828449839999</v>
      </c>
      <c r="AE6404">
        <v>-10.2485</v>
      </c>
      <c r="AF6404">
        <v>-7.7257345168387701</v>
      </c>
      <c r="AG6404">
        <v>-1.1280828449839999</v>
      </c>
      <c r="AH6404">
        <v>7.5838435258439398</v>
      </c>
      <c r="AI6404">
        <v>95.948839455860394</v>
      </c>
      <c r="AJ6404">
        <v>135.53100889832601</v>
      </c>
      <c r="AK6404">
        <v>10.884586687343999</v>
      </c>
      <c r="AL6404">
        <v>93.298371466351696</v>
      </c>
      <c r="AM6404">
        <v>111.547596459955</v>
      </c>
      <c r="AN6404">
        <v>0.99999998621414099</v>
      </c>
    </row>
    <row r="6405" spans="1:40" x14ac:dyDescent="0.25">
      <c r="A6405" t="str">
        <f>"20190303153936297"</f>
        <v>20190303153936297</v>
      </c>
      <c r="B6405" t="str">
        <f>"1551598776295440"</f>
        <v>1551598776295440</v>
      </c>
      <c r="C6405" t="s">
        <v>40</v>
      </c>
      <c r="D6405">
        <v>4.0131170000000003</v>
      </c>
      <c r="E6405">
        <v>0.34836009999999901</v>
      </c>
      <c r="F6405" t="s">
        <v>68</v>
      </c>
      <c r="G6405">
        <v>-412.99540000000002</v>
      </c>
      <c r="H6405" s="1">
        <v>-5.322329E-6</v>
      </c>
      <c r="I6405">
        <v>128.00040000000001</v>
      </c>
      <c r="J6405">
        <v>-408.66820000000001</v>
      </c>
      <c r="K6405">
        <v>1.128047</v>
      </c>
      <c r="L6405">
        <v>139.13130000000001</v>
      </c>
      <c r="M6405">
        <v>-0.90885450000000001</v>
      </c>
      <c r="N6405">
        <v>-1.481144E-2</v>
      </c>
      <c r="O6405">
        <v>-0.41685050000000001</v>
      </c>
      <c r="P6405">
        <v>-0.68997589999999998</v>
      </c>
      <c r="Q6405">
        <v>-6.5773659999999998E-2</v>
      </c>
      <c r="R6405">
        <v>-0.72083779999999997</v>
      </c>
      <c r="S6405">
        <v>-1.2055359999999999</v>
      </c>
      <c r="T6405">
        <v>-0.30143209999999998</v>
      </c>
      <c r="U6405">
        <v>-3.0001220000000002</v>
      </c>
      <c r="V6405">
        <v>-0.36664609999999997</v>
      </c>
      <c r="W6405">
        <v>-5.8122310000000003E-2</v>
      </c>
      <c r="X6405">
        <v>0.92854320000000001</v>
      </c>
      <c r="Y6405">
        <v>-0.68606730000000005</v>
      </c>
      <c r="Z6405">
        <v>-6.3240029999999999E-3</v>
      </c>
      <c r="AA6405">
        <v>0.72751060000000001</v>
      </c>
      <c r="AB6405">
        <v>21</v>
      </c>
      <c r="AC6405">
        <v>-4.3272000000000004</v>
      </c>
      <c r="AD6405">
        <v>-1.128052322329</v>
      </c>
      <c r="AE6405">
        <v>-11.130899999999899</v>
      </c>
      <c r="AF6405">
        <v>-8.2399652765593707</v>
      </c>
      <c r="AG6405">
        <v>-1.128052322329</v>
      </c>
      <c r="AH6405">
        <v>8.49783635601176</v>
      </c>
      <c r="AI6405">
        <v>95.443864310837</v>
      </c>
      <c r="AJ6405">
        <v>134.11734193011699</v>
      </c>
      <c r="AK6405">
        <v>11.890447953478001</v>
      </c>
      <c r="AL6405">
        <v>93.332040842639501</v>
      </c>
      <c r="AM6405">
        <v>111.54716258713501</v>
      </c>
      <c r="AN6405">
        <v>1.0000000199155901</v>
      </c>
    </row>
    <row r="6406" spans="1:40" x14ac:dyDescent="0.25">
      <c r="A6406" t="str">
        <f>"20190303153936319"</f>
        <v>20190303153936319</v>
      </c>
      <c r="B6406" t="str">
        <f>"1551598776314959"</f>
        <v>1551598776314959</v>
      </c>
      <c r="C6406" t="s">
        <v>40</v>
      </c>
      <c r="D6406">
        <v>3.9447830000000002</v>
      </c>
      <c r="E6406">
        <v>0.34953040000000002</v>
      </c>
      <c r="F6406" t="s">
        <v>68</v>
      </c>
      <c r="G6406">
        <v>-413.33420000000001</v>
      </c>
      <c r="H6406" s="1">
        <v>-5.0767650000000003E-6</v>
      </c>
      <c r="I6406">
        <v>127.429</v>
      </c>
      <c r="J6406">
        <v>-408.84930000000003</v>
      </c>
      <c r="K6406">
        <v>1.12802</v>
      </c>
      <c r="L6406">
        <v>139.03360000000001</v>
      </c>
      <c r="M6406">
        <v>-0.90401330000000002</v>
      </c>
      <c r="N6406">
        <v>-1.4810540000000001E-2</v>
      </c>
      <c r="O6406">
        <v>-0.42724790000000001</v>
      </c>
      <c r="P6406">
        <v>-0.6830463</v>
      </c>
      <c r="Q6406">
        <v>-6.4944639999999998E-2</v>
      </c>
      <c r="R6406">
        <v>-0.72748199999999996</v>
      </c>
      <c r="S6406">
        <v>-1.193451</v>
      </c>
      <c r="T6406">
        <v>-0.28852620000000001</v>
      </c>
      <c r="U6406">
        <v>-2.9931640000000002</v>
      </c>
      <c r="V6406">
        <v>-0.36496669999999998</v>
      </c>
      <c r="W6406">
        <v>-5.7231280000000002E-2</v>
      </c>
      <c r="X6406">
        <v>0.92925979999999997</v>
      </c>
      <c r="Y6406">
        <v>-0.67982849999999995</v>
      </c>
      <c r="Z6406">
        <v>-5.0864999999999999E-3</v>
      </c>
      <c r="AA6406">
        <v>0.73335349999999999</v>
      </c>
      <c r="AB6406">
        <v>21</v>
      </c>
      <c r="AC6406">
        <v>-4.4848999999999801</v>
      </c>
      <c r="AD6406">
        <v>-1.128025076765</v>
      </c>
      <c r="AE6406">
        <v>-11.6046</v>
      </c>
      <c r="AF6406">
        <v>-8.5055650485871297</v>
      </c>
      <c r="AG6406">
        <v>-1.128025076765</v>
      </c>
      <c r="AH6406">
        <v>8.9399436567531101</v>
      </c>
      <c r="AI6406">
        <v>95.223153349504699</v>
      </c>
      <c r="AJ6406">
        <v>133.57367761407701</v>
      </c>
      <c r="AK6406">
        <v>12.391112539052999</v>
      </c>
      <c r="AL6406">
        <v>93.280903705836906</v>
      </c>
      <c r="AM6406">
        <v>111.44241345393699</v>
      </c>
      <c r="AN6406">
        <v>0.99999994370768197</v>
      </c>
    </row>
    <row r="6407" spans="1:40" x14ac:dyDescent="0.25">
      <c r="A6407" t="str">
        <f>"20190303153936342"</f>
        <v>20190303153936342</v>
      </c>
      <c r="B6407" t="str">
        <f>"1551598776335459"</f>
        <v>1551598776335459</v>
      </c>
      <c r="C6407" t="s">
        <v>40</v>
      </c>
      <c r="D6407">
        <v>3.9107919999999998</v>
      </c>
      <c r="E6407">
        <v>0.35062939999999998</v>
      </c>
      <c r="F6407" t="s">
        <v>68</v>
      </c>
      <c r="G6407">
        <v>-413.42790000000002</v>
      </c>
      <c r="H6407" s="1">
        <v>-5.023584E-6</v>
      </c>
      <c r="I6407">
        <v>127.3134</v>
      </c>
      <c r="J6407">
        <v>-409.03160000000003</v>
      </c>
      <c r="K6407">
        <v>1.127988</v>
      </c>
      <c r="L6407">
        <v>138.93260000000001</v>
      </c>
      <c r="M6407">
        <v>-0.89899439999999997</v>
      </c>
      <c r="N6407">
        <v>-1.4808480000000001E-2</v>
      </c>
      <c r="O6407">
        <v>-0.43770999999999999</v>
      </c>
      <c r="P6407">
        <v>-0.67619910000000005</v>
      </c>
      <c r="Q6407">
        <v>-6.4139699999999994E-2</v>
      </c>
      <c r="R6407">
        <v>-0.73392209999999902</v>
      </c>
      <c r="S6407">
        <v>-1.171295</v>
      </c>
      <c r="T6407">
        <v>-0.28856949999999998</v>
      </c>
      <c r="U6407">
        <v>-2.9982600000000001</v>
      </c>
      <c r="V6407">
        <v>-0.36297360000000001</v>
      </c>
      <c r="W6407">
        <v>-5.635776E-2</v>
      </c>
      <c r="X6407">
        <v>0.93009350000000002</v>
      </c>
      <c r="Y6407">
        <v>-0.67647950000000001</v>
      </c>
      <c r="Z6407">
        <v>-3.8431849999999998E-3</v>
      </c>
      <c r="AA6407">
        <v>0.73645139999999998</v>
      </c>
      <c r="AB6407">
        <v>21</v>
      </c>
      <c r="AC6407">
        <v>-4.3962999999999903</v>
      </c>
      <c r="AD6407">
        <v>-1.1279930235840001</v>
      </c>
      <c r="AE6407">
        <v>-11.619199999999999</v>
      </c>
      <c r="AF6407">
        <v>-8.4525394082534007</v>
      </c>
      <c r="AG6407">
        <v>-1.1279930235840001</v>
      </c>
      <c r="AH6407">
        <v>8.9651676106695604</v>
      </c>
      <c r="AI6407">
        <v>95.230656366397298</v>
      </c>
      <c r="AJ6407">
        <v>133.31418933476701</v>
      </c>
      <c r="AK6407">
        <v>12.373036046045</v>
      </c>
      <c r="AL6407">
        <v>93.230773675336295</v>
      </c>
      <c r="AM6407">
        <v>111.318462005204</v>
      </c>
      <c r="AN6407">
        <v>0.99999997507571303</v>
      </c>
    </row>
    <row r="6408" spans="1:40" x14ac:dyDescent="0.25">
      <c r="A6408" t="str">
        <f>"20190303153936363"</f>
        <v>20190303153936363</v>
      </c>
      <c r="B6408" t="str">
        <f>"1551598776354976"</f>
        <v>1551598776354976</v>
      </c>
      <c r="C6408" t="s">
        <v>40</v>
      </c>
      <c r="D6408">
        <v>3.9816220000000002</v>
      </c>
      <c r="E6408">
        <v>0.35128310000000001</v>
      </c>
      <c r="F6408" t="s">
        <v>68</v>
      </c>
      <c r="G6408">
        <v>-413.52260000000001</v>
      </c>
      <c r="H6408" s="1">
        <v>-4.9710429999999996E-6</v>
      </c>
      <c r="I6408">
        <v>127.1999</v>
      </c>
      <c r="J6408">
        <v>-409.21550000000002</v>
      </c>
      <c r="K6408">
        <v>1.1279570000000001</v>
      </c>
      <c r="L6408">
        <v>138.8279</v>
      </c>
      <c r="M6408">
        <v>-0.89377180000000001</v>
      </c>
      <c r="N6408">
        <v>-1.480563E-2</v>
      </c>
      <c r="O6408">
        <v>-0.4482777</v>
      </c>
      <c r="P6408">
        <v>-0.66878709999999997</v>
      </c>
      <c r="Q6408">
        <v>-6.3712980000000002E-2</v>
      </c>
      <c r="R6408">
        <v>-0.74071889999999996</v>
      </c>
      <c r="S6408">
        <v>-1.149567</v>
      </c>
      <c r="T6408">
        <v>-0.2887342</v>
      </c>
      <c r="U6408">
        <v>-3.0032350000000001</v>
      </c>
      <c r="V6408">
        <v>-0.36140359999999999</v>
      </c>
      <c r="W6408">
        <v>-5.5872720000000001E-2</v>
      </c>
      <c r="X6408">
        <v>0.9307339</v>
      </c>
      <c r="Y6408">
        <v>-0.67288890000000001</v>
      </c>
      <c r="Z6408">
        <v>-2.5633930000000002E-3</v>
      </c>
      <c r="AA6408">
        <v>0.73973909999999998</v>
      </c>
      <c r="AB6408">
        <v>21</v>
      </c>
      <c r="AC6408">
        <v>-4.3070999999999904</v>
      </c>
      <c r="AD6408">
        <v>-1.12796197104299</v>
      </c>
      <c r="AE6408">
        <v>-11.628</v>
      </c>
      <c r="AF6408">
        <v>-8.3934769050470202</v>
      </c>
      <c r="AG6408">
        <v>-1.12796197104299</v>
      </c>
      <c r="AH6408">
        <v>8.9887530518285299</v>
      </c>
      <c r="AI6408">
        <v>95.240331128207103</v>
      </c>
      <c r="AJ6408">
        <v>133.03860110219401</v>
      </c>
      <c r="AK6408">
        <v>12.349916363701899</v>
      </c>
      <c r="AL6408">
        <v>93.202939125925099</v>
      </c>
      <c r="AM6408">
        <v>111.221171301076</v>
      </c>
      <c r="AN6408">
        <v>0.999999957771183</v>
      </c>
    </row>
    <row r="6409" spans="1:40" x14ac:dyDescent="0.25">
      <c r="A6409" t="str">
        <f>"20190303153936386"</f>
        <v>20190303153936386</v>
      </c>
      <c r="B6409" t="str">
        <f>"1551598776375472"</f>
        <v>1551598776375472</v>
      </c>
      <c r="C6409" t="s">
        <v>40</v>
      </c>
      <c r="D6409">
        <v>3.927311</v>
      </c>
      <c r="E6409">
        <v>0.35217700000000002</v>
      </c>
      <c r="F6409" t="s">
        <v>68</v>
      </c>
      <c r="G6409">
        <v>-413.64350000000002</v>
      </c>
      <c r="H6409" s="1">
        <v>-4.8701740000000001E-6</v>
      </c>
      <c r="I6409">
        <v>126.9579</v>
      </c>
      <c r="J6409">
        <v>-409.39170000000001</v>
      </c>
      <c r="K6409">
        <v>1.1279319999999999</v>
      </c>
      <c r="L6409">
        <v>138.72479999999999</v>
      </c>
      <c r="M6409">
        <v>-0.88862319999999995</v>
      </c>
      <c r="N6409">
        <v>-1.480222E-2</v>
      </c>
      <c r="O6409">
        <v>-0.4583991</v>
      </c>
      <c r="P6409">
        <v>-0.66130990000000001</v>
      </c>
      <c r="Q6409">
        <v>-6.4840499999999995E-2</v>
      </c>
      <c r="R6409">
        <v>-0.747305</v>
      </c>
      <c r="S6409">
        <v>-1.1233219999999999</v>
      </c>
      <c r="T6409">
        <v>-0.28614840000000002</v>
      </c>
      <c r="U6409">
        <v>-3.0112459999999999</v>
      </c>
      <c r="V6409">
        <v>-0.36008630000000003</v>
      </c>
      <c r="W6409">
        <v>-5.6950710000000002E-2</v>
      </c>
      <c r="X6409">
        <v>0.93117910000000004</v>
      </c>
      <c r="Y6409">
        <v>-0.67084919999999904</v>
      </c>
      <c r="Z6409">
        <v>-1.5350540000000001E-3</v>
      </c>
      <c r="AA6409">
        <v>0.74159219999999904</v>
      </c>
      <c r="AB6409">
        <v>21</v>
      </c>
      <c r="AC6409">
        <v>-4.2518000000000002</v>
      </c>
      <c r="AD6409">
        <v>-1.127936870174</v>
      </c>
      <c r="AE6409">
        <v>-11.7668999999999</v>
      </c>
      <c r="AF6409">
        <v>-8.4396587480297693</v>
      </c>
      <c r="AG6409">
        <v>-1.127936870174</v>
      </c>
      <c r="AH6409">
        <v>9.0992364022687404</v>
      </c>
      <c r="AI6409">
        <v>95.193041635976698</v>
      </c>
      <c r="AJ6409">
        <v>132.846317270117</v>
      </c>
      <c r="AK6409">
        <v>12.461788975531</v>
      </c>
      <c r="AL6409">
        <v>93.264801711336503</v>
      </c>
      <c r="AM6409">
        <v>111.141451024929</v>
      </c>
      <c r="AN6409">
        <v>1.000000021547</v>
      </c>
    </row>
    <row r="6410" spans="1:40" x14ac:dyDescent="0.25">
      <c r="A6410" t="str">
        <f>"20190303153936408"</f>
        <v>20190303153936408</v>
      </c>
      <c r="B6410" t="str">
        <f>"1551598776404752"</f>
        <v>1551598776404752</v>
      </c>
      <c r="C6410" t="s">
        <v>40</v>
      </c>
      <c r="D6410">
        <v>3.9140890000000002</v>
      </c>
      <c r="E6410">
        <v>0.35339019999999999</v>
      </c>
      <c r="F6410" t="s">
        <v>68</v>
      </c>
      <c r="G6410">
        <v>-413.61340000000001</v>
      </c>
      <c r="H6410" s="1">
        <v>-4.9324590000000001E-6</v>
      </c>
      <c r="I6410">
        <v>127.12520000000001</v>
      </c>
      <c r="J6410">
        <v>-409.56950000000001</v>
      </c>
      <c r="K6410">
        <v>1.1278980000000001</v>
      </c>
      <c r="L6410">
        <v>138.6181</v>
      </c>
      <c r="M6410">
        <v>-0.88327690000000003</v>
      </c>
      <c r="N6410">
        <v>-1.479783E-2</v>
      </c>
      <c r="O6410">
        <v>-0.46861829999999999</v>
      </c>
      <c r="P6410">
        <v>-0.65377410000000002</v>
      </c>
      <c r="Q6410">
        <v>-6.6188410000000003E-2</v>
      </c>
      <c r="R6410">
        <v>-0.75378970000000001</v>
      </c>
      <c r="S6410">
        <v>-1.098114</v>
      </c>
      <c r="T6410">
        <v>-0.29338940000000002</v>
      </c>
      <c r="U6410">
        <v>-3.0171809999999999</v>
      </c>
      <c r="V6410">
        <v>-0.35857420000000001</v>
      </c>
      <c r="W6410">
        <v>-5.8244530000000003E-2</v>
      </c>
      <c r="X6410">
        <v>0.93168240000000002</v>
      </c>
      <c r="Y6410">
        <v>-0.66821030000000003</v>
      </c>
      <c r="Z6410" s="1">
        <v>-7.0245940000000001E-5</v>
      </c>
      <c r="AA6410">
        <v>0.74397250000000004</v>
      </c>
      <c r="AB6410">
        <v>21</v>
      </c>
      <c r="AC6410">
        <v>-4.0438999999999998</v>
      </c>
      <c r="AD6410">
        <v>-1.127902932459</v>
      </c>
      <c r="AE6410">
        <v>-11.492899999999899</v>
      </c>
      <c r="AF6410">
        <v>-8.1871055238639698</v>
      </c>
      <c r="AG6410">
        <v>-1.127902932459</v>
      </c>
      <c r="AH6410">
        <v>8.8825215556776893</v>
      </c>
      <c r="AI6410">
        <v>95.334183222498396</v>
      </c>
      <c r="AJ6410">
        <v>132.66706199722699</v>
      </c>
      <c r="AK6410">
        <v>12.132602815184001</v>
      </c>
      <c r="AL6410">
        <v>93.339055521597501</v>
      </c>
      <c r="AM6410">
        <v>111.050089546563</v>
      </c>
      <c r="AN6410">
        <v>0.99999998832516002</v>
      </c>
    </row>
    <row r="6411" spans="1:40" x14ac:dyDescent="0.25">
      <c r="A6411" t="str">
        <f>"20190303153936432"</f>
        <v>20190303153936432</v>
      </c>
      <c r="B6411" t="str">
        <f>"1551598776424778"</f>
        <v>1551598776424778</v>
      </c>
      <c r="C6411" t="s">
        <v>40</v>
      </c>
      <c r="D6411">
        <v>3.9472420000000001</v>
      </c>
      <c r="E6411">
        <v>0.35442059999999997</v>
      </c>
      <c r="F6411" t="s">
        <v>68</v>
      </c>
      <c r="G6411">
        <v>-413.60660000000001</v>
      </c>
      <c r="H6411" s="1">
        <v>-4.9828290000000001E-6</v>
      </c>
      <c r="I6411">
        <v>127.2676</v>
      </c>
      <c r="J6411">
        <v>-409.7543</v>
      </c>
      <c r="K6411">
        <v>1.127864</v>
      </c>
      <c r="L6411">
        <v>138.50399999999999</v>
      </c>
      <c r="M6411">
        <v>-0.87756190000000001</v>
      </c>
      <c r="N6411">
        <v>-1.479171E-2</v>
      </c>
      <c r="O6411">
        <v>-0.47923539999999998</v>
      </c>
      <c r="P6411">
        <v>-0.64636749999999998</v>
      </c>
      <c r="Q6411">
        <v>-6.7084770000000002E-2</v>
      </c>
      <c r="R6411">
        <v>-0.76007209999999903</v>
      </c>
      <c r="S6411">
        <v>-1.074646</v>
      </c>
      <c r="T6411">
        <v>-0.30024400000000001</v>
      </c>
      <c r="U6411">
        <v>-3.0214539999999999</v>
      </c>
      <c r="V6411">
        <v>-0.35637819999999998</v>
      </c>
      <c r="W6411">
        <v>-5.9068780000000001E-2</v>
      </c>
      <c r="X6411">
        <v>0.93247279999999999</v>
      </c>
      <c r="Y6411">
        <v>-0.66468289999999997</v>
      </c>
      <c r="Z6411">
        <v>1.556048E-3</v>
      </c>
      <c r="AA6411">
        <v>0.74712400000000001</v>
      </c>
      <c r="AB6411">
        <v>21</v>
      </c>
      <c r="AC6411">
        <v>-3.8523000000000098</v>
      </c>
      <c r="AD6411">
        <v>-1.1278689828290001</v>
      </c>
      <c r="AE6411">
        <v>-11.2363999999999</v>
      </c>
      <c r="AF6411">
        <v>-7.9437355004210302</v>
      </c>
      <c r="AG6411">
        <v>-1.1278689828290001</v>
      </c>
      <c r="AH6411">
        <v>8.6881405958146196</v>
      </c>
      <c r="AI6411">
        <v>95.472640689270605</v>
      </c>
      <c r="AJ6411">
        <v>132.43728105616199</v>
      </c>
      <c r="AK6411">
        <v>11.8261916590134</v>
      </c>
      <c r="AL6411">
        <v>93.386362873387597</v>
      </c>
      <c r="AM6411">
        <v>110.91616431392799</v>
      </c>
      <c r="AN6411">
        <v>1.0000000324728799</v>
      </c>
    </row>
    <row r="6412" spans="1:40" x14ac:dyDescent="0.25">
      <c r="A6412" t="str">
        <f>"20190303153936454"</f>
        <v>20190303153936454</v>
      </c>
      <c r="B6412" t="str">
        <f>"1551598776445275"</f>
        <v>1551598776445275</v>
      </c>
      <c r="C6412" t="s">
        <v>40</v>
      </c>
      <c r="D6412">
        <v>3.9818859999999998</v>
      </c>
      <c r="E6412">
        <v>0.35497590000000001</v>
      </c>
      <c r="F6412" t="s">
        <v>68</v>
      </c>
      <c r="G6412">
        <v>-413.65809999999999</v>
      </c>
      <c r="H6412" s="1">
        <v>-4.9762809999999998E-6</v>
      </c>
      <c r="I6412">
        <v>127.2694</v>
      </c>
      <c r="J6412">
        <v>-409.92829999999998</v>
      </c>
      <c r="K6412">
        <v>1.1278250000000001</v>
      </c>
      <c r="L6412">
        <v>138.3937</v>
      </c>
      <c r="M6412">
        <v>-0.87203330000000001</v>
      </c>
      <c r="N6412">
        <v>-1.478465E-2</v>
      </c>
      <c r="O6412">
        <v>-0.48922330000000003</v>
      </c>
      <c r="P6412">
        <v>-0.63920889999999997</v>
      </c>
      <c r="Q6412">
        <v>-6.7297510000000005E-2</v>
      </c>
      <c r="R6412">
        <v>-0.76608319999999996</v>
      </c>
      <c r="S6412">
        <v>-1.0514829999999999</v>
      </c>
      <c r="T6412">
        <v>-0.30378699999999997</v>
      </c>
      <c r="U6412">
        <v>-3.0259860000000001</v>
      </c>
      <c r="V6412">
        <v>-0.35446680000000003</v>
      </c>
      <c r="W6412">
        <v>-5.9214330000000003E-2</v>
      </c>
      <c r="X6412">
        <v>0.93319180000000002</v>
      </c>
      <c r="Y6412">
        <v>-0.66161159999999997</v>
      </c>
      <c r="Z6412">
        <v>2.9881579999999999E-3</v>
      </c>
      <c r="AA6412">
        <v>0.74984090000000003</v>
      </c>
      <c r="AB6412">
        <v>21</v>
      </c>
      <c r="AC6412">
        <v>-3.7298000000000102</v>
      </c>
      <c r="AD6412">
        <v>-1.127829976281</v>
      </c>
      <c r="AE6412">
        <v>-11.1242999999999</v>
      </c>
      <c r="AF6412">
        <v>-7.8047986951151902</v>
      </c>
      <c r="AG6412">
        <v>-1.127829976281</v>
      </c>
      <c r="AH6412">
        <v>8.6161131372277797</v>
      </c>
      <c r="AI6412">
        <v>95.541120812349504</v>
      </c>
      <c r="AJ6412">
        <v>132.17146498569801</v>
      </c>
      <c r="AK6412">
        <v>11.680080852467499</v>
      </c>
      <c r="AL6412">
        <v>93.394717032912993</v>
      </c>
      <c r="AM6412">
        <v>110.798953123979</v>
      </c>
      <c r="AN6412">
        <v>0.99999999238341397</v>
      </c>
    </row>
    <row r="6413" spans="1:40" x14ac:dyDescent="0.25">
      <c r="A6413" t="str">
        <f>"20190303153936476"</f>
        <v>20190303153936476</v>
      </c>
      <c r="B6413" t="str">
        <f>"1551598776464794"</f>
        <v>1551598776464794</v>
      </c>
      <c r="C6413" t="s">
        <v>40</v>
      </c>
      <c r="D6413">
        <v>4.0649800000000003</v>
      </c>
      <c r="E6413">
        <v>0.36351050000000001</v>
      </c>
      <c r="F6413" t="s">
        <v>68</v>
      </c>
      <c r="G6413">
        <v>-413.72930000000002</v>
      </c>
      <c r="H6413" s="1">
        <v>-4.9281899999999998E-6</v>
      </c>
      <c r="I6413">
        <v>127.15940000000001</v>
      </c>
      <c r="J6413">
        <v>-410.0992</v>
      </c>
      <c r="K6413">
        <v>1.1277779999999999</v>
      </c>
      <c r="L6413">
        <v>138.28270000000001</v>
      </c>
      <c r="M6413">
        <v>-0.86646209999999901</v>
      </c>
      <c r="N6413">
        <v>-1.4776890000000001E-2</v>
      </c>
      <c r="O6413">
        <v>-0.49902419999999997</v>
      </c>
      <c r="P6413">
        <v>-0.63239330000000005</v>
      </c>
      <c r="Q6413">
        <v>-6.7858740000000001E-2</v>
      </c>
      <c r="R6413">
        <v>-0.77166990000000002</v>
      </c>
      <c r="S6413">
        <v>-1.026184</v>
      </c>
      <c r="T6413">
        <v>-0.30449270000000001</v>
      </c>
      <c r="U6413">
        <v>-3.0330509999999999</v>
      </c>
      <c r="V6413">
        <v>-0.35217189999999998</v>
      </c>
      <c r="W6413">
        <v>-5.9700660000000003E-2</v>
      </c>
      <c r="X6413">
        <v>0.93402929999999995</v>
      </c>
      <c r="Y6413">
        <v>-0.65933229999999998</v>
      </c>
      <c r="Z6413">
        <v>4.2179990000000001E-3</v>
      </c>
      <c r="AA6413">
        <v>0.75183990000000001</v>
      </c>
      <c r="AB6413">
        <v>21</v>
      </c>
      <c r="AC6413">
        <v>-3.6301000000000201</v>
      </c>
      <c r="AD6413">
        <v>-1.12778292819</v>
      </c>
      <c r="AE6413">
        <v>-11.1233</v>
      </c>
      <c r="AF6413">
        <v>-7.75521604422614</v>
      </c>
      <c r="AG6413">
        <v>-1.12778292819</v>
      </c>
      <c r="AH6413">
        <v>8.6170342442460495</v>
      </c>
      <c r="AI6413">
        <v>95.556348645101707</v>
      </c>
      <c r="AJ6413">
        <v>131.98679085885999</v>
      </c>
      <c r="AK6413">
        <v>11.6476842931223</v>
      </c>
      <c r="AL6413">
        <v>93.422631135228599</v>
      </c>
      <c r="AM6413">
        <v>110.65874453916</v>
      </c>
      <c r="AN6413">
        <v>0.99999997460626699</v>
      </c>
    </row>
    <row r="6414" spans="1:40" x14ac:dyDescent="0.25">
      <c r="A6414" t="str">
        <f>"20190303153936497"</f>
        <v>20190303153936497</v>
      </c>
      <c r="B6414" t="str">
        <f>"1551598776495050"</f>
        <v>1551598776495050</v>
      </c>
      <c r="C6414" t="s">
        <v>40</v>
      </c>
      <c r="D6414">
        <v>4.2921880000000003</v>
      </c>
      <c r="E6414">
        <v>0.40671750000000001</v>
      </c>
      <c r="F6414" t="s">
        <v>68</v>
      </c>
      <c r="G6414">
        <v>-414.23419999999999</v>
      </c>
      <c r="H6414" s="1">
        <v>-4.628982E-6</v>
      </c>
      <c r="I6414">
        <v>126.5</v>
      </c>
      <c r="J6414">
        <v>-410.26920000000001</v>
      </c>
      <c r="K6414">
        <v>1.127732</v>
      </c>
      <c r="L6414">
        <v>138.16970000000001</v>
      </c>
      <c r="M6414">
        <v>-0.86078500000000002</v>
      </c>
      <c r="N6414">
        <v>-1.476829E-2</v>
      </c>
      <c r="O6414">
        <v>-0.5087545</v>
      </c>
      <c r="P6414">
        <v>-0.62701790000000002</v>
      </c>
      <c r="Q6414">
        <v>-6.8997929999999999E-2</v>
      </c>
      <c r="R6414">
        <v>-0.77594339999999995</v>
      </c>
      <c r="S6414">
        <v>-1.0527040000000001</v>
      </c>
      <c r="T6414">
        <v>-0.2871205</v>
      </c>
      <c r="U6414">
        <v>-2.9997410000000002</v>
      </c>
      <c r="V6414">
        <v>-0.34803919999999999</v>
      </c>
      <c r="W6414">
        <v>-6.0725710000000002E-2</v>
      </c>
      <c r="X6414">
        <v>0.93551119999999999</v>
      </c>
      <c r="Y6414">
        <v>-0.64245959999999902</v>
      </c>
      <c r="Z6414">
        <v>5.5016070000000004E-3</v>
      </c>
      <c r="AA6414">
        <v>0.76629979999999998</v>
      </c>
      <c r="AB6414">
        <v>21</v>
      </c>
      <c r="AC6414">
        <v>-3.9649999999999701</v>
      </c>
      <c r="AD6414">
        <v>-1.1277366289819999</v>
      </c>
      <c r="AE6414">
        <v>-11.669700000000001</v>
      </c>
      <c r="AF6414">
        <v>-7.9621047494489998</v>
      </c>
      <c r="AG6414">
        <v>-1.1277366289819999</v>
      </c>
      <c r="AH6414">
        <v>9.2734040162084401</v>
      </c>
      <c r="AI6414">
        <v>95.271570564155297</v>
      </c>
      <c r="AJ6414">
        <v>130.649246414027</v>
      </c>
      <c r="AK6414">
        <v>12.2744826364852</v>
      </c>
      <c r="AL6414">
        <v>93.481468670813598</v>
      </c>
      <c r="AM6414">
        <v>110.406763042203</v>
      </c>
      <c r="AN6414">
        <v>1.0000000509585401</v>
      </c>
    </row>
    <row r="6415" spans="1:40" x14ac:dyDescent="0.25">
      <c r="A6415" t="str">
        <f>"20190303153936520"</f>
        <v>20190303153936520</v>
      </c>
      <c r="B6415" t="str">
        <f>"1551598776514570"</f>
        <v>1551598776514570</v>
      </c>
      <c r="C6415" t="s">
        <v>40</v>
      </c>
      <c r="D6415">
        <v>4.2802179999999996</v>
      </c>
      <c r="E6415">
        <v>0.4152807</v>
      </c>
      <c r="F6415" t="s">
        <v>44</v>
      </c>
      <c r="G6415">
        <v>-410.68150000000003</v>
      </c>
      <c r="H6415">
        <v>1.0684209999999901</v>
      </c>
      <c r="I6415">
        <v>137.2852</v>
      </c>
      <c r="J6415">
        <v>-410.44080000000002</v>
      </c>
      <c r="K6415">
        <v>1.1276820000000001</v>
      </c>
      <c r="L6415">
        <v>138.05279999999999</v>
      </c>
      <c r="M6415">
        <v>-0.85491819999999896</v>
      </c>
      <c r="N6415">
        <v>-1.47587E-2</v>
      </c>
      <c r="O6415">
        <v>-0.51855280000000004</v>
      </c>
      <c r="P6415">
        <v>-0.62327399999999999</v>
      </c>
      <c r="Q6415">
        <v>-7.0618459999999994E-2</v>
      </c>
      <c r="R6415">
        <v>-0.77880839999999996</v>
      </c>
      <c r="S6415">
        <v>-1.3031619999999999</v>
      </c>
      <c r="T6415">
        <v>-0.1874759</v>
      </c>
      <c r="U6415">
        <v>-2.796494</v>
      </c>
      <c r="V6415">
        <v>-0.3417152</v>
      </c>
      <c r="W6415">
        <v>-6.2185299999999999E-2</v>
      </c>
      <c r="X6415">
        <v>0.93774389999999996</v>
      </c>
      <c r="Y6415">
        <v>-0.55530809999999997</v>
      </c>
      <c r="Z6415">
        <v>4.2675600000000001E-3</v>
      </c>
      <c r="AA6415">
        <v>0.83163369999999903</v>
      </c>
      <c r="AB6415">
        <v>21</v>
      </c>
      <c r="AC6415">
        <v>-0.24070000000000299</v>
      </c>
      <c r="AD6415">
        <v>-5.9261000000000202E-2</v>
      </c>
      <c r="AE6415">
        <v>-0.76759999999998696</v>
      </c>
      <c r="AF6415">
        <v>-0.52860885000169</v>
      </c>
      <c r="AG6415">
        <v>-5.9261000000000202E-2</v>
      </c>
      <c r="AH6415">
        <v>0.60062630982472498</v>
      </c>
      <c r="AI6415">
        <v>94.2359276956456</v>
      </c>
      <c r="AJ6415">
        <v>131.350878935281</v>
      </c>
      <c r="AK6415">
        <v>0.80230364979524804</v>
      </c>
      <c r="AL6415">
        <v>93.565255732535107</v>
      </c>
      <c r="AM6415">
        <v>110.02181167627499</v>
      </c>
      <c r="AN6415">
        <v>0.99999995571716904</v>
      </c>
    </row>
    <row r="6416" spans="1:40" x14ac:dyDescent="0.25">
      <c r="A6416" t="str">
        <f>"20190303153936542"</f>
        <v>20190303153936542</v>
      </c>
      <c r="B6416" t="str">
        <f>"1551598776535066"</f>
        <v>1551598776535066</v>
      </c>
      <c r="C6416" t="s">
        <v>40</v>
      </c>
      <c r="D6416">
        <v>4.3171189999999999</v>
      </c>
      <c r="E6416">
        <v>0.4197941</v>
      </c>
      <c r="F6416" t="s">
        <v>44</v>
      </c>
      <c r="G6416">
        <v>-410.85270000000003</v>
      </c>
      <c r="H6416">
        <v>1.0703910000000001</v>
      </c>
      <c r="I6416">
        <v>137.20609999999999</v>
      </c>
      <c r="J6416">
        <v>-410.61</v>
      </c>
      <c r="K6416">
        <v>1.127632</v>
      </c>
      <c r="L6416">
        <v>137.9348</v>
      </c>
      <c r="M6416">
        <v>-0.84900140000000002</v>
      </c>
      <c r="N6416">
        <v>-1.4747909999999999E-2</v>
      </c>
      <c r="O6416">
        <v>-0.52818480000000001</v>
      </c>
      <c r="P6416">
        <v>-0.62095049999999996</v>
      </c>
      <c r="Q6416">
        <v>-7.1939249999999996E-2</v>
      </c>
      <c r="R6416">
        <v>-0.78054179999999995</v>
      </c>
      <c r="S6416">
        <v>-1.343018</v>
      </c>
      <c r="T6416">
        <v>-0.18678020000000001</v>
      </c>
      <c r="U6416">
        <v>-2.7603149999999999</v>
      </c>
      <c r="V6416">
        <v>-0.33379009999999998</v>
      </c>
      <c r="W6416">
        <v>-6.3311779999999998E-2</v>
      </c>
      <c r="X6416">
        <v>0.94051890000000005</v>
      </c>
      <c r="Y6416">
        <v>-0.53182700000000005</v>
      </c>
      <c r="Z6416">
        <v>5.8513740000000003E-3</v>
      </c>
      <c r="AA6416">
        <v>0.8468329</v>
      </c>
      <c r="AB6416">
        <v>21</v>
      </c>
      <c r="AC6416">
        <v>-0.24270000000001299</v>
      </c>
      <c r="AD6416">
        <v>-5.7240999999999799E-2</v>
      </c>
      <c r="AE6416">
        <v>-0.72870000000000301</v>
      </c>
      <c r="AF6416">
        <v>-0.48782069035502601</v>
      </c>
      <c r="AG6416">
        <v>-5.7240999999999799E-2</v>
      </c>
      <c r="AH6416">
        <v>0.58774066141457804</v>
      </c>
      <c r="AI6416">
        <v>94.285806489250703</v>
      </c>
      <c r="AJ6416">
        <v>129.69243888279999</v>
      </c>
      <c r="AK6416">
        <v>0.76595342097251595</v>
      </c>
      <c r="AL6416">
        <v>93.629925543619805</v>
      </c>
      <c r="AM6416">
        <v>109.539770727098</v>
      </c>
      <c r="AN6416">
        <v>1.00000000680099</v>
      </c>
    </row>
    <row r="6417" spans="1:40" x14ac:dyDescent="0.25">
      <c r="A6417" t="str">
        <f>"20190303153936565"</f>
        <v>20190303153936565</v>
      </c>
      <c r="B6417" t="str">
        <f>"1551598776554586"</f>
        <v>1551598776554586</v>
      </c>
      <c r="C6417" t="s">
        <v>40</v>
      </c>
      <c r="D6417">
        <v>4.2759080000000003</v>
      </c>
      <c r="E6417">
        <v>0.42215589999999997</v>
      </c>
      <c r="F6417" t="s">
        <v>44</v>
      </c>
      <c r="G6417">
        <v>-411.0163</v>
      </c>
      <c r="H6417">
        <v>1.0736059999999901</v>
      </c>
      <c r="I6417">
        <v>137.11799999999999</v>
      </c>
      <c r="J6417">
        <v>-410.77670000000001</v>
      </c>
      <c r="K6417">
        <v>1.1275869999999999</v>
      </c>
      <c r="L6417">
        <v>137.8158</v>
      </c>
      <c r="M6417">
        <v>-0.84304500000000004</v>
      </c>
      <c r="N6417">
        <v>-1.473591E-2</v>
      </c>
      <c r="O6417">
        <v>-0.53764129999999999</v>
      </c>
      <c r="P6417">
        <v>-0.61858340000000001</v>
      </c>
      <c r="Q6417">
        <v>-7.2241600000000003E-2</v>
      </c>
      <c r="R6417">
        <v>-0.78239130000000001</v>
      </c>
      <c r="S6417">
        <v>-1.363586</v>
      </c>
      <c r="T6417">
        <v>-0.1813507</v>
      </c>
      <c r="U6417">
        <v>-2.7419889999999998</v>
      </c>
      <c r="V6417">
        <v>-0.32610420000000001</v>
      </c>
      <c r="W6417">
        <v>-6.3424679999999997E-2</v>
      </c>
      <c r="X6417">
        <v>0.94320380000000004</v>
      </c>
      <c r="Y6417">
        <v>-0.51498940000000004</v>
      </c>
      <c r="Z6417">
        <v>6.6120390000000001E-3</v>
      </c>
      <c r="AA6417">
        <v>0.85717109999999996</v>
      </c>
      <c r="AB6417">
        <v>21</v>
      </c>
      <c r="AC6417">
        <v>-0.23959999999999501</v>
      </c>
      <c r="AD6417">
        <v>-5.3981000000000202E-2</v>
      </c>
      <c r="AE6417">
        <v>-0.69779999999999998</v>
      </c>
      <c r="AF6417">
        <v>-0.457061035664663</v>
      </c>
      <c r="AG6417">
        <v>-5.3981000000000202E-2</v>
      </c>
      <c r="AH6417">
        <v>0.57414874239942604</v>
      </c>
      <c r="AI6417">
        <v>94.206960746482594</v>
      </c>
      <c r="AJ6417">
        <v>128.52214964186101</v>
      </c>
      <c r="AK6417">
        <v>0.73584340527227499</v>
      </c>
      <c r="AL6417">
        <v>93.636407202012094</v>
      </c>
      <c r="AM6417">
        <v>109.072364651714</v>
      </c>
      <c r="AN6417">
        <v>1.0000000238125899</v>
      </c>
    </row>
    <row r="6418" spans="1:40" x14ac:dyDescent="0.25">
      <c r="A6418" t="str">
        <f>"20190303153936588"</f>
        <v>20190303153936588</v>
      </c>
      <c r="B6418" t="str">
        <f>"1551598776585273"</f>
        <v>1551598776585273</v>
      </c>
      <c r="C6418" t="s">
        <v>40</v>
      </c>
      <c r="D6418">
        <v>4.3000249999999998</v>
      </c>
      <c r="E6418">
        <v>0.42438629999999999</v>
      </c>
      <c r="F6418" t="s">
        <v>44</v>
      </c>
      <c r="G6418">
        <v>-411.17439999999999</v>
      </c>
      <c r="H6418">
        <v>1.0767389999999999</v>
      </c>
      <c r="I6418">
        <v>137.02209999999999</v>
      </c>
      <c r="J6418">
        <v>-410.9436</v>
      </c>
      <c r="K6418">
        <v>1.127537</v>
      </c>
      <c r="L6418">
        <v>137.69390000000001</v>
      </c>
      <c r="M6418">
        <v>-0.83695909999999996</v>
      </c>
      <c r="N6418">
        <v>-1.4722539999999999E-2</v>
      </c>
      <c r="O6418">
        <v>-0.54706750000000004</v>
      </c>
      <c r="P6418">
        <v>-0.61454229999999999</v>
      </c>
      <c r="Q6418">
        <v>-7.170762E-2</v>
      </c>
      <c r="R6418">
        <v>-0.78561819999999905</v>
      </c>
      <c r="S6418">
        <v>-1.3703609999999999</v>
      </c>
      <c r="T6418">
        <v>-0.17521099999999901</v>
      </c>
      <c r="U6418">
        <v>-2.734756</v>
      </c>
      <c r="V6418">
        <v>-0.32044080000000003</v>
      </c>
      <c r="W6418">
        <v>-6.2741989999999997E-2</v>
      </c>
      <c r="X6418">
        <v>0.94518840000000004</v>
      </c>
      <c r="Y6418">
        <v>-0.50276779999999999</v>
      </c>
      <c r="Z6418">
        <v>7.0157170000000003E-3</v>
      </c>
      <c r="AA6418">
        <v>0.86439310000000003</v>
      </c>
      <c r="AB6418">
        <v>21</v>
      </c>
      <c r="AC6418">
        <v>-0.23079999999998699</v>
      </c>
      <c r="AD6418">
        <v>-5.07980000000001E-2</v>
      </c>
      <c r="AE6418">
        <v>-0.67180000000001805</v>
      </c>
      <c r="AF6418">
        <v>-0.433834549397418</v>
      </c>
      <c r="AG6418">
        <v>-5.07980000000001E-2</v>
      </c>
      <c r="AH6418">
        <v>0.55789776025273197</v>
      </c>
      <c r="AI6418">
        <v>94.111228637774303</v>
      </c>
      <c r="AJ6418">
        <v>127.869484559561</v>
      </c>
      <c r="AK6418">
        <v>0.70854976109647805</v>
      </c>
      <c r="AL6418">
        <v>93.597214014274897</v>
      </c>
      <c r="AM6418">
        <v>108.727851324976</v>
      </c>
      <c r="AN6418">
        <v>0.99999998755417996</v>
      </c>
    </row>
    <row r="6419" spans="1:40" x14ac:dyDescent="0.25">
      <c r="A6419" t="str">
        <f>"20190303153936610"</f>
        <v>20190303153936610</v>
      </c>
      <c r="B6419" t="str">
        <f>"1551598776604796"</f>
        <v>1551598776604796</v>
      </c>
      <c r="C6419" t="s">
        <v>40</v>
      </c>
      <c r="D6419">
        <v>4.305542</v>
      </c>
      <c r="E6419">
        <v>0.42513800000000002</v>
      </c>
      <c r="F6419" t="s">
        <v>44</v>
      </c>
      <c r="G6419">
        <v>-411.36689999999999</v>
      </c>
      <c r="H6419">
        <v>1.075974</v>
      </c>
      <c r="I6419">
        <v>136.8509</v>
      </c>
      <c r="J6419">
        <v>-411.10919999999999</v>
      </c>
      <c r="K6419">
        <v>1.1274709999999999</v>
      </c>
      <c r="L6419">
        <v>137.5701</v>
      </c>
      <c r="M6419">
        <v>-0.83080080000000001</v>
      </c>
      <c r="N6419">
        <v>-1.470811E-2</v>
      </c>
      <c r="O6419">
        <v>-0.55637559999999997</v>
      </c>
      <c r="P6419">
        <v>-0.60890509999999998</v>
      </c>
      <c r="Q6419">
        <v>-7.1248980000000003E-2</v>
      </c>
      <c r="R6419">
        <v>-0.79003710000000005</v>
      </c>
      <c r="S6419">
        <v>-1.3705750000000001</v>
      </c>
      <c r="T6419">
        <v>-0.1669995</v>
      </c>
      <c r="U6419">
        <v>-2.731293</v>
      </c>
      <c r="V6419">
        <v>-0.31670599999999999</v>
      </c>
      <c r="W6419">
        <v>-6.2174060000000003E-2</v>
      </c>
      <c r="X6419">
        <v>0.94648390000000004</v>
      </c>
      <c r="Y6419">
        <v>-0.49264049999999998</v>
      </c>
      <c r="Z6419">
        <v>7.0298490000000003E-3</v>
      </c>
      <c r="AA6419">
        <v>0.87020450000000005</v>
      </c>
      <c r="AB6419">
        <v>21</v>
      </c>
      <c r="AC6419">
        <v>-0.25769999999999899</v>
      </c>
      <c r="AD6419">
        <v>-5.1496999999999897E-2</v>
      </c>
      <c r="AE6419">
        <v>-0.71919999999999995</v>
      </c>
      <c r="AF6419">
        <v>-0.45212873064030801</v>
      </c>
      <c r="AG6419">
        <v>-5.1496999999999897E-2</v>
      </c>
      <c r="AH6419">
        <v>0.61153053045490902</v>
      </c>
      <c r="AI6419">
        <v>93.873751387043299</v>
      </c>
      <c r="AJ6419">
        <v>126.47698341083201</v>
      </c>
      <c r="AK6419">
        <v>0.76226105748482198</v>
      </c>
      <c r="AL6419">
        <v>93.564610183655901</v>
      </c>
      <c r="AM6419">
        <v>108.500920970102</v>
      </c>
      <c r="AN6419">
        <v>1.0000000385660399</v>
      </c>
    </row>
    <row r="6420" spans="1:40" x14ac:dyDescent="0.25">
      <c r="A6420" t="str">
        <f>"20190303153936632"</f>
        <v>20190303153936632</v>
      </c>
      <c r="B6420" t="str">
        <f>"1551598776625291"</f>
        <v>1551598776625291</v>
      </c>
      <c r="C6420" t="s">
        <v>40</v>
      </c>
      <c r="D6420">
        <v>4.3398320000000004</v>
      </c>
      <c r="E6420">
        <v>0.42587380000000002</v>
      </c>
      <c r="F6420" t="s">
        <v>44</v>
      </c>
      <c r="G6420">
        <v>-411.56279999999998</v>
      </c>
      <c r="H6420">
        <v>1.072473</v>
      </c>
      <c r="I6420">
        <v>136.65440000000001</v>
      </c>
      <c r="J6420">
        <v>-411.27069999999998</v>
      </c>
      <c r="K6420">
        <v>1.1274150000000001</v>
      </c>
      <c r="L6420">
        <v>137.44649999999999</v>
      </c>
      <c r="M6420">
        <v>-0.82468249999999999</v>
      </c>
      <c r="N6420">
        <v>-1.4693090000000001E-2</v>
      </c>
      <c r="O6420">
        <v>-0.56540509999999999</v>
      </c>
      <c r="P6420">
        <v>-0.60273060000000001</v>
      </c>
      <c r="Q6420">
        <v>-7.1375380000000002E-2</v>
      </c>
      <c r="R6420">
        <v>-0.79474630000000002</v>
      </c>
      <c r="S6420">
        <v>-1.355774</v>
      </c>
      <c r="T6420">
        <v>-0.1644061</v>
      </c>
      <c r="U6420">
        <v>-2.737549</v>
      </c>
      <c r="V6420">
        <v>-0.31375629999999999</v>
      </c>
      <c r="W6420">
        <v>-6.2209830000000001E-2</v>
      </c>
      <c r="X6420">
        <v>0.94746350000000001</v>
      </c>
      <c r="Y6420">
        <v>-0.48772959999999899</v>
      </c>
      <c r="Z6420">
        <v>7.3948669999999899E-3</v>
      </c>
      <c r="AA6420">
        <v>0.87296339999999994</v>
      </c>
      <c r="AB6420">
        <v>21</v>
      </c>
      <c r="AC6420">
        <v>-0.29210000000000402</v>
      </c>
      <c r="AD6420">
        <v>-5.4941999999999998E-2</v>
      </c>
      <c r="AE6420">
        <v>-0.79209999999997605</v>
      </c>
      <c r="AF6420">
        <v>-0.48607025281057398</v>
      </c>
      <c r="AG6420">
        <v>-5.4941999999999998E-2</v>
      </c>
      <c r="AH6420">
        <v>0.68591648228402702</v>
      </c>
      <c r="AI6420">
        <v>93.739196890469699</v>
      </c>
      <c r="AJ6420">
        <v>125.323045288865</v>
      </c>
      <c r="AK6420">
        <v>0.842475124083928</v>
      </c>
      <c r="AL6420">
        <v>93.566663476091307</v>
      </c>
      <c r="AM6420">
        <v>108.322493983995</v>
      </c>
      <c r="AN6420">
        <v>1.0000000812852801</v>
      </c>
    </row>
    <row r="6421" spans="1:40" x14ac:dyDescent="0.25">
      <c r="A6421" t="str">
        <f>"20190303153936655"</f>
        <v>20190303153936655</v>
      </c>
      <c r="B6421" t="str">
        <f>"1551598776644808"</f>
        <v>1551598776644808</v>
      </c>
      <c r="C6421" t="s">
        <v>40</v>
      </c>
      <c r="D6421">
        <v>4.3372570000000001</v>
      </c>
      <c r="E6421">
        <v>0.4263615</v>
      </c>
      <c r="F6421" t="s">
        <v>44</v>
      </c>
      <c r="G6421">
        <v>-411.7097</v>
      </c>
      <c r="H6421">
        <v>1.073949</v>
      </c>
      <c r="I6421">
        <v>136.547</v>
      </c>
      <c r="J6421">
        <v>-411.43540000000002</v>
      </c>
      <c r="K6421">
        <v>1.127367</v>
      </c>
      <c r="L6421">
        <v>137.3176</v>
      </c>
      <c r="M6421">
        <v>-0.81831589999999998</v>
      </c>
      <c r="N6421">
        <v>-1.467765E-2</v>
      </c>
      <c r="O6421">
        <v>-0.57458140000000002</v>
      </c>
      <c r="P6421">
        <v>-0.59598419999999996</v>
      </c>
      <c r="Q6421">
        <v>-7.0525130000000005E-2</v>
      </c>
      <c r="R6421">
        <v>-0.79989330000000003</v>
      </c>
      <c r="S6421">
        <v>-1.3392329999999999</v>
      </c>
      <c r="T6421">
        <v>-0.16311510000000001</v>
      </c>
      <c r="U6421">
        <v>-2.7444609999999998</v>
      </c>
      <c r="V6421">
        <v>-0.3112743</v>
      </c>
      <c r="W6421">
        <v>-6.1280809999999998E-2</v>
      </c>
      <c r="X6421">
        <v>0.94834229999999997</v>
      </c>
      <c r="Y6421">
        <v>-0.48310360000000002</v>
      </c>
      <c r="Z6421">
        <v>7.8908669999999993E-3</v>
      </c>
      <c r="AA6421">
        <v>0.87552759999999996</v>
      </c>
      <c r="AB6421">
        <v>21</v>
      </c>
      <c r="AC6421">
        <v>-0.274299999999982</v>
      </c>
      <c r="AD6421">
        <v>-5.3417999999999903E-2</v>
      </c>
      <c r="AE6421">
        <v>-0.77060000000000095</v>
      </c>
      <c r="AF6421">
        <v>-0.471028598901369</v>
      </c>
      <c r="AG6421">
        <v>-5.3417999999999903E-2</v>
      </c>
      <c r="AH6421">
        <v>0.66447441362487303</v>
      </c>
      <c r="AI6421">
        <v>93.752346197926798</v>
      </c>
      <c r="AJ6421">
        <v>125.331834150416</v>
      </c>
      <c r="AK6421">
        <v>0.81623995863294097</v>
      </c>
      <c r="AL6421">
        <v>93.513332825181806</v>
      </c>
      <c r="AM6421">
        <v>108.171382572295</v>
      </c>
      <c r="AN6421">
        <v>1.00000007274201</v>
      </c>
    </row>
    <row r="6422" spans="1:40" x14ac:dyDescent="0.25">
      <c r="A6422" t="str">
        <f>"20190303153936677"</f>
        <v>20190303153936677</v>
      </c>
      <c r="B6422" t="str">
        <f>"1551598776665304"</f>
        <v>1551598776665304</v>
      </c>
      <c r="C6422" t="s">
        <v>40</v>
      </c>
      <c r="D6422">
        <v>4.3191490000000003</v>
      </c>
      <c r="E6422">
        <v>0.42677989999999999</v>
      </c>
      <c r="F6422" t="s">
        <v>44</v>
      </c>
      <c r="G6422">
        <v>-411.858</v>
      </c>
      <c r="H6422">
        <v>1.07657</v>
      </c>
      <c r="I6422">
        <v>136.4358</v>
      </c>
      <c r="J6422">
        <v>-411.59269999999998</v>
      </c>
      <c r="K6422">
        <v>1.127332</v>
      </c>
      <c r="L6422">
        <v>137.1918</v>
      </c>
      <c r="M6422">
        <v>-0.8121216</v>
      </c>
      <c r="N6422">
        <v>-1.466314E-2</v>
      </c>
      <c r="O6422">
        <v>-0.58330389999999999</v>
      </c>
      <c r="P6422">
        <v>-0.58892349999999904</v>
      </c>
      <c r="Q6422">
        <v>-7.0067470000000007E-2</v>
      </c>
      <c r="R6422">
        <v>-0.80514569999999996</v>
      </c>
      <c r="S6422">
        <v>-1.3190309999999901</v>
      </c>
      <c r="T6422">
        <v>-0.15859200000000001</v>
      </c>
      <c r="U6422">
        <v>-2.7536770000000002</v>
      </c>
      <c r="V6422">
        <v>-0.30951990000000001</v>
      </c>
      <c r="W6422">
        <v>-6.0763869999999998E-2</v>
      </c>
      <c r="X6422">
        <v>0.9489495</v>
      </c>
      <c r="Y6422">
        <v>-0.48011930000000003</v>
      </c>
      <c r="Z6422">
        <v>7.8967329999999995E-3</v>
      </c>
      <c r="AA6422">
        <v>0.87716769999999999</v>
      </c>
      <c r="AB6422">
        <v>21</v>
      </c>
      <c r="AC6422">
        <v>-0.26530000000002402</v>
      </c>
      <c r="AD6422">
        <v>-5.0761999999999897E-2</v>
      </c>
      <c r="AE6422">
        <v>-0.75600000000000001</v>
      </c>
      <c r="AF6422">
        <v>-0.45742660254220702</v>
      </c>
      <c r="AG6422">
        <v>-5.0761999999999897E-2</v>
      </c>
      <c r="AH6422">
        <v>0.65387942137771204</v>
      </c>
      <c r="AI6422">
        <v>93.639786891770399</v>
      </c>
      <c r="AJ6422">
        <v>124.975021513768</v>
      </c>
      <c r="AK6422">
        <v>0.79960876374546996</v>
      </c>
      <c r="AL6422">
        <v>93.483659352848505</v>
      </c>
      <c r="AM6422">
        <v>108.064829404957</v>
      </c>
      <c r="AN6422">
        <v>0.99999998497181797</v>
      </c>
    </row>
    <row r="6423" spans="1:40" x14ac:dyDescent="0.25">
      <c r="A6423" t="str">
        <f>"20190303153936700"</f>
        <v>20190303153936700</v>
      </c>
      <c r="B6423" t="str">
        <f>"1551598776694584"</f>
        <v>1551598776694584</v>
      </c>
      <c r="C6423" t="s">
        <v>40</v>
      </c>
      <c r="D6423">
        <v>4.3435030000000001</v>
      </c>
      <c r="E6423">
        <v>0.42738359999999898</v>
      </c>
      <c r="F6423" t="s">
        <v>44</v>
      </c>
      <c r="G6423">
        <v>-412.02249999999998</v>
      </c>
      <c r="H6423">
        <v>1.076004</v>
      </c>
      <c r="I6423">
        <v>136.2765</v>
      </c>
      <c r="J6423">
        <v>-411.75330000000002</v>
      </c>
      <c r="K6423">
        <v>1.127283</v>
      </c>
      <c r="L6423">
        <v>137.0607</v>
      </c>
      <c r="M6423">
        <v>-0.80568059999999997</v>
      </c>
      <c r="N6423">
        <v>-1.464822E-2</v>
      </c>
      <c r="O6423">
        <v>-0.59216899999999995</v>
      </c>
      <c r="P6423">
        <v>-0.58172199999999996</v>
      </c>
      <c r="Q6423">
        <v>-7.0662290000000003E-2</v>
      </c>
      <c r="R6423">
        <v>-0.8103127</v>
      </c>
      <c r="S6423">
        <v>-1.2976989999999999</v>
      </c>
      <c r="T6423">
        <v>-0.15496670000000001</v>
      </c>
      <c r="U6423">
        <v>-2.763382</v>
      </c>
      <c r="V6423">
        <v>-0.30753900000000001</v>
      </c>
      <c r="W6423">
        <v>-6.1297320000000002E-2</v>
      </c>
      <c r="X6423">
        <v>0.94955900000000004</v>
      </c>
      <c r="Y6423">
        <v>-0.4772536</v>
      </c>
      <c r="Z6423">
        <v>7.9848379999999993E-3</v>
      </c>
      <c r="AA6423">
        <v>0.87872929999999905</v>
      </c>
      <c r="AB6423">
        <v>21</v>
      </c>
      <c r="AC6423">
        <v>-0.26919999999995498</v>
      </c>
      <c r="AD6423">
        <v>-5.1278999999999797E-2</v>
      </c>
      <c r="AE6423">
        <v>-0.78419999999999801</v>
      </c>
      <c r="AF6423">
        <v>-0.47065323321005098</v>
      </c>
      <c r="AG6423">
        <v>-5.1278999999999797E-2</v>
      </c>
      <c r="AH6423">
        <v>0.67874499196311699</v>
      </c>
      <c r="AI6423">
        <v>93.552600122556797</v>
      </c>
      <c r="AJ6423">
        <v>124.73809215090699</v>
      </c>
      <c r="AK6423">
        <v>0.82754985704009798</v>
      </c>
      <c r="AL6423">
        <v>93.5142810053093</v>
      </c>
      <c r="AM6423">
        <v>107.945874120919</v>
      </c>
      <c r="AN6423">
        <v>0.99999994622058896</v>
      </c>
    </row>
    <row r="6424" spans="1:40" x14ac:dyDescent="0.25">
      <c r="A6424" t="str">
        <f>"20190303153936721"</f>
        <v>20190303153936721</v>
      </c>
      <c r="B6424" t="str">
        <f>"1551598776715080"</f>
        <v>1551598776715080</v>
      </c>
      <c r="C6424" t="s">
        <v>40</v>
      </c>
      <c r="D6424">
        <v>4.3313790000000001</v>
      </c>
      <c r="E6424">
        <v>0.42771940000000003</v>
      </c>
      <c r="F6424" t="s">
        <v>44</v>
      </c>
      <c r="G6424">
        <v>-412.18279999999999</v>
      </c>
      <c r="H6424">
        <v>1.075439</v>
      </c>
      <c r="I6424">
        <v>136.1284</v>
      </c>
      <c r="J6424">
        <v>-411.90600000000001</v>
      </c>
      <c r="K6424">
        <v>1.127219</v>
      </c>
      <c r="L6424">
        <v>136.9332</v>
      </c>
      <c r="M6424">
        <v>-0.79944709999999997</v>
      </c>
      <c r="N6424">
        <v>-1.463331E-2</v>
      </c>
      <c r="O6424">
        <v>-0.6005585</v>
      </c>
      <c r="P6424">
        <v>-0.57419639999999905</v>
      </c>
      <c r="Q6424">
        <v>-7.0840810000000004E-2</v>
      </c>
      <c r="R6424">
        <v>-0.81564740000000002</v>
      </c>
      <c r="S6424">
        <v>-1.2770079999999999</v>
      </c>
      <c r="T6424">
        <v>-0.15414639999999999</v>
      </c>
      <c r="U6424">
        <v>-2.7720950000000002</v>
      </c>
      <c r="V6424">
        <v>-0.30639620000000001</v>
      </c>
      <c r="W6424">
        <v>-6.1430999999999902E-2</v>
      </c>
      <c r="X6424">
        <v>0.94991979999999998</v>
      </c>
      <c r="Y6424">
        <v>-0.4745355</v>
      </c>
      <c r="Z6424">
        <v>8.3874190000000001E-3</v>
      </c>
      <c r="AA6424">
        <v>0.88019639999999999</v>
      </c>
      <c r="AB6424">
        <v>21</v>
      </c>
      <c r="AC6424">
        <v>-0.27679999999998001</v>
      </c>
      <c r="AD6424">
        <v>-5.1779999999999902E-2</v>
      </c>
      <c r="AE6424">
        <v>-0.80479999999999996</v>
      </c>
      <c r="AF6424">
        <v>-0.475451510320899</v>
      </c>
      <c r="AG6424">
        <v>-5.1779999999999902E-2</v>
      </c>
      <c r="AH6424">
        <v>0.702092894373466</v>
      </c>
      <c r="AI6424">
        <v>93.494497348502193</v>
      </c>
      <c r="AJ6424">
        <v>124.105532888179</v>
      </c>
      <c r="AK6424">
        <v>0.84951147102092495</v>
      </c>
      <c r="AL6424">
        <v>93.5219545324385</v>
      </c>
      <c r="AM6424">
        <v>107.877082658806</v>
      </c>
      <c r="AN6424">
        <v>1.0000000127837301</v>
      </c>
    </row>
    <row r="6425" spans="1:40" x14ac:dyDescent="0.25">
      <c r="A6425" t="str">
        <f>"20190303153936744"</f>
        <v>20190303153936744</v>
      </c>
      <c r="B6425" t="str">
        <f>"1551598776735576"</f>
        <v>1551598776735576</v>
      </c>
      <c r="C6425" t="s">
        <v>40</v>
      </c>
      <c r="D6425">
        <v>4.355137</v>
      </c>
      <c r="E6425">
        <v>0.428068</v>
      </c>
      <c r="F6425" t="s">
        <v>42</v>
      </c>
      <c r="G6425">
        <v>-421.06079999999997</v>
      </c>
      <c r="H6425" s="1">
        <v>-3.298336E-6</v>
      </c>
      <c r="I6425">
        <v>116.61969999999999</v>
      </c>
      <c r="J6425">
        <v>-412.06509999999997</v>
      </c>
      <c r="K6425">
        <v>1.1271530000000001</v>
      </c>
      <c r="L6425">
        <v>136.79769999999999</v>
      </c>
      <c r="M6425">
        <v>-0.79284299999999996</v>
      </c>
      <c r="N6425">
        <v>-1.461662E-2</v>
      </c>
      <c r="O6425">
        <v>-0.60925079999999998</v>
      </c>
      <c r="P6425">
        <v>-0.56777069999999996</v>
      </c>
      <c r="Q6425">
        <v>-7.1118899999999999E-2</v>
      </c>
      <c r="R6425">
        <v>-0.82010919999999898</v>
      </c>
      <c r="S6425">
        <v>-1.253784</v>
      </c>
      <c r="T6425">
        <v>-0.1543775</v>
      </c>
      <c r="U6425">
        <v>-2.7820130000000001</v>
      </c>
      <c r="V6425">
        <v>-0.30347540000000001</v>
      </c>
      <c r="W6425">
        <v>-6.1626510000000002E-2</v>
      </c>
      <c r="X6425">
        <v>0.95084429999999998</v>
      </c>
      <c r="Y6425">
        <v>-0.47221400000000002</v>
      </c>
      <c r="Z6425">
        <v>8.9283469999999997E-3</v>
      </c>
      <c r="AA6425">
        <v>0.88143869999999902</v>
      </c>
      <c r="AB6425">
        <v>21</v>
      </c>
      <c r="AC6425">
        <v>-8.9956999999999994</v>
      </c>
      <c r="AD6425">
        <v>-1.127156298336</v>
      </c>
      <c r="AE6425">
        <v>-20.178000000000001</v>
      </c>
      <c r="AF6425">
        <v>-10.491162214635899</v>
      </c>
      <c r="AG6425">
        <v>-1.127156298336</v>
      </c>
      <c r="AH6425">
        <v>19.377273861073899</v>
      </c>
      <c r="AI6425">
        <v>92.928292525166199</v>
      </c>
      <c r="AJ6425">
        <v>118.43181441079</v>
      </c>
      <c r="AK6425">
        <v>22.063855243854</v>
      </c>
      <c r="AL6425">
        <v>93.533177690293002</v>
      </c>
      <c r="AM6425">
        <v>107.701218194636</v>
      </c>
      <c r="AN6425">
        <v>1.00000001399121</v>
      </c>
    </row>
    <row r="6426" spans="1:40" x14ac:dyDescent="0.25">
      <c r="A6426" t="str">
        <f>"20190303153936765"</f>
        <v>20190303153936765</v>
      </c>
      <c r="B6426" t="str">
        <f>"1551598776755096"</f>
        <v>1551598776755096</v>
      </c>
      <c r="C6426" t="s">
        <v>40</v>
      </c>
      <c r="D6426">
        <v>4.3854230000000003</v>
      </c>
      <c r="E6426">
        <v>0.42856719999999998</v>
      </c>
      <c r="F6426" t="s">
        <v>42</v>
      </c>
      <c r="G6426">
        <v>-421.10599999999999</v>
      </c>
      <c r="H6426" s="1">
        <v>-3.1988889999999999E-6</v>
      </c>
      <c r="I6426">
        <v>116.35980000000001</v>
      </c>
      <c r="J6426">
        <v>-412.21289999999999</v>
      </c>
      <c r="K6426">
        <v>1.127078</v>
      </c>
      <c r="L6426">
        <v>136.66919999999999</v>
      </c>
      <c r="M6426">
        <v>-0.78661169999999903</v>
      </c>
      <c r="N6426">
        <v>-1.4600210000000001E-2</v>
      </c>
      <c r="O6426">
        <v>-0.61727569999999998</v>
      </c>
      <c r="P6426">
        <v>-0.56209149999999997</v>
      </c>
      <c r="Q6426">
        <v>-7.2228959999999995E-2</v>
      </c>
      <c r="R6426">
        <v>-0.82391519999999996</v>
      </c>
      <c r="S6426">
        <v>-1.234283</v>
      </c>
      <c r="T6426">
        <v>-0.15388199999999999</v>
      </c>
      <c r="U6426">
        <v>-2.790222</v>
      </c>
      <c r="V6426">
        <v>-0.30030119999999999</v>
      </c>
      <c r="W6426">
        <v>-6.2649670000000005E-2</v>
      </c>
      <c r="X6426">
        <v>0.95178470000000004</v>
      </c>
      <c r="Y6426">
        <v>-0.4693755</v>
      </c>
      <c r="Z6426">
        <v>9.3545620000000003E-3</v>
      </c>
      <c r="AA6426">
        <v>0.88294910000000004</v>
      </c>
      <c r="AB6426">
        <v>21</v>
      </c>
      <c r="AC6426">
        <v>-8.8931000000000004</v>
      </c>
      <c r="AD6426">
        <v>-1.1270811988889999</v>
      </c>
      <c r="AE6426">
        <v>-20.309399999999901</v>
      </c>
      <c r="AF6426">
        <v>-10.4602009462834</v>
      </c>
      <c r="AG6426">
        <v>-1.1270811988889999</v>
      </c>
      <c r="AH6426">
        <v>19.483642951672199</v>
      </c>
      <c r="AI6426">
        <v>92.917664071325206</v>
      </c>
      <c r="AJ6426">
        <v>118.23005692602599</v>
      </c>
      <c r="AK6426">
        <v>22.142684086030801</v>
      </c>
      <c r="AL6426">
        <v>93.591914163538107</v>
      </c>
      <c r="AM6426">
        <v>107.51120417552001</v>
      </c>
      <c r="AN6426">
        <v>0.99999995351331805</v>
      </c>
    </row>
    <row r="6427" spans="1:40" x14ac:dyDescent="0.25">
      <c r="A6427" t="str">
        <f>"20190303153936789"</f>
        <v>20190303153936789</v>
      </c>
      <c r="B6427" t="str">
        <f>"1551598776785352"</f>
        <v>1551598776785352</v>
      </c>
      <c r="C6427" t="s">
        <v>40</v>
      </c>
      <c r="D6427">
        <v>4.3947440000000002</v>
      </c>
      <c r="E6427">
        <v>0.42927409999999999</v>
      </c>
      <c r="F6427" t="s">
        <v>42</v>
      </c>
      <c r="G6427">
        <v>-420.97309999999999</v>
      </c>
      <c r="H6427" s="1">
        <v>-3.2496799999999999E-6</v>
      </c>
      <c r="I6427">
        <v>116.5607</v>
      </c>
      <c r="J6427">
        <v>-412.36520000000002</v>
      </c>
      <c r="K6427">
        <v>1.1270020000000001</v>
      </c>
      <c r="L6427">
        <v>136.5341</v>
      </c>
      <c r="M6427">
        <v>-0.78008739999999999</v>
      </c>
      <c r="N6427">
        <v>-1.458252E-2</v>
      </c>
      <c r="O6427">
        <v>-0.62550069999999902</v>
      </c>
      <c r="P6427">
        <v>-0.55612349999999999</v>
      </c>
      <c r="Q6427">
        <v>-7.3789800000000003E-2</v>
      </c>
      <c r="R6427">
        <v>-0.82781740000000004</v>
      </c>
      <c r="S6427">
        <v>-1.2182010000000001</v>
      </c>
      <c r="T6427">
        <v>-0.15673319999999999</v>
      </c>
      <c r="U6427">
        <v>-2.7963100000000001</v>
      </c>
      <c r="V6427">
        <v>-0.29706709999999997</v>
      </c>
      <c r="W6427">
        <v>-6.4120609999999995E-2</v>
      </c>
      <c r="X6427">
        <v>0.95270129999999997</v>
      </c>
      <c r="Y6427">
        <v>-0.4650763</v>
      </c>
      <c r="Z6427">
        <v>1.0310400000000001E-2</v>
      </c>
      <c r="AA6427">
        <v>0.88521059999999996</v>
      </c>
      <c r="AB6427">
        <v>21</v>
      </c>
      <c r="AC6427">
        <v>-8.6078999999999706</v>
      </c>
      <c r="AD6427">
        <v>-1.12700524968</v>
      </c>
      <c r="AE6427">
        <v>-19.973400000000002</v>
      </c>
      <c r="AF6427">
        <v>-10.1705249973518</v>
      </c>
      <c r="AG6427">
        <v>-1.12700524968</v>
      </c>
      <c r="AH6427">
        <v>19.158887870852201</v>
      </c>
      <c r="AI6427">
        <v>92.974248371372099</v>
      </c>
      <c r="AJ6427">
        <v>117.961666112264</v>
      </c>
      <c r="AK6427">
        <v>21.7203292793284</v>
      </c>
      <c r="AL6427">
        <v>93.676362321911398</v>
      </c>
      <c r="AM6427">
        <v>107.318291662664</v>
      </c>
      <c r="AN6427">
        <v>1.0000000407754299</v>
      </c>
    </row>
    <row r="6428" spans="1:40" x14ac:dyDescent="0.25">
      <c r="A6428" t="str">
        <f>"20190303153936812"</f>
        <v>20190303153936812</v>
      </c>
      <c r="B6428" t="str">
        <f>"1551598776804875"</f>
        <v>1551598776804875</v>
      </c>
      <c r="C6428" t="s">
        <v>40</v>
      </c>
      <c r="D6428">
        <v>4.3980129999999997</v>
      </c>
      <c r="E6428">
        <v>0.43694719999999998</v>
      </c>
      <c r="F6428" t="s">
        <v>42</v>
      </c>
      <c r="G6428">
        <v>-420.7226</v>
      </c>
      <c r="H6428" s="1">
        <v>-3.4019669999999999E-6</v>
      </c>
      <c r="I6428">
        <v>117.071</v>
      </c>
      <c r="J6428">
        <v>-412.52170000000001</v>
      </c>
      <c r="K6428">
        <v>1.126919</v>
      </c>
      <c r="L6428">
        <v>136.3922</v>
      </c>
      <c r="M6428">
        <v>-0.77328490000000005</v>
      </c>
      <c r="N6428">
        <v>-1.456383E-2</v>
      </c>
      <c r="O6428">
        <v>-0.6338916</v>
      </c>
      <c r="P6428">
        <v>-0.55037669999999905</v>
      </c>
      <c r="Q6428">
        <v>-7.5942689999999993E-2</v>
      </c>
      <c r="R6428">
        <v>-0.83145579999999997</v>
      </c>
      <c r="S6428">
        <v>-1.2029110000000001</v>
      </c>
      <c r="T6428">
        <v>-0.1622142</v>
      </c>
      <c r="U6428">
        <v>-2.8013919999999999</v>
      </c>
      <c r="V6428">
        <v>-0.29320619999999997</v>
      </c>
      <c r="W6428">
        <v>-6.6171930000000004E-2</v>
      </c>
      <c r="X6428">
        <v>0.95375650000000001</v>
      </c>
      <c r="Y6428">
        <v>-0.46016950000000001</v>
      </c>
      <c r="Z6428">
        <v>1.1703989999999999E-2</v>
      </c>
      <c r="AA6428">
        <v>0.88775389999999998</v>
      </c>
      <c r="AB6428">
        <v>21</v>
      </c>
      <c r="AC6428">
        <v>-8.2008999999999901</v>
      </c>
      <c r="AD6428">
        <v>-1.1269224019670001</v>
      </c>
      <c r="AE6428">
        <v>-19.321200000000001</v>
      </c>
      <c r="AF6428">
        <v>-9.7153378465373201</v>
      </c>
      <c r="AG6428">
        <v>-1.1269224019670001</v>
      </c>
      <c r="AH6428">
        <v>18.5377121755904</v>
      </c>
      <c r="AI6428">
        <v>93.082075533742</v>
      </c>
      <c r="AJ6428">
        <v>117.658361661206</v>
      </c>
      <c r="AK6428">
        <v>20.959592464488601</v>
      </c>
      <c r="AL6428">
        <v>93.794144556622399</v>
      </c>
      <c r="AM6428">
        <v>107.088605618866</v>
      </c>
      <c r="AN6428">
        <v>1.0000000306653001</v>
      </c>
    </row>
    <row r="6429" spans="1:40" x14ac:dyDescent="0.25">
      <c r="A6429" t="str">
        <f>"20190303153936833"</f>
        <v>20190303153936833</v>
      </c>
      <c r="B6429" t="str">
        <f>"1551598776825368"</f>
        <v>1551598776825368</v>
      </c>
      <c r="C6429" t="s">
        <v>40</v>
      </c>
      <c r="D6429">
        <v>4.4530329999999996</v>
      </c>
      <c r="E6429">
        <v>0.43643969999999999</v>
      </c>
      <c r="F6429" t="s">
        <v>44</v>
      </c>
      <c r="G6429">
        <v>-412.92329999999998</v>
      </c>
      <c r="H6429">
        <v>1.065269</v>
      </c>
      <c r="I6429">
        <v>135.48939999999999</v>
      </c>
      <c r="J6429">
        <v>-412.66559999999998</v>
      </c>
      <c r="K6429">
        <v>1.126852</v>
      </c>
      <c r="L6429">
        <v>136.25909999999999</v>
      </c>
      <c r="M6429">
        <v>-0.76693869999999997</v>
      </c>
      <c r="N6429">
        <v>-1.454625E-2</v>
      </c>
      <c r="O6429">
        <v>-0.64155569999999995</v>
      </c>
      <c r="P6429">
        <v>-0.54525570000000001</v>
      </c>
      <c r="Q6429">
        <v>-7.8299199999999999E-2</v>
      </c>
      <c r="R6429">
        <v>-0.83460519999999905</v>
      </c>
      <c r="S6429">
        <v>-1.233765</v>
      </c>
      <c r="T6429">
        <v>-0.1894197</v>
      </c>
      <c r="U6429">
        <v>-2.7741699999999998</v>
      </c>
      <c r="V6429">
        <v>-0.28938940000000002</v>
      </c>
      <c r="W6429">
        <v>-6.8433709999999995E-2</v>
      </c>
      <c r="X6429">
        <v>0.954762</v>
      </c>
      <c r="Y6429">
        <v>-0.43979550000000001</v>
      </c>
      <c r="Z6429">
        <v>1.6991889999999999E-2</v>
      </c>
      <c r="AA6429">
        <v>0.89793719999999999</v>
      </c>
      <c r="AB6429">
        <v>21</v>
      </c>
      <c r="AC6429">
        <v>-0.25769999999999899</v>
      </c>
      <c r="AD6429">
        <v>-6.1582999999999902E-2</v>
      </c>
      <c r="AE6429">
        <v>-0.76970000000000005</v>
      </c>
      <c r="AF6429">
        <v>-0.42259616959563701</v>
      </c>
      <c r="AG6429">
        <v>-6.1582999999999902E-2</v>
      </c>
      <c r="AH6429">
        <v>0.68756084628472802</v>
      </c>
      <c r="AI6429">
        <v>94.363580453724396</v>
      </c>
      <c r="AJ6429">
        <v>121.57617057615001</v>
      </c>
      <c r="AK6429">
        <v>0.80939477746627297</v>
      </c>
      <c r="AL6429">
        <v>93.924029898675002</v>
      </c>
      <c r="AM6429">
        <v>106.862113220769</v>
      </c>
      <c r="AN6429">
        <v>0.99999993707035995</v>
      </c>
    </row>
    <row r="6430" spans="1:40" x14ac:dyDescent="0.25">
      <c r="A6430" t="str">
        <f>"20190303153936855"</f>
        <v>20190303153936855</v>
      </c>
      <c r="B6430" t="str">
        <f>"1551598776844888"</f>
        <v>1551598776844888</v>
      </c>
      <c r="C6430" t="s">
        <v>40</v>
      </c>
      <c r="D6430">
        <v>4.459778</v>
      </c>
      <c r="E6430">
        <v>0.43635420000000003</v>
      </c>
      <c r="F6430" t="s">
        <v>44</v>
      </c>
      <c r="G6430">
        <v>-413.05439999999999</v>
      </c>
      <c r="H6430">
        <v>1.063326</v>
      </c>
      <c r="I6430">
        <v>135.36689999999999</v>
      </c>
      <c r="J6430">
        <v>-412.81200000000001</v>
      </c>
      <c r="K6430">
        <v>1.126789</v>
      </c>
      <c r="L6430">
        <v>136.12100000000001</v>
      </c>
      <c r="M6430">
        <v>-0.76038409999999901</v>
      </c>
      <c r="N6430">
        <v>-1.4528839999999999E-2</v>
      </c>
      <c r="O6430">
        <v>-0.64931119999999898</v>
      </c>
      <c r="P6430">
        <v>-0.53955240000000004</v>
      </c>
      <c r="Q6430">
        <v>-7.9240229999999995E-2</v>
      </c>
      <c r="R6430">
        <v>-0.83821489999999998</v>
      </c>
      <c r="S6430">
        <v>-1.2131350000000001</v>
      </c>
      <c r="T6430">
        <v>-0.19816329999999999</v>
      </c>
      <c r="U6430">
        <v>-2.7833709999999998</v>
      </c>
      <c r="V6430">
        <v>-0.28613470000000002</v>
      </c>
      <c r="W6430">
        <v>-6.9294599999999998E-2</v>
      </c>
      <c r="X6430">
        <v>0.95568050000000004</v>
      </c>
      <c r="Y6430">
        <v>-0.43735990000000002</v>
      </c>
      <c r="Z6430">
        <v>1.893655E-2</v>
      </c>
      <c r="AA6430">
        <v>0.89908709999999903</v>
      </c>
      <c r="AB6430">
        <v>21</v>
      </c>
      <c r="AC6430">
        <v>-0.24240000000003101</v>
      </c>
      <c r="AD6430">
        <v>-6.3463000000000006E-2</v>
      </c>
      <c r="AE6430">
        <v>-0.75410000000002197</v>
      </c>
      <c r="AF6430">
        <v>-0.41340280057324003</v>
      </c>
      <c r="AG6430">
        <v>-6.3463000000000006E-2</v>
      </c>
      <c r="AH6430">
        <v>0.66973464294666996</v>
      </c>
      <c r="AI6430">
        <v>94.610019646690702</v>
      </c>
      <c r="AJ6430">
        <v>121.68552238324899</v>
      </c>
      <c r="AK6430">
        <v>0.78960364731534904</v>
      </c>
      <c r="AL6430">
        <v>93.973472339142702</v>
      </c>
      <c r="AM6430">
        <v>106.667917855349</v>
      </c>
      <c r="AN6430">
        <v>1.0000000131067499</v>
      </c>
    </row>
    <row r="6431" spans="1:40" x14ac:dyDescent="0.25">
      <c r="A6431" t="str">
        <f>"20190303153936879"</f>
        <v>20190303153936879</v>
      </c>
      <c r="B6431" t="str">
        <f>"1551598776875144"</f>
        <v>1551598776875144</v>
      </c>
      <c r="C6431" t="s">
        <v>40</v>
      </c>
      <c r="D6431">
        <v>4.4803989999999896</v>
      </c>
      <c r="E6431">
        <v>0.4369326</v>
      </c>
      <c r="F6431" t="s">
        <v>44</v>
      </c>
      <c r="G6431">
        <v>-413.20260000000002</v>
      </c>
      <c r="H6431">
        <v>1.059334</v>
      </c>
      <c r="I6431">
        <v>135.20750000000001</v>
      </c>
      <c r="J6431">
        <v>-412.959</v>
      </c>
      <c r="K6431">
        <v>1.126755</v>
      </c>
      <c r="L6431">
        <v>135.9796</v>
      </c>
      <c r="M6431">
        <v>-0.75369619999999904</v>
      </c>
      <c r="N6431">
        <v>-1.451245E-2</v>
      </c>
      <c r="O6431">
        <v>-0.65706279999999995</v>
      </c>
      <c r="P6431">
        <v>-0.53333549999999996</v>
      </c>
      <c r="Q6431">
        <v>-7.9356209999999996E-2</v>
      </c>
      <c r="R6431">
        <v>-0.84217350000000002</v>
      </c>
      <c r="S6431">
        <v>-1.19339</v>
      </c>
      <c r="T6431">
        <v>-0.206098</v>
      </c>
      <c r="U6431">
        <v>-2.7913969999999999</v>
      </c>
      <c r="V6431">
        <v>-0.28342030000000001</v>
      </c>
      <c r="W6431">
        <v>-6.9345480000000001E-2</v>
      </c>
      <c r="X6431">
        <v>0.95648529999999998</v>
      </c>
      <c r="Y6431">
        <v>-0.43447000000000002</v>
      </c>
      <c r="Z6431">
        <v>2.0833819999999999E-2</v>
      </c>
      <c r="AA6431">
        <v>0.9004453</v>
      </c>
      <c r="AB6431">
        <v>21</v>
      </c>
      <c r="AC6431">
        <v>-0.243600000000014</v>
      </c>
      <c r="AD6431">
        <v>-6.7420999999999898E-2</v>
      </c>
      <c r="AE6431">
        <v>-0.77209999999999401</v>
      </c>
      <c r="AF6431">
        <v>-0.41900703706950898</v>
      </c>
      <c r="AG6431">
        <v>-6.7420999999999898E-2</v>
      </c>
      <c r="AH6431">
        <v>0.68623246152470196</v>
      </c>
      <c r="AI6431">
        <v>94.793192244226702</v>
      </c>
      <c r="AJ6431">
        <v>121.40784345085</v>
      </c>
      <c r="AK6431">
        <v>0.80686273901142702</v>
      </c>
      <c r="AL6431">
        <v>93.9763946476874</v>
      </c>
      <c r="AM6431">
        <v>106.505311196733</v>
      </c>
      <c r="AN6431">
        <v>0.99999999558230501</v>
      </c>
    </row>
    <row r="6432" spans="1:40" x14ac:dyDescent="0.25">
      <c r="A6432" t="str">
        <f>"20190303153936900"</f>
        <v>20190303153936900</v>
      </c>
      <c r="B6432" t="str">
        <f>"1551598776894664"</f>
        <v>1551598776894664</v>
      </c>
      <c r="C6432" t="s">
        <v>40</v>
      </c>
      <c r="D6432">
        <v>4.4606309999999896</v>
      </c>
      <c r="E6432">
        <v>0.43748169999999997</v>
      </c>
      <c r="F6432" t="s">
        <v>44</v>
      </c>
      <c r="G6432">
        <v>-413.3553</v>
      </c>
      <c r="H6432">
        <v>1.0571189999999999</v>
      </c>
      <c r="I6432">
        <v>135.03749999999999</v>
      </c>
      <c r="J6432">
        <v>-413.10399999999998</v>
      </c>
      <c r="K6432">
        <v>1.1267290000000001</v>
      </c>
      <c r="L6432">
        <v>135.8373</v>
      </c>
      <c r="M6432">
        <v>-0.74698940000000003</v>
      </c>
      <c r="N6432">
        <v>-1.449742E-2</v>
      </c>
      <c r="O6432">
        <v>-0.66467810000000005</v>
      </c>
      <c r="P6432">
        <v>-0.52697280000000002</v>
      </c>
      <c r="Q6432">
        <v>-7.8917760000000003E-2</v>
      </c>
      <c r="R6432">
        <v>-0.84621049999999998</v>
      </c>
      <c r="S6432">
        <v>-1.1765749999999999</v>
      </c>
      <c r="T6432">
        <v>-0.20676310000000001</v>
      </c>
      <c r="U6432">
        <v>-2.7976070000000002</v>
      </c>
      <c r="V6432">
        <v>-0.28096739999999998</v>
      </c>
      <c r="W6432">
        <v>-6.8851480000000007E-2</v>
      </c>
      <c r="X6432">
        <v>0.9572444</v>
      </c>
      <c r="Y6432">
        <v>-0.43065300000000001</v>
      </c>
      <c r="Z6432">
        <v>2.1632430000000001E-2</v>
      </c>
      <c r="AA6432">
        <v>0.90225829999999996</v>
      </c>
      <c r="AB6432">
        <v>21</v>
      </c>
      <c r="AC6432">
        <v>-0.251299999999957</v>
      </c>
      <c r="AD6432">
        <v>-6.9609999999999894E-2</v>
      </c>
      <c r="AE6432">
        <v>-0.79980000000000395</v>
      </c>
      <c r="AF6432">
        <v>-0.42750631685165602</v>
      </c>
      <c r="AG6432">
        <v>-6.9609999999999894E-2</v>
      </c>
      <c r="AH6432">
        <v>0.71447762870831999</v>
      </c>
      <c r="AI6432">
        <v>94.779073025843104</v>
      </c>
      <c r="AJ6432">
        <v>120.89411163104501</v>
      </c>
      <c r="AK6432">
        <v>0.83551510158268905</v>
      </c>
      <c r="AL6432">
        <v>93.948022607474002</v>
      </c>
      <c r="AM6432">
        <v>106.357854894369</v>
      </c>
      <c r="AN6432">
        <v>1.0000000237461499</v>
      </c>
    </row>
    <row r="6433" spans="1:40" x14ac:dyDescent="0.25">
      <c r="A6433" t="str">
        <f>"20190303153936922"</f>
        <v>20190303153936922</v>
      </c>
      <c r="B6433" t="str">
        <f>"1551598776915164"</f>
        <v>1551598776915164</v>
      </c>
      <c r="C6433" t="s">
        <v>40</v>
      </c>
      <c r="D6433">
        <v>4.4904479999999998</v>
      </c>
      <c r="E6433">
        <v>0.43789319999999998</v>
      </c>
      <c r="F6433" t="s">
        <v>68</v>
      </c>
      <c r="G6433">
        <v>-419.55270000000002</v>
      </c>
      <c r="H6433" s="1">
        <v>-4.5402090000000002E-7</v>
      </c>
      <c r="I6433">
        <v>120.2419</v>
      </c>
      <c r="J6433">
        <v>-413.24360000000001</v>
      </c>
      <c r="K6433">
        <v>1.1267069999999999</v>
      </c>
      <c r="L6433">
        <v>135.6977</v>
      </c>
      <c r="M6433">
        <v>-0.74041769999999996</v>
      </c>
      <c r="N6433">
        <v>-1.4483930000000001E-2</v>
      </c>
      <c r="O6433">
        <v>-0.67199109999999995</v>
      </c>
      <c r="P6433">
        <v>-0.52096739999999997</v>
      </c>
      <c r="Q6433">
        <v>-7.7503550000000004E-2</v>
      </c>
      <c r="R6433">
        <v>-0.85005069999999905</v>
      </c>
      <c r="S6433">
        <v>-1.159546</v>
      </c>
      <c r="T6433">
        <v>-0.20259679999999999</v>
      </c>
      <c r="U6433">
        <v>-2.804214</v>
      </c>
      <c r="V6433">
        <v>-0.27845520000000001</v>
      </c>
      <c r="W6433">
        <v>-6.7384509999999995E-2</v>
      </c>
      <c r="X6433">
        <v>0.95808249999999995</v>
      </c>
      <c r="Y6433">
        <v>-0.4272203</v>
      </c>
      <c r="Z6433">
        <v>2.1593149999999998E-2</v>
      </c>
      <c r="AA6433">
        <v>0.90388970000000002</v>
      </c>
      <c r="AB6433">
        <v>21</v>
      </c>
      <c r="AC6433">
        <v>-6.3090999999999999</v>
      </c>
      <c r="AD6433">
        <v>-1.1267074540208999</v>
      </c>
      <c r="AE6433">
        <v>-15.455799999999901</v>
      </c>
      <c r="AF6433">
        <v>-7.1721733080346404</v>
      </c>
      <c r="AG6433">
        <v>-1.1267074540208999</v>
      </c>
      <c r="AH6433">
        <v>14.990821537560601</v>
      </c>
      <c r="AI6433">
        <v>93.878693904779794</v>
      </c>
      <c r="AJ6433">
        <v>115.568207494289</v>
      </c>
      <c r="AK6433">
        <v>16.656358245979799</v>
      </c>
      <c r="AL6433">
        <v>93.863775729710198</v>
      </c>
      <c r="AM6433">
        <v>106.205873215022</v>
      </c>
      <c r="AN6433">
        <v>1.0000000237006099</v>
      </c>
    </row>
    <row r="6434" spans="1:40" x14ac:dyDescent="0.25">
      <c r="A6434" t="str">
        <f>"20190303153936944"</f>
        <v>20190303153936944</v>
      </c>
      <c r="B6434" t="str">
        <f>"1551598776934680"</f>
        <v>1551598776934680</v>
      </c>
      <c r="C6434" t="s">
        <v>40</v>
      </c>
      <c r="D6434">
        <v>4.504454</v>
      </c>
      <c r="E6434">
        <v>0.43837199999999998</v>
      </c>
      <c r="F6434" t="s">
        <v>68</v>
      </c>
      <c r="G6434">
        <v>-419.76089999999999</v>
      </c>
      <c r="H6434" s="1">
        <v>-7.0351299999999995E-8</v>
      </c>
      <c r="I6434">
        <v>119.6634</v>
      </c>
      <c r="J6434">
        <v>-413.38189999999997</v>
      </c>
      <c r="K6434">
        <v>1.1266910000000001</v>
      </c>
      <c r="L6434">
        <v>135.55670000000001</v>
      </c>
      <c r="M6434">
        <v>-0.73378120000000002</v>
      </c>
      <c r="N6434">
        <v>-1.4471619999999999E-2</v>
      </c>
      <c r="O6434">
        <v>-0.67923169999999899</v>
      </c>
      <c r="P6434">
        <v>-0.5148258</v>
      </c>
      <c r="Q6434">
        <v>-7.7189770000000005E-2</v>
      </c>
      <c r="R6434">
        <v>-0.85381280000000004</v>
      </c>
      <c r="S6434">
        <v>-1.1425479999999999</v>
      </c>
      <c r="T6434">
        <v>-0.19752059999999999</v>
      </c>
      <c r="U6434">
        <v>-2.8109440000000001</v>
      </c>
      <c r="V6434">
        <v>-0.27598210000000001</v>
      </c>
      <c r="W6434">
        <v>-6.7023680000000002E-2</v>
      </c>
      <c r="X6434">
        <v>0.95882310000000004</v>
      </c>
      <c r="Y6434">
        <v>-0.42379630000000001</v>
      </c>
      <c r="Z6434">
        <v>2.1362800000000001E-2</v>
      </c>
      <c r="AA6434">
        <v>0.90550560000000002</v>
      </c>
      <c r="AB6434">
        <v>21</v>
      </c>
      <c r="AC6434">
        <v>-6.3790000000000102</v>
      </c>
      <c r="AD6434">
        <v>-1.12669107035129</v>
      </c>
      <c r="AE6434">
        <v>-15.8933</v>
      </c>
      <c r="AF6434">
        <v>-7.2985632532256401</v>
      </c>
      <c r="AG6434">
        <v>-1.12669107035129</v>
      </c>
      <c r="AH6434">
        <v>15.410941682043999</v>
      </c>
      <c r="AI6434">
        <v>93.780286693972698</v>
      </c>
      <c r="AJ6434">
        <v>115.342056768668</v>
      </c>
      <c r="AK6434">
        <v>17.089048594251999</v>
      </c>
      <c r="AL6434">
        <v>93.843054882141601</v>
      </c>
      <c r="AM6434">
        <v>106.05762920478401</v>
      </c>
      <c r="AN6434">
        <v>1.00000001514738</v>
      </c>
    </row>
    <row r="6435" spans="1:40" x14ac:dyDescent="0.25">
      <c r="A6435" t="str">
        <f>"20190303153936967"</f>
        <v>20190303153936967</v>
      </c>
      <c r="B6435" t="str">
        <f>"1551598776955176"</f>
        <v>1551598776955176</v>
      </c>
      <c r="C6435" t="s">
        <v>40</v>
      </c>
      <c r="D6435">
        <v>4.5158529999999999</v>
      </c>
      <c r="E6435">
        <v>0.43859939999999997</v>
      </c>
      <c r="F6435" t="s">
        <v>42</v>
      </c>
      <c r="G6435">
        <v>-419.8098</v>
      </c>
      <c r="H6435" s="1">
        <v>-4.2509619999999998E-6</v>
      </c>
      <c r="I6435">
        <v>119.4632</v>
      </c>
      <c r="J6435">
        <v>-413.52350000000001</v>
      </c>
      <c r="K6435">
        <v>1.126673</v>
      </c>
      <c r="L6435">
        <v>135.4093</v>
      </c>
      <c r="M6435">
        <v>-0.72684569999999904</v>
      </c>
      <c r="N6435">
        <v>-1.446033E-2</v>
      </c>
      <c r="O6435">
        <v>-0.68664859999999905</v>
      </c>
      <c r="P6435">
        <v>-0.50836809999999999</v>
      </c>
      <c r="Q6435">
        <v>-7.8183500000000003E-2</v>
      </c>
      <c r="R6435">
        <v>-0.857583599999999</v>
      </c>
      <c r="S6435">
        <v>-1.125275</v>
      </c>
      <c r="T6435">
        <v>-0.19723950000000001</v>
      </c>
      <c r="U6435">
        <v>-2.8173219999999999</v>
      </c>
      <c r="V6435">
        <v>-0.27340589999999998</v>
      </c>
      <c r="W6435">
        <v>-6.797243E-2</v>
      </c>
      <c r="X6435">
        <v>0.95949410000000002</v>
      </c>
      <c r="Y6435">
        <v>-0.42010130000000001</v>
      </c>
      <c r="Z6435">
        <v>2.1950520000000001E-2</v>
      </c>
      <c r="AA6435">
        <v>0.90721169999999995</v>
      </c>
      <c r="AB6435">
        <v>21</v>
      </c>
      <c r="AC6435">
        <v>-6.2862999999999802</v>
      </c>
      <c r="AD6435">
        <v>-1.126677250962</v>
      </c>
      <c r="AE6435">
        <v>-15.946099999999999</v>
      </c>
      <c r="AF6435">
        <v>-7.2433392026766201</v>
      </c>
      <c r="AG6435">
        <v>-1.126677250962</v>
      </c>
      <c r="AH6435">
        <v>15.453390134572199</v>
      </c>
      <c r="AI6435">
        <v>93.776958032217607</v>
      </c>
      <c r="AJ6435">
        <v>115.113505219955</v>
      </c>
      <c r="AK6435">
        <v>17.103877662219201</v>
      </c>
      <c r="AL6435">
        <v>93.897538636048907</v>
      </c>
      <c r="AM6435">
        <v>105.904794962514</v>
      </c>
      <c r="AN6435">
        <v>0.99999998266486201</v>
      </c>
    </row>
    <row r="6436" spans="1:40" x14ac:dyDescent="0.25">
      <c r="A6436" t="str">
        <f>"20190303153936990"</f>
        <v>20190303153936990</v>
      </c>
      <c r="B6436" t="str">
        <f>"1551598776985435"</f>
        <v>1551598776985435</v>
      </c>
      <c r="C6436" t="s">
        <v>40</v>
      </c>
      <c r="D6436">
        <v>4.5430169999999999</v>
      </c>
      <c r="E6436">
        <v>0.44384089999999998</v>
      </c>
      <c r="F6436" t="s">
        <v>42</v>
      </c>
      <c r="G6436">
        <v>-419.77300000000002</v>
      </c>
      <c r="H6436" s="1">
        <v>-4.2496430000000001E-6</v>
      </c>
      <c r="I6436">
        <v>119.4449</v>
      </c>
      <c r="J6436">
        <v>-413.66129999999998</v>
      </c>
      <c r="K6436">
        <v>1.126655</v>
      </c>
      <c r="L6436">
        <v>135.26300000000001</v>
      </c>
      <c r="M6436">
        <v>-0.71995010000000004</v>
      </c>
      <c r="N6436">
        <v>-1.4450879999999999E-2</v>
      </c>
      <c r="O6436">
        <v>-0.69387580000000004</v>
      </c>
      <c r="P6436">
        <v>-0.502108</v>
      </c>
      <c r="Q6436">
        <v>-7.9196989999999995E-2</v>
      </c>
      <c r="R6436">
        <v>-0.86117149999999998</v>
      </c>
      <c r="S6436">
        <v>-1.1057129999999999</v>
      </c>
      <c r="T6436">
        <v>-0.1993414</v>
      </c>
      <c r="U6436">
        <v>-2.824554</v>
      </c>
      <c r="V6436">
        <v>-0.27073370000000002</v>
      </c>
      <c r="W6436">
        <v>-6.8941059999999998E-2</v>
      </c>
      <c r="X6436">
        <v>0.96018250000000005</v>
      </c>
      <c r="Y6436">
        <v>-0.41728090000000001</v>
      </c>
      <c r="Z6436">
        <v>2.291234E-2</v>
      </c>
      <c r="AA6436">
        <v>0.90848859999999998</v>
      </c>
      <c r="AB6436">
        <v>20</v>
      </c>
      <c r="AC6436">
        <v>-6.1117000000000399</v>
      </c>
      <c r="AD6436">
        <v>-1.1266592496429999</v>
      </c>
      <c r="AE6436">
        <v>-15.818099999999999</v>
      </c>
      <c r="AF6436">
        <v>-7.1168114138731502</v>
      </c>
      <c r="AG6436">
        <v>-1.1266592496429999</v>
      </c>
      <c r="AH6436">
        <v>15.309936276807001</v>
      </c>
      <c r="AI6436">
        <v>93.817829086237495</v>
      </c>
      <c r="AJ6436">
        <v>114.93132246371199</v>
      </c>
      <c r="AK6436">
        <v>16.920771689415702</v>
      </c>
      <c r="AL6436">
        <v>93.953167404229603</v>
      </c>
      <c r="AM6436">
        <v>105.746364383713</v>
      </c>
      <c r="AN6436">
        <v>1.00000001968793</v>
      </c>
    </row>
    <row r="6437" spans="1:40" x14ac:dyDescent="0.25">
      <c r="A6437" t="str">
        <f>"20190303153937012"</f>
        <v>20190303153937012</v>
      </c>
      <c r="B6437" t="str">
        <f>"1551598777004952"</f>
        <v>1551598777004952</v>
      </c>
      <c r="C6437" t="s">
        <v>40</v>
      </c>
      <c r="D6437">
        <v>4.5060580000000003</v>
      </c>
      <c r="E6437">
        <v>0.44461349999999999</v>
      </c>
      <c r="F6437" t="s">
        <v>68</v>
      </c>
      <c r="G6437">
        <v>-419.86110000000002</v>
      </c>
      <c r="H6437" s="1">
        <v>-7.746299E-8</v>
      </c>
      <c r="I6437">
        <v>119.717</v>
      </c>
      <c r="J6437">
        <v>-413.79520000000002</v>
      </c>
      <c r="K6437">
        <v>1.126644</v>
      </c>
      <c r="L6437">
        <v>135.11779999999999</v>
      </c>
      <c r="M6437">
        <v>-0.7131054</v>
      </c>
      <c r="N6437">
        <v>-1.444257E-2</v>
      </c>
      <c r="O6437">
        <v>-0.70090819999999998</v>
      </c>
      <c r="P6437">
        <v>-0.49588500000000002</v>
      </c>
      <c r="Q6437">
        <v>-7.9120670000000004E-2</v>
      </c>
      <c r="R6437">
        <v>-0.8647764</v>
      </c>
      <c r="S6437">
        <v>-1.121124</v>
      </c>
      <c r="T6437">
        <v>-0.2037361</v>
      </c>
      <c r="U6437">
        <v>-2.8112180000000002</v>
      </c>
      <c r="V6437">
        <v>-0.26824340000000002</v>
      </c>
      <c r="W6437">
        <v>-6.8821740000000006E-2</v>
      </c>
      <c r="X6437">
        <v>0.96088980000000002</v>
      </c>
      <c r="Y6437">
        <v>-0.40257500000000002</v>
      </c>
      <c r="Z6437">
        <v>2.4757439999999999E-2</v>
      </c>
      <c r="AA6437">
        <v>0.91505219999999998</v>
      </c>
      <c r="AB6437">
        <v>20</v>
      </c>
      <c r="AC6437">
        <v>-6.0658999999999903</v>
      </c>
      <c r="AD6437">
        <v>-1.12664407746299</v>
      </c>
      <c r="AE6437">
        <v>-15.400799999999901</v>
      </c>
      <c r="AF6437">
        <v>-6.7004135022658096</v>
      </c>
      <c r="AG6437">
        <v>-1.12664407746299</v>
      </c>
      <c r="AH6437">
        <v>15.052013895774101</v>
      </c>
      <c r="AI6437">
        <v>93.911848005381401</v>
      </c>
      <c r="AJ6437">
        <v>113.99626762299</v>
      </c>
      <c r="AK6437">
        <v>16.5144782023897</v>
      </c>
      <c r="AL6437">
        <v>93.946314354614401</v>
      </c>
      <c r="AM6437">
        <v>105.59768486211</v>
      </c>
      <c r="AN6437">
        <v>1.0000000806421101</v>
      </c>
    </row>
    <row r="6438" spans="1:40" x14ac:dyDescent="0.25">
      <c r="A6438" t="str">
        <f>"20190303153937034"</f>
        <v>20190303153937034</v>
      </c>
      <c r="B6438" t="str">
        <f>"1551598777025448"</f>
        <v>1551598777025448</v>
      </c>
      <c r="C6438" t="s">
        <v>40</v>
      </c>
      <c r="D6438">
        <v>4.53749</v>
      </c>
      <c r="E6438">
        <v>0.44541459999999999</v>
      </c>
      <c r="F6438" t="s">
        <v>42</v>
      </c>
      <c r="G6438">
        <v>-419.98320000000001</v>
      </c>
      <c r="H6438" s="1">
        <v>-4.1882199999999997E-6</v>
      </c>
      <c r="I6438">
        <v>119.36239999999999</v>
      </c>
      <c r="J6438">
        <v>-413.92959999999999</v>
      </c>
      <c r="K6438">
        <v>1.12663</v>
      </c>
      <c r="L6438">
        <v>134.9693</v>
      </c>
      <c r="M6438">
        <v>-0.70608850000000001</v>
      </c>
      <c r="N6438">
        <v>-1.443472E-2</v>
      </c>
      <c r="O6438">
        <v>-0.70797650000000001</v>
      </c>
      <c r="P6438">
        <v>-0.48873250000000001</v>
      </c>
      <c r="Q6438">
        <v>-7.8931680000000004E-2</v>
      </c>
      <c r="R6438">
        <v>-0.86885599999999996</v>
      </c>
      <c r="S6438">
        <v>-1.1061399999999999</v>
      </c>
      <c r="T6438">
        <v>-0.20139589999999999</v>
      </c>
      <c r="U6438">
        <v>-2.8163909999999999</v>
      </c>
      <c r="V6438">
        <v>-0.26661960000000001</v>
      </c>
      <c r="W6438">
        <v>-6.8603739999999996E-2</v>
      </c>
      <c r="X6438">
        <v>0.96135709999999996</v>
      </c>
      <c r="Y6438">
        <v>-0.39825470000000002</v>
      </c>
      <c r="Z6438">
        <v>2.4975649999999999E-2</v>
      </c>
      <c r="AA6438">
        <v>0.91693480000000005</v>
      </c>
      <c r="AB6438">
        <v>20</v>
      </c>
      <c r="AC6438">
        <v>-6.0536000000000101</v>
      </c>
      <c r="AD6438">
        <v>-1.1266341882199999</v>
      </c>
      <c r="AE6438">
        <v>-15.6069</v>
      </c>
      <c r="AF6438">
        <v>-6.7043790655471698</v>
      </c>
      <c r="AG6438">
        <v>-1.1266341882199999</v>
      </c>
      <c r="AH6438">
        <v>15.256186864809001</v>
      </c>
      <c r="AI6438">
        <v>93.867740137909905</v>
      </c>
      <c r="AJ6438">
        <v>113.723238063671</v>
      </c>
      <c r="AK6438">
        <v>16.702372313614099</v>
      </c>
      <c r="AL6438">
        <v>93.933794684847697</v>
      </c>
      <c r="AM6438">
        <v>105.500646429808</v>
      </c>
      <c r="AN6438">
        <v>0.99999997898327797</v>
      </c>
    </row>
    <row r="6439" spans="1:40" x14ac:dyDescent="0.25">
      <c r="A6439" t="str">
        <f>"20190303153937057"</f>
        <v>20190303153937057</v>
      </c>
      <c r="B6439" t="str">
        <f>"1551598777044968"</f>
        <v>1551598777044968</v>
      </c>
      <c r="C6439" t="s">
        <v>40</v>
      </c>
      <c r="D6439">
        <v>4.5658430000000001</v>
      </c>
      <c r="E6439">
        <v>0.44573439999999998</v>
      </c>
      <c r="F6439" t="s">
        <v>42</v>
      </c>
      <c r="G6439">
        <v>-420.06200000000001</v>
      </c>
      <c r="H6439" s="1">
        <v>-4.0836409999999998E-6</v>
      </c>
      <c r="I6439">
        <v>119.0697</v>
      </c>
      <c r="J6439">
        <v>-414.06240000000003</v>
      </c>
      <c r="K6439">
        <v>1.1266050000000001</v>
      </c>
      <c r="L6439">
        <v>134.8194</v>
      </c>
      <c r="M6439">
        <v>-0.69901219999999997</v>
      </c>
      <c r="N6439">
        <v>-1.442653E-2</v>
      </c>
      <c r="O6439">
        <v>-0.71496419999999905</v>
      </c>
      <c r="P6439">
        <v>-0.48123379999999999</v>
      </c>
      <c r="Q6439">
        <v>-7.9584459999999996E-2</v>
      </c>
      <c r="R6439">
        <v>-0.87297219999999998</v>
      </c>
      <c r="S6439">
        <v>-1.088562</v>
      </c>
      <c r="T6439">
        <v>-0.19998779999999999</v>
      </c>
      <c r="U6439">
        <v>-2.822311</v>
      </c>
      <c r="V6439">
        <v>-0.26528940000000001</v>
      </c>
      <c r="W6439">
        <v>-6.9229849999999996E-2</v>
      </c>
      <c r="X6439">
        <v>0.96168019999999999</v>
      </c>
      <c r="Y6439">
        <v>-0.3947562</v>
      </c>
      <c r="Z6439">
        <v>2.5323200000000001E-2</v>
      </c>
      <c r="AA6439">
        <v>0.9184369</v>
      </c>
      <c r="AB6439">
        <v>20</v>
      </c>
      <c r="AC6439">
        <v>-5.9995999999999299</v>
      </c>
      <c r="AD6439">
        <v>-1.1266090836410001</v>
      </c>
      <c r="AE6439">
        <v>-15.749700000000001</v>
      </c>
      <c r="AF6439">
        <v>-6.6905364995848897</v>
      </c>
      <c r="AG6439">
        <v>-1.1266090836410001</v>
      </c>
      <c r="AH6439">
        <v>15.387117642691701</v>
      </c>
      <c r="AI6439">
        <v>93.841357418058294</v>
      </c>
      <c r="AJ6439">
        <v>113.500085596674</v>
      </c>
      <c r="AK6439">
        <v>16.816536980890401</v>
      </c>
      <c r="AL6439">
        <v>93.969753469388195</v>
      </c>
      <c r="AM6439">
        <v>105.42206777006101</v>
      </c>
      <c r="AN6439">
        <v>1.0000000224777099</v>
      </c>
    </row>
    <row r="6440" spans="1:40" x14ac:dyDescent="0.25">
      <c r="A6440" t="str">
        <f>"20190303153937080"</f>
        <v>20190303153937080</v>
      </c>
      <c r="B6440" t="str">
        <f>"1551598777065464"</f>
        <v>1551598777065464</v>
      </c>
      <c r="C6440" t="s">
        <v>40</v>
      </c>
      <c r="D6440">
        <v>4.5562019999999999</v>
      </c>
      <c r="E6440">
        <v>0.44983020000000001</v>
      </c>
      <c r="F6440" t="s">
        <v>42</v>
      </c>
      <c r="G6440">
        <v>-419.99110000000002</v>
      </c>
      <c r="H6440" s="1">
        <v>-4.071214E-6</v>
      </c>
      <c r="I6440">
        <v>119.0847</v>
      </c>
      <c r="J6440">
        <v>-414.19439999999997</v>
      </c>
      <c r="K6440">
        <v>1.12656</v>
      </c>
      <c r="L6440">
        <v>134.66759999999999</v>
      </c>
      <c r="M6440">
        <v>-0.69185750000000001</v>
      </c>
      <c r="N6440">
        <v>-1.441711E-2</v>
      </c>
      <c r="O6440">
        <v>-0.72189029999999998</v>
      </c>
      <c r="P6440">
        <v>-0.47359240000000002</v>
      </c>
      <c r="Q6440">
        <v>-8.0745720000000007E-2</v>
      </c>
      <c r="R6440">
        <v>-0.87703519999999902</v>
      </c>
      <c r="S6440">
        <v>-1.066406</v>
      </c>
      <c r="T6440">
        <v>-0.2026443</v>
      </c>
      <c r="U6440">
        <v>-2.8302149999999999</v>
      </c>
      <c r="V6440">
        <v>-0.26402740000000002</v>
      </c>
      <c r="W6440">
        <v>-7.0359039999999998E-2</v>
      </c>
      <c r="X6440">
        <v>0.96194550000000001</v>
      </c>
      <c r="Y6440">
        <v>-0.39275749999999998</v>
      </c>
      <c r="Z6440">
        <v>2.638389E-2</v>
      </c>
      <c r="AA6440">
        <v>0.91926350000000001</v>
      </c>
      <c r="AB6440">
        <v>20</v>
      </c>
      <c r="AC6440">
        <v>-5.7967000000000404</v>
      </c>
      <c r="AD6440">
        <v>-1.1265640712139999</v>
      </c>
      <c r="AE6440">
        <v>-15.582899999999899</v>
      </c>
      <c r="AF6440">
        <v>-6.5670984923785296</v>
      </c>
      <c r="AG6440">
        <v>-1.1265640712139999</v>
      </c>
      <c r="AH6440">
        <v>15.191471354233601</v>
      </c>
      <c r="AI6440">
        <v>93.894099795879697</v>
      </c>
      <c r="AJ6440">
        <v>113.37827355405901</v>
      </c>
      <c r="AK6440">
        <v>16.588451739739</v>
      </c>
      <c r="AL6440">
        <v>94.034609526688598</v>
      </c>
      <c r="AM6440">
        <v>105.348138575468</v>
      </c>
      <c r="AN6440">
        <v>1.00000000371536</v>
      </c>
    </row>
    <row r="6441" spans="1:40" x14ac:dyDescent="0.25">
      <c r="A6441" t="str">
        <f>"20190303153937102"</f>
        <v>20190303153937102</v>
      </c>
      <c r="B6441" t="str">
        <f>"1551598777094746"</f>
        <v>1551598777094746</v>
      </c>
      <c r="C6441" t="s">
        <v>40</v>
      </c>
      <c r="D6441">
        <v>4.6536429999999998</v>
      </c>
      <c r="E6441">
        <v>0.45476519999999998</v>
      </c>
      <c r="F6441" t="s">
        <v>42</v>
      </c>
      <c r="G6441">
        <v>-419.92579999999998</v>
      </c>
      <c r="H6441" s="1">
        <v>-4.2660570000000004E-6</v>
      </c>
      <c r="I6441">
        <v>119.54640000000001</v>
      </c>
      <c r="J6441">
        <v>-414.32589999999999</v>
      </c>
      <c r="K6441">
        <v>1.1264959999999999</v>
      </c>
      <c r="L6441">
        <v>134.51329999999999</v>
      </c>
      <c r="M6441">
        <v>-0.68462309999999904</v>
      </c>
      <c r="N6441">
        <v>-1.440526E-2</v>
      </c>
      <c r="O6441">
        <v>-0.72875519999999905</v>
      </c>
      <c r="P6441">
        <v>-0.46565079999999998</v>
      </c>
      <c r="Q6441">
        <v>-8.1649739999999998E-2</v>
      </c>
      <c r="R6441">
        <v>-0.88119439999999905</v>
      </c>
      <c r="S6441">
        <v>-1.07016</v>
      </c>
      <c r="T6441">
        <v>-0.21034849999999999</v>
      </c>
      <c r="U6441">
        <v>-2.8233799999999998</v>
      </c>
      <c r="V6441">
        <v>-0.2630634</v>
      </c>
      <c r="W6441">
        <v>-7.1225289999999997E-2</v>
      </c>
      <c r="X6441">
        <v>0.9621459</v>
      </c>
      <c r="Y6441">
        <v>-0.38178580000000001</v>
      </c>
      <c r="Z6441">
        <v>2.8791569999999999E-2</v>
      </c>
      <c r="AA6441">
        <v>0.92380229999999997</v>
      </c>
      <c r="AB6441">
        <v>20</v>
      </c>
      <c r="AC6441">
        <v>-5.5998999999999901</v>
      </c>
      <c r="AD6441">
        <v>-1.126500266057</v>
      </c>
      <c r="AE6441">
        <v>-14.9668999999999</v>
      </c>
      <c r="AF6441">
        <v>-6.1358765000473197</v>
      </c>
      <c r="AG6441">
        <v>-1.126500266057</v>
      </c>
      <c r="AH6441">
        <v>14.669655183608899</v>
      </c>
      <c r="AI6441">
        <v>94.052279534289198</v>
      </c>
      <c r="AJ6441">
        <v>112.698094640793</v>
      </c>
      <c r="AK6441">
        <v>15.941040319855</v>
      </c>
      <c r="AL6441">
        <v>94.084366588734497</v>
      </c>
      <c r="AM6441">
        <v>105.291692835483</v>
      </c>
      <c r="AN6441">
        <v>1.00000006362097</v>
      </c>
    </row>
    <row r="6442" spans="1:40" x14ac:dyDescent="0.25">
      <c r="A6442" t="str">
        <f>"20190303153937125"</f>
        <v>20190303153937125</v>
      </c>
      <c r="B6442" t="str">
        <f>"1551598777114774"</f>
        <v>1551598777114774</v>
      </c>
      <c r="C6442" t="s">
        <v>40</v>
      </c>
      <c r="D6442">
        <v>4.612743</v>
      </c>
      <c r="E6442">
        <v>0.46024779999999998</v>
      </c>
      <c r="F6442" t="s">
        <v>68</v>
      </c>
      <c r="G6442">
        <v>-420.00420000000003</v>
      </c>
      <c r="H6442" s="1">
        <v>-7.0499029999999899E-8</v>
      </c>
      <c r="I6442">
        <v>119.70780000000001</v>
      </c>
      <c r="J6442">
        <v>-414.45310000000001</v>
      </c>
      <c r="K6442">
        <v>1.12642</v>
      </c>
      <c r="L6442">
        <v>134.3612</v>
      </c>
      <c r="M6442">
        <v>-0.67754579999999998</v>
      </c>
      <c r="N6442">
        <v>-1.439036E-2</v>
      </c>
      <c r="O6442">
        <v>-0.73533990000000005</v>
      </c>
      <c r="P6442">
        <v>-0.45751740000000002</v>
      </c>
      <c r="Q6442">
        <v>-8.2699030000000007E-2</v>
      </c>
      <c r="R6442">
        <v>-0.88534669999999904</v>
      </c>
      <c r="S6442">
        <v>-1.0793459999999999</v>
      </c>
      <c r="T6442">
        <v>-0.21412690000000001</v>
      </c>
      <c r="U6442">
        <v>-2.81427</v>
      </c>
      <c r="V6442">
        <v>-0.26255420000000002</v>
      </c>
      <c r="W6442">
        <v>-7.2233710000000007E-2</v>
      </c>
      <c r="X6442">
        <v>0.96220969999999995</v>
      </c>
      <c r="Y6442">
        <v>-0.36922739999999998</v>
      </c>
      <c r="Z6442">
        <v>3.0513640000000002E-2</v>
      </c>
      <c r="AA6442">
        <v>0.92883800000000005</v>
      </c>
      <c r="AB6442">
        <v>20</v>
      </c>
      <c r="AC6442">
        <v>-5.5511000000000204</v>
      </c>
      <c r="AD6442">
        <v>-1.1264200704990299</v>
      </c>
      <c r="AE6442">
        <v>-14.6533999999999</v>
      </c>
      <c r="AF6442">
        <v>-5.8169499323077396</v>
      </c>
      <c r="AG6442">
        <v>-1.1264200704990299</v>
      </c>
      <c r="AH6442">
        <v>14.4631195571984</v>
      </c>
      <c r="AI6442">
        <v>94.132843978840995</v>
      </c>
      <c r="AJ6442">
        <v>111.90959327328</v>
      </c>
      <c r="AK6442">
        <v>15.6297010853059</v>
      </c>
      <c r="AL6442">
        <v>94.142294434064993</v>
      </c>
      <c r="AM6442">
        <v>105.26251044282</v>
      </c>
      <c r="AN6442">
        <v>0.999999961786046</v>
      </c>
    </row>
    <row r="6443" spans="1:40" x14ac:dyDescent="0.25">
      <c r="A6443" t="str">
        <f>"20190303153937146"</f>
        <v>20190303153937146</v>
      </c>
      <c r="B6443" t="str">
        <f>"1551598777135268"</f>
        <v>1551598777135268</v>
      </c>
      <c r="C6443" t="s">
        <v>40</v>
      </c>
      <c r="D6443">
        <v>4.6218750000000002</v>
      </c>
      <c r="E6443">
        <v>0.46420840000000002</v>
      </c>
      <c r="F6443" t="s">
        <v>68</v>
      </c>
      <c r="G6443">
        <v>-419.97809999999998</v>
      </c>
      <c r="H6443" s="1">
        <v>-3.6160400000000001E-7</v>
      </c>
      <c r="I6443">
        <v>120.1767</v>
      </c>
      <c r="J6443">
        <v>-414.57299999999998</v>
      </c>
      <c r="K6443">
        <v>1.126322</v>
      </c>
      <c r="L6443">
        <v>134.21530000000001</v>
      </c>
      <c r="M6443">
        <v>-0.67083079999999995</v>
      </c>
      <c r="N6443">
        <v>-1.437302E-2</v>
      </c>
      <c r="O6443">
        <v>-0.74147109999999905</v>
      </c>
      <c r="P6443">
        <v>-0.44955250000000002</v>
      </c>
      <c r="Q6443">
        <v>-8.3890160000000005E-2</v>
      </c>
      <c r="R6443">
        <v>-0.88930589999999998</v>
      </c>
      <c r="S6443">
        <v>-1.0919490000000001</v>
      </c>
      <c r="T6443">
        <v>-0.2226236</v>
      </c>
      <c r="U6443">
        <v>-2.8034059999999998</v>
      </c>
      <c r="V6443">
        <v>-0.26236659999999901</v>
      </c>
      <c r="W6443">
        <v>-7.3381180000000004E-2</v>
      </c>
      <c r="X6443">
        <v>0.96217410000000003</v>
      </c>
      <c r="Y6443">
        <v>-0.35594900000000002</v>
      </c>
      <c r="Z6443">
        <v>3.3223889999999999E-2</v>
      </c>
      <c r="AA6443">
        <v>0.93391460000000004</v>
      </c>
      <c r="AB6443">
        <v>20</v>
      </c>
      <c r="AC6443">
        <v>-5.4050999999999396</v>
      </c>
      <c r="AD6443">
        <v>-1.1263223616039999</v>
      </c>
      <c r="AE6443">
        <v>-14.038600000000001</v>
      </c>
      <c r="AF6443">
        <v>-5.3801979813848204</v>
      </c>
      <c r="AG6443">
        <v>-1.1263223616039999</v>
      </c>
      <c r="AH6443">
        <v>13.958325048559701</v>
      </c>
      <c r="AI6443">
        <v>94.305808620039997</v>
      </c>
      <c r="AJ6443">
        <v>111.079019683003</v>
      </c>
      <c r="AK6443">
        <v>15.0016655922733</v>
      </c>
      <c r="AL6443">
        <v>94.208214356983405</v>
      </c>
      <c r="AM6443">
        <v>105.252651223817</v>
      </c>
      <c r="AN6443">
        <v>1.00000001454228</v>
      </c>
    </row>
    <row r="6444" spans="1:40" x14ac:dyDescent="0.25">
      <c r="A6444" t="str">
        <f>"20190303153937168"</f>
        <v>20190303153937168</v>
      </c>
      <c r="B6444" t="str">
        <f>"1551598777165525"</f>
        <v>1551598777165525</v>
      </c>
      <c r="C6444" t="s">
        <v>40</v>
      </c>
      <c r="D6444">
        <v>4.6351899999999997</v>
      </c>
      <c r="E6444">
        <v>0.46858490000000003</v>
      </c>
      <c r="F6444" t="s">
        <v>68</v>
      </c>
      <c r="G6444">
        <v>-420.0573</v>
      </c>
      <c r="H6444" s="1">
        <v>-3.9963139999999998E-7</v>
      </c>
      <c r="I6444">
        <v>120.2034</v>
      </c>
      <c r="J6444">
        <v>-414.69740000000002</v>
      </c>
      <c r="K6444">
        <v>1.126204</v>
      </c>
      <c r="L6444">
        <v>134.06129999999999</v>
      </c>
      <c r="M6444">
        <v>-0.66383950000000003</v>
      </c>
      <c r="N6444">
        <v>-1.4352149999999999E-2</v>
      </c>
      <c r="O6444">
        <v>-0.74773750000000005</v>
      </c>
      <c r="P6444">
        <v>-0.44119439999999999</v>
      </c>
      <c r="Q6444">
        <v>-8.4881280000000003E-2</v>
      </c>
      <c r="R6444">
        <v>-0.89338830000000002</v>
      </c>
      <c r="S6444">
        <v>-1.095337</v>
      </c>
      <c r="T6444">
        <v>-0.22495209999999999</v>
      </c>
      <c r="U6444">
        <v>-2.798492</v>
      </c>
      <c r="V6444">
        <v>-0.26229920000000001</v>
      </c>
      <c r="W6444">
        <v>-7.4321189999999995E-2</v>
      </c>
      <c r="X6444">
        <v>0.96212030000000004</v>
      </c>
      <c r="Y6444">
        <v>-0.34564919999999999</v>
      </c>
      <c r="Z6444">
        <v>3.4596839999999997E-2</v>
      </c>
      <c r="AA6444">
        <v>0.93772580000000005</v>
      </c>
      <c r="AB6444">
        <v>20</v>
      </c>
      <c r="AC6444">
        <v>-5.3598999999999801</v>
      </c>
      <c r="AD6444">
        <v>-1.1262043996314</v>
      </c>
      <c r="AE6444">
        <v>-13.8578999999999</v>
      </c>
      <c r="AF6444">
        <v>-5.1624984882570004</v>
      </c>
      <c r="AG6444">
        <v>-1.1262043996314</v>
      </c>
      <c r="AH6444">
        <v>13.842093440946799</v>
      </c>
      <c r="AI6444">
        <v>94.359319038830705</v>
      </c>
      <c r="AJ6444">
        <v>110.453326548277</v>
      </c>
      <c r="AK6444">
        <v>14.8163179575395</v>
      </c>
      <c r="AL6444">
        <v>94.262220541876104</v>
      </c>
      <c r="AM6444">
        <v>105.249728368454</v>
      </c>
      <c r="AN6444">
        <v>0.99999999063787304</v>
      </c>
    </row>
    <row r="6445" spans="1:40" x14ac:dyDescent="0.25">
      <c r="A6445" t="str">
        <f>"20190303153937191"</f>
        <v>20190303153937191</v>
      </c>
      <c r="B6445" t="str">
        <f>"1551598777185044"</f>
        <v>1551598777185044</v>
      </c>
      <c r="C6445" t="s">
        <v>40</v>
      </c>
      <c r="D6445">
        <v>4.6149329999999997</v>
      </c>
      <c r="E6445">
        <v>0.47087279999999998</v>
      </c>
      <c r="F6445" t="s">
        <v>68</v>
      </c>
      <c r="G6445">
        <v>-420.16370000000001</v>
      </c>
      <c r="H6445" s="1">
        <v>-4.1478210000000001E-7</v>
      </c>
      <c r="I6445">
        <v>120.1827</v>
      </c>
      <c r="J6445">
        <v>-414.82429999999999</v>
      </c>
      <c r="K6445">
        <v>1.1260889999999999</v>
      </c>
      <c r="L6445">
        <v>133.9014</v>
      </c>
      <c r="M6445">
        <v>-0.65669860000000002</v>
      </c>
      <c r="N6445">
        <v>-1.432842E-2</v>
      </c>
      <c r="O6445">
        <v>-0.754017099999999</v>
      </c>
      <c r="P6445">
        <v>-0.43232949999999998</v>
      </c>
      <c r="Q6445">
        <v>-8.5769010000000007E-2</v>
      </c>
      <c r="R6445">
        <v>-0.89762739999999996</v>
      </c>
      <c r="S6445">
        <v>-1.100128</v>
      </c>
      <c r="T6445">
        <v>-0.226656</v>
      </c>
      <c r="U6445">
        <v>-2.793167</v>
      </c>
      <c r="V6445">
        <v>-0.26262809999999998</v>
      </c>
      <c r="W6445">
        <v>-7.5160500000000005E-2</v>
      </c>
      <c r="X6445">
        <v>0.96196539999999997</v>
      </c>
      <c r="Y6445">
        <v>-0.33473399999999998</v>
      </c>
      <c r="Z6445">
        <v>3.5871710000000001E-2</v>
      </c>
      <c r="AA6445">
        <v>0.94162959999999996</v>
      </c>
      <c r="AB6445">
        <v>20</v>
      </c>
      <c r="AC6445">
        <v>-5.3394000000000101</v>
      </c>
      <c r="AD6445">
        <v>-1.1260894147820999</v>
      </c>
      <c r="AE6445">
        <v>-13.718699999999901</v>
      </c>
      <c r="AF6445">
        <v>-4.9545720306028596</v>
      </c>
      <c r="AG6445">
        <v>-1.1260894147820999</v>
      </c>
      <c r="AH6445">
        <v>13.7713496483782</v>
      </c>
      <c r="AI6445">
        <v>94.399801819041002</v>
      </c>
      <c r="AJ6445">
        <v>109.787406724207</v>
      </c>
      <c r="AK6445">
        <v>14.678757866877</v>
      </c>
      <c r="AL6445">
        <v>94.310444197467305</v>
      </c>
      <c r="AM6445">
        <v>105.27030199114201</v>
      </c>
      <c r="AN6445">
        <v>1.0000000252335</v>
      </c>
    </row>
    <row r="6446" spans="1:40" x14ac:dyDescent="0.25">
      <c r="A6446" t="str">
        <f>"20190303153937213"</f>
        <v>20190303153937213</v>
      </c>
      <c r="B6446" t="str">
        <f>"1551598777204565"</f>
        <v>1551598777204565</v>
      </c>
      <c r="C6446" t="s">
        <v>40</v>
      </c>
      <c r="D6446">
        <v>4.597696</v>
      </c>
      <c r="E6446">
        <v>0.4725028</v>
      </c>
      <c r="F6446" t="s">
        <v>68</v>
      </c>
      <c r="G6446">
        <v>-420.22480000000002</v>
      </c>
      <c r="H6446" s="1">
        <v>-3.3798280000000001E-7</v>
      </c>
      <c r="I6446">
        <v>120.0363</v>
      </c>
      <c r="J6446">
        <v>-414.9443</v>
      </c>
      <c r="K6446">
        <v>1.1259859999999999</v>
      </c>
      <c r="L6446">
        <v>133.7473</v>
      </c>
      <c r="M6446">
        <v>-0.64992850000000002</v>
      </c>
      <c r="N6446">
        <v>-1.430521E-2</v>
      </c>
      <c r="O6446">
        <v>-0.75986089999999995</v>
      </c>
      <c r="P6446">
        <v>-0.4243479</v>
      </c>
      <c r="Q6446">
        <v>-8.5223670000000001E-2</v>
      </c>
      <c r="R6446">
        <v>-0.90148010000000001</v>
      </c>
      <c r="S6446">
        <v>-1.0890200000000001</v>
      </c>
      <c r="T6446">
        <v>-0.22707840000000001</v>
      </c>
      <c r="U6446">
        <v>-2.7959290000000001</v>
      </c>
      <c r="V6446">
        <v>-0.26261909999999999</v>
      </c>
      <c r="W6446">
        <v>-7.4566779999999999E-2</v>
      </c>
      <c r="X6446">
        <v>0.96201400000000004</v>
      </c>
      <c r="Y6446">
        <v>-0.3298796</v>
      </c>
      <c r="Z6446">
        <v>3.6622000000000002E-2</v>
      </c>
      <c r="AA6446">
        <v>0.94331240000000005</v>
      </c>
      <c r="AB6446">
        <v>20</v>
      </c>
      <c r="AC6446">
        <v>-5.2805000000000097</v>
      </c>
      <c r="AD6446">
        <v>-1.1259863379827999</v>
      </c>
      <c r="AE6446">
        <v>-13.711</v>
      </c>
      <c r="AF6446">
        <v>-4.8706194258996502</v>
      </c>
      <c r="AG6446">
        <v>-1.1259863379827999</v>
      </c>
      <c r="AH6446">
        <v>13.770938308101099</v>
      </c>
      <c r="AI6446">
        <v>94.407979106580896</v>
      </c>
      <c r="AJ6446">
        <v>109.478089988801</v>
      </c>
      <c r="AK6446">
        <v>14.6502396127435</v>
      </c>
      <c r="AL6446">
        <v>94.276331070541502</v>
      </c>
      <c r="AM6446">
        <v>105.269067716823</v>
      </c>
      <c r="AN6446">
        <v>0.99999996628018795</v>
      </c>
    </row>
    <row r="6447" spans="1:40" x14ac:dyDescent="0.25">
      <c r="A6447" t="str">
        <f>"20190303153937235"</f>
        <v>20190303153937235</v>
      </c>
      <c r="B6447" t="str">
        <f>"1551598777224591"</f>
        <v>1551598777224591</v>
      </c>
      <c r="C6447" t="s">
        <v>40</v>
      </c>
      <c r="D6447">
        <v>4.5746710000000004</v>
      </c>
      <c r="E6447">
        <v>0.47314600000000001</v>
      </c>
      <c r="F6447" t="s">
        <v>68</v>
      </c>
      <c r="G6447">
        <v>-420.30650000000003</v>
      </c>
      <c r="H6447" s="1">
        <v>-2.023203E-7</v>
      </c>
      <c r="I6447">
        <v>119.7886</v>
      </c>
      <c r="J6447">
        <v>-415.06150000000002</v>
      </c>
      <c r="K6447">
        <v>1.1259049999999999</v>
      </c>
      <c r="L6447">
        <v>133.59440000000001</v>
      </c>
      <c r="M6447">
        <v>-0.64329340000000002</v>
      </c>
      <c r="N6447">
        <v>-1.4283189999999999E-2</v>
      </c>
      <c r="O6447">
        <v>-0.76548660000000002</v>
      </c>
      <c r="P6447">
        <v>-0.4164543</v>
      </c>
      <c r="Q6447">
        <v>-8.4110699999999997E-2</v>
      </c>
      <c r="R6447">
        <v>-0.90525770000000005</v>
      </c>
      <c r="S6447">
        <v>-1.0756840000000001</v>
      </c>
      <c r="T6447">
        <v>-0.22587679999999999</v>
      </c>
      <c r="U6447">
        <v>-2.8001559999999999</v>
      </c>
      <c r="V6447">
        <v>-0.26275169999999998</v>
      </c>
      <c r="W6447">
        <v>-7.3419590000000007E-2</v>
      </c>
      <c r="X6447">
        <v>0.96206610000000004</v>
      </c>
      <c r="Y6447">
        <v>-0.3260652</v>
      </c>
      <c r="Z6447">
        <v>3.6958730000000002E-2</v>
      </c>
      <c r="AA6447">
        <v>0.94462449999999998</v>
      </c>
      <c r="AB6447">
        <v>20</v>
      </c>
      <c r="AC6447">
        <v>-5.2450000000000001</v>
      </c>
      <c r="AD6447">
        <v>-1.1259052023203</v>
      </c>
      <c r="AE6447">
        <v>-13.8058</v>
      </c>
      <c r="AF6447">
        <v>-4.8385769577879802</v>
      </c>
      <c r="AG6447">
        <v>-1.1259052023203</v>
      </c>
      <c r="AH6447">
        <v>13.863077567426901</v>
      </c>
      <c r="AI6447">
        <v>94.384845863639796</v>
      </c>
      <c r="AJ6447">
        <v>109.240324250306</v>
      </c>
      <c r="AK6447">
        <v>14.7263168898929</v>
      </c>
      <c r="AL6447">
        <v>94.210420948018395</v>
      </c>
      <c r="AM6447">
        <v>105.27562851715</v>
      </c>
      <c r="AN6447">
        <v>1.0000000364089301</v>
      </c>
    </row>
    <row r="6448" spans="1:40" x14ac:dyDescent="0.25">
      <c r="A6448" t="str">
        <f>"20190303153937269"</f>
        <v>20190303153937269</v>
      </c>
      <c r="B6448" t="str">
        <f>"1551598777254862"</f>
        <v>1551598777254862</v>
      </c>
      <c r="C6448" t="s">
        <v>40</v>
      </c>
      <c r="D6448">
        <v>4.5865269999999896</v>
      </c>
      <c r="E6448">
        <v>0.49095250000000001</v>
      </c>
      <c r="F6448" t="s">
        <v>42</v>
      </c>
      <c r="G6448">
        <v>-420.37759999999997</v>
      </c>
      <c r="H6448" s="1">
        <v>-4.3129699999999996E-6</v>
      </c>
      <c r="I6448">
        <v>119.46380000000001</v>
      </c>
      <c r="J6448">
        <v>-415.23989999999998</v>
      </c>
      <c r="K6448">
        <v>1.125815</v>
      </c>
      <c r="L6448">
        <v>133.35679999999999</v>
      </c>
      <c r="M6448">
        <v>-0.6331059</v>
      </c>
      <c r="N6448">
        <v>-1.425296E-2</v>
      </c>
      <c r="O6448">
        <v>-0.77393400000000001</v>
      </c>
      <c r="P6448">
        <v>-0.40460210000000002</v>
      </c>
      <c r="Q6448">
        <v>-8.1779829999999998E-2</v>
      </c>
      <c r="R6448">
        <v>-0.91082890000000005</v>
      </c>
      <c r="S6448">
        <v>-1.056152</v>
      </c>
      <c r="T6448">
        <v>-0.22368350000000001</v>
      </c>
      <c r="U6448">
        <v>-2.807312</v>
      </c>
      <c r="V6448">
        <v>-0.26275409999999999</v>
      </c>
      <c r="W6448">
        <v>-7.1055839999999995E-2</v>
      </c>
      <c r="X6448">
        <v>0.96224290000000001</v>
      </c>
      <c r="Y6448">
        <v>-0.3201117</v>
      </c>
      <c r="Z6448">
        <v>3.735165E-2</v>
      </c>
      <c r="AA6448">
        <v>0.94664320000000002</v>
      </c>
      <c r="AB6448">
        <v>20</v>
      </c>
      <c r="AC6448">
        <v>-5.1376999999999899</v>
      </c>
      <c r="AD6448">
        <v>-1.12581931297</v>
      </c>
      <c r="AE6448">
        <v>-13.892999999999899</v>
      </c>
      <c r="AF6448">
        <v>-4.7923054042558499</v>
      </c>
      <c r="AG6448">
        <v>-1.12581931297</v>
      </c>
      <c r="AH6448">
        <v>13.925949815609201</v>
      </c>
      <c r="AI6448">
        <v>94.371389137104302</v>
      </c>
      <c r="AJ6448">
        <v>108.989760455953</v>
      </c>
      <c r="AK6448">
        <v>14.770434607010801</v>
      </c>
      <c r="AL6448">
        <v>94.074633319493401</v>
      </c>
      <c r="AM6448">
        <v>105.27308589233</v>
      </c>
      <c r="AN6448">
        <v>1.0000000240326601</v>
      </c>
    </row>
    <row r="6449" spans="1:40" x14ac:dyDescent="0.25">
      <c r="A6449" t="str">
        <f>"20190303153937292"</f>
        <v>20190303153937292</v>
      </c>
      <c r="B6449" t="str">
        <f>"1551598777285103"</f>
        <v>1551598777285103</v>
      </c>
      <c r="C6449" t="s">
        <v>40</v>
      </c>
      <c r="D6449">
        <v>4.5719459999999996</v>
      </c>
      <c r="E6449">
        <v>0.49238710000000002</v>
      </c>
      <c r="F6449" t="s">
        <v>42</v>
      </c>
      <c r="G6449">
        <v>-421.79880000000003</v>
      </c>
      <c r="H6449" s="1">
        <v>-3.9074949999999999E-6</v>
      </c>
      <c r="I6449">
        <v>117.5819</v>
      </c>
      <c r="J6449">
        <v>-415.35840000000002</v>
      </c>
      <c r="K6449">
        <v>1.125788</v>
      </c>
      <c r="L6449">
        <v>133.1953</v>
      </c>
      <c r="M6449">
        <v>-0.62624029999999997</v>
      </c>
      <c r="N6449">
        <v>-1.4235579999999999E-2</v>
      </c>
      <c r="O6449">
        <v>-0.77950019999999998</v>
      </c>
      <c r="P6449">
        <v>-0.39742240000000001</v>
      </c>
      <c r="Q6449">
        <v>-8.0828090000000005E-2</v>
      </c>
      <c r="R6449">
        <v>-0.91406920000000003</v>
      </c>
      <c r="S6449">
        <v>-1.14975</v>
      </c>
      <c r="T6449">
        <v>-0.19734950000000001</v>
      </c>
      <c r="U6449">
        <v>-2.7652589999999999</v>
      </c>
      <c r="V6449">
        <v>-0.26189010000000001</v>
      </c>
      <c r="W6449">
        <v>-7.0085670000000003E-2</v>
      </c>
      <c r="X6449">
        <v>0.96254949999999995</v>
      </c>
      <c r="Y6449">
        <v>-0.2790745</v>
      </c>
      <c r="Z6449">
        <v>3.3063830000000002E-2</v>
      </c>
      <c r="AA6449">
        <v>0.9597</v>
      </c>
      <c r="AB6449">
        <v>20</v>
      </c>
      <c r="AC6449">
        <v>-6.4404000000000101</v>
      </c>
      <c r="AD6449">
        <v>-1.125791907495</v>
      </c>
      <c r="AE6449">
        <v>-15.6134</v>
      </c>
      <c r="AF6449">
        <v>-4.7368828904765801</v>
      </c>
      <c r="AG6449">
        <v>-1.125791907495</v>
      </c>
      <c r="AH6449">
        <v>16.1338442800546</v>
      </c>
      <c r="AI6449">
        <v>93.830365672267604</v>
      </c>
      <c r="AJ6449">
        <v>106.362193817171</v>
      </c>
      <c r="AK6449">
        <v>16.852489376650599</v>
      </c>
      <c r="AL6449">
        <v>94.018907901897606</v>
      </c>
      <c r="AM6449">
        <v>105.22057413800199</v>
      </c>
      <c r="AN6449">
        <v>0.99999998278380398</v>
      </c>
    </row>
    <row r="6450" spans="1:40" x14ac:dyDescent="0.25">
      <c r="A6450" t="str">
        <f>"20190303153937314"</f>
        <v>20190303153937314</v>
      </c>
      <c r="B6450" t="str">
        <f>"1551598777304623"</f>
        <v>1551598777304623</v>
      </c>
      <c r="C6450" t="s">
        <v>40</v>
      </c>
      <c r="D6450">
        <v>4.5791639999999996</v>
      </c>
      <c r="E6450">
        <v>0.49318000000000001</v>
      </c>
      <c r="F6450" t="s">
        <v>42</v>
      </c>
      <c r="G6450">
        <v>-422.7543</v>
      </c>
      <c r="H6450" s="1">
        <v>-3.1417750000000001E-6</v>
      </c>
      <c r="I6450">
        <v>115.20440000000001</v>
      </c>
      <c r="J6450">
        <v>-415.47449999999998</v>
      </c>
      <c r="K6450">
        <v>1.1257760000000001</v>
      </c>
      <c r="L6450">
        <v>133.0341</v>
      </c>
      <c r="M6450">
        <v>-0.61940260000000003</v>
      </c>
      <c r="N6450">
        <v>-1.4220979999999999E-2</v>
      </c>
      <c r="O6450">
        <v>-0.7849448</v>
      </c>
      <c r="P6450">
        <v>-0.39110279999999997</v>
      </c>
      <c r="Q6450">
        <v>-7.937524E-2</v>
      </c>
      <c r="R6450">
        <v>-0.91691800000000001</v>
      </c>
      <c r="S6450">
        <v>-1.1392819999999999</v>
      </c>
      <c r="T6450">
        <v>-0.17342070000000001</v>
      </c>
      <c r="U6450">
        <v>-2.7713779999999999</v>
      </c>
      <c r="V6450">
        <v>-0.26022010000000001</v>
      </c>
      <c r="W6450">
        <v>-6.8609859999999995E-2</v>
      </c>
      <c r="X6450">
        <v>0.96310859999999998</v>
      </c>
      <c r="Y6450">
        <v>-0.27447729999999998</v>
      </c>
      <c r="Z6450">
        <v>2.7976040000000001E-2</v>
      </c>
      <c r="AA6450">
        <v>0.96118650000000005</v>
      </c>
      <c r="AB6450">
        <v>20</v>
      </c>
      <c r="AC6450">
        <v>-7.2798000000000203</v>
      </c>
      <c r="AD6450">
        <v>-1.125779141775</v>
      </c>
      <c r="AE6450">
        <v>-17.8296999999999</v>
      </c>
      <c r="AF6450">
        <v>-5.3119086665481996</v>
      </c>
      <c r="AG6450">
        <v>-1.125779141775</v>
      </c>
      <c r="AH6450">
        <v>18.443304812602001</v>
      </c>
      <c r="AI6450">
        <v>93.356875873064496</v>
      </c>
      <c r="AJ6450">
        <v>106.06708006068401</v>
      </c>
      <c r="AK6450">
        <v>19.2260043890651</v>
      </c>
      <c r="AL6450">
        <v>93.934146102583199</v>
      </c>
      <c r="AM6450">
        <v>105.119598479027</v>
      </c>
      <c r="AN6450">
        <v>0.99999999436359399</v>
      </c>
    </row>
    <row r="6451" spans="1:40" x14ac:dyDescent="0.25">
      <c r="A6451" t="str">
        <f>"20190303153937335"</f>
        <v>20190303153937335</v>
      </c>
      <c r="B6451" t="str">
        <f>"1551598777324650"</f>
        <v>1551598777324650</v>
      </c>
      <c r="C6451" t="s">
        <v>40</v>
      </c>
      <c r="D6451">
        <v>4.6153219999999999</v>
      </c>
      <c r="E6451">
        <v>0.49369079999999899</v>
      </c>
      <c r="F6451" t="s">
        <v>42</v>
      </c>
      <c r="G6451">
        <v>-423.20760000000001</v>
      </c>
      <c r="H6451" s="1">
        <v>-2.731707E-6</v>
      </c>
      <c r="I6451">
        <v>113.9674</v>
      </c>
      <c r="J6451">
        <v>-415.58350000000002</v>
      </c>
      <c r="K6451">
        <v>1.1257809999999999</v>
      </c>
      <c r="L6451">
        <v>132.88</v>
      </c>
      <c r="M6451">
        <v>-0.6128595</v>
      </c>
      <c r="N6451">
        <v>-1.420956E-2</v>
      </c>
      <c r="O6451">
        <v>-0.79006419999999999</v>
      </c>
      <c r="P6451">
        <v>-0.38455640000000002</v>
      </c>
      <c r="Q6451">
        <v>-7.9610429999999996E-2</v>
      </c>
      <c r="R6451">
        <v>-0.91966210000000004</v>
      </c>
      <c r="S6451">
        <v>-1.1263729999999901</v>
      </c>
      <c r="T6451">
        <v>-0.16397819999999999</v>
      </c>
      <c r="U6451">
        <v>-2.7772060000000001</v>
      </c>
      <c r="V6451">
        <v>-0.25907049999999998</v>
      </c>
      <c r="W6451">
        <v>-6.8835759999999996E-2</v>
      </c>
      <c r="X6451">
        <v>0.96340239999999999</v>
      </c>
      <c r="Y6451">
        <v>-0.27101330000000001</v>
      </c>
      <c r="Z6451">
        <v>2.6133409999999999E-2</v>
      </c>
      <c r="AA6451">
        <v>0.96222079999999999</v>
      </c>
      <c r="AB6451">
        <v>20</v>
      </c>
      <c r="AC6451">
        <v>-7.6240999999999897</v>
      </c>
      <c r="AD6451">
        <v>-1.1257837317070001</v>
      </c>
      <c r="AE6451">
        <v>-18.912600000000001</v>
      </c>
      <c r="AF6451">
        <v>-5.5508809617014903</v>
      </c>
      <c r="AG6451">
        <v>-1.1257837317070001</v>
      </c>
      <c r="AH6451">
        <v>19.557040269245999</v>
      </c>
      <c r="AI6451">
        <v>93.169616749606803</v>
      </c>
      <c r="AJ6451">
        <v>105.845549594056</v>
      </c>
      <c r="AK6451">
        <v>20.3606849726247</v>
      </c>
      <c r="AL6451">
        <v>93.947119731051799</v>
      </c>
      <c r="AM6451">
        <v>105.051458944169</v>
      </c>
      <c r="AN6451">
        <v>1.0000000350753899</v>
      </c>
    </row>
    <row r="6452" spans="1:40" x14ac:dyDescent="0.25">
      <c r="A6452" t="str">
        <f>"20190303153937357"</f>
        <v>20190303153937357</v>
      </c>
      <c r="B6452" t="str">
        <f>"1551598777345146"</f>
        <v>1551598777345146</v>
      </c>
      <c r="C6452" t="s">
        <v>40</v>
      </c>
      <c r="D6452">
        <v>4.5658570000000003</v>
      </c>
      <c r="E6452">
        <v>0.46638069999999998</v>
      </c>
      <c r="F6452" t="s">
        <v>42</v>
      </c>
      <c r="G6452">
        <v>-423.20909999999998</v>
      </c>
      <c r="H6452" s="1">
        <v>-2.6418599999999998E-6</v>
      </c>
      <c r="I6452">
        <v>113.75700000000001</v>
      </c>
      <c r="J6452">
        <v>-415.69450000000001</v>
      </c>
      <c r="K6452">
        <v>1.125788</v>
      </c>
      <c r="L6452">
        <v>132.72030000000001</v>
      </c>
      <c r="M6452">
        <v>-0.60605390000000003</v>
      </c>
      <c r="N6452">
        <v>-1.4200030000000001E-2</v>
      </c>
      <c r="O6452">
        <v>-0.79529700000000003</v>
      </c>
      <c r="P6452">
        <v>-0.37709330000000002</v>
      </c>
      <c r="Q6452">
        <v>-7.9813259999999997E-2</v>
      </c>
      <c r="R6452">
        <v>-0.92273019999999994</v>
      </c>
      <c r="S6452">
        <v>-1.1100460000000001</v>
      </c>
      <c r="T6452">
        <v>-0.1638781</v>
      </c>
      <c r="U6452">
        <v>-2.7837070000000002</v>
      </c>
      <c r="V6452">
        <v>-0.25859179999999998</v>
      </c>
      <c r="W6452">
        <v>-6.90413E-2</v>
      </c>
      <c r="X6452">
        <v>0.96351620000000004</v>
      </c>
      <c r="Y6452">
        <v>-0.26839550000000001</v>
      </c>
      <c r="Z6452">
        <v>2.645287E-2</v>
      </c>
      <c r="AA6452">
        <v>0.96294550000000001</v>
      </c>
      <c r="AB6452">
        <v>20</v>
      </c>
      <c r="AC6452">
        <v>-7.5145999999999704</v>
      </c>
      <c r="AD6452">
        <v>-1.1257906418600001</v>
      </c>
      <c r="AE6452">
        <v>-18.9633</v>
      </c>
      <c r="AF6452">
        <v>-5.5002443073611103</v>
      </c>
      <c r="AG6452">
        <v>-1.1257906418600001</v>
      </c>
      <c r="AH6452">
        <v>19.578048893921501</v>
      </c>
      <c r="AI6452">
        <v>93.168631787481303</v>
      </c>
      <c r="AJ6452">
        <v>105.69214221538699</v>
      </c>
      <c r="AK6452">
        <v>20.367132603848201</v>
      </c>
      <c r="AL6452">
        <v>93.958924751071095</v>
      </c>
      <c r="AM6452">
        <v>105.023211780599</v>
      </c>
      <c r="AN6452">
        <v>0.99999994389768299</v>
      </c>
    </row>
    <row r="6453" spans="1:40" x14ac:dyDescent="0.25">
      <c r="A6453" t="str">
        <f>"20190303153937381"</f>
        <v>20190303153937381</v>
      </c>
      <c r="B6453" t="str">
        <f>"1551598777375405"</f>
        <v>1551598777375405</v>
      </c>
      <c r="C6453" t="s">
        <v>40</v>
      </c>
      <c r="D6453">
        <v>4.562684</v>
      </c>
      <c r="E6453">
        <v>0.45886450000000001</v>
      </c>
      <c r="F6453" t="s">
        <v>42</v>
      </c>
      <c r="G6453">
        <v>-420.19510000000002</v>
      </c>
      <c r="H6453" s="1">
        <v>-3.7008190000000001E-6</v>
      </c>
      <c r="I6453">
        <v>118.09480000000001</v>
      </c>
      <c r="J6453">
        <v>-415.80799999999999</v>
      </c>
      <c r="K6453">
        <v>1.125794</v>
      </c>
      <c r="L6453">
        <v>132.554</v>
      </c>
      <c r="M6453">
        <v>-0.59894409999999998</v>
      </c>
      <c r="N6453">
        <v>-1.419226E-2</v>
      </c>
      <c r="O6453">
        <v>-0.80066539999999997</v>
      </c>
      <c r="P6453">
        <v>-0.36879200000000001</v>
      </c>
      <c r="Q6453">
        <v>-7.9842869999999996E-2</v>
      </c>
      <c r="R6453">
        <v>-0.92607669999999997</v>
      </c>
      <c r="S6453">
        <v>-0.88348389999999999</v>
      </c>
      <c r="T6453">
        <v>-0.2209998</v>
      </c>
      <c r="U6453">
        <v>-2.8710629999999999</v>
      </c>
      <c r="V6453">
        <v>-0.25865640000000001</v>
      </c>
      <c r="W6453">
        <v>-6.9082149999999995E-2</v>
      </c>
      <c r="X6453">
        <v>0.96349600000000002</v>
      </c>
      <c r="Y6453">
        <v>-0.33698889999999998</v>
      </c>
      <c r="Z6453">
        <v>3.832671E-2</v>
      </c>
      <c r="AA6453">
        <v>0.94072820000000001</v>
      </c>
      <c r="AB6453">
        <v>20</v>
      </c>
      <c r="AC6453">
        <v>-4.38709999999997</v>
      </c>
      <c r="AD6453">
        <v>-1.1257977008190001</v>
      </c>
      <c r="AE6453">
        <v>-14.4591999999999</v>
      </c>
      <c r="AF6453">
        <v>-5.1197497670511103</v>
      </c>
      <c r="AG6453">
        <v>-1.1257977008190001</v>
      </c>
      <c r="AH6453">
        <v>14.127610709927501</v>
      </c>
      <c r="AI6453">
        <v>94.284589819828795</v>
      </c>
      <c r="AJ6453">
        <v>109.920170965132</v>
      </c>
      <c r="AK6453">
        <v>15.068796982893099</v>
      </c>
      <c r="AL6453">
        <v>93.961270625714107</v>
      </c>
      <c r="AM6453">
        <v>105.02709586322</v>
      </c>
      <c r="AN6453">
        <v>1.0000000093627901</v>
      </c>
    </row>
    <row r="6454" spans="1:40" x14ac:dyDescent="0.25">
      <c r="A6454" t="str">
        <f>"20190303153937403"</f>
        <v>20190303153937403</v>
      </c>
      <c r="B6454" t="str">
        <f>"1551598777394921"</f>
        <v>1551598777394921</v>
      </c>
      <c r="C6454" t="s">
        <v>40</v>
      </c>
      <c r="D6454">
        <v>4.5382389999999999</v>
      </c>
      <c r="E6454">
        <v>0.45805170000000001</v>
      </c>
      <c r="F6454" t="s">
        <v>42</v>
      </c>
      <c r="G6454">
        <v>-419.81310000000002</v>
      </c>
      <c r="H6454" s="1">
        <v>-3.6505149999999998E-6</v>
      </c>
      <c r="I6454">
        <v>118.06489999999999</v>
      </c>
      <c r="J6454">
        <v>-415.91590000000002</v>
      </c>
      <c r="K6454">
        <v>1.1258060000000001</v>
      </c>
      <c r="L6454">
        <v>132.39269999999999</v>
      </c>
      <c r="M6454">
        <v>-0.59202129999999997</v>
      </c>
      <c r="N6454">
        <v>-1.4185969999999999E-2</v>
      </c>
      <c r="O6454">
        <v>-0.80579780000000001</v>
      </c>
      <c r="P6454">
        <v>-0.36016910000000002</v>
      </c>
      <c r="Q6454">
        <v>-8.0388660000000001E-2</v>
      </c>
      <c r="R6454">
        <v>-0.92941770000000001</v>
      </c>
      <c r="S6454">
        <v>-0.80184940000000005</v>
      </c>
      <c r="T6454">
        <v>-0.22538830000000001</v>
      </c>
      <c r="U6454">
        <v>-2.900757</v>
      </c>
      <c r="V6454">
        <v>-0.25927169999999999</v>
      </c>
      <c r="W6454">
        <v>-6.9646810000000003E-2</v>
      </c>
      <c r="X6454">
        <v>0.96328990000000003</v>
      </c>
      <c r="Y6454">
        <v>-0.35590809999999901</v>
      </c>
      <c r="Z6454">
        <v>3.911676E-2</v>
      </c>
      <c r="AA6454">
        <v>0.93370189999999997</v>
      </c>
      <c r="AB6454">
        <v>20</v>
      </c>
      <c r="AC6454">
        <v>-3.89719999999999</v>
      </c>
      <c r="AD6454">
        <v>-1.1258096505149999</v>
      </c>
      <c r="AE6454">
        <v>-14.3277999999999</v>
      </c>
      <c r="AF6454">
        <v>-5.3120063767352903</v>
      </c>
      <c r="AG6454">
        <v>-1.1258096505149999</v>
      </c>
      <c r="AH6454">
        <v>13.774737983456699</v>
      </c>
      <c r="AI6454">
        <v>94.360724877844902</v>
      </c>
      <c r="AJ6454">
        <v>111.088331735553</v>
      </c>
      <c r="AK6454">
        <v>14.806358959195601</v>
      </c>
      <c r="AL6454">
        <v>93.993701563382899</v>
      </c>
      <c r="AM6454">
        <v>105.064296421045</v>
      </c>
      <c r="AN6454">
        <v>0.99999996200303698</v>
      </c>
    </row>
    <row r="6455" spans="1:40" x14ac:dyDescent="0.25">
      <c r="A6455" t="str">
        <f>"20190303153937424"</f>
        <v>20190303153937424</v>
      </c>
      <c r="B6455" t="str">
        <f>"1551598777414950"</f>
        <v>1551598777414950</v>
      </c>
      <c r="C6455" t="s">
        <v>40</v>
      </c>
      <c r="D6455">
        <v>4.5697939999999999</v>
      </c>
      <c r="E6455">
        <v>0.45731060000000001</v>
      </c>
      <c r="F6455" t="s">
        <v>42</v>
      </c>
      <c r="G6455">
        <v>-419.69639999999998</v>
      </c>
      <c r="H6455" s="1">
        <v>-3.6806750000000001E-6</v>
      </c>
      <c r="I6455">
        <v>118.087</v>
      </c>
      <c r="J6455">
        <v>-416.02080000000001</v>
      </c>
      <c r="K6455">
        <v>1.1258049999999999</v>
      </c>
      <c r="L6455">
        <v>132.23310000000001</v>
      </c>
      <c r="M6455">
        <v>-0.58514429999999995</v>
      </c>
      <c r="N6455">
        <v>-1.418059E-2</v>
      </c>
      <c r="O6455">
        <v>-0.8108052</v>
      </c>
      <c r="P6455">
        <v>-0.35136210000000001</v>
      </c>
      <c r="Q6455">
        <v>-8.0217200000000002E-2</v>
      </c>
      <c r="R6455">
        <v>-0.93279679999999998</v>
      </c>
      <c r="S6455">
        <v>-0.76901249999999999</v>
      </c>
      <c r="T6455">
        <v>-0.22900529999999999</v>
      </c>
      <c r="U6455">
        <v>-2.9099879999999998</v>
      </c>
      <c r="V6455">
        <v>-0.26019579999999998</v>
      </c>
      <c r="W6455">
        <v>-6.9496429999999998E-2</v>
      </c>
      <c r="X6455">
        <v>0.96305160000000001</v>
      </c>
      <c r="Y6455">
        <v>-0.3585429</v>
      </c>
      <c r="Z6455">
        <v>4.029398E-2</v>
      </c>
      <c r="AA6455">
        <v>0.93264320000000001</v>
      </c>
      <c r="AB6455">
        <v>20</v>
      </c>
      <c r="AC6455">
        <v>-3.67559999999997</v>
      </c>
      <c r="AD6455">
        <v>-1.1258086806749901</v>
      </c>
      <c r="AE6455">
        <v>-14.146100000000001</v>
      </c>
      <c r="AF6455">
        <v>-5.2665995043832696</v>
      </c>
      <c r="AG6455">
        <v>-1.1258086806749901</v>
      </c>
      <c r="AH6455">
        <v>13.541514036694799</v>
      </c>
      <c r="AI6455">
        <v>94.430638156197503</v>
      </c>
      <c r="AJ6455">
        <v>111.252178321198</v>
      </c>
      <c r="AK6455">
        <v>14.5731643074199</v>
      </c>
      <c r="AL6455">
        <v>93.985064359292593</v>
      </c>
      <c r="AM6455">
        <v>105.11910504431999</v>
      </c>
      <c r="AN6455">
        <v>0.99999999619147195</v>
      </c>
    </row>
    <row r="6456" spans="1:40" x14ac:dyDescent="0.25">
      <c r="A6456" t="str">
        <f>"20190303153937448"</f>
        <v>20190303153937448</v>
      </c>
      <c r="B6456" t="str">
        <f>"1551598777435447"</f>
        <v>1551598777435447</v>
      </c>
      <c r="C6456" t="s">
        <v>40</v>
      </c>
      <c r="D6456">
        <v>4.5431119999999998</v>
      </c>
      <c r="E6456">
        <v>0.45720670000000002</v>
      </c>
      <c r="F6456" t="s">
        <v>42</v>
      </c>
      <c r="G6456">
        <v>-419.61579999999998</v>
      </c>
      <c r="H6456" s="1">
        <v>-3.644194E-6</v>
      </c>
      <c r="I6456">
        <v>117.9686</v>
      </c>
      <c r="J6456">
        <v>-416.12689999999998</v>
      </c>
      <c r="K6456">
        <v>1.1257999999999999</v>
      </c>
      <c r="L6456">
        <v>132.0686</v>
      </c>
      <c r="M6456">
        <v>-0.57804160000000004</v>
      </c>
      <c r="N6456">
        <v>-1.417552E-2</v>
      </c>
      <c r="O6456">
        <v>-0.81588419999999995</v>
      </c>
      <c r="P6456">
        <v>-0.34207929999999998</v>
      </c>
      <c r="Q6456">
        <v>-7.9463190000000003E-2</v>
      </c>
      <c r="R6456">
        <v>-0.93630550000000001</v>
      </c>
      <c r="S6456">
        <v>-0.73571779999999998</v>
      </c>
      <c r="T6456">
        <v>-0.2303954</v>
      </c>
      <c r="U6456">
        <v>-2.9192049999999998</v>
      </c>
      <c r="V6456">
        <v>-0.26139600000000002</v>
      </c>
      <c r="W6456">
        <v>-6.876525E-2</v>
      </c>
      <c r="X6456">
        <v>0.96277900000000005</v>
      </c>
      <c r="Y6456">
        <v>-0.36109409999999997</v>
      </c>
      <c r="Z6456">
        <v>4.0970939999999997E-2</v>
      </c>
      <c r="AA6456">
        <v>0.93162889999999998</v>
      </c>
      <c r="AB6456">
        <v>20</v>
      </c>
      <c r="AC6456">
        <v>-3.4889000000000001</v>
      </c>
      <c r="AD6456">
        <v>-1.12580364419399</v>
      </c>
      <c r="AE6456">
        <v>-14.1</v>
      </c>
      <c r="AF6456">
        <v>-5.2727062689489399</v>
      </c>
      <c r="AG6456">
        <v>-1.12580364419399</v>
      </c>
      <c r="AH6456">
        <v>13.4413088678384</v>
      </c>
      <c r="AI6456">
        <v>94.458466009707294</v>
      </c>
      <c r="AJ6456">
        <v>111.418897987782</v>
      </c>
      <c r="AK6456">
        <v>14.4823219590135</v>
      </c>
      <c r="AL6456">
        <v>93.943070484440696</v>
      </c>
      <c r="AM6456">
        <v>105.18973214658099</v>
      </c>
      <c r="AN6456">
        <v>0.99999996563228</v>
      </c>
    </row>
    <row r="6457" spans="1:40" x14ac:dyDescent="0.25">
      <c r="A6457" t="str">
        <f>"20190303153937470"</f>
        <v>20190303153937470</v>
      </c>
      <c r="B6457" t="str">
        <f>"1551598777464726"</f>
        <v>1551598777464726</v>
      </c>
      <c r="C6457" t="s">
        <v>40</v>
      </c>
      <c r="D6457">
        <v>4.5889569999999997</v>
      </c>
      <c r="E6457">
        <v>0.45769720000000003</v>
      </c>
      <c r="F6457" t="s">
        <v>42</v>
      </c>
      <c r="G6457">
        <v>-419.59820000000002</v>
      </c>
      <c r="H6457" s="1">
        <v>-3.5216350000000002E-6</v>
      </c>
      <c r="I6457">
        <v>117.6756</v>
      </c>
      <c r="J6457">
        <v>-416.2312</v>
      </c>
      <c r="K6457">
        <v>1.125815</v>
      </c>
      <c r="L6457">
        <v>131.90360000000001</v>
      </c>
      <c r="M6457">
        <v>-0.5709012</v>
      </c>
      <c r="N6457">
        <v>-1.417089E-2</v>
      </c>
      <c r="O6457">
        <v>-0.82089669999999904</v>
      </c>
      <c r="P6457">
        <v>-0.33299869999999998</v>
      </c>
      <c r="Q6457">
        <v>-7.7741439999999995E-2</v>
      </c>
      <c r="R6457">
        <v>-0.93971720000000003</v>
      </c>
      <c r="S6457">
        <v>-0.70587159999999904</v>
      </c>
      <c r="T6457">
        <v>-0.2289253</v>
      </c>
      <c r="U6457">
        <v>-2.9267270000000001</v>
      </c>
      <c r="V6457">
        <v>-0.26241710000000001</v>
      </c>
      <c r="W6457">
        <v>-6.7060679999999998E-2</v>
      </c>
      <c r="X6457">
        <v>0.96262150000000002</v>
      </c>
      <c r="Y6457">
        <v>-0.36248259999999899</v>
      </c>
      <c r="Z6457">
        <v>4.1018279999999997E-2</v>
      </c>
      <c r="AA6457">
        <v>0.93108749999999996</v>
      </c>
      <c r="AB6457">
        <v>20</v>
      </c>
      <c r="AC6457">
        <v>-3.3670000000000102</v>
      </c>
      <c r="AD6457">
        <v>-1.1258185216350001</v>
      </c>
      <c r="AE6457">
        <v>-14.228</v>
      </c>
      <c r="AF6457">
        <v>-5.3277716076259098</v>
      </c>
      <c r="AG6457">
        <v>-1.1258185216350001</v>
      </c>
      <c r="AH6457">
        <v>13.5231266984364</v>
      </c>
      <c r="AI6457">
        <v>94.429105240044706</v>
      </c>
      <c r="AJ6457">
        <v>111.503192124015</v>
      </c>
      <c r="AK6457">
        <v>14.5783254644916</v>
      </c>
      <c r="AL6457">
        <v>93.845179623334701</v>
      </c>
      <c r="AM6457">
        <v>105.248690101771</v>
      </c>
      <c r="AN6457">
        <v>1.00000001071836</v>
      </c>
    </row>
    <row r="6458" spans="1:40" x14ac:dyDescent="0.25">
      <c r="A6458" t="str">
        <f>"20190303153937494"</f>
        <v>20190303153937494</v>
      </c>
      <c r="B6458" t="str">
        <f>"1551598777485222"</f>
        <v>1551598777485222</v>
      </c>
      <c r="C6458" t="s">
        <v>40</v>
      </c>
      <c r="D6458">
        <v>4.5720879999999999</v>
      </c>
      <c r="E6458">
        <v>0.45806609999999998</v>
      </c>
      <c r="F6458" t="s">
        <v>42</v>
      </c>
      <c r="G6458">
        <v>-419.63549999999998</v>
      </c>
      <c r="H6458" s="1">
        <v>-3.3337540000000002E-6</v>
      </c>
      <c r="I6458">
        <v>117.2531</v>
      </c>
      <c r="J6458">
        <v>-416.33609999999999</v>
      </c>
      <c r="K6458">
        <v>1.125818</v>
      </c>
      <c r="L6458">
        <v>131.73429999999999</v>
      </c>
      <c r="M6458">
        <v>-0.56355919999999904</v>
      </c>
      <c r="N6458">
        <v>-1.4166359999999999E-2</v>
      </c>
      <c r="O6458">
        <v>-0.82595439999999998</v>
      </c>
      <c r="P6458">
        <v>-0.32362370000000001</v>
      </c>
      <c r="Q6458">
        <v>-7.6109640000000006E-2</v>
      </c>
      <c r="R6458">
        <v>-0.94312010000000002</v>
      </c>
      <c r="S6458">
        <v>-0.68139649999999996</v>
      </c>
      <c r="T6458">
        <v>-0.22533619999999999</v>
      </c>
      <c r="U6458">
        <v>-2.9323429999999999</v>
      </c>
      <c r="V6458">
        <v>-0.26351380000000002</v>
      </c>
      <c r="W6458">
        <v>-6.5445630000000005E-2</v>
      </c>
      <c r="X6458">
        <v>0.96243299999999998</v>
      </c>
      <c r="Y6458">
        <v>-0.36193969999999998</v>
      </c>
      <c r="Z6458">
        <v>4.0623100000000002E-2</v>
      </c>
      <c r="AA6458">
        <v>0.93131600000000003</v>
      </c>
      <c r="AB6458">
        <v>20</v>
      </c>
      <c r="AC6458">
        <v>-3.2993999999999901</v>
      </c>
      <c r="AD6458">
        <v>-1.125821333754</v>
      </c>
      <c r="AE6458">
        <v>-14.4811999999999</v>
      </c>
      <c r="AF6458">
        <v>-5.4053461211610898</v>
      </c>
      <c r="AG6458">
        <v>-1.125821333754</v>
      </c>
      <c r="AH6458">
        <v>13.742640268118301</v>
      </c>
      <c r="AI6458">
        <v>94.359603427399705</v>
      </c>
      <c r="AJ6458">
        <v>111.471034760607</v>
      </c>
      <c r="AK6458">
        <v>14.810314037993701</v>
      </c>
      <c r="AL6458">
        <v>93.752440469427796</v>
      </c>
      <c r="AM6458">
        <v>105.312291060137</v>
      </c>
      <c r="AN6458">
        <v>0.999999966382767</v>
      </c>
    </row>
    <row r="6459" spans="1:40" x14ac:dyDescent="0.25">
      <c r="A6459" t="str">
        <f>"20190303153937515"</f>
        <v>20190303153937515</v>
      </c>
      <c r="B6459" t="str">
        <f>"1551598777504743"</f>
        <v>1551598777504743</v>
      </c>
      <c r="C6459" t="s">
        <v>40</v>
      </c>
      <c r="D6459">
        <v>4.5893959999999998</v>
      </c>
      <c r="E6459">
        <v>0.45867980000000003</v>
      </c>
      <c r="F6459" t="s">
        <v>42</v>
      </c>
      <c r="G6459">
        <v>-419.66989999999998</v>
      </c>
      <c r="H6459" s="1">
        <v>-3.121029E-6</v>
      </c>
      <c r="I6459">
        <v>116.7715</v>
      </c>
      <c r="J6459">
        <v>-416.43680000000001</v>
      </c>
      <c r="K6459">
        <v>1.125813</v>
      </c>
      <c r="L6459">
        <v>131.56829999999999</v>
      </c>
      <c r="M6459">
        <v>-0.55635659999999998</v>
      </c>
      <c r="N6459">
        <v>-1.41622E-2</v>
      </c>
      <c r="O6459">
        <v>-0.83082309999999904</v>
      </c>
      <c r="P6459">
        <v>-0.31513010000000002</v>
      </c>
      <c r="Q6459">
        <v>-7.6059650000000006E-2</v>
      </c>
      <c r="R6459">
        <v>-0.9459959</v>
      </c>
      <c r="S6459">
        <v>-0.65469359999999999</v>
      </c>
      <c r="T6459">
        <v>-0.22109029999999999</v>
      </c>
      <c r="U6459">
        <v>-2.9384160000000001</v>
      </c>
      <c r="V6459">
        <v>-0.26380320000000002</v>
      </c>
      <c r="W6459">
        <v>-6.5400449999999999E-2</v>
      </c>
      <c r="X6459">
        <v>0.96235680000000001</v>
      </c>
      <c r="Y6459">
        <v>-0.3623053</v>
      </c>
      <c r="Z6459">
        <v>4.001275E-2</v>
      </c>
      <c r="AA6459">
        <v>0.93120029999999998</v>
      </c>
      <c r="AB6459">
        <v>20</v>
      </c>
      <c r="AC6459">
        <v>-3.2330999999999701</v>
      </c>
      <c r="AD6459">
        <v>-1.1258161210290001</v>
      </c>
      <c r="AE6459">
        <v>-14.7967999999999</v>
      </c>
      <c r="AF6459">
        <v>-5.5162406211871797</v>
      </c>
      <c r="AG6459">
        <v>-1.1258161210290001</v>
      </c>
      <c r="AH6459">
        <v>14.0162493722703</v>
      </c>
      <c r="AI6459">
        <v>94.274459921229294</v>
      </c>
      <c r="AJ6459">
        <v>111.48263399411501</v>
      </c>
      <c r="AK6459">
        <v>15.1046886427649</v>
      </c>
      <c r="AL6459">
        <v>93.749846241483993</v>
      </c>
      <c r="AM6459">
        <v>105.32947357571101</v>
      </c>
      <c r="AN6459">
        <v>0.99999997884834102</v>
      </c>
    </row>
    <row r="6460" spans="1:40" x14ac:dyDescent="0.25">
      <c r="A6460" t="str">
        <f>"20190303153937537"</f>
        <v>20190303153937537</v>
      </c>
      <c r="B6460" t="str">
        <f>"1551598777525238"</f>
        <v>1551598777525238</v>
      </c>
      <c r="C6460" t="s">
        <v>40</v>
      </c>
      <c r="D6460">
        <v>4.585947</v>
      </c>
      <c r="E6460">
        <v>0.4594394</v>
      </c>
      <c r="F6460" t="s">
        <v>42</v>
      </c>
      <c r="G6460">
        <v>-419.6506</v>
      </c>
      <c r="H6460" s="1">
        <v>-3.065372E-6</v>
      </c>
      <c r="I6460">
        <v>116.63379999999999</v>
      </c>
      <c r="J6460">
        <v>-416.53320000000002</v>
      </c>
      <c r="K6460">
        <v>1.1258090000000001</v>
      </c>
      <c r="L6460">
        <v>131.40639999999999</v>
      </c>
      <c r="M6460">
        <v>-0.54932190000000003</v>
      </c>
      <c r="N6460">
        <v>-1.4158159999999999E-2</v>
      </c>
      <c r="O6460">
        <v>-0.83549110000000004</v>
      </c>
      <c r="P6460">
        <v>-0.30710209999999999</v>
      </c>
      <c r="Q6460">
        <v>-7.7360570000000003E-2</v>
      </c>
      <c r="R6460">
        <v>-0.94852729999999996</v>
      </c>
      <c r="S6460">
        <v>-0.63320919999999903</v>
      </c>
      <c r="T6460">
        <v>-0.22181390000000001</v>
      </c>
      <c r="U6460">
        <v>-2.9424739999999998</v>
      </c>
      <c r="V6460">
        <v>-0.26376119999999997</v>
      </c>
      <c r="W6460">
        <v>-6.6702020000000001E-2</v>
      </c>
      <c r="X6460">
        <v>0.962279</v>
      </c>
      <c r="Y6460">
        <v>-0.36120229999999998</v>
      </c>
      <c r="Z6460">
        <v>4.0623270000000003E-2</v>
      </c>
      <c r="AA6460">
        <v>0.93160220000000005</v>
      </c>
      <c r="AB6460">
        <v>20</v>
      </c>
      <c r="AC6460">
        <v>-3.1173999999999702</v>
      </c>
      <c r="AD6460">
        <v>-1.1258120653720001</v>
      </c>
      <c r="AE6460">
        <v>-14.772599999999899</v>
      </c>
      <c r="AF6460">
        <v>-5.4804313597180103</v>
      </c>
      <c r="AG6460">
        <v>-1.1258120653720001</v>
      </c>
      <c r="AH6460">
        <v>13.978513744838001</v>
      </c>
      <c r="AI6460">
        <v>94.288119849834402</v>
      </c>
      <c r="AJ6460">
        <v>111.408213438514</v>
      </c>
      <c r="AK6460">
        <v>15.056607426965099</v>
      </c>
      <c r="AL6460">
        <v>93.824583837313099</v>
      </c>
      <c r="AM6460">
        <v>105.328328675197</v>
      </c>
      <c r="AN6460">
        <v>1.0000000019692601</v>
      </c>
    </row>
    <row r="6461" spans="1:40" x14ac:dyDescent="0.25">
      <c r="A6461" t="str">
        <f>"20190303153937560"</f>
        <v>20190303153937560</v>
      </c>
      <c r="B6461" t="str">
        <f>"1551598777554522"</f>
        <v>1551598777554522</v>
      </c>
      <c r="C6461" t="s">
        <v>40</v>
      </c>
      <c r="D6461">
        <v>4.6212200000000001</v>
      </c>
      <c r="E6461">
        <v>0.46023419999999998</v>
      </c>
      <c r="F6461" t="s">
        <v>42</v>
      </c>
      <c r="G6461">
        <v>-419.58640000000003</v>
      </c>
      <c r="H6461" s="1">
        <v>-3.1265489999999999E-6</v>
      </c>
      <c r="I6461">
        <v>116.74979999999999</v>
      </c>
      <c r="J6461">
        <v>-416.63040000000001</v>
      </c>
      <c r="K6461">
        <v>1.125802</v>
      </c>
      <c r="L6461">
        <v>131.23990000000001</v>
      </c>
      <c r="M6461">
        <v>-0.54207680000000003</v>
      </c>
      <c r="N6461">
        <v>-1.415427E-2</v>
      </c>
      <c r="O6461">
        <v>-0.84021000000000001</v>
      </c>
      <c r="P6461">
        <v>-0.29862309999999997</v>
      </c>
      <c r="Q6461">
        <v>-7.7012699999999906E-2</v>
      </c>
      <c r="R6461">
        <v>-0.95125899999999997</v>
      </c>
      <c r="S6461">
        <v>-0.61361690000000002</v>
      </c>
      <c r="T6461">
        <v>-0.2262641</v>
      </c>
      <c r="U6461">
        <v>-2.9456630000000001</v>
      </c>
      <c r="V6461">
        <v>-0.2640499</v>
      </c>
      <c r="W6461">
        <v>-6.6357550000000001E-2</v>
      </c>
      <c r="X6461">
        <v>0.96222359999999896</v>
      </c>
      <c r="Y6461">
        <v>-0.35928739999999998</v>
      </c>
      <c r="Z6461">
        <v>4.217986E-2</v>
      </c>
      <c r="AA6461">
        <v>0.93227329999999997</v>
      </c>
      <c r="AB6461">
        <v>20</v>
      </c>
      <c r="AC6461">
        <v>-2.9560000000000102</v>
      </c>
      <c r="AD6461">
        <v>-1.1258051265489999</v>
      </c>
      <c r="AE6461">
        <v>-14.4901</v>
      </c>
      <c r="AF6461">
        <v>-5.3406724065367603</v>
      </c>
      <c r="AG6461">
        <v>-1.1258051265489999</v>
      </c>
      <c r="AH6461">
        <v>13.699092830377801</v>
      </c>
      <c r="AI6461">
        <v>94.378482089553998</v>
      </c>
      <c r="AJ6461">
        <v>111.298617822816</v>
      </c>
      <c r="AK6461">
        <v>14.746367800655699</v>
      </c>
      <c r="AL6461">
        <v>93.804803475044906</v>
      </c>
      <c r="AM6461">
        <v>105.345157730107</v>
      </c>
      <c r="AN6461">
        <v>0.99999996526448498</v>
      </c>
    </row>
    <row r="6462" spans="1:40" x14ac:dyDescent="0.25">
      <c r="A6462" t="str">
        <f>"20190303153937581"</f>
        <v>20190303153937581</v>
      </c>
      <c r="B6462" t="str">
        <f>"1551598777575014"</f>
        <v>1551598777575014</v>
      </c>
      <c r="C6462" t="s">
        <v>40</v>
      </c>
      <c r="D6462">
        <v>4.5787809999999904</v>
      </c>
      <c r="E6462">
        <v>0.4713117</v>
      </c>
      <c r="F6462" t="s">
        <v>42</v>
      </c>
      <c r="G6462">
        <v>-419.58960000000002</v>
      </c>
      <c r="H6462" s="1">
        <v>-3.0362729999999999E-6</v>
      </c>
      <c r="I6462">
        <v>116.5407</v>
      </c>
      <c r="J6462">
        <v>-416.72480000000002</v>
      </c>
      <c r="K6462">
        <v>1.1257950000000001</v>
      </c>
      <c r="L6462">
        <v>131.07499999999999</v>
      </c>
      <c r="M6462">
        <v>-0.53488999999999998</v>
      </c>
      <c r="N6462">
        <v>-1.415076E-2</v>
      </c>
      <c r="O6462">
        <v>-0.84480330000000003</v>
      </c>
      <c r="P6462">
        <v>-0.29006480000000001</v>
      </c>
      <c r="Q6462">
        <v>-7.6416970000000001E-2</v>
      </c>
      <c r="R6462">
        <v>-0.95395169999999996</v>
      </c>
      <c r="S6462">
        <v>-0.59368900000000002</v>
      </c>
      <c r="T6462">
        <v>-0.22586890000000001</v>
      </c>
      <c r="U6462">
        <v>-2.9490810000000001</v>
      </c>
      <c r="V6462">
        <v>-0.26451999999999998</v>
      </c>
      <c r="W6462">
        <v>-6.5767599999999996E-2</v>
      </c>
      <c r="X6462">
        <v>0.96213499999999996</v>
      </c>
      <c r="Y6462">
        <v>-0.35759400000000002</v>
      </c>
      <c r="Z6462">
        <v>4.2540939999999999E-2</v>
      </c>
      <c r="AA6462">
        <v>0.93290770000000001</v>
      </c>
      <c r="AB6462">
        <v>20</v>
      </c>
      <c r="AC6462">
        <v>-2.8647999999999998</v>
      </c>
      <c r="AD6462">
        <v>-1.125798036273</v>
      </c>
      <c r="AE6462">
        <v>-14.534299999999901</v>
      </c>
      <c r="AF6462">
        <v>-5.3238477415825001</v>
      </c>
      <c r="AG6462">
        <v>-1.125798036273</v>
      </c>
      <c r="AH6462">
        <v>13.7330459074769</v>
      </c>
      <c r="AI6462">
        <v>94.370888975910404</v>
      </c>
      <c r="AJ6462">
        <v>111.189664740925</v>
      </c>
      <c r="AK6462">
        <v>14.771842332319199</v>
      </c>
      <c r="AL6462">
        <v>93.770927759615603</v>
      </c>
      <c r="AM6462">
        <v>105.37253488883501</v>
      </c>
      <c r="AN6462">
        <v>0.99999998291737902</v>
      </c>
    </row>
    <row r="6463" spans="1:40" x14ac:dyDescent="0.25">
      <c r="A6463" t="str">
        <f>"20190303153937604"</f>
        <v>20190303153937604</v>
      </c>
      <c r="B6463" t="str">
        <f>"1551598777594535"</f>
        <v>1551598777594535</v>
      </c>
      <c r="C6463" t="s">
        <v>40</v>
      </c>
      <c r="D6463">
        <v>4.6373160000000002</v>
      </c>
      <c r="E6463">
        <v>0.47192800000000001</v>
      </c>
      <c r="F6463" t="s">
        <v>42</v>
      </c>
      <c r="G6463">
        <v>-419.93770000000001</v>
      </c>
      <c r="H6463" s="1">
        <v>-3.0105280000000002E-6</v>
      </c>
      <c r="I6463">
        <v>116.6246</v>
      </c>
      <c r="J6463">
        <v>-416.81970000000001</v>
      </c>
      <c r="K6463">
        <v>1.1257919999999999</v>
      </c>
      <c r="L6463">
        <v>130.9059</v>
      </c>
      <c r="M6463">
        <v>-0.52750109999999995</v>
      </c>
      <c r="N6463">
        <v>-1.4147669999999999E-2</v>
      </c>
      <c r="O6463">
        <v>-0.84943659999999999</v>
      </c>
      <c r="P6463">
        <v>-0.28178950000000003</v>
      </c>
      <c r="Q6463">
        <v>-7.5729959999999999E-2</v>
      </c>
      <c r="R6463">
        <v>-0.95648310000000003</v>
      </c>
      <c r="S6463">
        <v>-0.65112300000000001</v>
      </c>
      <c r="T6463">
        <v>-0.228156</v>
      </c>
      <c r="U6463">
        <v>-2.9285429999999999</v>
      </c>
      <c r="V6463">
        <v>-0.26450030000000002</v>
      </c>
      <c r="W6463">
        <v>-6.5079280000000003E-2</v>
      </c>
      <c r="X6463">
        <v>0.96218720000000002</v>
      </c>
      <c r="Y6463">
        <v>-0.33057950000000003</v>
      </c>
      <c r="Z6463">
        <v>4.4373839999999998E-2</v>
      </c>
      <c r="AA6463">
        <v>0.94273439999999997</v>
      </c>
      <c r="AB6463">
        <v>20</v>
      </c>
      <c r="AC6463">
        <v>-3.1179999999999901</v>
      </c>
      <c r="AD6463">
        <v>-1.1257950105279999</v>
      </c>
      <c r="AE6463">
        <v>-14.2813</v>
      </c>
      <c r="AF6463">
        <v>-4.8565405614333903</v>
      </c>
      <c r="AG6463">
        <v>-1.1257950105279999</v>
      </c>
      <c r="AH6463">
        <v>13.695948830706699</v>
      </c>
      <c r="AI6463">
        <v>94.430006410011501</v>
      </c>
      <c r="AJ6463">
        <v>109.524347071867</v>
      </c>
      <c r="AK6463">
        <v>14.5750614065229</v>
      </c>
      <c r="AL6463">
        <v>93.731405322243603</v>
      </c>
      <c r="AM6463">
        <v>105.37064969492501</v>
      </c>
      <c r="AN6463">
        <v>0.99999996461462304</v>
      </c>
    </row>
    <row r="6464" spans="1:40" x14ac:dyDescent="0.25">
      <c r="A6464" t="str">
        <f>"20190303153937626"</f>
        <v>20190303153937626</v>
      </c>
      <c r="B6464" t="str">
        <f>"1551598777615030"</f>
        <v>1551598777615030</v>
      </c>
      <c r="C6464" t="s">
        <v>40</v>
      </c>
      <c r="D6464">
        <v>4.6278540000000001</v>
      </c>
      <c r="E6464">
        <v>0.47220689999999998</v>
      </c>
      <c r="F6464" t="s">
        <v>42</v>
      </c>
      <c r="G6464">
        <v>-420.09840000000003</v>
      </c>
      <c r="H6464" s="1">
        <v>-2.6308420000000002E-6</v>
      </c>
      <c r="I6464">
        <v>115.6606</v>
      </c>
      <c r="J6464">
        <v>-416.91120000000001</v>
      </c>
      <c r="K6464">
        <v>1.1257870000000001</v>
      </c>
      <c r="L6464">
        <v>130.73939999999999</v>
      </c>
      <c r="M6464">
        <v>-0.52021309999999998</v>
      </c>
      <c r="N6464">
        <v>-1.4145019999999999E-2</v>
      </c>
      <c r="O6464">
        <v>-0.85391949999999905</v>
      </c>
      <c r="P6464">
        <v>-0.2742348</v>
      </c>
      <c r="Q6464">
        <v>-7.5288939999999999E-2</v>
      </c>
      <c r="R6464">
        <v>-0.95871130000000004</v>
      </c>
      <c r="S6464">
        <v>-0.6308899</v>
      </c>
      <c r="T6464">
        <v>-0.21662410000000001</v>
      </c>
      <c r="U6464">
        <v>-2.9334720000000001</v>
      </c>
      <c r="V6464">
        <v>-0.26388210000000001</v>
      </c>
      <c r="W6464">
        <v>-6.4628469999999993E-2</v>
      </c>
      <c r="X6464">
        <v>0.96238729999999995</v>
      </c>
      <c r="Y6464">
        <v>-0.32903310000000002</v>
      </c>
      <c r="Z6464">
        <v>4.1868910000000002E-2</v>
      </c>
      <c r="AA6464">
        <v>0.9433897</v>
      </c>
      <c r="AB6464">
        <v>20</v>
      </c>
      <c r="AC6464">
        <v>-3.18720000000001</v>
      </c>
      <c r="AD6464">
        <v>-1.1257896308419999</v>
      </c>
      <c r="AE6464">
        <v>-15.0787999999999</v>
      </c>
      <c r="AF6464">
        <v>-5.0958982798890702</v>
      </c>
      <c r="AG6464">
        <v>-1.1257896308419999</v>
      </c>
      <c r="AH6464">
        <v>14.4584097956718</v>
      </c>
      <c r="AI6464">
        <v>94.200048631591699</v>
      </c>
      <c r="AJ6464">
        <v>109.415117845202</v>
      </c>
      <c r="AK6464">
        <v>15.3714409016027</v>
      </c>
      <c r="AL6464">
        <v>93.705521341620795</v>
      </c>
      <c r="AM6464">
        <v>105.33337955069</v>
      </c>
      <c r="AN6464">
        <v>0.99999995851811896</v>
      </c>
    </row>
    <row r="6465" spans="1:40" x14ac:dyDescent="0.25">
      <c r="A6465" t="str">
        <f>"20190303153937649"</f>
        <v>20190303153937649</v>
      </c>
      <c r="B6465" t="str">
        <f>"1551598777645287"</f>
        <v>1551598777645287</v>
      </c>
      <c r="C6465" t="s">
        <v>40</v>
      </c>
      <c r="D6465">
        <v>4.614077</v>
      </c>
      <c r="E6465">
        <v>0.47316829999999999</v>
      </c>
      <c r="F6465" t="s">
        <v>42</v>
      </c>
      <c r="G6465">
        <v>-420.19990000000001</v>
      </c>
      <c r="H6465" s="1">
        <v>-2.3319410000000001E-6</v>
      </c>
      <c r="I6465">
        <v>114.90089999999999</v>
      </c>
      <c r="J6465">
        <v>-417.00290000000001</v>
      </c>
      <c r="K6465">
        <v>1.1257760000000001</v>
      </c>
      <c r="L6465">
        <v>130.56909999999999</v>
      </c>
      <c r="M6465">
        <v>-0.51273630000000003</v>
      </c>
      <c r="N6465">
        <v>-1.4142790000000001E-2</v>
      </c>
      <c r="O6465">
        <v>-0.85842980000000002</v>
      </c>
      <c r="P6465">
        <v>-0.26646619999999999</v>
      </c>
      <c r="Q6465">
        <v>-7.5811539999999997E-2</v>
      </c>
      <c r="R6465">
        <v>-0.9608582</v>
      </c>
      <c r="S6465">
        <v>-0.61010739999999997</v>
      </c>
      <c r="T6465">
        <v>-0.2088506</v>
      </c>
      <c r="U6465">
        <v>-2.9382779999999999</v>
      </c>
      <c r="V6465">
        <v>-0.26324140000000001</v>
      </c>
      <c r="W6465">
        <v>-6.5142400000000003E-2</v>
      </c>
      <c r="X6465">
        <v>0.96252819999999994</v>
      </c>
      <c r="Y6465">
        <v>-0.327486</v>
      </c>
      <c r="Z6465">
        <v>4.0281930000000001E-2</v>
      </c>
      <c r="AA6465">
        <v>0.94399699999999998</v>
      </c>
      <c r="AB6465">
        <v>20</v>
      </c>
      <c r="AC6465">
        <v>-3.1970000000000001</v>
      </c>
      <c r="AD6465">
        <v>-1.125778331941</v>
      </c>
      <c r="AE6465">
        <v>-15.668200000000001</v>
      </c>
      <c r="AF6465">
        <v>-5.2636950650235503</v>
      </c>
      <c r="AG6465">
        <v>-1.125778331941</v>
      </c>
      <c r="AH6465">
        <v>15.016350465808401</v>
      </c>
      <c r="AI6465">
        <v>94.046904526814401</v>
      </c>
      <c r="AJ6465">
        <v>109.317141219218</v>
      </c>
      <c r="AK6465">
        <v>15.951947965756601</v>
      </c>
      <c r="AL6465">
        <v>93.735029197884302</v>
      </c>
      <c r="AM6465">
        <v>105.29576219254</v>
      </c>
      <c r="AN6465">
        <v>1.0000000513734699</v>
      </c>
    </row>
    <row r="6466" spans="1:40" x14ac:dyDescent="0.25">
      <c r="A6466" t="str">
        <f>"20190303153937671"</f>
        <v>20190303153937671</v>
      </c>
      <c r="B6466" t="str">
        <f>"1551598777664811"</f>
        <v>1551598777664811</v>
      </c>
      <c r="C6466" t="s">
        <v>40</v>
      </c>
      <c r="D6466">
        <v>4.6645899999999996</v>
      </c>
      <c r="E6466">
        <v>0.47389979999999998</v>
      </c>
      <c r="F6466" t="s">
        <v>42</v>
      </c>
      <c r="G6466">
        <v>-420.2638</v>
      </c>
      <c r="H6466" s="1">
        <v>-2.1397489999999999E-6</v>
      </c>
      <c r="I6466">
        <v>114.41330000000001</v>
      </c>
      <c r="J6466">
        <v>-417.09249999999997</v>
      </c>
      <c r="K6466">
        <v>1.1257779999999999</v>
      </c>
      <c r="L6466">
        <v>130.39879999999999</v>
      </c>
      <c r="M6466">
        <v>-0.50523839999999998</v>
      </c>
      <c r="N6466">
        <v>-1.414078E-2</v>
      </c>
      <c r="O6466">
        <v>-0.86286399999999996</v>
      </c>
      <c r="P6466">
        <v>-0.25874029999999998</v>
      </c>
      <c r="Q6466">
        <v>-7.5826589999999999E-2</v>
      </c>
      <c r="R6466">
        <v>-0.96296630000000005</v>
      </c>
      <c r="S6466">
        <v>-0.59368900000000002</v>
      </c>
      <c r="T6466">
        <v>-0.20496329999999999</v>
      </c>
      <c r="U6466">
        <v>-2.9413909999999999</v>
      </c>
      <c r="V6466">
        <v>-0.26258670000000001</v>
      </c>
      <c r="W6466">
        <v>-6.5147389999999999E-2</v>
      </c>
      <c r="X6466">
        <v>0.96270659999999997</v>
      </c>
      <c r="Y6466">
        <v>-0.32451099999999999</v>
      </c>
      <c r="Z6466">
        <v>3.9703780000000001E-2</v>
      </c>
      <c r="AA6466">
        <v>0.94504829999999995</v>
      </c>
      <c r="AB6466">
        <v>20</v>
      </c>
      <c r="AC6466">
        <v>-3.17130000000002</v>
      </c>
      <c r="AD6466">
        <v>-1.1257801397489999</v>
      </c>
      <c r="AE6466">
        <v>-15.985499999999901</v>
      </c>
      <c r="AF6466">
        <v>-5.3152578009050604</v>
      </c>
      <c r="AG6466">
        <v>-1.1257801397489999</v>
      </c>
      <c r="AH6466">
        <v>15.323989534018001</v>
      </c>
      <c r="AI6466">
        <v>93.970444501864307</v>
      </c>
      <c r="AJ6466">
        <v>109.129543728371</v>
      </c>
      <c r="AK6466">
        <v>16.2586592821126</v>
      </c>
      <c r="AL6466">
        <v>93.735315988519105</v>
      </c>
      <c r="AM6466">
        <v>105.256800180165</v>
      </c>
      <c r="AN6466">
        <v>0.99999997756212999</v>
      </c>
    </row>
    <row r="6467" spans="1:40" x14ac:dyDescent="0.25">
      <c r="A6467" t="str">
        <f>"20190303153937695"</f>
        <v>20190303153937695</v>
      </c>
      <c r="B6467" t="str">
        <f>"1551598777685302"</f>
        <v>1551598777685302</v>
      </c>
      <c r="C6467" t="s">
        <v>40</v>
      </c>
      <c r="D6467">
        <v>4.6271810000000002</v>
      </c>
      <c r="E6467">
        <v>0.4745819</v>
      </c>
      <c r="F6467" t="s">
        <v>42</v>
      </c>
      <c r="G6467">
        <v>-420.27350000000001</v>
      </c>
      <c r="H6467" s="1">
        <v>-2.0178980000000001E-6</v>
      </c>
      <c r="I6467">
        <v>114.1232</v>
      </c>
      <c r="J6467">
        <v>-417.18340000000001</v>
      </c>
      <c r="K6467">
        <v>1.125772</v>
      </c>
      <c r="L6467">
        <v>130.22229999999999</v>
      </c>
      <c r="M6467">
        <v>-0.49744729999999998</v>
      </c>
      <c r="N6467">
        <v>-1.4138599999999999E-2</v>
      </c>
      <c r="O6467">
        <v>-0.86737909999999996</v>
      </c>
      <c r="P6467">
        <v>-0.25073970000000001</v>
      </c>
      <c r="Q6467">
        <v>-7.600606E-2</v>
      </c>
      <c r="R6467">
        <v>-0.96506639999999999</v>
      </c>
      <c r="S6467">
        <v>-0.57553100000000001</v>
      </c>
      <c r="T6467">
        <v>-0.20368559999999999</v>
      </c>
      <c r="U6467">
        <v>-2.9447169999999998</v>
      </c>
      <c r="V6467">
        <v>-0.2618994</v>
      </c>
      <c r="W6467">
        <v>-6.5314750000000005E-2</v>
      </c>
      <c r="X6467">
        <v>0.96288249999999997</v>
      </c>
      <c r="Y6467">
        <v>-0.32180910000000001</v>
      </c>
      <c r="Z6467">
        <v>3.9788829999999997E-2</v>
      </c>
      <c r="AA6467">
        <v>0.94596820000000004</v>
      </c>
      <c r="AB6467">
        <v>19</v>
      </c>
      <c r="AC6467">
        <v>-3.0901000000000001</v>
      </c>
      <c r="AD6467">
        <v>-1.125774017898</v>
      </c>
      <c r="AE6467">
        <v>-16.0990999999999</v>
      </c>
      <c r="AF6467">
        <v>-5.3036847945080803</v>
      </c>
      <c r="AG6467">
        <v>-1.125774017898</v>
      </c>
      <c r="AH6467">
        <v>15.4299627767298</v>
      </c>
      <c r="AI6467">
        <v>93.947040650054205</v>
      </c>
      <c r="AJ6467">
        <v>108.969195980054</v>
      </c>
      <c r="AK6467">
        <v>16.3548216385914</v>
      </c>
      <c r="AL6467">
        <v>93.744925353129105</v>
      </c>
      <c r="AM6467">
        <v>105.216069630989</v>
      </c>
      <c r="AN6467">
        <v>1.0000000105470801</v>
      </c>
    </row>
    <row r="6468" spans="1:40" x14ac:dyDescent="0.25">
      <c r="A6468" t="str">
        <f>"20190303153937716"</f>
        <v>20190303153937716</v>
      </c>
      <c r="B6468" t="str">
        <f>"1551598777704822"</f>
        <v>1551598777704822</v>
      </c>
      <c r="C6468" t="s">
        <v>40</v>
      </c>
      <c r="D6468">
        <v>4.6424539999999999</v>
      </c>
      <c r="E6468">
        <v>0.4753155</v>
      </c>
      <c r="F6468" t="s">
        <v>42</v>
      </c>
      <c r="G6468">
        <v>-420.25529999999998</v>
      </c>
      <c r="H6468" s="1">
        <v>-1.9380209999999999E-6</v>
      </c>
      <c r="I6468">
        <v>113.9483</v>
      </c>
      <c r="J6468">
        <v>-417.2663</v>
      </c>
      <c r="K6468">
        <v>1.125769</v>
      </c>
      <c r="L6468">
        <v>130.05770000000001</v>
      </c>
      <c r="M6468">
        <v>-0.49017280000000002</v>
      </c>
      <c r="N6468">
        <v>-1.413625E-2</v>
      </c>
      <c r="O6468">
        <v>-0.87151069999999997</v>
      </c>
      <c r="P6468">
        <v>-0.2427108</v>
      </c>
      <c r="Q6468">
        <v>-7.5672539999999996E-2</v>
      </c>
      <c r="R6468">
        <v>-0.96714299999999997</v>
      </c>
      <c r="S6468">
        <v>-0.55645749999999905</v>
      </c>
      <c r="T6468">
        <v>-0.20393030000000001</v>
      </c>
      <c r="U6468">
        <v>-2.9479679999999999</v>
      </c>
      <c r="V6468">
        <v>-0.26186290000000001</v>
      </c>
      <c r="W6468">
        <v>-6.4976900000000004E-2</v>
      </c>
      <c r="X6468">
        <v>0.96291519999999997</v>
      </c>
      <c r="Y6468">
        <v>-0.31999080000000002</v>
      </c>
      <c r="Z6468">
        <v>4.0221800000000002E-2</v>
      </c>
      <c r="AA6468">
        <v>0.94656649999999998</v>
      </c>
      <c r="AB6468">
        <v>19</v>
      </c>
      <c r="AC6468">
        <v>-2.9889999999999701</v>
      </c>
      <c r="AD6468">
        <v>-1.1257709380209999</v>
      </c>
      <c r="AE6468">
        <v>-16.109400000000001</v>
      </c>
      <c r="AF6468">
        <v>-5.2671062714853703</v>
      </c>
      <c r="AG6468">
        <v>-1.1257709380209999</v>
      </c>
      <c r="AH6468">
        <v>15.4333275118379</v>
      </c>
      <c r="AI6468">
        <v>93.949121528098601</v>
      </c>
      <c r="AJ6468">
        <v>108.843814072646</v>
      </c>
      <c r="AK6468">
        <v>16.3461728477238</v>
      </c>
      <c r="AL6468">
        <v>93.725527070408702</v>
      </c>
      <c r="AM6468">
        <v>105.21355459736</v>
      </c>
      <c r="AN6468">
        <v>0.99999992916052705</v>
      </c>
    </row>
    <row r="6469" spans="1:40" x14ac:dyDescent="0.25">
      <c r="A6469" t="str">
        <f>"20190303153937738"</f>
        <v>20190303153937738</v>
      </c>
      <c r="B6469" t="str">
        <f>"1551598777735078"</f>
        <v>1551598777735078</v>
      </c>
      <c r="C6469" t="s">
        <v>40</v>
      </c>
      <c r="D6469">
        <v>4.639024</v>
      </c>
      <c r="E6469">
        <v>0.48320220000000003</v>
      </c>
      <c r="F6469" t="s">
        <v>42</v>
      </c>
      <c r="G6469">
        <v>-420.2321</v>
      </c>
      <c r="H6469" s="1">
        <v>-1.860202E-6</v>
      </c>
      <c r="I6469">
        <v>113.7813</v>
      </c>
      <c r="J6469">
        <v>-417.34989999999999</v>
      </c>
      <c r="K6469">
        <v>1.125756</v>
      </c>
      <c r="L6469">
        <v>129.8886</v>
      </c>
      <c r="M6469">
        <v>-0.48268430000000001</v>
      </c>
      <c r="N6469">
        <v>-1.413348E-2</v>
      </c>
      <c r="O6469">
        <v>-0.87568049999999997</v>
      </c>
      <c r="P6469">
        <v>-0.2339299</v>
      </c>
      <c r="Q6469">
        <v>-7.4985019999999999E-2</v>
      </c>
      <c r="R6469">
        <v>-0.96935769999999999</v>
      </c>
      <c r="S6469">
        <v>-0.53771969999999902</v>
      </c>
      <c r="T6469">
        <v>-0.2041095</v>
      </c>
      <c r="U6469">
        <v>-2.9510190000000001</v>
      </c>
      <c r="V6469">
        <v>-0.26237690000000002</v>
      </c>
      <c r="W6469">
        <v>-6.429116E-2</v>
      </c>
      <c r="X6469">
        <v>0.96282140000000005</v>
      </c>
      <c r="Y6469">
        <v>-0.3178626</v>
      </c>
      <c r="Z6469">
        <v>4.0649499999999998E-2</v>
      </c>
      <c r="AA6469">
        <v>0.94726500000000002</v>
      </c>
      <c r="AB6469">
        <v>19</v>
      </c>
      <c r="AC6469">
        <v>-2.8822000000000099</v>
      </c>
      <c r="AD6469">
        <v>-1.125757860202</v>
      </c>
      <c r="AE6469">
        <v>-16.107299999999899</v>
      </c>
      <c r="AF6469">
        <v>-5.2266395647964901</v>
      </c>
      <c r="AG6469">
        <v>-1.125757860202</v>
      </c>
      <c r="AH6469">
        <v>15.4245794187251</v>
      </c>
      <c r="AI6469">
        <v>93.954226929237606</v>
      </c>
      <c r="AJ6469">
        <v>108.71901941781699</v>
      </c>
      <c r="AK6469">
        <v>16.324911704038701</v>
      </c>
      <c r="AL6469">
        <v>93.686154398963296</v>
      </c>
      <c r="AM6469">
        <v>105.24344469490499</v>
      </c>
      <c r="AN6469">
        <v>1.00000001960285</v>
      </c>
    </row>
    <row r="6470" spans="1:40" x14ac:dyDescent="0.25">
      <c r="A6470" t="str">
        <f>"20190303153937760"</f>
        <v>20190303153937760</v>
      </c>
      <c r="B6470" t="str">
        <f>"1551598777754608"</f>
        <v>1551598777754608</v>
      </c>
      <c r="C6470" t="s">
        <v>40</v>
      </c>
      <c r="D6470">
        <v>4.5962750000000003</v>
      </c>
      <c r="E6470">
        <v>0.48362369999999999</v>
      </c>
      <c r="F6470" t="s">
        <v>42</v>
      </c>
      <c r="G6470">
        <v>-420.21600000000001</v>
      </c>
      <c r="H6470" s="1">
        <v>-2.4422690000000001E-6</v>
      </c>
      <c r="I6470">
        <v>115.1481</v>
      </c>
      <c r="J6470">
        <v>-417.43299999999999</v>
      </c>
      <c r="K6470">
        <v>1.1257440000000001</v>
      </c>
      <c r="L6470">
        <v>129.71629999999999</v>
      </c>
      <c r="M6470">
        <v>-0.47504849999999998</v>
      </c>
      <c r="N6470">
        <v>-1.413039E-2</v>
      </c>
      <c r="O6470">
        <v>-0.87984629999999997</v>
      </c>
      <c r="P6470">
        <v>-0.2254689</v>
      </c>
      <c r="Q6470">
        <v>-7.4400259999999996E-2</v>
      </c>
      <c r="R6470">
        <v>-0.97140530000000003</v>
      </c>
      <c r="S6470">
        <v>-0.57156370000000001</v>
      </c>
      <c r="T6470">
        <v>-0.22449920000000001</v>
      </c>
      <c r="U6470">
        <v>-2.9395449999999999</v>
      </c>
      <c r="V6470">
        <v>-0.2624263</v>
      </c>
      <c r="W6470">
        <v>-6.3699889999999995E-2</v>
      </c>
      <c r="X6470">
        <v>0.96284720000000001</v>
      </c>
      <c r="Y6470">
        <v>-0.29842160000000001</v>
      </c>
      <c r="Z6470">
        <v>4.6942379999999999E-2</v>
      </c>
      <c r="AA6470">
        <v>0.95327910000000005</v>
      </c>
      <c r="AB6470">
        <v>19</v>
      </c>
      <c r="AC6470">
        <v>-2.7829999999999502</v>
      </c>
      <c r="AD6470">
        <v>-1.125746442269</v>
      </c>
      <c r="AE6470">
        <v>-14.5681999999999</v>
      </c>
      <c r="AF6470">
        <v>-4.4468168496465603</v>
      </c>
      <c r="AG6470">
        <v>-1.125746442269</v>
      </c>
      <c r="AH6470">
        <v>14.060244879818301</v>
      </c>
      <c r="AI6470">
        <v>94.365433233252205</v>
      </c>
      <c r="AJ6470">
        <v>107.55053820201699</v>
      </c>
      <c r="AK6470">
        <v>14.7895899614235</v>
      </c>
      <c r="AL6470">
        <v>93.652207666335798</v>
      </c>
      <c r="AM6470">
        <v>105.245791633894</v>
      </c>
      <c r="AN6470">
        <v>0.99999998473277096</v>
      </c>
    </row>
    <row r="6471" spans="1:40" x14ac:dyDescent="0.25">
      <c r="A6471" t="str">
        <f>"20190303153937782"</f>
        <v>20190303153937782</v>
      </c>
      <c r="B6471" t="str">
        <f>"1551598777775109"</f>
        <v>1551598777775109</v>
      </c>
      <c r="C6471" t="s">
        <v>40</v>
      </c>
      <c r="D6471">
        <v>4.6785769999999998</v>
      </c>
      <c r="E6471">
        <v>0.46021889999999999</v>
      </c>
      <c r="F6471" t="s">
        <v>42</v>
      </c>
      <c r="G6471">
        <v>-420.27100000000002</v>
      </c>
      <c r="H6471" s="1">
        <v>-2.1832269999999998E-6</v>
      </c>
      <c r="I6471">
        <v>114.5102</v>
      </c>
      <c r="J6471">
        <v>-417.51420000000002</v>
      </c>
      <c r="K6471">
        <v>1.125729</v>
      </c>
      <c r="L6471">
        <v>129.54429999999999</v>
      </c>
      <c r="M6471">
        <v>-0.46742</v>
      </c>
      <c r="N6471">
        <v>-1.4127000000000001E-2</v>
      </c>
      <c r="O6471">
        <v>-0.88392280000000001</v>
      </c>
      <c r="P6471">
        <v>-0.21744749999999999</v>
      </c>
      <c r="Q6471">
        <v>-7.4290309999999998E-2</v>
      </c>
      <c r="R6471">
        <v>-0.97324109999999997</v>
      </c>
      <c r="S6471">
        <v>-0.54946899999999999</v>
      </c>
      <c r="T6471">
        <v>-0.2179557</v>
      </c>
      <c r="U6471">
        <v>-2.944061</v>
      </c>
      <c r="V6471">
        <v>-0.26204870000000002</v>
      </c>
      <c r="W6471">
        <v>-6.3576809999999997E-2</v>
      </c>
      <c r="X6471">
        <v>0.96295819999999999</v>
      </c>
      <c r="Y6471">
        <v>-0.29733700000000002</v>
      </c>
      <c r="Z6471">
        <v>4.5549510000000001E-2</v>
      </c>
      <c r="AA6471">
        <v>0.95368549999999996</v>
      </c>
      <c r="AB6471">
        <v>19</v>
      </c>
      <c r="AC6471">
        <v>-2.7567999999999402</v>
      </c>
      <c r="AD6471">
        <v>-1.1257311832269901</v>
      </c>
      <c r="AE6471">
        <v>-15.034099999999899</v>
      </c>
      <c r="AF6471">
        <v>-4.5661290147399001</v>
      </c>
      <c r="AG6471">
        <v>-1.1257311832269901</v>
      </c>
      <c r="AH6471">
        <v>14.5003623361373</v>
      </c>
      <c r="AI6471">
        <v>94.235025169318803</v>
      </c>
      <c r="AJ6471">
        <v>107.479088668823</v>
      </c>
      <c r="AK6471">
        <v>15.243927077869699</v>
      </c>
      <c r="AL6471">
        <v>93.645141273699096</v>
      </c>
      <c r="AM6471">
        <v>105.223200064156</v>
      </c>
      <c r="AN6471">
        <v>1.0000000134443501</v>
      </c>
    </row>
    <row r="6472" spans="1:40" x14ac:dyDescent="0.25">
      <c r="A6472" t="str">
        <f>"20190303153937805"</f>
        <v>20190303153937805</v>
      </c>
      <c r="B6472" t="str">
        <f>"1551598777794614"</f>
        <v>1551598777794614</v>
      </c>
      <c r="C6472" t="s">
        <v>40</v>
      </c>
      <c r="D6472">
        <v>4.6676380000000002</v>
      </c>
      <c r="E6472">
        <v>0.44860640000000002</v>
      </c>
      <c r="F6472" t="s">
        <v>42</v>
      </c>
      <c r="G6472">
        <v>-419.15100000000001</v>
      </c>
      <c r="H6472" s="1">
        <v>-2.5707849999999998E-6</v>
      </c>
      <c r="I6472">
        <v>115.2743</v>
      </c>
      <c r="J6472">
        <v>-417.59199999999998</v>
      </c>
      <c r="K6472">
        <v>1.1257189999999999</v>
      </c>
      <c r="L6472">
        <v>129.3759</v>
      </c>
      <c r="M6472">
        <v>-0.45994620000000003</v>
      </c>
      <c r="N6472">
        <v>-1.4123510000000001E-2</v>
      </c>
      <c r="O6472">
        <v>-0.88783429999999997</v>
      </c>
      <c r="P6472">
        <v>-0.2106953</v>
      </c>
      <c r="Q6472">
        <v>-7.4393589999999996E-2</v>
      </c>
      <c r="R6472">
        <v>-0.97471669999999999</v>
      </c>
      <c r="S6472">
        <v>-0.34271239999999997</v>
      </c>
      <c r="T6472">
        <v>-0.23571239999999999</v>
      </c>
      <c r="U6472">
        <v>-2.987946</v>
      </c>
      <c r="V6472">
        <v>-0.26059929999999998</v>
      </c>
      <c r="W6472">
        <v>-6.3651659999999999E-2</v>
      </c>
      <c r="X6472">
        <v>0.96334649999999999</v>
      </c>
      <c r="Y6472">
        <v>-0.35567670000000001</v>
      </c>
      <c r="Z6472">
        <v>4.908088E-2</v>
      </c>
      <c r="AA6472">
        <v>0.93331940000000002</v>
      </c>
      <c r="AB6472">
        <v>19</v>
      </c>
      <c r="AC6472">
        <v>-1.5590000000000199</v>
      </c>
      <c r="AD6472">
        <v>-1.1257215707849999</v>
      </c>
      <c r="AE6472">
        <v>-14.101599999999999</v>
      </c>
      <c r="AF6472">
        <v>-5.0704309830063803</v>
      </c>
      <c r="AG6472">
        <v>-1.1257215707849999</v>
      </c>
      <c r="AH6472">
        <v>13.155438825652899</v>
      </c>
      <c r="AI6472">
        <v>94.565123528616994</v>
      </c>
      <c r="AJ6472">
        <v>111.0778945603</v>
      </c>
      <c r="AK6472">
        <v>14.1436236553388</v>
      </c>
      <c r="AL6472">
        <v>93.649438601067104</v>
      </c>
      <c r="AM6472">
        <v>105.13705298406801</v>
      </c>
      <c r="AN6472">
        <v>1.0000000040217401</v>
      </c>
    </row>
    <row r="6473" spans="1:40" x14ac:dyDescent="0.25">
      <c r="A6473" t="str">
        <f>"20190303153937828"</f>
        <v>20190303153937828</v>
      </c>
      <c r="B6473" t="str">
        <f>"1551598777815112"</f>
        <v>1551598777815112</v>
      </c>
      <c r="C6473" t="s">
        <v>40</v>
      </c>
      <c r="D6473">
        <v>4.6654140000000002</v>
      </c>
      <c r="E6473">
        <v>0.44432690000000002</v>
      </c>
      <c r="F6473" t="s">
        <v>42</v>
      </c>
      <c r="G6473">
        <v>-418.81490000000002</v>
      </c>
      <c r="H6473" s="1">
        <v>-1.8591999999999999E-6</v>
      </c>
      <c r="I6473">
        <v>113.4766</v>
      </c>
      <c r="J6473">
        <v>-417.67110000000002</v>
      </c>
      <c r="K6473">
        <v>1.125707</v>
      </c>
      <c r="L6473">
        <v>129.20070000000001</v>
      </c>
      <c r="M6473">
        <v>-0.45217380000000001</v>
      </c>
      <c r="N6473">
        <v>-1.411973E-2</v>
      </c>
      <c r="O6473">
        <v>-0.891818</v>
      </c>
      <c r="P6473">
        <v>-0.20385529999999999</v>
      </c>
      <c r="Q6473">
        <v>-7.4830789999999994E-2</v>
      </c>
      <c r="R6473">
        <v>-0.97613689999999997</v>
      </c>
      <c r="S6473">
        <v>-0.23162840000000001</v>
      </c>
      <c r="T6473">
        <v>-0.2132212</v>
      </c>
      <c r="U6473">
        <v>-3.0114589999999999</v>
      </c>
      <c r="V6473">
        <v>-0.2589243</v>
      </c>
      <c r="W6473">
        <v>-6.4057589999999998E-2</v>
      </c>
      <c r="X6473">
        <v>0.96377120000000005</v>
      </c>
      <c r="Y6473">
        <v>-0.38228020000000001</v>
      </c>
      <c r="Z6473">
        <v>4.2654070000000002E-2</v>
      </c>
      <c r="AA6473">
        <v>0.92306149999999998</v>
      </c>
      <c r="AB6473">
        <v>19</v>
      </c>
      <c r="AC6473">
        <v>-1.1437999999999899</v>
      </c>
      <c r="AD6473">
        <v>-1.1257088592</v>
      </c>
      <c r="AE6473">
        <v>-15.7241</v>
      </c>
      <c r="AF6473">
        <v>-6.0596779281677096</v>
      </c>
      <c r="AG6473">
        <v>-1.1257088592</v>
      </c>
      <c r="AH6473">
        <v>14.467920134503199</v>
      </c>
      <c r="AI6473">
        <v>94.104890244699902</v>
      </c>
      <c r="AJ6473">
        <v>112.72566382093</v>
      </c>
      <c r="AK6473">
        <v>15.726017615631999</v>
      </c>
      <c r="AL6473">
        <v>93.672744080890595</v>
      </c>
      <c r="AM6473">
        <v>105.037854385836</v>
      </c>
      <c r="AN6473">
        <v>1.0000000469582599</v>
      </c>
    </row>
    <row r="6474" spans="1:40" x14ac:dyDescent="0.25">
      <c r="A6474" t="str">
        <f>"20190303153937852"</f>
        <v>20190303153937852</v>
      </c>
      <c r="B6474" t="str">
        <f>"1551598777845366"</f>
        <v>1551598777845366</v>
      </c>
      <c r="C6474" t="s">
        <v>40</v>
      </c>
      <c r="D6474">
        <v>4.6910220000000002</v>
      </c>
      <c r="E6474">
        <v>0.44261339999999999</v>
      </c>
      <c r="F6474" t="s">
        <v>42</v>
      </c>
      <c r="G6474">
        <v>-418.67250000000001</v>
      </c>
      <c r="H6474" s="1">
        <v>-1.3069830000000001E-6</v>
      </c>
      <c r="I6474">
        <v>112.1305</v>
      </c>
      <c r="J6474">
        <v>-417.75020000000001</v>
      </c>
      <c r="K6474">
        <v>1.12568</v>
      </c>
      <c r="L6474">
        <v>129.0214</v>
      </c>
      <c r="M6474">
        <v>-0.44421709999999898</v>
      </c>
      <c r="N6474">
        <v>-1.411571E-2</v>
      </c>
      <c r="O6474">
        <v>-0.8958081</v>
      </c>
      <c r="P6474">
        <v>-0.19732379999999999</v>
      </c>
      <c r="Q6474">
        <v>-7.5010820000000006E-2</v>
      </c>
      <c r="R6474">
        <v>-0.97746449999999996</v>
      </c>
      <c r="S6474">
        <v>-0.1772156</v>
      </c>
      <c r="T6474">
        <v>-0.19922719999999999</v>
      </c>
      <c r="U6474">
        <v>-3.0210880000000002</v>
      </c>
      <c r="V6474">
        <v>-0.25678529999999999</v>
      </c>
      <c r="W6474">
        <v>-6.4199469999999995E-2</v>
      </c>
      <c r="X6474">
        <v>0.96433380000000002</v>
      </c>
      <c r="Y6474">
        <v>-0.39081440000000001</v>
      </c>
      <c r="Z6474">
        <v>3.9020359999999997E-2</v>
      </c>
      <c r="AA6474">
        <v>0.91964199999999996</v>
      </c>
      <c r="AB6474">
        <v>19</v>
      </c>
      <c r="AC6474">
        <v>-0.922300000000007</v>
      </c>
      <c r="AD6474">
        <v>-1.1256813069830001</v>
      </c>
      <c r="AE6474">
        <v>-16.890899999999998</v>
      </c>
      <c r="AF6474">
        <v>-6.6482472018929197</v>
      </c>
      <c r="AG6474">
        <v>-1.1256813069830001</v>
      </c>
      <c r="AH6474">
        <v>15.4737315305577</v>
      </c>
      <c r="AI6474">
        <v>93.823950414516801</v>
      </c>
      <c r="AJ6474">
        <v>113.250648552089</v>
      </c>
      <c r="AK6474">
        <v>16.879061488783702</v>
      </c>
      <c r="AL6474">
        <v>93.680890256371498</v>
      </c>
      <c r="AM6474">
        <v>104.91087011491</v>
      </c>
      <c r="AN6474">
        <v>0.99999997003340502</v>
      </c>
    </row>
    <row r="6475" spans="1:40" x14ac:dyDescent="0.25">
      <c r="A6475" t="str">
        <f>"20190303153937872"</f>
        <v>20190303153937872</v>
      </c>
      <c r="B6475" t="str">
        <f>"1551598777864886"</f>
        <v>1551598777864886</v>
      </c>
      <c r="C6475" t="s">
        <v>40</v>
      </c>
      <c r="D6475">
        <v>4.674194</v>
      </c>
      <c r="E6475">
        <v>0.44206319999999999</v>
      </c>
      <c r="F6475" t="s">
        <v>42</v>
      </c>
      <c r="G6475">
        <v>-418.58730000000003</v>
      </c>
      <c r="H6475" s="1">
        <v>-1.0272690000000001E-6</v>
      </c>
      <c r="I6475">
        <v>111.4432</v>
      </c>
      <c r="J6475">
        <v>-417.82190000000003</v>
      </c>
      <c r="K6475">
        <v>1.1256630000000001</v>
      </c>
      <c r="L6475">
        <v>128.8546</v>
      </c>
      <c r="M6475">
        <v>-0.43681989999999998</v>
      </c>
      <c r="N6475">
        <v>-1.411165E-2</v>
      </c>
      <c r="O6475">
        <v>-0.89943850000000003</v>
      </c>
      <c r="P6475">
        <v>-0.1914748</v>
      </c>
      <c r="Q6475">
        <v>-7.5260999999999995E-2</v>
      </c>
      <c r="R6475">
        <v>-0.97860780000000003</v>
      </c>
      <c r="S6475">
        <v>-0.14407349999999999</v>
      </c>
      <c r="T6475">
        <v>-0.19373099999999999</v>
      </c>
      <c r="U6475">
        <v>-3.025223</v>
      </c>
      <c r="V6475">
        <v>-0.25459870000000001</v>
      </c>
      <c r="W6475">
        <v>-6.4411159999999995E-2</v>
      </c>
      <c r="X6475">
        <v>0.96489930000000002</v>
      </c>
      <c r="Y6475">
        <v>-0.39335130000000001</v>
      </c>
      <c r="Z6475">
        <v>3.7777350000000001E-2</v>
      </c>
      <c r="AA6475">
        <v>0.91861179999999998</v>
      </c>
      <c r="AB6475">
        <v>19</v>
      </c>
      <c r="AC6475">
        <v>-0.76539999999999897</v>
      </c>
      <c r="AD6475">
        <v>-1.1256640272689999</v>
      </c>
      <c r="AE6475">
        <v>-17.4114</v>
      </c>
      <c r="AF6475">
        <v>-6.8891638759888902</v>
      </c>
      <c r="AG6475">
        <v>-1.1256640272689999</v>
      </c>
      <c r="AH6475">
        <v>15.9299604373387</v>
      </c>
      <c r="AI6475">
        <v>93.710894617031599</v>
      </c>
      <c r="AJ6475">
        <v>113.38683407135299</v>
      </c>
      <c r="AK6475">
        <v>17.392278112648</v>
      </c>
      <c r="AL6475">
        <v>93.693044328927698</v>
      </c>
      <c r="AM6475">
        <v>104.78119916007699</v>
      </c>
      <c r="AN6475">
        <v>0.99999997735736201</v>
      </c>
    </row>
    <row r="6476" spans="1:40" x14ac:dyDescent="0.25">
      <c r="A6476" t="str">
        <f>"20190303153937896"</f>
        <v>20190303153937896</v>
      </c>
      <c r="B6476" t="str">
        <f>"1551598777885382"</f>
        <v>1551598777885382</v>
      </c>
      <c r="C6476" t="s">
        <v>40</v>
      </c>
      <c r="D6476">
        <v>4.6787710000000002</v>
      </c>
      <c r="E6476">
        <v>0.44226520000000002</v>
      </c>
      <c r="F6476" t="s">
        <v>42</v>
      </c>
      <c r="G6476">
        <v>-418.5129</v>
      </c>
      <c r="H6476" s="1">
        <v>-1.1176089999999999E-6</v>
      </c>
      <c r="I6476">
        <v>111.62309999999999</v>
      </c>
      <c r="J6476">
        <v>-417.89659999999998</v>
      </c>
      <c r="K6476">
        <v>1.1256440000000001</v>
      </c>
      <c r="L6476">
        <v>128.67679999999999</v>
      </c>
      <c r="M6476">
        <v>-0.42894070000000001</v>
      </c>
      <c r="N6476">
        <v>-1.410688E-2</v>
      </c>
      <c r="O6476">
        <v>-0.90322259999999999</v>
      </c>
      <c r="P6476">
        <v>-0.1856815</v>
      </c>
      <c r="Q6476">
        <v>-7.5584429999999994E-2</v>
      </c>
      <c r="R6476">
        <v>-0.97969890000000004</v>
      </c>
      <c r="S6476">
        <v>-0.1213684</v>
      </c>
      <c r="T6476">
        <v>-0.1977148</v>
      </c>
      <c r="U6476">
        <v>-3.0265960000000001</v>
      </c>
      <c r="V6476">
        <v>-0.25186340000000002</v>
      </c>
      <c r="W6476">
        <v>-6.4687209999999995E-2</v>
      </c>
      <c r="X6476">
        <v>0.96559850000000003</v>
      </c>
      <c r="Y6476">
        <v>-0.39221099999999998</v>
      </c>
      <c r="Z6476">
        <v>3.9178669999999999E-2</v>
      </c>
      <c r="AA6476">
        <v>0.91904059999999999</v>
      </c>
      <c r="AB6476">
        <v>19</v>
      </c>
      <c r="AC6476">
        <v>-0.61630000000002305</v>
      </c>
      <c r="AD6476">
        <v>-1.1256451176090001</v>
      </c>
      <c r="AE6476">
        <v>-17.0536999999999</v>
      </c>
      <c r="AF6476">
        <v>-6.7297599964939501</v>
      </c>
      <c r="AG6476">
        <v>-1.1256451176090001</v>
      </c>
      <c r="AH6476">
        <v>15.6013182136496</v>
      </c>
      <c r="AI6476">
        <v>93.790299066520006</v>
      </c>
      <c r="AJ6476">
        <v>113.33335881411401</v>
      </c>
      <c r="AK6476">
        <v>17.0281495337797</v>
      </c>
      <c r="AL6476">
        <v>93.708893667891502</v>
      </c>
      <c r="AM6476">
        <v>104.619103902502</v>
      </c>
      <c r="AN6476">
        <v>1.0000000352996901</v>
      </c>
    </row>
    <row r="6477" spans="1:40" x14ac:dyDescent="0.25">
      <c r="A6477" t="str">
        <f>"20190303153937917"</f>
        <v>20190303153937917</v>
      </c>
      <c r="B6477" t="str">
        <f>"1551598777904903"</f>
        <v>1551598777904903</v>
      </c>
      <c r="C6477" t="s">
        <v>40</v>
      </c>
      <c r="D6477">
        <v>4.7047140000000001</v>
      </c>
      <c r="E6477">
        <v>0.4427392</v>
      </c>
      <c r="F6477" t="s">
        <v>42</v>
      </c>
      <c r="G6477">
        <v>-418.48259999999999</v>
      </c>
      <c r="H6477" s="1">
        <v>-1.1865519999999999E-6</v>
      </c>
      <c r="I6477">
        <v>111.77119999999999</v>
      </c>
      <c r="J6477">
        <v>-417.96660000000003</v>
      </c>
      <c r="K6477">
        <v>1.1256189999999999</v>
      </c>
      <c r="L6477">
        <v>128.50640000000001</v>
      </c>
      <c r="M6477">
        <v>-0.42139349999999998</v>
      </c>
      <c r="N6477">
        <v>-1.410173E-2</v>
      </c>
      <c r="O6477">
        <v>-0.90676829999999997</v>
      </c>
      <c r="P6477">
        <v>-0.18085760000000001</v>
      </c>
      <c r="Q6477">
        <v>-7.7332020000000001E-2</v>
      </c>
      <c r="R6477">
        <v>-0.98046449999999996</v>
      </c>
      <c r="S6477">
        <v>-0.1049194</v>
      </c>
      <c r="T6477">
        <v>-0.20153160000000001</v>
      </c>
      <c r="U6477">
        <v>-3.0267179999999998</v>
      </c>
      <c r="V6477">
        <v>-0.24849299999999999</v>
      </c>
      <c r="W6477">
        <v>-6.6378569999999998E-2</v>
      </c>
      <c r="X6477">
        <v>0.96635660000000001</v>
      </c>
      <c r="Y6477">
        <v>-0.38952750000000003</v>
      </c>
      <c r="Z6477">
        <v>4.0576010000000003E-2</v>
      </c>
      <c r="AA6477">
        <v>0.92012059999999996</v>
      </c>
      <c r="AB6477">
        <v>19</v>
      </c>
      <c r="AC6477">
        <v>-0.51599999999996204</v>
      </c>
      <c r="AD6477">
        <v>-1.1256201865519999</v>
      </c>
      <c r="AE6477">
        <v>-16.735199999999999</v>
      </c>
      <c r="AF6477">
        <v>-6.5552388337187502</v>
      </c>
      <c r="AG6477">
        <v>-1.1256201865519999</v>
      </c>
      <c r="AH6477">
        <v>15.324655100994701</v>
      </c>
      <c r="AI6477">
        <v>93.863463329744405</v>
      </c>
      <c r="AJ6477">
        <v>113.15918911659099</v>
      </c>
      <c r="AK6477">
        <v>16.7057843556031</v>
      </c>
      <c r="AL6477">
        <v>93.806010429867001</v>
      </c>
      <c r="AM6477">
        <v>104.42084558358199</v>
      </c>
      <c r="AN6477">
        <v>0.99999998198390205</v>
      </c>
    </row>
    <row r="6478" spans="1:40" x14ac:dyDescent="0.25">
      <c r="A6478" t="str">
        <f>"20190303153937940"</f>
        <v>20190303153937940</v>
      </c>
      <c r="B6478" t="str">
        <f>"1551598777935158"</f>
        <v>1551598777935158</v>
      </c>
      <c r="C6478" t="s">
        <v>40</v>
      </c>
      <c r="D6478">
        <v>4.6474500000000001</v>
      </c>
      <c r="E6478">
        <v>0.44344679999999997</v>
      </c>
      <c r="F6478" t="s">
        <v>42</v>
      </c>
      <c r="G6478">
        <v>-418.47129999999999</v>
      </c>
      <c r="H6478" s="1">
        <v>-1.370552E-6</v>
      </c>
      <c r="I6478">
        <v>112.19540000000001</v>
      </c>
      <c r="J6478">
        <v>-418.03660000000002</v>
      </c>
      <c r="K6478">
        <v>1.1255869999999999</v>
      </c>
      <c r="L6478">
        <v>128.33189999999999</v>
      </c>
      <c r="M6478">
        <v>-0.41369590000000001</v>
      </c>
      <c r="N6478">
        <v>-1.409529E-2</v>
      </c>
      <c r="O6478">
        <v>-0.91030610000000001</v>
      </c>
      <c r="P6478">
        <v>-0.1759781</v>
      </c>
      <c r="Q6478">
        <v>-7.9367670000000001E-2</v>
      </c>
      <c r="R6478">
        <v>-0.98118939999999999</v>
      </c>
      <c r="S6478">
        <v>-9.3627929999999998E-2</v>
      </c>
      <c r="T6478">
        <v>-0.20882829999999999</v>
      </c>
      <c r="U6478">
        <v>-3.0260470000000002</v>
      </c>
      <c r="V6478">
        <v>-0.24503130000000001</v>
      </c>
      <c r="W6478">
        <v>-6.8352969999999999E-2</v>
      </c>
      <c r="X6478">
        <v>0.96710260000000003</v>
      </c>
      <c r="Y6478">
        <v>-0.38514140000000002</v>
      </c>
      <c r="Z6478">
        <v>4.297774E-2</v>
      </c>
      <c r="AA6478">
        <v>0.92185629999999996</v>
      </c>
      <c r="AB6478">
        <v>19</v>
      </c>
      <c r="AC6478">
        <v>-0.434699999999963</v>
      </c>
      <c r="AD6478">
        <v>-1.125588370552</v>
      </c>
      <c r="AE6478">
        <v>-16.136499999999899</v>
      </c>
      <c r="AF6478">
        <v>-6.25012836296019</v>
      </c>
      <c r="AG6478">
        <v>-1.125588370552</v>
      </c>
      <c r="AH6478">
        <v>14.7985119020271</v>
      </c>
      <c r="AI6478">
        <v>94.008045253177798</v>
      </c>
      <c r="AJ6478">
        <v>112.896688792159</v>
      </c>
      <c r="AK6478">
        <v>16.103633386532401</v>
      </c>
      <c r="AL6478">
        <v>93.919392918108798</v>
      </c>
      <c r="AM6478">
        <v>104.217633549502</v>
      </c>
      <c r="AN6478">
        <v>0.99999995270713404</v>
      </c>
    </row>
    <row r="6479" spans="1:40" x14ac:dyDescent="0.25">
      <c r="A6479" t="str">
        <f>"20190303153937962"</f>
        <v>20190303153937962</v>
      </c>
      <c r="B6479" t="str">
        <f>"1551598777954678"</f>
        <v>1551598777954678</v>
      </c>
      <c r="C6479" t="s">
        <v>40</v>
      </c>
      <c r="D6479">
        <v>4.685327</v>
      </c>
      <c r="E6479">
        <v>0.44406950000000001</v>
      </c>
      <c r="F6479" t="s">
        <v>42</v>
      </c>
      <c r="G6479">
        <v>-418.47590000000002</v>
      </c>
      <c r="H6479" s="1">
        <v>-1.5406009999999999E-6</v>
      </c>
      <c r="I6479">
        <v>112.5938</v>
      </c>
      <c r="J6479">
        <v>-418.10489999999999</v>
      </c>
      <c r="K6479">
        <v>1.125532</v>
      </c>
      <c r="L6479">
        <v>128.15729999999999</v>
      </c>
      <c r="M6479">
        <v>-0.40603889999999998</v>
      </c>
      <c r="N6479">
        <v>-1.4086660000000001E-2</v>
      </c>
      <c r="O6479">
        <v>-0.91374730000000004</v>
      </c>
      <c r="P6479">
        <v>-0.17086170000000001</v>
      </c>
      <c r="Q6479">
        <v>-7.9724950000000003E-2</v>
      </c>
      <c r="R6479">
        <v>-0.98206450000000001</v>
      </c>
      <c r="S6479">
        <v>-8.4442139999999999E-2</v>
      </c>
      <c r="T6479">
        <v>-0.216338</v>
      </c>
      <c r="U6479">
        <v>-3.0248719999999998</v>
      </c>
      <c r="V6479">
        <v>-0.24194789999999999</v>
      </c>
      <c r="W6479">
        <v>-6.8645559999999994E-2</v>
      </c>
      <c r="X6479">
        <v>0.967858</v>
      </c>
      <c r="Y6479">
        <v>-0.38017319999999999</v>
      </c>
      <c r="Z6479">
        <v>4.5479499999999999E-2</v>
      </c>
      <c r="AA6479">
        <v>0.92379650000000002</v>
      </c>
      <c r="AB6479">
        <v>19</v>
      </c>
      <c r="AC6479">
        <v>-0.37100000000003702</v>
      </c>
      <c r="AD6479">
        <v>-1.1255335406010001</v>
      </c>
      <c r="AE6479">
        <v>-15.5634999999999</v>
      </c>
      <c r="AF6479">
        <v>-5.9498789246108998</v>
      </c>
      <c r="AG6479">
        <v>-1.1255335406010001</v>
      </c>
      <c r="AH6479">
        <v>14.2984331385864</v>
      </c>
      <c r="AI6479">
        <v>94.156729178295606</v>
      </c>
      <c r="AJ6479">
        <v>112.59322244886</v>
      </c>
      <c r="AK6479">
        <v>15.5278161757271</v>
      </c>
      <c r="AL6479">
        <v>93.936196161918502</v>
      </c>
      <c r="AM6479">
        <v>104.035318574079</v>
      </c>
      <c r="AN6479">
        <v>1.00000005369306</v>
      </c>
    </row>
    <row r="6480" spans="1:40" x14ac:dyDescent="0.25">
      <c r="A6480" t="str">
        <f>"20190303153937979"</f>
        <v>20190303153937979</v>
      </c>
      <c r="B6480" t="str">
        <f>"1551598777975175"</f>
        <v>1551598777975175</v>
      </c>
      <c r="C6480" t="s">
        <v>40</v>
      </c>
      <c r="D6480">
        <v>4.6517470000000003</v>
      </c>
      <c r="E6480">
        <v>0.44453160000000003</v>
      </c>
      <c r="F6480" t="s">
        <v>42</v>
      </c>
      <c r="G6480">
        <v>-418.48390000000001</v>
      </c>
      <c r="H6480" s="1">
        <v>-1.533041E-6</v>
      </c>
      <c r="I6480">
        <v>112.57940000000001</v>
      </c>
      <c r="J6480">
        <v>-418.15339999999998</v>
      </c>
      <c r="K6480">
        <v>1.125483</v>
      </c>
      <c r="L6480">
        <v>128.0308</v>
      </c>
      <c r="M6480">
        <v>-0.4005454</v>
      </c>
      <c r="N6480">
        <v>-1.407837E-2</v>
      </c>
      <c r="O6480">
        <v>-0.91616889999999995</v>
      </c>
      <c r="P6480">
        <v>-0.1661128</v>
      </c>
      <c r="Q6480">
        <v>-7.902294E-2</v>
      </c>
      <c r="R6480">
        <v>-0.98293569999999997</v>
      </c>
      <c r="S6480">
        <v>-7.3577879999999998E-2</v>
      </c>
      <c r="T6480">
        <v>-0.2185076</v>
      </c>
      <c r="U6480">
        <v>-3.0242309999999999</v>
      </c>
      <c r="V6480">
        <v>-0.24085419999999999</v>
      </c>
      <c r="W6480">
        <v>-6.7905519999999997E-2</v>
      </c>
      <c r="X6480">
        <v>0.96818289999999996</v>
      </c>
      <c r="Y6480">
        <v>-0.37793100000000002</v>
      </c>
      <c r="Z6480">
        <v>4.6377050000000003E-2</v>
      </c>
      <c r="AA6480">
        <v>0.92467149999999998</v>
      </c>
      <c r="AB6480">
        <v>19</v>
      </c>
      <c r="AC6480">
        <v>-0.33050000000002899</v>
      </c>
      <c r="AD6480">
        <v>-1.1254845330409999</v>
      </c>
      <c r="AE6480">
        <v>-15.4513999999999</v>
      </c>
      <c r="AF6480">
        <v>-5.8557214399882396</v>
      </c>
      <c r="AG6480">
        <v>-1.1254845330409999</v>
      </c>
      <c r="AH6480">
        <v>14.2145031373446</v>
      </c>
      <c r="AI6480">
        <v>94.1871450461596</v>
      </c>
      <c r="AJ6480">
        <v>112.389407924593</v>
      </c>
      <c r="AK6480">
        <v>15.4145479485592</v>
      </c>
      <c r="AL6480">
        <v>93.893695964853606</v>
      </c>
      <c r="AM6480">
        <v>103.969859221718</v>
      </c>
      <c r="AN6480">
        <v>1.0000000165782501</v>
      </c>
    </row>
    <row r="6481" spans="1:40" x14ac:dyDescent="0.25">
      <c r="A6481" t="str">
        <f>"20190303153937995"</f>
        <v>20190303153937995</v>
      </c>
      <c r="B6481" t="str">
        <f>"1551598777984935"</f>
        <v>1551598777984935</v>
      </c>
      <c r="C6481" t="s">
        <v>40</v>
      </c>
      <c r="D6481">
        <v>4.6615149999999996</v>
      </c>
      <c r="E6481">
        <v>0.44453160000000003</v>
      </c>
      <c r="F6481" t="s">
        <v>42</v>
      </c>
      <c r="G6481">
        <v>-418.47370000000001</v>
      </c>
      <c r="H6481" s="1">
        <v>-1.458819E-6</v>
      </c>
      <c r="I6481">
        <v>112.40219999999999</v>
      </c>
      <c r="J6481">
        <v>-418.20429999999999</v>
      </c>
      <c r="K6481">
        <v>1.125418</v>
      </c>
      <c r="L6481">
        <v>127.8956</v>
      </c>
      <c r="M6481">
        <v>-0.39473619999999998</v>
      </c>
      <c r="N6481">
        <v>-1.406747E-2</v>
      </c>
      <c r="O6481">
        <v>-0.91868689999999997</v>
      </c>
      <c r="P6481">
        <v>-0.16191229999999901</v>
      </c>
      <c r="Q6481">
        <v>-7.7568639999999994E-2</v>
      </c>
      <c r="R6481">
        <v>-0.98375199999999996</v>
      </c>
      <c r="S6481">
        <v>-6.19812E-2</v>
      </c>
      <c r="T6481">
        <v>-0.21777730000000001</v>
      </c>
      <c r="U6481">
        <v>-3.0240779999999998</v>
      </c>
      <c r="V6481">
        <v>-0.23893349999999999</v>
      </c>
      <c r="W6481">
        <v>-6.6392909999999999E-2</v>
      </c>
      <c r="X6481">
        <v>0.9687635</v>
      </c>
      <c r="Y6481">
        <v>-0.37561470000000002</v>
      </c>
      <c r="Z6481">
        <v>4.6482280000000001E-2</v>
      </c>
      <c r="AA6481">
        <v>0.92560949999999997</v>
      </c>
      <c r="AB6481">
        <v>19</v>
      </c>
      <c r="AC6481">
        <v>-0.26940000000001801</v>
      </c>
      <c r="AD6481">
        <v>-1.1254194588190001</v>
      </c>
      <c r="AE6481">
        <v>-15.493399999999999</v>
      </c>
      <c r="AF6481">
        <v>-5.8380971353231601</v>
      </c>
      <c r="AG6481">
        <v>-1.1254194588190001</v>
      </c>
      <c r="AH6481">
        <v>14.2660928922671</v>
      </c>
      <c r="AI6481">
        <v>94.175798742736205</v>
      </c>
      <c r="AJ6481">
        <v>112.25579489726</v>
      </c>
      <c r="AK6481">
        <v>15.455463549520299</v>
      </c>
      <c r="AL6481">
        <v>93.806833885211802</v>
      </c>
      <c r="AM6481">
        <v>103.854781355292</v>
      </c>
      <c r="AN6481">
        <v>0.99999997742638302</v>
      </c>
    </row>
    <row r="6482" spans="1:40" x14ac:dyDescent="0.25">
      <c r="A6482" t="str">
        <f>"20190303153938018"</f>
        <v>20190303153938018</v>
      </c>
      <c r="B6482" t="str">
        <f>"1551598778015191"</f>
        <v>1551598778015191</v>
      </c>
      <c r="C6482" t="s">
        <v>40</v>
      </c>
      <c r="D6482">
        <v>4.6292330000000002</v>
      </c>
      <c r="E6482">
        <v>0.48118030000000001</v>
      </c>
      <c r="F6482" t="s">
        <v>42</v>
      </c>
      <c r="G6482">
        <v>-418.46190000000001</v>
      </c>
      <c r="H6482" s="1">
        <v>-1.3300890000000001E-6</v>
      </c>
      <c r="I6482">
        <v>112.0973</v>
      </c>
      <c r="J6482">
        <v>-418.26949999999999</v>
      </c>
      <c r="K6482">
        <v>1.1252949999999999</v>
      </c>
      <c r="L6482">
        <v>127.71899999999999</v>
      </c>
      <c r="M6482">
        <v>-0.38727709999999999</v>
      </c>
      <c r="N6482">
        <v>-1.4049539999999999E-2</v>
      </c>
      <c r="O6482">
        <v>-0.92185660000000003</v>
      </c>
      <c r="P6482">
        <v>-0.1551688</v>
      </c>
      <c r="Q6482">
        <v>-7.6923980000000003E-2</v>
      </c>
      <c r="R6482">
        <v>-0.98488900000000001</v>
      </c>
      <c r="S6482">
        <v>-4.9316409999999998E-2</v>
      </c>
      <c r="T6482">
        <v>-0.21545159999999999</v>
      </c>
      <c r="U6482">
        <v>-3.0244599999999999</v>
      </c>
      <c r="V6482">
        <v>-0.2377639</v>
      </c>
      <c r="W6482">
        <v>-6.5681390000000006E-2</v>
      </c>
      <c r="X6482">
        <v>0.96909979999999996</v>
      </c>
      <c r="Y6482">
        <v>-0.3719845</v>
      </c>
      <c r="Z6482">
        <v>4.6225099999999998E-2</v>
      </c>
      <c r="AA6482">
        <v>0.9270872</v>
      </c>
      <c r="AB6482">
        <v>19</v>
      </c>
      <c r="AC6482">
        <v>-0.19240000000002</v>
      </c>
      <c r="AD6482">
        <v>-1.125296330089</v>
      </c>
      <c r="AE6482">
        <v>-15.621699999999899</v>
      </c>
      <c r="AF6482">
        <v>-5.8428261990589503</v>
      </c>
      <c r="AG6482">
        <v>-1.125296330089</v>
      </c>
      <c r="AH6482">
        <v>14.4021838836968</v>
      </c>
      <c r="AI6482">
        <v>94.141126570809405</v>
      </c>
      <c r="AJ6482">
        <v>112.081916984713</v>
      </c>
      <c r="AK6482">
        <v>15.5829333067538</v>
      </c>
      <c r="AL6482">
        <v>93.765977259680298</v>
      </c>
      <c r="AM6482">
        <v>103.784953023044</v>
      </c>
      <c r="AN6482">
        <v>1.00000006974778</v>
      </c>
    </row>
    <row r="6483" spans="1:40" x14ac:dyDescent="0.25">
      <c r="A6483" t="str">
        <f>"20190303153938040"</f>
        <v>20190303153938040</v>
      </c>
      <c r="B6483" t="str">
        <f>"1551598778034710"</f>
        <v>1551598778034710</v>
      </c>
      <c r="C6483" t="s">
        <v>40</v>
      </c>
      <c r="D6483">
        <v>4.5710040000000003</v>
      </c>
      <c r="E6483">
        <v>0.48490349999999999</v>
      </c>
      <c r="F6483" t="s">
        <v>42</v>
      </c>
      <c r="G6483">
        <v>-420.11860000000001</v>
      </c>
      <c r="H6483" s="1">
        <v>-3.6189319999999998E-7</v>
      </c>
      <c r="I6483">
        <v>110.3591</v>
      </c>
      <c r="J6483">
        <v>-418.33179999999999</v>
      </c>
      <c r="K6483">
        <v>1.125156</v>
      </c>
      <c r="L6483">
        <v>127.5468</v>
      </c>
      <c r="M6483">
        <v>-0.38016169999999999</v>
      </c>
      <c r="N6483">
        <v>-1.40289E-2</v>
      </c>
      <c r="O6483">
        <v>-0.92481389999999997</v>
      </c>
      <c r="P6483">
        <v>-0.14942349999999999</v>
      </c>
      <c r="Q6483">
        <v>-7.7596280000000004E-2</v>
      </c>
      <c r="R6483">
        <v>-0.9857243</v>
      </c>
      <c r="S6483">
        <v>-0.31750489999999998</v>
      </c>
      <c r="T6483">
        <v>-0.19322839999999999</v>
      </c>
      <c r="U6483">
        <v>-2.9809269999999999</v>
      </c>
      <c r="V6483">
        <v>-0.23594229999999999</v>
      </c>
      <c r="W6483">
        <v>-6.6273319999999997E-2</v>
      </c>
      <c r="X6483">
        <v>0.96950449999999999</v>
      </c>
      <c r="Y6483">
        <v>-0.2800279</v>
      </c>
      <c r="Z6483">
        <v>4.2288550000000001E-2</v>
      </c>
      <c r="AA6483">
        <v>0.95906000000000002</v>
      </c>
      <c r="AB6483">
        <v>19</v>
      </c>
      <c r="AC6483">
        <v>-1.7868000000000199</v>
      </c>
      <c r="AD6483">
        <v>-1.1251563618931999</v>
      </c>
      <c r="AE6483">
        <v>-17.1877</v>
      </c>
      <c r="AF6483">
        <v>-4.8615163159532004</v>
      </c>
      <c r="AG6483">
        <v>-1.1251563618931999</v>
      </c>
      <c r="AH6483">
        <v>16.506344296004499</v>
      </c>
      <c r="AI6483">
        <v>93.741132463059003</v>
      </c>
      <c r="AJ6483">
        <v>106.41097224644901</v>
      </c>
      <c r="AK6483">
        <v>17.244121309803798</v>
      </c>
      <c r="AL6483">
        <v>93.7999668674953</v>
      </c>
      <c r="AM6483">
        <v>103.677828526249</v>
      </c>
      <c r="AN6483">
        <v>0.99999994869667896</v>
      </c>
    </row>
    <row r="6484" spans="1:40" x14ac:dyDescent="0.25">
      <c r="A6484" t="str">
        <f>"20190303153938063"</f>
        <v>20190303153938063</v>
      </c>
      <c r="B6484" t="str">
        <f>"1551598778055207"</f>
        <v>1551598778055207</v>
      </c>
      <c r="C6484" t="s">
        <v>40</v>
      </c>
      <c r="D6484">
        <v>4.5691940000000004</v>
      </c>
      <c r="E6484">
        <v>0.48673450000000001</v>
      </c>
      <c r="F6484" t="s">
        <v>42</v>
      </c>
      <c r="G6484">
        <v>-420.20749999999998</v>
      </c>
      <c r="H6484" s="1">
        <v>-4.8313860000000003E-7</v>
      </c>
      <c r="I6484">
        <v>110.5866</v>
      </c>
      <c r="J6484">
        <v>-418.39519999999999</v>
      </c>
      <c r="K6484">
        <v>1.125005</v>
      </c>
      <c r="L6484">
        <v>127.36799999999999</v>
      </c>
      <c r="M6484">
        <v>-0.37296679999999999</v>
      </c>
      <c r="N6484">
        <v>-1.400497E-2</v>
      </c>
      <c r="O6484">
        <v>-0.92773899999999998</v>
      </c>
      <c r="P6484">
        <v>-0.14320869999999999</v>
      </c>
      <c r="Q6484">
        <v>-7.9183080000000003E-2</v>
      </c>
      <c r="R6484">
        <v>-0.98651990000000001</v>
      </c>
      <c r="S6484">
        <v>-0.32934570000000002</v>
      </c>
      <c r="T6484">
        <v>-0.19756109999999999</v>
      </c>
      <c r="U6484">
        <v>-2.9779659999999999</v>
      </c>
      <c r="V6484">
        <v>-0.2344851</v>
      </c>
      <c r="W6484">
        <v>-6.7779359999999997E-2</v>
      </c>
      <c r="X6484">
        <v>0.96975389999999995</v>
      </c>
      <c r="Y6484">
        <v>-0.2686964</v>
      </c>
      <c r="Z6484">
        <v>4.4007669999999999E-2</v>
      </c>
      <c r="AA6484">
        <v>0.96221909999999999</v>
      </c>
      <c r="AB6484">
        <v>19</v>
      </c>
      <c r="AC6484">
        <v>-1.81229999999999</v>
      </c>
      <c r="AD6484">
        <v>-1.1250054831386</v>
      </c>
      <c r="AE6484">
        <v>-16.781399999999898</v>
      </c>
      <c r="AF6484">
        <v>-4.5577652055833697</v>
      </c>
      <c r="AG6484">
        <v>-1.1250054831386</v>
      </c>
      <c r="AH6484">
        <v>16.1744269428671</v>
      </c>
      <c r="AI6484">
        <v>93.830087084189501</v>
      </c>
      <c r="AJ6484">
        <v>105.737218360543</v>
      </c>
      <c r="AK6484">
        <v>16.841940147633299</v>
      </c>
      <c r="AL6484">
        <v>93.8864510371194</v>
      </c>
      <c r="AM6484">
        <v>103.59313112312201</v>
      </c>
      <c r="AN6484">
        <v>0.99999996516461398</v>
      </c>
    </row>
    <row r="6485" spans="1:40" x14ac:dyDescent="0.25">
      <c r="A6485" t="str">
        <f>"20190303153938086"</f>
        <v>20190303153938086</v>
      </c>
      <c r="B6485" t="str">
        <f>"1551598778074727"</f>
        <v>1551598778074727</v>
      </c>
      <c r="C6485" t="s">
        <v>40</v>
      </c>
      <c r="D6485">
        <v>4.5825060000000004</v>
      </c>
      <c r="E6485">
        <v>0.48814170000000001</v>
      </c>
      <c r="F6485" t="s">
        <v>42</v>
      </c>
      <c r="G6485">
        <v>-420.27629999999999</v>
      </c>
      <c r="H6485" s="1">
        <v>-2.9319009999999999E-7</v>
      </c>
      <c r="I6485">
        <v>110.10120000000001</v>
      </c>
      <c r="J6485">
        <v>-418.45890000000003</v>
      </c>
      <c r="K6485">
        <v>1.124846</v>
      </c>
      <c r="L6485">
        <v>127.1846</v>
      </c>
      <c r="M6485">
        <v>-0.36581439999999998</v>
      </c>
      <c r="N6485">
        <v>-1.39782E-2</v>
      </c>
      <c r="O6485">
        <v>-0.93058289999999999</v>
      </c>
      <c r="P6485">
        <v>-0.13683499999999901</v>
      </c>
      <c r="Q6485">
        <v>-7.981133E-2</v>
      </c>
      <c r="R6485">
        <v>-0.98737350000000002</v>
      </c>
      <c r="S6485">
        <v>-0.3244629</v>
      </c>
      <c r="T6485">
        <v>-0.19404859999999999</v>
      </c>
      <c r="U6485">
        <v>-2.9783019999999998</v>
      </c>
      <c r="V6485">
        <v>-0.2332864</v>
      </c>
      <c r="W6485">
        <v>-6.8325930000000007E-2</v>
      </c>
      <c r="X6485">
        <v>0.97000459999999999</v>
      </c>
      <c r="Y6485">
        <v>-0.26285120000000001</v>
      </c>
      <c r="Z6485">
        <v>4.3324729999999999E-2</v>
      </c>
      <c r="AA6485">
        <v>0.96386320000000003</v>
      </c>
      <c r="AB6485">
        <v>19</v>
      </c>
      <c r="AC6485">
        <v>-1.8173999999999599</v>
      </c>
      <c r="AD6485">
        <v>-1.1248462931901</v>
      </c>
      <c r="AE6485">
        <v>-17.083399999999902</v>
      </c>
      <c r="AF6485">
        <v>-4.5390985345462296</v>
      </c>
      <c r="AG6485">
        <v>-1.1248462931901</v>
      </c>
      <c r="AH6485">
        <v>16.4932623989862</v>
      </c>
      <c r="AI6485">
        <v>93.762103975600496</v>
      </c>
      <c r="AJ6485">
        <v>105.387397377784</v>
      </c>
      <c r="AK6485">
        <v>17.1434068741145</v>
      </c>
      <c r="AL6485">
        <v>93.917840018007993</v>
      </c>
      <c r="AM6485">
        <v>103.52283424682</v>
      </c>
      <c r="AN6485">
        <v>0.99999995057824098</v>
      </c>
    </row>
    <row r="6486" spans="1:40" x14ac:dyDescent="0.25">
      <c r="A6486" t="str">
        <f>"20190303153938107"</f>
        <v>20190303153938107</v>
      </c>
      <c r="B6486" t="str">
        <f>"1551598778095223"</f>
        <v>1551598778095223</v>
      </c>
      <c r="C6486" t="s">
        <v>40</v>
      </c>
      <c r="D6486">
        <v>4.5906399999999996</v>
      </c>
      <c r="E6486">
        <v>0.48947479999999899</v>
      </c>
      <c r="F6486" t="s">
        <v>42</v>
      </c>
      <c r="G6486">
        <v>-420.31060000000002</v>
      </c>
      <c r="H6486" s="1">
        <v>-1.5423160000000001E-7</v>
      </c>
      <c r="I6486">
        <v>109.756</v>
      </c>
      <c r="J6486">
        <v>-418.51749999999998</v>
      </c>
      <c r="K6486">
        <v>1.1246989999999999</v>
      </c>
      <c r="L6486">
        <v>127.0129</v>
      </c>
      <c r="M6486">
        <v>-0.3593519</v>
      </c>
      <c r="N6486">
        <v>-1.395121E-2</v>
      </c>
      <c r="O6486">
        <v>-0.93309790000000004</v>
      </c>
      <c r="P6486">
        <v>-0.13122600000000001</v>
      </c>
      <c r="Q6486">
        <v>-7.9096470000000002E-2</v>
      </c>
      <c r="R6486">
        <v>-0.98819230000000002</v>
      </c>
      <c r="S6486">
        <v>-0.3164978</v>
      </c>
      <c r="T6486">
        <v>-0.1922624</v>
      </c>
      <c r="U6486">
        <v>-2.978958</v>
      </c>
      <c r="V6486">
        <v>-0.2321212</v>
      </c>
      <c r="W6486">
        <v>-6.7533979999999993E-2</v>
      </c>
      <c r="X6486">
        <v>0.97033959999999997</v>
      </c>
      <c r="Y6486">
        <v>-0.2587314</v>
      </c>
      <c r="Z6486">
        <v>4.3086039999999999E-2</v>
      </c>
      <c r="AA6486">
        <v>0.96498790000000001</v>
      </c>
      <c r="AB6486">
        <v>19</v>
      </c>
      <c r="AC6486">
        <v>-1.7931000000000299</v>
      </c>
      <c r="AD6486">
        <v>-1.1246991542315901</v>
      </c>
      <c r="AE6486">
        <v>-17.256900000000002</v>
      </c>
      <c r="AF6486">
        <v>-4.5096516826375304</v>
      </c>
      <c r="AG6486">
        <v>-1.1246991542315901</v>
      </c>
      <c r="AH6486">
        <v>16.678273549882899</v>
      </c>
      <c r="AI6486">
        <v>93.724544845276796</v>
      </c>
      <c r="AJ6486">
        <v>105.130442708082</v>
      </c>
      <c r="AK6486">
        <v>17.313772410741901</v>
      </c>
      <c r="AL6486">
        <v>93.872359317904198</v>
      </c>
      <c r="AM6486">
        <v>103.45327700860901</v>
      </c>
      <c r="AN6486">
        <v>1.0000000146361201</v>
      </c>
    </row>
    <row r="6487" spans="1:40" x14ac:dyDescent="0.25">
      <c r="A6487" t="str">
        <f>"20190303153938131"</f>
        <v>20190303153938131</v>
      </c>
      <c r="B6487" t="str">
        <f>"1551598778125478"</f>
        <v>1551598778125478</v>
      </c>
      <c r="C6487" t="s">
        <v>40</v>
      </c>
      <c r="D6487">
        <v>4.6172250000000004</v>
      </c>
      <c r="E6487">
        <v>0.49090279999999997</v>
      </c>
      <c r="F6487" t="s">
        <v>42</v>
      </c>
      <c r="G6487">
        <v>-420.37040000000002</v>
      </c>
      <c r="H6487" s="1">
        <v>-4.6488180000000004E-6</v>
      </c>
      <c r="I6487">
        <v>109.2208</v>
      </c>
      <c r="J6487">
        <v>-418.5772</v>
      </c>
      <c r="K6487">
        <v>1.1245430000000001</v>
      </c>
      <c r="L6487">
        <v>126.8343</v>
      </c>
      <c r="M6487">
        <v>-0.35288009999999997</v>
      </c>
      <c r="N6487">
        <v>-1.39215E-2</v>
      </c>
      <c r="O6487">
        <v>-0.93556510000000004</v>
      </c>
      <c r="P6487">
        <v>-0.1266341</v>
      </c>
      <c r="Q6487">
        <v>-7.8490509999999999E-2</v>
      </c>
      <c r="R6487">
        <v>-0.98883960000000004</v>
      </c>
      <c r="S6487">
        <v>-0.31030269999999999</v>
      </c>
      <c r="T6487">
        <v>-0.18834870000000001</v>
      </c>
      <c r="U6487">
        <v>-2.9795530000000001</v>
      </c>
      <c r="V6487">
        <v>-0.2299572</v>
      </c>
      <c r="W6487">
        <v>-6.6840079999999996E-2</v>
      </c>
      <c r="X6487">
        <v>0.97090270000000001</v>
      </c>
      <c r="Y6487">
        <v>-0.2540444</v>
      </c>
      <c r="Z6487">
        <v>4.2216879999999998E-2</v>
      </c>
      <c r="AA6487">
        <v>0.96627070000000004</v>
      </c>
      <c r="AB6487">
        <v>19</v>
      </c>
      <c r="AC6487">
        <v>-1.7932000000000099</v>
      </c>
      <c r="AD6487">
        <v>-1.124547648818</v>
      </c>
      <c r="AE6487">
        <v>-17.613499999999998</v>
      </c>
      <c r="AF6487">
        <v>-4.5200017816410796</v>
      </c>
      <c r="AG6487">
        <v>-1.124547648818</v>
      </c>
      <c r="AH6487">
        <v>17.044252453015101</v>
      </c>
      <c r="AI6487">
        <v>93.649022874213003</v>
      </c>
      <c r="AJ6487">
        <v>104.85251301050501</v>
      </c>
      <c r="AK6487">
        <v>17.669226502668799</v>
      </c>
      <c r="AL6487">
        <v>93.832511863818794</v>
      </c>
      <c r="AM6487">
        <v>103.324897853311</v>
      </c>
      <c r="AN6487">
        <v>0.99999998149676805</v>
      </c>
    </row>
    <row r="6488" spans="1:40" x14ac:dyDescent="0.25">
      <c r="A6488" t="str">
        <f>"20190303153938152"</f>
        <v>20190303153938152</v>
      </c>
      <c r="B6488" t="str">
        <f>"1551598778144999"</f>
        <v>1551598778144999</v>
      </c>
      <c r="C6488" t="s">
        <v>40</v>
      </c>
      <c r="D6488">
        <v>4.5777530000000004</v>
      </c>
      <c r="E6488">
        <v>0.49177179999999998</v>
      </c>
      <c r="F6488" t="s">
        <v>42</v>
      </c>
      <c r="G6488">
        <v>-420.43400000000003</v>
      </c>
      <c r="H6488" s="1">
        <v>-4.4854280000000002E-6</v>
      </c>
      <c r="I6488">
        <v>108.8361</v>
      </c>
      <c r="J6488">
        <v>-418.63369999999998</v>
      </c>
      <c r="K6488">
        <v>1.124404</v>
      </c>
      <c r="L6488">
        <v>126.66249999999999</v>
      </c>
      <c r="M6488">
        <v>-0.34688429999999998</v>
      </c>
      <c r="N6488">
        <v>-1.38926E-2</v>
      </c>
      <c r="O6488">
        <v>-0.93780520000000001</v>
      </c>
      <c r="P6488">
        <v>-0.1234681</v>
      </c>
      <c r="Q6488">
        <v>-7.8695790000000002E-2</v>
      </c>
      <c r="R6488">
        <v>-0.98922350000000003</v>
      </c>
      <c r="S6488">
        <v>-0.307403599999999</v>
      </c>
      <c r="T6488">
        <v>-0.18617549999999999</v>
      </c>
      <c r="U6488">
        <v>-2.9797060000000002</v>
      </c>
      <c r="V6488">
        <v>-0.22686909999999999</v>
      </c>
      <c r="W6488">
        <v>-6.6957240000000001E-2</v>
      </c>
      <c r="X6488">
        <v>0.97162090000000001</v>
      </c>
      <c r="Y6488">
        <v>-0.2487885</v>
      </c>
      <c r="Z6488">
        <v>4.1844489999999998E-2</v>
      </c>
      <c r="AA6488">
        <v>0.96765350000000006</v>
      </c>
      <c r="AB6488">
        <v>19</v>
      </c>
      <c r="AC6488">
        <v>-1.80030000000004</v>
      </c>
      <c r="AD6488">
        <v>-1.1244084854279901</v>
      </c>
      <c r="AE6488">
        <v>-17.8263999999999</v>
      </c>
      <c r="AF6488">
        <v>-4.4781641877285701</v>
      </c>
      <c r="AG6488">
        <v>-1.1244084854279901</v>
      </c>
      <c r="AH6488">
        <v>17.2758193237791</v>
      </c>
      <c r="AI6488">
        <v>93.605064199388806</v>
      </c>
      <c r="AJ6488">
        <v>104.532118311487</v>
      </c>
      <c r="AK6488">
        <v>17.882174986343699</v>
      </c>
      <c r="AL6488">
        <v>93.839239573158494</v>
      </c>
      <c r="AM6488">
        <v>103.14283326738401</v>
      </c>
      <c r="AN6488">
        <v>1.0000000169200101</v>
      </c>
    </row>
    <row r="6489" spans="1:40" x14ac:dyDescent="0.25">
      <c r="A6489" t="str">
        <f>"20190303153938175"</f>
        <v>20190303153938175</v>
      </c>
      <c r="B6489" t="str">
        <f>"1551598778164519"</f>
        <v>1551598778164519</v>
      </c>
      <c r="C6489" t="s">
        <v>40</v>
      </c>
      <c r="D6489">
        <v>4.5907359999999997</v>
      </c>
      <c r="E6489">
        <v>0.49242580000000002</v>
      </c>
      <c r="F6489" t="s">
        <v>42</v>
      </c>
      <c r="G6489">
        <v>-420.48</v>
      </c>
      <c r="H6489" s="1">
        <v>-4.3918089999999996E-6</v>
      </c>
      <c r="I6489">
        <v>108.6122</v>
      </c>
      <c r="J6489">
        <v>-418.69260000000003</v>
      </c>
      <c r="K6489">
        <v>1.124271</v>
      </c>
      <c r="L6489">
        <v>126.48009999999999</v>
      </c>
      <c r="M6489">
        <v>-0.34070020000000001</v>
      </c>
      <c r="N6489">
        <v>-1.386394E-2</v>
      </c>
      <c r="O6489">
        <v>-0.94006970000000001</v>
      </c>
      <c r="P6489">
        <v>-0.1212464</v>
      </c>
      <c r="Q6489">
        <v>-8.0107849999999994E-2</v>
      </c>
      <c r="R6489">
        <v>-0.98938490000000001</v>
      </c>
      <c r="S6489">
        <v>-0.30480960000000001</v>
      </c>
      <c r="T6489">
        <v>-0.18562509999999999</v>
      </c>
      <c r="U6489">
        <v>-2.9798740000000001</v>
      </c>
      <c r="V6489">
        <v>-0.22262480000000001</v>
      </c>
      <c r="W6489">
        <v>-6.8283650000000001E-2</v>
      </c>
      <c r="X6489">
        <v>0.97250990000000004</v>
      </c>
      <c r="Y6489">
        <v>-0.2432491</v>
      </c>
      <c r="Z6489">
        <v>4.1953530000000003E-2</v>
      </c>
      <c r="AA6489">
        <v>0.96905609999999998</v>
      </c>
      <c r="AB6489">
        <v>19</v>
      </c>
      <c r="AC6489">
        <v>-1.7873999999999901</v>
      </c>
      <c r="AD6489">
        <v>-1.1242753918089901</v>
      </c>
      <c r="AE6489">
        <v>-17.867899999999899</v>
      </c>
      <c r="AF6489">
        <v>-4.3905300164879</v>
      </c>
      <c r="AG6489">
        <v>-1.1242753918089901</v>
      </c>
      <c r="AH6489">
        <v>17.339743132311501</v>
      </c>
      <c r="AI6489">
        <v>93.596563936730902</v>
      </c>
      <c r="AJ6489">
        <v>104.20900695383899</v>
      </c>
      <c r="AK6489">
        <v>17.9222610425374</v>
      </c>
      <c r="AL6489">
        <v>93.915411758137495</v>
      </c>
      <c r="AM6489">
        <v>102.89385890867</v>
      </c>
      <c r="AN6489">
        <v>0.99999998201518603</v>
      </c>
    </row>
    <row r="6490" spans="1:40" x14ac:dyDescent="0.25">
      <c r="A6490" t="str">
        <f>"20190303153938196"</f>
        <v>20190303153938196</v>
      </c>
      <c r="B6490" t="str">
        <f>"1551598778185015"</f>
        <v>1551598778185015</v>
      </c>
      <c r="C6490" t="s">
        <v>40</v>
      </c>
      <c r="D6490">
        <v>4.6089330000000004</v>
      </c>
      <c r="E6490">
        <v>0.49315520000000002</v>
      </c>
      <c r="F6490" t="s">
        <v>42</v>
      </c>
      <c r="G6490">
        <v>-420.45729999999998</v>
      </c>
      <c r="H6490" s="1">
        <v>-4.6388310000000002E-6</v>
      </c>
      <c r="I6490">
        <v>109.15470000000001</v>
      </c>
      <c r="J6490">
        <v>-418.74630000000002</v>
      </c>
      <c r="K6490">
        <v>1.124174</v>
      </c>
      <c r="L6490">
        <v>126.3108</v>
      </c>
      <c r="M6490">
        <v>-0.33510099999999998</v>
      </c>
      <c r="N6490">
        <v>-1.384006E-2</v>
      </c>
      <c r="O6490">
        <v>-0.9420809</v>
      </c>
      <c r="P6490">
        <v>-0.12009980000000001</v>
      </c>
      <c r="Q6490">
        <v>-8.0804909999999994E-2</v>
      </c>
      <c r="R6490">
        <v>-0.98946820000000002</v>
      </c>
      <c r="S6490">
        <v>-0.30346679999999998</v>
      </c>
      <c r="T6490">
        <v>-0.19333410000000001</v>
      </c>
      <c r="U6490">
        <v>-2.9793400000000001</v>
      </c>
      <c r="V6490">
        <v>-0.21795890000000001</v>
      </c>
      <c r="W6490">
        <v>-6.8907919999999998E-2</v>
      </c>
      <c r="X6490">
        <v>0.9735222</v>
      </c>
      <c r="Y6490">
        <v>-0.23789930000000001</v>
      </c>
      <c r="Z6490">
        <v>4.4518870000000002E-2</v>
      </c>
      <c r="AA6490">
        <v>0.97026900000000005</v>
      </c>
      <c r="AB6490">
        <v>19</v>
      </c>
      <c r="AC6490">
        <v>-1.7109999999999499</v>
      </c>
      <c r="AD6490">
        <v>-1.124178638831</v>
      </c>
      <c r="AE6490">
        <v>-17.156099999999899</v>
      </c>
      <c r="AF6490">
        <v>-4.1200048665548703</v>
      </c>
      <c r="AG6490">
        <v>-1.124178638831</v>
      </c>
      <c r="AH6490">
        <v>16.666532950570101</v>
      </c>
      <c r="AI6490">
        <v>93.746391437458698</v>
      </c>
      <c r="AJ6490">
        <v>103.88527590213</v>
      </c>
      <c r="AK6490">
        <v>17.204985855991801</v>
      </c>
      <c r="AL6490">
        <v>93.951264455884797</v>
      </c>
      <c r="AM6490">
        <v>102.61966801526999</v>
      </c>
      <c r="AN6490">
        <v>0.99999992871038501</v>
      </c>
    </row>
    <row r="6491" spans="1:40" x14ac:dyDescent="0.25">
      <c r="A6491" t="str">
        <f>"20190303153938211"</f>
        <v>20190303153938211</v>
      </c>
      <c r="B6491" t="str">
        <f>"1551598778205511"</f>
        <v>1551598778205511</v>
      </c>
      <c r="C6491" t="s">
        <v>40</v>
      </c>
      <c r="D6491">
        <v>4.6382029999999999</v>
      </c>
      <c r="E6491">
        <v>0.49376789999999998</v>
      </c>
      <c r="F6491" t="s">
        <v>42</v>
      </c>
      <c r="G6491">
        <v>-420.47609999999997</v>
      </c>
      <c r="H6491" s="1">
        <v>-4.7657839999999997E-6</v>
      </c>
      <c r="I6491">
        <v>109.4766</v>
      </c>
      <c r="J6491">
        <v>-418.7833</v>
      </c>
      <c r="K6491">
        <v>1.124123</v>
      </c>
      <c r="L6491">
        <v>126.1925</v>
      </c>
      <c r="M6491">
        <v>-0.3312563</v>
      </c>
      <c r="N6491">
        <v>-1.382458E-2</v>
      </c>
      <c r="O6491">
        <v>-0.94343949999999999</v>
      </c>
      <c r="P6491">
        <v>-0.1185758</v>
      </c>
      <c r="Q6491">
        <v>-8.113882E-2</v>
      </c>
      <c r="R6491">
        <v>-0.98962450000000002</v>
      </c>
      <c r="S6491">
        <v>-0.30606080000000002</v>
      </c>
      <c r="T6491">
        <v>-0.1989052</v>
      </c>
      <c r="U6491">
        <v>-2.9785460000000001</v>
      </c>
      <c r="V6491">
        <v>-0.21548690000000001</v>
      </c>
      <c r="W6491">
        <v>-6.9205020000000006E-2</v>
      </c>
      <c r="X6491">
        <v>0.97405140000000001</v>
      </c>
      <c r="Y6491">
        <v>-0.23308200000000001</v>
      </c>
      <c r="Z6491">
        <v>4.6388169999999999E-2</v>
      </c>
      <c r="AA6491">
        <v>0.97135000000000005</v>
      </c>
      <c r="AB6491">
        <v>19</v>
      </c>
      <c r="AC6491">
        <v>-1.6927999999999701</v>
      </c>
      <c r="AD6491">
        <v>-1.1241277657840001</v>
      </c>
      <c r="AE6491">
        <v>-16.715899999999898</v>
      </c>
      <c r="AF6491">
        <v>-3.9230080550349098</v>
      </c>
      <c r="AG6491">
        <v>-1.1241277657840001</v>
      </c>
      <c r="AH6491">
        <v>16.259964197401199</v>
      </c>
      <c r="AI6491">
        <v>93.844856764746496</v>
      </c>
      <c r="AJ6491">
        <v>103.56440445978301</v>
      </c>
      <c r="AK6491">
        <v>16.764250389875599</v>
      </c>
      <c r="AL6491">
        <v>93.968327347711906</v>
      </c>
      <c r="AM6491">
        <v>102.474481793436</v>
      </c>
      <c r="AN6491">
        <v>1.0000000343533799</v>
      </c>
    </row>
    <row r="6492" spans="1:40" x14ac:dyDescent="0.25">
      <c r="A6492" t="str">
        <f>"20190303153938229"</f>
        <v>20190303153938229</v>
      </c>
      <c r="B6492" t="str">
        <f>"1551598778225031"</f>
        <v>1551598778225031</v>
      </c>
      <c r="C6492" t="s">
        <v>40</v>
      </c>
      <c r="D6492">
        <v>4.658309</v>
      </c>
      <c r="E6492">
        <v>0.49431649999999999</v>
      </c>
      <c r="F6492" t="s">
        <v>42</v>
      </c>
      <c r="G6492">
        <v>-420.50580000000002</v>
      </c>
      <c r="H6492" s="1">
        <v>-4.7493450000000002E-6</v>
      </c>
      <c r="I6492">
        <v>109.42</v>
      </c>
      <c r="J6492">
        <v>-418.82839999999999</v>
      </c>
      <c r="K6492">
        <v>1.1240650000000001</v>
      </c>
      <c r="L6492">
        <v>126.04640000000001</v>
      </c>
      <c r="M6492">
        <v>-0.32660109999999998</v>
      </c>
      <c r="N6492">
        <v>-1.380638E-2</v>
      </c>
      <c r="O6492">
        <v>-0.94506140000000005</v>
      </c>
      <c r="P6492">
        <v>-0.11898499999999999</v>
      </c>
      <c r="Q6492">
        <v>-8.1821679999999994E-2</v>
      </c>
      <c r="R6492">
        <v>-0.98951900000000004</v>
      </c>
      <c r="S6492">
        <v>-0.30587769999999997</v>
      </c>
      <c r="T6492">
        <v>-0.19962099999999999</v>
      </c>
      <c r="U6492">
        <v>-2.978424</v>
      </c>
      <c r="V6492">
        <v>-0.21027090000000001</v>
      </c>
      <c r="W6492">
        <v>-6.9825680000000001E-2</v>
      </c>
      <c r="X6492">
        <v>0.97514639999999997</v>
      </c>
      <c r="Y6492">
        <v>-0.2283451</v>
      </c>
      <c r="Z6492">
        <v>4.6818180000000001E-2</v>
      </c>
      <c r="AA6492">
        <v>0.97245389999999998</v>
      </c>
      <c r="AB6492">
        <v>19</v>
      </c>
      <c r="AC6492">
        <v>-1.67740000000003</v>
      </c>
      <c r="AD6492">
        <v>-1.12406974934499</v>
      </c>
      <c r="AE6492">
        <v>-16.6264</v>
      </c>
      <c r="AF6492">
        <v>-3.8280005082588699</v>
      </c>
      <c r="AG6492">
        <v>-1.12406974934499</v>
      </c>
      <c r="AH6492">
        <v>16.189108769259899</v>
      </c>
      <c r="AI6492">
        <v>93.865624053727402</v>
      </c>
      <c r="AJ6492">
        <v>103.303544069304</v>
      </c>
      <c r="AK6492">
        <v>16.673462850756302</v>
      </c>
      <c r="AL6492">
        <v>94.003974961999901</v>
      </c>
      <c r="AM6492">
        <v>102.16838180004299</v>
      </c>
      <c r="AN6492">
        <v>0.99999998920361599</v>
      </c>
    </row>
    <row r="6493" spans="1:40" x14ac:dyDescent="0.25">
      <c r="A6493" t="str">
        <f>"20190303153938244"</f>
        <v>20190303153938244</v>
      </c>
      <c r="B6493" t="str">
        <f>"1551598778234791"</f>
        <v>1551598778234791</v>
      </c>
      <c r="C6493" t="s">
        <v>40</v>
      </c>
      <c r="D6493">
        <v>4.6945370000000004</v>
      </c>
      <c r="E6493">
        <v>0.49446200000000001</v>
      </c>
      <c r="F6493" t="s">
        <v>42</v>
      </c>
      <c r="G6493">
        <v>-420.57130000000001</v>
      </c>
      <c r="H6493" s="1">
        <v>-4.75082E-6</v>
      </c>
      <c r="I6493">
        <v>109.39360000000001</v>
      </c>
      <c r="J6493">
        <v>-418.86360000000002</v>
      </c>
      <c r="K6493">
        <v>1.12401</v>
      </c>
      <c r="L6493">
        <v>125.9303</v>
      </c>
      <c r="M6493">
        <v>-0.322972599999999</v>
      </c>
      <c r="N6493">
        <v>-1.3792199999999999E-2</v>
      </c>
      <c r="O6493">
        <v>-0.94630800000000004</v>
      </c>
      <c r="P6493">
        <v>-0.117535</v>
      </c>
      <c r="Q6493">
        <v>-8.1798259999999998E-2</v>
      </c>
      <c r="R6493">
        <v>-0.98969439999999997</v>
      </c>
      <c r="S6493">
        <v>-0.31164550000000002</v>
      </c>
      <c r="T6493">
        <v>-0.20099330000000001</v>
      </c>
      <c r="U6493">
        <v>-2.9776609999999999</v>
      </c>
      <c r="V6493">
        <v>-0.2079676</v>
      </c>
      <c r="W6493">
        <v>-6.9772180000000003E-2</v>
      </c>
      <c r="X6493">
        <v>0.97564410000000001</v>
      </c>
      <c r="Y6493">
        <v>-0.2227229</v>
      </c>
      <c r="Z6493">
        <v>4.74254E-2</v>
      </c>
      <c r="AA6493">
        <v>0.97372749999999997</v>
      </c>
      <c r="AB6493">
        <v>19</v>
      </c>
      <c r="AC6493">
        <v>-1.70769999999998</v>
      </c>
      <c r="AD6493">
        <v>-1.12401475082</v>
      </c>
      <c r="AE6493">
        <v>-16.5366999999999</v>
      </c>
      <c r="AF6493">
        <v>-3.7082927843954701</v>
      </c>
      <c r="AG6493">
        <v>-1.12401475082</v>
      </c>
      <c r="AH6493">
        <v>16.128163371490501</v>
      </c>
      <c r="AI6493">
        <v>93.885587009609296</v>
      </c>
      <c r="AJ6493">
        <v>102.94876691347901</v>
      </c>
      <c r="AK6493">
        <v>16.5871184439115</v>
      </c>
      <c r="AL6493">
        <v>94.000901920574194</v>
      </c>
      <c r="AM6493">
        <v>102.03303672986399</v>
      </c>
      <c r="AN6493">
        <v>1.00000004480826</v>
      </c>
    </row>
    <row r="6494" spans="1:40" x14ac:dyDescent="0.25">
      <c r="A6494" t="str">
        <f>"20190303153938264"</f>
        <v>20190303153938264</v>
      </c>
      <c r="B6494" t="str">
        <f>"1551598778255290"</f>
        <v>1551598778255290</v>
      </c>
      <c r="C6494" t="s">
        <v>40</v>
      </c>
      <c r="D6494">
        <v>4.706626</v>
      </c>
      <c r="E6494">
        <v>0.4948282</v>
      </c>
      <c r="F6494" t="s">
        <v>42</v>
      </c>
      <c r="G6494">
        <v>-420.5822</v>
      </c>
      <c r="H6494" s="1">
        <v>-4.7390860000000001E-6</v>
      </c>
      <c r="I6494">
        <v>109.358</v>
      </c>
      <c r="J6494">
        <v>-418.90969999999999</v>
      </c>
      <c r="K6494">
        <v>1.12395</v>
      </c>
      <c r="L6494">
        <v>125.7766</v>
      </c>
      <c r="M6494">
        <v>-0.31822709999999998</v>
      </c>
      <c r="N6494">
        <v>-1.377396E-2</v>
      </c>
      <c r="O6494">
        <v>-0.9479147</v>
      </c>
      <c r="P6494">
        <v>-0.11961380000000001</v>
      </c>
      <c r="Q6494">
        <v>-8.2832349999999999E-2</v>
      </c>
      <c r="R6494">
        <v>-0.98935930000000005</v>
      </c>
      <c r="S6494">
        <v>-0.30880740000000001</v>
      </c>
      <c r="T6494">
        <v>-0.2019743</v>
      </c>
      <c r="U6494">
        <v>-2.977875</v>
      </c>
      <c r="V6494">
        <v>-0.2010072</v>
      </c>
      <c r="W6494">
        <v>-7.0729940000000005E-2</v>
      </c>
      <c r="X6494">
        <v>0.97703300000000004</v>
      </c>
      <c r="Y6494">
        <v>-0.2187665</v>
      </c>
      <c r="Z6494">
        <v>4.7923750000000001E-2</v>
      </c>
      <c r="AA6494">
        <v>0.97459969999999996</v>
      </c>
      <c r="AB6494">
        <v>19</v>
      </c>
      <c r="AC6494">
        <v>-1.6725000000000101</v>
      </c>
      <c r="AD6494">
        <v>-1.1239547390860001</v>
      </c>
      <c r="AE6494">
        <v>-16.418600000000001</v>
      </c>
      <c r="AF6494">
        <v>-3.62299663561565</v>
      </c>
      <c r="AG6494">
        <v>-1.1239547390860001</v>
      </c>
      <c r="AH6494">
        <v>16.022874232089801</v>
      </c>
      <c r="AI6494">
        <v>93.914055795119793</v>
      </c>
      <c r="AJ6494">
        <v>102.74112244660699</v>
      </c>
      <c r="AK6494">
        <v>16.465778983533198</v>
      </c>
      <c r="AL6494">
        <v>94.055913415609197</v>
      </c>
      <c r="AM6494">
        <v>101.625383355163</v>
      </c>
      <c r="AN6494">
        <v>1.00000005097662</v>
      </c>
    </row>
    <row r="6495" spans="1:40" x14ac:dyDescent="0.25">
      <c r="A6495" t="str">
        <f>"20190303153938285"</f>
        <v>20190303153938285</v>
      </c>
      <c r="B6495" t="str">
        <f>"1551598778274807"</f>
        <v>1551598778274807</v>
      </c>
      <c r="C6495" t="s">
        <v>40</v>
      </c>
      <c r="D6495">
        <v>4.6636069999999998</v>
      </c>
      <c r="E6495">
        <v>0.49514069999999999</v>
      </c>
      <c r="F6495" t="s">
        <v>42</v>
      </c>
      <c r="G6495">
        <v>-420.6413</v>
      </c>
      <c r="H6495" s="1">
        <v>-4.8180100000000001E-6</v>
      </c>
      <c r="I6495">
        <v>109.53619999999999</v>
      </c>
      <c r="J6495">
        <v>-418.96030000000002</v>
      </c>
      <c r="K6495">
        <v>1.1238779999999999</v>
      </c>
      <c r="L6495">
        <v>125.60509999999999</v>
      </c>
      <c r="M6495">
        <v>-0.31303199999999998</v>
      </c>
      <c r="N6495">
        <v>-1.375437E-2</v>
      </c>
      <c r="O6495">
        <v>-0.94964329999999997</v>
      </c>
      <c r="P6495">
        <v>-0.1185032</v>
      </c>
      <c r="Q6495">
        <v>-8.2767259999999995E-2</v>
      </c>
      <c r="R6495">
        <v>-0.9894984</v>
      </c>
      <c r="S6495">
        <v>-0.31738280000000002</v>
      </c>
      <c r="T6495">
        <v>-0.206008</v>
      </c>
      <c r="U6495">
        <v>-2.9766689999999998</v>
      </c>
      <c r="V6495">
        <v>-0.19677069999999999</v>
      </c>
      <c r="W6495">
        <v>-7.0609259999999993E-2</v>
      </c>
      <c r="X6495">
        <v>0.97790370000000004</v>
      </c>
      <c r="Y6495">
        <v>-0.21060989999999999</v>
      </c>
      <c r="Z6495">
        <v>4.9423120000000001E-2</v>
      </c>
      <c r="AA6495">
        <v>0.97631999999999997</v>
      </c>
      <c r="AB6495">
        <v>19</v>
      </c>
      <c r="AC6495">
        <v>-1.6809999999999801</v>
      </c>
      <c r="AD6495">
        <v>-1.12388281801</v>
      </c>
      <c r="AE6495">
        <v>-16.068899999999999</v>
      </c>
      <c r="AF6495">
        <v>-3.41751643791034</v>
      </c>
      <c r="AG6495">
        <v>-1.12388281801</v>
      </c>
      <c r="AH6495">
        <v>15.711393410657299</v>
      </c>
      <c r="AI6495">
        <v>93.998385452542607</v>
      </c>
      <c r="AJ6495">
        <v>102.27172447477101</v>
      </c>
      <c r="AK6495">
        <v>16.118015203381901</v>
      </c>
      <c r="AL6495">
        <v>94.048981791509306</v>
      </c>
      <c r="AM6495">
        <v>101.376955456798</v>
      </c>
      <c r="AN6495">
        <v>1.0000000112249601</v>
      </c>
    </row>
    <row r="6496" spans="1:40" x14ac:dyDescent="0.25">
      <c r="A6496" t="str">
        <f>"20190303153938308"</f>
        <v>20190303153938308</v>
      </c>
      <c r="B6496" t="str">
        <f>"1551598778305063"</f>
        <v>1551598778305063</v>
      </c>
      <c r="C6496" t="s">
        <v>40</v>
      </c>
      <c r="D6496">
        <v>4.7039299999999997</v>
      </c>
      <c r="E6496">
        <v>0.49571270000000001</v>
      </c>
      <c r="F6496" t="s">
        <v>42</v>
      </c>
      <c r="G6496">
        <v>-420.67070000000001</v>
      </c>
      <c r="H6496" s="1">
        <v>-4.8180810000000002E-6</v>
      </c>
      <c r="I6496">
        <v>109.52290000000001</v>
      </c>
      <c r="J6496">
        <v>-419.01240000000001</v>
      </c>
      <c r="K6496">
        <v>1.1237839999999999</v>
      </c>
      <c r="L6496">
        <v>125.4258</v>
      </c>
      <c r="M6496">
        <v>-0.30772519999999998</v>
      </c>
      <c r="N6496">
        <v>-1.373457E-2</v>
      </c>
      <c r="O6496">
        <v>-0.95137640000000001</v>
      </c>
      <c r="P6496">
        <v>-0.1161348</v>
      </c>
      <c r="Q6496">
        <v>-8.2758289999999998E-2</v>
      </c>
      <c r="R6496">
        <v>-0.98977979999999999</v>
      </c>
      <c r="S6496">
        <v>-0.31655879999999997</v>
      </c>
      <c r="T6496">
        <v>-0.20801030000000001</v>
      </c>
      <c r="U6496">
        <v>-2.9765320000000002</v>
      </c>
      <c r="V6496">
        <v>-0.1936687</v>
      </c>
      <c r="W6496">
        <v>-7.0549340000000002E-2</v>
      </c>
      <c r="X6496">
        <v>0.97852709999999998</v>
      </c>
      <c r="Y6496">
        <v>-0.20541870000000001</v>
      </c>
      <c r="Z6496">
        <v>5.0268340000000002E-2</v>
      </c>
      <c r="AA6496">
        <v>0.97738239999999998</v>
      </c>
      <c r="AB6496">
        <v>19</v>
      </c>
      <c r="AC6496">
        <v>-1.6582999999999899</v>
      </c>
      <c r="AD6496">
        <v>-1.1237888180810001</v>
      </c>
      <c r="AE6496">
        <v>-15.902899999999899</v>
      </c>
      <c r="AF6496">
        <v>-3.3000655364663101</v>
      </c>
      <c r="AG6496">
        <v>-1.1237888180810001</v>
      </c>
      <c r="AH6496">
        <v>15.564528438623199</v>
      </c>
      <c r="AI6496">
        <v>94.040192218914697</v>
      </c>
      <c r="AJ6496">
        <v>101.970844449689</v>
      </c>
      <c r="AK6496">
        <v>15.950168631375799</v>
      </c>
      <c r="AL6496">
        <v>94.045539968891703</v>
      </c>
      <c r="AM6496">
        <v>101.19521725101001</v>
      </c>
      <c r="AN6496">
        <v>1.00000003008426</v>
      </c>
    </row>
    <row r="6497" spans="1:40" x14ac:dyDescent="0.25">
      <c r="A6497" t="str">
        <f>"20190303153938332"</f>
        <v>20190303153938332</v>
      </c>
      <c r="B6497" t="str">
        <f>"1551598778325558"</f>
        <v>1551598778325558</v>
      </c>
      <c r="C6497" t="s">
        <v>40</v>
      </c>
      <c r="D6497">
        <v>4.7211550000000004</v>
      </c>
      <c r="E6497">
        <v>0.49600880000000003</v>
      </c>
      <c r="F6497" t="s">
        <v>42</v>
      </c>
      <c r="G6497">
        <v>-420.6814</v>
      </c>
      <c r="H6497" s="1">
        <v>-4.8538050000000004E-6</v>
      </c>
      <c r="I6497">
        <v>109.611</v>
      </c>
      <c r="J6497">
        <v>-419.06459999999998</v>
      </c>
      <c r="K6497">
        <v>1.1236919999999999</v>
      </c>
      <c r="L6497">
        <v>125.2428</v>
      </c>
      <c r="M6497">
        <v>-0.30247400000000002</v>
      </c>
      <c r="N6497">
        <v>-1.3714519999999999E-2</v>
      </c>
      <c r="O6497">
        <v>-0.95305899999999999</v>
      </c>
      <c r="P6497">
        <v>-0.11203339999999901</v>
      </c>
      <c r="Q6497">
        <v>-8.2134780000000004E-2</v>
      </c>
      <c r="R6497">
        <v>-0.99030430000000003</v>
      </c>
      <c r="S6497">
        <v>-0.31411739999999999</v>
      </c>
      <c r="T6497">
        <v>-0.211504</v>
      </c>
      <c r="U6497">
        <v>-2.9764400000000002</v>
      </c>
      <c r="V6497">
        <v>-0.19236400000000001</v>
      </c>
      <c r="W6497">
        <v>-6.9886599999999993E-2</v>
      </c>
      <c r="X6497">
        <v>0.97883189999999998</v>
      </c>
      <c r="Y6497">
        <v>-0.20081750000000001</v>
      </c>
      <c r="Z6497">
        <v>5.1563909999999998E-2</v>
      </c>
      <c r="AA6497">
        <v>0.97827059999999999</v>
      </c>
      <c r="AB6497">
        <v>19</v>
      </c>
      <c r="AC6497">
        <v>-1.61680000000001</v>
      </c>
      <c r="AD6497">
        <v>-1.1236968538049901</v>
      </c>
      <c r="AE6497">
        <v>-15.631799999999901</v>
      </c>
      <c r="AF6497">
        <v>-3.1713922632431002</v>
      </c>
      <c r="AG6497">
        <v>-1.1236968538049901</v>
      </c>
      <c r="AH6497">
        <v>15.3102361799804</v>
      </c>
      <c r="AI6497">
        <v>94.110748224113294</v>
      </c>
      <c r="AJ6497">
        <v>101.70285195163</v>
      </c>
      <c r="AK6497">
        <v>15.675578311290201</v>
      </c>
      <c r="AL6497">
        <v>94.007474058234806</v>
      </c>
      <c r="AM6497">
        <v>101.11830720437401</v>
      </c>
      <c r="AN6497">
        <v>0.99999996690658399</v>
      </c>
    </row>
    <row r="6498" spans="1:40" x14ac:dyDescent="0.25">
      <c r="A6498" t="str">
        <f>"20190303153938352"</f>
        <v>20190303153938352</v>
      </c>
      <c r="B6498" t="str">
        <f>"1551598778345079"</f>
        <v>1551598778345079</v>
      </c>
      <c r="C6498" t="s">
        <v>40</v>
      </c>
      <c r="D6498">
        <v>4.7730069999999998</v>
      </c>
      <c r="E6498">
        <v>0.49609449999999999</v>
      </c>
      <c r="F6498" t="s">
        <v>42</v>
      </c>
      <c r="G6498">
        <v>-420.68299999999999</v>
      </c>
      <c r="H6498" s="1">
        <v>-4.7676150000000001E-6</v>
      </c>
      <c r="I6498">
        <v>109.3857</v>
      </c>
      <c r="J6498">
        <v>-419.11270000000002</v>
      </c>
      <c r="K6498">
        <v>1.123613</v>
      </c>
      <c r="L6498">
        <v>125.07129999999999</v>
      </c>
      <c r="M6498">
        <v>-0.2976897</v>
      </c>
      <c r="N6498">
        <v>-1.3696059999999999E-2</v>
      </c>
      <c r="O6498">
        <v>-0.95456450000000004</v>
      </c>
      <c r="P6498">
        <v>-0.1084272</v>
      </c>
      <c r="Q6498">
        <v>-8.2005519999999998E-2</v>
      </c>
      <c r="R6498">
        <v>-0.99071629999999999</v>
      </c>
      <c r="S6498">
        <v>-0.303894</v>
      </c>
      <c r="T6498">
        <v>-0.21099599999999999</v>
      </c>
      <c r="U6498">
        <v>-2.9774780000000001</v>
      </c>
      <c r="V6498">
        <v>-0.19103819999999999</v>
      </c>
      <c r="W6498">
        <v>-6.9721920000000007E-2</v>
      </c>
      <c r="X6498">
        <v>0.97910330000000001</v>
      </c>
      <c r="Y6498">
        <v>-0.19926350000000001</v>
      </c>
      <c r="Z6498">
        <v>5.1572939999999998E-2</v>
      </c>
      <c r="AA6498">
        <v>0.97858789999999996</v>
      </c>
      <c r="AB6498">
        <v>19</v>
      </c>
      <c r="AC6498">
        <v>-1.57030000000003</v>
      </c>
      <c r="AD6498">
        <v>-1.1236177676150001</v>
      </c>
      <c r="AE6498">
        <v>-15.6855999999999</v>
      </c>
      <c r="AF6498">
        <v>-3.15475847228416</v>
      </c>
      <c r="AG6498">
        <v>-1.1236177676150001</v>
      </c>
      <c r="AH6498">
        <v>15.363771271184</v>
      </c>
      <c r="AI6498">
        <v>94.097643310334206</v>
      </c>
      <c r="AJ6498">
        <v>101.60368275899999</v>
      </c>
      <c r="AK6498">
        <v>15.7245186120086</v>
      </c>
      <c r="AL6498">
        <v>93.998015360123802</v>
      </c>
      <c r="AM6498">
        <v>101.040582421491</v>
      </c>
      <c r="AN6498">
        <v>1.0000000060292999</v>
      </c>
    </row>
    <row r="6499" spans="1:40" x14ac:dyDescent="0.25">
      <c r="A6499" t="str">
        <f>"20190303153938375"</f>
        <v>20190303153938375</v>
      </c>
      <c r="B6499" t="str">
        <f>"1551598778365575"</f>
        <v>1551598778365575</v>
      </c>
      <c r="C6499" t="s">
        <v>40</v>
      </c>
      <c r="D6499">
        <v>4.7510830000000004</v>
      </c>
      <c r="E6499">
        <v>0.4963053</v>
      </c>
      <c r="F6499" t="s">
        <v>42</v>
      </c>
      <c r="G6499">
        <v>-420.64530000000002</v>
      </c>
      <c r="H6499" s="1">
        <v>-4.8208020000000001E-6</v>
      </c>
      <c r="I6499">
        <v>109.54170000000001</v>
      </c>
      <c r="J6499">
        <v>-419.16090000000003</v>
      </c>
      <c r="K6499">
        <v>1.1235360000000001</v>
      </c>
      <c r="L6499">
        <v>124.8967</v>
      </c>
      <c r="M6499">
        <v>-0.29293930000000001</v>
      </c>
      <c r="N6499">
        <v>-1.3678799999999901E-2</v>
      </c>
      <c r="O6499">
        <v>-0.95603329999999997</v>
      </c>
      <c r="P6499">
        <v>-0.1049509</v>
      </c>
      <c r="Q6499">
        <v>-8.2204760000000002E-2</v>
      </c>
      <c r="R6499">
        <v>-0.99107440000000002</v>
      </c>
      <c r="S6499">
        <v>-0.29391479999999998</v>
      </c>
      <c r="T6499">
        <v>-0.21547459999999999</v>
      </c>
      <c r="U6499">
        <v>-2.9780880000000001</v>
      </c>
      <c r="V6499">
        <v>-0.18961169999999999</v>
      </c>
      <c r="W6499">
        <v>-6.9893170000000004E-2</v>
      </c>
      <c r="X6499">
        <v>0.97936829999999997</v>
      </c>
      <c r="Y6499">
        <v>-0.19766400000000001</v>
      </c>
      <c r="Z6499">
        <v>5.3120109999999998E-2</v>
      </c>
      <c r="AA6499">
        <v>0.97882950000000002</v>
      </c>
      <c r="AB6499">
        <v>19</v>
      </c>
      <c r="AC6499">
        <v>-1.4843999999999899</v>
      </c>
      <c r="AD6499">
        <v>-1.1235408208019999</v>
      </c>
      <c r="AE6499">
        <v>-15.354999999999899</v>
      </c>
      <c r="AF6499">
        <v>-3.0629874984247301</v>
      </c>
      <c r="AG6499">
        <v>-1.1235408208019999</v>
      </c>
      <c r="AH6499">
        <v>15.0363837034475</v>
      </c>
      <c r="AI6499">
        <v>94.187598850227005</v>
      </c>
      <c r="AJ6499">
        <v>101.51390599571501</v>
      </c>
      <c r="AK6499">
        <v>15.3862624203806</v>
      </c>
      <c r="AL6499">
        <v>94.007851443926697</v>
      </c>
      <c r="AM6499">
        <v>100.957251210698</v>
      </c>
      <c r="AN6499">
        <v>0.99999995951721299</v>
      </c>
    </row>
    <row r="6500" spans="1:40" x14ac:dyDescent="0.25">
      <c r="A6500" t="str">
        <f>"20190303153938397"</f>
        <v>20190303153938397</v>
      </c>
      <c r="B6500" t="str">
        <f>"1551598778385111"</f>
        <v>1551598778385111</v>
      </c>
      <c r="C6500" t="s">
        <v>40</v>
      </c>
      <c r="D6500">
        <v>4.7802160000000002</v>
      </c>
      <c r="E6500">
        <v>0.49648710000000001</v>
      </c>
      <c r="F6500" t="s">
        <v>42</v>
      </c>
      <c r="G6500">
        <v>-420.64260000000002</v>
      </c>
      <c r="H6500" s="1">
        <v>-4.7682859999999998E-6</v>
      </c>
      <c r="I6500">
        <v>109.4062</v>
      </c>
      <c r="J6500">
        <v>-419.20859999999999</v>
      </c>
      <c r="K6500">
        <v>1.123481</v>
      </c>
      <c r="L6500">
        <v>124.72069999999999</v>
      </c>
      <c r="M6500">
        <v>-0.288253599999999</v>
      </c>
      <c r="N6500">
        <v>-1.3663410000000001E-2</v>
      </c>
      <c r="O6500">
        <v>-0.95745670000000005</v>
      </c>
      <c r="P6500">
        <v>-0.101105</v>
      </c>
      <c r="Q6500">
        <v>-8.3527299999999999E-2</v>
      </c>
      <c r="R6500">
        <v>-0.99136349999999995</v>
      </c>
      <c r="S6500">
        <v>-0.28494259999999999</v>
      </c>
      <c r="T6500">
        <v>-0.21606210000000001</v>
      </c>
      <c r="U6500">
        <v>-2.9788969999999999</v>
      </c>
      <c r="V6500">
        <v>-0.18858449999999999</v>
      </c>
      <c r="W6500">
        <v>-7.1202020000000005E-2</v>
      </c>
      <c r="X6500">
        <v>0.97947240000000002</v>
      </c>
      <c r="Y6500">
        <v>-0.19581200000000001</v>
      </c>
      <c r="Z6500">
        <v>5.346397E-2</v>
      </c>
      <c r="AA6500">
        <v>0.97918300000000003</v>
      </c>
      <c r="AB6500">
        <v>19</v>
      </c>
      <c r="AC6500">
        <v>-1.4340000000000199</v>
      </c>
      <c r="AD6500">
        <v>-1.123485768286</v>
      </c>
      <c r="AE6500">
        <v>-15.314499999999899</v>
      </c>
      <c r="AF6500">
        <v>-3.0256087849459501</v>
      </c>
      <c r="AG6500">
        <v>-1.123485768286</v>
      </c>
      <c r="AH6500">
        <v>14.9977190415542</v>
      </c>
      <c r="AI6500">
        <v>94.199753707138697</v>
      </c>
      <c r="AJ6500">
        <v>101.40564656765</v>
      </c>
      <c r="AK6500">
        <v>15.3410594562593</v>
      </c>
      <c r="AL6500">
        <v>94.083030134182493</v>
      </c>
      <c r="AM6500">
        <v>100.89818630999299</v>
      </c>
      <c r="AN6500">
        <v>1.00000001182704</v>
      </c>
    </row>
    <row r="6501" spans="1:40" x14ac:dyDescent="0.25">
      <c r="A6501" t="str">
        <f>"20190303153938420"</f>
        <v>20190303153938420</v>
      </c>
      <c r="B6501" t="str">
        <f>"1551598778415354"</f>
        <v>1551598778415354</v>
      </c>
      <c r="C6501" t="s">
        <v>40</v>
      </c>
      <c r="D6501">
        <v>4.808541</v>
      </c>
      <c r="E6501">
        <v>0.49671949999999998</v>
      </c>
      <c r="F6501" t="s">
        <v>42</v>
      </c>
      <c r="G6501">
        <v>-420.61470000000003</v>
      </c>
      <c r="H6501" s="1">
        <v>-4.7956450000000001E-6</v>
      </c>
      <c r="I6501">
        <v>109.4903</v>
      </c>
      <c r="J6501">
        <v>-419.25659999999999</v>
      </c>
      <c r="K6501">
        <v>1.123451</v>
      </c>
      <c r="L6501">
        <v>124.541</v>
      </c>
      <c r="M6501">
        <v>-0.28354819999999997</v>
      </c>
      <c r="N6501">
        <v>-1.364979E-2</v>
      </c>
      <c r="O6501">
        <v>-0.95886090000000002</v>
      </c>
      <c r="P6501">
        <v>-9.750056E-2</v>
      </c>
      <c r="Q6501">
        <v>-8.4897059999999996E-2</v>
      </c>
      <c r="R6501">
        <v>-0.99160809999999999</v>
      </c>
      <c r="S6501">
        <v>-0.27508539999999998</v>
      </c>
      <c r="T6501">
        <v>-0.21978990000000001</v>
      </c>
      <c r="U6501">
        <v>-2.979568</v>
      </c>
      <c r="V6501">
        <v>-0.1872993</v>
      </c>
      <c r="W6501">
        <v>-7.2565560000000001E-2</v>
      </c>
      <c r="X6501">
        <v>0.97961889999999996</v>
      </c>
      <c r="Y6501">
        <v>-0.19423380000000001</v>
      </c>
      <c r="Z6501">
        <v>5.4776650000000003E-2</v>
      </c>
      <c r="AA6501">
        <v>0.97942470000000004</v>
      </c>
      <c r="AB6501">
        <v>19</v>
      </c>
      <c r="AC6501">
        <v>-1.3581000000000301</v>
      </c>
      <c r="AD6501">
        <v>-1.123455795645</v>
      </c>
      <c r="AE6501">
        <v>-15.0506999999999</v>
      </c>
      <c r="AF6501">
        <v>-2.94934545526278</v>
      </c>
      <c r="AG6501">
        <v>-1.123455795645</v>
      </c>
      <c r="AH6501">
        <v>14.736547615476701</v>
      </c>
      <c r="AI6501">
        <v>94.275113507127799</v>
      </c>
      <c r="AJ6501">
        <v>101.317543536809</v>
      </c>
      <c r="AK6501">
        <v>15.070720857426201</v>
      </c>
      <c r="AL6501">
        <v>94.161357955516493</v>
      </c>
      <c r="AM6501">
        <v>100.82409550579101</v>
      </c>
      <c r="AN6501">
        <v>0.99999998875790597</v>
      </c>
    </row>
    <row r="6502" spans="1:40" x14ac:dyDescent="0.25">
      <c r="A6502" t="str">
        <f>"20190303153938441"</f>
        <v>20190303153938441</v>
      </c>
      <c r="B6502" t="str">
        <f>"1551598778434871"</f>
        <v>1551598778434871</v>
      </c>
      <c r="C6502" t="s">
        <v>40</v>
      </c>
      <c r="D6502">
        <v>4.820322</v>
      </c>
      <c r="E6502">
        <v>0.49692449999999999</v>
      </c>
      <c r="F6502" t="s">
        <v>42</v>
      </c>
      <c r="G6502">
        <v>-420.58679999999998</v>
      </c>
      <c r="H6502" s="1">
        <v>-1.86188E-7</v>
      </c>
      <c r="I6502">
        <v>109.6592</v>
      </c>
      <c r="J6502">
        <v>-419.30220000000003</v>
      </c>
      <c r="K6502">
        <v>1.123451</v>
      </c>
      <c r="L6502">
        <v>124.36660000000001</v>
      </c>
      <c r="M6502">
        <v>-0.27902670000000002</v>
      </c>
      <c r="N6502">
        <v>-1.363846E-2</v>
      </c>
      <c r="O6502">
        <v>-0.9601866</v>
      </c>
      <c r="P6502">
        <v>-9.3809030000000002E-2</v>
      </c>
      <c r="Q6502">
        <v>-8.6281510000000006E-2</v>
      </c>
      <c r="R6502">
        <v>-0.99184450000000002</v>
      </c>
      <c r="S6502">
        <v>-0.26635740000000002</v>
      </c>
      <c r="T6502">
        <v>-0.22495950000000001</v>
      </c>
      <c r="U6502">
        <v>-2.9799349999999998</v>
      </c>
      <c r="V6502">
        <v>-0.18628980000000001</v>
      </c>
      <c r="W6502">
        <v>-7.3953409999999997E-2</v>
      </c>
      <c r="X6502">
        <v>0.97970760000000001</v>
      </c>
      <c r="Y6502">
        <v>-0.1924748</v>
      </c>
      <c r="Z6502">
        <v>5.6537940000000002E-2</v>
      </c>
      <c r="AA6502">
        <v>0.97967179999999998</v>
      </c>
      <c r="AB6502">
        <v>19</v>
      </c>
      <c r="AC6502">
        <v>-1.28459999999995</v>
      </c>
      <c r="AD6502">
        <v>-1.1234511861880001</v>
      </c>
      <c r="AE6502">
        <v>-14.7074</v>
      </c>
      <c r="AF6502">
        <v>-2.8540411775411898</v>
      </c>
      <c r="AG6502">
        <v>-1.1234511861880001</v>
      </c>
      <c r="AH6502">
        <v>14.398254546283701</v>
      </c>
      <c r="AI6502">
        <v>94.376756371997601</v>
      </c>
      <c r="AJ6502">
        <v>101.211908427255</v>
      </c>
      <c r="AK6502">
        <v>14.7213256057472</v>
      </c>
      <c r="AL6502">
        <v>94.241090156955096</v>
      </c>
      <c r="AM6502">
        <v>100.766171465722</v>
      </c>
      <c r="AN6502">
        <v>0.999999988966214</v>
      </c>
    </row>
    <row r="6503" spans="1:40" x14ac:dyDescent="0.25">
      <c r="A6503" t="str">
        <f>"20190303153938465"</f>
        <v>20190303153938465</v>
      </c>
      <c r="B6503" t="str">
        <f>"1551598778455367"</f>
        <v>1551598778455367</v>
      </c>
      <c r="C6503" t="s">
        <v>40</v>
      </c>
      <c r="D6503">
        <v>4.8363950000000004</v>
      </c>
      <c r="E6503">
        <v>0.4969732</v>
      </c>
      <c r="F6503" t="s">
        <v>42</v>
      </c>
      <c r="G6503">
        <v>-420.5652</v>
      </c>
      <c r="H6503" s="1">
        <v>-2.2121829999999999E-7</v>
      </c>
      <c r="I6503">
        <v>109.7542</v>
      </c>
      <c r="J6503">
        <v>-419.34829999999999</v>
      </c>
      <c r="K6503">
        <v>1.123461</v>
      </c>
      <c r="L6503">
        <v>124.18729999999999</v>
      </c>
      <c r="M6503">
        <v>-0.27439059999999998</v>
      </c>
      <c r="N6503">
        <v>-1.362878E-2</v>
      </c>
      <c r="O6503">
        <v>-0.96152179999999998</v>
      </c>
      <c r="P6503">
        <v>-9.0085520000000002E-2</v>
      </c>
      <c r="Q6503">
        <v>-8.7143499999999999E-2</v>
      </c>
      <c r="R6503">
        <v>-0.99211439999999995</v>
      </c>
      <c r="S6503">
        <v>-0.25759890000000002</v>
      </c>
      <c r="T6503">
        <v>-0.22914200000000001</v>
      </c>
      <c r="U6503">
        <v>-2.9803769999999998</v>
      </c>
      <c r="V6503">
        <v>-0.18521389999999999</v>
      </c>
      <c r="W6503">
        <v>-7.4822310000000003E-2</v>
      </c>
      <c r="X6503">
        <v>0.97984559999999998</v>
      </c>
      <c r="Y6503">
        <v>-0.19061620000000001</v>
      </c>
      <c r="Z6503">
        <v>5.7997899999999998E-2</v>
      </c>
      <c r="AA6503">
        <v>0.97994979999999998</v>
      </c>
      <c r="AB6503">
        <v>19</v>
      </c>
      <c r="AC6503">
        <v>-1.2169000000000001</v>
      </c>
      <c r="AD6503">
        <v>-1.1234612212182999</v>
      </c>
      <c r="AE6503">
        <v>-14.4330999999999</v>
      </c>
      <c r="AF6503">
        <v>-2.7738024119125702</v>
      </c>
      <c r="AG6503">
        <v>-1.1234612212182999</v>
      </c>
      <c r="AH6503">
        <v>14.1279690693557</v>
      </c>
      <c r="AI6503">
        <v>94.461786268820802</v>
      </c>
      <c r="AJ6503">
        <v>101.107829967828</v>
      </c>
      <c r="AK6503">
        <v>14.4414561232787</v>
      </c>
      <c r="AL6503">
        <v>94.291012802508405</v>
      </c>
      <c r="AM6503">
        <v>100.703960619713</v>
      </c>
      <c r="AN6503">
        <v>0.99999998333315199</v>
      </c>
    </row>
    <row r="6504" spans="1:40" x14ac:dyDescent="0.25">
      <c r="A6504" t="str">
        <f>"20190303153938487"</f>
        <v>20190303153938487</v>
      </c>
      <c r="B6504" t="str">
        <f>"1551598778474887"</f>
        <v>1551598778474887</v>
      </c>
      <c r="C6504" t="s">
        <v>40</v>
      </c>
      <c r="D6504">
        <v>4.7888769999999896</v>
      </c>
      <c r="E6504">
        <v>0.47461520000000001</v>
      </c>
      <c r="F6504" t="s">
        <v>42</v>
      </c>
      <c r="G6504">
        <v>-420.53919999999999</v>
      </c>
      <c r="H6504" s="1">
        <v>-2.2197039999999999E-7</v>
      </c>
      <c r="I6504">
        <v>109.77209999999999</v>
      </c>
      <c r="J6504">
        <v>-419.39299999999997</v>
      </c>
      <c r="K6504">
        <v>1.123478</v>
      </c>
      <c r="L6504">
        <v>124.0099</v>
      </c>
      <c r="M6504">
        <v>-0.26979049999999999</v>
      </c>
      <c r="N6504">
        <v>-1.362124E-2</v>
      </c>
      <c r="O6504">
        <v>-0.96282290000000004</v>
      </c>
      <c r="P6504">
        <v>-8.5939790000000002E-2</v>
      </c>
      <c r="Q6504">
        <v>-8.7683800000000006E-2</v>
      </c>
      <c r="R6504">
        <v>-0.9924347</v>
      </c>
      <c r="S6504">
        <v>-0.24627689999999999</v>
      </c>
      <c r="T6504">
        <v>-0.2323335</v>
      </c>
      <c r="U6504">
        <v>-2.9810789999999998</v>
      </c>
      <c r="V6504">
        <v>-0.1846044</v>
      </c>
      <c r="W6504">
        <v>-7.5374079999999996E-2</v>
      </c>
      <c r="X6504">
        <v>0.97991839999999997</v>
      </c>
      <c r="Y6504">
        <v>-0.1896427</v>
      </c>
      <c r="Z6504">
        <v>5.9137090000000003E-2</v>
      </c>
      <c r="AA6504">
        <v>0.98007069999999996</v>
      </c>
      <c r="AB6504">
        <v>18</v>
      </c>
      <c r="AC6504">
        <v>-1.1461999999999599</v>
      </c>
      <c r="AD6504">
        <v>-1.12347822197039</v>
      </c>
      <c r="AE6504">
        <v>-14.2378</v>
      </c>
      <c r="AF6504">
        <v>-2.7210555057669299</v>
      </c>
      <c r="AG6504">
        <v>-1.12347822197039</v>
      </c>
      <c r="AH6504">
        <v>13.9328176377046</v>
      </c>
      <c r="AI6504">
        <v>94.524971424037204</v>
      </c>
      <c r="AJ6504">
        <v>101.05067295170601</v>
      </c>
      <c r="AK6504">
        <v>14.2404267389091</v>
      </c>
      <c r="AL6504">
        <v>94.3227161180926</v>
      </c>
      <c r="AM6504">
        <v>100.668771657642</v>
      </c>
      <c r="AN6504">
        <v>1.00000005354688</v>
      </c>
    </row>
    <row r="6505" spans="1:40" x14ac:dyDescent="0.25">
      <c r="A6505" t="str">
        <f>"20190303153938511"</f>
        <v>20190303153938511</v>
      </c>
      <c r="B6505" t="str">
        <f>"1551598778505144"</f>
        <v>1551598778505144</v>
      </c>
      <c r="C6505" t="s">
        <v>40</v>
      </c>
      <c r="D6505">
        <v>4.8569430000000002</v>
      </c>
      <c r="E6505">
        <v>0.47254390000000002</v>
      </c>
      <c r="F6505" t="s">
        <v>42</v>
      </c>
      <c r="G6505">
        <v>-419.71879999999999</v>
      </c>
      <c r="H6505" s="1">
        <v>-3.3694089999999999E-6</v>
      </c>
      <c r="I6505">
        <v>106.6536</v>
      </c>
      <c r="J6505">
        <v>-419.43759999999997</v>
      </c>
      <c r="K6505">
        <v>1.1234919999999999</v>
      </c>
      <c r="L6505">
        <v>123.8291</v>
      </c>
      <c r="M6505">
        <v>-0.26506679999999999</v>
      </c>
      <c r="N6505">
        <v>-1.361528E-2</v>
      </c>
      <c r="O6505">
        <v>-0.96413400000000005</v>
      </c>
      <c r="P6505">
        <v>-8.0849799999999999E-2</v>
      </c>
      <c r="Q6505">
        <v>-8.8570250000000003E-2</v>
      </c>
      <c r="R6505">
        <v>-0.99278379999999999</v>
      </c>
      <c r="S6505">
        <v>-5.6335450000000002E-2</v>
      </c>
      <c r="T6505">
        <v>-0.19424340000000001</v>
      </c>
      <c r="U6505">
        <v>-3.0008089999999998</v>
      </c>
      <c r="V6505">
        <v>-0.1847945</v>
      </c>
      <c r="W6505">
        <v>-7.6278330000000005E-2</v>
      </c>
      <c r="X6505">
        <v>0.97981260000000003</v>
      </c>
      <c r="Y6505">
        <v>-0.24682490000000001</v>
      </c>
      <c r="Z6505">
        <v>4.6571300000000003E-2</v>
      </c>
      <c r="AA6505">
        <v>0.96794040000000003</v>
      </c>
      <c r="AB6505">
        <v>18</v>
      </c>
      <c r="AC6505">
        <v>-0.281200000000012</v>
      </c>
      <c r="AD6505">
        <v>-1.123495369409</v>
      </c>
      <c r="AE6505">
        <v>-17.1755</v>
      </c>
      <c r="AF6505">
        <v>-4.2636982154563396</v>
      </c>
      <c r="AG6505">
        <v>-1.123495369409</v>
      </c>
      <c r="AH6505">
        <v>16.564702653450301</v>
      </c>
      <c r="AI6505">
        <v>93.757999675175995</v>
      </c>
      <c r="AJ6505">
        <v>104.43440923035899</v>
      </c>
      <c r="AK6505">
        <v>17.141491717898699</v>
      </c>
      <c r="AL6505">
        <v>94.374675381375596</v>
      </c>
      <c r="AM6505">
        <v>100.680632104361</v>
      </c>
      <c r="AN6505">
        <v>1.00000006098829</v>
      </c>
    </row>
    <row r="6506" spans="1:40" x14ac:dyDescent="0.25">
      <c r="A6506" t="str">
        <f>"20190303153938533"</f>
        <v>20190303153938533</v>
      </c>
      <c r="B6506" t="str">
        <f>"1551598778524663"</f>
        <v>1551598778524663</v>
      </c>
      <c r="C6506" t="s">
        <v>40</v>
      </c>
      <c r="D6506">
        <v>4.7881879999999999</v>
      </c>
      <c r="E6506">
        <v>0.47326319999999999</v>
      </c>
      <c r="F6506" t="s">
        <v>42</v>
      </c>
      <c r="G6506">
        <v>-419.59550000000002</v>
      </c>
      <c r="H6506" s="1">
        <v>-2.3027840000000002E-6</v>
      </c>
      <c r="I6506">
        <v>104.3509</v>
      </c>
      <c r="J6506">
        <v>-419.48129999999998</v>
      </c>
      <c r="K6506">
        <v>1.123499</v>
      </c>
      <c r="L6506">
        <v>123.64790000000001</v>
      </c>
      <c r="M6506">
        <v>-0.26029849999999999</v>
      </c>
      <c r="N6506">
        <v>-1.361073E-2</v>
      </c>
      <c r="O6506">
        <v>-0.96543219999999996</v>
      </c>
      <c r="P6506">
        <v>-7.6528120000000005E-2</v>
      </c>
      <c r="Q6506">
        <v>-8.9936669999999996E-2</v>
      </c>
      <c r="R6506">
        <v>-0.99300279999999996</v>
      </c>
      <c r="S6506">
        <v>-2.4353030000000001E-2</v>
      </c>
      <c r="T6506">
        <v>-0.173291</v>
      </c>
      <c r="U6506">
        <v>-3.0043639999999998</v>
      </c>
      <c r="V6506">
        <v>-0.18417349999999999</v>
      </c>
      <c r="W6506">
        <v>-7.7654529999999999E-2</v>
      </c>
      <c r="X6506">
        <v>0.97982139999999995</v>
      </c>
      <c r="Y6506">
        <v>-0.25236350000000002</v>
      </c>
      <c r="Z6506">
        <v>4.00972E-2</v>
      </c>
      <c r="AA6506">
        <v>0.96680129999999997</v>
      </c>
      <c r="AB6506">
        <v>18</v>
      </c>
      <c r="AC6506">
        <v>-0.11420000000003901</v>
      </c>
      <c r="AD6506">
        <v>-1.123501302784</v>
      </c>
      <c r="AE6506">
        <v>-19.297000000000001</v>
      </c>
      <c r="AF6506">
        <v>-4.8965855518495296</v>
      </c>
      <c r="AG6506">
        <v>-1.123501302784</v>
      </c>
      <c r="AH6506">
        <v>18.5983592875337</v>
      </c>
      <c r="AI6506">
        <v>93.343298219113706</v>
      </c>
      <c r="AJ6506">
        <v>104.750133062788</v>
      </c>
      <c r="AK6506">
        <v>19.2649363723873</v>
      </c>
      <c r="AL6506">
        <v>94.453760519442895</v>
      </c>
      <c r="AM6506">
        <v>100.645468212312</v>
      </c>
      <c r="AN6506">
        <v>1.0000000400148601</v>
      </c>
    </row>
    <row r="6507" spans="1:40" x14ac:dyDescent="0.25">
      <c r="A6507" t="str">
        <f>"20190303153938554"</f>
        <v>20190303153938554</v>
      </c>
      <c r="B6507" t="str">
        <f>"1551598778545160"</f>
        <v>1551598778545160</v>
      </c>
      <c r="C6507" t="s">
        <v>40</v>
      </c>
      <c r="D6507">
        <v>4.7755679999999998</v>
      </c>
      <c r="E6507">
        <v>0.47390330000000003</v>
      </c>
      <c r="F6507" t="s">
        <v>42</v>
      </c>
      <c r="G6507">
        <v>-419.59230000000002</v>
      </c>
      <c r="H6507" s="1">
        <v>-2.0941009999999998E-6</v>
      </c>
      <c r="I6507">
        <v>103.9083</v>
      </c>
      <c r="J6507">
        <v>-419.52179999999998</v>
      </c>
      <c r="K6507">
        <v>1.123513</v>
      </c>
      <c r="L6507">
        <v>123.476</v>
      </c>
      <c r="M6507">
        <v>-0.25574849999999999</v>
      </c>
      <c r="N6507">
        <v>-1.3607050000000001E-2</v>
      </c>
      <c r="O6507">
        <v>-0.9666477</v>
      </c>
      <c r="P6507">
        <v>-7.2746630000000007E-2</v>
      </c>
      <c r="Q6507">
        <v>-9.0317120000000001E-2</v>
      </c>
      <c r="R6507">
        <v>-0.99325300000000005</v>
      </c>
      <c r="S6507">
        <v>-1.690674E-2</v>
      </c>
      <c r="T6507">
        <v>-0.17099690000000001</v>
      </c>
      <c r="U6507">
        <v>-3.0043639999999998</v>
      </c>
      <c r="V6507">
        <v>-0.18327689999999999</v>
      </c>
      <c r="W6507">
        <v>-7.8038529999999995E-2</v>
      </c>
      <c r="X6507">
        <v>0.97995900000000002</v>
      </c>
      <c r="Y6507">
        <v>-0.25020409999999998</v>
      </c>
      <c r="Z6507">
        <v>3.9506949999999999E-2</v>
      </c>
      <c r="AA6507">
        <v>0.96738670000000004</v>
      </c>
      <c r="AB6507">
        <v>18</v>
      </c>
      <c r="AC6507">
        <v>-7.0500000000038199E-2</v>
      </c>
      <c r="AD6507">
        <v>-1.1235150941009999</v>
      </c>
      <c r="AE6507">
        <v>-19.567699999999999</v>
      </c>
      <c r="AF6507">
        <v>-4.9204966054627901</v>
      </c>
      <c r="AG6507">
        <v>-1.1235150941009999</v>
      </c>
      <c r="AH6507">
        <v>18.872636902530399</v>
      </c>
      <c r="AI6507">
        <v>93.296921479953994</v>
      </c>
      <c r="AJ6507">
        <v>104.612914822017</v>
      </c>
      <c r="AK6507">
        <v>19.535864369558801</v>
      </c>
      <c r="AL6507">
        <v>94.475829077472298</v>
      </c>
      <c r="AM6507">
        <v>100.593365663179</v>
      </c>
      <c r="AN6507">
        <v>1.0000000379595799</v>
      </c>
    </row>
    <row r="6508" spans="1:40" x14ac:dyDescent="0.25">
      <c r="A6508" t="str">
        <f>"20190303153938576"</f>
        <v>20190303153938576</v>
      </c>
      <c r="B6508" t="str">
        <f>"1551598778564679"</f>
        <v>1551598778564679</v>
      </c>
      <c r="C6508" t="s">
        <v>40</v>
      </c>
      <c r="D6508">
        <v>4.8645449999999997</v>
      </c>
      <c r="E6508">
        <v>0.47466390000000003</v>
      </c>
      <c r="F6508" t="s">
        <v>42</v>
      </c>
      <c r="G6508">
        <v>-419.59500000000003</v>
      </c>
      <c r="H6508" s="1">
        <v>-1.776814E-6</v>
      </c>
      <c r="I6508">
        <v>103.2381</v>
      </c>
      <c r="J6508">
        <v>-419.5616</v>
      </c>
      <c r="K6508">
        <v>1.123524</v>
      </c>
      <c r="L6508">
        <v>123.3038</v>
      </c>
      <c r="M6508">
        <v>-0.25116569999999999</v>
      </c>
      <c r="N6508">
        <v>-1.360373E-2</v>
      </c>
      <c r="O6508">
        <v>-0.9678485</v>
      </c>
      <c r="P6508">
        <v>-6.9125350000000002E-2</v>
      </c>
      <c r="Q6508">
        <v>-9.0137159999999994E-2</v>
      </c>
      <c r="R6508">
        <v>-0.99352739999999995</v>
      </c>
      <c r="S6508">
        <v>-1.0864260000000001E-2</v>
      </c>
      <c r="T6508">
        <v>-0.166791299999999</v>
      </c>
      <c r="U6508">
        <v>-3.0044249999999999</v>
      </c>
      <c r="V6508">
        <v>-0.18221029999999999</v>
      </c>
      <c r="W6508">
        <v>-7.785802E-2</v>
      </c>
      <c r="X6508">
        <v>0.98017220000000005</v>
      </c>
      <c r="Y6508">
        <v>-0.24756600000000001</v>
      </c>
      <c r="Z6508">
        <v>3.8321500000000001E-2</v>
      </c>
      <c r="AA6508">
        <v>0.96811290000000005</v>
      </c>
      <c r="AB6508">
        <v>18</v>
      </c>
      <c r="AC6508">
        <v>-3.3400000000028698E-2</v>
      </c>
      <c r="AD6508">
        <v>-1.1235257768139999</v>
      </c>
      <c r="AE6508">
        <v>-20.0657</v>
      </c>
      <c r="AF6508">
        <v>-4.9923013456843801</v>
      </c>
      <c r="AG6508">
        <v>-1.1235257768139999</v>
      </c>
      <c r="AH6508">
        <v>19.370017090452301</v>
      </c>
      <c r="AI6508">
        <v>93.214801144224893</v>
      </c>
      <c r="AJ6508">
        <v>104.45250841060199</v>
      </c>
      <c r="AK6508">
        <v>20.034543792702198</v>
      </c>
      <c r="AL6508">
        <v>94.465455208360197</v>
      </c>
      <c r="AM6508">
        <v>100.530860122441</v>
      </c>
      <c r="AN6508">
        <v>1.00000000317862</v>
      </c>
    </row>
    <row r="6509" spans="1:40" x14ac:dyDescent="0.25">
      <c r="A6509" t="str">
        <f>"20190303153938599"</f>
        <v>20190303153938599</v>
      </c>
      <c r="B6509" t="str">
        <f>"1551598778594936"</f>
        <v>1551598778594936</v>
      </c>
      <c r="C6509" t="s">
        <v>40</v>
      </c>
      <c r="D6509">
        <v>4.7206080000000004</v>
      </c>
      <c r="E6509">
        <v>0.47551130000000003</v>
      </c>
      <c r="F6509" t="s">
        <v>42</v>
      </c>
      <c r="G6509">
        <v>-419.60599999999999</v>
      </c>
      <c r="H6509" s="1">
        <v>-1.6129839999999901E-6</v>
      </c>
      <c r="I6509">
        <v>102.8956</v>
      </c>
      <c r="J6509">
        <v>-419.6019</v>
      </c>
      <c r="K6509">
        <v>1.123529</v>
      </c>
      <c r="L6509">
        <v>123.1251</v>
      </c>
      <c r="M6509">
        <v>-0.24639939999999999</v>
      </c>
      <c r="N6509">
        <v>-1.360049E-2</v>
      </c>
      <c r="O6509">
        <v>-0.96907290000000001</v>
      </c>
      <c r="P6509">
        <v>-6.476817E-2</v>
      </c>
      <c r="Q6509">
        <v>-8.9971889999999999E-2</v>
      </c>
      <c r="R6509">
        <v>-0.9938361</v>
      </c>
      <c r="S6509">
        <v>-6.5307619999999999E-3</v>
      </c>
      <c r="T6509">
        <v>-0.16538359999999999</v>
      </c>
      <c r="U6509">
        <v>-3.004089</v>
      </c>
      <c r="V6509">
        <v>-0.18168770000000001</v>
      </c>
      <c r="W6509">
        <v>-7.7694899999999997E-2</v>
      </c>
      <c r="X6509">
        <v>0.98028210000000005</v>
      </c>
      <c r="Y6509">
        <v>-0.2441952</v>
      </c>
      <c r="Z6509">
        <v>3.8015170000000001E-2</v>
      </c>
      <c r="AA6509">
        <v>0.96898070000000003</v>
      </c>
      <c r="AB6509">
        <v>18</v>
      </c>
      <c r="AC6509">
        <v>-4.0999999999939904E-3</v>
      </c>
      <c r="AD6509">
        <v>-1.1235306129839999</v>
      </c>
      <c r="AE6509">
        <v>-20.229500000000002</v>
      </c>
      <c r="AF6509">
        <v>-4.9657071113117803</v>
      </c>
      <c r="AG6509">
        <v>-1.1235306129839999</v>
      </c>
      <c r="AH6509">
        <v>19.546391771722799</v>
      </c>
      <c r="AI6509">
        <v>93.188682304498698</v>
      </c>
      <c r="AJ6509">
        <v>104.25428460473699</v>
      </c>
      <c r="AK6509">
        <v>20.198564291734201</v>
      </c>
      <c r="AL6509">
        <v>94.456080931390403</v>
      </c>
      <c r="AM6509">
        <v>100.50017810057</v>
      </c>
      <c r="AN6509">
        <v>0.999999956698854</v>
      </c>
    </row>
    <row r="6510" spans="1:40" x14ac:dyDescent="0.25">
      <c r="A6510" t="str">
        <f>"20190303153938621"</f>
        <v>20190303153938621</v>
      </c>
      <c r="B6510" t="str">
        <f>"1551598778615435"</f>
        <v>1551598778615435</v>
      </c>
      <c r="C6510" t="s">
        <v>40</v>
      </c>
      <c r="D6510">
        <v>4.7563979999999999</v>
      </c>
      <c r="E6510">
        <v>0.47575709999999999</v>
      </c>
      <c r="F6510" t="s">
        <v>42</v>
      </c>
      <c r="G6510">
        <v>-419.59829999999999</v>
      </c>
      <c r="H6510" s="1">
        <v>-1.408071E-6</v>
      </c>
      <c r="I6510">
        <v>102.4593</v>
      </c>
      <c r="J6510">
        <v>-419.64019999999999</v>
      </c>
      <c r="K6510">
        <v>1.123529</v>
      </c>
      <c r="L6510">
        <v>122.9515</v>
      </c>
      <c r="M6510">
        <v>-0.2417618</v>
      </c>
      <c r="N6510">
        <v>-1.35975E-2</v>
      </c>
      <c r="O6510">
        <v>-0.97024029999999994</v>
      </c>
      <c r="P6510">
        <v>-5.9902499999999997E-2</v>
      </c>
      <c r="Q6510">
        <v>-9.0672829999999996E-2</v>
      </c>
      <c r="R6510">
        <v>-0.99407749999999995</v>
      </c>
      <c r="S6510">
        <v>5.1879879999999995E-4</v>
      </c>
      <c r="T6510">
        <v>-0.1633087</v>
      </c>
      <c r="U6510">
        <v>-3.0038450000000001</v>
      </c>
      <c r="V6510">
        <v>-0.18177760000000001</v>
      </c>
      <c r="W6510">
        <v>-7.8401899999999899E-2</v>
      </c>
      <c r="X6510">
        <v>0.9802092</v>
      </c>
      <c r="Y6510">
        <v>-0.2418331</v>
      </c>
      <c r="Z6510">
        <v>3.7483320000000001E-2</v>
      </c>
      <c r="AA6510">
        <v>0.96959360000000006</v>
      </c>
      <c r="AB6510">
        <v>18</v>
      </c>
      <c r="AC6510">
        <v>4.1899999999998203E-2</v>
      </c>
      <c r="AD6510">
        <v>-1.123530408071</v>
      </c>
      <c r="AE6510">
        <v>-20.4922</v>
      </c>
      <c r="AF6510">
        <v>-4.9803752317507897</v>
      </c>
      <c r="AG6510">
        <v>-1.123530408071</v>
      </c>
      <c r="AH6510">
        <v>19.814504183594899</v>
      </c>
      <c r="AI6510">
        <v>93.147634476045297</v>
      </c>
      <c r="AJ6510">
        <v>104.109018581257</v>
      </c>
      <c r="AK6510">
        <v>20.4616967543896</v>
      </c>
      <c r="AL6510">
        <v>94.496712733669497</v>
      </c>
      <c r="AM6510">
        <v>100.506021909699</v>
      </c>
      <c r="AN6510">
        <v>1.0000000147749999</v>
      </c>
    </row>
    <row r="6511" spans="1:40" x14ac:dyDescent="0.25">
      <c r="A6511" t="str">
        <f>"20190303153938643"</f>
        <v>20190303153938643</v>
      </c>
      <c r="B6511" t="str">
        <f>"1551598778634951"</f>
        <v>1551598778634951</v>
      </c>
      <c r="C6511" t="s">
        <v>40</v>
      </c>
      <c r="D6511">
        <v>4.7681889999999996</v>
      </c>
      <c r="E6511">
        <v>0.47605839999999999</v>
      </c>
      <c r="F6511" t="s">
        <v>42</v>
      </c>
      <c r="G6511">
        <v>-419.5539</v>
      </c>
      <c r="H6511" s="1">
        <v>-1.5164579999999999E-6</v>
      </c>
      <c r="I6511">
        <v>102.67189999999999</v>
      </c>
      <c r="J6511">
        <v>-419.67880000000002</v>
      </c>
      <c r="K6511">
        <v>1.123516</v>
      </c>
      <c r="L6511">
        <v>122.7727</v>
      </c>
      <c r="M6511">
        <v>-0.2369878</v>
      </c>
      <c r="N6511">
        <v>-1.359436E-2</v>
      </c>
      <c r="O6511">
        <v>-0.97141750000000004</v>
      </c>
      <c r="P6511">
        <v>-5.516215E-2</v>
      </c>
      <c r="Q6511">
        <v>-9.1839030000000002E-2</v>
      </c>
      <c r="R6511">
        <v>-0.99424509999999999</v>
      </c>
      <c r="S6511">
        <v>1.2786870000000001E-2</v>
      </c>
      <c r="T6511">
        <v>-0.16639799999999999</v>
      </c>
      <c r="U6511">
        <v>-3.0034640000000001</v>
      </c>
      <c r="V6511">
        <v>-0.1815995</v>
      </c>
      <c r="W6511">
        <v>-7.9570710000000003E-2</v>
      </c>
      <c r="X6511">
        <v>0.98014800000000002</v>
      </c>
      <c r="Y6511">
        <v>-0.2410206</v>
      </c>
      <c r="Z6511">
        <v>3.8552780000000002E-2</v>
      </c>
      <c r="AA6511">
        <v>0.969754</v>
      </c>
      <c r="AB6511">
        <v>18</v>
      </c>
      <c r="AC6511">
        <v>0.124900000000025</v>
      </c>
      <c r="AD6511">
        <v>-1.123517516458</v>
      </c>
      <c r="AE6511">
        <v>-20.1008</v>
      </c>
      <c r="AF6511">
        <v>-4.8702111846964202</v>
      </c>
      <c r="AG6511">
        <v>-1.123517516458</v>
      </c>
      <c r="AH6511">
        <v>19.437746826723401</v>
      </c>
      <c r="AI6511">
        <v>93.209082846900003</v>
      </c>
      <c r="AJ6511">
        <v>104.066130812677</v>
      </c>
      <c r="AK6511">
        <v>20.070058552309401</v>
      </c>
      <c r="AL6511">
        <v>94.563890617489903</v>
      </c>
      <c r="AM6511">
        <v>100.496598090714</v>
      </c>
      <c r="AN6511">
        <v>0.99999998909707599</v>
      </c>
    </row>
    <row r="6512" spans="1:40" x14ac:dyDescent="0.25">
      <c r="A6512" t="str">
        <f>"20190303153938665"</f>
        <v>20190303153938665</v>
      </c>
      <c r="B6512" t="str">
        <f>"1551598778655447"</f>
        <v>1551598778655447</v>
      </c>
      <c r="C6512" t="s">
        <v>40</v>
      </c>
      <c r="D6512">
        <v>4.7711759999999996</v>
      </c>
      <c r="E6512">
        <v>0.47613060000000001</v>
      </c>
      <c r="F6512" t="s">
        <v>42</v>
      </c>
      <c r="G6512">
        <v>-419.51589999999999</v>
      </c>
      <c r="H6512" s="1">
        <v>-1.585842E-6</v>
      </c>
      <c r="I6512">
        <v>102.8044</v>
      </c>
      <c r="J6512">
        <v>-419.7149</v>
      </c>
      <c r="K6512">
        <v>1.1235040000000001</v>
      </c>
      <c r="L6512">
        <v>122.6011</v>
      </c>
      <c r="M6512">
        <v>-0.23241249999999999</v>
      </c>
      <c r="N6512">
        <v>-1.3591260000000001E-2</v>
      </c>
      <c r="O6512">
        <v>-0.97252240000000001</v>
      </c>
      <c r="P6512">
        <v>-5.1004840000000003E-2</v>
      </c>
      <c r="Q6512">
        <v>-9.2706990000000003E-2</v>
      </c>
      <c r="R6512">
        <v>-0.9943864</v>
      </c>
      <c r="S6512">
        <v>2.4505619999999999E-2</v>
      </c>
      <c r="T6512">
        <v>-0.16897139999999999</v>
      </c>
      <c r="U6512">
        <v>-3.0031279999999998</v>
      </c>
      <c r="V6512">
        <v>-0.1810611</v>
      </c>
      <c r="W6512">
        <v>-8.0436339999999995E-2</v>
      </c>
      <c r="X6512">
        <v>0.98017699999999996</v>
      </c>
      <c r="Y6512">
        <v>-0.24023530000000001</v>
      </c>
      <c r="Z6512">
        <v>3.9457640000000002E-2</v>
      </c>
      <c r="AA6512">
        <v>0.96991240000000001</v>
      </c>
      <c r="AB6512">
        <v>18</v>
      </c>
      <c r="AC6512">
        <v>0.199000000000012</v>
      </c>
      <c r="AD6512">
        <v>-1.123505585842</v>
      </c>
      <c r="AE6512">
        <v>-19.796700000000001</v>
      </c>
      <c r="AF6512">
        <v>-4.7795825566652796</v>
      </c>
      <c r="AG6512">
        <v>-1.123505585842</v>
      </c>
      <c r="AH6512">
        <v>19.146595938211401</v>
      </c>
      <c r="AI6512">
        <v>93.258449193417803</v>
      </c>
      <c r="AJ6512">
        <v>104.01633949597</v>
      </c>
      <c r="AK6512">
        <v>19.766102555600799</v>
      </c>
      <c r="AL6512">
        <v>94.613646824632298</v>
      </c>
      <c r="AM6512">
        <v>100.46586397469601</v>
      </c>
      <c r="AN6512">
        <v>1.0000000390274</v>
      </c>
    </row>
    <row r="6513" spans="1:40" x14ac:dyDescent="0.25">
      <c r="A6513" t="str">
        <f>"20190303153938687"</f>
        <v>20190303153938687</v>
      </c>
      <c r="B6513" t="str">
        <f>"1551598778684728"</f>
        <v>1551598778684728</v>
      </c>
      <c r="C6513" t="s">
        <v>40</v>
      </c>
      <c r="D6513">
        <v>4.7568890000000001</v>
      </c>
      <c r="E6513">
        <v>0.47625600000000001</v>
      </c>
      <c r="F6513" t="s">
        <v>42</v>
      </c>
      <c r="G6513">
        <v>-419.4751</v>
      </c>
      <c r="H6513" s="1">
        <v>-1.6664400000000001E-6</v>
      </c>
      <c r="I6513">
        <v>102.95959999999999</v>
      </c>
      <c r="J6513">
        <v>-419.7509</v>
      </c>
      <c r="K6513">
        <v>1.123497</v>
      </c>
      <c r="L6513">
        <v>122.42610000000001</v>
      </c>
      <c r="M6513">
        <v>-0.2277508</v>
      </c>
      <c r="N6513">
        <v>-1.3588090000000001E-2</v>
      </c>
      <c r="O6513">
        <v>-0.97362459999999995</v>
      </c>
      <c r="P6513">
        <v>-4.7274490000000002E-2</v>
      </c>
      <c r="Q6513">
        <v>-9.245188E-2</v>
      </c>
      <c r="R6513">
        <v>-0.99459430000000004</v>
      </c>
      <c r="S6513">
        <v>3.6651610000000001E-2</v>
      </c>
      <c r="T6513">
        <v>-0.1717622</v>
      </c>
      <c r="U6513">
        <v>-3.0028079999999999</v>
      </c>
      <c r="V6513">
        <v>-0.1800515</v>
      </c>
      <c r="W6513">
        <v>-8.0172499999999994E-2</v>
      </c>
      <c r="X6513">
        <v>0.98038449999999999</v>
      </c>
      <c r="Y6513">
        <v>-0.23950689999999999</v>
      </c>
      <c r="Z6513">
        <v>4.043252E-2</v>
      </c>
      <c r="AA6513">
        <v>0.97005240000000004</v>
      </c>
      <c r="AB6513">
        <v>18</v>
      </c>
      <c r="AC6513">
        <v>0.27580000000000299</v>
      </c>
      <c r="AD6513">
        <v>-1.12349866644</v>
      </c>
      <c r="AE6513">
        <v>-19.4665</v>
      </c>
      <c r="AF6513">
        <v>-4.6868623166412302</v>
      </c>
      <c r="AG6513">
        <v>-1.12349866644</v>
      </c>
      <c r="AH6513">
        <v>18.829287459038198</v>
      </c>
      <c r="AI6513">
        <v>93.313775159646994</v>
      </c>
      <c r="AJ6513">
        <v>103.977634139843</v>
      </c>
      <c r="AK6513">
        <v>19.436331800104099</v>
      </c>
      <c r="AL6513">
        <v>94.598481244232204</v>
      </c>
      <c r="AM6513">
        <v>100.40663022312501</v>
      </c>
      <c r="AN6513">
        <v>0.99999997012437403</v>
      </c>
    </row>
    <row r="6514" spans="1:40" x14ac:dyDescent="0.25">
      <c r="A6514" t="str">
        <f>"20190303153938712"</f>
        <v>20190303153938712</v>
      </c>
      <c r="B6514" t="str">
        <f>"1551598778705223"</f>
        <v>1551598778705223</v>
      </c>
      <c r="C6514" t="s">
        <v>40</v>
      </c>
      <c r="D6514">
        <v>4.7443839999999904</v>
      </c>
      <c r="E6514">
        <v>0.47635179999999999</v>
      </c>
      <c r="F6514" t="s">
        <v>42</v>
      </c>
      <c r="G6514">
        <v>-419.44459999999998</v>
      </c>
      <c r="H6514" s="1">
        <v>-1.5697810000000001E-6</v>
      </c>
      <c r="I6514">
        <v>102.7437</v>
      </c>
      <c r="J6514">
        <v>-419.78769999999997</v>
      </c>
      <c r="K6514">
        <v>1.1234980000000001</v>
      </c>
      <c r="L6514">
        <v>122.2422</v>
      </c>
      <c r="M6514">
        <v>-0.22286110000000001</v>
      </c>
      <c r="N6514">
        <v>-1.3584799999999999E-2</v>
      </c>
      <c r="O6514">
        <v>-0.97475579999999995</v>
      </c>
      <c r="P6514">
        <v>-4.279061E-2</v>
      </c>
      <c r="Q6514">
        <v>-9.1488819999999998E-2</v>
      </c>
      <c r="R6514">
        <v>-0.99488670000000001</v>
      </c>
      <c r="S6514">
        <v>4.6722409999999999E-2</v>
      </c>
      <c r="T6514">
        <v>-0.17139199999999999</v>
      </c>
      <c r="U6514">
        <v>-3.0025940000000002</v>
      </c>
      <c r="V6514">
        <v>-0.17957790000000001</v>
      </c>
      <c r="W6514">
        <v>-7.9203549999999998E-2</v>
      </c>
      <c r="X6514">
        <v>0.98055020000000004</v>
      </c>
      <c r="Y6514">
        <v>-0.2378885</v>
      </c>
      <c r="Z6514">
        <v>4.0425229999999999E-2</v>
      </c>
      <c r="AA6514">
        <v>0.97045090000000001</v>
      </c>
      <c r="AB6514">
        <v>18</v>
      </c>
      <c r="AC6514">
        <v>0.34309999999999202</v>
      </c>
      <c r="AD6514">
        <v>-1.123499569781</v>
      </c>
      <c r="AE6514">
        <v>-19.4985</v>
      </c>
      <c r="AF6514">
        <v>-4.6648439465439404</v>
      </c>
      <c r="AG6514">
        <v>-1.123499569781</v>
      </c>
      <c r="AH6514">
        <v>18.868928457763499</v>
      </c>
      <c r="AI6514">
        <v>93.308134708180603</v>
      </c>
      <c r="AJ6514">
        <v>103.886425989274</v>
      </c>
      <c r="AK6514">
        <v>19.4694499530187</v>
      </c>
      <c r="AL6514">
        <v>94.542786972712193</v>
      </c>
      <c r="AM6514">
        <v>100.378136876187</v>
      </c>
      <c r="AN6514">
        <v>1.0000000596105201</v>
      </c>
    </row>
    <row r="6515" spans="1:40" x14ac:dyDescent="0.25">
      <c r="A6515" t="str">
        <f>"20190303153938733"</f>
        <v>20190303153938733</v>
      </c>
      <c r="B6515" t="str">
        <f>"1551598778724743"</f>
        <v>1551598778724743</v>
      </c>
      <c r="C6515" t="s">
        <v>40</v>
      </c>
      <c r="D6515">
        <v>4.7201430000000002</v>
      </c>
      <c r="E6515">
        <v>0.4764834</v>
      </c>
      <c r="F6515" t="s">
        <v>42</v>
      </c>
      <c r="G6515">
        <v>-419.39</v>
      </c>
      <c r="H6515" s="1">
        <v>-1.3169780000000001E-6</v>
      </c>
      <c r="I6515">
        <v>102.1884</v>
      </c>
      <c r="J6515">
        <v>-419.82220000000001</v>
      </c>
      <c r="K6515">
        <v>1.1234919999999999</v>
      </c>
      <c r="L6515">
        <v>122.0654</v>
      </c>
      <c r="M6515">
        <v>-0.21816650000000001</v>
      </c>
      <c r="N6515">
        <v>-1.358172E-2</v>
      </c>
      <c r="O6515">
        <v>-0.9758173</v>
      </c>
      <c r="P6515">
        <v>-3.8759960000000003E-2</v>
      </c>
      <c r="Q6515">
        <v>-9.0749060000000006E-2</v>
      </c>
      <c r="R6515">
        <v>-0.99511950000000005</v>
      </c>
      <c r="S6515">
        <v>5.9539790000000002E-2</v>
      </c>
      <c r="T6515">
        <v>-0.168213</v>
      </c>
      <c r="U6515">
        <v>-3.0025019999999998</v>
      </c>
      <c r="V6515">
        <v>-0.1788515</v>
      </c>
      <c r="W6515">
        <v>-7.8455869999999997E-2</v>
      </c>
      <c r="X6515">
        <v>0.98074300000000003</v>
      </c>
      <c r="Y6515">
        <v>-0.23735819999999999</v>
      </c>
      <c r="Z6515">
        <v>3.951495E-2</v>
      </c>
      <c r="AA6515">
        <v>0.97061819999999999</v>
      </c>
      <c r="AB6515">
        <v>18</v>
      </c>
      <c r="AC6515">
        <v>0.43220000000002201</v>
      </c>
      <c r="AD6515">
        <v>-1.1234933169779999</v>
      </c>
      <c r="AE6515">
        <v>-19.876999999999899</v>
      </c>
      <c r="AF6515">
        <v>-4.7435341883898703</v>
      </c>
      <c r="AG6515">
        <v>-1.1234933169779999</v>
      </c>
      <c r="AH6515">
        <v>19.2423588846613</v>
      </c>
      <c r="AI6515">
        <v>93.244588842454107</v>
      </c>
      <c r="AJ6515">
        <v>103.848171232387</v>
      </c>
      <c r="AK6515">
        <v>19.850232474100199</v>
      </c>
      <c r="AL6515">
        <v>94.499814574926603</v>
      </c>
      <c r="AM6515">
        <v>100.335075389325</v>
      </c>
      <c r="AN6515">
        <v>1.00000000731935</v>
      </c>
    </row>
    <row r="6516" spans="1:40" x14ac:dyDescent="0.25">
      <c r="A6516" t="str">
        <f>"20190303153938755"</f>
        <v>20190303153938755</v>
      </c>
      <c r="B6516" t="str">
        <f>"1551598778745240"</f>
        <v>1551598778745240</v>
      </c>
      <c r="C6516" t="s">
        <v>40</v>
      </c>
      <c r="D6516">
        <v>4.7621440000000002</v>
      </c>
      <c r="E6516">
        <v>0.47687550000000001</v>
      </c>
      <c r="F6516" t="s">
        <v>42</v>
      </c>
      <c r="G6516">
        <v>-419.34350000000001</v>
      </c>
      <c r="H6516" s="1">
        <v>-1.15441E-6</v>
      </c>
      <c r="I6516">
        <v>101.827</v>
      </c>
      <c r="J6516">
        <v>-419.85430000000002</v>
      </c>
      <c r="K6516">
        <v>1.1234839999999999</v>
      </c>
      <c r="L6516">
        <v>121.8967</v>
      </c>
      <c r="M6516">
        <v>-0.2136875</v>
      </c>
      <c r="N6516">
        <v>-1.357887E-2</v>
      </c>
      <c r="O6516">
        <v>-0.97680789999999995</v>
      </c>
      <c r="P6516">
        <v>-3.5213029999999999E-2</v>
      </c>
      <c r="Q6516">
        <v>-9.040078E-2</v>
      </c>
      <c r="R6516">
        <v>-0.99528300000000003</v>
      </c>
      <c r="S6516">
        <v>7.1014399999999894E-2</v>
      </c>
      <c r="T6516">
        <v>-0.1666657</v>
      </c>
      <c r="U6516">
        <v>-3.0022890000000002</v>
      </c>
      <c r="V6516">
        <v>-0.1778594</v>
      </c>
      <c r="W6516">
        <v>-7.809787E-2</v>
      </c>
      <c r="X6516">
        <v>0.98095200000000005</v>
      </c>
      <c r="Y6516">
        <v>-0.23661280000000001</v>
      </c>
      <c r="Z6516">
        <v>3.9114139999999999E-2</v>
      </c>
      <c r="AA6516">
        <v>0.97081640000000002</v>
      </c>
      <c r="AB6516">
        <v>18</v>
      </c>
      <c r="AC6516">
        <v>0.51080000000001702</v>
      </c>
      <c r="AD6516">
        <v>-1.12348515441</v>
      </c>
      <c r="AE6516">
        <v>-20.069699999999902</v>
      </c>
      <c r="AF6516">
        <v>-4.7730903675529701</v>
      </c>
      <c r="AG6516">
        <v>-1.12348515441</v>
      </c>
      <c r="AH6516">
        <v>19.436016937845999</v>
      </c>
      <c r="AI6516">
        <v>93.213000766117403</v>
      </c>
      <c r="AJ6516">
        <v>103.797627711939</v>
      </c>
      <c r="AK6516">
        <v>20.045033423699898</v>
      </c>
      <c r="AL6516">
        <v>94.4792394309831</v>
      </c>
      <c r="AM6516">
        <v>100.276828255501</v>
      </c>
      <c r="AN6516">
        <v>1.0000000348854401</v>
      </c>
    </row>
    <row r="6517" spans="1:40" x14ac:dyDescent="0.25">
      <c r="A6517" t="str">
        <f>"20190303153938777"</f>
        <v>20190303153938777</v>
      </c>
      <c r="B6517" t="str">
        <f>"1551598778764759"</f>
        <v>1551598778764759</v>
      </c>
      <c r="C6517" t="s">
        <v>40</v>
      </c>
      <c r="D6517">
        <v>4.723274</v>
      </c>
      <c r="E6517">
        <v>0.47711969999999998</v>
      </c>
      <c r="F6517" t="s">
        <v>42</v>
      </c>
      <c r="G6517">
        <v>-419.31970000000001</v>
      </c>
      <c r="H6517" s="1">
        <v>-9.2763450000000002E-7</v>
      </c>
      <c r="I6517">
        <v>101.33839999999999</v>
      </c>
      <c r="J6517">
        <v>-419.88650000000001</v>
      </c>
      <c r="K6517">
        <v>1.1234770000000001</v>
      </c>
      <c r="L6517">
        <v>121.7229</v>
      </c>
      <c r="M6517">
        <v>-0.2090775</v>
      </c>
      <c r="N6517">
        <v>-1.3576E-2</v>
      </c>
      <c r="O6517">
        <v>-0.97780480000000003</v>
      </c>
      <c r="P6517">
        <v>-3.1321460000000002E-2</v>
      </c>
      <c r="Q6517">
        <v>-9.1188740000000004E-2</v>
      </c>
      <c r="R6517">
        <v>-0.99534080000000003</v>
      </c>
      <c r="S6517">
        <v>7.8063960000000002E-2</v>
      </c>
      <c r="T6517">
        <v>-0.1640605</v>
      </c>
      <c r="U6517">
        <v>-3.0020899999999999</v>
      </c>
      <c r="V6517">
        <v>-0.1770505</v>
      </c>
      <c r="W6517">
        <v>-7.8879130000000006E-2</v>
      </c>
      <c r="X6517">
        <v>0.98103580000000001</v>
      </c>
      <c r="Y6517">
        <v>-0.23431260000000001</v>
      </c>
      <c r="Z6517">
        <v>3.8390960000000002E-2</v>
      </c>
      <c r="AA6517">
        <v>0.97140300000000002</v>
      </c>
      <c r="AB6517">
        <v>18</v>
      </c>
      <c r="AC6517">
        <v>0.56679999999999997</v>
      </c>
      <c r="AD6517">
        <v>-1.1234779276344999</v>
      </c>
      <c r="AE6517">
        <v>-20.384499999999999</v>
      </c>
      <c r="AF6517">
        <v>-4.8020287841801004</v>
      </c>
      <c r="AG6517">
        <v>-1.1234779276344999</v>
      </c>
      <c r="AH6517">
        <v>19.755421121106998</v>
      </c>
      <c r="AI6517">
        <v>93.162962196019294</v>
      </c>
      <c r="AJ6517">
        <v>103.662150312387</v>
      </c>
      <c r="AK6517">
        <v>20.3616882102211</v>
      </c>
      <c r="AL6517">
        <v>94.524140924270199</v>
      </c>
      <c r="AM6517">
        <v>100.230223420652</v>
      </c>
      <c r="AN6517">
        <v>1.0000000187907201</v>
      </c>
    </row>
    <row r="6518" spans="1:40" x14ac:dyDescent="0.25">
      <c r="A6518" t="str">
        <f>"20190303153938799"</f>
        <v>20190303153938799</v>
      </c>
      <c r="B6518" t="str">
        <f>"1551598778795015"</f>
        <v>1551598778795015</v>
      </c>
      <c r="C6518" t="s">
        <v>40</v>
      </c>
      <c r="D6518">
        <v>4.6844809999999999</v>
      </c>
      <c r="E6518">
        <v>0.47747669999999998</v>
      </c>
      <c r="F6518" t="s">
        <v>42</v>
      </c>
      <c r="G6518">
        <v>-419.29399999999998</v>
      </c>
      <c r="H6518" s="1">
        <v>-1.026106E-6</v>
      </c>
      <c r="I6518">
        <v>101.53700000000001</v>
      </c>
      <c r="J6518">
        <v>-419.91899999999998</v>
      </c>
      <c r="K6518">
        <v>1.1234630000000001</v>
      </c>
      <c r="L6518">
        <v>121.54259999999999</v>
      </c>
      <c r="M6518">
        <v>-0.2042939</v>
      </c>
      <c r="N6518">
        <v>-1.3573150000000001E-2</v>
      </c>
      <c r="O6518">
        <v>-0.9788154</v>
      </c>
      <c r="P6518">
        <v>-2.75041E-2</v>
      </c>
      <c r="Q6518">
        <v>-9.1113719999999995E-2</v>
      </c>
      <c r="R6518">
        <v>-0.99546080000000003</v>
      </c>
      <c r="S6518">
        <v>8.8104249999999995E-2</v>
      </c>
      <c r="T6518">
        <v>-0.167053799999999</v>
      </c>
      <c r="U6518">
        <v>-3.0015109999999998</v>
      </c>
      <c r="V6518">
        <v>-0.1760205</v>
      </c>
      <c r="W6518">
        <v>-7.8794840000000005E-2</v>
      </c>
      <c r="X6518">
        <v>0.98122790000000004</v>
      </c>
      <c r="Y6518">
        <v>-0.2328086</v>
      </c>
      <c r="Z6518">
        <v>3.9438199999999903E-2</v>
      </c>
      <c r="AA6518">
        <v>0.97172259999999999</v>
      </c>
      <c r="AB6518">
        <v>18</v>
      </c>
      <c r="AC6518">
        <v>0.625</v>
      </c>
      <c r="AD6518">
        <v>-1.1234640261059901</v>
      </c>
      <c r="AE6518">
        <v>-20.005599999999902</v>
      </c>
      <c r="AF6518">
        <v>-4.6844562061544002</v>
      </c>
      <c r="AG6518">
        <v>-1.1234640261059901</v>
      </c>
      <c r="AH6518">
        <v>19.394794750202902</v>
      </c>
      <c r="AI6518">
        <v>93.222746716233701</v>
      </c>
      <c r="AJ6518">
        <v>103.578680369776</v>
      </c>
      <c r="AK6518">
        <v>19.984102801172501</v>
      </c>
      <c r="AL6518">
        <v>94.5192963904923</v>
      </c>
      <c r="AM6518">
        <v>100.170004940632</v>
      </c>
      <c r="AN6518">
        <v>1.00000001748464</v>
      </c>
    </row>
    <row r="6519" spans="1:40" x14ac:dyDescent="0.25">
      <c r="A6519" t="str">
        <f>"20190303153938814"</f>
        <v>20190303153938814</v>
      </c>
      <c r="B6519" t="str">
        <f>"1551598778804775"</f>
        <v>1551598778804775</v>
      </c>
      <c r="C6519" t="s">
        <v>40</v>
      </c>
      <c r="D6519">
        <v>4.7014480000000001</v>
      </c>
      <c r="E6519">
        <v>0.47760789999999997</v>
      </c>
      <c r="F6519" t="s">
        <v>42</v>
      </c>
      <c r="G6519">
        <v>-419.27260000000001</v>
      </c>
      <c r="H6519" s="1">
        <v>-9.8894520000000003E-7</v>
      </c>
      <c r="I6519">
        <v>101.4504</v>
      </c>
      <c r="J6519">
        <v>-419.93860000000001</v>
      </c>
      <c r="K6519">
        <v>1.123461</v>
      </c>
      <c r="L6519">
        <v>121.4319</v>
      </c>
      <c r="M6519">
        <v>-0.2013549</v>
      </c>
      <c r="N6519">
        <v>-1.3571450000000001E-2</v>
      </c>
      <c r="O6519">
        <v>-0.97942450000000003</v>
      </c>
      <c r="P6519">
        <v>-2.5213220000000001E-2</v>
      </c>
      <c r="Q6519">
        <v>-9.1485849999999994E-2</v>
      </c>
      <c r="R6519">
        <v>-0.99548720000000002</v>
      </c>
      <c r="S6519">
        <v>9.6557619999999997E-2</v>
      </c>
      <c r="T6519">
        <v>-0.16780200000000001</v>
      </c>
      <c r="U6519">
        <v>-3.001007</v>
      </c>
      <c r="V6519">
        <v>-0.17532619999999999</v>
      </c>
      <c r="W6519">
        <v>-7.9161330000000002E-2</v>
      </c>
      <c r="X6519">
        <v>0.98132269999999999</v>
      </c>
      <c r="Y6519">
        <v>-0.2326281</v>
      </c>
      <c r="Z6519">
        <v>3.9732249999999997E-2</v>
      </c>
      <c r="AA6519">
        <v>0.9717538</v>
      </c>
      <c r="AB6519">
        <v>18</v>
      </c>
      <c r="AC6519">
        <v>0.66599999999999604</v>
      </c>
      <c r="AD6519">
        <v>-1.1234619889452</v>
      </c>
      <c r="AE6519">
        <v>-19.9815</v>
      </c>
      <c r="AF6519">
        <v>-4.6613800342329004</v>
      </c>
      <c r="AG6519">
        <v>-1.1234619889452</v>
      </c>
      <c r="AH6519">
        <v>19.376867843912599</v>
      </c>
      <c r="AI6519">
        <v>93.226425690943898</v>
      </c>
      <c r="AJ6519">
        <v>103.52629316703</v>
      </c>
      <c r="AK6519">
        <v>19.961303517170499</v>
      </c>
      <c r="AL6519">
        <v>94.540360519342201</v>
      </c>
      <c r="AM6519">
        <v>100.129764157034</v>
      </c>
      <c r="AN6519">
        <v>1.00000001705454</v>
      </c>
    </row>
    <row r="6520" spans="1:40" x14ac:dyDescent="0.25">
      <c r="A6520" t="str">
        <f>"20190303153938834"</f>
        <v>20190303153938834</v>
      </c>
      <c r="B6520" t="str">
        <f>"1551598778825275"</f>
        <v>1551598778825275</v>
      </c>
      <c r="C6520" t="s">
        <v>40</v>
      </c>
      <c r="D6520">
        <v>4.7201399999999998</v>
      </c>
      <c r="E6520">
        <v>0.47791539999999999</v>
      </c>
      <c r="F6520" t="s">
        <v>42</v>
      </c>
      <c r="G6520">
        <v>-419.25740000000002</v>
      </c>
      <c r="H6520" s="1">
        <v>-1.0276210000000001E-6</v>
      </c>
      <c r="I6520">
        <v>101.5265</v>
      </c>
      <c r="J6520">
        <v>-419.96530000000001</v>
      </c>
      <c r="K6520">
        <v>1.123453</v>
      </c>
      <c r="L6520">
        <v>121.2774</v>
      </c>
      <c r="M6520">
        <v>-0.19725119999999999</v>
      </c>
      <c r="N6520">
        <v>-1.356912E-2</v>
      </c>
      <c r="O6520">
        <v>-0.98025910000000005</v>
      </c>
      <c r="P6520">
        <v>-2.1901259999999999E-2</v>
      </c>
      <c r="Q6520">
        <v>-9.1235789999999997E-2</v>
      </c>
      <c r="R6520">
        <v>-0.99558840000000004</v>
      </c>
      <c r="S6520">
        <v>0.1026917</v>
      </c>
      <c r="T6520">
        <v>-0.16935500000000001</v>
      </c>
      <c r="U6520">
        <v>-3.000626</v>
      </c>
      <c r="V6520">
        <v>-0.1744888</v>
      </c>
      <c r="W6520">
        <v>-7.8903689999999999E-2</v>
      </c>
      <c r="X6520">
        <v>0.9814927</v>
      </c>
      <c r="Y6520">
        <v>-0.23054240000000001</v>
      </c>
      <c r="Z6520">
        <v>4.0314629999999997E-2</v>
      </c>
      <c r="AA6520">
        <v>0.97222679999999995</v>
      </c>
      <c r="AB6520">
        <v>18</v>
      </c>
      <c r="AC6520">
        <v>0.70789999999999498</v>
      </c>
      <c r="AD6520">
        <v>-1.1234540276209899</v>
      </c>
      <c r="AE6520">
        <v>-19.750900000000001</v>
      </c>
      <c r="AF6520">
        <v>-4.5754518779950502</v>
      </c>
      <c r="AG6520">
        <v>-1.1234540276209899</v>
      </c>
      <c r="AH6520">
        <v>19.161218597152899</v>
      </c>
      <c r="AI6520">
        <v>93.263947851635393</v>
      </c>
      <c r="AJ6520">
        <v>103.430006178158</v>
      </c>
      <c r="AK6520">
        <v>19.731933685472999</v>
      </c>
      <c r="AL6520">
        <v>94.525552471474001</v>
      </c>
      <c r="AM6520">
        <v>100.080666395785</v>
      </c>
      <c r="AN6520">
        <v>1.00000002688717</v>
      </c>
    </row>
    <row r="6521" spans="1:40" x14ac:dyDescent="0.25">
      <c r="A6521" t="str">
        <f>"20190303153938846"</f>
        <v>20190303153938846</v>
      </c>
      <c r="B6521" t="str">
        <f>"1551598778835032"</f>
        <v>1551598778835032</v>
      </c>
      <c r="C6521" t="s">
        <v>40</v>
      </c>
      <c r="D6521">
        <v>4.6437869999999997</v>
      </c>
      <c r="E6521">
        <v>0.4781995</v>
      </c>
      <c r="F6521" t="s">
        <v>42</v>
      </c>
      <c r="G6521">
        <v>-419.23169999999999</v>
      </c>
      <c r="H6521" s="1">
        <v>-9.1941439999999997E-7</v>
      </c>
      <c r="I6521">
        <v>101.288</v>
      </c>
      <c r="J6521">
        <v>-419.98329999999999</v>
      </c>
      <c r="K6521">
        <v>1.123445</v>
      </c>
      <c r="L6521">
        <v>121.1712</v>
      </c>
      <c r="M6521">
        <v>-0.19442880000000001</v>
      </c>
      <c r="N6521">
        <v>-1.356752E-2</v>
      </c>
      <c r="O6521">
        <v>-0.98082290000000005</v>
      </c>
      <c r="P6521">
        <v>-1.9941009999999999E-2</v>
      </c>
      <c r="Q6521">
        <v>-9.1040889999999999E-2</v>
      </c>
      <c r="R6521">
        <v>-0.99564770000000002</v>
      </c>
      <c r="S6521">
        <v>0.11010739999999899</v>
      </c>
      <c r="T6521">
        <v>-0.1686214</v>
      </c>
      <c r="U6521">
        <v>-3.0002589999999998</v>
      </c>
      <c r="V6521">
        <v>-0.173602799999999</v>
      </c>
      <c r="W6521">
        <v>-7.8701209999999994E-2</v>
      </c>
      <c r="X6521">
        <v>0.98166600000000004</v>
      </c>
      <c r="Y6521">
        <v>-0.23014660000000001</v>
      </c>
      <c r="Z6521">
        <v>4.0134799999999998E-2</v>
      </c>
      <c r="AA6521">
        <v>0.97232799999999997</v>
      </c>
      <c r="AB6521">
        <v>18</v>
      </c>
      <c r="AC6521">
        <v>0.75159999999999605</v>
      </c>
      <c r="AD6521">
        <v>-1.12344591941439</v>
      </c>
      <c r="AE6521">
        <v>-19.883199999999999</v>
      </c>
      <c r="AF6521">
        <v>-4.5888474505761296</v>
      </c>
      <c r="AG6521">
        <v>-1.12344591941439</v>
      </c>
      <c r="AH6521">
        <v>19.296030217028498</v>
      </c>
      <c r="AI6521">
        <v>93.241880218282603</v>
      </c>
      <c r="AJ6521">
        <v>103.377195007648</v>
      </c>
      <c r="AK6521">
        <v>19.865961688148602</v>
      </c>
      <c r="AL6521">
        <v>94.513915271644194</v>
      </c>
      <c r="AM6521">
        <v>100.028787110095</v>
      </c>
      <c r="AN6521">
        <v>0.99999997408965102</v>
      </c>
    </row>
    <row r="6522" spans="1:40" x14ac:dyDescent="0.25">
      <c r="A6522" t="str">
        <f>"20190303153938860"</f>
        <v>20190303153938860</v>
      </c>
      <c r="B6522" t="str">
        <f>"1551598778855528"</f>
        <v>1551598778855528</v>
      </c>
      <c r="C6522" t="s">
        <v>40</v>
      </c>
      <c r="D6522">
        <v>4.6231650000000002</v>
      </c>
      <c r="E6522">
        <v>0.47859740000000001</v>
      </c>
      <c r="F6522" t="s">
        <v>42</v>
      </c>
      <c r="G6522">
        <v>-419.2176</v>
      </c>
      <c r="H6522" s="1">
        <v>-7.4927099999999895E-7</v>
      </c>
      <c r="I6522">
        <v>100.92270000000001</v>
      </c>
      <c r="J6522">
        <v>-420.00020000000001</v>
      </c>
      <c r="K6522">
        <v>1.1234440000000001</v>
      </c>
      <c r="L6522">
        <v>121.0688</v>
      </c>
      <c r="M6522">
        <v>-0.19170780000000001</v>
      </c>
      <c r="N6522">
        <v>-1.356603E-2</v>
      </c>
      <c r="O6522">
        <v>-0.98135830000000002</v>
      </c>
      <c r="P6522">
        <v>-1.7986869999999999E-2</v>
      </c>
      <c r="Q6522">
        <v>-9.0912980000000004E-2</v>
      </c>
      <c r="R6522">
        <v>-0.99569669999999999</v>
      </c>
      <c r="S6522">
        <v>0.11346440000000001</v>
      </c>
      <c r="T6522">
        <v>-0.1664582</v>
      </c>
      <c r="U6522">
        <v>-3.0001679999999999</v>
      </c>
      <c r="V6522">
        <v>-0.1728112</v>
      </c>
      <c r="W6522">
        <v>-7.8566659999999996E-2</v>
      </c>
      <c r="X6522">
        <v>0.98181649999999998</v>
      </c>
      <c r="Y6522">
        <v>-0.22853809999999999</v>
      </c>
      <c r="Z6522">
        <v>3.9503299999999998E-2</v>
      </c>
      <c r="AA6522">
        <v>0.97273319999999996</v>
      </c>
      <c r="AB6522">
        <v>18</v>
      </c>
      <c r="AC6522">
        <v>0.78260000000000196</v>
      </c>
      <c r="AD6522">
        <v>-1.123444749271</v>
      </c>
      <c r="AE6522">
        <v>-20.146099999999901</v>
      </c>
      <c r="AF6522">
        <v>-4.6162678884245603</v>
      </c>
      <c r="AG6522">
        <v>-1.123444749271</v>
      </c>
      <c r="AH6522">
        <v>19.5615779249962</v>
      </c>
      <c r="AI6522">
        <v>93.1992682597526</v>
      </c>
      <c r="AJ6522">
        <v>103.27810244791</v>
      </c>
      <c r="AK6522">
        <v>20.130260510933802</v>
      </c>
      <c r="AL6522">
        <v>94.506181902880002</v>
      </c>
      <c r="AM6522">
        <v>99.982480000964401</v>
      </c>
      <c r="AN6522">
        <v>1.00000003529062</v>
      </c>
    </row>
    <row r="6523" spans="1:40" x14ac:dyDescent="0.25">
      <c r="A6523" t="str">
        <f>"20190303153938874"</f>
        <v>20190303153938874</v>
      </c>
      <c r="B6523" t="str">
        <f>"1551598778865288"</f>
        <v>1551598778865288</v>
      </c>
      <c r="C6523" t="s">
        <v>40</v>
      </c>
      <c r="D6523">
        <v>4.6520640000000002</v>
      </c>
      <c r="E6523">
        <v>0.47884779999999999</v>
      </c>
      <c r="F6523" t="s">
        <v>42</v>
      </c>
      <c r="G6523">
        <v>-419.21140000000003</v>
      </c>
      <c r="H6523" s="1">
        <v>-6.3426749999999996E-7</v>
      </c>
      <c r="I6523">
        <v>100.6771</v>
      </c>
      <c r="J6523">
        <v>-420.01830000000001</v>
      </c>
      <c r="K6523">
        <v>1.1234409999999999</v>
      </c>
      <c r="L6523">
        <v>120.95869999999999</v>
      </c>
      <c r="M6523">
        <v>-0.18878</v>
      </c>
      <c r="N6523">
        <v>-1.3564430000000001E-2</v>
      </c>
      <c r="O6523">
        <v>-0.98192579999999996</v>
      </c>
      <c r="P6523">
        <v>-1.5766530000000001E-2</v>
      </c>
      <c r="Q6523">
        <v>-9.0811100000000006E-2</v>
      </c>
      <c r="R6523">
        <v>-0.9957435</v>
      </c>
      <c r="S6523">
        <v>0.1160583</v>
      </c>
      <c r="T6523">
        <v>-0.1652787</v>
      </c>
      <c r="U6523">
        <v>-2.9999850000000001</v>
      </c>
      <c r="V6523">
        <v>-0.1720766</v>
      </c>
      <c r="W6523">
        <v>-7.8458639999999996E-2</v>
      </c>
      <c r="X6523">
        <v>0.98195410000000005</v>
      </c>
      <c r="Y6523">
        <v>-0.2264784</v>
      </c>
      <c r="Z6523">
        <v>3.9191520000000001E-2</v>
      </c>
      <c r="AA6523">
        <v>0.97322739999999996</v>
      </c>
      <c r="AB6523">
        <v>18</v>
      </c>
      <c r="AC6523">
        <v>0.80689999999998396</v>
      </c>
      <c r="AD6523">
        <v>-1.1234416342675</v>
      </c>
      <c r="AE6523">
        <v>-20.281600000000001</v>
      </c>
      <c r="AF6523">
        <v>-4.6073867278959098</v>
      </c>
      <c r="AG6523">
        <v>-1.1234416342675</v>
      </c>
      <c r="AH6523">
        <v>19.704153968313101</v>
      </c>
      <c r="AI6523">
        <v>93.177680984263802</v>
      </c>
      <c r="AJ6523">
        <v>103.16090878256701</v>
      </c>
      <c r="AK6523">
        <v>20.266815664355999</v>
      </c>
      <c r="AL6523">
        <v>94.499973877949301</v>
      </c>
      <c r="AM6523">
        <v>99.939528663831695</v>
      </c>
      <c r="AN6523">
        <v>0.99999998448250904</v>
      </c>
    </row>
    <row r="6524" spans="1:40" x14ac:dyDescent="0.25">
      <c r="A6524" t="str">
        <f>"20190303153938887"</f>
        <v>20190303153938887</v>
      </c>
      <c r="B6524" t="str">
        <f>"1551598778875048"</f>
        <v>1551598778875048</v>
      </c>
      <c r="C6524" t="s">
        <v>40</v>
      </c>
      <c r="D6524">
        <v>4.6799030000000004</v>
      </c>
      <c r="E6524">
        <v>0.4789947</v>
      </c>
      <c r="F6524" t="s">
        <v>42</v>
      </c>
      <c r="G6524">
        <v>-419.19139999999999</v>
      </c>
      <c r="H6524" s="1">
        <v>-5.1306469999999997E-7</v>
      </c>
      <c r="I6524">
        <v>100.4132</v>
      </c>
      <c r="J6524">
        <v>-420.03480000000002</v>
      </c>
      <c r="K6524">
        <v>1.123429</v>
      </c>
      <c r="L6524">
        <v>120.8557</v>
      </c>
      <c r="M6524">
        <v>-0.18603990000000001</v>
      </c>
      <c r="N6524">
        <v>-1.3562899999999999E-2</v>
      </c>
      <c r="O6524">
        <v>-0.98244880000000001</v>
      </c>
      <c r="P6524">
        <v>-1.411661E-2</v>
      </c>
      <c r="Q6524">
        <v>-9.0695289999999998E-2</v>
      </c>
      <c r="R6524">
        <v>-0.99577859999999996</v>
      </c>
      <c r="S6524">
        <v>0.1207275</v>
      </c>
      <c r="T6524">
        <v>-0.16403039999999999</v>
      </c>
      <c r="U6524">
        <v>-2.9997859999999998</v>
      </c>
      <c r="V6524">
        <v>-0.1709685</v>
      </c>
      <c r="W6524">
        <v>-7.8333760000000002E-2</v>
      </c>
      <c r="X6524">
        <v>0.98215759999999996</v>
      </c>
      <c r="Y6524">
        <v>-0.22527800000000001</v>
      </c>
      <c r="Z6524">
        <v>3.8846270000000002E-2</v>
      </c>
      <c r="AA6524">
        <v>0.97351980000000005</v>
      </c>
      <c r="AB6524">
        <v>18</v>
      </c>
      <c r="AC6524">
        <v>0.84340000000003001</v>
      </c>
      <c r="AD6524">
        <v>-1.1234295130646901</v>
      </c>
      <c r="AE6524">
        <v>-20.4424999999999</v>
      </c>
      <c r="AF6524">
        <v>-4.6182191600662899</v>
      </c>
      <c r="AG6524">
        <v>-1.1234295130646901</v>
      </c>
      <c r="AH6524">
        <v>19.868728286405702</v>
      </c>
      <c r="AI6524">
        <v>93.152347226301899</v>
      </c>
      <c r="AJ6524">
        <v>103.08528514273399</v>
      </c>
      <c r="AK6524">
        <v>20.4293026263807</v>
      </c>
      <c r="AL6524">
        <v>94.492796718044801</v>
      </c>
      <c r="AM6524">
        <v>99.874780619367002</v>
      </c>
      <c r="AN6524">
        <v>0.99999997859287304</v>
      </c>
    </row>
    <row r="6525" spans="1:40" x14ac:dyDescent="0.25">
      <c r="A6525" t="str">
        <f>"20190303153938902"</f>
        <v>20190303153938902</v>
      </c>
      <c r="B6525" t="str">
        <f>"1551598778895543"</f>
        <v>1551598778895543</v>
      </c>
      <c r="C6525" t="s">
        <v>40</v>
      </c>
      <c r="D6525">
        <v>4.681978</v>
      </c>
      <c r="E6525">
        <v>0.48817240000000001</v>
      </c>
      <c r="F6525" t="s">
        <v>42</v>
      </c>
      <c r="G6525">
        <v>-419.17989999999998</v>
      </c>
      <c r="H6525" s="1">
        <v>-4.6850969999999997E-7</v>
      </c>
      <c r="I6525">
        <v>100.2963</v>
      </c>
      <c r="J6525">
        <v>-420.05180000000001</v>
      </c>
      <c r="K6525">
        <v>1.123426</v>
      </c>
      <c r="L6525">
        <v>120.7473</v>
      </c>
      <c r="M6525">
        <v>-0.18315770000000001</v>
      </c>
      <c r="N6525">
        <v>-1.356132E-2</v>
      </c>
      <c r="O6525">
        <v>-0.98299009999999998</v>
      </c>
      <c r="P6525">
        <v>-1.337114E-2</v>
      </c>
      <c r="Q6525">
        <v>-9.0617450000000002E-2</v>
      </c>
      <c r="R6525">
        <v>-0.99579629999999997</v>
      </c>
      <c r="S6525">
        <v>0.1247253</v>
      </c>
      <c r="T6525">
        <v>-0.1639051</v>
      </c>
      <c r="U6525">
        <v>-2.9995569999999998</v>
      </c>
      <c r="V6525">
        <v>-0.16882759999999999</v>
      </c>
      <c r="W6525">
        <v>-7.8238810000000006E-2</v>
      </c>
      <c r="X6525">
        <v>0.98253550000000001</v>
      </c>
      <c r="Y6525">
        <v>-0.22371949999999999</v>
      </c>
      <c r="Z6525">
        <v>3.8863660000000001E-2</v>
      </c>
      <c r="AA6525">
        <v>0.97387840000000003</v>
      </c>
      <c r="AB6525">
        <v>18</v>
      </c>
      <c r="AC6525">
        <v>0.87190000000003898</v>
      </c>
      <c r="AD6525">
        <v>-1.1234264685097</v>
      </c>
      <c r="AE6525">
        <v>-20.451000000000001</v>
      </c>
      <c r="AF6525">
        <v>-4.5894261862763397</v>
      </c>
      <c r="AG6525">
        <v>-1.1234264685097</v>
      </c>
      <c r="AH6525">
        <v>19.885370573689801</v>
      </c>
      <c r="AI6525">
        <v>93.150840913734598</v>
      </c>
      <c r="AJ6525">
        <v>102.995969590445</v>
      </c>
      <c r="AK6525">
        <v>20.439003953284899</v>
      </c>
      <c r="AL6525">
        <v>94.487339462606698</v>
      </c>
      <c r="AM6525">
        <v>99.749837048471093</v>
      </c>
      <c r="AN6525">
        <v>1.0000000393361099</v>
      </c>
    </row>
    <row r="6526" spans="1:40" x14ac:dyDescent="0.25">
      <c r="A6526" t="str">
        <f>"20190303153938924"</f>
        <v>20190303153938924</v>
      </c>
      <c r="B6526" t="str">
        <f>"1551598778915063"</f>
        <v>1551598778915063</v>
      </c>
      <c r="C6526" t="s">
        <v>40</v>
      </c>
      <c r="D6526">
        <v>4.646039</v>
      </c>
      <c r="E6526">
        <v>0.49365589999999998</v>
      </c>
      <c r="F6526" t="s">
        <v>42</v>
      </c>
      <c r="G6526">
        <v>-419.62830000000002</v>
      </c>
      <c r="H6526" s="1">
        <v>-3.3160160000000001E-6</v>
      </c>
      <c r="I6526">
        <v>97.208780000000004</v>
      </c>
      <c r="J6526">
        <v>-420.0788</v>
      </c>
      <c r="K6526">
        <v>1.123427</v>
      </c>
      <c r="L6526">
        <v>120.57170000000001</v>
      </c>
      <c r="M6526">
        <v>-0.1784847</v>
      </c>
      <c r="N6526">
        <v>-1.355875E-2</v>
      </c>
      <c r="O6526">
        <v>-0.98384939999999999</v>
      </c>
      <c r="P6526">
        <v>-1.1358E-2</v>
      </c>
      <c r="Q6526">
        <v>-8.9909039999999996E-2</v>
      </c>
      <c r="R6526">
        <v>-0.99588560000000004</v>
      </c>
      <c r="S6526">
        <v>5.3985600000000002E-2</v>
      </c>
      <c r="T6526">
        <v>-0.1431992</v>
      </c>
      <c r="U6526">
        <v>-3.0003660000000001</v>
      </c>
      <c r="V6526">
        <v>-0.1661646</v>
      </c>
      <c r="W6526">
        <v>-7.7508560000000004E-2</v>
      </c>
      <c r="X6526">
        <v>0.98304720000000001</v>
      </c>
      <c r="Y6526">
        <v>-0.1960798</v>
      </c>
      <c r="Z6526">
        <v>3.2488339999999997E-2</v>
      </c>
      <c r="AA6526">
        <v>0.98004959999999997</v>
      </c>
      <c r="AB6526">
        <v>18</v>
      </c>
      <c r="AC6526">
        <v>0.45049999999997598</v>
      </c>
      <c r="AD6526">
        <v>-1.123430316016</v>
      </c>
      <c r="AE6526">
        <v>-23.362919999999999</v>
      </c>
      <c r="AF6526">
        <v>-4.6029321445718399</v>
      </c>
      <c r="AG6526">
        <v>-1.123430316016</v>
      </c>
      <c r="AH6526">
        <v>22.854464121014299</v>
      </c>
      <c r="AI6526">
        <v>92.758848019385098</v>
      </c>
      <c r="AJ6526">
        <v>101.387144369764</v>
      </c>
      <c r="AK6526">
        <v>23.340428664898301</v>
      </c>
      <c r="AL6526">
        <v>94.445371841243897</v>
      </c>
      <c r="AM6526">
        <v>99.594028293102099</v>
      </c>
      <c r="AN6526">
        <v>1.0000000242971301</v>
      </c>
    </row>
    <row r="6527" spans="1:40" x14ac:dyDescent="0.25">
      <c r="A6527" t="str">
        <f>"20190303153938945"</f>
        <v>20190303153938945</v>
      </c>
      <c r="B6527" t="str">
        <f>"1551598778935090"</f>
        <v>1551598778935090</v>
      </c>
      <c r="C6527" t="s">
        <v>40</v>
      </c>
      <c r="D6527">
        <v>4.7188140000000001</v>
      </c>
      <c r="E6527">
        <v>0.51627709999999905</v>
      </c>
      <c r="F6527" t="s">
        <v>42</v>
      </c>
      <c r="G6527">
        <v>-419.9264</v>
      </c>
      <c r="H6527" s="1">
        <v>-1.013987E-6</v>
      </c>
      <c r="I6527">
        <v>91.965959999999995</v>
      </c>
      <c r="J6527">
        <v>-420.10390000000001</v>
      </c>
      <c r="K6527">
        <v>1.123427</v>
      </c>
      <c r="L6527">
        <v>120.4028</v>
      </c>
      <c r="M6527">
        <v>-0.17398739999999999</v>
      </c>
      <c r="N6527">
        <v>-1.355638E-2</v>
      </c>
      <c r="O6527">
        <v>-0.98465469999999999</v>
      </c>
      <c r="P6527">
        <v>-9.6036630000000001E-3</v>
      </c>
      <c r="Q6527">
        <v>-8.8810319999999998E-2</v>
      </c>
      <c r="R6527">
        <v>-0.99600250000000001</v>
      </c>
      <c r="S6527">
        <v>1.5991209999999999E-2</v>
      </c>
      <c r="T6527">
        <v>-0.1178944</v>
      </c>
      <c r="U6527">
        <v>-3.001938</v>
      </c>
      <c r="V6527">
        <v>-0.163431299999999</v>
      </c>
      <c r="W6527">
        <v>-7.6387109999999994E-2</v>
      </c>
      <c r="X6527">
        <v>0.98359300000000005</v>
      </c>
      <c r="Y6527">
        <v>-0.17917930000000001</v>
      </c>
      <c r="Z6527">
        <v>2.4471039999999999E-2</v>
      </c>
      <c r="AA6527">
        <v>0.98351200000000005</v>
      </c>
      <c r="AB6527">
        <v>18</v>
      </c>
      <c r="AC6527">
        <v>0.17750000000000901</v>
      </c>
      <c r="AD6527">
        <v>-1.1234280139870001</v>
      </c>
      <c r="AE6527">
        <v>-28.43684</v>
      </c>
      <c r="AF6527">
        <v>-5.1149154370536696</v>
      </c>
      <c r="AG6527">
        <v>-1.1234280139870001</v>
      </c>
      <c r="AH6527">
        <v>27.928564792124099</v>
      </c>
      <c r="AI6527">
        <v>92.265838055621998</v>
      </c>
      <c r="AJ6527">
        <v>100.37829545925899</v>
      </c>
      <c r="AK6527">
        <v>28.415298375675999</v>
      </c>
      <c r="AL6527">
        <v>94.380926586880605</v>
      </c>
      <c r="AM6527">
        <v>99.433932172366198</v>
      </c>
      <c r="AN6527">
        <v>0.99999998502142096</v>
      </c>
    </row>
    <row r="6528" spans="1:40" x14ac:dyDescent="0.25">
      <c r="A6528" t="str">
        <f>"20190303153938960"</f>
        <v>20190303153938960</v>
      </c>
      <c r="B6528" t="str">
        <f>"1551598778954610"</f>
        <v>1551598778954610</v>
      </c>
      <c r="C6528" t="s">
        <v>40</v>
      </c>
      <c r="D6528">
        <v>4.6002960000000002</v>
      </c>
      <c r="E6528">
        <v>0.51884529999999995</v>
      </c>
      <c r="F6528" t="s">
        <v>42</v>
      </c>
      <c r="G6528">
        <v>-422.32749999999999</v>
      </c>
      <c r="H6528" s="1">
        <v>-4.340793E-6</v>
      </c>
      <c r="I6528">
        <v>78.529209999999907</v>
      </c>
      <c r="J6528">
        <v>-420.12049999999999</v>
      </c>
      <c r="K6528">
        <v>1.123421</v>
      </c>
      <c r="L6528">
        <v>120.2873</v>
      </c>
      <c r="M6528">
        <v>-0.17091219999999999</v>
      </c>
      <c r="N6528">
        <v>-1.355483E-2</v>
      </c>
      <c r="O6528">
        <v>-0.98519310000000004</v>
      </c>
      <c r="P6528">
        <v>-8.1939649999999992E-3</v>
      </c>
      <c r="Q6528">
        <v>-8.8124499999999995E-2</v>
      </c>
      <c r="R6528">
        <v>-0.99607579999999996</v>
      </c>
      <c r="S6528">
        <v>-0.15948490000000001</v>
      </c>
      <c r="T6528">
        <v>-8.0576540000000002E-2</v>
      </c>
      <c r="U6528">
        <v>-3.0033259999999999</v>
      </c>
      <c r="V6528">
        <v>-0.1617691</v>
      </c>
      <c r="W6528">
        <v>-7.5687210000000005E-2</v>
      </c>
      <c r="X6528">
        <v>0.98392190000000002</v>
      </c>
      <c r="Y6528">
        <v>-0.1184113</v>
      </c>
      <c r="Z6528">
        <v>1.2625050000000001E-2</v>
      </c>
      <c r="AA6528">
        <v>0.9928844</v>
      </c>
      <c r="AB6528">
        <v>18</v>
      </c>
      <c r="AC6528">
        <v>-2.2069999999999901</v>
      </c>
      <c r="AD6528">
        <v>-1.1234253407929999</v>
      </c>
      <c r="AE6528">
        <v>-41.758090000000003</v>
      </c>
      <c r="AF6528">
        <v>-4.9595218224547599</v>
      </c>
      <c r="AG6528">
        <v>-1.1234253407929999</v>
      </c>
      <c r="AH6528">
        <v>41.490850002202201</v>
      </c>
      <c r="AI6528">
        <v>91.540030221672595</v>
      </c>
      <c r="AJ6528">
        <v>96.816389282257305</v>
      </c>
      <c r="AK6528">
        <v>41.801310686496201</v>
      </c>
      <c r="AL6528">
        <v>94.340708554083406</v>
      </c>
      <c r="AM6528">
        <v>99.336615179441694</v>
      </c>
      <c r="AN6528">
        <v>1.000000050386</v>
      </c>
    </row>
    <row r="6529" spans="1:40" x14ac:dyDescent="0.25">
      <c r="A6529" t="str">
        <f>"20190303153938974"</f>
        <v>20190303153938974</v>
      </c>
      <c r="B6529" t="str">
        <f>"1551598778965346"</f>
        <v>1551598778965346</v>
      </c>
      <c r="C6529" t="s">
        <v>40</v>
      </c>
      <c r="D6529">
        <v>4.6899059999999997</v>
      </c>
      <c r="E6529">
        <v>0.51791259999999995</v>
      </c>
      <c r="F6529" t="s">
        <v>42</v>
      </c>
      <c r="G6529">
        <v>-424.08640000000003</v>
      </c>
      <c r="H6529" s="1">
        <v>-2.3430709999999999E-6</v>
      </c>
      <c r="I6529">
        <v>52.516390000000001</v>
      </c>
      <c r="J6529">
        <v>-420.13569999999999</v>
      </c>
      <c r="K6529">
        <v>1.123416</v>
      </c>
      <c r="L6529">
        <v>120.1802</v>
      </c>
      <c r="M6529">
        <v>-0.1680635</v>
      </c>
      <c r="N6529">
        <v>-1.355337E-2</v>
      </c>
      <c r="O6529">
        <v>-0.98568319999999998</v>
      </c>
      <c r="P6529">
        <v>-6.7171399999999999E-3</v>
      </c>
      <c r="Q6529">
        <v>-8.8035160000000001E-2</v>
      </c>
      <c r="R6529">
        <v>-0.99609519999999996</v>
      </c>
      <c r="S6529">
        <v>-0.17590329999999901</v>
      </c>
      <c r="T6529">
        <v>-4.9829239999999997E-2</v>
      </c>
      <c r="U6529">
        <v>-3.0059659999999999</v>
      </c>
      <c r="V6529">
        <v>-0.16038749999999999</v>
      </c>
      <c r="W6529">
        <v>-7.5586539999999994E-2</v>
      </c>
      <c r="X6529">
        <v>0.98415580000000003</v>
      </c>
      <c r="Y6529">
        <v>-0.1101824</v>
      </c>
      <c r="Z6529">
        <v>2.6710290000000001E-3</v>
      </c>
      <c r="AA6529">
        <v>0.99390780000000001</v>
      </c>
      <c r="AB6529">
        <v>18</v>
      </c>
      <c r="AC6529">
        <v>-3.9507000000000398</v>
      </c>
      <c r="AD6529">
        <v>-1.1234183430710001</v>
      </c>
      <c r="AE6529">
        <v>-67.663809999999998</v>
      </c>
      <c r="AF6529">
        <v>-7.47630959634124</v>
      </c>
      <c r="AG6529">
        <v>-1.1234183430710001</v>
      </c>
      <c r="AH6529">
        <v>67.346721607282106</v>
      </c>
      <c r="AI6529">
        <v>90.949835049466202</v>
      </c>
      <c r="AJ6529">
        <v>96.334595177814094</v>
      </c>
      <c r="AK6529">
        <v>67.769743877357698</v>
      </c>
      <c r="AL6529">
        <v>94.3349239896136</v>
      </c>
      <c r="AM6529">
        <v>99.256099481480106</v>
      </c>
      <c r="AN6529">
        <v>1.00000005692952</v>
      </c>
    </row>
    <row r="6530" spans="1:40" x14ac:dyDescent="0.25">
      <c r="A6530" t="str">
        <f>"20190303153938986"</f>
        <v>20190303153938986</v>
      </c>
      <c r="B6530" t="str">
        <f>"1551598778975107"</f>
        <v>1551598778975107</v>
      </c>
      <c r="C6530" t="s">
        <v>40</v>
      </c>
      <c r="D6530">
        <v>4.6957820000000003</v>
      </c>
      <c r="E6530">
        <v>0.51735659999999895</v>
      </c>
      <c r="F6530" t="s">
        <v>42</v>
      </c>
      <c r="G6530">
        <v>-422.90589999999997</v>
      </c>
      <c r="H6530" s="1">
        <v>-4.7358240000000003E-6</v>
      </c>
      <c r="I6530">
        <v>69.388530000000003</v>
      </c>
      <c r="J6530">
        <v>-420.15039999999999</v>
      </c>
      <c r="K6530">
        <v>1.123407</v>
      </c>
      <c r="L6530">
        <v>120.0745</v>
      </c>
      <c r="M6530">
        <v>-0.1652535</v>
      </c>
      <c r="N6530">
        <v>-1.3551880000000001E-2</v>
      </c>
      <c r="O6530">
        <v>-0.98615810000000004</v>
      </c>
      <c r="P6530">
        <v>-5.3460089999999997E-3</v>
      </c>
      <c r="Q6530">
        <v>-8.8116769999999997E-2</v>
      </c>
      <c r="R6530">
        <v>-0.99609610000000004</v>
      </c>
      <c r="S6530">
        <v>-0.16387939999999901</v>
      </c>
      <c r="T6530">
        <v>-6.6460249999999998E-2</v>
      </c>
      <c r="U6530">
        <v>-3.0047760000000001</v>
      </c>
      <c r="V6530">
        <v>-0.15893829999999901</v>
      </c>
      <c r="W6530">
        <v>-7.5656290000000001E-2</v>
      </c>
      <c r="X6530">
        <v>0.98438550000000002</v>
      </c>
      <c r="Y6530">
        <v>-0.11128830000000001</v>
      </c>
      <c r="Z6530">
        <v>8.0834319999999998E-3</v>
      </c>
      <c r="AA6530">
        <v>0.99375530000000001</v>
      </c>
      <c r="AB6530">
        <v>18</v>
      </c>
      <c r="AC6530">
        <v>-2.7554999999999801</v>
      </c>
      <c r="AD6530">
        <v>-1.1234117358239999</v>
      </c>
      <c r="AE6530">
        <v>-50.685969999999998</v>
      </c>
      <c r="AF6530">
        <v>-5.65642397539201</v>
      </c>
      <c r="AG6530">
        <v>-1.1234117358239999</v>
      </c>
      <c r="AH6530">
        <v>50.419668268496103</v>
      </c>
      <c r="AI6530">
        <v>91.268453960063795</v>
      </c>
      <c r="AJ6530">
        <v>96.401068424102604</v>
      </c>
      <c r="AK6530">
        <v>50.748400313928798</v>
      </c>
      <c r="AL6530">
        <v>94.3389319413576</v>
      </c>
      <c r="AM6530">
        <v>99.171789035459696</v>
      </c>
      <c r="AN6530">
        <v>1.0000000350168501</v>
      </c>
    </row>
    <row r="6531" spans="1:40" x14ac:dyDescent="0.25">
      <c r="A6531" t="str">
        <f>"20190303153939001"</f>
        <v>20190303153939001</v>
      </c>
      <c r="B6531" t="str">
        <f>"1551598778995603"</f>
        <v>1551598778995603</v>
      </c>
      <c r="C6531" t="s">
        <v>40</v>
      </c>
      <c r="D6531">
        <v>4.6897339999999996</v>
      </c>
      <c r="E6531">
        <v>0.51704329999999998</v>
      </c>
      <c r="F6531" t="s">
        <v>42</v>
      </c>
      <c r="G6531">
        <v>-422.38049999999998</v>
      </c>
      <c r="H6531" s="1">
        <v>-3.734999E-6</v>
      </c>
      <c r="I6531">
        <v>76.819040000000001</v>
      </c>
      <c r="J6531">
        <v>-420.1653</v>
      </c>
      <c r="K6531">
        <v>1.123397</v>
      </c>
      <c r="L6531">
        <v>119.9648</v>
      </c>
      <c r="M6531">
        <v>-0.1623433</v>
      </c>
      <c r="N6531">
        <v>-1.3550059999999999E-2</v>
      </c>
      <c r="O6531">
        <v>-0.9866414</v>
      </c>
      <c r="P6531">
        <v>-5.7321680000000002E-3</v>
      </c>
      <c r="Q6531">
        <v>-8.8702139999999999E-2</v>
      </c>
      <c r="R6531">
        <v>-0.99604199999999998</v>
      </c>
      <c r="S6531">
        <v>-0.15487670000000001</v>
      </c>
      <c r="T6531">
        <v>-7.8019140000000001E-2</v>
      </c>
      <c r="U6531">
        <v>-3.0040279999999999</v>
      </c>
      <c r="V6531">
        <v>-0.15564539999999999</v>
      </c>
      <c r="W6531">
        <v>-7.6215599999999994E-2</v>
      </c>
      <c r="X6531">
        <v>0.98486830000000003</v>
      </c>
      <c r="Y6531">
        <v>-0.1113116</v>
      </c>
      <c r="Z6531">
        <v>1.18584E-2</v>
      </c>
      <c r="AA6531">
        <v>0.99371480000000001</v>
      </c>
      <c r="AB6531">
        <v>18</v>
      </c>
      <c r="AC6531">
        <v>-2.2151999999999799</v>
      </c>
      <c r="AD6531">
        <v>-1.1234007349990001</v>
      </c>
      <c r="AE6531">
        <v>-43.145760000000003</v>
      </c>
      <c r="AF6531">
        <v>-4.8160025870914396</v>
      </c>
      <c r="AG6531">
        <v>-1.1234007349990001</v>
      </c>
      <c r="AH6531">
        <v>42.903943121503097</v>
      </c>
      <c r="AI6531">
        <v>91.490538251566207</v>
      </c>
      <c r="AJ6531">
        <v>96.4046875360511</v>
      </c>
      <c r="AK6531">
        <v>43.188010436965499</v>
      </c>
      <c r="AL6531">
        <v>94.371071261445294</v>
      </c>
      <c r="AM6531">
        <v>98.980566108472203</v>
      </c>
      <c r="AN6531">
        <v>0.99999993828470302</v>
      </c>
    </row>
    <row r="6532" spans="1:40" x14ac:dyDescent="0.25">
      <c r="A6532" t="str">
        <f>"20190303153939015"</f>
        <v>20190303153939015</v>
      </c>
      <c r="B6532" t="str">
        <f>"1551598779005362"</f>
        <v>1551598779005362</v>
      </c>
      <c r="C6532" t="s">
        <v>40</v>
      </c>
      <c r="D6532">
        <v>4.7132759999999996</v>
      </c>
      <c r="E6532">
        <v>0.51695950000000002</v>
      </c>
      <c r="F6532" t="s">
        <v>42</v>
      </c>
      <c r="G6532">
        <v>-422.07729999999998</v>
      </c>
      <c r="H6532" s="1">
        <v>-1.8426580000000001E-6</v>
      </c>
      <c r="I6532">
        <v>82.595969999999994</v>
      </c>
      <c r="J6532">
        <v>-420.17950000000002</v>
      </c>
      <c r="K6532">
        <v>1.1233900000000001</v>
      </c>
      <c r="L6532">
        <v>119.8579</v>
      </c>
      <c r="M6532">
        <v>-0.1595134</v>
      </c>
      <c r="N6532">
        <v>-1.3548070000000001E-2</v>
      </c>
      <c r="O6532">
        <v>-0.98710290000000001</v>
      </c>
      <c r="P6532">
        <v>-4.7879560000000003E-3</v>
      </c>
      <c r="Q6532">
        <v>-8.9236860000000001E-2</v>
      </c>
      <c r="R6532">
        <v>-0.99599910000000003</v>
      </c>
      <c r="S6532">
        <v>-0.15365599999999999</v>
      </c>
      <c r="T6532">
        <v>-9.0277189999999993E-2</v>
      </c>
      <c r="U6532">
        <v>-3.0029910000000002</v>
      </c>
      <c r="V6532">
        <v>-0.1537483</v>
      </c>
      <c r="W6532">
        <v>-7.6734200000000002E-2</v>
      </c>
      <c r="X6532">
        <v>0.98512599999999995</v>
      </c>
      <c r="Y6532">
        <v>-0.10884720000000001</v>
      </c>
      <c r="Z6532">
        <v>1.5874840000000001E-2</v>
      </c>
      <c r="AA6532">
        <v>0.99393169999999997</v>
      </c>
      <c r="AB6532">
        <v>18</v>
      </c>
      <c r="AC6532">
        <v>-1.89779999999996</v>
      </c>
      <c r="AD6532">
        <v>-1.1233918426580001</v>
      </c>
      <c r="AE6532">
        <v>-37.26193</v>
      </c>
      <c r="AF6532">
        <v>-4.0671392588283899</v>
      </c>
      <c r="AG6532">
        <v>-1.1233918426580001</v>
      </c>
      <c r="AH6532">
        <v>37.053891295617397</v>
      </c>
      <c r="AI6532">
        <v>91.726188103739304</v>
      </c>
      <c r="AJ6532">
        <v>96.263870674634703</v>
      </c>
      <c r="AK6532">
        <v>37.293357198438002</v>
      </c>
      <c r="AL6532">
        <v>94.400872046022599</v>
      </c>
      <c r="AM6532">
        <v>98.870573546516596</v>
      </c>
      <c r="AN6532">
        <v>0.99999995653926399</v>
      </c>
    </row>
    <row r="6533" spans="1:40" x14ac:dyDescent="0.25">
      <c r="A6533" t="str">
        <f>"20190303153939028"</f>
        <v>20190303153939028</v>
      </c>
      <c r="B6533" t="str">
        <f>"1551598779025388"</f>
        <v>1551598779025388</v>
      </c>
      <c r="C6533" t="s">
        <v>40</v>
      </c>
      <c r="D6533">
        <v>4.6348560000000001</v>
      </c>
      <c r="E6533">
        <v>0.51664540000000003</v>
      </c>
      <c r="F6533" t="s">
        <v>42</v>
      </c>
      <c r="G6533">
        <v>-421.8965</v>
      </c>
      <c r="H6533" s="1">
        <v>-3.0291080000000002E-6</v>
      </c>
      <c r="I6533">
        <v>85.473789999999994</v>
      </c>
      <c r="J6533">
        <v>-420.19310000000002</v>
      </c>
      <c r="K6533">
        <v>1.1233770000000001</v>
      </c>
      <c r="L6533">
        <v>119.75360000000001</v>
      </c>
      <c r="M6533">
        <v>-0.15676389999999901</v>
      </c>
      <c r="N6533">
        <v>-1.3545919999999999E-2</v>
      </c>
      <c r="O6533">
        <v>-0.98754319999999896</v>
      </c>
      <c r="P6533">
        <v>-3.9048059999999998E-3</v>
      </c>
      <c r="Q6533">
        <v>-8.9438130000000005E-2</v>
      </c>
      <c r="R6533">
        <v>-0.99598489999999995</v>
      </c>
      <c r="S6533">
        <v>-0.14993290000000001</v>
      </c>
      <c r="T6533">
        <v>-9.8098400000000002E-2</v>
      </c>
      <c r="U6533">
        <v>-3.0025330000000001</v>
      </c>
      <c r="V6533">
        <v>-0.15187909999999999</v>
      </c>
      <c r="W6533">
        <v>-7.6918399999999998E-2</v>
      </c>
      <c r="X6533">
        <v>0.98540159999999999</v>
      </c>
      <c r="Y6533">
        <v>-0.1073013</v>
      </c>
      <c r="Z6533">
        <v>1.844703E-2</v>
      </c>
      <c r="AA6533">
        <v>0.99405540000000003</v>
      </c>
      <c r="AB6533">
        <v>18</v>
      </c>
      <c r="AC6533">
        <v>-1.70339999999998</v>
      </c>
      <c r="AD6533">
        <v>-1.1233800291080001</v>
      </c>
      <c r="AE6533">
        <v>-34.279809999999998</v>
      </c>
      <c r="AF6533">
        <v>-3.6880434400142699</v>
      </c>
      <c r="AG6533">
        <v>-1.1233800291080001</v>
      </c>
      <c r="AH6533">
        <v>34.086439612400099</v>
      </c>
      <c r="AI6533">
        <v>91.876657703088298</v>
      </c>
      <c r="AJ6533">
        <v>96.175197598836306</v>
      </c>
      <c r="AK6533">
        <v>34.303775485433498</v>
      </c>
      <c r="AL6533">
        <v>94.411456989350498</v>
      </c>
      <c r="AM6533">
        <v>98.762000546650498</v>
      </c>
      <c r="AN6533">
        <v>1.0000000072789601</v>
      </c>
    </row>
    <row r="6534" spans="1:40" x14ac:dyDescent="0.25">
      <c r="A6534" t="str">
        <f>"20190303153939042"</f>
        <v>20190303153939042</v>
      </c>
      <c r="B6534" t="str">
        <f>"1551598779035148"</f>
        <v>1551598779035148</v>
      </c>
      <c r="C6534" t="s">
        <v>40</v>
      </c>
      <c r="D6534">
        <v>4.6495579999999999</v>
      </c>
      <c r="E6534">
        <v>0.51665870000000003</v>
      </c>
      <c r="F6534" t="s">
        <v>42</v>
      </c>
      <c r="G6534">
        <v>-421.69119999999998</v>
      </c>
      <c r="H6534" s="1">
        <v>-4.2876089999999999E-6</v>
      </c>
      <c r="I6534">
        <v>88.704599999999999</v>
      </c>
      <c r="J6534">
        <v>-420.20679999999999</v>
      </c>
      <c r="K6534">
        <v>1.123356</v>
      </c>
      <c r="L6534">
        <v>119.6447</v>
      </c>
      <c r="M6534">
        <v>-0.153919</v>
      </c>
      <c r="N6534">
        <v>-1.354313E-2</v>
      </c>
      <c r="O6534">
        <v>-0.9879907</v>
      </c>
      <c r="P6534">
        <v>-2.673482E-3</v>
      </c>
      <c r="Q6534">
        <v>-8.9104799999999998E-2</v>
      </c>
      <c r="R6534">
        <v>-0.99601890000000004</v>
      </c>
      <c r="S6534">
        <v>-0.1448364</v>
      </c>
      <c r="T6534">
        <v>-0.10860739999999899</v>
      </c>
      <c r="U6534">
        <v>-3.0017849999999999</v>
      </c>
      <c r="V6534">
        <v>-0.15027179999999901</v>
      </c>
      <c r="W6534">
        <v>-7.6567250000000003E-2</v>
      </c>
      <c r="X6534">
        <v>0.98567530000000003</v>
      </c>
      <c r="Y6534">
        <v>-0.1061102</v>
      </c>
      <c r="Z6534">
        <v>2.1902080000000001E-2</v>
      </c>
      <c r="AA6534">
        <v>0.99411309999999997</v>
      </c>
      <c r="AB6534">
        <v>18</v>
      </c>
      <c r="AC6534">
        <v>-1.4843999999999899</v>
      </c>
      <c r="AD6534">
        <v>-1.1233602876090001</v>
      </c>
      <c r="AE6534">
        <v>-30.940100000000001</v>
      </c>
      <c r="AF6534">
        <v>-3.2916687320384002</v>
      </c>
      <c r="AG6534">
        <v>-1.1233602876090001</v>
      </c>
      <c r="AH6534">
        <v>30.759376490662401</v>
      </c>
      <c r="AI6534">
        <v>92.079700362018997</v>
      </c>
      <c r="AJ6534">
        <v>96.108176325185994</v>
      </c>
      <c r="AK6534">
        <v>30.955391508937002</v>
      </c>
      <c r="AL6534">
        <v>94.391278198910697</v>
      </c>
      <c r="AM6534">
        <v>98.668319908545499</v>
      </c>
      <c r="AN6534">
        <v>0.99999997733894597</v>
      </c>
    </row>
    <row r="6535" spans="1:40" x14ac:dyDescent="0.25">
      <c r="A6535" t="str">
        <f>"20190303153939057"</f>
        <v>20190303153939057</v>
      </c>
      <c r="B6535" t="str">
        <f>"1551598779044909"</f>
        <v>1551598779044909</v>
      </c>
      <c r="C6535" t="s">
        <v>40</v>
      </c>
      <c r="D6535">
        <v>4.6398539999999997</v>
      </c>
      <c r="E6535">
        <v>0.51666829999999997</v>
      </c>
      <c r="F6535" t="s">
        <v>42</v>
      </c>
      <c r="G6535">
        <v>-421.62490000000003</v>
      </c>
      <c r="H6535" s="1">
        <v>-4.4974159999999999E-6</v>
      </c>
      <c r="I6535">
        <v>89.355639999999994</v>
      </c>
      <c r="J6535">
        <v>-420.2208</v>
      </c>
      <c r="K6535">
        <v>1.123335</v>
      </c>
      <c r="L6535">
        <v>119.5324</v>
      </c>
      <c r="M6535">
        <v>-0.15100729999999901</v>
      </c>
      <c r="N6535">
        <v>-1.353972E-2</v>
      </c>
      <c r="O6535">
        <v>-0.98843990000000004</v>
      </c>
      <c r="P6535">
        <v>-3.1096180000000002E-3</v>
      </c>
      <c r="Q6535">
        <v>-8.8648530000000003E-2</v>
      </c>
      <c r="R6535">
        <v>-0.9960582</v>
      </c>
      <c r="S6535">
        <v>-0.140533399999999</v>
      </c>
      <c r="T6535">
        <v>-0.11132499999999999</v>
      </c>
      <c r="U6535">
        <v>-3.0016479999999999</v>
      </c>
      <c r="V6535">
        <v>-0.14695259999999999</v>
      </c>
      <c r="W6535">
        <v>-7.6078599999999996E-2</v>
      </c>
      <c r="X6535">
        <v>0.98621340000000002</v>
      </c>
      <c r="Y6535">
        <v>-0.10460079999999999</v>
      </c>
      <c r="Z6535">
        <v>2.281847E-2</v>
      </c>
      <c r="AA6535">
        <v>0.99425249999999998</v>
      </c>
      <c r="AB6535">
        <v>18</v>
      </c>
      <c r="AC6535">
        <v>-1.4041000000000201</v>
      </c>
      <c r="AD6535">
        <v>-1.123339497416</v>
      </c>
      <c r="AE6535">
        <v>-30.176759999999899</v>
      </c>
      <c r="AF6535">
        <v>-3.1649568804088801</v>
      </c>
      <c r="AG6535">
        <v>-1.123339497416</v>
      </c>
      <c r="AH6535">
        <v>30.001213817692999</v>
      </c>
      <c r="AI6535">
        <v>92.132509321042804</v>
      </c>
      <c r="AJ6535">
        <v>96.022103653368902</v>
      </c>
      <c r="AK6535">
        <v>30.188601726748399</v>
      </c>
      <c r="AL6535">
        <v>94.363198852298297</v>
      </c>
      <c r="AM6535">
        <v>98.475109084599197</v>
      </c>
      <c r="AN6535">
        <v>0.99999994518213797</v>
      </c>
    </row>
    <row r="6536" spans="1:40" x14ac:dyDescent="0.25">
      <c r="A6536" t="str">
        <f>"20190303153939080"</f>
        <v>20190303153939080</v>
      </c>
      <c r="B6536" t="str">
        <f>"1551598779075164"</f>
        <v>1551598779075164</v>
      </c>
      <c r="C6536" t="s">
        <v>40</v>
      </c>
      <c r="D6536">
        <v>4.6789300000000003</v>
      </c>
      <c r="E6536">
        <v>0.51700469999999998</v>
      </c>
      <c r="F6536" t="s">
        <v>42</v>
      </c>
      <c r="G6536">
        <v>-421.64580000000001</v>
      </c>
      <c r="H6536" s="1">
        <v>-4.5469599999999996E-6</v>
      </c>
      <c r="I6536">
        <v>89.490369999999999</v>
      </c>
      <c r="J6536">
        <v>-420.24220000000003</v>
      </c>
      <c r="K6536">
        <v>1.1232770000000001</v>
      </c>
      <c r="L6536">
        <v>119.3556</v>
      </c>
      <c r="M6536">
        <v>-0.14650050000000001</v>
      </c>
      <c r="N6536">
        <v>-1.353302E-2</v>
      </c>
      <c r="O6536">
        <v>-0.98911800000000005</v>
      </c>
      <c r="P6536">
        <v>-2.024741E-3</v>
      </c>
      <c r="Q6536">
        <v>-8.7979420000000003E-2</v>
      </c>
      <c r="R6536">
        <v>-0.99612060000000002</v>
      </c>
      <c r="S6536">
        <v>-0.1423645</v>
      </c>
      <c r="T6536">
        <v>-0.1122305</v>
      </c>
      <c r="U6536">
        <v>-3.0014340000000002</v>
      </c>
      <c r="V6536">
        <v>-0.14355850000000001</v>
      </c>
      <c r="W6536">
        <v>-7.5368320000000003E-2</v>
      </c>
      <c r="X6536">
        <v>0.98676770000000003</v>
      </c>
      <c r="Y6536">
        <v>-9.946004E-2</v>
      </c>
      <c r="Z6536">
        <v>2.3169160000000001E-2</v>
      </c>
      <c r="AA6536">
        <v>0.99477179999999998</v>
      </c>
      <c r="AB6536">
        <v>18</v>
      </c>
      <c r="AC6536">
        <v>-1.40359999999998</v>
      </c>
      <c r="AD6536">
        <v>-1.1232815469599999</v>
      </c>
      <c r="AE6536">
        <v>-29.86523</v>
      </c>
      <c r="AF6536">
        <v>-2.9830081446985801</v>
      </c>
      <c r="AG6536">
        <v>-1.1232815469599999</v>
      </c>
      <c r="AH6536">
        <v>29.706657981402099</v>
      </c>
      <c r="AI6536">
        <v>92.154636844397899</v>
      </c>
      <c r="AJ6536">
        <v>95.734161386068394</v>
      </c>
      <c r="AK6536">
        <v>29.877175693982199</v>
      </c>
      <c r="AL6536">
        <v>94.322385557372399</v>
      </c>
      <c r="AM6536">
        <v>98.277522045629894</v>
      </c>
      <c r="AN6536">
        <v>0.99999996017257997</v>
      </c>
    </row>
    <row r="6537" spans="1:40" x14ac:dyDescent="0.25">
      <c r="A6537" t="str">
        <f>"20190303153939103"</f>
        <v>20190303153939103</v>
      </c>
      <c r="B6537" t="str">
        <f>"1551598779094684"</f>
        <v>1551598779094684</v>
      </c>
      <c r="C6537" t="s">
        <v>40</v>
      </c>
      <c r="D6537">
        <v>4.6685379999999999</v>
      </c>
      <c r="E6537">
        <v>0.51724979999999998</v>
      </c>
      <c r="F6537" t="s">
        <v>42</v>
      </c>
      <c r="G6537">
        <v>-421.60509999999999</v>
      </c>
      <c r="H6537" s="1">
        <v>-8.1382559999999995E-7</v>
      </c>
      <c r="I6537">
        <v>90.490639999999999</v>
      </c>
      <c r="J6537">
        <v>-420.26310000000001</v>
      </c>
      <c r="K6537">
        <v>1.1231960000000001</v>
      </c>
      <c r="L6537">
        <v>119.178</v>
      </c>
      <c r="M6537">
        <v>-0.1420836</v>
      </c>
      <c r="N6537">
        <v>-1.352474E-2</v>
      </c>
      <c r="O6537">
        <v>-0.98976220000000004</v>
      </c>
      <c r="P6537">
        <v>-1.50353799999999E-3</v>
      </c>
      <c r="Q6537">
        <v>-8.7527030000000006E-2</v>
      </c>
      <c r="R6537">
        <v>-0.99616119999999997</v>
      </c>
      <c r="S6537">
        <v>-0.14169309999999999</v>
      </c>
      <c r="T6537">
        <v>-0.1167868</v>
      </c>
      <c r="U6537">
        <v>-3.0010829999999999</v>
      </c>
      <c r="V6537">
        <v>-0.13969589999999901</v>
      </c>
      <c r="W6537">
        <v>-7.4868229999999994E-2</v>
      </c>
      <c r="X6537">
        <v>0.98736000000000002</v>
      </c>
      <c r="Y6537">
        <v>-9.5236100000000004E-2</v>
      </c>
      <c r="Z6537">
        <v>2.471224E-2</v>
      </c>
      <c r="AA6537">
        <v>0.99514789999999997</v>
      </c>
      <c r="AB6537">
        <v>18</v>
      </c>
      <c r="AC6537">
        <v>-1.3419999999999801</v>
      </c>
      <c r="AD6537">
        <v>-1.1231968138256001</v>
      </c>
      <c r="AE6537">
        <v>-28.687360000000002</v>
      </c>
      <c r="AF6537">
        <v>-2.7437970720852398</v>
      </c>
      <c r="AG6537">
        <v>-1.1231968138256001</v>
      </c>
      <c r="AH6537">
        <v>28.543296946725299</v>
      </c>
      <c r="AI6537">
        <v>92.243133178274206</v>
      </c>
      <c r="AJ6537">
        <v>95.490831433861203</v>
      </c>
      <c r="AK6537">
        <v>28.6968603516885</v>
      </c>
      <c r="AL6537">
        <v>94.293651226665105</v>
      </c>
      <c r="AM6537">
        <v>98.053000455333006</v>
      </c>
      <c r="AN6537">
        <v>0.99999998297007098</v>
      </c>
    </row>
    <row r="6538" spans="1:40" x14ac:dyDescent="0.25">
      <c r="A6538" t="str">
        <f>"20190303153939124"</f>
        <v>20190303153939124</v>
      </c>
      <c r="B6538" t="str">
        <f>"1551598779115180"</f>
        <v>1551598779115180</v>
      </c>
      <c r="C6538" t="s">
        <v>40</v>
      </c>
      <c r="D6538">
        <v>4.6546399999999997</v>
      </c>
      <c r="E6538">
        <v>0.51724420000000004</v>
      </c>
      <c r="F6538" t="s">
        <v>42</v>
      </c>
      <c r="G6538">
        <v>-421.61219999999997</v>
      </c>
      <c r="H6538" s="1">
        <v>-8.7267700000000003E-7</v>
      </c>
      <c r="I6538">
        <v>90.623440000000002</v>
      </c>
      <c r="J6538">
        <v>-420.28280000000001</v>
      </c>
      <c r="K6538">
        <v>1.123097</v>
      </c>
      <c r="L6538">
        <v>119.0051</v>
      </c>
      <c r="M6538">
        <v>-0.13792499999999999</v>
      </c>
      <c r="N6538">
        <v>-1.3515340000000001E-2</v>
      </c>
      <c r="O6538">
        <v>-0.99035050000000002</v>
      </c>
      <c r="P6538">
        <v>-2.0665430000000001E-3</v>
      </c>
      <c r="Q6538">
        <v>-8.7126999999999996E-2</v>
      </c>
      <c r="R6538">
        <v>-0.99619530000000001</v>
      </c>
      <c r="S6538">
        <v>-0.14178470000000001</v>
      </c>
      <c r="T6538">
        <v>-0.11804439999999999</v>
      </c>
      <c r="U6538">
        <v>-3.0009920000000001</v>
      </c>
      <c r="V6538">
        <v>-0.1350191</v>
      </c>
      <c r="W6538">
        <v>-7.4413309999999996E-2</v>
      </c>
      <c r="X6538">
        <v>0.98804479999999995</v>
      </c>
      <c r="Y6538">
        <v>-9.1024060000000004E-2</v>
      </c>
      <c r="Z6538">
        <v>2.5174490000000001E-2</v>
      </c>
      <c r="AA6538">
        <v>0.99553040000000004</v>
      </c>
      <c r="AB6538">
        <v>18</v>
      </c>
      <c r="AC6538">
        <v>-1.3293999999999599</v>
      </c>
      <c r="AD6538">
        <v>-1.123097872677</v>
      </c>
      <c r="AE6538">
        <v>-28.38166</v>
      </c>
      <c r="AF6538">
        <v>-2.5941524544552501</v>
      </c>
      <c r="AG6538">
        <v>-1.123097872677</v>
      </c>
      <c r="AH6538">
        <v>28.249592991914501</v>
      </c>
      <c r="AI6538">
        <v>92.267137393443207</v>
      </c>
      <c r="AJ6538">
        <v>95.246740832864901</v>
      </c>
      <c r="AK6538">
        <v>28.390675934140699</v>
      </c>
      <c r="AL6538">
        <v>94.2675131919476</v>
      </c>
      <c r="AM6538">
        <v>97.781431446272904</v>
      </c>
      <c r="AN6538">
        <v>1.0000000124385</v>
      </c>
    </row>
    <row r="6539" spans="1:40" x14ac:dyDescent="0.25">
      <c r="A6539" t="str">
        <f>"20190303153939146"</f>
        <v>20190303153939146</v>
      </c>
      <c r="B6539" t="str">
        <f>"1551598779134700"</f>
        <v>1551598779134700</v>
      </c>
      <c r="C6539" t="s">
        <v>40</v>
      </c>
      <c r="D6539">
        <v>4.6948780000000001</v>
      </c>
      <c r="E6539">
        <v>0.51732339999999999</v>
      </c>
      <c r="F6539" t="s">
        <v>42</v>
      </c>
      <c r="G6539">
        <v>-421.62279999999998</v>
      </c>
      <c r="H6539" s="1">
        <v>-1.0039649999999999E-6</v>
      </c>
      <c r="I6539">
        <v>90.922839999999994</v>
      </c>
      <c r="J6539">
        <v>-420.30070000000001</v>
      </c>
      <c r="K6539">
        <v>1.1229899999999999</v>
      </c>
      <c r="L6539">
        <v>118.84350000000001</v>
      </c>
      <c r="M6539">
        <v>-0.13420090000000001</v>
      </c>
      <c r="N6539">
        <v>-1.350516E-2</v>
      </c>
      <c r="O6539">
        <v>-0.99086229999999997</v>
      </c>
      <c r="P6539">
        <v>-3.2021319999999999E-3</v>
      </c>
      <c r="Q6539">
        <v>-8.5813120000000007E-2</v>
      </c>
      <c r="R6539">
        <v>-0.99630620000000003</v>
      </c>
      <c r="S6539">
        <v>-0.1431885</v>
      </c>
      <c r="T6539">
        <v>-0.1200056</v>
      </c>
      <c r="U6539">
        <v>-3.0006560000000002</v>
      </c>
      <c r="V6539">
        <v>-0.13022239999999999</v>
      </c>
      <c r="W6539">
        <v>-7.3042620000000003E-2</v>
      </c>
      <c r="X6539">
        <v>0.98879059999999996</v>
      </c>
      <c r="Y6539">
        <v>-8.681142E-2</v>
      </c>
      <c r="Z6539">
        <v>2.586716E-2</v>
      </c>
      <c r="AA6539">
        <v>0.99588889999999997</v>
      </c>
      <c r="AB6539">
        <v>18</v>
      </c>
      <c r="AC6539">
        <v>-1.3220999999999701</v>
      </c>
      <c r="AD6539">
        <v>-1.122991003965</v>
      </c>
      <c r="AE6539">
        <v>-27.920660000000002</v>
      </c>
      <c r="AF6539">
        <v>-2.4332529765902899</v>
      </c>
      <c r="AG6539">
        <v>-1.122991003965</v>
      </c>
      <c r="AH6539">
        <v>27.800617963125799</v>
      </c>
      <c r="AI6539">
        <v>92.304374473943099</v>
      </c>
      <c r="AJ6539">
        <v>95.002074060382498</v>
      </c>
      <c r="AK6539">
        <v>27.9294859955343</v>
      </c>
      <c r="AL6539">
        <v>94.188764270699096</v>
      </c>
      <c r="AM6539">
        <v>97.502600002855999</v>
      </c>
      <c r="AN6539">
        <v>0.99999997422329101</v>
      </c>
    </row>
    <row r="6540" spans="1:40" x14ac:dyDescent="0.25">
      <c r="A6540" t="str">
        <f>"20190303153939167"</f>
        <v>20190303153939167</v>
      </c>
      <c r="B6540" t="str">
        <f>"1551598779164956"</f>
        <v>1551598779164956</v>
      </c>
      <c r="C6540" t="s">
        <v>40</v>
      </c>
      <c r="D6540">
        <v>4.6503170000000003</v>
      </c>
      <c r="E6540">
        <v>0.51761740000000001</v>
      </c>
      <c r="F6540" t="s">
        <v>42</v>
      </c>
      <c r="G6540">
        <v>-421.69049999999999</v>
      </c>
      <c r="H6540" s="1">
        <v>-8.2518319999999904E-7</v>
      </c>
      <c r="I6540">
        <v>90.464110000000005</v>
      </c>
      <c r="J6540">
        <v>-420.31939999999997</v>
      </c>
      <c r="K6540">
        <v>1.12286</v>
      </c>
      <c r="L6540">
        <v>118.67059999999999</v>
      </c>
      <c r="M6540">
        <v>-0.1304245</v>
      </c>
      <c r="N6540">
        <v>-1.349267E-2</v>
      </c>
      <c r="O6540">
        <v>-0.99136670000000005</v>
      </c>
      <c r="P6540">
        <v>-3.3281069999999999E-3</v>
      </c>
      <c r="Q6540">
        <v>-8.2743040000000004E-2</v>
      </c>
      <c r="R6540">
        <v>-0.99656579999999995</v>
      </c>
      <c r="S6540">
        <v>-0.14694209999999999</v>
      </c>
      <c r="T6540">
        <v>-0.1187289</v>
      </c>
      <c r="U6540">
        <v>-3.0004270000000002</v>
      </c>
      <c r="V6540">
        <v>-0.1264033</v>
      </c>
      <c r="W6540">
        <v>-6.9915999999999895E-2</v>
      </c>
      <c r="X6540">
        <v>0.98951199999999995</v>
      </c>
      <c r="Y6540">
        <v>-8.1769599999999998E-2</v>
      </c>
      <c r="Z6540">
        <v>2.5501659999999999E-2</v>
      </c>
      <c r="AA6540">
        <v>0.99632500000000002</v>
      </c>
      <c r="AB6540">
        <v>18</v>
      </c>
      <c r="AC6540">
        <v>-1.37110000000001</v>
      </c>
      <c r="AD6540">
        <v>-1.1228608251832</v>
      </c>
      <c r="AE6540">
        <v>-28.206489999999999</v>
      </c>
      <c r="AF6540">
        <v>-2.3161032859620101</v>
      </c>
      <c r="AG6540">
        <v>-1.1228608251832</v>
      </c>
      <c r="AH6540">
        <v>28.0999287092068</v>
      </c>
      <c r="AI6540">
        <v>92.280571354404302</v>
      </c>
      <c r="AJ6540">
        <v>94.711885557337197</v>
      </c>
      <c r="AK6540">
        <v>28.2175680087154</v>
      </c>
      <c r="AL6540">
        <v>94.009162472631203</v>
      </c>
      <c r="AM6540">
        <v>97.279712097709606</v>
      </c>
      <c r="AN6540">
        <v>1.0000000197254399</v>
      </c>
    </row>
    <row r="6541" spans="1:40" x14ac:dyDescent="0.25">
      <c r="A6541" t="str">
        <f>"20190303153939183"</f>
        <v>20190303153939183</v>
      </c>
      <c r="B6541" t="str">
        <f>"1551598779174716"</f>
        <v>1551598779174716</v>
      </c>
      <c r="C6541" t="s">
        <v>40</v>
      </c>
      <c r="D6541">
        <v>4.6573310000000001</v>
      </c>
      <c r="E6541">
        <v>0.51762459999999999</v>
      </c>
      <c r="F6541" t="s">
        <v>42</v>
      </c>
      <c r="G6541">
        <v>-421.85410000000002</v>
      </c>
      <c r="H6541" s="1">
        <v>-4.018664E-6</v>
      </c>
      <c r="I6541">
        <v>87.829359999999994</v>
      </c>
      <c r="J6541">
        <v>-420.33150000000001</v>
      </c>
      <c r="K6541">
        <v>1.1227670000000001</v>
      </c>
      <c r="L6541">
        <v>118.5562</v>
      </c>
      <c r="M6541">
        <v>-0.12808219999999901</v>
      </c>
      <c r="N6541">
        <v>-1.348333E-2</v>
      </c>
      <c r="O6541">
        <v>-0.991672</v>
      </c>
      <c r="P6541">
        <v>-2.7027179999999998E-3</v>
      </c>
      <c r="Q6541">
        <v>-8.1318260000000003E-2</v>
      </c>
      <c r="R6541">
        <v>-0.99668489999999998</v>
      </c>
      <c r="S6541">
        <v>-0.1493225</v>
      </c>
      <c r="T6541">
        <v>-0.109251399999999</v>
      </c>
      <c r="U6541">
        <v>-3.0007630000000001</v>
      </c>
      <c r="V6541">
        <v>-0.1247262</v>
      </c>
      <c r="W6541">
        <v>-6.8458309999999994E-2</v>
      </c>
      <c r="X6541">
        <v>0.98982669999999995</v>
      </c>
      <c r="Y6541">
        <v>-7.8630859999999997E-2</v>
      </c>
      <c r="Z6541">
        <v>2.242162E-2</v>
      </c>
      <c r="AA6541">
        <v>0.99665159999999997</v>
      </c>
      <c r="AB6541">
        <v>18</v>
      </c>
      <c r="AC6541">
        <v>-1.5226000000000099</v>
      </c>
      <c r="AD6541">
        <v>-1.1227710186640001</v>
      </c>
      <c r="AE6541">
        <v>-30.726839999999999</v>
      </c>
      <c r="AF6541">
        <v>-2.4226349696659102</v>
      </c>
      <c r="AG6541">
        <v>-1.1227710186640001</v>
      </c>
      <c r="AH6541">
        <v>30.627955296607201</v>
      </c>
      <c r="AI6541">
        <v>92.092898791232898</v>
      </c>
      <c r="AJ6541">
        <v>94.522611857362506</v>
      </c>
      <c r="AK6541">
        <v>30.7441282297542</v>
      </c>
      <c r="AL6541">
        <v>93.9254423204478</v>
      </c>
      <c r="AM6541">
        <v>97.181881573978501</v>
      </c>
      <c r="AN6541">
        <v>1.00000003060369</v>
      </c>
    </row>
    <row r="6542" spans="1:40" x14ac:dyDescent="0.25">
      <c r="A6542" t="str">
        <f>"20190303153939196"</f>
        <v>20190303153939196</v>
      </c>
      <c r="B6542" t="str">
        <f>"1551598779185452"</f>
        <v>1551598779185452</v>
      </c>
      <c r="C6542" t="s">
        <v>40</v>
      </c>
      <c r="D6542">
        <v>4.6548590000000001</v>
      </c>
      <c r="E6542">
        <v>0.51766060000000003</v>
      </c>
      <c r="F6542" t="s">
        <v>42</v>
      </c>
      <c r="G6542">
        <v>-421.89760000000001</v>
      </c>
      <c r="H6542" s="1">
        <v>-3.537369E-6</v>
      </c>
      <c r="I6542">
        <v>86.657859999999999</v>
      </c>
      <c r="J6542">
        <v>-420.3424</v>
      </c>
      <c r="K6542">
        <v>1.1226739999999999</v>
      </c>
      <c r="L6542">
        <v>118.452</v>
      </c>
      <c r="M6542">
        <v>-0.1260327</v>
      </c>
      <c r="N6542">
        <v>-1.347463E-2</v>
      </c>
      <c r="O6542">
        <v>-0.99193450000000005</v>
      </c>
      <c r="P6542">
        <v>-2.0554919999999999E-3</v>
      </c>
      <c r="Q6542">
        <v>-8.041703E-2</v>
      </c>
      <c r="R6542">
        <v>-0.99675910000000001</v>
      </c>
      <c r="S6542">
        <v>-0.14733889999999999</v>
      </c>
      <c r="T6542">
        <v>-0.1056291</v>
      </c>
      <c r="U6542">
        <v>-3.0009610000000002</v>
      </c>
      <c r="V6542">
        <v>-0.1233538</v>
      </c>
      <c r="W6542">
        <v>-6.7528249999999998E-2</v>
      </c>
      <c r="X6542">
        <v>0.99006249999999996</v>
      </c>
      <c r="Y6542">
        <v>-7.7231110000000006E-2</v>
      </c>
      <c r="Z6542">
        <v>2.125523E-2</v>
      </c>
      <c r="AA6542">
        <v>0.99678659999999997</v>
      </c>
      <c r="AB6542">
        <v>18</v>
      </c>
      <c r="AC6542">
        <v>-1.5552000000000099</v>
      </c>
      <c r="AD6542">
        <v>-1.1226775373689999</v>
      </c>
      <c r="AE6542">
        <v>-31.794139999999999</v>
      </c>
      <c r="AF6542">
        <v>-2.46160676677153</v>
      </c>
      <c r="AG6542">
        <v>-1.1226775373689999</v>
      </c>
      <c r="AH6542">
        <v>31.6971664882422</v>
      </c>
      <c r="AI6542">
        <v>92.022418833915296</v>
      </c>
      <c r="AJ6542">
        <v>94.440685851790604</v>
      </c>
      <c r="AK6542">
        <v>31.812423298304001</v>
      </c>
      <c r="AL6542">
        <v>93.872030360497007</v>
      </c>
      <c r="AM6542">
        <v>97.101994339352302</v>
      </c>
      <c r="AN6542">
        <v>0.99999998921437605</v>
      </c>
    </row>
    <row r="6543" spans="1:40" x14ac:dyDescent="0.25">
      <c r="A6543" t="str">
        <f>"20190303153939209"</f>
        <v>20190303153939209</v>
      </c>
      <c r="B6543" t="str">
        <f>"1551598779204972"</f>
        <v>1551598779204972</v>
      </c>
      <c r="C6543" t="s">
        <v>40</v>
      </c>
      <c r="D6543">
        <v>4.6748659999999997</v>
      </c>
      <c r="E6543">
        <v>0.51766590000000001</v>
      </c>
      <c r="F6543" t="s">
        <v>42</v>
      </c>
      <c r="G6543">
        <v>-421.91489999999999</v>
      </c>
      <c r="H6543" s="1">
        <v>-3.2209369999999999E-6</v>
      </c>
      <c r="I6543">
        <v>85.909480000000002</v>
      </c>
      <c r="J6543">
        <v>-420.35309999999998</v>
      </c>
      <c r="K6543">
        <v>1.122579</v>
      </c>
      <c r="L6543">
        <v>118.3492</v>
      </c>
      <c r="M6543">
        <v>-0.1240808</v>
      </c>
      <c r="N6543">
        <v>-1.3465980000000001E-2</v>
      </c>
      <c r="O6543">
        <v>-0.99218110000000004</v>
      </c>
      <c r="P6543">
        <v>-1.608789E-3</v>
      </c>
      <c r="Q6543">
        <v>-7.99343E-2</v>
      </c>
      <c r="R6543">
        <v>-0.9967994</v>
      </c>
      <c r="S6543">
        <v>-0.1450195</v>
      </c>
      <c r="T6543">
        <v>-0.1035343</v>
      </c>
      <c r="U6543">
        <v>-3.001099</v>
      </c>
      <c r="V6543">
        <v>-0.1218726</v>
      </c>
      <c r="W6543">
        <v>-6.7016770000000003E-2</v>
      </c>
      <c r="X6543">
        <v>0.99028070000000001</v>
      </c>
      <c r="Y6543">
        <v>-7.6040250000000004E-2</v>
      </c>
      <c r="Z6543">
        <v>2.058867E-2</v>
      </c>
      <c r="AA6543">
        <v>0.99689220000000001</v>
      </c>
      <c r="AB6543">
        <v>18</v>
      </c>
      <c r="AC6543">
        <v>-1.5618000000000001</v>
      </c>
      <c r="AD6543">
        <v>-1.122582220937</v>
      </c>
      <c r="AE6543">
        <v>-32.439719999999902</v>
      </c>
      <c r="AF6543">
        <v>-2.4728271576756198</v>
      </c>
      <c r="AG6543">
        <v>-1.122582220937</v>
      </c>
      <c r="AH6543">
        <v>32.344147951853202</v>
      </c>
      <c r="AI6543">
        <v>91.982011781241795</v>
      </c>
      <c r="AJ6543">
        <v>94.371964650756496</v>
      </c>
      <c r="AK6543">
        <v>32.457956986321101</v>
      </c>
      <c r="AL6543">
        <v>93.842658051914</v>
      </c>
      <c r="AM6543">
        <v>97.016039998965894</v>
      </c>
      <c r="AN6543">
        <v>1.00000002144224</v>
      </c>
    </row>
    <row r="6544" spans="1:40" x14ac:dyDescent="0.25">
      <c r="A6544" t="str">
        <f>"20190303153939224"</f>
        <v>20190303153939224</v>
      </c>
      <c r="B6544" t="str">
        <f>"1551598779214732"</f>
        <v>1551598779214732</v>
      </c>
      <c r="C6544" t="s">
        <v>40</v>
      </c>
      <c r="D6544">
        <v>4.7095760000000002</v>
      </c>
      <c r="E6544">
        <v>0.51772240000000003</v>
      </c>
      <c r="F6544" t="s">
        <v>42</v>
      </c>
      <c r="G6544">
        <v>-421.90219999999999</v>
      </c>
      <c r="H6544" s="1">
        <v>-3.2980609999999998E-6</v>
      </c>
      <c r="I6544">
        <v>86.097189999999998</v>
      </c>
      <c r="J6544">
        <v>-420.36509999999998</v>
      </c>
      <c r="K6544">
        <v>1.122476</v>
      </c>
      <c r="L6544">
        <v>118.23260000000001</v>
      </c>
      <c r="M6544">
        <v>-0.122016</v>
      </c>
      <c r="N6544">
        <v>-1.345594E-2</v>
      </c>
      <c r="O6544">
        <v>-0.99243700000000001</v>
      </c>
      <c r="P6544">
        <v>-2.5016309999999998E-3</v>
      </c>
      <c r="Q6544">
        <v>-7.9657820000000004E-2</v>
      </c>
      <c r="R6544">
        <v>-0.99681929999999996</v>
      </c>
      <c r="S6544">
        <v>-0.1441345</v>
      </c>
      <c r="T6544">
        <v>-0.1044554</v>
      </c>
      <c r="U6544">
        <v>-3.0010219999999999</v>
      </c>
      <c r="V6544">
        <v>-0.11894879999999999</v>
      </c>
      <c r="W6544">
        <v>-6.6704180000000002E-2</v>
      </c>
      <c r="X6544">
        <v>0.99065720000000002</v>
      </c>
      <c r="Y6544">
        <v>-7.4258190000000002E-2</v>
      </c>
      <c r="Z6544">
        <v>2.0916819999999999E-2</v>
      </c>
      <c r="AA6544">
        <v>0.99701960000000001</v>
      </c>
      <c r="AB6544">
        <v>18</v>
      </c>
      <c r="AC6544">
        <v>-1.5370999999999999</v>
      </c>
      <c r="AD6544">
        <v>-1.1224792980609899</v>
      </c>
      <c r="AE6544">
        <v>-32.13541</v>
      </c>
      <c r="AF6544">
        <v>-2.3928631529219899</v>
      </c>
      <c r="AG6544">
        <v>-1.1224792980609899</v>
      </c>
      <c r="AH6544">
        <v>32.043815822071501</v>
      </c>
      <c r="AI6544">
        <v>92.000657148150097</v>
      </c>
      <c r="AJ6544">
        <v>94.270620274099997</v>
      </c>
      <c r="AK6544">
        <v>32.152634204401103</v>
      </c>
      <c r="AL6544">
        <v>93.824707970833998</v>
      </c>
      <c r="AM6544">
        <v>96.846760788287796</v>
      </c>
      <c r="AN6544">
        <v>0.99999997628137505</v>
      </c>
    </row>
    <row r="6545" spans="1:40" x14ac:dyDescent="0.25">
      <c r="A6545" t="str">
        <f>"20190303153939239"</f>
        <v>20190303153939239</v>
      </c>
      <c r="B6545" t="str">
        <f>"1551598779235228"</f>
        <v>1551598779235228</v>
      </c>
      <c r="C6545" t="s">
        <v>40</v>
      </c>
      <c r="D6545">
        <v>4.7095929999999999</v>
      </c>
      <c r="E6545">
        <v>0.51779809999999904</v>
      </c>
      <c r="F6545" t="s">
        <v>42</v>
      </c>
      <c r="G6545">
        <v>-421.95679999999999</v>
      </c>
      <c r="H6545" s="1">
        <v>-3.2146239999999999E-6</v>
      </c>
      <c r="I6545">
        <v>85.868840000000006</v>
      </c>
      <c r="J6545">
        <v>-420.37599999999998</v>
      </c>
      <c r="K6545">
        <v>1.1223879999999999</v>
      </c>
      <c r="L6545">
        <v>118.12560000000001</v>
      </c>
      <c r="M6545">
        <v>-0.1202035</v>
      </c>
      <c r="N6545">
        <v>-1.344708E-2</v>
      </c>
      <c r="O6545">
        <v>-0.99265840000000005</v>
      </c>
      <c r="P6545">
        <v>-2.061996E-3</v>
      </c>
      <c r="Q6545">
        <v>-7.966587E-2</v>
      </c>
      <c r="R6545">
        <v>-0.99681969999999998</v>
      </c>
      <c r="S6545">
        <v>-0.14758299999999999</v>
      </c>
      <c r="T6545">
        <v>-0.1040797</v>
      </c>
      <c r="U6545">
        <v>-3.0008699999999999</v>
      </c>
      <c r="V6545">
        <v>-0.11759260000000001</v>
      </c>
      <c r="W6545">
        <v>-6.6688800000000006E-2</v>
      </c>
      <c r="X6545">
        <v>0.99082020000000004</v>
      </c>
      <c r="Y6545">
        <v>-7.1292300000000003E-2</v>
      </c>
      <c r="Z6545">
        <v>2.0818670000000001E-2</v>
      </c>
      <c r="AA6545">
        <v>0.99723819999999996</v>
      </c>
      <c r="AB6545">
        <v>18</v>
      </c>
      <c r="AC6545">
        <v>-1.58080000000001</v>
      </c>
      <c r="AD6545">
        <v>-1.122391214624</v>
      </c>
      <c r="AE6545">
        <v>-32.25676</v>
      </c>
      <c r="AF6545">
        <v>-2.3056045258294402</v>
      </c>
      <c r="AG6545">
        <v>-1.122391214624</v>
      </c>
      <c r="AH6545">
        <v>32.174006828803201</v>
      </c>
      <c r="AI6545">
        <v>91.992848634427801</v>
      </c>
      <c r="AJ6545">
        <v>94.098836057908898</v>
      </c>
      <c r="AK6545">
        <v>32.2760327439427</v>
      </c>
      <c r="AL6545">
        <v>93.823824542828703</v>
      </c>
      <c r="AM6545">
        <v>96.768322391965299</v>
      </c>
      <c r="AN6545">
        <v>1.00000004217411</v>
      </c>
    </row>
    <row r="6546" spans="1:40" x14ac:dyDescent="0.25">
      <c r="A6546" t="str">
        <f>"20190303153939253"</f>
        <v>20190303153939253</v>
      </c>
      <c r="B6546" t="str">
        <f>"1551598779244988"</f>
        <v>1551598779244988</v>
      </c>
      <c r="C6546" t="s">
        <v>40</v>
      </c>
      <c r="D6546">
        <v>4.5616989999999999</v>
      </c>
      <c r="E6546">
        <v>0.51784779999999997</v>
      </c>
      <c r="F6546" t="s">
        <v>42</v>
      </c>
      <c r="G6546">
        <v>-421.93209999999999</v>
      </c>
      <c r="H6546" s="1">
        <v>-3.373564E-6</v>
      </c>
      <c r="I6546">
        <v>86.25461</v>
      </c>
      <c r="J6546">
        <v>-420.38760000000002</v>
      </c>
      <c r="K6546">
        <v>1.1223019999999999</v>
      </c>
      <c r="L6546">
        <v>118.01130000000001</v>
      </c>
      <c r="M6546">
        <v>-0.118349499999999</v>
      </c>
      <c r="N6546">
        <v>-1.3437930000000001E-2</v>
      </c>
      <c r="O6546">
        <v>-0.99288120000000002</v>
      </c>
      <c r="P6546">
        <v>-1.0760800000000001E-3</v>
      </c>
      <c r="Q6546">
        <v>-7.9952819999999994E-2</v>
      </c>
      <c r="R6546">
        <v>-0.99679850000000003</v>
      </c>
      <c r="S6546">
        <v>-0.146514899999999</v>
      </c>
      <c r="T6546">
        <v>-0.105679</v>
      </c>
      <c r="U6546">
        <v>-3.0008240000000002</v>
      </c>
      <c r="V6546">
        <v>-0.1167339</v>
      </c>
      <c r="W6546">
        <v>-6.6956210000000002E-2</v>
      </c>
      <c r="X6546">
        <v>0.99090370000000005</v>
      </c>
      <c r="Y6546">
        <v>-6.9783650000000003E-2</v>
      </c>
      <c r="Z6546">
        <v>2.136673E-2</v>
      </c>
      <c r="AA6546">
        <v>0.99733329999999998</v>
      </c>
      <c r="AB6546">
        <v>18</v>
      </c>
      <c r="AC6546">
        <v>-1.54449999999997</v>
      </c>
      <c r="AD6546">
        <v>-1.1223053735640001</v>
      </c>
      <c r="AE6546">
        <v>-31.756689999999999</v>
      </c>
      <c r="AF6546">
        <v>-2.2223149384205301</v>
      </c>
      <c r="AG6546">
        <v>-1.1223053735640001</v>
      </c>
      <c r="AH6546">
        <v>31.676800945788301</v>
      </c>
      <c r="AI6546">
        <v>92.024162999733903</v>
      </c>
      <c r="AJ6546">
        <v>94.013062526798194</v>
      </c>
      <c r="AK6546">
        <v>31.774486167303401</v>
      </c>
      <c r="AL6546">
        <v>93.8391803367617</v>
      </c>
      <c r="AM6546">
        <v>96.718790389379905</v>
      </c>
      <c r="AN6546">
        <v>1.00000004007023</v>
      </c>
    </row>
    <row r="6547" spans="1:40" x14ac:dyDescent="0.25">
      <c r="A6547" t="str">
        <f>"20190303153939268"</f>
        <v>20190303153939268</v>
      </c>
      <c r="B6547" t="str">
        <f>"1551598779265484"</f>
        <v>1551598779265484</v>
      </c>
      <c r="C6547" t="s">
        <v>40</v>
      </c>
      <c r="D6547">
        <v>4.7068139999999996</v>
      </c>
      <c r="E6547">
        <v>0.51784140000000001</v>
      </c>
      <c r="F6547" t="s">
        <v>42</v>
      </c>
      <c r="G6547">
        <v>-421.90269999999998</v>
      </c>
      <c r="H6547" s="1">
        <v>-3.4360210000000002E-6</v>
      </c>
      <c r="I6547">
        <v>86.418430000000001</v>
      </c>
      <c r="J6547">
        <v>-420.3997</v>
      </c>
      <c r="K6547">
        <v>1.1222259999999999</v>
      </c>
      <c r="L6547">
        <v>117.89060000000001</v>
      </c>
      <c r="M6547">
        <v>-0.116493899999999</v>
      </c>
      <c r="N6547">
        <v>-1.3428570000000001E-2</v>
      </c>
      <c r="O6547">
        <v>-0.99310069999999995</v>
      </c>
      <c r="P6547">
        <v>-1.622627E-3</v>
      </c>
      <c r="Q6547">
        <v>-8.0329109999999995E-2</v>
      </c>
      <c r="R6547">
        <v>-0.99676730000000002</v>
      </c>
      <c r="S6547">
        <v>-0.14392089999999999</v>
      </c>
      <c r="T6547">
        <v>-0.1066049</v>
      </c>
      <c r="U6547">
        <v>-3.000931</v>
      </c>
      <c r="V6547">
        <v>-0.11434999999999999</v>
      </c>
      <c r="W6547">
        <v>-6.7308980000000004E-2</v>
      </c>
      <c r="X6547">
        <v>0.99115770000000003</v>
      </c>
      <c r="Y6547">
        <v>-6.8781750000000003E-2</v>
      </c>
      <c r="Z6547">
        <v>2.1691430000000001E-2</v>
      </c>
      <c r="AA6547">
        <v>0.9973959</v>
      </c>
      <c r="AB6547">
        <v>17</v>
      </c>
      <c r="AC6547">
        <v>-1.5029999999999799</v>
      </c>
      <c r="AD6547">
        <v>-1.1222294360209999</v>
      </c>
      <c r="AE6547">
        <v>-31.472169999999998</v>
      </c>
      <c r="AF6547">
        <v>-2.1711270510099099</v>
      </c>
      <c r="AG6547">
        <v>-1.1222294360209999</v>
      </c>
      <c r="AH6547">
        <v>31.393131221712299</v>
      </c>
      <c r="AI6547">
        <v>92.042440906561893</v>
      </c>
      <c r="AJ6547">
        <v>93.956236586662399</v>
      </c>
      <c r="AK6547">
        <v>31.488122831987699</v>
      </c>
      <c r="AL6547">
        <v>93.859438409093897</v>
      </c>
      <c r="AM6547">
        <v>96.581126023370999</v>
      </c>
      <c r="AN6547">
        <v>1.00000000377896</v>
      </c>
    </row>
    <row r="6548" spans="1:40" x14ac:dyDescent="0.25">
      <c r="A6548" t="str">
        <f>"20190303153939284"</f>
        <v>20190303153939284</v>
      </c>
      <c r="B6548" t="str">
        <f>"1551598779275244"</f>
        <v>1551598779275244</v>
      </c>
      <c r="C6548" t="s">
        <v>40</v>
      </c>
      <c r="D6548">
        <v>4.7266399999999997</v>
      </c>
      <c r="E6548">
        <v>0.51783059999999903</v>
      </c>
      <c r="F6548" t="s">
        <v>42</v>
      </c>
      <c r="G6548">
        <v>-421.88499999999999</v>
      </c>
      <c r="H6548" s="1">
        <v>-3.798379E-6</v>
      </c>
      <c r="I6548">
        <v>87.274079999999998</v>
      </c>
      <c r="J6548">
        <v>-420.41070000000002</v>
      </c>
      <c r="K6548">
        <v>1.1221719999999999</v>
      </c>
      <c r="L6548">
        <v>117.7794</v>
      </c>
      <c r="M6548">
        <v>-0.1149015</v>
      </c>
      <c r="N6548">
        <v>-1.342028E-2</v>
      </c>
      <c r="O6548">
        <v>-0.99328629999999996</v>
      </c>
      <c r="P6548">
        <v>-1.691432E-4</v>
      </c>
      <c r="Q6548">
        <v>-8.0839720000000004E-2</v>
      </c>
      <c r="R6548">
        <v>-0.99672720000000004</v>
      </c>
      <c r="S6548">
        <v>-0.1455688</v>
      </c>
      <c r="T6548">
        <v>-0.10998570000000001</v>
      </c>
      <c r="U6548">
        <v>-3.00061</v>
      </c>
      <c r="V6548">
        <v>-0.1142104</v>
      </c>
      <c r="W6548">
        <v>-6.7810239999999994E-2</v>
      </c>
      <c r="X6548">
        <v>0.99113969999999996</v>
      </c>
      <c r="Y6548">
        <v>-6.6631940000000001E-2</v>
      </c>
      <c r="Z6548">
        <v>2.2827219999999999E-2</v>
      </c>
      <c r="AA6548">
        <v>0.99751650000000003</v>
      </c>
      <c r="AB6548">
        <v>17</v>
      </c>
      <c r="AC6548">
        <v>-1.47429999999997</v>
      </c>
      <c r="AD6548">
        <v>-1.1221757983789999</v>
      </c>
      <c r="AE6548">
        <v>-30.505320000000001</v>
      </c>
      <c r="AF6548">
        <v>-2.0381370582118099</v>
      </c>
      <c r="AG6548">
        <v>-1.1221757983789999</v>
      </c>
      <c r="AH6548">
        <v>30.4315730824007</v>
      </c>
      <c r="AI6548">
        <v>92.107130433318204</v>
      </c>
      <c r="AJ6548">
        <v>93.831629610252193</v>
      </c>
      <c r="AK6548">
        <v>30.5203853425873</v>
      </c>
      <c r="AL6548">
        <v>93.88822398504</v>
      </c>
      <c r="AM6548">
        <v>96.573280379723499</v>
      </c>
      <c r="AN6548">
        <v>1.00000007451655</v>
      </c>
    </row>
    <row r="6549" spans="1:40" x14ac:dyDescent="0.25">
      <c r="A6549" t="str">
        <f>"20190303153939303"</f>
        <v>20190303153939303</v>
      </c>
      <c r="B6549" t="str">
        <f>"1551598779294764"</f>
        <v>1551598779294764</v>
      </c>
      <c r="C6549" t="s">
        <v>40</v>
      </c>
      <c r="D6549">
        <v>4.7032509999999998</v>
      </c>
      <c r="E6549">
        <v>0.51791189999999998</v>
      </c>
      <c r="F6549" t="s">
        <v>42</v>
      </c>
      <c r="G6549">
        <v>-421.81459999999998</v>
      </c>
      <c r="H6549" s="1">
        <v>-4.0361110000000003E-6</v>
      </c>
      <c r="I6549">
        <v>87.901229999999998</v>
      </c>
      <c r="J6549">
        <v>-420.42570000000001</v>
      </c>
      <c r="K6549">
        <v>1.122093</v>
      </c>
      <c r="L6549">
        <v>117.6275</v>
      </c>
      <c r="M6549">
        <v>-0.11284279999999999</v>
      </c>
      <c r="N6549">
        <v>-1.340943E-2</v>
      </c>
      <c r="O6549">
        <v>-0.99352249999999998</v>
      </c>
      <c r="P6549">
        <v>1.4128299999999999E-3</v>
      </c>
      <c r="Q6549">
        <v>-8.0953929999999993E-2</v>
      </c>
      <c r="R6549">
        <v>-0.99671719999999997</v>
      </c>
      <c r="S6549">
        <v>-0.14099120000000001</v>
      </c>
      <c r="T6549">
        <v>-0.1127005</v>
      </c>
      <c r="U6549">
        <v>-3.0006710000000001</v>
      </c>
      <c r="V6549">
        <v>-0.1137418</v>
      </c>
      <c r="W6549">
        <v>-6.7911170000000007E-2</v>
      </c>
      <c r="X6549">
        <v>0.99118660000000003</v>
      </c>
      <c r="Y6549">
        <v>-6.6084279999999995E-2</v>
      </c>
      <c r="Z6549">
        <v>2.3743500000000001E-2</v>
      </c>
      <c r="AA6549">
        <v>0.99753150000000002</v>
      </c>
      <c r="AB6549">
        <v>17</v>
      </c>
      <c r="AC6549">
        <v>-1.38889999999997</v>
      </c>
      <c r="AD6549">
        <v>-1.1220970361110001</v>
      </c>
      <c r="AE6549">
        <v>-29.72627</v>
      </c>
      <c r="AF6549">
        <v>-1.9718658556028099</v>
      </c>
      <c r="AG6549">
        <v>-1.1220970361110001</v>
      </c>
      <c r="AH6549">
        <v>29.650954001422999</v>
      </c>
      <c r="AI6549">
        <v>92.162468833306605</v>
      </c>
      <c r="AJ6549">
        <v>93.804716618800398</v>
      </c>
      <c r="AK6549">
        <v>29.737626500873301</v>
      </c>
      <c r="AL6549">
        <v>93.894020499486501</v>
      </c>
      <c r="AM6549">
        <v>96.546238031790196</v>
      </c>
      <c r="AN6549">
        <v>1.0000000000487801</v>
      </c>
    </row>
    <row r="6550" spans="1:40" x14ac:dyDescent="0.25">
      <c r="A6550" t="str">
        <f>"20190303153939325"</f>
        <v>20190303153939325</v>
      </c>
      <c r="B6550" t="str">
        <f>"1551598779315260"</f>
        <v>1551598779315260</v>
      </c>
      <c r="C6550" t="s">
        <v>40</v>
      </c>
      <c r="D6550">
        <v>4.7066790000000003</v>
      </c>
      <c r="E6550">
        <v>0.51793389999999995</v>
      </c>
      <c r="F6550" t="s">
        <v>42</v>
      </c>
      <c r="G6550">
        <v>-421.779</v>
      </c>
      <c r="H6550" s="1">
        <v>-4.0868380000000002E-6</v>
      </c>
      <c r="I6550">
        <v>88.068839999999994</v>
      </c>
      <c r="J6550">
        <v>-420.44260000000003</v>
      </c>
      <c r="K6550">
        <v>1.122015</v>
      </c>
      <c r="L6550">
        <v>117.4543</v>
      </c>
      <c r="M6550">
        <v>-0.11066139999999999</v>
      </c>
      <c r="N6550">
        <v>-1.339769E-2</v>
      </c>
      <c r="O6550">
        <v>-0.99376779999999998</v>
      </c>
      <c r="P6550">
        <v>3.0938239999999998E-3</v>
      </c>
      <c r="Q6550">
        <v>-8.1001370000000003E-2</v>
      </c>
      <c r="R6550">
        <v>-0.99670930000000002</v>
      </c>
      <c r="S6550">
        <v>-0.13739009999999999</v>
      </c>
      <c r="T6550">
        <v>-0.113917</v>
      </c>
      <c r="U6550">
        <v>-3.000839</v>
      </c>
      <c r="V6550">
        <v>-0.1132514</v>
      </c>
      <c r="W6550">
        <v>-6.7944920000000006E-2</v>
      </c>
      <c r="X6550">
        <v>0.99124040000000002</v>
      </c>
      <c r="Y6550">
        <v>-6.5091490000000002E-2</v>
      </c>
      <c r="Z6550">
        <v>2.4167910000000001E-2</v>
      </c>
      <c r="AA6550">
        <v>0.99758659999999999</v>
      </c>
      <c r="AB6550">
        <v>17</v>
      </c>
      <c r="AC6550">
        <v>-1.3363999999999601</v>
      </c>
      <c r="AD6550">
        <v>-1.122019086838</v>
      </c>
      <c r="AE6550">
        <v>-29.385459999999899</v>
      </c>
      <c r="AF6550">
        <v>-1.9211425436097</v>
      </c>
      <c r="AG6550">
        <v>-1.122019086838</v>
      </c>
      <c r="AH6550">
        <v>29.310204132655201</v>
      </c>
      <c r="AI6550">
        <v>92.187570358910406</v>
      </c>
      <c r="AJ6550">
        <v>93.7500978456914</v>
      </c>
      <c r="AK6550">
        <v>29.394519587875799</v>
      </c>
      <c r="AL6550">
        <v>93.895958860565401</v>
      </c>
      <c r="AM6550">
        <v>96.517906478283606</v>
      </c>
      <c r="AN6550">
        <v>0.99999996117396195</v>
      </c>
    </row>
    <row r="6551" spans="1:40" x14ac:dyDescent="0.25">
      <c r="A6551" t="str">
        <f>"20190303153939347"</f>
        <v>20190303153939347</v>
      </c>
      <c r="B6551" t="str">
        <f>"1551598779334781"</f>
        <v>1551598779334781</v>
      </c>
      <c r="C6551" t="s">
        <v>40</v>
      </c>
      <c r="D6551">
        <v>4.7683460000000002</v>
      </c>
      <c r="E6551">
        <v>0.51805230000000002</v>
      </c>
      <c r="F6551" t="s">
        <v>42</v>
      </c>
      <c r="G6551">
        <v>-421.71820000000002</v>
      </c>
      <c r="H6551" s="1">
        <v>-4.2540329999999997E-6</v>
      </c>
      <c r="I6551">
        <v>88.591840000000005</v>
      </c>
      <c r="J6551">
        <v>-420.4588</v>
      </c>
      <c r="K6551">
        <v>1.1219380000000001</v>
      </c>
      <c r="L6551">
        <v>117.2867</v>
      </c>
      <c r="M6551">
        <v>-0.10869040000000001</v>
      </c>
      <c r="N6551">
        <v>-1.338727E-2</v>
      </c>
      <c r="O6551">
        <v>-0.99398560000000002</v>
      </c>
      <c r="P6551">
        <v>4.2175870000000001E-3</v>
      </c>
      <c r="Q6551">
        <v>-8.1609769999999998E-2</v>
      </c>
      <c r="R6551">
        <v>-0.99665550000000003</v>
      </c>
      <c r="S6551">
        <v>-0.13262939999999901</v>
      </c>
      <c r="T6551">
        <v>-0.116657399999999</v>
      </c>
      <c r="U6551">
        <v>-3.0008539999999999</v>
      </c>
      <c r="V6551">
        <v>-0.1124101</v>
      </c>
      <c r="W6551">
        <v>-6.8540859999999995E-2</v>
      </c>
      <c r="X6551">
        <v>0.99129520000000004</v>
      </c>
      <c r="Y6551">
        <v>-6.4692879999999994E-2</v>
      </c>
      <c r="Z6551">
        <v>2.5092610000000001E-2</v>
      </c>
      <c r="AA6551">
        <v>0.99758970000000002</v>
      </c>
      <c r="AB6551">
        <v>17</v>
      </c>
      <c r="AC6551">
        <v>-1.2594000000000201</v>
      </c>
      <c r="AD6551">
        <v>-1.121942254033</v>
      </c>
      <c r="AE6551">
        <v>-28.694859999999899</v>
      </c>
      <c r="AF6551">
        <v>-1.8643528649711001</v>
      </c>
      <c r="AG6551">
        <v>-1.121942254033</v>
      </c>
      <c r="AH6551">
        <v>28.618062625671701</v>
      </c>
      <c r="AI6551">
        <v>92.240329377888898</v>
      </c>
      <c r="AJ6551">
        <v>93.727324994749395</v>
      </c>
      <c r="AK6551">
        <v>28.700663310686299</v>
      </c>
      <c r="AL6551">
        <v>93.930183237538898</v>
      </c>
      <c r="AM6551">
        <v>96.469544955017597</v>
      </c>
      <c r="AN6551">
        <v>1.0000000268072899</v>
      </c>
    </row>
    <row r="6552" spans="1:40" x14ac:dyDescent="0.25">
      <c r="A6552" t="str">
        <f>"20190303153939369"</f>
        <v>20190303153939369</v>
      </c>
      <c r="B6552" t="str">
        <f>"1551598779365036"</f>
        <v>1551598779365036</v>
      </c>
      <c r="C6552" t="s">
        <v>40</v>
      </c>
      <c r="D6552">
        <v>4.7871269999999999</v>
      </c>
      <c r="E6552">
        <v>0.5181519</v>
      </c>
      <c r="F6552" t="s">
        <v>42</v>
      </c>
      <c r="G6552">
        <v>-421.67700000000002</v>
      </c>
      <c r="H6552" s="1">
        <v>-4.5093129999999999E-6</v>
      </c>
      <c r="I6552">
        <v>89.36345</v>
      </c>
      <c r="J6552">
        <v>-420.47500000000002</v>
      </c>
      <c r="K6552">
        <v>1.121869</v>
      </c>
      <c r="L6552">
        <v>117.1161</v>
      </c>
      <c r="M6552">
        <v>-0.106792</v>
      </c>
      <c r="N6552">
        <v>-1.337791E-2</v>
      </c>
      <c r="O6552">
        <v>-0.99419159999999995</v>
      </c>
      <c r="P6552">
        <v>4.3145099999999997E-3</v>
      </c>
      <c r="Q6552">
        <v>-8.2019980000000006E-2</v>
      </c>
      <c r="R6552">
        <v>-0.99662150000000005</v>
      </c>
      <c r="S6552">
        <v>-0.13092039999999999</v>
      </c>
      <c r="T6552">
        <v>-0.1205682</v>
      </c>
      <c r="U6552">
        <v>-3.0007320000000002</v>
      </c>
      <c r="V6552">
        <v>-0.1106211</v>
      </c>
      <c r="W6552">
        <v>-6.8938449999999998E-2</v>
      </c>
      <c r="X6552">
        <v>0.99146880000000004</v>
      </c>
      <c r="Y6552">
        <v>-6.3353820000000005E-2</v>
      </c>
      <c r="Z6552">
        <v>2.6404400000000001E-2</v>
      </c>
      <c r="AA6552">
        <v>0.99764169999999996</v>
      </c>
      <c r="AB6552">
        <v>17</v>
      </c>
      <c r="AC6552">
        <v>-1.20199999999994</v>
      </c>
      <c r="AD6552">
        <v>-1.1218735093129999</v>
      </c>
      <c r="AE6552">
        <v>-27.752649999999999</v>
      </c>
      <c r="AF6552">
        <v>-1.7660201528433299</v>
      </c>
      <c r="AG6552">
        <v>-1.1218735093129999</v>
      </c>
      <c r="AH6552">
        <v>27.6771476785683</v>
      </c>
      <c r="AI6552">
        <v>92.316467256613294</v>
      </c>
      <c r="AJ6552">
        <v>93.650972751935996</v>
      </c>
      <c r="AK6552">
        <v>27.756115199581199</v>
      </c>
      <c r="AL6552">
        <v>93.953017743861594</v>
      </c>
      <c r="AM6552">
        <v>96.366329203815994</v>
      </c>
      <c r="AN6552">
        <v>0.99999995951352505</v>
      </c>
    </row>
    <row r="6553" spans="1:40" x14ac:dyDescent="0.25">
      <c r="A6553" t="str">
        <f>"20190303153939392"</f>
        <v>20190303153939392</v>
      </c>
      <c r="B6553" t="str">
        <f>"1551598779385537"</f>
        <v>1551598779385537</v>
      </c>
      <c r="C6553" t="s">
        <v>40</v>
      </c>
      <c r="D6553">
        <v>4.7941399999999996</v>
      </c>
      <c r="E6553">
        <v>0.5181789</v>
      </c>
      <c r="F6553" t="s">
        <v>42</v>
      </c>
      <c r="G6553">
        <v>-421.66840000000002</v>
      </c>
      <c r="H6553" s="1">
        <v>-5.9003009999999999E-7</v>
      </c>
      <c r="I6553">
        <v>89.929670000000002</v>
      </c>
      <c r="J6553">
        <v>-420.4914</v>
      </c>
      <c r="K6553">
        <v>1.121831</v>
      </c>
      <c r="L6553">
        <v>116.94329999999999</v>
      </c>
      <c r="M6553">
        <v>-0.1049508</v>
      </c>
      <c r="N6553">
        <v>-1.336976E-2</v>
      </c>
      <c r="O6553">
        <v>-0.99438760000000004</v>
      </c>
      <c r="P6553">
        <v>2.9945330000000002E-3</v>
      </c>
      <c r="Q6553">
        <v>-8.2735290000000003E-2</v>
      </c>
      <c r="R6553">
        <v>-0.99656719999999999</v>
      </c>
      <c r="S6553">
        <v>-0.13171389999999999</v>
      </c>
      <c r="T6553">
        <v>-0.1238194</v>
      </c>
      <c r="U6553">
        <v>-3.000534</v>
      </c>
      <c r="V6553">
        <v>-0.1074727</v>
      </c>
      <c r="W6553">
        <v>-6.9644010000000006E-2</v>
      </c>
      <c r="X6553">
        <v>0.99176569999999997</v>
      </c>
      <c r="Y6553">
        <v>-6.1241080000000003E-2</v>
      </c>
      <c r="Z6553">
        <v>2.7499869999999999E-2</v>
      </c>
      <c r="AA6553">
        <v>0.99774410000000002</v>
      </c>
      <c r="AB6553">
        <v>17</v>
      </c>
      <c r="AC6553">
        <v>-1.17700000000002</v>
      </c>
      <c r="AD6553">
        <v>-1.1218315900300999</v>
      </c>
      <c r="AE6553">
        <v>-27.0136299999999</v>
      </c>
      <c r="AF6553">
        <v>-1.6619957242146499</v>
      </c>
      <c r="AG6553">
        <v>-1.1218315900300999</v>
      </c>
      <c r="AH6553">
        <v>26.941580814982299</v>
      </c>
      <c r="AI6553">
        <v>92.379866377105401</v>
      </c>
      <c r="AJ6553">
        <v>93.530038656634204</v>
      </c>
      <c r="AK6553">
        <v>27.016097288726201</v>
      </c>
      <c r="AL6553">
        <v>93.9935408465672</v>
      </c>
      <c r="AM6553">
        <v>96.184724046031207</v>
      </c>
      <c r="AN6553">
        <v>0.99999993653532704</v>
      </c>
    </row>
    <row r="6554" spans="1:40" x14ac:dyDescent="0.25">
      <c r="A6554" t="str">
        <f>"20190303153939414"</f>
        <v>20190303153939414</v>
      </c>
      <c r="B6554" t="str">
        <f>"1551598779405053"</f>
        <v>1551598779405053</v>
      </c>
      <c r="C6554" t="s">
        <v>40</v>
      </c>
      <c r="D6554">
        <v>4.7870189999999999</v>
      </c>
      <c r="E6554">
        <v>0.51827570000000001</v>
      </c>
      <c r="F6554" t="s">
        <v>42</v>
      </c>
      <c r="G6554">
        <v>-421.69229999999999</v>
      </c>
      <c r="H6554" s="1">
        <v>-8.5436309999999905E-7</v>
      </c>
      <c r="I6554">
        <v>90.531019999999998</v>
      </c>
      <c r="J6554">
        <v>-420.50749999999999</v>
      </c>
      <c r="K6554">
        <v>1.121837</v>
      </c>
      <c r="L6554">
        <v>116.7698</v>
      </c>
      <c r="M6554">
        <v>-0.10314619999999999</v>
      </c>
      <c r="N6554">
        <v>-1.336298E-2</v>
      </c>
      <c r="O6554">
        <v>-0.99457660000000003</v>
      </c>
      <c r="P6554">
        <v>5.0502849999999998E-4</v>
      </c>
      <c r="Q6554">
        <v>-8.3355940000000003E-2</v>
      </c>
      <c r="R6554">
        <v>-0.99651990000000001</v>
      </c>
      <c r="S6554">
        <v>-0.1364136</v>
      </c>
      <c r="T6554">
        <v>-0.1274295</v>
      </c>
      <c r="U6554">
        <v>-3.0001829999999998</v>
      </c>
      <c r="V6554">
        <v>-0.1031931</v>
      </c>
      <c r="W6554">
        <v>-7.0259139999999998E-2</v>
      </c>
      <c r="X6554">
        <v>0.99217679999999997</v>
      </c>
      <c r="Y6554">
        <v>-5.7866870000000001E-2</v>
      </c>
      <c r="Z6554">
        <v>2.8715839999999999E-2</v>
      </c>
      <c r="AA6554">
        <v>0.9979112</v>
      </c>
      <c r="AB6554">
        <v>17</v>
      </c>
      <c r="AC6554">
        <v>-1.1847999999999901</v>
      </c>
      <c r="AD6554">
        <v>-1.1218378543631</v>
      </c>
      <c r="AE6554">
        <v>-26.238779999999998</v>
      </c>
      <c r="AF6554">
        <v>-1.5254095450596401</v>
      </c>
      <c r="AG6554">
        <v>-1.1218378543631</v>
      </c>
      <c r="AH6554">
        <v>26.173274216635701</v>
      </c>
      <c r="AI6554">
        <v>92.450154609087207</v>
      </c>
      <c r="AJ6554">
        <v>93.335493024401401</v>
      </c>
      <c r="AK6554">
        <v>26.241678255608001</v>
      </c>
      <c r="AL6554">
        <v>94.028871563534594</v>
      </c>
      <c r="AM6554">
        <v>95.937799599035102</v>
      </c>
      <c r="AN6554">
        <v>0.99999998254969402</v>
      </c>
    </row>
    <row r="6555" spans="1:40" x14ac:dyDescent="0.25">
      <c r="A6555" t="str">
        <f>"20190303153939436"</f>
        <v>20190303153939436</v>
      </c>
      <c r="B6555" t="str">
        <f>"1551598779425549"</f>
        <v>1551598779425549</v>
      </c>
      <c r="C6555" t="s">
        <v>40</v>
      </c>
      <c r="D6555">
        <v>4.814908</v>
      </c>
      <c r="E6555">
        <v>0.51836349999999998</v>
      </c>
      <c r="F6555" t="s">
        <v>42</v>
      </c>
      <c r="G6555">
        <v>-421.7482</v>
      </c>
      <c r="H6555" s="1">
        <v>-1.116293E-6</v>
      </c>
      <c r="I6555">
        <v>91.106920000000002</v>
      </c>
      <c r="J6555">
        <v>-420.52280000000002</v>
      </c>
      <c r="K6555">
        <v>1.121856</v>
      </c>
      <c r="L6555">
        <v>116.6028</v>
      </c>
      <c r="M6555">
        <v>-0.101419</v>
      </c>
      <c r="N6555">
        <v>-1.335769E-2</v>
      </c>
      <c r="O6555">
        <v>-0.99475409999999997</v>
      </c>
      <c r="P6555">
        <v>-3.8830090000000002E-3</v>
      </c>
      <c r="Q6555">
        <v>-8.4789660000000003E-2</v>
      </c>
      <c r="R6555">
        <v>-0.99639129999999998</v>
      </c>
      <c r="S6555">
        <v>-0.1450195</v>
      </c>
      <c r="T6555">
        <v>-0.1311253</v>
      </c>
      <c r="U6555">
        <v>-2.9995880000000001</v>
      </c>
      <c r="V6555">
        <v>-9.7086779999999998E-2</v>
      </c>
      <c r="W6555">
        <v>-7.168853E-2</v>
      </c>
      <c r="X6555">
        <v>0.99269070000000004</v>
      </c>
      <c r="Y6555">
        <v>-5.3270110000000002E-2</v>
      </c>
      <c r="Z6555">
        <v>2.9962989999999998E-2</v>
      </c>
      <c r="AA6555">
        <v>0.99813050000000003</v>
      </c>
      <c r="AB6555">
        <v>17</v>
      </c>
      <c r="AC6555">
        <v>-1.2253999999999701</v>
      </c>
      <c r="AD6555">
        <v>-1.121857116293</v>
      </c>
      <c r="AE6555">
        <v>-25.49588</v>
      </c>
      <c r="AF6555">
        <v>-1.36428161746395</v>
      </c>
      <c r="AG6555">
        <v>-1.121857116293</v>
      </c>
      <c r="AH6555">
        <v>25.439543739486801</v>
      </c>
      <c r="AI6555">
        <v>92.521429084215896</v>
      </c>
      <c r="AJ6555">
        <v>93.069739451649298</v>
      </c>
      <c r="AK6555">
        <v>25.500788485738799</v>
      </c>
      <c r="AL6555">
        <v>94.110976745898</v>
      </c>
      <c r="AM6555">
        <v>95.585856618426106</v>
      </c>
      <c r="AN6555">
        <v>0.999999957025408</v>
      </c>
    </row>
    <row r="6556" spans="1:40" x14ac:dyDescent="0.25">
      <c r="A6556" t="str">
        <f>"20190303153939458"</f>
        <v>20190303153939458</v>
      </c>
      <c r="B6556" t="str">
        <f>"1551598779454828"</f>
        <v>1551598779454828</v>
      </c>
      <c r="C6556" t="s">
        <v>40</v>
      </c>
      <c r="D6556">
        <v>4.7985319999999998</v>
      </c>
      <c r="E6556">
        <v>0.51834219999999998</v>
      </c>
      <c r="F6556" t="s">
        <v>42</v>
      </c>
      <c r="G6556">
        <v>-421.82569999999998</v>
      </c>
      <c r="H6556" s="1">
        <v>-1.541309E-6</v>
      </c>
      <c r="I6556">
        <v>92.049610000000001</v>
      </c>
      <c r="J6556">
        <v>-420.53789999999998</v>
      </c>
      <c r="K6556">
        <v>1.1218950000000001</v>
      </c>
      <c r="L6556">
        <v>116.43380000000001</v>
      </c>
      <c r="M6556">
        <v>-9.9654160000000006E-2</v>
      </c>
      <c r="N6556">
        <v>-1.3353469999999999E-2</v>
      </c>
      <c r="O6556">
        <v>-0.9949327</v>
      </c>
      <c r="P6556">
        <v>-8.920196E-3</v>
      </c>
      <c r="Q6556">
        <v>-8.5136229999999993E-2</v>
      </c>
      <c r="R6556">
        <v>-0.99632980000000004</v>
      </c>
      <c r="S6556">
        <v>-0.1591187</v>
      </c>
      <c r="T6556">
        <v>-0.137009299999999</v>
      </c>
      <c r="U6556">
        <v>-2.9986109999999999</v>
      </c>
      <c r="V6556">
        <v>-9.0300610000000003E-2</v>
      </c>
      <c r="W6556">
        <v>-7.2030590000000005E-2</v>
      </c>
      <c r="X6556">
        <v>0.99330629999999998</v>
      </c>
      <c r="Y6556">
        <v>-4.6805930000000003E-2</v>
      </c>
      <c r="Z6556">
        <v>3.1937760000000003E-2</v>
      </c>
      <c r="AA6556">
        <v>0.99839330000000004</v>
      </c>
      <c r="AB6556">
        <v>17</v>
      </c>
      <c r="AC6556">
        <v>-1.2878000000000001</v>
      </c>
      <c r="AD6556">
        <v>-1.1218965413089901</v>
      </c>
      <c r="AE6556">
        <v>-24.38419</v>
      </c>
      <c r="AF6556">
        <v>-1.1463938851975299</v>
      </c>
      <c r="AG6556">
        <v>-1.1218965413089901</v>
      </c>
      <c r="AH6556">
        <v>24.339753011475999</v>
      </c>
      <c r="AI6556">
        <v>92.636158333679703</v>
      </c>
      <c r="AJ6556">
        <v>92.696618388623804</v>
      </c>
      <c r="AK6556">
        <v>24.392549014997801</v>
      </c>
      <c r="AL6556">
        <v>94.130625937590594</v>
      </c>
      <c r="AM6556">
        <v>95.194431040073297</v>
      </c>
      <c r="AN6556">
        <v>1.0000000058409</v>
      </c>
    </row>
    <row r="6557" spans="1:40" x14ac:dyDescent="0.25">
      <c r="A6557" t="str">
        <f>"20190303153939481"</f>
        <v>20190303153939481</v>
      </c>
      <c r="B6557" t="str">
        <f>"1551598779475327"</f>
        <v>1551598779475327</v>
      </c>
      <c r="C6557" t="s">
        <v>40</v>
      </c>
      <c r="D6557">
        <v>4.8584680000000002</v>
      </c>
      <c r="E6557">
        <v>0.51832959999999995</v>
      </c>
      <c r="F6557" t="s">
        <v>42</v>
      </c>
      <c r="G6557">
        <v>-421.93450000000001</v>
      </c>
      <c r="H6557" s="1">
        <v>-1.7284879999999999E-6</v>
      </c>
      <c r="I6557">
        <v>92.418409999999994</v>
      </c>
      <c r="J6557">
        <v>-420.5532</v>
      </c>
      <c r="K6557">
        <v>1.121937</v>
      </c>
      <c r="L6557">
        <v>116.25960000000001</v>
      </c>
      <c r="M6557">
        <v>-9.7795640000000003E-2</v>
      </c>
      <c r="N6557">
        <v>-1.335009E-2</v>
      </c>
      <c r="O6557">
        <v>-0.99511719999999904</v>
      </c>
      <c r="P6557">
        <v>-1.4572119999999999E-2</v>
      </c>
      <c r="Q6557">
        <v>-8.4360699999999997E-2</v>
      </c>
      <c r="R6557">
        <v>-0.99632909999999997</v>
      </c>
      <c r="S6557">
        <v>-0.17431640000000001</v>
      </c>
      <c r="T6557">
        <v>-0.14003170000000001</v>
      </c>
      <c r="U6557">
        <v>-2.997528</v>
      </c>
      <c r="V6557">
        <v>-8.2813979999999995E-2</v>
      </c>
      <c r="W6557">
        <v>-7.1247179999999993E-2</v>
      </c>
      <c r="X6557">
        <v>0.99401490000000003</v>
      </c>
      <c r="Y6557">
        <v>-3.9878110000000001E-2</v>
      </c>
      <c r="Z6557">
        <v>3.2970369999999999E-2</v>
      </c>
      <c r="AA6557">
        <v>0.9986604</v>
      </c>
      <c r="AB6557">
        <v>17</v>
      </c>
      <c r="AC6557">
        <v>-1.38130000000001</v>
      </c>
      <c r="AD6557">
        <v>-1.121938728488</v>
      </c>
      <c r="AE6557">
        <v>-23.841190000000001</v>
      </c>
      <c r="AF6557">
        <v>-0.95498634687036199</v>
      </c>
      <c r="AG6557">
        <v>-1.121938728488</v>
      </c>
      <c r="AH6557">
        <v>23.8094340238755</v>
      </c>
      <c r="AI6557">
        <v>92.695709077277996</v>
      </c>
      <c r="AJ6557">
        <v>92.296878332584399</v>
      </c>
      <c r="AK6557">
        <v>23.854976293647201</v>
      </c>
      <c r="AL6557">
        <v>94.085624376269806</v>
      </c>
      <c r="AM6557">
        <v>94.762462764120599</v>
      </c>
      <c r="AN6557">
        <v>0.99999996868170005</v>
      </c>
    </row>
    <row r="6558" spans="1:40" x14ac:dyDescent="0.25">
      <c r="A6558" t="str">
        <f>"20190303153939503"</f>
        <v>20190303153939503</v>
      </c>
      <c r="B6558" t="str">
        <f>"1551598779494844"</f>
        <v>1551598779494844</v>
      </c>
      <c r="C6558" t="s">
        <v>40</v>
      </c>
      <c r="D6558">
        <v>4.8408389999999999</v>
      </c>
      <c r="E6558">
        <v>0.51829269999999905</v>
      </c>
      <c r="F6558" t="s">
        <v>42</v>
      </c>
      <c r="G6558">
        <v>-422.1037</v>
      </c>
      <c r="H6558" s="1">
        <v>-1.5765989999999901E-6</v>
      </c>
      <c r="I6558">
        <v>91.959450000000004</v>
      </c>
      <c r="J6558">
        <v>-420.5677</v>
      </c>
      <c r="K6558">
        <v>1.1219790000000001</v>
      </c>
      <c r="L6558">
        <v>116.09</v>
      </c>
      <c r="M6558">
        <v>-9.5939319999999995E-2</v>
      </c>
      <c r="N6558">
        <v>-1.3347360000000001E-2</v>
      </c>
      <c r="O6558">
        <v>-0.99529800000000002</v>
      </c>
      <c r="P6558">
        <v>-1.9043520000000001E-2</v>
      </c>
      <c r="Q6558">
        <v>-8.4378579999999995E-2</v>
      </c>
      <c r="R6558">
        <v>-0.99625189999999997</v>
      </c>
      <c r="S6558">
        <v>-0.19119259999999999</v>
      </c>
      <c r="T6558">
        <v>-0.1383498</v>
      </c>
      <c r="U6558">
        <v>-2.996521</v>
      </c>
      <c r="V6558">
        <v>-7.6495519999999997E-2</v>
      </c>
      <c r="W6558">
        <v>-7.1258489999999994E-2</v>
      </c>
      <c r="X6558">
        <v>0.99452030000000002</v>
      </c>
      <c r="Y6558">
        <v>-3.2392329999999997E-2</v>
      </c>
      <c r="Z6558">
        <v>3.2447320000000002E-2</v>
      </c>
      <c r="AA6558">
        <v>0.99894839999999996</v>
      </c>
      <c r="AB6558">
        <v>17</v>
      </c>
      <c r="AC6558">
        <v>-1.536</v>
      </c>
      <c r="AD6558">
        <v>-1.1219805765989901</v>
      </c>
      <c r="AE6558">
        <v>-24.130549999999999</v>
      </c>
      <c r="AF6558">
        <v>-0.78467110053860201</v>
      </c>
      <c r="AG6558">
        <v>-1.1219805765989901</v>
      </c>
      <c r="AH6558">
        <v>24.114673084693798</v>
      </c>
      <c r="AI6558">
        <v>92.662465836397203</v>
      </c>
      <c r="AJ6558">
        <v>91.863698712977794</v>
      </c>
      <c r="AK6558">
        <v>24.153509209469799</v>
      </c>
      <c r="AL6558">
        <v>94.086273988125399</v>
      </c>
      <c r="AM6558">
        <v>94.398359340327303</v>
      </c>
      <c r="AN6558">
        <v>0.99999998204462004</v>
      </c>
    </row>
    <row r="6559" spans="1:40" x14ac:dyDescent="0.25">
      <c r="A6559" t="str">
        <f>"20190303153939527"</f>
        <v>20190303153939527</v>
      </c>
      <c r="B6559" t="str">
        <f>"1551598779515340"</f>
        <v>1551598779515340</v>
      </c>
      <c r="C6559" t="s">
        <v>40</v>
      </c>
      <c r="D6559">
        <v>4.7347250000000001</v>
      </c>
      <c r="E6559">
        <v>0.52329209999999904</v>
      </c>
      <c r="F6559" t="s">
        <v>42</v>
      </c>
      <c r="G6559">
        <v>-422.2183</v>
      </c>
      <c r="H6559" s="1">
        <v>-1.5785819999999999E-6</v>
      </c>
      <c r="I6559">
        <v>91.892949999999999</v>
      </c>
      <c r="J6559">
        <v>-420.5822</v>
      </c>
      <c r="K6559">
        <v>1.122012</v>
      </c>
      <c r="L6559">
        <v>115.9166</v>
      </c>
      <c r="M6559">
        <v>-9.3993510000000002E-2</v>
      </c>
      <c r="N6559">
        <v>-1.334482E-2</v>
      </c>
      <c r="O6559">
        <v>-0.99548349999999997</v>
      </c>
      <c r="P6559">
        <v>-2.245111E-2</v>
      </c>
      <c r="Q6559">
        <v>-8.4833930000000002E-2</v>
      </c>
      <c r="R6559">
        <v>-0.99614230000000004</v>
      </c>
      <c r="S6559">
        <v>-0.20434569999999999</v>
      </c>
      <c r="T6559">
        <v>-0.13890189999999999</v>
      </c>
      <c r="U6559">
        <v>-2.9956049999999999</v>
      </c>
      <c r="V6559">
        <v>-7.114289E-2</v>
      </c>
      <c r="W6559">
        <v>-7.1707629999999994E-2</v>
      </c>
      <c r="X6559">
        <v>0.99488529999999997</v>
      </c>
      <c r="Y6559">
        <v>-2.605437E-2</v>
      </c>
      <c r="Z6559">
        <v>3.265858E-2</v>
      </c>
      <c r="AA6559">
        <v>0.99912690000000004</v>
      </c>
      <c r="AB6559">
        <v>17</v>
      </c>
      <c r="AC6559">
        <v>-1.6360999999999899</v>
      </c>
      <c r="AD6559">
        <v>-1.122013578582</v>
      </c>
      <c r="AE6559">
        <v>-24.02365</v>
      </c>
      <c r="AF6559">
        <v>-0.62804894875307904</v>
      </c>
      <c r="AG6559">
        <v>-1.122013578582</v>
      </c>
      <c r="AH6559">
        <v>24.018919306762601</v>
      </c>
      <c r="AI6559">
        <v>92.673643361503395</v>
      </c>
      <c r="AJ6559">
        <v>91.497834096577606</v>
      </c>
      <c r="AK6559">
        <v>24.053312549778401</v>
      </c>
      <c r="AL6559">
        <v>94.112073628427495</v>
      </c>
      <c r="AM6559">
        <v>94.090180785265602</v>
      </c>
      <c r="AN6559">
        <v>1.0000000275769201</v>
      </c>
    </row>
    <row r="6560" spans="1:40" x14ac:dyDescent="0.25">
      <c r="A6560" t="str">
        <f>"20190303153939548"</f>
        <v>20190303153939548</v>
      </c>
      <c r="B6560" t="str">
        <f>"1551598779545596"</f>
        <v>1551598779545596</v>
      </c>
      <c r="C6560" t="s">
        <v>40</v>
      </c>
      <c r="D6560">
        <v>4.7385390000000003</v>
      </c>
      <c r="E6560">
        <v>0.51843399999999995</v>
      </c>
      <c r="F6560" t="s">
        <v>42</v>
      </c>
      <c r="G6560">
        <v>-425.15230000000003</v>
      </c>
      <c r="H6560" s="1">
        <v>-2.5101549999999999E-6</v>
      </c>
      <c r="I6560">
        <v>62.244750000000003</v>
      </c>
      <c r="J6560">
        <v>-420.59570000000002</v>
      </c>
      <c r="K6560">
        <v>1.1220190000000001</v>
      </c>
      <c r="L6560">
        <v>115.7501</v>
      </c>
      <c r="M6560">
        <v>-9.2087820000000001E-2</v>
      </c>
      <c r="N6560">
        <v>-1.3311470000000001E-2</v>
      </c>
      <c r="O6560">
        <v>-0.99566200000000005</v>
      </c>
      <c r="P6560">
        <v>-2.4445270000000002E-2</v>
      </c>
      <c r="Q6560">
        <v>-8.4809620000000002E-2</v>
      </c>
      <c r="R6560">
        <v>-0.99609740000000002</v>
      </c>
      <c r="S6560">
        <v>-0.25549319999999998</v>
      </c>
      <c r="T6560">
        <v>-6.272614E-2</v>
      </c>
      <c r="U6560">
        <v>-3.0005190000000002</v>
      </c>
      <c r="V6560">
        <v>-6.7246109999999998E-2</v>
      </c>
      <c r="W6560">
        <v>-7.1709090000000003E-2</v>
      </c>
      <c r="X6560">
        <v>0.99515620000000005</v>
      </c>
      <c r="Y6560">
        <v>-7.2825529999999998E-3</v>
      </c>
      <c r="Z6560">
        <v>7.4714019999999898E-3</v>
      </c>
      <c r="AA6560">
        <v>0.99994559999999999</v>
      </c>
      <c r="AB6560">
        <v>17</v>
      </c>
      <c r="AC6560">
        <v>-4.5566000000000004</v>
      </c>
      <c r="AD6560">
        <v>-1.122021510155</v>
      </c>
      <c r="AE6560">
        <v>-53.50535</v>
      </c>
      <c r="AF6560">
        <v>-0.39022175955423499</v>
      </c>
      <c r="AG6560">
        <v>-1.122021510155</v>
      </c>
      <c r="AH6560">
        <v>53.674170627582697</v>
      </c>
      <c r="AI6560">
        <v>91.197522687706794</v>
      </c>
      <c r="AJ6560">
        <v>90.416544228449595</v>
      </c>
      <c r="AK6560">
        <v>53.687315055325101</v>
      </c>
      <c r="AL6560">
        <v>94.112157413489001</v>
      </c>
      <c r="AM6560">
        <v>93.865795087674798</v>
      </c>
      <c r="AN6560">
        <v>1.00000004764859</v>
      </c>
    </row>
    <row r="6561" spans="1:40" x14ac:dyDescent="0.25">
      <c r="A6561" t="str">
        <f>"20190303153939570"</f>
        <v>20190303153939570</v>
      </c>
      <c r="B6561" t="str">
        <f>"1551598779565120"</f>
        <v>1551598779565120</v>
      </c>
      <c r="C6561" t="s">
        <v>40</v>
      </c>
      <c r="D6561">
        <v>4.7771210000000002</v>
      </c>
      <c r="E6561">
        <v>0.50175179999999997</v>
      </c>
      <c r="F6561" t="s">
        <v>42</v>
      </c>
      <c r="G6561">
        <v>-422.96480000000003</v>
      </c>
      <c r="H6561" s="1">
        <v>-2.5975640000000002E-6</v>
      </c>
      <c r="I6561">
        <v>83.805229999999995</v>
      </c>
      <c r="J6561">
        <v>-420.60910000000001</v>
      </c>
      <c r="K6561">
        <v>1.121988</v>
      </c>
      <c r="L6561">
        <v>115.58069999999999</v>
      </c>
      <c r="M6561">
        <v>-9.0143459999999995E-2</v>
      </c>
      <c r="N6561">
        <v>-1.3159570000000001E-2</v>
      </c>
      <c r="O6561">
        <v>-0.995842</v>
      </c>
      <c r="P6561">
        <v>-2.6886380000000001E-2</v>
      </c>
      <c r="Q6561">
        <v>-8.7465879999999996E-2</v>
      </c>
      <c r="R6561">
        <v>-0.99580480000000005</v>
      </c>
      <c r="S6561">
        <v>-0.22228999999999999</v>
      </c>
      <c r="T6561">
        <v>-0.1052773</v>
      </c>
      <c r="U6561">
        <v>-2.9973299999999998</v>
      </c>
      <c r="V6561">
        <v>-6.2839359999999997E-2</v>
      </c>
      <c r="W6561">
        <v>-7.4508210000000005E-2</v>
      </c>
      <c r="X6561">
        <v>0.99523850000000003</v>
      </c>
      <c r="Y6561">
        <v>-1.62583E-2</v>
      </c>
      <c r="Z6561">
        <v>2.172727E-2</v>
      </c>
      <c r="AA6561">
        <v>0.99963170000000001</v>
      </c>
      <c r="AB6561">
        <v>17</v>
      </c>
      <c r="AC6561">
        <v>-2.3557000000000099</v>
      </c>
      <c r="AD6561">
        <v>-1.1219905975640001</v>
      </c>
      <c r="AE6561">
        <v>-31.775469999999899</v>
      </c>
      <c r="AF6561">
        <v>-0.51784850570350804</v>
      </c>
      <c r="AG6561">
        <v>-1.1219905975640001</v>
      </c>
      <c r="AH6561">
        <v>31.818997446362498</v>
      </c>
      <c r="AI6561">
        <v>92.019240257568995</v>
      </c>
      <c r="AJ6561">
        <v>90.932396272402798</v>
      </c>
      <c r="AK6561">
        <v>31.8429839755558</v>
      </c>
      <c r="AL6561">
        <v>94.272965900030201</v>
      </c>
      <c r="AM6561">
        <v>93.612859595168302</v>
      </c>
      <c r="AN6561">
        <v>0.99999996520243095</v>
      </c>
    </row>
    <row r="6562" spans="1:40" x14ac:dyDescent="0.25">
      <c r="A6562" t="str">
        <f>"20190303153939593"</f>
        <v>20190303153939593</v>
      </c>
      <c r="B6562" t="str">
        <f>"1551598779585612"</f>
        <v>1551598779585612</v>
      </c>
      <c r="C6562" t="s">
        <v>40</v>
      </c>
      <c r="D6562">
        <v>4.7500019999999896</v>
      </c>
      <c r="E6562">
        <v>0.50037429999999905</v>
      </c>
      <c r="F6562" t="s">
        <v>42</v>
      </c>
      <c r="G6562">
        <v>-421.80990000000003</v>
      </c>
      <c r="H6562" s="1">
        <v>-4.2645670000000004E-6</v>
      </c>
      <c r="I6562">
        <v>78.575019999999995</v>
      </c>
      <c r="J6562">
        <v>-420.62240000000003</v>
      </c>
      <c r="K6562">
        <v>1.1218999999999999</v>
      </c>
      <c r="L6562">
        <v>115.408</v>
      </c>
      <c r="M6562">
        <v>-8.8192530000000005E-2</v>
      </c>
      <c r="N6562">
        <v>-1.2854050000000001E-2</v>
      </c>
      <c r="O6562">
        <v>-0.99602040000000003</v>
      </c>
      <c r="P6562">
        <v>-2.9612079999999999E-2</v>
      </c>
      <c r="Q6562">
        <v>-8.9059029999999997E-2</v>
      </c>
      <c r="R6562">
        <v>-0.99558599999999997</v>
      </c>
      <c r="S6562">
        <v>-9.7412109999999996E-2</v>
      </c>
      <c r="T6562">
        <v>-9.1019030000000001E-2</v>
      </c>
      <c r="U6562">
        <v>-3.0019990000000001</v>
      </c>
      <c r="V6562">
        <v>-5.8154940000000002E-2</v>
      </c>
      <c r="W6562">
        <v>-7.6392020000000005E-2</v>
      </c>
      <c r="X6562">
        <v>0.9953805</v>
      </c>
      <c r="Y6562">
        <v>-5.5837129999999999E-2</v>
      </c>
      <c r="Z6562">
        <v>1.7264720000000001E-2</v>
      </c>
      <c r="AA6562">
        <v>0.99829060000000003</v>
      </c>
      <c r="AB6562">
        <v>17</v>
      </c>
      <c r="AC6562">
        <v>-1.1875</v>
      </c>
      <c r="AD6562">
        <v>-1.1219042645670001</v>
      </c>
      <c r="AE6562">
        <v>-36.8329799999999</v>
      </c>
      <c r="AF6562">
        <v>-2.06387755364364</v>
      </c>
      <c r="AG6562">
        <v>-1.1219042645670001</v>
      </c>
      <c r="AH6562">
        <v>36.760102533941598</v>
      </c>
      <c r="AI6562">
        <v>91.745355657838402</v>
      </c>
      <c r="AJ6562">
        <v>93.213469186139804</v>
      </c>
      <c r="AK6562">
        <v>36.835083793052299</v>
      </c>
      <c r="AL6562">
        <v>94.381208497623703</v>
      </c>
      <c r="AM6562">
        <v>93.343695311569903</v>
      </c>
      <c r="AN6562">
        <v>1.00000003877316</v>
      </c>
    </row>
    <row r="6563" spans="1:40" x14ac:dyDescent="0.25">
      <c r="A6563" t="str">
        <f>"20190303153939614"</f>
        <v>20190303153939614</v>
      </c>
      <c r="B6563" t="str">
        <f>"1551598779605132"</f>
        <v>1551598779605132</v>
      </c>
      <c r="C6563" t="s">
        <v>40</v>
      </c>
      <c r="D6563">
        <v>4.7724279999999997</v>
      </c>
      <c r="E6563">
        <v>0.49961689999999997</v>
      </c>
      <c r="F6563" t="s">
        <v>42</v>
      </c>
      <c r="G6563">
        <v>-421.75810000000001</v>
      </c>
      <c r="H6563" s="1">
        <v>-4.6042629999999997E-6</v>
      </c>
      <c r="I6563">
        <v>79.600200000000001</v>
      </c>
      <c r="J6563">
        <v>-420.63529999999997</v>
      </c>
      <c r="K6563">
        <v>1.121801</v>
      </c>
      <c r="L6563">
        <v>115.238</v>
      </c>
      <c r="M6563">
        <v>-8.6317720000000001E-2</v>
      </c>
      <c r="N6563">
        <v>-1.250659E-2</v>
      </c>
      <c r="O6563">
        <v>-0.9961892</v>
      </c>
      <c r="P6563">
        <v>-3.2123489999999998E-2</v>
      </c>
      <c r="Q6563">
        <v>-8.9145509999999997E-2</v>
      </c>
      <c r="R6563">
        <v>-0.99550039999999995</v>
      </c>
      <c r="S6563">
        <v>-9.5214839999999995E-2</v>
      </c>
      <c r="T6563">
        <v>-9.4058870000000003E-2</v>
      </c>
      <c r="U6563">
        <v>-3.002075</v>
      </c>
      <c r="V6563">
        <v>-5.3777489999999997E-2</v>
      </c>
      <c r="W6563">
        <v>-7.6808619999999994E-2</v>
      </c>
      <c r="X6563">
        <v>0.99559450000000005</v>
      </c>
      <c r="Y6563">
        <v>-5.468949E-2</v>
      </c>
      <c r="Z6563">
        <v>1.862366E-2</v>
      </c>
      <c r="AA6563">
        <v>0.99832969999999999</v>
      </c>
      <c r="AB6563">
        <v>17</v>
      </c>
      <c r="AC6563">
        <v>-1.12280000000004</v>
      </c>
      <c r="AD6563">
        <v>-1.121805604263</v>
      </c>
      <c r="AE6563">
        <v>-35.637799999999999</v>
      </c>
      <c r="AF6563">
        <v>-1.9558693689095099</v>
      </c>
      <c r="AG6563">
        <v>-1.121805604263</v>
      </c>
      <c r="AH6563">
        <v>35.566485351732403</v>
      </c>
      <c r="AI6563">
        <v>91.803848578517403</v>
      </c>
      <c r="AJ6563">
        <v>93.147634628800404</v>
      </c>
      <c r="AK6563">
        <v>35.637883678425503</v>
      </c>
      <c r="AL6563">
        <v>94.405148447591301</v>
      </c>
      <c r="AM6563">
        <v>93.091852939441694</v>
      </c>
      <c r="AN6563">
        <v>0.99999999548362695</v>
      </c>
    </row>
    <row r="6564" spans="1:40" x14ac:dyDescent="0.25">
      <c r="A6564" t="str">
        <f>"20190303153939637"</f>
        <v>20190303153939637</v>
      </c>
      <c r="B6564" t="str">
        <f>"1551598779625628"</f>
        <v>1551598779625628</v>
      </c>
      <c r="C6564" t="s">
        <v>40</v>
      </c>
      <c r="D6564">
        <v>4.7887170000000001</v>
      </c>
      <c r="E6564">
        <v>0.49814969999999997</v>
      </c>
      <c r="F6564" t="s">
        <v>42</v>
      </c>
      <c r="G6564">
        <v>-421.8125</v>
      </c>
      <c r="H6564" s="1">
        <v>-4.3954509999999998E-6</v>
      </c>
      <c r="I6564">
        <v>78.958259999999996</v>
      </c>
      <c r="J6564">
        <v>-420.64780000000002</v>
      </c>
      <c r="K6564">
        <v>1.1216980000000001</v>
      </c>
      <c r="L6564">
        <v>115.06910000000001</v>
      </c>
      <c r="M6564">
        <v>-8.4518399999999994E-2</v>
      </c>
      <c r="N6564">
        <v>-1.2152430000000001E-2</v>
      </c>
      <c r="O6564">
        <v>-0.99634800000000001</v>
      </c>
      <c r="P6564">
        <v>-3.293053E-2</v>
      </c>
      <c r="Q6564">
        <v>-8.6956870000000006E-2</v>
      </c>
      <c r="R6564">
        <v>-0.99566809999999994</v>
      </c>
      <c r="S6564">
        <v>-9.7412109999999996E-2</v>
      </c>
      <c r="T6564">
        <v>-9.2828040000000001E-2</v>
      </c>
      <c r="U6564">
        <v>-3.0021059999999999</v>
      </c>
      <c r="V6564">
        <v>-5.1201499999999997E-2</v>
      </c>
      <c r="W6564">
        <v>-7.4958650000000002E-2</v>
      </c>
      <c r="X6564">
        <v>0.99587130000000001</v>
      </c>
      <c r="Y6564">
        <v>-5.2157290000000002E-2</v>
      </c>
      <c r="Z6564">
        <v>1.857907E-2</v>
      </c>
      <c r="AA6564">
        <v>0.99846599999999996</v>
      </c>
      <c r="AB6564">
        <v>17</v>
      </c>
      <c r="AC6564">
        <v>-1.1646999999999801</v>
      </c>
      <c r="AD6564">
        <v>-1.1217023954509999</v>
      </c>
      <c r="AE6564">
        <v>-36.110840000000003</v>
      </c>
      <c r="AF6564">
        <v>-1.88990157543216</v>
      </c>
      <c r="AG6564">
        <v>-1.1217023954509999</v>
      </c>
      <c r="AH6564">
        <v>36.045315434710702</v>
      </c>
      <c r="AI6564">
        <v>91.779981850191405</v>
      </c>
      <c r="AJ6564">
        <v>93.001342087510494</v>
      </c>
      <c r="AK6564">
        <v>36.112251508547303</v>
      </c>
      <c r="AL6564">
        <v>94.298846352395302</v>
      </c>
      <c r="AM6564">
        <v>92.943200643682104</v>
      </c>
      <c r="AN6564">
        <v>1.00000001948788</v>
      </c>
    </row>
    <row r="6565" spans="1:40" x14ac:dyDescent="0.25">
      <c r="A6565" t="str">
        <f>"20190303153939659"</f>
        <v>20190303153939659</v>
      </c>
      <c r="B6565" t="str">
        <f>"1551598779654908"</f>
        <v>1551598779654908</v>
      </c>
      <c r="C6565" t="s">
        <v>40</v>
      </c>
      <c r="D6565">
        <v>4.7443200000000001</v>
      </c>
      <c r="E6565">
        <v>0.48753170000000001</v>
      </c>
      <c r="F6565" t="s">
        <v>42</v>
      </c>
      <c r="G6565">
        <v>-421.7106</v>
      </c>
      <c r="H6565" s="1">
        <v>-4.4787330000000003E-6</v>
      </c>
      <c r="I6565">
        <v>79.256119999999996</v>
      </c>
      <c r="J6565">
        <v>-420.66050000000001</v>
      </c>
      <c r="K6565">
        <v>1.121591</v>
      </c>
      <c r="L6565">
        <v>114.8954</v>
      </c>
      <c r="M6565">
        <v>-8.2751379999999999E-2</v>
      </c>
      <c r="N6565">
        <v>-1.1761000000000001E-2</v>
      </c>
      <c r="O6565">
        <v>-0.99650110000000003</v>
      </c>
      <c r="P6565">
        <v>-3.1987069999999999E-2</v>
      </c>
      <c r="Q6565">
        <v>-8.4341799999999995E-2</v>
      </c>
      <c r="R6565">
        <v>-0.99592369999999997</v>
      </c>
      <c r="S6565">
        <v>-8.9080809999999996E-2</v>
      </c>
      <c r="T6565">
        <v>-9.4023109999999993E-2</v>
      </c>
      <c r="U6565">
        <v>-3.0019070000000001</v>
      </c>
      <c r="V6565">
        <v>-5.041064E-2</v>
      </c>
      <c r="W6565">
        <v>-7.2723399999999994E-2</v>
      </c>
      <c r="X6565">
        <v>0.9960774</v>
      </c>
      <c r="Y6565">
        <v>-5.31528E-2</v>
      </c>
      <c r="Z6565">
        <v>1.937287E-2</v>
      </c>
      <c r="AA6565">
        <v>0.99839849999999997</v>
      </c>
      <c r="AB6565">
        <v>17</v>
      </c>
      <c r="AC6565">
        <v>-1.05009999999998</v>
      </c>
      <c r="AD6565">
        <v>-1.121595478733</v>
      </c>
      <c r="AE6565">
        <v>-35.639279999999999</v>
      </c>
      <c r="AF6565">
        <v>-1.9010237219927799</v>
      </c>
      <c r="AG6565">
        <v>-1.121595478733</v>
      </c>
      <c r="AH6565">
        <v>35.568734507595202</v>
      </c>
      <c r="AI6565">
        <v>91.803547529496299</v>
      </c>
      <c r="AJ6565">
        <v>93.059347018210701</v>
      </c>
      <c r="AK6565">
        <v>35.637153955966902</v>
      </c>
      <c r="AL6565">
        <v>94.170425197174893</v>
      </c>
      <c r="AM6565">
        <v>92.897219393798807</v>
      </c>
      <c r="AN6565">
        <v>1.0000000561617599</v>
      </c>
    </row>
    <row r="6566" spans="1:40" x14ac:dyDescent="0.25">
      <c r="A6566" t="str">
        <f>"20190303153939682"</f>
        <v>20190303153939682</v>
      </c>
      <c r="B6566" t="str">
        <f>"1551598779675408"</f>
        <v>1551598779675408</v>
      </c>
      <c r="C6566" t="s">
        <v>40</v>
      </c>
      <c r="D6566">
        <v>4.7403760000000004</v>
      </c>
      <c r="E6566">
        <v>0.48967490000000002</v>
      </c>
      <c r="F6566" t="s">
        <v>42</v>
      </c>
      <c r="G6566">
        <v>-420.66</v>
      </c>
      <c r="H6566" s="1">
        <v>-8.5984899999999999E-7</v>
      </c>
      <c r="I6566">
        <v>91.184079999999994</v>
      </c>
      <c r="J6566">
        <v>-420.67309999999998</v>
      </c>
      <c r="K6566">
        <v>1.121475</v>
      </c>
      <c r="L6566">
        <v>114.7189</v>
      </c>
      <c r="M6566">
        <v>-8.1051360000000003E-2</v>
      </c>
      <c r="N6566">
        <v>-1.133411E-2</v>
      </c>
      <c r="O6566">
        <v>-0.99664560000000002</v>
      </c>
      <c r="P6566">
        <v>-3.0657710000000001E-2</v>
      </c>
      <c r="Q6566">
        <v>-8.3048040000000004E-2</v>
      </c>
      <c r="R6566">
        <v>-0.99607409999999996</v>
      </c>
      <c r="S6566" s="1">
        <v>6.1035159999999999E-5</v>
      </c>
      <c r="T6566">
        <v>-0.14191909999999999</v>
      </c>
      <c r="U6566">
        <v>-3.0002749999999998</v>
      </c>
      <c r="V6566">
        <v>-5.0059039999999999E-2</v>
      </c>
      <c r="W6566">
        <v>-7.1847620000000001E-2</v>
      </c>
      <c r="X6566">
        <v>0.99615860000000001</v>
      </c>
      <c r="Y6566">
        <v>-8.1049720000000006E-2</v>
      </c>
      <c r="Z6566">
        <v>3.5613899999999997E-2</v>
      </c>
      <c r="AA6566">
        <v>0.9960736</v>
      </c>
      <c r="AB6566">
        <v>17</v>
      </c>
      <c r="AC6566">
        <v>1.3099999999951701E-2</v>
      </c>
      <c r="AD6566">
        <v>-1.121475859849</v>
      </c>
      <c r="AE6566">
        <v>-23.53482</v>
      </c>
      <c r="AF6566">
        <v>-1.91635691747494</v>
      </c>
      <c r="AG6566">
        <v>-1.121475859849</v>
      </c>
      <c r="AH6566">
        <v>23.403175548010299</v>
      </c>
      <c r="AI6566">
        <v>92.734366719350405</v>
      </c>
      <c r="AJ6566">
        <v>94.681191324496297</v>
      </c>
      <c r="AK6566">
        <v>23.508269984632399</v>
      </c>
      <c r="AL6566">
        <v>94.120115435029902</v>
      </c>
      <c r="AM6566">
        <v>92.876812051789003</v>
      </c>
      <c r="AN6566">
        <v>0.99999997216967196</v>
      </c>
    </row>
    <row r="6567" spans="1:40" x14ac:dyDescent="0.25">
      <c r="A6567" t="str">
        <f>"20190303153939705"</f>
        <v>20190303153939705</v>
      </c>
      <c r="B6567" t="str">
        <f>"1551598779694925"</f>
        <v>1551598779694925</v>
      </c>
      <c r="C6567" t="s">
        <v>40</v>
      </c>
      <c r="D6567">
        <v>4.798432</v>
      </c>
      <c r="E6567">
        <v>0.49002040000000002</v>
      </c>
      <c r="F6567" t="s">
        <v>42</v>
      </c>
      <c r="G6567">
        <v>-420.85890000000001</v>
      </c>
      <c r="H6567" s="1">
        <v>-3.3173809999999999E-6</v>
      </c>
      <c r="I6567">
        <v>76.789319999999904</v>
      </c>
      <c r="J6567">
        <v>-420.68560000000002</v>
      </c>
      <c r="K6567">
        <v>1.121378</v>
      </c>
      <c r="L6567">
        <v>114.5419</v>
      </c>
      <c r="M6567">
        <v>-7.9438809999999999E-2</v>
      </c>
      <c r="N6567">
        <v>-1.0903650000000001E-2</v>
      </c>
      <c r="O6567">
        <v>-0.99678020000000001</v>
      </c>
      <c r="P6567">
        <v>-3.001055E-2</v>
      </c>
      <c r="Q6567">
        <v>-8.3299819999999997E-2</v>
      </c>
      <c r="R6567">
        <v>-0.99607279999999998</v>
      </c>
      <c r="S6567">
        <v>-1.4709470000000001E-2</v>
      </c>
      <c r="T6567">
        <v>-8.881986E-2</v>
      </c>
      <c r="U6567">
        <v>-3.0039829999999998</v>
      </c>
      <c r="V6567">
        <v>-4.9098990000000002E-2</v>
      </c>
      <c r="W6567">
        <v>-7.2521879999999997E-2</v>
      </c>
      <c r="X6567">
        <v>0.99615750000000003</v>
      </c>
      <c r="Y6567">
        <v>-7.4545790000000001E-2</v>
      </c>
      <c r="Z6567">
        <v>1.8474569999999999E-2</v>
      </c>
      <c r="AA6567">
        <v>0.99704649999999995</v>
      </c>
      <c r="AB6567">
        <v>17</v>
      </c>
      <c r="AC6567">
        <v>-0.173299999999983</v>
      </c>
      <c r="AD6567">
        <v>-1.1213813173810001</v>
      </c>
      <c r="AE6567">
        <v>-37.752580000000002</v>
      </c>
      <c r="AF6567">
        <v>-2.8239542817001801</v>
      </c>
      <c r="AG6567">
        <v>-1.1213813173810001</v>
      </c>
      <c r="AH6567">
        <v>37.613839794762399</v>
      </c>
      <c r="AI6567">
        <v>91.702863497334405</v>
      </c>
      <c r="AJ6567">
        <v>94.293570743328203</v>
      </c>
      <c r="AK6567">
        <v>37.736363867629798</v>
      </c>
      <c r="AL6567">
        <v>94.158848828614097</v>
      </c>
      <c r="AM6567">
        <v>92.821732679060901</v>
      </c>
      <c r="AN6567">
        <v>0.99999994935200098</v>
      </c>
    </row>
    <row r="6568" spans="1:40" x14ac:dyDescent="0.25">
      <c r="A6568" t="str">
        <f>"20190303153939727"</f>
        <v>20190303153939727</v>
      </c>
      <c r="B6568" t="str">
        <f>"1551598779715420"</f>
        <v>1551598779715420</v>
      </c>
      <c r="C6568" t="s">
        <v>40</v>
      </c>
      <c r="D6568">
        <v>4.7617529999999997</v>
      </c>
      <c r="E6568">
        <v>0.4888786</v>
      </c>
      <c r="F6568" t="s">
        <v>42</v>
      </c>
      <c r="G6568">
        <v>-420.86009999999999</v>
      </c>
      <c r="H6568" s="1">
        <v>-5.1662909999999995E-7</v>
      </c>
      <c r="I6568">
        <v>80.259900000000002</v>
      </c>
      <c r="J6568">
        <v>-420.69760000000002</v>
      </c>
      <c r="K6568">
        <v>1.121291</v>
      </c>
      <c r="L6568">
        <v>114.3691</v>
      </c>
      <c r="M6568">
        <v>-7.7941300000000005E-2</v>
      </c>
      <c r="N6568">
        <v>-1.0501969999999999E-2</v>
      </c>
      <c r="O6568">
        <v>-0.99690270000000003</v>
      </c>
      <c r="P6568">
        <v>-3.035697E-2</v>
      </c>
      <c r="Q6568">
        <v>-8.4158930000000007E-2</v>
      </c>
      <c r="R6568">
        <v>-0.99599009999999999</v>
      </c>
      <c r="S6568">
        <v>-1.528931E-2</v>
      </c>
      <c r="T6568">
        <v>-9.8233940000000006E-2</v>
      </c>
      <c r="U6568">
        <v>-3.0031430000000001</v>
      </c>
      <c r="V6568">
        <v>-4.7254379999999999E-2</v>
      </c>
      <c r="W6568">
        <v>-7.3774759999999995E-2</v>
      </c>
      <c r="X6568">
        <v>0.99615480000000001</v>
      </c>
      <c r="Y6568">
        <v>-7.2853669999999995E-2</v>
      </c>
      <c r="Z6568">
        <v>2.2004019999999999E-2</v>
      </c>
      <c r="AA6568">
        <v>0.99709990000000004</v>
      </c>
      <c r="AB6568">
        <v>18</v>
      </c>
      <c r="AC6568">
        <v>-0.16249999999996501</v>
      </c>
      <c r="AD6568">
        <v>-1.1212915166291</v>
      </c>
      <c r="AE6568">
        <v>-34.109200000000001</v>
      </c>
      <c r="AF6568">
        <v>-2.4939611279782601</v>
      </c>
      <c r="AG6568">
        <v>-1.1212915166291</v>
      </c>
      <c r="AH6568">
        <v>33.981370920908397</v>
      </c>
      <c r="AI6568">
        <v>91.884851190333805</v>
      </c>
      <c r="AJ6568">
        <v>94.197526739154895</v>
      </c>
      <c r="AK6568">
        <v>34.091211571862502</v>
      </c>
      <c r="AL6568">
        <v>94.230826017636204</v>
      </c>
      <c r="AM6568">
        <v>92.715891589729907</v>
      </c>
      <c r="AN6568">
        <v>1.00000003860264</v>
      </c>
    </row>
    <row r="6569" spans="1:40" x14ac:dyDescent="0.25">
      <c r="A6569" t="str">
        <f>"20190303153939749"</f>
        <v>20190303153939749</v>
      </c>
      <c r="B6569" t="str">
        <f>"1551598779745677"</f>
        <v>1551598779745677</v>
      </c>
      <c r="C6569" t="s">
        <v>40</v>
      </c>
      <c r="D6569">
        <v>4.7187590000000004</v>
      </c>
      <c r="E6569">
        <v>0.48948249999999999</v>
      </c>
      <c r="F6569" t="s">
        <v>42</v>
      </c>
      <c r="G6569">
        <v>-420.7627</v>
      </c>
      <c r="H6569" s="1">
        <v>-2.8583339999999999E-6</v>
      </c>
      <c r="I6569">
        <v>85.778899999999993</v>
      </c>
      <c r="J6569">
        <v>-420.70960000000002</v>
      </c>
      <c r="K6569">
        <v>1.121224</v>
      </c>
      <c r="L6569">
        <v>114.19240000000001</v>
      </c>
      <c r="M6569">
        <v>-7.6467770000000004E-2</v>
      </c>
      <c r="N6569">
        <v>-1.010722E-2</v>
      </c>
      <c r="O6569">
        <v>-0.99702100000000005</v>
      </c>
      <c r="P6569">
        <v>-3.1522300000000003E-2</v>
      </c>
      <c r="Q6569">
        <v>-8.5050500000000001E-2</v>
      </c>
      <c r="R6569">
        <v>-0.99587809999999999</v>
      </c>
      <c r="S6569">
        <v>-6.8359379999999997E-3</v>
      </c>
      <c r="T6569">
        <v>-0.11773400000000001</v>
      </c>
      <c r="U6569">
        <v>-3.0019230000000001</v>
      </c>
      <c r="V6569">
        <v>-4.4613199999999902E-2</v>
      </c>
      <c r="W6569">
        <v>-7.5053079999999994E-2</v>
      </c>
      <c r="X6569">
        <v>0.99618110000000004</v>
      </c>
      <c r="Y6569">
        <v>-7.4183330000000006E-2</v>
      </c>
      <c r="Z6569">
        <v>2.8862700000000002E-2</v>
      </c>
      <c r="AA6569">
        <v>0.99682680000000001</v>
      </c>
      <c r="AB6569">
        <v>18</v>
      </c>
      <c r="AC6569">
        <v>-5.30999999999721E-2</v>
      </c>
      <c r="AD6569">
        <v>-1.1212268583339999</v>
      </c>
      <c r="AE6569">
        <v>-28.413499999999999</v>
      </c>
      <c r="AF6569">
        <v>-2.1165871927727999</v>
      </c>
      <c r="AG6569">
        <v>-1.1212268583339999</v>
      </c>
      <c r="AH6569">
        <v>28.290306145339201</v>
      </c>
      <c r="AI6569">
        <v>92.263291038835007</v>
      </c>
      <c r="AJ6569">
        <v>94.278709302673093</v>
      </c>
      <c r="AK6569">
        <v>28.391521847366199</v>
      </c>
      <c r="AL6569">
        <v>94.304271974194805</v>
      </c>
      <c r="AM6569">
        <v>92.564233783322194</v>
      </c>
      <c r="AN6569">
        <v>1.00000004321446</v>
      </c>
    </row>
    <row r="6570" spans="1:40" x14ac:dyDescent="0.25">
      <c r="A6570" t="str">
        <f>"20190303153939772"</f>
        <v>20190303153939772</v>
      </c>
      <c r="B6570" t="str">
        <f>"1551598779765196"</f>
        <v>1551598779765196</v>
      </c>
      <c r="C6570" t="s">
        <v>40</v>
      </c>
      <c r="D6570">
        <v>4.8043829999999996</v>
      </c>
      <c r="E6570">
        <v>0.48968650000000002</v>
      </c>
      <c r="F6570" t="s">
        <v>42</v>
      </c>
      <c r="G6570">
        <v>-420.84399999999999</v>
      </c>
      <c r="H6570" s="1">
        <v>-3.5936499999999999E-6</v>
      </c>
      <c r="I6570">
        <v>87.442530000000005</v>
      </c>
      <c r="J6570">
        <v>-420.72149999999999</v>
      </c>
      <c r="K6570">
        <v>1.1211869999999999</v>
      </c>
      <c r="L6570">
        <v>114.0155</v>
      </c>
      <c r="M6570">
        <v>-7.5028609999999996E-2</v>
      </c>
      <c r="N6570">
        <v>-9.7182770000000009E-3</v>
      </c>
      <c r="O6570">
        <v>-0.99713410000000002</v>
      </c>
      <c r="P6570">
        <v>-3.1570399999999998E-2</v>
      </c>
      <c r="Q6570">
        <v>-8.4397630000000001E-2</v>
      </c>
      <c r="R6570">
        <v>-0.99593189999999998</v>
      </c>
      <c r="S6570">
        <v>-1.5075679999999999E-2</v>
      </c>
      <c r="T6570">
        <v>-0.1257963</v>
      </c>
      <c r="U6570">
        <v>-3.0012050000000001</v>
      </c>
      <c r="V6570">
        <v>-4.3133400000000002E-2</v>
      </c>
      <c r="W6570">
        <v>-7.4784009999999998E-2</v>
      </c>
      <c r="X6570">
        <v>0.99626650000000005</v>
      </c>
      <c r="Y6570">
        <v>-7.0007130000000001E-2</v>
      </c>
      <c r="Z6570">
        <v>3.1939960000000003E-2</v>
      </c>
      <c r="AA6570">
        <v>0.997035</v>
      </c>
      <c r="AB6570">
        <v>18</v>
      </c>
      <c r="AC6570">
        <v>-0.122500000000002</v>
      </c>
      <c r="AD6570">
        <v>-1.12119059365</v>
      </c>
      <c r="AE6570">
        <v>-26.572970000000002</v>
      </c>
      <c r="AF6570">
        <v>-1.86834628632194</v>
      </c>
      <c r="AG6570">
        <v>-1.12119059365</v>
      </c>
      <c r="AH6570">
        <v>26.460150867681399</v>
      </c>
      <c r="AI6570">
        <v>92.420312154710103</v>
      </c>
      <c r="AJ6570">
        <v>94.038940761327098</v>
      </c>
      <c r="AK6570">
        <v>26.549715066895999</v>
      </c>
      <c r="AL6570">
        <v>94.288811970917294</v>
      </c>
      <c r="AM6570">
        <v>92.479074980029495</v>
      </c>
      <c r="AN6570">
        <v>1.0000000386847401</v>
      </c>
    </row>
    <row r="6571" spans="1:40" x14ac:dyDescent="0.25">
      <c r="A6571" t="str">
        <f>"20190303153939794"</f>
        <v>20190303153939794</v>
      </c>
      <c r="B6571" t="str">
        <f>"1551598779784717"</f>
        <v>1551598779784717</v>
      </c>
      <c r="C6571" t="s">
        <v>40</v>
      </c>
      <c r="D6571">
        <v>4.7247729999999999</v>
      </c>
      <c r="E6571">
        <v>0.49013079999999998</v>
      </c>
      <c r="F6571" t="s">
        <v>42</v>
      </c>
      <c r="G6571">
        <v>-420.87169999999998</v>
      </c>
      <c r="H6571" s="1">
        <v>-3.5004200000000001E-6</v>
      </c>
      <c r="I6571">
        <v>87.208019999999905</v>
      </c>
      <c r="J6571">
        <v>-420.73320000000001</v>
      </c>
      <c r="K6571">
        <v>1.1211599999999999</v>
      </c>
      <c r="L6571">
        <v>113.8368</v>
      </c>
      <c r="M6571">
        <v>-7.3585990000000004E-2</v>
      </c>
      <c r="N6571">
        <v>-9.340803E-3</v>
      </c>
      <c r="O6571">
        <v>-0.9972451</v>
      </c>
      <c r="P6571">
        <v>-3.2283249999999999E-2</v>
      </c>
      <c r="Q6571">
        <v>-8.3390499999999895E-2</v>
      </c>
      <c r="R6571">
        <v>-0.99599380000000004</v>
      </c>
      <c r="S6571">
        <v>-1.6815190000000001E-2</v>
      </c>
      <c r="T6571">
        <v>-0.1255164</v>
      </c>
      <c r="U6571">
        <v>-3.0010829999999999</v>
      </c>
      <c r="V6571">
        <v>-4.0986099999999998E-2</v>
      </c>
      <c r="W6571">
        <v>-7.4149010000000001E-2</v>
      </c>
      <c r="X6571">
        <v>0.99640459999999997</v>
      </c>
      <c r="Y6571">
        <v>-6.798688E-2</v>
      </c>
      <c r="Z6571">
        <v>3.2236090000000002E-2</v>
      </c>
      <c r="AA6571">
        <v>0.99716530000000003</v>
      </c>
      <c r="AB6571">
        <v>18</v>
      </c>
      <c r="AC6571">
        <v>-0.13849999999996401</v>
      </c>
      <c r="AD6571">
        <v>-1.12116350042</v>
      </c>
      <c r="AE6571">
        <v>-26.628779999999999</v>
      </c>
      <c r="AF6571">
        <v>-1.8182430994307699</v>
      </c>
      <c r="AG6571">
        <v>-1.12116350042</v>
      </c>
      <c r="AH6571">
        <v>26.519761543589699</v>
      </c>
      <c r="AI6571">
        <v>92.415162078766002</v>
      </c>
      <c r="AJ6571">
        <v>93.922164897434598</v>
      </c>
      <c r="AK6571">
        <v>26.605652931137801</v>
      </c>
      <c r="AL6571">
        <v>94.252327884768306</v>
      </c>
      <c r="AM6571">
        <v>92.355476308545605</v>
      </c>
      <c r="AN6571">
        <v>1.0000000314891699</v>
      </c>
    </row>
    <row r="6572" spans="1:40" x14ac:dyDescent="0.25">
      <c r="A6572" t="str">
        <f>"20190303153939807"</f>
        <v>20190303153939807</v>
      </c>
      <c r="B6572" t="str">
        <f>"1551598779795453"</f>
        <v>1551598779795453</v>
      </c>
      <c r="C6572" t="s">
        <v>40</v>
      </c>
      <c r="D6572">
        <v>4.718343</v>
      </c>
      <c r="E6572">
        <v>0.49928250000000002</v>
      </c>
      <c r="F6572" t="s">
        <v>42</v>
      </c>
      <c r="G6572">
        <v>-420.94990000000001</v>
      </c>
      <c r="H6572" s="1">
        <v>-2.586749E-6</v>
      </c>
      <c r="I6572">
        <v>85.029709999999994</v>
      </c>
      <c r="J6572">
        <v>-420.74020000000002</v>
      </c>
      <c r="K6572">
        <v>1.121156</v>
      </c>
      <c r="L6572">
        <v>113.7285</v>
      </c>
      <c r="M6572">
        <v>-7.2711789999999998E-2</v>
      </c>
      <c r="N6572">
        <v>-9.1193669999999998E-3</v>
      </c>
      <c r="O6572">
        <v>-0.99731150000000002</v>
      </c>
      <c r="P6572">
        <v>-3.2123770000000003E-2</v>
      </c>
      <c r="Q6572">
        <v>-8.3775779999999994E-2</v>
      </c>
      <c r="R6572">
        <v>-0.99596669999999998</v>
      </c>
      <c r="S6572">
        <v>-2.2583010000000001E-2</v>
      </c>
      <c r="T6572">
        <v>-0.1168203</v>
      </c>
      <c r="U6572">
        <v>-3.0015719999999999</v>
      </c>
      <c r="V6572">
        <v>-4.0267299999999999E-2</v>
      </c>
      <c r="W6572">
        <v>-7.4754870000000001E-2</v>
      </c>
      <c r="X6572">
        <v>0.99638859999999996</v>
      </c>
      <c r="Y6572">
        <v>-6.519809E-2</v>
      </c>
      <c r="Z6572">
        <v>2.958241E-2</v>
      </c>
      <c r="AA6572">
        <v>0.99743380000000004</v>
      </c>
      <c r="AB6572">
        <v>18</v>
      </c>
      <c r="AC6572">
        <v>-0.209699999999998</v>
      </c>
      <c r="AD6572">
        <v>-1.1211585867489999</v>
      </c>
      <c r="AE6572">
        <v>-28.698789999999999</v>
      </c>
      <c r="AF6572">
        <v>-1.87482070859047</v>
      </c>
      <c r="AG6572">
        <v>-1.1211585867489999</v>
      </c>
      <c r="AH6572">
        <v>28.5944281100514</v>
      </c>
      <c r="AI6572">
        <v>92.2405535018313</v>
      </c>
      <c r="AJ6572">
        <v>93.751282637938104</v>
      </c>
      <c r="AK6572">
        <v>28.6777486600134</v>
      </c>
      <c r="AL6572">
        <v>94.287137876782495</v>
      </c>
      <c r="AM6572">
        <v>92.314249217375107</v>
      </c>
      <c r="AN6572">
        <v>0.99999999412398299</v>
      </c>
    </row>
    <row r="6573" spans="1:40" x14ac:dyDescent="0.25">
      <c r="A6573" t="str">
        <f>"20190303153939826"</f>
        <v>20190303153939826</v>
      </c>
      <c r="B6573" t="str">
        <f>"1551598779814973"</f>
        <v>1551598779814973</v>
      </c>
      <c r="C6573" t="s">
        <v>40</v>
      </c>
      <c r="D6573">
        <v>4.678801</v>
      </c>
      <c r="E6573">
        <v>0.49934679999999998</v>
      </c>
      <c r="F6573" t="s">
        <v>71</v>
      </c>
      <c r="G6573">
        <v>-424.46719999999999</v>
      </c>
      <c r="H6573">
        <v>1.3339669999999999</v>
      </c>
      <c r="I6573">
        <v>0.43196109999999999</v>
      </c>
      <c r="J6573">
        <v>-420.75020000000001</v>
      </c>
      <c r="K6573">
        <v>1.121146</v>
      </c>
      <c r="L6573">
        <v>113.5712</v>
      </c>
      <c r="M6573">
        <v>-7.143033E-2</v>
      </c>
      <c r="N6573">
        <v>-8.7871730000000006E-3</v>
      </c>
      <c r="O6573">
        <v>-0.9974073</v>
      </c>
      <c r="P6573">
        <v>-3.1297350000000002E-2</v>
      </c>
      <c r="Q6573">
        <v>-8.2834619999999998E-2</v>
      </c>
      <c r="R6573">
        <v>-0.99607239999999997</v>
      </c>
      <c r="S6573">
        <v>-9.8999019999999993E-2</v>
      </c>
      <c r="T6573">
        <v>5.6520700000000004E-3</v>
      </c>
      <c r="U6573">
        <v>-3.0094449999999999</v>
      </c>
      <c r="V6573">
        <v>-3.9816820000000003E-2</v>
      </c>
      <c r="W6573">
        <v>-7.4145119999999995E-2</v>
      </c>
      <c r="X6573">
        <v>0.99645229999999996</v>
      </c>
      <c r="Y6573">
        <v>-3.8600809999999999E-2</v>
      </c>
      <c r="Z6573">
        <v>-1.064646E-2</v>
      </c>
      <c r="AA6573">
        <v>0.99919800000000003</v>
      </c>
      <c r="AB6573">
        <v>18</v>
      </c>
      <c r="AC6573">
        <v>-3.7169999999999801</v>
      </c>
      <c r="AD6573">
        <v>0.21282099999999901</v>
      </c>
      <c r="AE6573">
        <v>-113.1392389</v>
      </c>
      <c r="AF6573">
        <v>-4.3743618485645097</v>
      </c>
      <c r="AG6573">
        <v>0.21282099999999901</v>
      </c>
      <c r="AH6573">
        <v>113.115329824092</v>
      </c>
      <c r="AI6573">
        <v>89.892281416719996</v>
      </c>
      <c r="AJ6573">
        <v>92.214621520000605</v>
      </c>
      <c r="AK6573">
        <v>113.20008028077299</v>
      </c>
      <c r="AL6573">
        <v>94.252104386484604</v>
      </c>
      <c r="AM6573">
        <v>92.288240699096704</v>
      </c>
      <c r="AN6573">
        <v>1.000000032075</v>
      </c>
    </row>
    <row r="6574" spans="1:40" x14ac:dyDescent="0.25">
      <c r="A6574" t="str">
        <f>"20190303153939840"</f>
        <v>20190303153939840</v>
      </c>
      <c r="B6574" t="str">
        <f>"1551598779835469"</f>
        <v>1551598779835469</v>
      </c>
      <c r="C6574" t="s">
        <v>40</v>
      </c>
      <c r="D6574">
        <v>4.7398210000000001</v>
      </c>
      <c r="E6574">
        <v>0.499747</v>
      </c>
      <c r="F6574" t="s">
        <v>71</v>
      </c>
      <c r="G6574">
        <v>-424.37670000000003</v>
      </c>
      <c r="H6574">
        <v>1.8400559999999999</v>
      </c>
      <c r="I6574">
        <v>0.4328785</v>
      </c>
      <c r="J6574">
        <v>-420.75700000000001</v>
      </c>
      <c r="K6574">
        <v>1.1211329999999999</v>
      </c>
      <c r="L6574">
        <v>113.46250000000001</v>
      </c>
      <c r="M6574">
        <v>-7.0533419999999999E-2</v>
      </c>
      <c r="N6574">
        <v>-8.5293519999999901E-3</v>
      </c>
      <c r="O6574">
        <v>-0.9974731</v>
      </c>
      <c r="P6574">
        <v>-2.9984299999999998E-2</v>
      </c>
      <c r="Q6574">
        <v>-8.2033049999999996E-2</v>
      </c>
      <c r="R6574">
        <v>-0.99617849999999997</v>
      </c>
      <c r="S6574">
        <v>-9.6496579999999998E-2</v>
      </c>
      <c r="T6574">
        <v>1.9127959999999999E-2</v>
      </c>
      <c r="U6574">
        <v>-3.0103909999999998</v>
      </c>
      <c r="V6574">
        <v>-4.0236550000000003E-2</v>
      </c>
      <c r="W6574">
        <v>-7.3602290000000001E-2</v>
      </c>
      <c r="X6574">
        <v>0.99647560000000002</v>
      </c>
      <c r="Y6574">
        <v>-3.8544710000000003E-2</v>
      </c>
      <c r="Z6574">
        <v>-1.484544E-2</v>
      </c>
      <c r="AA6574">
        <v>0.9991466</v>
      </c>
      <c r="AB6574">
        <v>18</v>
      </c>
      <c r="AC6574">
        <v>-3.6197000000000799</v>
      </c>
      <c r="AD6574">
        <v>0.71892299999999998</v>
      </c>
      <c r="AE6574">
        <v>-113.0296215</v>
      </c>
      <c r="AF6574">
        <v>-4.3617941251610803</v>
      </c>
      <c r="AG6574">
        <v>0.71892299999999998</v>
      </c>
      <c r="AH6574">
        <v>112.998843704854</v>
      </c>
      <c r="AI6574">
        <v>89.635748076118901</v>
      </c>
      <c r="AJ6574">
        <v>92.210539286097799</v>
      </c>
      <c r="AK6574">
        <v>113.085280991402</v>
      </c>
      <c r="AL6574">
        <v>94.220917654019601</v>
      </c>
      <c r="AM6574">
        <v>92.312282188879706</v>
      </c>
      <c r="AN6574">
        <v>0.99999994922225199</v>
      </c>
    </row>
    <row r="6575" spans="1:40" x14ac:dyDescent="0.25">
      <c r="A6575" t="str">
        <f>"20190303153939853"</f>
        <v>20190303153939853</v>
      </c>
      <c r="B6575" t="str">
        <f>"1551598779845229"</f>
        <v>1551598779845229</v>
      </c>
      <c r="C6575" t="s">
        <v>40</v>
      </c>
      <c r="D6575">
        <v>4.7348189999999999</v>
      </c>
      <c r="E6575">
        <v>0.49993919999999997</v>
      </c>
      <c r="F6575" t="s">
        <v>71</v>
      </c>
      <c r="G6575">
        <v>-424.35169999999999</v>
      </c>
      <c r="H6575">
        <v>2.220796</v>
      </c>
      <c r="I6575">
        <v>0.43313220000000002</v>
      </c>
      <c r="J6575">
        <v>-420.76339999999999</v>
      </c>
      <c r="K6575">
        <v>1.1211169999999999</v>
      </c>
      <c r="L6575">
        <v>113.3567</v>
      </c>
      <c r="M6575">
        <v>-6.9655770000000006E-2</v>
      </c>
      <c r="N6575">
        <v>-8.264459E-3</v>
      </c>
      <c r="O6575">
        <v>-0.99753689999999995</v>
      </c>
      <c r="P6575">
        <v>-2.9215720000000001E-2</v>
      </c>
      <c r="Q6575">
        <v>-8.0829769999999995E-2</v>
      </c>
      <c r="R6575">
        <v>-0.99630019999999997</v>
      </c>
      <c r="S6575">
        <v>-9.5764160000000001E-2</v>
      </c>
      <c r="T6575">
        <v>2.9293779999999998E-2</v>
      </c>
      <c r="U6575">
        <v>-3.0110320000000002</v>
      </c>
      <c r="V6575">
        <v>-4.0134330000000003E-2</v>
      </c>
      <c r="W6575">
        <v>-7.2663409999999998E-2</v>
      </c>
      <c r="X6575">
        <v>0.99654869999999995</v>
      </c>
      <c r="Y6575">
        <v>-3.791717E-2</v>
      </c>
      <c r="Z6575">
        <v>-1.7941559999999999E-2</v>
      </c>
      <c r="AA6575">
        <v>0.9991198</v>
      </c>
      <c r="AB6575">
        <v>18</v>
      </c>
      <c r="AC6575">
        <v>-3.5882999999999998</v>
      </c>
      <c r="AD6575">
        <v>1.0996790000000001</v>
      </c>
      <c r="AE6575">
        <v>-112.9235678</v>
      </c>
      <c r="AF6575">
        <v>-4.2860565409413303</v>
      </c>
      <c r="AG6575">
        <v>1.0996790000000001</v>
      </c>
      <c r="AH6575">
        <v>112.888527037728</v>
      </c>
      <c r="AI6575">
        <v>89.442285099925002</v>
      </c>
      <c r="AJ6575">
        <v>92.174313552708199</v>
      </c>
      <c r="AK6575">
        <v>112.975214588524</v>
      </c>
      <c r="AL6575">
        <v>94.166979042019094</v>
      </c>
      <c r="AM6575">
        <v>92.306245242701294</v>
      </c>
      <c r="AN6575">
        <v>1.0000000235345301</v>
      </c>
    </row>
    <row r="6576" spans="1:40" x14ac:dyDescent="0.25">
      <c r="A6576" t="str">
        <f>"20190303153939865"</f>
        <v>20190303153939865</v>
      </c>
      <c r="B6576" t="str">
        <f>"1551598779854989"</f>
        <v>1551598779854989</v>
      </c>
      <c r="C6576" t="s">
        <v>40</v>
      </c>
      <c r="D6576">
        <v>4.719697</v>
      </c>
      <c r="E6576">
        <v>0.50002309999999905</v>
      </c>
      <c r="F6576" t="s">
        <v>71</v>
      </c>
      <c r="G6576">
        <v>-424.32369999999997</v>
      </c>
      <c r="H6576">
        <v>2.4380989999999998</v>
      </c>
      <c r="I6576">
        <v>0.43342019999999998</v>
      </c>
      <c r="J6576">
        <v>-420.76990000000001</v>
      </c>
      <c r="K6576">
        <v>1.1210960000000001</v>
      </c>
      <c r="L6576">
        <v>113.2509</v>
      </c>
      <c r="M6576">
        <v>-6.8770520000000002E-2</v>
      </c>
      <c r="N6576">
        <v>-7.9806069999999903E-3</v>
      </c>
      <c r="O6576">
        <v>-0.99760090000000001</v>
      </c>
      <c r="P6576">
        <v>-2.7798449999999999E-2</v>
      </c>
      <c r="Q6576">
        <v>-7.9423560000000004E-2</v>
      </c>
      <c r="R6576">
        <v>-0.99645360000000005</v>
      </c>
      <c r="S6576">
        <v>-9.4940189999999994E-2</v>
      </c>
      <c r="T6576">
        <v>3.5117750000000003E-2</v>
      </c>
      <c r="U6576">
        <v>-3.011215</v>
      </c>
      <c r="V6576">
        <v>-4.0674109999999999E-2</v>
      </c>
      <c r="W6576">
        <v>-7.1541640000000004E-2</v>
      </c>
      <c r="X6576">
        <v>0.99660800000000005</v>
      </c>
      <c r="Y6576">
        <v>-3.7306550000000001E-2</v>
      </c>
      <c r="Z6576">
        <v>-1.9584219999999999E-2</v>
      </c>
      <c r="AA6576">
        <v>0.999112</v>
      </c>
      <c r="AB6576">
        <v>18</v>
      </c>
      <c r="AC6576">
        <v>-3.5537999999999599</v>
      </c>
      <c r="AD6576">
        <v>1.3170029999999999</v>
      </c>
      <c r="AE6576">
        <v>-112.8174798</v>
      </c>
      <c r="AF6576">
        <v>-4.21280198562763</v>
      </c>
      <c r="AG6576">
        <v>1.3170029999999999</v>
      </c>
      <c r="AH6576">
        <v>112.779418586774</v>
      </c>
      <c r="AI6576">
        <v>89.331414354672006</v>
      </c>
      <c r="AJ6576">
        <v>92.1392520277617</v>
      </c>
      <c r="AK6576">
        <v>112.86575855520999</v>
      </c>
      <c r="AL6576">
        <v>94.102538530887401</v>
      </c>
      <c r="AM6576">
        <v>92.337089619861104</v>
      </c>
      <c r="AN6576">
        <v>1.00000004757108</v>
      </c>
    </row>
    <row r="6577" spans="1:40" x14ac:dyDescent="0.25">
      <c r="A6577" t="str">
        <f>"20190303153939878"</f>
        <v>20190303153939878</v>
      </c>
      <c r="B6577" t="str">
        <f>"1551598779875485"</f>
        <v>1551598779875485</v>
      </c>
      <c r="C6577" t="s">
        <v>40</v>
      </c>
      <c r="D6577">
        <v>4.7614900000000002</v>
      </c>
      <c r="E6577">
        <v>0.50025359999999996</v>
      </c>
      <c r="F6577" t="s">
        <v>71</v>
      </c>
      <c r="G6577">
        <v>-424.17</v>
      </c>
      <c r="H6577">
        <v>2.6349079999999998</v>
      </c>
      <c r="I6577">
        <v>0.43498229999999999</v>
      </c>
      <c r="J6577">
        <v>-420.7758</v>
      </c>
      <c r="K6577">
        <v>1.1210739999999999</v>
      </c>
      <c r="L6577">
        <v>113.1521</v>
      </c>
      <c r="M6577">
        <v>-6.7942470000000005E-2</v>
      </c>
      <c r="N6577">
        <v>-7.7119869999999896E-3</v>
      </c>
      <c r="O6577">
        <v>-0.99765970000000004</v>
      </c>
      <c r="P6577">
        <v>-2.6537390000000001E-2</v>
      </c>
      <c r="Q6577">
        <v>-7.7743399999999893E-2</v>
      </c>
      <c r="R6577">
        <v>-0.99662070000000003</v>
      </c>
      <c r="S6577">
        <v>-9.0759279999999998E-2</v>
      </c>
      <c r="T6577">
        <v>4.0407180000000001E-2</v>
      </c>
      <c r="U6577">
        <v>-3.011368</v>
      </c>
      <c r="V6577">
        <v>-4.1117809999999998E-2</v>
      </c>
      <c r="W6577">
        <v>-7.0130120000000004E-2</v>
      </c>
      <c r="X6577">
        <v>0.99669010000000002</v>
      </c>
      <c r="Y6577">
        <v>-3.7865570000000001E-2</v>
      </c>
      <c r="Z6577">
        <v>-2.1065670000000002E-2</v>
      </c>
      <c r="AA6577">
        <v>0.99906079999999997</v>
      </c>
      <c r="AB6577">
        <v>18</v>
      </c>
      <c r="AC6577">
        <v>-3.3942000000000099</v>
      </c>
      <c r="AD6577">
        <v>1.5138339999999999</v>
      </c>
      <c r="AE6577">
        <v>-112.7171177</v>
      </c>
      <c r="AF6577">
        <v>-4.2713789914638296</v>
      </c>
      <c r="AG6577">
        <v>1.5138339999999999</v>
      </c>
      <c r="AH6577">
        <v>112.666953405426</v>
      </c>
      <c r="AI6577">
        <v>89.230752023733501</v>
      </c>
      <c r="AJ6577">
        <v>92.171132107471195</v>
      </c>
      <c r="AK6577">
        <v>112.758054087186</v>
      </c>
      <c r="AL6577">
        <v>94.021460784236197</v>
      </c>
      <c r="AM6577">
        <v>92.362361011338805</v>
      </c>
      <c r="AN6577">
        <v>1.0000000317342099</v>
      </c>
    </row>
    <row r="6578" spans="1:40" x14ac:dyDescent="0.25">
      <c r="A6578" t="str">
        <f>"20190303153939891"</f>
        <v>20190303153939891</v>
      </c>
      <c r="B6578" t="str">
        <f>"1551598779885245"</f>
        <v>1551598779885245</v>
      </c>
      <c r="C6578" t="s">
        <v>40</v>
      </c>
      <c r="D6578">
        <v>4.7317070000000001</v>
      </c>
      <c r="E6578">
        <v>0.50028980000000001</v>
      </c>
      <c r="F6578" t="s">
        <v>71</v>
      </c>
      <c r="G6578">
        <v>-424.09390000000002</v>
      </c>
      <c r="H6578">
        <v>2.8658510000000001</v>
      </c>
      <c r="I6578">
        <v>0.4357586</v>
      </c>
      <c r="J6578">
        <v>-420.78199999999998</v>
      </c>
      <c r="K6578">
        <v>1.1210450000000001</v>
      </c>
      <c r="L6578">
        <v>113.0466</v>
      </c>
      <c r="M6578">
        <v>-6.7058850000000003E-2</v>
      </c>
      <c r="N6578">
        <v>-7.4253499999999998E-3</v>
      </c>
      <c r="O6578">
        <v>-0.99772159999999999</v>
      </c>
      <c r="P6578">
        <v>-2.538404E-2</v>
      </c>
      <c r="Q6578">
        <v>-7.6452939999999997E-2</v>
      </c>
      <c r="R6578">
        <v>-0.99675060000000004</v>
      </c>
      <c r="S6578">
        <v>-8.8653560000000006E-2</v>
      </c>
      <c r="T6578">
        <v>4.661477E-2</v>
      </c>
      <c r="U6578">
        <v>-3.0114589999999999</v>
      </c>
      <c r="V6578">
        <v>-4.1395420000000002E-2</v>
      </c>
      <c r="W6578">
        <v>-6.9126090000000001E-2</v>
      </c>
      <c r="X6578">
        <v>0.99674870000000004</v>
      </c>
      <c r="Y6578">
        <v>-3.7680709999999999E-2</v>
      </c>
      <c r="Z6578">
        <v>-2.28329E-2</v>
      </c>
      <c r="AA6578">
        <v>0.9990289</v>
      </c>
      <c r="AB6578">
        <v>18</v>
      </c>
      <c r="AC6578">
        <v>-3.3119000000000298</v>
      </c>
      <c r="AD6578">
        <v>1.7448059999999901</v>
      </c>
      <c r="AE6578">
        <v>-112.6108414</v>
      </c>
      <c r="AF6578">
        <v>-4.2462970437702303</v>
      </c>
      <c r="AG6578">
        <v>1.7448059999999901</v>
      </c>
      <c r="AH6578">
        <v>112.55244438856499</v>
      </c>
      <c r="AI6578">
        <v>89.112494088457893</v>
      </c>
      <c r="AJ6578">
        <v>92.160588940750998</v>
      </c>
      <c r="AK6578">
        <v>112.646030220344</v>
      </c>
      <c r="AL6578">
        <v>93.963794335609194</v>
      </c>
      <c r="AM6578">
        <v>92.3781527549163</v>
      </c>
      <c r="AN6578">
        <v>0.99999998403367696</v>
      </c>
    </row>
    <row r="6579" spans="1:40" x14ac:dyDescent="0.25">
      <c r="A6579" t="str">
        <f>"20190303153939905"</f>
        <v>20190303153939905</v>
      </c>
      <c r="B6579" t="str">
        <f>"1551598779895005"</f>
        <v>1551598779895005</v>
      </c>
      <c r="C6579" t="s">
        <v>40</v>
      </c>
      <c r="D6579">
        <v>4.7382039999999996</v>
      </c>
      <c r="E6579">
        <v>0.50028159999999999</v>
      </c>
      <c r="F6579" t="s">
        <v>71</v>
      </c>
      <c r="G6579">
        <v>-423.97030000000001</v>
      </c>
      <c r="H6579">
        <v>3.018462</v>
      </c>
      <c r="I6579">
        <v>0.4370155</v>
      </c>
      <c r="J6579">
        <v>-420.78910000000002</v>
      </c>
      <c r="K6579">
        <v>1.121003</v>
      </c>
      <c r="L6579">
        <v>112.92440000000001</v>
      </c>
      <c r="M6579">
        <v>-6.6042619999999996E-2</v>
      </c>
      <c r="N6579">
        <v>-7.1040000000000001E-3</v>
      </c>
      <c r="O6579">
        <v>-0.99779150000000005</v>
      </c>
      <c r="P6579">
        <v>-2.336558E-2</v>
      </c>
      <c r="Q6579">
        <v>-7.5936379999999998E-2</v>
      </c>
      <c r="R6579">
        <v>-0.99683889999999997</v>
      </c>
      <c r="S6579">
        <v>-8.5266110000000006E-2</v>
      </c>
      <c r="T6579">
        <v>5.0741429999999997E-2</v>
      </c>
      <c r="U6579">
        <v>-3.0114899999999998</v>
      </c>
      <c r="V6579">
        <v>-4.2399770000000003E-2</v>
      </c>
      <c r="W6579">
        <v>-6.8932030000000005E-2</v>
      </c>
      <c r="X6579">
        <v>0.99672000000000005</v>
      </c>
      <c r="Y6579">
        <v>-3.7786769999999997E-2</v>
      </c>
      <c r="Z6579">
        <v>-2.387829E-2</v>
      </c>
      <c r="AA6579">
        <v>0.99900049999999996</v>
      </c>
      <c r="AB6579">
        <v>19</v>
      </c>
      <c r="AC6579">
        <v>-3.1811999999999898</v>
      </c>
      <c r="AD6579">
        <v>1.897459</v>
      </c>
      <c r="AE6579">
        <v>-112.487384499999</v>
      </c>
      <c r="AF6579">
        <v>-4.2536853368458702</v>
      </c>
      <c r="AG6579">
        <v>1.897459</v>
      </c>
      <c r="AH6579">
        <v>112.419928102185</v>
      </c>
      <c r="AI6579">
        <v>89.033726894743594</v>
      </c>
      <c r="AJ6579">
        <v>92.166893474841402</v>
      </c>
      <c r="AK6579">
        <v>112.516374026637</v>
      </c>
      <c r="AL6579">
        <v>93.952648622761302</v>
      </c>
      <c r="AM6579">
        <v>92.435853698373805</v>
      </c>
      <c r="AN6579">
        <v>1.0000000618279801</v>
      </c>
    </row>
    <row r="6580" spans="1:40" x14ac:dyDescent="0.25">
      <c r="A6580" t="str">
        <f>"20190303153939921"</f>
        <v>20190303153939921</v>
      </c>
      <c r="B6580" t="str">
        <f>"1551598779915501"</f>
        <v>1551598779915501</v>
      </c>
      <c r="C6580" t="s">
        <v>40</v>
      </c>
      <c r="D6580">
        <v>4.7444540000000002</v>
      </c>
      <c r="E6580">
        <v>0.50052859999999999</v>
      </c>
      <c r="F6580" t="s">
        <v>71</v>
      </c>
      <c r="G6580">
        <v>-423.7731</v>
      </c>
      <c r="H6580">
        <v>3.1110540000000002</v>
      </c>
      <c r="I6580">
        <v>0.43902020000000003</v>
      </c>
      <c r="J6580">
        <v>-420.79610000000002</v>
      </c>
      <c r="K6580">
        <v>1.1209579999999999</v>
      </c>
      <c r="L6580">
        <v>112.8002</v>
      </c>
      <c r="M6580">
        <v>-6.5023189999999995E-2</v>
      </c>
      <c r="N6580">
        <v>-6.7914309999999997E-3</v>
      </c>
      <c r="O6580">
        <v>-0.99786079999999999</v>
      </c>
      <c r="P6580">
        <v>-2.1743209999999999E-2</v>
      </c>
      <c r="Q6580">
        <v>-7.643279E-2</v>
      </c>
      <c r="R6580">
        <v>-0.996838</v>
      </c>
      <c r="S6580">
        <v>-7.9895019999999997E-2</v>
      </c>
      <c r="T6580">
        <v>5.3281189999999999E-2</v>
      </c>
      <c r="U6580">
        <v>-3.0117029999999998</v>
      </c>
      <c r="V6580">
        <v>-4.2999509999999998E-2</v>
      </c>
      <c r="W6580">
        <v>-6.9741360000000002E-2</v>
      </c>
      <c r="X6580">
        <v>0.99663789999999997</v>
      </c>
      <c r="Y6580">
        <v>-3.8548430000000002E-2</v>
      </c>
      <c r="Z6580">
        <v>-2.440691E-2</v>
      </c>
      <c r="AA6580">
        <v>0.99895860000000003</v>
      </c>
      <c r="AB6580">
        <v>19</v>
      </c>
      <c r="AC6580">
        <v>-2.9769999999999701</v>
      </c>
      <c r="AD6580">
        <v>1.9900960000000001</v>
      </c>
      <c r="AE6580">
        <v>-112.3611798</v>
      </c>
      <c r="AF6580">
        <v>-4.3341913599601201</v>
      </c>
      <c r="AG6580">
        <v>1.9900960000000001</v>
      </c>
      <c r="AH6580">
        <v>112.281765212218</v>
      </c>
      <c r="AI6580">
        <v>88.985344281900197</v>
      </c>
      <c r="AJ6580">
        <v>92.210578372166196</v>
      </c>
      <c r="AK6580">
        <v>112.383008039497</v>
      </c>
      <c r="AL6580">
        <v>93.999132094624102</v>
      </c>
      <c r="AM6580">
        <v>92.470469432665695</v>
      </c>
      <c r="AN6580">
        <v>0.99999995943564901</v>
      </c>
    </row>
    <row r="6581" spans="1:40" x14ac:dyDescent="0.25">
      <c r="A6581" t="str">
        <f>"20190303153939939"</f>
        <v>20190303153939939</v>
      </c>
      <c r="B6581" t="str">
        <f>"1551598779935020"</f>
        <v>1551598779935020</v>
      </c>
      <c r="C6581" t="s">
        <v>40</v>
      </c>
      <c r="D6581">
        <v>4.7467810000000004</v>
      </c>
      <c r="E6581">
        <v>0.50107049999999997</v>
      </c>
      <c r="F6581" t="s">
        <v>71</v>
      </c>
      <c r="G6581">
        <v>-423.65050000000002</v>
      </c>
      <c r="H6581">
        <v>2.9874329999999998</v>
      </c>
      <c r="I6581">
        <v>0.44027139999999998</v>
      </c>
      <c r="J6581">
        <v>-420.80509999999998</v>
      </c>
      <c r="K6581">
        <v>1.120886</v>
      </c>
      <c r="L6581">
        <v>112.63930000000001</v>
      </c>
      <c r="M6581">
        <v>-6.3729090000000002E-2</v>
      </c>
      <c r="N6581">
        <v>-6.4049959999999996E-3</v>
      </c>
      <c r="O6581">
        <v>-0.99794669999999996</v>
      </c>
      <c r="P6581">
        <v>-1.9070139999999999E-2</v>
      </c>
      <c r="Q6581">
        <v>-7.8720700000000005E-2</v>
      </c>
      <c r="R6581">
        <v>-0.99671460000000001</v>
      </c>
      <c r="S6581">
        <v>-7.6507569999999997E-2</v>
      </c>
      <c r="T6581">
        <v>5.0028200000000002E-2</v>
      </c>
      <c r="U6581">
        <v>-3.0116879999999999</v>
      </c>
      <c r="V6581">
        <v>-4.4363939999999998E-2</v>
      </c>
      <c r="W6581">
        <v>-7.2417480000000006E-2</v>
      </c>
      <c r="X6581">
        <v>0.99638720000000003</v>
      </c>
      <c r="Y6581">
        <v>-3.8374060000000002E-2</v>
      </c>
      <c r="Z6581">
        <v>-2.294823E-2</v>
      </c>
      <c r="AA6581">
        <v>0.99899990000000005</v>
      </c>
      <c r="AB6581">
        <v>19</v>
      </c>
      <c r="AC6581">
        <v>-2.8454000000000401</v>
      </c>
      <c r="AD6581">
        <v>1.866547</v>
      </c>
      <c r="AE6581">
        <v>-112.199028599999</v>
      </c>
      <c r="AF6581">
        <v>-4.3096808266434303</v>
      </c>
      <c r="AG6581">
        <v>1.866547</v>
      </c>
      <c r="AH6581">
        <v>112.12127302815399</v>
      </c>
      <c r="AI6581">
        <v>89.046956118604797</v>
      </c>
      <c r="AJ6581">
        <v>92.201232788868694</v>
      </c>
      <c r="AK6581">
        <v>112.21959370798299</v>
      </c>
      <c r="AL6581">
        <v>94.152851370587996</v>
      </c>
      <c r="AM6581">
        <v>92.549399275100697</v>
      </c>
      <c r="AN6581">
        <v>0.99999995145285503</v>
      </c>
    </row>
    <row r="6582" spans="1:40" x14ac:dyDescent="0.25">
      <c r="A6582" t="str">
        <f>"20190303153939962"</f>
        <v>20190303153939962</v>
      </c>
      <c r="B6582" t="str">
        <f>"1551598779955516"</f>
        <v>1551598779955516</v>
      </c>
      <c r="C6582" t="s">
        <v>40</v>
      </c>
      <c r="D6582">
        <v>4.7339089999999997</v>
      </c>
      <c r="E6582">
        <v>0.5013744</v>
      </c>
      <c r="F6582" t="s">
        <v>71</v>
      </c>
      <c r="G6582">
        <v>-423.51870000000002</v>
      </c>
      <c r="H6582">
        <v>2.6964549999999998</v>
      </c>
      <c r="I6582">
        <v>0.44161030000000001</v>
      </c>
      <c r="J6582">
        <v>-420.81560000000002</v>
      </c>
      <c r="K6582">
        <v>1.1208039999999999</v>
      </c>
      <c r="L6582">
        <v>112.4485</v>
      </c>
      <c r="M6582">
        <v>-6.224884E-2</v>
      </c>
      <c r="N6582">
        <v>-5.9746230000000001E-3</v>
      </c>
      <c r="O6582">
        <v>-0.99804289999999996</v>
      </c>
      <c r="P6582">
        <v>-1.53826E-2</v>
      </c>
      <c r="Q6582">
        <v>-8.0220089999999994E-2</v>
      </c>
      <c r="R6582">
        <v>-0.99665870000000001</v>
      </c>
      <c r="S6582">
        <v>-7.2845460000000001E-2</v>
      </c>
      <c r="T6582">
        <v>4.2293909999999997E-2</v>
      </c>
      <c r="U6582">
        <v>-3.011841</v>
      </c>
      <c r="V6582">
        <v>-4.6563630000000002E-2</v>
      </c>
      <c r="W6582">
        <v>-7.4348549999999999E-2</v>
      </c>
      <c r="X6582">
        <v>0.99614469999999999</v>
      </c>
      <c r="Y6582">
        <v>-3.8105090000000001E-2</v>
      </c>
      <c r="Z6582">
        <v>-1.9962460000000001E-2</v>
      </c>
      <c r="AA6582">
        <v>0.99907429999999997</v>
      </c>
      <c r="AB6582">
        <v>19</v>
      </c>
      <c r="AC6582">
        <v>-2.7031000000000001</v>
      </c>
      <c r="AD6582">
        <v>1.5756509999999899</v>
      </c>
      <c r="AE6582">
        <v>-112.0068897</v>
      </c>
      <c r="AF6582">
        <v>-4.2737197165417902</v>
      </c>
      <c r="AG6582">
        <v>1.5756509999999899</v>
      </c>
      <c r="AH6582">
        <v>111.93579199782999</v>
      </c>
      <c r="AI6582">
        <v>89.194123046752694</v>
      </c>
      <c r="AJ6582">
        <v>92.186496562850706</v>
      </c>
      <c r="AK6582">
        <v>112.028428920837</v>
      </c>
      <c r="AL6582">
        <v>94.263792160516701</v>
      </c>
      <c r="AM6582">
        <v>92.676276762731803</v>
      </c>
      <c r="AN6582">
        <v>1.0000000709319801</v>
      </c>
    </row>
    <row r="6583" spans="1:40" x14ac:dyDescent="0.25">
      <c r="A6583" t="str">
        <f>"20190303153939976"</f>
        <v>20190303153939976</v>
      </c>
      <c r="B6583" t="str">
        <f>"1551598779965277"</f>
        <v>1551598779965277</v>
      </c>
      <c r="C6583" t="s">
        <v>40</v>
      </c>
      <c r="D6583">
        <v>4.7287309999999998</v>
      </c>
      <c r="E6583">
        <v>0.50151489999999999</v>
      </c>
      <c r="F6583" t="s">
        <v>71</v>
      </c>
      <c r="G6583">
        <v>-423.21129999999999</v>
      </c>
      <c r="H6583">
        <v>2.4631189999999998</v>
      </c>
      <c r="I6583">
        <v>0.44473269999999998</v>
      </c>
      <c r="J6583">
        <v>-420.82220000000001</v>
      </c>
      <c r="K6583">
        <v>1.1207510000000001</v>
      </c>
      <c r="L6583">
        <v>112.3275</v>
      </c>
      <c r="M6583">
        <v>-6.1346680000000001E-2</v>
      </c>
      <c r="N6583">
        <v>-5.7161440000000003E-3</v>
      </c>
      <c r="O6583">
        <v>-0.99810030000000005</v>
      </c>
      <c r="P6583">
        <v>-1.357307E-2</v>
      </c>
      <c r="Q6583">
        <v>-8.0388399999999902E-2</v>
      </c>
      <c r="R6583">
        <v>-0.99667139999999999</v>
      </c>
      <c r="S6583">
        <v>-6.4422610000000005E-2</v>
      </c>
      <c r="T6583">
        <v>3.6096219999999998E-2</v>
      </c>
      <c r="U6583">
        <v>-3.0119630000000002</v>
      </c>
      <c r="V6583">
        <v>-4.7473139999999997E-2</v>
      </c>
      <c r="W6583">
        <v>-7.4774259999999995E-2</v>
      </c>
      <c r="X6583">
        <v>0.99606980000000001</v>
      </c>
      <c r="Y6583">
        <v>-3.9993960000000002E-2</v>
      </c>
      <c r="Z6583">
        <v>-1.7655199999999999E-2</v>
      </c>
      <c r="AA6583">
        <v>0.99904389999999998</v>
      </c>
      <c r="AB6583">
        <v>19</v>
      </c>
      <c r="AC6583">
        <v>-2.38909999999998</v>
      </c>
      <c r="AD6583">
        <v>1.34236799999999</v>
      </c>
      <c r="AE6583">
        <v>-111.8827673</v>
      </c>
      <c r="AF6583">
        <v>-4.4785030110770103</v>
      </c>
      <c r="AG6583">
        <v>1.34236799999999</v>
      </c>
      <c r="AH6583">
        <v>111.80251026823601</v>
      </c>
      <c r="AI6583">
        <v>89.312656734072306</v>
      </c>
      <c r="AJ6583">
        <v>92.293885954148607</v>
      </c>
      <c r="AK6583">
        <v>111.900224500877</v>
      </c>
      <c r="AL6583">
        <v>94.288252073448206</v>
      </c>
      <c r="AM6583">
        <v>92.728678096743096</v>
      </c>
      <c r="AN6583">
        <v>0.99999996772602295</v>
      </c>
    </row>
    <row r="6584" spans="1:40" x14ac:dyDescent="0.25">
      <c r="A6584" t="str">
        <f>"20190303153939989"</f>
        <v>20190303153939989</v>
      </c>
      <c r="B6584" t="str">
        <f>"1551598779984797"</f>
        <v>1551598779984797</v>
      </c>
      <c r="C6584" t="s">
        <v>40</v>
      </c>
      <c r="D6584">
        <v>4.7218179999999998</v>
      </c>
      <c r="E6584">
        <v>0.50189510000000004</v>
      </c>
      <c r="F6584" t="s">
        <v>71</v>
      </c>
      <c r="G6584">
        <v>-423.05079999999998</v>
      </c>
      <c r="H6584">
        <v>2.4139560000000002</v>
      </c>
      <c r="I6584">
        <v>0.44636920000000002</v>
      </c>
      <c r="J6584">
        <v>-420.82830000000001</v>
      </c>
      <c r="K6584">
        <v>1.1207049999999901</v>
      </c>
      <c r="L6584">
        <v>112.21259999999999</v>
      </c>
      <c r="M6584">
        <v>-6.0512410000000003E-2</v>
      </c>
      <c r="N6584">
        <v>-5.4783849999999997E-3</v>
      </c>
      <c r="O6584">
        <v>-0.99815259999999995</v>
      </c>
      <c r="P6584">
        <v>-1.1576380000000001E-2</v>
      </c>
      <c r="Q6584">
        <v>-8.0383670000000004E-2</v>
      </c>
      <c r="R6584">
        <v>-0.99669700000000006</v>
      </c>
      <c r="S6584">
        <v>-5.9997559999999998E-2</v>
      </c>
      <c r="T6584">
        <v>3.4814240000000003E-2</v>
      </c>
      <c r="U6584">
        <v>-3.0120089999999999</v>
      </c>
      <c r="V6584">
        <v>-4.8638300000000002E-2</v>
      </c>
      <c r="W6584">
        <v>-7.5006450000000002E-2</v>
      </c>
      <c r="X6584">
        <v>0.9959962</v>
      </c>
      <c r="Y6584">
        <v>-4.062586E-2</v>
      </c>
      <c r="Z6584">
        <v>-1.6994579999999999E-2</v>
      </c>
      <c r="AA6584">
        <v>0.99902990000000003</v>
      </c>
      <c r="AB6584">
        <v>19</v>
      </c>
      <c r="AC6584">
        <v>-2.2224999999999602</v>
      </c>
      <c r="AD6584">
        <v>1.2932509999999999</v>
      </c>
      <c r="AE6584">
        <v>-111.7662308</v>
      </c>
      <c r="AF6584">
        <v>-4.5443089825824599</v>
      </c>
      <c r="AG6584">
        <v>1.2932509999999999</v>
      </c>
      <c r="AH6584">
        <v>111.680950857623</v>
      </c>
      <c r="AI6584">
        <v>89.337100420303798</v>
      </c>
      <c r="AJ6584">
        <v>92.330085564364296</v>
      </c>
      <c r="AK6584">
        <v>111.780848210868</v>
      </c>
      <c r="AL6584">
        <v>94.301592729233505</v>
      </c>
      <c r="AM6584">
        <v>92.795750862276506</v>
      </c>
      <c r="AN6584">
        <v>1.00000004109146</v>
      </c>
    </row>
    <row r="6585" spans="1:40" x14ac:dyDescent="0.25">
      <c r="A6585" t="str">
        <f>"20190303153940002"</f>
        <v>20190303153940002</v>
      </c>
      <c r="B6585" t="str">
        <f>"1551598779994558"</f>
        <v>1551598779994558</v>
      </c>
      <c r="C6585" t="s">
        <v>40</v>
      </c>
      <c r="D6585">
        <v>4.7029560000000004</v>
      </c>
      <c r="E6585">
        <v>0.50205169999999999</v>
      </c>
      <c r="F6585" t="s">
        <v>71</v>
      </c>
      <c r="G6585">
        <v>-422.95839999999998</v>
      </c>
      <c r="H6585">
        <v>2.3331339999999998</v>
      </c>
      <c r="I6585">
        <v>0.44730950000000003</v>
      </c>
      <c r="J6585">
        <v>-420.83449999999999</v>
      </c>
      <c r="K6585">
        <v>1.120655</v>
      </c>
      <c r="L6585">
        <v>112.09569999999999</v>
      </c>
      <c r="M6585">
        <v>-5.9713509999999997E-2</v>
      </c>
      <c r="N6585">
        <v>-5.2492569999999898E-3</v>
      </c>
      <c r="O6585">
        <v>-0.99820200000000003</v>
      </c>
      <c r="P6585">
        <v>-9.9551580000000004E-3</v>
      </c>
      <c r="Q6585">
        <v>-8.0154520000000007E-2</v>
      </c>
      <c r="R6585">
        <v>-0.99673299999999998</v>
      </c>
      <c r="S6585">
        <v>-5.7403559999999999E-2</v>
      </c>
      <c r="T6585">
        <v>3.267229E-2</v>
      </c>
      <c r="U6585">
        <v>-3.0119020000000001</v>
      </c>
      <c r="V6585">
        <v>-4.9465599999999998E-2</v>
      </c>
      <c r="W6585">
        <v>-7.5004119999999994E-2</v>
      </c>
      <c r="X6585">
        <v>0.99595560000000005</v>
      </c>
      <c r="Y6585">
        <v>-4.068509E-2</v>
      </c>
      <c r="Z6585">
        <v>-1.60584E-2</v>
      </c>
      <c r="AA6585">
        <v>0.99904300000000001</v>
      </c>
      <c r="AB6585">
        <v>19</v>
      </c>
      <c r="AC6585">
        <v>-2.1238999999999901</v>
      </c>
      <c r="AD6585">
        <v>1.2124790000000001</v>
      </c>
      <c r="AE6585">
        <v>-111.6483905</v>
      </c>
      <c r="AF6585">
        <v>-4.5463616014671704</v>
      </c>
      <c r="AG6585">
        <v>1.2124790000000001</v>
      </c>
      <c r="AH6585">
        <v>111.56282964253801</v>
      </c>
      <c r="AI6585">
        <v>89.377843057741302</v>
      </c>
      <c r="AJ6585">
        <v>92.333602328839802</v>
      </c>
      <c r="AK6585">
        <v>111.662009954087</v>
      </c>
      <c r="AL6585">
        <v>94.301458985289202</v>
      </c>
      <c r="AM6585">
        <v>92.843342765361996</v>
      </c>
      <c r="AN6585">
        <v>1.00000001038584</v>
      </c>
    </row>
    <row r="6586" spans="1:40" x14ac:dyDescent="0.25">
      <c r="A6586" t="str">
        <f>"20190303153940017"</f>
        <v>20190303153940017</v>
      </c>
      <c r="B6586" t="str">
        <f>"1551598780005293"</f>
        <v>1551598780005293</v>
      </c>
      <c r="C6586" t="s">
        <v>40</v>
      </c>
      <c r="D6586">
        <v>4.7257749999999996</v>
      </c>
      <c r="E6586">
        <v>0.50202290000000005</v>
      </c>
      <c r="F6586" t="s">
        <v>71</v>
      </c>
      <c r="G6586">
        <v>-422.8152</v>
      </c>
      <c r="H6586">
        <v>2.3782939999999999</v>
      </c>
      <c r="I6586">
        <v>0.44876480000000002</v>
      </c>
      <c r="J6586">
        <v>-420.84100000000001</v>
      </c>
      <c r="K6586">
        <v>1.1206069999999999</v>
      </c>
      <c r="L6586">
        <v>111.97110000000001</v>
      </c>
      <c r="M6586">
        <v>-5.8894500000000002E-2</v>
      </c>
      <c r="N6586">
        <v>-5.0129880000000003E-3</v>
      </c>
      <c r="O6586">
        <v>-0.99825189999999997</v>
      </c>
      <c r="P6586">
        <v>-8.2155219999999994E-3</v>
      </c>
      <c r="Q6586">
        <v>-7.9739119999999997E-2</v>
      </c>
      <c r="R6586">
        <v>-0.99678230000000001</v>
      </c>
      <c r="S6586">
        <v>-5.3436280000000003E-2</v>
      </c>
      <c r="T6586">
        <v>3.392804E-2</v>
      </c>
      <c r="U6586">
        <v>-3.0120239999999998</v>
      </c>
      <c r="V6586">
        <v>-5.0393769999999997E-2</v>
      </c>
      <c r="W6586">
        <v>-7.4822189999999997E-2</v>
      </c>
      <c r="X6586">
        <v>0.99592270000000005</v>
      </c>
      <c r="Y6586">
        <v>-4.1181540000000003E-2</v>
      </c>
      <c r="Z6586">
        <v>-1.6238410000000002E-2</v>
      </c>
      <c r="AA6586">
        <v>0.99901969999999995</v>
      </c>
      <c r="AB6586">
        <v>19</v>
      </c>
      <c r="AC6586">
        <v>-1.97419999999999</v>
      </c>
      <c r="AD6586">
        <v>1.257687</v>
      </c>
      <c r="AE6586">
        <v>-111.5223352</v>
      </c>
      <c r="AF6586">
        <v>-4.5967753377297296</v>
      </c>
      <c r="AG6586">
        <v>1.257687</v>
      </c>
      <c r="AH6586">
        <v>111.430854886063</v>
      </c>
      <c r="AI6586">
        <v>89.353896465933403</v>
      </c>
      <c r="AJ6586">
        <v>92.362241400343095</v>
      </c>
      <c r="AK6586">
        <v>111.532719597141</v>
      </c>
      <c r="AL6586">
        <v>94.291006015421402</v>
      </c>
      <c r="AM6586">
        <v>92.896700604086703</v>
      </c>
      <c r="AN6586">
        <v>0.99999995827324795</v>
      </c>
    </row>
    <row r="6587" spans="1:40" x14ac:dyDescent="0.25">
      <c r="A6587" t="str">
        <f>"20190303153940031"</f>
        <v>20190303153940031</v>
      </c>
      <c r="B6587" t="str">
        <f>"1551598780024813"</f>
        <v>1551598780024813</v>
      </c>
      <c r="C6587" t="s">
        <v>40</v>
      </c>
      <c r="D6587">
        <v>4.7185220000000001</v>
      </c>
      <c r="E6587">
        <v>0.50244460000000002</v>
      </c>
      <c r="F6587" t="s">
        <v>71</v>
      </c>
      <c r="G6587">
        <v>-422.61939999999998</v>
      </c>
      <c r="H6587">
        <v>2.381926</v>
      </c>
      <c r="I6587">
        <v>0.45075419999999999</v>
      </c>
      <c r="J6587">
        <v>-420.84750000000003</v>
      </c>
      <c r="K6587">
        <v>1.1205540000000001</v>
      </c>
      <c r="L6587">
        <v>111.8459</v>
      </c>
      <c r="M6587">
        <v>-5.810858E-2</v>
      </c>
      <c r="N6587">
        <v>-4.784356E-3</v>
      </c>
      <c r="O6587">
        <v>-0.99829900000000005</v>
      </c>
      <c r="P6587">
        <v>-7.5317379999999996E-3</v>
      </c>
      <c r="Q6587">
        <v>-7.9465330000000001E-2</v>
      </c>
      <c r="R6587">
        <v>-0.99680950000000001</v>
      </c>
      <c r="S6587">
        <v>-4.8034670000000002E-2</v>
      </c>
      <c r="T6587">
        <v>3.4066079999999999E-2</v>
      </c>
      <c r="U6587">
        <v>-3.0120390000000001</v>
      </c>
      <c r="V6587">
        <v>-5.0299450000000002E-2</v>
      </c>
      <c r="W6587">
        <v>-7.4772179999999994E-2</v>
      </c>
      <c r="X6587">
        <v>0.99593129999999996</v>
      </c>
      <c r="Y6587">
        <v>-4.2185979999999998E-2</v>
      </c>
      <c r="Z6587">
        <v>-1.6056540000000001E-2</v>
      </c>
      <c r="AA6587">
        <v>0.9989808</v>
      </c>
      <c r="AB6587">
        <v>20</v>
      </c>
      <c r="AC6587">
        <v>-1.7718999999999501</v>
      </c>
      <c r="AD6587">
        <v>1.2613719999999999</v>
      </c>
      <c r="AE6587">
        <v>-111.395145799999</v>
      </c>
      <c r="AF6587">
        <v>-4.7035777269537897</v>
      </c>
      <c r="AG6587">
        <v>1.2613719999999999</v>
      </c>
      <c r="AH6587">
        <v>111.295610816823</v>
      </c>
      <c r="AI6587">
        <v>89.351243496402205</v>
      </c>
      <c r="AJ6587">
        <v>92.419995502078805</v>
      </c>
      <c r="AK6587">
        <v>111.402099126747</v>
      </c>
      <c r="AL6587">
        <v>94.288132279171705</v>
      </c>
      <c r="AM6587">
        <v>92.891263249259893</v>
      </c>
      <c r="AN6587">
        <v>1.00000003394597</v>
      </c>
    </row>
    <row r="6588" spans="1:40" x14ac:dyDescent="0.25">
      <c r="A6588" t="str">
        <f>"20190303153940045"</f>
        <v>20190303153940045</v>
      </c>
      <c r="B6588" t="str">
        <f>"1551598780035550"</f>
        <v>1551598780035550</v>
      </c>
      <c r="C6588" t="s">
        <v>40</v>
      </c>
      <c r="D6588">
        <v>4.6698149999999998</v>
      </c>
      <c r="E6588">
        <v>0.50254109999999996</v>
      </c>
      <c r="F6588" t="s">
        <v>71</v>
      </c>
      <c r="G6588">
        <v>-422.6669</v>
      </c>
      <c r="H6588">
        <v>2.429487</v>
      </c>
      <c r="I6588">
        <v>0.45027539999999999</v>
      </c>
      <c r="J6588">
        <v>-420.85379999999998</v>
      </c>
      <c r="K6588">
        <v>1.1205020000000001</v>
      </c>
      <c r="L6588">
        <v>111.7243</v>
      </c>
      <c r="M6588">
        <v>-5.740116E-2</v>
      </c>
      <c r="N6588">
        <v>-4.5743549999999996E-3</v>
      </c>
      <c r="O6588">
        <v>-0.99834080000000003</v>
      </c>
      <c r="P6588">
        <v>-7.0243600000000003E-3</v>
      </c>
      <c r="Q6588">
        <v>-7.9204510000000006E-2</v>
      </c>
      <c r="R6588">
        <v>-0.99683390000000005</v>
      </c>
      <c r="S6588">
        <v>-4.9194340000000003E-2</v>
      </c>
      <c r="T6588">
        <v>3.5392050000000001E-2</v>
      </c>
      <c r="U6588">
        <v>-3.01207</v>
      </c>
      <c r="V6588">
        <v>-5.010829E-2</v>
      </c>
      <c r="W6588">
        <v>-7.4715959999999998E-2</v>
      </c>
      <c r="X6588">
        <v>0.99594510000000003</v>
      </c>
      <c r="Y6588">
        <v>-4.1093650000000002E-2</v>
      </c>
      <c r="Z6588">
        <v>-1.628624E-2</v>
      </c>
      <c r="AA6588">
        <v>0.99902250000000004</v>
      </c>
      <c r="AB6588">
        <v>20</v>
      </c>
      <c r="AC6588">
        <v>-1.8131000000000199</v>
      </c>
      <c r="AD6588">
        <v>1.3089849999999901</v>
      </c>
      <c r="AE6588">
        <v>-111.2740246</v>
      </c>
      <c r="AF6588">
        <v>-4.5765807317386997</v>
      </c>
      <c r="AG6588">
        <v>1.3089849999999901</v>
      </c>
      <c r="AH6588">
        <v>111.17924544917901</v>
      </c>
      <c r="AI6588">
        <v>89.326021707188204</v>
      </c>
      <c r="AJ6588">
        <v>92.357191778707104</v>
      </c>
      <c r="AK6588">
        <v>111.281099705085</v>
      </c>
      <c r="AL6588">
        <v>94.284902311561893</v>
      </c>
      <c r="AM6588">
        <v>92.880253874537999</v>
      </c>
      <c r="AN6588">
        <v>0.99999997880972702</v>
      </c>
    </row>
    <row r="6589" spans="1:40" x14ac:dyDescent="0.25">
      <c r="A6589" t="str">
        <f>"20190303153940059"</f>
        <v>20190303153940059</v>
      </c>
      <c r="B6589" t="str">
        <f>"1551598780055069"</f>
        <v>1551598780055069</v>
      </c>
      <c r="C6589" t="s">
        <v>40</v>
      </c>
      <c r="D6589">
        <v>4.6918879999999996</v>
      </c>
      <c r="E6589">
        <v>0.50292769999999998</v>
      </c>
      <c r="F6589" t="s">
        <v>71</v>
      </c>
      <c r="G6589">
        <v>-422.63619999999997</v>
      </c>
      <c r="H6589">
        <v>2.424258</v>
      </c>
      <c r="I6589">
        <v>0.4505806</v>
      </c>
      <c r="J6589">
        <v>-420.8603</v>
      </c>
      <c r="K6589">
        <v>1.1204449999999999</v>
      </c>
      <c r="L6589">
        <v>111.5975</v>
      </c>
      <c r="M6589">
        <v>-5.6716129999999997E-2</v>
      </c>
      <c r="N6589">
        <v>-4.3677400000000002E-3</v>
      </c>
      <c r="O6589">
        <v>-0.99838099999999996</v>
      </c>
      <c r="P6589">
        <v>-7.0421349999999997E-3</v>
      </c>
      <c r="Q6589">
        <v>-7.8475740000000002E-2</v>
      </c>
      <c r="R6589">
        <v>-0.99689139999999998</v>
      </c>
      <c r="S6589">
        <v>-4.8248289999999999E-2</v>
      </c>
      <c r="T6589">
        <v>3.5289649999999999E-2</v>
      </c>
      <c r="U6589">
        <v>-3.0119929999999999</v>
      </c>
      <c r="V6589">
        <v>-4.9418299999999998E-2</v>
      </c>
      <c r="W6589">
        <v>-7.4186929999999998E-2</v>
      </c>
      <c r="X6589">
        <v>0.99601910000000005</v>
      </c>
      <c r="Y6589">
        <v>-4.0721220000000002E-2</v>
      </c>
      <c r="Z6589">
        <v>-1.6047019999999999E-2</v>
      </c>
      <c r="AA6589">
        <v>0.99904170000000003</v>
      </c>
      <c r="AB6589">
        <v>20</v>
      </c>
      <c r="AC6589">
        <v>-1.7758999999999701</v>
      </c>
      <c r="AD6589">
        <v>1.3038130000000001</v>
      </c>
      <c r="AE6589">
        <v>-111.1469194</v>
      </c>
      <c r="AF6589">
        <v>-4.53021735989077</v>
      </c>
      <c r="AG6589">
        <v>1.3038130000000001</v>
      </c>
      <c r="AH6589">
        <v>111.053453293289</v>
      </c>
      <c r="AI6589">
        <v>89.327913917633495</v>
      </c>
      <c r="AJ6589">
        <v>92.335978697438904</v>
      </c>
      <c r="AK6589">
        <v>111.153462771214</v>
      </c>
      <c r="AL6589">
        <v>94.254506853316997</v>
      </c>
      <c r="AM6589">
        <v>92.840447554921298</v>
      </c>
      <c r="AN6589">
        <v>0.99999995826126098</v>
      </c>
    </row>
    <row r="6590" spans="1:40" x14ac:dyDescent="0.25">
      <c r="A6590" t="str">
        <f>"20190303153940073"</f>
        <v>20190303153940073</v>
      </c>
      <c r="B6590" t="str">
        <f>"1551598780064829"</f>
        <v>1551598780064829</v>
      </c>
      <c r="C6590" t="s">
        <v>40</v>
      </c>
      <c r="D6590">
        <v>4.6416810000000002</v>
      </c>
      <c r="E6590">
        <v>0.50314680000000001</v>
      </c>
      <c r="F6590" t="s">
        <v>71</v>
      </c>
      <c r="G6590">
        <v>-422.76459999999997</v>
      </c>
      <c r="H6590">
        <v>2.469738</v>
      </c>
      <c r="I6590">
        <v>0.44927220000000001</v>
      </c>
      <c r="J6590">
        <v>-420.86680000000001</v>
      </c>
      <c r="K6590">
        <v>1.1203989999999999</v>
      </c>
      <c r="L6590">
        <v>111.4706</v>
      </c>
      <c r="M6590">
        <v>-5.6077330000000002E-2</v>
      </c>
      <c r="N6590">
        <v>-4.1716309999999899E-3</v>
      </c>
      <c r="O6590">
        <v>-0.99841780000000002</v>
      </c>
      <c r="P6590">
        <v>-7.5809900000000001E-3</v>
      </c>
      <c r="Q6590">
        <v>-7.6948870000000003E-2</v>
      </c>
      <c r="R6590">
        <v>-0.99700650000000002</v>
      </c>
      <c r="S6590">
        <v>-5.160522E-2</v>
      </c>
      <c r="T6590">
        <v>3.6561969999999999E-2</v>
      </c>
      <c r="U6590">
        <v>-3.0118710000000002</v>
      </c>
      <c r="V6590">
        <v>-4.8258969999999998E-2</v>
      </c>
      <c r="W6590">
        <v>-7.2848250000000003E-2</v>
      </c>
      <c r="X6590">
        <v>0.99617480000000003</v>
      </c>
      <c r="Y6590">
        <v>-3.8968030000000001E-2</v>
      </c>
      <c r="Z6590">
        <v>-1.627346E-2</v>
      </c>
      <c r="AA6590">
        <v>0.999108</v>
      </c>
      <c r="AB6590">
        <v>20</v>
      </c>
      <c r="AC6590">
        <v>-1.89779999999996</v>
      </c>
      <c r="AD6590">
        <v>1.3493389999999901</v>
      </c>
      <c r="AE6590">
        <v>-111.02132779999999</v>
      </c>
      <c r="AF6590">
        <v>-4.3303801643037003</v>
      </c>
      <c r="AG6590">
        <v>1.3493389999999901</v>
      </c>
      <c r="AH6590">
        <v>110.93666685965</v>
      </c>
      <c r="AI6590">
        <v>89.303667617695695</v>
      </c>
      <c r="AJ6590">
        <v>92.235389003279593</v>
      </c>
      <c r="AK6590">
        <v>111.029351804076</v>
      </c>
      <c r="AL6590">
        <v>94.177597775690799</v>
      </c>
      <c r="AM6590">
        <v>92.773484438670494</v>
      </c>
      <c r="AN6590">
        <v>1.00000001393428</v>
      </c>
    </row>
    <row r="6591" spans="1:40" x14ac:dyDescent="0.25">
      <c r="A6591" t="str">
        <f>"20190303153940088"</f>
        <v>20190303153940088</v>
      </c>
      <c r="B6591" t="str">
        <f>"1551598780085326"</f>
        <v>1551598780085326</v>
      </c>
      <c r="C6591" t="s">
        <v>40</v>
      </c>
      <c r="D6591">
        <v>4.665343</v>
      </c>
      <c r="E6591">
        <v>0.50359149999999997</v>
      </c>
      <c r="F6591" t="s">
        <v>71</v>
      </c>
      <c r="G6591">
        <v>-422.88600000000002</v>
      </c>
      <c r="H6591">
        <v>2.6382599999999998</v>
      </c>
      <c r="I6591">
        <v>0.44804379999999999</v>
      </c>
      <c r="J6591">
        <v>-420.87349999999998</v>
      </c>
      <c r="K6591">
        <v>1.1203350000000001</v>
      </c>
      <c r="L6591">
        <v>111.3369</v>
      </c>
      <c r="M6591">
        <v>-5.5463989999999998E-2</v>
      </c>
      <c r="N6591">
        <v>-3.97825E-3</v>
      </c>
      <c r="O6591">
        <v>-0.99845289999999998</v>
      </c>
      <c r="P6591">
        <v>-7.6611350000000003E-3</v>
      </c>
      <c r="Q6591">
        <v>-7.6061329999999996E-2</v>
      </c>
      <c r="R6591">
        <v>-0.99707380000000001</v>
      </c>
      <c r="S6591">
        <v>-5.4779050000000003E-2</v>
      </c>
      <c r="T6591">
        <v>4.1175129999999997E-2</v>
      </c>
      <c r="U6591">
        <v>-3.0117799999999999</v>
      </c>
      <c r="V6591">
        <v>-4.7580209999999998E-2</v>
      </c>
      <c r="W6591">
        <v>-7.2146450000000001E-2</v>
      </c>
      <c r="X6591">
        <v>0.99625850000000005</v>
      </c>
      <c r="Y6591">
        <v>-3.7301519999999998E-2</v>
      </c>
      <c r="Z6591">
        <v>-1.76084E-2</v>
      </c>
      <c r="AA6591">
        <v>0.99914890000000001</v>
      </c>
      <c r="AB6591">
        <v>20</v>
      </c>
      <c r="AC6591">
        <v>-2.0124999999999802</v>
      </c>
      <c r="AD6591">
        <v>1.51792499999999</v>
      </c>
      <c r="AE6591">
        <v>-110.888856199999</v>
      </c>
      <c r="AF6591">
        <v>-4.14020861149171</v>
      </c>
      <c r="AG6591">
        <v>1.51792499999999</v>
      </c>
      <c r="AH6591">
        <v>110.809026528148</v>
      </c>
      <c r="AI6591">
        <v>89.215726123572097</v>
      </c>
      <c r="AJ6591">
        <v>92.139773198821999</v>
      </c>
      <c r="AK6591">
        <v>110.896734775052</v>
      </c>
      <c r="AL6591">
        <v>94.137281597221701</v>
      </c>
      <c r="AM6591">
        <v>92.734305758726293</v>
      </c>
      <c r="AN6591">
        <v>0.999999992726748</v>
      </c>
    </row>
    <row r="6592" spans="1:40" x14ac:dyDescent="0.25">
      <c r="A6592" t="str">
        <f>"20190303153940106"</f>
        <v>20190303153940106</v>
      </c>
      <c r="B6592" t="str">
        <f>"1551598780095085"</f>
        <v>1551598780095085</v>
      </c>
      <c r="C6592" t="s">
        <v>40</v>
      </c>
      <c r="D6592">
        <v>4.6401379999999897</v>
      </c>
      <c r="E6592">
        <v>0.5038127</v>
      </c>
      <c r="F6592" t="s">
        <v>71</v>
      </c>
      <c r="G6592">
        <v>-423.02409999999998</v>
      </c>
      <c r="H6592">
        <v>2.769736</v>
      </c>
      <c r="I6592">
        <v>0.44663809999999898</v>
      </c>
      <c r="J6592">
        <v>-420.8818</v>
      </c>
      <c r="K6592">
        <v>1.1202510000000001</v>
      </c>
      <c r="L6592">
        <v>111.1728</v>
      </c>
      <c r="M6592">
        <v>-5.4815679999999999E-2</v>
      </c>
      <c r="N6592">
        <v>-3.764065E-3</v>
      </c>
      <c r="O6592">
        <v>-0.99848959999999998</v>
      </c>
      <c r="P6592">
        <v>-8.3034210000000001E-3</v>
      </c>
      <c r="Q6592">
        <v>-7.497579E-2</v>
      </c>
      <c r="R6592">
        <v>-0.99715100000000001</v>
      </c>
      <c r="S6592">
        <v>-5.841064E-2</v>
      </c>
      <c r="T6592">
        <v>4.4796710000000003E-2</v>
      </c>
      <c r="U6592">
        <v>-3.011765</v>
      </c>
      <c r="V6592">
        <v>-4.6308549999999997E-2</v>
      </c>
      <c r="W6592">
        <v>-7.1265129999999996E-2</v>
      </c>
      <c r="X6592">
        <v>0.99638190000000004</v>
      </c>
      <c r="Y6592">
        <v>-3.5448479999999997E-2</v>
      </c>
      <c r="Z6592">
        <v>-1.8594200000000002E-2</v>
      </c>
      <c r="AA6592">
        <v>0.99919849999999999</v>
      </c>
      <c r="AB6592">
        <v>20</v>
      </c>
      <c r="AC6592">
        <v>-2.1422999999999699</v>
      </c>
      <c r="AD6592">
        <v>1.6494850000000001</v>
      </c>
      <c r="AE6592">
        <v>-110.72616189999999</v>
      </c>
      <c r="AF6592">
        <v>-3.9296208952230298</v>
      </c>
      <c r="AG6592">
        <v>1.6494850000000001</v>
      </c>
      <c r="AH6592">
        <v>110.652567374962</v>
      </c>
      <c r="AI6592">
        <v>89.146499671348096</v>
      </c>
      <c r="AJ6592">
        <v>92.033898689929501</v>
      </c>
      <c r="AK6592">
        <v>110.734607904737</v>
      </c>
      <c r="AL6592">
        <v>94.0866551416172</v>
      </c>
      <c r="AM6592">
        <v>92.661004282777199</v>
      </c>
      <c r="AN6592">
        <v>1.0000000456023099</v>
      </c>
    </row>
    <row r="6593" spans="1:40" x14ac:dyDescent="0.25">
      <c r="A6593" t="str">
        <f>"20190303153940130"</f>
        <v>20190303153940130</v>
      </c>
      <c r="B6593" t="str">
        <f>"1551598780125341"</f>
        <v>1551598780125341</v>
      </c>
      <c r="C6593" t="s">
        <v>40</v>
      </c>
      <c r="D6593">
        <v>4.6181830000000001</v>
      </c>
      <c r="E6593">
        <v>0.504216</v>
      </c>
      <c r="F6593" t="s">
        <v>71</v>
      </c>
      <c r="G6593">
        <v>-423.16399999999999</v>
      </c>
      <c r="H6593">
        <v>2.8916680000000001</v>
      </c>
      <c r="I6593">
        <v>0.44521709999999898</v>
      </c>
      <c r="J6593">
        <v>-420.89240000000001</v>
      </c>
      <c r="K6593">
        <v>1.120136</v>
      </c>
      <c r="L6593">
        <v>110.9645</v>
      </c>
      <c r="M6593">
        <v>-5.4128500000000003E-2</v>
      </c>
      <c r="N6593">
        <v>-3.5131670000000002E-3</v>
      </c>
      <c r="O6593">
        <v>-0.99852799999999997</v>
      </c>
      <c r="P6593">
        <v>-8.5242549999999997E-3</v>
      </c>
      <c r="Q6593">
        <v>-7.4578989999999998E-2</v>
      </c>
      <c r="R6593">
        <v>-0.99717900000000004</v>
      </c>
      <c r="S6593">
        <v>-6.2072750000000003E-2</v>
      </c>
      <c r="T6593">
        <v>4.8179979999999997E-2</v>
      </c>
      <c r="U6593">
        <v>-3.011673</v>
      </c>
      <c r="V6593">
        <v>-4.5419639999999997E-2</v>
      </c>
      <c r="W6593">
        <v>-7.1107470000000006E-2</v>
      </c>
      <c r="X6593">
        <v>0.99643400000000004</v>
      </c>
      <c r="Y6593">
        <v>-3.354584E-2</v>
      </c>
      <c r="Z6593">
        <v>-1.9465E-2</v>
      </c>
      <c r="AA6593">
        <v>0.99924760000000001</v>
      </c>
      <c r="AB6593">
        <v>20</v>
      </c>
      <c r="AC6593">
        <v>-2.2715999999999701</v>
      </c>
      <c r="AD6593">
        <v>1.7715319999999899</v>
      </c>
      <c r="AE6593">
        <v>-110.51928289999999</v>
      </c>
      <c r="AF6593">
        <v>-3.7130553619645701</v>
      </c>
      <c r="AG6593">
        <v>1.7715319999999899</v>
      </c>
      <c r="AH6593">
        <v>110.451849441715</v>
      </c>
      <c r="AI6593">
        <v>89.081633172813198</v>
      </c>
      <c r="AJ6593">
        <v>91.925384831934693</v>
      </c>
      <c r="AK6593">
        <v>110.52844046146301</v>
      </c>
      <c r="AL6593">
        <v>94.077599238545801</v>
      </c>
      <c r="AM6593">
        <v>92.609860350177698</v>
      </c>
      <c r="AN6593">
        <v>0.99999996617176401</v>
      </c>
    </row>
    <row r="6594" spans="1:40" x14ac:dyDescent="0.25">
      <c r="A6594" t="str">
        <f>"20190303153940153"</f>
        <v>20190303153940153</v>
      </c>
      <c r="B6594" t="str">
        <f>"1551598780145368"</f>
        <v>1551598780145368</v>
      </c>
      <c r="C6594" t="s">
        <v>40</v>
      </c>
      <c r="D6594">
        <v>4.6191969999999998</v>
      </c>
      <c r="E6594">
        <v>0.49293619999999999</v>
      </c>
      <c r="F6594" t="s">
        <v>71</v>
      </c>
      <c r="G6594">
        <v>-423.31479999999999</v>
      </c>
      <c r="H6594">
        <v>2.9468860000000001</v>
      </c>
      <c r="I6594">
        <v>0.44368360000000001</v>
      </c>
      <c r="J6594">
        <v>-420.90309999999999</v>
      </c>
      <c r="K6594">
        <v>1.120018</v>
      </c>
      <c r="L6594">
        <v>110.7543</v>
      </c>
      <c r="M6594">
        <v>-5.3615110000000001E-2</v>
      </c>
      <c r="N6594">
        <v>-3.2767709999999999E-3</v>
      </c>
      <c r="O6594">
        <v>-0.99855649999999996</v>
      </c>
      <c r="P6594">
        <v>-8.89589E-3</v>
      </c>
      <c r="Q6594">
        <v>-7.5005450000000001E-2</v>
      </c>
      <c r="R6594">
        <v>-0.99714360000000002</v>
      </c>
      <c r="S6594">
        <v>-6.6009520000000002E-2</v>
      </c>
      <c r="T6594">
        <v>4.9777269999999998E-2</v>
      </c>
      <c r="U6594">
        <v>-3.0116420000000002</v>
      </c>
      <c r="V6594">
        <v>-4.4549930000000001E-2</v>
      </c>
      <c r="W6594">
        <v>-7.1759009999999998E-2</v>
      </c>
      <c r="X6594">
        <v>0.99642660000000005</v>
      </c>
      <c r="Y6594">
        <v>-3.1726150000000002E-2</v>
      </c>
      <c r="Z6594">
        <v>-1.975855E-2</v>
      </c>
      <c r="AA6594">
        <v>0.99930129999999995</v>
      </c>
      <c r="AB6594">
        <v>21</v>
      </c>
      <c r="AC6594">
        <v>-2.41169999999999</v>
      </c>
      <c r="AD6594">
        <v>1.8268679999999999</v>
      </c>
      <c r="AE6594">
        <v>-110.3106164</v>
      </c>
      <c r="AF6594">
        <v>-3.5051543390553199</v>
      </c>
      <c r="AG6594">
        <v>1.8268679999999999</v>
      </c>
      <c r="AH6594">
        <v>110.251032334835</v>
      </c>
      <c r="AI6594">
        <v>89.051170759345993</v>
      </c>
      <c r="AJ6594">
        <v>91.820961880831007</v>
      </c>
      <c r="AK6594">
        <v>110.321864036677</v>
      </c>
      <c r="AL6594">
        <v>94.115025159372607</v>
      </c>
      <c r="AM6594">
        <v>92.559972013124593</v>
      </c>
      <c r="AN6594">
        <v>1.0000000104833699</v>
      </c>
    </row>
    <row r="6595" spans="1:40" x14ac:dyDescent="0.25">
      <c r="A6595" t="str">
        <f>"20190303153940173"</f>
        <v>20190303153940173</v>
      </c>
      <c r="B6595" t="str">
        <f>"1551598780164888"</f>
        <v>1551598780164888</v>
      </c>
      <c r="C6595" t="s">
        <v>40</v>
      </c>
      <c r="D6595">
        <v>4.6395730000000004</v>
      </c>
      <c r="E6595">
        <v>0.4918593</v>
      </c>
      <c r="F6595" t="s">
        <v>71</v>
      </c>
      <c r="G6595">
        <v>-419.9821</v>
      </c>
      <c r="H6595">
        <v>0.38829809999999998</v>
      </c>
      <c r="I6595">
        <v>0.47757149999999998</v>
      </c>
      <c r="J6595">
        <v>-420.9135</v>
      </c>
      <c r="K6595">
        <v>1.119907</v>
      </c>
      <c r="L6595">
        <v>110.5515</v>
      </c>
      <c r="M6595">
        <v>-5.3244960000000001E-2</v>
      </c>
      <c r="N6595">
        <v>-3.0595980000000002E-3</v>
      </c>
      <c r="O6595">
        <v>-0.99857669999999998</v>
      </c>
      <c r="P6595">
        <v>-8.600646E-3</v>
      </c>
      <c r="Q6595">
        <v>-7.5691809999999998E-2</v>
      </c>
      <c r="R6595">
        <v>-0.99709409999999998</v>
      </c>
      <c r="S6595">
        <v>2.5115970000000001E-2</v>
      </c>
      <c r="T6595">
        <v>-1.995516E-2</v>
      </c>
      <c r="U6595">
        <v>-3.0073089999999998</v>
      </c>
      <c r="V6595">
        <v>-4.4485759999999999E-2</v>
      </c>
      <c r="W6595">
        <v>-7.2653670000000004E-2</v>
      </c>
      <c r="X6595">
        <v>0.99636469999999999</v>
      </c>
      <c r="Y6595">
        <v>-6.1581900000000002E-2</v>
      </c>
      <c r="Z6595">
        <v>3.5546330000000002E-3</v>
      </c>
      <c r="AA6595">
        <v>0.99809570000000003</v>
      </c>
      <c r="AB6595">
        <v>21</v>
      </c>
      <c r="AC6595">
        <v>0.93139999999999601</v>
      </c>
      <c r="AD6595">
        <v>-0.73160890000000001</v>
      </c>
      <c r="AE6595">
        <v>-110.07392849999999</v>
      </c>
      <c r="AF6595">
        <v>-6.7906887143870103</v>
      </c>
      <c r="AG6595">
        <v>-0.73160890000000001</v>
      </c>
      <c r="AH6595">
        <v>109.863339453747</v>
      </c>
      <c r="AI6595">
        <v>90.380815299011104</v>
      </c>
      <c r="AJ6595">
        <v>93.536970979517207</v>
      </c>
      <c r="AK6595">
        <v>110.075438044677</v>
      </c>
      <c r="AL6595">
        <v>94.166419279025504</v>
      </c>
      <c r="AM6595">
        <v>92.556448109157898</v>
      </c>
      <c r="AN6595">
        <v>1.0000000770066599</v>
      </c>
    </row>
    <row r="6596" spans="1:40" x14ac:dyDescent="0.25">
      <c r="A6596" t="str">
        <f>"20190303153940196"</f>
        <v>20190303153940196</v>
      </c>
      <c r="B6596" t="str">
        <f>"1551598780185385"</f>
        <v>1551598780185385</v>
      </c>
      <c r="C6596" t="s">
        <v>40</v>
      </c>
      <c r="D6596">
        <v>4.6129439999999997</v>
      </c>
      <c r="E6596">
        <v>0.49109239999999998</v>
      </c>
      <c r="F6596" t="s">
        <v>63</v>
      </c>
      <c r="G6596">
        <v>-419.94369999999998</v>
      </c>
      <c r="H6596" s="1">
        <v>-7.0771670000000003E-6</v>
      </c>
      <c r="I6596">
        <v>27.70748</v>
      </c>
      <c r="J6596">
        <v>-420.92380000000003</v>
      </c>
      <c r="K6596">
        <v>1.1198090000000001</v>
      </c>
      <c r="L6596">
        <v>110.3496</v>
      </c>
      <c r="M6596">
        <v>-5.2989170000000002E-2</v>
      </c>
      <c r="N6596">
        <v>-2.8463059999999998E-3</v>
      </c>
      <c r="O6596">
        <v>-0.99859120000000001</v>
      </c>
      <c r="P6596">
        <v>-8.0636030000000008E-3</v>
      </c>
      <c r="Q6596">
        <v>-7.6429949999999997E-2</v>
      </c>
      <c r="R6596">
        <v>-0.99704269999999995</v>
      </c>
      <c r="S6596">
        <v>3.5186769999999999E-2</v>
      </c>
      <c r="T6596">
        <v>-4.063547E-2</v>
      </c>
      <c r="U6596">
        <v>-3.005951</v>
      </c>
      <c r="V6596">
        <v>-4.4775309999999999E-2</v>
      </c>
      <c r="W6596">
        <v>-7.3597570000000001E-2</v>
      </c>
      <c r="X6596">
        <v>0.99628240000000001</v>
      </c>
      <c r="Y6596">
        <v>-6.4672030000000005E-2</v>
      </c>
      <c r="Z6596">
        <v>1.0627019999999999E-2</v>
      </c>
      <c r="AA6596">
        <v>0.99785000000000001</v>
      </c>
      <c r="AB6596">
        <v>21</v>
      </c>
      <c r="AC6596">
        <v>0.98010000000005004</v>
      </c>
      <c r="AD6596">
        <v>-1.119816077167</v>
      </c>
      <c r="AE6596">
        <v>-82.642119999999906</v>
      </c>
      <c r="AF6596">
        <v>-5.3568939502215098</v>
      </c>
      <c r="AG6596">
        <v>-1.119816077167</v>
      </c>
      <c r="AH6596">
        <v>82.458941271859203</v>
      </c>
      <c r="AI6596">
        <v>90.776408853667704</v>
      </c>
      <c r="AJ6596">
        <v>93.716961648119494</v>
      </c>
      <c r="AK6596">
        <v>82.640349082736293</v>
      </c>
      <c r="AL6596">
        <v>94.220646159424305</v>
      </c>
      <c r="AM6596">
        <v>92.573277557926005</v>
      </c>
      <c r="AN6596">
        <v>1.00000002562263</v>
      </c>
    </row>
    <row r="6597" spans="1:40" x14ac:dyDescent="0.25">
      <c r="A6597" t="str">
        <f>"20190303153940208"</f>
        <v>20190303153940208</v>
      </c>
      <c r="B6597" t="str">
        <f>"1551598780204905"</f>
        <v>1551598780204905</v>
      </c>
      <c r="C6597" t="s">
        <v>40</v>
      </c>
      <c r="D6597">
        <v>4.6104059999999896</v>
      </c>
      <c r="E6597">
        <v>0.49092160000000001</v>
      </c>
      <c r="F6597" t="s">
        <v>42</v>
      </c>
      <c r="G6597">
        <v>-420.0609</v>
      </c>
      <c r="H6597" s="1">
        <v>-2.8323500000000001E-7</v>
      </c>
      <c r="I6597">
        <v>50.211590000000001</v>
      </c>
      <c r="J6597">
        <v>-420.93029999999999</v>
      </c>
      <c r="K6597">
        <v>1.119748</v>
      </c>
      <c r="L6597">
        <v>110.2235</v>
      </c>
      <c r="M6597">
        <v>-5.2875220000000001E-2</v>
      </c>
      <c r="N6597">
        <v>-2.7120149999999999E-3</v>
      </c>
      <c r="O6597">
        <v>-0.99859739999999997</v>
      </c>
      <c r="P6597">
        <v>-7.4404079999999999E-3</v>
      </c>
      <c r="Q6597">
        <v>-7.6528269999999995E-2</v>
      </c>
      <c r="R6597">
        <v>-0.99703980000000003</v>
      </c>
      <c r="S6597">
        <v>4.3121340000000001E-2</v>
      </c>
      <c r="T6597">
        <v>-5.5954339999999998E-2</v>
      </c>
      <c r="U6597">
        <v>-3.0049589999999999</v>
      </c>
      <c r="V6597">
        <v>-4.5290450000000003E-2</v>
      </c>
      <c r="W6597">
        <v>-7.3825810000000006E-2</v>
      </c>
      <c r="X6597">
        <v>0.99624219999999997</v>
      </c>
      <c r="Y6597">
        <v>-6.7194719999999999E-2</v>
      </c>
      <c r="Z6597">
        <v>1.584373E-2</v>
      </c>
      <c r="AA6597">
        <v>0.99761409999999995</v>
      </c>
      <c r="AB6597">
        <v>21</v>
      </c>
      <c r="AC6597">
        <v>0.86939999999998396</v>
      </c>
      <c r="AD6597">
        <v>-1.1197482832350001</v>
      </c>
      <c r="AE6597">
        <v>-60.01191</v>
      </c>
      <c r="AF6597">
        <v>-4.0399323592210399</v>
      </c>
      <c r="AG6597">
        <v>-1.1197482832350001</v>
      </c>
      <c r="AH6597">
        <v>59.861154190267598</v>
      </c>
      <c r="AI6597">
        <v>91.069204415809395</v>
      </c>
      <c r="AJ6597">
        <v>93.860944688084203</v>
      </c>
      <c r="AK6597">
        <v>60.007771752297899</v>
      </c>
      <c r="AL6597">
        <v>94.233759137004697</v>
      </c>
      <c r="AM6597">
        <v>92.602947520238601</v>
      </c>
      <c r="AN6597">
        <v>0.99999999807209905</v>
      </c>
    </row>
    <row r="6598" spans="1:40" x14ac:dyDescent="0.25">
      <c r="A6598" t="str">
        <f>"20190303153940222"</f>
        <v>20190303153940222</v>
      </c>
      <c r="B6598" t="str">
        <f>"1551598780214666"</f>
        <v>1551598780214666</v>
      </c>
      <c r="C6598" t="s">
        <v>40</v>
      </c>
      <c r="D6598">
        <v>4.6049519999999999</v>
      </c>
      <c r="E6598">
        <v>0.49080620000000003</v>
      </c>
      <c r="F6598" t="s">
        <v>42</v>
      </c>
      <c r="G6598">
        <v>-420.10140000000001</v>
      </c>
      <c r="H6598" s="1">
        <v>-3.3951459999999999E-6</v>
      </c>
      <c r="I6598">
        <v>57.440379999999998</v>
      </c>
      <c r="J6598">
        <v>-420.93680000000001</v>
      </c>
      <c r="K6598">
        <v>1.1196919999999999</v>
      </c>
      <c r="L6598">
        <v>110.0979</v>
      </c>
      <c r="M6598">
        <v>-5.2815969999999997E-2</v>
      </c>
      <c r="N6598">
        <v>-2.575632E-3</v>
      </c>
      <c r="O6598">
        <v>-0.99860119999999997</v>
      </c>
      <c r="P6598">
        <v>-6.8128959999999997E-3</v>
      </c>
      <c r="Q6598">
        <v>-7.6259339999999995E-2</v>
      </c>
      <c r="R6598">
        <v>-0.99706519999999998</v>
      </c>
      <c r="S6598">
        <v>4.7180180000000002E-2</v>
      </c>
      <c r="T6598">
        <v>-6.3735490000000006E-2</v>
      </c>
      <c r="U6598">
        <v>-3.0043790000000001</v>
      </c>
      <c r="V6598">
        <v>-4.5864769999999999E-2</v>
      </c>
      <c r="W6598">
        <v>-7.3689270000000001E-2</v>
      </c>
      <c r="X6598">
        <v>0.99622599999999994</v>
      </c>
      <c r="Y6598">
        <v>-6.8484749999999997E-2</v>
      </c>
      <c r="Z6598">
        <v>1.8562619999999998E-2</v>
      </c>
      <c r="AA6598">
        <v>0.99747940000000002</v>
      </c>
      <c r="AB6598">
        <v>21</v>
      </c>
      <c r="AC6598">
        <v>0.83539999999999204</v>
      </c>
      <c r="AD6598">
        <v>-1.11969539514599</v>
      </c>
      <c r="AE6598">
        <v>-52.657519999999899</v>
      </c>
      <c r="AF6598">
        <v>-3.6137669559885999</v>
      </c>
      <c r="AG6598">
        <v>-1.11969539514599</v>
      </c>
      <c r="AH6598">
        <v>52.5161618711983</v>
      </c>
      <c r="AI6598">
        <v>91.218535713122293</v>
      </c>
      <c r="AJ6598">
        <v>93.936458841265804</v>
      </c>
      <c r="AK6598">
        <v>52.6522581383933</v>
      </c>
      <c r="AL6598">
        <v>94.225914747066099</v>
      </c>
      <c r="AM6598">
        <v>92.635951566947895</v>
      </c>
      <c r="AN6598">
        <v>0.99999996435814198</v>
      </c>
    </row>
    <row r="6599" spans="1:40" x14ac:dyDescent="0.25">
      <c r="A6599" t="str">
        <f>"20190303153940235"</f>
        <v>20190303153940235</v>
      </c>
      <c r="B6599" t="str">
        <f>"1551598780225401"</f>
        <v>1551598780225401</v>
      </c>
      <c r="C6599" t="s">
        <v>40</v>
      </c>
      <c r="D6599">
        <v>4.6164239999999896</v>
      </c>
      <c r="E6599">
        <v>0.49079099999999998</v>
      </c>
      <c r="F6599" t="s">
        <v>42</v>
      </c>
      <c r="G6599">
        <v>-420.0951</v>
      </c>
      <c r="H6599" s="1">
        <v>-4.188154E-6</v>
      </c>
      <c r="I6599">
        <v>59.292839999999998</v>
      </c>
      <c r="J6599">
        <v>-420.9434</v>
      </c>
      <c r="K6599">
        <v>1.11964</v>
      </c>
      <c r="L6599">
        <v>109.97150000000001</v>
      </c>
      <c r="M6599">
        <v>-5.27783E-2</v>
      </c>
      <c r="N6599">
        <v>-2.4385560000000001E-3</v>
      </c>
      <c r="O6599">
        <v>-0.99860329999999997</v>
      </c>
      <c r="P6599">
        <v>-6.1925959999999999E-3</v>
      </c>
      <c r="Q6599">
        <v>-7.646116E-2</v>
      </c>
      <c r="R6599">
        <v>-0.99705330000000003</v>
      </c>
      <c r="S6599">
        <v>4.977417E-2</v>
      </c>
      <c r="T6599">
        <v>-6.6208000000000003E-2</v>
      </c>
      <c r="U6599">
        <v>-3.0041199999999999</v>
      </c>
      <c r="V6599">
        <v>-4.6451230000000003E-2</v>
      </c>
      <c r="W6599">
        <v>-7.4024510000000002E-2</v>
      </c>
      <c r="X6599">
        <v>0.996174</v>
      </c>
      <c r="Y6599">
        <v>-6.9309239999999994E-2</v>
      </c>
      <c r="Z6599">
        <v>1.9520559999999999E-2</v>
      </c>
      <c r="AA6599">
        <v>0.99740419999999996</v>
      </c>
      <c r="AB6599">
        <v>21</v>
      </c>
      <c r="AC6599">
        <v>0.84829999999999395</v>
      </c>
      <c r="AD6599">
        <v>-1.119644188154</v>
      </c>
      <c r="AE6599">
        <v>-50.678660000000001</v>
      </c>
      <c r="AF6599">
        <v>-3.5201413867446001</v>
      </c>
      <c r="AG6599">
        <v>-1.119644188154</v>
      </c>
      <c r="AH6599">
        <v>50.538593417651001</v>
      </c>
      <c r="AI6599">
        <v>91.266070473177905</v>
      </c>
      <c r="AJ6599">
        <v>93.984361529474299</v>
      </c>
      <c r="AK6599">
        <v>50.673409428667597</v>
      </c>
      <c r="AL6599">
        <v>94.245175072418405</v>
      </c>
      <c r="AM6599">
        <v>92.669747441144807</v>
      </c>
      <c r="AN6599">
        <v>0.99999999156262598</v>
      </c>
    </row>
    <row r="6600" spans="1:40" x14ac:dyDescent="0.25">
      <c r="A6600" t="str">
        <f>"20190303153940247"</f>
        <v>20190303153940247</v>
      </c>
      <c r="B6600" t="str">
        <f>"1551598780235162"</f>
        <v>1551598780235162</v>
      </c>
      <c r="C6600" t="s">
        <v>40</v>
      </c>
      <c r="D6600">
        <v>4.587866</v>
      </c>
      <c r="E6600">
        <v>0.49076320000000001</v>
      </c>
      <c r="F6600" t="s">
        <v>42</v>
      </c>
      <c r="G6600">
        <v>-420.10809999999998</v>
      </c>
      <c r="H6600" s="1">
        <v>-6.3315240000000005E-7</v>
      </c>
      <c r="I6600">
        <v>60.997970000000002</v>
      </c>
      <c r="J6600">
        <v>-420.94979999999998</v>
      </c>
      <c r="K6600">
        <v>1.119597</v>
      </c>
      <c r="L6600">
        <v>109.8496</v>
      </c>
      <c r="M6600">
        <v>-5.2765769999999997E-2</v>
      </c>
      <c r="N6600">
        <v>-2.3066250000000001E-3</v>
      </c>
      <c r="O6600">
        <v>-0.9986043</v>
      </c>
      <c r="P6600">
        <v>-5.632125E-3</v>
      </c>
      <c r="Q6600">
        <v>-7.6509590000000002E-2</v>
      </c>
      <c r="R6600">
        <v>-0.99705310000000003</v>
      </c>
      <c r="S6600">
        <v>5.1239010000000001E-2</v>
      </c>
      <c r="T6600">
        <v>-6.8676109999999999E-2</v>
      </c>
      <c r="U6600">
        <v>-3.0039220000000002</v>
      </c>
      <c r="V6600">
        <v>-4.7003040000000003E-2</v>
      </c>
      <c r="W6600">
        <v>-7.4201589999999998E-2</v>
      </c>
      <c r="X6600">
        <v>0.99613490000000005</v>
      </c>
      <c r="Y6600">
        <v>-6.9783750000000005E-2</v>
      </c>
      <c r="Z6600">
        <v>2.0471779999999998E-2</v>
      </c>
      <c r="AA6600">
        <v>0.99735209999999996</v>
      </c>
      <c r="AB6600">
        <v>21</v>
      </c>
      <c r="AC6600">
        <v>0.841700000000003</v>
      </c>
      <c r="AD6600">
        <v>-1.1195976331524</v>
      </c>
      <c r="AE6600">
        <v>-48.85163</v>
      </c>
      <c r="AF6600">
        <v>-3.4164340945908598</v>
      </c>
      <c r="AG6600">
        <v>-1.1195976331524</v>
      </c>
      <c r="AH6600">
        <v>48.713582973703403</v>
      </c>
      <c r="AI6600">
        <v>91.313387865123303</v>
      </c>
      <c r="AJ6600">
        <v>94.011761177815501</v>
      </c>
      <c r="AK6600">
        <v>48.846071356033697</v>
      </c>
      <c r="AL6600">
        <v>94.255349164631497</v>
      </c>
      <c r="AM6600">
        <v>92.701521454258597</v>
      </c>
      <c r="AN6600">
        <v>0.99999995036288802</v>
      </c>
    </row>
    <row r="6601" spans="1:40" x14ac:dyDescent="0.25">
      <c r="A6601" t="str">
        <f>"20190303153940261"</f>
        <v>20190303153940261</v>
      </c>
      <c r="B6601" t="str">
        <f>"1551598780254680"</f>
        <v>1551598780254680</v>
      </c>
      <c r="C6601" t="s">
        <v>40</v>
      </c>
      <c r="D6601">
        <v>4.6072939999999996</v>
      </c>
      <c r="E6601">
        <v>0.49072559999999898</v>
      </c>
      <c r="F6601" t="s">
        <v>42</v>
      </c>
      <c r="G6601">
        <v>-420.108</v>
      </c>
      <c r="H6601" s="1">
        <v>-1.4421309999999999E-6</v>
      </c>
      <c r="I6601">
        <v>62.883740000000003</v>
      </c>
      <c r="J6601">
        <v>-420.95650000000001</v>
      </c>
      <c r="K6601">
        <v>1.119553</v>
      </c>
      <c r="L6601">
        <v>109.72150000000001</v>
      </c>
      <c r="M6601">
        <v>-5.2780489999999999E-2</v>
      </c>
      <c r="N6601">
        <v>-2.1713290000000001E-3</v>
      </c>
      <c r="O6601">
        <v>-0.99860380000000004</v>
      </c>
      <c r="P6601">
        <v>-4.5965429999999998E-3</v>
      </c>
      <c r="Q6601">
        <v>-7.6604839999999993E-2</v>
      </c>
      <c r="R6601">
        <v>-0.99705089999999996</v>
      </c>
      <c r="S6601">
        <v>5.3833010000000001E-2</v>
      </c>
      <c r="T6601">
        <v>-7.1603299999999995E-2</v>
      </c>
      <c r="U6601">
        <v>-3.0036770000000002</v>
      </c>
      <c r="V6601">
        <v>-4.8054779999999998E-2</v>
      </c>
      <c r="W6601">
        <v>-7.4429319999999993E-2</v>
      </c>
      <c r="X6601">
        <v>0.99606779999999995</v>
      </c>
      <c r="Y6601">
        <v>-7.0660459999999994E-2</v>
      </c>
      <c r="Z6601">
        <v>2.1578460000000001E-2</v>
      </c>
      <c r="AA6601">
        <v>0.99726700000000001</v>
      </c>
      <c r="AB6601">
        <v>21</v>
      </c>
      <c r="AC6601">
        <v>0.84850000000000103</v>
      </c>
      <c r="AD6601">
        <v>-1.119554442131</v>
      </c>
      <c r="AE6601">
        <v>-46.837759999999903</v>
      </c>
      <c r="AF6601">
        <v>-3.31754815764207</v>
      </c>
      <c r="AG6601">
        <v>-1.119554442131</v>
      </c>
      <c r="AH6601">
        <v>46.701016370378397</v>
      </c>
      <c r="AI6601">
        <v>91.369826941446803</v>
      </c>
      <c r="AJ6601">
        <v>94.063353319186504</v>
      </c>
      <c r="AK6601">
        <v>46.832087909397302</v>
      </c>
      <c r="AL6601">
        <v>94.268432999316204</v>
      </c>
      <c r="AM6601">
        <v>92.762063887358707</v>
      </c>
      <c r="AN6601">
        <v>1.00000002387667</v>
      </c>
    </row>
    <row r="6602" spans="1:40" x14ac:dyDescent="0.25">
      <c r="A6602" t="str">
        <f>"20190303153940274"</f>
        <v>20190303153940274</v>
      </c>
      <c r="B6602" t="str">
        <f>"1551598780265417"</f>
        <v>1551598780265417</v>
      </c>
      <c r="C6602" t="s">
        <v>40</v>
      </c>
      <c r="D6602">
        <v>4.6139700000000001</v>
      </c>
      <c r="E6602">
        <v>0.49069940000000001</v>
      </c>
      <c r="F6602" t="s">
        <v>42</v>
      </c>
      <c r="G6602">
        <v>-420.09800000000001</v>
      </c>
      <c r="H6602" s="1">
        <v>-2.2733689999999999E-6</v>
      </c>
      <c r="I6602">
        <v>64.827579999999998</v>
      </c>
      <c r="J6602">
        <v>-420.9633</v>
      </c>
      <c r="K6602">
        <v>1.1195120000000001</v>
      </c>
      <c r="L6602">
        <v>109.592</v>
      </c>
      <c r="M6602">
        <v>-5.2806279999999997E-2</v>
      </c>
      <c r="N6602">
        <v>-2.037765E-3</v>
      </c>
      <c r="O6602">
        <v>-0.99860269999999995</v>
      </c>
      <c r="P6602">
        <v>-3.4497619999999999E-3</v>
      </c>
      <c r="Q6602">
        <v>-7.6199870000000003E-2</v>
      </c>
      <c r="R6602">
        <v>-0.99708660000000005</v>
      </c>
      <c r="S6602">
        <v>5.7434079999999998E-2</v>
      </c>
      <c r="T6602">
        <v>-7.4897889999999995E-2</v>
      </c>
      <c r="U6602">
        <v>-3.003387</v>
      </c>
      <c r="V6602">
        <v>-4.9230339999999997E-2</v>
      </c>
      <c r="W6602">
        <v>-7.4155299999999993E-2</v>
      </c>
      <c r="X6602">
        <v>0.99603079999999999</v>
      </c>
      <c r="Y6602">
        <v>-7.1882669999999996E-2</v>
      </c>
      <c r="Z6602">
        <v>2.2805140000000002E-2</v>
      </c>
      <c r="AA6602">
        <v>0.99715229999999999</v>
      </c>
      <c r="AB6602">
        <v>22</v>
      </c>
      <c r="AC6602">
        <v>0.86529999999998997</v>
      </c>
      <c r="AD6602">
        <v>-1.119514273369</v>
      </c>
      <c r="AE6602">
        <v>-44.764420000000001</v>
      </c>
      <c r="AF6602">
        <v>-3.2259231981974299</v>
      </c>
      <c r="AG6602">
        <v>-1.119514273369</v>
      </c>
      <c r="AH6602">
        <v>44.628367502621998</v>
      </c>
      <c r="AI6602">
        <v>91.433240357887101</v>
      </c>
      <c r="AJ6602">
        <v>94.134385479333702</v>
      </c>
      <c r="AK6602">
        <v>44.7588100672709</v>
      </c>
      <c r="AL6602">
        <v>94.252689426774694</v>
      </c>
      <c r="AM6602">
        <v>92.829628463456103</v>
      </c>
      <c r="AN6602">
        <v>0.99999999472162204</v>
      </c>
    </row>
    <row r="6603" spans="1:40" x14ac:dyDescent="0.25">
      <c r="A6603" t="str">
        <f>"20190303153940287"</f>
        <v>20190303153940287</v>
      </c>
      <c r="B6603" t="str">
        <f>"1551598780284937"</f>
        <v>1551598780284937</v>
      </c>
      <c r="C6603" t="s">
        <v>40</v>
      </c>
      <c r="D6603">
        <v>4.6025419999999997</v>
      </c>
      <c r="E6603">
        <v>0.49084879999999997</v>
      </c>
      <c r="F6603" t="s">
        <v>42</v>
      </c>
      <c r="G6603">
        <v>-420.0591</v>
      </c>
      <c r="H6603" s="1">
        <v>-2.370291E-6</v>
      </c>
      <c r="I6603">
        <v>65.077659999999995</v>
      </c>
      <c r="J6603">
        <v>-420.97059999999999</v>
      </c>
      <c r="K6603">
        <v>1.1194770000000001</v>
      </c>
      <c r="L6603">
        <v>109.4554</v>
      </c>
      <c r="M6603">
        <v>-5.2846499999999998E-2</v>
      </c>
      <c r="N6603">
        <v>-1.901409E-3</v>
      </c>
      <c r="O6603">
        <v>-0.99860079999999996</v>
      </c>
      <c r="P6603">
        <v>-3.1795009999999999E-3</v>
      </c>
      <c r="Q6603">
        <v>-7.6101349999999998E-2</v>
      </c>
      <c r="R6603">
        <v>-0.99709519999999996</v>
      </c>
      <c r="S6603">
        <v>6.1004639999999999E-2</v>
      </c>
      <c r="T6603">
        <v>-7.5529100000000002E-2</v>
      </c>
      <c r="U6603">
        <v>-3.0032040000000002</v>
      </c>
      <c r="V6603">
        <v>-4.9542719999999998E-2</v>
      </c>
      <c r="W6603">
        <v>-7.4191179999999995E-2</v>
      </c>
      <c r="X6603">
        <v>0.99601260000000003</v>
      </c>
      <c r="Y6603">
        <v>-7.3108960000000001E-2</v>
      </c>
      <c r="Z6603">
        <v>2.3150759999999999E-2</v>
      </c>
      <c r="AA6603">
        <v>0.99705520000000003</v>
      </c>
      <c r="AB6603">
        <v>22</v>
      </c>
      <c r="AC6603">
        <v>0.91149999999998899</v>
      </c>
      <c r="AD6603">
        <v>-1.119479370291</v>
      </c>
      <c r="AE6603">
        <v>-44.377740000000003</v>
      </c>
      <c r="AF6603">
        <v>-3.2533694357299998</v>
      </c>
      <c r="AG6603">
        <v>-1.119479370291</v>
      </c>
      <c r="AH6603">
        <v>44.239418491137101</v>
      </c>
      <c r="AI6603">
        <v>91.445659264497095</v>
      </c>
      <c r="AJ6603">
        <v>94.205963749199697</v>
      </c>
      <c r="AK6603">
        <v>44.373007506589097</v>
      </c>
      <c r="AL6603">
        <v>94.254751043679903</v>
      </c>
      <c r="AM6603">
        <v>92.847605720786007</v>
      </c>
      <c r="AN6603">
        <v>0.99999995582677403</v>
      </c>
    </row>
    <row r="6604" spans="1:40" x14ac:dyDescent="0.25">
      <c r="A6604" t="str">
        <f>"20190303153940308"</f>
        <v>20190303153940308</v>
      </c>
      <c r="B6604" t="str">
        <f>"1551598780305433"</f>
        <v>1551598780305433</v>
      </c>
      <c r="C6604" t="s">
        <v>40</v>
      </c>
      <c r="D6604">
        <v>4.5146410000000001</v>
      </c>
      <c r="E6604">
        <v>0.49121619999999999</v>
      </c>
      <c r="F6604" t="s">
        <v>42</v>
      </c>
      <c r="G6604">
        <v>-420.0412</v>
      </c>
      <c r="H6604" s="1">
        <v>-1.6768099999999901E-6</v>
      </c>
      <c r="I6604">
        <v>63.472239999999999</v>
      </c>
      <c r="J6604">
        <v>-420.98070000000001</v>
      </c>
      <c r="K6604">
        <v>1.11944</v>
      </c>
      <c r="L6604">
        <v>109.26439999999999</v>
      </c>
      <c r="M6604">
        <v>-5.2916049999999999E-2</v>
      </c>
      <c r="N6604">
        <v>-1.7240020000000001E-3</v>
      </c>
      <c r="O6604">
        <v>-0.99859770000000003</v>
      </c>
      <c r="P6604">
        <v>-3.0790309999999999E-3</v>
      </c>
      <c r="Q6604">
        <v>-7.6000890000000002E-2</v>
      </c>
      <c r="R6604">
        <v>-0.99710330000000003</v>
      </c>
      <c r="S6604">
        <v>6.0699459999999997E-2</v>
      </c>
      <c r="T6604">
        <v>-7.311761E-2</v>
      </c>
      <c r="U6604">
        <v>-3.003342</v>
      </c>
      <c r="V6604">
        <v>-4.9713880000000002E-2</v>
      </c>
      <c r="W6604">
        <v>-7.4266659999999998E-2</v>
      </c>
      <c r="X6604">
        <v>0.99599850000000001</v>
      </c>
      <c r="Y6604">
        <v>-7.3076730000000006E-2</v>
      </c>
      <c r="Z6604">
        <v>2.2527599999999998E-2</v>
      </c>
      <c r="AA6604">
        <v>0.99707190000000001</v>
      </c>
      <c r="AB6604">
        <v>22</v>
      </c>
      <c r="AC6604">
        <v>0.93950000000000899</v>
      </c>
      <c r="AD6604">
        <v>-1.11944167681</v>
      </c>
      <c r="AE6604">
        <v>-45.792160000000003</v>
      </c>
      <c r="AF6604">
        <v>-3.35932027957461</v>
      </c>
      <c r="AG6604">
        <v>-1.11944167681</v>
      </c>
      <c r="AH6604">
        <v>45.651018494723097</v>
      </c>
      <c r="AI6604">
        <v>91.400923386972906</v>
      </c>
      <c r="AJ6604">
        <v>94.208637286362404</v>
      </c>
      <c r="AK6604">
        <v>45.7881389883241</v>
      </c>
      <c r="AL6604">
        <v>94.259087464852698</v>
      </c>
      <c r="AM6604">
        <v>92.857467726484103</v>
      </c>
      <c r="AN6604">
        <v>1.0000000093272201</v>
      </c>
    </row>
    <row r="6605" spans="1:40" x14ac:dyDescent="0.25">
      <c r="A6605" t="str">
        <f>"20190303153940323"</f>
        <v>20190303153940323</v>
      </c>
      <c r="B6605" t="str">
        <f>"1551598780315194"</f>
        <v>1551598780315194</v>
      </c>
      <c r="C6605" t="s">
        <v>40</v>
      </c>
      <c r="D6605">
        <v>4.5796400000000004</v>
      </c>
      <c r="E6605">
        <v>0.49119180000000001</v>
      </c>
      <c r="F6605" t="s">
        <v>42</v>
      </c>
      <c r="G6605">
        <v>-420.02980000000002</v>
      </c>
      <c r="H6605" s="1">
        <v>-1.954137E-7</v>
      </c>
      <c r="I6605">
        <v>60.026169999999901</v>
      </c>
      <c r="J6605">
        <v>-420.98910000000001</v>
      </c>
      <c r="K6605">
        <v>1.1194200000000001</v>
      </c>
      <c r="L6605">
        <v>109.1067</v>
      </c>
      <c r="M6605">
        <v>-5.2978009999999999E-2</v>
      </c>
      <c r="N6605">
        <v>-1.589607E-3</v>
      </c>
      <c r="O6605">
        <v>-0.99859430000000005</v>
      </c>
      <c r="P6605">
        <v>-3.4617570000000002E-3</v>
      </c>
      <c r="Q6605">
        <v>-7.5738589999999995E-2</v>
      </c>
      <c r="R6605">
        <v>-0.99712149999999999</v>
      </c>
      <c r="S6605">
        <v>5.8013919999999997E-2</v>
      </c>
      <c r="T6605">
        <v>-6.8289520000000006E-2</v>
      </c>
      <c r="U6605">
        <v>-3.0036930000000002</v>
      </c>
      <c r="V6605">
        <v>-4.9394250000000001E-2</v>
      </c>
      <c r="W6605">
        <v>-7.4138529999999994E-2</v>
      </c>
      <c r="X6605">
        <v>0.99602400000000002</v>
      </c>
      <c r="Y6605">
        <v>-7.2245980000000001E-2</v>
      </c>
      <c r="Z6605">
        <v>2.105959E-2</v>
      </c>
      <c r="AA6605">
        <v>0.99716450000000001</v>
      </c>
      <c r="AB6605">
        <v>22</v>
      </c>
      <c r="AC6605">
        <v>0.95929999999998405</v>
      </c>
      <c r="AD6605">
        <v>-1.1194201954137</v>
      </c>
      <c r="AE6605">
        <v>-49.080530000000003</v>
      </c>
      <c r="AF6605">
        <v>-3.5562959537444598</v>
      </c>
      <c r="AG6605">
        <v>-1.1194201954137</v>
      </c>
      <c r="AH6605">
        <v>48.935336833315098</v>
      </c>
      <c r="AI6605">
        <v>91.306995287335795</v>
      </c>
      <c r="AJ6605">
        <v>94.156570265098395</v>
      </c>
      <c r="AK6605">
        <v>49.077158979249504</v>
      </c>
      <c r="AL6605">
        <v>94.251725641728598</v>
      </c>
      <c r="AM6605">
        <v>92.839053535570301</v>
      </c>
      <c r="AN6605">
        <v>1.0000000610698001</v>
      </c>
    </row>
    <row r="6606" spans="1:40" x14ac:dyDescent="0.25">
      <c r="A6606" t="str">
        <f>"20190303153940342"</f>
        <v>20190303153940342</v>
      </c>
      <c r="B6606" t="str">
        <f>"1551598780334713"</f>
        <v>1551598780334713</v>
      </c>
      <c r="C6606" t="s">
        <v>40</v>
      </c>
      <c r="D6606">
        <v>4.5142509999999998</v>
      </c>
      <c r="E6606">
        <v>0.49144640000000001</v>
      </c>
      <c r="F6606" t="s">
        <v>42</v>
      </c>
      <c r="G6606">
        <v>-420.05470000000003</v>
      </c>
      <c r="H6606" s="1">
        <v>-4.2768869999999999E-6</v>
      </c>
      <c r="I6606">
        <v>59.5261</v>
      </c>
      <c r="J6606">
        <v>-420.9991</v>
      </c>
      <c r="K6606">
        <v>1.119408</v>
      </c>
      <c r="L6606">
        <v>108.9205</v>
      </c>
      <c r="M6606">
        <v>-5.3050369999999999E-2</v>
      </c>
      <c r="N6606">
        <v>-1.443324E-3</v>
      </c>
      <c r="O6606">
        <v>-0.9985908</v>
      </c>
      <c r="P6606">
        <v>-4.112035E-3</v>
      </c>
      <c r="Q6606">
        <v>-7.6073139999999997E-2</v>
      </c>
      <c r="R6606">
        <v>-0.99709369999999997</v>
      </c>
      <c r="S6606">
        <v>5.6610109999999998E-2</v>
      </c>
      <c r="T6606">
        <v>-6.7817329999999995E-2</v>
      </c>
      <c r="U6606">
        <v>-3.003708</v>
      </c>
      <c r="V6606">
        <v>-4.8814009999999998E-2</v>
      </c>
      <c r="W6606">
        <v>-7.4619759999999993E-2</v>
      </c>
      <c r="X6606">
        <v>0.99601660000000003</v>
      </c>
      <c r="Y6606">
        <v>-7.185242E-2</v>
      </c>
      <c r="Z6606">
        <v>2.104957E-2</v>
      </c>
      <c r="AA6606">
        <v>0.9971932</v>
      </c>
      <c r="AB6606">
        <v>22</v>
      </c>
      <c r="AC6606">
        <v>0.94439999999997304</v>
      </c>
      <c r="AD6606">
        <v>-1.1194122768870001</v>
      </c>
      <c r="AE6606">
        <v>-49.394399999999997</v>
      </c>
      <c r="AF6606">
        <v>-3.5616354537103301</v>
      </c>
      <c r="AG6606">
        <v>-1.1194122768870001</v>
      </c>
      <c r="AH6606">
        <v>49.249458440148103</v>
      </c>
      <c r="AI6606">
        <v>91.2986859712707</v>
      </c>
      <c r="AJ6606">
        <v>94.136330564819204</v>
      </c>
      <c r="AK6606">
        <v>49.390763180969799</v>
      </c>
      <c r="AL6606">
        <v>94.279374972055095</v>
      </c>
      <c r="AM6606">
        <v>92.805777263452995</v>
      </c>
      <c r="AN6606">
        <v>0.99999999181514798</v>
      </c>
    </row>
    <row r="6607" spans="1:40" x14ac:dyDescent="0.25">
      <c r="A6607" t="str">
        <f>"20190303153940364"</f>
        <v>20190303153940364</v>
      </c>
      <c r="B6607" t="str">
        <f>"1551598780355209"</f>
        <v>1551598780355209</v>
      </c>
      <c r="C6607" t="s">
        <v>40</v>
      </c>
      <c r="D6607">
        <v>4.5773760000000001</v>
      </c>
      <c r="E6607">
        <v>0.49146459999999997</v>
      </c>
      <c r="F6607" t="s">
        <v>42</v>
      </c>
      <c r="G6607">
        <v>-420.11160000000001</v>
      </c>
      <c r="H6607" s="1">
        <v>-3.7962799999999998E-6</v>
      </c>
      <c r="I6607">
        <v>58.36909</v>
      </c>
      <c r="J6607">
        <v>-421.01150000000001</v>
      </c>
      <c r="K6607">
        <v>1.1193949999999999</v>
      </c>
      <c r="L6607">
        <v>108.6871</v>
      </c>
      <c r="M6607">
        <v>-5.3135450000000001E-2</v>
      </c>
      <c r="N6607">
        <v>-1.283064E-3</v>
      </c>
      <c r="O6607">
        <v>-0.99858670000000005</v>
      </c>
      <c r="P6607">
        <v>-4.8356010000000001E-3</v>
      </c>
      <c r="Q6607">
        <v>-7.6779829999999993E-2</v>
      </c>
      <c r="R6607">
        <v>-0.9970367</v>
      </c>
      <c r="S6607">
        <v>5.2734379999999997E-2</v>
      </c>
      <c r="T6607">
        <v>-6.6517950000000006E-2</v>
      </c>
      <c r="U6607">
        <v>-3.003876</v>
      </c>
      <c r="V6607">
        <v>-4.8171110000000003E-2</v>
      </c>
      <c r="W6607">
        <v>-7.548784E-2</v>
      </c>
      <c r="X6607">
        <v>0.99598249999999999</v>
      </c>
      <c r="Y6607">
        <v>-7.0650359999999995E-2</v>
      </c>
      <c r="Z6607">
        <v>2.0778970000000001E-2</v>
      </c>
      <c r="AA6607">
        <v>0.99728470000000002</v>
      </c>
      <c r="AB6607">
        <v>22</v>
      </c>
      <c r="AC6607">
        <v>0.89990000000000203</v>
      </c>
      <c r="AD6607">
        <v>-1.1193987962799901</v>
      </c>
      <c r="AE6607">
        <v>-50.318010000000001</v>
      </c>
      <c r="AF6607">
        <v>-3.5705339527460298</v>
      </c>
      <c r="AG6607">
        <v>-1.1193987962799901</v>
      </c>
      <c r="AH6607">
        <v>50.174286132865703</v>
      </c>
      <c r="AI6607">
        <v>91.274845935637003</v>
      </c>
      <c r="AJ6607">
        <v>94.070456284154403</v>
      </c>
      <c r="AK6607">
        <v>50.313623953314099</v>
      </c>
      <c r="AL6607">
        <v>94.329252918477195</v>
      </c>
      <c r="AM6607">
        <v>92.768976598826796</v>
      </c>
      <c r="AN6607">
        <v>1.00000000506637</v>
      </c>
    </row>
    <row r="6608" spans="1:40" x14ac:dyDescent="0.25">
      <c r="A6608" t="str">
        <f>"20190303153940386"</f>
        <v>20190303153940386</v>
      </c>
      <c r="B6608" t="str">
        <f>"1551598780374729"</f>
        <v>1551598780374729</v>
      </c>
      <c r="C6608" t="s">
        <v>40</v>
      </c>
      <c r="D6608">
        <v>4.5576509999999999</v>
      </c>
      <c r="E6608">
        <v>0.4915542</v>
      </c>
      <c r="F6608" t="s">
        <v>42</v>
      </c>
      <c r="G6608">
        <v>-420.20209999999997</v>
      </c>
      <c r="H6608" s="1">
        <v>-5.5274729999999997E-7</v>
      </c>
      <c r="I6608">
        <v>60.752200000000002</v>
      </c>
      <c r="J6608">
        <v>-421.02319999999997</v>
      </c>
      <c r="K6608">
        <v>1.1193919999999999</v>
      </c>
      <c r="L6608">
        <v>108.4699</v>
      </c>
      <c r="M6608">
        <v>-5.3205210000000003E-2</v>
      </c>
      <c r="N6608">
        <v>-1.1618189999999999E-3</v>
      </c>
      <c r="O6608">
        <v>-0.99858309999999995</v>
      </c>
      <c r="P6608">
        <v>-4.8704809999999899E-3</v>
      </c>
      <c r="Q6608">
        <v>-7.7088480000000001E-2</v>
      </c>
      <c r="R6608">
        <v>-0.99701269999999997</v>
      </c>
      <c r="S6608">
        <v>5.0720210000000002E-2</v>
      </c>
      <c r="T6608">
        <v>-7.0144890000000001E-2</v>
      </c>
      <c r="U6608">
        <v>-3.0037539999999998</v>
      </c>
      <c r="V6608">
        <v>-4.8202759999999997E-2</v>
      </c>
      <c r="W6608">
        <v>-7.5918890000000003E-2</v>
      </c>
      <c r="X6608">
        <v>0.99594819999999995</v>
      </c>
      <c r="Y6608">
        <v>-7.0051799999999997E-2</v>
      </c>
      <c r="Z6608">
        <v>2.210407E-2</v>
      </c>
      <c r="AA6608">
        <v>0.99729840000000003</v>
      </c>
      <c r="AB6608">
        <v>23</v>
      </c>
      <c r="AC6608">
        <v>0.82110000000000105</v>
      </c>
      <c r="AD6608">
        <v>-1.1193925527473001</v>
      </c>
      <c r="AE6608">
        <v>-47.717700000000001</v>
      </c>
      <c r="AF6608">
        <v>-3.3569217146661501</v>
      </c>
      <c r="AG6608">
        <v>-1.1193925527473001</v>
      </c>
      <c r="AH6608">
        <v>47.580249707964903</v>
      </c>
      <c r="AI6608">
        <v>91.344374930264195</v>
      </c>
      <c r="AJ6608">
        <v>94.035692633697195</v>
      </c>
      <c r="AK6608">
        <v>47.711656074358203</v>
      </c>
      <c r="AL6608">
        <v>94.354021360082896</v>
      </c>
      <c r="AM6608">
        <v>92.770888349232607</v>
      </c>
      <c r="AN6608">
        <v>1.0000000005068399</v>
      </c>
    </row>
    <row r="6609" spans="1:40" x14ac:dyDescent="0.25">
      <c r="A6609" t="str">
        <f>"20190303153940399"</f>
        <v>20190303153940399</v>
      </c>
      <c r="B6609" t="str">
        <f>"1551598780395225"</f>
        <v>1551598780395225</v>
      </c>
      <c r="C6609" t="s">
        <v>40</v>
      </c>
      <c r="D6609">
        <v>4.525576</v>
      </c>
      <c r="E6609">
        <v>0.49190869999999998</v>
      </c>
      <c r="F6609" t="s">
        <v>42</v>
      </c>
      <c r="G6609">
        <v>-420.23110000000003</v>
      </c>
      <c r="H6609" s="1">
        <v>-6.2455350000000001E-7</v>
      </c>
      <c r="I6609">
        <v>60.901600000000002</v>
      </c>
      <c r="J6609">
        <v>-421.03050000000002</v>
      </c>
      <c r="K6609">
        <v>1.1193959999999901</v>
      </c>
      <c r="L6609">
        <v>108.3336</v>
      </c>
      <c r="M6609">
        <v>-5.3244199999999998E-2</v>
      </c>
      <c r="N6609">
        <v>-1.1024170000000001E-3</v>
      </c>
      <c r="O6609">
        <v>-0.99858119999999995</v>
      </c>
      <c r="P6609">
        <v>-4.7692790000000004E-3</v>
      </c>
      <c r="Q6609">
        <v>-7.7129870000000003E-2</v>
      </c>
      <c r="R6609">
        <v>-0.9970099</v>
      </c>
      <c r="S6609">
        <v>5.0018310000000003E-2</v>
      </c>
      <c r="T6609">
        <v>-7.0685629999999999E-2</v>
      </c>
      <c r="U6609">
        <v>-3.0037690000000001</v>
      </c>
      <c r="V6609">
        <v>-4.8340580000000001E-2</v>
      </c>
      <c r="W6609">
        <v>-7.6020459999999998E-2</v>
      </c>
      <c r="X6609">
        <v>0.99593379999999998</v>
      </c>
      <c r="Y6609">
        <v>-6.9857630000000004E-2</v>
      </c>
      <c r="Z6609">
        <v>2.234276E-2</v>
      </c>
      <c r="AA6609">
        <v>0.99730669999999999</v>
      </c>
      <c r="AB6609">
        <v>23</v>
      </c>
      <c r="AC6609">
        <v>0.79939999999999101</v>
      </c>
      <c r="AD6609">
        <v>-1.1193966245535001</v>
      </c>
      <c r="AE6609">
        <v>-47.431999999999903</v>
      </c>
      <c r="AF6609">
        <v>-3.32189613029175</v>
      </c>
      <c r="AG6609">
        <v>-1.1193966245535001</v>
      </c>
      <c r="AH6609">
        <v>47.295820792175199</v>
      </c>
      <c r="AI6609">
        <v>91.352491645002999</v>
      </c>
      <c r="AJ6609">
        <v>94.017660970218202</v>
      </c>
      <c r="AK6609">
        <v>47.425549096547797</v>
      </c>
      <c r="AL6609">
        <v>94.359857638760801</v>
      </c>
      <c r="AM6609">
        <v>92.778838511961894</v>
      </c>
      <c r="AN6609">
        <v>1.00000002799789</v>
      </c>
    </row>
    <row r="6610" spans="1:40" x14ac:dyDescent="0.25">
      <c r="A6610" t="str">
        <f>"20190303153940419"</f>
        <v>20190303153940419</v>
      </c>
      <c r="B6610" t="str">
        <f>"1551598780414745"</f>
        <v>1551598780414745</v>
      </c>
      <c r="C6610" t="s">
        <v>40</v>
      </c>
      <c r="D6610">
        <v>4.5106190000000002</v>
      </c>
      <c r="E6610">
        <v>0.49223430000000001</v>
      </c>
      <c r="F6610" t="s">
        <v>42</v>
      </c>
      <c r="G6610">
        <v>-420.23989999999998</v>
      </c>
      <c r="H6610" s="1">
        <v>-3.9866120000000004E-6</v>
      </c>
      <c r="I6610">
        <v>58.733199999999997</v>
      </c>
      <c r="J6610">
        <v>-421.04160000000002</v>
      </c>
      <c r="K6610">
        <v>1.1193979999999999</v>
      </c>
      <c r="L6610">
        <v>108.1271</v>
      </c>
      <c r="M6610">
        <v>-5.3297770000000001E-2</v>
      </c>
      <c r="N6610">
        <v>-1.0328679999999999E-3</v>
      </c>
      <c r="O6610">
        <v>-0.99857810000000002</v>
      </c>
      <c r="P6610">
        <v>-3.9700109999999999E-3</v>
      </c>
      <c r="Q6610">
        <v>-7.5880890000000006E-2</v>
      </c>
      <c r="R6610">
        <v>-0.99710869999999996</v>
      </c>
      <c r="S6610">
        <v>4.788208E-2</v>
      </c>
      <c r="T6610">
        <v>-6.7794560000000004E-2</v>
      </c>
      <c r="U6610">
        <v>-3.0039669999999998</v>
      </c>
      <c r="V6610">
        <v>-4.9195040000000002E-2</v>
      </c>
      <c r="W6610">
        <v>-7.4842030000000004E-2</v>
      </c>
      <c r="X6610">
        <v>0.99598120000000001</v>
      </c>
      <c r="Y6610">
        <v>-6.9201449999999998E-2</v>
      </c>
      <c r="Z6610">
        <v>2.1452969999999998E-2</v>
      </c>
      <c r="AA6610">
        <v>0.99737200000000004</v>
      </c>
      <c r="AB6610">
        <v>23</v>
      </c>
      <c r="AC6610">
        <v>0.80170000000003905</v>
      </c>
      <c r="AD6610">
        <v>-1.119401986612</v>
      </c>
      <c r="AE6610">
        <v>-49.393900000000002</v>
      </c>
      <c r="AF6610">
        <v>-3.4313848199825201</v>
      </c>
      <c r="AG6610">
        <v>-1.119401986612</v>
      </c>
      <c r="AH6610">
        <v>49.2556746536997</v>
      </c>
      <c r="AI6610">
        <v>91.298753517693001</v>
      </c>
      <c r="AJ6610">
        <v>93.985058394483801</v>
      </c>
      <c r="AK6610">
        <v>49.387740869385397</v>
      </c>
      <c r="AL6610">
        <v>94.292145711373195</v>
      </c>
      <c r="AM6610">
        <v>92.827743394132298</v>
      </c>
      <c r="AN6610">
        <v>1.0000000160842799</v>
      </c>
    </row>
    <row r="6611" spans="1:40" x14ac:dyDescent="0.25">
      <c r="A6611" t="str">
        <f>"20190303153940433"</f>
        <v>20190303153940433</v>
      </c>
      <c r="B6611" t="str">
        <f>"1551598780425481"</f>
        <v>1551598780425481</v>
      </c>
      <c r="C6611" t="s">
        <v>40</v>
      </c>
      <c r="D6611">
        <v>4.5034380000000001</v>
      </c>
      <c r="E6611">
        <v>0.4923785</v>
      </c>
      <c r="F6611" t="s">
        <v>42</v>
      </c>
      <c r="G6611">
        <v>-420.17590000000001</v>
      </c>
      <c r="H6611" s="1">
        <v>-1.7409219999999999E-6</v>
      </c>
      <c r="I6611">
        <v>53.538110000000003</v>
      </c>
      <c r="J6611">
        <v>-421.04939999999999</v>
      </c>
      <c r="K6611">
        <v>1.119405</v>
      </c>
      <c r="L6611">
        <v>107.9819</v>
      </c>
      <c r="M6611">
        <v>-5.3331789999999997E-2</v>
      </c>
      <c r="N6611">
        <v>-9.9869059999999998E-4</v>
      </c>
      <c r="O6611">
        <v>-0.99857640000000003</v>
      </c>
      <c r="P6611">
        <v>-2.975433E-3</v>
      </c>
      <c r="Q6611">
        <v>-7.5109250000000002E-2</v>
      </c>
      <c r="R6611">
        <v>-0.99717100000000003</v>
      </c>
      <c r="S6611">
        <v>4.7637939999999997E-2</v>
      </c>
      <c r="T6611">
        <v>-6.1603669999999999E-2</v>
      </c>
      <c r="U6611">
        <v>-3.004181</v>
      </c>
      <c r="V6611">
        <v>-5.0223610000000002E-2</v>
      </c>
      <c r="W6611">
        <v>-7.410514E-2</v>
      </c>
      <c r="X6611">
        <v>0.99598500000000001</v>
      </c>
      <c r="Y6611">
        <v>-6.9154010000000002E-2</v>
      </c>
      <c r="Z6611">
        <v>1.9433160000000001E-2</v>
      </c>
      <c r="AA6611">
        <v>0.99741670000000004</v>
      </c>
      <c r="AB6611">
        <v>23</v>
      </c>
      <c r="AC6611">
        <v>0.87349999999997796</v>
      </c>
      <c r="AD6611">
        <v>-1.1194067409220001</v>
      </c>
      <c r="AE6611">
        <v>-54.44379</v>
      </c>
      <c r="AF6611">
        <v>-3.7742478112225699</v>
      </c>
      <c r="AG6611">
        <v>-1.1194067409220001</v>
      </c>
      <c r="AH6611">
        <v>54.296774952643403</v>
      </c>
      <c r="AI6611">
        <v>91.178225987630398</v>
      </c>
      <c r="AJ6611">
        <v>93.976316899775298</v>
      </c>
      <c r="AK6611">
        <v>54.439303708351602</v>
      </c>
      <c r="AL6611">
        <v>94.249807299409895</v>
      </c>
      <c r="AM6611">
        <v>92.8867558806311</v>
      </c>
      <c r="AN6611">
        <v>1.0000000515004199</v>
      </c>
    </row>
    <row r="6612" spans="1:40" x14ac:dyDescent="0.25">
      <c r="A6612" t="str">
        <f>"20190303153940445"</f>
        <v>20190303153940445</v>
      </c>
      <c r="B6612" t="str">
        <f>"1551598780435241"</f>
        <v>1551598780435241</v>
      </c>
      <c r="C6612" t="s">
        <v>40</v>
      </c>
      <c r="D6612">
        <v>4.5249180000000004</v>
      </c>
      <c r="E6612">
        <v>0.49251400000000001</v>
      </c>
      <c r="F6612" t="s">
        <v>42</v>
      </c>
      <c r="G6612">
        <v>-420.07929999999999</v>
      </c>
      <c r="H6612" s="1">
        <v>-1.943286E-7</v>
      </c>
      <c r="I6612">
        <v>49.992939999999997</v>
      </c>
      <c r="J6612">
        <v>-421.05689999999998</v>
      </c>
      <c r="K6612">
        <v>1.1194139999999999</v>
      </c>
      <c r="L6612">
        <v>107.8415</v>
      </c>
      <c r="M6612">
        <v>-5.3362079999999999E-2</v>
      </c>
      <c r="N6612">
        <v>-9.7827310000000002E-4</v>
      </c>
      <c r="O6612">
        <v>-0.99857470000000004</v>
      </c>
      <c r="P6612">
        <v>-1.8189359999999999E-3</v>
      </c>
      <c r="Q6612">
        <v>-7.4156250000000007E-2</v>
      </c>
      <c r="R6612">
        <v>-0.99724480000000004</v>
      </c>
      <c r="S6612">
        <v>5.026245E-2</v>
      </c>
      <c r="T6612">
        <v>-5.7994370000000003E-2</v>
      </c>
      <c r="U6612">
        <v>-3.0043030000000002</v>
      </c>
      <c r="V6612">
        <v>-5.1411579999999998E-2</v>
      </c>
      <c r="W6612">
        <v>-7.317303E-2</v>
      </c>
      <c r="X6612">
        <v>0.99599329999999997</v>
      </c>
      <c r="Y6612">
        <v>-7.0055129999999993E-2</v>
      </c>
      <c r="Z6612">
        <v>1.825533E-2</v>
      </c>
      <c r="AA6612">
        <v>0.99737609999999999</v>
      </c>
      <c r="AB6612">
        <v>23</v>
      </c>
      <c r="AC6612">
        <v>0.97759999999999503</v>
      </c>
      <c r="AD6612">
        <v>-1.1194141943286</v>
      </c>
      <c r="AE6612">
        <v>-57.8485599999999</v>
      </c>
      <c r="AF6612">
        <v>-4.0616078163531304</v>
      </c>
      <c r="AG6612">
        <v>-1.1194141943286</v>
      </c>
      <c r="AH6612">
        <v>57.692375302669603</v>
      </c>
      <c r="AI6612">
        <v>91.108835714533498</v>
      </c>
      <c r="AJ6612">
        <v>94.027042698334299</v>
      </c>
      <c r="AK6612">
        <v>57.846001713656896</v>
      </c>
      <c r="AL6612">
        <v>94.196255950514697</v>
      </c>
      <c r="AM6612">
        <v>92.954893897249804</v>
      </c>
      <c r="AN6612">
        <v>1.0000000482611799</v>
      </c>
    </row>
    <row r="6613" spans="1:40" x14ac:dyDescent="0.25">
      <c r="A6613" t="str">
        <f>"20190303153940458"</f>
        <v>20190303153940458</v>
      </c>
      <c r="B6613" t="str">
        <f>"1551598780454761"</f>
        <v>1551598780454761</v>
      </c>
      <c r="C6613" t="s">
        <v>40</v>
      </c>
      <c r="D6613">
        <v>4.5156029999999996</v>
      </c>
      <c r="E6613">
        <v>0.49272630000000001</v>
      </c>
      <c r="F6613" t="s">
        <v>42</v>
      </c>
      <c r="G6613">
        <v>-419.97250000000003</v>
      </c>
      <c r="H6613" s="1">
        <v>-2.4898930000000001E-6</v>
      </c>
      <c r="I6613">
        <v>45.410139999999998</v>
      </c>
      <c r="J6613">
        <v>-421.06380000000001</v>
      </c>
      <c r="K6613">
        <v>1.1194170000000001</v>
      </c>
      <c r="L6613">
        <v>107.7127</v>
      </c>
      <c r="M6613">
        <v>-5.3388280000000003E-2</v>
      </c>
      <c r="N6613">
        <v>-9.6942630000000001E-4</v>
      </c>
      <c r="O6613">
        <v>-0.9985735</v>
      </c>
      <c r="P6613">
        <v>-5.1620240000000003E-4</v>
      </c>
      <c r="Q6613">
        <v>-7.3777759999999998E-2</v>
      </c>
      <c r="R6613">
        <v>-0.99727469999999996</v>
      </c>
      <c r="S6613">
        <v>5.2185059999999998E-2</v>
      </c>
      <c r="T6613">
        <v>-5.3869609999999998E-2</v>
      </c>
      <c r="U6613">
        <v>-3.0043790000000001</v>
      </c>
      <c r="V6613">
        <v>-5.2739429999999997E-2</v>
      </c>
      <c r="W6613">
        <v>-7.2803770000000004E-2</v>
      </c>
      <c r="X6613">
        <v>0.99595089999999997</v>
      </c>
      <c r="Y6613">
        <v>-7.0719379999999998E-2</v>
      </c>
      <c r="Z6613">
        <v>1.6895609999999998E-2</v>
      </c>
      <c r="AA6613">
        <v>0.99735309999999999</v>
      </c>
      <c r="AB6613">
        <v>23</v>
      </c>
      <c r="AC6613">
        <v>1.09129999999998</v>
      </c>
      <c r="AD6613">
        <v>-1.1194194898929899</v>
      </c>
      <c r="AE6613">
        <v>-62.3025599999999</v>
      </c>
      <c r="AF6613">
        <v>-4.4145465173160101</v>
      </c>
      <c r="AG6613">
        <v>-1.1194194898929899</v>
      </c>
      <c r="AH6613">
        <v>62.135390157479698</v>
      </c>
      <c r="AI6613">
        <v>91.029523784883096</v>
      </c>
      <c r="AJ6613">
        <v>94.063877078231499</v>
      </c>
      <c r="AK6613">
        <v>62.302070840142399</v>
      </c>
      <c r="AL6613">
        <v>94.175042466429204</v>
      </c>
      <c r="AM6613">
        <v>93.031200693670101</v>
      </c>
      <c r="AN6613">
        <v>1.00000001580687</v>
      </c>
    </row>
    <row r="6614" spans="1:40" x14ac:dyDescent="0.25">
      <c r="A6614" t="str">
        <f>"20190303153940472"</f>
        <v>20190303153940472</v>
      </c>
      <c r="B6614" t="str">
        <f>"1551598780465497"</f>
        <v>1551598780465497</v>
      </c>
      <c r="C6614" t="s">
        <v>40</v>
      </c>
      <c r="D6614">
        <v>4.5162690000000003</v>
      </c>
      <c r="E6614">
        <v>0.49281390000000003</v>
      </c>
      <c r="F6614" t="s">
        <v>42</v>
      </c>
      <c r="G6614">
        <v>-419.87009999999998</v>
      </c>
      <c r="H6614" s="1">
        <v>-1.046643E-6</v>
      </c>
      <c r="I6614">
        <v>42.018799999999999</v>
      </c>
      <c r="J6614">
        <v>-421.07170000000002</v>
      </c>
      <c r="K6614">
        <v>1.119421</v>
      </c>
      <c r="L6614">
        <v>107.5658</v>
      </c>
      <c r="M6614">
        <v>-5.3417279999999998E-2</v>
      </c>
      <c r="N6614">
        <v>-9.6555480000000003E-4</v>
      </c>
      <c r="O6614">
        <v>-0.99857209999999996</v>
      </c>
      <c r="P6614">
        <v>4.0117149999999998E-4</v>
      </c>
      <c r="Q6614">
        <v>-7.3819709999999997E-2</v>
      </c>
      <c r="R6614">
        <v>-0.99727189999999999</v>
      </c>
      <c r="S6614">
        <v>5.4595949999999997E-2</v>
      </c>
      <c r="T6614">
        <v>-5.119514E-2</v>
      </c>
      <c r="U6614">
        <v>-3.0044249999999999</v>
      </c>
      <c r="V6614">
        <v>-5.3683340000000003E-2</v>
      </c>
      <c r="W6614">
        <v>-7.2850120000000004E-2</v>
      </c>
      <c r="X6614">
        <v>0.99589709999999998</v>
      </c>
      <c r="Y6614">
        <v>-7.1548420000000001E-2</v>
      </c>
      <c r="Z6614">
        <v>1.601182E-2</v>
      </c>
      <c r="AA6614">
        <v>0.99730859999999999</v>
      </c>
      <c r="AB6614">
        <v>24</v>
      </c>
      <c r="AC6614">
        <v>1.20160000000004</v>
      </c>
      <c r="AD6614">
        <v>-1.119422046643</v>
      </c>
      <c r="AE6614">
        <v>-65.546999999999997</v>
      </c>
      <c r="AF6614">
        <v>-4.69985720642571</v>
      </c>
      <c r="AG6614">
        <v>-1.119422046643</v>
      </c>
      <c r="AH6614">
        <v>65.370171164097897</v>
      </c>
      <c r="AI6614">
        <v>90.978532121072604</v>
      </c>
      <c r="AJ6614">
        <v>94.112264577322094</v>
      </c>
      <c r="AK6614">
        <v>65.548463303900206</v>
      </c>
      <c r="AL6614">
        <v>94.177705106102295</v>
      </c>
      <c r="AM6614">
        <v>93.085514411588804</v>
      </c>
      <c r="AN6614">
        <v>1.00000003738298</v>
      </c>
    </row>
    <row r="6615" spans="1:40" x14ac:dyDescent="0.25">
      <c r="A6615" t="str">
        <f>"20190303153940485"</f>
        <v>20190303153940485</v>
      </c>
      <c r="B6615" t="str">
        <f>"1551598780475257"</f>
        <v>1551598780475257</v>
      </c>
      <c r="C6615" t="s">
        <v>40</v>
      </c>
      <c r="D6615">
        <v>4.5157910000000001</v>
      </c>
      <c r="E6615">
        <v>0.49290060000000002</v>
      </c>
      <c r="F6615" t="s">
        <v>42</v>
      </c>
      <c r="G6615">
        <v>-419.81700000000001</v>
      </c>
      <c r="H6615" s="1">
        <v>-7.1592519999999898E-7</v>
      </c>
      <c r="I6615">
        <v>41.225940000000001</v>
      </c>
      <c r="J6615">
        <v>-421.07940000000002</v>
      </c>
      <c r="K6615">
        <v>1.1194189999999999</v>
      </c>
      <c r="L6615">
        <v>107.4229</v>
      </c>
      <c r="M6615">
        <v>-5.3444449999999998E-2</v>
      </c>
      <c r="N6615">
        <v>-9.7070930000000004E-4</v>
      </c>
      <c r="O6615">
        <v>-0.99857039999999997</v>
      </c>
      <c r="P6615">
        <v>2.195762E-3</v>
      </c>
      <c r="Q6615">
        <v>-7.5256429999999999E-2</v>
      </c>
      <c r="R6615">
        <v>-0.9971622</v>
      </c>
      <c r="S6615">
        <v>5.6823730000000003E-2</v>
      </c>
      <c r="T6615">
        <v>-5.069709E-2</v>
      </c>
      <c r="U6615">
        <v>-3.0044400000000002</v>
      </c>
      <c r="V6615">
        <v>-5.549569E-2</v>
      </c>
      <c r="W6615">
        <v>-7.4282150000000005E-2</v>
      </c>
      <c r="X6615">
        <v>0.99569189999999996</v>
      </c>
      <c r="Y6615">
        <v>-7.2314749999999997E-2</v>
      </c>
      <c r="Z6615">
        <v>1.5840819999999999E-2</v>
      </c>
      <c r="AA6615">
        <v>0.99725600000000003</v>
      </c>
      <c r="AB6615">
        <v>24</v>
      </c>
      <c r="AC6615">
        <v>1.2624000000000699</v>
      </c>
      <c r="AD6615">
        <v>-1.1194197159252</v>
      </c>
      <c r="AE6615">
        <v>-66.196959999999905</v>
      </c>
      <c r="AF6615">
        <v>-4.79708613366736</v>
      </c>
      <c r="AG6615">
        <v>-1.1194197159252</v>
      </c>
      <c r="AH6615">
        <v>66.016013245634298</v>
      </c>
      <c r="AI6615">
        <v>90.9689052507875</v>
      </c>
      <c r="AJ6615">
        <v>94.156121171604497</v>
      </c>
      <c r="AK6615">
        <v>66.199540336183503</v>
      </c>
      <c r="AL6615">
        <v>94.259977540360694</v>
      </c>
      <c r="AM6615">
        <v>93.190125796555506</v>
      </c>
      <c r="AN6615">
        <v>0.99999998457140404</v>
      </c>
    </row>
    <row r="6616" spans="1:40" x14ac:dyDescent="0.25">
      <c r="A6616" t="str">
        <f>"20190303153940500"</f>
        <v>20190303153940500</v>
      </c>
      <c r="B6616" t="str">
        <f>"1551598780494777"</f>
        <v>1551598780494777</v>
      </c>
      <c r="C6616" t="s">
        <v>40</v>
      </c>
      <c r="D6616">
        <v>4.5146920000000001</v>
      </c>
      <c r="E6616">
        <v>0.4930947</v>
      </c>
      <c r="F6616" t="s">
        <v>42</v>
      </c>
      <c r="G6616">
        <v>-419.81119999999999</v>
      </c>
      <c r="H6616" s="1">
        <v>-2.5090329999999999E-6</v>
      </c>
      <c r="I6616">
        <v>45.40334</v>
      </c>
      <c r="J6616">
        <v>-421.08789999999999</v>
      </c>
      <c r="K6616">
        <v>1.1194189999999999</v>
      </c>
      <c r="L6616">
        <v>107.2658</v>
      </c>
      <c r="M6616">
        <v>-5.3474069999999999E-2</v>
      </c>
      <c r="N6616">
        <v>-9.8298219999999993E-4</v>
      </c>
      <c r="O6616">
        <v>-0.99856900000000004</v>
      </c>
      <c r="P6616">
        <v>2.6324009999999999E-3</v>
      </c>
      <c r="Q6616">
        <v>-7.6558600000000004E-2</v>
      </c>
      <c r="R6616">
        <v>-0.997062</v>
      </c>
      <c r="S6616">
        <v>6.1431880000000001E-2</v>
      </c>
      <c r="T6616">
        <v>-5.4226160000000002E-2</v>
      </c>
      <c r="U6616">
        <v>-3.0043030000000002</v>
      </c>
      <c r="V6616">
        <v>-5.5955999999999902E-2</v>
      </c>
      <c r="W6616">
        <v>-7.557258E-2</v>
      </c>
      <c r="X6616">
        <v>0.99556909999999998</v>
      </c>
      <c r="Y6616">
        <v>-7.38737E-2</v>
      </c>
      <c r="Z6616">
        <v>1.699792E-2</v>
      </c>
      <c r="AA6616">
        <v>0.99712270000000003</v>
      </c>
      <c r="AB6616">
        <v>24</v>
      </c>
      <c r="AC6616">
        <v>1.2766999999999999</v>
      </c>
      <c r="AD6616">
        <v>-1.119421509033</v>
      </c>
      <c r="AE6616">
        <v>-61.862459999999999</v>
      </c>
      <c r="AF6616">
        <v>-4.5814121465748396</v>
      </c>
      <c r="AG6616">
        <v>-1.119421509033</v>
      </c>
      <c r="AH6616">
        <v>61.685489409967701</v>
      </c>
      <c r="AI6616">
        <v>91.036791297100905</v>
      </c>
      <c r="AJ6616">
        <v>94.2475876030108</v>
      </c>
      <c r="AK6616">
        <v>61.8655158025771</v>
      </c>
      <c r="AL6616">
        <v>94.334121829332105</v>
      </c>
      <c r="AM6616">
        <v>93.216926934675399</v>
      </c>
      <c r="AN6616">
        <v>1.00000006082933</v>
      </c>
    </row>
    <row r="6617" spans="1:40" x14ac:dyDescent="0.25">
      <c r="A6617" t="str">
        <f>"20190303153940514"</f>
        <v>20190303153940514</v>
      </c>
      <c r="B6617" t="str">
        <f>"1551598780505513"</f>
        <v>1551598780505513</v>
      </c>
      <c r="C6617" t="s">
        <v>40</v>
      </c>
      <c r="D6617">
        <v>4.5399620000000001</v>
      </c>
      <c r="E6617">
        <v>0.4931796</v>
      </c>
      <c r="F6617" t="s">
        <v>42</v>
      </c>
      <c r="G6617">
        <v>-419.87740000000002</v>
      </c>
      <c r="H6617" s="1">
        <v>-3.615157E-6</v>
      </c>
      <c r="I6617">
        <v>48.00911</v>
      </c>
      <c r="J6617">
        <v>-421.09550000000002</v>
      </c>
      <c r="K6617">
        <v>1.119415</v>
      </c>
      <c r="L6617">
        <v>107.123</v>
      </c>
      <c r="M6617">
        <v>-5.3500789999999999E-2</v>
      </c>
      <c r="N6617">
        <v>-9.980671999999999E-4</v>
      </c>
      <c r="O6617">
        <v>-0.99856730000000005</v>
      </c>
      <c r="P6617">
        <v>2.6180499999999998E-3</v>
      </c>
      <c r="Q6617">
        <v>-7.7396430000000002E-2</v>
      </c>
      <c r="R6617">
        <v>-0.99699740000000003</v>
      </c>
      <c r="S6617">
        <v>6.1370849999999998E-2</v>
      </c>
      <c r="T6617">
        <v>-5.6755069999999998E-2</v>
      </c>
      <c r="U6617">
        <v>-3.0043329999999999</v>
      </c>
      <c r="V6617">
        <v>-5.5963880000000001E-2</v>
      </c>
      <c r="W6617">
        <v>-7.6395759999999993E-2</v>
      </c>
      <c r="X6617">
        <v>0.9955058</v>
      </c>
      <c r="Y6617">
        <v>-7.3879600000000004E-2</v>
      </c>
      <c r="Z6617">
        <v>1.7820900000000001E-2</v>
      </c>
      <c r="AA6617">
        <v>0.99710790000000005</v>
      </c>
      <c r="AB6617">
        <v>24</v>
      </c>
      <c r="AC6617">
        <v>1.21809999999999</v>
      </c>
      <c r="AD6617">
        <v>-1.119418615157</v>
      </c>
      <c r="AE6617">
        <v>-59.113889999999898</v>
      </c>
      <c r="AF6617">
        <v>-4.37742779693572</v>
      </c>
      <c r="AG6617">
        <v>-1.119418615157</v>
      </c>
      <c r="AH6617">
        <v>58.942930324224598</v>
      </c>
      <c r="AI6617">
        <v>91.085018538500705</v>
      </c>
      <c r="AJ6617">
        <v>94.247304242178501</v>
      </c>
      <c r="AK6617">
        <v>59.115852420139703</v>
      </c>
      <c r="AL6617">
        <v>94.381423437556904</v>
      </c>
      <c r="AM6617">
        <v>93.217583156214403</v>
      </c>
      <c r="AN6617">
        <v>1.0000000329221299</v>
      </c>
    </row>
    <row r="6618" spans="1:40" x14ac:dyDescent="0.25">
      <c r="A6618" t="str">
        <f>"20190303153940527"</f>
        <v>20190303153940527</v>
      </c>
      <c r="B6618" t="str">
        <f>"1551598780515273"</f>
        <v>1551598780515273</v>
      </c>
      <c r="C6618" t="s">
        <v>40</v>
      </c>
      <c r="D6618">
        <v>4.5347809999999997</v>
      </c>
      <c r="E6618">
        <v>0.4933207</v>
      </c>
      <c r="F6618" t="s">
        <v>42</v>
      </c>
      <c r="G6618">
        <v>-419.93650000000002</v>
      </c>
      <c r="H6618" s="1">
        <v>-2.6917950000000001E-8</v>
      </c>
      <c r="I6618">
        <v>49.669249999999998</v>
      </c>
      <c r="J6618">
        <v>-421.10379999999998</v>
      </c>
      <c r="K6618">
        <v>1.119415</v>
      </c>
      <c r="L6618">
        <v>106.9706</v>
      </c>
      <c r="M6618">
        <v>-5.3528970000000002E-2</v>
      </c>
      <c r="N6618">
        <v>-1.018506E-3</v>
      </c>
      <c r="O6618">
        <v>-0.99856590000000001</v>
      </c>
      <c r="P6618">
        <v>2.2945270000000002E-3</v>
      </c>
      <c r="Q6618">
        <v>-7.8700399999999907E-2</v>
      </c>
      <c r="R6618">
        <v>-0.9968958</v>
      </c>
      <c r="S6618">
        <v>6.0607910000000001E-2</v>
      </c>
      <c r="T6618">
        <v>-5.8535700000000003E-2</v>
      </c>
      <c r="U6618">
        <v>-3.0043329999999999</v>
      </c>
      <c r="V6618">
        <v>-5.5663549999999999E-2</v>
      </c>
      <c r="W6618">
        <v>-7.7679780000000004E-2</v>
      </c>
      <c r="X6618">
        <v>0.99542330000000001</v>
      </c>
      <c r="Y6618">
        <v>-7.3654399999999995E-2</v>
      </c>
      <c r="Z6618">
        <v>1.8390859999999998E-2</v>
      </c>
      <c r="AA6618">
        <v>0.99711419999999995</v>
      </c>
      <c r="AB6618">
        <v>24</v>
      </c>
      <c r="AC6618">
        <v>1.16729999999995</v>
      </c>
      <c r="AD6618">
        <v>-1.1194150269179499</v>
      </c>
      <c r="AE6618">
        <v>-57.301349999999999</v>
      </c>
      <c r="AF6618">
        <v>-4.2312957410465097</v>
      </c>
      <c r="AG6618">
        <v>-1.1194150269179499</v>
      </c>
      <c r="AH6618">
        <v>57.134916564378699</v>
      </c>
      <c r="AI6618">
        <v>91.119358500321198</v>
      </c>
      <c r="AJ6618">
        <v>94.235476942355007</v>
      </c>
      <c r="AK6618">
        <v>57.302317967680899</v>
      </c>
      <c r="AL6618">
        <v>94.455211520265806</v>
      </c>
      <c r="AM6618">
        <v>93.200616686488701</v>
      </c>
      <c r="AN6618">
        <v>1.00000006260116</v>
      </c>
    </row>
    <row r="6619" spans="1:40" x14ac:dyDescent="0.25">
      <c r="A6619" t="str">
        <f>"20190303153940543"</f>
        <v>20190303153940543</v>
      </c>
      <c r="B6619" t="str">
        <f>"1551598780534793"</f>
        <v>1551598780534793</v>
      </c>
      <c r="C6619" t="s">
        <v>40</v>
      </c>
      <c r="D6619">
        <v>4.5565889999999998</v>
      </c>
      <c r="E6619">
        <v>0.49355260000000001</v>
      </c>
      <c r="F6619" t="s">
        <v>42</v>
      </c>
      <c r="G6619">
        <v>-420.04770000000002</v>
      </c>
      <c r="H6619" s="1">
        <v>-1.2903449999999999E-6</v>
      </c>
      <c r="I6619">
        <v>52.567340000000002</v>
      </c>
      <c r="J6619">
        <v>-421.11279999999999</v>
      </c>
      <c r="K6619">
        <v>1.119405</v>
      </c>
      <c r="L6619">
        <v>106.8038</v>
      </c>
      <c r="M6619">
        <v>-5.3559910000000002E-2</v>
      </c>
      <c r="N6619">
        <v>-1.047199E-3</v>
      </c>
      <c r="O6619">
        <v>-0.99856420000000001</v>
      </c>
      <c r="P6619">
        <v>1.8033560000000001E-3</v>
      </c>
      <c r="Q6619">
        <v>-7.9850420000000005E-2</v>
      </c>
      <c r="R6619">
        <v>-0.99680539999999995</v>
      </c>
      <c r="S6619">
        <v>5.8319089999999997E-2</v>
      </c>
      <c r="T6619">
        <v>-6.1817650000000002E-2</v>
      </c>
      <c r="U6619">
        <v>-3.004318</v>
      </c>
      <c r="V6619">
        <v>-5.5199199999999997E-2</v>
      </c>
      <c r="W6619">
        <v>-7.8801510000000005E-2</v>
      </c>
      <c r="X6619">
        <v>0.99536089999999999</v>
      </c>
      <c r="Y6619">
        <v>-7.2925580000000004E-2</v>
      </c>
      <c r="Z6619">
        <v>1.9450760000000001E-2</v>
      </c>
      <c r="AA6619">
        <v>0.99714769999999997</v>
      </c>
      <c r="AB6619">
        <v>24</v>
      </c>
      <c r="AC6619">
        <v>1.06509999999997</v>
      </c>
      <c r="AD6619">
        <v>-1.1194062903449999</v>
      </c>
      <c r="AE6619">
        <v>-54.236460000000001</v>
      </c>
      <c r="AF6619">
        <v>-3.96678324805483</v>
      </c>
      <c r="AG6619">
        <v>-1.1194062903449999</v>
      </c>
      <c r="AH6619">
        <v>54.078536601458303</v>
      </c>
      <c r="AI6619">
        <v>91.182656217125299</v>
      </c>
      <c r="AJ6619">
        <v>94.195261795261104</v>
      </c>
      <c r="AK6619">
        <v>54.235381078546702</v>
      </c>
      <c r="AL6619">
        <v>94.519679935703195</v>
      </c>
      <c r="AM6619">
        <v>93.174170264476302</v>
      </c>
      <c r="AN6619">
        <v>0.99999997545386399</v>
      </c>
    </row>
    <row r="6620" spans="1:40" x14ac:dyDescent="0.25">
      <c r="A6620" t="str">
        <f>"20190303153940566"</f>
        <v>20190303153940566</v>
      </c>
      <c r="B6620" t="str">
        <f>"1551598780555289"</f>
        <v>1551598780555289</v>
      </c>
      <c r="C6620" t="s">
        <v>40</v>
      </c>
      <c r="D6620">
        <v>4.5648559999999998</v>
      </c>
      <c r="E6620">
        <v>0.4936644</v>
      </c>
      <c r="F6620" t="s">
        <v>42</v>
      </c>
      <c r="G6620">
        <v>-420.16059999999999</v>
      </c>
      <c r="H6620" s="1">
        <v>-2.259034E-6</v>
      </c>
      <c r="I6620">
        <v>54.7553699999999</v>
      </c>
      <c r="J6620">
        <v>-421.1259</v>
      </c>
      <c r="K6620">
        <v>1.119407</v>
      </c>
      <c r="L6620">
        <v>106.5591</v>
      </c>
      <c r="M6620">
        <v>-5.360591E-2</v>
      </c>
      <c r="N6620">
        <v>-1.097586E-3</v>
      </c>
      <c r="O6620">
        <v>-0.9985619</v>
      </c>
      <c r="P6620">
        <v>9.0901399999999998E-4</v>
      </c>
      <c r="Q6620">
        <v>-7.9316499999999998E-2</v>
      </c>
      <c r="R6620">
        <v>-0.9968496</v>
      </c>
      <c r="S6620">
        <v>5.4962160000000003E-2</v>
      </c>
      <c r="T6620">
        <v>-6.4614530000000003E-2</v>
      </c>
      <c r="U6620">
        <v>-3.0043489999999999</v>
      </c>
      <c r="V6620">
        <v>-5.4354010000000001E-2</v>
      </c>
      <c r="W6620">
        <v>-7.8217610000000007E-2</v>
      </c>
      <c r="X6620">
        <v>0.99545349999999999</v>
      </c>
      <c r="Y6620">
        <v>-7.1857110000000002E-2</v>
      </c>
      <c r="Z6620">
        <v>2.0328180000000001E-2</v>
      </c>
      <c r="AA6620">
        <v>0.99720779999999998</v>
      </c>
      <c r="AB6620">
        <v>24</v>
      </c>
      <c r="AC6620">
        <v>0.96530000000001304</v>
      </c>
      <c r="AD6620">
        <v>-1.1194092590339999</v>
      </c>
      <c r="AE6620">
        <v>-51.803730000000002</v>
      </c>
      <c r="AF6620">
        <v>-3.7391535641039799</v>
      </c>
      <c r="AG6620">
        <v>-1.1194092590339999</v>
      </c>
      <c r="AH6620">
        <v>51.6533888148846</v>
      </c>
      <c r="AI6620">
        <v>91.238255196714803</v>
      </c>
      <c r="AJ6620">
        <v>94.140380295831505</v>
      </c>
      <c r="AK6620">
        <v>51.800645966308302</v>
      </c>
      <c r="AL6620">
        <v>94.486121182131797</v>
      </c>
      <c r="AM6620">
        <v>93.125375462829197</v>
      </c>
      <c r="AN6620">
        <v>1.0000000117897201</v>
      </c>
    </row>
    <row r="6621" spans="1:40" x14ac:dyDescent="0.25">
      <c r="A6621" t="str">
        <f>"20190303153940580"</f>
        <v>20190303153940580</v>
      </c>
      <c r="B6621" t="str">
        <f>"1551598780574808"</f>
        <v>1551598780574808</v>
      </c>
      <c r="C6621" t="s">
        <v>40</v>
      </c>
      <c r="D6621">
        <v>4.655106</v>
      </c>
      <c r="E6621">
        <v>0.5184358</v>
      </c>
      <c r="F6621" t="s">
        <v>42</v>
      </c>
      <c r="G6621">
        <v>-420.2004</v>
      </c>
      <c r="H6621" s="1">
        <v>-1.4469869999999999E-6</v>
      </c>
      <c r="I6621">
        <v>52.837739999999997</v>
      </c>
      <c r="J6621">
        <v>-421.13459999999998</v>
      </c>
      <c r="K6621">
        <v>1.1194090000000001</v>
      </c>
      <c r="L6621">
        <v>106.3977</v>
      </c>
      <c r="M6621">
        <v>-5.3636330000000003E-2</v>
      </c>
      <c r="N6621">
        <v>-1.1372400000000001E-3</v>
      </c>
      <c r="O6621">
        <v>-0.99856</v>
      </c>
      <c r="P6621">
        <v>6.829367E-4</v>
      </c>
      <c r="Q6621">
        <v>-7.8693579999999999E-2</v>
      </c>
      <c r="R6621">
        <v>-0.99689879999999997</v>
      </c>
      <c r="S6621">
        <v>5.1757810000000001E-2</v>
      </c>
      <c r="T6621">
        <v>-6.2604430000000003E-2</v>
      </c>
      <c r="U6621">
        <v>-3.0044400000000002</v>
      </c>
      <c r="V6621">
        <v>-5.4161250000000001E-2</v>
      </c>
      <c r="W6621">
        <v>-7.7555189999999996E-2</v>
      </c>
      <c r="X6621">
        <v>0.99551579999999995</v>
      </c>
      <c r="Y6621">
        <v>-7.0823949999999997E-2</v>
      </c>
      <c r="Z6621">
        <v>1.9622560000000001E-2</v>
      </c>
      <c r="AA6621">
        <v>0.99729579999999995</v>
      </c>
      <c r="AB6621">
        <v>24</v>
      </c>
      <c r="AC6621">
        <v>0.93419999999997505</v>
      </c>
      <c r="AD6621">
        <v>-1.1194104469869901</v>
      </c>
      <c r="AE6621">
        <v>-53.559959999999997</v>
      </c>
      <c r="AF6621">
        <v>-3.80395535631077</v>
      </c>
      <c r="AG6621">
        <v>-1.1194104469869901</v>
      </c>
      <c r="AH6621">
        <v>53.409432215958802</v>
      </c>
      <c r="AI6621">
        <v>91.197655849142606</v>
      </c>
      <c r="AJ6621">
        <v>94.073871728843699</v>
      </c>
      <c r="AK6621">
        <v>53.556424504747604</v>
      </c>
      <c r="AL6621">
        <v>94.448051814946695</v>
      </c>
      <c r="AM6621">
        <v>93.114119037136206</v>
      </c>
      <c r="AN6621">
        <v>0.99999997827356901</v>
      </c>
    </row>
    <row r="6622" spans="1:40" x14ac:dyDescent="0.25">
      <c r="A6622" t="str">
        <f>"20190303153940594"</f>
        <v>20190303153940594</v>
      </c>
      <c r="B6622" t="str">
        <f>"1551598780585546"</f>
        <v>1551598780585546</v>
      </c>
      <c r="C6622" t="s">
        <v>40</v>
      </c>
      <c r="D6622">
        <v>4.6307289999999997</v>
      </c>
      <c r="E6622">
        <v>0.5210127</v>
      </c>
      <c r="F6622" t="s">
        <v>42</v>
      </c>
      <c r="G6622">
        <v>-423.63639999999998</v>
      </c>
      <c r="H6622" s="1">
        <v>-3.3633710000000001E-6</v>
      </c>
      <c r="I6622">
        <v>55.173810000000003</v>
      </c>
      <c r="J6622">
        <v>-421.14319999999998</v>
      </c>
      <c r="K6622">
        <v>1.1194139999999999</v>
      </c>
      <c r="L6622">
        <v>106.23860000000001</v>
      </c>
      <c r="M6622">
        <v>-5.366626E-2</v>
      </c>
      <c r="N6622">
        <v>-1.1798850000000001E-3</v>
      </c>
      <c r="O6622">
        <v>-0.99855830000000001</v>
      </c>
      <c r="P6622">
        <v>1.4028399999999999E-4</v>
      </c>
      <c r="Q6622">
        <v>-7.8470419999999999E-2</v>
      </c>
      <c r="R6622">
        <v>-0.99691640000000004</v>
      </c>
      <c r="S6622">
        <v>-0.14672850000000001</v>
      </c>
      <c r="T6622">
        <v>-6.5652970000000005E-2</v>
      </c>
      <c r="U6622">
        <v>-3.004257</v>
      </c>
      <c r="V6622">
        <v>-5.3650160000000002E-2</v>
      </c>
      <c r="W6622">
        <v>-7.72896E-2</v>
      </c>
      <c r="X6622">
        <v>0.99556420000000001</v>
      </c>
      <c r="Y6622">
        <v>-4.9009600000000002E-3</v>
      </c>
      <c r="Z6622">
        <v>2.060971E-2</v>
      </c>
      <c r="AA6622">
        <v>0.99977559999999999</v>
      </c>
      <c r="AB6622">
        <v>25</v>
      </c>
      <c r="AC6622">
        <v>-2.4931999999999999</v>
      </c>
      <c r="AD6622">
        <v>-1.1194173633709901</v>
      </c>
      <c r="AE6622">
        <v>-51.064790000000002</v>
      </c>
      <c r="AF6622">
        <v>-0.25073069795241798</v>
      </c>
      <c r="AG6622">
        <v>-1.1194173633709901</v>
      </c>
      <c r="AH6622">
        <v>51.100504583825398</v>
      </c>
      <c r="AI6622">
        <v>91.254916418451003</v>
      </c>
      <c r="AJ6622">
        <v>90.281126294554397</v>
      </c>
      <c r="AK6622">
        <v>51.113379166690599</v>
      </c>
      <c r="AL6622">
        <v>94.432788500069094</v>
      </c>
      <c r="AM6622">
        <v>93.084640149783297</v>
      </c>
      <c r="AN6622">
        <v>1.0000000491289101</v>
      </c>
    </row>
    <row r="6623" spans="1:40" x14ac:dyDescent="0.25">
      <c r="A6623" t="str">
        <f>"20190303153940607"</f>
        <v>20190303153940607</v>
      </c>
      <c r="B6623" t="str">
        <f>"1551598780595306"</f>
        <v>1551598780595306</v>
      </c>
      <c r="C6623" t="s">
        <v>40</v>
      </c>
      <c r="D6623">
        <v>4.6600089999999996</v>
      </c>
      <c r="E6623">
        <v>0.52251610000000004</v>
      </c>
      <c r="F6623" t="s">
        <v>42</v>
      </c>
      <c r="G6623">
        <v>-423.6902</v>
      </c>
      <c r="H6623" s="1">
        <v>-1.4604029999999999E-6</v>
      </c>
      <c r="I6623">
        <v>60.704610000000002</v>
      </c>
      <c r="J6623">
        <v>-421.15100000000001</v>
      </c>
      <c r="K6623">
        <v>1.1194189999999999</v>
      </c>
      <c r="L6623">
        <v>106.0932</v>
      </c>
      <c r="M6623">
        <v>-5.3693520000000002E-2</v>
      </c>
      <c r="N6623">
        <v>-1.222007E-3</v>
      </c>
      <c r="O6623">
        <v>-0.99855689999999997</v>
      </c>
      <c r="P6623" s="1">
        <v>-5.8829000000000002E-5</v>
      </c>
      <c r="Q6623">
        <v>-7.7856410000000001E-2</v>
      </c>
      <c r="R6623">
        <v>-0.99696510000000005</v>
      </c>
      <c r="S6623">
        <v>-0.16799929999999999</v>
      </c>
      <c r="T6623">
        <v>-7.3838470000000003E-2</v>
      </c>
      <c r="U6623">
        <v>-3.0034939999999999</v>
      </c>
      <c r="V6623">
        <v>-5.3481029999999999E-2</v>
      </c>
      <c r="W6623">
        <v>-7.6633549999999995E-2</v>
      </c>
      <c r="X6623">
        <v>0.99562390000000001</v>
      </c>
      <c r="Y6623">
        <v>2.141801E-3</v>
      </c>
      <c r="Z6623">
        <v>2.3284630000000001E-2</v>
      </c>
      <c r="AA6623">
        <v>0.99972660000000002</v>
      </c>
      <c r="AB6623">
        <v>25</v>
      </c>
      <c r="AC6623">
        <v>-2.5391999999999899</v>
      </c>
      <c r="AD6623">
        <v>-1.119420460403</v>
      </c>
      <c r="AE6623">
        <v>-45.388590000000001</v>
      </c>
      <c r="AF6623">
        <v>9.8402902512528298E-2</v>
      </c>
      <c r="AG6623">
        <v>-1.119420460403</v>
      </c>
      <c r="AH6623">
        <v>45.431905408454703</v>
      </c>
      <c r="AI6623">
        <v>91.411451757092905</v>
      </c>
      <c r="AJ6623">
        <v>89.875900820392602</v>
      </c>
      <c r="AK6623">
        <v>45.445800843875197</v>
      </c>
      <c r="AL6623">
        <v>94.395088285633307</v>
      </c>
      <c r="AM6623">
        <v>93.074750608080606</v>
      </c>
      <c r="AN6623">
        <v>0.99999993590333403</v>
      </c>
    </row>
    <row r="6624" spans="1:40" x14ac:dyDescent="0.25">
      <c r="A6624" t="str">
        <f>"20190303153940621"</f>
        <v>20190303153940621</v>
      </c>
      <c r="B6624" t="str">
        <f>"1551598780614826"</f>
        <v>1551598780614826</v>
      </c>
      <c r="C6624" t="s">
        <v>40</v>
      </c>
      <c r="D6624">
        <v>4.6102309999999997</v>
      </c>
      <c r="E6624">
        <v>0.5239608</v>
      </c>
      <c r="F6624" t="s">
        <v>42</v>
      </c>
      <c r="G6624">
        <v>-423.6053</v>
      </c>
      <c r="H6624" s="1">
        <v>-3.4156080000000002E-6</v>
      </c>
      <c r="I6624">
        <v>65.314840000000004</v>
      </c>
      <c r="J6624">
        <v>-421.15899999999999</v>
      </c>
      <c r="K6624">
        <v>1.119432</v>
      </c>
      <c r="L6624">
        <v>105.94540000000001</v>
      </c>
      <c r="M6624">
        <v>-5.37213E-2</v>
      </c>
      <c r="N6624">
        <v>-1.2703580000000001E-3</v>
      </c>
      <c r="O6624">
        <v>-0.99855539999999998</v>
      </c>
      <c r="P6624">
        <v>-8.2473110000000002E-4</v>
      </c>
      <c r="Q6624">
        <v>-7.7293829999999994E-2</v>
      </c>
      <c r="R6624">
        <v>-0.99700840000000002</v>
      </c>
      <c r="S6624">
        <v>-0.1807251</v>
      </c>
      <c r="T6624">
        <v>-8.2428340000000003E-2</v>
      </c>
      <c r="U6624">
        <v>-3.0027010000000001</v>
      </c>
      <c r="V6624">
        <v>-5.27462E-2</v>
      </c>
      <c r="W6624">
        <v>-7.6022770000000003E-2</v>
      </c>
      <c r="X6624">
        <v>0.99570999999999998</v>
      </c>
      <c r="Y6624">
        <v>6.3471509999999997E-3</v>
      </c>
      <c r="Z6624">
        <v>2.6088799999999999E-2</v>
      </c>
      <c r="AA6624">
        <v>0.99963950000000001</v>
      </c>
      <c r="AB6624">
        <v>25</v>
      </c>
      <c r="AC6624">
        <v>-2.4462999999999999</v>
      </c>
      <c r="AD6624">
        <v>-1.119435415608</v>
      </c>
      <c r="AE6624">
        <v>-40.630559999999903</v>
      </c>
      <c r="AF6624">
        <v>0.25984318810674401</v>
      </c>
      <c r="AG6624">
        <v>-1.119435415608</v>
      </c>
      <c r="AH6624">
        <v>40.6725440607349</v>
      </c>
      <c r="AI6624">
        <v>91.576528593183696</v>
      </c>
      <c r="AJ6624">
        <v>89.633961538126201</v>
      </c>
      <c r="AK6624">
        <v>40.688776026129702</v>
      </c>
      <c r="AL6624">
        <v>94.359990438864003</v>
      </c>
      <c r="AM6624">
        <v>93.0323211615829</v>
      </c>
      <c r="AN6624">
        <v>1.00000001363645</v>
      </c>
    </row>
    <row r="6625" spans="1:40" x14ac:dyDescent="0.25">
      <c r="A6625" t="str">
        <f>"20190303153940638"</f>
        <v>20190303153940638</v>
      </c>
      <c r="B6625" t="str">
        <f>"1551598780635321"</f>
        <v>1551598780635321</v>
      </c>
      <c r="C6625" t="s">
        <v>40</v>
      </c>
      <c r="D6625">
        <v>4.6273090000000003</v>
      </c>
      <c r="E6625">
        <v>0.52527590000000002</v>
      </c>
      <c r="F6625" t="s">
        <v>42</v>
      </c>
      <c r="G6625">
        <v>-423.57769999999999</v>
      </c>
      <c r="H6625" s="1">
        <v>-4.5852419999999996E-6</v>
      </c>
      <c r="I6625">
        <v>68.595869999999906</v>
      </c>
      <c r="J6625">
        <v>-421.16919999999999</v>
      </c>
      <c r="K6625">
        <v>1.1194379999999999</v>
      </c>
      <c r="L6625">
        <v>105.7568</v>
      </c>
      <c r="M6625">
        <v>-5.3756970000000001E-2</v>
      </c>
      <c r="N6625">
        <v>-1.348744E-3</v>
      </c>
      <c r="O6625">
        <v>-0.99855300000000002</v>
      </c>
      <c r="P6625">
        <v>-9.0296899999999999E-4</v>
      </c>
      <c r="Q6625">
        <v>-7.7217149999999998E-2</v>
      </c>
      <c r="R6625">
        <v>-0.99701390000000001</v>
      </c>
      <c r="S6625">
        <v>-0.19439699999999999</v>
      </c>
      <c r="T6625">
        <v>-8.9971899999999994E-2</v>
      </c>
      <c r="U6625">
        <v>-3.0018769999999999</v>
      </c>
      <c r="V6625">
        <v>-5.270408E-2</v>
      </c>
      <c r="W6625">
        <v>-7.5867970000000007E-2</v>
      </c>
      <c r="X6625">
        <v>0.99572400000000005</v>
      </c>
      <c r="Y6625">
        <v>1.085847E-2</v>
      </c>
      <c r="Z6625">
        <v>2.8515559999999999E-2</v>
      </c>
      <c r="AA6625">
        <v>0.99953440000000005</v>
      </c>
      <c r="AB6625">
        <v>25</v>
      </c>
      <c r="AC6625">
        <v>-2.4085000000000001</v>
      </c>
      <c r="AD6625">
        <v>-1.119442585242</v>
      </c>
      <c r="AE6625">
        <v>-37.16093</v>
      </c>
      <c r="AF6625">
        <v>0.40698854445423499</v>
      </c>
      <c r="AG6625">
        <v>-1.119442585242</v>
      </c>
      <c r="AH6625">
        <v>37.203051499241901</v>
      </c>
      <c r="AI6625">
        <v>91.723411166321199</v>
      </c>
      <c r="AJ6625">
        <v>89.373228947532198</v>
      </c>
      <c r="AK6625">
        <v>37.2221148275083</v>
      </c>
      <c r="AL6625">
        <v>94.351095524837007</v>
      </c>
      <c r="AM6625">
        <v>93.029861721161794</v>
      </c>
      <c r="AN6625">
        <v>0.99999997654828299</v>
      </c>
    </row>
    <row r="6626" spans="1:40" x14ac:dyDescent="0.25">
      <c r="A6626" t="str">
        <f>"20190303153940653"</f>
        <v>20190303153940653</v>
      </c>
      <c r="B6626" t="str">
        <f>"1551598780645081"</f>
        <v>1551598780645081</v>
      </c>
      <c r="C6626" t="s">
        <v>40</v>
      </c>
      <c r="D6626">
        <v>4.6355309999999896</v>
      </c>
      <c r="E6626">
        <v>0.52574109999999996</v>
      </c>
      <c r="F6626" t="s">
        <v>42</v>
      </c>
      <c r="G6626">
        <v>-423.6628</v>
      </c>
      <c r="H6626" s="1">
        <v>-4.8333729999999996E-6</v>
      </c>
      <c r="I6626">
        <v>69.280649999999994</v>
      </c>
      <c r="J6626">
        <v>-421.17930000000001</v>
      </c>
      <c r="K6626">
        <v>1.1194580000000001</v>
      </c>
      <c r="L6626">
        <v>105.5686</v>
      </c>
      <c r="M6626">
        <v>-5.3792769999999997E-2</v>
      </c>
      <c r="N6626">
        <v>-1.4586099999999999E-3</v>
      </c>
      <c r="O6626">
        <v>-0.99855139999999998</v>
      </c>
      <c r="P6626">
        <v>-6.9403800000000001E-4</v>
      </c>
      <c r="Q6626">
        <v>-7.7262449999999996E-2</v>
      </c>
      <c r="R6626">
        <v>-0.99701110000000004</v>
      </c>
      <c r="S6626">
        <v>-0.2052002</v>
      </c>
      <c r="T6626">
        <v>-9.2119809999999996E-2</v>
      </c>
      <c r="U6626">
        <v>-3.0016479999999999</v>
      </c>
      <c r="V6626">
        <v>-5.2947920000000002E-2</v>
      </c>
      <c r="W6626">
        <v>-7.5803770000000006E-2</v>
      </c>
      <c r="X6626">
        <v>0.99571600000000005</v>
      </c>
      <c r="Y6626">
        <v>1.4407730000000001E-2</v>
      </c>
      <c r="Z6626">
        <v>2.911623E-2</v>
      </c>
      <c r="AA6626">
        <v>0.99947220000000003</v>
      </c>
      <c r="AB6626">
        <v>25</v>
      </c>
      <c r="AC6626">
        <v>-2.48349999999999</v>
      </c>
      <c r="AD6626">
        <v>-1.1194628333729999</v>
      </c>
      <c r="AE6626">
        <v>-36.287950000000002</v>
      </c>
      <c r="AF6626">
        <v>0.52737387827664195</v>
      </c>
      <c r="AG6626">
        <v>-1.1194628333729999</v>
      </c>
      <c r="AH6626">
        <v>36.334585823402598</v>
      </c>
      <c r="AI6626">
        <v>91.764529911489703</v>
      </c>
      <c r="AJ6626">
        <v>89.168445843709904</v>
      </c>
      <c r="AK6626">
        <v>36.355652204313401</v>
      </c>
      <c r="AL6626">
        <v>94.347406309228802</v>
      </c>
      <c r="AM6626">
        <v>93.043877749244899</v>
      </c>
      <c r="AN6626">
        <v>1.0000000232172599</v>
      </c>
    </row>
    <row r="6627" spans="1:40" x14ac:dyDescent="0.25">
      <c r="A6627" t="str">
        <f>"20190303153940667"</f>
        <v>20190303153940667</v>
      </c>
      <c r="B6627" t="str">
        <f>"1551598780665577"</f>
        <v>1551598780665577</v>
      </c>
      <c r="C6627" t="s">
        <v>40</v>
      </c>
      <c r="D6627">
        <v>4.6362269999999999</v>
      </c>
      <c r="E6627">
        <v>0.52600669999999905</v>
      </c>
      <c r="F6627" t="s">
        <v>42</v>
      </c>
      <c r="G6627">
        <v>-423.69659999999999</v>
      </c>
      <c r="H6627" s="1">
        <v>-4.8300289999999997E-6</v>
      </c>
      <c r="I6627">
        <v>69.253190000000004</v>
      </c>
      <c r="J6627">
        <v>-421.18799999999999</v>
      </c>
      <c r="K6627">
        <v>1.119478</v>
      </c>
      <c r="L6627">
        <v>105.4084</v>
      </c>
      <c r="M6627">
        <v>-5.3823240000000001E-2</v>
      </c>
      <c r="N6627">
        <v>-1.58353799999999E-3</v>
      </c>
      <c r="O6627">
        <v>-0.99854920000000003</v>
      </c>
      <c r="P6627">
        <v>-6.2131559999999998E-4</v>
      </c>
      <c r="Q6627">
        <v>-7.6916520000000002E-2</v>
      </c>
      <c r="R6627">
        <v>-0.99703750000000002</v>
      </c>
      <c r="S6627">
        <v>-0.2080688</v>
      </c>
      <c r="T6627">
        <v>-9.2530130000000002E-2</v>
      </c>
      <c r="U6627">
        <v>-3.0016780000000001</v>
      </c>
      <c r="V6627">
        <v>-5.3052849999999999E-2</v>
      </c>
      <c r="W6627">
        <v>-7.5333369999999997E-2</v>
      </c>
      <c r="X6627">
        <v>0.99574609999999997</v>
      </c>
      <c r="Y6627">
        <v>1.53271E-2</v>
      </c>
      <c r="Z6627">
        <v>2.9126079999999999E-2</v>
      </c>
      <c r="AA6627">
        <v>0.99945830000000002</v>
      </c>
      <c r="AB6627">
        <v>25</v>
      </c>
      <c r="AC6627">
        <v>-2.50859999999994</v>
      </c>
      <c r="AD6627">
        <v>-1.1194828300290001</v>
      </c>
      <c r="AE6627">
        <v>-36.155209999999997</v>
      </c>
      <c r="AF6627">
        <v>0.558437869774421</v>
      </c>
      <c r="AG6627">
        <v>-1.1194828300290001</v>
      </c>
      <c r="AH6627">
        <v>36.203280657188898</v>
      </c>
      <c r="AI6627">
        <v>91.770933083672404</v>
      </c>
      <c r="AJ6627">
        <v>89.116279099594806</v>
      </c>
      <c r="AK6627">
        <v>36.224889578911302</v>
      </c>
      <c r="AL6627">
        <v>94.320377151054601</v>
      </c>
      <c r="AM6627">
        <v>93.049806583047697</v>
      </c>
      <c r="AN6627">
        <v>1.00000000859694</v>
      </c>
    </row>
    <row r="6628" spans="1:40" x14ac:dyDescent="0.25">
      <c r="A6628" t="str">
        <f>"20190303153940688"</f>
        <v>20190303153940688</v>
      </c>
      <c r="B6628" t="str">
        <f>"1551598780675337"</f>
        <v>1551598780675337</v>
      </c>
      <c r="C6628" t="s">
        <v>40</v>
      </c>
      <c r="D6628">
        <v>4.6416050000000002</v>
      </c>
      <c r="E6628">
        <v>0.52597919999999998</v>
      </c>
      <c r="F6628" t="s">
        <v>42</v>
      </c>
      <c r="G6628">
        <v>-423.6671</v>
      </c>
      <c r="H6628" s="1">
        <v>-1.133861E-6</v>
      </c>
      <c r="I6628">
        <v>69.957700000000003</v>
      </c>
      <c r="J6628">
        <v>-421.19959999999998</v>
      </c>
      <c r="K6628">
        <v>1.1195269999999999</v>
      </c>
      <c r="L6628">
        <v>105.1949</v>
      </c>
      <c r="M6628">
        <v>-5.3863300000000003E-2</v>
      </c>
      <c r="N6628">
        <v>-1.8289280000000001E-3</v>
      </c>
      <c r="O6628">
        <v>-0.99854659999999995</v>
      </c>
      <c r="P6628">
        <v>1.3179660000000001E-4</v>
      </c>
      <c r="Q6628">
        <v>-7.6569390000000001E-2</v>
      </c>
      <c r="R6628">
        <v>-0.99706419999999996</v>
      </c>
      <c r="S6628">
        <v>-0.2098999</v>
      </c>
      <c r="T6628">
        <v>-9.4781760000000007E-2</v>
      </c>
      <c r="U6628">
        <v>-3.001465</v>
      </c>
      <c r="V6628">
        <v>-5.384626E-2</v>
      </c>
      <c r="W6628">
        <v>-7.4741769999999999E-2</v>
      </c>
      <c r="X6628">
        <v>0.99574810000000002</v>
      </c>
      <c r="Y6628">
        <v>1.5897519999999998E-2</v>
      </c>
      <c r="Z6628">
        <v>2.962911E-2</v>
      </c>
      <c r="AA6628">
        <v>0.9994345</v>
      </c>
      <c r="AB6628">
        <v>25</v>
      </c>
      <c r="AC6628">
        <v>-2.4675000000000198</v>
      </c>
      <c r="AD6628">
        <v>-1.1195281338609999</v>
      </c>
      <c r="AE6628">
        <v>-35.237200000000001</v>
      </c>
      <c r="AF6628">
        <v>0.56535494224285598</v>
      </c>
      <c r="AG6628">
        <v>-1.1195281338609999</v>
      </c>
      <c r="AH6628">
        <v>35.283512852753503</v>
      </c>
      <c r="AI6628">
        <v>91.817123481291404</v>
      </c>
      <c r="AJ6628">
        <v>89.082016563935198</v>
      </c>
      <c r="AK6628">
        <v>35.3057962476935</v>
      </c>
      <c r="AL6628">
        <v>94.286385105555297</v>
      </c>
      <c r="AM6628">
        <v>93.095322460916705</v>
      </c>
      <c r="AN6628">
        <v>1.0000000152761599</v>
      </c>
    </row>
    <row r="6629" spans="1:40" x14ac:dyDescent="0.25">
      <c r="A6629" t="str">
        <f>"20190303153940703"</f>
        <v>20190303153940703</v>
      </c>
      <c r="B6629" t="str">
        <f>"1551598780694857"</f>
        <v>1551598780694857</v>
      </c>
      <c r="C6629" t="s">
        <v>40</v>
      </c>
      <c r="D6629">
        <v>4.6574269999999904</v>
      </c>
      <c r="E6629">
        <v>0.52615449999999997</v>
      </c>
      <c r="F6629" t="s">
        <v>42</v>
      </c>
      <c r="G6629">
        <v>-423.65339999999998</v>
      </c>
      <c r="H6629" s="1">
        <v>-1.020616E-6</v>
      </c>
      <c r="I6629">
        <v>69.702259999999995</v>
      </c>
      <c r="J6629">
        <v>-421.20929999999998</v>
      </c>
      <c r="K6629">
        <v>1.1195930000000001</v>
      </c>
      <c r="L6629">
        <v>105.0155</v>
      </c>
      <c r="M6629">
        <v>-5.389737E-2</v>
      </c>
      <c r="N6629">
        <v>-2.14781E-3</v>
      </c>
      <c r="O6629">
        <v>-0.99854419999999999</v>
      </c>
      <c r="P6629">
        <v>7.1382450000000001E-4</v>
      </c>
      <c r="Q6629">
        <v>-7.6758430000000002E-2</v>
      </c>
      <c r="R6629">
        <v>-0.99704970000000004</v>
      </c>
      <c r="S6629">
        <v>-0.2075195</v>
      </c>
      <c r="T6629">
        <v>-9.4677689999999995E-2</v>
      </c>
      <c r="U6629">
        <v>-3.0015869999999998</v>
      </c>
      <c r="V6629">
        <v>-5.4460710000000002E-2</v>
      </c>
      <c r="W6629">
        <v>-7.4613299999999994E-2</v>
      </c>
      <c r="X6629">
        <v>0.99572430000000001</v>
      </c>
      <c r="Y6629">
        <v>1.507242E-2</v>
      </c>
      <c r="Z6629">
        <v>2.9276119999999999E-2</v>
      </c>
      <c r="AA6629">
        <v>0.9994577</v>
      </c>
      <c r="AB6629">
        <v>25</v>
      </c>
      <c r="AC6629">
        <v>-2.4440999999999899</v>
      </c>
      <c r="AD6629">
        <v>-1.119594020616</v>
      </c>
      <c r="AE6629">
        <v>-35.31324</v>
      </c>
      <c r="AF6629">
        <v>0.53671541415040103</v>
      </c>
      <c r="AG6629">
        <v>-1.119594020616</v>
      </c>
      <c r="AH6629">
        <v>35.358269981261103</v>
      </c>
      <c r="AI6629">
        <v>91.813414645715199</v>
      </c>
      <c r="AJ6629">
        <v>89.130354326519594</v>
      </c>
      <c r="AK6629">
        <v>35.380062327171402</v>
      </c>
      <c r="AL6629">
        <v>94.279003782074298</v>
      </c>
      <c r="AM6629">
        <v>93.1306485961112</v>
      </c>
      <c r="AN6629">
        <v>0.99999999754054203</v>
      </c>
    </row>
    <row r="6630" spans="1:40" x14ac:dyDescent="0.25">
      <c r="A6630" t="str">
        <f>"20190303153940716"</f>
        <v>20190303153940716</v>
      </c>
      <c r="B6630" t="str">
        <f>"1551598780705593"</f>
        <v>1551598780705593</v>
      </c>
      <c r="C6630" t="s">
        <v>40</v>
      </c>
      <c r="D6630">
        <v>4.667929</v>
      </c>
      <c r="E6630">
        <v>0.52611649999999999</v>
      </c>
      <c r="F6630" t="s">
        <v>42</v>
      </c>
      <c r="G6630">
        <v>-423.57049999999998</v>
      </c>
      <c r="H6630" s="1">
        <v>-1.4668249999999999E-6</v>
      </c>
      <c r="I6630">
        <v>70.793819999999997</v>
      </c>
      <c r="J6630">
        <v>-421.21749999999997</v>
      </c>
      <c r="K6630">
        <v>1.119659</v>
      </c>
      <c r="L6630">
        <v>104.8622</v>
      </c>
      <c r="M6630">
        <v>-5.3926410000000001E-2</v>
      </c>
      <c r="N6630">
        <v>-2.4994790000000002E-3</v>
      </c>
      <c r="O6630">
        <v>-0.99854209999999999</v>
      </c>
      <c r="P6630">
        <v>1.301534E-3</v>
      </c>
      <c r="Q6630">
        <v>-7.6656160000000001E-2</v>
      </c>
      <c r="R6630">
        <v>-0.99705739999999998</v>
      </c>
      <c r="S6630">
        <v>-0.20709230000000001</v>
      </c>
      <c r="T6630">
        <v>-9.8195790000000005E-2</v>
      </c>
      <c r="U6630">
        <v>-3.001465</v>
      </c>
      <c r="V6630">
        <v>-5.507695E-2</v>
      </c>
      <c r="W6630">
        <v>-7.4160840000000006E-2</v>
      </c>
      <c r="X6630">
        <v>0.99572419999999995</v>
      </c>
      <c r="Y6630">
        <v>1.4902739999999999E-2</v>
      </c>
      <c r="Z6630">
        <v>3.009305E-2</v>
      </c>
      <c r="AA6630">
        <v>0.99943599999999999</v>
      </c>
      <c r="AB6630">
        <v>25</v>
      </c>
      <c r="AC6630">
        <v>-2.3530000000000002</v>
      </c>
      <c r="AD6630">
        <v>-1.1196604668250001</v>
      </c>
      <c r="AE6630">
        <v>-34.068379999999998</v>
      </c>
      <c r="AF6630">
        <v>0.51183535634766597</v>
      </c>
      <c r="AG6630">
        <v>-1.1196604668250001</v>
      </c>
      <c r="AH6630">
        <v>34.109029705046403</v>
      </c>
      <c r="AI6630">
        <v>91.879900392013099</v>
      </c>
      <c r="AJ6630">
        <v>89.140292025142003</v>
      </c>
      <c r="AK6630">
        <v>34.131239684674703</v>
      </c>
      <c r="AL6630">
        <v>94.253007735384401</v>
      </c>
      <c r="AM6630">
        <v>93.166001520706899</v>
      </c>
      <c r="AN6630">
        <v>0.99999999153822305</v>
      </c>
    </row>
    <row r="6631" spans="1:40" x14ac:dyDescent="0.25">
      <c r="A6631" t="str">
        <f>"20190303153940729"</f>
        <v>20190303153940729</v>
      </c>
      <c r="B6631" t="str">
        <f>"1551598780725113"</f>
        <v>1551598780725113</v>
      </c>
      <c r="C6631" t="s">
        <v>40</v>
      </c>
      <c r="D6631">
        <v>4.6542079999999997</v>
      </c>
      <c r="E6631">
        <v>0.52625940000000004</v>
      </c>
      <c r="F6631" t="s">
        <v>42</v>
      </c>
      <c r="G6631">
        <v>-423.5419</v>
      </c>
      <c r="H6631" s="1">
        <v>-1.469559E-6</v>
      </c>
      <c r="I6631">
        <v>70.817920000000001</v>
      </c>
      <c r="J6631">
        <v>-421.22559999999999</v>
      </c>
      <c r="K6631">
        <v>1.119742</v>
      </c>
      <c r="L6631">
        <v>104.7148</v>
      </c>
      <c r="M6631">
        <v>-5.3954189999999999E-2</v>
      </c>
      <c r="N6631">
        <v>-2.8929580000000002E-3</v>
      </c>
      <c r="O6631">
        <v>-0.99853919999999996</v>
      </c>
      <c r="P6631">
        <v>2.0161290000000002E-3</v>
      </c>
      <c r="Q6631">
        <v>-7.7331349999999993E-2</v>
      </c>
      <c r="R6631">
        <v>-0.99700350000000004</v>
      </c>
      <c r="S6631">
        <v>-0.20492550000000001</v>
      </c>
      <c r="T6631">
        <v>-9.8715419999999998E-2</v>
      </c>
      <c r="U6631">
        <v>-3.0015260000000001</v>
      </c>
      <c r="V6631">
        <v>-5.5815480000000001E-2</v>
      </c>
      <c r="W6631">
        <v>-7.4444380000000004E-2</v>
      </c>
      <c r="X6631">
        <v>0.99566189999999999</v>
      </c>
      <c r="Y6631">
        <v>1.415572E-2</v>
      </c>
      <c r="Z6631">
        <v>2.9872940000000001E-2</v>
      </c>
      <c r="AA6631">
        <v>0.99945349999999999</v>
      </c>
      <c r="AB6631">
        <v>25</v>
      </c>
      <c r="AC6631">
        <v>-2.3163000000000098</v>
      </c>
      <c r="AD6631">
        <v>-1.1197434695590001</v>
      </c>
      <c r="AE6631">
        <v>-33.896880000000003</v>
      </c>
      <c r="AF6631">
        <v>0.48351450592899398</v>
      </c>
      <c r="AG6631">
        <v>-1.1197434695590001</v>
      </c>
      <c r="AH6631">
        <v>33.935620842025699</v>
      </c>
      <c r="AI6631">
        <v>91.889660516368707</v>
      </c>
      <c r="AJ6631">
        <v>89.183705339044394</v>
      </c>
      <c r="AK6631">
        <v>33.9575319133885</v>
      </c>
      <c r="AL6631">
        <v>94.269298477667405</v>
      </c>
      <c r="AM6631">
        <v>93.208566846516703</v>
      </c>
      <c r="AN6631">
        <v>0.99999997631641202</v>
      </c>
    </row>
    <row r="6632" spans="1:40" x14ac:dyDescent="0.25">
      <c r="A6632" t="str">
        <f>"20190303153940746"</f>
        <v>20190303153940746</v>
      </c>
      <c r="B6632" t="str">
        <f>"1551598780735383"</f>
        <v>1551598780735383</v>
      </c>
      <c r="C6632" t="s">
        <v>40</v>
      </c>
      <c r="D6632">
        <v>4.6891829999999999</v>
      </c>
      <c r="E6632">
        <v>0.52633019999999997</v>
      </c>
      <c r="F6632" t="s">
        <v>42</v>
      </c>
      <c r="G6632">
        <v>-423.43819999999999</v>
      </c>
      <c r="H6632" s="1">
        <v>-2.0038179999999998E-6</v>
      </c>
      <c r="I6632">
        <v>72.127579999999995</v>
      </c>
      <c r="J6632">
        <v>-421.23540000000003</v>
      </c>
      <c r="K6632">
        <v>1.1198520000000001</v>
      </c>
      <c r="L6632">
        <v>104.53270000000001</v>
      </c>
      <c r="M6632">
        <v>-5.398845E-2</v>
      </c>
      <c r="N6632">
        <v>-3.482541E-3</v>
      </c>
      <c r="O6632">
        <v>-0.99853559999999997</v>
      </c>
      <c r="P6632">
        <v>2.3316909999999999E-3</v>
      </c>
      <c r="Q6632">
        <v>-7.8237470000000003E-2</v>
      </c>
      <c r="R6632">
        <v>-0.99693240000000005</v>
      </c>
      <c r="S6632">
        <v>-0.20379639999999999</v>
      </c>
      <c r="T6632">
        <v>-0.10313360000000001</v>
      </c>
      <c r="U6632">
        <v>-3.0014340000000002</v>
      </c>
      <c r="V6632">
        <v>-5.6160719999999997E-2</v>
      </c>
      <c r="W6632">
        <v>-7.4763650000000001E-2</v>
      </c>
      <c r="X6632">
        <v>0.99561860000000002</v>
      </c>
      <c r="Y6632">
        <v>1.374715E-2</v>
      </c>
      <c r="Z6632">
        <v>3.0750799999999998E-2</v>
      </c>
      <c r="AA6632">
        <v>0.9994326</v>
      </c>
      <c r="AB6632">
        <v>25</v>
      </c>
      <c r="AC6632">
        <v>-2.2027999999999599</v>
      </c>
      <c r="AD6632">
        <v>-1.119854003818</v>
      </c>
      <c r="AE6632">
        <v>-32.405119999999997</v>
      </c>
      <c r="AF6632">
        <v>0.449540302888083</v>
      </c>
      <c r="AG6632">
        <v>-1.119854003818</v>
      </c>
      <c r="AH6632">
        <v>32.438223793534</v>
      </c>
      <c r="AI6632">
        <v>91.977028195679907</v>
      </c>
      <c r="AJ6632">
        <v>89.206025781964101</v>
      </c>
      <c r="AK6632">
        <v>32.460661150894403</v>
      </c>
      <c r="AL6632">
        <v>94.287642263274094</v>
      </c>
      <c r="AM6632">
        <v>93.228511310602698</v>
      </c>
      <c r="AN6632">
        <v>1.0000000132491</v>
      </c>
    </row>
    <row r="6633" spans="1:40" x14ac:dyDescent="0.25">
      <c r="A6633" t="str">
        <f>"20190303153940766"</f>
        <v>20190303153940766</v>
      </c>
      <c r="B6633" t="str">
        <f>"1551598780754902"</f>
        <v>1551598780754902</v>
      </c>
      <c r="C6633" t="s">
        <v>40</v>
      </c>
      <c r="D6633">
        <v>4.6626079999999996</v>
      </c>
      <c r="E6633">
        <v>0.52631749999999999</v>
      </c>
      <c r="F6633" t="s">
        <v>42</v>
      </c>
      <c r="G6633">
        <v>-423.37090000000001</v>
      </c>
      <c r="H6633" s="1">
        <v>-2.3858359999999998E-6</v>
      </c>
      <c r="I6633">
        <v>73.059820000000002</v>
      </c>
      <c r="J6633">
        <v>-421.24829999999997</v>
      </c>
      <c r="K6633">
        <v>1.119998</v>
      </c>
      <c r="L6633">
        <v>104.2953</v>
      </c>
      <c r="M6633">
        <v>-5.4033289999999998E-2</v>
      </c>
      <c r="N6633">
        <v>-4.2988430000000001E-3</v>
      </c>
      <c r="O6633">
        <v>-0.99852989999999997</v>
      </c>
      <c r="P6633">
        <v>2.1675420000000002E-3</v>
      </c>
      <c r="Q6633">
        <v>-7.9572240000000002E-2</v>
      </c>
      <c r="R6633">
        <v>-0.99682709999999997</v>
      </c>
      <c r="S6633">
        <v>-0.20364380000000001</v>
      </c>
      <c r="T6633">
        <v>-0.10679130000000001</v>
      </c>
      <c r="U6633">
        <v>-3.001312</v>
      </c>
      <c r="V6633">
        <v>-5.6036019999999999E-2</v>
      </c>
      <c r="W6633">
        <v>-7.5286069999999997E-2</v>
      </c>
      <c r="X6633">
        <v>0.99558619999999998</v>
      </c>
      <c r="Y6633">
        <v>1.3653129999999999E-2</v>
      </c>
      <c r="Z6633">
        <v>3.1150239999999999E-2</v>
      </c>
      <c r="AA6633">
        <v>0.99942149999999996</v>
      </c>
      <c r="AB6633">
        <v>25</v>
      </c>
      <c r="AC6633">
        <v>-2.12260000000003</v>
      </c>
      <c r="AD6633">
        <v>-1.1200003858359999</v>
      </c>
      <c r="AE6633">
        <v>-31.2354799999999</v>
      </c>
      <c r="AF6633">
        <v>0.43117598248845401</v>
      </c>
      <c r="AG6633">
        <v>-1.1200003858359999</v>
      </c>
      <c r="AH6633">
        <v>31.2645283834912</v>
      </c>
      <c r="AI6633">
        <v>92.0514549570686</v>
      </c>
      <c r="AJ6633">
        <v>89.209871402858596</v>
      </c>
      <c r="AK6633">
        <v>31.287554213045699</v>
      </c>
      <c r="AL6633">
        <v>94.317659575574794</v>
      </c>
      <c r="AM6633">
        <v>93.221462409786596</v>
      </c>
      <c r="AN6633">
        <v>0.99999995475196102</v>
      </c>
    </row>
    <row r="6634" spans="1:40" x14ac:dyDescent="0.25">
      <c r="A6634" t="str">
        <f>"20190303153940788"</f>
        <v>20190303153940788</v>
      </c>
      <c r="B6634" t="str">
        <f>"1551598780785159"</f>
        <v>1551598780785159</v>
      </c>
      <c r="C6634" t="s">
        <v>40</v>
      </c>
      <c r="D6634">
        <v>4.6654220000000004</v>
      </c>
      <c r="E6634">
        <v>0.52621739999999995</v>
      </c>
      <c r="F6634" t="s">
        <v>42</v>
      </c>
      <c r="G6634">
        <v>-423.2636</v>
      </c>
      <c r="H6634" s="1">
        <v>-3.0280660000000002E-6</v>
      </c>
      <c r="I6634">
        <v>74.623409999999893</v>
      </c>
      <c r="J6634">
        <v>-421.26159999999999</v>
      </c>
      <c r="K6634">
        <v>1.1201490000000001</v>
      </c>
      <c r="L6634">
        <v>104.051</v>
      </c>
      <c r="M6634">
        <v>-5.4079210000000003E-2</v>
      </c>
      <c r="N6634">
        <v>-5.1926580000000002E-3</v>
      </c>
      <c r="O6634">
        <v>-0.99852350000000001</v>
      </c>
      <c r="P6634">
        <v>8.9224829999999999E-4</v>
      </c>
      <c r="Q6634">
        <v>-7.9919249999999997E-2</v>
      </c>
      <c r="R6634">
        <v>-0.99680170000000001</v>
      </c>
      <c r="S6634">
        <v>-0.20382690000000001</v>
      </c>
      <c r="T6634">
        <v>-0.1132745</v>
      </c>
      <c r="U6634">
        <v>-3.0009459999999999</v>
      </c>
      <c r="V6634">
        <v>-5.4807250000000002E-2</v>
      </c>
      <c r="W6634">
        <v>-7.4743160000000003E-2</v>
      </c>
      <c r="X6634">
        <v>0.99569549999999996</v>
      </c>
      <c r="Y6634">
        <v>1.3672800000000001E-2</v>
      </c>
      <c r="Z6634">
        <v>3.2411710000000003E-2</v>
      </c>
      <c r="AA6634">
        <v>0.99938110000000002</v>
      </c>
      <c r="AB6634">
        <v>25</v>
      </c>
      <c r="AC6634">
        <v>-2.0019999999999998</v>
      </c>
      <c r="AD6634">
        <v>-1.120152028066</v>
      </c>
      <c r="AE6634">
        <v>-29.427589999999999</v>
      </c>
      <c r="AF6634">
        <v>0.40704152583716802</v>
      </c>
      <c r="AG6634">
        <v>-1.120152028066</v>
      </c>
      <c r="AH6634">
        <v>29.450319383372499</v>
      </c>
      <c r="AI6634">
        <v>92.178004926178701</v>
      </c>
      <c r="AJ6634">
        <v>89.208148599482598</v>
      </c>
      <c r="AK6634">
        <v>29.474425103000499</v>
      </c>
      <c r="AL6634">
        <v>94.286465243235398</v>
      </c>
      <c r="AM6634">
        <v>93.150620227000203</v>
      </c>
      <c r="AN6634">
        <v>0.99999995166979705</v>
      </c>
    </row>
    <row r="6635" spans="1:40" x14ac:dyDescent="0.25">
      <c r="A6635" t="str">
        <f>"20190303153940802"</f>
        <v>20190303153940802</v>
      </c>
      <c r="B6635" t="str">
        <f>"1551598780794918"</f>
        <v>1551598780794918</v>
      </c>
      <c r="C6635" t="s">
        <v>40</v>
      </c>
      <c r="D6635">
        <v>4.6688580000000002</v>
      </c>
      <c r="E6635">
        <v>0.52605900000000005</v>
      </c>
      <c r="F6635" t="s">
        <v>42</v>
      </c>
      <c r="G6635">
        <v>-423.25189999999998</v>
      </c>
      <c r="H6635" s="1">
        <v>-3.284008E-6</v>
      </c>
      <c r="I6635">
        <v>75.227279999999993</v>
      </c>
      <c r="J6635">
        <v>-421.2706</v>
      </c>
      <c r="K6635">
        <v>1.120241</v>
      </c>
      <c r="L6635">
        <v>103.8858</v>
      </c>
      <c r="M6635">
        <v>-5.411005E-2</v>
      </c>
      <c r="N6635">
        <v>-5.8066169999999896E-3</v>
      </c>
      <c r="O6635">
        <v>-0.99851820000000002</v>
      </c>
      <c r="P6635">
        <v>2.6460710000000002E-4</v>
      </c>
      <c r="Q6635">
        <v>-8.0132659999999994E-2</v>
      </c>
      <c r="R6635">
        <v>-0.99678449999999996</v>
      </c>
      <c r="S6635">
        <v>-0.2071838</v>
      </c>
      <c r="T6635">
        <v>-0.116604399999999</v>
      </c>
      <c r="U6635">
        <v>-3.0004580000000001</v>
      </c>
      <c r="V6635">
        <v>-5.4210630000000003E-2</v>
      </c>
      <c r="W6635">
        <v>-7.4345250000000002E-2</v>
      </c>
      <c r="X6635">
        <v>0.99575800000000003</v>
      </c>
      <c r="Y6635">
        <v>1.47641E-2</v>
      </c>
      <c r="Z6635">
        <v>3.2907459999999999E-2</v>
      </c>
      <c r="AA6635">
        <v>0.99934940000000005</v>
      </c>
      <c r="AB6635">
        <v>25</v>
      </c>
      <c r="AC6635">
        <v>-1.9812999999999701</v>
      </c>
      <c r="AD6635">
        <v>-1.120244284008</v>
      </c>
      <c r="AE6635">
        <v>-28.658519999999999</v>
      </c>
      <c r="AF6635">
        <v>0.42700796790794399</v>
      </c>
      <c r="AG6635">
        <v>-1.120244284008</v>
      </c>
      <c r="AH6635">
        <v>28.6801290377105</v>
      </c>
      <c r="AI6635">
        <v>92.236585309994595</v>
      </c>
      <c r="AJ6635">
        <v>89.1470070862851</v>
      </c>
      <c r="AK6635">
        <v>28.705175224691398</v>
      </c>
      <c r="AL6635">
        <v>94.263602855948406</v>
      </c>
      <c r="AM6635">
        <v>93.116196004328998</v>
      </c>
      <c r="AN6635">
        <v>1.00000000158327</v>
      </c>
    </row>
    <row r="6636" spans="1:40" x14ac:dyDescent="0.25">
      <c r="A6636" t="str">
        <f>"20190303153940822"</f>
        <v>20190303153940822</v>
      </c>
      <c r="B6636" t="str">
        <f>"1551598780815414"</f>
        <v>1551598780815414</v>
      </c>
      <c r="C6636" t="s">
        <v>40</v>
      </c>
      <c r="D6636">
        <v>4.6823360000000003</v>
      </c>
      <c r="E6636">
        <v>0.52580070000000001</v>
      </c>
      <c r="F6636" t="s">
        <v>42</v>
      </c>
      <c r="G6636">
        <v>-423.2296</v>
      </c>
      <c r="H6636" s="1">
        <v>-3.4457209999999998E-6</v>
      </c>
      <c r="I6636">
        <v>75.618069999999904</v>
      </c>
      <c r="J6636">
        <v>-421.28280000000001</v>
      </c>
      <c r="K6636">
        <v>1.1203529999999999</v>
      </c>
      <c r="L6636">
        <v>103.6622</v>
      </c>
      <c r="M6636">
        <v>-5.4150459999999997E-2</v>
      </c>
      <c r="N6636">
        <v>-6.6138819999999997E-3</v>
      </c>
      <c r="O6636">
        <v>-0.99851080000000003</v>
      </c>
      <c r="P6636">
        <v>-7.2692789999999905E-4</v>
      </c>
      <c r="Q6636">
        <v>-8.0576789999999995E-2</v>
      </c>
      <c r="R6636">
        <v>-0.99674830000000003</v>
      </c>
      <c r="S6636">
        <v>-0.2079163</v>
      </c>
      <c r="T6636">
        <v>-0.1188953</v>
      </c>
      <c r="U6636">
        <v>-3.0001530000000001</v>
      </c>
      <c r="V6636">
        <v>-5.3258600000000003E-2</v>
      </c>
      <c r="W6636">
        <v>-7.3985659999999995E-2</v>
      </c>
      <c r="X6636">
        <v>0.9958361</v>
      </c>
      <c r="Y6636">
        <v>1.4972859999999999E-2</v>
      </c>
      <c r="Z6636">
        <v>3.2864949999999997E-2</v>
      </c>
      <c r="AA6636">
        <v>0.9993476</v>
      </c>
      <c r="AB6636">
        <v>25</v>
      </c>
      <c r="AC6636">
        <v>-1.9467999999999901</v>
      </c>
      <c r="AD6636">
        <v>-1.120356445721</v>
      </c>
      <c r="AE6636">
        <v>-28.044129999999999</v>
      </c>
      <c r="AF6636">
        <v>0.42463316591530897</v>
      </c>
      <c r="AG6636">
        <v>-1.120356445721</v>
      </c>
      <c r="AH6636">
        <v>28.063829311167702</v>
      </c>
      <c r="AI6636">
        <v>92.285870925165398</v>
      </c>
      <c r="AJ6636">
        <v>89.133125009371696</v>
      </c>
      <c r="AK6636">
        <v>28.089393505332499</v>
      </c>
      <c r="AL6636">
        <v>94.242943199273199</v>
      </c>
      <c r="AM6636">
        <v>93.061335738624805</v>
      </c>
      <c r="AN6636">
        <v>0.99999994721140095</v>
      </c>
    </row>
    <row r="6637" spans="1:40" x14ac:dyDescent="0.25">
      <c r="A6637" t="str">
        <f>"20190303153940836"</f>
        <v>20190303153940836</v>
      </c>
      <c r="B6637" t="str">
        <f>"1551598780825175"</f>
        <v>1551598780825175</v>
      </c>
      <c r="C6637" t="s">
        <v>40</v>
      </c>
      <c r="D6637">
        <v>4.7056459999999998</v>
      </c>
      <c r="E6637">
        <v>0.52574370000000004</v>
      </c>
      <c r="F6637" t="s">
        <v>42</v>
      </c>
      <c r="G6637">
        <v>-423.1902</v>
      </c>
      <c r="H6637" s="1">
        <v>-3.6792630000000001E-6</v>
      </c>
      <c r="I6637">
        <v>76.186909999999997</v>
      </c>
      <c r="J6637">
        <v>-421.29180000000002</v>
      </c>
      <c r="K6637">
        <v>1.12042</v>
      </c>
      <c r="L6637">
        <v>103.4958</v>
      </c>
      <c r="M6637">
        <v>-5.417893E-2</v>
      </c>
      <c r="N6637">
        <v>-7.1822960000000003E-3</v>
      </c>
      <c r="O6637">
        <v>-0.99850559999999999</v>
      </c>
      <c r="P6637">
        <v>-1.1136E-3</v>
      </c>
      <c r="Q6637">
        <v>-8.0878699999999998E-2</v>
      </c>
      <c r="R6637">
        <v>-0.99672340000000004</v>
      </c>
      <c r="S6637">
        <v>-0.20825199999999999</v>
      </c>
      <c r="T6637">
        <v>-0.1223205</v>
      </c>
      <c r="U6637">
        <v>-2.9997560000000001</v>
      </c>
      <c r="V6637">
        <v>-5.2899700000000001E-2</v>
      </c>
      <c r="W6637">
        <v>-7.3721709999999996E-2</v>
      </c>
      <c r="X6637">
        <v>0.99587490000000001</v>
      </c>
      <c r="Y6637">
        <v>1.506295E-2</v>
      </c>
      <c r="Z6637">
        <v>3.3438309999999999E-2</v>
      </c>
      <c r="AA6637">
        <v>0.99932719999999997</v>
      </c>
      <c r="AB6637">
        <v>25</v>
      </c>
      <c r="AC6637">
        <v>-1.8983999999999801</v>
      </c>
      <c r="AD6637">
        <v>-1.120423679263</v>
      </c>
      <c r="AE6637">
        <v>-27.308890000000002</v>
      </c>
      <c r="AF6637">
        <v>0.41531151973652503</v>
      </c>
      <c r="AG6637">
        <v>-1.120423679263</v>
      </c>
      <c r="AH6637">
        <v>27.325857868634099</v>
      </c>
      <c r="AI6637">
        <v>92.347674096663894</v>
      </c>
      <c r="AJ6637">
        <v>89.129258249806895</v>
      </c>
      <c r="AK6637">
        <v>27.3519714305253</v>
      </c>
      <c r="AL6637">
        <v>94.227778160043599</v>
      </c>
      <c r="AM6637">
        <v>93.040626553082802</v>
      </c>
      <c r="AN6637">
        <v>1.00000004261771</v>
      </c>
    </row>
    <row r="6638" spans="1:40" x14ac:dyDescent="0.25">
      <c r="A6638" t="str">
        <f>"20190303153940855"</f>
        <v>20190303153940855</v>
      </c>
      <c r="B6638" t="str">
        <f>"1551598780845671"</f>
        <v>1551598780845671</v>
      </c>
      <c r="C6638" t="s">
        <v>40</v>
      </c>
      <c r="D6638">
        <v>4.6478010000000003</v>
      </c>
      <c r="E6638">
        <v>0.52575590000000005</v>
      </c>
      <c r="F6638" t="s">
        <v>42</v>
      </c>
      <c r="G6638">
        <v>-423.18189999999998</v>
      </c>
      <c r="H6638" s="1">
        <v>-3.7673750000000001E-6</v>
      </c>
      <c r="I6638">
        <v>76.398830000000004</v>
      </c>
      <c r="J6638">
        <v>-421.30329999999998</v>
      </c>
      <c r="K6638">
        <v>1.1204829999999999</v>
      </c>
      <c r="L6638">
        <v>103.2851</v>
      </c>
      <c r="M6638">
        <v>-5.421231E-2</v>
      </c>
      <c r="N6638">
        <v>-7.8557660000000001E-3</v>
      </c>
      <c r="O6638">
        <v>-0.99849869999999996</v>
      </c>
      <c r="P6638">
        <v>-1.4015430000000001E-3</v>
      </c>
      <c r="Q6638">
        <v>-8.1143480000000004E-2</v>
      </c>
      <c r="R6638">
        <v>-0.99670159999999997</v>
      </c>
      <c r="S6638">
        <v>-0.20922850000000001</v>
      </c>
      <c r="T6638">
        <v>-0.124028399999999</v>
      </c>
      <c r="U6638">
        <v>-2.9995729999999998</v>
      </c>
      <c r="V6638">
        <v>-5.2643899999999903E-2</v>
      </c>
      <c r="W6638">
        <v>-7.3316160000000005E-2</v>
      </c>
      <c r="X6638">
        <v>0.99591830000000003</v>
      </c>
      <c r="Y6638">
        <v>1.535711E-2</v>
      </c>
      <c r="Z6638">
        <v>3.333448E-2</v>
      </c>
      <c r="AA6638">
        <v>0.9993263</v>
      </c>
      <c r="AB6638">
        <v>25</v>
      </c>
      <c r="AC6638">
        <v>-1.8786</v>
      </c>
      <c r="AD6638">
        <v>-1.1204867673750001</v>
      </c>
      <c r="AE6638">
        <v>-26.88627</v>
      </c>
      <c r="AF6638">
        <v>0.41750408521307297</v>
      </c>
      <c r="AG6638">
        <v>-1.1204867673750001</v>
      </c>
      <c r="AH6638">
        <v>26.902079037037499</v>
      </c>
      <c r="AI6638">
        <v>92.384736184646002</v>
      </c>
      <c r="AJ6638">
        <v>89.110875342849994</v>
      </c>
      <c r="AK6638">
        <v>26.928640083970901</v>
      </c>
      <c r="AL6638">
        <v>94.204479195812198</v>
      </c>
      <c r="AM6638">
        <v>93.025819173604006</v>
      </c>
      <c r="AN6638">
        <v>0.99999994989962104</v>
      </c>
    </row>
    <row r="6639" spans="1:40" x14ac:dyDescent="0.25">
      <c r="A6639" t="str">
        <f>"20190303153940869"</f>
        <v>20190303153940869</v>
      </c>
      <c r="B6639" t="str">
        <f>"1551598780865191"</f>
        <v>1551598780865191</v>
      </c>
      <c r="C6639" t="s">
        <v>40</v>
      </c>
      <c r="D6639">
        <v>4.55192</v>
      </c>
      <c r="E6639">
        <v>0.5257484</v>
      </c>
      <c r="F6639" t="s">
        <v>42</v>
      </c>
      <c r="G6639">
        <v>-423.1703</v>
      </c>
      <c r="H6639" s="1">
        <v>-3.8306409999999999E-6</v>
      </c>
      <c r="I6639">
        <v>76.59075</v>
      </c>
      <c r="J6639">
        <v>-421.31189999999998</v>
      </c>
      <c r="K6639">
        <v>1.1205270000000001</v>
      </c>
      <c r="L6639">
        <v>103.12730000000001</v>
      </c>
      <c r="M6639">
        <v>-5.4235190000000003E-2</v>
      </c>
      <c r="N6639">
        <v>-8.3314169999999903E-3</v>
      </c>
      <c r="O6639">
        <v>-0.99849339999999998</v>
      </c>
      <c r="P6639">
        <v>-1.996977E-3</v>
      </c>
      <c r="Q6639">
        <v>-8.1330310000000003E-2</v>
      </c>
      <c r="R6639">
        <v>-0.9966853</v>
      </c>
      <c r="S6639">
        <v>-0.20977779999999999</v>
      </c>
      <c r="T6639">
        <v>-0.1258986</v>
      </c>
      <c r="U6639">
        <v>-2.99939</v>
      </c>
      <c r="V6639">
        <v>-5.207084E-2</v>
      </c>
      <c r="W6639">
        <v>-7.3029469999999999E-2</v>
      </c>
      <c r="X6639">
        <v>0.99596949999999995</v>
      </c>
      <c r="Y6639">
        <v>1.5519710000000001E-2</v>
      </c>
      <c r="Z6639">
        <v>3.3482060000000001E-2</v>
      </c>
      <c r="AA6639">
        <v>0.99931879999999995</v>
      </c>
      <c r="AB6639">
        <v>25</v>
      </c>
      <c r="AC6639">
        <v>-1.85840000000001</v>
      </c>
      <c r="AD6639">
        <v>-1.120530830641</v>
      </c>
      <c r="AE6639">
        <v>-26.536549999999998</v>
      </c>
      <c r="AF6639">
        <v>0.41566224694891202</v>
      </c>
      <c r="AG6639">
        <v>-1.120530830641</v>
      </c>
      <c r="AH6639">
        <v>26.551174180814801</v>
      </c>
      <c r="AI6639">
        <v>92.416305956010305</v>
      </c>
      <c r="AJ6639">
        <v>89.103100037400495</v>
      </c>
      <c r="AK6639">
        <v>26.578058898759402</v>
      </c>
      <c r="AL6639">
        <v>94.188008871582497</v>
      </c>
      <c r="AM6639">
        <v>92.992787976096096</v>
      </c>
      <c r="AN6639">
        <v>0.99999996039851702</v>
      </c>
    </row>
    <row r="6640" spans="1:40" x14ac:dyDescent="0.25">
      <c r="A6640" t="str">
        <f>"20190303153940882"</f>
        <v>20190303153940882</v>
      </c>
      <c r="B6640" t="str">
        <f>"1551598780874950"</f>
        <v>1551598780874950</v>
      </c>
      <c r="C6640" t="s">
        <v>40</v>
      </c>
      <c r="D6640">
        <v>4.5621580000000002</v>
      </c>
      <c r="E6640">
        <v>0.5342808</v>
      </c>
      <c r="F6640" t="s">
        <v>42</v>
      </c>
      <c r="G6640">
        <v>-423.17579999999998</v>
      </c>
      <c r="H6640" s="1">
        <v>-3.8761110000000001E-6</v>
      </c>
      <c r="I6640">
        <v>76.721540000000005</v>
      </c>
      <c r="J6640">
        <v>-421.32010000000002</v>
      </c>
      <c r="K6640">
        <v>1.1205560000000001</v>
      </c>
      <c r="L6640">
        <v>102.977</v>
      </c>
      <c r="M6640">
        <v>-5.4252300000000003E-2</v>
      </c>
      <c r="N6640">
        <v>-8.7470989999999995E-3</v>
      </c>
      <c r="O6640">
        <v>-0.99848910000000002</v>
      </c>
      <c r="P6640">
        <v>-2.3060749999999999E-3</v>
      </c>
      <c r="Q6640">
        <v>-8.1505399999999895E-2</v>
      </c>
      <c r="R6640">
        <v>-0.99667039999999996</v>
      </c>
      <c r="S6640">
        <v>-0.21170040000000001</v>
      </c>
      <c r="T6640">
        <v>-0.1272703</v>
      </c>
      <c r="U6640">
        <v>-2.9991759999999998</v>
      </c>
      <c r="V6640">
        <v>-5.1778240000000003E-2</v>
      </c>
      <c r="W6640">
        <v>-7.2790960000000002E-2</v>
      </c>
      <c r="X6640">
        <v>0.99600230000000001</v>
      </c>
      <c r="Y6640">
        <v>1.6144349999999998E-2</v>
      </c>
      <c r="Z6640">
        <v>3.3523999999999998E-2</v>
      </c>
      <c r="AA6640">
        <v>0.99930750000000002</v>
      </c>
      <c r="AB6640">
        <v>25</v>
      </c>
      <c r="AC6640">
        <v>-1.8556999999999499</v>
      </c>
      <c r="AD6640">
        <v>-1.1205598761109901</v>
      </c>
      <c r="AE6640">
        <v>-26.255459999999999</v>
      </c>
      <c r="AF6640">
        <v>0.42771823809158799</v>
      </c>
      <c r="AG6640">
        <v>-1.1205598761109901</v>
      </c>
      <c r="AH6640">
        <v>26.269856518846002</v>
      </c>
      <c r="AI6640">
        <v>92.442189267603496</v>
      </c>
      <c r="AJ6640">
        <v>89.067209039198602</v>
      </c>
      <c r="AK6640">
        <v>26.2972234056734</v>
      </c>
      <c r="AL6640">
        <v>94.174306429526098</v>
      </c>
      <c r="AM6640">
        <v>92.975903186278302</v>
      </c>
      <c r="AN6640">
        <v>1.00000004580025</v>
      </c>
    </row>
    <row r="6641" spans="1:40" x14ac:dyDescent="0.25">
      <c r="A6641" t="str">
        <f>"20190303153940896"</f>
        <v>20190303153940896</v>
      </c>
      <c r="B6641" t="str">
        <f>"1551598780885687"</f>
        <v>1551598780885687</v>
      </c>
      <c r="C6641" t="s">
        <v>40</v>
      </c>
      <c r="D6641">
        <v>4.5148789999999996</v>
      </c>
      <c r="E6641">
        <v>0.5342808</v>
      </c>
      <c r="F6641" t="s">
        <v>63</v>
      </c>
      <c r="G6641">
        <v>-429.98520000000002</v>
      </c>
      <c r="H6641">
        <v>7.9987600000000006E-2</v>
      </c>
      <c r="I6641">
        <v>10.23573</v>
      </c>
      <c r="J6641">
        <v>-421.32839999999999</v>
      </c>
      <c r="K6641">
        <v>1.12059</v>
      </c>
      <c r="L6641">
        <v>102.824</v>
      </c>
      <c r="M6641">
        <v>-5.4266910000000002E-2</v>
      </c>
      <c r="N6641">
        <v>-9.1512620000000003E-3</v>
      </c>
      <c r="O6641">
        <v>-0.99848460000000006</v>
      </c>
      <c r="P6641">
        <v>-3.0567290000000002E-3</v>
      </c>
      <c r="Q6641">
        <v>-8.1837090000000001E-2</v>
      </c>
      <c r="R6641">
        <v>-0.99664129999999995</v>
      </c>
      <c r="S6641">
        <v>-0.28091430000000001</v>
      </c>
      <c r="T6641">
        <v>-3.3734319999999998E-2</v>
      </c>
      <c r="U6641">
        <v>-3.0065919999999999</v>
      </c>
      <c r="V6641">
        <v>-5.1040929999999998E-2</v>
      </c>
      <c r="W6641">
        <v>-7.2720530000000005E-2</v>
      </c>
      <c r="X6641">
        <v>0.99604550000000003</v>
      </c>
      <c r="Y6641">
        <v>3.8852900000000003E-2</v>
      </c>
      <c r="Z6641">
        <v>2.0380670000000002E-3</v>
      </c>
      <c r="AA6641">
        <v>0.99924279999999999</v>
      </c>
      <c r="AB6641">
        <v>25</v>
      </c>
      <c r="AC6641">
        <v>-8.6568000000000307</v>
      </c>
      <c r="AD6641">
        <v>-1.0406024</v>
      </c>
      <c r="AE6641">
        <v>-92.588269999999994</v>
      </c>
      <c r="AF6641">
        <v>3.6189003103627502</v>
      </c>
      <c r="AG6641">
        <v>-1.0406024</v>
      </c>
      <c r="AH6641">
        <v>92.909989712556097</v>
      </c>
      <c r="AI6641">
        <v>90.641206206244107</v>
      </c>
      <c r="AJ6641">
        <v>87.769422307729201</v>
      </c>
      <c r="AK6641">
        <v>92.986265013702507</v>
      </c>
      <c r="AL6641">
        <v>94.170260368192501</v>
      </c>
      <c r="AM6641">
        <v>92.933474564929995</v>
      </c>
      <c r="AN6641">
        <v>1.0000000450444899</v>
      </c>
    </row>
    <row r="6642" spans="1:40" x14ac:dyDescent="0.25">
      <c r="A6642" t="str">
        <f>"20190303153940989"</f>
        <v>20190303153940989</v>
      </c>
      <c r="B6642" t="str">
        <f>"1551598780985239"</f>
        <v>1551598780985239</v>
      </c>
      <c r="C6642" t="s">
        <v>40</v>
      </c>
      <c r="D6642">
        <v>4.4893340000000004</v>
      </c>
      <c r="E6642">
        <v>0.53983139999999996</v>
      </c>
      <c r="F6642" t="s">
        <v>63</v>
      </c>
      <c r="G6642">
        <v>-429.85910000000001</v>
      </c>
      <c r="H6642">
        <v>7.3854210000000003E-2</v>
      </c>
      <c r="I6642">
        <v>12.21644</v>
      </c>
      <c r="J6642">
        <v>-421.3852</v>
      </c>
      <c r="K6642">
        <v>1.1207389999999999</v>
      </c>
      <c r="L6642">
        <v>101.782</v>
      </c>
      <c r="M6642">
        <v>-5.4254780000000002E-2</v>
      </c>
      <c r="N6642">
        <v>-1.1241330000000001E-2</v>
      </c>
      <c r="O6642">
        <v>-0.99846420000000002</v>
      </c>
      <c r="P6642">
        <v>-1.0391900000000001E-2</v>
      </c>
      <c r="Q6642">
        <v>-8.4148269999999997E-2</v>
      </c>
      <c r="R6642">
        <v>-0.99639949999999999</v>
      </c>
      <c r="S6642">
        <v>-0.28305049999999998</v>
      </c>
      <c r="T6642">
        <v>-3.4730909999999997E-2</v>
      </c>
      <c r="U6642">
        <v>-3.0063780000000002</v>
      </c>
      <c r="V6642">
        <v>-4.3685660000000001E-2</v>
      </c>
      <c r="W6642">
        <v>-7.2952550000000005E-2</v>
      </c>
      <c r="X6642">
        <v>0.99637819999999999</v>
      </c>
      <c r="Y6642">
        <v>3.9573049999999999E-2</v>
      </c>
      <c r="Z6642">
        <v>2.8351679999999999E-4</v>
      </c>
      <c r="AA6642">
        <v>0.99921660000000001</v>
      </c>
      <c r="AB6642">
        <v>25</v>
      </c>
      <c r="AC6642">
        <v>-8.4739000000000093</v>
      </c>
      <c r="AD6642">
        <v>-1.04688479</v>
      </c>
      <c r="AE6642">
        <v>-89.565559999999905</v>
      </c>
      <c r="AF6642">
        <v>3.6012646951413601</v>
      </c>
      <c r="AG6642">
        <v>-1.04688479</v>
      </c>
      <c r="AH6642">
        <v>89.881232309761401</v>
      </c>
      <c r="AI6642">
        <v>90.666783091209794</v>
      </c>
      <c r="AJ6642">
        <v>87.705561508529101</v>
      </c>
      <c r="AK6642">
        <v>89.959440842466904</v>
      </c>
      <c r="AL6642">
        <v>94.183589666373805</v>
      </c>
      <c r="AM6642">
        <v>92.510494427546305</v>
      </c>
      <c r="AN6642">
        <v>1.00000001443818</v>
      </c>
    </row>
    <row r="6643" spans="1:40" x14ac:dyDescent="0.25">
      <c r="A6643" t="str">
        <f>"20190303153941004"</f>
        <v>20190303153941004</v>
      </c>
      <c r="B6643" t="str">
        <f>"1551598780994999"</f>
        <v>1551598780994999</v>
      </c>
      <c r="C6643" t="s">
        <v>40</v>
      </c>
      <c r="D6643">
        <v>4.4855320000000001</v>
      </c>
      <c r="E6643">
        <v>0.53771150000000001</v>
      </c>
      <c r="F6643" t="s">
        <v>71</v>
      </c>
      <c r="G6643">
        <v>-433.8211</v>
      </c>
      <c r="H6643">
        <v>4.4213380000000004</v>
      </c>
      <c r="I6643">
        <v>-5.2043239999999997</v>
      </c>
      <c r="J6643">
        <v>-421.3947</v>
      </c>
      <c r="K6643">
        <v>1.120765</v>
      </c>
      <c r="L6643">
        <v>101.6071</v>
      </c>
      <c r="M6643">
        <v>-5.4204299999999997E-2</v>
      </c>
      <c r="N6643">
        <v>-1.1489640000000001E-2</v>
      </c>
      <c r="O6643">
        <v>-0.99846389999999996</v>
      </c>
      <c r="P6643">
        <v>-1.1370190000000001E-2</v>
      </c>
      <c r="Q6643">
        <v>-8.4071610000000005E-2</v>
      </c>
      <c r="R6643">
        <v>-0.99639540000000004</v>
      </c>
      <c r="S6643">
        <v>-0.35046389999999999</v>
      </c>
      <c r="T6643">
        <v>9.3015429999999996E-2</v>
      </c>
      <c r="U6643">
        <v>-3.0150450000000002</v>
      </c>
      <c r="V6643">
        <v>-4.2655650000000003E-2</v>
      </c>
      <c r="W6643">
        <v>-7.262971E-2</v>
      </c>
      <c r="X6643">
        <v>0.99644639999999995</v>
      </c>
      <c r="Y6643">
        <v>6.1350200000000001E-2</v>
      </c>
      <c r="Z6643">
        <v>-4.2081939999999998E-2</v>
      </c>
      <c r="AA6643">
        <v>0.99722880000000003</v>
      </c>
      <c r="AB6643">
        <v>25</v>
      </c>
      <c r="AC6643">
        <v>-12.426399999999999</v>
      </c>
      <c r="AD6643">
        <v>3.3005729999999902</v>
      </c>
      <c r="AE6643">
        <v>-106.811424</v>
      </c>
      <c r="AF6643">
        <v>6.6118801065563098</v>
      </c>
      <c r="AG6643">
        <v>3.3005729999999902</v>
      </c>
      <c r="AH6643">
        <v>107.226964622099</v>
      </c>
      <c r="AI6643">
        <v>88.240264920585304</v>
      </c>
      <c r="AJ6643">
        <v>86.471467992435805</v>
      </c>
      <c r="AK6643">
        <v>107.48131317927199</v>
      </c>
      <c r="AL6643">
        <v>94.165043141854696</v>
      </c>
      <c r="AM6643">
        <v>92.451208095643196</v>
      </c>
      <c r="AN6643">
        <v>1.00000000366228</v>
      </c>
    </row>
    <row r="6644" spans="1:40" x14ac:dyDescent="0.25">
      <c r="A6644" t="str">
        <f>"20190303153941023"</f>
        <v>20190303153941023</v>
      </c>
      <c r="B6644" t="str">
        <f>"1551598781015500"</f>
        <v>1551598781015500</v>
      </c>
      <c r="C6644" t="s">
        <v>40</v>
      </c>
      <c r="D6644">
        <v>4.5671419999999996</v>
      </c>
      <c r="E6644">
        <v>0.53542330000000005</v>
      </c>
      <c r="F6644" t="s">
        <v>71</v>
      </c>
      <c r="G6644">
        <v>-433.05189999999999</v>
      </c>
      <c r="H6644">
        <v>4.0780110000000001</v>
      </c>
      <c r="I6644">
        <v>-2.7328929999999998</v>
      </c>
      <c r="J6644">
        <v>-421.40589999999997</v>
      </c>
      <c r="K6644">
        <v>1.1207990000000001</v>
      </c>
      <c r="L6644">
        <v>101.3998</v>
      </c>
      <c r="M6644">
        <v>-5.4113870000000001E-2</v>
      </c>
      <c r="N6644">
        <v>-1.1757780000000001E-2</v>
      </c>
      <c r="O6644">
        <v>-0.99846590000000002</v>
      </c>
      <c r="P6644">
        <v>-1.33965E-2</v>
      </c>
      <c r="Q6644">
        <v>-8.4418709999999994E-2</v>
      </c>
      <c r="R6644">
        <v>-0.99634089999999997</v>
      </c>
      <c r="S6644">
        <v>-0.33676149999999999</v>
      </c>
      <c r="T6644">
        <v>8.5429430000000001E-2</v>
      </c>
      <c r="U6644">
        <v>-3.014221</v>
      </c>
      <c r="V6644">
        <v>-4.0533810000000003E-2</v>
      </c>
      <c r="W6644">
        <v>-7.2711650000000003E-2</v>
      </c>
      <c r="X6644">
        <v>0.996529</v>
      </c>
      <c r="Y6644">
        <v>5.7004779999999998E-2</v>
      </c>
      <c r="Z6644">
        <v>-3.9873749999999999E-2</v>
      </c>
      <c r="AA6644">
        <v>0.9975773</v>
      </c>
      <c r="AB6644">
        <v>25</v>
      </c>
      <c r="AC6644">
        <v>-11.646000000000001</v>
      </c>
      <c r="AD6644">
        <v>2.95721199999999</v>
      </c>
      <c r="AE6644">
        <v>-104.132693</v>
      </c>
      <c r="AF6644">
        <v>5.98875292125825</v>
      </c>
      <c r="AG6644">
        <v>2.95721199999999</v>
      </c>
      <c r="AH6644">
        <v>104.527090148074</v>
      </c>
      <c r="AI6644">
        <v>88.382109423347401</v>
      </c>
      <c r="AJ6644">
        <v>86.720892607342606</v>
      </c>
      <c r="AK6644">
        <v>104.74026369638599</v>
      </c>
      <c r="AL6644">
        <v>94.169750374158497</v>
      </c>
      <c r="AM6644">
        <v>92.329221460409997</v>
      </c>
      <c r="AN6644">
        <v>1.0000000108199101</v>
      </c>
    </row>
    <row r="6645" spans="1:40" x14ac:dyDescent="0.25">
      <c r="A6645" t="str">
        <f>"20190303153941045"</f>
        <v>20190303153941045</v>
      </c>
      <c r="B6645" t="str">
        <f>"1551598781035015"</f>
        <v>1551598781035015</v>
      </c>
      <c r="C6645" t="s">
        <v>40</v>
      </c>
      <c r="D6645">
        <v>4.5772839999999997</v>
      </c>
      <c r="E6645">
        <v>0.53118489999999996</v>
      </c>
      <c r="F6645" t="s">
        <v>71</v>
      </c>
      <c r="G6645">
        <v>-432.55160000000001</v>
      </c>
      <c r="H6645">
        <v>3.5679090000000002</v>
      </c>
      <c r="I6645">
        <v>-2.3234859999999999</v>
      </c>
      <c r="J6645">
        <v>-421.41919999999999</v>
      </c>
      <c r="K6645">
        <v>1.120859</v>
      </c>
      <c r="L6645">
        <v>101.15219999999999</v>
      </c>
      <c r="M6645">
        <v>-5.3956150000000001E-2</v>
      </c>
      <c r="N6645">
        <v>-1.204115E-2</v>
      </c>
      <c r="O6645">
        <v>-0.99847070000000004</v>
      </c>
      <c r="P6645">
        <v>-1.5642570000000001E-2</v>
      </c>
      <c r="Q6645">
        <v>-8.4540950000000004E-2</v>
      </c>
      <c r="R6645">
        <v>-0.99629710000000005</v>
      </c>
      <c r="S6645">
        <v>-0.32373049999999998</v>
      </c>
      <c r="T6645">
        <v>7.1076039999999993E-2</v>
      </c>
      <c r="U6645">
        <v>-3.0126650000000001</v>
      </c>
      <c r="V6645">
        <v>-3.8124480000000002E-2</v>
      </c>
      <c r="W6645">
        <v>-7.2554160000000006E-2</v>
      </c>
      <c r="X6645">
        <v>0.99663559999999995</v>
      </c>
      <c r="Y6645">
        <v>5.2970980000000001E-2</v>
      </c>
      <c r="Z6645">
        <v>-3.5451700000000003E-2</v>
      </c>
      <c r="AA6645">
        <v>0.99796660000000004</v>
      </c>
      <c r="AB6645">
        <v>25</v>
      </c>
      <c r="AC6645">
        <v>-11.132400000000001</v>
      </c>
      <c r="AD6645">
        <v>2.4470499999999999</v>
      </c>
      <c r="AE6645">
        <v>-103.475686</v>
      </c>
      <c r="AF6645">
        <v>5.5295696520516397</v>
      </c>
      <c r="AG6645">
        <v>2.4470499999999999</v>
      </c>
      <c r="AH6645">
        <v>103.868212650685</v>
      </c>
      <c r="AI6645">
        <v>88.652315714447596</v>
      </c>
      <c r="AJ6645">
        <v>86.952655666916996</v>
      </c>
      <c r="AK6645">
        <v>104.044076205651</v>
      </c>
      <c r="AL6645">
        <v>94.160702799390194</v>
      </c>
      <c r="AM6645">
        <v>92.190677582371094</v>
      </c>
      <c r="AN6645">
        <v>1.00000005064796</v>
      </c>
    </row>
    <row r="6646" spans="1:40" x14ac:dyDescent="0.25">
      <c r="A6646" t="str">
        <f>"20190303153941061"</f>
        <v>20190303153941061</v>
      </c>
      <c r="B6646" t="str">
        <f>"1551598781055511"</f>
        <v>1551598781055511</v>
      </c>
      <c r="C6646" t="s">
        <v>40</v>
      </c>
      <c r="D6646">
        <v>4.6010160000000004</v>
      </c>
      <c r="E6646">
        <v>0.52836470000000002</v>
      </c>
      <c r="F6646" t="s">
        <v>71</v>
      </c>
      <c r="G6646">
        <v>-431.72489999999999</v>
      </c>
      <c r="H6646">
        <v>2.6933210000000001</v>
      </c>
      <c r="I6646">
        <v>-3.4890650000000001</v>
      </c>
      <c r="J6646">
        <v>-421.42829999999998</v>
      </c>
      <c r="K6646">
        <v>1.1209009999999999</v>
      </c>
      <c r="L6646">
        <v>100.979</v>
      </c>
      <c r="M6646">
        <v>-5.3807199999999999E-2</v>
      </c>
      <c r="N6646">
        <v>-1.221553E-2</v>
      </c>
      <c r="O6646">
        <v>-0.99847669999999999</v>
      </c>
      <c r="P6646">
        <v>-1.6415679999999998E-2</v>
      </c>
      <c r="Q6646">
        <v>-8.489795E-2</v>
      </c>
      <c r="R6646">
        <v>-0.99625459999999999</v>
      </c>
      <c r="S6646">
        <v>-0.29647829999999997</v>
      </c>
      <c r="T6646">
        <v>4.5236230000000002E-2</v>
      </c>
      <c r="U6646">
        <v>-3.010345</v>
      </c>
      <c r="V6646">
        <v>-3.7195350000000002E-2</v>
      </c>
      <c r="W6646">
        <v>-7.2740009999999994E-2</v>
      </c>
      <c r="X6646">
        <v>0.99665709999999996</v>
      </c>
      <c r="Y6646">
        <v>4.4282750000000003E-2</v>
      </c>
      <c r="Z6646">
        <v>-2.712985E-2</v>
      </c>
      <c r="AA6646">
        <v>0.99865060000000005</v>
      </c>
      <c r="AB6646">
        <v>25</v>
      </c>
      <c r="AC6646">
        <v>-10.2966</v>
      </c>
      <c r="AD6646">
        <v>1.5724199999999999</v>
      </c>
      <c r="AE6646">
        <v>-104.468065</v>
      </c>
      <c r="AF6646">
        <v>4.6590830911777896</v>
      </c>
      <c r="AG6646">
        <v>1.5724199999999999</v>
      </c>
      <c r="AH6646">
        <v>104.847251636064</v>
      </c>
      <c r="AI6646">
        <v>89.141632463587399</v>
      </c>
      <c r="AJ6646">
        <v>87.455629075503595</v>
      </c>
      <c r="AK6646">
        <v>104.962496805016</v>
      </c>
      <c r="AL6646">
        <v>94.171379687654706</v>
      </c>
      <c r="AM6646">
        <v>92.137292745568899</v>
      </c>
      <c r="AN6646">
        <v>0.99999998904841603</v>
      </c>
    </row>
    <row r="6647" spans="1:40" x14ac:dyDescent="0.25">
      <c r="A6647" t="str">
        <f>"20190303153941078"</f>
        <v>20190303153941078</v>
      </c>
      <c r="B6647" t="str">
        <f>"1551598781075031"</f>
        <v>1551598781075031</v>
      </c>
      <c r="C6647" t="s">
        <v>40</v>
      </c>
      <c r="D6647">
        <v>4.6135089999999996</v>
      </c>
      <c r="E6647">
        <v>0.52586619999999995</v>
      </c>
      <c r="F6647" t="s">
        <v>71</v>
      </c>
      <c r="G6647">
        <v>-430.99340000000001</v>
      </c>
      <c r="H6647">
        <v>2.079653</v>
      </c>
      <c r="I6647">
        <v>-2.890533</v>
      </c>
      <c r="J6647">
        <v>-421.43880000000001</v>
      </c>
      <c r="K6647">
        <v>1.120959</v>
      </c>
      <c r="L6647">
        <v>100.78100000000001</v>
      </c>
      <c r="M6647">
        <v>-5.359937E-2</v>
      </c>
      <c r="N6647">
        <v>-1.239585E-2</v>
      </c>
      <c r="O6647">
        <v>-0.99848579999999998</v>
      </c>
      <c r="P6647">
        <v>-1.8299280000000001E-2</v>
      </c>
      <c r="Q6647">
        <v>-8.5489880000000004E-2</v>
      </c>
      <c r="R6647">
        <v>-0.99617120000000003</v>
      </c>
      <c r="S6647">
        <v>-0.277099599999999</v>
      </c>
      <c r="T6647">
        <v>2.7774210000000001E-2</v>
      </c>
      <c r="U6647">
        <v>-3.0090940000000002</v>
      </c>
      <c r="V6647">
        <v>-3.5096479999999999E-2</v>
      </c>
      <c r="W6647">
        <v>-7.3154460000000004E-2</v>
      </c>
      <c r="X6647">
        <v>0.99670289999999995</v>
      </c>
      <c r="Y6647">
        <v>3.8167840000000001E-2</v>
      </c>
      <c r="Z6647">
        <v>-2.155112E-2</v>
      </c>
      <c r="AA6647">
        <v>0.99903889999999995</v>
      </c>
      <c r="AB6647">
        <v>25</v>
      </c>
      <c r="AC6647">
        <v>-9.55459999999999</v>
      </c>
      <c r="AD6647">
        <v>0.95869400000000005</v>
      </c>
      <c r="AE6647">
        <v>-103.671533</v>
      </c>
      <c r="AF6647">
        <v>3.9833709941017199</v>
      </c>
      <c r="AG6647">
        <v>0.95869400000000005</v>
      </c>
      <c r="AH6647">
        <v>104.02582341254499</v>
      </c>
      <c r="AI6647">
        <v>89.472368110912299</v>
      </c>
      <c r="AJ6647">
        <v>87.807093601370596</v>
      </c>
      <c r="AK6647">
        <v>104.106475664679</v>
      </c>
      <c r="AL6647">
        <v>94.195189293089499</v>
      </c>
      <c r="AM6647">
        <v>92.016698941573495</v>
      </c>
      <c r="AN6647">
        <v>1.00000000439734</v>
      </c>
    </row>
    <row r="6648" spans="1:40" x14ac:dyDescent="0.25">
      <c r="A6648" t="str">
        <f>"20190303153941101"</f>
        <v>20190303153941101</v>
      </c>
      <c r="B6648" t="str">
        <f>"1551598781095527"</f>
        <v>1551598781095527</v>
      </c>
      <c r="C6648" t="s">
        <v>40</v>
      </c>
      <c r="D6648">
        <v>4.6001010000000004</v>
      </c>
      <c r="E6648">
        <v>0.52393369999999995</v>
      </c>
      <c r="F6648" t="s">
        <v>71</v>
      </c>
      <c r="G6648">
        <v>-430.45010000000002</v>
      </c>
      <c r="H6648">
        <v>1.570001</v>
      </c>
      <c r="I6648">
        <v>-2.445999</v>
      </c>
      <c r="J6648">
        <v>-421.4522</v>
      </c>
      <c r="K6648">
        <v>1.1210209999999901</v>
      </c>
      <c r="L6648">
        <v>100.5252</v>
      </c>
      <c r="M6648">
        <v>-5.3266260000000003E-2</v>
      </c>
      <c r="N6648">
        <v>-1.2600220000000001E-2</v>
      </c>
      <c r="O6648">
        <v>-0.99850119999999998</v>
      </c>
      <c r="P6648">
        <v>-1.988521E-2</v>
      </c>
      <c r="Q6648">
        <v>-8.5548070000000004E-2</v>
      </c>
      <c r="R6648">
        <v>-0.99613600000000002</v>
      </c>
      <c r="S6648">
        <v>-0.26257320000000001</v>
      </c>
      <c r="T6648">
        <v>1.308346E-2</v>
      </c>
      <c r="U6648">
        <v>-3.0078429999999998</v>
      </c>
      <c r="V6648">
        <v>-3.3170030000000003E-2</v>
      </c>
      <c r="W6648">
        <v>-7.3011240000000005E-2</v>
      </c>
      <c r="X6648">
        <v>0.99677939999999998</v>
      </c>
      <c r="Y6648">
        <v>3.3759119999999997E-2</v>
      </c>
      <c r="Z6648">
        <v>-1.6901530000000001E-2</v>
      </c>
      <c r="AA6648">
        <v>0.99928709999999998</v>
      </c>
      <c r="AB6648">
        <v>25</v>
      </c>
      <c r="AC6648">
        <v>-8.9979000000000102</v>
      </c>
      <c r="AD6648">
        <v>0.44897999999999999</v>
      </c>
      <c r="AE6648">
        <v>-102.971199</v>
      </c>
      <c r="AF6648">
        <v>3.4997338557342701</v>
      </c>
      <c r="AG6648">
        <v>0.44897999999999999</v>
      </c>
      <c r="AH6648">
        <v>103.30236558847901</v>
      </c>
      <c r="AI6648">
        <v>89.751121408287204</v>
      </c>
      <c r="AJ6648">
        <v>88.059644471769204</v>
      </c>
      <c r="AK6648">
        <v>103.36260666351799</v>
      </c>
      <c r="AL6648">
        <v>94.186961272666494</v>
      </c>
      <c r="AM6648">
        <v>91.905939939930505</v>
      </c>
      <c r="AN6648">
        <v>1.0000000321604401</v>
      </c>
    </row>
    <row r="6649" spans="1:40" x14ac:dyDescent="0.25">
      <c r="A6649" t="str">
        <f>"20190303153941117"</f>
        <v>20190303153941117</v>
      </c>
      <c r="B6649" t="str">
        <f>"1551598781105287"</f>
        <v>1551598781105287</v>
      </c>
      <c r="C6649" t="s">
        <v>40</v>
      </c>
      <c r="D6649">
        <v>4.6037210000000002</v>
      </c>
      <c r="E6649">
        <v>0.52316600000000002</v>
      </c>
      <c r="F6649" t="s">
        <v>71</v>
      </c>
      <c r="G6649">
        <v>-430.0292</v>
      </c>
      <c r="H6649">
        <v>1.2854909999999999</v>
      </c>
      <c r="I6649">
        <v>-2.101559</v>
      </c>
      <c r="J6649">
        <v>-421.4615</v>
      </c>
      <c r="K6649">
        <v>1.1210599999999999</v>
      </c>
      <c r="L6649">
        <v>100.3462</v>
      </c>
      <c r="M6649">
        <v>-5.2991719999999999E-2</v>
      </c>
      <c r="N6649">
        <v>-1.272621E-2</v>
      </c>
      <c r="O6649">
        <v>-0.99851389999999995</v>
      </c>
      <c r="P6649">
        <v>-2.0379680000000001E-2</v>
      </c>
      <c r="Q6649">
        <v>-8.5430560000000003E-2</v>
      </c>
      <c r="R6649">
        <v>-0.99613580000000002</v>
      </c>
      <c r="S6649">
        <v>-0.25131229999999999</v>
      </c>
      <c r="T6649">
        <v>4.8183200000000001E-3</v>
      </c>
      <c r="U6649">
        <v>-3.00705</v>
      </c>
      <c r="V6649">
        <v>-3.2397759999999998E-2</v>
      </c>
      <c r="W6649">
        <v>-7.2769730000000005E-2</v>
      </c>
      <c r="X6649">
        <v>0.9968224</v>
      </c>
      <c r="Y6649">
        <v>3.034442E-2</v>
      </c>
      <c r="Z6649">
        <v>-1.4293760000000001E-2</v>
      </c>
      <c r="AA6649">
        <v>0.99943729999999997</v>
      </c>
      <c r="AB6649">
        <v>25</v>
      </c>
      <c r="AC6649">
        <v>-8.5677000000000003</v>
      </c>
      <c r="AD6649">
        <v>0.16443099999999999</v>
      </c>
      <c r="AE6649">
        <v>-102.447759</v>
      </c>
      <c r="AF6649">
        <v>3.1263296226748598</v>
      </c>
      <c r="AG6649">
        <v>0.16443099999999999</v>
      </c>
      <c r="AH6649">
        <v>102.75758266718</v>
      </c>
      <c r="AI6649">
        <v>89.908358714229394</v>
      </c>
      <c r="AJ6649">
        <v>88.257352399281601</v>
      </c>
      <c r="AK6649">
        <v>102.80526139291599</v>
      </c>
      <c r="AL6649">
        <v>94.173087110911794</v>
      </c>
      <c r="AM6649">
        <v>91.861516885608907</v>
      </c>
      <c r="AN6649">
        <v>0.99999997279952402</v>
      </c>
    </row>
    <row r="6650" spans="1:40" x14ac:dyDescent="0.25">
      <c r="A6650" t="str">
        <f>"20190303153941134"</f>
        <v>20190303153941134</v>
      </c>
      <c r="B6650" t="str">
        <f>"1551598781125783"</f>
        <v>1551598781125783</v>
      </c>
      <c r="C6650" t="s">
        <v>40</v>
      </c>
      <c r="D6650">
        <v>4.5873200000000001</v>
      </c>
      <c r="E6650">
        <v>0.52196540000000002</v>
      </c>
      <c r="F6650" t="s">
        <v>71</v>
      </c>
      <c r="G6650">
        <v>-429.8356</v>
      </c>
      <c r="H6650">
        <v>1.1759409999999999</v>
      </c>
      <c r="I6650">
        <v>-1.943136</v>
      </c>
      <c r="J6650">
        <v>-421.47129999999999</v>
      </c>
      <c r="K6650">
        <v>1.1211009999999999</v>
      </c>
      <c r="L6650">
        <v>100.1544</v>
      </c>
      <c r="M6650">
        <v>-5.2663349999999998E-2</v>
      </c>
      <c r="N6650">
        <v>-1.284771E-2</v>
      </c>
      <c r="O6650">
        <v>-0.99852969999999996</v>
      </c>
      <c r="P6650">
        <v>-2.192527E-2</v>
      </c>
      <c r="Q6650">
        <v>-8.5418720000000004E-2</v>
      </c>
      <c r="R6650">
        <v>-0.99610410000000005</v>
      </c>
      <c r="S6650">
        <v>-0.24615480000000001</v>
      </c>
      <c r="T6650">
        <v>1.612425E-3</v>
      </c>
      <c r="U6650">
        <v>-3.0067439999999999</v>
      </c>
      <c r="V6650">
        <v>-3.051953E-2</v>
      </c>
      <c r="W6650">
        <v>-7.2637170000000001E-2</v>
      </c>
      <c r="X6650">
        <v>0.99689139999999998</v>
      </c>
      <c r="Y6650">
        <v>2.8979669999999999E-2</v>
      </c>
      <c r="Z6650">
        <v>-1.335417E-2</v>
      </c>
      <c r="AA6650">
        <v>0.99949080000000001</v>
      </c>
      <c r="AB6650">
        <v>25</v>
      </c>
      <c r="AC6650">
        <v>-8.3643000000000107</v>
      </c>
      <c r="AD6650">
        <v>5.4839999999999701E-2</v>
      </c>
      <c r="AE6650">
        <v>-102.09753600000001</v>
      </c>
      <c r="AF6650">
        <v>2.9754483437175998</v>
      </c>
      <c r="AG6650">
        <v>5.4839999999999701E-2</v>
      </c>
      <c r="AH6650">
        <v>102.396333254987</v>
      </c>
      <c r="AI6650">
        <v>89.969327275395997</v>
      </c>
      <c r="AJ6650">
        <v>88.335558824573198</v>
      </c>
      <c r="AK6650">
        <v>102.43956932913299</v>
      </c>
      <c r="AL6650">
        <v>94.165471582964997</v>
      </c>
      <c r="AM6650">
        <v>91.753545329684101</v>
      </c>
      <c r="AN6650">
        <v>1.00000003178549</v>
      </c>
    </row>
    <row r="6651" spans="1:40" x14ac:dyDescent="0.25">
      <c r="A6651" t="str">
        <f>"20190303153941157"</f>
        <v>20190303153941157</v>
      </c>
      <c r="B6651" t="str">
        <f>"1551598781145303"</f>
        <v>1551598781145303</v>
      </c>
      <c r="C6651" t="s">
        <v>40</v>
      </c>
      <c r="D6651">
        <v>4.5576169999999996</v>
      </c>
      <c r="E6651">
        <v>0.52041539999999997</v>
      </c>
      <c r="F6651" t="s">
        <v>71</v>
      </c>
      <c r="G6651">
        <v>-429.65660000000003</v>
      </c>
      <c r="H6651">
        <v>1.0636950000000001</v>
      </c>
      <c r="I6651">
        <v>-1.796675</v>
      </c>
      <c r="J6651">
        <v>-421.48399999999998</v>
      </c>
      <c r="K6651">
        <v>1.1211450000000001</v>
      </c>
      <c r="L6651">
        <v>99.905209999999997</v>
      </c>
      <c r="M6651">
        <v>-5.2185139999999998E-2</v>
      </c>
      <c r="N6651">
        <v>-1.2985379999999999E-2</v>
      </c>
      <c r="O6651">
        <v>-0.99855289999999997</v>
      </c>
      <c r="P6651">
        <v>-2.3238499999999999E-2</v>
      </c>
      <c r="Q6651">
        <v>-8.5353139999999994E-2</v>
      </c>
      <c r="R6651">
        <v>-0.99607970000000001</v>
      </c>
      <c r="S6651">
        <v>-0.24136350000000001</v>
      </c>
      <c r="T6651">
        <v>-1.693487E-3</v>
      </c>
      <c r="U6651">
        <v>-3.006256</v>
      </c>
      <c r="V6651">
        <v>-2.8723539999999999E-2</v>
      </c>
      <c r="W6651">
        <v>-7.2434979999999996E-2</v>
      </c>
      <c r="X6651">
        <v>0.99695940000000005</v>
      </c>
      <c r="Y6651">
        <v>2.788974E-2</v>
      </c>
      <c r="Z6651">
        <v>-1.2397119999999999E-2</v>
      </c>
      <c r="AA6651">
        <v>0.99953409999999998</v>
      </c>
      <c r="AB6651">
        <v>25</v>
      </c>
      <c r="AC6651">
        <v>-8.1725999999999797</v>
      </c>
      <c r="AD6651">
        <v>-5.7450000000000001E-2</v>
      </c>
      <c r="AE6651">
        <v>-101.701885</v>
      </c>
      <c r="AF6651">
        <v>2.8536863045082401</v>
      </c>
      <c r="AG6651">
        <v>-5.7450000000000001E-2</v>
      </c>
      <c r="AH6651">
        <v>101.98977731511501</v>
      </c>
      <c r="AI6651">
        <v>90.032261610286994</v>
      </c>
      <c r="AJ6651">
        <v>88.397275323120994</v>
      </c>
      <c r="AK6651">
        <v>102.029708922518</v>
      </c>
      <c r="AL6651">
        <v>94.153856665288004</v>
      </c>
      <c r="AM6651">
        <v>91.650300378960296</v>
      </c>
      <c r="AN6651">
        <v>0.99999995666304498</v>
      </c>
    </row>
    <row r="6652" spans="1:40" x14ac:dyDescent="0.25">
      <c r="A6652" t="str">
        <f>"20190303153941180"</f>
        <v>20190303153941180</v>
      </c>
      <c r="B6652" t="str">
        <f>"1551598781175560"</f>
        <v>1551598781175560</v>
      </c>
      <c r="C6652" t="s">
        <v>40</v>
      </c>
      <c r="D6652">
        <v>4.5476010000000002</v>
      </c>
      <c r="E6652">
        <v>0.51830399999999999</v>
      </c>
      <c r="F6652" t="s">
        <v>71</v>
      </c>
      <c r="G6652">
        <v>-429.33600000000001</v>
      </c>
      <c r="H6652">
        <v>0.89099980000000001</v>
      </c>
      <c r="I6652">
        <v>-1.53426</v>
      </c>
      <c r="J6652">
        <v>-421.4966</v>
      </c>
      <c r="K6652">
        <v>1.1212</v>
      </c>
      <c r="L6652">
        <v>99.65222</v>
      </c>
      <c r="M6652">
        <v>-5.1650099999999997E-2</v>
      </c>
      <c r="N6652">
        <v>-1.310587E-2</v>
      </c>
      <c r="O6652">
        <v>-0.99857929999999995</v>
      </c>
      <c r="P6652">
        <v>-2.429251E-2</v>
      </c>
      <c r="Q6652">
        <v>-8.4920090000000004E-2</v>
      </c>
      <c r="R6652">
        <v>-0.99609159999999997</v>
      </c>
      <c r="S6652">
        <v>-0.23266600000000001</v>
      </c>
      <c r="T6652">
        <v>-6.8203209999999998E-3</v>
      </c>
      <c r="U6652">
        <v>-3.005798</v>
      </c>
      <c r="V6652">
        <v>-2.713252E-2</v>
      </c>
      <c r="W6652">
        <v>-7.1881849999999997E-2</v>
      </c>
      <c r="X6652">
        <v>0.99704400000000004</v>
      </c>
      <c r="Y6652">
        <v>2.556427E-2</v>
      </c>
      <c r="Z6652">
        <v>-1.081912E-2</v>
      </c>
      <c r="AA6652">
        <v>0.99961469999999997</v>
      </c>
      <c r="AB6652">
        <v>25</v>
      </c>
      <c r="AC6652">
        <v>-7.8394000000000101</v>
      </c>
      <c r="AD6652">
        <v>-0.23020019999999999</v>
      </c>
      <c r="AE6652">
        <v>-101.18648</v>
      </c>
      <c r="AF6652">
        <v>2.6021807074130301</v>
      </c>
      <c r="AG6652">
        <v>-0.23020019999999999</v>
      </c>
      <c r="AH6652">
        <v>101.455815995289</v>
      </c>
      <c r="AI6652">
        <v>90.129959440999798</v>
      </c>
      <c r="AJ6652">
        <v>88.530776278129295</v>
      </c>
      <c r="AK6652">
        <v>101.489442484606</v>
      </c>
      <c r="AL6652">
        <v>94.1220818206545</v>
      </c>
      <c r="AM6652">
        <v>91.558803130678299</v>
      </c>
      <c r="AN6652">
        <v>0.99999995596848501</v>
      </c>
    </row>
    <row r="6653" spans="1:40" x14ac:dyDescent="0.25">
      <c r="A6653" t="str">
        <f>"20190303153941202"</f>
        <v>20190303153941202</v>
      </c>
      <c r="B6653" t="str">
        <f>"1551598781195079"</f>
        <v>1551598781195079</v>
      </c>
      <c r="C6653" t="s">
        <v>40</v>
      </c>
      <c r="D6653">
        <v>4.5639669999999999</v>
      </c>
      <c r="E6653">
        <v>0.51712290000000005</v>
      </c>
      <c r="F6653" t="s">
        <v>71</v>
      </c>
      <c r="G6653">
        <v>-428.85489999999999</v>
      </c>
      <c r="H6653">
        <v>0.62185789999999996</v>
      </c>
      <c r="I6653">
        <v>-1.1406289999999999</v>
      </c>
      <c r="J6653">
        <v>-421.5086</v>
      </c>
      <c r="K6653">
        <v>1.1212470000000001</v>
      </c>
      <c r="L6653">
        <v>99.408659999999998</v>
      </c>
      <c r="M6653">
        <v>-5.1091909999999997E-2</v>
      </c>
      <c r="N6653">
        <v>-1.32059E-2</v>
      </c>
      <c r="O6653">
        <v>-0.99860700000000002</v>
      </c>
      <c r="P6653">
        <v>-2.4345889999999999E-2</v>
      </c>
      <c r="Q6653">
        <v>-8.4283060000000007E-2</v>
      </c>
      <c r="R6653">
        <v>-0.9961449</v>
      </c>
      <c r="S6653">
        <v>-0.2193909</v>
      </c>
      <c r="T6653">
        <v>-1.4888759999999999E-2</v>
      </c>
      <c r="U6653">
        <v>-3.0051570000000001</v>
      </c>
      <c r="V6653">
        <v>-2.6520620000000002E-2</v>
      </c>
      <c r="W6653">
        <v>-7.1145700000000006E-2</v>
      </c>
      <c r="X6653">
        <v>0.99711329999999998</v>
      </c>
      <c r="Y6653">
        <v>2.175009E-2</v>
      </c>
      <c r="Z6653">
        <v>-8.2440880000000001E-3</v>
      </c>
      <c r="AA6653">
        <v>0.99972950000000005</v>
      </c>
      <c r="AB6653">
        <v>25</v>
      </c>
      <c r="AC6653">
        <v>-7.3462999999999798</v>
      </c>
      <c r="AD6653">
        <v>-0.49938909999999898</v>
      </c>
      <c r="AE6653">
        <v>-100.549289</v>
      </c>
      <c r="AF6653">
        <v>2.1989483915923</v>
      </c>
      <c r="AG6653">
        <v>-0.49938909999999898</v>
      </c>
      <c r="AH6653">
        <v>100.790840394734</v>
      </c>
      <c r="AI6653">
        <v>90.283813951184896</v>
      </c>
      <c r="AJ6653">
        <v>88.750179303920405</v>
      </c>
      <c r="AK6653">
        <v>100.816061572444</v>
      </c>
      <c r="AL6653">
        <v>94.079795106453204</v>
      </c>
      <c r="AM6653">
        <v>91.523559493600402</v>
      </c>
      <c r="AN6653">
        <v>0.99999999347528201</v>
      </c>
    </row>
    <row r="6654" spans="1:40" x14ac:dyDescent="0.25">
      <c r="A6654" t="str">
        <f>"20190303153941224"</f>
        <v>20190303153941224</v>
      </c>
      <c r="B6654" t="str">
        <f>"1551598781215575"</f>
        <v>1551598781215575</v>
      </c>
      <c r="C6654" t="s">
        <v>40</v>
      </c>
      <c r="D6654">
        <v>4.5229419999999996</v>
      </c>
      <c r="E6654">
        <v>0.51606869999999905</v>
      </c>
      <c r="F6654" t="s">
        <v>71</v>
      </c>
      <c r="G6654">
        <v>-428.50170000000003</v>
      </c>
      <c r="H6654">
        <v>0.50911470000000003</v>
      </c>
      <c r="I6654">
        <v>-0.85153769999999995</v>
      </c>
      <c r="J6654">
        <v>-421.5204</v>
      </c>
      <c r="K6654">
        <v>1.1212979999999999</v>
      </c>
      <c r="L6654">
        <v>99.164150000000006</v>
      </c>
      <c r="M6654">
        <v>-5.048975E-2</v>
      </c>
      <c r="N6654">
        <v>-1.3292679999999999E-2</v>
      </c>
      <c r="O6654">
        <v>-0.99863639999999998</v>
      </c>
      <c r="P6654">
        <v>-2.4379959999999999E-2</v>
      </c>
      <c r="Q6654">
        <v>-8.3872429999999998E-2</v>
      </c>
      <c r="R6654">
        <v>-0.99617849999999997</v>
      </c>
      <c r="S6654">
        <v>-0.20959469999999999</v>
      </c>
      <c r="T6654">
        <v>-1.8347260000000001E-2</v>
      </c>
      <c r="U6654">
        <v>-3.0049440000000001</v>
      </c>
      <c r="V6654">
        <v>-2.5882510000000001E-2</v>
      </c>
      <c r="W6654">
        <v>-7.0649169999999997E-2</v>
      </c>
      <c r="X6654">
        <v>0.99716539999999998</v>
      </c>
      <c r="Y6654">
        <v>1.9116080000000001E-2</v>
      </c>
      <c r="Z6654">
        <v>-7.1836390000000003E-3</v>
      </c>
      <c r="AA6654">
        <v>0.9997914</v>
      </c>
      <c r="AB6654">
        <v>25</v>
      </c>
      <c r="AC6654">
        <v>-6.9813000000000303</v>
      </c>
      <c r="AD6654">
        <v>-0.61218329999999899</v>
      </c>
      <c r="AE6654">
        <v>-100.0156877</v>
      </c>
      <c r="AF6654">
        <v>1.9221108487529499</v>
      </c>
      <c r="AG6654">
        <v>-0.61218329999999899</v>
      </c>
      <c r="AH6654">
        <v>100.23688109079001</v>
      </c>
      <c r="AI6654">
        <v>90.349857618923096</v>
      </c>
      <c r="AJ6654">
        <v>88.901448820123903</v>
      </c>
      <c r="AK6654">
        <v>100.257177345649</v>
      </c>
      <c r="AL6654">
        <v>94.051274146248502</v>
      </c>
      <c r="AM6654">
        <v>91.486840286097603</v>
      </c>
      <c r="AN6654">
        <v>1.0000000222513701</v>
      </c>
    </row>
    <row r="6655" spans="1:40" x14ac:dyDescent="0.25">
      <c r="A6655" t="str">
        <f>"20190303153941246"</f>
        <v>20190303153941246</v>
      </c>
      <c r="B6655" t="str">
        <f>"1551598781235095"</f>
        <v>1551598781235095</v>
      </c>
      <c r="C6655" t="s">
        <v>40</v>
      </c>
      <c r="D6655">
        <v>4.5224630000000001</v>
      </c>
      <c r="E6655">
        <v>0.51517990000000002</v>
      </c>
      <c r="F6655" t="s">
        <v>71</v>
      </c>
      <c r="G6655">
        <v>-428.19349999999997</v>
      </c>
      <c r="H6655">
        <v>0.4056168</v>
      </c>
      <c r="I6655">
        <v>-0.59931559999999995</v>
      </c>
      <c r="J6655">
        <v>-421.53190000000001</v>
      </c>
      <c r="K6655">
        <v>1.1213379999999999</v>
      </c>
      <c r="L6655">
        <v>98.925110000000004</v>
      </c>
      <c r="M6655">
        <v>-4.9860370000000001E-2</v>
      </c>
      <c r="N6655">
        <v>-1.336589E-2</v>
      </c>
      <c r="O6655">
        <v>-0.99866699999999997</v>
      </c>
      <c r="P6655">
        <v>-2.4782990000000001E-2</v>
      </c>
      <c r="Q6655">
        <v>-8.3225820000000006E-2</v>
      </c>
      <c r="R6655">
        <v>-0.99622290000000002</v>
      </c>
      <c r="S6655">
        <v>-0.2009888</v>
      </c>
      <c r="T6655">
        <v>-2.1556499999999999E-2</v>
      </c>
      <c r="U6655">
        <v>-3.004791</v>
      </c>
      <c r="V6655">
        <v>-2.4851000000000002E-2</v>
      </c>
      <c r="W6655">
        <v>-6.992922E-2</v>
      </c>
      <c r="X6655">
        <v>0.99724239999999997</v>
      </c>
      <c r="Y6655">
        <v>1.690003E-2</v>
      </c>
      <c r="Z6655">
        <v>-6.1919439999999996E-3</v>
      </c>
      <c r="AA6655">
        <v>0.999838</v>
      </c>
      <c r="AB6655">
        <v>25</v>
      </c>
      <c r="AC6655">
        <v>-6.66159999999996</v>
      </c>
      <c r="AD6655">
        <v>-0.71572119999999995</v>
      </c>
      <c r="AE6655">
        <v>-99.524425599999901</v>
      </c>
      <c r="AF6655">
        <v>1.69045897434085</v>
      </c>
      <c r="AG6655">
        <v>-0.71572119999999995</v>
      </c>
      <c r="AH6655">
        <v>99.727659751295107</v>
      </c>
      <c r="AI6655">
        <v>90.411131780003501</v>
      </c>
      <c r="AJ6655">
        <v>89.028886369009797</v>
      </c>
      <c r="AK6655">
        <v>99.744553875638402</v>
      </c>
      <c r="AL6655">
        <v>94.009921715184205</v>
      </c>
      <c r="AM6655">
        <v>91.427499263550203</v>
      </c>
      <c r="AN6655">
        <v>1.00000003618428</v>
      </c>
    </row>
    <row r="6656" spans="1:40" x14ac:dyDescent="0.25">
      <c r="A6656" t="str">
        <f>"20190303153941262"</f>
        <v>20190303153941262</v>
      </c>
      <c r="B6656" t="str">
        <f>"1551598781255591"</f>
        <v>1551598781255591</v>
      </c>
      <c r="C6656" t="s">
        <v>40</v>
      </c>
      <c r="D6656">
        <v>4.5321030000000002</v>
      </c>
      <c r="E6656">
        <v>0.51440889999999995</v>
      </c>
      <c r="F6656" t="s">
        <v>71</v>
      </c>
      <c r="G6656">
        <v>-427.97669999999999</v>
      </c>
      <c r="H6656">
        <v>0.34451389999999998</v>
      </c>
      <c r="I6656">
        <v>-0.42191699999999999</v>
      </c>
      <c r="J6656">
        <v>-421.54</v>
      </c>
      <c r="K6656">
        <v>1.1213709999999999</v>
      </c>
      <c r="L6656">
        <v>98.751429999999999</v>
      </c>
      <c r="M6656">
        <v>-4.9375700000000002E-2</v>
      </c>
      <c r="N6656">
        <v>-1.3412220000000001E-2</v>
      </c>
      <c r="O6656">
        <v>-0.99869039999999998</v>
      </c>
      <c r="P6656">
        <v>-2.48344E-2</v>
      </c>
      <c r="Q6656">
        <v>-8.3065689999999998E-2</v>
      </c>
      <c r="R6656">
        <v>-0.99623479999999998</v>
      </c>
      <c r="S6656">
        <v>-0.1949158</v>
      </c>
      <c r="T6656">
        <v>-2.3494480000000002E-2</v>
      </c>
      <c r="U6656">
        <v>-3.004578</v>
      </c>
      <c r="V6656">
        <v>-2.4313060000000001E-2</v>
      </c>
      <c r="W6656">
        <v>-6.9723170000000001E-2</v>
      </c>
      <c r="X6656">
        <v>0.99726999999999999</v>
      </c>
      <c r="Y6656">
        <v>1.537813E-2</v>
      </c>
      <c r="Z6656">
        <v>-5.5946869999999897E-3</v>
      </c>
      <c r="AA6656">
        <v>0.99986609999999998</v>
      </c>
      <c r="AB6656">
        <v>25</v>
      </c>
      <c r="AC6656">
        <v>-6.4366999999999699</v>
      </c>
      <c r="AD6656">
        <v>-0.77685709999999897</v>
      </c>
      <c r="AE6656">
        <v>-99.173347000000007</v>
      </c>
      <c r="AF6656">
        <v>1.53156097580242</v>
      </c>
      <c r="AG6656">
        <v>-0.77685709999999897</v>
      </c>
      <c r="AH6656">
        <v>99.364134775896204</v>
      </c>
      <c r="AI6656">
        <v>90.447892392863693</v>
      </c>
      <c r="AJ6656">
        <v>89.116934577987905</v>
      </c>
      <c r="AK6656">
        <v>99.378973961995101</v>
      </c>
      <c r="AL6656">
        <v>93.9980873825007</v>
      </c>
      <c r="AM6656">
        <v>91.396572475406501</v>
      </c>
      <c r="AN6656">
        <v>0.999999949110705</v>
      </c>
    </row>
    <row r="6657" spans="1:40" x14ac:dyDescent="0.25">
      <c r="A6657" t="str">
        <f>"20190303153941279"</f>
        <v>20190303153941279</v>
      </c>
      <c r="B6657" t="str">
        <f>"1551598781265351"</f>
        <v>1551598781265351</v>
      </c>
      <c r="C6657" t="s">
        <v>40</v>
      </c>
      <c r="D6657">
        <v>4.5052029999999998</v>
      </c>
      <c r="E6657">
        <v>0.51401830000000004</v>
      </c>
      <c r="F6657" t="s">
        <v>71</v>
      </c>
      <c r="G6657">
        <v>-427.72710000000001</v>
      </c>
      <c r="H6657">
        <v>0.25675490000000001</v>
      </c>
      <c r="I6657">
        <v>0.53747749999999905</v>
      </c>
      <c r="J6657">
        <v>-421.54899999999998</v>
      </c>
      <c r="K6657">
        <v>1.12141</v>
      </c>
      <c r="L6657">
        <v>98.557980000000001</v>
      </c>
      <c r="M6657">
        <v>-4.8811930000000003E-2</v>
      </c>
      <c r="N6657">
        <v>-1.3458639999999999E-2</v>
      </c>
      <c r="O6657">
        <v>-0.99871719999999997</v>
      </c>
      <c r="P6657">
        <v>-2.4707610000000001E-2</v>
      </c>
      <c r="Q6657">
        <v>-8.1985849999999999E-2</v>
      </c>
      <c r="R6657">
        <v>-0.99632730000000003</v>
      </c>
      <c r="S6657">
        <v>-0.18926999999999999</v>
      </c>
      <c r="T6657">
        <v>-2.6449919999999998E-2</v>
      </c>
      <c r="U6657">
        <v>-3.0044249999999999</v>
      </c>
      <c r="V6657">
        <v>-2.3879810000000001E-2</v>
      </c>
      <c r="W6657">
        <v>-6.8596610000000002E-2</v>
      </c>
      <c r="X6657">
        <v>0.99735859999999998</v>
      </c>
      <c r="Y6657">
        <v>1.4074919999999999E-2</v>
      </c>
      <c r="Z6657">
        <v>-4.6598070000000002E-3</v>
      </c>
      <c r="AA6657">
        <v>0.9998901</v>
      </c>
      <c r="AB6657">
        <v>25</v>
      </c>
      <c r="AC6657">
        <v>-6.1780999999999704</v>
      </c>
      <c r="AD6657">
        <v>-0.86465509999999901</v>
      </c>
      <c r="AE6657">
        <v>-98.020502500000006</v>
      </c>
      <c r="AF6657">
        <v>1.3856230906626399</v>
      </c>
      <c r="AG6657">
        <v>-0.86465509999999901</v>
      </c>
      <c r="AH6657">
        <v>98.197621129771903</v>
      </c>
      <c r="AI6657">
        <v>90.504440700453301</v>
      </c>
      <c r="AJ6657">
        <v>89.191578311907705</v>
      </c>
      <c r="AK6657">
        <v>98.211202901387793</v>
      </c>
      <c r="AL6657">
        <v>93.933385281539302</v>
      </c>
      <c r="AM6657">
        <v>91.371573842012495</v>
      </c>
      <c r="AN6657">
        <v>0.99999995861154301</v>
      </c>
    </row>
    <row r="6658" spans="1:40" x14ac:dyDescent="0.25">
      <c r="A6658" t="str">
        <f>"20190303153941302"</f>
        <v>20190303153941302</v>
      </c>
      <c r="B6658" t="str">
        <f>"1551598781295607"</f>
        <v>1551598781295607</v>
      </c>
      <c r="C6658" t="s">
        <v>40</v>
      </c>
      <c r="D6658">
        <v>4.5298579999999999</v>
      </c>
      <c r="E6658">
        <v>0.51300009999999996</v>
      </c>
      <c r="F6658" t="s">
        <v>71</v>
      </c>
      <c r="G6658">
        <v>-427.5949</v>
      </c>
      <c r="H6658">
        <v>0.29893989999999998</v>
      </c>
      <c r="I6658">
        <v>0.64571190000000001</v>
      </c>
      <c r="J6658">
        <v>-421.56020000000001</v>
      </c>
      <c r="K6658">
        <v>1.121464</v>
      </c>
      <c r="L6658">
        <v>98.309719999999999</v>
      </c>
      <c r="M6658">
        <v>-4.8051599999999903E-2</v>
      </c>
      <c r="N6658">
        <v>-1.3510629999999999E-2</v>
      </c>
      <c r="O6658">
        <v>-0.99875380000000002</v>
      </c>
      <c r="P6658">
        <v>-2.433534E-2</v>
      </c>
      <c r="Q6658">
        <v>-8.0187700000000001E-2</v>
      </c>
      <c r="R6658">
        <v>-0.99648300000000001</v>
      </c>
      <c r="S6658">
        <v>-0.1855164</v>
      </c>
      <c r="T6658">
        <v>-2.5237679999999998E-2</v>
      </c>
      <c r="U6658">
        <v>-3.0043639999999998</v>
      </c>
      <c r="V6658">
        <v>-2.3498499999999999E-2</v>
      </c>
      <c r="W6658">
        <v>-6.6745780000000005E-2</v>
      </c>
      <c r="X6658">
        <v>0.99749330000000003</v>
      </c>
      <c r="Y6658">
        <v>1.359294E-2</v>
      </c>
      <c r="Z6658">
        <v>-5.113767E-3</v>
      </c>
      <c r="AA6658">
        <v>0.99989459999999997</v>
      </c>
      <c r="AB6658">
        <v>25</v>
      </c>
      <c r="AC6658">
        <v>-6.0346999999999804</v>
      </c>
      <c r="AD6658">
        <v>-0.82252409999999998</v>
      </c>
      <c r="AE6658">
        <v>-97.664008099999904</v>
      </c>
      <c r="AF6658">
        <v>1.33429478608735</v>
      </c>
      <c r="AG6658">
        <v>-0.82252409999999998</v>
      </c>
      <c r="AH6658">
        <v>97.834261847683294</v>
      </c>
      <c r="AI6658">
        <v>90.481647904104193</v>
      </c>
      <c r="AJ6658">
        <v>89.218630375565994</v>
      </c>
      <c r="AK6658">
        <v>97.846817422705698</v>
      </c>
      <c r="AL6658">
        <v>93.8270965889498</v>
      </c>
      <c r="AM6658">
        <v>91.349498687383601</v>
      </c>
      <c r="AN6658">
        <v>1.0000000310974699</v>
      </c>
    </row>
    <row r="6659" spans="1:40" x14ac:dyDescent="0.25">
      <c r="A6659" t="str">
        <f>"20190303153941323"</f>
        <v>20190303153941323</v>
      </c>
      <c r="B6659" t="str">
        <f>"1551598781315127"</f>
        <v>1551598781315127</v>
      </c>
      <c r="C6659" t="s">
        <v>40</v>
      </c>
      <c r="D6659">
        <v>4.5475690000000002</v>
      </c>
      <c r="E6659">
        <v>0.51230010000000004</v>
      </c>
      <c r="F6659" t="s">
        <v>71</v>
      </c>
      <c r="G6659">
        <v>-427.26569999999998</v>
      </c>
      <c r="H6659">
        <v>0.31626510000000002</v>
      </c>
      <c r="I6659">
        <v>0.91520880000000004</v>
      </c>
      <c r="J6659">
        <v>-421.57100000000003</v>
      </c>
      <c r="K6659">
        <v>1.1215040000000001</v>
      </c>
      <c r="L6659">
        <v>98.06729</v>
      </c>
      <c r="M6659">
        <v>-4.727145E-2</v>
      </c>
      <c r="N6659">
        <v>-1.3554129999999999E-2</v>
      </c>
      <c r="O6659">
        <v>-0.99879039999999997</v>
      </c>
      <c r="P6659">
        <v>-2.2934690000000001E-2</v>
      </c>
      <c r="Q6659">
        <v>-7.859033E-2</v>
      </c>
      <c r="R6659">
        <v>-0.99664350000000002</v>
      </c>
      <c r="S6659">
        <v>-0.17599489999999901</v>
      </c>
      <c r="T6659">
        <v>-2.4838570000000001E-2</v>
      </c>
      <c r="U6659">
        <v>-3.0043030000000002</v>
      </c>
      <c r="V6659">
        <v>-2.4124679999999999E-2</v>
      </c>
      <c r="W6659">
        <v>-6.5105830000000003E-2</v>
      </c>
      <c r="X6659">
        <v>0.99758670000000005</v>
      </c>
      <c r="Y6659">
        <v>1.1217950000000001E-2</v>
      </c>
      <c r="Z6659">
        <v>-5.2894750000000001E-3</v>
      </c>
      <c r="AA6659">
        <v>0.99992309999999995</v>
      </c>
      <c r="AB6659">
        <v>25</v>
      </c>
      <c r="AC6659">
        <v>-5.6947000000000099</v>
      </c>
      <c r="AD6659">
        <v>-0.80523889999999998</v>
      </c>
      <c r="AE6659">
        <v>-97.152081199999998</v>
      </c>
      <c r="AF6659">
        <v>1.0953172668111399</v>
      </c>
      <c r="AG6659">
        <v>-0.80523889999999998</v>
      </c>
      <c r="AH6659">
        <v>97.306012576090296</v>
      </c>
      <c r="AI6659">
        <v>90.474100352880498</v>
      </c>
      <c r="AJ6659">
        <v>89.355081925868205</v>
      </c>
      <c r="AK6659">
        <v>97.315508594772794</v>
      </c>
      <c r="AL6659">
        <v>93.732929638461599</v>
      </c>
      <c r="AM6659">
        <v>91.385316170048398</v>
      </c>
      <c r="AN6659">
        <v>0.99999999665099004</v>
      </c>
    </row>
    <row r="6660" spans="1:40" x14ac:dyDescent="0.25">
      <c r="A6660" t="str">
        <f>"20190303153941347"</f>
        <v>20190303153941347</v>
      </c>
      <c r="B6660" t="str">
        <f>"1551598781335623"</f>
        <v>1551598781335623</v>
      </c>
      <c r="C6660" t="s">
        <v>40</v>
      </c>
      <c r="D6660">
        <v>4.5308999999999999</v>
      </c>
      <c r="E6660">
        <v>0.51166060000000002</v>
      </c>
      <c r="F6660" t="s">
        <v>71</v>
      </c>
      <c r="G6660">
        <v>-426.93520000000001</v>
      </c>
      <c r="H6660">
        <v>0.37753199999999998</v>
      </c>
      <c r="I6660">
        <v>1.18573</v>
      </c>
      <c r="J6660">
        <v>-421.58159999999998</v>
      </c>
      <c r="K6660">
        <v>1.1215489999999999</v>
      </c>
      <c r="L6660">
        <v>97.821529999999996</v>
      </c>
      <c r="M6660">
        <v>-4.644388E-2</v>
      </c>
      <c r="N6660">
        <v>-1.359195E-2</v>
      </c>
      <c r="O6660">
        <v>-0.99882870000000001</v>
      </c>
      <c r="P6660">
        <v>-2.1218239999999999E-2</v>
      </c>
      <c r="Q6660">
        <v>-7.7272899999999894E-2</v>
      </c>
      <c r="R6660">
        <v>-0.99678469999999997</v>
      </c>
      <c r="S6660">
        <v>-0.16635129999999901</v>
      </c>
      <c r="T6660">
        <v>-2.307236E-2</v>
      </c>
      <c r="U6660">
        <v>-3.0044249999999999</v>
      </c>
      <c r="V6660">
        <v>-2.50183E-2</v>
      </c>
      <c r="W6660">
        <v>-6.3752199999999995E-2</v>
      </c>
      <c r="X6660">
        <v>0.99765210000000004</v>
      </c>
      <c r="Y6660">
        <v>8.8450619999999903E-3</v>
      </c>
      <c r="Z6660">
        <v>-5.914E-3</v>
      </c>
      <c r="AA6660">
        <v>0.99994340000000004</v>
      </c>
      <c r="AB6660">
        <v>25</v>
      </c>
      <c r="AC6660">
        <v>-5.3536000000000197</v>
      </c>
      <c r="AD6660">
        <v>-0.74401699999999904</v>
      </c>
      <c r="AE6660">
        <v>-96.635800000000003</v>
      </c>
      <c r="AF6660">
        <v>0.85921619268045701</v>
      </c>
      <c r="AG6660">
        <v>-0.74401699999999904</v>
      </c>
      <c r="AH6660">
        <v>96.774447028509698</v>
      </c>
      <c r="AI6660">
        <v>90.440472825513396</v>
      </c>
      <c r="AJ6660">
        <v>89.491310262777304</v>
      </c>
      <c r="AK6660">
        <v>96.7811211519886</v>
      </c>
      <c r="AL6660">
        <v>93.655210910156697</v>
      </c>
      <c r="AM6660">
        <v>91.436515427832006</v>
      </c>
      <c r="AN6660">
        <v>0.99999998548706903</v>
      </c>
    </row>
    <row r="6661" spans="1:40" x14ac:dyDescent="0.25">
      <c r="A6661" t="str">
        <f>"20190303153941368"</f>
        <v>20190303153941368</v>
      </c>
      <c r="B6661" t="str">
        <f>"1551598781364902"</f>
        <v>1551598781364902</v>
      </c>
      <c r="C6661" t="s">
        <v>40</v>
      </c>
      <c r="D6661">
        <v>4.5201770000000003</v>
      </c>
      <c r="E6661">
        <v>0.51079030000000003</v>
      </c>
      <c r="F6661" t="s">
        <v>71</v>
      </c>
      <c r="G6661">
        <v>-426.5677</v>
      </c>
      <c r="H6661">
        <v>0.41616320000000001</v>
      </c>
      <c r="I6661">
        <v>1.48645</v>
      </c>
      <c r="J6661">
        <v>-421.59210000000002</v>
      </c>
      <c r="K6661">
        <v>1.121588</v>
      </c>
      <c r="L6661">
        <v>97.576480000000004</v>
      </c>
      <c r="M6661">
        <v>-4.5585029999999999E-2</v>
      </c>
      <c r="N6661">
        <v>-1.3624290000000001E-2</v>
      </c>
      <c r="O6661">
        <v>-0.99886759999999997</v>
      </c>
      <c r="P6661">
        <v>-1.9795380000000001E-2</v>
      </c>
      <c r="Q6661">
        <v>-7.6026079999999996E-2</v>
      </c>
      <c r="R6661">
        <v>-0.99690959999999995</v>
      </c>
      <c r="S6661">
        <v>-0.15551760000000001</v>
      </c>
      <c r="T6661">
        <v>-2.200162E-2</v>
      </c>
      <c r="U6661">
        <v>-3.0046689999999998</v>
      </c>
      <c r="V6661">
        <v>-2.558742E-2</v>
      </c>
      <c r="W6661">
        <v>-6.2474090000000003E-2</v>
      </c>
      <c r="X6661">
        <v>0.99771849999999995</v>
      </c>
      <c r="Y6661">
        <v>6.1054880000000001E-3</v>
      </c>
      <c r="Z6661">
        <v>-6.3026360000000003E-3</v>
      </c>
      <c r="AA6661">
        <v>0.99996149999999995</v>
      </c>
      <c r="AB6661">
        <v>25</v>
      </c>
      <c r="AC6661">
        <v>-4.9755999999999796</v>
      </c>
      <c r="AD6661">
        <v>-0.70542479999999996</v>
      </c>
      <c r="AE6661">
        <v>-96.090029999999999</v>
      </c>
      <c r="AF6661">
        <v>0.58972174138048505</v>
      </c>
      <c r="AG6661">
        <v>-0.70542479999999996</v>
      </c>
      <c r="AH6661">
        <v>96.211784730190402</v>
      </c>
      <c r="AI6661">
        <v>90.420077233730296</v>
      </c>
      <c r="AJ6661">
        <v>89.648814915653205</v>
      </c>
      <c r="AK6661">
        <v>96.216178041165193</v>
      </c>
      <c r="AL6661">
        <v>93.581834377774598</v>
      </c>
      <c r="AM6661">
        <v>91.4690815970486</v>
      </c>
      <c r="AN6661">
        <v>0.99999996661291601</v>
      </c>
    </row>
    <row r="6662" spans="1:40" x14ac:dyDescent="0.25">
      <c r="A6662" t="str">
        <f>"20190303153941392"</f>
        <v>20190303153941392</v>
      </c>
      <c r="B6662" t="str">
        <f>"1551598781385399"</f>
        <v>1551598781385399</v>
      </c>
      <c r="C6662" t="s">
        <v>40</v>
      </c>
      <c r="D6662">
        <v>4.5616849999999998</v>
      </c>
      <c r="E6662">
        <v>0.51029849999999999</v>
      </c>
      <c r="F6662" t="s">
        <v>71</v>
      </c>
      <c r="G6662">
        <v>-426.21480000000003</v>
      </c>
      <c r="H6662">
        <v>0.3896618</v>
      </c>
      <c r="I6662">
        <v>1.065075</v>
      </c>
      <c r="J6662">
        <v>-421.60219999999998</v>
      </c>
      <c r="K6662">
        <v>1.121624</v>
      </c>
      <c r="L6662">
        <v>97.330780000000004</v>
      </c>
      <c r="M6662">
        <v>-4.4689979999999997E-2</v>
      </c>
      <c r="N6662">
        <v>-1.365162E-2</v>
      </c>
      <c r="O6662">
        <v>-0.99890769999999995</v>
      </c>
      <c r="P6662">
        <v>-1.851007E-2</v>
      </c>
      <c r="Q6662">
        <v>-7.5229560000000001E-2</v>
      </c>
      <c r="R6662">
        <v>-0.99699499999999996</v>
      </c>
      <c r="S6662">
        <v>-0.14392089999999999</v>
      </c>
      <c r="T6662">
        <v>-2.2787930000000001E-2</v>
      </c>
      <c r="U6662">
        <v>-3.0047000000000001</v>
      </c>
      <c r="V6662">
        <v>-2.598029E-2</v>
      </c>
      <c r="W6662">
        <v>-6.1651369999999997E-2</v>
      </c>
      <c r="X6662">
        <v>0.99775959999999997</v>
      </c>
      <c r="Y6662">
        <v>3.1516389999999999E-3</v>
      </c>
      <c r="Z6662">
        <v>-6.0691679999999998E-3</v>
      </c>
      <c r="AA6662">
        <v>0.99997659999999999</v>
      </c>
      <c r="AB6662">
        <v>25</v>
      </c>
      <c r="AC6662">
        <v>-4.6126000000000396</v>
      </c>
      <c r="AD6662">
        <v>-0.73196219999999901</v>
      </c>
      <c r="AE6662">
        <v>-96.265704999999997</v>
      </c>
      <c r="AF6662">
        <v>0.30546004963911999</v>
      </c>
      <c r="AG6662">
        <v>-0.73196219999999901</v>
      </c>
      <c r="AH6662">
        <v>96.370105776872904</v>
      </c>
      <c r="AI6662">
        <v>90.435169468743993</v>
      </c>
      <c r="AJ6662">
        <v>89.818392717302402</v>
      </c>
      <c r="AK6662">
        <v>96.373369568308703</v>
      </c>
      <c r="AL6662">
        <v>93.534604673772293</v>
      </c>
      <c r="AM6662">
        <v>91.491566389870499</v>
      </c>
      <c r="AN6662">
        <v>1.00000004314175</v>
      </c>
    </row>
    <row r="6663" spans="1:40" x14ac:dyDescent="0.25">
      <c r="A6663" t="str">
        <f>"20190303153941413"</f>
        <v>20190303153941413</v>
      </c>
      <c r="B6663" t="str">
        <f>"1551598781404919"</f>
        <v>1551598781404919</v>
      </c>
      <c r="C6663" t="s">
        <v>40</v>
      </c>
      <c r="D6663">
        <v>4.5621049999999999</v>
      </c>
      <c r="E6663">
        <v>0.5097969</v>
      </c>
      <c r="F6663" t="s">
        <v>71</v>
      </c>
      <c r="G6663">
        <v>-425.98899999999998</v>
      </c>
      <c r="H6663">
        <v>0.39145659999999999</v>
      </c>
      <c r="I6663">
        <v>0.78917309999999996</v>
      </c>
      <c r="J6663">
        <v>-421.61189999999999</v>
      </c>
      <c r="K6663">
        <v>1.121659</v>
      </c>
      <c r="L6663">
        <v>97.090029999999999</v>
      </c>
      <c r="M6663">
        <v>-4.3783370000000002E-2</v>
      </c>
      <c r="N6663">
        <v>-1.367442E-2</v>
      </c>
      <c r="O6663">
        <v>-0.99894760000000005</v>
      </c>
      <c r="P6663">
        <v>-1.7786989999999999E-2</v>
      </c>
      <c r="Q6663">
        <v>-7.4844720000000003E-2</v>
      </c>
      <c r="R6663">
        <v>-0.99703660000000005</v>
      </c>
      <c r="S6663">
        <v>-0.13653560000000001</v>
      </c>
      <c r="T6663">
        <v>-2.272677E-2</v>
      </c>
      <c r="U6663">
        <v>-3.004791</v>
      </c>
      <c r="V6663">
        <v>-2.5797770000000001E-2</v>
      </c>
      <c r="W6663">
        <v>-6.1244170000000001E-2</v>
      </c>
      <c r="X6663">
        <v>0.99778940000000005</v>
      </c>
      <c r="Y6663">
        <v>1.605534E-3</v>
      </c>
      <c r="Z6663">
        <v>-6.1126230000000002E-3</v>
      </c>
      <c r="AA6663">
        <v>0.99997999999999998</v>
      </c>
      <c r="AB6663">
        <v>24</v>
      </c>
      <c r="AC6663">
        <v>-4.3771000000000404</v>
      </c>
      <c r="AD6663">
        <v>-0.73020240000000003</v>
      </c>
      <c r="AE6663">
        <v>-96.300856899999999</v>
      </c>
      <c r="AF6663">
        <v>0.15612310958676801</v>
      </c>
      <c r="AG6663">
        <v>-0.73020240000000003</v>
      </c>
      <c r="AH6663">
        <v>96.394623140192707</v>
      </c>
      <c r="AI6663">
        <v>90.434014463201095</v>
      </c>
      <c r="AJ6663">
        <v>89.907202423218607</v>
      </c>
      <c r="AK6663">
        <v>96.397515218547497</v>
      </c>
      <c r="AL6663">
        <v>93.511229707564098</v>
      </c>
      <c r="AM6663">
        <v>91.481048119428294</v>
      </c>
      <c r="AN6663">
        <v>1.00000003002416</v>
      </c>
    </row>
    <row r="6664" spans="1:40" x14ac:dyDescent="0.25">
      <c r="A6664" t="str">
        <f>"20190303153941435"</f>
        <v>20190303153941435</v>
      </c>
      <c r="B6664" t="str">
        <f>"1551598781425415"</f>
        <v>1551598781425415</v>
      </c>
      <c r="C6664" t="s">
        <v>40</v>
      </c>
      <c r="D6664">
        <v>4.5473039999999996</v>
      </c>
      <c r="E6664">
        <v>0.5093297</v>
      </c>
      <c r="F6664" t="s">
        <v>71</v>
      </c>
      <c r="G6664">
        <v>-425.80950000000001</v>
      </c>
      <c r="H6664">
        <v>0.34607009999999899</v>
      </c>
      <c r="I6664">
        <v>0.56995959999999901</v>
      </c>
      <c r="J6664">
        <v>-421.62130000000002</v>
      </c>
      <c r="K6664">
        <v>1.121686</v>
      </c>
      <c r="L6664">
        <v>96.851439999999997</v>
      </c>
      <c r="M6664">
        <v>-4.2861969999999999E-2</v>
      </c>
      <c r="N6664">
        <v>-1.369369E-2</v>
      </c>
      <c r="O6664">
        <v>-0.99898750000000003</v>
      </c>
      <c r="P6664">
        <v>-1.7401639999999999E-2</v>
      </c>
      <c r="Q6664">
        <v>-7.4028099999999999E-2</v>
      </c>
      <c r="R6664">
        <v>-0.99710460000000001</v>
      </c>
      <c r="S6664">
        <v>-0.1306763</v>
      </c>
      <c r="T6664">
        <v>-2.41456E-2</v>
      </c>
      <c r="U6664">
        <v>-3.0047609999999998</v>
      </c>
      <c r="V6664">
        <v>-2.526571E-2</v>
      </c>
      <c r="W6664">
        <v>-6.0407519999999999E-2</v>
      </c>
      <c r="X6664">
        <v>0.99785400000000002</v>
      </c>
      <c r="Y6664">
        <v>5.8245439999999996E-4</v>
      </c>
      <c r="Z6664">
        <v>-5.6605780000000003E-3</v>
      </c>
      <c r="AA6664">
        <v>0.99998379999999998</v>
      </c>
      <c r="AB6664">
        <v>24</v>
      </c>
      <c r="AC6664">
        <v>-4.1881999999999904</v>
      </c>
      <c r="AD6664">
        <v>-0.77561590000000002</v>
      </c>
      <c r="AE6664">
        <v>-96.281480400000007</v>
      </c>
      <c r="AF6664">
        <v>5.7147160400754501E-2</v>
      </c>
      <c r="AG6664">
        <v>-0.77561590000000002</v>
      </c>
      <c r="AH6664">
        <v>96.366270957713198</v>
      </c>
      <c r="AI6664">
        <v>90.461142158690805</v>
      </c>
      <c r="AJ6664">
        <v>89.966022440364696</v>
      </c>
      <c r="AK6664">
        <v>96.3694091717785</v>
      </c>
      <c r="AL6664">
        <v>93.463204321759406</v>
      </c>
      <c r="AM6664">
        <v>91.450421915389896</v>
      </c>
      <c r="AN6664">
        <v>1.00000001494517</v>
      </c>
    </row>
    <row r="6665" spans="1:40" x14ac:dyDescent="0.25">
      <c r="A6665" t="str">
        <f>"20190303153941457"</f>
        <v>20190303153941457</v>
      </c>
      <c r="B6665" t="str">
        <f>"1551598781444935"</f>
        <v>1551598781444935</v>
      </c>
      <c r="C6665" t="s">
        <v>40</v>
      </c>
      <c r="D6665">
        <v>4.534796</v>
      </c>
      <c r="E6665">
        <v>0.50895950000000001</v>
      </c>
      <c r="F6665" t="s">
        <v>71</v>
      </c>
      <c r="G6665">
        <v>-425.64870000000002</v>
      </c>
      <c r="H6665">
        <v>0.34202670000000002</v>
      </c>
      <c r="I6665">
        <v>0.41993520000000001</v>
      </c>
      <c r="J6665">
        <v>-421.63069999999999</v>
      </c>
      <c r="K6665">
        <v>1.1217170000000001</v>
      </c>
      <c r="L6665">
        <v>96.607600000000005</v>
      </c>
      <c r="M6665">
        <v>-4.1894269999999997E-2</v>
      </c>
      <c r="N6665">
        <v>-1.3710379999999999E-2</v>
      </c>
      <c r="O6665">
        <v>-0.99902829999999998</v>
      </c>
      <c r="P6665">
        <v>-1.6918349999999999E-2</v>
      </c>
      <c r="Q6665">
        <v>-7.2791960000000003E-2</v>
      </c>
      <c r="R6665">
        <v>-0.99720399999999998</v>
      </c>
      <c r="S6665">
        <v>-0.1254883</v>
      </c>
      <c r="T6665">
        <v>-2.429402E-2</v>
      </c>
      <c r="U6665">
        <v>-3.0047000000000001</v>
      </c>
      <c r="V6665">
        <v>-2.4786519999999999E-2</v>
      </c>
      <c r="W6665">
        <v>-5.9153600000000001E-2</v>
      </c>
      <c r="X6665">
        <v>0.99794110000000003</v>
      </c>
      <c r="Y6665">
        <v>-1.7135779999999999E-4</v>
      </c>
      <c r="Z6665">
        <v>-5.6277899999999997E-3</v>
      </c>
      <c r="AA6665">
        <v>0.99998410000000004</v>
      </c>
      <c r="AB6665">
        <v>24</v>
      </c>
      <c r="AC6665">
        <v>-4.0180000000000202</v>
      </c>
      <c r="AD6665">
        <v>-0.77969029999999995</v>
      </c>
      <c r="AE6665">
        <v>-96.187664799999993</v>
      </c>
      <c r="AF6665">
        <v>-1.56167289478235E-2</v>
      </c>
      <c r="AG6665">
        <v>-0.77969029999999995</v>
      </c>
      <c r="AH6665">
        <v>96.265233732014593</v>
      </c>
      <c r="AI6665">
        <v>90.464051084529203</v>
      </c>
      <c r="AJ6665">
        <v>90.009294868105201</v>
      </c>
      <c r="AK6665">
        <v>96.268392457366602</v>
      </c>
      <c r="AL6665">
        <v>93.391231393798407</v>
      </c>
      <c r="AM6665">
        <v>91.422800459495704</v>
      </c>
      <c r="AN6665">
        <v>0.99999997951793995</v>
      </c>
    </row>
    <row r="6666" spans="1:40" x14ac:dyDescent="0.25">
      <c r="A6666" t="str">
        <f>"20190303153941480"</f>
        <v>20190303153941480</v>
      </c>
      <c r="B6666" t="str">
        <f>"1551598781475194"</f>
        <v>1551598781475194</v>
      </c>
      <c r="C6666" t="s">
        <v>40</v>
      </c>
      <c r="D6666">
        <v>4.4916600000000004</v>
      </c>
      <c r="E6666">
        <v>0.50847379999999998</v>
      </c>
      <c r="F6666" t="s">
        <v>71</v>
      </c>
      <c r="G6666">
        <v>-425.50900000000001</v>
      </c>
      <c r="H6666">
        <v>0.39470670000000002</v>
      </c>
      <c r="I6666">
        <v>0.42135810000000001</v>
      </c>
      <c r="J6666">
        <v>-421.63979999999998</v>
      </c>
      <c r="K6666">
        <v>1.1217459999999999</v>
      </c>
      <c r="L6666">
        <v>96.363069999999993</v>
      </c>
      <c r="M6666">
        <v>-4.089537E-2</v>
      </c>
      <c r="N6666">
        <v>-1.372463E-2</v>
      </c>
      <c r="O6666">
        <v>-0.99906919999999999</v>
      </c>
      <c r="P6666">
        <v>-1.6342949999999998E-2</v>
      </c>
      <c r="Q6666">
        <v>-7.0981779999999994E-2</v>
      </c>
      <c r="R6666">
        <v>-0.9973438</v>
      </c>
      <c r="S6666">
        <v>-0.12115480000000001</v>
      </c>
      <c r="T6666">
        <v>-2.2711519999999999E-2</v>
      </c>
      <c r="U6666">
        <v>-3.0047000000000001</v>
      </c>
      <c r="V6666">
        <v>-2.4370840000000001E-2</v>
      </c>
      <c r="W6666">
        <v>-5.732777E-2</v>
      </c>
      <c r="X6666">
        <v>0.99805790000000005</v>
      </c>
      <c r="Y6666">
        <v>-6.1138749999999997E-4</v>
      </c>
      <c r="Z6666">
        <v>-6.1677370000000004E-3</v>
      </c>
      <c r="AA6666">
        <v>0.9999808</v>
      </c>
      <c r="AB6666">
        <v>24</v>
      </c>
      <c r="AC6666">
        <v>-3.8692000000000299</v>
      </c>
      <c r="AD6666">
        <v>-0.72703929999999894</v>
      </c>
      <c r="AE6666">
        <v>-95.941711900000001</v>
      </c>
      <c r="AF6666">
        <v>-5.79753931345625E-2</v>
      </c>
      <c r="AG6666">
        <v>-0.72703929999999894</v>
      </c>
      <c r="AH6666">
        <v>96.014177851066506</v>
      </c>
      <c r="AI6666">
        <v>90.433847173710106</v>
      </c>
      <c r="AJ6666">
        <v>90.034596400373999</v>
      </c>
      <c r="AK6666">
        <v>96.016947960795903</v>
      </c>
      <c r="AL6666">
        <v>93.286441110671802</v>
      </c>
      <c r="AM6666">
        <v>91.398785431071303</v>
      </c>
      <c r="AN6666">
        <v>0.99999999140394402</v>
      </c>
    </row>
    <row r="6667" spans="1:40" x14ac:dyDescent="0.25">
      <c r="A6667" t="str">
        <f>"20190303153941502"</f>
        <v>20190303153941502</v>
      </c>
      <c r="B6667" t="str">
        <f>"1551598781494713"</f>
        <v>1551598781494713</v>
      </c>
      <c r="C6667" t="s">
        <v>40</v>
      </c>
      <c r="D6667">
        <v>4.5562420000000001</v>
      </c>
      <c r="E6667">
        <v>0.50851729999999995</v>
      </c>
      <c r="F6667" t="s">
        <v>71</v>
      </c>
      <c r="G6667">
        <v>-425.32889999999998</v>
      </c>
      <c r="H6667">
        <v>0.47776099999999999</v>
      </c>
      <c r="I6667">
        <v>0.42319109999999999</v>
      </c>
      <c r="J6667">
        <v>-421.64859999999999</v>
      </c>
      <c r="K6667">
        <v>1.121777</v>
      </c>
      <c r="L6667">
        <v>96.118380000000002</v>
      </c>
      <c r="M6667">
        <v>-3.9868710000000002E-2</v>
      </c>
      <c r="N6667">
        <v>-1.3736689999999999E-2</v>
      </c>
      <c r="O6667">
        <v>-0.99911070000000002</v>
      </c>
      <c r="P6667">
        <v>-1.5436419999999999E-2</v>
      </c>
      <c r="Q6667">
        <v>-6.9310460000000004E-2</v>
      </c>
      <c r="R6667">
        <v>-0.99747609999999998</v>
      </c>
      <c r="S6667">
        <v>-0.11553960000000001</v>
      </c>
      <c r="T6667">
        <v>-2.0169260000000001E-2</v>
      </c>
      <c r="U6667">
        <v>-3.0046689999999998</v>
      </c>
      <c r="V6667">
        <v>-2.4257509999999999E-2</v>
      </c>
      <c r="W6667">
        <v>-5.5643699999999997E-2</v>
      </c>
      <c r="X6667">
        <v>0.99815600000000004</v>
      </c>
      <c r="Y6667">
        <v>-1.449386E-3</v>
      </c>
      <c r="Z6667">
        <v>-7.0244869999999899E-3</v>
      </c>
      <c r="AA6667">
        <v>0.99997429999999998</v>
      </c>
      <c r="AB6667">
        <v>24</v>
      </c>
      <c r="AC6667">
        <v>-3.6802999999999799</v>
      </c>
      <c r="AD6667">
        <v>-0.64401600000000003</v>
      </c>
      <c r="AE6667">
        <v>-95.695188900000005</v>
      </c>
      <c r="AF6667">
        <v>-0.138223388987463</v>
      </c>
      <c r="AG6667">
        <v>-0.64401600000000003</v>
      </c>
      <c r="AH6667">
        <v>95.761501784603695</v>
      </c>
      <c r="AI6667">
        <v>90.385319813586705</v>
      </c>
      <c r="AJ6667">
        <v>90.082701411019798</v>
      </c>
      <c r="AK6667">
        <v>95.763767085240403</v>
      </c>
      <c r="AL6667">
        <v>93.189796588175597</v>
      </c>
      <c r="AM6667">
        <v>91.392146542567104</v>
      </c>
      <c r="AN6667">
        <v>1.0000000242385401</v>
      </c>
    </row>
    <row r="6668" spans="1:40" x14ac:dyDescent="0.25">
      <c r="A6668" t="str">
        <f>"20190303153941524"</f>
        <v>20190303153941524</v>
      </c>
      <c r="B6668" t="str">
        <f>"1551598781515207"</f>
        <v>1551598781515207</v>
      </c>
      <c r="C6668" t="s">
        <v>40</v>
      </c>
      <c r="D6668">
        <v>4.5160679999999997</v>
      </c>
      <c r="E6668">
        <v>0.51221740000000004</v>
      </c>
      <c r="F6668" t="s">
        <v>71</v>
      </c>
      <c r="G6668">
        <v>-425.24079999999998</v>
      </c>
      <c r="H6668">
        <v>0.63927219999999996</v>
      </c>
      <c r="I6668">
        <v>0.42408940000000001</v>
      </c>
      <c r="J6668">
        <v>-421.65699999999998</v>
      </c>
      <c r="K6668">
        <v>1.1217980000000001</v>
      </c>
      <c r="L6668">
        <v>95.878720000000001</v>
      </c>
      <c r="M6668">
        <v>-3.8842160000000001E-2</v>
      </c>
      <c r="N6668">
        <v>-1.3746629999999999E-2</v>
      </c>
      <c r="O6668">
        <v>-0.99915109999999996</v>
      </c>
      <c r="P6668">
        <v>-1.4815460000000001E-2</v>
      </c>
      <c r="Q6668">
        <v>-6.8469230000000006E-2</v>
      </c>
      <c r="R6668">
        <v>-0.99754330000000002</v>
      </c>
      <c r="S6668">
        <v>-0.112793</v>
      </c>
      <c r="T6668">
        <v>-1.5151619999999999E-2</v>
      </c>
      <c r="U6668">
        <v>-3.004791</v>
      </c>
      <c r="V6668">
        <v>-2.3855970000000001E-2</v>
      </c>
      <c r="W6668">
        <v>-5.4791859999999998E-2</v>
      </c>
      <c r="X6668">
        <v>0.99821280000000001</v>
      </c>
      <c r="Y6668">
        <v>-1.3367629999999999E-3</v>
      </c>
      <c r="Z6668">
        <v>-8.7019719999999901E-3</v>
      </c>
      <c r="AA6668">
        <v>0.99996130000000005</v>
      </c>
      <c r="AB6668">
        <v>24</v>
      </c>
      <c r="AC6668">
        <v>-3.5837999999999899</v>
      </c>
      <c r="AD6668">
        <v>-0.48252579999999901</v>
      </c>
      <c r="AE6668">
        <v>-95.454630600000002</v>
      </c>
      <c r="AF6668">
        <v>-0.126915037897883</v>
      </c>
      <c r="AG6668">
        <v>-0.48252579999999901</v>
      </c>
      <c r="AH6668">
        <v>95.519361249556894</v>
      </c>
      <c r="AI6668">
        <v>90.289432759138606</v>
      </c>
      <c r="AJ6668">
        <v>90.076127935258498</v>
      </c>
      <c r="AK6668">
        <v>95.520664319810194</v>
      </c>
      <c r="AL6668">
        <v>93.140915173053699</v>
      </c>
      <c r="AM6668">
        <v>91.3690329987041</v>
      </c>
      <c r="AN6668">
        <v>1.00000002465537</v>
      </c>
    </row>
    <row r="6669" spans="1:40" x14ac:dyDescent="0.25">
      <c r="A6669" t="str">
        <f>"20190303153941547"</f>
        <v>20190303153941547</v>
      </c>
      <c r="B6669" t="str">
        <f>"1551598781535708"</f>
        <v>1551598781535708</v>
      </c>
      <c r="C6669" t="s">
        <v>40</v>
      </c>
      <c r="D6669">
        <v>4.5438739999999997</v>
      </c>
      <c r="E6669">
        <v>0.51232250000000001</v>
      </c>
      <c r="F6669" t="s">
        <v>42</v>
      </c>
      <c r="G6669">
        <v>-423.13780000000003</v>
      </c>
      <c r="H6669" s="1">
        <v>-2.9008639999999999E-6</v>
      </c>
      <c r="I6669">
        <v>64.404939999999996</v>
      </c>
      <c r="J6669">
        <v>-421.66500000000002</v>
      </c>
      <c r="K6669">
        <v>1.1218079999999999</v>
      </c>
      <c r="L6669">
        <v>95.640839999999997</v>
      </c>
      <c r="M6669">
        <v>-3.7808469999999997E-2</v>
      </c>
      <c r="N6669">
        <v>-1.3754870000000001E-2</v>
      </c>
      <c r="O6669">
        <v>-0.99919040000000003</v>
      </c>
      <c r="P6669">
        <v>-1.528002E-2</v>
      </c>
      <c r="Q6669">
        <v>-6.8998500000000004E-2</v>
      </c>
      <c r="R6669">
        <v>-0.99749980000000005</v>
      </c>
      <c r="S6669">
        <v>-0.14105219999999999</v>
      </c>
      <c r="T6669">
        <v>-0.1068543</v>
      </c>
      <c r="U6669">
        <v>-2.9979550000000001</v>
      </c>
      <c r="V6669">
        <v>-2.2355949999999999E-2</v>
      </c>
      <c r="W6669">
        <v>-5.531092E-2</v>
      </c>
      <c r="X6669">
        <v>0.99821890000000002</v>
      </c>
      <c r="Y6669">
        <v>9.1793039999999992E-3</v>
      </c>
      <c r="Z6669">
        <v>2.1823909999999998E-2</v>
      </c>
      <c r="AA6669">
        <v>0.99971969999999999</v>
      </c>
      <c r="AB6669">
        <v>24</v>
      </c>
      <c r="AC6669">
        <v>-1.4728000000000001</v>
      </c>
      <c r="AD6669">
        <v>-1.12181090086399</v>
      </c>
      <c r="AE6669">
        <v>-31.235900000000001</v>
      </c>
      <c r="AF6669">
        <v>0.29027993025030002</v>
      </c>
      <c r="AG6669">
        <v>-1.12181090086399</v>
      </c>
      <c r="AH6669">
        <v>31.229061101400799</v>
      </c>
      <c r="AI6669">
        <v>92.057206639054897</v>
      </c>
      <c r="AJ6669">
        <v>89.467440412230701</v>
      </c>
      <c r="AK6669">
        <v>31.250551665694299</v>
      </c>
      <c r="AL6669">
        <v>93.170700273548405</v>
      </c>
      <c r="AM6669">
        <v>91.282972593438501</v>
      </c>
      <c r="AN6669">
        <v>1.00000002934442</v>
      </c>
    </row>
    <row r="6670" spans="1:40" x14ac:dyDescent="0.25">
      <c r="A6670" t="str">
        <f>"20190303153941570"</f>
        <v>20190303153941570</v>
      </c>
      <c r="B6670" t="str">
        <f>"1551598781564983"</f>
        <v>1551598781564983</v>
      </c>
      <c r="C6670" t="s">
        <v>40</v>
      </c>
      <c r="D6670">
        <v>4.5375730000000001</v>
      </c>
      <c r="E6670">
        <v>0.51251349999999996</v>
      </c>
      <c r="F6670" t="s">
        <v>42</v>
      </c>
      <c r="G6670">
        <v>-423.14589999999998</v>
      </c>
      <c r="H6670" s="1">
        <v>-3.0197960000000002E-6</v>
      </c>
      <c r="I6670">
        <v>64.677169999999904</v>
      </c>
      <c r="J6670">
        <v>-421.67320000000001</v>
      </c>
      <c r="K6670">
        <v>1.121815</v>
      </c>
      <c r="L6670">
        <v>95.391750000000002</v>
      </c>
      <c r="M6670">
        <v>-3.6715940000000002E-2</v>
      </c>
      <c r="N6670">
        <v>-1.3761890000000001E-2</v>
      </c>
      <c r="O6670">
        <v>-0.99923119999999999</v>
      </c>
      <c r="P6670">
        <v>-1.512148E-2</v>
      </c>
      <c r="Q6670">
        <v>-6.9866890000000001E-2</v>
      </c>
      <c r="R6670">
        <v>-0.9974421</v>
      </c>
      <c r="S6670">
        <v>-0.14337159999999999</v>
      </c>
      <c r="T6670">
        <v>-0.1086112</v>
      </c>
      <c r="U6670">
        <v>-2.997833</v>
      </c>
      <c r="V6670">
        <v>-2.1419589999999999E-2</v>
      </c>
      <c r="W6670">
        <v>-5.6171369999999998E-2</v>
      </c>
      <c r="X6670">
        <v>0.99819139999999995</v>
      </c>
      <c r="Y6670">
        <v>1.1044979999999999E-2</v>
      </c>
      <c r="Z6670">
        <v>2.2403590000000001E-2</v>
      </c>
      <c r="AA6670">
        <v>0.99968800000000002</v>
      </c>
      <c r="AB6670">
        <v>24</v>
      </c>
      <c r="AC6670">
        <v>-1.4726999999999699</v>
      </c>
      <c r="AD6670">
        <v>-1.1218180197959999</v>
      </c>
      <c r="AE6670">
        <v>-30.714580000000002</v>
      </c>
      <c r="AF6670">
        <v>0.34342851910445499</v>
      </c>
      <c r="AG6670">
        <v>-1.1218180197959999</v>
      </c>
      <c r="AH6670">
        <v>30.707073962571599</v>
      </c>
      <c r="AI6670">
        <v>92.092118957268198</v>
      </c>
      <c r="AJ6670">
        <v>89.359229590559906</v>
      </c>
      <c r="AK6670">
        <v>30.729477869956</v>
      </c>
      <c r="AL6670">
        <v>93.220077140922697</v>
      </c>
      <c r="AM6670">
        <v>91.229287078507795</v>
      </c>
      <c r="AN6670">
        <v>1.0000000463387</v>
      </c>
    </row>
    <row r="6671" spans="1:40" x14ac:dyDescent="0.25">
      <c r="A6671" t="str">
        <f>"20190303153941592"</f>
        <v>20190303153941592</v>
      </c>
      <c r="B6671" t="str">
        <f>"1551598781585479"</f>
        <v>1551598781585479</v>
      </c>
      <c r="C6671" t="s">
        <v>40</v>
      </c>
      <c r="D6671">
        <v>4.5002649999999997</v>
      </c>
      <c r="E6671">
        <v>0.51251639999999998</v>
      </c>
      <c r="F6671" t="s">
        <v>42</v>
      </c>
      <c r="G6671">
        <v>-423.09109999999998</v>
      </c>
      <c r="H6671" s="1">
        <v>-3.5663090000000001E-6</v>
      </c>
      <c r="I6671">
        <v>65.985079999999996</v>
      </c>
      <c r="J6671">
        <v>-421.6807</v>
      </c>
      <c r="K6671">
        <v>1.121826</v>
      </c>
      <c r="L6671">
        <v>95.154600000000002</v>
      </c>
      <c r="M6671">
        <v>-3.566954E-2</v>
      </c>
      <c r="N6671">
        <v>-1.376723E-2</v>
      </c>
      <c r="O6671">
        <v>-0.99926879999999996</v>
      </c>
      <c r="P6671">
        <v>-1.427169E-2</v>
      </c>
      <c r="Q6671">
        <v>-6.9622509999999999E-2</v>
      </c>
      <c r="R6671">
        <v>-0.99747110000000005</v>
      </c>
      <c r="S6671">
        <v>-0.144531299999999</v>
      </c>
      <c r="T6671">
        <v>-0.1143498</v>
      </c>
      <c r="U6671">
        <v>-2.9974980000000002</v>
      </c>
      <c r="V6671">
        <v>-2.1226169999999999E-2</v>
      </c>
      <c r="W6671">
        <v>-5.592101E-2</v>
      </c>
      <c r="X6671">
        <v>0.99820949999999997</v>
      </c>
      <c r="Y6671">
        <v>1.248047E-2</v>
      </c>
      <c r="Z6671">
        <v>2.4311760000000002E-2</v>
      </c>
      <c r="AA6671">
        <v>0.99962649999999997</v>
      </c>
      <c r="AB6671">
        <v>24</v>
      </c>
      <c r="AC6671">
        <v>-1.4103999999999799</v>
      </c>
      <c r="AD6671">
        <v>-1.1218295663090001</v>
      </c>
      <c r="AE6671">
        <v>-29.169519999999899</v>
      </c>
      <c r="AF6671">
        <v>0.36839670124625301</v>
      </c>
      <c r="AG6671">
        <v>-1.1218295663090001</v>
      </c>
      <c r="AH6671">
        <v>29.158240109128599</v>
      </c>
      <c r="AI6671">
        <v>92.203126486106498</v>
      </c>
      <c r="AJ6671">
        <v>89.2761410470236</v>
      </c>
      <c r="AK6671">
        <v>29.182138097934601</v>
      </c>
      <c r="AL6671">
        <v>93.205710271788405</v>
      </c>
      <c r="AM6671">
        <v>91.2181678310412</v>
      </c>
      <c r="AN6671">
        <v>0.99999995777126804</v>
      </c>
    </row>
    <row r="6672" spans="1:40" x14ac:dyDescent="0.25">
      <c r="A6672" t="str">
        <f>"20190303153941614"</f>
        <v>20190303153941614</v>
      </c>
      <c r="B6672" t="str">
        <f>"1551598781604999"</f>
        <v>1551598781604999</v>
      </c>
      <c r="C6672" t="s">
        <v>40</v>
      </c>
      <c r="D6672">
        <v>4.4756340000000003</v>
      </c>
      <c r="E6672">
        <v>0.51248369999999999</v>
      </c>
      <c r="F6672" t="s">
        <v>42</v>
      </c>
      <c r="G6672">
        <v>-423.06659999999999</v>
      </c>
      <c r="H6672" s="1">
        <v>-3.4786879999999999E-6</v>
      </c>
      <c r="I6672">
        <v>65.796009999999995</v>
      </c>
      <c r="J6672">
        <v>-421.68799999999999</v>
      </c>
      <c r="K6672">
        <v>1.121834</v>
      </c>
      <c r="L6672">
        <v>94.912959999999998</v>
      </c>
      <c r="M6672">
        <v>-3.4603309999999998E-2</v>
      </c>
      <c r="N6672">
        <v>-1.37716E-2</v>
      </c>
      <c r="O6672">
        <v>-0.99930629999999998</v>
      </c>
      <c r="P6672">
        <v>-1.369883E-2</v>
      </c>
      <c r="Q6672">
        <v>-6.7798269999999994E-2</v>
      </c>
      <c r="R6672">
        <v>-0.99760499999999996</v>
      </c>
      <c r="S6672">
        <v>-0.14151</v>
      </c>
      <c r="T6672">
        <v>-0.1145418</v>
      </c>
      <c r="U6672">
        <v>-2.9975890000000001</v>
      </c>
      <c r="V6672">
        <v>-2.0742770000000001E-2</v>
      </c>
      <c r="W6672">
        <v>-5.4089669999999999E-2</v>
      </c>
      <c r="X6672">
        <v>0.9983206</v>
      </c>
      <c r="Y6672">
        <v>1.2540590000000001E-2</v>
      </c>
      <c r="Z6672">
        <v>2.4372499999999998E-2</v>
      </c>
      <c r="AA6672">
        <v>0.99962430000000002</v>
      </c>
      <c r="AB6672">
        <v>24</v>
      </c>
      <c r="AC6672">
        <v>-1.3785999999999401</v>
      </c>
      <c r="AD6672">
        <v>-1.1218374786880001</v>
      </c>
      <c r="AE6672">
        <v>-29.116949999999999</v>
      </c>
      <c r="AF6672">
        <v>0.369588483914841</v>
      </c>
      <c r="AG6672">
        <v>-1.1218374786880001</v>
      </c>
      <c r="AH6672">
        <v>29.104110741587998</v>
      </c>
      <c r="AI6672">
        <v>92.207233681160503</v>
      </c>
      <c r="AJ6672">
        <v>89.272449094700505</v>
      </c>
      <c r="AK6672">
        <v>29.128068542810201</v>
      </c>
      <c r="AL6672">
        <v>93.100623011290395</v>
      </c>
      <c r="AM6672">
        <v>91.190301186734899</v>
      </c>
      <c r="AN6672">
        <v>0.99999998764617004</v>
      </c>
    </row>
    <row r="6673" spans="1:40" x14ac:dyDescent="0.25">
      <c r="A6673" t="str">
        <f>"20190303153941636"</f>
        <v>20190303153941636</v>
      </c>
      <c r="B6673" t="str">
        <f>"1551598781625498"</f>
        <v>1551598781625498</v>
      </c>
      <c r="C6673" t="s">
        <v>40</v>
      </c>
      <c r="D6673">
        <v>4.4614949999999904</v>
      </c>
      <c r="E6673">
        <v>0.51242049999999995</v>
      </c>
      <c r="F6673" t="s">
        <v>42</v>
      </c>
      <c r="G6673">
        <v>-423.12369999999999</v>
      </c>
      <c r="H6673" s="1">
        <v>-2.7491329999999999E-6</v>
      </c>
      <c r="I6673">
        <v>64.060009999999906</v>
      </c>
      <c r="J6673">
        <v>-421.69499999999999</v>
      </c>
      <c r="K6673">
        <v>1.121842</v>
      </c>
      <c r="L6673">
        <v>94.677059999999997</v>
      </c>
      <c r="M6673">
        <v>-3.3565350000000001E-2</v>
      </c>
      <c r="N6673">
        <v>-1.3774939999999999E-2</v>
      </c>
      <c r="O6673">
        <v>-0.99934179999999995</v>
      </c>
      <c r="P6673">
        <v>-1.318277E-2</v>
      </c>
      <c r="Q6673">
        <v>-6.7059789999999994E-2</v>
      </c>
      <c r="R6673">
        <v>-0.9976623</v>
      </c>
      <c r="S6673">
        <v>-0.139495799999999</v>
      </c>
      <c r="T6673">
        <v>-0.1090057</v>
      </c>
      <c r="U6673">
        <v>-2.9978940000000001</v>
      </c>
      <c r="V6673">
        <v>-2.0226600000000001E-2</v>
      </c>
      <c r="W6673">
        <v>-5.3345980000000001E-2</v>
      </c>
      <c r="X6673">
        <v>0.99837120000000001</v>
      </c>
      <c r="Y6673">
        <v>1.2906290000000001E-2</v>
      </c>
      <c r="Z6673">
        <v>2.2526379999999999E-2</v>
      </c>
      <c r="AA6673">
        <v>0.99966290000000002</v>
      </c>
      <c r="AB6673">
        <v>24</v>
      </c>
      <c r="AC6673">
        <v>-1.4286999999999901</v>
      </c>
      <c r="AD6673">
        <v>-1.1218447491329999</v>
      </c>
      <c r="AE6673">
        <v>-30.617049999999999</v>
      </c>
      <c r="AF6673">
        <v>0.39959019641848598</v>
      </c>
      <c r="AG6673">
        <v>-1.1218447491329999</v>
      </c>
      <c r="AH6673">
        <v>30.606751539332301</v>
      </c>
      <c r="AI6673">
        <v>92.098972758645601</v>
      </c>
      <c r="AJ6673">
        <v>89.252010423561501</v>
      </c>
      <c r="AK6673">
        <v>30.6299109981837</v>
      </c>
      <c r="AL6673">
        <v>93.057951120356407</v>
      </c>
      <c r="AM6673">
        <v>91.1606307310783</v>
      </c>
      <c r="AN6673">
        <v>0.99999998095957998</v>
      </c>
    </row>
    <row r="6674" spans="1:40" x14ac:dyDescent="0.25">
      <c r="A6674" t="str">
        <f>"20190303153941659"</f>
        <v>20190303153941659</v>
      </c>
      <c r="B6674" t="str">
        <f>"1551598781654775"</f>
        <v>1551598781654775</v>
      </c>
      <c r="C6674" t="s">
        <v>40</v>
      </c>
      <c r="D6674">
        <v>4.4747240000000001</v>
      </c>
      <c r="E6674">
        <v>0.51246499999999995</v>
      </c>
      <c r="F6674" t="s">
        <v>42</v>
      </c>
      <c r="G6674">
        <v>-423.13810000000001</v>
      </c>
      <c r="H6674" s="1">
        <v>-2.3994019999999999E-6</v>
      </c>
      <c r="I6674">
        <v>63.235810000000001</v>
      </c>
      <c r="J6674">
        <v>-421.702</v>
      </c>
      <c r="K6674">
        <v>1.121842</v>
      </c>
      <c r="L6674">
        <v>94.431489999999997</v>
      </c>
      <c r="M6674">
        <v>-3.2490039999999998E-2</v>
      </c>
      <c r="N6674">
        <v>-1.3777569999999999E-2</v>
      </c>
      <c r="O6674">
        <v>-0.99937730000000002</v>
      </c>
      <c r="P6674">
        <v>-1.2653080000000001E-2</v>
      </c>
      <c r="Q6674">
        <v>-6.5967310000000001E-2</v>
      </c>
      <c r="R6674">
        <v>-0.99774189999999996</v>
      </c>
      <c r="S6674">
        <v>-0.137603799999999</v>
      </c>
      <c r="T6674">
        <v>-0.1069711</v>
      </c>
      <c r="U6674">
        <v>-2.9980159999999998</v>
      </c>
      <c r="V6674">
        <v>-1.9687409999999999E-2</v>
      </c>
      <c r="W6674">
        <v>-5.2248709999999997E-2</v>
      </c>
      <c r="X6674">
        <v>0.99843999999999999</v>
      </c>
      <c r="Y6674">
        <v>1.335135E-2</v>
      </c>
      <c r="Z6674">
        <v>2.1847490000000001E-2</v>
      </c>
      <c r="AA6674">
        <v>0.99967220000000001</v>
      </c>
      <c r="AB6674">
        <v>24</v>
      </c>
      <c r="AC6674">
        <v>-1.4361000000000099</v>
      </c>
      <c r="AD6674">
        <v>-1.121844399402</v>
      </c>
      <c r="AE6674">
        <v>-31.195679999999999</v>
      </c>
      <c r="AF6674">
        <v>0.42115329111587702</v>
      </c>
      <c r="AG6674">
        <v>-1.121844399402</v>
      </c>
      <c r="AH6674">
        <v>31.185625825052998</v>
      </c>
      <c r="AI6674">
        <v>92.060032146339495</v>
      </c>
      <c r="AJ6674">
        <v>89.226283305568501</v>
      </c>
      <c r="AK6674">
        <v>31.208639237417898</v>
      </c>
      <c r="AL6674">
        <v>92.994994376649601</v>
      </c>
      <c r="AM6674">
        <v>91.129621554403201</v>
      </c>
      <c r="AN6674">
        <v>0.99999997770458504</v>
      </c>
    </row>
    <row r="6675" spans="1:40" x14ac:dyDescent="0.25">
      <c r="A6675" t="str">
        <f>"20190303153941682"</f>
        <v>20190303153941682</v>
      </c>
      <c r="B6675" t="str">
        <f>"1551598781675271"</f>
        <v>1551598781675271</v>
      </c>
      <c r="C6675" t="s">
        <v>40</v>
      </c>
      <c r="D6675">
        <v>4.4828929999999998</v>
      </c>
      <c r="E6675">
        <v>0.51248660000000001</v>
      </c>
      <c r="F6675" t="s">
        <v>42</v>
      </c>
      <c r="G6675">
        <v>-423.1549</v>
      </c>
      <c r="H6675" s="1">
        <v>-2.0631790000000001E-6</v>
      </c>
      <c r="I6675">
        <v>62.441659999999999</v>
      </c>
      <c r="J6675">
        <v>-421.70859999999999</v>
      </c>
      <c r="K6675">
        <v>1.121842</v>
      </c>
      <c r="L6675">
        <v>94.190730000000002</v>
      </c>
      <c r="M6675">
        <v>-3.1440719999999998E-2</v>
      </c>
      <c r="N6675">
        <v>-1.377947E-2</v>
      </c>
      <c r="O6675">
        <v>-0.99941069999999999</v>
      </c>
      <c r="P6675">
        <v>-1.143533E-2</v>
      </c>
      <c r="Q6675">
        <v>-6.4543240000000002E-2</v>
      </c>
      <c r="R6675">
        <v>-0.99784949999999994</v>
      </c>
      <c r="S6675">
        <v>-0.1361694</v>
      </c>
      <c r="T6675">
        <v>-0.10514</v>
      </c>
      <c r="U6675">
        <v>-2.9981080000000002</v>
      </c>
      <c r="V6675">
        <v>-1.9863120000000001E-2</v>
      </c>
      <c r="W6675">
        <v>-5.0821739999999997E-2</v>
      </c>
      <c r="X6675">
        <v>0.99851020000000001</v>
      </c>
      <c r="Y6675">
        <v>1.392301E-2</v>
      </c>
      <c r="Z6675">
        <v>2.123703E-2</v>
      </c>
      <c r="AA6675">
        <v>0.9996775</v>
      </c>
      <c r="AB6675">
        <v>24</v>
      </c>
      <c r="AC6675">
        <v>-1.4462999999999999</v>
      </c>
      <c r="AD6675">
        <v>-1.1218440631790001</v>
      </c>
      <c r="AE6675">
        <v>-31.74907</v>
      </c>
      <c r="AF6675">
        <v>0.44671991572904501</v>
      </c>
      <c r="AG6675">
        <v>-1.1218440631790001</v>
      </c>
      <c r="AH6675">
        <v>31.739302120536198</v>
      </c>
      <c r="AI6675">
        <v>92.024109572605994</v>
      </c>
      <c r="AJ6675">
        <v>89.193634573353293</v>
      </c>
      <c r="AK6675">
        <v>31.7622636454626</v>
      </c>
      <c r="AL6675">
        <v>92.913126138132696</v>
      </c>
      <c r="AM6675">
        <v>91.139620666391593</v>
      </c>
      <c r="AN6675">
        <v>1.0000000061484</v>
      </c>
    </row>
    <row r="6676" spans="1:40" x14ac:dyDescent="0.25">
      <c r="A6676" t="str">
        <f>"20190303153941703"</f>
        <v>20190303153941703</v>
      </c>
      <c r="B6676" t="str">
        <f>"1551598781694791"</f>
        <v>1551598781694791</v>
      </c>
      <c r="C6676" t="s">
        <v>40</v>
      </c>
      <c r="D6676">
        <v>4.4344400000000004</v>
      </c>
      <c r="E6676">
        <v>0.51243839999999996</v>
      </c>
      <c r="F6676" t="s">
        <v>42</v>
      </c>
      <c r="G6676">
        <v>-423.1567</v>
      </c>
      <c r="H6676" s="1">
        <v>-1.6269839999999901E-6</v>
      </c>
      <c r="I6676">
        <v>61.423749999999998</v>
      </c>
      <c r="J6676">
        <v>-421.71480000000003</v>
      </c>
      <c r="K6676">
        <v>1.1218440000000001</v>
      </c>
      <c r="L6676">
        <v>93.954830000000001</v>
      </c>
      <c r="M6676">
        <v>-3.0414819999999999E-2</v>
      </c>
      <c r="N6676">
        <v>-1.3780789999999999E-2</v>
      </c>
      <c r="O6676">
        <v>-0.99944230000000001</v>
      </c>
      <c r="P6676">
        <v>-1.0590550000000001E-2</v>
      </c>
      <c r="Q6676">
        <v>-6.2909030000000005E-2</v>
      </c>
      <c r="R6676">
        <v>-0.99796339999999994</v>
      </c>
      <c r="S6676">
        <v>-0.13250729999999999</v>
      </c>
      <c r="T6676">
        <v>-0.10265249999999999</v>
      </c>
      <c r="U6676">
        <v>-2.998291</v>
      </c>
      <c r="V6676">
        <v>-1.969048E-2</v>
      </c>
      <c r="W6676">
        <v>-4.918442E-2</v>
      </c>
      <c r="X6676">
        <v>0.99859560000000003</v>
      </c>
      <c r="Y6676">
        <v>1.372897E-2</v>
      </c>
      <c r="Z6676">
        <v>2.0408240000000001E-2</v>
      </c>
      <c r="AA6676">
        <v>0.99969739999999996</v>
      </c>
      <c r="AB6676">
        <v>24</v>
      </c>
      <c r="AC6676">
        <v>-1.44189999999997</v>
      </c>
      <c r="AD6676">
        <v>-1.121845626984</v>
      </c>
      <c r="AE6676">
        <v>-32.531079999999903</v>
      </c>
      <c r="AF6676">
        <v>0.45117632613575098</v>
      </c>
      <c r="AG6676">
        <v>-1.121845626984</v>
      </c>
      <c r="AH6676">
        <v>32.5212865750918</v>
      </c>
      <c r="AI6676">
        <v>91.975486571178195</v>
      </c>
      <c r="AJ6676">
        <v>89.205171635009606</v>
      </c>
      <c r="AK6676">
        <v>32.5437578989781</v>
      </c>
      <c r="AL6676">
        <v>92.819197128251801</v>
      </c>
      <c r="AM6676">
        <v>91.129621660662707</v>
      </c>
      <c r="AN6676">
        <v>0.99999999725636302</v>
      </c>
    </row>
    <row r="6677" spans="1:40" x14ac:dyDescent="0.25">
      <c r="A6677" t="str">
        <f>"20190303153941726"</f>
        <v>20190303153941726</v>
      </c>
      <c r="B6677" t="str">
        <f>"1551598781715287"</f>
        <v>1551598781715287</v>
      </c>
      <c r="C6677" t="s">
        <v>40</v>
      </c>
      <c r="D6677">
        <v>4.400938</v>
      </c>
      <c r="E6677">
        <v>0.51256329999999894</v>
      </c>
      <c r="F6677" t="s">
        <v>42</v>
      </c>
      <c r="G6677">
        <v>-423.2011</v>
      </c>
      <c r="H6677" s="1">
        <v>-4.8436429999999998E-6</v>
      </c>
      <c r="I6677">
        <v>59.551479999999998</v>
      </c>
      <c r="J6677">
        <v>-421.7208</v>
      </c>
      <c r="K6677">
        <v>1.1218490000000001</v>
      </c>
      <c r="L6677">
        <v>93.720179999999999</v>
      </c>
      <c r="M6677">
        <v>-2.9395439999999998E-2</v>
      </c>
      <c r="N6677">
        <v>-1.37816E-2</v>
      </c>
      <c r="O6677">
        <v>-0.9994729</v>
      </c>
      <c r="P6677">
        <v>-8.924286E-3</v>
      </c>
      <c r="Q6677">
        <v>-6.1371839999999997E-2</v>
      </c>
      <c r="R6677">
        <v>-0.99807509999999999</v>
      </c>
      <c r="S6677">
        <v>-0.1295471</v>
      </c>
      <c r="T6677">
        <v>-9.7780350000000002E-2</v>
      </c>
      <c r="U6677">
        <v>-2.998596</v>
      </c>
      <c r="V6677">
        <v>-2.0343859999999998E-2</v>
      </c>
      <c r="W6677">
        <v>-4.7646300000000003E-2</v>
      </c>
      <c r="X6677">
        <v>0.99865700000000002</v>
      </c>
      <c r="Y6677">
        <v>1.376082E-2</v>
      </c>
      <c r="Z6677">
        <v>1.878492E-2</v>
      </c>
      <c r="AA6677">
        <v>0.99972890000000003</v>
      </c>
      <c r="AB6677">
        <v>24</v>
      </c>
      <c r="AC6677">
        <v>-1.48029999999999</v>
      </c>
      <c r="AD6677">
        <v>-1.1218538436429999</v>
      </c>
      <c r="AE6677">
        <v>-34.168699999999902</v>
      </c>
      <c r="AF6677">
        <v>0.47465015459641702</v>
      </c>
      <c r="AG6677">
        <v>-1.1218538436429999</v>
      </c>
      <c r="AH6677">
        <v>34.160693781208401</v>
      </c>
      <c r="AI6677">
        <v>91.8807639262115</v>
      </c>
      <c r="AJ6677">
        <v>89.2039476464914</v>
      </c>
      <c r="AK6677">
        <v>34.1824055389501</v>
      </c>
      <c r="AL6677">
        <v>92.730966067750501</v>
      </c>
      <c r="AM6677">
        <v>91.167023431107097</v>
      </c>
      <c r="AN6677">
        <v>0.99999992309619101</v>
      </c>
    </row>
    <row r="6678" spans="1:40" x14ac:dyDescent="0.25">
      <c r="A6678" t="str">
        <f>"20190303153941748"</f>
        <v>20190303153941748</v>
      </c>
      <c r="B6678" t="str">
        <f>"1551598781745547"</f>
        <v>1551598781745547</v>
      </c>
      <c r="C6678" t="s">
        <v>40</v>
      </c>
      <c r="D6678">
        <v>4.3940640000000002</v>
      </c>
      <c r="E6678">
        <v>0.51310210000000001</v>
      </c>
      <c r="F6678" t="s">
        <v>42</v>
      </c>
      <c r="G6678">
        <v>-423.23390000000001</v>
      </c>
      <c r="H6678" s="1">
        <v>-4.1864770000000001E-6</v>
      </c>
      <c r="I6678">
        <v>57.603279999999998</v>
      </c>
      <c r="J6678">
        <v>-421.72660000000002</v>
      </c>
      <c r="K6678">
        <v>1.1218549999999901</v>
      </c>
      <c r="L6678">
        <v>93.480680000000007</v>
      </c>
      <c r="M6678">
        <v>-2.8355040000000001E-2</v>
      </c>
      <c r="N6678">
        <v>-1.3781989999999999E-2</v>
      </c>
      <c r="O6678">
        <v>-0.99950280000000002</v>
      </c>
      <c r="P6678">
        <v>-7.5168880000000002E-3</v>
      </c>
      <c r="Q6678">
        <v>-6.0696960000000001E-2</v>
      </c>
      <c r="R6678">
        <v>-0.99812789999999996</v>
      </c>
      <c r="S6678">
        <v>-0.1256409</v>
      </c>
      <c r="T6678">
        <v>-9.3151929999999994E-2</v>
      </c>
      <c r="U6678">
        <v>-2.9989319999999999</v>
      </c>
      <c r="V6678">
        <v>-2.0715480000000001E-2</v>
      </c>
      <c r="W6678">
        <v>-4.6971039999999999E-2</v>
      </c>
      <c r="X6678">
        <v>0.99868140000000005</v>
      </c>
      <c r="Y6678">
        <v>1.3498380000000001E-2</v>
      </c>
      <c r="Z6678">
        <v>1.724289E-2</v>
      </c>
      <c r="AA6678">
        <v>0.99976019999999999</v>
      </c>
      <c r="AB6678">
        <v>24</v>
      </c>
      <c r="AC6678">
        <v>-1.5072999999999801</v>
      </c>
      <c r="AD6678">
        <v>-1.12185918647699</v>
      </c>
      <c r="AE6678">
        <v>-35.877400000000002</v>
      </c>
      <c r="AF6678">
        <v>0.48881487436937998</v>
      </c>
      <c r="AG6678">
        <v>-1.12185918647699</v>
      </c>
      <c r="AH6678">
        <v>35.870703763085103</v>
      </c>
      <c r="AI6678">
        <v>91.791180079804903</v>
      </c>
      <c r="AJ6678">
        <v>89.219271079289598</v>
      </c>
      <c r="AK6678">
        <v>35.891571384862701</v>
      </c>
      <c r="AL6678">
        <v>92.692233009693496</v>
      </c>
      <c r="AM6678">
        <v>91.188306290622407</v>
      </c>
      <c r="AN6678">
        <v>0.99999997420813502</v>
      </c>
    </row>
    <row r="6679" spans="1:40" x14ac:dyDescent="0.25">
      <c r="A6679" t="str">
        <f>"20190303153941772"</f>
        <v>20190303153941772</v>
      </c>
      <c r="B6679" t="str">
        <f>"1551598781765066"</f>
        <v>1551598781765066</v>
      </c>
      <c r="C6679" t="s">
        <v>40</v>
      </c>
      <c r="D6679">
        <v>4.3767930000000002</v>
      </c>
      <c r="E6679">
        <v>0.51356919999999995</v>
      </c>
      <c r="F6679" t="s">
        <v>42</v>
      </c>
      <c r="G6679">
        <v>-423.29300000000001</v>
      </c>
      <c r="H6679" s="1">
        <v>-3.6178700000000001E-6</v>
      </c>
      <c r="I6679">
        <v>55.980069999999998</v>
      </c>
      <c r="J6679">
        <v>-421.73239999999998</v>
      </c>
      <c r="K6679">
        <v>1.1218600000000001</v>
      </c>
      <c r="L6679">
        <v>93.230350000000001</v>
      </c>
      <c r="M6679">
        <v>-2.726837E-2</v>
      </c>
      <c r="N6679">
        <v>-1.3782030000000001E-2</v>
      </c>
      <c r="O6679">
        <v>-0.99953309999999995</v>
      </c>
      <c r="P6679">
        <v>-6.0840850000000004E-3</v>
      </c>
      <c r="Q6679">
        <v>-6.0118199999999997E-2</v>
      </c>
      <c r="R6679">
        <v>-0.99817290000000003</v>
      </c>
      <c r="S6679">
        <v>-0.12527469999999999</v>
      </c>
      <c r="T6679">
        <v>-8.9724419999999999E-2</v>
      </c>
      <c r="U6679">
        <v>-2.9992369999999999</v>
      </c>
      <c r="V6679">
        <v>-2.1064630000000001E-2</v>
      </c>
      <c r="W6679">
        <v>-4.6392299999999997E-2</v>
      </c>
      <c r="X6679">
        <v>0.99870119999999896</v>
      </c>
      <c r="Y6679">
        <v>1.4459970000000001E-2</v>
      </c>
      <c r="Z6679">
        <v>1.610025E-2</v>
      </c>
      <c r="AA6679">
        <v>0.99976580000000004</v>
      </c>
      <c r="AB6679">
        <v>24</v>
      </c>
      <c r="AC6679">
        <v>-1.56060000000002</v>
      </c>
      <c r="AD6679">
        <v>-1.1218636178700001</v>
      </c>
      <c r="AE6679">
        <v>-37.250279999999997</v>
      </c>
      <c r="AF6679">
        <v>0.54367637551806003</v>
      </c>
      <c r="AG6679">
        <v>-1.1218636178700001</v>
      </c>
      <c r="AH6679">
        <v>37.245261538335697</v>
      </c>
      <c r="AI6679">
        <v>91.725099471477094</v>
      </c>
      <c r="AJ6679">
        <v>89.1637016831788</v>
      </c>
      <c r="AK6679">
        <v>37.266119586528298</v>
      </c>
      <c r="AL6679">
        <v>92.659037323187803</v>
      </c>
      <c r="AM6679">
        <v>91.208304815316396</v>
      </c>
      <c r="AN6679">
        <v>1.0000000255088799</v>
      </c>
    </row>
    <row r="6680" spans="1:40" x14ac:dyDescent="0.25">
      <c r="A6680" t="str">
        <f>"20190303153941794"</f>
        <v>20190303153941794</v>
      </c>
      <c r="B6680" t="str">
        <f>"1551598781785562"</f>
        <v>1551598781785562</v>
      </c>
      <c r="C6680" t="s">
        <v>40</v>
      </c>
      <c r="D6680">
        <v>4.3715960000000003</v>
      </c>
      <c r="E6680">
        <v>0.51385630000000004</v>
      </c>
      <c r="F6680" t="s">
        <v>42</v>
      </c>
      <c r="G6680">
        <v>-423.35849999999999</v>
      </c>
      <c r="H6680" s="1">
        <v>-2.896795E-6</v>
      </c>
      <c r="I6680">
        <v>54.258600000000001</v>
      </c>
      <c r="J6680">
        <v>-421.73759999999999</v>
      </c>
      <c r="K6680">
        <v>1.1218699999999999</v>
      </c>
      <c r="L6680">
        <v>92.993470000000002</v>
      </c>
      <c r="M6680">
        <v>-2.6241299999999999E-2</v>
      </c>
      <c r="N6680">
        <v>-1.3781689999999999E-2</v>
      </c>
      <c r="O6680">
        <v>-0.99956100000000003</v>
      </c>
      <c r="P6680">
        <v>-4.8006289999999998E-3</v>
      </c>
      <c r="Q6680">
        <v>-5.9361320000000002E-2</v>
      </c>
      <c r="R6680">
        <v>-0.99822569999999999</v>
      </c>
      <c r="S6680">
        <v>-0.1251526</v>
      </c>
      <c r="T6680">
        <v>-8.6345669999999999E-2</v>
      </c>
      <c r="U6680">
        <v>-2.9995120000000002</v>
      </c>
      <c r="V6680">
        <v>-2.132587E-2</v>
      </c>
      <c r="W6680">
        <v>-4.5635519999999999E-2</v>
      </c>
      <c r="X6680">
        <v>0.99873049999999997</v>
      </c>
      <c r="Y6680">
        <v>1.5443520000000001E-2</v>
      </c>
      <c r="Z6680">
        <v>1.497441E-2</v>
      </c>
      <c r="AA6680">
        <v>0.99976860000000001</v>
      </c>
      <c r="AB6680">
        <v>24</v>
      </c>
      <c r="AC6680">
        <v>-1.6209</v>
      </c>
      <c r="AD6680">
        <v>-1.121872896795</v>
      </c>
      <c r="AE6680">
        <v>-38.734870000000001</v>
      </c>
      <c r="AF6680">
        <v>0.60328702135262302</v>
      </c>
      <c r="AG6680">
        <v>-1.121872896795</v>
      </c>
      <c r="AH6680">
        <v>38.731634049684097</v>
      </c>
      <c r="AI6680">
        <v>91.658923692296497</v>
      </c>
      <c r="AJ6680">
        <v>89.107628530836394</v>
      </c>
      <c r="AK6680">
        <v>38.752574497513599</v>
      </c>
      <c r="AL6680">
        <v>92.615631107428698</v>
      </c>
      <c r="AM6680">
        <v>91.223249605996003</v>
      </c>
      <c r="AN6680">
        <v>1.00000000252358</v>
      </c>
    </row>
    <row r="6681" spans="1:40" x14ac:dyDescent="0.25">
      <c r="A6681" t="str">
        <f>"20190303153941816"</f>
        <v>20190303153941816</v>
      </c>
      <c r="B6681" t="str">
        <f>"1551598781805082"</f>
        <v>1551598781805082</v>
      </c>
      <c r="C6681" t="s">
        <v>40</v>
      </c>
      <c r="D6681">
        <v>4.3914879999999998</v>
      </c>
      <c r="E6681">
        <v>0.51401169999999996</v>
      </c>
      <c r="F6681" t="s">
        <v>42</v>
      </c>
      <c r="G6681">
        <v>-423.37860000000001</v>
      </c>
      <c r="H6681" s="1">
        <v>-2.361349E-6</v>
      </c>
      <c r="I6681">
        <v>52.997970000000002</v>
      </c>
      <c r="J6681">
        <v>-421.74270000000001</v>
      </c>
      <c r="K6681">
        <v>1.1218680000000001</v>
      </c>
      <c r="L6681">
        <v>92.750979999999998</v>
      </c>
      <c r="M6681">
        <v>-2.5191419999999999E-2</v>
      </c>
      <c r="N6681">
        <v>-1.378104E-2</v>
      </c>
      <c r="O6681">
        <v>-0.99958789999999997</v>
      </c>
      <c r="P6681">
        <v>-3.8235489999999999E-3</v>
      </c>
      <c r="Q6681">
        <v>-5.8796750000000002E-2</v>
      </c>
      <c r="R6681">
        <v>-0.99826309999999996</v>
      </c>
      <c r="S6681">
        <v>-0.1230774</v>
      </c>
      <c r="T6681">
        <v>-8.4143040000000002E-2</v>
      </c>
      <c r="U6681">
        <v>-2.9997560000000001</v>
      </c>
      <c r="V6681">
        <v>-2.1255929999999999E-2</v>
      </c>
      <c r="W6681">
        <v>-4.5070899999999997E-2</v>
      </c>
      <c r="X6681">
        <v>0.99875760000000002</v>
      </c>
      <c r="Y6681">
        <v>1.5800290000000002E-2</v>
      </c>
      <c r="Z6681">
        <v>1.4240900000000001E-2</v>
      </c>
      <c r="AA6681">
        <v>0.99977369999999999</v>
      </c>
      <c r="AB6681">
        <v>24</v>
      </c>
      <c r="AC6681">
        <v>-1.6358999999999899</v>
      </c>
      <c r="AD6681">
        <v>-1.121870361349</v>
      </c>
      <c r="AE6681">
        <v>-39.753009999999897</v>
      </c>
      <c r="AF6681">
        <v>0.63334754855883202</v>
      </c>
      <c r="AG6681">
        <v>-1.121870361349</v>
      </c>
      <c r="AH6681">
        <v>39.750001967325097</v>
      </c>
      <c r="AI6681">
        <v>91.616433303409494</v>
      </c>
      <c r="AJ6681">
        <v>89.087168066506905</v>
      </c>
      <c r="AK6681">
        <v>39.770873495905199</v>
      </c>
      <c r="AL6681">
        <v>92.583247520418595</v>
      </c>
      <c r="AM6681">
        <v>91.219205995603403</v>
      </c>
      <c r="AN6681">
        <v>0.99999997207236702</v>
      </c>
    </row>
    <row r="6682" spans="1:40" x14ac:dyDescent="0.25">
      <c r="A6682" t="str">
        <f>"20190303153941837"</f>
        <v>20190303153941837</v>
      </c>
      <c r="B6682" t="str">
        <f>"1551598781825578"</f>
        <v>1551598781825578</v>
      </c>
      <c r="C6682" t="s">
        <v>40</v>
      </c>
      <c r="D6682">
        <v>4.3401909999999999</v>
      </c>
      <c r="E6682">
        <v>0.51434049999999998</v>
      </c>
      <c r="F6682" t="s">
        <v>42</v>
      </c>
      <c r="G6682">
        <v>-423.38380000000001</v>
      </c>
      <c r="H6682" s="1">
        <v>-2.0199130000000001E-6</v>
      </c>
      <c r="I6682">
        <v>52.19885</v>
      </c>
      <c r="J6682">
        <v>-421.74720000000002</v>
      </c>
      <c r="K6682">
        <v>1.1218729999999999</v>
      </c>
      <c r="L6682">
        <v>92.528379999999999</v>
      </c>
      <c r="M6682">
        <v>-2.422815E-2</v>
      </c>
      <c r="N6682">
        <v>-1.3780219999999999E-2</v>
      </c>
      <c r="O6682">
        <v>-0.99961149999999999</v>
      </c>
      <c r="P6682">
        <v>-2.7824669999999998E-3</v>
      </c>
      <c r="Q6682">
        <v>-5.7522289999999997E-2</v>
      </c>
      <c r="R6682">
        <v>-0.99834069999999997</v>
      </c>
      <c r="S6682">
        <v>-0.1213989</v>
      </c>
      <c r="T6682">
        <v>-8.2991239999999994E-2</v>
      </c>
      <c r="U6682">
        <v>-2.9998779999999998</v>
      </c>
      <c r="V6682">
        <v>-2.1339529999999999E-2</v>
      </c>
      <c r="W6682">
        <v>-4.3796340000000003E-2</v>
      </c>
      <c r="X6682">
        <v>0.99881260000000005</v>
      </c>
      <c r="Y6682">
        <v>1.6203849999999999E-2</v>
      </c>
      <c r="Z6682">
        <v>1.3858179999999999E-2</v>
      </c>
      <c r="AA6682">
        <v>0.99977269999999896</v>
      </c>
      <c r="AB6682">
        <v>24</v>
      </c>
      <c r="AC6682">
        <v>-1.6365999999999801</v>
      </c>
      <c r="AD6682">
        <v>-1.1218750199130001</v>
      </c>
      <c r="AE6682">
        <v>-40.329529999999998</v>
      </c>
      <c r="AF6682">
        <v>0.65840817298806198</v>
      </c>
      <c r="AG6682">
        <v>-1.1218750199130001</v>
      </c>
      <c r="AH6682">
        <v>40.326190684818798</v>
      </c>
      <c r="AI6682">
        <v>91.593345871384798</v>
      </c>
      <c r="AJ6682">
        <v>89.064611426515597</v>
      </c>
      <c r="AK6682">
        <v>40.347165452246202</v>
      </c>
      <c r="AL6682">
        <v>92.510148205676899</v>
      </c>
      <c r="AM6682">
        <v>91.223932321858598</v>
      </c>
      <c r="AN6682">
        <v>1.0000000524283801</v>
      </c>
    </row>
    <row r="6683" spans="1:40" x14ac:dyDescent="0.25">
      <c r="A6683" t="str">
        <f>"20190303153941852"</f>
        <v>20190303153941852</v>
      </c>
      <c r="B6683" t="str">
        <f>"1551598781845121"</f>
        <v>1551598781845121</v>
      </c>
      <c r="C6683" t="s">
        <v>40</v>
      </c>
      <c r="D6683">
        <v>4.305599</v>
      </c>
      <c r="E6683">
        <v>0.51410789999999995</v>
      </c>
      <c r="F6683" t="s">
        <v>42</v>
      </c>
      <c r="G6683">
        <v>-423.50799999999998</v>
      </c>
      <c r="H6683" s="1">
        <v>-4.6619350000000001E-6</v>
      </c>
      <c r="I6683">
        <v>48.857529999999997</v>
      </c>
      <c r="J6683">
        <v>-421.75020000000001</v>
      </c>
      <c r="K6683">
        <v>1.1218760000000001</v>
      </c>
      <c r="L6683">
        <v>92.371859999999998</v>
      </c>
      <c r="M6683">
        <v>-2.355117E-2</v>
      </c>
      <c r="N6683">
        <v>-1.377956E-2</v>
      </c>
      <c r="O6683">
        <v>-0.99962790000000001</v>
      </c>
      <c r="P6683">
        <v>-2.6043059999999998E-3</v>
      </c>
      <c r="Q6683">
        <v>-5.717962E-2</v>
      </c>
      <c r="R6683">
        <v>-0.9983611</v>
      </c>
      <c r="S6683">
        <v>-0.1209717</v>
      </c>
      <c r="T6683">
        <v>-7.707369E-2</v>
      </c>
      <c r="U6683">
        <v>-3.0002140000000002</v>
      </c>
      <c r="V6683">
        <v>-2.0843090000000002E-2</v>
      </c>
      <c r="W6683">
        <v>-4.3453029999999997E-2</v>
      </c>
      <c r="X6683">
        <v>0.998838</v>
      </c>
      <c r="Y6683">
        <v>1.6735440000000001E-2</v>
      </c>
      <c r="Z6683">
        <v>1.1887109999999999E-2</v>
      </c>
      <c r="AA6683">
        <v>0.99978929999999999</v>
      </c>
      <c r="AB6683">
        <v>24</v>
      </c>
      <c r="AC6683">
        <v>-1.75780000000003</v>
      </c>
      <c r="AD6683">
        <v>-1.1218806619349999</v>
      </c>
      <c r="AE6683">
        <v>-43.514330000000001</v>
      </c>
      <c r="AF6683">
        <v>0.73191618704422601</v>
      </c>
      <c r="AG6683">
        <v>-1.1218806619349999</v>
      </c>
      <c r="AH6683">
        <v>43.514783073856002</v>
      </c>
      <c r="AI6683">
        <v>91.476640848286706</v>
      </c>
      <c r="AJ6683">
        <v>89.036379099238104</v>
      </c>
      <c r="AK6683">
        <v>43.5353955246674</v>
      </c>
      <c r="AL6683">
        <v>92.490459440848795</v>
      </c>
      <c r="AM6683">
        <v>91.195436892439503</v>
      </c>
      <c r="AN6683">
        <v>0.99999997523046402</v>
      </c>
    </row>
    <row r="6684" spans="1:40" x14ac:dyDescent="0.25">
      <c r="A6684" t="str">
        <f>"20190303153941871"</f>
        <v>20190303153941871</v>
      </c>
      <c r="B6684" t="str">
        <f>"1551598781865617"</f>
        <v>1551598781865617</v>
      </c>
      <c r="C6684" t="s">
        <v>40</v>
      </c>
      <c r="D6684">
        <v>4.2820419999999997</v>
      </c>
      <c r="E6684">
        <v>0.51335109999999995</v>
      </c>
      <c r="F6684" t="s">
        <v>42</v>
      </c>
      <c r="G6684">
        <v>-423.62580000000003</v>
      </c>
      <c r="H6684" s="1">
        <v>-3.2559379999999998E-6</v>
      </c>
      <c r="I6684">
        <v>44.929969999999997</v>
      </c>
      <c r="J6684">
        <v>-421.75400000000002</v>
      </c>
      <c r="K6684">
        <v>1.12188</v>
      </c>
      <c r="L6684">
        <v>92.169370000000001</v>
      </c>
      <c r="M6684">
        <v>-2.2676249999999998E-2</v>
      </c>
      <c r="N6684">
        <v>-1.3778540000000001E-2</v>
      </c>
      <c r="O6684">
        <v>-0.99964790000000003</v>
      </c>
      <c r="P6684">
        <v>-1.879499E-3</v>
      </c>
      <c r="Q6684">
        <v>-5.6211589999999999E-2</v>
      </c>
      <c r="R6684">
        <v>-0.99841729999999995</v>
      </c>
      <c r="S6684">
        <v>-0.1186218</v>
      </c>
      <c r="T6684">
        <v>-7.0955279999999996E-2</v>
      </c>
      <c r="U6684">
        <v>-3.0005489999999999</v>
      </c>
      <c r="V6684">
        <v>-2.0697259999999999E-2</v>
      </c>
      <c r="W6684">
        <v>-4.2485009999999997E-2</v>
      </c>
      <c r="X6684">
        <v>0.99888270000000001</v>
      </c>
      <c r="Y6684">
        <v>1.6825409999999999E-2</v>
      </c>
      <c r="Z6684">
        <v>9.8500480000000001E-3</v>
      </c>
      <c r="AA6684">
        <v>0.99980990000000003</v>
      </c>
      <c r="AB6684">
        <v>24</v>
      </c>
      <c r="AC6684">
        <v>-1.8717999999999999</v>
      </c>
      <c r="AD6684">
        <v>-1.1218832559379901</v>
      </c>
      <c r="AE6684">
        <v>-47.239400000000003</v>
      </c>
      <c r="AF6684">
        <v>0.79955419505465097</v>
      </c>
      <c r="AG6684">
        <v>-1.1218832559379901</v>
      </c>
      <c r="AH6684">
        <v>47.243096228980697</v>
      </c>
      <c r="AI6684">
        <v>91.360154255199305</v>
      </c>
      <c r="AJ6684">
        <v>89.030404199107707</v>
      </c>
      <c r="AK6684">
        <v>47.263178588109199</v>
      </c>
      <c r="AL6684">
        <v>92.434944642107396</v>
      </c>
      <c r="AM6684">
        <v>91.187022237757304</v>
      </c>
      <c r="AN6684">
        <v>1.0000000005027401</v>
      </c>
    </row>
    <row r="6685" spans="1:40" x14ac:dyDescent="0.25">
      <c r="A6685" t="str">
        <f>"20190303153941885"</f>
        <v>20190303153941885</v>
      </c>
      <c r="B6685" t="str">
        <f>"1551598781875377"</f>
        <v>1551598781875377</v>
      </c>
      <c r="C6685" t="s">
        <v>40</v>
      </c>
      <c r="D6685">
        <v>4.2911260000000002</v>
      </c>
      <c r="E6685">
        <v>0.51301909999999995</v>
      </c>
      <c r="F6685" t="s">
        <v>63</v>
      </c>
      <c r="G6685">
        <v>-423.7149</v>
      </c>
      <c r="H6685" s="1">
        <v>-1.2933289999999999E-6</v>
      </c>
      <c r="I6685">
        <v>38.843380000000003</v>
      </c>
      <c r="J6685">
        <v>-421.75670000000002</v>
      </c>
      <c r="K6685">
        <v>1.1218809999999999</v>
      </c>
      <c r="L6685">
        <v>92.016139999999993</v>
      </c>
      <c r="M6685">
        <v>-2.2014599999999999E-2</v>
      </c>
      <c r="N6685">
        <v>-1.377769E-2</v>
      </c>
      <c r="O6685">
        <v>-0.99966290000000002</v>
      </c>
      <c r="P6685">
        <v>-1.306335E-3</v>
      </c>
      <c r="Q6685">
        <v>-5.575695E-2</v>
      </c>
      <c r="R6685">
        <v>-0.99844359999999999</v>
      </c>
      <c r="S6685">
        <v>-0.11035159999999999</v>
      </c>
      <c r="T6685">
        <v>-6.3135029999999995E-2</v>
      </c>
      <c r="U6685">
        <v>-3.0009769999999998</v>
      </c>
      <c r="V6685">
        <v>-2.0610969999999999E-2</v>
      </c>
      <c r="W6685">
        <v>-4.2030690000000002E-2</v>
      </c>
      <c r="X6685">
        <v>0.99890369999999995</v>
      </c>
      <c r="Y6685">
        <v>1.473183E-2</v>
      </c>
      <c r="Z6685">
        <v>7.2465539999999997E-3</v>
      </c>
      <c r="AA6685">
        <v>0.99986520000000001</v>
      </c>
      <c r="AB6685">
        <v>24</v>
      </c>
      <c r="AC6685">
        <v>-1.95819999999997</v>
      </c>
      <c r="AD6685">
        <v>-1.12188229332899</v>
      </c>
      <c r="AE6685">
        <v>-53.172759999999997</v>
      </c>
      <c r="AF6685">
        <v>0.78668767406478801</v>
      </c>
      <c r="AG6685">
        <v>-1.12188229332899</v>
      </c>
      <c r="AH6685">
        <v>53.179342921775401</v>
      </c>
      <c r="AI6685">
        <v>91.208412039680596</v>
      </c>
      <c r="AJ6685">
        <v>89.1524792608393</v>
      </c>
      <c r="AK6685">
        <v>53.196992499279403</v>
      </c>
      <c r="AL6685">
        <v>92.408890760214405</v>
      </c>
      <c r="AM6685">
        <v>91.182049926290503</v>
      </c>
      <c r="AN6685">
        <v>0.99999999642995296</v>
      </c>
    </row>
    <row r="6686" spans="1:40" x14ac:dyDescent="0.25">
      <c r="A6686" t="str">
        <f>"20190303153941899"</f>
        <v>20190303153941899</v>
      </c>
      <c r="B6686" t="str">
        <f>"1551598781894897"</f>
        <v>1551598781894897</v>
      </c>
      <c r="C6686" t="s">
        <v>40</v>
      </c>
      <c r="D6686">
        <v>4.2756339999999904</v>
      </c>
      <c r="E6686">
        <v>0.51238189999999995</v>
      </c>
      <c r="F6686" t="s">
        <v>63</v>
      </c>
      <c r="G6686">
        <v>-423.74939999999998</v>
      </c>
      <c r="H6686" s="1">
        <v>-3.0949919999999998E-6</v>
      </c>
      <c r="I6686">
        <v>35.575229999999998</v>
      </c>
      <c r="J6686">
        <v>-421.7593</v>
      </c>
      <c r="K6686">
        <v>1.121882</v>
      </c>
      <c r="L6686">
        <v>91.866879999999995</v>
      </c>
      <c r="M6686">
        <v>-2.137058E-2</v>
      </c>
      <c r="N6686">
        <v>-1.3776790000000001E-2</v>
      </c>
      <c r="O6686">
        <v>-0.99967680000000003</v>
      </c>
      <c r="P6686">
        <v>-7.4251669999999897E-4</v>
      </c>
      <c r="Q6686">
        <v>-5.5433030000000001E-2</v>
      </c>
      <c r="R6686">
        <v>-0.99846179999999995</v>
      </c>
      <c r="S6686">
        <v>-0.105957</v>
      </c>
      <c r="T6686">
        <v>-5.9655069999999998E-2</v>
      </c>
      <c r="U6686">
        <v>-3.0011899999999998</v>
      </c>
      <c r="V6686">
        <v>-2.0532180000000001E-2</v>
      </c>
      <c r="W6686">
        <v>-4.1707229999999998E-2</v>
      </c>
      <c r="X6686">
        <v>0.99891890000000005</v>
      </c>
      <c r="Y6686">
        <v>1.391178E-2</v>
      </c>
      <c r="Z6686">
        <v>6.0884939999999999E-3</v>
      </c>
      <c r="AA6686">
        <v>0.99988469999999996</v>
      </c>
      <c r="AB6686">
        <v>24</v>
      </c>
      <c r="AC6686">
        <v>-1.99009999999998</v>
      </c>
      <c r="AD6686">
        <v>-1.1218850949920001</v>
      </c>
      <c r="AE6686">
        <v>-56.291649999999997</v>
      </c>
      <c r="AF6686">
        <v>0.78623425362117305</v>
      </c>
      <c r="AG6686">
        <v>-1.1218850949920001</v>
      </c>
      <c r="AH6686">
        <v>56.298991449328199</v>
      </c>
      <c r="AI6686">
        <v>91.141485988592805</v>
      </c>
      <c r="AJ6686">
        <v>89.1998972796614</v>
      </c>
      <c r="AK6686">
        <v>56.315657047391902</v>
      </c>
      <c r="AL6686">
        <v>92.390341554587707</v>
      </c>
      <c r="AM6686">
        <v>91.177514640411701</v>
      </c>
      <c r="AN6686">
        <v>1.0000000161135101</v>
      </c>
    </row>
    <row r="6687" spans="1:40" x14ac:dyDescent="0.25">
      <c r="A6687" t="str">
        <f>"20190303153941916"</f>
        <v>20190303153941916</v>
      </c>
      <c r="B6687" t="str">
        <f>"1551598781905633"</f>
        <v>1551598781905633</v>
      </c>
      <c r="C6687" t="s">
        <v>40</v>
      </c>
      <c r="D6687">
        <v>4.2658310000000004</v>
      </c>
      <c r="E6687">
        <v>0.5121059</v>
      </c>
      <c r="F6687" t="s">
        <v>63</v>
      </c>
      <c r="G6687">
        <v>-423.79410000000001</v>
      </c>
      <c r="H6687" s="1">
        <v>-5.59521399999999E-6</v>
      </c>
      <c r="I6687">
        <v>30.306529999999999</v>
      </c>
      <c r="J6687">
        <v>-421.762</v>
      </c>
      <c r="K6687">
        <v>1.121877</v>
      </c>
      <c r="L6687">
        <v>91.698939999999993</v>
      </c>
      <c r="M6687">
        <v>-2.0646930000000001E-2</v>
      </c>
      <c r="N6687">
        <v>-1.377569E-2</v>
      </c>
      <c r="O6687">
        <v>-0.99969200000000003</v>
      </c>
      <c r="P6687">
        <v>1.4798740000000001E-4</v>
      </c>
      <c r="Q6687">
        <v>-5.5136289999999998E-2</v>
      </c>
      <c r="R6687">
        <v>-0.9984788</v>
      </c>
      <c r="S6687">
        <v>-9.9212649999999999E-2</v>
      </c>
      <c r="T6687">
        <v>-5.4700369999999998E-2</v>
      </c>
      <c r="U6687">
        <v>-3.0015260000000001</v>
      </c>
      <c r="V6687">
        <v>-2.070058E-2</v>
      </c>
      <c r="W6687">
        <v>-4.1411620000000003E-2</v>
      </c>
      <c r="X6687">
        <v>0.99892769999999997</v>
      </c>
      <c r="Y6687">
        <v>1.238831E-2</v>
      </c>
      <c r="Z6687">
        <v>4.4392360000000001E-3</v>
      </c>
      <c r="AA6687">
        <v>0.99991339999999995</v>
      </c>
      <c r="AB6687">
        <v>24</v>
      </c>
      <c r="AC6687">
        <v>-2.03210000000007</v>
      </c>
      <c r="AD6687">
        <v>-1.1218825952139999</v>
      </c>
      <c r="AE6687">
        <v>-61.392409999999998</v>
      </c>
      <c r="AF6687">
        <v>0.76372699577949199</v>
      </c>
      <c r="AG6687">
        <v>-1.1218825952139999</v>
      </c>
      <c r="AH6687">
        <v>61.4007994650052</v>
      </c>
      <c r="AI6687">
        <v>91.046680442229501</v>
      </c>
      <c r="AJ6687">
        <v>89.287369586704699</v>
      </c>
      <c r="AK6687">
        <v>61.415796619626398</v>
      </c>
      <c r="AL6687">
        <v>92.373389758349603</v>
      </c>
      <c r="AM6687">
        <v>91.187159124170293</v>
      </c>
      <c r="AN6687">
        <v>0.99999999305532505</v>
      </c>
    </row>
    <row r="6688" spans="1:40" x14ac:dyDescent="0.25">
      <c r="A6688" t="str">
        <f>"20190303153941938"</f>
        <v>20190303153941938</v>
      </c>
      <c r="B6688" t="str">
        <f>"1551598781934914"</f>
        <v>1551598781934914</v>
      </c>
      <c r="C6688" t="s">
        <v>40</v>
      </c>
      <c r="D6688">
        <v>4.2308500000000002</v>
      </c>
      <c r="E6688">
        <v>0.5113839</v>
      </c>
      <c r="F6688" t="s">
        <v>63</v>
      </c>
      <c r="G6688">
        <v>-423.78019999999998</v>
      </c>
      <c r="H6688" s="1">
        <v>-7.0477710000000004E-6</v>
      </c>
      <c r="I6688">
        <v>26.9115</v>
      </c>
      <c r="J6688">
        <v>-421.76569999999998</v>
      </c>
      <c r="K6688">
        <v>1.1218729999999999</v>
      </c>
      <c r="L6688">
        <v>91.464110000000005</v>
      </c>
      <c r="M6688">
        <v>-1.9638349999999999E-2</v>
      </c>
      <c r="N6688">
        <v>-1.377397E-2</v>
      </c>
      <c r="O6688">
        <v>-0.99971220000000005</v>
      </c>
      <c r="P6688">
        <v>9.7906569999999991E-4</v>
      </c>
      <c r="Q6688">
        <v>-5.5505409999999998E-2</v>
      </c>
      <c r="R6688">
        <v>-0.99845790000000001</v>
      </c>
      <c r="S6688">
        <v>-9.3505859999999996E-2</v>
      </c>
      <c r="T6688">
        <v>-5.1978709999999997E-2</v>
      </c>
      <c r="U6688">
        <v>-3.001709</v>
      </c>
      <c r="V6688">
        <v>-2.0524489999999999E-2</v>
      </c>
      <c r="W6688">
        <v>-4.1782189999999997E-2</v>
      </c>
      <c r="X6688">
        <v>0.99891589999999997</v>
      </c>
      <c r="Y6688">
        <v>1.149642E-2</v>
      </c>
      <c r="Z6688">
        <v>3.5346660000000001E-3</v>
      </c>
      <c r="AA6688">
        <v>0.99992760000000003</v>
      </c>
      <c r="AB6688">
        <v>24</v>
      </c>
      <c r="AC6688">
        <v>-2.0144999999999902</v>
      </c>
      <c r="AD6688">
        <v>-1.12188004777099</v>
      </c>
      <c r="AE6688">
        <v>-64.552609999999902</v>
      </c>
      <c r="AF6688">
        <v>0.74605920271502202</v>
      </c>
      <c r="AG6688">
        <v>-1.12188004777099</v>
      </c>
      <c r="AH6688">
        <v>64.560242974568098</v>
      </c>
      <c r="AI6688">
        <v>90.995476933580207</v>
      </c>
      <c r="AJ6688">
        <v>89.337918524231696</v>
      </c>
      <c r="AK6688">
        <v>64.574299780259395</v>
      </c>
      <c r="AL6688">
        <v>92.394640254168607</v>
      </c>
      <c r="AM6688">
        <v>91.1770772792744</v>
      </c>
      <c r="AN6688">
        <v>0.99999999068188306</v>
      </c>
    </row>
    <row r="6689" spans="1:40" x14ac:dyDescent="0.25">
      <c r="A6689" t="str">
        <f>"20190303153941952"</f>
        <v>20190303153941952</v>
      </c>
      <c r="B6689" t="str">
        <f>"1551598781945649"</f>
        <v>1551598781945649</v>
      </c>
      <c r="C6689" t="s">
        <v>40</v>
      </c>
      <c r="D6689">
        <v>4.2698609999999997</v>
      </c>
      <c r="E6689">
        <v>0.51117570000000001</v>
      </c>
      <c r="F6689" t="s">
        <v>63</v>
      </c>
      <c r="G6689">
        <v>-423.78500000000003</v>
      </c>
      <c r="H6689" s="1">
        <v>-9.6063059999999996E-6</v>
      </c>
      <c r="I6689">
        <v>20.822310000000002</v>
      </c>
      <c r="J6689">
        <v>-421.76780000000002</v>
      </c>
      <c r="K6689">
        <v>1.1218699999999999</v>
      </c>
      <c r="L6689">
        <v>91.321719999999999</v>
      </c>
      <c r="M6689">
        <v>-1.9028949999999999E-2</v>
      </c>
      <c r="N6689">
        <v>-1.37728999999999E-2</v>
      </c>
      <c r="O6689">
        <v>-0.99972430000000001</v>
      </c>
      <c r="P6689">
        <v>1.0245110000000001E-3</v>
      </c>
      <c r="Q6689">
        <v>-5.542333E-2</v>
      </c>
      <c r="R6689">
        <v>-0.99846259999999998</v>
      </c>
      <c r="S6689">
        <v>-8.5815429999999998E-2</v>
      </c>
      <c r="T6689">
        <v>-4.7676799999999998E-2</v>
      </c>
      <c r="U6689">
        <v>-3.002075</v>
      </c>
      <c r="V6689">
        <v>-1.9961550000000002E-2</v>
      </c>
      <c r="W6689">
        <v>-4.1699939999999998E-2</v>
      </c>
      <c r="X6689">
        <v>0.99893080000000001</v>
      </c>
      <c r="Y6689">
        <v>9.5435329999999999E-3</v>
      </c>
      <c r="Z6689">
        <v>2.1024419999999999E-3</v>
      </c>
      <c r="AA6689">
        <v>0.99995230000000002</v>
      </c>
      <c r="AB6689">
        <v>24</v>
      </c>
      <c r="AC6689">
        <v>-2.0171999999999999</v>
      </c>
      <c r="AD6689">
        <v>-1.1218796063059999</v>
      </c>
      <c r="AE6689">
        <v>-70.499409999999997</v>
      </c>
      <c r="AF6689">
        <v>0.67500719792647401</v>
      </c>
      <c r="AG6689">
        <v>-1.1218796063059999</v>
      </c>
      <c r="AH6689">
        <v>70.507191114345005</v>
      </c>
      <c r="AI6689">
        <v>90.911546708172196</v>
      </c>
      <c r="AJ6689">
        <v>89.451490245674904</v>
      </c>
      <c r="AK6689">
        <v>70.519346617811706</v>
      </c>
      <c r="AL6689">
        <v>92.389923433604693</v>
      </c>
      <c r="AM6689">
        <v>91.144784372860599</v>
      </c>
      <c r="AN6689">
        <v>1.0000000458315199</v>
      </c>
    </row>
    <row r="6690" spans="1:40" x14ac:dyDescent="0.25">
      <c r="A6690" t="str">
        <f>"20190303153941972"</f>
        <v>20190303153941972</v>
      </c>
      <c r="B6690" t="str">
        <f>"1551598781965169"</f>
        <v>1551598781965169</v>
      </c>
      <c r="C6690" t="s">
        <v>40</v>
      </c>
      <c r="D6690">
        <v>4.2386470000000003</v>
      </c>
      <c r="E6690">
        <v>0.51078659999999998</v>
      </c>
      <c r="F6690" t="s">
        <v>63</v>
      </c>
      <c r="G6690">
        <v>-423.79829999999998</v>
      </c>
      <c r="H6690" s="1">
        <v>-9.7486100000000008E-6</v>
      </c>
      <c r="I6690">
        <v>18.39423</v>
      </c>
      <c r="J6690">
        <v>-421.77100000000002</v>
      </c>
      <c r="K6690">
        <v>1.1218699999999999</v>
      </c>
      <c r="L6690">
        <v>91.100399999999993</v>
      </c>
      <c r="M6690">
        <v>-1.8088E-2</v>
      </c>
      <c r="N6690">
        <v>-1.3771129999999999E-2</v>
      </c>
      <c r="O6690">
        <v>-0.99974169999999996</v>
      </c>
      <c r="P6690">
        <v>1.144001E-3</v>
      </c>
      <c r="Q6690">
        <v>-5.5164829999999998E-2</v>
      </c>
      <c r="R6690">
        <v>-0.99847669999999999</v>
      </c>
      <c r="S6690">
        <v>-8.3587649999999999E-2</v>
      </c>
      <c r="T6690">
        <v>-4.6183349999999998E-2</v>
      </c>
      <c r="U6690">
        <v>-3.0021360000000001</v>
      </c>
      <c r="V6690">
        <v>-1.9142940000000001E-2</v>
      </c>
      <c r="W6690">
        <v>-4.1441260000000001E-2</v>
      </c>
      <c r="X6690">
        <v>0.99895750000000005</v>
      </c>
      <c r="Y6690">
        <v>9.7426949999999991E-3</v>
      </c>
      <c r="Z6690">
        <v>1.6070699999999999E-3</v>
      </c>
      <c r="AA6690">
        <v>0.99995120000000004</v>
      </c>
      <c r="AB6690">
        <v>24</v>
      </c>
      <c r="AC6690">
        <v>-2.0273000000000199</v>
      </c>
      <c r="AD6690">
        <v>-1.1218797486100001</v>
      </c>
      <c r="AE6690">
        <v>-72.706169999999901</v>
      </c>
      <c r="AF6690">
        <v>0.71156524635743301</v>
      </c>
      <c r="AG6690">
        <v>-1.1218797486100001</v>
      </c>
      <c r="AH6690">
        <v>72.713646903067001</v>
      </c>
      <c r="AI6690">
        <v>90.883889076032801</v>
      </c>
      <c r="AJ6690">
        <v>89.439329673769805</v>
      </c>
      <c r="AK6690">
        <v>72.725782121707496</v>
      </c>
      <c r="AL6690">
        <v>92.375089546500405</v>
      </c>
      <c r="AM6690">
        <v>91.097819920446696</v>
      </c>
      <c r="AN6690">
        <v>0.99999995849423895</v>
      </c>
    </row>
    <row r="6691" spans="1:40" x14ac:dyDescent="0.25">
      <c r="A6691" t="str">
        <f>"20190303153941995"</f>
        <v>20190303153941995</v>
      </c>
      <c r="B6691" t="str">
        <f>"1551598781985665"</f>
        <v>1551598781985665</v>
      </c>
      <c r="C6691" t="s">
        <v>40</v>
      </c>
      <c r="D6691">
        <v>4.241479</v>
      </c>
      <c r="E6691">
        <v>0.51044829999999997</v>
      </c>
      <c r="F6691" t="s">
        <v>63</v>
      </c>
      <c r="G6691">
        <v>-423.86950000000002</v>
      </c>
      <c r="H6691" s="1">
        <v>-9.093021E-6</v>
      </c>
      <c r="I6691">
        <v>12.42043</v>
      </c>
      <c r="J6691">
        <v>-421.774</v>
      </c>
      <c r="K6691">
        <v>1.121866</v>
      </c>
      <c r="L6691">
        <v>90.867739999999998</v>
      </c>
      <c r="M6691">
        <v>-1.7110299999999998E-2</v>
      </c>
      <c r="N6691">
        <v>-1.3769099999999999E-2</v>
      </c>
      <c r="O6691">
        <v>-0.99975879999999995</v>
      </c>
      <c r="P6691">
        <v>1.7264660000000001E-3</v>
      </c>
      <c r="Q6691">
        <v>-5.4580129999999998E-2</v>
      </c>
      <c r="R6691">
        <v>-0.9985079</v>
      </c>
      <c r="S6691">
        <v>-8.0078129999999997E-2</v>
      </c>
      <c r="T6691">
        <v>-4.2809369999999999E-2</v>
      </c>
      <c r="U6691">
        <v>-3.002319</v>
      </c>
      <c r="V6691">
        <v>-1.8750889999999999E-2</v>
      </c>
      <c r="W6691">
        <v>-4.0857039999999997E-2</v>
      </c>
      <c r="X6691">
        <v>0.99898900000000002</v>
      </c>
      <c r="Y6691">
        <v>9.5510170000000002E-3</v>
      </c>
      <c r="Z6691">
        <v>4.8541200000000001E-4</v>
      </c>
      <c r="AA6691">
        <v>0.99995429999999996</v>
      </c>
      <c r="AB6691">
        <v>24</v>
      </c>
      <c r="AC6691">
        <v>-2.0955000000000101</v>
      </c>
      <c r="AD6691">
        <v>-1.121875093021</v>
      </c>
      <c r="AE6691">
        <v>-78.447310000000002</v>
      </c>
      <c r="AF6691">
        <v>0.75265509680239695</v>
      </c>
      <c r="AG6691">
        <v>-1.121875093021</v>
      </c>
      <c r="AH6691">
        <v>78.455647602996706</v>
      </c>
      <c r="AI6691">
        <v>90.819206421286097</v>
      </c>
      <c r="AJ6691">
        <v>89.450356488999603</v>
      </c>
      <c r="AK6691">
        <v>78.467278111482102</v>
      </c>
      <c r="AL6691">
        <v>92.341587830363807</v>
      </c>
      <c r="AM6691">
        <v>91.075307855063002</v>
      </c>
      <c r="AN6691">
        <v>0.99999995785717599</v>
      </c>
    </row>
    <row r="6692" spans="1:40" x14ac:dyDescent="0.25">
      <c r="A6692" t="str">
        <f>"20190303153942015"</f>
        <v>20190303153942015</v>
      </c>
      <c r="B6692" t="str">
        <f>"1551598782005185"</f>
        <v>1551598782005185</v>
      </c>
      <c r="C6692" t="s">
        <v>40</v>
      </c>
      <c r="D6692">
        <v>4.1869550000000002</v>
      </c>
      <c r="E6692">
        <v>0.51016189999999995</v>
      </c>
      <c r="F6692" t="s">
        <v>63</v>
      </c>
      <c r="G6692">
        <v>-423.81369999999998</v>
      </c>
      <c r="H6692">
        <v>7.7004359999999994E-2</v>
      </c>
      <c r="I6692">
        <v>9.5892809999999997</v>
      </c>
      <c r="J6692">
        <v>-421.77679999999998</v>
      </c>
      <c r="K6692">
        <v>1.1218600000000001</v>
      </c>
      <c r="L6692">
        <v>90.643100000000004</v>
      </c>
      <c r="M6692">
        <v>-1.6183059999999999E-2</v>
      </c>
      <c r="N6692">
        <v>-1.376696E-2</v>
      </c>
      <c r="O6692">
        <v>-0.99977450000000001</v>
      </c>
      <c r="P6692">
        <v>2.4752039999999999E-3</v>
      </c>
      <c r="Q6692">
        <v>-5.2623509999999998E-2</v>
      </c>
      <c r="R6692">
        <v>-0.99861140000000004</v>
      </c>
      <c r="S6692">
        <v>-7.5347899999999995E-2</v>
      </c>
      <c r="T6692">
        <v>-3.8598180000000003E-2</v>
      </c>
      <c r="U6692">
        <v>-3.0025019999999998</v>
      </c>
      <c r="V6692">
        <v>-1.8580380000000001E-2</v>
      </c>
      <c r="W6692">
        <v>-3.890039E-2</v>
      </c>
      <c r="X6692">
        <v>0.99907029999999997</v>
      </c>
      <c r="Y6692">
        <v>8.9027150000000003E-3</v>
      </c>
      <c r="Z6692">
        <v>-9.1476709999999996E-4</v>
      </c>
      <c r="AA6692">
        <v>0.99995990000000001</v>
      </c>
      <c r="AB6692">
        <v>24</v>
      </c>
      <c r="AC6692">
        <v>-2.0369000000000002</v>
      </c>
      <c r="AD6692">
        <v>-1.04485564</v>
      </c>
      <c r="AE6692">
        <v>-81.053818999999905</v>
      </c>
      <c r="AF6692">
        <v>0.72469003233821505</v>
      </c>
      <c r="AG6692">
        <v>-1.04485564</v>
      </c>
      <c r="AH6692">
        <v>81.062706947290295</v>
      </c>
      <c r="AI6692">
        <v>90.738442051616204</v>
      </c>
      <c r="AJ6692">
        <v>89.4877968455569</v>
      </c>
      <c r="AK6692">
        <v>81.0726794707914</v>
      </c>
      <c r="AL6692">
        <v>92.229390749254904</v>
      </c>
      <c r="AM6692">
        <v>91.065445189298003</v>
      </c>
      <c r="AN6692">
        <v>0.99999996760259202</v>
      </c>
    </row>
    <row r="6693" spans="1:40" x14ac:dyDescent="0.25">
      <c r="A6693" t="str">
        <f>"20190303153942031"</f>
        <v>20190303153942031</v>
      </c>
      <c r="B6693" t="str">
        <f>"1551598782025681"</f>
        <v>1551598782025681</v>
      </c>
      <c r="C6693" t="s">
        <v>40</v>
      </c>
      <c r="D6693">
        <v>4.2347229999999998</v>
      </c>
      <c r="E6693">
        <v>0.50997320000000002</v>
      </c>
      <c r="F6693" t="s">
        <v>71</v>
      </c>
      <c r="G6693">
        <v>-423.90640000000002</v>
      </c>
      <c r="H6693">
        <v>0.19728209999999999</v>
      </c>
      <c r="I6693">
        <v>0.4376602</v>
      </c>
      <c r="J6693">
        <v>-421.77859999999998</v>
      </c>
      <c r="K6693">
        <v>1.1218509999999999</v>
      </c>
      <c r="L6693">
        <v>90.484989999999996</v>
      </c>
      <c r="M6693">
        <v>-1.5544189999999999E-2</v>
      </c>
      <c r="N6693">
        <v>-1.376544E-2</v>
      </c>
      <c r="O6693">
        <v>-0.99978449999999996</v>
      </c>
      <c r="P6693">
        <v>2.8145589999999999E-3</v>
      </c>
      <c r="Q6693">
        <v>-5.1593310000000003E-2</v>
      </c>
      <c r="R6693">
        <v>-0.99866440000000001</v>
      </c>
      <c r="S6693">
        <v>-7.0892330000000003E-2</v>
      </c>
      <c r="T6693">
        <v>-3.0777809999999999E-2</v>
      </c>
      <c r="U6693">
        <v>-3.0027159999999999</v>
      </c>
      <c r="V6693">
        <v>-1.8284310000000002E-2</v>
      </c>
      <c r="W6693">
        <v>-3.7870010000000003E-2</v>
      </c>
      <c r="X6693">
        <v>0.99911539999999999</v>
      </c>
      <c r="Y6693">
        <v>8.0571640000000003E-3</v>
      </c>
      <c r="Z6693">
        <v>-3.5171590000000002E-3</v>
      </c>
      <c r="AA6693">
        <v>0.9999614</v>
      </c>
      <c r="AB6693">
        <v>24</v>
      </c>
      <c r="AC6693">
        <v>-2.1278000000000299</v>
      </c>
      <c r="AD6693">
        <v>-0.92456890000000003</v>
      </c>
      <c r="AE6693">
        <v>-90.0473298</v>
      </c>
      <c r="AF6693">
        <v>0.727620881634229</v>
      </c>
      <c r="AG6693">
        <v>-0.92456890000000003</v>
      </c>
      <c r="AH6693">
        <v>90.060037306612699</v>
      </c>
      <c r="AI6693">
        <v>90.588166603507801</v>
      </c>
      <c r="AJ6693">
        <v>89.537101029592094</v>
      </c>
      <c r="AK6693">
        <v>90.067722184291497</v>
      </c>
      <c r="AL6693">
        <v>92.170310668850902</v>
      </c>
      <c r="AM6693">
        <v>91.048424302441205</v>
      </c>
      <c r="AN6693">
        <v>1.0000000180833599</v>
      </c>
    </row>
    <row r="6694" spans="1:40" x14ac:dyDescent="0.25">
      <c r="A6694" t="str">
        <f>"20190303153942045"</f>
        <v>20190303153942045</v>
      </c>
      <c r="B6694" t="str">
        <f>"1551598782035442"</f>
        <v>1551598782035442</v>
      </c>
      <c r="C6694" t="s">
        <v>40</v>
      </c>
      <c r="D6694">
        <v>4.2251099999999999</v>
      </c>
      <c r="E6694">
        <v>0.50987499999999997</v>
      </c>
      <c r="F6694" t="s">
        <v>71</v>
      </c>
      <c r="G6694">
        <v>-423.82470000000001</v>
      </c>
      <c r="H6694">
        <v>0.36049130000000001</v>
      </c>
      <c r="I6694">
        <v>0.43848799999999999</v>
      </c>
      <c r="J6694">
        <v>-421.78019999999998</v>
      </c>
      <c r="K6694">
        <v>1.1218410000000001</v>
      </c>
      <c r="L6694">
        <v>90.333190000000002</v>
      </c>
      <c r="M6694">
        <v>-1.4951300000000001E-2</v>
      </c>
      <c r="N6694">
        <v>-1.376399E-2</v>
      </c>
      <c r="O6694">
        <v>-0.99979370000000001</v>
      </c>
      <c r="P6694">
        <v>3.20332E-3</v>
      </c>
      <c r="Q6694">
        <v>-5.0493059999999999E-2</v>
      </c>
      <c r="R6694">
        <v>-0.99871940000000003</v>
      </c>
      <c r="S6694">
        <v>-6.8237300000000001E-2</v>
      </c>
      <c r="T6694">
        <v>-2.539098E-2</v>
      </c>
      <c r="U6694">
        <v>-3.0028990000000002</v>
      </c>
      <c r="V6694">
        <v>-1.8084960000000001E-2</v>
      </c>
      <c r="W6694">
        <v>-3.6769469999999999E-2</v>
      </c>
      <c r="X6694">
        <v>0.9991601</v>
      </c>
      <c r="Y6694">
        <v>7.7650439999999996E-3</v>
      </c>
      <c r="Z6694">
        <v>-5.3094029999999999E-3</v>
      </c>
      <c r="AA6694">
        <v>0.99995579999999995</v>
      </c>
      <c r="AB6694">
        <v>24</v>
      </c>
      <c r="AC6694">
        <v>-2.0445000000000202</v>
      </c>
      <c r="AD6694">
        <v>-0.76134969999999902</v>
      </c>
      <c r="AE6694">
        <v>-89.894701999999995</v>
      </c>
      <c r="AF6694">
        <v>0.70005154134264003</v>
      </c>
      <c r="AG6694">
        <v>-0.76134969999999902</v>
      </c>
      <c r="AH6694">
        <v>89.908776955789406</v>
      </c>
      <c r="AI6694">
        <v>90.485155746026606</v>
      </c>
      <c r="AJ6694">
        <v>89.553890180867498</v>
      </c>
      <c r="AK6694">
        <v>89.914725708373993</v>
      </c>
      <c r="AL6694">
        <v>92.107210487319506</v>
      </c>
      <c r="AM6694">
        <v>91.036949679299696</v>
      </c>
      <c r="AN6694">
        <v>0.99999998256714595</v>
      </c>
    </row>
    <row r="6695" spans="1:40" x14ac:dyDescent="0.25">
      <c r="A6695" t="str">
        <f>"20190303153942059"</f>
        <v>20190303153942059</v>
      </c>
      <c r="B6695" t="str">
        <f>"1551598782054961"</f>
        <v>1551598782054961</v>
      </c>
      <c r="C6695" t="s">
        <v>40</v>
      </c>
      <c r="D6695">
        <v>4.224653</v>
      </c>
      <c r="E6695">
        <v>0.50965550000000004</v>
      </c>
      <c r="F6695" t="s">
        <v>71</v>
      </c>
      <c r="G6695">
        <v>-423.76530000000002</v>
      </c>
      <c r="H6695">
        <v>0.49018879999999998</v>
      </c>
      <c r="I6695">
        <v>0.4390945</v>
      </c>
      <c r="J6695">
        <v>-421.78179999999998</v>
      </c>
      <c r="K6695">
        <v>1.1218239999999999</v>
      </c>
      <c r="L6695">
        <v>90.189269999999993</v>
      </c>
      <c r="M6695">
        <v>-1.44102999999999E-2</v>
      </c>
      <c r="N6695">
        <v>-1.376259E-2</v>
      </c>
      <c r="O6695">
        <v>-0.99980150000000001</v>
      </c>
      <c r="P6695">
        <v>3.4884489999999998E-3</v>
      </c>
      <c r="Q6695">
        <v>-4.9538539999999999E-2</v>
      </c>
      <c r="R6695">
        <v>-0.99876620000000005</v>
      </c>
      <c r="S6695">
        <v>-6.6314699999999893E-2</v>
      </c>
      <c r="T6695">
        <v>-2.1101709999999999E-2</v>
      </c>
      <c r="U6695">
        <v>-3.0029910000000002</v>
      </c>
      <c r="V6695">
        <v>-1.7833539999999998E-2</v>
      </c>
      <c r="W6695">
        <v>-3.5814489999999997E-2</v>
      </c>
      <c r="X6695">
        <v>0.99919930000000001</v>
      </c>
      <c r="Y6695">
        <v>7.6654649999999998E-3</v>
      </c>
      <c r="Z6695">
        <v>-6.7360500000000004E-3</v>
      </c>
      <c r="AA6695">
        <v>0.9999479</v>
      </c>
      <c r="AB6695">
        <v>24</v>
      </c>
      <c r="AC6695">
        <v>-1.98350000000004</v>
      </c>
      <c r="AD6695">
        <v>-0.63163519999999995</v>
      </c>
      <c r="AE6695">
        <v>-89.750175499999997</v>
      </c>
      <c r="AF6695">
        <v>0.68981047031612597</v>
      </c>
      <c r="AG6695">
        <v>-0.63163519999999995</v>
      </c>
      <c r="AH6695">
        <v>89.764996347364104</v>
      </c>
      <c r="AI6695">
        <v>90.403145623318807</v>
      </c>
      <c r="AJ6695">
        <v>89.559712000734805</v>
      </c>
      <c r="AK6695">
        <v>89.769868946952997</v>
      </c>
      <c r="AL6695">
        <v>92.0524581029388</v>
      </c>
      <c r="AM6695">
        <v>91.022496814685894</v>
      </c>
      <c r="AN6695">
        <v>0.99999997698168996</v>
      </c>
    </row>
    <row r="6696" spans="1:40" x14ac:dyDescent="0.25">
      <c r="A6696" t="str">
        <f>"20190303153942073"</f>
        <v>20190303153942073</v>
      </c>
      <c r="B6696" t="str">
        <f>"1551598782065697"</f>
        <v>1551598782065697</v>
      </c>
      <c r="C6696" t="s">
        <v>40</v>
      </c>
      <c r="D6696">
        <v>4.2290150000000004</v>
      </c>
      <c r="E6696">
        <v>0.5095459</v>
      </c>
      <c r="F6696" t="s">
        <v>71</v>
      </c>
      <c r="G6696">
        <v>-423.68520000000001</v>
      </c>
      <c r="H6696">
        <v>0.62280579999999996</v>
      </c>
      <c r="I6696">
        <v>0.43990899999999999</v>
      </c>
      <c r="J6696">
        <v>-421.7833</v>
      </c>
      <c r="K6696">
        <v>1.121807</v>
      </c>
      <c r="L6696">
        <v>90.047119999999893</v>
      </c>
      <c r="M6696">
        <v>-1.389284E-2</v>
      </c>
      <c r="N6696">
        <v>-1.376117E-2</v>
      </c>
      <c r="O6696">
        <v>-0.99980899999999995</v>
      </c>
      <c r="P6696">
        <v>3.1353869999999999E-3</v>
      </c>
      <c r="Q6696">
        <v>-4.8791080000000001E-2</v>
      </c>
      <c r="R6696">
        <v>-0.99880429999999998</v>
      </c>
      <c r="S6696">
        <v>-6.3690189999999994E-2</v>
      </c>
      <c r="T6696">
        <v>-1.6698359999999999E-2</v>
      </c>
      <c r="U6696">
        <v>-3.003082</v>
      </c>
      <c r="V6696">
        <v>-1.6967309999999999E-2</v>
      </c>
      <c r="W6696">
        <v>-3.5065689999999997E-2</v>
      </c>
      <c r="X6696">
        <v>0.99924100000000005</v>
      </c>
      <c r="Y6696">
        <v>7.3087409999999997E-3</v>
      </c>
      <c r="Z6696">
        <v>-8.2006359999999903E-3</v>
      </c>
      <c r="AA6696">
        <v>0.99993969999999999</v>
      </c>
      <c r="AB6696">
        <v>23</v>
      </c>
      <c r="AC6696">
        <v>-1.9019000000000099</v>
      </c>
      <c r="AD6696">
        <v>-0.49900119999999898</v>
      </c>
      <c r="AE6696">
        <v>-89.607210999999893</v>
      </c>
      <c r="AF6696">
        <v>0.65667978213671896</v>
      </c>
      <c r="AG6696">
        <v>-0.49900119999999898</v>
      </c>
      <c r="AH6696">
        <v>89.622208616118996</v>
      </c>
      <c r="AI6696">
        <v>90.319001286670201</v>
      </c>
      <c r="AJ6696">
        <v>89.580189918593703</v>
      </c>
      <c r="AK6696">
        <v>89.626003524451704</v>
      </c>
      <c r="AL6696">
        <v>92.009527937768098</v>
      </c>
      <c r="AM6696">
        <v>90.972800191286396</v>
      </c>
      <c r="AN6696">
        <v>1.0000000341524</v>
      </c>
    </row>
    <row r="6697" spans="1:40" x14ac:dyDescent="0.25">
      <c r="A6697" t="str">
        <f>"20190303153942094"</f>
        <v>20190303153942094</v>
      </c>
      <c r="B6697" t="str">
        <f>"1551598782085218"</f>
        <v>1551598782085218</v>
      </c>
      <c r="C6697" t="s">
        <v>40</v>
      </c>
      <c r="D6697">
        <v>4.2292820000000004</v>
      </c>
      <c r="E6697">
        <v>0.50936369999999997</v>
      </c>
      <c r="F6697" t="s">
        <v>71</v>
      </c>
      <c r="G6697">
        <v>-423.68540000000002</v>
      </c>
      <c r="H6697">
        <v>0.71560590000000002</v>
      </c>
      <c r="I6697">
        <v>0.4399071</v>
      </c>
      <c r="J6697">
        <v>-421.78550000000001</v>
      </c>
      <c r="K6697">
        <v>1.121764</v>
      </c>
      <c r="L6697">
        <v>89.814480000000003</v>
      </c>
      <c r="M6697">
        <v>-1.310072E-2</v>
      </c>
      <c r="N6697">
        <v>-1.3758670000000001E-2</v>
      </c>
      <c r="O6697">
        <v>-0.99981960000000003</v>
      </c>
      <c r="P6697">
        <v>3.1884909999999999E-3</v>
      </c>
      <c r="Q6697">
        <v>-4.8926610000000002E-2</v>
      </c>
      <c r="R6697">
        <v>-0.9987975</v>
      </c>
      <c r="S6697">
        <v>-6.3751219999999997E-2</v>
      </c>
      <c r="T6697">
        <v>-1.3614299999999999E-2</v>
      </c>
      <c r="U6697">
        <v>-3.0031129999999999</v>
      </c>
      <c r="V6697">
        <v>-1.6232980000000001E-2</v>
      </c>
      <c r="W6697">
        <v>-3.5200910000000002E-2</v>
      </c>
      <c r="X6697">
        <v>0.99924840000000004</v>
      </c>
      <c r="Y6697">
        <v>8.1208430000000009E-3</v>
      </c>
      <c r="Z6697">
        <v>-9.2248610000000009E-3</v>
      </c>
      <c r="AA6697">
        <v>0.99992449999999999</v>
      </c>
      <c r="AB6697">
        <v>23</v>
      </c>
      <c r="AC6697">
        <v>-1.8998999999999999</v>
      </c>
      <c r="AD6697">
        <v>-0.40615810000000002</v>
      </c>
      <c r="AE6697">
        <v>-89.374572900000004</v>
      </c>
      <c r="AF6697">
        <v>0.72873988131269696</v>
      </c>
      <c r="AG6697">
        <v>-0.40615810000000002</v>
      </c>
      <c r="AH6697">
        <v>89.389948655674004</v>
      </c>
      <c r="AI6697">
        <v>90.260322462365494</v>
      </c>
      <c r="AJ6697">
        <v>89.532913988349506</v>
      </c>
      <c r="AK6697">
        <v>89.393841772690607</v>
      </c>
      <c r="AL6697">
        <v>92.017280349336303</v>
      </c>
      <c r="AM6697">
        <v>90.9306989511377</v>
      </c>
      <c r="AN6697">
        <v>0.99999998930353395</v>
      </c>
    </row>
    <row r="6698" spans="1:40" x14ac:dyDescent="0.25">
      <c r="A6698" t="str">
        <f>"20190303153942117"</f>
        <v>20190303153942117</v>
      </c>
      <c r="B6698" t="str">
        <f>"1551598782104738"</f>
        <v>1551598782104738</v>
      </c>
      <c r="C6698" t="s">
        <v>40</v>
      </c>
      <c r="D6698">
        <v>4.1929879999999997</v>
      </c>
      <c r="E6698">
        <v>0.50913379999999997</v>
      </c>
      <c r="F6698" t="s">
        <v>71</v>
      </c>
      <c r="G6698">
        <v>-423.62369999999999</v>
      </c>
      <c r="H6698">
        <v>0.74989220000000001</v>
      </c>
      <c r="I6698">
        <v>0.4405365</v>
      </c>
      <c r="J6698">
        <v>-421.7876</v>
      </c>
      <c r="K6698">
        <v>1.1217109999999999</v>
      </c>
      <c r="L6698">
        <v>89.588899999999995</v>
      </c>
      <c r="M6698">
        <v>-1.2387459999999999E-2</v>
      </c>
      <c r="N6698">
        <v>-1.375616E-2</v>
      </c>
      <c r="O6698">
        <v>-0.99982879999999996</v>
      </c>
      <c r="P6698">
        <v>3.2457330000000002E-3</v>
      </c>
      <c r="Q6698">
        <v>-5.0247430000000003E-2</v>
      </c>
      <c r="R6698">
        <v>-0.9987317</v>
      </c>
      <c r="S6698">
        <v>-6.1767580000000002E-2</v>
      </c>
      <c r="T6698">
        <v>-1.2496709999999999E-2</v>
      </c>
      <c r="U6698">
        <v>-3.0032040000000002</v>
      </c>
      <c r="V6698">
        <v>-1.5578989999999999E-2</v>
      </c>
      <c r="W6698">
        <v>-3.6522430000000002E-2</v>
      </c>
      <c r="X6698">
        <v>0.99921139999999997</v>
      </c>
      <c r="Y6698">
        <v>8.1733340000000008E-3</v>
      </c>
      <c r="Z6698">
        <v>-9.5945779999999994E-3</v>
      </c>
      <c r="AA6698">
        <v>0.99992049999999999</v>
      </c>
      <c r="AB6698">
        <v>23</v>
      </c>
      <c r="AC6698">
        <v>-1.8360999999999801</v>
      </c>
      <c r="AD6698">
        <v>-0.3718188</v>
      </c>
      <c r="AE6698">
        <v>-89.148363500000002</v>
      </c>
      <c r="AF6698">
        <v>0.73152025744882898</v>
      </c>
      <c r="AG6698">
        <v>-0.3718188</v>
      </c>
      <c r="AH6698">
        <v>89.162718469226306</v>
      </c>
      <c r="AI6698">
        <v>90.238920570448101</v>
      </c>
      <c r="AJ6698">
        <v>89.529937133647095</v>
      </c>
      <c r="AK6698">
        <v>89.166494469220893</v>
      </c>
      <c r="AL6698">
        <v>92.093046572054703</v>
      </c>
      <c r="AM6698">
        <v>90.893242469959304</v>
      </c>
      <c r="AN6698">
        <v>1.0000000073562401</v>
      </c>
    </row>
    <row r="6699" spans="1:40" x14ac:dyDescent="0.25">
      <c r="A6699" t="str">
        <f>"20190303153942139"</f>
        <v>20190303153942139</v>
      </c>
      <c r="B6699" t="str">
        <f>"1551598782134993"</f>
        <v>1551598782134993</v>
      </c>
      <c r="C6699" t="s">
        <v>40</v>
      </c>
      <c r="D6699">
        <v>4.2172890000000001</v>
      </c>
      <c r="E6699">
        <v>0.50878699999999999</v>
      </c>
      <c r="F6699" t="s">
        <v>71</v>
      </c>
      <c r="G6699">
        <v>-423.57850000000002</v>
      </c>
      <c r="H6699">
        <v>0.64534250000000004</v>
      </c>
      <c r="I6699">
        <v>0.44099430000000001</v>
      </c>
      <c r="J6699">
        <v>-421.78969999999998</v>
      </c>
      <c r="K6699">
        <v>1.1216729999999999</v>
      </c>
      <c r="L6699">
        <v>89.352140000000006</v>
      </c>
      <c r="M6699">
        <v>-1.1690880000000001E-2</v>
      </c>
      <c r="N6699">
        <v>-1.375349E-2</v>
      </c>
      <c r="O6699">
        <v>-0.99983699999999998</v>
      </c>
      <c r="P6699">
        <v>3.3694850000000002E-3</v>
      </c>
      <c r="Q6699">
        <v>-5.0228189999999999E-2</v>
      </c>
      <c r="R6699">
        <v>-0.99873199999999995</v>
      </c>
      <c r="S6699">
        <v>-6.0333249999999998E-2</v>
      </c>
      <c r="T6699">
        <v>-1.604879E-2</v>
      </c>
      <c r="U6699">
        <v>-3.0032040000000002</v>
      </c>
      <c r="V6699">
        <v>-1.5010570000000001E-2</v>
      </c>
      <c r="W6699">
        <v>-3.6503649999999999E-2</v>
      </c>
      <c r="X6699">
        <v>0.99922080000000002</v>
      </c>
      <c r="Y6699">
        <v>8.3927589999999996E-3</v>
      </c>
      <c r="Z6699">
        <v>-8.4095569999999998E-3</v>
      </c>
      <c r="AA6699">
        <v>0.99992939999999997</v>
      </c>
      <c r="AB6699">
        <v>23</v>
      </c>
      <c r="AC6699">
        <v>-1.7888000000000299</v>
      </c>
      <c r="AD6699">
        <v>-0.47633049999999899</v>
      </c>
      <c r="AE6699">
        <v>-88.911145700000006</v>
      </c>
      <c r="AF6699">
        <v>0.74910830601326495</v>
      </c>
      <c r="AG6699">
        <v>-0.47633049999999899</v>
      </c>
      <c r="AH6699">
        <v>88.923431725893707</v>
      </c>
      <c r="AI6699">
        <v>90.306898838905397</v>
      </c>
      <c r="AJ6699">
        <v>89.517340612892099</v>
      </c>
      <c r="AK6699">
        <v>88.927862697295495</v>
      </c>
      <c r="AL6699">
        <v>92.091969812004507</v>
      </c>
      <c r="AM6699">
        <v>90.860648240059703</v>
      </c>
      <c r="AN6699">
        <v>1.00000002041384</v>
      </c>
    </row>
    <row r="6700" spans="1:40" x14ac:dyDescent="0.25">
      <c r="A6700" t="str">
        <f>"20190303153942153"</f>
        <v>20190303153942153</v>
      </c>
      <c r="B6700" t="str">
        <f>"1551598782145730"</f>
        <v>1551598782145730</v>
      </c>
      <c r="C6700" t="s">
        <v>40</v>
      </c>
      <c r="D6700">
        <v>4.189616</v>
      </c>
      <c r="E6700">
        <v>0.50871929999999999</v>
      </c>
      <c r="F6700" t="s">
        <v>71</v>
      </c>
      <c r="G6700">
        <v>-423.47370000000001</v>
      </c>
      <c r="H6700">
        <v>0.63672469999999903</v>
      </c>
      <c r="I6700">
        <v>0.44206240000000002</v>
      </c>
      <c r="J6700">
        <v>-421.79090000000002</v>
      </c>
      <c r="K6700">
        <v>1.121658</v>
      </c>
      <c r="L6700">
        <v>89.203739999999996</v>
      </c>
      <c r="M6700">
        <v>-1.12776E-2</v>
      </c>
      <c r="N6700">
        <v>-1.375182E-2</v>
      </c>
      <c r="O6700">
        <v>-0.99984200000000001</v>
      </c>
      <c r="P6700">
        <v>3.5810830000000001E-3</v>
      </c>
      <c r="Q6700">
        <v>-4.9856829999999998E-2</v>
      </c>
      <c r="R6700">
        <v>-0.99875000000000003</v>
      </c>
      <c r="S6700">
        <v>-5.6884770000000001E-2</v>
      </c>
      <c r="T6700">
        <v>-1.6381380000000001E-2</v>
      </c>
      <c r="U6700">
        <v>-3.003174</v>
      </c>
      <c r="V6700">
        <v>-1.481209E-2</v>
      </c>
      <c r="W6700">
        <v>-3.613276E-2</v>
      </c>
      <c r="X6700">
        <v>0.99923720000000005</v>
      </c>
      <c r="Y6700">
        <v>7.6586459999999999E-3</v>
      </c>
      <c r="Z6700">
        <v>-8.2971429999999999E-3</v>
      </c>
      <c r="AA6700">
        <v>0.99993620000000005</v>
      </c>
      <c r="AB6700">
        <v>23</v>
      </c>
      <c r="AC6700">
        <v>-1.6827999999999801</v>
      </c>
      <c r="AD6700">
        <v>-0.48493330000000001</v>
      </c>
      <c r="AE6700">
        <v>-88.761677599999999</v>
      </c>
      <c r="AF6700">
        <v>0.68155942754839505</v>
      </c>
      <c r="AG6700">
        <v>-0.48493330000000001</v>
      </c>
      <c r="AH6700">
        <v>88.772362835461493</v>
      </c>
      <c r="AI6700">
        <v>90.312975067363993</v>
      </c>
      <c r="AJ6700">
        <v>89.560114092041601</v>
      </c>
      <c r="AK6700">
        <v>88.776303634188196</v>
      </c>
      <c r="AL6700">
        <v>92.070705439624007</v>
      </c>
      <c r="AM6700">
        <v>90.849255903048203</v>
      </c>
      <c r="AN6700">
        <v>0.99999997810961205</v>
      </c>
    </row>
    <row r="6701" spans="1:40" x14ac:dyDescent="0.25">
      <c r="A6701" t="str">
        <f>"20190303153942166"</f>
        <v>20190303153942166</v>
      </c>
      <c r="B6701" t="str">
        <f>"1551598782155489"</f>
        <v>1551598782155489</v>
      </c>
      <c r="C6701" t="s">
        <v>40</v>
      </c>
      <c r="D6701">
        <v>4.2153549999999997</v>
      </c>
      <c r="E6701">
        <v>0.50864849999999995</v>
      </c>
      <c r="F6701" t="s">
        <v>71</v>
      </c>
      <c r="G6701">
        <v>-423.43779999999998</v>
      </c>
      <c r="H6701">
        <v>0.68952209999999903</v>
      </c>
      <c r="I6701">
        <v>0.44242480000000001</v>
      </c>
      <c r="J6701">
        <v>-421.79199999999997</v>
      </c>
      <c r="K6701">
        <v>1.121645</v>
      </c>
      <c r="L6701">
        <v>89.065860000000001</v>
      </c>
      <c r="M6701">
        <v>-1.090988E-2</v>
      </c>
      <c r="N6701">
        <v>-1.375027E-2</v>
      </c>
      <c r="O6701">
        <v>-0.99984620000000002</v>
      </c>
      <c r="P6701">
        <v>4.0395400000000003E-3</v>
      </c>
      <c r="Q6701">
        <v>-4.8534849999999997E-2</v>
      </c>
      <c r="R6701">
        <v>-0.99881379999999997</v>
      </c>
      <c r="S6701">
        <v>-5.57251E-2</v>
      </c>
      <c r="T6701">
        <v>-1.4622090000000001E-2</v>
      </c>
      <c r="U6701">
        <v>-3.0032350000000001</v>
      </c>
      <c r="V6701">
        <v>-1.490618E-2</v>
      </c>
      <c r="W6701">
        <v>-3.4811090000000003E-2</v>
      </c>
      <c r="X6701">
        <v>0.99928269999999997</v>
      </c>
      <c r="Y6701">
        <v>7.6399859999999997E-3</v>
      </c>
      <c r="Z6701">
        <v>-8.8813709999999903E-3</v>
      </c>
      <c r="AA6701">
        <v>0.99993140000000003</v>
      </c>
      <c r="AB6701">
        <v>23</v>
      </c>
      <c r="AC6701">
        <v>-1.6457999999999999</v>
      </c>
      <c r="AD6701">
        <v>-0.43212289999999998</v>
      </c>
      <c r="AE6701">
        <v>-88.623435200000003</v>
      </c>
      <c r="AF6701">
        <v>0.67872369327020599</v>
      </c>
      <c r="AG6701">
        <v>-0.43212289999999998</v>
      </c>
      <c r="AH6701">
        <v>88.634010466348599</v>
      </c>
      <c r="AI6701">
        <v>90.279327272266201</v>
      </c>
      <c r="AJ6701">
        <v>89.561260482443203</v>
      </c>
      <c r="AK6701">
        <v>88.637662465801199</v>
      </c>
      <c r="AL6701">
        <v>91.994931668466805</v>
      </c>
      <c r="AM6701">
        <v>90.8546108768398</v>
      </c>
      <c r="AN6701">
        <v>0.999999960354234</v>
      </c>
    </row>
    <row r="6702" spans="1:40" x14ac:dyDescent="0.25">
      <c r="A6702" t="str">
        <f>"20190303153942184"</f>
        <v>20190303153942184</v>
      </c>
      <c r="B6702" t="str">
        <f>"1551598782175009"</f>
        <v>1551598782175009</v>
      </c>
      <c r="C6702" t="s">
        <v>40</v>
      </c>
      <c r="D6702">
        <v>4.2173299999999996</v>
      </c>
      <c r="E6702">
        <v>0.50846840000000004</v>
      </c>
      <c r="F6702" t="s">
        <v>71</v>
      </c>
      <c r="G6702">
        <v>-423.38679999999999</v>
      </c>
      <c r="H6702">
        <v>0.82169780000000003</v>
      </c>
      <c r="I6702">
        <v>0.44294549999999999</v>
      </c>
      <c r="J6702">
        <v>-421.79349999999999</v>
      </c>
      <c r="K6702">
        <v>1.1216390000000001</v>
      </c>
      <c r="L6702">
        <v>88.880919999999904</v>
      </c>
      <c r="M6702">
        <v>-1.0438960000000001E-2</v>
      </c>
      <c r="N6702">
        <v>-1.374305E-2</v>
      </c>
      <c r="O6702">
        <v>-0.99985119999999905</v>
      </c>
      <c r="P6702">
        <v>4.4105580000000002E-3</v>
      </c>
      <c r="Q6702">
        <v>-4.5678980000000001E-2</v>
      </c>
      <c r="R6702">
        <v>-0.99894649999999996</v>
      </c>
      <c r="S6702">
        <v>-5.4046629999999998E-2</v>
      </c>
      <c r="T6702">
        <v>-1.016569E-2</v>
      </c>
      <c r="U6702">
        <v>-3.0032960000000002</v>
      </c>
      <c r="V6702">
        <v>-1.481181E-2</v>
      </c>
      <c r="W6702">
        <v>-3.1960139999999998E-2</v>
      </c>
      <c r="X6702">
        <v>0.99937940000000003</v>
      </c>
      <c r="Y6702">
        <v>7.5517709999999997E-3</v>
      </c>
      <c r="Z6702">
        <v>-1.035778E-2</v>
      </c>
      <c r="AA6702">
        <v>0.99991790000000003</v>
      </c>
      <c r="AB6702">
        <v>23</v>
      </c>
      <c r="AC6702">
        <v>-1.5932999999999899</v>
      </c>
      <c r="AD6702">
        <v>-0.29994119999999902</v>
      </c>
      <c r="AE6702">
        <v>-88.437974499999996</v>
      </c>
      <c r="AF6702">
        <v>0.66991791436530101</v>
      </c>
      <c r="AG6702">
        <v>-0.29994119999999902</v>
      </c>
      <c r="AH6702">
        <v>88.448771739335996</v>
      </c>
      <c r="AI6702">
        <v>90.194291065236399</v>
      </c>
      <c r="AJ6702">
        <v>89.566045583147599</v>
      </c>
      <c r="AK6702">
        <v>88.451817261900302</v>
      </c>
      <c r="AL6702">
        <v>91.831492998248194</v>
      </c>
      <c r="AM6702">
        <v>90.849119032305296</v>
      </c>
      <c r="AN6702">
        <v>1.00000001270432</v>
      </c>
    </row>
    <row r="6703" spans="1:40" x14ac:dyDescent="0.25">
      <c r="A6703" t="str">
        <f>"20190303153942207"</f>
        <v>20190303153942207</v>
      </c>
      <c r="B6703" t="str">
        <f>"1551598782195505"</f>
        <v>1551598782195505</v>
      </c>
      <c r="C6703" t="s">
        <v>40</v>
      </c>
      <c r="D6703">
        <v>4.2099080000000004</v>
      </c>
      <c r="E6703">
        <v>0.50823600000000002</v>
      </c>
      <c r="F6703" t="s">
        <v>71</v>
      </c>
      <c r="G6703">
        <v>-423.30220000000003</v>
      </c>
      <c r="H6703">
        <v>1.076147</v>
      </c>
      <c r="I6703">
        <v>0.44380570000000003</v>
      </c>
      <c r="J6703">
        <v>-421.79509999999999</v>
      </c>
      <c r="K6703">
        <v>1.121623</v>
      </c>
      <c r="L6703">
        <v>88.654510000000002</v>
      </c>
      <c r="M6703">
        <v>-9.885998E-3</v>
      </c>
      <c r="N6703">
        <v>-1.370711E-2</v>
      </c>
      <c r="O6703">
        <v>-0.99985740000000001</v>
      </c>
      <c r="P6703">
        <v>4.8117059999999998E-3</v>
      </c>
      <c r="Q6703">
        <v>-4.2933779999999998E-2</v>
      </c>
      <c r="R6703">
        <v>-0.99906649999999997</v>
      </c>
      <c r="S6703">
        <v>-5.1239010000000001E-2</v>
      </c>
      <c r="T6703">
        <v>-1.5456679999999901E-3</v>
      </c>
      <c r="U6703">
        <v>-3.0033259999999999</v>
      </c>
      <c r="V6703">
        <v>-1.466578E-2</v>
      </c>
      <c r="W6703">
        <v>-2.9248710000000001E-2</v>
      </c>
      <c r="X6703">
        <v>0.99946460000000004</v>
      </c>
      <c r="Y6703">
        <v>7.1697710000000001E-3</v>
      </c>
      <c r="Z6703">
        <v>-1.3191430000000001E-2</v>
      </c>
      <c r="AA6703">
        <v>0.99988730000000003</v>
      </c>
      <c r="AB6703">
        <v>23</v>
      </c>
      <c r="AC6703">
        <v>-1.5071000000000301</v>
      </c>
      <c r="AD6703">
        <v>-4.5476000000000003E-2</v>
      </c>
      <c r="AE6703">
        <v>-88.210704299999904</v>
      </c>
      <c r="AF6703">
        <v>0.63489357971953198</v>
      </c>
      <c r="AG6703">
        <v>-4.5476000000000003E-2</v>
      </c>
      <c r="AH6703">
        <v>88.221269983620999</v>
      </c>
      <c r="AI6703">
        <v>90.029533866021794</v>
      </c>
      <c r="AJ6703">
        <v>89.587672059276102</v>
      </c>
      <c r="AK6703">
        <v>88.223566213609303</v>
      </c>
      <c r="AL6703">
        <v>91.6760666234198</v>
      </c>
      <c r="AM6703">
        <v>90.840677094585701</v>
      </c>
      <c r="AN6703">
        <v>1.00000002939641</v>
      </c>
    </row>
    <row r="6704" spans="1:40" x14ac:dyDescent="0.25">
      <c r="A6704" t="str">
        <f>"20190303153942228"</f>
        <v>20190303153942228</v>
      </c>
      <c r="B6704" t="str">
        <f>"1551598782224786"</f>
        <v>1551598782224786</v>
      </c>
      <c r="C6704" t="s">
        <v>40</v>
      </c>
      <c r="D6704">
        <v>4.1736089999999999</v>
      </c>
      <c r="E6704">
        <v>0.50797499999999995</v>
      </c>
      <c r="F6704" t="s">
        <v>71</v>
      </c>
      <c r="G6704">
        <v>-423.21039999999999</v>
      </c>
      <c r="H6704">
        <v>1.2891820000000001</v>
      </c>
      <c r="I6704">
        <v>0.44473839999999998</v>
      </c>
      <c r="J6704">
        <v>-421.79680000000002</v>
      </c>
      <c r="K6704">
        <v>1.121599</v>
      </c>
      <c r="L6704">
        <v>88.425510000000003</v>
      </c>
      <c r="M6704">
        <v>-9.348449E-3</v>
      </c>
      <c r="N6704">
        <v>-1.363262E-2</v>
      </c>
      <c r="O6704">
        <v>-0.99986350000000002</v>
      </c>
      <c r="P6704">
        <v>4.9131879999999998E-3</v>
      </c>
      <c r="Q6704">
        <v>-4.192821E-2</v>
      </c>
      <c r="R6704">
        <v>-0.99910889999999997</v>
      </c>
      <c r="S6704">
        <v>-4.8187260000000003E-2</v>
      </c>
      <c r="T6704">
        <v>5.7038069999999904E-3</v>
      </c>
      <c r="U6704">
        <v>-3.0032649999999999</v>
      </c>
      <c r="V6704">
        <v>-1.4231509999999999E-2</v>
      </c>
      <c r="W6704">
        <v>-2.8316239999999999E-2</v>
      </c>
      <c r="X6704">
        <v>0.99949770000000004</v>
      </c>
      <c r="Y6704">
        <v>6.691603E-3</v>
      </c>
      <c r="Z6704">
        <v>-1.553033E-2</v>
      </c>
      <c r="AA6704">
        <v>0.999857</v>
      </c>
      <c r="AB6704">
        <v>23</v>
      </c>
      <c r="AC6704">
        <v>-1.41359999999997</v>
      </c>
      <c r="AD6704">
        <v>0.16758300000000001</v>
      </c>
      <c r="AE6704">
        <v>-87.980771599999898</v>
      </c>
      <c r="AF6704">
        <v>0.59097598545517205</v>
      </c>
      <c r="AG6704">
        <v>0.16758300000000001</v>
      </c>
      <c r="AH6704">
        <v>87.989823365306293</v>
      </c>
      <c r="AI6704">
        <v>89.890878625735695</v>
      </c>
      <c r="AJ6704">
        <v>89.615183673194807</v>
      </c>
      <c r="AK6704">
        <v>87.991967545538301</v>
      </c>
      <c r="AL6704">
        <v>91.622617933282299</v>
      </c>
      <c r="AM6704">
        <v>90.815760117142801</v>
      </c>
      <c r="AN6704">
        <v>0.99999999881495305</v>
      </c>
    </row>
    <row r="6705" spans="1:40" x14ac:dyDescent="0.25">
      <c r="A6705" t="str">
        <f>"20190303153942243"</f>
        <v>20190303153942243</v>
      </c>
      <c r="B6705" t="str">
        <f>"1551598782235521"</f>
        <v>1551598782235521</v>
      </c>
      <c r="C6705" t="s">
        <v>40</v>
      </c>
      <c r="D6705">
        <v>4.2715230000000002</v>
      </c>
      <c r="E6705">
        <v>0.50797499999999995</v>
      </c>
      <c r="F6705" t="s">
        <v>71</v>
      </c>
      <c r="G6705">
        <v>-423.14940000000001</v>
      </c>
      <c r="H6705">
        <v>1.376576</v>
      </c>
      <c r="I6705">
        <v>0.44536019999999998</v>
      </c>
      <c r="J6705">
        <v>-421.7978</v>
      </c>
      <c r="K6705">
        <v>1.12158</v>
      </c>
      <c r="L6705">
        <v>88.273619999999994</v>
      </c>
      <c r="M6705">
        <v>-9.0030249999999996E-3</v>
      </c>
      <c r="N6705">
        <v>-1.357009E-2</v>
      </c>
      <c r="O6705">
        <v>-0.99986759999999997</v>
      </c>
      <c r="P6705">
        <v>5.1450920000000004E-3</v>
      </c>
      <c r="Q6705">
        <v>-4.1982949999999998E-2</v>
      </c>
      <c r="R6705">
        <v>-0.99910540000000003</v>
      </c>
      <c r="S6705">
        <v>-4.6173100000000002E-2</v>
      </c>
      <c r="T6705">
        <v>8.7029929999999991E-3</v>
      </c>
      <c r="U6705">
        <v>-3.0032649999999999</v>
      </c>
      <c r="V6705">
        <v>-1.4118520000000001E-2</v>
      </c>
      <c r="W6705">
        <v>-2.843323E-2</v>
      </c>
      <c r="X6705">
        <v>0.99949600000000005</v>
      </c>
      <c r="Y6705">
        <v>6.3665240000000001E-3</v>
      </c>
      <c r="Z6705">
        <v>-1.646628E-2</v>
      </c>
      <c r="AA6705">
        <v>0.99984410000000001</v>
      </c>
      <c r="AB6705">
        <v>23</v>
      </c>
      <c r="AC6705">
        <v>-1.3516000000000099</v>
      </c>
      <c r="AD6705">
        <v>0.254996</v>
      </c>
      <c r="AE6705">
        <v>-87.828259799999998</v>
      </c>
      <c r="AF6705">
        <v>0.56074781915029803</v>
      </c>
      <c r="AG6705">
        <v>0.254996</v>
      </c>
      <c r="AH6705">
        <v>87.836129011150604</v>
      </c>
      <c r="AI6705">
        <v>89.833669174634196</v>
      </c>
      <c r="AJ6705">
        <v>89.634227426601697</v>
      </c>
      <c r="AK6705">
        <v>87.838289035819599</v>
      </c>
      <c r="AL6705">
        <v>91.629323635953597</v>
      </c>
      <c r="AM6705">
        <v>90.809285692365094</v>
      </c>
      <c r="AN6705">
        <v>1.0000000175956101</v>
      </c>
    </row>
    <row r="6706" spans="1:40" x14ac:dyDescent="0.25">
      <c r="A6706" t="str">
        <f>"20190303153942256"</f>
        <v>20190303153942256</v>
      </c>
      <c r="B6706" t="str">
        <f>"1551598782245281"</f>
        <v>1551598782245281</v>
      </c>
      <c r="C6706" t="s">
        <v>40</v>
      </c>
      <c r="D6706">
        <v>4.2702049999999998</v>
      </c>
      <c r="E6706">
        <v>0.47757300000000003</v>
      </c>
      <c r="F6706" t="s">
        <v>71</v>
      </c>
      <c r="G6706">
        <v>-423.12130000000002</v>
      </c>
      <c r="H6706">
        <v>1.3705309999999999</v>
      </c>
      <c r="I6706">
        <v>0.44564819999999999</v>
      </c>
      <c r="J6706">
        <v>-421.79860000000002</v>
      </c>
      <c r="K6706">
        <v>1.1215630000000001</v>
      </c>
      <c r="L6706">
        <v>88.134799999999998</v>
      </c>
      <c r="M6706">
        <v>-8.6903629999999996E-3</v>
      </c>
      <c r="N6706">
        <v>-1.351349E-2</v>
      </c>
      <c r="O6706">
        <v>-0.99987110000000001</v>
      </c>
      <c r="P6706">
        <v>5.3568219999999998E-3</v>
      </c>
      <c r="Q6706">
        <v>-4.2331670000000002E-2</v>
      </c>
      <c r="R6706">
        <v>-0.99908929999999996</v>
      </c>
      <c r="S6706">
        <v>-4.5257569999999997E-2</v>
      </c>
      <c r="T6706">
        <v>8.5117819999999903E-3</v>
      </c>
      <c r="U6706">
        <v>-3.0032649999999999</v>
      </c>
      <c r="V6706">
        <v>-1.401779E-2</v>
      </c>
      <c r="W6706">
        <v>-2.883844E-2</v>
      </c>
      <c r="X6706">
        <v>0.99948579999999998</v>
      </c>
      <c r="Y6706">
        <v>6.3745329999999999E-3</v>
      </c>
      <c r="Z6706">
        <v>-1.6346110000000001E-2</v>
      </c>
      <c r="AA6706">
        <v>0.99984609999999996</v>
      </c>
      <c r="AB6706">
        <v>23</v>
      </c>
      <c r="AC6706">
        <v>-1.32269999999999</v>
      </c>
      <c r="AD6706">
        <v>0.24896799999999999</v>
      </c>
      <c r="AE6706">
        <v>-87.689151799999905</v>
      </c>
      <c r="AF6706">
        <v>0.56052550993359196</v>
      </c>
      <c r="AG6706">
        <v>0.24896799999999999</v>
      </c>
      <c r="AH6706">
        <v>87.696628904506596</v>
      </c>
      <c r="AI6706">
        <v>89.837342824702105</v>
      </c>
      <c r="AJ6706">
        <v>89.633790841244704</v>
      </c>
      <c r="AK6706">
        <v>87.698773623848695</v>
      </c>
      <c r="AL6706">
        <v>91.652549997232995</v>
      </c>
      <c r="AM6706">
        <v>90.803520720952307</v>
      </c>
      <c r="AN6706">
        <v>1.00000000922987</v>
      </c>
    </row>
    <row r="6707" spans="1:40" x14ac:dyDescent="0.25">
      <c r="A6707" t="str">
        <f>"20190303153942270"</f>
        <v>20190303153942270</v>
      </c>
      <c r="B6707" t="str">
        <f>"1551598782264802"</f>
        <v>1551598782264802</v>
      </c>
      <c r="C6707" t="s">
        <v>40</v>
      </c>
      <c r="D6707">
        <v>4.1701300000000003</v>
      </c>
      <c r="E6707">
        <v>0.45585690000000001</v>
      </c>
      <c r="F6707" t="s">
        <v>71</v>
      </c>
      <c r="G6707">
        <v>-416.07459999999998</v>
      </c>
      <c r="H6707">
        <v>1.468099</v>
      </c>
      <c r="I6707">
        <v>1.2771300000000001</v>
      </c>
      <c r="J6707">
        <v>-421.79950000000002</v>
      </c>
      <c r="K6707">
        <v>1.1215440000000001</v>
      </c>
      <c r="L6707">
        <v>87.991060000000004</v>
      </c>
      <c r="M6707">
        <v>-8.3692269999999999E-3</v>
      </c>
      <c r="N6707">
        <v>-1.345619E-2</v>
      </c>
      <c r="O6707">
        <v>-0.99987440000000005</v>
      </c>
      <c r="P6707">
        <v>5.6048699999999996E-3</v>
      </c>
      <c r="Q6707">
        <v>-4.2919369999999998E-2</v>
      </c>
      <c r="R6707">
        <v>-0.99906269999999997</v>
      </c>
      <c r="S6707">
        <v>0.19784550000000001</v>
      </c>
      <c r="T6707">
        <v>1.1976840000000001E-2</v>
      </c>
      <c r="U6707">
        <v>-3.002167</v>
      </c>
      <c r="V6707">
        <v>-1.394461E-2</v>
      </c>
      <c r="W6707">
        <v>-2.9483410000000002E-2</v>
      </c>
      <c r="X6707">
        <v>0.99946800000000002</v>
      </c>
      <c r="Y6707">
        <v>-7.4093099999999995E-2</v>
      </c>
      <c r="Z6707">
        <v>-1.7438789999999999E-2</v>
      </c>
      <c r="AA6707">
        <v>0.99709890000000001</v>
      </c>
      <c r="AB6707">
        <v>23</v>
      </c>
      <c r="AC6707">
        <v>5.7249000000000398</v>
      </c>
      <c r="AD6707">
        <v>0.346554999999999</v>
      </c>
      <c r="AE6707">
        <v>-86.713930000000005</v>
      </c>
      <c r="AF6707">
        <v>-6.45039118506158</v>
      </c>
      <c r="AG6707">
        <v>0.346554999999999</v>
      </c>
      <c r="AH6707">
        <v>86.661597000103001</v>
      </c>
      <c r="AI6707">
        <v>89.771510571740706</v>
      </c>
      <c r="AJ6707">
        <v>94.256786836713999</v>
      </c>
      <c r="AK6707">
        <v>86.902014023937397</v>
      </c>
      <c r="AL6707">
        <v>91.689519788583297</v>
      </c>
      <c r="AM6707">
        <v>90.799340713154805</v>
      </c>
      <c r="AN6707">
        <v>1.00000000331864</v>
      </c>
    </row>
    <row r="6708" spans="1:40" x14ac:dyDescent="0.25">
      <c r="A6708" t="str">
        <f>"20190303153942284"</f>
        <v>20190303153942284</v>
      </c>
      <c r="B6708" t="str">
        <f>"1551598782275537"</f>
        <v>1551598782275537</v>
      </c>
      <c r="C6708" t="s">
        <v>40</v>
      </c>
      <c r="D6708">
        <v>4.1758119999999996</v>
      </c>
      <c r="E6708">
        <v>0.45056439999999998</v>
      </c>
      <c r="F6708" t="s">
        <v>71</v>
      </c>
      <c r="G6708">
        <v>-410.98140000000001</v>
      </c>
      <c r="H6708">
        <v>0.84901939999999998</v>
      </c>
      <c r="I6708">
        <v>0.56911089999999998</v>
      </c>
      <c r="J6708">
        <v>-421.80040000000002</v>
      </c>
      <c r="K6708">
        <v>1.1215250000000001</v>
      </c>
      <c r="L6708">
        <v>87.84384</v>
      </c>
      <c r="M6708">
        <v>-8.0443570000000002E-3</v>
      </c>
      <c r="N6708">
        <v>-1.34022E-2</v>
      </c>
      <c r="O6708">
        <v>-0.99987800000000004</v>
      </c>
      <c r="P6708">
        <v>5.9199430000000004E-3</v>
      </c>
      <c r="Q6708">
        <v>-4.356194E-2</v>
      </c>
      <c r="R6708">
        <v>-0.99903330000000001</v>
      </c>
      <c r="S6708">
        <v>0.37127690000000002</v>
      </c>
      <c r="T6708">
        <v>-9.3541149999999997E-3</v>
      </c>
      <c r="U6708">
        <v>-3.0003359999999999</v>
      </c>
      <c r="V6708">
        <v>-1.3934790000000001E-2</v>
      </c>
      <c r="W6708">
        <v>-3.018005E-2</v>
      </c>
      <c r="X6708">
        <v>0.99944730000000004</v>
      </c>
      <c r="Y6708">
        <v>-0.13076769999999999</v>
      </c>
      <c r="Z6708">
        <v>-1.031671E-2</v>
      </c>
      <c r="AA6708">
        <v>0.9913594</v>
      </c>
      <c r="AB6708">
        <v>23</v>
      </c>
      <c r="AC6708">
        <v>10.819000000000001</v>
      </c>
      <c r="AD6708">
        <v>-0.27250560000000001</v>
      </c>
      <c r="AE6708">
        <v>-87.274729100000002</v>
      </c>
      <c r="AF6708">
        <v>-11.520671272648899</v>
      </c>
      <c r="AG6708">
        <v>-0.27250560000000001</v>
      </c>
      <c r="AH6708">
        <v>87.184027880345795</v>
      </c>
      <c r="AI6708">
        <v>90.177541853951794</v>
      </c>
      <c r="AJ6708">
        <v>97.527566496111604</v>
      </c>
      <c r="AK6708">
        <v>87.942338172892406</v>
      </c>
      <c r="AL6708">
        <v>91.729452169149695</v>
      </c>
      <c r="AM6708">
        <v>90.798794420299799</v>
      </c>
      <c r="AN6708">
        <v>0.99999995963381705</v>
      </c>
    </row>
    <row r="6709" spans="1:40" x14ac:dyDescent="0.25">
      <c r="A6709" t="str">
        <f>"20190303153942306"</f>
        <v>20190303153942306</v>
      </c>
      <c r="B6709" t="str">
        <f>"1551598782295057"</f>
        <v>1551598782295057</v>
      </c>
      <c r="C6709" t="s">
        <v>40</v>
      </c>
      <c r="D6709">
        <v>4.1616150000000003</v>
      </c>
      <c r="E6709">
        <v>0.44463940000000002</v>
      </c>
      <c r="F6709" t="s">
        <v>71</v>
      </c>
      <c r="G6709">
        <v>-409.74369999999999</v>
      </c>
      <c r="H6709">
        <v>0.66262279999999996</v>
      </c>
      <c r="I6709">
        <v>0.58169559999999998</v>
      </c>
      <c r="J6709">
        <v>-421.80160000000001</v>
      </c>
      <c r="K6709">
        <v>1.1215079999999999</v>
      </c>
      <c r="L6709">
        <v>87.613860000000003</v>
      </c>
      <c r="M6709">
        <v>-7.543096E-3</v>
      </c>
      <c r="N6709">
        <v>-1.3321319999999999E-2</v>
      </c>
      <c r="O6709">
        <v>-0.99988279999999996</v>
      </c>
      <c r="P6709">
        <v>6.9282349999999996E-3</v>
      </c>
      <c r="Q6709">
        <v>-4.3722549999999999E-2</v>
      </c>
      <c r="R6709">
        <v>-0.99901960000000001</v>
      </c>
      <c r="S6709">
        <v>0.41445920000000003</v>
      </c>
      <c r="T6709">
        <v>-1.5776160000000001E-2</v>
      </c>
      <c r="U6709">
        <v>-2.9997250000000002</v>
      </c>
      <c r="V6709">
        <v>-1.4442709999999999E-2</v>
      </c>
      <c r="W6709">
        <v>-3.0421770000000001E-2</v>
      </c>
      <c r="X6709">
        <v>0.99943280000000001</v>
      </c>
      <c r="Y6709">
        <v>-0.1443122</v>
      </c>
      <c r="Z6709">
        <v>-8.1218669999999996E-3</v>
      </c>
      <c r="AA6709">
        <v>0.98949889999999996</v>
      </c>
      <c r="AB6709">
        <v>23</v>
      </c>
      <c r="AC6709">
        <v>12.0579</v>
      </c>
      <c r="AD6709">
        <v>-0.45888519999999999</v>
      </c>
      <c r="AE6709">
        <v>-87.032164399999999</v>
      </c>
      <c r="AF6709">
        <v>-12.713760346829</v>
      </c>
      <c r="AG6709">
        <v>-0.45888519999999999</v>
      </c>
      <c r="AH6709">
        <v>86.936354630150205</v>
      </c>
      <c r="AI6709">
        <v>90.299244512378294</v>
      </c>
      <c r="AJ6709">
        <v>98.320079919529604</v>
      </c>
      <c r="AK6709">
        <v>87.862278789948405</v>
      </c>
      <c r="AL6709">
        <v>91.743307999523097</v>
      </c>
      <c r="AM6709">
        <v>90.8279183278663</v>
      </c>
      <c r="AN6709">
        <v>0.99999999883895796</v>
      </c>
    </row>
    <row r="6710" spans="1:40" x14ac:dyDescent="0.25">
      <c r="A6710" t="str">
        <f>"20190303153942329"</f>
        <v>20190303153942329</v>
      </c>
      <c r="B6710" t="str">
        <f>"1551598782325314"</f>
        <v>1551598782325314</v>
      </c>
      <c r="C6710" t="s">
        <v>40</v>
      </c>
      <c r="D6710">
        <v>4.1025419999999997</v>
      </c>
      <c r="E6710">
        <v>0.44009209999999899</v>
      </c>
      <c r="F6710" t="s">
        <v>71</v>
      </c>
      <c r="G6710">
        <v>-408.3218</v>
      </c>
      <c r="H6710">
        <v>0.51000290000000004</v>
      </c>
      <c r="I6710">
        <v>0.5961552</v>
      </c>
      <c r="J6710">
        <v>-421.80270000000002</v>
      </c>
      <c r="K6710">
        <v>1.1214980000000001</v>
      </c>
      <c r="L6710">
        <v>87.382509999999996</v>
      </c>
      <c r="M6710">
        <v>-7.0452960000000004E-3</v>
      </c>
      <c r="N6710">
        <v>-1.324793E-2</v>
      </c>
      <c r="O6710">
        <v>-0.99988779999999999</v>
      </c>
      <c r="P6710">
        <v>8.0763599999999994E-3</v>
      </c>
      <c r="Q6710">
        <v>-4.3147970000000001E-2</v>
      </c>
      <c r="R6710">
        <v>-0.99903640000000005</v>
      </c>
      <c r="S6710">
        <v>0.46453860000000002</v>
      </c>
      <c r="T6710">
        <v>-2.1074530000000001E-2</v>
      </c>
      <c r="U6710">
        <v>-2.9988100000000002</v>
      </c>
      <c r="V6710">
        <v>-1.5094399999999999E-2</v>
      </c>
      <c r="W6710">
        <v>-2.9920639999999998E-2</v>
      </c>
      <c r="X6710">
        <v>0.9994383</v>
      </c>
      <c r="Y6710">
        <v>-0.16001660000000001</v>
      </c>
      <c r="Z6710">
        <v>-6.3148709999999997E-3</v>
      </c>
      <c r="AA6710">
        <v>0.98709409999999997</v>
      </c>
      <c r="AB6710">
        <v>23</v>
      </c>
      <c r="AC6710">
        <v>13.4809</v>
      </c>
      <c r="AD6710">
        <v>-0.61149509999999896</v>
      </c>
      <c r="AE6710">
        <v>-86.786354799999998</v>
      </c>
      <c r="AF6710">
        <v>-14.091371260921401</v>
      </c>
      <c r="AG6710">
        <v>-0.61149509999999896</v>
      </c>
      <c r="AH6710">
        <v>86.685013134507599</v>
      </c>
      <c r="AI6710">
        <v>90.398933879849196</v>
      </c>
      <c r="AJ6710">
        <v>99.233142482144203</v>
      </c>
      <c r="AK6710">
        <v>87.825008809565205</v>
      </c>
      <c r="AL6710">
        <v>91.714582284744594</v>
      </c>
      <c r="AM6710">
        <v>90.865265686777406</v>
      </c>
      <c r="AN6710">
        <v>1.00000000055812</v>
      </c>
    </row>
    <row r="6711" spans="1:40" x14ac:dyDescent="0.25">
      <c r="A6711" t="str">
        <f>"20190303153942352"</f>
        <v>20190303153942352</v>
      </c>
      <c r="B6711" t="str">
        <f>"1551598782345340"</f>
        <v>1551598782345340</v>
      </c>
      <c r="C6711" t="s">
        <v>40</v>
      </c>
      <c r="D6711">
        <v>4.1316600000000001</v>
      </c>
      <c r="E6711">
        <v>0.43844450000000001</v>
      </c>
      <c r="F6711" t="s">
        <v>71</v>
      </c>
      <c r="G6711">
        <v>-407.22489999999999</v>
      </c>
      <c r="H6711">
        <v>0.38725379999999998</v>
      </c>
      <c r="I6711">
        <v>0.60731119999999905</v>
      </c>
      <c r="J6711">
        <v>-421.80380000000002</v>
      </c>
      <c r="K6711">
        <v>1.121491</v>
      </c>
      <c r="L6711">
        <v>87.151669999999996</v>
      </c>
      <c r="M6711">
        <v>-6.5543049999999999E-3</v>
      </c>
      <c r="N6711">
        <v>-1.3198410000000001E-2</v>
      </c>
      <c r="O6711">
        <v>-0.99989150000000004</v>
      </c>
      <c r="P6711">
        <v>8.71567E-3</v>
      </c>
      <c r="Q6711">
        <v>-4.1652660000000001E-2</v>
      </c>
      <c r="R6711">
        <v>-0.99909420000000004</v>
      </c>
      <c r="S6711">
        <v>0.50360109999999902</v>
      </c>
      <c r="T6711">
        <v>-2.5365829999999999E-2</v>
      </c>
      <c r="U6711">
        <v>-2.9977109999999998</v>
      </c>
      <c r="V6711">
        <v>-1.5245160000000001E-2</v>
      </c>
      <c r="W6711">
        <v>-2.8474070000000001E-2</v>
      </c>
      <c r="X6711">
        <v>0.99947830000000004</v>
      </c>
      <c r="Y6711">
        <v>-0.17210810000000001</v>
      </c>
      <c r="Z6711">
        <v>-4.8662829999999999E-3</v>
      </c>
      <c r="AA6711">
        <v>0.98506609999999994</v>
      </c>
      <c r="AB6711">
        <v>23</v>
      </c>
      <c r="AC6711">
        <v>14.578900000000001</v>
      </c>
      <c r="AD6711">
        <v>-0.73423719999999904</v>
      </c>
      <c r="AE6711">
        <v>-86.544358799999998</v>
      </c>
      <c r="AF6711">
        <v>-15.144814281353</v>
      </c>
      <c r="AG6711">
        <v>-0.73423719999999904</v>
      </c>
      <c r="AH6711">
        <v>86.440886566205705</v>
      </c>
      <c r="AI6711">
        <v>90.479362725416095</v>
      </c>
      <c r="AJ6711">
        <v>99.937602334322904</v>
      </c>
      <c r="AK6711">
        <v>87.760648209970398</v>
      </c>
      <c r="AL6711">
        <v>91.631664523320595</v>
      </c>
      <c r="AM6711">
        <v>90.873871493371098</v>
      </c>
      <c r="AN6711">
        <v>1.00000002986834</v>
      </c>
    </row>
    <row r="6712" spans="1:40" x14ac:dyDescent="0.25">
      <c r="A6712" t="str">
        <f>"20190303153942374"</f>
        <v>20190303153942374</v>
      </c>
      <c r="B6712" t="str">
        <f>"1551598782365836"</f>
        <v>1551598782365836</v>
      </c>
      <c r="C6712" t="s">
        <v>40</v>
      </c>
      <c r="D6712">
        <v>4.1040099999999997</v>
      </c>
      <c r="E6712">
        <v>0.43718760000000001</v>
      </c>
      <c r="F6712" t="s">
        <v>71</v>
      </c>
      <c r="G6712">
        <v>-406.81040000000002</v>
      </c>
      <c r="H6712">
        <v>0.48619079999999898</v>
      </c>
      <c r="I6712">
        <v>0.61152459999999997</v>
      </c>
      <c r="J6712">
        <v>-421.80470000000003</v>
      </c>
      <c r="K6712">
        <v>1.1214949999999999</v>
      </c>
      <c r="L6712">
        <v>86.913420000000002</v>
      </c>
      <c r="M6712">
        <v>-6.0480869999999997E-3</v>
      </c>
      <c r="N6712">
        <v>-1.3183220000000001E-2</v>
      </c>
      <c r="O6712">
        <v>-0.99989510000000004</v>
      </c>
      <c r="P6712">
        <v>8.4302279999999997E-3</v>
      </c>
      <c r="Q6712">
        <v>-4.1249420000000002E-2</v>
      </c>
      <c r="R6712">
        <v>-0.99911340000000004</v>
      </c>
      <c r="S6712">
        <v>0.5192871</v>
      </c>
      <c r="T6712">
        <v>-2.200425E-2</v>
      </c>
      <c r="U6712">
        <v>-2.9972840000000001</v>
      </c>
      <c r="V6712">
        <v>-1.4454659999999999E-2</v>
      </c>
      <c r="W6712">
        <v>-2.8084910000000001E-2</v>
      </c>
      <c r="X6712">
        <v>0.99950099999999997</v>
      </c>
      <c r="Y6712">
        <v>-0.1766395</v>
      </c>
      <c r="Z6712">
        <v>-5.9609179999999999E-3</v>
      </c>
      <c r="AA6712">
        <v>0.98425759999999995</v>
      </c>
      <c r="AB6712">
        <v>23</v>
      </c>
      <c r="AC6712">
        <v>14.994300000000001</v>
      </c>
      <c r="AD6712">
        <v>-0.63530419999999999</v>
      </c>
      <c r="AE6712">
        <v>-86.301895400000006</v>
      </c>
      <c r="AF6712">
        <v>-15.5152161507082</v>
      </c>
      <c r="AG6712">
        <v>-0.63530419999999999</v>
      </c>
      <c r="AH6712">
        <v>86.205087383255901</v>
      </c>
      <c r="AI6712">
        <v>90.415567276113094</v>
      </c>
      <c r="AJ6712">
        <v>100.202879552735</v>
      </c>
      <c r="AK6712">
        <v>87.592480467129903</v>
      </c>
      <c r="AL6712">
        <v>91.609358466705402</v>
      </c>
      <c r="AM6712">
        <v>90.828546726780502</v>
      </c>
      <c r="AN6712">
        <v>0.99999997418321096</v>
      </c>
    </row>
    <row r="6713" spans="1:40" x14ac:dyDescent="0.25">
      <c r="A6713" t="str">
        <f>"20190303153942396"</f>
        <v>20190303153942396</v>
      </c>
      <c r="B6713" t="str">
        <f>"1551598782385356"</f>
        <v>1551598782385356</v>
      </c>
      <c r="C6713" t="s">
        <v>40</v>
      </c>
      <c r="D6713">
        <v>4.1177429999999999</v>
      </c>
      <c r="E6713">
        <v>0.43613960000000002</v>
      </c>
      <c r="F6713" t="s">
        <v>71</v>
      </c>
      <c r="G6713">
        <v>-406.59570000000002</v>
      </c>
      <c r="H6713">
        <v>0.4869251</v>
      </c>
      <c r="I6713">
        <v>0.61370849999999999</v>
      </c>
      <c r="J6713">
        <v>-421.80549999999999</v>
      </c>
      <c r="K6713">
        <v>1.121502</v>
      </c>
      <c r="L6713">
        <v>86.690640000000002</v>
      </c>
      <c r="M6713">
        <v>-5.5734649999999997E-3</v>
      </c>
      <c r="N6713">
        <v>-1.319184E-2</v>
      </c>
      <c r="O6713">
        <v>-0.99989749999999999</v>
      </c>
      <c r="P6713">
        <v>8.5007820000000001E-3</v>
      </c>
      <c r="Q6713">
        <v>-4.1056860000000001E-2</v>
      </c>
      <c r="R6713">
        <v>-0.99912089999999998</v>
      </c>
      <c r="S6713">
        <v>0.52822880000000005</v>
      </c>
      <c r="T6713">
        <v>-2.2040489999999999E-2</v>
      </c>
      <c r="U6713">
        <v>-2.9973139999999998</v>
      </c>
      <c r="V6713">
        <v>-1.405153E-2</v>
      </c>
      <c r="W6713">
        <v>-2.7883169999999999E-2</v>
      </c>
      <c r="X6713">
        <v>0.99951239999999997</v>
      </c>
      <c r="Y6713">
        <v>-0.17901900000000001</v>
      </c>
      <c r="Z6713">
        <v>-5.9606709999999999E-3</v>
      </c>
      <c r="AA6713">
        <v>0.98382749999999997</v>
      </c>
      <c r="AB6713">
        <v>23</v>
      </c>
      <c r="AC6713">
        <v>15.2097999999999</v>
      </c>
      <c r="AD6713">
        <v>-0.6345769</v>
      </c>
      <c r="AE6713">
        <v>-86.076931500000001</v>
      </c>
      <c r="AF6713">
        <v>-15.6885253670299</v>
      </c>
      <c r="AG6713">
        <v>-0.6345769</v>
      </c>
      <c r="AH6713">
        <v>85.986283861351097</v>
      </c>
      <c r="AI6713">
        <v>90.415967207794495</v>
      </c>
      <c r="AJ6713">
        <v>100.34009610443999</v>
      </c>
      <c r="AK6713">
        <v>87.408086172383406</v>
      </c>
      <c r="AL6713">
        <v>91.597795082426401</v>
      </c>
      <c r="AM6713">
        <v>90.805433061086802</v>
      </c>
      <c r="AN6713">
        <v>0.999999977209174</v>
      </c>
    </row>
    <row r="6714" spans="1:40" x14ac:dyDescent="0.25">
      <c r="A6714" t="str">
        <f>"20190303153942419"</f>
        <v>20190303153942419</v>
      </c>
      <c r="B6714" t="str">
        <f>"1551598782415612"</f>
        <v>1551598782415612</v>
      </c>
      <c r="C6714" t="s">
        <v>40</v>
      </c>
      <c r="D6714">
        <v>4.0774339999999896</v>
      </c>
      <c r="E6714">
        <v>0.4349575</v>
      </c>
      <c r="F6714" t="s">
        <v>71</v>
      </c>
      <c r="G6714">
        <v>-406.38119999999998</v>
      </c>
      <c r="H6714">
        <v>0.47056249999999999</v>
      </c>
      <c r="I6714">
        <v>0.61589240000000001</v>
      </c>
      <c r="J6714">
        <v>-421.80619999999999</v>
      </c>
      <c r="K6714">
        <v>1.121526</v>
      </c>
      <c r="L6714">
        <v>86.456360000000004</v>
      </c>
      <c r="M6714">
        <v>-5.0743309999999996E-3</v>
      </c>
      <c r="N6714">
        <v>-1.3222950000000001E-2</v>
      </c>
      <c r="O6714">
        <v>-0.99989989999999995</v>
      </c>
      <c r="P6714">
        <v>8.6072869999999999E-3</v>
      </c>
      <c r="Q6714">
        <v>-4.1050419999999997E-2</v>
      </c>
      <c r="R6714">
        <v>-0.99912040000000002</v>
      </c>
      <c r="S6714">
        <v>0.53707890000000003</v>
      </c>
      <c r="T6714">
        <v>-2.2666809999999999E-2</v>
      </c>
      <c r="U6714">
        <v>-2.9971619999999999</v>
      </c>
      <c r="V6714">
        <v>-1.365883E-2</v>
      </c>
      <c r="W6714">
        <v>-2.7845269999999998E-2</v>
      </c>
      <c r="X6714">
        <v>0.99951889999999999</v>
      </c>
      <c r="Y6714">
        <v>-0.1813516</v>
      </c>
      <c r="Z6714">
        <v>-5.7887499999999996E-3</v>
      </c>
      <c r="AA6714">
        <v>0.98340130000000003</v>
      </c>
      <c r="AB6714">
        <v>23</v>
      </c>
      <c r="AC6714">
        <v>15.425000000000001</v>
      </c>
      <c r="AD6714">
        <v>-0.65096350000000003</v>
      </c>
      <c r="AE6714">
        <v>-85.840467599999997</v>
      </c>
      <c r="AF6714">
        <v>-15.8595387954228</v>
      </c>
      <c r="AG6714">
        <v>-0.65096350000000003</v>
      </c>
      <c r="AH6714">
        <v>85.756306449392895</v>
      </c>
      <c r="AI6714">
        <v>90.427663802058007</v>
      </c>
      <c r="AJ6714">
        <v>100.47774391112</v>
      </c>
      <c r="AK6714">
        <v>87.212916589941202</v>
      </c>
      <c r="AL6714">
        <v>91.595622729055506</v>
      </c>
      <c r="AM6714">
        <v>90.7829212662852</v>
      </c>
      <c r="AN6714">
        <v>0.99999997707777499</v>
      </c>
    </row>
    <row r="6715" spans="1:40" x14ac:dyDescent="0.25">
      <c r="A6715" t="str">
        <f>"20190303153942442"</f>
        <v>20190303153942442</v>
      </c>
      <c r="B6715" t="str">
        <f>"1551598782435132"</f>
        <v>1551598782435132</v>
      </c>
      <c r="C6715" t="s">
        <v>40</v>
      </c>
      <c r="D6715">
        <v>4.0894059999999897</v>
      </c>
      <c r="E6715">
        <v>0.43456719999999999</v>
      </c>
      <c r="F6715" t="s">
        <v>71</v>
      </c>
      <c r="G6715">
        <v>-406.14339999999999</v>
      </c>
      <c r="H6715">
        <v>0.39554600000000001</v>
      </c>
      <c r="I6715">
        <v>0.618309</v>
      </c>
      <c r="J6715">
        <v>-421.80680000000001</v>
      </c>
      <c r="K6715">
        <v>1.12155</v>
      </c>
      <c r="L6715">
        <v>86.221249999999998</v>
      </c>
      <c r="M6715">
        <v>-4.575104E-3</v>
      </c>
      <c r="N6715">
        <v>-1.32652E-2</v>
      </c>
      <c r="O6715">
        <v>-0.9999015</v>
      </c>
      <c r="P6715">
        <v>9.3703999999999992E-3</v>
      </c>
      <c r="Q6715">
        <v>-4.1133389999999999E-2</v>
      </c>
      <c r="R6715">
        <v>-0.99910969999999999</v>
      </c>
      <c r="S6715">
        <v>0.54684449999999996</v>
      </c>
      <c r="T6715">
        <v>-2.534759E-2</v>
      </c>
      <c r="U6715">
        <v>-2.996918</v>
      </c>
      <c r="V6715">
        <v>-1.3922850000000001E-2</v>
      </c>
      <c r="W6715">
        <v>-2.7886370000000001E-2</v>
      </c>
      <c r="X6715">
        <v>0.99951420000000002</v>
      </c>
      <c r="Y6715">
        <v>-0.1839761</v>
      </c>
      <c r="Z6715">
        <v>-4.954338E-3</v>
      </c>
      <c r="AA6715">
        <v>0.98291819999999996</v>
      </c>
      <c r="AB6715">
        <v>23</v>
      </c>
      <c r="AC6715">
        <v>15.663399999999999</v>
      </c>
      <c r="AD6715">
        <v>-0.72600399999999998</v>
      </c>
      <c r="AE6715">
        <v>-85.602941000000001</v>
      </c>
      <c r="AF6715">
        <v>-16.053795562834299</v>
      </c>
      <c r="AG6715">
        <v>-0.72600399999999998</v>
      </c>
      <c r="AH6715">
        <v>85.524424592404401</v>
      </c>
      <c r="AI6715">
        <v>90.478015435574406</v>
      </c>
      <c r="AJ6715">
        <v>100.631282077748</v>
      </c>
      <c r="AK6715">
        <v>87.0211390160066</v>
      </c>
      <c r="AL6715">
        <v>91.597978358816604</v>
      </c>
      <c r="AM6715">
        <v>90.79805665069</v>
      </c>
      <c r="AN6715">
        <v>1.0000000656927599</v>
      </c>
    </row>
    <row r="6716" spans="1:40" x14ac:dyDescent="0.25">
      <c r="A6716" t="str">
        <f>"20190303153942463"</f>
        <v>20190303153942463</v>
      </c>
      <c r="B6716" t="str">
        <f>"1551598782455158"</f>
        <v>1551598782455158</v>
      </c>
      <c r="C6716" t="s">
        <v>40</v>
      </c>
      <c r="D6716">
        <v>4.0967799999999999</v>
      </c>
      <c r="E6716">
        <v>0.43417299999999998</v>
      </c>
      <c r="F6716" t="s">
        <v>71</v>
      </c>
      <c r="G6716">
        <v>-406.04070000000002</v>
      </c>
      <c r="H6716">
        <v>0.38229489999999999</v>
      </c>
      <c r="I6716">
        <v>0.61935620000000002</v>
      </c>
      <c r="J6716">
        <v>-421.8073</v>
      </c>
      <c r="K6716">
        <v>1.1215649999999999</v>
      </c>
      <c r="L6716">
        <v>85.996309999999994</v>
      </c>
      <c r="M6716">
        <v>-4.0990339999999997E-3</v>
      </c>
      <c r="N6716">
        <v>-1.330625E-2</v>
      </c>
      <c r="O6716">
        <v>-0.99990299999999999</v>
      </c>
      <c r="P6716">
        <v>1.040143E-2</v>
      </c>
      <c r="Q6716">
        <v>-4.0611559999999998E-2</v>
      </c>
      <c r="R6716">
        <v>-0.99912080000000003</v>
      </c>
      <c r="S6716">
        <v>0.55187989999999998</v>
      </c>
      <c r="T6716">
        <v>-2.587807E-2</v>
      </c>
      <c r="U6716">
        <v>-2.996429</v>
      </c>
      <c r="V6716">
        <v>-1.4478319999999999E-2</v>
      </c>
      <c r="W6716">
        <v>-2.7323900000000002E-2</v>
      </c>
      <c r="X6716">
        <v>0.99952180000000002</v>
      </c>
      <c r="Y6716">
        <v>-0.18513389999999999</v>
      </c>
      <c r="Z6716">
        <v>-4.8216600000000002E-3</v>
      </c>
      <c r="AA6716">
        <v>0.98270150000000001</v>
      </c>
      <c r="AB6716">
        <v>23</v>
      </c>
      <c r="AC6716">
        <v>15.766599999999899</v>
      </c>
      <c r="AD6716">
        <v>-0.73927009999999904</v>
      </c>
      <c r="AE6716">
        <v>-85.376953799999995</v>
      </c>
      <c r="AF6716">
        <v>-16.115293144527399</v>
      </c>
      <c r="AG6716">
        <v>-0.73927009999999904</v>
      </c>
      <c r="AH6716">
        <v>85.305417887111702</v>
      </c>
      <c r="AI6716">
        <v>90.487892534445095</v>
      </c>
      <c r="AJ6716">
        <v>100.69783859521699</v>
      </c>
      <c r="AK6716">
        <v>86.817414810103401</v>
      </c>
      <c r="AL6716">
        <v>91.565738984049304</v>
      </c>
      <c r="AM6716">
        <v>90.829885469826195</v>
      </c>
      <c r="AN6716">
        <v>1.00000002296823</v>
      </c>
    </row>
    <row r="6717" spans="1:40" x14ac:dyDescent="0.25">
      <c r="A6717" t="str">
        <f>"20190303153942485"</f>
        <v>20190303153942485</v>
      </c>
      <c r="B6717" t="str">
        <f>"1551598782475655"</f>
        <v>1551598782475655</v>
      </c>
      <c r="C6717" t="s">
        <v>40</v>
      </c>
      <c r="D6717">
        <v>4.0771959999999998</v>
      </c>
      <c r="E6717">
        <v>0.43370009999999998</v>
      </c>
      <c r="F6717" t="s">
        <v>71</v>
      </c>
      <c r="G6717">
        <v>-405.9101</v>
      </c>
      <c r="H6717">
        <v>0.4093542</v>
      </c>
      <c r="I6717">
        <v>0.62068179999999995</v>
      </c>
      <c r="J6717">
        <v>-421.80770000000001</v>
      </c>
      <c r="K6717">
        <v>1.121572</v>
      </c>
      <c r="L6717">
        <v>85.773319999999998</v>
      </c>
      <c r="M6717">
        <v>-3.6273339999999999E-3</v>
      </c>
      <c r="N6717">
        <v>-1.3345269999999999E-2</v>
      </c>
      <c r="O6717">
        <v>-0.99990460000000003</v>
      </c>
      <c r="P6717">
        <v>1.117931E-2</v>
      </c>
      <c r="Q6717">
        <v>-4.1522570000000002E-2</v>
      </c>
      <c r="R6717">
        <v>-0.99907550000000001</v>
      </c>
      <c r="S6717">
        <v>0.55783079999999996</v>
      </c>
      <c r="T6717">
        <v>-2.499235E-2</v>
      </c>
      <c r="U6717">
        <v>-2.995819</v>
      </c>
      <c r="V6717">
        <v>-1.478442E-2</v>
      </c>
      <c r="W6717">
        <v>-2.8196760000000001E-2</v>
      </c>
      <c r="X6717">
        <v>0.99949310000000002</v>
      </c>
      <c r="Y6717">
        <v>-0.1865928</v>
      </c>
      <c r="Z6717">
        <v>-5.1516840000000001E-3</v>
      </c>
      <c r="AA6717">
        <v>0.98242379999999996</v>
      </c>
      <c r="AB6717">
        <v>23</v>
      </c>
      <c r="AC6717">
        <v>15.897600000000001</v>
      </c>
      <c r="AD6717">
        <v>-0.71221780000000001</v>
      </c>
      <c r="AE6717">
        <v>-85.152638199999998</v>
      </c>
      <c r="AF6717">
        <v>-16.205304404568601</v>
      </c>
      <c r="AG6717">
        <v>-0.71221780000000001</v>
      </c>
      <c r="AH6717">
        <v>85.088654836051603</v>
      </c>
      <c r="AI6717">
        <v>90.471104373964295</v>
      </c>
      <c r="AJ6717">
        <v>100.78296031895999</v>
      </c>
      <c r="AK6717">
        <v>86.621003958901895</v>
      </c>
      <c r="AL6717">
        <v>91.6157694216826</v>
      </c>
      <c r="AM6717">
        <v>90.847452669456402</v>
      </c>
      <c r="AN6717">
        <v>1.00000004664842</v>
      </c>
    </row>
    <row r="6718" spans="1:40" x14ac:dyDescent="0.25">
      <c r="A6718" t="str">
        <f>"20190303153942507"</f>
        <v>20190303153942507</v>
      </c>
      <c r="B6718" t="str">
        <f>"1551598782495174"</f>
        <v>1551598782495174</v>
      </c>
      <c r="C6718" t="s">
        <v>40</v>
      </c>
      <c r="D6718">
        <v>4.0688719999999998</v>
      </c>
      <c r="E6718">
        <v>0.43341639999999998</v>
      </c>
      <c r="F6718" t="s">
        <v>71</v>
      </c>
      <c r="G6718">
        <v>-405.7792</v>
      </c>
      <c r="H6718">
        <v>0.2961223</v>
      </c>
      <c r="I6718">
        <v>0.62201119999999899</v>
      </c>
      <c r="J6718">
        <v>-421.80799999999999</v>
      </c>
      <c r="K6718">
        <v>1.1215790000000001</v>
      </c>
      <c r="L6718">
        <v>85.543790000000001</v>
      </c>
      <c r="M6718">
        <v>-3.140482E-3</v>
      </c>
      <c r="N6718">
        <v>-1.3384399999999999E-2</v>
      </c>
      <c r="O6718">
        <v>-0.99990559999999995</v>
      </c>
      <c r="P6718">
        <v>1.176201E-2</v>
      </c>
      <c r="Q6718">
        <v>-4.1267320000000003E-2</v>
      </c>
      <c r="R6718">
        <v>-0.9990791</v>
      </c>
      <c r="S6718">
        <v>0.56381230000000004</v>
      </c>
      <c r="T6718">
        <v>-2.9036759999999998E-2</v>
      </c>
      <c r="U6718">
        <v>-2.9952700000000001</v>
      </c>
      <c r="V6718">
        <v>-1.4880340000000001E-2</v>
      </c>
      <c r="W6718">
        <v>-2.7902509999999998E-2</v>
      </c>
      <c r="X6718">
        <v>0.9994999</v>
      </c>
      <c r="Y6718">
        <v>-0.18804119999999999</v>
      </c>
      <c r="Z6718">
        <v>-3.864962E-3</v>
      </c>
      <c r="AA6718">
        <v>0.98215350000000001</v>
      </c>
      <c r="AB6718">
        <v>23</v>
      </c>
      <c r="AC6718">
        <v>16.0288</v>
      </c>
      <c r="AD6718">
        <v>-0.82545670000000004</v>
      </c>
      <c r="AE6718">
        <v>-84.921778799999998</v>
      </c>
      <c r="AF6718">
        <v>-16.293953591905002</v>
      </c>
      <c r="AG6718">
        <v>-0.82545670000000004</v>
      </c>
      <c r="AH6718">
        <v>84.863275032736894</v>
      </c>
      <c r="AI6718">
        <v>90.547296713462899</v>
      </c>
      <c r="AJ6718">
        <v>100.868658686266</v>
      </c>
      <c r="AK6718">
        <v>86.417300071806693</v>
      </c>
      <c r="AL6718">
        <v>91.598903557948404</v>
      </c>
      <c r="AM6718">
        <v>90.852944255107801</v>
      </c>
      <c r="AN6718">
        <v>1.0000000123414099</v>
      </c>
    </row>
    <row r="6719" spans="1:40" x14ac:dyDescent="0.25">
      <c r="A6719" t="str">
        <f>"20190303153942531"</f>
        <v>20190303153942531</v>
      </c>
      <c r="B6719" t="str">
        <f>"1551598782525434"</f>
        <v>1551598782525434</v>
      </c>
      <c r="C6719" t="s">
        <v>40</v>
      </c>
      <c r="D6719">
        <v>4.0568900000000001</v>
      </c>
      <c r="E6719">
        <v>0.43306460000000002</v>
      </c>
      <c r="F6719" t="s">
        <v>71</v>
      </c>
      <c r="G6719">
        <v>-405.70600000000002</v>
      </c>
      <c r="H6719">
        <v>0.33091159999999997</v>
      </c>
      <c r="I6719">
        <v>0.6227589</v>
      </c>
      <c r="J6719">
        <v>-421.80810000000002</v>
      </c>
      <c r="K6719">
        <v>1.121591</v>
      </c>
      <c r="L6719">
        <v>85.312010000000001</v>
      </c>
      <c r="M6719">
        <v>-2.6471620000000002E-3</v>
      </c>
      <c r="N6719">
        <v>-1.3422440000000001E-2</v>
      </c>
      <c r="O6719">
        <v>-0.99990650000000003</v>
      </c>
      <c r="P6719">
        <v>1.139827E-2</v>
      </c>
      <c r="Q6719">
        <v>-4.0991409999999999E-2</v>
      </c>
      <c r="R6719">
        <v>-0.9990947</v>
      </c>
      <c r="S6719">
        <v>0.56787109999999996</v>
      </c>
      <c r="T6719">
        <v>-2.7885679999999999E-2</v>
      </c>
      <c r="U6719">
        <v>-2.9949340000000002</v>
      </c>
      <c r="V6719">
        <v>-1.402401E-2</v>
      </c>
      <c r="W6719">
        <v>-2.7587750000000001E-2</v>
      </c>
      <c r="X6719">
        <v>0.99952099999999999</v>
      </c>
      <c r="Y6719">
        <v>-0.18886169999999999</v>
      </c>
      <c r="Z6719">
        <v>-4.2807749999999997E-3</v>
      </c>
      <c r="AA6719">
        <v>0.98199440000000005</v>
      </c>
      <c r="AB6719">
        <v>23</v>
      </c>
      <c r="AC6719">
        <v>16.1021</v>
      </c>
      <c r="AD6719">
        <v>-0.79067940000000003</v>
      </c>
      <c r="AE6719">
        <v>-84.689251099999893</v>
      </c>
      <c r="AF6719">
        <v>-16.324876597930999</v>
      </c>
      <c r="AG6719">
        <v>-0.79067940000000003</v>
      </c>
      <c r="AH6719">
        <v>84.639205397282197</v>
      </c>
      <c r="AI6719">
        <v>90.525542447176704</v>
      </c>
      <c r="AJ6719">
        <v>100.91692752365</v>
      </c>
      <c r="AK6719">
        <v>86.202794967069195</v>
      </c>
      <c r="AL6719">
        <v>91.580862223536897</v>
      </c>
      <c r="AM6719">
        <v>90.803848907568593</v>
      </c>
      <c r="AN6719">
        <v>0.99999999312377097</v>
      </c>
    </row>
    <row r="6720" spans="1:40" x14ac:dyDescent="0.25">
      <c r="A6720" t="str">
        <f>"20190303153942553"</f>
        <v>20190303153942553</v>
      </c>
      <c r="B6720" t="str">
        <f>"1551598782545456"</f>
        <v>1551598782545456</v>
      </c>
      <c r="C6720" t="s">
        <v>40</v>
      </c>
      <c r="D6720">
        <v>4.0261170000000002</v>
      </c>
      <c r="E6720">
        <v>0.4328612</v>
      </c>
      <c r="F6720" t="s">
        <v>71</v>
      </c>
      <c r="G6720">
        <v>-405.70859999999999</v>
      </c>
      <c r="H6720">
        <v>0.34171960000000001</v>
      </c>
      <c r="I6720">
        <v>0.62273029999999996</v>
      </c>
      <c r="J6720">
        <v>-421.80810000000002</v>
      </c>
      <c r="K6720">
        <v>1.1215930000000001</v>
      </c>
      <c r="L6720">
        <v>85.082700000000003</v>
      </c>
      <c r="M6720">
        <v>-2.156879E-3</v>
      </c>
      <c r="N6720">
        <v>-1.345672E-2</v>
      </c>
      <c r="O6720">
        <v>-0.99990749999999995</v>
      </c>
      <c r="P6720">
        <v>1.16643999999999E-2</v>
      </c>
      <c r="Q6720">
        <v>-4.0383759999999998E-2</v>
      </c>
      <c r="R6720">
        <v>-0.99911680000000003</v>
      </c>
      <c r="S6720">
        <v>0.5693665</v>
      </c>
      <c r="T6720">
        <v>-2.7581330000000001E-2</v>
      </c>
      <c r="U6720">
        <v>-2.9950869999999998</v>
      </c>
      <c r="V6720">
        <v>-1.380024E-2</v>
      </c>
      <c r="W6720">
        <v>-2.6945340000000002E-2</v>
      </c>
      <c r="X6720">
        <v>0.99954160000000003</v>
      </c>
      <c r="Y6720">
        <v>-0.18884419999999999</v>
      </c>
      <c r="Z6720">
        <v>-4.4150930000000001E-3</v>
      </c>
      <c r="AA6720">
        <v>0.98199709999999996</v>
      </c>
      <c r="AB6720">
        <v>23</v>
      </c>
      <c r="AC6720">
        <v>16.099499999999999</v>
      </c>
      <c r="AD6720">
        <v>-0.77987340000000005</v>
      </c>
      <c r="AE6720">
        <v>-84.459969700000002</v>
      </c>
      <c r="AF6720">
        <v>-16.280309512322201</v>
      </c>
      <c r="AG6720">
        <v>-0.77987340000000005</v>
      </c>
      <c r="AH6720">
        <v>84.418100246413402</v>
      </c>
      <c r="AI6720">
        <v>90.519720193931406</v>
      </c>
      <c r="AJ6720">
        <v>100.915670344064</v>
      </c>
      <c r="AK6720">
        <v>85.977161674194207</v>
      </c>
      <c r="AL6720">
        <v>91.544041211151395</v>
      </c>
      <c r="AM6720">
        <v>90.791007870873798</v>
      </c>
      <c r="AN6720">
        <v>0.99999995405116504</v>
      </c>
    </row>
    <row r="6721" spans="1:40" x14ac:dyDescent="0.25">
      <c r="A6721" t="str">
        <f>"20190303153942575"</f>
        <v>20190303153942575</v>
      </c>
      <c r="B6721" t="str">
        <f>"1551598782564976"</f>
        <v>1551598782564976</v>
      </c>
      <c r="C6721" t="s">
        <v>40</v>
      </c>
      <c r="D6721">
        <v>4.0583720000000003</v>
      </c>
      <c r="E6721">
        <v>0.43281940000000002</v>
      </c>
      <c r="F6721" t="s">
        <v>71</v>
      </c>
      <c r="G6721">
        <v>-405.67630000000003</v>
      </c>
      <c r="H6721">
        <v>0.3473232</v>
      </c>
      <c r="I6721">
        <v>0.62305829999999995</v>
      </c>
      <c r="J6721">
        <v>-421.80799999999999</v>
      </c>
      <c r="K6721">
        <v>1.1215930000000001</v>
      </c>
      <c r="L6721">
        <v>84.849760000000003</v>
      </c>
      <c r="M6721">
        <v>-1.65806E-3</v>
      </c>
      <c r="N6721">
        <v>-1.3487519999999999E-2</v>
      </c>
      <c r="O6721">
        <v>-0.99990800000000002</v>
      </c>
      <c r="P6721">
        <v>1.2101580000000001E-2</v>
      </c>
      <c r="Q6721">
        <v>-3.9630619999999998E-2</v>
      </c>
      <c r="R6721">
        <v>-0.99914159999999996</v>
      </c>
      <c r="S6721">
        <v>0.57202149999999996</v>
      </c>
      <c r="T6721">
        <v>-2.7455810000000001E-2</v>
      </c>
      <c r="U6721">
        <v>-2.9948730000000001</v>
      </c>
      <c r="V6721">
        <v>-1.374E-2</v>
      </c>
      <c r="W6721">
        <v>-2.616096E-2</v>
      </c>
      <c r="X6721">
        <v>0.99956330000000004</v>
      </c>
      <c r="Y6721">
        <v>-0.18920699999999999</v>
      </c>
      <c r="Z6721">
        <v>-4.4868599999999996E-3</v>
      </c>
      <c r="AA6721">
        <v>0.98192699999999999</v>
      </c>
      <c r="AB6721">
        <v>23</v>
      </c>
      <c r="AC6721">
        <v>16.131699999999999</v>
      </c>
      <c r="AD6721">
        <v>-0.77426980000000001</v>
      </c>
      <c r="AE6721">
        <v>-84.226701699999893</v>
      </c>
      <c r="AF6721">
        <v>-16.2700171482767</v>
      </c>
      <c r="AG6721">
        <v>-0.77426980000000001</v>
      </c>
      <c r="AH6721">
        <v>84.192973134858505</v>
      </c>
      <c r="AI6721">
        <v>90.517327829478901</v>
      </c>
      <c r="AJ6721">
        <v>100.937402375497</v>
      </c>
      <c r="AK6721">
        <v>85.754123382000799</v>
      </c>
      <c r="AL6721">
        <v>91.4990836430011</v>
      </c>
      <c r="AM6721">
        <v>90.787538350195007</v>
      </c>
      <c r="AN6721">
        <v>0.99999998706750504</v>
      </c>
    </row>
    <row r="6722" spans="1:40" x14ac:dyDescent="0.25">
      <c r="A6722" t="str">
        <f>"20190303153942598"</f>
        <v>20190303153942598</v>
      </c>
      <c r="B6722" t="str">
        <f>"1551598782585471"</f>
        <v>1551598782585471</v>
      </c>
      <c r="C6722" t="s">
        <v>40</v>
      </c>
      <c r="D6722">
        <v>4.176221</v>
      </c>
      <c r="E6722">
        <v>0.47874410000000001</v>
      </c>
      <c r="F6722" t="s">
        <v>71</v>
      </c>
      <c r="G6722">
        <v>-405.6678</v>
      </c>
      <c r="H6722">
        <v>0.39594360000000001</v>
      </c>
      <c r="I6722">
        <v>0.62314799999999904</v>
      </c>
      <c r="J6722">
        <v>-421.80790000000002</v>
      </c>
      <c r="K6722">
        <v>1.121594</v>
      </c>
      <c r="L6722">
        <v>84.623109999999997</v>
      </c>
      <c r="M6722">
        <v>-1.1739610000000001E-3</v>
      </c>
      <c r="N6722">
        <v>-1.3513839999999999E-2</v>
      </c>
      <c r="O6722">
        <v>-0.99990800000000002</v>
      </c>
      <c r="P6722">
        <v>1.2263309999999999E-2</v>
      </c>
      <c r="Q6722">
        <v>-3.9395689999999997E-2</v>
      </c>
      <c r="R6722">
        <v>-0.9991487</v>
      </c>
      <c r="S6722">
        <v>0.57385249999999999</v>
      </c>
      <c r="T6722">
        <v>-2.5800819999999999E-2</v>
      </c>
      <c r="U6722">
        <v>-2.9945979999999999</v>
      </c>
      <c r="V6722">
        <v>-1.3418360000000001E-2</v>
      </c>
      <c r="W6722">
        <v>-2.5899289999999998E-2</v>
      </c>
      <c r="X6722">
        <v>0.99957450000000003</v>
      </c>
      <c r="Y6722">
        <v>-0.18932750000000001</v>
      </c>
      <c r="Z6722">
        <v>-5.055042E-3</v>
      </c>
      <c r="AA6722">
        <v>0.98190100000000002</v>
      </c>
      <c r="AB6722">
        <v>23</v>
      </c>
      <c r="AC6722">
        <v>16.1401</v>
      </c>
      <c r="AD6722">
        <v>-0.72565040000000003</v>
      </c>
      <c r="AE6722">
        <v>-83.999961999999996</v>
      </c>
      <c r="AF6722">
        <v>-16.237541944109001</v>
      </c>
      <c r="AG6722">
        <v>-0.72565040000000003</v>
      </c>
      <c r="AH6722">
        <v>83.974910850201297</v>
      </c>
      <c r="AI6722">
        <v>90.486092951411194</v>
      </c>
      <c r="AJ6722">
        <v>100.943758986568</v>
      </c>
      <c r="AK6722">
        <v>85.533443688354794</v>
      </c>
      <c r="AL6722">
        <v>91.484085950173494</v>
      </c>
      <c r="AM6722">
        <v>90.769096469886904</v>
      </c>
      <c r="AN6722">
        <v>1.00000000332892</v>
      </c>
    </row>
    <row r="6723" spans="1:40" x14ac:dyDescent="0.25">
      <c r="A6723" t="str">
        <f>"20190303153942619"</f>
        <v>20190303153942619</v>
      </c>
      <c r="B6723" t="str">
        <f>"1551598782615728"</f>
        <v>1551598782615728</v>
      </c>
      <c r="C6723" t="s">
        <v>40</v>
      </c>
      <c r="D6723">
        <v>4.1535349999999998</v>
      </c>
      <c r="E6723">
        <v>0.50935750000000002</v>
      </c>
      <c r="F6723" t="s">
        <v>71</v>
      </c>
      <c r="G6723">
        <v>-416.01749999999998</v>
      </c>
      <c r="H6723">
        <v>0.95551269999999999</v>
      </c>
      <c r="I6723">
        <v>1.277353</v>
      </c>
      <c r="J6723">
        <v>-421.80759999999998</v>
      </c>
      <c r="K6723">
        <v>1.1215980000000001</v>
      </c>
      <c r="L6723">
        <v>84.396479999999997</v>
      </c>
      <c r="M6723">
        <v>-6.9393969999999999E-4</v>
      </c>
      <c r="N6723">
        <v>-1.353703E-2</v>
      </c>
      <c r="O6723">
        <v>-0.99990820000000002</v>
      </c>
      <c r="P6723">
        <v>1.223083E-2</v>
      </c>
      <c r="Q6723">
        <v>-4.0183360000000001E-2</v>
      </c>
      <c r="R6723">
        <v>-0.9991177</v>
      </c>
      <c r="S6723">
        <v>0.20840449999999999</v>
      </c>
      <c r="T6723">
        <v>-5.9784649999999996E-3</v>
      </c>
      <c r="U6723">
        <v>-2.9997560000000001</v>
      </c>
      <c r="V6723">
        <v>-1.29062E-2</v>
      </c>
      <c r="W6723">
        <v>-2.6663610000000001E-2</v>
      </c>
      <c r="X6723">
        <v>0.99956109999999998</v>
      </c>
      <c r="Y6723">
        <v>-6.9987129999999995E-2</v>
      </c>
      <c r="Z6723">
        <v>-1.154936E-2</v>
      </c>
      <c r="AA6723">
        <v>0.99748099999999995</v>
      </c>
      <c r="AB6723">
        <v>23</v>
      </c>
      <c r="AC6723">
        <v>5.79009999999999</v>
      </c>
      <c r="AD6723">
        <v>-0.16608529999999899</v>
      </c>
      <c r="AE6723">
        <v>-83.119127000000006</v>
      </c>
      <c r="AF6723">
        <v>-5.8477603140014898</v>
      </c>
      <c r="AG6723">
        <v>-0.16608529999999899</v>
      </c>
      <c r="AH6723">
        <v>83.114758390054703</v>
      </c>
      <c r="AI6723">
        <v>90.114209659054794</v>
      </c>
      <c r="AJ6723">
        <v>94.024565193024699</v>
      </c>
      <c r="AK6723">
        <v>83.320387344599197</v>
      </c>
      <c r="AL6723">
        <v>91.527893466429106</v>
      </c>
      <c r="AM6723">
        <v>90.739754377911197</v>
      </c>
      <c r="AN6723">
        <v>0.99999995536494002</v>
      </c>
    </row>
    <row r="6724" spans="1:40" x14ac:dyDescent="0.25">
      <c r="A6724" t="str">
        <f>"20190303153942642"</f>
        <v>20190303153942642</v>
      </c>
      <c r="B6724" t="str">
        <f>"1551598782635251"</f>
        <v>1551598782635251</v>
      </c>
      <c r="C6724" t="s">
        <v>40</v>
      </c>
      <c r="D6724">
        <v>4.1191259999999996</v>
      </c>
      <c r="E6724">
        <v>0.51590349999999996</v>
      </c>
      <c r="F6724" t="s">
        <v>71</v>
      </c>
      <c r="G6724">
        <v>-422.80130000000003</v>
      </c>
      <c r="H6724">
        <v>1.3445240000000001</v>
      </c>
      <c r="I6724">
        <v>0.44890400000000003</v>
      </c>
      <c r="J6724">
        <v>-421.80720000000002</v>
      </c>
      <c r="K6724">
        <v>1.121599</v>
      </c>
      <c r="L6724">
        <v>84.173550000000006</v>
      </c>
      <c r="M6724">
        <v>-2.2715849999999999E-4</v>
      </c>
      <c r="N6724">
        <v>-1.355696E-2</v>
      </c>
      <c r="O6724">
        <v>-0.99990820000000002</v>
      </c>
      <c r="P6724">
        <v>1.207712E-2</v>
      </c>
      <c r="Q6724">
        <v>-4.0655650000000002E-2</v>
      </c>
      <c r="R6724">
        <v>-0.9991004</v>
      </c>
      <c r="S6724">
        <v>-3.5552979999999998E-2</v>
      </c>
      <c r="T6724">
        <v>7.9747440000000006E-3</v>
      </c>
      <c r="U6724">
        <v>-3.0034179999999999</v>
      </c>
      <c r="V6724">
        <v>-1.228547E-2</v>
      </c>
      <c r="W6724">
        <v>-2.7115549999999999E-2</v>
      </c>
      <c r="X6724">
        <v>0.99955680000000002</v>
      </c>
      <c r="Y6724">
        <v>1.16071E-2</v>
      </c>
      <c r="Z6724">
        <v>-1.6211679999999999E-2</v>
      </c>
      <c r="AA6724">
        <v>0.99980119999999895</v>
      </c>
      <c r="AB6724">
        <v>23</v>
      </c>
      <c r="AC6724">
        <v>-0.99410000000000298</v>
      </c>
      <c r="AD6724">
        <v>0.22292500000000001</v>
      </c>
      <c r="AE6724">
        <v>-83.724645999999893</v>
      </c>
      <c r="AF6724">
        <v>0.97507255202884302</v>
      </c>
      <c r="AG6724">
        <v>0.22292500000000001</v>
      </c>
      <c r="AH6724">
        <v>83.7242762052866</v>
      </c>
      <c r="AI6724">
        <v>89.847454454923096</v>
      </c>
      <c r="AJ6724">
        <v>89.332750083639695</v>
      </c>
      <c r="AK6724">
        <v>83.730250734943198</v>
      </c>
      <c r="AL6724">
        <v>91.553797033315703</v>
      </c>
      <c r="AM6724">
        <v>90.704182231559599</v>
      </c>
      <c r="AN6724">
        <v>0.99999999112558102</v>
      </c>
    </row>
    <row r="6725" spans="1:40" x14ac:dyDescent="0.25">
      <c r="A6725" t="str">
        <f>"20190303153942664"</f>
        <v>20190303153942664</v>
      </c>
      <c r="B6725" t="str">
        <f>"1551598782655276"</f>
        <v>1551598782655276</v>
      </c>
      <c r="C6725" t="s">
        <v>40</v>
      </c>
      <c r="D6725">
        <v>4.1072639999999998</v>
      </c>
      <c r="E6725">
        <v>0.51865550000000005</v>
      </c>
      <c r="F6725" t="s">
        <v>71</v>
      </c>
      <c r="G6725">
        <v>-424.28570000000002</v>
      </c>
      <c r="H6725">
        <v>0.87675669999999895</v>
      </c>
      <c r="I6725">
        <v>0.43380360000000001</v>
      </c>
      <c r="J6725">
        <v>-421.8066</v>
      </c>
      <c r="K6725">
        <v>1.121602</v>
      </c>
      <c r="L6725">
        <v>83.943479999999994</v>
      </c>
      <c r="M6725">
        <v>2.4864329999999999E-4</v>
      </c>
      <c r="N6725">
        <v>-1.357474E-2</v>
      </c>
      <c r="O6725">
        <v>-0.99990820000000002</v>
      </c>
      <c r="P6725">
        <v>1.1925969999999999E-2</v>
      </c>
      <c r="Q6725">
        <v>-4.0499300000000002E-2</v>
      </c>
      <c r="R6725">
        <v>-0.99910900000000002</v>
      </c>
      <c r="S6725">
        <v>-8.8897710000000005E-2</v>
      </c>
      <c r="T6725">
        <v>-8.7823869999999991E-3</v>
      </c>
      <c r="U6725">
        <v>-3.0034179999999999</v>
      </c>
      <c r="V6725">
        <v>-1.165972E-2</v>
      </c>
      <c r="W6725">
        <v>-2.694069E-2</v>
      </c>
      <c r="X6725">
        <v>0.99956909999999999</v>
      </c>
      <c r="Y6725">
        <v>2.9829430000000001E-2</v>
      </c>
      <c r="Z6725">
        <v>-1.0652170000000001E-2</v>
      </c>
      <c r="AA6725">
        <v>0.9994982</v>
      </c>
      <c r="AB6725">
        <v>23</v>
      </c>
      <c r="AC6725">
        <v>-2.4791000000000101</v>
      </c>
      <c r="AD6725">
        <v>-0.24484529999999999</v>
      </c>
      <c r="AE6725">
        <v>-83.509676400000004</v>
      </c>
      <c r="AF6725">
        <v>2.4998444801425799</v>
      </c>
      <c r="AG6725">
        <v>-0.24484529999999999</v>
      </c>
      <c r="AH6725">
        <v>83.508340121933898</v>
      </c>
      <c r="AI6725">
        <v>90.167914734293504</v>
      </c>
      <c r="AJ6725">
        <v>88.285347583202096</v>
      </c>
      <c r="AK6725">
        <v>83.546107279552103</v>
      </c>
      <c r="AL6725">
        <v>91.5437745134236</v>
      </c>
      <c r="AM6725">
        <v>90.668310423915898</v>
      </c>
      <c r="AN6725">
        <v>1.00000006776148</v>
      </c>
    </row>
    <row r="6726" spans="1:40" x14ac:dyDescent="0.25">
      <c r="A6726" t="str">
        <f>"20190303153942686"</f>
        <v>20190303153942686</v>
      </c>
      <c r="B6726" t="str">
        <f>"1551598782674796"</f>
        <v>1551598782674796</v>
      </c>
      <c r="C6726" t="s">
        <v>40</v>
      </c>
      <c r="D6726">
        <v>4.0998890000000001</v>
      </c>
      <c r="E6726">
        <v>0.52032489999999998</v>
      </c>
      <c r="F6726" t="s">
        <v>71</v>
      </c>
      <c r="G6726">
        <v>-424.89729999999997</v>
      </c>
      <c r="H6726">
        <v>0.62141080000000004</v>
      </c>
      <c r="I6726">
        <v>0.42758370000000001</v>
      </c>
      <c r="J6726">
        <v>-421.80599999999998</v>
      </c>
      <c r="K6726">
        <v>1.1216029999999999</v>
      </c>
      <c r="L6726">
        <v>83.722409999999996</v>
      </c>
      <c r="M6726">
        <v>6.9915709999999998E-4</v>
      </c>
      <c r="N6726">
        <v>-1.358942E-2</v>
      </c>
      <c r="O6726">
        <v>-0.99990769999999995</v>
      </c>
      <c r="P6726">
        <v>1.176815E-2</v>
      </c>
      <c r="Q6726">
        <v>-3.9421980000000002E-2</v>
      </c>
      <c r="R6726">
        <v>-0.99915370000000003</v>
      </c>
      <c r="S6726">
        <v>-0.11114499999999999</v>
      </c>
      <c r="T6726">
        <v>-1.7988199999999999E-2</v>
      </c>
      <c r="U6726">
        <v>-3.0032960000000002</v>
      </c>
      <c r="V6726">
        <v>-1.1052330000000001E-2</v>
      </c>
      <c r="W6726">
        <v>-2.5847539999999999E-2</v>
      </c>
      <c r="X6726">
        <v>0.99960479999999996</v>
      </c>
      <c r="Y6726">
        <v>3.7675019999999997E-2</v>
      </c>
      <c r="Z6726">
        <v>-7.6046999999999998E-3</v>
      </c>
      <c r="AA6726">
        <v>0.99926110000000001</v>
      </c>
      <c r="AB6726">
        <v>23</v>
      </c>
      <c r="AC6726">
        <v>-3.09129999999998</v>
      </c>
      <c r="AD6726">
        <v>-0.50019219999999998</v>
      </c>
      <c r="AE6726">
        <v>-83.294826299999997</v>
      </c>
      <c r="AF6726">
        <v>3.1494273596836599</v>
      </c>
      <c r="AG6726">
        <v>-0.50019219999999998</v>
      </c>
      <c r="AH6726">
        <v>83.289645058058596</v>
      </c>
      <c r="AI6726">
        <v>90.343837359575204</v>
      </c>
      <c r="AJ6726">
        <v>87.834509126964093</v>
      </c>
      <c r="AK6726">
        <v>83.350669216439101</v>
      </c>
      <c r="AL6726">
        <v>91.481119901493997</v>
      </c>
      <c r="AM6726">
        <v>90.633476409414101</v>
      </c>
      <c r="AN6726">
        <v>1.00000000275276</v>
      </c>
    </row>
    <row r="6727" spans="1:40" x14ac:dyDescent="0.25">
      <c r="A6727" t="str">
        <f>"20190303153942708"</f>
        <v>20190303153942708</v>
      </c>
      <c r="B6727" t="str">
        <f>"1551598782705051"</f>
        <v>1551598782705051</v>
      </c>
      <c r="C6727" t="s">
        <v>40</v>
      </c>
      <c r="D6727">
        <v>4.1251639999999998</v>
      </c>
      <c r="E6727">
        <v>0.52219680000000002</v>
      </c>
      <c r="F6727" t="s">
        <v>71</v>
      </c>
      <c r="G6727">
        <v>-425.27820000000003</v>
      </c>
      <c r="H6727">
        <v>0.47923850000000001</v>
      </c>
      <c r="I6727">
        <v>0.42370989999999997</v>
      </c>
      <c r="J6727">
        <v>-421.80540000000002</v>
      </c>
      <c r="K6727">
        <v>1.1216010000000001</v>
      </c>
      <c r="L6727">
        <v>83.495359999999906</v>
      </c>
      <c r="M6727">
        <v>1.151453E-3</v>
      </c>
      <c r="N6727">
        <v>-1.360226E-2</v>
      </c>
      <c r="O6727">
        <v>-0.99990699999999999</v>
      </c>
      <c r="P6727">
        <v>1.14141E-2</v>
      </c>
      <c r="Q6727">
        <v>-3.8659190000000003E-2</v>
      </c>
      <c r="R6727">
        <v>-0.99918759999999995</v>
      </c>
      <c r="S6727">
        <v>-0.12518309999999999</v>
      </c>
      <c r="T6727">
        <v>-2.3159619999999999E-2</v>
      </c>
      <c r="U6727">
        <v>-3.0031129999999999</v>
      </c>
      <c r="V6727">
        <v>-1.024747E-2</v>
      </c>
      <c r="W6727">
        <v>-2.5070740000000001E-2</v>
      </c>
      <c r="X6727">
        <v>0.99963310000000005</v>
      </c>
      <c r="Y6727">
        <v>4.2791879999999997E-2</v>
      </c>
      <c r="Z6727">
        <v>-5.8981340000000002E-3</v>
      </c>
      <c r="AA6727">
        <v>0.99906660000000003</v>
      </c>
      <c r="AB6727">
        <v>23</v>
      </c>
      <c r="AC6727">
        <v>-3.4727999999999999</v>
      </c>
      <c r="AD6727">
        <v>-0.64236249999999995</v>
      </c>
      <c r="AE6727">
        <v>-83.0716500999999</v>
      </c>
      <c r="AF6727">
        <v>3.5682466451589598</v>
      </c>
      <c r="AG6727">
        <v>-0.64236249999999995</v>
      </c>
      <c r="AH6727">
        <v>83.062637935332404</v>
      </c>
      <c r="AI6727">
        <v>90.442678153224406</v>
      </c>
      <c r="AJ6727">
        <v>87.540171445306399</v>
      </c>
      <c r="AK6727">
        <v>83.141727396525894</v>
      </c>
      <c r="AL6727">
        <v>91.436598192785993</v>
      </c>
      <c r="AM6727">
        <v>90.587331708028003</v>
      </c>
      <c r="AN6727">
        <v>0.99999994363057698</v>
      </c>
    </row>
    <row r="6728" spans="1:40" x14ac:dyDescent="0.25">
      <c r="A6728" t="str">
        <f>"20190303153942731"</f>
        <v>20190303153942731</v>
      </c>
      <c r="B6728" t="str">
        <f>"1551598782725547"</f>
        <v>1551598782725547</v>
      </c>
      <c r="C6728" t="s">
        <v>40</v>
      </c>
      <c r="D6728">
        <v>4.0819809999999999</v>
      </c>
      <c r="E6728">
        <v>0.52300059999999904</v>
      </c>
      <c r="F6728" t="s">
        <v>71</v>
      </c>
      <c r="G6728">
        <v>-425.709</v>
      </c>
      <c r="H6728">
        <v>0.46459010000000001</v>
      </c>
      <c r="I6728">
        <v>0.4193306</v>
      </c>
      <c r="J6728">
        <v>-421.80459999999999</v>
      </c>
      <c r="K6728">
        <v>1.121597</v>
      </c>
      <c r="L6728">
        <v>83.268979999999999</v>
      </c>
      <c r="M6728">
        <v>1.5858479999999999E-3</v>
      </c>
      <c r="N6728">
        <v>-1.361296E-2</v>
      </c>
      <c r="O6728">
        <v>-0.99990619999999997</v>
      </c>
      <c r="P6728">
        <v>1.0993559999999999E-2</v>
      </c>
      <c r="Q6728">
        <v>-3.8731019999999998E-2</v>
      </c>
      <c r="R6728">
        <v>-0.99918960000000001</v>
      </c>
      <c r="S6728">
        <v>-0.141113299999999</v>
      </c>
      <c r="T6728">
        <v>-2.3751499999999998E-2</v>
      </c>
      <c r="U6728">
        <v>-3.0031430000000001</v>
      </c>
      <c r="V6728">
        <v>-9.3937489999999998E-3</v>
      </c>
      <c r="W6728">
        <v>-2.513102E-2</v>
      </c>
      <c r="X6728">
        <v>0.99963999999999997</v>
      </c>
      <c r="Y6728">
        <v>4.8513059999999997E-2</v>
      </c>
      <c r="Z6728">
        <v>-5.7141700000000002E-3</v>
      </c>
      <c r="AA6728">
        <v>0.99880619999999998</v>
      </c>
      <c r="AB6728">
        <v>23</v>
      </c>
      <c r="AC6728">
        <v>-3.9043999999999999</v>
      </c>
      <c r="AD6728">
        <v>-0.65700689999999995</v>
      </c>
      <c r="AE6728">
        <v>-82.849649400000004</v>
      </c>
      <c r="AF6728">
        <v>4.0355409809568004</v>
      </c>
      <c r="AG6728">
        <v>-0.65700689999999995</v>
      </c>
      <c r="AH6728">
        <v>82.8381549720295</v>
      </c>
      <c r="AI6728">
        <v>90.453877159152</v>
      </c>
      <c r="AJ6728">
        <v>87.210985531624701</v>
      </c>
      <c r="AK6728">
        <v>82.938996667705197</v>
      </c>
      <c r="AL6728">
        <v>91.440053032934401</v>
      </c>
      <c r="AM6728">
        <v>90.538400153634797</v>
      </c>
      <c r="AN6728">
        <v>0.99999997014325703</v>
      </c>
    </row>
    <row r="6729" spans="1:40" x14ac:dyDescent="0.25">
      <c r="A6729" t="str">
        <f>"20190303153942753"</f>
        <v>20190303153942753</v>
      </c>
      <c r="B6729" t="str">
        <f>"1551598782745067"</f>
        <v>1551598782745067</v>
      </c>
      <c r="C6729" t="s">
        <v>40</v>
      </c>
      <c r="D6729">
        <v>4.1311390000000001</v>
      </c>
      <c r="E6729">
        <v>0.52360589999999996</v>
      </c>
      <c r="F6729" t="s">
        <v>71</v>
      </c>
      <c r="G6729">
        <v>-425.8972</v>
      </c>
      <c r="H6729">
        <v>0.38635849999999999</v>
      </c>
      <c r="I6729">
        <v>0.67699049999999905</v>
      </c>
      <c r="J6729">
        <v>-421.80380000000002</v>
      </c>
      <c r="K6729">
        <v>1.1215809999999999</v>
      </c>
      <c r="L6729">
        <v>83.041749999999993</v>
      </c>
      <c r="M6729">
        <v>2.000936E-3</v>
      </c>
      <c r="N6729">
        <v>-1.3621909999999999E-2</v>
      </c>
      <c r="O6729">
        <v>-0.9999055</v>
      </c>
      <c r="P6729">
        <v>1.094733E-2</v>
      </c>
      <c r="Q6729">
        <v>-3.9002540000000002E-2</v>
      </c>
      <c r="R6729">
        <v>-0.99917959999999995</v>
      </c>
      <c r="S6729">
        <v>-0.14880370000000001</v>
      </c>
      <c r="T6729">
        <v>-2.6733989999999999E-2</v>
      </c>
      <c r="U6729">
        <v>-3.0030209999999999</v>
      </c>
      <c r="V6729">
        <v>-8.9332309999999998E-3</v>
      </c>
      <c r="W6729">
        <v>-2.539307E-2</v>
      </c>
      <c r="X6729">
        <v>0.99963760000000002</v>
      </c>
      <c r="Y6729">
        <v>5.1480739999999997E-2</v>
      </c>
      <c r="Z6729">
        <v>-4.7322400000000004E-3</v>
      </c>
      <c r="AA6729">
        <v>0.99866279999999996</v>
      </c>
      <c r="AB6729">
        <v>23</v>
      </c>
      <c r="AC6729">
        <v>-4.0933999999999697</v>
      </c>
      <c r="AD6729">
        <v>-0.735222499999999</v>
      </c>
      <c r="AE6729">
        <v>-82.364759499999906</v>
      </c>
      <c r="AF6729">
        <v>4.25787522631874</v>
      </c>
      <c r="AG6729">
        <v>-0.735222499999999</v>
      </c>
      <c r="AH6729">
        <v>82.349857645560505</v>
      </c>
      <c r="AI6729">
        <v>90.510842849964405</v>
      </c>
      <c r="AJ6729">
        <v>87.040174230805306</v>
      </c>
      <c r="AK6729">
        <v>82.463137872697303</v>
      </c>
      <c r="AL6729">
        <v>91.455072184392193</v>
      </c>
      <c r="AM6729">
        <v>90.512008361029004</v>
      </c>
      <c r="AN6729">
        <v>0.99999997097694104</v>
      </c>
    </row>
    <row r="6730" spans="1:40" x14ac:dyDescent="0.25">
      <c r="A6730" t="str">
        <f>"20190303153942776"</f>
        <v>20190303153942776</v>
      </c>
      <c r="B6730" t="str">
        <f>"1551598782765564"</f>
        <v>1551598782765564</v>
      </c>
      <c r="C6730" t="s">
        <v>40</v>
      </c>
      <c r="D6730">
        <v>4.1012240000000002</v>
      </c>
      <c r="E6730">
        <v>0.52410349999999895</v>
      </c>
      <c r="F6730" t="s">
        <v>71</v>
      </c>
      <c r="G6730">
        <v>-426.0299</v>
      </c>
      <c r="H6730">
        <v>0.30349799999999999</v>
      </c>
      <c r="I6730">
        <v>0.83918760000000003</v>
      </c>
      <c r="J6730">
        <v>-421.80279999999999</v>
      </c>
      <c r="K6730">
        <v>1.1215649999999999</v>
      </c>
      <c r="L6730">
        <v>82.812619999999995</v>
      </c>
      <c r="M6730">
        <v>2.3990769999999999E-3</v>
      </c>
      <c r="N6730">
        <v>-1.362936E-2</v>
      </c>
      <c r="O6730">
        <v>-0.99990449999999997</v>
      </c>
      <c r="P6730">
        <v>1.0345750000000001E-2</v>
      </c>
      <c r="Q6730">
        <v>-3.9493170000000001E-2</v>
      </c>
      <c r="R6730">
        <v>-0.99916680000000002</v>
      </c>
      <c r="S6730">
        <v>-0.15438840000000001</v>
      </c>
      <c r="T6730">
        <v>-2.9886840000000001E-2</v>
      </c>
      <c r="U6730">
        <v>-3.0029910000000002</v>
      </c>
      <c r="V6730">
        <v>-7.9345159999999904E-3</v>
      </c>
      <c r="W6730">
        <v>-2.5875479999999999E-2</v>
      </c>
      <c r="X6730">
        <v>0.99963369999999996</v>
      </c>
      <c r="Y6730">
        <v>5.3730769999999997E-2</v>
      </c>
      <c r="Z6730">
        <v>-3.6923699999999999E-3</v>
      </c>
      <c r="AA6730">
        <v>0.99854860000000001</v>
      </c>
      <c r="AB6730">
        <v>23</v>
      </c>
      <c r="AC6730">
        <v>-4.2271000000000001</v>
      </c>
      <c r="AD6730">
        <v>-0.81806699999999899</v>
      </c>
      <c r="AE6730">
        <v>-81.973432399999993</v>
      </c>
      <c r="AF6730">
        <v>4.4233272592651298</v>
      </c>
      <c r="AG6730">
        <v>-0.81806699999999899</v>
      </c>
      <c r="AH6730">
        <v>81.954913836629203</v>
      </c>
      <c r="AI6730">
        <v>90.571071498020103</v>
      </c>
      <c r="AJ6730">
        <v>86.910590126699006</v>
      </c>
      <c r="AK6730">
        <v>82.078273371388406</v>
      </c>
      <c r="AL6730">
        <v>91.482721262132301</v>
      </c>
      <c r="AM6730">
        <v>90.454771315064903</v>
      </c>
      <c r="AN6730">
        <v>1.0000000155925299</v>
      </c>
    </row>
    <row r="6731" spans="1:40" x14ac:dyDescent="0.25">
      <c r="A6731" t="str">
        <f>"20190303153942798"</f>
        <v>20190303153942798</v>
      </c>
      <c r="B6731" t="str">
        <f>"1551598782795820"</f>
        <v>1551598782795820</v>
      </c>
      <c r="C6731" t="s">
        <v>40</v>
      </c>
      <c r="D6731">
        <v>4.1028399999999996</v>
      </c>
      <c r="E6731">
        <v>0.52470119999999998</v>
      </c>
      <c r="F6731" t="s">
        <v>71</v>
      </c>
      <c r="G6731">
        <v>-426.15499999999997</v>
      </c>
      <c r="H6731">
        <v>0.2340922</v>
      </c>
      <c r="I6731">
        <v>0.99206349999999999</v>
      </c>
      <c r="J6731">
        <v>-421.80180000000001</v>
      </c>
      <c r="K6731">
        <v>1.121545</v>
      </c>
      <c r="L6731">
        <v>82.590119999999999</v>
      </c>
      <c r="M6731">
        <v>2.7578049999999999E-3</v>
      </c>
      <c r="N6731">
        <v>-1.363529E-2</v>
      </c>
      <c r="O6731">
        <v>-0.9999036</v>
      </c>
      <c r="P6731">
        <v>1.073029E-2</v>
      </c>
      <c r="Q6731">
        <v>-3.8763730000000003E-2</v>
      </c>
      <c r="R6731">
        <v>-0.99919119999999995</v>
      </c>
      <c r="S6731">
        <v>-0.15972900000000001</v>
      </c>
      <c r="T6731">
        <v>-3.2571790000000003E-2</v>
      </c>
      <c r="U6731">
        <v>-3.002869</v>
      </c>
      <c r="V6731">
        <v>-7.9618350000000004E-3</v>
      </c>
      <c r="W6731">
        <v>-2.5139439999999999E-2</v>
      </c>
      <c r="X6731">
        <v>0.99965230000000005</v>
      </c>
      <c r="Y6731">
        <v>5.586149E-2</v>
      </c>
      <c r="Z6731">
        <v>-2.806425E-3</v>
      </c>
      <c r="AA6731">
        <v>0.99843459999999995</v>
      </c>
      <c r="AB6731">
        <v>23</v>
      </c>
      <c r="AC6731">
        <v>-4.3531999999999504</v>
      </c>
      <c r="AD6731">
        <v>-0.88745280000000004</v>
      </c>
      <c r="AE6731">
        <v>-81.598056499999998</v>
      </c>
      <c r="AF6731">
        <v>4.5776958726131696</v>
      </c>
      <c r="AG6731">
        <v>-0.88745280000000004</v>
      </c>
      <c r="AH6731">
        <v>81.576117883902896</v>
      </c>
      <c r="AI6731">
        <v>90.622307549640098</v>
      </c>
      <c r="AJ6731">
        <v>86.788179274739704</v>
      </c>
      <c r="AK6731">
        <v>81.709276590744494</v>
      </c>
      <c r="AL6731">
        <v>91.4405354985456</v>
      </c>
      <c r="AM6731">
        <v>90.456328562583295</v>
      </c>
      <c r="AN6731">
        <v>1.0000000515776799</v>
      </c>
    </row>
    <row r="6732" spans="1:40" x14ac:dyDescent="0.25">
      <c r="A6732" t="str">
        <f>"20190303153942822"</f>
        <v>20190303153942822</v>
      </c>
      <c r="B6732" t="str">
        <f>"1551598782815340"</f>
        <v>1551598782815340</v>
      </c>
      <c r="C6732" t="s">
        <v>40</v>
      </c>
      <c r="D6732">
        <v>4.0957379999999999</v>
      </c>
      <c r="E6732">
        <v>0.52499319999999905</v>
      </c>
      <c r="F6732" t="s">
        <v>71</v>
      </c>
      <c r="G6732">
        <v>-426.2362</v>
      </c>
      <c r="H6732">
        <v>0.2149239</v>
      </c>
      <c r="I6732">
        <v>1.0913389999999901</v>
      </c>
      <c r="J6732">
        <v>-421.80079999999998</v>
      </c>
      <c r="K6732">
        <v>1.1215109999999999</v>
      </c>
      <c r="L6732">
        <v>82.359530000000007</v>
      </c>
      <c r="M6732">
        <v>3.090087E-3</v>
      </c>
      <c r="N6732">
        <v>-1.364026E-2</v>
      </c>
      <c r="O6732">
        <v>-0.99990230000000002</v>
      </c>
      <c r="P6732">
        <v>1.07201E-2</v>
      </c>
      <c r="Q6732">
        <v>-3.840532E-2</v>
      </c>
      <c r="R6732">
        <v>-0.99920489999999995</v>
      </c>
      <c r="S6732">
        <v>-0.16339110000000001</v>
      </c>
      <c r="T6732">
        <v>-3.340626E-2</v>
      </c>
      <c r="U6732">
        <v>-3.0028990000000002</v>
      </c>
      <c r="V6732">
        <v>-7.6215609999999998E-3</v>
      </c>
      <c r="W6732">
        <v>-2.477524E-2</v>
      </c>
      <c r="X6732">
        <v>0.999664</v>
      </c>
      <c r="Y6732">
        <v>5.7406449999999998E-2</v>
      </c>
      <c r="Z6732">
        <v>-2.5350770000000002E-3</v>
      </c>
      <c r="AA6732">
        <v>0.99834769999999995</v>
      </c>
      <c r="AB6732">
        <v>23</v>
      </c>
      <c r="AC6732">
        <v>-4.4354000000000102</v>
      </c>
      <c r="AD6732">
        <v>-0.90658709999999998</v>
      </c>
      <c r="AE6732">
        <v>-81.268191000000002</v>
      </c>
      <c r="AF6732">
        <v>4.6859465272544902</v>
      </c>
      <c r="AG6732">
        <v>-0.90658709999999998</v>
      </c>
      <c r="AH6732">
        <v>81.244015485812497</v>
      </c>
      <c r="AI6732">
        <v>90.638265896521304</v>
      </c>
      <c r="AJ6732">
        <v>86.698983568169993</v>
      </c>
      <c r="AK6732">
        <v>81.384089644629597</v>
      </c>
      <c r="AL6732">
        <v>91.419661938409504</v>
      </c>
      <c r="AM6732">
        <v>90.436821589885099</v>
      </c>
      <c r="AN6732">
        <v>1.0000000068025601</v>
      </c>
    </row>
    <row r="6733" spans="1:40" x14ac:dyDescent="0.25">
      <c r="A6733" t="str">
        <f>"20190303153942836"</f>
        <v>20190303153942836</v>
      </c>
      <c r="B6733" t="str">
        <f>"1551598782825100"</f>
        <v>1551598782825100</v>
      </c>
      <c r="C6733" t="s">
        <v>40</v>
      </c>
      <c r="D6733">
        <v>4.0711539999999999</v>
      </c>
      <c r="E6733">
        <v>0.52515909999999999</v>
      </c>
      <c r="F6733" t="s">
        <v>71</v>
      </c>
      <c r="G6733">
        <v>-426.28620000000001</v>
      </c>
      <c r="H6733">
        <v>0.20492669999999999</v>
      </c>
      <c r="I6733">
        <v>1.152382</v>
      </c>
      <c r="J6733">
        <v>-421.8</v>
      </c>
      <c r="K6733">
        <v>1.1214900000000001</v>
      </c>
      <c r="L6733">
        <v>82.207639999999998</v>
      </c>
      <c r="M6733">
        <v>3.2813959999999998E-3</v>
      </c>
      <c r="N6733">
        <v>-1.3642949999999999E-2</v>
      </c>
      <c r="O6733">
        <v>-0.99990159999999995</v>
      </c>
      <c r="P6733">
        <v>1.047588E-2</v>
      </c>
      <c r="Q6733">
        <v>-3.7981250000000001E-2</v>
      </c>
      <c r="R6733">
        <v>-0.99922350000000004</v>
      </c>
      <c r="S6733">
        <v>-0.16586300000000001</v>
      </c>
      <c r="T6733">
        <v>-3.3894300000000002E-2</v>
      </c>
      <c r="U6733">
        <v>-3.002869</v>
      </c>
      <c r="V6733">
        <v>-7.1873830000000003E-3</v>
      </c>
      <c r="W6733">
        <v>-2.43477E-2</v>
      </c>
      <c r="X6733">
        <v>0.9996777</v>
      </c>
      <c r="Y6733">
        <v>5.8417129999999998E-2</v>
      </c>
      <c r="Z6733">
        <v>-2.3760959999999999E-3</v>
      </c>
      <c r="AA6733">
        <v>0.99828939999999999</v>
      </c>
      <c r="AB6733">
        <v>23</v>
      </c>
      <c r="AC6733">
        <v>-4.4861999999999904</v>
      </c>
      <c r="AD6733">
        <v>-0.91656329999999997</v>
      </c>
      <c r="AE6733">
        <v>-81.055257999999995</v>
      </c>
      <c r="AF6733">
        <v>4.7515692651316002</v>
      </c>
      <c r="AG6733">
        <v>-0.91656329999999997</v>
      </c>
      <c r="AH6733">
        <v>81.029769677954405</v>
      </c>
      <c r="AI6733">
        <v>90.646958802820606</v>
      </c>
      <c r="AJ6733">
        <v>86.644030226606503</v>
      </c>
      <c r="AK6733">
        <v>81.174140419388493</v>
      </c>
      <c r="AL6733">
        <v>91.395158337037799</v>
      </c>
      <c r="AM6733">
        <v>90.411932381995499</v>
      </c>
      <c r="AN6733">
        <v>0.99999998642348398</v>
      </c>
    </row>
    <row r="6734" spans="1:40" x14ac:dyDescent="0.25">
      <c r="A6734" t="str">
        <f>"20190303153942850"</f>
        <v>20190303153942850</v>
      </c>
      <c r="B6734" t="str">
        <f>"1551598782845596"</f>
        <v>1551598782845596</v>
      </c>
      <c r="C6734" t="s">
        <v>40</v>
      </c>
      <c r="D6734">
        <v>4.0495049999999999</v>
      </c>
      <c r="E6734">
        <v>0.52547310000000003</v>
      </c>
      <c r="F6734" t="s">
        <v>71</v>
      </c>
      <c r="G6734">
        <v>-426.33010000000002</v>
      </c>
      <c r="H6734">
        <v>0.23510310000000001</v>
      </c>
      <c r="I6734">
        <v>1.2060489999999999</v>
      </c>
      <c r="J6734">
        <v>-421.79939999999999</v>
      </c>
      <c r="K6734">
        <v>1.1214729999999999</v>
      </c>
      <c r="L6734">
        <v>82.063810000000004</v>
      </c>
      <c r="M6734">
        <v>3.4430929999999999E-3</v>
      </c>
      <c r="N6734">
        <v>-1.36452E-2</v>
      </c>
      <c r="O6734">
        <v>-0.99990089999999998</v>
      </c>
      <c r="P6734">
        <v>1.056897E-2</v>
      </c>
      <c r="Q6734">
        <v>-3.8197349999999998E-2</v>
      </c>
      <c r="R6734">
        <v>-0.99921450000000001</v>
      </c>
      <c r="S6734">
        <v>-0.16793820000000001</v>
      </c>
      <c r="T6734">
        <v>-3.2860519999999997E-2</v>
      </c>
      <c r="U6734">
        <v>-3.0028380000000001</v>
      </c>
      <c r="V6734">
        <v>-7.1201329999999998E-3</v>
      </c>
      <c r="W6734">
        <v>-2.456123E-2</v>
      </c>
      <c r="X6734">
        <v>0.99967289999999998</v>
      </c>
      <c r="Y6734">
        <v>5.9266819999999998E-2</v>
      </c>
      <c r="Z6734">
        <v>-2.7224620000000001E-3</v>
      </c>
      <c r="AA6734">
        <v>0.99823839999999997</v>
      </c>
      <c r="AB6734">
        <v>22</v>
      </c>
      <c r="AC6734">
        <v>-4.5307000000000199</v>
      </c>
      <c r="AD6734">
        <v>-0.88636989999999904</v>
      </c>
      <c r="AE6734">
        <v>-80.857760999999996</v>
      </c>
      <c r="AF6734">
        <v>4.8085238527392997</v>
      </c>
      <c r="AG6734">
        <v>-0.88636989999999904</v>
      </c>
      <c r="AH6734">
        <v>80.8319975868407</v>
      </c>
      <c r="AI6734">
        <v>90.627147780733196</v>
      </c>
      <c r="AJ6734">
        <v>86.595607817303701</v>
      </c>
      <c r="AK6734">
        <v>80.979746771158801</v>
      </c>
      <c r="AL6734">
        <v>91.407396446193204</v>
      </c>
      <c r="AM6734">
        <v>90.408080155276906</v>
      </c>
      <c r="AN6734">
        <v>0.999999928653727</v>
      </c>
    </row>
    <row r="6735" spans="1:40" x14ac:dyDescent="0.25">
      <c r="A6735" t="str">
        <f>"20190303153942865"</f>
        <v>20190303153942865</v>
      </c>
      <c r="B6735" t="str">
        <f>"1551598782855356"</f>
        <v>1551598782855356</v>
      </c>
      <c r="C6735" t="s">
        <v>40</v>
      </c>
      <c r="D6735">
        <v>4.0885109999999996</v>
      </c>
      <c r="E6735">
        <v>0.52561420000000003</v>
      </c>
      <c r="F6735" t="s">
        <v>71</v>
      </c>
      <c r="G6735">
        <v>-426.36739999999998</v>
      </c>
      <c r="H6735">
        <v>0.17655609999999999</v>
      </c>
      <c r="I6735">
        <v>1.251579</v>
      </c>
      <c r="J6735">
        <v>-421.7987</v>
      </c>
      <c r="K6735">
        <v>1.1214440000000001</v>
      </c>
      <c r="L6735">
        <v>81.917180000000002</v>
      </c>
      <c r="M6735">
        <v>3.5766629999999999E-3</v>
      </c>
      <c r="N6735">
        <v>-1.3647070000000001E-2</v>
      </c>
      <c r="O6735">
        <v>-0.99990080000000003</v>
      </c>
      <c r="P6735">
        <v>1.0292000000000001E-2</v>
      </c>
      <c r="Q6735">
        <v>-3.780087E-2</v>
      </c>
      <c r="R6735">
        <v>-0.99923280000000003</v>
      </c>
      <c r="S6735">
        <v>-0.1697388</v>
      </c>
      <c r="T6735">
        <v>-3.5112020000000001E-2</v>
      </c>
      <c r="U6735">
        <v>-3.0028079999999999</v>
      </c>
      <c r="V6735">
        <v>-6.7112049999999996E-3</v>
      </c>
      <c r="W6735">
        <v>-2.4162099999999999E-2</v>
      </c>
      <c r="X6735">
        <v>0.9996855</v>
      </c>
      <c r="Y6735">
        <v>5.9997059999999998E-2</v>
      </c>
      <c r="Z6735">
        <v>-1.976298E-3</v>
      </c>
      <c r="AA6735">
        <v>0.99819659999999999</v>
      </c>
      <c r="AB6735">
        <v>22</v>
      </c>
      <c r="AC6735">
        <v>-4.5686999999999696</v>
      </c>
      <c r="AD6735">
        <v>-0.9448879</v>
      </c>
      <c r="AE6735">
        <v>-80.665600999999995</v>
      </c>
      <c r="AF6735">
        <v>4.8565469867111304</v>
      </c>
      <c r="AG6735">
        <v>-0.9448879</v>
      </c>
      <c r="AH6735">
        <v>80.6377138547779</v>
      </c>
      <c r="AI6735">
        <v>90.670129420204404</v>
      </c>
      <c r="AJ6735">
        <v>86.553424913914</v>
      </c>
      <c r="AK6735">
        <v>80.789354233727707</v>
      </c>
      <c r="AL6735">
        <v>91.384521129208295</v>
      </c>
      <c r="AM6735">
        <v>90.384638914391104</v>
      </c>
      <c r="AN6735">
        <v>0.99999997312960498</v>
      </c>
    </row>
    <row r="6736" spans="1:40" x14ac:dyDescent="0.25">
      <c r="A6736" t="str">
        <f>"20190303153942880"</f>
        <v>20190303153942880</v>
      </c>
      <c r="B6736" t="str">
        <f>"1551598782874876"</f>
        <v>1551598782874876</v>
      </c>
      <c r="C6736" t="s">
        <v>40</v>
      </c>
      <c r="D6736">
        <v>4.0873460000000001</v>
      </c>
      <c r="E6736">
        <v>0.52590199999999998</v>
      </c>
      <c r="F6736" t="s">
        <v>71</v>
      </c>
      <c r="G6736">
        <v>-426.42809999999997</v>
      </c>
      <c r="H6736">
        <v>0.17948599999999901</v>
      </c>
      <c r="I6736">
        <v>1.3257350000000001</v>
      </c>
      <c r="J6736">
        <v>-421.798</v>
      </c>
      <c r="K6736">
        <v>1.1214170000000001</v>
      </c>
      <c r="L6736">
        <v>81.768950000000004</v>
      </c>
      <c r="M6736">
        <v>3.684915E-3</v>
      </c>
      <c r="N6736">
        <v>-1.3645010000000001E-2</v>
      </c>
      <c r="O6736">
        <v>-0.99990029999999996</v>
      </c>
      <c r="P6736">
        <v>1.023831E-2</v>
      </c>
      <c r="Q6736">
        <v>-3.7817089999999998E-2</v>
      </c>
      <c r="R6736">
        <v>-0.99923249999999997</v>
      </c>
      <c r="S6736">
        <v>-0.17248540000000001</v>
      </c>
      <c r="T6736">
        <v>-3.5097240000000002E-2</v>
      </c>
      <c r="U6736">
        <v>-3.0027469999999998</v>
      </c>
      <c r="V6736">
        <v>-6.5510350000000002E-3</v>
      </c>
      <c r="W6736">
        <v>-2.4179880000000001E-2</v>
      </c>
      <c r="X6736">
        <v>0.99968619999999997</v>
      </c>
      <c r="Y6736">
        <v>6.1016149999999998E-2</v>
      </c>
      <c r="Z6736">
        <v>-1.9796459999999998E-3</v>
      </c>
      <c r="AA6736">
        <v>0.99813479999999999</v>
      </c>
      <c r="AB6736">
        <v>22</v>
      </c>
      <c r="AC6736">
        <v>-4.6300999999999597</v>
      </c>
      <c r="AD6736">
        <v>-0.94193099999999996</v>
      </c>
      <c r="AE6736">
        <v>-80.443214999999995</v>
      </c>
      <c r="AF6736">
        <v>4.92584937409001</v>
      </c>
      <c r="AG6736">
        <v>-0.94193099999999996</v>
      </c>
      <c r="AH6736">
        <v>80.414616638637099</v>
      </c>
      <c r="AI6736">
        <v>90.669844002142796</v>
      </c>
      <c r="AJ6736">
        <v>86.494689846355101</v>
      </c>
      <c r="AK6736">
        <v>80.5708495375589</v>
      </c>
      <c r="AL6736">
        <v>91.385540052462005</v>
      </c>
      <c r="AM6736">
        <v>90.375459103309495</v>
      </c>
      <c r="AN6736">
        <v>1.00000004056341</v>
      </c>
    </row>
    <row r="6737" spans="1:40" x14ac:dyDescent="0.25">
      <c r="A6737" t="str">
        <f>"20190303153942894"</f>
        <v>20190303153942894</v>
      </c>
      <c r="B6737" t="str">
        <f>"1551598782885612"</f>
        <v>1551598782885612</v>
      </c>
      <c r="C6737" t="s">
        <v>40</v>
      </c>
      <c r="D6737">
        <v>4.0771220000000001</v>
      </c>
      <c r="E6737">
        <v>0.52604549999999906</v>
      </c>
      <c r="F6737" t="s">
        <v>71</v>
      </c>
      <c r="G6737">
        <v>-426.46839999999997</v>
      </c>
      <c r="H6737">
        <v>0.1277616</v>
      </c>
      <c r="I6737">
        <v>1.375048</v>
      </c>
      <c r="J6737">
        <v>-421.79739999999998</v>
      </c>
      <c r="K6737">
        <v>1.1213869999999999</v>
      </c>
      <c r="L6737">
        <v>81.633089999999996</v>
      </c>
      <c r="M6737">
        <v>3.7615449999999998E-3</v>
      </c>
      <c r="N6737">
        <v>-1.362416E-2</v>
      </c>
      <c r="O6737">
        <v>-0.99990029999999996</v>
      </c>
      <c r="P6737">
        <v>1.0226600000000001E-2</v>
      </c>
      <c r="Q6737">
        <v>-3.7901600000000001E-2</v>
      </c>
      <c r="R6737">
        <v>-0.99922949999999999</v>
      </c>
      <c r="S6737">
        <v>-0.1744385</v>
      </c>
      <c r="T6737">
        <v>-3.7113670000000001E-2</v>
      </c>
      <c r="U6737">
        <v>-3.0026860000000002</v>
      </c>
      <c r="V6737">
        <v>-6.4647389999999997E-3</v>
      </c>
      <c r="W6737">
        <v>-2.4284799999999999E-2</v>
      </c>
      <c r="X6737">
        <v>0.99968420000000002</v>
      </c>
      <c r="Y6737">
        <v>6.174056E-2</v>
      </c>
      <c r="Z6737">
        <v>-1.2888589999999901E-3</v>
      </c>
      <c r="AA6737">
        <v>0.99809139999999996</v>
      </c>
      <c r="AB6737">
        <v>22</v>
      </c>
      <c r="AC6737">
        <v>-4.6709999999999896</v>
      </c>
      <c r="AD6737">
        <v>-0.99362539999999999</v>
      </c>
      <c r="AE6737">
        <v>-80.258041999999904</v>
      </c>
      <c r="AF6737">
        <v>4.9721296252095497</v>
      </c>
      <c r="AG6737">
        <v>-0.99362539999999999</v>
      </c>
      <c r="AH6737">
        <v>80.227646999935203</v>
      </c>
      <c r="AI6737">
        <v>90.708217563391102</v>
      </c>
      <c r="AJ6737">
        <v>86.453614757915204</v>
      </c>
      <c r="AK6737">
        <v>80.3877149046521</v>
      </c>
      <c r="AL6737">
        <v>91.391553316946101</v>
      </c>
      <c r="AM6737">
        <v>90.370514105521593</v>
      </c>
      <c r="AN6737">
        <v>1.0000000220455001</v>
      </c>
    </row>
    <row r="6738" spans="1:40" x14ac:dyDescent="0.25">
      <c r="A6738" t="str">
        <f>"20190303153942907"</f>
        <v>20190303153942907</v>
      </c>
      <c r="B6738" t="str">
        <f>"1551598782895372"</f>
        <v>1551598782895372</v>
      </c>
      <c r="C6738" t="s">
        <v>40</v>
      </c>
      <c r="D6738">
        <v>4.084079</v>
      </c>
      <c r="E6738">
        <v>0.52617619999999998</v>
      </c>
      <c r="F6738" t="s">
        <v>71</v>
      </c>
      <c r="G6738">
        <v>-426.5016</v>
      </c>
      <c r="H6738">
        <v>9.4746109999999994E-2</v>
      </c>
      <c r="I6738">
        <v>1.415651</v>
      </c>
      <c r="J6738">
        <v>-421.79680000000002</v>
      </c>
      <c r="K6738">
        <v>1.1213439999999999</v>
      </c>
      <c r="L6738">
        <v>81.499969999999905</v>
      </c>
      <c r="M6738">
        <v>3.8090089999999999E-3</v>
      </c>
      <c r="N6738">
        <v>-1.356827E-2</v>
      </c>
      <c r="O6738">
        <v>-0.99990080000000003</v>
      </c>
      <c r="P6738">
        <v>1.001843E-2</v>
      </c>
      <c r="Q6738">
        <v>-3.7764430000000002E-2</v>
      </c>
      <c r="R6738">
        <v>-0.99923649999999997</v>
      </c>
      <c r="S6738">
        <v>-0.1760864</v>
      </c>
      <c r="T6738">
        <v>-3.8429619999999998E-2</v>
      </c>
      <c r="U6738">
        <v>-3.0026549999999999</v>
      </c>
      <c r="V6738">
        <v>-6.210676E-3</v>
      </c>
      <c r="W6738">
        <v>-2.4202979999999999E-2</v>
      </c>
      <c r="X6738">
        <v>0.99968780000000002</v>
      </c>
      <c r="Y6738">
        <v>6.2334239999999999E-2</v>
      </c>
      <c r="Z6738">
        <v>-7.9590399999999995E-4</v>
      </c>
      <c r="AA6738">
        <v>0.99805500000000003</v>
      </c>
      <c r="AB6738">
        <v>22</v>
      </c>
      <c r="AC6738">
        <v>-4.7047999999999703</v>
      </c>
      <c r="AD6738">
        <v>-1.0265978899999999</v>
      </c>
      <c r="AE6738">
        <v>-80.084318999999994</v>
      </c>
      <c r="AF6738">
        <v>5.0090155257491604</v>
      </c>
      <c r="AG6738">
        <v>-1.0265978899999999</v>
      </c>
      <c r="AH6738">
        <v>80.052706184060597</v>
      </c>
      <c r="AI6738">
        <v>90.733288301447701</v>
      </c>
      <c r="AJ6738">
        <v>86.419586631451395</v>
      </c>
      <c r="AK6738">
        <v>80.215833269726005</v>
      </c>
      <c r="AL6738">
        <v>91.386863991038794</v>
      </c>
      <c r="AM6738">
        <v>90.355952072924794</v>
      </c>
      <c r="AN6738">
        <v>1.00000002710304</v>
      </c>
    </row>
    <row r="6739" spans="1:40" x14ac:dyDescent="0.25">
      <c r="A6739" t="str">
        <f>"20190303153942921"</f>
        <v>20190303153942921</v>
      </c>
      <c r="B6739" t="str">
        <f>"1551598782914891"</f>
        <v>1551598782914891</v>
      </c>
      <c r="C6739" t="s">
        <v>40</v>
      </c>
      <c r="D6739">
        <v>4.0892080000000002</v>
      </c>
      <c r="E6739">
        <v>0.54915049999999999</v>
      </c>
      <c r="F6739" t="s">
        <v>43</v>
      </c>
      <c r="G6739">
        <v>-427.11489999999998</v>
      </c>
      <c r="H6739">
        <v>-0.05</v>
      </c>
      <c r="I6739">
        <v>-8.4505619999999997</v>
      </c>
      <c r="J6739">
        <v>-421.7962</v>
      </c>
      <c r="K6739">
        <v>1.1212879999999901</v>
      </c>
      <c r="L6739">
        <v>81.355379999999997</v>
      </c>
      <c r="M6739">
        <v>3.8311590000000002E-3</v>
      </c>
      <c r="N6739">
        <v>-1.345787E-2</v>
      </c>
      <c r="O6739">
        <v>-0.99990199999999996</v>
      </c>
      <c r="P6739">
        <v>9.9411340000000008E-3</v>
      </c>
      <c r="Q6739">
        <v>-3.7611100000000001E-2</v>
      </c>
      <c r="R6739">
        <v>-0.99924290000000004</v>
      </c>
      <c r="S6739">
        <v>-0.17752079999999901</v>
      </c>
      <c r="T6739">
        <v>-3.9100049999999997E-2</v>
      </c>
      <c r="U6739">
        <v>-3.0025940000000002</v>
      </c>
      <c r="V6739">
        <v>-6.1129620000000004E-3</v>
      </c>
      <c r="W6739">
        <v>-2.415956E-2</v>
      </c>
      <c r="X6739">
        <v>0.99968939999999995</v>
      </c>
      <c r="Y6739">
        <v>6.2832620000000006E-2</v>
      </c>
      <c r="Z6739">
        <v>-4.6279390000000001E-4</v>
      </c>
      <c r="AA6739">
        <v>0.99802400000000002</v>
      </c>
      <c r="AB6739">
        <v>22</v>
      </c>
      <c r="AC6739">
        <v>-5.3186999999999696</v>
      </c>
      <c r="AD6739">
        <v>-1.1712880000000001</v>
      </c>
      <c r="AE6739">
        <v>-89.805942000000002</v>
      </c>
      <c r="AF6739">
        <v>5.6617932644849596</v>
      </c>
      <c r="AG6739">
        <v>-1.1712880000000001</v>
      </c>
      <c r="AH6739">
        <v>89.769687264545794</v>
      </c>
      <c r="AI6739">
        <v>90.746053551900204</v>
      </c>
      <c r="AJ6739">
        <v>86.391123129646601</v>
      </c>
      <c r="AK6739">
        <v>89.955681144233793</v>
      </c>
      <c r="AL6739">
        <v>91.384375553451207</v>
      </c>
      <c r="AM6739">
        <v>90.350351376736796</v>
      </c>
      <c r="AN6739">
        <v>0.99999997455808298</v>
      </c>
    </row>
    <row r="6740" spans="1:40" x14ac:dyDescent="0.25">
      <c r="A6740" t="str">
        <f>"20190303153942936"</f>
        <v>20190303153942936</v>
      </c>
      <c r="B6740" t="str">
        <f>"1551598782925629"</f>
        <v>1551598782925629</v>
      </c>
      <c r="C6740" t="s">
        <v>40</v>
      </c>
      <c r="D6740">
        <v>4.0484960000000001</v>
      </c>
      <c r="E6740">
        <v>0.55306480000000002</v>
      </c>
      <c r="F6740" t="s">
        <v>63</v>
      </c>
      <c r="G6740">
        <v>-430.92090000000002</v>
      </c>
      <c r="H6740">
        <v>7.9987310000000006E-2</v>
      </c>
      <c r="I6740">
        <v>5.4618379999999904</v>
      </c>
      <c r="J6740">
        <v>-421.79559999999998</v>
      </c>
      <c r="K6740">
        <v>1.1212329999999999</v>
      </c>
      <c r="L6740">
        <v>81.204279999999997</v>
      </c>
      <c r="M6740">
        <v>3.8374580000000002E-3</v>
      </c>
      <c r="N6740">
        <v>-1.3323929999999999E-2</v>
      </c>
      <c r="O6740">
        <v>-0.99990420000000002</v>
      </c>
      <c r="P6740">
        <v>9.6738420000000002E-3</v>
      </c>
      <c r="Q6740">
        <v>-3.7414570000000001E-2</v>
      </c>
      <c r="R6740">
        <v>-0.99925339999999996</v>
      </c>
      <c r="S6740">
        <v>-0.36120609999999997</v>
      </c>
      <c r="T6740">
        <v>-4.1220659999999999E-2</v>
      </c>
      <c r="U6740">
        <v>-3.0043030000000002</v>
      </c>
      <c r="V6740">
        <v>-5.8407819999999897E-3</v>
      </c>
      <c r="W6740">
        <v>-2.409648E-2</v>
      </c>
      <c r="X6740">
        <v>0.99969260000000004</v>
      </c>
      <c r="Y6740">
        <v>0.1231574</v>
      </c>
      <c r="Z6740">
        <v>2.9089790000000001E-4</v>
      </c>
      <c r="AA6740">
        <v>0.99238709999999997</v>
      </c>
      <c r="AB6740">
        <v>22</v>
      </c>
      <c r="AC6740">
        <v>-9.1253000000000295</v>
      </c>
      <c r="AD6740">
        <v>-1.04124569</v>
      </c>
      <c r="AE6740">
        <v>-75.742441999999997</v>
      </c>
      <c r="AF6740">
        <v>9.4141632618861397</v>
      </c>
      <c r="AG6740">
        <v>-1.04124569</v>
      </c>
      <c r="AH6740">
        <v>75.692763001902307</v>
      </c>
      <c r="AI6740">
        <v>90.782098112921204</v>
      </c>
      <c r="AJ6740">
        <v>82.910337834257305</v>
      </c>
      <c r="AK6740">
        <v>76.283058626214896</v>
      </c>
      <c r="AL6740">
        <v>91.380760213728493</v>
      </c>
      <c r="AM6740">
        <v>90.334751252405098</v>
      </c>
      <c r="AN6740">
        <v>1.0000000247887599</v>
      </c>
    </row>
    <row r="6741" spans="1:40" x14ac:dyDescent="0.25">
      <c r="A6741" t="str">
        <f>"20190303153942952"</f>
        <v>20190303153942952</v>
      </c>
      <c r="B6741" t="str">
        <f>"1551598782945148"</f>
        <v>1551598782945148</v>
      </c>
      <c r="C6741" t="s">
        <v>40</v>
      </c>
      <c r="D6741">
        <v>4.054748</v>
      </c>
      <c r="E6741">
        <v>0.55583839999999995</v>
      </c>
      <c r="F6741" t="s">
        <v>63</v>
      </c>
      <c r="G6741">
        <v>-431.46370000000002</v>
      </c>
      <c r="H6741">
        <v>7.9987260000000004E-2</v>
      </c>
      <c r="I6741">
        <v>7.3219149999999997</v>
      </c>
      <c r="J6741">
        <v>-421.79500000000002</v>
      </c>
      <c r="K6741">
        <v>1.1211789999999999</v>
      </c>
      <c r="L6741">
        <v>81.04813</v>
      </c>
      <c r="M6741">
        <v>3.8275129999999998E-3</v>
      </c>
      <c r="N6741">
        <v>-1.3177970000000001E-2</v>
      </c>
      <c r="O6741">
        <v>-0.99990610000000002</v>
      </c>
      <c r="P6741">
        <v>9.2167729999999993E-3</v>
      </c>
      <c r="Q6741">
        <v>-3.7244470000000002E-2</v>
      </c>
      <c r="R6741">
        <v>-0.99926389999999998</v>
      </c>
      <c r="S6741">
        <v>-0.39315800000000001</v>
      </c>
      <c r="T6741">
        <v>-4.2342659999999997E-2</v>
      </c>
      <c r="U6741">
        <v>-3.0044559999999998</v>
      </c>
      <c r="V6741">
        <v>-5.3946019999999897E-3</v>
      </c>
      <c r="W6741">
        <v>-2.407196E-2</v>
      </c>
      <c r="X6741">
        <v>0.99969569999999996</v>
      </c>
      <c r="Y6741">
        <v>0.1335228</v>
      </c>
      <c r="Z6741">
        <v>7.8793940000000001E-4</v>
      </c>
      <c r="AA6741">
        <v>0.99104539999999997</v>
      </c>
      <c r="AB6741">
        <v>22</v>
      </c>
      <c r="AC6741">
        <v>-9.6686999999999994</v>
      </c>
      <c r="AD6741">
        <v>-1.0411917399999999</v>
      </c>
      <c r="AE6741">
        <v>-73.726214999999996</v>
      </c>
      <c r="AF6741">
        <v>9.9488909616525003</v>
      </c>
      <c r="AG6741">
        <v>-1.0411917399999999</v>
      </c>
      <c r="AH6741">
        <v>73.674219260007305</v>
      </c>
      <c r="AI6741">
        <v>90.802389596420696</v>
      </c>
      <c r="AJ6741">
        <v>82.309359177888794</v>
      </c>
      <c r="AK6741">
        <v>74.3502192006044</v>
      </c>
      <c r="AL6741">
        <v>91.379354910852499</v>
      </c>
      <c r="AM6741">
        <v>90.309179009821094</v>
      </c>
      <c r="AN6741">
        <v>1.0000000267937299</v>
      </c>
    </row>
    <row r="6742" spans="1:40" x14ac:dyDescent="0.25">
      <c r="A6742" t="str">
        <f>"20190303153942964"</f>
        <v>20190303153942964</v>
      </c>
      <c r="B6742" t="str">
        <f>"1551598782954908"</f>
        <v>1551598782954908</v>
      </c>
      <c r="C6742" t="s">
        <v>40</v>
      </c>
      <c r="D6742">
        <v>4.0367850000000001</v>
      </c>
      <c r="E6742">
        <v>0.5567666</v>
      </c>
      <c r="F6742" t="s">
        <v>63</v>
      </c>
      <c r="G6742">
        <v>-432.04570000000001</v>
      </c>
      <c r="H6742">
        <v>7.9987219999999998E-2</v>
      </c>
      <c r="I6742">
        <v>7.0818099999999999</v>
      </c>
      <c r="J6742">
        <v>-421.79450000000003</v>
      </c>
      <c r="K6742">
        <v>1.1211439999999999</v>
      </c>
      <c r="L6742">
        <v>80.912629999999993</v>
      </c>
      <c r="M6742">
        <v>3.8030479999999998E-3</v>
      </c>
      <c r="N6742">
        <v>-1.3061079999999999E-2</v>
      </c>
      <c r="O6742">
        <v>-0.99990749999999995</v>
      </c>
      <c r="P6742">
        <v>8.1690909999999999E-3</v>
      </c>
      <c r="Q6742">
        <v>-3.7631600000000001E-2</v>
      </c>
      <c r="R6742">
        <v>-0.9992586</v>
      </c>
      <c r="S6742">
        <v>-0.41638180000000002</v>
      </c>
      <c r="T6742">
        <v>-4.2292829999999997E-2</v>
      </c>
      <c r="U6742">
        <v>-3.004486</v>
      </c>
      <c r="V6742">
        <v>-4.3720410000000001E-3</v>
      </c>
      <c r="W6742">
        <v>-2.4576020000000001E-2</v>
      </c>
      <c r="X6742">
        <v>0.99968840000000003</v>
      </c>
      <c r="Y6742">
        <v>0.14101629999999901</v>
      </c>
      <c r="Z6742">
        <v>8.7368380000000005E-4</v>
      </c>
      <c r="AA6742">
        <v>0.99000690000000002</v>
      </c>
      <c r="AB6742">
        <v>22</v>
      </c>
      <c r="AC6742">
        <v>-10.2511999999999</v>
      </c>
      <c r="AD6742">
        <v>-1.0411567799999999</v>
      </c>
      <c r="AE6742">
        <v>-73.830819999999903</v>
      </c>
      <c r="AF6742">
        <v>10.5298775397415</v>
      </c>
      <c r="AG6742">
        <v>-1.0411567799999999</v>
      </c>
      <c r="AH6742">
        <v>73.776902765999395</v>
      </c>
      <c r="AI6742">
        <v>90.800407416330003</v>
      </c>
      <c r="AJ6742">
        <v>81.877264999932393</v>
      </c>
      <c r="AK6742">
        <v>74.531830181381096</v>
      </c>
      <c r="AL6742">
        <v>91.408244011423704</v>
      </c>
      <c r="AM6742">
        <v>90.250575979578798</v>
      </c>
      <c r="AN6742">
        <v>0.99999999629805303</v>
      </c>
    </row>
    <row r="6743" spans="1:40" x14ac:dyDescent="0.25">
      <c r="A6743" t="str">
        <f>"20190303153942982"</f>
        <v>20190303153942982</v>
      </c>
      <c r="B6743" t="str">
        <f>"1551598782975404"</f>
        <v>1551598782975404</v>
      </c>
      <c r="C6743" t="s">
        <v>40</v>
      </c>
      <c r="D6743">
        <v>4.0484099999999996</v>
      </c>
      <c r="E6743">
        <v>0.55798749999999997</v>
      </c>
      <c r="F6743" t="s">
        <v>43</v>
      </c>
      <c r="G6743">
        <v>-434.06310000000002</v>
      </c>
      <c r="H6743">
        <v>-0.05</v>
      </c>
      <c r="I6743">
        <v>-5.3786930000000002</v>
      </c>
      <c r="J6743">
        <v>-421.79390000000001</v>
      </c>
      <c r="K6743">
        <v>1.121111</v>
      </c>
      <c r="L6743">
        <v>80.753140000000002</v>
      </c>
      <c r="M6743">
        <v>3.7579829999999999E-3</v>
      </c>
      <c r="N6743">
        <v>-1.293475E-2</v>
      </c>
      <c r="O6743">
        <v>-0.99990939999999995</v>
      </c>
      <c r="P6743">
        <v>7.9726350000000005E-3</v>
      </c>
      <c r="Q6743">
        <v>-3.764953E-2</v>
      </c>
      <c r="R6743">
        <v>-0.99925949999999997</v>
      </c>
      <c r="S6743">
        <v>-0.427124</v>
      </c>
      <c r="T6743">
        <v>-4.0772679999999999E-2</v>
      </c>
      <c r="U6743">
        <v>-3.004181</v>
      </c>
      <c r="V6743">
        <v>-4.2218689999999996E-3</v>
      </c>
      <c r="W6743">
        <v>-2.472013E-2</v>
      </c>
      <c r="X6743">
        <v>0.9996855</v>
      </c>
      <c r="Y6743">
        <v>0.14445629999999901</v>
      </c>
      <c r="Z6743">
        <v>4.9376070000000001E-4</v>
      </c>
      <c r="AA6743">
        <v>0.98951109999999998</v>
      </c>
      <c r="AB6743">
        <v>22</v>
      </c>
      <c r="AC6743">
        <v>-12.2692</v>
      </c>
      <c r="AD6743">
        <v>-1.171111</v>
      </c>
      <c r="AE6743">
        <v>-86.131833</v>
      </c>
      <c r="AF6743">
        <v>12.590541021048701</v>
      </c>
      <c r="AG6743">
        <v>-1.171111</v>
      </c>
      <c r="AH6743">
        <v>86.069518093068993</v>
      </c>
      <c r="AI6743">
        <v>90.771342755803403</v>
      </c>
      <c r="AJ6743">
        <v>81.677607203686307</v>
      </c>
      <c r="AK6743">
        <v>86.993420262397905</v>
      </c>
      <c r="AL6743">
        <v>91.416503404684207</v>
      </c>
      <c r="AM6743">
        <v>90.241969936818407</v>
      </c>
      <c r="AN6743">
        <v>1.00000000395766</v>
      </c>
    </row>
    <row r="6744" spans="1:40" x14ac:dyDescent="0.25">
      <c r="A6744" t="str">
        <f>"20190303153943000"</f>
        <v>20190303153943000</v>
      </c>
      <c r="B6744" t="str">
        <f>"1551598782994923"</f>
        <v>1551598782994923</v>
      </c>
      <c r="C6744" t="s">
        <v>40</v>
      </c>
      <c r="D6744">
        <v>4.1253279999999997</v>
      </c>
      <c r="E6744">
        <v>0.5588824</v>
      </c>
      <c r="F6744" t="s">
        <v>43</v>
      </c>
      <c r="G6744">
        <v>-435.30130000000003</v>
      </c>
      <c r="H6744">
        <v>-0.05</v>
      </c>
      <c r="I6744">
        <v>-12.008179999999999</v>
      </c>
      <c r="J6744">
        <v>-421.79320000000001</v>
      </c>
      <c r="K6744">
        <v>1.121076</v>
      </c>
      <c r="L6744">
        <v>80.565119999999993</v>
      </c>
      <c r="M6744">
        <v>3.682355E-3</v>
      </c>
      <c r="N6744">
        <v>-1.279286E-2</v>
      </c>
      <c r="O6744">
        <v>-0.99991160000000001</v>
      </c>
      <c r="P6744">
        <v>7.3335529999999996E-3</v>
      </c>
      <c r="Q6744">
        <v>-3.791083E-2</v>
      </c>
      <c r="R6744">
        <v>-0.99925450000000005</v>
      </c>
      <c r="S6744">
        <v>-0.43746950000000001</v>
      </c>
      <c r="T6744">
        <v>-3.7929299999999999E-2</v>
      </c>
      <c r="U6744">
        <v>-3.0043030000000002</v>
      </c>
      <c r="V6744">
        <v>-3.659341E-3</v>
      </c>
      <c r="W6744">
        <v>-2.5123329999999999E-2</v>
      </c>
      <c r="X6744">
        <v>0.9996777</v>
      </c>
      <c r="Y6744">
        <v>0.14771409999999999</v>
      </c>
      <c r="Z6744">
        <v>-3.0750850000000002E-4</v>
      </c>
      <c r="AA6744">
        <v>0.98903010000000002</v>
      </c>
      <c r="AB6744">
        <v>22</v>
      </c>
      <c r="AC6744">
        <v>-13.508100000000001</v>
      </c>
      <c r="AD6744">
        <v>-1.171076</v>
      </c>
      <c r="AE6744">
        <v>-92.573300000000003</v>
      </c>
      <c r="AF6744">
        <v>13.8467542959486</v>
      </c>
      <c r="AG6744">
        <v>-1.171076</v>
      </c>
      <c r="AH6744">
        <v>92.508431186089197</v>
      </c>
      <c r="AI6744">
        <v>90.717285997351595</v>
      </c>
      <c r="AJ6744">
        <v>81.487110505087401</v>
      </c>
      <c r="AK6744">
        <v>93.546319350584497</v>
      </c>
      <c r="AL6744">
        <v>91.439612191247406</v>
      </c>
      <c r="AM6744">
        <v>90.209731455092907</v>
      </c>
      <c r="AN6744">
        <v>1.00000003818206</v>
      </c>
    </row>
    <row r="6745" spans="1:40" x14ac:dyDescent="0.25">
      <c r="A6745" t="str">
        <f>"20190303153943022"</f>
        <v>20190303153943022</v>
      </c>
      <c r="B6745" t="str">
        <f>"1551598783015421"</f>
        <v>1551598783015421</v>
      </c>
      <c r="C6745" t="s">
        <v>40</v>
      </c>
      <c r="D6745">
        <v>4.0975320000000002</v>
      </c>
      <c r="E6745">
        <v>0.55953549999999996</v>
      </c>
      <c r="F6745" t="s">
        <v>43</v>
      </c>
      <c r="G6745">
        <v>-436.21449999999999</v>
      </c>
      <c r="H6745">
        <v>-0.05</v>
      </c>
      <c r="I6745">
        <v>-16.529949999999999</v>
      </c>
      <c r="J6745">
        <v>-421.79259999999999</v>
      </c>
      <c r="K6745">
        <v>1.121041</v>
      </c>
      <c r="L6745">
        <v>80.345429999999993</v>
      </c>
      <c r="M6745">
        <v>3.56412E-3</v>
      </c>
      <c r="N6745">
        <v>-1.2631180000000001E-2</v>
      </c>
      <c r="O6745">
        <v>-0.99991399999999997</v>
      </c>
      <c r="P6745">
        <v>6.8280809999999997E-3</v>
      </c>
      <c r="Q6745">
        <v>-3.7967399999999998E-2</v>
      </c>
      <c r="R6745">
        <v>-0.99925580000000003</v>
      </c>
      <c r="S6745">
        <v>-0.44619750000000002</v>
      </c>
      <c r="T6745">
        <v>-3.6233429999999997E-2</v>
      </c>
      <c r="U6745">
        <v>-3.0041500000000001</v>
      </c>
      <c r="V6745">
        <v>-3.273209E-3</v>
      </c>
      <c r="W6745">
        <v>-2.5341510000000001E-2</v>
      </c>
      <c r="X6745">
        <v>0.99967349999999999</v>
      </c>
      <c r="Y6745">
        <v>0.15041689999999999</v>
      </c>
      <c r="Z6745">
        <v>-7.0842330000000001E-4</v>
      </c>
      <c r="AA6745">
        <v>0.98862240000000001</v>
      </c>
      <c r="AB6745">
        <v>22</v>
      </c>
      <c r="AC6745">
        <v>-14.4218999999999</v>
      </c>
      <c r="AD6745">
        <v>-1.171041</v>
      </c>
      <c r="AE6745">
        <v>-96.875380000000007</v>
      </c>
      <c r="AF6745">
        <v>14.7650006454751</v>
      </c>
      <c r="AG6745">
        <v>-1.171041</v>
      </c>
      <c r="AH6745">
        <v>96.8095197780153</v>
      </c>
      <c r="AI6745">
        <v>90.685113821829901</v>
      </c>
      <c r="AJ6745">
        <v>81.328302693499495</v>
      </c>
      <c r="AK6745">
        <v>97.935997982021405</v>
      </c>
      <c r="AL6745">
        <v>91.452117011626996</v>
      </c>
      <c r="AM6745">
        <v>90.187601642902095</v>
      </c>
      <c r="AN6745">
        <v>1.00000000631424</v>
      </c>
    </row>
    <row r="6746" spans="1:40" x14ac:dyDescent="0.25">
      <c r="A6746" t="str">
        <f>"20190303153943044"</f>
        <v>20190303153943044</v>
      </c>
      <c r="B6746" t="str">
        <f>"1551598783034940"</f>
        <v>1551598783034940</v>
      </c>
      <c r="C6746" t="s">
        <v>40</v>
      </c>
      <c r="D6746">
        <v>4.1140439999999998</v>
      </c>
      <c r="E6746">
        <v>0.55998870000000001</v>
      </c>
      <c r="F6746" t="s">
        <v>71</v>
      </c>
      <c r="G6746">
        <v>-434.81819999999999</v>
      </c>
      <c r="H6746">
        <v>0.15351129999999999</v>
      </c>
      <c r="I6746">
        <v>-6.021604</v>
      </c>
      <c r="J6746">
        <v>-421.7919</v>
      </c>
      <c r="K6746">
        <v>1.12101299999999</v>
      </c>
      <c r="L6746">
        <v>80.120909999999995</v>
      </c>
      <c r="M6746">
        <v>3.4168340000000001E-3</v>
      </c>
      <c r="N6746">
        <v>-1.247357E-2</v>
      </c>
      <c r="O6746">
        <v>-0.99991640000000004</v>
      </c>
      <c r="P6746">
        <v>6.1191639999999999E-3</v>
      </c>
      <c r="Q6746">
        <v>-3.7685539999999997E-2</v>
      </c>
      <c r="R6746">
        <v>-0.99927089999999996</v>
      </c>
      <c r="S6746">
        <v>-0.45306400000000002</v>
      </c>
      <c r="T6746">
        <v>-3.3653969999999998E-2</v>
      </c>
      <c r="U6746">
        <v>-3.0040589999999998</v>
      </c>
      <c r="V6746">
        <v>-2.7126390000000002E-3</v>
      </c>
      <c r="W6746">
        <v>-2.5217119999999999E-2</v>
      </c>
      <c r="X6746">
        <v>0.99967830000000002</v>
      </c>
      <c r="Y6746">
        <v>0.15248639999999999</v>
      </c>
      <c r="Z6746">
        <v>-1.4029299999999999E-3</v>
      </c>
      <c r="AA6746">
        <v>0.98830459999999998</v>
      </c>
      <c r="AB6746">
        <v>22</v>
      </c>
      <c r="AC6746">
        <v>-13.0262999999999</v>
      </c>
      <c r="AD6746">
        <v>-0.96750169999999902</v>
      </c>
      <c r="AE6746">
        <v>-86.142513999999906</v>
      </c>
      <c r="AF6746">
        <v>13.318938957949101</v>
      </c>
      <c r="AG6746">
        <v>-0.96750169999999902</v>
      </c>
      <c r="AH6746">
        <v>86.086882288452102</v>
      </c>
      <c r="AI6746">
        <v>90.636330831794993</v>
      </c>
      <c r="AJ6746">
        <v>81.2052093644363</v>
      </c>
      <c r="AK6746">
        <v>87.116482347778998</v>
      </c>
      <c r="AL6746">
        <v>91.444987745710307</v>
      </c>
      <c r="AM6746">
        <v>90.155472400048396</v>
      </c>
      <c r="AN6746">
        <v>0.99999998252116395</v>
      </c>
    </row>
    <row r="6747" spans="1:40" x14ac:dyDescent="0.25">
      <c r="A6747" t="str">
        <f>"20190303153943060"</f>
        <v>20190303153943060</v>
      </c>
      <c r="B6747" t="str">
        <f>"1551598783055435"</f>
        <v>1551598783055435</v>
      </c>
      <c r="C6747" t="s">
        <v>40</v>
      </c>
      <c r="D6747">
        <v>4.1318229999999998</v>
      </c>
      <c r="E6747">
        <v>0.56040230000000002</v>
      </c>
      <c r="F6747" t="s">
        <v>71</v>
      </c>
      <c r="G6747">
        <v>-434.96910000000003</v>
      </c>
      <c r="H6747">
        <v>0.1878378</v>
      </c>
      <c r="I6747">
        <v>-6.1451260000000003</v>
      </c>
      <c r="J6747">
        <v>-421.79149999999998</v>
      </c>
      <c r="K6747">
        <v>1.1209910000000001</v>
      </c>
      <c r="L6747">
        <v>79.964320000000001</v>
      </c>
      <c r="M6747">
        <v>3.2999959999999999E-3</v>
      </c>
      <c r="N6747">
        <v>-1.237071E-2</v>
      </c>
      <c r="O6747">
        <v>-0.99991830000000004</v>
      </c>
      <c r="P6747">
        <v>5.7521810000000003E-3</v>
      </c>
      <c r="Q6747">
        <v>-3.732253E-2</v>
      </c>
      <c r="R6747">
        <v>-0.99928700000000004</v>
      </c>
      <c r="S6747">
        <v>-0.45883180000000001</v>
      </c>
      <c r="T6747">
        <v>-3.249407E-2</v>
      </c>
      <c r="U6747">
        <v>-3.003784</v>
      </c>
      <c r="V6747">
        <v>-2.462873E-3</v>
      </c>
      <c r="W6747">
        <v>-2.495679E-2</v>
      </c>
      <c r="X6747">
        <v>0.9996855</v>
      </c>
      <c r="Y6747">
        <v>0.154239299999999</v>
      </c>
      <c r="Z6747">
        <v>-1.6836290000000001E-3</v>
      </c>
      <c r="AA6747">
        <v>0.98803209999999997</v>
      </c>
      <c r="AB6747">
        <v>22</v>
      </c>
      <c r="AC6747">
        <v>-13.1776</v>
      </c>
      <c r="AD6747">
        <v>-0.93315319999999902</v>
      </c>
      <c r="AE6747">
        <v>-86.109445999999906</v>
      </c>
      <c r="AF6747">
        <v>13.460166187349699</v>
      </c>
      <c r="AG6747">
        <v>-0.93315319999999902</v>
      </c>
      <c r="AH6747">
        <v>86.055612880994403</v>
      </c>
      <c r="AI6747">
        <v>90.613806150449093</v>
      </c>
      <c r="AJ6747">
        <v>81.110257186892497</v>
      </c>
      <c r="AK6747">
        <v>87.106919110994397</v>
      </c>
      <c r="AL6747">
        <v>91.430067209930499</v>
      </c>
      <c r="AM6747">
        <v>90.141156336549201</v>
      </c>
      <c r="AN6747">
        <v>1.0000000030103799</v>
      </c>
    </row>
    <row r="6748" spans="1:40" x14ac:dyDescent="0.25">
      <c r="A6748" t="str">
        <f>"20190303153943078"</f>
        <v>20190303153943078</v>
      </c>
      <c r="B6748" t="str">
        <f>"1551598783074957"</f>
        <v>1551598783074957</v>
      </c>
      <c r="C6748" t="s">
        <v>40</v>
      </c>
      <c r="D6748">
        <v>4.2314530000000001</v>
      </c>
      <c r="E6748">
        <v>0.56050849999999997</v>
      </c>
      <c r="F6748" t="s">
        <v>71</v>
      </c>
      <c r="G6748">
        <v>-435.08390000000003</v>
      </c>
      <c r="H6748">
        <v>0.25729679999999999</v>
      </c>
      <c r="I6748">
        <v>-6.2390840000000001</v>
      </c>
      <c r="J6748">
        <v>-421.791</v>
      </c>
      <c r="K6748">
        <v>1.1209739999999999</v>
      </c>
      <c r="L6748">
        <v>79.784729999999996</v>
      </c>
      <c r="M6748">
        <v>3.1541429999999999E-3</v>
      </c>
      <c r="N6748">
        <v>-1.225939E-2</v>
      </c>
      <c r="O6748">
        <v>-0.99992020000000004</v>
      </c>
      <c r="P6748">
        <v>5.7358620000000004E-3</v>
      </c>
      <c r="Q6748">
        <v>-3.6483920000000003E-2</v>
      </c>
      <c r="R6748">
        <v>-0.99931829999999999</v>
      </c>
      <c r="S6748">
        <v>-0.4631653</v>
      </c>
      <c r="T6748">
        <v>-3.00957E-2</v>
      </c>
      <c r="U6748">
        <v>-3.0036930000000002</v>
      </c>
      <c r="V6748">
        <v>-2.5925789999999998E-3</v>
      </c>
      <c r="W6748">
        <v>-2.4229029999999999E-2</v>
      </c>
      <c r="X6748">
        <v>0.99970300000000001</v>
      </c>
      <c r="Y6748">
        <v>0.15549279999999999</v>
      </c>
      <c r="Z6748">
        <v>-2.3629240000000002E-3</v>
      </c>
      <c r="AA6748">
        <v>0.9878342</v>
      </c>
      <c r="AB6748">
        <v>22</v>
      </c>
      <c r="AC6748">
        <v>-13.292899999999999</v>
      </c>
      <c r="AD6748">
        <v>-0.86367719999999903</v>
      </c>
      <c r="AE6748">
        <v>-86.023814000000002</v>
      </c>
      <c r="AF6748">
        <v>13.5628503144767</v>
      </c>
      <c r="AG6748">
        <v>-0.86367719999999903</v>
      </c>
      <c r="AH6748">
        <v>85.972991110794794</v>
      </c>
      <c r="AI6748">
        <v>90.568538316988594</v>
      </c>
      <c r="AJ6748">
        <v>81.035067373318199</v>
      </c>
      <c r="AK6748">
        <v>87.040519572757105</v>
      </c>
      <c r="AL6748">
        <v>91.388357121791699</v>
      </c>
      <c r="AM6748">
        <v>90.148587632273802</v>
      </c>
      <c r="AN6748">
        <v>0.99999992778480296</v>
      </c>
    </row>
    <row r="6749" spans="1:40" x14ac:dyDescent="0.25">
      <c r="A6749" t="str">
        <f>"20190303153943101"</f>
        <v>20190303153943101</v>
      </c>
      <c r="B6749" t="str">
        <f>"1551598783095452"</f>
        <v>1551598783095452</v>
      </c>
      <c r="C6749" t="s">
        <v>40</v>
      </c>
      <c r="D6749">
        <v>4.2211410000000003</v>
      </c>
      <c r="E6749">
        <v>0.56033559999999905</v>
      </c>
      <c r="F6749" t="s">
        <v>71</v>
      </c>
      <c r="G6749">
        <v>-435.09140000000002</v>
      </c>
      <c r="H6749">
        <v>0.37372040000000001</v>
      </c>
      <c r="I6749">
        <v>-6.2451840000000001</v>
      </c>
      <c r="J6749">
        <v>-421.79059999999998</v>
      </c>
      <c r="K6749">
        <v>1.1209549999999999</v>
      </c>
      <c r="L6749">
        <v>79.550869999999904</v>
      </c>
      <c r="M6749">
        <v>2.9454699999999999E-3</v>
      </c>
      <c r="N6749">
        <v>-1.2126899999999999E-2</v>
      </c>
      <c r="O6749">
        <v>-0.99992210000000004</v>
      </c>
      <c r="P6749">
        <v>5.0815259999999899E-3</v>
      </c>
      <c r="Q6749">
        <v>-3.5883690000000003E-2</v>
      </c>
      <c r="R6749">
        <v>-0.99934319999999999</v>
      </c>
      <c r="S6749">
        <v>-0.46438600000000002</v>
      </c>
      <c r="T6749">
        <v>-2.609146E-2</v>
      </c>
      <c r="U6749">
        <v>-3.0037539999999998</v>
      </c>
      <c r="V6749">
        <v>-2.1473680000000002E-3</v>
      </c>
      <c r="W6749">
        <v>-2.376112E-2</v>
      </c>
      <c r="X6749">
        <v>0.99971540000000003</v>
      </c>
      <c r="Y6749">
        <v>0.155676799999999</v>
      </c>
      <c r="Z6749">
        <v>-3.5478520000000002E-3</v>
      </c>
      <c r="AA6749">
        <v>0.9878017</v>
      </c>
      <c r="AB6749">
        <v>23</v>
      </c>
      <c r="AC6749">
        <v>-13.300800000000001</v>
      </c>
      <c r="AD6749">
        <v>-0.74723459999999897</v>
      </c>
      <c r="AE6749">
        <v>-85.796053999999899</v>
      </c>
      <c r="AF6749">
        <v>13.5524667044825</v>
      </c>
      <c r="AG6749">
        <v>-0.74723459999999897</v>
      </c>
      <c r="AH6749">
        <v>85.750149934605005</v>
      </c>
      <c r="AI6749">
        <v>90.493147241667998</v>
      </c>
      <c r="AJ6749">
        <v>81.0189186269413</v>
      </c>
      <c r="AK6749">
        <v>86.817716666189696</v>
      </c>
      <c r="AL6749">
        <v>91.361539975317896</v>
      </c>
      <c r="AM6749">
        <v>90.123069959952105</v>
      </c>
      <c r="AN6749">
        <v>1.00000004150507</v>
      </c>
    </row>
    <row r="6750" spans="1:40" x14ac:dyDescent="0.25">
      <c r="A6750" t="str">
        <f>"20190303153943122"</f>
        <v>20190303153943122</v>
      </c>
      <c r="B6750" t="str">
        <f>"1551598783114972"</f>
        <v>1551598783114972</v>
      </c>
      <c r="C6750" t="s">
        <v>40</v>
      </c>
      <c r="D6750">
        <v>4.2592670000000004</v>
      </c>
      <c r="E6750">
        <v>0.56021309999999902</v>
      </c>
      <c r="F6750" t="s">
        <v>71</v>
      </c>
      <c r="G6750">
        <v>-435.06950000000001</v>
      </c>
      <c r="H6750">
        <v>0.49069239999999997</v>
      </c>
      <c r="I6750">
        <v>-6.2272249999999998</v>
      </c>
      <c r="J6750">
        <v>-421.79020000000003</v>
      </c>
      <c r="K6750">
        <v>1.120943</v>
      </c>
      <c r="L6750">
        <v>79.332179999999994</v>
      </c>
      <c r="M6750">
        <v>2.7344660000000001E-3</v>
      </c>
      <c r="N6750">
        <v>-1.2013609999999999E-2</v>
      </c>
      <c r="O6750">
        <v>-0.99992429999999999</v>
      </c>
      <c r="P6750">
        <v>4.6677489999999997E-3</v>
      </c>
      <c r="Q6750">
        <v>-3.5877149999999997E-2</v>
      </c>
      <c r="R6750">
        <v>-0.9993457</v>
      </c>
      <c r="S6750">
        <v>-0.46496579999999899</v>
      </c>
      <c r="T6750">
        <v>-2.2069689999999999E-2</v>
      </c>
      <c r="U6750">
        <v>-3.0035400000000001</v>
      </c>
      <c r="V6750">
        <v>-1.945242E-3</v>
      </c>
      <c r="W6750">
        <v>-2.3867889999999999E-2</v>
      </c>
      <c r="X6750">
        <v>0.99971319999999997</v>
      </c>
      <c r="Y6750">
        <v>0.1556659</v>
      </c>
      <c r="Z6750">
        <v>-4.7567010000000003E-3</v>
      </c>
      <c r="AA6750">
        <v>0.98779830000000002</v>
      </c>
      <c r="AB6750">
        <v>23</v>
      </c>
      <c r="AC6750">
        <v>-13.2792999999999</v>
      </c>
      <c r="AD6750">
        <v>-0.63025059999999999</v>
      </c>
      <c r="AE6750">
        <v>-85.559404999999998</v>
      </c>
      <c r="AF6750">
        <v>13.512510506048301</v>
      </c>
      <c r="AG6750">
        <v>-0.63025059999999999</v>
      </c>
      <c r="AH6750">
        <v>85.518239480039597</v>
      </c>
      <c r="AI6750">
        <v>90.417075500292498</v>
      </c>
      <c r="AJ6750">
        <v>81.021078111166602</v>
      </c>
      <c r="AK6750">
        <v>86.581490168281803</v>
      </c>
      <c r="AL6750">
        <v>91.367659277061904</v>
      </c>
      <c r="AM6750">
        <v>90.111485990253598</v>
      </c>
      <c r="AN6750">
        <v>0.99999997119686401</v>
      </c>
    </row>
    <row r="6751" spans="1:40" x14ac:dyDescent="0.25">
      <c r="A6751" t="str">
        <f>"20190303153943144"</f>
        <v>20190303153943144</v>
      </c>
      <c r="B6751" t="str">
        <f>"1551598783135468"</f>
        <v>1551598783135468</v>
      </c>
      <c r="C6751" t="s">
        <v>40</v>
      </c>
      <c r="D6751">
        <v>4.2549440000000001</v>
      </c>
      <c r="E6751">
        <v>0.55997659999999905</v>
      </c>
      <c r="F6751" t="s">
        <v>71</v>
      </c>
      <c r="G6751">
        <v>-435.03399999999999</v>
      </c>
      <c r="H6751">
        <v>0.52620429999999996</v>
      </c>
      <c r="I6751">
        <v>-6.1981890000000002</v>
      </c>
      <c r="J6751">
        <v>-421.78989999999999</v>
      </c>
      <c r="K6751">
        <v>1.1209389999999999</v>
      </c>
      <c r="L6751">
        <v>79.110439999999997</v>
      </c>
      <c r="M6751">
        <v>2.510034E-3</v>
      </c>
      <c r="N6751">
        <v>-1.1902680000000001E-2</v>
      </c>
      <c r="O6751">
        <v>-0.99992619999999999</v>
      </c>
      <c r="P6751">
        <v>4.0028609999999999E-3</v>
      </c>
      <c r="Q6751">
        <v>-3.620313E-2</v>
      </c>
      <c r="R6751">
        <v>-0.99933669999999997</v>
      </c>
      <c r="S6751">
        <v>-0.46505740000000001</v>
      </c>
      <c r="T6751">
        <v>-2.0885109999999998E-2</v>
      </c>
      <c r="U6751">
        <v>-3.003387</v>
      </c>
      <c r="V6751">
        <v>-1.504755E-3</v>
      </c>
      <c r="W6751">
        <v>-2.430508E-2</v>
      </c>
      <c r="X6751">
        <v>0.99970349999999997</v>
      </c>
      <c r="Y6751">
        <v>0.1554816</v>
      </c>
      <c r="Z6751">
        <v>-5.034752E-3</v>
      </c>
      <c r="AA6751">
        <v>0.98782590000000003</v>
      </c>
      <c r="AB6751">
        <v>23</v>
      </c>
      <c r="AC6751">
        <v>-13.2441</v>
      </c>
      <c r="AD6751">
        <v>-0.59473469999999895</v>
      </c>
      <c r="AE6751">
        <v>-85.308628999999996</v>
      </c>
      <c r="AF6751">
        <v>13.457562281187499</v>
      </c>
      <c r="AG6751">
        <v>-0.59473469999999895</v>
      </c>
      <c r="AH6751">
        <v>85.271067870336694</v>
      </c>
      <c r="AI6751">
        <v>90.394725343638996</v>
      </c>
      <c r="AJ6751">
        <v>81.031497391235206</v>
      </c>
      <c r="AK6751">
        <v>86.328527774212603</v>
      </c>
      <c r="AL6751">
        <v>91.392715587042403</v>
      </c>
      <c r="AM6751">
        <v>90.086241616229202</v>
      </c>
      <c r="AN6751">
        <v>1.00000004455683</v>
      </c>
    </row>
    <row r="6752" spans="1:40" x14ac:dyDescent="0.25">
      <c r="A6752" t="str">
        <f>"20190303153943158"</f>
        <v>20190303153943158</v>
      </c>
      <c r="B6752" t="str">
        <f>"1551598783154988"</f>
        <v>1551598783154988</v>
      </c>
      <c r="C6752" t="s">
        <v>40</v>
      </c>
      <c r="D6752">
        <v>4.2505309999999996</v>
      </c>
      <c r="E6752">
        <v>0.55981709999999996</v>
      </c>
      <c r="F6752" t="s">
        <v>71</v>
      </c>
      <c r="G6752">
        <v>-435.0018</v>
      </c>
      <c r="H6752">
        <v>0.52814269999999996</v>
      </c>
      <c r="I6752">
        <v>-6.1718250000000001</v>
      </c>
      <c r="J6752">
        <v>-421.78960000000001</v>
      </c>
      <c r="K6752">
        <v>1.120935</v>
      </c>
      <c r="L6752">
        <v>78.970460000000003</v>
      </c>
      <c r="M6752">
        <v>2.3660640000000002E-3</v>
      </c>
      <c r="N6752">
        <v>-1.183274E-2</v>
      </c>
      <c r="O6752">
        <v>-0.99992740000000002</v>
      </c>
      <c r="P6752">
        <v>3.565421E-3</v>
      </c>
      <c r="Q6752">
        <v>-3.5999820000000002E-2</v>
      </c>
      <c r="R6752">
        <v>-0.99934579999999995</v>
      </c>
      <c r="S6752">
        <v>-0.4652405</v>
      </c>
      <c r="T6752">
        <v>-2.0875330000000001E-2</v>
      </c>
      <c r="U6752">
        <v>-3.003082</v>
      </c>
      <c r="V6752">
        <v>-1.2111139999999999E-3</v>
      </c>
      <c r="W6752">
        <v>-2.4171720000000001E-2</v>
      </c>
      <c r="X6752">
        <v>0.99970709999999996</v>
      </c>
      <c r="Y6752">
        <v>0.15541360000000001</v>
      </c>
      <c r="Z6752">
        <v>-4.9671799999999999E-3</v>
      </c>
      <c r="AA6752">
        <v>0.98783699999999997</v>
      </c>
      <c r="AB6752">
        <v>23</v>
      </c>
      <c r="AC6752">
        <v>-13.2121999999999</v>
      </c>
      <c r="AD6752">
        <v>-0.59279230000000005</v>
      </c>
      <c r="AE6752">
        <v>-85.142285000000001</v>
      </c>
      <c r="AF6752">
        <v>13.412994268617</v>
      </c>
      <c r="AG6752">
        <v>-0.59279230000000005</v>
      </c>
      <c r="AH6752">
        <v>85.106755037934406</v>
      </c>
      <c r="AI6752">
        <v>90.394209066840006</v>
      </c>
      <c r="AJ6752">
        <v>81.043739080428793</v>
      </c>
      <c r="AK6752">
        <v>86.159268631110507</v>
      </c>
      <c r="AL6752">
        <v>91.385072421360704</v>
      </c>
      <c r="AM6752">
        <v>90.069412017541396</v>
      </c>
      <c r="AN6752">
        <v>1.00000001231764</v>
      </c>
    </row>
    <row r="6753" spans="1:40" x14ac:dyDescent="0.25">
      <c r="A6753" t="str">
        <f>"20190303153943172"</f>
        <v>20190303153943172</v>
      </c>
      <c r="B6753" t="str">
        <f>"1551598783165724"</f>
        <v>1551598783165724</v>
      </c>
      <c r="C6753" t="s">
        <v>40</v>
      </c>
      <c r="D6753">
        <v>4.2630410000000003</v>
      </c>
      <c r="E6753">
        <v>0.55978430000000001</v>
      </c>
      <c r="F6753" t="s">
        <v>71</v>
      </c>
      <c r="G6753">
        <v>-434.98259999999999</v>
      </c>
      <c r="H6753">
        <v>0.55513789999999996</v>
      </c>
      <c r="I6753">
        <v>-6.1560959999999998</v>
      </c>
      <c r="J6753">
        <v>-421.78949999999998</v>
      </c>
      <c r="K6753">
        <v>1.12093</v>
      </c>
      <c r="L6753">
        <v>78.834689999999995</v>
      </c>
      <c r="M6753">
        <v>2.2262950000000001E-3</v>
      </c>
      <c r="N6753">
        <v>-1.176545E-2</v>
      </c>
      <c r="O6753">
        <v>-0.99992859999999995</v>
      </c>
      <c r="P6753">
        <v>3.1981179999999998E-3</v>
      </c>
      <c r="Q6753">
        <v>-3.5781930000000003E-2</v>
      </c>
      <c r="R6753">
        <v>-0.99935510000000005</v>
      </c>
      <c r="S6753">
        <v>-0.4653931</v>
      </c>
      <c r="T6753">
        <v>-1.9959810000000001E-2</v>
      </c>
      <c r="U6753">
        <v>-3.0028990000000002</v>
      </c>
      <c r="V6753">
        <v>-9.8277980000000009E-4</v>
      </c>
      <c r="W6753">
        <v>-2.4021130000000002E-2</v>
      </c>
      <c r="X6753">
        <v>0.99971100000000002</v>
      </c>
      <c r="Y6753">
        <v>0.155334</v>
      </c>
      <c r="Z6753">
        <v>-5.2005269999999999E-3</v>
      </c>
      <c r="AA6753">
        <v>0.98784830000000001</v>
      </c>
      <c r="AB6753">
        <v>23</v>
      </c>
      <c r="AC6753">
        <v>-13.193099999999999</v>
      </c>
      <c r="AD6753">
        <v>-0.56579209999999902</v>
      </c>
      <c r="AE6753">
        <v>-84.990786</v>
      </c>
      <c r="AF6753">
        <v>13.3817158208207</v>
      </c>
      <c r="AG6753">
        <v>-0.56579209999999902</v>
      </c>
      <c r="AH6753">
        <v>84.957525119051496</v>
      </c>
      <c r="AI6753">
        <v>90.376920535844107</v>
      </c>
      <c r="AJ6753">
        <v>81.048845377466094</v>
      </c>
      <c r="AK6753">
        <v>86.006810854512494</v>
      </c>
      <c r="AL6753">
        <v>91.376441716869294</v>
      </c>
      <c r="AM6753">
        <v>90.056325394630406</v>
      </c>
      <c r="AN6753">
        <v>1.0000000320318001</v>
      </c>
    </row>
    <row r="6754" spans="1:40" x14ac:dyDescent="0.25">
      <c r="A6754" t="str">
        <f>"20190303153943189"</f>
        <v>20190303153943189</v>
      </c>
      <c r="B6754" t="str">
        <f>"1551598783185244"</f>
        <v>1551598783185244</v>
      </c>
      <c r="C6754" t="s">
        <v>40</v>
      </c>
      <c r="D6754">
        <v>4.2752400000000002</v>
      </c>
      <c r="E6754">
        <v>0.55972819999999901</v>
      </c>
      <c r="F6754" t="s">
        <v>71</v>
      </c>
      <c r="G6754">
        <v>-434.99059999999997</v>
      </c>
      <c r="H6754">
        <v>0.59382650000000003</v>
      </c>
      <c r="I6754">
        <v>-6.1626000000000003</v>
      </c>
      <c r="J6754">
        <v>-421.78930000000003</v>
      </c>
      <c r="K6754">
        <v>1.120924</v>
      </c>
      <c r="L6754">
        <v>78.66095</v>
      </c>
      <c r="M6754">
        <v>2.0487399999999998E-3</v>
      </c>
      <c r="N6754">
        <v>-1.1682659999999999E-2</v>
      </c>
      <c r="O6754">
        <v>-0.99992999999999999</v>
      </c>
      <c r="P6754">
        <v>2.9975560000000002E-3</v>
      </c>
      <c r="Q6754">
        <v>-3.5997759999999997E-2</v>
      </c>
      <c r="R6754">
        <v>-0.99934769999999995</v>
      </c>
      <c r="S6754">
        <v>-0.4663696</v>
      </c>
      <c r="T6754">
        <v>-1.8622400000000001E-2</v>
      </c>
      <c r="U6754">
        <v>-3.002777</v>
      </c>
      <c r="V6754">
        <v>-9.5989109999999997E-4</v>
      </c>
      <c r="W6754">
        <v>-2.4319830000000001E-2</v>
      </c>
      <c r="X6754">
        <v>0.99970380000000003</v>
      </c>
      <c r="Y6754">
        <v>0.15547859999999999</v>
      </c>
      <c r="Z6754">
        <v>-5.5575499999999996E-3</v>
      </c>
      <c r="AA6754">
        <v>0.98782360000000002</v>
      </c>
      <c r="AB6754">
        <v>23</v>
      </c>
      <c r="AC6754">
        <v>-13.2012999999999</v>
      </c>
      <c r="AD6754">
        <v>-0.5270975</v>
      </c>
      <c r="AE6754">
        <v>-84.823549999999997</v>
      </c>
      <c r="AF6754">
        <v>13.374561254677401</v>
      </c>
      <c r="AG6754">
        <v>-0.5270975</v>
      </c>
      <c r="AH6754">
        <v>84.793127288775906</v>
      </c>
      <c r="AI6754">
        <v>90.351812382925303</v>
      </c>
      <c r="AJ6754">
        <v>81.036489601751796</v>
      </c>
      <c r="AK6754">
        <v>85.843061198562694</v>
      </c>
      <c r="AL6754">
        <v>91.393560967654693</v>
      </c>
      <c r="AM6754">
        <v>90.055013987063603</v>
      </c>
      <c r="AN6754">
        <v>1.00000003162829</v>
      </c>
    </row>
    <row r="6755" spans="1:40" x14ac:dyDescent="0.25">
      <c r="A6755" t="str">
        <f>"20190303153943212"</f>
        <v>20190303153943212</v>
      </c>
      <c r="B6755" t="str">
        <f>"1551598783205741"</f>
        <v>1551598783205741</v>
      </c>
      <c r="C6755" t="s">
        <v>40</v>
      </c>
      <c r="D6755">
        <v>4.264068</v>
      </c>
      <c r="E6755">
        <v>0.55968019999999996</v>
      </c>
      <c r="F6755" t="s">
        <v>71</v>
      </c>
      <c r="G6755">
        <v>-434.96289999999999</v>
      </c>
      <c r="H6755">
        <v>0.59753389999999995</v>
      </c>
      <c r="I6755">
        <v>-6.1399650000000001</v>
      </c>
      <c r="J6755">
        <v>-421.78910000000002</v>
      </c>
      <c r="K6755">
        <v>1.120919</v>
      </c>
      <c r="L6755">
        <v>78.430759999999907</v>
      </c>
      <c r="M6755">
        <v>1.816879E-3</v>
      </c>
      <c r="N6755">
        <v>-1.157912E-2</v>
      </c>
      <c r="O6755">
        <v>-0.99993160000000003</v>
      </c>
      <c r="P6755">
        <v>2.7997669999999999E-3</v>
      </c>
      <c r="Q6755">
        <v>-3.5863649999999997E-2</v>
      </c>
      <c r="R6755">
        <v>-0.99935320000000005</v>
      </c>
      <c r="S6755">
        <v>-0.46646120000000002</v>
      </c>
      <c r="T6755">
        <v>-1.853347E-2</v>
      </c>
      <c r="U6755">
        <v>-3.0026860000000002</v>
      </c>
      <c r="V6755">
        <v>-9.9373730000000006E-4</v>
      </c>
      <c r="W6755">
        <v>-2.4289189999999999E-2</v>
      </c>
      <c r="X6755">
        <v>0.9997045</v>
      </c>
      <c r="Y6755">
        <v>0.1552839</v>
      </c>
      <c r="Z6755">
        <v>-5.4827699999999997E-3</v>
      </c>
      <c r="AA6755">
        <v>0.98785469999999997</v>
      </c>
      <c r="AB6755">
        <v>23</v>
      </c>
      <c r="AC6755">
        <v>-13.1737999999999</v>
      </c>
      <c r="AD6755">
        <v>-0.52338509999999905</v>
      </c>
      <c r="AE6755">
        <v>-84.570724999999996</v>
      </c>
      <c r="AF6755">
        <v>13.326944950348199</v>
      </c>
      <c r="AG6755">
        <v>-0.52338509999999905</v>
      </c>
      <c r="AH6755">
        <v>84.543487262816896</v>
      </c>
      <c r="AI6755">
        <v>90.3503713385943</v>
      </c>
      <c r="AJ6755">
        <v>81.041938545100393</v>
      </c>
      <c r="AK6755">
        <v>85.589033364272694</v>
      </c>
      <c r="AL6755">
        <v>91.391804922764905</v>
      </c>
      <c r="AM6755">
        <v>90.056953764319005</v>
      </c>
      <c r="AN6755">
        <v>1.0000000197924599</v>
      </c>
    </row>
    <row r="6756" spans="1:40" x14ac:dyDescent="0.25">
      <c r="A6756" t="str">
        <f>"20190303153943234"</f>
        <v>20190303153943234</v>
      </c>
      <c r="B6756" t="str">
        <f>"1551598783225264"</f>
        <v>1551598783225264</v>
      </c>
      <c r="C6756" t="s">
        <v>40</v>
      </c>
      <c r="D6756">
        <v>4.3199750000000003</v>
      </c>
      <c r="E6756">
        <v>0.55955200000000005</v>
      </c>
      <c r="F6756" t="s">
        <v>71</v>
      </c>
      <c r="G6756">
        <v>-434.92399999999998</v>
      </c>
      <c r="H6756">
        <v>0.62828280000000003</v>
      </c>
      <c r="I6756">
        <v>-6.1080569999999996</v>
      </c>
      <c r="J6756">
        <v>-421.78890000000001</v>
      </c>
      <c r="K6756">
        <v>1.1209150000000001</v>
      </c>
      <c r="L6756">
        <v>78.206850000000003</v>
      </c>
      <c r="M6756">
        <v>1.596711E-3</v>
      </c>
      <c r="N6756">
        <v>-1.148534E-2</v>
      </c>
      <c r="O6756">
        <v>-0.99993310000000002</v>
      </c>
      <c r="P6756">
        <v>2.754729E-3</v>
      </c>
      <c r="Q6756">
        <v>-3.5990050000000003E-2</v>
      </c>
      <c r="R6756">
        <v>-0.99934889999999998</v>
      </c>
      <c r="S6756">
        <v>-0.4665222</v>
      </c>
      <c r="T6756">
        <v>-1.749825E-2</v>
      </c>
      <c r="U6756">
        <v>-3.0026250000000001</v>
      </c>
      <c r="V6756">
        <v>-1.1682019999999999E-3</v>
      </c>
      <c r="W6756">
        <v>-2.4509329999999999E-2</v>
      </c>
      <c r="X6756">
        <v>0.99969889999999995</v>
      </c>
      <c r="Y6756">
        <v>0.15508930000000001</v>
      </c>
      <c r="Z6756">
        <v>-5.7291919999999897E-3</v>
      </c>
      <c r="AA6756">
        <v>0.98788390000000004</v>
      </c>
      <c r="AB6756">
        <v>23</v>
      </c>
      <c r="AC6756">
        <v>-13.1351</v>
      </c>
      <c r="AD6756">
        <v>-0.49263219999999902</v>
      </c>
      <c r="AE6756">
        <v>-84.314906999999906</v>
      </c>
      <c r="AF6756">
        <v>13.2692763767334</v>
      </c>
      <c r="AG6756">
        <v>-0.49263219999999902</v>
      </c>
      <c r="AH6756">
        <v>84.291015833017397</v>
      </c>
      <c r="AI6756">
        <v>90.330783337154998</v>
      </c>
      <c r="AJ6756">
        <v>81.053791622059705</v>
      </c>
      <c r="AK6756">
        <v>85.3304853625514</v>
      </c>
      <c r="AL6756">
        <v>91.404421825618002</v>
      </c>
      <c r="AM6756">
        <v>90.066953173353099</v>
      </c>
      <c r="AN6756">
        <v>0.99999998130708501</v>
      </c>
    </row>
    <row r="6757" spans="1:40" x14ac:dyDescent="0.25">
      <c r="A6757" t="str">
        <f>"20190303153943247"</f>
        <v>20190303153943247</v>
      </c>
      <c r="B6757" t="str">
        <f>"1551598783235020"</f>
        <v>1551598783235020</v>
      </c>
      <c r="C6757" t="s">
        <v>40</v>
      </c>
      <c r="D6757">
        <v>4.2064820000000003</v>
      </c>
      <c r="E6757">
        <v>0.5255917</v>
      </c>
      <c r="F6757" t="s">
        <v>71</v>
      </c>
      <c r="G6757">
        <v>-434.85599999999999</v>
      </c>
      <c r="H6757">
        <v>0.58325169999999904</v>
      </c>
      <c r="I6757">
        <v>-6.0524129999999996</v>
      </c>
      <c r="J6757">
        <v>-421.78879999999998</v>
      </c>
      <c r="K6757">
        <v>1.12090499999999</v>
      </c>
      <c r="L6757">
        <v>78.06729</v>
      </c>
      <c r="M6757">
        <v>1.4614999999999999E-3</v>
      </c>
      <c r="N6757">
        <v>-1.143067E-2</v>
      </c>
      <c r="O6757">
        <v>-0.99993350000000003</v>
      </c>
      <c r="P6757">
        <v>2.7096139999999999E-3</v>
      </c>
      <c r="Q6757">
        <v>-3.6228419999999997E-2</v>
      </c>
      <c r="R6757">
        <v>-0.9993398</v>
      </c>
      <c r="S6757">
        <v>-0.46563719999999997</v>
      </c>
      <c r="T6757">
        <v>-1.916027E-2</v>
      </c>
      <c r="U6757">
        <v>-3.0025330000000001</v>
      </c>
      <c r="V6757">
        <v>-1.2587640000000001E-3</v>
      </c>
      <c r="W6757">
        <v>-2.480241E-2</v>
      </c>
      <c r="X6757">
        <v>0.99969160000000001</v>
      </c>
      <c r="Y6757">
        <v>0.15467609999999901</v>
      </c>
      <c r="Z6757">
        <v>-5.126996E-3</v>
      </c>
      <c r="AA6757">
        <v>0.98795189999999999</v>
      </c>
      <c r="AB6757">
        <v>23</v>
      </c>
      <c r="AC6757">
        <v>-13.0672</v>
      </c>
      <c r="AD6757">
        <v>-0.537653299999999</v>
      </c>
      <c r="AE6757">
        <v>-84.119703000000001</v>
      </c>
      <c r="AF6757">
        <v>13.1896089121483</v>
      </c>
      <c r="AG6757">
        <v>-0.537653299999999</v>
      </c>
      <c r="AH6757">
        <v>84.097159630044899</v>
      </c>
      <c r="AI6757">
        <v>90.361877079687005</v>
      </c>
      <c r="AJ6757">
        <v>81.086471026020902</v>
      </c>
      <c r="AK6757">
        <v>85.126888303095399</v>
      </c>
      <c r="AL6757">
        <v>91.421219125093501</v>
      </c>
      <c r="AM6757">
        <v>90.072144075720402</v>
      </c>
      <c r="AN6757">
        <v>1.00000001956958</v>
      </c>
    </row>
    <row r="6758" spans="1:40" x14ac:dyDescent="0.25">
      <c r="A6758" t="str">
        <f>"20190303153943262"</f>
        <v>20190303153943262</v>
      </c>
      <c r="B6758" t="str">
        <f>"1551598783255518"</f>
        <v>1551598783255518</v>
      </c>
      <c r="C6758" t="s">
        <v>40</v>
      </c>
      <c r="D6758">
        <v>4.241384</v>
      </c>
      <c r="E6758">
        <v>0.51425929999999997</v>
      </c>
      <c r="F6758" t="s">
        <v>71</v>
      </c>
      <c r="G6758">
        <v>-426.74250000000001</v>
      </c>
      <c r="H6758">
        <v>2.6631550000000002</v>
      </c>
      <c r="I6758">
        <v>1.3440460000000001</v>
      </c>
      <c r="J6758">
        <v>-421.78879999999998</v>
      </c>
      <c r="K6758">
        <v>1.1209</v>
      </c>
      <c r="L6758">
        <v>77.925600000000003</v>
      </c>
      <c r="M6758">
        <v>1.3260209999999999E-3</v>
      </c>
      <c r="N6758">
        <v>-1.1377180000000001E-2</v>
      </c>
      <c r="O6758">
        <v>-0.99993449999999995</v>
      </c>
      <c r="P6758">
        <v>2.9220560000000001E-3</v>
      </c>
      <c r="Q6758">
        <v>-3.6516609999999998E-2</v>
      </c>
      <c r="R6758">
        <v>-0.99932909999999997</v>
      </c>
      <c r="S6758">
        <v>-0.19400020000000001</v>
      </c>
      <c r="T6758">
        <v>6.0397859999999998E-2</v>
      </c>
      <c r="U6758">
        <v>-3.0047000000000001</v>
      </c>
      <c r="V6758">
        <v>-1.6062579999999999E-3</v>
      </c>
      <c r="W6758">
        <v>-2.5144050000000001E-2</v>
      </c>
      <c r="X6758">
        <v>0.99968250000000003</v>
      </c>
      <c r="Y6758">
        <v>6.5726160000000006E-2</v>
      </c>
      <c r="Z6758">
        <v>-3.1428520000000001E-2</v>
      </c>
      <c r="AA6758">
        <v>0.99734259999999997</v>
      </c>
      <c r="AB6758">
        <v>23</v>
      </c>
      <c r="AC6758">
        <v>-4.95370000000002</v>
      </c>
      <c r="AD6758">
        <v>1.5422549999999899</v>
      </c>
      <c r="AE6758">
        <v>-76.581553999999997</v>
      </c>
      <c r="AF6758">
        <v>5.0532100732228198</v>
      </c>
      <c r="AG6758">
        <v>1.5422549999999899</v>
      </c>
      <c r="AH6758">
        <v>76.544003057817704</v>
      </c>
      <c r="AI6758">
        <v>88.848232504919196</v>
      </c>
      <c r="AJ6758">
        <v>86.222981766681599</v>
      </c>
      <c r="AK6758">
        <v>76.726122583148594</v>
      </c>
      <c r="AL6758">
        <v>91.440799859009701</v>
      </c>
      <c r="AM6758">
        <v>90.092060954362594</v>
      </c>
      <c r="AN6758">
        <v>0.99999995206070602</v>
      </c>
    </row>
    <row r="6759" spans="1:40" x14ac:dyDescent="0.25">
      <c r="A6759" t="str">
        <f>"20190303153943276"</f>
        <v>20190303153943276</v>
      </c>
      <c r="B6759" t="str">
        <f>"1551598783265277"</f>
        <v>1551598783265277</v>
      </c>
      <c r="C6759" t="s">
        <v>40</v>
      </c>
      <c r="D6759">
        <v>4.2441279999999999</v>
      </c>
      <c r="E6759">
        <v>0.51151990000000003</v>
      </c>
      <c r="F6759" t="s">
        <v>71</v>
      </c>
      <c r="G6759">
        <v>-424.44670000000002</v>
      </c>
      <c r="H6759">
        <v>2.2261350000000002</v>
      </c>
      <c r="I6759">
        <v>0.43217280000000002</v>
      </c>
      <c r="J6759">
        <v>-421.78879999999998</v>
      </c>
      <c r="K6759">
        <v>1.1208940000000001</v>
      </c>
      <c r="L6759">
        <v>77.784729999999996</v>
      </c>
      <c r="M6759">
        <v>1.192146E-3</v>
      </c>
      <c r="N6759">
        <v>-1.132521E-2</v>
      </c>
      <c r="O6759">
        <v>-0.99993540000000003</v>
      </c>
      <c r="P6759">
        <v>2.8439989999999998E-3</v>
      </c>
      <c r="Q6759">
        <v>-3.6782380000000003E-2</v>
      </c>
      <c r="R6759">
        <v>-0.99931970000000003</v>
      </c>
      <c r="S6759">
        <v>-0.1030273</v>
      </c>
      <c r="T6759">
        <v>4.2841079999999997E-2</v>
      </c>
      <c r="U6759">
        <v>-3.003876</v>
      </c>
      <c r="V6759">
        <v>-1.6624929999999999E-3</v>
      </c>
      <c r="W6759">
        <v>-2.5461870000000001E-2</v>
      </c>
      <c r="X6759">
        <v>0.99967439999999996</v>
      </c>
      <c r="Y6759">
        <v>3.5458860000000002E-2</v>
      </c>
      <c r="Z6759">
        <v>-2.557516E-2</v>
      </c>
      <c r="AA6759">
        <v>0.99904380000000004</v>
      </c>
      <c r="AB6759">
        <v>23</v>
      </c>
      <c r="AC6759">
        <v>-2.6579000000000401</v>
      </c>
      <c r="AD6759">
        <v>1.1052409999999899</v>
      </c>
      <c r="AE6759">
        <v>-77.352557200000007</v>
      </c>
      <c r="AF6759">
        <v>2.7495588645000799</v>
      </c>
      <c r="AG6759">
        <v>1.1052409999999899</v>
      </c>
      <c r="AH6759">
        <v>77.333563836070397</v>
      </c>
      <c r="AI6759">
        <v>89.181709069619203</v>
      </c>
      <c r="AJ6759">
        <v>87.963732972711796</v>
      </c>
      <c r="AK6759">
        <v>77.390320629940604</v>
      </c>
      <c r="AL6759">
        <v>91.459015383733004</v>
      </c>
      <c r="AM6759">
        <v>90.095284769277001</v>
      </c>
      <c r="AN6759">
        <v>0.99999998836111503</v>
      </c>
    </row>
    <row r="6760" spans="1:40" x14ac:dyDescent="0.25">
      <c r="A6760" t="str">
        <f>"20190303153943290"</f>
        <v>20190303153943290</v>
      </c>
      <c r="B6760" t="str">
        <f>"1551598783285772"</f>
        <v>1551598783285772</v>
      </c>
      <c r="C6760" t="s">
        <v>40</v>
      </c>
      <c r="D6760">
        <v>4.1886859999999997</v>
      </c>
      <c r="E6760">
        <v>0.50909219999999999</v>
      </c>
      <c r="F6760" t="s">
        <v>71</v>
      </c>
      <c r="G6760">
        <v>-423.89269999999999</v>
      </c>
      <c r="H6760">
        <v>1.8647400000000001</v>
      </c>
      <c r="I6760">
        <v>0.43780520000000001</v>
      </c>
      <c r="J6760">
        <v>-421.78879999999998</v>
      </c>
      <c r="K6760">
        <v>1.1208800000000001</v>
      </c>
      <c r="L6760">
        <v>77.644530000000003</v>
      </c>
      <c r="M6760">
        <v>1.0596169999999999E-3</v>
      </c>
      <c r="N6760">
        <v>-1.127468E-2</v>
      </c>
      <c r="O6760">
        <v>-0.99993620000000005</v>
      </c>
      <c r="P6760">
        <v>3.2172279999999999E-3</v>
      </c>
      <c r="Q6760">
        <v>-3.7738380000000002E-2</v>
      </c>
      <c r="R6760">
        <v>-0.99928300000000003</v>
      </c>
      <c r="S6760">
        <v>-8.169556E-2</v>
      </c>
      <c r="T6760">
        <v>2.888203E-2</v>
      </c>
      <c r="U6760">
        <v>-3.0033259999999999</v>
      </c>
      <c r="V6760">
        <v>-2.1681959999999998E-3</v>
      </c>
      <c r="W6760">
        <v>-2.6468559999999999E-2</v>
      </c>
      <c r="X6760">
        <v>0.99964730000000002</v>
      </c>
      <c r="Y6760">
        <v>2.8244720000000001E-2</v>
      </c>
      <c r="Z6760">
        <v>-2.088624E-2</v>
      </c>
      <c r="AA6760">
        <v>0.99938280000000002</v>
      </c>
      <c r="AB6760">
        <v>23</v>
      </c>
      <c r="AC6760">
        <v>-2.1039000000000101</v>
      </c>
      <c r="AD6760">
        <v>0.74385999999999997</v>
      </c>
      <c r="AE6760">
        <v>-77.206724800000003</v>
      </c>
      <c r="AF6760">
        <v>2.1855108278257398</v>
      </c>
      <c r="AG6760">
        <v>0.74385999999999997</v>
      </c>
      <c r="AH6760">
        <v>77.197291341939504</v>
      </c>
      <c r="AI6760">
        <v>89.448145773845496</v>
      </c>
      <c r="AJ6760">
        <v>88.3783484395057</v>
      </c>
      <c r="AK6760">
        <v>77.231804172959997</v>
      </c>
      <c r="AL6760">
        <v>91.516713903015898</v>
      </c>
      <c r="AM6760">
        <v>90.124272115926502</v>
      </c>
      <c r="AN6760">
        <v>1.0000000050698199</v>
      </c>
    </row>
    <row r="6761" spans="1:40" x14ac:dyDescent="0.25">
      <c r="A6761" t="str">
        <f>"20190303153943304"</f>
        <v>20190303153943304</v>
      </c>
      <c r="B6761" t="str">
        <f>"1551598783295532"</f>
        <v>1551598783295532</v>
      </c>
      <c r="C6761" t="s">
        <v>40</v>
      </c>
      <c r="D6761">
        <v>4.2101350000000002</v>
      </c>
      <c r="E6761">
        <v>0.5085691</v>
      </c>
      <c r="F6761" t="s">
        <v>71</v>
      </c>
      <c r="G6761">
        <v>-423.36869999999999</v>
      </c>
      <c r="H6761">
        <v>1.6751290000000001</v>
      </c>
      <c r="I6761">
        <v>0.44313239999999998</v>
      </c>
      <c r="J6761">
        <v>-421.78879999999998</v>
      </c>
      <c r="K6761">
        <v>1.1208720000000001</v>
      </c>
      <c r="L6761">
        <v>77.486450000000005</v>
      </c>
      <c r="M6761">
        <v>9.1089649999999997E-4</v>
      </c>
      <c r="N6761">
        <v>-1.1222289999999999E-2</v>
      </c>
      <c r="O6761">
        <v>-0.99993659999999995</v>
      </c>
      <c r="P6761">
        <v>3.549661E-3</v>
      </c>
      <c r="Q6761">
        <v>-3.7292079999999998E-2</v>
      </c>
      <c r="R6761">
        <v>-0.99929840000000003</v>
      </c>
      <c r="S6761">
        <v>-6.14624E-2</v>
      </c>
      <c r="T6761">
        <v>2.155936E-2</v>
      </c>
      <c r="U6761">
        <v>-3.003174</v>
      </c>
      <c r="V6761">
        <v>-2.6491819999999999E-3</v>
      </c>
      <c r="W6761">
        <v>-2.6074300000000002E-2</v>
      </c>
      <c r="X6761">
        <v>0.99965649999999995</v>
      </c>
      <c r="Y6761">
        <v>2.136834E-2</v>
      </c>
      <c r="Z6761">
        <v>-1.8398749999999998E-2</v>
      </c>
      <c r="AA6761">
        <v>0.9996024</v>
      </c>
      <c r="AB6761">
        <v>23</v>
      </c>
      <c r="AC6761">
        <v>-1.5799000000000001</v>
      </c>
      <c r="AD6761">
        <v>0.554257</v>
      </c>
      <c r="AE6761">
        <v>-77.043317599999995</v>
      </c>
      <c r="AF6761">
        <v>1.6499968935835101</v>
      </c>
      <c r="AG6761">
        <v>0.554257</v>
      </c>
      <c r="AH6761">
        <v>77.037860997731102</v>
      </c>
      <c r="AI6761">
        <v>89.587881107282499</v>
      </c>
      <c r="AJ6761">
        <v>88.773026598105702</v>
      </c>
      <c r="AK6761">
        <v>77.057522135588002</v>
      </c>
      <c r="AL6761">
        <v>91.494116673069598</v>
      </c>
      <c r="AM6761">
        <v>90.151838749041104</v>
      </c>
      <c r="AN6761">
        <v>1.0000000026389999</v>
      </c>
    </row>
    <row r="6762" spans="1:40" x14ac:dyDescent="0.25">
      <c r="A6762" t="str">
        <f>"20190303153943323"</f>
        <v>20190303153943323</v>
      </c>
      <c r="B6762" t="str">
        <f>"1551598783315052"</f>
        <v>1551598783315052</v>
      </c>
      <c r="C6762" t="s">
        <v>40</v>
      </c>
      <c r="D6762">
        <v>4.1992520000000004</v>
      </c>
      <c r="E6762">
        <v>0.50801649999999998</v>
      </c>
      <c r="F6762" t="s">
        <v>71</v>
      </c>
      <c r="G6762">
        <v>-423.2269</v>
      </c>
      <c r="H6762">
        <v>1.7671439999999901</v>
      </c>
      <c r="I6762">
        <v>0.44457439999999998</v>
      </c>
      <c r="J6762">
        <v>-421.78879999999998</v>
      </c>
      <c r="K6762">
        <v>1.120876</v>
      </c>
      <c r="L6762">
        <v>77.302700000000002</v>
      </c>
      <c r="M6762">
        <v>7.3813209999999999E-4</v>
      </c>
      <c r="N6762">
        <v>-1.116662E-2</v>
      </c>
      <c r="O6762">
        <v>-0.99993739999999998</v>
      </c>
      <c r="P6762">
        <v>4.0738140000000003E-3</v>
      </c>
      <c r="Q6762">
        <v>-3.700349E-2</v>
      </c>
      <c r="R6762">
        <v>-0.99930699999999995</v>
      </c>
      <c r="S6762">
        <v>-5.6060789999999999E-2</v>
      </c>
      <c r="T6762">
        <v>2.519178E-2</v>
      </c>
      <c r="U6762">
        <v>-3.0032350000000001</v>
      </c>
      <c r="V6762">
        <v>-3.346098E-3</v>
      </c>
      <c r="W6762">
        <v>-2.5841030000000001E-2</v>
      </c>
      <c r="X6762">
        <v>0.99966049999999995</v>
      </c>
      <c r="Y6762">
        <v>1.9397729999999998E-2</v>
      </c>
      <c r="Z6762">
        <v>-1.9552190000000001E-2</v>
      </c>
      <c r="AA6762">
        <v>0.99962070000000003</v>
      </c>
      <c r="AB6762">
        <v>23</v>
      </c>
      <c r="AC6762">
        <v>-1.4381000000000199</v>
      </c>
      <c r="AD6762">
        <v>0.64626799999999895</v>
      </c>
      <c r="AE6762">
        <v>-76.858125599999994</v>
      </c>
      <c r="AF6762">
        <v>1.4947289472371299</v>
      </c>
      <c r="AG6762">
        <v>0.64626799999999895</v>
      </c>
      <c r="AH6762">
        <v>76.851611249382501</v>
      </c>
      <c r="AI6762">
        <v>89.518285247805906</v>
      </c>
      <c r="AJ6762">
        <v>88.885763586859696</v>
      </c>
      <c r="AK6762">
        <v>76.8688625425129</v>
      </c>
      <c r="AL6762">
        <v>91.480746733237197</v>
      </c>
      <c r="AM6762">
        <v>90.191781687125896</v>
      </c>
      <c r="AN6762">
        <v>1.00000003523176</v>
      </c>
    </row>
    <row r="6763" spans="1:40" x14ac:dyDescent="0.25">
      <c r="A6763" t="str">
        <f>"20190303153943345"</f>
        <v>20190303153943345</v>
      </c>
      <c r="B6763" t="str">
        <f>"1551598783335548"</f>
        <v>1551598783335548</v>
      </c>
      <c r="C6763" t="s">
        <v>40</v>
      </c>
      <c r="D6763">
        <v>4.218038</v>
      </c>
      <c r="E6763">
        <v>0.50778729999999905</v>
      </c>
      <c r="F6763" t="s">
        <v>71</v>
      </c>
      <c r="G6763">
        <v>-423.06790000000001</v>
      </c>
      <c r="H6763">
        <v>1.825947</v>
      </c>
      <c r="I6763">
        <v>0.44618799999999997</v>
      </c>
      <c r="J6763">
        <v>-421.78879999999998</v>
      </c>
      <c r="K6763">
        <v>1.120873</v>
      </c>
      <c r="L6763">
        <v>77.08005</v>
      </c>
      <c r="M6763">
        <v>5.2856439999999995E-4</v>
      </c>
      <c r="N6763">
        <v>-1.1106420000000001E-2</v>
      </c>
      <c r="O6763">
        <v>-0.99993829999999995</v>
      </c>
      <c r="P6763">
        <v>4.9765920000000002E-3</v>
      </c>
      <c r="Q6763">
        <v>-3.6315470000000002E-2</v>
      </c>
      <c r="R6763">
        <v>-0.99932810000000005</v>
      </c>
      <c r="S6763">
        <v>-4.9987789999999997E-2</v>
      </c>
      <c r="T6763">
        <v>2.7550939999999999E-2</v>
      </c>
      <c r="U6763">
        <v>-3.0032960000000002</v>
      </c>
      <c r="V6763">
        <v>-4.4577740000000003E-3</v>
      </c>
      <c r="W6763">
        <v>-2.521261E-2</v>
      </c>
      <c r="X6763">
        <v>0.99967220000000001</v>
      </c>
      <c r="Y6763">
        <v>1.716693E-2</v>
      </c>
      <c r="Z6763">
        <v>-2.0277320000000001E-2</v>
      </c>
      <c r="AA6763">
        <v>0.99964699999999995</v>
      </c>
      <c r="AB6763">
        <v>23</v>
      </c>
      <c r="AC6763">
        <v>-1.2791000000000201</v>
      </c>
      <c r="AD6763">
        <v>0.70507399999999998</v>
      </c>
      <c r="AE6763">
        <v>-76.633861999999993</v>
      </c>
      <c r="AF6763">
        <v>1.31949658176157</v>
      </c>
      <c r="AG6763">
        <v>0.70507399999999998</v>
      </c>
      <c r="AH6763">
        <v>76.626690507431505</v>
      </c>
      <c r="AI6763">
        <v>89.472890756976398</v>
      </c>
      <c r="AJ6763">
        <v>89.013475415115593</v>
      </c>
      <c r="AK6763">
        <v>76.641293691432793</v>
      </c>
      <c r="AL6763">
        <v>91.444729194628394</v>
      </c>
      <c r="AM6763">
        <v>90.255493694141194</v>
      </c>
      <c r="AN6763">
        <v>1.0000000274524401</v>
      </c>
    </row>
    <row r="6764" spans="1:40" x14ac:dyDescent="0.25">
      <c r="A6764" t="str">
        <f>"20190303153943367"</f>
        <v>20190303153943367</v>
      </c>
      <c r="B6764" t="str">
        <f>"1551598783355068"</f>
        <v>1551598783355068</v>
      </c>
      <c r="C6764" t="s">
        <v>40</v>
      </c>
      <c r="D6764">
        <v>4.2243409999999999</v>
      </c>
      <c r="E6764">
        <v>0.50766659999999997</v>
      </c>
      <c r="F6764" t="s">
        <v>71</v>
      </c>
      <c r="G6764">
        <v>-422.9452</v>
      </c>
      <c r="H6764">
        <v>1.8828450000000001</v>
      </c>
      <c r="I6764">
        <v>0.44743729999999998</v>
      </c>
      <c r="J6764">
        <v>-421.78899999999999</v>
      </c>
      <c r="K6764">
        <v>1.1208689999999999</v>
      </c>
      <c r="L6764">
        <v>76.851500000000001</v>
      </c>
      <c r="M6764">
        <v>3.1249099999999997E-4</v>
      </c>
      <c r="N6764">
        <v>-1.1051770000000001E-2</v>
      </c>
      <c r="O6764">
        <v>-0.99993900000000002</v>
      </c>
      <c r="P6764">
        <v>5.170488E-3</v>
      </c>
      <c r="Q6764">
        <v>-3.6825660000000003E-2</v>
      </c>
      <c r="R6764">
        <v>-0.99930859999999999</v>
      </c>
      <c r="S6764">
        <v>-4.5318600000000001E-2</v>
      </c>
      <c r="T6764">
        <v>2.986157E-2</v>
      </c>
      <c r="U6764">
        <v>-3.0033259999999999</v>
      </c>
      <c r="V6764">
        <v>-4.8676479999999996E-3</v>
      </c>
      <c r="W6764">
        <v>-2.5777499999999998E-2</v>
      </c>
      <c r="X6764">
        <v>0.99965579999999998</v>
      </c>
      <c r="Y6764">
        <v>1.539681E-2</v>
      </c>
      <c r="Z6764">
        <v>-2.099183E-2</v>
      </c>
      <c r="AA6764">
        <v>0.99966109999999997</v>
      </c>
      <c r="AB6764">
        <v>23</v>
      </c>
      <c r="AC6764">
        <v>-1.1562000000000101</v>
      </c>
      <c r="AD6764">
        <v>0.76197599999999999</v>
      </c>
      <c r="AE6764">
        <v>-76.404062699999997</v>
      </c>
      <c r="AF6764">
        <v>1.17995964858298</v>
      </c>
      <c r="AG6764">
        <v>0.76197599999999999</v>
      </c>
      <c r="AH6764">
        <v>76.396101006946694</v>
      </c>
      <c r="AI6764">
        <v>89.428618022681107</v>
      </c>
      <c r="AJ6764">
        <v>89.115120644600097</v>
      </c>
      <c r="AK6764">
        <v>76.409012303919098</v>
      </c>
      <c r="AL6764">
        <v>91.477105651402098</v>
      </c>
      <c r="AM6764">
        <v>90.278989510541194</v>
      </c>
      <c r="AN6764">
        <v>0.99999994598846897</v>
      </c>
    </row>
    <row r="6765" spans="1:40" x14ac:dyDescent="0.25">
      <c r="A6765" t="str">
        <f>"20190303153943391"</f>
        <v>20190303153943391</v>
      </c>
      <c r="B6765" t="str">
        <f>"1551598783385324"</f>
        <v>1551598783385324</v>
      </c>
      <c r="C6765" t="s">
        <v>40</v>
      </c>
      <c r="D6765">
        <v>4.2306239999999997</v>
      </c>
      <c r="E6765">
        <v>0.50750960000000001</v>
      </c>
      <c r="F6765" t="s">
        <v>71</v>
      </c>
      <c r="G6765">
        <v>-422.90690000000001</v>
      </c>
      <c r="H6765">
        <v>1.87056</v>
      </c>
      <c r="I6765">
        <v>0.44783020000000001</v>
      </c>
      <c r="J6765">
        <v>-421.78919999999999</v>
      </c>
      <c r="K6765">
        <v>1.12086</v>
      </c>
      <c r="L6765">
        <v>76.618530000000007</v>
      </c>
      <c r="M6765" s="1">
        <v>9.1895319999999996E-5</v>
      </c>
      <c r="N6765">
        <v>-1.099754E-2</v>
      </c>
      <c r="O6765">
        <v>-0.99993969999999999</v>
      </c>
      <c r="P6765">
        <v>4.9486030000000002E-3</v>
      </c>
      <c r="Q6765">
        <v>-3.7013619999999997E-2</v>
      </c>
      <c r="R6765">
        <v>-0.99930289999999999</v>
      </c>
      <c r="S6765">
        <v>-4.3945310000000001E-2</v>
      </c>
      <c r="T6765">
        <v>2.9468660000000001E-2</v>
      </c>
      <c r="U6765">
        <v>-3.0033569999999998</v>
      </c>
      <c r="V6765">
        <v>-4.8661889999999999E-3</v>
      </c>
      <c r="W6765">
        <v>-2.6019730000000001E-2</v>
      </c>
      <c r="X6765">
        <v>0.99964960000000003</v>
      </c>
      <c r="Y6765">
        <v>1.471913E-2</v>
      </c>
      <c r="Z6765">
        <v>-2.08068E-2</v>
      </c>
      <c r="AA6765">
        <v>0.99967519999999999</v>
      </c>
      <c r="AB6765">
        <v>23</v>
      </c>
      <c r="AC6765">
        <v>-1.1177000000000099</v>
      </c>
      <c r="AD6765">
        <v>0.74969999999999903</v>
      </c>
      <c r="AE6765">
        <v>-76.170699799999994</v>
      </c>
      <c r="AF6765">
        <v>1.1245912300257801</v>
      </c>
      <c r="AG6765">
        <v>0.74969999999999903</v>
      </c>
      <c r="AH6765">
        <v>76.163220250865706</v>
      </c>
      <c r="AI6765">
        <v>89.436098194936605</v>
      </c>
      <c r="AJ6765">
        <v>89.154058233435094</v>
      </c>
      <c r="AK6765">
        <v>76.175211680090101</v>
      </c>
      <c r="AL6765">
        <v>91.490988963590297</v>
      </c>
      <c r="AM6765">
        <v>90.278907618993102</v>
      </c>
      <c r="AN6765">
        <v>1.0000000144623999</v>
      </c>
    </row>
    <row r="6766" spans="1:40" x14ac:dyDescent="0.25">
      <c r="A6766" t="str">
        <f>"20190303153943413"</f>
        <v>20190303153943413</v>
      </c>
      <c r="B6766" t="str">
        <f>"1551598783405820"</f>
        <v>1551598783405820</v>
      </c>
      <c r="C6766" t="s">
        <v>40</v>
      </c>
      <c r="D6766">
        <v>4.2362900000000003</v>
      </c>
      <c r="E6766">
        <v>0.50736599999999998</v>
      </c>
      <c r="F6766" t="s">
        <v>71</v>
      </c>
      <c r="G6766">
        <v>-422.88659999999999</v>
      </c>
      <c r="H6766">
        <v>1.881491</v>
      </c>
      <c r="I6766">
        <v>0.4480343</v>
      </c>
      <c r="J6766">
        <v>-421.7894</v>
      </c>
      <c r="K6766">
        <v>1.120854</v>
      </c>
      <c r="L6766">
        <v>76.384889999999999</v>
      </c>
      <c r="M6766">
        <v>-1.2938089999999999E-4</v>
      </c>
      <c r="N6766">
        <v>-1.0944519999999999E-2</v>
      </c>
      <c r="O6766">
        <v>-0.99994019999999995</v>
      </c>
      <c r="P6766">
        <v>4.8274349999999997E-3</v>
      </c>
      <c r="Q6766">
        <v>-3.721907E-2</v>
      </c>
      <c r="R6766">
        <v>-0.99929559999999995</v>
      </c>
      <c r="S6766">
        <v>-4.3273930000000002E-2</v>
      </c>
      <c r="T6766">
        <v>2.999079E-2</v>
      </c>
      <c r="U6766">
        <v>-3.0034179999999999</v>
      </c>
      <c r="V6766">
        <v>-4.9662559999999996E-3</v>
      </c>
      <c r="W6766">
        <v>-2.6278240000000001E-2</v>
      </c>
      <c r="X6766">
        <v>0.99964229999999998</v>
      </c>
      <c r="Y6766">
        <v>1.4274129999999999E-2</v>
      </c>
      <c r="Z6766">
        <v>-2.0927390000000001E-2</v>
      </c>
      <c r="AA6766">
        <v>0.99967910000000004</v>
      </c>
      <c r="AB6766">
        <v>23</v>
      </c>
      <c r="AC6766">
        <v>-1.09719999999998</v>
      </c>
      <c r="AD6766">
        <v>0.76063700000000001</v>
      </c>
      <c r="AE6766">
        <v>-75.936855699999995</v>
      </c>
      <c r="AF6766">
        <v>1.08726555728625</v>
      </c>
      <c r="AG6766">
        <v>0.76063700000000001</v>
      </c>
      <c r="AH6766">
        <v>75.929380294128094</v>
      </c>
      <c r="AI6766">
        <v>89.426106667081299</v>
      </c>
      <c r="AJ6766">
        <v>89.179613081358795</v>
      </c>
      <c r="AK6766">
        <v>75.940973834209899</v>
      </c>
      <c r="AL6766">
        <v>91.505805630629496</v>
      </c>
      <c r="AM6766">
        <v>90.284644985338105</v>
      </c>
      <c r="AN6766">
        <v>0.99999996877272201</v>
      </c>
    </row>
    <row r="6767" spans="1:40" x14ac:dyDescent="0.25">
      <c r="A6767" t="str">
        <f>"20190303153943435"</f>
        <v>20190303153943435</v>
      </c>
      <c r="B6767" t="str">
        <f>"1551598783425342"</f>
        <v>1551598783425342</v>
      </c>
      <c r="C6767" t="s">
        <v>40</v>
      </c>
      <c r="D6767">
        <v>4.2173400000000001</v>
      </c>
      <c r="E6767">
        <v>0.5072371</v>
      </c>
      <c r="F6767" t="s">
        <v>71</v>
      </c>
      <c r="G6767">
        <v>-422.86110000000002</v>
      </c>
      <c r="H6767">
        <v>1.8755740000000001</v>
      </c>
      <c r="I6767">
        <v>0.44829180000000002</v>
      </c>
      <c r="J6767">
        <v>-421.78960000000001</v>
      </c>
      <c r="K6767">
        <v>1.120849</v>
      </c>
      <c r="L6767">
        <v>76.161769999999905</v>
      </c>
      <c r="M6767">
        <v>-3.4127160000000002E-4</v>
      </c>
      <c r="N6767">
        <v>-1.089762E-2</v>
      </c>
      <c r="O6767">
        <v>-0.99994070000000002</v>
      </c>
      <c r="P6767">
        <v>4.8495049999999996E-3</v>
      </c>
      <c r="Q6767">
        <v>-3.6701869999999998E-2</v>
      </c>
      <c r="R6767">
        <v>-0.9993147</v>
      </c>
      <c r="S6767">
        <v>-4.2388919999999997E-2</v>
      </c>
      <c r="T6767">
        <v>2.984941E-2</v>
      </c>
      <c r="U6767">
        <v>-3.0034179999999999</v>
      </c>
      <c r="V6767">
        <v>-5.1998859999999999E-3</v>
      </c>
      <c r="W6767">
        <v>-2.5807650000000001E-2</v>
      </c>
      <c r="X6767">
        <v>0.99965340000000003</v>
      </c>
      <c r="Y6767">
        <v>1.376776E-2</v>
      </c>
      <c r="Z6767">
        <v>-2.083349E-2</v>
      </c>
      <c r="AA6767">
        <v>0.99968809999999997</v>
      </c>
      <c r="AB6767">
        <v>23</v>
      </c>
      <c r="AC6767">
        <v>-1.0715000000000101</v>
      </c>
      <c r="AD6767">
        <v>0.75472499999999998</v>
      </c>
      <c r="AE6767">
        <v>-75.713478199999898</v>
      </c>
      <c r="AF6767">
        <v>1.0455556766465299</v>
      </c>
      <c r="AG6767">
        <v>0.75472499999999998</v>
      </c>
      <c r="AH6767">
        <v>75.706318473480707</v>
      </c>
      <c r="AI6767">
        <v>89.4288851619051</v>
      </c>
      <c r="AJ6767">
        <v>89.208756673878298</v>
      </c>
      <c r="AK6767">
        <v>75.717299564278406</v>
      </c>
      <c r="AL6767">
        <v>91.478833618874305</v>
      </c>
      <c r="AM6767">
        <v>90.298032132629203</v>
      </c>
      <c r="AN6767">
        <v>0.99999999687224705</v>
      </c>
    </row>
    <row r="6768" spans="1:40" x14ac:dyDescent="0.25">
      <c r="A6768" t="str">
        <f>"20190303153943456"</f>
        <v>20190303153943456</v>
      </c>
      <c r="B6768" t="str">
        <f>"1551598783444860"</f>
        <v>1551598783444860</v>
      </c>
      <c r="C6768" t="s">
        <v>40</v>
      </c>
      <c r="D6768">
        <v>4.21495</v>
      </c>
      <c r="E6768">
        <v>0.50718050000000003</v>
      </c>
      <c r="F6768" t="s">
        <v>71</v>
      </c>
      <c r="G6768">
        <v>-422.82279999999997</v>
      </c>
      <c r="H6768">
        <v>1.9074759999999999</v>
      </c>
      <c r="I6768">
        <v>0.44868469999999999</v>
      </c>
      <c r="J6768">
        <v>-421.78989999999999</v>
      </c>
      <c r="K6768">
        <v>1.1208469999999999</v>
      </c>
      <c r="L6768">
        <v>75.940250000000006</v>
      </c>
      <c r="M6768">
        <v>-5.5183179999999997E-4</v>
      </c>
      <c r="N6768">
        <v>-1.085177E-2</v>
      </c>
      <c r="O6768">
        <v>-0.99994119999999997</v>
      </c>
      <c r="P6768">
        <v>5.1017170000000004E-3</v>
      </c>
      <c r="Q6768">
        <v>-3.6151139999999998E-2</v>
      </c>
      <c r="R6768">
        <v>-0.99933369999999999</v>
      </c>
      <c r="S6768">
        <v>-4.0985109999999998E-2</v>
      </c>
      <c r="T6768">
        <v>3.1202790000000001E-2</v>
      </c>
      <c r="U6768">
        <v>-3.003387</v>
      </c>
      <c r="V6768">
        <v>-5.6628069999999997E-3</v>
      </c>
      <c r="W6768">
        <v>-2.5302430000000001E-2</v>
      </c>
      <c r="X6768">
        <v>0.99966379999999999</v>
      </c>
      <c r="Y6768">
        <v>1.30901E-2</v>
      </c>
      <c r="Z6768">
        <v>-2.123825E-2</v>
      </c>
      <c r="AA6768">
        <v>0.99968869999999999</v>
      </c>
      <c r="AB6768">
        <v>23</v>
      </c>
      <c r="AC6768">
        <v>-1.0328999999999799</v>
      </c>
      <c r="AD6768">
        <v>0.78662900000000002</v>
      </c>
      <c r="AE6768">
        <v>-75.491565299999905</v>
      </c>
      <c r="AF6768">
        <v>0.991131157824654</v>
      </c>
      <c r="AG6768">
        <v>0.78662900000000002</v>
      </c>
      <c r="AH6768">
        <v>75.483929442020397</v>
      </c>
      <c r="AI6768">
        <v>89.4029854258104</v>
      </c>
      <c r="AJ6768">
        <v>89.247729026185695</v>
      </c>
      <c r="AK6768">
        <v>75.4945344390146</v>
      </c>
      <c r="AL6768">
        <v>91.449877188326994</v>
      </c>
      <c r="AM6768">
        <v>90.324560588160196</v>
      </c>
      <c r="AN6768">
        <v>0.99999999668873196</v>
      </c>
    </row>
    <row r="6769" spans="1:40" x14ac:dyDescent="0.25">
      <c r="A6769" t="str">
        <f>"20190303153943480"</f>
        <v>20190303153943480</v>
      </c>
      <c r="B6769" t="str">
        <f>"1551598783475120"</f>
        <v>1551598783475120</v>
      </c>
      <c r="C6769" t="s">
        <v>40</v>
      </c>
      <c r="D6769">
        <v>4.250737</v>
      </c>
      <c r="E6769">
        <v>0.50705519999999904</v>
      </c>
      <c r="F6769" t="s">
        <v>71</v>
      </c>
      <c r="G6769">
        <v>-422.79399999999998</v>
      </c>
      <c r="H6769">
        <v>1.9391780000000001</v>
      </c>
      <c r="I6769">
        <v>0.4489746</v>
      </c>
      <c r="J6769">
        <v>-421.7903</v>
      </c>
      <c r="K6769">
        <v>1.1208450000000001</v>
      </c>
      <c r="L6769">
        <v>75.708039999999997</v>
      </c>
      <c r="M6769">
        <v>-7.7271149999999999E-4</v>
      </c>
      <c r="N6769">
        <v>-1.080534E-2</v>
      </c>
      <c r="O6769">
        <v>-0.99994139999999998</v>
      </c>
      <c r="P6769">
        <v>5.2405459999999996E-3</v>
      </c>
      <c r="Q6769">
        <v>-3.5969670000000002E-2</v>
      </c>
      <c r="R6769">
        <v>-0.99933930000000004</v>
      </c>
      <c r="S6769">
        <v>-3.9947509999999999E-2</v>
      </c>
      <c r="T6769">
        <v>3.2556059999999998E-2</v>
      </c>
      <c r="U6769">
        <v>-3.003387</v>
      </c>
      <c r="V6769">
        <v>-6.0222419999999997E-3</v>
      </c>
      <c r="W6769">
        <v>-2.5167200000000001E-2</v>
      </c>
      <c r="X6769">
        <v>0.99966509999999997</v>
      </c>
      <c r="Y6769">
        <v>1.252384E-2</v>
      </c>
      <c r="Z6769">
        <v>-2.1642249999999998E-2</v>
      </c>
      <c r="AA6769">
        <v>0.99968729999999995</v>
      </c>
      <c r="AB6769">
        <v>23</v>
      </c>
      <c r="AC6769">
        <v>-1.00370000000003</v>
      </c>
      <c r="AD6769">
        <v>0.81833299999999898</v>
      </c>
      <c r="AE6769">
        <v>-75.259065399999997</v>
      </c>
      <c r="AF6769">
        <v>0.94543100213419895</v>
      </c>
      <c r="AG6769">
        <v>0.81833299999999898</v>
      </c>
      <c r="AH6769">
        <v>75.2509229076108</v>
      </c>
      <c r="AI6769">
        <v>89.376997948128107</v>
      </c>
      <c r="AJ6769">
        <v>89.280190138894497</v>
      </c>
      <c r="AK6769">
        <v>75.261310825190094</v>
      </c>
      <c r="AL6769">
        <v>91.442126630525493</v>
      </c>
      <c r="AM6769">
        <v>90.345160469999499</v>
      </c>
      <c r="AN6769">
        <v>0.99999998375627797</v>
      </c>
    </row>
    <row r="6770" spans="1:40" x14ac:dyDescent="0.25">
      <c r="A6770" t="str">
        <f>"20190303153943502"</f>
        <v>20190303153943502</v>
      </c>
      <c r="B6770" t="str">
        <f>"1551598783495617"</f>
        <v>1551598783495617</v>
      </c>
      <c r="C6770" t="s">
        <v>40</v>
      </c>
      <c r="D6770">
        <v>4.289466</v>
      </c>
      <c r="E6770">
        <v>0.50690959999999996</v>
      </c>
      <c r="F6770" t="s">
        <v>71</v>
      </c>
      <c r="G6770">
        <v>-422.75080000000003</v>
      </c>
      <c r="H6770">
        <v>1.851904</v>
      </c>
      <c r="I6770">
        <v>0.44941520000000001</v>
      </c>
      <c r="J6770">
        <v>-421.79070000000002</v>
      </c>
      <c r="K6770">
        <v>1.120838</v>
      </c>
      <c r="L6770">
        <v>75.476839999999996</v>
      </c>
      <c r="M6770">
        <v>-9.9309450000000009E-4</v>
      </c>
      <c r="N6770">
        <v>-1.076351E-2</v>
      </c>
      <c r="O6770">
        <v>-0.99994159999999999</v>
      </c>
      <c r="P6770">
        <v>5.5806629999999996E-3</v>
      </c>
      <c r="Q6770">
        <v>-3.6141260000000001E-2</v>
      </c>
      <c r="R6770">
        <v>-0.99933130000000003</v>
      </c>
      <c r="S6770">
        <v>-3.8330080000000002E-2</v>
      </c>
      <c r="T6770">
        <v>2.9172300000000002E-2</v>
      </c>
      <c r="U6770">
        <v>-3.0032350000000001</v>
      </c>
      <c r="V6770">
        <v>-6.5827780000000001E-3</v>
      </c>
      <c r="W6770">
        <v>-2.53805E-2</v>
      </c>
      <c r="X6770">
        <v>0.99965619999999999</v>
      </c>
      <c r="Y6770">
        <v>1.176607E-2</v>
      </c>
      <c r="Z6770">
        <v>-2.0474800000000001E-2</v>
      </c>
      <c r="AA6770">
        <v>0.99972110000000003</v>
      </c>
      <c r="AB6770">
        <v>23</v>
      </c>
      <c r="AC6770">
        <v>-0.96010000000001094</v>
      </c>
      <c r="AD6770">
        <v>0.73106599999999999</v>
      </c>
      <c r="AE6770">
        <v>-75.027424799999906</v>
      </c>
      <c r="AF6770">
        <v>0.88550182833563496</v>
      </c>
      <c r="AG6770">
        <v>0.73106599999999999</v>
      </c>
      <c r="AH6770">
        <v>75.021219583777196</v>
      </c>
      <c r="AI6770">
        <v>89.441721241938893</v>
      </c>
      <c r="AJ6770">
        <v>89.323749175889006</v>
      </c>
      <c r="AK6770">
        <v>75.030007055988307</v>
      </c>
      <c r="AL6770">
        <v>91.4543516867748</v>
      </c>
      <c r="AM6770">
        <v>90.377289657551302</v>
      </c>
      <c r="AN6770">
        <v>1.00000001047244</v>
      </c>
    </row>
    <row r="6771" spans="1:40" x14ac:dyDescent="0.25">
      <c r="A6771" t="str">
        <f>"20190303153943523"</f>
        <v>20190303153943523</v>
      </c>
      <c r="B6771" t="str">
        <f>"1551598783515137"</f>
        <v>1551598783515137</v>
      </c>
      <c r="C6771" t="s">
        <v>40</v>
      </c>
      <c r="D6771">
        <v>4.2706160000000004</v>
      </c>
      <c r="E6771">
        <v>0.47762100000000002</v>
      </c>
      <c r="F6771" t="s">
        <v>71</v>
      </c>
      <c r="G6771">
        <v>-422.70409999999998</v>
      </c>
      <c r="H6771">
        <v>1.7842499999999999</v>
      </c>
      <c r="I6771">
        <v>0.44989010000000001</v>
      </c>
      <c r="J6771">
        <v>-421.7912</v>
      </c>
      <c r="K6771">
        <v>1.12083</v>
      </c>
      <c r="L6771">
        <v>75.247990000000001</v>
      </c>
      <c r="M6771">
        <v>-1.21079E-3</v>
      </c>
      <c r="N6771">
        <v>-1.0727179999999999E-2</v>
      </c>
      <c r="O6771">
        <v>-0.99994159999999999</v>
      </c>
      <c r="P6771">
        <v>5.5771739999999998E-3</v>
      </c>
      <c r="Q6771">
        <v>-3.6374080000000003E-2</v>
      </c>
      <c r="R6771">
        <v>-0.99932270000000001</v>
      </c>
      <c r="S6771">
        <v>-3.6560059999999998E-2</v>
      </c>
      <c r="T6771">
        <v>2.655387E-2</v>
      </c>
      <c r="U6771">
        <v>-3.003174</v>
      </c>
      <c r="V6771">
        <v>-6.7967560000000002E-3</v>
      </c>
      <c r="W6771">
        <v>-2.5649640000000001E-2</v>
      </c>
      <c r="X6771">
        <v>0.99964790000000003</v>
      </c>
      <c r="Y6771">
        <v>1.0959689999999999E-2</v>
      </c>
      <c r="Z6771">
        <v>-1.956716E-2</v>
      </c>
      <c r="AA6771">
        <v>0.99974850000000004</v>
      </c>
      <c r="AB6771">
        <v>23</v>
      </c>
      <c r="AC6771">
        <v>-0.91289999999997895</v>
      </c>
      <c r="AD6771">
        <v>0.66341999999999901</v>
      </c>
      <c r="AE6771">
        <v>-74.798099899999997</v>
      </c>
      <c r="AF6771">
        <v>0.82226464052176995</v>
      </c>
      <c r="AG6771">
        <v>0.66341999999999901</v>
      </c>
      <c r="AH6771">
        <v>74.793267528388995</v>
      </c>
      <c r="AI6771">
        <v>89.491827623514297</v>
      </c>
      <c r="AJ6771">
        <v>89.370125184075704</v>
      </c>
      <c r="AK6771">
        <v>74.800729360138106</v>
      </c>
      <c r="AL6771">
        <v>91.469777292584695</v>
      </c>
      <c r="AM6771">
        <v>90.389556595380398</v>
      </c>
      <c r="AN6771">
        <v>1.00000001194933</v>
      </c>
    </row>
    <row r="6772" spans="1:40" x14ac:dyDescent="0.25">
      <c r="A6772" t="str">
        <f>"20190303153943546"</f>
        <v>20190303153943546</v>
      </c>
      <c r="B6772" t="str">
        <f>"1551598783535632"</f>
        <v>1551598783535632</v>
      </c>
      <c r="C6772" t="s">
        <v>40</v>
      </c>
      <c r="D6772">
        <v>4.2751609999999998</v>
      </c>
      <c r="E6772">
        <v>0.47454829999999998</v>
      </c>
      <c r="F6772" t="s">
        <v>63</v>
      </c>
      <c r="G6772">
        <v>-417.6277</v>
      </c>
      <c r="H6772" s="1">
        <v>-1.3906E-5</v>
      </c>
      <c r="I6772">
        <v>11.66527</v>
      </c>
      <c r="J6772">
        <v>-421.79180000000002</v>
      </c>
      <c r="K6772">
        <v>1.120819</v>
      </c>
      <c r="L6772">
        <v>75.022400000000005</v>
      </c>
      <c r="M6772">
        <v>-1.42529299999999E-3</v>
      </c>
      <c r="N6772">
        <v>-1.069545E-2</v>
      </c>
      <c r="O6772">
        <v>-0.99994190000000005</v>
      </c>
      <c r="P6772">
        <v>5.4382959999999996E-3</v>
      </c>
      <c r="Q6772">
        <v>-3.643155E-2</v>
      </c>
      <c r="R6772">
        <v>-0.99932160000000003</v>
      </c>
      <c r="S6772">
        <v>0.19638059999999999</v>
      </c>
      <c r="T6772">
        <v>-5.2867169999999998E-2</v>
      </c>
      <c r="U6772">
        <v>-2.9990230000000002</v>
      </c>
      <c r="V6772">
        <v>-6.8725309999999899E-3</v>
      </c>
      <c r="W6772">
        <v>-2.5738810000000001E-2</v>
      </c>
      <c r="X6772">
        <v>0.99964509999999995</v>
      </c>
      <c r="Y6772">
        <v>-6.6752220000000001E-2</v>
      </c>
      <c r="Z6772">
        <v>6.8915829999999997E-3</v>
      </c>
      <c r="AA6772">
        <v>0.99774580000000002</v>
      </c>
      <c r="AB6772">
        <v>23</v>
      </c>
      <c r="AC6772">
        <v>4.1641000000000101</v>
      </c>
      <c r="AD6772">
        <v>-1.120832906</v>
      </c>
      <c r="AE6772">
        <v>-63.357129999999998</v>
      </c>
      <c r="AF6772">
        <v>-4.2530780747156802</v>
      </c>
      <c r="AG6772">
        <v>-1.120832906</v>
      </c>
      <c r="AH6772">
        <v>63.331395205369297</v>
      </c>
      <c r="AI6772">
        <v>91.011631169484104</v>
      </c>
      <c r="AJ6772">
        <v>93.841982009222207</v>
      </c>
      <c r="AK6772">
        <v>63.483939371871699</v>
      </c>
      <c r="AL6772">
        <v>91.474888029695293</v>
      </c>
      <c r="AM6772">
        <v>90.3939006125471</v>
      </c>
      <c r="AN6772">
        <v>1.0000000219882801</v>
      </c>
    </row>
    <row r="6773" spans="1:40" x14ac:dyDescent="0.25">
      <c r="A6773" t="str">
        <f>"20190303153943568"</f>
        <v>20190303153943568</v>
      </c>
      <c r="B6773" t="str">
        <f>"1551598783564912"</f>
        <v>1551598783564912</v>
      </c>
      <c r="C6773" t="s">
        <v>40</v>
      </c>
      <c r="D6773">
        <v>4.2558639999999999</v>
      </c>
      <c r="E6773">
        <v>0.4731359</v>
      </c>
      <c r="F6773" t="s">
        <v>63</v>
      </c>
      <c r="G6773">
        <v>-418.12970000000001</v>
      </c>
      <c r="H6773" s="1">
        <v>-7.4274199999999999E-6</v>
      </c>
      <c r="I6773">
        <v>25.160520000000002</v>
      </c>
      <c r="J6773">
        <v>-421.79239999999999</v>
      </c>
      <c r="K6773">
        <v>1.1208149999999999</v>
      </c>
      <c r="L6773">
        <v>74.787080000000003</v>
      </c>
      <c r="M6773">
        <v>-1.6494319999999999E-3</v>
      </c>
      <c r="N6773">
        <v>-1.0670560000000001E-2</v>
      </c>
      <c r="O6773">
        <v>-0.99994190000000005</v>
      </c>
      <c r="P6773">
        <v>5.5836569999999997E-3</v>
      </c>
      <c r="Q6773">
        <v>-3.5850659999999999E-2</v>
      </c>
      <c r="R6773">
        <v>-0.9993417</v>
      </c>
      <c r="S6773">
        <v>0.22021479999999999</v>
      </c>
      <c r="T6773">
        <v>-6.7399500000000001E-2</v>
      </c>
      <c r="U6773">
        <v>-2.998383</v>
      </c>
      <c r="V6773">
        <v>-7.2415750000000001E-3</v>
      </c>
      <c r="W6773">
        <v>-2.5182489999999998E-2</v>
      </c>
      <c r="X6773">
        <v>0.99965660000000001</v>
      </c>
      <c r="Y6773">
        <v>-7.4874010000000005E-2</v>
      </c>
      <c r="Z6773">
        <v>1.1741400000000001E-2</v>
      </c>
      <c r="AA6773">
        <v>0.99712389999999995</v>
      </c>
      <c r="AB6773">
        <v>23</v>
      </c>
      <c r="AC6773">
        <v>3.6626999999999699</v>
      </c>
      <c r="AD6773">
        <v>-1.1208224274199901</v>
      </c>
      <c r="AE6773">
        <v>-49.626559999999998</v>
      </c>
      <c r="AF6773">
        <v>-3.74265655573579</v>
      </c>
      <c r="AG6773">
        <v>-1.1208224274199901</v>
      </c>
      <c r="AH6773">
        <v>49.595289851743601</v>
      </c>
      <c r="AI6773">
        <v>91.290958873382607</v>
      </c>
      <c r="AJ6773">
        <v>94.315586194083295</v>
      </c>
      <c r="AK6773">
        <v>49.748934626647703</v>
      </c>
      <c r="AL6773">
        <v>91.443002997826696</v>
      </c>
      <c r="AM6773">
        <v>90.415046954183495</v>
      </c>
      <c r="AN6773">
        <v>0.99999995806731901</v>
      </c>
    </row>
    <row r="6774" spans="1:40" x14ac:dyDescent="0.25">
      <c r="A6774" t="str">
        <f>"20190303153943592"</f>
        <v>20190303153943592</v>
      </c>
      <c r="B6774" t="str">
        <f>"1551598783585408"</f>
        <v>1551598783585408</v>
      </c>
      <c r="C6774" t="s">
        <v>40</v>
      </c>
      <c r="D6774">
        <v>4.2563820000000003</v>
      </c>
      <c r="E6774">
        <v>0.4726593</v>
      </c>
      <c r="F6774" t="s">
        <v>63</v>
      </c>
      <c r="G6774">
        <v>-418.10809999999998</v>
      </c>
      <c r="H6774" s="1">
        <v>-7.6537109999999993E-6</v>
      </c>
      <c r="I6774">
        <v>27.105090000000001</v>
      </c>
      <c r="J6774">
        <v>-421.79300000000001</v>
      </c>
      <c r="K6774">
        <v>1.120819</v>
      </c>
      <c r="L6774">
        <v>74.55444</v>
      </c>
      <c r="M6774">
        <v>-1.870434E-3</v>
      </c>
      <c r="N6774">
        <v>-1.0668E-2</v>
      </c>
      <c r="O6774">
        <v>-0.99994139999999998</v>
      </c>
      <c r="P6774">
        <v>5.3573800000000001E-3</v>
      </c>
      <c r="Q6774">
        <v>-3.5524989999999999E-2</v>
      </c>
      <c r="R6774">
        <v>-0.99935479999999999</v>
      </c>
      <c r="S6774">
        <v>0.2316589</v>
      </c>
      <c r="T6774">
        <v>-7.0475579999999996E-2</v>
      </c>
      <c r="U6774">
        <v>-2.9981689999999999</v>
      </c>
      <c r="V6774">
        <v>-7.2363899999999997E-3</v>
      </c>
      <c r="W6774">
        <v>-2.4859269999999999E-2</v>
      </c>
      <c r="X6774">
        <v>0.99966480000000002</v>
      </c>
      <c r="Y6774">
        <v>-7.8881430000000002E-2</v>
      </c>
      <c r="Z6774">
        <v>1.276098E-2</v>
      </c>
      <c r="AA6774">
        <v>0.99680230000000003</v>
      </c>
      <c r="AB6774">
        <v>23</v>
      </c>
      <c r="AC6774">
        <v>3.6849000000000198</v>
      </c>
      <c r="AD6774">
        <v>-1.1208266537109901</v>
      </c>
      <c r="AE6774">
        <v>-47.449350000000003</v>
      </c>
      <c r="AF6774">
        <v>-3.7715576498580301</v>
      </c>
      <c r="AG6774">
        <v>-1.1208266537109901</v>
      </c>
      <c r="AH6774">
        <v>47.416075757910498</v>
      </c>
      <c r="AI6774">
        <v>91.349850198124997</v>
      </c>
      <c r="AJ6774">
        <v>94.547831495971494</v>
      </c>
      <c r="AK6774">
        <v>47.579040971564098</v>
      </c>
      <c r="AL6774">
        <v>91.424477952285201</v>
      </c>
      <c r="AM6774">
        <v>90.414746387128105</v>
      </c>
      <c r="AN6774">
        <v>1.0000000305021</v>
      </c>
    </row>
    <row r="6775" spans="1:40" x14ac:dyDescent="0.25">
      <c r="A6775" t="str">
        <f>"20190303153943614"</f>
        <v>20190303153943614</v>
      </c>
      <c r="B6775" t="str">
        <f>"1551598783604928"</f>
        <v>1551598783604928</v>
      </c>
      <c r="C6775" t="s">
        <v>40</v>
      </c>
      <c r="D6775">
        <v>4.263414</v>
      </c>
      <c r="E6775">
        <v>0.47228769999999998</v>
      </c>
      <c r="F6775" t="s">
        <v>63</v>
      </c>
      <c r="G6775">
        <v>-418.05849999999998</v>
      </c>
      <c r="H6775" s="1">
        <v>-7.6431960000000007E-6</v>
      </c>
      <c r="I6775">
        <v>26.85679</v>
      </c>
      <c r="J6775">
        <v>-421.7937</v>
      </c>
      <c r="K6775">
        <v>1.120822</v>
      </c>
      <c r="L6775">
        <v>74.321869999999905</v>
      </c>
      <c r="M6775">
        <v>-2.0908860000000001E-3</v>
      </c>
      <c r="N6775">
        <v>-1.069028E-2</v>
      </c>
      <c r="O6775">
        <v>-0.99994090000000002</v>
      </c>
      <c r="P6775">
        <v>5.0078780000000003E-3</v>
      </c>
      <c r="Q6775">
        <v>-3.558149E-2</v>
      </c>
      <c r="R6775">
        <v>-0.99935469999999904</v>
      </c>
      <c r="S6775">
        <v>0.23474120000000001</v>
      </c>
      <c r="T6775">
        <v>-7.0452689999999998E-2</v>
      </c>
      <c r="U6775">
        <v>-2.9981689999999999</v>
      </c>
      <c r="V6775">
        <v>-7.1067269999999898E-3</v>
      </c>
      <c r="W6775">
        <v>-2.489355E-2</v>
      </c>
      <c r="X6775">
        <v>0.99966480000000002</v>
      </c>
      <c r="Y6775">
        <v>-8.0119540000000003E-2</v>
      </c>
      <c r="Z6775">
        <v>1.27289E-2</v>
      </c>
      <c r="AA6775">
        <v>0.99670400000000003</v>
      </c>
      <c r="AB6775">
        <v>23</v>
      </c>
      <c r="AC6775">
        <v>3.7352000000000198</v>
      </c>
      <c r="AD6775">
        <v>-1.1208296431960001</v>
      </c>
      <c r="AE6775">
        <v>-47.465079999999901</v>
      </c>
      <c r="AF6775">
        <v>-3.8323177663590799</v>
      </c>
      <c r="AG6775">
        <v>-1.1208296431960001</v>
      </c>
      <c r="AH6775">
        <v>47.430880740703302</v>
      </c>
      <c r="AI6775">
        <v>91.349297636710403</v>
      </c>
      <c r="AJ6775">
        <v>94.619346597333305</v>
      </c>
      <c r="AK6775">
        <v>47.598648787441903</v>
      </c>
      <c r="AL6775">
        <v>91.426442769590196</v>
      </c>
      <c r="AM6775">
        <v>90.407315135850794</v>
      </c>
      <c r="AN6775">
        <v>0.99999995337964598</v>
      </c>
    </row>
    <row r="6776" spans="1:40" x14ac:dyDescent="0.25">
      <c r="A6776" t="str">
        <f>"20190303153943636"</f>
        <v>20190303153943636</v>
      </c>
      <c r="B6776" t="str">
        <f>"1551598783625424"</f>
        <v>1551598783625424</v>
      </c>
      <c r="C6776" t="s">
        <v>40</v>
      </c>
      <c r="D6776">
        <v>4.2378850000000003</v>
      </c>
      <c r="E6776">
        <v>0.47206989999999999</v>
      </c>
      <c r="F6776" t="s">
        <v>63</v>
      </c>
      <c r="G6776">
        <v>-418.11509999999998</v>
      </c>
      <c r="H6776" s="1">
        <v>-7.7169510000000001E-6</v>
      </c>
      <c r="I6776">
        <v>27.688980000000001</v>
      </c>
      <c r="J6776">
        <v>-421.7944</v>
      </c>
      <c r="K6776">
        <v>1.1208309999999999</v>
      </c>
      <c r="L6776">
        <v>74.097809999999996</v>
      </c>
      <c r="M6776">
        <v>-2.3034179999999998E-3</v>
      </c>
      <c r="N6776">
        <v>-1.0727520000000001E-2</v>
      </c>
      <c r="O6776">
        <v>-0.99994000000000005</v>
      </c>
      <c r="P6776">
        <v>4.5815120000000003E-3</v>
      </c>
      <c r="Q6776">
        <v>-3.6264810000000001E-2</v>
      </c>
      <c r="R6776">
        <v>-0.99933190000000005</v>
      </c>
      <c r="S6776">
        <v>0.2365112</v>
      </c>
      <c r="T6776">
        <v>-7.2062249999999994E-2</v>
      </c>
      <c r="U6776">
        <v>-2.9981990000000001</v>
      </c>
      <c r="V6776">
        <v>-6.893064E-3</v>
      </c>
      <c r="W6776">
        <v>-2.5539909999999999E-2</v>
      </c>
      <c r="X6776">
        <v>0.99965009999999999</v>
      </c>
      <c r="Y6776">
        <v>-8.0914420000000001E-2</v>
      </c>
      <c r="Z6776">
        <v>1.322479E-2</v>
      </c>
      <c r="AA6776">
        <v>0.99663330000000006</v>
      </c>
      <c r="AB6776">
        <v>23</v>
      </c>
      <c r="AC6776">
        <v>3.6793000000000098</v>
      </c>
      <c r="AD6776">
        <v>-1.1208387169509999</v>
      </c>
      <c r="AE6776">
        <v>-46.408830000000002</v>
      </c>
      <c r="AF6776">
        <v>-3.7840019165208498</v>
      </c>
      <c r="AG6776">
        <v>-1.1208387169509999</v>
      </c>
      <c r="AH6776">
        <v>46.373351226817903</v>
      </c>
      <c r="AI6776">
        <v>91.379978241869594</v>
      </c>
      <c r="AJ6776">
        <v>94.664921877881696</v>
      </c>
      <c r="AK6776">
        <v>46.540978222846398</v>
      </c>
      <c r="AL6776">
        <v>91.463488093361704</v>
      </c>
      <c r="AM6776">
        <v>90.395075452654893</v>
      </c>
      <c r="AN6776">
        <v>1.0000000618820599</v>
      </c>
    </row>
    <row r="6777" spans="1:40" x14ac:dyDescent="0.25">
      <c r="A6777" t="str">
        <f>"20190303153943657"</f>
        <v>20190303153943657</v>
      </c>
      <c r="B6777" t="str">
        <f>"1551598783644944"</f>
        <v>1551598783644944</v>
      </c>
      <c r="C6777" t="s">
        <v>40</v>
      </c>
      <c r="D6777">
        <v>4.239255</v>
      </c>
      <c r="E6777">
        <v>0.4719701</v>
      </c>
      <c r="F6777" t="s">
        <v>63</v>
      </c>
      <c r="G6777">
        <v>-418.24950000000001</v>
      </c>
      <c r="H6777" s="1">
        <v>-7.8424600000000005E-6</v>
      </c>
      <c r="I6777">
        <v>29.224499999999999</v>
      </c>
      <c r="J6777">
        <v>-421.79520000000002</v>
      </c>
      <c r="K6777">
        <v>1.120846</v>
      </c>
      <c r="L6777">
        <v>73.87115</v>
      </c>
      <c r="M6777">
        <v>-2.5191229999999998E-3</v>
      </c>
      <c r="N6777">
        <v>-1.080216E-2</v>
      </c>
      <c r="O6777">
        <v>-0.99993849999999995</v>
      </c>
      <c r="P6777">
        <v>3.857203E-3</v>
      </c>
      <c r="Q6777">
        <v>-3.6332169999999997E-2</v>
      </c>
      <c r="R6777">
        <v>-0.99933269999999996</v>
      </c>
      <c r="S6777">
        <v>0.2368469</v>
      </c>
      <c r="T6777">
        <v>-7.4888590000000005E-2</v>
      </c>
      <c r="U6777">
        <v>-2.9981990000000001</v>
      </c>
      <c r="V6777">
        <v>-6.3849340000000001E-3</v>
      </c>
      <c r="W6777">
        <v>-2.5532820000000001E-2</v>
      </c>
      <c r="X6777">
        <v>0.99965360000000003</v>
      </c>
      <c r="Y6777">
        <v>-8.1238790000000005E-2</v>
      </c>
      <c r="Z6777">
        <v>1.408861E-2</v>
      </c>
      <c r="AA6777">
        <v>0.99659509999999996</v>
      </c>
      <c r="AB6777">
        <v>23</v>
      </c>
      <c r="AC6777">
        <v>3.5457000000000098</v>
      </c>
      <c r="AD6777">
        <v>-1.1208538424600001</v>
      </c>
      <c r="AE6777">
        <v>-44.646650000000001</v>
      </c>
      <c r="AF6777">
        <v>-3.65587599794884</v>
      </c>
      <c r="AG6777">
        <v>-1.1208538424600001</v>
      </c>
      <c r="AH6777">
        <v>44.609636260396201</v>
      </c>
      <c r="AI6777">
        <v>91.434493694328495</v>
      </c>
      <c r="AJ6777">
        <v>94.685068566460004</v>
      </c>
      <c r="AK6777">
        <v>44.773221795325298</v>
      </c>
      <c r="AL6777">
        <v>91.463081815372405</v>
      </c>
      <c r="AM6777">
        <v>90.365951561659003</v>
      </c>
      <c r="AN6777">
        <v>1.00000000613614</v>
      </c>
    </row>
    <row r="6778" spans="1:40" x14ac:dyDescent="0.25">
      <c r="A6778" t="str">
        <f>"20190303153943681"</f>
        <v>20190303153943681</v>
      </c>
      <c r="B6778" t="str">
        <f>"1551598783675224"</f>
        <v>1551598783675224</v>
      </c>
      <c r="C6778" t="s">
        <v>40</v>
      </c>
      <c r="D6778">
        <v>4.2081400000000002</v>
      </c>
      <c r="E6778">
        <v>0.47173130000000002</v>
      </c>
      <c r="F6778" t="s">
        <v>63</v>
      </c>
      <c r="G6778">
        <v>-418.29169999999999</v>
      </c>
      <c r="H6778" s="1">
        <v>-7.8297469999999907E-6</v>
      </c>
      <c r="I6778">
        <v>29.242979999999999</v>
      </c>
      <c r="J6778">
        <v>-421.79599999999999</v>
      </c>
      <c r="K6778">
        <v>1.120884</v>
      </c>
      <c r="L6778">
        <v>73.633179999999996</v>
      </c>
      <c r="M6778">
        <v>-2.7402699999999999E-3</v>
      </c>
      <c r="N6778">
        <v>-1.0967340000000001E-2</v>
      </c>
      <c r="O6778">
        <v>-0.99993620000000005</v>
      </c>
      <c r="P6778">
        <v>3.7779179999999999E-3</v>
      </c>
      <c r="Q6778">
        <v>-3.6492120000000003E-2</v>
      </c>
      <c r="R6778">
        <v>-0.99932710000000002</v>
      </c>
      <c r="S6778">
        <v>0.23538210000000001</v>
      </c>
      <c r="T6778">
        <v>-7.5304750000000004E-2</v>
      </c>
      <c r="U6778">
        <v>-2.9983520000000001</v>
      </c>
      <c r="V6778">
        <v>-6.5265069999999904E-3</v>
      </c>
      <c r="W6778">
        <v>-2.5527600000000001E-2</v>
      </c>
      <c r="X6778">
        <v>0.99965280000000001</v>
      </c>
      <c r="Y6778">
        <v>-8.0971059999999997E-2</v>
      </c>
      <c r="Z6778">
        <v>1.406105E-2</v>
      </c>
      <c r="AA6778">
        <v>0.99661730000000004</v>
      </c>
      <c r="AB6778">
        <v>23</v>
      </c>
      <c r="AC6778">
        <v>3.5043000000000002</v>
      </c>
      <c r="AD6778">
        <v>-1.1208918297470001</v>
      </c>
      <c r="AE6778">
        <v>-44.3902</v>
      </c>
      <c r="AF6778">
        <v>-3.6236391303997002</v>
      </c>
      <c r="AG6778">
        <v>-1.1208918297470001</v>
      </c>
      <c r="AH6778">
        <v>44.352325794258597</v>
      </c>
      <c r="AI6778">
        <v>91.442890765016102</v>
      </c>
      <c r="AJ6778">
        <v>94.670760943580106</v>
      </c>
      <c r="AK6778">
        <v>44.514222023993703</v>
      </c>
      <c r="AL6778">
        <v>91.462782661736696</v>
      </c>
      <c r="AM6778">
        <v>90.374065868799406</v>
      </c>
      <c r="AN6778">
        <v>0.99999998710160998</v>
      </c>
    </row>
    <row r="6779" spans="1:40" x14ac:dyDescent="0.25">
      <c r="A6779" t="str">
        <f>"20190303153943702"</f>
        <v>20190303153943702</v>
      </c>
      <c r="B6779" t="str">
        <f>"1551598783695720"</f>
        <v>1551598783695720</v>
      </c>
      <c r="C6779" t="s">
        <v>40</v>
      </c>
      <c r="D6779">
        <v>4.2066129999999999</v>
      </c>
      <c r="E6779">
        <v>0.4715511</v>
      </c>
      <c r="F6779" t="s">
        <v>63</v>
      </c>
      <c r="G6779">
        <v>-418.3451</v>
      </c>
      <c r="H6779" s="1">
        <v>-5.8018470000000003E-6</v>
      </c>
      <c r="I6779">
        <v>30.076779999999999</v>
      </c>
      <c r="J6779">
        <v>-421.79689999999999</v>
      </c>
      <c r="K6779">
        <v>1.120941</v>
      </c>
      <c r="L6779">
        <v>73.408450000000002</v>
      </c>
      <c r="M6779">
        <v>-2.945338E-3</v>
      </c>
      <c r="N6779">
        <v>-1.1204459999999999E-2</v>
      </c>
      <c r="O6779">
        <v>-0.99993279999999995</v>
      </c>
      <c r="P6779">
        <v>3.884209E-3</v>
      </c>
      <c r="Q6779">
        <v>-3.6766260000000002E-2</v>
      </c>
      <c r="R6779">
        <v>-0.99931639999999999</v>
      </c>
      <c r="S6779">
        <v>0.2375488</v>
      </c>
      <c r="T6779">
        <v>-7.7158690000000002E-2</v>
      </c>
      <c r="U6779">
        <v>-2.998291</v>
      </c>
      <c r="V6779">
        <v>-6.8377660000000003E-3</v>
      </c>
      <c r="W6779">
        <v>-2.5564690000000001E-2</v>
      </c>
      <c r="X6779">
        <v>0.99964980000000003</v>
      </c>
      <c r="Y6779">
        <v>-8.1891450000000005E-2</v>
      </c>
      <c r="Z6779">
        <v>1.443851E-2</v>
      </c>
      <c r="AA6779">
        <v>0.99653670000000005</v>
      </c>
      <c r="AB6779">
        <v>23</v>
      </c>
      <c r="AC6779">
        <v>3.4517999999999902</v>
      </c>
      <c r="AD6779">
        <v>-1.1209468018469999</v>
      </c>
      <c r="AE6779">
        <v>-43.331670000000003</v>
      </c>
      <c r="AF6779">
        <v>-3.57704078449484</v>
      </c>
      <c r="AG6779">
        <v>-1.1209468018469999</v>
      </c>
      <c r="AH6779">
        <v>43.292525780716403</v>
      </c>
      <c r="AI6779">
        <v>91.478158291888505</v>
      </c>
      <c r="AJ6779">
        <v>94.723329251440404</v>
      </c>
      <c r="AK6779">
        <v>43.454511054440601</v>
      </c>
      <c r="AL6779">
        <v>91.464908414339007</v>
      </c>
      <c r="AM6779">
        <v>90.391906268744904</v>
      </c>
      <c r="AN6779">
        <v>1.00000001552935</v>
      </c>
    </row>
    <row r="6780" spans="1:40" x14ac:dyDescent="0.25">
      <c r="A6780" t="str">
        <f>"20190303153943725"</f>
        <v>20190303153943725</v>
      </c>
      <c r="B6780" t="str">
        <f>"1551598783715240"</f>
        <v>1551598783715240</v>
      </c>
      <c r="C6780" t="s">
        <v>40</v>
      </c>
      <c r="D6780">
        <v>4.2203269999999904</v>
      </c>
      <c r="E6780">
        <v>0.47146329999999997</v>
      </c>
      <c r="F6780" t="s">
        <v>63</v>
      </c>
      <c r="G6780">
        <v>-418.4049</v>
      </c>
      <c r="H6780" s="1">
        <v>-5.4244449999999999E-6</v>
      </c>
      <c r="I6780">
        <v>30.880420000000001</v>
      </c>
      <c r="J6780">
        <v>-421.79790000000003</v>
      </c>
      <c r="K6780">
        <v>1.120994</v>
      </c>
      <c r="L6780">
        <v>73.174800000000005</v>
      </c>
      <c r="M6780">
        <v>-3.1651259999999999E-3</v>
      </c>
      <c r="N6780">
        <v>-1.147188E-2</v>
      </c>
      <c r="O6780">
        <v>-0.99992950000000003</v>
      </c>
      <c r="P6780">
        <v>4.1210639999999998E-3</v>
      </c>
      <c r="Q6780">
        <v>-3.6979819999999997E-2</v>
      </c>
      <c r="R6780">
        <v>-0.99930790000000003</v>
      </c>
      <c r="S6780">
        <v>0.23913570000000001</v>
      </c>
      <c r="T6780">
        <v>-7.9026819999999998E-2</v>
      </c>
      <c r="U6780">
        <v>-2.99823</v>
      </c>
      <c r="V6780">
        <v>-7.2934719999999996E-3</v>
      </c>
      <c r="W6780">
        <v>-2.5510919999999999E-2</v>
      </c>
      <c r="X6780">
        <v>0.99964790000000003</v>
      </c>
      <c r="Y6780">
        <v>-8.2634849999999996E-2</v>
      </c>
      <c r="Z6780">
        <v>1.4790670000000001E-2</v>
      </c>
      <c r="AA6780">
        <v>0.99647019999999997</v>
      </c>
      <c r="AB6780">
        <v>23</v>
      </c>
      <c r="AC6780">
        <v>3.3930000000000202</v>
      </c>
      <c r="AD6780">
        <v>-1.1209994244449999</v>
      </c>
      <c r="AE6780">
        <v>-42.294379999999997</v>
      </c>
      <c r="AF6780">
        <v>-3.5243987588249399</v>
      </c>
      <c r="AG6780">
        <v>-1.1209994244449999</v>
      </c>
      <c r="AH6780">
        <v>42.253934627850001</v>
      </c>
      <c r="AI6780">
        <v>91.514447415880596</v>
      </c>
      <c r="AJ6780">
        <v>94.768001448216907</v>
      </c>
      <c r="AK6780">
        <v>42.415480874975799</v>
      </c>
      <c r="AL6780">
        <v>91.461826692205193</v>
      </c>
      <c r="AM6780">
        <v>90.418024935429301</v>
      </c>
      <c r="AN6780">
        <v>0.99999996287373405</v>
      </c>
    </row>
    <row r="6781" spans="1:40" x14ac:dyDescent="0.25">
      <c r="A6781" t="str">
        <f>"20190303153943747"</f>
        <v>20190303153943747</v>
      </c>
      <c r="B6781" t="str">
        <f>"1551598783735736"</f>
        <v>1551598783735736</v>
      </c>
      <c r="C6781" t="s">
        <v>40</v>
      </c>
      <c r="D6781">
        <v>4.2110269999999996</v>
      </c>
      <c r="E6781">
        <v>0.47149600000000003</v>
      </c>
      <c r="F6781" t="s">
        <v>63</v>
      </c>
      <c r="G6781">
        <v>-418.44709999999998</v>
      </c>
      <c r="H6781" s="1">
        <v>-5.182985E-6</v>
      </c>
      <c r="I6781">
        <v>31.33595</v>
      </c>
      <c r="J6781">
        <v>-421.79880000000003</v>
      </c>
      <c r="K6781">
        <v>1.1210310000000001</v>
      </c>
      <c r="L6781">
        <v>72.953829999999996</v>
      </c>
      <c r="M6781">
        <v>-3.3789979999999998E-3</v>
      </c>
      <c r="N6781">
        <v>-1.170266E-2</v>
      </c>
      <c r="O6781">
        <v>-0.99992590000000003</v>
      </c>
      <c r="P6781">
        <v>4.4799890000000002E-3</v>
      </c>
      <c r="Q6781">
        <v>-3.703132E-2</v>
      </c>
      <c r="R6781">
        <v>-0.99930419999999998</v>
      </c>
      <c r="S6781">
        <v>0.2401123</v>
      </c>
      <c r="T6781">
        <v>-8.0329059999999994E-2</v>
      </c>
      <c r="U6781">
        <v>-2.9981080000000002</v>
      </c>
      <c r="V6781">
        <v>-7.8659850000000007E-3</v>
      </c>
      <c r="W6781">
        <v>-2.5331659999999999E-2</v>
      </c>
      <c r="X6781">
        <v>0.99964819999999999</v>
      </c>
      <c r="Y6781">
        <v>-8.3172679999999999E-2</v>
      </c>
      <c r="Z6781">
        <v>1.4992429999999999E-2</v>
      </c>
      <c r="AA6781">
        <v>0.99642240000000004</v>
      </c>
      <c r="AB6781">
        <v>23</v>
      </c>
      <c r="AC6781">
        <v>3.3517000000000499</v>
      </c>
      <c r="AD6781">
        <v>-1.121036182985</v>
      </c>
      <c r="AE6781">
        <v>-41.61788</v>
      </c>
      <c r="AF6781">
        <v>-3.4898014362668901</v>
      </c>
      <c r="AG6781">
        <v>-1.121036182985</v>
      </c>
      <c r="AH6781">
        <v>41.576344061912103</v>
      </c>
      <c r="AI6781">
        <v>91.539100398906399</v>
      </c>
      <c r="AJ6781">
        <v>94.797999723153893</v>
      </c>
      <c r="AK6781">
        <v>41.737606804207502</v>
      </c>
      <c r="AL6781">
        <v>91.451552410454596</v>
      </c>
      <c r="AM6781">
        <v>90.450837045245294</v>
      </c>
      <c r="AN6781">
        <v>1.0000000452408</v>
      </c>
    </row>
    <row r="6782" spans="1:40" x14ac:dyDescent="0.25">
      <c r="A6782" t="str">
        <f>"20190303153943770"</f>
        <v>20190303153943770</v>
      </c>
      <c r="B6782" t="str">
        <f>"1551598783765016"</f>
        <v>1551598783765016</v>
      </c>
      <c r="C6782" t="s">
        <v>40</v>
      </c>
      <c r="D6782">
        <v>4.1602220000000001</v>
      </c>
      <c r="E6782">
        <v>0.47152189999999999</v>
      </c>
      <c r="F6782" t="s">
        <v>63</v>
      </c>
      <c r="G6782">
        <v>-418.38839999999999</v>
      </c>
      <c r="H6782" s="1">
        <v>-5.5480729999999998E-6</v>
      </c>
      <c r="I6782">
        <v>30.64498</v>
      </c>
      <c r="J6782">
        <v>-421.7998</v>
      </c>
      <c r="K6782">
        <v>1.121062</v>
      </c>
      <c r="L6782">
        <v>72.719729999999998</v>
      </c>
      <c r="M6782">
        <v>-3.6047549999999999E-3</v>
      </c>
      <c r="N6782">
        <v>-1.192532E-2</v>
      </c>
      <c r="O6782">
        <v>-0.99992259999999999</v>
      </c>
      <c r="P6782">
        <v>4.5561239999999999E-3</v>
      </c>
      <c r="Q6782">
        <v>-3.6993619999999998E-2</v>
      </c>
      <c r="R6782">
        <v>-0.99930549999999996</v>
      </c>
      <c r="S6782">
        <v>0.24166869999999999</v>
      </c>
      <c r="T6782">
        <v>-7.943857E-2</v>
      </c>
      <c r="U6782">
        <v>-2.9980769999999999</v>
      </c>
      <c r="V6782">
        <v>-8.1672949999999998E-3</v>
      </c>
      <c r="W6782">
        <v>-2.5071309999999999E-2</v>
      </c>
      <c r="X6782">
        <v>0.99965230000000005</v>
      </c>
      <c r="Y6782">
        <v>-8.3912539999999994E-2</v>
      </c>
      <c r="Z6782">
        <v>1.44727E-2</v>
      </c>
      <c r="AA6782">
        <v>0.99636800000000003</v>
      </c>
      <c r="AB6782">
        <v>23</v>
      </c>
      <c r="AC6782">
        <v>3.4114000000000102</v>
      </c>
      <c r="AD6782">
        <v>-1.1210675480729999</v>
      </c>
      <c r="AE6782">
        <v>-42.074750000000002</v>
      </c>
      <c r="AF6782">
        <v>-3.5605464935593001</v>
      </c>
      <c r="AG6782">
        <v>-1.1210675480729999</v>
      </c>
      <c r="AH6782">
        <v>42.032532853127996</v>
      </c>
      <c r="AI6782">
        <v>91.522348293028699</v>
      </c>
      <c r="AJ6782">
        <v>94.841926185211804</v>
      </c>
      <c r="AK6782">
        <v>42.197963242666397</v>
      </c>
      <c r="AL6782">
        <v>91.436630783390598</v>
      </c>
      <c r="AM6782">
        <v>90.468103881578799</v>
      </c>
      <c r="AN6782">
        <v>0.99999999809401097</v>
      </c>
    </row>
    <row r="6783" spans="1:40" x14ac:dyDescent="0.25">
      <c r="A6783" t="str">
        <f>"20190303153943793"</f>
        <v>20190303153943793</v>
      </c>
      <c r="B6783" t="str">
        <f>"1551598783785512"</f>
        <v>1551598783785512</v>
      </c>
      <c r="C6783" t="s">
        <v>40</v>
      </c>
      <c r="D6783">
        <v>4.1424529999999997</v>
      </c>
      <c r="E6783">
        <v>0.47154360000000001</v>
      </c>
      <c r="F6783" t="s">
        <v>63</v>
      </c>
      <c r="G6783">
        <v>-418.34930000000003</v>
      </c>
      <c r="H6783" s="1">
        <v>-5.885614E-6</v>
      </c>
      <c r="I6783">
        <v>29.853729999999999</v>
      </c>
      <c r="J6783">
        <v>-421.80090000000001</v>
      </c>
      <c r="K6783">
        <v>1.121084</v>
      </c>
      <c r="L6783">
        <v>72.488100000000003</v>
      </c>
      <c r="M6783">
        <v>-3.821446E-3</v>
      </c>
      <c r="N6783">
        <v>-1.213495E-2</v>
      </c>
      <c r="O6783">
        <v>-0.99991920000000001</v>
      </c>
      <c r="P6783">
        <v>4.2863770000000001E-3</v>
      </c>
      <c r="Q6783">
        <v>-3.6318530000000002E-2</v>
      </c>
      <c r="R6783">
        <v>-0.99933130000000003</v>
      </c>
      <c r="S6783">
        <v>0.24133299999999999</v>
      </c>
      <c r="T6783">
        <v>-7.8408240000000004E-2</v>
      </c>
      <c r="U6783">
        <v>-2.9980769999999999</v>
      </c>
      <c r="V6783">
        <v>-8.1145609999999993E-3</v>
      </c>
      <c r="W6783">
        <v>-2.4186389999999999E-2</v>
      </c>
      <c r="X6783">
        <v>0.99967459999999997</v>
      </c>
      <c r="Y6783">
        <v>-8.4017980000000006E-2</v>
      </c>
      <c r="Z6783">
        <v>1.3920689999999999E-2</v>
      </c>
      <c r="AA6783">
        <v>0.996367</v>
      </c>
      <c r="AB6783">
        <v>23</v>
      </c>
      <c r="AC6783">
        <v>3.45159999999998</v>
      </c>
      <c r="AD6783">
        <v>-1.1210898856139999</v>
      </c>
      <c r="AE6783">
        <v>-42.634369999999997</v>
      </c>
      <c r="AF6783">
        <v>-3.6120304339323299</v>
      </c>
      <c r="AG6783">
        <v>-1.1210898856139999</v>
      </c>
      <c r="AH6783">
        <v>42.591609346499098</v>
      </c>
      <c r="AI6783">
        <v>91.502392170752699</v>
      </c>
      <c r="AJ6783">
        <v>94.847435653483402</v>
      </c>
      <c r="AK6783">
        <v>42.759195421710999</v>
      </c>
      <c r="AL6783">
        <v>91.385913120825293</v>
      </c>
      <c r="AM6783">
        <v>90.465071221224804</v>
      </c>
      <c r="AN6783">
        <v>1.0000000667233</v>
      </c>
    </row>
    <row r="6784" spans="1:40" x14ac:dyDescent="0.25">
      <c r="A6784" t="str">
        <f>"20190303153943815"</f>
        <v>20190303153943815</v>
      </c>
      <c r="B6784" t="str">
        <f>"1551598783805032"</f>
        <v>1551598783805032</v>
      </c>
      <c r="C6784" t="s">
        <v>40</v>
      </c>
      <c r="D6784">
        <v>4.1614490000000002</v>
      </c>
      <c r="E6784">
        <v>0.47170640000000003</v>
      </c>
      <c r="F6784" t="s">
        <v>63</v>
      </c>
      <c r="G6784">
        <v>-418.27370000000002</v>
      </c>
      <c r="H6784" s="1">
        <v>-7.7462769999999994E-6</v>
      </c>
      <c r="I6784">
        <v>28.44463</v>
      </c>
      <c r="J6784">
        <v>-421.8021</v>
      </c>
      <c r="K6784">
        <v>1.1210979999999999</v>
      </c>
      <c r="L6784">
        <v>72.254490000000004</v>
      </c>
      <c r="M6784">
        <v>-4.0361169999999997E-3</v>
      </c>
      <c r="N6784">
        <v>-1.2333119999999999E-2</v>
      </c>
      <c r="O6784">
        <v>-0.99991589999999997</v>
      </c>
      <c r="P6784">
        <v>4.5325570000000004E-3</v>
      </c>
      <c r="Q6784">
        <v>-3.5847469999999999E-2</v>
      </c>
      <c r="R6784">
        <v>-0.99934730000000005</v>
      </c>
      <c r="S6784">
        <v>0.2401123</v>
      </c>
      <c r="T6784">
        <v>-7.6316830000000002E-2</v>
      </c>
      <c r="U6784">
        <v>-2.9981990000000001</v>
      </c>
      <c r="V6784">
        <v>-8.5751709999999995E-3</v>
      </c>
      <c r="W6784">
        <v>-2.3516869999999999E-2</v>
      </c>
      <c r="X6784">
        <v>0.99968670000000004</v>
      </c>
      <c r="Y6784">
        <v>-8.3826559999999994E-2</v>
      </c>
      <c r="Z6784">
        <v>1.3027260000000001E-2</v>
      </c>
      <c r="AA6784">
        <v>0.99639520000000004</v>
      </c>
      <c r="AB6784">
        <v>23</v>
      </c>
      <c r="AC6784">
        <v>3.5283999999999698</v>
      </c>
      <c r="AD6784">
        <v>-1.121105746277</v>
      </c>
      <c r="AE6784">
        <v>-43.80986</v>
      </c>
      <c r="AF6784">
        <v>-3.70279721648147</v>
      </c>
      <c r="AG6784">
        <v>-1.121105746277</v>
      </c>
      <c r="AH6784">
        <v>43.766784523967701</v>
      </c>
      <c r="AI6784">
        <v>91.462115078272305</v>
      </c>
      <c r="AJ6784">
        <v>94.835873632945294</v>
      </c>
      <c r="AK6784">
        <v>43.937444314481198</v>
      </c>
      <c r="AL6784">
        <v>91.347541575475205</v>
      </c>
      <c r="AM6784">
        <v>90.491463032390399</v>
      </c>
      <c r="AN6784">
        <v>1.0000000374445801</v>
      </c>
    </row>
    <row r="6785" spans="1:40" x14ac:dyDescent="0.25">
      <c r="A6785" t="str">
        <f>"20190303153943837"</f>
        <v>20190303153943837</v>
      </c>
      <c r="B6785" t="str">
        <f>"1551598783825528"</f>
        <v>1551598783825528</v>
      </c>
      <c r="C6785" t="s">
        <v>40</v>
      </c>
      <c r="D6785">
        <v>4.1785129999999997</v>
      </c>
      <c r="E6785">
        <v>0.50064979999999903</v>
      </c>
      <c r="F6785" t="s">
        <v>63</v>
      </c>
      <c r="G6785">
        <v>-418.18849999999998</v>
      </c>
      <c r="H6785" s="1">
        <v>-7.6285839999999997E-6</v>
      </c>
      <c r="I6785">
        <v>27.132529999999999</v>
      </c>
      <c r="J6785">
        <v>-421.8032</v>
      </c>
      <c r="K6785">
        <v>1.1211100000000001</v>
      </c>
      <c r="L6785">
        <v>72.037350000000004</v>
      </c>
      <c r="M6785">
        <v>-4.2369119999999998E-3</v>
      </c>
      <c r="N6785">
        <v>-1.2499150000000001E-2</v>
      </c>
      <c r="O6785">
        <v>-0.9999133</v>
      </c>
      <c r="P6785">
        <v>4.2985189999999998E-3</v>
      </c>
      <c r="Q6785">
        <v>-3.5679969999999998E-2</v>
      </c>
      <c r="R6785">
        <v>-0.99935450000000003</v>
      </c>
      <c r="S6785">
        <v>0.2401123</v>
      </c>
      <c r="T6785">
        <v>-7.4493649999999995E-2</v>
      </c>
      <c r="U6785">
        <v>-2.9981990000000001</v>
      </c>
      <c r="V6785">
        <v>-8.5413929999999996E-3</v>
      </c>
      <c r="W6785">
        <v>-2.3183309999999999E-2</v>
      </c>
      <c r="X6785">
        <v>0.99969479999999999</v>
      </c>
      <c r="Y6785">
        <v>-8.4027370000000004E-2</v>
      </c>
      <c r="Z6785">
        <v>1.2255250000000001E-2</v>
      </c>
      <c r="AA6785">
        <v>0.9963881</v>
      </c>
      <c r="AB6785">
        <v>23</v>
      </c>
      <c r="AC6785">
        <v>3.61470000000002</v>
      </c>
      <c r="AD6785">
        <v>-1.1211176285840001</v>
      </c>
      <c r="AE6785">
        <v>-44.904820000000001</v>
      </c>
      <c r="AF6785">
        <v>-3.80258511276174</v>
      </c>
      <c r="AG6785">
        <v>-1.1211176285840001</v>
      </c>
      <c r="AH6785">
        <v>44.8613172526209</v>
      </c>
      <c r="AI6785">
        <v>91.426453017196295</v>
      </c>
      <c r="AJ6785">
        <v>94.844987648587406</v>
      </c>
      <c r="AK6785">
        <v>45.036144860736201</v>
      </c>
      <c r="AL6785">
        <v>91.328424757433893</v>
      </c>
      <c r="AM6785">
        <v>90.489523264706094</v>
      </c>
      <c r="AN6785">
        <v>1.00000005720198</v>
      </c>
    </row>
    <row r="6786" spans="1:40" x14ac:dyDescent="0.25">
      <c r="A6786" t="str">
        <f>"20190303153943851"</f>
        <v>20190303153943851</v>
      </c>
      <c r="B6786" t="str">
        <f>"1551598783845049"</f>
        <v>1551598783845049</v>
      </c>
      <c r="C6786" t="s">
        <v>40</v>
      </c>
      <c r="D6786">
        <v>4.1643660000000002</v>
      </c>
      <c r="E6786">
        <v>0.50142790000000004</v>
      </c>
      <c r="F6786" t="s">
        <v>71</v>
      </c>
      <c r="G6786">
        <v>-421.59500000000003</v>
      </c>
      <c r="H6786">
        <v>0.47462149999999997</v>
      </c>
      <c r="I6786">
        <v>0.46116829999999998</v>
      </c>
      <c r="J6786">
        <v>-421.80399999999997</v>
      </c>
      <c r="K6786">
        <v>1.1211180000000001</v>
      </c>
      <c r="L6786">
        <v>71.886110000000002</v>
      </c>
      <c r="M6786">
        <v>-4.3781829999999999E-3</v>
      </c>
      <c r="N6786">
        <v>-1.260444E-2</v>
      </c>
      <c r="O6786">
        <v>-0.99991140000000001</v>
      </c>
      <c r="P6786">
        <v>4.396868E-3</v>
      </c>
      <c r="Q6786">
        <v>-3.5737829999999998E-2</v>
      </c>
      <c r="R6786">
        <v>-0.99935220000000002</v>
      </c>
      <c r="S6786">
        <v>8.7280269999999993E-3</v>
      </c>
      <c r="T6786">
        <v>-2.7106169999999999E-2</v>
      </c>
      <c r="U6786">
        <v>-3.0009459999999999</v>
      </c>
      <c r="V6786">
        <v>-8.7811790000000001E-3</v>
      </c>
      <c r="W6786">
        <v>-2.3135869999999999E-2</v>
      </c>
      <c r="X6786">
        <v>0.99969379999999997</v>
      </c>
      <c r="Y6786">
        <v>-7.2858840000000003E-3</v>
      </c>
      <c r="Z6786">
        <v>-3.5728119999999999E-3</v>
      </c>
      <c r="AA6786">
        <v>0.9999671</v>
      </c>
      <c r="AB6786">
        <v>23</v>
      </c>
      <c r="AC6786">
        <v>0.20900000000000299</v>
      </c>
      <c r="AD6786">
        <v>-0.64649650000000003</v>
      </c>
      <c r="AE6786">
        <v>-71.424941700000005</v>
      </c>
      <c r="AF6786">
        <v>-0.52169143213761904</v>
      </c>
      <c r="AG6786">
        <v>-0.64649650000000003</v>
      </c>
      <c r="AH6786">
        <v>71.417490876985298</v>
      </c>
      <c r="AI6786">
        <v>90.518633748838297</v>
      </c>
      <c r="AJ6786">
        <v>90.418527524005995</v>
      </c>
      <c r="AK6786">
        <v>71.422322300798598</v>
      </c>
      <c r="AL6786">
        <v>91.325705945111295</v>
      </c>
      <c r="AM6786">
        <v>90.503265656642398</v>
      </c>
      <c r="AN6786">
        <v>1.0000000356718599</v>
      </c>
    </row>
    <row r="6787" spans="1:40" x14ac:dyDescent="0.25">
      <c r="A6787" t="str">
        <f>"20190303153943865"</f>
        <v>20190303153943865</v>
      </c>
      <c r="B6787" t="str">
        <f>"1551598783855785"</f>
        <v>1551598783855785</v>
      </c>
      <c r="C6787" t="s">
        <v>40</v>
      </c>
      <c r="D6787">
        <v>4.1271620000000002</v>
      </c>
      <c r="E6787">
        <v>0.50222900000000004</v>
      </c>
      <c r="F6787" t="s">
        <v>63</v>
      </c>
      <c r="G6787">
        <v>-421.75279999999998</v>
      </c>
      <c r="H6787">
        <v>7.9986390000000004E-2</v>
      </c>
      <c r="I6787">
        <v>6.4705309999999896</v>
      </c>
      <c r="J6787">
        <v>-421.8048</v>
      </c>
      <c r="K6787">
        <v>1.1211230000000001</v>
      </c>
      <c r="L6787">
        <v>71.740259999999907</v>
      </c>
      <c r="M6787">
        <v>-4.5158689999999996E-3</v>
      </c>
      <c r="N6787">
        <v>-1.2696239999999999E-2</v>
      </c>
      <c r="O6787">
        <v>-0.99990919999999905</v>
      </c>
      <c r="P6787">
        <v>3.901416E-3</v>
      </c>
      <c r="Q6787">
        <v>-3.5797660000000002E-2</v>
      </c>
      <c r="R6787">
        <v>-0.99935160000000001</v>
      </c>
      <c r="S6787">
        <v>2.3498540000000002E-3</v>
      </c>
      <c r="T6787">
        <v>-4.7750830000000001E-2</v>
      </c>
      <c r="U6787">
        <v>-3.0002439999999999</v>
      </c>
      <c r="V6787">
        <v>-8.4231900000000005E-3</v>
      </c>
      <c r="W6787">
        <v>-2.3104050000000001E-2</v>
      </c>
      <c r="X6787">
        <v>0.99969759999999996</v>
      </c>
      <c r="Y6787">
        <v>-5.298479E-3</v>
      </c>
      <c r="Z6787">
        <v>3.217335E-3</v>
      </c>
      <c r="AA6787">
        <v>0.9999808</v>
      </c>
      <c r="AB6787">
        <v>23</v>
      </c>
      <c r="AC6787">
        <v>5.2000000000020898E-2</v>
      </c>
      <c r="AD6787">
        <v>-1.0411366099999999</v>
      </c>
      <c r="AE6787">
        <v>-65.269728999999998</v>
      </c>
      <c r="AF6787">
        <v>-0.34668456334284398</v>
      </c>
      <c r="AG6787">
        <v>-1.0411366099999999</v>
      </c>
      <c r="AH6787">
        <v>65.252225508477594</v>
      </c>
      <c r="AI6787">
        <v>90.914096494302001</v>
      </c>
      <c r="AJ6787">
        <v>90.304409163796905</v>
      </c>
      <c r="AK6787">
        <v>65.261451787685203</v>
      </c>
      <c r="AL6787">
        <v>91.323882327620595</v>
      </c>
      <c r="AM6787">
        <v>90.482747799727704</v>
      </c>
      <c r="AN6787">
        <v>1.0000000193509599</v>
      </c>
    </row>
    <row r="6788" spans="1:40" x14ac:dyDescent="0.25">
      <c r="A6788" t="str">
        <f>"20190303153943879"</f>
        <v>20190303153943879</v>
      </c>
      <c r="B6788" t="str">
        <f>"1551598783875304"</f>
        <v>1551598783875304</v>
      </c>
      <c r="C6788" t="s">
        <v>40</v>
      </c>
      <c r="D6788">
        <v>4.1541889999999997</v>
      </c>
      <c r="E6788">
        <v>0.50219809999999998</v>
      </c>
      <c r="F6788" t="s">
        <v>43</v>
      </c>
      <c r="G6788">
        <v>-421.93130000000002</v>
      </c>
      <c r="H6788">
        <v>-0.05</v>
      </c>
      <c r="I6788">
        <v>-5.0202179999999998</v>
      </c>
      <c r="J6788">
        <v>-421.80560000000003</v>
      </c>
      <c r="K6788">
        <v>1.121129</v>
      </c>
      <c r="L6788">
        <v>71.604799999999997</v>
      </c>
      <c r="M6788">
        <v>-4.6443300000000003E-3</v>
      </c>
      <c r="N6788">
        <v>-1.277475E-2</v>
      </c>
      <c r="O6788">
        <v>-0.99990780000000001</v>
      </c>
      <c r="P6788">
        <v>3.6321259999999998E-3</v>
      </c>
      <c r="Q6788">
        <v>-3.607966E-2</v>
      </c>
      <c r="R6788">
        <v>-0.99934270000000003</v>
      </c>
      <c r="S6788">
        <v>-4.9438479999999998E-3</v>
      </c>
      <c r="T6788">
        <v>-4.5775650000000001E-2</v>
      </c>
      <c r="U6788">
        <v>-3.0003359999999999</v>
      </c>
      <c r="V6788">
        <v>-8.2820499999999991E-3</v>
      </c>
      <c r="W6788">
        <v>-2.3307709999999999E-2</v>
      </c>
      <c r="X6788">
        <v>0.99969399999999997</v>
      </c>
      <c r="Y6788">
        <v>-2.996426E-3</v>
      </c>
      <c r="Z6788">
        <v>2.4803260000000001E-3</v>
      </c>
      <c r="AA6788">
        <v>0.9999924</v>
      </c>
      <c r="AB6788">
        <v>23</v>
      </c>
      <c r="AC6788">
        <v>-0.12569999999999401</v>
      </c>
      <c r="AD6788">
        <v>-1.1711290000000001</v>
      </c>
      <c r="AE6788">
        <v>-76.625017999999997</v>
      </c>
      <c r="AF6788">
        <v>-0.23014843913967301</v>
      </c>
      <c r="AG6788">
        <v>-1.1711290000000001</v>
      </c>
      <c r="AH6788">
        <v>76.606880175885607</v>
      </c>
      <c r="AI6788">
        <v>90.875838037918896</v>
      </c>
      <c r="AJ6788">
        <v>90.172131987644306</v>
      </c>
      <c r="AK6788">
        <v>76.616177154183205</v>
      </c>
      <c r="AL6788">
        <v>91.3355543980947</v>
      </c>
      <c r="AM6788">
        <v>90.4746609011262</v>
      </c>
      <c r="AN6788">
        <v>0.99999996766682198</v>
      </c>
    </row>
    <row r="6789" spans="1:40" x14ac:dyDescent="0.25">
      <c r="A6789" t="str">
        <f>"20190303153943892"</f>
        <v>20190303153943892</v>
      </c>
      <c r="B6789" t="str">
        <f>"1551598783885065"</f>
        <v>1551598783885065</v>
      </c>
      <c r="C6789" t="s">
        <v>40</v>
      </c>
      <c r="D6789">
        <v>4.1355639999999996</v>
      </c>
      <c r="E6789">
        <v>0.5025925</v>
      </c>
      <c r="F6789" t="s">
        <v>63</v>
      </c>
      <c r="G6789">
        <v>-421.92009999999999</v>
      </c>
      <c r="H6789" s="1">
        <v>-9.7300029999999999E-6</v>
      </c>
      <c r="I6789">
        <v>11.701739999999999</v>
      </c>
      <c r="J6789">
        <v>-421.80630000000002</v>
      </c>
      <c r="K6789">
        <v>1.1211340000000001</v>
      </c>
      <c r="L6789">
        <v>71.471409999999906</v>
      </c>
      <c r="M6789">
        <v>-4.7709470000000002E-3</v>
      </c>
      <c r="N6789">
        <v>-1.2847890000000001E-2</v>
      </c>
      <c r="O6789">
        <v>-0.99990610000000002</v>
      </c>
      <c r="P6789">
        <v>3.486589E-3</v>
      </c>
      <c r="Q6789">
        <v>-3.5898380000000001E-2</v>
      </c>
      <c r="R6789">
        <v>-0.9993495</v>
      </c>
      <c r="S6789">
        <v>-5.7373049999999998E-3</v>
      </c>
      <c r="T6789">
        <v>-5.6147099999999998E-2</v>
      </c>
      <c r="U6789">
        <v>-2.9999690000000001</v>
      </c>
      <c r="V6789">
        <v>-8.2630310000000005E-3</v>
      </c>
      <c r="W6789">
        <v>-2.3053259999999999E-2</v>
      </c>
      <c r="X6789">
        <v>0.99970009999999998</v>
      </c>
      <c r="Y6789">
        <v>-2.8583559999999998E-3</v>
      </c>
      <c r="Z6789">
        <v>5.8651129999999999E-3</v>
      </c>
      <c r="AA6789">
        <v>0.9999787</v>
      </c>
      <c r="AB6789">
        <v>23</v>
      </c>
      <c r="AC6789">
        <v>-0.113799999999969</v>
      </c>
      <c r="AD6789">
        <v>-1.121143730003</v>
      </c>
      <c r="AE6789">
        <v>-59.769669999999898</v>
      </c>
      <c r="AF6789">
        <v>-0.171322475710145</v>
      </c>
      <c r="AG6789">
        <v>-1.121143730003</v>
      </c>
      <c r="AH6789">
        <v>59.7485100283034</v>
      </c>
      <c r="AI6789">
        <v>91.074989187785505</v>
      </c>
      <c r="AJ6789">
        <v>90.164289082473402</v>
      </c>
      <c r="AK6789">
        <v>59.759273466603297</v>
      </c>
      <c r="AL6789">
        <v>91.320971511821497</v>
      </c>
      <c r="AM6789">
        <v>90.473568044262606</v>
      </c>
      <c r="AN6789">
        <v>1.0000000102089699</v>
      </c>
    </row>
    <row r="6790" spans="1:40" x14ac:dyDescent="0.25">
      <c r="A6790" t="str">
        <f>"20190303153943907"</f>
        <v>20190303153943907</v>
      </c>
      <c r="B6790" t="str">
        <f>"1551598783895800"</f>
        <v>1551598783895800</v>
      </c>
      <c r="C6790" t="s">
        <v>40</v>
      </c>
      <c r="D6790">
        <v>4.1802419999999998</v>
      </c>
      <c r="E6790">
        <v>0.5025752</v>
      </c>
      <c r="F6790" t="s">
        <v>63</v>
      </c>
      <c r="G6790">
        <v>-422.00549999999998</v>
      </c>
      <c r="H6790">
        <v>7.9986349999999998E-2</v>
      </c>
      <c r="I6790">
        <v>7.8882329999999996</v>
      </c>
      <c r="J6790">
        <v>-421.8073</v>
      </c>
      <c r="K6790">
        <v>1.1211359999999999</v>
      </c>
      <c r="L6790">
        <v>71.312960000000004</v>
      </c>
      <c r="M6790">
        <v>-4.921178E-3</v>
      </c>
      <c r="N6790">
        <v>-1.292748E-2</v>
      </c>
      <c r="O6790">
        <v>-0.99990449999999997</v>
      </c>
      <c r="P6790">
        <v>3.0909259999999999E-3</v>
      </c>
      <c r="Q6790">
        <v>-3.6054309999999999E-2</v>
      </c>
      <c r="R6790">
        <v>-0.99934520000000004</v>
      </c>
      <c r="S6790">
        <v>-9.399414E-3</v>
      </c>
      <c r="T6790">
        <v>-4.9127219999999999E-2</v>
      </c>
      <c r="U6790">
        <v>-3.0002140000000002</v>
      </c>
      <c r="V6790">
        <v>-8.0175179999999995E-3</v>
      </c>
      <c r="W6790">
        <v>-2.3129739999999999E-2</v>
      </c>
      <c r="X6790">
        <v>0.99970029999999999</v>
      </c>
      <c r="Y6790">
        <v>-1.7883829999999999E-3</v>
      </c>
      <c r="Z6790">
        <v>3.4450190000000001E-3</v>
      </c>
      <c r="AA6790">
        <v>0.99999249999999995</v>
      </c>
      <c r="AB6790">
        <v>23</v>
      </c>
      <c r="AC6790">
        <v>-0.198199999999985</v>
      </c>
      <c r="AD6790">
        <v>-1.0411496499999999</v>
      </c>
      <c r="AE6790">
        <v>-63.424726999999997</v>
      </c>
      <c r="AF6790">
        <v>-0.11392210358735699</v>
      </c>
      <c r="AG6790">
        <v>-1.0411496499999999</v>
      </c>
      <c r="AH6790">
        <v>63.407848022275097</v>
      </c>
      <c r="AI6790">
        <v>90.940704126524295</v>
      </c>
      <c r="AJ6790">
        <v>90.102940707012394</v>
      </c>
      <c r="AK6790">
        <v>63.416497551152403</v>
      </c>
      <c r="AL6790">
        <v>91.325354704904797</v>
      </c>
      <c r="AM6790">
        <v>90.459497806682606</v>
      </c>
      <c r="AN6790">
        <v>0.99999997764371795</v>
      </c>
    </row>
    <row r="6791" spans="1:40" x14ac:dyDescent="0.25">
      <c r="A6791" t="str">
        <f>"20190303153943926"</f>
        <v>20190303153943926</v>
      </c>
      <c r="B6791" t="str">
        <f>"1551598783915320"</f>
        <v>1551598783915320</v>
      </c>
      <c r="C6791" t="s">
        <v>40</v>
      </c>
      <c r="D6791">
        <v>4.0865200000000002</v>
      </c>
      <c r="E6791">
        <v>0.50283889999999998</v>
      </c>
      <c r="F6791" t="s">
        <v>43</v>
      </c>
      <c r="G6791">
        <v>-422.05919999999998</v>
      </c>
      <c r="H6791">
        <v>-0.05</v>
      </c>
      <c r="I6791">
        <v>-4.214798</v>
      </c>
      <c r="J6791">
        <v>-421.80829999999997</v>
      </c>
      <c r="K6791">
        <v>1.121138</v>
      </c>
      <c r="L6791">
        <v>71.131590000000003</v>
      </c>
      <c r="M6791">
        <v>-5.0924830000000001E-3</v>
      </c>
      <c r="N6791">
        <v>-1.300895E-2</v>
      </c>
      <c r="O6791">
        <v>-0.99990250000000003</v>
      </c>
      <c r="P6791">
        <v>3.0929460000000001E-3</v>
      </c>
      <c r="Q6791">
        <v>-3.6722409999999997E-2</v>
      </c>
      <c r="R6791">
        <v>-0.99932089999999996</v>
      </c>
      <c r="S6791">
        <v>-1.0009769999999999E-2</v>
      </c>
      <c r="T6791">
        <v>-4.6523330000000002E-2</v>
      </c>
      <c r="U6791">
        <v>-3.0003359999999999</v>
      </c>
      <c r="V6791">
        <v>-8.1909219999999998E-3</v>
      </c>
      <c r="W6791">
        <v>-2.3716609999999999E-2</v>
      </c>
      <c r="X6791">
        <v>0.99968520000000005</v>
      </c>
      <c r="Y6791">
        <v>-1.756416E-3</v>
      </c>
      <c r="Z6791">
        <v>2.495237E-3</v>
      </c>
      <c r="AA6791">
        <v>0.99999539999999998</v>
      </c>
      <c r="AB6791">
        <v>23</v>
      </c>
      <c r="AC6791">
        <v>-0.25090000000000101</v>
      </c>
      <c r="AD6791">
        <v>-1.171138</v>
      </c>
      <c r="AE6791">
        <v>-75.346388000000005</v>
      </c>
      <c r="AF6791">
        <v>-0.13280380702614999</v>
      </c>
      <c r="AG6791">
        <v>-1.171138</v>
      </c>
      <c r="AH6791">
        <v>75.328489722952298</v>
      </c>
      <c r="AI6791">
        <v>90.890708880752697</v>
      </c>
      <c r="AJ6791">
        <v>90.101012110961605</v>
      </c>
      <c r="AK6791">
        <v>75.337710112579998</v>
      </c>
      <c r="AL6791">
        <v>91.358989031676401</v>
      </c>
      <c r="AM6791">
        <v>90.469442539826105</v>
      </c>
      <c r="AN6791">
        <v>1.00000003394607</v>
      </c>
    </row>
    <row r="6792" spans="1:40" x14ac:dyDescent="0.25">
      <c r="A6792" t="str">
        <f>"20190303153943940"</f>
        <v>20190303153943940</v>
      </c>
      <c r="B6792" t="str">
        <f>"1551598783935816"</f>
        <v>1551598783935816</v>
      </c>
      <c r="C6792" t="s">
        <v>40</v>
      </c>
      <c r="D6792">
        <v>4.1143960000000002</v>
      </c>
      <c r="E6792">
        <v>0.50301509999999905</v>
      </c>
      <c r="F6792" t="s">
        <v>71</v>
      </c>
      <c r="G6792">
        <v>-422.08940000000001</v>
      </c>
      <c r="H6792">
        <v>0.12707099999999999</v>
      </c>
      <c r="I6792">
        <v>0.45613480000000001</v>
      </c>
      <c r="J6792">
        <v>-421.80930000000001</v>
      </c>
      <c r="K6792">
        <v>1.1211390000000001</v>
      </c>
      <c r="L6792">
        <v>70.981569999999905</v>
      </c>
      <c r="M6792">
        <v>-5.2334929999999997E-3</v>
      </c>
      <c r="N6792">
        <v>-1.306963E-2</v>
      </c>
      <c r="O6792">
        <v>-0.99990109999999999</v>
      </c>
      <c r="P6792">
        <v>2.9406160000000001E-3</v>
      </c>
      <c r="Q6792">
        <v>-3.685269E-2</v>
      </c>
      <c r="R6792">
        <v>-0.99931680000000001</v>
      </c>
      <c r="S6792">
        <v>-1.1932369999999999E-2</v>
      </c>
      <c r="T6792">
        <v>-4.2204140000000001E-2</v>
      </c>
      <c r="U6792">
        <v>-3.0005190000000002</v>
      </c>
      <c r="V6792">
        <v>-8.1794680000000005E-3</v>
      </c>
      <c r="W6792">
        <v>-2.378626E-2</v>
      </c>
      <c r="X6792">
        <v>0.99968360000000001</v>
      </c>
      <c r="Y6792">
        <v>-1.256992E-3</v>
      </c>
      <c r="Z6792">
        <v>9.9446939999999991E-4</v>
      </c>
      <c r="AA6792">
        <v>0.99999870000000002</v>
      </c>
      <c r="AB6792">
        <v>23</v>
      </c>
      <c r="AC6792">
        <v>-0.28010000000000401</v>
      </c>
      <c r="AD6792">
        <v>-0.99406799999999895</v>
      </c>
      <c r="AE6792">
        <v>-70.525435199999905</v>
      </c>
      <c r="AF6792">
        <v>-8.9011974945569297E-2</v>
      </c>
      <c r="AG6792">
        <v>-0.99406799999999895</v>
      </c>
      <c r="AH6792">
        <v>70.511926575980198</v>
      </c>
      <c r="AI6792">
        <v>90.807694321576705</v>
      </c>
      <c r="AJ6792">
        <v>90.072328300034897</v>
      </c>
      <c r="AK6792">
        <v>70.518989526061205</v>
      </c>
      <c r="AL6792">
        <v>91.362980861798306</v>
      </c>
      <c r="AM6792">
        <v>90.468786861578394</v>
      </c>
      <c r="AN6792">
        <v>0.99999999498525505</v>
      </c>
    </row>
    <row r="6793" spans="1:40" x14ac:dyDescent="0.25">
      <c r="A6793" t="str">
        <f>"20190303153943954"</f>
        <v>20190303153943954</v>
      </c>
      <c r="B6793" t="str">
        <f>"1551598783945577"</f>
        <v>1551598783945577</v>
      </c>
      <c r="C6793" t="s">
        <v>40</v>
      </c>
      <c r="D6793">
        <v>4.1575790000000001</v>
      </c>
      <c r="E6793">
        <v>0.5030097</v>
      </c>
      <c r="F6793" t="s">
        <v>71</v>
      </c>
      <c r="G6793">
        <v>-422.13420000000002</v>
      </c>
      <c r="H6793">
        <v>0.2376016</v>
      </c>
      <c r="I6793">
        <v>0.4556828</v>
      </c>
      <c r="J6793">
        <v>-421.81009999999998</v>
      </c>
      <c r="K6793">
        <v>1.12114</v>
      </c>
      <c r="L6793">
        <v>70.852050000000006</v>
      </c>
      <c r="M6793">
        <v>-5.3551190000000002E-3</v>
      </c>
      <c r="N6793">
        <v>-1.311844E-2</v>
      </c>
      <c r="O6793">
        <v>-0.99989989999999995</v>
      </c>
      <c r="P6793">
        <v>2.6045859999999999E-3</v>
      </c>
      <c r="Q6793">
        <v>-3.7274559999999998E-2</v>
      </c>
      <c r="R6793">
        <v>-0.99930209999999997</v>
      </c>
      <c r="S6793">
        <v>-1.382446E-2</v>
      </c>
      <c r="T6793">
        <v>-3.7593479999999999E-2</v>
      </c>
      <c r="U6793">
        <v>-3.000702</v>
      </c>
      <c r="V6793">
        <v>-7.9653640000000008E-3</v>
      </c>
      <c r="W6793">
        <v>-2.4159569999999998E-2</v>
      </c>
      <c r="X6793">
        <v>0.99967640000000002</v>
      </c>
      <c r="Y6793">
        <v>0</v>
      </c>
      <c r="Z6793">
        <v>0</v>
      </c>
      <c r="AA6793">
        <v>1</v>
      </c>
      <c r="AB6793">
        <v>23</v>
      </c>
      <c r="AC6793">
        <v>-0.32410000000004402</v>
      </c>
      <c r="AD6793">
        <v>-0.88353839999999995</v>
      </c>
      <c r="AE6793">
        <v>-70.3963672</v>
      </c>
      <c r="AF6793">
        <v>-5.2909569753946999E-2</v>
      </c>
      <c r="AG6793">
        <v>-0.88353839999999995</v>
      </c>
      <c r="AH6793">
        <v>70.386006030762701</v>
      </c>
      <c r="AI6793">
        <v>90.719181997174204</v>
      </c>
      <c r="AJ6793">
        <v>90.043069562299493</v>
      </c>
      <c r="AK6793">
        <v>70.391571118205704</v>
      </c>
      <c r="AL6793">
        <v>91.384376066034804</v>
      </c>
      <c r="AM6793">
        <v>90.456519811393406</v>
      </c>
      <c r="AN6793">
        <v>1.00000001828159</v>
      </c>
    </row>
    <row r="6794" spans="1:40" x14ac:dyDescent="0.25">
      <c r="A6794" t="str">
        <f>"20190303153943966"</f>
        <v>20190303153943966</v>
      </c>
      <c r="B6794" t="str">
        <f>"1551598783955336"</f>
        <v>1551598783955336</v>
      </c>
      <c r="C6794" t="s">
        <v>40</v>
      </c>
      <c r="D6794">
        <v>4.1663189999999997</v>
      </c>
      <c r="E6794">
        <v>0.50295900000000004</v>
      </c>
      <c r="F6794" t="s">
        <v>71</v>
      </c>
      <c r="G6794">
        <v>-422.16660000000002</v>
      </c>
      <c r="H6794">
        <v>0.23422370000000001</v>
      </c>
      <c r="I6794">
        <v>0.4553509</v>
      </c>
      <c r="J6794">
        <v>-421.8109</v>
      </c>
      <c r="K6794">
        <v>1.1211439999999999</v>
      </c>
      <c r="L6794">
        <v>70.721500000000006</v>
      </c>
      <c r="M6794">
        <v>-5.4778140000000001E-3</v>
      </c>
      <c r="N6794">
        <v>-1.316349E-2</v>
      </c>
      <c r="O6794">
        <v>-0.99989830000000002</v>
      </c>
      <c r="P6794">
        <v>2.1986499999999999E-3</v>
      </c>
      <c r="Q6794">
        <v>-3.7468889999999998E-2</v>
      </c>
      <c r="R6794">
        <v>-0.99929539999999994</v>
      </c>
      <c r="S6794">
        <v>-1.5197749999999999E-2</v>
      </c>
      <c r="T6794">
        <v>-3.780675E-2</v>
      </c>
      <c r="U6794">
        <v>-3.0007320000000002</v>
      </c>
      <c r="V6794">
        <v>-7.6821869999999896E-3</v>
      </c>
      <c r="W6794">
        <v>-2.4309020000000001E-2</v>
      </c>
      <c r="X6794">
        <v>0.99967499999999998</v>
      </c>
      <c r="Y6794">
        <v>0</v>
      </c>
      <c r="Z6794">
        <v>0</v>
      </c>
      <c r="AA6794">
        <v>1</v>
      </c>
      <c r="AB6794">
        <v>23</v>
      </c>
      <c r="AC6794">
        <v>-0.35570000000001201</v>
      </c>
      <c r="AD6794">
        <v>-0.88692029999999999</v>
      </c>
      <c r="AE6794">
        <v>-70.266149099999893</v>
      </c>
      <c r="AF6794">
        <v>-2.9238946940732698E-2</v>
      </c>
      <c r="AG6794">
        <v>-0.88692029999999999</v>
      </c>
      <c r="AH6794">
        <v>70.255850272935007</v>
      </c>
      <c r="AI6794">
        <v>90.723271956321</v>
      </c>
      <c r="AJ6794">
        <v>90.023845247817505</v>
      </c>
      <c r="AK6794">
        <v>70.261454440593795</v>
      </c>
      <c r="AL6794">
        <v>91.392941426316298</v>
      </c>
      <c r="AM6794">
        <v>90.440291323120306</v>
      </c>
      <c r="AN6794">
        <v>1.0000000250377299</v>
      </c>
    </row>
    <row r="6795" spans="1:40" x14ac:dyDescent="0.25">
      <c r="A6795" t="str">
        <f>"20190303153943979"</f>
        <v>20190303153943979</v>
      </c>
      <c r="B6795" t="str">
        <f>"1551598783975832"</f>
        <v>1551598783975832</v>
      </c>
      <c r="C6795" t="s">
        <v>40</v>
      </c>
      <c r="D6795">
        <v>4.1437850000000003</v>
      </c>
      <c r="E6795">
        <v>0.50290829999999997</v>
      </c>
      <c r="F6795" t="s">
        <v>71</v>
      </c>
      <c r="G6795">
        <v>-422.1825</v>
      </c>
      <c r="H6795">
        <v>0.2261753</v>
      </c>
      <c r="I6795">
        <v>0.4551907</v>
      </c>
      <c r="J6795">
        <v>-421.81180000000001</v>
      </c>
      <c r="K6795">
        <v>1.1211469999999999</v>
      </c>
      <c r="L6795">
        <v>70.590269999999904</v>
      </c>
      <c r="M6795">
        <v>-5.6012869999999999E-3</v>
      </c>
      <c r="N6795">
        <v>-1.3204570000000001E-2</v>
      </c>
      <c r="O6795">
        <v>-0.99989729999999999</v>
      </c>
      <c r="P6795">
        <v>2.124599E-3</v>
      </c>
      <c r="Q6795">
        <v>-3.7499999999999999E-2</v>
      </c>
      <c r="R6795">
        <v>-0.99929480000000004</v>
      </c>
      <c r="S6795">
        <v>-1.586914E-2</v>
      </c>
      <c r="T6795">
        <v>-3.8220879999999999E-2</v>
      </c>
      <c r="U6795">
        <v>-3.0007320000000002</v>
      </c>
      <c r="V6795">
        <v>-7.7308100000000003E-3</v>
      </c>
      <c r="W6795">
        <v>-2.4299049999999999E-2</v>
      </c>
      <c r="X6795">
        <v>0.99967490000000003</v>
      </c>
      <c r="Y6795">
        <v>0</v>
      </c>
      <c r="Z6795">
        <v>0</v>
      </c>
      <c r="AA6795">
        <v>1</v>
      </c>
      <c r="AB6795">
        <v>23</v>
      </c>
      <c r="AC6795">
        <v>-0.37069999999999897</v>
      </c>
      <c r="AD6795">
        <v>-0.89497169999999904</v>
      </c>
      <c r="AE6795">
        <v>-70.135079299999902</v>
      </c>
      <c r="AF6795">
        <v>-2.2183097225657099E-2</v>
      </c>
      <c r="AG6795">
        <v>-0.89497169999999904</v>
      </c>
      <c r="AH6795">
        <v>70.124637020908906</v>
      </c>
      <c r="AI6795">
        <v>90.731202569570698</v>
      </c>
      <c r="AJ6795">
        <v>90.018124839701898</v>
      </c>
      <c r="AK6795">
        <v>70.130351373337803</v>
      </c>
      <c r="AL6795">
        <v>91.392369973453199</v>
      </c>
      <c r="AM6795">
        <v>90.443078000230898</v>
      </c>
      <c r="AN6795">
        <v>1.00000005747208</v>
      </c>
    </row>
    <row r="6796" spans="1:40" x14ac:dyDescent="0.25">
      <c r="A6796" t="str">
        <f>"20190303153943994"</f>
        <v>20190303153943994</v>
      </c>
      <c r="B6796" t="str">
        <f>"1551598783985592"</f>
        <v>1551598783985592</v>
      </c>
      <c r="C6796" t="s">
        <v>40</v>
      </c>
      <c r="D6796">
        <v>4.1373850000000001</v>
      </c>
      <c r="E6796">
        <v>0.50286330000000001</v>
      </c>
      <c r="F6796" t="s">
        <v>71</v>
      </c>
      <c r="G6796">
        <v>-422.1841</v>
      </c>
      <c r="H6796">
        <v>0.2323009</v>
      </c>
      <c r="I6796">
        <v>0.45517350000000001</v>
      </c>
      <c r="J6796">
        <v>-421.81270000000001</v>
      </c>
      <c r="K6796">
        <v>1.121154</v>
      </c>
      <c r="L6796">
        <v>70.44708</v>
      </c>
      <c r="M6796">
        <v>-5.7362119999999897E-3</v>
      </c>
      <c r="N6796">
        <v>-1.3246529999999999E-2</v>
      </c>
      <c r="O6796">
        <v>-0.99989609999999995</v>
      </c>
      <c r="P6796">
        <v>1.794527E-3</v>
      </c>
      <c r="Q6796">
        <v>-3.6844250000000002E-2</v>
      </c>
      <c r="R6796">
        <v>-0.99931990000000004</v>
      </c>
      <c r="S6796">
        <v>-1.5930179999999999E-2</v>
      </c>
      <c r="T6796">
        <v>-3.8030509999999997E-2</v>
      </c>
      <c r="U6796">
        <v>-3.0007320000000002</v>
      </c>
      <c r="V6796">
        <v>-7.53549699999999E-3</v>
      </c>
      <c r="W6796">
        <v>-2.360114E-2</v>
      </c>
      <c r="X6796">
        <v>0.99969300000000005</v>
      </c>
      <c r="Y6796">
        <v>0</v>
      </c>
      <c r="Z6796">
        <v>0</v>
      </c>
      <c r="AA6796">
        <v>1</v>
      </c>
      <c r="AB6796">
        <v>23</v>
      </c>
      <c r="AC6796">
        <v>-0.37139999999999401</v>
      </c>
      <c r="AD6796">
        <v>-0.88885309999999995</v>
      </c>
      <c r="AE6796">
        <v>-69.991906499999999</v>
      </c>
      <c r="AF6796">
        <v>-3.01247789487686E-2</v>
      </c>
      <c r="AG6796">
        <v>-0.88885309999999995</v>
      </c>
      <c r="AH6796">
        <v>69.981599499090095</v>
      </c>
      <c r="AI6796">
        <v>90.727688257775597</v>
      </c>
      <c r="AJ6796">
        <v>90.024663948784607</v>
      </c>
      <c r="AK6796">
        <v>69.987250523125496</v>
      </c>
      <c r="AL6796">
        <v>91.352371354958606</v>
      </c>
      <c r="AM6796">
        <v>90.431876583839298</v>
      </c>
      <c r="AN6796">
        <v>0.99999994588666696</v>
      </c>
    </row>
    <row r="6797" spans="1:40" x14ac:dyDescent="0.25">
      <c r="A6797" t="str">
        <f>"20190303153944016"</f>
        <v>20190303153944016</v>
      </c>
      <c r="B6797" t="str">
        <f>"1551598784005112"</f>
        <v>1551598784005112</v>
      </c>
      <c r="C6797" t="s">
        <v>40</v>
      </c>
      <c r="D6797">
        <v>4.1709930000000002</v>
      </c>
      <c r="E6797">
        <v>0.50284390000000001</v>
      </c>
      <c r="F6797" t="s">
        <v>71</v>
      </c>
      <c r="G6797">
        <v>-422.19779999999997</v>
      </c>
      <c r="H6797">
        <v>0.28950559999999997</v>
      </c>
      <c r="I6797">
        <v>0.4550362</v>
      </c>
      <c r="J6797">
        <v>-421.8143</v>
      </c>
      <c r="K6797">
        <v>1.121154</v>
      </c>
      <c r="L6797">
        <v>70.217010000000002</v>
      </c>
      <c r="M6797">
        <v>-5.9536750000000003E-3</v>
      </c>
      <c r="N6797">
        <v>-1.3305859999999999E-2</v>
      </c>
      <c r="O6797">
        <v>-0.99989399999999995</v>
      </c>
      <c r="P6797">
        <v>1.8431960000000001E-3</v>
      </c>
      <c r="Q6797">
        <v>-3.6443740000000002E-2</v>
      </c>
      <c r="R6797">
        <v>-0.99933439999999996</v>
      </c>
      <c r="S6797">
        <v>-1.6510009999999999E-2</v>
      </c>
      <c r="T6797">
        <v>-3.5656210000000001E-2</v>
      </c>
      <c r="U6797">
        <v>-3.0007630000000001</v>
      </c>
      <c r="V6797">
        <v>-7.802051E-3</v>
      </c>
      <c r="W6797">
        <v>-2.3141100000000001E-2</v>
      </c>
      <c r="X6797">
        <v>0.99970170000000003</v>
      </c>
      <c r="Y6797">
        <v>-4.5228370000000001E-4</v>
      </c>
      <c r="Z6797">
        <v>-1.424617E-3</v>
      </c>
      <c r="AA6797">
        <v>0.99999890000000002</v>
      </c>
      <c r="AB6797">
        <v>23</v>
      </c>
      <c r="AC6797">
        <v>-0.38349999999996898</v>
      </c>
      <c r="AD6797">
        <v>-0.83164839999999995</v>
      </c>
      <c r="AE6797">
        <v>-69.761973800000007</v>
      </c>
      <c r="AF6797">
        <v>-3.1879054515593801E-2</v>
      </c>
      <c r="AG6797">
        <v>-0.83164839999999995</v>
      </c>
      <c r="AH6797">
        <v>69.753107895912507</v>
      </c>
      <c r="AI6797">
        <v>90.683090433832604</v>
      </c>
      <c r="AJ6797">
        <v>90.026185717117599</v>
      </c>
      <c r="AK6797">
        <v>69.758072769208198</v>
      </c>
      <c r="AL6797">
        <v>91.326005814802201</v>
      </c>
      <c r="AM6797">
        <v>90.447148902854295</v>
      </c>
      <c r="AN6797">
        <v>0.99999993574595103</v>
      </c>
    </row>
    <row r="6798" spans="1:40" x14ac:dyDescent="0.25">
      <c r="A6798" t="str">
        <f>"20190303153944038"</f>
        <v>20190303153944038</v>
      </c>
      <c r="B6798" t="str">
        <f>"1551598784025608"</f>
        <v>1551598784025608</v>
      </c>
      <c r="C6798" t="s">
        <v>40</v>
      </c>
      <c r="D6798">
        <v>4.1397930000000001</v>
      </c>
      <c r="E6798">
        <v>0.50281980000000004</v>
      </c>
      <c r="F6798" t="s">
        <v>71</v>
      </c>
      <c r="G6798">
        <v>-422.18889999999999</v>
      </c>
      <c r="H6798">
        <v>0.32733459999999998</v>
      </c>
      <c r="I6798">
        <v>0.45512390000000003</v>
      </c>
      <c r="J6798">
        <v>-421.8159</v>
      </c>
      <c r="K6798">
        <v>1.121156</v>
      </c>
      <c r="L6798">
        <v>70.001859999999994</v>
      </c>
      <c r="M6798">
        <v>-6.1568959999999898E-3</v>
      </c>
      <c r="N6798">
        <v>-1.335389E-2</v>
      </c>
      <c r="O6798">
        <v>-0.99989209999999995</v>
      </c>
      <c r="P6798">
        <v>1.8073379999999999E-3</v>
      </c>
      <c r="Q6798">
        <v>-3.6078590000000001E-2</v>
      </c>
      <c r="R6798">
        <v>-0.99934769999999995</v>
      </c>
      <c r="S6798">
        <v>-1.6113280000000001E-2</v>
      </c>
      <c r="T6798">
        <v>-3.414702E-2</v>
      </c>
      <c r="U6798">
        <v>-3.0007929999999998</v>
      </c>
      <c r="V6798">
        <v>-7.9689700000000006E-3</v>
      </c>
      <c r="W6798">
        <v>-2.2727750000000001E-2</v>
      </c>
      <c r="X6798">
        <v>0.99970990000000004</v>
      </c>
      <c r="Y6798">
        <v>-7.8774089999999997E-4</v>
      </c>
      <c r="Z6798">
        <v>-1.9756320000000002E-3</v>
      </c>
      <c r="AA6798">
        <v>0.99999769999999999</v>
      </c>
      <c r="AB6798">
        <v>23</v>
      </c>
      <c r="AC6798">
        <v>-0.37299999999999001</v>
      </c>
      <c r="AD6798">
        <v>-0.79382140000000001</v>
      </c>
      <c r="AE6798">
        <v>-69.546736099999904</v>
      </c>
      <c r="AF6798">
        <v>-5.5229985654554198E-2</v>
      </c>
      <c r="AG6798">
        <v>-0.79382140000000001</v>
      </c>
      <c r="AH6798">
        <v>69.538654877906396</v>
      </c>
      <c r="AI6798">
        <v>90.654033732967306</v>
      </c>
      <c r="AJ6798">
        <v>90.045506264404196</v>
      </c>
      <c r="AK6798">
        <v>69.543207612210296</v>
      </c>
      <c r="AL6798">
        <v>91.302316327513907</v>
      </c>
      <c r="AM6798">
        <v>90.456711169599501</v>
      </c>
      <c r="AN6798">
        <v>0.999999969630466</v>
      </c>
    </row>
    <row r="6799" spans="1:40" x14ac:dyDescent="0.25">
      <c r="A6799" t="str">
        <f>"20190303153944054"</f>
        <v>20190303153944054</v>
      </c>
      <c r="B6799" t="str">
        <f>"1551598784045129"</f>
        <v>1551598784045129</v>
      </c>
      <c r="C6799" t="s">
        <v>40</v>
      </c>
      <c r="D6799">
        <v>4.1623429999999999</v>
      </c>
      <c r="E6799">
        <v>0.50279180000000001</v>
      </c>
      <c r="F6799" t="s">
        <v>71</v>
      </c>
      <c r="G6799">
        <v>-422.18720000000002</v>
      </c>
      <c r="H6799">
        <v>0.2221736</v>
      </c>
      <c r="I6799">
        <v>0.45514300000000002</v>
      </c>
      <c r="J6799">
        <v>-421.81709999999998</v>
      </c>
      <c r="K6799">
        <v>1.121159</v>
      </c>
      <c r="L6799">
        <v>69.830749999999995</v>
      </c>
      <c r="M6799">
        <v>-6.3184969999999898E-3</v>
      </c>
      <c r="N6799">
        <v>-1.338754E-2</v>
      </c>
      <c r="O6799">
        <v>-0.99989059999999996</v>
      </c>
      <c r="P6799">
        <v>1.6388559999999999E-3</v>
      </c>
      <c r="Q6799">
        <v>-3.5927189999999998E-2</v>
      </c>
      <c r="R6799">
        <v>-0.99935320000000005</v>
      </c>
      <c r="S6799">
        <v>-1.6021730000000001E-2</v>
      </c>
      <c r="T6799">
        <v>-3.8787479999999999E-2</v>
      </c>
      <c r="U6799">
        <v>-3.0005799999999998</v>
      </c>
      <c r="V6799">
        <v>-7.9618520000000002E-3</v>
      </c>
      <c r="W6799">
        <v>-2.2542650000000001E-2</v>
      </c>
      <c r="X6799">
        <v>0.9997142</v>
      </c>
      <c r="Y6799">
        <v>0</v>
      </c>
      <c r="Z6799">
        <v>0</v>
      </c>
      <c r="AA6799">
        <v>1</v>
      </c>
      <c r="AB6799">
        <v>23</v>
      </c>
      <c r="AC6799">
        <v>-0.37010000000003601</v>
      </c>
      <c r="AD6799">
        <v>-0.89898539999999905</v>
      </c>
      <c r="AE6799">
        <v>-69.375606999999903</v>
      </c>
      <c r="AF6799">
        <v>-6.8284696043265203E-2</v>
      </c>
      <c r="AG6799">
        <v>-0.89898539999999905</v>
      </c>
      <c r="AH6799">
        <v>69.364913431382803</v>
      </c>
      <c r="AI6799">
        <v>90.742524688010803</v>
      </c>
      <c r="AJ6799">
        <v>90.056403496108203</v>
      </c>
      <c r="AK6799">
        <v>69.370772324462095</v>
      </c>
      <c r="AL6799">
        <v>91.291708092928204</v>
      </c>
      <c r="AM6799">
        <v>90.456301283209697</v>
      </c>
      <c r="AN6799">
        <v>1.00000002191896</v>
      </c>
    </row>
    <row r="6800" spans="1:40" x14ac:dyDescent="0.25">
      <c r="A6800" t="str">
        <f>"20190303153944072"</f>
        <v>20190303153944072</v>
      </c>
      <c r="B6800" t="str">
        <f>"1551598784065624"</f>
        <v>1551598784065624</v>
      </c>
      <c r="C6800" t="s">
        <v>40</v>
      </c>
      <c r="D6800">
        <v>4.1069829999999996</v>
      </c>
      <c r="E6800">
        <v>0.50302910000000001</v>
      </c>
      <c r="F6800" t="s">
        <v>71</v>
      </c>
      <c r="G6800">
        <v>-422.20089999999999</v>
      </c>
      <c r="H6800">
        <v>0.23158200000000001</v>
      </c>
      <c r="I6800">
        <v>0.45500560000000001</v>
      </c>
      <c r="J6800">
        <v>-421.8184</v>
      </c>
      <c r="K6800">
        <v>1.1211629999999999</v>
      </c>
      <c r="L6800">
        <v>69.658600000000007</v>
      </c>
      <c r="M6800">
        <v>-6.4809469999999999E-3</v>
      </c>
      <c r="N6800">
        <v>-1.3417739999999999E-2</v>
      </c>
      <c r="O6800">
        <v>-0.99988920000000003</v>
      </c>
      <c r="P6800">
        <v>1.3805929999999901E-3</v>
      </c>
      <c r="Q6800">
        <v>-3.5604879999999998E-2</v>
      </c>
      <c r="R6800">
        <v>-0.99936539999999996</v>
      </c>
      <c r="S6800">
        <v>-1.6601560000000001E-2</v>
      </c>
      <c r="T6800">
        <v>-3.8476349999999999E-2</v>
      </c>
      <c r="U6800">
        <v>-3.0005799999999998</v>
      </c>
      <c r="V6800">
        <v>-7.8660980000000002E-3</v>
      </c>
      <c r="W6800">
        <v>-2.2190060000000001E-2</v>
      </c>
      <c r="X6800">
        <v>0.99972280000000002</v>
      </c>
      <c r="Y6800">
        <v>0</v>
      </c>
      <c r="Z6800">
        <v>0</v>
      </c>
      <c r="AA6800">
        <v>1</v>
      </c>
      <c r="AB6800">
        <v>22</v>
      </c>
      <c r="AC6800">
        <v>-0.38249999999999301</v>
      </c>
      <c r="AD6800">
        <v>-0.88958099999999996</v>
      </c>
      <c r="AE6800">
        <v>-69.2035944</v>
      </c>
      <c r="AF6800">
        <v>-6.6042227413640894E-2</v>
      </c>
      <c r="AG6800">
        <v>-0.88958099999999996</v>
      </c>
      <c r="AH6800">
        <v>69.193186846923197</v>
      </c>
      <c r="AI6800">
        <v>90.736581273430801</v>
      </c>
      <c r="AJ6800">
        <v>90.054686594501902</v>
      </c>
      <c r="AK6800">
        <v>69.198936566717407</v>
      </c>
      <c r="AL6800">
        <v>91.271501178395297</v>
      </c>
      <c r="AM6800">
        <v>90.450809880682002</v>
      </c>
      <c r="AN6800">
        <v>0.99999997555019404</v>
      </c>
    </row>
    <row r="6801" spans="1:40" x14ac:dyDescent="0.25">
      <c r="A6801" t="str">
        <f>"20190303153944089"</f>
        <v>20190303153944089</v>
      </c>
      <c r="B6801" t="str">
        <f>"1551598784075385"</f>
        <v>1551598784075385</v>
      </c>
      <c r="C6801" t="s">
        <v>40</v>
      </c>
      <c r="D6801">
        <v>4.123958</v>
      </c>
      <c r="E6801">
        <v>0.50309399999999904</v>
      </c>
      <c r="F6801" t="s">
        <v>71</v>
      </c>
      <c r="G6801">
        <v>-422.25400000000002</v>
      </c>
      <c r="H6801">
        <v>0.31088969999999999</v>
      </c>
      <c r="I6801">
        <v>0.45446399999999998</v>
      </c>
      <c r="J6801">
        <v>-421.81970000000001</v>
      </c>
      <c r="K6801">
        <v>1.1211660000000001</v>
      </c>
      <c r="L6801">
        <v>69.490569999999906</v>
      </c>
      <c r="M6801">
        <v>-6.6392990000000004E-3</v>
      </c>
      <c r="N6801">
        <v>-1.344395E-2</v>
      </c>
      <c r="O6801">
        <v>-0.99988779999999999</v>
      </c>
      <c r="P6801">
        <v>1.370168E-3</v>
      </c>
      <c r="Q6801">
        <v>-3.5254729999999998E-2</v>
      </c>
      <c r="R6801">
        <v>-0.99937759999999998</v>
      </c>
      <c r="S6801">
        <v>-1.8890379999999998E-2</v>
      </c>
      <c r="T6801">
        <v>-3.5134430000000001E-2</v>
      </c>
      <c r="U6801">
        <v>-3.0006710000000001</v>
      </c>
      <c r="V6801">
        <v>-8.0134660000000003E-3</v>
      </c>
      <c r="W6801">
        <v>-2.1813539999999999E-2</v>
      </c>
      <c r="X6801">
        <v>0.99972989999999995</v>
      </c>
      <c r="Y6801">
        <v>-3.4459669999999999E-4</v>
      </c>
      <c r="Z6801">
        <v>-1.7362479999999999E-3</v>
      </c>
      <c r="AA6801">
        <v>0.99999850000000001</v>
      </c>
      <c r="AB6801">
        <v>22</v>
      </c>
      <c r="AC6801">
        <v>-0.43430000000000701</v>
      </c>
      <c r="AD6801">
        <v>-0.81027629999999995</v>
      </c>
      <c r="AE6801">
        <v>-69.036105999999904</v>
      </c>
      <c r="AF6801">
        <v>-2.4098931326096799E-2</v>
      </c>
      <c r="AG6801">
        <v>-0.81027629999999995</v>
      </c>
      <c r="AH6801">
        <v>69.027959141797197</v>
      </c>
      <c r="AI6801">
        <v>90.672528607859803</v>
      </c>
      <c r="AJ6801">
        <v>90.020003010618098</v>
      </c>
      <c r="AK6801">
        <v>69.032718849270694</v>
      </c>
      <c r="AL6801">
        <v>91.249922967409503</v>
      </c>
      <c r="AM6801">
        <v>90.459251992160702</v>
      </c>
      <c r="AN6801">
        <v>0.99999995955933596</v>
      </c>
    </row>
    <row r="6802" spans="1:40" x14ac:dyDescent="0.25">
      <c r="A6802" t="str">
        <f>"20190303153944105"</f>
        <v>20190303153944105</v>
      </c>
      <c r="B6802" t="str">
        <f>"1551598784094905"</f>
        <v>1551598784094905</v>
      </c>
      <c r="C6802" t="s">
        <v>40</v>
      </c>
      <c r="D6802">
        <v>4.1444910000000004</v>
      </c>
      <c r="E6802">
        <v>0.50324139999999995</v>
      </c>
      <c r="F6802" t="s">
        <v>71</v>
      </c>
      <c r="G6802">
        <v>-422.27809999999999</v>
      </c>
      <c r="H6802">
        <v>0.36361840000000001</v>
      </c>
      <c r="I6802">
        <v>0.45421980000000001</v>
      </c>
      <c r="J6802">
        <v>-421.82100000000003</v>
      </c>
      <c r="K6802">
        <v>1.1211719999999901</v>
      </c>
      <c r="L6802">
        <v>69.324460000000002</v>
      </c>
      <c r="M6802">
        <v>-6.7958840000000003E-3</v>
      </c>
      <c r="N6802">
        <v>-1.3466590000000001E-2</v>
      </c>
      <c r="O6802">
        <v>-0.99988630000000001</v>
      </c>
      <c r="P6802">
        <v>1.3365129999999999E-3</v>
      </c>
      <c r="Q6802">
        <v>-3.4354580000000003E-2</v>
      </c>
      <c r="R6802">
        <v>-0.99940899999999999</v>
      </c>
      <c r="S6802">
        <v>-1.9927980000000001E-2</v>
      </c>
      <c r="T6802">
        <v>-3.2928819999999998E-2</v>
      </c>
      <c r="U6802">
        <v>-3.0007320000000002</v>
      </c>
      <c r="V6802">
        <v>-8.1361379999999994E-3</v>
      </c>
      <c r="W6802">
        <v>-2.0890389999999998E-2</v>
      </c>
      <c r="X6802">
        <v>0.99974859999999999</v>
      </c>
      <c r="Y6802">
        <v>-1.5560619999999999E-4</v>
      </c>
      <c r="Z6802">
        <v>-2.4940320000000002E-3</v>
      </c>
      <c r="AA6802">
        <v>0.99999689999999997</v>
      </c>
      <c r="AB6802">
        <v>22</v>
      </c>
      <c r="AC6802">
        <v>-0.45710000000002499</v>
      </c>
      <c r="AD6802">
        <v>-0.75755359999999905</v>
      </c>
      <c r="AE6802">
        <v>-68.870240199999998</v>
      </c>
      <c r="AF6802">
        <v>-1.0985802060486299E-2</v>
      </c>
      <c r="AG6802">
        <v>-0.75755359999999905</v>
      </c>
      <c r="AH6802">
        <v>68.863424532054793</v>
      </c>
      <c r="AI6802">
        <v>90.630274677639704</v>
      </c>
      <c r="AJ6802">
        <v>90.009140412222706</v>
      </c>
      <c r="AK6802">
        <v>68.867592134666097</v>
      </c>
      <c r="AL6802">
        <v>91.197018333765101</v>
      </c>
      <c r="AM6802">
        <v>90.466273299046904</v>
      </c>
      <c r="AN6802">
        <v>0.99999993416893096</v>
      </c>
    </row>
    <row r="6803" spans="1:40" x14ac:dyDescent="0.25">
      <c r="A6803" t="str">
        <f>"20190303153944127"</f>
        <v>20190303153944127</v>
      </c>
      <c r="B6803" t="str">
        <f>"1551598784115400"</f>
        <v>1551598784115400</v>
      </c>
      <c r="C6803" t="s">
        <v>40</v>
      </c>
      <c r="D6803">
        <v>4.1593629999999999</v>
      </c>
      <c r="E6803">
        <v>0.5033803</v>
      </c>
      <c r="F6803" t="s">
        <v>71</v>
      </c>
      <c r="G6803">
        <v>-422.3</v>
      </c>
      <c r="H6803">
        <v>0.46448830000000002</v>
      </c>
      <c r="I6803">
        <v>0.45399479999999998</v>
      </c>
      <c r="J6803">
        <v>-421.8227</v>
      </c>
      <c r="K6803">
        <v>1.1211789999999999</v>
      </c>
      <c r="L6803">
        <v>69.106989999999996</v>
      </c>
      <c r="M6803">
        <v>-7.0009299999999998E-3</v>
      </c>
      <c r="N6803">
        <v>-1.349295E-2</v>
      </c>
      <c r="O6803">
        <v>-0.99988469999999996</v>
      </c>
      <c r="P6803">
        <v>1.266987E-3</v>
      </c>
      <c r="Q6803">
        <v>-3.3293969999999999E-2</v>
      </c>
      <c r="R6803">
        <v>-0.99944509999999998</v>
      </c>
      <c r="S6803">
        <v>-2.087402E-2</v>
      </c>
      <c r="T6803">
        <v>-2.8613920000000001E-2</v>
      </c>
      <c r="U6803">
        <v>-3.0007929999999998</v>
      </c>
      <c r="V6803">
        <v>-8.2717109999999993E-3</v>
      </c>
      <c r="W6803">
        <v>-1.9803009999999999E-2</v>
      </c>
      <c r="X6803">
        <v>0.99976969999999998</v>
      </c>
      <c r="Y6803" s="1">
        <v>-4.5614870000000001E-5</v>
      </c>
      <c r="Z6803">
        <v>-3.9583159999999999E-3</v>
      </c>
      <c r="AA6803">
        <v>0.9999922</v>
      </c>
      <c r="AB6803">
        <v>22</v>
      </c>
      <c r="AC6803">
        <v>-0.47730000000001299</v>
      </c>
      <c r="AD6803">
        <v>-0.65669069999999996</v>
      </c>
      <c r="AE6803">
        <v>-68.652995199999907</v>
      </c>
      <c r="AF6803">
        <v>-3.3898440282485402E-3</v>
      </c>
      <c r="AG6803">
        <v>-0.65669069999999996</v>
      </c>
      <c r="AH6803">
        <v>68.648373518461398</v>
      </c>
      <c r="AI6803">
        <v>90.548075008295598</v>
      </c>
      <c r="AJ6803">
        <v>90.002829255026896</v>
      </c>
      <c r="AK6803">
        <v>68.651514483634699</v>
      </c>
      <c r="AL6803">
        <v>91.134703047961494</v>
      </c>
      <c r="AM6803">
        <v>90.474032485749404</v>
      </c>
      <c r="AN6803">
        <v>1.0000000167230001</v>
      </c>
    </row>
    <row r="6804" spans="1:40" x14ac:dyDescent="0.25">
      <c r="A6804" t="str">
        <f>"20190303153944142"</f>
        <v>20190303153944142</v>
      </c>
      <c r="B6804" t="str">
        <f>"1551598784134920"</f>
        <v>1551598784134920</v>
      </c>
      <c r="C6804" t="s">
        <v>40</v>
      </c>
      <c r="D6804">
        <v>4.1502819999999998</v>
      </c>
      <c r="E6804">
        <v>0.50351979999999996</v>
      </c>
      <c r="F6804" t="s">
        <v>71</v>
      </c>
      <c r="G6804">
        <v>-422.3372</v>
      </c>
      <c r="H6804">
        <v>0.57360509999999998</v>
      </c>
      <c r="I6804">
        <v>0.4536171</v>
      </c>
      <c r="J6804">
        <v>-421.82389999999998</v>
      </c>
      <c r="K6804">
        <v>1.121189</v>
      </c>
      <c r="L6804">
        <v>68.955780000000004</v>
      </c>
      <c r="M6804">
        <v>-7.1436269999999996E-3</v>
      </c>
      <c r="N6804">
        <v>-1.350879E-2</v>
      </c>
      <c r="O6804">
        <v>-0.99988350000000004</v>
      </c>
      <c r="P6804">
        <v>1.410997E-3</v>
      </c>
      <c r="Q6804">
        <v>-3.2620940000000001E-2</v>
      </c>
      <c r="R6804">
        <v>-0.99946699999999999</v>
      </c>
      <c r="S6804">
        <v>-2.2491460000000001E-2</v>
      </c>
      <c r="T6804">
        <v>-2.3936030000000001E-2</v>
      </c>
      <c r="U6804">
        <v>-3.0009160000000001</v>
      </c>
      <c r="V6804">
        <v>-8.5583380000000004E-3</v>
      </c>
      <c r="W6804">
        <v>-1.9113829999999998E-2</v>
      </c>
      <c r="X6804">
        <v>0.99978069999999997</v>
      </c>
      <c r="Y6804">
        <v>3.5022070000000001E-4</v>
      </c>
      <c r="Z6804">
        <v>-5.5331520000000004E-3</v>
      </c>
      <c r="AA6804">
        <v>0.9999846</v>
      </c>
      <c r="AB6804">
        <v>22</v>
      </c>
      <c r="AC6804">
        <v>-0.51330000000001497</v>
      </c>
      <c r="AD6804">
        <v>-0.54758390000000001</v>
      </c>
      <c r="AE6804">
        <v>-68.502162900000002</v>
      </c>
      <c r="AF6804">
        <v>2.3886947250081499E-2</v>
      </c>
      <c r="AG6804">
        <v>-0.54758390000000001</v>
      </c>
      <c r="AH6804">
        <v>68.499705032200694</v>
      </c>
      <c r="AI6804">
        <v>90.458010384070207</v>
      </c>
      <c r="AJ6804">
        <v>89.980020042323304</v>
      </c>
      <c r="AK6804">
        <v>68.501897843872001</v>
      </c>
      <c r="AL6804">
        <v>91.095208465822395</v>
      </c>
      <c r="AM6804">
        <v>90.490452226411605</v>
      </c>
      <c r="AN6804">
        <v>1.0000000158695399</v>
      </c>
    </row>
    <row r="6805" spans="1:40" x14ac:dyDescent="0.25">
      <c r="A6805" t="str">
        <f>"20190303153944156"</f>
        <v>20190303153944156</v>
      </c>
      <c r="B6805" t="str">
        <f>"1551598784145657"</f>
        <v>1551598784145657</v>
      </c>
      <c r="C6805" t="s">
        <v>40</v>
      </c>
      <c r="D6805">
        <v>4.1658229999999996</v>
      </c>
      <c r="E6805">
        <v>0.50356210000000001</v>
      </c>
      <c r="F6805" t="s">
        <v>71</v>
      </c>
      <c r="G6805">
        <v>-422.34910000000002</v>
      </c>
      <c r="H6805">
        <v>0.641115199999999</v>
      </c>
      <c r="I6805">
        <v>0.45349689999999998</v>
      </c>
      <c r="J6805">
        <v>-421.82499999999999</v>
      </c>
      <c r="K6805">
        <v>1.1211960000000001</v>
      </c>
      <c r="L6805">
        <v>68.818389999999994</v>
      </c>
      <c r="M6805">
        <v>-7.2733590000000001E-3</v>
      </c>
      <c r="N6805">
        <v>-1.352196E-2</v>
      </c>
      <c r="O6805">
        <v>-0.9998823</v>
      </c>
      <c r="P6805">
        <v>1.332422E-3</v>
      </c>
      <c r="Q6805">
        <v>-3.2646630000000003E-2</v>
      </c>
      <c r="R6805">
        <v>-0.99946619999999997</v>
      </c>
      <c r="S6805">
        <v>-2.3010249999999999E-2</v>
      </c>
      <c r="T6805">
        <v>-2.1032209999999999E-2</v>
      </c>
      <c r="U6805">
        <v>-3.0009459999999999</v>
      </c>
      <c r="V6805">
        <v>-8.6093460000000004E-3</v>
      </c>
      <c r="W6805">
        <v>-1.9126359999999999E-2</v>
      </c>
      <c r="X6805">
        <v>0.99978</v>
      </c>
      <c r="Y6805">
        <v>3.93213E-4</v>
      </c>
      <c r="Z6805">
        <v>-6.513914E-3</v>
      </c>
      <c r="AA6805">
        <v>0.9999787</v>
      </c>
      <c r="AB6805">
        <v>22</v>
      </c>
      <c r="AC6805">
        <v>-0.52410000000003198</v>
      </c>
      <c r="AD6805">
        <v>-0.48008079999999997</v>
      </c>
      <c r="AE6805">
        <v>-68.364893100000003</v>
      </c>
      <c r="AF6805">
        <v>2.6797026801768899E-2</v>
      </c>
      <c r="AG6805">
        <v>-0.48008079999999997</v>
      </c>
      <c r="AH6805">
        <v>68.363525730079004</v>
      </c>
      <c r="AI6805">
        <v>90.402351240787496</v>
      </c>
      <c r="AJ6805">
        <v>89.977541292023602</v>
      </c>
      <c r="AK6805">
        <v>68.365216637573397</v>
      </c>
      <c r="AL6805">
        <v>91.095926537772698</v>
      </c>
      <c r="AM6805">
        <v>90.493375540542502</v>
      </c>
      <c r="AN6805">
        <v>0.99999999344269797</v>
      </c>
    </row>
    <row r="6806" spans="1:40" x14ac:dyDescent="0.25">
      <c r="A6806" t="str">
        <f>"20190303153944170"</f>
        <v>20190303153944170</v>
      </c>
      <c r="B6806" t="str">
        <f>"1551598784165177"</f>
        <v>1551598784165177</v>
      </c>
      <c r="C6806" t="s">
        <v>40</v>
      </c>
      <c r="D6806">
        <v>4.1560110000000003</v>
      </c>
      <c r="E6806">
        <v>0.50365799999999905</v>
      </c>
      <c r="F6806" t="s">
        <v>71</v>
      </c>
      <c r="G6806">
        <v>-422.36520000000002</v>
      </c>
      <c r="H6806">
        <v>0.64395009999999997</v>
      </c>
      <c r="I6806">
        <v>0.45333289999999998</v>
      </c>
      <c r="J6806">
        <v>-421.82619999999997</v>
      </c>
      <c r="K6806">
        <v>1.1212</v>
      </c>
      <c r="L6806">
        <v>68.680970000000002</v>
      </c>
      <c r="M6806">
        <v>-7.4031100000000001E-3</v>
      </c>
      <c r="N6806">
        <v>-1.353383E-2</v>
      </c>
      <c r="O6806">
        <v>-0.99988129999999997</v>
      </c>
      <c r="P6806">
        <v>1.489387E-3</v>
      </c>
      <c r="Q6806">
        <v>-3.2381510000000002E-2</v>
      </c>
      <c r="R6806">
        <v>-0.99947490000000005</v>
      </c>
      <c r="S6806">
        <v>-2.3712159999999999E-2</v>
      </c>
      <c r="T6806">
        <v>-2.0950199999999999E-2</v>
      </c>
      <c r="U6806">
        <v>-3.0009459999999999</v>
      </c>
      <c r="V6806">
        <v>-8.8959099999999999E-3</v>
      </c>
      <c r="W6806">
        <v>-1.8849210000000002E-2</v>
      </c>
      <c r="X6806">
        <v>0.99978270000000002</v>
      </c>
      <c r="Y6806">
        <v>4.9730459999999897E-4</v>
      </c>
      <c r="Z6806">
        <v>-6.5531069999999999E-3</v>
      </c>
      <c r="AA6806">
        <v>0.99997840000000005</v>
      </c>
      <c r="AB6806">
        <v>22</v>
      </c>
      <c r="AC6806">
        <v>-0.539000000000044</v>
      </c>
      <c r="AD6806">
        <v>-0.4772499</v>
      </c>
      <c r="AE6806">
        <v>-68.227637099999995</v>
      </c>
      <c r="AF6806">
        <v>3.3840752112239102E-2</v>
      </c>
      <c r="AG6806">
        <v>-0.4772499</v>
      </c>
      <c r="AH6806">
        <v>68.226419652126594</v>
      </c>
      <c r="AI6806">
        <v>90.400782509666797</v>
      </c>
      <c r="AJ6806">
        <v>89.971580919496205</v>
      </c>
      <c r="AK6806">
        <v>68.228097226960998</v>
      </c>
      <c r="AL6806">
        <v>91.080044208246804</v>
      </c>
      <c r="AM6806">
        <v>90.509795425905295</v>
      </c>
      <c r="AN6806">
        <v>0.99999993857581904</v>
      </c>
    </row>
    <row r="6807" spans="1:40" x14ac:dyDescent="0.25">
      <c r="A6807" t="str">
        <f>"20190303153944182"</f>
        <v>20190303153944182</v>
      </c>
      <c r="B6807" t="str">
        <f>"1551598784174937"</f>
        <v>1551598784174937</v>
      </c>
      <c r="C6807" t="s">
        <v>40</v>
      </c>
      <c r="D6807">
        <v>4.1496170000000001</v>
      </c>
      <c r="E6807">
        <v>0.50370059999999905</v>
      </c>
      <c r="F6807" t="s">
        <v>71</v>
      </c>
      <c r="G6807">
        <v>-422.36180000000002</v>
      </c>
      <c r="H6807">
        <v>0.67092659999999904</v>
      </c>
      <c r="I6807">
        <v>0.45336720000000003</v>
      </c>
      <c r="J6807">
        <v>-421.82729999999998</v>
      </c>
      <c r="K6807">
        <v>1.121208</v>
      </c>
      <c r="L6807">
        <v>68.547269999999997</v>
      </c>
      <c r="M6807">
        <v>-7.5295600000000002E-3</v>
      </c>
      <c r="N6807">
        <v>-1.3536289999999999E-2</v>
      </c>
      <c r="O6807">
        <v>-0.99987990000000004</v>
      </c>
      <c r="P6807">
        <v>1.7456640000000001E-3</v>
      </c>
      <c r="Q6807">
        <v>-3.1762869999999999E-2</v>
      </c>
      <c r="R6807">
        <v>-0.99949390000000005</v>
      </c>
      <c r="S6807">
        <v>-2.3559569999999998E-2</v>
      </c>
      <c r="T6807">
        <v>-1.980639E-2</v>
      </c>
      <c r="U6807">
        <v>-3.0009769999999998</v>
      </c>
      <c r="V6807">
        <v>-9.2783569999999992E-3</v>
      </c>
      <c r="W6807">
        <v>-1.8227819999999999E-2</v>
      </c>
      <c r="X6807">
        <v>0.99979079999999998</v>
      </c>
      <c r="Y6807">
        <v>3.1991799999999998E-4</v>
      </c>
      <c r="Z6807">
        <v>-6.9367530000000004E-3</v>
      </c>
      <c r="AA6807">
        <v>0.99997590000000003</v>
      </c>
      <c r="AB6807">
        <v>22</v>
      </c>
      <c r="AC6807">
        <v>-0.53450000000003595</v>
      </c>
      <c r="AD6807">
        <v>-0.4502814</v>
      </c>
      <c r="AE6807">
        <v>-68.093902799999995</v>
      </c>
      <c r="AF6807">
        <v>2.1719722968022701E-2</v>
      </c>
      <c r="AG6807">
        <v>-0.4502814</v>
      </c>
      <c r="AH6807">
        <v>68.093019737381496</v>
      </c>
      <c r="AI6807">
        <v>90.378876521528298</v>
      </c>
      <c r="AJ6807">
        <v>89.981724288027493</v>
      </c>
      <c r="AK6807">
        <v>68.094511981810797</v>
      </c>
      <c r="AL6807">
        <v>91.0444350051377</v>
      </c>
      <c r="AM6807">
        <v>90.531706669270307</v>
      </c>
      <c r="AN6807">
        <v>0.99999999254760497</v>
      </c>
    </row>
    <row r="6808" spans="1:40" x14ac:dyDescent="0.25">
      <c r="A6808" t="str">
        <f>"20190303153944201"</f>
        <v>20190303153944201</v>
      </c>
      <c r="B6808" t="str">
        <f>"1551598784195432"</f>
        <v>1551598784195432</v>
      </c>
      <c r="C6808" t="s">
        <v>40</v>
      </c>
      <c r="D6808">
        <v>4.1539590000000004</v>
      </c>
      <c r="E6808">
        <v>0.50375340000000002</v>
      </c>
      <c r="F6808" t="s">
        <v>71</v>
      </c>
      <c r="G6808">
        <v>-422.35840000000002</v>
      </c>
      <c r="H6808">
        <v>0.71906479999999995</v>
      </c>
      <c r="I6808">
        <v>0.45340160000000002</v>
      </c>
      <c r="J6808">
        <v>-421.8288</v>
      </c>
      <c r="K6808">
        <v>1.1211960000000001</v>
      </c>
      <c r="L6808">
        <v>68.374420000000001</v>
      </c>
      <c r="M6808">
        <v>-7.6984469999999998E-3</v>
      </c>
      <c r="N6808">
        <v>-1.349973E-2</v>
      </c>
      <c r="O6808">
        <v>-0.99987919999999997</v>
      </c>
      <c r="P6808">
        <v>1.8564930000000001E-3</v>
      </c>
      <c r="Q6808">
        <v>-3.134083E-2</v>
      </c>
      <c r="R6808">
        <v>-0.99950700000000003</v>
      </c>
      <c r="S6808">
        <v>-2.3406980000000001E-2</v>
      </c>
      <c r="T6808">
        <v>-1.7724159999999999E-2</v>
      </c>
      <c r="U6808">
        <v>-3.001007</v>
      </c>
      <c r="V6808">
        <v>-9.5582659999999993E-3</v>
      </c>
      <c r="W6808">
        <v>-1.7842070000000002E-2</v>
      </c>
      <c r="X6808">
        <v>0.99979510000000005</v>
      </c>
      <c r="Y6808">
        <v>1.0008700000000001E-4</v>
      </c>
      <c r="Z6808">
        <v>-7.5940180000000001E-3</v>
      </c>
      <c r="AA6808">
        <v>0.99997119999999995</v>
      </c>
      <c r="AB6808">
        <v>22</v>
      </c>
      <c r="AC6808">
        <v>-0.52960000000001595</v>
      </c>
      <c r="AD6808">
        <v>-0.40213119999999902</v>
      </c>
      <c r="AE6808">
        <v>-67.921018399999994</v>
      </c>
      <c r="AF6808">
        <v>6.6500371549668104E-3</v>
      </c>
      <c r="AG6808">
        <v>-0.40213119999999902</v>
      </c>
      <c r="AH6808">
        <v>67.920702075505403</v>
      </c>
      <c r="AI6808">
        <v>90.339221335263403</v>
      </c>
      <c r="AJ6808">
        <v>89.994390236706494</v>
      </c>
      <c r="AK6808">
        <v>67.921892819286001</v>
      </c>
      <c r="AL6808">
        <v>91.022329584681302</v>
      </c>
      <c r="AM6808">
        <v>90.5477438502583</v>
      </c>
      <c r="AN6808">
        <v>0.99999997094741</v>
      </c>
    </row>
    <row r="6809" spans="1:40" x14ac:dyDescent="0.25">
      <c r="A6809" t="str">
        <f>"20190303153944216"</f>
        <v>20190303153944216</v>
      </c>
      <c r="B6809" t="str">
        <f>"1551598784205192"</f>
        <v>1551598784205192</v>
      </c>
      <c r="C6809" t="s">
        <v>40</v>
      </c>
      <c r="D6809">
        <v>4.1743699999999997</v>
      </c>
      <c r="E6809">
        <v>0.5037895</v>
      </c>
      <c r="F6809" t="s">
        <v>71</v>
      </c>
      <c r="G6809">
        <v>-422.35919999999999</v>
      </c>
      <c r="H6809">
        <v>0.74527049999999995</v>
      </c>
      <c r="I6809">
        <v>0.45339780000000002</v>
      </c>
      <c r="J6809">
        <v>-421.83030000000002</v>
      </c>
      <c r="K6809">
        <v>1.1211719999999901</v>
      </c>
      <c r="L6809">
        <v>68.211299999999994</v>
      </c>
      <c r="M6809">
        <v>-7.8562909999999996E-3</v>
      </c>
      <c r="N6809">
        <v>-1.3397839999999999E-2</v>
      </c>
      <c r="O6809">
        <v>-0.99987939999999997</v>
      </c>
      <c r="P6809">
        <v>1.7424980000000001E-3</v>
      </c>
      <c r="Q6809">
        <v>-3.082493E-2</v>
      </c>
      <c r="R6809">
        <v>-0.99952319999999995</v>
      </c>
      <c r="S6809">
        <v>-2.34375E-2</v>
      </c>
      <c r="T6809">
        <v>-1.6611219999999999E-2</v>
      </c>
      <c r="U6809">
        <v>-3.001007</v>
      </c>
      <c r="V6809">
        <v>-9.6021960000000003E-3</v>
      </c>
      <c r="W6809">
        <v>-1.74278E-2</v>
      </c>
      <c r="X6809">
        <v>0.99980199999999997</v>
      </c>
      <c r="Y6809" s="1">
        <v>-4.759257E-5</v>
      </c>
      <c r="Z6809">
        <v>-7.8629310000000001E-3</v>
      </c>
      <c r="AA6809">
        <v>0.99996910000000006</v>
      </c>
      <c r="AB6809">
        <v>22</v>
      </c>
      <c r="AC6809">
        <v>-0.52889999999996395</v>
      </c>
      <c r="AD6809">
        <v>-0.375901499999999</v>
      </c>
      <c r="AE6809">
        <v>-67.757902199999904</v>
      </c>
      <c r="AF6809">
        <v>-3.4897883432594098E-3</v>
      </c>
      <c r="AG6809">
        <v>-0.375901499999999</v>
      </c>
      <c r="AH6809">
        <v>67.7578810378985</v>
      </c>
      <c r="AI6809">
        <v>90.317857467695305</v>
      </c>
      <c r="AJ6809">
        <v>90.0029509503577</v>
      </c>
      <c r="AK6809">
        <v>67.758923817179493</v>
      </c>
      <c r="AL6809">
        <v>90.998589955726203</v>
      </c>
      <c r="AM6809">
        <v>90.550257341237895</v>
      </c>
      <c r="AN6809">
        <v>0.99999998479243102</v>
      </c>
    </row>
    <row r="6810" spans="1:40" x14ac:dyDescent="0.25">
      <c r="A6810" t="str">
        <f>"20190303153944239"</f>
        <v>20190303153944239</v>
      </c>
      <c r="B6810" t="str">
        <f>"1551598784235448"</f>
        <v>1551598784235448</v>
      </c>
      <c r="C6810" t="s">
        <v>40</v>
      </c>
      <c r="D6810">
        <v>4.1592820000000001</v>
      </c>
      <c r="E6810">
        <v>0.50401049999999903</v>
      </c>
      <c r="F6810" t="s">
        <v>71</v>
      </c>
      <c r="G6810">
        <v>-422.37529999999998</v>
      </c>
      <c r="H6810">
        <v>0.78520449999999997</v>
      </c>
      <c r="I6810">
        <v>0.45323180000000002</v>
      </c>
      <c r="J6810">
        <v>-421.83229999999998</v>
      </c>
      <c r="K6810">
        <v>1.1211070000000001</v>
      </c>
      <c r="L6810">
        <v>67.991029999999995</v>
      </c>
      <c r="M6810">
        <v>-8.0626090000000001E-3</v>
      </c>
      <c r="N6810">
        <v>-1.314658E-2</v>
      </c>
      <c r="O6810">
        <v>-0.99988129999999997</v>
      </c>
      <c r="P6810">
        <v>1.653685E-3</v>
      </c>
      <c r="Q6810">
        <v>-3.0087539999999999E-2</v>
      </c>
      <c r="R6810">
        <v>-0.99954620000000005</v>
      </c>
      <c r="S6810">
        <v>-2.4139399999999998E-2</v>
      </c>
      <c r="T6810">
        <v>-1.4881129999999999E-2</v>
      </c>
      <c r="U6810">
        <v>-3.001007</v>
      </c>
      <c r="V6810">
        <v>-9.719554E-3</v>
      </c>
      <c r="W6810">
        <v>-1.6941339999999999E-2</v>
      </c>
      <c r="X6810">
        <v>0.99980930000000001</v>
      </c>
      <c r="Y6810" s="1">
        <v>-2.0065439999999999E-5</v>
      </c>
      <c r="Z6810">
        <v>-8.1880939999999999E-3</v>
      </c>
      <c r="AA6810">
        <v>0.99996649999999998</v>
      </c>
      <c r="AB6810">
        <v>22</v>
      </c>
      <c r="AC6810">
        <v>-0.54300000000000603</v>
      </c>
      <c r="AD6810">
        <v>-0.33590249999999999</v>
      </c>
      <c r="AE6810">
        <v>-67.537798199999997</v>
      </c>
      <c r="AF6810">
        <v>-1.59541176371613E-3</v>
      </c>
      <c r="AG6810">
        <v>-0.33590249999999999</v>
      </c>
      <c r="AH6810">
        <v>67.538310458226107</v>
      </c>
      <c r="AI6810">
        <v>90.2849588145978</v>
      </c>
      <c r="AJ6810">
        <v>90.001353459392305</v>
      </c>
      <c r="AK6810">
        <v>67.539145779218899</v>
      </c>
      <c r="AL6810">
        <v>90.970713663133097</v>
      </c>
      <c r="AM6810">
        <v>90.556978096579101</v>
      </c>
      <c r="AN6810">
        <v>1.00000005754872</v>
      </c>
    </row>
    <row r="6811" spans="1:40" x14ac:dyDescent="0.25">
      <c r="A6811" t="str">
        <f>"20190303153944255"</f>
        <v>20190303153944255</v>
      </c>
      <c r="B6811" t="str">
        <f>"1551598784245208"</f>
        <v>1551598784245208</v>
      </c>
      <c r="C6811" t="s">
        <v>40</v>
      </c>
      <c r="D6811">
        <v>4.0999150000000002</v>
      </c>
      <c r="E6811">
        <v>0.50401049999999903</v>
      </c>
      <c r="F6811" t="s">
        <v>71</v>
      </c>
      <c r="G6811">
        <v>-422.42079999999999</v>
      </c>
      <c r="H6811">
        <v>0.80234559999999999</v>
      </c>
      <c r="I6811">
        <v>0.45276830000000001</v>
      </c>
      <c r="J6811">
        <v>-421.83390000000003</v>
      </c>
      <c r="K6811">
        <v>1.1210610000000001</v>
      </c>
      <c r="L6811">
        <v>67.823390000000003</v>
      </c>
      <c r="M6811">
        <v>-8.2202209999999998E-3</v>
      </c>
      <c r="N6811">
        <v>-1.291258E-2</v>
      </c>
      <c r="O6811">
        <v>-0.99988279999999996</v>
      </c>
      <c r="P6811">
        <v>1.6494050000000001E-3</v>
      </c>
      <c r="Q6811">
        <v>-2.9632019999999998E-2</v>
      </c>
      <c r="R6811">
        <v>-0.99955930000000004</v>
      </c>
      <c r="S6811">
        <v>-2.6153559999999999E-2</v>
      </c>
      <c r="T6811">
        <v>-1.4164919999999999E-2</v>
      </c>
      <c r="U6811">
        <v>-3.0009769999999998</v>
      </c>
      <c r="V6811">
        <v>-9.8731059999999995E-3</v>
      </c>
      <c r="W6811">
        <v>-1.6719700000000001E-2</v>
      </c>
      <c r="X6811">
        <v>0.99981149999999996</v>
      </c>
      <c r="Y6811">
        <v>4.9344989999999995E-4</v>
      </c>
      <c r="Z6811">
        <v>-8.1926480000000003E-3</v>
      </c>
      <c r="AA6811">
        <v>0.99996629999999997</v>
      </c>
      <c r="AB6811">
        <v>22</v>
      </c>
      <c r="AC6811">
        <v>-0.58689999999995701</v>
      </c>
      <c r="AD6811">
        <v>-0.31871539999999998</v>
      </c>
      <c r="AE6811">
        <v>-67.370621700000001</v>
      </c>
      <c r="AF6811">
        <v>3.3031832100305802E-2</v>
      </c>
      <c r="AG6811">
        <v>-0.31871539999999998</v>
      </c>
      <c r="AH6811">
        <v>67.371662266561202</v>
      </c>
      <c r="AI6811">
        <v>90.271047325444499</v>
      </c>
      <c r="AJ6811">
        <v>89.971908301597296</v>
      </c>
      <c r="AK6811">
        <v>67.3724242340122</v>
      </c>
      <c r="AL6811">
        <v>90.958012853657195</v>
      </c>
      <c r="AM6811">
        <v>90.565775566592905</v>
      </c>
      <c r="AN6811">
        <v>1.00000003106121</v>
      </c>
    </row>
    <row r="6812" spans="1:40" x14ac:dyDescent="0.25">
      <c r="A6812" t="str">
        <f>"20190303153944272"</f>
        <v>20190303153944272</v>
      </c>
      <c r="B6812" t="str">
        <f>"1551598784265057"</f>
        <v>1551598784265057</v>
      </c>
      <c r="C6812" t="s">
        <v>40</v>
      </c>
      <c r="D6812">
        <v>4.2381159999999998</v>
      </c>
      <c r="E6812">
        <v>0.51543459999999997</v>
      </c>
      <c r="F6812" t="s">
        <v>71</v>
      </c>
      <c r="G6812">
        <v>-422.41890000000001</v>
      </c>
      <c r="H6812">
        <v>0.83355360000000001</v>
      </c>
      <c r="I6812">
        <v>0.4527912</v>
      </c>
      <c r="J6812">
        <v>-421.83539999999999</v>
      </c>
      <c r="K6812">
        <v>1.121019</v>
      </c>
      <c r="L6812">
        <v>67.655209999999997</v>
      </c>
      <c r="M6812">
        <v>-8.3796459999999993E-3</v>
      </c>
      <c r="N6812">
        <v>-1.267626E-2</v>
      </c>
      <c r="O6812">
        <v>-0.99988469999999996</v>
      </c>
      <c r="P6812">
        <v>1.657344E-3</v>
      </c>
      <c r="Q6812">
        <v>-2.8520119999999999E-2</v>
      </c>
      <c r="R6812">
        <v>-0.99959209999999998</v>
      </c>
      <c r="S6812">
        <v>-2.606201E-2</v>
      </c>
      <c r="T6812">
        <v>-1.2807850000000001E-2</v>
      </c>
      <c r="U6812">
        <v>-3.0009769999999998</v>
      </c>
      <c r="V6812">
        <v>-1.0039630000000001E-2</v>
      </c>
      <c r="W6812">
        <v>-1.5843860000000001E-2</v>
      </c>
      <c r="X6812">
        <v>0.99982400000000005</v>
      </c>
      <c r="Y6812">
        <v>3.0353619999999999E-4</v>
      </c>
      <c r="Z6812">
        <v>-8.4084759999999998E-3</v>
      </c>
      <c r="AA6812">
        <v>0.99996459999999998</v>
      </c>
      <c r="AB6812">
        <v>22</v>
      </c>
      <c r="AC6812">
        <v>-0.58350000000001501</v>
      </c>
      <c r="AD6812">
        <v>-0.28746539999999998</v>
      </c>
      <c r="AE6812">
        <v>-67.202418799999904</v>
      </c>
      <c r="AF6812">
        <v>2.0301499068268999E-2</v>
      </c>
      <c r="AG6812">
        <v>-0.28746539999999998</v>
      </c>
      <c r="AH6812">
        <v>67.203719275744604</v>
      </c>
      <c r="AI6812">
        <v>90.245082461925307</v>
      </c>
      <c r="AJ6812">
        <v>89.982691580294102</v>
      </c>
      <c r="AK6812">
        <v>67.204337159145894</v>
      </c>
      <c r="AL6812">
        <v>90.907824360145199</v>
      </c>
      <c r="AM6812">
        <v>90.575310349301802</v>
      </c>
      <c r="AN6812">
        <v>0.99999992652311498</v>
      </c>
    </row>
    <row r="6813" spans="1:40" x14ac:dyDescent="0.25">
      <c r="A6813" t="str">
        <f>"20190303153944289"</f>
        <v>20190303153944289</v>
      </c>
      <c r="B6813" t="str">
        <f>"1551598784285555"</f>
        <v>1551598784285555</v>
      </c>
      <c r="C6813" t="s">
        <v>40</v>
      </c>
      <c r="D6813">
        <v>3.5723919999999998</v>
      </c>
      <c r="E6813">
        <v>0.51886499999999902</v>
      </c>
      <c r="F6813" t="s">
        <v>71</v>
      </c>
      <c r="G6813">
        <v>-424.44839999999999</v>
      </c>
      <c r="H6813">
        <v>1.71581899999999</v>
      </c>
      <c r="I6813">
        <v>0.43215179999999997</v>
      </c>
      <c r="J6813">
        <v>-421.83699999999999</v>
      </c>
      <c r="K6813">
        <v>1.120989</v>
      </c>
      <c r="L6813">
        <v>67.488559999999893</v>
      </c>
      <c r="M6813">
        <v>-8.5378239999999994E-3</v>
      </c>
      <c r="N6813">
        <v>-1.24584E-2</v>
      </c>
      <c r="O6813">
        <v>-0.9998861</v>
      </c>
      <c r="P6813">
        <v>1.7355389999999999E-3</v>
      </c>
      <c r="Q6813">
        <v>-2.7998809999999999E-2</v>
      </c>
      <c r="R6813">
        <v>-0.99960669999999996</v>
      </c>
      <c r="S6813">
        <v>-0.1166992</v>
      </c>
      <c r="T6813">
        <v>2.6562570000000001E-2</v>
      </c>
      <c r="U6813">
        <v>-3.002167</v>
      </c>
      <c r="V6813">
        <v>-1.0275680000000001E-2</v>
      </c>
      <c r="W6813">
        <v>-1.554033E-2</v>
      </c>
      <c r="X6813">
        <v>0.9998264</v>
      </c>
      <c r="Y6813">
        <v>3.0299380000000001E-2</v>
      </c>
      <c r="Z6813">
        <v>-2.1296760000000001E-2</v>
      </c>
      <c r="AA6813">
        <v>0.99931400000000004</v>
      </c>
      <c r="AB6813">
        <v>22</v>
      </c>
      <c r="AC6813">
        <v>-2.6114000000000002</v>
      </c>
      <c r="AD6813">
        <v>0.59482999999999897</v>
      </c>
      <c r="AE6813">
        <v>-67.056408199999893</v>
      </c>
      <c r="AF6813">
        <v>2.0385844815996399</v>
      </c>
      <c r="AG6813">
        <v>0.59482999999999897</v>
      </c>
      <c r="AH6813">
        <v>67.070991508159096</v>
      </c>
      <c r="AI6813">
        <v>89.492110912407</v>
      </c>
      <c r="AJ6813">
        <v>88.259063476959099</v>
      </c>
      <c r="AK6813">
        <v>67.104601565802298</v>
      </c>
      <c r="AL6813">
        <v>90.890431198733907</v>
      </c>
      <c r="AM6813">
        <v>90.5888345893609</v>
      </c>
      <c r="AN6813">
        <v>0.99999996079646503</v>
      </c>
    </row>
    <row r="6814" spans="1:40" x14ac:dyDescent="0.25">
      <c r="A6814" t="str">
        <f>"20190303153944305"</f>
        <v>20190303153944305</v>
      </c>
      <c r="B6814" t="str">
        <f>"1551598784295314"</f>
        <v>1551598784295314</v>
      </c>
      <c r="C6814" t="s">
        <v>40</v>
      </c>
      <c r="D6814">
        <v>5.3508630000000004</v>
      </c>
      <c r="E6814">
        <v>0.51886499999999902</v>
      </c>
      <c r="F6814" t="s">
        <v>71</v>
      </c>
      <c r="G6814">
        <v>-425.04680000000002</v>
      </c>
      <c r="H6814">
        <v>0.90926379999999996</v>
      </c>
      <c r="I6814">
        <v>0.42606159999999998</v>
      </c>
      <c r="J6814">
        <v>-421.83850000000001</v>
      </c>
      <c r="K6814">
        <v>1.120968</v>
      </c>
      <c r="L6814">
        <v>67.331999999999994</v>
      </c>
      <c r="M6814">
        <v>-8.6843179999999999E-3</v>
      </c>
      <c r="N6814">
        <v>-1.226786E-2</v>
      </c>
      <c r="O6814">
        <v>-0.99988730000000003</v>
      </c>
      <c r="P6814">
        <v>1.7353689999999901E-3</v>
      </c>
      <c r="Q6814">
        <v>-2.7805880000000002E-2</v>
      </c>
      <c r="R6814">
        <v>-0.9996121</v>
      </c>
      <c r="S6814">
        <v>-0.1436462</v>
      </c>
      <c r="T6814">
        <v>-9.4763039999999996E-3</v>
      </c>
      <c r="U6814">
        <v>-3.00116</v>
      </c>
      <c r="V6814">
        <v>-1.042204E-2</v>
      </c>
      <c r="W6814">
        <v>-1.553794E-2</v>
      </c>
      <c r="X6814">
        <v>0.99982490000000002</v>
      </c>
      <c r="Y6814">
        <v>3.9126319999999999E-2</v>
      </c>
      <c r="Z6814">
        <v>-9.1111460000000005E-3</v>
      </c>
      <c r="AA6814">
        <v>0.99919270000000004</v>
      </c>
      <c r="AB6814">
        <v>22</v>
      </c>
      <c r="AC6814">
        <v>-3.2082999999999999</v>
      </c>
      <c r="AD6814">
        <v>-0.21170419999999901</v>
      </c>
      <c r="AE6814">
        <v>-66.905938399999997</v>
      </c>
      <c r="AF6814">
        <v>2.6270767375527302</v>
      </c>
      <c r="AG6814">
        <v>-0.21170419999999901</v>
      </c>
      <c r="AH6814">
        <v>66.930610440187195</v>
      </c>
      <c r="AI6814">
        <v>90.181088799688496</v>
      </c>
      <c r="AJ6814">
        <v>87.752251449994802</v>
      </c>
      <c r="AK6814">
        <v>66.982482521547297</v>
      </c>
      <c r="AL6814">
        <v>90.890294265061797</v>
      </c>
      <c r="AM6814">
        <v>90.597221853105594</v>
      </c>
      <c r="AN6814">
        <v>0.99999993857860503</v>
      </c>
    </row>
    <row r="6815" spans="1:40" x14ac:dyDescent="0.25">
      <c r="A6815" t="str">
        <f>"20190303153944318"</f>
        <v>20190303153944318</v>
      </c>
      <c r="B6815" t="str">
        <f>"1551598784315809"</f>
        <v>1551598784315809</v>
      </c>
      <c r="C6815" t="s">
        <v>40</v>
      </c>
      <c r="D6815">
        <v>3.5312640000000002</v>
      </c>
      <c r="E6815">
        <v>0.51886499999999902</v>
      </c>
      <c r="F6815" t="s">
        <v>71</v>
      </c>
      <c r="G6815">
        <v>-425.06049999999999</v>
      </c>
      <c r="H6815">
        <v>0.92206980000000005</v>
      </c>
      <c r="I6815">
        <v>0.42592429999999898</v>
      </c>
      <c r="J6815">
        <v>-421.83980000000003</v>
      </c>
      <c r="K6815">
        <v>1.120954</v>
      </c>
      <c r="L6815">
        <v>67.197269999999904</v>
      </c>
      <c r="M6815">
        <v>-8.80641699999999E-3</v>
      </c>
      <c r="N6815">
        <v>-1.2107379999999999E-2</v>
      </c>
      <c r="O6815">
        <v>-0.999888</v>
      </c>
      <c r="P6815">
        <v>1.9050320000000001E-3</v>
      </c>
      <c r="Q6815">
        <v>-2.7505990000000001E-2</v>
      </c>
      <c r="R6815">
        <v>-0.99961979999999995</v>
      </c>
      <c r="S6815">
        <v>-0.144531299999999</v>
      </c>
      <c r="T6815">
        <v>-8.9229349999999999E-3</v>
      </c>
      <c r="U6815">
        <v>-3.00116</v>
      </c>
      <c r="V6815">
        <v>-1.071336E-2</v>
      </c>
      <c r="W6815">
        <v>-1.5398459999999999E-2</v>
      </c>
      <c r="X6815">
        <v>0.99982400000000005</v>
      </c>
      <c r="Y6815">
        <v>3.9298399999999997E-2</v>
      </c>
      <c r="Z6815">
        <v>-9.1348669999999996E-3</v>
      </c>
      <c r="AA6815">
        <v>0.99918569999999995</v>
      </c>
      <c r="AB6815">
        <v>22</v>
      </c>
      <c r="AC6815">
        <v>-3.2206999999999599</v>
      </c>
      <c r="AD6815">
        <v>-0.19888420000000001</v>
      </c>
      <c r="AE6815">
        <v>-66.771345699999898</v>
      </c>
      <c r="AF6815">
        <v>2.6324924191063599</v>
      </c>
      <c r="AG6815">
        <v>-0.19888420000000001</v>
      </c>
      <c r="AH6815">
        <v>66.796529774701298</v>
      </c>
      <c r="AI6815">
        <v>90.170463233600401</v>
      </c>
      <c r="AJ6815">
        <v>87.743105989208303</v>
      </c>
      <c r="AK6815">
        <v>66.848679577118205</v>
      </c>
      <c r="AL6815">
        <v>90.882301674270593</v>
      </c>
      <c r="AM6815">
        <v>90.613914870424793</v>
      </c>
      <c r="AN6815">
        <v>0.99999995981442902</v>
      </c>
    </row>
    <row r="6816" spans="1:40" x14ac:dyDescent="0.25">
      <c r="A6816" t="str">
        <f>"20190303153944333"</f>
        <v>20190303153944333</v>
      </c>
      <c r="B6816" t="str">
        <f>"1551598784325569"</f>
        <v>1551598784325569</v>
      </c>
      <c r="C6816" t="s">
        <v>40</v>
      </c>
      <c r="D6816">
        <v>4.324592</v>
      </c>
      <c r="E6816">
        <v>0.55268059999999997</v>
      </c>
      <c r="F6816" t="s">
        <v>71</v>
      </c>
      <c r="G6816">
        <v>-425.04239999999999</v>
      </c>
      <c r="H6816">
        <v>0.9408185</v>
      </c>
      <c r="I6816">
        <v>0.42610930000000002</v>
      </c>
      <c r="J6816">
        <v>-421.84120000000001</v>
      </c>
      <c r="K6816">
        <v>1.1209370000000001</v>
      </c>
      <c r="L6816">
        <v>67.051699999999997</v>
      </c>
      <c r="M6816">
        <v>-8.9341909999999993E-3</v>
      </c>
      <c r="N6816">
        <v>-1.1937420000000001E-2</v>
      </c>
      <c r="O6816">
        <v>-0.99988900000000003</v>
      </c>
      <c r="P6816">
        <v>1.476535E-3</v>
      </c>
      <c r="Q6816">
        <v>-2.7089820000000001E-2</v>
      </c>
      <c r="R6816">
        <v>-0.99963210000000002</v>
      </c>
      <c r="S6816">
        <v>-0.14395139999999901</v>
      </c>
      <c r="T6816">
        <v>-8.0978869999999998E-3</v>
      </c>
      <c r="U6816">
        <v>-3.0011899999999998</v>
      </c>
      <c r="V6816">
        <v>-1.0412569999999999E-2</v>
      </c>
      <c r="W6816">
        <v>-1.5152250000000001E-2</v>
      </c>
      <c r="X6816">
        <v>0.99983100000000003</v>
      </c>
      <c r="Y6816">
        <v>3.8977770000000002E-2</v>
      </c>
      <c r="Z6816">
        <v>-9.2395270000000009E-3</v>
      </c>
      <c r="AA6816">
        <v>0.99919740000000001</v>
      </c>
      <c r="AB6816">
        <v>22</v>
      </c>
      <c r="AC6816">
        <v>-3.2011999999999698</v>
      </c>
      <c r="AD6816">
        <v>-0.18011849999999999</v>
      </c>
      <c r="AE6816">
        <v>-66.625590700000004</v>
      </c>
      <c r="AF6816">
        <v>2.6057651493815501</v>
      </c>
      <c r="AG6816">
        <v>-0.18011849999999999</v>
      </c>
      <c r="AH6816">
        <v>66.651047410462994</v>
      </c>
      <c r="AI6816">
        <v>90.154718152312995</v>
      </c>
      <c r="AJ6816">
        <v>87.761125226422095</v>
      </c>
      <c r="AK6816">
        <v>66.702208176338303</v>
      </c>
      <c r="AL6816">
        <v>90.868193181063106</v>
      </c>
      <c r="AM6816">
        <v>90.596675585860595</v>
      </c>
      <c r="AN6816">
        <v>1.0000000204275299</v>
      </c>
    </row>
    <row r="6817" spans="1:40" x14ac:dyDescent="0.25">
      <c r="A6817" t="str">
        <f>"20190303153944346"</f>
        <v>20190303153944346</v>
      </c>
      <c r="B6817" t="str">
        <f>"1551598784335329"</f>
        <v>1551598784335329</v>
      </c>
      <c r="C6817" t="s">
        <v>40</v>
      </c>
      <c r="D6817">
        <v>4.0714069999999998</v>
      </c>
      <c r="E6817">
        <v>0.54262549999999998</v>
      </c>
      <c r="F6817" t="s">
        <v>44</v>
      </c>
      <c r="G6817">
        <v>-421.9622</v>
      </c>
      <c r="H6817">
        <v>0.96382429999999997</v>
      </c>
      <c r="I6817">
        <v>66.194249999999997</v>
      </c>
      <c r="J6817">
        <v>-421.8426</v>
      </c>
      <c r="K6817">
        <v>1.120927</v>
      </c>
      <c r="L6817">
        <v>66.912840000000003</v>
      </c>
      <c r="M6817">
        <v>-9.0497119999999997E-3</v>
      </c>
      <c r="N6817">
        <v>-1.1780509999999999E-2</v>
      </c>
      <c r="O6817">
        <v>-0.99988969999999999</v>
      </c>
      <c r="P6817">
        <v>1.1168560000000001E-3</v>
      </c>
      <c r="Q6817">
        <v>-2.698685E-2</v>
      </c>
      <c r="R6817">
        <v>-0.99963500000000005</v>
      </c>
      <c r="S6817">
        <v>-0.42019649999999997</v>
      </c>
      <c r="T6817">
        <v>-0.54729019999999995</v>
      </c>
      <c r="U6817">
        <v>-2.9868769999999998</v>
      </c>
      <c r="V6817">
        <v>-1.016893E-2</v>
      </c>
      <c r="W6817">
        <v>-1.5206259999999999E-2</v>
      </c>
      <c r="X6817">
        <v>0.99983270000000002</v>
      </c>
      <c r="Y6817">
        <v>0.1282383</v>
      </c>
      <c r="Z6817">
        <v>0.16703200000000001</v>
      </c>
      <c r="AA6817">
        <v>0.97757620000000001</v>
      </c>
      <c r="AB6817">
        <v>23</v>
      </c>
      <c r="AC6817">
        <v>-0.11959999999999101</v>
      </c>
      <c r="AD6817">
        <v>-0.15710269999999901</v>
      </c>
      <c r="AE6817">
        <v>-0.71859000000000595</v>
      </c>
      <c r="AF6817">
        <v>0.108065583765695</v>
      </c>
      <c r="AG6817">
        <v>-0.15710269999999901</v>
      </c>
      <c r="AH6817">
        <v>0.68766051025514496</v>
      </c>
      <c r="AI6817">
        <v>102.717999294103</v>
      </c>
      <c r="AJ6817">
        <v>81.069032088858904</v>
      </c>
      <c r="AK6817">
        <v>0.71360801992850198</v>
      </c>
      <c r="AL6817">
        <v>90.871288071896004</v>
      </c>
      <c r="AM6817">
        <v>90.582714170836496</v>
      </c>
      <c r="AN6817">
        <v>1.0000000327349099</v>
      </c>
    </row>
    <row r="6818" spans="1:40" x14ac:dyDescent="0.25">
      <c r="A6818" t="str">
        <f>"20190303153944359"</f>
        <v>20190303153944359</v>
      </c>
      <c r="B6818" t="str">
        <f>"1551598784354849"</f>
        <v>1551598784354849</v>
      </c>
      <c r="C6818" t="s">
        <v>40</v>
      </c>
      <c r="D6818">
        <v>4.259449</v>
      </c>
      <c r="E6818">
        <v>0.53575890000000004</v>
      </c>
      <c r="F6818" t="s">
        <v>44</v>
      </c>
      <c r="G6818">
        <v>-421.928</v>
      </c>
      <c r="H6818">
        <v>1.0283850000000001</v>
      </c>
      <c r="I6818">
        <v>66.162800000000004</v>
      </c>
      <c r="J6818">
        <v>-421.84399999999999</v>
      </c>
      <c r="K6818">
        <v>1.120919</v>
      </c>
      <c r="L6818">
        <v>66.775999999999996</v>
      </c>
      <c r="M6818">
        <v>-9.1575319999999995E-3</v>
      </c>
      <c r="N6818">
        <v>-1.163526E-2</v>
      </c>
      <c r="O6818">
        <v>-0.99989039999999996</v>
      </c>
      <c r="P6818">
        <v>8.3385749999999998E-4</v>
      </c>
      <c r="Q6818">
        <v>-2.6623549999999999E-2</v>
      </c>
      <c r="R6818">
        <v>-0.99964509999999995</v>
      </c>
      <c r="S6818">
        <v>-0.33917239999999999</v>
      </c>
      <c r="T6818">
        <v>-0.36909380000000003</v>
      </c>
      <c r="U6818">
        <v>-2.9915159999999998</v>
      </c>
      <c r="V6818">
        <v>-9.9930439999999995E-3</v>
      </c>
      <c r="W6818">
        <v>-1.498819E-2</v>
      </c>
      <c r="X6818">
        <v>0.9998378</v>
      </c>
      <c r="Y6818">
        <v>0.10278569999999999</v>
      </c>
      <c r="Z6818">
        <v>0.11018550000000001</v>
      </c>
      <c r="AA6818">
        <v>0.98858199999999996</v>
      </c>
      <c r="AB6818">
        <v>23</v>
      </c>
      <c r="AC6818">
        <v>-8.4000000000059999E-2</v>
      </c>
      <c r="AD6818">
        <v>-9.2533999999999894E-2</v>
      </c>
      <c r="AE6818">
        <v>-0.61320000000000596</v>
      </c>
      <c r="AF6818">
        <v>7.6667006707172899E-2</v>
      </c>
      <c r="AG6818">
        <v>-9.2533999999999894E-2</v>
      </c>
      <c r="AH6818">
        <v>0.600520491869315</v>
      </c>
      <c r="AI6818">
        <v>98.690345157496907</v>
      </c>
      <c r="AJ6818">
        <v>82.724542891339198</v>
      </c>
      <c r="AK6818">
        <v>0.61242569527119095</v>
      </c>
      <c r="AL6818">
        <v>90.858792128455306</v>
      </c>
      <c r="AM6818">
        <v>90.572633062963803</v>
      </c>
      <c r="AN6818">
        <v>1.0000000665383399</v>
      </c>
    </row>
    <row r="6819" spans="1:40" x14ac:dyDescent="0.25">
      <c r="A6819" t="str">
        <f>"20190303153944373"</f>
        <v>20190303153944373</v>
      </c>
      <c r="B6819" t="str">
        <f>"1551598784365585"</f>
        <v>1551598784365585</v>
      </c>
      <c r="C6819" t="s">
        <v>40</v>
      </c>
      <c r="D6819">
        <v>4.0727419999999999</v>
      </c>
      <c r="E6819">
        <v>0.53461840000000005</v>
      </c>
      <c r="F6819" t="s">
        <v>44</v>
      </c>
      <c r="G6819">
        <v>-421.92239999999998</v>
      </c>
      <c r="H6819">
        <v>1.0468280000000001</v>
      </c>
      <c r="I6819">
        <v>65.951689999999999</v>
      </c>
      <c r="J6819">
        <v>-421.84530000000001</v>
      </c>
      <c r="K6819">
        <v>1.120914</v>
      </c>
      <c r="L6819">
        <v>66.644869999999997</v>
      </c>
      <c r="M6819">
        <v>-9.2562359999999993E-3</v>
      </c>
      <c r="N6819">
        <v>-1.150413E-2</v>
      </c>
      <c r="O6819">
        <v>-0.99989099999999997</v>
      </c>
      <c r="P6819" s="1">
        <v>-2.6602780000000001E-5</v>
      </c>
      <c r="Q6819">
        <v>-2.6099580000000001E-2</v>
      </c>
      <c r="R6819">
        <v>-0.99965939999999998</v>
      </c>
      <c r="S6819">
        <v>-0.28457640000000001</v>
      </c>
      <c r="T6819">
        <v>-0.2691249</v>
      </c>
      <c r="U6819">
        <v>-2.9941409999999999</v>
      </c>
      <c r="V6819">
        <v>-9.2317100000000006E-3</v>
      </c>
      <c r="W6819">
        <v>-1.4595439999999999E-2</v>
      </c>
      <c r="X6819">
        <v>0.99985089999999999</v>
      </c>
      <c r="Y6819">
        <v>8.5063299999999994E-2</v>
      </c>
      <c r="Z6819">
        <v>7.7696790000000002E-2</v>
      </c>
      <c r="AA6819">
        <v>0.99334160000000005</v>
      </c>
      <c r="AB6819">
        <v>23</v>
      </c>
      <c r="AC6819">
        <v>-7.7099999999972996E-2</v>
      </c>
      <c r="AD6819">
        <v>-7.4085999999999805E-2</v>
      </c>
      <c r="AE6819">
        <v>-0.69317999999999802</v>
      </c>
      <c r="AF6819">
        <v>6.9891420806737797E-2</v>
      </c>
      <c r="AG6819">
        <v>-7.4085999999999805E-2</v>
      </c>
      <c r="AH6819">
        <v>0.68612220454727502</v>
      </c>
      <c r="AI6819">
        <v>96.131313216328493</v>
      </c>
      <c r="AJ6819">
        <v>84.183662383692194</v>
      </c>
      <c r="AK6819">
        <v>0.69364055941906799</v>
      </c>
      <c r="AL6819">
        <v>90.836286775090699</v>
      </c>
      <c r="AM6819">
        <v>90.5290018649996</v>
      </c>
      <c r="AN6819">
        <v>1.0000000367845601</v>
      </c>
    </row>
    <row r="6820" spans="1:40" x14ac:dyDescent="0.25">
      <c r="A6820" t="str">
        <f>"20190303153944388"</f>
        <v>20190303153944388</v>
      </c>
      <c r="B6820" t="str">
        <f>"1551598784385105"</f>
        <v>1551598784385105</v>
      </c>
      <c r="C6820" t="s">
        <v>40</v>
      </c>
      <c r="D6820">
        <v>4.1463010000000002</v>
      </c>
      <c r="E6820">
        <v>0.53368000000000004</v>
      </c>
      <c r="F6820" t="s">
        <v>44</v>
      </c>
      <c r="G6820">
        <v>-421.92899999999997</v>
      </c>
      <c r="H6820">
        <v>1.052219</v>
      </c>
      <c r="I6820">
        <v>65.744630000000001</v>
      </c>
      <c r="J6820">
        <v>-421.84690000000001</v>
      </c>
      <c r="K6820">
        <v>1.120914</v>
      </c>
      <c r="L6820">
        <v>66.486909999999995</v>
      </c>
      <c r="M6820">
        <v>-9.3655230000000006E-3</v>
      </c>
      <c r="N6820">
        <v>-1.136389E-2</v>
      </c>
      <c r="O6820">
        <v>-0.9998918</v>
      </c>
      <c r="P6820">
        <v>-4.5527799999999999E-4</v>
      </c>
      <c r="Q6820">
        <v>-2.5633960000000001E-2</v>
      </c>
      <c r="R6820">
        <v>-0.99967150000000005</v>
      </c>
      <c r="S6820">
        <v>-0.27752690000000002</v>
      </c>
      <c r="T6820">
        <v>-0.22856389999999999</v>
      </c>
      <c r="U6820">
        <v>-2.9950260000000002</v>
      </c>
      <c r="V6820">
        <v>-8.9113630000000003E-3</v>
      </c>
      <c r="W6820">
        <v>-1.4270140000000001E-2</v>
      </c>
      <c r="X6820">
        <v>0.99985840000000004</v>
      </c>
      <c r="Y6820">
        <v>8.270421E-2</v>
      </c>
      <c r="Z6820">
        <v>6.4465519999999998E-2</v>
      </c>
      <c r="AA6820">
        <v>0.99448689999999995</v>
      </c>
      <c r="AB6820">
        <v>23</v>
      </c>
      <c r="AC6820">
        <v>-8.2100000000025306E-2</v>
      </c>
      <c r="AD6820">
        <v>-6.8694999999999895E-2</v>
      </c>
      <c r="AE6820">
        <v>-0.74227999999999295</v>
      </c>
      <c r="AF6820">
        <v>7.4513633358260403E-2</v>
      </c>
      <c r="AG6820">
        <v>-6.8694999999999895E-2</v>
      </c>
      <c r="AH6820">
        <v>0.73678230802355404</v>
      </c>
      <c r="AI6820">
        <v>95.299779164948504</v>
      </c>
      <c r="AJ6820">
        <v>84.225092357007796</v>
      </c>
      <c r="AK6820">
        <v>0.74372001048631498</v>
      </c>
      <c r="AL6820">
        <v>90.817646600584695</v>
      </c>
      <c r="AM6820">
        <v>90.510642277819599</v>
      </c>
      <c r="AN6820">
        <v>0.99999993466834602</v>
      </c>
    </row>
    <row r="6821" spans="1:40" x14ac:dyDescent="0.25">
      <c r="A6821" t="str">
        <f>"20190303153944406"</f>
        <v>20190303153944406</v>
      </c>
      <c r="B6821" t="str">
        <f>"1551598784394865"</f>
        <v>1551598784394865</v>
      </c>
      <c r="C6821" t="s">
        <v>40</v>
      </c>
      <c r="D6821">
        <v>4.0706559999999996</v>
      </c>
      <c r="E6821">
        <v>0.53293519999999905</v>
      </c>
      <c r="F6821" t="s">
        <v>42</v>
      </c>
      <c r="G6821">
        <v>-423.59679999999997</v>
      </c>
      <c r="H6821" s="1">
        <v>-4.0925820000000003E-6</v>
      </c>
      <c r="I6821">
        <v>47.138199999999998</v>
      </c>
      <c r="J6821">
        <v>-421.84879999999998</v>
      </c>
      <c r="K6821">
        <v>1.120919</v>
      </c>
      <c r="L6821">
        <v>66.304719999999904</v>
      </c>
      <c r="M6821">
        <v>-9.4737310000000009E-3</v>
      </c>
      <c r="N6821">
        <v>-1.122716E-2</v>
      </c>
      <c r="O6821">
        <v>-0.99989220000000001</v>
      </c>
      <c r="P6821">
        <v>-1.5425650000000001E-3</v>
      </c>
      <c r="Q6821">
        <v>-2.461292E-2</v>
      </c>
      <c r="R6821">
        <v>-0.99969609999999998</v>
      </c>
      <c r="S6821">
        <v>-0.27099610000000002</v>
      </c>
      <c r="T6821">
        <v>-0.17359040000000001</v>
      </c>
      <c r="U6821">
        <v>-2.996429</v>
      </c>
      <c r="V6821">
        <v>-7.9321719999999995E-3</v>
      </c>
      <c r="W6821">
        <v>-1.338602E-2</v>
      </c>
      <c r="X6821">
        <v>0.99987890000000001</v>
      </c>
      <c r="Y6821">
        <v>8.0504069999999997E-2</v>
      </c>
      <c r="Z6821">
        <v>4.641327E-2</v>
      </c>
      <c r="AA6821">
        <v>0.99567309999999998</v>
      </c>
      <c r="AB6821">
        <v>23</v>
      </c>
      <c r="AC6821">
        <v>-1.74799999999999</v>
      </c>
      <c r="AD6821">
        <v>-1.120923092582</v>
      </c>
      <c r="AE6821">
        <v>-19.166519999999899</v>
      </c>
      <c r="AF6821">
        <v>1.56103648398413</v>
      </c>
      <c r="AG6821">
        <v>-1.120923092582</v>
      </c>
      <c r="AH6821">
        <v>19.117372974270602</v>
      </c>
      <c r="AI6821">
        <v>93.344517917357905</v>
      </c>
      <c r="AJ6821">
        <v>85.3318477087047</v>
      </c>
      <c r="AK6821">
        <v>19.213725638750699</v>
      </c>
      <c r="AL6821">
        <v>90.766985387941205</v>
      </c>
      <c r="AM6821">
        <v>90.454525487197301</v>
      </c>
      <c r="AN6821">
        <v>0.99999995977464295</v>
      </c>
    </row>
    <row r="6822" spans="1:40" x14ac:dyDescent="0.25">
      <c r="A6822" t="str">
        <f>"20190303153944430"</f>
        <v>20190303153944430</v>
      </c>
      <c r="B6822" t="str">
        <f>"1551598784425121"</f>
        <v>1551598784425121</v>
      </c>
      <c r="C6822" t="s">
        <v>40</v>
      </c>
      <c r="D6822">
        <v>4.1440919999999997</v>
      </c>
      <c r="E6822">
        <v>0.52979279999999995</v>
      </c>
      <c r="F6822" t="s">
        <v>42</v>
      </c>
      <c r="G6822">
        <v>-423.81990000000002</v>
      </c>
      <c r="H6822" s="1">
        <v>-3.0131929999999998E-6</v>
      </c>
      <c r="I6822">
        <v>44.243690000000001</v>
      </c>
      <c r="J6822">
        <v>-421.85109999999997</v>
      </c>
      <c r="K6822">
        <v>1.1209450000000001</v>
      </c>
      <c r="L6822">
        <v>66.075680000000006</v>
      </c>
      <c r="M6822">
        <v>-9.5778549999999997E-3</v>
      </c>
      <c r="N6822">
        <v>-1.108964E-2</v>
      </c>
      <c r="O6822">
        <v>-0.99989300000000003</v>
      </c>
      <c r="P6822">
        <v>-2.8553860000000001E-3</v>
      </c>
      <c r="Q6822">
        <v>-2.3756409999999999E-2</v>
      </c>
      <c r="R6822">
        <v>-0.99971399999999999</v>
      </c>
      <c r="S6822">
        <v>-0.26776119999999998</v>
      </c>
      <c r="T6822">
        <v>-0.15226419999999999</v>
      </c>
      <c r="U6822">
        <v>-2.9967350000000001</v>
      </c>
      <c r="V6822">
        <v>-6.7226389999999999E-3</v>
      </c>
      <c r="W6822">
        <v>-1.266743E-2</v>
      </c>
      <c r="X6822">
        <v>0.99989720000000004</v>
      </c>
      <c r="Y6822">
        <v>7.9355439999999999E-2</v>
      </c>
      <c r="Z6822">
        <v>3.948687E-2</v>
      </c>
      <c r="AA6822">
        <v>0.99606399999999995</v>
      </c>
      <c r="AB6822">
        <v>23</v>
      </c>
      <c r="AC6822">
        <v>-1.9688000000000401</v>
      </c>
      <c r="AD6822">
        <v>-1.1209480131929901</v>
      </c>
      <c r="AE6822">
        <v>-21.831990000000001</v>
      </c>
      <c r="AF6822">
        <v>1.75500398202153</v>
      </c>
      <c r="AG6822">
        <v>-1.1209480131929901</v>
      </c>
      <c r="AH6822">
        <v>21.7928588301695</v>
      </c>
      <c r="AI6822">
        <v>92.935013358153796</v>
      </c>
      <c r="AJ6822">
        <v>85.395840900251997</v>
      </c>
      <c r="AK6822">
        <v>21.892127795554501</v>
      </c>
      <c r="AL6822">
        <v>90.725809663427199</v>
      </c>
      <c r="AM6822">
        <v>90.385212638138597</v>
      </c>
      <c r="AN6822">
        <v>1.0000000341128801</v>
      </c>
    </row>
    <row r="6823" spans="1:40" x14ac:dyDescent="0.25">
      <c r="A6823" t="str">
        <f>"20190303153944445"</f>
        <v>20190303153944445</v>
      </c>
      <c r="B6823" t="str">
        <f>"1551598784435857"</f>
        <v>1551598784435857</v>
      </c>
      <c r="C6823" t="s">
        <v>40</v>
      </c>
      <c r="D6823">
        <v>4.133095</v>
      </c>
      <c r="E6823">
        <v>0.52881679999999998</v>
      </c>
      <c r="F6823" t="s">
        <v>42</v>
      </c>
      <c r="G6823">
        <v>-423.99579999999997</v>
      </c>
      <c r="H6823" s="1">
        <v>-1.237115E-6</v>
      </c>
      <c r="I6823">
        <v>39.994509999999998</v>
      </c>
      <c r="J6823">
        <v>-421.8528</v>
      </c>
      <c r="K6823">
        <v>1.120981</v>
      </c>
      <c r="L6823">
        <v>65.905940000000001</v>
      </c>
      <c r="M6823">
        <v>-9.6247669999999994E-3</v>
      </c>
      <c r="N6823">
        <v>-1.102473E-2</v>
      </c>
      <c r="O6823">
        <v>-0.99989320000000004</v>
      </c>
      <c r="P6823">
        <v>-3.2798520000000002E-3</v>
      </c>
      <c r="Q6823">
        <v>-2.3723190000000002E-2</v>
      </c>
      <c r="R6823">
        <v>-0.99971339999999997</v>
      </c>
      <c r="S6823">
        <v>-0.24646000000000001</v>
      </c>
      <c r="T6823">
        <v>-0.12881280000000001</v>
      </c>
      <c r="U6823">
        <v>-2.9971009999999998</v>
      </c>
      <c r="V6823">
        <v>-6.3445439999999997E-3</v>
      </c>
      <c r="W6823">
        <v>-1.2699500000000001E-2</v>
      </c>
      <c r="X6823">
        <v>0.99989919999999999</v>
      </c>
      <c r="Y6823">
        <v>7.2296540000000006E-2</v>
      </c>
      <c r="Z6823">
        <v>3.179539E-2</v>
      </c>
      <c r="AA6823">
        <v>0.99687619999999999</v>
      </c>
      <c r="AB6823">
        <v>23</v>
      </c>
      <c r="AC6823">
        <v>-2.14299999999997</v>
      </c>
      <c r="AD6823">
        <v>-1.120982237115</v>
      </c>
      <c r="AE6823">
        <v>-25.911429999999999</v>
      </c>
      <c r="AF6823">
        <v>1.8899808953507</v>
      </c>
      <c r="AG6823">
        <v>-1.120982237115</v>
      </c>
      <c r="AH6823">
        <v>25.882743553150998</v>
      </c>
      <c r="AI6823">
        <v>92.4733547120574</v>
      </c>
      <c r="AJ6823">
        <v>85.823623708990695</v>
      </c>
      <c r="AK6823">
        <v>25.975854996494299</v>
      </c>
      <c r="AL6823">
        <v>90.727647333228603</v>
      </c>
      <c r="AM6823">
        <v>90.363547361283395</v>
      </c>
      <c r="AN6823">
        <v>0.99999997034972798</v>
      </c>
    </row>
    <row r="6824" spans="1:40" x14ac:dyDescent="0.25">
      <c r="A6824" t="str">
        <f>"20190303153944462"</f>
        <v>20190303153944462</v>
      </c>
      <c r="B6824" t="str">
        <f>"1551598784454908"</f>
        <v>1551598784454908</v>
      </c>
      <c r="C6824" t="s">
        <v>40</v>
      </c>
      <c r="D6824">
        <v>4.1751889999999996</v>
      </c>
      <c r="E6824">
        <v>0.52694110000000005</v>
      </c>
      <c r="F6824" t="s">
        <v>63</v>
      </c>
      <c r="G6824">
        <v>-424.04500000000002</v>
      </c>
      <c r="H6824" s="1">
        <v>-1.5095439999999899E-6</v>
      </c>
      <c r="I6824">
        <v>38.507289999999998</v>
      </c>
      <c r="J6824">
        <v>-421.85449999999997</v>
      </c>
      <c r="K6824">
        <v>1.121019</v>
      </c>
      <c r="L6824">
        <v>65.739900000000006</v>
      </c>
      <c r="M6824">
        <v>-9.6454690000000003E-3</v>
      </c>
      <c r="N6824">
        <v>-1.1007299999999999E-2</v>
      </c>
      <c r="O6824">
        <v>-0.99989300000000003</v>
      </c>
      <c r="P6824">
        <v>-3.7625060000000001E-3</v>
      </c>
      <c r="Q6824">
        <v>-2.4020300000000001E-2</v>
      </c>
      <c r="R6824">
        <v>-0.99970460000000005</v>
      </c>
      <c r="S6824">
        <v>-0.2398071</v>
      </c>
      <c r="T6824">
        <v>-0.1226252</v>
      </c>
      <c r="U6824">
        <v>-2.9971619999999999</v>
      </c>
      <c r="V6824">
        <v>-5.8820330000000001E-3</v>
      </c>
      <c r="W6824">
        <v>-1.301447E-2</v>
      </c>
      <c r="X6824">
        <v>0.99989799999999995</v>
      </c>
      <c r="Y6824">
        <v>7.0082199999999997E-2</v>
      </c>
      <c r="Z6824">
        <v>2.9765099999999999E-2</v>
      </c>
      <c r="AA6824">
        <v>0.99709709999999996</v>
      </c>
      <c r="AB6824">
        <v>23</v>
      </c>
      <c r="AC6824">
        <v>-2.1905000000000401</v>
      </c>
      <c r="AD6824">
        <v>-1.121020509544</v>
      </c>
      <c r="AE6824">
        <v>-27.232609999999902</v>
      </c>
      <c r="AF6824">
        <v>1.9244708013959799</v>
      </c>
      <c r="AG6824">
        <v>-1.121020509544</v>
      </c>
      <c r="AH6824">
        <v>27.206666628151499</v>
      </c>
      <c r="AI6824">
        <v>92.353600240050397</v>
      </c>
      <c r="AJ6824">
        <v>85.953906993068998</v>
      </c>
      <c r="AK6824">
        <v>27.297673598012199</v>
      </c>
      <c r="AL6824">
        <v>90.745695260681899</v>
      </c>
      <c r="AM6824">
        <v>90.337046157128</v>
      </c>
      <c r="AN6824">
        <v>0.99999999257279604</v>
      </c>
    </row>
    <row r="6825" spans="1:40" x14ac:dyDescent="0.25">
      <c r="A6825" t="str">
        <f>"20190303153944478"</f>
        <v>20190303153944478</v>
      </c>
      <c r="B6825" t="str">
        <f>"1551598784465644"</f>
        <v>1551598784465644</v>
      </c>
      <c r="C6825" t="s">
        <v>40</v>
      </c>
      <c r="D6825">
        <v>4.1650400000000003</v>
      </c>
      <c r="E6825">
        <v>0.52629519999999996</v>
      </c>
      <c r="F6825" t="s">
        <v>63</v>
      </c>
      <c r="G6825">
        <v>-424.06990000000002</v>
      </c>
      <c r="H6825" s="1">
        <v>-2.6159330000000001E-6</v>
      </c>
      <c r="I6825">
        <v>36.399120000000003</v>
      </c>
      <c r="J6825">
        <v>-421.85599999999999</v>
      </c>
      <c r="K6825">
        <v>1.121068</v>
      </c>
      <c r="L6825">
        <v>65.583219999999997</v>
      </c>
      <c r="M6825">
        <v>-9.6420359999999997E-3</v>
      </c>
      <c r="N6825">
        <v>-1.104777E-2</v>
      </c>
      <c r="O6825">
        <v>-0.99989249999999996</v>
      </c>
      <c r="P6825">
        <v>-4.0129179999999999E-3</v>
      </c>
      <c r="Q6825">
        <v>-2.4377309999999999E-2</v>
      </c>
      <c r="R6825">
        <v>-0.99969490000000005</v>
      </c>
      <c r="S6825">
        <v>-0.2263184</v>
      </c>
      <c r="T6825">
        <v>-0.1145171</v>
      </c>
      <c r="U6825">
        <v>-2.9972840000000001</v>
      </c>
      <c r="V6825">
        <v>-5.6274039999999999E-3</v>
      </c>
      <c r="W6825">
        <v>-1.33313999999999E-2</v>
      </c>
      <c r="X6825">
        <v>0.99989530000000004</v>
      </c>
      <c r="Y6825">
        <v>6.5629419999999994E-2</v>
      </c>
      <c r="Z6825">
        <v>2.704312E-2</v>
      </c>
      <c r="AA6825">
        <v>0.99747750000000002</v>
      </c>
      <c r="AB6825">
        <v>23</v>
      </c>
      <c r="AC6825">
        <v>-2.2139000000000202</v>
      </c>
      <c r="AD6825">
        <v>-1.1210706159329999</v>
      </c>
      <c r="AE6825">
        <v>-29.184099999999901</v>
      </c>
      <c r="AF6825">
        <v>1.9295547707776199</v>
      </c>
      <c r="AG6825">
        <v>-1.1210706159329999</v>
      </c>
      <c r="AH6825">
        <v>29.161306328390701</v>
      </c>
      <c r="AI6825">
        <v>92.196782675146096</v>
      </c>
      <c r="AJ6825">
        <v>86.214352684268206</v>
      </c>
      <c r="AK6825">
        <v>29.246568477644999</v>
      </c>
      <c r="AL6825">
        <v>90.763855580477397</v>
      </c>
      <c r="AM6825">
        <v>90.322456855900398</v>
      </c>
      <c r="AN6825">
        <v>1.00000000243191</v>
      </c>
    </row>
    <row r="6826" spans="1:40" x14ac:dyDescent="0.25">
      <c r="A6826" t="str">
        <f>"20190303153944492"</f>
        <v>20190303153944492</v>
      </c>
      <c r="B6826" t="str">
        <f>"1551598784485165"</f>
        <v>1551598784485165</v>
      </c>
      <c r="C6826" t="s">
        <v>40</v>
      </c>
      <c r="D6826">
        <v>4.2133159999999998</v>
      </c>
      <c r="E6826">
        <v>0.52432500000000004</v>
      </c>
      <c r="F6826" t="s">
        <v>63</v>
      </c>
      <c r="G6826">
        <v>-424.09370000000001</v>
      </c>
      <c r="H6826" s="1">
        <v>-3.2738349999999998E-6</v>
      </c>
      <c r="I6826">
        <v>35.369280000000003</v>
      </c>
      <c r="J6826">
        <v>-421.85739999999998</v>
      </c>
      <c r="K6826">
        <v>1.1211230000000001</v>
      </c>
      <c r="L6826">
        <v>65.434200000000004</v>
      </c>
      <c r="M6826">
        <v>-9.6186129999999998E-3</v>
      </c>
      <c r="N6826">
        <v>-1.113608E-2</v>
      </c>
      <c r="O6826">
        <v>-0.9998918</v>
      </c>
      <c r="P6826">
        <v>-4.0648209999999997E-3</v>
      </c>
      <c r="Q6826">
        <v>-2.467712E-2</v>
      </c>
      <c r="R6826">
        <v>-0.9996872</v>
      </c>
      <c r="S6826">
        <v>-0.22198490000000001</v>
      </c>
      <c r="T6826">
        <v>-0.1112137</v>
      </c>
      <c r="U6826">
        <v>-2.9973139999999998</v>
      </c>
      <c r="V6826">
        <v>-5.5511029999999999E-3</v>
      </c>
      <c r="W6826">
        <v>-1.354325E-2</v>
      </c>
      <c r="X6826">
        <v>0.99989289999999997</v>
      </c>
      <c r="Y6826">
        <v>6.4220739999999998E-2</v>
      </c>
      <c r="Z6826">
        <v>2.586074E-2</v>
      </c>
      <c r="AA6826">
        <v>0.99760059999999995</v>
      </c>
      <c r="AB6826">
        <v>23</v>
      </c>
      <c r="AC6826">
        <v>-2.2363000000000199</v>
      </c>
      <c r="AD6826">
        <v>-1.1211262738350001</v>
      </c>
      <c r="AE6826">
        <v>-30.064920000000001</v>
      </c>
      <c r="AF6826">
        <v>1.9443069991511199</v>
      </c>
      <c r="AG6826">
        <v>-1.1211262738350001</v>
      </c>
      <c r="AH6826">
        <v>30.043493128660302</v>
      </c>
      <c r="AI6826">
        <v>92.132644892979002</v>
      </c>
      <c r="AJ6826">
        <v>86.297186510373606</v>
      </c>
      <c r="AK6826">
        <v>30.127209183737701</v>
      </c>
      <c r="AL6826">
        <v>90.775994771449902</v>
      </c>
      <c r="AM6826">
        <v>90.318085572942294</v>
      </c>
      <c r="AN6826">
        <v>1.0000000229177399</v>
      </c>
    </row>
    <row r="6827" spans="1:40" x14ac:dyDescent="0.25">
      <c r="A6827" t="str">
        <f>"20190303153944506"</f>
        <v>20190303153944506</v>
      </c>
      <c r="B6827" t="str">
        <f>"1551598784494924"</f>
        <v>1551598784494924</v>
      </c>
      <c r="C6827" t="s">
        <v>40</v>
      </c>
      <c r="D6827">
        <v>4.1951289999999997</v>
      </c>
      <c r="E6827">
        <v>0.5233968</v>
      </c>
      <c r="F6827" t="s">
        <v>63</v>
      </c>
      <c r="G6827">
        <v>-423.90899999999999</v>
      </c>
      <c r="H6827" s="1">
        <v>-3.0902979999999998E-6</v>
      </c>
      <c r="I6827">
        <v>35.617570000000001</v>
      </c>
      <c r="J6827">
        <v>-421.85879999999997</v>
      </c>
      <c r="K6827">
        <v>1.1211850000000001</v>
      </c>
      <c r="L6827">
        <v>65.290589999999995</v>
      </c>
      <c r="M6827">
        <v>-9.5717660000000006E-3</v>
      </c>
      <c r="N6827">
        <v>-1.126946E-2</v>
      </c>
      <c r="O6827">
        <v>-0.99989079999999997</v>
      </c>
      <c r="P6827">
        <v>-4.2029720000000001E-3</v>
      </c>
      <c r="Q6827">
        <v>-2.4994949999999998E-2</v>
      </c>
      <c r="R6827">
        <v>-0.99967899999999998</v>
      </c>
      <c r="S6827">
        <v>-0.2062378</v>
      </c>
      <c r="T6827">
        <v>-0.11270230000000001</v>
      </c>
      <c r="U6827">
        <v>-2.9973450000000001</v>
      </c>
      <c r="V6827">
        <v>-5.3651430000000002E-3</v>
      </c>
      <c r="W6827">
        <v>-1.372804E-2</v>
      </c>
      <c r="X6827">
        <v>0.99989139999999999</v>
      </c>
      <c r="Y6827">
        <v>5.905175E-2</v>
      </c>
      <c r="Z6827">
        <v>2.6234319999999998E-2</v>
      </c>
      <c r="AA6827">
        <v>0.99791010000000002</v>
      </c>
      <c r="AB6827">
        <v>23</v>
      </c>
      <c r="AC6827">
        <v>-2.05020000000001</v>
      </c>
      <c r="AD6827">
        <v>-1.121188090298</v>
      </c>
      <c r="AE6827">
        <v>-29.673020000000001</v>
      </c>
      <c r="AF6827">
        <v>1.7635590089103399</v>
      </c>
      <c r="AG6827">
        <v>-1.121188090298</v>
      </c>
      <c r="AH6827">
        <v>29.649157129371702</v>
      </c>
      <c r="AI6827">
        <v>92.1618009093078</v>
      </c>
      <c r="AJ6827">
        <v>86.596005222685804</v>
      </c>
      <c r="AK6827">
        <v>29.722713900212899</v>
      </c>
      <c r="AL6827">
        <v>90.786583438889906</v>
      </c>
      <c r="AM6827">
        <v>90.307430487266402</v>
      </c>
      <c r="AN6827">
        <v>1.0000000278178001</v>
      </c>
    </row>
    <row r="6828" spans="1:40" x14ac:dyDescent="0.25">
      <c r="A6828" t="str">
        <f>"20190303153944523"</f>
        <v>20190303153944523</v>
      </c>
      <c r="B6828" t="str">
        <f>"1551598784515421"</f>
        <v>1551598784515421</v>
      </c>
      <c r="C6828" t="s">
        <v>40</v>
      </c>
      <c r="D6828">
        <v>4.1760279999999996</v>
      </c>
      <c r="E6828">
        <v>0.52208080000000001</v>
      </c>
      <c r="F6828" t="s">
        <v>63</v>
      </c>
      <c r="G6828">
        <v>-423.83069999999998</v>
      </c>
      <c r="H6828" s="1">
        <v>-3.050021E-6</v>
      </c>
      <c r="I6828">
        <v>35.663789999999999</v>
      </c>
      <c r="J6828">
        <v>-421.8603</v>
      </c>
      <c r="K6828">
        <v>1.1212549999999999</v>
      </c>
      <c r="L6828">
        <v>65.127169999999893</v>
      </c>
      <c r="M6828">
        <v>-9.4854899999999992E-3</v>
      </c>
      <c r="N6828">
        <v>-1.143681E-2</v>
      </c>
      <c r="O6828">
        <v>-0.9998899</v>
      </c>
      <c r="P6828">
        <v>-4.2389039999999999E-3</v>
      </c>
      <c r="Q6828">
        <v>-2.523249E-2</v>
      </c>
      <c r="R6828">
        <v>-0.99967289999999998</v>
      </c>
      <c r="S6828">
        <v>-0.19949339999999999</v>
      </c>
      <c r="T6828">
        <v>-0.113428399999999</v>
      </c>
      <c r="U6828">
        <v>-2.9972840000000001</v>
      </c>
      <c r="V6828">
        <v>-5.2421270000000001E-3</v>
      </c>
      <c r="W6828">
        <v>-1.3798609999999999E-2</v>
      </c>
      <c r="X6828">
        <v>0.99989099999999997</v>
      </c>
      <c r="Y6828">
        <v>5.6903990000000002E-2</v>
      </c>
      <c r="Z6828">
        <v>2.6314259999999999E-2</v>
      </c>
      <c r="AA6828">
        <v>0.99803280000000005</v>
      </c>
      <c r="AB6828">
        <v>23</v>
      </c>
      <c r="AC6828">
        <v>-1.9703999999999799</v>
      </c>
      <c r="AD6828">
        <v>-1.1212580500210001</v>
      </c>
      <c r="AE6828">
        <v>-29.463379999999901</v>
      </c>
      <c r="AF6828">
        <v>1.68838422074359</v>
      </c>
      <c r="AG6828">
        <v>-1.1212580500210001</v>
      </c>
      <c r="AH6828">
        <v>29.4383013140652</v>
      </c>
      <c r="AI6828">
        <v>92.177675439817506</v>
      </c>
      <c r="AJ6828">
        <v>86.717493018451194</v>
      </c>
      <c r="AK6828">
        <v>29.507989513846599</v>
      </c>
      <c r="AL6828">
        <v>90.790627249090505</v>
      </c>
      <c r="AM6828">
        <v>90.3003817426154</v>
      </c>
      <c r="AN6828">
        <v>0.99999994670720604</v>
      </c>
    </row>
    <row r="6829" spans="1:40" x14ac:dyDescent="0.25">
      <c r="A6829" t="str">
        <f>"20190303153944536"</f>
        <v>20190303153944536</v>
      </c>
      <c r="B6829" t="str">
        <f>"1551598784525180"</f>
        <v>1551598784525180</v>
      </c>
      <c r="C6829" t="s">
        <v>40</v>
      </c>
      <c r="D6829">
        <v>4.1356919999999997</v>
      </c>
      <c r="E6829">
        <v>0.52164690000000002</v>
      </c>
      <c r="F6829" t="s">
        <v>63</v>
      </c>
      <c r="G6829">
        <v>-423.73439999999999</v>
      </c>
      <c r="H6829" s="1">
        <v>-3.2339079999999999E-6</v>
      </c>
      <c r="I6829">
        <v>35.353380000000001</v>
      </c>
      <c r="J6829">
        <v>-421.86149999999998</v>
      </c>
      <c r="K6829">
        <v>1.1213109999999999</v>
      </c>
      <c r="L6829">
        <v>64.988860000000003</v>
      </c>
      <c r="M6829">
        <v>-9.3864919999999998E-3</v>
      </c>
      <c r="N6829">
        <v>-1.1575240000000001E-2</v>
      </c>
      <c r="O6829">
        <v>-0.99988920000000003</v>
      </c>
      <c r="P6829">
        <v>-4.2890130000000004E-3</v>
      </c>
      <c r="Q6829">
        <v>-2.5379410000000002E-2</v>
      </c>
      <c r="R6829">
        <v>-0.99966869999999997</v>
      </c>
      <c r="S6829">
        <v>-0.18865970000000001</v>
      </c>
      <c r="T6829">
        <v>-0.1128765</v>
      </c>
      <c r="U6829">
        <v>-2.9973139999999998</v>
      </c>
      <c r="V6829">
        <v>-5.0924150000000003E-3</v>
      </c>
      <c r="W6829">
        <v>-1.3807420000000001E-2</v>
      </c>
      <c r="X6829">
        <v>0.99989170000000005</v>
      </c>
      <c r="Y6829">
        <v>5.3410819999999998E-2</v>
      </c>
      <c r="Z6829">
        <v>2.5999930000000001E-2</v>
      </c>
      <c r="AA6829">
        <v>0.99823410000000001</v>
      </c>
      <c r="AB6829">
        <v>23</v>
      </c>
      <c r="AC6829">
        <v>-1.87290000000001</v>
      </c>
      <c r="AD6829">
        <v>-1.121314233908</v>
      </c>
      <c r="AE6829">
        <v>-29.635479999999902</v>
      </c>
      <c r="AF6829">
        <v>1.59235512240897</v>
      </c>
      <c r="AG6829">
        <v>-1.121314233908</v>
      </c>
      <c r="AH6829">
        <v>29.6095341343351</v>
      </c>
      <c r="AI6829">
        <v>92.165630687717595</v>
      </c>
      <c r="AJ6829">
        <v>86.921686595720999</v>
      </c>
      <c r="AK6829">
        <v>29.673514320002301</v>
      </c>
      <c r="AL6829">
        <v>90.791132035109399</v>
      </c>
      <c r="AM6829">
        <v>90.291802966622598</v>
      </c>
      <c r="AN6829">
        <v>0.99999999463323896</v>
      </c>
    </row>
    <row r="6830" spans="1:40" x14ac:dyDescent="0.25">
      <c r="A6830" t="str">
        <f>"20190303153944549"</f>
        <v>20190303153944549</v>
      </c>
      <c r="B6830" t="str">
        <f>"1551598784545676"</f>
        <v>1551598784545676</v>
      </c>
      <c r="C6830" t="s">
        <v>40</v>
      </c>
      <c r="D6830">
        <v>4.2083640000000004</v>
      </c>
      <c r="E6830">
        <v>0.52073459999999905</v>
      </c>
      <c r="F6830" t="s">
        <v>63</v>
      </c>
      <c r="G6830">
        <v>-423.72269999999997</v>
      </c>
      <c r="H6830" s="1">
        <v>-3.5377419999999999E-6</v>
      </c>
      <c r="I6830">
        <v>34.87283</v>
      </c>
      <c r="J6830">
        <v>-421.86270000000002</v>
      </c>
      <c r="K6830">
        <v>1.121367</v>
      </c>
      <c r="L6830">
        <v>64.857699999999994</v>
      </c>
      <c r="M6830">
        <v>-9.2744590000000005E-3</v>
      </c>
      <c r="N6830">
        <v>-1.170145E-2</v>
      </c>
      <c r="O6830">
        <v>-0.99988849999999996</v>
      </c>
      <c r="P6830">
        <v>-4.2199759999999899E-3</v>
      </c>
      <c r="Q6830">
        <v>-2.565098E-2</v>
      </c>
      <c r="R6830">
        <v>-0.99966219999999995</v>
      </c>
      <c r="S6830">
        <v>-0.18524170000000001</v>
      </c>
      <c r="T6830">
        <v>-0.1116017</v>
      </c>
      <c r="U6830">
        <v>-2.9973749999999999</v>
      </c>
      <c r="V6830">
        <v>-5.0485399999999998E-3</v>
      </c>
      <c r="W6830">
        <v>-1.3953139999999999E-2</v>
      </c>
      <c r="X6830">
        <v>0.9998899</v>
      </c>
      <c r="Y6830">
        <v>5.2388589999999999E-2</v>
      </c>
      <c r="Z6830">
        <v>2.5451479999999999E-2</v>
      </c>
      <c r="AA6830">
        <v>0.99830240000000003</v>
      </c>
      <c r="AB6830">
        <v>23</v>
      </c>
      <c r="AC6830">
        <v>-1.8599999999999499</v>
      </c>
      <c r="AD6830">
        <v>-1.121370537742</v>
      </c>
      <c r="AE6830">
        <v>-29.984869999999901</v>
      </c>
      <c r="AF6830">
        <v>1.57960672613546</v>
      </c>
      <c r="AG6830">
        <v>-1.121370537742</v>
      </c>
      <c r="AH6830">
        <v>29.959091673092999</v>
      </c>
      <c r="AI6830">
        <v>92.140613074576507</v>
      </c>
      <c r="AJ6830">
        <v>86.981848705096397</v>
      </c>
      <c r="AK6830">
        <v>30.021655570087301</v>
      </c>
      <c r="AL6830">
        <v>90.7994819802595</v>
      </c>
      <c r="AM6830">
        <v>90.289289427435506</v>
      </c>
      <c r="AN6830">
        <v>0.99999999499699999</v>
      </c>
    </row>
    <row r="6831" spans="1:40" x14ac:dyDescent="0.25">
      <c r="A6831" t="str">
        <f>"20190303153944562"</f>
        <v>20190303153944562</v>
      </c>
      <c r="B6831" t="str">
        <f>"1551598784554967"</f>
        <v>1551598784554967</v>
      </c>
      <c r="C6831" t="s">
        <v>40</v>
      </c>
      <c r="D6831">
        <v>4.1739309999999996</v>
      </c>
      <c r="E6831">
        <v>0.52036229999999895</v>
      </c>
      <c r="F6831" t="s">
        <v>63</v>
      </c>
      <c r="G6831">
        <v>-423.70699999999999</v>
      </c>
      <c r="H6831" s="1">
        <v>-3.9758400000000004E-6</v>
      </c>
      <c r="I6831">
        <v>33.81765</v>
      </c>
      <c r="J6831">
        <v>-421.86380000000003</v>
      </c>
      <c r="K6831">
        <v>1.12141</v>
      </c>
      <c r="L6831">
        <v>64.720579999999998</v>
      </c>
      <c r="M6831">
        <v>-9.1191520000000002E-3</v>
      </c>
      <c r="N6831">
        <v>-1.182331E-2</v>
      </c>
      <c r="O6831">
        <v>-0.99988869999999996</v>
      </c>
      <c r="P6831">
        <v>-4.076713E-3</v>
      </c>
      <c r="Q6831">
        <v>-2.511219E-2</v>
      </c>
      <c r="R6831">
        <v>-0.99967649999999997</v>
      </c>
      <c r="S6831">
        <v>-0.1781006</v>
      </c>
      <c r="T6831">
        <v>-0.10828939999999999</v>
      </c>
      <c r="U6831">
        <v>-2.9974980000000002</v>
      </c>
      <c r="V6831">
        <v>-5.0357129999999998E-3</v>
      </c>
      <c r="W6831">
        <v>-1.3292740000000001E-2</v>
      </c>
      <c r="X6831">
        <v>0.99989899999999998</v>
      </c>
      <c r="Y6831">
        <v>5.017402E-2</v>
      </c>
      <c r="Z6831">
        <v>2.423138E-2</v>
      </c>
      <c r="AA6831">
        <v>0.99844650000000001</v>
      </c>
      <c r="AB6831">
        <v>23</v>
      </c>
      <c r="AC6831">
        <v>-1.84319999999996</v>
      </c>
      <c r="AD6831">
        <v>-1.1214139758399999</v>
      </c>
      <c r="AE6831">
        <v>-30.902930000000001</v>
      </c>
      <c r="AF6831">
        <v>1.55924918322876</v>
      </c>
      <c r="AG6831">
        <v>-1.1214139758399999</v>
      </c>
      <c r="AH6831">
        <v>30.8779373337842</v>
      </c>
      <c r="AI6831">
        <v>92.077289162149</v>
      </c>
      <c r="AJ6831">
        <v>87.109179419230998</v>
      </c>
      <c r="AK6831">
        <v>30.937612081570101</v>
      </c>
      <c r="AL6831">
        <v>90.761640306244999</v>
      </c>
      <c r="AM6831">
        <v>90.288551806170503</v>
      </c>
      <c r="AN6831">
        <v>1.0000000327715599</v>
      </c>
    </row>
    <row r="6832" spans="1:40" x14ac:dyDescent="0.25">
      <c r="A6832" t="str">
        <f>"20190303153944579"</f>
        <v>20190303153944579</v>
      </c>
      <c r="B6832" t="str">
        <f>"1551598784575462"</f>
        <v>1551598784575462</v>
      </c>
      <c r="C6832" t="s">
        <v>40</v>
      </c>
      <c r="D6832">
        <v>4.2127280000000003</v>
      </c>
      <c r="E6832">
        <v>0.51948679999999903</v>
      </c>
      <c r="F6832" t="s">
        <v>63</v>
      </c>
      <c r="G6832">
        <v>-423.74720000000002</v>
      </c>
      <c r="H6832" s="1">
        <v>-4.5147150000000004E-6</v>
      </c>
      <c r="I6832">
        <v>32.421750000000003</v>
      </c>
      <c r="J6832">
        <v>-421.86500000000001</v>
      </c>
      <c r="K6832">
        <v>1.121462</v>
      </c>
      <c r="L6832">
        <v>64.564819999999997</v>
      </c>
      <c r="M6832">
        <v>-8.9205910000000003E-3</v>
      </c>
      <c r="N6832">
        <v>-1.196025E-2</v>
      </c>
      <c r="O6832">
        <v>-0.99988880000000002</v>
      </c>
      <c r="P6832">
        <v>-3.9515729999999999E-3</v>
      </c>
      <c r="Q6832">
        <v>-2.537551E-2</v>
      </c>
      <c r="R6832">
        <v>-0.99967030000000001</v>
      </c>
      <c r="S6832">
        <v>-0.17480470000000001</v>
      </c>
      <c r="T6832">
        <v>-0.1040783</v>
      </c>
      <c r="U6832">
        <v>-2.9976500000000001</v>
      </c>
      <c r="V6832">
        <v>-4.9608489999999998E-3</v>
      </c>
      <c r="W6832">
        <v>-1.3419540000000001E-2</v>
      </c>
      <c r="X6832">
        <v>0.9998977</v>
      </c>
      <c r="Y6832">
        <v>4.9277880000000003E-2</v>
      </c>
      <c r="Z6832">
        <v>2.2694079999999998E-2</v>
      </c>
      <c r="AA6832">
        <v>0.99852719999999995</v>
      </c>
      <c r="AB6832">
        <v>23</v>
      </c>
      <c r="AC6832">
        <v>-1.8822000000000101</v>
      </c>
      <c r="AD6832">
        <v>-1.121466514715</v>
      </c>
      <c r="AE6832">
        <v>-32.143069999999902</v>
      </c>
      <c r="AF6832">
        <v>1.59343637728663</v>
      </c>
      <c r="AG6832">
        <v>-1.121466514715</v>
      </c>
      <c r="AH6832">
        <v>32.119616777793603</v>
      </c>
      <c r="AI6832">
        <v>91.997233630898506</v>
      </c>
      <c r="AJ6832">
        <v>87.159916530084701</v>
      </c>
      <c r="AK6832">
        <v>32.178665425781801</v>
      </c>
      <c r="AL6832">
        <v>90.768906043944796</v>
      </c>
      <c r="AM6832">
        <v>90.284262458425999</v>
      </c>
      <c r="AN6832">
        <v>1.00000005227094</v>
      </c>
    </row>
    <row r="6833" spans="1:40" x14ac:dyDescent="0.25">
      <c r="A6833" t="str">
        <f>"20190303153944594"</f>
        <v>20190303153944594</v>
      </c>
      <c r="B6833" t="str">
        <f>"1551598784585222"</f>
        <v>1551598784585222</v>
      </c>
      <c r="C6833" t="s">
        <v>40</v>
      </c>
      <c r="D6833">
        <v>4.2065839999999897</v>
      </c>
      <c r="E6833">
        <v>0.51899529999999905</v>
      </c>
      <c r="F6833" t="s">
        <v>63</v>
      </c>
      <c r="G6833">
        <v>-423.68110000000001</v>
      </c>
      <c r="H6833" s="1">
        <v>-4.6923040000000001E-6</v>
      </c>
      <c r="I6833">
        <v>32.065689999999996</v>
      </c>
      <c r="J6833">
        <v>-421.86610000000002</v>
      </c>
      <c r="K6833">
        <v>1.1215059999999999</v>
      </c>
      <c r="L6833">
        <v>64.416600000000003</v>
      </c>
      <c r="M6833">
        <v>-8.7091449999999997E-3</v>
      </c>
      <c r="N6833">
        <v>-1.208913E-2</v>
      </c>
      <c r="O6833">
        <v>-0.99988909999999998</v>
      </c>
      <c r="P6833">
        <v>-3.7873540000000002E-3</v>
      </c>
      <c r="Q6833">
        <v>-2.5251880000000001E-2</v>
      </c>
      <c r="R6833">
        <v>-0.99967410000000001</v>
      </c>
      <c r="S6833">
        <v>-0.16751099999999999</v>
      </c>
      <c r="T6833">
        <v>-0.103442699999999</v>
      </c>
      <c r="U6833">
        <v>-2.997681</v>
      </c>
      <c r="V6833">
        <v>-4.9131870000000003E-3</v>
      </c>
      <c r="W6833">
        <v>-1.316734E-2</v>
      </c>
      <c r="X6833">
        <v>0.99990120000000005</v>
      </c>
      <c r="Y6833">
        <v>4.7067650000000003E-2</v>
      </c>
      <c r="Z6833">
        <v>2.235761E-2</v>
      </c>
      <c r="AA6833">
        <v>0.99864149999999996</v>
      </c>
      <c r="AB6833">
        <v>23</v>
      </c>
      <c r="AC6833">
        <v>-1.81499999999999</v>
      </c>
      <c r="AD6833">
        <v>-1.1215106923039999</v>
      </c>
      <c r="AE6833">
        <v>-32.350909999999999</v>
      </c>
      <c r="AF6833">
        <v>1.53132724670238</v>
      </c>
      <c r="AG6833">
        <v>-1.1215106923039999</v>
      </c>
      <c r="AH6833">
        <v>32.3267626066364</v>
      </c>
      <c r="AI6833">
        <v>91.984738793503396</v>
      </c>
      <c r="AJ6833">
        <v>87.287911232866904</v>
      </c>
      <c r="AK6833">
        <v>32.382438604825197</v>
      </c>
      <c r="AL6833">
        <v>90.754454838726403</v>
      </c>
      <c r="AM6833">
        <v>90.281530428729795</v>
      </c>
      <c r="AN6833">
        <v>0.999999964005305</v>
      </c>
    </row>
    <row r="6834" spans="1:40" x14ac:dyDescent="0.25">
      <c r="A6834" t="str">
        <f>"20190303153944607"</f>
        <v>20190303153944607</v>
      </c>
      <c r="B6834" t="str">
        <f>"1551598784594983"</f>
        <v>1551598784594983</v>
      </c>
      <c r="C6834" t="s">
        <v>40</v>
      </c>
      <c r="D6834">
        <v>4.192755</v>
      </c>
      <c r="E6834">
        <v>0.51865660000000002</v>
      </c>
      <c r="F6834" t="s">
        <v>63</v>
      </c>
      <c r="G6834">
        <v>-423.63729999999998</v>
      </c>
      <c r="H6834" s="1">
        <v>-4.797807E-6</v>
      </c>
      <c r="I6834">
        <v>31.853639999999999</v>
      </c>
      <c r="J6834">
        <v>-421.86720000000003</v>
      </c>
      <c r="K6834">
        <v>1.1215469999999901</v>
      </c>
      <c r="L6834">
        <v>64.269040000000004</v>
      </c>
      <c r="M6834">
        <v>-8.4764290000000006E-3</v>
      </c>
      <c r="N6834">
        <v>-1.221597E-2</v>
      </c>
      <c r="O6834">
        <v>-0.99988960000000005</v>
      </c>
      <c r="P6834">
        <v>-3.6667589999999999E-3</v>
      </c>
      <c r="Q6834">
        <v>-2.518718E-2</v>
      </c>
      <c r="R6834">
        <v>-0.99967620000000001</v>
      </c>
      <c r="S6834">
        <v>-0.16305539999999999</v>
      </c>
      <c r="T6834">
        <v>-0.10324609999999999</v>
      </c>
      <c r="U6834">
        <v>-2.9977420000000001</v>
      </c>
      <c r="V6834">
        <v>-4.8001999999999897E-3</v>
      </c>
      <c r="W6834">
        <v>-1.297603E-2</v>
      </c>
      <c r="X6834">
        <v>0.99990429999999997</v>
      </c>
      <c r="Y6834">
        <v>4.5819579999999999E-2</v>
      </c>
      <c r="Z6834">
        <v>2.2167079999999999E-2</v>
      </c>
      <c r="AA6834">
        <v>0.99870380000000003</v>
      </c>
      <c r="AB6834">
        <v>22</v>
      </c>
      <c r="AC6834">
        <v>-1.77009999999995</v>
      </c>
      <c r="AD6834">
        <v>-1.12155179780699</v>
      </c>
      <c r="AE6834">
        <v>-32.415399999999998</v>
      </c>
      <c r="AF6834">
        <v>1.4934665621757099</v>
      </c>
      <c r="AG6834">
        <v>-1.12155179780699</v>
      </c>
      <c r="AH6834">
        <v>32.390580556936001</v>
      </c>
      <c r="AI6834">
        <v>91.981020517050993</v>
      </c>
      <c r="AJ6834">
        <v>87.360072964345406</v>
      </c>
      <c r="AK6834">
        <v>32.4443836375861</v>
      </c>
      <c r="AL6834">
        <v>90.743492608813497</v>
      </c>
      <c r="AM6834">
        <v>90.275055410830703</v>
      </c>
      <c r="AN6834">
        <v>1.0000000142165399</v>
      </c>
    </row>
    <row r="6835" spans="1:40" x14ac:dyDescent="0.25">
      <c r="A6835" t="str">
        <f>"20190303153944624"</f>
        <v>20190303153944624</v>
      </c>
      <c r="B6835" t="str">
        <f>"1551598784615478"</f>
        <v>1551598784615478</v>
      </c>
      <c r="C6835" t="s">
        <v>40</v>
      </c>
      <c r="D6835">
        <v>4.3036690000000002</v>
      </c>
      <c r="E6835">
        <v>0.51804189999999894</v>
      </c>
      <c r="F6835" t="s">
        <v>63</v>
      </c>
      <c r="G6835">
        <v>-423.6352</v>
      </c>
      <c r="H6835" s="1">
        <v>-5.1855300000000001E-6</v>
      </c>
      <c r="I6835">
        <v>31.092459999999999</v>
      </c>
      <c r="J6835">
        <v>-421.86810000000003</v>
      </c>
      <c r="K6835">
        <v>1.1215839999999999</v>
      </c>
      <c r="L6835">
        <v>64.119019999999907</v>
      </c>
      <c r="M6835">
        <v>-8.2141909999999992E-3</v>
      </c>
      <c r="N6835">
        <v>-1.233777E-2</v>
      </c>
      <c r="O6835">
        <v>-0.99989030000000001</v>
      </c>
      <c r="P6835">
        <v>-3.547892E-3</v>
      </c>
      <c r="Q6835">
        <v>-2.5118020000000001E-2</v>
      </c>
      <c r="R6835">
        <v>-0.99967839999999997</v>
      </c>
      <c r="S6835">
        <v>-0.1597595</v>
      </c>
      <c r="T6835">
        <v>-0.1013434</v>
      </c>
      <c r="U6835">
        <v>-2.997833</v>
      </c>
      <c r="V6835">
        <v>-4.6562189999999996E-3</v>
      </c>
      <c r="W6835">
        <v>-1.27852E-2</v>
      </c>
      <c r="X6835">
        <v>0.9999074</v>
      </c>
      <c r="Y6835">
        <v>4.4986199999999997E-2</v>
      </c>
      <c r="Z6835">
        <v>2.1412919999999998E-2</v>
      </c>
      <c r="AA6835">
        <v>0.99875809999999998</v>
      </c>
      <c r="AB6835">
        <v>22</v>
      </c>
      <c r="AC6835">
        <v>-1.7670999999999699</v>
      </c>
      <c r="AD6835">
        <v>-1.12158918553</v>
      </c>
      <c r="AE6835">
        <v>-33.026559999999897</v>
      </c>
      <c r="AF6835">
        <v>1.4940151700619</v>
      </c>
      <c r="AG6835">
        <v>-1.12158918553</v>
      </c>
      <c r="AH6835">
        <v>33.002009563866501</v>
      </c>
      <c r="AI6835">
        <v>91.944485509113505</v>
      </c>
      <c r="AJ6835">
        <v>87.407965162382197</v>
      </c>
      <c r="AK6835">
        <v>33.054843501112003</v>
      </c>
      <c r="AL6835">
        <v>90.732557976848199</v>
      </c>
      <c r="AM6835">
        <v>90.266804474975203</v>
      </c>
      <c r="AN6835">
        <v>0.99999997514458705</v>
      </c>
    </row>
    <row r="6836" spans="1:40" x14ac:dyDescent="0.25">
      <c r="A6836" t="str">
        <f>"20190303153944641"</f>
        <v>20190303153944641</v>
      </c>
      <c r="B6836" t="str">
        <f>"1551598784634998"</f>
        <v>1551598784634998</v>
      </c>
      <c r="C6836" t="s">
        <v>40</v>
      </c>
      <c r="D6836">
        <v>4.2832150000000002</v>
      </c>
      <c r="E6836">
        <v>0.51754330000000004</v>
      </c>
      <c r="F6836" t="s">
        <v>63</v>
      </c>
      <c r="G6836">
        <v>-423.6103</v>
      </c>
      <c r="H6836" s="1">
        <v>-5.6030189999999999E-6</v>
      </c>
      <c r="I6836">
        <v>30.27027</v>
      </c>
      <c r="J6836">
        <v>-421.86930000000001</v>
      </c>
      <c r="K6836">
        <v>1.1216120000000001</v>
      </c>
      <c r="L6836">
        <v>63.932679999999998</v>
      </c>
      <c r="M6836">
        <v>-7.8689369999999995E-3</v>
      </c>
      <c r="N6836">
        <v>-1.247826E-2</v>
      </c>
      <c r="O6836">
        <v>-0.99989130000000004</v>
      </c>
      <c r="P6836">
        <v>-3.0291929999999999E-3</v>
      </c>
      <c r="Q6836">
        <v>-2.439086E-2</v>
      </c>
      <c r="R6836">
        <v>-0.99969819999999998</v>
      </c>
      <c r="S6836">
        <v>-0.15429689999999999</v>
      </c>
      <c r="T6836">
        <v>-9.9337220000000004E-2</v>
      </c>
      <c r="U6836">
        <v>-2.997925</v>
      </c>
      <c r="V6836">
        <v>-4.8303010000000004E-3</v>
      </c>
      <c r="W6836">
        <v>-1.191773E-2</v>
      </c>
      <c r="X6836">
        <v>0.99991730000000001</v>
      </c>
      <c r="Y6836">
        <v>4.3515850000000002E-2</v>
      </c>
      <c r="Z6836">
        <v>2.0606599999999999E-2</v>
      </c>
      <c r="AA6836">
        <v>0.99884019999999996</v>
      </c>
      <c r="AB6836">
        <v>22</v>
      </c>
      <c r="AC6836">
        <v>-1.7409999999999799</v>
      </c>
      <c r="AD6836">
        <v>-1.1216176030189999</v>
      </c>
      <c r="AE6836">
        <v>-33.662410000000001</v>
      </c>
      <c r="AF6836">
        <v>1.4744056017982601</v>
      </c>
      <c r="AG6836">
        <v>-1.1216176030189999</v>
      </c>
      <c r="AH6836">
        <v>33.637823601690599</v>
      </c>
      <c r="AI6836">
        <v>91.907928983615804</v>
      </c>
      <c r="AJ6836">
        <v>87.490230591498701</v>
      </c>
      <c r="AK6836">
        <v>33.688797464208697</v>
      </c>
      <c r="AL6836">
        <v>90.682851805451406</v>
      </c>
      <c r="AM6836">
        <v>90.2767765977717</v>
      </c>
      <c r="AN6836">
        <v>0.99999998546769597</v>
      </c>
    </row>
    <row r="6837" spans="1:40" x14ac:dyDescent="0.25">
      <c r="A6837" t="str">
        <f>"20190303153944664"</f>
        <v>20190303153944664</v>
      </c>
      <c r="B6837" t="str">
        <f>"1551598784655495"</f>
        <v>1551598784655495</v>
      </c>
      <c r="C6837" t="s">
        <v>40</v>
      </c>
      <c r="D6837">
        <v>4.2875899999999998</v>
      </c>
      <c r="E6837">
        <v>0.51677870000000004</v>
      </c>
      <c r="F6837" t="s">
        <v>63</v>
      </c>
      <c r="G6837">
        <v>-423.61959999999999</v>
      </c>
      <c r="H6837" s="1">
        <v>-6.3177499999999998E-6</v>
      </c>
      <c r="I6837">
        <v>28.680949999999999</v>
      </c>
      <c r="J6837">
        <v>-421.87060000000002</v>
      </c>
      <c r="K6837">
        <v>1.1216269999999999</v>
      </c>
      <c r="L6837">
        <v>63.712490000000003</v>
      </c>
      <c r="M6837">
        <v>-7.4391680000000003E-3</v>
      </c>
      <c r="N6837">
        <v>-1.262687E-2</v>
      </c>
      <c r="O6837">
        <v>-0.99989269999999997</v>
      </c>
      <c r="P6837">
        <v>-1.8977E-3</v>
      </c>
      <c r="Q6837">
        <v>-2.4809749999999998E-2</v>
      </c>
      <c r="R6837">
        <v>-0.99969059999999998</v>
      </c>
      <c r="S6837">
        <v>-0.14886469999999999</v>
      </c>
      <c r="T6837">
        <v>-9.5392939999999996E-2</v>
      </c>
      <c r="U6837">
        <v>-2.998138</v>
      </c>
      <c r="V6837">
        <v>-5.5316509999999899E-3</v>
      </c>
      <c r="W6837">
        <v>-1.218874E-2</v>
      </c>
      <c r="X6837">
        <v>0.99991039999999998</v>
      </c>
      <c r="Y6837">
        <v>4.2138429999999998E-2</v>
      </c>
      <c r="Z6837">
        <v>1.9145619999999999E-2</v>
      </c>
      <c r="AA6837">
        <v>0.99892829999999999</v>
      </c>
      <c r="AB6837">
        <v>22</v>
      </c>
      <c r="AC6837">
        <v>-1.7489999999999599</v>
      </c>
      <c r="AD6837">
        <v>-1.12163331775</v>
      </c>
      <c r="AE6837">
        <v>-35.03154</v>
      </c>
      <c r="AF6837">
        <v>1.4868049375485799</v>
      </c>
      <c r="AG6837">
        <v>-1.12163331775</v>
      </c>
      <c r="AH6837">
        <v>35.007783969325097</v>
      </c>
      <c r="AI6837">
        <v>91.8334510200377</v>
      </c>
      <c r="AJ6837">
        <v>87.568069890981903</v>
      </c>
      <c r="AK6837">
        <v>35.0572900929998</v>
      </c>
      <c r="AL6837">
        <v>90.698380662419197</v>
      </c>
      <c r="AM6837">
        <v>90.316965422918997</v>
      </c>
      <c r="AN6837">
        <v>0.99999998628686604</v>
      </c>
    </row>
    <row r="6838" spans="1:40" x14ac:dyDescent="0.25">
      <c r="A6838" t="str">
        <f>"20190303153944679"</f>
        <v>20190303153944679</v>
      </c>
      <c r="B6838" t="str">
        <f>"1551598784675015"</f>
        <v>1551598784675015</v>
      </c>
      <c r="C6838" t="s">
        <v>40</v>
      </c>
      <c r="D6838">
        <v>4.2943959999999999</v>
      </c>
      <c r="E6838">
        <v>0.48186469999999998</v>
      </c>
      <c r="F6838" t="s">
        <v>63</v>
      </c>
      <c r="G6838">
        <v>-423.52569999999997</v>
      </c>
      <c r="H6838" s="1">
        <v>-6.489106E-6</v>
      </c>
      <c r="I6838">
        <v>28.246849999999998</v>
      </c>
      <c r="J6838">
        <v>-421.87139999999999</v>
      </c>
      <c r="K6838">
        <v>1.121629</v>
      </c>
      <c r="L6838">
        <v>63.5563</v>
      </c>
      <c r="M6838">
        <v>-7.1273439999999999E-3</v>
      </c>
      <c r="N6838">
        <v>-1.272122E-2</v>
      </c>
      <c r="O6838">
        <v>-0.9998939</v>
      </c>
      <c r="P6838">
        <v>-1.0164810000000001E-3</v>
      </c>
      <c r="Q6838">
        <v>-2.5024370000000001E-2</v>
      </c>
      <c r="R6838">
        <v>-0.99968650000000003</v>
      </c>
      <c r="S6838">
        <v>-0.13992309999999999</v>
      </c>
      <c r="T6838">
        <v>-9.482467E-2</v>
      </c>
      <c r="U6838">
        <v>-2.9983219999999999</v>
      </c>
      <c r="V6838">
        <v>-6.1009330000000002E-3</v>
      </c>
      <c r="W6838">
        <v>-1.2309499999999999E-2</v>
      </c>
      <c r="X6838">
        <v>0.99990559999999995</v>
      </c>
      <c r="Y6838">
        <v>3.9475629999999998E-2</v>
      </c>
      <c r="Z6838">
        <v>1.8864120000000002E-2</v>
      </c>
      <c r="AA6838">
        <v>0.99904250000000006</v>
      </c>
      <c r="AB6838">
        <v>22</v>
      </c>
      <c r="AC6838">
        <v>-1.6542999999999699</v>
      </c>
      <c r="AD6838">
        <v>-1.1216354891060001</v>
      </c>
      <c r="AE6838">
        <v>-35.309449999999998</v>
      </c>
      <c r="AF6838">
        <v>1.40116429029483</v>
      </c>
      <c r="AG6838">
        <v>-1.1216354891060001</v>
      </c>
      <c r="AH6838">
        <v>35.2848178269304</v>
      </c>
      <c r="AI6838">
        <v>91.819275030091703</v>
      </c>
      <c r="AJ6838">
        <v>87.7259726145804</v>
      </c>
      <c r="AK6838">
        <v>35.3304358396339</v>
      </c>
      <c r="AL6838">
        <v>90.705300226500597</v>
      </c>
      <c r="AM6838">
        <v>90.349586375216603</v>
      </c>
      <c r="AN6838">
        <v>0.99999997704253996</v>
      </c>
    </row>
    <row r="6839" spans="1:40" x14ac:dyDescent="0.25">
      <c r="A6839" t="str">
        <f>"20190303153944693"</f>
        <v>20190303153944693</v>
      </c>
      <c r="B6839" t="str">
        <f>"1551598784685750"</f>
        <v>1551598784685750</v>
      </c>
      <c r="C6839" t="s">
        <v>40</v>
      </c>
      <c r="D6839">
        <v>4.2652060000000001</v>
      </c>
      <c r="E6839">
        <v>0.47986529999999999</v>
      </c>
      <c r="F6839" t="s">
        <v>63</v>
      </c>
      <c r="G6839">
        <v>-419.90519999999998</v>
      </c>
      <c r="H6839" s="1">
        <v>-6.4299650000000004E-6</v>
      </c>
      <c r="I6839">
        <v>21.83334</v>
      </c>
      <c r="J6839">
        <v>-421.87209999999999</v>
      </c>
      <c r="K6839">
        <v>1.121624</v>
      </c>
      <c r="L6839">
        <v>63.417479999999998</v>
      </c>
      <c r="M6839">
        <v>-6.8497699999999998E-3</v>
      </c>
      <c r="N6839">
        <v>-1.2799430000000001E-2</v>
      </c>
      <c r="O6839">
        <v>-0.99989459999999997</v>
      </c>
      <c r="P6839">
        <v>-2.8664959999999997E-4</v>
      </c>
      <c r="Q6839">
        <v>-2.487174E-2</v>
      </c>
      <c r="R6839">
        <v>-0.99969070000000004</v>
      </c>
      <c r="S6839">
        <v>0.14132690000000001</v>
      </c>
      <c r="T6839">
        <v>-8.0623390000000003E-2</v>
      </c>
      <c r="U6839">
        <v>-2.9990540000000001</v>
      </c>
      <c r="V6839">
        <v>-6.5534259999999898E-3</v>
      </c>
      <c r="W6839">
        <v>-1.207893E-2</v>
      </c>
      <c r="X6839">
        <v>0.99990559999999995</v>
      </c>
      <c r="Y6839">
        <v>-5.3894919999999999E-2</v>
      </c>
      <c r="Z6839">
        <v>1.4038800000000001E-2</v>
      </c>
      <c r="AA6839">
        <v>0.99844790000000005</v>
      </c>
      <c r="AB6839">
        <v>22</v>
      </c>
      <c r="AC6839">
        <v>1.9669000000000001</v>
      </c>
      <c r="AD6839">
        <v>-1.121630429965</v>
      </c>
      <c r="AE6839">
        <v>-41.584139999999998</v>
      </c>
      <c r="AF6839">
        <v>-2.2500856599045198</v>
      </c>
      <c r="AG6839">
        <v>-1.121630429965</v>
      </c>
      <c r="AH6839">
        <v>41.5395370343292</v>
      </c>
      <c r="AI6839">
        <v>91.544434027378401</v>
      </c>
      <c r="AJ6839">
        <v>93.100529137594094</v>
      </c>
      <c r="AK6839">
        <v>41.615550907380097</v>
      </c>
      <c r="AL6839">
        <v>90.692088520404596</v>
      </c>
      <c r="AM6839">
        <v>90.375513723422401</v>
      </c>
      <c r="AN6839">
        <v>1.00000002842682</v>
      </c>
    </row>
    <row r="6840" spans="1:40" x14ac:dyDescent="0.25">
      <c r="A6840" t="str">
        <f>"20190303153944707"</f>
        <v>20190303153944707</v>
      </c>
      <c r="B6840" t="str">
        <f>"1551598784695511"</f>
        <v>1551598784695511</v>
      </c>
      <c r="C6840" t="s">
        <v>40</v>
      </c>
      <c r="D6840">
        <v>4.2724989999999998</v>
      </c>
      <c r="E6840">
        <v>0.47912719999999998</v>
      </c>
      <c r="F6840" t="s">
        <v>63</v>
      </c>
      <c r="G6840">
        <v>-419.79520000000002</v>
      </c>
      <c r="H6840" s="1">
        <v>-6.76601E-6</v>
      </c>
      <c r="I6840">
        <v>24.477740000000001</v>
      </c>
      <c r="J6840">
        <v>-421.87270000000001</v>
      </c>
      <c r="K6840">
        <v>1.1216200000000001</v>
      </c>
      <c r="L6840">
        <v>63.279389999999999</v>
      </c>
      <c r="M6840">
        <v>-6.576101E-3</v>
      </c>
      <c r="N6840">
        <v>-1.287141E-2</v>
      </c>
      <c r="O6840">
        <v>-0.9998958</v>
      </c>
      <c r="P6840">
        <v>2.9202820000000002E-4</v>
      </c>
      <c r="Q6840">
        <v>-2.499798E-2</v>
      </c>
      <c r="R6840">
        <v>-0.99968780000000002</v>
      </c>
      <c r="S6840">
        <v>0.15994259999999999</v>
      </c>
      <c r="T6840">
        <v>-8.6379410000000004E-2</v>
      </c>
      <c r="U6840">
        <v>-2.99884</v>
      </c>
      <c r="V6840">
        <v>-6.8585699999999996E-3</v>
      </c>
      <c r="W6840">
        <v>-1.2133390000000001E-2</v>
      </c>
      <c r="X6840">
        <v>0.99990279999999998</v>
      </c>
      <c r="Y6840">
        <v>-5.9802559999999998E-2</v>
      </c>
      <c r="Z6840">
        <v>1.58745E-2</v>
      </c>
      <c r="AA6840">
        <v>0.99808399999999997</v>
      </c>
      <c r="AB6840">
        <v>22</v>
      </c>
      <c r="AC6840">
        <v>2.0774999999999801</v>
      </c>
      <c r="AD6840">
        <v>-1.1216267660100001</v>
      </c>
      <c r="AE6840">
        <v>-38.801650000000002</v>
      </c>
      <c r="AF6840">
        <v>-2.3306977579100798</v>
      </c>
      <c r="AG6840">
        <v>-1.1216267660100001</v>
      </c>
      <c r="AH6840">
        <v>38.754857048900902</v>
      </c>
      <c r="AI6840">
        <v>91.654779486843793</v>
      </c>
      <c r="AJ6840">
        <v>93.441594434249794</v>
      </c>
      <c r="AK6840">
        <v>38.841075468139401</v>
      </c>
      <c r="AL6840">
        <v>90.695209142596795</v>
      </c>
      <c r="AM6840">
        <v>90.392999151266395</v>
      </c>
      <c r="AN6840">
        <v>0.99999993429158596</v>
      </c>
    </row>
    <row r="6841" spans="1:40" x14ac:dyDescent="0.25">
      <c r="A6841" t="str">
        <f>"20190303153944718"</f>
        <v>20190303153944718</v>
      </c>
      <c r="B6841" t="str">
        <f>"1551598784715030"</f>
        <v>1551598784715030</v>
      </c>
      <c r="C6841" t="s">
        <v>40</v>
      </c>
      <c r="D6841">
        <v>4.261431</v>
      </c>
      <c r="E6841">
        <v>0.47811730000000002</v>
      </c>
      <c r="F6841" t="s">
        <v>63</v>
      </c>
      <c r="G6841">
        <v>-419.53570000000002</v>
      </c>
      <c r="H6841" s="1">
        <v>-6.5035159999999899E-6</v>
      </c>
      <c r="I6841">
        <v>21.334040000000002</v>
      </c>
      <c r="J6841">
        <v>-421.8732</v>
      </c>
      <c r="K6841">
        <v>1.121624</v>
      </c>
      <c r="L6841">
        <v>63.162959999999998</v>
      </c>
      <c r="M6841">
        <v>-6.3500060000000001E-3</v>
      </c>
      <c r="N6841">
        <v>-1.2926740000000001E-2</v>
      </c>
      <c r="O6841">
        <v>-0.99989629999999996</v>
      </c>
      <c r="P6841">
        <v>1.0663820000000001E-3</v>
      </c>
      <c r="Q6841">
        <v>-2.61844E-2</v>
      </c>
      <c r="R6841">
        <v>-0.9996564</v>
      </c>
      <c r="S6841">
        <v>0.1670837</v>
      </c>
      <c r="T6841">
        <v>-8.0190419999999998E-2</v>
      </c>
      <c r="U6841">
        <v>-2.9988709999999998</v>
      </c>
      <c r="V6841">
        <v>-7.4062939999999999E-3</v>
      </c>
      <c r="W6841">
        <v>-1.326511E-2</v>
      </c>
      <c r="X6841">
        <v>0.99988460000000001</v>
      </c>
      <c r="Y6841">
        <v>-6.1947729999999999E-2</v>
      </c>
      <c r="Z6841">
        <v>1.3756849999999999E-2</v>
      </c>
      <c r="AA6841">
        <v>0.9979846</v>
      </c>
      <c r="AB6841">
        <v>22</v>
      </c>
      <c r="AC6841">
        <v>2.3374999999999702</v>
      </c>
      <c r="AD6841">
        <v>-1.1216305035159999</v>
      </c>
      <c r="AE6841">
        <v>-41.828919999999997</v>
      </c>
      <c r="AF6841">
        <v>-2.6012244152292698</v>
      </c>
      <c r="AG6841">
        <v>-1.1216305035159999</v>
      </c>
      <c r="AH6841">
        <v>41.7832822895394</v>
      </c>
      <c r="AI6841">
        <v>91.534708989341297</v>
      </c>
      <c r="AJ6841">
        <v>93.562359753114393</v>
      </c>
      <c r="AK6841">
        <v>41.879196533985002</v>
      </c>
      <c r="AL6841">
        <v>90.760057097958807</v>
      </c>
      <c r="AM6841">
        <v>90.424390602200205</v>
      </c>
      <c r="AN6841">
        <v>1.00000001482564</v>
      </c>
    </row>
    <row r="6842" spans="1:40" x14ac:dyDescent="0.25">
      <c r="A6842" t="str">
        <f>"20190303153944742"</f>
        <v>20190303153944742</v>
      </c>
      <c r="B6842" t="str">
        <f>"1551598784735527"</f>
        <v>1551598784735527</v>
      </c>
      <c r="C6842" t="s">
        <v>40</v>
      </c>
      <c r="D6842">
        <v>4.2632110000000001</v>
      </c>
      <c r="E6842">
        <v>0.4777496</v>
      </c>
      <c r="F6842" t="s">
        <v>63</v>
      </c>
      <c r="G6842">
        <v>-419.53640000000001</v>
      </c>
      <c r="H6842" s="1">
        <v>-6.7738119999999997E-6</v>
      </c>
      <c r="I6842">
        <v>23.739509999999999</v>
      </c>
      <c r="J6842">
        <v>-421.8741</v>
      </c>
      <c r="K6842">
        <v>1.12161</v>
      </c>
      <c r="L6842">
        <v>62.929139999999997</v>
      </c>
      <c r="M6842">
        <v>-5.9088819999999998E-3</v>
      </c>
      <c r="N6842">
        <v>-1.302858E-2</v>
      </c>
      <c r="O6842">
        <v>-0.9998977</v>
      </c>
      <c r="P6842">
        <v>1.631532E-3</v>
      </c>
      <c r="Q6842">
        <v>-2.6196580000000001E-2</v>
      </c>
      <c r="R6842">
        <v>-0.99965559999999998</v>
      </c>
      <c r="S6842">
        <v>0.17773439999999999</v>
      </c>
      <c r="T6842">
        <v>-8.5312600000000002E-2</v>
      </c>
      <c r="U6842">
        <v>-2.998596</v>
      </c>
      <c r="V6842">
        <v>-7.5307439999999998E-3</v>
      </c>
      <c r="W6842">
        <v>-1.3175350000000001E-2</v>
      </c>
      <c r="X6842">
        <v>0.99988480000000002</v>
      </c>
      <c r="Y6842">
        <v>-6.5042160000000002E-2</v>
      </c>
      <c r="Z6842">
        <v>1.53556E-2</v>
      </c>
      <c r="AA6842">
        <v>0.99776430000000005</v>
      </c>
      <c r="AB6842">
        <v>22</v>
      </c>
      <c r="AC6842">
        <v>2.3376999999999799</v>
      </c>
      <c r="AD6842">
        <v>-1.121616773812</v>
      </c>
      <c r="AE6842">
        <v>-39.189630000000001</v>
      </c>
      <c r="AF6842">
        <v>-2.5671503854665998</v>
      </c>
      <c r="AG6842">
        <v>-1.121616773812</v>
      </c>
      <c r="AH6842">
        <v>39.143182145207398</v>
      </c>
      <c r="AI6842">
        <v>91.637799358706999</v>
      </c>
      <c r="AJ6842">
        <v>93.752289243241293</v>
      </c>
      <c r="AK6842">
        <v>39.2433050817815</v>
      </c>
      <c r="AL6842">
        <v>90.754913822578104</v>
      </c>
      <c r="AM6842">
        <v>90.431521400746703</v>
      </c>
      <c r="AN6842">
        <v>0.99999995761192695</v>
      </c>
    </row>
    <row r="6843" spans="1:40" x14ac:dyDescent="0.25">
      <c r="A6843" t="str">
        <f>"20190303153944755"</f>
        <v>20190303153944755</v>
      </c>
      <c r="B6843" t="str">
        <f>"1551598784745287"</f>
        <v>1551598784745287</v>
      </c>
      <c r="C6843" t="s">
        <v>40</v>
      </c>
      <c r="D6843">
        <v>4.2567120000000003</v>
      </c>
      <c r="E6843">
        <v>0.47774070000000002</v>
      </c>
      <c r="F6843" t="s">
        <v>63</v>
      </c>
      <c r="G6843">
        <v>-419.47379999999998</v>
      </c>
      <c r="H6843" s="1">
        <v>-6.7595600000000002E-6</v>
      </c>
      <c r="I6843">
        <v>23.41732</v>
      </c>
      <c r="J6843">
        <v>-421.87459999999999</v>
      </c>
      <c r="K6843">
        <v>1.1215919999999999</v>
      </c>
      <c r="L6843">
        <v>62.803339999999999</v>
      </c>
      <c r="M6843">
        <v>-5.6811049999999997E-3</v>
      </c>
      <c r="N6843">
        <v>-1.307762E-2</v>
      </c>
      <c r="O6843">
        <v>-0.99989839999999997</v>
      </c>
      <c r="P6843">
        <v>1.8932249999999999E-3</v>
      </c>
      <c r="Q6843">
        <v>-2.6799570000000002E-2</v>
      </c>
      <c r="R6843">
        <v>-0.9996391</v>
      </c>
      <c r="S6843">
        <v>0.1821594</v>
      </c>
      <c r="T6843">
        <v>-8.5118170000000007E-2</v>
      </c>
      <c r="U6843">
        <v>-2.9985050000000002</v>
      </c>
      <c r="V6843">
        <v>-7.5640630000000002E-3</v>
      </c>
      <c r="W6843">
        <v>-1.372934E-2</v>
      </c>
      <c r="X6843">
        <v>0.99987720000000002</v>
      </c>
      <c r="Y6843">
        <v>-6.6283480000000006E-2</v>
      </c>
      <c r="Z6843">
        <v>1.5240439999999999E-2</v>
      </c>
      <c r="AA6843">
        <v>0.99768440000000003</v>
      </c>
      <c r="AB6843">
        <v>22</v>
      </c>
      <c r="AC6843">
        <v>2.4007999999999998</v>
      </c>
      <c r="AD6843">
        <v>-1.1215987595600001</v>
      </c>
      <c r="AE6843">
        <v>-39.386020000000002</v>
      </c>
      <c r="AF6843">
        <v>-2.6224177280372198</v>
      </c>
      <c r="AG6843">
        <v>-1.1215987595600001</v>
      </c>
      <c r="AH6843">
        <v>39.339959527654898</v>
      </c>
      <c r="AI6843">
        <v>91.629469944139103</v>
      </c>
      <c r="AJ6843">
        <v>93.813717789730802</v>
      </c>
      <c r="AK6843">
        <v>39.443218354430599</v>
      </c>
      <c r="AL6843">
        <v>90.786657903173804</v>
      </c>
      <c r="AM6843">
        <v>90.433433844345103</v>
      </c>
      <c r="AN6843">
        <v>1.00000006245286</v>
      </c>
    </row>
    <row r="6844" spans="1:40" x14ac:dyDescent="0.25">
      <c r="A6844" t="str">
        <f>"20190303153944767"</f>
        <v>20190303153944767</v>
      </c>
      <c r="B6844" t="str">
        <f>"1551598784765783"</f>
        <v>1551598784765783</v>
      </c>
      <c r="C6844" t="s">
        <v>40</v>
      </c>
      <c r="D6844">
        <v>4.2965609999999996</v>
      </c>
      <c r="E6844">
        <v>0.47730699999999998</v>
      </c>
      <c r="F6844" t="s">
        <v>63</v>
      </c>
      <c r="G6844">
        <v>-419.56299999999999</v>
      </c>
      <c r="H6844" s="1">
        <v>-6.9062850000000001E-6</v>
      </c>
      <c r="I6844">
        <v>25.000029999999999</v>
      </c>
      <c r="J6844">
        <v>-421.87509999999997</v>
      </c>
      <c r="K6844">
        <v>1.1215790000000001</v>
      </c>
      <c r="L6844">
        <v>62.669249999999998</v>
      </c>
      <c r="M6844">
        <v>-5.4444580000000001E-3</v>
      </c>
      <c r="N6844">
        <v>-1.3126280000000001E-2</v>
      </c>
      <c r="O6844">
        <v>-0.99989910000000004</v>
      </c>
      <c r="P6844">
        <v>1.805222E-3</v>
      </c>
      <c r="Q6844">
        <v>-2.70396E-2</v>
      </c>
      <c r="R6844">
        <v>-0.99963279999999999</v>
      </c>
      <c r="S6844">
        <v>0.1833496</v>
      </c>
      <c r="T6844">
        <v>-8.8959099999999999E-2</v>
      </c>
      <c r="U6844">
        <v>-2.9983520000000001</v>
      </c>
      <c r="V6844">
        <v>-7.2398330000000002E-3</v>
      </c>
      <c r="W6844">
        <v>-1.392038E-2</v>
      </c>
      <c r="X6844">
        <v>0.99987689999999996</v>
      </c>
      <c r="Y6844">
        <v>-6.6443089999999996E-2</v>
      </c>
      <c r="Z6844">
        <v>1.6469979999999999E-2</v>
      </c>
      <c r="AA6844">
        <v>0.99765429999999999</v>
      </c>
      <c r="AB6844">
        <v>22</v>
      </c>
      <c r="AC6844">
        <v>2.3120999999999299</v>
      </c>
      <c r="AD6844">
        <v>-1.121585906285</v>
      </c>
      <c r="AE6844">
        <v>-37.669220000000003</v>
      </c>
      <c r="AF6844">
        <v>-2.5149506644398798</v>
      </c>
      <c r="AG6844">
        <v>-1.121585906285</v>
      </c>
      <c r="AH6844">
        <v>37.622843914805699</v>
      </c>
      <c r="AI6844">
        <v>91.703755906473404</v>
      </c>
      <c r="AJ6844">
        <v>93.824325577306496</v>
      </c>
      <c r="AK6844">
        <v>37.723484940121502</v>
      </c>
      <c r="AL6844">
        <v>90.797604781289706</v>
      </c>
      <c r="AM6844">
        <v>90.414855694978996</v>
      </c>
      <c r="AN6844">
        <v>1.0000000036574099</v>
      </c>
    </row>
    <row r="6845" spans="1:40" x14ac:dyDescent="0.25">
      <c r="A6845" t="str">
        <f>"20190303153944786"</f>
        <v>20190303153944786</v>
      </c>
      <c r="B6845" t="str">
        <f>"1551598784775542"</f>
        <v>1551598784775542</v>
      </c>
      <c r="C6845" t="s">
        <v>40</v>
      </c>
      <c r="D6845">
        <v>4.2785219999999997</v>
      </c>
      <c r="E6845">
        <v>0.47708889999999998</v>
      </c>
      <c r="F6845" t="s">
        <v>63</v>
      </c>
      <c r="G6845">
        <v>-419.46690000000001</v>
      </c>
      <c r="H6845" s="1">
        <v>-6.8097709999999901E-6</v>
      </c>
      <c r="I6845">
        <v>23.842220000000001</v>
      </c>
      <c r="J6845">
        <v>-421.87569999999999</v>
      </c>
      <c r="K6845">
        <v>1.1215660000000001</v>
      </c>
      <c r="L6845">
        <v>62.496000000000002</v>
      </c>
      <c r="M6845">
        <v>-5.1541790000000001E-3</v>
      </c>
      <c r="N6845">
        <v>-1.3182040000000001E-2</v>
      </c>
      <c r="O6845">
        <v>-0.99989980000000001</v>
      </c>
      <c r="P6845">
        <v>1.4691120000000001E-3</v>
      </c>
      <c r="Q6845">
        <v>-2.756633E-2</v>
      </c>
      <c r="R6845">
        <v>-0.99961889999999998</v>
      </c>
      <c r="S6845">
        <v>0.1859741</v>
      </c>
      <c r="T6845">
        <v>-8.6614369999999996E-2</v>
      </c>
      <c r="U6845">
        <v>-2.9984130000000002</v>
      </c>
      <c r="V6845">
        <v>-6.6142550000000003E-3</v>
      </c>
      <c r="W6845">
        <v>-1.439087E-2</v>
      </c>
      <c r="X6845">
        <v>0.99987459999999995</v>
      </c>
      <c r="Y6845">
        <v>-6.7023029999999997E-2</v>
      </c>
      <c r="Z6845">
        <v>1.563283E-2</v>
      </c>
      <c r="AA6845">
        <v>0.99762890000000004</v>
      </c>
      <c r="AB6845">
        <v>22</v>
      </c>
      <c r="AC6845">
        <v>2.4087999999999798</v>
      </c>
      <c r="AD6845">
        <v>-1.121572809771</v>
      </c>
      <c r="AE6845">
        <v>-38.653779999999998</v>
      </c>
      <c r="AF6845">
        <v>-2.6058284044492801</v>
      </c>
      <c r="AG6845">
        <v>-1.121572809771</v>
      </c>
      <c r="AH6845">
        <v>38.608470499527598</v>
      </c>
      <c r="AI6845">
        <v>91.6601945847991</v>
      </c>
      <c r="AJ6845">
        <v>93.861247904680695</v>
      </c>
      <c r="AK6845">
        <v>38.712559480793097</v>
      </c>
      <c r="AL6845">
        <v>90.8245645517718</v>
      </c>
      <c r="AM6845">
        <v>90.379010896424802</v>
      </c>
      <c r="AN6845">
        <v>1.0000000306168599</v>
      </c>
    </row>
    <row r="6846" spans="1:40" x14ac:dyDescent="0.25">
      <c r="A6846" t="str">
        <f>"20190303153944802"</f>
        <v>20190303153944802</v>
      </c>
      <c r="B6846" t="str">
        <f>"1551598784795063"</f>
        <v>1551598784795063</v>
      </c>
      <c r="C6846" t="s">
        <v>40</v>
      </c>
      <c r="D6846">
        <v>4.2376709999999997</v>
      </c>
      <c r="E6846">
        <v>0.47671950000000002</v>
      </c>
      <c r="F6846" t="s">
        <v>63</v>
      </c>
      <c r="G6846">
        <v>-419.59289999999999</v>
      </c>
      <c r="H6846" s="1">
        <v>-6.9971669999999901E-6</v>
      </c>
      <c r="I6846">
        <v>25.901489999999999</v>
      </c>
      <c r="J6846">
        <v>-421.87619999999998</v>
      </c>
      <c r="K6846">
        <v>1.1215489999999999</v>
      </c>
      <c r="L6846">
        <v>62.329799999999999</v>
      </c>
      <c r="M6846">
        <v>-4.8911390000000001E-3</v>
      </c>
      <c r="N6846">
        <v>-1.323007E-2</v>
      </c>
      <c r="O6846">
        <v>-0.99990049999999997</v>
      </c>
      <c r="P6846">
        <v>1.470683E-3</v>
      </c>
      <c r="Q6846">
        <v>-2.788208E-2</v>
      </c>
      <c r="R6846">
        <v>-0.99961009999999995</v>
      </c>
      <c r="S6846">
        <v>0.18704219999999999</v>
      </c>
      <c r="T6846">
        <v>-9.1895459999999998E-2</v>
      </c>
      <c r="U6846">
        <v>-2.9983520000000001</v>
      </c>
      <c r="V6846">
        <v>-6.3524790000000003E-3</v>
      </c>
      <c r="W6846">
        <v>-1.4658259999999999E-2</v>
      </c>
      <c r="X6846">
        <v>0.99987239999999999</v>
      </c>
      <c r="Y6846">
        <v>-6.7113190000000003E-2</v>
      </c>
      <c r="Z6846">
        <v>1.7340939999999999E-2</v>
      </c>
      <c r="AA6846">
        <v>0.99759469999999995</v>
      </c>
      <c r="AB6846">
        <v>22</v>
      </c>
      <c r="AC6846">
        <v>2.2832999999999899</v>
      </c>
      <c r="AD6846">
        <v>-1.1215559971669999</v>
      </c>
      <c r="AE6846">
        <v>-36.428310000000003</v>
      </c>
      <c r="AF6846">
        <v>-2.4591423030300601</v>
      </c>
      <c r="AG6846">
        <v>-1.1215559971669999</v>
      </c>
      <c r="AH6846">
        <v>36.382353282302603</v>
      </c>
      <c r="AI6846">
        <v>91.761676309128006</v>
      </c>
      <c r="AJ6846">
        <v>93.866833172555204</v>
      </c>
      <c r="AK6846">
        <v>36.482610913688902</v>
      </c>
      <c r="AL6846">
        <v>90.839886497175399</v>
      </c>
      <c r="AM6846">
        <v>90.364011787034698</v>
      </c>
      <c r="AN6846">
        <v>1.00000001742871</v>
      </c>
    </row>
    <row r="6847" spans="1:40" x14ac:dyDescent="0.25">
      <c r="A6847" t="str">
        <f>"20190303153944819"</f>
        <v>20190303153944819</v>
      </c>
      <c r="B6847" t="str">
        <f>"1551598784815559"</f>
        <v>1551598784815559</v>
      </c>
      <c r="C6847" t="s">
        <v>40</v>
      </c>
      <c r="D6847">
        <v>4.2436889999999998</v>
      </c>
      <c r="E6847">
        <v>0.47630610000000001</v>
      </c>
      <c r="F6847" t="s">
        <v>63</v>
      </c>
      <c r="G6847">
        <v>-419.69450000000001</v>
      </c>
      <c r="H6847" s="1">
        <v>-7.1885319999999999E-6</v>
      </c>
      <c r="I6847">
        <v>27.919969999999999</v>
      </c>
      <c r="J6847">
        <v>-421.87670000000003</v>
      </c>
      <c r="K6847">
        <v>1.121534</v>
      </c>
      <c r="L6847">
        <v>62.176670000000001</v>
      </c>
      <c r="M6847">
        <v>-4.6637270000000003E-3</v>
      </c>
      <c r="N6847">
        <v>-1.327009E-2</v>
      </c>
      <c r="O6847">
        <v>-0.99990120000000005</v>
      </c>
      <c r="P6847">
        <v>1.5219859999999999E-3</v>
      </c>
      <c r="Q6847">
        <v>-2.7784900000000001E-2</v>
      </c>
      <c r="R6847">
        <v>-0.99961299999999997</v>
      </c>
      <c r="S6847">
        <v>0.19009400000000001</v>
      </c>
      <c r="T6847">
        <v>-9.7722530000000002E-2</v>
      </c>
      <c r="U6847">
        <v>-2.9981689999999999</v>
      </c>
      <c r="V6847">
        <v>-6.1775140000000003E-3</v>
      </c>
      <c r="W6847">
        <v>-1.4520679999999999E-2</v>
      </c>
      <c r="X6847">
        <v>0.99987550000000003</v>
      </c>
      <c r="Y6847">
        <v>-6.7898070000000005E-2</v>
      </c>
      <c r="Z6847">
        <v>1.9238169999999999E-2</v>
      </c>
      <c r="AA6847">
        <v>0.99750669999999997</v>
      </c>
      <c r="AB6847">
        <v>22</v>
      </c>
      <c r="AC6847">
        <v>2.1822000000000199</v>
      </c>
      <c r="AD6847">
        <v>-1.1215411885319999</v>
      </c>
      <c r="AE6847">
        <v>-34.256699999999903</v>
      </c>
      <c r="AF6847">
        <v>-2.33945676531753</v>
      </c>
      <c r="AG6847">
        <v>-1.1215411885319999</v>
      </c>
      <c r="AH6847">
        <v>34.2096294509278</v>
      </c>
      <c r="AI6847">
        <v>91.873361280790505</v>
      </c>
      <c r="AJ6847">
        <v>93.912133279254405</v>
      </c>
      <c r="AK6847">
        <v>34.307865858490104</v>
      </c>
      <c r="AL6847">
        <v>90.832002908027704</v>
      </c>
      <c r="AM6847">
        <v>90.353985047818597</v>
      </c>
      <c r="AN6847">
        <v>1.0000000136635601</v>
      </c>
    </row>
    <row r="6848" spans="1:40" x14ac:dyDescent="0.25">
      <c r="A6848" t="str">
        <f>"20190303153944835"</f>
        <v>20190303153944835</v>
      </c>
      <c r="B6848" t="str">
        <f>"1551598784825319"</f>
        <v>1551598784825319</v>
      </c>
      <c r="C6848" t="s">
        <v>40</v>
      </c>
      <c r="D6848">
        <v>4.2192030000000003</v>
      </c>
      <c r="E6848">
        <v>0.47619270000000002</v>
      </c>
      <c r="F6848" t="s">
        <v>63</v>
      </c>
      <c r="G6848">
        <v>-419.56619999999998</v>
      </c>
      <c r="H6848" s="1">
        <v>-7.0671569999999997E-6</v>
      </c>
      <c r="I6848">
        <v>26.440480000000001</v>
      </c>
      <c r="J6848">
        <v>-421.87709999999998</v>
      </c>
      <c r="K6848">
        <v>1.1215120000000001</v>
      </c>
      <c r="L6848">
        <v>62.014470000000003</v>
      </c>
      <c r="M6848">
        <v>-4.4386720000000003E-3</v>
      </c>
      <c r="N6848">
        <v>-1.3308489999999999E-2</v>
      </c>
      <c r="O6848">
        <v>-0.99990190000000001</v>
      </c>
      <c r="P6848">
        <v>1.7632920000000001E-3</v>
      </c>
      <c r="Q6848">
        <v>-2.7790599999999999E-2</v>
      </c>
      <c r="R6848">
        <v>-0.99961259999999996</v>
      </c>
      <c r="S6848">
        <v>0.19384770000000001</v>
      </c>
      <c r="T6848">
        <v>-9.4097139999999996E-2</v>
      </c>
      <c r="U6848">
        <v>-2.9982600000000001</v>
      </c>
      <c r="V6848">
        <v>-6.194204E-3</v>
      </c>
      <c r="W6848">
        <v>-1.4487699999999999E-2</v>
      </c>
      <c r="X6848">
        <v>0.99987579999999998</v>
      </c>
      <c r="Y6848">
        <v>-6.8916959999999999E-2</v>
      </c>
      <c r="Z6848">
        <v>1.7991440000000001E-2</v>
      </c>
      <c r="AA6848">
        <v>0.99746009999999996</v>
      </c>
      <c r="AB6848">
        <v>22</v>
      </c>
      <c r="AC6848">
        <v>2.3109000000000002</v>
      </c>
      <c r="AD6848">
        <v>-1.1215190671569999</v>
      </c>
      <c r="AE6848">
        <v>-35.573989999999903</v>
      </c>
      <c r="AF6848">
        <v>-2.46635140373313</v>
      </c>
      <c r="AG6848">
        <v>-1.1215190671569999</v>
      </c>
      <c r="AH6848">
        <v>35.528217712259597</v>
      </c>
      <c r="AI6848">
        <v>91.803717161532703</v>
      </c>
      <c r="AJ6848">
        <v>93.971074058514006</v>
      </c>
      <c r="AK6848">
        <v>35.631375893647601</v>
      </c>
      <c r="AL6848">
        <v>90.830113156835097</v>
      </c>
      <c r="AM6848">
        <v>90.354941290352102</v>
      </c>
      <c r="AN6848">
        <v>0.99999993852005897</v>
      </c>
    </row>
    <row r="6849" spans="1:40" x14ac:dyDescent="0.25">
      <c r="A6849" t="str">
        <f>"20190303153944854"</f>
        <v>20190303153944854</v>
      </c>
      <c r="B6849" t="str">
        <f>"1551598784845815"</f>
        <v>1551598784845815</v>
      </c>
      <c r="C6849" t="s">
        <v>40</v>
      </c>
      <c r="D6849">
        <v>4.1563499999999998</v>
      </c>
      <c r="E6849">
        <v>0.47601450000000001</v>
      </c>
      <c r="F6849" t="s">
        <v>63</v>
      </c>
      <c r="G6849">
        <v>-419.5421</v>
      </c>
      <c r="H6849" s="1">
        <v>-7.0369759999999999E-6</v>
      </c>
      <c r="I6849">
        <v>26.096979999999999</v>
      </c>
      <c r="J6849">
        <v>-421.8777</v>
      </c>
      <c r="K6849">
        <v>1.1214839999999999</v>
      </c>
      <c r="L6849">
        <v>61.821750000000002</v>
      </c>
      <c r="M6849">
        <v>-4.1951719999999996E-3</v>
      </c>
      <c r="N6849">
        <v>-1.3348759999999999E-2</v>
      </c>
      <c r="O6849">
        <v>-0.99990230000000002</v>
      </c>
      <c r="P6849">
        <v>2.401664E-3</v>
      </c>
      <c r="Q6849">
        <v>-2.8374710000000001E-2</v>
      </c>
      <c r="R6849">
        <v>-0.99959489999999995</v>
      </c>
      <c r="S6849">
        <v>0.1949158</v>
      </c>
      <c r="T6849">
        <v>-9.3619350000000004E-2</v>
      </c>
      <c r="U6849">
        <v>-2.99823</v>
      </c>
      <c r="V6849">
        <v>-6.5898769999999897E-3</v>
      </c>
      <c r="W6849">
        <v>-1.503153E-2</v>
      </c>
      <c r="X6849">
        <v>0.99986529999999996</v>
      </c>
      <c r="Y6849">
        <v>-6.9028720000000002E-2</v>
      </c>
      <c r="Z6849">
        <v>1.779234E-2</v>
      </c>
      <c r="AA6849">
        <v>0.99745600000000001</v>
      </c>
      <c r="AB6849">
        <v>22</v>
      </c>
      <c r="AC6849">
        <v>2.3355999999999901</v>
      </c>
      <c r="AD6849">
        <v>-1.1214910369759901</v>
      </c>
      <c r="AE6849">
        <v>-35.724769999999999</v>
      </c>
      <c r="AF6849">
        <v>-2.4830277357538901</v>
      </c>
      <c r="AG6849">
        <v>-1.1214910369759901</v>
      </c>
      <c r="AH6849">
        <v>35.6796441364122</v>
      </c>
      <c r="AI6849">
        <v>91.796000799055506</v>
      </c>
      <c r="AJ6849">
        <v>93.980925476699696</v>
      </c>
      <c r="AK6849">
        <v>35.7835181973986</v>
      </c>
      <c r="AL6849">
        <v>90.861275668114402</v>
      </c>
      <c r="AM6849">
        <v>90.377617537819603</v>
      </c>
      <c r="AN6849">
        <v>0.99999999575855303</v>
      </c>
    </row>
    <row r="6850" spans="1:40" x14ac:dyDescent="0.25">
      <c r="A6850" t="str">
        <f>"20190303153944876"</f>
        <v>20190303153944876</v>
      </c>
      <c r="B6850" t="str">
        <f>"1551598784865336"</f>
        <v>1551598784865336</v>
      </c>
      <c r="C6850" t="s">
        <v>40</v>
      </c>
      <c r="D6850">
        <v>4.1022489999999996</v>
      </c>
      <c r="E6850">
        <v>0.4758578</v>
      </c>
      <c r="F6850" t="s">
        <v>63</v>
      </c>
      <c r="G6850">
        <v>-419.53</v>
      </c>
      <c r="H6850" s="1">
        <v>-7.067866E-6</v>
      </c>
      <c r="I6850">
        <v>26.333649999999999</v>
      </c>
      <c r="J6850">
        <v>-421.87830000000002</v>
      </c>
      <c r="K6850">
        <v>1.121461</v>
      </c>
      <c r="L6850">
        <v>61.610050000000001</v>
      </c>
      <c r="M6850">
        <v>-3.9596589999999999E-3</v>
      </c>
      <c r="N6850">
        <v>-1.3387120000000001E-2</v>
      </c>
      <c r="O6850">
        <v>-0.99990250000000003</v>
      </c>
      <c r="P6850">
        <v>3.0796439999999999E-3</v>
      </c>
      <c r="Q6850">
        <v>-2.845932E-2</v>
      </c>
      <c r="R6850">
        <v>-0.99959019999999998</v>
      </c>
      <c r="S6850">
        <v>0.1983337</v>
      </c>
      <c r="T6850">
        <v>-9.4743969999999997E-2</v>
      </c>
      <c r="U6850">
        <v>-2.9980470000000001</v>
      </c>
      <c r="V6850">
        <v>-7.0337459999999996E-3</v>
      </c>
      <c r="W6850">
        <v>-1.507756E-2</v>
      </c>
      <c r="X6850">
        <v>0.99986160000000002</v>
      </c>
      <c r="Y6850">
        <v>-6.9929039999999998E-2</v>
      </c>
      <c r="Z6850">
        <v>1.812766E-2</v>
      </c>
      <c r="AA6850">
        <v>0.99738720000000003</v>
      </c>
      <c r="AB6850">
        <v>22</v>
      </c>
      <c r="AC6850">
        <v>2.3483000000000498</v>
      </c>
      <c r="AD6850">
        <v>-1.1214680678659901</v>
      </c>
      <c r="AE6850">
        <v>-35.276400000000002</v>
      </c>
      <c r="AF6850">
        <v>-2.48547573717088</v>
      </c>
      <c r="AG6850">
        <v>-1.1214680678659901</v>
      </c>
      <c r="AH6850">
        <v>35.231374232915499</v>
      </c>
      <c r="AI6850">
        <v>91.818678894012393</v>
      </c>
      <c r="AJ6850">
        <v>94.035372631670199</v>
      </c>
      <c r="AK6850">
        <v>35.336737407506298</v>
      </c>
      <c r="AL6850">
        <v>90.863913277065294</v>
      </c>
      <c r="AM6850">
        <v>90.403053094856105</v>
      </c>
      <c r="AN6850">
        <v>1.0000000127764499</v>
      </c>
    </row>
    <row r="6851" spans="1:40" x14ac:dyDescent="0.25">
      <c r="A6851" t="str">
        <f>"20190303153944891"</f>
        <v>20190303153944891</v>
      </c>
      <c r="B6851" t="str">
        <f>"1551598784884855"</f>
        <v>1551598784884855</v>
      </c>
      <c r="C6851" t="s">
        <v>40</v>
      </c>
      <c r="D6851">
        <v>4.124117</v>
      </c>
      <c r="E6851">
        <v>0.47567799999999999</v>
      </c>
      <c r="F6851" t="s">
        <v>63</v>
      </c>
      <c r="G6851">
        <v>-419.50369999999998</v>
      </c>
      <c r="H6851" s="1">
        <v>-7.0653290000000001E-6</v>
      </c>
      <c r="I6851">
        <v>26.229089999999999</v>
      </c>
      <c r="J6851">
        <v>-421.87869999999998</v>
      </c>
      <c r="K6851">
        <v>1.121445</v>
      </c>
      <c r="L6851">
        <v>61.453339999999997</v>
      </c>
      <c r="M6851">
        <v>-3.8052469999999999E-3</v>
      </c>
      <c r="N6851">
        <v>-1.341239E-2</v>
      </c>
      <c r="O6851">
        <v>-0.99990279999999998</v>
      </c>
      <c r="P6851">
        <v>3.5519729999999999E-3</v>
      </c>
      <c r="Q6851">
        <v>-2.8884549999999998E-2</v>
      </c>
      <c r="R6851">
        <v>-0.99957660000000004</v>
      </c>
      <c r="S6851">
        <v>0.2012024</v>
      </c>
      <c r="T6851">
        <v>-9.5024109999999995E-2</v>
      </c>
      <c r="U6851">
        <v>-2.9978940000000001</v>
      </c>
      <c r="V6851">
        <v>-7.3521849999999998E-3</v>
      </c>
      <c r="W6851">
        <v>-1.547744E-2</v>
      </c>
      <c r="X6851">
        <v>0.9998532</v>
      </c>
      <c r="Y6851">
        <v>-7.0728059999999995E-2</v>
      </c>
      <c r="Z6851">
        <v>1.8195289999999999E-2</v>
      </c>
      <c r="AA6851">
        <v>0.99732969999999999</v>
      </c>
      <c r="AB6851">
        <v>22</v>
      </c>
      <c r="AC6851">
        <v>2.375</v>
      </c>
      <c r="AD6851">
        <v>-1.1214520653290001</v>
      </c>
      <c r="AE6851">
        <v>-35.224249999999998</v>
      </c>
      <c r="AF6851">
        <v>-2.50650267317583</v>
      </c>
      <c r="AG6851">
        <v>-1.1214520653290001</v>
      </c>
      <c r="AH6851">
        <v>35.179459204134403</v>
      </c>
      <c r="AI6851">
        <v>91.821244867966399</v>
      </c>
      <c r="AJ6851">
        <v>94.075382434547393</v>
      </c>
      <c r="AK6851">
        <v>35.286464264372398</v>
      </c>
      <c r="AL6851">
        <v>90.886827386707495</v>
      </c>
      <c r="AM6851">
        <v>90.421303425904398</v>
      </c>
      <c r="AN6851">
        <v>1.00000001366173</v>
      </c>
    </row>
    <row r="6852" spans="1:40" x14ac:dyDescent="0.25">
      <c r="A6852" t="str">
        <f>"20190303153944905"</f>
        <v>20190303153944905</v>
      </c>
      <c r="B6852" t="str">
        <f>"1551598784895591"</f>
        <v>1551598784895591</v>
      </c>
      <c r="C6852" t="s">
        <v>40</v>
      </c>
      <c r="D6852">
        <v>4.0973199999999999</v>
      </c>
      <c r="E6852">
        <v>0.47570210000000002</v>
      </c>
      <c r="F6852" t="s">
        <v>63</v>
      </c>
      <c r="G6852">
        <v>-419.4325</v>
      </c>
      <c r="H6852" s="1">
        <v>-7.0296340000000001E-6</v>
      </c>
      <c r="I6852">
        <v>25.689579999999999</v>
      </c>
      <c r="J6852">
        <v>-421.87909999999999</v>
      </c>
      <c r="K6852">
        <v>1.1214309999999901</v>
      </c>
      <c r="L6852">
        <v>61.315309999999997</v>
      </c>
      <c r="M6852">
        <v>-3.6883010000000002E-3</v>
      </c>
      <c r="N6852">
        <v>-1.3432080000000001E-2</v>
      </c>
      <c r="O6852">
        <v>-0.99990299999999999</v>
      </c>
      <c r="P6852">
        <v>3.744519E-3</v>
      </c>
      <c r="Q6852">
        <v>-2.9098280000000001E-2</v>
      </c>
      <c r="R6852">
        <v>-0.9995695</v>
      </c>
      <c r="S6852">
        <v>0.2050476</v>
      </c>
      <c r="T6852">
        <v>-9.4003680000000006E-2</v>
      </c>
      <c r="U6852">
        <v>-2.997833</v>
      </c>
      <c r="V6852">
        <v>-7.4284440000000002E-3</v>
      </c>
      <c r="W6852">
        <v>-1.5671279999999999E-2</v>
      </c>
      <c r="X6852">
        <v>0.99984960000000001</v>
      </c>
      <c r="Y6852">
        <v>-7.1886320000000004E-2</v>
      </c>
      <c r="Z6852">
        <v>1.7834450000000002E-2</v>
      </c>
      <c r="AA6852">
        <v>0.99725339999999996</v>
      </c>
      <c r="AB6852">
        <v>22</v>
      </c>
      <c r="AC6852">
        <v>2.4465999999999801</v>
      </c>
      <c r="AD6852">
        <v>-1.1214380296340001</v>
      </c>
      <c r="AE6852">
        <v>-35.625729999999997</v>
      </c>
      <c r="AF6852">
        <v>-2.5754536265205799</v>
      </c>
      <c r="AG6852">
        <v>-1.1214380296340001</v>
      </c>
      <c r="AH6852">
        <v>35.581371498919303</v>
      </c>
      <c r="AI6852">
        <v>91.800518280267795</v>
      </c>
      <c r="AJ6852">
        <v>94.139967694711203</v>
      </c>
      <c r="AK6852">
        <v>35.692080107227902</v>
      </c>
      <c r="AL6852">
        <v>90.897934962908494</v>
      </c>
      <c r="AM6852">
        <v>90.425674680129703</v>
      </c>
      <c r="AN6852">
        <v>0.99999999670862905</v>
      </c>
    </row>
    <row r="6853" spans="1:40" x14ac:dyDescent="0.25">
      <c r="A6853" t="str">
        <f>"20190303153944919"</f>
        <v>20190303153944919</v>
      </c>
      <c r="B6853" t="str">
        <f>"1551598784915111"</f>
        <v>1551598784915111</v>
      </c>
      <c r="C6853" t="s">
        <v>40</v>
      </c>
      <c r="D6853">
        <v>4.1128900000000002</v>
      </c>
      <c r="E6853">
        <v>0.47546460000000002</v>
      </c>
      <c r="F6853" t="s">
        <v>63</v>
      </c>
      <c r="G6853">
        <v>-419.41309999999999</v>
      </c>
      <c r="H6853" s="1">
        <v>-6.9908379999999998E-6</v>
      </c>
      <c r="I6853">
        <v>25.284050000000001</v>
      </c>
      <c r="J6853">
        <v>-421.87939999999998</v>
      </c>
      <c r="K6853">
        <v>1.1214230000000001</v>
      </c>
      <c r="L6853">
        <v>61.187379999999997</v>
      </c>
      <c r="M6853">
        <v>-3.5954350000000001E-3</v>
      </c>
      <c r="N6853">
        <v>-1.3448679999999999E-2</v>
      </c>
      <c r="O6853">
        <v>-0.99990319999999999</v>
      </c>
      <c r="P6853">
        <v>4.5784099999999998E-3</v>
      </c>
      <c r="Q6853">
        <v>-2.882564E-2</v>
      </c>
      <c r="R6853">
        <v>-0.99957419999999997</v>
      </c>
      <c r="S6853">
        <v>0.20516970000000001</v>
      </c>
      <c r="T6853">
        <v>-9.330368E-2</v>
      </c>
      <c r="U6853">
        <v>-2.9978030000000002</v>
      </c>
      <c r="V6853">
        <v>-8.1703260000000003E-3</v>
      </c>
      <c r="W6853">
        <v>-1.538189E-2</v>
      </c>
      <c r="X6853">
        <v>0.99984830000000002</v>
      </c>
      <c r="Y6853">
        <v>-7.1835179999999998E-2</v>
      </c>
      <c r="Z6853">
        <v>1.7585569999999998E-2</v>
      </c>
      <c r="AA6853">
        <v>0.99726150000000002</v>
      </c>
      <c r="AB6853">
        <v>22</v>
      </c>
      <c r="AC6853">
        <v>2.46629999999998</v>
      </c>
      <c r="AD6853">
        <v>-1.1214299908380001</v>
      </c>
      <c r="AE6853">
        <v>-35.903329999999997</v>
      </c>
      <c r="AF6853">
        <v>-2.5928660699527901</v>
      </c>
      <c r="AG6853">
        <v>-1.1214299908380001</v>
      </c>
      <c r="AH6853">
        <v>35.859409290090497</v>
      </c>
      <c r="AI6853">
        <v>91.786563871973797</v>
      </c>
      <c r="AJ6853">
        <v>94.135656240462197</v>
      </c>
      <c r="AK6853">
        <v>35.970512844763398</v>
      </c>
      <c r="AL6853">
        <v>90.8813521442015</v>
      </c>
      <c r="AM6853">
        <v>90.468185801643202</v>
      </c>
      <c r="AN6853">
        <v>0.99999998988990402</v>
      </c>
    </row>
    <row r="6854" spans="1:40" x14ac:dyDescent="0.25">
      <c r="A6854" t="str">
        <f>"20190303153944931"</f>
        <v>20190303153944931</v>
      </c>
      <c r="B6854" t="str">
        <f>"1551598784925847"</f>
        <v>1551598784925847</v>
      </c>
      <c r="C6854" t="s">
        <v>40</v>
      </c>
      <c r="D6854">
        <v>4.0799570000000003</v>
      </c>
      <c r="E6854">
        <v>0.4754331</v>
      </c>
      <c r="F6854" t="s">
        <v>63</v>
      </c>
      <c r="G6854">
        <v>-419.33359999999999</v>
      </c>
      <c r="H6854" s="1">
        <v>-6.9496719999999998E-6</v>
      </c>
      <c r="I6854">
        <v>24.669899999999998</v>
      </c>
      <c r="J6854">
        <v>-421.87979999999999</v>
      </c>
      <c r="K6854">
        <v>1.121413</v>
      </c>
      <c r="L6854">
        <v>61.059939999999997</v>
      </c>
      <c r="M6854">
        <v>-3.5133249999999999E-3</v>
      </c>
      <c r="N6854">
        <v>-1.3464159999999999E-2</v>
      </c>
      <c r="O6854">
        <v>-0.99990319999999999</v>
      </c>
      <c r="P6854">
        <v>5.725305E-3</v>
      </c>
      <c r="Q6854">
        <v>-2.8208319999999999E-2</v>
      </c>
      <c r="R6854">
        <v>-0.99958570000000002</v>
      </c>
      <c r="S6854">
        <v>0.20898439999999999</v>
      </c>
      <c r="T6854">
        <v>-9.2056990000000005E-2</v>
      </c>
      <c r="U6854">
        <v>-2.997681</v>
      </c>
      <c r="V6854">
        <v>-9.2355019999999996E-3</v>
      </c>
      <c r="W6854">
        <v>-1.4748870000000001E-2</v>
      </c>
      <c r="X6854">
        <v>0.99984859999999998</v>
      </c>
      <c r="Y6854">
        <v>-7.3019390000000003E-2</v>
      </c>
      <c r="Z6854">
        <v>1.7154309999999999E-2</v>
      </c>
      <c r="AA6854">
        <v>0.99718300000000004</v>
      </c>
      <c r="AB6854">
        <v>22</v>
      </c>
      <c r="AC6854">
        <v>2.54619999999999</v>
      </c>
      <c r="AD6854">
        <v>-1.1214199496719901</v>
      </c>
      <c r="AE6854">
        <v>-36.390039999999999</v>
      </c>
      <c r="AF6854">
        <v>-2.6715212116742402</v>
      </c>
      <c r="AG6854">
        <v>-1.1214199496719901</v>
      </c>
      <c r="AH6854">
        <v>36.346519992470398</v>
      </c>
      <c r="AI6854">
        <v>91.762467395974994</v>
      </c>
      <c r="AJ6854">
        <v>94.203762409023099</v>
      </c>
      <c r="AK6854">
        <v>36.461817341583497</v>
      </c>
      <c r="AL6854">
        <v>90.845078623998802</v>
      </c>
      <c r="AM6854">
        <v>90.529220361783103</v>
      </c>
      <c r="AN6854">
        <v>1.00000002329271</v>
      </c>
    </row>
    <row r="6855" spans="1:40" x14ac:dyDescent="0.25">
      <c r="A6855" t="str">
        <f>"20190303153944946"</f>
        <v>20190303153944946</v>
      </c>
      <c r="B6855" t="str">
        <f>"1551598784935607"</f>
        <v>1551598784935607</v>
      </c>
      <c r="C6855" t="s">
        <v>40</v>
      </c>
      <c r="D6855">
        <v>4.0653870000000003</v>
      </c>
      <c r="E6855">
        <v>0.47543859999999899</v>
      </c>
      <c r="F6855" t="s">
        <v>63</v>
      </c>
      <c r="G6855">
        <v>-419.19600000000003</v>
      </c>
      <c r="H6855" s="1">
        <v>-6.8456570000000002E-6</v>
      </c>
      <c r="I6855">
        <v>23.315829999999998</v>
      </c>
      <c r="J6855">
        <v>-421.8802</v>
      </c>
      <c r="K6855">
        <v>1.1214</v>
      </c>
      <c r="L6855">
        <v>60.90643</v>
      </c>
      <c r="M6855">
        <v>-3.437921E-3</v>
      </c>
      <c r="N6855">
        <v>-1.348073E-2</v>
      </c>
      <c r="O6855">
        <v>-0.99990319999999999</v>
      </c>
      <c r="P6855">
        <v>6.1478050000000001E-3</v>
      </c>
      <c r="Q6855">
        <v>-2.7640660000000001E-2</v>
      </c>
      <c r="R6855">
        <v>-0.99959880000000001</v>
      </c>
      <c r="S6855">
        <v>0.21313480000000001</v>
      </c>
      <c r="T6855">
        <v>-8.9058999999999999E-2</v>
      </c>
      <c r="U6855">
        <v>-2.9974980000000002</v>
      </c>
      <c r="V6855">
        <v>-9.583144E-3</v>
      </c>
      <c r="W6855">
        <v>-1.4164110000000001E-2</v>
      </c>
      <c r="X6855">
        <v>0.99985369999999996</v>
      </c>
      <c r="Y6855">
        <v>-7.4323509999999995E-2</v>
      </c>
      <c r="Z6855">
        <v>1.6140189999999999E-2</v>
      </c>
      <c r="AA6855">
        <v>0.99710359999999998</v>
      </c>
      <c r="AB6855">
        <v>22</v>
      </c>
      <c r="AC6855">
        <v>2.6842000000000299</v>
      </c>
      <c r="AD6855">
        <v>-1.1214068456570001</v>
      </c>
      <c r="AE6855">
        <v>-37.590600000000002</v>
      </c>
      <c r="AF6855">
        <v>-2.8109404755720999</v>
      </c>
      <c r="AG6855">
        <v>-1.1214068456570001</v>
      </c>
      <c r="AH6855">
        <v>37.547902491888202</v>
      </c>
      <c r="AI6855">
        <v>91.705918210770193</v>
      </c>
      <c r="AJ6855">
        <v>94.281335268824705</v>
      </c>
      <c r="AK6855">
        <v>37.669668451036898</v>
      </c>
      <c r="AL6855">
        <v>90.811570910269495</v>
      </c>
      <c r="AM6855">
        <v>90.549137232087503</v>
      </c>
      <c r="AN6855">
        <v>0.99999994003235104</v>
      </c>
    </row>
    <row r="6856" spans="1:40" x14ac:dyDescent="0.25">
      <c r="A6856" t="str">
        <f>"20190303153944964"</f>
        <v>20190303153944964</v>
      </c>
      <c r="B6856" t="str">
        <f>"1551598784955127"</f>
        <v>1551598784955127</v>
      </c>
      <c r="C6856" t="s">
        <v>40</v>
      </c>
      <c r="D6856">
        <v>4.0618980000000002</v>
      </c>
      <c r="E6856">
        <v>0.47539680000000001</v>
      </c>
      <c r="F6856" t="s">
        <v>63</v>
      </c>
      <c r="G6856">
        <v>-419.08109999999999</v>
      </c>
      <c r="H6856" s="1">
        <v>-6.71967499999999E-6</v>
      </c>
      <c r="I6856">
        <v>21.837199999999999</v>
      </c>
      <c r="J6856">
        <v>-421.88060000000002</v>
      </c>
      <c r="K6856">
        <v>1.1213799999999901</v>
      </c>
      <c r="L6856">
        <v>60.732120000000002</v>
      </c>
      <c r="M6856">
        <v>-3.377321E-3</v>
      </c>
      <c r="N6856">
        <v>-1.3497230000000001E-2</v>
      </c>
      <c r="O6856">
        <v>-0.99990319999999999</v>
      </c>
      <c r="P6856">
        <v>6.4030099999999998E-3</v>
      </c>
      <c r="Q6856">
        <v>-2.7230669999999998E-2</v>
      </c>
      <c r="R6856">
        <v>-0.99960859999999996</v>
      </c>
      <c r="S6856">
        <v>0.2147522</v>
      </c>
      <c r="T6856">
        <v>-8.6037399999999903E-2</v>
      </c>
      <c r="U6856">
        <v>-2.9974980000000002</v>
      </c>
      <c r="V6856">
        <v>-9.7786769999999995E-3</v>
      </c>
      <c r="W6856">
        <v>-1.3737009999999999E-2</v>
      </c>
      <c r="X6856">
        <v>0.99985780000000002</v>
      </c>
      <c r="Y6856">
        <v>-7.4799840000000006E-2</v>
      </c>
      <c r="Z6856">
        <v>1.511826E-2</v>
      </c>
      <c r="AA6856">
        <v>0.99708399999999997</v>
      </c>
      <c r="AB6856">
        <v>22</v>
      </c>
      <c r="AC6856">
        <v>2.7995000000000201</v>
      </c>
      <c r="AD6856">
        <v>-1.12138671967499</v>
      </c>
      <c r="AE6856">
        <v>-38.894919999999999</v>
      </c>
      <c r="AF6856">
        <v>-2.9284349498352902</v>
      </c>
      <c r="AG6856">
        <v>-1.12138671967499</v>
      </c>
      <c r="AH6856">
        <v>38.853112754529398</v>
      </c>
      <c r="AI6856">
        <v>91.648550464069501</v>
      </c>
      <c r="AJ6856">
        <v>94.310344814723393</v>
      </c>
      <c r="AK6856">
        <v>38.979451126800797</v>
      </c>
      <c r="AL6856">
        <v>90.787097472773297</v>
      </c>
      <c r="AM6856">
        <v>90.560338739071</v>
      </c>
      <c r="AN6856">
        <v>0.99999997409422403</v>
      </c>
    </row>
    <row r="6857" spans="1:40" x14ac:dyDescent="0.25">
      <c r="A6857" t="str">
        <f>"20190303153944987"</f>
        <v>20190303153944987</v>
      </c>
      <c r="B6857" t="str">
        <f>"1551598784975623"</f>
        <v>1551598784975623</v>
      </c>
      <c r="C6857" t="s">
        <v>40</v>
      </c>
      <c r="D6857">
        <v>4.0147409999999999</v>
      </c>
      <c r="E6857">
        <v>0.4754331</v>
      </c>
      <c r="F6857" t="s">
        <v>63</v>
      </c>
      <c r="G6857">
        <v>-418.9984</v>
      </c>
      <c r="H6857" s="1">
        <v>-6.6074839999999901E-6</v>
      </c>
      <c r="I6857">
        <v>20.581810000000001</v>
      </c>
      <c r="J6857">
        <v>-421.88130000000001</v>
      </c>
      <c r="K6857">
        <v>1.121356</v>
      </c>
      <c r="L6857">
        <v>60.512509999999999</v>
      </c>
      <c r="M6857">
        <v>-3.3326789999999998E-3</v>
      </c>
      <c r="N6857">
        <v>-1.351538E-2</v>
      </c>
      <c r="O6857">
        <v>-0.9999034</v>
      </c>
      <c r="P6857">
        <v>6.2678990000000004E-3</v>
      </c>
      <c r="Q6857">
        <v>-2.7450229999999999E-2</v>
      </c>
      <c r="R6857">
        <v>-0.99960380000000004</v>
      </c>
      <c r="S6857">
        <v>0.21517939999999999</v>
      </c>
      <c r="T6857">
        <v>-8.3720089999999997E-2</v>
      </c>
      <c r="U6857">
        <v>-2.997528</v>
      </c>
      <c r="V6857">
        <v>-9.5998620000000007E-3</v>
      </c>
      <c r="W6857">
        <v>-1.393784E-2</v>
      </c>
      <c r="X6857">
        <v>0.99985679999999999</v>
      </c>
      <c r="Y6857">
        <v>-7.4897149999999996E-2</v>
      </c>
      <c r="Z6857">
        <v>1.432931E-2</v>
      </c>
      <c r="AA6857">
        <v>0.99708830000000004</v>
      </c>
      <c r="AB6857">
        <v>22</v>
      </c>
      <c r="AC6857">
        <v>2.8828999999999998</v>
      </c>
      <c r="AD6857">
        <v>-1.121362607484</v>
      </c>
      <c r="AE6857">
        <v>-39.930700000000002</v>
      </c>
      <c r="AF6857">
        <v>-3.0136079847341199</v>
      </c>
      <c r="AG6857">
        <v>-1.121362607484</v>
      </c>
      <c r="AH6857">
        <v>39.889574203442102</v>
      </c>
      <c r="AI6857">
        <v>91.605682662069398</v>
      </c>
      <c r="AJ6857">
        <v>94.320417974938593</v>
      </c>
      <c r="AK6857">
        <v>40.018963221390798</v>
      </c>
      <c r="AL6857">
        <v>90.798605249110295</v>
      </c>
      <c r="AM6857">
        <v>90.550093449500295</v>
      </c>
      <c r="AN6857">
        <v>1.0000000206202599</v>
      </c>
    </row>
    <row r="6858" spans="1:40" x14ac:dyDescent="0.25">
      <c r="A6858" t="str">
        <f>"20190303153945009"</f>
        <v>20190303153945009</v>
      </c>
      <c r="B6858" t="str">
        <f>"1551598785004919"</f>
        <v>1551598785004919</v>
      </c>
      <c r="C6858" t="s">
        <v>40</v>
      </c>
      <c r="D6858">
        <v>4.0952320000000002</v>
      </c>
      <c r="E6858">
        <v>0.47538819999999998</v>
      </c>
      <c r="F6858" t="s">
        <v>63</v>
      </c>
      <c r="G6858">
        <v>-418.92399999999998</v>
      </c>
      <c r="H6858" s="1">
        <v>-1.264485E-5</v>
      </c>
      <c r="I6858">
        <v>19.214770000000001</v>
      </c>
      <c r="J6858">
        <v>-421.88200000000001</v>
      </c>
      <c r="K6858">
        <v>1.1213390000000001</v>
      </c>
      <c r="L6858">
        <v>60.29636</v>
      </c>
      <c r="M6858">
        <v>-3.319514E-3</v>
      </c>
      <c r="N6858">
        <v>-1.353068E-2</v>
      </c>
      <c r="O6858">
        <v>-0.99990319999999999</v>
      </c>
      <c r="P6858">
        <v>5.8863539999999999E-3</v>
      </c>
      <c r="Q6858">
        <v>-2.7603559999999999E-2</v>
      </c>
      <c r="R6858">
        <v>-0.99960199999999999</v>
      </c>
      <c r="S6858">
        <v>0.21466060000000001</v>
      </c>
      <c r="T6858">
        <v>-8.1395149999999999E-2</v>
      </c>
      <c r="U6858">
        <v>-2.99762</v>
      </c>
      <c r="V6858">
        <v>-9.2060330000000006E-3</v>
      </c>
      <c r="W6858">
        <v>-1.407535E-2</v>
      </c>
      <c r="X6858">
        <v>0.99985860000000004</v>
      </c>
      <c r="Y6858">
        <v>-7.4711369999999999E-2</v>
      </c>
      <c r="Z6858">
        <v>1.3540679999999999E-2</v>
      </c>
      <c r="AA6858">
        <v>0.99711329999999998</v>
      </c>
      <c r="AB6858">
        <v>22</v>
      </c>
      <c r="AC6858">
        <v>2.95799999999991</v>
      </c>
      <c r="AD6858">
        <v>-1.1213516448499901</v>
      </c>
      <c r="AE6858">
        <v>-41.081589999999998</v>
      </c>
      <c r="AF6858">
        <v>-3.0920751748910398</v>
      </c>
      <c r="AG6858">
        <v>-1.1213516448499901</v>
      </c>
      <c r="AH6858">
        <v>41.041123356081101</v>
      </c>
      <c r="AI6858">
        <v>91.560661417057702</v>
      </c>
      <c r="AJ6858">
        <v>94.308575717696598</v>
      </c>
      <c r="AK6858">
        <v>41.172711408500298</v>
      </c>
      <c r="AL6858">
        <v>90.806484746295098</v>
      </c>
      <c r="AM6858">
        <v>90.527526524630304</v>
      </c>
      <c r="AN6858">
        <v>1.00000004325758</v>
      </c>
    </row>
    <row r="6859" spans="1:40" x14ac:dyDescent="0.25">
      <c r="A6859" t="str">
        <f>"20190303153945033"</f>
        <v>20190303153945033</v>
      </c>
      <c r="B6859" t="str">
        <f>"1551598785025399"</f>
        <v>1551598785025399</v>
      </c>
      <c r="C6859" t="s">
        <v>40</v>
      </c>
      <c r="D6859">
        <v>4.0580179999999997</v>
      </c>
      <c r="E6859">
        <v>0.47543259999999998</v>
      </c>
      <c r="F6859" t="s">
        <v>63</v>
      </c>
      <c r="G6859">
        <v>-418.9298</v>
      </c>
      <c r="H6859" s="1">
        <v>-1.27125399999999E-5</v>
      </c>
      <c r="I6859">
        <v>18.916699999999999</v>
      </c>
      <c r="J6859">
        <v>-421.88279999999997</v>
      </c>
      <c r="K6859">
        <v>1.1213280000000001</v>
      </c>
      <c r="L6859">
        <v>60.070099999999996</v>
      </c>
      <c r="M6859">
        <v>-3.33235E-3</v>
      </c>
      <c r="N6859">
        <v>-1.354412E-2</v>
      </c>
      <c r="O6859">
        <v>-0.99990270000000003</v>
      </c>
      <c r="P6859">
        <v>5.6590909999999998E-3</v>
      </c>
      <c r="Q6859">
        <v>-2.771088E-2</v>
      </c>
      <c r="R6859">
        <v>-0.99959989999999999</v>
      </c>
      <c r="S6859">
        <v>0.21386720000000001</v>
      </c>
      <c r="T6859">
        <v>-8.1234459999999994E-2</v>
      </c>
      <c r="U6859">
        <v>-2.997681</v>
      </c>
      <c r="V6859">
        <v>-8.9919519999999992E-3</v>
      </c>
      <c r="W6859">
        <v>-1.416895E-2</v>
      </c>
      <c r="X6859">
        <v>0.99985919999999895</v>
      </c>
      <c r="Y6859">
        <v>-7.4460250000000006E-2</v>
      </c>
      <c r="Z6859">
        <v>1.3473779999999999E-2</v>
      </c>
      <c r="AA6859">
        <v>0.99713300000000005</v>
      </c>
      <c r="AB6859">
        <v>22</v>
      </c>
      <c r="AC6859">
        <v>2.9529999999999701</v>
      </c>
      <c r="AD6859">
        <v>-1.1213407125399999</v>
      </c>
      <c r="AE6859">
        <v>-41.153399999999998</v>
      </c>
      <c r="AF6859">
        <v>-3.08785290235812</v>
      </c>
      <c r="AG6859">
        <v>-1.1213407125399999</v>
      </c>
      <c r="AH6859">
        <v>41.112962415724198</v>
      </c>
      <c r="AI6859">
        <v>91.5579478429228</v>
      </c>
      <c r="AJ6859">
        <v>94.295224185205896</v>
      </c>
      <c r="AK6859">
        <v>41.244004644759599</v>
      </c>
      <c r="AL6859">
        <v>90.811848187131005</v>
      </c>
      <c r="AM6859">
        <v>90.515259558935696</v>
      </c>
      <c r="AN6859">
        <v>1.0000000170847501</v>
      </c>
    </row>
    <row r="6860" spans="1:40" x14ac:dyDescent="0.25">
      <c r="A6860" t="str">
        <f>"20190303153945054"</f>
        <v>20190303153945054</v>
      </c>
      <c r="B6860" t="str">
        <f>"1551598785045895"</f>
        <v>1551598785045895</v>
      </c>
      <c r="C6860" t="s">
        <v>40</v>
      </c>
      <c r="D6860">
        <v>4.0706810000000004</v>
      </c>
      <c r="E6860">
        <v>0.47543160000000001</v>
      </c>
      <c r="F6860" t="s">
        <v>63</v>
      </c>
      <c r="G6860">
        <v>-418.93689999999998</v>
      </c>
      <c r="H6860" s="1">
        <v>-1.2784549999999999E-5</v>
      </c>
      <c r="I6860">
        <v>18.600909999999999</v>
      </c>
      <c r="J6860">
        <v>-421.88350000000003</v>
      </c>
      <c r="K6860">
        <v>1.121318</v>
      </c>
      <c r="L6860">
        <v>59.855469999999997</v>
      </c>
      <c r="M6860">
        <v>-3.356637E-3</v>
      </c>
      <c r="N6860">
        <v>-1.355049E-2</v>
      </c>
      <c r="O6860">
        <v>-0.99990270000000003</v>
      </c>
      <c r="P6860">
        <v>5.3098540000000001E-3</v>
      </c>
      <c r="Q6860">
        <v>-2.7968260000000002E-2</v>
      </c>
      <c r="R6860">
        <v>-0.99959500000000001</v>
      </c>
      <c r="S6860">
        <v>0.21295169999999999</v>
      </c>
      <c r="T6860">
        <v>-8.1059930000000002E-2</v>
      </c>
      <c r="U6860">
        <v>-2.9977420000000001</v>
      </c>
      <c r="V6860">
        <v>-8.6672390000000002E-3</v>
      </c>
      <c r="W6860">
        <v>-1.4419929999999999E-2</v>
      </c>
      <c r="X6860">
        <v>0.99985840000000004</v>
      </c>
      <c r="Y6860">
        <v>-7.4180189999999993E-2</v>
      </c>
      <c r="Z6860">
        <v>1.340941E-2</v>
      </c>
      <c r="AA6860">
        <v>0.99715469999999895</v>
      </c>
      <c r="AB6860">
        <v>22</v>
      </c>
      <c r="AC6860">
        <v>2.9466000000000401</v>
      </c>
      <c r="AD6860">
        <v>-1.12133078455</v>
      </c>
      <c r="AE6860">
        <v>-41.254559999999998</v>
      </c>
      <c r="AF6860">
        <v>-3.0828066743184799</v>
      </c>
      <c r="AG6860">
        <v>-1.12133078455</v>
      </c>
      <c r="AH6860">
        <v>41.214141746342101</v>
      </c>
      <c r="AI6860">
        <v>91.554146782251706</v>
      </c>
      <c r="AJ6860">
        <v>94.277742715834705</v>
      </c>
      <c r="AK6860">
        <v>41.344486447496003</v>
      </c>
      <c r="AL6860">
        <v>90.826229816608404</v>
      </c>
      <c r="AM6860">
        <v>90.496654103050503</v>
      </c>
      <c r="AN6860">
        <v>0.99999993773182205</v>
      </c>
    </row>
    <row r="6861" spans="1:40" x14ac:dyDescent="0.25">
      <c r="A6861" t="str">
        <f>"20190303153945077"</f>
        <v>20190303153945077</v>
      </c>
      <c r="B6861" t="str">
        <f>"1551598785065415"</f>
        <v>1551598785065415</v>
      </c>
      <c r="C6861" t="s">
        <v>40</v>
      </c>
      <c r="D6861">
        <v>4.0546819999999997</v>
      </c>
      <c r="E6861">
        <v>0.47541270000000002</v>
      </c>
      <c r="F6861" t="s">
        <v>63</v>
      </c>
      <c r="G6861">
        <v>-418.96409999999997</v>
      </c>
      <c r="H6861" s="1">
        <v>-1.2802929999999999E-5</v>
      </c>
      <c r="I6861">
        <v>18.555510000000002</v>
      </c>
      <c r="J6861">
        <v>-421.8843</v>
      </c>
      <c r="K6861">
        <v>1.121308</v>
      </c>
      <c r="L6861">
        <v>59.638370000000002</v>
      </c>
      <c r="M6861">
        <v>-3.385903E-3</v>
      </c>
      <c r="N6861">
        <v>-1.351399E-2</v>
      </c>
      <c r="O6861">
        <v>-0.99990299999999999</v>
      </c>
      <c r="P6861">
        <v>4.4061090000000001E-3</v>
      </c>
      <c r="Q6861">
        <v>-2.8387160000000002E-2</v>
      </c>
      <c r="R6861">
        <v>-0.99958740000000001</v>
      </c>
      <c r="S6861">
        <v>0.21191409999999999</v>
      </c>
      <c r="T6861">
        <v>-8.1392999999999993E-2</v>
      </c>
      <c r="U6861">
        <v>-2.9978030000000002</v>
      </c>
      <c r="V6861">
        <v>-7.7927880000000001E-3</v>
      </c>
      <c r="W6861">
        <v>-1.487547E-2</v>
      </c>
      <c r="X6861">
        <v>0.99985900000000005</v>
      </c>
      <c r="Y6861">
        <v>-7.38645E-2</v>
      </c>
      <c r="Z6861">
        <v>1.3556729999999999E-2</v>
      </c>
      <c r="AA6861">
        <v>0.99717610000000001</v>
      </c>
      <c r="AB6861">
        <v>22</v>
      </c>
      <c r="AC6861">
        <v>2.9202000000000199</v>
      </c>
      <c r="AD6861">
        <v>-1.1213208029299999</v>
      </c>
      <c r="AE6861">
        <v>-41.082859999999997</v>
      </c>
      <c r="AF6861">
        <v>-3.0570325863892398</v>
      </c>
      <c r="AG6861">
        <v>-1.1213208029299999</v>
      </c>
      <c r="AH6861">
        <v>41.0423144827</v>
      </c>
      <c r="AI6861">
        <v>91.560672711969005</v>
      </c>
      <c r="AJ6861">
        <v>94.259804086361996</v>
      </c>
      <c r="AK6861">
        <v>41.171281091000502</v>
      </c>
      <c r="AL6861">
        <v>90.852333073711307</v>
      </c>
      <c r="AM6861">
        <v>90.446547785899497</v>
      </c>
      <c r="AN6861">
        <v>1.0000000135167599</v>
      </c>
    </row>
    <row r="6862" spans="1:40" x14ac:dyDescent="0.25">
      <c r="A6862" t="str">
        <f>"20190303153945099"</f>
        <v>20190303153945099</v>
      </c>
      <c r="B6862" t="str">
        <f>"1551598785095671"</f>
        <v>1551598785095671</v>
      </c>
      <c r="C6862" t="s">
        <v>40</v>
      </c>
      <c r="D6862">
        <v>4.0866800000000003</v>
      </c>
      <c r="E6862">
        <v>0.47534310000000002</v>
      </c>
      <c r="F6862" t="s">
        <v>63</v>
      </c>
      <c r="G6862">
        <v>-419.0154</v>
      </c>
      <c r="H6862" s="1">
        <v>-1.2826900000000001E-5</v>
      </c>
      <c r="I6862">
        <v>18.518409999999999</v>
      </c>
      <c r="J6862">
        <v>-421.88499999999999</v>
      </c>
      <c r="K6862">
        <v>1.1212799999999901</v>
      </c>
      <c r="L6862">
        <v>59.424349999999997</v>
      </c>
      <c r="M6862">
        <v>-3.4120819999999999E-3</v>
      </c>
      <c r="N6862">
        <v>-1.338116E-2</v>
      </c>
      <c r="O6862">
        <v>-0.99990460000000003</v>
      </c>
      <c r="P6862">
        <v>3.7523629999999999E-3</v>
      </c>
      <c r="Q6862">
        <v>-2.8736620000000001E-2</v>
      </c>
      <c r="R6862">
        <v>-0.99958009999999997</v>
      </c>
      <c r="S6862">
        <v>0.20916750000000001</v>
      </c>
      <c r="T6862">
        <v>-8.1753610000000004E-2</v>
      </c>
      <c r="U6862">
        <v>-2.997986</v>
      </c>
      <c r="V6862">
        <v>-7.1653039999999999E-3</v>
      </c>
      <c r="W6862">
        <v>-1.5357930000000001E-2</v>
      </c>
      <c r="X6862">
        <v>0.99985639999999998</v>
      </c>
      <c r="Y6862">
        <v>-7.2977420000000001E-2</v>
      </c>
      <c r="Z6862">
        <v>1.380955E-2</v>
      </c>
      <c r="AA6862">
        <v>0.99723799999999996</v>
      </c>
      <c r="AB6862">
        <v>22</v>
      </c>
      <c r="AC6862">
        <v>2.8695999999999899</v>
      </c>
      <c r="AD6862">
        <v>-1.12129282689999</v>
      </c>
      <c r="AE6862">
        <v>-40.905940000000001</v>
      </c>
      <c r="AF6862">
        <v>-3.0069219117931998</v>
      </c>
      <c r="AG6862">
        <v>-1.12129282689999</v>
      </c>
      <c r="AH6862">
        <v>40.865354205323001</v>
      </c>
      <c r="AI6862">
        <v>91.567492725118996</v>
      </c>
      <c r="AJ6862">
        <v>94.2083084361727</v>
      </c>
      <c r="AK6862">
        <v>40.9911704067325</v>
      </c>
      <c r="AL6862">
        <v>90.879979153816606</v>
      </c>
      <c r="AM6862">
        <v>90.410593611616093</v>
      </c>
      <c r="AN6862">
        <v>1.00000001410812</v>
      </c>
    </row>
    <row r="6863" spans="1:40" x14ac:dyDescent="0.25">
      <c r="A6863" t="str">
        <f>"20190303153945122"</f>
        <v>20190303153945122</v>
      </c>
      <c r="B6863" t="str">
        <f>"1551598785115194"</f>
        <v>1551598785115194</v>
      </c>
      <c r="C6863" t="s">
        <v>40</v>
      </c>
      <c r="D6863">
        <v>4.0533950000000001</v>
      </c>
      <c r="E6863">
        <v>0.47529130000000003</v>
      </c>
      <c r="F6863" t="s">
        <v>63</v>
      </c>
      <c r="G6863">
        <v>-419.06209999999999</v>
      </c>
      <c r="H6863" s="1">
        <v>-1.28049E-5</v>
      </c>
      <c r="I6863">
        <v>18.682950000000002</v>
      </c>
      <c r="J6863">
        <v>-421.88580000000002</v>
      </c>
      <c r="K6863">
        <v>1.121235</v>
      </c>
      <c r="L6863">
        <v>59.204830000000001</v>
      </c>
      <c r="M6863">
        <v>-3.4314710000000002E-3</v>
      </c>
      <c r="N6863">
        <v>-1.3161519999999999E-2</v>
      </c>
      <c r="O6863">
        <v>-0.99990749999999995</v>
      </c>
      <c r="P6863">
        <v>3.1325150000000002E-3</v>
      </c>
      <c r="Q6863">
        <v>-2.9189240000000002E-2</v>
      </c>
      <c r="R6863">
        <v>-0.99956909999999999</v>
      </c>
      <c r="S6863">
        <v>0.20773320000000001</v>
      </c>
      <c r="T6863">
        <v>-8.2514519999999994E-2</v>
      </c>
      <c r="U6863">
        <v>-2.9981080000000002</v>
      </c>
      <c r="V6863">
        <v>-6.5645060000000003E-3</v>
      </c>
      <c r="W6863">
        <v>-1.6030429999999998E-2</v>
      </c>
      <c r="X6863">
        <v>0.99985000000000002</v>
      </c>
      <c r="Y6863">
        <v>-7.2519109999999998E-2</v>
      </c>
      <c r="Z6863">
        <v>1.428196E-2</v>
      </c>
      <c r="AA6863">
        <v>0.9972647</v>
      </c>
      <c r="AB6863">
        <v>22</v>
      </c>
      <c r="AC6863">
        <v>2.8237000000000299</v>
      </c>
      <c r="AD6863">
        <v>-1.1212478048999901</v>
      </c>
      <c r="AE6863">
        <v>-40.521880000000003</v>
      </c>
      <c r="AF6863">
        <v>-2.9604893601875499</v>
      </c>
      <c r="AG6863">
        <v>-1.1212478048999901</v>
      </c>
      <c r="AH6863">
        <v>40.481106959890397</v>
      </c>
      <c r="AI6863">
        <v>91.582352121200302</v>
      </c>
      <c r="AJ6863">
        <v>94.182744034351998</v>
      </c>
      <c r="AK6863">
        <v>40.604700646475202</v>
      </c>
      <c r="AL6863">
        <v>90.918515283540103</v>
      </c>
      <c r="AM6863">
        <v>90.376169509674696</v>
      </c>
      <c r="AN6863">
        <v>1.0000000449624999</v>
      </c>
    </row>
    <row r="6864" spans="1:40" x14ac:dyDescent="0.25">
      <c r="A6864" t="str">
        <f>"20190303153945143"</f>
        <v>20190303153945143</v>
      </c>
      <c r="B6864" t="str">
        <f>"1551598785135690"</f>
        <v>1551598785135690</v>
      </c>
      <c r="C6864" t="s">
        <v>40</v>
      </c>
      <c r="D6864">
        <v>4.1112880000000001</v>
      </c>
      <c r="E6864">
        <v>0.47519830000000002</v>
      </c>
      <c r="F6864" t="s">
        <v>63</v>
      </c>
      <c r="G6864">
        <v>-419.10329999999999</v>
      </c>
      <c r="H6864" s="1">
        <v>-1.28005399999999E-5</v>
      </c>
      <c r="I6864">
        <v>18.759840000000001</v>
      </c>
      <c r="J6864">
        <v>-421.88650000000001</v>
      </c>
      <c r="K6864">
        <v>1.1211930000000001</v>
      </c>
      <c r="L6864">
        <v>58.985779999999998</v>
      </c>
      <c r="M6864">
        <v>-3.4431499999999999E-3</v>
      </c>
      <c r="N6864">
        <v>-1.292625E-2</v>
      </c>
      <c r="O6864">
        <v>-0.99991079999999999</v>
      </c>
      <c r="P6864">
        <v>2.7412809999999999E-3</v>
      </c>
      <c r="Q6864">
        <v>-2.9236229999999998E-2</v>
      </c>
      <c r="R6864">
        <v>-0.99956909999999999</v>
      </c>
      <c r="S6864">
        <v>0.20626829999999999</v>
      </c>
      <c r="T6864">
        <v>-8.3118440000000002E-2</v>
      </c>
      <c r="U6864">
        <v>-2.9981990000000001</v>
      </c>
      <c r="V6864">
        <v>-6.1844949999999999E-3</v>
      </c>
      <c r="W6864">
        <v>-1.6312790000000001E-2</v>
      </c>
      <c r="X6864">
        <v>0.99984779999999995</v>
      </c>
      <c r="Y6864">
        <v>-7.2043769999999993E-2</v>
      </c>
      <c r="Z6864">
        <v>1.471811E-2</v>
      </c>
      <c r="AA6864">
        <v>0.99729290000000004</v>
      </c>
      <c r="AB6864">
        <v>22</v>
      </c>
      <c r="AC6864">
        <v>2.7832000000000199</v>
      </c>
      <c r="AD6864">
        <v>-1.1212058005399901</v>
      </c>
      <c r="AE6864">
        <v>-40.225940000000001</v>
      </c>
      <c r="AF6864">
        <v>-2.9194417065569098</v>
      </c>
      <c r="AG6864">
        <v>-1.1212058005399901</v>
      </c>
      <c r="AH6864">
        <v>40.185047210020997</v>
      </c>
      <c r="AI6864">
        <v>91.594000037220795</v>
      </c>
      <c r="AJ6864">
        <v>94.155235363718504</v>
      </c>
      <c r="AK6864">
        <v>40.3065535812325</v>
      </c>
      <c r="AL6864">
        <v>90.934695487222996</v>
      </c>
      <c r="AM6864">
        <v>90.354394881883096</v>
      </c>
      <c r="AN6864">
        <v>0.99999998913041399</v>
      </c>
    </row>
    <row r="6865" spans="1:40" x14ac:dyDescent="0.25">
      <c r="A6865" t="str">
        <f>"20190303153945164"</f>
        <v>20190303153945164</v>
      </c>
      <c r="B6865" t="str">
        <f>"1551598785155207"</f>
        <v>1551598785155207</v>
      </c>
      <c r="C6865" t="s">
        <v>40</v>
      </c>
      <c r="D6865">
        <v>4.1162199999999904</v>
      </c>
      <c r="E6865">
        <v>0.47512569999999998</v>
      </c>
      <c r="F6865" t="s">
        <v>63</v>
      </c>
      <c r="G6865">
        <v>-419.0951</v>
      </c>
      <c r="H6865" s="1">
        <v>-1.289145E-5</v>
      </c>
      <c r="I6865">
        <v>18.337319999999998</v>
      </c>
      <c r="J6865">
        <v>-421.88729999999998</v>
      </c>
      <c r="K6865">
        <v>1.121164</v>
      </c>
      <c r="L6865">
        <v>58.772060000000003</v>
      </c>
      <c r="M6865">
        <v>-3.4480560000000001E-3</v>
      </c>
      <c r="N6865">
        <v>-1.271779E-2</v>
      </c>
      <c r="O6865">
        <v>-0.99991350000000001</v>
      </c>
      <c r="P6865">
        <v>2.2256569999999998E-3</v>
      </c>
      <c r="Q6865">
        <v>-2.9463550000000002E-2</v>
      </c>
      <c r="R6865">
        <v>-0.9995636</v>
      </c>
      <c r="S6865">
        <v>0.2059021</v>
      </c>
      <c r="T6865">
        <v>-8.2702639999999994E-2</v>
      </c>
      <c r="U6865">
        <v>-2.9983219999999999</v>
      </c>
      <c r="V6865">
        <v>-5.6738379999999996E-3</v>
      </c>
      <c r="W6865">
        <v>-1.6748699999999998E-2</v>
      </c>
      <c r="X6865">
        <v>0.9998437</v>
      </c>
      <c r="Y6865">
        <v>-7.1925050000000004E-2</v>
      </c>
      <c r="Z6865">
        <v>1.478749E-2</v>
      </c>
      <c r="AA6865">
        <v>0.99730039999999998</v>
      </c>
      <c r="AB6865">
        <v>22</v>
      </c>
      <c r="AC6865">
        <v>2.7921999999999798</v>
      </c>
      <c r="AD6865">
        <v>-1.12117689145</v>
      </c>
      <c r="AE6865">
        <v>-40.434739999999898</v>
      </c>
      <c r="AF6865">
        <v>-2.9293743319256098</v>
      </c>
      <c r="AG6865">
        <v>-1.12117689145</v>
      </c>
      <c r="AH6865">
        <v>40.393961840701898</v>
      </c>
      <c r="AI6865">
        <v>91.585734198461097</v>
      </c>
      <c r="AJ6865">
        <v>94.147834701547197</v>
      </c>
      <c r="AK6865">
        <v>40.515557811617803</v>
      </c>
      <c r="AL6865">
        <v>90.959674628543397</v>
      </c>
      <c r="AM6865">
        <v>90.325134300061293</v>
      </c>
      <c r="AN6865">
        <v>1.00000006790951</v>
      </c>
    </row>
    <row r="6866" spans="1:40" x14ac:dyDescent="0.25">
      <c r="A6866" t="str">
        <f>"20190303153945188"</f>
        <v>20190303153945188</v>
      </c>
      <c r="B6866" t="str">
        <f>"1551598785175703"</f>
        <v>1551598785175703</v>
      </c>
      <c r="C6866" t="s">
        <v>40</v>
      </c>
      <c r="D6866">
        <v>4.0287730000000002</v>
      </c>
      <c r="E6866">
        <v>0.49725039999999998</v>
      </c>
      <c r="F6866" t="s">
        <v>63</v>
      </c>
      <c r="G6866">
        <v>-419.12599999999998</v>
      </c>
      <c r="H6866" s="1">
        <v>-1.28831E-5</v>
      </c>
      <c r="I6866">
        <v>18.418030000000002</v>
      </c>
      <c r="J6866">
        <v>-421.88799999999998</v>
      </c>
      <c r="K6866">
        <v>1.121143</v>
      </c>
      <c r="L6866">
        <v>58.552520000000001</v>
      </c>
      <c r="M6866">
        <v>-3.4478180000000001E-3</v>
      </c>
      <c r="N6866">
        <v>-1.2519560000000001E-2</v>
      </c>
      <c r="O6866">
        <v>-0.99991580000000002</v>
      </c>
      <c r="P6866">
        <v>2.4312689999999998E-3</v>
      </c>
      <c r="Q6866">
        <v>-2.915425E-2</v>
      </c>
      <c r="R6866">
        <v>-0.99957209999999996</v>
      </c>
      <c r="S6866">
        <v>0.20516970000000001</v>
      </c>
      <c r="T6866">
        <v>-8.3305599999999994E-2</v>
      </c>
      <c r="U6866">
        <v>-2.998383</v>
      </c>
      <c r="V6866">
        <v>-5.8788570000000004E-3</v>
      </c>
      <c r="W6866">
        <v>-1.6637610000000001E-2</v>
      </c>
      <c r="X6866">
        <v>0.99984430000000002</v>
      </c>
      <c r="Y6866">
        <v>-7.1680869999999994E-2</v>
      </c>
      <c r="Z6866">
        <v>1.5186079999999999E-2</v>
      </c>
      <c r="AA6866">
        <v>0.99731199999999998</v>
      </c>
      <c r="AB6866">
        <v>22</v>
      </c>
      <c r="AC6866">
        <v>2.7620000000000502</v>
      </c>
      <c r="AD6866">
        <v>-1.1211558830999999</v>
      </c>
      <c r="AE6866">
        <v>-40.13449</v>
      </c>
      <c r="AF6866">
        <v>-2.89811990316803</v>
      </c>
      <c r="AG6866">
        <v>-1.1211558830999999</v>
      </c>
      <c r="AH6866">
        <v>40.093587733986801</v>
      </c>
      <c r="AI6866">
        <v>91.597605353880994</v>
      </c>
      <c r="AJ6866">
        <v>94.134370359032104</v>
      </c>
      <c r="AK6866">
        <v>40.213826812058599</v>
      </c>
      <c r="AL6866">
        <v>90.953308820802903</v>
      </c>
      <c r="AM6866">
        <v>90.336882265469598</v>
      </c>
      <c r="AN6866">
        <v>0.99999999763431402</v>
      </c>
    </row>
    <row r="6867" spans="1:40" x14ac:dyDescent="0.25">
      <c r="A6867" t="str">
        <f>"20190303153945210"</f>
        <v>20190303153945210</v>
      </c>
      <c r="B6867" t="str">
        <f>"1551598785205959"</f>
        <v>1551598785205959</v>
      </c>
      <c r="C6867" t="s">
        <v>40</v>
      </c>
      <c r="D6867">
        <v>4.0140229999999999</v>
      </c>
      <c r="E6867">
        <v>0.50043490000000002</v>
      </c>
      <c r="F6867" t="s">
        <v>63</v>
      </c>
      <c r="G6867">
        <v>-421.43439999999998</v>
      </c>
      <c r="H6867" s="1">
        <v>-1.00144E-5</v>
      </c>
      <c r="I6867">
        <v>12.7805</v>
      </c>
      <c r="J6867">
        <v>-421.8888</v>
      </c>
      <c r="K6867">
        <v>1.121122</v>
      </c>
      <c r="L6867">
        <v>58.32996</v>
      </c>
      <c r="M6867">
        <v>-3.4439259999999999E-3</v>
      </c>
      <c r="N6867">
        <v>-1.2324770000000001E-2</v>
      </c>
      <c r="O6867">
        <v>-0.99991819999999998</v>
      </c>
      <c r="P6867">
        <v>2.849009E-3</v>
      </c>
      <c r="Q6867">
        <v>-2.8831309999999999E-2</v>
      </c>
      <c r="R6867">
        <v>-0.99958049999999998</v>
      </c>
      <c r="S6867">
        <v>2.972412E-2</v>
      </c>
      <c r="T6867">
        <v>-7.3460460000000005E-2</v>
      </c>
      <c r="U6867">
        <v>-2.9990839999999999</v>
      </c>
      <c r="V6867">
        <v>-6.2927E-3</v>
      </c>
      <c r="W6867">
        <v>-1.650942E-2</v>
      </c>
      <c r="X6867">
        <v>0.99984390000000001</v>
      </c>
      <c r="Y6867">
        <v>-1.335078E-2</v>
      </c>
      <c r="Z6867">
        <v>1.21619E-2</v>
      </c>
      <c r="AA6867">
        <v>0.99983690000000003</v>
      </c>
      <c r="AB6867">
        <v>22</v>
      </c>
      <c r="AC6867">
        <v>0.45440000000002101</v>
      </c>
      <c r="AD6867">
        <v>-1.1211320144000001</v>
      </c>
      <c r="AE6867">
        <v>-45.549460000000003</v>
      </c>
      <c r="AF6867">
        <v>-0.61090811040709003</v>
      </c>
      <c r="AG6867">
        <v>-1.1211320144000001</v>
      </c>
      <c r="AH6867">
        <v>45.520050366017102</v>
      </c>
      <c r="AI6867">
        <v>91.410749056431101</v>
      </c>
      <c r="AJ6867">
        <v>90.768899745725307</v>
      </c>
      <c r="AK6867">
        <v>45.537952644336201</v>
      </c>
      <c r="AL6867">
        <v>90.945963071483504</v>
      </c>
      <c r="AM6867">
        <v>90.360596680546394</v>
      </c>
      <c r="AN6867">
        <v>0.99999999169461795</v>
      </c>
    </row>
    <row r="6868" spans="1:40" x14ac:dyDescent="0.25">
      <c r="A6868" t="str">
        <f>"20190303153945233"</f>
        <v>20190303153945233</v>
      </c>
      <c r="B6868" t="str">
        <f>"1551598785225479"</f>
        <v>1551598785225479</v>
      </c>
      <c r="C6868" t="s">
        <v>40</v>
      </c>
      <c r="D6868">
        <v>4.0356610000000002</v>
      </c>
      <c r="E6868">
        <v>0.50144949999999999</v>
      </c>
      <c r="F6868" t="s">
        <v>63</v>
      </c>
      <c r="G6868">
        <v>-421.81139999999999</v>
      </c>
      <c r="H6868" s="1">
        <v>-9.8791669999999999E-6</v>
      </c>
      <c r="I6868">
        <v>12.79927</v>
      </c>
      <c r="J6868">
        <v>-421.88959999999997</v>
      </c>
      <c r="K6868">
        <v>1.1211100000000001</v>
      </c>
      <c r="L6868">
        <v>58.106749999999998</v>
      </c>
      <c r="M6868">
        <v>-3.4386239999999999E-3</v>
      </c>
      <c r="N6868">
        <v>-1.2141300000000001E-2</v>
      </c>
      <c r="O6868">
        <v>-0.99992040000000004</v>
      </c>
      <c r="P6868">
        <v>3.3230820000000002E-3</v>
      </c>
      <c r="Q6868">
        <v>-2.824662E-2</v>
      </c>
      <c r="R6868">
        <v>-0.99959549999999997</v>
      </c>
      <c r="S6868">
        <v>5.0964360000000002E-3</v>
      </c>
      <c r="T6868">
        <v>-7.3849199999999907E-2</v>
      </c>
      <c r="U6868">
        <v>-2.9991150000000002</v>
      </c>
      <c r="V6868">
        <v>-6.7614009999999898E-3</v>
      </c>
      <c r="W6868">
        <v>-1.610806E-2</v>
      </c>
      <c r="X6868">
        <v>0.99984740000000005</v>
      </c>
      <c r="Y6868">
        <v>-5.1368949999999998E-3</v>
      </c>
      <c r="Z6868">
        <v>1.2476330000000001E-2</v>
      </c>
      <c r="AA6868">
        <v>0.99990900000000005</v>
      </c>
      <c r="AB6868">
        <v>22</v>
      </c>
      <c r="AC6868">
        <v>7.8199999999981104E-2</v>
      </c>
      <c r="AD6868">
        <v>-1.1211198791670001</v>
      </c>
      <c r="AE6868">
        <v>-45.307479999999998</v>
      </c>
      <c r="AF6868">
        <v>-0.233863212700512</v>
      </c>
      <c r="AG6868">
        <v>-1.1211198791670001</v>
      </c>
      <c r="AH6868">
        <v>45.279218793488702</v>
      </c>
      <c r="AI6868">
        <v>91.418342914847997</v>
      </c>
      <c r="AJ6868">
        <v>90.295925068527296</v>
      </c>
      <c r="AK6868">
        <v>45.293699962956701</v>
      </c>
      <c r="AL6868">
        <v>90.922963766233593</v>
      </c>
      <c r="AM6868">
        <v>90.387452961051494</v>
      </c>
      <c r="AN6868">
        <v>1.0000000047136</v>
      </c>
    </row>
    <row r="6869" spans="1:40" x14ac:dyDescent="0.25">
      <c r="A6869" t="str">
        <f>"20190303153945255"</f>
        <v>20190303153945255</v>
      </c>
      <c r="B6869" t="str">
        <f>"1551598785245975"</f>
        <v>1551598785245975</v>
      </c>
      <c r="C6869" t="s">
        <v>40</v>
      </c>
      <c r="D6869">
        <v>4.2219980000000001</v>
      </c>
      <c r="E6869">
        <v>0.50253300000000001</v>
      </c>
      <c r="F6869" t="s">
        <v>63</v>
      </c>
      <c r="G6869">
        <v>-421.91269999999997</v>
      </c>
      <c r="H6869" s="1">
        <v>-9.73758E-6</v>
      </c>
      <c r="I6869">
        <v>11.75057</v>
      </c>
      <c r="J6869">
        <v>-421.89030000000002</v>
      </c>
      <c r="K6869">
        <v>1.121103</v>
      </c>
      <c r="L6869">
        <v>57.890439999999998</v>
      </c>
      <c r="M6869">
        <v>-3.4338070000000001E-3</v>
      </c>
      <c r="N6869">
        <v>-1.198193E-2</v>
      </c>
      <c r="O6869">
        <v>-0.99992250000000005</v>
      </c>
      <c r="P6869">
        <v>3.7329870000000001E-3</v>
      </c>
      <c r="Q6869">
        <v>-2.793147E-2</v>
      </c>
      <c r="R6869">
        <v>-0.99960320000000003</v>
      </c>
      <c r="S6869">
        <v>-1.495361E-3</v>
      </c>
      <c r="T6869">
        <v>-7.2534799999999997E-2</v>
      </c>
      <c r="U6869">
        <v>-2.9991759999999998</v>
      </c>
      <c r="V6869">
        <v>-7.1661919999999896E-3</v>
      </c>
      <c r="W6869">
        <v>-1.5952230000000001E-2</v>
      </c>
      <c r="X6869">
        <v>0.99984709999999999</v>
      </c>
      <c r="Y6869">
        <v>-2.934866E-3</v>
      </c>
      <c r="Z6869">
        <v>1.219742E-2</v>
      </c>
      <c r="AA6869">
        <v>0.99992130000000001</v>
      </c>
      <c r="AB6869">
        <v>22</v>
      </c>
      <c r="AC6869">
        <v>-2.2399999999947798E-2</v>
      </c>
      <c r="AD6869">
        <v>-1.1211127375800001</v>
      </c>
      <c r="AE6869">
        <v>-46.139870000000002</v>
      </c>
      <c r="AF6869">
        <v>-0.13596661151793801</v>
      </c>
      <c r="AG6869">
        <v>-1.1211127375800001</v>
      </c>
      <c r="AH6869">
        <v>46.112450112444201</v>
      </c>
      <c r="AI6869">
        <v>91.392727929363403</v>
      </c>
      <c r="AJ6869">
        <v>90.168941151446603</v>
      </c>
      <c r="AK6869">
        <v>46.1262770670089</v>
      </c>
      <c r="AL6869">
        <v>90.914034198427103</v>
      </c>
      <c r="AM6869">
        <v>90.410648314409002</v>
      </c>
      <c r="AN6869">
        <v>1.00000002566408</v>
      </c>
    </row>
    <row r="6870" spans="1:40" x14ac:dyDescent="0.25">
      <c r="A6870" t="str">
        <f>"20190303153945277"</f>
        <v>20190303153945277</v>
      </c>
      <c r="B6870" t="str">
        <f>"1551598785265495"</f>
        <v>1551598785265495</v>
      </c>
      <c r="C6870" t="s">
        <v>40</v>
      </c>
      <c r="D6870">
        <v>4.0251599999999996</v>
      </c>
      <c r="E6870">
        <v>0.50342710000000002</v>
      </c>
      <c r="F6870" t="s">
        <v>63</v>
      </c>
      <c r="G6870">
        <v>-422.02800000000002</v>
      </c>
      <c r="H6870" s="1">
        <v>-9.7367480000000008E-6</v>
      </c>
      <c r="I6870">
        <v>12.16203</v>
      </c>
      <c r="J6870">
        <v>-421.89100000000002</v>
      </c>
      <c r="K6870">
        <v>1.1210979999999999</v>
      </c>
      <c r="L6870">
        <v>57.675379999999997</v>
      </c>
      <c r="M6870">
        <v>-3.4301380000000001E-3</v>
      </c>
      <c r="N6870">
        <v>-1.1842490000000001E-2</v>
      </c>
      <c r="O6870">
        <v>-0.99992420000000004</v>
      </c>
      <c r="P6870">
        <v>4.0004000000000003E-3</v>
      </c>
      <c r="Q6870">
        <v>-2.7971179999999998E-2</v>
      </c>
      <c r="R6870">
        <v>-0.99960099999999996</v>
      </c>
      <c r="S6870">
        <v>-9.0332030000000001E-3</v>
      </c>
      <c r="T6870">
        <v>-7.3530079999999998E-2</v>
      </c>
      <c r="U6870">
        <v>-2.9991759999999998</v>
      </c>
      <c r="V6870">
        <v>-7.4302980000000001E-3</v>
      </c>
      <c r="W6870">
        <v>-1.6131409999999999E-2</v>
      </c>
      <c r="X6870">
        <v>0.99984229999999996</v>
      </c>
      <c r="Y6870">
        <v>-4.1865069999999998E-4</v>
      </c>
      <c r="Z6870">
        <v>1.2668540000000001E-2</v>
      </c>
      <c r="AA6870">
        <v>0.99991969999999997</v>
      </c>
      <c r="AB6870">
        <v>22</v>
      </c>
      <c r="AC6870">
        <v>-0.13700000000005699</v>
      </c>
      <c r="AD6870">
        <v>-1.121107736748</v>
      </c>
      <c r="AE6870">
        <v>-45.513350000000003</v>
      </c>
      <c r="AF6870">
        <v>-1.9117193915842198E-2</v>
      </c>
      <c r="AG6870">
        <v>-1.121107736748</v>
      </c>
      <c r="AH6870">
        <v>45.4859533553971</v>
      </c>
      <c r="AI6870">
        <v>91.411902547422798</v>
      </c>
      <c r="AJ6870">
        <v>90.024080719039901</v>
      </c>
      <c r="AK6870">
        <v>45.499771435402401</v>
      </c>
      <c r="AL6870">
        <v>90.924301774734502</v>
      </c>
      <c r="AM6870">
        <v>90.425784025194702</v>
      </c>
      <c r="AN6870">
        <v>1.0000000282931201</v>
      </c>
    </row>
    <row r="6871" spans="1:40" x14ac:dyDescent="0.25">
      <c r="A6871" t="str">
        <f>"20190303153945300"</f>
        <v>20190303153945300</v>
      </c>
      <c r="B6871" t="str">
        <f>"1551598785295751"</f>
        <v>1551598785295751</v>
      </c>
      <c r="C6871" t="s">
        <v>40</v>
      </c>
      <c r="D6871">
        <v>3.9977429999999998</v>
      </c>
      <c r="E6871">
        <v>0.50427730000000004</v>
      </c>
      <c r="F6871" t="s">
        <v>63</v>
      </c>
      <c r="G6871">
        <v>-422.12049999999999</v>
      </c>
      <c r="H6871" s="1">
        <v>-9.7532679999999994E-6</v>
      </c>
      <c r="I6871">
        <v>12.663869999999999</v>
      </c>
      <c r="J6871">
        <v>-421.89179999999999</v>
      </c>
      <c r="K6871">
        <v>1.121094</v>
      </c>
      <c r="L6871">
        <v>57.45035</v>
      </c>
      <c r="M6871">
        <v>-3.4277399999999999E-3</v>
      </c>
      <c r="N6871">
        <v>-1.171386E-2</v>
      </c>
      <c r="O6871">
        <v>-0.99992559999999997</v>
      </c>
      <c r="P6871">
        <v>3.7633459999999999E-3</v>
      </c>
      <c r="Q6871">
        <v>-2.8061139999999998E-2</v>
      </c>
      <c r="R6871">
        <v>-0.99959940000000003</v>
      </c>
      <c r="S6871">
        <v>-1.528931E-2</v>
      </c>
      <c r="T6871">
        <v>-7.4700829999999996E-2</v>
      </c>
      <c r="U6871">
        <v>-2.9991759999999998</v>
      </c>
      <c r="V6871">
        <v>-7.1904600000000001E-3</v>
      </c>
      <c r="W6871">
        <v>-1.6350010000000002E-2</v>
      </c>
      <c r="X6871">
        <v>0.99984050000000002</v>
      </c>
      <c r="Y6871">
        <v>1.6690079999999901E-3</v>
      </c>
      <c r="Z6871">
        <v>1.318717E-2</v>
      </c>
      <c r="AA6871">
        <v>0.99991169999999996</v>
      </c>
      <c r="AB6871">
        <v>22</v>
      </c>
      <c r="AC6871">
        <v>-0.22870000000000301</v>
      </c>
      <c r="AD6871">
        <v>-1.1211037532679999</v>
      </c>
      <c r="AE6871">
        <v>-44.786479999999997</v>
      </c>
      <c r="AF6871">
        <v>7.5124654219498793E-2</v>
      </c>
      <c r="AG6871">
        <v>-1.1211037532679999</v>
      </c>
      <c r="AH6871">
        <v>44.758955128473097</v>
      </c>
      <c r="AI6871">
        <v>91.434818903273793</v>
      </c>
      <c r="AJ6871">
        <v>89.903833287218603</v>
      </c>
      <c r="AK6871">
        <v>44.7730564238352</v>
      </c>
      <c r="AL6871">
        <v>90.936828286540901</v>
      </c>
      <c r="AM6871">
        <v>90.412041629138898</v>
      </c>
      <c r="AN6871">
        <v>1.0000000254911301</v>
      </c>
    </row>
    <row r="6872" spans="1:40" x14ac:dyDescent="0.25">
      <c r="A6872" t="str">
        <f>"20190303153945322"</f>
        <v>20190303153945322</v>
      </c>
      <c r="B6872" t="str">
        <f>"1551598785315271"</f>
        <v>1551598785315271</v>
      </c>
      <c r="C6872" t="s">
        <v>40</v>
      </c>
      <c r="D6872">
        <v>4.0148010000000003</v>
      </c>
      <c r="E6872">
        <v>0.50446990000000003</v>
      </c>
      <c r="F6872" t="s">
        <v>63</v>
      </c>
      <c r="G6872">
        <v>-422.22399999999999</v>
      </c>
      <c r="H6872" s="1">
        <v>-9.8183610000000007E-6</v>
      </c>
      <c r="I6872">
        <v>13.692069999999999</v>
      </c>
      <c r="J6872">
        <v>-421.89260000000002</v>
      </c>
      <c r="K6872">
        <v>1.121086</v>
      </c>
      <c r="L6872">
        <v>57.2322699999999</v>
      </c>
      <c r="M6872">
        <v>-3.4266320000000002E-3</v>
      </c>
      <c r="N6872">
        <v>-1.16037E-2</v>
      </c>
      <c r="O6872">
        <v>-0.99992700000000001</v>
      </c>
      <c r="P6872">
        <v>3.6862940000000001E-3</v>
      </c>
      <c r="Q6872">
        <v>-2.8017130000000001E-2</v>
      </c>
      <c r="R6872">
        <v>-0.99960110000000002</v>
      </c>
      <c r="S6872">
        <v>-2.2766109999999999E-2</v>
      </c>
      <c r="T6872">
        <v>-7.6838489999999995E-2</v>
      </c>
      <c r="U6872">
        <v>-2.9991150000000002</v>
      </c>
      <c r="V6872">
        <v>-7.1122640000000001E-3</v>
      </c>
      <c r="W6872">
        <v>-1.6416139999999999E-2</v>
      </c>
      <c r="X6872">
        <v>0.99983999999999995</v>
      </c>
      <c r="Y6872">
        <v>4.1622719999999998E-3</v>
      </c>
      <c r="Z6872">
        <v>1.4009819999999999E-2</v>
      </c>
      <c r="AA6872">
        <v>0.99989320000000004</v>
      </c>
      <c r="AB6872">
        <v>22</v>
      </c>
      <c r="AC6872">
        <v>-0.33139999999997299</v>
      </c>
      <c r="AD6872">
        <v>-1.121095818361</v>
      </c>
      <c r="AE6872">
        <v>-43.540199999999899</v>
      </c>
      <c r="AF6872">
        <v>0.182071091822466</v>
      </c>
      <c r="AG6872">
        <v>-1.121095818361</v>
      </c>
      <c r="AH6872">
        <v>43.5122336582724</v>
      </c>
      <c r="AI6872">
        <v>91.475890420648199</v>
      </c>
      <c r="AJ6872">
        <v>89.760254912869897</v>
      </c>
      <c r="AK6872">
        <v>43.527054617197798</v>
      </c>
      <c r="AL6872">
        <v>90.940617742091405</v>
      </c>
      <c r="AM6872">
        <v>90.407561046680001</v>
      </c>
      <c r="AN6872">
        <v>1.0000000497758501</v>
      </c>
    </row>
    <row r="6873" spans="1:40" x14ac:dyDescent="0.25">
      <c r="A6873" t="str">
        <f>"20190303153945344"</f>
        <v>20190303153945344</v>
      </c>
      <c r="B6873" t="str">
        <f>"1551598785335767"</f>
        <v>1551598785335767</v>
      </c>
      <c r="C6873" t="s">
        <v>40</v>
      </c>
      <c r="D6873">
        <v>4.0100610000000003</v>
      </c>
      <c r="E6873">
        <v>0.50451590000000002</v>
      </c>
      <c r="F6873" t="s">
        <v>63</v>
      </c>
      <c r="G6873">
        <v>-422.25049999999999</v>
      </c>
      <c r="H6873" s="1">
        <v>-9.8256180000000005E-6</v>
      </c>
      <c r="I6873">
        <v>13.86143</v>
      </c>
      <c r="J6873">
        <v>-421.89330000000001</v>
      </c>
      <c r="K6873">
        <v>1.1210719999999901</v>
      </c>
      <c r="L6873">
        <v>57.01193</v>
      </c>
      <c r="M6873">
        <v>-3.4263290000000001E-3</v>
      </c>
      <c r="N6873">
        <v>-1.1509510000000001E-2</v>
      </c>
      <c r="O6873">
        <v>-0.99992800000000004</v>
      </c>
      <c r="P6873">
        <v>3.1020919999999999E-3</v>
      </c>
      <c r="Q6873">
        <v>-2.7675780000000001E-2</v>
      </c>
      <c r="R6873">
        <v>-0.99961230000000001</v>
      </c>
      <c r="S6873">
        <v>-2.4749759999999999E-2</v>
      </c>
      <c r="T6873">
        <v>-7.7524300000000004E-2</v>
      </c>
      <c r="U6873">
        <v>-2.9991150000000002</v>
      </c>
      <c r="V6873">
        <v>-6.5282569999999896E-3</v>
      </c>
      <c r="W6873">
        <v>-1.616886E-2</v>
      </c>
      <c r="X6873">
        <v>0.99984790000000001</v>
      </c>
      <c r="Y6873">
        <v>4.8237009999999997E-3</v>
      </c>
      <c r="Z6873">
        <v>1.43324E-2</v>
      </c>
      <c r="AA6873">
        <v>0.99988569999999999</v>
      </c>
      <c r="AB6873">
        <v>22</v>
      </c>
      <c r="AC6873">
        <v>-0.35719999999997698</v>
      </c>
      <c r="AD6873">
        <v>-1.12108182561799</v>
      </c>
      <c r="AE6873">
        <v>-43.150500000000001</v>
      </c>
      <c r="AF6873">
        <v>0.20919911624068099</v>
      </c>
      <c r="AG6873">
        <v>-1.12108182561799</v>
      </c>
      <c r="AH6873">
        <v>43.1223650963437</v>
      </c>
      <c r="AI6873">
        <v>91.489204874468399</v>
      </c>
      <c r="AJ6873">
        <v>89.722043714880002</v>
      </c>
      <c r="AK6873">
        <v>43.137442671446401</v>
      </c>
      <c r="AL6873">
        <v>90.926447866409504</v>
      </c>
      <c r="AM6873">
        <v>90.374093158113197</v>
      </c>
      <c r="AN6873">
        <v>0.99999993665378095</v>
      </c>
    </row>
    <row r="6874" spans="1:40" x14ac:dyDescent="0.25">
      <c r="A6874" t="str">
        <f>"20190303153945366"</f>
        <v>20190303153945366</v>
      </c>
      <c r="B6874" t="str">
        <f>"1551598785355287"</f>
        <v>1551598785355287</v>
      </c>
      <c r="C6874" t="s">
        <v>40</v>
      </c>
      <c r="D6874">
        <v>4.2965900000000001</v>
      </c>
      <c r="E6874">
        <v>0.50471779999999999</v>
      </c>
      <c r="F6874" t="s">
        <v>63</v>
      </c>
      <c r="G6874">
        <v>-422.2867</v>
      </c>
      <c r="H6874" s="1">
        <v>-9.7351740000000001E-6</v>
      </c>
      <c r="I6874">
        <v>13.08756</v>
      </c>
      <c r="J6874">
        <v>-421.89409999999998</v>
      </c>
      <c r="K6874">
        <v>1.1210709999999999</v>
      </c>
      <c r="L6874">
        <v>56.795749999999998</v>
      </c>
      <c r="M6874">
        <v>-3.4264730000000002E-3</v>
      </c>
      <c r="N6874">
        <v>-1.1442890000000001E-2</v>
      </c>
      <c r="O6874">
        <v>-0.99992899999999996</v>
      </c>
      <c r="P6874">
        <v>2.7962350000000002E-3</v>
      </c>
      <c r="Q6874">
        <v>-2.7367249999999999E-2</v>
      </c>
      <c r="R6874">
        <v>-0.99962200000000001</v>
      </c>
      <c r="S6874">
        <v>-2.6855469999999999E-2</v>
      </c>
      <c r="T6874">
        <v>-7.6546429999999999E-2</v>
      </c>
      <c r="U6874">
        <v>-2.9991150000000002</v>
      </c>
      <c r="V6874">
        <v>-6.2226750000000004E-3</v>
      </c>
      <c r="W6874">
        <v>-1.5926860000000001E-2</v>
      </c>
      <c r="X6874">
        <v>0.99985380000000001</v>
      </c>
      <c r="Y6874">
        <v>5.5254400000000004E-3</v>
      </c>
      <c r="Z6874">
        <v>1.407311E-2</v>
      </c>
      <c r="AA6874">
        <v>0.99988569999999999</v>
      </c>
      <c r="AB6874">
        <v>22</v>
      </c>
      <c r="AC6874">
        <v>-0.39260000000001499</v>
      </c>
      <c r="AD6874">
        <v>-1.121080735174</v>
      </c>
      <c r="AE6874">
        <v>-43.708190000000002</v>
      </c>
      <c r="AF6874">
        <v>0.242663376328423</v>
      </c>
      <c r="AG6874">
        <v>-1.121080735174</v>
      </c>
      <c r="AH6874">
        <v>43.680544369787597</v>
      </c>
      <c r="AI6874">
        <v>91.470176409127006</v>
      </c>
      <c r="AJ6874">
        <v>89.681701671174594</v>
      </c>
      <c r="AK6874">
        <v>43.695602341310902</v>
      </c>
      <c r="AL6874">
        <v>90.912580439650995</v>
      </c>
      <c r="AM6874">
        <v>90.356580543765205</v>
      </c>
      <c r="AN6874">
        <v>1.00000000396402</v>
      </c>
    </row>
    <row r="6875" spans="1:40" x14ac:dyDescent="0.25">
      <c r="A6875" t="str">
        <f>"20190303153945390"</f>
        <v>20190303153945390</v>
      </c>
      <c r="B6875" t="str">
        <f>"1551598785385556"</f>
        <v>1551598785385556</v>
      </c>
      <c r="C6875" t="s">
        <v>40</v>
      </c>
      <c r="D6875">
        <v>4.0096160000000003</v>
      </c>
      <c r="E6875">
        <v>0.50524639999999998</v>
      </c>
      <c r="F6875" t="s">
        <v>63</v>
      </c>
      <c r="G6875">
        <v>-422.33109999999999</v>
      </c>
      <c r="H6875" s="1">
        <v>-9.6249910000000006E-6</v>
      </c>
      <c r="I6875">
        <v>12.146430000000001</v>
      </c>
      <c r="J6875">
        <v>-421.89490000000001</v>
      </c>
      <c r="K6875">
        <v>1.1210770000000001</v>
      </c>
      <c r="L6875">
        <v>56.570099999999996</v>
      </c>
      <c r="M6875">
        <v>-3.426863E-3</v>
      </c>
      <c r="N6875">
        <v>-1.141207E-2</v>
      </c>
      <c r="O6875">
        <v>-0.99992919999999996</v>
      </c>
      <c r="P6875">
        <v>3.057241E-3</v>
      </c>
      <c r="Q6875">
        <v>-2.6878610000000001E-2</v>
      </c>
      <c r="R6875">
        <v>-0.99963440000000003</v>
      </c>
      <c r="S6875">
        <v>-2.9357910000000001E-2</v>
      </c>
      <c r="T6875">
        <v>-7.5304270000000006E-2</v>
      </c>
      <c r="U6875">
        <v>-2.9991460000000001</v>
      </c>
      <c r="V6875">
        <v>-6.4835120000000003E-3</v>
      </c>
      <c r="W6875">
        <v>-1.5468920000000001E-2</v>
      </c>
      <c r="X6875">
        <v>0.99985930000000001</v>
      </c>
      <c r="Y6875">
        <v>6.3590690000000002E-3</v>
      </c>
      <c r="Z6875">
        <v>1.3689679999999999E-2</v>
      </c>
      <c r="AA6875">
        <v>0.9998861</v>
      </c>
      <c r="AB6875">
        <v>22</v>
      </c>
      <c r="AC6875">
        <v>-0.43619999999998499</v>
      </c>
      <c r="AD6875">
        <v>-1.1210866249910001</v>
      </c>
      <c r="AE6875">
        <v>-44.423670000000001</v>
      </c>
      <c r="AF6875">
        <v>0.28377301396544302</v>
      </c>
      <c r="AG6875">
        <v>-1.1210866249910001</v>
      </c>
      <c r="AH6875">
        <v>44.396631946466897</v>
      </c>
      <c r="AI6875">
        <v>91.446473989846396</v>
      </c>
      <c r="AJ6875">
        <v>89.633783602186298</v>
      </c>
      <c r="AK6875">
        <v>44.4116909218084</v>
      </c>
      <c r="AL6875">
        <v>90.8863392055042</v>
      </c>
      <c r="AM6875">
        <v>90.371524941108902</v>
      </c>
      <c r="AN6875">
        <v>0.99999997160515397</v>
      </c>
    </row>
    <row r="6876" spans="1:40" x14ac:dyDescent="0.25">
      <c r="A6876" t="str">
        <f>"20190303153945411"</f>
        <v>20190303153945411</v>
      </c>
      <c r="B6876" t="str">
        <f>"1551598785405063"</f>
        <v>1551598785405063</v>
      </c>
      <c r="C6876" t="s">
        <v>40</v>
      </c>
      <c r="D6876">
        <v>4.0162589999999998</v>
      </c>
      <c r="E6876">
        <v>0.50547569999999997</v>
      </c>
      <c r="F6876" t="s">
        <v>63</v>
      </c>
      <c r="G6876">
        <v>-422.37709999999998</v>
      </c>
      <c r="H6876" s="1">
        <v>-9.5457599999999999E-6</v>
      </c>
      <c r="I6876">
        <v>11.52059</v>
      </c>
      <c r="J6876">
        <v>-421.8956</v>
      </c>
      <c r="K6876">
        <v>1.1211089999999999</v>
      </c>
      <c r="L6876">
        <v>56.350009999999997</v>
      </c>
      <c r="M6876">
        <v>-3.4273250000000002E-3</v>
      </c>
      <c r="N6876">
        <v>-1.145092E-2</v>
      </c>
      <c r="O6876">
        <v>-0.9999287</v>
      </c>
      <c r="P6876">
        <v>3.7960369999999999E-3</v>
      </c>
      <c r="Q6876">
        <v>-2.666116E-2</v>
      </c>
      <c r="R6876">
        <v>-0.99963740000000001</v>
      </c>
      <c r="S6876">
        <v>-3.2104489999999999E-2</v>
      </c>
      <c r="T6876">
        <v>-7.4636460000000002E-2</v>
      </c>
      <c r="U6876">
        <v>-2.9991759999999998</v>
      </c>
      <c r="V6876">
        <v>-7.2225340000000001E-3</v>
      </c>
      <c r="W6876">
        <v>-1.521259E-2</v>
      </c>
      <c r="X6876">
        <v>0.99985820000000003</v>
      </c>
      <c r="Y6876">
        <v>7.273931E-3</v>
      </c>
      <c r="Z6876">
        <v>1.34279E-2</v>
      </c>
      <c r="AA6876">
        <v>0.99988339999999998</v>
      </c>
      <c r="AB6876">
        <v>22</v>
      </c>
      <c r="AC6876">
        <v>-0.481499999999982</v>
      </c>
      <c r="AD6876">
        <v>-1.1211185457599999</v>
      </c>
      <c r="AE6876">
        <v>-44.829419999999999</v>
      </c>
      <c r="AF6876">
        <v>0.32763723701692499</v>
      </c>
      <c r="AG6876">
        <v>-1.1211185457599999</v>
      </c>
      <c r="AH6876">
        <v>44.802789378729997</v>
      </c>
      <c r="AI6876">
        <v>91.433398300422894</v>
      </c>
      <c r="AJ6876">
        <v>89.581010545800893</v>
      </c>
      <c r="AK6876">
        <v>44.818011882139203</v>
      </c>
      <c r="AL6876">
        <v>90.871650821173901</v>
      </c>
      <c r="AM6876">
        <v>90.413872205200406</v>
      </c>
      <c r="AN6876">
        <v>1.00000000399956</v>
      </c>
    </row>
    <row r="6877" spans="1:40" x14ac:dyDescent="0.25">
      <c r="A6877" t="str">
        <f>"20190303153945434"</f>
        <v>20190303153945434</v>
      </c>
      <c r="B6877" t="str">
        <f>"1551598785425560"</f>
        <v>1551598785425560</v>
      </c>
      <c r="C6877" t="s">
        <v>40</v>
      </c>
      <c r="D6877">
        <v>4.0000200000000001</v>
      </c>
      <c r="E6877">
        <v>0.50565159999999998</v>
      </c>
      <c r="F6877" t="s">
        <v>63</v>
      </c>
      <c r="G6877">
        <v>-422.37900000000002</v>
      </c>
      <c r="H6877" s="1">
        <v>-9.5161789999999997E-6</v>
      </c>
      <c r="I6877">
        <v>11.231490000000001</v>
      </c>
      <c r="J6877">
        <v>-421.8963</v>
      </c>
      <c r="K6877">
        <v>1.1211420000000001</v>
      </c>
      <c r="L6877">
        <v>56.131619999999998</v>
      </c>
      <c r="M6877">
        <v>-3.4276350000000001E-3</v>
      </c>
      <c r="N6877">
        <v>-1.153884E-2</v>
      </c>
      <c r="O6877">
        <v>-0.99992780000000003</v>
      </c>
      <c r="P6877">
        <v>4.4587100000000003E-3</v>
      </c>
      <c r="Q6877">
        <v>-2.6783589999999999E-2</v>
      </c>
      <c r="R6877">
        <v>-0.99963159999999895</v>
      </c>
      <c r="S6877">
        <v>-3.2135009999999999E-2</v>
      </c>
      <c r="T6877">
        <v>-7.4525949999999994E-2</v>
      </c>
      <c r="U6877">
        <v>-2.9992369999999999</v>
      </c>
      <c r="V6877">
        <v>-7.8857140000000003E-3</v>
      </c>
      <c r="W6877">
        <v>-1.5247159999999999E-2</v>
      </c>
      <c r="X6877">
        <v>0.99985270000000004</v>
      </c>
      <c r="Y6877">
        <v>7.2835740000000001E-3</v>
      </c>
      <c r="Z6877">
        <v>1.3302649999999999E-2</v>
      </c>
      <c r="AA6877">
        <v>0.99988500000000002</v>
      </c>
      <c r="AB6877">
        <v>22</v>
      </c>
      <c r="AC6877">
        <v>-0.482700000000022</v>
      </c>
      <c r="AD6877">
        <v>-1.121151516179</v>
      </c>
      <c r="AE6877">
        <v>-44.900129999999997</v>
      </c>
      <c r="AF6877">
        <v>0.32858085370719903</v>
      </c>
      <c r="AG6877">
        <v>-1.121151516179</v>
      </c>
      <c r="AH6877">
        <v>44.8735456079268</v>
      </c>
      <c r="AI6877">
        <v>91.431181041489396</v>
      </c>
      <c r="AJ6877">
        <v>89.5804664099701</v>
      </c>
      <c r="AK6877">
        <v>44.888751837474203</v>
      </c>
      <c r="AL6877">
        <v>90.8736317336582</v>
      </c>
      <c r="AM6877">
        <v>90.451875324113104</v>
      </c>
      <c r="AN6877">
        <v>1.00000004103532</v>
      </c>
    </row>
    <row r="6878" spans="1:40" x14ac:dyDescent="0.25">
      <c r="A6878" t="str">
        <f>"20190303153945456"</f>
        <v>20190303153945456</v>
      </c>
      <c r="B6878" t="str">
        <f>"1551598785446057"</f>
        <v>1551598785446057</v>
      </c>
      <c r="C6878" t="s">
        <v>40</v>
      </c>
      <c r="D6878">
        <v>4.0168929999999996</v>
      </c>
      <c r="E6878">
        <v>0.50584669999999998</v>
      </c>
      <c r="F6878" t="s">
        <v>63</v>
      </c>
      <c r="G6878">
        <v>-422.36290000000002</v>
      </c>
      <c r="H6878" s="1">
        <v>-9.5727459999999998E-6</v>
      </c>
      <c r="I6878">
        <v>11.73922</v>
      </c>
      <c r="J6878">
        <v>-421.89710000000002</v>
      </c>
      <c r="K6878">
        <v>1.1211930000000001</v>
      </c>
      <c r="L6878">
        <v>55.907069999999997</v>
      </c>
      <c r="M6878">
        <v>-3.42794E-3</v>
      </c>
      <c r="N6878">
        <v>-1.169854E-2</v>
      </c>
      <c r="O6878">
        <v>-0.99992590000000003</v>
      </c>
      <c r="P6878">
        <v>4.7556289999999999E-3</v>
      </c>
      <c r="Q6878">
        <v>-2.744282E-2</v>
      </c>
      <c r="R6878">
        <v>-0.99961250000000001</v>
      </c>
      <c r="S6878">
        <v>-3.1524660000000003E-2</v>
      </c>
      <c r="T6878">
        <v>-7.5746419999999995E-2</v>
      </c>
      <c r="U6878">
        <v>-2.9992070000000002</v>
      </c>
      <c r="V6878">
        <v>-8.1826769999999993E-3</v>
      </c>
      <c r="W6878">
        <v>-1.5746880000000001E-2</v>
      </c>
      <c r="X6878">
        <v>0.99984249999999997</v>
      </c>
      <c r="Y6878">
        <v>7.0798759999999997E-3</v>
      </c>
      <c r="Z6878">
        <v>1.354987E-2</v>
      </c>
      <c r="AA6878">
        <v>0.99988310000000002</v>
      </c>
      <c r="AB6878">
        <v>22</v>
      </c>
      <c r="AC6878">
        <v>-0.46580000000000099</v>
      </c>
      <c r="AD6878">
        <v>-1.121202572746</v>
      </c>
      <c r="AE6878">
        <v>-44.167850000000001</v>
      </c>
      <c r="AF6878">
        <v>0.31417975798571202</v>
      </c>
      <c r="AG6878">
        <v>-1.121202572746</v>
      </c>
      <c r="AH6878">
        <v>44.140746162529702</v>
      </c>
      <c r="AI6878">
        <v>91.454998939646202</v>
      </c>
      <c r="AJ6878">
        <v>89.5921937953689</v>
      </c>
      <c r="AK6878">
        <v>44.156101230909698</v>
      </c>
      <c r="AL6878">
        <v>90.902267080151503</v>
      </c>
      <c r="AM6878">
        <v>90.468896241744602</v>
      </c>
      <c r="AN6878">
        <v>0.99999997261943496</v>
      </c>
    </row>
    <row r="6879" spans="1:40" x14ac:dyDescent="0.25">
      <c r="A6879" t="str">
        <f>"20190303153945478"</f>
        <v>20190303153945478</v>
      </c>
      <c r="B6879" t="str">
        <f>"1551598785475335"</f>
        <v>1551598785475335</v>
      </c>
      <c r="C6879" t="s">
        <v>40</v>
      </c>
      <c r="D6879">
        <v>4.0224070000000003</v>
      </c>
      <c r="E6879">
        <v>0.50599059999999996</v>
      </c>
      <c r="F6879" t="s">
        <v>63</v>
      </c>
      <c r="G6879">
        <v>-422.36309999999997</v>
      </c>
      <c r="H6879" s="1">
        <v>-9.6978519999999995E-6</v>
      </c>
      <c r="I6879">
        <v>12.992010000000001</v>
      </c>
      <c r="J6879">
        <v>-421.89780000000002</v>
      </c>
      <c r="K6879">
        <v>1.121235</v>
      </c>
      <c r="L6879">
        <v>55.695770000000003</v>
      </c>
      <c r="M6879">
        <v>-3.4282330000000001E-3</v>
      </c>
      <c r="N6879">
        <v>-1.188198E-2</v>
      </c>
      <c r="O6879">
        <v>-0.99992369999999997</v>
      </c>
      <c r="P6879">
        <v>5.2507839999999997E-3</v>
      </c>
      <c r="Q6879">
        <v>-2.7413E-2</v>
      </c>
      <c r="R6879">
        <v>-0.99961069999999996</v>
      </c>
      <c r="S6879">
        <v>-3.2562260000000003E-2</v>
      </c>
      <c r="T6879">
        <v>-7.8356739999999994E-2</v>
      </c>
      <c r="U6879">
        <v>-2.9991759999999998</v>
      </c>
      <c r="V6879">
        <v>-8.6785349999999994E-3</v>
      </c>
      <c r="W6879">
        <v>-1.5533659999999999E-2</v>
      </c>
      <c r="X6879">
        <v>0.99984170000000006</v>
      </c>
      <c r="Y6879">
        <v>7.4253169999999999E-3</v>
      </c>
      <c r="Z6879">
        <v>1.423628E-2</v>
      </c>
      <c r="AA6879">
        <v>0.99987110000000001</v>
      </c>
      <c r="AB6879">
        <v>22</v>
      </c>
      <c r="AC6879">
        <v>-0.46529999999995603</v>
      </c>
      <c r="AD6879">
        <v>-1.1212446978520001</v>
      </c>
      <c r="AE6879">
        <v>-42.703760000000003</v>
      </c>
      <c r="AF6879">
        <v>0.31866885263724598</v>
      </c>
      <c r="AG6879">
        <v>-1.1212446978520001</v>
      </c>
      <c r="AH6879">
        <v>42.675687345987598</v>
      </c>
      <c r="AI6879">
        <v>91.504979229724796</v>
      </c>
      <c r="AJ6879">
        <v>89.572167617995902</v>
      </c>
      <c r="AK6879">
        <v>42.691603740812901</v>
      </c>
      <c r="AL6879">
        <v>90.890048938539806</v>
      </c>
      <c r="AM6879">
        <v>90.497309664965002</v>
      </c>
      <c r="AN6879">
        <v>1.00000001831081</v>
      </c>
    </row>
    <row r="6880" spans="1:40" x14ac:dyDescent="0.25">
      <c r="A6880" t="str">
        <f>"20190303153945494"</f>
        <v>20190303153945494</v>
      </c>
      <c r="B6880" t="str">
        <f>"1551598785485095"</f>
        <v>1551598785485095</v>
      </c>
      <c r="C6880" t="s">
        <v>40</v>
      </c>
      <c r="D6880">
        <v>4.0516730000000001</v>
      </c>
      <c r="E6880">
        <v>0.50599399999999894</v>
      </c>
      <c r="F6880" t="s">
        <v>63</v>
      </c>
      <c r="G6880">
        <v>-422.35469999999998</v>
      </c>
      <c r="H6880" s="1">
        <v>-9.6986819999999999E-6</v>
      </c>
      <c r="I6880">
        <v>12.96996</v>
      </c>
      <c r="J6880">
        <v>-421.89839999999998</v>
      </c>
      <c r="K6880">
        <v>1.1212610000000001</v>
      </c>
      <c r="L6880">
        <v>55.5342699999999</v>
      </c>
      <c r="M6880">
        <v>-3.428422E-3</v>
      </c>
      <c r="N6880">
        <v>-1.202012E-2</v>
      </c>
      <c r="O6880">
        <v>-0.99992199999999998</v>
      </c>
      <c r="P6880">
        <v>5.543915E-3</v>
      </c>
      <c r="Q6880">
        <v>-2.7635799999999999E-2</v>
      </c>
      <c r="R6880">
        <v>-0.99960309999999997</v>
      </c>
      <c r="S6880">
        <v>-3.207397E-2</v>
      </c>
      <c r="T6880">
        <v>-7.8706739999999997E-2</v>
      </c>
      <c r="U6880">
        <v>-2.9991759999999998</v>
      </c>
      <c r="V6880">
        <v>-8.9722090000000001E-3</v>
      </c>
      <c r="W6880">
        <v>-1.5618409999999999E-2</v>
      </c>
      <c r="X6880">
        <v>0.9998378</v>
      </c>
      <c r="Y6880">
        <v>7.2623649999999998E-3</v>
      </c>
      <c r="Z6880">
        <v>1.421478E-2</v>
      </c>
      <c r="AA6880">
        <v>0.9998726</v>
      </c>
      <c r="AB6880">
        <v>22</v>
      </c>
      <c r="AC6880">
        <v>-0.45629999999999798</v>
      </c>
      <c r="AD6880">
        <v>-1.121270698682</v>
      </c>
      <c r="AE6880">
        <v>-42.5643099999999</v>
      </c>
      <c r="AF6880">
        <v>0.31014317570550098</v>
      </c>
      <c r="AG6880">
        <v>-1.121270698682</v>
      </c>
      <c r="AH6880">
        <v>42.536109664712697</v>
      </c>
      <c r="AI6880">
        <v>91.509952332132499</v>
      </c>
      <c r="AJ6880">
        <v>89.582247171569904</v>
      </c>
      <c r="AK6880">
        <v>42.552015959030904</v>
      </c>
      <c r="AL6880">
        <v>90.894905333749193</v>
      </c>
      <c r="AM6880">
        <v>90.514139303899597</v>
      </c>
      <c r="AN6880">
        <v>1.00000003078705</v>
      </c>
    </row>
    <row r="6881" spans="1:40" x14ac:dyDescent="0.25">
      <c r="A6881" t="str">
        <f>"20190303153945508"</f>
        <v>20190303153945508</v>
      </c>
      <c r="B6881" t="str">
        <f>"1551598785505592"</f>
        <v>1551598785505592</v>
      </c>
      <c r="C6881" t="s">
        <v>40</v>
      </c>
      <c r="D6881">
        <v>4.0094629999999896</v>
      </c>
      <c r="E6881">
        <v>0.50599519999999998</v>
      </c>
      <c r="F6881" t="s">
        <v>63</v>
      </c>
      <c r="G6881">
        <v>-422.334</v>
      </c>
      <c r="H6881" s="1">
        <v>-9.7456160000000008E-6</v>
      </c>
      <c r="I6881">
        <v>13.364190000000001</v>
      </c>
      <c r="J6881">
        <v>-421.89890000000003</v>
      </c>
      <c r="K6881">
        <v>1.121278</v>
      </c>
      <c r="L6881">
        <v>55.394840000000002</v>
      </c>
      <c r="M6881">
        <v>-3.428539E-3</v>
      </c>
      <c r="N6881">
        <v>-1.213176E-2</v>
      </c>
      <c r="O6881">
        <v>-0.99992080000000005</v>
      </c>
      <c r="P6881">
        <v>5.5419930000000003E-3</v>
      </c>
      <c r="Q6881">
        <v>-2.7582949999999998E-2</v>
      </c>
      <c r="R6881">
        <v>-0.99960470000000001</v>
      </c>
      <c r="S6881">
        <v>-3.0975340000000001E-2</v>
      </c>
      <c r="T6881">
        <v>-7.9745049999999998E-2</v>
      </c>
      <c r="U6881">
        <v>-2.9991460000000001</v>
      </c>
      <c r="V6881">
        <v>-8.9698490000000002E-3</v>
      </c>
      <c r="W6881">
        <v>-1.5453919999999999E-2</v>
      </c>
      <c r="X6881">
        <v>0.99984030000000002</v>
      </c>
      <c r="Y6881">
        <v>6.8961400000000003E-3</v>
      </c>
      <c r="Z6881">
        <v>1.4449399999999999E-2</v>
      </c>
      <c r="AA6881">
        <v>0.99987190000000004</v>
      </c>
      <c r="AB6881">
        <v>22</v>
      </c>
      <c r="AC6881">
        <v>-0.43509999999997701</v>
      </c>
      <c r="AD6881">
        <v>-1.121287745616</v>
      </c>
      <c r="AE6881">
        <v>-42.030650000000001</v>
      </c>
      <c r="AF6881">
        <v>0.29077622722309798</v>
      </c>
      <c r="AG6881">
        <v>-1.121287745616</v>
      </c>
      <c r="AH6881">
        <v>42.002004831097302</v>
      </c>
      <c r="AI6881">
        <v>91.529171329073506</v>
      </c>
      <c r="AJ6881">
        <v>89.603352637089898</v>
      </c>
      <c r="AK6881">
        <v>42.017975282660998</v>
      </c>
      <c r="AL6881">
        <v>90.885479681925204</v>
      </c>
      <c r="AM6881">
        <v>90.514002789664303</v>
      </c>
      <c r="AN6881">
        <v>0.99999995366926797</v>
      </c>
    </row>
    <row r="6882" spans="1:40" x14ac:dyDescent="0.25">
      <c r="A6882" t="str">
        <f>"20190303153945524"</f>
        <v>20190303153945524</v>
      </c>
      <c r="B6882" t="str">
        <f>"1551598785515352"</f>
        <v>1551598785515352</v>
      </c>
      <c r="C6882" t="s">
        <v>40</v>
      </c>
      <c r="D6882">
        <v>4.0497059999999996</v>
      </c>
      <c r="E6882">
        <v>0.5060173</v>
      </c>
      <c r="F6882" t="s">
        <v>63</v>
      </c>
      <c r="G6882">
        <v>-422.33350000000002</v>
      </c>
      <c r="H6882" s="1">
        <v>-9.7446490000000006E-6</v>
      </c>
      <c r="I6882">
        <v>13.3529</v>
      </c>
      <c r="J6882">
        <v>-421.89940000000001</v>
      </c>
      <c r="K6882">
        <v>1.1212850000000001</v>
      </c>
      <c r="L6882">
        <v>55.2498199999999</v>
      </c>
      <c r="M6882">
        <v>-3.428539E-3</v>
      </c>
      <c r="N6882">
        <v>-1.223865E-2</v>
      </c>
      <c r="O6882">
        <v>-0.99991940000000001</v>
      </c>
      <c r="P6882">
        <v>5.1605030000000003E-3</v>
      </c>
      <c r="Q6882">
        <v>-2.8127240000000001E-2</v>
      </c>
      <c r="R6882">
        <v>-0.99959140000000002</v>
      </c>
      <c r="S6882">
        <v>-3.100586E-2</v>
      </c>
      <c r="T6882">
        <v>-7.9989309999999994E-2</v>
      </c>
      <c r="U6882">
        <v>-2.9991460000000001</v>
      </c>
      <c r="V6882">
        <v>-8.5888579999999996E-3</v>
      </c>
      <c r="W6882">
        <v>-1.5891450000000001E-2</v>
      </c>
      <c r="X6882">
        <v>0.99983690000000003</v>
      </c>
      <c r="Y6882">
        <v>6.9062860000000002E-3</v>
      </c>
      <c r="Z6882">
        <v>1.442388E-2</v>
      </c>
      <c r="AA6882">
        <v>0.99987210000000004</v>
      </c>
      <c r="AB6882">
        <v>22</v>
      </c>
      <c r="AC6882">
        <v>-0.43409999999999999</v>
      </c>
      <c r="AD6882">
        <v>-1.121294744649</v>
      </c>
      <c r="AE6882">
        <v>-41.896920000000001</v>
      </c>
      <c r="AF6882">
        <v>0.29023362707609501</v>
      </c>
      <c r="AG6882">
        <v>-1.121294744649</v>
      </c>
      <c r="AH6882">
        <v>41.868176551604599</v>
      </c>
      <c r="AI6882">
        <v>91.534066344633601</v>
      </c>
      <c r="AJ6882">
        <v>89.602827328129706</v>
      </c>
      <c r="AK6882">
        <v>41.884194455892199</v>
      </c>
      <c r="AL6882">
        <v>90.910551282237904</v>
      </c>
      <c r="AM6882">
        <v>90.492173483699403</v>
      </c>
      <c r="AN6882">
        <v>1.0000000666332201</v>
      </c>
    </row>
    <row r="6883" spans="1:40" x14ac:dyDescent="0.25">
      <c r="A6883" t="str">
        <f>"20190303153945545"</f>
        <v>20190303153945545</v>
      </c>
      <c r="B6883" t="str">
        <f>"1551598785535849"</f>
        <v>1551598785535849</v>
      </c>
      <c r="C6883" t="s">
        <v>40</v>
      </c>
      <c r="D6883">
        <v>4.0495099999999997</v>
      </c>
      <c r="E6883">
        <v>0.50607449999999998</v>
      </c>
      <c r="F6883" t="s">
        <v>63</v>
      </c>
      <c r="G6883">
        <v>-422.34469999999999</v>
      </c>
      <c r="H6883" s="1">
        <v>-9.8168439999999993E-6</v>
      </c>
      <c r="I6883">
        <v>14.11636</v>
      </c>
      <c r="J6883">
        <v>-421.90010000000001</v>
      </c>
      <c r="K6883">
        <v>1.121302</v>
      </c>
      <c r="L6883">
        <v>55.037320000000001</v>
      </c>
      <c r="M6883">
        <v>-3.4284419999999999E-3</v>
      </c>
      <c r="N6883">
        <v>-1.239088E-2</v>
      </c>
      <c r="O6883">
        <v>-0.99991750000000001</v>
      </c>
      <c r="P6883">
        <v>4.6893880000000001E-3</v>
      </c>
      <c r="Q6883">
        <v>-2.807801E-2</v>
      </c>
      <c r="R6883">
        <v>-0.99959500000000001</v>
      </c>
      <c r="S6883">
        <v>-3.2470699999999998E-2</v>
      </c>
      <c r="T6883">
        <v>-8.1754800000000002E-2</v>
      </c>
      <c r="U6883">
        <v>-2.9990839999999999</v>
      </c>
      <c r="V6883">
        <v>-8.1173670000000003E-3</v>
      </c>
      <c r="W6883">
        <v>-1.5689970000000001E-2</v>
      </c>
      <c r="X6883">
        <v>0.99984399999999996</v>
      </c>
      <c r="Y6883">
        <v>7.3946580000000001E-3</v>
      </c>
      <c r="Z6883">
        <v>1.486025E-2</v>
      </c>
      <c r="AA6883">
        <v>0.99986229999999998</v>
      </c>
      <c r="AB6883">
        <v>22</v>
      </c>
      <c r="AC6883">
        <v>-0.44459999999997901</v>
      </c>
      <c r="AD6883">
        <v>-1.1213118168439999</v>
      </c>
      <c r="AE6883">
        <v>-40.920960000000001</v>
      </c>
      <c r="AF6883">
        <v>0.30406321499289801</v>
      </c>
      <c r="AG6883">
        <v>-1.1213118168439999</v>
      </c>
      <c r="AH6883">
        <v>40.8915435116959</v>
      </c>
      <c r="AI6883">
        <v>91.570705294424002</v>
      </c>
      <c r="AJ6883">
        <v>89.573965266424693</v>
      </c>
      <c r="AK6883">
        <v>40.908044751591603</v>
      </c>
      <c r="AL6883">
        <v>90.8990059087768</v>
      </c>
      <c r="AM6883">
        <v>90.465153215775402</v>
      </c>
      <c r="AN6883">
        <v>1.0000000455708</v>
      </c>
    </row>
    <row r="6884" spans="1:40" x14ac:dyDescent="0.25">
      <c r="A6884" t="str">
        <f>"20190303153945568"</f>
        <v>20190303153945568</v>
      </c>
      <c r="B6884" t="str">
        <f>"1551598785565128"</f>
        <v>1551598785565128</v>
      </c>
      <c r="C6884" t="s">
        <v>40</v>
      </c>
      <c r="D6884">
        <v>4.0522749999999998</v>
      </c>
      <c r="E6884">
        <v>0.50613059999999999</v>
      </c>
      <c r="F6884" t="s">
        <v>63</v>
      </c>
      <c r="G6884">
        <v>-422.36989999999997</v>
      </c>
      <c r="H6884" s="1">
        <v>-9.8032370000000008E-6</v>
      </c>
      <c r="I6884">
        <v>14.0718</v>
      </c>
      <c r="J6884">
        <v>-421.90089999999998</v>
      </c>
      <c r="K6884">
        <v>1.121318</v>
      </c>
      <c r="L6884">
        <v>54.817570000000003</v>
      </c>
      <c r="M6884">
        <v>-3.4282710000000001E-3</v>
      </c>
      <c r="N6884">
        <v>-1.2541979999999999E-2</v>
      </c>
      <c r="O6884">
        <v>-0.99991560000000002</v>
      </c>
      <c r="P6884">
        <v>4.4277320000000002E-3</v>
      </c>
      <c r="Q6884">
        <v>-2.7445689999999998E-2</v>
      </c>
      <c r="R6884">
        <v>-0.9996138</v>
      </c>
      <c r="S6884">
        <v>-3.4393310000000003E-2</v>
      </c>
      <c r="T6884">
        <v>-8.2091209999999998E-2</v>
      </c>
      <c r="U6884">
        <v>-2.9990839999999999</v>
      </c>
      <c r="V6884">
        <v>-7.8552409999999902E-3</v>
      </c>
      <c r="W6884">
        <v>-1.490638E-2</v>
      </c>
      <c r="X6884">
        <v>0.99985800000000002</v>
      </c>
      <c r="Y6884">
        <v>8.0355280000000001E-3</v>
      </c>
      <c r="Z6884">
        <v>1.482107E-2</v>
      </c>
      <c r="AA6884">
        <v>0.99985789999999997</v>
      </c>
      <c r="AB6884">
        <v>22</v>
      </c>
      <c r="AC6884">
        <v>-0.46899999999999398</v>
      </c>
      <c r="AD6884">
        <v>-1.121327803237</v>
      </c>
      <c r="AE6884">
        <v>-40.745769999999901</v>
      </c>
      <c r="AF6884">
        <v>0.32904955758711102</v>
      </c>
      <c r="AG6884">
        <v>-1.121327803237</v>
      </c>
      <c r="AH6884">
        <v>40.7163058464457</v>
      </c>
      <c r="AI6884">
        <v>91.577476576946907</v>
      </c>
      <c r="AJ6884">
        <v>89.536973208016093</v>
      </c>
      <c r="AK6884">
        <v>40.733072698176997</v>
      </c>
      <c r="AL6884">
        <v>90.854104326133793</v>
      </c>
      <c r="AM6884">
        <v>90.4501268148733</v>
      </c>
      <c r="AN6884">
        <v>0.99999996256993495</v>
      </c>
    </row>
    <row r="6885" spans="1:40" x14ac:dyDescent="0.25">
      <c r="A6885" t="str">
        <f>"20190303153945582"</f>
        <v>20190303153945582</v>
      </c>
      <c r="B6885" t="str">
        <f>"1551598785575864"</f>
        <v>1551598785575864</v>
      </c>
      <c r="C6885" t="s">
        <v>40</v>
      </c>
      <c r="D6885">
        <v>4.0544699999999896</v>
      </c>
      <c r="E6885">
        <v>0.50612900000000005</v>
      </c>
      <c r="F6885" t="s">
        <v>63</v>
      </c>
      <c r="G6885">
        <v>-422.39210000000003</v>
      </c>
      <c r="H6885" s="1">
        <v>-9.7370160000000006E-6</v>
      </c>
      <c r="I6885">
        <v>13.489660000000001</v>
      </c>
      <c r="J6885">
        <v>-421.90140000000002</v>
      </c>
      <c r="K6885">
        <v>1.121321</v>
      </c>
      <c r="L6885">
        <v>54.672060000000002</v>
      </c>
      <c r="M6885">
        <v>-3.4281619999999998E-3</v>
      </c>
      <c r="N6885">
        <v>-1.2634289999999999E-2</v>
      </c>
      <c r="O6885">
        <v>-0.99991439999999998</v>
      </c>
      <c r="P6885">
        <v>4.3511000000000001E-3</v>
      </c>
      <c r="Q6885">
        <v>-2.7233150000000001E-2</v>
      </c>
      <c r="R6885">
        <v>-0.99961979999999995</v>
      </c>
      <c r="S6885">
        <v>-3.5644530000000001E-2</v>
      </c>
      <c r="T6885">
        <v>-8.13725E-2</v>
      </c>
      <c r="U6885">
        <v>-2.9990839999999999</v>
      </c>
      <c r="V6885">
        <v>-7.7789919999999898E-3</v>
      </c>
      <c r="W6885">
        <v>-1.460147E-2</v>
      </c>
      <c r="X6885">
        <v>0.9998631</v>
      </c>
      <c r="Y6885">
        <v>8.4526640000000004E-3</v>
      </c>
      <c r="Z6885">
        <v>1.448924E-2</v>
      </c>
      <c r="AA6885">
        <v>0.99985930000000001</v>
      </c>
      <c r="AB6885">
        <v>22</v>
      </c>
      <c r="AC6885">
        <v>-0.49070000000000302</v>
      </c>
      <c r="AD6885">
        <v>-1.1213307370159999</v>
      </c>
      <c r="AE6885">
        <v>-41.182400000000001</v>
      </c>
      <c r="AF6885">
        <v>0.349247031154581</v>
      </c>
      <c r="AG6885">
        <v>-1.1213307370159999</v>
      </c>
      <c r="AH6885">
        <v>41.153334141666498</v>
      </c>
      <c r="AI6885">
        <v>91.5607317252163</v>
      </c>
      <c r="AJ6885">
        <v>89.513772068638502</v>
      </c>
      <c r="AK6885">
        <v>41.170089471437898</v>
      </c>
      <c r="AL6885">
        <v>90.8366323636766</v>
      </c>
      <c r="AM6885">
        <v>90.445755442009201</v>
      </c>
      <c r="AN6885">
        <v>0.99999996719215301</v>
      </c>
    </row>
    <row r="6886" spans="1:40" x14ac:dyDescent="0.25">
      <c r="A6886" t="str">
        <f>"20190303153945596"</f>
        <v>20190303153945596</v>
      </c>
      <c r="B6886" t="str">
        <f>"1551598785585623"</f>
        <v>1551598785585623</v>
      </c>
      <c r="C6886" t="s">
        <v>40</v>
      </c>
      <c r="D6886">
        <v>4.0692519999999996</v>
      </c>
      <c r="E6886">
        <v>0.50616709999999998</v>
      </c>
      <c r="F6886" t="s">
        <v>63</v>
      </c>
      <c r="G6886">
        <v>-422.39929999999998</v>
      </c>
      <c r="H6886" s="1">
        <v>-9.7126209999999999E-6</v>
      </c>
      <c r="I6886">
        <v>13.27183</v>
      </c>
      <c r="J6886">
        <v>-421.90179999999998</v>
      </c>
      <c r="K6886">
        <v>1.121326</v>
      </c>
      <c r="L6886">
        <v>54.543880000000001</v>
      </c>
      <c r="M6886">
        <v>-3.42808E-3</v>
      </c>
      <c r="N6886">
        <v>-1.271048E-2</v>
      </c>
      <c r="O6886">
        <v>-0.99991350000000001</v>
      </c>
      <c r="P6886">
        <v>4.4226869999999998E-3</v>
      </c>
      <c r="Q6886">
        <v>-2.7019439999999999E-2</v>
      </c>
      <c r="R6886">
        <v>-0.99962530000000005</v>
      </c>
      <c r="S6886">
        <v>-3.6071779999999998E-2</v>
      </c>
      <c r="T6886">
        <v>-8.1230640000000007E-2</v>
      </c>
      <c r="U6886">
        <v>-2.9990839999999999</v>
      </c>
      <c r="V6886">
        <v>-7.8500649999999998E-3</v>
      </c>
      <c r="W6886">
        <v>-1.4311519999999999E-2</v>
      </c>
      <c r="X6886">
        <v>0.99986679999999994</v>
      </c>
      <c r="Y6886">
        <v>8.5951309999999902E-3</v>
      </c>
      <c r="Z6886">
        <v>1.436575E-2</v>
      </c>
      <c r="AA6886">
        <v>0.99985990000000002</v>
      </c>
      <c r="AB6886">
        <v>22</v>
      </c>
      <c r="AC6886">
        <v>-0.497500000000002</v>
      </c>
      <c r="AD6886">
        <v>-1.121335712621</v>
      </c>
      <c r="AE6886">
        <v>-41.27205</v>
      </c>
      <c r="AF6886">
        <v>0.35573921966307998</v>
      </c>
      <c r="AG6886">
        <v>-1.121335712621</v>
      </c>
      <c r="AH6886">
        <v>41.243072883658002</v>
      </c>
      <c r="AI6886">
        <v>91.557342537671403</v>
      </c>
      <c r="AJ6886">
        <v>89.505811545493799</v>
      </c>
      <c r="AK6886">
        <v>41.2598473707735</v>
      </c>
      <c r="AL6886">
        <v>90.820017663700298</v>
      </c>
      <c r="AM6886">
        <v>90.449826269223905</v>
      </c>
      <c r="AN6886">
        <v>1.00000003043372</v>
      </c>
    </row>
    <row r="6887" spans="1:40" x14ac:dyDescent="0.25">
      <c r="A6887" t="str">
        <f>"20190303153945611"</f>
        <v>20190303153945611</v>
      </c>
      <c r="B6887" t="str">
        <f>"1551598785605143"</f>
        <v>1551598785605143</v>
      </c>
      <c r="C6887" t="s">
        <v>40</v>
      </c>
      <c r="D6887">
        <v>4.0813169999999896</v>
      </c>
      <c r="E6887">
        <v>0.50623609999999997</v>
      </c>
      <c r="F6887" t="s">
        <v>63</v>
      </c>
      <c r="G6887">
        <v>-422.39569999999998</v>
      </c>
      <c r="H6887" s="1">
        <v>-9.7031970000000007E-6</v>
      </c>
      <c r="I6887">
        <v>13.16433</v>
      </c>
      <c r="J6887">
        <v>-421.90230000000003</v>
      </c>
      <c r="K6887">
        <v>1.1213299999999999</v>
      </c>
      <c r="L6887">
        <v>54.395539999999997</v>
      </c>
      <c r="M6887">
        <v>-3.4280030000000002E-3</v>
      </c>
      <c r="N6887">
        <v>-1.279253E-2</v>
      </c>
      <c r="O6887">
        <v>-0.99991249999999998</v>
      </c>
      <c r="P6887">
        <v>4.3556230000000003E-3</v>
      </c>
      <c r="Q6887">
        <v>-2.7276890000000002E-2</v>
      </c>
      <c r="R6887">
        <v>-0.99961849999999997</v>
      </c>
      <c r="S6887">
        <v>-3.5797120000000002E-2</v>
      </c>
      <c r="T6887">
        <v>-8.1271529999999995E-2</v>
      </c>
      <c r="U6887">
        <v>-2.9990839999999999</v>
      </c>
      <c r="V6887">
        <v>-7.7828200000000002E-3</v>
      </c>
      <c r="W6887">
        <v>-1.448699E-2</v>
      </c>
      <c r="X6887">
        <v>0.9998648</v>
      </c>
      <c r="Y6887">
        <v>8.5036690000000002E-3</v>
      </c>
      <c r="Z6887">
        <v>1.429736E-2</v>
      </c>
      <c r="AA6887">
        <v>0.99986160000000002</v>
      </c>
      <c r="AB6887">
        <v>22</v>
      </c>
      <c r="AC6887">
        <v>-0.49339999999995099</v>
      </c>
      <c r="AD6887">
        <v>-1.121339703197</v>
      </c>
      <c r="AE6887">
        <v>-41.231209999999997</v>
      </c>
      <c r="AF6887">
        <v>0.35178469331700002</v>
      </c>
      <c r="AG6887">
        <v>-1.121339703197</v>
      </c>
      <c r="AH6887">
        <v>41.202188663151603</v>
      </c>
      <c r="AI6887">
        <v>91.558893813468501</v>
      </c>
      <c r="AJ6887">
        <v>89.510819955677604</v>
      </c>
      <c r="AK6887">
        <v>41.218945957342903</v>
      </c>
      <c r="AL6887">
        <v>90.830072395189106</v>
      </c>
      <c r="AM6887">
        <v>90.445974028770905</v>
      </c>
      <c r="AN6887">
        <v>1.00000003172272</v>
      </c>
    </row>
    <row r="6888" spans="1:40" x14ac:dyDescent="0.25">
      <c r="A6888" t="str">
        <f>"20190303153945623"</f>
        <v>20190303153945623</v>
      </c>
      <c r="B6888" t="str">
        <f>"1551598785615880"</f>
        <v>1551598785615880</v>
      </c>
      <c r="C6888" t="s">
        <v>40</v>
      </c>
      <c r="D6888">
        <v>4.0730559999999896</v>
      </c>
      <c r="E6888">
        <v>0.50629159999999995</v>
      </c>
      <c r="F6888" t="s">
        <v>63</v>
      </c>
      <c r="G6888">
        <v>-422.3954</v>
      </c>
      <c r="H6888" s="1">
        <v>-9.7819700000000001E-6</v>
      </c>
      <c r="I6888">
        <v>13.951589999999999</v>
      </c>
      <c r="J6888">
        <v>-421.90280000000001</v>
      </c>
      <c r="K6888">
        <v>1.1213299999999999</v>
      </c>
      <c r="L6888">
        <v>54.268889999999999</v>
      </c>
      <c r="M6888">
        <v>-3.4279509999999998E-3</v>
      </c>
      <c r="N6888">
        <v>-1.285552E-2</v>
      </c>
      <c r="O6888">
        <v>-0.99991149999999995</v>
      </c>
      <c r="P6888">
        <v>4.2313749999999999E-3</v>
      </c>
      <c r="Q6888">
        <v>-2.8339130000000001E-2</v>
      </c>
      <c r="R6888">
        <v>-0.99958939999999996</v>
      </c>
      <c r="S6888">
        <v>-3.6560059999999998E-2</v>
      </c>
      <c r="T6888">
        <v>-8.3151100000000006E-2</v>
      </c>
      <c r="U6888">
        <v>-2.9990540000000001</v>
      </c>
      <c r="V6888">
        <v>-7.6587440000000003E-3</v>
      </c>
      <c r="W6888">
        <v>-1.548653E-2</v>
      </c>
      <c r="X6888">
        <v>0.99985069999999998</v>
      </c>
      <c r="Y6888">
        <v>8.7579430000000007E-3</v>
      </c>
      <c r="Z6888">
        <v>1.4860719999999999E-2</v>
      </c>
      <c r="AA6888">
        <v>0.99985119999999905</v>
      </c>
      <c r="AB6888">
        <v>22</v>
      </c>
      <c r="AC6888">
        <v>-0.492599999999981</v>
      </c>
      <c r="AD6888">
        <v>-1.1213397819699999</v>
      </c>
      <c r="AE6888">
        <v>-40.317300000000003</v>
      </c>
      <c r="AF6888">
        <v>0.35410607648150499</v>
      </c>
      <c r="AG6888">
        <v>-1.1213397819699999</v>
      </c>
      <c r="AH6888">
        <v>40.287591783270202</v>
      </c>
      <c r="AI6888">
        <v>91.594261934998798</v>
      </c>
      <c r="AJ6888">
        <v>89.496414147843694</v>
      </c>
      <c r="AK6888">
        <v>40.304749666949299</v>
      </c>
      <c r="AL6888">
        <v>90.887348319263197</v>
      </c>
      <c r="AM6888">
        <v>90.438870648960403</v>
      </c>
      <c r="AN6888">
        <v>0.99999995563079302</v>
      </c>
    </row>
    <row r="6889" spans="1:40" x14ac:dyDescent="0.25">
      <c r="A6889" t="str">
        <f>"20190303153945639"</f>
        <v>20190303153945639</v>
      </c>
      <c r="B6889" t="str">
        <f>"1551598785635400"</f>
        <v>1551598785635400</v>
      </c>
      <c r="C6889" t="s">
        <v>40</v>
      </c>
      <c r="D6889">
        <v>4.0875599999999999</v>
      </c>
      <c r="E6889">
        <v>0.50631949999999903</v>
      </c>
      <c r="F6889" t="s">
        <v>63</v>
      </c>
      <c r="G6889">
        <v>-422.38580000000002</v>
      </c>
      <c r="H6889" s="1">
        <v>-9.9392130000000002E-6</v>
      </c>
      <c r="I6889">
        <v>15.49085</v>
      </c>
      <c r="J6889">
        <v>-421.9033</v>
      </c>
      <c r="K6889">
        <v>1.1213299999999999</v>
      </c>
      <c r="L6889">
        <v>54.126069999999999</v>
      </c>
      <c r="M6889">
        <v>-3.4279029999999999E-3</v>
      </c>
      <c r="N6889">
        <v>-1.2921530000000001E-2</v>
      </c>
      <c r="O6889">
        <v>-0.99991079999999999</v>
      </c>
      <c r="P6889">
        <v>4.3865639999999999E-3</v>
      </c>
      <c r="Q6889">
        <v>-2.8537570000000002E-2</v>
      </c>
      <c r="R6889">
        <v>-0.99958349999999996</v>
      </c>
      <c r="S6889">
        <v>-3.7353520000000001E-2</v>
      </c>
      <c r="T6889">
        <v>-8.6719749999999998E-2</v>
      </c>
      <c r="U6889">
        <v>-2.9989319999999999</v>
      </c>
      <c r="V6889">
        <v>-7.8136779999999992E-3</v>
      </c>
      <c r="W6889">
        <v>-1.5619020000000001E-2</v>
      </c>
      <c r="X6889">
        <v>0.9998475</v>
      </c>
      <c r="Y6889">
        <v>9.022614E-3</v>
      </c>
      <c r="Z6889">
        <v>1.598457E-2</v>
      </c>
      <c r="AA6889">
        <v>0.99983160000000004</v>
      </c>
      <c r="AB6889">
        <v>22</v>
      </c>
      <c r="AC6889">
        <v>-0.48250000000001497</v>
      </c>
      <c r="AD6889">
        <v>-1.1213399392129999</v>
      </c>
      <c r="AE6889">
        <v>-38.635219999999997</v>
      </c>
      <c r="AF6889">
        <v>0.34975376250183599</v>
      </c>
      <c r="AG6889">
        <v>-1.1213399392129999</v>
      </c>
      <c r="AH6889">
        <v>38.604132810594997</v>
      </c>
      <c r="AI6889">
        <v>91.663742880031606</v>
      </c>
      <c r="AJ6889">
        <v>89.480913966334398</v>
      </c>
      <c r="AK6889">
        <v>38.6219989256346</v>
      </c>
      <c r="AL6889">
        <v>90.894940302295794</v>
      </c>
      <c r="AM6889">
        <v>90.447749940255505</v>
      </c>
      <c r="AN6889">
        <v>1.00000001530294</v>
      </c>
    </row>
    <row r="6890" spans="1:40" x14ac:dyDescent="0.25">
      <c r="A6890" t="str">
        <f>"20190303153945653"</f>
        <v>20190303153945653</v>
      </c>
      <c r="B6890" t="str">
        <f>"1551598785645159"</f>
        <v>1551598785645159</v>
      </c>
      <c r="C6890" t="s">
        <v>40</v>
      </c>
      <c r="D6890">
        <v>4.1208289999999996</v>
      </c>
      <c r="E6890">
        <v>0.50631949999999903</v>
      </c>
      <c r="F6890" t="s">
        <v>63</v>
      </c>
      <c r="G6890">
        <v>-422.37209999999999</v>
      </c>
      <c r="H6890" s="1">
        <v>-1.000018E-5</v>
      </c>
      <c r="I6890">
        <v>16.051279999999998</v>
      </c>
      <c r="J6890">
        <v>-421.90370000000001</v>
      </c>
      <c r="K6890">
        <v>1.121329</v>
      </c>
      <c r="L6890">
        <v>53.979579999999999</v>
      </c>
      <c r="M6890">
        <v>-3.4278609999999999E-3</v>
      </c>
      <c r="N6890">
        <v>-1.29844E-2</v>
      </c>
      <c r="O6890">
        <v>-0.99991010000000002</v>
      </c>
      <c r="P6890">
        <v>4.3515380000000003E-3</v>
      </c>
      <c r="Q6890">
        <v>-2.8697739999999999E-2</v>
      </c>
      <c r="R6890">
        <v>-0.999579</v>
      </c>
      <c r="S6890">
        <v>-3.6926269999999997E-2</v>
      </c>
      <c r="T6890">
        <v>-8.8320609999999994E-2</v>
      </c>
      <c r="U6890">
        <v>-2.998901</v>
      </c>
      <c r="V6890">
        <v>-7.7788609999999998E-3</v>
      </c>
      <c r="W6890">
        <v>-1.571637E-2</v>
      </c>
      <c r="X6890">
        <v>0.99984620000000002</v>
      </c>
      <c r="Y6890">
        <v>8.8802569999999904E-3</v>
      </c>
      <c r="Z6890">
        <v>1.6455290000000001E-2</v>
      </c>
      <c r="AA6890">
        <v>0.99982519999999997</v>
      </c>
      <c r="AB6890">
        <v>22</v>
      </c>
      <c r="AC6890">
        <v>-0.468399999999974</v>
      </c>
      <c r="AD6890">
        <v>-1.1213390001799901</v>
      </c>
      <c r="AE6890">
        <v>-37.9283</v>
      </c>
      <c r="AF6890">
        <v>0.33807792277444598</v>
      </c>
      <c r="AG6890">
        <v>-1.1213390001799901</v>
      </c>
      <c r="AH6890">
        <v>37.896563608037503</v>
      </c>
      <c r="AI6890">
        <v>91.694789478056606</v>
      </c>
      <c r="AJ6890">
        <v>89.4888738599699</v>
      </c>
      <c r="AK6890">
        <v>37.914657207117401</v>
      </c>
      <c r="AL6890">
        <v>90.9005187724987</v>
      </c>
      <c r="AM6890">
        <v>90.445755469683604</v>
      </c>
      <c r="AN6890">
        <v>0.99999996930943602</v>
      </c>
    </row>
    <row r="6891" spans="1:40" x14ac:dyDescent="0.25">
      <c r="A6891" t="str">
        <f>"20190303153945668"</f>
        <v>20190303153945668</v>
      </c>
      <c r="B6891" t="str">
        <f>"1551598785655895"</f>
        <v>1551598785655895</v>
      </c>
      <c r="C6891" t="s">
        <v>40</v>
      </c>
      <c r="D6891">
        <v>4.1448549999999997</v>
      </c>
      <c r="E6891">
        <v>0.50568009999999997</v>
      </c>
      <c r="F6891" t="s">
        <v>63</v>
      </c>
      <c r="G6891">
        <v>-422.37279999999998</v>
      </c>
      <c r="H6891" s="1">
        <v>-1.000548E-5</v>
      </c>
      <c r="I6891">
        <v>16.10688</v>
      </c>
      <c r="J6891">
        <v>-421.90429999999998</v>
      </c>
      <c r="K6891">
        <v>1.121332</v>
      </c>
      <c r="L6891">
        <v>53.836939999999998</v>
      </c>
      <c r="M6891">
        <v>-3.4278249999999998E-3</v>
      </c>
      <c r="N6891">
        <v>-1.304111E-2</v>
      </c>
      <c r="O6891">
        <v>-0.99990939999999995</v>
      </c>
      <c r="P6891">
        <v>5.0606690000000003E-3</v>
      </c>
      <c r="Q6891">
        <v>-2.9054010000000002E-2</v>
      </c>
      <c r="R6891">
        <v>-0.9995655</v>
      </c>
      <c r="S6891">
        <v>-3.7139890000000002E-2</v>
      </c>
      <c r="T6891">
        <v>-8.8790889999999997E-2</v>
      </c>
      <c r="U6891">
        <v>-2.9988709999999998</v>
      </c>
      <c r="V6891">
        <v>-8.4877679999999997E-3</v>
      </c>
      <c r="W6891">
        <v>-1.601609E-2</v>
      </c>
      <c r="X6891">
        <v>0.99983569999999999</v>
      </c>
      <c r="Y6891">
        <v>8.9515640000000004E-3</v>
      </c>
      <c r="Z6891">
        <v>1.6555520000000001E-2</v>
      </c>
      <c r="AA6891">
        <v>0.99982289999999996</v>
      </c>
      <c r="AB6891">
        <v>22</v>
      </c>
      <c r="AC6891">
        <v>-0.46850000000000502</v>
      </c>
      <c r="AD6891">
        <v>-1.1213420054799901</v>
      </c>
      <c r="AE6891">
        <v>-37.730060000000002</v>
      </c>
      <c r="AF6891">
        <v>0.33885498603609399</v>
      </c>
      <c r="AG6891">
        <v>-1.1213420054799901</v>
      </c>
      <c r="AH6891">
        <v>37.698151266136101</v>
      </c>
      <c r="AI6891">
        <v>91.703707758517794</v>
      </c>
      <c r="AJ6891">
        <v>89.485002922980001</v>
      </c>
      <c r="AK6891">
        <v>37.716347112085202</v>
      </c>
      <c r="AL6891">
        <v>90.917693605056897</v>
      </c>
      <c r="AM6891">
        <v>90.486381514675102</v>
      </c>
      <c r="AN6891">
        <v>0.99999999216949997</v>
      </c>
    </row>
    <row r="6892" spans="1:40" x14ac:dyDescent="0.25">
      <c r="A6892" t="str">
        <f>"20190303153945687"</f>
        <v>20190303153945687</v>
      </c>
      <c r="B6892" t="str">
        <f>"1551598785675416"</f>
        <v>1551598785675416</v>
      </c>
      <c r="C6892" t="s">
        <v>40</v>
      </c>
      <c r="D6892">
        <v>4.123443</v>
      </c>
      <c r="E6892">
        <v>0.50481339999999997</v>
      </c>
      <c r="F6892" t="s">
        <v>63</v>
      </c>
      <c r="G6892">
        <v>-422.27769999999998</v>
      </c>
      <c r="H6892" s="1">
        <v>-1.01064E-5</v>
      </c>
      <c r="I6892">
        <v>16.771079999999898</v>
      </c>
      <c r="J6892">
        <v>-421.90480000000002</v>
      </c>
      <c r="K6892">
        <v>1.121335</v>
      </c>
      <c r="L6892">
        <v>53.6616199999999</v>
      </c>
      <c r="M6892">
        <v>-3.4277779999999998E-3</v>
      </c>
      <c r="N6892">
        <v>-1.3103200000000001E-2</v>
      </c>
      <c r="O6892">
        <v>-0.99990840000000003</v>
      </c>
      <c r="P6892">
        <v>5.3899680000000002E-3</v>
      </c>
      <c r="Q6892">
        <v>-2.9230260000000001E-2</v>
      </c>
      <c r="R6892">
        <v>-0.99955830000000001</v>
      </c>
      <c r="S6892">
        <v>-3.02124E-2</v>
      </c>
      <c r="T6892">
        <v>-9.0722079999999997E-2</v>
      </c>
      <c r="U6892">
        <v>-2.9988100000000002</v>
      </c>
      <c r="V6892">
        <v>-8.8171910000000003E-3</v>
      </c>
      <c r="W6892">
        <v>-1.6130329999999998E-2</v>
      </c>
      <c r="X6892">
        <v>0.99983100000000003</v>
      </c>
      <c r="Y6892">
        <v>6.6429640000000003E-3</v>
      </c>
      <c r="Z6892">
        <v>1.7137920000000001E-2</v>
      </c>
      <c r="AA6892">
        <v>0.99983109999999997</v>
      </c>
      <c r="AB6892">
        <v>22</v>
      </c>
      <c r="AC6892">
        <v>-0.37289999999995799</v>
      </c>
      <c r="AD6892">
        <v>-1.1213451064</v>
      </c>
      <c r="AE6892">
        <v>-36.890540000000001</v>
      </c>
      <c r="AF6892">
        <v>0.246206926745244</v>
      </c>
      <c r="AG6892">
        <v>-1.1213451064</v>
      </c>
      <c r="AH6892">
        <v>36.857550502951099</v>
      </c>
      <c r="AI6892">
        <v>91.742576410339794</v>
      </c>
      <c r="AJ6892">
        <v>89.617272233738404</v>
      </c>
      <c r="AK6892">
        <v>36.875426258906003</v>
      </c>
      <c r="AL6892">
        <v>90.9242399323592</v>
      </c>
      <c r="AM6892">
        <v>90.505260125025004</v>
      </c>
      <c r="AN6892">
        <v>0.99999997948201902</v>
      </c>
    </row>
    <row r="6893" spans="1:40" x14ac:dyDescent="0.25">
      <c r="A6893" t="str">
        <f>"20190303153945702"</f>
        <v>20190303153945702</v>
      </c>
      <c r="B6893" t="str">
        <f>"1551598785694936"</f>
        <v>1551598785694936</v>
      </c>
      <c r="C6893" t="s">
        <v>40</v>
      </c>
      <c r="D6893">
        <v>4.1229649999999998</v>
      </c>
      <c r="E6893">
        <v>0.50406039999999996</v>
      </c>
      <c r="F6893" t="s">
        <v>63</v>
      </c>
      <c r="G6893">
        <v>-422.18029999999999</v>
      </c>
      <c r="H6893" s="1">
        <v>-1.0107980000000001E-5</v>
      </c>
      <c r="I6893">
        <v>16.432379999999998</v>
      </c>
      <c r="J6893">
        <v>-421.90539999999999</v>
      </c>
      <c r="K6893">
        <v>1.121335</v>
      </c>
      <c r="L6893">
        <v>53.514589999999998</v>
      </c>
      <c r="M6893">
        <v>-3.4277320000000002E-3</v>
      </c>
      <c r="N6893">
        <v>-1.3149950000000001E-2</v>
      </c>
      <c r="O6893">
        <v>-0.99990769999999995</v>
      </c>
      <c r="P6893">
        <v>6.0656470000000004E-3</v>
      </c>
      <c r="Q6893">
        <v>-2.9244619999999999E-2</v>
      </c>
      <c r="R6893">
        <v>-0.99955419999999995</v>
      </c>
      <c r="S6893">
        <v>-2.2186279999999999E-2</v>
      </c>
      <c r="T6893">
        <v>-9.0324160000000001E-2</v>
      </c>
      <c r="U6893">
        <v>-2.9988100000000002</v>
      </c>
      <c r="V6893">
        <v>-9.4927569999999992E-3</v>
      </c>
      <c r="W6893">
        <v>-1.6098009999999999E-2</v>
      </c>
      <c r="X6893">
        <v>0.99982539999999998</v>
      </c>
      <c r="Y6893">
        <v>3.9679889999999999E-3</v>
      </c>
      <c r="Z6893">
        <v>1.6959129999999999E-2</v>
      </c>
      <c r="AA6893">
        <v>0.99984830000000002</v>
      </c>
      <c r="AB6893">
        <v>22</v>
      </c>
      <c r="AC6893">
        <v>-0.27490000000000198</v>
      </c>
      <c r="AD6893">
        <v>-1.1213451079800001</v>
      </c>
      <c r="AE6893">
        <v>-37.082209999999897</v>
      </c>
      <c r="AF6893">
        <v>0.147644518503389</v>
      </c>
      <c r="AG6893">
        <v>-1.1213451079800001</v>
      </c>
      <c r="AH6893">
        <v>37.049057814294002</v>
      </c>
      <c r="AI6893">
        <v>91.733599407807603</v>
      </c>
      <c r="AJ6893">
        <v>89.771671305657094</v>
      </c>
      <c r="AK6893">
        <v>37.066317576499799</v>
      </c>
      <c r="AL6893">
        <v>90.922387832349102</v>
      </c>
      <c r="AM6893">
        <v>90.543973547770406</v>
      </c>
      <c r="AN6893">
        <v>1.0000000444232799</v>
      </c>
    </row>
    <row r="6894" spans="1:40" x14ac:dyDescent="0.25">
      <c r="A6894" t="str">
        <f>"20190303153945719"</f>
        <v>20190303153945719</v>
      </c>
      <c r="B6894" t="str">
        <f>"1551598785705671"</f>
        <v>1551598785705671</v>
      </c>
      <c r="C6894" t="s">
        <v>40</v>
      </c>
      <c r="D6894">
        <v>4.1557599999999999</v>
      </c>
      <c r="E6894">
        <v>0.50373029999999996</v>
      </c>
      <c r="F6894" t="s">
        <v>63</v>
      </c>
      <c r="G6894">
        <v>-422.08260000000001</v>
      </c>
      <c r="H6894" s="1">
        <v>-1.010596E-5</v>
      </c>
      <c r="I6894">
        <v>16.056799999999999</v>
      </c>
      <c r="J6894">
        <v>-421.90589999999997</v>
      </c>
      <c r="K6894">
        <v>1.121329</v>
      </c>
      <c r="L6894">
        <v>53.351379999999999</v>
      </c>
      <c r="M6894">
        <v>-3.427687E-3</v>
      </c>
      <c r="N6894">
        <v>-1.3197260000000001E-2</v>
      </c>
      <c r="O6894">
        <v>-0.99990699999999999</v>
      </c>
      <c r="P6894">
        <v>6.2141319999999998E-3</v>
      </c>
      <c r="Q6894">
        <v>-2.927198E-2</v>
      </c>
      <c r="R6894">
        <v>-0.9995522</v>
      </c>
      <c r="S6894">
        <v>-1.4190670000000001E-2</v>
      </c>
      <c r="T6894">
        <v>-8.9773060000000002E-2</v>
      </c>
      <c r="U6894">
        <v>-2.9988100000000002</v>
      </c>
      <c r="V6894">
        <v>-9.6415070000000005E-3</v>
      </c>
      <c r="W6894">
        <v>-1.6078080000000002E-2</v>
      </c>
      <c r="X6894">
        <v>0.99982420000000005</v>
      </c>
      <c r="Y6894">
        <v>1.303041E-3</v>
      </c>
      <c r="Z6894">
        <v>1.6728529999999998E-2</v>
      </c>
      <c r="AA6894">
        <v>0.99985919999999895</v>
      </c>
      <c r="AB6894">
        <v>22</v>
      </c>
      <c r="AC6894">
        <v>-0.17670000000003899</v>
      </c>
      <c r="AD6894">
        <v>-1.12133910596</v>
      </c>
      <c r="AE6894">
        <v>-37.294580000000003</v>
      </c>
      <c r="AF6894">
        <v>4.8809551964333502E-2</v>
      </c>
      <c r="AG6894">
        <v>-1.12133910596</v>
      </c>
      <c r="AH6894">
        <v>37.261282064814502</v>
      </c>
      <c r="AI6894">
        <v>91.723734524609199</v>
      </c>
      <c r="AJ6894">
        <v>89.924946765839593</v>
      </c>
      <c r="AK6894">
        <v>37.278182961037501</v>
      </c>
      <c r="AL6894">
        <v>90.921245869366103</v>
      </c>
      <c r="AM6894">
        <v>90.552497665936201</v>
      </c>
      <c r="AN6894">
        <v>0.99999994710967699</v>
      </c>
    </row>
    <row r="6895" spans="1:40" x14ac:dyDescent="0.25">
      <c r="A6895" t="str">
        <f>"20190303153945733"</f>
        <v>20190303153945733</v>
      </c>
      <c r="B6895" t="str">
        <f>"1551598785725192"</f>
        <v>1551598785725192</v>
      </c>
      <c r="C6895" t="s">
        <v>40</v>
      </c>
      <c r="D6895">
        <v>4.1587079999999998</v>
      </c>
      <c r="E6895">
        <v>0.503017099999999</v>
      </c>
      <c r="F6895" t="s">
        <v>63</v>
      </c>
      <c r="G6895">
        <v>-422.04559999999998</v>
      </c>
      <c r="H6895" s="1">
        <v>-1.009877E-5</v>
      </c>
      <c r="I6895">
        <v>15.850009999999999</v>
      </c>
      <c r="J6895">
        <v>-421.90649999999999</v>
      </c>
      <c r="K6895">
        <v>1.1213310000000001</v>
      </c>
      <c r="L6895">
        <v>53.203130000000002</v>
      </c>
      <c r="M6895">
        <v>-3.4276559999999998E-3</v>
      </c>
      <c r="N6895">
        <v>-1.323626E-2</v>
      </c>
      <c r="O6895">
        <v>-0.99990650000000003</v>
      </c>
      <c r="P6895">
        <v>6.525749E-3</v>
      </c>
      <c r="Q6895">
        <v>-2.9510290000000002E-2</v>
      </c>
      <c r="R6895">
        <v>-0.99954319999999997</v>
      </c>
      <c r="S6895">
        <v>-1.1169429999999999E-2</v>
      </c>
      <c r="T6895">
        <v>-8.9667319999999995E-2</v>
      </c>
      <c r="U6895">
        <v>-2.9987789999999999</v>
      </c>
      <c r="V6895">
        <v>-9.9527950000000004E-3</v>
      </c>
      <c r="W6895">
        <v>-1.62775E-2</v>
      </c>
      <c r="X6895">
        <v>0.99981799999999998</v>
      </c>
      <c r="Y6895">
        <v>2.9607849999999997E-4</v>
      </c>
      <c r="Z6895">
        <v>1.665467E-2</v>
      </c>
      <c r="AA6895">
        <v>0.99986120000000001</v>
      </c>
      <c r="AB6895">
        <v>22</v>
      </c>
      <c r="AC6895">
        <v>-0.13909999999998399</v>
      </c>
      <c r="AD6895">
        <v>-1.1213410987700001</v>
      </c>
      <c r="AE6895">
        <v>-37.353119999999997</v>
      </c>
      <c r="AF6895">
        <v>1.1044363843557E-2</v>
      </c>
      <c r="AG6895">
        <v>-1.1213410987700001</v>
      </c>
      <c r="AH6895">
        <v>37.319745232868001</v>
      </c>
      <c r="AI6895">
        <v>91.721040294275994</v>
      </c>
      <c r="AJ6895">
        <v>89.983043951312595</v>
      </c>
      <c r="AK6895">
        <v>37.336589454366802</v>
      </c>
      <c r="AL6895">
        <v>90.932673217994704</v>
      </c>
      <c r="AM6895">
        <v>90.5703381142566</v>
      </c>
      <c r="AN6895">
        <v>1.0000000241292799</v>
      </c>
    </row>
    <row r="6896" spans="1:40" x14ac:dyDescent="0.25">
      <c r="A6896" t="str">
        <f>"20190303153945746"</f>
        <v>20190303153945746</v>
      </c>
      <c r="B6896" t="str">
        <f>"1551598785735928"</f>
        <v>1551598785735928</v>
      </c>
      <c r="C6896" t="s">
        <v>40</v>
      </c>
      <c r="D6896">
        <v>4.1504300000000001</v>
      </c>
      <c r="E6896">
        <v>0.50269540000000001</v>
      </c>
      <c r="F6896" t="s">
        <v>63</v>
      </c>
      <c r="G6896">
        <v>-421.96629999999999</v>
      </c>
      <c r="H6896" s="1">
        <v>-1.014136E-5</v>
      </c>
      <c r="I6896">
        <v>15.98771</v>
      </c>
      <c r="J6896">
        <v>-421.90690000000001</v>
      </c>
      <c r="K6896">
        <v>1.1213329999999999</v>
      </c>
      <c r="L6896">
        <v>53.086939999999998</v>
      </c>
      <c r="M6896">
        <v>-3.4276419999999998E-3</v>
      </c>
      <c r="N6896">
        <v>-1.326421E-2</v>
      </c>
      <c r="O6896">
        <v>-0.99990630000000003</v>
      </c>
      <c r="P6896">
        <v>6.7852249999999998E-3</v>
      </c>
      <c r="Q6896">
        <v>-2.940982E-2</v>
      </c>
      <c r="R6896">
        <v>-0.99954449999999995</v>
      </c>
      <c r="S6896">
        <v>-4.8217770000000002E-3</v>
      </c>
      <c r="T6896">
        <v>-9.0354680000000007E-2</v>
      </c>
      <c r="U6896">
        <v>-2.9987180000000002</v>
      </c>
      <c r="V6896">
        <v>-1.021217E-2</v>
      </c>
      <c r="W6896">
        <v>-1.614908E-2</v>
      </c>
      <c r="X6896">
        <v>0.99981739999999997</v>
      </c>
      <c r="Y6896">
        <v>-1.8197090000000001E-3</v>
      </c>
      <c r="Z6896">
        <v>1.6856320000000001E-2</v>
      </c>
      <c r="AA6896">
        <v>0.99985630000000003</v>
      </c>
      <c r="AB6896">
        <v>22</v>
      </c>
      <c r="AC6896">
        <v>-5.93999999999823E-2</v>
      </c>
      <c r="AD6896">
        <v>-1.1213431413599999</v>
      </c>
      <c r="AE6896">
        <v>-37.099229999999999</v>
      </c>
      <c r="AF6896">
        <v>-6.7712536230892101E-2</v>
      </c>
      <c r="AG6896">
        <v>-1.1213431413599999</v>
      </c>
      <c r="AH6896">
        <v>37.065353514065002</v>
      </c>
      <c r="AI6896">
        <v>91.732845523698202</v>
      </c>
      <c r="AJ6896">
        <v>90.104670207145901</v>
      </c>
      <c r="AK6896">
        <v>37.0823735290885</v>
      </c>
      <c r="AL6896">
        <v>90.925314388749399</v>
      </c>
      <c r="AM6896">
        <v>90.585200751958197</v>
      </c>
      <c r="AN6896">
        <v>0.99999995727185598</v>
      </c>
    </row>
    <row r="6897" spans="1:40" x14ac:dyDescent="0.25">
      <c r="A6897" t="str">
        <f>"20190303153945763"</f>
        <v>20190303153945763</v>
      </c>
      <c r="B6897" t="str">
        <f>"1551598785755448"</f>
        <v>1551598785755448</v>
      </c>
      <c r="C6897" t="s">
        <v>40</v>
      </c>
      <c r="D6897">
        <v>4.1639879999999998</v>
      </c>
      <c r="E6897">
        <v>0.50211679999999903</v>
      </c>
      <c r="F6897" t="s">
        <v>63</v>
      </c>
      <c r="G6897">
        <v>-421.92250000000001</v>
      </c>
      <c r="H6897" s="1">
        <v>-1.012901E-5</v>
      </c>
      <c r="I6897">
        <v>15.70439</v>
      </c>
      <c r="J6897">
        <v>-421.9074</v>
      </c>
      <c r="K6897">
        <v>1.1213329999999999</v>
      </c>
      <c r="L6897">
        <v>52.929409999999997</v>
      </c>
      <c r="M6897">
        <v>-3.4276229999999999E-3</v>
      </c>
      <c r="N6897">
        <v>-1.3298330000000001E-2</v>
      </c>
      <c r="O6897">
        <v>-0.99990579999999996</v>
      </c>
      <c r="P6897">
        <v>6.6487229999999996E-3</v>
      </c>
      <c r="Q6897">
        <v>-2.930278E-2</v>
      </c>
      <c r="R6897">
        <v>-0.99954860000000001</v>
      </c>
      <c r="S6897">
        <v>-1.2512210000000001E-3</v>
      </c>
      <c r="T6897">
        <v>-8.9950799999999997E-2</v>
      </c>
      <c r="U6897">
        <v>-2.9987180000000002</v>
      </c>
      <c r="V6897">
        <v>-1.007536E-2</v>
      </c>
      <c r="W6897">
        <v>-1.6007859999999999E-2</v>
      </c>
      <c r="X6897">
        <v>0.99982110000000002</v>
      </c>
      <c r="Y6897">
        <v>-3.0098669999999998E-3</v>
      </c>
      <c r="Z6897">
        <v>1.66875999999999E-2</v>
      </c>
      <c r="AA6897">
        <v>0.99985619999999997</v>
      </c>
      <c r="AB6897">
        <v>22</v>
      </c>
      <c r="AC6897">
        <v>-1.5100000000018101E-2</v>
      </c>
      <c r="AD6897">
        <v>-1.12134312901</v>
      </c>
      <c r="AE6897">
        <v>-37.225020000000001</v>
      </c>
      <c r="AF6897">
        <v>-0.112402697979338</v>
      </c>
      <c r="AG6897">
        <v>-1.12134312901</v>
      </c>
      <c r="AH6897">
        <v>37.191105195589898</v>
      </c>
      <c r="AI6897">
        <v>91.726984906946598</v>
      </c>
      <c r="AJ6897">
        <v>90.173164539139904</v>
      </c>
      <c r="AK6897">
        <v>37.208175854896801</v>
      </c>
      <c r="AL6897">
        <v>90.917221994765995</v>
      </c>
      <c r="AM6897">
        <v>90.577359355226804</v>
      </c>
      <c r="AN6897">
        <v>0.99999999823305896</v>
      </c>
    </row>
    <row r="6898" spans="1:40" x14ac:dyDescent="0.25">
      <c r="A6898" t="str">
        <f>"20190303153945776"</f>
        <v>20190303153945776</v>
      </c>
      <c r="B6898" t="str">
        <f>"1551598785765210"</f>
        <v>1551598785765210</v>
      </c>
      <c r="C6898" t="s">
        <v>40</v>
      </c>
      <c r="D6898">
        <v>4.1070460000000004</v>
      </c>
      <c r="E6898">
        <v>0.50190249999999903</v>
      </c>
      <c r="F6898" t="s">
        <v>63</v>
      </c>
      <c r="G6898">
        <v>-421.87299999999999</v>
      </c>
      <c r="H6898" s="1">
        <v>-1.010836E-5</v>
      </c>
      <c r="I6898">
        <v>15.317550000000001</v>
      </c>
      <c r="J6898">
        <v>-421.90789999999998</v>
      </c>
      <c r="K6898">
        <v>1.1213329999999999</v>
      </c>
      <c r="L6898">
        <v>52.798000000000002</v>
      </c>
      <c r="M6898">
        <v>-3.4276020000000001E-3</v>
      </c>
      <c r="N6898">
        <v>-1.3324310000000001E-2</v>
      </c>
      <c r="O6898">
        <v>-0.99990559999999995</v>
      </c>
      <c r="P6898">
        <v>6.7839739999999999E-3</v>
      </c>
      <c r="Q6898">
        <v>-2.90044E-2</v>
      </c>
      <c r="R6898">
        <v>-0.99955640000000001</v>
      </c>
      <c r="S6898">
        <v>2.746582E-3</v>
      </c>
      <c r="T6898">
        <v>-8.940244E-2</v>
      </c>
      <c r="U6898">
        <v>-2.9987180000000002</v>
      </c>
      <c r="V6898">
        <v>-1.0210810000000001E-2</v>
      </c>
      <c r="W6898">
        <v>-1.568344E-2</v>
      </c>
      <c r="X6898">
        <v>0.99982490000000002</v>
      </c>
      <c r="Y6898">
        <v>-4.342444E-3</v>
      </c>
      <c r="Z6898">
        <v>1.6478840000000002E-2</v>
      </c>
      <c r="AA6898">
        <v>0.99985480000000004</v>
      </c>
      <c r="AB6898">
        <v>22</v>
      </c>
      <c r="AC6898">
        <v>3.4899999999936399E-2</v>
      </c>
      <c r="AD6898">
        <v>-1.1213431083599901</v>
      </c>
      <c r="AE6898">
        <v>-37.480449999999998</v>
      </c>
      <c r="AF6898">
        <v>-0.16323312554584399</v>
      </c>
      <c r="AG6898">
        <v>-1.1213431083599901</v>
      </c>
      <c r="AH6898">
        <v>37.446592059757002</v>
      </c>
      <c r="AI6898">
        <v>91.715200780716799</v>
      </c>
      <c r="AJ6898">
        <v>90.249755970265099</v>
      </c>
      <c r="AK6898">
        <v>37.463733293810897</v>
      </c>
      <c r="AL6898">
        <v>90.898631734590793</v>
      </c>
      <c r="AM6898">
        <v>90.585118434711205</v>
      </c>
      <c r="AN6898">
        <v>1.0000000307955399</v>
      </c>
    </row>
    <row r="6899" spans="1:40" x14ac:dyDescent="0.25">
      <c r="A6899" t="str">
        <f>"20190303153945790"</f>
        <v>20190303153945790</v>
      </c>
      <c r="B6899" t="str">
        <f>"1551598785785703"</f>
        <v>1551598785785703</v>
      </c>
      <c r="C6899" t="s">
        <v>40</v>
      </c>
      <c r="D6899">
        <v>4.1325919999999998</v>
      </c>
      <c r="E6899">
        <v>0.50147439999999999</v>
      </c>
      <c r="F6899" t="s">
        <v>63</v>
      </c>
      <c r="G6899">
        <v>-421.83929999999998</v>
      </c>
      <c r="H6899" s="1">
        <v>-1.0040730000000001E-5</v>
      </c>
      <c r="I6899">
        <v>14.51806</v>
      </c>
      <c r="J6899">
        <v>-421.9083</v>
      </c>
      <c r="K6899">
        <v>1.121335</v>
      </c>
      <c r="L6899">
        <v>52.666930000000001</v>
      </c>
      <c r="M6899">
        <v>-3.4275769999999998E-3</v>
      </c>
      <c r="N6899">
        <v>-1.334841E-2</v>
      </c>
      <c r="O6899">
        <v>-0.9999053</v>
      </c>
      <c r="P6899">
        <v>6.6214530000000002E-3</v>
      </c>
      <c r="Q6899">
        <v>-2.9252770000000001E-2</v>
      </c>
      <c r="R6899">
        <v>-0.99955050000000001</v>
      </c>
      <c r="S6899">
        <v>5.3710939999999999E-3</v>
      </c>
      <c r="T6899">
        <v>-8.7843060000000001E-2</v>
      </c>
      <c r="U6899">
        <v>-2.9987490000000001</v>
      </c>
      <c r="V6899">
        <v>-1.00482E-2</v>
      </c>
      <c r="W6899">
        <v>-1.590776E-2</v>
      </c>
      <c r="X6899">
        <v>0.99982300000000002</v>
      </c>
      <c r="Y6899">
        <v>-5.2172620000000003E-3</v>
      </c>
      <c r="Z6899">
        <v>1.5934859999999999E-2</v>
      </c>
      <c r="AA6899">
        <v>0.99985939999999995</v>
      </c>
      <c r="AB6899">
        <v>22</v>
      </c>
      <c r="AC6899">
        <v>6.9000000000016798E-2</v>
      </c>
      <c r="AD6899">
        <v>-1.1213450407300001</v>
      </c>
      <c r="AE6899">
        <v>-38.148870000000002</v>
      </c>
      <c r="AF6899">
        <v>-0.199596947900302</v>
      </c>
      <c r="AG6899">
        <v>-1.1213450407300001</v>
      </c>
      <c r="AH6899">
        <v>38.115477570181099</v>
      </c>
      <c r="AI6899">
        <v>91.685114178464801</v>
      </c>
      <c r="AJ6899">
        <v>90.300034498174</v>
      </c>
      <c r="AK6899">
        <v>38.132491185929098</v>
      </c>
      <c r="AL6899">
        <v>90.91148593039</v>
      </c>
      <c r="AM6899">
        <v>90.575801986876499</v>
      </c>
      <c r="AN6899">
        <v>1.0000000272402201</v>
      </c>
    </row>
    <row r="6900" spans="1:40" x14ac:dyDescent="0.25">
      <c r="A6900" t="str">
        <f>"20190303153945802"</f>
        <v>20190303153945802</v>
      </c>
      <c r="B6900" t="str">
        <f>"1551598785795464"</f>
        <v>1551598785795464</v>
      </c>
      <c r="C6900" t="s">
        <v>40</v>
      </c>
      <c r="D6900">
        <v>4.1041439999999998</v>
      </c>
      <c r="E6900">
        <v>0.50127940000000004</v>
      </c>
      <c r="F6900" t="s">
        <v>63</v>
      </c>
      <c r="G6900">
        <v>-421.80930000000001</v>
      </c>
      <c r="H6900" s="1">
        <v>-1.001888E-5</v>
      </c>
      <c r="I6900">
        <v>14.18999</v>
      </c>
      <c r="J6900">
        <v>-421.90879999999999</v>
      </c>
      <c r="K6900">
        <v>1.121337</v>
      </c>
      <c r="L6900">
        <v>52.544159999999998</v>
      </c>
      <c r="M6900">
        <v>-3.4275550000000001E-3</v>
      </c>
      <c r="N6900">
        <v>-1.33682E-2</v>
      </c>
      <c r="O6900">
        <v>-0.99990489999999999</v>
      </c>
      <c r="P6900">
        <v>6.7794489999999999E-3</v>
      </c>
      <c r="Q6900">
        <v>-2.9180589999999999E-2</v>
      </c>
      <c r="R6900">
        <v>-0.99955119999999997</v>
      </c>
      <c r="S6900">
        <v>7.7209469999999997E-3</v>
      </c>
      <c r="T6900">
        <v>-8.7392570000000003E-2</v>
      </c>
      <c r="U6900">
        <v>-2.9987180000000002</v>
      </c>
      <c r="V6900">
        <v>-1.02065E-2</v>
      </c>
      <c r="W6900">
        <v>-1.5815799999999901E-2</v>
      </c>
      <c r="X6900">
        <v>0.99982289999999996</v>
      </c>
      <c r="Y6900">
        <v>-6.0005500000000003E-3</v>
      </c>
      <c r="Z6900">
        <v>1.5765189999999998E-2</v>
      </c>
      <c r="AA6900">
        <v>0.99985769999999996</v>
      </c>
      <c r="AB6900">
        <v>22</v>
      </c>
      <c r="AC6900">
        <v>9.9499999999977704E-2</v>
      </c>
      <c r="AD6900">
        <v>-1.1213470188799901</v>
      </c>
      <c r="AE6900">
        <v>-38.354170000000003</v>
      </c>
      <c r="AF6900">
        <v>-0.23077491259143901</v>
      </c>
      <c r="AG6900">
        <v>-1.1213470188799901</v>
      </c>
      <c r="AH6900">
        <v>38.3208478777103</v>
      </c>
      <c r="AI6900">
        <v>91.676083973756604</v>
      </c>
      <c r="AJ6900">
        <v>90.345041130364294</v>
      </c>
      <c r="AK6900">
        <v>38.337945410045798</v>
      </c>
      <c r="AL6900">
        <v>90.906216307347506</v>
      </c>
      <c r="AM6900">
        <v>90.584872642269403</v>
      </c>
      <c r="AN6900">
        <v>1.0000000717681401</v>
      </c>
    </row>
    <row r="6901" spans="1:40" x14ac:dyDescent="0.25">
      <c r="A6901" t="str">
        <f>"20190303153945820"</f>
        <v>20190303153945820</v>
      </c>
      <c r="B6901" t="str">
        <f>"1551598785815960"</f>
        <v>1551598785815960</v>
      </c>
      <c r="C6901" t="s">
        <v>40</v>
      </c>
      <c r="D6901">
        <v>4.173667</v>
      </c>
      <c r="E6901">
        <v>0.50083359999999899</v>
      </c>
      <c r="F6901" t="s">
        <v>63</v>
      </c>
      <c r="G6901">
        <v>-421.77760000000001</v>
      </c>
      <c r="H6901" s="1">
        <v>-9.9836870000000001E-6</v>
      </c>
      <c r="I6901">
        <v>13.722390000000001</v>
      </c>
      <c r="J6901">
        <v>-421.90929999999997</v>
      </c>
      <c r="K6901">
        <v>1.1213390000000001</v>
      </c>
      <c r="L6901">
        <v>52.378419999999998</v>
      </c>
      <c r="M6901">
        <v>-3.4275299999999998E-3</v>
      </c>
      <c r="N6901">
        <v>-1.339277E-2</v>
      </c>
      <c r="O6901">
        <v>-0.99990460000000003</v>
      </c>
      <c r="P6901">
        <v>6.4469059999999996E-3</v>
      </c>
      <c r="Q6901">
        <v>-2.9532570000000001E-2</v>
      </c>
      <c r="R6901">
        <v>-0.99954319999999997</v>
      </c>
      <c r="S6901">
        <v>1.013184E-2</v>
      </c>
      <c r="T6901">
        <v>-8.6617349999999996E-2</v>
      </c>
      <c r="U6901">
        <v>-2.9987490000000001</v>
      </c>
      <c r="V6901">
        <v>-9.8736759999999996E-3</v>
      </c>
      <c r="W6901">
        <v>-1.6143279999999999E-2</v>
      </c>
      <c r="X6901">
        <v>0.99982090000000001</v>
      </c>
      <c r="Y6901">
        <v>-6.8041350000000002E-3</v>
      </c>
      <c r="Z6901">
        <v>1.548194E-2</v>
      </c>
      <c r="AA6901">
        <v>0.999857</v>
      </c>
      <c r="AB6901">
        <v>22</v>
      </c>
      <c r="AC6901">
        <v>0.13169999999996601</v>
      </c>
      <c r="AD6901">
        <v>-1.1213489836870001</v>
      </c>
      <c r="AE6901">
        <v>-38.656030000000001</v>
      </c>
      <c r="AF6901">
        <v>-0.26398365540437002</v>
      </c>
      <c r="AG6901">
        <v>-1.1213489836870001</v>
      </c>
      <c r="AH6901">
        <v>38.6228512219636</v>
      </c>
      <c r="AI6901">
        <v>91.662979801134497</v>
      </c>
      <c r="AJ6901">
        <v>90.391605314327705</v>
      </c>
      <c r="AK6901">
        <v>38.640027787612603</v>
      </c>
      <c r="AL6901">
        <v>90.924982024106697</v>
      </c>
      <c r="AM6901">
        <v>90.565802908955106</v>
      </c>
      <c r="AN6901">
        <v>0.99999996352186005</v>
      </c>
    </row>
    <row r="6902" spans="1:40" x14ac:dyDescent="0.25">
      <c r="A6902" t="str">
        <f>"20190303153945836"</f>
        <v>20190303153945836</v>
      </c>
      <c r="B6902" t="str">
        <f>"1551598785825721"</f>
        <v>1551598785825721</v>
      </c>
      <c r="C6902" t="s">
        <v>40</v>
      </c>
      <c r="D6902">
        <v>4.1686719999999999</v>
      </c>
      <c r="E6902">
        <v>0.50058530000000001</v>
      </c>
      <c r="F6902" t="s">
        <v>63</v>
      </c>
      <c r="G6902">
        <v>-421.74669999999998</v>
      </c>
      <c r="H6902" s="1">
        <v>-1.0019540000000001E-5</v>
      </c>
      <c r="I6902">
        <v>13.968920000000001</v>
      </c>
      <c r="J6902">
        <v>-421.90989999999999</v>
      </c>
      <c r="K6902">
        <v>1.1213439999999999</v>
      </c>
      <c r="L6902">
        <v>52.2254</v>
      </c>
      <c r="M6902">
        <v>-3.4275080000000001E-3</v>
      </c>
      <c r="N6902">
        <v>-1.3413100000000001E-2</v>
      </c>
      <c r="O6902">
        <v>-0.99990420000000002</v>
      </c>
      <c r="P6902">
        <v>6.4033110000000001E-3</v>
      </c>
      <c r="Q6902">
        <v>-2.9915500000000001E-2</v>
      </c>
      <c r="R6902">
        <v>-0.99953199999999998</v>
      </c>
      <c r="S6902">
        <v>1.269531E-2</v>
      </c>
      <c r="T6902">
        <v>-8.7546349999999995E-2</v>
      </c>
      <c r="U6902">
        <v>-2.9987180000000002</v>
      </c>
      <c r="V6902">
        <v>-9.8302349999999997E-3</v>
      </c>
      <c r="W6902">
        <v>-1.6505990000000002E-2</v>
      </c>
      <c r="X6902">
        <v>0.99981549999999997</v>
      </c>
      <c r="Y6902">
        <v>-7.658588E-3</v>
      </c>
      <c r="Z6902">
        <v>1.5771239999999999E-2</v>
      </c>
      <c r="AA6902">
        <v>0.99984629999999997</v>
      </c>
      <c r="AB6902">
        <v>21</v>
      </c>
      <c r="AC6902">
        <v>0.163200000000017</v>
      </c>
      <c r="AD6902">
        <v>-1.12135401954</v>
      </c>
      <c r="AE6902">
        <v>-38.256480000000003</v>
      </c>
      <c r="AF6902">
        <v>-0.29408256474217598</v>
      </c>
      <c r="AG6902">
        <v>-1.12135401954</v>
      </c>
      <c r="AH6902">
        <v>38.222856764734097</v>
      </c>
      <c r="AI6902">
        <v>91.680369685322205</v>
      </c>
      <c r="AJ6902">
        <v>90.440818890791405</v>
      </c>
      <c r="AK6902">
        <v>38.240432772778703</v>
      </c>
      <c r="AL6902">
        <v>90.945766457807693</v>
      </c>
      <c r="AM6902">
        <v>90.563316761089695</v>
      </c>
      <c r="AN6902">
        <v>1.00000005763314</v>
      </c>
    </row>
    <row r="6903" spans="1:40" x14ac:dyDescent="0.25">
      <c r="A6903" t="str">
        <f>"20190303153945858"</f>
        <v>20190303153945858</v>
      </c>
      <c r="B6903" t="str">
        <f>"1551598785855975"</f>
        <v>1551598785855975</v>
      </c>
      <c r="C6903" t="s">
        <v>40</v>
      </c>
      <c r="D6903">
        <v>4.1571930000000004</v>
      </c>
      <c r="E6903">
        <v>0.49988969999999999</v>
      </c>
      <c r="F6903" t="s">
        <v>63</v>
      </c>
      <c r="G6903">
        <v>-421.72789999999998</v>
      </c>
      <c r="H6903" s="1">
        <v>-1.007198E-5</v>
      </c>
      <c r="I6903">
        <v>14.425420000000001</v>
      </c>
      <c r="J6903">
        <v>-421.91059999999999</v>
      </c>
      <c r="K6903">
        <v>1.1213439999999999</v>
      </c>
      <c r="L6903">
        <v>52.009430000000002</v>
      </c>
      <c r="M6903">
        <v>-3.4274700000000002E-3</v>
      </c>
      <c r="N6903">
        <v>-1.343809E-2</v>
      </c>
      <c r="O6903">
        <v>-0.99990389999999996</v>
      </c>
      <c r="P6903">
        <v>6.080518E-3</v>
      </c>
      <c r="Q6903">
        <v>-2.9808270000000001E-2</v>
      </c>
      <c r="R6903">
        <v>-0.99953749999999997</v>
      </c>
      <c r="S6903">
        <v>1.4434809999999999E-2</v>
      </c>
      <c r="T6903">
        <v>-8.8956590000000002E-2</v>
      </c>
      <c r="U6903">
        <v>-2.9986570000000001</v>
      </c>
      <c r="V6903">
        <v>-9.5070180000000008E-3</v>
      </c>
      <c r="W6903">
        <v>-1.637371E-2</v>
      </c>
      <c r="X6903">
        <v>0.99982079999999995</v>
      </c>
      <c r="Y6903">
        <v>-8.2383960000000003E-3</v>
      </c>
      <c r="Z6903">
        <v>1.621653E-2</v>
      </c>
      <c r="AA6903">
        <v>0.99983449999999996</v>
      </c>
      <c r="AB6903">
        <v>21</v>
      </c>
      <c r="AC6903">
        <v>0.18270000000001099</v>
      </c>
      <c r="AD6903">
        <v>-1.1213540719799999</v>
      </c>
      <c r="AE6903">
        <v>-37.584009999999999</v>
      </c>
      <c r="AF6903">
        <v>-0.31125155286955702</v>
      </c>
      <c r="AG6903">
        <v>-1.1213540719799999</v>
      </c>
      <c r="AH6903">
        <v>37.549737595790099</v>
      </c>
      <c r="AI6903">
        <v>91.710466320806006</v>
      </c>
      <c r="AJ6903">
        <v>90.474916552570306</v>
      </c>
      <c r="AK6903">
        <v>37.567766848677699</v>
      </c>
      <c r="AL6903">
        <v>90.938186348771694</v>
      </c>
      <c r="AM6903">
        <v>90.544793218134004</v>
      </c>
      <c r="AN6903">
        <v>1.0000000569415199</v>
      </c>
    </row>
    <row r="6904" spans="1:40" x14ac:dyDescent="0.25">
      <c r="A6904" t="str">
        <f>"20190303153945881"</f>
        <v>20190303153945881</v>
      </c>
      <c r="B6904" t="str">
        <f>"1551598785875495"</f>
        <v>1551598785875495</v>
      </c>
      <c r="C6904" t="s">
        <v>40</v>
      </c>
      <c r="D6904">
        <v>4.1732610000000001</v>
      </c>
      <c r="E6904">
        <v>0.49944929999999899</v>
      </c>
      <c r="F6904" t="s">
        <v>63</v>
      </c>
      <c r="G6904">
        <v>-421.66770000000002</v>
      </c>
      <c r="H6904" s="1">
        <v>-1.008172E-5</v>
      </c>
      <c r="I6904">
        <v>14.30391</v>
      </c>
      <c r="J6904">
        <v>-421.91140000000001</v>
      </c>
      <c r="K6904">
        <v>1.1213489999999999</v>
      </c>
      <c r="L6904">
        <v>51.791840000000001</v>
      </c>
      <c r="M6904">
        <v>-3.4274290000000001E-3</v>
      </c>
      <c r="N6904">
        <v>-1.3459499999999999E-2</v>
      </c>
      <c r="O6904">
        <v>-0.99990369999999995</v>
      </c>
      <c r="P6904">
        <v>5.7915709999999997E-3</v>
      </c>
      <c r="Q6904">
        <v>-2.949879E-2</v>
      </c>
      <c r="R6904">
        <v>-0.9995484</v>
      </c>
      <c r="S6904">
        <v>1.9317629999999999E-2</v>
      </c>
      <c r="T6904">
        <v>-8.9177610000000004E-2</v>
      </c>
      <c r="U6904">
        <v>-2.998596</v>
      </c>
      <c r="V6904">
        <v>-9.2186309999999997E-3</v>
      </c>
      <c r="W6904">
        <v>-1.6042710000000002E-2</v>
      </c>
      <c r="X6904">
        <v>0.99982879999999996</v>
      </c>
      <c r="Y6904">
        <v>-9.8659999999999998E-3</v>
      </c>
      <c r="Z6904">
        <v>1.6268959999999999E-2</v>
      </c>
      <c r="AA6904">
        <v>0.99981900000000001</v>
      </c>
      <c r="AB6904">
        <v>21</v>
      </c>
      <c r="AC6904">
        <v>0.24369999999998901</v>
      </c>
      <c r="AD6904">
        <v>-1.1213590817200001</v>
      </c>
      <c r="AE6904">
        <v>-37.487929999999999</v>
      </c>
      <c r="AF6904">
        <v>-0.371864690841402</v>
      </c>
      <c r="AG6904">
        <v>-1.1213590817200001</v>
      </c>
      <c r="AH6904">
        <v>37.453364078794998</v>
      </c>
      <c r="AI6904">
        <v>91.714847061925198</v>
      </c>
      <c r="AJ6904">
        <v>90.568856170260503</v>
      </c>
      <c r="AK6904">
        <v>37.471992345713602</v>
      </c>
      <c r="AL6904">
        <v>90.919219016232404</v>
      </c>
      <c r="AM6904">
        <v>90.528264121265195</v>
      </c>
      <c r="AN6904">
        <v>0.999999990505549</v>
      </c>
    </row>
    <row r="6905" spans="1:40" x14ac:dyDescent="0.25">
      <c r="A6905" t="str">
        <f>"20190303153945897"</f>
        <v>20190303153945897</v>
      </c>
      <c r="B6905" t="str">
        <f>"1551598785885256"</f>
        <v>1551598785885256</v>
      </c>
      <c r="C6905" t="s">
        <v>40</v>
      </c>
      <c r="D6905">
        <v>4.165845</v>
      </c>
      <c r="E6905">
        <v>0.49924950000000001</v>
      </c>
      <c r="F6905" t="s">
        <v>63</v>
      </c>
      <c r="G6905">
        <v>-421.63580000000002</v>
      </c>
      <c r="H6905" s="1">
        <v>-1.0049139999999999E-5</v>
      </c>
      <c r="I6905">
        <v>13.86144</v>
      </c>
      <c r="J6905">
        <v>-421.9119</v>
      </c>
      <c r="K6905">
        <v>1.121351</v>
      </c>
      <c r="L6905">
        <v>51.636319999999998</v>
      </c>
      <c r="M6905">
        <v>-3.4273950000000002E-3</v>
      </c>
      <c r="N6905">
        <v>-1.347274E-2</v>
      </c>
      <c r="O6905">
        <v>-0.99990369999999995</v>
      </c>
      <c r="P6905">
        <v>5.6077130000000003E-3</v>
      </c>
      <c r="Q6905">
        <v>-2.9439690000000001E-2</v>
      </c>
      <c r="R6905">
        <v>-0.99955110000000003</v>
      </c>
      <c r="S6905">
        <v>2.1789550000000001E-2</v>
      </c>
      <c r="T6905">
        <v>-8.8650229999999997E-2</v>
      </c>
      <c r="U6905">
        <v>-2.9986269999999999</v>
      </c>
      <c r="V6905">
        <v>-9.0341369999999994E-3</v>
      </c>
      <c r="W6905">
        <v>-1.5970330000000001E-2</v>
      </c>
      <c r="X6905">
        <v>0.99983169999999999</v>
      </c>
      <c r="Y6905">
        <v>-1.0689850000000001E-2</v>
      </c>
      <c r="Z6905">
        <v>1.6079510000000002E-2</v>
      </c>
      <c r="AA6905">
        <v>0.99981359999999997</v>
      </c>
      <c r="AB6905">
        <v>21</v>
      </c>
      <c r="AC6905">
        <v>0.27609999999998502</v>
      </c>
      <c r="AD6905">
        <v>-1.1213610491399999</v>
      </c>
      <c r="AE6905">
        <v>-37.774880000000003</v>
      </c>
      <c r="AF6905">
        <v>-0.40522244993280998</v>
      </c>
      <c r="AG6905">
        <v>-1.1213610491399999</v>
      </c>
      <c r="AH6905">
        <v>37.740455799865202</v>
      </c>
      <c r="AI6905">
        <v>91.701798696784806</v>
      </c>
      <c r="AJ6905">
        <v>90.615165967228705</v>
      </c>
      <c r="AK6905">
        <v>37.7592857429539</v>
      </c>
      <c r="AL6905">
        <v>90.915071363971506</v>
      </c>
      <c r="AM6905">
        <v>90.517690963076404</v>
      </c>
      <c r="AN6905">
        <v>1.00000004769826</v>
      </c>
    </row>
    <row r="6906" spans="1:40" x14ac:dyDescent="0.25">
      <c r="A6906" t="str">
        <f>"20190303153945914"</f>
        <v>20190303153945914</v>
      </c>
      <c r="B6906" t="str">
        <f>"1551598785905752"</f>
        <v>1551598785905752</v>
      </c>
      <c r="C6906" t="s">
        <v>40</v>
      </c>
      <c r="D6906">
        <v>4.211957</v>
      </c>
      <c r="E6906">
        <v>0.4988205</v>
      </c>
      <c r="F6906" t="s">
        <v>63</v>
      </c>
      <c r="G6906">
        <v>-421.6241</v>
      </c>
      <c r="H6906" s="1">
        <v>-1.004125E-5</v>
      </c>
      <c r="I6906">
        <v>13.7402</v>
      </c>
      <c r="J6906">
        <v>-421.91239999999999</v>
      </c>
      <c r="K6906">
        <v>1.121348</v>
      </c>
      <c r="L6906">
        <v>51.474429999999998</v>
      </c>
      <c r="M6906">
        <v>-3.427355E-3</v>
      </c>
      <c r="N6906">
        <v>-1.348075E-2</v>
      </c>
      <c r="O6906">
        <v>-0.9999034</v>
      </c>
      <c r="P6906">
        <v>5.6932559999999998E-3</v>
      </c>
      <c r="Q6906">
        <v>-2.9239069999999999E-2</v>
      </c>
      <c r="R6906">
        <v>-0.99955649999999996</v>
      </c>
      <c r="S6906">
        <v>2.2766109999999999E-2</v>
      </c>
      <c r="T6906">
        <v>-8.8730569999999995E-2</v>
      </c>
      <c r="U6906">
        <v>-2.9986269999999999</v>
      </c>
      <c r="V6906">
        <v>-9.1199829999999999E-3</v>
      </c>
      <c r="W6906">
        <v>-1.5761649999999999E-2</v>
      </c>
      <c r="X6906">
        <v>0.99983420000000001</v>
      </c>
      <c r="Y6906">
        <v>-1.10153E-2</v>
      </c>
      <c r="Z6906">
        <v>1.6098169999999998E-2</v>
      </c>
      <c r="AA6906">
        <v>0.99980970000000002</v>
      </c>
      <c r="AB6906">
        <v>21</v>
      </c>
      <c r="AC6906">
        <v>0.28829999999999201</v>
      </c>
      <c r="AD6906">
        <v>-1.1213580412499999</v>
      </c>
      <c r="AE6906">
        <v>-37.734229999999997</v>
      </c>
      <c r="AF6906">
        <v>-0.417270166456855</v>
      </c>
      <c r="AG6906">
        <v>-1.1213580412499999</v>
      </c>
      <c r="AH6906">
        <v>37.699728855400302</v>
      </c>
      <c r="AI6906">
        <v>91.703625349927606</v>
      </c>
      <c r="AJ6906">
        <v>90.634138333791299</v>
      </c>
      <c r="AK6906">
        <v>37.718710397085403</v>
      </c>
      <c r="AL6906">
        <v>90.903113405061902</v>
      </c>
      <c r="AM6906">
        <v>90.522608692403594</v>
      </c>
      <c r="AN6906">
        <v>1.0000000155951401</v>
      </c>
    </row>
    <row r="6907" spans="1:40" x14ac:dyDescent="0.25">
      <c r="A6907" t="str">
        <f>"20190303153945931"</f>
        <v>20190303153945931</v>
      </c>
      <c r="B6907" t="str">
        <f>"1551598785925272"</f>
        <v>1551598785925272</v>
      </c>
      <c r="C6907" t="s">
        <v>40</v>
      </c>
      <c r="D6907">
        <v>4.1445939999999997</v>
      </c>
      <c r="E6907">
        <v>0.49843150000000003</v>
      </c>
      <c r="F6907" t="s">
        <v>63</v>
      </c>
      <c r="G6907">
        <v>-421.58190000000002</v>
      </c>
      <c r="H6907" s="1">
        <v>-1.0045409999999999E-5</v>
      </c>
      <c r="I6907">
        <v>13.628119999999999</v>
      </c>
      <c r="J6907">
        <v>-421.91289999999998</v>
      </c>
      <c r="K6907">
        <v>1.121345</v>
      </c>
      <c r="L6907">
        <v>51.324680000000001</v>
      </c>
      <c r="M6907">
        <v>-3.4273160000000001E-3</v>
      </c>
      <c r="N6907">
        <v>-1.3474E-2</v>
      </c>
      <c r="O6907">
        <v>-0.9999034</v>
      </c>
      <c r="P6907">
        <v>6.3210439999999996E-3</v>
      </c>
      <c r="Q6907">
        <v>-2.9317590000000001E-2</v>
      </c>
      <c r="R6907">
        <v>-0.99955020000000006</v>
      </c>
      <c r="S6907">
        <v>2.6184079999999998E-2</v>
      </c>
      <c r="T6907">
        <v>-8.8846209999999995E-2</v>
      </c>
      <c r="U6907">
        <v>-2.998596</v>
      </c>
      <c r="V6907">
        <v>-9.7478600000000006E-3</v>
      </c>
      <c r="W6907">
        <v>-1.5846989999999998E-2</v>
      </c>
      <c r="X6907">
        <v>0.99982689999999996</v>
      </c>
      <c r="Y6907">
        <v>-1.215456E-2</v>
      </c>
      <c r="Z6907">
        <v>1.6143370000000001E-2</v>
      </c>
      <c r="AA6907">
        <v>0.99979580000000001</v>
      </c>
      <c r="AB6907">
        <v>21</v>
      </c>
      <c r="AC6907">
        <v>0.33099999999995999</v>
      </c>
      <c r="AD6907">
        <v>-1.1213550454100001</v>
      </c>
      <c r="AE6907">
        <v>-37.696559999999998</v>
      </c>
      <c r="AF6907">
        <v>-0.45980096566772299</v>
      </c>
      <c r="AG6907">
        <v>-1.1213550454100001</v>
      </c>
      <c r="AH6907">
        <v>37.661880455843303</v>
      </c>
      <c r="AI6907">
        <v>91.705309231191094</v>
      </c>
      <c r="AJ6907">
        <v>90.699469746208806</v>
      </c>
      <c r="AK6907">
        <v>37.681375950675204</v>
      </c>
      <c r="AL6907">
        <v>90.908003661809104</v>
      </c>
      <c r="AM6907">
        <v>90.558590234080398</v>
      </c>
      <c r="AN6907">
        <v>0.99999998891512398</v>
      </c>
    </row>
    <row r="6908" spans="1:40" x14ac:dyDescent="0.25">
      <c r="A6908" t="str">
        <f>"20190303153945944"</f>
        <v>20190303153945944</v>
      </c>
      <c r="B6908" t="str">
        <f>"1551598785935032"</f>
        <v>1551598785935032</v>
      </c>
      <c r="C6908" t="s">
        <v>40</v>
      </c>
      <c r="D6908">
        <v>4.1648180000000004</v>
      </c>
      <c r="E6908">
        <v>0.49824350000000001</v>
      </c>
      <c r="F6908" t="s">
        <v>63</v>
      </c>
      <c r="G6908">
        <v>-421.51859999999999</v>
      </c>
      <c r="H6908" s="1">
        <v>-1.008722E-5</v>
      </c>
      <c r="I6908">
        <v>13.81603</v>
      </c>
      <c r="J6908">
        <v>-421.91340000000002</v>
      </c>
      <c r="K6908">
        <v>1.1213249999999999</v>
      </c>
      <c r="L6908">
        <v>51.181759999999997</v>
      </c>
      <c r="M6908">
        <v>-3.427275E-3</v>
      </c>
      <c r="N6908">
        <v>-1.340098E-2</v>
      </c>
      <c r="O6908">
        <v>-0.99990460000000003</v>
      </c>
      <c r="P6908">
        <v>6.4822789999999996E-3</v>
      </c>
      <c r="Q6908">
        <v>-2.9460409999999999E-2</v>
      </c>
      <c r="R6908">
        <v>-0.99954540000000003</v>
      </c>
      <c r="S6908">
        <v>3.1524660000000003E-2</v>
      </c>
      <c r="T6908">
        <v>-8.9643959999999995E-2</v>
      </c>
      <c r="U6908">
        <v>-2.998535</v>
      </c>
      <c r="V6908">
        <v>-9.9089690000000001E-3</v>
      </c>
      <c r="W6908">
        <v>-1.606289E-2</v>
      </c>
      <c r="X6908">
        <v>0.99982190000000004</v>
      </c>
      <c r="Y6908">
        <v>-1.393463E-2</v>
      </c>
      <c r="Z6908">
        <v>1.6482110000000001E-2</v>
      </c>
      <c r="AA6908">
        <v>0.99976710000000002</v>
      </c>
      <c r="AB6908">
        <v>21</v>
      </c>
      <c r="AC6908">
        <v>0.39480000000003201</v>
      </c>
      <c r="AD6908">
        <v>-1.1213350872200001</v>
      </c>
      <c r="AE6908">
        <v>-37.365729999999999</v>
      </c>
      <c r="AF6908">
        <v>-0.52240136574653895</v>
      </c>
      <c r="AG6908">
        <v>-1.1213350872200001</v>
      </c>
      <c r="AH6908">
        <v>37.3305417886885</v>
      </c>
      <c r="AI6908">
        <v>91.720365359229504</v>
      </c>
      <c r="AJ6908">
        <v>90.801741374205605</v>
      </c>
      <c r="AK6908">
        <v>37.351032727379703</v>
      </c>
      <c r="AL6908">
        <v>90.9203753688533</v>
      </c>
      <c r="AM6908">
        <v>90.567824645312598</v>
      </c>
      <c r="AN6908">
        <v>1.0000000179107</v>
      </c>
    </row>
    <row r="6909" spans="1:40" x14ac:dyDescent="0.25">
      <c r="A6909" t="str">
        <f>"20190303153945959"</f>
        <v>20190303153945959</v>
      </c>
      <c r="B6909" t="str">
        <f>"1551598785955528"</f>
        <v>1551598785955528</v>
      </c>
      <c r="C6909" t="s">
        <v>40</v>
      </c>
      <c r="D6909">
        <v>4.1785870000000003</v>
      </c>
      <c r="E6909">
        <v>0.49787039999999999</v>
      </c>
      <c r="F6909" t="s">
        <v>63</v>
      </c>
      <c r="G6909">
        <v>-421.50240000000002</v>
      </c>
      <c r="H6909" s="1">
        <v>-1.0107959999999999E-5</v>
      </c>
      <c r="I6909">
        <v>13.9649</v>
      </c>
      <c r="J6909">
        <v>-421.91379999999998</v>
      </c>
      <c r="K6909">
        <v>1.1212839999999999</v>
      </c>
      <c r="L6909">
        <v>51.050350000000002</v>
      </c>
      <c r="M6909">
        <v>-3.4272109999999999E-3</v>
      </c>
      <c r="N6909">
        <v>-1.327473E-2</v>
      </c>
      <c r="O6909">
        <v>-0.99990630000000003</v>
      </c>
      <c r="P6909">
        <v>7.7778069999999899E-3</v>
      </c>
      <c r="Q6909">
        <v>-2.9902100000000001E-2</v>
      </c>
      <c r="R6909">
        <v>-0.99952300000000005</v>
      </c>
      <c r="S6909">
        <v>3.311157E-2</v>
      </c>
      <c r="T6909">
        <v>-9.0344190000000005E-2</v>
      </c>
      <c r="U6909">
        <v>-2.9985050000000002</v>
      </c>
      <c r="V6909">
        <v>-1.1204189999999999E-2</v>
      </c>
      <c r="W6909">
        <v>-1.6631090000000001E-2</v>
      </c>
      <c r="X6909">
        <v>0.99979890000000005</v>
      </c>
      <c r="Y6909">
        <v>-1.446353E-2</v>
      </c>
      <c r="Z6909">
        <v>1.6841720000000001E-2</v>
      </c>
      <c r="AA6909">
        <v>0.99975349999999996</v>
      </c>
      <c r="AB6909">
        <v>21</v>
      </c>
      <c r="AC6909">
        <v>0.41139999999995702</v>
      </c>
      <c r="AD6909">
        <v>-1.1212941079599901</v>
      </c>
      <c r="AE6909">
        <v>-37.085450000000002</v>
      </c>
      <c r="AF6909">
        <v>-0.53801662553998297</v>
      </c>
      <c r="AG6909">
        <v>-1.1212941079599901</v>
      </c>
      <c r="AH6909">
        <v>37.049955902773398</v>
      </c>
      <c r="AI6909">
        <v>91.733309740524106</v>
      </c>
      <c r="AJ6909">
        <v>90.831955523374901</v>
      </c>
      <c r="AK6909">
        <v>37.070824036745599</v>
      </c>
      <c r="AL6909">
        <v>90.952935213871996</v>
      </c>
      <c r="AM6909">
        <v>90.642055046075996</v>
      </c>
      <c r="AN6909">
        <v>0.99999998373467702</v>
      </c>
    </row>
    <row r="6910" spans="1:40" x14ac:dyDescent="0.25">
      <c r="A6910" t="str">
        <f>"20190303153945974"</f>
        <v>20190303153945974</v>
      </c>
      <c r="B6910" t="str">
        <f>"1551598785965288"</f>
        <v>1551598785965288</v>
      </c>
      <c r="C6910" t="s">
        <v>40</v>
      </c>
      <c r="D6910">
        <v>4.1491020000000001</v>
      </c>
      <c r="E6910">
        <v>0.49770029999999998</v>
      </c>
      <c r="F6910" t="s">
        <v>63</v>
      </c>
      <c r="G6910">
        <v>-421.4196</v>
      </c>
      <c r="H6910" s="1">
        <v>-1.020408E-5</v>
      </c>
      <c r="I6910">
        <v>14.6259</v>
      </c>
      <c r="J6910">
        <v>-421.91430000000003</v>
      </c>
      <c r="K6910">
        <v>1.1212359999999999</v>
      </c>
      <c r="L6910">
        <v>50.90448</v>
      </c>
      <c r="M6910">
        <v>-3.4271100000000001E-3</v>
      </c>
      <c r="N6910">
        <v>-1.3086759999999999E-2</v>
      </c>
      <c r="O6910">
        <v>-0.99990869999999998</v>
      </c>
      <c r="P6910">
        <v>8.2952859999999903E-3</v>
      </c>
      <c r="Q6910">
        <v>-2.9962889999999999E-2</v>
      </c>
      <c r="R6910">
        <v>-0.99951699999999999</v>
      </c>
      <c r="S6910">
        <v>4.0679930000000003E-2</v>
      </c>
      <c r="T6910">
        <v>-9.2301610000000006E-2</v>
      </c>
      <c r="U6910">
        <v>-2.9983520000000001</v>
      </c>
      <c r="V6910">
        <v>-1.172188E-2</v>
      </c>
      <c r="W6910">
        <v>-1.68799E-2</v>
      </c>
      <c r="X6910">
        <v>0.99978880000000003</v>
      </c>
      <c r="Y6910">
        <v>-1.6986190000000002E-2</v>
      </c>
      <c r="Z6910">
        <v>1.7682139999999999E-2</v>
      </c>
      <c r="AA6910">
        <v>0.99969940000000002</v>
      </c>
      <c r="AB6910">
        <v>21</v>
      </c>
      <c r="AC6910">
        <v>0.49470000000002201</v>
      </c>
      <c r="AD6910">
        <v>-1.12124620408</v>
      </c>
      <c r="AE6910">
        <v>-36.278579999999998</v>
      </c>
      <c r="AF6910">
        <v>-0.61844775962099297</v>
      </c>
      <c r="AG6910">
        <v>-1.12124620408</v>
      </c>
      <c r="AH6910">
        <v>36.242058834935698</v>
      </c>
      <c r="AI6910">
        <v>91.771777050063903</v>
      </c>
      <c r="AJ6910">
        <v>90.977621272061</v>
      </c>
      <c r="AK6910">
        <v>36.264672882524202</v>
      </c>
      <c r="AL6910">
        <v>90.967192973449897</v>
      </c>
      <c r="AM6910">
        <v>90.671725349407197</v>
      </c>
      <c r="AN6910">
        <v>0.99999998905009202</v>
      </c>
    </row>
    <row r="6911" spans="1:40" x14ac:dyDescent="0.25">
      <c r="A6911" t="str">
        <f>"20190303153945986"</f>
        <v>20190303153945986</v>
      </c>
      <c r="B6911" t="str">
        <f>"1551598785976024"</f>
        <v>1551598785976024</v>
      </c>
      <c r="C6911" t="s">
        <v>40</v>
      </c>
      <c r="D6911">
        <v>4.2060899999999997</v>
      </c>
      <c r="E6911">
        <v>0.49753629999999999</v>
      </c>
      <c r="F6911" t="s">
        <v>63</v>
      </c>
      <c r="G6911">
        <v>-421.38940000000002</v>
      </c>
      <c r="H6911" s="1">
        <v>-1.022372E-5</v>
      </c>
      <c r="I6911">
        <v>14.71232</v>
      </c>
      <c r="J6911">
        <v>-421.91480000000001</v>
      </c>
      <c r="K6911">
        <v>1.121191</v>
      </c>
      <c r="L6911">
        <v>50.780270000000002</v>
      </c>
      <c r="M6911">
        <v>-3.4269930000000001E-3</v>
      </c>
      <c r="N6911">
        <v>-1.289088E-2</v>
      </c>
      <c r="O6911">
        <v>-0.99991129999999995</v>
      </c>
      <c r="P6911">
        <v>8.6776040000000002E-3</v>
      </c>
      <c r="Q6911">
        <v>-2.9904529999999999E-2</v>
      </c>
      <c r="R6911">
        <v>-0.9995155</v>
      </c>
      <c r="S6911">
        <v>4.348755E-2</v>
      </c>
      <c r="T6911">
        <v>-9.2888120000000005E-2</v>
      </c>
      <c r="U6911">
        <v>-2.998291</v>
      </c>
      <c r="V6911">
        <v>-1.210372E-2</v>
      </c>
      <c r="W6911">
        <v>-1.701741E-2</v>
      </c>
      <c r="X6911">
        <v>0.9997819</v>
      </c>
      <c r="Y6911">
        <v>-1.7921980000000001E-2</v>
      </c>
      <c r="Z6911">
        <v>1.8073530000000001E-2</v>
      </c>
      <c r="AA6911">
        <v>0.99967600000000001</v>
      </c>
      <c r="AB6911">
        <v>21</v>
      </c>
      <c r="AC6911">
        <v>0.52539999999998999</v>
      </c>
      <c r="AD6911">
        <v>-1.12120122372</v>
      </c>
      <c r="AE6911">
        <v>-36.067950000000003</v>
      </c>
      <c r="AF6911">
        <v>-0.648385345644929</v>
      </c>
      <c r="AG6911">
        <v>-1.12120122372</v>
      </c>
      <c r="AH6911">
        <v>36.0311270051901</v>
      </c>
      <c r="AI6911">
        <v>91.782042143721</v>
      </c>
      <c r="AJ6911">
        <v>91.030934574125695</v>
      </c>
      <c r="AK6911">
        <v>36.054397914882102</v>
      </c>
      <c r="AL6911">
        <v>90.9750728666897</v>
      </c>
      <c r="AM6911">
        <v>90.693609471297506</v>
      </c>
      <c r="AN6911">
        <v>0.99999996992427698</v>
      </c>
    </row>
    <row r="6912" spans="1:40" x14ac:dyDescent="0.25">
      <c r="A6912" t="str">
        <f>"20190303153946000"</f>
        <v>20190303153946000</v>
      </c>
      <c r="B6912" t="str">
        <f>"1551598785995544"</f>
        <v>1551598785995544</v>
      </c>
      <c r="C6912" t="s">
        <v>40</v>
      </c>
      <c r="D6912">
        <v>4.1601239999999997</v>
      </c>
      <c r="E6912">
        <v>0.49720609999999998</v>
      </c>
      <c r="F6912" t="s">
        <v>63</v>
      </c>
      <c r="G6912">
        <v>-421.36070000000001</v>
      </c>
      <c r="H6912" s="1">
        <v>-1.0219130000000001E-5</v>
      </c>
      <c r="I6912">
        <v>14.561959999999999</v>
      </c>
      <c r="J6912">
        <v>-421.91520000000003</v>
      </c>
      <c r="K6912">
        <v>1.121151</v>
      </c>
      <c r="L6912">
        <v>50.65775</v>
      </c>
      <c r="M6912">
        <v>-3.4268369999999999E-3</v>
      </c>
      <c r="N6912">
        <v>-1.2693619999999999E-2</v>
      </c>
      <c r="O6912">
        <v>-0.99991370000000002</v>
      </c>
      <c r="P6912">
        <v>9.1392499999999998E-3</v>
      </c>
      <c r="Q6912">
        <v>-2.9728310000000001E-2</v>
      </c>
      <c r="R6912">
        <v>-0.99951630000000002</v>
      </c>
      <c r="S6912">
        <v>4.586792E-2</v>
      </c>
      <c r="T6912">
        <v>-9.281731E-2</v>
      </c>
      <c r="U6912">
        <v>-2.998291</v>
      </c>
      <c r="V6912">
        <v>-1.256519E-2</v>
      </c>
      <c r="W6912">
        <v>-1.7038439999999998E-2</v>
      </c>
      <c r="X6912">
        <v>0.99977590000000005</v>
      </c>
      <c r="Y6912">
        <v>-1.8715119999999998E-2</v>
      </c>
      <c r="Z6912">
        <v>1.8246760000000001E-2</v>
      </c>
      <c r="AA6912">
        <v>0.9996583</v>
      </c>
      <c r="AB6912">
        <v>21</v>
      </c>
      <c r="AC6912">
        <v>0.55450000000001798</v>
      </c>
      <c r="AD6912">
        <v>-1.12116121912999</v>
      </c>
      <c r="AE6912">
        <v>-36.095790000000001</v>
      </c>
      <c r="AF6912">
        <v>-0.67754755946463296</v>
      </c>
      <c r="AG6912">
        <v>-1.12116121912999</v>
      </c>
      <c r="AH6912">
        <v>36.058897417117599</v>
      </c>
      <c r="AI6912">
        <v>91.780581104892093</v>
      </c>
      <c r="AJ6912">
        <v>91.076462415407903</v>
      </c>
      <c r="AK6912">
        <v>36.082684990350003</v>
      </c>
      <c r="AL6912">
        <v>90.976277921501705</v>
      </c>
      <c r="AM6912">
        <v>90.720055818293503</v>
      </c>
      <c r="AN6912">
        <v>1.0000000213290801</v>
      </c>
    </row>
    <row r="6913" spans="1:40" x14ac:dyDescent="0.25">
      <c r="A6913" t="str">
        <f>"20190303153946015"</f>
        <v>20190303153946015</v>
      </c>
      <c r="B6913" t="str">
        <f>"1551598786005304"</f>
        <v>1551598786005304</v>
      </c>
      <c r="C6913" t="s">
        <v>40</v>
      </c>
      <c r="D6913">
        <v>4.1916679999999999</v>
      </c>
      <c r="E6913">
        <v>0.49703160000000002</v>
      </c>
      <c r="F6913" t="s">
        <v>63</v>
      </c>
      <c r="G6913">
        <v>-421.3175</v>
      </c>
      <c r="H6913" s="1">
        <v>-1.021755E-5</v>
      </c>
      <c r="I6913">
        <v>14.38904</v>
      </c>
      <c r="J6913">
        <v>-421.91570000000002</v>
      </c>
      <c r="K6913">
        <v>1.1211139999999999</v>
      </c>
      <c r="L6913">
        <v>50.511139999999997</v>
      </c>
      <c r="M6913">
        <v>-3.426634E-3</v>
      </c>
      <c r="N6913">
        <v>-1.246443E-2</v>
      </c>
      <c r="O6913">
        <v>-0.99991660000000004</v>
      </c>
      <c r="P6913">
        <v>1.0254650000000001E-2</v>
      </c>
      <c r="Q6913">
        <v>-2.9493800000000001E-2</v>
      </c>
      <c r="R6913">
        <v>-0.99951239999999997</v>
      </c>
      <c r="S6913">
        <v>4.9407960000000001E-2</v>
      </c>
      <c r="T6913">
        <v>-9.2684150000000007E-2</v>
      </c>
      <c r="U6913">
        <v>-2.9982600000000001</v>
      </c>
      <c r="V6913">
        <v>-1.368026E-2</v>
      </c>
      <c r="W6913">
        <v>-1.703315E-2</v>
      </c>
      <c r="X6913">
        <v>0.99976129999999996</v>
      </c>
      <c r="Y6913">
        <v>-1.9894800000000001E-2</v>
      </c>
      <c r="Z6913">
        <v>1.843123E-2</v>
      </c>
      <c r="AA6913">
        <v>0.99963219999999997</v>
      </c>
      <c r="AB6913">
        <v>21</v>
      </c>
      <c r="AC6913">
        <v>0.59820000000001905</v>
      </c>
      <c r="AD6913">
        <v>-1.12112421755</v>
      </c>
      <c r="AE6913">
        <v>-36.122100000000003</v>
      </c>
      <c r="AF6913">
        <v>-0.72128867373824501</v>
      </c>
      <c r="AG6913">
        <v>-1.12112421755</v>
      </c>
      <c r="AH6913">
        <v>36.085086697896401</v>
      </c>
      <c r="AI6913">
        <v>91.779189664756998</v>
      </c>
      <c r="AJ6913">
        <v>91.1451072446323</v>
      </c>
      <c r="AK6913">
        <v>36.109703112276399</v>
      </c>
      <c r="AL6913">
        <v>90.975974835535297</v>
      </c>
      <c r="AM6913">
        <v>90.783959376638407</v>
      </c>
      <c r="AN6913">
        <v>0.99999996734513896</v>
      </c>
    </row>
    <row r="6914" spans="1:40" x14ac:dyDescent="0.25">
      <c r="A6914" t="str">
        <f>"20190303153946030"</f>
        <v>20190303153946030</v>
      </c>
      <c r="B6914" t="str">
        <f>"1551598786025799"</f>
        <v>1551598786025799</v>
      </c>
      <c r="C6914" t="s">
        <v>40</v>
      </c>
      <c r="D6914">
        <v>4.1783089999999996</v>
      </c>
      <c r="E6914">
        <v>0.49673859999999997</v>
      </c>
      <c r="F6914" t="s">
        <v>63</v>
      </c>
      <c r="G6914">
        <v>-421.24939999999998</v>
      </c>
      <c r="H6914" s="1">
        <v>-1.0212010000000001E-5</v>
      </c>
      <c r="I6914">
        <v>14.085610000000001</v>
      </c>
      <c r="J6914">
        <v>-421.91609999999997</v>
      </c>
      <c r="K6914">
        <v>1.121078</v>
      </c>
      <c r="L6914">
        <v>50.36551</v>
      </c>
      <c r="M6914">
        <v>-3.4264230000000001E-3</v>
      </c>
      <c r="N6914">
        <v>-1.225045E-2</v>
      </c>
      <c r="O6914">
        <v>-0.99991920000000001</v>
      </c>
      <c r="P6914">
        <v>1.0690399999999999E-2</v>
      </c>
      <c r="Q6914">
        <v>-2.937408E-2</v>
      </c>
      <c r="R6914">
        <v>-0.9995115</v>
      </c>
      <c r="S6914">
        <v>5.4840090000000001E-2</v>
      </c>
      <c r="T6914">
        <v>-9.2279200000000006E-2</v>
      </c>
      <c r="U6914">
        <v>-2.9981689999999999</v>
      </c>
      <c r="V6914">
        <v>-1.411596E-2</v>
      </c>
      <c r="W6914">
        <v>-1.7127400000000001E-2</v>
      </c>
      <c r="X6914">
        <v>0.99975369999999997</v>
      </c>
      <c r="Y6914">
        <v>-2.170528E-2</v>
      </c>
      <c r="Z6914">
        <v>1.8510140000000001E-2</v>
      </c>
      <c r="AA6914">
        <v>0.99959299999999995</v>
      </c>
      <c r="AB6914">
        <v>21</v>
      </c>
      <c r="AC6914">
        <v>0.66669999999999097</v>
      </c>
      <c r="AD6914">
        <v>-1.1210882120100001</v>
      </c>
      <c r="AE6914">
        <v>-36.279899999999998</v>
      </c>
      <c r="AF6914">
        <v>-0.790261337140437</v>
      </c>
      <c r="AG6914">
        <v>-1.1210882120100001</v>
      </c>
      <c r="AH6914">
        <v>36.242806692489602</v>
      </c>
      <c r="AI6914">
        <v>91.771327996425995</v>
      </c>
      <c r="AJ6914">
        <v>91.249115885735804</v>
      </c>
      <c r="AK6914">
        <v>36.268752235350703</v>
      </c>
      <c r="AL6914">
        <v>90.981375684987498</v>
      </c>
      <c r="AM6914">
        <v>90.808930431713407</v>
      </c>
      <c r="AN6914">
        <v>1.0000000344105799</v>
      </c>
    </row>
    <row r="6915" spans="1:40" x14ac:dyDescent="0.25">
      <c r="A6915" t="str">
        <f>"20190303153946044"</f>
        <v>20190303153946044</v>
      </c>
      <c r="B6915" t="str">
        <f>"1551598786035560"</f>
        <v>1551598786035560</v>
      </c>
      <c r="C6915" t="s">
        <v>40</v>
      </c>
      <c r="D6915">
        <v>4.1822309999999998</v>
      </c>
      <c r="E6915">
        <v>0.49659750000000003</v>
      </c>
      <c r="F6915" t="s">
        <v>63</v>
      </c>
      <c r="G6915">
        <v>-421.21339999999998</v>
      </c>
      <c r="H6915" s="1">
        <v>-1.021387E-5</v>
      </c>
      <c r="I6915">
        <v>13.973319999999999</v>
      </c>
      <c r="J6915">
        <v>-421.91669999999999</v>
      </c>
      <c r="K6915">
        <v>1.121051</v>
      </c>
      <c r="L6915">
        <v>50.224179999999997</v>
      </c>
      <c r="M6915">
        <v>-3.426227E-3</v>
      </c>
      <c r="N6915">
        <v>-1.205695E-2</v>
      </c>
      <c r="O6915">
        <v>-0.99992159999999997</v>
      </c>
      <c r="P6915">
        <v>1.107265E-2</v>
      </c>
      <c r="Q6915">
        <v>-2.9593979999999999E-2</v>
      </c>
      <c r="R6915">
        <v>-0.99950079999999997</v>
      </c>
      <c r="S6915">
        <v>5.7891850000000002E-2</v>
      </c>
      <c r="T6915">
        <v>-9.2359899999999995E-2</v>
      </c>
      <c r="U6915">
        <v>-2.998138</v>
      </c>
      <c r="V6915">
        <v>-1.4498179999999999E-2</v>
      </c>
      <c r="W6915">
        <v>-1.754089E-2</v>
      </c>
      <c r="X6915">
        <v>0.99974099999999999</v>
      </c>
      <c r="Y6915">
        <v>-2.272213E-2</v>
      </c>
      <c r="Z6915">
        <v>1.8730159999999999E-2</v>
      </c>
      <c r="AA6915">
        <v>0.99956639999999997</v>
      </c>
      <c r="AB6915">
        <v>22</v>
      </c>
      <c r="AC6915">
        <v>0.70330000000001203</v>
      </c>
      <c r="AD6915">
        <v>-1.12106121387</v>
      </c>
      <c r="AE6915">
        <v>-36.250860000000003</v>
      </c>
      <c r="AF6915">
        <v>-0.82671821193353601</v>
      </c>
      <c r="AG6915">
        <v>-1.12106121387</v>
      </c>
      <c r="AH6915">
        <v>36.213617079683999</v>
      </c>
      <c r="AI6915">
        <v>91.772671706244694</v>
      </c>
      <c r="AJ6915">
        <v>91.307774315391697</v>
      </c>
      <c r="AK6915">
        <v>36.240396013856802</v>
      </c>
      <c r="AL6915">
        <v>91.005070537459204</v>
      </c>
      <c r="AM6915">
        <v>90.830841487225598</v>
      </c>
      <c r="AN6915">
        <v>0.99999997356315096</v>
      </c>
    </row>
    <row r="6916" spans="1:40" x14ac:dyDescent="0.25">
      <c r="A6916" t="str">
        <f>"20190303153946061"</f>
        <v>20190303153946061</v>
      </c>
      <c r="B6916" t="str">
        <f>"1551598786055080"</f>
        <v>1551598786055080</v>
      </c>
      <c r="C6916" t="s">
        <v>40</v>
      </c>
      <c r="D6916">
        <v>4.1897419999999999</v>
      </c>
      <c r="E6916">
        <v>0.4962531</v>
      </c>
      <c r="F6916" t="s">
        <v>63</v>
      </c>
      <c r="G6916">
        <v>-421.19</v>
      </c>
      <c r="H6916" s="1">
        <v>-1.023457E-5</v>
      </c>
      <c r="I6916">
        <v>14.095219999999999</v>
      </c>
      <c r="J6916">
        <v>-421.91719999999998</v>
      </c>
      <c r="K6916">
        <v>1.121027</v>
      </c>
      <c r="L6916">
        <v>50.070920000000001</v>
      </c>
      <c r="M6916">
        <v>-3.4260380000000002E-3</v>
      </c>
      <c r="N6916">
        <v>-1.1852359999999999E-2</v>
      </c>
      <c r="O6916">
        <v>-0.99992420000000004</v>
      </c>
      <c r="P6916">
        <v>1.128814E-2</v>
      </c>
      <c r="Q6916">
        <v>-2.9943009999999999E-2</v>
      </c>
      <c r="R6916">
        <v>-0.99948820000000005</v>
      </c>
      <c r="S6916">
        <v>6.0302729999999999E-2</v>
      </c>
      <c r="T6916">
        <v>-9.3028659999999999E-2</v>
      </c>
      <c r="U6916">
        <v>-2.9980769999999999</v>
      </c>
      <c r="V6916">
        <v>-1.471303E-2</v>
      </c>
      <c r="W6916">
        <v>-1.8094590000000001E-2</v>
      </c>
      <c r="X6916">
        <v>0.99972799999999995</v>
      </c>
      <c r="Y6916">
        <v>-2.3525529999999999E-2</v>
      </c>
      <c r="Z6916">
        <v>1.915758E-2</v>
      </c>
      <c r="AA6916">
        <v>0.99953970000000003</v>
      </c>
      <c r="AB6916">
        <v>22</v>
      </c>
      <c r="AC6916">
        <v>0.72719999999998197</v>
      </c>
      <c r="AD6916">
        <v>-1.1210372345699999</v>
      </c>
      <c r="AE6916">
        <v>-35.975700000000003</v>
      </c>
      <c r="AF6916">
        <v>-0.84963380475738404</v>
      </c>
      <c r="AG6916">
        <v>-1.1210372345699999</v>
      </c>
      <c r="AH6916">
        <v>35.938115398531501</v>
      </c>
      <c r="AI6916">
        <v>91.786180371820606</v>
      </c>
      <c r="AJ6916">
        <v>91.354310432993998</v>
      </c>
      <c r="AK6916">
        <v>35.965632769098399</v>
      </c>
      <c r="AL6916">
        <v>91.036800241453093</v>
      </c>
      <c r="AM6916">
        <v>90.843163009403099</v>
      </c>
      <c r="AN6916">
        <v>0.99999998071152396</v>
      </c>
    </row>
    <row r="6917" spans="1:40" x14ac:dyDescent="0.25">
      <c r="A6917" t="str">
        <f>"20190303153946079"</f>
        <v>20190303153946079</v>
      </c>
      <c r="B6917" t="str">
        <f>"1551598786076084"</f>
        <v>1551598786076084</v>
      </c>
      <c r="C6917" t="s">
        <v>40</v>
      </c>
      <c r="D6917">
        <v>4.2051679999999996</v>
      </c>
      <c r="E6917">
        <v>0.49598589999999998</v>
      </c>
      <c r="F6917" t="s">
        <v>63</v>
      </c>
      <c r="G6917">
        <v>-421.16469999999998</v>
      </c>
      <c r="H6917" s="1">
        <v>-1.029402E-5</v>
      </c>
      <c r="I6917">
        <v>14.59835</v>
      </c>
      <c r="J6917">
        <v>-421.9178</v>
      </c>
      <c r="K6917">
        <v>1.121008</v>
      </c>
      <c r="L6917">
        <v>49.900269999999999</v>
      </c>
      <c r="M6917">
        <v>-3.4258470000000001E-3</v>
      </c>
      <c r="N6917">
        <v>-1.16314E-2</v>
      </c>
      <c r="O6917">
        <v>-0.9999268</v>
      </c>
      <c r="P6917">
        <v>1.134896E-2</v>
      </c>
      <c r="Q6917">
        <v>-3.000622E-2</v>
      </c>
      <c r="R6917">
        <v>-0.99948559999999997</v>
      </c>
      <c r="S6917">
        <v>6.3598630000000003E-2</v>
      </c>
      <c r="T6917">
        <v>-9.4745159999999995E-2</v>
      </c>
      <c r="U6917">
        <v>-2.997986</v>
      </c>
      <c r="V6917">
        <v>-1.4773980000000001E-2</v>
      </c>
      <c r="W6917">
        <v>-1.8378740000000001E-2</v>
      </c>
      <c r="X6917">
        <v>0.99972190000000005</v>
      </c>
      <c r="Y6917">
        <v>-2.462379E-2</v>
      </c>
      <c r="Z6917">
        <v>1.99504E-2</v>
      </c>
      <c r="AA6917">
        <v>0.99949770000000004</v>
      </c>
      <c r="AB6917">
        <v>22</v>
      </c>
      <c r="AC6917">
        <v>0.75310000000001698</v>
      </c>
      <c r="AD6917">
        <v>-1.12101829402</v>
      </c>
      <c r="AE6917">
        <v>-35.301920000000003</v>
      </c>
      <c r="AF6917">
        <v>-0.87316261194604206</v>
      </c>
      <c r="AG6917">
        <v>-1.12101829402</v>
      </c>
      <c r="AH6917">
        <v>35.263589340385501</v>
      </c>
      <c r="AI6917">
        <v>91.820243880382506</v>
      </c>
      <c r="AJ6917">
        <v>91.418412387523603</v>
      </c>
      <c r="AK6917">
        <v>35.292206336948901</v>
      </c>
      <c r="AL6917">
        <v>91.053083564215498</v>
      </c>
      <c r="AM6917">
        <v>90.8466605430241</v>
      </c>
      <c r="AN6917">
        <v>0.99999996295431803</v>
      </c>
    </row>
    <row r="6918" spans="1:40" x14ac:dyDescent="0.25">
      <c r="A6918" t="str">
        <f>"20190303153946096"</f>
        <v>20190303153946096</v>
      </c>
      <c r="B6918" t="str">
        <f>"1551598786085843"</f>
        <v>1551598786085843</v>
      </c>
      <c r="C6918" t="s">
        <v>40</v>
      </c>
      <c r="D6918">
        <v>4.2146270000000001</v>
      </c>
      <c r="E6918">
        <v>0.49586330000000001</v>
      </c>
      <c r="F6918" t="s">
        <v>63</v>
      </c>
      <c r="G6918">
        <v>-421.14159999999998</v>
      </c>
      <c r="H6918" s="1">
        <v>-1.0310819999999999E-5</v>
      </c>
      <c r="I6918">
        <v>14.68244</v>
      </c>
      <c r="J6918">
        <v>-421.91840000000002</v>
      </c>
      <c r="K6918">
        <v>1.1209899999999999</v>
      </c>
      <c r="L6918">
        <v>49.729950000000002</v>
      </c>
      <c r="M6918">
        <v>-3.4256579999999998E-3</v>
      </c>
      <c r="N6918">
        <v>-1.14219E-2</v>
      </c>
      <c r="O6918">
        <v>-0.99992919999999996</v>
      </c>
      <c r="P6918">
        <v>1.175989E-2</v>
      </c>
      <c r="Q6918">
        <v>-2.8267589999999999E-2</v>
      </c>
      <c r="R6918">
        <v>-0.99953150000000002</v>
      </c>
      <c r="S6918">
        <v>6.607056E-2</v>
      </c>
      <c r="T6918">
        <v>-9.5426919999999998E-2</v>
      </c>
      <c r="U6918">
        <v>-2.997925</v>
      </c>
      <c r="V6918">
        <v>-1.518483E-2</v>
      </c>
      <c r="W6918">
        <v>-1.6849159999999998E-2</v>
      </c>
      <c r="X6918">
        <v>0.99974269999999998</v>
      </c>
      <c r="Y6918">
        <v>-2.544747E-2</v>
      </c>
      <c r="Z6918">
        <v>2.0386970000000001E-2</v>
      </c>
      <c r="AA6918">
        <v>0.99946829999999998</v>
      </c>
      <c r="AB6918">
        <v>22</v>
      </c>
      <c r="AC6918">
        <v>0.77680000000003602</v>
      </c>
      <c r="AD6918">
        <v>-1.12100031082</v>
      </c>
      <c r="AE6918">
        <v>-35.047509999999903</v>
      </c>
      <c r="AF6918">
        <v>-0.89594787079989102</v>
      </c>
      <c r="AG6918">
        <v>-1.12100031082</v>
      </c>
      <c r="AH6918">
        <v>35.0088448701269</v>
      </c>
      <c r="AI6918">
        <v>91.833412311810804</v>
      </c>
      <c r="AJ6918">
        <v>91.465996068493894</v>
      </c>
      <c r="AK6918">
        <v>35.038244582522402</v>
      </c>
      <c r="AL6918">
        <v>90.965431469305997</v>
      </c>
      <c r="AM6918">
        <v>90.870183674739806</v>
      </c>
      <c r="AN6918">
        <v>0.99999996972906102</v>
      </c>
    </row>
    <row r="6919" spans="1:40" x14ac:dyDescent="0.25">
      <c r="A6919" t="str">
        <f>"20190303153946116"</f>
        <v>20190303153946116</v>
      </c>
      <c r="B6919" t="str">
        <f>"1551598786105369"</f>
        <v>1551598786105369</v>
      </c>
      <c r="C6919" t="s">
        <v>40</v>
      </c>
      <c r="D6919">
        <v>4.2281750000000002</v>
      </c>
      <c r="E6919">
        <v>0.4956101</v>
      </c>
      <c r="F6919" t="s">
        <v>63</v>
      </c>
      <c r="G6919">
        <v>-421.06970000000001</v>
      </c>
      <c r="H6919" s="1">
        <v>-1.0122970000000001E-5</v>
      </c>
      <c r="I6919">
        <v>12.53999</v>
      </c>
      <c r="J6919">
        <v>-421.91910000000001</v>
      </c>
      <c r="K6919">
        <v>1.120978</v>
      </c>
      <c r="L6919">
        <v>49.541170000000001</v>
      </c>
      <c r="M6919">
        <v>-3.425441E-3</v>
      </c>
      <c r="N6919">
        <v>-1.120881E-2</v>
      </c>
      <c r="O6919">
        <v>-0.99993129999999997</v>
      </c>
      <c r="P6919">
        <v>1.2417630000000001E-2</v>
      </c>
      <c r="Q6919">
        <v>-2.6829019999999999E-2</v>
      </c>
      <c r="R6919">
        <v>-0.99956299999999998</v>
      </c>
      <c r="S6919">
        <v>6.8420410000000001E-2</v>
      </c>
      <c r="T6919">
        <v>-9.0368749999999998E-2</v>
      </c>
      <c r="U6919">
        <v>-2.9980470000000001</v>
      </c>
      <c r="V6919">
        <v>-1.584205E-2</v>
      </c>
      <c r="W6919">
        <v>-1.5623369999999999E-2</v>
      </c>
      <c r="X6919">
        <v>0.99975250000000004</v>
      </c>
      <c r="Y6919">
        <v>-2.623019E-2</v>
      </c>
      <c r="Z6919">
        <v>1.891344E-2</v>
      </c>
      <c r="AA6919">
        <v>0.99947699999999995</v>
      </c>
      <c r="AB6919">
        <v>22</v>
      </c>
      <c r="AC6919">
        <v>0.84940000000000204</v>
      </c>
      <c r="AD6919">
        <v>-1.1209881229700001</v>
      </c>
      <c r="AE6919">
        <v>-37.001179999999998</v>
      </c>
      <c r="AF6919">
        <v>-0.97525367597567403</v>
      </c>
      <c r="AG6919">
        <v>-1.1209881229700001</v>
      </c>
      <c r="AH6919">
        <v>36.964143536302402</v>
      </c>
      <c r="AI6919">
        <v>91.736436468412194</v>
      </c>
      <c r="AJ6919">
        <v>91.511328386067802</v>
      </c>
      <c r="AK6919">
        <v>36.993994667739102</v>
      </c>
      <c r="AL6919">
        <v>90.895189528663394</v>
      </c>
      <c r="AM6919">
        <v>90.9078313320653</v>
      </c>
      <c r="AN6919">
        <v>1.0000000607473001</v>
      </c>
    </row>
    <row r="6920" spans="1:40" x14ac:dyDescent="0.25">
      <c r="A6920" t="str">
        <f>"20190303153946133"</f>
        <v>20190303153946133</v>
      </c>
      <c r="B6920" t="str">
        <f>"1551598786125859"</f>
        <v>1551598786125859</v>
      </c>
      <c r="C6920" t="s">
        <v>40</v>
      </c>
      <c r="D6920">
        <v>4.2263539999999997</v>
      </c>
      <c r="E6920">
        <v>0.49536730000000001</v>
      </c>
      <c r="F6920" t="s">
        <v>63</v>
      </c>
      <c r="G6920">
        <v>-420.98250000000002</v>
      </c>
      <c r="H6920" s="1">
        <v>-9.9659700000000004E-6</v>
      </c>
      <c r="I6920">
        <v>10.65103</v>
      </c>
      <c r="J6920">
        <v>-421.91969999999998</v>
      </c>
      <c r="K6920">
        <v>1.120967</v>
      </c>
      <c r="L6920">
        <v>49.36938</v>
      </c>
      <c r="M6920">
        <v>-3.425249E-3</v>
      </c>
      <c r="N6920">
        <v>-1.10338E-2</v>
      </c>
      <c r="O6920">
        <v>-0.99993319999999997</v>
      </c>
      <c r="P6920">
        <v>1.284452E-2</v>
      </c>
      <c r="Q6920">
        <v>-2.6987199999999999E-2</v>
      </c>
      <c r="R6920">
        <v>-0.99955329999999998</v>
      </c>
      <c r="S6920">
        <v>7.2204589999999999E-2</v>
      </c>
      <c r="T6920">
        <v>-8.6418869999999995E-2</v>
      </c>
      <c r="U6920">
        <v>-2.9981080000000002</v>
      </c>
      <c r="V6920">
        <v>-1.6269100000000002E-2</v>
      </c>
      <c r="W6920">
        <v>-1.5956620000000001E-2</v>
      </c>
      <c r="X6920">
        <v>0.99974030000000003</v>
      </c>
      <c r="Y6920">
        <v>-2.7490879999999999E-2</v>
      </c>
      <c r="Z6920">
        <v>1.7771200000000001E-2</v>
      </c>
      <c r="AA6920">
        <v>0.99946409999999997</v>
      </c>
      <c r="AB6920">
        <v>22</v>
      </c>
      <c r="AC6920">
        <v>0.93719999999996095</v>
      </c>
      <c r="AD6920">
        <v>-1.12097696597</v>
      </c>
      <c r="AE6920">
        <v>-38.718350000000001</v>
      </c>
      <c r="AF6920">
        <v>-1.06892709778841</v>
      </c>
      <c r="AG6920">
        <v>-1.12097696597</v>
      </c>
      <c r="AH6920">
        <v>38.682506915125202</v>
      </c>
      <c r="AI6920">
        <v>91.659271773209198</v>
      </c>
      <c r="AJ6920">
        <v>91.582871287253496</v>
      </c>
      <c r="AK6920">
        <v>38.713505856965803</v>
      </c>
      <c r="AL6920">
        <v>90.914285798479199</v>
      </c>
      <c r="AM6920">
        <v>90.932310616204106</v>
      </c>
      <c r="AN6920">
        <v>0.99999998239036203</v>
      </c>
    </row>
    <row r="6921" spans="1:40" x14ac:dyDescent="0.25">
      <c r="A6921" t="str">
        <f>"20190303153946148"</f>
        <v>20190303153946148</v>
      </c>
      <c r="B6921" t="str">
        <f>"1551598786145379"</f>
        <v>1551598786145379</v>
      </c>
      <c r="C6921" t="s">
        <v>40</v>
      </c>
      <c r="D6921">
        <v>4.2229739999999998</v>
      </c>
      <c r="E6921">
        <v>0.495062</v>
      </c>
      <c r="F6921" t="s">
        <v>63</v>
      </c>
      <c r="G6921">
        <v>-420.95569999999998</v>
      </c>
      <c r="H6921" s="1">
        <v>-1.000725E-5</v>
      </c>
      <c r="I6921">
        <v>10.96679</v>
      </c>
      <c r="J6921">
        <v>-421.92009999999999</v>
      </c>
      <c r="K6921">
        <v>1.120949</v>
      </c>
      <c r="L6921">
        <v>49.220370000000003</v>
      </c>
      <c r="M6921">
        <v>-3.425095E-3</v>
      </c>
      <c r="N6921">
        <v>-1.089557E-2</v>
      </c>
      <c r="O6921">
        <v>-0.99993489999999996</v>
      </c>
      <c r="P6921">
        <v>1.3139700000000001E-2</v>
      </c>
      <c r="Q6921">
        <v>-2.8200349999999999E-2</v>
      </c>
      <c r="R6921">
        <v>-0.99951619999999997</v>
      </c>
      <c r="S6921">
        <v>7.525635E-2</v>
      </c>
      <c r="T6921">
        <v>-8.7512489999999998E-2</v>
      </c>
      <c r="U6921">
        <v>-2.9980159999999998</v>
      </c>
      <c r="V6921">
        <v>-1.656382E-2</v>
      </c>
      <c r="W6921">
        <v>-1.730831E-2</v>
      </c>
      <c r="X6921">
        <v>0.99971299999999996</v>
      </c>
      <c r="Y6921">
        <v>-2.85078E-2</v>
      </c>
      <c r="Z6921">
        <v>1.82738E-2</v>
      </c>
      <c r="AA6921">
        <v>0.9994265</v>
      </c>
      <c r="AB6921">
        <v>22</v>
      </c>
      <c r="AC6921">
        <v>0.96440000000001203</v>
      </c>
      <c r="AD6921">
        <v>-1.12095900725</v>
      </c>
      <c r="AE6921">
        <v>-38.253579999999999</v>
      </c>
      <c r="AF6921">
        <v>-1.09448502552306</v>
      </c>
      <c r="AG6921">
        <v>-1.12095900725</v>
      </c>
      <c r="AH6921">
        <v>38.217256386482802</v>
      </c>
      <c r="AI6921">
        <v>91.679385651952003</v>
      </c>
      <c r="AJ6921">
        <v>91.640417002020399</v>
      </c>
      <c r="AK6921">
        <v>38.249354664846202</v>
      </c>
      <c r="AL6921">
        <v>90.991742625053405</v>
      </c>
      <c r="AM6921">
        <v>90.949222577317499</v>
      </c>
      <c r="AN6921">
        <v>1.00000001004852</v>
      </c>
    </row>
    <row r="6922" spans="1:40" x14ac:dyDescent="0.25">
      <c r="A6922" t="str">
        <f>"20190303153946172"</f>
        <v>20190303153946172</v>
      </c>
      <c r="B6922" t="str">
        <f>"1551598786165409"</f>
        <v>1551598786165409</v>
      </c>
      <c r="C6922" t="s">
        <v>40</v>
      </c>
      <c r="D6922">
        <v>4.2264569999999999</v>
      </c>
      <c r="E6922">
        <v>0.49491269999999998</v>
      </c>
      <c r="F6922" t="s">
        <v>63</v>
      </c>
      <c r="G6922">
        <v>-420.96109999999999</v>
      </c>
      <c r="H6922" s="1">
        <v>-1.018457E-5</v>
      </c>
      <c r="I6922">
        <v>12.76155</v>
      </c>
      <c r="J6922">
        <v>-421.92090000000002</v>
      </c>
      <c r="K6922">
        <v>1.1209450000000001</v>
      </c>
      <c r="L6922">
        <v>48.999850000000002</v>
      </c>
      <c r="M6922">
        <v>-3.4248809999999998E-3</v>
      </c>
      <c r="N6922">
        <v>-1.071389E-2</v>
      </c>
      <c r="O6922">
        <v>-0.99993710000000002</v>
      </c>
      <c r="P6922">
        <v>1.3853549999999999E-2</v>
      </c>
      <c r="Q6922">
        <v>-2.9652649999999999E-2</v>
      </c>
      <c r="R6922">
        <v>-0.99946460000000004</v>
      </c>
      <c r="S6922">
        <v>7.8857419999999998E-2</v>
      </c>
      <c r="T6922">
        <v>-9.2170119999999994E-2</v>
      </c>
      <c r="U6922">
        <v>-2.9978030000000002</v>
      </c>
      <c r="V6922">
        <v>-1.7277399999999998E-2</v>
      </c>
      <c r="W6922">
        <v>-1.894272E-2</v>
      </c>
      <c r="X6922">
        <v>0.99967130000000004</v>
      </c>
      <c r="Y6922">
        <v>-2.9707859999999999E-2</v>
      </c>
      <c r="Z6922">
        <v>2.0007939999999998E-2</v>
      </c>
      <c r="AA6922">
        <v>0.99935839999999998</v>
      </c>
      <c r="AB6922">
        <v>22</v>
      </c>
      <c r="AC6922">
        <v>0.95980000000002896</v>
      </c>
      <c r="AD6922">
        <v>-1.1209551845700001</v>
      </c>
      <c r="AE6922">
        <v>-36.238300000000002</v>
      </c>
      <c r="AF6922">
        <v>-1.0828778962091601</v>
      </c>
      <c r="AG6922">
        <v>-1.1209551845700001</v>
      </c>
      <c r="AH6922">
        <v>36.2001864243759</v>
      </c>
      <c r="AI6922">
        <v>91.772830547043696</v>
      </c>
      <c r="AJ6922">
        <v>91.713412084166805</v>
      </c>
      <c r="AK6922">
        <v>36.2337227210162</v>
      </c>
      <c r="AL6922">
        <v>91.085402803540305</v>
      </c>
      <c r="AM6922">
        <v>90.990149015745601</v>
      </c>
      <c r="AN6922">
        <v>1.0000000216177201</v>
      </c>
    </row>
    <row r="6923" spans="1:40" x14ac:dyDescent="0.25">
      <c r="A6923" t="str">
        <f>"20190303153946187"</f>
        <v>20190303153946187</v>
      </c>
      <c r="B6923" t="str">
        <f>"1551598786175167"</f>
        <v>1551598786175167</v>
      </c>
      <c r="C6923" t="s">
        <v>40</v>
      </c>
      <c r="D6923">
        <v>4.3190059999999999</v>
      </c>
      <c r="E6923">
        <v>0.46119840000000001</v>
      </c>
      <c r="F6923" t="s">
        <v>63</v>
      </c>
      <c r="G6923">
        <v>-420.97280000000001</v>
      </c>
      <c r="H6923" s="1">
        <v>-1.0333070000000001E-5</v>
      </c>
      <c r="I6923">
        <v>14.2907799999999</v>
      </c>
      <c r="J6923">
        <v>-421.92140000000001</v>
      </c>
      <c r="K6923">
        <v>1.1209420000000001</v>
      </c>
      <c r="L6923">
        <v>48.836550000000003</v>
      </c>
      <c r="M6923">
        <v>-3.4247119999999999E-3</v>
      </c>
      <c r="N6923">
        <v>-1.059325E-2</v>
      </c>
      <c r="O6923">
        <v>-0.99993799999999999</v>
      </c>
      <c r="P6923">
        <v>1.3906140000000001E-2</v>
      </c>
      <c r="Q6923">
        <v>-3.0099709999999998E-2</v>
      </c>
      <c r="R6923">
        <v>-0.99945010000000001</v>
      </c>
      <c r="S6923">
        <v>8.1878660000000006E-2</v>
      </c>
      <c r="T6923">
        <v>-9.6809389999999995E-2</v>
      </c>
      <c r="U6923">
        <v>-2.9975890000000001</v>
      </c>
      <c r="V6923">
        <v>-1.732964E-2</v>
      </c>
      <c r="W6923">
        <v>-1.9510509999999998E-2</v>
      </c>
      <c r="X6923">
        <v>0.99965950000000003</v>
      </c>
      <c r="Y6923">
        <v>-3.0714740000000001E-2</v>
      </c>
      <c r="Z6923">
        <v>2.167498E-2</v>
      </c>
      <c r="AA6923">
        <v>0.99929310000000005</v>
      </c>
      <c r="AB6923">
        <v>22</v>
      </c>
      <c r="AC6923">
        <v>0.948599999999999</v>
      </c>
      <c r="AD6923">
        <v>-1.12095233307</v>
      </c>
      <c r="AE6923">
        <v>-34.545769999999997</v>
      </c>
      <c r="AF6923">
        <v>-1.0657890740909299</v>
      </c>
      <c r="AG6923">
        <v>-1.12095233307</v>
      </c>
      <c r="AH6923">
        <v>34.506014731934997</v>
      </c>
      <c r="AI6923">
        <v>91.859753369546397</v>
      </c>
      <c r="AJ6923">
        <v>91.769135277917897</v>
      </c>
      <c r="AK6923">
        <v>34.540664341670997</v>
      </c>
      <c r="AL6923">
        <v>91.117940761055706</v>
      </c>
      <c r="AM6923">
        <v>90.99315395536</v>
      </c>
      <c r="AN6923">
        <v>1.0000000461816101</v>
      </c>
    </row>
    <row r="6924" spans="1:40" x14ac:dyDescent="0.25">
      <c r="A6924" t="str">
        <f>"20190303153946203"</f>
        <v>20190303153946203</v>
      </c>
      <c r="B6924" t="str">
        <f>"1551598786195662"</f>
        <v>1551598786195662</v>
      </c>
      <c r="C6924" t="s">
        <v>40</v>
      </c>
      <c r="D6924">
        <v>4.1594309999999997</v>
      </c>
      <c r="E6924">
        <v>0.403306</v>
      </c>
      <c r="F6924" t="s">
        <v>63</v>
      </c>
      <c r="G6924">
        <v>-419.25850000000003</v>
      </c>
      <c r="H6924" s="1">
        <v>-7.1395470000000002E-6</v>
      </c>
      <c r="I6924">
        <v>26.123850000000001</v>
      </c>
      <c r="J6924">
        <v>-421.92200000000003</v>
      </c>
      <c r="K6924">
        <v>1.1209370000000001</v>
      </c>
      <c r="L6924">
        <v>48.687440000000002</v>
      </c>
      <c r="M6924">
        <v>-3.4245539999999998E-3</v>
      </c>
      <c r="N6924">
        <v>-1.049434E-2</v>
      </c>
      <c r="O6924">
        <v>-0.99993920000000003</v>
      </c>
      <c r="P6924">
        <v>1.4246200000000001E-2</v>
      </c>
      <c r="Q6924">
        <v>-2.9872309999999999E-2</v>
      </c>
      <c r="R6924">
        <v>-0.99945229999999996</v>
      </c>
      <c r="S6924">
        <v>0.35083009999999998</v>
      </c>
      <c r="T6924">
        <v>-0.1476806</v>
      </c>
      <c r="U6924">
        <v>-2.9923099999999998</v>
      </c>
      <c r="V6924">
        <v>-1.7669549999999999E-2</v>
      </c>
      <c r="W6924">
        <v>-1.938198E-2</v>
      </c>
      <c r="X6924">
        <v>0.99965599999999999</v>
      </c>
      <c r="Y6924">
        <v>-0.1197236</v>
      </c>
      <c r="Z6924">
        <v>3.846202E-2</v>
      </c>
      <c r="AA6924">
        <v>0.992062</v>
      </c>
      <c r="AB6924">
        <v>22</v>
      </c>
      <c r="AC6924">
        <v>2.66349999999994</v>
      </c>
      <c r="AD6924">
        <v>-1.1209441395469999</v>
      </c>
      <c r="AE6924">
        <v>-22.563589999999898</v>
      </c>
      <c r="AF6924">
        <v>-2.73410372576924</v>
      </c>
      <c r="AG6924">
        <v>-1.1209441395469999</v>
      </c>
      <c r="AH6924">
        <v>22.499569263922002</v>
      </c>
      <c r="AI6924">
        <v>92.831363256734605</v>
      </c>
      <c r="AJ6924">
        <v>96.928500967200307</v>
      </c>
      <c r="AK6924">
        <v>22.6927842277953</v>
      </c>
      <c r="AL6924">
        <v>91.110575197510002</v>
      </c>
      <c r="AM6924">
        <v>91.012633573573495</v>
      </c>
      <c r="AN6924">
        <v>0.99999999624096103</v>
      </c>
    </row>
    <row r="6925" spans="1:40" x14ac:dyDescent="0.25">
      <c r="A6925" t="str">
        <f>"20190303153946216"</f>
        <v>20190303153946216</v>
      </c>
      <c r="B6925" t="str">
        <f>"1551598786205422"</f>
        <v>1551598786205422</v>
      </c>
      <c r="C6925" t="s">
        <v>40</v>
      </c>
      <c r="D6925">
        <v>3.9507029999999999</v>
      </c>
      <c r="E6925">
        <v>0.403306</v>
      </c>
      <c r="F6925" t="s">
        <v>63</v>
      </c>
      <c r="G6925">
        <v>-416.5292</v>
      </c>
      <c r="H6925" s="1">
        <v>-8.4088679999999992E-6</v>
      </c>
      <c r="I6925">
        <v>28.891639999999999</v>
      </c>
      <c r="J6925">
        <v>-421.92250000000001</v>
      </c>
      <c r="K6925">
        <v>1.12093</v>
      </c>
      <c r="L6925">
        <v>48.561680000000003</v>
      </c>
      <c r="M6925">
        <v>-3.4244240000000001E-3</v>
      </c>
      <c r="N6925">
        <v>-1.041539E-2</v>
      </c>
      <c r="O6925">
        <v>-0.99993989999999999</v>
      </c>
      <c r="P6925">
        <v>1.462055E-2</v>
      </c>
      <c r="Q6925">
        <v>-2.9620029999999999E-2</v>
      </c>
      <c r="R6925">
        <v>-0.99945439999999997</v>
      </c>
      <c r="S6925">
        <v>0.81317139999999999</v>
      </c>
      <c r="T6925">
        <v>-0.16902600000000001</v>
      </c>
      <c r="U6925">
        <v>-2.984985</v>
      </c>
      <c r="V6925">
        <v>-1.8043799999999999E-2</v>
      </c>
      <c r="W6925">
        <v>-1.9208610000000001E-2</v>
      </c>
      <c r="X6925">
        <v>0.99965269999999995</v>
      </c>
      <c r="Y6925">
        <v>-0.26580009999999998</v>
      </c>
      <c r="Z6925">
        <v>4.4120230000000003E-2</v>
      </c>
      <c r="AA6925">
        <v>0.96301800000000004</v>
      </c>
      <c r="AB6925">
        <v>22</v>
      </c>
      <c r="AC6925">
        <v>5.3933000000000098</v>
      </c>
      <c r="AD6925">
        <v>-1.1209384088679999</v>
      </c>
      <c r="AE6925">
        <v>-19.67004</v>
      </c>
      <c r="AF6925">
        <v>-5.4441866738885798</v>
      </c>
      <c r="AG6925">
        <v>-1.1209384088679999</v>
      </c>
      <c r="AH6925">
        <v>19.5922771535698</v>
      </c>
      <c r="AI6925">
        <v>93.155216361011</v>
      </c>
      <c r="AJ6925">
        <v>105.529235187835</v>
      </c>
      <c r="AK6925">
        <v>20.365485398558899</v>
      </c>
      <c r="AL6925">
        <v>91.100639935827402</v>
      </c>
      <c r="AM6925">
        <v>91.034080468422999</v>
      </c>
      <c r="AN6925">
        <v>1.00000003501693</v>
      </c>
    </row>
    <row r="6926" spans="1:40" x14ac:dyDescent="0.25">
      <c r="A6926" t="str">
        <f>"20190303153946232"</f>
        <v>20190303153946232</v>
      </c>
      <c r="B6926" t="str">
        <f>"1551598786225918"</f>
        <v>1551598786225918</v>
      </c>
      <c r="C6926" t="s">
        <v>40</v>
      </c>
      <c r="D6926">
        <v>4.0479149999999997</v>
      </c>
      <c r="E6926">
        <v>0.3389566</v>
      </c>
      <c r="F6926" t="s">
        <v>63</v>
      </c>
      <c r="G6926">
        <v>-416.48379999999997</v>
      </c>
      <c r="H6926" s="1">
        <v>-8.3961150000000002E-6</v>
      </c>
      <c r="I6926">
        <v>28.636569999999999</v>
      </c>
      <c r="J6926">
        <v>-421.923</v>
      </c>
      <c r="K6926">
        <v>1.1209249999999999</v>
      </c>
      <c r="L6926">
        <v>48.398589999999999</v>
      </c>
      <c r="M6926">
        <v>-3.4242589999999998E-3</v>
      </c>
      <c r="N6926">
        <v>-1.031786E-2</v>
      </c>
      <c r="O6926">
        <v>-0.99994110000000003</v>
      </c>
      <c r="P6926">
        <v>1.443964E-2</v>
      </c>
      <c r="Q6926">
        <v>-2.909463E-2</v>
      </c>
      <c r="R6926">
        <v>-0.99947269999999999</v>
      </c>
      <c r="S6926">
        <v>0.81469729999999996</v>
      </c>
      <c r="T6926">
        <v>-0.16791439999999999</v>
      </c>
      <c r="U6926">
        <v>-2.9847410000000001</v>
      </c>
      <c r="V6926">
        <v>-1.786329E-2</v>
      </c>
      <c r="W6926">
        <v>-1.8780560000000002E-2</v>
      </c>
      <c r="X6926">
        <v>0.99966410000000006</v>
      </c>
      <c r="Y6926">
        <v>-0.26628249999999998</v>
      </c>
      <c r="Z6926">
        <v>4.3857029999999998E-2</v>
      </c>
      <c r="AA6926">
        <v>0.9628968</v>
      </c>
      <c r="AB6926">
        <v>22</v>
      </c>
      <c r="AC6926">
        <v>5.43920000000002</v>
      </c>
      <c r="AD6926">
        <v>-1.1209333961150001</v>
      </c>
      <c r="AE6926">
        <v>-19.76202</v>
      </c>
      <c r="AF6926">
        <v>-5.4904213527531596</v>
      </c>
      <c r="AG6926">
        <v>-1.1209333961150001</v>
      </c>
      <c r="AH6926">
        <v>19.684406264822801</v>
      </c>
      <c r="AI6926">
        <v>93.1396158322747</v>
      </c>
      <c r="AJ6926">
        <v>105.58497586719</v>
      </c>
      <c r="AK6926">
        <v>20.466486467097599</v>
      </c>
      <c r="AL6926">
        <v>91.076110025998005</v>
      </c>
      <c r="AM6926">
        <v>91.023726078142104</v>
      </c>
      <c r="AN6926">
        <v>1.00000005969617</v>
      </c>
    </row>
    <row r="6927" spans="1:40" x14ac:dyDescent="0.25">
      <c r="A6927" t="str">
        <f>"20190303153946245"</f>
        <v>20190303153946245</v>
      </c>
      <c r="B6927" t="str">
        <f>"1551598786235678"</f>
        <v>1551598786235678</v>
      </c>
      <c r="C6927" t="s">
        <v>40</v>
      </c>
      <c r="D6927">
        <v>4.0663809999999998</v>
      </c>
      <c r="E6927">
        <v>0.33612900000000001</v>
      </c>
      <c r="F6927" t="s">
        <v>44</v>
      </c>
      <c r="G6927">
        <v>-421.48750000000001</v>
      </c>
      <c r="H6927">
        <v>1.0436939999999999</v>
      </c>
      <c r="I6927">
        <v>47.421689999999998</v>
      </c>
      <c r="J6927">
        <v>-421.92340000000002</v>
      </c>
      <c r="K6927">
        <v>1.1209229999999999</v>
      </c>
      <c r="L6927">
        <v>48.26764</v>
      </c>
      <c r="M6927">
        <v>-3.4241219999999999E-3</v>
      </c>
      <c r="N6927">
        <v>-1.024197E-2</v>
      </c>
      <c r="O6927">
        <v>-0.99994179999999999</v>
      </c>
      <c r="P6927">
        <v>1.4561040000000001E-2</v>
      </c>
      <c r="Q6927">
        <v>-2.9203170000000001E-2</v>
      </c>
      <c r="R6927">
        <v>-0.99946749999999995</v>
      </c>
      <c r="S6927">
        <v>1.3267819999999999</v>
      </c>
      <c r="T6927">
        <v>-0.23523859999999999</v>
      </c>
      <c r="U6927">
        <v>-2.9755549999999999</v>
      </c>
      <c r="V6927">
        <v>-1.7984299999999901E-2</v>
      </c>
      <c r="W6927">
        <v>-1.8965019999999999E-2</v>
      </c>
      <c r="X6927">
        <v>0.99965839999999995</v>
      </c>
      <c r="Y6927">
        <v>-0.40942630000000002</v>
      </c>
      <c r="Z6927">
        <v>6.173857E-2</v>
      </c>
      <c r="AA6927">
        <v>0.9102519</v>
      </c>
      <c r="AB6927">
        <v>22</v>
      </c>
      <c r="AC6927">
        <v>0.43590000000000301</v>
      </c>
      <c r="AD6927">
        <v>-7.7228999999999701E-2</v>
      </c>
      <c r="AE6927">
        <v>-0.84594999999999398</v>
      </c>
      <c r="AF6927">
        <v>-0.43592335052098802</v>
      </c>
      <c r="AG6927">
        <v>-7.7228999999999701E-2</v>
      </c>
      <c r="AH6927">
        <v>0.83892742254587305</v>
      </c>
      <c r="AI6927">
        <v>94.669955801541704</v>
      </c>
      <c r="AJ6927">
        <v>117.457284459318</v>
      </c>
      <c r="AK6927">
        <v>0.94857403837017695</v>
      </c>
      <c r="AL6927">
        <v>91.086680739567797</v>
      </c>
      <c r="AM6927">
        <v>91.030665416652297</v>
      </c>
      <c r="AN6927">
        <v>1.0000000118603201</v>
      </c>
    </row>
    <row r="6928" spans="1:40" x14ac:dyDescent="0.25">
      <c r="A6928" t="str">
        <f>"20190303153946260"</f>
        <v>20190303153946260</v>
      </c>
      <c r="B6928" t="str">
        <f>"1551598786255197"</f>
        <v>1551598786255197</v>
      </c>
      <c r="C6928" t="s">
        <v>40</v>
      </c>
      <c r="D6928">
        <v>3.9622769999999998</v>
      </c>
      <c r="E6928">
        <v>0.33229880000000001</v>
      </c>
      <c r="F6928" t="s">
        <v>63</v>
      </c>
      <c r="G6928">
        <v>-415.64819999999997</v>
      </c>
      <c r="H6928" s="1">
        <v>-4.2229730000000004E-6</v>
      </c>
      <c r="I6928">
        <v>34.438000000000002</v>
      </c>
      <c r="J6928">
        <v>-421.9239</v>
      </c>
      <c r="K6928">
        <v>1.1209169999999999</v>
      </c>
      <c r="L6928">
        <v>48.134309999999999</v>
      </c>
      <c r="M6928">
        <v>-3.4239840000000001E-3</v>
      </c>
      <c r="N6928">
        <v>-1.016589E-2</v>
      </c>
      <c r="O6928">
        <v>-0.99994249999999996</v>
      </c>
      <c r="P6928">
        <v>1.4462340000000001E-2</v>
      </c>
      <c r="Q6928">
        <v>-2.9161579999999999E-2</v>
      </c>
      <c r="R6928">
        <v>-0.99947030000000003</v>
      </c>
      <c r="S6928">
        <v>1.3498540000000001</v>
      </c>
      <c r="T6928">
        <v>-0.2411218</v>
      </c>
      <c r="U6928">
        <v>-2.9748839999999999</v>
      </c>
      <c r="V6928">
        <v>-1.7885620000000001E-2</v>
      </c>
      <c r="W6928">
        <v>-1.8999459999999999E-2</v>
      </c>
      <c r="X6928">
        <v>0.99965950000000003</v>
      </c>
      <c r="Y6928">
        <v>-0.4153173</v>
      </c>
      <c r="Z6928">
        <v>6.3406110000000002E-2</v>
      </c>
      <c r="AA6928">
        <v>0.90746420000000005</v>
      </c>
      <c r="AB6928">
        <v>22</v>
      </c>
      <c r="AC6928">
        <v>6.27570000000002</v>
      </c>
      <c r="AD6928">
        <v>-1.1209212229729999</v>
      </c>
      <c r="AE6928">
        <v>-13.696309999999899</v>
      </c>
      <c r="AF6928">
        <v>-6.2877542290160902</v>
      </c>
      <c r="AG6928">
        <v>-1.1209212229729999</v>
      </c>
      <c r="AH6928">
        <v>13.599457691230601</v>
      </c>
      <c r="AI6928">
        <v>94.278578578806503</v>
      </c>
      <c r="AJ6928">
        <v>114.813617083358</v>
      </c>
      <c r="AK6928">
        <v>15.024565455552899</v>
      </c>
      <c r="AL6928">
        <v>91.088654379705105</v>
      </c>
      <c r="AM6928">
        <v>91.025010229374004</v>
      </c>
      <c r="AN6928">
        <v>0.99999999541166296</v>
      </c>
    </row>
    <row r="6929" spans="1:40" x14ac:dyDescent="0.25">
      <c r="A6929" t="str">
        <f>"20190303153946275"</f>
        <v>20190303153946275</v>
      </c>
      <c r="B6929" t="str">
        <f>"1551598786265933"</f>
        <v>1551598786265933</v>
      </c>
      <c r="C6929" t="s">
        <v>40</v>
      </c>
      <c r="D6929">
        <v>3.9501179999999998</v>
      </c>
      <c r="E6929">
        <v>0.33123520000000001</v>
      </c>
      <c r="F6929" t="s">
        <v>63</v>
      </c>
      <c r="G6929">
        <v>-415.67630000000003</v>
      </c>
      <c r="H6929" s="1">
        <v>-4.0969760000000001E-6</v>
      </c>
      <c r="I6929">
        <v>34.669170000000001</v>
      </c>
      <c r="J6929">
        <v>-421.92439999999999</v>
      </c>
      <c r="K6929">
        <v>1.1209039999999999</v>
      </c>
      <c r="L6929">
        <v>47.984160000000003</v>
      </c>
      <c r="M6929">
        <v>-3.4238290000000002E-3</v>
      </c>
      <c r="N6929">
        <v>-1.007891E-2</v>
      </c>
      <c r="O6929">
        <v>-0.99994349999999999</v>
      </c>
      <c r="P6929">
        <v>1.4430470000000001E-2</v>
      </c>
      <c r="Q6929">
        <v>-2.948777E-2</v>
      </c>
      <c r="R6929">
        <v>-0.99946120000000005</v>
      </c>
      <c r="S6929">
        <v>1.380066</v>
      </c>
      <c r="T6929">
        <v>-0.2476071</v>
      </c>
      <c r="U6929">
        <v>-2.974396</v>
      </c>
      <c r="V6929">
        <v>-1.785306E-2</v>
      </c>
      <c r="W6929">
        <v>-1.9412680000000002E-2</v>
      </c>
      <c r="X6929">
        <v>0.99965210000000004</v>
      </c>
      <c r="Y6929">
        <v>-0.42291889999999999</v>
      </c>
      <c r="Z6929">
        <v>6.5181820000000001E-2</v>
      </c>
      <c r="AA6929">
        <v>0.90382019999999996</v>
      </c>
      <c r="AB6929">
        <v>22</v>
      </c>
      <c r="AC6929">
        <v>6.24809999999996</v>
      </c>
      <c r="AD6929">
        <v>-1.1209080969759999</v>
      </c>
      <c r="AE6929">
        <v>-13.3149899999999</v>
      </c>
      <c r="AF6929">
        <v>-6.2573113629279202</v>
      </c>
      <c r="AG6929">
        <v>-1.1209080969759999</v>
      </c>
      <c r="AH6929">
        <v>13.216755304087201</v>
      </c>
      <c r="AI6929">
        <v>94.383320424142696</v>
      </c>
      <c r="AJ6929">
        <v>115.334643169014</v>
      </c>
      <c r="AK6929">
        <v>14.6660492711095</v>
      </c>
      <c r="AL6929">
        <v>91.112334557654293</v>
      </c>
      <c r="AM6929">
        <v>91.023152211765705</v>
      </c>
      <c r="AN6929">
        <v>0.99999995246527695</v>
      </c>
    </row>
    <row r="6930" spans="1:40" x14ac:dyDescent="0.25">
      <c r="A6930" t="str">
        <f>"20190303153946295"</f>
        <v>20190303153946295</v>
      </c>
      <c r="B6930" t="str">
        <f>"1551598786285453"</f>
        <v>1551598786285453</v>
      </c>
      <c r="C6930" t="s">
        <v>40</v>
      </c>
      <c r="D6930">
        <v>3.901176</v>
      </c>
      <c r="E6930">
        <v>0.32941419999999999</v>
      </c>
      <c r="F6930" t="s">
        <v>44</v>
      </c>
      <c r="G6930">
        <v>-421.49770000000001</v>
      </c>
      <c r="H6930">
        <v>1.044081</v>
      </c>
      <c r="I6930">
        <v>47.069749999999999</v>
      </c>
      <c r="J6930">
        <v>-421.92500000000001</v>
      </c>
      <c r="K6930">
        <v>1.1208929999999999</v>
      </c>
      <c r="L6930">
        <v>47.789430000000003</v>
      </c>
      <c r="M6930">
        <v>-3.4236269999999998E-3</v>
      </c>
      <c r="N6930">
        <v>-9.9592269999999993E-3</v>
      </c>
      <c r="O6930">
        <v>-0.99994470000000002</v>
      </c>
      <c r="P6930">
        <v>1.461641E-2</v>
      </c>
      <c r="Q6930">
        <v>-2.9016480000000001E-2</v>
      </c>
      <c r="R6930">
        <v>-0.99947229999999998</v>
      </c>
      <c r="S6930">
        <v>1.388428</v>
      </c>
      <c r="T6930">
        <v>-0.24987960000000001</v>
      </c>
      <c r="U6930">
        <v>-2.9742130000000002</v>
      </c>
      <c r="V6930">
        <v>-1.8039090000000001E-2</v>
      </c>
      <c r="W6930">
        <v>-1.9060939999999998E-2</v>
      </c>
      <c r="X6930">
        <v>0.99965559999999998</v>
      </c>
      <c r="Y6930">
        <v>-0.42500729999999998</v>
      </c>
      <c r="Z6930">
        <v>6.5910679999999999E-2</v>
      </c>
      <c r="AA6930">
        <v>0.90278709999999995</v>
      </c>
      <c r="AB6930">
        <v>22</v>
      </c>
      <c r="AC6930">
        <v>0.42730000000000201</v>
      </c>
      <c r="AD6930">
        <v>-7.6812000000000102E-2</v>
      </c>
      <c r="AE6930">
        <v>-0.71967999999999599</v>
      </c>
      <c r="AF6930">
        <v>-0.42617215000400999</v>
      </c>
      <c r="AG6930">
        <v>-7.6812000000000102E-2</v>
      </c>
      <c r="AH6930">
        <v>0.71221425554733198</v>
      </c>
      <c r="AI6930">
        <v>95.287460990926505</v>
      </c>
      <c r="AJ6930">
        <v>120.895303388846</v>
      </c>
      <c r="AK6930">
        <v>0.83352980185946701</v>
      </c>
      <c r="AL6930">
        <v>91.092177531682694</v>
      </c>
      <c r="AM6930">
        <v>91.033807601014402</v>
      </c>
      <c r="AN6930">
        <v>1.00000002340653</v>
      </c>
    </row>
    <row r="6931" spans="1:40" x14ac:dyDescent="0.25">
      <c r="A6931" t="str">
        <f>"20190303153946315"</f>
        <v>20190303153946315</v>
      </c>
      <c r="B6931" t="str">
        <f>"1551598786305950"</f>
        <v>1551598786305950</v>
      </c>
      <c r="C6931" t="s">
        <v>40</v>
      </c>
      <c r="D6931">
        <v>3.9437540000000002</v>
      </c>
      <c r="E6931">
        <v>0.32876230000000001</v>
      </c>
      <c r="F6931" t="s">
        <v>44</v>
      </c>
      <c r="G6931">
        <v>-421.50319999999999</v>
      </c>
      <c r="H6931">
        <v>1.0453269999999999</v>
      </c>
      <c r="I6931">
        <v>46.895389999999999</v>
      </c>
      <c r="J6931">
        <v>-421.92579999999998</v>
      </c>
      <c r="K6931">
        <v>1.1208849999999999</v>
      </c>
      <c r="L6931">
        <v>47.576659999999997</v>
      </c>
      <c r="M6931">
        <v>-3.4233919999999999E-3</v>
      </c>
      <c r="N6931">
        <v>-9.8186869999999996E-3</v>
      </c>
      <c r="O6931">
        <v>-0.99994609999999995</v>
      </c>
      <c r="P6931">
        <v>1.465844E-2</v>
      </c>
      <c r="Q6931">
        <v>-2.813481E-2</v>
      </c>
      <c r="R6931">
        <v>-0.99949690000000002</v>
      </c>
      <c r="S6931">
        <v>1.403748</v>
      </c>
      <c r="T6931">
        <v>-0.25135170000000001</v>
      </c>
      <c r="U6931">
        <v>-2.9737550000000001</v>
      </c>
      <c r="V6931">
        <v>-1.8080809999999999E-2</v>
      </c>
      <c r="W6931">
        <v>-1.8319579999999999E-2</v>
      </c>
      <c r="X6931">
        <v>0.99966869999999997</v>
      </c>
      <c r="Y6931">
        <v>-0.42885529999999999</v>
      </c>
      <c r="Z6931">
        <v>6.6354280000000002E-2</v>
      </c>
      <c r="AA6931">
        <v>0.90093299999999998</v>
      </c>
      <c r="AB6931">
        <v>22</v>
      </c>
      <c r="AC6931">
        <v>0.42259999999998799</v>
      </c>
      <c r="AD6931">
        <v>-7.5558E-2</v>
      </c>
      <c r="AE6931">
        <v>-0.68126999999999704</v>
      </c>
      <c r="AF6931">
        <v>-0.421188645685806</v>
      </c>
      <c r="AG6931">
        <v>-7.5558E-2</v>
      </c>
      <c r="AH6931">
        <v>0.67383382616189402</v>
      </c>
      <c r="AI6931">
        <v>95.4316179759834</v>
      </c>
      <c r="AJ6931">
        <v>122.007982055014</v>
      </c>
      <c r="AK6931">
        <v>0.79822359768339401</v>
      </c>
      <c r="AL6931">
        <v>91.049693319070997</v>
      </c>
      <c r="AM6931">
        <v>91.0361844485316</v>
      </c>
      <c r="AN6931">
        <v>1.0000000162306599</v>
      </c>
    </row>
    <row r="6932" spans="1:40" x14ac:dyDescent="0.25">
      <c r="A6932" t="str">
        <f>"20190303153946333"</f>
        <v>20190303153946333</v>
      </c>
      <c r="B6932" t="str">
        <f>"1551598786325469"</f>
        <v>1551598786325469</v>
      </c>
      <c r="C6932" t="s">
        <v>40</v>
      </c>
      <c r="D6932">
        <v>3.982478</v>
      </c>
      <c r="E6932">
        <v>0.32790730000000001</v>
      </c>
      <c r="F6932" t="s">
        <v>44</v>
      </c>
      <c r="G6932">
        <v>-421.49979999999999</v>
      </c>
      <c r="H6932">
        <v>1.0454760000000001</v>
      </c>
      <c r="I6932">
        <v>46.677480000000003</v>
      </c>
      <c r="J6932">
        <v>-421.9264</v>
      </c>
      <c r="K6932">
        <v>1.1208720000000001</v>
      </c>
      <c r="L6932">
        <v>47.415370000000003</v>
      </c>
      <c r="M6932">
        <v>-3.42319E-3</v>
      </c>
      <c r="N6932">
        <v>-9.7101549999999998E-3</v>
      </c>
      <c r="O6932">
        <v>-0.99994709999999998</v>
      </c>
      <c r="P6932">
        <v>1.492457E-2</v>
      </c>
      <c r="Q6932">
        <v>-2.724538E-2</v>
      </c>
      <c r="R6932">
        <v>-0.99951760000000001</v>
      </c>
      <c r="S6932">
        <v>1.409027</v>
      </c>
      <c r="T6932">
        <v>-0.2494015</v>
      </c>
      <c r="U6932">
        <v>-2.9738159999999998</v>
      </c>
      <c r="V6932">
        <v>-1.834705E-2</v>
      </c>
      <c r="W6932">
        <v>-1.7538479999999999E-2</v>
      </c>
      <c r="X6932">
        <v>0.99967779999999995</v>
      </c>
      <c r="Y6932">
        <v>-0.43017250000000001</v>
      </c>
      <c r="Z6932">
        <v>6.5821660000000004E-2</v>
      </c>
      <c r="AA6932">
        <v>0.90034389999999997</v>
      </c>
      <c r="AB6932">
        <v>22</v>
      </c>
      <c r="AC6932">
        <v>0.42660000000000697</v>
      </c>
      <c r="AD6932">
        <v>-7.5395999999999797E-2</v>
      </c>
      <c r="AE6932">
        <v>-0.73789000000000704</v>
      </c>
      <c r="AF6932">
        <v>-0.42579177408483299</v>
      </c>
      <c r="AG6932">
        <v>-7.5395999999999797E-2</v>
      </c>
      <c r="AH6932">
        <v>0.73070755318897196</v>
      </c>
      <c r="AI6932">
        <v>95.094490945908206</v>
      </c>
      <c r="AJ6932">
        <v>120.229851767854</v>
      </c>
      <c r="AK6932">
        <v>0.84906814801977104</v>
      </c>
      <c r="AL6932">
        <v>91.004932448854106</v>
      </c>
      <c r="AM6932">
        <v>91.0514292992506</v>
      </c>
      <c r="AN6932">
        <v>0.99999995816862497</v>
      </c>
    </row>
    <row r="6933" spans="1:40" x14ac:dyDescent="0.25">
      <c r="A6933" t="str">
        <f>"20190303153946345"</f>
        <v>20190303153946345</v>
      </c>
      <c r="B6933" t="str">
        <f>"1551598786335230"</f>
        <v>1551598786335230</v>
      </c>
      <c r="C6933" t="s">
        <v>40</v>
      </c>
      <c r="D6933">
        <v>3.9096060000000001</v>
      </c>
      <c r="E6933">
        <v>0.32732600000000001</v>
      </c>
      <c r="F6933" t="s">
        <v>44</v>
      </c>
      <c r="G6933">
        <v>-421.49829999999997</v>
      </c>
      <c r="H6933">
        <v>1.0457890000000001</v>
      </c>
      <c r="I6933">
        <v>46.516330000000004</v>
      </c>
      <c r="J6933">
        <v>-421.92680000000001</v>
      </c>
      <c r="K6933">
        <v>1.120854</v>
      </c>
      <c r="L6933">
        <v>47.28107</v>
      </c>
      <c r="M6933">
        <v>-3.4230020000000001E-3</v>
      </c>
      <c r="N6933">
        <v>-9.6211850000000008E-3</v>
      </c>
      <c r="O6933">
        <v>-0.99994799999999995</v>
      </c>
      <c r="P6933">
        <v>1.51211E-2</v>
      </c>
      <c r="Q6933">
        <v>-2.6616620000000001E-2</v>
      </c>
      <c r="R6933">
        <v>-0.99953150000000002</v>
      </c>
      <c r="S6933">
        <v>1.4164429999999999</v>
      </c>
      <c r="T6933">
        <v>-0.2483399</v>
      </c>
      <c r="U6933">
        <v>-2.973541</v>
      </c>
      <c r="V6933">
        <v>-1.854314E-2</v>
      </c>
      <c r="W6933">
        <v>-1.6998570000000001E-2</v>
      </c>
      <c r="X6933">
        <v>0.99968360000000001</v>
      </c>
      <c r="Y6933">
        <v>-0.43204550000000003</v>
      </c>
      <c r="Z6933">
        <v>6.5523699999999893E-2</v>
      </c>
      <c r="AA6933">
        <v>0.89946839999999995</v>
      </c>
      <c r="AB6933">
        <v>22</v>
      </c>
      <c r="AC6933">
        <v>0.42850000000004201</v>
      </c>
      <c r="AD6933">
        <v>-7.5065000000000104E-2</v>
      </c>
      <c r="AE6933">
        <v>-0.76474000000000297</v>
      </c>
      <c r="AF6933">
        <v>-0.42797707931654499</v>
      </c>
      <c r="AG6933">
        <v>-7.5065000000000104E-2</v>
      </c>
      <c r="AH6933">
        <v>0.75771259862979501</v>
      </c>
      <c r="AI6933">
        <v>94.930086399390603</v>
      </c>
      <c r="AJ6933">
        <v>119.458965352164</v>
      </c>
      <c r="AK6933">
        <v>0.87345722091447497</v>
      </c>
      <c r="AL6933">
        <v>90.973993180236903</v>
      </c>
      <c r="AM6933">
        <v>91.062658060927404</v>
      </c>
      <c r="AN6933">
        <v>1.00000004976603</v>
      </c>
    </row>
    <row r="6934" spans="1:40" x14ac:dyDescent="0.25">
      <c r="A6934" t="str">
        <f>"20190303153946362"</f>
        <v>20190303153946362</v>
      </c>
      <c r="B6934" t="str">
        <f>"1551598786355726"</f>
        <v>1551598786355726</v>
      </c>
      <c r="C6934" t="s">
        <v>40</v>
      </c>
      <c r="D6934">
        <v>4.0169959999999998</v>
      </c>
      <c r="E6934">
        <v>0.3272312</v>
      </c>
      <c r="F6934" t="s">
        <v>63</v>
      </c>
      <c r="G6934">
        <v>-415.47469999999998</v>
      </c>
      <c r="H6934" s="1">
        <v>-4.5911979999999997E-6</v>
      </c>
      <c r="I6934">
        <v>33.790849999999999</v>
      </c>
      <c r="J6934">
        <v>-421.9273</v>
      </c>
      <c r="K6934">
        <v>1.1208419999999999</v>
      </c>
      <c r="L6934">
        <v>47.121549999999999</v>
      </c>
      <c r="M6934">
        <v>-3.4227749999999999E-3</v>
      </c>
      <c r="N6934">
        <v>-9.5204390000000003E-3</v>
      </c>
      <c r="O6934">
        <v>-0.99994899999999998</v>
      </c>
      <c r="P6934">
        <v>1.562214E-2</v>
      </c>
      <c r="Q6934">
        <v>-2.639967E-2</v>
      </c>
      <c r="R6934">
        <v>-0.99952960000000002</v>
      </c>
      <c r="S6934">
        <v>1.4220889999999999</v>
      </c>
      <c r="T6934">
        <v>-0.24704419999999999</v>
      </c>
      <c r="U6934">
        <v>-2.973328</v>
      </c>
      <c r="V6934">
        <v>-1.9044180000000001E-2</v>
      </c>
      <c r="W6934">
        <v>-1.6882350000000001E-2</v>
      </c>
      <c r="X6934">
        <v>0.99967609999999996</v>
      </c>
      <c r="Y6934">
        <v>-0.43347279999999999</v>
      </c>
      <c r="Z6934">
        <v>6.518351E-2</v>
      </c>
      <c r="AA6934">
        <v>0.8988062</v>
      </c>
      <c r="AB6934">
        <v>22</v>
      </c>
      <c r="AC6934">
        <v>6.4526000000000101</v>
      </c>
      <c r="AD6934">
        <v>-1.1208465911979999</v>
      </c>
      <c r="AE6934">
        <v>-13.3307</v>
      </c>
      <c r="AF6934">
        <v>-6.4611856118428204</v>
      </c>
      <c r="AG6934">
        <v>-1.1208465911979999</v>
      </c>
      <c r="AH6934">
        <v>13.232744172600301</v>
      </c>
      <c r="AI6934">
        <v>94.3526132656567</v>
      </c>
      <c r="AJ6934">
        <v>116.024986504694</v>
      </c>
      <c r="AK6934">
        <v>14.7685048305227</v>
      </c>
      <c r="AL6934">
        <v>90.967333357792398</v>
      </c>
      <c r="AM6934">
        <v>91.091372663947297</v>
      </c>
      <c r="AN6934">
        <v>0.99999999972230202</v>
      </c>
    </row>
    <row r="6935" spans="1:40" x14ac:dyDescent="0.25">
      <c r="A6935" t="str">
        <f>"20190303153946374"</f>
        <v>20190303153946374</v>
      </c>
      <c r="B6935" t="str">
        <f>"1551598786365486"</f>
        <v>1551598786365486</v>
      </c>
      <c r="C6935" t="s">
        <v>40</v>
      </c>
      <c r="D6935">
        <v>4.0474800000000002</v>
      </c>
      <c r="E6935">
        <v>0.32710149999999999</v>
      </c>
      <c r="F6935" t="s">
        <v>63</v>
      </c>
      <c r="G6935">
        <v>-415.51089999999999</v>
      </c>
      <c r="H6935" s="1">
        <v>-4.6150610000000001E-6</v>
      </c>
      <c r="I6935">
        <v>33.728250000000003</v>
      </c>
      <c r="J6935">
        <v>-421.92779999999999</v>
      </c>
      <c r="K6935">
        <v>1.120827</v>
      </c>
      <c r="L6935">
        <v>46.995480000000001</v>
      </c>
      <c r="M6935">
        <v>-3.4225979999999998E-3</v>
      </c>
      <c r="N6935">
        <v>-9.4445329999999997E-3</v>
      </c>
      <c r="O6935">
        <v>-0.99994970000000005</v>
      </c>
      <c r="P6935">
        <v>1.722487E-2</v>
      </c>
      <c r="Q6935">
        <v>-2.5799269999999999E-2</v>
      </c>
      <c r="R6935">
        <v>-0.99951889999999999</v>
      </c>
      <c r="S6935">
        <v>1.4241029999999999</v>
      </c>
      <c r="T6935">
        <v>-0.24876789999999999</v>
      </c>
      <c r="U6935">
        <v>-2.9725950000000001</v>
      </c>
      <c r="V6935">
        <v>-2.0646459999999998E-2</v>
      </c>
      <c r="W6935">
        <v>-1.6357960000000001E-2</v>
      </c>
      <c r="X6935">
        <v>0.99965300000000001</v>
      </c>
      <c r="Y6935">
        <v>-0.43403770000000003</v>
      </c>
      <c r="Z6935">
        <v>6.5772979999999995E-2</v>
      </c>
      <c r="AA6935">
        <v>0.89849049999999997</v>
      </c>
      <c r="AB6935">
        <v>22</v>
      </c>
      <c r="AC6935">
        <v>6.4168999999999903</v>
      </c>
      <c r="AD6935">
        <v>-1.120831615061</v>
      </c>
      <c r="AE6935">
        <v>-13.2672299999999</v>
      </c>
      <c r="AF6935">
        <v>-6.4251099343401501</v>
      </c>
      <c r="AG6935">
        <v>-1.120831615061</v>
      </c>
      <c r="AH6935">
        <v>13.1690191209409</v>
      </c>
      <c r="AI6935">
        <v>94.374182785911998</v>
      </c>
      <c r="AJ6935">
        <v>116.007556667578</v>
      </c>
      <c r="AK6935">
        <v>14.695624035248899</v>
      </c>
      <c r="AL6935">
        <v>90.937283882368703</v>
      </c>
      <c r="AM6935">
        <v>91.183197427149395</v>
      </c>
      <c r="AN6935">
        <v>0.99999998978744598</v>
      </c>
    </row>
    <row r="6936" spans="1:40" x14ac:dyDescent="0.25">
      <c r="A6936" t="str">
        <f>"20190303153946390"</f>
        <v>20190303153946390</v>
      </c>
      <c r="B6936" t="str">
        <f>"1551598786385982"</f>
        <v>1551598786385982</v>
      </c>
      <c r="C6936" t="s">
        <v>40</v>
      </c>
      <c r="D6936">
        <v>4.0529489999999999</v>
      </c>
      <c r="E6936">
        <v>0.32682850000000002</v>
      </c>
      <c r="F6936" t="s">
        <v>44</v>
      </c>
      <c r="G6936">
        <v>-421.50420000000003</v>
      </c>
      <c r="H6936">
        <v>1.046772</v>
      </c>
      <c r="I6936">
        <v>46.11506</v>
      </c>
      <c r="J6936">
        <v>-421.9282</v>
      </c>
      <c r="K6936">
        <v>1.120814</v>
      </c>
      <c r="L6936">
        <v>46.842289999999998</v>
      </c>
      <c r="M6936">
        <v>-3.4223890000000001E-3</v>
      </c>
      <c r="N6936">
        <v>-9.3571490000000004E-3</v>
      </c>
      <c r="O6936">
        <v>-0.99995040000000002</v>
      </c>
      <c r="P6936">
        <v>1.8522690000000001E-2</v>
      </c>
      <c r="Q6936">
        <v>-2.575852E-2</v>
      </c>
      <c r="R6936">
        <v>-0.99949659999999996</v>
      </c>
      <c r="S6936">
        <v>1.429535</v>
      </c>
      <c r="T6936">
        <v>-0.2498493</v>
      </c>
      <c r="U6936">
        <v>-2.970367</v>
      </c>
      <c r="V6936">
        <v>-2.1943919999999999E-2</v>
      </c>
      <c r="W6936">
        <v>-1.6404769999999999E-2</v>
      </c>
      <c r="X6936">
        <v>0.99962459999999997</v>
      </c>
      <c r="Y6936">
        <v>-0.43562319999999999</v>
      </c>
      <c r="Z6936">
        <v>6.6177440000000004E-2</v>
      </c>
      <c r="AA6936">
        <v>0.89769319999999897</v>
      </c>
      <c r="AB6936">
        <v>22</v>
      </c>
      <c r="AC6936">
        <v>0.42399999999997801</v>
      </c>
      <c r="AD6936">
        <v>-7.40419999999999E-2</v>
      </c>
      <c r="AE6936">
        <v>-0.72723000000000504</v>
      </c>
      <c r="AF6936">
        <v>-0.42321240913216901</v>
      </c>
      <c r="AG6936">
        <v>-7.40419999999999E-2</v>
      </c>
      <c r="AH6936">
        <v>0.72020290878324</v>
      </c>
      <c r="AI6936">
        <v>95.065257268608804</v>
      </c>
      <c r="AJ6936">
        <v>120.43974747700599</v>
      </c>
      <c r="AK6936">
        <v>0.83861981304241495</v>
      </c>
      <c r="AL6936">
        <v>90.9399662514423</v>
      </c>
      <c r="AM6936">
        <v>91.2575641877213</v>
      </c>
      <c r="AN6936">
        <v>0.99999999651443905</v>
      </c>
    </row>
    <row r="6937" spans="1:40" x14ac:dyDescent="0.25">
      <c r="A6937" t="str">
        <f>"20190303153946404"</f>
        <v>20190303153946404</v>
      </c>
      <c r="B6937" t="str">
        <f>"1551598786395742"</f>
        <v>1551598786395742</v>
      </c>
      <c r="C6937" t="s">
        <v>40</v>
      </c>
      <c r="D6937">
        <v>4.0499000000000001</v>
      </c>
      <c r="E6937">
        <v>0.32670149999999998</v>
      </c>
      <c r="F6937" t="s">
        <v>44</v>
      </c>
      <c r="G6937">
        <v>-421.48230000000001</v>
      </c>
      <c r="H6937">
        <v>1.0423450000000001</v>
      </c>
      <c r="I6937">
        <v>45.920389999999998</v>
      </c>
      <c r="J6937">
        <v>-421.92869999999999</v>
      </c>
      <c r="K6937">
        <v>1.120803</v>
      </c>
      <c r="L6937">
        <v>46.69238</v>
      </c>
      <c r="M6937">
        <v>-3.4221920000000001E-3</v>
      </c>
      <c r="N6937">
        <v>-9.2789429999999996E-3</v>
      </c>
      <c r="O6937">
        <v>-0.99995140000000005</v>
      </c>
      <c r="P6937">
        <v>1.9207370000000001E-2</v>
      </c>
      <c r="Q6937">
        <v>-2.6413289999999999E-2</v>
      </c>
      <c r="R6937">
        <v>-0.99946690000000005</v>
      </c>
      <c r="S6937">
        <v>1.435486</v>
      </c>
      <c r="T6937">
        <v>-0.25266280000000002</v>
      </c>
      <c r="U6937">
        <v>-2.9683839999999999</v>
      </c>
      <c r="V6937">
        <v>-2.2628599999999999E-2</v>
      </c>
      <c r="W6937">
        <v>-1.7137960000000001E-2</v>
      </c>
      <c r="X6937">
        <v>0.99959699999999996</v>
      </c>
      <c r="Y6937">
        <v>-0.43728919999999999</v>
      </c>
      <c r="Z6937">
        <v>6.7082859999999994E-2</v>
      </c>
      <c r="AA6937">
        <v>0.89681549999999999</v>
      </c>
      <c r="AB6937">
        <v>22</v>
      </c>
      <c r="AC6937">
        <v>0.44639999999998198</v>
      </c>
      <c r="AD6937">
        <v>-7.8457999999999903E-2</v>
      </c>
      <c r="AE6937">
        <v>-0.77198999999999496</v>
      </c>
      <c r="AF6937">
        <v>-0.44559025448761702</v>
      </c>
      <c r="AG6937">
        <v>-7.8457999999999903E-2</v>
      </c>
      <c r="AH6937">
        <v>0.76453974011755099</v>
      </c>
      <c r="AI6937">
        <v>95.066697526337407</v>
      </c>
      <c r="AJ6937">
        <v>120.23455498441901</v>
      </c>
      <c r="AK6937">
        <v>0.88838468406279503</v>
      </c>
      <c r="AL6937">
        <v>90.981980887534107</v>
      </c>
      <c r="AM6937">
        <v>91.296824489716798</v>
      </c>
      <c r="AN6937">
        <v>0.99999996280995995</v>
      </c>
    </row>
    <row r="6938" spans="1:40" x14ac:dyDescent="0.25">
      <c r="A6938" t="str">
        <f>"20190303153946416"</f>
        <v>20190303153946416</v>
      </c>
      <c r="B6938" t="str">
        <f>"1551598786405502"</f>
        <v>1551598786405502</v>
      </c>
      <c r="C6938" t="s">
        <v>40</v>
      </c>
      <c r="D6938">
        <v>4.0354939999999999</v>
      </c>
      <c r="E6938">
        <v>0.32658680000000001</v>
      </c>
      <c r="F6938" t="s">
        <v>63</v>
      </c>
      <c r="G6938">
        <v>-415.61509999999998</v>
      </c>
      <c r="H6938" s="1">
        <v>-4.6211639999999998E-6</v>
      </c>
      <c r="I6938">
        <v>33.670940000000002</v>
      </c>
      <c r="J6938">
        <v>-421.92910000000001</v>
      </c>
      <c r="K6938">
        <v>1.1207959999999999</v>
      </c>
      <c r="L6938">
        <v>46.574280000000002</v>
      </c>
      <c r="M6938">
        <v>-3.4220399999999999E-3</v>
      </c>
      <c r="N6938">
        <v>-9.2223089999999997E-3</v>
      </c>
      <c r="O6938">
        <v>-0.99995160000000005</v>
      </c>
      <c r="P6938">
        <v>2.0675579999999999E-2</v>
      </c>
      <c r="Q6938">
        <v>-2.8353659999999999E-2</v>
      </c>
      <c r="R6938">
        <v>-0.99938419999999895</v>
      </c>
      <c r="S6938">
        <v>1.43869</v>
      </c>
      <c r="T6938">
        <v>-0.25539820000000002</v>
      </c>
      <c r="U6938">
        <v>-2.9671940000000001</v>
      </c>
      <c r="V6938">
        <v>-2.4096719999999999E-2</v>
      </c>
      <c r="W6938">
        <v>-1.9135610000000001E-2</v>
      </c>
      <c r="X6938">
        <v>0.99952649999999998</v>
      </c>
      <c r="Y6938">
        <v>-0.43818770000000001</v>
      </c>
      <c r="Z6938">
        <v>6.795387E-2</v>
      </c>
      <c r="AA6938">
        <v>0.89631119999999898</v>
      </c>
      <c r="AB6938">
        <v>22</v>
      </c>
      <c r="AC6938">
        <v>6.3140000000000196</v>
      </c>
      <c r="AD6938">
        <v>-1.12080062116399</v>
      </c>
      <c r="AE6938">
        <v>-12.90334</v>
      </c>
      <c r="AF6938">
        <v>-6.3196509822196099</v>
      </c>
      <c r="AG6938">
        <v>-1.12080062116399</v>
      </c>
      <c r="AH6938">
        <v>12.8037165811236</v>
      </c>
      <c r="AI6938">
        <v>94.4882947054341</v>
      </c>
      <c r="AJ6938">
        <v>116.26999822729999</v>
      </c>
      <c r="AK6938">
        <v>14.3223371297847</v>
      </c>
      <c r="AL6938">
        <v>91.096456587412007</v>
      </c>
      <c r="AM6938">
        <v>91.381026888513503</v>
      </c>
      <c r="AN6938">
        <v>1.00000002384353</v>
      </c>
    </row>
    <row r="6939" spans="1:40" x14ac:dyDescent="0.25">
      <c r="A6939" t="str">
        <f>"20190303153946439"</f>
        <v>20190303153946439</v>
      </c>
      <c r="B6939" t="str">
        <f>"1551598786435758"</f>
        <v>1551598786435758</v>
      </c>
      <c r="C6939" t="s">
        <v>40</v>
      </c>
      <c r="D6939">
        <v>4.0451810000000004</v>
      </c>
      <c r="E6939">
        <v>0.32593050000000001</v>
      </c>
      <c r="F6939" t="s">
        <v>44</v>
      </c>
      <c r="G6939">
        <v>-421.50990000000002</v>
      </c>
      <c r="H6939">
        <v>1.0447090000000001</v>
      </c>
      <c r="I6939">
        <v>45.712780000000002</v>
      </c>
      <c r="J6939">
        <v>-421.92989999999998</v>
      </c>
      <c r="K6939">
        <v>1.1207849999999999</v>
      </c>
      <c r="L6939">
        <v>46.346919999999997</v>
      </c>
      <c r="M6939">
        <v>-3.421753E-3</v>
      </c>
      <c r="N6939">
        <v>-9.1305050000000006E-3</v>
      </c>
      <c r="O6939">
        <v>-0.99995259999999997</v>
      </c>
      <c r="P6939">
        <v>2.1652350000000001E-2</v>
      </c>
      <c r="Q6939">
        <v>-3.001761E-2</v>
      </c>
      <c r="R6939">
        <v>-0.99931510000000001</v>
      </c>
      <c r="S6939">
        <v>1.443665</v>
      </c>
      <c r="T6939">
        <v>-0.26183089999999998</v>
      </c>
      <c r="U6939">
        <v>-2.9645389999999998</v>
      </c>
      <c r="V6939">
        <v>-2.507241E-2</v>
      </c>
      <c r="W6939">
        <v>-2.089189E-2</v>
      </c>
      <c r="X6939">
        <v>0.99946729999999995</v>
      </c>
      <c r="Y6939">
        <v>-0.4396544</v>
      </c>
      <c r="Z6939">
        <v>6.9983110000000001E-2</v>
      </c>
      <c r="AA6939">
        <v>0.89543639999999902</v>
      </c>
      <c r="AB6939">
        <v>22</v>
      </c>
      <c r="AC6939">
        <v>0.41999999999995902</v>
      </c>
      <c r="AD6939">
        <v>-7.6076000000000005E-2</v>
      </c>
      <c r="AE6939">
        <v>-0.63414000000000204</v>
      </c>
      <c r="AF6939">
        <v>-0.417986035616767</v>
      </c>
      <c r="AG6939">
        <v>-7.6076000000000005E-2</v>
      </c>
      <c r="AH6939">
        <v>0.62643236133917501</v>
      </c>
      <c r="AI6939">
        <v>95.768437942789902</v>
      </c>
      <c r="AJ6939">
        <v>123.71313938054401</v>
      </c>
      <c r="AK6939">
        <v>0.75691306441334205</v>
      </c>
      <c r="AL6939">
        <v>91.197104229008005</v>
      </c>
      <c r="AM6939">
        <v>91.437007545881301</v>
      </c>
      <c r="AN6939">
        <v>0.99999999029013498</v>
      </c>
    </row>
    <row r="6940" spans="1:40" x14ac:dyDescent="0.25">
      <c r="A6940" t="str">
        <f>"20190303153946462"</f>
        <v>20190303153946462</v>
      </c>
      <c r="B6940" t="str">
        <f>"1551598786455277"</f>
        <v>1551598786455277</v>
      </c>
      <c r="C6940" t="s">
        <v>40</v>
      </c>
      <c r="D6940">
        <v>4.0694179999999998</v>
      </c>
      <c r="E6940">
        <v>0.32566460000000003</v>
      </c>
      <c r="F6940" t="s">
        <v>44</v>
      </c>
      <c r="G6940">
        <v>-421.50420000000003</v>
      </c>
      <c r="H6940">
        <v>1.041649</v>
      </c>
      <c r="I6940">
        <v>45.478070000000002</v>
      </c>
      <c r="J6940">
        <v>-421.9307</v>
      </c>
      <c r="K6940">
        <v>1.1207780000000001</v>
      </c>
      <c r="L6940">
        <v>46.115720000000003</v>
      </c>
      <c r="M6940">
        <v>-3.4214580000000001E-3</v>
      </c>
      <c r="N6940">
        <v>-9.0665099999999998E-3</v>
      </c>
      <c r="O6940">
        <v>-0.99995299999999998</v>
      </c>
      <c r="P6940">
        <v>2.2814879999999999E-2</v>
      </c>
      <c r="Q6940">
        <v>-3.0538470000000002E-2</v>
      </c>
      <c r="R6940">
        <v>-0.99927330000000003</v>
      </c>
      <c r="S6940">
        <v>1.451843</v>
      </c>
      <c r="T6940">
        <v>-0.26982699999999998</v>
      </c>
      <c r="U6940">
        <v>-2.962494</v>
      </c>
      <c r="V6940">
        <v>-2.6234919999999998E-2</v>
      </c>
      <c r="W6940">
        <v>-2.1477070000000001E-2</v>
      </c>
      <c r="X6940">
        <v>0.99942509999999996</v>
      </c>
      <c r="Y6940">
        <v>-0.44181130000000002</v>
      </c>
      <c r="Z6940">
        <v>7.2404960000000004E-2</v>
      </c>
      <c r="AA6940">
        <v>0.89418140000000002</v>
      </c>
      <c r="AB6940">
        <v>22</v>
      </c>
      <c r="AC6940">
        <v>0.42649999999997501</v>
      </c>
      <c r="AD6940">
        <v>-7.9128999999999894E-2</v>
      </c>
      <c r="AE6940">
        <v>-0.63765000000000005</v>
      </c>
      <c r="AF6940">
        <v>-0.42416632835257401</v>
      </c>
      <c r="AG6940">
        <v>-7.9128999999999894E-2</v>
      </c>
      <c r="AH6940">
        <v>0.62948944341706903</v>
      </c>
      <c r="AI6940">
        <v>95.951352025078506</v>
      </c>
      <c r="AJ6940">
        <v>123.97311268305999</v>
      </c>
      <c r="AK6940">
        <v>0.76317457512854503</v>
      </c>
      <c r="AL6940">
        <v>91.230640047450194</v>
      </c>
      <c r="AM6940">
        <v>91.503669539050094</v>
      </c>
      <c r="AN6940">
        <v>1.0000000330365999</v>
      </c>
    </row>
    <row r="6941" spans="1:40" x14ac:dyDescent="0.25">
      <c r="A6941" t="str">
        <f>"20190303153946484"</f>
        <v>20190303153946484</v>
      </c>
      <c r="B6941" t="str">
        <f>"1551598786475774"</f>
        <v>1551598786475774</v>
      </c>
      <c r="C6941" t="s">
        <v>40</v>
      </c>
      <c r="D6941">
        <v>4.086856</v>
      </c>
      <c r="E6941">
        <v>0.32556109999999999</v>
      </c>
      <c r="F6941" t="s">
        <v>44</v>
      </c>
      <c r="G6941">
        <v>-421.49540000000002</v>
      </c>
      <c r="H6941">
        <v>1.0392840000000001</v>
      </c>
      <c r="I6941">
        <v>45.230600000000003</v>
      </c>
      <c r="J6941">
        <v>-421.93150000000003</v>
      </c>
      <c r="K6941">
        <v>1.1207849999999999</v>
      </c>
      <c r="L6941">
        <v>45.891269999999999</v>
      </c>
      <c r="M6941">
        <v>-3.4177550000000002E-3</v>
      </c>
      <c r="N6941">
        <v>-9.0361090000000005E-3</v>
      </c>
      <c r="O6941">
        <v>-0.99995369999999995</v>
      </c>
      <c r="P6941">
        <v>2.397459E-2</v>
      </c>
      <c r="Q6941">
        <v>-3.035148E-2</v>
      </c>
      <c r="R6941">
        <v>-0.99925229999999998</v>
      </c>
      <c r="S6941">
        <v>1.4573969999999901</v>
      </c>
      <c r="T6941">
        <v>-0.27258779999999999</v>
      </c>
      <c r="U6941">
        <v>-2.9605709999999998</v>
      </c>
      <c r="V6941">
        <v>-2.7390669999999999E-2</v>
      </c>
      <c r="W6941">
        <v>-2.1320760000000001E-2</v>
      </c>
      <c r="X6941">
        <v>0.99939739999999999</v>
      </c>
      <c r="Y6941">
        <v>-0.44335930000000001</v>
      </c>
      <c r="Z6941">
        <v>7.3245530000000003E-2</v>
      </c>
      <c r="AA6941">
        <v>0.89334629999999904</v>
      </c>
      <c r="AB6941">
        <v>23</v>
      </c>
      <c r="AC6941">
        <v>0.43610000000000998</v>
      </c>
      <c r="AD6941">
        <v>-8.1501000000000004E-2</v>
      </c>
      <c r="AE6941">
        <v>-0.66066999999999598</v>
      </c>
      <c r="AF6941">
        <v>-0.43375790429823802</v>
      </c>
      <c r="AG6941">
        <v>-8.1501000000000004E-2</v>
      </c>
      <c r="AH6941">
        <v>0.65226190099090198</v>
      </c>
      <c r="AI6941">
        <v>95.939994688855805</v>
      </c>
      <c r="AJ6941">
        <v>123.62413394744</v>
      </c>
      <c r="AK6941">
        <v>0.78754931275855</v>
      </c>
      <c r="AL6941">
        <v>91.221682141691403</v>
      </c>
      <c r="AM6941">
        <v>91.569923055633893</v>
      </c>
      <c r="AN6941">
        <v>0.99999999336839296</v>
      </c>
    </row>
    <row r="6942" spans="1:40" x14ac:dyDescent="0.25">
      <c r="A6942" t="str">
        <f>"20190303153946506"</f>
        <v>20190303153946506</v>
      </c>
      <c r="B6942" t="str">
        <f>"1551598786495294"</f>
        <v>1551598786495294</v>
      </c>
      <c r="C6942" t="s">
        <v>40</v>
      </c>
      <c r="D6942">
        <v>4.0677580000000004</v>
      </c>
      <c r="E6942">
        <v>0.32518180000000002</v>
      </c>
      <c r="F6942" t="s">
        <v>63</v>
      </c>
      <c r="G6942">
        <v>-415.94909999999999</v>
      </c>
      <c r="H6942" s="1">
        <v>-4.4915720000000004E-6</v>
      </c>
      <c r="I6942">
        <v>33.779910000000001</v>
      </c>
      <c r="J6942">
        <v>-421.93220000000002</v>
      </c>
      <c r="K6942">
        <v>1.120798</v>
      </c>
      <c r="L6942">
        <v>45.67154</v>
      </c>
      <c r="M6942">
        <v>-3.404177E-3</v>
      </c>
      <c r="N6942">
        <v>-9.0503140000000003E-3</v>
      </c>
      <c r="O6942">
        <v>-0.99995350000000005</v>
      </c>
      <c r="P6942">
        <v>2.48828E-2</v>
      </c>
      <c r="Q6942">
        <v>-2.9774700000000001E-2</v>
      </c>
      <c r="R6942">
        <v>-0.99924740000000001</v>
      </c>
      <c r="S6942">
        <v>1.461517</v>
      </c>
      <c r="T6942">
        <v>-0.27381430000000001</v>
      </c>
      <c r="U6942">
        <v>-2.9588619999999999</v>
      </c>
      <c r="V6942">
        <v>-2.8284529999999999E-2</v>
      </c>
      <c r="W6942">
        <v>-2.0730200000000001E-2</v>
      </c>
      <c r="X6942">
        <v>0.99938490000000002</v>
      </c>
      <c r="Y6942">
        <v>-0.44453890000000001</v>
      </c>
      <c r="Z6942">
        <v>7.359214E-2</v>
      </c>
      <c r="AA6942">
        <v>0.89273139999999995</v>
      </c>
      <c r="AB6942">
        <v>23</v>
      </c>
      <c r="AC6942">
        <v>5.9831000000000296</v>
      </c>
      <c r="AD6942">
        <v>-1.1208024915719901</v>
      </c>
      <c r="AE6942">
        <v>-11.891629999999999</v>
      </c>
      <c r="AF6942">
        <v>-5.9811488985666097</v>
      </c>
      <c r="AG6942">
        <v>-1.1208024915719901</v>
      </c>
      <c r="AH6942">
        <v>11.787632318567599</v>
      </c>
      <c r="AI6942">
        <v>94.8466294890152</v>
      </c>
      <c r="AJ6942">
        <v>116.903640236288</v>
      </c>
      <c r="AK6942">
        <v>13.265693198988</v>
      </c>
      <c r="AL6942">
        <v>91.1878380950793</v>
      </c>
      <c r="AM6942">
        <v>91.621148875187998</v>
      </c>
      <c r="AN6942">
        <v>0.99999996708868499</v>
      </c>
    </row>
    <row r="6943" spans="1:40" x14ac:dyDescent="0.25">
      <c r="A6943" t="str">
        <f>"20190303153946528"</f>
        <v>20190303153946528</v>
      </c>
      <c r="B6943" t="str">
        <f>"1551598786525550"</f>
        <v>1551598786525550</v>
      </c>
      <c r="C6943" t="s">
        <v>40</v>
      </c>
      <c r="D6943">
        <v>4.2360410000000002</v>
      </c>
      <c r="E6943">
        <v>0.373365</v>
      </c>
      <c r="F6943" t="s">
        <v>63</v>
      </c>
      <c r="G6943">
        <v>-415.90730000000002</v>
      </c>
      <c r="H6943" s="1">
        <v>-4.6281419999999997E-6</v>
      </c>
      <c r="I6943">
        <v>33.530059999999999</v>
      </c>
      <c r="J6943">
        <v>-421.93290000000002</v>
      </c>
      <c r="K6943">
        <v>1.120835</v>
      </c>
      <c r="L6943">
        <v>45.445860000000003</v>
      </c>
      <c r="M6943">
        <v>-3.372313E-3</v>
      </c>
      <c r="N6943">
        <v>-9.1414789999999992E-3</v>
      </c>
      <c r="O6943">
        <v>-0.99995279999999998</v>
      </c>
      <c r="P6943">
        <v>2.5687359999999999E-2</v>
      </c>
      <c r="Q6943">
        <v>-3.006166E-2</v>
      </c>
      <c r="R6943">
        <v>-0.9992183</v>
      </c>
      <c r="S6943">
        <v>1.4676209999999901</v>
      </c>
      <c r="T6943">
        <v>-0.27301979999999998</v>
      </c>
      <c r="U6943">
        <v>-2.9575809999999998</v>
      </c>
      <c r="V6943">
        <v>-2.905688E-2</v>
      </c>
      <c r="W6943">
        <v>-2.092712E-2</v>
      </c>
      <c r="X6943">
        <v>0.99935870000000004</v>
      </c>
      <c r="Y6943">
        <v>-0.44615260000000001</v>
      </c>
      <c r="Z6943">
        <v>7.3224629999999999E-2</v>
      </c>
      <c r="AA6943">
        <v>0.89195630000000004</v>
      </c>
      <c r="AB6943">
        <v>23</v>
      </c>
      <c r="AC6943">
        <v>6.0255999999999901</v>
      </c>
      <c r="AD6943">
        <v>-1.1208396281419899</v>
      </c>
      <c r="AE6943">
        <v>-11.9157999999999</v>
      </c>
      <c r="AF6943">
        <v>-6.0233102584543001</v>
      </c>
      <c r="AG6943">
        <v>-1.1208396281419899</v>
      </c>
      <c r="AH6943">
        <v>11.812181170263999</v>
      </c>
      <c r="AI6943">
        <v>94.831874686933702</v>
      </c>
      <c r="AJ6943">
        <v>117.01810883649701</v>
      </c>
      <c r="AK6943">
        <v>13.306546206313399</v>
      </c>
      <c r="AL6943">
        <v>91.199123154382704</v>
      </c>
      <c r="AM6943">
        <v>91.665435728267497</v>
      </c>
      <c r="AN6943">
        <v>1.0000000289462501</v>
      </c>
    </row>
    <row r="6944" spans="1:40" x14ac:dyDescent="0.25">
      <c r="A6944" t="str">
        <f>"20190303153946551"</f>
        <v>20190303153946551</v>
      </c>
      <c r="B6944" t="str">
        <f>"1551598786545069"</f>
        <v>1551598786545069</v>
      </c>
      <c r="C6944" t="s">
        <v>40</v>
      </c>
      <c r="D6944">
        <v>4.1742689999999998</v>
      </c>
      <c r="E6944">
        <v>0.3895922</v>
      </c>
      <c r="F6944" t="s">
        <v>63</v>
      </c>
      <c r="G6944">
        <v>-414.52659999999997</v>
      </c>
      <c r="H6944" s="1">
        <v>-8.6965319999999997E-6</v>
      </c>
      <c r="I6944">
        <v>25.199539999999999</v>
      </c>
      <c r="J6944">
        <v>-421.93360000000001</v>
      </c>
      <c r="K6944">
        <v>1.1209039999999999</v>
      </c>
      <c r="L6944">
        <v>45.211669999999998</v>
      </c>
      <c r="M6944">
        <v>-3.2989389999999999E-3</v>
      </c>
      <c r="N6944">
        <v>-9.3591200000000003E-3</v>
      </c>
      <c r="O6944">
        <v>-0.99995089999999998</v>
      </c>
      <c r="P6944">
        <v>2.6179379999999999E-2</v>
      </c>
      <c r="Q6944">
        <v>-3.110897E-2</v>
      </c>
      <c r="R6944">
        <v>-0.99917350000000005</v>
      </c>
      <c r="S6944">
        <v>1.086273</v>
      </c>
      <c r="T6944">
        <v>-0.1643916</v>
      </c>
      <c r="U6944">
        <v>-2.9694820000000002</v>
      </c>
      <c r="V6944">
        <v>-2.9474279999999999E-2</v>
      </c>
      <c r="W6944">
        <v>-2.1759089999999998E-2</v>
      </c>
      <c r="X6944">
        <v>0.99932869999999996</v>
      </c>
      <c r="Y6944">
        <v>-0.3462363</v>
      </c>
      <c r="Z6944">
        <v>4.2536190000000001E-2</v>
      </c>
      <c r="AA6944">
        <v>0.93718250000000003</v>
      </c>
      <c r="AB6944">
        <v>23</v>
      </c>
      <c r="AC6944">
        <v>7.4070000000000302</v>
      </c>
      <c r="AD6944">
        <v>-1.120912696532</v>
      </c>
      <c r="AE6944">
        <v>-20.012129999999999</v>
      </c>
      <c r="AF6944">
        <v>-7.4524179000948703</v>
      </c>
      <c r="AG6944">
        <v>-1.120912696532</v>
      </c>
      <c r="AH6944">
        <v>19.932584770523999</v>
      </c>
      <c r="AI6944">
        <v>93.015211307818305</v>
      </c>
      <c r="AJ6944">
        <v>110.499823040164</v>
      </c>
      <c r="AK6944">
        <v>21.309690599936602</v>
      </c>
      <c r="AL6944">
        <v>91.246802394932899</v>
      </c>
      <c r="AM6944">
        <v>91.689396513343894</v>
      </c>
      <c r="AN6944">
        <v>1.0000000209114099</v>
      </c>
    </row>
    <row r="6945" spans="1:40" x14ac:dyDescent="0.25">
      <c r="A6945" t="str">
        <f>"20190303153946573"</f>
        <v>20190303153946573</v>
      </c>
      <c r="B6945" t="str">
        <f>"1551598786565569"</f>
        <v>1551598786565569</v>
      </c>
      <c r="C6945" t="s">
        <v>40</v>
      </c>
      <c r="D6945">
        <v>4.1463289999999997</v>
      </c>
      <c r="E6945">
        <v>0.39561170000000001</v>
      </c>
      <c r="F6945" t="s">
        <v>63</v>
      </c>
      <c r="G6945">
        <v>-415.94720000000001</v>
      </c>
      <c r="H6945" s="1">
        <v>-8.3601919999999998E-6</v>
      </c>
      <c r="I6945">
        <v>26.64274</v>
      </c>
      <c r="J6945">
        <v>-421.93430000000001</v>
      </c>
      <c r="K6945">
        <v>1.121</v>
      </c>
      <c r="L6945">
        <v>44.988709999999998</v>
      </c>
      <c r="M6945">
        <v>-3.195991E-3</v>
      </c>
      <c r="N6945">
        <v>-9.6855039999999993E-3</v>
      </c>
      <c r="O6945">
        <v>-0.99994799999999995</v>
      </c>
      <c r="P6945">
        <v>2.7036370000000001E-2</v>
      </c>
      <c r="Q6945">
        <v>-3.2749769999999997E-2</v>
      </c>
      <c r="R6945">
        <v>-0.99909780000000004</v>
      </c>
      <c r="S6945">
        <v>0.95806880000000005</v>
      </c>
      <c r="T6945">
        <v>-0.17939269999999999</v>
      </c>
      <c r="U6945">
        <v>-2.9718019999999998</v>
      </c>
      <c r="V6945">
        <v>-3.022675E-2</v>
      </c>
      <c r="W6945">
        <v>-2.30764E-2</v>
      </c>
      <c r="X6945">
        <v>0.99927659999999996</v>
      </c>
      <c r="Y6945">
        <v>-0.30942900000000001</v>
      </c>
      <c r="Z6945">
        <v>4.765258E-2</v>
      </c>
      <c r="AA6945">
        <v>0.94972780000000001</v>
      </c>
      <c r="AB6945">
        <v>23</v>
      </c>
      <c r="AC6945">
        <v>5.9870999999999901</v>
      </c>
      <c r="AD6945">
        <v>-1.121008360192</v>
      </c>
      <c r="AE6945">
        <v>-18.345969999999902</v>
      </c>
      <c r="AF6945">
        <v>-6.0253742555943202</v>
      </c>
      <c r="AG6945">
        <v>-1.121008360192</v>
      </c>
      <c r="AH6945">
        <v>18.265108576800401</v>
      </c>
      <c r="AI6945">
        <v>93.335699442460395</v>
      </c>
      <c r="AJ6945">
        <v>108.25691643500301</v>
      </c>
      <c r="AK6945">
        <v>19.265928111199401</v>
      </c>
      <c r="AL6945">
        <v>91.322297768601601</v>
      </c>
      <c r="AM6945">
        <v>91.732590642072395</v>
      </c>
      <c r="AN6945">
        <v>0.99999994998003905</v>
      </c>
    </row>
    <row r="6946" spans="1:40" x14ac:dyDescent="0.25">
      <c r="A6946" t="str">
        <f>"20190303153946595"</f>
        <v>20190303153946595</v>
      </c>
      <c r="B6946" t="str">
        <f>"1551598786585717"</f>
        <v>1551598786585717</v>
      </c>
      <c r="C6946" t="s">
        <v>40</v>
      </c>
      <c r="D6946">
        <v>4.1269159999999996</v>
      </c>
      <c r="E6946">
        <v>0.39877499999999999</v>
      </c>
      <c r="F6946" t="s">
        <v>63</v>
      </c>
      <c r="G6946">
        <v>-416.63959999999997</v>
      </c>
      <c r="H6946" s="1">
        <v>-8.2423069999999998E-6</v>
      </c>
      <c r="I6946">
        <v>27.75535</v>
      </c>
      <c r="J6946">
        <v>-421.9348</v>
      </c>
      <c r="K6946">
        <v>1.1210830000000001</v>
      </c>
      <c r="L6946">
        <v>44.76764</v>
      </c>
      <c r="M6946">
        <v>-3.0621490000000001E-3</v>
      </c>
      <c r="N6946">
        <v>-1.005239E-2</v>
      </c>
      <c r="O6946">
        <v>-0.99994470000000002</v>
      </c>
      <c r="P6946">
        <v>2.76548E-2</v>
      </c>
      <c r="Q6946">
        <v>-3.5167459999999998E-2</v>
      </c>
      <c r="R6946">
        <v>-0.99899879999999996</v>
      </c>
      <c r="S6946">
        <v>0.91299439999999998</v>
      </c>
      <c r="T6946">
        <v>-0.1933039</v>
      </c>
      <c r="U6946">
        <v>-2.9716800000000001</v>
      </c>
      <c r="V6946">
        <v>-3.0708860000000001E-2</v>
      </c>
      <c r="W6946">
        <v>-2.5130280000000001E-2</v>
      </c>
      <c r="X6946">
        <v>0.9992124</v>
      </c>
      <c r="Y6946">
        <v>-0.29610710000000001</v>
      </c>
      <c r="Z6946">
        <v>5.1991130000000003E-2</v>
      </c>
      <c r="AA6946">
        <v>0.95373869999999905</v>
      </c>
      <c r="AB6946">
        <v>23</v>
      </c>
      <c r="AC6946">
        <v>5.2952000000000199</v>
      </c>
      <c r="AD6946">
        <v>-1.1210912423070001</v>
      </c>
      <c r="AE6946">
        <v>-17.01229</v>
      </c>
      <c r="AF6946">
        <v>-5.3261850597401201</v>
      </c>
      <c r="AG6946">
        <v>-1.1210912423070001</v>
      </c>
      <c r="AH6946">
        <v>16.9289711789012</v>
      </c>
      <c r="AI6946">
        <v>93.614601008203707</v>
      </c>
      <c r="AJ6946">
        <v>107.464593941377</v>
      </c>
      <c r="AK6946">
        <v>17.7824395975424</v>
      </c>
      <c r="AL6946">
        <v>91.440010588194895</v>
      </c>
      <c r="AM6946">
        <v>91.760320856096996</v>
      </c>
      <c r="AN6946">
        <v>0.99999999268456896</v>
      </c>
    </row>
    <row r="6947" spans="1:40" x14ac:dyDescent="0.25">
      <c r="A6947" t="str">
        <f>"20190303153946617"</f>
        <v>20190303153946617</v>
      </c>
      <c r="B6947" t="str">
        <f>"1551598786605238"</f>
        <v>1551598786605238</v>
      </c>
      <c r="C6947" t="s">
        <v>40</v>
      </c>
      <c r="D6947">
        <v>4.1255119999999996</v>
      </c>
      <c r="E6947">
        <v>0.40059470000000003</v>
      </c>
      <c r="F6947" t="s">
        <v>63</v>
      </c>
      <c r="G6947">
        <v>-417.0421</v>
      </c>
      <c r="H6947" s="1">
        <v>-8.1756440000000005E-6</v>
      </c>
      <c r="I6947">
        <v>28.418530000000001</v>
      </c>
      <c r="J6947">
        <v>-421.93529999999998</v>
      </c>
      <c r="K6947">
        <v>1.121165</v>
      </c>
      <c r="L6947">
        <v>44.538449999999997</v>
      </c>
      <c r="M6947">
        <v>-2.8794480000000002E-3</v>
      </c>
      <c r="N6947">
        <v>-1.042882E-2</v>
      </c>
      <c r="O6947">
        <v>-0.99994159999999999</v>
      </c>
      <c r="P6947">
        <v>2.857231E-2</v>
      </c>
      <c r="Q6947">
        <v>-3.6744199999999998E-2</v>
      </c>
      <c r="R6947">
        <v>-0.99891640000000004</v>
      </c>
      <c r="S6947">
        <v>0.889190699999999</v>
      </c>
      <c r="T6947">
        <v>-0.2037426</v>
      </c>
      <c r="U6947">
        <v>-2.971222</v>
      </c>
      <c r="V6947">
        <v>-3.1441629999999998E-2</v>
      </c>
      <c r="W6947">
        <v>-2.633371E-2</v>
      </c>
      <c r="X6947">
        <v>0.99915860000000001</v>
      </c>
      <c r="Y6947">
        <v>-0.28891359999999999</v>
      </c>
      <c r="Z6947">
        <v>5.5110159999999998E-2</v>
      </c>
      <c r="AA6947">
        <v>0.95576760000000005</v>
      </c>
      <c r="AB6947">
        <v>23</v>
      </c>
      <c r="AC6947">
        <v>4.89319999999997</v>
      </c>
      <c r="AD6947">
        <v>-1.121173175644</v>
      </c>
      <c r="AE6947">
        <v>-16.119919999999901</v>
      </c>
      <c r="AF6947">
        <v>-4.9178159585562202</v>
      </c>
      <c r="AG6947">
        <v>-1.121173175644</v>
      </c>
      <c r="AH6947">
        <v>16.0347391634674</v>
      </c>
      <c r="AI6947">
        <v>93.824428317506602</v>
      </c>
      <c r="AJ6947">
        <v>107.050650761383</v>
      </c>
      <c r="AK6947">
        <v>16.809366529778799</v>
      </c>
      <c r="AL6947">
        <v>91.508984919711594</v>
      </c>
      <c r="AM6947">
        <v>91.802394957001596</v>
      </c>
      <c r="AN6947">
        <v>0.99999997416668995</v>
      </c>
    </row>
    <row r="6948" spans="1:40" x14ac:dyDescent="0.25">
      <c r="A6948" t="str">
        <f>"20190303153946640"</f>
        <v>20190303153946640</v>
      </c>
      <c r="B6948" t="str">
        <f>"1551598786635497"</f>
        <v>1551598786635497</v>
      </c>
      <c r="C6948" t="s">
        <v>40</v>
      </c>
      <c r="D6948">
        <v>4.1196609999999998</v>
      </c>
      <c r="E6948">
        <v>0.40186759999999999</v>
      </c>
      <c r="F6948" t="s">
        <v>63</v>
      </c>
      <c r="G6948">
        <v>-417.23739999999998</v>
      </c>
      <c r="H6948" s="1">
        <v>-8.1321759999999992E-6</v>
      </c>
      <c r="I6948">
        <v>28.641660000000002</v>
      </c>
      <c r="J6948">
        <v>-421.9357</v>
      </c>
      <c r="K6948">
        <v>1.121238</v>
      </c>
      <c r="L6948">
        <v>44.31644</v>
      </c>
      <c r="M6948">
        <v>-2.6567190000000001E-3</v>
      </c>
      <c r="N6948">
        <v>-1.077503E-2</v>
      </c>
      <c r="O6948">
        <v>-0.99993829999999995</v>
      </c>
      <c r="P6948">
        <v>2.9369240000000001E-2</v>
      </c>
      <c r="Q6948">
        <v>-3.7438770000000003E-2</v>
      </c>
      <c r="R6948">
        <v>-0.99886699999999995</v>
      </c>
      <c r="S6948">
        <v>0.87783809999999995</v>
      </c>
      <c r="T6948">
        <v>-0.20949909999999999</v>
      </c>
      <c r="U6948">
        <v>-2.9704280000000001</v>
      </c>
      <c r="V6948">
        <v>-3.2014479999999998E-2</v>
      </c>
      <c r="W6948">
        <v>-2.6684920000000001E-2</v>
      </c>
      <c r="X6948">
        <v>0.99913110000000005</v>
      </c>
      <c r="Y6948">
        <v>-0.28538180000000002</v>
      </c>
      <c r="Z6948">
        <v>5.6698150000000003E-2</v>
      </c>
      <c r="AA6948">
        <v>0.95673540000000001</v>
      </c>
      <c r="AB6948">
        <v>23</v>
      </c>
      <c r="AC6948">
        <v>4.6983000000000104</v>
      </c>
      <c r="AD6948">
        <v>-1.1212461321760001</v>
      </c>
      <c r="AE6948">
        <v>-15.67478</v>
      </c>
      <c r="AF6948">
        <v>-4.7177793548365496</v>
      </c>
      <c r="AG6948">
        <v>-1.1212461321760001</v>
      </c>
      <c r="AH6948">
        <v>15.589051301364799</v>
      </c>
      <c r="AI6948">
        <v>93.9381293605949</v>
      </c>
      <c r="AJ6948">
        <v>106.83760779511</v>
      </c>
      <c r="AK6948">
        <v>16.325843175971801</v>
      </c>
      <c r="AL6948">
        <v>91.529114831214002</v>
      </c>
      <c r="AM6948">
        <v>91.835261869687102</v>
      </c>
      <c r="AN6948">
        <v>0.99999998343614305</v>
      </c>
    </row>
    <row r="6949" spans="1:40" x14ac:dyDescent="0.25">
      <c r="A6949" t="str">
        <f>"20190303153946662"</f>
        <v>20190303153946662</v>
      </c>
      <c r="B6949" t="str">
        <f>"1551598786655989"</f>
        <v>1551598786655989</v>
      </c>
      <c r="C6949" t="s">
        <v>40</v>
      </c>
      <c r="D6949">
        <v>4.1264589999999997</v>
      </c>
      <c r="E6949">
        <v>0.40236709999999998</v>
      </c>
      <c r="F6949" t="s">
        <v>63</v>
      </c>
      <c r="G6949">
        <v>-417.38159999999999</v>
      </c>
      <c r="H6949" s="1">
        <v>-8.0956430000000002E-6</v>
      </c>
      <c r="I6949">
        <v>28.76688</v>
      </c>
      <c r="J6949">
        <v>-421.93599999999998</v>
      </c>
      <c r="K6949">
        <v>1.121297</v>
      </c>
      <c r="L6949">
        <v>44.091189999999997</v>
      </c>
      <c r="M6949">
        <v>-2.3905369999999999E-3</v>
      </c>
      <c r="N6949">
        <v>-1.110768E-2</v>
      </c>
      <c r="O6949">
        <v>-0.99993540000000003</v>
      </c>
      <c r="P6949">
        <v>3.0693370000000001E-2</v>
      </c>
      <c r="Q6949">
        <v>-3.7840819999999997E-2</v>
      </c>
      <c r="R6949">
        <v>-0.99881249999999999</v>
      </c>
      <c r="S6949">
        <v>0.86978149999999999</v>
      </c>
      <c r="T6949">
        <v>-0.21414520000000001</v>
      </c>
      <c r="U6949">
        <v>-2.9697879999999999</v>
      </c>
      <c r="V6949">
        <v>-3.3071099999999999E-2</v>
      </c>
      <c r="W6949">
        <v>-2.6757550000000001E-2</v>
      </c>
      <c r="X6949">
        <v>0.99909479999999995</v>
      </c>
      <c r="Y6949">
        <v>-0.28276790000000002</v>
      </c>
      <c r="Z6949">
        <v>5.7923420000000003E-2</v>
      </c>
      <c r="AA6949">
        <v>0.95743780000000001</v>
      </c>
      <c r="AB6949">
        <v>23</v>
      </c>
      <c r="AC6949">
        <v>4.5543999999999798</v>
      </c>
      <c r="AD6949">
        <v>-1.121305095643</v>
      </c>
      <c r="AE6949">
        <v>-15.324310000000001</v>
      </c>
      <c r="AF6949">
        <v>-4.5685473599831798</v>
      </c>
      <c r="AG6949">
        <v>-1.121305095643</v>
      </c>
      <c r="AH6949">
        <v>15.238411878646399</v>
      </c>
      <c r="AI6949">
        <v>94.031801583731607</v>
      </c>
      <c r="AJ6949">
        <v>106.688977261294</v>
      </c>
      <c r="AK6949">
        <v>15.947982526990501</v>
      </c>
      <c r="AL6949">
        <v>91.533277620762604</v>
      </c>
      <c r="AM6949">
        <v>91.895858995708096</v>
      </c>
      <c r="AN6949">
        <v>1.00000004176212</v>
      </c>
    </row>
    <row r="6950" spans="1:40" x14ac:dyDescent="0.25">
      <c r="A6950" t="str">
        <f>"20190303153946685"</f>
        <v>20190303153946685</v>
      </c>
      <c r="B6950" t="str">
        <f>"1551598786675510"</f>
        <v>1551598786675510</v>
      </c>
      <c r="C6950" t="s">
        <v>40</v>
      </c>
      <c r="D6950">
        <v>4.0950280000000001</v>
      </c>
      <c r="E6950">
        <v>0.40272590000000003</v>
      </c>
      <c r="F6950" t="s">
        <v>63</v>
      </c>
      <c r="G6950">
        <v>-417.43340000000001</v>
      </c>
      <c r="H6950" s="1">
        <v>-8.0720819999999993E-6</v>
      </c>
      <c r="I6950">
        <v>28.71923</v>
      </c>
      <c r="J6950">
        <v>-421.93619999999999</v>
      </c>
      <c r="K6950">
        <v>1.121346</v>
      </c>
      <c r="L6950">
        <v>43.863100000000003</v>
      </c>
      <c r="M6950">
        <v>-2.0922530000000001E-3</v>
      </c>
      <c r="N6950">
        <v>-1.142261E-2</v>
      </c>
      <c r="O6950">
        <v>-0.99993259999999995</v>
      </c>
      <c r="P6950">
        <v>3.1898360000000001E-2</v>
      </c>
      <c r="Q6950">
        <v>-3.886117E-2</v>
      </c>
      <c r="R6950">
        <v>-0.9987355</v>
      </c>
      <c r="S6950">
        <v>0.86953740000000002</v>
      </c>
      <c r="T6950">
        <v>-0.21654609999999999</v>
      </c>
      <c r="U6950">
        <v>-2.9686279999999998</v>
      </c>
      <c r="V6950">
        <v>-3.397609E-2</v>
      </c>
      <c r="W6950">
        <v>-2.74662E-2</v>
      </c>
      <c r="X6950">
        <v>0.99904510000000002</v>
      </c>
      <c r="Y6950">
        <v>-0.282497</v>
      </c>
      <c r="Z6950">
        <v>5.8409580000000003E-2</v>
      </c>
      <c r="AA6950">
        <v>0.95748820000000001</v>
      </c>
      <c r="AB6950">
        <v>23</v>
      </c>
      <c r="AC6950">
        <v>4.5027999999999704</v>
      </c>
      <c r="AD6950">
        <v>-1.1213540720820001</v>
      </c>
      <c r="AE6950">
        <v>-15.14387</v>
      </c>
      <c r="AF6950">
        <v>-4.5117488206462202</v>
      </c>
      <c r="AG6950">
        <v>-1.1213540720820001</v>
      </c>
      <c r="AH6950">
        <v>15.058556884710899</v>
      </c>
      <c r="AI6950">
        <v>94.080185845522706</v>
      </c>
      <c r="AJ6950">
        <v>106.67893231592601</v>
      </c>
      <c r="AK6950">
        <v>15.7598682680298</v>
      </c>
      <c r="AL6950">
        <v>91.5738953661197</v>
      </c>
      <c r="AM6950">
        <v>91.947796531455296</v>
      </c>
      <c r="AN6950">
        <v>0.99999993933406695</v>
      </c>
    </row>
    <row r="6951" spans="1:40" x14ac:dyDescent="0.25">
      <c r="A6951" t="str">
        <f>"20190303153946707"</f>
        <v>20190303153946707</v>
      </c>
      <c r="B6951" t="str">
        <f>"1551598786695029"</f>
        <v>1551598786695029</v>
      </c>
      <c r="C6951" t="s">
        <v>40</v>
      </c>
      <c r="D6951">
        <v>4.0947620000000002</v>
      </c>
      <c r="E6951">
        <v>0.40294400000000002</v>
      </c>
      <c r="F6951" t="s">
        <v>63</v>
      </c>
      <c r="G6951">
        <v>-417.50349999999997</v>
      </c>
      <c r="H6951" s="1">
        <v>-8.0506030000000003E-6</v>
      </c>
      <c r="I6951">
        <v>28.746949999999998</v>
      </c>
      <c r="J6951">
        <v>-421.93630000000002</v>
      </c>
      <c r="K6951">
        <v>1.1213740000000001</v>
      </c>
      <c r="L6951">
        <v>43.641390000000001</v>
      </c>
      <c r="M6951">
        <v>-1.784068E-3</v>
      </c>
      <c r="N6951">
        <v>-1.1701909999999999E-2</v>
      </c>
      <c r="O6951">
        <v>-0.99993030000000005</v>
      </c>
      <c r="P6951">
        <v>3.2969930000000001E-2</v>
      </c>
      <c r="Q6951">
        <v>-3.9412790000000003E-2</v>
      </c>
      <c r="R6951">
        <v>-0.99867919999999999</v>
      </c>
      <c r="S6951">
        <v>0.87017819999999901</v>
      </c>
      <c r="T6951">
        <v>-0.22013199999999999</v>
      </c>
      <c r="U6951">
        <v>-2.967438</v>
      </c>
      <c r="V6951">
        <v>-3.4738499999999999E-2</v>
      </c>
      <c r="W6951">
        <v>-2.7740899999999999E-2</v>
      </c>
      <c r="X6951">
        <v>0.99901130000000005</v>
      </c>
      <c r="Y6951">
        <v>-0.28247509999999998</v>
      </c>
      <c r="Z6951">
        <v>5.9307539999999999E-2</v>
      </c>
      <c r="AA6951">
        <v>0.9574395</v>
      </c>
      <c r="AB6951">
        <v>22</v>
      </c>
      <c r="AC6951">
        <v>4.4328000000000403</v>
      </c>
      <c r="AD6951">
        <v>-1.1213820506029999</v>
      </c>
      <c r="AE6951">
        <v>-14.894439999999999</v>
      </c>
      <c r="AF6951">
        <v>-4.4362671047466904</v>
      </c>
      <c r="AG6951">
        <v>-1.1213820506029999</v>
      </c>
      <c r="AH6951">
        <v>14.809392492134601</v>
      </c>
      <c r="AI6951">
        <v>94.148763003936494</v>
      </c>
      <c r="AJ6951">
        <v>106.675990341134</v>
      </c>
      <c r="AK6951">
        <v>15.5001957895429</v>
      </c>
      <c r="AL6951">
        <v>91.589640501734905</v>
      </c>
      <c r="AM6951">
        <v>91.991536830070302</v>
      </c>
      <c r="AN6951">
        <v>0.99999994922137303</v>
      </c>
    </row>
    <row r="6952" spans="1:40" x14ac:dyDescent="0.25">
      <c r="A6952" t="str">
        <f>"20190303153946730"</f>
        <v>20190303153946730</v>
      </c>
      <c r="B6952" t="str">
        <f>"1551598786725285"</f>
        <v>1551598786725285</v>
      </c>
      <c r="C6952" t="s">
        <v>40</v>
      </c>
      <c r="D6952">
        <v>4.0399849999999997</v>
      </c>
      <c r="E6952">
        <v>0.40293020000000002</v>
      </c>
      <c r="F6952" t="s">
        <v>63</v>
      </c>
      <c r="G6952">
        <v>-417.5428</v>
      </c>
      <c r="H6952" s="1">
        <v>-8.0306739999999997E-6</v>
      </c>
      <c r="I6952">
        <v>28.69247</v>
      </c>
      <c r="J6952">
        <v>-421.93639999999999</v>
      </c>
      <c r="K6952">
        <v>1.121394</v>
      </c>
      <c r="L6952">
        <v>43.420140000000004</v>
      </c>
      <c r="M6952">
        <v>-1.4652329999999901E-3</v>
      </c>
      <c r="N6952">
        <v>-1.195125E-2</v>
      </c>
      <c r="O6952">
        <v>-0.99992760000000003</v>
      </c>
      <c r="P6952">
        <v>3.4285589999999998E-2</v>
      </c>
      <c r="Q6952">
        <v>-3.9427700000000003E-2</v>
      </c>
      <c r="R6952">
        <v>-0.99863409999999997</v>
      </c>
      <c r="S6952">
        <v>0.871826199999999</v>
      </c>
      <c r="T6952">
        <v>-0.22252240000000001</v>
      </c>
      <c r="U6952">
        <v>-2.9664000000000001</v>
      </c>
      <c r="V6952">
        <v>-3.5735740000000002E-2</v>
      </c>
      <c r="W6952">
        <v>-2.7508189999999998E-2</v>
      </c>
      <c r="X6952">
        <v>0.99898260000000005</v>
      </c>
      <c r="Y6952">
        <v>-0.28273569999999998</v>
      </c>
      <c r="Z6952">
        <v>5.9842239999999998E-2</v>
      </c>
      <c r="AA6952">
        <v>0.95732930000000005</v>
      </c>
      <c r="AB6952">
        <v>22</v>
      </c>
      <c r="AC6952">
        <v>4.3935999999999904</v>
      </c>
      <c r="AD6952">
        <v>-1.121402030674</v>
      </c>
      <c r="AE6952">
        <v>-14.72767</v>
      </c>
      <c r="AF6952">
        <v>-4.3917949096858804</v>
      </c>
      <c r="AG6952">
        <v>-1.121402030674</v>
      </c>
      <c r="AH6952">
        <v>14.6432571653217</v>
      </c>
      <c r="AI6952">
        <v>94.195324451161795</v>
      </c>
      <c r="AJ6952">
        <v>106.695000250256</v>
      </c>
      <c r="AK6952">
        <v>15.3287437663002</v>
      </c>
      <c r="AL6952">
        <v>91.576302046541699</v>
      </c>
      <c r="AM6952">
        <v>92.0487187550317</v>
      </c>
      <c r="AN6952">
        <v>0.99999998936659096</v>
      </c>
    </row>
    <row r="6953" spans="1:40" x14ac:dyDescent="0.25">
      <c r="A6953" t="str">
        <f>"20190303153946752"</f>
        <v>20190303153946752</v>
      </c>
      <c r="B6953" t="str">
        <f>"1551598786745782"</f>
        <v>1551598786745782</v>
      </c>
      <c r="C6953" t="s">
        <v>40</v>
      </c>
      <c r="D6953">
        <v>4.0866920000000002</v>
      </c>
      <c r="E6953">
        <v>0.402949</v>
      </c>
      <c r="F6953" t="s">
        <v>63</v>
      </c>
      <c r="G6953">
        <v>-417.45119999999997</v>
      </c>
      <c r="H6953" s="1">
        <v>-8.0111080000000005E-6</v>
      </c>
      <c r="I6953">
        <v>28.232589999999998</v>
      </c>
      <c r="J6953">
        <v>-421.93630000000002</v>
      </c>
      <c r="K6953">
        <v>1.12141</v>
      </c>
      <c r="L6953">
        <v>43.190919999999998</v>
      </c>
      <c r="M6953">
        <v>-1.1281660000000001E-3</v>
      </c>
      <c r="N6953">
        <v>-1.2177179999999999E-2</v>
      </c>
      <c r="O6953">
        <v>-0.99992530000000002</v>
      </c>
      <c r="P6953">
        <v>3.5972949999999997E-2</v>
      </c>
      <c r="Q6953">
        <v>-3.8077180000000002E-2</v>
      </c>
      <c r="R6953">
        <v>-0.9986273</v>
      </c>
      <c r="S6953">
        <v>0.87573239999999997</v>
      </c>
      <c r="T6953">
        <v>-0.2189555</v>
      </c>
      <c r="U6953">
        <v>-2.9653930000000002</v>
      </c>
      <c r="V6953">
        <v>-3.708678E-2</v>
      </c>
      <c r="W6953">
        <v>-2.5932489999999999E-2</v>
      </c>
      <c r="X6953">
        <v>0.99897550000000002</v>
      </c>
      <c r="Y6953">
        <v>-0.28368199999999999</v>
      </c>
      <c r="Z6953">
        <v>5.8471990000000001E-2</v>
      </c>
      <c r="AA6953">
        <v>0.95713400000000004</v>
      </c>
      <c r="AB6953">
        <v>22</v>
      </c>
      <c r="AC6953">
        <v>4.4851000000000401</v>
      </c>
      <c r="AD6953">
        <v>-1.1214180111079901</v>
      </c>
      <c r="AE6953">
        <v>-14.958329999999901</v>
      </c>
      <c r="AF6953">
        <v>-4.4788771805938801</v>
      </c>
      <c r="AG6953">
        <v>-1.1214180111079901</v>
      </c>
      <c r="AH6953">
        <v>14.8765447343687</v>
      </c>
      <c r="AI6953">
        <v>94.128518524628703</v>
      </c>
      <c r="AJ6953">
        <v>106.75545750907099</v>
      </c>
      <c r="AK6953">
        <v>15.5765690185019</v>
      </c>
      <c r="AL6953">
        <v>91.485988834262201</v>
      </c>
      <c r="AM6953">
        <v>92.126118761779907</v>
      </c>
      <c r="AN6953">
        <v>0.99999998644430899</v>
      </c>
    </row>
    <row r="6954" spans="1:40" x14ac:dyDescent="0.25">
      <c r="A6954" t="str">
        <f>"20190303153946774"</f>
        <v>20190303153946774</v>
      </c>
      <c r="B6954" t="str">
        <f>"1551598786765302"</f>
        <v>1551598786765302</v>
      </c>
      <c r="C6954" t="s">
        <v>40</v>
      </c>
      <c r="D6954">
        <v>4.0311070000000004</v>
      </c>
      <c r="E6954">
        <v>0.40282899999999999</v>
      </c>
      <c r="F6954" t="s">
        <v>63</v>
      </c>
      <c r="G6954">
        <v>-417.28899999999999</v>
      </c>
      <c r="H6954" s="1">
        <v>-7.9913370000000004E-6</v>
      </c>
      <c r="I6954">
        <v>27.550470000000001</v>
      </c>
      <c r="J6954">
        <v>-421.93619999999999</v>
      </c>
      <c r="K6954">
        <v>1.1214139999999999</v>
      </c>
      <c r="L6954">
        <v>42.972169999999998</v>
      </c>
      <c r="M6954">
        <v>-8.0817089999999996E-4</v>
      </c>
      <c r="N6954">
        <v>-1.2367929999999999E-2</v>
      </c>
      <c r="O6954">
        <v>-0.99992309999999995</v>
      </c>
      <c r="P6954">
        <v>3.7847899999999997E-2</v>
      </c>
      <c r="Q6954">
        <v>-3.6858509999999997E-2</v>
      </c>
      <c r="R6954">
        <v>-0.99860360000000004</v>
      </c>
      <c r="S6954">
        <v>0.88079830000000003</v>
      </c>
      <c r="T6954">
        <v>-0.2125396</v>
      </c>
      <c r="U6954">
        <v>-2.9642940000000002</v>
      </c>
      <c r="V6954">
        <v>-3.8643869999999997E-2</v>
      </c>
      <c r="W6954">
        <v>-2.452375E-2</v>
      </c>
      <c r="X6954">
        <v>0.99895210000000001</v>
      </c>
      <c r="Y6954">
        <v>-0.2850123</v>
      </c>
      <c r="Z6954">
        <v>5.621545E-2</v>
      </c>
      <c r="AA6954">
        <v>0.956874</v>
      </c>
      <c r="AB6954">
        <v>22</v>
      </c>
      <c r="AC6954">
        <v>4.64719999999999</v>
      </c>
      <c r="AD6954">
        <v>-1.1214219913369901</v>
      </c>
      <c r="AE6954">
        <v>-15.4216999999999</v>
      </c>
      <c r="AF6954">
        <v>-4.6371836442695296</v>
      </c>
      <c r="AG6954">
        <v>-1.1214219913369901</v>
      </c>
      <c r="AH6954">
        <v>15.343559669028799</v>
      </c>
      <c r="AI6954">
        <v>94.002014435811006</v>
      </c>
      <c r="AJ6954">
        <v>106.81604846047</v>
      </c>
      <c r="AK6954">
        <v>16.068163639644101</v>
      </c>
      <c r="AL6954">
        <v>91.405248209975497</v>
      </c>
      <c r="AM6954">
        <v>92.215348639620103</v>
      </c>
      <c r="AN6954">
        <v>1.0000000305485199</v>
      </c>
    </row>
    <row r="6955" spans="1:40" x14ac:dyDescent="0.25">
      <c r="A6955" t="str">
        <f>"20190303153946796"</f>
        <v>20190303153946796</v>
      </c>
      <c r="B6955" t="str">
        <f>"1551598786785802"</f>
        <v>1551598786785802</v>
      </c>
      <c r="C6955" t="s">
        <v>40</v>
      </c>
      <c r="D6955">
        <v>4.158226</v>
      </c>
      <c r="E6955">
        <v>0.40301900000000002</v>
      </c>
      <c r="F6955" t="s">
        <v>63</v>
      </c>
      <c r="G6955">
        <v>-417.14870000000002</v>
      </c>
      <c r="H6955" s="1">
        <v>-7.9769199999999995E-6</v>
      </c>
      <c r="I6955">
        <v>26.984390000000001</v>
      </c>
      <c r="J6955">
        <v>-421.9359</v>
      </c>
      <c r="K6955">
        <v>1.1214120000000001</v>
      </c>
      <c r="L6955">
        <v>42.7515</v>
      </c>
      <c r="M6955">
        <v>-4.9224119999999999E-4</v>
      </c>
      <c r="N6955">
        <v>-1.2537380000000001E-2</v>
      </c>
      <c r="O6955">
        <v>-0.99992139999999996</v>
      </c>
      <c r="P6955">
        <v>3.9765750000000002E-2</v>
      </c>
      <c r="Q6955">
        <v>-3.7415799999999999E-2</v>
      </c>
      <c r="R6955">
        <v>-0.99850859999999997</v>
      </c>
      <c r="S6955">
        <v>0.88723750000000001</v>
      </c>
      <c r="T6955">
        <v>-0.2078245</v>
      </c>
      <c r="U6955">
        <v>-2.9628909999999999</v>
      </c>
      <c r="V6955">
        <v>-4.0245830000000003E-2</v>
      </c>
      <c r="W6955">
        <v>-2.491289E-2</v>
      </c>
      <c r="X6955">
        <v>0.99887919999999997</v>
      </c>
      <c r="Y6955">
        <v>-0.28676889999999999</v>
      </c>
      <c r="Z6955">
        <v>5.4523950000000002E-2</v>
      </c>
      <c r="AA6955">
        <v>0.95644689999999999</v>
      </c>
      <c r="AB6955">
        <v>22</v>
      </c>
      <c r="AC6955">
        <v>4.7871999999999799</v>
      </c>
      <c r="AD6955">
        <v>-1.12141997692</v>
      </c>
      <c r="AE6955">
        <v>-15.767110000000001</v>
      </c>
      <c r="AF6955">
        <v>-4.7728550281825601</v>
      </c>
      <c r="AG6955">
        <v>-1.12141997692</v>
      </c>
      <c r="AH6955">
        <v>15.692071173814099</v>
      </c>
      <c r="AI6955">
        <v>93.911310321018306</v>
      </c>
      <c r="AJ6955">
        <v>106.91751169623301</v>
      </c>
      <c r="AK6955">
        <v>16.440158928937699</v>
      </c>
      <c r="AL6955">
        <v>91.427551122148301</v>
      </c>
      <c r="AM6955">
        <v>92.307255607800798</v>
      </c>
      <c r="AN6955">
        <v>1.00000001755659</v>
      </c>
    </row>
    <row r="6956" spans="1:40" x14ac:dyDescent="0.25">
      <c r="A6956" t="str">
        <f>"20190303153946818"</f>
        <v>20190303153946818</v>
      </c>
      <c r="B6956" t="str">
        <f>"1551598786815077"</f>
        <v>1551598786815077</v>
      </c>
      <c r="C6956" t="s">
        <v>40</v>
      </c>
      <c r="D6956">
        <v>4.2656320000000001</v>
      </c>
      <c r="E6956">
        <v>0.45258809999999999</v>
      </c>
      <c r="F6956" t="s">
        <v>63</v>
      </c>
      <c r="G6956">
        <v>-417.15449999999998</v>
      </c>
      <c r="H6956" s="1">
        <v>-7.9616860000000004E-6</v>
      </c>
      <c r="I6956">
        <v>26.867319999999999</v>
      </c>
      <c r="J6956">
        <v>-421.9357</v>
      </c>
      <c r="K6956">
        <v>1.1214150000000001</v>
      </c>
      <c r="L6956">
        <v>42.525390000000002</v>
      </c>
      <c r="M6956">
        <v>-1.77896699999999E-4</v>
      </c>
      <c r="N6956">
        <v>-1.2689290000000001E-2</v>
      </c>
      <c r="O6956">
        <v>-0.99991980000000003</v>
      </c>
      <c r="P6956">
        <v>4.1673830000000002E-2</v>
      </c>
      <c r="Q6956">
        <v>-3.8687100000000002E-2</v>
      </c>
      <c r="R6956">
        <v>-0.9983822</v>
      </c>
      <c r="S6956">
        <v>0.89135739999999997</v>
      </c>
      <c r="T6956">
        <v>-0.20905689999999999</v>
      </c>
      <c r="U6956">
        <v>-2.9611510000000001</v>
      </c>
      <c r="V6956">
        <v>-4.1840200000000001E-2</v>
      </c>
      <c r="W6956">
        <v>-2.6033890000000001E-2</v>
      </c>
      <c r="X6956">
        <v>0.99878509999999998</v>
      </c>
      <c r="Y6956">
        <v>-0.28783530000000002</v>
      </c>
      <c r="Z6956">
        <v>5.478247E-2</v>
      </c>
      <c r="AA6956">
        <v>0.95611179999999996</v>
      </c>
      <c r="AB6956">
        <v>22</v>
      </c>
      <c r="AC6956">
        <v>4.7812000000000099</v>
      </c>
      <c r="AD6956">
        <v>-1.1214229616859901</v>
      </c>
      <c r="AE6956">
        <v>-15.65807</v>
      </c>
      <c r="AF6956">
        <v>-4.7616445792537796</v>
      </c>
      <c r="AG6956">
        <v>-1.1214229616859901</v>
      </c>
      <c r="AH6956">
        <v>15.584100322145</v>
      </c>
      <c r="AI6956">
        <v>93.9368148260167</v>
      </c>
      <c r="AJ6956">
        <v>106.990272318842</v>
      </c>
      <c r="AK6956">
        <v>16.3338614971724</v>
      </c>
      <c r="AL6956">
        <v>91.491800537178307</v>
      </c>
      <c r="AM6956">
        <v>92.398780334646204</v>
      </c>
      <c r="AN6956">
        <v>1.00000002087329</v>
      </c>
    </row>
    <row r="6957" spans="1:40" x14ac:dyDescent="0.25">
      <c r="A6957" t="str">
        <f>"20190303153946841"</f>
        <v>20190303153946841</v>
      </c>
      <c r="B6957" t="str">
        <f>"1551598786835577"</f>
        <v>1551598786835577</v>
      </c>
      <c r="C6957" t="s">
        <v>40</v>
      </c>
      <c r="D6957">
        <v>4.3227599999999997</v>
      </c>
      <c r="E6957">
        <v>0.5092468</v>
      </c>
      <c r="F6957" t="s">
        <v>63</v>
      </c>
      <c r="G6957">
        <v>-418.55860000000001</v>
      </c>
      <c r="H6957" s="1">
        <v>-6.9792570000000001E-6</v>
      </c>
      <c r="I6957">
        <v>22.51464</v>
      </c>
      <c r="J6957">
        <v>-421.93540000000002</v>
      </c>
      <c r="K6957">
        <v>1.1214170000000001</v>
      </c>
      <c r="L6957">
        <v>42.304470000000002</v>
      </c>
      <c r="M6957">
        <v>1.214094E-4</v>
      </c>
      <c r="N6957">
        <v>-1.2818660000000001E-2</v>
      </c>
      <c r="O6957">
        <v>-0.99991810000000003</v>
      </c>
      <c r="P6957">
        <v>4.3296800000000003E-2</v>
      </c>
      <c r="Q6957">
        <v>-3.8215350000000002E-2</v>
      </c>
      <c r="R6957">
        <v>-0.99833139999999998</v>
      </c>
      <c r="S6957">
        <v>0.50247189999999997</v>
      </c>
      <c r="T6957">
        <v>-0.16685720000000001</v>
      </c>
      <c r="U6957">
        <v>-2.977417</v>
      </c>
      <c r="V6957">
        <v>-4.316482E-2</v>
      </c>
      <c r="W6957">
        <v>-2.5433509999999999E-2</v>
      </c>
      <c r="X6957">
        <v>0.99874419999999997</v>
      </c>
      <c r="Y6957">
        <v>-0.16606679999999999</v>
      </c>
      <c r="Z6957">
        <v>4.2372630000000001E-2</v>
      </c>
      <c r="AA6957">
        <v>0.98520370000000002</v>
      </c>
      <c r="AB6957">
        <v>22</v>
      </c>
      <c r="AC6957">
        <v>3.3767999999999998</v>
      </c>
      <c r="AD6957">
        <v>-1.121423979257</v>
      </c>
      <c r="AE6957">
        <v>-19.789829999999998</v>
      </c>
      <c r="AF6957">
        <v>-3.3639008476321499</v>
      </c>
      <c r="AG6957">
        <v>-1.121423979257</v>
      </c>
      <c r="AH6957">
        <v>19.728681165843</v>
      </c>
      <c r="AI6957">
        <v>93.207136232223306</v>
      </c>
      <c r="AJ6957">
        <v>99.676339777901404</v>
      </c>
      <c r="AK6957">
        <v>20.044806838616299</v>
      </c>
      <c r="AL6957">
        <v>91.457389901330998</v>
      </c>
      <c r="AM6957">
        <v>92.474731635938795</v>
      </c>
      <c r="AN6957">
        <v>1.0000000210750899</v>
      </c>
    </row>
    <row r="6958" spans="1:40" x14ac:dyDescent="0.25">
      <c r="A6958" t="str">
        <f>"20190303153946863"</f>
        <v>20190303153946863</v>
      </c>
      <c r="B6958" t="str">
        <f>"1551598786855094"</f>
        <v>1551598786855094</v>
      </c>
      <c r="C6958" t="s">
        <v>40</v>
      </c>
      <c r="D6958">
        <v>4.2632909999999997</v>
      </c>
      <c r="E6958">
        <v>0.51038030000000001</v>
      </c>
      <c r="F6958" t="s">
        <v>63</v>
      </c>
      <c r="G6958">
        <v>-421.6003</v>
      </c>
      <c r="H6958" s="1">
        <v>-8.0408439999999997E-6</v>
      </c>
      <c r="I6958">
        <v>24.162669999999999</v>
      </c>
      <c r="J6958">
        <v>-421.93490000000003</v>
      </c>
      <c r="K6958">
        <v>1.121426</v>
      </c>
      <c r="L6958">
        <v>42.079900000000002</v>
      </c>
      <c r="M6958">
        <v>4.2112999999999997E-4</v>
      </c>
      <c r="N6958">
        <v>-1.293307E-2</v>
      </c>
      <c r="O6958">
        <v>-0.99991640000000004</v>
      </c>
      <c r="P6958">
        <v>4.4976870000000002E-2</v>
      </c>
      <c r="Q6958">
        <v>-3.7527060000000001E-2</v>
      </c>
      <c r="R6958">
        <v>-0.99828309999999998</v>
      </c>
      <c r="S6958">
        <v>5.5328370000000002E-2</v>
      </c>
      <c r="T6958">
        <v>-0.18516779999999999</v>
      </c>
      <c r="U6958">
        <v>-2.9955440000000002</v>
      </c>
      <c r="V6958">
        <v>-4.4546290000000002E-2</v>
      </c>
      <c r="W6958">
        <v>-2.4631549999999999E-2</v>
      </c>
      <c r="X6958">
        <v>0.99870360000000002</v>
      </c>
      <c r="Y6958">
        <v>-1.801529E-2</v>
      </c>
      <c r="Z6958">
        <v>4.877285E-2</v>
      </c>
      <c r="AA6958">
        <v>0.99864739999999996</v>
      </c>
      <c r="AB6958">
        <v>22</v>
      </c>
      <c r="AC6958">
        <v>0.33460000000002299</v>
      </c>
      <c r="AD6958">
        <v>-1.121434040844</v>
      </c>
      <c r="AE6958">
        <v>-17.91723</v>
      </c>
      <c r="AF6958">
        <v>-0.32577807599780401</v>
      </c>
      <c r="AG6958">
        <v>-1.121434040844</v>
      </c>
      <c r="AH6958">
        <v>17.847476744337499</v>
      </c>
      <c r="AI6958">
        <v>93.594817236123205</v>
      </c>
      <c r="AJ6958">
        <v>91.045729680866501</v>
      </c>
      <c r="AK6958">
        <v>17.8856414982084</v>
      </c>
      <c r="AL6958">
        <v>91.411426628376006</v>
      </c>
      <c r="AM6958">
        <v>92.553934715730705</v>
      </c>
      <c r="AN6958">
        <v>0.99999998293056303</v>
      </c>
    </row>
    <row r="6959" spans="1:40" x14ac:dyDescent="0.25">
      <c r="A6959" t="str">
        <f>"20190303153946886"</f>
        <v>20190303153946886</v>
      </c>
      <c r="B6959" t="str">
        <f>"1551598786875591"</f>
        <v>1551598786875591</v>
      </c>
      <c r="C6959" t="s">
        <v>40</v>
      </c>
      <c r="D6959">
        <v>4.2820549999999997</v>
      </c>
      <c r="E6959">
        <v>0.51062640000000004</v>
      </c>
      <c r="F6959" t="s">
        <v>63</v>
      </c>
      <c r="G6959">
        <v>-421.5949</v>
      </c>
      <c r="H6959" s="1">
        <v>-8.8025769999999998E-6</v>
      </c>
      <c r="I6959">
        <v>22.291720000000002</v>
      </c>
      <c r="J6959">
        <v>-421.93439999999998</v>
      </c>
      <c r="K6959">
        <v>1.1214379999999999</v>
      </c>
      <c r="L6959">
        <v>41.86063</v>
      </c>
      <c r="M6959">
        <v>7.1211149999999895E-4</v>
      </c>
      <c r="N6959">
        <v>-1.302992E-2</v>
      </c>
      <c r="O6959">
        <v>-0.99991490000000005</v>
      </c>
      <c r="P6959">
        <v>4.5246059999999998E-2</v>
      </c>
      <c r="Q6959">
        <v>-3.563848E-2</v>
      </c>
      <c r="R6959">
        <v>-0.99834000000000001</v>
      </c>
      <c r="S6959">
        <v>5.1483149999999998E-2</v>
      </c>
      <c r="T6959">
        <v>-0.1698152</v>
      </c>
      <c r="U6959">
        <v>-2.9964599999999999</v>
      </c>
      <c r="V6959">
        <v>-4.4526000000000003E-2</v>
      </c>
      <c r="W6959">
        <v>-2.2645040000000002E-2</v>
      </c>
      <c r="X6959">
        <v>0.99875150000000001</v>
      </c>
      <c r="Y6959">
        <v>-1.6442950000000001E-2</v>
      </c>
      <c r="Z6959">
        <v>4.355937E-2</v>
      </c>
      <c r="AA6959">
        <v>0.99891549999999996</v>
      </c>
      <c r="AB6959">
        <v>22</v>
      </c>
      <c r="AC6959">
        <v>0.33949999999998598</v>
      </c>
      <c r="AD6959">
        <v>-1.1214468025769999</v>
      </c>
      <c r="AE6959">
        <v>-19.568909999999999</v>
      </c>
      <c r="AF6959">
        <v>-0.32449810312178401</v>
      </c>
      <c r="AG6959">
        <v>-1.1214468025769999</v>
      </c>
      <c r="AH6959">
        <v>19.505108231442598</v>
      </c>
      <c r="AI6959">
        <v>93.290145638012504</v>
      </c>
      <c r="AJ6959">
        <v>90.953117333620597</v>
      </c>
      <c r="AK6959">
        <v>19.5400150734392</v>
      </c>
      <c r="AL6959">
        <v>91.297576185152195</v>
      </c>
      <c r="AM6959">
        <v>92.552650716810305</v>
      </c>
      <c r="AN6959">
        <v>0.99999996063242502</v>
      </c>
    </row>
    <row r="6960" spans="1:40" x14ac:dyDescent="0.25">
      <c r="A6960" t="str">
        <f>"20190303153946907"</f>
        <v>20190303153946907</v>
      </c>
      <c r="B6960" t="str">
        <f>"1551598786905846"</f>
        <v>1551598786905846</v>
      </c>
      <c r="C6960" t="s">
        <v>40</v>
      </c>
      <c r="D6960">
        <v>4.2758859999999999</v>
      </c>
      <c r="E6960">
        <v>0.51094170000000005</v>
      </c>
      <c r="F6960" t="s">
        <v>63</v>
      </c>
      <c r="G6960">
        <v>-421.56610000000001</v>
      </c>
      <c r="H6960" s="1">
        <v>-9.7402810000000003E-6</v>
      </c>
      <c r="I6960">
        <v>20.069870000000002</v>
      </c>
      <c r="J6960">
        <v>-421.93400000000003</v>
      </c>
      <c r="K6960">
        <v>1.1214409999999999</v>
      </c>
      <c r="L6960">
        <v>41.643219999999999</v>
      </c>
      <c r="M6960">
        <v>1.000665E-3</v>
      </c>
      <c r="N6960">
        <v>-1.3113059999999999E-2</v>
      </c>
      <c r="O6960">
        <v>-0.99991350000000001</v>
      </c>
      <c r="P6960">
        <v>4.4877189999999997E-2</v>
      </c>
      <c r="Q6960">
        <v>-3.5118759999999999E-2</v>
      </c>
      <c r="R6960">
        <v>-0.99837520000000002</v>
      </c>
      <c r="S6960">
        <v>5.0659179999999998E-2</v>
      </c>
      <c r="T6960">
        <v>-0.15424869999999999</v>
      </c>
      <c r="U6960">
        <v>-2.9971920000000001</v>
      </c>
      <c r="V6960">
        <v>-4.3868890000000001E-2</v>
      </c>
      <c r="W6960">
        <v>-2.2041060000000001E-2</v>
      </c>
      <c r="X6960">
        <v>0.99879410000000002</v>
      </c>
      <c r="Y6960">
        <v>-1.5880060000000001E-2</v>
      </c>
      <c r="Z6960">
        <v>3.8289410000000003E-2</v>
      </c>
      <c r="AA6960">
        <v>0.99914049999999999</v>
      </c>
      <c r="AB6960">
        <v>22</v>
      </c>
      <c r="AC6960">
        <v>0.36790000000001999</v>
      </c>
      <c r="AD6960">
        <v>-1.1214507402809999</v>
      </c>
      <c r="AE6960">
        <v>-21.573350000000001</v>
      </c>
      <c r="AF6960">
        <v>-0.34537723915264001</v>
      </c>
      <c r="AG6960">
        <v>-1.1214507402809999</v>
      </c>
      <c r="AH6960">
        <v>21.515583830733501</v>
      </c>
      <c r="AI6960">
        <v>92.983328116676702</v>
      </c>
      <c r="AJ6960">
        <v>90.919657065603403</v>
      </c>
      <c r="AK6960">
        <v>21.5475586732586</v>
      </c>
      <c r="AL6960">
        <v>91.262962024261</v>
      </c>
      <c r="AM6960">
        <v>92.514920569540294</v>
      </c>
      <c r="AN6960">
        <v>0.99999997101528204</v>
      </c>
    </row>
    <row r="6961" spans="1:40" x14ac:dyDescent="0.25">
      <c r="A6961" t="str">
        <f>"20190303153946931"</f>
        <v>20190303153946931</v>
      </c>
      <c r="B6961" t="str">
        <f>"1551598786925366"</f>
        <v>1551598786925366</v>
      </c>
      <c r="C6961" t="s">
        <v>40</v>
      </c>
      <c r="D6961">
        <v>4.2861570000000002</v>
      </c>
      <c r="E6961">
        <v>0.51107360000000002</v>
      </c>
      <c r="F6961" t="s">
        <v>63</v>
      </c>
      <c r="G6961">
        <v>-421.57549999999998</v>
      </c>
      <c r="H6961" s="1">
        <v>-1.0597179999999999E-5</v>
      </c>
      <c r="I6961">
        <v>19.001919999999998</v>
      </c>
      <c r="J6961">
        <v>-421.93329999999997</v>
      </c>
      <c r="K6961">
        <v>1.1214360000000001</v>
      </c>
      <c r="L6961">
        <v>41.417999999999999</v>
      </c>
      <c r="M6961">
        <v>1.3025949999999999E-3</v>
      </c>
      <c r="N6961">
        <v>-1.3165639999999999E-2</v>
      </c>
      <c r="O6961">
        <v>-0.99991260000000004</v>
      </c>
      <c r="P6961">
        <v>4.5132569999999997E-2</v>
      </c>
      <c r="Q6961">
        <v>-3.5993749999999998E-2</v>
      </c>
      <c r="R6961">
        <v>-0.99833249999999996</v>
      </c>
      <c r="S6961">
        <v>4.7454830000000003E-2</v>
      </c>
      <c r="T6961">
        <v>-0.1484712</v>
      </c>
      <c r="U6961">
        <v>-2.997528</v>
      </c>
      <c r="V6961">
        <v>-4.3822840000000002E-2</v>
      </c>
      <c r="W6961">
        <v>-2.2863660000000001E-2</v>
      </c>
      <c r="X6961">
        <v>0.99877769999999999</v>
      </c>
      <c r="Y6961">
        <v>-1.451035E-2</v>
      </c>
      <c r="Z6961">
        <v>3.6311160000000002E-2</v>
      </c>
      <c r="AA6961">
        <v>0.99923519999999999</v>
      </c>
      <c r="AB6961">
        <v>22</v>
      </c>
      <c r="AC6961">
        <v>0.35779999999999701</v>
      </c>
      <c r="AD6961">
        <v>-1.1214465971799901</v>
      </c>
      <c r="AE6961">
        <v>-22.416080000000001</v>
      </c>
      <c r="AF6961">
        <v>-0.32777791948676399</v>
      </c>
      <c r="AG6961">
        <v>-1.1214465971799901</v>
      </c>
      <c r="AH6961">
        <v>22.360575784947901</v>
      </c>
      <c r="AI6961">
        <v>92.870833056390396</v>
      </c>
      <c r="AJ6961">
        <v>90.839823920299295</v>
      </c>
      <c r="AK6961">
        <v>22.391079256463499</v>
      </c>
      <c r="AL6961">
        <v>91.310105327495904</v>
      </c>
      <c r="AM6961">
        <v>92.512325193302402</v>
      </c>
      <c r="AN6961">
        <v>1.0000000411357699</v>
      </c>
    </row>
    <row r="6962" spans="1:40" x14ac:dyDescent="0.25">
      <c r="A6962" t="str">
        <f>"20190303153946945"</f>
        <v>20190303153946945</v>
      </c>
      <c r="B6962" t="str">
        <f>"1551598786935126"</f>
        <v>1551598786935126</v>
      </c>
      <c r="C6962" t="s">
        <v>40</v>
      </c>
      <c r="D6962">
        <v>4.2531970000000001</v>
      </c>
      <c r="E6962">
        <v>0.51126349999999998</v>
      </c>
      <c r="F6962" t="s">
        <v>63</v>
      </c>
      <c r="G6962">
        <v>-421.58699999999999</v>
      </c>
      <c r="H6962" s="1">
        <v>-1.0608820000000001E-5</v>
      </c>
      <c r="I6962">
        <v>19.14134</v>
      </c>
      <c r="J6962">
        <v>-421.93290000000002</v>
      </c>
      <c r="K6962">
        <v>1.121421</v>
      </c>
      <c r="L6962">
        <v>41.262210000000003</v>
      </c>
      <c r="M6962">
        <v>1.5156239999999999E-3</v>
      </c>
      <c r="N6962">
        <v>-1.3158670000000001E-2</v>
      </c>
      <c r="O6962">
        <v>-0.99991229999999998</v>
      </c>
      <c r="P6962">
        <v>4.5510500000000002E-2</v>
      </c>
      <c r="Q6962">
        <v>-3.6473579999999999E-2</v>
      </c>
      <c r="R6962">
        <v>-0.99829760000000001</v>
      </c>
      <c r="S6962">
        <v>4.6600339999999997E-2</v>
      </c>
      <c r="T6962">
        <v>-0.1508979</v>
      </c>
      <c r="U6962">
        <v>-2.9974669999999999</v>
      </c>
      <c r="V6962">
        <v>-4.3988069999999997E-2</v>
      </c>
      <c r="W6962">
        <v>-2.335096E-2</v>
      </c>
      <c r="X6962">
        <v>0.99875919999999896</v>
      </c>
      <c r="Y6962">
        <v>-1.401253E-2</v>
      </c>
      <c r="Z6962">
        <v>3.7126310000000003E-2</v>
      </c>
      <c r="AA6962">
        <v>0.99921230000000005</v>
      </c>
      <c r="AB6962">
        <v>22</v>
      </c>
      <c r="AC6962">
        <v>0.34590000000002802</v>
      </c>
      <c r="AD6962">
        <v>-1.12143160882</v>
      </c>
      <c r="AE6962">
        <v>-22.12087</v>
      </c>
      <c r="AF6962">
        <v>-0.31156922709717899</v>
      </c>
      <c r="AG6962">
        <v>-1.12143160882</v>
      </c>
      <c r="AH6962">
        <v>22.064675482471198</v>
      </c>
      <c r="AI6962">
        <v>92.909250579955696</v>
      </c>
      <c r="AJ6962">
        <v>90.809004210774503</v>
      </c>
      <c r="AK6962">
        <v>22.095352189619</v>
      </c>
      <c r="AL6962">
        <v>91.338032966788901</v>
      </c>
      <c r="AM6962">
        <v>92.521832130117502</v>
      </c>
      <c r="AN6962">
        <v>1.0000000786099399</v>
      </c>
    </row>
    <row r="6963" spans="1:40" x14ac:dyDescent="0.25">
      <c r="A6963" t="str">
        <f>"20190303153946960"</f>
        <v>20190303153946960</v>
      </c>
      <c r="B6963" t="str">
        <f>"1551598786955622"</f>
        <v>1551598786955622</v>
      </c>
      <c r="C6963" t="s">
        <v>40</v>
      </c>
      <c r="D6963">
        <v>4.3030939999999998</v>
      </c>
      <c r="E6963">
        <v>0.51125069999999995</v>
      </c>
      <c r="F6963" t="s">
        <v>63</v>
      </c>
      <c r="G6963">
        <v>-421.60199999999998</v>
      </c>
      <c r="H6963" s="1">
        <v>-9.8646269999999992E-6</v>
      </c>
      <c r="I6963">
        <v>19.792590000000001</v>
      </c>
      <c r="J6963">
        <v>-421.9325</v>
      </c>
      <c r="K6963">
        <v>1.121413</v>
      </c>
      <c r="L6963">
        <v>41.127380000000002</v>
      </c>
      <c r="M6963">
        <v>1.698427E-3</v>
      </c>
      <c r="N6963">
        <v>-1.313045E-2</v>
      </c>
      <c r="O6963">
        <v>-0.99991260000000004</v>
      </c>
      <c r="P6963">
        <v>4.5976040000000003E-2</v>
      </c>
      <c r="Q6963">
        <v>-3.639328E-2</v>
      </c>
      <c r="R6963">
        <v>-0.99827960000000004</v>
      </c>
      <c r="S6963">
        <v>4.6203609999999999E-2</v>
      </c>
      <c r="T6963">
        <v>-0.15655839999999999</v>
      </c>
      <c r="U6963">
        <v>-2.9972840000000001</v>
      </c>
      <c r="V6963">
        <v>-4.4270549999999999E-2</v>
      </c>
      <c r="W6963">
        <v>-2.3299719999999999E-2</v>
      </c>
      <c r="X6963">
        <v>0.99874779999999996</v>
      </c>
      <c r="Y6963">
        <v>-1.3697310000000001E-2</v>
      </c>
      <c r="Z6963">
        <v>3.903976E-2</v>
      </c>
      <c r="AA6963">
        <v>0.99914380000000003</v>
      </c>
      <c r="AB6963">
        <v>22</v>
      </c>
      <c r="AC6963">
        <v>0.33050000000002899</v>
      </c>
      <c r="AD6963">
        <v>-1.1214228646269999</v>
      </c>
      <c r="AE6963">
        <v>-21.334789999999899</v>
      </c>
      <c r="AF6963">
        <v>-0.29345025146473103</v>
      </c>
      <c r="AG6963">
        <v>-1.1214228646269999</v>
      </c>
      <c r="AH6963">
        <v>21.276550143700302</v>
      </c>
      <c r="AI6963">
        <v>93.016809757489497</v>
      </c>
      <c r="AJ6963">
        <v>90.790184254642895</v>
      </c>
      <c r="AK6963">
        <v>21.308103817768199</v>
      </c>
      <c r="AL6963">
        <v>91.335096486307293</v>
      </c>
      <c r="AM6963">
        <v>92.538034506245097</v>
      </c>
      <c r="AN6963">
        <v>0.99999996327710905</v>
      </c>
    </row>
    <row r="6964" spans="1:40" x14ac:dyDescent="0.25">
      <c r="A6964" t="str">
        <f>"20190303153946975"</f>
        <v>20190303153946975</v>
      </c>
      <c r="B6964" t="str">
        <f>"1551598786965383"</f>
        <v>1551598786965383</v>
      </c>
      <c r="C6964" t="s">
        <v>40</v>
      </c>
      <c r="D6964">
        <v>4.2967440000000003</v>
      </c>
      <c r="E6964">
        <v>0.51108379999999998</v>
      </c>
      <c r="F6964" t="s">
        <v>63</v>
      </c>
      <c r="G6964">
        <v>-421.60980000000001</v>
      </c>
      <c r="H6964" s="1">
        <v>-9.4142750000000006E-6</v>
      </c>
      <c r="I6964">
        <v>20.824470000000002</v>
      </c>
      <c r="J6964">
        <v>-421.93200000000002</v>
      </c>
      <c r="K6964">
        <v>1.1214</v>
      </c>
      <c r="L6964">
        <v>40.980409999999999</v>
      </c>
      <c r="M6964">
        <v>1.897833E-3</v>
      </c>
      <c r="N6964">
        <v>-1.3069839999999999E-2</v>
      </c>
      <c r="O6964">
        <v>-0.99991280000000005</v>
      </c>
      <c r="P6964">
        <v>4.6408669999999999E-2</v>
      </c>
      <c r="Q6964">
        <v>-3.6233509999999997E-2</v>
      </c>
      <c r="R6964">
        <v>-0.99826530000000002</v>
      </c>
      <c r="S6964">
        <v>4.7637939999999997E-2</v>
      </c>
      <c r="T6964">
        <v>-0.16553519999999999</v>
      </c>
      <c r="U6964">
        <v>-2.9969480000000002</v>
      </c>
      <c r="V6964">
        <v>-4.4504000000000002E-2</v>
      </c>
      <c r="W6964">
        <v>-2.3201200000000002E-2</v>
      </c>
      <c r="X6964">
        <v>0.99873979999999996</v>
      </c>
      <c r="Y6964">
        <v>-1.3975370000000001E-2</v>
      </c>
      <c r="Z6964">
        <v>4.2089759999999997E-2</v>
      </c>
      <c r="AA6964">
        <v>0.99901609999999996</v>
      </c>
      <c r="AB6964">
        <v>22</v>
      </c>
      <c r="AC6964">
        <v>0.32219999999995202</v>
      </c>
      <c r="AD6964">
        <v>-1.121409414275</v>
      </c>
      <c r="AE6964">
        <v>-20.155940000000001</v>
      </c>
      <c r="AF6964">
        <v>-0.28306755001200801</v>
      </c>
      <c r="AG6964">
        <v>-1.121409414275</v>
      </c>
      <c r="AH6964">
        <v>20.094330341129201</v>
      </c>
      <c r="AI6964">
        <v>93.193890624059094</v>
      </c>
      <c r="AJ6964">
        <v>90.807068609447597</v>
      </c>
      <c r="AK6964">
        <v>20.127587986907901</v>
      </c>
      <c r="AL6964">
        <v>91.329450071008395</v>
      </c>
      <c r="AM6964">
        <v>92.551420985606498</v>
      </c>
      <c r="AN6964">
        <v>1.00000004490073</v>
      </c>
    </row>
    <row r="6965" spans="1:40" x14ac:dyDescent="0.25">
      <c r="A6965" t="str">
        <f>"20190303153946986"</f>
        <v>20190303153946986</v>
      </c>
      <c r="B6965" t="str">
        <f>"1551598786975142"</f>
        <v>1551598786975142</v>
      </c>
      <c r="C6965" t="s">
        <v>40</v>
      </c>
      <c r="D6965">
        <v>4.3306009999999997</v>
      </c>
      <c r="E6965">
        <v>0.51098580000000005</v>
      </c>
      <c r="F6965" t="s">
        <v>63</v>
      </c>
      <c r="G6965">
        <v>-421.60449999999997</v>
      </c>
      <c r="H6965" s="1">
        <v>-9.1730160000000005E-6</v>
      </c>
      <c r="I6965">
        <v>21.383579999999998</v>
      </c>
      <c r="J6965">
        <v>-421.9316</v>
      </c>
      <c r="K6965">
        <v>1.1213839999999999</v>
      </c>
      <c r="L6965">
        <v>40.861629999999998</v>
      </c>
      <c r="M6965">
        <v>2.0597979999999998E-3</v>
      </c>
      <c r="N6965">
        <v>-1.299084E-2</v>
      </c>
      <c r="O6965">
        <v>-0.99991350000000001</v>
      </c>
      <c r="P6965">
        <v>4.6719950000000003E-2</v>
      </c>
      <c r="Q6965">
        <v>-3.5498450000000001E-2</v>
      </c>
      <c r="R6965">
        <v>-0.99827730000000003</v>
      </c>
      <c r="S6965">
        <v>5.0079350000000002E-2</v>
      </c>
      <c r="T6965">
        <v>-0.17147989999999999</v>
      </c>
      <c r="U6965">
        <v>-2.9966430000000002</v>
      </c>
      <c r="V6965">
        <v>-4.4653730000000003E-2</v>
      </c>
      <c r="W6965">
        <v>-2.2544979999999999E-2</v>
      </c>
      <c r="X6965">
        <v>0.99874810000000003</v>
      </c>
      <c r="Y6965">
        <v>-1.4626800000000001E-2</v>
      </c>
      <c r="Z6965">
        <v>4.414912E-2</v>
      </c>
      <c r="AA6965">
        <v>0.99891790000000003</v>
      </c>
      <c r="AB6965">
        <v>22</v>
      </c>
      <c r="AC6965">
        <v>0.32710000000002898</v>
      </c>
      <c r="AD6965">
        <v>-1.1213931730159901</v>
      </c>
      <c r="AE6965">
        <v>-19.47805</v>
      </c>
      <c r="AF6965">
        <v>-0.286027286839102</v>
      </c>
      <c r="AG6965">
        <v>-1.1213931730159901</v>
      </c>
      <c r="AH6965">
        <v>19.4143507527765</v>
      </c>
      <c r="AI6965">
        <v>93.305432994145505</v>
      </c>
      <c r="AJ6965">
        <v>90.844064837178905</v>
      </c>
      <c r="AK6965">
        <v>19.448813573304001</v>
      </c>
      <c r="AL6965">
        <v>91.291841655008</v>
      </c>
      <c r="AM6965">
        <v>92.559972381926798</v>
      </c>
      <c r="AN6965">
        <v>0.99999999948986096</v>
      </c>
    </row>
    <row r="6966" spans="1:40" x14ac:dyDescent="0.25">
      <c r="A6966" t="str">
        <f>"20190303153947003"</f>
        <v>20190303153947003</v>
      </c>
      <c r="B6966" t="str">
        <f>"1551598786995638"</f>
        <v>1551598786995638</v>
      </c>
      <c r="C6966" t="s">
        <v>40</v>
      </c>
      <c r="D6966">
        <v>4.3300080000000003</v>
      </c>
      <c r="E6966">
        <v>0.51074459999999999</v>
      </c>
      <c r="F6966" t="s">
        <v>63</v>
      </c>
      <c r="G6966">
        <v>-421.59800000000001</v>
      </c>
      <c r="H6966" s="1">
        <v>-9.0829969999999994E-6</v>
      </c>
      <c r="I6966">
        <v>21.603660000000001</v>
      </c>
      <c r="J6966">
        <v>-421.93099999999998</v>
      </c>
      <c r="K6966">
        <v>1.1213470000000001</v>
      </c>
      <c r="L6966">
        <v>40.713619999999999</v>
      </c>
      <c r="M6966">
        <v>2.2665960000000001E-3</v>
      </c>
      <c r="N6966">
        <v>-1.2838459999999999E-2</v>
      </c>
      <c r="O6966">
        <v>-0.9999152</v>
      </c>
      <c r="P6966">
        <v>4.710661E-2</v>
      </c>
      <c r="Q6966">
        <v>-3.4943740000000001E-2</v>
      </c>
      <c r="R6966">
        <v>-0.99827880000000002</v>
      </c>
      <c r="S6966">
        <v>5.1910400000000002E-2</v>
      </c>
      <c r="T6966">
        <v>-0.17448949999999999</v>
      </c>
      <c r="U6966">
        <v>-2.9965519999999999</v>
      </c>
      <c r="V6966">
        <v>-4.483463E-2</v>
      </c>
      <c r="W6966">
        <v>-2.2142180000000001E-2</v>
      </c>
      <c r="X6966">
        <v>0.998749</v>
      </c>
      <c r="Y6966">
        <v>-1.502965E-2</v>
      </c>
      <c r="Z6966">
        <v>4.5302500000000002E-2</v>
      </c>
      <c r="AA6966">
        <v>0.99886019999999998</v>
      </c>
      <c r="AB6966">
        <v>22</v>
      </c>
      <c r="AC6966">
        <v>0.33299999999996999</v>
      </c>
      <c r="AD6966">
        <v>-1.121356082997</v>
      </c>
      <c r="AE6966">
        <v>-19.109960000000001</v>
      </c>
      <c r="AF6966">
        <v>-0.28868730500446399</v>
      </c>
      <c r="AG6966">
        <v>-1.121356082997</v>
      </c>
      <c r="AH6966">
        <v>19.0451087324996</v>
      </c>
      <c r="AI6966">
        <v>93.369239147160101</v>
      </c>
      <c r="AJ6966">
        <v>90.868427571355099</v>
      </c>
      <c r="AK6966">
        <v>19.080276372675499</v>
      </c>
      <c r="AL6966">
        <v>91.268757160583704</v>
      </c>
      <c r="AM6966">
        <v>92.570327080108498</v>
      </c>
      <c r="AN6966">
        <v>0.99999999259169403</v>
      </c>
    </row>
    <row r="6967" spans="1:40" x14ac:dyDescent="0.25">
      <c r="A6967" t="str">
        <f>"20190303153947017"</f>
        <v>20190303153947017</v>
      </c>
      <c r="B6967" t="str">
        <f>"1551598787005398"</f>
        <v>1551598787005398</v>
      </c>
      <c r="C6967" t="s">
        <v>40</v>
      </c>
      <c r="D6967">
        <v>4.358867</v>
      </c>
      <c r="E6967">
        <v>0.51058610000000004</v>
      </c>
      <c r="F6967" t="s">
        <v>63</v>
      </c>
      <c r="G6967">
        <v>-421.59280000000001</v>
      </c>
      <c r="H6967" s="1">
        <v>-8.8722169999999994E-6</v>
      </c>
      <c r="I6967">
        <v>22.120429999999999</v>
      </c>
      <c r="J6967">
        <v>-421.93040000000002</v>
      </c>
      <c r="K6967">
        <v>1.1213029999999999</v>
      </c>
      <c r="L6967">
        <v>40.565950000000001</v>
      </c>
      <c r="M6967">
        <v>2.4784540000000002E-3</v>
      </c>
      <c r="N6967">
        <v>-1.2652399999999999E-2</v>
      </c>
      <c r="O6967">
        <v>-0.9999169</v>
      </c>
      <c r="P6967">
        <v>4.7864829999999997E-2</v>
      </c>
      <c r="Q6967">
        <v>-3.4221260000000003E-2</v>
      </c>
      <c r="R6967">
        <v>-0.99826749999999997</v>
      </c>
      <c r="S6967">
        <v>5.450439E-2</v>
      </c>
      <c r="T6967">
        <v>-0.18070539999999999</v>
      </c>
      <c r="U6967">
        <v>-2.9962770000000001</v>
      </c>
      <c r="V6967">
        <v>-4.5381400000000002E-2</v>
      </c>
      <c r="W6967">
        <v>-2.1605539999999999E-2</v>
      </c>
      <c r="X6967">
        <v>0.99873610000000002</v>
      </c>
      <c r="Y6967">
        <v>-1.5681580000000001E-2</v>
      </c>
      <c r="Z6967">
        <v>4.7557679999999998E-2</v>
      </c>
      <c r="AA6967">
        <v>0.99874540000000001</v>
      </c>
      <c r="AB6967">
        <v>22</v>
      </c>
      <c r="AC6967">
        <v>0.337600000000008</v>
      </c>
      <c r="AD6967">
        <v>-1.1213118722169999</v>
      </c>
      <c r="AE6967">
        <v>-18.445519999999998</v>
      </c>
      <c r="AF6967">
        <v>-0.290804627957722</v>
      </c>
      <c r="AG6967">
        <v>-1.1213118722169999</v>
      </c>
      <c r="AH6967">
        <v>18.3784058153215</v>
      </c>
      <c r="AI6967">
        <v>93.490992907784303</v>
      </c>
      <c r="AJ6967">
        <v>90.906525172063496</v>
      </c>
      <c r="AK6967">
        <v>18.414877353896799</v>
      </c>
      <c r="AL6967">
        <v>91.238002543047202</v>
      </c>
      <c r="AM6967">
        <v>92.601663637052596</v>
      </c>
      <c r="AN6967">
        <v>1.0000000341339299</v>
      </c>
    </row>
    <row r="6968" spans="1:40" x14ac:dyDescent="0.25">
      <c r="A6968" t="str">
        <f>"20190303153947031"</f>
        <v>20190303153947031</v>
      </c>
      <c r="B6968" t="str">
        <f>"1551598787025895"</f>
        <v>1551598787025895</v>
      </c>
      <c r="C6968" t="s">
        <v>40</v>
      </c>
      <c r="D6968">
        <v>4.367305</v>
      </c>
      <c r="E6968">
        <v>0.51052989999999998</v>
      </c>
      <c r="F6968" t="s">
        <v>63</v>
      </c>
      <c r="G6968">
        <v>-421.57159999999999</v>
      </c>
      <c r="H6968" s="1">
        <v>-8.8593089999999996E-6</v>
      </c>
      <c r="I6968">
        <v>22.149100000000001</v>
      </c>
      <c r="J6968">
        <v>-421.9298</v>
      </c>
      <c r="K6968">
        <v>1.1212610000000001</v>
      </c>
      <c r="L6968">
        <v>40.427579999999999</v>
      </c>
      <c r="M6968">
        <v>2.6817540000000002E-3</v>
      </c>
      <c r="N6968">
        <v>-1.2453809999999999E-2</v>
      </c>
      <c r="O6968">
        <v>-0.999919</v>
      </c>
      <c r="P6968">
        <v>4.834447E-2</v>
      </c>
      <c r="Q6968">
        <v>-3.3457189999999998E-2</v>
      </c>
      <c r="R6968">
        <v>-0.99827030000000005</v>
      </c>
      <c r="S6968">
        <v>5.8380130000000002E-2</v>
      </c>
      <c r="T6968">
        <v>-0.18242120000000001</v>
      </c>
      <c r="U6968">
        <v>-2.9961549999999999</v>
      </c>
      <c r="V6968">
        <v>-4.5658650000000002E-2</v>
      </c>
      <c r="W6968">
        <v>-2.1039599999999999E-2</v>
      </c>
      <c r="X6968">
        <v>0.9987355</v>
      </c>
      <c r="Y6968">
        <v>-1.6769369999999999E-2</v>
      </c>
      <c r="Z6968">
        <v>4.8327050000000003E-2</v>
      </c>
      <c r="AA6968">
        <v>0.99869079999999999</v>
      </c>
      <c r="AB6968">
        <v>22</v>
      </c>
      <c r="AC6968">
        <v>0.35820000000001001</v>
      </c>
      <c r="AD6968">
        <v>-1.121269859309</v>
      </c>
      <c r="AE6968">
        <v>-18.278479999999998</v>
      </c>
      <c r="AF6968">
        <v>-0.30801788822892701</v>
      </c>
      <c r="AG6968">
        <v>-1.121269859309</v>
      </c>
      <c r="AH6968">
        <v>18.210872799149399</v>
      </c>
      <c r="AI6968">
        <v>93.522833785700996</v>
      </c>
      <c r="AJ6968">
        <v>90.969005854755494</v>
      </c>
      <c r="AK6968">
        <v>18.2479590426892</v>
      </c>
      <c r="AL6968">
        <v>91.205569252079201</v>
      </c>
      <c r="AM6968">
        <v>92.617537592895701</v>
      </c>
      <c r="AN6968">
        <v>0.99999998802411605</v>
      </c>
    </row>
    <row r="6969" spans="1:40" x14ac:dyDescent="0.25">
      <c r="A6969" t="str">
        <f>"20190303153947042"</f>
        <v>20190303153947042</v>
      </c>
      <c r="B6969" t="str">
        <f>"1551598787035654"</f>
        <v>1551598787035654</v>
      </c>
      <c r="C6969" t="s">
        <v>40</v>
      </c>
      <c r="D6969">
        <v>4.3672050000000002</v>
      </c>
      <c r="E6969">
        <v>0.51043720000000004</v>
      </c>
      <c r="F6969" t="s">
        <v>63</v>
      </c>
      <c r="G6969">
        <v>-421.56639999999999</v>
      </c>
      <c r="H6969" s="1">
        <v>-8.8254080000000005E-6</v>
      </c>
      <c r="I6969">
        <v>22.231590000000001</v>
      </c>
      <c r="J6969">
        <v>-421.92930000000001</v>
      </c>
      <c r="K6969">
        <v>1.1212329999999999</v>
      </c>
      <c r="L6969">
        <v>40.310519999999997</v>
      </c>
      <c r="M6969">
        <v>2.8591630000000001E-3</v>
      </c>
      <c r="N6969">
        <v>-1.22697E-2</v>
      </c>
      <c r="O6969">
        <v>-0.9999207</v>
      </c>
      <c r="P6969">
        <v>4.9865989999999999E-2</v>
      </c>
      <c r="Q6969">
        <v>-3.2476379999999999E-2</v>
      </c>
      <c r="R6969">
        <v>-0.99822789999999995</v>
      </c>
      <c r="S6969">
        <v>5.9844969999999997E-2</v>
      </c>
      <c r="T6969">
        <v>-0.1846265</v>
      </c>
      <c r="U6969">
        <v>-2.996124</v>
      </c>
      <c r="V6969">
        <v>-4.7002830000000002E-2</v>
      </c>
      <c r="W6969">
        <v>-2.0243730000000001E-2</v>
      </c>
      <c r="X6969">
        <v>0.99868959999999996</v>
      </c>
      <c r="Y6969">
        <v>-1.7079279999999999E-2</v>
      </c>
      <c r="Z6969">
        <v>4.9243380000000003E-2</v>
      </c>
      <c r="AA6969">
        <v>0.9986408</v>
      </c>
      <c r="AB6969">
        <v>22</v>
      </c>
      <c r="AC6969">
        <v>0.36290000000002398</v>
      </c>
      <c r="AD6969">
        <v>-1.1212418254080001</v>
      </c>
      <c r="AE6969">
        <v>-18.07893</v>
      </c>
      <c r="AF6969">
        <v>-0.310012074090393</v>
      </c>
      <c r="AG6969">
        <v>-1.1212418254080001</v>
      </c>
      <c r="AH6969">
        <v>18.010645724839499</v>
      </c>
      <c r="AI6969">
        <v>93.561790456874505</v>
      </c>
      <c r="AJ6969">
        <v>90.986118422875407</v>
      </c>
      <c r="AK6969">
        <v>18.048175812053898</v>
      </c>
      <c r="AL6969">
        <v>91.159959531470406</v>
      </c>
      <c r="AM6969">
        <v>92.694608999014903</v>
      </c>
      <c r="AN6969">
        <v>0.99999999589024002</v>
      </c>
    </row>
    <row r="6970" spans="1:40" x14ac:dyDescent="0.25">
      <c r="A6970" t="str">
        <f>"20190303153947061"</f>
        <v>20190303153947061</v>
      </c>
      <c r="B6970" t="str">
        <f>"1551598787055174"</f>
        <v>1551598787055174</v>
      </c>
      <c r="C6970" t="s">
        <v>40</v>
      </c>
      <c r="D6970">
        <v>4.3787880000000001</v>
      </c>
      <c r="E6970">
        <v>0.51029760000000002</v>
      </c>
      <c r="F6970" t="s">
        <v>63</v>
      </c>
      <c r="G6970">
        <v>-421.53829999999999</v>
      </c>
      <c r="H6970" s="1">
        <v>-8.8561899999999993E-6</v>
      </c>
      <c r="I6970">
        <v>22.152010000000001</v>
      </c>
      <c r="J6970">
        <v>-421.92849999999999</v>
      </c>
      <c r="K6970">
        <v>1.121191</v>
      </c>
      <c r="L6970">
        <v>40.137180000000001</v>
      </c>
      <c r="M6970">
        <v>3.1272969999999998E-3</v>
      </c>
      <c r="N6970">
        <v>-1.199621E-2</v>
      </c>
      <c r="O6970">
        <v>-0.99992309999999995</v>
      </c>
      <c r="P6970">
        <v>5.1238800000000001E-2</v>
      </c>
      <c r="Q6970">
        <v>-3.2103699999999999E-2</v>
      </c>
      <c r="R6970">
        <v>-0.99817020000000001</v>
      </c>
      <c r="S6970">
        <v>6.4514160000000001E-2</v>
      </c>
      <c r="T6970">
        <v>-0.18499950000000001</v>
      </c>
      <c r="U6970">
        <v>-2.9960629999999999</v>
      </c>
      <c r="V6970">
        <v>-4.8108190000000002E-2</v>
      </c>
      <c r="W6970">
        <v>-2.0145679999999999E-2</v>
      </c>
      <c r="X6970">
        <v>0.9986389</v>
      </c>
      <c r="Y6970">
        <v>-1.8366420000000001E-2</v>
      </c>
      <c r="Z6970">
        <v>4.963994E-2</v>
      </c>
      <c r="AA6970">
        <v>0.99859830000000005</v>
      </c>
      <c r="AB6970">
        <v>22</v>
      </c>
      <c r="AC6970">
        <v>0.390199999999993</v>
      </c>
      <c r="AD6970">
        <v>-1.1211998561900001</v>
      </c>
      <c r="AE6970">
        <v>-17.98517</v>
      </c>
      <c r="AF6970">
        <v>-0.33265687488034901</v>
      </c>
      <c r="AG6970">
        <v>-1.1211998561900001</v>
      </c>
      <c r="AH6970">
        <v>17.9167053621251</v>
      </c>
      <c r="AI6970">
        <v>93.580196933235698</v>
      </c>
      <c r="AJ6970">
        <v>91.063680228630901</v>
      </c>
      <c r="AK6970">
        <v>17.954834467271699</v>
      </c>
      <c r="AL6970">
        <v>91.154340587939998</v>
      </c>
      <c r="AM6970">
        <v>92.758020886912405</v>
      </c>
      <c r="AN6970">
        <v>0.99999994948047299</v>
      </c>
    </row>
    <row r="6971" spans="1:40" x14ac:dyDescent="0.25">
      <c r="A6971" t="str">
        <f>"20190303153947077"</f>
        <v>20190303153947077</v>
      </c>
      <c r="B6971" t="str">
        <f>"1551598787065910"</f>
        <v>1551598787065910</v>
      </c>
      <c r="C6971" t="s">
        <v>40</v>
      </c>
      <c r="D6971">
        <v>4.3545449999999999</v>
      </c>
      <c r="E6971">
        <v>0.51033739999999905</v>
      </c>
      <c r="F6971" t="s">
        <v>63</v>
      </c>
      <c r="G6971">
        <v>-421.51490000000001</v>
      </c>
      <c r="H6971" s="1">
        <v>-8.7196539999999997E-6</v>
      </c>
      <c r="I6971">
        <v>22.483899999999998</v>
      </c>
      <c r="J6971">
        <v>-421.92770000000002</v>
      </c>
      <c r="K6971">
        <v>1.1211610000000001</v>
      </c>
      <c r="L6971">
        <v>39.973999999999997</v>
      </c>
      <c r="M6971">
        <v>3.3892219999999999E-3</v>
      </c>
      <c r="N6971">
        <v>-1.1743119999999999E-2</v>
      </c>
      <c r="O6971">
        <v>-0.99992550000000002</v>
      </c>
      <c r="P6971">
        <v>5.382878E-2</v>
      </c>
      <c r="Q6971">
        <v>-3.2084080000000001E-2</v>
      </c>
      <c r="R6971">
        <v>-0.9980348</v>
      </c>
      <c r="S6971">
        <v>7.0190429999999998E-2</v>
      </c>
      <c r="T6971">
        <v>-0.19026940000000001</v>
      </c>
      <c r="U6971">
        <v>-2.9957889999999998</v>
      </c>
      <c r="V6971">
        <v>-5.0436849999999998E-2</v>
      </c>
      <c r="W6971">
        <v>-2.0382310000000001E-2</v>
      </c>
      <c r="X6971">
        <v>0.99851920000000005</v>
      </c>
      <c r="Y6971">
        <v>-1.9994519999999998E-2</v>
      </c>
      <c r="Z6971">
        <v>5.1645610000000002E-2</v>
      </c>
      <c r="AA6971">
        <v>0.9984653</v>
      </c>
      <c r="AB6971">
        <v>22</v>
      </c>
      <c r="AC6971">
        <v>0.412800000000004</v>
      </c>
      <c r="AD6971">
        <v>-1.121169719654</v>
      </c>
      <c r="AE6971">
        <v>-17.490100000000002</v>
      </c>
      <c r="AF6971">
        <v>-0.35206979847437703</v>
      </c>
      <c r="AG6971">
        <v>-1.121169719654</v>
      </c>
      <c r="AH6971">
        <v>17.419856736321201</v>
      </c>
      <c r="AI6971">
        <v>93.681818481430099</v>
      </c>
      <c r="AJ6971">
        <v>91.157837742590999</v>
      </c>
      <c r="AK6971">
        <v>17.459449687696999</v>
      </c>
      <c r="AL6971">
        <v>91.167901268664806</v>
      </c>
      <c r="AM6971">
        <v>92.891646622829001</v>
      </c>
      <c r="AN6971">
        <v>0.99999995358374805</v>
      </c>
    </row>
    <row r="6972" spans="1:40" x14ac:dyDescent="0.25">
      <c r="A6972" t="str">
        <f>"20190303153947099"</f>
        <v>20190303153947099</v>
      </c>
      <c r="B6972" t="str">
        <f>"1551598787095191"</f>
        <v>1551598787095191</v>
      </c>
      <c r="C6972" t="s">
        <v>40</v>
      </c>
      <c r="D6972">
        <v>4.4302720000000004</v>
      </c>
      <c r="E6972">
        <v>0.51025410000000004</v>
      </c>
      <c r="F6972" t="s">
        <v>63</v>
      </c>
      <c r="G6972">
        <v>-421.47379999999998</v>
      </c>
      <c r="H6972" s="1">
        <v>-8.7514329999999992E-6</v>
      </c>
      <c r="I6972">
        <v>22.400030000000001</v>
      </c>
      <c r="J6972">
        <v>-421.92649999999998</v>
      </c>
      <c r="K6972">
        <v>1.1211359999999999</v>
      </c>
      <c r="L6972">
        <v>39.750149999999998</v>
      </c>
      <c r="M6972">
        <v>3.7737719999999999E-3</v>
      </c>
      <c r="N6972">
        <v>-1.141289E-2</v>
      </c>
      <c r="O6972">
        <v>-0.99992809999999999</v>
      </c>
      <c r="P6972">
        <v>5.6896719999999998E-2</v>
      </c>
      <c r="Q6972">
        <v>-3.2612049999999997E-2</v>
      </c>
      <c r="R6972">
        <v>-0.9978477</v>
      </c>
      <c r="S6972">
        <v>7.7362059999999996E-2</v>
      </c>
      <c r="T6972">
        <v>-0.19111120000000001</v>
      </c>
      <c r="U6972">
        <v>-2.9956049999999999</v>
      </c>
      <c r="V6972">
        <v>-5.3119659999999999E-2</v>
      </c>
      <c r="W6972">
        <v>-2.1246009999999999E-2</v>
      </c>
      <c r="X6972">
        <v>0.99836210000000003</v>
      </c>
      <c r="Y6972">
        <v>-2.199891E-2</v>
      </c>
      <c r="Z6972">
        <v>5.225548E-2</v>
      </c>
      <c r="AA6972">
        <v>0.99839140000000004</v>
      </c>
      <c r="AB6972">
        <v>22</v>
      </c>
      <c r="AC6972">
        <v>0.452699999999993</v>
      </c>
      <c r="AD6972">
        <v>-1.121144751433</v>
      </c>
      <c r="AE6972">
        <v>-17.35012</v>
      </c>
      <c r="AF6972">
        <v>-0.38560808935935098</v>
      </c>
      <c r="AG6972">
        <v>-1.121144751433</v>
      </c>
      <c r="AH6972">
        <v>17.279601399764299</v>
      </c>
      <c r="AI6972">
        <v>93.711371915559695</v>
      </c>
      <c r="AJ6972">
        <v>91.278388843123196</v>
      </c>
      <c r="AK6972">
        <v>17.320227587620799</v>
      </c>
      <c r="AL6972">
        <v>91.217398319576702</v>
      </c>
      <c r="AM6972">
        <v>93.0456536279506</v>
      </c>
      <c r="AN6972">
        <v>0.99999998696792203</v>
      </c>
    </row>
    <row r="6973" spans="1:40" x14ac:dyDescent="0.25">
      <c r="A6973" t="str">
        <f>"20190303153947121"</f>
        <v>20190303153947121</v>
      </c>
      <c r="B6973" t="str">
        <f>"1551598787115686"</f>
        <v>1551598787115686</v>
      </c>
      <c r="C6973" t="s">
        <v>40</v>
      </c>
      <c r="D6973">
        <v>4.4505509999999999</v>
      </c>
      <c r="E6973">
        <v>0.51032679999999997</v>
      </c>
      <c r="F6973" t="s">
        <v>63</v>
      </c>
      <c r="G6973">
        <v>-421.43560000000002</v>
      </c>
      <c r="H6973" s="1">
        <v>-8.5574519999999993E-6</v>
      </c>
      <c r="I6973">
        <v>22.870840000000001</v>
      </c>
      <c r="J6973">
        <v>-421.92520000000002</v>
      </c>
      <c r="K6973">
        <v>1.12113</v>
      </c>
      <c r="L6973">
        <v>39.528779999999998</v>
      </c>
      <c r="M6973">
        <v>4.1951439999999996E-3</v>
      </c>
      <c r="N6973">
        <v>-1.11109E-2</v>
      </c>
      <c r="O6973">
        <v>-0.99992959999999997</v>
      </c>
      <c r="P6973">
        <v>5.9730999999999902E-2</v>
      </c>
      <c r="Q6973">
        <v>-3.2721170000000001E-2</v>
      </c>
      <c r="R6973">
        <v>-0.99767799999999995</v>
      </c>
      <c r="S6973">
        <v>8.7097170000000002E-2</v>
      </c>
      <c r="T6973">
        <v>-0.19893130000000001</v>
      </c>
      <c r="U6973">
        <v>-2.9949949999999999</v>
      </c>
      <c r="V6973">
        <v>-5.5532129999999999E-2</v>
      </c>
      <c r="W6973">
        <v>-2.166392E-2</v>
      </c>
      <c r="X6973">
        <v>0.9982219</v>
      </c>
      <c r="Y6973">
        <v>-2.481978E-2</v>
      </c>
      <c r="Z6973">
        <v>5.5160309999999997E-2</v>
      </c>
      <c r="AA6973">
        <v>0.99816899999999997</v>
      </c>
      <c r="AB6973">
        <v>22</v>
      </c>
      <c r="AC6973">
        <v>0.48959999999999498</v>
      </c>
      <c r="AD6973">
        <v>-1.1211385574520001</v>
      </c>
      <c r="AE6973">
        <v>-16.6579399999999</v>
      </c>
      <c r="AF6973">
        <v>-0.417817944149043</v>
      </c>
      <c r="AG6973">
        <v>-1.1211385574520001</v>
      </c>
      <c r="AH6973">
        <v>16.58478706492</v>
      </c>
      <c r="AI6973">
        <v>93.8661119154619</v>
      </c>
      <c r="AJ6973">
        <v>91.443138345133306</v>
      </c>
      <c r="AK6973">
        <v>16.6278887862589</v>
      </c>
      <c r="AL6973">
        <v>91.241348231120796</v>
      </c>
      <c r="AM6973">
        <v>93.184142166552107</v>
      </c>
      <c r="AN6973">
        <v>1.0000000522658501</v>
      </c>
    </row>
    <row r="6974" spans="1:40" x14ac:dyDescent="0.25">
      <c r="A6974" t="str">
        <f>"20190303153947143"</f>
        <v>20190303153947143</v>
      </c>
      <c r="B6974" t="str">
        <f>"1551598787135206"</f>
        <v>1551598787135206</v>
      </c>
      <c r="C6974" t="s">
        <v>40</v>
      </c>
      <c r="D6974">
        <v>4.4409830000000001</v>
      </c>
      <c r="E6974">
        <v>0.51036020000000004</v>
      </c>
      <c r="F6974" t="s">
        <v>63</v>
      </c>
      <c r="G6974">
        <v>-421.39839999999998</v>
      </c>
      <c r="H6974" s="1">
        <v>-8.5237749999999995E-6</v>
      </c>
      <c r="I6974">
        <v>22.94821</v>
      </c>
      <c r="J6974">
        <v>-421.92380000000003</v>
      </c>
      <c r="K6974">
        <v>1.1211580000000001</v>
      </c>
      <c r="L6974">
        <v>39.3078</v>
      </c>
      <c r="M6974">
        <v>4.6743490000000004E-3</v>
      </c>
      <c r="N6974">
        <v>-1.084452E-2</v>
      </c>
      <c r="O6974">
        <v>-0.9999304</v>
      </c>
      <c r="P6974">
        <v>6.2760129999999997E-2</v>
      </c>
      <c r="Q6974">
        <v>-3.2288610000000002E-2</v>
      </c>
      <c r="R6974">
        <v>-0.99750629999999996</v>
      </c>
      <c r="S6974">
        <v>9.5153810000000005E-2</v>
      </c>
      <c r="T6974">
        <v>-0.2024919</v>
      </c>
      <c r="U6974">
        <v>-2.994659</v>
      </c>
      <c r="V6974">
        <v>-5.8081540000000001E-2</v>
      </c>
      <c r="W6974">
        <v>-2.150651E-2</v>
      </c>
      <c r="X6974">
        <v>0.99808010000000003</v>
      </c>
      <c r="Y6974">
        <v>-2.7023430000000001E-2</v>
      </c>
      <c r="Z6974">
        <v>5.6610279999999999E-2</v>
      </c>
      <c r="AA6974">
        <v>0.99803050000000004</v>
      </c>
      <c r="AB6974">
        <v>22</v>
      </c>
      <c r="AC6974">
        <v>0.52540000000004705</v>
      </c>
      <c r="AD6974">
        <v>-1.1211665237749999</v>
      </c>
      <c r="AE6974">
        <v>-16.359590000000001</v>
      </c>
      <c r="AF6974">
        <v>-0.446822895823695</v>
      </c>
      <c r="AG6974">
        <v>-1.1211665237749999</v>
      </c>
      <c r="AH6974">
        <v>16.285457744666299</v>
      </c>
      <c r="AI6974">
        <v>93.936816521102102</v>
      </c>
      <c r="AJ6974">
        <v>91.5716257651342</v>
      </c>
      <c r="AK6974">
        <v>16.3301193819144</v>
      </c>
      <c r="AL6974">
        <v>91.232327338721703</v>
      </c>
      <c r="AM6974">
        <v>93.330472384403194</v>
      </c>
      <c r="AN6974">
        <v>0.999999940638579</v>
      </c>
    </row>
    <row r="6975" spans="1:40" x14ac:dyDescent="0.25">
      <c r="A6975" t="str">
        <f>"20190303153947165"</f>
        <v>20190303153947165</v>
      </c>
      <c r="B6975" t="str">
        <f>"1551598787155702"</f>
        <v>1551598787155702</v>
      </c>
      <c r="C6975" t="s">
        <v>40</v>
      </c>
      <c r="D6975">
        <v>4.4596939999999998</v>
      </c>
      <c r="E6975">
        <v>0.51019680000000001</v>
      </c>
      <c r="F6975" t="s">
        <v>63</v>
      </c>
      <c r="G6975">
        <v>-421.35610000000003</v>
      </c>
      <c r="H6975" s="1">
        <v>-8.5264589999999999E-6</v>
      </c>
      <c r="I6975">
        <v>22.935600000000001</v>
      </c>
      <c r="J6975">
        <v>-421.9221</v>
      </c>
      <c r="K6975">
        <v>1.121218</v>
      </c>
      <c r="L6975">
        <v>39.082180000000001</v>
      </c>
      <c r="M6975">
        <v>5.2482519999999897E-3</v>
      </c>
      <c r="N6975">
        <v>-1.0626969999999999E-2</v>
      </c>
      <c r="O6975">
        <v>-0.99992999999999999</v>
      </c>
      <c r="P6975">
        <v>6.5845409999999993E-2</v>
      </c>
      <c r="Q6975">
        <v>-3.0469110000000001E-2</v>
      </c>
      <c r="R6975">
        <v>-0.99736480000000005</v>
      </c>
      <c r="S6975">
        <v>0.1038208</v>
      </c>
      <c r="T6975">
        <v>-0.20505090000000001</v>
      </c>
      <c r="U6975">
        <v>-2.9943240000000002</v>
      </c>
      <c r="V6975">
        <v>-6.0593370000000001E-2</v>
      </c>
      <c r="W6975">
        <v>-1.991559E-2</v>
      </c>
      <c r="X6975">
        <v>0.99796379999999996</v>
      </c>
      <c r="Y6975">
        <v>-2.9335819999999999E-2</v>
      </c>
      <c r="Z6975">
        <v>5.7678319999999998E-2</v>
      </c>
      <c r="AA6975">
        <v>0.99790409999999996</v>
      </c>
      <c r="AB6975">
        <v>22</v>
      </c>
      <c r="AC6975">
        <v>0.56599999999997397</v>
      </c>
      <c r="AD6975">
        <v>-1.121226526459</v>
      </c>
      <c r="AE6975">
        <v>-16.14658</v>
      </c>
      <c r="AF6975">
        <v>-0.47893951460615197</v>
      </c>
      <c r="AG6975">
        <v>-1.121226526459</v>
      </c>
      <c r="AH6975">
        <v>16.071924850012</v>
      </c>
      <c r="AI6975">
        <v>93.988897778001899</v>
      </c>
      <c r="AJ6975">
        <v>91.706895382836393</v>
      </c>
      <c r="AK6975">
        <v>16.118104738669501</v>
      </c>
      <c r="AL6975">
        <v>91.141154736210396</v>
      </c>
      <c r="AM6975">
        <v>93.474562425308903</v>
      </c>
      <c r="AN6975">
        <v>0.99999996666172097</v>
      </c>
    </row>
    <row r="6976" spans="1:40" x14ac:dyDescent="0.25">
      <c r="A6976" t="str">
        <f>"20190303153947183"</f>
        <v>20190303153947183</v>
      </c>
      <c r="B6976" t="str">
        <f>"1551598787175223"</f>
        <v>1551598787175223</v>
      </c>
      <c r="C6976" t="s">
        <v>40</v>
      </c>
      <c r="D6976">
        <v>4.4583890000000004</v>
      </c>
      <c r="E6976">
        <v>0.48280810000000002</v>
      </c>
      <c r="F6976" t="s">
        <v>63</v>
      </c>
      <c r="G6976">
        <v>-421.27940000000001</v>
      </c>
      <c r="H6976" s="1">
        <v>-8.7824489999999998E-6</v>
      </c>
      <c r="I6976">
        <v>22.29617</v>
      </c>
      <c r="J6976">
        <v>-421.92070000000001</v>
      </c>
      <c r="K6976">
        <v>1.1212899999999999</v>
      </c>
      <c r="L6976">
        <v>38.906709999999997</v>
      </c>
      <c r="M6976">
        <v>5.7775119999999899E-3</v>
      </c>
      <c r="N6976">
        <v>-1.0522210000000001E-2</v>
      </c>
      <c r="O6976">
        <v>-0.99992820000000004</v>
      </c>
      <c r="P6976">
        <v>6.7868310000000001E-2</v>
      </c>
      <c r="Q6976">
        <v>-2.9101189999999999E-2</v>
      </c>
      <c r="R6976">
        <v>-0.99726999999999999</v>
      </c>
      <c r="S6976">
        <v>0.11465450000000001</v>
      </c>
      <c r="T6976">
        <v>-0.2000006</v>
      </c>
      <c r="U6976">
        <v>-2.9942319999999998</v>
      </c>
      <c r="V6976">
        <v>-6.2087110000000001E-2</v>
      </c>
      <c r="W6976">
        <v>-1.866282E-2</v>
      </c>
      <c r="X6976">
        <v>0.99789629999999996</v>
      </c>
      <c r="Y6976">
        <v>-3.2416069999999998E-2</v>
      </c>
      <c r="Z6976">
        <v>5.6101970000000001E-2</v>
      </c>
      <c r="AA6976">
        <v>0.99789870000000003</v>
      </c>
      <c r="AB6976">
        <v>23</v>
      </c>
      <c r="AC6976">
        <v>0.64130000000000098</v>
      </c>
      <c r="AD6976">
        <v>-1.1212987824489999</v>
      </c>
      <c r="AE6976">
        <v>-16.610539999999901</v>
      </c>
      <c r="AF6976">
        <v>-0.54284636512141404</v>
      </c>
      <c r="AG6976">
        <v>-1.1212987824489999</v>
      </c>
      <c r="AH6976">
        <v>16.5387139800287</v>
      </c>
      <c r="AI6976">
        <v>93.876546853111705</v>
      </c>
      <c r="AJ6976">
        <v>91.879931143775906</v>
      </c>
      <c r="AK6976">
        <v>16.5855676191333</v>
      </c>
      <c r="AL6976">
        <v>91.0693628300791</v>
      </c>
      <c r="AM6976">
        <v>93.5602394383166</v>
      </c>
      <c r="AN6976">
        <v>1.0000000678160901</v>
      </c>
    </row>
    <row r="6977" spans="1:40" x14ac:dyDescent="0.25">
      <c r="A6977" t="str">
        <f>"20190303153947196"</f>
        <v>20190303153947196</v>
      </c>
      <c r="B6977" t="str">
        <f>"1551598787185959"</f>
        <v>1551598787185959</v>
      </c>
      <c r="C6977" t="s">
        <v>40</v>
      </c>
      <c r="D6977">
        <v>4.4711679999999996</v>
      </c>
      <c r="E6977">
        <v>0.48235</v>
      </c>
      <c r="F6977" t="s">
        <v>63</v>
      </c>
      <c r="G6977">
        <v>-419.84399999999999</v>
      </c>
      <c r="H6977" s="1">
        <v>-6.319E-6</v>
      </c>
      <c r="I6977">
        <v>20.65578</v>
      </c>
      <c r="J6977">
        <v>-421.91930000000002</v>
      </c>
      <c r="K6977">
        <v>1.1213709999999999</v>
      </c>
      <c r="L6977">
        <v>38.766750000000002</v>
      </c>
      <c r="M6977">
        <v>6.2575729999999998E-3</v>
      </c>
      <c r="N6977">
        <v>-1.049367E-2</v>
      </c>
      <c r="O6977">
        <v>-0.99992570000000003</v>
      </c>
      <c r="P6977">
        <v>6.9506620000000005E-2</v>
      </c>
      <c r="Q6977">
        <v>-2.7560959999999999E-2</v>
      </c>
      <c r="R6977">
        <v>-0.99720109999999995</v>
      </c>
      <c r="S6977">
        <v>0.33905030000000003</v>
      </c>
      <c r="T6977">
        <v>-0.18307209999999999</v>
      </c>
      <c r="U6977">
        <v>-2.979797</v>
      </c>
      <c r="V6977">
        <v>-6.3245999999999997E-2</v>
      </c>
      <c r="W6977">
        <v>-1.7160970000000001E-2</v>
      </c>
      <c r="X6977">
        <v>0.99785040000000003</v>
      </c>
      <c r="Y6977">
        <v>-0.10664949999999999</v>
      </c>
      <c r="Z6977">
        <v>5.0475939999999997E-2</v>
      </c>
      <c r="AA6977">
        <v>0.99301459999999997</v>
      </c>
      <c r="AB6977">
        <v>23</v>
      </c>
      <c r="AC6977">
        <v>2.0753000000000199</v>
      </c>
      <c r="AD6977">
        <v>-1.12137731899999</v>
      </c>
      <c r="AE6977">
        <v>-18.110969999999998</v>
      </c>
      <c r="AF6977">
        <v>-1.9545264549974</v>
      </c>
      <c r="AG6977">
        <v>-1.12137731899999</v>
      </c>
      <c r="AH6977">
        <v>18.0552806683584</v>
      </c>
      <c r="AI6977">
        <v>93.533371136791899</v>
      </c>
      <c r="AJ6977">
        <v>96.178343610450398</v>
      </c>
      <c r="AK6977">
        <v>18.195351625292901</v>
      </c>
      <c r="AL6977">
        <v>90.983299432518507</v>
      </c>
      <c r="AM6977">
        <v>93.626683907454705</v>
      </c>
      <c r="AN6977">
        <v>0.99999998809375001</v>
      </c>
    </row>
    <row r="6978" spans="1:40" x14ac:dyDescent="0.25">
      <c r="A6978" t="str">
        <f>"20190303153947210"</f>
        <v>20190303153947210</v>
      </c>
      <c r="B6978" t="str">
        <f>"1551598787205483"</f>
        <v>1551598787205483</v>
      </c>
      <c r="C6978" t="s">
        <v>40</v>
      </c>
      <c r="D6978">
        <v>4.4709399999999997</v>
      </c>
      <c r="E6978">
        <v>0.48139999999999999</v>
      </c>
      <c r="F6978" t="s">
        <v>63</v>
      </c>
      <c r="G6978">
        <v>-419.79579999999999</v>
      </c>
      <c r="H6978" s="1">
        <v>-6.323926E-6</v>
      </c>
      <c r="I6978">
        <v>20.54918</v>
      </c>
      <c r="J6978">
        <v>-421.91800000000001</v>
      </c>
      <c r="K6978">
        <v>1.1214869999999999</v>
      </c>
      <c r="L6978">
        <v>38.632289999999998</v>
      </c>
      <c r="M6978">
        <v>6.7597760000000003E-3</v>
      </c>
      <c r="N6978">
        <v>-1.0507539999999999E-2</v>
      </c>
      <c r="O6978">
        <v>-0.99992199999999998</v>
      </c>
      <c r="P6978">
        <v>7.2645130000000002E-2</v>
      </c>
      <c r="Q6978">
        <v>-2.444934E-2</v>
      </c>
      <c r="R6978">
        <v>-0.99705820000000001</v>
      </c>
      <c r="S6978">
        <v>0.3472595</v>
      </c>
      <c r="T6978">
        <v>-0.18338119999999999</v>
      </c>
      <c r="U6978">
        <v>-2.9791560000000001</v>
      </c>
      <c r="V6978">
        <v>-6.5885449999999998E-2</v>
      </c>
      <c r="W6978">
        <v>-1.404887E-2</v>
      </c>
      <c r="X6978">
        <v>0.99772830000000001</v>
      </c>
      <c r="Y6978">
        <v>-0.10887289999999999</v>
      </c>
      <c r="Z6978">
        <v>5.0560849999999997E-2</v>
      </c>
      <c r="AA6978">
        <v>0.99276900000000001</v>
      </c>
      <c r="AB6978">
        <v>23</v>
      </c>
      <c r="AC6978">
        <v>2.1222000000000198</v>
      </c>
      <c r="AD6978">
        <v>-1.1214933239260001</v>
      </c>
      <c r="AE6978">
        <v>-18.083110000000001</v>
      </c>
      <c r="AF6978">
        <v>-1.99234786613895</v>
      </c>
      <c r="AG6978">
        <v>-1.1214933239260001</v>
      </c>
      <c r="AH6978">
        <v>18.0286410869452</v>
      </c>
      <c r="AI6978">
        <v>93.538082659923901</v>
      </c>
      <c r="AJ6978">
        <v>96.306176990871606</v>
      </c>
      <c r="AK6978">
        <v>18.173032128327101</v>
      </c>
      <c r="AL6978">
        <v>90.804967429296795</v>
      </c>
      <c r="AM6978">
        <v>93.778068034277098</v>
      </c>
      <c r="AN6978">
        <v>1.00000001194543</v>
      </c>
    </row>
    <row r="6979" spans="1:40" x14ac:dyDescent="0.25">
      <c r="A6979" t="str">
        <f>"20190303153947225"</f>
        <v>20190303153947225</v>
      </c>
      <c r="B6979" t="str">
        <f>"1551598787215238"</f>
        <v>1551598787215238</v>
      </c>
      <c r="C6979" t="s">
        <v>40</v>
      </c>
      <c r="D6979">
        <v>4.4597030000000002</v>
      </c>
      <c r="E6979">
        <v>0.48134009999999999</v>
      </c>
      <c r="F6979" t="s">
        <v>63</v>
      </c>
      <c r="G6979">
        <v>-419.70620000000002</v>
      </c>
      <c r="H6979" s="1">
        <v>-6.3543579999999998E-6</v>
      </c>
      <c r="I6979">
        <v>20.540009999999999</v>
      </c>
      <c r="J6979">
        <v>-421.91609999999997</v>
      </c>
      <c r="K6979">
        <v>1.1216330000000001</v>
      </c>
      <c r="L6979">
        <v>38.46622</v>
      </c>
      <c r="M6979">
        <v>7.4736739999999996E-3</v>
      </c>
      <c r="N6979">
        <v>-1.062926E-2</v>
      </c>
      <c r="O6979">
        <v>-0.99991569999999996</v>
      </c>
      <c r="P6979">
        <v>7.4829010000000001E-2</v>
      </c>
      <c r="Q6979">
        <v>-2.343108E-2</v>
      </c>
      <c r="R6979">
        <v>-0.9969211</v>
      </c>
      <c r="S6979">
        <v>0.36404419999999998</v>
      </c>
      <c r="T6979">
        <v>-0.1845869</v>
      </c>
      <c r="U6979">
        <v>-2.977814</v>
      </c>
      <c r="V6979">
        <v>-6.7356949999999999E-2</v>
      </c>
      <c r="W6979">
        <v>-1.292507E-2</v>
      </c>
      <c r="X6979">
        <v>0.99764520000000001</v>
      </c>
      <c r="Y6979">
        <v>-0.1137262</v>
      </c>
      <c r="Z6979">
        <v>5.0829899999999997E-2</v>
      </c>
      <c r="AA6979">
        <v>0.99221099999999995</v>
      </c>
      <c r="AB6979">
        <v>23</v>
      </c>
      <c r="AC6979">
        <v>2.2098999999999398</v>
      </c>
      <c r="AD6979">
        <v>-1.1216393543580001</v>
      </c>
      <c r="AE6979">
        <v>-17.926209999999902</v>
      </c>
      <c r="AF6979">
        <v>-2.0678815494938099</v>
      </c>
      <c r="AG6979">
        <v>-1.1216393543580001</v>
      </c>
      <c r="AH6979">
        <v>17.8733001856736</v>
      </c>
      <c r="AI6979">
        <v>93.567155938133297</v>
      </c>
      <c r="AJ6979">
        <v>96.599589274990294</v>
      </c>
      <c r="AK6979">
        <v>18.027453188711402</v>
      </c>
      <c r="AL6979">
        <v>90.7405725959363</v>
      </c>
      <c r="AM6979">
        <v>93.8625163630348</v>
      </c>
      <c r="AN6979">
        <v>0.99999998061542295</v>
      </c>
    </row>
    <row r="6980" spans="1:40" x14ac:dyDescent="0.25">
      <c r="A6980" t="str">
        <f>"20190303153947243"</f>
        <v>20190303153947243</v>
      </c>
      <c r="B6980" t="str">
        <f>"1551598787235739"</f>
        <v>1551598787235739</v>
      </c>
      <c r="C6980" t="s">
        <v>40</v>
      </c>
      <c r="D6980">
        <v>4.4556490000000002</v>
      </c>
      <c r="E6980">
        <v>0.48146410000000001</v>
      </c>
      <c r="F6980" t="s">
        <v>63</v>
      </c>
      <c r="G6980">
        <v>-419.64479999999998</v>
      </c>
      <c r="H6980" s="1">
        <v>-6.3445629999999998E-6</v>
      </c>
      <c r="I6980">
        <v>20.261320000000001</v>
      </c>
      <c r="J6980">
        <v>-421.91390000000001</v>
      </c>
      <c r="K6980">
        <v>1.1217999999999999</v>
      </c>
      <c r="L6980">
        <v>38.296199999999999</v>
      </c>
      <c r="M6980">
        <v>8.2985190000000007E-3</v>
      </c>
      <c r="N6980">
        <v>-1.0812459999999999E-2</v>
      </c>
      <c r="O6980">
        <v>-0.99990710000000005</v>
      </c>
      <c r="P6980">
        <v>7.8212050000000005E-2</v>
      </c>
      <c r="Q6980">
        <v>-2.172808E-2</v>
      </c>
      <c r="R6980">
        <v>-0.99670000000000003</v>
      </c>
      <c r="S6980">
        <v>0.37142940000000002</v>
      </c>
      <c r="T6980">
        <v>-0.1834238</v>
      </c>
      <c r="U6980">
        <v>-2.9770810000000001</v>
      </c>
      <c r="V6980">
        <v>-6.9919560000000006E-2</v>
      </c>
      <c r="W6980">
        <v>-1.1059009999999999E-2</v>
      </c>
      <c r="X6980">
        <v>0.99749140000000003</v>
      </c>
      <c r="Y6980">
        <v>-0.11536250000000001</v>
      </c>
      <c r="Z6980">
        <v>5.0261029999999998E-2</v>
      </c>
      <c r="AA6980">
        <v>0.99205109999999996</v>
      </c>
      <c r="AB6980">
        <v>23</v>
      </c>
      <c r="AC6980">
        <v>2.2691000000000301</v>
      </c>
      <c r="AD6980">
        <v>-1.121806344563</v>
      </c>
      <c r="AE6980">
        <v>-18.034880000000001</v>
      </c>
      <c r="AF6980">
        <v>-2.1113087593288</v>
      </c>
      <c r="AG6980">
        <v>-1.121806344563</v>
      </c>
      <c r="AH6980">
        <v>17.984590478187901</v>
      </c>
      <c r="AI6980">
        <v>93.544974238637295</v>
      </c>
      <c r="AJ6980">
        <v>96.695616030130395</v>
      </c>
      <c r="AK6980">
        <v>18.1428103892436</v>
      </c>
      <c r="AL6980">
        <v>90.633647470823604</v>
      </c>
      <c r="AM6980">
        <v>94.009612344500994</v>
      </c>
      <c r="AN6980">
        <v>1.00000006982336</v>
      </c>
    </row>
    <row r="6981" spans="1:40" x14ac:dyDescent="0.25">
      <c r="A6981" t="str">
        <f>"20190303153947261"</f>
        <v>20190303153947261</v>
      </c>
      <c r="B6981" t="str">
        <f>"1551598787255254"</f>
        <v>1551598787255254</v>
      </c>
      <c r="C6981" t="s">
        <v>40</v>
      </c>
      <c r="D6981">
        <v>4.6382409999999998</v>
      </c>
      <c r="E6981">
        <v>0.48175810000000002</v>
      </c>
      <c r="F6981" t="s">
        <v>63</v>
      </c>
      <c r="G6981">
        <v>-419.56130000000002</v>
      </c>
      <c r="H6981" s="1">
        <v>-6.3336660000000004E-6</v>
      </c>
      <c r="I6981">
        <v>19.890239999999999</v>
      </c>
      <c r="J6981">
        <v>-421.91149999999999</v>
      </c>
      <c r="K6981">
        <v>1.1219570000000001</v>
      </c>
      <c r="L6981">
        <v>38.127040000000001</v>
      </c>
      <c r="M6981">
        <v>9.2391379999999992E-3</v>
      </c>
      <c r="N6981">
        <v>-1.101442E-2</v>
      </c>
      <c r="O6981">
        <v>-0.99989680000000003</v>
      </c>
      <c r="P6981">
        <v>8.0375089999999996E-2</v>
      </c>
      <c r="Q6981">
        <v>-2.1171570000000001E-2</v>
      </c>
      <c r="R6981">
        <v>-0.99653999999999998</v>
      </c>
      <c r="S6981">
        <v>0.38040160000000001</v>
      </c>
      <c r="T6981">
        <v>-0.1813893</v>
      </c>
      <c r="U6981">
        <v>-2.9761350000000002</v>
      </c>
      <c r="V6981">
        <v>-7.1144830000000006E-2</v>
      </c>
      <c r="W6981">
        <v>-1.0320040000000001E-2</v>
      </c>
      <c r="X6981">
        <v>0.99741259999999998</v>
      </c>
      <c r="Y6981">
        <v>-0.11741459999999999</v>
      </c>
      <c r="Z6981">
        <v>4.9384780000000003E-2</v>
      </c>
      <c r="AA6981">
        <v>0.99185429999999997</v>
      </c>
      <c r="AB6981">
        <v>23</v>
      </c>
      <c r="AC6981">
        <v>2.3501999999999699</v>
      </c>
      <c r="AD6981">
        <v>-1.12196333366599</v>
      </c>
      <c r="AE6981">
        <v>-18.236799999999999</v>
      </c>
      <c r="AF6981">
        <v>-2.1735049563184199</v>
      </c>
      <c r="AG6981">
        <v>-1.12196333366599</v>
      </c>
      <c r="AH6981">
        <v>18.1900131271011</v>
      </c>
      <c r="AI6981">
        <v>93.504674996188996</v>
      </c>
      <c r="AJ6981">
        <v>96.813904419955705</v>
      </c>
      <c r="AK6981">
        <v>18.353732674345601</v>
      </c>
      <c r="AL6981">
        <v>90.591305237232305</v>
      </c>
      <c r="AM6981">
        <v>94.079962775427802</v>
      </c>
      <c r="AN6981">
        <v>0.999999992350045</v>
      </c>
    </row>
    <row r="6982" spans="1:40" x14ac:dyDescent="0.25">
      <c r="A6982" t="str">
        <f>"20190303153947275"</f>
        <v>20190303153947275</v>
      </c>
      <c r="B6982" t="str">
        <f>"1551598787265990"</f>
        <v>1551598787265990</v>
      </c>
      <c r="C6982" t="s">
        <v>40</v>
      </c>
      <c r="D6982">
        <v>4.4596309999999999</v>
      </c>
      <c r="E6982">
        <v>0.48209829999999998</v>
      </c>
      <c r="F6982" t="s">
        <v>63</v>
      </c>
      <c r="G6982">
        <v>-419.44749999999999</v>
      </c>
      <c r="H6982" s="1">
        <v>-1.2832789999999999E-5</v>
      </c>
      <c r="I6982">
        <v>19.092680000000001</v>
      </c>
      <c r="J6982">
        <v>-421.90910000000002</v>
      </c>
      <c r="K6982">
        <v>1.1221000000000001</v>
      </c>
      <c r="L6982">
        <v>37.974910000000001</v>
      </c>
      <c r="M6982">
        <v>1.01961E-2</v>
      </c>
      <c r="N6982">
        <v>-1.1194809999999999E-2</v>
      </c>
      <c r="O6982">
        <v>-0.99988529999999998</v>
      </c>
      <c r="P6982">
        <v>8.2987619999999998E-2</v>
      </c>
      <c r="Q6982">
        <v>-2.055736E-2</v>
      </c>
      <c r="R6982">
        <v>-0.99633859999999996</v>
      </c>
      <c r="S6982">
        <v>0.3851929</v>
      </c>
      <c r="T6982">
        <v>-0.175396</v>
      </c>
      <c r="U6982">
        <v>-2.975616</v>
      </c>
      <c r="V6982">
        <v>-7.2803720000000002E-2</v>
      </c>
      <c r="W6982">
        <v>-9.5468749999999998E-3</v>
      </c>
      <c r="X6982">
        <v>0.99730059999999998</v>
      </c>
      <c r="Y6982">
        <v>-0.11807049999999999</v>
      </c>
      <c r="Z6982">
        <v>4.721732E-2</v>
      </c>
      <c r="AA6982">
        <v>0.99188200000000004</v>
      </c>
      <c r="AB6982">
        <v>22</v>
      </c>
      <c r="AC6982">
        <v>2.46160000000003</v>
      </c>
      <c r="AD6982">
        <v>-1.1221128327900001</v>
      </c>
      <c r="AE6982">
        <v>-18.88223</v>
      </c>
      <c r="AF6982">
        <v>-2.2610831387995498</v>
      </c>
      <c r="AG6982">
        <v>-1.1221128327900001</v>
      </c>
      <c r="AH6982">
        <v>18.840922740255401</v>
      </c>
      <c r="AI6982">
        <v>93.3841255621833</v>
      </c>
      <c r="AJ6982">
        <v>96.843290272872807</v>
      </c>
      <c r="AK6982">
        <v>19.009261002846799</v>
      </c>
      <c r="AL6982">
        <v>90.547003951429801</v>
      </c>
      <c r="AM6982">
        <v>94.175230249613406</v>
      </c>
      <c r="AN6982">
        <v>1.00000000561423</v>
      </c>
    </row>
    <row r="6983" spans="1:40" x14ac:dyDescent="0.25">
      <c r="A6983" t="str">
        <f>"20190303153947292"</f>
        <v>20190303153947292</v>
      </c>
      <c r="B6983" t="str">
        <f>"1551598787285511"</f>
        <v>1551598787285511</v>
      </c>
      <c r="C6983" t="s">
        <v>40</v>
      </c>
      <c r="D6983">
        <v>4.4511849999999997</v>
      </c>
      <c r="E6983">
        <v>0.48255720000000002</v>
      </c>
      <c r="F6983" t="s">
        <v>63</v>
      </c>
      <c r="G6983">
        <v>-419.40530000000001</v>
      </c>
      <c r="H6983" s="1">
        <v>-1.286798E-5</v>
      </c>
      <c r="I6983">
        <v>18.87482</v>
      </c>
      <c r="J6983">
        <v>-421.90640000000002</v>
      </c>
      <c r="K6983">
        <v>1.122258</v>
      </c>
      <c r="L6983">
        <v>37.81635</v>
      </c>
      <c r="M6983">
        <v>1.1308159999999999E-2</v>
      </c>
      <c r="N6983">
        <v>-1.137411E-2</v>
      </c>
      <c r="O6983">
        <v>-0.99987159999999997</v>
      </c>
      <c r="P6983">
        <v>8.7974559999999993E-2</v>
      </c>
      <c r="Q6983">
        <v>-1.927968E-2</v>
      </c>
      <c r="R6983">
        <v>-0.99593620000000005</v>
      </c>
      <c r="S6983">
        <v>0.3899841</v>
      </c>
      <c r="T6983">
        <v>-0.1747754</v>
      </c>
      <c r="U6983">
        <v>-2.974945</v>
      </c>
      <c r="V6983">
        <v>-7.6687480000000002E-2</v>
      </c>
      <c r="W6983">
        <v>-8.1219559999999996E-3</v>
      </c>
      <c r="X6983">
        <v>0.99702210000000002</v>
      </c>
      <c r="Y6983">
        <v>-0.1185668</v>
      </c>
      <c r="Z6983">
        <v>4.6837440000000001E-2</v>
      </c>
      <c r="AA6983">
        <v>0.99184079999999997</v>
      </c>
      <c r="AB6983">
        <v>22</v>
      </c>
      <c r="AC6983">
        <v>2.5011000000000001</v>
      </c>
      <c r="AD6983">
        <v>-1.12227086798</v>
      </c>
      <c r="AE6983">
        <v>-18.94153</v>
      </c>
      <c r="AF6983">
        <v>-2.2788695898087901</v>
      </c>
      <c r="AG6983">
        <v>-1.12227086798</v>
      </c>
      <c r="AH6983">
        <v>18.903380828446601</v>
      </c>
      <c r="AI6983">
        <v>93.373226741217906</v>
      </c>
      <c r="AJ6983">
        <v>96.874036985540201</v>
      </c>
      <c r="AK6983">
        <v>19.0732940325932</v>
      </c>
      <c r="AL6983">
        <v>90.465358915762295</v>
      </c>
      <c r="AM6983">
        <v>94.398332435126306</v>
      </c>
      <c r="AN6983">
        <v>1.00000000182321</v>
      </c>
    </row>
    <row r="6984" spans="1:40" x14ac:dyDescent="0.25">
      <c r="A6984" t="str">
        <f>"20190303153947311"</f>
        <v>20190303153947311</v>
      </c>
      <c r="B6984" t="str">
        <f>"1551598787305031"</f>
        <v>1551598787305031</v>
      </c>
      <c r="C6984" t="s">
        <v>40</v>
      </c>
      <c r="D6984">
        <v>4.4775850000000004</v>
      </c>
      <c r="E6984">
        <v>0.4832862</v>
      </c>
      <c r="F6984" t="s">
        <v>63</v>
      </c>
      <c r="G6984">
        <v>-419.28489999999999</v>
      </c>
      <c r="H6984" s="1">
        <v>-1.2941519999999999E-5</v>
      </c>
      <c r="I6984">
        <v>18.37481</v>
      </c>
      <c r="J6984">
        <v>-421.9024</v>
      </c>
      <c r="K6984">
        <v>1.1224510000000001</v>
      </c>
      <c r="L6984">
        <v>37.61694</v>
      </c>
      <c r="M6984">
        <v>1.2893409999999999E-2</v>
      </c>
      <c r="N6984">
        <v>-1.159087E-2</v>
      </c>
      <c r="O6984">
        <v>-0.99984980000000001</v>
      </c>
      <c r="P6984">
        <v>9.3700329999999998E-2</v>
      </c>
      <c r="Q6984">
        <v>-1.8065899999999999E-2</v>
      </c>
      <c r="R6984">
        <v>-0.99543669999999995</v>
      </c>
      <c r="S6984">
        <v>0.40093990000000002</v>
      </c>
      <c r="T6984">
        <v>-0.1716472</v>
      </c>
      <c r="U6984">
        <v>-2.9735109999999998</v>
      </c>
      <c r="V6984">
        <v>-8.0838960000000001E-2</v>
      </c>
      <c r="W6984">
        <v>-6.7351809999999998E-3</v>
      </c>
      <c r="X6984">
        <v>0.99670440000000005</v>
      </c>
      <c r="Y6984">
        <v>-0.12065140000000001</v>
      </c>
      <c r="Z6984">
        <v>4.5588530000000002E-2</v>
      </c>
      <c r="AA6984">
        <v>0.99164759999999996</v>
      </c>
      <c r="AB6984">
        <v>22</v>
      </c>
      <c r="AC6984">
        <v>2.6175000000000002</v>
      </c>
      <c r="AD6984">
        <v>-1.12246394152</v>
      </c>
      <c r="AE6984">
        <v>-19.24213</v>
      </c>
      <c r="AF6984">
        <v>-2.3612800592202401</v>
      </c>
      <c r="AG6984">
        <v>-1.12246394152</v>
      </c>
      <c r="AH6984">
        <v>19.210100240716699</v>
      </c>
      <c r="AI6984">
        <v>93.319119379356295</v>
      </c>
      <c r="AJ6984">
        <v>97.007569896116607</v>
      </c>
      <c r="AK6984">
        <v>19.387199902937699</v>
      </c>
      <c r="AL6984">
        <v>90.385900370678797</v>
      </c>
      <c r="AM6984">
        <v>94.636896292943106</v>
      </c>
      <c r="AN6984">
        <v>0.99999998054817196</v>
      </c>
    </row>
    <row r="6985" spans="1:40" x14ac:dyDescent="0.25">
      <c r="A6985" t="str">
        <f>"20190303153947333"</f>
        <v>20190303153947333</v>
      </c>
      <c r="B6985" t="str">
        <f>"1551598787325526"</f>
        <v>1551598787325526</v>
      </c>
      <c r="C6985" t="s">
        <v>40</v>
      </c>
      <c r="D6985">
        <v>4.4542449999999896</v>
      </c>
      <c r="E6985">
        <v>0.48401840000000002</v>
      </c>
      <c r="F6985" t="s">
        <v>63</v>
      </c>
      <c r="G6985">
        <v>-419.19720000000001</v>
      </c>
      <c r="H6985" s="1">
        <v>-1.296621E-5</v>
      </c>
      <c r="I6985">
        <v>18.14123</v>
      </c>
      <c r="J6985">
        <v>-421.89749999999998</v>
      </c>
      <c r="K6985">
        <v>1.1226529999999999</v>
      </c>
      <c r="L6985">
        <v>37.400790000000001</v>
      </c>
      <c r="M6985">
        <v>1.48293E-2</v>
      </c>
      <c r="N6985">
        <v>-1.1824070000000001E-2</v>
      </c>
      <c r="O6985">
        <v>-0.99982040000000005</v>
      </c>
      <c r="P6985">
        <v>9.9653900000000004E-2</v>
      </c>
      <c r="Q6985">
        <v>-1.8307670000000002E-2</v>
      </c>
      <c r="R6985">
        <v>-0.99485389999999996</v>
      </c>
      <c r="S6985">
        <v>0.4127808</v>
      </c>
      <c r="T6985">
        <v>-0.17127690000000001</v>
      </c>
      <c r="U6985">
        <v>-2.9718019999999998</v>
      </c>
      <c r="V6985">
        <v>-8.4868520000000003E-2</v>
      </c>
      <c r="W6985">
        <v>-6.7934240000000002E-3</v>
      </c>
      <c r="X6985">
        <v>0.99636899999999995</v>
      </c>
      <c r="Y6985">
        <v>-0.1226833</v>
      </c>
      <c r="Z6985">
        <v>4.5242379999999999E-2</v>
      </c>
      <c r="AA6985">
        <v>0.99141409999999996</v>
      </c>
      <c r="AB6985">
        <v>22</v>
      </c>
      <c r="AC6985">
        <v>2.7002999999999702</v>
      </c>
      <c r="AD6985">
        <v>-1.12266596621</v>
      </c>
      <c r="AE6985">
        <v>-19.25956</v>
      </c>
      <c r="AF6985">
        <v>-2.4063584599765</v>
      </c>
      <c r="AG6985">
        <v>-1.12266596621</v>
      </c>
      <c r="AH6985">
        <v>19.233395361177099</v>
      </c>
      <c r="AI6985">
        <v>93.314816866566801</v>
      </c>
      <c r="AJ6985">
        <v>97.131422361278396</v>
      </c>
      <c r="AK6985">
        <v>19.415829547792601</v>
      </c>
      <c r="AL6985">
        <v>90.389237517517699</v>
      </c>
      <c r="AM6985">
        <v>94.868576916075099</v>
      </c>
      <c r="AN6985">
        <v>1.0000000002288101</v>
      </c>
    </row>
    <row r="6986" spans="1:40" x14ac:dyDescent="0.25">
      <c r="A6986" t="str">
        <f>"20190303153947349"</f>
        <v>20190303153947349</v>
      </c>
      <c r="B6986" t="str">
        <f>"1551598787345047"</f>
        <v>1551598787345047</v>
      </c>
      <c r="C6986" t="s">
        <v>40</v>
      </c>
      <c r="D6986">
        <v>4.423311</v>
      </c>
      <c r="E6986">
        <v>0.48460150000000002</v>
      </c>
      <c r="F6986" t="s">
        <v>63</v>
      </c>
      <c r="G6986">
        <v>-419.12799999999999</v>
      </c>
      <c r="H6986" s="1">
        <v>-1.297192E-5</v>
      </c>
      <c r="I6986">
        <v>18.019079999999999</v>
      </c>
      <c r="J6986">
        <v>-421.89339999999999</v>
      </c>
      <c r="K6986">
        <v>1.122795</v>
      </c>
      <c r="L6986">
        <v>37.236049999999999</v>
      </c>
      <c r="M6986">
        <v>1.6437899999999998E-2</v>
      </c>
      <c r="N6986">
        <v>-1.199823E-2</v>
      </c>
      <c r="O6986">
        <v>-0.99979289999999998</v>
      </c>
      <c r="P6986">
        <v>0.1027049</v>
      </c>
      <c r="Q6986">
        <v>-1.8882389999999999E-2</v>
      </c>
      <c r="R6986">
        <v>-0.99453259999999999</v>
      </c>
      <c r="S6986">
        <v>0.42437740000000002</v>
      </c>
      <c r="T6986">
        <v>-0.1720256</v>
      </c>
      <c r="U6986">
        <v>-2.969849</v>
      </c>
      <c r="V6986">
        <v>-8.6317710000000006E-2</v>
      </c>
      <c r="W6986">
        <v>-7.2258169999999998E-3</v>
      </c>
      <c r="X6986">
        <v>0.9962415</v>
      </c>
      <c r="Y6986">
        <v>-0.12496839999999999</v>
      </c>
      <c r="Z6986">
        <v>4.5330269999999999E-2</v>
      </c>
      <c r="AA6986">
        <v>0.99112460000000002</v>
      </c>
      <c r="AB6986">
        <v>22</v>
      </c>
      <c r="AC6986">
        <v>2.7653999999999401</v>
      </c>
      <c r="AD6986">
        <v>-1.1228079719199999</v>
      </c>
      <c r="AE6986">
        <v>-19.21697</v>
      </c>
      <c r="AF6986">
        <v>-2.4409530163252202</v>
      </c>
      <c r="AG6986">
        <v>-1.1228079719199999</v>
      </c>
      <c r="AH6986">
        <v>19.1956328186062</v>
      </c>
      <c r="AI6986">
        <v>93.320899709451496</v>
      </c>
      <c r="AJ6986">
        <v>97.246945443938102</v>
      </c>
      <c r="AK6986">
        <v>19.382756993690698</v>
      </c>
      <c r="AL6986">
        <v>90.414012402688797</v>
      </c>
      <c r="AM6986">
        <v>94.951932003744602</v>
      </c>
      <c r="AN6986">
        <v>1.0000000429066001</v>
      </c>
    </row>
    <row r="6987" spans="1:40" x14ac:dyDescent="0.25">
      <c r="A6987" t="str">
        <f>"20190303153947365"</f>
        <v>20190303153947365</v>
      </c>
      <c r="B6987" t="str">
        <f>"1551598787355783"</f>
        <v>1551598787355783</v>
      </c>
      <c r="C6987" t="s">
        <v>40</v>
      </c>
      <c r="D6987">
        <v>4.4278550000000001</v>
      </c>
      <c r="E6987">
        <v>0.4848172</v>
      </c>
      <c r="F6987" t="s">
        <v>63</v>
      </c>
      <c r="G6987">
        <v>-419.14670000000001</v>
      </c>
      <c r="H6987" s="1">
        <v>-1.292952E-5</v>
      </c>
      <c r="I6987">
        <v>18.236889999999999</v>
      </c>
      <c r="J6987">
        <v>-421.8886</v>
      </c>
      <c r="K6987">
        <v>1.122906</v>
      </c>
      <c r="L6987">
        <v>37.069609999999997</v>
      </c>
      <c r="M6987">
        <v>1.8230059999999999E-2</v>
      </c>
      <c r="N6987">
        <v>-1.2162340000000001E-2</v>
      </c>
      <c r="O6987">
        <v>-0.99975990000000003</v>
      </c>
      <c r="P6987">
        <v>0.10768270000000001</v>
      </c>
      <c r="Q6987">
        <v>-2.1544009999999999E-2</v>
      </c>
      <c r="R6987">
        <v>-0.9939519</v>
      </c>
      <c r="S6987">
        <v>0.4291992</v>
      </c>
      <c r="T6987">
        <v>-0.17545179999999999</v>
      </c>
      <c r="U6987">
        <v>-2.968842</v>
      </c>
      <c r="V6987">
        <v>-8.9508119999999997E-2</v>
      </c>
      <c r="W6987">
        <v>-9.7632789999999997E-3</v>
      </c>
      <c r="X6987">
        <v>0.9959382</v>
      </c>
      <c r="Y6987">
        <v>-0.124806</v>
      </c>
      <c r="Z6987">
        <v>4.631702E-2</v>
      </c>
      <c r="AA6987">
        <v>0.99109950000000002</v>
      </c>
      <c r="AB6987">
        <v>22</v>
      </c>
      <c r="AC6987">
        <v>2.7418999999999798</v>
      </c>
      <c r="AD6987">
        <v>-1.1229189295199999</v>
      </c>
      <c r="AE6987">
        <v>-18.832719999999998</v>
      </c>
      <c r="AF6987">
        <v>-2.3897773800859099</v>
      </c>
      <c r="AG6987">
        <v>-1.1229189295199999</v>
      </c>
      <c r="AH6987">
        <v>18.814078169524599</v>
      </c>
      <c r="AI6987">
        <v>93.388486859930197</v>
      </c>
      <c r="AJ6987">
        <v>97.238984246075205</v>
      </c>
      <c r="AK6987">
        <v>18.998460996028701</v>
      </c>
      <c r="AL6987">
        <v>90.559403589788303</v>
      </c>
      <c r="AM6987">
        <v>95.135555860683596</v>
      </c>
      <c r="AN6987">
        <v>0.99999996169100203</v>
      </c>
    </row>
    <row r="6988" spans="1:40" x14ac:dyDescent="0.25">
      <c r="A6988" t="str">
        <f>"20190303153947383"</f>
        <v>20190303153947383</v>
      </c>
      <c r="B6988" t="str">
        <f>"1551598787375302"</f>
        <v>1551598787375302</v>
      </c>
      <c r="C6988" t="s">
        <v>40</v>
      </c>
      <c r="D6988">
        <v>4.430002</v>
      </c>
      <c r="E6988">
        <v>0.4852168</v>
      </c>
      <c r="F6988" t="s">
        <v>63</v>
      </c>
      <c r="G6988">
        <v>-419.19740000000002</v>
      </c>
      <c r="H6988" s="1">
        <v>-1.2772460000000001E-5</v>
      </c>
      <c r="I6988">
        <v>19.01783</v>
      </c>
      <c r="J6988">
        <v>-421.88339999999999</v>
      </c>
      <c r="K6988">
        <v>1.1230180000000001</v>
      </c>
      <c r="L6988">
        <v>36.901519999999998</v>
      </c>
      <c r="M6988">
        <v>2.0183329999999999E-2</v>
      </c>
      <c r="N6988">
        <v>-1.231519E-2</v>
      </c>
      <c r="O6988">
        <v>-0.99972059999999996</v>
      </c>
      <c r="P6988">
        <v>0.11090410000000001</v>
      </c>
      <c r="Q6988">
        <v>-2.3286560000000001E-2</v>
      </c>
      <c r="R6988">
        <v>-0.99355850000000001</v>
      </c>
      <c r="S6988">
        <v>0.44223020000000002</v>
      </c>
      <c r="T6988">
        <v>-0.1845224</v>
      </c>
      <c r="U6988">
        <v>-2.9663390000000001</v>
      </c>
      <c r="V6988">
        <v>-9.078253E-2</v>
      </c>
      <c r="W6988">
        <v>-1.138451E-2</v>
      </c>
      <c r="X6988">
        <v>0.99580570000000002</v>
      </c>
      <c r="Y6988">
        <v>-0.1272229</v>
      </c>
      <c r="Z6988">
        <v>4.9197980000000002E-2</v>
      </c>
      <c r="AA6988">
        <v>0.99065329999999996</v>
      </c>
      <c r="AB6988">
        <v>22</v>
      </c>
      <c r="AC6988">
        <v>2.6859999999999702</v>
      </c>
      <c r="AD6988">
        <v>-1.1230307724599999</v>
      </c>
      <c r="AE6988">
        <v>-17.883689999999898</v>
      </c>
      <c r="AF6988">
        <v>-2.3155433891148101</v>
      </c>
      <c r="AG6988">
        <v>-1.1230307724599999</v>
      </c>
      <c r="AH6988">
        <v>17.865367137425199</v>
      </c>
      <c r="AI6988">
        <v>93.567164699991807</v>
      </c>
      <c r="AJ6988">
        <v>97.384978530847107</v>
      </c>
      <c r="AK6988">
        <v>18.049772360275298</v>
      </c>
      <c r="AL6988">
        <v>90.652298443912798</v>
      </c>
      <c r="AM6988">
        <v>95.208965383634094</v>
      </c>
      <c r="AN6988">
        <v>1.00000003348681</v>
      </c>
    </row>
    <row r="6989" spans="1:40" x14ac:dyDescent="0.25">
      <c r="A6989" t="str">
        <f>"20190303153947396"</f>
        <v>20190303153947396</v>
      </c>
      <c r="B6989" t="str">
        <f>"1551598787386039"</f>
        <v>1551598787386039</v>
      </c>
      <c r="C6989" t="s">
        <v>40</v>
      </c>
      <c r="D6989">
        <v>4.427905</v>
      </c>
      <c r="E6989">
        <v>0.48536410000000002</v>
      </c>
      <c r="F6989" t="s">
        <v>63</v>
      </c>
      <c r="G6989">
        <v>-419.26769999999999</v>
      </c>
      <c r="H6989" s="1">
        <v>-6.4146299999999999E-6</v>
      </c>
      <c r="I6989">
        <v>19.632100000000001</v>
      </c>
      <c r="J6989">
        <v>-421.87889999999999</v>
      </c>
      <c r="K6989">
        <v>1.1231089999999999</v>
      </c>
      <c r="L6989">
        <v>36.765659999999997</v>
      </c>
      <c r="M6989">
        <v>2.1876280000000001E-2</v>
      </c>
      <c r="N6989">
        <v>-1.2430149999999999E-2</v>
      </c>
      <c r="O6989">
        <v>-0.99968349999999995</v>
      </c>
      <c r="P6989">
        <v>0.11576409999999999</v>
      </c>
      <c r="Q6989">
        <v>-2.547251E-2</v>
      </c>
      <c r="R6989">
        <v>-0.99295029999999995</v>
      </c>
      <c r="S6989">
        <v>0.44906620000000003</v>
      </c>
      <c r="T6989">
        <v>-0.19280079999999999</v>
      </c>
      <c r="U6989">
        <v>-2.9648129999999999</v>
      </c>
      <c r="V6989">
        <v>-9.3957219999999994E-2</v>
      </c>
      <c r="W6989">
        <v>-1.349407E-2</v>
      </c>
      <c r="X6989">
        <v>0.99548479999999995</v>
      </c>
      <c r="Y6989">
        <v>-0.1278281</v>
      </c>
      <c r="Z6989">
        <v>5.1849689999999997E-2</v>
      </c>
      <c r="AA6989">
        <v>0.99044010000000005</v>
      </c>
      <c r="AB6989">
        <v>22</v>
      </c>
      <c r="AC6989">
        <v>2.61119999999999</v>
      </c>
      <c r="AD6989">
        <v>-1.12311541463</v>
      </c>
      <c r="AE6989">
        <v>-17.1335599999999</v>
      </c>
      <c r="AF6989">
        <v>-2.22637818954844</v>
      </c>
      <c r="AG6989">
        <v>-1.12311541463</v>
      </c>
      <c r="AH6989">
        <v>17.114716179666399</v>
      </c>
      <c r="AI6989">
        <v>93.723244261770205</v>
      </c>
      <c r="AJ6989">
        <v>97.4117353044429</v>
      </c>
      <c r="AK6989">
        <v>17.295423035821099</v>
      </c>
      <c r="AL6989">
        <v>90.773176711305496</v>
      </c>
      <c r="AM6989">
        <v>95.391796736118707</v>
      </c>
      <c r="AN6989">
        <v>1.0000000180731601</v>
      </c>
    </row>
    <row r="6990" spans="1:40" x14ac:dyDescent="0.25">
      <c r="A6990" t="str">
        <f>"20190303153947410"</f>
        <v>20190303153947410</v>
      </c>
      <c r="B6990" t="str">
        <f>"1551598787405558"</f>
        <v>1551598787405558</v>
      </c>
      <c r="C6990" t="s">
        <v>40</v>
      </c>
      <c r="D6990">
        <v>4.3921260000000002</v>
      </c>
      <c r="E6990">
        <v>0.4858169</v>
      </c>
      <c r="F6990" t="s">
        <v>63</v>
      </c>
      <c r="G6990">
        <v>-419.2842</v>
      </c>
      <c r="H6990" s="1">
        <v>-6.4591499999999998E-6</v>
      </c>
      <c r="I6990">
        <v>20.13786</v>
      </c>
      <c r="J6990">
        <v>-421.8741</v>
      </c>
      <c r="K6990">
        <v>1.123202</v>
      </c>
      <c r="L6990">
        <v>36.632599999999996</v>
      </c>
      <c r="M6990">
        <v>2.361566E-2</v>
      </c>
      <c r="N6990">
        <v>-1.253691E-2</v>
      </c>
      <c r="O6990">
        <v>-0.9996427</v>
      </c>
      <c r="P6990">
        <v>0.11872870000000001</v>
      </c>
      <c r="Q6990">
        <v>-2.6583869999999999E-2</v>
      </c>
      <c r="R6990">
        <v>-0.99257119999999999</v>
      </c>
      <c r="S6990">
        <v>0.46224979999999899</v>
      </c>
      <c r="T6990">
        <v>-0.2000856</v>
      </c>
      <c r="U6990">
        <v>-2.9622799999999998</v>
      </c>
      <c r="V6990">
        <v>-9.5189930000000006E-2</v>
      </c>
      <c r="W6990">
        <v>-1.452819E-2</v>
      </c>
      <c r="X6990">
        <v>0.99535309999999999</v>
      </c>
      <c r="Y6990">
        <v>-0.1305104</v>
      </c>
      <c r="Z6990">
        <v>5.4182029999999999E-2</v>
      </c>
      <c r="AA6990">
        <v>0.98996530000000005</v>
      </c>
      <c r="AB6990">
        <v>22</v>
      </c>
      <c r="AC6990">
        <v>2.5899000000000001</v>
      </c>
      <c r="AD6990">
        <v>-1.12320845915</v>
      </c>
      <c r="AE6990">
        <v>-16.494739999999901</v>
      </c>
      <c r="AF6990">
        <v>-2.18970369295107</v>
      </c>
      <c r="AG6990">
        <v>-1.12320845915</v>
      </c>
      <c r="AH6990">
        <v>16.476742933599599</v>
      </c>
      <c r="AI6990">
        <v>93.865896347952301</v>
      </c>
      <c r="AJ6990">
        <v>97.570058044199499</v>
      </c>
      <c r="AK6990">
        <v>16.659515515331002</v>
      </c>
      <c r="AL6990">
        <v>90.832433262439395</v>
      </c>
      <c r="AM6990">
        <v>95.462829880628803</v>
      </c>
      <c r="AN6990">
        <v>0.99999999237884496</v>
      </c>
    </row>
    <row r="6991" spans="1:40" x14ac:dyDescent="0.25">
      <c r="A6991" t="str">
        <f>"20190303153947422"</f>
        <v>20190303153947422</v>
      </c>
      <c r="B6991" t="str">
        <f>"1551598787415319"</f>
        <v>1551598787415319</v>
      </c>
      <c r="C6991" t="s">
        <v>40</v>
      </c>
      <c r="D6991">
        <v>4.3936960000000003</v>
      </c>
      <c r="E6991">
        <v>0.48607050000000002</v>
      </c>
      <c r="F6991" t="s">
        <v>63</v>
      </c>
      <c r="G6991">
        <v>-419.33909999999997</v>
      </c>
      <c r="H6991" s="1">
        <v>-6.4866949999999997E-6</v>
      </c>
      <c r="I6991">
        <v>20.571079999999998</v>
      </c>
      <c r="J6991">
        <v>-421.86950000000002</v>
      </c>
      <c r="K6991">
        <v>1.1232869999999999</v>
      </c>
      <c r="L6991">
        <v>36.514339999999997</v>
      </c>
      <c r="M6991">
        <v>2.5291250000000001E-2</v>
      </c>
      <c r="N6991">
        <v>-1.262456E-2</v>
      </c>
      <c r="O6991">
        <v>-0.9996005</v>
      </c>
      <c r="P6991">
        <v>0.1234735</v>
      </c>
      <c r="Q6991">
        <v>-2.8099619999999999E-2</v>
      </c>
      <c r="R6991">
        <v>-0.99195</v>
      </c>
      <c r="S6991">
        <v>0.46734619999999999</v>
      </c>
      <c r="T6991">
        <v>-0.20706959999999999</v>
      </c>
      <c r="U6991">
        <v>-2.9610289999999999</v>
      </c>
      <c r="V6991">
        <v>-9.827089E-2</v>
      </c>
      <c r="W6991">
        <v>-1.5996929999999999E-2</v>
      </c>
      <c r="X6991">
        <v>0.99503109999999995</v>
      </c>
      <c r="Y6991">
        <v>-0.13055330000000001</v>
      </c>
      <c r="Z6991">
        <v>5.6429779999999999E-2</v>
      </c>
      <c r="AA6991">
        <v>0.98983410000000005</v>
      </c>
      <c r="AB6991">
        <v>22</v>
      </c>
      <c r="AC6991">
        <v>2.5304000000000402</v>
      </c>
      <c r="AD6991">
        <v>-1.123293486695</v>
      </c>
      <c r="AE6991">
        <v>-15.94326</v>
      </c>
      <c r="AF6991">
        <v>-2.1160872169583902</v>
      </c>
      <c r="AG6991">
        <v>-1.123293486695</v>
      </c>
      <c r="AH6991">
        <v>15.925051749168</v>
      </c>
      <c r="AI6991">
        <v>93.999706671356407</v>
      </c>
      <c r="AJ6991">
        <v>97.569002463484594</v>
      </c>
      <c r="AK6991">
        <v>16.104250574947699</v>
      </c>
      <c r="AL6991">
        <v>90.916595688612702</v>
      </c>
      <c r="AM6991">
        <v>95.640333502044101</v>
      </c>
      <c r="AN6991">
        <v>0.999999979779013</v>
      </c>
    </row>
    <row r="6992" spans="1:40" x14ac:dyDescent="0.25">
      <c r="A6992" t="str">
        <f>"20190303153947444"</f>
        <v>20190303153947444</v>
      </c>
      <c r="B6992" t="str">
        <f>"1551598787435814"</f>
        <v>1551598787435814</v>
      </c>
      <c r="C6992" t="s">
        <v>40</v>
      </c>
      <c r="D6992">
        <v>4.4120290000000004</v>
      </c>
      <c r="E6992">
        <v>0.4864849</v>
      </c>
      <c r="F6992" t="s">
        <v>63</v>
      </c>
      <c r="G6992">
        <v>-419.34179999999998</v>
      </c>
      <c r="H6992" s="1">
        <v>-6.5256480000000003E-6</v>
      </c>
      <c r="I6992">
        <v>20.92587</v>
      </c>
      <c r="J6992">
        <v>-421.8603</v>
      </c>
      <c r="K6992">
        <v>1.123481</v>
      </c>
      <c r="L6992">
        <v>36.293700000000001</v>
      </c>
      <c r="M6992">
        <v>2.858569E-2</v>
      </c>
      <c r="N6992">
        <v>-1.2778629999999999E-2</v>
      </c>
      <c r="O6992">
        <v>-0.99950969999999995</v>
      </c>
      <c r="P6992">
        <v>0.13064100000000001</v>
      </c>
      <c r="Q6992">
        <v>-2.8396109999999999E-2</v>
      </c>
      <c r="R6992">
        <v>-0.99102319999999999</v>
      </c>
      <c r="S6992">
        <v>0.4797363</v>
      </c>
      <c r="T6992">
        <v>-0.21319370000000001</v>
      </c>
      <c r="U6992">
        <v>-2.9585880000000002</v>
      </c>
      <c r="V6992">
        <v>-0.1021751</v>
      </c>
      <c r="W6992">
        <v>-1.6208139999999999E-2</v>
      </c>
      <c r="X6992">
        <v>0.99463440000000003</v>
      </c>
      <c r="Y6992">
        <v>-0.13143260000000001</v>
      </c>
      <c r="Z6992">
        <v>5.8333290000000003E-2</v>
      </c>
      <c r="AA6992">
        <v>0.98960729999999997</v>
      </c>
      <c r="AB6992">
        <v>22</v>
      </c>
      <c r="AC6992">
        <v>2.5185000000000102</v>
      </c>
      <c r="AD6992">
        <v>-1.1234875256479999</v>
      </c>
      <c r="AE6992">
        <v>-15.36783</v>
      </c>
      <c r="AF6992">
        <v>-2.06737455065542</v>
      </c>
      <c r="AG6992">
        <v>-1.1234875256479999</v>
      </c>
      <c r="AH6992">
        <v>15.3536356623305</v>
      </c>
      <c r="AI6992">
        <v>94.147804483598506</v>
      </c>
      <c r="AJ6992">
        <v>97.668779789393099</v>
      </c>
      <c r="AK6992">
        <v>15.532880924174099</v>
      </c>
      <c r="AL6992">
        <v>90.928698660219297</v>
      </c>
      <c r="AM6992">
        <v>95.865209250371194</v>
      </c>
      <c r="AN6992">
        <v>1.00000002226281</v>
      </c>
    </row>
    <row r="6993" spans="1:40" x14ac:dyDescent="0.25">
      <c r="A6993" t="str">
        <f>"20190303153947467"</f>
        <v>20190303153947467</v>
      </c>
      <c r="B6993" t="str">
        <f>"1551598787455334"</f>
        <v>1551598787455334</v>
      </c>
      <c r="C6993" t="s">
        <v>40</v>
      </c>
      <c r="D6993">
        <v>4.5430460000000004</v>
      </c>
      <c r="E6993">
        <v>0.46172540000000001</v>
      </c>
      <c r="F6993" t="s">
        <v>63</v>
      </c>
      <c r="G6993">
        <v>-419.28230000000002</v>
      </c>
      <c r="H6993" s="1">
        <v>-6.553284E-6</v>
      </c>
      <c r="I6993">
        <v>20.985710000000001</v>
      </c>
      <c r="J6993">
        <v>-421.85019999999997</v>
      </c>
      <c r="K6993">
        <v>1.1236699999999999</v>
      </c>
      <c r="L6993">
        <v>36.07779</v>
      </c>
      <c r="M6993">
        <v>3.2089039999999999E-2</v>
      </c>
      <c r="N6993">
        <v>-1.291467E-2</v>
      </c>
      <c r="O6993">
        <v>-0.99940169999999995</v>
      </c>
      <c r="P6993">
        <v>0.13913619999999999</v>
      </c>
      <c r="Q6993">
        <v>-2.7423900000000001E-2</v>
      </c>
      <c r="R6993">
        <v>-0.98989369999999999</v>
      </c>
      <c r="S6993">
        <v>0.49771120000000002</v>
      </c>
      <c r="T6993">
        <v>-0.21689990000000001</v>
      </c>
      <c r="U6993">
        <v>-2.9553530000000001</v>
      </c>
      <c r="V6993">
        <v>-0.1072147</v>
      </c>
      <c r="W6993">
        <v>-1.5180890000000001E-2</v>
      </c>
      <c r="X6993">
        <v>0.99412</v>
      </c>
      <c r="Y6993">
        <v>-0.13397300000000001</v>
      </c>
      <c r="Z6993">
        <v>5.9450889999999999E-2</v>
      </c>
      <c r="AA6993">
        <v>0.98920010000000003</v>
      </c>
      <c r="AB6993">
        <v>22</v>
      </c>
      <c r="AC6993">
        <v>2.5678999999999501</v>
      </c>
      <c r="AD6993">
        <v>-1.1236765532840001</v>
      </c>
      <c r="AE6993">
        <v>-15.092079999999999</v>
      </c>
      <c r="AF6993">
        <v>-2.0710886007392899</v>
      </c>
      <c r="AG6993">
        <v>-1.1236765532840001</v>
      </c>
      <c r="AH6993">
        <v>15.085441499134101</v>
      </c>
      <c r="AI6993">
        <v>94.220506582830197</v>
      </c>
      <c r="AJ6993">
        <v>97.817298403026001</v>
      </c>
      <c r="AK6993">
        <v>15.268352963312999</v>
      </c>
      <c r="AL6993">
        <v>90.869834327501394</v>
      </c>
      <c r="AM6993">
        <v>96.155491966821899</v>
      </c>
      <c r="AN6993">
        <v>1.0000000128586399</v>
      </c>
    </row>
    <row r="6994" spans="1:40" x14ac:dyDescent="0.25">
      <c r="A6994" t="str">
        <f>"20190303153947490"</f>
        <v>20190303153947490</v>
      </c>
      <c r="B6994" t="str">
        <f>"1551598787485590"</f>
        <v>1551598787485590</v>
      </c>
      <c r="C6994" t="s">
        <v>40</v>
      </c>
      <c r="D6994">
        <v>4.2215480000000003</v>
      </c>
      <c r="E6994">
        <v>0.40244190000000002</v>
      </c>
      <c r="F6994" t="s">
        <v>63</v>
      </c>
      <c r="G6994">
        <v>-418.39299999999997</v>
      </c>
      <c r="H6994" s="1">
        <v>-6.9808280000000001E-6</v>
      </c>
      <c r="I6994">
        <v>22.011600000000001</v>
      </c>
      <c r="J6994">
        <v>-421.83839999999998</v>
      </c>
      <c r="K6994">
        <v>1.123875</v>
      </c>
      <c r="L6994">
        <v>35.85031</v>
      </c>
      <c r="M6994">
        <v>3.6111480000000001E-2</v>
      </c>
      <c r="N6994">
        <v>-1.3043249999999999E-2</v>
      </c>
      <c r="O6994">
        <v>-0.99926280000000001</v>
      </c>
      <c r="P6994">
        <v>0.14828769999999999</v>
      </c>
      <c r="Q6994">
        <v>-2.7019109999999999E-2</v>
      </c>
      <c r="R6994">
        <v>-0.98857530000000005</v>
      </c>
      <c r="S6994">
        <v>0.71847530000000004</v>
      </c>
      <c r="T6994">
        <v>-0.2335188</v>
      </c>
      <c r="U6994">
        <v>-2.923187</v>
      </c>
      <c r="V6994">
        <v>-0.1124018</v>
      </c>
      <c r="W6994">
        <v>-1.4740069999999999E-2</v>
      </c>
      <c r="X6994">
        <v>0.99355349999999998</v>
      </c>
      <c r="Y6994">
        <v>-0.2028382</v>
      </c>
      <c r="Z6994">
        <v>6.4626550000000005E-2</v>
      </c>
      <c r="AA6994">
        <v>0.97707730000000004</v>
      </c>
      <c r="AB6994">
        <v>22</v>
      </c>
      <c r="AC6994">
        <v>3.4453999999999398</v>
      </c>
      <c r="AD6994">
        <v>-1.1238819808280001</v>
      </c>
      <c r="AE6994">
        <v>-13.838710000000001</v>
      </c>
      <c r="AF6994">
        <v>-2.9252064697670601</v>
      </c>
      <c r="AG6994">
        <v>-1.1238819808280001</v>
      </c>
      <c r="AH6994">
        <v>13.8679833382306</v>
      </c>
      <c r="AI6994">
        <v>94.533875294517003</v>
      </c>
      <c r="AJ6994">
        <v>101.91093353931799</v>
      </c>
      <c r="AK6994">
        <v>14.2176265764381</v>
      </c>
      <c r="AL6994">
        <v>90.844574389527395</v>
      </c>
      <c r="AM6994">
        <v>96.454491645687398</v>
      </c>
      <c r="AN6994">
        <v>0.99999999583454702</v>
      </c>
    </row>
    <row r="6995" spans="1:40" x14ac:dyDescent="0.25">
      <c r="A6995" t="str">
        <f>"20190303153947512"</f>
        <v>20190303153947512</v>
      </c>
      <c r="B6995" t="str">
        <f>"1551598787505111"</f>
        <v>1551598787505111</v>
      </c>
      <c r="C6995" t="s">
        <v>40</v>
      </c>
      <c r="D6995">
        <v>3.9727000000000001</v>
      </c>
      <c r="E6995">
        <v>0.33186199999999999</v>
      </c>
      <c r="F6995" t="s">
        <v>63</v>
      </c>
      <c r="G6995">
        <v>-415.9119</v>
      </c>
      <c r="H6995" s="1">
        <v>-7.8656199999999994E-6</v>
      </c>
      <c r="I6995">
        <v>21.942879999999999</v>
      </c>
      <c r="J6995">
        <v>-421.82569999999998</v>
      </c>
      <c r="K6995">
        <v>1.1240810000000001</v>
      </c>
      <c r="L6995">
        <v>35.63232</v>
      </c>
      <c r="M6995">
        <v>4.0348000000000002E-2</v>
      </c>
      <c r="N6995">
        <v>-1.3154259999999999E-2</v>
      </c>
      <c r="O6995">
        <v>-0.99909930000000002</v>
      </c>
      <c r="P6995">
        <v>0.1578783</v>
      </c>
      <c r="Q6995">
        <v>-2.7862250000000002E-2</v>
      </c>
      <c r="R6995">
        <v>-0.98706559999999999</v>
      </c>
      <c r="S6995">
        <v>1.212982</v>
      </c>
      <c r="T6995">
        <v>-0.23002520000000001</v>
      </c>
      <c r="U6995">
        <v>-2.8464360000000002</v>
      </c>
      <c r="V6995">
        <v>-0.1178208</v>
      </c>
      <c r="W6995">
        <v>-1.5572900000000001E-2</v>
      </c>
      <c r="X6995">
        <v>0.99291280000000004</v>
      </c>
      <c r="Y6995">
        <v>-0.3536512</v>
      </c>
      <c r="Z6995">
        <v>6.1610100000000001E-2</v>
      </c>
      <c r="AA6995">
        <v>0.93334620000000001</v>
      </c>
      <c r="AB6995">
        <v>22</v>
      </c>
      <c r="AC6995">
        <v>5.9137999999999797</v>
      </c>
      <c r="AD6995">
        <v>-1.1240888656200001</v>
      </c>
      <c r="AE6995">
        <v>-13.689439999999999</v>
      </c>
      <c r="AF6995">
        <v>-5.3263289359660302</v>
      </c>
      <c r="AG6995">
        <v>-1.1240888656200001</v>
      </c>
      <c r="AH6995">
        <v>13.838289061603099</v>
      </c>
      <c r="AI6995">
        <v>94.335232029157694</v>
      </c>
      <c r="AJ6995">
        <v>111.051612618836</v>
      </c>
      <c r="AK6995">
        <v>14.870494271018901</v>
      </c>
      <c r="AL6995">
        <v>90.892297475495099</v>
      </c>
      <c r="AM6995">
        <v>96.767175554795202</v>
      </c>
      <c r="AN6995">
        <v>1.00000004226544</v>
      </c>
    </row>
    <row r="6996" spans="1:40" x14ac:dyDescent="0.25">
      <c r="A6996" t="str">
        <f>"20190303153947534"</f>
        <v>20190303153947534</v>
      </c>
      <c r="B6996" t="str">
        <f>"1551598787525606"</f>
        <v>1551598787525606</v>
      </c>
      <c r="C6996" t="s">
        <v>40</v>
      </c>
      <c r="D6996">
        <v>4.0023869999999997</v>
      </c>
      <c r="E6996">
        <v>0.32466929999999999</v>
      </c>
      <c r="F6996" t="s">
        <v>44</v>
      </c>
      <c r="G6996">
        <v>-421.26639999999998</v>
      </c>
      <c r="H6996">
        <v>1.046794</v>
      </c>
      <c r="I6996">
        <v>34.777439999999999</v>
      </c>
      <c r="J6996">
        <v>-421.81200000000001</v>
      </c>
      <c r="K6996">
        <v>1.1242760000000001</v>
      </c>
      <c r="L6996">
        <v>35.416930000000001</v>
      </c>
      <c r="M6996">
        <v>4.4830120000000001E-2</v>
      </c>
      <c r="N6996">
        <v>-1.3254159999999999E-2</v>
      </c>
      <c r="O6996">
        <v>-0.99890670000000004</v>
      </c>
      <c r="P6996">
        <v>0.16667599999999999</v>
      </c>
      <c r="Q6996">
        <v>-2.9577920000000001E-2</v>
      </c>
      <c r="R6996">
        <v>-0.98556820000000001</v>
      </c>
      <c r="S6996">
        <v>1.7959590000000001</v>
      </c>
      <c r="T6996">
        <v>-0.24818019999999999</v>
      </c>
      <c r="U6996">
        <v>-2.7450559999999999</v>
      </c>
      <c r="V6996">
        <v>-0.1222038</v>
      </c>
      <c r="W6996">
        <v>-1.728122E-2</v>
      </c>
      <c r="X6996">
        <v>0.99235459999999998</v>
      </c>
      <c r="Y6996">
        <v>-0.50805619999999996</v>
      </c>
      <c r="Z6996">
        <v>6.3245549999999998E-2</v>
      </c>
      <c r="AA6996">
        <v>0.85899879999999995</v>
      </c>
      <c r="AB6996">
        <v>22</v>
      </c>
      <c r="AC6996">
        <v>0.54559999999997899</v>
      </c>
      <c r="AD6996">
        <v>-7.7481999999999995E-2</v>
      </c>
      <c r="AE6996">
        <v>-0.63948999999999501</v>
      </c>
      <c r="AF6996">
        <v>-0.51203025979040295</v>
      </c>
      <c r="AG6996">
        <v>-7.7481999999999995E-2</v>
      </c>
      <c r="AH6996">
        <v>0.65772046686837704</v>
      </c>
      <c r="AI6996">
        <v>95.310755524254205</v>
      </c>
      <c r="AJ6996">
        <v>127.90047982098299</v>
      </c>
      <c r="AK6996">
        <v>0.83712284630308798</v>
      </c>
      <c r="AL6996">
        <v>90.990190229749203</v>
      </c>
      <c r="AM6996">
        <v>97.0203606821796</v>
      </c>
      <c r="AN6996">
        <v>1.00000003072014</v>
      </c>
    </row>
    <row r="6997" spans="1:40" x14ac:dyDescent="0.25">
      <c r="A6997" t="str">
        <f>"20190303153947555"</f>
        <v>20190303153947555</v>
      </c>
      <c r="B6997" t="str">
        <f>"1551598787545126"</f>
        <v>1551598787545126</v>
      </c>
      <c r="C6997" t="s">
        <v>40</v>
      </c>
      <c r="D6997">
        <v>3.9979149999999999</v>
      </c>
      <c r="E6997">
        <v>0.3223395</v>
      </c>
      <c r="F6997" t="s">
        <v>44</v>
      </c>
      <c r="G6997">
        <v>-421.23950000000002</v>
      </c>
      <c r="H6997">
        <v>1.0468630000000001</v>
      </c>
      <c r="I6997">
        <v>34.587589999999999</v>
      </c>
      <c r="J6997">
        <v>-421.79689999999999</v>
      </c>
      <c r="K6997">
        <v>1.1244719999999999</v>
      </c>
      <c r="L6997">
        <v>35.203130000000002</v>
      </c>
      <c r="M6997">
        <v>4.9595510000000002E-2</v>
      </c>
      <c r="N6997">
        <v>-1.33437E-2</v>
      </c>
      <c r="O6997">
        <v>-0.99868029999999997</v>
      </c>
      <c r="P6997">
        <v>0.175395</v>
      </c>
      <c r="Q6997">
        <v>-2.926045E-2</v>
      </c>
      <c r="R6997">
        <v>-0.98406340000000003</v>
      </c>
      <c r="S6997">
        <v>1.8770450000000001</v>
      </c>
      <c r="T6997">
        <v>-0.25378719999999999</v>
      </c>
      <c r="U6997">
        <v>-2.7188720000000002</v>
      </c>
      <c r="V6997">
        <v>-0.12624679999999999</v>
      </c>
      <c r="W6997">
        <v>-1.696572E-2</v>
      </c>
      <c r="X6997">
        <v>0.99185380000000001</v>
      </c>
      <c r="Y6997">
        <v>-0.52515800000000001</v>
      </c>
      <c r="Z6997">
        <v>6.4471650000000005E-2</v>
      </c>
      <c r="AA6997">
        <v>0.84855910000000001</v>
      </c>
      <c r="AB6997">
        <v>22</v>
      </c>
      <c r="AC6997">
        <v>0.55739999999997203</v>
      </c>
      <c r="AD6997">
        <v>-7.7608999999999997E-2</v>
      </c>
      <c r="AE6997">
        <v>-0.61553999999999498</v>
      </c>
      <c r="AF6997">
        <v>-0.52162705773637696</v>
      </c>
      <c r="AG6997">
        <v>-7.7608999999999997E-2</v>
      </c>
      <c r="AH6997">
        <v>0.63686667335862301</v>
      </c>
      <c r="AI6997">
        <v>95.385626301067305</v>
      </c>
      <c r="AJ6997">
        <v>129.319266690776</v>
      </c>
      <c r="AK6997">
        <v>0.82687187875667201</v>
      </c>
      <c r="AL6997">
        <v>90.972110766230799</v>
      </c>
      <c r="AM6997">
        <v>97.253812057926694</v>
      </c>
      <c r="AN6997">
        <v>1.00000002536989</v>
      </c>
    </row>
    <row r="6998" spans="1:40" x14ac:dyDescent="0.25">
      <c r="A6998" t="str">
        <f>"20190303153947578"</f>
        <v>20190303153947578</v>
      </c>
      <c r="B6998" t="str">
        <f>"1551598787576003"</f>
        <v>1551598787576003</v>
      </c>
      <c r="C6998" t="s">
        <v>40</v>
      </c>
      <c r="D6998">
        <v>3.9348420000000002</v>
      </c>
      <c r="E6998">
        <v>0.32015179999999999</v>
      </c>
      <c r="F6998" t="s">
        <v>44</v>
      </c>
      <c r="G6998">
        <v>-421.22239999999999</v>
      </c>
      <c r="H6998">
        <v>1.0491490000000001</v>
      </c>
      <c r="I6998">
        <v>34.395470000000003</v>
      </c>
      <c r="J6998">
        <v>-421.78019999999998</v>
      </c>
      <c r="K6998">
        <v>1.1246849999999999</v>
      </c>
      <c r="L6998">
        <v>34.985930000000003</v>
      </c>
      <c r="M6998">
        <v>5.480227E-2</v>
      </c>
      <c r="N6998">
        <v>-1.34272E-2</v>
      </c>
      <c r="O6998">
        <v>-0.99840709999999999</v>
      </c>
      <c r="P6998">
        <v>0.18418300000000001</v>
      </c>
      <c r="Q6998">
        <v>-2.6803110000000002E-2</v>
      </c>
      <c r="R6998">
        <v>-0.98252669999999998</v>
      </c>
      <c r="S6998">
        <v>1.919708</v>
      </c>
      <c r="T6998">
        <v>-0.25170579999999998</v>
      </c>
      <c r="U6998">
        <v>-2.698944</v>
      </c>
      <c r="V6998">
        <v>-0.1299457</v>
      </c>
      <c r="W6998">
        <v>-1.452176E-2</v>
      </c>
      <c r="X6998">
        <v>0.99141480000000004</v>
      </c>
      <c r="Y6998">
        <v>-0.53262589999999999</v>
      </c>
      <c r="Z6998">
        <v>6.3706090000000007E-2</v>
      </c>
      <c r="AA6998">
        <v>0.84394979999999997</v>
      </c>
      <c r="AB6998">
        <v>22</v>
      </c>
      <c r="AC6998">
        <v>0.55779999999998597</v>
      </c>
      <c r="AD6998">
        <v>-7.5536000000000006E-2</v>
      </c>
      <c r="AE6998">
        <v>-0.59045999999999299</v>
      </c>
      <c r="AF6998">
        <v>-0.52010239314030804</v>
      </c>
      <c r="AG6998">
        <v>-7.5536000000000006E-2</v>
      </c>
      <c r="AH6998">
        <v>0.61482706046080604</v>
      </c>
      <c r="AI6998">
        <v>95.358540411553307</v>
      </c>
      <c r="AJ6998">
        <v>130.22897774914799</v>
      </c>
      <c r="AK6998">
        <v>0.80884145598575197</v>
      </c>
      <c r="AL6998">
        <v>90.832064775356798</v>
      </c>
      <c r="AM6998">
        <v>97.467246150171803</v>
      </c>
      <c r="AN6998">
        <v>1.0000000360605099</v>
      </c>
    </row>
    <row r="6999" spans="1:40" x14ac:dyDescent="0.25">
      <c r="A6999" t="str">
        <f>"20190303153947601"</f>
        <v>20190303153947601</v>
      </c>
      <c r="B6999" t="str">
        <f>"1551598787595520"</f>
        <v>1551598787595520</v>
      </c>
      <c r="C6999" t="s">
        <v>40</v>
      </c>
      <c r="D6999">
        <v>3.9233099999999999</v>
      </c>
      <c r="E6999">
        <v>0.320098299999999</v>
      </c>
      <c r="F6999" t="s">
        <v>44</v>
      </c>
      <c r="G6999">
        <v>-421.20769999999999</v>
      </c>
      <c r="H6999">
        <v>1.052843</v>
      </c>
      <c r="I6999">
        <v>34.203009999999999</v>
      </c>
      <c r="J6999">
        <v>-421.76170000000002</v>
      </c>
      <c r="K6999">
        <v>1.1249279999999999</v>
      </c>
      <c r="L6999">
        <v>34.765140000000002</v>
      </c>
      <c r="M6999">
        <v>6.0514659999999998E-2</v>
      </c>
      <c r="N6999">
        <v>-1.350879E-2</v>
      </c>
      <c r="O6999">
        <v>-0.99807590000000002</v>
      </c>
      <c r="P6999">
        <v>0.19399540000000001</v>
      </c>
      <c r="Q6999">
        <v>-2.5012380000000001E-2</v>
      </c>
      <c r="R6999">
        <v>-0.98068359999999999</v>
      </c>
      <c r="S6999">
        <v>1.960663</v>
      </c>
      <c r="T6999">
        <v>-0.24584439999999999</v>
      </c>
      <c r="U6999">
        <v>-2.6791079999999998</v>
      </c>
      <c r="V6999">
        <v>-0.1341849</v>
      </c>
      <c r="W6999">
        <v>-1.276738E-2</v>
      </c>
      <c r="X6999">
        <v>0.99087409999999998</v>
      </c>
      <c r="Y6999">
        <v>-0.53924919999999898</v>
      </c>
      <c r="Z6999">
        <v>6.1813750000000001E-2</v>
      </c>
      <c r="AA6999">
        <v>0.83987459999999903</v>
      </c>
      <c r="AB6999">
        <v>22</v>
      </c>
      <c r="AC6999">
        <v>0.55400000000003002</v>
      </c>
      <c r="AD6999">
        <v>-7.2085000000000093E-2</v>
      </c>
      <c r="AE6999">
        <v>-0.56213000000000302</v>
      </c>
      <c r="AF6999">
        <v>-0.51467093820582799</v>
      </c>
      <c r="AG6999">
        <v>-7.2085000000000093E-2</v>
      </c>
      <c r="AH6999">
        <v>0.58970846759301798</v>
      </c>
      <c r="AI6999">
        <v>95.2618771041668</v>
      </c>
      <c r="AJ6999">
        <v>131.11298806520401</v>
      </c>
      <c r="AK6999">
        <v>0.78602703427399601</v>
      </c>
      <c r="AL6999">
        <v>90.7315368369147</v>
      </c>
      <c r="AM6999">
        <v>97.712121374995206</v>
      </c>
      <c r="AN6999">
        <v>1.0000000377154401</v>
      </c>
    </row>
    <row r="7000" spans="1:40" x14ac:dyDescent="0.25">
      <c r="A7000" t="str">
        <f>"20190303153947623"</f>
        <v>20190303153947623</v>
      </c>
      <c r="B7000" t="str">
        <f>"1551598787616016"</f>
        <v>1551598787616016</v>
      </c>
      <c r="C7000" t="s">
        <v>40</v>
      </c>
      <c r="D7000">
        <v>3.9102329999999998</v>
      </c>
      <c r="E7000">
        <v>0.32017329999999999</v>
      </c>
      <c r="F7000" t="s">
        <v>44</v>
      </c>
      <c r="G7000">
        <v>-421.197</v>
      </c>
      <c r="H7000">
        <v>1.055909</v>
      </c>
      <c r="I7000">
        <v>34.009709999999998</v>
      </c>
      <c r="J7000">
        <v>-421.74149999999997</v>
      </c>
      <c r="K7000">
        <v>1.1251990000000001</v>
      </c>
      <c r="L7000">
        <v>34.546570000000003</v>
      </c>
      <c r="M7000">
        <v>6.662527E-2</v>
      </c>
      <c r="N7000">
        <v>-1.3589179999999999E-2</v>
      </c>
      <c r="O7000">
        <v>-0.9976855</v>
      </c>
      <c r="P7000">
        <v>0.20328769999999999</v>
      </c>
      <c r="Q7000">
        <v>-2.4024279999999999E-2</v>
      </c>
      <c r="R7000">
        <v>-0.97882429999999998</v>
      </c>
      <c r="S7000">
        <v>1.987549</v>
      </c>
      <c r="T7000">
        <v>-0.24299970000000001</v>
      </c>
      <c r="U7000">
        <v>-2.659729</v>
      </c>
      <c r="V7000">
        <v>-0.137513</v>
      </c>
      <c r="W7000">
        <v>-1.1824339999999999E-2</v>
      </c>
      <c r="X7000">
        <v>0.99042940000000002</v>
      </c>
      <c r="Y7000">
        <v>-0.54250559999999903</v>
      </c>
      <c r="Z7000">
        <v>6.100589E-2</v>
      </c>
      <c r="AA7000">
        <v>0.83783410000000003</v>
      </c>
      <c r="AB7000">
        <v>22</v>
      </c>
      <c r="AC7000">
        <v>0.54450000000002696</v>
      </c>
      <c r="AD7000">
        <v>-6.9290000000000004E-2</v>
      </c>
      <c r="AE7000">
        <v>-0.536860000000004</v>
      </c>
      <c r="AF7000">
        <v>-0.50338477387746405</v>
      </c>
      <c r="AG7000">
        <v>-6.9290000000000004E-2</v>
      </c>
      <c r="AH7000">
        <v>0.56728957175360795</v>
      </c>
      <c r="AI7000">
        <v>95.220049663510295</v>
      </c>
      <c r="AJ7000">
        <v>131.58426811141001</v>
      </c>
      <c r="AK7000">
        <v>0.76158702253390398</v>
      </c>
      <c r="AL7000">
        <v>90.677500553223297</v>
      </c>
      <c r="AM7000">
        <v>97.904515713117306</v>
      </c>
      <c r="AN7000">
        <v>1.00000001828489</v>
      </c>
    </row>
    <row r="7001" spans="1:40" x14ac:dyDescent="0.25">
      <c r="A7001" t="str">
        <f>"20190303153947645"</f>
        <v>20190303153947645</v>
      </c>
      <c r="B7001" t="str">
        <f>"1551598787635537"</f>
        <v>1551598787635537</v>
      </c>
      <c r="C7001" t="s">
        <v>40</v>
      </c>
      <c r="D7001">
        <v>3.9754510000000001</v>
      </c>
      <c r="E7001">
        <v>0.32090400000000002</v>
      </c>
      <c r="F7001" t="s">
        <v>44</v>
      </c>
      <c r="G7001">
        <v>-421.1859</v>
      </c>
      <c r="H7001">
        <v>1.0582659999999999</v>
      </c>
      <c r="I7001">
        <v>33.816749999999999</v>
      </c>
      <c r="J7001">
        <v>-421.72050000000002</v>
      </c>
      <c r="K7001">
        <v>1.12548</v>
      </c>
      <c r="L7001">
        <v>34.336880000000001</v>
      </c>
      <c r="M7001">
        <v>7.2957140000000004E-2</v>
      </c>
      <c r="N7001">
        <v>-1.366668E-2</v>
      </c>
      <c r="O7001">
        <v>-0.99724159999999995</v>
      </c>
      <c r="P7001">
        <v>0.21260599999999999</v>
      </c>
      <c r="Q7001">
        <v>-2.5445289999999999E-2</v>
      </c>
      <c r="R7001">
        <v>-0.97680690000000003</v>
      </c>
      <c r="S7001">
        <v>2.0116269999999998</v>
      </c>
      <c r="T7001">
        <v>-0.2422253</v>
      </c>
      <c r="U7001">
        <v>-2.6411739999999999</v>
      </c>
      <c r="V7001">
        <v>-0.1406432</v>
      </c>
      <c r="W7001">
        <v>-1.3304170000000001E-2</v>
      </c>
      <c r="X7001">
        <v>0.98997100000000005</v>
      </c>
      <c r="Y7001">
        <v>-0.54485050000000002</v>
      </c>
      <c r="Z7001">
        <v>6.0846520000000001E-2</v>
      </c>
      <c r="AA7001">
        <v>0.83632269999999898</v>
      </c>
      <c r="AB7001">
        <v>22</v>
      </c>
      <c r="AC7001">
        <v>0.53460000000001096</v>
      </c>
      <c r="AD7001">
        <v>-6.7214000000000093E-2</v>
      </c>
      <c r="AE7001">
        <v>-0.52013000000000098</v>
      </c>
      <c r="AF7001">
        <v>-0.49123523327001001</v>
      </c>
      <c r="AG7001">
        <v>-6.7214000000000093E-2</v>
      </c>
      <c r="AH7001">
        <v>0.55325740691886405</v>
      </c>
      <c r="AI7001">
        <v>95.190834514797899</v>
      </c>
      <c r="AJ7001">
        <v>131.601755933606</v>
      </c>
      <c r="AK7001">
        <v>0.74291556351474197</v>
      </c>
      <c r="AL7001">
        <v>90.762295245010506</v>
      </c>
      <c r="AM7001">
        <v>98.085787201421098</v>
      </c>
      <c r="AN7001">
        <v>1.00000004574331</v>
      </c>
    </row>
    <row r="7002" spans="1:40" x14ac:dyDescent="0.25">
      <c r="A7002" t="str">
        <f>"20190303153947667"</f>
        <v>20190303153947667</v>
      </c>
      <c r="B7002" t="str">
        <f>"1551598787665793"</f>
        <v>1551598787665793</v>
      </c>
      <c r="C7002" t="s">
        <v>40</v>
      </c>
      <c r="D7002">
        <v>3.9573489999999998</v>
      </c>
      <c r="E7002">
        <v>0.32213589999999998</v>
      </c>
      <c r="F7002" t="s">
        <v>44</v>
      </c>
      <c r="G7002">
        <v>-421.16989999999998</v>
      </c>
      <c r="H7002">
        <v>1.05789</v>
      </c>
      <c r="I7002">
        <v>33.625489999999999</v>
      </c>
      <c r="J7002">
        <v>-421.69720000000001</v>
      </c>
      <c r="K7002">
        <v>1.12578</v>
      </c>
      <c r="L7002">
        <v>34.124940000000002</v>
      </c>
      <c r="M7002">
        <v>7.9861089999999996E-2</v>
      </c>
      <c r="N7002">
        <v>-1.3745749999999999E-2</v>
      </c>
      <c r="O7002">
        <v>-0.99671129999999997</v>
      </c>
      <c r="P7002">
        <v>0.2221939</v>
      </c>
      <c r="Q7002">
        <v>-2.9544480000000001E-2</v>
      </c>
      <c r="R7002">
        <v>-0.97455510000000001</v>
      </c>
      <c r="S7002">
        <v>2.030548</v>
      </c>
      <c r="T7002">
        <v>-0.2492008</v>
      </c>
      <c r="U7002">
        <v>-2.6227719999999999</v>
      </c>
      <c r="V7002">
        <v>-0.1434705</v>
      </c>
      <c r="W7002">
        <v>-1.7471469999999999E-2</v>
      </c>
      <c r="X7002">
        <v>0.9895003</v>
      </c>
      <c r="Y7002">
        <v>-0.54556130000000003</v>
      </c>
      <c r="Z7002">
        <v>6.3118229999999997E-2</v>
      </c>
      <c r="AA7002">
        <v>0.83569069999999901</v>
      </c>
      <c r="AB7002">
        <v>22</v>
      </c>
      <c r="AC7002">
        <v>0.52730000000002497</v>
      </c>
      <c r="AD7002">
        <v>-6.7889999999999895E-2</v>
      </c>
      <c r="AE7002">
        <v>-0.499450000000003</v>
      </c>
      <c r="AF7002">
        <v>-0.48151778363714698</v>
      </c>
      <c r="AG7002">
        <v>-6.7889999999999895E-2</v>
      </c>
      <c r="AH7002">
        <v>0.53529201036484997</v>
      </c>
      <c r="AI7002">
        <v>95.386604258732604</v>
      </c>
      <c r="AJ7002">
        <v>131.97271931302799</v>
      </c>
      <c r="AK7002">
        <v>0.72319151296131301</v>
      </c>
      <c r="AL7002">
        <v>91.001092488154299</v>
      </c>
      <c r="AM7002">
        <v>98.2499877817948</v>
      </c>
      <c r="AN7002">
        <v>0.99999994016714799</v>
      </c>
    </row>
    <row r="7003" spans="1:40" x14ac:dyDescent="0.25">
      <c r="A7003" t="str">
        <f>"20190303153947691"</f>
        <v>20190303153947691</v>
      </c>
      <c r="B7003" t="str">
        <f>"1551598787685820"</f>
        <v>1551598787685820</v>
      </c>
      <c r="C7003" t="s">
        <v>40</v>
      </c>
      <c r="D7003">
        <v>3.8997950000000001</v>
      </c>
      <c r="E7003">
        <v>0.32286359999999997</v>
      </c>
      <c r="F7003" t="s">
        <v>44</v>
      </c>
      <c r="G7003">
        <v>-421.15449999999998</v>
      </c>
      <c r="H7003">
        <v>1.0553349999999999</v>
      </c>
      <c r="I7003">
        <v>33.4343</v>
      </c>
      <c r="J7003">
        <v>-421.67059999999998</v>
      </c>
      <c r="K7003">
        <v>1.1260939999999999</v>
      </c>
      <c r="L7003">
        <v>33.903199999999998</v>
      </c>
      <c r="M7003">
        <v>8.7679939999999998E-2</v>
      </c>
      <c r="N7003">
        <v>-1.3829869999999999E-2</v>
      </c>
      <c r="O7003">
        <v>-0.99605279999999996</v>
      </c>
      <c r="P7003">
        <v>0.23262279999999999</v>
      </c>
      <c r="Q7003">
        <v>-3.3739440000000002E-2</v>
      </c>
      <c r="R7003">
        <v>-0.97198169999999995</v>
      </c>
      <c r="S7003">
        <v>2.046265</v>
      </c>
      <c r="T7003">
        <v>-0.2655865</v>
      </c>
      <c r="U7003">
        <v>-2.603729</v>
      </c>
      <c r="V7003">
        <v>-0.14625560000000001</v>
      </c>
      <c r="W7003">
        <v>-2.174183E-2</v>
      </c>
      <c r="X7003">
        <v>0.98900790000000005</v>
      </c>
      <c r="Y7003">
        <v>-0.54484080000000001</v>
      </c>
      <c r="Z7003">
        <v>6.8340230000000002E-2</v>
      </c>
      <c r="AA7003">
        <v>0.83574999999999999</v>
      </c>
      <c r="AB7003">
        <v>22</v>
      </c>
      <c r="AC7003">
        <v>0.51609999999999401</v>
      </c>
      <c r="AD7003">
        <v>-7.0759000000000002E-2</v>
      </c>
      <c r="AE7003">
        <v>-0.46889999999999699</v>
      </c>
      <c r="AF7003">
        <v>-0.46817396674348899</v>
      </c>
      <c r="AG7003">
        <v>-7.0759000000000002E-2</v>
      </c>
      <c r="AH7003">
        <v>0.50712765582076602</v>
      </c>
      <c r="AI7003">
        <v>95.853553404661099</v>
      </c>
      <c r="AJ7003">
        <v>132.71281387603699</v>
      </c>
      <c r="AK7003">
        <v>0.69380988643547004</v>
      </c>
      <c r="AL7003">
        <v>91.245813240689699</v>
      </c>
      <c r="AM7003">
        <v>98.411997668204705</v>
      </c>
      <c r="AN7003">
        <v>1.0000000169827501</v>
      </c>
    </row>
    <row r="7004" spans="1:40" x14ac:dyDescent="0.25">
      <c r="A7004" t="str">
        <f>"20190303153947713"</f>
        <v>20190303153947713</v>
      </c>
      <c r="B7004" t="str">
        <f>"1551598787705340"</f>
        <v>1551598787705340</v>
      </c>
      <c r="C7004" t="s">
        <v>40</v>
      </c>
      <c r="D7004">
        <v>3.9026610000000002</v>
      </c>
      <c r="E7004">
        <v>0.32338850000000002</v>
      </c>
      <c r="F7004" t="s">
        <v>44</v>
      </c>
      <c r="G7004">
        <v>-421.01679999999999</v>
      </c>
      <c r="H7004">
        <v>1.0370649999999999</v>
      </c>
      <c r="I7004">
        <v>33.086269999999999</v>
      </c>
      <c r="J7004">
        <v>-421.64269999999999</v>
      </c>
      <c r="K7004">
        <v>1.1263840000000001</v>
      </c>
      <c r="L7004">
        <v>33.691160000000004</v>
      </c>
      <c r="M7004">
        <v>9.5736290000000002E-2</v>
      </c>
      <c r="N7004">
        <v>-1.391148E-2</v>
      </c>
      <c r="O7004">
        <v>-0.99530969999999996</v>
      </c>
      <c r="P7004">
        <v>0.24293500000000001</v>
      </c>
      <c r="Q7004">
        <v>-3.8575310000000002E-2</v>
      </c>
      <c r="R7004">
        <v>-0.96927549999999996</v>
      </c>
      <c r="S7004">
        <v>2.0675050000000001</v>
      </c>
      <c r="T7004">
        <v>-0.2813812</v>
      </c>
      <c r="U7004">
        <v>-2.581909</v>
      </c>
      <c r="V7004">
        <v>-0.1487001</v>
      </c>
      <c r="W7004">
        <v>-2.6647750000000001E-2</v>
      </c>
      <c r="X7004">
        <v>0.98852320000000005</v>
      </c>
      <c r="Y7004">
        <v>-0.5454502</v>
      </c>
      <c r="Z7004">
        <v>7.3381829999999995E-2</v>
      </c>
      <c r="AA7004">
        <v>0.83492459999999902</v>
      </c>
      <c r="AB7004">
        <v>22</v>
      </c>
      <c r="AC7004">
        <v>0.62590000000000101</v>
      </c>
      <c r="AD7004">
        <v>-8.9319000000000107E-2</v>
      </c>
      <c r="AE7004">
        <v>-0.60488999999999704</v>
      </c>
      <c r="AF7004">
        <v>-0.55922047656595097</v>
      </c>
      <c r="AG7004">
        <v>-8.9319000000000107E-2</v>
      </c>
      <c r="AH7004">
        <v>0.65513963338922898</v>
      </c>
      <c r="AI7004">
        <v>95.920167479181401</v>
      </c>
      <c r="AJ7004">
        <v>130.48373169014999</v>
      </c>
      <c r="AK7004">
        <v>0.86597538325810597</v>
      </c>
      <c r="AL7004">
        <v>91.526984410535803</v>
      </c>
      <c r="AM7004">
        <v>98.554663879504602</v>
      </c>
      <c r="AN7004">
        <v>0.99999996962915505</v>
      </c>
    </row>
    <row r="7005" spans="1:40" x14ac:dyDescent="0.25">
      <c r="A7005" t="str">
        <f>"20190303153947734"</f>
        <v>20190303153947734</v>
      </c>
      <c r="B7005" t="str">
        <f>"1551598787725836"</f>
        <v>1551598787725836</v>
      </c>
      <c r="C7005" t="s">
        <v>40</v>
      </c>
      <c r="D7005">
        <v>3.8644669999999999</v>
      </c>
      <c r="E7005">
        <v>0.32384659999999998</v>
      </c>
      <c r="F7005" t="s">
        <v>44</v>
      </c>
      <c r="G7005">
        <v>-420.99520000000001</v>
      </c>
      <c r="H7005">
        <v>1.034065</v>
      </c>
      <c r="I7005">
        <v>32.898429999999998</v>
      </c>
      <c r="J7005">
        <v>-421.61320000000001</v>
      </c>
      <c r="K7005">
        <v>1.126641</v>
      </c>
      <c r="L7005">
        <v>33.483310000000003</v>
      </c>
      <c r="M7005">
        <v>0.1040939</v>
      </c>
      <c r="N7005">
        <v>-1.398927E-2</v>
      </c>
      <c r="O7005">
        <v>-0.99446920000000005</v>
      </c>
      <c r="P7005">
        <v>0.2534884</v>
      </c>
      <c r="Q7005">
        <v>-4.0606389999999999E-2</v>
      </c>
      <c r="R7005">
        <v>-0.96648599999999996</v>
      </c>
      <c r="S7005">
        <v>2.0904240000000001</v>
      </c>
      <c r="T7005">
        <v>-0.29804659999999999</v>
      </c>
      <c r="U7005">
        <v>-2.5592959999999998</v>
      </c>
      <c r="V7005">
        <v>-0.15113779999999999</v>
      </c>
      <c r="W7005">
        <v>-2.8738349999999999E-2</v>
      </c>
      <c r="X7005">
        <v>0.9880949</v>
      </c>
      <c r="Y7005">
        <v>-0.54623679999999997</v>
      </c>
      <c r="Z7005">
        <v>7.8701350000000003E-2</v>
      </c>
      <c r="AA7005">
        <v>0.83392540000000004</v>
      </c>
      <c r="AB7005">
        <v>22</v>
      </c>
      <c r="AC7005">
        <v>0.617999999999995</v>
      </c>
      <c r="AD7005">
        <v>-9.2576000000000006E-2</v>
      </c>
      <c r="AE7005">
        <v>-0.58487999999999796</v>
      </c>
      <c r="AF7005">
        <v>-0.54727537983275498</v>
      </c>
      <c r="AG7005">
        <v>-9.2576000000000006E-2</v>
      </c>
      <c r="AH7005">
        <v>0.63848042765804303</v>
      </c>
      <c r="AI7005">
        <v>96.282240779562301</v>
      </c>
      <c r="AJ7005">
        <v>130.601627887191</v>
      </c>
      <c r="AK7005">
        <v>0.84601295123034903</v>
      </c>
      <c r="AL7005">
        <v>91.6468128516522</v>
      </c>
      <c r="AM7005">
        <v>98.6964889719968</v>
      </c>
      <c r="AN7005">
        <v>1.00000002937778</v>
      </c>
    </row>
    <row r="7006" spans="1:40" x14ac:dyDescent="0.25">
      <c r="A7006" t="str">
        <f>"20190303153947757"</f>
        <v>20190303153947757</v>
      </c>
      <c r="B7006" t="str">
        <f>"1551598787745356"</f>
        <v>1551598787745356</v>
      </c>
      <c r="C7006" t="s">
        <v>40</v>
      </c>
      <c r="D7006">
        <v>3.827232</v>
      </c>
      <c r="E7006">
        <v>0.32419969999999998</v>
      </c>
      <c r="F7006" t="s">
        <v>44</v>
      </c>
      <c r="G7006">
        <v>-420.97030000000001</v>
      </c>
      <c r="H7006">
        <v>1.033706</v>
      </c>
      <c r="I7006">
        <v>32.711790000000001</v>
      </c>
      <c r="J7006">
        <v>-421.58139999999997</v>
      </c>
      <c r="K7006">
        <v>1.1268899999999999</v>
      </c>
      <c r="L7006">
        <v>33.276580000000003</v>
      </c>
      <c r="M7006">
        <v>0.1128518</v>
      </c>
      <c r="N7006">
        <v>-1.4062160000000001E-2</v>
      </c>
      <c r="O7006">
        <v>-0.99351239999999996</v>
      </c>
      <c r="P7006">
        <v>0.26441399999999998</v>
      </c>
      <c r="Q7006">
        <v>-3.9609610000000003E-2</v>
      </c>
      <c r="R7006">
        <v>-0.9635956</v>
      </c>
      <c r="S7006">
        <v>2.114563</v>
      </c>
      <c r="T7006">
        <v>-0.30556050000000001</v>
      </c>
      <c r="U7006">
        <v>-2.536591</v>
      </c>
      <c r="V7006">
        <v>-0.153609299999999</v>
      </c>
      <c r="W7006">
        <v>-2.7795980000000001E-2</v>
      </c>
      <c r="X7006">
        <v>0.98774059999999997</v>
      </c>
      <c r="Y7006">
        <v>-0.54707910000000004</v>
      </c>
      <c r="Z7006">
        <v>8.120819E-2</v>
      </c>
      <c r="AA7006">
        <v>0.8331324</v>
      </c>
      <c r="AB7006">
        <v>22</v>
      </c>
      <c r="AC7006">
        <v>0.61109999999996401</v>
      </c>
      <c r="AD7006">
        <v>-9.3183999999999906E-2</v>
      </c>
      <c r="AE7006">
        <v>-0.56478999999999502</v>
      </c>
      <c r="AF7006">
        <v>-0.53672093520888797</v>
      </c>
      <c r="AG7006">
        <v>-9.3183999999999906E-2</v>
      </c>
      <c r="AH7006">
        <v>0.62234746653097295</v>
      </c>
      <c r="AI7006">
        <v>96.468999617491605</v>
      </c>
      <c r="AJ7006">
        <v>130.77493186595501</v>
      </c>
      <c r="AK7006">
        <v>0.82708463245608999</v>
      </c>
      <c r="AL7006">
        <v>91.592797548550394</v>
      </c>
      <c r="AM7006">
        <v>98.839592258453806</v>
      </c>
      <c r="AN7006">
        <v>0.99999996321950402</v>
      </c>
    </row>
    <row r="7007" spans="1:40" x14ac:dyDescent="0.25">
      <c r="A7007" t="str">
        <f>"20190303153947780"</f>
        <v>20190303153947780</v>
      </c>
      <c r="B7007" t="str">
        <f>"1551598787775615"</f>
        <v>1551598787775615</v>
      </c>
      <c r="C7007" t="s">
        <v>40</v>
      </c>
      <c r="D7007">
        <v>3.9840119999999999</v>
      </c>
      <c r="E7007">
        <v>0.34167389999999997</v>
      </c>
      <c r="F7007" t="s">
        <v>44</v>
      </c>
      <c r="G7007">
        <v>-420.94240000000002</v>
      </c>
      <c r="H7007">
        <v>1.036845</v>
      </c>
      <c r="I7007">
        <v>32.526299999999999</v>
      </c>
      <c r="J7007">
        <v>-421.54629999999997</v>
      </c>
      <c r="K7007">
        <v>1.127138</v>
      </c>
      <c r="L7007">
        <v>33.06326</v>
      </c>
      <c r="M7007">
        <v>0.12235</v>
      </c>
      <c r="N7007">
        <v>-1.413465E-2</v>
      </c>
      <c r="O7007">
        <v>-0.99238649999999995</v>
      </c>
      <c r="P7007">
        <v>0.27655930000000001</v>
      </c>
      <c r="Q7007">
        <v>-3.6611940000000003E-2</v>
      </c>
      <c r="R7007">
        <v>-0.96029940000000003</v>
      </c>
      <c r="S7007">
        <v>2.1401979999999998</v>
      </c>
      <c r="T7007">
        <v>-0.30166379999999998</v>
      </c>
      <c r="U7007">
        <v>-2.5136720000000001</v>
      </c>
      <c r="V7007">
        <v>-0.15664359999999999</v>
      </c>
      <c r="W7007">
        <v>-2.4860529999999999E-2</v>
      </c>
      <c r="X7007">
        <v>0.98734219999999895</v>
      </c>
      <c r="Y7007">
        <v>-0.54781380000000002</v>
      </c>
      <c r="Z7007">
        <v>8.0186469999999996E-2</v>
      </c>
      <c r="AA7007">
        <v>0.83274859999999995</v>
      </c>
      <c r="AB7007">
        <v>22</v>
      </c>
      <c r="AC7007">
        <v>0.60389999999995303</v>
      </c>
      <c r="AD7007">
        <v>-9.0292999999999901E-2</v>
      </c>
      <c r="AE7007">
        <v>-0.53695999999999999</v>
      </c>
      <c r="AF7007">
        <v>-0.52707793821758497</v>
      </c>
      <c r="AG7007">
        <v>-9.0292999999999901E-2</v>
      </c>
      <c r="AH7007">
        <v>0.59933696754711996</v>
      </c>
      <c r="AI7007">
        <v>96.454446253367294</v>
      </c>
      <c r="AJ7007">
        <v>131.32952986208599</v>
      </c>
      <c r="AK7007">
        <v>0.80322399084768303</v>
      </c>
      <c r="AL7007">
        <v>91.424550293902698</v>
      </c>
      <c r="AM7007">
        <v>99.014942114811006</v>
      </c>
      <c r="AN7007">
        <v>0.99999994163683803</v>
      </c>
    </row>
    <row r="7008" spans="1:40" x14ac:dyDescent="0.25">
      <c r="A7008" t="str">
        <f>"20190303153947802"</f>
        <v>20190303153947802</v>
      </c>
      <c r="B7008" t="str">
        <f>"1551598787795132"</f>
        <v>1551598787795132</v>
      </c>
      <c r="C7008" t="s">
        <v>40</v>
      </c>
      <c r="D7008">
        <v>3.9791500000000002</v>
      </c>
      <c r="E7008">
        <v>0.34359060000000002</v>
      </c>
      <c r="F7008" t="s">
        <v>44</v>
      </c>
      <c r="G7008">
        <v>-420.95310000000001</v>
      </c>
      <c r="H7008">
        <v>1.041698</v>
      </c>
      <c r="I7008">
        <v>32.327469999999998</v>
      </c>
      <c r="J7008">
        <v>-421.50889999999998</v>
      </c>
      <c r="K7008">
        <v>1.1273879999999901</v>
      </c>
      <c r="L7008">
        <v>32.851840000000003</v>
      </c>
      <c r="M7008">
        <v>0.13221469999999999</v>
      </c>
      <c r="N7008">
        <v>-1.420803E-2</v>
      </c>
      <c r="O7008">
        <v>-0.99111930000000004</v>
      </c>
      <c r="P7008">
        <v>0.28963139999999998</v>
      </c>
      <c r="Q7008">
        <v>-3.107453E-2</v>
      </c>
      <c r="R7008">
        <v>-0.95663370000000003</v>
      </c>
      <c r="S7008">
        <v>2.0380549999999999</v>
      </c>
      <c r="T7008">
        <v>-0.29331770000000001</v>
      </c>
      <c r="U7008">
        <v>-2.5258790000000002</v>
      </c>
      <c r="V7008">
        <v>-0.16032839999999901</v>
      </c>
      <c r="W7008">
        <v>-1.9396210000000001E-2</v>
      </c>
      <c r="X7008">
        <v>0.98687309999999995</v>
      </c>
      <c r="Y7008">
        <v>-0.51724049999999999</v>
      </c>
      <c r="Z7008">
        <v>7.9038079999999997E-2</v>
      </c>
      <c r="AA7008">
        <v>0.85218259999999901</v>
      </c>
      <c r="AB7008">
        <v>22</v>
      </c>
      <c r="AC7008">
        <v>0.55579999999997598</v>
      </c>
      <c r="AD7008">
        <v>-8.5689999999999794E-2</v>
      </c>
      <c r="AE7008">
        <v>-0.524370000000004</v>
      </c>
      <c r="AF7008">
        <v>-0.47560216284631401</v>
      </c>
      <c r="AG7008">
        <v>-8.5689999999999794E-2</v>
      </c>
      <c r="AH7008">
        <v>0.58588993838871595</v>
      </c>
      <c r="AI7008">
        <v>96.478331925387593</v>
      </c>
      <c r="AJ7008">
        <v>129.06831918062599</v>
      </c>
      <c r="AK7008">
        <v>0.75947825071507202</v>
      </c>
      <c r="AL7008">
        <v>91.111390707639202</v>
      </c>
      <c r="AM7008">
        <v>99.227709708657201</v>
      </c>
      <c r="AN7008">
        <v>0.99999996215626596</v>
      </c>
    </row>
    <row r="7009" spans="1:40" x14ac:dyDescent="0.25">
      <c r="A7009" t="str">
        <f>"20190303153947824"</f>
        <v>20190303153947824</v>
      </c>
      <c r="B7009" t="str">
        <f>"1551598787815628"</f>
        <v>1551598787815628</v>
      </c>
      <c r="C7009" t="s">
        <v>40</v>
      </c>
      <c r="D7009">
        <v>4.001595</v>
      </c>
      <c r="E7009">
        <v>0.34301939999999997</v>
      </c>
      <c r="F7009" t="s">
        <v>44</v>
      </c>
      <c r="G7009">
        <v>-420.9255</v>
      </c>
      <c r="H7009">
        <v>1.0484</v>
      </c>
      <c r="I7009">
        <v>32.141729999999903</v>
      </c>
      <c r="J7009">
        <v>-421.47</v>
      </c>
      <c r="K7009">
        <v>1.127632</v>
      </c>
      <c r="L7009">
        <v>32.646090000000001</v>
      </c>
      <c r="M7009">
        <v>0.1422388</v>
      </c>
      <c r="N7009">
        <v>-1.428243E-2</v>
      </c>
      <c r="O7009">
        <v>-0.98972950000000004</v>
      </c>
      <c r="P7009">
        <v>0.30415779999999998</v>
      </c>
      <c r="Q7009">
        <v>-2.8374759999999999E-2</v>
      </c>
      <c r="R7009">
        <v>-0.95219929999999997</v>
      </c>
      <c r="S7009">
        <v>2.0574650000000001</v>
      </c>
      <c r="T7009">
        <v>-0.27853410000000001</v>
      </c>
      <c r="U7009">
        <v>-2.5040279999999999</v>
      </c>
      <c r="V7009">
        <v>-0.16537589999999999</v>
      </c>
      <c r="W7009">
        <v>-1.679802E-2</v>
      </c>
      <c r="X7009">
        <v>0.98608759999999995</v>
      </c>
      <c r="Y7009">
        <v>-0.51639840000000004</v>
      </c>
      <c r="Z7009">
        <v>7.4631020000000006E-2</v>
      </c>
      <c r="AA7009">
        <v>0.85309020000000002</v>
      </c>
      <c r="AB7009">
        <v>22</v>
      </c>
      <c r="AC7009">
        <v>0.54450000000002696</v>
      </c>
      <c r="AD7009">
        <v>-7.92319999999999E-2</v>
      </c>
      <c r="AE7009">
        <v>-0.50436000000000503</v>
      </c>
      <c r="AF7009">
        <v>-0.461951231116072</v>
      </c>
      <c r="AG7009">
        <v>-7.92319999999999E-2</v>
      </c>
      <c r="AH7009">
        <v>0.570189714904481</v>
      </c>
      <c r="AI7009">
        <v>96.162332454700007</v>
      </c>
      <c r="AJ7009">
        <v>129.01339172792501</v>
      </c>
      <c r="AK7009">
        <v>0.73810091500858399</v>
      </c>
      <c r="AL7009">
        <v>90.962500863024005</v>
      </c>
      <c r="AM7009">
        <v>99.520427191760305</v>
      </c>
      <c r="AN7009">
        <v>1.00000005832524</v>
      </c>
    </row>
    <row r="7010" spans="1:40" x14ac:dyDescent="0.25">
      <c r="A7010" t="str">
        <f>"20190303153947846"</f>
        <v>20190303153947846</v>
      </c>
      <c r="B7010" t="str">
        <f>"1551598787835163"</f>
        <v>1551598787835163</v>
      </c>
      <c r="C7010" t="s">
        <v>40</v>
      </c>
      <c r="D7010">
        <v>3.998075</v>
      </c>
      <c r="E7010">
        <v>0.34183799999999998</v>
      </c>
      <c r="F7010" t="s">
        <v>44</v>
      </c>
      <c r="G7010">
        <v>-420.88729999999998</v>
      </c>
      <c r="H7010">
        <v>1.0530219999999999</v>
      </c>
      <c r="I7010">
        <v>31.959980000000002</v>
      </c>
      <c r="J7010">
        <v>-421.42899999999997</v>
      </c>
      <c r="K7010">
        <v>1.127866</v>
      </c>
      <c r="L7010">
        <v>32.443570000000001</v>
      </c>
      <c r="M7010">
        <v>0.15251110000000001</v>
      </c>
      <c r="N7010">
        <v>-1.435727E-2</v>
      </c>
      <c r="O7010">
        <v>-0.98819760000000001</v>
      </c>
      <c r="P7010">
        <v>0.31858649999999999</v>
      </c>
      <c r="Q7010">
        <v>-2.7896790000000001E-2</v>
      </c>
      <c r="R7010">
        <v>-0.94748350000000003</v>
      </c>
      <c r="S7010">
        <v>2.099548</v>
      </c>
      <c r="T7010">
        <v>-0.26880999999999999</v>
      </c>
      <c r="U7010">
        <v>-2.471924</v>
      </c>
      <c r="V7010">
        <v>-0.1701058</v>
      </c>
      <c r="W7010">
        <v>-1.6423110000000001E-2</v>
      </c>
      <c r="X7010">
        <v>0.98528899999999997</v>
      </c>
      <c r="Y7010">
        <v>-0.52156650000000004</v>
      </c>
      <c r="Z7010">
        <v>7.166032E-2</v>
      </c>
      <c r="AA7010">
        <v>0.85019599999999995</v>
      </c>
      <c r="AB7010">
        <v>22</v>
      </c>
      <c r="AC7010">
        <v>0.54170000000004803</v>
      </c>
      <c r="AD7010">
        <v>-7.4844000000000105E-2</v>
      </c>
      <c r="AE7010">
        <v>-0.48359000000000302</v>
      </c>
      <c r="AF7010">
        <v>-0.45674915008075201</v>
      </c>
      <c r="AG7010">
        <v>-7.4844000000000105E-2</v>
      </c>
      <c r="AH7010">
        <v>0.55466311426269999</v>
      </c>
      <c r="AI7010">
        <v>95.946718624941298</v>
      </c>
      <c r="AJ7010">
        <v>129.470475436752</v>
      </c>
      <c r="AK7010">
        <v>0.72240748941237198</v>
      </c>
      <c r="AL7010">
        <v>90.941017140108997</v>
      </c>
      <c r="AM7010">
        <v>99.795304073718498</v>
      </c>
      <c r="AN7010">
        <v>1.0000000576283501</v>
      </c>
    </row>
    <row r="7011" spans="1:40" x14ac:dyDescent="0.25">
      <c r="A7011" t="str">
        <f>"20190303153947869"</f>
        <v>20190303153947869</v>
      </c>
      <c r="B7011" t="str">
        <f>"1551598787865404"</f>
        <v>1551598787865404</v>
      </c>
      <c r="C7011" t="s">
        <v>40</v>
      </c>
      <c r="D7011">
        <v>3.983851</v>
      </c>
      <c r="E7011">
        <v>0.34183709999999901</v>
      </c>
      <c r="F7011" t="s">
        <v>44</v>
      </c>
      <c r="G7011">
        <v>-420.84469999999999</v>
      </c>
      <c r="H7011">
        <v>1.057129</v>
      </c>
      <c r="I7011">
        <v>31.780110000000001</v>
      </c>
      <c r="J7011">
        <v>-421.38459999999998</v>
      </c>
      <c r="K7011">
        <v>1.1280859999999999</v>
      </c>
      <c r="L7011">
        <v>32.237180000000002</v>
      </c>
      <c r="M7011">
        <v>0.16338839999999999</v>
      </c>
      <c r="N7011">
        <v>-1.443377E-2</v>
      </c>
      <c r="O7011">
        <v>-0.98645629999999995</v>
      </c>
      <c r="P7011">
        <v>0.33315669999999997</v>
      </c>
      <c r="Q7011">
        <v>-2.9901960000000002E-2</v>
      </c>
      <c r="R7011">
        <v>-0.94239720000000005</v>
      </c>
      <c r="S7011">
        <v>2.145905</v>
      </c>
      <c r="T7011">
        <v>-0.25983460000000003</v>
      </c>
      <c r="U7011">
        <v>-2.437103</v>
      </c>
      <c r="V7011">
        <v>-0.1744078</v>
      </c>
      <c r="W7011">
        <v>-1.8530399999999999E-2</v>
      </c>
      <c r="X7011">
        <v>0.98449920000000002</v>
      </c>
      <c r="Y7011">
        <v>-0.52745280000000005</v>
      </c>
      <c r="Z7011">
        <v>6.8891010000000003E-2</v>
      </c>
      <c r="AA7011">
        <v>0.8467867</v>
      </c>
      <c r="AB7011">
        <v>22</v>
      </c>
      <c r="AC7011">
        <v>0.53989999999998795</v>
      </c>
      <c r="AD7011">
        <v>-7.0957000000000103E-2</v>
      </c>
      <c r="AE7011">
        <v>-0.45707000000000497</v>
      </c>
      <c r="AF7011">
        <v>-0.453393611640237</v>
      </c>
      <c r="AG7011">
        <v>-7.0957000000000103E-2</v>
      </c>
      <c r="AH7011">
        <v>0.53377841896770295</v>
      </c>
      <c r="AI7011">
        <v>95.785294575375701</v>
      </c>
      <c r="AJ7011">
        <v>130.344711355995</v>
      </c>
      <c r="AK7011">
        <v>0.70393185997001095</v>
      </c>
      <c r="AL7011">
        <v>91.061774413525001</v>
      </c>
      <c r="AM7011">
        <v>100.04593971794399</v>
      </c>
      <c r="AN7011">
        <v>1.0000000656128101</v>
      </c>
    </row>
    <row r="7012" spans="1:40" x14ac:dyDescent="0.25">
      <c r="A7012" t="str">
        <f>"20190303153947892"</f>
        <v>20190303153947892</v>
      </c>
      <c r="B7012" t="str">
        <f>"1551598787885431"</f>
        <v>1551598787885431</v>
      </c>
      <c r="C7012" t="s">
        <v>40</v>
      </c>
      <c r="D7012">
        <v>3.9646699999999999</v>
      </c>
      <c r="E7012">
        <v>0.34230369999999999</v>
      </c>
      <c r="F7012" t="s">
        <v>44</v>
      </c>
      <c r="G7012">
        <v>-420.80520000000001</v>
      </c>
      <c r="H7012">
        <v>1.059102</v>
      </c>
      <c r="I7012">
        <v>31.599270000000001</v>
      </c>
      <c r="J7012">
        <v>-421.3356</v>
      </c>
      <c r="K7012">
        <v>1.128312</v>
      </c>
      <c r="L7012">
        <v>32.025209999999902</v>
      </c>
      <c r="M7012">
        <v>0.17503339999999901</v>
      </c>
      <c r="N7012">
        <v>-1.451306E-2</v>
      </c>
      <c r="O7012">
        <v>-0.98445570000000004</v>
      </c>
      <c r="P7012">
        <v>0.34828720000000002</v>
      </c>
      <c r="Q7012">
        <v>-3.1378900000000001E-2</v>
      </c>
      <c r="R7012">
        <v>-0.93686290000000005</v>
      </c>
      <c r="S7012">
        <v>2.1834410000000002</v>
      </c>
      <c r="T7012">
        <v>-0.25989440000000003</v>
      </c>
      <c r="U7012">
        <v>-2.4032290000000001</v>
      </c>
      <c r="V7012">
        <v>-0.17859720000000001</v>
      </c>
      <c r="W7012">
        <v>-2.0108020000000001E-2</v>
      </c>
      <c r="X7012">
        <v>0.98371679999999995</v>
      </c>
      <c r="Y7012">
        <v>-0.53059579999999995</v>
      </c>
      <c r="Z7012">
        <v>6.9057839999999995E-2</v>
      </c>
      <c r="AA7012">
        <v>0.84480710000000003</v>
      </c>
      <c r="AB7012">
        <v>22</v>
      </c>
      <c r="AC7012">
        <v>0.53039999999998599</v>
      </c>
      <c r="AD7012">
        <v>-6.9209999999999994E-2</v>
      </c>
      <c r="AE7012">
        <v>-0.42593999999999299</v>
      </c>
      <c r="AF7012">
        <v>-0.44306240289237703</v>
      </c>
      <c r="AG7012">
        <v>-6.9209999999999994E-2</v>
      </c>
      <c r="AH7012">
        <v>0.50696294125784702</v>
      </c>
      <c r="AI7012">
        <v>95.869057639768897</v>
      </c>
      <c r="AJ7012">
        <v>131.15197133615101</v>
      </c>
      <c r="AK7012">
        <v>0.676835091263429</v>
      </c>
      <c r="AL7012">
        <v>91.152182313263694</v>
      </c>
      <c r="AM7012">
        <v>100.29016433739901</v>
      </c>
      <c r="AN7012">
        <v>1.0000000174592001</v>
      </c>
    </row>
    <row r="7013" spans="1:40" x14ac:dyDescent="0.25">
      <c r="A7013" t="str">
        <f>"20190303153947914"</f>
        <v>20190303153947914</v>
      </c>
      <c r="B7013" t="str">
        <f>"1551598787905926"</f>
        <v>1551598787905926</v>
      </c>
      <c r="C7013" t="s">
        <v>40</v>
      </c>
      <c r="D7013">
        <v>3.9943399999999998</v>
      </c>
      <c r="E7013">
        <v>0.34279199999999999</v>
      </c>
      <c r="F7013" t="s">
        <v>44</v>
      </c>
      <c r="G7013">
        <v>-420.6345</v>
      </c>
      <c r="H7013">
        <v>1.04525</v>
      </c>
      <c r="I7013">
        <v>31.276299999999999</v>
      </c>
      <c r="J7013">
        <v>-421.28500000000003</v>
      </c>
      <c r="K7013">
        <v>1.1285179999999999</v>
      </c>
      <c r="L7013">
        <v>31.819089999999999</v>
      </c>
      <c r="M7013">
        <v>0.1867714</v>
      </c>
      <c r="N7013">
        <v>-1.4590260000000001E-2</v>
      </c>
      <c r="O7013">
        <v>-0.98229520000000003</v>
      </c>
      <c r="P7013">
        <v>0.3615389</v>
      </c>
      <c r="Q7013">
        <v>-3.1816879999999999E-2</v>
      </c>
      <c r="R7013">
        <v>-0.93181400000000003</v>
      </c>
      <c r="S7013">
        <v>2.2182919999999999</v>
      </c>
      <c r="T7013">
        <v>-0.26272620000000002</v>
      </c>
      <c r="U7013">
        <v>-2.3687130000000001</v>
      </c>
      <c r="V7013">
        <v>-0.1807916</v>
      </c>
      <c r="W7013">
        <v>-2.0602559999999999E-2</v>
      </c>
      <c r="X7013">
        <v>0.9833056</v>
      </c>
      <c r="Y7013">
        <v>-0.533188</v>
      </c>
      <c r="Z7013">
        <v>7.0134589999999997E-2</v>
      </c>
      <c r="AA7013">
        <v>0.84308470000000002</v>
      </c>
      <c r="AB7013">
        <v>21</v>
      </c>
      <c r="AC7013">
        <v>0.65050000000002195</v>
      </c>
      <c r="AD7013">
        <v>-8.3268000000000106E-2</v>
      </c>
      <c r="AE7013">
        <v>-0.54279000000000299</v>
      </c>
      <c r="AF7013">
        <v>-0.53251848497631005</v>
      </c>
      <c r="AG7013">
        <v>-8.3268000000000106E-2</v>
      </c>
      <c r="AH7013">
        <v>0.64848018621536796</v>
      </c>
      <c r="AI7013">
        <v>95.667131885343096</v>
      </c>
      <c r="AJ7013">
        <v>129.39213055819499</v>
      </c>
      <c r="AK7013">
        <v>0.84322953493066399</v>
      </c>
      <c r="AL7013">
        <v>91.180523277500299</v>
      </c>
      <c r="AM7013">
        <v>100.418107791487</v>
      </c>
      <c r="AN7013">
        <v>0.99999998555023595</v>
      </c>
    </row>
    <row r="7014" spans="1:40" x14ac:dyDescent="0.25">
      <c r="A7014" t="str">
        <f>"20190303153947936"</f>
        <v>20190303153947936</v>
      </c>
      <c r="B7014" t="str">
        <f>"1551598787925447"</f>
        <v>1551598787925447</v>
      </c>
      <c r="C7014" t="s">
        <v>40</v>
      </c>
      <c r="D7014">
        <v>3.9897870000000002</v>
      </c>
      <c r="E7014">
        <v>0.34332200000000002</v>
      </c>
      <c r="F7014" t="s">
        <v>44</v>
      </c>
      <c r="G7014">
        <v>-420.59199999999998</v>
      </c>
      <c r="H7014">
        <v>1.0475650000000001</v>
      </c>
      <c r="I7014">
        <v>31.097999999999999</v>
      </c>
      <c r="J7014">
        <v>-421.23489999999998</v>
      </c>
      <c r="K7014">
        <v>1.1286700000000001</v>
      </c>
      <c r="L7014">
        <v>31.6264</v>
      </c>
      <c r="M7014">
        <v>0.1980584</v>
      </c>
      <c r="N7014">
        <v>-1.465966E-2</v>
      </c>
      <c r="O7014">
        <v>-0.98008079999999997</v>
      </c>
      <c r="P7014">
        <v>0.37545339999999999</v>
      </c>
      <c r="Q7014">
        <v>-3.146065E-2</v>
      </c>
      <c r="R7014">
        <v>-0.92630729999999994</v>
      </c>
      <c r="S7014">
        <v>2.2481080000000002</v>
      </c>
      <c r="T7014">
        <v>-0.26252370000000003</v>
      </c>
      <c r="U7014">
        <v>-2.3383180000000001</v>
      </c>
      <c r="V7014">
        <v>-0.18420069999999999</v>
      </c>
      <c r="W7014">
        <v>-2.0316600000000001E-2</v>
      </c>
      <c r="X7014">
        <v>0.98267870000000002</v>
      </c>
      <c r="Y7014">
        <v>-0.53451789999999999</v>
      </c>
      <c r="Z7014">
        <v>7.0227029999999996E-2</v>
      </c>
      <c r="AA7014">
        <v>0.84223440000000005</v>
      </c>
      <c r="AB7014">
        <v>21</v>
      </c>
      <c r="AC7014">
        <v>0.64289999999999703</v>
      </c>
      <c r="AD7014">
        <v>-8.1105000000000205E-2</v>
      </c>
      <c r="AE7014">
        <v>-0.52839999999999698</v>
      </c>
      <c r="AF7014">
        <v>-0.52055174804640403</v>
      </c>
      <c r="AG7014">
        <v>-8.1105000000000205E-2</v>
      </c>
      <c r="AH7014">
        <v>0.63920411841259095</v>
      </c>
      <c r="AI7014">
        <v>95.6190405177625</v>
      </c>
      <c r="AJ7014">
        <v>129.15850435269101</v>
      </c>
      <c r="AK7014">
        <v>0.82833208824407201</v>
      </c>
      <c r="AL7014">
        <v>91.164135476877505</v>
      </c>
      <c r="AM7014">
        <v>100.616751316162</v>
      </c>
      <c r="AN7014">
        <v>1.00000004477486</v>
      </c>
    </row>
    <row r="7015" spans="1:40" x14ac:dyDescent="0.25">
      <c r="A7015" t="str">
        <f>"20190303153947947"</f>
        <v>20190303153947947</v>
      </c>
      <c r="B7015" t="str">
        <f>"1551598787945943"</f>
        <v>1551598787945943</v>
      </c>
      <c r="C7015" t="s">
        <v>40</v>
      </c>
      <c r="D7015">
        <v>3.9807670000000002</v>
      </c>
      <c r="E7015">
        <v>0.34372609999999998</v>
      </c>
      <c r="F7015" t="s">
        <v>44</v>
      </c>
      <c r="G7015">
        <v>-420.54070000000002</v>
      </c>
      <c r="H7015">
        <v>1.049113</v>
      </c>
      <c r="I7015">
        <v>30.9236</v>
      </c>
      <c r="J7015">
        <v>-421.20429999999999</v>
      </c>
      <c r="K7015">
        <v>1.1287499999999999</v>
      </c>
      <c r="L7015">
        <v>31.512450000000001</v>
      </c>
      <c r="M7015">
        <v>0.20484469999999999</v>
      </c>
      <c r="N7015">
        <v>-1.469867E-2</v>
      </c>
      <c r="O7015">
        <v>-0.97868409999999995</v>
      </c>
      <c r="P7015">
        <v>0.38343290000000002</v>
      </c>
      <c r="Q7015">
        <v>-3.107335E-2</v>
      </c>
      <c r="R7015">
        <v>-0.92304600000000003</v>
      </c>
      <c r="S7015">
        <v>2.2789000000000001</v>
      </c>
      <c r="T7015">
        <v>-0.26106699999999999</v>
      </c>
      <c r="U7015">
        <v>-2.3061219999999998</v>
      </c>
      <c r="V7015">
        <v>-0.1858718</v>
      </c>
      <c r="W7015">
        <v>-1.9961340000000001E-2</v>
      </c>
      <c r="X7015">
        <v>0.9823712</v>
      </c>
      <c r="Y7015">
        <v>-0.54023209999999999</v>
      </c>
      <c r="Z7015">
        <v>6.9936429999999994E-2</v>
      </c>
      <c r="AA7015">
        <v>0.83860489999999999</v>
      </c>
      <c r="AB7015">
        <v>21</v>
      </c>
      <c r="AC7015">
        <v>0.66359999999997399</v>
      </c>
      <c r="AD7015">
        <v>-7.9636999999999902E-2</v>
      </c>
      <c r="AE7015">
        <v>-0.58884999999999998</v>
      </c>
      <c r="AF7015">
        <v>-0.52466170426564895</v>
      </c>
      <c r="AG7015">
        <v>-7.9636999999999902E-2</v>
      </c>
      <c r="AH7015">
        <v>0.70661654792673201</v>
      </c>
      <c r="AI7015">
        <v>95.170400105462207</v>
      </c>
      <c r="AJ7015">
        <v>126.593829806564</v>
      </c>
      <c r="AK7015">
        <v>0.88369615903648002</v>
      </c>
      <c r="AL7015">
        <v>91.143776526591907</v>
      </c>
      <c r="AM7015">
        <v>100.714124702658</v>
      </c>
      <c r="AN7015">
        <v>0.99999997785963701</v>
      </c>
    </row>
    <row r="7016" spans="1:40" x14ac:dyDescent="0.25">
      <c r="A7016" t="str">
        <f>"20190303153947961"</f>
        <v>20190303153947961</v>
      </c>
      <c r="B7016" t="str">
        <f>"1551598787955704"</f>
        <v>1551598787955704</v>
      </c>
      <c r="C7016" t="s">
        <v>40</v>
      </c>
      <c r="D7016">
        <v>4.0070569999999996</v>
      </c>
      <c r="E7016">
        <v>0.34391559999999999</v>
      </c>
      <c r="F7016" t="s">
        <v>44</v>
      </c>
      <c r="G7016">
        <v>-420.59120000000001</v>
      </c>
      <c r="H7016">
        <v>1.0596019999999999</v>
      </c>
      <c r="I7016">
        <v>30.901129999999998</v>
      </c>
      <c r="J7016">
        <v>-421.17270000000002</v>
      </c>
      <c r="K7016">
        <v>1.1288180000000001</v>
      </c>
      <c r="L7016">
        <v>31.40024</v>
      </c>
      <c r="M7016">
        <v>0.21167420000000001</v>
      </c>
      <c r="N7016">
        <v>-1.4734819999999999E-2</v>
      </c>
      <c r="O7016">
        <v>-0.97722920000000002</v>
      </c>
      <c r="P7016">
        <v>0.3911017</v>
      </c>
      <c r="Q7016">
        <v>-3.1261690000000002E-2</v>
      </c>
      <c r="R7016">
        <v>-0.91981659999999998</v>
      </c>
      <c r="S7016">
        <v>2.2956240000000001</v>
      </c>
      <c r="T7016">
        <v>-0.25879619999999998</v>
      </c>
      <c r="U7016">
        <v>-2.287811</v>
      </c>
      <c r="V7016">
        <v>-0.1871815</v>
      </c>
      <c r="W7016">
        <v>-2.0171910000000001E-2</v>
      </c>
      <c r="X7016">
        <v>0.98211820000000005</v>
      </c>
      <c r="Y7016">
        <v>-0.54080280000000003</v>
      </c>
      <c r="Z7016">
        <v>6.9313910000000006E-2</v>
      </c>
      <c r="AA7016">
        <v>0.838288699999999</v>
      </c>
      <c r="AB7016">
        <v>21</v>
      </c>
      <c r="AC7016">
        <v>0.58150000000000501</v>
      </c>
      <c r="AD7016">
        <v>-6.9216000000000097E-2</v>
      </c>
      <c r="AE7016">
        <v>-0.49911000000000499</v>
      </c>
      <c r="AF7016">
        <v>-0.45891642498383201</v>
      </c>
      <c r="AG7016">
        <v>-6.9216000000000097E-2</v>
      </c>
      <c r="AH7016">
        <v>0.60595630007790302</v>
      </c>
      <c r="AI7016">
        <v>95.202942981868702</v>
      </c>
      <c r="AJ7016">
        <v>127.138192364318</v>
      </c>
      <c r="AK7016">
        <v>0.76326809010991903</v>
      </c>
      <c r="AL7016">
        <v>91.155843715701494</v>
      </c>
      <c r="AM7016">
        <v>100.79056728850099</v>
      </c>
      <c r="AN7016">
        <v>0.99999998933326895</v>
      </c>
    </row>
    <row r="7017" spans="1:40" x14ac:dyDescent="0.25">
      <c r="A7017" t="str">
        <f>"20190303153947975"</f>
        <v>20190303153947975</v>
      </c>
      <c r="B7017" t="str">
        <f>"1551598787965463"</f>
        <v>1551598787965463</v>
      </c>
      <c r="C7017" t="s">
        <v>40</v>
      </c>
      <c r="D7017">
        <v>3.9910269999999999</v>
      </c>
      <c r="E7017">
        <v>0.34391559999999999</v>
      </c>
      <c r="F7017" t="s">
        <v>44</v>
      </c>
      <c r="G7017">
        <v>-420.50290000000001</v>
      </c>
      <c r="H7017">
        <v>1.0539259999999999</v>
      </c>
      <c r="I7017">
        <v>30.743130000000001</v>
      </c>
      <c r="J7017">
        <v>-421.13720000000001</v>
      </c>
      <c r="K7017">
        <v>1.128889</v>
      </c>
      <c r="L7017">
        <v>31.277159999999999</v>
      </c>
      <c r="M7017">
        <v>0.21924550000000001</v>
      </c>
      <c r="N7017">
        <v>-1.477349E-2</v>
      </c>
      <c r="O7017">
        <v>-0.97555789999999998</v>
      </c>
      <c r="P7017">
        <v>0.39930949999999998</v>
      </c>
      <c r="Q7017">
        <v>-3.0885079999999999E-2</v>
      </c>
      <c r="R7017">
        <v>-0.91629579999999999</v>
      </c>
      <c r="S7017">
        <v>2.3134459999999999</v>
      </c>
      <c r="T7017">
        <v>-0.25862210000000002</v>
      </c>
      <c r="U7017">
        <v>-2.2690730000000001</v>
      </c>
      <c r="V7017">
        <v>-0.18834699999999999</v>
      </c>
      <c r="W7017">
        <v>-1.981432E-2</v>
      </c>
      <c r="X7017">
        <v>0.98190270000000002</v>
      </c>
      <c r="Y7017">
        <v>-0.54097439999999997</v>
      </c>
      <c r="Z7017">
        <v>6.9340349999999995E-2</v>
      </c>
      <c r="AA7017">
        <v>0.83817580000000003</v>
      </c>
      <c r="AB7017">
        <v>21</v>
      </c>
      <c r="AC7017">
        <v>0.63429999999999598</v>
      </c>
      <c r="AD7017">
        <v>-7.4963000000000099E-2</v>
      </c>
      <c r="AE7017">
        <v>-0.534030000000001</v>
      </c>
      <c r="AF7017">
        <v>-0.49769952099458398</v>
      </c>
      <c r="AG7017">
        <v>-7.4963000000000099E-2</v>
      </c>
      <c r="AH7017">
        <v>0.65476493456094398</v>
      </c>
      <c r="AI7017">
        <v>95.207897259686902</v>
      </c>
      <c r="AJ7017">
        <v>127.23916968434099</v>
      </c>
      <c r="AK7017">
        <v>0.82585796847753201</v>
      </c>
      <c r="AL7017">
        <v>91.135351145816998</v>
      </c>
      <c r="AM7017">
        <v>100.85848974482499</v>
      </c>
      <c r="AN7017">
        <v>1.00000005597667</v>
      </c>
    </row>
    <row r="7018" spans="1:40" x14ac:dyDescent="0.25">
      <c r="A7018" t="str">
        <f>"20190303153947989"</f>
        <v>20190303153947989</v>
      </c>
      <c r="B7018" t="str">
        <f>"1551598787985403"</f>
        <v>1551598787985403</v>
      </c>
      <c r="C7018" t="s">
        <v>40</v>
      </c>
      <c r="D7018">
        <v>4.0398230000000002</v>
      </c>
      <c r="E7018">
        <v>0.34259709999999899</v>
      </c>
      <c r="F7018" t="s">
        <v>44</v>
      </c>
      <c r="G7018">
        <v>-420.41849999999999</v>
      </c>
      <c r="H7018">
        <v>1.0499620000000001</v>
      </c>
      <c r="I7018">
        <v>30.58437</v>
      </c>
      <c r="J7018">
        <v>-421.1003</v>
      </c>
      <c r="K7018">
        <v>1.12896</v>
      </c>
      <c r="L7018">
        <v>31.1525</v>
      </c>
      <c r="M7018">
        <v>0.2270153</v>
      </c>
      <c r="N7018">
        <v>-1.481183E-2</v>
      </c>
      <c r="O7018">
        <v>-0.97377860000000005</v>
      </c>
      <c r="P7018">
        <v>0.40792919999999999</v>
      </c>
      <c r="Q7018">
        <v>-3.048623E-2</v>
      </c>
      <c r="R7018">
        <v>-0.91250469999999895</v>
      </c>
      <c r="S7018">
        <v>2.333923</v>
      </c>
      <c r="T7018">
        <v>-0.25616899999999998</v>
      </c>
      <c r="U7018">
        <v>-2.248291</v>
      </c>
      <c r="V7018">
        <v>-0.18977620000000001</v>
      </c>
      <c r="W7018">
        <v>-1.9440550000000001E-2</v>
      </c>
      <c r="X7018">
        <v>0.98163489999999998</v>
      </c>
      <c r="Y7018">
        <v>-0.54186049999999997</v>
      </c>
      <c r="Z7018">
        <v>6.8632029999999997E-2</v>
      </c>
      <c r="AA7018">
        <v>0.83766149999999995</v>
      </c>
      <c r="AB7018">
        <v>21</v>
      </c>
      <c r="AC7018">
        <v>0.68180000000000895</v>
      </c>
      <c r="AD7018">
        <v>-7.8997999999999902E-2</v>
      </c>
      <c r="AE7018">
        <v>-0.56813000000000002</v>
      </c>
      <c r="AF7018">
        <v>-0.53080094155289603</v>
      </c>
      <c r="AG7018">
        <v>-7.8997999999999902E-2</v>
      </c>
      <c r="AH7018">
        <v>0.70252311037313797</v>
      </c>
      <c r="AI7018">
        <v>95.1267938783229</v>
      </c>
      <c r="AJ7018">
        <v>127.07336938765999</v>
      </c>
      <c r="AK7018">
        <v>0.88404131360801796</v>
      </c>
      <c r="AL7018">
        <v>91.113931629541497</v>
      </c>
      <c r="AM7018">
        <v>100.94181702506501</v>
      </c>
      <c r="AN7018">
        <v>1.0000000089843699</v>
      </c>
    </row>
    <row r="7019" spans="1:40" x14ac:dyDescent="0.25">
      <c r="A7019" t="str">
        <f>"20190303153948001"</f>
        <v>20190303153948001</v>
      </c>
      <c r="B7019" t="str">
        <f>"1551598787996141"</f>
        <v>1551598787996141</v>
      </c>
      <c r="C7019" t="s">
        <v>40</v>
      </c>
      <c r="D7019">
        <v>4.1174589999999904</v>
      </c>
      <c r="E7019">
        <v>0.30456519999999998</v>
      </c>
      <c r="F7019" t="s">
        <v>44</v>
      </c>
      <c r="G7019">
        <v>-420.47030000000001</v>
      </c>
      <c r="H7019">
        <v>1.0610440000000001</v>
      </c>
      <c r="I7019">
        <v>30.559920000000002</v>
      </c>
      <c r="J7019">
        <v>-421.06349999999998</v>
      </c>
      <c r="K7019">
        <v>1.129033</v>
      </c>
      <c r="L7019">
        <v>31.033570000000001</v>
      </c>
      <c r="M7019">
        <v>0.23458970000000001</v>
      </c>
      <c r="N7019">
        <v>-1.484972E-2</v>
      </c>
      <c r="O7019">
        <v>-0.97198130000000005</v>
      </c>
      <c r="P7019">
        <v>0.41609279999999998</v>
      </c>
      <c r="Q7019">
        <v>-3.0413630000000001E-2</v>
      </c>
      <c r="R7019">
        <v>-0.90881389999999995</v>
      </c>
      <c r="S7019">
        <v>2.3646240000000001</v>
      </c>
      <c r="T7019">
        <v>-0.25471349999999998</v>
      </c>
      <c r="U7019">
        <v>-2.2220759999999999</v>
      </c>
      <c r="V7019">
        <v>-0.19093060000000001</v>
      </c>
      <c r="W7019">
        <v>-1.9386569999999999E-2</v>
      </c>
      <c r="X7019">
        <v>0.98141210000000001</v>
      </c>
      <c r="Y7019">
        <v>-0.54571400000000003</v>
      </c>
      <c r="Z7019">
        <v>6.8178589999999997E-2</v>
      </c>
      <c r="AA7019">
        <v>0.83519339999999997</v>
      </c>
      <c r="AB7019">
        <v>21</v>
      </c>
      <c r="AC7019">
        <v>0.59319999999996698</v>
      </c>
      <c r="AD7019">
        <v>-6.79889999999998E-2</v>
      </c>
      <c r="AE7019">
        <v>-0.47364999999999902</v>
      </c>
      <c r="AF7019">
        <v>-0.46181246568422202</v>
      </c>
      <c r="AG7019">
        <v>-6.79889999999998E-2</v>
      </c>
      <c r="AH7019">
        <v>0.59483179766122696</v>
      </c>
      <c r="AI7019">
        <v>95.1589020328054</v>
      </c>
      <c r="AJ7019">
        <v>127.824866601358</v>
      </c>
      <c r="AK7019">
        <v>0.75612044350832597</v>
      </c>
      <c r="AL7019">
        <v>91.110838206422201</v>
      </c>
      <c r="AM7019">
        <v>101.009192558387</v>
      </c>
      <c r="AN7019">
        <v>1.0000000215695599</v>
      </c>
    </row>
    <row r="7020" spans="1:40" x14ac:dyDescent="0.25">
      <c r="A7020" t="str">
        <f>"20190303153948014"</f>
        <v>20190303153948014</v>
      </c>
      <c r="B7020" t="str">
        <f>"1551598788005900"</f>
        <v>1551598788005900</v>
      </c>
      <c r="C7020" t="s">
        <v>40</v>
      </c>
      <c r="D7020">
        <v>4.1684010000000002</v>
      </c>
      <c r="E7020">
        <v>0.30332100000000001</v>
      </c>
      <c r="F7020" t="s">
        <v>44</v>
      </c>
      <c r="G7020">
        <v>-420.3039</v>
      </c>
      <c r="H7020">
        <v>1.040149</v>
      </c>
      <c r="I7020">
        <v>30.44126</v>
      </c>
      <c r="J7020">
        <v>-421.02870000000001</v>
      </c>
      <c r="K7020">
        <v>1.129105</v>
      </c>
      <c r="L7020">
        <v>30.923279999999998</v>
      </c>
      <c r="M7020">
        <v>0.24167420000000001</v>
      </c>
      <c r="N7020">
        <v>-1.4884959999999999E-2</v>
      </c>
      <c r="O7020">
        <v>-0.97024359999999998</v>
      </c>
      <c r="P7020">
        <v>0.42517470000000002</v>
      </c>
      <c r="Q7020">
        <v>-2.9139140000000001E-2</v>
      </c>
      <c r="R7020">
        <v>-0.90464279999999997</v>
      </c>
      <c r="S7020">
        <v>2.6588440000000002</v>
      </c>
      <c r="T7020">
        <v>-0.31111860000000002</v>
      </c>
      <c r="U7020">
        <v>-2.0733030000000001</v>
      </c>
      <c r="V7020">
        <v>-0.1936097</v>
      </c>
      <c r="W7020">
        <v>-1.8164349999999999E-2</v>
      </c>
      <c r="X7020">
        <v>0.98091050000000002</v>
      </c>
      <c r="Y7020">
        <v>-0.61343190000000003</v>
      </c>
      <c r="Z7020">
        <v>8.3652710000000005E-2</v>
      </c>
      <c r="AA7020">
        <v>0.78530480000000003</v>
      </c>
      <c r="AB7020">
        <v>21</v>
      </c>
      <c r="AC7020">
        <v>0.72480000000001599</v>
      </c>
      <c r="AD7020">
        <v>-8.8955999999999993E-2</v>
      </c>
      <c r="AE7020">
        <v>-0.482020000000002</v>
      </c>
      <c r="AF7020">
        <v>-0.58074035564664706</v>
      </c>
      <c r="AG7020">
        <v>-8.8955999999999993E-2</v>
      </c>
      <c r="AH7020">
        <v>0.63626814044052504</v>
      </c>
      <c r="AI7020">
        <v>95.895642027093999</v>
      </c>
      <c r="AJ7020">
        <v>132.38760842511101</v>
      </c>
      <c r="AK7020">
        <v>0.86603099087286595</v>
      </c>
      <c r="AL7020">
        <v>91.040797796368906</v>
      </c>
      <c r="AM7020">
        <v>101.165382982715</v>
      </c>
      <c r="AN7020">
        <v>1.0000000342776301</v>
      </c>
    </row>
    <row r="7021" spans="1:40" x14ac:dyDescent="0.25">
      <c r="A7021" t="str">
        <f>"20190303153948027"</f>
        <v>20190303153948027</v>
      </c>
      <c r="B7021" t="str">
        <f>"1551598788015660"</f>
        <v>1551598788015660</v>
      </c>
      <c r="C7021" t="s">
        <v>40</v>
      </c>
      <c r="D7021">
        <v>4.1969529999999997</v>
      </c>
      <c r="E7021">
        <v>0.30379060000000002</v>
      </c>
      <c r="F7021" t="s">
        <v>63</v>
      </c>
      <c r="G7021">
        <v>-410.90019999999998</v>
      </c>
      <c r="H7021" s="1">
        <v>-9.8166179999999994E-6</v>
      </c>
      <c r="I7021">
        <v>23.232309999999998</v>
      </c>
      <c r="J7021">
        <v>-420.99239999999998</v>
      </c>
      <c r="K7021">
        <v>1.1291739999999999</v>
      </c>
      <c r="L7021">
        <v>30.811430000000001</v>
      </c>
      <c r="M7021">
        <v>0.24893940000000001</v>
      </c>
      <c r="N7021">
        <v>-1.492102E-2</v>
      </c>
      <c r="O7021">
        <v>-0.96840420000000005</v>
      </c>
      <c r="P7021">
        <v>0.4329829</v>
      </c>
      <c r="Q7021">
        <v>-2.907879E-2</v>
      </c>
      <c r="R7021">
        <v>-0.90093299999999998</v>
      </c>
      <c r="S7021">
        <v>2.6897280000000001</v>
      </c>
      <c r="T7021">
        <v>-0.29984840000000001</v>
      </c>
      <c r="U7021">
        <v>-2.0424190000000002</v>
      </c>
      <c r="V7021">
        <v>-0.1947393</v>
      </c>
      <c r="W7021">
        <v>-1.812443E-2</v>
      </c>
      <c r="X7021">
        <v>0.98068759999999999</v>
      </c>
      <c r="Y7021">
        <v>-0.61783580000000005</v>
      </c>
      <c r="Z7021">
        <v>8.018459E-2</v>
      </c>
      <c r="AA7021">
        <v>0.78220800000000001</v>
      </c>
      <c r="AB7021">
        <v>21</v>
      </c>
      <c r="AC7021">
        <v>10.092199999999901</v>
      </c>
      <c r="AD7021">
        <v>-1.1291838166179999</v>
      </c>
      <c r="AE7021">
        <v>-7.5791199999999899</v>
      </c>
      <c r="AF7021">
        <v>-7.8248321049612599</v>
      </c>
      <c r="AG7021">
        <v>-1.1291838166179999</v>
      </c>
      <c r="AH7021">
        <v>9.7748527141576496</v>
      </c>
      <c r="AI7021">
        <v>95.153171558765806</v>
      </c>
      <c r="AJ7021">
        <v>128.67749551807</v>
      </c>
      <c r="AK7021">
        <v>12.571825609115701</v>
      </c>
      <c r="AL7021">
        <v>91.0385101774406</v>
      </c>
      <c r="AM7021">
        <v>101.23136316394999</v>
      </c>
      <c r="AN7021">
        <v>1.00000002936053</v>
      </c>
    </row>
    <row r="7022" spans="1:40" x14ac:dyDescent="0.25">
      <c r="A7022" t="str">
        <f>"20190303153948042"</f>
        <v>20190303153948042</v>
      </c>
      <c r="B7022" t="str">
        <f>"1551598788035181"</f>
        <v>1551598788035181</v>
      </c>
      <c r="C7022" t="s">
        <v>40</v>
      </c>
      <c r="D7022">
        <v>4.1402099999999997</v>
      </c>
      <c r="E7022">
        <v>0.30470829999999999</v>
      </c>
      <c r="F7022" t="s">
        <v>44</v>
      </c>
      <c r="G7022">
        <v>-420.2604</v>
      </c>
      <c r="H7022">
        <v>1.0485719999999901</v>
      </c>
      <c r="I7022">
        <v>30.264230000000001</v>
      </c>
      <c r="J7022">
        <v>-420.95260000000002</v>
      </c>
      <c r="K7022">
        <v>1.1292500000000001</v>
      </c>
      <c r="L7022">
        <v>30.693210000000001</v>
      </c>
      <c r="M7022">
        <v>0.25674459999999999</v>
      </c>
      <c r="N7022">
        <v>-1.495902E-2</v>
      </c>
      <c r="O7022">
        <v>-0.96636369999999905</v>
      </c>
      <c r="P7022">
        <v>0.44033090000000003</v>
      </c>
      <c r="Q7022">
        <v>-2.9053510000000001E-2</v>
      </c>
      <c r="R7022">
        <v>-0.89736559999999899</v>
      </c>
      <c r="S7022">
        <v>2.7043149999999998</v>
      </c>
      <c r="T7022">
        <v>-0.29766789999999999</v>
      </c>
      <c r="U7022">
        <v>-2.0205989999999998</v>
      </c>
      <c r="V7022">
        <v>-0.1948385</v>
      </c>
      <c r="W7022">
        <v>-1.809676E-2</v>
      </c>
      <c r="X7022">
        <v>0.9806684</v>
      </c>
      <c r="Y7022">
        <v>-0.61761369999999904</v>
      </c>
      <c r="Z7022">
        <v>7.9642760000000007E-2</v>
      </c>
      <c r="AA7022">
        <v>0.78243879999999999</v>
      </c>
      <c r="AB7022">
        <v>21</v>
      </c>
      <c r="AC7022">
        <v>0.69220000000001303</v>
      </c>
      <c r="AD7022">
        <v>-8.0678000000000194E-2</v>
      </c>
      <c r="AE7022">
        <v>-0.42897999999999897</v>
      </c>
      <c r="AF7022">
        <v>-0.55340938830063002</v>
      </c>
      <c r="AG7022">
        <v>-8.0678000000000194E-2</v>
      </c>
      <c r="AH7022">
        <v>0.58657823634978901</v>
      </c>
      <c r="AI7022">
        <v>95.7130262652516</v>
      </c>
      <c r="AJ7022">
        <v>133.33340384153999</v>
      </c>
      <c r="AK7022">
        <v>0.81045969554476105</v>
      </c>
      <c r="AL7022">
        <v>91.036924550548704</v>
      </c>
      <c r="AM7022">
        <v>101.237153266028</v>
      </c>
      <c r="AN7022">
        <v>1.0000000222816501</v>
      </c>
    </row>
    <row r="7023" spans="1:40" x14ac:dyDescent="0.25">
      <c r="A7023" t="str">
        <f>"20190303153948055"</f>
        <v>20190303153948055</v>
      </c>
      <c r="B7023" t="str">
        <f>"1551598788045916"</f>
        <v>1551598788045916</v>
      </c>
      <c r="C7023" t="s">
        <v>40</v>
      </c>
      <c r="D7023">
        <v>4.1785040000000002</v>
      </c>
      <c r="E7023">
        <v>0.30545679999999997</v>
      </c>
      <c r="F7023" t="s">
        <v>44</v>
      </c>
      <c r="G7023">
        <v>-420.16489999999999</v>
      </c>
      <c r="H7023">
        <v>1.042702</v>
      </c>
      <c r="I7023">
        <v>30.11261</v>
      </c>
      <c r="J7023">
        <v>-420.90969999999999</v>
      </c>
      <c r="K7023">
        <v>1.1293219999999999</v>
      </c>
      <c r="L7023">
        <v>30.56906</v>
      </c>
      <c r="M7023">
        <v>0.26501829999999998</v>
      </c>
      <c r="N7023">
        <v>-1.499781E-2</v>
      </c>
      <c r="O7023">
        <v>-0.96412679999999995</v>
      </c>
      <c r="P7023">
        <v>0.4474881</v>
      </c>
      <c r="Q7023">
        <v>-2.9609819999999999E-2</v>
      </c>
      <c r="R7023">
        <v>-0.89379969999999997</v>
      </c>
      <c r="S7023">
        <v>2.7144469999999998</v>
      </c>
      <c r="T7023">
        <v>-0.29832429999999999</v>
      </c>
      <c r="U7023">
        <v>-2.0014949999999998</v>
      </c>
      <c r="V7023">
        <v>-0.19426180000000001</v>
      </c>
      <c r="W7023">
        <v>-1.863656E-2</v>
      </c>
      <c r="X7023">
        <v>0.98077270000000005</v>
      </c>
      <c r="Y7023">
        <v>-0.61581969999999997</v>
      </c>
      <c r="Z7023">
        <v>7.9998890000000003E-2</v>
      </c>
      <c r="AA7023">
        <v>0.78381519999999905</v>
      </c>
      <c r="AB7023">
        <v>21</v>
      </c>
      <c r="AC7023">
        <v>0.74479999999999702</v>
      </c>
      <c r="AD7023">
        <v>-8.6619999999999905E-2</v>
      </c>
      <c r="AE7023">
        <v>-0.45645000000000002</v>
      </c>
      <c r="AF7023">
        <v>-0.59136647820496502</v>
      </c>
      <c r="AG7023">
        <v>-8.6619999999999905E-2</v>
      </c>
      <c r="AH7023">
        <v>0.63132538306837604</v>
      </c>
      <c r="AI7023">
        <v>95.718231141780905</v>
      </c>
      <c r="AJ7023">
        <v>133.12817758719601</v>
      </c>
      <c r="AK7023">
        <v>0.86936130305585602</v>
      </c>
      <c r="AL7023">
        <v>91.067858023076496</v>
      </c>
      <c r="AM7023">
        <v>101.203573878683</v>
      </c>
      <c r="AN7023">
        <v>1.00000002868658</v>
      </c>
    </row>
    <row r="7024" spans="1:40" x14ac:dyDescent="0.25">
      <c r="A7024" t="str">
        <f>"20190303153948068"</f>
        <v>20190303153948068</v>
      </c>
      <c r="B7024" t="str">
        <f>"1551598788065436"</f>
        <v>1551598788065436</v>
      </c>
      <c r="C7024" t="s">
        <v>40</v>
      </c>
      <c r="D7024">
        <v>4.1447779999999996</v>
      </c>
      <c r="E7024">
        <v>0.30638969999999999</v>
      </c>
      <c r="F7024" t="s">
        <v>63</v>
      </c>
      <c r="G7024">
        <v>-410.62490000000003</v>
      </c>
      <c r="H7024" s="1">
        <v>-9.9022839999999996E-6</v>
      </c>
      <c r="I7024">
        <v>23.08792</v>
      </c>
      <c r="J7024">
        <v>-420.86759999999998</v>
      </c>
      <c r="K7024">
        <v>1.1293899999999999</v>
      </c>
      <c r="L7024">
        <v>30.449950000000001</v>
      </c>
      <c r="M7024">
        <v>0.2730339</v>
      </c>
      <c r="N7024">
        <v>-1.503386E-2</v>
      </c>
      <c r="O7024">
        <v>-0.96188689999999999</v>
      </c>
      <c r="P7024">
        <v>0.45431260000000001</v>
      </c>
      <c r="Q7024">
        <v>-2.9929299999999999E-2</v>
      </c>
      <c r="R7024">
        <v>-0.89033929999999994</v>
      </c>
      <c r="S7024">
        <v>2.7250670000000001</v>
      </c>
      <c r="T7024">
        <v>-0.2992283</v>
      </c>
      <c r="U7024">
        <v>-1.982208</v>
      </c>
      <c r="V7024">
        <v>-0.19359570000000001</v>
      </c>
      <c r="W7024">
        <v>-1.8938199999999999E-2</v>
      </c>
      <c r="X7024">
        <v>0.98089859999999895</v>
      </c>
      <c r="Y7024">
        <v>-0.61432369999999903</v>
      </c>
      <c r="Z7024">
        <v>8.0418130000000004E-2</v>
      </c>
      <c r="AA7024">
        <v>0.78494540000000002</v>
      </c>
      <c r="AB7024">
        <v>21</v>
      </c>
      <c r="AC7024">
        <v>10.2426999999999</v>
      </c>
      <c r="AD7024">
        <v>-1.129399902284</v>
      </c>
      <c r="AE7024">
        <v>-7.3620299999999999</v>
      </c>
      <c r="AF7024">
        <v>-7.7807465121422696</v>
      </c>
      <c r="AG7024">
        <v>-1.129399902284</v>
      </c>
      <c r="AH7024">
        <v>9.8005936797078501</v>
      </c>
      <c r="AI7024">
        <v>95.157164794141707</v>
      </c>
      <c r="AJ7024">
        <v>128.44625877277201</v>
      </c>
      <c r="AK7024">
        <v>12.5645213557947</v>
      </c>
      <c r="AL7024">
        <v>91.085143796043297</v>
      </c>
      <c r="AM7024">
        <v>101.16472793568801</v>
      </c>
      <c r="AN7024">
        <v>1.00000000697984</v>
      </c>
    </row>
    <row r="7025" spans="1:40" x14ac:dyDescent="0.25">
      <c r="A7025" t="str">
        <f>"20190303153948082"</f>
        <v>20190303153948082</v>
      </c>
      <c r="B7025" t="str">
        <f>"1551598788075197"</f>
        <v>1551598788075197</v>
      </c>
      <c r="C7025" t="s">
        <v>40</v>
      </c>
      <c r="D7025">
        <v>4.1022119999999997</v>
      </c>
      <c r="E7025">
        <v>0.30660019999999999</v>
      </c>
      <c r="F7025" t="s">
        <v>44</v>
      </c>
      <c r="G7025">
        <v>-420.14</v>
      </c>
      <c r="H7025">
        <v>1.0497749999999999</v>
      </c>
      <c r="I7025">
        <v>29.926929999999999</v>
      </c>
      <c r="J7025">
        <v>-420.82749999999999</v>
      </c>
      <c r="K7025">
        <v>1.1294379999999999</v>
      </c>
      <c r="L7025">
        <v>30.34094</v>
      </c>
      <c r="M7025">
        <v>0.28049859999999999</v>
      </c>
      <c r="N7025">
        <v>-1.506585E-2</v>
      </c>
      <c r="O7025">
        <v>-0.95973629999999999</v>
      </c>
      <c r="P7025">
        <v>0.45921240000000002</v>
      </c>
      <c r="Q7025">
        <v>-3.0271719999999998E-2</v>
      </c>
      <c r="R7025">
        <v>-0.88781080000000001</v>
      </c>
      <c r="S7025">
        <v>2.7339479999999998</v>
      </c>
      <c r="T7025">
        <v>-0.29905019999999999</v>
      </c>
      <c r="U7025">
        <v>-1.9644170000000001</v>
      </c>
      <c r="V7025">
        <v>-0.19137670000000001</v>
      </c>
      <c r="W7025">
        <v>-1.9226739999999999E-2</v>
      </c>
      <c r="X7025">
        <v>0.98132839999999999</v>
      </c>
      <c r="Y7025">
        <v>-0.61277349999999997</v>
      </c>
      <c r="Z7025">
        <v>8.0500890000000005E-2</v>
      </c>
      <c r="AA7025">
        <v>0.78614779999999995</v>
      </c>
      <c r="AB7025">
        <v>21</v>
      </c>
      <c r="AC7025">
        <v>0.6875</v>
      </c>
      <c r="AD7025">
        <v>-7.9662999999999998E-2</v>
      </c>
      <c r="AE7025">
        <v>-0.41401000000000399</v>
      </c>
      <c r="AF7025">
        <v>-0.53844561125350299</v>
      </c>
      <c r="AG7025">
        <v>-7.9662999999999998E-2</v>
      </c>
      <c r="AH7025">
        <v>0.58449091272515796</v>
      </c>
      <c r="AI7025">
        <v>95.724346358195703</v>
      </c>
      <c r="AJ7025">
        <v>132.65193821100101</v>
      </c>
      <c r="AK7025">
        <v>0.79868610661851702</v>
      </c>
      <c r="AL7025">
        <v>91.101678862989104</v>
      </c>
      <c r="AM7025">
        <v>101.035202436893</v>
      </c>
      <c r="AN7025">
        <v>1.00000006874023</v>
      </c>
    </row>
    <row r="7026" spans="1:40" x14ac:dyDescent="0.25">
      <c r="A7026" t="str">
        <f>"20190303153948096"</f>
        <v>20190303153948096</v>
      </c>
      <c r="B7026" t="str">
        <f>"1551598788085932"</f>
        <v>1551598788085932</v>
      </c>
      <c r="C7026" t="s">
        <v>40</v>
      </c>
      <c r="D7026">
        <v>4.1986270000000001</v>
      </c>
      <c r="E7026">
        <v>0.30697859999999899</v>
      </c>
      <c r="F7026" t="s">
        <v>44</v>
      </c>
      <c r="G7026">
        <v>-420.03910000000002</v>
      </c>
      <c r="H7026">
        <v>1.0435509999999999</v>
      </c>
      <c r="I7026">
        <v>29.7805</v>
      </c>
      <c r="J7026">
        <v>-420.78179999999998</v>
      </c>
      <c r="K7026">
        <v>1.129502</v>
      </c>
      <c r="L7026">
        <v>30.21942</v>
      </c>
      <c r="M7026">
        <v>0.28888360000000002</v>
      </c>
      <c r="N7026">
        <v>-1.510072E-2</v>
      </c>
      <c r="O7026">
        <v>-0.95724520000000002</v>
      </c>
      <c r="P7026">
        <v>0.46578989999999998</v>
      </c>
      <c r="Q7026">
        <v>-3.0871119999999998E-2</v>
      </c>
      <c r="R7026">
        <v>-0.88435699999999995</v>
      </c>
      <c r="S7026">
        <v>2.7433169999999998</v>
      </c>
      <c r="T7026">
        <v>-0.29884480000000002</v>
      </c>
      <c r="U7026">
        <v>-1.949951</v>
      </c>
      <c r="V7026">
        <v>-0.19006790000000001</v>
      </c>
      <c r="W7026">
        <v>-1.9791799999999998E-2</v>
      </c>
      <c r="X7026">
        <v>0.98157139999999998</v>
      </c>
      <c r="Y7026">
        <v>-0.60989409999999999</v>
      </c>
      <c r="Z7026">
        <v>8.0483600000000002E-2</v>
      </c>
      <c r="AA7026">
        <v>0.78838549999999996</v>
      </c>
      <c r="AB7026">
        <v>21</v>
      </c>
      <c r="AC7026">
        <v>0.74269999999995595</v>
      </c>
      <c r="AD7026">
        <v>-8.5950999999999805E-2</v>
      </c>
      <c r="AE7026">
        <v>-0.43891999999999898</v>
      </c>
      <c r="AF7026">
        <v>-0.57847377822525603</v>
      </c>
      <c r="AG7026">
        <v>-8.5950999999999805E-2</v>
      </c>
      <c r="AH7026">
        <v>0.62854125567590502</v>
      </c>
      <c r="AI7026">
        <v>95.745705231938004</v>
      </c>
      <c r="AJ7026">
        <v>132.62470932663601</v>
      </c>
      <c r="AK7026">
        <v>0.85853572819181301</v>
      </c>
      <c r="AL7026">
        <v>91.134060692063201</v>
      </c>
      <c r="AM7026">
        <v>100.958920306507</v>
      </c>
      <c r="AN7026">
        <v>0.99999996762780397</v>
      </c>
    </row>
    <row r="7027" spans="1:40" x14ac:dyDescent="0.25">
      <c r="A7027" t="str">
        <f>"20190303153948113"</f>
        <v>20190303153948113</v>
      </c>
      <c r="B7027" t="str">
        <f>"1551598788105452"</f>
        <v>1551598788105452</v>
      </c>
      <c r="C7027" t="s">
        <v>40</v>
      </c>
      <c r="D7027">
        <v>4.152793</v>
      </c>
      <c r="E7027">
        <v>0.308004</v>
      </c>
      <c r="F7027" t="s">
        <v>63</v>
      </c>
      <c r="G7027">
        <v>-410.41030000000001</v>
      </c>
      <c r="H7027" s="1">
        <v>-9.9666190000000007E-6</v>
      </c>
      <c r="I7027">
        <v>22.950679999999998</v>
      </c>
      <c r="J7027">
        <v>-420.72699999999998</v>
      </c>
      <c r="K7027">
        <v>1.1295740000000001</v>
      </c>
      <c r="L7027">
        <v>30.07779</v>
      </c>
      <c r="M7027">
        <v>0.29877680000000001</v>
      </c>
      <c r="N7027">
        <v>-1.514066E-2</v>
      </c>
      <c r="O7027">
        <v>-0.95420300000000002</v>
      </c>
      <c r="P7027">
        <v>0.47389720000000002</v>
      </c>
      <c r="Q7027">
        <v>-3.1294469999999998E-2</v>
      </c>
      <c r="R7027">
        <v>-0.88002409999999998</v>
      </c>
      <c r="S7027">
        <v>2.7549739999999998</v>
      </c>
      <c r="T7027">
        <v>-0.30003059999999998</v>
      </c>
      <c r="U7027">
        <v>-1.9307859999999999</v>
      </c>
      <c r="V7027">
        <v>-0.1889219</v>
      </c>
      <c r="W7027">
        <v>-2.018213E-2</v>
      </c>
      <c r="X7027">
        <v>0.98178469999999995</v>
      </c>
      <c r="Y7027">
        <v>-0.60691740000000005</v>
      </c>
      <c r="Z7027">
        <v>8.0922369999999993E-2</v>
      </c>
      <c r="AA7027">
        <v>0.79063450000000002</v>
      </c>
      <c r="AB7027">
        <v>21</v>
      </c>
      <c r="AC7027">
        <v>10.3166999999999</v>
      </c>
      <c r="AD7027">
        <v>-1.129583966619</v>
      </c>
      <c r="AE7027">
        <v>-7.1271100000000001</v>
      </c>
      <c r="AF7027">
        <v>-7.6535839854961996</v>
      </c>
      <c r="AG7027">
        <v>-1.129583966619</v>
      </c>
      <c r="AH7027">
        <v>9.8046651946129604</v>
      </c>
      <c r="AI7027">
        <v>95.189122595136496</v>
      </c>
      <c r="AJ7027">
        <v>127.97582470707501</v>
      </c>
      <c r="AK7027">
        <v>12.4893861874449</v>
      </c>
      <c r="AL7027">
        <v>91.156429385569794</v>
      </c>
      <c r="AM7027">
        <v>100.892119821721</v>
      </c>
      <c r="AN7027">
        <v>0.99999999991251798</v>
      </c>
    </row>
    <row r="7028" spans="1:40" x14ac:dyDescent="0.25">
      <c r="A7028" t="str">
        <f>"20190303153948128"</f>
        <v>20190303153948128</v>
      </c>
      <c r="B7028" t="str">
        <f>"1551598788125948"</f>
        <v>1551598788125948</v>
      </c>
      <c r="C7028" t="s">
        <v>40</v>
      </c>
      <c r="D7028">
        <v>4.1622909999999997</v>
      </c>
      <c r="E7028">
        <v>0.30892950000000002</v>
      </c>
      <c r="F7028" t="s">
        <v>63</v>
      </c>
      <c r="G7028">
        <v>-410.32080000000002</v>
      </c>
      <c r="H7028" s="1">
        <v>-9.9935250000000002E-6</v>
      </c>
      <c r="I7028">
        <v>22.894480000000001</v>
      </c>
      <c r="J7028">
        <v>-420.67219999999998</v>
      </c>
      <c r="K7028">
        <v>1.1296349999999999</v>
      </c>
      <c r="L7028">
        <v>29.940770000000001</v>
      </c>
      <c r="M7028">
        <v>0.3084673</v>
      </c>
      <c r="N7028">
        <v>-1.517875E-2</v>
      </c>
      <c r="O7028">
        <v>-0.95111389999999996</v>
      </c>
      <c r="P7028">
        <v>0.48189920000000003</v>
      </c>
      <c r="Q7028">
        <v>-3.1675309999999998E-2</v>
      </c>
      <c r="R7028">
        <v>-0.87565409999999899</v>
      </c>
      <c r="S7028">
        <v>2.7655639999999999</v>
      </c>
      <c r="T7028">
        <v>-0.30020170000000002</v>
      </c>
      <c r="U7028">
        <v>-1.9090579999999999</v>
      </c>
      <c r="V7028">
        <v>-0.1878793</v>
      </c>
      <c r="W7028">
        <v>-2.0530260000000002E-2</v>
      </c>
      <c r="X7028">
        <v>0.98197749999999995</v>
      </c>
      <c r="Y7028">
        <v>-0.60445109999999902</v>
      </c>
      <c r="Z7028">
        <v>8.1105540000000004E-2</v>
      </c>
      <c r="AA7028">
        <v>0.79250279999999995</v>
      </c>
      <c r="AB7028">
        <v>21</v>
      </c>
      <c r="AC7028">
        <v>10.3513999999999</v>
      </c>
      <c r="AD7028">
        <v>-1.1296449935249999</v>
      </c>
      <c r="AE7028">
        <v>-7.0462899999999999</v>
      </c>
      <c r="AF7028">
        <v>-7.6107552904070301</v>
      </c>
      <c r="AG7028">
        <v>-1.1296449935249999</v>
      </c>
      <c r="AH7028">
        <v>9.8161455832492592</v>
      </c>
      <c r="AI7028">
        <v>95.1965635202599</v>
      </c>
      <c r="AJ7028">
        <v>127.787506488663</v>
      </c>
      <c r="AK7028">
        <v>12.4722254635409</v>
      </c>
      <c r="AL7028">
        <v>91.1763799383628</v>
      </c>
      <c r="AM7028">
        <v>100.831359219185</v>
      </c>
      <c r="AN7028">
        <v>0.99999996672520297</v>
      </c>
    </row>
    <row r="7029" spans="1:40" x14ac:dyDescent="0.25">
      <c r="A7029" t="str">
        <f>"20190303153948147"</f>
        <v>20190303153948147</v>
      </c>
      <c r="B7029" t="str">
        <f>"1551598788135710"</f>
        <v>1551598788135710</v>
      </c>
      <c r="C7029" t="s">
        <v>40</v>
      </c>
      <c r="D7029">
        <v>4.1612140000000002</v>
      </c>
      <c r="E7029">
        <v>0.30930269999999999</v>
      </c>
      <c r="F7029" t="s">
        <v>44</v>
      </c>
      <c r="G7029">
        <v>-419.93099999999998</v>
      </c>
      <c r="H7029">
        <v>1.0495730000000001</v>
      </c>
      <c r="I7029">
        <v>29.43702</v>
      </c>
      <c r="J7029">
        <v>-420.6114</v>
      </c>
      <c r="K7029">
        <v>1.129694</v>
      </c>
      <c r="L7029">
        <v>29.794309999999999</v>
      </c>
      <c r="M7029">
        <v>0.318974599999999</v>
      </c>
      <c r="N7029">
        <v>-1.521862E-2</v>
      </c>
      <c r="O7029">
        <v>-0.94764099999999996</v>
      </c>
      <c r="P7029">
        <v>0.48968159999999999</v>
      </c>
      <c r="Q7029">
        <v>-3.1996749999999997E-2</v>
      </c>
      <c r="R7029">
        <v>-0.87131419999999904</v>
      </c>
      <c r="S7029">
        <v>2.776764</v>
      </c>
      <c r="T7029">
        <v>-0.29991630000000002</v>
      </c>
      <c r="U7029">
        <v>-1.887024</v>
      </c>
      <c r="V7029">
        <v>-0.1857567</v>
      </c>
      <c r="W7029">
        <v>-2.0789769999999999E-2</v>
      </c>
      <c r="X7029">
        <v>0.98237580000000002</v>
      </c>
      <c r="Y7029">
        <v>-0.60143049999999998</v>
      </c>
      <c r="Z7029">
        <v>8.1115989999999999E-2</v>
      </c>
      <c r="AA7029">
        <v>0.79479650000000002</v>
      </c>
      <c r="AB7029">
        <v>21</v>
      </c>
      <c r="AC7029">
        <v>0.68040000000001999</v>
      </c>
      <c r="AD7029">
        <v>-8.0121000000000095E-2</v>
      </c>
      <c r="AE7029">
        <v>-0.357289999999998</v>
      </c>
      <c r="AF7029">
        <v>-0.52516190774622595</v>
      </c>
      <c r="AG7029">
        <v>-8.0121000000000095E-2</v>
      </c>
      <c r="AH7029">
        <v>0.54970251383742497</v>
      </c>
      <c r="AI7029">
        <v>96.016126405825801</v>
      </c>
      <c r="AJ7029">
        <v>133.69208721674201</v>
      </c>
      <c r="AK7029">
        <v>0.76445225992722399</v>
      </c>
      <c r="AL7029">
        <v>91.191251914063898</v>
      </c>
      <c r="AM7029">
        <v>100.707594514939</v>
      </c>
      <c r="AN7029">
        <v>0.99999998927859102</v>
      </c>
    </row>
    <row r="7030" spans="1:40" x14ac:dyDescent="0.25">
      <c r="A7030" t="str">
        <f>"20190303153948160"</f>
        <v>20190303153948160</v>
      </c>
      <c r="B7030" t="str">
        <f>"1551598788155232"</f>
        <v>1551598788155232</v>
      </c>
      <c r="C7030" t="s">
        <v>40</v>
      </c>
      <c r="D7030">
        <v>4.1682680000000003</v>
      </c>
      <c r="E7030">
        <v>0.30957069999999998</v>
      </c>
      <c r="F7030" t="s">
        <v>44</v>
      </c>
      <c r="G7030">
        <v>-419.846</v>
      </c>
      <c r="H7030">
        <v>1.047822</v>
      </c>
      <c r="I7030">
        <v>29.283100000000001</v>
      </c>
      <c r="J7030">
        <v>-420.56110000000001</v>
      </c>
      <c r="K7030">
        <v>1.129732</v>
      </c>
      <c r="L7030">
        <v>29.677060000000001</v>
      </c>
      <c r="M7030">
        <v>0.327486</v>
      </c>
      <c r="N7030">
        <v>-1.524965E-2</v>
      </c>
      <c r="O7030">
        <v>-0.9447333</v>
      </c>
      <c r="P7030">
        <v>0.49607010000000001</v>
      </c>
      <c r="Q7030">
        <v>-3.15135E-2</v>
      </c>
      <c r="R7030">
        <v>-0.86771089999999995</v>
      </c>
      <c r="S7030">
        <v>2.7909549999999999</v>
      </c>
      <c r="T7030">
        <v>-0.29846859999999997</v>
      </c>
      <c r="U7030">
        <v>-1.8636170000000001</v>
      </c>
      <c r="V7030">
        <v>-0.18414050000000001</v>
      </c>
      <c r="W7030">
        <v>-2.0257750000000001E-2</v>
      </c>
      <c r="X7030">
        <v>0.98269119999999999</v>
      </c>
      <c r="Y7030">
        <v>-0.60075959999999995</v>
      </c>
      <c r="Z7030">
        <v>8.0743460000000003E-2</v>
      </c>
      <c r="AA7030">
        <v>0.79534169999999904</v>
      </c>
      <c r="AB7030">
        <v>21</v>
      </c>
      <c r="AC7030">
        <v>0.71510000000000595</v>
      </c>
      <c r="AD7030">
        <v>-8.19099999999999E-2</v>
      </c>
      <c r="AE7030">
        <v>-0.39395999999999598</v>
      </c>
      <c r="AF7030">
        <v>-0.54117866403638604</v>
      </c>
      <c r="AG7030">
        <v>-8.19099999999999E-2</v>
      </c>
      <c r="AH7030">
        <v>0.60039949666489301</v>
      </c>
      <c r="AI7030">
        <v>95.786358096741097</v>
      </c>
      <c r="AJ7030">
        <v>132.03036987873301</v>
      </c>
      <c r="AK7030">
        <v>0.81244270573601896</v>
      </c>
      <c r="AL7030">
        <v>91.160762923304404</v>
      </c>
      <c r="AM7030">
        <v>100.61322848136</v>
      </c>
      <c r="AN7030">
        <v>1.0000000473663699</v>
      </c>
    </row>
    <row r="7031" spans="1:40" x14ac:dyDescent="0.25">
      <c r="A7031" t="str">
        <f>"20190303153948172"</f>
        <v>20190303153948172</v>
      </c>
      <c r="B7031" t="str">
        <f>"1551598788165964"</f>
        <v>1551598788165964</v>
      </c>
      <c r="C7031" t="s">
        <v>40</v>
      </c>
      <c r="D7031">
        <v>4.1641879999999896</v>
      </c>
      <c r="E7031">
        <v>0.309693</v>
      </c>
      <c r="F7031" t="s">
        <v>44</v>
      </c>
      <c r="G7031">
        <v>-419.74459999999999</v>
      </c>
      <c r="H7031">
        <v>1.0434410000000001</v>
      </c>
      <c r="I7031">
        <v>29.139759999999999</v>
      </c>
      <c r="J7031">
        <v>-420.51620000000003</v>
      </c>
      <c r="K7031">
        <v>1.129766</v>
      </c>
      <c r="L7031">
        <v>29.574100000000001</v>
      </c>
      <c r="M7031">
        <v>0.33500469999999999</v>
      </c>
      <c r="N7031">
        <v>-1.527624E-2</v>
      </c>
      <c r="O7031">
        <v>-0.94209270000000001</v>
      </c>
      <c r="P7031">
        <v>0.5026484</v>
      </c>
      <c r="Q7031">
        <v>-3.1696040000000002E-2</v>
      </c>
      <c r="R7031">
        <v>-0.863909499999999</v>
      </c>
      <c r="S7031">
        <v>2.8029790000000001</v>
      </c>
      <c r="T7031">
        <v>-0.29617640000000001</v>
      </c>
      <c r="U7031">
        <v>-1.844177</v>
      </c>
      <c r="V7031">
        <v>-0.18377250000000001</v>
      </c>
      <c r="W7031">
        <v>-2.042221E-2</v>
      </c>
      <c r="X7031">
        <v>0.98275659999999998</v>
      </c>
      <c r="Y7031">
        <v>-0.59986430000000002</v>
      </c>
      <c r="Z7031">
        <v>8.007446E-2</v>
      </c>
      <c r="AA7031">
        <v>0.79608480000000004</v>
      </c>
      <c r="AB7031">
        <v>21</v>
      </c>
      <c r="AC7031">
        <v>0.77160000000003404</v>
      </c>
      <c r="AD7031">
        <v>-8.6324999999999902E-2</v>
      </c>
      <c r="AE7031">
        <v>-0.434340000000002</v>
      </c>
      <c r="AF7031">
        <v>-0.57600571625751695</v>
      </c>
      <c r="AG7031">
        <v>-8.6324999999999902E-2</v>
      </c>
      <c r="AH7031">
        <v>0.66146884237703496</v>
      </c>
      <c r="AI7031">
        <v>95.620931378471994</v>
      </c>
      <c r="AJ7031">
        <v>131.049281592738</v>
      </c>
      <c r="AK7031">
        <v>0.88134875062142704</v>
      </c>
      <c r="AL7031">
        <v>91.170187831050399</v>
      </c>
      <c r="AM7031">
        <v>100.591809725331</v>
      </c>
      <c r="AN7031">
        <v>0.99999996663054602</v>
      </c>
    </row>
    <row r="7032" spans="1:40" x14ac:dyDescent="0.25">
      <c r="A7032" t="str">
        <f>"20190303153948183"</f>
        <v>20190303153948183</v>
      </c>
      <c r="B7032" t="str">
        <f>"1551598788175724"</f>
        <v>1551598788175724</v>
      </c>
      <c r="C7032" t="s">
        <v>40</v>
      </c>
      <c r="D7032">
        <v>4.1547000000000001</v>
      </c>
      <c r="E7032">
        <v>0.30994749999999999</v>
      </c>
      <c r="F7032" t="s">
        <v>63</v>
      </c>
      <c r="G7032">
        <v>-409.79180000000002</v>
      </c>
      <c r="H7032" s="1">
        <v>-1.6416220000000001E-6</v>
      </c>
      <c r="I7032">
        <v>22.630230000000001</v>
      </c>
      <c r="J7032">
        <v>-420.47320000000002</v>
      </c>
      <c r="K7032">
        <v>1.129796</v>
      </c>
      <c r="L7032">
        <v>29.478390000000001</v>
      </c>
      <c r="M7032">
        <v>0.34206959999999997</v>
      </c>
      <c r="N7032">
        <v>-1.530049E-2</v>
      </c>
      <c r="O7032">
        <v>-0.93955010000000005</v>
      </c>
      <c r="P7032">
        <v>0.50870199999999999</v>
      </c>
      <c r="Q7032">
        <v>-3.153019E-2</v>
      </c>
      <c r="R7032">
        <v>-0.8603653</v>
      </c>
      <c r="S7032">
        <v>2.815979</v>
      </c>
      <c r="T7032">
        <v>-0.29665160000000002</v>
      </c>
      <c r="U7032">
        <v>-1.8233029999999999</v>
      </c>
      <c r="V7032">
        <v>-0.18329290000000001</v>
      </c>
      <c r="W7032">
        <v>-2.0236049999999998E-2</v>
      </c>
      <c r="X7032">
        <v>0.98285009999999995</v>
      </c>
      <c r="Y7032">
        <v>-0.59968719999999998</v>
      </c>
      <c r="Z7032">
        <v>8.0271949999999995E-2</v>
      </c>
      <c r="AA7032">
        <v>0.79619819999999997</v>
      </c>
      <c r="AB7032">
        <v>21</v>
      </c>
      <c r="AC7032">
        <v>10.681399999999901</v>
      </c>
      <c r="AD7032">
        <v>-1.1297976416219999</v>
      </c>
      <c r="AE7032">
        <v>-6.84816</v>
      </c>
      <c r="AF7032">
        <v>-7.6335390851526297</v>
      </c>
      <c r="AG7032">
        <v>-1.1297976416219999</v>
      </c>
      <c r="AH7032">
        <v>10.009787252350501</v>
      </c>
      <c r="AI7032">
        <v>95.128521531780507</v>
      </c>
      <c r="AJ7032">
        <v>127.32941601954499</v>
      </c>
      <c r="AK7032">
        <v>12.638955752469601</v>
      </c>
      <c r="AL7032">
        <v>91.159519344666407</v>
      </c>
      <c r="AM7032">
        <v>100.563808430961</v>
      </c>
      <c r="AN7032">
        <v>1.0000000519900001</v>
      </c>
    </row>
    <row r="7033" spans="1:40" x14ac:dyDescent="0.25">
      <c r="A7033" t="str">
        <f>"20190303153948196"</f>
        <v>20190303153948196</v>
      </c>
      <c r="B7033" t="str">
        <f>"1551598788185485"</f>
        <v>1551598788185485</v>
      </c>
      <c r="C7033" t="s">
        <v>40</v>
      </c>
      <c r="D7033">
        <v>4.1600910000000004</v>
      </c>
      <c r="E7033">
        <v>0.31017060000000002</v>
      </c>
      <c r="F7033" t="s">
        <v>44</v>
      </c>
      <c r="G7033">
        <v>-419.68189999999998</v>
      </c>
      <c r="H7033">
        <v>1.0471360000000001</v>
      </c>
      <c r="I7033">
        <v>28.972940000000001</v>
      </c>
      <c r="J7033">
        <v>-420.42770000000002</v>
      </c>
      <c r="K7033">
        <v>1.129829</v>
      </c>
      <c r="L7033">
        <v>29.37912</v>
      </c>
      <c r="M7033">
        <v>0.3494485</v>
      </c>
      <c r="N7033">
        <v>-1.5325210000000001E-2</v>
      </c>
      <c r="O7033">
        <v>-0.93683019999999995</v>
      </c>
      <c r="P7033">
        <v>0.51547209999999999</v>
      </c>
      <c r="Q7033">
        <v>-3.1769470000000001E-2</v>
      </c>
      <c r="R7033">
        <v>-0.85631740000000001</v>
      </c>
      <c r="S7033">
        <v>2.8269350000000002</v>
      </c>
      <c r="T7033">
        <v>-0.29515740000000001</v>
      </c>
      <c r="U7033">
        <v>-1.8046260000000001</v>
      </c>
      <c r="V7033">
        <v>-0.18331210000000001</v>
      </c>
      <c r="W7033">
        <v>-2.046622E-2</v>
      </c>
      <c r="X7033">
        <v>0.98284170000000004</v>
      </c>
      <c r="Y7033">
        <v>-0.59857199999999999</v>
      </c>
      <c r="Z7033">
        <v>7.9840439999999999E-2</v>
      </c>
      <c r="AA7033">
        <v>0.79708029999999996</v>
      </c>
      <c r="AB7033">
        <v>21</v>
      </c>
      <c r="AC7033">
        <v>0.74580000000003099</v>
      </c>
      <c r="AD7033">
        <v>-8.26930000000001E-2</v>
      </c>
      <c r="AE7033">
        <v>-0.40617999999999899</v>
      </c>
      <c r="AF7033">
        <v>-0.55158447297001201</v>
      </c>
      <c r="AG7033">
        <v>-8.26930000000001E-2</v>
      </c>
      <c r="AH7033">
        <v>0.63519305435198503</v>
      </c>
      <c r="AI7033">
        <v>95.613956565604397</v>
      </c>
      <c r="AJ7033">
        <v>130.970165461498</v>
      </c>
      <c r="AK7033">
        <v>0.84531282929316198</v>
      </c>
      <c r="AL7033">
        <v>91.172709906723398</v>
      </c>
      <c r="AM7033">
        <v>100.56497834421999</v>
      </c>
      <c r="AN7033">
        <v>0.99999999971319398</v>
      </c>
    </row>
    <row r="7034" spans="1:40" x14ac:dyDescent="0.25">
      <c r="A7034" t="str">
        <f>"20190303153948207"</f>
        <v>20190303153948207</v>
      </c>
      <c r="B7034" t="str">
        <f>"1551598788205980"</f>
        <v>1551598788205980</v>
      </c>
      <c r="C7034" t="s">
        <v>40</v>
      </c>
      <c r="D7034">
        <v>4.1981619999999999</v>
      </c>
      <c r="E7034">
        <v>0.31059059999999999</v>
      </c>
      <c r="F7034" t="s">
        <v>44</v>
      </c>
      <c r="G7034">
        <v>-419.5677</v>
      </c>
      <c r="H7034">
        <v>1.040564</v>
      </c>
      <c r="I7034">
        <v>28.839220000000001</v>
      </c>
      <c r="J7034">
        <v>-420.38069999999999</v>
      </c>
      <c r="K7034">
        <v>1.1298539999999999</v>
      </c>
      <c r="L7034">
        <v>29.278020000000001</v>
      </c>
      <c r="M7034">
        <v>0.35699839999999999</v>
      </c>
      <c r="N7034">
        <v>-1.5349939999999999E-2</v>
      </c>
      <c r="O7034">
        <v>-0.933979</v>
      </c>
      <c r="P7034">
        <v>0.52238050000000003</v>
      </c>
      <c r="Q7034">
        <v>-3.194694E-2</v>
      </c>
      <c r="R7034">
        <v>-0.85211409999999999</v>
      </c>
      <c r="S7034">
        <v>2.8397830000000002</v>
      </c>
      <c r="T7034">
        <v>-0.2947748</v>
      </c>
      <c r="U7034">
        <v>-1.782959</v>
      </c>
      <c r="V7034">
        <v>-0.18332560000000001</v>
      </c>
      <c r="W7034">
        <v>-2.0634099999999999E-2</v>
      </c>
      <c r="X7034">
        <v>0.98283569999999998</v>
      </c>
      <c r="Y7034">
        <v>-0.59810920000000001</v>
      </c>
      <c r="Z7034">
        <v>7.9763050000000002E-2</v>
      </c>
      <c r="AA7034">
        <v>0.79743549999999996</v>
      </c>
      <c r="AB7034">
        <v>21</v>
      </c>
      <c r="AC7034">
        <v>0.81299999999998795</v>
      </c>
      <c r="AD7034">
        <v>-8.9289999999999994E-2</v>
      </c>
      <c r="AE7034">
        <v>-0.43880000000000002</v>
      </c>
      <c r="AF7034">
        <v>-0.59716681408010397</v>
      </c>
      <c r="AG7034">
        <v>-8.9289999999999994E-2</v>
      </c>
      <c r="AH7034">
        <v>0.69367247117881603</v>
      </c>
      <c r="AI7034">
        <v>95.571677380990707</v>
      </c>
      <c r="AJ7034">
        <v>130.72441010121</v>
      </c>
      <c r="AK7034">
        <v>0.91965341580940496</v>
      </c>
      <c r="AL7034">
        <v>91.182330721107803</v>
      </c>
      <c r="AM7034">
        <v>100.565801931268</v>
      </c>
      <c r="AN7034">
        <v>1.0000000274463201</v>
      </c>
    </row>
    <row r="7035" spans="1:40" x14ac:dyDescent="0.25">
      <c r="A7035" t="str">
        <f>"20190303153948219"</f>
        <v>20190303153948219</v>
      </c>
      <c r="B7035" t="str">
        <f>"1551598788215740"</f>
        <v>1551598788215740</v>
      </c>
      <c r="C7035" t="s">
        <v>40</v>
      </c>
      <c r="D7035">
        <v>4.2056209999999998</v>
      </c>
      <c r="E7035">
        <v>0.31088070000000001</v>
      </c>
      <c r="F7035" t="s">
        <v>44</v>
      </c>
      <c r="G7035">
        <v>-419.61779999999999</v>
      </c>
      <c r="H7035">
        <v>1.051004</v>
      </c>
      <c r="I7035">
        <v>28.806629999999998</v>
      </c>
      <c r="J7035">
        <v>-420.33510000000001</v>
      </c>
      <c r="K7035">
        <v>1.1298790000000001</v>
      </c>
      <c r="L7035">
        <v>29.18338</v>
      </c>
      <c r="M7035">
        <v>0.36415059999999999</v>
      </c>
      <c r="N7035">
        <v>-1.53724E-2</v>
      </c>
      <c r="O7035">
        <v>-0.93121339999999997</v>
      </c>
      <c r="P7035">
        <v>0.52914659999999902</v>
      </c>
      <c r="Q7035">
        <v>-3.2425540000000003E-2</v>
      </c>
      <c r="R7035">
        <v>-0.84791070000000002</v>
      </c>
      <c r="S7035">
        <v>2.8511660000000001</v>
      </c>
      <c r="T7035">
        <v>-0.29467700000000002</v>
      </c>
      <c r="U7035">
        <v>-1.76171899999999</v>
      </c>
      <c r="V7035">
        <v>-0.18360679999999999</v>
      </c>
      <c r="W7035">
        <v>-2.1109630000000001E-2</v>
      </c>
      <c r="X7035">
        <v>0.98277309999999996</v>
      </c>
      <c r="Y7035">
        <v>-0.59769249999999996</v>
      </c>
      <c r="Z7035">
        <v>7.9792470000000004E-2</v>
      </c>
      <c r="AA7035">
        <v>0.79774480000000003</v>
      </c>
      <c r="AB7035">
        <v>21</v>
      </c>
      <c r="AC7035">
        <v>0.71730000000002203</v>
      </c>
      <c r="AD7035">
        <v>-7.8875000000000001E-2</v>
      </c>
      <c r="AE7035">
        <v>-0.37675000000000097</v>
      </c>
      <c r="AF7035">
        <v>-0.52584483193361897</v>
      </c>
      <c r="AG7035">
        <v>-7.8875000000000001E-2</v>
      </c>
      <c r="AH7035">
        <v>0.60636556780812401</v>
      </c>
      <c r="AI7035">
        <v>95.6125742438674</v>
      </c>
      <c r="AJ7035">
        <v>130.93207781301601</v>
      </c>
      <c r="AK7035">
        <v>0.80648202380435297</v>
      </c>
      <c r="AL7035">
        <v>91.2095825284797</v>
      </c>
      <c r="AM7035">
        <v>100.582301685666</v>
      </c>
      <c r="AN7035">
        <v>1.00000001978429</v>
      </c>
    </row>
    <row r="7036" spans="1:40" x14ac:dyDescent="0.25">
      <c r="A7036" t="str">
        <f>"20190303153948231"</f>
        <v>20190303153948231</v>
      </c>
      <c r="B7036" t="str">
        <f>"1551598788225501"</f>
        <v>1551598788225501</v>
      </c>
      <c r="C7036" t="s">
        <v>40</v>
      </c>
      <c r="D7036">
        <v>4.1565209999999997</v>
      </c>
      <c r="E7036">
        <v>0.31088070000000001</v>
      </c>
      <c r="F7036" t="s">
        <v>44</v>
      </c>
      <c r="G7036">
        <v>-419.5</v>
      </c>
      <c r="H7036">
        <v>1.0435909999999999</v>
      </c>
      <c r="I7036">
        <v>28.67578</v>
      </c>
      <c r="J7036">
        <v>-420.28859999999997</v>
      </c>
      <c r="K7036">
        <v>1.129902</v>
      </c>
      <c r="L7036">
        <v>29.08783</v>
      </c>
      <c r="M7036">
        <v>0.3713823</v>
      </c>
      <c r="N7036">
        <v>-1.5394420000000001E-2</v>
      </c>
      <c r="O7036">
        <v>-0.92835239999999997</v>
      </c>
      <c r="P7036">
        <v>0.535973699999999</v>
      </c>
      <c r="Q7036">
        <v>-3.2730139999999998E-2</v>
      </c>
      <c r="R7036">
        <v>-0.84360000000000002</v>
      </c>
      <c r="S7036">
        <v>2.8633120000000001</v>
      </c>
      <c r="T7036">
        <v>-0.29580440000000002</v>
      </c>
      <c r="U7036">
        <v>-1.7399290000000001</v>
      </c>
      <c r="V7036">
        <v>-0.18389240000000001</v>
      </c>
      <c r="W7036">
        <v>-2.1411260000000001E-2</v>
      </c>
      <c r="X7036">
        <v>0.98271319999999995</v>
      </c>
      <c r="Y7036">
        <v>-0.59737269999999998</v>
      </c>
      <c r="Z7036">
        <v>8.018699E-2</v>
      </c>
      <c r="AA7036">
        <v>0.79794480000000001</v>
      </c>
      <c r="AB7036">
        <v>21</v>
      </c>
      <c r="AC7036">
        <v>0.78859999999997399</v>
      </c>
      <c r="AD7036">
        <v>-8.6310999999999999E-2</v>
      </c>
      <c r="AE7036">
        <v>-0.41205000000000003</v>
      </c>
      <c r="AF7036">
        <v>-0.57374041720987401</v>
      </c>
      <c r="AG7036">
        <v>-8.6310999999999999E-2</v>
      </c>
      <c r="AH7036">
        <v>0.66918279315636797</v>
      </c>
      <c r="AI7036">
        <v>95.592430368967001</v>
      </c>
      <c r="AJ7036">
        <v>130.608952403052</v>
      </c>
      <c r="AK7036">
        <v>0.88568237292932395</v>
      </c>
      <c r="AL7036">
        <v>91.226868530202097</v>
      </c>
      <c r="AM7036">
        <v>100.599021163448</v>
      </c>
      <c r="AN7036">
        <v>1.0000000451433899</v>
      </c>
    </row>
    <row r="7037" spans="1:40" x14ac:dyDescent="0.25">
      <c r="A7037" t="str">
        <f>"20190303153948244"</f>
        <v>20190303153948244</v>
      </c>
      <c r="B7037" t="str">
        <f>"1551598788235262"</f>
        <v>1551598788235262</v>
      </c>
      <c r="C7037" t="s">
        <v>40</v>
      </c>
      <c r="D7037">
        <v>4.1050110000000002</v>
      </c>
      <c r="E7037">
        <v>0.31098880000000001</v>
      </c>
      <c r="F7037" t="s">
        <v>63</v>
      </c>
      <c r="G7037">
        <v>-409.33580000000001</v>
      </c>
      <c r="H7037" s="1">
        <v>-1.894313E-6</v>
      </c>
      <c r="I7037">
        <v>22.55294</v>
      </c>
      <c r="J7037">
        <v>-420.23750000000001</v>
      </c>
      <c r="K7037">
        <v>1.1299250000000001</v>
      </c>
      <c r="L7037">
        <v>28.985469999999999</v>
      </c>
      <c r="M7037">
        <v>0.37920120000000002</v>
      </c>
      <c r="N7037">
        <v>-1.5416839999999999E-2</v>
      </c>
      <c r="O7037">
        <v>-0.92518610000000001</v>
      </c>
      <c r="P7037">
        <v>0.54366519999999996</v>
      </c>
      <c r="Q7037">
        <v>-3.3107659999999997E-2</v>
      </c>
      <c r="R7037">
        <v>-0.83864919999999998</v>
      </c>
      <c r="S7037">
        <v>2.8772280000000001</v>
      </c>
      <c r="T7037">
        <v>-0.296819</v>
      </c>
      <c r="U7037">
        <v>-1.716675</v>
      </c>
      <c r="V7037">
        <v>-0.18458440000000001</v>
      </c>
      <c r="W7037">
        <v>-2.1794250000000001E-2</v>
      </c>
      <c r="X7037">
        <v>0.98257499999999998</v>
      </c>
      <c r="Y7037">
        <v>-0.59704869999999899</v>
      </c>
      <c r="Z7037">
        <v>8.0517439999999996E-2</v>
      </c>
      <c r="AA7037">
        <v>0.79815400000000003</v>
      </c>
      <c r="AB7037">
        <v>21</v>
      </c>
      <c r="AC7037">
        <v>10.9017</v>
      </c>
      <c r="AD7037">
        <v>-1.1299268943130001</v>
      </c>
      <c r="AE7037">
        <v>-6.4325299999999999</v>
      </c>
      <c r="AF7037">
        <v>-7.5873260894689603</v>
      </c>
      <c r="AG7037">
        <v>-1.1299268943130001</v>
      </c>
      <c r="AH7037">
        <v>10.0066836617129</v>
      </c>
      <c r="AI7037">
        <v>95.141472525294603</v>
      </c>
      <c r="AJ7037">
        <v>127.17034425259401</v>
      </c>
      <c r="AK7037">
        <v>12.608646631578599</v>
      </c>
      <c r="AL7037">
        <v>91.248817405537594</v>
      </c>
      <c r="AM7037">
        <v>100.639459429277</v>
      </c>
      <c r="AN7037">
        <v>1.0000000103407101</v>
      </c>
    </row>
    <row r="7038" spans="1:40" x14ac:dyDescent="0.25">
      <c r="A7038" t="str">
        <f>"20190303153948256"</f>
        <v>20190303153948256</v>
      </c>
      <c r="B7038" t="str">
        <f>"1551598788245997"</f>
        <v>1551598788245997</v>
      </c>
      <c r="C7038" t="s">
        <v>40</v>
      </c>
      <c r="D7038">
        <v>4.0571140000000003</v>
      </c>
      <c r="E7038">
        <v>0.3111389</v>
      </c>
      <c r="F7038" t="s">
        <v>44</v>
      </c>
      <c r="G7038">
        <v>-419.4298</v>
      </c>
      <c r="H7038">
        <v>1.046883</v>
      </c>
      <c r="I7038">
        <v>28.513580000000001</v>
      </c>
      <c r="J7038">
        <v>-420.18799999999999</v>
      </c>
      <c r="K7038">
        <v>1.1299410000000001</v>
      </c>
      <c r="L7038">
        <v>28.888639999999999</v>
      </c>
      <c r="M7038">
        <v>0.3866388</v>
      </c>
      <c r="N7038">
        <v>-1.543692E-2</v>
      </c>
      <c r="O7038">
        <v>-0.92210210000000004</v>
      </c>
      <c r="P7038">
        <v>0.55078349999999998</v>
      </c>
      <c r="Q7038">
        <v>-3.3960850000000001E-2</v>
      </c>
      <c r="R7038">
        <v>-0.83395730000000001</v>
      </c>
      <c r="S7038">
        <v>2.89209</v>
      </c>
      <c r="T7038">
        <v>-0.2974483</v>
      </c>
      <c r="U7038">
        <v>-1.6906129999999999</v>
      </c>
      <c r="V7038">
        <v>-0.18502969999999999</v>
      </c>
      <c r="W7038">
        <v>-2.2647540000000001E-2</v>
      </c>
      <c r="X7038">
        <v>0.98247189999999995</v>
      </c>
      <c r="Y7038">
        <v>-0.59772890000000001</v>
      </c>
      <c r="Z7038">
        <v>8.0761050000000001E-2</v>
      </c>
      <c r="AA7038">
        <v>0.79762010000000005</v>
      </c>
      <c r="AB7038">
        <v>21</v>
      </c>
      <c r="AC7038">
        <v>0.75820000000004395</v>
      </c>
      <c r="AD7038">
        <v>-8.3058000000000007E-2</v>
      </c>
      <c r="AE7038">
        <v>-0.375060000000004</v>
      </c>
      <c r="AF7038">
        <v>-0.54889901926404705</v>
      </c>
      <c r="AG7038">
        <v>-8.3058000000000007E-2</v>
      </c>
      <c r="AH7038">
        <v>0.632966702260782</v>
      </c>
      <c r="AI7038">
        <v>95.661588699075494</v>
      </c>
      <c r="AJ7038">
        <v>130.93132769364101</v>
      </c>
      <c r="AK7038">
        <v>0.84192375598026803</v>
      </c>
      <c r="AL7038">
        <v>91.297719452281896</v>
      </c>
      <c r="AM7038">
        <v>100.665631967187</v>
      </c>
      <c r="AN7038">
        <v>0.99999996761987497</v>
      </c>
    </row>
    <row r="7039" spans="1:40" x14ac:dyDescent="0.25">
      <c r="A7039" t="str">
        <f>"20190303153948269"</f>
        <v>20190303153948269</v>
      </c>
      <c r="B7039" t="str">
        <f>"1551598788265516"</f>
        <v>1551598788265516</v>
      </c>
      <c r="C7039" t="s">
        <v>40</v>
      </c>
      <c r="D7039">
        <v>4.085064</v>
      </c>
      <c r="E7039">
        <v>0.31160700000000002</v>
      </c>
      <c r="F7039" t="s">
        <v>44</v>
      </c>
      <c r="G7039">
        <v>-419.31099999999998</v>
      </c>
      <c r="H7039">
        <v>1.0393600000000001</v>
      </c>
      <c r="I7039">
        <v>28.385370000000002</v>
      </c>
      <c r="J7039">
        <v>-420.13400000000001</v>
      </c>
      <c r="K7039">
        <v>1.1299539999999999</v>
      </c>
      <c r="L7039">
        <v>28.78436</v>
      </c>
      <c r="M7039">
        <v>0.39466620000000002</v>
      </c>
      <c r="N7039">
        <v>-1.545758E-2</v>
      </c>
      <c r="O7039">
        <v>-0.91869480000000003</v>
      </c>
      <c r="P7039">
        <v>0.55838909999999997</v>
      </c>
      <c r="Q7039">
        <v>-3.4310710000000001E-2</v>
      </c>
      <c r="R7039">
        <v>-0.82886949999999904</v>
      </c>
      <c r="S7039">
        <v>2.9049680000000002</v>
      </c>
      <c r="T7039">
        <v>-0.3000139</v>
      </c>
      <c r="U7039">
        <v>-1.666534</v>
      </c>
      <c r="V7039">
        <v>-0.18544569999999999</v>
      </c>
      <c r="W7039">
        <v>-2.299526E-2</v>
      </c>
      <c r="X7039">
        <v>0.98238550000000002</v>
      </c>
      <c r="Y7039">
        <v>-0.59718530000000003</v>
      </c>
      <c r="Z7039">
        <v>8.1581340000000002E-2</v>
      </c>
      <c r="AA7039">
        <v>0.79794379999999998</v>
      </c>
      <c r="AB7039">
        <v>21</v>
      </c>
      <c r="AC7039">
        <v>0.82300000000003504</v>
      </c>
      <c r="AD7039">
        <v>-9.0593999999999994E-2</v>
      </c>
      <c r="AE7039">
        <v>-0.39898999999999402</v>
      </c>
      <c r="AF7039">
        <v>-0.59287255505796799</v>
      </c>
      <c r="AG7039">
        <v>-9.0593999999999994E-2</v>
      </c>
      <c r="AH7039">
        <v>0.68472480261514101</v>
      </c>
      <c r="AI7039">
        <v>95.711911576067294</v>
      </c>
      <c r="AJ7039">
        <v>130.88782278670399</v>
      </c>
      <c r="AK7039">
        <v>0.91024897401387295</v>
      </c>
      <c r="AL7039">
        <v>91.317647383327895</v>
      </c>
      <c r="AM7039">
        <v>100.68997787124</v>
      </c>
      <c r="AN7039">
        <v>1.0000000801205999</v>
      </c>
    </row>
    <row r="7040" spans="1:40" x14ac:dyDescent="0.25">
      <c r="A7040" t="str">
        <f>"20190303153948283"</f>
        <v>20190303153948283</v>
      </c>
      <c r="B7040" t="str">
        <f>"1551598788275276"</f>
        <v>1551598788275276</v>
      </c>
      <c r="C7040" t="s">
        <v>40</v>
      </c>
      <c r="D7040">
        <v>4.1345099999999997</v>
      </c>
      <c r="E7040">
        <v>0.31160700000000002</v>
      </c>
      <c r="F7040" t="s">
        <v>44</v>
      </c>
      <c r="G7040">
        <v>-419.36160000000001</v>
      </c>
      <c r="H7040">
        <v>1.050387</v>
      </c>
      <c r="I7040">
        <v>28.349460000000001</v>
      </c>
      <c r="J7040">
        <v>-420.07420000000002</v>
      </c>
      <c r="K7040">
        <v>1.129961</v>
      </c>
      <c r="L7040">
        <v>28.672910000000002</v>
      </c>
      <c r="M7040">
        <v>0.40333439999999998</v>
      </c>
      <c r="N7040">
        <v>-1.547747E-2</v>
      </c>
      <c r="O7040">
        <v>-0.91492180000000001</v>
      </c>
      <c r="P7040">
        <v>0.56679860000000004</v>
      </c>
      <c r="Q7040">
        <v>-3.6558519999999997E-2</v>
      </c>
      <c r="R7040">
        <v>-0.82304489999999997</v>
      </c>
      <c r="S7040">
        <v>2.9170229999999999</v>
      </c>
      <c r="T7040">
        <v>-0.30044399999999999</v>
      </c>
      <c r="U7040">
        <v>-1.6418459999999999</v>
      </c>
      <c r="V7040">
        <v>-0.18615029999999999</v>
      </c>
      <c r="W7040">
        <v>-2.524713E-2</v>
      </c>
      <c r="X7040">
        <v>0.98219690000000004</v>
      </c>
      <c r="Y7040">
        <v>-0.59613769999999999</v>
      </c>
      <c r="Z7040">
        <v>8.1740569999999999E-2</v>
      </c>
      <c r="AA7040">
        <v>0.79871040000000004</v>
      </c>
      <c r="AB7040">
        <v>21</v>
      </c>
      <c r="AC7040">
        <v>0.712600000000009</v>
      </c>
      <c r="AD7040">
        <v>-7.9573999999999798E-2</v>
      </c>
      <c r="AE7040">
        <v>-0.32345000000000101</v>
      </c>
      <c r="AF7040">
        <v>-0.51623962453371297</v>
      </c>
      <c r="AG7040">
        <v>-7.9573999999999798E-2</v>
      </c>
      <c r="AH7040">
        <v>0.57744697057401495</v>
      </c>
      <c r="AI7040">
        <v>95.865647278114196</v>
      </c>
      <c r="AJ7040">
        <v>131.796826202087</v>
      </c>
      <c r="AK7040">
        <v>0.77864008067901003</v>
      </c>
      <c r="AL7040">
        <v>91.446707640510496</v>
      </c>
      <c r="AM7040">
        <v>100.73166559908501</v>
      </c>
      <c r="AN7040">
        <v>1.0000000510664599</v>
      </c>
    </row>
    <row r="7041" spans="1:40" x14ac:dyDescent="0.25">
      <c r="A7041" t="str">
        <f>"20190303153948294"</f>
        <v>20190303153948294</v>
      </c>
      <c r="B7041" t="str">
        <f>"1551598788286012"</f>
        <v>1551598788286012</v>
      </c>
      <c r="C7041" t="s">
        <v>40</v>
      </c>
      <c r="D7041">
        <v>4.1197739999999996</v>
      </c>
      <c r="E7041">
        <v>0.32023829999999998</v>
      </c>
      <c r="F7041" t="s">
        <v>44</v>
      </c>
      <c r="G7041">
        <v>-419.24720000000002</v>
      </c>
      <c r="H7041">
        <v>1.0434669999999999</v>
      </c>
      <c r="I7041">
        <v>28.21847</v>
      </c>
      <c r="J7041">
        <v>-420.02550000000002</v>
      </c>
      <c r="K7041">
        <v>1.129966</v>
      </c>
      <c r="L7041">
        <v>28.58334</v>
      </c>
      <c r="M7041">
        <v>0.41031659999999998</v>
      </c>
      <c r="N7041">
        <v>-1.5492499999999999E-2</v>
      </c>
      <c r="O7041">
        <v>-0.9118117</v>
      </c>
      <c r="P7041">
        <v>0.57305249999999996</v>
      </c>
      <c r="Q7041">
        <v>-3.8473229999999997E-2</v>
      </c>
      <c r="R7041">
        <v>-0.81861509999999904</v>
      </c>
      <c r="S7041">
        <v>2.933319</v>
      </c>
      <c r="T7041">
        <v>-0.3067318</v>
      </c>
      <c r="U7041">
        <v>-1.6112979999999999</v>
      </c>
      <c r="V7041">
        <v>-0.18612039999999999</v>
      </c>
      <c r="W7041">
        <v>-2.7150959999999998E-2</v>
      </c>
      <c r="X7041">
        <v>0.98215169999999996</v>
      </c>
      <c r="Y7041">
        <v>-0.59810839999999998</v>
      </c>
      <c r="Z7041">
        <v>8.3770430000000007E-2</v>
      </c>
      <c r="AA7041">
        <v>0.79702499999999998</v>
      </c>
      <c r="AB7041">
        <v>21</v>
      </c>
      <c r="AC7041">
        <v>0.77830000000000099</v>
      </c>
      <c r="AD7041">
        <v>-8.6499000000000104E-2</v>
      </c>
      <c r="AE7041">
        <v>-0.36487000000000303</v>
      </c>
      <c r="AF7041">
        <v>-0.55440393343580197</v>
      </c>
      <c r="AG7041">
        <v>-8.6499000000000104E-2</v>
      </c>
      <c r="AH7041">
        <v>0.64558298973939898</v>
      </c>
      <c r="AI7041">
        <v>95.804074917507805</v>
      </c>
      <c r="AJ7041">
        <v>130.65482272219899</v>
      </c>
      <c r="AK7041">
        <v>0.85534975013204395</v>
      </c>
      <c r="AL7041">
        <v>91.555826657209806</v>
      </c>
      <c r="AM7041">
        <v>100.73046421518499</v>
      </c>
      <c r="AN7041">
        <v>0.99999996986898498</v>
      </c>
    </row>
    <row r="7042" spans="1:40" x14ac:dyDescent="0.25">
      <c r="A7042" t="str">
        <f>"20190303153948307"</f>
        <v>20190303153948307</v>
      </c>
      <c r="B7042" t="str">
        <f>"1551598788295773"</f>
        <v>1551598788295773</v>
      </c>
      <c r="C7042" t="s">
        <v>40</v>
      </c>
      <c r="D7042">
        <v>4.1602059999999996</v>
      </c>
      <c r="E7042">
        <v>0.32162540000000001</v>
      </c>
      <c r="F7042" t="s">
        <v>44</v>
      </c>
      <c r="G7042">
        <v>-419.13929999999999</v>
      </c>
      <c r="H7042">
        <v>1.038073</v>
      </c>
      <c r="I7042">
        <v>28.083739999999999</v>
      </c>
      <c r="J7042">
        <v>-419.97149999999999</v>
      </c>
      <c r="K7042">
        <v>1.1299669999999999</v>
      </c>
      <c r="L7042">
        <v>28.48602</v>
      </c>
      <c r="M7042">
        <v>0.41793059999999999</v>
      </c>
      <c r="N7042">
        <v>-1.55078E-2</v>
      </c>
      <c r="O7042">
        <v>-0.90834649999999995</v>
      </c>
      <c r="P7042">
        <v>0.57994119999999905</v>
      </c>
      <c r="Q7042">
        <v>-4.0183389999999999E-2</v>
      </c>
      <c r="R7042">
        <v>-0.81366669999999996</v>
      </c>
      <c r="S7042">
        <v>2.889313</v>
      </c>
      <c r="T7042">
        <v>-0.29951929999999999</v>
      </c>
      <c r="U7042">
        <v>-1.6280520000000001</v>
      </c>
      <c r="V7042">
        <v>-0.1861921</v>
      </c>
      <c r="W7042">
        <v>-2.885122E-2</v>
      </c>
      <c r="X7042">
        <v>0.98208969999999995</v>
      </c>
      <c r="Y7042">
        <v>-0.58283309999999999</v>
      </c>
      <c r="Z7042">
        <v>8.1915009999999996E-2</v>
      </c>
      <c r="AA7042">
        <v>0.80845250000000002</v>
      </c>
      <c r="AB7042">
        <v>21</v>
      </c>
      <c r="AC7042">
        <v>0.83220000000000005</v>
      </c>
      <c r="AD7042">
        <v>-9.1893999999999906E-2</v>
      </c>
      <c r="AE7042">
        <v>-0.40227999999999697</v>
      </c>
      <c r="AF7042">
        <v>-0.58211808662130604</v>
      </c>
      <c r="AG7042">
        <v>-9.1893999999999906E-2</v>
      </c>
      <c r="AH7042">
        <v>0.70631627974042799</v>
      </c>
      <c r="AI7042">
        <v>95.733254004254405</v>
      </c>
      <c r="AJ7042">
        <v>129.49400451840799</v>
      </c>
      <c r="AK7042">
        <v>0.91988513469563604</v>
      </c>
      <c r="AL7042">
        <v>91.653282499611194</v>
      </c>
      <c r="AM7042">
        <v>100.73516385065901</v>
      </c>
      <c r="AN7042">
        <v>1.00000003492199</v>
      </c>
    </row>
    <row r="7043" spans="1:40" x14ac:dyDescent="0.25">
      <c r="A7043" t="str">
        <f>"20190303153948322"</f>
        <v>20190303153948322</v>
      </c>
      <c r="B7043" t="str">
        <f>"1551598788315293"</f>
        <v>1551598788315293</v>
      </c>
      <c r="C7043" t="s">
        <v>40</v>
      </c>
      <c r="D7043">
        <v>4.0666580000000003</v>
      </c>
      <c r="E7043">
        <v>0.32328750000000001</v>
      </c>
      <c r="F7043" t="s">
        <v>44</v>
      </c>
      <c r="G7043">
        <v>-419.18579999999997</v>
      </c>
      <c r="H7043">
        <v>1.0473539999999999</v>
      </c>
      <c r="I7043">
        <v>28.04881</v>
      </c>
      <c r="J7043">
        <v>-419.90980000000002</v>
      </c>
      <c r="K7043">
        <v>1.1299629999999901</v>
      </c>
      <c r="L7043">
        <v>28.37772</v>
      </c>
      <c r="M7043">
        <v>0.42646060000000002</v>
      </c>
      <c r="N7043">
        <v>-1.5523260000000001E-2</v>
      </c>
      <c r="O7043">
        <v>-0.90437290000000004</v>
      </c>
      <c r="P7043">
        <v>0.5875127</v>
      </c>
      <c r="Q7043">
        <v>-4.1915559999999998E-2</v>
      </c>
      <c r="R7043">
        <v>-0.80812890000000004</v>
      </c>
      <c r="S7043">
        <v>2.8939509999999999</v>
      </c>
      <c r="T7043">
        <v>-0.30416670000000001</v>
      </c>
      <c r="U7043">
        <v>-1.6093440000000001</v>
      </c>
      <c r="V7043">
        <v>-0.18612029999999999</v>
      </c>
      <c r="W7043">
        <v>-3.056801E-2</v>
      </c>
      <c r="X7043">
        <v>0.98205129999999996</v>
      </c>
      <c r="Y7043">
        <v>-0.57961099999999999</v>
      </c>
      <c r="Z7043">
        <v>8.3390430000000001E-2</v>
      </c>
      <c r="AA7043">
        <v>0.81061530000000004</v>
      </c>
      <c r="AB7043">
        <v>21</v>
      </c>
      <c r="AC7043">
        <v>0.72400000000004605</v>
      </c>
      <c r="AD7043">
        <v>-8.2608999999999697E-2</v>
      </c>
      <c r="AE7043">
        <v>-0.32891000000000398</v>
      </c>
      <c r="AF7043">
        <v>-0.50906711090478596</v>
      </c>
      <c r="AG7043">
        <v>-8.2608999999999697E-2</v>
      </c>
      <c r="AH7043">
        <v>0.59981478049567805</v>
      </c>
      <c r="AI7043">
        <v>95.994343943130005</v>
      </c>
      <c r="AJ7043">
        <v>130.32150586227701</v>
      </c>
      <c r="AK7043">
        <v>0.79104446220615399</v>
      </c>
      <c r="AL7043">
        <v>91.751690896554507</v>
      </c>
      <c r="AM7043">
        <v>100.731530135737</v>
      </c>
      <c r="AN7043">
        <v>0.99999996256956902</v>
      </c>
    </row>
    <row r="7044" spans="1:40" x14ac:dyDescent="0.25">
      <c r="A7044" t="str">
        <f>"20190303153948335"</f>
        <v>20190303153948335</v>
      </c>
      <c r="B7044" t="str">
        <f>"1551598788326028"</f>
        <v>1551598788326028</v>
      </c>
      <c r="C7044" t="s">
        <v>40</v>
      </c>
      <c r="D7044">
        <v>4.0916620000000004</v>
      </c>
      <c r="E7044">
        <v>0.324051599999999</v>
      </c>
      <c r="F7044" t="s">
        <v>44</v>
      </c>
      <c r="G7044">
        <v>-419.07209999999998</v>
      </c>
      <c r="H7044">
        <v>1.041968</v>
      </c>
      <c r="I7044">
        <v>27.918299999999999</v>
      </c>
      <c r="J7044">
        <v>-419.84379999999999</v>
      </c>
      <c r="K7044">
        <v>1.129958</v>
      </c>
      <c r="L7044">
        <v>28.26407</v>
      </c>
      <c r="M7044">
        <v>0.4354344</v>
      </c>
      <c r="N7044">
        <v>-1.553826E-2</v>
      </c>
      <c r="O7044">
        <v>-0.90008639999999995</v>
      </c>
      <c r="P7044">
        <v>0.59514669999999903</v>
      </c>
      <c r="Q7044">
        <v>-4.3291549999999998E-2</v>
      </c>
      <c r="R7044">
        <v>-0.80245</v>
      </c>
      <c r="S7044">
        <v>2.8984679999999998</v>
      </c>
      <c r="T7044">
        <v>-0.30445109999999997</v>
      </c>
      <c r="U7044">
        <v>-1.5893250000000001</v>
      </c>
      <c r="V7044">
        <v>-0.18566569999999999</v>
      </c>
      <c r="W7044">
        <v>-3.1918210000000002E-2</v>
      </c>
      <c r="X7044">
        <v>0.98209440000000003</v>
      </c>
      <c r="Y7044">
        <v>-0.57633330000000005</v>
      </c>
      <c r="Z7044">
        <v>8.3510550000000003E-2</v>
      </c>
      <c r="AA7044">
        <v>0.81293669999999996</v>
      </c>
      <c r="AB7044">
        <v>21</v>
      </c>
      <c r="AC7044">
        <v>0.77170000000000905</v>
      </c>
      <c r="AD7044">
        <v>-8.7989999999999999E-2</v>
      </c>
      <c r="AE7044">
        <v>-0.34577000000000102</v>
      </c>
      <c r="AF7044">
        <v>-0.53827422250144596</v>
      </c>
      <c r="AG7044">
        <v>-8.7989999999999999E-2</v>
      </c>
      <c r="AH7044">
        <v>0.64039211497545701</v>
      </c>
      <c r="AI7044">
        <v>96.004299002203993</v>
      </c>
      <c r="AJ7044">
        <v>130.04834389189199</v>
      </c>
      <c r="AK7044">
        <v>0.84117979031374401</v>
      </c>
      <c r="AL7044">
        <v>91.829089442838097</v>
      </c>
      <c r="AM7044">
        <v>100.705465906909</v>
      </c>
      <c r="AN7044">
        <v>0.99999996739872599</v>
      </c>
    </row>
    <row r="7045" spans="1:40" x14ac:dyDescent="0.25">
      <c r="A7045" t="str">
        <f>"20190303153948351"</f>
        <v>20190303153948351</v>
      </c>
      <c r="B7045" t="str">
        <f>"1551598788345548"</f>
        <v>1551598788345548</v>
      </c>
      <c r="C7045" t="s">
        <v>40</v>
      </c>
      <c r="D7045">
        <v>4.098312</v>
      </c>
      <c r="E7045">
        <v>0.32472570000000001</v>
      </c>
      <c r="F7045" t="s">
        <v>44</v>
      </c>
      <c r="G7045">
        <v>-418.95949999999999</v>
      </c>
      <c r="H7045">
        <v>1.0372840000000001</v>
      </c>
      <c r="I7045">
        <v>27.787939999999999</v>
      </c>
      <c r="J7045">
        <v>-419.77550000000002</v>
      </c>
      <c r="K7045">
        <v>1.129956</v>
      </c>
      <c r="L7045">
        <v>28.148900000000001</v>
      </c>
      <c r="M7045">
        <v>0.44455430000000001</v>
      </c>
      <c r="N7045">
        <v>-1.5552109999999999E-2</v>
      </c>
      <c r="O7045">
        <v>-0.89561689999999905</v>
      </c>
      <c r="P7045">
        <v>0.60254249999999998</v>
      </c>
      <c r="Q7045">
        <v>-4.4211159999999999E-2</v>
      </c>
      <c r="R7045">
        <v>-0.79686140000000005</v>
      </c>
      <c r="S7045">
        <v>2.9086609999999999</v>
      </c>
      <c r="T7045">
        <v>-0.30468329999999999</v>
      </c>
      <c r="U7045">
        <v>-1.5649109999999999</v>
      </c>
      <c r="V7045">
        <v>-0.18477759999999999</v>
      </c>
      <c r="W7045">
        <v>-3.2800889999999999E-2</v>
      </c>
      <c r="X7045">
        <v>0.98223280000000002</v>
      </c>
      <c r="Y7045">
        <v>-0.574515</v>
      </c>
      <c r="Z7045">
        <v>8.3562620000000004E-2</v>
      </c>
      <c r="AA7045">
        <v>0.81421730000000003</v>
      </c>
      <c r="AB7045">
        <v>21</v>
      </c>
      <c r="AC7045">
        <v>0.81600000000003003</v>
      </c>
      <c r="AD7045">
        <v>-9.2671999999999796E-2</v>
      </c>
      <c r="AE7045">
        <v>-0.360959999999998</v>
      </c>
      <c r="AF7045">
        <v>-0.56433849649647205</v>
      </c>
      <c r="AG7045">
        <v>-9.2671999999999796E-2</v>
      </c>
      <c r="AH7045">
        <v>0.67879891046317298</v>
      </c>
      <c r="AI7045">
        <v>95.993023975191207</v>
      </c>
      <c r="AJ7045">
        <v>129.73939082258801</v>
      </c>
      <c r="AK7045">
        <v>0.88760013466531695</v>
      </c>
      <c r="AL7045">
        <v>91.879689786031904</v>
      </c>
      <c r="AM7045">
        <v>100.653966412965</v>
      </c>
      <c r="AN7045">
        <v>0.99999996662119495</v>
      </c>
    </row>
    <row r="7046" spans="1:40" x14ac:dyDescent="0.25">
      <c r="A7046" t="str">
        <f>"20190303153948363"</f>
        <v>20190303153948363</v>
      </c>
      <c r="B7046" t="str">
        <f>"1551598788355309"</f>
        <v>1551598788355309</v>
      </c>
      <c r="C7046" t="s">
        <v>40</v>
      </c>
      <c r="D7046">
        <v>4.1255660000000001</v>
      </c>
      <c r="E7046">
        <v>0.33200950000000001</v>
      </c>
      <c r="F7046" t="s">
        <v>44</v>
      </c>
      <c r="G7046">
        <v>-418.84660000000002</v>
      </c>
      <c r="H7046">
        <v>1.0329079999999999</v>
      </c>
      <c r="I7046">
        <v>27.658639999999998</v>
      </c>
      <c r="J7046">
        <v>-419.71850000000001</v>
      </c>
      <c r="K7046">
        <v>1.1299509999999999</v>
      </c>
      <c r="L7046">
        <v>28.055479999999999</v>
      </c>
      <c r="M7046">
        <v>0.45199070000000002</v>
      </c>
      <c r="N7046">
        <v>-1.5561500000000001E-2</v>
      </c>
      <c r="O7046">
        <v>-0.89188709999999904</v>
      </c>
      <c r="P7046">
        <v>0.60865979999999997</v>
      </c>
      <c r="Q7046">
        <v>-4.409329E-2</v>
      </c>
      <c r="R7046">
        <v>-0.79220550000000001</v>
      </c>
      <c r="S7046">
        <v>2.9188230000000002</v>
      </c>
      <c r="T7046">
        <v>-0.30498039999999998</v>
      </c>
      <c r="U7046">
        <v>-1.540802</v>
      </c>
      <c r="V7046">
        <v>-0.18416859999999999</v>
      </c>
      <c r="W7046">
        <v>-3.265506E-2</v>
      </c>
      <c r="X7046">
        <v>0.98235209999999995</v>
      </c>
      <c r="Y7046">
        <v>-0.57413149999999902</v>
      </c>
      <c r="Z7046">
        <v>8.3672650000000001E-2</v>
      </c>
      <c r="AA7046">
        <v>0.81447639999999999</v>
      </c>
      <c r="AB7046">
        <v>21</v>
      </c>
      <c r="AC7046">
        <v>0.87189999999998202</v>
      </c>
      <c r="AD7046">
        <v>-9.7043000000000004E-2</v>
      </c>
      <c r="AE7046">
        <v>-0.39683999999999697</v>
      </c>
      <c r="AF7046">
        <v>-0.59226292186259799</v>
      </c>
      <c r="AG7046">
        <v>-9.7043000000000004E-2</v>
      </c>
      <c r="AH7046">
        <v>0.74051842973225201</v>
      </c>
      <c r="AI7046">
        <v>95.843366134352394</v>
      </c>
      <c r="AJ7046">
        <v>128.652644827161</v>
      </c>
      <c r="AK7046">
        <v>0.95318427244438997</v>
      </c>
      <c r="AL7046">
        <v>91.871329731520007</v>
      </c>
      <c r="AM7046">
        <v>100.618392103443</v>
      </c>
      <c r="AN7046">
        <v>1.0000000372719799</v>
      </c>
    </row>
    <row r="7047" spans="1:40" x14ac:dyDescent="0.25">
      <c r="A7047" t="str">
        <f>"20190303153948373"</f>
        <v>20190303153948373</v>
      </c>
      <c r="B7047" t="str">
        <f>"1551598788366045"</f>
        <v>1551598788366045</v>
      </c>
      <c r="C7047" t="s">
        <v>40</v>
      </c>
      <c r="D7047">
        <v>4.0874180000000004</v>
      </c>
      <c r="E7047">
        <v>0.3314107</v>
      </c>
      <c r="F7047" t="s">
        <v>44</v>
      </c>
      <c r="G7047">
        <v>-418.90030000000002</v>
      </c>
      <c r="H7047">
        <v>1.043398</v>
      </c>
      <c r="I7047">
        <v>27.61477</v>
      </c>
      <c r="J7047">
        <v>-419.66770000000002</v>
      </c>
      <c r="K7047">
        <v>1.129939</v>
      </c>
      <c r="L7047">
        <v>27.973299999999998</v>
      </c>
      <c r="M7047">
        <v>0.45853470000000002</v>
      </c>
      <c r="N7047">
        <v>-1.5569009999999999E-2</v>
      </c>
      <c r="O7047">
        <v>-0.8885402</v>
      </c>
      <c r="P7047">
        <v>0.61408009999999902</v>
      </c>
      <c r="Q7047">
        <v>-4.3720229999999999E-2</v>
      </c>
      <c r="R7047">
        <v>-0.78803219999999996</v>
      </c>
      <c r="S7047">
        <v>2.8843380000000001</v>
      </c>
      <c r="T7047">
        <v>-0.30515690000000001</v>
      </c>
      <c r="U7047">
        <v>-1.5538639999999999</v>
      </c>
      <c r="V7047">
        <v>-0.18368519999999999</v>
      </c>
      <c r="W7047">
        <v>-3.2258530000000001E-2</v>
      </c>
      <c r="X7047">
        <v>0.98245570000000004</v>
      </c>
      <c r="Y7047">
        <v>-0.56115170000000003</v>
      </c>
      <c r="Z7047">
        <v>8.3959110000000003E-2</v>
      </c>
      <c r="AA7047">
        <v>0.8234437</v>
      </c>
      <c r="AB7047">
        <v>21</v>
      </c>
      <c r="AC7047">
        <v>0.76740000000000896</v>
      </c>
      <c r="AD7047">
        <v>-8.6540999999999896E-2</v>
      </c>
      <c r="AE7047">
        <v>-0.35852999999999802</v>
      </c>
      <c r="AF7047">
        <v>-0.51218336564168299</v>
      </c>
      <c r="AG7047">
        <v>-8.6540999999999896E-2</v>
      </c>
      <c r="AH7047">
        <v>0.66360180109456901</v>
      </c>
      <c r="AI7047">
        <v>95.894188329671195</v>
      </c>
      <c r="AJ7047">
        <v>127.661798333123</v>
      </c>
      <c r="AK7047">
        <v>0.84272682118050501</v>
      </c>
      <c r="AL7047">
        <v>91.848598266577596</v>
      </c>
      <c r="AM7047">
        <v>100.59006107238299</v>
      </c>
      <c r="AN7047">
        <v>1.00000003395964</v>
      </c>
    </row>
    <row r="7048" spans="1:40" x14ac:dyDescent="0.25">
      <c r="A7048" t="str">
        <f>"20190303153948384"</f>
        <v>20190303153948384</v>
      </c>
      <c r="B7048" t="str">
        <f>"1551598788375804"</f>
        <v>1551598788375804</v>
      </c>
      <c r="C7048" t="s">
        <v>40</v>
      </c>
      <c r="D7048">
        <v>4.0772110000000001</v>
      </c>
      <c r="E7048">
        <v>0.33167999999999997</v>
      </c>
      <c r="F7048" t="s">
        <v>44</v>
      </c>
      <c r="G7048">
        <v>-418.77069999999998</v>
      </c>
      <c r="H7048">
        <v>1.0358579999999999</v>
      </c>
      <c r="I7048">
        <v>27.499120000000001</v>
      </c>
      <c r="J7048">
        <v>-419.61500000000001</v>
      </c>
      <c r="K7048">
        <v>1.1299239999999999</v>
      </c>
      <c r="L7048">
        <v>27.889679999999998</v>
      </c>
      <c r="M7048">
        <v>0.4652115</v>
      </c>
      <c r="N7048">
        <v>-1.5575439999999999E-2</v>
      </c>
      <c r="O7048">
        <v>-0.88506269999999998</v>
      </c>
      <c r="P7048">
        <v>0.619641</v>
      </c>
      <c r="Q7048">
        <v>-4.3606829999999999E-2</v>
      </c>
      <c r="R7048">
        <v>-0.78367349999999902</v>
      </c>
      <c r="S7048">
        <v>2.89859</v>
      </c>
      <c r="T7048">
        <v>-0.30389949999999999</v>
      </c>
      <c r="U7048">
        <v>-1.531342</v>
      </c>
      <c r="V7048">
        <v>-0.18324190000000001</v>
      </c>
      <c r="W7048">
        <v>-3.2122730000000002E-2</v>
      </c>
      <c r="X7048">
        <v>0.9825429</v>
      </c>
      <c r="Y7048">
        <v>-0.5616468</v>
      </c>
      <c r="Z7048">
        <v>8.3478199999999905E-2</v>
      </c>
      <c r="AA7048">
        <v>0.82315499999999997</v>
      </c>
      <c r="AB7048">
        <v>21</v>
      </c>
      <c r="AC7048">
        <v>0.84430000000003202</v>
      </c>
      <c r="AD7048">
        <v>-9.40659999999999E-2</v>
      </c>
      <c r="AE7048">
        <v>-0.39055999999999702</v>
      </c>
      <c r="AF7048">
        <v>-0.55990895032576704</v>
      </c>
      <c r="AG7048">
        <v>-9.40659999999999E-2</v>
      </c>
      <c r="AH7048">
        <v>0.73106259292048703</v>
      </c>
      <c r="AI7048">
        <v>95.832653874442897</v>
      </c>
      <c r="AJ7048">
        <v>127.447916442589</v>
      </c>
      <c r="AK7048">
        <v>0.92563435533612703</v>
      </c>
      <c r="AL7048">
        <v>91.840813515093799</v>
      </c>
      <c r="AM7048">
        <v>100.564162901749</v>
      </c>
      <c r="AN7048">
        <v>1.00000000701933</v>
      </c>
    </row>
    <row r="7049" spans="1:40" x14ac:dyDescent="0.25">
      <c r="A7049" t="str">
        <f>"20190303153948396"</f>
        <v>20190303153948396</v>
      </c>
      <c r="B7049" t="str">
        <f>"1551598788385565"</f>
        <v>1551598788385565</v>
      </c>
      <c r="C7049" t="s">
        <v>40</v>
      </c>
      <c r="D7049">
        <v>4.2415699999999896</v>
      </c>
      <c r="E7049">
        <v>0.3310189</v>
      </c>
      <c r="F7049" t="s">
        <v>44</v>
      </c>
      <c r="G7049">
        <v>-418.80650000000003</v>
      </c>
      <c r="H7049">
        <v>1.045536</v>
      </c>
      <c r="I7049">
        <v>27.468959999999999</v>
      </c>
      <c r="J7049">
        <v>-419.56150000000002</v>
      </c>
      <c r="K7049">
        <v>1.129904</v>
      </c>
      <c r="L7049">
        <v>27.806059999999999</v>
      </c>
      <c r="M7049">
        <v>0.47189720000000002</v>
      </c>
      <c r="N7049">
        <v>-1.5580699999999999E-2</v>
      </c>
      <c r="O7049">
        <v>-0.88151590000000002</v>
      </c>
      <c r="P7049">
        <v>0.62505200000000005</v>
      </c>
      <c r="Q7049">
        <v>-4.4001699999999998E-2</v>
      </c>
      <c r="R7049">
        <v>-0.77934209999999904</v>
      </c>
      <c r="S7049">
        <v>2.9077760000000001</v>
      </c>
      <c r="T7049">
        <v>-0.30338559999999998</v>
      </c>
      <c r="U7049">
        <v>-1.5121150000000001</v>
      </c>
      <c r="V7049">
        <v>-0.18261140000000001</v>
      </c>
      <c r="W7049">
        <v>-3.249138E-2</v>
      </c>
      <c r="X7049">
        <v>0.98264810000000002</v>
      </c>
      <c r="Y7049">
        <v>-0.56075779999999997</v>
      </c>
      <c r="Z7049">
        <v>8.3258460000000006E-2</v>
      </c>
      <c r="AA7049">
        <v>0.82378320000000005</v>
      </c>
      <c r="AB7049">
        <v>21</v>
      </c>
      <c r="AC7049">
        <v>0.75499999999999501</v>
      </c>
      <c r="AD7049">
        <v>-8.4367999999999999E-2</v>
      </c>
      <c r="AE7049">
        <v>-0.33709999999999901</v>
      </c>
      <c r="AF7049">
        <v>-0.50131003914380001</v>
      </c>
      <c r="AG7049">
        <v>-8.4367999999999999E-2</v>
      </c>
      <c r="AH7049">
        <v>0.64678668478770296</v>
      </c>
      <c r="AI7049">
        <v>95.886354533863297</v>
      </c>
      <c r="AJ7049">
        <v>127.778471247144</v>
      </c>
      <c r="AK7049">
        <v>0.82265590035507996</v>
      </c>
      <c r="AL7049">
        <v>91.8619467405629</v>
      </c>
      <c r="AM7049">
        <v>100.527525811731</v>
      </c>
      <c r="AN7049">
        <v>0.999999950808936</v>
      </c>
    </row>
    <row r="7050" spans="1:40" x14ac:dyDescent="0.25">
      <c r="A7050" t="str">
        <f>"20190303153948407"</f>
        <v>20190303153948407</v>
      </c>
      <c r="B7050" t="str">
        <f>"1551598788395324"</f>
        <v>1551598788395324</v>
      </c>
      <c r="C7050" t="s">
        <v>40</v>
      </c>
      <c r="D7050">
        <v>4.3766629999999997</v>
      </c>
      <c r="E7050">
        <v>0.3310189</v>
      </c>
      <c r="F7050" t="s">
        <v>44</v>
      </c>
      <c r="G7050">
        <v>-418.67579999999998</v>
      </c>
      <c r="H7050">
        <v>1.037353</v>
      </c>
      <c r="I7050">
        <v>27.354859999999999</v>
      </c>
      <c r="J7050">
        <v>-419.505</v>
      </c>
      <c r="K7050">
        <v>1.129877</v>
      </c>
      <c r="L7050">
        <v>27.719059999999999</v>
      </c>
      <c r="M7050">
        <v>0.47885230000000001</v>
      </c>
      <c r="N7050">
        <v>-1.5585440000000001E-2</v>
      </c>
      <c r="O7050">
        <v>-0.87775729999999996</v>
      </c>
      <c r="P7050">
        <v>0.63052410000000003</v>
      </c>
      <c r="Q7050">
        <v>-4.5363519999999997E-2</v>
      </c>
      <c r="R7050">
        <v>-0.77484310000000001</v>
      </c>
      <c r="S7050">
        <v>2.9222109999999999</v>
      </c>
      <c r="T7050">
        <v>-0.30536170000000001</v>
      </c>
      <c r="U7050">
        <v>-1.4884949999999999</v>
      </c>
      <c r="V7050">
        <v>-0.18177209999999999</v>
      </c>
      <c r="W7050">
        <v>-3.3822419999999999E-2</v>
      </c>
      <c r="X7050">
        <v>0.98275880000000004</v>
      </c>
      <c r="Y7050">
        <v>-0.561114</v>
      </c>
      <c r="Z7050">
        <v>8.3764839999999993E-2</v>
      </c>
      <c r="AA7050">
        <v>0.82348929999999998</v>
      </c>
      <c r="AB7050">
        <v>21</v>
      </c>
      <c r="AC7050">
        <v>0.82920000000001404</v>
      </c>
      <c r="AD7050">
        <v>-9.2523999999999995E-2</v>
      </c>
      <c r="AE7050">
        <v>-0.36420000000000002</v>
      </c>
      <c r="AF7050">
        <v>-0.54778814785478402</v>
      </c>
      <c r="AG7050">
        <v>-9.2523999999999995E-2</v>
      </c>
      <c r="AH7050">
        <v>0.70942611253112398</v>
      </c>
      <c r="AI7050">
        <v>95.893687603265604</v>
      </c>
      <c r="AJ7050">
        <v>127.67376678792201</v>
      </c>
      <c r="AK7050">
        <v>0.901064900352465</v>
      </c>
      <c r="AL7050">
        <v>91.938251670439499</v>
      </c>
      <c r="AM7050">
        <v>100.479060335513</v>
      </c>
      <c r="AN7050">
        <v>0.99999995570525202</v>
      </c>
    </row>
    <row r="7051" spans="1:40" x14ac:dyDescent="0.25">
      <c r="A7051" t="str">
        <f>"20190303153948420"</f>
        <v>20190303153948420</v>
      </c>
      <c r="B7051" t="str">
        <f>"1551598788415820"</f>
        <v>1551598788415820</v>
      </c>
      <c r="C7051" t="s">
        <v>40</v>
      </c>
      <c r="D7051">
        <v>4.3811</v>
      </c>
      <c r="E7051">
        <v>0.30899399999999999</v>
      </c>
      <c r="F7051" t="s">
        <v>44</v>
      </c>
      <c r="G7051">
        <v>-418.7131</v>
      </c>
      <c r="H7051">
        <v>1.046476</v>
      </c>
      <c r="I7051">
        <v>27.322690000000001</v>
      </c>
      <c r="J7051">
        <v>-419.44540000000001</v>
      </c>
      <c r="K7051">
        <v>1.129845</v>
      </c>
      <c r="L7051">
        <v>27.629460000000002</v>
      </c>
      <c r="M7051">
        <v>0.48604510000000001</v>
      </c>
      <c r="N7051">
        <v>-1.558852E-2</v>
      </c>
      <c r="O7051">
        <v>-0.87379470000000004</v>
      </c>
      <c r="P7051">
        <v>0.63590219999999997</v>
      </c>
      <c r="Q7051">
        <v>-4.690561E-2</v>
      </c>
      <c r="R7051">
        <v>-0.77034340000000001</v>
      </c>
      <c r="S7051">
        <v>2.932404</v>
      </c>
      <c r="T7051">
        <v>-0.30878709999999998</v>
      </c>
      <c r="U7051">
        <v>-1.467438</v>
      </c>
      <c r="V7051">
        <v>-0.1805573</v>
      </c>
      <c r="W7051">
        <v>-3.532515E-2</v>
      </c>
      <c r="X7051">
        <v>0.98292990000000002</v>
      </c>
      <c r="Y7051">
        <v>-0.56011469999999997</v>
      </c>
      <c r="Z7051">
        <v>8.4732909999999995E-2</v>
      </c>
      <c r="AA7051">
        <v>0.82407030000000003</v>
      </c>
      <c r="AB7051">
        <v>21</v>
      </c>
      <c r="AC7051">
        <v>0.73230000000000905</v>
      </c>
      <c r="AD7051">
        <v>-8.3368999999999999E-2</v>
      </c>
      <c r="AE7051">
        <v>-0.30676999999999599</v>
      </c>
      <c r="AF7051">
        <v>-0.48548257163859998</v>
      </c>
      <c r="AG7051">
        <v>-8.3368999999999999E-2</v>
      </c>
      <c r="AH7051">
        <v>0.61725487738436802</v>
      </c>
      <c r="AI7051">
        <v>96.0599313093701</v>
      </c>
      <c r="AJ7051">
        <v>128.185716352383</v>
      </c>
      <c r="AK7051">
        <v>0.78971342978362702</v>
      </c>
      <c r="AL7051">
        <v>92.024403192315603</v>
      </c>
      <c r="AM7051">
        <v>100.40879143604</v>
      </c>
      <c r="AN7051">
        <v>0.99999999655991101</v>
      </c>
    </row>
    <row r="7052" spans="1:40" x14ac:dyDescent="0.25">
      <c r="A7052" t="str">
        <f>"20190303153948432"</f>
        <v>20190303153948432</v>
      </c>
      <c r="B7052" t="str">
        <f>"1551598788425581"</f>
        <v>1551598788425581</v>
      </c>
      <c r="C7052" t="s">
        <v>40</v>
      </c>
      <c r="D7052">
        <v>4.3230570000000004</v>
      </c>
      <c r="E7052">
        <v>0.30797099999999999</v>
      </c>
      <c r="F7052" t="s">
        <v>44</v>
      </c>
      <c r="G7052">
        <v>-418.54739999999998</v>
      </c>
      <c r="H7052">
        <v>1.031415</v>
      </c>
      <c r="I7052">
        <v>27.240269999999999</v>
      </c>
      <c r="J7052">
        <v>-419.38459999999998</v>
      </c>
      <c r="K7052">
        <v>1.1298140000000001</v>
      </c>
      <c r="L7052">
        <v>27.53903</v>
      </c>
      <c r="M7052">
        <v>0.49328680000000003</v>
      </c>
      <c r="N7052">
        <v>-1.559116E-2</v>
      </c>
      <c r="O7052">
        <v>-0.86972700000000003</v>
      </c>
      <c r="P7052">
        <v>0.64181889999999997</v>
      </c>
      <c r="Q7052">
        <v>-4.815175E-2</v>
      </c>
      <c r="R7052">
        <v>-0.76534309999999905</v>
      </c>
      <c r="S7052">
        <v>3.0773009999999998</v>
      </c>
      <c r="T7052">
        <v>-0.33729979999999998</v>
      </c>
      <c r="U7052">
        <v>-1.333588</v>
      </c>
      <c r="V7052">
        <v>-0.1799808</v>
      </c>
      <c r="W7052">
        <v>-3.6546700000000001E-2</v>
      </c>
      <c r="X7052">
        <v>0.98299099999999995</v>
      </c>
      <c r="Y7052">
        <v>-0.59726610000000002</v>
      </c>
      <c r="Z7052">
        <v>9.2574909999999996E-2</v>
      </c>
      <c r="AA7052">
        <v>0.79668260000000002</v>
      </c>
      <c r="AB7052">
        <v>20</v>
      </c>
      <c r="AC7052">
        <v>0.83719999999999495</v>
      </c>
      <c r="AD7052">
        <v>-9.8398999999999903E-2</v>
      </c>
      <c r="AE7052">
        <v>-0.29875999999999697</v>
      </c>
      <c r="AF7052">
        <v>-0.573800525708975</v>
      </c>
      <c r="AG7052">
        <v>-9.8398999999999903E-2</v>
      </c>
      <c r="AH7052">
        <v>0.66475545377441803</v>
      </c>
      <c r="AI7052">
        <v>96.393474645366595</v>
      </c>
      <c r="AJ7052">
        <v>130.79995111644001</v>
      </c>
      <c r="AK7052">
        <v>0.88364541521343798</v>
      </c>
      <c r="AL7052">
        <v>92.094438026616999</v>
      </c>
      <c r="AM7052">
        <v>100.375649359147</v>
      </c>
      <c r="AN7052">
        <v>1.0000000278652601</v>
      </c>
    </row>
    <row r="7053" spans="1:40" x14ac:dyDescent="0.25">
      <c r="A7053" t="str">
        <f>"20190303153948443"</f>
        <v>20190303153948443</v>
      </c>
      <c r="B7053" t="str">
        <f>"1551598788435340"</f>
        <v>1551598788435340</v>
      </c>
      <c r="C7053" t="s">
        <v>40</v>
      </c>
      <c r="D7053">
        <v>4.3236730000000003</v>
      </c>
      <c r="E7053">
        <v>0.30793599999999999</v>
      </c>
      <c r="F7053" t="s">
        <v>63</v>
      </c>
      <c r="G7053">
        <v>-409.0652</v>
      </c>
      <c r="H7053" s="1">
        <v>-2.1959859999999998E-6</v>
      </c>
      <c r="I7053">
        <v>23.189</v>
      </c>
      <c r="J7053">
        <v>-419.32650000000001</v>
      </c>
      <c r="K7053">
        <v>1.1297820000000001</v>
      </c>
      <c r="L7053">
        <v>27.454740000000001</v>
      </c>
      <c r="M7053">
        <v>0.5000618</v>
      </c>
      <c r="N7053">
        <v>-1.559222E-2</v>
      </c>
      <c r="O7053">
        <v>-0.86584939999999999</v>
      </c>
      <c r="P7053">
        <v>0.64719609999999905</v>
      </c>
      <c r="Q7053">
        <v>-4.9081819999999998E-2</v>
      </c>
      <c r="R7053">
        <v>-0.76074209999999998</v>
      </c>
      <c r="S7053">
        <v>3.09375</v>
      </c>
      <c r="T7053">
        <v>-0.33871820000000002</v>
      </c>
      <c r="U7053">
        <v>-1.304138</v>
      </c>
      <c r="V7053">
        <v>-0.1792464</v>
      </c>
      <c r="W7053">
        <v>-3.7449419999999997E-2</v>
      </c>
      <c r="X7053">
        <v>0.98309120000000005</v>
      </c>
      <c r="Y7053">
        <v>-0.598948699999999</v>
      </c>
      <c r="Z7053">
        <v>9.2899590000000004E-2</v>
      </c>
      <c r="AA7053">
        <v>0.79538050000000005</v>
      </c>
      <c r="AB7053">
        <v>20</v>
      </c>
      <c r="AC7053">
        <v>10.2613</v>
      </c>
      <c r="AD7053">
        <v>-1.129784195986</v>
      </c>
      <c r="AE7053">
        <v>-4.2657400000000001</v>
      </c>
      <c r="AF7053">
        <v>-6.6833476474021101</v>
      </c>
      <c r="AG7053">
        <v>-1.129784195986</v>
      </c>
      <c r="AH7053">
        <v>8.7355535511716393</v>
      </c>
      <c r="AI7053">
        <v>95.864705518279195</v>
      </c>
      <c r="AJ7053">
        <v>127.418674527929</v>
      </c>
      <c r="AK7053">
        <v>11.056827933495301</v>
      </c>
      <c r="AL7053">
        <v>92.146195527945395</v>
      </c>
      <c r="AM7053">
        <v>100.333195643677</v>
      </c>
      <c r="AN7053">
        <v>1.0000000192443601</v>
      </c>
    </row>
    <row r="7054" spans="1:40" x14ac:dyDescent="0.25">
      <c r="A7054" t="str">
        <f>"20190303153948454"</f>
        <v>20190303153948454</v>
      </c>
      <c r="B7054" t="str">
        <f>"1551598788446078"</f>
        <v>1551598788446078</v>
      </c>
      <c r="C7054" t="s">
        <v>40</v>
      </c>
      <c r="D7054">
        <v>4.2725869999999997</v>
      </c>
      <c r="E7054">
        <v>0.30734309999999998</v>
      </c>
      <c r="F7054" t="s">
        <v>44</v>
      </c>
      <c r="G7054">
        <v>-418.4545</v>
      </c>
      <c r="H7054">
        <v>1.0338149999999999</v>
      </c>
      <c r="I7054">
        <v>27.094470000000001</v>
      </c>
      <c r="J7054">
        <v>-419.2715</v>
      </c>
      <c r="K7054">
        <v>1.1297539999999999</v>
      </c>
      <c r="L7054">
        <v>27.37595</v>
      </c>
      <c r="M7054">
        <v>0.50638850000000002</v>
      </c>
      <c r="N7054">
        <v>-1.5592679999999999E-2</v>
      </c>
      <c r="O7054">
        <v>-0.86216469999999901</v>
      </c>
      <c r="P7054">
        <v>0.6525512</v>
      </c>
      <c r="Q7054">
        <v>-4.9636319999999998E-2</v>
      </c>
      <c r="R7054">
        <v>-0.75611779999999995</v>
      </c>
      <c r="S7054">
        <v>3.1029049999999998</v>
      </c>
      <c r="T7054">
        <v>-0.34147440000000001</v>
      </c>
      <c r="U7054">
        <v>-1.2817379999999901</v>
      </c>
      <c r="V7054">
        <v>-0.1789975</v>
      </c>
      <c r="W7054">
        <v>-3.7988519999999998E-2</v>
      </c>
      <c r="X7054">
        <v>0.98311590000000004</v>
      </c>
      <c r="Y7054">
        <v>-0.5987536</v>
      </c>
      <c r="Z7054">
        <v>9.3668070000000006E-2</v>
      </c>
      <c r="AA7054">
        <v>0.79543730000000001</v>
      </c>
      <c r="AB7054">
        <v>20</v>
      </c>
      <c r="AC7054">
        <v>0.81700000000000705</v>
      </c>
      <c r="AD7054">
        <v>-9.5939000000000205E-2</v>
      </c>
      <c r="AE7054">
        <v>-0.28147999999999801</v>
      </c>
      <c r="AF7054">
        <v>-0.55507648555661504</v>
      </c>
      <c r="AG7054">
        <v>-9.5939000000000205E-2</v>
      </c>
      <c r="AH7054">
        <v>0.64848774671421905</v>
      </c>
      <c r="AI7054">
        <v>96.412696800422793</v>
      </c>
      <c r="AJ7054">
        <v>130.562045452955</v>
      </c>
      <c r="AK7054">
        <v>0.85898227815093398</v>
      </c>
      <c r="AL7054">
        <v>92.177105605573203</v>
      </c>
      <c r="AM7054">
        <v>100.318901852422</v>
      </c>
      <c r="AN7054">
        <v>1.00000005274542</v>
      </c>
    </row>
    <row r="7055" spans="1:40" x14ac:dyDescent="0.25">
      <c r="A7055" t="str">
        <f>"20190303153948466"</f>
        <v>20190303153948466</v>
      </c>
      <c r="B7055" t="str">
        <f>"1551598788455837"</f>
        <v>1551598788455837</v>
      </c>
      <c r="C7055" t="s">
        <v>40</v>
      </c>
      <c r="D7055">
        <v>4.2735450000000004</v>
      </c>
      <c r="E7055">
        <v>0.30771530000000002</v>
      </c>
      <c r="F7055" t="s">
        <v>63</v>
      </c>
      <c r="G7055">
        <v>-409.0215</v>
      </c>
      <c r="H7055" s="1">
        <v>-2.2335010000000001E-6</v>
      </c>
      <c r="I7055">
        <v>23.241479999999999</v>
      </c>
      <c r="J7055">
        <v>-419.20679999999999</v>
      </c>
      <c r="K7055">
        <v>1.1297219999999999</v>
      </c>
      <c r="L7055">
        <v>27.284610000000001</v>
      </c>
      <c r="M7055">
        <v>0.51372739999999995</v>
      </c>
      <c r="N7055">
        <v>-1.5592389999999999E-2</v>
      </c>
      <c r="O7055">
        <v>-0.85781200000000002</v>
      </c>
      <c r="P7055">
        <v>0.65881619999999996</v>
      </c>
      <c r="Q7055">
        <v>-4.9495240000000003E-2</v>
      </c>
      <c r="R7055">
        <v>-0.75067450000000002</v>
      </c>
      <c r="S7055">
        <v>3.1152340000000001</v>
      </c>
      <c r="T7055">
        <v>-0.34335959999999899</v>
      </c>
      <c r="U7055">
        <v>-1.256561</v>
      </c>
      <c r="V7055">
        <v>-0.17878440000000001</v>
      </c>
      <c r="W7055">
        <v>-3.7830929999999999E-2</v>
      </c>
      <c r="X7055">
        <v>0.9831607</v>
      </c>
      <c r="Y7055">
        <v>-0.59851549999999998</v>
      </c>
      <c r="Z7055">
        <v>9.4086050000000004E-2</v>
      </c>
      <c r="AA7055">
        <v>0.79556709999999997</v>
      </c>
      <c r="AB7055">
        <v>20</v>
      </c>
      <c r="AC7055">
        <v>10.1852999999999</v>
      </c>
      <c r="AD7055">
        <v>-1.12972423350099</v>
      </c>
      <c r="AE7055">
        <v>-4.0431299999999899</v>
      </c>
      <c r="AF7055">
        <v>-6.5907682242477303</v>
      </c>
      <c r="AG7055">
        <v>-1.12972423350099</v>
      </c>
      <c r="AH7055">
        <v>8.6102601717417802</v>
      </c>
      <c r="AI7055">
        <v>95.948039715366306</v>
      </c>
      <c r="AJ7055">
        <v>127.432436754354</v>
      </c>
      <c r="AK7055">
        <v>10.9018843717311</v>
      </c>
      <c r="AL7055">
        <v>92.168069980157298</v>
      </c>
      <c r="AM7055">
        <v>100.306420875722</v>
      </c>
      <c r="AN7055">
        <v>1.00000000148625</v>
      </c>
    </row>
    <row r="7056" spans="1:40" x14ac:dyDescent="0.25">
      <c r="A7056" t="str">
        <f>"20190303153948477"</f>
        <v>20190303153948477</v>
      </c>
      <c r="B7056" t="str">
        <f>"1551598788465596"</f>
        <v>1551598788465596</v>
      </c>
      <c r="C7056" t="s">
        <v>40</v>
      </c>
      <c r="D7056">
        <v>4.2878109999999996</v>
      </c>
      <c r="E7056">
        <v>0.3077472</v>
      </c>
      <c r="F7056" t="s">
        <v>44</v>
      </c>
      <c r="G7056">
        <v>-418.3596</v>
      </c>
      <c r="H7056">
        <v>1.036626</v>
      </c>
      <c r="I7056">
        <v>26.950050000000001</v>
      </c>
      <c r="J7056">
        <v>-419.15269999999998</v>
      </c>
      <c r="K7056">
        <v>1.1296980000000001</v>
      </c>
      <c r="L7056">
        <v>27.209900000000001</v>
      </c>
      <c r="M7056">
        <v>0.51974019999999999</v>
      </c>
      <c r="N7056">
        <v>-1.559112E-2</v>
      </c>
      <c r="O7056">
        <v>-0.85418229999999995</v>
      </c>
      <c r="P7056">
        <v>0.66376829999999998</v>
      </c>
      <c r="Q7056">
        <v>-4.9809850000000003E-2</v>
      </c>
      <c r="R7056">
        <v>-0.74627840000000001</v>
      </c>
      <c r="S7056">
        <v>3.12323</v>
      </c>
      <c r="T7056">
        <v>-0.34311659999999999</v>
      </c>
      <c r="U7056">
        <v>-1.2327269999999999</v>
      </c>
      <c r="V7056">
        <v>-0.1783904</v>
      </c>
      <c r="W7056">
        <v>-3.812774E-2</v>
      </c>
      <c r="X7056">
        <v>0.98322080000000001</v>
      </c>
      <c r="Y7056">
        <v>-0.59885449999999996</v>
      </c>
      <c r="Z7056">
        <v>9.3995270000000006E-2</v>
      </c>
      <c r="AA7056">
        <v>0.79532269999999905</v>
      </c>
      <c r="AB7056">
        <v>20</v>
      </c>
      <c r="AC7056">
        <v>0.79309999999998104</v>
      </c>
      <c r="AD7056">
        <v>-9.3071999999999794E-2</v>
      </c>
      <c r="AE7056">
        <v>-0.25985000000000003</v>
      </c>
      <c r="AF7056">
        <v>-0.53579984952458604</v>
      </c>
      <c r="AG7056">
        <v>-9.3071999999999794E-2</v>
      </c>
      <c r="AH7056">
        <v>0.62645133272610098</v>
      </c>
      <c r="AI7056">
        <v>96.441757399669598</v>
      </c>
      <c r="AJ7056">
        <v>130.54016087026301</v>
      </c>
      <c r="AK7056">
        <v>0.829569254618852</v>
      </c>
      <c r="AL7056">
        <v>92.185088220990295</v>
      </c>
      <c r="AM7056">
        <v>100.283577887671</v>
      </c>
      <c r="AN7056">
        <v>1.00000000046115</v>
      </c>
    </row>
    <row r="7057" spans="1:40" x14ac:dyDescent="0.25">
      <c r="A7057" t="str">
        <f>"20190303153948488"</f>
        <v>20190303153948488</v>
      </c>
      <c r="B7057" t="str">
        <f>"1551598788486093"</f>
        <v>1551598788486093</v>
      </c>
      <c r="C7057" t="s">
        <v>40</v>
      </c>
      <c r="D7057">
        <v>4.3177009999999996</v>
      </c>
      <c r="E7057">
        <v>0.308953599999999</v>
      </c>
      <c r="F7057" t="s">
        <v>44</v>
      </c>
      <c r="G7057">
        <v>-418.21960000000001</v>
      </c>
      <c r="H7057">
        <v>1.0271760000000001</v>
      </c>
      <c r="I7057">
        <v>26.848569999999999</v>
      </c>
      <c r="J7057">
        <v>-419.09190000000001</v>
      </c>
      <c r="K7057">
        <v>1.1296729999999999</v>
      </c>
      <c r="L7057">
        <v>27.1265</v>
      </c>
      <c r="M7057">
        <v>0.52643459999999997</v>
      </c>
      <c r="N7057">
        <v>-1.558967E-2</v>
      </c>
      <c r="O7057">
        <v>-0.85007289999999902</v>
      </c>
      <c r="P7057">
        <v>0.66918999999999995</v>
      </c>
      <c r="Q7057">
        <v>-5.0304019999999998E-2</v>
      </c>
      <c r="R7057">
        <v>-0.74138689999999996</v>
      </c>
      <c r="S7057">
        <v>3.1309809999999998</v>
      </c>
      <c r="T7057">
        <v>-0.34397759999999999</v>
      </c>
      <c r="U7057">
        <v>-1.2121580000000001</v>
      </c>
      <c r="V7057">
        <v>-0.1778428</v>
      </c>
      <c r="W7057">
        <v>-3.859957E-2</v>
      </c>
      <c r="X7057">
        <v>0.9833016</v>
      </c>
      <c r="Y7057">
        <v>-0.59776689999999999</v>
      </c>
      <c r="Z7057">
        <v>9.4127450000000001E-2</v>
      </c>
      <c r="AA7057">
        <v>0.79612479999999997</v>
      </c>
      <c r="AB7057">
        <v>20</v>
      </c>
      <c r="AC7057">
        <v>0.87229999999999497</v>
      </c>
      <c r="AD7057">
        <v>-0.10249699999999901</v>
      </c>
      <c r="AE7057">
        <v>-0.27792999999999701</v>
      </c>
      <c r="AF7057">
        <v>-0.58790983144033704</v>
      </c>
      <c r="AG7057">
        <v>-0.10249699999999901</v>
      </c>
      <c r="AH7057">
        <v>0.68694372146235105</v>
      </c>
      <c r="AI7057">
        <v>96.467434132842001</v>
      </c>
      <c r="AJ7057">
        <v>130.558037854639</v>
      </c>
      <c r="AK7057">
        <v>0.90996443961824802</v>
      </c>
      <c r="AL7057">
        <v>92.212141978171701</v>
      </c>
      <c r="AM7057">
        <v>100.25185662147901</v>
      </c>
      <c r="AN7057">
        <v>1.00000001243929</v>
      </c>
    </row>
    <row r="7058" spans="1:40" x14ac:dyDescent="0.25">
      <c r="A7058" t="str">
        <f>"20190303153948500"</f>
        <v>20190303153948500</v>
      </c>
      <c r="B7058" t="str">
        <f>"1551598788495853"</f>
        <v>1551598788495853</v>
      </c>
      <c r="C7058" t="s">
        <v>40</v>
      </c>
      <c r="D7058">
        <v>4.314953</v>
      </c>
      <c r="E7058">
        <v>0.30963629999999998</v>
      </c>
      <c r="F7058" t="s">
        <v>44</v>
      </c>
      <c r="G7058">
        <v>-418.26049999999998</v>
      </c>
      <c r="H7058">
        <v>1.0381320000000001</v>
      </c>
      <c r="I7058">
        <v>26.80913</v>
      </c>
      <c r="J7058">
        <v>-419.03269999999998</v>
      </c>
      <c r="K7058">
        <v>1.12964</v>
      </c>
      <c r="L7058">
        <v>27.04749</v>
      </c>
      <c r="M7058">
        <v>0.53279480000000001</v>
      </c>
      <c r="N7058">
        <v>-1.5586600000000001E-2</v>
      </c>
      <c r="O7058">
        <v>-0.84610099999999999</v>
      </c>
      <c r="P7058">
        <v>0.67416580000000004</v>
      </c>
      <c r="Q7058">
        <v>-5.0550890000000001E-2</v>
      </c>
      <c r="R7058">
        <v>-0.73684830000000001</v>
      </c>
      <c r="S7058">
        <v>3.13266</v>
      </c>
      <c r="T7058">
        <v>-0.34488839999999998</v>
      </c>
      <c r="U7058">
        <v>-1.1954959999999999</v>
      </c>
      <c r="V7058">
        <v>-0.17709569999999999</v>
      </c>
      <c r="W7058">
        <v>-3.88207E-2</v>
      </c>
      <c r="X7058">
        <v>0.98342770000000002</v>
      </c>
      <c r="Y7058">
        <v>-0.59557320000000002</v>
      </c>
      <c r="Z7058">
        <v>9.4352249999999999E-2</v>
      </c>
      <c r="AA7058">
        <v>0.79774069999999997</v>
      </c>
      <c r="AB7058">
        <v>20</v>
      </c>
      <c r="AC7058">
        <v>0.772199999999997</v>
      </c>
      <c r="AD7058">
        <v>-9.1507999999999895E-2</v>
      </c>
      <c r="AE7058">
        <v>-0.23836000000000299</v>
      </c>
      <c r="AF7058">
        <v>-0.51976209670000095</v>
      </c>
      <c r="AG7058">
        <v>-9.1507999999999895E-2</v>
      </c>
      <c r="AH7058">
        <v>0.60541302549561704</v>
      </c>
      <c r="AI7058">
        <v>96.542273702233601</v>
      </c>
      <c r="AJ7058">
        <v>130.64690814133999</v>
      </c>
      <c r="AK7058">
        <v>0.80315084677147497</v>
      </c>
      <c r="AL7058">
        <v>92.224821352841303</v>
      </c>
      <c r="AM7058">
        <v>100.208415717297</v>
      </c>
      <c r="AN7058">
        <v>0.99999998741713403</v>
      </c>
    </row>
    <row r="7059" spans="1:40" x14ac:dyDescent="0.25">
      <c r="A7059" t="str">
        <f>"20190303153948513"</f>
        <v>20190303153948513</v>
      </c>
      <c r="B7059" t="str">
        <f>"1551598788505612"</f>
        <v>1551598788505612</v>
      </c>
      <c r="C7059" t="s">
        <v>40</v>
      </c>
      <c r="D7059">
        <v>4.3469709999999999</v>
      </c>
      <c r="E7059">
        <v>0.31049490000000002</v>
      </c>
      <c r="F7059" t="s">
        <v>44</v>
      </c>
      <c r="G7059">
        <v>-418.12310000000002</v>
      </c>
      <c r="H7059">
        <v>1.0300240000000001</v>
      </c>
      <c r="I7059">
        <v>26.705760000000001</v>
      </c>
      <c r="J7059">
        <v>-418.9649</v>
      </c>
      <c r="K7059">
        <v>1.129613</v>
      </c>
      <c r="L7059">
        <v>26.95758</v>
      </c>
      <c r="M7059">
        <v>0.54001619999999995</v>
      </c>
      <c r="N7059">
        <v>-1.5582850000000001E-2</v>
      </c>
      <c r="O7059">
        <v>-0.84151039999999899</v>
      </c>
      <c r="P7059">
        <v>0.67970249999999999</v>
      </c>
      <c r="Q7059">
        <v>-5.2023930000000003E-2</v>
      </c>
      <c r="R7059">
        <v>-0.73164059999999997</v>
      </c>
      <c r="S7059">
        <v>3.1369020000000001</v>
      </c>
      <c r="T7059">
        <v>-0.34343849999999998</v>
      </c>
      <c r="U7059">
        <v>-1.1777949999999999</v>
      </c>
      <c r="V7059">
        <v>-0.17612429999999901</v>
      </c>
      <c r="W7059">
        <v>-4.0262829999999999E-2</v>
      </c>
      <c r="X7059">
        <v>0.98354419999999998</v>
      </c>
      <c r="Y7059">
        <v>-0.59306419999999904</v>
      </c>
      <c r="Z7059">
        <v>9.3763830000000006E-2</v>
      </c>
      <c r="AA7059">
        <v>0.79967690000000002</v>
      </c>
      <c r="AB7059">
        <v>20</v>
      </c>
      <c r="AC7059">
        <v>0.84179999999997701</v>
      </c>
      <c r="AD7059">
        <v>-9.95889999999999E-2</v>
      </c>
      <c r="AE7059">
        <v>-0.25182000000000199</v>
      </c>
      <c r="AF7059">
        <v>-0.56520519079156994</v>
      </c>
      <c r="AG7059">
        <v>-9.95889999999999E-2</v>
      </c>
      <c r="AH7059">
        <v>0.658121185608326</v>
      </c>
      <c r="AI7059">
        <v>96.548782382325797</v>
      </c>
      <c r="AJ7059">
        <v>130.65652112080801</v>
      </c>
      <c r="AK7059">
        <v>0.873211527389123</v>
      </c>
      <c r="AL7059">
        <v>92.307513900105604</v>
      </c>
      <c r="AM7059">
        <v>100.15241125411499</v>
      </c>
      <c r="AN7059">
        <v>1.00000002894186</v>
      </c>
    </row>
    <row r="7060" spans="1:40" x14ac:dyDescent="0.25">
      <c r="A7060" t="str">
        <f>"20190303153948527"</f>
        <v>20190303153948527</v>
      </c>
      <c r="B7060" t="str">
        <f>"1551598788515373"</f>
        <v>1551598788515373</v>
      </c>
      <c r="C7060" t="s">
        <v>40</v>
      </c>
      <c r="D7060">
        <v>4.3562949999999896</v>
      </c>
      <c r="E7060">
        <v>0.31049490000000002</v>
      </c>
      <c r="F7060" t="s">
        <v>44</v>
      </c>
      <c r="G7060">
        <v>-417.99009999999998</v>
      </c>
      <c r="H7060">
        <v>1.022159</v>
      </c>
      <c r="I7060">
        <v>26.598020000000002</v>
      </c>
      <c r="J7060">
        <v>-418.8879</v>
      </c>
      <c r="K7060">
        <v>1.1295740000000001</v>
      </c>
      <c r="L7060">
        <v>26.857759999999999</v>
      </c>
      <c r="M7060">
        <v>0.54803000000000002</v>
      </c>
      <c r="N7060">
        <v>-1.5577199999999999E-2</v>
      </c>
      <c r="O7060">
        <v>-0.83631369999999905</v>
      </c>
      <c r="P7060">
        <v>0.68555880000000002</v>
      </c>
      <c r="Q7060">
        <v>-5.3784079999999998E-2</v>
      </c>
      <c r="R7060">
        <v>-0.72602800000000001</v>
      </c>
      <c r="S7060">
        <v>3.1405029999999998</v>
      </c>
      <c r="T7060">
        <v>-0.34617629999999999</v>
      </c>
      <c r="U7060">
        <v>-1.1582030000000001</v>
      </c>
      <c r="V7060">
        <v>-0.17467050000000001</v>
      </c>
      <c r="W7060">
        <v>-4.1980860000000002E-2</v>
      </c>
      <c r="X7060">
        <v>0.98373160000000004</v>
      </c>
      <c r="Y7060">
        <v>-0.58999659999999998</v>
      </c>
      <c r="Z7060">
        <v>9.4422539999999999E-2</v>
      </c>
      <c r="AA7060">
        <v>0.80186559999999996</v>
      </c>
      <c r="AB7060">
        <v>20</v>
      </c>
      <c r="AC7060">
        <v>0.89780000000001703</v>
      </c>
      <c r="AD7060">
        <v>-0.107415</v>
      </c>
      <c r="AE7060">
        <v>-0.25973999999999697</v>
      </c>
      <c r="AF7060">
        <v>-0.60063725094223996</v>
      </c>
      <c r="AG7060">
        <v>-0.107415</v>
      </c>
      <c r="AH7060">
        <v>0.700084224941389</v>
      </c>
      <c r="AI7060">
        <v>96.642033497508805</v>
      </c>
      <c r="AJ7060">
        <v>130.62794293993699</v>
      </c>
      <c r="AK7060">
        <v>0.92866625407421599</v>
      </c>
      <c r="AL7060">
        <v>92.406033136176305</v>
      </c>
      <c r="AM7060">
        <v>100.068452211731</v>
      </c>
      <c r="AN7060">
        <v>1.0000000185075699</v>
      </c>
    </row>
    <row r="7061" spans="1:40" x14ac:dyDescent="0.25">
      <c r="A7061" t="str">
        <f>"20190303153948541"</f>
        <v>20190303153948541</v>
      </c>
      <c r="B7061" t="str">
        <f>"1551598788535868"</f>
        <v>1551598788535868</v>
      </c>
      <c r="C7061" t="s">
        <v>40</v>
      </c>
      <c r="D7061">
        <v>4.2707100000000002</v>
      </c>
      <c r="E7061">
        <v>0.31979039999999997</v>
      </c>
      <c r="F7061" t="s">
        <v>44</v>
      </c>
      <c r="G7061">
        <v>-418.03699999999998</v>
      </c>
      <c r="H7061">
        <v>1.034991</v>
      </c>
      <c r="I7061">
        <v>26.5518</v>
      </c>
      <c r="J7061">
        <v>-418.81389999999999</v>
      </c>
      <c r="K7061">
        <v>1.129532</v>
      </c>
      <c r="L7061">
        <v>26.763919999999999</v>
      </c>
      <c r="M7061">
        <v>0.55556850000000002</v>
      </c>
      <c r="N7061">
        <v>-1.557032E-2</v>
      </c>
      <c r="O7061">
        <v>-0.83132490000000003</v>
      </c>
      <c r="P7061">
        <v>0.69039619999999902</v>
      </c>
      <c r="Q7061">
        <v>-5.4909800000000002E-2</v>
      </c>
      <c r="R7061">
        <v>-0.72134469999999995</v>
      </c>
      <c r="S7061">
        <v>3.149597</v>
      </c>
      <c r="T7061">
        <v>-0.35004879999999999</v>
      </c>
      <c r="U7061">
        <v>-1.1321110000000001</v>
      </c>
      <c r="V7061">
        <v>-0.17238249999999999</v>
      </c>
      <c r="W7061">
        <v>-4.3046550000000003E-2</v>
      </c>
      <c r="X7061">
        <v>0.98408910000000005</v>
      </c>
      <c r="Y7061">
        <v>-0.58922200000000002</v>
      </c>
      <c r="Z7061">
        <v>9.542196E-2</v>
      </c>
      <c r="AA7061">
        <v>0.80231669999999999</v>
      </c>
      <c r="AB7061">
        <v>20</v>
      </c>
      <c r="AC7061">
        <v>0.77690000000001103</v>
      </c>
      <c r="AD7061">
        <v>-9.4541E-2</v>
      </c>
      <c r="AE7061">
        <v>-0.212120000000002</v>
      </c>
      <c r="AF7061">
        <v>-0.520894659153053</v>
      </c>
      <c r="AG7061">
        <v>-9.4541E-2</v>
      </c>
      <c r="AH7061">
        <v>0.599770046905168</v>
      </c>
      <c r="AI7061">
        <v>96.786895845531902</v>
      </c>
      <c r="AJ7061">
        <v>130.97400848635101</v>
      </c>
      <c r="AK7061">
        <v>0.79999584735159901</v>
      </c>
      <c r="AL7061">
        <v>92.467147868540707</v>
      </c>
      <c r="AM7061">
        <v>99.935674186274099</v>
      </c>
      <c r="AN7061">
        <v>1.00000004425598</v>
      </c>
    </row>
    <row r="7062" spans="1:40" x14ac:dyDescent="0.25">
      <c r="A7062" t="str">
        <f>"20190303153948555"</f>
        <v>20190303153948555</v>
      </c>
      <c r="B7062" t="str">
        <f>"1551598788545628"</f>
        <v>1551598788545628</v>
      </c>
      <c r="C7062" t="s">
        <v>40</v>
      </c>
      <c r="D7062">
        <v>4.3210629999999997</v>
      </c>
      <c r="E7062">
        <v>0.32099759999999899</v>
      </c>
      <c r="F7062" t="s">
        <v>44</v>
      </c>
      <c r="G7062">
        <v>-417.91980000000001</v>
      </c>
      <c r="H7062">
        <v>1.0285580000000001</v>
      </c>
      <c r="I7062">
        <v>26.429030000000001</v>
      </c>
      <c r="J7062">
        <v>-418.73570000000001</v>
      </c>
      <c r="K7062">
        <v>1.1294930000000001</v>
      </c>
      <c r="L7062">
        <v>26.66611</v>
      </c>
      <c r="M7062">
        <v>0.5634055</v>
      </c>
      <c r="N7062">
        <v>-1.556241E-2</v>
      </c>
      <c r="O7062">
        <v>-0.82603419999999905</v>
      </c>
      <c r="P7062">
        <v>0.69656130000000005</v>
      </c>
      <c r="Q7062">
        <v>-5.4915690000000003E-2</v>
      </c>
      <c r="R7062">
        <v>-0.7153929</v>
      </c>
      <c r="S7062">
        <v>3.103485</v>
      </c>
      <c r="T7062">
        <v>-0.35041280000000002</v>
      </c>
      <c r="U7062">
        <v>-1.16189599999999</v>
      </c>
      <c r="V7062">
        <v>-0.17152619999999999</v>
      </c>
      <c r="W7062">
        <v>-4.302392E-2</v>
      </c>
      <c r="X7062">
        <v>0.98423959999999999</v>
      </c>
      <c r="Y7062">
        <v>-0.57085390000000003</v>
      </c>
      <c r="Z7062">
        <v>9.5565579999999997E-2</v>
      </c>
      <c r="AA7062">
        <v>0.81547109999999901</v>
      </c>
      <c r="AB7062">
        <v>20</v>
      </c>
      <c r="AC7062">
        <v>0.81589999999999896</v>
      </c>
      <c r="AD7062">
        <v>-0.100935</v>
      </c>
      <c r="AE7062">
        <v>-0.23707999999999799</v>
      </c>
      <c r="AF7062">
        <v>-0.53293338750705899</v>
      </c>
      <c r="AG7062">
        <v>-0.100935</v>
      </c>
      <c r="AH7062">
        <v>0.64647455385820896</v>
      </c>
      <c r="AI7062">
        <v>96.869484886981098</v>
      </c>
      <c r="AJ7062">
        <v>129.50110235174699</v>
      </c>
      <c r="AK7062">
        <v>0.84388104524922303</v>
      </c>
      <c r="AL7062">
        <v>92.465850313601905</v>
      </c>
      <c r="AM7062">
        <v>99.885813629721099</v>
      </c>
      <c r="AN7062">
        <v>0.99999994259338099</v>
      </c>
    </row>
    <row r="7063" spans="1:40" x14ac:dyDescent="0.25">
      <c r="A7063" t="str">
        <f>"20190303153948567"</f>
        <v>20190303153948567</v>
      </c>
      <c r="B7063" t="str">
        <f>"1551598788555390"</f>
        <v>1551598788555390</v>
      </c>
      <c r="C7063" t="s">
        <v>40</v>
      </c>
      <c r="D7063">
        <v>4.2906360000000001</v>
      </c>
      <c r="E7063">
        <v>0.32106570000000001</v>
      </c>
      <c r="F7063" t="s">
        <v>44</v>
      </c>
      <c r="G7063">
        <v>-417.791</v>
      </c>
      <c r="H7063">
        <v>1.0225070000000001</v>
      </c>
      <c r="I7063">
        <v>26.318840000000002</v>
      </c>
      <c r="J7063">
        <v>-418.66219999999998</v>
      </c>
      <c r="K7063">
        <v>1.1294599999999999</v>
      </c>
      <c r="L7063">
        <v>26.575869999999998</v>
      </c>
      <c r="M7063">
        <v>0.57062579999999996</v>
      </c>
      <c r="N7063">
        <v>-1.555431E-2</v>
      </c>
      <c r="O7063">
        <v>-0.82106290000000004</v>
      </c>
      <c r="P7063">
        <v>0.70281419999999994</v>
      </c>
      <c r="Q7063">
        <v>-5.3924449999999999E-2</v>
      </c>
      <c r="R7063">
        <v>-0.70932689999999998</v>
      </c>
      <c r="S7063">
        <v>3.1063230000000002</v>
      </c>
      <c r="T7063">
        <v>-0.35179569999999999</v>
      </c>
      <c r="U7063">
        <v>-1.1419680000000001</v>
      </c>
      <c r="V7063">
        <v>-0.17151710000000001</v>
      </c>
      <c r="W7063">
        <v>-4.2023230000000002E-2</v>
      </c>
      <c r="X7063">
        <v>0.98428450000000001</v>
      </c>
      <c r="Y7063">
        <v>-0.56847510000000001</v>
      </c>
      <c r="Z7063">
        <v>9.5838729999999997E-2</v>
      </c>
      <c r="AA7063">
        <v>0.81709919999999903</v>
      </c>
      <c r="AB7063">
        <v>20</v>
      </c>
      <c r="AC7063">
        <v>0.87119999999998698</v>
      </c>
      <c r="AD7063">
        <v>-0.10695300000000001</v>
      </c>
      <c r="AE7063">
        <v>-0.25702999999999998</v>
      </c>
      <c r="AF7063">
        <v>-0.56093378562055296</v>
      </c>
      <c r="AG7063">
        <v>-0.10695300000000001</v>
      </c>
      <c r="AH7063">
        <v>0.69856739138958801</v>
      </c>
      <c r="AI7063">
        <v>96.807754143517101</v>
      </c>
      <c r="AJ7063">
        <v>128.76367497456101</v>
      </c>
      <c r="AK7063">
        <v>0.90226495907380699</v>
      </c>
      <c r="AL7063">
        <v>92.408462893629107</v>
      </c>
      <c r="AM7063">
        <v>99.884857461240401</v>
      </c>
      <c r="AN7063">
        <v>1.00000002219614</v>
      </c>
    </row>
    <row r="7064" spans="1:40" x14ac:dyDescent="0.25">
      <c r="A7064" t="str">
        <f>"20190303153948579"</f>
        <v>20190303153948579</v>
      </c>
      <c r="B7064" t="str">
        <f>"1551598788575885"</f>
        <v>1551598788575885</v>
      </c>
      <c r="C7064" t="s">
        <v>40</v>
      </c>
      <c r="D7064">
        <v>4.2876799999999999</v>
      </c>
      <c r="E7064">
        <v>0.32152500000000001</v>
      </c>
      <c r="F7064" t="s">
        <v>44</v>
      </c>
      <c r="G7064">
        <v>-417.82929999999999</v>
      </c>
      <c r="H7064">
        <v>1.0360590000000001</v>
      </c>
      <c r="I7064">
        <v>26.27769</v>
      </c>
      <c r="J7064">
        <v>-418.59789999999998</v>
      </c>
      <c r="K7064">
        <v>1.129435</v>
      </c>
      <c r="L7064">
        <v>26.4986</v>
      </c>
      <c r="M7064">
        <v>0.57681579999999999</v>
      </c>
      <c r="N7064">
        <v>-1.554609E-2</v>
      </c>
      <c r="O7064">
        <v>-0.81672639999999996</v>
      </c>
      <c r="P7064">
        <v>0.70751450000000005</v>
      </c>
      <c r="Q7064">
        <v>-5.331694E-2</v>
      </c>
      <c r="R7064">
        <v>-0.70468500000000001</v>
      </c>
      <c r="S7064">
        <v>3.115875</v>
      </c>
      <c r="T7064">
        <v>-0.34941040000000001</v>
      </c>
      <c r="U7064">
        <v>-1.1155090000000001</v>
      </c>
      <c r="V7064">
        <v>-0.1706106</v>
      </c>
      <c r="W7064">
        <v>-4.1388519999999998E-2</v>
      </c>
      <c r="X7064">
        <v>0.98446889999999998</v>
      </c>
      <c r="Y7064">
        <v>-0.56929730000000001</v>
      </c>
      <c r="Z7064">
        <v>9.5018329999999998E-2</v>
      </c>
      <c r="AA7064">
        <v>0.81662239999999997</v>
      </c>
      <c r="AB7064">
        <v>20</v>
      </c>
      <c r="AC7064">
        <v>0.76859999999999196</v>
      </c>
      <c r="AD7064">
        <v>-9.3375999999999904E-2</v>
      </c>
      <c r="AE7064">
        <v>-0.220909999999996</v>
      </c>
      <c r="AF7064">
        <v>-0.49364203864477402</v>
      </c>
      <c r="AG7064">
        <v>-9.3375999999999904E-2</v>
      </c>
      <c r="AH7064">
        <v>0.61544845791124803</v>
      </c>
      <c r="AI7064">
        <v>96.749736909366703</v>
      </c>
      <c r="AJ7064">
        <v>128.73258023250801</v>
      </c>
      <c r="AK7064">
        <v>0.79446733352523802</v>
      </c>
      <c r="AL7064">
        <v>92.372065071881096</v>
      </c>
      <c r="AM7064">
        <v>99.831830696388906</v>
      </c>
      <c r="AN7064">
        <v>1.00000000074368</v>
      </c>
    </row>
    <row r="7065" spans="1:40" x14ac:dyDescent="0.25">
      <c r="A7065" t="str">
        <f>"20190303153948591"</f>
        <v>20190303153948591</v>
      </c>
      <c r="B7065" t="str">
        <f>"1551598788585645"</f>
        <v>1551598788585645</v>
      </c>
      <c r="C7065" t="s">
        <v>40</v>
      </c>
      <c r="D7065">
        <v>4.2961850000000004</v>
      </c>
      <c r="E7065">
        <v>0.3216849</v>
      </c>
      <c r="F7065" t="s">
        <v>44</v>
      </c>
      <c r="G7065">
        <v>-417.68990000000002</v>
      </c>
      <c r="H7065">
        <v>1.0282990000000001</v>
      </c>
      <c r="I7065">
        <v>26.179020000000001</v>
      </c>
      <c r="J7065">
        <v>-418.53129999999999</v>
      </c>
      <c r="K7065">
        <v>1.129405</v>
      </c>
      <c r="L7065">
        <v>26.41919</v>
      </c>
      <c r="M7065">
        <v>0.58315090000000003</v>
      </c>
      <c r="N7065">
        <v>-1.55377E-2</v>
      </c>
      <c r="O7065">
        <v>-0.81221549999999998</v>
      </c>
      <c r="P7065">
        <v>0.71227359999999995</v>
      </c>
      <c r="Q7065">
        <v>-5.2516409999999999E-2</v>
      </c>
      <c r="R7065">
        <v>-0.69993490000000003</v>
      </c>
      <c r="S7065">
        <v>3.1206670000000001</v>
      </c>
      <c r="T7065">
        <v>-0.3475454</v>
      </c>
      <c r="U7065">
        <v>-1.0977779999999999</v>
      </c>
      <c r="V7065">
        <v>-0.16960939999999999</v>
      </c>
      <c r="W7065">
        <v>-4.0558299999999999E-2</v>
      </c>
      <c r="X7065">
        <v>0.98467640000000001</v>
      </c>
      <c r="Y7065">
        <v>-0.5675074</v>
      </c>
      <c r="Z7065">
        <v>9.4266039999999995E-2</v>
      </c>
      <c r="AA7065">
        <v>0.81795439999999997</v>
      </c>
      <c r="AB7065">
        <v>20</v>
      </c>
      <c r="AC7065">
        <v>0.84139999999996395</v>
      </c>
      <c r="AD7065">
        <v>-0.101105999999999</v>
      </c>
      <c r="AE7065">
        <v>-0.24017000000000199</v>
      </c>
      <c r="AF7065">
        <v>-0.53624850750571995</v>
      </c>
      <c r="AG7065">
        <v>-0.101105999999999</v>
      </c>
      <c r="AH7065">
        <v>0.67677955557293901</v>
      </c>
      <c r="AI7065">
        <v>96.678447920154298</v>
      </c>
      <c r="AJ7065">
        <v>128.39166108169499</v>
      </c>
      <c r="AK7065">
        <v>0.86937647304238597</v>
      </c>
      <c r="AL7065">
        <v>92.324457063987097</v>
      </c>
      <c r="AM7065">
        <v>99.773230326666706</v>
      </c>
      <c r="AN7065">
        <v>0.99999996849210404</v>
      </c>
    </row>
    <row r="7066" spans="1:40" x14ac:dyDescent="0.25">
      <c r="A7066" t="str">
        <f>"20190303153948603"</f>
        <v>20190303153948603</v>
      </c>
      <c r="B7066" t="str">
        <f>"1551598788595405"</f>
        <v>1551598788595405</v>
      </c>
      <c r="C7066" t="s">
        <v>40</v>
      </c>
      <c r="D7066">
        <v>4.2635860000000001</v>
      </c>
      <c r="E7066">
        <v>0.3221001</v>
      </c>
      <c r="F7066" t="s">
        <v>44</v>
      </c>
      <c r="G7066">
        <v>-417.55079999999998</v>
      </c>
      <c r="H7066">
        <v>1.021301</v>
      </c>
      <c r="I7066">
        <v>26.08127</v>
      </c>
      <c r="J7066">
        <v>-418.46379999999999</v>
      </c>
      <c r="K7066">
        <v>1.129372</v>
      </c>
      <c r="L7066">
        <v>26.340579999999999</v>
      </c>
      <c r="M7066">
        <v>0.58942759999999905</v>
      </c>
      <c r="N7066">
        <v>-1.552829E-2</v>
      </c>
      <c r="O7066">
        <v>-0.80767219999999995</v>
      </c>
      <c r="P7066">
        <v>0.71720340000000005</v>
      </c>
      <c r="Q7066">
        <v>-5.2138549999999999E-2</v>
      </c>
      <c r="R7066">
        <v>-0.6949109</v>
      </c>
      <c r="S7066">
        <v>3.1272280000000001</v>
      </c>
      <c r="T7066">
        <v>-0.34482550000000001</v>
      </c>
      <c r="U7066">
        <v>-1.0779110000000001</v>
      </c>
      <c r="V7066">
        <v>-0.16893349999999999</v>
      </c>
      <c r="W7066">
        <v>-4.015912E-2</v>
      </c>
      <c r="X7066">
        <v>0.98480900000000005</v>
      </c>
      <c r="Y7066">
        <v>-0.56641300000000006</v>
      </c>
      <c r="Z7066">
        <v>9.3256329999999998E-2</v>
      </c>
      <c r="AA7066">
        <v>0.81882819999999901</v>
      </c>
      <c r="AB7066">
        <v>20</v>
      </c>
      <c r="AC7066">
        <v>0.91300000000001003</v>
      </c>
      <c r="AD7066">
        <v>-0.108071</v>
      </c>
      <c r="AE7066">
        <v>-0.25930999999999899</v>
      </c>
      <c r="AF7066">
        <v>-0.57714768692692298</v>
      </c>
      <c r="AG7066">
        <v>-0.108071</v>
      </c>
      <c r="AH7066">
        <v>0.73810507004313397</v>
      </c>
      <c r="AI7066">
        <v>96.579527943642503</v>
      </c>
      <c r="AJ7066">
        <v>128.02297593997</v>
      </c>
      <c r="AK7066">
        <v>0.94317436775469998</v>
      </c>
      <c r="AL7066">
        <v>92.301566955587305</v>
      </c>
      <c r="AM7066">
        <v>99.7337446201456</v>
      </c>
      <c r="AN7066">
        <v>1.0000000244112099</v>
      </c>
    </row>
    <row r="7067" spans="1:40" x14ac:dyDescent="0.25">
      <c r="A7067" t="str">
        <f>"20190303153948613"</f>
        <v>20190303153948613</v>
      </c>
      <c r="B7067" t="str">
        <f>"1551598788605165"</f>
        <v>1551598788605165</v>
      </c>
      <c r="C7067" t="s">
        <v>40</v>
      </c>
      <c r="D7067">
        <v>4.2821619999999996</v>
      </c>
      <c r="E7067">
        <v>0.32247589999999998</v>
      </c>
      <c r="F7067" t="s">
        <v>44</v>
      </c>
      <c r="G7067">
        <v>-417.58429999999998</v>
      </c>
      <c r="H7067">
        <v>1.03288</v>
      </c>
      <c r="I7067">
        <v>26.043430000000001</v>
      </c>
      <c r="J7067">
        <v>-418.40199999999999</v>
      </c>
      <c r="K7067">
        <v>1.129338</v>
      </c>
      <c r="L7067">
        <v>26.269259999999999</v>
      </c>
      <c r="M7067">
        <v>0.59510850000000004</v>
      </c>
      <c r="N7067">
        <v>-1.551954E-2</v>
      </c>
      <c r="O7067">
        <v>-0.80349550000000003</v>
      </c>
      <c r="P7067">
        <v>0.72158900000000004</v>
      </c>
      <c r="Q7067">
        <v>-5.1505090000000003E-2</v>
      </c>
      <c r="R7067">
        <v>-0.69040290000000004</v>
      </c>
      <c r="S7067">
        <v>3.1324770000000002</v>
      </c>
      <c r="T7067">
        <v>-0.34365499999999999</v>
      </c>
      <c r="U7067">
        <v>-1.0583499999999999</v>
      </c>
      <c r="V7067">
        <v>-0.16821240000000001</v>
      </c>
      <c r="W7067">
        <v>-3.9503950000000003E-2</v>
      </c>
      <c r="X7067">
        <v>0.98495889999999997</v>
      </c>
      <c r="Y7067">
        <v>-0.565662</v>
      </c>
      <c r="Z7067">
        <v>9.2765239999999999E-2</v>
      </c>
      <c r="AA7067">
        <v>0.81940290000000005</v>
      </c>
      <c r="AB7067">
        <v>20</v>
      </c>
      <c r="AC7067">
        <v>0.81770000000000198</v>
      </c>
      <c r="AD7067">
        <v>-9.6457999999999905E-2</v>
      </c>
      <c r="AE7067">
        <v>-0.225830000000002</v>
      </c>
      <c r="AF7067">
        <v>-0.51601628050322701</v>
      </c>
      <c r="AG7067">
        <v>-9.6457999999999905E-2</v>
      </c>
      <c r="AH7067">
        <v>0.65962576063913403</v>
      </c>
      <c r="AI7067">
        <v>96.570147118792804</v>
      </c>
      <c r="AJ7067">
        <v>128.03558969410199</v>
      </c>
      <c r="AK7067">
        <v>0.84302022016505695</v>
      </c>
      <c r="AL7067">
        <v>92.263998712059703</v>
      </c>
      <c r="AM7067">
        <v>99.691538386624202</v>
      </c>
      <c r="AN7067">
        <v>1.00000000413428</v>
      </c>
    </row>
    <row r="7068" spans="1:40" x14ac:dyDescent="0.25">
      <c r="A7068" t="str">
        <f>"20190303153948623"</f>
        <v>20190303153948623</v>
      </c>
      <c r="B7068" t="str">
        <f>"1551598788615901"</f>
        <v>1551598788615901</v>
      </c>
      <c r="C7068" t="s">
        <v>40</v>
      </c>
      <c r="D7068">
        <v>4.3090989999999998</v>
      </c>
      <c r="E7068">
        <v>0.32285710000000001</v>
      </c>
      <c r="F7068" t="s">
        <v>44</v>
      </c>
      <c r="G7068">
        <v>-417.44159999999999</v>
      </c>
      <c r="H7068">
        <v>1.0244930000000001</v>
      </c>
      <c r="I7068">
        <v>25.95035</v>
      </c>
      <c r="J7068">
        <v>-418.33949999999999</v>
      </c>
      <c r="K7068">
        <v>1.1293059999999999</v>
      </c>
      <c r="L7068">
        <v>26.198270000000001</v>
      </c>
      <c r="M7068">
        <v>0.60075789999999996</v>
      </c>
      <c r="N7068">
        <v>-1.551027E-2</v>
      </c>
      <c r="O7068">
        <v>-0.79928049999999995</v>
      </c>
      <c r="P7068">
        <v>0.72614650000000003</v>
      </c>
      <c r="Q7068">
        <v>-5.1159209999999997E-2</v>
      </c>
      <c r="R7068">
        <v>-0.68563399999999997</v>
      </c>
      <c r="S7068">
        <v>3.137054</v>
      </c>
      <c r="T7068">
        <v>-0.34242640000000002</v>
      </c>
      <c r="U7068">
        <v>-1.040985</v>
      </c>
      <c r="V7068">
        <v>-0.167788299999999</v>
      </c>
      <c r="W7068">
        <v>-3.9143829999999998E-2</v>
      </c>
      <c r="X7068">
        <v>0.98504559999999997</v>
      </c>
      <c r="Y7068">
        <v>-0.56435190000000002</v>
      </c>
      <c r="Z7068">
        <v>9.2221319999999996E-2</v>
      </c>
      <c r="AA7068">
        <v>0.82036710000000002</v>
      </c>
      <c r="AB7068">
        <v>20</v>
      </c>
      <c r="AC7068">
        <v>0.89789999999999204</v>
      </c>
      <c r="AD7068">
        <v>-0.104812999999999</v>
      </c>
      <c r="AE7068">
        <v>-0.24792</v>
      </c>
      <c r="AF7068">
        <v>-0.56169095940774405</v>
      </c>
      <c r="AG7068">
        <v>-0.104812999999999</v>
      </c>
      <c r="AH7068">
        <v>0.72844410152396499</v>
      </c>
      <c r="AI7068">
        <v>96.500560336396504</v>
      </c>
      <c r="AJ7068">
        <v>127.635210450447</v>
      </c>
      <c r="AK7068">
        <v>0.92580414121694699</v>
      </c>
      <c r="AL7068">
        <v>92.243349407734598</v>
      </c>
      <c r="AM7068">
        <v>99.666730766460404</v>
      </c>
      <c r="AN7068">
        <v>0.99999999356165903</v>
      </c>
    </row>
    <row r="7069" spans="1:40" x14ac:dyDescent="0.25">
      <c r="A7069" t="str">
        <f>"20190303153948635"</f>
        <v>20190303153948635</v>
      </c>
      <c r="B7069" t="str">
        <f>"1551598788625661"</f>
        <v>1551598788625661</v>
      </c>
      <c r="C7069" t="s">
        <v>40</v>
      </c>
      <c r="D7069">
        <v>4.3320280000000002</v>
      </c>
      <c r="E7069">
        <v>0.32336239999999999</v>
      </c>
      <c r="F7069" t="s">
        <v>44</v>
      </c>
      <c r="G7069">
        <v>-417.47149999999999</v>
      </c>
      <c r="H7069">
        <v>1.034823</v>
      </c>
      <c r="I7069">
        <v>25.91554</v>
      </c>
      <c r="J7069">
        <v>-418.27370000000002</v>
      </c>
      <c r="K7069">
        <v>1.1292709999999999</v>
      </c>
      <c r="L7069">
        <v>26.124600000000001</v>
      </c>
      <c r="M7069">
        <v>0.60661319999999996</v>
      </c>
      <c r="N7069">
        <v>-1.550028E-2</v>
      </c>
      <c r="O7069">
        <v>-0.79484619999999995</v>
      </c>
      <c r="P7069">
        <v>0.7309949</v>
      </c>
      <c r="Q7069">
        <v>-5.1187139999999999E-2</v>
      </c>
      <c r="R7069">
        <v>-0.68046099999999998</v>
      </c>
      <c r="S7069">
        <v>3.141724</v>
      </c>
      <c r="T7069">
        <v>-0.3419316</v>
      </c>
      <c r="U7069">
        <v>-1.022675</v>
      </c>
      <c r="V7069">
        <v>-0.16754769999999999</v>
      </c>
      <c r="W7069">
        <v>-3.9162240000000001E-2</v>
      </c>
      <c r="X7069">
        <v>0.98508580000000001</v>
      </c>
      <c r="Y7069">
        <v>-0.56300709999999998</v>
      </c>
      <c r="Z7069">
        <v>9.1884370000000007E-2</v>
      </c>
      <c r="AA7069">
        <v>0.82132839999999996</v>
      </c>
      <c r="AB7069">
        <v>20</v>
      </c>
      <c r="AC7069">
        <v>0.802200000000027</v>
      </c>
      <c r="AD7069">
        <v>-9.4447999999999796E-2</v>
      </c>
      <c r="AE7069">
        <v>-0.20906</v>
      </c>
      <c r="AF7069">
        <v>-0.50432213550340599</v>
      </c>
      <c r="AG7069">
        <v>-9.4447999999999796E-2</v>
      </c>
      <c r="AH7069">
        <v>0.64450811464430402</v>
      </c>
      <c r="AI7069">
        <v>96.583364247028797</v>
      </c>
      <c r="AJ7069">
        <v>128.042878784973</v>
      </c>
      <c r="AK7069">
        <v>0.82380334480085204</v>
      </c>
      <c r="AL7069">
        <v>92.244405078439499</v>
      </c>
      <c r="AM7069">
        <v>99.652743646291</v>
      </c>
      <c r="AN7069">
        <v>0.99999997308937305</v>
      </c>
    </row>
    <row r="7070" spans="1:40" x14ac:dyDescent="0.25">
      <c r="A7070" t="str">
        <f>"20190303153948646"</f>
        <v>20190303153948646</v>
      </c>
      <c r="B7070" t="str">
        <f>"1551598788635422"</f>
        <v>1551598788635422</v>
      </c>
      <c r="C7070" t="s">
        <v>40</v>
      </c>
      <c r="D7070">
        <v>4.318295</v>
      </c>
      <c r="E7070">
        <v>0.32384469999999999</v>
      </c>
      <c r="F7070" t="s">
        <v>44</v>
      </c>
      <c r="G7070">
        <v>-417.32859999999999</v>
      </c>
      <c r="H7070">
        <v>1.026378</v>
      </c>
      <c r="I7070">
        <v>25.82328</v>
      </c>
      <c r="J7070">
        <v>-418.20940000000002</v>
      </c>
      <c r="K7070">
        <v>1.129237</v>
      </c>
      <c r="L7070">
        <v>26.053380000000001</v>
      </c>
      <c r="M7070">
        <v>0.61226150000000001</v>
      </c>
      <c r="N7070">
        <v>-1.5490490000000001E-2</v>
      </c>
      <c r="O7070">
        <v>-0.79050350000000003</v>
      </c>
      <c r="P7070">
        <v>0.73596879999999998</v>
      </c>
      <c r="Q7070">
        <v>-5.143822E-2</v>
      </c>
      <c r="R7070">
        <v>-0.67505859999999995</v>
      </c>
      <c r="S7070">
        <v>3.1460270000000001</v>
      </c>
      <c r="T7070">
        <v>-0.34254770000000001</v>
      </c>
      <c r="U7070">
        <v>-1.003387</v>
      </c>
      <c r="V7070">
        <v>-0.16776720000000001</v>
      </c>
      <c r="W7070">
        <v>-3.9414400000000002E-2</v>
      </c>
      <c r="X7070">
        <v>0.98503839999999998</v>
      </c>
      <c r="Y7070">
        <v>-0.5620115</v>
      </c>
      <c r="Z7070">
        <v>9.1906500000000002E-2</v>
      </c>
      <c r="AA7070">
        <v>0.82200740000000005</v>
      </c>
      <c r="AB7070">
        <v>20</v>
      </c>
      <c r="AC7070">
        <v>0.88080000000002101</v>
      </c>
      <c r="AD7070">
        <v>-0.10285900000000001</v>
      </c>
      <c r="AE7070">
        <v>-0.230099999999996</v>
      </c>
      <c r="AF7070">
        <v>-0.54845910119018304</v>
      </c>
      <c r="AG7070">
        <v>-0.10285900000000001</v>
      </c>
      <c r="AH7070">
        <v>0.71216972927608002</v>
      </c>
      <c r="AI7070">
        <v>96.527940708468194</v>
      </c>
      <c r="AJ7070">
        <v>127.600736175428</v>
      </c>
      <c r="AK7070">
        <v>0.90475028756917697</v>
      </c>
      <c r="AL7070">
        <v>92.2588639103612</v>
      </c>
      <c r="AM7070">
        <v>99.665607388899303</v>
      </c>
      <c r="AN7070">
        <v>0.99999998889887998</v>
      </c>
    </row>
    <row r="7071" spans="1:40" x14ac:dyDescent="0.25">
      <c r="A7071" t="str">
        <f>"20190303153948657"</f>
        <v>20190303153948657</v>
      </c>
      <c r="B7071" t="str">
        <f>"1551598788646157"</f>
        <v>1551598788646157</v>
      </c>
      <c r="C7071" t="s">
        <v>40</v>
      </c>
      <c r="D7071">
        <v>4.3147399999999996</v>
      </c>
      <c r="E7071">
        <v>0.32384469999999999</v>
      </c>
      <c r="F7071" t="s">
        <v>44</v>
      </c>
      <c r="G7071">
        <v>-417.35829999999999</v>
      </c>
      <c r="H7071">
        <v>1.036381</v>
      </c>
      <c r="I7071">
        <v>25.78791</v>
      </c>
      <c r="J7071">
        <v>-418.14780000000002</v>
      </c>
      <c r="K7071">
        <v>1.1292070000000001</v>
      </c>
      <c r="L7071">
        <v>25.986419999999999</v>
      </c>
      <c r="M7071">
        <v>0.61757299999999904</v>
      </c>
      <c r="N7071">
        <v>-1.5480829999999999E-2</v>
      </c>
      <c r="O7071">
        <v>-0.78636130000000004</v>
      </c>
      <c r="P7071">
        <v>0.74077479999999996</v>
      </c>
      <c r="Q7071">
        <v>-5.1723390000000001E-2</v>
      </c>
      <c r="R7071">
        <v>-0.66975959999999901</v>
      </c>
      <c r="S7071">
        <v>3.1505429999999999</v>
      </c>
      <c r="T7071">
        <v>-0.34377039999999998</v>
      </c>
      <c r="U7071">
        <v>-0.98306269999999996</v>
      </c>
      <c r="V7071">
        <v>-0.16818239999999901</v>
      </c>
      <c r="W7071">
        <v>-3.9705940000000002E-2</v>
      </c>
      <c r="X7071">
        <v>0.9849559</v>
      </c>
      <c r="Y7071">
        <v>-0.56158229999999998</v>
      </c>
      <c r="Z7071">
        <v>9.2136750000000003E-2</v>
      </c>
      <c r="AA7071">
        <v>0.82227499999999998</v>
      </c>
      <c r="AB7071">
        <v>20</v>
      </c>
      <c r="AC7071">
        <v>0.78950000000003195</v>
      </c>
      <c r="AD7071">
        <v>-9.2826000000000006E-2</v>
      </c>
      <c r="AE7071">
        <v>-0.19851000000000199</v>
      </c>
      <c r="AF7071">
        <v>-0.49190177696061599</v>
      </c>
      <c r="AG7071">
        <v>-9.2826000000000006E-2</v>
      </c>
      <c r="AH7071">
        <v>0.63548890521137402</v>
      </c>
      <c r="AI7071">
        <v>96.588981401550996</v>
      </c>
      <c r="AJ7071">
        <v>127.741752212607</v>
      </c>
      <c r="AK7071">
        <v>0.80896858597832</v>
      </c>
      <c r="AL7071">
        <v>92.275580976045404</v>
      </c>
      <c r="AM7071">
        <v>99.689871666224803</v>
      </c>
      <c r="AN7071">
        <v>1.0000000031429199</v>
      </c>
    </row>
    <row r="7072" spans="1:40" x14ac:dyDescent="0.25">
      <c r="A7072" t="str">
        <f>"20190303153948667"</f>
        <v>20190303153948667</v>
      </c>
      <c r="B7072" t="str">
        <f>"1551598788665677"</f>
        <v>1551598788665677</v>
      </c>
      <c r="C7072" t="s">
        <v>40</v>
      </c>
      <c r="D7072">
        <v>4.3170060000000001</v>
      </c>
      <c r="E7072">
        <v>0.33388659999999998</v>
      </c>
      <c r="F7072" t="s">
        <v>44</v>
      </c>
      <c r="G7072">
        <v>-417.21109999999999</v>
      </c>
      <c r="H7072">
        <v>1.0270699999999999</v>
      </c>
      <c r="I7072">
        <v>25.701350000000001</v>
      </c>
      <c r="J7072">
        <v>-418.08100000000002</v>
      </c>
      <c r="K7072">
        <v>1.129175</v>
      </c>
      <c r="L7072">
        <v>25.914339999999999</v>
      </c>
      <c r="M7072">
        <v>0.62327369999999904</v>
      </c>
      <c r="N7072">
        <v>-1.5470619999999999E-2</v>
      </c>
      <c r="O7072">
        <v>-0.78185090000000002</v>
      </c>
      <c r="P7072">
        <v>0.74578840000000002</v>
      </c>
      <c r="Q7072">
        <v>-5.2351969999999998E-2</v>
      </c>
      <c r="R7072">
        <v>-0.66412289999999996</v>
      </c>
      <c r="S7072">
        <v>3.157562</v>
      </c>
      <c r="T7072">
        <v>-0.34423789999999999</v>
      </c>
      <c r="U7072">
        <v>-0.96026610000000001</v>
      </c>
      <c r="V7072">
        <v>-0.16844679999999901</v>
      </c>
      <c r="W7072">
        <v>-4.033755E-2</v>
      </c>
      <c r="X7072">
        <v>0.98488500000000001</v>
      </c>
      <c r="Y7072">
        <v>-0.56151839999999997</v>
      </c>
      <c r="Z7072">
        <v>9.2089270000000001E-2</v>
      </c>
      <c r="AA7072">
        <v>0.82232399999999894</v>
      </c>
      <c r="AB7072">
        <v>20</v>
      </c>
      <c r="AC7072">
        <v>0.86989999999997203</v>
      </c>
      <c r="AD7072">
        <v>-0.102104999999999</v>
      </c>
      <c r="AE7072">
        <v>-0.21298999999999699</v>
      </c>
      <c r="AF7072">
        <v>-0.54042216421879796</v>
      </c>
      <c r="AG7072">
        <v>-0.102104999999999</v>
      </c>
      <c r="AH7072">
        <v>0.69970233926397596</v>
      </c>
      <c r="AI7072">
        <v>96.587894097368306</v>
      </c>
      <c r="AJ7072">
        <v>127.68106567722</v>
      </c>
      <c r="AK7072">
        <v>0.88998028639706905</v>
      </c>
      <c r="AL7072">
        <v>92.311798697505395</v>
      </c>
      <c r="AM7072">
        <v>99.705501006228701</v>
      </c>
      <c r="AN7072">
        <v>0.99999995279762</v>
      </c>
    </row>
    <row r="7073" spans="1:40" x14ac:dyDescent="0.25">
      <c r="A7073" t="str">
        <f>"20190303153948679"</f>
        <v>20190303153948679</v>
      </c>
      <c r="B7073" t="str">
        <f>"1551598788675436"</f>
        <v>1551598788675436</v>
      </c>
      <c r="C7073" t="s">
        <v>40</v>
      </c>
      <c r="D7073">
        <v>4.329663</v>
      </c>
      <c r="E7073">
        <v>0.33418049999999999</v>
      </c>
      <c r="F7073" t="s">
        <v>44</v>
      </c>
      <c r="G7073">
        <v>-417.25369999999998</v>
      </c>
      <c r="H7073">
        <v>1.038691</v>
      </c>
      <c r="I7073">
        <v>25.649270000000001</v>
      </c>
      <c r="J7073">
        <v>-418.0181</v>
      </c>
      <c r="K7073">
        <v>1.129138</v>
      </c>
      <c r="L7073">
        <v>25.847930000000002</v>
      </c>
      <c r="M7073">
        <v>0.6285345</v>
      </c>
      <c r="N7073">
        <v>-1.5460700000000001E-2</v>
      </c>
      <c r="O7073">
        <v>-0.77762830000000005</v>
      </c>
      <c r="P7073">
        <v>0.75034219999999996</v>
      </c>
      <c r="Q7073">
        <v>-5.2453890000000003E-2</v>
      </c>
      <c r="R7073">
        <v>-0.65896560000000004</v>
      </c>
      <c r="S7073">
        <v>3.1116030000000001</v>
      </c>
      <c r="T7073">
        <v>-0.34023930000000002</v>
      </c>
      <c r="U7073">
        <v>-0.99621579999999998</v>
      </c>
      <c r="V7073">
        <v>-0.1685874</v>
      </c>
      <c r="W7073">
        <v>-4.0440810000000001E-2</v>
      </c>
      <c r="X7073">
        <v>0.98485679999999998</v>
      </c>
      <c r="Y7073">
        <v>-0.54390629999999995</v>
      </c>
      <c r="Z7073">
        <v>9.0887549999999998E-2</v>
      </c>
      <c r="AA7073">
        <v>0.83420939999999999</v>
      </c>
      <c r="AB7073">
        <v>20</v>
      </c>
      <c r="AC7073">
        <v>0.76440000000002295</v>
      </c>
      <c r="AD7073">
        <v>-9.0446999999999902E-2</v>
      </c>
      <c r="AE7073">
        <v>-0.19865999999999601</v>
      </c>
      <c r="AF7073">
        <v>-0.46353131855298002</v>
      </c>
      <c r="AG7073">
        <v>-9.0446999999999902E-2</v>
      </c>
      <c r="AH7073">
        <v>0.62679093679517905</v>
      </c>
      <c r="AI7073">
        <v>96.617968646956299</v>
      </c>
      <c r="AJ7073">
        <v>126.484073172222</v>
      </c>
      <c r="AK7073">
        <v>0.78479858660489599</v>
      </c>
      <c r="AL7073">
        <v>92.317719681126306</v>
      </c>
      <c r="AM7073">
        <v>99.713720604606806</v>
      </c>
      <c r="AN7073">
        <v>1.00000004352922</v>
      </c>
    </row>
    <row r="7074" spans="1:40" x14ac:dyDescent="0.25">
      <c r="A7074" t="str">
        <f>"20190303153948690"</f>
        <v>20190303153948690</v>
      </c>
      <c r="B7074" t="str">
        <f>"1551598788685197"</f>
        <v>1551598788685197</v>
      </c>
      <c r="C7074" t="s">
        <v>40</v>
      </c>
      <c r="D7074">
        <v>4.331359</v>
      </c>
      <c r="E7074">
        <v>0.33448719999999998</v>
      </c>
      <c r="F7074" t="s">
        <v>44</v>
      </c>
      <c r="G7074">
        <v>-417.1069</v>
      </c>
      <c r="H7074">
        <v>1.029744</v>
      </c>
      <c r="I7074">
        <v>25.562560000000001</v>
      </c>
      <c r="J7074">
        <v>-417.95370000000003</v>
      </c>
      <c r="K7074">
        <v>1.12911299999999</v>
      </c>
      <c r="L7074">
        <v>25.7803</v>
      </c>
      <c r="M7074">
        <v>0.6338703</v>
      </c>
      <c r="N7074">
        <v>-1.545095E-2</v>
      </c>
      <c r="O7074">
        <v>-0.77328540000000001</v>
      </c>
      <c r="P7074">
        <v>0.75485219999999997</v>
      </c>
      <c r="Q7074">
        <v>-5.2514060000000001E-2</v>
      </c>
      <c r="R7074">
        <v>-0.65378990000000003</v>
      </c>
      <c r="S7074">
        <v>3.1168520000000002</v>
      </c>
      <c r="T7074">
        <v>-0.34001930000000002</v>
      </c>
      <c r="U7074">
        <v>-0.97644039999999999</v>
      </c>
      <c r="V7074">
        <v>-0.16858229999999999</v>
      </c>
      <c r="W7074">
        <v>-4.0498850000000003E-2</v>
      </c>
      <c r="X7074">
        <v>0.98485520000000004</v>
      </c>
      <c r="Y7074">
        <v>-0.54337939999999996</v>
      </c>
      <c r="Z7074">
        <v>9.0639259999999999E-2</v>
      </c>
      <c r="AA7074">
        <v>0.83457979999999998</v>
      </c>
      <c r="AB7074">
        <v>20</v>
      </c>
      <c r="AC7074">
        <v>0.84680000000002997</v>
      </c>
      <c r="AD7074">
        <v>-9.9368999999999805E-2</v>
      </c>
      <c r="AE7074">
        <v>-0.21773999999999899</v>
      </c>
      <c r="AF7074">
        <v>-0.51026994710873197</v>
      </c>
      <c r="AG7074">
        <v>-9.9368999999999805E-2</v>
      </c>
      <c r="AH7074">
        <v>0.69622787910306705</v>
      </c>
      <c r="AI7074">
        <v>96.566837080709107</v>
      </c>
      <c r="AJ7074">
        <v>126.23793167901</v>
      </c>
      <c r="AK7074">
        <v>0.86889750645499197</v>
      </c>
      <c r="AL7074">
        <v>92.321048055901201</v>
      </c>
      <c r="AM7074">
        <v>99.713447829303604</v>
      </c>
      <c r="AN7074">
        <v>0.99999995684582499</v>
      </c>
    </row>
    <row r="7075" spans="1:40" x14ac:dyDescent="0.25">
      <c r="A7075" t="str">
        <f>"20190303153948700"</f>
        <v>20190303153948700</v>
      </c>
      <c r="B7075" t="str">
        <f>"1551598788695932"</f>
        <v>1551598788695932</v>
      </c>
      <c r="C7075" t="s">
        <v>40</v>
      </c>
      <c r="D7075">
        <v>4.3277010000000002</v>
      </c>
      <c r="E7075">
        <v>0.33480579999999999</v>
      </c>
      <c r="F7075" t="s">
        <v>44</v>
      </c>
      <c r="G7075">
        <v>-416.96120000000002</v>
      </c>
      <c r="H7075">
        <v>1.0210619999999999</v>
      </c>
      <c r="I7075">
        <v>25.47606</v>
      </c>
      <c r="J7075">
        <v>-417.88639999999998</v>
      </c>
      <c r="K7075">
        <v>1.1290899999999999</v>
      </c>
      <c r="L7075">
        <v>25.711179999999999</v>
      </c>
      <c r="M7075">
        <v>0.63933969999999996</v>
      </c>
      <c r="N7075">
        <v>-1.5440809999999999E-2</v>
      </c>
      <c r="O7075">
        <v>-0.76876949999999999</v>
      </c>
      <c r="P7075">
        <v>0.75952529999999996</v>
      </c>
      <c r="Q7075">
        <v>-5.2062820000000003E-2</v>
      </c>
      <c r="R7075">
        <v>-0.6483911</v>
      </c>
      <c r="S7075">
        <v>3.1218569999999999</v>
      </c>
      <c r="T7075">
        <v>-0.33987469999999997</v>
      </c>
      <c r="U7075">
        <v>-0.95690920000000002</v>
      </c>
      <c r="V7075">
        <v>-0.168653</v>
      </c>
      <c r="W7075">
        <v>-4.0047939999999997E-2</v>
      </c>
      <c r="X7075">
        <v>0.9848616</v>
      </c>
      <c r="Y7075">
        <v>-0.54259789999999997</v>
      </c>
      <c r="Z7075">
        <v>9.0390639999999994E-2</v>
      </c>
      <c r="AA7075">
        <v>0.83511499999999905</v>
      </c>
      <c r="AB7075">
        <v>20</v>
      </c>
      <c r="AC7075">
        <v>0.92519999999996105</v>
      </c>
      <c r="AD7075">
        <v>-0.108027999999999</v>
      </c>
      <c r="AE7075">
        <v>-0.235119999999998</v>
      </c>
      <c r="AF7075">
        <v>-0.55391720149897195</v>
      </c>
      <c r="AG7075">
        <v>-0.108027999999999</v>
      </c>
      <c r="AH7075">
        <v>0.76259616120660501</v>
      </c>
      <c r="AI7075">
        <v>96.538367514197901</v>
      </c>
      <c r="AJ7075">
        <v>125.993048945411</v>
      </c>
      <c r="AK7075">
        <v>0.94870818484268504</v>
      </c>
      <c r="AL7075">
        <v>92.295191688870801</v>
      </c>
      <c r="AM7075">
        <v>99.717381855303898</v>
      </c>
      <c r="AN7075">
        <v>1.0000000215309</v>
      </c>
    </row>
    <row r="7076" spans="1:40" x14ac:dyDescent="0.25">
      <c r="A7076" t="str">
        <f>"20190303153948711"</f>
        <v>20190303153948711</v>
      </c>
      <c r="B7076" t="str">
        <f>"1551598788705693"</f>
        <v>1551598788705693</v>
      </c>
      <c r="C7076" t="s">
        <v>40</v>
      </c>
      <c r="D7076">
        <v>4.3370179999999996</v>
      </c>
      <c r="E7076">
        <v>0.33480579999999999</v>
      </c>
      <c r="F7076" t="s">
        <v>44</v>
      </c>
      <c r="G7076">
        <v>-416.98770000000002</v>
      </c>
      <c r="H7076">
        <v>1.0320370000000001</v>
      </c>
      <c r="I7076">
        <v>25.441949999999999</v>
      </c>
      <c r="J7076">
        <v>-417.82279999999997</v>
      </c>
      <c r="K7076">
        <v>1.1290709999999999</v>
      </c>
      <c r="L7076">
        <v>25.646270000000001</v>
      </c>
      <c r="M7076">
        <v>0.64445819999999998</v>
      </c>
      <c r="N7076">
        <v>-1.543164E-2</v>
      </c>
      <c r="O7076">
        <v>-0.76448400000000005</v>
      </c>
      <c r="P7076">
        <v>0.76383080000000003</v>
      </c>
      <c r="Q7076">
        <v>-5.1778919999999999E-2</v>
      </c>
      <c r="R7076">
        <v>-0.64333629999999997</v>
      </c>
      <c r="S7076">
        <v>3.127075</v>
      </c>
      <c r="T7076">
        <v>-0.33767560000000002</v>
      </c>
      <c r="U7076">
        <v>-0.93661499999999998</v>
      </c>
      <c r="V7076">
        <v>-0.1686357</v>
      </c>
      <c r="W7076">
        <v>-3.9762569999999997E-2</v>
      </c>
      <c r="X7076">
        <v>0.98487610000000003</v>
      </c>
      <c r="Y7076">
        <v>-0.54243399999999997</v>
      </c>
      <c r="Z7076">
        <v>8.9581010000000003E-2</v>
      </c>
      <c r="AA7076">
        <v>0.83530869999999902</v>
      </c>
      <c r="AB7076">
        <v>20</v>
      </c>
      <c r="AC7076">
        <v>0.83509999999995399</v>
      </c>
      <c r="AD7076">
        <v>-9.7033999999999801E-2</v>
      </c>
      <c r="AE7076">
        <v>-0.204320000000002</v>
      </c>
      <c r="AF7076">
        <v>-0.50043037642964705</v>
      </c>
      <c r="AG7076">
        <v>-9.7033999999999801E-2</v>
      </c>
      <c r="AH7076">
        <v>0.68573371326492605</v>
      </c>
      <c r="AI7076">
        <v>96.520789932210604</v>
      </c>
      <c r="AJ7076">
        <v>126.12098185754201</v>
      </c>
      <c r="AK7076">
        <v>0.85444536649081404</v>
      </c>
      <c r="AL7076">
        <v>92.278828214836807</v>
      </c>
      <c r="AM7076">
        <v>99.716263748224605</v>
      </c>
      <c r="AN7076">
        <v>0.99999999681935203</v>
      </c>
    </row>
    <row r="7077" spans="1:40" x14ac:dyDescent="0.25">
      <c r="A7077" t="str">
        <f>"20190303153948724"</f>
        <v>20190303153948724</v>
      </c>
      <c r="B7077" t="str">
        <f>"1551598788715453"</f>
        <v>1551598788715453</v>
      </c>
      <c r="C7077" t="s">
        <v>40</v>
      </c>
      <c r="D7077">
        <v>4.3385040000000004</v>
      </c>
      <c r="E7077">
        <v>0.34264630000000001</v>
      </c>
      <c r="F7077" t="s">
        <v>44</v>
      </c>
      <c r="G7077">
        <v>-416.83980000000003</v>
      </c>
      <c r="H7077">
        <v>1.0235240000000001</v>
      </c>
      <c r="I7077">
        <v>25.358979999999999</v>
      </c>
      <c r="J7077">
        <v>-417.74189999999999</v>
      </c>
      <c r="K7077">
        <v>1.1290480000000001</v>
      </c>
      <c r="L7077">
        <v>25.565249999999999</v>
      </c>
      <c r="M7077">
        <v>0.65086109999999997</v>
      </c>
      <c r="N7077">
        <v>-1.5420410000000001E-2</v>
      </c>
      <c r="O7077">
        <v>-0.75904050000000001</v>
      </c>
      <c r="P7077">
        <v>0.76883330000000005</v>
      </c>
      <c r="Q7077">
        <v>-5.1290500000000003E-2</v>
      </c>
      <c r="R7077">
        <v>-0.63738930000000005</v>
      </c>
      <c r="S7077">
        <v>3.1334230000000001</v>
      </c>
      <c r="T7077">
        <v>-0.336426</v>
      </c>
      <c r="U7077">
        <v>-0.915802</v>
      </c>
      <c r="V7077">
        <v>-0.1680374</v>
      </c>
      <c r="W7077">
        <v>-3.9261190000000001E-2</v>
      </c>
      <c r="X7077">
        <v>0.9849985</v>
      </c>
      <c r="Y7077">
        <v>-0.54101350000000004</v>
      </c>
      <c r="Z7077">
        <v>8.8899220000000001E-2</v>
      </c>
      <c r="AA7077">
        <v>0.836302199999999</v>
      </c>
      <c r="AB7077">
        <v>20</v>
      </c>
      <c r="AC7077">
        <v>0.90209999999996104</v>
      </c>
      <c r="AD7077">
        <v>-0.10552400000000001</v>
      </c>
      <c r="AE7077">
        <v>-0.20626999999999901</v>
      </c>
      <c r="AF7077">
        <v>-0.543475567170563</v>
      </c>
      <c r="AG7077">
        <v>-0.10552400000000001</v>
      </c>
      <c r="AH7077">
        <v>0.73424953866313003</v>
      </c>
      <c r="AI7077">
        <v>96.589358912545094</v>
      </c>
      <c r="AJ7077">
        <v>126.508041231664</v>
      </c>
      <c r="AK7077">
        <v>0.91957783341834998</v>
      </c>
      <c r="AL7077">
        <v>92.250078738354006</v>
      </c>
      <c r="AM7077">
        <v>99.681264845436701</v>
      </c>
      <c r="AN7077">
        <v>1.00000002692061</v>
      </c>
    </row>
    <row r="7078" spans="1:40" x14ac:dyDescent="0.25">
      <c r="A7078" t="str">
        <f>"20190303153948737"</f>
        <v>20190303153948737</v>
      </c>
      <c r="B7078" t="str">
        <f>"1551598788725213"</f>
        <v>1551598788725213</v>
      </c>
      <c r="C7078" t="s">
        <v>40</v>
      </c>
      <c r="D7078">
        <v>4.2962189999999998</v>
      </c>
      <c r="E7078">
        <v>0.34229749999999998</v>
      </c>
      <c r="F7078" t="s">
        <v>44</v>
      </c>
      <c r="G7078">
        <v>-416.88099999999997</v>
      </c>
      <c r="H7078">
        <v>1.0351170000000001</v>
      </c>
      <c r="I7078">
        <v>25.304469999999998</v>
      </c>
      <c r="J7078">
        <v>-417.66239999999999</v>
      </c>
      <c r="K7078">
        <v>1.1290260000000001</v>
      </c>
      <c r="L7078">
        <v>25.486940000000001</v>
      </c>
      <c r="M7078">
        <v>0.65704750000000001</v>
      </c>
      <c r="N7078">
        <v>-1.541009E-2</v>
      </c>
      <c r="O7078">
        <v>-0.75369180000000002</v>
      </c>
      <c r="P7078">
        <v>0.77362180000000003</v>
      </c>
      <c r="Q7078">
        <v>-5.1533809999999999E-2</v>
      </c>
      <c r="R7078">
        <v>-0.63154880000000002</v>
      </c>
      <c r="S7078">
        <v>3.1006770000000001</v>
      </c>
      <c r="T7078">
        <v>-0.33830769999999999</v>
      </c>
      <c r="U7078">
        <v>-0.93936160000000002</v>
      </c>
      <c r="V7078">
        <v>-0.16742660000000001</v>
      </c>
      <c r="W7078">
        <v>-3.9492640000000002E-2</v>
      </c>
      <c r="X7078">
        <v>0.9850932</v>
      </c>
      <c r="Y7078">
        <v>-0.52579730000000002</v>
      </c>
      <c r="Z7078">
        <v>8.9165960000000002E-2</v>
      </c>
      <c r="AA7078">
        <v>0.84592350000000005</v>
      </c>
      <c r="AB7078">
        <v>20</v>
      </c>
      <c r="AC7078">
        <v>0.78140000000001897</v>
      </c>
      <c r="AD7078">
        <v>-9.3909000000000006E-2</v>
      </c>
      <c r="AE7078">
        <v>-0.18246999999999799</v>
      </c>
      <c r="AF7078">
        <v>-0.46276077711373198</v>
      </c>
      <c r="AG7078">
        <v>-9.3909000000000006E-2</v>
      </c>
      <c r="AH7078">
        <v>0.64222408932153996</v>
      </c>
      <c r="AI7078">
        <v>96.765653574292898</v>
      </c>
      <c r="AJ7078">
        <v>125.775000368531</v>
      </c>
      <c r="AK7078">
        <v>0.79713124265756097</v>
      </c>
      <c r="AL7078">
        <v>92.263350259307899</v>
      </c>
      <c r="AM7078">
        <v>99.645826873124307</v>
      </c>
      <c r="AN7078">
        <v>0.99999997384398398</v>
      </c>
    </row>
    <row r="7079" spans="1:40" x14ac:dyDescent="0.25">
      <c r="A7079" t="str">
        <f>"20190303153948749"</f>
        <v>20190303153948749</v>
      </c>
      <c r="B7079" t="str">
        <f>"1551598788745708"</f>
        <v>1551598788745708</v>
      </c>
      <c r="C7079" t="s">
        <v>40</v>
      </c>
      <c r="D7079">
        <v>4.365793</v>
      </c>
      <c r="E7079">
        <v>0.33801679999999901</v>
      </c>
      <c r="F7079" t="s">
        <v>44</v>
      </c>
      <c r="G7079">
        <v>-416.738</v>
      </c>
      <c r="H7079">
        <v>1.0291159999999999</v>
      </c>
      <c r="I7079">
        <v>25.215009999999999</v>
      </c>
      <c r="J7079">
        <v>-417.58550000000002</v>
      </c>
      <c r="K7079">
        <v>1.129005</v>
      </c>
      <c r="L7079">
        <v>25.411930000000002</v>
      </c>
      <c r="M7079">
        <v>0.6629583</v>
      </c>
      <c r="N7079">
        <v>-1.540063E-2</v>
      </c>
      <c r="O7079">
        <v>-0.748498</v>
      </c>
      <c r="P7079">
        <v>0.77786580000000005</v>
      </c>
      <c r="Q7079">
        <v>-5.185261E-2</v>
      </c>
      <c r="R7079">
        <v>-0.62628779999999995</v>
      </c>
      <c r="S7079">
        <v>3.10968</v>
      </c>
      <c r="T7079">
        <v>-0.33598479999999997</v>
      </c>
      <c r="U7079">
        <v>-0.91360469999999905</v>
      </c>
      <c r="V7079">
        <v>-0.16633580000000001</v>
      </c>
      <c r="W7079">
        <v>-3.978984E-2</v>
      </c>
      <c r="X7079">
        <v>0.98526599999999998</v>
      </c>
      <c r="Y7079">
        <v>-0.52631939999999999</v>
      </c>
      <c r="Z7079">
        <v>8.8236999999999996E-2</v>
      </c>
      <c r="AA7079">
        <v>0.84569629999999996</v>
      </c>
      <c r="AB7079">
        <v>20</v>
      </c>
      <c r="AC7079">
        <v>0.84749999999996795</v>
      </c>
      <c r="AD7079">
        <v>-9.9889000000000103E-2</v>
      </c>
      <c r="AE7079">
        <v>-0.19691999999999801</v>
      </c>
      <c r="AF7079">
        <v>-0.49730744409133298</v>
      </c>
      <c r="AG7079">
        <v>-9.9889000000000103E-2</v>
      </c>
      <c r="AH7079">
        <v>0.70010793738135102</v>
      </c>
      <c r="AI7079">
        <v>96.634712230655694</v>
      </c>
      <c r="AJ7079">
        <v>125.387308246307</v>
      </c>
      <c r="AK7079">
        <v>0.86454822320910696</v>
      </c>
      <c r="AL7079">
        <v>92.280391991688603</v>
      </c>
      <c r="AM7079">
        <v>99.5825031160431</v>
      </c>
      <c r="AN7079">
        <v>0.99999996024243198</v>
      </c>
    </row>
    <row r="7080" spans="1:40" x14ac:dyDescent="0.25">
      <c r="A7080" t="str">
        <f>"20190303153948763"</f>
        <v>20190303153948763</v>
      </c>
      <c r="B7080" t="str">
        <f>"1551598788755469"</f>
        <v>1551598788755469</v>
      </c>
      <c r="C7080" t="s">
        <v>40</v>
      </c>
      <c r="D7080">
        <v>4.4002080000000001</v>
      </c>
      <c r="E7080">
        <v>0.33854840000000003</v>
      </c>
      <c r="F7080" t="s">
        <v>44</v>
      </c>
      <c r="G7080">
        <v>-416.58800000000002</v>
      </c>
      <c r="H7080">
        <v>1.035396</v>
      </c>
      <c r="I7080">
        <v>25.136310000000002</v>
      </c>
      <c r="J7080">
        <v>-417.4957</v>
      </c>
      <c r="K7080">
        <v>1.1289830000000001</v>
      </c>
      <c r="L7080">
        <v>25.326509999999999</v>
      </c>
      <c r="M7080">
        <v>0.66972430000000005</v>
      </c>
      <c r="N7080">
        <v>-1.5390539999999999E-2</v>
      </c>
      <c r="O7080">
        <v>-0.74245050000000001</v>
      </c>
      <c r="P7080">
        <v>0.78223599999999904</v>
      </c>
      <c r="Q7080">
        <v>-5.2715129999999999E-2</v>
      </c>
      <c r="R7080">
        <v>-0.62074830000000003</v>
      </c>
      <c r="S7080">
        <v>3.1387330000000002</v>
      </c>
      <c r="T7080">
        <v>-0.29457499999999998</v>
      </c>
      <c r="U7080">
        <v>-0.86737059999999999</v>
      </c>
      <c r="V7080">
        <v>-0.16433420000000001</v>
      </c>
      <c r="W7080">
        <v>-4.061348E-2</v>
      </c>
      <c r="X7080">
        <v>0.98556829999999995</v>
      </c>
      <c r="Y7080">
        <v>-0.53350089999999994</v>
      </c>
      <c r="Z7080">
        <v>7.6047379999999998E-2</v>
      </c>
      <c r="AA7080">
        <v>0.84237379999999995</v>
      </c>
      <c r="AB7080">
        <v>20</v>
      </c>
      <c r="AC7080">
        <v>0.90769999999997697</v>
      </c>
      <c r="AD7080">
        <v>-9.3587000000000004E-2</v>
      </c>
      <c r="AE7080">
        <v>-0.19019999999999701</v>
      </c>
      <c r="AF7080">
        <v>-0.54109534439046603</v>
      </c>
      <c r="AG7080">
        <v>-9.3587000000000004E-2</v>
      </c>
      <c r="AH7080">
        <v>0.74165901024074998</v>
      </c>
      <c r="AI7080">
        <v>95.820595136463893</v>
      </c>
      <c r="AJ7080">
        <v>126.113528922444</v>
      </c>
      <c r="AK7080">
        <v>0.92282218534305205</v>
      </c>
      <c r="AL7080">
        <v>92.327621111392006</v>
      </c>
      <c r="AM7080">
        <v>99.466440928068096</v>
      </c>
      <c r="AN7080">
        <v>1.00000002900611</v>
      </c>
    </row>
    <row r="7081" spans="1:40" x14ac:dyDescent="0.25">
      <c r="A7081" t="str">
        <f>"20190303153948774"</f>
        <v>20190303153948774</v>
      </c>
      <c r="B7081" t="str">
        <f>"1551598788765230"</f>
        <v>1551598788765230</v>
      </c>
      <c r="C7081" t="s">
        <v>40</v>
      </c>
      <c r="D7081">
        <v>4.3815269999999904</v>
      </c>
      <c r="E7081">
        <v>0.33904010000000001</v>
      </c>
      <c r="F7081" t="s">
        <v>44</v>
      </c>
      <c r="G7081">
        <v>-416.62090000000001</v>
      </c>
      <c r="H7081">
        <v>1.047105</v>
      </c>
      <c r="I7081">
        <v>25.09037</v>
      </c>
      <c r="J7081">
        <v>-417.42739999999998</v>
      </c>
      <c r="K7081">
        <v>1.1289720000000001</v>
      </c>
      <c r="L7081">
        <v>25.262329999999999</v>
      </c>
      <c r="M7081">
        <v>0.6748035</v>
      </c>
      <c r="N7081">
        <v>-1.538339E-2</v>
      </c>
      <c r="O7081">
        <v>-0.73783730000000003</v>
      </c>
      <c r="P7081">
        <v>0.78574390000000005</v>
      </c>
      <c r="Q7081">
        <v>-5.3113729999999998E-2</v>
      </c>
      <c r="R7081">
        <v>-0.61626769999999997</v>
      </c>
      <c r="S7081">
        <v>3.1422119999999998</v>
      </c>
      <c r="T7081">
        <v>-0.29411670000000001</v>
      </c>
      <c r="U7081">
        <v>-0.84826659999999898</v>
      </c>
      <c r="V7081">
        <v>-0.1631783</v>
      </c>
      <c r="W7081">
        <v>-4.0990209999999999E-2</v>
      </c>
      <c r="X7081">
        <v>0.98574470000000003</v>
      </c>
      <c r="Y7081">
        <v>-0.53273019999999904</v>
      </c>
      <c r="Z7081">
        <v>7.5739780000000007E-2</v>
      </c>
      <c r="AA7081">
        <v>0.84288909999999995</v>
      </c>
      <c r="AB7081">
        <v>20</v>
      </c>
      <c r="AC7081">
        <v>0.80649999999997102</v>
      </c>
      <c r="AD7081">
        <v>-8.1866999999999898E-2</v>
      </c>
      <c r="AE7081">
        <v>-0.171959999999998</v>
      </c>
      <c r="AF7081">
        <v>-0.47440743137983599</v>
      </c>
      <c r="AG7081">
        <v>-8.1866999999999898E-2</v>
      </c>
      <c r="AH7081">
        <v>0.66463619194684598</v>
      </c>
      <c r="AI7081">
        <v>95.725108838190806</v>
      </c>
      <c r="AJ7081">
        <v>125.518681619631</v>
      </c>
      <c r="AK7081">
        <v>0.82067404265214805</v>
      </c>
      <c r="AL7081">
        <v>92.349224244877405</v>
      </c>
      <c r="AM7081">
        <v>99.399395967596107</v>
      </c>
      <c r="AN7081">
        <v>0.99999998424241099</v>
      </c>
    </row>
    <row r="7082" spans="1:40" x14ac:dyDescent="0.25">
      <c r="A7082" t="str">
        <f>"20190303153948785"</f>
        <v>20190303153948785</v>
      </c>
      <c r="B7082" t="str">
        <f>"1551598788775965"</f>
        <v>1551598788775965</v>
      </c>
      <c r="C7082" t="s">
        <v>40</v>
      </c>
      <c r="D7082">
        <v>4.3958130000000004</v>
      </c>
      <c r="E7082">
        <v>0.33904010000000001</v>
      </c>
      <c r="F7082" t="s">
        <v>44</v>
      </c>
      <c r="G7082">
        <v>-416.47329999999999</v>
      </c>
      <c r="H7082">
        <v>1.0396000000000001</v>
      </c>
      <c r="I7082">
        <v>25.009219999999999</v>
      </c>
      <c r="J7082">
        <v>-417.35610000000003</v>
      </c>
      <c r="K7082">
        <v>1.1289610000000001</v>
      </c>
      <c r="L7082">
        <v>25.19623</v>
      </c>
      <c r="M7082">
        <v>0.68003729999999996</v>
      </c>
      <c r="N7082">
        <v>-1.537642E-2</v>
      </c>
      <c r="O7082">
        <v>-0.73301640000000001</v>
      </c>
      <c r="P7082">
        <v>0.78926859999999999</v>
      </c>
      <c r="Q7082">
        <v>-5.3622570000000001E-2</v>
      </c>
      <c r="R7082">
        <v>-0.61170259999999999</v>
      </c>
      <c r="S7082">
        <v>3.144501</v>
      </c>
      <c r="T7082">
        <v>-0.29448340000000001</v>
      </c>
      <c r="U7082">
        <v>-0.83334349999999902</v>
      </c>
      <c r="V7082">
        <v>-0.16184470000000001</v>
      </c>
      <c r="W7082">
        <v>-4.147385E-2</v>
      </c>
      <c r="X7082">
        <v>0.9859443</v>
      </c>
      <c r="Y7082">
        <v>-0.53060459999999998</v>
      </c>
      <c r="Z7082">
        <v>7.5591889999999995E-2</v>
      </c>
      <c r="AA7082">
        <v>0.84424200000000005</v>
      </c>
      <c r="AB7082">
        <v>20</v>
      </c>
      <c r="AC7082">
        <v>0.882800000000031</v>
      </c>
      <c r="AD7082">
        <v>-8.9360999999999996E-2</v>
      </c>
      <c r="AE7082">
        <v>-0.18700999999999701</v>
      </c>
      <c r="AF7082">
        <v>-0.51494479994185005</v>
      </c>
      <c r="AG7082">
        <v>-8.9360999999999996E-2</v>
      </c>
      <c r="AH7082">
        <v>0.73034344276496099</v>
      </c>
      <c r="AI7082">
        <v>95.710483527931999</v>
      </c>
      <c r="AJ7082">
        <v>125.18659680527399</v>
      </c>
      <c r="AK7082">
        <v>0.89808411615946504</v>
      </c>
      <c r="AL7082">
        <v>92.376958383686102</v>
      </c>
      <c r="AM7082">
        <v>99.322077934750396</v>
      </c>
      <c r="AN7082">
        <v>0.99999997492720005</v>
      </c>
    </row>
    <row r="7083" spans="1:40" x14ac:dyDescent="0.25">
      <c r="A7083" t="str">
        <f>"20190303153948797"</f>
        <v>20190303153948797</v>
      </c>
      <c r="B7083" t="str">
        <f>"1551598788785725"</f>
        <v>1551598788785725</v>
      </c>
      <c r="C7083" t="s">
        <v>40</v>
      </c>
      <c r="D7083">
        <v>4.2985989999999896</v>
      </c>
      <c r="E7083">
        <v>0.34402969999999999</v>
      </c>
      <c r="F7083" t="s">
        <v>44</v>
      </c>
      <c r="G7083">
        <v>-416.49790000000002</v>
      </c>
      <c r="H7083">
        <v>1.048346</v>
      </c>
      <c r="I7083">
        <v>24.973839999999999</v>
      </c>
      <c r="J7083">
        <v>-417.28590000000003</v>
      </c>
      <c r="K7083">
        <v>1.1289499999999999</v>
      </c>
      <c r="L7083">
        <v>25.132259999999999</v>
      </c>
      <c r="M7083">
        <v>0.685119699999999</v>
      </c>
      <c r="N7083">
        <v>-1.537007E-2</v>
      </c>
      <c r="O7083">
        <v>-0.72826859999999904</v>
      </c>
      <c r="P7083">
        <v>0.79290660000000002</v>
      </c>
      <c r="Q7083">
        <v>-5.4080419999999997E-2</v>
      </c>
      <c r="R7083">
        <v>-0.6069388</v>
      </c>
      <c r="S7083">
        <v>3.1491389999999999</v>
      </c>
      <c r="T7083">
        <v>-0.29573319999999997</v>
      </c>
      <c r="U7083">
        <v>-0.81512450000000003</v>
      </c>
      <c r="V7083">
        <v>-0.16089389999999901</v>
      </c>
      <c r="W7083">
        <v>-4.191454E-2</v>
      </c>
      <c r="X7083">
        <v>0.98608130000000005</v>
      </c>
      <c r="Y7083">
        <v>-0.52957369999999904</v>
      </c>
      <c r="Z7083">
        <v>7.5703370000000006E-2</v>
      </c>
      <c r="AA7083">
        <v>0.84487909999999899</v>
      </c>
      <c r="AB7083">
        <v>20</v>
      </c>
      <c r="AC7083">
        <v>0.78800000000001003</v>
      </c>
      <c r="AD7083">
        <v>-8.0603999999999898E-2</v>
      </c>
      <c r="AE7083">
        <v>-0.158420000000003</v>
      </c>
      <c r="AF7083">
        <v>-0.46076017496203697</v>
      </c>
      <c r="AG7083">
        <v>-8.0603999999999898E-2</v>
      </c>
      <c r="AH7083">
        <v>0.64879917269855802</v>
      </c>
      <c r="AI7083">
        <v>95.783839546610295</v>
      </c>
      <c r="AJ7083">
        <v>125.38137193711</v>
      </c>
      <c r="AK7083">
        <v>0.79983580198774595</v>
      </c>
      <c r="AL7083">
        <v>92.402229969957205</v>
      </c>
      <c r="AM7083">
        <v>99.267000654992501</v>
      </c>
      <c r="AN7083">
        <v>1.0000000029651499</v>
      </c>
    </row>
    <row r="7084" spans="1:40" x14ac:dyDescent="0.25">
      <c r="A7084" t="str">
        <f>"20190303153948808"</f>
        <v>20190303153948808</v>
      </c>
      <c r="B7084" t="str">
        <f>"1551598788795484"</f>
        <v>1551598788795484</v>
      </c>
      <c r="C7084" t="s">
        <v>40</v>
      </c>
      <c r="D7084">
        <v>4.2836949999999998</v>
      </c>
      <c r="E7084">
        <v>0.34422009999999997</v>
      </c>
      <c r="F7084" t="s">
        <v>44</v>
      </c>
      <c r="G7084">
        <v>-416.35520000000002</v>
      </c>
      <c r="H7084">
        <v>1.0437110000000001</v>
      </c>
      <c r="I7084">
        <v>24.886089999999999</v>
      </c>
      <c r="J7084">
        <v>-417.21409999999997</v>
      </c>
      <c r="K7084">
        <v>1.128949</v>
      </c>
      <c r="L7084">
        <v>25.067319999999999</v>
      </c>
      <c r="M7084">
        <v>0.69026399999999999</v>
      </c>
      <c r="N7084">
        <v>-1.536389E-2</v>
      </c>
      <c r="O7084">
        <v>-0.72339449999999905</v>
      </c>
      <c r="P7084">
        <v>0.79638769999999903</v>
      </c>
      <c r="Q7084">
        <v>-5.4640699999999903E-2</v>
      </c>
      <c r="R7084">
        <v>-0.60231330000000005</v>
      </c>
      <c r="S7084">
        <v>3.130188</v>
      </c>
      <c r="T7084">
        <v>-0.28667409999999999</v>
      </c>
      <c r="U7084">
        <v>-0.82806399999999902</v>
      </c>
      <c r="V7084">
        <v>-0.1596088</v>
      </c>
      <c r="W7084">
        <v>-4.245078E-2</v>
      </c>
      <c r="X7084">
        <v>0.98626709999999995</v>
      </c>
      <c r="Y7084">
        <v>-0.51927849999999998</v>
      </c>
      <c r="Z7084">
        <v>7.2853799999999996E-2</v>
      </c>
      <c r="AA7084">
        <v>0.85149409999999903</v>
      </c>
      <c r="AB7084">
        <v>20</v>
      </c>
      <c r="AC7084">
        <v>0.85889999999994804</v>
      </c>
      <c r="AD7084">
        <v>-8.5237999999999897E-2</v>
      </c>
      <c r="AE7084">
        <v>-0.181230000000002</v>
      </c>
      <c r="AF7084">
        <v>-0.49164981305005101</v>
      </c>
      <c r="AG7084">
        <v>-8.5237999999999897E-2</v>
      </c>
      <c r="AH7084">
        <v>0.71729067750176601</v>
      </c>
      <c r="AI7084">
        <v>95.598157987469705</v>
      </c>
      <c r="AJ7084">
        <v>124.427760161298</v>
      </c>
      <c r="AK7084">
        <v>0.87377970412861705</v>
      </c>
      <c r="AL7084">
        <v>92.432981844398398</v>
      </c>
      <c r="AM7084">
        <v>99.192549379592805</v>
      </c>
      <c r="AN7084">
        <v>0.99999991515122499</v>
      </c>
    </row>
    <row r="7085" spans="1:40" x14ac:dyDescent="0.25">
      <c r="A7085" t="str">
        <f>"20190303153948821"</f>
        <v>20190303153948821</v>
      </c>
      <c r="B7085" t="str">
        <f>"1551598788815981"</f>
        <v>1551598788815981</v>
      </c>
      <c r="C7085" t="s">
        <v>40</v>
      </c>
      <c r="D7085">
        <v>4.3379139999999996</v>
      </c>
      <c r="E7085">
        <v>0.34481000000000001</v>
      </c>
      <c r="F7085" t="s">
        <v>44</v>
      </c>
      <c r="G7085">
        <v>-416.37880000000001</v>
      </c>
      <c r="H7085">
        <v>1.0513840000000001</v>
      </c>
      <c r="I7085">
        <v>24.85125</v>
      </c>
      <c r="J7085">
        <v>-417.13010000000003</v>
      </c>
      <c r="K7085">
        <v>1.1289439999999999</v>
      </c>
      <c r="L7085">
        <v>24.99316</v>
      </c>
      <c r="M7085">
        <v>0.69618049999999998</v>
      </c>
      <c r="N7085">
        <v>-1.535712E-2</v>
      </c>
      <c r="O7085">
        <v>-0.71770269999999903</v>
      </c>
      <c r="P7085">
        <v>0.80057789999999995</v>
      </c>
      <c r="Q7085">
        <v>-5.561108E-2</v>
      </c>
      <c r="R7085">
        <v>-0.59664300000000003</v>
      </c>
      <c r="S7085">
        <v>3.1338499999999998</v>
      </c>
      <c r="T7085">
        <v>-0.29101969999999999</v>
      </c>
      <c r="U7085">
        <v>-0.81082149999999997</v>
      </c>
      <c r="V7085">
        <v>-0.15845049999999999</v>
      </c>
      <c r="W7085">
        <v>-4.3400679999999997E-2</v>
      </c>
      <c r="X7085">
        <v>0.98641259999999997</v>
      </c>
      <c r="Y7085">
        <v>-0.51680059999999906</v>
      </c>
      <c r="Z7085">
        <v>7.3738189999999995E-2</v>
      </c>
      <c r="AA7085">
        <v>0.85292420000000002</v>
      </c>
      <c r="AB7085">
        <v>20</v>
      </c>
      <c r="AC7085">
        <v>0.75130000000001396</v>
      </c>
      <c r="AD7085">
        <v>-7.7559999999999796E-2</v>
      </c>
      <c r="AE7085">
        <v>-0.14190999999999901</v>
      </c>
      <c r="AF7085">
        <v>-0.43598061109885999</v>
      </c>
      <c r="AG7085">
        <v>-7.7559999999999796E-2</v>
      </c>
      <c r="AH7085">
        <v>0.61859770932978797</v>
      </c>
      <c r="AI7085">
        <v>95.851500334352494</v>
      </c>
      <c r="AJ7085">
        <v>125.17574473357899</v>
      </c>
      <c r="AK7085">
        <v>0.76076131134686198</v>
      </c>
      <c r="AL7085">
        <v>92.487457115972802</v>
      </c>
      <c r="AM7085">
        <v>99.125641164837802</v>
      </c>
      <c r="AN7085">
        <v>0.99999999870673595</v>
      </c>
    </row>
    <row r="7086" spans="1:40" x14ac:dyDescent="0.25">
      <c r="A7086" t="str">
        <f>"20190303153948832"</f>
        <v>20190303153948832</v>
      </c>
      <c r="B7086" t="str">
        <f>"1551598788825741"</f>
        <v>1551598788825741</v>
      </c>
      <c r="C7086" t="s">
        <v>40</v>
      </c>
      <c r="D7086">
        <v>4.3465829999999999</v>
      </c>
      <c r="E7086">
        <v>0.34481000000000001</v>
      </c>
      <c r="F7086" t="s">
        <v>44</v>
      </c>
      <c r="G7086">
        <v>-416.23390000000001</v>
      </c>
      <c r="H7086">
        <v>1.0437299999999901</v>
      </c>
      <c r="I7086">
        <v>24.766739999999999</v>
      </c>
      <c r="J7086">
        <v>-417.05540000000002</v>
      </c>
      <c r="K7086">
        <v>1.1289370000000001</v>
      </c>
      <c r="L7086">
        <v>24.92783</v>
      </c>
      <c r="M7086">
        <v>0.70138310000000004</v>
      </c>
      <c r="N7086">
        <v>-1.535135E-2</v>
      </c>
      <c r="O7086">
        <v>-0.71261940000000001</v>
      </c>
      <c r="P7086">
        <v>0.80445669999999903</v>
      </c>
      <c r="Q7086">
        <v>-5.6055870000000001E-2</v>
      </c>
      <c r="R7086">
        <v>-0.59136069999999996</v>
      </c>
      <c r="S7086">
        <v>3.1362610000000002</v>
      </c>
      <c r="T7086">
        <v>-0.29817739999999998</v>
      </c>
      <c r="U7086">
        <v>-0.79205319999999901</v>
      </c>
      <c r="V7086">
        <v>-0.1577382</v>
      </c>
      <c r="W7086">
        <v>-4.383331E-2</v>
      </c>
      <c r="X7086">
        <v>0.98650769999999999</v>
      </c>
      <c r="Y7086">
        <v>-0.51534460000000004</v>
      </c>
      <c r="Z7086">
        <v>7.5501159999999998E-2</v>
      </c>
      <c r="AA7086">
        <v>0.85365069999999998</v>
      </c>
      <c r="AB7086">
        <v>20</v>
      </c>
      <c r="AC7086">
        <v>0.821500000000014</v>
      </c>
      <c r="AD7086">
        <v>-8.5207000000000199E-2</v>
      </c>
      <c r="AE7086">
        <v>-0.16109000000000101</v>
      </c>
      <c r="AF7086">
        <v>-0.46764198421762299</v>
      </c>
      <c r="AG7086">
        <v>-8.5207000000000199E-2</v>
      </c>
      <c r="AH7086">
        <v>0.683977567213922</v>
      </c>
      <c r="AI7086">
        <v>95.871500625917307</v>
      </c>
      <c r="AJ7086">
        <v>124.360788462765</v>
      </c>
      <c r="AK7086">
        <v>0.83293131211635396</v>
      </c>
      <c r="AL7086">
        <v>92.512268421301101</v>
      </c>
      <c r="AM7086">
        <v>99.084442156136902</v>
      </c>
      <c r="AN7086">
        <v>1.00000007048204</v>
      </c>
    </row>
    <row r="7087" spans="1:40" x14ac:dyDescent="0.25">
      <c r="A7087" t="str">
        <f>"20190303153948842"</f>
        <v>20190303153948842</v>
      </c>
      <c r="B7087" t="str">
        <f>"1551598788835501"</f>
        <v>1551598788835501</v>
      </c>
      <c r="C7087" t="s">
        <v>40</v>
      </c>
      <c r="D7087">
        <v>4.2729540000000004</v>
      </c>
      <c r="E7087">
        <v>0.34940339999999998</v>
      </c>
      <c r="F7087" t="s">
        <v>44</v>
      </c>
      <c r="G7087">
        <v>-416.08519999999999</v>
      </c>
      <c r="H7087">
        <v>1.0365329999999999</v>
      </c>
      <c r="I7087">
        <v>24.689530000000001</v>
      </c>
      <c r="J7087">
        <v>-416.9907</v>
      </c>
      <c r="K7087">
        <v>1.1289309999999999</v>
      </c>
      <c r="L7087">
        <v>24.872219999999999</v>
      </c>
      <c r="M7087">
        <v>0.70582739999999999</v>
      </c>
      <c r="N7087">
        <v>-1.534663E-2</v>
      </c>
      <c r="O7087">
        <v>-0.70821750000000006</v>
      </c>
      <c r="P7087">
        <v>0.80758769999999902</v>
      </c>
      <c r="Q7087">
        <v>-5.6026380000000001E-2</v>
      </c>
      <c r="R7087">
        <v>-0.58708019999999905</v>
      </c>
      <c r="S7087">
        <v>3.1412659999999999</v>
      </c>
      <c r="T7087">
        <v>-0.29916490000000001</v>
      </c>
      <c r="U7087">
        <v>-0.77145390000000003</v>
      </c>
      <c r="V7087">
        <v>-0.1568089</v>
      </c>
      <c r="W7087">
        <v>-4.378597E-2</v>
      </c>
      <c r="X7087">
        <v>0.98665789999999998</v>
      </c>
      <c r="Y7087">
        <v>-0.5155651</v>
      </c>
      <c r="Z7087">
        <v>7.5587769999999999E-2</v>
      </c>
      <c r="AA7087">
        <v>0.85350990000000004</v>
      </c>
      <c r="AB7087">
        <v>20</v>
      </c>
      <c r="AC7087">
        <v>0.90550000000001696</v>
      </c>
      <c r="AD7087">
        <v>-9.2397999999999897E-2</v>
      </c>
      <c r="AE7087">
        <v>-0.18269000000000399</v>
      </c>
      <c r="AF7087">
        <v>-0.50732786319579803</v>
      </c>
      <c r="AG7087">
        <v>-9.2397999999999897E-2</v>
      </c>
      <c r="AH7087">
        <v>0.76098779232139302</v>
      </c>
      <c r="AI7087">
        <v>95.768798539143106</v>
      </c>
      <c r="AJ7087">
        <v>123.690206611036</v>
      </c>
      <c r="AK7087">
        <v>0.919250439891655</v>
      </c>
      <c r="AL7087">
        <v>92.509553541911203</v>
      </c>
      <c r="AM7087">
        <v>99.030454497377093</v>
      </c>
      <c r="AN7087">
        <v>1.00000002696023</v>
      </c>
    </row>
    <row r="7088" spans="1:40" x14ac:dyDescent="0.25">
      <c r="A7088" t="str">
        <f>"20190303153948854"</f>
        <v>20190303153948854</v>
      </c>
      <c r="B7088" t="str">
        <f>"1551598788845261"</f>
        <v>1551598788845261</v>
      </c>
      <c r="C7088" t="s">
        <v>40</v>
      </c>
      <c r="D7088">
        <v>4.2224570000000003</v>
      </c>
      <c r="E7088">
        <v>0.34906910000000002</v>
      </c>
      <c r="F7088" t="s">
        <v>44</v>
      </c>
      <c r="G7088">
        <v>-416.10989999999998</v>
      </c>
      <c r="H7088">
        <v>1.0404310000000001</v>
      </c>
      <c r="I7088">
        <v>24.65117</v>
      </c>
      <c r="J7088">
        <v>-416.91730000000001</v>
      </c>
      <c r="K7088">
        <v>1.1289260000000001</v>
      </c>
      <c r="L7088">
        <v>24.809809999999999</v>
      </c>
      <c r="M7088">
        <v>0.71081369999999999</v>
      </c>
      <c r="N7088">
        <v>-1.534139E-2</v>
      </c>
      <c r="O7088">
        <v>-0.70321319999999998</v>
      </c>
      <c r="P7088">
        <v>0.8112994</v>
      </c>
      <c r="Q7088">
        <v>-5.5744910000000002E-2</v>
      </c>
      <c r="R7088">
        <v>-0.58196789999999998</v>
      </c>
      <c r="S7088">
        <v>3.1231990000000001</v>
      </c>
      <c r="T7088">
        <v>-0.31380940000000002</v>
      </c>
      <c r="U7088">
        <v>-0.78378300000000001</v>
      </c>
      <c r="V7088">
        <v>-0.1560906</v>
      </c>
      <c r="W7088">
        <v>-4.34907E-2</v>
      </c>
      <c r="X7088">
        <v>0.98678480000000002</v>
      </c>
      <c r="Y7088">
        <v>-0.50476679999999996</v>
      </c>
      <c r="Z7088">
        <v>7.9253569999999995E-2</v>
      </c>
      <c r="AA7088">
        <v>0.85960999999999999</v>
      </c>
      <c r="AB7088">
        <v>20</v>
      </c>
      <c r="AC7088">
        <v>0.80740000000002898</v>
      </c>
      <c r="AD7088">
        <v>-8.8495000000000199E-2</v>
      </c>
      <c r="AE7088">
        <v>-0.158639999999998</v>
      </c>
      <c r="AF7088">
        <v>-0.449860937820933</v>
      </c>
      <c r="AG7088">
        <v>-8.8495000000000199E-2</v>
      </c>
      <c r="AH7088">
        <v>0.67771043525965402</v>
      </c>
      <c r="AI7088">
        <v>96.208935849630194</v>
      </c>
      <c r="AJ7088">
        <v>123.576016270289</v>
      </c>
      <c r="AK7088">
        <v>0.81822836816011202</v>
      </c>
      <c r="AL7088">
        <v>92.492619805938503</v>
      </c>
      <c r="AM7088">
        <v>98.988628254712793</v>
      </c>
      <c r="AN7088">
        <v>0.99999997895294401</v>
      </c>
    </row>
    <row r="7089" spans="1:40" x14ac:dyDescent="0.25">
      <c r="A7089" t="str">
        <f>"20190303153948864"</f>
        <v>20190303153948864</v>
      </c>
      <c r="B7089" t="str">
        <f>"1551598788855997"</f>
        <v>1551598788855997</v>
      </c>
      <c r="C7089" t="s">
        <v>40</v>
      </c>
      <c r="D7089">
        <v>4.2577980000000002</v>
      </c>
      <c r="E7089">
        <v>0.34956100000000001</v>
      </c>
      <c r="F7089" t="s">
        <v>44</v>
      </c>
      <c r="G7089">
        <v>-415.95979999999997</v>
      </c>
      <c r="H7089">
        <v>1.0317050000000001</v>
      </c>
      <c r="I7089">
        <v>24.576730000000001</v>
      </c>
      <c r="J7089">
        <v>-416.84370000000001</v>
      </c>
      <c r="K7089">
        <v>1.128919</v>
      </c>
      <c r="L7089">
        <v>24.74823</v>
      </c>
      <c r="M7089">
        <v>0.71574280000000001</v>
      </c>
      <c r="N7089">
        <v>-1.5336249999999999E-2</v>
      </c>
      <c r="O7089">
        <v>-0.69819549999999997</v>
      </c>
      <c r="P7089">
        <v>0.81510499999999997</v>
      </c>
      <c r="Q7089">
        <v>-5.528872E-2</v>
      </c>
      <c r="R7089">
        <v>-0.57666899999999999</v>
      </c>
      <c r="S7089">
        <v>3.1296080000000002</v>
      </c>
      <c r="T7089">
        <v>-0.31775379999999998</v>
      </c>
      <c r="U7089">
        <v>-0.76162719999999995</v>
      </c>
      <c r="V7089">
        <v>-0.15561</v>
      </c>
      <c r="W7089">
        <v>-4.302508E-2</v>
      </c>
      <c r="X7089">
        <v>0.98688109999999996</v>
      </c>
      <c r="Y7089">
        <v>-0.50475340000000002</v>
      </c>
      <c r="Z7089">
        <v>8.0056450000000001E-2</v>
      </c>
      <c r="AA7089">
        <v>0.85954349999999902</v>
      </c>
      <c r="AB7089">
        <v>20</v>
      </c>
      <c r="AC7089">
        <v>0.88390000000003899</v>
      </c>
      <c r="AD7089">
        <v>-9.7214000000000106E-2</v>
      </c>
      <c r="AE7089">
        <v>-0.17150000000000101</v>
      </c>
      <c r="AF7089">
        <v>-0.48874577464848301</v>
      </c>
      <c r="AG7089">
        <v>-9.7214000000000106E-2</v>
      </c>
      <c r="AH7089">
        <v>0.74380329929371103</v>
      </c>
      <c r="AI7089">
        <v>96.233598405500004</v>
      </c>
      <c r="AJ7089">
        <v>123.30851914572</v>
      </c>
      <c r="AK7089">
        <v>0.89530237466062601</v>
      </c>
      <c r="AL7089">
        <v>92.465916776674703</v>
      </c>
      <c r="AM7089">
        <v>98.960541998122196</v>
      </c>
      <c r="AN7089">
        <v>0.99999996757310705</v>
      </c>
    </row>
    <row r="7090" spans="1:40" x14ac:dyDescent="0.25">
      <c r="A7090" t="str">
        <f>"20190303153948875"</f>
        <v>20190303153948875</v>
      </c>
      <c r="B7090" t="str">
        <f>"1551598788865757"</f>
        <v>1551598788865757</v>
      </c>
      <c r="C7090" t="s">
        <v>40</v>
      </c>
      <c r="D7090">
        <v>4.1980360000000001</v>
      </c>
      <c r="E7090">
        <v>0.3494313</v>
      </c>
      <c r="F7090" t="s">
        <v>44</v>
      </c>
      <c r="G7090">
        <v>-415.98070000000001</v>
      </c>
      <c r="H7090">
        <v>1.0413730000000001</v>
      </c>
      <c r="I7090">
        <v>24.543130000000001</v>
      </c>
      <c r="J7090">
        <v>-416.77260000000001</v>
      </c>
      <c r="K7090">
        <v>1.1289129999999901</v>
      </c>
      <c r="L7090">
        <v>24.689609999999998</v>
      </c>
      <c r="M7090">
        <v>0.72044459999999999</v>
      </c>
      <c r="N7090">
        <v>-1.533115E-2</v>
      </c>
      <c r="O7090">
        <v>-0.69334300000000004</v>
      </c>
      <c r="P7090">
        <v>0.81863430000000004</v>
      </c>
      <c r="Q7090">
        <v>-5.5164669999999999E-2</v>
      </c>
      <c r="R7090">
        <v>-0.57165940000000004</v>
      </c>
      <c r="S7090">
        <v>3.132355</v>
      </c>
      <c r="T7090">
        <v>-0.31775900000000001</v>
      </c>
      <c r="U7090">
        <v>-0.74432369999999903</v>
      </c>
      <c r="V7090">
        <v>-0.1550029</v>
      </c>
      <c r="W7090">
        <v>-4.2888750000000003E-2</v>
      </c>
      <c r="X7090">
        <v>0.98698260000000004</v>
      </c>
      <c r="Y7090">
        <v>-0.50360360000000004</v>
      </c>
      <c r="Z7090">
        <v>7.9782149999999996E-2</v>
      </c>
      <c r="AA7090">
        <v>0.86024310000000004</v>
      </c>
      <c r="AB7090">
        <v>20</v>
      </c>
      <c r="AC7090">
        <v>0.79189999999999805</v>
      </c>
      <c r="AD7090">
        <v>-8.7539999999999896E-2</v>
      </c>
      <c r="AE7090">
        <v>-0.146480000000003</v>
      </c>
      <c r="AF7090">
        <v>-0.438399709433346</v>
      </c>
      <c r="AG7090">
        <v>-8.7539999999999896E-2</v>
      </c>
      <c r="AH7090">
        <v>0.66431063226328801</v>
      </c>
      <c r="AI7090">
        <v>96.276431723140803</v>
      </c>
      <c r="AJ7090">
        <v>123.42208907586399</v>
      </c>
      <c r="AK7090">
        <v>0.80072852638662195</v>
      </c>
      <c r="AL7090">
        <v>92.458098350314103</v>
      </c>
      <c r="AM7090">
        <v>98.925243969462002</v>
      </c>
      <c r="AN7090">
        <v>0.99999999829386599</v>
      </c>
    </row>
    <row r="7091" spans="1:40" x14ac:dyDescent="0.25">
      <c r="A7091" t="str">
        <f>"20190303153948886"</f>
        <v>20190303153948886</v>
      </c>
      <c r="B7091" t="str">
        <f>"1551598788875517"</f>
        <v>1551598788875517</v>
      </c>
      <c r="C7091" t="s">
        <v>40</v>
      </c>
      <c r="D7091">
        <v>4.2993189999999997</v>
      </c>
      <c r="E7091">
        <v>0.3494313</v>
      </c>
      <c r="F7091" t="s">
        <v>44</v>
      </c>
      <c r="G7091">
        <v>-415.82900000000001</v>
      </c>
      <c r="H7091">
        <v>1.0338860000000001</v>
      </c>
      <c r="I7091">
        <v>24.471830000000001</v>
      </c>
      <c r="J7091">
        <v>-416.69889999999998</v>
      </c>
      <c r="K7091">
        <v>1.1289039999999999</v>
      </c>
      <c r="L7091">
        <v>24.629429999999999</v>
      </c>
      <c r="M7091">
        <v>0.72526559999999995</v>
      </c>
      <c r="N7091">
        <v>-1.532586E-2</v>
      </c>
      <c r="O7091">
        <v>-0.68829859999999998</v>
      </c>
      <c r="P7091">
        <v>0.822321999999999</v>
      </c>
      <c r="Q7091">
        <v>-5.4832550000000001E-2</v>
      </c>
      <c r="R7091">
        <v>-0.56637439999999994</v>
      </c>
      <c r="S7091">
        <v>3.1376040000000001</v>
      </c>
      <c r="T7091">
        <v>-0.31599870000000002</v>
      </c>
      <c r="U7091">
        <v>-0.72424319999999998</v>
      </c>
      <c r="V7091">
        <v>-0.15449589999999999</v>
      </c>
      <c r="W7091">
        <v>-4.2545810000000003E-2</v>
      </c>
      <c r="X7091">
        <v>0.98707690000000003</v>
      </c>
      <c r="Y7091">
        <v>-0.50319510000000001</v>
      </c>
      <c r="Z7091">
        <v>7.9000409999999993E-2</v>
      </c>
      <c r="AA7091">
        <v>0.86055429999999999</v>
      </c>
      <c r="AB7091">
        <v>20</v>
      </c>
      <c r="AC7091">
        <v>0.86989999999997203</v>
      </c>
      <c r="AD7091">
        <v>-9.5018000000000005E-2</v>
      </c>
      <c r="AE7091">
        <v>-0.15760000000000199</v>
      </c>
      <c r="AF7091">
        <v>-0.47897301816177501</v>
      </c>
      <c r="AG7091">
        <v>-9.5018000000000005E-2</v>
      </c>
      <c r="AH7091">
        <v>0.73102661278966297</v>
      </c>
      <c r="AI7091">
        <v>96.2048597001464</v>
      </c>
      <c r="AJ7091">
        <v>123.233057192798</v>
      </c>
      <c r="AK7091">
        <v>0.879115169393481</v>
      </c>
      <c r="AL7091">
        <v>92.438431457985601</v>
      </c>
      <c r="AM7091">
        <v>98.895681724389306</v>
      </c>
      <c r="AN7091">
        <v>0.99999996778948697</v>
      </c>
    </row>
    <row r="7092" spans="1:40" x14ac:dyDescent="0.25">
      <c r="A7092" t="str">
        <f>"20190303153948898"</f>
        <v>20190303153948898</v>
      </c>
      <c r="B7092" t="str">
        <f>"1551598788896020"</f>
        <v>1551598788896020</v>
      </c>
      <c r="C7092" t="s">
        <v>40</v>
      </c>
      <c r="D7092">
        <v>4.3750470000000004</v>
      </c>
      <c r="E7092">
        <v>0.35581620000000003</v>
      </c>
      <c r="F7092" t="s">
        <v>44</v>
      </c>
      <c r="G7092">
        <v>-415.84890000000001</v>
      </c>
      <c r="H7092">
        <v>1.04375</v>
      </c>
      <c r="I7092">
        <v>24.43899</v>
      </c>
      <c r="J7092">
        <v>-416.61919999999998</v>
      </c>
      <c r="K7092">
        <v>1.128889</v>
      </c>
      <c r="L7092">
        <v>24.565799999999999</v>
      </c>
      <c r="M7092">
        <v>0.73038139999999996</v>
      </c>
      <c r="N7092">
        <v>-1.531945E-2</v>
      </c>
      <c r="O7092">
        <v>-0.68286789999999997</v>
      </c>
      <c r="P7092">
        <v>0.82622839999999997</v>
      </c>
      <c r="Q7092">
        <v>-5.4780130000000003E-2</v>
      </c>
      <c r="R7092">
        <v>-0.56066590000000005</v>
      </c>
      <c r="S7092">
        <v>3.1422729999999999</v>
      </c>
      <c r="T7092">
        <v>-0.31483410000000001</v>
      </c>
      <c r="U7092">
        <v>-0.704071</v>
      </c>
      <c r="V7092">
        <v>-0.153973</v>
      </c>
      <c r="W7092">
        <v>-4.2481789999999998E-2</v>
      </c>
      <c r="X7092">
        <v>0.98716139999999997</v>
      </c>
      <c r="Y7092">
        <v>-0.50234160000000005</v>
      </c>
      <c r="Z7092">
        <v>7.8351359999999995E-2</v>
      </c>
      <c r="AA7092">
        <v>0.86111209999999905</v>
      </c>
      <c r="AB7092">
        <v>20</v>
      </c>
      <c r="AC7092">
        <v>0.77029999999996301</v>
      </c>
      <c r="AD7092">
        <v>-8.5139000000000006E-2</v>
      </c>
      <c r="AE7092">
        <v>-0.12680999999999801</v>
      </c>
      <c r="AF7092">
        <v>-0.428349545299885</v>
      </c>
      <c r="AG7092">
        <v>-8.5139000000000006E-2</v>
      </c>
      <c r="AH7092">
        <v>0.64165164764570504</v>
      </c>
      <c r="AI7092">
        <v>96.297466556619796</v>
      </c>
      <c r="AJ7092">
        <v>123.72601758890499</v>
      </c>
      <c r="AK7092">
        <v>0.77617576566526902</v>
      </c>
      <c r="AL7092">
        <v>92.434759963668895</v>
      </c>
      <c r="AM7092">
        <v>98.8653060421193</v>
      </c>
      <c r="AN7092">
        <v>1.00000000843028</v>
      </c>
    </row>
    <row r="7093" spans="1:40" x14ac:dyDescent="0.25">
      <c r="A7093" t="str">
        <f>"20190303153948908"</f>
        <v>20190303153948908</v>
      </c>
      <c r="B7093" t="str">
        <f>"1551598788905780"</f>
        <v>1551598788905780</v>
      </c>
      <c r="C7093" t="s">
        <v>40</v>
      </c>
      <c r="D7093">
        <v>4.4257980000000003</v>
      </c>
      <c r="E7093">
        <v>0.35648449999999998</v>
      </c>
      <c r="F7093" t="s">
        <v>44</v>
      </c>
      <c r="G7093">
        <v>-415.70609999999999</v>
      </c>
      <c r="H7093">
        <v>1.05013</v>
      </c>
      <c r="I7093">
        <v>24.353069999999999</v>
      </c>
      <c r="J7093">
        <v>-416.5471</v>
      </c>
      <c r="K7093">
        <v>1.128871</v>
      </c>
      <c r="L7093">
        <v>24.50845</v>
      </c>
      <c r="M7093">
        <v>0.73496989999999995</v>
      </c>
      <c r="N7093">
        <v>-1.531367E-2</v>
      </c>
      <c r="O7093">
        <v>-0.67792699999999995</v>
      </c>
      <c r="P7093">
        <v>0.82943180000000005</v>
      </c>
      <c r="Q7093">
        <v>-5.5275289999999998E-2</v>
      </c>
      <c r="R7093">
        <v>-0.55586659999999999</v>
      </c>
      <c r="S7093">
        <v>3.1202999999999999</v>
      </c>
      <c r="T7093">
        <v>-0.26907779999999998</v>
      </c>
      <c r="U7093">
        <v>-0.72619630000000002</v>
      </c>
      <c r="V7093">
        <v>-0.15300949999999999</v>
      </c>
      <c r="W7093">
        <v>-4.2956519999999998E-2</v>
      </c>
      <c r="X7093">
        <v>0.98729069999999997</v>
      </c>
      <c r="Y7093">
        <v>-0.49061860000000002</v>
      </c>
      <c r="Z7093">
        <v>6.5567689999999998E-2</v>
      </c>
      <c r="AA7093">
        <v>0.86890409999999996</v>
      </c>
      <c r="AB7093">
        <v>20</v>
      </c>
      <c r="AC7093">
        <v>0.84100000000000796</v>
      </c>
      <c r="AD7093">
        <v>-7.8740999999999894E-2</v>
      </c>
      <c r="AE7093">
        <v>-0.15537999999999699</v>
      </c>
      <c r="AF7093">
        <v>-0.45215753456341701</v>
      </c>
      <c r="AG7093">
        <v>-7.8740999999999894E-2</v>
      </c>
      <c r="AH7093">
        <v>0.71744904155419698</v>
      </c>
      <c r="AI7093">
        <v>95.304708088183403</v>
      </c>
      <c r="AJ7093">
        <v>122.22033908402</v>
      </c>
      <c r="AK7093">
        <v>0.85169226154198596</v>
      </c>
      <c r="AL7093">
        <v>92.461984744656704</v>
      </c>
      <c r="AM7093">
        <v>98.809567895058706</v>
      </c>
      <c r="AN7093">
        <v>1.00000004800362</v>
      </c>
    </row>
    <row r="7094" spans="1:40" x14ac:dyDescent="0.25">
      <c r="A7094" t="str">
        <f>"20190303153948920"</f>
        <v>20190303153948920</v>
      </c>
      <c r="B7094" t="str">
        <f>"1551598788915539"</f>
        <v>1551598788915539</v>
      </c>
      <c r="C7094" t="s">
        <v>40</v>
      </c>
      <c r="D7094">
        <v>4.425414</v>
      </c>
      <c r="E7094">
        <v>0.35648449999999998</v>
      </c>
      <c r="F7094" t="s">
        <v>44</v>
      </c>
      <c r="G7094">
        <v>-415.71800000000002</v>
      </c>
      <c r="H7094">
        <v>1.057077</v>
      </c>
      <c r="I7094">
        <v>24.318999999999999</v>
      </c>
      <c r="J7094">
        <v>-416.47179999999997</v>
      </c>
      <c r="K7094">
        <v>1.1288469999999999</v>
      </c>
      <c r="L7094">
        <v>24.450099999999999</v>
      </c>
      <c r="M7094">
        <v>0.73966409999999905</v>
      </c>
      <c r="N7094">
        <v>-1.5306190000000001E-2</v>
      </c>
      <c r="O7094">
        <v>-0.67280240000000002</v>
      </c>
      <c r="P7094">
        <v>0.83257479999999995</v>
      </c>
      <c r="Q7094">
        <v>-5.5876130000000003E-2</v>
      </c>
      <c r="R7094">
        <v>-0.55108749999999995</v>
      </c>
      <c r="S7094">
        <v>3.1214599999999999</v>
      </c>
      <c r="T7094">
        <v>-0.27022459999999998</v>
      </c>
      <c r="U7094">
        <v>-0.71249390000000001</v>
      </c>
      <c r="V7094">
        <v>-0.15179100000000001</v>
      </c>
      <c r="W7094">
        <v>-4.3530699999999999E-2</v>
      </c>
      <c r="X7094">
        <v>0.98745360000000004</v>
      </c>
      <c r="Y7094">
        <v>-0.48824440000000002</v>
      </c>
      <c r="Z7094">
        <v>6.558841E-2</v>
      </c>
      <c r="AA7094">
        <v>0.87023879999999998</v>
      </c>
      <c r="AB7094">
        <v>20</v>
      </c>
      <c r="AC7094">
        <v>0.75379999999995495</v>
      </c>
      <c r="AD7094">
        <v>-7.1769999999999806E-2</v>
      </c>
      <c r="AE7094">
        <v>-0.131099999999996</v>
      </c>
      <c r="AF7094">
        <v>-0.406658300651288</v>
      </c>
      <c r="AG7094">
        <v>-7.1769999999999806E-2</v>
      </c>
      <c r="AH7094">
        <v>0.64020559325908999</v>
      </c>
      <c r="AI7094">
        <v>95.405700061911901</v>
      </c>
      <c r="AJ7094">
        <v>122.42369425853801</v>
      </c>
      <c r="AK7094">
        <v>0.76183010443852694</v>
      </c>
      <c r="AL7094">
        <v>92.494913705112097</v>
      </c>
      <c r="AM7094">
        <v>98.739080343697594</v>
      </c>
      <c r="AN7094">
        <v>1.00000002083822</v>
      </c>
    </row>
    <row r="7095" spans="1:40" x14ac:dyDescent="0.25">
      <c r="A7095" t="str">
        <f>"20190303153948935"</f>
        <v>20190303153948935</v>
      </c>
      <c r="B7095" t="str">
        <f>"1551598788925298"</f>
        <v>1551598788925298</v>
      </c>
      <c r="C7095" t="s">
        <v>40</v>
      </c>
      <c r="D7095">
        <v>4.3945420000000004</v>
      </c>
      <c r="E7095">
        <v>0.36548890000000001</v>
      </c>
      <c r="F7095" t="s">
        <v>44</v>
      </c>
      <c r="G7095">
        <v>-415.57339999999999</v>
      </c>
      <c r="H7095">
        <v>1.0509459999999999</v>
      </c>
      <c r="I7095">
        <v>24.25037</v>
      </c>
      <c r="J7095">
        <v>-416.37639999999999</v>
      </c>
      <c r="K7095">
        <v>1.128806</v>
      </c>
      <c r="L7095">
        <v>24.376799999999999</v>
      </c>
      <c r="M7095">
        <v>0.74553469999999999</v>
      </c>
      <c r="N7095">
        <v>-1.5295960000000001E-2</v>
      </c>
      <c r="O7095">
        <v>-0.66629139999999998</v>
      </c>
      <c r="P7095">
        <v>0.83665900000000004</v>
      </c>
      <c r="Q7095">
        <v>-5.6150930000000002E-2</v>
      </c>
      <c r="R7095">
        <v>-0.54483839999999994</v>
      </c>
      <c r="S7095">
        <v>3.1254580000000001</v>
      </c>
      <c r="T7095">
        <v>-0.270982</v>
      </c>
      <c r="U7095">
        <v>-0.69445800000000002</v>
      </c>
      <c r="V7095">
        <v>-0.1505137</v>
      </c>
      <c r="W7095">
        <v>-4.3775960000000003E-2</v>
      </c>
      <c r="X7095">
        <v>0.98763820000000002</v>
      </c>
      <c r="Y7095">
        <v>-0.48562109999999897</v>
      </c>
      <c r="Z7095">
        <v>6.5382209999999996E-2</v>
      </c>
      <c r="AA7095">
        <v>0.87172090000000002</v>
      </c>
      <c r="AB7095">
        <v>20</v>
      </c>
      <c r="AC7095">
        <v>0.80299999999999705</v>
      </c>
      <c r="AD7095">
        <v>-7.7859999999999999E-2</v>
      </c>
      <c r="AE7095">
        <v>-0.12642999999999899</v>
      </c>
      <c r="AF7095">
        <v>-0.43681816424677999</v>
      </c>
      <c r="AG7095">
        <v>-7.7859999999999999E-2</v>
      </c>
      <c r="AH7095">
        <v>0.67677463332586196</v>
      </c>
      <c r="AI7095">
        <v>95.521068142616102</v>
      </c>
      <c r="AJ7095">
        <v>122.83986048549799</v>
      </c>
      <c r="AK7095">
        <v>0.80925656780113997</v>
      </c>
      <c r="AL7095">
        <v>92.508979625487399</v>
      </c>
      <c r="AM7095">
        <v>98.665068114148895</v>
      </c>
      <c r="AN7095">
        <v>0.99999996133042501</v>
      </c>
    </row>
    <row r="7096" spans="1:40" x14ac:dyDescent="0.25">
      <c r="A7096" t="str">
        <f>"20190303153948947"</f>
        <v>20190303153948947</v>
      </c>
      <c r="B7096" t="str">
        <f>"1551598788936035"</f>
        <v>1551598788936035</v>
      </c>
      <c r="C7096" t="s">
        <v>40</v>
      </c>
      <c r="D7096">
        <v>4.4469209999999997</v>
      </c>
      <c r="E7096">
        <v>0.36610799999999999</v>
      </c>
      <c r="F7096" t="s">
        <v>44</v>
      </c>
      <c r="G7096">
        <v>-415.43680000000001</v>
      </c>
      <c r="H7096">
        <v>1.0474589999999999</v>
      </c>
      <c r="I7096">
        <v>24.15437</v>
      </c>
      <c r="J7096">
        <v>-416.28579999999999</v>
      </c>
      <c r="K7096">
        <v>1.128754</v>
      </c>
      <c r="L7096">
        <v>24.308350000000001</v>
      </c>
      <c r="M7096">
        <v>0.75099740000000004</v>
      </c>
      <c r="N7096">
        <v>-1.528477E-2</v>
      </c>
      <c r="O7096">
        <v>-0.66012799999999905</v>
      </c>
      <c r="P7096">
        <v>0.84038599999999997</v>
      </c>
      <c r="Q7096">
        <v>-5.6300959999999997E-2</v>
      </c>
      <c r="R7096">
        <v>-0.53905599999999998</v>
      </c>
      <c r="S7096">
        <v>3.091583</v>
      </c>
      <c r="T7096">
        <v>-0.26763140000000002</v>
      </c>
      <c r="U7096">
        <v>-0.7312012</v>
      </c>
      <c r="V7096">
        <v>-0.1491857</v>
      </c>
      <c r="W7096">
        <v>-4.3894320000000001E-2</v>
      </c>
      <c r="X7096">
        <v>0.98783449999999995</v>
      </c>
      <c r="Y7096">
        <v>-0.46656449999999999</v>
      </c>
      <c r="Z7096">
        <v>6.3905080000000003E-2</v>
      </c>
      <c r="AA7096">
        <v>0.88217559999999995</v>
      </c>
      <c r="AB7096">
        <v>20</v>
      </c>
      <c r="AC7096">
        <v>0.84899999999998899</v>
      </c>
      <c r="AD7096">
        <v>-8.1295000000000103E-2</v>
      </c>
      <c r="AE7096">
        <v>-0.15398000000000001</v>
      </c>
      <c r="AF7096">
        <v>-0.440947920035339</v>
      </c>
      <c r="AG7096">
        <v>-8.1295000000000103E-2</v>
      </c>
      <c r="AH7096">
        <v>0.73282464144175297</v>
      </c>
      <c r="AI7096">
        <v>95.429829844169205</v>
      </c>
      <c r="AJ7096">
        <v>121.03574349239101</v>
      </c>
      <c r="AK7096">
        <v>0.85911343855903399</v>
      </c>
      <c r="AL7096">
        <v>92.515767476213298</v>
      </c>
      <c r="AM7096">
        <v>98.588079102496806</v>
      </c>
      <c r="AN7096">
        <v>1.0000000419015</v>
      </c>
    </row>
    <row r="7097" spans="1:40" x14ac:dyDescent="0.25">
      <c r="A7097" t="str">
        <f>"20190303153948960"</f>
        <v>20190303153948960</v>
      </c>
      <c r="B7097" t="str">
        <f>"1551598788955555"</f>
        <v>1551598788955555</v>
      </c>
      <c r="C7097" t="s">
        <v>40</v>
      </c>
      <c r="D7097">
        <v>4.39907</v>
      </c>
      <c r="E7097">
        <v>0.3674094</v>
      </c>
      <c r="F7097" t="s">
        <v>44</v>
      </c>
      <c r="G7097">
        <v>-415.38560000000001</v>
      </c>
      <c r="H7097">
        <v>1.050592</v>
      </c>
      <c r="I7097">
        <v>24.100359999999998</v>
      </c>
      <c r="J7097">
        <v>-416.19900000000001</v>
      </c>
      <c r="K7097">
        <v>1.1287049999999901</v>
      </c>
      <c r="L7097">
        <v>24.24417</v>
      </c>
      <c r="M7097">
        <v>0.75611640000000002</v>
      </c>
      <c r="N7097">
        <v>-1.5271460000000001E-2</v>
      </c>
      <c r="O7097">
        <v>-0.65425909999999998</v>
      </c>
      <c r="P7097">
        <v>0.84382479999999904</v>
      </c>
      <c r="Q7097">
        <v>-5.6290930000000003E-2</v>
      </c>
      <c r="R7097">
        <v>-0.53365869999999904</v>
      </c>
      <c r="S7097">
        <v>3.0937809999999999</v>
      </c>
      <c r="T7097">
        <v>-0.26857330000000001</v>
      </c>
      <c r="U7097">
        <v>-0.71398930000000005</v>
      </c>
      <c r="V7097">
        <v>-0.14783070000000001</v>
      </c>
      <c r="W7097">
        <v>-4.3851769999999998E-2</v>
      </c>
      <c r="X7097">
        <v>0.98804000000000003</v>
      </c>
      <c r="Y7097">
        <v>-0.4644662</v>
      </c>
      <c r="Z7097">
        <v>6.382699E-2</v>
      </c>
      <c r="AA7097">
        <v>0.88328779999999996</v>
      </c>
      <c r="AB7097">
        <v>20</v>
      </c>
      <c r="AC7097">
        <v>0.81340000000000101</v>
      </c>
      <c r="AD7097">
        <v>-7.8112999999999794E-2</v>
      </c>
      <c r="AE7097">
        <v>-0.14380999999999799</v>
      </c>
      <c r="AF7097">
        <v>-0.419733031443555</v>
      </c>
      <c r="AG7097">
        <v>-7.8112999999999794E-2</v>
      </c>
      <c r="AH7097">
        <v>0.70291076446894696</v>
      </c>
      <c r="AI7097">
        <v>95.450192270116503</v>
      </c>
      <c r="AJ7097">
        <v>120.842928418339</v>
      </c>
      <c r="AK7097">
        <v>0.82241169815373905</v>
      </c>
      <c r="AL7097">
        <v>92.513327378052495</v>
      </c>
      <c r="AM7097">
        <v>98.509479929701996</v>
      </c>
      <c r="AN7097">
        <v>0.99999996759731002</v>
      </c>
    </row>
    <row r="7098" spans="1:40" x14ac:dyDescent="0.25">
      <c r="A7098" t="str">
        <f>"20190303153948973"</f>
        <v>20190303153948973</v>
      </c>
      <c r="B7098" t="str">
        <f>"1551598788965315"</f>
        <v>1551598788965315</v>
      </c>
      <c r="C7098" t="s">
        <v>40</v>
      </c>
      <c r="D7098">
        <v>4.3929330000000002</v>
      </c>
      <c r="E7098">
        <v>0.36779620000000002</v>
      </c>
      <c r="F7098" t="s">
        <v>44</v>
      </c>
      <c r="G7098">
        <v>-415.30119999999999</v>
      </c>
      <c r="H7098">
        <v>1.0486789999999999</v>
      </c>
      <c r="I7098">
        <v>24.04016</v>
      </c>
      <c r="J7098">
        <v>-416.10919999999999</v>
      </c>
      <c r="K7098">
        <v>1.1286449999999999</v>
      </c>
      <c r="L7098">
        <v>24.178439999999998</v>
      </c>
      <c r="M7098">
        <v>0.76132509999999998</v>
      </c>
      <c r="N7098">
        <v>-1.525661E-2</v>
      </c>
      <c r="O7098">
        <v>-0.64819119999999997</v>
      </c>
      <c r="P7098">
        <v>0.84748299999999999</v>
      </c>
      <c r="Q7098">
        <v>-5.4847840000000002E-2</v>
      </c>
      <c r="R7098">
        <v>-0.5279819</v>
      </c>
      <c r="S7098">
        <v>3.0925600000000002</v>
      </c>
      <c r="T7098">
        <v>-0.27566810000000003</v>
      </c>
      <c r="U7098">
        <v>-0.70251459999999999</v>
      </c>
      <c r="V7098">
        <v>-0.14665500000000001</v>
      </c>
      <c r="W7098">
        <v>-4.237747E-2</v>
      </c>
      <c r="X7098">
        <v>0.98827949999999998</v>
      </c>
      <c r="Y7098">
        <v>-0.46026699999999998</v>
      </c>
      <c r="Z7098">
        <v>6.5289769999999997E-2</v>
      </c>
      <c r="AA7098">
        <v>0.88537649999999901</v>
      </c>
      <c r="AB7098">
        <v>20</v>
      </c>
      <c r="AC7098">
        <v>0.80799999999999195</v>
      </c>
      <c r="AD7098">
        <v>-7.9965999999999898E-2</v>
      </c>
      <c r="AE7098">
        <v>-0.13827999999999799</v>
      </c>
      <c r="AF7098">
        <v>-0.41456608031790099</v>
      </c>
      <c r="AG7098">
        <v>-7.9965999999999898E-2</v>
      </c>
      <c r="AH7098">
        <v>0.69822021071944795</v>
      </c>
      <c r="AI7098">
        <v>95.624231971592195</v>
      </c>
      <c r="AJ7098">
        <v>120.699590907123</v>
      </c>
      <c r="AK7098">
        <v>0.81594795101357898</v>
      </c>
      <c r="AL7098">
        <v>92.428777611449902</v>
      </c>
      <c r="AM7098">
        <v>98.440766567483493</v>
      </c>
      <c r="AN7098">
        <v>0.99999995455442403</v>
      </c>
    </row>
    <row r="7099" spans="1:40" x14ac:dyDescent="0.25">
      <c r="A7099" t="str">
        <f>"20190303153948986"</f>
        <v>20190303153948986</v>
      </c>
      <c r="B7099" t="str">
        <f>"1551598788976051"</f>
        <v>1551598788976051</v>
      </c>
      <c r="C7099" t="s">
        <v>40</v>
      </c>
      <c r="D7099">
        <v>4.4736120000000001</v>
      </c>
      <c r="E7099">
        <v>0.36779620000000002</v>
      </c>
      <c r="F7099" t="s">
        <v>44</v>
      </c>
      <c r="G7099">
        <v>-415.1601</v>
      </c>
      <c r="H7099">
        <v>1.0442359999999999</v>
      </c>
      <c r="I7099">
        <v>23.968340000000001</v>
      </c>
      <c r="J7099">
        <v>-416.0138</v>
      </c>
      <c r="K7099">
        <v>1.128579</v>
      </c>
      <c r="L7099">
        <v>24.109860000000001</v>
      </c>
      <c r="M7099">
        <v>0.76672559999999901</v>
      </c>
      <c r="N7099">
        <v>-1.5238349999999999E-2</v>
      </c>
      <c r="O7099">
        <v>-0.64179410000000003</v>
      </c>
      <c r="P7099">
        <v>0.85081010000000001</v>
      </c>
      <c r="Q7099">
        <v>-5.3486499999999999E-2</v>
      </c>
      <c r="R7099">
        <v>-0.52274419999999999</v>
      </c>
      <c r="S7099">
        <v>3.0957029999999999</v>
      </c>
      <c r="T7099">
        <v>-0.27526309999999998</v>
      </c>
      <c r="U7099">
        <v>-0.68435669999999904</v>
      </c>
      <c r="V7099">
        <v>-0.14456469999999999</v>
      </c>
      <c r="W7099">
        <v>-4.0965219999999997E-2</v>
      </c>
      <c r="X7099">
        <v>0.98864700000000005</v>
      </c>
      <c r="Y7099">
        <v>-0.45800730000000001</v>
      </c>
      <c r="Z7099">
        <v>6.4785700000000002E-2</v>
      </c>
      <c r="AA7099">
        <v>0.88658459999999994</v>
      </c>
      <c r="AB7099">
        <v>20</v>
      </c>
      <c r="AC7099">
        <v>0.85370000000000301</v>
      </c>
      <c r="AD7099">
        <v>-8.4342999999999793E-2</v>
      </c>
      <c r="AE7099">
        <v>-0.141520000000003</v>
      </c>
      <c r="AF7099">
        <v>-0.43530829920952302</v>
      </c>
      <c r="AG7099">
        <v>-8.4342999999999793E-2</v>
      </c>
      <c r="AH7099">
        <v>0.73845175946923902</v>
      </c>
      <c r="AI7099">
        <v>95.619403065052893</v>
      </c>
      <c r="AJ7099">
        <v>120.51883066486</v>
      </c>
      <c r="AK7099">
        <v>0.86134665383508802</v>
      </c>
      <c r="AL7099">
        <v>92.347791191645797</v>
      </c>
      <c r="AM7099">
        <v>98.319105489987294</v>
      </c>
      <c r="AN7099">
        <v>0.99999999617236901</v>
      </c>
    </row>
    <row r="7100" spans="1:40" x14ac:dyDescent="0.25">
      <c r="A7100" t="str">
        <f>"20190303153948998"</f>
        <v>20190303153948998</v>
      </c>
      <c r="B7100" t="str">
        <f>"1551598788995571"</f>
        <v>1551598788995571</v>
      </c>
      <c r="C7100" t="s">
        <v>40</v>
      </c>
      <c r="D7100">
        <v>4.4189299999999996</v>
      </c>
      <c r="E7100">
        <v>0.37673519999999999</v>
      </c>
      <c r="F7100" t="s">
        <v>44</v>
      </c>
      <c r="G7100">
        <v>-415.08330000000001</v>
      </c>
      <c r="H7100">
        <v>1.0460510000000001</v>
      </c>
      <c r="I7100">
        <v>23.909770000000002</v>
      </c>
      <c r="J7100">
        <v>-415.93529999999998</v>
      </c>
      <c r="K7100">
        <v>1.1285099999999999</v>
      </c>
      <c r="L7100">
        <v>24.054469999999998</v>
      </c>
      <c r="M7100">
        <v>0.77105999999999997</v>
      </c>
      <c r="N7100">
        <v>-1.5220569999999999E-2</v>
      </c>
      <c r="O7100">
        <v>-0.63658059999999905</v>
      </c>
      <c r="P7100">
        <v>0.85377380000000003</v>
      </c>
      <c r="Q7100">
        <v>-5.3106590000000002E-2</v>
      </c>
      <c r="R7100">
        <v>-0.51792899999999997</v>
      </c>
      <c r="S7100">
        <v>3.0998230000000002</v>
      </c>
      <c r="T7100">
        <v>-0.2748507</v>
      </c>
      <c r="U7100">
        <v>-0.66564939999999995</v>
      </c>
      <c r="V7100">
        <v>-0.1434762</v>
      </c>
      <c r="W7100">
        <v>-4.0556540000000002E-2</v>
      </c>
      <c r="X7100">
        <v>0.98882239999999999</v>
      </c>
      <c r="Y7100">
        <v>-0.4573641</v>
      </c>
      <c r="Z7100">
        <v>6.4391749999999998E-2</v>
      </c>
      <c r="AA7100">
        <v>0.88694519999999899</v>
      </c>
      <c r="AB7100">
        <v>20</v>
      </c>
      <c r="AC7100">
        <v>0.851999999999975</v>
      </c>
      <c r="AD7100">
        <v>-8.2459000000000005E-2</v>
      </c>
      <c r="AE7100">
        <v>-0.1447</v>
      </c>
      <c r="AF7100">
        <v>-0.42695703538023</v>
      </c>
      <c r="AG7100">
        <v>-8.2459000000000005E-2</v>
      </c>
      <c r="AH7100">
        <v>0.74238419406052403</v>
      </c>
      <c r="AI7100">
        <v>95.499784030671506</v>
      </c>
      <c r="AJ7100">
        <v>119.903896886147</v>
      </c>
      <c r="AK7100">
        <v>0.86036392784249704</v>
      </c>
      <c r="AL7100">
        <v>92.324356076812506</v>
      </c>
      <c r="AM7100">
        <v>98.2558892048133</v>
      </c>
      <c r="AN7100">
        <v>0.999999995822485</v>
      </c>
    </row>
    <row r="7101" spans="1:40" x14ac:dyDescent="0.25">
      <c r="A7101" t="str">
        <f>"20190303153949008"</f>
        <v>20190303153949008</v>
      </c>
      <c r="B7101" t="str">
        <f>"1551598789005331"</f>
        <v>1551598789005331</v>
      </c>
      <c r="C7101" t="s">
        <v>40</v>
      </c>
      <c r="D7101">
        <v>4.4648490000000001</v>
      </c>
      <c r="E7101">
        <v>0.377749</v>
      </c>
      <c r="F7101" t="s">
        <v>44</v>
      </c>
      <c r="G7101">
        <v>-414.94810000000001</v>
      </c>
      <c r="H7101">
        <v>1.0341279999999999</v>
      </c>
      <c r="I7101">
        <v>23.826350000000001</v>
      </c>
      <c r="J7101">
        <v>-415.85980000000001</v>
      </c>
      <c r="K7101">
        <v>1.1284419999999999</v>
      </c>
      <c r="L7101">
        <v>24.001460000000002</v>
      </c>
      <c r="M7101">
        <v>0.77517919999999996</v>
      </c>
      <c r="N7101">
        <v>-1.520355E-2</v>
      </c>
      <c r="O7101">
        <v>-0.63155850000000002</v>
      </c>
      <c r="P7101">
        <v>0.85630799999999996</v>
      </c>
      <c r="Q7101">
        <v>-5.3124129999999999E-2</v>
      </c>
      <c r="R7101">
        <v>-0.51372620000000002</v>
      </c>
      <c r="S7101">
        <v>3.0657649999999999</v>
      </c>
      <c r="T7101">
        <v>-0.29311900000000002</v>
      </c>
      <c r="U7101">
        <v>-0.70849609999999996</v>
      </c>
      <c r="V7101">
        <v>-0.1419192</v>
      </c>
      <c r="W7101">
        <v>-4.0536320000000001E-2</v>
      </c>
      <c r="X7101">
        <v>0.98904789999999998</v>
      </c>
      <c r="Y7101">
        <v>-0.43723339999999999</v>
      </c>
      <c r="Z7101">
        <v>6.8407339999999997E-2</v>
      </c>
      <c r="AA7101">
        <v>0.8967427</v>
      </c>
      <c r="AB7101">
        <v>20</v>
      </c>
      <c r="AC7101">
        <v>0.91169999999999596</v>
      </c>
      <c r="AD7101">
        <v>-9.4313999999999801E-2</v>
      </c>
      <c r="AE7101">
        <v>-0.17510999999999999</v>
      </c>
      <c r="AF7101">
        <v>-0.435605288363346</v>
      </c>
      <c r="AG7101">
        <v>-9.4313999999999801E-2</v>
      </c>
      <c r="AH7101">
        <v>0.80906727025960801</v>
      </c>
      <c r="AI7101">
        <v>95.860321872627495</v>
      </c>
      <c r="AJ7101">
        <v>118.298212832838</v>
      </c>
      <c r="AK7101">
        <v>0.92370825786687005</v>
      </c>
      <c r="AL7101">
        <v>92.323196591713597</v>
      </c>
      <c r="AM7101">
        <v>98.165674732269395</v>
      </c>
      <c r="AN7101">
        <v>1.0000000005310901</v>
      </c>
    </row>
    <row r="7102" spans="1:40" x14ac:dyDescent="0.25">
      <c r="A7102" t="str">
        <f>"20190303153949033"</f>
        <v>20190303153949033</v>
      </c>
      <c r="B7102" t="str">
        <f>"1551598789025828"</f>
        <v>1551598789025828</v>
      </c>
      <c r="C7102" t="s">
        <v>40</v>
      </c>
      <c r="D7102">
        <v>4.4911339999999997</v>
      </c>
      <c r="E7102">
        <v>0.37885210000000002</v>
      </c>
      <c r="F7102" t="s">
        <v>63</v>
      </c>
      <c r="G7102">
        <v>-403.6626</v>
      </c>
      <c r="H7102" s="1">
        <v>-4.7204139999999997E-6</v>
      </c>
      <c r="I7102">
        <v>21.213470000000001</v>
      </c>
      <c r="J7102">
        <v>-415.6934</v>
      </c>
      <c r="K7102">
        <v>1.1282380000000001</v>
      </c>
      <c r="L7102">
        <v>23.887540000000001</v>
      </c>
      <c r="M7102">
        <v>0.78388829999999998</v>
      </c>
      <c r="N7102">
        <v>-1.51553E-2</v>
      </c>
      <c r="O7102">
        <v>-0.62071719999999997</v>
      </c>
      <c r="P7102">
        <v>0.86183080000000001</v>
      </c>
      <c r="Q7102">
        <v>-5.3198629999999997E-2</v>
      </c>
      <c r="R7102">
        <v>-0.50439860000000003</v>
      </c>
      <c r="S7102">
        <v>3.0654300000000001</v>
      </c>
      <c r="T7102">
        <v>-0.28360299999999999</v>
      </c>
      <c r="U7102">
        <v>-0.70068359999999996</v>
      </c>
      <c r="V7102">
        <v>-0.13891909999999999</v>
      </c>
      <c r="W7102">
        <v>-4.0534189999999998E-2</v>
      </c>
      <c r="X7102">
        <v>0.98947379999999996</v>
      </c>
      <c r="Y7102">
        <v>-0.42716189999999998</v>
      </c>
      <c r="Z7102">
        <v>6.4959059999999999E-2</v>
      </c>
      <c r="AA7102">
        <v>0.90183869999999999</v>
      </c>
      <c r="AB7102">
        <v>20</v>
      </c>
      <c r="AC7102">
        <v>12.030799999999999</v>
      </c>
      <c r="AD7102">
        <v>-1.12824272041399</v>
      </c>
      <c r="AE7102">
        <v>-2.6740699999999902</v>
      </c>
      <c r="AF7102">
        <v>-5.3275205681656699</v>
      </c>
      <c r="AG7102">
        <v>-1.12824272041399</v>
      </c>
      <c r="AH7102">
        <v>10.9997322743433</v>
      </c>
      <c r="AI7102">
        <v>95.274178309211607</v>
      </c>
      <c r="AJ7102">
        <v>115.842384550316</v>
      </c>
      <c r="AK7102">
        <v>12.273936497620699</v>
      </c>
      <c r="AL7102">
        <v>92.323074524850199</v>
      </c>
      <c r="AM7102">
        <v>97.991915326732794</v>
      </c>
      <c r="AN7102">
        <v>0.99999996889510201</v>
      </c>
    </row>
    <row r="7103" spans="1:40" x14ac:dyDescent="0.25">
      <c r="A7103" t="str">
        <f>"20190303153949043"</f>
        <v>20190303153949043</v>
      </c>
      <c r="B7103" t="str">
        <f>"1551598789035587"</f>
        <v>1551598789035587</v>
      </c>
      <c r="C7103" t="s">
        <v>40</v>
      </c>
      <c r="D7103">
        <v>4.5085839999999999</v>
      </c>
      <c r="E7103">
        <v>0.37994860000000003</v>
      </c>
      <c r="F7103" t="s">
        <v>44</v>
      </c>
      <c r="G7103">
        <v>-414.68110000000001</v>
      </c>
      <c r="H7103">
        <v>1.035957</v>
      </c>
      <c r="I7103">
        <v>23.665050000000001</v>
      </c>
      <c r="J7103">
        <v>-415.61700000000002</v>
      </c>
      <c r="K7103">
        <v>1.1281209999999999</v>
      </c>
      <c r="L7103">
        <v>23.836269999999999</v>
      </c>
      <c r="M7103">
        <v>0.78773149999999903</v>
      </c>
      <c r="N7103">
        <v>-1.5128910000000001E-2</v>
      </c>
      <c r="O7103">
        <v>-0.61583319999999997</v>
      </c>
      <c r="P7103">
        <v>0.8642495</v>
      </c>
      <c r="Q7103">
        <v>-5.2971879999999999E-2</v>
      </c>
      <c r="R7103">
        <v>-0.50026709999999996</v>
      </c>
      <c r="S7103">
        <v>3.0685730000000002</v>
      </c>
      <c r="T7103">
        <v>-0.27977350000000001</v>
      </c>
      <c r="U7103">
        <v>-0.67514039999999997</v>
      </c>
      <c r="V7103">
        <v>-0.1375295</v>
      </c>
      <c r="W7103">
        <v>-4.0271179999999997E-2</v>
      </c>
      <c r="X7103">
        <v>0.98967870000000002</v>
      </c>
      <c r="Y7103">
        <v>-0.42898629999999999</v>
      </c>
      <c r="Z7103">
        <v>6.3880720000000002E-2</v>
      </c>
      <c r="AA7103">
        <v>0.9010494</v>
      </c>
      <c r="AB7103">
        <v>20</v>
      </c>
      <c r="AC7103">
        <v>0.935899999999946</v>
      </c>
      <c r="AD7103">
        <v>-9.2163999999999899E-2</v>
      </c>
      <c r="AE7103">
        <v>-0.17122000000000101</v>
      </c>
      <c r="AF7103">
        <v>-0.43742874058125197</v>
      </c>
      <c r="AG7103">
        <v>-9.2163999999999899E-2</v>
      </c>
      <c r="AH7103">
        <v>0.83494248260308401</v>
      </c>
      <c r="AI7103">
        <v>95.584490411787002</v>
      </c>
      <c r="AJ7103">
        <v>117.650170831105</v>
      </c>
      <c r="AK7103">
        <v>0.94708344681865397</v>
      </c>
      <c r="AL7103">
        <v>92.307992705115495</v>
      </c>
      <c r="AM7103">
        <v>97.911372787978806</v>
      </c>
      <c r="AN7103">
        <v>1.0000000302712599</v>
      </c>
    </row>
    <row r="7104" spans="1:40" x14ac:dyDescent="0.25">
      <c r="A7104" t="str">
        <f>"20190303153949056"</f>
        <v>20190303153949056</v>
      </c>
      <c r="B7104" t="str">
        <f>"1551598789045347"</f>
        <v>1551598789045347</v>
      </c>
      <c r="C7104" t="s">
        <v>40</v>
      </c>
      <c r="D7104">
        <v>4.483517</v>
      </c>
      <c r="E7104">
        <v>0.3812797</v>
      </c>
      <c r="F7104" t="s">
        <v>63</v>
      </c>
      <c r="G7104">
        <v>-403.36720000000003</v>
      </c>
      <c r="H7104" s="1">
        <v>-4.8500250000000002E-6</v>
      </c>
      <c r="I7104">
        <v>21.16872</v>
      </c>
      <c r="J7104">
        <v>-415.52940000000001</v>
      </c>
      <c r="K7104">
        <v>1.1279920000000001</v>
      </c>
      <c r="L7104">
        <v>23.77805</v>
      </c>
      <c r="M7104">
        <v>0.79203880000000004</v>
      </c>
      <c r="N7104">
        <v>-1.5096969999999999E-2</v>
      </c>
      <c r="O7104">
        <v>-0.6102841</v>
      </c>
      <c r="P7104">
        <v>0.86726740000000002</v>
      </c>
      <c r="Q7104">
        <v>-5.2234120000000002E-2</v>
      </c>
      <c r="R7104">
        <v>-0.49509429999999999</v>
      </c>
      <c r="S7104">
        <v>3.0672609999999998</v>
      </c>
      <c r="T7104">
        <v>-0.2824757</v>
      </c>
      <c r="U7104">
        <v>-0.66793819999999904</v>
      </c>
      <c r="V7104">
        <v>-0.1365412</v>
      </c>
      <c r="W7104">
        <v>-3.9504009999999999E-2</v>
      </c>
      <c r="X7104">
        <v>0.98984640000000002</v>
      </c>
      <c r="Y7104">
        <v>-0.42453540000000001</v>
      </c>
      <c r="Z7104">
        <v>6.4109470000000002E-2</v>
      </c>
      <c r="AA7104">
        <v>0.90313880000000002</v>
      </c>
      <c r="AB7104">
        <v>20</v>
      </c>
      <c r="AC7104">
        <v>12.162199999999901</v>
      </c>
      <c r="AD7104">
        <v>-1.1279968500249999</v>
      </c>
      <c r="AE7104">
        <v>-2.6093299999999999</v>
      </c>
      <c r="AF7104">
        <v>-5.3126294495387096</v>
      </c>
      <c r="AG7104">
        <v>-1.1279968500249999</v>
      </c>
      <c r="AH7104">
        <v>11.1350785937914</v>
      </c>
      <c r="AI7104">
        <v>95.223931370372298</v>
      </c>
      <c r="AJ7104">
        <v>115.506159213687</v>
      </c>
      <c r="AK7104">
        <v>12.3889621781521</v>
      </c>
      <c r="AL7104">
        <v>92.264002205239194</v>
      </c>
      <c r="AM7104">
        <v>97.853918936820804</v>
      </c>
      <c r="AN7104">
        <v>0.99999998084823905</v>
      </c>
    </row>
    <row r="7105" spans="1:40" x14ac:dyDescent="0.25">
      <c r="A7105" t="str">
        <f>"20190303153949067"</f>
        <v>20190303153949067</v>
      </c>
      <c r="B7105" t="str">
        <f>"1551598789065843"</f>
        <v>1551598789065843</v>
      </c>
      <c r="C7105" t="s">
        <v>40</v>
      </c>
      <c r="D7105">
        <v>4.5067969999999997</v>
      </c>
      <c r="E7105">
        <v>0.38300089999999998</v>
      </c>
      <c r="F7105" t="s">
        <v>63</v>
      </c>
      <c r="G7105">
        <v>-403.28379999999999</v>
      </c>
      <c r="H7105" s="1">
        <v>-4.8848820000000004E-6</v>
      </c>
      <c r="I7105">
        <v>21.146229999999999</v>
      </c>
      <c r="J7105">
        <v>-415.43779999999998</v>
      </c>
      <c r="K7105">
        <v>1.1278589999999999</v>
      </c>
      <c r="L7105">
        <v>23.717829999999999</v>
      </c>
      <c r="M7105">
        <v>0.79643759999999997</v>
      </c>
      <c r="N7105">
        <v>-1.506245E-2</v>
      </c>
      <c r="O7105">
        <v>-0.60453299999999999</v>
      </c>
      <c r="P7105">
        <v>0.87049330000000003</v>
      </c>
      <c r="Q7105">
        <v>-5.1634899999999997E-2</v>
      </c>
      <c r="R7105">
        <v>-0.48946410000000001</v>
      </c>
      <c r="S7105">
        <v>3.0659480000000001</v>
      </c>
      <c r="T7105">
        <v>-0.2824199</v>
      </c>
      <c r="U7105">
        <v>-0.65893550000000001</v>
      </c>
      <c r="V7105">
        <v>-0.1358317</v>
      </c>
      <c r="W7105">
        <v>-3.8880779999999997E-2</v>
      </c>
      <c r="X7105">
        <v>0.98996870000000003</v>
      </c>
      <c r="Y7105">
        <v>-0.42045630000000001</v>
      </c>
      <c r="Z7105">
        <v>6.3657630000000007E-2</v>
      </c>
      <c r="AA7105">
        <v>0.90507689999999996</v>
      </c>
      <c r="AB7105">
        <v>20</v>
      </c>
      <c r="AC7105">
        <v>12.1539999999999</v>
      </c>
      <c r="AD7105">
        <v>-1.127863884882</v>
      </c>
      <c r="AE7105">
        <v>-2.5716000000000001</v>
      </c>
      <c r="AF7105">
        <v>-5.2566491956751804</v>
      </c>
      <c r="AG7105">
        <v>-1.127863884882</v>
      </c>
      <c r="AH7105">
        <v>11.143941885407701</v>
      </c>
      <c r="AI7105">
        <v>95.230058305472099</v>
      </c>
      <c r="AJ7105">
        <v>115.25346971227</v>
      </c>
      <c r="AK7105">
        <v>12.373030285849801</v>
      </c>
      <c r="AL7105">
        <v>92.228266264175801</v>
      </c>
      <c r="AM7105">
        <v>97.812660173494805</v>
      </c>
      <c r="AN7105">
        <v>0.99999999637899395</v>
      </c>
    </row>
    <row r="7106" spans="1:40" x14ac:dyDescent="0.25">
      <c r="A7106" t="str">
        <f>"20190303153949080"</f>
        <v>20190303153949080</v>
      </c>
      <c r="B7106" t="str">
        <f>"1551598789075604"</f>
        <v>1551598789075604</v>
      </c>
      <c r="C7106" t="s">
        <v>40</v>
      </c>
      <c r="D7106">
        <v>4.5006760000000003</v>
      </c>
      <c r="E7106">
        <v>0.38386229999999999</v>
      </c>
      <c r="F7106" t="s">
        <v>63</v>
      </c>
      <c r="G7106">
        <v>-403.26179999999999</v>
      </c>
      <c r="H7106" s="1">
        <v>-4.8920650000000002E-6</v>
      </c>
      <c r="I7106">
        <v>21.129000000000001</v>
      </c>
      <c r="J7106">
        <v>-415.3569</v>
      </c>
      <c r="K7106">
        <v>1.1277219999999999</v>
      </c>
      <c r="L7106">
        <v>23.665649999999999</v>
      </c>
      <c r="M7106">
        <v>0.80016109999999996</v>
      </c>
      <c r="N7106">
        <v>-1.5027840000000001E-2</v>
      </c>
      <c r="O7106">
        <v>-0.59959700000000005</v>
      </c>
      <c r="P7106">
        <v>0.87309509999999901</v>
      </c>
      <c r="Q7106">
        <v>-5.1265419999999999E-2</v>
      </c>
      <c r="R7106">
        <v>-0.48484749999999999</v>
      </c>
      <c r="S7106">
        <v>3.0632630000000001</v>
      </c>
      <c r="T7106">
        <v>-0.28375149999999999</v>
      </c>
      <c r="U7106">
        <v>-0.65130619999999995</v>
      </c>
      <c r="V7106">
        <v>-0.13498450000000001</v>
      </c>
      <c r="W7106">
        <v>-3.8486260000000001E-2</v>
      </c>
      <c r="X7106">
        <v>0.99009999999999998</v>
      </c>
      <c r="Y7106">
        <v>-0.41682330000000001</v>
      </c>
      <c r="Z7106">
        <v>6.3633990000000001E-2</v>
      </c>
      <c r="AA7106">
        <v>0.90675740000000005</v>
      </c>
      <c r="AB7106">
        <v>20</v>
      </c>
      <c r="AC7106">
        <v>12.0951</v>
      </c>
      <c r="AD7106">
        <v>-1.1277268920650001</v>
      </c>
      <c r="AE7106">
        <v>-2.5366499999999901</v>
      </c>
      <c r="AF7106">
        <v>-5.1799125975827804</v>
      </c>
      <c r="AG7106">
        <v>-1.1277268920650001</v>
      </c>
      <c r="AH7106">
        <v>11.107764321016701</v>
      </c>
      <c r="AI7106">
        <v>95.257149349710502</v>
      </c>
      <c r="AJ7106">
        <v>115.00117373377</v>
      </c>
      <c r="AK7106">
        <v>12.3079523346873</v>
      </c>
      <c r="AL7106">
        <v>92.205644974037597</v>
      </c>
      <c r="AM7106">
        <v>97.763510709434996</v>
      </c>
      <c r="AN7106">
        <v>1.00000000872451</v>
      </c>
    </row>
    <row r="7107" spans="1:40" x14ac:dyDescent="0.25">
      <c r="A7107" t="str">
        <f>"20190303153949093"</f>
        <v>20190303153949093</v>
      </c>
      <c r="B7107" t="str">
        <f>"1551598789085364"</f>
        <v>1551598789085364</v>
      </c>
      <c r="C7107" t="s">
        <v>40</v>
      </c>
      <c r="D7107">
        <v>4.5087000000000002</v>
      </c>
      <c r="E7107">
        <v>0.38471430000000001</v>
      </c>
      <c r="F7107" t="s">
        <v>63</v>
      </c>
      <c r="G7107">
        <v>-403.25940000000003</v>
      </c>
      <c r="H7107" s="1">
        <v>-4.8939879999999997E-6</v>
      </c>
      <c r="I7107">
        <v>21.133500000000002</v>
      </c>
      <c r="J7107">
        <v>-415.26589999999999</v>
      </c>
      <c r="K7107">
        <v>1.1275630000000001</v>
      </c>
      <c r="L7107">
        <v>23.607330000000001</v>
      </c>
      <c r="M7107">
        <v>0.80425559999999996</v>
      </c>
      <c r="N7107">
        <v>-1.498856E-2</v>
      </c>
      <c r="O7107">
        <v>-0.59409480000000003</v>
      </c>
      <c r="P7107">
        <v>0.87599099999999996</v>
      </c>
      <c r="Q7107">
        <v>-5.1362020000000001E-2</v>
      </c>
      <c r="R7107">
        <v>-0.4795854</v>
      </c>
      <c r="S7107">
        <v>3.0632320000000002</v>
      </c>
      <c r="T7107">
        <v>-0.2855549</v>
      </c>
      <c r="U7107">
        <v>-0.64117429999999997</v>
      </c>
      <c r="V7107">
        <v>-0.13416069999999999</v>
      </c>
      <c r="W7107">
        <v>-3.8555819999999998E-2</v>
      </c>
      <c r="X7107">
        <v>0.99020920000000001</v>
      </c>
      <c r="Y7107">
        <v>-0.4134371</v>
      </c>
      <c r="Z7107">
        <v>6.3651769999999996E-2</v>
      </c>
      <c r="AA7107">
        <v>0.90830509999999998</v>
      </c>
      <c r="AB7107">
        <v>20</v>
      </c>
      <c r="AC7107">
        <v>12.0064999999999</v>
      </c>
      <c r="AD7107">
        <v>-1.1275678939879901</v>
      </c>
      <c r="AE7107">
        <v>-2.4738299999999902</v>
      </c>
      <c r="AF7107">
        <v>-5.1008289382428904</v>
      </c>
      <c r="AG7107">
        <v>-1.1275678939879901</v>
      </c>
      <c r="AH7107">
        <v>11.0338802157455</v>
      </c>
      <c r="AI7107">
        <v>95.2995453831589</v>
      </c>
      <c r="AJ7107">
        <v>114.81052790385</v>
      </c>
      <c r="AK7107">
        <v>12.208045618697099</v>
      </c>
      <c r="AL7107">
        <v>92.2096335536109</v>
      </c>
      <c r="AM7107">
        <v>97.715862460239606</v>
      </c>
      <c r="AN7107">
        <v>0.99999995222250004</v>
      </c>
    </row>
    <row r="7108" spans="1:40" x14ac:dyDescent="0.25">
      <c r="A7108" t="str">
        <f>"20190303153949104"</f>
        <v>20190303153949104</v>
      </c>
      <c r="B7108" t="str">
        <f>"1551598789096099"</f>
        <v>1551598789096099</v>
      </c>
      <c r="C7108" t="s">
        <v>40</v>
      </c>
      <c r="D7108">
        <v>4.5242789999999999</v>
      </c>
      <c r="E7108">
        <v>0.3855228</v>
      </c>
      <c r="F7108" t="s">
        <v>63</v>
      </c>
      <c r="G7108">
        <v>-403.2593</v>
      </c>
      <c r="H7108" s="1">
        <v>-4.8957779999999996E-6</v>
      </c>
      <c r="I7108">
        <v>21.143319999999999</v>
      </c>
      <c r="J7108">
        <v>-415.17649999999998</v>
      </c>
      <c r="K7108">
        <v>1.127386</v>
      </c>
      <c r="L7108">
        <v>23.55078</v>
      </c>
      <c r="M7108">
        <v>0.80811460000000002</v>
      </c>
      <c r="N7108">
        <v>-1.4946249999999999E-2</v>
      </c>
      <c r="O7108">
        <v>-0.58883569999999996</v>
      </c>
      <c r="P7108">
        <v>0.87836429999999999</v>
      </c>
      <c r="Q7108">
        <v>-5.1857229999999997E-2</v>
      </c>
      <c r="R7108">
        <v>-0.4751708</v>
      </c>
      <c r="S7108">
        <v>3.0636290000000002</v>
      </c>
      <c r="T7108">
        <v>-0.28771330000000001</v>
      </c>
      <c r="U7108">
        <v>-0.62872309999999998</v>
      </c>
      <c r="V7108">
        <v>-0.13267609999999999</v>
      </c>
      <c r="W7108">
        <v>-3.9011759999999999E-2</v>
      </c>
      <c r="X7108">
        <v>0.99039140000000003</v>
      </c>
      <c r="Y7108">
        <v>-0.41102719999999998</v>
      </c>
      <c r="Z7108">
        <v>6.3809950000000004E-2</v>
      </c>
      <c r="AA7108">
        <v>0.9093871</v>
      </c>
      <c r="AB7108">
        <v>19</v>
      </c>
      <c r="AC7108">
        <v>11.9171999999999</v>
      </c>
      <c r="AD7108">
        <v>-1.1273908957779999</v>
      </c>
      <c r="AE7108">
        <v>-2.4074599999999902</v>
      </c>
      <c r="AF7108">
        <v>-5.0290923371625302</v>
      </c>
      <c r="AG7108">
        <v>-1.1273908957779999</v>
      </c>
      <c r="AH7108">
        <v>10.955096723305299</v>
      </c>
      <c r="AI7108">
        <v>95.343108673940193</v>
      </c>
      <c r="AJ7108">
        <v>114.658159507766</v>
      </c>
      <c r="AK7108">
        <v>12.1068957286566</v>
      </c>
      <c r="AL7108">
        <v>92.235776566373005</v>
      </c>
      <c r="AM7108">
        <v>97.6301043849504</v>
      </c>
      <c r="AN7108">
        <v>0.99999999506173298</v>
      </c>
    </row>
    <row r="7109" spans="1:40" x14ac:dyDescent="0.25">
      <c r="A7109" t="str">
        <f>"20190303153949117"</f>
        <v>20190303153949117</v>
      </c>
      <c r="B7109" t="str">
        <f>"1551598789105860"</f>
        <v>1551598789105860</v>
      </c>
      <c r="C7109" t="s">
        <v>40</v>
      </c>
      <c r="D7109">
        <v>4.5237660000000002</v>
      </c>
      <c r="E7109">
        <v>0.3855228</v>
      </c>
      <c r="F7109" t="s">
        <v>63</v>
      </c>
      <c r="G7109">
        <v>-403.2586</v>
      </c>
      <c r="H7109" s="1">
        <v>-4.8960619999999998E-6</v>
      </c>
      <c r="I7109">
        <v>21.142980000000001</v>
      </c>
      <c r="J7109">
        <v>-415.08920000000001</v>
      </c>
      <c r="K7109">
        <v>1.127202</v>
      </c>
      <c r="L7109">
        <v>23.496120000000001</v>
      </c>
      <c r="M7109">
        <v>0.81174449999999998</v>
      </c>
      <c r="N7109">
        <v>-1.490176E-2</v>
      </c>
      <c r="O7109">
        <v>-0.58382290000000003</v>
      </c>
      <c r="P7109">
        <v>0.88060749999999999</v>
      </c>
      <c r="Q7109">
        <v>-5.2644000000000003E-2</v>
      </c>
      <c r="R7109">
        <v>-0.47091319999999998</v>
      </c>
      <c r="S7109">
        <v>3.063507</v>
      </c>
      <c r="T7109">
        <v>-0.2897961</v>
      </c>
      <c r="U7109">
        <v>-0.618927</v>
      </c>
      <c r="V7109">
        <v>-0.13131860000000001</v>
      </c>
      <c r="W7109">
        <v>-3.976375E-2</v>
      </c>
      <c r="X7109">
        <v>0.99054240000000005</v>
      </c>
      <c r="Y7109">
        <v>-0.40813959999999999</v>
      </c>
      <c r="Z7109">
        <v>6.3930360000000006E-2</v>
      </c>
      <c r="AA7109">
        <v>0.91067830000000005</v>
      </c>
      <c r="AB7109">
        <v>19</v>
      </c>
      <c r="AC7109">
        <v>11.8306</v>
      </c>
      <c r="AD7109">
        <v>-1.1272068960619901</v>
      </c>
      <c r="AE7109">
        <v>-2.3531399999999998</v>
      </c>
      <c r="AF7109">
        <v>-4.9541184115790902</v>
      </c>
      <c r="AG7109">
        <v>-1.1272068960619901</v>
      </c>
      <c r="AH7109">
        <v>10.8834180108726</v>
      </c>
      <c r="AI7109">
        <v>95.385039101421796</v>
      </c>
      <c r="AJ7109">
        <v>114.474969385592</v>
      </c>
      <c r="AK7109">
        <v>12.0109396893775</v>
      </c>
      <c r="AL7109">
        <v>92.278895896659606</v>
      </c>
      <c r="AM7109">
        <v>97.551803330272094</v>
      </c>
      <c r="AN7109">
        <v>0.99999998835889103</v>
      </c>
    </row>
    <row r="7110" spans="1:40" x14ac:dyDescent="0.25">
      <c r="A7110" t="str">
        <f>"20190303153949135"</f>
        <v>20190303153949135</v>
      </c>
      <c r="B7110" t="str">
        <f>"1551598789125379"</f>
        <v>1551598789125379</v>
      </c>
      <c r="C7110" t="s">
        <v>40</v>
      </c>
      <c r="D7110">
        <v>4.4919570000000002</v>
      </c>
      <c r="E7110">
        <v>0.3969722</v>
      </c>
      <c r="F7110" t="s">
        <v>63</v>
      </c>
      <c r="G7110">
        <v>-403.23649999999998</v>
      </c>
      <c r="H7110" s="1">
        <v>-4.9095619999999998E-6</v>
      </c>
      <c r="I7110">
        <v>21.16113</v>
      </c>
      <c r="J7110">
        <v>-414.96409999999997</v>
      </c>
      <c r="K7110">
        <v>1.126927</v>
      </c>
      <c r="L7110">
        <v>23.418700000000001</v>
      </c>
      <c r="M7110">
        <v>0.81673009999999902</v>
      </c>
      <c r="N7110">
        <v>-1.4834999999999999E-2</v>
      </c>
      <c r="O7110">
        <v>-0.5768295</v>
      </c>
      <c r="P7110">
        <v>0.88342229999999999</v>
      </c>
      <c r="Q7110">
        <v>-5.2885929999999998E-2</v>
      </c>
      <c r="R7110">
        <v>-0.46558379999999999</v>
      </c>
      <c r="S7110">
        <v>3.066284</v>
      </c>
      <c r="T7110">
        <v>-0.29160930000000002</v>
      </c>
      <c r="U7110">
        <v>-0.60406490000000002</v>
      </c>
      <c r="V7110">
        <v>-0.12881010000000001</v>
      </c>
      <c r="W7110">
        <v>-3.9948070000000002E-2</v>
      </c>
      <c r="X7110">
        <v>0.99086430000000003</v>
      </c>
      <c r="Y7110">
        <v>-0.40469290000000002</v>
      </c>
      <c r="Z7110">
        <v>6.3792440000000006E-2</v>
      </c>
      <c r="AA7110">
        <v>0.91222490000000001</v>
      </c>
      <c r="AB7110">
        <v>19</v>
      </c>
      <c r="AC7110">
        <v>11.727599999999899</v>
      </c>
      <c r="AD7110">
        <v>-1.1269319095620001</v>
      </c>
      <c r="AE7110">
        <v>-2.2575699999999999</v>
      </c>
      <c r="AF7110">
        <v>-4.8781072465855404</v>
      </c>
      <c r="AG7110">
        <v>-1.1269319095620001</v>
      </c>
      <c r="AH7110">
        <v>10.785678800052301</v>
      </c>
      <c r="AI7110">
        <v>95.438170559993694</v>
      </c>
      <c r="AJ7110">
        <v>114.336113765161</v>
      </c>
      <c r="AK7110">
        <v>11.891037507967001</v>
      </c>
      <c r="AL7110">
        <v>92.289465081989405</v>
      </c>
      <c r="AM7110">
        <v>97.406783674812104</v>
      </c>
      <c r="AN7110">
        <v>0.99999997558661202</v>
      </c>
    </row>
    <row r="7111" spans="1:40" x14ac:dyDescent="0.25">
      <c r="A7111" t="str">
        <f>"20190303153949146"</f>
        <v>20190303153949146</v>
      </c>
      <c r="B7111" t="str">
        <f>"1551598789135139"</f>
        <v>1551598789135139</v>
      </c>
      <c r="C7111" t="s">
        <v>40</v>
      </c>
      <c r="D7111">
        <v>4.4816710000000004</v>
      </c>
      <c r="E7111">
        <v>0.3975803</v>
      </c>
      <c r="F7111" t="s">
        <v>63</v>
      </c>
      <c r="G7111">
        <v>-403.16199999999998</v>
      </c>
      <c r="H7111" s="1">
        <v>-4.8838380000000004E-6</v>
      </c>
      <c r="I7111">
        <v>20.821549999999998</v>
      </c>
      <c r="J7111">
        <v>-414.8723</v>
      </c>
      <c r="K7111">
        <v>1.1267259999999999</v>
      </c>
      <c r="L7111">
        <v>23.362490000000001</v>
      </c>
      <c r="M7111">
        <v>0.82022669999999998</v>
      </c>
      <c r="N7111">
        <v>-1.478382E-2</v>
      </c>
      <c r="O7111">
        <v>-0.57184760000000001</v>
      </c>
      <c r="P7111">
        <v>0.88595959999999996</v>
      </c>
      <c r="Q7111">
        <v>-5.235153E-2</v>
      </c>
      <c r="R7111">
        <v>-0.4607985</v>
      </c>
      <c r="S7111">
        <v>3.0274960000000002</v>
      </c>
      <c r="T7111">
        <v>-0.28908349999999999</v>
      </c>
      <c r="U7111">
        <v>-0.66622919999999997</v>
      </c>
      <c r="V7111">
        <v>-0.12818309999999999</v>
      </c>
      <c r="W7111">
        <v>-3.939074E-2</v>
      </c>
      <c r="X7111">
        <v>0.99096790000000001</v>
      </c>
      <c r="Y7111">
        <v>-0.37894719999999998</v>
      </c>
      <c r="Z7111">
        <v>6.217077E-2</v>
      </c>
      <c r="AA7111">
        <v>0.92332760000000003</v>
      </c>
      <c r="AB7111">
        <v>19</v>
      </c>
      <c r="AC7111">
        <v>11.7103</v>
      </c>
      <c r="AD7111">
        <v>-1.1267308838379999</v>
      </c>
      <c r="AE7111">
        <v>-2.54094</v>
      </c>
      <c r="AF7111">
        <v>-4.5724370648555901</v>
      </c>
      <c r="AG7111">
        <v>-1.1267308838379999</v>
      </c>
      <c r="AH7111">
        <v>10.962415662221799</v>
      </c>
      <c r="AI7111">
        <v>95.418883541273104</v>
      </c>
      <c r="AJ7111">
        <v>112.641077125104</v>
      </c>
      <c r="AK7111">
        <v>11.9311047413048</v>
      </c>
      <c r="AL7111">
        <v>92.257507308025893</v>
      </c>
      <c r="AM7111">
        <v>97.370365502009406</v>
      </c>
      <c r="AN7111">
        <v>0.99999995817688303</v>
      </c>
    </row>
    <row r="7112" spans="1:40" x14ac:dyDescent="0.25">
      <c r="A7112" t="str">
        <f>"20190303153949160"</f>
        <v>20190303153949160</v>
      </c>
      <c r="B7112" t="str">
        <f>"1551598789155636"</f>
        <v>1551598789155636</v>
      </c>
      <c r="C7112" t="s">
        <v>40</v>
      </c>
      <c r="D7112">
        <v>4.53125</v>
      </c>
      <c r="E7112">
        <v>0.39891870000000001</v>
      </c>
      <c r="F7112" t="s">
        <v>63</v>
      </c>
      <c r="G7112">
        <v>-402.93639999999999</v>
      </c>
      <c r="H7112" s="1">
        <v>-4.9821460000000001E-6</v>
      </c>
      <c r="I7112">
        <v>20.783370000000001</v>
      </c>
      <c r="J7112">
        <v>-414.78199999999998</v>
      </c>
      <c r="K7112">
        <v>1.1265289999999999</v>
      </c>
      <c r="L7112">
        <v>23.30789</v>
      </c>
      <c r="M7112">
        <v>0.82349550000000005</v>
      </c>
      <c r="N7112">
        <v>-1.473233E-2</v>
      </c>
      <c r="O7112">
        <v>-0.56713150000000001</v>
      </c>
      <c r="P7112">
        <v>0.88835450000000005</v>
      </c>
      <c r="Q7112">
        <v>-5.1679929999999999E-2</v>
      </c>
      <c r="R7112">
        <v>-0.4562406</v>
      </c>
      <c r="S7112">
        <v>3.02887</v>
      </c>
      <c r="T7112">
        <v>-0.28592099999999998</v>
      </c>
      <c r="U7112">
        <v>-0.65447999999999995</v>
      </c>
      <c r="V7112">
        <v>-0.12763650000000001</v>
      </c>
      <c r="W7112">
        <v>-3.8700089999999999E-2</v>
      </c>
      <c r="X7112">
        <v>0.99106570000000005</v>
      </c>
      <c r="Y7112">
        <v>-0.37723800000000002</v>
      </c>
      <c r="Z7112">
        <v>6.1093990000000001E-2</v>
      </c>
      <c r="AA7112">
        <v>0.924099</v>
      </c>
      <c r="AB7112">
        <v>19</v>
      </c>
      <c r="AC7112">
        <v>11.8455999999999</v>
      </c>
      <c r="AD7112">
        <v>-1.1265339821459901</v>
      </c>
      <c r="AE7112">
        <v>-2.5245199999999901</v>
      </c>
      <c r="AF7112">
        <v>-4.5997911157025797</v>
      </c>
      <c r="AG7112">
        <v>-1.1265339821459901</v>
      </c>
      <c r="AH7112">
        <v>11.091788246814</v>
      </c>
      <c r="AI7112">
        <v>95.359648086590497</v>
      </c>
      <c r="AJ7112">
        <v>112.523902075968</v>
      </c>
      <c r="AK7112">
        <v>12.060469461558601</v>
      </c>
      <c r="AL7112">
        <v>92.217905689742196</v>
      </c>
      <c r="AM7112">
        <v>97.338563727531806</v>
      </c>
      <c r="AN7112">
        <v>0.999999997407374</v>
      </c>
    </row>
    <row r="7113" spans="1:40" x14ac:dyDescent="0.25">
      <c r="A7113" t="str">
        <f>"20190303153949174"</f>
        <v>20190303153949174</v>
      </c>
      <c r="B7113" t="str">
        <f>"1551598789165395"</f>
        <v>1551598789165395</v>
      </c>
      <c r="C7113" t="s">
        <v>40</v>
      </c>
      <c r="D7113">
        <v>4.4988780000000004</v>
      </c>
      <c r="E7113">
        <v>0.3995708</v>
      </c>
      <c r="F7113" t="s">
        <v>63</v>
      </c>
      <c r="G7113">
        <v>-402.96749999999997</v>
      </c>
      <c r="H7113" s="1">
        <v>-4.9665379999999996E-6</v>
      </c>
      <c r="I7113">
        <v>20.77722</v>
      </c>
      <c r="J7113">
        <v>-414.67869999999999</v>
      </c>
      <c r="K7113">
        <v>1.1263049999999999</v>
      </c>
      <c r="L7113">
        <v>23.245940000000001</v>
      </c>
      <c r="M7113">
        <v>0.82710329999999999</v>
      </c>
      <c r="N7113">
        <v>-1.467429E-2</v>
      </c>
      <c r="O7113">
        <v>-0.56185839999999998</v>
      </c>
      <c r="P7113">
        <v>0.89116600000000001</v>
      </c>
      <c r="Q7113">
        <v>-5.1166589999999998E-2</v>
      </c>
      <c r="R7113">
        <v>-0.45078309999999999</v>
      </c>
      <c r="S7113">
        <v>3.0272220000000001</v>
      </c>
      <c r="T7113">
        <v>-0.28865249999999998</v>
      </c>
      <c r="U7113">
        <v>-0.6484375</v>
      </c>
      <c r="V7113">
        <v>-0.1274265</v>
      </c>
      <c r="W7113">
        <v>-3.8170889999999999E-2</v>
      </c>
      <c r="X7113">
        <v>0.99111320000000003</v>
      </c>
      <c r="Y7113">
        <v>-0.37293880000000001</v>
      </c>
      <c r="Z7113">
        <v>6.1266849999999998E-2</v>
      </c>
      <c r="AA7113">
        <v>0.92583099999999996</v>
      </c>
      <c r="AB7113">
        <v>19</v>
      </c>
      <c r="AC7113">
        <v>11.7112</v>
      </c>
      <c r="AD7113">
        <v>-1.1263099665380001</v>
      </c>
      <c r="AE7113">
        <v>-2.4687199999999998</v>
      </c>
      <c r="AF7113">
        <v>-4.4987974352101503</v>
      </c>
      <c r="AG7113">
        <v>-1.1263099665380001</v>
      </c>
      <c r="AH7113">
        <v>10.9774207625175</v>
      </c>
      <c r="AI7113">
        <v>95.423348164458503</v>
      </c>
      <c r="AJ7113">
        <v>112.28493743027801</v>
      </c>
      <c r="AK7113">
        <v>11.9168586087579</v>
      </c>
      <c r="AL7113">
        <v>92.187562439919702</v>
      </c>
      <c r="AM7113">
        <v>97.3262735856528</v>
      </c>
      <c r="AN7113">
        <v>0.99999995247994</v>
      </c>
    </row>
    <row r="7114" spans="1:40" x14ac:dyDescent="0.25">
      <c r="A7114" t="str">
        <f>"20190303153949189"</f>
        <v>20190303153949189</v>
      </c>
      <c r="B7114" t="str">
        <f>"1551598789185892"</f>
        <v>1551598789185892</v>
      </c>
      <c r="C7114" t="s">
        <v>40</v>
      </c>
      <c r="D7114">
        <v>4.5413350000000001</v>
      </c>
      <c r="E7114">
        <v>0.40099220000000002</v>
      </c>
      <c r="F7114" t="s">
        <v>63</v>
      </c>
      <c r="G7114">
        <v>-402.74979999999999</v>
      </c>
      <c r="H7114" s="1">
        <v>-5.0623529999999998E-6</v>
      </c>
      <c r="I7114">
        <v>20.745729999999998</v>
      </c>
      <c r="J7114">
        <v>-414.56319999999999</v>
      </c>
      <c r="K7114">
        <v>1.126055</v>
      </c>
      <c r="L7114">
        <v>23.177219999999998</v>
      </c>
      <c r="M7114">
        <v>0.83094349999999995</v>
      </c>
      <c r="N7114">
        <v>-1.4609520000000001E-2</v>
      </c>
      <c r="O7114">
        <v>-0.55616529999999997</v>
      </c>
      <c r="P7114">
        <v>0.89382189999999995</v>
      </c>
      <c r="Q7114">
        <v>-5.1086840000000001E-2</v>
      </c>
      <c r="R7114">
        <v>-0.44550329999999999</v>
      </c>
      <c r="S7114">
        <v>3.02887</v>
      </c>
      <c r="T7114">
        <v>-0.28598050000000003</v>
      </c>
      <c r="U7114">
        <v>-0.63482669999999997</v>
      </c>
      <c r="V7114">
        <v>-0.1265096</v>
      </c>
      <c r="W7114">
        <v>-3.8064639999999997E-2</v>
      </c>
      <c r="X7114">
        <v>0.99123479999999997</v>
      </c>
      <c r="Y7114">
        <v>-0.37073810000000001</v>
      </c>
      <c r="Z7114">
        <v>6.022868E-2</v>
      </c>
      <c r="AA7114">
        <v>0.92678249999999995</v>
      </c>
      <c r="AB7114">
        <v>19</v>
      </c>
      <c r="AC7114">
        <v>11.8134</v>
      </c>
      <c r="AD7114">
        <v>-1.1260600623529999</v>
      </c>
      <c r="AE7114">
        <v>-2.4314900000000002</v>
      </c>
      <c r="AF7114">
        <v>-4.51093645788165</v>
      </c>
      <c r="AG7114">
        <v>-1.1260600623529999</v>
      </c>
      <c r="AH7114">
        <v>11.0732457058695</v>
      </c>
      <c r="AI7114">
        <v>95.380092925956504</v>
      </c>
      <c r="AJ7114">
        <v>112.164633446907</v>
      </c>
      <c r="AK7114">
        <v>12.009718125486099</v>
      </c>
      <c r="AL7114">
        <v>92.181470205255096</v>
      </c>
      <c r="AM7114">
        <v>97.273241083434698</v>
      </c>
      <c r="AN7114">
        <v>1.00000001222076</v>
      </c>
    </row>
    <row r="7115" spans="1:40" x14ac:dyDescent="0.25">
      <c r="A7115" t="str">
        <f>"20190303153949212"</f>
        <v>20190303153949212</v>
      </c>
      <c r="B7115" t="str">
        <f>"1551598789205411"</f>
        <v>1551598789205411</v>
      </c>
      <c r="C7115" t="s">
        <v>40</v>
      </c>
      <c r="D7115">
        <v>4.5009779999999999</v>
      </c>
      <c r="E7115">
        <v>0.40219969999999999</v>
      </c>
      <c r="F7115" t="s">
        <v>63</v>
      </c>
      <c r="G7115">
        <v>-402.6506</v>
      </c>
      <c r="H7115" s="1">
        <v>-5.102122E-6</v>
      </c>
      <c r="I7115">
        <v>20.709520000000001</v>
      </c>
      <c r="J7115">
        <v>-414.40069999999997</v>
      </c>
      <c r="K7115">
        <v>1.125721</v>
      </c>
      <c r="L7115">
        <v>23.08182</v>
      </c>
      <c r="M7115">
        <v>0.83595699999999995</v>
      </c>
      <c r="N7115">
        <v>-1.45183E-2</v>
      </c>
      <c r="O7115">
        <v>-0.5486029</v>
      </c>
      <c r="P7115">
        <v>0.89674169999999997</v>
      </c>
      <c r="Q7115">
        <v>-5.3325740000000003E-2</v>
      </c>
      <c r="R7115">
        <v>-0.43932959999999899</v>
      </c>
      <c r="S7115">
        <v>3.027466</v>
      </c>
      <c r="T7115">
        <v>-0.28617559999999997</v>
      </c>
      <c r="U7115">
        <v>-0.62713619999999903</v>
      </c>
      <c r="V7115">
        <v>-0.1242846</v>
      </c>
      <c r="W7115">
        <v>-4.0265339999999997E-2</v>
      </c>
      <c r="X7115">
        <v>0.99142929999999996</v>
      </c>
      <c r="Y7115">
        <v>-0.36451139999999999</v>
      </c>
      <c r="Z7115">
        <v>5.9576799999999999E-2</v>
      </c>
      <c r="AA7115">
        <v>0.92929110000000004</v>
      </c>
      <c r="AB7115">
        <v>19</v>
      </c>
      <c r="AC7115">
        <v>11.7500999999999</v>
      </c>
      <c r="AD7115">
        <v>-1.125726102122</v>
      </c>
      <c r="AE7115">
        <v>-2.3722999999999899</v>
      </c>
      <c r="AF7115">
        <v>-4.4244482647350099</v>
      </c>
      <c r="AG7115">
        <v>-1.125726102122</v>
      </c>
      <c r="AH7115">
        <v>11.0279433778711</v>
      </c>
      <c r="AI7115">
        <v>95.411991763118607</v>
      </c>
      <c r="AJ7115">
        <v>111.860823734107</v>
      </c>
      <c r="AK7115">
        <v>11.935599559714101</v>
      </c>
      <c r="AL7115">
        <v>92.307657877229303</v>
      </c>
      <c r="AM7115">
        <v>97.145269007338399</v>
      </c>
      <c r="AN7115">
        <v>1.0000000081504801</v>
      </c>
    </row>
    <row r="7116" spans="1:40" x14ac:dyDescent="0.25">
      <c r="A7116" t="str">
        <f>"20190303153949223"</f>
        <v>20190303153949223</v>
      </c>
      <c r="B7116" t="str">
        <f>"1551598789215171"</f>
        <v>1551598789215171</v>
      </c>
      <c r="C7116" t="s">
        <v>40</v>
      </c>
      <c r="D7116">
        <v>4.6351709999999997</v>
      </c>
      <c r="E7116">
        <v>0.40219969999999999</v>
      </c>
      <c r="F7116" t="s">
        <v>63</v>
      </c>
      <c r="G7116">
        <v>-402.77319999999997</v>
      </c>
      <c r="H7116" s="1">
        <v>-5.0470530000000001E-6</v>
      </c>
      <c r="I7116">
        <v>20.721039999999999</v>
      </c>
      <c r="J7116">
        <v>-414.31290000000001</v>
      </c>
      <c r="K7116">
        <v>1.1255569999999999</v>
      </c>
      <c r="L7116">
        <v>23.030909999999999</v>
      </c>
      <c r="M7116">
        <v>0.83850409999999997</v>
      </c>
      <c r="N7116">
        <v>-1.4470190000000001E-2</v>
      </c>
      <c r="O7116">
        <v>-0.54470319999999905</v>
      </c>
      <c r="P7116">
        <v>0.898227199999999</v>
      </c>
      <c r="Q7116">
        <v>-5.4916260000000001E-2</v>
      </c>
      <c r="R7116">
        <v>-0.43608760000000002</v>
      </c>
      <c r="S7116">
        <v>3.0268860000000002</v>
      </c>
      <c r="T7116">
        <v>-0.29305059999999999</v>
      </c>
      <c r="U7116">
        <v>-0.61456299999999997</v>
      </c>
      <c r="V7116">
        <v>-0.123194899999999</v>
      </c>
      <c r="W7116">
        <v>-4.1842579999999997E-2</v>
      </c>
      <c r="X7116">
        <v>0.99150000000000005</v>
      </c>
      <c r="Y7116">
        <v>-0.36368889999999998</v>
      </c>
      <c r="Z7116">
        <v>6.09209E-2</v>
      </c>
      <c r="AA7116">
        <v>0.92952619999999997</v>
      </c>
      <c r="AB7116">
        <v>19</v>
      </c>
      <c r="AC7116">
        <v>11.5397</v>
      </c>
      <c r="AD7116">
        <v>-1.1255620470529999</v>
      </c>
      <c r="AE7116">
        <v>-2.3098700000000001</v>
      </c>
      <c r="AF7116">
        <v>-4.3099076073688103</v>
      </c>
      <c r="AG7116">
        <v>-1.1255620470529999</v>
      </c>
      <c r="AH7116">
        <v>10.836301877578499</v>
      </c>
      <c r="AI7116">
        <v>95.512877175607002</v>
      </c>
      <c r="AJ7116">
        <v>111.68913259918099</v>
      </c>
      <c r="AK7116">
        <v>11.7161270003288</v>
      </c>
      <c r="AL7116">
        <v>92.398103310680398</v>
      </c>
      <c r="AM7116">
        <v>97.082760052257996</v>
      </c>
      <c r="AN7116">
        <v>1.00000001744353</v>
      </c>
    </row>
    <row r="7117" spans="1:40" x14ac:dyDescent="0.25">
      <c r="A7117" t="str">
        <f>"20190303153949233"</f>
        <v>20190303153949233</v>
      </c>
      <c r="B7117" t="str">
        <f>"1551598789225907"</f>
        <v>1551598789225907</v>
      </c>
      <c r="C7117" t="s">
        <v>40</v>
      </c>
      <c r="D7117">
        <v>4.6268580000000004</v>
      </c>
      <c r="E7117">
        <v>0.41623850000000001</v>
      </c>
      <c r="F7117" t="s">
        <v>63</v>
      </c>
      <c r="G7117">
        <v>-402.84179999999998</v>
      </c>
      <c r="H7117" s="1">
        <v>-5.0194090000000002E-6</v>
      </c>
      <c r="I7117">
        <v>20.745239999999999</v>
      </c>
      <c r="J7117">
        <v>-414.23719999999997</v>
      </c>
      <c r="K7117">
        <v>1.1254200000000001</v>
      </c>
      <c r="L7117">
        <v>22.98715</v>
      </c>
      <c r="M7117">
        <v>0.84064069999999902</v>
      </c>
      <c r="N7117">
        <v>-1.442997E-2</v>
      </c>
      <c r="O7117">
        <v>-0.54140109999999997</v>
      </c>
      <c r="P7117">
        <v>0.89948609999999896</v>
      </c>
      <c r="Q7117">
        <v>-5.6045270000000001E-2</v>
      </c>
      <c r="R7117">
        <v>-0.43334089999999997</v>
      </c>
      <c r="S7117">
        <v>3.0287169999999999</v>
      </c>
      <c r="T7117">
        <v>-0.29718149999999999</v>
      </c>
      <c r="U7117">
        <v>-0.6034851</v>
      </c>
      <c r="V7117">
        <v>-0.1222898</v>
      </c>
      <c r="W7117">
        <v>-4.2962309999999997E-2</v>
      </c>
      <c r="X7117">
        <v>0.99156420000000001</v>
      </c>
      <c r="Y7117">
        <v>-0.36331439999999998</v>
      </c>
      <c r="Z7117">
        <v>6.163424E-2</v>
      </c>
      <c r="AA7117">
        <v>0.92962560000000005</v>
      </c>
      <c r="AB7117">
        <v>19</v>
      </c>
      <c r="AC7117">
        <v>11.395399999999899</v>
      </c>
      <c r="AD7117">
        <v>-1.1254250194090001</v>
      </c>
      <c r="AE7117">
        <v>-2.2419099999999998</v>
      </c>
      <c r="AF7117">
        <v>-4.2454211756606002</v>
      </c>
      <c r="AG7117">
        <v>-1.1254250194090001</v>
      </c>
      <c r="AH7117">
        <v>10.6939130837352</v>
      </c>
      <c r="AI7117">
        <v>95.586542876804202</v>
      </c>
      <c r="AJ7117">
        <v>111.652789199141</v>
      </c>
      <c r="AK7117">
        <v>11.560707568118</v>
      </c>
      <c r="AL7117">
        <v>92.462316766669502</v>
      </c>
      <c r="AM7117">
        <v>97.030795830475995</v>
      </c>
      <c r="AN7117">
        <v>1.0000000589931</v>
      </c>
    </row>
    <row r="7118" spans="1:40" x14ac:dyDescent="0.25">
      <c r="A7118" t="str">
        <f>"20190303153949244"</f>
        <v>20190303153949244</v>
      </c>
      <c r="B7118" t="str">
        <f>"1551598789235667"</f>
        <v>1551598789235667</v>
      </c>
      <c r="C7118" t="s">
        <v>40</v>
      </c>
      <c r="D7118">
        <v>4.5910780000000004</v>
      </c>
      <c r="E7118">
        <v>0.41570990000000002</v>
      </c>
      <c r="F7118" t="s">
        <v>63</v>
      </c>
      <c r="G7118">
        <v>-404.4271</v>
      </c>
      <c r="H7118" s="1">
        <v>-4.2732589999999997E-6</v>
      </c>
      <c r="I7118">
        <v>20.702110000000001</v>
      </c>
      <c r="J7118">
        <v>-414.15539999999999</v>
      </c>
      <c r="K7118">
        <v>1.1252799999999901</v>
      </c>
      <c r="L7118">
        <v>22.94022</v>
      </c>
      <c r="M7118">
        <v>0.8428658</v>
      </c>
      <c r="N7118">
        <v>-1.438771E-2</v>
      </c>
      <c r="O7118">
        <v>-0.53793169999999901</v>
      </c>
      <c r="P7118">
        <v>0.90091540000000003</v>
      </c>
      <c r="Q7118">
        <v>-5.6588699999999902E-2</v>
      </c>
      <c r="R7118">
        <v>-0.4302899</v>
      </c>
      <c r="S7118">
        <v>2.979584</v>
      </c>
      <c r="T7118">
        <v>-0.34182230000000002</v>
      </c>
      <c r="U7118">
        <v>-0.69403079999999995</v>
      </c>
      <c r="V7118">
        <v>-0.1215526</v>
      </c>
      <c r="W7118">
        <v>-4.3500990000000003E-2</v>
      </c>
      <c r="X7118">
        <v>0.99163129999999999</v>
      </c>
      <c r="Y7118">
        <v>-0.32831909999999997</v>
      </c>
      <c r="Z7118">
        <v>7.0074750000000005E-2</v>
      </c>
      <c r="AA7118">
        <v>0.94196400000000002</v>
      </c>
      <c r="AB7118">
        <v>19</v>
      </c>
      <c r="AC7118">
        <v>9.7282999999999902</v>
      </c>
      <c r="AD7118">
        <v>-1.1252842732589901</v>
      </c>
      <c r="AE7118">
        <v>-2.2381099999999901</v>
      </c>
      <c r="AF7118">
        <v>-3.3050820493020101</v>
      </c>
      <c r="AG7118">
        <v>-1.1252842732589901</v>
      </c>
      <c r="AH7118">
        <v>9.2865670557984998</v>
      </c>
      <c r="AI7118">
        <v>96.512629639298794</v>
      </c>
      <c r="AJ7118">
        <v>109.590604984949</v>
      </c>
      <c r="AK7118">
        <v>9.9211974947636499</v>
      </c>
      <c r="AL7118">
        <v>92.493209878228996</v>
      </c>
      <c r="AM7118">
        <v>96.988364240124795</v>
      </c>
      <c r="AN7118">
        <v>1.0000000029187099</v>
      </c>
    </row>
    <row r="7119" spans="1:40" x14ac:dyDescent="0.25">
      <c r="A7119" t="str">
        <f>"20190303153949256"</f>
        <v>20190303153949256</v>
      </c>
      <c r="B7119" t="str">
        <f>"1551598789245428"</f>
        <v>1551598789245428</v>
      </c>
      <c r="C7119" t="s">
        <v>40</v>
      </c>
      <c r="D7119">
        <v>4.5497579999999997</v>
      </c>
      <c r="E7119">
        <v>0.41536889999999999</v>
      </c>
      <c r="F7119" t="s">
        <v>63</v>
      </c>
      <c r="G7119">
        <v>-404.28449999999998</v>
      </c>
      <c r="H7119" s="1">
        <v>-4.3376090000000002E-6</v>
      </c>
      <c r="I7119">
        <v>20.690470000000001</v>
      </c>
      <c r="J7119">
        <v>-414.07459999999998</v>
      </c>
      <c r="K7119">
        <v>1.1251469999999999</v>
      </c>
      <c r="L7119">
        <v>22.894200000000001</v>
      </c>
      <c r="M7119">
        <v>0.84497479999999903</v>
      </c>
      <c r="N7119">
        <v>-1.434704E-2</v>
      </c>
      <c r="O7119">
        <v>-0.53461380000000003</v>
      </c>
      <c r="P7119">
        <v>0.90239440000000004</v>
      </c>
      <c r="Q7119">
        <v>-5.7524350000000002E-2</v>
      </c>
      <c r="R7119">
        <v>-0.42705419999999999</v>
      </c>
      <c r="S7119">
        <v>2.983765</v>
      </c>
      <c r="T7119">
        <v>-0.34015129999999999</v>
      </c>
      <c r="U7119">
        <v>-0.68005369999999998</v>
      </c>
      <c r="V7119">
        <v>-0.121185</v>
      </c>
      <c r="W7119">
        <v>-4.4436509999999999E-2</v>
      </c>
      <c r="X7119">
        <v>0.99163480000000004</v>
      </c>
      <c r="Y7119">
        <v>-0.32914539999999998</v>
      </c>
      <c r="Z7119">
        <v>6.9472939999999997E-2</v>
      </c>
      <c r="AA7119">
        <v>0.94172009999999995</v>
      </c>
      <c r="AB7119">
        <v>19</v>
      </c>
      <c r="AC7119">
        <v>9.79009999999999</v>
      </c>
      <c r="AD7119">
        <v>-1.1251513376090001</v>
      </c>
      <c r="AE7119">
        <v>-2.20372999999999</v>
      </c>
      <c r="AF7119">
        <v>-3.3303066173868801</v>
      </c>
      <c r="AG7119">
        <v>-1.1251513376090001</v>
      </c>
      <c r="AH7119">
        <v>9.3341613151969494</v>
      </c>
      <c r="AI7119">
        <v>96.477143542059693</v>
      </c>
      <c r="AJ7119">
        <v>109.635735035398</v>
      </c>
      <c r="AK7119">
        <v>9.9741403216745201</v>
      </c>
      <c r="AL7119">
        <v>92.546863142919094</v>
      </c>
      <c r="AM7119">
        <v>96.967413689113798</v>
      </c>
      <c r="AN7119">
        <v>0.99999999210850998</v>
      </c>
    </row>
    <row r="7120" spans="1:40" x14ac:dyDescent="0.25">
      <c r="A7120" t="str">
        <f>"20190303153949266"</f>
        <v>20190303153949266</v>
      </c>
      <c r="B7120" t="str">
        <f>"1551598789255187"</f>
        <v>1551598789255187</v>
      </c>
      <c r="C7120" t="s">
        <v>40</v>
      </c>
      <c r="D7120">
        <v>4.6142659999999998</v>
      </c>
      <c r="E7120">
        <v>0.4167419</v>
      </c>
      <c r="F7120" t="s">
        <v>63</v>
      </c>
      <c r="G7120">
        <v>-403.98329999999999</v>
      </c>
      <c r="H7120" s="1">
        <v>-4.4690930000000001E-6</v>
      </c>
      <c r="I7120">
        <v>20.640940000000001</v>
      </c>
      <c r="J7120">
        <v>-413.99239999999998</v>
      </c>
      <c r="K7120">
        <v>1.1250180000000001</v>
      </c>
      <c r="L7120">
        <v>22.8476</v>
      </c>
      <c r="M7120">
        <v>0.8470548</v>
      </c>
      <c r="N7120">
        <v>-1.430679E-2</v>
      </c>
      <c r="O7120">
        <v>-0.53131309999999998</v>
      </c>
      <c r="P7120">
        <v>0.90373579999999998</v>
      </c>
      <c r="Q7120">
        <v>-5.8233380000000001E-2</v>
      </c>
      <c r="R7120">
        <v>-0.42411149999999997</v>
      </c>
      <c r="S7120">
        <v>2.987549</v>
      </c>
      <c r="T7120">
        <v>-0.33310430000000002</v>
      </c>
      <c r="U7120">
        <v>-0.66708369999999995</v>
      </c>
      <c r="V7120">
        <v>-0.1205305</v>
      </c>
      <c r="W7120">
        <v>-4.514191E-2</v>
      </c>
      <c r="X7120">
        <v>0.99168270000000003</v>
      </c>
      <c r="Y7120">
        <v>-0.32981129999999997</v>
      </c>
      <c r="Z7120">
        <v>6.7693710000000004E-2</v>
      </c>
      <c r="AA7120">
        <v>0.94161669999999997</v>
      </c>
      <c r="AB7120">
        <v>19</v>
      </c>
      <c r="AC7120">
        <v>10.009099999999901</v>
      </c>
      <c r="AD7120">
        <v>-1.125022469093</v>
      </c>
      <c r="AE7120">
        <v>-2.2066599999999901</v>
      </c>
      <c r="AF7120">
        <v>-3.4080955430295798</v>
      </c>
      <c r="AG7120">
        <v>-1.125022469093</v>
      </c>
      <c r="AH7120">
        <v>9.5367703125344594</v>
      </c>
      <c r="AI7120">
        <v>96.338800301288501</v>
      </c>
      <c r="AJ7120">
        <v>109.665045357041</v>
      </c>
      <c r="AK7120">
        <v>10.1897388965773</v>
      </c>
      <c r="AL7120">
        <v>92.5873202044001</v>
      </c>
      <c r="AM7120">
        <v>96.929819283455998</v>
      </c>
      <c r="AN7120">
        <v>0.99999998547399405</v>
      </c>
    </row>
    <row r="7121" spans="1:40" x14ac:dyDescent="0.25">
      <c r="A7121" t="str">
        <f>"20190303153949277"</f>
        <v>20190303153949277</v>
      </c>
      <c r="B7121" t="str">
        <f>"1551598789265923"</f>
        <v>1551598789265923</v>
      </c>
      <c r="C7121" t="s">
        <v>40</v>
      </c>
      <c r="D7121">
        <v>4.6278220000000001</v>
      </c>
      <c r="E7121">
        <v>0.41730289999999998</v>
      </c>
      <c r="F7121" t="s">
        <v>63</v>
      </c>
      <c r="G7121">
        <v>-403.76760000000002</v>
      </c>
      <c r="H7121" s="1">
        <v>-4.5554959999999997E-6</v>
      </c>
      <c r="I7121">
        <v>20.561769999999999</v>
      </c>
      <c r="J7121">
        <v>-413.91399999999999</v>
      </c>
      <c r="K7121">
        <v>1.124889</v>
      </c>
      <c r="L7121">
        <v>22.8035</v>
      </c>
      <c r="M7121">
        <v>0.84893529999999995</v>
      </c>
      <c r="N7121">
        <v>-1.426877E-2</v>
      </c>
      <c r="O7121">
        <v>-0.52830410000000005</v>
      </c>
      <c r="P7121">
        <v>0.90490590000000004</v>
      </c>
      <c r="Q7121">
        <v>-5.89533E-2</v>
      </c>
      <c r="R7121">
        <v>-0.42150939999999998</v>
      </c>
      <c r="S7121">
        <v>2.9851990000000002</v>
      </c>
      <c r="T7121">
        <v>-0.32845619999999998</v>
      </c>
      <c r="U7121">
        <v>-0.66735840000000002</v>
      </c>
      <c r="V7121">
        <v>-0.119847</v>
      </c>
      <c r="W7121">
        <v>-4.585732E-2</v>
      </c>
      <c r="X7121">
        <v>0.99173270000000002</v>
      </c>
      <c r="Y7121">
        <v>-0.32636659999999901</v>
      </c>
      <c r="Z7121">
        <v>6.6311439999999999E-2</v>
      </c>
      <c r="AA7121">
        <v>0.94291440000000004</v>
      </c>
      <c r="AB7121">
        <v>19</v>
      </c>
      <c r="AC7121">
        <v>10.1463999999999</v>
      </c>
      <c r="AD7121">
        <v>-1.124893555496</v>
      </c>
      <c r="AE7121">
        <v>-2.2417299999999898</v>
      </c>
      <c r="AF7121">
        <v>-3.4176012696751301</v>
      </c>
      <c r="AG7121">
        <v>-1.124893555496</v>
      </c>
      <c r="AH7121">
        <v>9.6854437148376302</v>
      </c>
      <c r="AI7121">
        <v>96.250364308428601</v>
      </c>
      <c r="AJ7121">
        <v>109.435875704531</v>
      </c>
      <c r="AK7121">
        <v>10.3321442064544</v>
      </c>
      <c r="AL7121">
        <v>92.628352708045895</v>
      </c>
      <c r="AM7121">
        <v>96.890556751396304</v>
      </c>
      <c r="AN7121">
        <v>0.99999997272793595</v>
      </c>
    </row>
    <row r="7122" spans="1:40" x14ac:dyDescent="0.25">
      <c r="A7122" t="str">
        <f>"20190303153949288"</f>
        <v>20190303153949288</v>
      </c>
      <c r="B7122" t="str">
        <f>"1551598789285444"</f>
        <v>1551598789285444</v>
      </c>
      <c r="C7122" t="s">
        <v>40</v>
      </c>
      <c r="D7122">
        <v>4.6823329999999999</v>
      </c>
      <c r="E7122">
        <v>0.41910530000000001</v>
      </c>
      <c r="F7122" t="s">
        <v>63</v>
      </c>
      <c r="G7122">
        <v>-403.83420000000001</v>
      </c>
      <c r="H7122" s="1">
        <v>-4.5251040000000002E-6</v>
      </c>
      <c r="I7122">
        <v>20.56541</v>
      </c>
      <c r="J7122">
        <v>-413.83109999999999</v>
      </c>
      <c r="K7122">
        <v>1.12476</v>
      </c>
      <c r="L7122">
        <v>22.756989999999998</v>
      </c>
      <c r="M7122">
        <v>0.85088459999999999</v>
      </c>
      <c r="N7122">
        <v>-1.4229469999999999E-2</v>
      </c>
      <c r="O7122">
        <v>-0.52515999999999996</v>
      </c>
      <c r="P7122">
        <v>0.90600789999999998</v>
      </c>
      <c r="Q7122">
        <v>-5.9361610000000002E-2</v>
      </c>
      <c r="R7122">
        <v>-0.41907749999999999</v>
      </c>
      <c r="S7122">
        <v>2.9848629999999998</v>
      </c>
      <c r="T7122">
        <v>-0.33310630000000002</v>
      </c>
      <c r="U7122">
        <v>-0.66275019999999996</v>
      </c>
      <c r="V7122">
        <v>-0.1188385</v>
      </c>
      <c r="W7122">
        <v>-4.6257069999999997E-2</v>
      </c>
      <c r="X7122">
        <v>0.99183549999999998</v>
      </c>
      <c r="Y7122">
        <v>-0.3241349</v>
      </c>
      <c r="Z7122">
        <v>6.6985370000000002E-2</v>
      </c>
      <c r="AA7122">
        <v>0.94363629999999998</v>
      </c>
      <c r="AB7122">
        <v>19</v>
      </c>
      <c r="AC7122">
        <v>9.9968999999999806</v>
      </c>
      <c r="AD7122">
        <v>-1.1247645251039999</v>
      </c>
      <c r="AE7122">
        <v>-2.1915799999999899</v>
      </c>
      <c r="AF7122">
        <v>-3.3451293898254302</v>
      </c>
      <c r="AG7122">
        <v>-1.1247645251039999</v>
      </c>
      <c r="AH7122">
        <v>9.5428541226086594</v>
      </c>
      <c r="AI7122">
        <v>96.346853272155101</v>
      </c>
      <c r="AJ7122">
        <v>109.317483455689</v>
      </c>
      <c r="AK7122">
        <v>10.1745295064192</v>
      </c>
      <c r="AL7122">
        <v>92.651281002634207</v>
      </c>
      <c r="AM7122">
        <v>96.832422432675799</v>
      </c>
      <c r="AN7122">
        <v>0.99999998233374199</v>
      </c>
    </row>
    <row r="7123" spans="1:40" x14ac:dyDescent="0.25">
      <c r="A7123" t="str">
        <f>"20190303153949300"</f>
        <v>20190303153949300</v>
      </c>
      <c r="B7123" t="str">
        <f>"1551598789295203"</f>
        <v>1551598789295203</v>
      </c>
      <c r="C7123" t="s">
        <v>40</v>
      </c>
      <c r="D7123">
        <v>4.5855980000000001</v>
      </c>
      <c r="E7123">
        <v>0.4191202</v>
      </c>
      <c r="F7123" t="s">
        <v>63</v>
      </c>
      <c r="G7123">
        <v>-403.74709999999999</v>
      </c>
      <c r="H7123" s="1">
        <v>-4.553618E-6</v>
      </c>
      <c r="I7123">
        <v>20.497699999999998</v>
      </c>
      <c r="J7123">
        <v>-413.74860000000001</v>
      </c>
      <c r="K7123">
        <v>1.124627</v>
      </c>
      <c r="L7123">
        <v>22.711089999999999</v>
      </c>
      <c r="M7123">
        <v>0.85270820000000003</v>
      </c>
      <c r="N7123">
        <v>-1.4190680000000001E-2</v>
      </c>
      <c r="O7123">
        <v>-0.52219510000000002</v>
      </c>
      <c r="P7123">
        <v>0.90677759999999996</v>
      </c>
      <c r="Q7123">
        <v>-6.0030239999999999E-2</v>
      </c>
      <c r="R7123">
        <v>-0.41731439999999997</v>
      </c>
      <c r="S7123">
        <v>2.9805600000000001</v>
      </c>
      <c r="T7123">
        <v>-0.33244940000000001</v>
      </c>
      <c r="U7123">
        <v>-0.66778559999999998</v>
      </c>
      <c r="V7123">
        <v>-0.1173024</v>
      </c>
      <c r="W7123">
        <v>-4.691153E-2</v>
      </c>
      <c r="X7123">
        <v>0.99198759999999997</v>
      </c>
      <c r="Y7123">
        <v>-0.31908109999999901</v>
      </c>
      <c r="Z7123">
        <v>6.6401749999999995E-2</v>
      </c>
      <c r="AA7123">
        <v>0.94539830000000002</v>
      </c>
      <c r="AB7123">
        <v>19</v>
      </c>
      <c r="AC7123">
        <v>10.0015</v>
      </c>
      <c r="AD7123">
        <v>-1.124631553618</v>
      </c>
      <c r="AE7123">
        <v>-2.21339</v>
      </c>
      <c r="AF7123">
        <v>-3.2959647930486198</v>
      </c>
      <c r="AG7123">
        <v>-1.124631553618</v>
      </c>
      <c r="AH7123">
        <v>9.5698032409852694</v>
      </c>
      <c r="AI7123">
        <v>96.340313552720502</v>
      </c>
      <c r="AJ7123">
        <v>109.00437442555101</v>
      </c>
      <c r="AK7123">
        <v>10.1837770065718</v>
      </c>
      <c r="AL7123">
        <v>92.688819581922701</v>
      </c>
      <c r="AM7123">
        <v>96.743901171204797</v>
      </c>
      <c r="AN7123">
        <v>0.99999997162322996</v>
      </c>
    </row>
    <row r="7124" spans="1:40" x14ac:dyDescent="0.25">
      <c r="A7124" t="str">
        <f>"20190303153949313"</f>
        <v>20190303153949313</v>
      </c>
      <c r="B7124" t="str">
        <f>"1551598789305939"</f>
        <v>1551598789305939</v>
      </c>
      <c r="C7124" t="s">
        <v>40</v>
      </c>
      <c r="D7124">
        <v>4.6192460000000004</v>
      </c>
      <c r="E7124">
        <v>0.41939850000000001</v>
      </c>
      <c r="F7124" t="s">
        <v>63</v>
      </c>
      <c r="G7124">
        <v>-403.63819999999998</v>
      </c>
      <c r="H7124" s="1">
        <v>-4.5987419999999996E-6</v>
      </c>
      <c r="I7124">
        <v>20.466249999999999</v>
      </c>
      <c r="J7124">
        <v>-413.65469999999999</v>
      </c>
      <c r="K7124">
        <v>1.124479</v>
      </c>
      <c r="L7124">
        <v>22.65897</v>
      </c>
      <c r="M7124">
        <v>0.85473429999999995</v>
      </c>
      <c r="N7124">
        <v>-1.4147899999999901E-2</v>
      </c>
      <c r="O7124">
        <v>-0.51887309999999998</v>
      </c>
      <c r="P7124">
        <v>0.90758539999999999</v>
      </c>
      <c r="Q7124">
        <v>-6.0902579999999998E-2</v>
      </c>
      <c r="R7124">
        <v>-0.41542699999999999</v>
      </c>
      <c r="S7124">
        <v>2.9817499999999999</v>
      </c>
      <c r="T7124">
        <v>-0.33167669999999999</v>
      </c>
      <c r="U7124">
        <v>-0.66204830000000003</v>
      </c>
      <c r="V7124">
        <v>-0.1154868</v>
      </c>
      <c r="W7124">
        <v>-4.7767169999999998E-2</v>
      </c>
      <c r="X7124">
        <v>0.99215980000000004</v>
      </c>
      <c r="Y7124">
        <v>-0.3172507</v>
      </c>
      <c r="Z7124">
        <v>6.5878809999999996E-2</v>
      </c>
      <c r="AA7124">
        <v>0.94605070000000002</v>
      </c>
      <c r="AB7124">
        <v>19</v>
      </c>
      <c r="AC7124">
        <v>10.016500000000001</v>
      </c>
      <c r="AD7124">
        <v>-1.1244835987420001</v>
      </c>
      <c r="AE7124">
        <v>-2.19272</v>
      </c>
      <c r="AF7124">
        <v>-3.28393692293248</v>
      </c>
      <c r="AG7124">
        <v>-1.1244835987420001</v>
      </c>
      <c r="AH7124">
        <v>9.5848852846807393</v>
      </c>
      <c r="AI7124">
        <v>96.333058968698495</v>
      </c>
      <c r="AJ7124">
        <v>108.912290320132</v>
      </c>
      <c r="AK7124">
        <v>10.1940537078302</v>
      </c>
      <c r="AL7124">
        <v>92.737899130756603</v>
      </c>
      <c r="AM7124">
        <v>96.639316652044698</v>
      </c>
      <c r="AN7124">
        <v>0.99999998612004404</v>
      </c>
    </row>
    <row r="7125" spans="1:40" x14ac:dyDescent="0.25">
      <c r="A7125" t="str">
        <f>"20190303153949323"</f>
        <v>20190303153949323</v>
      </c>
      <c r="B7125" t="str">
        <f>"1551598789315699"</f>
        <v>1551598789315699</v>
      </c>
      <c r="C7125" t="s">
        <v>40</v>
      </c>
      <c r="D7125">
        <v>4.6262970000000001</v>
      </c>
      <c r="E7125">
        <v>0.41986570000000001</v>
      </c>
      <c r="F7125" t="s">
        <v>63</v>
      </c>
      <c r="G7125">
        <v>-403.66070000000002</v>
      </c>
      <c r="H7125" s="1">
        <v>-4.5861400000000003E-6</v>
      </c>
      <c r="I7125">
        <v>20.454280000000001</v>
      </c>
      <c r="J7125">
        <v>-413.57420000000002</v>
      </c>
      <c r="K7125">
        <v>1.124347</v>
      </c>
      <c r="L7125">
        <v>22.614619999999999</v>
      </c>
      <c r="M7125">
        <v>0.85638499999999995</v>
      </c>
      <c r="N7125">
        <v>-1.411249E-2</v>
      </c>
      <c r="O7125">
        <v>-0.51614499999999996</v>
      </c>
      <c r="P7125">
        <v>0.90806430000000005</v>
      </c>
      <c r="Q7125">
        <v>-6.2173770000000003E-2</v>
      </c>
      <c r="R7125">
        <v>-0.41419050000000002</v>
      </c>
      <c r="S7125">
        <v>2.9818730000000002</v>
      </c>
      <c r="T7125">
        <v>-0.33550970000000002</v>
      </c>
      <c r="U7125">
        <v>-0.65780640000000001</v>
      </c>
      <c r="V7125">
        <v>-0.113636</v>
      </c>
      <c r="W7125">
        <v>-4.9022000000000003E-2</v>
      </c>
      <c r="X7125">
        <v>0.99231230000000004</v>
      </c>
      <c r="Y7125">
        <v>-0.31543890000000002</v>
      </c>
      <c r="Z7125">
        <v>6.6398470000000001E-2</v>
      </c>
      <c r="AA7125">
        <v>0.94662000000000002</v>
      </c>
      <c r="AB7125">
        <v>19</v>
      </c>
      <c r="AC7125">
        <v>9.9135000000000009</v>
      </c>
      <c r="AD7125">
        <v>-1.12435158614</v>
      </c>
      <c r="AE7125">
        <v>-2.1603400000000001</v>
      </c>
      <c r="AF7125">
        <v>-3.22741302544387</v>
      </c>
      <c r="AG7125">
        <v>-1.12435158614</v>
      </c>
      <c r="AH7125">
        <v>9.4892488904778904</v>
      </c>
      <c r="AI7125">
        <v>96.400471674361</v>
      </c>
      <c r="AJ7125">
        <v>108.783815545539</v>
      </c>
      <c r="AK7125">
        <v>10.0859409988109</v>
      </c>
      <c r="AL7125">
        <v>92.809879903939205</v>
      </c>
      <c r="AM7125">
        <v>96.532846481879105</v>
      </c>
      <c r="AN7125">
        <v>0.99999999885564494</v>
      </c>
    </row>
    <row r="7126" spans="1:40" x14ac:dyDescent="0.25">
      <c r="A7126" t="str">
        <f>"20190303153949336"</f>
        <v>20190303153949336</v>
      </c>
      <c r="B7126" t="str">
        <f>"1551598789325460"</f>
        <v>1551598789325460</v>
      </c>
      <c r="C7126" t="s">
        <v>40</v>
      </c>
      <c r="D7126">
        <v>4.6795010000000001</v>
      </c>
      <c r="E7126">
        <v>0.42010370000000002</v>
      </c>
      <c r="F7126" t="s">
        <v>63</v>
      </c>
      <c r="G7126">
        <v>-403.72750000000002</v>
      </c>
      <c r="H7126" s="1">
        <v>-4.5532550000000003E-6</v>
      </c>
      <c r="I7126">
        <v>20.444310000000002</v>
      </c>
      <c r="J7126">
        <v>-413.48200000000003</v>
      </c>
      <c r="K7126">
        <v>1.1242049999999999</v>
      </c>
      <c r="L7126">
        <v>22.563929999999999</v>
      </c>
      <c r="M7126">
        <v>0.85821930000000002</v>
      </c>
      <c r="N7126">
        <v>-1.407403E-2</v>
      </c>
      <c r="O7126">
        <v>-0.51309039999999995</v>
      </c>
      <c r="P7126">
        <v>0.90852100000000002</v>
      </c>
      <c r="Q7126">
        <v>-6.3238459999999996E-2</v>
      </c>
      <c r="R7126">
        <v>-0.41302650000000002</v>
      </c>
      <c r="S7126">
        <v>2.9807429999999999</v>
      </c>
      <c r="T7126">
        <v>-0.34035650000000001</v>
      </c>
      <c r="U7126">
        <v>-0.65698239999999997</v>
      </c>
      <c r="V7126">
        <v>-0.111344</v>
      </c>
      <c r="W7126">
        <v>-5.0067960000000002E-2</v>
      </c>
      <c r="X7126">
        <v>0.99251990000000001</v>
      </c>
      <c r="Y7126">
        <v>-0.31213400000000002</v>
      </c>
      <c r="Z7126">
        <v>6.7021529999999996E-2</v>
      </c>
      <c r="AA7126">
        <v>0.94767109999999999</v>
      </c>
      <c r="AB7126">
        <v>19</v>
      </c>
      <c r="AC7126">
        <v>9.7544999999999398</v>
      </c>
      <c r="AD7126">
        <v>-1.1242095532549901</v>
      </c>
      <c r="AE7126">
        <v>-2.1196199999999901</v>
      </c>
      <c r="AF7126">
        <v>-3.1462505211376701</v>
      </c>
      <c r="AG7126">
        <v>-1.1242095532549901</v>
      </c>
      <c r="AH7126">
        <v>9.3415075314084692</v>
      </c>
      <c r="AI7126">
        <v>96.506504166975901</v>
      </c>
      <c r="AJ7126">
        <v>108.613694936163</v>
      </c>
      <c r="AK7126">
        <v>9.9210131751122095</v>
      </c>
      <c r="AL7126">
        <v>92.869882631044703</v>
      </c>
      <c r="AM7126">
        <v>96.400858321291906</v>
      </c>
      <c r="AN7126">
        <v>1.0000000194252801</v>
      </c>
    </row>
    <row r="7127" spans="1:40" x14ac:dyDescent="0.25">
      <c r="A7127" t="str">
        <f>"20190303153949347"</f>
        <v>20190303153949347</v>
      </c>
      <c r="B7127" t="str">
        <f>"1551598789345955"</f>
        <v>1551598789345955</v>
      </c>
      <c r="C7127" t="s">
        <v>40</v>
      </c>
      <c r="D7127">
        <v>4.6649699999999896</v>
      </c>
      <c r="E7127">
        <v>0.42098170000000001</v>
      </c>
      <c r="F7127" t="s">
        <v>63</v>
      </c>
      <c r="G7127">
        <v>-403.7038</v>
      </c>
      <c r="H7127" s="1">
        <v>-4.5592359999999996E-6</v>
      </c>
      <c r="I7127">
        <v>20.415800000000001</v>
      </c>
      <c r="J7127">
        <v>-413.38510000000002</v>
      </c>
      <c r="K7127">
        <v>1.124058</v>
      </c>
      <c r="L7127">
        <v>22.51099</v>
      </c>
      <c r="M7127">
        <v>0.8600833</v>
      </c>
      <c r="N7127">
        <v>-1.4035850000000001E-2</v>
      </c>
      <c r="O7127">
        <v>-0.50996049999999904</v>
      </c>
      <c r="P7127">
        <v>0.90909249999999997</v>
      </c>
      <c r="Q7127">
        <v>-6.4554219999999995E-2</v>
      </c>
      <c r="R7127">
        <v>-0.4115625</v>
      </c>
      <c r="S7127">
        <v>2.9805600000000001</v>
      </c>
      <c r="T7127">
        <v>-0.34267690000000001</v>
      </c>
      <c r="U7127">
        <v>-0.65478519999999996</v>
      </c>
      <c r="V7127">
        <v>-0.1092878</v>
      </c>
      <c r="W7127">
        <v>-5.1369190000000002E-2</v>
      </c>
      <c r="X7127">
        <v>0.99268190000000001</v>
      </c>
      <c r="Y7127">
        <v>-0.30929519999999999</v>
      </c>
      <c r="Z7127">
        <v>6.710642E-2</v>
      </c>
      <c r="AA7127">
        <v>0.94859539999999998</v>
      </c>
      <c r="AB7127">
        <v>19</v>
      </c>
      <c r="AC7127">
        <v>9.6813000000000198</v>
      </c>
      <c r="AD7127">
        <v>-1.1240625592360001</v>
      </c>
      <c r="AE7127">
        <v>-2.0951899999999899</v>
      </c>
      <c r="AF7127">
        <v>-3.0954890416575198</v>
      </c>
      <c r="AG7127">
        <v>-1.1240625592360001</v>
      </c>
      <c r="AH7127">
        <v>9.2766531406638908</v>
      </c>
      <c r="AI7127">
        <v>96.556852313329898</v>
      </c>
      <c r="AJ7127">
        <v>108.45313125487201</v>
      </c>
      <c r="AK7127">
        <v>9.8438743661369106</v>
      </c>
      <c r="AL7127">
        <v>92.944533798385606</v>
      </c>
      <c r="AM7127">
        <v>96.282590132708904</v>
      </c>
      <c r="AN7127">
        <v>0.99999998574885296</v>
      </c>
    </row>
    <row r="7128" spans="1:40" x14ac:dyDescent="0.25">
      <c r="A7128" t="str">
        <f>"20190303153949360"</f>
        <v>20190303153949360</v>
      </c>
      <c r="B7128" t="str">
        <f>"1551598789355715"</f>
        <v>1551598789355715</v>
      </c>
      <c r="C7128" t="s">
        <v>40</v>
      </c>
      <c r="D7128">
        <v>4.6621350000000001</v>
      </c>
      <c r="E7128">
        <v>0.42143340000000001</v>
      </c>
      <c r="F7128" t="s">
        <v>63</v>
      </c>
      <c r="G7128">
        <v>-403.7439</v>
      </c>
      <c r="H7128" s="1">
        <v>-4.5354130000000004E-6</v>
      </c>
      <c r="I7128">
        <v>20.38702</v>
      </c>
      <c r="J7128">
        <v>-413.30189999999999</v>
      </c>
      <c r="K7128">
        <v>1.1239589999999999</v>
      </c>
      <c r="L7128">
        <v>22.46576</v>
      </c>
      <c r="M7128">
        <v>0.86160309999999996</v>
      </c>
      <c r="N7128">
        <v>-1.400593E-2</v>
      </c>
      <c r="O7128">
        <v>-0.50738950000000005</v>
      </c>
      <c r="P7128">
        <v>0.90932380000000002</v>
      </c>
      <c r="Q7128">
        <v>-6.535125E-2</v>
      </c>
      <c r="R7128">
        <v>-0.41092580000000001</v>
      </c>
      <c r="S7128">
        <v>2.9783330000000001</v>
      </c>
      <c r="T7128">
        <v>-0.34724149999999998</v>
      </c>
      <c r="U7128">
        <v>-0.65612789999999999</v>
      </c>
      <c r="V7128">
        <v>-0.10699740000000001</v>
      </c>
      <c r="W7128">
        <v>-5.2152709999999998E-2</v>
      </c>
      <c r="X7128">
        <v>0.99289050000000001</v>
      </c>
      <c r="Y7128">
        <v>-0.3058052</v>
      </c>
      <c r="Z7128">
        <v>6.7688300000000007E-2</v>
      </c>
      <c r="AA7128">
        <v>0.94968490000000005</v>
      </c>
      <c r="AB7128">
        <v>19</v>
      </c>
      <c r="AC7128">
        <v>9.5579999999999892</v>
      </c>
      <c r="AD7128">
        <v>-1.123963535413</v>
      </c>
      <c r="AE7128">
        <v>-2.0787399999999998</v>
      </c>
      <c r="AF7128">
        <v>-3.0190172765666001</v>
      </c>
      <c r="AG7128">
        <v>-1.123963535413</v>
      </c>
      <c r="AH7128">
        <v>9.1697679803037992</v>
      </c>
      <c r="AI7128">
        <v>96.640765519449801</v>
      </c>
      <c r="AJ7128">
        <v>108.223403277378</v>
      </c>
      <c r="AK7128">
        <v>9.7191771337778707</v>
      </c>
      <c r="AL7128">
        <v>92.989486564526302</v>
      </c>
      <c r="AM7128">
        <v>96.150660427569704</v>
      </c>
      <c r="AN7128">
        <v>0.99999994687867499</v>
      </c>
    </row>
    <row r="7129" spans="1:40" x14ac:dyDescent="0.25">
      <c r="A7129" t="str">
        <f>"20190303153949373"</f>
        <v>20190303153949373</v>
      </c>
      <c r="B7129" t="str">
        <f>"1551598789365476"</f>
        <v>1551598789365476</v>
      </c>
      <c r="C7129" t="s">
        <v>40</v>
      </c>
      <c r="D7129">
        <v>4.6699449999999896</v>
      </c>
      <c r="E7129">
        <v>0.42183549999999997</v>
      </c>
      <c r="F7129" t="s">
        <v>63</v>
      </c>
      <c r="G7129">
        <v>-403.74900000000002</v>
      </c>
      <c r="H7129" s="1">
        <v>-4.5277650000000002E-6</v>
      </c>
      <c r="I7129">
        <v>20.357309999999998</v>
      </c>
      <c r="J7129">
        <v>-413.20650000000001</v>
      </c>
      <c r="K7129">
        <v>1.1238549999999901</v>
      </c>
      <c r="L7129">
        <v>22.414180000000002</v>
      </c>
      <c r="M7129">
        <v>0.86330309999999899</v>
      </c>
      <c r="N7129">
        <v>-1.397313E-2</v>
      </c>
      <c r="O7129">
        <v>-0.50449239999999995</v>
      </c>
      <c r="P7129">
        <v>0.90994839999999999</v>
      </c>
      <c r="Q7129">
        <v>-6.6220849999999998E-2</v>
      </c>
      <c r="R7129">
        <v>-0.40940090000000001</v>
      </c>
      <c r="S7129">
        <v>2.9770509999999999</v>
      </c>
      <c r="T7129">
        <v>-0.35026990000000002</v>
      </c>
      <c r="U7129">
        <v>-0.65707399999999905</v>
      </c>
      <c r="V7129">
        <v>-0.1053032</v>
      </c>
      <c r="W7129">
        <v>-5.3015779999999998E-2</v>
      </c>
      <c r="X7129">
        <v>0.99302599999999996</v>
      </c>
      <c r="Y7129">
        <v>-0.3021855</v>
      </c>
      <c r="Z7129">
        <v>6.7884150000000004E-2</v>
      </c>
      <c r="AA7129">
        <v>0.95082900000000004</v>
      </c>
      <c r="AB7129">
        <v>19</v>
      </c>
      <c r="AC7129">
        <v>9.45749999999998</v>
      </c>
      <c r="AD7129">
        <v>-1.1238595277650001</v>
      </c>
      <c r="AE7129">
        <v>-2.0568699999999902</v>
      </c>
      <c r="AF7129">
        <v>-2.9559703875581902</v>
      </c>
      <c r="AG7129">
        <v>-1.1238595277650001</v>
      </c>
      <c r="AH7129">
        <v>9.0808219286751406</v>
      </c>
      <c r="AI7129">
        <v>96.711914724219497</v>
      </c>
      <c r="AJ7129">
        <v>108.03099789933199</v>
      </c>
      <c r="AK7129">
        <v>9.6157240013727794</v>
      </c>
      <c r="AL7129">
        <v>93.039005073361295</v>
      </c>
      <c r="AM7129">
        <v>96.053179747182796</v>
      </c>
      <c r="AN7129">
        <v>1.0000000367676201</v>
      </c>
    </row>
    <row r="7130" spans="1:40" x14ac:dyDescent="0.25">
      <c r="A7130" t="str">
        <f>"20190303153949384"</f>
        <v>20190303153949384</v>
      </c>
      <c r="B7130" t="str">
        <f>"1551598789375236"</f>
        <v>1551598789375236</v>
      </c>
      <c r="C7130" t="s">
        <v>40</v>
      </c>
      <c r="D7130">
        <v>4.6390209999999996</v>
      </c>
      <c r="E7130">
        <v>0.4220314</v>
      </c>
      <c r="F7130" t="s">
        <v>63</v>
      </c>
      <c r="G7130">
        <v>-403.76229999999998</v>
      </c>
      <c r="H7130" s="1">
        <v>-4.5176940000000002E-6</v>
      </c>
      <c r="I7130">
        <v>20.335640000000001</v>
      </c>
      <c r="J7130">
        <v>-413.11380000000003</v>
      </c>
      <c r="K7130">
        <v>1.123767</v>
      </c>
      <c r="L7130">
        <v>22.36429</v>
      </c>
      <c r="M7130">
        <v>0.86488290000000001</v>
      </c>
      <c r="N7130">
        <v>-1.394316E-2</v>
      </c>
      <c r="O7130">
        <v>-0.50178020000000001</v>
      </c>
      <c r="P7130">
        <v>0.91037100000000004</v>
      </c>
      <c r="Q7130">
        <v>-6.6703159999999997E-2</v>
      </c>
      <c r="R7130">
        <v>-0.40838210000000003</v>
      </c>
      <c r="S7130">
        <v>2.9763790000000001</v>
      </c>
      <c r="T7130">
        <v>-0.35418810000000001</v>
      </c>
      <c r="U7130">
        <v>-0.65505979999999997</v>
      </c>
      <c r="V7130">
        <v>-0.1032893</v>
      </c>
      <c r="W7130">
        <v>-5.349135E-2</v>
      </c>
      <c r="X7130">
        <v>0.99321199999999998</v>
      </c>
      <c r="Y7130">
        <v>-0.2996837</v>
      </c>
      <c r="Z7130">
        <v>6.8337869999999995E-2</v>
      </c>
      <c r="AA7130">
        <v>0.95158790000000004</v>
      </c>
      <c r="AB7130">
        <v>19</v>
      </c>
      <c r="AC7130">
        <v>9.3515000000000406</v>
      </c>
      <c r="AD7130">
        <v>-1.123771517694</v>
      </c>
      <c r="AE7130">
        <v>-2.0286499999999998</v>
      </c>
      <c r="AF7130">
        <v>-2.89816712145389</v>
      </c>
      <c r="AG7130">
        <v>-1.123771517694</v>
      </c>
      <c r="AH7130">
        <v>8.9828827528625794</v>
      </c>
      <c r="AI7130">
        <v>96.789579131869402</v>
      </c>
      <c r="AJ7130">
        <v>107.881371427838</v>
      </c>
      <c r="AK7130">
        <v>9.5054940765608098</v>
      </c>
      <c r="AL7130">
        <v>93.066291934547706</v>
      </c>
      <c r="AM7130">
        <v>95.937145130555095</v>
      </c>
      <c r="AN7130">
        <v>1.00000004048165</v>
      </c>
    </row>
    <row r="7131" spans="1:40" x14ac:dyDescent="0.25">
      <c r="A7131" t="str">
        <f>"20190303153949394"</f>
        <v>20190303153949394</v>
      </c>
      <c r="B7131" t="str">
        <f>"1551598789385971"</f>
        <v>1551598789385971</v>
      </c>
      <c r="C7131" t="s">
        <v>40</v>
      </c>
      <c r="D7131">
        <v>4.7300599999999999</v>
      </c>
      <c r="E7131">
        <v>0.42260130000000001</v>
      </c>
      <c r="F7131" t="s">
        <v>63</v>
      </c>
      <c r="G7131">
        <v>-403.65089999999998</v>
      </c>
      <c r="H7131" s="1">
        <v>-4.5610909999999998E-6</v>
      </c>
      <c r="I7131">
        <v>20.287939999999999</v>
      </c>
      <c r="J7131">
        <v>-413.03660000000002</v>
      </c>
      <c r="K7131">
        <v>1.123705</v>
      </c>
      <c r="L7131">
        <v>22.322939999999999</v>
      </c>
      <c r="M7131">
        <v>0.8661529</v>
      </c>
      <c r="N7131">
        <v>-1.391946E-2</v>
      </c>
      <c r="O7131">
        <v>-0.49958540000000001</v>
      </c>
      <c r="P7131">
        <v>0.91064489999999998</v>
      </c>
      <c r="Q7131">
        <v>-6.7168459999999999E-2</v>
      </c>
      <c r="R7131">
        <v>-0.407694</v>
      </c>
      <c r="S7131">
        <v>2.9765009999999998</v>
      </c>
      <c r="T7131">
        <v>-0.35347810000000002</v>
      </c>
      <c r="U7131">
        <v>-0.65310669999999904</v>
      </c>
      <c r="V7131">
        <v>-0.10151010000000001</v>
      </c>
      <c r="W7131">
        <v>-5.3952060000000003E-2</v>
      </c>
      <c r="X7131">
        <v>0.99337050000000005</v>
      </c>
      <c r="Y7131">
        <v>-0.29790860000000002</v>
      </c>
      <c r="Z7131">
        <v>6.790293E-2</v>
      </c>
      <c r="AA7131">
        <v>0.95217629999999998</v>
      </c>
      <c r="AB7131">
        <v>19</v>
      </c>
      <c r="AC7131">
        <v>9.3857000000000408</v>
      </c>
      <c r="AD7131">
        <v>-1.123709561091</v>
      </c>
      <c r="AE7131">
        <v>-2.0350000000000001</v>
      </c>
      <c r="AF7131">
        <v>-2.8870946480100401</v>
      </c>
      <c r="AG7131">
        <v>-1.123709561091</v>
      </c>
      <c r="AH7131">
        <v>9.0234560632565497</v>
      </c>
      <c r="AI7131">
        <v>96.764188332206899</v>
      </c>
      <c r="AJ7131">
        <v>107.74230261571699</v>
      </c>
      <c r="AK7131">
        <v>9.5404820638045802</v>
      </c>
      <c r="AL7131">
        <v>93.092726854249193</v>
      </c>
      <c r="AM7131">
        <v>95.834662624624997</v>
      </c>
      <c r="AN7131">
        <v>1.00000003772525</v>
      </c>
    </row>
    <row r="7132" spans="1:40" x14ac:dyDescent="0.25">
      <c r="A7132" t="str">
        <f>"20190303153949405"</f>
        <v>20190303153949405</v>
      </c>
      <c r="B7132" t="str">
        <f>"1551598789395732"</f>
        <v>1551598789395732</v>
      </c>
      <c r="C7132" t="s">
        <v>40</v>
      </c>
      <c r="D7132">
        <v>4.7227059999999996</v>
      </c>
      <c r="E7132">
        <v>0.42310969999999998</v>
      </c>
      <c r="F7132" t="s">
        <v>63</v>
      </c>
      <c r="G7132">
        <v>-403.61509999999998</v>
      </c>
      <c r="H7132" s="1">
        <v>-4.5707610000000003E-6</v>
      </c>
      <c r="I7132">
        <v>20.248380000000001</v>
      </c>
      <c r="J7132">
        <v>-412.95710000000003</v>
      </c>
      <c r="K7132">
        <v>1.1236459999999999</v>
      </c>
      <c r="L7132">
        <v>22.280519999999999</v>
      </c>
      <c r="M7132">
        <v>0.86742759999999997</v>
      </c>
      <c r="N7132">
        <v>-1.3895950000000001E-2</v>
      </c>
      <c r="O7132">
        <v>-0.49736940000000002</v>
      </c>
      <c r="P7132">
        <v>0.91090629999999995</v>
      </c>
      <c r="Q7132">
        <v>-6.7511399999999902E-2</v>
      </c>
      <c r="R7132">
        <v>-0.4070532</v>
      </c>
      <c r="S7132">
        <v>2.974945</v>
      </c>
      <c r="T7132">
        <v>-0.3548212</v>
      </c>
      <c r="U7132">
        <v>-0.65505979999999997</v>
      </c>
      <c r="V7132">
        <v>-9.9663180000000004E-2</v>
      </c>
      <c r="W7132">
        <v>-5.4291319999999997E-2</v>
      </c>
      <c r="X7132">
        <v>0.99353899999999995</v>
      </c>
      <c r="Y7132">
        <v>-0.2947594</v>
      </c>
      <c r="Z7132">
        <v>6.7821930000000002E-2</v>
      </c>
      <c r="AA7132">
        <v>0.9531617</v>
      </c>
      <c r="AB7132">
        <v>19</v>
      </c>
      <c r="AC7132">
        <v>9.3420000000000396</v>
      </c>
      <c r="AD7132">
        <v>-1.1236505707609901</v>
      </c>
      <c r="AE7132">
        <v>-2.0321400000000001</v>
      </c>
      <c r="AF7132">
        <v>-2.84467403610366</v>
      </c>
      <c r="AG7132">
        <v>-1.1236505707609901</v>
      </c>
      <c r="AH7132">
        <v>8.99091655691117</v>
      </c>
      <c r="AI7132">
        <v>96.795008596143404</v>
      </c>
      <c r="AJ7132">
        <v>107.55707032844801</v>
      </c>
      <c r="AK7132">
        <v>9.4969122092495599</v>
      </c>
      <c r="AL7132">
        <v>93.1121936042274</v>
      </c>
      <c r="AM7132">
        <v>95.728251676830595</v>
      </c>
      <c r="AN7132">
        <v>1.00000002069802</v>
      </c>
    </row>
    <row r="7133" spans="1:40" x14ac:dyDescent="0.25">
      <c r="A7133" t="str">
        <f>"20190303153949416"</f>
        <v>20190303153949416</v>
      </c>
      <c r="B7133" t="str">
        <f>"1551598789405492"</f>
        <v>1551598789405492</v>
      </c>
      <c r="C7133" t="s">
        <v>40</v>
      </c>
      <c r="D7133">
        <v>4.7220639999999996</v>
      </c>
      <c r="E7133">
        <v>0.42358839999999998</v>
      </c>
      <c r="F7133" t="s">
        <v>63</v>
      </c>
      <c r="G7133">
        <v>-403.54719999999998</v>
      </c>
      <c r="H7133" s="1">
        <v>-4.5942230000000004E-6</v>
      </c>
      <c r="I7133">
        <v>20.202649999999998</v>
      </c>
      <c r="J7133">
        <v>-412.88119999999998</v>
      </c>
      <c r="K7133">
        <v>1.1236010000000001</v>
      </c>
      <c r="L7133">
        <v>22.240200000000002</v>
      </c>
      <c r="M7133">
        <v>0.86860020000000004</v>
      </c>
      <c r="N7133">
        <v>-1.387451E-2</v>
      </c>
      <c r="O7133">
        <v>-0.49531950000000002</v>
      </c>
      <c r="P7133">
        <v>0.91111540000000002</v>
      </c>
      <c r="Q7133">
        <v>-6.7661879999999994E-2</v>
      </c>
      <c r="R7133">
        <v>-0.40655989999999997</v>
      </c>
      <c r="S7133">
        <v>2.9737239999999998</v>
      </c>
      <c r="T7133">
        <v>-0.35509619999999997</v>
      </c>
      <c r="U7133">
        <v>-0.65664669999999903</v>
      </c>
      <c r="V7133">
        <v>-9.7855789999999998E-2</v>
      </c>
      <c r="W7133">
        <v>-5.4438159999999999E-2</v>
      </c>
      <c r="X7133">
        <v>0.9937106</v>
      </c>
      <c r="Y7133">
        <v>-0.29195359999999998</v>
      </c>
      <c r="Z7133">
        <v>6.7549769999999995E-2</v>
      </c>
      <c r="AA7133">
        <v>0.95404409999999895</v>
      </c>
      <c r="AB7133">
        <v>19</v>
      </c>
      <c r="AC7133">
        <v>9.3339999999999996</v>
      </c>
      <c r="AD7133">
        <v>-1.1236055942229899</v>
      </c>
      <c r="AE7133">
        <v>-2.03755</v>
      </c>
      <c r="AF7133">
        <v>-2.81483632286387</v>
      </c>
      <c r="AG7133">
        <v>-1.1236055942229899</v>
      </c>
      <c r="AH7133">
        <v>8.9932375033243801</v>
      </c>
      <c r="AI7133">
        <v>96.799555515466096</v>
      </c>
      <c r="AJ7133">
        <v>107.379847255207</v>
      </c>
      <c r="AK7133">
        <v>9.4902114753614999</v>
      </c>
      <c r="AL7133">
        <v>93.120619401729002</v>
      </c>
      <c r="AM7133">
        <v>95.624077103203206</v>
      </c>
      <c r="AN7133">
        <v>1.0000000127265301</v>
      </c>
    </row>
    <row r="7134" spans="1:40" x14ac:dyDescent="0.25">
      <c r="A7134" t="str">
        <f>"20190303153949426"</f>
        <v>20190303153949426</v>
      </c>
      <c r="B7134" t="str">
        <f>"1551598789415251"</f>
        <v>1551598789415251</v>
      </c>
      <c r="C7134" t="s">
        <v>40</v>
      </c>
      <c r="D7134">
        <v>4.7063860000000002</v>
      </c>
      <c r="E7134">
        <v>0.4240235</v>
      </c>
      <c r="F7134" t="s">
        <v>63</v>
      </c>
      <c r="G7134">
        <v>-403.47570000000002</v>
      </c>
      <c r="H7134" s="1">
        <v>-4.6193629999999998E-6</v>
      </c>
      <c r="I7134">
        <v>20.156870000000001</v>
      </c>
      <c r="J7134">
        <v>-412.80059999999997</v>
      </c>
      <c r="K7134">
        <v>1.12355</v>
      </c>
      <c r="L7134">
        <v>22.197569999999999</v>
      </c>
      <c r="M7134">
        <v>0.8698186</v>
      </c>
      <c r="N7134">
        <v>-1.3852410000000001E-2</v>
      </c>
      <c r="O7134">
        <v>-0.49317709999999998</v>
      </c>
      <c r="P7134">
        <v>0.91141620000000001</v>
      </c>
      <c r="Q7134">
        <v>-6.7737980000000003E-2</v>
      </c>
      <c r="R7134">
        <v>-0.40587200000000001</v>
      </c>
      <c r="S7134">
        <v>2.9725039999999998</v>
      </c>
      <c r="T7134">
        <v>-0.3551047</v>
      </c>
      <c r="U7134">
        <v>-0.65841669999999997</v>
      </c>
      <c r="V7134">
        <v>-9.6161769999999994E-2</v>
      </c>
      <c r="W7134">
        <v>-5.4512230000000002E-2</v>
      </c>
      <c r="X7134">
        <v>0.99387190000000003</v>
      </c>
      <c r="Y7134">
        <v>-0.2889989</v>
      </c>
      <c r="Z7134">
        <v>6.7204449999999999E-2</v>
      </c>
      <c r="AA7134">
        <v>0.95496760000000003</v>
      </c>
      <c r="AB7134">
        <v>19</v>
      </c>
      <c r="AC7134">
        <v>9.3248999999999498</v>
      </c>
      <c r="AD7134">
        <v>-1.1235546193629999</v>
      </c>
      <c r="AE7134">
        <v>-2.0407000000000002</v>
      </c>
      <c r="AF7134">
        <v>-2.7854687823946702</v>
      </c>
      <c r="AG7134">
        <v>-1.1235546193629999</v>
      </c>
      <c r="AH7134">
        <v>8.9936725144762502</v>
      </c>
      <c r="AI7134">
        <v>96.805198391334102</v>
      </c>
      <c r="AJ7134">
        <v>107.208499568649</v>
      </c>
      <c r="AK7134">
        <v>9.4819489883690409</v>
      </c>
      <c r="AL7134">
        <v>93.124869615186398</v>
      </c>
      <c r="AM7134">
        <v>95.526433184841906</v>
      </c>
      <c r="AN7134">
        <v>1.0000000114193499</v>
      </c>
    </row>
    <row r="7135" spans="1:40" x14ac:dyDescent="0.25">
      <c r="A7135" t="str">
        <f>"20190303153949438"</f>
        <v>20190303153949438</v>
      </c>
      <c r="B7135" t="str">
        <f>"1551598789435748"</f>
        <v>1551598789435748</v>
      </c>
      <c r="C7135" t="s">
        <v>40</v>
      </c>
      <c r="D7135">
        <v>4.766902</v>
      </c>
      <c r="E7135">
        <v>0.42494349999999997</v>
      </c>
      <c r="F7135" t="s">
        <v>63</v>
      </c>
      <c r="G7135">
        <v>-403.39589999999998</v>
      </c>
      <c r="H7135" s="1">
        <v>-4.6483909999999998E-6</v>
      </c>
      <c r="I7135">
        <v>20.1111</v>
      </c>
      <c r="J7135">
        <v>-412.7176</v>
      </c>
      <c r="K7135">
        <v>1.1234949999999999</v>
      </c>
      <c r="L7135">
        <v>22.153870000000001</v>
      </c>
      <c r="M7135">
        <v>0.87102349999999995</v>
      </c>
      <c r="N7135">
        <v>-1.3830810000000001E-2</v>
      </c>
      <c r="O7135">
        <v>-0.49104639999999999</v>
      </c>
      <c r="P7135">
        <v>0.91178380000000003</v>
      </c>
      <c r="Q7135">
        <v>-6.7712910000000001E-2</v>
      </c>
      <c r="R7135">
        <v>-0.40504960000000001</v>
      </c>
      <c r="S7135">
        <v>2.9716490000000002</v>
      </c>
      <c r="T7135">
        <v>-0.35501519999999998</v>
      </c>
      <c r="U7135">
        <v>-0.65927119999999995</v>
      </c>
      <c r="V7135">
        <v>-9.4634839999999998E-2</v>
      </c>
      <c r="W7135">
        <v>-5.448534E-2</v>
      </c>
      <c r="X7135">
        <v>0.99401989999999996</v>
      </c>
      <c r="Y7135">
        <v>-0.2863637</v>
      </c>
      <c r="Z7135">
        <v>6.685526E-2</v>
      </c>
      <c r="AA7135">
        <v>0.95578560000000001</v>
      </c>
      <c r="AB7135">
        <v>19</v>
      </c>
      <c r="AC7135">
        <v>9.3217000000000194</v>
      </c>
      <c r="AD7135">
        <v>-1.123499648391</v>
      </c>
      <c r="AE7135">
        <v>-2.04277</v>
      </c>
      <c r="AF7135">
        <v>-2.7600976429112598</v>
      </c>
      <c r="AG7135">
        <v>-1.123499648391</v>
      </c>
      <c r="AH7135">
        <v>8.9986605556506607</v>
      </c>
      <c r="AI7135">
        <v>96.806806683155898</v>
      </c>
      <c r="AJ7135">
        <v>107.05198975742201</v>
      </c>
      <c r="AK7135">
        <v>9.4792553639071304</v>
      </c>
      <c r="AL7135">
        <v>93.123326726158396</v>
      </c>
      <c r="AM7135">
        <v>95.438405750098994</v>
      </c>
      <c r="AN7135">
        <v>0.99999998340637497</v>
      </c>
    </row>
    <row r="7136" spans="1:40" x14ac:dyDescent="0.25">
      <c r="A7136" t="str">
        <f>"20190303153949449"</f>
        <v>20190303153949449</v>
      </c>
      <c r="B7136" t="str">
        <f>"1551598789445508"</f>
        <v>1551598789445508</v>
      </c>
      <c r="C7136" t="s">
        <v>40</v>
      </c>
      <c r="D7136">
        <v>4.7554299999999996</v>
      </c>
      <c r="E7136">
        <v>0.42535899999999999</v>
      </c>
      <c r="F7136" t="s">
        <v>63</v>
      </c>
      <c r="G7136">
        <v>-403.31479999999999</v>
      </c>
      <c r="H7136" s="1">
        <v>-4.6759609999999998E-6</v>
      </c>
      <c r="I7136">
        <v>20.05358</v>
      </c>
      <c r="J7136">
        <v>-412.63290000000001</v>
      </c>
      <c r="K7136">
        <v>1.1234379999999999</v>
      </c>
      <c r="L7136">
        <v>22.10934</v>
      </c>
      <c r="M7136">
        <v>0.87223419999999896</v>
      </c>
      <c r="N7136">
        <v>-1.380934E-2</v>
      </c>
      <c r="O7136">
        <v>-0.48889349999999998</v>
      </c>
      <c r="P7136">
        <v>0.9122266</v>
      </c>
      <c r="Q7136">
        <v>-6.7613590000000001E-2</v>
      </c>
      <c r="R7136">
        <v>-0.40406829999999999</v>
      </c>
      <c r="S7136">
        <v>2.9692690000000002</v>
      </c>
      <c r="T7136">
        <v>-0.35478399999999999</v>
      </c>
      <c r="U7136">
        <v>-0.66323849999999995</v>
      </c>
      <c r="V7136">
        <v>-9.3261640000000007E-2</v>
      </c>
      <c r="W7136">
        <v>-5.438511E-2</v>
      </c>
      <c r="X7136">
        <v>0.99415520000000002</v>
      </c>
      <c r="Y7136">
        <v>-0.28265370000000001</v>
      </c>
      <c r="Z7136">
        <v>6.6429150000000006E-2</v>
      </c>
      <c r="AA7136">
        <v>0.95691899999999996</v>
      </c>
      <c r="AB7136">
        <v>19</v>
      </c>
      <c r="AC7136">
        <v>9.31810000000001</v>
      </c>
      <c r="AD7136">
        <v>-1.1234426759609999</v>
      </c>
      <c r="AE7136">
        <v>-2.0557599999999998</v>
      </c>
      <c r="AF7136">
        <v>-2.72494615294372</v>
      </c>
      <c r="AG7136">
        <v>-1.1234426759609999</v>
      </c>
      <c r="AH7136">
        <v>9.0086119493987908</v>
      </c>
      <c r="AI7136">
        <v>96.806982715840405</v>
      </c>
      <c r="AJ7136">
        <v>106.829639722414</v>
      </c>
      <c r="AK7136">
        <v>9.47853070034928</v>
      </c>
      <c r="AL7136">
        <v>93.1175753356992</v>
      </c>
      <c r="AM7136">
        <v>95.359229430806195</v>
      </c>
      <c r="AN7136">
        <v>1.0000000176861199</v>
      </c>
    </row>
    <row r="7137" spans="1:40" x14ac:dyDescent="0.25">
      <c r="A7137" t="str">
        <f>"20190303153949460"</f>
        <v>20190303153949460</v>
      </c>
      <c r="B7137" t="str">
        <f>"1551598789455268"</f>
        <v>1551598789455268</v>
      </c>
      <c r="C7137" t="s">
        <v>40</v>
      </c>
      <c r="D7137">
        <v>4.7681779999999998</v>
      </c>
      <c r="E7137">
        <v>0.42570010000000003</v>
      </c>
      <c r="F7137" t="s">
        <v>63</v>
      </c>
      <c r="G7137">
        <v>-403.21600000000001</v>
      </c>
      <c r="H7137" s="1">
        <v>-4.7134940000000001E-6</v>
      </c>
      <c r="I7137">
        <v>20.005990000000001</v>
      </c>
      <c r="J7137">
        <v>-412.54790000000003</v>
      </c>
      <c r="K7137">
        <v>1.12337</v>
      </c>
      <c r="L7137">
        <v>22.065059999999999</v>
      </c>
      <c r="M7137">
        <v>0.87338439999999995</v>
      </c>
      <c r="N7137">
        <v>-1.3789259999999999E-2</v>
      </c>
      <c r="O7137">
        <v>-0.48683650000000001</v>
      </c>
      <c r="P7137">
        <v>0.91283110000000001</v>
      </c>
      <c r="Q7137">
        <v>-6.7156720000000003E-2</v>
      </c>
      <c r="R7137">
        <v>-0.40277750000000001</v>
      </c>
      <c r="S7137">
        <v>2.9686889999999999</v>
      </c>
      <c r="T7137">
        <v>-0.35416769999999997</v>
      </c>
      <c r="U7137">
        <v>-0.66308590000000001</v>
      </c>
      <c r="V7137">
        <v>-9.2352299999999998E-2</v>
      </c>
      <c r="W7137">
        <v>-5.3927309999999999E-2</v>
      </c>
      <c r="X7137">
        <v>0.99426499999999995</v>
      </c>
      <c r="Y7137">
        <v>-0.28043869999999999</v>
      </c>
      <c r="Z7137">
        <v>6.6004859999999999E-2</v>
      </c>
      <c r="AA7137">
        <v>0.95759989999999995</v>
      </c>
      <c r="AB7137">
        <v>19</v>
      </c>
      <c r="AC7137">
        <v>9.3319000000000099</v>
      </c>
      <c r="AD7137">
        <v>-1.123374713494</v>
      </c>
      <c r="AE7137">
        <v>-2.05906999999999</v>
      </c>
      <c r="AF7137">
        <v>-2.7075954320383802</v>
      </c>
      <c r="AG7137">
        <v>-1.123374713494</v>
      </c>
      <c r="AH7137">
        <v>9.0288692978298997</v>
      </c>
      <c r="AI7137">
        <v>96.796278917350506</v>
      </c>
      <c r="AJ7137">
        <v>106.69304165704</v>
      </c>
      <c r="AK7137">
        <v>9.4928143649714407</v>
      </c>
      <c r="AL7137">
        <v>93.091306844957003</v>
      </c>
      <c r="AM7137">
        <v>95.306691795725698</v>
      </c>
      <c r="AN7137">
        <v>0.99999999615206303</v>
      </c>
    </row>
    <row r="7138" spans="1:40" x14ac:dyDescent="0.25">
      <c r="A7138" t="str">
        <f>"20190303153949470"</f>
        <v>20190303153949470</v>
      </c>
      <c r="B7138" t="str">
        <f>"1551598789466004"</f>
        <v>1551598789466004</v>
      </c>
      <c r="C7138" t="s">
        <v>40</v>
      </c>
      <c r="D7138">
        <v>4.703049</v>
      </c>
      <c r="E7138">
        <v>0.42587999999999998</v>
      </c>
      <c r="F7138" t="s">
        <v>63</v>
      </c>
      <c r="G7138">
        <v>-403.0915</v>
      </c>
      <c r="H7138" s="1">
        <v>-4.7629900000000001E-6</v>
      </c>
      <c r="I7138">
        <v>19.958110000000001</v>
      </c>
      <c r="J7138">
        <v>-412.4776</v>
      </c>
      <c r="K7138">
        <v>1.123316</v>
      </c>
      <c r="L7138">
        <v>22.028410000000001</v>
      </c>
      <c r="M7138">
        <v>0.87432909999999997</v>
      </c>
      <c r="N7138">
        <v>-1.3772980000000001E-2</v>
      </c>
      <c r="O7138">
        <v>-0.48513800000000001</v>
      </c>
      <c r="P7138">
        <v>0.91339859999999995</v>
      </c>
      <c r="Q7138">
        <v>-6.7064280000000004E-2</v>
      </c>
      <c r="R7138">
        <v>-0.40150439999999998</v>
      </c>
      <c r="S7138">
        <v>2.9686889999999999</v>
      </c>
      <c r="T7138">
        <v>-0.3526627</v>
      </c>
      <c r="U7138">
        <v>-0.66143799999999997</v>
      </c>
      <c r="V7138">
        <v>-9.1817490000000002E-2</v>
      </c>
      <c r="W7138">
        <v>-5.3835599999999997E-2</v>
      </c>
      <c r="X7138">
        <v>0.99431950000000002</v>
      </c>
      <c r="Y7138">
        <v>-0.27913389999999999</v>
      </c>
      <c r="Z7138">
        <v>6.5485779999999993E-2</v>
      </c>
      <c r="AA7138">
        <v>0.9580166</v>
      </c>
      <c r="AB7138">
        <v>19</v>
      </c>
      <c r="AC7138">
        <v>9.3861000000000008</v>
      </c>
      <c r="AD7138">
        <v>-1.1233207629899999</v>
      </c>
      <c r="AE7138">
        <v>-2.0703</v>
      </c>
      <c r="AF7138">
        <v>-2.70672055962909</v>
      </c>
      <c r="AG7138">
        <v>-1.1233207629899999</v>
      </c>
      <c r="AH7138">
        <v>9.0876707414015208</v>
      </c>
      <c r="AI7138">
        <v>96.756129134151294</v>
      </c>
      <c r="AJ7138">
        <v>106.58591864245599</v>
      </c>
      <c r="AK7138">
        <v>9.5485048687534597</v>
      </c>
      <c r="AL7138">
        <v>93.086044606177296</v>
      </c>
      <c r="AM7138">
        <v>95.275847242603305</v>
      </c>
      <c r="AN7138">
        <v>0.99999999568875497</v>
      </c>
    </row>
    <row r="7139" spans="1:40" x14ac:dyDescent="0.25">
      <c r="A7139" t="str">
        <f>"20190303153949480"</f>
        <v>20190303153949480</v>
      </c>
      <c r="B7139" t="str">
        <f>"1551598789475763"</f>
        <v>1551598789475763</v>
      </c>
      <c r="C7139" t="s">
        <v>40</v>
      </c>
      <c r="D7139">
        <v>4.670617</v>
      </c>
      <c r="E7139">
        <v>0.42598350000000001</v>
      </c>
      <c r="F7139" t="s">
        <v>63</v>
      </c>
      <c r="G7139">
        <v>-403.00810000000001</v>
      </c>
      <c r="H7139" s="1">
        <v>-4.7963839999999999E-6</v>
      </c>
      <c r="I7139">
        <v>19.927620000000001</v>
      </c>
      <c r="J7139">
        <v>-412.39729999999997</v>
      </c>
      <c r="K7139">
        <v>1.1232500000000001</v>
      </c>
      <c r="L7139">
        <v>21.986789999999999</v>
      </c>
      <c r="M7139">
        <v>0.87536069999999999</v>
      </c>
      <c r="N7139">
        <v>-1.3755679999999999E-2</v>
      </c>
      <c r="O7139">
        <v>-0.4832746</v>
      </c>
      <c r="P7139">
        <v>0.91407660000000002</v>
      </c>
      <c r="Q7139">
        <v>-6.7312609999999995E-2</v>
      </c>
      <c r="R7139">
        <v>-0.3999163</v>
      </c>
      <c r="S7139">
        <v>2.9691160000000001</v>
      </c>
      <c r="T7139">
        <v>-0.352211</v>
      </c>
      <c r="U7139">
        <v>-0.65869140000000004</v>
      </c>
      <c r="V7139">
        <v>-9.1426030000000005E-2</v>
      </c>
      <c r="W7139">
        <v>-5.4085059999999997E-2</v>
      </c>
      <c r="X7139">
        <v>0.99434199999999995</v>
      </c>
      <c r="Y7139">
        <v>-0.27799000000000001</v>
      </c>
      <c r="Z7139">
        <v>6.5167550000000005E-2</v>
      </c>
      <c r="AA7139">
        <v>0.95837090000000003</v>
      </c>
      <c r="AB7139">
        <v>19</v>
      </c>
      <c r="AC7139">
        <v>9.3891999999999598</v>
      </c>
      <c r="AD7139">
        <v>-1.1232547963840001</v>
      </c>
      <c r="AE7139">
        <v>-2.0591699999999902</v>
      </c>
      <c r="AF7139">
        <v>-2.6984563864503999</v>
      </c>
      <c r="AG7139">
        <v>-1.1232547963840001</v>
      </c>
      <c r="AH7139">
        <v>9.0908167522591192</v>
      </c>
      <c r="AI7139">
        <v>96.755270072413893</v>
      </c>
      <c r="AJ7139">
        <v>106.53263777407101</v>
      </c>
      <c r="AK7139">
        <v>9.5491527074568108</v>
      </c>
      <c r="AL7139">
        <v>93.100358567584095</v>
      </c>
      <c r="AM7139">
        <v>95.253361804645806</v>
      </c>
      <c r="AN7139">
        <v>0.99999996282038095</v>
      </c>
    </row>
    <row r="7140" spans="1:40" x14ac:dyDescent="0.25">
      <c r="A7140" t="str">
        <f>"20190303153949490"</f>
        <v>20190303153949490</v>
      </c>
      <c r="B7140" t="str">
        <f>"1551598789485524"</f>
        <v>1551598789485524</v>
      </c>
      <c r="C7140" t="s">
        <v>40</v>
      </c>
      <c r="D7140">
        <v>4.7650040000000002</v>
      </c>
      <c r="E7140">
        <v>0.42632920000000002</v>
      </c>
      <c r="F7140" t="s">
        <v>63</v>
      </c>
      <c r="G7140">
        <v>-402.92680000000001</v>
      </c>
      <c r="H7140" s="1">
        <v>-4.8294330000000001E-6</v>
      </c>
      <c r="I7140">
        <v>19.900400000000001</v>
      </c>
      <c r="J7140">
        <v>-412.32589999999999</v>
      </c>
      <c r="K7140">
        <v>1.1231949999999999</v>
      </c>
      <c r="L7140">
        <v>21.9498</v>
      </c>
      <c r="M7140">
        <v>0.87626979999999999</v>
      </c>
      <c r="N7140">
        <v>-1.374067E-2</v>
      </c>
      <c r="O7140">
        <v>-0.48162480000000002</v>
      </c>
      <c r="P7140">
        <v>0.91483040000000004</v>
      </c>
      <c r="Q7140">
        <v>-6.7591699999999894E-2</v>
      </c>
      <c r="R7140">
        <v>-0.39814139999999998</v>
      </c>
      <c r="S7140">
        <v>2.969849</v>
      </c>
      <c r="T7140">
        <v>-0.35223910000000003</v>
      </c>
      <c r="U7140">
        <v>-0.65426640000000003</v>
      </c>
      <c r="V7140">
        <v>-9.1478210000000004E-2</v>
      </c>
      <c r="W7140">
        <v>-5.4367430000000001E-2</v>
      </c>
      <c r="X7140">
        <v>0.99432180000000003</v>
      </c>
      <c r="Y7140">
        <v>-0.2776015</v>
      </c>
      <c r="Z7140">
        <v>6.5009769999999995E-2</v>
      </c>
      <c r="AA7140">
        <v>0.95849419999999996</v>
      </c>
      <c r="AB7140">
        <v>19</v>
      </c>
      <c r="AC7140">
        <v>9.3990999999999705</v>
      </c>
      <c r="AD7140">
        <v>-1.1231998294329999</v>
      </c>
      <c r="AE7140">
        <v>-2.0493999999999901</v>
      </c>
      <c r="AF7140">
        <v>-2.6945373519504701</v>
      </c>
      <c r="AG7140">
        <v>-1.1231998294329999</v>
      </c>
      <c r="AH7140">
        <v>9.1000058542185105</v>
      </c>
      <c r="AI7140">
        <v>96.749515354122707</v>
      </c>
      <c r="AJ7140">
        <v>106.49416987604</v>
      </c>
      <c r="AK7140">
        <v>9.5567889976030003</v>
      </c>
      <c r="AL7140">
        <v>93.116561021778097</v>
      </c>
      <c r="AM7140">
        <v>95.256449476464496</v>
      </c>
      <c r="AN7140">
        <v>0.99999996115242296</v>
      </c>
    </row>
    <row r="7141" spans="1:40" x14ac:dyDescent="0.25">
      <c r="A7141" t="str">
        <f>"20190303153949501"</f>
        <v>20190303153949501</v>
      </c>
      <c r="B7141" t="str">
        <f>"1551598789495283"</f>
        <v>1551598789495283</v>
      </c>
      <c r="C7141" t="s">
        <v>40</v>
      </c>
      <c r="D7141">
        <v>4.7872640000000004</v>
      </c>
      <c r="E7141">
        <v>0.42671690000000001</v>
      </c>
      <c r="F7141" t="s">
        <v>63</v>
      </c>
      <c r="G7141">
        <v>-402.87650000000002</v>
      </c>
      <c r="H7141" s="1">
        <v>-4.8489159999999999E-6</v>
      </c>
      <c r="I7141">
        <v>19.878399999999999</v>
      </c>
      <c r="J7141">
        <v>-412.24220000000003</v>
      </c>
      <c r="K7141">
        <v>1.123132</v>
      </c>
      <c r="L7141">
        <v>21.906649999999999</v>
      </c>
      <c r="M7141">
        <v>0.87728879999999998</v>
      </c>
      <c r="N7141">
        <v>-1.372429E-2</v>
      </c>
      <c r="O7141">
        <v>-0.47976659999999999</v>
      </c>
      <c r="P7141">
        <v>0.91564120000000004</v>
      </c>
      <c r="Q7141">
        <v>-6.8169599999999997E-2</v>
      </c>
      <c r="R7141">
        <v>-0.39617419999999998</v>
      </c>
      <c r="S7141">
        <v>2.96991</v>
      </c>
      <c r="T7141">
        <v>-0.35301729999999998</v>
      </c>
      <c r="U7141">
        <v>-0.65103149999999999</v>
      </c>
      <c r="V7141">
        <v>-9.14933E-2</v>
      </c>
      <c r="W7141">
        <v>-5.4948379999999998E-2</v>
      </c>
      <c r="X7141">
        <v>0.99428850000000002</v>
      </c>
      <c r="Y7141">
        <v>-0.27656019999999998</v>
      </c>
      <c r="Z7141">
        <v>6.495012E-2</v>
      </c>
      <c r="AA7141">
        <v>0.95879919999999996</v>
      </c>
      <c r="AB7141">
        <v>19</v>
      </c>
      <c r="AC7141">
        <v>9.3657000000000004</v>
      </c>
      <c r="AD7141">
        <v>-1.1231368489160001</v>
      </c>
      <c r="AE7141">
        <v>-2.0282499999999999</v>
      </c>
      <c r="AF7141">
        <v>-2.67746534646691</v>
      </c>
      <c r="AG7141">
        <v>-1.1231368489160001</v>
      </c>
      <c r="AH7141">
        <v>9.0658418655402908</v>
      </c>
      <c r="AI7141">
        <v>96.775738585500605</v>
      </c>
      <c r="AJ7141">
        <v>106.453743776492</v>
      </c>
      <c r="AK7141">
        <v>9.51944041390602</v>
      </c>
      <c r="AL7141">
        <v>93.149896764428107</v>
      </c>
      <c r="AM7141">
        <v>95.257486795365196</v>
      </c>
      <c r="AN7141">
        <v>0.99999998482088204</v>
      </c>
    </row>
    <row r="7142" spans="1:40" x14ac:dyDescent="0.25">
      <c r="A7142" t="str">
        <f>"20190303153949512"</f>
        <v>20190303153949512</v>
      </c>
      <c r="B7142" t="str">
        <f>"1551598789506019"</f>
        <v>1551598789506019</v>
      </c>
      <c r="C7142" t="s">
        <v>40</v>
      </c>
      <c r="D7142">
        <v>4.7852870000000003</v>
      </c>
      <c r="E7142">
        <v>0.4271181</v>
      </c>
      <c r="F7142" t="s">
        <v>63</v>
      </c>
      <c r="G7142">
        <v>-402.84640000000002</v>
      </c>
      <c r="H7142" s="1">
        <v>-4.8593339999999999E-6</v>
      </c>
      <c r="I7142">
        <v>19.858170000000001</v>
      </c>
      <c r="J7142">
        <v>-412.15750000000003</v>
      </c>
      <c r="K7142">
        <v>1.123076</v>
      </c>
      <c r="L7142">
        <v>21.863160000000001</v>
      </c>
      <c r="M7142">
        <v>0.87829829999999998</v>
      </c>
      <c r="N7142">
        <v>-1.3708349999999999E-2</v>
      </c>
      <c r="O7142">
        <v>-0.47791660000000002</v>
      </c>
      <c r="P7142">
        <v>0.91655560000000003</v>
      </c>
      <c r="Q7142">
        <v>-6.8599209999999994E-2</v>
      </c>
      <c r="R7142">
        <v>-0.39397929999999998</v>
      </c>
      <c r="S7142">
        <v>2.969849</v>
      </c>
      <c r="T7142">
        <v>-0.35500690000000001</v>
      </c>
      <c r="U7142">
        <v>-0.6474915</v>
      </c>
      <c r="V7142">
        <v>-9.1769400000000001E-2</v>
      </c>
      <c r="W7142">
        <v>-5.5382229999999998E-2</v>
      </c>
      <c r="X7142">
        <v>0.99423899999999998</v>
      </c>
      <c r="Y7142">
        <v>-0.27558449999999901</v>
      </c>
      <c r="Z7142">
        <v>6.5134910000000004E-2</v>
      </c>
      <c r="AA7142">
        <v>0.95906760000000002</v>
      </c>
      <c r="AB7142">
        <v>19</v>
      </c>
      <c r="AC7142">
        <v>9.3111000000000104</v>
      </c>
      <c r="AD7142">
        <v>-1.123080859334</v>
      </c>
      <c r="AE7142">
        <v>-2.0049899999999901</v>
      </c>
      <c r="AF7142">
        <v>-2.6523249409995602</v>
      </c>
      <c r="AG7142">
        <v>-1.123080859334</v>
      </c>
      <c r="AH7142">
        <v>9.0117019418733104</v>
      </c>
      <c r="AI7142">
        <v>96.817586915858698</v>
      </c>
      <c r="AJ7142">
        <v>106.400215462061</v>
      </c>
      <c r="AK7142">
        <v>9.4608091672126005</v>
      </c>
      <c r="AL7142">
        <v>93.174792395740099</v>
      </c>
      <c r="AM7142">
        <v>95.273524101784702</v>
      </c>
      <c r="AN7142">
        <v>1.00000000164856</v>
      </c>
    </row>
    <row r="7143" spans="1:40" x14ac:dyDescent="0.25">
      <c r="A7143" t="str">
        <f>"20190303153949524"</f>
        <v>20190303153949524</v>
      </c>
      <c r="B7143" t="str">
        <f>"1551598789515779"</f>
        <v>1551598789515779</v>
      </c>
      <c r="C7143" t="s">
        <v>40</v>
      </c>
      <c r="D7143">
        <v>4.7614519999999896</v>
      </c>
      <c r="E7143">
        <v>0.42752669999999998</v>
      </c>
      <c r="F7143" t="s">
        <v>63</v>
      </c>
      <c r="G7143">
        <v>-402.80149999999998</v>
      </c>
      <c r="H7143" s="1">
        <v>-4.8764660000000001E-6</v>
      </c>
      <c r="I7143">
        <v>19.836770000000001</v>
      </c>
      <c r="J7143">
        <v>-412.06479999999999</v>
      </c>
      <c r="K7143">
        <v>1.123014</v>
      </c>
      <c r="L7143">
        <v>21.815639999999998</v>
      </c>
      <c r="M7143">
        <v>0.87936270000000005</v>
      </c>
      <c r="N7143">
        <v>-1.369192E-2</v>
      </c>
      <c r="O7143">
        <v>-0.47595589999999999</v>
      </c>
      <c r="P7143">
        <v>0.91739280000000001</v>
      </c>
      <c r="Q7143">
        <v>-6.9187609999999997E-2</v>
      </c>
      <c r="R7143">
        <v>-0.39192339999999998</v>
      </c>
      <c r="S7143">
        <v>2.9699399999999998</v>
      </c>
      <c r="T7143">
        <v>-0.35650530000000002</v>
      </c>
      <c r="U7143">
        <v>-0.64324950000000003</v>
      </c>
      <c r="V7143">
        <v>-9.1765920000000001E-2</v>
      </c>
      <c r="W7143">
        <v>-5.5973429999999998E-2</v>
      </c>
      <c r="X7143">
        <v>0.99420620000000004</v>
      </c>
      <c r="Y7143">
        <v>-0.27472950000000002</v>
      </c>
      <c r="Z7143">
        <v>6.5217979999999995E-2</v>
      </c>
      <c r="AA7143">
        <v>0.95930720000000003</v>
      </c>
      <c r="AB7143">
        <v>19</v>
      </c>
      <c r="AC7143">
        <v>9.2633000000000099</v>
      </c>
      <c r="AD7143">
        <v>-1.1230188764659901</v>
      </c>
      <c r="AE7143">
        <v>-1.9788699999999899</v>
      </c>
      <c r="AF7143">
        <v>-2.6320317979243999</v>
      </c>
      <c r="AG7143">
        <v>-1.1230188764659901</v>
      </c>
      <c r="AH7143">
        <v>8.9625287094642196</v>
      </c>
      <c r="AI7143">
        <v>96.855455399933405</v>
      </c>
      <c r="AJ7143">
        <v>106.365966511732</v>
      </c>
      <c r="AK7143">
        <v>9.4082774007867407</v>
      </c>
      <c r="AL7143">
        <v>93.208718329474294</v>
      </c>
      <c r="AM7143">
        <v>95.273498243367001</v>
      </c>
      <c r="AN7143">
        <v>0.99999998852892502</v>
      </c>
    </row>
    <row r="7144" spans="1:40" x14ac:dyDescent="0.25">
      <c r="A7144" t="str">
        <f>"20190303153949537"</f>
        <v>20190303153949537</v>
      </c>
      <c r="B7144" t="str">
        <f>"1551598789525540"</f>
        <v>1551598789525540</v>
      </c>
      <c r="C7144" t="s">
        <v>40</v>
      </c>
      <c r="D7144">
        <v>4.7863819999999997</v>
      </c>
      <c r="E7144">
        <v>0.42791570000000001</v>
      </c>
      <c r="F7144" t="s">
        <v>63</v>
      </c>
      <c r="G7144">
        <v>-402.73590000000002</v>
      </c>
      <c r="H7144" s="1">
        <v>-4.9016550000000003E-6</v>
      </c>
      <c r="I7144">
        <v>19.80677</v>
      </c>
      <c r="J7144">
        <v>-411.9769</v>
      </c>
      <c r="K7144">
        <v>1.122959</v>
      </c>
      <c r="L7144">
        <v>21.77084</v>
      </c>
      <c r="M7144">
        <v>0.88033289999999997</v>
      </c>
      <c r="N7144">
        <v>-1.3677150000000001E-2</v>
      </c>
      <c r="O7144">
        <v>-0.4741591</v>
      </c>
      <c r="P7144">
        <v>0.91842509999999999</v>
      </c>
      <c r="Q7144">
        <v>-6.9163130000000003E-2</v>
      </c>
      <c r="R7144">
        <v>-0.38950220000000002</v>
      </c>
      <c r="S7144">
        <v>2.9699710000000001</v>
      </c>
      <c r="T7144">
        <v>-0.35753000000000001</v>
      </c>
      <c r="U7144">
        <v>-0.63955689999999998</v>
      </c>
      <c r="V7144">
        <v>-9.2365680000000006E-2</v>
      </c>
      <c r="W7144">
        <v>-5.5954770000000001E-2</v>
      </c>
      <c r="X7144">
        <v>0.99415169999999997</v>
      </c>
      <c r="Y7144">
        <v>-0.27389439999999998</v>
      </c>
      <c r="Z7144">
        <v>6.5221119999999994E-2</v>
      </c>
      <c r="AA7144">
        <v>0.9595458</v>
      </c>
      <c r="AB7144">
        <v>19</v>
      </c>
      <c r="AC7144">
        <v>9.2409999999999801</v>
      </c>
      <c r="AD7144">
        <v>-1.1229639016549999</v>
      </c>
      <c r="AE7144">
        <v>-1.96406999999999</v>
      </c>
      <c r="AF7144">
        <v>-2.6159566841044599</v>
      </c>
      <c r="AG7144">
        <v>-1.1229639016549999</v>
      </c>
      <c r="AH7144">
        <v>8.9409612801300398</v>
      </c>
      <c r="AI7144">
        <v>96.873502900429997</v>
      </c>
      <c r="AJ7144">
        <v>106.308480724932</v>
      </c>
      <c r="AK7144">
        <v>9.3832332332898805</v>
      </c>
      <c r="AL7144">
        <v>93.207647543025502</v>
      </c>
      <c r="AM7144">
        <v>95.308057656307199</v>
      </c>
      <c r="AN7144">
        <v>0.99999997887025205</v>
      </c>
    </row>
    <row r="7145" spans="1:40" x14ac:dyDescent="0.25">
      <c r="A7145" t="str">
        <f>"20190303153949550"</f>
        <v>20190303153949550</v>
      </c>
      <c r="B7145" t="str">
        <f>"1551598789546036"</f>
        <v>1551598789546036</v>
      </c>
      <c r="C7145" t="s">
        <v>40</v>
      </c>
      <c r="D7145">
        <v>4.8204459999999996</v>
      </c>
      <c r="E7145">
        <v>0.42827969999999999</v>
      </c>
      <c r="F7145" t="s">
        <v>63</v>
      </c>
      <c r="G7145">
        <v>-402.62310000000002</v>
      </c>
      <c r="H7145" s="1">
        <v>-4.9481229999999997E-6</v>
      </c>
      <c r="I7145">
        <v>19.772600000000001</v>
      </c>
      <c r="J7145">
        <v>-411.87830000000002</v>
      </c>
      <c r="K7145">
        <v>1.1229</v>
      </c>
      <c r="L7145">
        <v>21.72064</v>
      </c>
      <c r="M7145">
        <v>0.88139539999999905</v>
      </c>
      <c r="N7145">
        <v>-1.36612E-2</v>
      </c>
      <c r="O7145">
        <v>-0.47218149999999998</v>
      </c>
      <c r="P7145">
        <v>0.91955640000000005</v>
      </c>
      <c r="Q7145">
        <v>-6.9014720000000002E-2</v>
      </c>
      <c r="R7145">
        <v>-0.38684970000000002</v>
      </c>
      <c r="S7145">
        <v>2.9704899999999999</v>
      </c>
      <c r="T7145">
        <v>-0.35661999999999999</v>
      </c>
      <c r="U7145">
        <v>-0.63458249999999905</v>
      </c>
      <c r="V7145">
        <v>-9.3015849999999997E-2</v>
      </c>
      <c r="W7145">
        <v>-5.5812689999999998E-2</v>
      </c>
      <c r="X7145">
        <v>0.99409910000000001</v>
      </c>
      <c r="Y7145">
        <v>-0.27334160000000002</v>
      </c>
      <c r="Z7145">
        <v>6.4843579999999998E-2</v>
      </c>
      <c r="AA7145">
        <v>0.95972900000000005</v>
      </c>
      <c r="AB7145">
        <v>19</v>
      </c>
      <c r="AC7145">
        <v>9.2552000000000003</v>
      </c>
      <c r="AD7145">
        <v>-1.122904948123</v>
      </c>
      <c r="AE7145">
        <v>-1.94803999999999</v>
      </c>
      <c r="AF7145">
        <v>-2.6165069043408198</v>
      </c>
      <c r="AG7145">
        <v>-1.122904948123</v>
      </c>
      <c r="AH7145">
        <v>8.9519820904855791</v>
      </c>
      <c r="AI7145">
        <v>96.865311958174203</v>
      </c>
      <c r="AJ7145">
        <v>106.292712933705</v>
      </c>
      <c r="AK7145">
        <v>9.3938813730724195</v>
      </c>
      <c r="AL7145">
        <v>93.199494108904503</v>
      </c>
      <c r="AM7145">
        <v>95.345487055073207</v>
      </c>
      <c r="AN7145">
        <v>1.00000001266853</v>
      </c>
    </row>
    <row r="7146" spans="1:40" x14ac:dyDescent="0.25">
      <c r="A7146" t="str">
        <f>"20190303153949563"</f>
        <v>20190303153949563</v>
      </c>
      <c r="B7146" t="str">
        <f>"1551598789555796"</f>
        <v>1551598789555796</v>
      </c>
      <c r="C7146" t="s">
        <v>40</v>
      </c>
      <c r="D7146">
        <v>4.927848</v>
      </c>
      <c r="E7146">
        <v>0.44841940000000002</v>
      </c>
      <c r="F7146" t="s">
        <v>63</v>
      </c>
      <c r="G7146">
        <v>-402.51940000000002</v>
      </c>
      <c r="H7146" s="1">
        <v>-4.9906740000000001E-6</v>
      </c>
      <c r="I7146">
        <v>19.74024</v>
      </c>
      <c r="J7146">
        <v>-411.7749</v>
      </c>
      <c r="K7146">
        <v>1.122852</v>
      </c>
      <c r="L7146">
        <v>21.668330000000001</v>
      </c>
      <c r="M7146">
        <v>0.88245269999999998</v>
      </c>
      <c r="N7146">
        <v>-1.364574E-2</v>
      </c>
      <c r="O7146">
        <v>-0.4702035</v>
      </c>
      <c r="P7146">
        <v>0.92074840000000002</v>
      </c>
      <c r="Q7146">
        <v>-6.853244E-2</v>
      </c>
      <c r="R7146">
        <v>-0.38409159999999998</v>
      </c>
      <c r="S7146">
        <v>2.9711910000000001</v>
      </c>
      <c r="T7146">
        <v>-0.35649189999999997</v>
      </c>
      <c r="U7146">
        <v>-0.62872309999999998</v>
      </c>
      <c r="V7146">
        <v>-9.3790960000000007E-2</v>
      </c>
      <c r="W7146">
        <v>-5.5337869999999997E-2</v>
      </c>
      <c r="X7146">
        <v>0.99405279999999996</v>
      </c>
      <c r="Y7146">
        <v>-0.2730553</v>
      </c>
      <c r="Z7146">
        <v>6.4633949999999996E-2</v>
      </c>
      <c r="AA7146">
        <v>0.95982460000000003</v>
      </c>
      <c r="AB7146">
        <v>19</v>
      </c>
      <c r="AC7146">
        <v>9.2554999999999801</v>
      </c>
      <c r="AD7146">
        <v>-1.122856990674</v>
      </c>
      <c r="AE7146">
        <v>-1.9280899999999901</v>
      </c>
      <c r="AF7146">
        <v>-2.6138954117532398</v>
      </c>
      <c r="AG7146">
        <v>-1.122856990674</v>
      </c>
      <c r="AH7146">
        <v>8.9487493376757001</v>
      </c>
      <c r="AI7146">
        <v>96.867818906405205</v>
      </c>
      <c r="AJ7146">
        <v>106.282881516244</v>
      </c>
      <c r="AK7146">
        <v>9.3900677182670709</v>
      </c>
      <c r="AL7146">
        <v>93.172246867259105</v>
      </c>
      <c r="AM7146">
        <v>95.390019827595694</v>
      </c>
      <c r="AN7146">
        <v>0.99999999661084904</v>
      </c>
    </row>
    <row r="7147" spans="1:40" x14ac:dyDescent="0.25">
      <c r="A7147" t="str">
        <f>"20190303153949580"</f>
        <v>20190303153949580</v>
      </c>
      <c r="B7147" t="str">
        <f>"1551598789575316"</f>
        <v>1551598789575316</v>
      </c>
      <c r="C7147" t="s">
        <v>40</v>
      </c>
      <c r="D7147">
        <v>4.8471320000000002</v>
      </c>
      <c r="E7147">
        <v>0.46241910000000003</v>
      </c>
      <c r="F7147" t="s">
        <v>63</v>
      </c>
      <c r="G7147">
        <v>-400.81259999999997</v>
      </c>
      <c r="H7147" s="1">
        <v>-7.3428199999999898E-6</v>
      </c>
      <c r="I7147">
        <v>18.773420000000002</v>
      </c>
      <c r="J7147">
        <v>-411.65750000000003</v>
      </c>
      <c r="K7147">
        <v>1.122806</v>
      </c>
      <c r="L7147">
        <v>21.609100000000002</v>
      </c>
      <c r="M7147">
        <v>0.88361669999999903</v>
      </c>
      <c r="N7147">
        <v>-1.362944E-2</v>
      </c>
      <c r="O7147">
        <v>-0.4680126</v>
      </c>
      <c r="P7147">
        <v>0.92240009999999995</v>
      </c>
      <c r="Q7147">
        <v>-6.6503549999999995E-2</v>
      </c>
      <c r="R7147">
        <v>-0.38046770000000002</v>
      </c>
      <c r="S7147">
        <v>2.9149479999999999</v>
      </c>
      <c r="T7147">
        <v>-0.29857539999999999</v>
      </c>
      <c r="U7147">
        <v>-0.7697754</v>
      </c>
      <c r="V7147">
        <v>-9.5316250000000005E-2</v>
      </c>
      <c r="W7147">
        <v>-5.332017E-2</v>
      </c>
      <c r="X7147">
        <v>0.99401799999999996</v>
      </c>
      <c r="Y7147">
        <v>-0.2241843</v>
      </c>
      <c r="Z7147">
        <v>5.1136420000000002E-2</v>
      </c>
      <c r="AA7147">
        <v>0.97320430000000002</v>
      </c>
      <c r="AB7147">
        <v>19</v>
      </c>
      <c r="AC7147">
        <v>10.844900000000001</v>
      </c>
      <c r="AD7147">
        <v>-1.12281334282</v>
      </c>
      <c r="AE7147">
        <v>-2.83568</v>
      </c>
      <c r="AF7147">
        <v>-2.54460363875832</v>
      </c>
      <c r="AG7147">
        <v>-1.12281334282</v>
      </c>
      <c r="AH7147">
        <v>10.802497653719399</v>
      </c>
      <c r="AI7147">
        <v>95.777026091147107</v>
      </c>
      <c r="AJ7147">
        <v>103.254789474652</v>
      </c>
      <c r="AK7147">
        <v>11.1548049306032</v>
      </c>
      <c r="AL7147">
        <v>93.056470131424703</v>
      </c>
      <c r="AM7147">
        <v>95.477337628312398</v>
      </c>
      <c r="AN7147">
        <v>1.00000000618344</v>
      </c>
    </row>
    <row r="7148" spans="1:40" x14ac:dyDescent="0.25">
      <c r="A7148" t="str">
        <f>"20190303153949591"</f>
        <v>20190303153949591</v>
      </c>
      <c r="B7148" t="str">
        <f>"1551598789585584"</f>
        <v>1551598789585584</v>
      </c>
      <c r="C7148" t="s">
        <v>40</v>
      </c>
      <c r="D7148">
        <v>4.8580959999999997</v>
      </c>
      <c r="E7148">
        <v>0.46588760000000001</v>
      </c>
      <c r="F7148" t="s">
        <v>42</v>
      </c>
      <c r="G7148">
        <v>-399.71710000000002</v>
      </c>
      <c r="H7148" s="1">
        <v>-5.1457820000000003E-7</v>
      </c>
      <c r="I7148">
        <v>18.03135</v>
      </c>
      <c r="J7148">
        <v>-411.56970000000001</v>
      </c>
      <c r="K7148">
        <v>1.1227799999999999</v>
      </c>
      <c r="L7148">
        <v>21.564969999999999</v>
      </c>
      <c r="M7148">
        <v>0.88446749999999996</v>
      </c>
      <c r="N7148">
        <v>-1.361798E-2</v>
      </c>
      <c r="O7148">
        <v>-0.46640330000000002</v>
      </c>
      <c r="P7148">
        <v>0.92340420000000001</v>
      </c>
      <c r="Q7148">
        <v>-6.5499420000000003E-2</v>
      </c>
      <c r="R7148">
        <v>-0.37819970000000003</v>
      </c>
      <c r="S7148">
        <v>2.8772579999999999</v>
      </c>
      <c r="T7148">
        <v>-0.27056039999999998</v>
      </c>
      <c r="U7148">
        <v>-0.86212160000000004</v>
      </c>
      <c r="V7148">
        <v>-9.5989619999999998E-2</v>
      </c>
      <c r="W7148">
        <v>-5.2322939999999998E-2</v>
      </c>
      <c r="X7148">
        <v>0.99400619999999995</v>
      </c>
      <c r="Y7148">
        <v>-0.190863</v>
      </c>
      <c r="Z7148">
        <v>4.4394469999999998E-2</v>
      </c>
      <c r="AA7148">
        <v>0.98061229999999999</v>
      </c>
      <c r="AB7148">
        <v>19</v>
      </c>
      <c r="AC7148">
        <v>11.852599999999899</v>
      </c>
      <c r="AD7148">
        <v>-1.1227805145781999</v>
      </c>
      <c r="AE7148">
        <v>-3.53362</v>
      </c>
      <c r="AF7148">
        <v>-2.3833013622625598</v>
      </c>
      <c r="AG7148">
        <v>-1.1227805145781999</v>
      </c>
      <c r="AH7148">
        <v>12.0332883029955</v>
      </c>
      <c r="AI7148">
        <v>95.229612516853706</v>
      </c>
      <c r="AJ7148">
        <v>101.202960350452</v>
      </c>
      <c r="AK7148">
        <v>12.3183111200476</v>
      </c>
      <c r="AL7148">
        <v>92.999253166729403</v>
      </c>
      <c r="AM7148">
        <v>95.515860030497507</v>
      </c>
      <c r="AN7148">
        <v>1.0000000114182099</v>
      </c>
    </row>
    <row r="7149" spans="1:40" x14ac:dyDescent="0.25">
      <c r="A7149" t="str">
        <f>"20190303153949601"</f>
        <v>20190303153949601</v>
      </c>
      <c r="B7149" t="str">
        <f>"1551598789595343"</f>
        <v>1551598789595343</v>
      </c>
      <c r="C7149" t="s">
        <v>40</v>
      </c>
      <c r="D7149">
        <v>4.847963</v>
      </c>
      <c r="E7149">
        <v>0.46814650000000002</v>
      </c>
      <c r="F7149" t="s">
        <v>42</v>
      </c>
      <c r="G7149">
        <v>-399.28859999999997</v>
      </c>
      <c r="H7149" s="1">
        <v>-7.4192729999999997E-7</v>
      </c>
      <c r="I7149">
        <v>17.795289999999898</v>
      </c>
      <c r="J7149">
        <v>-411.48790000000002</v>
      </c>
      <c r="K7149">
        <v>1.122765</v>
      </c>
      <c r="L7149">
        <v>21.524049999999999</v>
      </c>
      <c r="M7149">
        <v>0.88523609999999897</v>
      </c>
      <c r="N7149">
        <v>-1.36083E-2</v>
      </c>
      <c r="O7149">
        <v>-0.4649432</v>
      </c>
      <c r="P7149">
        <v>0.92420400000000003</v>
      </c>
      <c r="Q7149">
        <v>-6.4671950000000006E-2</v>
      </c>
      <c r="R7149">
        <v>-0.37638329999999998</v>
      </c>
      <c r="S7149">
        <v>2.869507</v>
      </c>
      <c r="T7149">
        <v>-0.2623413</v>
      </c>
      <c r="U7149">
        <v>-0.88079830000000003</v>
      </c>
      <c r="V7149">
        <v>-9.6335950000000004E-2</v>
      </c>
      <c r="W7149">
        <v>-5.1501779999999997E-2</v>
      </c>
      <c r="X7149">
        <v>0.9940156</v>
      </c>
      <c r="Y7149">
        <v>-0.18282970000000001</v>
      </c>
      <c r="Z7149">
        <v>4.2461390000000002E-2</v>
      </c>
      <c r="AA7149">
        <v>0.98222730000000003</v>
      </c>
      <c r="AB7149">
        <v>19</v>
      </c>
      <c r="AC7149">
        <v>12.199299999999999</v>
      </c>
      <c r="AD7149">
        <v>-1.1227657419273001</v>
      </c>
      <c r="AE7149">
        <v>-3.7287599999999999</v>
      </c>
      <c r="AF7149">
        <v>-2.3531386357953998</v>
      </c>
      <c r="AG7149">
        <v>-1.1227657419273001</v>
      </c>
      <c r="AH7149">
        <v>12.437728949016501</v>
      </c>
      <c r="AI7149">
        <v>95.0687272247675</v>
      </c>
      <c r="AJ7149">
        <v>100.71336665517001</v>
      </c>
      <c r="AK7149">
        <v>12.7080669560607</v>
      </c>
      <c r="AL7149">
        <v>92.952140581846194</v>
      </c>
      <c r="AM7149">
        <v>95.535585804992095</v>
      </c>
      <c r="AN7149">
        <v>1.0000000308244601</v>
      </c>
    </row>
    <row r="7150" spans="1:40" x14ac:dyDescent="0.25">
      <c r="A7150" t="str">
        <f>"20190303153949613"</f>
        <v>20190303153949613</v>
      </c>
      <c r="B7150" t="str">
        <f>"1551598789606079"</f>
        <v>1551598789606079</v>
      </c>
      <c r="C7150" t="s">
        <v>40</v>
      </c>
      <c r="D7150">
        <v>4.8491600000000004</v>
      </c>
      <c r="E7150">
        <v>0.46987099999999998</v>
      </c>
      <c r="F7150" t="s">
        <v>42</v>
      </c>
      <c r="G7150">
        <v>-398.98759999999999</v>
      </c>
      <c r="H7150" s="1">
        <v>-9.0087700000000003E-7</v>
      </c>
      <c r="I7150">
        <v>17.632339999999999</v>
      </c>
      <c r="J7150">
        <v>-411.40010000000001</v>
      </c>
      <c r="K7150">
        <v>1.122757</v>
      </c>
      <c r="L7150">
        <v>21.48019</v>
      </c>
      <c r="M7150">
        <v>0.88605370000000006</v>
      </c>
      <c r="N7150">
        <v>-1.3598549999999999E-2</v>
      </c>
      <c r="O7150">
        <v>-0.46338309999999999</v>
      </c>
      <c r="P7150">
        <v>0.92491950000000001</v>
      </c>
      <c r="Q7150">
        <v>-6.3877619999999996E-2</v>
      </c>
      <c r="R7150">
        <v>-0.37475849999999999</v>
      </c>
      <c r="S7150">
        <v>2.8648380000000002</v>
      </c>
      <c r="T7150">
        <v>-0.25731710000000002</v>
      </c>
      <c r="U7150">
        <v>-0.89190669999999905</v>
      </c>
      <c r="V7150">
        <v>-9.6362580000000003E-2</v>
      </c>
      <c r="W7150">
        <v>-5.0713029999999999E-2</v>
      </c>
      <c r="X7150">
        <v>0.99405350000000003</v>
      </c>
      <c r="Y7150">
        <v>-0.1772706</v>
      </c>
      <c r="Z7150">
        <v>4.1218579999999998E-2</v>
      </c>
      <c r="AA7150">
        <v>0.98329860000000002</v>
      </c>
      <c r="AB7150">
        <v>19</v>
      </c>
      <c r="AC7150">
        <v>12.4125</v>
      </c>
      <c r="AD7150">
        <v>-1.1227579008769999</v>
      </c>
      <c r="AE7150">
        <v>-3.8478500000000002</v>
      </c>
      <c r="AF7150">
        <v>-2.3252010339915499</v>
      </c>
      <c r="AG7150">
        <v>-1.1227579008769999</v>
      </c>
      <c r="AH7150">
        <v>12.6876446273242</v>
      </c>
      <c r="AI7150">
        <v>94.974634895666298</v>
      </c>
      <c r="AJ7150">
        <v>100.385069180266</v>
      </c>
      <c r="AK7150">
        <v>12.947720700637801</v>
      </c>
      <c r="AL7150">
        <v>92.906889607401695</v>
      </c>
      <c r="AM7150">
        <v>95.536896690407104</v>
      </c>
      <c r="AN7150">
        <v>0.999999959549142</v>
      </c>
    </row>
    <row r="7151" spans="1:40" x14ac:dyDescent="0.25">
      <c r="A7151" t="str">
        <f>"20190303153949624"</f>
        <v>20190303153949624</v>
      </c>
      <c r="B7151" t="str">
        <f>"1551598789615840"</f>
        <v>1551598789615840</v>
      </c>
      <c r="C7151" t="s">
        <v>40</v>
      </c>
      <c r="D7151">
        <v>4.8852960000000003</v>
      </c>
      <c r="E7151">
        <v>0.47111419999999998</v>
      </c>
      <c r="F7151" t="s">
        <v>42</v>
      </c>
      <c r="G7151">
        <v>-398.77659999999997</v>
      </c>
      <c r="H7151" s="1">
        <v>-1.014062E-6</v>
      </c>
      <c r="I7151">
        <v>17.51155</v>
      </c>
      <c r="J7151">
        <v>-411.31889999999999</v>
      </c>
      <c r="K7151">
        <v>1.1227529999999999</v>
      </c>
      <c r="L7151">
        <v>21.43985</v>
      </c>
      <c r="M7151">
        <v>0.88679730000000001</v>
      </c>
      <c r="N7151">
        <v>-1.359049E-2</v>
      </c>
      <c r="O7151">
        <v>-0.46195890000000001</v>
      </c>
      <c r="P7151">
        <v>0.92552160000000006</v>
      </c>
      <c r="Q7151">
        <v>-6.3501039999999995E-2</v>
      </c>
      <c r="R7151">
        <v>-0.37333359999999999</v>
      </c>
      <c r="S7151">
        <v>2.86145</v>
      </c>
      <c r="T7151">
        <v>-0.25450270000000003</v>
      </c>
      <c r="U7151">
        <v>-0.89959719999999999</v>
      </c>
      <c r="V7151">
        <v>-9.6310359999999998E-2</v>
      </c>
      <c r="W7151">
        <v>-5.0342369999999997E-2</v>
      </c>
      <c r="X7151">
        <v>0.9940774</v>
      </c>
      <c r="Y7151">
        <v>-0.17301029999999901</v>
      </c>
      <c r="Z7151">
        <v>4.044507E-2</v>
      </c>
      <c r="AA7151">
        <v>0.98408929999999994</v>
      </c>
      <c r="AB7151">
        <v>19</v>
      </c>
      <c r="AC7151">
        <v>12.542299999999999</v>
      </c>
      <c r="AD7151">
        <v>-1.122754014062</v>
      </c>
      <c r="AE7151">
        <v>-3.9283000000000001</v>
      </c>
      <c r="AF7151">
        <v>-2.2938947688461999</v>
      </c>
      <c r="AG7151">
        <v>-1.122754014062</v>
      </c>
      <c r="AH7151">
        <v>12.844650828477899</v>
      </c>
      <c r="AI7151">
        <v>94.918118990246398</v>
      </c>
      <c r="AJ7151">
        <v>100.125567000765</v>
      </c>
      <c r="AK7151">
        <v>13.096090435399001</v>
      </c>
      <c r="AL7151">
        <v>92.885625194137603</v>
      </c>
      <c r="AM7151">
        <v>95.533782589886997</v>
      </c>
      <c r="AN7151">
        <v>0.99999995842565204</v>
      </c>
    </row>
    <row r="7152" spans="1:40" x14ac:dyDescent="0.25">
      <c r="A7152" t="str">
        <f>"20190303153949636"</f>
        <v>20190303153949636</v>
      </c>
      <c r="B7152" t="str">
        <f>"1551598789625599"</f>
        <v>1551598789625599</v>
      </c>
      <c r="C7152" t="s">
        <v>40</v>
      </c>
      <c r="D7152">
        <v>4.8697470000000003</v>
      </c>
      <c r="E7152">
        <v>0.47235670000000002</v>
      </c>
      <c r="F7152" t="s">
        <v>42</v>
      </c>
      <c r="G7152">
        <v>-398.44900000000001</v>
      </c>
      <c r="H7152" s="1">
        <v>-1.177731E-6</v>
      </c>
      <c r="I7152">
        <v>17.369119999999999</v>
      </c>
      <c r="J7152">
        <v>-411.2296</v>
      </c>
      <c r="K7152">
        <v>1.122754</v>
      </c>
      <c r="L7152">
        <v>21.395659999999999</v>
      </c>
      <c r="M7152">
        <v>0.88760810000000001</v>
      </c>
      <c r="N7152">
        <v>-1.358259E-2</v>
      </c>
      <c r="O7152">
        <v>-0.46039930000000001</v>
      </c>
      <c r="P7152">
        <v>0.9260505</v>
      </c>
      <c r="Q7152">
        <v>-6.3055009999999995E-2</v>
      </c>
      <c r="R7152">
        <v>-0.37209500000000001</v>
      </c>
      <c r="S7152">
        <v>2.859467</v>
      </c>
      <c r="T7152">
        <v>-0.2494575</v>
      </c>
      <c r="U7152">
        <v>-0.90444950000000002</v>
      </c>
      <c r="V7152">
        <v>-9.590862E-2</v>
      </c>
      <c r="W7152">
        <v>-4.9901920000000002E-2</v>
      </c>
      <c r="X7152">
        <v>0.99413850000000004</v>
      </c>
      <c r="Y7152">
        <v>-0.16965259999999999</v>
      </c>
      <c r="Z7152">
        <v>3.9303780000000003E-2</v>
      </c>
      <c r="AA7152">
        <v>0.98471989999999998</v>
      </c>
      <c r="AB7152">
        <v>19</v>
      </c>
      <c r="AC7152">
        <v>12.7805999999999</v>
      </c>
      <c r="AD7152">
        <v>-1.1227551777310001</v>
      </c>
      <c r="AE7152">
        <v>-4.02653999999999</v>
      </c>
      <c r="AF7152">
        <v>-2.2942956258645499</v>
      </c>
      <c r="AG7152">
        <v>-1.1227551777310001</v>
      </c>
      <c r="AH7152">
        <v>13.1071779297706</v>
      </c>
      <c r="AI7152">
        <v>94.823004367025106</v>
      </c>
      <c r="AJ7152">
        <v>99.928533694329005</v>
      </c>
      <c r="AK7152">
        <v>13.3537442273936</v>
      </c>
      <c r="AL7152">
        <v>92.8603573569399</v>
      </c>
      <c r="AM7152">
        <v>95.510505268792798</v>
      </c>
      <c r="AN7152">
        <v>1.00000001109612</v>
      </c>
    </row>
    <row r="7153" spans="1:40" x14ac:dyDescent="0.25">
      <c r="A7153" t="str">
        <f>"20190303153949647"</f>
        <v>20190303153949647</v>
      </c>
      <c r="B7153" t="str">
        <f>"1551598789635359"</f>
        <v>1551598789635359</v>
      </c>
      <c r="C7153" t="s">
        <v>40</v>
      </c>
      <c r="D7153">
        <v>4.8447559999999896</v>
      </c>
      <c r="E7153">
        <v>0.47342200000000001</v>
      </c>
      <c r="F7153" t="s">
        <v>42</v>
      </c>
      <c r="G7153">
        <v>-398.19420000000002</v>
      </c>
      <c r="H7153" s="1">
        <v>-1.3086719999999999E-6</v>
      </c>
      <c r="I7153">
        <v>17.24475</v>
      </c>
      <c r="J7153">
        <v>-411.14359999999999</v>
      </c>
      <c r="K7153">
        <v>1.122763</v>
      </c>
      <c r="L7153">
        <v>21.35324</v>
      </c>
      <c r="M7153">
        <v>0.88838289999999998</v>
      </c>
      <c r="N7153">
        <v>-1.35756E-2</v>
      </c>
      <c r="O7153">
        <v>-0.4589027</v>
      </c>
      <c r="P7153">
        <v>0.92652319999999999</v>
      </c>
      <c r="Q7153">
        <v>-6.2959669999999995E-2</v>
      </c>
      <c r="R7153">
        <v>-0.3709324</v>
      </c>
      <c r="S7153">
        <v>2.8572690000000001</v>
      </c>
      <c r="T7153">
        <v>-0.2461004</v>
      </c>
      <c r="U7153">
        <v>-0.90985110000000002</v>
      </c>
      <c r="V7153">
        <v>-9.5483819999999997E-2</v>
      </c>
      <c r="W7153">
        <v>-4.9812580000000002E-2</v>
      </c>
      <c r="X7153">
        <v>0.99418379999999995</v>
      </c>
      <c r="Y7153">
        <v>-0.16614429999999999</v>
      </c>
      <c r="Z7153">
        <v>3.8468040000000002E-2</v>
      </c>
      <c r="AA7153">
        <v>0.98535079999999997</v>
      </c>
      <c r="AB7153">
        <v>19</v>
      </c>
      <c r="AC7153">
        <v>12.949399999999899</v>
      </c>
      <c r="AD7153">
        <v>-1.1227643086720001</v>
      </c>
      <c r="AE7153">
        <v>-4.1084899999999998</v>
      </c>
      <c r="AF7153">
        <v>-2.2772596654260799</v>
      </c>
      <c r="AG7153">
        <v>-1.1227643086720001</v>
      </c>
      <c r="AH7153">
        <v>13.2998171460534</v>
      </c>
      <c r="AI7153">
        <v>94.756543533836194</v>
      </c>
      <c r="AJ7153">
        <v>99.716240986106698</v>
      </c>
      <c r="AK7153">
        <v>13.5400017501868</v>
      </c>
      <c r="AL7153">
        <v>92.855232379608395</v>
      </c>
      <c r="AM7153">
        <v>95.485998836714899</v>
      </c>
      <c r="AN7153">
        <v>0.999999940595242</v>
      </c>
    </row>
    <row r="7154" spans="1:40" x14ac:dyDescent="0.25">
      <c r="A7154" t="str">
        <f>"20190303153949658"</f>
        <v>20190303153949658</v>
      </c>
      <c r="B7154" t="str">
        <f>"1551598789646095"</f>
        <v>1551598789646095</v>
      </c>
      <c r="C7154" t="s">
        <v>40</v>
      </c>
      <c r="D7154">
        <v>4.8759579999999998</v>
      </c>
      <c r="E7154">
        <v>0.4744544</v>
      </c>
      <c r="F7154" t="s">
        <v>42</v>
      </c>
      <c r="G7154">
        <v>-398.137</v>
      </c>
      <c r="H7154" s="1">
        <v>-1.345498E-6</v>
      </c>
      <c r="I7154">
        <v>17.18901</v>
      </c>
      <c r="J7154">
        <v>-411.05950000000001</v>
      </c>
      <c r="K7154">
        <v>1.1227750000000001</v>
      </c>
      <c r="L7154">
        <v>21.31195</v>
      </c>
      <c r="M7154">
        <v>0.88913729999999902</v>
      </c>
      <c r="N7154">
        <v>-1.3569799999999899E-2</v>
      </c>
      <c r="O7154">
        <v>-0.4574395</v>
      </c>
      <c r="P7154">
        <v>0.92702059999999997</v>
      </c>
      <c r="Q7154">
        <v>-6.2826530000000005E-2</v>
      </c>
      <c r="R7154">
        <v>-0.3697105</v>
      </c>
      <c r="S7154">
        <v>2.855194</v>
      </c>
      <c r="T7154">
        <v>-0.24646680000000001</v>
      </c>
      <c r="U7154">
        <v>-0.91412349999999998</v>
      </c>
      <c r="V7154">
        <v>-9.5161579999999996E-2</v>
      </c>
      <c r="W7154">
        <v>-4.9686510000000003E-2</v>
      </c>
      <c r="X7154">
        <v>0.99422109999999997</v>
      </c>
      <c r="Y7154">
        <v>-0.16298289999999999</v>
      </c>
      <c r="Z7154">
        <v>3.8313489999999999E-2</v>
      </c>
      <c r="AA7154">
        <v>0.98588469999999995</v>
      </c>
      <c r="AB7154">
        <v>19</v>
      </c>
      <c r="AC7154">
        <v>12.922499999999999</v>
      </c>
      <c r="AD7154">
        <v>-1.122776345498</v>
      </c>
      <c r="AE7154">
        <v>-4.1229399999999998</v>
      </c>
      <c r="AF7154">
        <v>-2.23032741462647</v>
      </c>
      <c r="AG7154">
        <v>-1.122776345498</v>
      </c>
      <c r="AH7154">
        <v>13.286071803327699</v>
      </c>
      <c r="AI7154">
        <v>94.764114334175403</v>
      </c>
      <c r="AJ7154">
        <v>99.529368711323997</v>
      </c>
      <c r="AK7154">
        <v>13.5186793386641</v>
      </c>
      <c r="AL7154">
        <v>92.847999873857205</v>
      </c>
      <c r="AM7154">
        <v>95.467393117277496</v>
      </c>
      <c r="AN7154">
        <v>1.0000000356346399</v>
      </c>
    </row>
    <row r="7155" spans="1:40" x14ac:dyDescent="0.25">
      <c r="A7155" t="str">
        <f>"20190303153949670"</f>
        <v>20190303153949670</v>
      </c>
      <c r="B7155" t="str">
        <f>"1551598789665616"</f>
        <v>1551598789665616</v>
      </c>
      <c r="C7155" t="s">
        <v>40</v>
      </c>
      <c r="D7155">
        <v>4.8602740000000004</v>
      </c>
      <c r="E7155">
        <v>0.4762246</v>
      </c>
      <c r="F7155" t="s">
        <v>42</v>
      </c>
      <c r="G7155">
        <v>-398.01389999999998</v>
      </c>
      <c r="H7155" s="1">
        <v>-1.4124119999999999E-6</v>
      </c>
      <c r="I7155">
        <v>17.115200000000002</v>
      </c>
      <c r="J7155">
        <v>-410.97730000000001</v>
      </c>
      <c r="K7155">
        <v>1.122787</v>
      </c>
      <c r="L7155">
        <v>21.271730000000002</v>
      </c>
      <c r="M7155">
        <v>0.88987209999999894</v>
      </c>
      <c r="N7155">
        <v>-1.356432E-2</v>
      </c>
      <c r="O7155">
        <v>-0.45600859999999899</v>
      </c>
      <c r="P7155">
        <v>0.92739769999999999</v>
      </c>
      <c r="Q7155">
        <v>-6.2767219999999999E-2</v>
      </c>
      <c r="R7155">
        <v>-0.36877339999999997</v>
      </c>
      <c r="S7155">
        <v>2.853424</v>
      </c>
      <c r="T7155">
        <v>-0.2455803</v>
      </c>
      <c r="U7155">
        <v>-0.91793820000000004</v>
      </c>
      <c r="V7155">
        <v>-9.4566830000000004E-2</v>
      </c>
      <c r="W7155">
        <v>-4.9632950000000002E-2</v>
      </c>
      <c r="X7155">
        <v>0.99428050000000001</v>
      </c>
      <c r="Y7155">
        <v>-0.1600472</v>
      </c>
      <c r="Z7155">
        <v>3.7948139999999998E-2</v>
      </c>
      <c r="AA7155">
        <v>0.98637969999999997</v>
      </c>
      <c r="AB7155">
        <v>19</v>
      </c>
      <c r="AC7155">
        <v>12.9634</v>
      </c>
      <c r="AD7155">
        <v>-1.122788412412</v>
      </c>
      <c r="AE7155">
        <v>-4.1565299999999903</v>
      </c>
      <c r="AF7155">
        <v>-2.1978943522128098</v>
      </c>
      <c r="AG7155">
        <v>-1.122788412412</v>
      </c>
      <c r="AH7155">
        <v>13.341661396002101</v>
      </c>
      <c r="AI7155">
        <v>94.746798741074002</v>
      </c>
      <c r="AJ7155">
        <v>99.354836641410699</v>
      </c>
      <c r="AK7155">
        <v>13.568025729932399</v>
      </c>
      <c r="AL7155">
        <v>92.844927383049793</v>
      </c>
      <c r="AM7155">
        <v>95.433104950016997</v>
      </c>
      <c r="AN7155">
        <v>1.0000000138711</v>
      </c>
    </row>
    <row r="7156" spans="1:40" x14ac:dyDescent="0.25">
      <c r="A7156" t="str">
        <f>"20190303153949681"</f>
        <v>20190303153949681</v>
      </c>
      <c r="B7156" t="str">
        <f>"1551598789675376"</f>
        <v>1551598789675376</v>
      </c>
      <c r="C7156" t="s">
        <v>40</v>
      </c>
      <c r="D7156">
        <v>4.8836539999999999</v>
      </c>
      <c r="E7156">
        <v>0.47696539999999998</v>
      </c>
      <c r="F7156" t="s">
        <v>42</v>
      </c>
      <c r="G7156">
        <v>-397.92340000000002</v>
      </c>
      <c r="H7156" s="1">
        <v>-1.472819E-6</v>
      </c>
      <c r="I7156">
        <v>17.01867</v>
      </c>
      <c r="J7156">
        <v>-410.90039999999999</v>
      </c>
      <c r="K7156">
        <v>1.1228</v>
      </c>
      <c r="L7156">
        <v>21.234249999999999</v>
      </c>
      <c r="M7156">
        <v>0.89056199999999996</v>
      </c>
      <c r="N7156">
        <v>-1.3560050000000001E-2</v>
      </c>
      <c r="O7156">
        <v>-0.4546597</v>
      </c>
      <c r="P7156">
        <v>0.92774959999999995</v>
      </c>
      <c r="Q7156">
        <v>-6.3057740000000001E-2</v>
      </c>
      <c r="R7156">
        <v>-0.36783759999999999</v>
      </c>
      <c r="S7156">
        <v>2.8491819999999999</v>
      </c>
      <c r="T7156">
        <v>-0.24506310000000001</v>
      </c>
      <c r="U7156">
        <v>-0.92828370000000004</v>
      </c>
      <c r="V7156">
        <v>-9.4051969999999999E-2</v>
      </c>
      <c r="W7156">
        <v>-4.9929689999999999E-2</v>
      </c>
      <c r="X7156">
        <v>0.99431449999999999</v>
      </c>
      <c r="Y7156">
        <v>-0.1549063</v>
      </c>
      <c r="Z7156">
        <v>3.7562650000000003E-2</v>
      </c>
      <c r="AA7156">
        <v>0.98721479999999995</v>
      </c>
      <c r="AB7156">
        <v>19</v>
      </c>
      <c r="AC7156">
        <v>12.976999999999901</v>
      </c>
      <c r="AD7156">
        <v>-1.1228014728189999</v>
      </c>
      <c r="AE7156">
        <v>-4.2155799999999903</v>
      </c>
      <c r="AF7156">
        <v>-2.1316463536073198</v>
      </c>
      <c r="AG7156">
        <v>-1.1228014728189999</v>
      </c>
      <c r="AH7156">
        <v>13.384085411208</v>
      </c>
      <c r="AI7156">
        <v>94.735946407301697</v>
      </c>
      <c r="AJ7156">
        <v>99.049336198937297</v>
      </c>
      <c r="AK7156">
        <v>13.599203712671001</v>
      </c>
      <c r="AL7156">
        <v>92.861950375407602</v>
      </c>
      <c r="AM7156">
        <v>95.403516819523801</v>
      </c>
      <c r="AN7156">
        <v>1.00000003595731</v>
      </c>
    </row>
    <row r="7157" spans="1:40" x14ac:dyDescent="0.25">
      <c r="A7157" t="str">
        <f>"20190303153949692"</f>
        <v>20190303153949692</v>
      </c>
      <c r="B7157" t="str">
        <f>"1551598789685641"</f>
        <v>1551598789685641</v>
      </c>
      <c r="C7157" t="s">
        <v>40</v>
      </c>
      <c r="D7157">
        <v>4.8635710000000003</v>
      </c>
      <c r="E7157">
        <v>0.47760829999999999</v>
      </c>
      <c r="F7157" t="s">
        <v>42</v>
      </c>
      <c r="G7157">
        <v>-397.92140000000001</v>
      </c>
      <c r="H7157" s="1">
        <v>-1.480604E-6</v>
      </c>
      <c r="I7157">
        <v>16.99239</v>
      </c>
      <c r="J7157">
        <v>-410.81299999999999</v>
      </c>
      <c r="K7157">
        <v>1.1228180000000001</v>
      </c>
      <c r="L7157">
        <v>21.191859999999998</v>
      </c>
      <c r="M7157">
        <v>0.89134409999999897</v>
      </c>
      <c r="N7157">
        <v>-1.355399E-2</v>
      </c>
      <c r="O7157">
        <v>-0.45312469999999999</v>
      </c>
      <c r="P7157">
        <v>0.9281161</v>
      </c>
      <c r="Q7157">
        <v>-6.3848530000000001E-2</v>
      </c>
      <c r="R7157">
        <v>-0.36677539999999997</v>
      </c>
      <c r="S7157">
        <v>2.8478699999999999</v>
      </c>
      <c r="T7157">
        <v>-0.24636659999999999</v>
      </c>
      <c r="U7157">
        <v>-0.93075560000000002</v>
      </c>
      <c r="V7157">
        <v>-9.3447479999999999E-2</v>
      </c>
      <c r="W7157">
        <v>-5.0729120000000003E-2</v>
      </c>
      <c r="X7157">
        <v>0.99433099999999996</v>
      </c>
      <c r="Y7157">
        <v>-0.15228910000000001</v>
      </c>
      <c r="Z7157">
        <v>3.7585710000000001E-2</v>
      </c>
      <c r="AA7157">
        <v>0.98762110000000003</v>
      </c>
      <c r="AB7157">
        <v>19</v>
      </c>
      <c r="AC7157">
        <v>12.8916</v>
      </c>
      <c r="AD7157">
        <v>-1.1228194806039999</v>
      </c>
      <c r="AE7157">
        <v>-4.1994699999999998</v>
      </c>
      <c r="AF7157">
        <v>-2.0842284128715698</v>
      </c>
      <c r="AG7157">
        <v>-1.1228194806039999</v>
      </c>
      <c r="AH7157">
        <v>13.303726811021599</v>
      </c>
      <c r="AI7157">
        <v>94.766400158788102</v>
      </c>
      <c r="AJ7157">
        <v>98.903868970739396</v>
      </c>
      <c r="AK7157">
        <v>13.5127302468946</v>
      </c>
      <c r="AL7157">
        <v>92.907812548464804</v>
      </c>
      <c r="AM7157">
        <v>95.3689024084197</v>
      </c>
      <c r="AN7157">
        <v>1.00000000634766</v>
      </c>
    </row>
    <row r="7158" spans="1:40" x14ac:dyDescent="0.25">
      <c r="A7158" t="str">
        <f>"20190303153949703"</f>
        <v>20190303153949703</v>
      </c>
      <c r="B7158" t="str">
        <f>"1551598789695402"</f>
        <v>1551598789695402</v>
      </c>
      <c r="C7158" t="s">
        <v>40</v>
      </c>
      <c r="D7158">
        <v>4.8581000000000003</v>
      </c>
      <c r="E7158">
        <v>0.47810140000000001</v>
      </c>
      <c r="F7158" t="s">
        <v>42</v>
      </c>
      <c r="G7158">
        <v>-397.98289999999997</v>
      </c>
      <c r="H7158" s="1">
        <v>-1.4574349999999999E-6</v>
      </c>
      <c r="I7158">
        <v>16.990649999999999</v>
      </c>
      <c r="J7158">
        <v>-410.7287</v>
      </c>
      <c r="K7158">
        <v>1.1228389999999999</v>
      </c>
      <c r="L7158">
        <v>21.15118</v>
      </c>
      <c r="M7158">
        <v>0.89210429999999996</v>
      </c>
      <c r="N7158">
        <v>-1.354401E-2</v>
      </c>
      <c r="O7158">
        <v>-0.45162679999999999</v>
      </c>
      <c r="P7158">
        <v>0.92852389999999996</v>
      </c>
      <c r="Q7158">
        <v>-6.4767669999999999E-2</v>
      </c>
      <c r="R7158">
        <v>-0.36558030000000002</v>
      </c>
      <c r="S7158">
        <v>2.846832</v>
      </c>
      <c r="T7158">
        <v>-0.2491381</v>
      </c>
      <c r="U7158">
        <v>-0.93218990000000002</v>
      </c>
      <c r="V7158">
        <v>-9.3021969999999995E-2</v>
      </c>
      <c r="W7158">
        <v>-5.1662260000000002E-2</v>
      </c>
      <c r="X7158">
        <v>0.99432279999999995</v>
      </c>
      <c r="Y7158">
        <v>-0.15004479999999901</v>
      </c>
      <c r="Z7158">
        <v>3.7880249999999997E-2</v>
      </c>
      <c r="AA7158">
        <v>0.98795319999999998</v>
      </c>
      <c r="AB7158">
        <v>19</v>
      </c>
      <c r="AC7158">
        <v>12.745799999999999</v>
      </c>
      <c r="AD7158">
        <v>-1.1228404574349999</v>
      </c>
      <c r="AE7158">
        <v>-4.1605299999999996</v>
      </c>
      <c r="AF7158">
        <v>-2.03066353735767</v>
      </c>
      <c r="AG7158">
        <v>-1.1228404574349999</v>
      </c>
      <c r="AH7158">
        <v>13.1585171192886</v>
      </c>
      <c r="AI7158">
        <v>94.820548192496304</v>
      </c>
      <c r="AJ7158">
        <v>98.772857144336697</v>
      </c>
      <c r="AK7158">
        <v>13.3615469865364</v>
      </c>
      <c r="AL7158">
        <v>92.961347894857298</v>
      </c>
      <c r="AM7158">
        <v>95.344640998951704</v>
      </c>
      <c r="AN7158">
        <v>0.99999995330541303</v>
      </c>
    </row>
    <row r="7159" spans="1:40" x14ac:dyDescent="0.25">
      <c r="A7159" t="str">
        <f>"20190303153949714"</f>
        <v>20190303153949714</v>
      </c>
      <c r="B7159" t="str">
        <f>"1551598789706137"</f>
        <v>1551598789706137</v>
      </c>
      <c r="C7159" t="s">
        <v>40</v>
      </c>
      <c r="D7159">
        <v>4.9153769999999897</v>
      </c>
      <c r="E7159">
        <v>0.47832989999999997</v>
      </c>
      <c r="F7159" t="s">
        <v>42</v>
      </c>
      <c r="G7159">
        <v>-398.05829999999997</v>
      </c>
      <c r="H7159" s="1">
        <v>-1.4255269999999901E-6</v>
      </c>
      <c r="I7159">
        <v>17.001719999999999</v>
      </c>
      <c r="J7159">
        <v>-410.6422</v>
      </c>
      <c r="K7159">
        <v>1.1228629999999999</v>
      </c>
      <c r="L7159">
        <v>21.10962</v>
      </c>
      <c r="M7159">
        <v>0.89288789999999996</v>
      </c>
      <c r="N7159">
        <v>-1.351687E-2</v>
      </c>
      <c r="O7159">
        <v>-0.45007639999999999</v>
      </c>
      <c r="P7159">
        <v>0.92897019999999997</v>
      </c>
      <c r="Q7159">
        <v>-6.5260090000000007E-2</v>
      </c>
      <c r="R7159">
        <v>-0.36435689999999998</v>
      </c>
      <c r="S7159">
        <v>2.8463440000000002</v>
      </c>
      <c r="T7159">
        <v>-0.2522413</v>
      </c>
      <c r="U7159">
        <v>-0.93215939999999997</v>
      </c>
      <c r="V7159">
        <v>-9.258371E-2</v>
      </c>
      <c r="W7159">
        <v>-5.2185799999999997E-2</v>
      </c>
      <c r="X7159">
        <v>0.99433640000000001</v>
      </c>
      <c r="Y7159">
        <v>-0.1482521</v>
      </c>
      <c r="Z7159">
        <v>3.8249159999999997E-2</v>
      </c>
      <c r="AA7159">
        <v>0.98820969999999997</v>
      </c>
      <c r="AB7159">
        <v>19</v>
      </c>
      <c r="AC7159">
        <v>12.5839</v>
      </c>
      <c r="AD7159">
        <v>-1.1228644255269999</v>
      </c>
      <c r="AE7159">
        <v>-4.1078999999999901</v>
      </c>
      <c r="AF7159">
        <v>-1.9817450703069399</v>
      </c>
      <c r="AG7159">
        <v>-1.1228644255269999</v>
      </c>
      <c r="AH7159">
        <v>12.9925892817365</v>
      </c>
      <c r="AI7159">
        <v>94.883226102390196</v>
      </c>
      <c r="AJ7159">
        <v>98.672418450097894</v>
      </c>
      <c r="AK7159">
        <v>13.190735926615099</v>
      </c>
      <c r="AL7159">
        <v>92.991384941960504</v>
      </c>
      <c r="AM7159">
        <v>95.319532924849895</v>
      </c>
      <c r="AN7159">
        <v>0.99999998872198104</v>
      </c>
    </row>
    <row r="7160" spans="1:40" x14ac:dyDescent="0.25">
      <c r="A7160" t="str">
        <f>"20190303153949724"</f>
        <v>20190303153949724</v>
      </c>
      <c r="B7160" t="str">
        <f>"1551598789715898"</f>
        <v>1551598789715898</v>
      </c>
      <c r="C7160" t="s">
        <v>40</v>
      </c>
      <c r="D7160">
        <v>4.9806720000000002</v>
      </c>
      <c r="E7160">
        <v>0.47845890000000002</v>
      </c>
      <c r="F7160" t="s">
        <v>42</v>
      </c>
      <c r="G7160">
        <v>-398.18790000000001</v>
      </c>
      <c r="H7160" s="1">
        <v>-1.3656290000000001E-6</v>
      </c>
      <c r="I7160">
        <v>17.039839999999899</v>
      </c>
      <c r="J7160">
        <v>-410.56079999999997</v>
      </c>
      <c r="K7160">
        <v>1.122878</v>
      </c>
      <c r="L7160">
        <v>21.070650000000001</v>
      </c>
      <c r="M7160">
        <v>0.89363179999999998</v>
      </c>
      <c r="N7160">
        <v>-1.347192E-2</v>
      </c>
      <c r="O7160">
        <v>-0.44859880000000002</v>
      </c>
      <c r="P7160">
        <v>0.92950049999999995</v>
      </c>
      <c r="Q7160">
        <v>-6.5714229999999998E-2</v>
      </c>
      <c r="R7160">
        <v>-0.36291960000000001</v>
      </c>
      <c r="S7160">
        <v>2.846527</v>
      </c>
      <c r="T7160">
        <v>-0.25663829999999999</v>
      </c>
      <c r="U7160">
        <v>-0.9301758</v>
      </c>
      <c r="V7160">
        <v>-9.2456559999999993E-2</v>
      </c>
      <c r="W7160">
        <v>-5.269045E-2</v>
      </c>
      <c r="X7160">
        <v>0.99432160000000003</v>
      </c>
      <c r="Y7160">
        <v>-0.1472011</v>
      </c>
      <c r="Z7160">
        <v>3.8878839999999998E-2</v>
      </c>
      <c r="AA7160">
        <v>0.98834219999999895</v>
      </c>
      <c r="AB7160">
        <v>19</v>
      </c>
      <c r="AC7160">
        <v>12.3728999999999</v>
      </c>
      <c r="AD7160">
        <v>-1.1228793656289999</v>
      </c>
      <c r="AE7160">
        <v>-4.0308099999999998</v>
      </c>
      <c r="AF7160">
        <v>-1.93418304935204</v>
      </c>
      <c r="AG7160">
        <v>-1.1228793656289999</v>
      </c>
      <c r="AH7160">
        <v>12.7711076676819</v>
      </c>
      <c r="AI7160">
        <v>94.968350877570799</v>
      </c>
      <c r="AJ7160">
        <v>98.611993721445302</v>
      </c>
      <c r="AK7160">
        <v>12.9654584646158</v>
      </c>
      <c r="AL7160">
        <v>93.020339145281994</v>
      </c>
      <c r="AM7160">
        <v>95.312347777441303</v>
      </c>
      <c r="AN7160">
        <v>0.99999997161739695</v>
      </c>
    </row>
    <row r="7161" spans="1:40" x14ac:dyDescent="0.25">
      <c r="A7161" t="str">
        <f>"20190303153949738"</f>
        <v>20190303153949738</v>
      </c>
      <c r="B7161" t="str">
        <f>"1551598789725659"</f>
        <v>1551598789725659</v>
      </c>
      <c r="C7161" t="s">
        <v>40</v>
      </c>
      <c r="D7161">
        <v>4.9529230000000002</v>
      </c>
      <c r="E7161">
        <v>0.47858790000000001</v>
      </c>
      <c r="F7161" t="s">
        <v>42</v>
      </c>
      <c r="G7161">
        <v>-398.29570000000001</v>
      </c>
      <c r="H7161" s="1">
        <v>-1.3138229999999901E-6</v>
      </c>
      <c r="I7161">
        <v>17.078949999999999</v>
      </c>
      <c r="J7161">
        <v>-410.46460000000002</v>
      </c>
      <c r="K7161">
        <v>1.1228849999999999</v>
      </c>
      <c r="L7161">
        <v>21.024930000000001</v>
      </c>
      <c r="M7161">
        <v>0.89452030000000005</v>
      </c>
      <c r="N7161">
        <v>-1.336237E-2</v>
      </c>
      <c r="O7161">
        <v>-0.44682729999999998</v>
      </c>
      <c r="P7161">
        <v>0.93017939999999999</v>
      </c>
      <c r="Q7161">
        <v>-6.6133440000000002E-2</v>
      </c>
      <c r="R7161">
        <v>-0.36109950000000002</v>
      </c>
      <c r="S7161">
        <v>2.847321</v>
      </c>
      <c r="T7161">
        <v>-0.26067449999999998</v>
      </c>
      <c r="U7161">
        <v>-0.92666630000000005</v>
      </c>
      <c r="V7161">
        <v>-9.2412670000000002E-2</v>
      </c>
      <c r="W7161">
        <v>-5.3226549999999997E-2</v>
      </c>
      <c r="X7161">
        <v>0.99429710000000004</v>
      </c>
      <c r="Y7161">
        <v>-0.1463701</v>
      </c>
      <c r="Z7161">
        <v>3.9453879999999997E-2</v>
      </c>
      <c r="AA7161">
        <v>0.98844279999999995</v>
      </c>
      <c r="AB7161">
        <v>19</v>
      </c>
      <c r="AC7161">
        <v>12.168900000000001</v>
      </c>
      <c r="AD7161">
        <v>-1.1228863138230001</v>
      </c>
      <c r="AE7161">
        <v>-3.9459799999999898</v>
      </c>
      <c r="AF7161">
        <v>-1.89322163823969</v>
      </c>
      <c r="AG7161">
        <v>-1.1228863138230001</v>
      </c>
      <c r="AH7161">
        <v>12.552915866851601</v>
      </c>
      <c r="AI7161">
        <v>95.054765715345496</v>
      </c>
      <c r="AJ7161">
        <v>98.576668008941198</v>
      </c>
      <c r="AK7161">
        <v>12.744444225054499</v>
      </c>
      <c r="AL7161">
        <v>93.051098659082797</v>
      </c>
      <c r="AM7161">
        <v>95.309970463006394</v>
      </c>
      <c r="AN7161">
        <v>0.99999994513491897</v>
      </c>
    </row>
    <row r="7162" spans="1:40" x14ac:dyDescent="0.25">
      <c r="A7162" t="str">
        <f>"20190303153949751"</f>
        <v>20190303153949751</v>
      </c>
      <c r="B7162" t="str">
        <f>"1551598789746153"</f>
        <v>1551598789746153</v>
      </c>
      <c r="C7162" t="s">
        <v>40</v>
      </c>
      <c r="D7162">
        <v>4.9321000000000002</v>
      </c>
      <c r="E7162">
        <v>0.4791842</v>
      </c>
      <c r="F7162" t="s">
        <v>42</v>
      </c>
      <c r="G7162">
        <v>-398.34339999999997</v>
      </c>
      <c r="H7162" s="1">
        <v>-1.2892620000000001E-6</v>
      </c>
      <c r="I7162">
        <v>17.102439999999898</v>
      </c>
      <c r="J7162">
        <v>-410.36829999999998</v>
      </c>
      <c r="K7162">
        <v>1.1228849999999999</v>
      </c>
      <c r="L7162">
        <v>20.979310000000002</v>
      </c>
      <c r="M7162">
        <v>0.89541440000000005</v>
      </c>
      <c r="N7162">
        <v>-1.321665E-2</v>
      </c>
      <c r="O7162">
        <v>-0.44503779999999998</v>
      </c>
      <c r="P7162">
        <v>0.93111239999999995</v>
      </c>
      <c r="Q7162">
        <v>-6.6157099999999996E-2</v>
      </c>
      <c r="R7162">
        <v>-0.35868260000000002</v>
      </c>
      <c r="S7162">
        <v>2.8485719999999999</v>
      </c>
      <c r="T7162">
        <v>-0.26388679999999998</v>
      </c>
      <c r="U7162">
        <v>-0.92181400000000002</v>
      </c>
      <c r="V7162">
        <v>-9.2998730000000002E-2</v>
      </c>
      <c r="W7162">
        <v>-5.3406460000000003E-2</v>
      </c>
      <c r="X7162">
        <v>0.99423289999999998</v>
      </c>
      <c r="Y7162">
        <v>-0.14599809999999999</v>
      </c>
      <c r="Z7162">
        <v>3.9916409999999999E-2</v>
      </c>
      <c r="AA7162">
        <v>0.98847929999999995</v>
      </c>
      <c r="AB7162">
        <v>19</v>
      </c>
      <c r="AC7162">
        <v>12.024900000000001</v>
      </c>
      <c r="AD7162">
        <v>-1.122886289262</v>
      </c>
      <c r="AE7162">
        <v>-3.8768699999999998</v>
      </c>
      <c r="AF7162">
        <v>-1.8655581080478301</v>
      </c>
      <c r="AG7162">
        <v>-1.122886289262</v>
      </c>
      <c r="AH7162">
        <v>12.395799825718701</v>
      </c>
      <c r="AI7162">
        <v>95.118736305494494</v>
      </c>
      <c r="AJ7162">
        <v>98.558736909592398</v>
      </c>
      <c r="AK7162">
        <v>12.585588345103501</v>
      </c>
      <c r="AL7162">
        <v>93.061421145532506</v>
      </c>
      <c r="AM7162">
        <v>95.343793811748796</v>
      </c>
      <c r="AN7162">
        <v>1.00000003659687</v>
      </c>
    </row>
    <row r="7163" spans="1:40" x14ac:dyDescent="0.25">
      <c r="A7163" t="str">
        <f>"20190303153949763"</f>
        <v>20190303153949763</v>
      </c>
      <c r="B7163" t="str">
        <f>"1551598789755914"</f>
        <v>1551598789755914</v>
      </c>
      <c r="C7163" t="s">
        <v>40</v>
      </c>
      <c r="D7163">
        <v>4.9433259999999999</v>
      </c>
      <c r="E7163">
        <v>0.47951549999999998</v>
      </c>
      <c r="F7163" t="s">
        <v>42</v>
      </c>
      <c r="G7163">
        <v>-398.40179999999998</v>
      </c>
      <c r="H7163" s="1">
        <v>-1.262187E-6</v>
      </c>
      <c r="I7163">
        <v>17.119949999999999</v>
      </c>
      <c r="J7163">
        <v>-410.27199999999999</v>
      </c>
      <c r="K7163">
        <v>1.12287</v>
      </c>
      <c r="L7163">
        <v>20.934049999999999</v>
      </c>
      <c r="M7163">
        <v>0.89632330000000004</v>
      </c>
      <c r="N7163">
        <v>-1.299256E-2</v>
      </c>
      <c r="O7163">
        <v>-0.44321100000000002</v>
      </c>
      <c r="P7163">
        <v>0.93206160000000005</v>
      </c>
      <c r="Q7163">
        <v>-6.591669E-2</v>
      </c>
      <c r="R7163">
        <v>-0.3562535</v>
      </c>
      <c r="S7163">
        <v>2.8489689999999999</v>
      </c>
      <c r="T7163">
        <v>-0.26733309999999999</v>
      </c>
      <c r="U7163">
        <v>-0.91882319999999995</v>
      </c>
      <c r="V7163">
        <v>-9.3564789999999995E-2</v>
      </c>
      <c r="W7163">
        <v>-5.3400139999999999E-2</v>
      </c>
      <c r="X7163">
        <v>0.99418010000000001</v>
      </c>
      <c r="Y7163">
        <v>-0.14491180000000001</v>
      </c>
      <c r="Z7163">
        <v>4.0411009999999997E-2</v>
      </c>
      <c r="AA7163">
        <v>0.98861900000000003</v>
      </c>
      <c r="AB7163">
        <v>19</v>
      </c>
      <c r="AC7163">
        <v>11.870200000000001</v>
      </c>
      <c r="AD7163">
        <v>-1.1228712621870001</v>
      </c>
      <c r="AE7163">
        <v>-3.8140999999999998</v>
      </c>
      <c r="AF7163">
        <v>-1.8276676675805801</v>
      </c>
      <c r="AG7163">
        <v>-1.1228712621870001</v>
      </c>
      <c r="AH7163">
        <v>12.2318154576792</v>
      </c>
      <c r="AI7163">
        <v>95.187736310670999</v>
      </c>
      <c r="AJ7163">
        <v>98.498215826087204</v>
      </c>
      <c r="AK7163">
        <v>12.418474880809001</v>
      </c>
      <c r="AL7163">
        <v>93.061058606202906</v>
      </c>
      <c r="AM7163">
        <v>95.376413988760405</v>
      </c>
      <c r="AN7163">
        <v>1.0000000080578799</v>
      </c>
    </row>
    <row r="7164" spans="1:40" x14ac:dyDescent="0.25">
      <c r="A7164" t="str">
        <f>"20190303153949777"</f>
        <v>20190303153949777</v>
      </c>
      <c r="B7164" t="str">
        <f>"1551598789765674"</f>
        <v>1551598789765674</v>
      </c>
      <c r="C7164" t="s">
        <v>40</v>
      </c>
      <c r="D7164">
        <v>4.9093540000000004</v>
      </c>
      <c r="E7164">
        <v>0.47975909999999999</v>
      </c>
      <c r="F7164" t="s">
        <v>42</v>
      </c>
      <c r="G7164">
        <v>-398.3383</v>
      </c>
      <c r="H7164" s="1">
        <v>-1.28977999999999E-6</v>
      </c>
      <c r="I7164">
        <v>17.107839999999999</v>
      </c>
      <c r="J7164">
        <v>-410.16800000000001</v>
      </c>
      <c r="K7164">
        <v>1.1228499999999999</v>
      </c>
      <c r="L7164">
        <v>20.88531</v>
      </c>
      <c r="M7164">
        <v>0.89731170000000005</v>
      </c>
      <c r="N7164">
        <v>-1.271798E-2</v>
      </c>
      <c r="O7164">
        <v>-0.4412141</v>
      </c>
      <c r="P7164">
        <v>0.93323080000000003</v>
      </c>
      <c r="Q7164">
        <v>-6.5221310000000005E-2</v>
      </c>
      <c r="R7164">
        <v>-0.35330790000000001</v>
      </c>
      <c r="S7164">
        <v>2.8503419999999999</v>
      </c>
      <c r="T7164">
        <v>-0.26819470000000001</v>
      </c>
      <c r="U7164">
        <v>-0.91387940000000001</v>
      </c>
      <c r="V7164">
        <v>-9.4506419999999994E-2</v>
      </c>
      <c r="W7164">
        <v>-5.2991200000000002E-2</v>
      </c>
      <c r="X7164">
        <v>0.99411289999999997</v>
      </c>
      <c r="Y7164">
        <v>-0.14438799999999999</v>
      </c>
      <c r="Z7164">
        <v>4.049299E-2</v>
      </c>
      <c r="AA7164">
        <v>0.98869229999999997</v>
      </c>
      <c r="AB7164">
        <v>19</v>
      </c>
      <c r="AC7164">
        <v>11.829700000000001</v>
      </c>
      <c r="AD7164">
        <v>-1.12285128977999</v>
      </c>
      <c r="AE7164">
        <v>-3.7774700000000001</v>
      </c>
      <c r="AF7164">
        <v>-1.8151700725101201</v>
      </c>
      <c r="AG7164">
        <v>-1.12285128977999</v>
      </c>
      <c r="AH7164">
        <v>12.182989760184601</v>
      </c>
      <c r="AI7164">
        <v>95.208643739937699</v>
      </c>
      <c r="AJ7164">
        <v>98.474283490140195</v>
      </c>
      <c r="AK7164">
        <v>12.368543847513401</v>
      </c>
      <c r="AL7164">
        <v>93.037594889766396</v>
      </c>
      <c r="AM7164">
        <v>95.430564917390896</v>
      </c>
      <c r="AN7164">
        <v>0.99999999432253295</v>
      </c>
    </row>
    <row r="7165" spans="1:40" x14ac:dyDescent="0.25">
      <c r="A7165" t="str">
        <f>"20190303153949795"</f>
        <v>20190303153949795</v>
      </c>
      <c r="B7165" t="str">
        <f>"1551598789785703"</f>
        <v>1551598789785703</v>
      </c>
      <c r="C7165" t="s">
        <v>40</v>
      </c>
      <c r="D7165">
        <v>4.8566549999999999</v>
      </c>
      <c r="E7165">
        <v>0.48064869999999998</v>
      </c>
      <c r="F7165" t="s">
        <v>42</v>
      </c>
      <c r="G7165">
        <v>-398.1694</v>
      </c>
      <c r="H7165" s="1">
        <v>-1.3641730000000001E-6</v>
      </c>
      <c r="I7165">
        <v>17.071960000000001</v>
      </c>
      <c r="J7165">
        <v>-410.0283</v>
      </c>
      <c r="K7165">
        <v>1.122811</v>
      </c>
      <c r="L7165">
        <v>20.820430000000002</v>
      </c>
      <c r="M7165">
        <v>0.89864979999999905</v>
      </c>
      <c r="N7165">
        <v>-1.2301049999999999E-2</v>
      </c>
      <c r="O7165">
        <v>-0.43849440000000001</v>
      </c>
      <c r="P7165">
        <v>0.93525239999999998</v>
      </c>
      <c r="Q7165">
        <v>-6.3959950000000002E-2</v>
      </c>
      <c r="R7165">
        <v>-0.3481551</v>
      </c>
      <c r="S7165">
        <v>2.852722</v>
      </c>
      <c r="T7165">
        <v>-0.26696429999999999</v>
      </c>
      <c r="U7165">
        <v>-0.90664670000000003</v>
      </c>
      <c r="V7165">
        <v>-9.7010349999999995E-2</v>
      </c>
      <c r="W7165">
        <v>-5.2168949999999999E-2</v>
      </c>
      <c r="X7165">
        <v>0.9939152</v>
      </c>
      <c r="Y7165">
        <v>-0.1439203</v>
      </c>
      <c r="Z7165">
        <v>4.0221310000000003E-2</v>
      </c>
      <c r="AA7165">
        <v>0.98877159999999997</v>
      </c>
      <c r="AB7165">
        <v>19</v>
      </c>
      <c r="AC7165">
        <v>11.8589</v>
      </c>
      <c r="AD7165">
        <v>-1.1228123641729999</v>
      </c>
      <c r="AE7165">
        <v>-3.74846999999999</v>
      </c>
      <c r="AF7165">
        <v>-1.8168303956781</v>
      </c>
      <c r="AG7165">
        <v>-1.1228123641729999</v>
      </c>
      <c r="AH7165">
        <v>12.202161368458899</v>
      </c>
      <c r="AI7165">
        <v>95.200399583112898</v>
      </c>
      <c r="AJ7165">
        <v>98.4687890566276</v>
      </c>
      <c r="AK7165">
        <v>12.3876681564252</v>
      </c>
      <c r="AL7165">
        <v>92.990418109328999</v>
      </c>
      <c r="AM7165">
        <v>95.574653990096706</v>
      </c>
      <c r="AN7165">
        <v>1.00000001607113</v>
      </c>
    </row>
    <row r="7166" spans="1:40" x14ac:dyDescent="0.25">
      <c r="A7166" t="str">
        <f>"20190303153949806"</f>
        <v>20190303153949806</v>
      </c>
      <c r="B7166" t="str">
        <f>"1551598789795464"</f>
        <v>1551598789795464</v>
      </c>
      <c r="C7166" t="s">
        <v>40</v>
      </c>
      <c r="D7166">
        <v>4.9259209999999998</v>
      </c>
      <c r="E7166">
        <v>0.48095880000000002</v>
      </c>
      <c r="F7166" t="s">
        <v>42</v>
      </c>
      <c r="G7166">
        <v>-397.8528</v>
      </c>
      <c r="H7166" s="1">
        <v>-1.5068379999999999E-6</v>
      </c>
      <c r="I7166">
        <v>16.992739999999898</v>
      </c>
      <c r="J7166">
        <v>-409.94400000000002</v>
      </c>
      <c r="K7166">
        <v>1.1227910000000001</v>
      </c>
      <c r="L7166">
        <v>20.781559999999999</v>
      </c>
      <c r="M7166">
        <v>0.89946329999999997</v>
      </c>
      <c r="N7166">
        <v>-1.2030030000000001E-2</v>
      </c>
      <c r="O7166">
        <v>-0.43683090000000002</v>
      </c>
      <c r="P7166">
        <v>0.93640270000000003</v>
      </c>
      <c r="Q7166">
        <v>-6.27442E-2</v>
      </c>
      <c r="R7166">
        <v>-0.3452731</v>
      </c>
      <c r="S7166">
        <v>2.855499</v>
      </c>
      <c r="T7166">
        <v>-0.26333179999999901</v>
      </c>
      <c r="U7166">
        <v>-0.89770509999999903</v>
      </c>
      <c r="V7166">
        <v>-9.8265740000000004E-2</v>
      </c>
      <c r="W7166">
        <v>-5.1235950000000002E-2</v>
      </c>
      <c r="X7166">
        <v>0.99384039999999996</v>
      </c>
      <c r="Y7166">
        <v>-0.14522579999999999</v>
      </c>
      <c r="Z7166">
        <v>3.965523E-2</v>
      </c>
      <c r="AA7166">
        <v>0.98860349999999997</v>
      </c>
      <c r="AB7166">
        <v>19</v>
      </c>
      <c r="AC7166">
        <v>12.091200000000001</v>
      </c>
      <c r="AD7166">
        <v>-1.122792506838</v>
      </c>
      <c r="AE7166">
        <v>-3.7888199999999999</v>
      </c>
      <c r="AF7166">
        <v>-1.8594402755944399</v>
      </c>
      <c r="AG7166">
        <v>-1.122792506838</v>
      </c>
      <c r="AH7166">
        <v>12.4339381822506</v>
      </c>
      <c r="AI7166">
        <v>95.103405030869396</v>
      </c>
      <c r="AJ7166">
        <v>98.505299494297603</v>
      </c>
      <c r="AK7166">
        <v>12.6222422679944</v>
      </c>
      <c r="AL7166">
        <v>92.936889572776494</v>
      </c>
      <c r="AM7166">
        <v>95.6467533924706</v>
      </c>
      <c r="AN7166">
        <v>1.0000000094511501</v>
      </c>
    </row>
    <row r="7167" spans="1:40" x14ac:dyDescent="0.25">
      <c r="A7167" t="str">
        <f>"20190303153949820"</f>
        <v>20190303153949820</v>
      </c>
      <c r="B7167" t="str">
        <f>"1551598789815960"</f>
        <v>1551598789815960</v>
      </c>
      <c r="C7167" t="s">
        <v>40</v>
      </c>
      <c r="D7167">
        <v>4.8506039999999997</v>
      </c>
      <c r="E7167">
        <v>0.49254710000000002</v>
      </c>
      <c r="F7167" t="s">
        <v>42</v>
      </c>
      <c r="G7167">
        <v>-397.65730000000002</v>
      </c>
      <c r="H7167" s="1">
        <v>-1.593534E-6</v>
      </c>
      <c r="I7167">
        <v>16.949149999999999</v>
      </c>
      <c r="J7167">
        <v>-409.83949999999999</v>
      </c>
      <c r="K7167">
        <v>1.122776</v>
      </c>
      <c r="L7167">
        <v>20.73367</v>
      </c>
      <c r="M7167">
        <v>0.90048309999999998</v>
      </c>
      <c r="N7167">
        <v>-1.1674790000000001E-2</v>
      </c>
      <c r="O7167">
        <v>-0.43473460000000003</v>
      </c>
      <c r="P7167">
        <v>0.93771329999999997</v>
      </c>
      <c r="Q7167">
        <v>-6.157605E-2</v>
      </c>
      <c r="R7167">
        <v>-0.34190969999999998</v>
      </c>
      <c r="S7167">
        <v>2.857605</v>
      </c>
      <c r="T7167">
        <v>-0.26113520000000001</v>
      </c>
      <c r="U7167">
        <v>-0.89132690000000003</v>
      </c>
      <c r="V7167">
        <v>-9.9548289999999998E-2</v>
      </c>
      <c r="W7167">
        <v>-5.0436849999999998E-2</v>
      </c>
      <c r="X7167">
        <v>0.99375360000000001</v>
      </c>
      <c r="Y7167">
        <v>-0.14516609999999999</v>
      </c>
      <c r="Z7167">
        <v>3.9265460000000002E-2</v>
      </c>
      <c r="AA7167">
        <v>0.9886279</v>
      </c>
      <c r="AB7167">
        <v>19</v>
      </c>
      <c r="AC7167">
        <v>12.1821999999999</v>
      </c>
      <c r="AD7167">
        <v>-1.1227775935340001</v>
      </c>
      <c r="AE7167">
        <v>-3.7845200000000001</v>
      </c>
      <c r="AF7167">
        <v>-1.8737404267766999</v>
      </c>
      <c r="AG7167">
        <v>-1.1227775935340001</v>
      </c>
      <c r="AH7167">
        <v>12.519002521771201</v>
      </c>
      <c r="AI7167">
        <v>95.068749540575894</v>
      </c>
      <c r="AJ7167">
        <v>98.512368602413602</v>
      </c>
      <c r="AK7167">
        <v>12.708145295502099</v>
      </c>
      <c r="AL7167">
        <v>92.891045329465598</v>
      </c>
      <c r="AM7167">
        <v>95.720464688606398</v>
      </c>
      <c r="AN7167">
        <v>0.99999997769640303</v>
      </c>
    </row>
    <row r="7168" spans="1:40" x14ac:dyDescent="0.25">
      <c r="A7168" t="str">
        <f>"20190303153949833"</f>
        <v>20190303153949833</v>
      </c>
      <c r="B7168" t="str">
        <f>"1551598789825718"</f>
        <v>1551598789825718</v>
      </c>
      <c r="C7168" t="s">
        <v>40</v>
      </c>
      <c r="D7168">
        <v>4.8613869999999997</v>
      </c>
      <c r="E7168">
        <v>0.49326710000000001</v>
      </c>
      <c r="F7168" t="s">
        <v>42</v>
      </c>
      <c r="G7168">
        <v>-397.46370000000002</v>
      </c>
      <c r="H7168" s="1">
        <v>-1.787259E-6</v>
      </c>
      <c r="I7168">
        <v>16.500339999999898</v>
      </c>
      <c r="J7168">
        <v>-409.73829999999998</v>
      </c>
      <c r="K7168">
        <v>1.122757</v>
      </c>
      <c r="L7168">
        <v>20.6875</v>
      </c>
      <c r="M7168">
        <v>0.90147659999999996</v>
      </c>
      <c r="N7168">
        <v>-1.1320810000000001E-2</v>
      </c>
      <c r="O7168">
        <v>-0.43268000000000001</v>
      </c>
      <c r="P7168">
        <v>0.93883249999999996</v>
      </c>
      <c r="Q7168">
        <v>-6.062762E-2</v>
      </c>
      <c r="R7168">
        <v>-0.3389954</v>
      </c>
      <c r="S7168">
        <v>2.8294679999999999</v>
      </c>
      <c r="T7168">
        <v>-0.2567004</v>
      </c>
      <c r="U7168">
        <v>-0.96786499999999998</v>
      </c>
      <c r="V7168">
        <v>-0.1003904</v>
      </c>
      <c r="W7168">
        <v>-4.9854420000000003E-2</v>
      </c>
      <c r="X7168">
        <v>0.99369830000000003</v>
      </c>
      <c r="Y7168">
        <v>-0.1160799</v>
      </c>
      <c r="Z7168">
        <v>3.7266229999999997E-2</v>
      </c>
      <c r="AA7168">
        <v>0.99254050000000005</v>
      </c>
      <c r="AB7168">
        <v>19</v>
      </c>
      <c r="AC7168">
        <v>12.2745999999999</v>
      </c>
      <c r="AD7168">
        <v>-1.1227587872589999</v>
      </c>
      <c r="AE7168">
        <v>-4.1871600000000004</v>
      </c>
      <c r="AF7168">
        <v>-1.52501599743547</v>
      </c>
      <c r="AG7168">
        <v>-1.1227587872589999</v>
      </c>
      <c r="AH7168">
        <v>12.781992335189001</v>
      </c>
      <c r="AI7168">
        <v>94.984752653078104</v>
      </c>
      <c r="AJ7168">
        <v>96.803781854437801</v>
      </c>
      <c r="AK7168">
        <v>12.921516518722999</v>
      </c>
      <c r="AL7168">
        <v>92.857632437418502</v>
      </c>
      <c r="AM7168">
        <v>95.768849746292304</v>
      </c>
      <c r="AN7168">
        <v>1.00000000351429</v>
      </c>
    </row>
    <row r="7169" spans="1:40" x14ac:dyDescent="0.25">
      <c r="A7169" t="str">
        <f>"20190303153949847"</f>
        <v>20190303153949847</v>
      </c>
      <c r="B7169" t="str">
        <f>"1551598789835479"</f>
        <v>1551598789835479</v>
      </c>
      <c r="C7169" t="s">
        <v>40</v>
      </c>
      <c r="D7169">
        <v>4.8560410000000003</v>
      </c>
      <c r="E7169">
        <v>0.49398419999999998</v>
      </c>
      <c r="F7169" t="s">
        <v>42</v>
      </c>
      <c r="G7169">
        <v>-397.44029999999998</v>
      </c>
      <c r="H7169" s="1">
        <v>-1.7968450000000001E-6</v>
      </c>
      <c r="I7169">
        <v>16.498149999999999</v>
      </c>
      <c r="J7169">
        <v>-409.62380000000002</v>
      </c>
      <c r="K7169">
        <v>1.122744</v>
      </c>
      <c r="L7169">
        <v>20.635680000000001</v>
      </c>
      <c r="M7169">
        <v>0.90261170000000002</v>
      </c>
      <c r="N7169">
        <v>-1.0907450000000001E-2</v>
      </c>
      <c r="O7169">
        <v>-0.43031789999999998</v>
      </c>
      <c r="P7169">
        <v>0.94032680000000002</v>
      </c>
      <c r="Q7169">
        <v>-5.9491839999999997E-2</v>
      </c>
      <c r="R7169">
        <v>-0.33503240000000001</v>
      </c>
      <c r="S7169">
        <v>2.8306269999999998</v>
      </c>
      <c r="T7169">
        <v>-0.25842559999999998</v>
      </c>
      <c r="U7169">
        <v>-0.96426389999999995</v>
      </c>
      <c r="V7169">
        <v>-0.10200529999999999</v>
      </c>
      <c r="W7169">
        <v>-4.915141E-2</v>
      </c>
      <c r="X7169">
        <v>0.99356880000000003</v>
      </c>
      <c r="Y7169">
        <v>-0.1147101</v>
      </c>
      <c r="Z7169">
        <v>3.7470070000000001E-2</v>
      </c>
      <c r="AA7169">
        <v>0.99269209999999997</v>
      </c>
      <c r="AB7169">
        <v>19</v>
      </c>
      <c r="AC7169">
        <v>12.1835</v>
      </c>
      <c r="AD7169">
        <v>-1.1227457968450001</v>
      </c>
      <c r="AE7169">
        <v>-4.1375299999999902</v>
      </c>
      <c r="AF7169">
        <v>-1.49688723379289</v>
      </c>
      <c r="AG7169">
        <v>-1.1227457968450001</v>
      </c>
      <c r="AH7169">
        <v>12.681622270547299</v>
      </c>
      <c r="AI7169">
        <v>95.024691167287699</v>
      </c>
      <c r="AJ7169">
        <v>96.7318130106258</v>
      </c>
      <c r="AK7169">
        <v>12.818922455801999</v>
      </c>
      <c r="AL7169">
        <v>92.817303633760801</v>
      </c>
      <c r="AM7169">
        <v>95.861766252399093</v>
      </c>
      <c r="AN7169">
        <v>0.99999995133325703</v>
      </c>
    </row>
    <row r="7170" spans="1:40" x14ac:dyDescent="0.25">
      <c r="A7170" t="str">
        <f>"20190303153949858"</f>
        <v>20190303153949858</v>
      </c>
      <c r="B7170" t="str">
        <f>"1551598789855976"</f>
        <v>1551598789855976</v>
      </c>
      <c r="C7170" t="s">
        <v>40</v>
      </c>
      <c r="D7170">
        <v>4.8518210000000002</v>
      </c>
      <c r="E7170">
        <v>0.4946856</v>
      </c>
      <c r="F7170" t="s">
        <v>42</v>
      </c>
      <c r="G7170">
        <v>-397.18009999999998</v>
      </c>
      <c r="H7170" s="1">
        <v>-1.9152759999999999E-6</v>
      </c>
      <c r="I7170">
        <v>16.42858</v>
      </c>
      <c r="J7170">
        <v>-409.53710000000001</v>
      </c>
      <c r="K7170">
        <v>1.122743</v>
      </c>
      <c r="L7170">
        <v>20.59674</v>
      </c>
      <c r="M7170">
        <v>0.90348349999999999</v>
      </c>
      <c r="N7170">
        <v>-1.059131E-2</v>
      </c>
      <c r="O7170">
        <v>-0.42849219999999999</v>
      </c>
      <c r="P7170">
        <v>0.94128780000000001</v>
      </c>
      <c r="Q7170">
        <v>-5.9088359999999999E-2</v>
      </c>
      <c r="R7170">
        <v>-0.33239479999999999</v>
      </c>
      <c r="S7170">
        <v>2.8329469999999999</v>
      </c>
      <c r="T7170">
        <v>-0.25560559999999999</v>
      </c>
      <c r="U7170">
        <v>-0.95779420000000004</v>
      </c>
      <c r="V7170">
        <v>-0.1027855</v>
      </c>
      <c r="W7170">
        <v>-4.9078320000000002E-2</v>
      </c>
      <c r="X7170">
        <v>0.99349209999999999</v>
      </c>
      <c r="Y7170">
        <v>-0.1150143</v>
      </c>
      <c r="Z7170">
        <v>3.7017510000000003E-2</v>
      </c>
      <c r="AA7170">
        <v>0.9926739</v>
      </c>
      <c r="AB7170">
        <v>19</v>
      </c>
      <c r="AC7170">
        <v>12.356999999999999</v>
      </c>
      <c r="AD7170">
        <v>-1.1227449152760001</v>
      </c>
      <c r="AE7170">
        <v>-4.1681599999999897</v>
      </c>
      <c r="AF7170">
        <v>-1.5178496188346999</v>
      </c>
      <c r="AG7170">
        <v>-1.1227449152760001</v>
      </c>
      <c r="AH7170">
        <v>12.855807341207001</v>
      </c>
      <c r="AI7170">
        <v>94.956930622219403</v>
      </c>
      <c r="AJ7170">
        <v>96.733581276998294</v>
      </c>
      <c r="AK7170">
        <v>12.993698703772001</v>
      </c>
      <c r="AL7170">
        <v>92.813110556578707</v>
      </c>
      <c r="AM7170">
        <v>95.906737690097103</v>
      </c>
      <c r="AN7170">
        <v>1.0000000466333401</v>
      </c>
    </row>
    <row r="7171" spans="1:40" x14ac:dyDescent="0.25">
      <c r="A7171" t="str">
        <f>"20190303153949870"</f>
        <v>20190303153949870</v>
      </c>
      <c r="B7171" t="str">
        <f>"1551598789865735"</f>
        <v>1551598789865735</v>
      </c>
      <c r="C7171" t="s">
        <v>40</v>
      </c>
      <c r="D7171">
        <v>4.8759550000000003</v>
      </c>
      <c r="E7171">
        <v>0.49443860000000001</v>
      </c>
      <c r="F7171" t="s">
        <v>42</v>
      </c>
      <c r="G7171">
        <v>-397.15390000000002</v>
      </c>
      <c r="H7171" s="1">
        <v>-1.926765E-6</v>
      </c>
      <c r="I7171">
        <v>16.42315</v>
      </c>
      <c r="J7171">
        <v>-409.44389999999999</v>
      </c>
      <c r="K7171">
        <v>1.1227450000000001</v>
      </c>
      <c r="L7171">
        <v>20.55508</v>
      </c>
      <c r="M7171">
        <v>0.90442140000000004</v>
      </c>
      <c r="N7171">
        <v>-1.025035E-2</v>
      </c>
      <c r="O7171">
        <v>-0.42651719999999999</v>
      </c>
      <c r="P7171">
        <v>0.94223279999999998</v>
      </c>
      <c r="Q7171">
        <v>-5.8716919999999999E-2</v>
      </c>
      <c r="R7171">
        <v>-0.32977240000000002</v>
      </c>
      <c r="S7171">
        <v>2.8337400000000001</v>
      </c>
      <c r="T7171">
        <v>-0.25692749999999998</v>
      </c>
      <c r="U7171">
        <v>-0.95507810000000004</v>
      </c>
      <c r="V7171">
        <v>-0.1033829</v>
      </c>
      <c r="W7171">
        <v>-4.9062410000000001E-2</v>
      </c>
      <c r="X7171">
        <v>0.99343090000000001</v>
      </c>
      <c r="Y7171">
        <v>-0.1137643</v>
      </c>
      <c r="Z7171">
        <v>3.715972E-2</v>
      </c>
      <c r="AA7171">
        <v>0.99281260000000005</v>
      </c>
      <c r="AB7171">
        <v>19</v>
      </c>
      <c r="AC7171">
        <v>12.2899999999999</v>
      </c>
      <c r="AD7171">
        <v>-1.1227469267649901</v>
      </c>
      <c r="AE7171">
        <v>-4.1319299999999997</v>
      </c>
      <c r="AF7171">
        <v>-1.4937690364885301</v>
      </c>
      <c r="AG7171">
        <v>-1.1227469267649901</v>
      </c>
      <c r="AH7171">
        <v>12.7825096484959</v>
      </c>
      <c r="AI7171">
        <v>94.985914419399094</v>
      </c>
      <c r="AJ7171">
        <v>96.6653751669717</v>
      </c>
      <c r="AK7171">
        <v>12.9183768140515</v>
      </c>
      <c r="AL7171">
        <v>92.812197875809304</v>
      </c>
      <c r="AM7171">
        <v>95.941186799490794</v>
      </c>
      <c r="AN7171">
        <v>1.00000004858111</v>
      </c>
    </row>
    <row r="7172" spans="1:40" x14ac:dyDescent="0.25">
      <c r="A7172" t="str">
        <f>"20190303153949882"</f>
        <v>20190303153949882</v>
      </c>
      <c r="B7172" t="str">
        <f>"1551598789875495"</f>
        <v>1551598789875495</v>
      </c>
      <c r="C7172" t="s">
        <v>40</v>
      </c>
      <c r="D7172">
        <v>4.8671220000000002</v>
      </c>
      <c r="E7172">
        <v>0.4946238</v>
      </c>
      <c r="F7172" t="s">
        <v>42</v>
      </c>
      <c r="G7172">
        <v>-397.33690000000001</v>
      </c>
      <c r="H7172" s="1">
        <v>-1.830396E-6</v>
      </c>
      <c r="I7172">
        <v>16.52121</v>
      </c>
      <c r="J7172">
        <v>-409.35079999999999</v>
      </c>
      <c r="K7172">
        <v>1.122762</v>
      </c>
      <c r="L7172">
        <v>20.513850000000001</v>
      </c>
      <c r="M7172">
        <v>0.90537730000000005</v>
      </c>
      <c r="N7172">
        <v>-9.9035479999999999E-3</v>
      </c>
      <c r="O7172">
        <v>-0.42449290000000001</v>
      </c>
      <c r="P7172">
        <v>0.94312490000000004</v>
      </c>
      <c r="Q7172">
        <v>-5.8583820000000002E-2</v>
      </c>
      <c r="R7172">
        <v>-0.32723609999999997</v>
      </c>
      <c r="S7172">
        <v>2.8367309999999999</v>
      </c>
      <c r="T7172">
        <v>-0.26306610000000002</v>
      </c>
      <c r="U7172">
        <v>-0.94515990000000005</v>
      </c>
      <c r="V7172">
        <v>-0.1038266</v>
      </c>
      <c r="W7172">
        <v>-4.9292460000000003E-2</v>
      </c>
      <c r="X7172">
        <v>0.99337319999999996</v>
      </c>
      <c r="Y7172">
        <v>-0.1148882</v>
      </c>
      <c r="Z7172">
        <v>3.8167409999999999E-2</v>
      </c>
      <c r="AA7172">
        <v>0.99264490000000005</v>
      </c>
      <c r="AB7172">
        <v>19</v>
      </c>
      <c r="AC7172">
        <v>12.0138999999999</v>
      </c>
      <c r="AD7172">
        <v>-1.1227638303959999</v>
      </c>
      <c r="AE7172">
        <v>-3.9926400000000002</v>
      </c>
      <c r="AF7172">
        <v>-1.4734531510295401</v>
      </c>
      <c r="AG7172">
        <v>-1.1227638303959999</v>
      </c>
      <c r="AH7172">
        <v>12.4744595768389</v>
      </c>
      <c r="AI7172">
        <v>95.107731429189897</v>
      </c>
      <c r="AJ7172">
        <v>96.736426980592199</v>
      </c>
      <c r="AK7172">
        <v>12.611257056349</v>
      </c>
      <c r="AL7172">
        <v>92.825394840208901</v>
      </c>
      <c r="AM7172">
        <v>95.966845770514396</v>
      </c>
      <c r="AN7172">
        <v>1.00000001197932</v>
      </c>
    </row>
    <row r="7173" spans="1:40" x14ac:dyDescent="0.25">
      <c r="A7173" t="str">
        <f>"20190303153949893"</f>
        <v>20190303153949893</v>
      </c>
      <c r="B7173" t="str">
        <f>"1551598789885761"</f>
        <v>1551598789885761</v>
      </c>
      <c r="C7173" t="s">
        <v>40</v>
      </c>
      <c r="D7173">
        <v>4.8637620000000004</v>
      </c>
      <c r="E7173">
        <v>0.49467610000000001</v>
      </c>
      <c r="F7173" t="s">
        <v>42</v>
      </c>
      <c r="G7173">
        <v>-397.6053</v>
      </c>
      <c r="H7173" s="1">
        <v>-1.6986079999999999E-6</v>
      </c>
      <c r="I7173">
        <v>16.629279999999898</v>
      </c>
      <c r="J7173">
        <v>-409.26760000000002</v>
      </c>
      <c r="K7173">
        <v>1.1227750000000001</v>
      </c>
      <c r="L7173">
        <v>20.477170000000001</v>
      </c>
      <c r="M7173">
        <v>0.90623500000000001</v>
      </c>
      <c r="N7173">
        <v>-9.5923720000000001E-3</v>
      </c>
      <c r="O7173">
        <v>-0.42266569999999998</v>
      </c>
      <c r="P7173">
        <v>0.94389160000000005</v>
      </c>
      <c r="Q7173">
        <v>-5.8371029999999997E-2</v>
      </c>
      <c r="R7173">
        <v>-0.32505580000000001</v>
      </c>
      <c r="S7173">
        <v>2.8383479999999999</v>
      </c>
      <c r="T7173">
        <v>-0.27131959999999999</v>
      </c>
      <c r="U7173">
        <v>-0.93872069999999996</v>
      </c>
      <c r="V7173">
        <v>-0.104114</v>
      </c>
      <c r="W7173">
        <v>-4.9405150000000002E-2</v>
      </c>
      <c r="X7173">
        <v>0.99333749999999998</v>
      </c>
      <c r="Y7173">
        <v>-0.1149638</v>
      </c>
      <c r="Z7173">
        <v>3.945808E-2</v>
      </c>
      <c r="AA7173">
        <v>0.99258570000000002</v>
      </c>
      <c r="AB7173">
        <v>19</v>
      </c>
      <c r="AC7173">
        <v>11.6623</v>
      </c>
      <c r="AD7173">
        <v>-1.1227766986079999</v>
      </c>
      <c r="AE7173">
        <v>-3.84789</v>
      </c>
      <c r="AF7173">
        <v>-1.4302725448853699</v>
      </c>
      <c r="AG7173">
        <v>-1.1227766986079999</v>
      </c>
      <c r="AH7173">
        <v>12.0946197651506</v>
      </c>
      <c r="AI7173">
        <v>95.267229550552997</v>
      </c>
      <c r="AJ7173">
        <v>96.744300099673893</v>
      </c>
      <c r="AK7173">
        <v>12.2305410481778</v>
      </c>
      <c r="AL7173">
        <v>92.831859436283295</v>
      </c>
      <c r="AM7173">
        <v>95.983456280276698</v>
      </c>
      <c r="AN7173">
        <v>0.999999991374386</v>
      </c>
    </row>
    <row r="7174" spans="1:40" x14ac:dyDescent="0.25">
      <c r="A7174" t="str">
        <f>"20190303153949905"</f>
        <v>20190303153949905</v>
      </c>
      <c r="B7174" t="str">
        <f>"1551598789895521"</f>
        <v>1551598789895521</v>
      </c>
      <c r="C7174" t="s">
        <v>40</v>
      </c>
      <c r="D7174">
        <v>4.9392079999999998</v>
      </c>
      <c r="E7174">
        <v>0.49467610000000001</v>
      </c>
      <c r="F7174" t="s">
        <v>42</v>
      </c>
      <c r="G7174">
        <v>-397.77440000000001</v>
      </c>
      <c r="H7174" s="1">
        <v>-1.613765E-6</v>
      </c>
      <c r="I7174">
        <v>16.704059999999998</v>
      </c>
      <c r="J7174">
        <v>-409.16759999999999</v>
      </c>
      <c r="K7174">
        <v>1.122798</v>
      </c>
      <c r="L7174">
        <v>20.433409999999999</v>
      </c>
      <c r="M7174">
        <v>0.90728010000000003</v>
      </c>
      <c r="N7174">
        <v>-9.2153770000000003E-3</v>
      </c>
      <c r="O7174">
        <v>-0.42042629999999998</v>
      </c>
      <c r="P7174">
        <v>0.94467159999999994</v>
      </c>
      <c r="Q7174">
        <v>-5.8565659999999999E-2</v>
      </c>
      <c r="R7174">
        <v>-0.32274839999999999</v>
      </c>
      <c r="S7174">
        <v>2.8400880000000002</v>
      </c>
      <c r="T7174">
        <v>-0.277449</v>
      </c>
      <c r="U7174">
        <v>-0.93237300000000001</v>
      </c>
      <c r="V7174">
        <v>-0.1040702</v>
      </c>
      <c r="W7174">
        <v>-4.9992689999999999E-2</v>
      </c>
      <c r="X7174">
        <v>0.99331270000000005</v>
      </c>
      <c r="Y7174">
        <v>-0.11460239999999999</v>
      </c>
      <c r="Z7174">
        <v>4.0372100000000001E-2</v>
      </c>
      <c r="AA7174">
        <v>0.99259070000000005</v>
      </c>
      <c r="AB7174">
        <v>20</v>
      </c>
      <c r="AC7174">
        <v>11.393199999999901</v>
      </c>
      <c r="AD7174">
        <v>-1.122799613765</v>
      </c>
      <c r="AE7174">
        <v>-3.7293500000000002</v>
      </c>
      <c r="AF7174">
        <v>-1.3942645777256899</v>
      </c>
      <c r="AG7174">
        <v>-1.122799613765</v>
      </c>
      <c r="AH7174">
        <v>11.8017167792047</v>
      </c>
      <c r="AI7174">
        <v>95.397374642515501</v>
      </c>
      <c r="AJ7174">
        <v>96.737739803984496</v>
      </c>
      <c r="AK7174">
        <v>11.9367152777442</v>
      </c>
      <c r="AL7174">
        <v>92.8655646323664</v>
      </c>
      <c r="AM7174">
        <v>95.981105577882104</v>
      </c>
      <c r="AN7174">
        <v>0.99999999778138304</v>
      </c>
    </row>
    <row r="7175" spans="1:40" x14ac:dyDescent="0.25">
      <c r="A7175" t="str">
        <f>"20190303153949916"</f>
        <v>20190303153949916</v>
      </c>
      <c r="B7175" t="str">
        <f>"1551598789906257"</f>
        <v>1551598789906257</v>
      </c>
      <c r="C7175" t="s">
        <v>40</v>
      </c>
      <c r="D7175">
        <v>5.0119790000000002</v>
      </c>
      <c r="E7175">
        <v>0.47453420000000002</v>
      </c>
      <c r="F7175" t="s">
        <v>42</v>
      </c>
      <c r="G7175">
        <v>-397.68889999999999</v>
      </c>
      <c r="H7175" s="1">
        <v>-1.6487030000000001E-6</v>
      </c>
      <c r="I7175">
        <v>16.696149999999999</v>
      </c>
      <c r="J7175">
        <v>-409.0779</v>
      </c>
      <c r="K7175">
        <v>1.122825</v>
      </c>
      <c r="L7175">
        <v>20.394439999999999</v>
      </c>
      <c r="M7175">
        <v>0.90823149999999997</v>
      </c>
      <c r="N7175">
        <v>-8.8715900000000004E-3</v>
      </c>
      <c r="O7175">
        <v>-0.41837419999999997</v>
      </c>
      <c r="P7175">
        <v>0.9454167</v>
      </c>
      <c r="Q7175">
        <v>-5.8730159999999997E-2</v>
      </c>
      <c r="R7175">
        <v>-0.32052789999999998</v>
      </c>
      <c r="S7175">
        <v>2.842346</v>
      </c>
      <c r="T7175">
        <v>-0.2780261</v>
      </c>
      <c r="U7175">
        <v>-0.92541499999999999</v>
      </c>
      <c r="V7175">
        <v>-0.10414180000000001</v>
      </c>
      <c r="W7175">
        <v>-5.0516480000000002E-2</v>
      </c>
      <c r="X7175">
        <v>0.99327869999999996</v>
      </c>
      <c r="Y7175">
        <v>-0.11477270000000001</v>
      </c>
      <c r="Z7175">
        <v>4.0430609999999999E-2</v>
      </c>
      <c r="AA7175">
        <v>0.99256869999999997</v>
      </c>
      <c r="AB7175">
        <v>20</v>
      </c>
      <c r="AC7175">
        <v>11.388999999999999</v>
      </c>
      <c r="AD7175">
        <v>-1.1228266487030001</v>
      </c>
      <c r="AE7175">
        <v>-3.6982900000000001</v>
      </c>
      <c r="AF7175">
        <v>-1.39376076496271</v>
      </c>
      <c r="AG7175">
        <v>-1.1228266487030001</v>
      </c>
      <c r="AH7175">
        <v>11.7879383840865</v>
      </c>
      <c r="AI7175">
        <v>95.403715709411799</v>
      </c>
      <c r="AJ7175">
        <v>96.743127687539697</v>
      </c>
      <c r="AK7175">
        <v>11.923036530179999</v>
      </c>
      <c r="AL7175">
        <v>92.895613543882504</v>
      </c>
      <c r="AM7175">
        <v>95.985394087523204</v>
      </c>
      <c r="AN7175">
        <v>1.0000000025662601</v>
      </c>
    </row>
    <row r="7176" spans="1:40" x14ac:dyDescent="0.25">
      <c r="A7176" t="str">
        <f>"20190303153949926"</f>
        <v>20190303153949926</v>
      </c>
      <c r="B7176" t="str">
        <f>"1551598789916017"</f>
        <v>1551598789916017</v>
      </c>
      <c r="C7176" t="s">
        <v>40</v>
      </c>
      <c r="D7176">
        <v>4.8976009999999999</v>
      </c>
      <c r="E7176">
        <v>0.46472029999999998</v>
      </c>
      <c r="F7176" t="s">
        <v>42</v>
      </c>
      <c r="G7176">
        <v>-398.83940000000001</v>
      </c>
      <c r="H7176" s="1">
        <v>-9.4357309999999999E-7</v>
      </c>
      <c r="I7176">
        <v>17.685839999999999</v>
      </c>
      <c r="J7176">
        <v>-408.9896</v>
      </c>
      <c r="K7176">
        <v>1.1228450000000001</v>
      </c>
      <c r="L7176">
        <v>20.35632</v>
      </c>
      <c r="M7176">
        <v>0.90917320000000001</v>
      </c>
      <c r="N7176">
        <v>-8.5301999999999999E-3</v>
      </c>
      <c r="O7176">
        <v>-0.41633100000000001</v>
      </c>
      <c r="P7176">
        <v>0.94610260000000002</v>
      </c>
      <c r="Q7176">
        <v>-5.8652040000000003E-2</v>
      </c>
      <c r="R7176">
        <v>-0.31851210000000002</v>
      </c>
      <c r="S7176">
        <v>2.8939509999999999</v>
      </c>
      <c r="T7176">
        <v>-0.31737019999999999</v>
      </c>
      <c r="U7176">
        <v>-0.76559449999999996</v>
      </c>
      <c r="V7176">
        <v>-0.10401580000000001</v>
      </c>
      <c r="W7176">
        <v>-5.07938E-2</v>
      </c>
      <c r="X7176">
        <v>0.99327779999999999</v>
      </c>
      <c r="Y7176">
        <v>-0.16716879999999901</v>
      </c>
      <c r="Z7176">
        <v>4.9202750000000003E-2</v>
      </c>
      <c r="AA7176">
        <v>0.98469980000000001</v>
      </c>
      <c r="AB7176">
        <v>20</v>
      </c>
      <c r="AC7176">
        <v>10.1501999999999</v>
      </c>
      <c r="AD7176">
        <v>-1.1228459435731</v>
      </c>
      <c r="AE7176">
        <v>-2.67048</v>
      </c>
      <c r="AF7176">
        <v>-1.7776339142150299</v>
      </c>
      <c r="AG7176">
        <v>-1.1228459435731</v>
      </c>
      <c r="AH7176">
        <v>10.2234589862073</v>
      </c>
      <c r="AI7176">
        <v>96.175763214305903</v>
      </c>
      <c r="AJ7176">
        <v>99.863854294703501</v>
      </c>
      <c r="AK7176">
        <v>10.437426837522301</v>
      </c>
      <c r="AL7176">
        <v>92.911523118268605</v>
      </c>
      <c r="AM7176">
        <v>95.978210279290394</v>
      </c>
      <c r="AN7176">
        <v>1.00000004237045</v>
      </c>
    </row>
    <row r="7177" spans="1:40" x14ac:dyDescent="0.25">
      <c r="A7177" t="str">
        <f>"20190303153949940"</f>
        <v>20190303153949940</v>
      </c>
      <c r="B7177" t="str">
        <f>"1551598789935537"</f>
        <v>1551598789935537</v>
      </c>
      <c r="C7177" t="s">
        <v>40</v>
      </c>
      <c r="D7177">
        <v>4.8516979999999998</v>
      </c>
      <c r="E7177">
        <v>0.45102350000000002</v>
      </c>
      <c r="F7177" t="s">
        <v>42</v>
      </c>
      <c r="G7177">
        <v>-399.06020000000001</v>
      </c>
      <c r="H7177" s="1">
        <v>-7.6792140000000001E-7</v>
      </c>
      <c r="I7177">
        <v>18.0273</v>
      </c>
      <c r="J7177">
        <v>-408.88780000000003</v>
      </c>
      <c r="K7177">
        <v>1.122873</v>
      </c>
      <c r="L7177">
        <v>20.312840000000001</v>
      </c>
      <c r="M7177">
        <v>0.91028580000000003</v>
      </c>
      <c r="N7177">
        <v>-8.1239409999999904E-3</v>
      </c>
      <c r="O7177">
        <v>-0.41390090000000002</v>
      </c>
      <c r="P7177">
        <v>0.94688240000000001</v>
      </c>
      <c r="Q7177">
        <v>-5.8699099999999997E-2</v>
      </c>
      <c r="R7177">
        <v>-0.31617800000000001</v>
      </c>
      <c r="S7177">
        <v>2.919861</v>
      </c>
      <c r="T7177">
        <v>-0.33018579999999997</v>
      </c>
      <c r="U7177">
        <v>-0.68487549999999997</v>
      </c>
      <c r="V7177">
        <v>-0.10379679999999999</v>
      </c>
      <c r="W7177">
        <v>-5.1263280000000001E-2</v>
      </c>
      <c r="X7177">
        <v>0.99327650000000001</v>
      </c>
      <c r="Y7177">
        <v>-0.19190209999999999</v>
      </c>
      <c r="Z7177">
        <v>5.245623E-2</v>
      </c>
      <c r="AA7177">
        <v>0.98001119999999997</v>
      </c>
      <c r="AB7177">
        <v>20</v>
      </c>
      <c r="AC7177">
        <v>9.8276000000000092</v>
      </c>
      <c r="AD7177">
        <v>-1.12287376792139</v>
      </c>
      <c r="AE7177">
        <v>-2.2855399999999899</v>
      </c>
      <c r="AF7177">
        <v>-1.96291287039402</v>
      </c>
      <c r="AG7177">
        <v>-1.12287376792139</v>
      </c>
      <c r="AH7177">
        <v>9.7712220992906893</v>
      </c>
      <c r="AI7177">
        <v>96.428153274230496</v>
      </c>
      <c r="AJ7177">
        <v>101.35879857546099</v>
      </c>
      <c r="AK7177">
        <v>10.0294892067897</v>
      </c>
      <c r="AL7177">
        <v>92.938457694371095</v>
      </c>
      <c r="AM7177">
        <v>95.965722080778207</v>
      </c>
      <c r="AN7177">
        <v>0.99999995250942297</v>
      </c>
    </row>
    <row r="7178" spans="1:40" x14ac:dyDescent="0.25">
      <c r="A7178" t="str">
        <f>"20190303153949954"</f>
        <v>20190303153949954</v>
      </c>
      <c r="B7178" t="str">
        <f>"1551598789946273"</f>
        <v>1551598789946273</v>
      </c>
      <c r="C7178" t="s">
        <v>40</v>
      </c>
      <c r="D7178">
        <v>4.7647909999999998</v>
      </c>
      <c r="E7178">
        <v>0.44670300000000002</v>
      </c>
      <c r="F7178" t="s">
        <v>42</v>
      </c>
      <c r="G7178">
        <v>-398.61250000000001</v>
      </c>
      <c r="H7178" s="1">
        <v>-8.6689790000000002E-7</v>
      </c>
      <c r="I7178">
        <v>18.31671</v>
      </c>
      <c r="J7178">
        <v>-408.77929999999998</v>
      </c>
      <c r="K7178">
        <v>1.122895</v>
      </c>
      <c r="L7178">
        <v>20.266749999999998</v>
      </c>
      <c r="M7178">
        <v>0.91148300000000004</v>
      </c>
      <c r="N7178">
        <v>-7.6841919999999899E-3</v>
      </c>
      <c r="O7178">
        <v>-0.41126620000000003</v>
      </c>
      <c r="P7178">
        <v>0.94787480000000002</v>
      </c>
      <c r="Q7178">
        <v>-5.8063030000000002E-2</v>
      </c>
      <c r="R7178">
        <v>-0.31330849999999999</v>
      </c>
      <c r="S7178">
        <v>2.956512</v>
      </c>
      <c r="T7178">
        <v>-0.3230827</v>
      </c>
      <c r="U7178">
        <v>-0.57434079999999998</v>
      </c>
      <c r="V7178">
        <v>-0.1039375</v>
      </c>
      <c r="W7178">
        <v>-5.10865E-2</v>
      </c>
      <c r="X7178">
        <v>0.99327089999999996</v>
      </c>
      <c r="Y7178">
        <v>-0.22665650000000001</v>
      </c>
      <c r="Z7178">
        <v>5.2827869999999999E-2</v>
      </c>
      <c r="AA7178">
        <v>0.97254099999999999</v>
      </c>
      <c r="AB7178">
        <v>20</v>
      </c>
      <c r="AC7178">
        <v>10.166799999999901</v>
      </c>
      <c r="AD7178">
        <v>-1.1228958668979001</v>
      </c>
      <c r="AE7178">
        <v>-1.95003999999999</v>
      </c>
      <c r="AF7178">
        <v>-2.3759487882375301</v>
      </c>
      <c r="AG7178">
        <v>-1.1228958668979001</v>
      </c>
      <c r="AH7178">
        <v>9.9520537297122296</v>
      </c>
      <c r="AI7178">
        <v>96.2629372928522</v>
      </c>
      <c r="AJ7178">
        <v>103.427428317994</v>
      </c>
      <c r="AK7178">
        <v>10.2931725532657</v>
      </c>
      <c r="AL7178">
        <v>92.928315642047707</v>
      </c>
      <c r="AM7178">
        <v>95.973783812652897</v>
      </c>
      <c r="AN7178">
        <v>0.99999995758765403</v>
      </c>
    </row>
    <row r="7179" spans="1:40" x14ac:dyDescent="0.25">
      <c r="A7179" t="str">
        <f>"20190303153949965"</f>
        <v>20190303153949965</v>
      </c>
      <c r="B7179" t="str">
        <f>"1551598789956033"</f>
        <v>1551598789956033</v>
      </c>
      <c r="C7179" t="s">
        <v>40</v>
      </c>
      <c r="D7179">
        <v>4.7635940000000003</v>
      </c>
      <c r="E7179">
        <v>0.4439901</v>
      </c>
      <c r="F7179" t="s">
        <v>42</v>
      </c>
      <c r="G7179">
        <v>-398.38510000000002</v>
      </c>
      <c r="H7179" s="1">
        <v>-9.594301E-7</v>
      </c>
      <c r="I7179">
        <v>18.401009999999999</v>
      </c>
      <c r="J7179">
        <v>-408.67649999999998</v>
      </c>
      <c r="K7179">
        <v>1.1229209999999901</v>
      </c>
      <c r="L7179">
        <v>20.223510000000001</v>
      </c>
      <c r="M7179">
        <v>0.91264089999999998</v>
      </c>
      <c r="N7179">
        <v>-7.2575879999999997E-3</v>
      </c>
      <c r="O7179">
        <v>-0.40869840000000002</v>
      </c>
      <c r="P7179">
        <v>0.94870140000000003</v>
      </c>
      <c r="Q7179">
        <v>-5.7493370000000002E-2</v>
      </c>
      <c r="R7179">
        <v>-0.31090250000000003</v>
      </c>
      <c r="S7179">
        <v>2.9691770000000002</v>
      </c>
      <c r="T7179">
        <v>-0.32076169999999998</v>
      </c>
      <c r="U7179">
        <v>-0.53295899999999996</v>
      </c>
      <c r="V7179">
        <v>-0.1036649</v>
      </c>
      <c r="W7179">
        <v>-5.0959169999999998E-2</v>
      </c>
      <c r="X7179">
        <v>0.99330600000000002</v>
      </c>
      <c r="Y7179">
        <v>-0.2377715</v>
      </c>
      <c r="Z7179">
        <v>5.2837990000000001E-2</v>
      </c>
      <c r="AA7179">
        <v>0.96988289999999999</v>
      </c>
      <c r="AB7179">
        <v>20</v>
      </c>
      <c r="AC7179">
        <v>10.2913999999999</v>
      </c>
      <c r="AD7179">
        <v>-1.1229219594301001</v>
      </c>
      <c r="AE7179">
        <v>-1.8225</v>
      </c>
      <c r="AF7179">
        <v>-2.5138384135721101</v>
      </c>
      <c r="AG7179">
        <v>-1.1229219594301001</v>
      </c>
      <c r="AH7179">
        <v>10.021782990951801</v>
      </c>
      <c r="AI7179">
        <v>96.202629293128098</v>
      </c>
      <c r="AJ7179">
        <v>104.081394010495</v>
      </c>
      <c r="AK7179">
        <v>10.3930973061091</v>
      </c>
      <c r="AL7179">
        <v>92.921010446311499</v>
      </c>
      <c r="AM7179">
        <v>95.958020018175105</v>
      </c>
      <c r="AN7179">
        <v>1.0000000290675399</v>
      </c>
    </row>
    <row r="7180" spans="1:40" x14ac:dyDescent="0.25">
      <c r="A7180" t="str">
        <f>"20190303153949984"</f>
        <v>20190303153949984</v>
      </c>
      <c r="B7180" t="str">
        <f>"1551598789975553"</f>
        <v>1551598789975553</v>
      </c>
      <c r="C7180" t="s">
        <v>40</v>
      </c>
      <c r="D7180">
        <v>4.808154</v>
      </c>
      <c r="E7180">
        <v>0.4413205</v>
      </c>
      <c r="F7180" t="s">
        <v>42</v>
      </c>
      <c r="G7180">
        <v>-398.14800000000002</v>
      </c>
      <c r="H7180" s="1">
        <v>-1.064893E-6</v>
      </c>
      <c r="I7180">
        <v>18.43825</v>
      </c>
      <c r="J7180">
        <v>-408.5172</v>
      </c>
      <c r="K7180">
        <v>1.122968</v>
      </c>
      <c r="L7180">
        <v>20.157350000000001</v>
      </c>
      <c r="M7180">
        <v>0.91446210000000006</v>
      </c>
      <c r="N7180">
        <v>-6.6013759999999999E-3</v>
      </c>
      <c r="O7180">
        <v>-0.40461770000000002</v>
      </c>
      <c r="P7180">
        <v>0.95033299999999998</v>
      </c>
      <c r="Q7180">
        <v>-5.5664739999999997E-2</v>
      </c>
      <c r="R7180">
        <v>-0.30621700000000002</v>
      </c>
      <c r="S7180">
        <v>2.977509</v>
      </c>
      <c r="T7180">
        <v>-0.31756899999999999</v>
      </c>
      <c r="U7180">
        <v>-0.50488279999999996</v>
      </c>
      <c r="V7180">
        <v>-0.1041639</v>
      </c>
      <c r="W7180">
        <v>-4.9817E-2</v>
      </c>
      <c r="X7180">
        <v>0.99331170000000002</v>
      </c>
      <c r="Y7180">
        <v>-0.2428246</v>
      </c>
      <c r="Z7180">
        <v>5.232171E-2</v>
      </c>
      <c r="AA7180">
        <v>0.96865809999999997</v>
      </c>
      <c r="AB7180">
        <v>20</v>
      </c>
      <c r="AC7180">
        <v>10.3691999999999</v>
      </c>
      <c r="AD7180">
        <v>-1.122969064893</v>
      </c>
      <c r="AE7180">
        <v>-1.7191000000000001</v>
      </c>
      <c r="AF7180">
        <v>-2.5939576664040298</v>
      </c>
      <c r="AG7180">
        <v>-1.122969064893</v>
      </c>
      <c r="AH7180">
        <v>10.063171187137501</v>
      </c>
      <c r="AI7180">
        <v>96.167435490648401</v>
      </c>
      <c r="AJ7180">
        <v>104.454333417912</v>
      </c>
      <c r="AK7180">
        <v>10.452611646733899</v>
      </c>
      <c r="AL7180">
        <v>92.855485793566999</v>
      </c>
      <c r="AM7180">
        <v>95.986457582905203</v>
      </c>
      <c r="AN7180">
        <v>0.99999999245454996</v>
      </c>
    </row>
    <row r="7181" spans="1:40" x14ac:dyDescent="0.25">
      <c r="A7181" t="str">
        <f>"20190303153949995"</f>
        <v>20190303153949995</v>
      </c>
      <c r="B7181" t="str">
        <f>"1551598789985820"</f>
        <v>1551598789985820</v>
      </c>
      <c r="C7181" t="s">
        <v>40</v>
      </c>
      <c r="D7181">
        <v>4.825996</v>
      </c>
      <c r="E7181">
        <v>0.44036259999999999</v>
      </c>
      <c r="F7181" t="s">
        <v>42</v>
      </c>
      <c r="G7181">
        <v>-397.733</v>
      </c>
      <c r="H7181" s="1">
        <v>-1.2571950000000001E-6</v>
      </c>
      <c r="I7181">
        <v>18.460149999999999</v>
      </c>
      <c r="J7181">
        <v>-408.4228</v>
      </c>
      <c r="K7181">
        <v>1.1229990000000001</v>
      </c>
      <c r="L7181">
        <v>20.11853</v>
      </c>
      <c r="M7181">
        <v>0.91555739999999997</v>
      </c>
      <c r="N7181">
        <v>-6.2237250000000003E-3</v>
      </c>
      <c r="O7181">
        <v>-0.40213890000000002</v>
      </c>
      <c r="P7181">
        <v>0.95129580000000002</v>
      </c>
      <c r="Q7181">
        <v>-5.4808709999999997E-2</v>
      </c>
      <c r="R7181">
        <v>-0.3033689</v>
      </c>
      <c r="S7181">
        <v>2.9870299999999999</v>
      </c>
      <c r="T7181">
        <v>-0.31104110000000001</v>
      </c>
      <c r="U7181">
        <v>-0.47009279999999998</v>
      </c>
      <c r="V7181">
        <v>-0.1044619</v>
      </c>
      <c r="W7181">
        <v>-4.9357270000000002E-2</v>
      </c>
      <c r="X7181">
        <v>0.99330339999999995</v>
      </c>
      <c r="Y7181">
        <v>-0.2517817</v>
      </c>
      <c r="Z7181">
        <v>5.1500879999999999E-2</v>
      </c>
      <c r="AA7181">
        <v>0.96641279999999996</v>
      </c>
      <c r="AB7181">
        <v>20</v>
      </c>
      <c r="AC7181">
        <v>10.6897999999999</v>
      </c>
      <c r="AD7181">
        <v>-1.123000257195</v>
      </c>
      <c r="AE7181">
        <v>-1.65838</v>
      </c>
      <c r="AF7181">
        <v>-2.7508509658771398</v>
      </c>
      <c r="AG7181">
        <v>-1.123000257195</v>
      </c>
      <c r="AH7181">
        <v>10.3427657336126</v>
      </c>
      <c r="AI7181">
        <v>95.990148184073206</v>
      </c>
      <c r="AJ7181">
        <v>104.894069998657</v>
      </c>
      <c r="AK7181">
        <v>10.7610925855379</v>
      </c>
      <c r="AL7181">
        <v>92.829112635487903</v>
      </c>
      <c r="AM7181">
        <v>96.003508991972694</v>
      </c>
      <c r="AN7181">
        <v>1.0000000365525099</v>
      </c>
    </row>
    <row r="7182" spans="1:40" x14ac:dyDescent="0.25">
      <c r="A7182" t="str">
        <f>"20190303153950006"</f>
        <v>20190303153950006</v>
      </c>
      <c r="B7182" t="str">
        <f>"1551598789995580"</f>
        <v>1551598789995580</v>
      </c>
      <c r="C7182" t="s">
        <v>40</v>
      </c>
      <c r="D7182">
        <v>4.8234440000000003</v>
      </c>
      <c r="E7182">
        <v>0.4396061</v>
      </c>
      <c r="F7182" t="s">
        <v>42</v>
      </c>
      <c r="G7182">
        <v>-397.4991</v>
      </c>
      <c r="H7182" s="1">
        <v>-1.367661E-6</v>
      </c>
      <c r="I7182">
        <v>18.460789999999999</v>
      </c>
      <c r="J7182">
        <v>-408.32940000000002</v>
      </c>
      <c r="K7182">
        <v>1.123032</v>
      </c>
      <c r="L7182">
        <v>20.080410000000001</v>
      </c>
      <c r="M7182">
        <v>0.91664690000000004</v>
      </c>
      <c r="N7182">
        <v>-5.8578789999999999E-3</v>
      </c>
      <c r="O7182">
        <v>-0.39965519999999999</v>
      </c>
      <c r="P7182">
        <v>0.95233579999999995</v>
      </c>
      <c r="Q7182">
        <v>-5.4053869999999997E-2</v>
      </c>
      <c r="R7182">
        <v>-0.30022490000000002</v>
      </c>
      <c r="S7182">
        <v>2.9911189999999999</v>
      </c>
      <c r="T7182">
        <v>-0.30749789999999999</v>
      </c>
      <c r="U7182">
        <v>-0.4539185</v>
      </c>
      <c r="V7182">
        <v>-0.1050596</v>
      </c>
      <c r="W7182">
        <v>-4.898955E-2</v>
      </c>
      <c r="X7182">
        <v>0.99325850000000004</v>
      </c>
      <c r="Y7182">
        <v>-0.25452740000000001</v>
      </c>
      <c r="Z7182">
        <v>5.0893760000000003E-2</v>
      </c>
      <c r="AA7182">
        <v>0.96572539999999996</v>
      </c>
      <c r="AB7182">
        <v>20</v>
      </c>
      <c r="AC7182">
        <v>10.830299999999999</v>
      </c>
      <c r="AD7182">
        <v>-1.123033367661</v>
      </c>
      <c r="AE7182">
        <v>-1.6196200000000001</v>
      </c>
      <c r="AF7182">
        <v>-2.8142170651585601</v>
      </c>
      <c r="AG7182">
        <v>-1.123033367661</v>
      </c>
      <c r="AH7182">
        <v>10.4649693538174</v>
      </c>
      <c r="AI7182">
        <v>95.916546101284197</v>
      </c>
      <c r="AJ7182">
        <v>105.051769676953</v>
      </c>
      <c r="AK7182">
        <v>10.894797162455401</v>
      </c>
      <c r="AL7182">
        <v>92.808018495646706</v>
      </c>
      <c r="AM7182">
        <v>96.037877192446501</v>
      </c>
      <c r="AN7182">
        <v>0.99999997169180599</v>
      </c>
    </row>
    <row r="7183" spans="1:40" x14ac:dyDescent="0.25">
      <c r="A7183" t="str">
        <f>"20190303153950017"</f>
        <v>20190303153950017</v>
      </c>
      <c r="B7183" t="str">
        <f>"1551598790005340"</f>
        <v>1551598790005340</v>
      </c>
      <c r="C7183" t="s">
        <v>40</v>
      </c>
      <c r="D7183">
        <v>4.839353</v>
      </c>
      <c r="E7183">
        <v>0.43901990000000002</v>
      </c>
      <c r="F7183" t="s">
        <v>42</v>
      </c>
      <c r="G7183">
        <v>-397.31810000000002</v>
      </c>
      <c r="H7183" s="1">
        <v>-1.4519029999999999E-6</v>
      </c>
      <c r="I7183">
        <v>18.4682</v>
      </c>
      <c r="J7183">
        <v>-408.2414</v>
      </c>
      <c r="K7183">
        <v>1.123067</v>
      </c>
      <c r="L7183">
        <v>20.044920000000001</v>
      </c>
      <c r="M7183">
        <v>0.91768369999999999</v>
      </c>
      <c r="N7183">
        <v>-5.5328249999999999E-3</v>
      </c>
      <c r="O7183">
        <v>-0.39727299999999999</v>
      </c>
      <c r="P7183">
        <v>0.95341929999999997</v>
      </c>
      <c r="Q7183">
        <v>-5.3659140000000001E-2</v>
      </c>
      <c r="R7183">
        <v>-0.29683660000000001</v>
      </c>
      <c r="S7183">
        <v>2.9945680000000001</v>
      </c>
      <c r="T7183">
        <v>-0.30541190000000001</v>
      </c>
      <c r="U7183">
        <v>-0.438446</v>
      </c>
      <c r="V7183">
        <v>-0.1060104</v>
      </c>
      <c r="W7183">
        <v>-4.8944630000000003E-2</v>
      </c>
      <c r="X7183">
        <v>0.99315969999999998</v>
      </c>
      <c r="Y7183">
        <v>-0.25709559999999998</v>
      </c>
      <c r="Z7183">
        <v>5.0530480000000003E-2</v>
      </c>
      <c r="AA7183">
        <v>0.96506400000000003</v>
      </c>
      <c r="AB7183">
        <v>20</v>
      </c>
      <c r="AC7183">
        <v>10.9232999999999</v>
      </c>
      <c r="AD7183">
        <v>-1.1230684519030001</v>
      </c>
      <c r="AE7183">
        <v>-1.5767199999999999</v>
      </c>
      <c r="AF7183">
        <v>-2.8630001577696902</v>
      </c>
      <c r="AG7183">
        <v>-1.1230684519030001</v>
      </c>
      <c r="AH7183">
        <v>10.5415293506182</v>
      </c>
      <c r="AI7183">
        <v>95.870131746002698</v>
      </c>
      <c r="AJ7183">
        <v>105.194584053529</v>
      </c>
      <c r="AK7183">
        <v>10.980978722363201</v>
      </c>
      <c r="AL7183">
        <v>92.805441638632004</v>
      </c>
      <c r="AM7183">
        <v>96.092712982530102</v>
      </c>
      <c r="AN7183">
        <v>0.99999998570904303</v>
      </c>
    </row>
    <row r="7184" spans="1:40" x14ac:dyDescent="0.25">
      <c r="A7184" t="str">
        <f>"20190303153950027"</f>
        <v>20190303153950027</v>
      </c>
      <c r="B7184" t="str">
        <f>"1551598790016075"</f>
        <v>1551598790016075</v>
      </c>
      <c r="C7184" t="s">
        <v>40</v>
      </c>
      <c r="D7184">
        <v>4.8117390000000002</v>
      </c>
      <c r="E7184">
        <v>0.43854900000000002</v>
      </c>
      <c r="F7184" t="s">
        <v>42</v>
      </c>
      <c r="G7184">
        <v>-397.17160000000001</v>
      </c>
      <c r="H7184" s="1">
        <v>-1.5188129999999999E-6</v>
      </c>
      <c r="I7184">
        <v>18.481159999999999</v>
      </c>
      <c r="J7184">
        <v>-408.1429</v>
      </c>
      <c r="K7184">
        <v>1.123116</v>
      </c>
      <c r="L7184">
        <v>20.00534</v>
      </c>
      <c r="M7184">
        <v>0.91884440000000001</v>
      </c>
      <c r="N7184">
        <v>-5.1751499999999999E-3</v>
      </c>
      <c r="O7184">
        <v>-0.39458670000000001</v>
      </c>
      <c r="P7184">
        <v>0.95459170000000004</v>
      </c>
      <c r="Q7184">
        <v>-5.3505280000000002E-2</v>
      </c>
      <c r="R7184">
        <v>-0.29307420000000001</v>
      </c>
      <c r="S7184">
        <v>2.9976500000000001</v>
      </c>
      <c r="T7184">
        <v>-0.30412319999999998</v>
      </c>
      <c r="U7184">
        <v>-0.4234619</v>
      </c>
      <c r="V7184">
        <v>-0.1070126</v>
      </c>
      <c r="W7184">
        <v>-4.9176480000000002E-2</v>
      </c>
      <c r="X7184">
        <v>0.99304079999999995</v>
      </c>
      <c r="Y7184">
        <v>-0.25915739999999998</v>
      </c>
      <c r="Z7184">
        <v>5.0261199999999999E-2</v>
      </c>
      <c r="AA7184">
        <v>0.96452649999999995</v>
      </c>
      <c r="AB7184">
        <v>21</v>
      </c>
      <c r="AC7184">
        <v>10.9712999999999</v>
      </c>
      <c r="AD7184">
        <v>-1.123117518813</v>
      </c>
      <c r="AE7184">
        <v>-1.5241800000000001</v>
      </c>
      <c r="AF7184">
        <v>-2.8988801523821599</v>
      </c>
      <c r="AG7184">
        <v>-1.123117518813</v>
      </c>
      <c r="AH7184">
        <v>10.5737710694898</v>
      </c>
      <c r="AI7184">
        <v>95.848825724760403</v>
      </c>
      <c r="AJ7184">
        <v>105.33137139166701</v>
      </c>
      <c r="AK7184">
        <v>11.021321777759599</v>
      </c>
      <c r="AL7184">
        <v>92.818741565798604</v>
      </c>
      <c r="AM7184">
        <v>96.150603571646997</v>
      </c>
      <c r="AN7184">
        <v>1.0000000266042901</v>
      </c>
    </row>
    <row r="7185" spans="1:40" x14ac:dyDescent="0.25">
      <c r="A7185" t="str">
        <f>"20190303153950039"</f>
        <v>20190303153950039</v>
      </c>
      <c r="B7185" t="str">
        <f>"1551598790035595"</f>
        <v>1551598790035595</v>
      </c>
      <c r="C7185" t="s">
        <v>40</v>
      </c>
      <c r="D7185">
        <v>4.8166699999999896</v>
      </c>
      <c r="E7185">
        <v>0.43783470000000002</v>
      </c>
      <c r="F7185" t="s">
        <v>42</v>
      </c>
      <c r="G7185">
        <v>-397.03480000000002</v>
      </c>
      <c r="H7185" s="1">
        <v>-1.5811659999999999E-6</v>
      </c>
      <c r="I7185">
        <v>18.494299999999999</v>
      </c>
      <c r="J7185">
        <v>-408.04969999999997</v>
      </c>
      <c r="K7185">
        <v>1.1231719999999901</v>
      </c>
      <c r="L7185">
        <v>19.968509999999998</v>
      </c>
      <c r="M7185">
        <v>0.91995470000000001</v>
      </c>
      <c r="N7185">
        <v>-4.8652510000000001E-3</v>
      </c>
      <c r="O7185">
        <v>-0.39199469999999997</v>
      </c>
      <c r="P7185">
        <v>0.95573180000000002</v>
      </c>
      <c r="Q7185">
        <v>-5.3459949999999999E-2</v>
      </c>
      <c r="R7185">
        <v>-0.28934219999999999</v>
      </c>
      <c r="S7185">
        <v>3.0003660000000001</v>
      </c>
      <c r="T7185">
        <v>-0.30336239999999998</v>
      </c>
      <c r="U7185">
        <v>-0.40814210000000001</v>
      </c>
      <c r="V7185">
        <v>-0.1080806</v>
      </c>
      <c r="W7185">
        <v>-4.9470889999999997E-2</v>
      </c>
      <c r="X7185">
        <v>0.99291039999999997</v>
      </c>
      <c r="Y7185">
        <v>-0.26139649999999998</v>
      </c>
      <c r="Z7185">
        <v>5.0090089999999997E-2</v>
      </c>
      <c r="AA7185">
        <v>0.96393099999999998</v>
      </c>
      <c r="AB7185">
        <v>21</v>
      </c>
      <c r="AC7185">
        <v>11.0148999999999</v>
      </c>
      <c r="AD7185">
        <v>-1.12317358116599</v>
      </c>
      <c r="AE7185">
        <v>-1.47421</v>
      </c>
      <c r="AF7185">
        <v>-2.9316649689310901</v>
      </c>
      <c r="AG7185">
        <v>-1.12317358116599</v>
      </c>
      <c r="AH7185">
        <v>10.602912703731199</v>
      </c>
      <c r="AI7185">
        <v>95.829684599877595</v>
      </c>
      <c r="AJ7185">
        <v>105.455918936237</v>
      </c>
      <c r="AK7185">
        <v>11.057935439603099</v>
      </c>
      <c r="AL7185">
        <v>92.835630864294103</v>
      </c>
      <c r="AM7185">
        <v>96.2123193081962</v>
      </c>
      <c r="AN7185">
        <v>0.99999992374095303</v>
      </c>
    </row>
    <row r="7186" spans="1:40" x14ac:dyDescent="0.25">
      <c r="A7186" t="str">
        <f>"20190303153950052"</f>
        <v>20190303153950052</v>
      </c>
      <c r="B7186" t="str">
        <f>"1551598790045355"</f>
        <v>1551598790045355</v>
      </c>
      <c r="C7186" t="s">
        <v>40</v>
      </c>
      <c r="D7186">
        <v>4.8397709999999998</v>
      </c>
      <c r="E7186">
        <v>0.43761719999999998</v>
      </c>
      <c r="F7186" t="s">
        <v>42</v>
      </c>
      <c r="G7186">
        <v>-396.92270000000002</v>
      </c>
      <c r="H7186" s="1">
        <v>-1.6295480000000001E-6</v>
      </c>
      <c r="I7186">
        <v>18.520199999999999</v>
      </c>
      <c r="J7186">
        <v>-407.94260000000003</v>
      </c>
      <c r="K7186">
        <v>1.1232439999999999</v>
      </c>
      <c r="L7186">
        <v>19.92633</v>
      </c>
      <c r="M7186">
        <v>0.92122939999999998</v>
      </c>
      <c r="N7186">
        <v>-4.517437E-3</v>
      </c>
      <c r="O7186">
        <v>-0.38899359999999999</v>
      </c>
      <c r="P7186">
        <v>0.95703289999999996</v>
      </c>
      <c r="Q7186">
        <v>-5.3601210000000003E-2</v>
      </c>
      <c r="R7186">
        <v>-0.28498210000000002</v>
      </c>
      <c r="S7186">
        <v>3.0036619999999998</v>
      </c>
      <c r="T7186">
        <v>-0.30319489999999999</v>
      </c>
      <c r="U7186">
        <v>-0.39096069999999999</v>
      </c>
      <c r="V7186">
        <v>-0.1093494</v>
      </c>
      <c r="W7186">
        <v>-4.9995560000000001E-2</v>
      </c>
      <c r="X7186">
        <v>0.99274530000000005</v>
      </c>
      <c r="Y7186">
        <v>-0.26380710000000002</v>
      </c>
      <c r="Z7186">
        <v>4.9992620000000002E-2</v>
      </c>
      <c r="AA7186">
        <v>0.96327910000000005</v>
      </c>
      <c r="AB7186">
        <v>21</v>
      </c>
      <c r="AC7186">
        <v>11.0199</v>
      </c>
      <c r="AD7186">
        <v>-1.123245629548</v>
      </c>
      <c r="AE7186">
        <v>-1.4061300000000001</v>
      </c>
      <c r="AF7186">
        <v>-2.9610616890479</v>
      </c>
      <c r="AG7186">
        <v>-1.123245629548</v>
      </c>
      <c r="AH7186">
        <v>10.5906715386007</v>
      </c>
      <c r="AI7186">
        <v>95.832119323822795</v>
      </c>
      <c r="AJ7186">
        <v>105.620540141097</v>
      </c>
      <c r="AK7186">
        <v>11.0540440884399</v>
      </c>
      <c r="AL7186">
        <v>92.865729158960306</v>
      </c>
      <c r="AM7186">
        <v>96.285704732298797</v>
      </c>
      <c r="AN7186">
        <v>1.0000000389860799</v>
      </c>
    </row>
    <row r="7187" spans="1:40" x14ac:dyDescent="0.25">
      <c r="A7187" t="str">
        <f>"20190303153950064"</f>
        <v>20190303153950064</v>
      </c>
      <c r="B7187" t="str">
        <f>"1551598790056092"</f>
        <v>1551598790056092</v>
      </c>
      <c r="C7187" t="s">
        <v>40</v>
      </c>
      <c r="D7187">
        <v>4.8387229999999999</v>
      </c>
      <c r="E7187">
        <v>0.43748379999999998</v>
      </c>
      <c r="F7187" t="s">
        <v>42</v>
      </c>
      <c r="G7187">
        <v>-396.82040000000001</v>
      </c>
      <c r="H7187" s="1">
        <v>-1.675012E-6</v>
      </c>
      <c r="I7187">
        <v>18.5365</v>
      </c>
      <c r="J7187">
        <v>-407.82799999999997</v>
      </c>
      <c r="K7187">
        <v>1.1233280000000001</v>
      </c>
      <c r="L7187">
        <v>19.881869999999999</v>
      </c>
      <c r="M7187">
        <v>0.92260299999999995</v>
      </c>
      <c r="N7187">
        <v>-4.1757469999999996E-3</v>
      </c>
      <c r="O7187">
        <v>-0.38572869999999998</v>
      </c>
      <c r="P7187">
        <v>0.95830110000000002</v>
      </c>
      <c r="Q7187">
        <v>-5.3966020000000003E-2</v>
      </c>
      <c r="R7187">
        <v>-0.28061849999999999</v>
      </c>
      <c r="S7187">
        <v>3.0058289999999999</v>
      </c>
      <c r="T7187">
        <v>-0.30356470000000002</v>
      </c>
      <c r="U7187">
        <v>-0.37561040000000001</v>
      </c>
      <c r="V7187">
        <v>-0.11032839999999999</v>
      </c>
      <c r="W7187">
        <v>-5.0738739999999997E-2</v>
      </c>
      <c r="X7187">
        <v>0.99259920000000001</v>
      </c>
      <c r="Y7187">
        <v>-0.26531280000000002</v>
      </c>
      <c r="Z7187">
        <v>4.9924679999999999E-2</v>
      </c>
      <c r="AA7187">
        <v>0.96286899999999997</v>
      </c>
      <c r="AB7187">
        <v>21</v>
      </c>
      <c r="AC7187">
        <v>11.0076</v>
      </c>
      <c r="AD7187">
        <v>-1.1233296750120001</v>
      </c>
      <c r="AE7187">
        <v>-1.34537</v>
      </c>
      <c r="AF7187">
        <v>-2.9742121087197799</v>
      </c>
      <c r="AG7187">
        <v>-1.1233296750120001</v>
      </c>
      <c r="AH7187">
        <v>10.566263333246701</v>
      </c>
      <c r="AI7187">
        <v>95.843079254127204</v>
      </c>
      <c r="AJ7187">
        <v>105.720951159219</v>
      </c>
      <c r="AK7187">
        <v>11.034207178312901</v>
      </c>
      <c r="AL7187">
        <v>92.908364539587396</v>
      </c>
      <c r="AM7187">
        <v>96.342449689886294</v>
      </c>
      <c r="AN7187">
        <v>0.99999997371199301</v>
      </c>
    </row>
    <row r="7188" spans="1:40" x14ac:dyDescent="0.25">
      <c r="A7188" t="str">
        <f>"20190303153950078"</f>
        <v>20190303153950078</v>
      </c>
      <c r="B7188" t="str">
        <f>"1551598790075611"</f>
        <v>1551598790075611</v>
      </c>
      <c r="C7188" t="s">
        <v>40</v>
      </c>
      <c r="D7188">
        <v>4.8187280000000001</v>
      </c>
      <c r="E7188">
        <v>0.43733810000000001</v>
      </c>
      <c r="F7188" t="s">
        <v>42</v>
      </c>
      <c r="G7188">
        <v>-396.72120000000001</v>
      </c>
      <c r="H7188" s="1">
        <v>-1.719616E-6</v>
      </c>
      <c r="I7188">
        <v>18.549489999999999</v>
      </c>
      <c r="J7188">
        <v>-407.7133</v>
      </c>
      <c r="K7188">
        <v>1.123416</v>
      </c>
      <c r="L7188">
        <v>19.837949999999999</v>
      </c>
      <c r="M7188">
        <v>0.92398290000000005</v>
      </c>
      <c r="N7188">
        <v>-3.8576109999999999E-3</v>
      </c>
      <c r="O7188">
        <v>-0.38241429999999998</v>
      </c>
      <c r="P7188">
        <v>0.95955659999999998</v>
      </c>
      <c r="Q7188">
        <v>-5.409369E-2</v>
      </c>
      <c r="R7188">
        <v>-0.27626980000000001</v>
      </c>
      <c r="S7188">
        <v>3.0077210000000001</v>
      </c>
      <c r="T7188">
        <v>-0.30419780000000002</v>
      </c>
      <c r="U7188">
        <v>-0.3608093</v>
      </c>
      <c r="V7188">
        <v>-0.1112452</v>
      </c>
      <c r="W7188">
        <v>-5.122078E-2</v>
      </c>
      <c r="X7188">
        <v>0.99247209999999997</v>
      </c>
      <c r="Y7188">
        <v>-0.26658379999999998</v>
      </c>
      <c r="Z7188">
        <v>4.9876990000000003E-2</v>
      </c>
      <c r="AA7188">
        <v>0.9625203</v>
      </c>
      <c r="AB7188">
        <v>21</v>
      </c>
      <c r="AC7188">
        <v>10.992099999999899</v>
      </c>
      <c r="AD7188">
        <v>-1.123417719616</v>
      </c>
      <c r="AE7188">
        <v>-1.2884599999999999</v>
      </c>
      <c r="AF7188">
        <v>-2.9823146909264402</v>
      </c>
      <c r="AG7188">
        <v>-1.123417719616</v>
      </c>
      <c r="AH7188">
        <v>10.540708648117601</v>
      </c>
      <c r="AI7188">
        <v>95.855396645271497</v>
      </c>
      <c r="AJ7188">
        <v>105.79796070409</v>
      </c>
      <c r="AK7188">
        <v>11.011939297551701</v>
      </c>
      <c r="AL7188">
        <v>92.936019380580007</v>
      </c>
      <c r="AM7188">
        <v>96.395531118519202</v>
      </c>
      <c r="AN7188">
        <v>0.99999996605262798</v>
      </c>
    </row>
    <row r="7189" spans="1:40" x14ac:dyDescent="0.25">
      <c r="A7189" t="str">
        <f>"20190303153950097"</f>
        <v>20190303153950097</v>
      </c>
      <c r="B7189" t="str">
        <f>"1551598790085371"</f>
        <v>1551598790085371</v>
      </c>
      <c r="C7189" t="s">
        <v>40</v>
      </c>
      <c r="D7189">
        <v>4.8463520000000004</v>
      </c>
      <c r="E7189">
        <v>0.43736530000000001</v>
      </c>
      <c r="F7189" t="s">
        <v>42</v>
      </c>
      <c r="G7189">
        <v>-396.60860000000002</v>
      </c>
      <c r="H7189" s="1">
        <v>-1.7707480000000001E-6</v>
      </c>
      <c r="I7189">
        <v>18.56128</v>
      </c>
      <c r="J7189">
        <v>-407.54829999999998</v>
      </c>
      <c r="K7189">
        <v>1.123542</v>
      </c>
      <c r="L7189">
        <v>19.775600000000001</v>
      </c>
      <c r="M7189">
        <v>0.92597680000000004</v>
      </c>
      <c r="N7189">
        <v>-3.437168E-3</v>
      </c>
      <c r="O7189">
        <v>-0.37756499999999998</v>
      </c>
      <c r="P7189">
        <v>0.96149090000000004</v>
      </c>
      <c r="Q7189">
        <v>-5.3549390000000002E-2</v>
      </c>
      <c r="R7189">
        <v>-0.26956999999999998</v>
      </c>
      <c r="S7189">
        <v>3.0096440000000002</v>
      </c>
      <c r="T7189">
        <v>-0.30447239999999998</v>
      </c>
      <c r="U7189">
        <v>-0.34600829999999999</v>
      </c>
      <c r="V7189">
        <v>-0.11295669999999999</v>
      </c>
      <c r="W7189">
        <v>-5.1152639999999999E-2</v>
      </c>
      <c r="X7189">
        <v>0.99228229999999995</v>
      </c>
      <c r="Y7189">
        <v>-0.26628269999999998</v>
      </c>
      <c r="Z7189">
        <v>4.9570839999999998E-2</v>
      </c>
      <c r="AA7189">
        <v>0.96261949999999996</v>
      </c>
      <c r="AB7189">
        <v>21</v>
      </c>
      <c r="AC7189">
        <v>10.939699999999901</v>
      </c>
      <c r="AD7189">
        <v>-1.123543770748</v>
      </c>
      <c r="AE7189">
        <v>-1.2143200000000001</v>
      </c>
      <c r="AF7189">
        <v>-2.9750345203813402</v>
      </c>
      <c r="AG7189">
        <v>-1.123543770748</v>
      </c>
      <c r="AH7189">
        <v>10.479265047565899</v>
      </c>
      <c r="AI7189">
        <v>95.888665150663698</v>
      </c>
      <c r="AJ7189">
        <v>105.849098493751</v>
      </c>
      <c r="AK7189">
        <v>10.951172400221999</v>
      </c>
      <c r="AL7189">
        <v>92.932110063512397</v>
      </c>
      <c r="AM7189">
        <v>96.494323305855005</v>
      </c>
      <c r="AN7189">
        <v>0.99999998577357396</v>
      </c>
    </row>
    <row r="7190" spans="1:40" x14ac:dyDescent="0.25">
      <c r="A7190" t="str">
        <f>"20190303153950109"</f>
        <v>20190303153950109</v>
      </c>
      <c r="B7190" t="str">
        <f>"1551598790105868"</f>
        <v>1551598790105868</v>
      </c>
      <c r="C7190" t="s">
        <v>40</v>
      </c>
      <c r="D7190">
        <v>4.8298269999999999</v>
      </c>
      <c r="E7190">
        <v>0.43754110000000002</v>
      </c>
      <c r="F7190" t="s">
        <v>42</v>
      </c>
      <c r="G7190">
        <v>-396.35879999999997</v>
      </c>
      <c r="H7190" s="1">
        <v>-1.887716E-6</v>
      </c>
      <c r="I7190">
        <v>18.56756</v>
      </c>
      <c r="J7190">
        <v>-407.42880000000002</v>
      </c>
      <c r="K7190">
        <v>1.1236349999999999</v>
      </c>
      <c r="L7190">
        <v>19.730989999999998</v>
      </c>
      <c r="M7190">
        <v>0.92742449999999999</v>
      </c>
      <c r="N7190">
        <v>-3.1560199999999998E-3</v>
      </c>
      <c r="O7190">
        <v>-0.37399739999999998</v>
      </c>
      <c r="P7190">
        <v>0.962754</v>
      </c>
      <c r="Q7190">
        <v>-5.2744390000000002E-2</v>
      </c>
      <c r="R7190">
        <v>-0.26518530000000001</v>
      </c>
      <c r="S7190">
        <v>3.0121150000000001</v>
      </c>
      <c r="T7190">
        <v>-0.30244840000000001</v>
      </c>
      <c r="U7190">
        <v>-0.32519530000000002</v>
      </c>
      <c r="V7190">
        <v>-0.113666</v>
      </c>
      <c r="W7190">
        <v>-5.066408E-2</v>
      </c>
      <c r="X7190">
        <v>0.99222639999999995</v>
      </c>
      <c r="Y7190">
        <v>-0.2692677</v>
      </c>
      <c r="Z7190">
        <v>4.913228E-2</v>
      </c>
      <c r="AA7190">
        <v>0.96181130000000004</v>
      </c>
      <c r="AB7190">
        <v>22</v>
      </c>
      <c r="AC7190">
        <v>11.07</v>
      </c>
      <c r="AD7190">
        <v>-1.1236368877159999</v>
      </c>
      <c r="AE7190">
        <v>-1.16342999999999</v>
      </c>
      <c r="AF7190">
        <v>-3.0302931128924002</v>
      </c>
      <c r="AG7190">
        <v>-1.1236368877159999</v>
      </c>
      <c r="AH7190">
        <v>10.593807294148499</v>
      </c>
      <c r="AI7190">
        <v>95.822642997516496</v>
      </c>
      <c r="AJ7190">
        <v>105.962850360075</v>
      </c>
      <c r="AK7190">
        <v>11.075829052086</v>
      </c>
      <c r="AL7190">
        <v>92.904081196966899</v>
      </c>
      <c r="AM7190">
        <v>96.535117066608194</v>
      </c>
      <c r="AN7190">
        <v>1.0000000187075999</v>
      </c>
    </row>
    <row r="7191" spans="1:40" x14ac:dyDescent="0.25">
      <c r="A7191" t="str">
        <f>"20190303153950122"</f>
        <v>20190303153950122</v>
      </c>
      <c r="B7191" t="str">
        <f>"1551598790115628"</f>
        <v>1551598790115628</v>
      </c>
      <c r="C7191" t="s">
        <v>40</v>
      </c>
      <c r="D7191">
        <v>4.8222889999999996</v>
      </c>
      <c r="E7191">
        <v>0.43760710000000003</v>
      </c>
      <c r="F7191" t="s">
        <v>42</v>
      </c>
      <c r="G7191">
        <v>-396.13209999999998</v>
      </c>
      <c r="H7191" s="1">
        <v>-1.9965229999999999E-6</v>
      </c>
      <c r="I7191">
        <v>18.558260000000001</v>
      </c>
      <c r="J7191">
        <v>-407.31310000000002</v>
      </c>
      <c r="K7191">
        <v>1.1237200000000001</v>
      </c>
      <c r="L7191">
        <v>19.688690000000001</v>
      </c>
      <c r="M7191">
        <v>0.92884100000000003</v>
      </c>
      <c r="N7191">
        <v>-2.916901E-3</v>
      </c>
      <c r="O7191">
        <v>-0.3704672</v>
      </c>
      <c r="P7191">
        <v>0.96392339999999999</v>
      </c>
      <c r="Q7191">
        <v>-5.1912670000000001E-2</v>
      </c>
      <c r="R7191">
        <v>-0.26106839999999998</v>
      </c>
      <c r="S7191">
        <v>3.0134889999999999</v>
      </c>
      <c r="T7191">
        <v>-0.29974010000000001</v>
      </c>
      <c r="U7191">
        <v>-0.31283569999999999</v>
      </c>
      <c r="V7191">
        <v>-0.1141419</v>
      </c>
      <c r="W7191">
        <v>-5.0102099999999997E-2</v>
      </c>
      <c r="X7191">
        <v>0.99220030000000004</v>
      </c>
      <c r="Y7191">
        <v>-0.2696171</v>
      </c>
      <c r="Z7191">
        <v>4.8444639999999997E-2</v>
      </c>
      <c r="AA7191">
        <v>0.9617483</v>
      </c>
      <c r="AB7191">
        <v>22</v>
      </c>
      <c r="AC7191">
        <v>11.180999999999999</v>
      </c>
      <c r="AD7191">
        <v>-1.1237219965230001</v>
      </c>
      <c r="AE7191">
        <v>-1.13043</v>
      </c>
      <c r="AF7191">
        <v>-3.0616052913181502</v>
      </c>
      <c r="AG7191">
        <v>-1.1237219965230001</v>
      </c>
      <c r="AH7191">
        <v>10.6972464834862</v>
      </c>
      <c r="AI7191">
        <v>95.766910765623606</v>
      </c>
      <c r="AJ7191">
        <v>105.97138575058599</v>
      </c>
      <c r="AK7191">
        <v>11.183347460119199</v>
      </c>
      <c r="AL7191">
        <v>92.8718411810069</v>
      </c>
      <c r="AM7191">
        <v>96.562411431066394</v>
      </c>
      <c r="AN7191">
        <v>1.0000000145400501</v>
      </c>
    </row>
    <row r="7192" spans="1:40" x14ac:dyDescent="0.25">
      <c r="A7192" t="str">
        <f>"20190303153950139"</f>
        <v>20190303153950139</v>
      </c>
      <c r="B7192" t="str">
        <f>"1551598790136123"</f>
        <v>1551598790136123</v>
      </c>
      <c r="C7192" t="s">
        <v>40</v>
      </c>
      <c r="D7192">
        <v>4.8603569999999996</v>
      </c>
      <c r="E7192">
        <v>0.43786750000000002</v>
      </c>
      <c r="F7192" t="s">
        <v>42</v>
      </c>
      <c r="G7192">
        <v>-395.91109999999998</v>
      </c>
      <c r="H7192" s="1">
        <v>-2.1020360000000001E-6</v>
      </c>
      <c r="I7192">
        <v>18.552340000000001</v>
      </c>
      <c r="J7192">
        <v>-407.1671</v>
      </c>
      <c r="K7192">
        <v>1.1238189999999999</v>
      </c>
      <c r="L7192">
        <v>19.63589</v>
      </c>
      <c r="M7192">
        <v>0.93063130000000005</v>
      </c>
      <c r="N7192">
        <v>-2.6357469999999999E-3</v>
      </c>
      <c r="O7192">
        <v>-0.36594860000000001</v>
      </c>
      <c r="P7192">
        <v>0.96541379999999999</v>
      </c>
      <c r="Q7192">
        <v>-5.0622319999999998E-2</v>
      </c>
      <c r="R7192">
        <v>-0.25576079999999901</v>
      </c>
      <c r="S7192">
        <v>3.0149539999999999</v>
      </c>
      <c r="T7192">
        <v>-0.29713810000000002</v>
      </c>
      <c r="U7192">
        <v>-0.30047610000000002</v>
      </c>
      <c r="V7192">
        <v>-0.1147989</v>
      </c>
      <c r="W7192">
        <v>-4.9131059999999997E-2</v>
      </c>
      <c r="X7192">
        <v>0.99217310000000003</v>
      </c>
      <c r="Y7192">
        <v>-0.26895780000000002</v>
      </c>
      <c r="Z7192">
        <v>4.7646920000000002E-2</v>
      </c>
      <c r="AA7192">
        <v>0.96197270000000001</v>
      </c>
      <c r="AB7192">
        <v>22</v>
      </c>
      <c r="AC7192">
        <v>11.256</v>
      </c>
      <c r="AD7192">
        <v>-1.1238211020360001</v>
      </c>
      <c r="AE7192">
        <v>-1.08354999999999</v>
      </c>
      <c r="AF7192">
        <v>-3.0803188231890402</v>
      </c>
      <c r="AG7192">
        <v>-1.1238211020360001</v>
      </c>
      <c r="AH7192">
        <v>10.765418745149899</v>
      </c>
      <c r="AI7192">
        <v>95.731249126006205</v>
      </c>
      <c r="AJ7192">
        <v>105.967461538531</v>
      </c>
      <c r="AK7192">
        <v>11.253691780046999</v>
      </c>
      <c r="AL7192">
        <v>92.816135963638501</v>
      </c>
      <c r="AM7192">
        <v>96.600031658121594</v>
      </c>
      <c r="AN7192">
        <v>1.0000000544307699</v>
      </c>
    </row>
    <row r="7193" spans="1:40" x14ac:dyDescent="0.25">
      <c r="A7193" t="str">
        <f>"20190303153950154"</f>
        <v>20190303153950154</v>
      </c>
      <c r="B7193" t="str">
        <f>"1551598790145883"</f>
        <v>1551598790145883</v>
      </c>
      <c r="C7193" t="s">
        <v>40</v>
      </c>
      <c r="D7193">
        <v>4.8523560000000003</v>
      </c>
      <c r="E7193">
        <v>0.43806089999999998</v>
      </c>
      <c r="F7193" t="s">
        <v>42</v>
      </c>
      <c r="G7193">
        <v>-395.61720000000003</v>
      </c>
      <c r="H7193" s="1">
        <v>-2.243018E-6</v>
      </c>
      <c r="I7193">
        <v>18.540959999999998</v>
      </c>
      <c r="J7193">
        <v>-407.0163</v>
      </c>
      <c r="K7193">
        <v>1.12392</v>
      </c>
      <c r="L7193">
        <v>19.58221</v>
      </c>
      <c r="M7193">
        <v>0.93248620000000004</v>
      </c>
      <c r="N7193">
        <v>-2.3737179999999999E-3</v>
      </c>
      <c r="O7193">
        <v>-0.36119780000000001</v>
      </c>
      <c r="P7193">
        <v>0.96676589999999996</v>
      </c>
      <c r="Q7193">
        <v>-5.0256629999999997E-2</v>
      </c>
      <c r="R7193">
        <v>-0.25067519999999999</v>
      </c>
      <c r="S7193">
        <v>3.016327</v>
      </c>
      <c r="T7193">
        <v>-0.29349330000000001</v>
      </c>
      <c r="U7193">
        <v>-0.28594969999999997</v>
      </c>
      <c r="V7193">
        <v>-0.1149554</v>
      </c>
      <c r="W7193">
        <v>-4.9060699999999999E-2</v>
      </c>
      <c r="X7193">
        <v>0.9921584</v>
      </c>
      <c r="Y7193">
        <v>-0.26876749999999999</v>
      </c>
      <c r="Z7193">
        <v>4.6688739999999999E-2</v>
      </c>
      <c r="AA7193">
        <v>0.96207279999999995</v>
      </c>
      <c r="AB7193">
        <v>22</v>
      </c>
      <c r="AC7193">
        <v>11.399099999999899</v>
      </c>
      <c r="AD7193">
        <v>-1.123922243018</v>
      </c>
      <c r="AE7193">
        <v>-1.04124999999999</v>
      </c>
      <c r="AF7193">
        <v>-3.1163427475941301</v>
      </c>
      <c r="AG7193">
        <v>-1.123922243018</v>
      </c>
      <c r="AH7193">
        <v>10.900539408655201</v>
      </c>
      <c r="AI7193">
        <v>95.661536144836404</v>
      </c>
      <c r="AJ7193">
        <v>105.954642766978</v>
      </c>
      <c r="AK7193">
        <v>11.3928290046186</v>
      </c>
      <c r="AL7193">
        <v>92.812099936970696</v>
      </c>
      <c r="AM7193">
        <v>96.609046684073803</v>
      </c>
      <c r="AN7193">
        <v>0.999999993482104</v>
      </c>
    </row>
    <row r="7194" spans="1:40" x14ac:dyDescent="0.25">
      <c r="A7194" t="str">
        <f>"20190303153950171"</f>
        <v>20190303153950171</v>
      </c>
      <c r="B7194" t="str">
        <f>"1551598790165403"</f>
        <v>1551598790165403</v>
      </c>
      <c r="C7194" t="s">
        <v>40</v>
      </c>
      <c r="D7194">
        <v>4.846908</v>
      </c>
      <c r="E7194">
        <v>0.43844309999999997</v>
      </c>
      <c r="F7194" t="s">
        <v>42</v>
      </c>
      <c r="G7194">
        <v>-395.42270000000002</v>
      </c>
      <c r="H7194" s="1">
        <v>-2.335343E-6</v>
      </c>
      <c r="I7194">
        <v>18.53867</v>
      </c>
      <c r="J7194">
        <v>-406.87099999999998</v>
      </c>
      <c r="K7194">
        <v>1.124015</v>
      </c>
      <c r="L7194">
        <v>19.531369999999999</v>
      </c>
      <c r="M7194">
        <v>0.93427590000000005</v>
      </c>
      <c r="N7194">
        <v>-2.1458779999999999E-3</v>
      </c>
      <c r="O7194">
        <v>-0.35654459999999999</v>
      </c>
      <c r="P7194">
        <v>0.96804860000000004</v>
      </c>
      <c r="Q7194">
        <v>-5.0156939999999997E-2</v>
      </c>
      <c r="R7194">
        <v>-0.2456962</v>
      </c>
      <c r="S7194">
        <v>3.017487</v>
      </c>
      <c r="T7194">
        <v>-0.29252650000000002</v>
      </c>
      <c r="U7194">
        <v>-0.27160640000000003</v>
      </c>
      <c r="V7194">
        <v>-0.1151025</v>
      </c>
      <c r="W7194">
        <v>-4.922054E-2</v>
      </c>
      <c r="X7194">
        <v>0.99213340000000005</v>
      </c>
      <c r="Y7194">
        <v>-0.26857120000000001</v>
      </c>
      <c r="Z7194">
        <v>4.6165980000000002E-2</v>
      </c>
      <c r="AA7194">
        <v>0.96215289999999998</v>
      </c>
      <c r="AB7194">
        <v>22</v>
      </c>
      <c r="AC7194">
        <v>11.4482999999999</v>
      </c>
      <c r="AD7194">
        <v>-1.1240173353430001</v>
      </c>
      <c r="AE7194">
        <v>-0.99270000000000203</v>
      </c>
      <c r="AF7194">
        <v>-3.1244865662857202</v>
      </c>
      <c r="AG7194">
        <v>-1.1240173353430001</v>
      </c>
      <c r="AH7194">
        <v>10.945117038312</v>
      </c>
      <c r="AI7194">
        <v>95.639722572907701</v>
      </c>
      <c r="AJ7194">
        <v>105.932377448335</v>
      </c>
      <c r="AK7194">
        <v>11.4377191019626</v>
      </c>
      <c r="AL7194">
        <v>92.821269251837904</v>
      </c>
      <c r="AM7194">
        <v>96.617594104832094</v>
      </c>
      <c r="AN7194">
        <v>0.99999996522985002</v>
      </c>
    </row>
    <row r="7195" spans="1:40" x14ac:dyDescent="0.25">
      <c r="A7195" t="str">
        <f>"20190303153950187"</f>
        <v>20190303153950187</v>
      </c>
      <c r="B7195" t="str">
        <f>"1551598790176139"</f>
        <v>1551598790176139</v>
      </c>
      <c r="C7195" t="s">
        <v>40</v>
      </c>
      <c r="D7195">
        <v>4.8603239999999897</v>
      </c>
      <c r="E7195">
        <v>0.43860919999999998</v>
      </c>
      <c r="F7195" t="s">
        <v>42</v>
      </c>
      <c r="G7195">
        <v>-395.2534</v>
      </c>
      <c r="H7195" s="1">
        <v>-2.4160759999999998E-6</v>
      </c>
      <c r="I7195">
        <v>18.534649999999999</v>
      </c>
      <c r="J7195">
        <v>-406.7072</v>
      </c>
      <c r="K7195">
        <v>1.1241129999999999</v>
      </c>
      <c r="L7195">
        <v>19.47522</v>
      </c>
      <c r="M7195">
        <v>0.93630310000000005</v>
      </c>
      <c r="N7195">
        <v>-1.92095E-3</v>
      </c>
      <c r="O7195">
        <v>-0.35118769999999999</v>
      </c>
      <c r="P7195">
        <v>0.96926749999999995</v>
      </c>
      <c r="Q7195">
        <v>-5.083874E-2</v>
      </c>
      <c r="R7195">
        <v>-0.24069879999999999</v>
      </c>
      <c r="S7195">
        <v>3.0181580000000001</v>
      </c>
      <c r="T7195">
        <v>-0.29201050000000001</v>
      </c>
      <c r="U7195">
        <v>-0.2589417</v>
      </c>
      <c r="V7195">
        <v>-0.11450059999999999</v>
      </c>
      <c r="W7195">
        <v>-5.015468E-2</v>
      </c>
      <c r="X7195">
        <v>0.99215629999999999</v>
      </c>
      <c r="Y7195">
        <v>-0.26711580000000001</v>
      </c>
      <c r="Z7195">
        <v>4.5593920000000003E-2</v>
      </c>
      <c r="AA7195">
        <v>0.96258520000000003</v>
      </c>
      <c r="AB7195">
        <v>22</v>
      </c>
      <c r="AC7195">
        <v>11.453799999999999</v>
      </c>
      <c r="AD7195">
        <v>-1.1241154160760001</v>
      </c>
      <c r="AE7195">
        <v>-0.94057000000000102</v>
      </c>
      <c r="AF7195">
        <v>-3.1120064040731501</v>
      </c>
      <c r="AG7195">
        <v>-1.1241154160760001</v>
      </c>
      <c r="AH7195">
        <v>10.949802020675</v>
      </c>
      <c r="AI7195">
        <v>95.639676441463294</v>
      </c>
      <c r="AJ7195">
        <v>105.865501596475</v>
      </c>
      <c r="AK7195">
        <v>11.438810411036201</v>
      </c>
      <c r="AL7195">
        <v>92.874857622911193</v>
      </c>
      <c r="AM7195">
        <v>96.583142976647196</v>
      </c>
      <c r="AN7195">
        <v>1.00000000147797</v>
      </c>
    </row>
    <row r="7196" spans="1:40" x14ac:dyDescent="0.25">
      <c r="A7196" t="str">
        <f>"20190303153950199"</f>
        <v>20190303153950199</v>
      </c>
      <c r="B7196" t="str">
        <f>"1551598790195660"</f>
        <v>1551598790195660</v>
      </c>
      <c r="C7196" t="s">
        <v>40</v>
      </c>
      <c r="D7196">
        <v>4.8566260000000003</v>
      </c>
      <c r="E7196">
        <v>0.43900030000000001</v>
      </c>
      <c r="F7196" t="s">
        <v>42</v>
      </c>
      <c r="G7196">
        <v>-395.16219999999998</v>
      </c>
      <c r="H7196" s="1">
        <v>-2.4583109999999999E-6</v>
      </c>
      <c r="I7196">
        <v>18.539719999999999</v>
      </c>
      <c r="J7196">
        <v>-406.6003</v>
      </c>
      <c r="K7196">
        <v>1.124179</v>
      </c>
      <c r="L7196">
        <v>19.43927</v>
      </c>
      <c r="M7196">
        <v>0.93762939999999995</v>
      </c>
      <c r="N7196">
        <v>-1.7911019999999999E-3</v>
      </c>
      <c r="O7196">
        <v>-0.3476321</v>
      </c>
      <c r="P7196">
        <v>0.97004369999999995</v>
      </c>
      <c r="Q7196">
        <v>-5.1436389999999999E-2</v>
      </c>
      <c r="R7196">
        <v>-0.23742269999999999</v>
      </c>
      <c r="S7196">
        <v>3.0189819999999998</v>
      </c>
      <c r="T7196">
        <v>-0.29395199999999999</v>
      </c>
      <c r="U7196">
        <v>-0.24462890000000001</v>
      </c>
      <c r="V7196">
        <v>-0.1140587</v>
      </c>
      <c r="W7196">
        <v>-5.0899369999999999E-2</v>
      </c>
      <c r="X7196">
        <v>0.99216930000000003</v>
      </c>
      <c r="Y7196">
        <v>-0.2679861</v>
      </c>
      <c r="Z7196">
        <v>4.5655710000000002E-2</v>
      </c>
      <c r="AA7196">
        <v>0.96234039999999998</v>
      </c>
      <c r="AB7196">
        <v>22</v>
      </c>
      <c r="AC7196">
        <v>11.4381</v>
      </c>
      <c r="AD7196">
        <v>-1.1241814583109999</v>
      </c>
      <c r="AE7196">
        <v>-0.89954999999999696</v>
      </c>
      <c r="AF7196">
        <v>-3.10302084914054</v>
      </c>
      <c r="AG7196">
        <v>-1.1241814583109999</v>
      </c>
      <c r="AH7196">
        <v>10.932472430687501</v>
      </c>
      <c r="AI7196">
        <v>95.649435968919605</v>
      </c>
      <c r="AJ7196">
        <v>105.845810148665</v>
      </c>
      <c r="AK7196">
        <v>11.419784402043399</v>
      </c>
      <c r="AL7196">
        <v>92.917579714423496</v>
      </c>
      <c r="AM7196">
        <v>96.557872763154407</v>
      </c>
      <c r="AN7196">
        <v>1.0000000263872799</v>
      </c>
    </row>
    <row r="7197" spans="1:40" x14ac:dyDescent="0.25">
      <c r="A7197" t="str">
        <f>"20190303153950217"</f>
        <v>20190303153950217</v>
      </c>
      <c r="B7197" t="str">
        <f>"1551598790205419"</f>
        <v>1551598790205419</v>
      </c>
      <c r="C7197" t="s">
        <v>40</v>
      </c>
      <c r="D7197">
        <v>4.8338390000000002</v>
      </c>
      <c r="E7197">
        <v>0.43922329999999998</v>
      </c>
      <c r="F7197" t="s">
        <v>42</v>
      </c>
      <c r="G7197">
        <v>-395.13720000000001</v>
      </c>
      <c r="H7197" s="1">
        <v>-2.4704519999999998E-6</v>
      </c>
      <c r="I7197">
        <v>18.53783</v>
      </c>
      <c r="J7197">
        <v>-406.428</v>
      </c>
      <c r="K7197">
        <v>1.124288</v>
      </c>
      <c r="L7197">
        <v>19.38214</v>
      </c>
      <c r="M7197">
        <v>0.93975730000000002</v>
      </c>
      <c r="N7197">
        <v>-1.5987569999999999E-3</v>
      </c>
      <c r="O7197">
        <v>-0.34183859999999999</v>
      </c>
      <c r="P7197">
        <v>0.97117290000000001</v>
      </c>
      <c r="Q7197">
        <v>-5.2032250000000002E-2</v>
      </c>
      <c r="R7197">
        <v>-0.23262769999999999</v>
      </c>
      <c r="S7197">
        <v>3.0188290000000002</v>
      </c>
      <c r="T7197">
        <v>-0.29605690000000001</v>
      </c>
      <c r="U7197">
        <v>-0.2373962</v>
      </c>
      <c r="V7197">
        <v>-0.1128002</v>
      </c>
      <c r="W7197">
        <v>-5.170926E-2</v>
      </c>
      <c r="X7197">
        <v>0.99227120000000002</v>
      </c>
      <c r="Y7197">
        <v>-0.26432559999999999</v>
      </c>
      <c r="Z7197">
        <v>4.5330000000000002E-2</v>
      </c>
      <c r="AA7197">
        <v>0.96336759999999999</v>
      </c>
      <c r="AB7197">
        <v>23</v>
      </c>
      <c r="AC7197">
        <v>11.290800000000001</v>
      </c>
      <c r="AD7197">
        <v>-1.124290470452</v>
      </c>
      <c r="AE7197">
        <v>-0.84431</v>
      </c>
      <c r="AF7197">
        <v>-3.03625069692337</v>
      </c>
      <c r="AG7197">
        <v>-1.124290470452</v>
      </c>
      <c r="AH7197">
        <v>10.7928241329166</v>
      </c>
      <c r="AI7197">
        <v>95.726344101805196</v>
      </c>
      <c r="AJ7197">
        <v>105.712420446238</v>
      </c>
      <c r="AK7197">
        <v>11.2680033777321</v>
      </c>
      <c r="AL7197">
        <v>92.964044459474707</v>
      </c>
      <c r="AM7197">
        <v>96.485474149190793</v>
      </c>
      <c r="AN7197">
        <v>0.99999993351961103</v>
      </c>
    </row>
    <row r="7198" spans="1:40" x14ac:dyDescent="0.25">
      <c r="A7198" t="str">
        <f>"20190303153950227"</f>
        <v>20190303153950227</v>
      </c>
      <c r="B7198" t="str">
        <f>"1551598790216156"</f>
        <v>1551598790216156</v>
      </c>
      <c r="C7198" t="s">
        <v>40</v>
      </c>
      <c r="D7198">
        <v>4.8659610000000004</v>
      </c>
      <c r="E7198">
        <v>0.43937349999999997</v>
      </c>
      <c r="F7198" t="s">
        <v>42</v>
      </c>
      <c r="G7198">
        <v>-395.01740000000001</v>
      </c>
      <c r="H7198" s="1">
        <v>-2.5276339999999998E-6</v>
      </c>
      <c r="I7198">
        <v>18.53471</v>
      </c>
      <c r="J7198">
        <v>-406.32089999999999</v>
      </c>
      <c r="K7198">
        <v>1.1243620000000001</v>
      </c>
      <c r="L7198">
        <v>19.34714</v>
      </c>
      <c r="M7198">
        <v>0.94107529999999995</v>
      </c>
      <c r="N7198">
        <v>-1.4893370000000001E-3</v>
      </c>
      <c r="O7198">
        <v>-0.3381941</v>
      </c>
      <c r="P7198">
        <v>0.97190489999999996</v>
      </c>
      <c r="Q7198">
        <v>-5.1882539999999998E-2</v>
      </c>
      <c r="R7198">
        <v>-0.22958509999999999</v>
      </c>
      <c r="S7198">
        <v>3.019409</v>
      </c>
      <c r="T7198">
        <v>-0.29750369999999998</v>
      </c>
      <c r="U7198">
        <v>-0.2242432</v>
      </c>
      <c r="V7198">
        <v>-0.1120551</v>
      </c>
      <c r="W7198">
        <v>-5.1682970000000002E-2</v>
      </c>
      <c r="X7198">
        <v>0.99235709999999999</v>
      </c>
      <c r="Y7198">
        <v>-0.2647603</v>
      </c>
      <c r="Z7198">
        <v>4.526956E-2</v>
      </c>
      <c r="AA7198">
        <v>0.96325110000000003</v>
      </c>
      <c r="AB7198">
        <v>23</v>
      </c>
      <c r="AC7198">
        <v>11.3034999999999</v>
      </c>
      <c r="AD7198">
        <v>-1.124364527634</v>
      </c>
      <c r="AE7198">
        <v>-0.81242999999999899</v>
      </c>
      <c r="AF7198">
        <v>-3.0284120584637799</v>
      </c>
      <c r="AG7198">
        <v>-1.124364527634</v>
      </c>
      <c r="AH7198">
        <v>10.805847138528801</v>
      </c>
      <c r="AI7198">
        <v>95.721437201544703</v>
      </c>
      <c r="AJ7198">
        <v>105.65588902108</v>
      </c>
      <c r="AK7198">
        <v>11.2783778784052</v>
      </c>
      <c r="AL7198">
        <v>92.962535807796897</v>
      </c>
      <c r="AM7198">
        <v>96.442442839484599</v>
      </c>
      <c r="AN7198">
        <v>1.0000000443722099</v>
      </c>
    </row>
    <row r="7199" spans="1:40" x14ac:dyDescent="0.25">
      <c r="A7199" t="str">
        <f>"20190303153950239"</f>
        <v>20190303153950239</v>
      </c>
      <c r="B7199" t="str">
        <f>"1551598790235676"</f>
        <v>1551598790235676</v>
      </c>
      <c r="C7199" t="s">
        <v>40</v>
      </c>
      <c r="D7199">
        <v>4.8735799999999996</v>
      </c>
      <c r="E7199">
        <v>0.4396698</v>
      </c>
      <c r="F7199" t="s">
        <v>42</v>
      </c>
      <c r="G7199">
        <v>-394.82420000000002</v>
      </c>
      <c r="H7199" s="1">
        <v>-2.6206290000000001E-6</v>
      </c>
      <c r="I7199">
        <v>18.525189999999998</v>
      </c>
      <c r="J7199">
        <v>-406.2174</v>
      </c>
      <c r="K7199">
        <v>1.1244369999999999</v>
      </c>
      <c r="L7199">
        <v>19.314060000000001</v>
      </c>
      <c r="M7199">
        <v>0.94235190000000002</v>
      </c>
      <c r="N7199">
        <v>-1.397531E-3</v>
      </c>
      <c r="O7199">
        <v>-0.33462069999999999</v>
      </c>
      <c r="P7199">
        <v>0.97268460000000001</v>
      </c>
      <c r="Q7199">
        <v>-5.1526629999999997E-2</v>
      </c>
      <c r="R7199">
        <v>-0.22634000000000001</v>
      </c>
      <c r="S7199">
        <v>3.0199579999999999</v>
      </c>
      <c r="T7199">
        <v>-0.29535109999999998</v>
      </c>
      <c r="U7199">
        <v>-0.21591189999999999</v>
      </c>
      <c r="V7199">
        <v>-0.1116004</v>
      </c>
      <c r="W7199">
        <v>-5.1435410000000001E-2</v>
      </c>
      <c r="X7199">
        <v>0.9924212</v>
      </c>
      <c r="Y7199">
        <v>-0.263818099999999</v>
      </c>
      <c r="Z7199">
        <v>4.4589610000000002E-2</v>
      </c>
      <c r="AA7199">
        <v>0.96354130000000004</v>
      </c>
      <c r="AB7199">
        <v>23</v>
      </c>
      <c r="AC7199">
        <v>11.393199999999901</v>
      </c>
      <c r="AD7199">
        <v>-1.1244396206289999</v>
      </c>
      <c r="AE7199">
        <v>-0.78887000000000196</v>
      </c>
      <c r="AF7199">
        <v>-3.0395449114555602</v>
      </c>
      <c r="AG7199">
        <v>-1.1244396206289999</v>
      </c>
      <c r="AH7199">
        <v>10.8947721709219</v>
      </c>
      <c r="AI7199">
        <v>95.677271495149498</v>
      </c>
      <c r="AJ7199">
        <v>105.588631351182</v>
      </c>
      <c r="AK7199">
        <v>11.36658516818</v>
      </c>
      <c r="AL7199">
        <v>92.948332774117702</v>
      </c>
      <c r="AM7199">
        <v>96.416108017968796</v>
      </c>
      <c r="AN7199">
        <v>1.00000004444573</v>
      </c>
    </row>
    <row r="7200" spans="1:40" x14ac:dyDescent="0.25">
      <c r="A7200" t="str">
        <f>"20190303153950250"</f>
        <v>20190303153950250</v>
      </c>
      <c r="B7200" t="str">
        <f>"1551598790245435"</f>
        <v>1551598790245435</v>
      </c>
      <c r="C7200" t="s">
        <v>40</v>
      </c>
      <c r="D7200">
        <v>4.8753739999999999</v>
      </c>
      <c r="E7200">
        <v>0.43981730000000002</v>
      </c>
      <c r="F7200" t="s">
        <v>42</v>
      </c>
      <c r="G7200">
        <v>-394.56549999999999</v>
      </c>
      <c r="H7200" s="1">
        <v>-2.7454929999999998E-6</v>
      </c>
      <c r="I7200">
        <v>18.51079</v>
      </c>
      <c r="J7200">
        <v>-406.10759999999999</v>
      </c>
      <c r="K7200">
        <v>1.124514</v>
      </c>
      <c r="L7200">
        <v>19.279109999999999</v>
      </c>
      <c r="M7200">
        <v>0.9436947</v>
      </c>
      <c r="N7200">
        <v>-1.3023310000000001E-3</v>
      </c>
      <c r="O7200">
        <v>-0.33081559999999999</v>
      </c>
      <c r="P7200">
        <v>0.97342059999999997</v>
      </c>
      <c r="Q7200">
        <v>-5.1448029999999999E-2</v>
      </c>
      <c r="R7200">
        <v>-0.22317219999999999</v>
      </c>
      <c r="S7200">
        <v>3.0203859999999998</v>
      </c>
      <c r="T7200">
        <v>-0.29147610000000002</v>
      </c>
      <c r="U7200">
        <v>-0.2082214</v>
      </c>
      <c r="V7200">
        <v>-0.1108174</v>
      </c>
      <c r="W7200">
        <v>-5.1465810000000001E-2</v>
      </c>
      <c r="X7200">
        <v>0.99250729999999998</v>
      </c>
      <c r="Y7200">
        <v>-0.26247120000000002</v>
      </c>
      <c r="Z7200">
        <v>4.3616750000000003E-2</v>
      </c>
      <c r="AA7200">
        <v>0.96395359999999997</v>
      </c>
      <c r="AB7200">
        <v>23</v>
      </c>
      <c r="AC7200">
        <v>11.5421</v>
      </c>
      <c r="AD7200">
        <v>-1.1245167454930001</v>
      </c>
      <c r="AE7200">
        <v>-0.768319999999999</v>
      </c>
      <c r="AF7200">
        <v>-3.06429108398715</v>
      </c>
      <c r="AG7200">
        <v>-1.1245167454930001</v>
      </c>
      <c r="AH7200">
        <v>11.0420485601948</v>
      </c>
      <c r="AI7200">
        <v>95.604544173429602</v>
      </c>
      <c r="AJ7200">
        <v>105.509925232521</v>
      </c>
      <c r="AK7200">
        <v>11.5143933476323</v>
      </c>
      <c r="AL7200">
        <v>92.950077056724098</v>
      </c>
      <c r="AM7200">
        <v>96.370915247711096</v>
      </c>
      <c r="AN7200">
        <v>0.99999998314750205</v>
      </c>
    </row>
    <row r="7201" spans="1:40" x14ac:dyDescent="0.25">
      <c r="A7201" t="str">
        <f>"20190303153950261"</f>
        <v>20190303153950261</v>
      </c>
      <c r="B7201" t="str">
        <f>"1551598790256172"</f>
        <v>1551598790256172</v>
      </c>
      <c r="C7201" t="s">
        <v>40</v>
      </c>
      <c r="D7201">
        <v>4.8837780000000004</v>
      </c>
      <c r="E7201">
        <v>0.43998100000000001</v>
      </c>
      <c r="F7201" t="s">
        <v>42</v>
      </c>
      <c r="G7201">
        <v>-394.40870000000001</v>
      </c>
      <c r="H7201" s="1">
        <v>-2.8204339999999998E-6</v>
      </c>
      <c r="I7201">
        <v>18.50628</v>
      </c>
      <c r="J7201">
        <v>-406.00029999999998</v>
      </c>
      <c r="K7201">
        <v>1.1245849999999999</v>
      </c>
      <c r="L7201">
        <v>19.245819999999998</v>
      </c>
      <c r="M7201">
        <v>0.94500879999999998</v>
      </c>
      <c r="N7201">
        <v>-1.222896E-3</v>
      </c>
      <c r="O7201">
        <v>-0.32704250000000001</v>
      </c>
      <c r="P7201">
        <v>0.97422299999999995</v>
      </c>
      <c r="Q7201">
        <v>-5.141536E-2</v>
      </c>
      <c r="R7201">
        <v>-0.21965080000000001</v>
      </c>
      <c r="S7201">
        <v>3.0207820000000001</v>
      </c>
      <c r="T7201">
        <v>-0.29036220000000001</v>
      </c>
      <c r="U7201">
        <v>-0.19955439999999999</v>
      </c>
      <c r="V7201">
        <v>-0.110430399999999</v>
      </c>
      <c r="W7201">
        <v>-5.1530359999999997E-2</v>
      </c>
      <c r="X7201">
        <v>0.99254710000000002</v>
      </c>
      <c r="Y7201">
        <v>-0.26141890000000001</v>
      </c>
      <c r="Z7201">
        <v>4.3078619999999998E-2</v>
      </c>
      <c r="AA7201">
        <v>0.9642636</v>
      </c>
      <c r="AB7201">
        <v>23</v>
      </c>
      <c r="AC7201">
        <v>11.5915999999999</v>
      </c>
      <c r="AD7201">
        <v>-1.1245878204340001</v>
      </c>
      <c r="AE7201">
        <v>-0.73954000000000097</v>
      </c>
      <c r="AF7201">
        <v>-3.0633598106029098</v>
      </c>
      <c r="AG7201">
        <v>-1.1245878204340001</v>
      </c>
      <c r="AH7201">
        <v>11.092054292810699</v>
      </c>
      <c r="AI7201">
        <v>95.5816914178302</v>
      </c>
      <c r="AJ7201">
        <v>105.438877889061</v>
      </c>
      <c r="AK7201">
        <v>11.5621165679017</v>
      </c>
      <c r="AL7201">
        <v>92.953780368028305</v>
      </c>
      <c r="AM7201">
        <v>96.348596022515395</v>
      </c>
      <c r="AN7201">
        <v>0.99999999848214904</v>
      </c>
    </row>
    <row r="7202" spans="1:40" x14ac:dyDescent="0.25">
      <c r="A7202" t="str">
        <f>"20190303153950274"</f>
        <v>20190303153950274</v>
      </c>
      <c r="B7202" t="str">
        <f>"1551598790265932"</f>
        <v>1551598790265932</v>
      </c>
      <c r="C7202" t="s">
        <v>40</v>
      </c>
      <c r="D7202">
        <v>4.8512559999999896</v>
      </c>
      <c r="E7202">
        <v>0.44016719999999998</v>
      </c>
      <c r="F7202" t="s">
        <v>42</v>
      </c>
      <c r="G7202">
        <v>-394.24220000000003</v>
      </c>
      <c r="H7202" s="1">
        <v>-2.8990180000000002E-6</v>
      </c>
      <c r="I7202">
        <v>18.50686</v>
      </c>
      <c r="J7202">
        <v>-405.87090000000001</v>
      </c>
      <c r="K7202">
        <v>1.1246719999999999</v>
      </c>
      <c r="L7202">
        <v>19.206050000000001</v>
      </c>
      <c r="M7202">
        <v>0.94658019999999998</v>
      </c>
      <c r="N7202">
        <v>-1.1318319999999999E-3</v>
      </c>
      <c r="O7202">
        <v>-0.3224667</v>
      </c>
      <c r="P7202">
        <v>0.97514330000000005</v>
      </c>
      <c r="Q7202">
        <v>-5.1641079999999999E-2</v>
      </c>
      <c r="R7202">
        <v>-0.21547379999999999</v>
      </c>
      <c r="S7202">
        <v>3.0213320000000001</v>
      </c>
      <c r="T7202">
        <v>-0.28897129999999999</v>
      </c>
      <c r="U7202">
        <v>-0.1898804</v>
      </c>
      <c r="V7202">
        <v>-0.1098615</v>
      </c>
      <c r="W7202">
        <v>-5.186673E-2</v>
      </c>
      <c r="X7202">
        <v>0.99259269999999999</v>
      </c>
      <c r="Y7202">
        <v>-0.25988699999999998</v>
      </c>
      <c r="Z7202">
        <v>4.2407340000000002E-2</v>
      </c>
      <c r="AA7202">
        <v>0.96470739999999999</v>
      </c>
      <c r="AB7202">
        <v>23</v>
      </c>
      <c r="AC7202">
        <v>11.628699999999901</v>
      </c>
      <c r="AD7202">
        <v>-1.124674899018</v>
      </c>
      <c r="AE7202">
        <v>-0.69919000000000098</v>
      </c>
      <c r="AF7202">
        <v>-3.0595156367659602</v>
      </c>
      <c r="AG7202">
        <v>-1.124674899018</v>
      </c>
      <c r="AH7202">
        <v>11.1292425545849</v>
      </c>
      <c r="AI7202">
        <v>95.5653814878888</v>
      </c>
      <c r="AJ7202">
        <v>105.371340117337</v>
      </c>
      <c r="AK7202">
        <v>11.5967913406632</v>
      </c>
      <c r="AL7202">
        <v>92.973078789287797</v>
      </c>
      <c r="AM7202">
        <v>96.315867386650595</v>
      </c>
      <c r="AN7202">
        <v>0.99999998747821595</v>
      </c>
    </row>
    <row r="7203" spans="1:40" x14ac:dyDescent="0.25">
      <c r="A7203" t="str">
        <f>"20190303153950285"</f>
        <v>20190303153950285</v>
      </c>
      <c r="B7203" t="str">
        <f>"1551598790275692"</f>
        <v>1551598790275692</v>
      </c>
      <c r="C7203" t="s">
        <v>40</v>
      </c>
      <c r="D7203">
        <v>4.886158</v>
      </c>
      <c r="E7203">
        <v>0.440052</v>
      </c>
      <c r="F7203" t="s">
        <v>42</v>
      </c>
      <c r="G7203">
        <v>-394.15660000000003</v>
      </c>
      <c r="H7203" s="1">
        <v>-2.9380359999999998E-6</v>
      </c>
      <c r="I7203">
        <v>18.514900000000001</v>
      </c>
      <c r="J7203">
        <v>-405.7543</v>
      </c>
      <c r="K7203">
        <v>1.1247469999999999</v>
      </c>
      <c r="L7203">
        <v>19.170839999999998</v>
      </c>
      <c r="M7203">
        <v>0.94798700000000002</v>
      </c>
      <c r="N7203">
        <v>-1.0578619999999999E-3</v>
      </c>
      <c r="O7203">
        <v>-0.3183067</v>
      </c>
      <c r="P7203">
        <v>0.97597529999999999</v>
      </c>
      <c r="Q7203">
        <v>-5.21E-2</v>
      </c>
      <c r="R7203">
        <v>-0.2115601</v>
      </c>
      <c r="S7203">
        <v>3.0216980000000002</v>
      </c>
      <c r="T7203">
        <v>-0.29011120000000001</v>
      </c>
      <c r="U7203">
        <v>-0.17828369999999999</v>
      </c>
      <c r="V7203">
        <v>-0.10945879999999999</v>
      </c>
      <c r="W7203">
        <v>-5.2417829999999999E-2</v>
      </c>
      <c r="X7203">
        <v>0.99260820000000005</v>
      </c>
      <c r="Y7203">
        <v>-0.25934259999999998</v>
      </c>
      <c r="Z7203">
        <v>4.2192559999999997E-2</v>
      </c>
      <c r="AA7203">
        <v>0.96486329999999998</v>
      </c>
      <c r="AB7203">
        <v>23</v>
      </c>
      <c r="AC7203">
        <v>11.5976999999999</v>
      </c>
      <c r="AD7203">
        <v>-1.124749938036</v>
      </c>
      <c r="AE7203">
        <v>-0.65593999999999697</v>
      </c>
      <c r="AF7203">
        <v>-3.0412925424172701</v>
      </c>
      <c r="AG7203">
        <v>-1.124749938036</v>
      </c>
      <c r="AH7203">
        <v>11.0992098132885</v>
      </c>
      <c r="AI7203">
        <v>95.581986729741999</v>
      </c>
      <c r="AJ7203">
        <v>105.32349384884</v>
      </c>
      <c r="AK7203">
        <v>11.563173493080299</v>
      </c>
      <c r="AL7203">
        <v>93.004697624158695</v>
      </c>
      <c r="AM7203">
        <v>96.292805012398901</v>
      </c>
      <c r="AN7203">
        <v>0.99999994825329297</v>
      </c>
    </row>
    <row r="7204" spans="1:40" x14ac:dyDescent="0.25">
      <c r="A7204" t="str">
        <f>"20190303153950298"</f>
        <v>20190303153950298</v>
      </c>
      <c r="B7204" t="str">
        <f>"1551598790285453"</f>
        <v>1551598790285453</v>
      </c>
      <c r="C7204" t="s">
        <v>40</v>
      </c>
      <c r="D7204">
        <v>4.7898040000000002</v>
      </c>
      <c r="E7204">
        <v>0.440052</v>
      </c>
      <c r="F7204" t="s">
        <v>42</v>
      </c>
      <c r="G7204">
        <v>-394.08949999999999</v>
      </c>
      <c r="H7204" s="1">
        <v>-2.9665240000000001E-6</v>
      </c>
      <c r="I7204">
        <v>18.533190000000001</v>
      </c>
      <c r="J7204">
        <v>-405.63249999999999</v>
      </c>
      <c r="K7204">
        <v>1.1248199999999999</v>
      </c>
      <c r="L7204">
        <v>19.134830000000001</v>
      </c>
      <c r="M7204">
        <v>0.94944539999999999</v>
      </c>
      <c r="N7204">
        <v>-9.8884340000000002E-4</v>
      </c>
      <c r="O7204">
        <v>-0.3139305</v>
      </c>
      <c r="P7204">
        <v>0.97673759999999998</v>
      </c>
      <c r="Q7204">
        <v>-5.2598440000000003E-2</v>
      </c>
      <c r="R7204">
        <v>-0.20788760000000001</v>
      </c>
      <c r="S7204">
        <v>3.022491</v>
      </c>
      <c r="T7204">
        <v>-0.29143770000000002</v>
      </c>
      <c r="U7204">
        <v>-0.16522220000000001</v>
      </c>
      <c r="V7204">
        <v>-0.108587</v>
      </c>
      <c r="W7204">
        <v>-5.2997240000000001E-2</v>
      </c>
      <c r="X7204">
        <v>0.99267320000000003</v>
      </c>
      <c r="Y7204">
        <v>-0.25905630000000002</v>
      </c>
      <c r="Z7204">
        <v>4.198702E-2</v>
      </c>
      <c r="AA7204">
        <v>0.96494919999999995</v>
      </c>
      <c r="AB7204">
        <v>23</v>
      </c>
      <c r="AC7204">
        <v>11.542999999999999</v>
      </c>
      <c r="AD7204">
        <v>-1.1248229665239999</v>
      </c>
      <c r="AE7204">
        <v>-0.60163999999999596</v>
      </c>
      <c r="AF7204">
        <v>-3.0238411131104899</v>
      </c>
      <c r="AG7204">
        <v>-1.1248229665239999</v>
      </c>
      <c r="AH7204">
        <v>11.043742479715</v>
      </c>
      <c r="AI7204">
        <v>95.610495595345796</v>
      </c>
      <c r="AJ7204">
        <v>105.31262166056899</v>
      </c>
      <c r="AK7204">
        <v>11.5053504832151</v>
      </c>
      <c r="AL7204">
        <v>93.037941538469696</v>
      </c>
      <c r="AM7204">
        <v>96.242676851049694</v>
      </c>
      <c r="AN7204">
        <v>0.99999996300742799</v>
      </c>
    </row>
    <row r="7205" spans="1:40" x14ac:dyDescent="0.25">
      <c r="A7205" t="str">
        <f>"20190303153950328"</f>
        <v>20190303153950328</v>
      </c>
      <c r="B7205" t="str">
        <f>"1551598790325468"</f>
        <v>1551598790325468</v>
      </c>
      <c r="C7205" t="s">
        <v>40</v>
      </c>
      <c r="D7205">
        <v>4.6794320000000003</v>
      </c>
      <c r="E7205">
        <v>0.41497030000000001</v>
      </c>
      <c r="F7205" t="s">
        <v>42</v>
      </c>
      <c r="G7205">
        <v>-394.01560000000001</v>
      </c>
      <c r="H7205" s="1">
        <v>-2.999575E-6</v>
      </c>
      <c r="I7205">
        <v>18.543880000000001</v>
      </c>
      <c r="J7205">
        <v>-405.32749999999999</v>
      </c>
      <c r="K7205">
        <v>1.1249899999999999</v>
      </c>
      <c r="L7205">
        <v>19.047000000000001</v>
      </c>
      <c r="M7205">
        <v>0.95303179999999998</v>
      </c>
      <c r="N7205">
        <v>-8.4181779999999997E-4</v>
      </c>
      <c r="O7205">
        <v>-0.30286929999999901</v>
      </c>
      <c r="P7205">
        <v>0.97897319999999999</v>
      </c>
      <c r="Q7205">
        <v>-5.2965459999999999E-2</v>
      </c>
      <c r="R7205">
        <v>-0.19699320000000001</v>
      </c>
      <c r="S7205">
        <v>3.02298</v>
      </c>
      <c r="T7205">
        <v>-0.2927033</v>
      </c>
      <c r="U7205">
        <v>-0.1537781</v>
      </c>
      <c r="V7205">
        <v>-0.10806399999999999</v>
      </c>
      <c r="W7205">
        <v>-5.3557529999999999E-2</v>
      </c>
      <c r="X7205">
        <v>0.99270020000000003</v>
      </c>
      <c r="Y7205">
        <v>-0.2515327</v>
      </c>
      <c r="Z7205">
        <v>4.0819889999999998E-2</v>
      </c>
      <c r="AA7205">
        <v>0.96698759999999995</v>
      </c>
      <c r="AB7205">
        <v>24</v>
      </c>
      <c r="AC7205">
        <v>11.3118999999999</v>
      </c>
      <c r="AD7205">
        <v>-1.1249929995750001</v>
      </c>
      <c r="AE7205">
        <v>-0.50312000000000201</v>
      </c>
      <c r="AF7205">
        <v>-2.9177371364500302</v>
      </c>
      <c r="AG7205">
        <v>-1.1249929995750001</v>
      </c>
      <c r="AH7205">
        <v>10.8261163326675</v>
      </c>
      <c r="AI7205">
        <v>95.729578984511903</v>
      </c>
      <c r="AJ7205">
        <v>105.083357807439</v>
      </c>
      <c r="AK7205">
        <v>11.2686997517443</v>
      </c>
      <c r="AL7205">
        <v>93.070089453205199</v>
      </c>
      <c r="AM7205">
        <v>96.212677570094698</v>
      </c>
      <c r="AN7205">
        <v>0.99999996209786901</v>
      </c>
    </row>
    <row r="7206" spans="1:40" x14ac:dyDescent="0.25">
      <c r="A7206" t="str">
        <f>"20190303153950340"</f>
        <v>20190303153950340</v>
      </c>
      <c r="B7206" t="str">
        <f>"1551598790335228"</f>
        <v>1551598790335228</v>
      </c>
      <c r="C7206" t="s">
        <v>40</v>
      </c>
      <c r="D7206">
        <v>4.7259580000000003</v>
      </c>
      <c r="E7206">
        <v>0.41534910000000003</v>
      </c>
      <c r="F7206" t="s">
        <v>72</v>
      </c>
      <c r="G7206">
        <v>-389.95960000000002</v>
      </c>
      <c r="H7206" s="1">
        <v>-6.7572059999999997E-8</v>
      </c>
      <c r="I7206">
        <v>19.422370000000001</v>
      </c>
      <c r="J7206">
        <v>-405.21319999999997</v>
      </c>
      <c r="K7206">
        <v>1.1250450000000001</v>
      </c>
      <c r="L7206">
        <v>19.015319999999999</v>
      </c>
      <c r="M7206">
        <v>0.95434850000000004</v>
      </c>
      <c r="N7206">
        <v>-8.012885E-4</v>
      </c>
      <c r="O7206">
        <v>-0.29869449999999997</v>
      </c>
      <c r="P7206">
        <v>0.9796473</v>
      </c>
      <c r="Q7206">
        <v>-5.2944369999999998E-2</v>
      </c>
      <c r="R7206">
        <v>-0.1936186</v>
      </c>
      <c r="S7206">
        <v>3.0673219999999999</v>
      </c>
      <c r="T7206">
        <v>-0.2245395</v>
      </c>
      <c r="U7206">
        <v>7.4920650000000005E-2</v>
      </c>
      <c r="V7206">
        <v>-0.1071313</v>
      </c>
      <c r="W7206">
        <v>-5.3581869999999997E-2</v>
      </c>
      <c r="X7206">
        <v>0.99280000000000002</v>
      </c>
      <c r="Y7206">
        <v>-0.3202776</v>
      </c>
      <c r="Z7206">
        <v>3.3189990000000003E-2</v>
      </c>
      <c r="AA7206">
        <v>0.94674210000000003</v>
      </c>
      <c r="AB7206">
        <v>24</v>
      </c>
      <c r="AC7206">
        <v>15.253599999999899</v>
      </c>
      <c r="AD7206">
        <v>-1.12504506757206</v>
      </c>
      <c r="AE7206">
        <v>0.40704999999999802</v>
      </c>
      <c r="AF7206">
        <v>-4.91790119516254</v>
      </c>
      <c r="AG7206">
        <v>-1.12504506757206</v>
      </c>
      <c r="AH7206">
        <v>14.3576213511011</v>
      </c>
      <c r="AI7206">
        <v>94.2396152125323</v>
      </c>
      <c r="AJ7206">
        <v>108.90781740493701</v>
      </c>
      <c r="AK7206">
        <v>15.218172342007501</v>
      </c>
      <c r="AL7206">
        <v>93.071485964027005</v>
      </c>
      <c r="AM7206">
        <v>96.158855508868399</v>
      </c>
      <c r="AN7206">
        <v>0.99999998611619301</v>
      </c>
    </row>
    <row r="7207" spans="1:40" x14ac:dyDescent="0.25">
      <c r="A7207" t="str">
        <f>"20190303153950353"</f>
        <v>20190303153950353</v>
      </c>
      <c r="B7207" t="str">
        <f>"1551598790345965"</f>
        <v>1551598790345965</v>
      </c>
      <c r="C7207" t="s">
        <v>40</v>
      </c>
      <c r="D7207">
        <v>4.7019909999999996</v>
      </c>
      <c r="E7207">
        <v>0.41511589999999998</v>
      </c>
      <c r="F7207" t="s">
        <v>72</v>
      </c>
      <c r="G7207">
        <v>-389.7122</v>
      </c>
      <c r="H7207" s="1">
        <v>-1.6905020000000001E-7</v>
      </c>
      <c r="I7207">
        <v>19.432739999999999</v>
      </c>
      <c r="J7207">
        <v>-405.06920000000002</v>
      </c>
      <c r="K7207">
        <v>1.125113</v>
      </c>
      <c r="L7207">
        <v>18.975860000000001</v>
      </c>
      <c r="M7207">
        <v>0.95598110000000003</v>
      </c>
      <c r="N7207">
        <v>-7.5471679999999995E-4</v>
      </c>
      <c r="O7207">
        <v>-0.29342790000000002</v>
      </c>
      <c r="P7207">
        <v>0.98067859999999996</v>
      </c>
      <c r="Q7207">
        <v>-5.2841899999999997E-2</v>
      </c>
      <c r="R7207">
        <v>-0.18835460000000001</v>
      </c>
      <c r="S7207">
        <v>3.0666500000000001</v>
      </c>
      <c r="T7207">
        <v>-0.22257440000000001</v>
      </c>
      <c r="U7207">
        <v>8.2580570000000006E-2</v>
      </c>
      <c r="V7207">
        <v>-0.10698050000000001</v>
      </c>
      <c r="W7207">
        <v>-5.3544639999999998E-2</v>
      </c>
      <c r="X7207">
        <v>0.99281830000000004</v>
      </c>
      <c r="Y7207">
        <v>-0.31747140000000001</v>
      </c>
      <c r="Z7207">
        <v>3.2446540000000003E-2</v>
      </c>
      <c r="AA7207">
        <v>0.94771260000000002</v>
      </c>
      <c r="AB7207">
        <v>24</v>
      </c>
      <c r="AC7207">
        <v>15.356999999999999</v>
      </c>
      <c r="AD7207">
        <v>-1.1251131690502001</v>
      </c>
      <c r="AE7207">
        <v>0.45687999999999801</v>
      </c>
      <c r="AF7207">
        <v>-4.9165745710762101</v>
      </c>
      <c r="AG7207">
        <v>-1.1251131690502001</v>
      </c>
      <c r="AH7207">
        <v>14.4693450105725</v>
      </c>
      <c r="AI7207">
        <v>94.210758293020007</v>
      </c>
      <c r="AJ7207">
        <v>108.767374396622</v>
      </c>
      <c r="AK7207">
        <v>15.323202347783001</v>
      </c>
      <c r="AL7207">
        <v>93.069349682701002</v>
      </c>
      <c r="AM7207">
        <v>96.150140181764897</v>
      </c>
      <c r="AN7207">
        <v>1.00000001633393</v>
      </c>
    </row>
    <row r="7208" spans="1:40" x14ac:dyDescent="0.25">
      <c r="A7208" t="str">
        <f>"20190303153950367"</f>
        <v>20190303153950367</v>
      </c>
      <c r="B7208" t="str">
        <f>"1551598790355724"</f>
        <v>1551598790355724</v>
      </c>
      <c r="C7208" t="s">
        <v>40</v>
      </c>
      <c r="D7208">
        <v>4.6964139999999999</v>
      </c>
      <c r="E7208">
        <v>0.41510269999999999</v>
      </c>
      <c r="F7208" t="s">
        <v>72</v>
      </c>
      <c r="G7208">
        <v>-389.447</v>
      </c>
      <c r="H7208" s="1">
        <v>-2.8435680000000003E-7</v>
      </c>
      <c r="I7208">
        <v>19.489370000000001</v>
      </c>
      <c r="J7208">
        <v>-404.92649999999998</v>
      </c>
      <c r="K7208">
        <v>1.1251719999999901</v>
      </c>
      <c r="L7208">
        <v>18.937650000000001</v>
      </c>
      <c r="M7208">
        <v>0.95757009999999998</v>
      </c>
      <c r="N7208">
        <v>-7.169791E-4</v>
      </c>
      <c r="O7208">
        <v>-0.28820020000000002</v>
      </c>
      <c r="P7208">
        <v>0.98169740000000005</v>
      </c>
      <c r="Q7208">
        <v>-5.267873E-2</v>
      </c>
      <c r="R7208">
        <v>-0.18301780000000001</v>
      </c>
      <c r="S7208">
        <v>3.0665589999999998</v>
      </c>
      <c r="T7208">
        <v>-0.22085389999999999</v>
      </c>
      <c r="U7208">
        <v>0.1007996</v>
      </c>
      <c r="V7208">
        <v>-0.1069508</v>
      </c>
      <c r="W7208">
        <v>-5.3437430000000001E-2</v>
      </c>
      <c r="X7208">
        <v>0.99282720000000002</v>
      </c>
      <c r="Y7208">
        <v>-0.31795449999999997</v>
      </c>
      <c r="Z7208">
        <v>3.1860989999999999E-2</v>
      </c>
      <c r="AA7208">
        <v>0.94757049999999998</v>
      </c>
      <c r="AB7208">
        <v>24</v>
      </c>
      <c r="AC7208">
        <v>15.4795</v>
      </c>
      <c r="AD7208">
        <v>-1.1251722843567999</v>
      </c>
      <c r="AE7208">
        <v>0.55171999999999899</v>
      </c>
      <c r="AF7208">
        <v>-4.9633153858725496</v>
      </c>
      <c r="AG7208">
        <v>-1.1251722843567999</v>
      </c>
      <c r="AH7208">
        <v>14.5867299884089</v>
      </c>
      <c r="AI7208">
        <v>94.1766157247514</v>
      </c>
      <c r="AJ7208">
        <v>108.791507374703</v>
      </c>
      <c r="AK7208">
        <v>15.4490518817133</v>
      </c>
      <c r="AL7208">
        <v>93.063198426963396</v>
      </c>
      <c r="AM7208">
        <v>96.148391160736793</v>
      </c>
      <c r="AN7208">
        <v>0.99999994080274002</v>
      </c>
    </row>
    <row r="7209" spans="1:40" x14ac:dyDescent="0.25">
      <c r="A7209" t="str">
        <f>"20190303153950380"</f>
        <v>20190303153950380</v>
      </c>
      <c r="B7209" t="str">
        <f>"1551598790376220"</f>
        <v>1551598790376220</v>
      </c>
      <c r="C7209" t="s">
        <v>40</v>
      </c>
      <c r="D7209">
        <v>4.7483740000000001</v>
      </c>
      <c r="E7209">
        <v>0.4160102</v>
      </c>
      <c r="F7209" t="s">
        <v>72</v>
      </c>
      <c r="G7209">
        <v>-389.20440000000002</v>
      </c>
      <c r="H7209" s="1">
        <v>-3.8999260000000002E-7</v>
      </c>
      <c r="I7209">
        <v>19.54044</v>
      </c>
      <c r="J7209">
        <v>-404.79570000000001</v>
      </c>
      <c r="K7209">
        <v>1.1252230000000001</v>
      </c>
      <c r="L7209">
        <v>18.90353</v>
      </c>
      <c r="M7209">
        <v>0.95900059999999998</v>
      </c>
      <c r="N7209">
        <v>-6.9005689999999996E-4</v>
      </c>
      <c r="O7209">
        <v>-0.28340379999999998</v>
      </c>
      <c r="P7209">
        <v>0.98262830000000001</v>
      </c>
      <c r="Q7209">
        <v>-5.283856E-2</v>
      </c>
      <c r="R7209">
        <v>-0.17790410000000001</v>
      </c>
      <c r="S7209">
        <v>3.066071</v>
      </c>
      <c r="T7209">
        <v>-0.21942639999999999</v>
      </c>
      <c r="U7209">
        <v>0.1175537</v>
      </c>
      <c r="V7209">
        <v>-0.107138</v>
      </c>
      <c r="W7209">
        <v>-5.3642049999999997E-2</v>
      </c>
      <c r="X7209">
        <v>0.99279609999999996</v>
      </c>
      <c r="Y7209">
        <v>-0.31841730000000001</v>
      </c>
      <c r="Z7209">
        <v>3.1352339999999999E-2</v>
      </c>
      <c r="AA7209">
        <v>0.94743200000000005</v>
      </c>
      <c r="AB7209">
        <v>24</v>
      </c>
      <c r="AC7209">
        <v>15.591299999999899</v>
      </c>
      <c r="AD7209">
        <v>-1.1252233899926001</v>
      </c>
      <c r="AE7209">
        <v>0.63690999999999998</v>
      </c>
      <c r="AF7209">
        <v>-5.00341420158672</v>
      </c>
      <c r="AG7209">
        <v>-1.1252233899926001</v>
      </c>
      <c r="AH7209">
        <v>14.6951521219351</v>
      </c>
      <c r="AI7209">
        <v>94.145820769430699</v>
      </c>
      <c r="AJ7209">
        <v>108.802712568373</v>
      </c>
      <c r="AK7209">
        <v>15.5643110106693</v>
      </c>
      <c r="AL7209">
        <v>93.074938767673302</v>
      </c>
      <c r="AM7209">
        <v>96.159261733080001</v>
      </c>
      <c r="AN7209">
        <v>1.0000000583737001</v>
      </c>
    </row>
    <row r="7210" spans="1:40" x14ac:dyDescent="0.25">
      <c r="A7210" t="str">
        <f>"20190303153950396"</f>
        <v>20190303153950396</v>
      </c>
      <c r="B7210" t="str">
        <f>"1551598790385980"</f>
        <v>1551598790385980</v>
      </c>
      <c r="C7210" t="s">
        <v>40</v>
      </c>
      <c r="D7210">
        <v>4.7145580000000002</v>
      </c>
      <c r="E7210">
        <v>0.41636610000000002</v>
      </c>
      <c r="F7210" t="s">
        <v>72</v>
      </c>
      <c r="G7210">
        <v>-389.00920000000002</v>
      </c>
      <c r="H7210" s="1">
        <v>-4.7975519999999995E-7</v>
      </c>
      <c r="I7210">
        <v>19.554600000000001</v>
      </c>
      <c r="J7210">
        <v>-404.61939999999998</v>
      </c>
      <c r="K7210">
        <v>1.1252799999999901</v>
      </c>
      <c r="L7210">
        <v>18.858460000000001</v>
      </c>
      <c r="M7210">
        <v>0.96088519999999999</v>
      </c>
      <c r="N7210">
        <v>-6.5998130000000002E-4</v>
      </c>
      <c r="O7210">
        <v>-0.27694609999999997</v>
      </c>
      <c r="P7210">
        <v>0.98391810000000002</v>
      </c>
      <c r="Q7210">
        <v>-5.2518639999999998E-2</v>
      </c>
      <c r="R7210">
        <v>-0.17072470000000001</v>
      </c>
      <c r="S7210">
        <v>3.0641780000000001</v>
      </c>
      <c r="T7210">
        <v>-0.2184075</v>
      </c>
      <c r="U7210">
        <v>0.12637329999999999</v>
      </c>
      <c r="V7210">
        <v>-0.1077076</v>
      </c>
      <c r="W7210">
        <v>-5.3378979999999999E-2</v>
      </c>
      <c r="X7210">
        <v>0.99274859999999998</v>
      </c>
      <c r="Y7210">
        <v>-0.31482280000000001</v>
      </c>
      <c r="Z7210">
        <v>3.065907E-2</v>
      </c>
      <c r="AA7210">
        <v>0.94865520000000003</v>
      </c>
      <c r="AB7210">
        <v>24</v>
      </c>
      <c r="AC7210">
        <v>15.610199999999899</v>
      </c>
      <c r="AD7210">
        <v>-1.1252804797551901</v>
      </c>
      <c r="AE7210">
        <v>0.69613999999999898</v>
      </c>
      <c r="AF7210">
        <v>-4.9663398674595198</v>
      </c>
      <c r="AG7210">
        <v>-1.1252804797551901</v>
      </c>
      <c r="AH7210">
        <v>14.7304268922801</v>
      </c>
      <c r="AI7210">
        <v>94.140312805590099</v>
      </c>
      <c r="AJ7210">
        <v>108.63145167975399</v>
      </c>
      <c r="AK7210">
        <v>15.585771211782999</v>
      </c>
      <c r="AL7210">
        <v>93.059844481679704</v>
      </c>
      <c r="AM7210">
        <v>96.192047765053204</v>
      </c>
      <c r="AN7210">
        <v>1.0000000127027799</v>
      </c>
    </row>
    <row r="7211" spans="1:40" x14ac:dyDescent="0.25">
      <c r="A7211" t="str">
        <f>"20190303153950407"</f>
        <v>20190303153950407</v>
      </c>
      <c r="B7211" t="str">
        <f>"1551598790395741"</f>
        <v>1551598790395741</v>
      </c>
      <c r="C7211" t="s">
        <v>40</v>
      </c>
      <c r="D7211">
        <v>4.7136430000000002</v>
      </c>
      <c r="E7211">
        <v>0.41683540000000002</v>
      </c>
      <c r="F7211" t="s">
        <v>72</v>
      </c>
      <c r="G7211">
        <v>-388.69970000000001</v>
      </c>
      <c r="H7211" s="1">
        <v>-6.1520959999999899E-7</v>
      </c>
      <c r="I7211">
        <v>19.616820000000001</v>
      </c>
      <c r="J7211">
        <v>-404.4966</v>
      </c>
      <c r="K7211">
        <v>1.1253169999999999</v>
      </c>
      <c r="L7211">
        <v>18.827639999999999</v>
      </c>
      <c r="M7211">
        <v>0.96216979999999996</v>
      </c>
      <c r="N7211">
        <v>-6.4292500000000003E-4</v>
      </c>
      <c r="O7211">
        <v>-0.27244950000000001</v>
      </c>
      <c r="P7211">
        <v>0.98467729999999998</v>
      </c>
      <c r="Q7211">
        <v>-5.2828640000000003E-2</v>
      </c>
      <c r="R7211">
        <v>-0.1661926</v>
      </c>
      <c r="S7211">
        <v>3.0628359999999999</v>
      </c>
      <c r="T7211">
        <v>-0.21649669999999999</v>
      </c>
      <c r="U7211">
        <v>0.14590449999999999</v>
      </c>
      <c r="V7211">
        <v>-0.10762089999999901</v>
      </c>
      <c r="W7211">
        <v>-5.3716859999999998E-2</v>
      </c>
      <c r="X7211">
        <v>0.9927397</v>
      </c>
      <c r="Y7211">
        <v>-0.31647150000000002</v>
      </c>
      <c r="Z7211">
        <v>3.0159269999999998E-2</v>
      </c>
      <c r="AA7211">
        <v>0.94812240000000003</v>
      </c>
      <c r="AB7211">
        <v>25</v>
      </c>
      <c r="AC7211">
        <v>15.7968999999999</v>
      </c>
      <c r="AD7211">
        <v>-1.1253176152095901</v>
      </c>
      <c r="AE7211">
        <v>0.78918000000000099</v>
      </c>
      <c r="AF7211">
        <v>-5.0376831934953001</v>
      </c>
      <c r="AG7211">
        <v>-1.1253176152095901</v>
      </c>
      <c r="AH7211">
        <v>14.908823729263601</v>
      </c>
      <c r="AI7211">
        <v>94.090146451210998</v>
      </c>
      <c r="AJ7211">
        <v>108.67008219951499</v>
      </c>
      <c r="AK7211">
        <v>15.777123206826399</v>
      </c>
      <c r="AL7211">
        <v>93.079231632049201</v>
      </c>
      <c r="AM7211">
        <v>96.187157142546397</v>
      </c>
      <c r="AN7211">
        <v>0.99999993556057698</v>
      </c>
    </row>
    <row r="7212" spans="1:40" x14ac:dyDescent="0.25">
      <c r="A7212" t="str">
        <f>"20190303153950420"</f>
        <v>20190303153950420</v>
      </c>
      <c r="B7212" t="str">
        <f>"1551598790416237"</f>
        <v>1551598790416237</v>
      </c>
      <c r="C7212" t="s">
        <v>40</v>
      </c>
      <c r="D7212">
        <v>4.8187150000000001</v>
      </c>
      <c r="E7212">
        <v>0.4180661</v>
      </c>
      <c r="F7212" t="s">
        <v>72</v>
      </c>
      <c r="G7212">
        <v>-388.64109999999999</v>
      </c>
      <c r="H7212" s="1">
        <v>-6.4841200000000002E-7</v>
      </c>
      <c r="I7212">
        <v>19.637350000000001</v>
      </c>
      <c r="J7212">
        <v>-404.36930000000001</v>
      </c>
      <c r="K7212">
        <v>1.125353</v>
      </c>
      <c r="L7212">
        <v>18.796659999999999</v>
      </c>
      <c r="M7212">
        <v>0.9634722</v>
      </c>
      <c r="N7212">
        <v>-6.3042440000000001E-4</v>
      </c>
      <c r="O7212">
        <v>-0.26780809999999999</v>
      </c>
      <c r="P7212">
        <v>0.98541460000000003</v>
      </c>
      <c r="Q7212">
        <v>-5.3051670000000002E-2</v>
      </c>
      <c r="R7212">
        <v>-0.16169129999999901</v>
      </c>
      <c r="S7212">
        <v>3.061401</v>
      </c>
      <c r="T7212">
        <v>-0.217278</v>
      </c>
      <c r="U7212">
        <v>0.1563416</v>
      </c>
      <c r="V7212">
        <v>-0.1073601</v>
      </c>
      <c r="W7212">
        <v>-5.3959559999999997E-2</v>
      </c>
      <c r="X7212">
        <v>0.99275480000000005</v>
      </c>
      <c r="Y7212">
        <v>-0.3151487</v>
      </c>
      <c r="Z7212">
        <v>2.991887E-2</v>
      </c>
      <c r="AA7212">
        <v>0.94857060000000004</v>
      </c>
      <c r="AB7212">
        <v>25</v>
      </c>
      <c r="AC7212">
        <v>15.728199999999999</v>
      </c>
      <c r="AD7212">
        <v>-1.1253536484119999</v>
      </c>
      <c r="AE7212">
        <v>0.84069000000000205</v>
      </c>
      <c r="AF7212">
        <v>-4.9966143085127896</v>
      </c>
      <c r="AG7212">
        <v>-1.1253536484119999</v>
      </c>
      <c r="AH7212">
        <v>14.852720360426</v>
      </c>
      <c r="AI7212">
        <v>94.107518996418193</v>
      </c>
      <c r="AJ7212">
        <v>108.59349104500301</v>
      </c>
      <c r="AK7212">
        <v>15.711011345137599</v>
      </c>
      <c r="AL7212">
        <v>93.093157443028105</v>
      </c>
      <c r="AM7212">
        <v>96.172186386549896</v>
      </c>
      <c r="AN7212">
        <v>0.99999995905522099</v>
      </c>
    </row>
    <row r="7213" spans="1:40" x14ac:dyDescent="0.25">
      <c r="A7213" t="str">
        <f>"20190303153950435"</f>
        <v>20190303153950435</v>
      </c>
      <c r="B7213" t="str">
        <f>"1551598790425996"</f>
        <v>1551598790425996</v>
      </c>
      <c r="C7213" t="s">
        <v>40</v>
      </c>
      <c r="D7213">
        <v>4.7732869999999998</v>
      </c>
      <c r="E7213">
        <v>0.4180661</v>
      </c>
      <c r="F7213" t="s">
        <v>72</v>
      </c>
      <c r="G7213">
        <v>-388.4803</v>
      </c>
      <c r="H7213" s="1">
        <v>-7.2276879999999999E-7</v>
      </c>
      <c r="I7213">
        <v>19.631209999999999</v>
      </c>
      <c r="J7213">
        <v>-404.20359999999999</v>
      </c>
      <c r="K7213">
        <v>1.125394</v>
      </c>
      <c r="L7213">
        <v>18.756989999999998</v>
      </c>
      <c r="M7213">
        <v>0.96512989999999999</v>
      </c>
      <c r="N7213">
        <v>-6.1744129999999895E-4</v>
      </c>
      <c r="O7213">
        <v>-0.26177109999999998</v>
      </c>
      <c r="P7213">
        <v>0.98637589999999997</v>
      </c>
      <c r="Q7213">
        <v>-5.2815269999999997E-2</v>
      </c>
      <c r="R7213">
        <v>-0.1557983</v>
      </c>
      <c r="S7213">
        <v>3.0590820000000001</v>
      </c>
      <c r="T7213">
        <v>-0.2166622</v>
      </c>
      <c r="U7213">
        <v>0.16067500000000001</v>
      </c>
      <c r="V7213">
        <v>-0.1070783</v>
      </c>
      <c r="W7213">
        <v>-5.3745080000000001E-2</v>
      </c>
      <c r="X7213">
        <v>0.99279689999999998</v>
      </c>
      <c r="Y7213">
        <v>-0.31061490000000003</v>
      </c>
      <c r="Z7213">
        <v>2.928383E-2</v>
      </c>
      <c r="AA7213">
        <v>0.95008459999999995</v>
      </c>
      <c r="AB7213">
        <v>25</v>
      </c>
      <c r="AC7213">
        <v>15.723299999999901</v>
      </c>
      <c r="AD7213">
        <v>-1.1253947227687999</v>
      </c>
      <c r="AE7213">
        <v>0.874220000000001</v>
      </c>
      <c r="AF7213">
        <v>-4.9344406965302801</v>
      </c>
      <c r="AG7213">
        <v>-1.1253947227687999</v>
      </c>
      <c r="AH7213">
        <v>14.8702375774464</v>
      </c>
      <c r="AI7213">
        <v>94.108475346450106</v>
      </c>
      <c r="AJ7213">
        <v>108.357565417247</v>
      </c>
      <c r="AK7213">
        <v>15.7079337877173</v>
      </c>
      <c r="AL7213">
        <v>93.080850689293698</v>
      </c>
      <c r="AM7213">
        <v>96.1558510727819</v>
      </c>
      <c r="AN7213">
        <v>0.99999999030235298</v>
      </c>
    </row>
    <row r="7214" spans="1:40" x14ac:dyDescent="0.25">
      <c r="A7214" t="str">
        <f>"20190303153950453"</f>
        <v>20190303153950453</v>
      </c>
      <c r="B7214" t="str">
        <f>"1551598790445516"</f>
        <v>1551598790445516</v>
      </c>
      <c r="C7214" t="s">
        <v>40</v>
      </c>
      <c r="D7214">
        <v>4.7856550000000002</v>
      </c>
      <c r="E7214">
        <v>0.43303570000000002</v>
      </c>
      <c r="F7214" t="s">
        <v>72</v>
      </c>
      <c r="G7214">
        <v>-388.21850000000001</v>
      </c>
      <c r="H7214" s="1">
        <v>-8.6285929999999999E-7</v>
      </c>
      <c r="I7214">
        <v>19.69256</v>
      </c>
      <c r="J7214">
        <v>-404.01760000000002</v>
      </c>
      <c r="K7214">
        <v>1.1254280000000001</v>
      </c>
      <c r="L7214">
        <v>18.713750000000001</v>
      </c>
      <c r="M7214">
        <v>0.96693379999999995</v>
      </c>
      <c r="N7214">
        <v>-6.0883349999999998E-4</v>
      </c>
      <c r="O7214">
        <v>-0.2550268</v>
      </c>
      <c r="P7214">
        <v>0.98735459999999997</v>
      </c>
      <c r="Q7214">
        <v>-5.22351E-2</v>
      </c>
      <c r="R7214">
        <v>-0.1496739</v>
      </c>
      <c r="S7214">
        <v>3.0581360000000002</v>
      </c>
      <c r="T7214">
        <v>-0.21530150000000001</v>
      </c>
      <c r="U7214">
        <v>0.17898559999999999</v>
      </c>
      <c r="V7214">
        <v>-0.10631839999999999</v>
      </c>
      <c r="W7214">
        <v>-5.317504E-2</v>
      </c>
      <c r="X7214">
        <v>0.99290929999999999</v>
      </c>
      <c r="Y7214">
        <v>-0.30970350000000002</v>
      </c>
      <c r="Z7214">
        <v>2.8617610000000002E-2</v>
      </c>
      <c r="AA7214">
        <v>0.95040239999999998</v>
      </c>
      <c r="AB7214">
        <v>25</v>
      </c>
      <c r="AC7214">
        <v>15.799099999999999</v>
      </c>
      <c r="AD7214">
        <v>-1.1254288628593001</v>
      </c>
      <c r="AE7214">
        <v>0.97880999999999896</v>
      </c>
      <c r="AF7214">
        <v>-4.9506146987699502</v>
      </c>
      <c r="AG7214">
        <v>-1.1254288628593001</v>
      </c>
      <c r="AH7214">
        <v>14.951486290078799</v>
      </c>
      <c r="AI7214">
        <v>94.087226228247204</v>
      </c>
      <c r="AJ7214">
        <v>108.320320550372</v>
      </c>
      <c r="AK7214">
        <v>15.789937248242801</v>
      </c>
      <c r="AL7214">
        <v>93.048142901172994</v>
      </c>
      <c r="AM7214">
        <v>96.1118101621459</v>
      </c>
      <c r="AN7214">
        <v>1.00000003254202</v>
      </c>
    </row>
    <row r="7215" spans="1:40" x14ac:dyDescent="0.25">
      <c r="A7215" t="str">
        <f>"20190303153950464"</f>
        <v>20190303153950464</v>
      </c>
      <c r="B7215" t="str">
        <f>"1551598790456252"</f>
        <v>1551598790456252</v>
      </c>
      <c r="C7215" t="s">
        <v>40</v>
      </c>
      <c r="D7215">
        <v>4.7927099999999996</v>
      </c>
      <c r="E7215">
        <v>0.43319209999999903</v>
      </c>
      <c r="F7215" t="s">
        <v>72</v>
      </c>
      <c r="G7215">
        <v>-387.04860000000002</v>
      </c>
      <c r="H7215" s="1">
        <v>-1.4766059999999999E-6</v>
      </c>
      <c r="I7215">
        <v>19.159389999999998</v>
      </c>
      <c r="J7215">
        <v>-403.89269999999999</v>
      </c>
      <c r="K7215">
        <v>1.1254500000000001</v>
      </c>
      <c r="L7215">
        <v>18.68552</v>
      </c>
      <c r="M7215">
        <v>0.96811119999999995</v>
      </c>
      <c r="N7215">
        <v>-6.0674549999999996E-4</v>
      </c>
      <c r="O7215">
        <v>-0.25052099999999999</v>
      </c>
      <c r="P7215">
        <v>0.98797829999999998</v>
      </c>
      <c r="Q7215">
        <v>-5.2127260000000002E-2</v>
      </c>
      <c r="R7215">
        <v>-0.14554059999999999</v>
      </c>
      <c r="S7215">
        <v>3.039825</v>
      </c>
      <c r="T7215">
        <v>-0.20161029999999999</v>
      </c>
      <c r="U7215">
        <v>7.9833979999999999E-2</v>
      </c>
      <c r="V7215">
        <v>-0.1058497</v>
      </c>
      <c r="W7215">
        <v>-5.3069739999999997E-2</v>
      </c>
      <c r="X7215">
        <v>0.99296499999999999</v>
      </c>
      <c r="Y7215">
        <v>-0.274709599999999</v>
      </c>
      <c r="Z7215">
        <v>2.550204E-2</v>
      </c>
      <c r="AA7215">
        <v>0.96118899999999996</v>
      </c>
      <c r="AB7215">
        <v>25</v>
      </c>
      <c r="AC7215">
        <v>16.844099999999901</v>
      </c>
      <c r="AD7215">
        <v>-1.125451476606</v>
      </c>
      <c r="AE7215">
        <v>0.47386999999999802</v>
      </c>
      <c r="AF7215">
        <v>-4.6577819638206197</v>
      </c>
      <c r="AG7215">
        <v>-1.125451476606</v>
      </c>
      <c r="AH7215">
        <v>16.116354836351</v>
      </c>
      <c r="AI7215">
        <v>93.838066782267106</v>
      </c>
      <c r="AJ7215">
        <v>106.119803812936</v>
      </c>
      <c r="AK7215">
        <v>16.813639316336602</v>
      </c>
      <c r="AL7215">
        <v>93.0421011515933</v>
      </c>
      <c r="AM7215">
        <v>96.084730327308193</v>
      </c>
      <c r="AN7215">
        <v>1.00000002375937</v>
      </c>
    </row>
    <row r="7216" spans="1:40" x14ac:dyDescent="0.25">
      <c r="A7216" t="str">
        <f>"20190303153950474"</f>
        <v>20190303153950474</v>
      </c>
      <c r="B7216" t="str">
        <f>"1551598790466012"</f>
        <v>1551598790466012</v>
      </c>
      <c r="C7216" t="s">
        <v>40</v>
      </c>
      <c r="D7216">
        <v>4.7693029999999998</v>
      </c>
      <c r="E7216">
        <v>0.43365379999999998</v>
      </c>
      <c r="F7216" t="s">
        <v>72</v>
      </c>
      <c r="G7216">
        <v>-386.79570000000001</v>
      </c>
      <c r="H7216" s="1">
        <v>-1.5891759999999999E-6</v>
      </c>
      <c r="I7216">
        <v>19.198969999999999</v>
      </c>
      <c r="J7216">
        <v>-403.77960000000002</v>
      </c>
      <c r="K7216">
        <v>1.125467</v>
      </c>
      <c r="L7216">
        <v>18.660399999999999</v>
      </c>
      <c r="M7216">
        <v>0.96915439999999997</v>
      </c>
      <c r="N7216">
        <v>-6.0624300000000002E-4</v>
      </c>
      <c r="O7216">
        <v>-0.24645349999999999</v>
      </c>
      <c r="P7216">
        <v>0.98848119999999995</v>
      </c>
      <c r="Q7216">
        <v>-5.2439550000000001E-2</v>
      </c>
      <c r="R7216">
        <v>-0.14196739999999999</v>
      </c>
      <c r="S7216">
        <v>3.0393979999999998</v>
      </c>
      <c r="T7216">
        <v>-0.20007539999999999</v>
      </c>
      <c r="U7216">
        <v>9.1278079999999998E-2</v>
      </c>
      <c r="V7216">
        <v>-0.105258</v>
      </c>
      <c r="W7216">
        <v>-5.3379940000000001E-2</v>
      </c>
      <c r="X7216">
        <v>0.99301119999999998</v>
      </c>
      <c r="Y7216">
        <v>-0.27431929999999999</v>
      </c>
      <c r="Z7216">
        <v>2.5040239999999998E-2</v>
      </c>
      <c r="AA7216">
        <v>0.96131259999999996</v>
      </c>
      <c r="AB7216">
        <v>25</v>
      </c>
      <c r="AC7216">
        <v>16.983899999999998</v>
      </c>
      <c r="AD7216">
        <v>-1.1254685891759999</v>
      </c>
      <c r="AE7216">
        <v>0.53857000000000299</v>
      </c>
      <c r="AF7216">
        <v>-4.6871381787364204</v>
      </c>
      <c r="AG7216">
        <v>-1.1254685891759999</v>
      </c>
      <c r="AH7216">
        <v>16.255979416292998</v>
      </c>
      <c r="AI7216">
        <v>93.805940081259394</v>
      </c>
      <c r="AJ7216">
        <v>106.084026472563</v>
      </c>
      <c r="AK7216">
        <v>16.955612953672102</v>
      </c>
      <c r="AL7216">
        <v>93.059899744131897</v>
      </c>
      <c r="AM7216">
        <v>96.0506902884418</v>
      </c>
      <c r="AN7216">
        <v>0.99999995394191998</v>
      </c>
    </row>
    <row r="7217" spans="1:40" x14ac:dyDescent="0.25">
      <c r="A7217" t="str">
        <f>"20190303153950485"</f>
        <v>20190303153950485</v>
      </c>
      <c r="B7217" t="str">
        <f>"1551598790475772"</f>
        <v>1551598790475772</v>
      </c>
      <c r="C7217" t="s">
        <v>40</v>
      </c>
      <c r="D7217">
        <v>4.798908</v>
      </c>
      <c r="E7217">
        <v>0.43392999999999998</v>
      </c>
      <c r="F7217" t="s">
        <v>72</v>
      </c>
      <c r="G7217">
        <v>-386.76069999999999</v>
      </c>
      <c r="H7217" s="1">
        <v>-1.6033069999999999E-6</v>
      </c>
      <c r="I7217">
        <v>19.212520000000001</v>
      </c>
      <c r="J7217">
        <v>-403.64870000000002</v>
      </c>
      <c r="K7217">
        <v>1.125483</v>
      </c>
      <c r="L7217">
        <v>18.631900000000002</v>
      </c>
      <c r="M7217">
        <v>0.97033519999999895</v>
      </c>
      <c r="N7217">
        <v>-6.0739970000000003E-4</v>
      </c>
      <c r="O7217">
        <v>-0.24176310000000001</v>
      </c>
      <c r="P7217">
        <v>0.98906260000000001</v>
      </c>
      <c r="Q7217">
        <v>-5.3020119999999997E-2</v>
      </c>
      <c r="R7217">
        <v>-0.1376377</v>
      </c>
      <c r="S7217">
        <v>3.0384519999999999</v>
      </c>
      <c r="T7217">
        <v>-0.20093430000000001</v>
      </c>
      <c r="U7217">
        <v>9.8571779999999998E-2</v>
      </c>
      <c r="V7217">
        <v>-0.10478460000000001</v>
      </c>
      <c r="W7217">
        <v>-5.3958770000000003E-2</v>
      </c>
      <c r="X7217">
        <v>0.99302999999999997</v>
      </c>
      <c r="Y7217">
        <v>-0.2719876</v>
      </c>
      <c r="Z7217">
        <v>2.477789E-2</v>
      </c>
      <c r="AA7217">
        <v>0.96198170000000005</v>
      </c>
      <c r="AB7217">
        <v>25</v>
      </c>
      <c r="AC7217">
        <v>16.888000000000002</v>
      </c>
      <c r="AD7217">
        <v>-1.1254846033069901</v>
      </c>
      <c r="AE7217">
        <v>0.58061999999999903</v>
      </c>
      <c r="AF7217">
        <v>-4.6257709536338698</v>
      </c>
      <c r="AG7217">
        <v>-1.1254846033069901</v>
      </c>
      <c r="AH7217">
        <v>16.174895192034001</v>
      </c>
      <c r="AI7217">
        <v>93.827393692362193</v>
      </c>
      <c r="AJ7217">
        <v>105.959713922665</v>
      </c>
      <c r="AK7217">
        <v>16.860952137440101</v>
      </c>
      <c r="AL7217">
        <v>93.093112076095906</v>
      </c>
      <c r="AM7217">
        <v>96.023564511202295</v>
      </c>
      <c r="AN7217">
        <v>0.999999971078536</v>
      </c>
    </row>
    <row r="7218" spans="1:40" x14ac:dyDescent="0.25">
      <c r="A7218" t="str">
        <f>"20190303153950497"</f>
        <v>20190303153950497</v>
      </c>
      <c r="B7218" t="str">
        <f>"1551598790485532"</f>
        <v>1551598790485532</v>
      </c>
      <c r="C7218" t="s">
        <v>40</v>
      </c>
      <c r="D7218">
        <v>4.7821499999999997</v>
      </c>
      <c r="E7218">
        <v>0.43439220000000001</v>
      </c>
      <c r="F7218" t="s">
        <v>72</v>
      </c>
      <c r="G7218">
        <v>-386.85160000000002</v>
      </c>
      <c r="H7218" s="1">
        <v>-1.5557409999999899E-6</v>
      </c>
      <c r="I7218">
        <v>19.238409999999998</v>
      </c>
      <c r="J7218">
        <v>-403.53019999999998</v>
      </c>
      <c r="K7218">
        <v>1.1254869999999999</v>
      </c>
      <c r="L7218">
        <v>18.606780000000001</v>
      </c>
      <c r="M7218">
        <v>0.97137640000000003</v>
      </c>
      <c r="N7218">
        <v>-6.0955109999999999E-4</v>
      </c>
      <c r="O7218">
        <v>-0.23754549999999999</v>
      </c>
      <c r="P7218">
        <v>0.98954609999999998</v>
      </c>
      <c r="Q7218">
        <v>-5.3541999999999999E-2</v>
      </c>
      <c r="R7218">
        <v>-0.1339109</v>
      </c>
      <c r="S7218">
        <v>3.0375369999999999</v>
      </c>
      <c r="T7218">
        <v>-0.20352909999999999</v>
      </c>
      <c r="U7218">
        <v>0.10968020000000001</v>
      </c>
      <c r="V7218">
        <v>-0.10419489999999899</v>
      </c>
      <c r="W7218">
        <v>-5.4474229999999998E-2</v>
      </c>
      <c r="X7218">
        <v>0.9930639</v>
      </c>
      <c r="Y7218">
        <v>-0.27131260000000001</v>
      </c>
      <c r="Z7218">
        <v>2.4809009999999999E-2</v>
      </c>
      <c r="AA7218">
        <v>0.96217149999999996</v>
      </c>
      <c r="AB7218">
        <v>25</v>
      </c>
      <c r="AC7218">
        <v>16.6785999999999</v>
      </c>
      <c r="AD7218">
        <v>-1.1254885557409999</v>
      </c>
      <c r="AE7218">
        <v>0.63163000000000102</v>
      </c>
      <c r="AF7218">
        <v>-4.5547656450131804</v>
      </c>
      <c r="AG7218">
        <v>-1.1254885557409999</v>
      </c>
      <c r="AH7218">
        <v>15.978500905691201</v>
      </c>
      <c r="AI7218">
        <v>93.875255085641996</v>
      </c>
      <c r="AJ7218">
        <v>105.910513081644</v>
      </c>
      <c r="AK7218">
        <v>16.653080969096099</v>
      </c>
      <c r="AL7218">
        <v>93.122689283295003</v>
      </c>
      <c r="AM7218">
        <v>95.989709641302696</v>
      </c>
      <c r="AN7218">
        <v>0.99999996420165504</v>
      </c>
    </row>
    <row r="7219" spans="1:40" x14ac:dyDescent="0.25">
      <c r="A7219" t="str">
        <f>"20190303153950507"</f>
        <v>20190303153950507</v>
      </c>
      <c r="B7219" t="str">
        <f>"1551598790496268"</f>
        <v>1551598790496268</v>
      </c>
      <c r="C7219" t="s">
        <v>40</v>
      </c>
      <c r="D7219">
        <v>4.7735250000000002</v>
      </c>
      <c r="E7219">
        <v>0.43471209999999999</v>
      </c>
      <c r="F7219" t="s">
        <v>72</v>
      </c>
      <c r="G7219">
        <v>-386.95699999999999</v>
      </c>
      <c r="H7219" s="1">
        <v>-1.5042440000000001E-6</v>
      </c>
      <c r="I7219">
        <v>19.247900000000001</v>
      </c>
      <c r="J7219">
        <v>-403.39839999999998</v>
      </c>
      <c r="K7219">
        <v>1.1254869999999999</v>
      </c>
      <c r="L7219">
        <v>18.579129999999999</v>
      </c>
      <c r="M7219">
        <v>0.97250840000000005</v>
      </c>
      <c r="N7219">
        <v>-6.1235019999999996E-4</v>
      </c>
      <c r="O7219">
        <v>-0.23286770000000001</v>
      </c>
      <c r="P7219">
        <v>0.99005569999999998</v>
      </c>
      <c r="Q7219">
        <v>-5.4491730000000002E-2</v>
      </c>
      <c r="R7219">
        <v>-0.12969520000000001</v>
      </c>
      <c r="S7219">
        <v>3.036438</v>
      </c>
      <c r="T7219">
        <v>-0.20620520000000001</v>
      </c>
      <c r="U7219">
        <v>0.1174622</v>
      </c>
      <c r="V7219">
        <v>-0.103617</v>
      </c>
      <c r="W7219">
        <v>-5.5417019999999997E-2</v>
      </c>
      <c r="X7219">
        <v>0.99307219999999996</v>
      </c>
      <c r="Y7219">
        <v>-0.26914060000000001</v>
      </c>
      <c r="Z7219">
        <v>2.4761760000000001E-2</v>
      </c>
      <c r="AA7219">
        <v>0.96278249999999999</v>
      </c>
      <c r="AB7219">
        <v>26</v>
      </c>
      <c r="AC7219">
        <v>16.441399999999899</v>
      </c>
      <c r="AD7219">
        <v>-1.1254885042439999</v>
      </c>
      <c r="AE7219">
        <v>0.66877000000000197</v>
      </c>
      <c r="AF7219">
        <v>-4.4581988291049202</v>
      </c>
      <c r="AG7219">
        <v>-1.1254885042439999</v>
      </c>
      <c r="AH7219">
        <v>15.7599355888439</v>
      </c>
      <c r="AI7219">
        <v>93.931069545270205</v>
      </c>
      <c r="AJ7219">
        <v>105.795242286944</v>
      </c>
      <c r="AK7219">
        <v>16.416998231635599</v>
      </c>
      <c r="AL7219">
        <v>93.176788909177503</v>
      </c>
      <c r="AM7219">
        <v>95.956678790213104</v>
      </c>
      <c r="AN7219">
        <v>0.99999996160375904</v>
      </c>
    </row>
    <row r="7220" spans="1:40" x14ac:dyDescent="0.25">
      <c r="A7220" t="str">
        <f>"20190303153950520"</f>
        <v>20190303153950520</v>
      </c>
      <c r="B7220" t="str">
        <f>"1551598790515789"</f>
        <v>1551598790515789</v>
      </c>
      <c r="C7220" t="s">
        <v>40</v>
      </c>
      <c r="D7220">
        <v>4.7762500000000001</v>
      </c>
      <c r="E7220">
        <v>0.43549090000000001</v>
      </c>
      <c r="F7220" t="s">
        <v>72</v>
      </c>
      <c r="G7220">
        <v>-387.04379999999998</v>
      </c>
      <c r="H7220" s="1">
        <v>-1.4596740000000001E-6</v>
      </c>
      <c r="I7220">
        <v>19.267910000000001</v>
      </c>
      <c r="J7220">
        <v>-403.26769999999999</v>
      </c>
      <c r="K7220">
        <v>1.1254820000000001</v>
      </c>
      <c r="L7220">
        <v>18.552700000000002</v>
      </c>
      <c r="M7220">
        <v>0.97359370000000001</v>
      </c>
      <c r="N7220">
        <v>-6.1570059999999896E-4</v>
      </c>
      <c r="O7220">
        <v>-0.2282872</v>
      </c>
      <c r="P7220">
        <v>0.99050150000000003</v>
      </c>
      <c r="Q7220">
        <v>-5.5571740000000001E-2</v>
      </c>
      <c r="R7220">
        <v>-0.12577249999999901</v>
      </c>
      <c r="S7220">
        <v>3.035431</v>
      </c>
      <c r="T7220">
        <v>-0.2088912</v>
      </c>
      <c r="U7220">
        <v>0.12783810000000001</v>
      </c>
      <c r="V7220">
        <v>-0.10284509999999999</v>
      </c>
      <c r="W7220">
        <v>-5.6484270000000003E-2</v>
      </c>
      <c r="X7220">
        <v>0.99309239999999999</v>
      </c>
      <c r="Y7220">
        <v>-0.26788889999999999</v>
      </c>
      <c r="Z7220">
        <v>2.4742799999999999E-2</v>
      </c>
      <c r="AA7220">
        <v>0.96313210000000005</v>
      </c>
      <c r="AB7220">
        <v>26</v>
      </c>
      <c r="AC7220">
        <v>16.2239</v>
      </c>
      <c r="AD7220">
        <v>-1.12548345967399</v>
      </c>
      <c r="AE7220">
        <v>0.71520999999999801</v>
      </c>
      <c r="AF7220">
        <v>-4.3790003127456902</v>
      </c>
      <c r="AG7220">
        <v>-1.12548345967399</v>
      </c>
      <c r="AH7220">
        <v>15.557490901626499</v>
      </c>
      <c r="AI7220">
        <v>93.983504668002993</v>
      </c>
      <c r="AJ7220">
        <v>105.720432040736</v>
      </c>
      <c r="AK7220">
        <v>16.201169090878</v>
      </c>
      <c r="AL7220">
        <v>93.238033482800702</v>
      </c>
      <c r="AM7220">
        <v>95.912500331426003</v>
      </c>
      <c r="AN7220">
        <v>1.0000000511446001</v>
      </c>
    </row>
    <row r="7221" spans="1:40" x14ac:dyDescent="0.25">
      <c r="A7221" t="str">
        <f>"20190303153950534"</f>
        <v>20190303153950534</v>
      </c>
      <c r="B7221" t="str">
        <f>"1551598790525548"</f>
        <v>1551598790525548</v>
      </c>
      <c r="C7221" t="s">
        <v>40</v>
      </c>
      <c r="D7221">
        <v>4.7687229999999996</v>
      </c>
      <c r="E7221">
        <v>0.43589270000000002</v>
      </c>
      <c r="F7221" t="s">
        <v>72</v>
      </c>
      <c r="G7221">
        <v>-387.06849999999997</v>
      </c>
      <c r="H7221" s="1">
        <v>-1.448217E-6</v>
      </c>
      <c r="I7221">
        <v>19.266570000000002</v>
      </c>
      <c r="J7221">
        <v>-403.12189999999998</v>
      </c>
      <c r="K7221">
        <v>1.125475</v>
      </c>
      <c r="L7221">
        <v>18.52365</v>
      </c>
      <c r="M7221">
        <v>0.97477279999999999</v>
      </c>
      <c r="N7221">
        <v>-6.1967040000000004E-4</v>
      </c>
      <c r="O7221">
        <v>-0.22319910000000001</v>
      </c>
      <c r="P7221">
        <v>0.99101910000000004</v>
      </c>
      <c r="Q7221">
        <v>-5.6339750000000001E-2</v>
      </c>
      <c r="R7221">
        <v>-0.1212734</v>
      </c>
      <c r="S7221">
        <v>3.0339049999999999</v>
      </c>
      <c r="T7221">
        <v>-0.21078849999999999</v>
      </c>
      <c r="U7221">
        <v>0.1336975</v>
      </c>
      <c r="V7221">
        <v>-0.1021465</v>
      </c>
      <c r="W7221">
        <v>-5.7239030000000003E-2</v>
      </c>
      <c r="X7221">
        <v>0.99312120000000004</v>
      </c>
      <c r="Y7221">
        <v>-0.2647311</v>
      </c>
      <c r="Z7221">
        <v>2.452553E-2</v>
      </c>
      <c r="AA7221">
        <v>0.96401040000000005</v>
      </c>
      <c r="AB7221">
        <v>26</v>
      </c>
      <c r="AC7221">
        <v>16.0534</v>
      </c>
      <c r="AD7221">
        <v>-1.1254764482170001</v>
      </c>
      <c r="AE7221">
        <v>0.74292000000000102</v>
      </c>
      <c r="AF7221">
        <v>-4.2862602783958597</v>
      </c>
      <c r="AG7221">
        <v>-1.1254764482170001</v>
      </c>
      <c r="AH7221">
        <v>15.4070333642933</v>
      </c>
      <c r="AI7221">
        <v>94.0256577676749</v>
      </c>
      <c r="AJ7221">
        <v>105.546648629708</v>
      </c>
      <c r="AK7221">
        <v>16.031699894212501</v>
      </c>
      <c r="AL7221">
        <v>93.281348404179695</v>
      </c>
      <c r="AM7221">
        <v>95.872450784207999</v>
      </c>
      <c r="AN7221">
        <v>0.99999996595351404</v>
      </c>
    </row>
    <row r="7222" spans="1:40" x14ac:dyDescent="0.25">
      <c r="A7222" t="str">
        <f>"20190303153950545"</f>
        <v>20190303153950545</v>
      </c>
      <c r="B7222" t="str">
        <f>"1551598790535309"</f>
        <v>1551598790535309</v>
      </c>
      <c r="C7222" t="s">
        <v>40</v>
      </c>
      <c r="D7222">
        <v>4.7979520000000004</v>
      </c>
      <c r="E7222">
        <v>0.4362472</v>
      </c>
      <c r="F7222" t="s">
        <v>72</v>
      </c>
      <c r="G7222">
        <v>-387.04750000000001</v>
      </c>
      <c r="H7222" s="1">
        <v>-1.4542190000000001E-6</v>
      </c>
      <c r="I7222">
        <v>19.28856</v>
      </c>
      <c r="J7222">
        <v>-402.98399999999998</v>
      </c>
      <c r="K7222">
        <v>1.1254630000000001</v>
      </c>
      <c r="L7222">
        <v>18.496860000000002</v>
      </c>
      <c r="M7222">
        <v>0.97584919999999997</v>
      </c>
      <c r="N7222">
        <v>-6.2400339999999996E-4</v>
      </c>
      <c r="O7222">
        <v>-0.21844469999999999</v>
      </c>
      <c r="P7222">
        <v>0.99147320000000005</v>
      </c>
      <c r="Q7222">
        <v>-5.7431860000000001E-2</v>
      </c>
      <c r="R7222">
        <v>-0.11697349999999999</v>
      </c>
      <c r="S7222">
        <v>3.0328059999999999</v>
      </c>
      <c r="T7222">
        <v>-0.21234829999999999</v>
      </c>
      <c r="U7222">
        <v>0.14431759999999999</v>
      </c>
      <c r="V7222">
        <v>-0.1015842</v>
      </c>
      <c r="W7222">
        <v>-5.8317519999999998E-2</v>
      </c>
      <c r="X7222">
        <v>0.99311609999999995</v>
      </c>
      <c r="Y7222">
        <v>-0.26341189999999998</v>
      </c>
      <c r="Z7222">
        <v>2.4344810000000001E-2</v>
      </c>
      <c r="AA7222">
        <v>0.96437620000000002</v>
      </c>
      <c r="AB7222">
        <v>26</v>
      </c>
      <c r="AC7222">
        <v>15.936500000000001</v>
      </c>
      <c r="AD7222">
        <v>-1.125464454219</v>
      </c>
      <c r="AE7222">
        <v>0.79169999999999796</v>
      </c>
      <c r="AF7222">
        <v>-4.2327656166794903</v>
      </c>
      <c r="AG7222">
        <v>-1.125464454219</v>
      </c>
      <c r="AH7222">
        <v>15.3025474</v>
      </c>
      <c r="AI7222">
        <v>94.054671884877393</v>
      </c>
      <c r="AJ7222">
        <v>105.461725970637</v>
      </c>
      <c r="AK7222">
        <v>15.917001348643</v>
      </c>
      <c r="AL7222">
        <v>93.343244838187204</v>
      </c>
      <c r="AM7222">
        <v>95.840377748058501</v>
      </c>
      <c r="AN7222">
        <v>0.99999993545389798</v>
      </c>
    </row>
    <row r="7223" spans="1:40" x14ac:dyDescent="0.25">
      <c r="A7223" t="str">
        <f>"20190303153950558"</f>
        <v>20190303153950558</v>
      </c>
      <c r="B7223" t="str">
        <f>"1551598790546045"</f>
        <v>1551598790546045</v>
      </c>
      <c r="C7223" t="s">
        <v>40</v>
      </c>
      <c r="D7223">
        <v>4.8086440000000001</v>
      </c>
      <c r="E7223">
        <v>0.4362472</v>
      </c>
      <c r="F7223" t="s">
        <v>72</v>
      </c>
      <c r="G7223">
        <v>-387.2106</v>
      </c>
      <c r="H7223" s="1">
        <v>-1.374831E-6</v>
      </c>
      <c r="I7223">
        <v>19.301590000000001</v>
      </c>
      <c r="J7223">
        <v>-402.84210000000002</v>
      </c>
      <c r="K7223">
        <v>1.125443</v>
      </c>
      <c r="L7223">
        <v>18.47006</v>
      </c>
      <c r="M7223">
        <v>0.97691939999999999</v>
      </c>
      <c r="N7223">
        <v>-6.2938589999999997E-4</v>
      </c>
      <c r="O7223">
        <v>-0.2136074</v>
      </c>
      <c r="P7223">
        <v>0.99193220000000004</v>
      </c>
      <c r="Q7223">
        <v>-5.8505399999999999E-2</v>
      </c>
      <c r="R7223">
        <v>-0.1124637</v>
      </c>
      <c r="S7223">
        <v>3.0315249999999998</v>
      </c>
      <c r="T7223">
        <v>-0.21630550000000001</v>
      </c>
      <c r="U7223">
        <v>0.1546631</v>
      </c>
      <c r="V7223">
        <v>-0.1011526</v>
      </c>
      <c r="W7223">
        <v>-5.9376989999999998E-2</v>
      </c>
      <c r="X7223">
        <v>0.99309740000000002</v>
      </c>
      <c r="Y7223">
        <v>-0.261907</v>
      </c>
      <c r="Z7223">
        <v>2.4417629999999999E-2</v>
      </c>
      <c r="AA7223">
        <v>0.96478419999999998</v>
      </c>
      <c r="AB7223">
        <v>26</v>
      </c>
      <c r="AC7223">
        <v>15.631500000000001</v>
      </c>
      <c r="AD7223">
        <v>-1.1254443748309999</v>
      </c>
      <c r="AE7223">
        <v>0.83152999999999999</v>
      </c>
      <c r="AF7223">
        <v>-4.1299940402795503</v>
      </c>
      <c r="AG7223">
        <v>-1.1254443748309999</v>
      </c>
      <c r="AH7223">
        <v>15.015480051286501</v>
      </c>
      <c r="AI7223">
        <v>94.133492835464494</v>
      </c>
      <c r="AJ7223">
        <v>105.37886581709</v>
      </c>
      <c r="AK7223">
        <v>15.6137156687371</v>
      </c>
      <c r="AL7223">
        <v>93.404053299918502</v>
      </c>
      <c r="AM7223">
        <v>95.8158429869858</v>
      </c>
      <c r="AN7223">
        <v>0.99999996065748897</v>
      </c>
    </row>
    <row r="7224" spans="1:40" x14ac:dyDescent="0.25">
      <c r="A7224" t="str">
        <f>"20190303153950577"</f>
        <v>20190303153950577</v>
      </c>
      <c r="B7224" t="str">
        <f>"1551598790565564"</f>
        <v>1551598790565564</v>
      </c>
      <c r="C7224" t="s">
        <v>40</v>
      </c>
      <c r="D7224">
        <v>4.7948469999999999</v>
      </c>
      <c r="E7224">
        <v>0.44275500000000001</v>
      </c>
      <c r="F7224" t="s">
        <v>72</v>
      </c>
      <c r="G7224">
        <v>-387.3152</v>
      </c>
      <c r="H7224" s="1">
        <v>-1.3197999999999901E-6</v>
      </c>
      <c r="I7224">
        <v>19.33315</v>
      </c>
      <c r="J7224">
        <v>-402.6275</v>
      </c>
      <c r="K7224">
        <v>1.125397</v>
      </c>
      <c r="L7224">
        <v>18.43066</v>
      </c>
      <c r="M7224">
        <v>0.97846900000000003</v>
      </c>
      <c r="N7224">
        <v>-6.3931939999999998E-4</v>
      </c>
      <c r="O7224">
        <v>-0.20639260000000001</v>
      </c>
      <c r="P7224">
        <v>0.99266569999999998</v>
      </c>
      <c r="Q7224">
        <v>-5.984213E-2</v>
      </c>
      <c r="R7224">
        <v>-0.1050411</v>
      </c>
      <c r="S7224">
        <v>3.030548</v>
      </c>
      <c r="T7224">
        <v>-0.2196649</v>
      </c>
      <c r="U7224">
        <v>0.168457</v>
      </c>
      <c r="V7224">
        <v>-0.1012198</v>
      </c>
      <c r="W7224">
        <v>-6.0699040000000003E-2</v>
      </c>
      <c r="X7224">
        <v>0.99301059999999997</v>
      </c>
      <c r="Y7224">
        <v>-0.25916850000000002</v>
      </c>
      <c r="Z7224">
        <v>2.419311E-2</v>
      </c>
      <c r="AA7224">
        <v>0.96552910000000003</v>
      </c>
      <c r="AB7224">
        <v>26</v>
      </c>
      <c r="AC7224">
        <v>15.312299999999899</v>
      </c>
      <c r="AD7224">
        <v>-1.1253983197999999</v>
      </c>
      <c r="AE7224">
        <v>0.90249000000000001</v>
      </c>
      <c r="AF7224">
        <v>-4.0217557556534898</v>
      </c>
      <c r="AG7224">
        <v>-1.1253983197999999</v>
      </c>
      <c r="AH7224">
        <v>14.717124877857101</v>
      </c>
      <c r="AI7224">
        <v>94.218724448939099</v>
      </c>
      <c r="AJ7224">
        <v>105.28408340126499</v>
      </c>
      <c r="AK7224">
        <v>15.298196148787699</v>
      </c>
      <c r="AL7224">
        <v>93.479938167057398</v>
      </c>
      <c r="AM7224">
        <v>95.820185400879893</v>
      </c>
      <c r="AN7224">
        <v>0.999999936540658</v>
      </c>
    </row>
    <row r="7225" spans="1:40" x14ac:dyDescent="0.25">
      <c r="A7225" t="str">
        <f>"20190303153950591"</f>
        <v>20190303153950591</v>
      </c>
      <c r="B7225" t="str">
        <f>"1551598790586060"</f>
        <v>1551598790586060</v>
      </c>
      <c r="C7225" t="s">
        <v>40</v>
      </c>
      <c r="D7225">
        <v>4.7670450000000004</v>
      </c>
      <c r="E7225">
        <v>0.44352570000000002</v>
      </c>
      <c r="F7225" t="s">
        <v>72</v>
      </c>
      <c r="G7225">
        <v>-387.30290000000002</v>
      </c>
      <c r="H7225" s="1">
        <v>-1.3602959999999901E-6</v>
      </c>
      <c r="I7225">
        <v>19.137530000000002</v>
      </c>
      <c r="J7225">
        <v>-402.4615</v>
      </c>
      <c r="K7225">
        <v>1.1253610000000001</v>
      </c>
      <c r="L7225">
        <v>18.40109</v>
      </c>
      <c r="M7225">
        <v>0.97961180000000003</v>
      </c>
      <c r="N7225">
        <v>-6.4870200000000002E-4</v>
      </c>
      <c r="O7225">
        <v>-0.20089860000000001</v>
      </c>
      <c r="P7225">
        <v>0.99321990000000004</v>
      </c>
      <c r="Q7225">
        <v>-6.033902E-2</v>
      </c>
      <c r="R7225">
        <v>-9.9365609999999993E-2</v>
      </c>
      <c r="S7225">
        <v>3.0235289999999999</v>
      </c>
      <c r="T7225">
        <v>-0.22204080000000001</v>
      </c>
      <c r="U7225">
        <v>0.13946529999999999</v>
      </c>
      <c r="V7225">
        <v>-0.101313899999999</v>
      </c>
      <c r="W7225">
        <v>-6.1181510000000001E-2</v>
      </c>
      <c r="X7225">
        <v>0.99297150000000001</v>
      </c>
      <c r="Y7225">
        <v>-0.24463280000000001</v>
      </c>
      <c r="Z7225">
        <v>2.3581700000000001E-2</v>
      </c>
      <c r="AA7225">
        <v>0.969329</v>
      </c>
      <c r="AB7225">
        <v>26</v>
      </c>
      <c r="AC7225">
        <v>15.1585999999999</v>
      </c>
      <c r="AD7225">
        <v>-1.1253623602959999</v>
      </c>
      <c r="AE7225">
        <v>0.73643999999999799</v>
      </c>
      <c r="AF7225">
        <v>-3.7461694815067701</v>
      </c>
      <c r="AG7225">
        <v>-1.1253623602959999</v>
      </c>
      <c r="AH7225">
        <v>14.621202739645</v>
      </c>
      <c r="AI7225">
        <v>94.264053011703894</v>
      </c>
      <c r="AJ7225">
        <v>104.370889606847</v>
      </c>
      <c r="AK7225">
        <v>15.1353822475663</v>
      </c>
      <c r="AL7225">
        <v>93.507632768142301</v>
      </c>
      <c r="AM7225">
        <v>95.8257868118407</v>
      </c>
      <c r="AN7225">
        <v>1.00000004165566</v>
      </c>
    </row>
    <row r="7226" spans="1:40" x14ac:dyDescent="0.25">
      <c r="A7226" t="str">
        <f>"20190303153950608"</f>
        <v>20190303153950608</v>
      </c>
      <c r="B7226" t="str">
        <f>"1551598790595820"</f>
        <v>1551598790595820</v>
      </c>
      <c r="C7226" t="s">
        <v>40</v>
      </c>
      <c r="D7226">
        <v>4.7776820000000004</v>
      </c>
      <c r="E7226">
        <v>0.44396629999999998</v>
      </c>
      <c r="F7226" t="s">
        <v>72</v>
      </c>
      <c r="G7226">
        <v>-386.93740000000003</v>
      </c>
      <c r="H7226" s="1">
        <v>-1.5265520000000001E-6</v>
      </c>
      <c r="I7226">
        <v>19.174379999999999</v>
      </c>
      <c r="J7226">
        <v>-402.25740000000002</v>
      </c>
      <c r="K7226">
        <v>1.125311</v>
      </c>
      <c r="L7226">
        <v>18.366</v>
      </c>
      <c r="M7226">
        <v>0.98094820000000005</v>
      </c>
      <c r="N7226">
        <v>-6.6243339999999995E-4</v>
      </c>
      <c r="O7226">
        <v>-0.1942683</v>
      </c>
      <c r="P7226">
        <v>0.99378299999999997</v>
      </c>
      <c r="Q7226">
        <v>-6.085376E-2</v>
      </c>
      <c r="R7226">
        <v>-9.3230770000000004E-2</v>
      </c>
      <c r="S7226">
        <v>3.0222169999999999</v>
      </c>
      <c r="T7226">
        <v>-0.21908349999999999</v>
      </c>
      <c r="U7226">
        <v>0.15054319999999999</v>
      </c>
      <c r="V7226">
        <v>-0.1007214</v>
      </c>
      <c r="W7226">
        <v>-6.1664259999999999E-2</v>
      </c>
      <c r="X7226">
        <v>0.99300189999999999</v>
      </c>
      <c r="Y7226">
        <v>-0.24169489999999999</v>
      </c>
      <c r="Z7226">
        <v>2.269968E-2</v>
      </c>
      <c r="AA7226">
        <v>0.97008680000000003</v>
      </c>
      <c r="AB7226">
        <v>27</v>
      </c>
      <c r="AC7226">
        <v>15.319999999999901</v>
      </c>
      <c r="AD7226">
        <v>-1.1253125265520001</v>
      </c>
      <c r="AE7226">
        <v>0.80837999999999899</v>
      </c>
      <c r="AF7226">
        <v>-3.7489986988309298</v>
      </c>
      <c r="AG7226">
        <v>-1.1253125265520001</v>
      </c>
      <c r="AH7226">
        <v>14.7915017875111</v>
      </c>
      <c r="AI7226">
        <v>94.217724917052394</v>
      </c>
      <c r="AJ7226">
        <v>104.222471616042</v>
      </c>
      <c r="AK7226">
        <v>15.300648504432599</v>
      </c>
      <c r="AL7226">
        <v>93.535344679960801</v>
      </c>
      <c r="AM7226">
        <v>95.791772868073295</v>
      </c>
      <c r="AN7226">
        <v>1.00000002739145</v>
      </c>
    </row>
    <row r="7227" spans="1:40" x14ac:dyDescent="0.25">
      <c r="A7227" t="str">
        <f>"20190303153950620"</f>
        <v>20190303153950620</v>
      </c>
      <c r="B7227" t="str">
        <f>"1551598790615340"</f>
        <v>1551598790615340</v>
      </c>
      <c r="C7227" t="s">
        <v>40</v>
      </c>
      <c r="D7227">
        <v>4.8062509999999996</v>
      </c>
      <c r="E7227">
        <v>0.44831179999999898</v>
      </c>
      <c r="F7227" t="s">
        <v>72</v>
      </c>
      <c r="G7227">
        <v>-386.70269999999999</v>
      </c>
      <c r="H7227" s="1">
        <v>-1.6296020000000001E-6</v>
      </c>
      <c r="I7227">
        <v>19.218920000000001</v>
      </c>
      <c r="J7227">
        <v>-402.12880000000001</v>
      </c>
      <c r="K7227">
        <v>1.1252789999999999</v>
      </c>
      <c r="L7227">
        <v>18.344760000000001</v>
      </c>
      <c r="M7227">
        <v>0.9817477</v>
      </c>
      <c r="N7227">
        <v>-6.7164839999999998E-4</v>
      </c>
      <c r="O7227">
        <v>-0.19018769999999999</v>
      </c>
      <c r="P7227">
        <v>0.99412999999999996</v>
      </c>
      <c r="Q7227">
        <v>-6.0687570000000003E-2</v>
      </c>
      <c r="R7227">
        <v>-8.9570220000000006E-2</v>
      </c>
      <c r="S7227">
        <v>3.0209350000000001</v>
      </c>
      <c r="T7227">
        <v>-0.2185513</v>
      </c>
      <c r="U7227">
        <v>0.1656494</v>
      </c>
      <c r="V7227">
        <v>-0.100259</v>
      </c>
      <c r="W7227">
        <v>-6.1474880000000003E-2</v>
      </c>
      <c r="X7227">
        <v>0.99306039999999995</v>
      </c>
      <c r="Y7227">
        <v>-0.2425321</v>
      </c>
      <c r="Z7227">
        <v>2.2394379999999998E-2</v>
      </c>
      <c r="AA7227">
        <v>0.96988490000000005</v>
      </c>
      <c r="AB7227">
        <v>27</v>
      </c>
      <c r="AC7227">
        <v>15.4261</v>
      </c>
      <c r="AD7227">
        <v>-1.1252806296019999</v>
      </c>
      <c r="AE7227">
        <v>0.87415999999999905</v>
      </c>
      <c r="AF7227">
        <v>-3.7720516392961798</v>
      </c>
      <c r="AG7227">
        <v>-1.1252806296019999</v>
      </c>
      <c r="AH7227">
        <v>14.899256293316</v>
      </c>
      <c r="AI7227">
        <v>94.187495933581204</v>
      </c>
      <c r="AJ7227">
        <v>104.207084217361</v>
      </c>
      <c r="AK7227">
        <v>15.410466188885801</v>
      </c>
      <c r="AL7227">
        <v>93.524473501792002</v>
      </c>
      <c r="AM7227">
        <v>95.765025711863501</v>
      </c>
      <c r="AN7227">
        <v>0.99999999300008702</v>
      </c>
    </row>
    <row r="7228" spans="1:40" x14ac:dyDescent="0.25">
      <c r="A7228" t="str">
        <f>"20190303153950631"</f>
        <v>20190303153950631</v>
      </c>
      <c r="B7228" t="str">
        <f>"1551598790626076"</f>
        <v>1551598790626076</v>
      </c>
      <c r="C7228" t="s">
        <v>40</v>
      </c>
      <c r="D7228">
        <v>4.8063279999999997</v>
      </c>
      <c r="E7228">
        <v>0.44913150000000002</v>
      </c>
      <c r="F7228" t="s">
        <v>72</v>
      </c>
      <c r="G7228">
        <v>-384.8091</v>
      </c>
      <c r="H7228" s="1">
        <v>-2.5352490000000002E-6</v>
      </c>
      <c r="I7228">
        <v>19.159520000000001</v>
      </c>
      <c r="J7228">
        <v>-401.98579999999998</v>
      </c>
      <c r="K7228">
        <v>1.1252390000000001</v>
      </c>
      <c r="L7228">
        <v>18.32141</v>
      </c>
      <c r="M7228">
        <v>0.98260930000000002</v>
      </c>
      <c r="N7228">
        <v>-6.823167E-4</v>
      </c>
      <c r="O7228">
        <v>-0.18568470000000001</v>
      </c>
      <c r="P7228">
        <v>0.99451670000000003</v>
      </c>
      <c r="Q7228">
        <v>-5.9965789999999998E-2</v>
      </c>
      <c r="R7228">
        <v>-8.5680969999999995E-2</v>
      </c>
      <c r="S7228">
        <v>3.0185240000000002</v>
      </c>
      <c r="T7228">
        <v>-0.1961175</v>
      </c>
      <c r="U7228">
        <v>0.14199829999999999</v>
      </c>
      <c r="V7228">
        <v>-9.9614350000000004E-2</v>
      </c>
      <c r="W7228">
        <v>-6.0724439999999998E-2</v>
      </c>
      <c r="X7228">
        <v>0.99317149999999998</v>
      </c>
      <c r="Y7228">
        <v>-0.23078119999999999</v>
      </c>
      <c r="Z7228">
        <v>1.944212E-2</v>
      </c>
      <c r="AA7228">
        <v>0.97281139999999999</v>
      </c>
      <c r="AB7228">
        <v>27</v>
      </c>
      <c r="AC7228">
        <v>17.176699999999901</v>
      </c>
      <c r="AD7228">
        <v>-1.1252415352489999</v>
      </c>
      <c r="AE7228">
        <v>0.83811000000000002</v>
      </c>
      <c r="AF7228">
        <v>-3.9958776845466399</v>
      </c>
      <c r="AG7228">
        <v>-1.1252415352489999</v>
      </c>
      <c r="AH7228">
        <v>16.651073422003599</v>
      </c>
      <c r="AI7228">
        <v>93.759618172314404</v>
      </c>
      <c r="AJ7228">
        <v>103.49449712705101</v>
      </c>
      <c r="AK7228">
        <v>17.160753278555699</v>
      </c>
      <c r="AL7228">
        <v>93.481395765702302</v>
      </c>
      <c r="AM7228">
        <v>95.727568260715003</v>
      </c>
      <c r="AN7228">
        <v>1.00000005237574</v>
      </c>
    </row>
    <row r="7229" spans="1:40" x14ac:dyDescent="0.25">
      <c r="A7229" t="str">
        <f>"20190303153950645"</f>
        <v>20190303153950645</v>
      </c>
      <c r="B7229" t="str">
        <f>"1551598790635836"</f>
        <v>1551598790635836</v>
      </c>
      <c r="C7229" t="s">
        <v>40</v>
      </c>
      <c r="D7229">
        <v>4.8318289999999999</v>
      </c>
      <c r="E7229">
        <v>0.44966610000000001</v>
      </c>
      <c r="F7229" t="s">
        <v>72</v>
      </c>
      <c r="G7229">
        <v>-384.73259999999999</v>
      </c>
      <c r="H7229" s="1">
        <v>-2.5706040000000001E-6</v>
      </c>
      <c r="I7229">
        <v>19.163900000000002</v>
      </c>
      <c r="J7229">
        <v>-401.82810000000001</v>
      </c>
      <c r="K7229">
        <v>1.125189</v>
      </c>
      <c r="L7229">
        <v>18.29645</v>
      </c>
      <c r="M7229">
        <v>0.98351529999999998</v>
      </c>
      <c r="N7229">
        <v>-6.9487559999999995E-4</v>
      </c>
      <c r="O7229">
        <v>-0.18082380000000001</v>
      </c>
      <c r="P7229">
        <v>0.99490590000000001</v>
      </c>
      <c r="Q7229">
        <v>-5.9549169999999998E-2</v>
      </c>
      <c r="R7229">
        <v>-8.1339560000000005E-2</v>
      </c>
      <c r="S7229">
        <v>3.017334</v>
      </c>
      <c r="T7229">
        <v>-0.19678850000000001</v>
      </c>
      <c r="U7229">
        <v>0.14733889999999999</v>
      </c>
      <c r="V7229">
        <v>-9.9055840000000006E-2</v>
      </c>
      <c r="W7229">
        <v>-6.0275580000000002E-2</v>
      </c>
      <c r="X7229">
        <v>0.99325469999999905</v>
      </c>
      <c r="Y7229">
        <v>-0.2277158</v>
      </c>
      <c r="Z7229">
        <v>1.9104610000000001E-2</v>
      </c>
      <c r="AA7229">
        <v>0.97354019999999997</v>
      </c>
      <c r="AB7229">
        <v>27</v>
      </c>
      <c r="AC7229">
        <v>17.095500000000001</v>
      </c>
      <c r="AD7229">
        <v>-1.1251915706039901</v>
      </c>
      <c r="AE7229">
        <v>0.86745000000000105</v>
      </c>
      <c r="AF7229">
        <v>-3.9274543506823498</v>
      </c>
      <c r="AG7229">
        <v>-1.1251915706039901</v>
      </c>
      <c r="AH7229">
        <v>16.585171007167499</v>
      </c>
      <c r="AI7229">
        <v>93.777040824581107</v>
      </c>
      <c r="AJ7229">
        <v>103.3225277765</v>
      </c>
      <c r="AK7229">
        <v>17.080949946775299</v>
      </c>
      <c r="AL7229">
        <v>93.455630788073904</v>
      </c>
      <c r="AM7229">
        <v>95.6951931451908</v>
      </c>
      <c r="AN7229">
        <v>1.0000000520272601</v>
      </c>
    </row>
    <row r="7230" spans="1:40" x14ac:dyDescent="0.25">
      <c r="A7230" t="str">
        <f>"20190303153950658"</f>
        <v>20190303153950658</v>
      </c>
      <c r="B7230" t="str">
        <f>"1551598790645598"</f>
        <v>1551598790645598</v>
      </c>
      <c r="C7230" t="s">
        <v>40</v>
      </c>
      <c r="D7230">
        <v>4.8548900000000001</v>
      </c>
      <c r="E7230">
        <v>0.45150119999999999</v>
      </c>
      <c r="F7230" t="s">
        <v>72</v>
      </c>
      <c r="G7230">
        <v>-384.72019999999998</v>
      </c>
      <c r="H7230" s="1">
        <v>-2.5731469999999998E-6</v>
      </c>
      <c r="I7230">
        <v>19.182839999999999</v>
      </c>
      <c r="J7230">
        <v>-401.68049999999999</v>
      </c>
      <c r="K7230">
        <v>1.12514</v>
      </c>
      <c r="L7230">
        <v>18.273769999999999</v>
      </c>
      <c r="M7230">
        <v>0.98432439999999999</v>
      </c>
      <c r="N7230">
        <v>-7.0739819999999999E-4</v>
      </c>
      <c r="O7230">
        <v>-0.17636579999999999</v>
      </c>
      <c r="P7230">
        <v>0.99523930000000005</v>
      </c>
      <c r="Q7230">
        <v>-5.9117620000000003E-2</v>
      </c>
      <c r="R7230">
        <v>-7.7485579999999998E-2</v>
      </c>
      <c r="S7230">
        <v>3.0162960000000001</v>
      </c>
      <c r="T7230">
        <v>-0.19838259999999999</v>
      </c>
      <c r="U7230">
        <v>0.15628049999999999</v>
      </c>
      <c r="V7230">
        <v>-9.8420610000000006E-2</v>
      </c>
      <c r="W7230">
        <v>-5.9810889999999999E-2</v>
      </c>
      <c r="X7230">
        <v>0.9933459</v>
      </c>
      <c r="Y7230">
        <v>-0.2261977</v>
      </c>
      <c r="Z7230">
        <v>1.8927619999999999E-2</v>
      </c>
      <c r="AA7230">
        <v>0.97389749999999997</v>
      </c>
      <c r="AB7230">
        <v>27</v>
      </c>
      <c r="AC7230">
        <v>16.9603</v>
      </c>
      <c r="AD7230">
        <v>-1.1251425731469999</v>
      </c>
      <c r="AE7230">
        <v>0.90906999999999605</v>
      </c>
      <c r="AF7230">
        <v>-3.8690589679151302</v>
      </c>
      <c r="AG7230">
        <v>-1.1251425731469999</v>
      </c>
      <c r="AH7230">
        <v>16.461872455068001</v>
      </c>
      <c r="AI7230">
        <v>93.806586744086502</v>
      </c>
      <c r="AJ7230">
        <v>103.226262835424</v>
      </c>
      <c r="AK7230">
        <v>16.947826050382901</v>
      </c>
      <c r="AL7230">
        <v>93.428958006268203</v>
      </c>
      <c r="AM7230">
        <v>95.658392369442296</v>
      </c>
      <c r="AN7230">
        <v>1.00000001804108</v>
      </c>
    </row>
    <row r="7231" spans="1:40" x14ac:dyDescent="0.25">
      <c r="A7231" t="str">
        <f>"20190303153950670"</f>
        <v>20190303153950670</v>
      </c>
      <c r="B7231" t="str">
        <f>"1551598790666092"</f>
        <v>1551598790666092</v>
      </c>
      <c r="C7231" t="s">
        <v>40</v>
      </c>
      <c r="D7231">
        <v>4.8835139999999999</v>
      </c>
      <c r="E7231">
        <v>0.4630862</v>
      </c>
      <c r="F7231" t="s">
        <v>72</v>
      </c>
      <c r="G7231">
        <v>-383.07350000000002</v>
      </c>
      <c r="H7231" s="1">
        <v>-3.345116E-6</v>
      </c>
      <c r="I7231">
        <v>19.219110000000001</v>
      </c>
      <c r="J7231">
        <v>-401.53160000000003</v>
      </c>
      <c r="K7231">
        <v>1.125089</v>
      </c>
      <c r="L7231">
        <v>18.25131</v>
      </c>
      <c r="M7231">
        <v>0.98511110000000002</v>
      </c>
      <c r="N7231">
        <v>-7.2067509999999997E-4</v>
      </c>
      <c r="O7231">
        <v>-0.1719176</v>
      </c>
      <c r="P7231">
        <v>0.99558199999999997</v>
      </c>
      <c r="Q7231">
        <v>-5.8340450000000002E-2</v>
      </c>
      <c r="R7231">
        <v>-7.3572780000000004E-2</v>
      </c>
      <c r="S7231">
        <v>3.0154109999999998</v>
      </c>
      <c r="T7231">
        <v>-0.18233759999999999</v>
      </c>
      <c r="U7231">
        <v>0.15319820000000001</v>
      </c>
      <c r="V7231">
        <v>-9.7864499999999993E-2</v>
      </c>
      <c r="W7231">
        <v>-5.9000509999999999E-2</v>
      </c>
      <c r="X7231">
        <v>0.99344929999999998</v>
      </c>
      <c r="Y7231">
        <v>-0.220968</v>
      </c>
      <c r="Z7231">
        <v>1.6977969999999998E-2</v>
      </c>
      <c r="AA7231">
        <v>0.97513320000000003</v>
      </c>
      <c r="AB7231">
        <v>27</v>
      </c>
      <c r="AC7231">
        <v>18.458100000000002</v>
      </c>
      <c r="AD7231">
        <v>-1.125092345116</v>
      </c>
      <c r="AE7231">
        <v>0.96779999999999999</v>
      </c>
      <c r="AF7231">
        <v>-4.1114301085970801</v>
      </c>
      <c r="AG7231">
        <v>-1.125092345116</v>
      </c>
      <c r="AH7231">
        <v>17.950391934162099</v>
      </c>
      <c r="AI7231">
        <v>93.496184439662201</v>
      </c>
      <c r="AJ7231">
        <v>102.900732533148</v>
      </c>
      <c r="AK7231">
        <v>18.449559911091399</v>
      </c>
      <c r="AL7231">
        <v>93.382444512097607</v>
      </c>
      <c r="AM7231">
        <v>95.626044386823494</v>
      </c>
      <c r="AN7231">
        <v>1.0000000161054901</v>
      </c>
    </row>
    <row r="7232" spans="1:40" x14ac:dyDescent="0.25">
      <c r="A7232" t="str">
        <f>"20190303153950698"</f>
        <v>20190303153950698</v>
      </c>
      <c r="B7232" t="str">
        <f>"1551598790695372"</f>
        <v>1551598790695372</v>
      </c>
      <c r="C7232" t="s">
        <v>40</v>
      </c>
      <c r="D7232">
        <v>5.3674280000000003</v>
      </c>
      <c r="E7232">
        <v>0.4630862</v>
      </c>
      <c r="F7232" t="s">
        <v>73</v>
      </c>
      <c r="G7232">
        <v>-273.40989999999999</v>
      </c>
      <c r="H7232">
        <v>2.4049879999999999</v>
      </c>
      <c r="I7232">
        <v>21.25338</v>
      </c>
      <c r="J7232">
        <v>-401.19459999999998</v>
      </c>
      <c r="K7232">
        <v>1.124976</v>
      </c>
      <c r="L7232">
        <v>18.203060000000001</v>
      </c>
      <c r="M7232">
        <v>0.98675469999999998</v>
      </c>
      <c r="N7232">
        <v>-7.5306139999999999E-4</v>
      </c>
      <c r="O7232">
        <v>-0.16221820000000001</v>
      </c>
      <c r="P7232">
        <v>0.99624049999999997</v>
      </c>
      <c r="Q7232">
        <v>-5.6069630000000002E-2</v>
      </c>
      <c r="R7232">
        <v>-6.6037620000000005E-2</v>
      </c>
      <c r="S7232">
        <v>3.0203250000000001</v>
      </c>
      <c r="T7232">
        <v>3.0172230000000001E-2</v>
      </c>
      <c r="U7232">
        <v>7.0770260000000001E-2</v>
      </c>
      <c r="V7232">
        <v>-9.5678869999999999E-2</v>
      </c>
      <c r="W7232">
        <v>-5.663758E-2</v>
      </c>
      <c r="X7232">
        <v>0.99379960000000001</v>
      </c>
      <c r="Y7232">
        <v>-0.1852705</v>
      </c>
      <c r="Z7232">
        <v>-2.593592E-3</v>
      </c>
      <c r="AA7232">
        <v>0.98268409999999995</v>
      </c>
      <c r="AB7232">
        <v>27</v>
      </c>
      <c r="AC7232">
        <v>127.7847</v>
      </c>
      <c r="AD7232">
        <v>1.2800119999999999</v>
      </c>
      <c r="AE7232">
        <v>3.0503200000000001</v>
      </c>
      <c r="AF7232">
        <v>-23.736546226692202</v>
      </c>
      <c r="AG7232">
        <v>1.2800119999999999</v>
      </c>
      <c r="AH7232">
        <v>125.584768227797</v>
      </c>
      <c r="AI7232">
        <v>89.426196559806399</v>
      </c>
      <c r="AJ7232">
        <v>100.703109016814</v>
      </c>
      <c r="AK7232">
        <v>127.814694258217</v>
      </c>
      <c r="AL7232">
        <v>93.246831900795499</v>
      </c>
      <c r="AM7232">
        <v>95.499248961427</v>
      </c>
      <c r="AN7232">
        <v>0.99999995329644498</v>
      </c>
    </row>
    <row r="7233" spans="1:40" x14ac:dyDescent="0.25">
      <c r="A7233" t="str">
        <f>"20190303153950733"</f>
        <v>20190303153950733</v>
      </c>
      <c r="B7233" t="str">
        <f>"1551598790725629"</f>
        <v>1551598790725629</v>
      </c>
      <c r="C7233" t="s">
        <v>40</v>
      </c>
      <c r="D7233">
        <v>5.1221160000000001</v>
      </c>
      <c r="E7233">
        <v>0.4630862</v>
      </c>
      <c r="F7233" t="s">
        <v>74</v>
      </c>
      <c r="G7233">
        <v>-276.63209999999998</v>
      </c>
      <c r="H7233">
        <v>2.6584460000000001</v>
      </c>
      <c r="I7233">
        <v>22.06155</v>
      </c>
      <c r="J7233">
        <v>-400.76479999999998</v>
      </c>
      <c r="K7233">
        <v>1.124817</v>
      </c>
      <c r="L7233">
        <v>18.145510000000002</v>
      </c>
      <c r="M7233">
        <v>0.98862459999999996</v>
      </c>
      <c r="N7233">
        <v>-8.1010119999999999E-4</v>
      </c>
      <c r="O7233">
        <v>-0.15040290000000001</v>
      </c>
      <c r="P7233">
        <v>0.99684130000000004</v>
      </c>
      <c r="Q7233">
        <v>-5.58764E-2</v>
      </c>
      <c r="R7233">
        <v>-5.644043E-2</v>
      </c>
      <c r="S7233">
        <v>3.0196230000000002</v>
      </c>
      <c r="T7233">
        <v>3.7173869999999998E-2</v>
      </c>
      <c r="U7233">
        <v>9.3536380000000002E-2</v>
      </c>
      <c r="V7233">
        <v>-9.3387659999999997E-2</v>
      </c>
      <c r="W7233">
        <v>-5.6319620000000001E-2</v>
      </c>
      <c r="X7233">
        <v>0.99403569999999997</v>
      </c>
      <c r="Y7233">
        <v>-0.1809143</v>
      </c>
      <c r="Z7233">
        <v>-3.0089180000000002E-3</v>
      </c>
      <c r="AA7233">
        <v>0.98349430000000004</v>
      </c>
      <c r="AB7233">
        <v>28</v>
      </c>
      <c r="AC7233">
        <v>124.1327</v>
      </c>
      <c r="AD7233">
        <v>1.5336289999999999</v>
      </c>
      <c r="AE7233">
        <v>3.91603999999999</v>
      </c>
      <c r="AF7233">
        <v>-22.537978914780702</v>
      </c>
      <c r="AG7233">
        <v>1.5336289999999999</v>
      </c>
      <c r="AH7233">
        <v>122.113058781341</v>
      </c>
      <c r="AI7233">
        <v>89.292404798414594</v>
      </c>
      <c r="AJ7233">
        <v>100.45720007227899</v>
      </c>
      <c r="AK7233">
        <v>124.184989577678</v>
      </c>
      <c r="AL7233">
        <v>93.2285846512966</v>
      </c>
      <c r="AM7233">
        <v>95.367070221159295</v>
      </c>
      <c r="AN7233">
        <v>1.0000000637558499</v>
      </c>
    </row>
    <row r="7234" spans="1:40" x14ac:dyDescent="0.25">
      <c r="A7234" t="str">
        <f>"20190303153950744"</f>
        <v>20190303153950744</v>
      </c>
      <c r="B7234" t="str">
        <f>"1551598790735388"</f>
        <v>1551598790735388</v>
      </c>
      <c r="C7234" t="s">
        <v>40</v>
      </c>
      <c r="D7234">
        <v>4.7464820000000003</v>
      </c>
      <c r="E7234">
        <v>0.4630862</v>
      </c>
      <c r="F7234" t="s">
        <v>74</v>
      </c>
      <c r="G7234">
        <v>-275.78039999999999</v>
      </c>
      <c r="H7234">
        <v>2.6563919999999999</v>
      </c>
      <c r="I7234">
        <v>23.244150000000001</v>
      </c>
      <c r="J7234">
        <v>-400.62389999999999</v>
      </c>
      <c r="K7234">
        <v>1.124757</v>
      </c>
      <c r="L7234">
        <v>18.127690000000001</v>
      </c>
      <c r="M7234">
        <v>0.98918470000000003</v>
      </c>
      <c r="N7234">
        <v>-8.3487990000000005E-4</v>
      </c>
      <c r="O7234">
        <v>-0.14667330000000001</v>
      </c>
      <c r="P7234">
        <v>0.99698379999999998</v>
      </c>
      <c r="Q7234">
        <v>-5.6486479999999999E-2</v>
      </c>
      <c r="R7234">
        <v>-5.3225550000000003E-2</v>
      </c>
      <c r="S7234">
        <v>3.0185240000000002</v>
      </c>
      <c r="T7234">
        <v>3.6989569999999999E-2</v>
      </c>
      <c r="U7234">
        <v>0.1231384</v>
      </c>
      <c r="V7234">
        <v>-9.2838630000000005E-2</v>
      </c>
      <c r="W7234">
        <v>-5.6886199999999998E-2</v>
      </c>
      <c r="X7234">
        <v>0.99405480000000002</v>
      </c>
      <c r="Y7234">
        <v>-0.18684539999999999</v>
      </c>
      <c r="Z7234">
        <v>-2.9819180000000001E-3</v>
      </c>
      <c r="AA7234">
        <v>0.98238479999999995</v>
      </c>
      <c r="AB7234">
        <v>28</v>
      </c>
      <c r="AC7234">
        <v>124.84350000000001</v>
      </c>
      <c r="AD7234">
        <v>1.5316350000000001</v>
      </c>
      <c r="AE7234">
        <v>5.11646</v>
      </c>
      <c r="AF7234">
        <v>-23.3688273149682</v>
      </c>
      <c r="AG7234">
        <v>1.5316350000000001</v>
      </c>
      <c r="AH7234">
        <v>122.72442630075599</v>
      </c>
      <c r="AI7234">
        <v>89.297589397507394</v>
      </c>
      <c r="AJ7234">
        <v>100.78102981219401</v>
      </c>
      <c r="AK7234">
        <v>124.938916301926</v>
      </c>
      <c r="AL7234">
        <v>93.261099635125305</v>
      </c>
      <c r="AM7234">
        <v>95.335597703560694</v>
      </c>
      <c r="AN7234">
        <v>0.99999999818687801</v>
      </c>
    </row>
    <row r="7235" spans="1:40" x14ac:dyDescent="0.25">
      <c r="A7235" t="str">
        <f>"20190303153950757"</f>
        <v>20190303153950757</v>
      </c>
      <c r="B7235" t="str">
        <f>"1551598790746124"</f>
        <v>1551598790746124</v>
      </c>
      <c r="C7235" t="s">
        <v>40</v>
      </c>
      <c r="D7235">
        <v>4.9449230000000002</v>
      </c>
      <c r="E7235">
        <v>0.4818654</v>
      </c>
      <c r="F7235" t="s">
        <v>73</v>
      </c>
      <c r="G7235">
        <v>-273.40989999999999</v>
      </c>
      <c r="H7235">
        <v>2.595564</v>
      </c>
      <c r="I7235">
        <v>23.73602</v>
      </c>
      <c r="J7235">
        <v>-400.46969999999999</v>
      </c>
      <c r="K7235">
        <v>1.1247</v>
      </c>
      <c r="L7235">
        <v>18.108699999999999</v>
      </c>
      <c r="M7235">
        <v>0.98976839999999999</v>
      </c>
      <c r="N7235">
        <v>-8.6734679999999904E-4</v>
      </c>
      <c r="O7235">
        <v>-0.14268049999999999</v>
      </c>
      <c r="P7235">
        <v>0.9971061</v>
      </c>
      <c r="Q7235">
        <v>-5.7499269999999998E-2</v>
      </c>
      <c r="R7235">
        <v>-4.9728509999999997E-2</v>
      </c>
      <c r="S7235">
        <v>3.0181269999999998</v>
      </c>
      <c r="T7235">
        <v>3.4894699999999897E-2</v>
      </c>
      <c r="U7235">
        <v>0.1330566</v>
      </c>
      <c r="V7235">
        <v>-9.230025E-2</v>
      </c>
      <c r="W7235">
        <v>-5.7846910000000001E-2</v>
      </c>
      <c r="X7235">
        <v>0.99404950000000003</v>
      </c>
      <c r="Y7235">
        <v>-0.1861121</v>
      </c>
      <c r="Z7235">
        <v>-2.7643170000000001E-3</v>
      </c>
      <c r="AA7235">
        <v>0.98252459999999997</v>
      </c>
      <c r="AB7235">
        <v>28</v>
      </c>
      <c r="AC7235">
        <v>127.0598</v>
      </c>
      <c r="AD7235">
        <v>1.4708639999999999</v>
      </c>
      <c r="AE7235">
        <v>5.6273200000000001</v>
      </c>
      <c r="AF7235">
        <v>-23.695539498287101</v>
      </c>
      <c r="AG7235">
        <v>1.4708639999999999</v>
      </c>
      <c r="AH7235">
        <v>124.940205299928</v>
      </c>
      <c r="AI7235">
        <v>89.337325615989201</v>
      </c>
      <c r="AJ7235">
        <v>100.738889717595</v>
      </c>
      <c r="AK7235">
        <v>127.175850433207</v>
      </c>
      <c r="AL7235">
        <v>93.316235041707401</v>
      </c>
      <c r="AM7235">
        <v>95.304861225015003</v>
      </c>
      <c r="AN7235">
        <v>1.0000000047984301</v>
      </c>
    </row>
    <row r="7236" spans="1:40" x14ac:dyDescent="0.25">
      <c r="A7236" t="str">
        <f>"20190303153950788"</f>
        <v>20190303153950788</v>
      </c>
      <c r="B7236" t="str">
        <f>"1551598790786141"</f>
        <v>1551598790786141</v>
      </c>
      <c r="C7236" t="s">
        <v>40</v>
      </c>
      <c r="D7236">
        <v>4.9607049999999999</v>
      </c>
      <c r="E7236">
        <v>0.47277079999999999</v>
      </c>
      <c r="F7236" t="s">
        <v>42</v>
      </c>
      <c r="G7236">
        <v>-391.56920000000002</v>
      </c>
      <c r="H7236" s="1">
        <v>-4.2350909999999999E-6</v>
      </c>
      <c r="I7236">
        <v>18.09806</v>
      </c>
      <c r="J7236">
        <v>-400.08440000000002</v>
      </c>
      <c r="K7236">
        <v>1.124555</v>
      </c>
      <c r="L7236">
        <v>18.063420000000001</v>
      </c>
      <c r="M7236">
        <v>0.99110860000000001</v>
      </c>
      <c r="N7236">
        <v>-9.8561310000000002E-4</v>
      </c>
      <c r="O7236">
        <v>-0.13305210000000001</v>
      </c>
      <c r="P7236">
        <v>0.99729820000000002</v>
      </c>
      <c r="Q7236">
        <v>-6.012195E-2</v>
      </c>
      <c r="R7236">
        <v>-4.2208830000000003E-2</v>
      </c>
      <c r="S7236">
        <v>2.986755</v>
      </c>
      <c r="T7236">
        <v>-0.37741960000000002</v>
      </c>
      <c r="U7236">
        <v>-3.5705569999999998E-3</v>
      </c>
      <c r="V7236">
        <v>-9.010137E-2</v>
      </c>
      <c r="W7236">
        <v>-6.028994E-2</v>
      </c>
      <c r="X7236">
        <v>0.99410609999999999</v>
      </c>
      <c r="Y7236">
        <v>-0.12979019999999999</v>
      </c>
      <c r="Z7236">
        <v>2.480984E-2</v>
      </c>
      <c r="AA7236">
        <v>0.99123099999999997</v>
      </c>
      <c r="AB7236">
        <v>28</v>
      </c>
      <c r="AC7236">
        <v>8.5151999999999894</v>
      </c>
      <c r="AD7236">
        <v>-1.1245592350910001</v>
      </c>
      <c r="AE7236">
        <v>3.4639999999999498E-2</v>
      </c>
      <c r="AF7236">
        <v>-1.14728807309738</v>
      </c>
      <c r="AG7236">
        <v>-1.1245592350910001</v>
      </c>
      <c r="AH7236">
        <v>8.2902929444256106</v>
      </c>
      <c r="AI7236">
        <v>97.652833410095596</v>
      </c>
      <c r="AJ7236">
        <v>97.879079774227606</v>
      </c>
      <c r="AK7236">
        <v>8.44451659364187</v>
      </c>
      <c r="AL7236">
        <v>93.456455110298407</v>
      </c>
      <c r="AM7236">
        <v>95.178885214475997</v>
      </c>
      <c r="AN7236">
        <v>1.0000000358991401</v>
      </c>
    </row>
    <row r="7237" spans="1:40" x14ac:dyDescent="0.25">
      <c r="A7237" t="str">
        <f>"20190303153950803"</f>
        <v>20190303153950803</v>
      </c>
      <c r="B7237" t="str">
        <f>"1551598790795900"</f>
        <v>1551598790795900</v>
      </c>
      <c r="C7237" t="s">
        <v>40</v>
      </c>
      <c r="D7237">
        <v>4.8955539999999997</v>
      </c>
      <c r="E7237">
        <v>0.47579959999999999</v>
      </c>
      <c r="F7237" t="s">
        <v>72</v>
      </c>
      <c r="G7237">
        <v>-383.85509999999999</v>
      </c>
      <c r="H7237" s="1">
        <v>-3.0938060000000001E-6</v>
      </c>
      <c r="I7237">
        <v>18.55302</v>
      </c>
      <c r="J7237">
        <v>-399.89699999999999</v>
      </c>
      <c r="K7237">
        <v>1.124493</v>
      </c>
      <c r="L7237">
        <v>18.042760000000001</v>
      </c>
      <c r="M7237">
        <v>0.99169560000000001</v>
      </c>
      <c r="N7237">
        <v>-1.081069E-3</v>
      </c>
      <c r="O7237">
        <v>-0.12860379999999999</v>
      </c>
      <c r="P7237">
        <v>0.99739040000000001</v>
      </c>
      <c r="Q7237">
        <v>-6.0929179999999999E-2</v>
      </c>
      <c r="R7237">
        <v>-3.8736E-2</v>
      </c>
      <c r="S7237">
        <v>2.99939</v>
      </c>
      <c r="T7237">
        <v>-0.20783219999999999</v>
      </c>
      <c r="U7237">
        <v>9.0484620000000002E-2</v>
      </c>
      <c r="V7237">
        <v>-8.9099810000000002E-2</v>
      </c>
      <c r="W7237">
        <v>-6.097201E-2</v>
      </c>
      <c r="X7237">
        <v>0.99415480000000001</v>
      </c>
      <c r="Y7237">
        <v>-0.1577672</v>
      </c>
      <c r="Z7237">
        <v>1.4288739999999999E-2</v>
      </c>
      <c r="AA7237">
        <v>0.9873729</v>
      </c>
      <c r="AB7237">
        <v>28</v>
      </c>
      <c r="AC7237">
        <v>16.041899999999998</v>
      </c>
      <c r="AD7237">
        <v>-1.124496093806</v>
      </c>
      <c r="AE7237">
        <v>0.51025999999999805</v>
      </c>
      <c r="AF7237">
        <v>-2.55652388244508</v>
      </c>
      <c r="AG7237">
        <v>-1.124496093806</v>
      </c>
      <c r="AH7237">
        <v>15.765678654148701</v>
      </c>
      <c r="AI7237">
        <v>94.027316208550999</v>
      </c>
      <c r="AJ7237">
        <v>99.210769258890494</v>
      </c>
      <c r="AK7237">
        <v>16.011150153951299</v>
      </c>
      <c r="AL7237">
        <v>93.495606772198798</v>
      </c>
      <c r="AM7237">
        <v>95.121375442550104</v>
      </c>
      <c r="AN7237">
        <v>1.0000000642542499</v>
      </c>
    </row>
    <row r="7238" spans="1:40" x14ac:dyDescent="0.25">
      <c r="A7238" t="str">
        <f>"20190303153950822"</f>
        <v>20190303153950822</v>
      </c>
      <c r="B7238" t="str">
        <f>"1551598790815420"</f>
        <v>1551598790815420</v>
      </c>
      <c r="C7238" t="s">
        <v>40</v>
      </c>
      <c r="D7238">
        <v>4.9260950000000001</v>
      </c>
      <c r="E7238">
        <v>0.47865160000000001</v>
      </c>
      <c r="F7238" t="s">
        <v>72</v>
      </c>
      <c r="G7238">
        <v>-382.08879999999999</v>
      </c>
      <c r="H7238" s="1">
        <v>-3.9384810000000002E-6</v>
      </c>
      <c r="I7238">
        <v>18.497920000000001</v>
      </c>
      <c r="J7238">
        <v>-399.66379999999998</v>
      </c>
      <c r="K7238">
        <v>1.124422</v>
      </c>
      <c r="L7238">
        <v>18.017939999999999</v>
      </c>
      <c r="M7238">
        <v>0.99237359999999997</v>
      </c>
      <c r="N7238">
        <v>-1.2514309999999999E-3</v>
      </c>
      <c r="O7238">
        <v>-0.12325990000000001</v>
      </c>
      <c r="P7238">
        <v>0.99751400000000001</v>
      </c>
      <c r="Q7238">
        <v>-6.1123629999999998E-2</v>
      </c>
      <c r="R7238">
        <v>-3.5066689999999998E-2</v>
      </c>
      <c r="S7238">
        <v>2.999298</v>
      </c>
      <c r="T7238">
        <v>-0.18939049999999999</v>
      </c>
      <c r="U7238">
        <v>7.6660160000000005E-2</v>
      </c>
      <c r="V7238">
        <v>-8.7416450000000007E-2</v>
      </c>
      <c r="W7238">
        <v>-6.095155E-2</v>
      </c>
      <c r="X7238">
        <v>0.99430540000000001</v>
      </c>
      <c r="Y7238">
        <v>-0.14804020000000001</v>
      </c>
      <c r="Z7238">
        <v>1.2369420000000001E-2</v>
      </c>
      <c r="AA7238">
        <v>0.98890400000000001</v>
      </c>
      <c r="AB7238">
        <v>28</v>
      </c>
      <c r="AC7238">
        <v>17.5749999999999</v>
      </c>
      <c r="AD7238">
        <v>-1.124425938481</v>
      </c>
      <c r="AE7238">
        <v>0.47998000000000102</v>
      </c>
      <c r="AF7238">
        <v>-2.63184952565424</v>
      </c>
      <c r="AG7238">
        <v>-1.124425938481</v>
      </c>
      <c r="AH7238">
        <v>17.311012002288599</v>
      </c>
      <c r="AI7238">
        <v>93.674287054494201</v>
      </c>
      <c r="AJ7238">
        <v>98.644664990718397</v>
      </c>
      <c r="AK7238">
        <v>17.545999605613702</v>
      </c>
      <c r="AL7238">
        <v>93.494432618657399</v>
      </c>
      <c r="AM7238">
        <v>95.024360382906195</v>
      </c>
      <c r="AN7238">
        <v>0.99999997782358196</v>
      </c>
    </row>
    <row r="7239" spans="1:40" x14ac:dyDescent="0.25">
      <c r="A7239" t="str">
        <f>"20190303153950835"</f>
        <v>20190303153950835</v>
      </c>
      <c r="B7239" t="str">
        <f>"1551598790826157"</f>
        <v>1551598790826157</v>
      </c>
      <c r="C7239" t="s">
        <v>40</v>
      </c>
      <c r="D7239">
        <v>4.9575800000000001</v>
      </c>
      <c r="E7239">
        <v>0.4790083</v>
      </c>
      <c r="F7239" t="s">
        <v>72</v>
      </c>
      <c r="G7239">
        <v>-380.17509999999999</v>
      </c>
      <c r="H7239" s="1">
        <v>-4.8534540000000002E-6</v>
      </c>
      <c r="I7239">
        <v>18.43974</v>
      </c>
      <c r="J7239">
        <v>-399.48169999999999</v>
      </c>
      <c r="K7239">
        <v>1.1243669999999999</v>
      </c>
      <c r="L7239">
        <v>17.999300000000002</v>
      </c>
      <c r="M7239">
        <v>0.99286319999999995</v>
      </c>
      <c r="N7239">
        <v>-1.437415E-3</v>
      </c>
      <c r="O7239">
        <v>-0.11925180000000001</v>
      </c>
      <c r="P7239">
        <v>0.99763100000000005</v>
      </c>
      <c r="Q7239">
        <v>-6.0897859999999998E-2</v>
      </c>
      <c r="R7239">
        <v>-3.2003429999999999E-2</v>
      </c>
      <c r="S7239">
        <v>2.9991460000000001</v>
      </c>
      <c r="T7239">
        <v>-0.17303929999999901</v>
      </c>
      <c r="U7239">
        <v>6.4910889999999999E-2</v>
      </c>
      <c r="V7239">
        <v>-8.6476659999999997E-2</v>
      </c>
      <c r="W7239">
        <v>-6.0507730000000003E-2</v>
      </c>
      <c r="X7239">
        <v>0.99441469999999998</v>
      </c>
      <c r="Y7239">
        <v>-0.14028060000000001</v>
      </c>
      <c r="Z7239">
        <v>1.0836159999999999E-2</v>
      </c>
      <c r="AA7239">
        <v>0.9900525</v>
      </c>
      <c r="AB7239">
        <v>29</v>
      </c>
      <c r="AC7239">
        <v>19.3066</v>
      </c>
      <c r="AD7239">
        <v>-1.1243718534539999</v>
      </c>
      <c r="AE7239">
        <v>0.440439999999998</v>
      </c>
      <c r="AF7239">
        <v>-2.7303901099465402</v>
      </c>
      <c r="AG7239">
        <v>-1.1243718534539999</v>
      </c>
      <c r="AH7239">
        <v>19.0517226342204</v>
      </c>
      <c r="AI7239">
        <v>93.343414269440103</v>
      </c>
      <c r="AJ7239">
        <v>98.155787162371197</v>
      </c>
      <c r="AK7239">
        <v>19.279195459059</v>
      </c>
      <c r="AL7239">
        <v>93.468956516607903</v>
      </c>
      <c r="AM7239">
        <v>94.9700733468365</v>
      </c>
      <c r="AN7239">
        <v>0.99999999684529906</v>
      </c>
    </row>
    <row r="7240" spans="1:40" x14ac:dyDescent="0.25">
      <c r="A7240" t="str">
        <f>"20190303153950847"</f>
        <v>20190303153950847</v>
      </c>
      <c r="B7240" t="str">
        <f>"1551598790845676"</f>
        <v>1551598790845676</v>
      </c>
      <c r="C7240" t="s">
        <v>40</v>
      </c>
      <c r="D7240">
        <v>4.9519339999999996</v>
      </c>
      <c r="E7240">
        <v>0.47982940000000002</v>
      </c>
      <c r="F7240" t="s">
        <v>75</v>
      </c>
      <c r="G7240">
        <v>-379.40570000000002</v>
      </c>
      <c r="H7240" s="1">
        <v>-5.1575669999999995E-7</v>
      </c>
      <c r="I7240">
        <v>18.476289999999999</v>
      </c>
      <c r="J7240">
        <v>-399.32859999999999</v>
      </c>
      <c r="K7240">
        <v>1.124322</v>
      </c>
      <c r="L7240">
        <v>17.983979999999999</v>
      </c>
      <c r="M7240">
        <v>0.993251</v>
      </c>
      <c r="N7240">
        <v>-1.62583E-3</v>
      </c>
      <c r="O7240">
        <v>-0.1159732</v>
      </c>
      <c r="P7240">
        <v>0.99773650000000003</v>
      </c>
      <c r="Q7240">
        <v>-6.0473069999999997E-2</v>
      </c>
      <c r="R7240">
        <v>-2.9409069999999999E-2</v>
      </c>
      <c r="S7240">
        <v>2.9991759999999998</v>
      </c>
      <c r="T7240">
        <v>-0.16797110000000001</v>
      </c>
      <c r="U7240">
        <v>7.1258539999999995E-2</v>
      </c>
      <c r="V7240">
        <v>-8.5803320000000002E-2</v>
      </c>
      <c r="W7240">
        <v>-5.9867950000000003E-2</v>
      </c>
      <c r="X7240">
        <v>0.9945117</v>
      </c>
      <c r="Y7240">
        <v>-0.13913789999999901</v>
      </c>
      <c r="Z7240">
        <v>1.029766E-2</v>
      </c>
      <c r="AA7240">
        <v>0.99021950000000003</v>
      </c>
      <c r="AB7240">
        <v>29</v>
      </c>
      <c r="AC7240">
        <v>19.922899999999899</v>
      </c>
      <c r="AD7240">
        <v>-1.1243225157566901</v>
      </c>
      <c r="AE7240">
        <v>0.49230999999999903</v>
      </c>
      <c r="AF7240">
        <v>-2.7906315324665498</v>
      </c>
      <c r="AG7240">
        <v>-1.1243225157566901</v>
      </c>
      <c r="AH7240">
        <v>19.6687698177298</v>
      </c>
      <c r="AI7240">
        <v>93.239257404968896</v>
      </c>
      <c r="AJ7240">
        <v>98.075304014216897</v>
      </c>
      <c r="AK7240">
        <v>19.897543356210399</v>
      </c>
      <c r="AL7240">
        <v>93.432233401783193</v>
      </c>
      <c r="AM7240">
        <v>94.931087435977702</v>
      </c>
      <c r="AN7240">
        <v>0.99999995129855601</v>
      </c>
    </row>
    <row r="7241" spans="1:40" x14ac:dyDescent="0.25">
      <c r="A7241" t="str">
        <f>"20190303153950867"</f>
        <v>20190303153950867</v>
      </c>
      <c r="B7241" t="str">
        <f>"1551598790855436"</f>
        <v>1551598790855436</v>
      </c>
      <c r="C7241" t="s">
        <v>40</v>
      </c>
      <c r="D7241">
        <v>4.955622</v>
      </c>
      <c r="E7241">
        <v>0.47992249999999997</v>
      </c>
      <c r="F7241" t="s">
        <v>75</v>
      </c>
      <c r="G7241">
        <v>-378.5668</v>
      </c>
      <c r="H7241" s="1">
        <v>-8.5844149999999999E-7</v>
      </c>
      <c r="I7241">
        <v>18.485949999999999</v>
      </c>
      <c r="J7241">
        <v>-399.09300000000002</v>
      </c>
      <c r="K7241">
        <v>1.1242570000000001</v>
      </c>
      <c r="L7241">
        <v>17.96152</v>
      </c>
      <c r="M7241">
        <v>0.99379989999999996</v>
      </c>
      <c r="N7241">
        <v>-2.0156390000000001E-3</v>
      </c>
      <c r="O7241">
        <v>-0.1111654</v>
      </c>
      <c r="P7241">
        <v>0.99786459999999999</v>
      </c>
      <c r="Q7241">
        <v>-5.9837109999999999E-2</v>
      </c>
      <c r="R7241">
        <v>-2.6196199999999999E-2</v>
      </c>
      <c r="S7241">
        <v>2.9990540000000001</v>
      </c>
      <c r="T7241">
        <v>-0.16240929999999901</v>
      </c>
      <c r="U7241">
        <v>7.2509770000000001E-2</v>
      </c>
      <c r="V7241">
        <v>-8.4232290000000001E-2</v>
      </c>
      <c r="W7241">
        <v>-5.8792400000000002E-2</v>
      </c>
      <c r="X7241">
        <v>0.99471019999999999</v>
      </c>
      <c r="Y7241">
        <v>-0.13479839999999901</v>
      </c>
      <c r="Z7241">
        <v>9.5659000000000004E-3</v>
      </c>
      <c r="AA7241">
        <v>0.99082680000000001</v>
      </c>
      <c r="AB7241">
        <v>29</v>
      </c>
      <c r="AC7241">
        <v>20.526199999999999</v>
      </c>
      <c r="AD7241">
        <v>-1.1242578584414999</v>
      </c>
      <c r="AE7241">
        <v>0.52442999999999795</v>
      </c>
      <c r="AF7241">
        <v>-2.7946091059344198</v>
      </c>
      <c r="AG7241">
        <v>-1.1242578584414999</v>
      </c>
      <c r="AH7241">
        <v>20.2798788084142</v>
      </c>
      <c r="AI7241">
        <v>93.143419426509993</v>
      </c>
      <c r="AJ7241">
        <v>97.846061527857202</v>
      </c>
      <c r="AK7241">
        <v>20.502372552248801</v>
      </c>
      <c r="AL7241">
        <v>93.370499995602003</v>
      </c>
      <c r="AM7241">
        <v>94.840272465128294</v>
      </c>
      <c r="AN7241">
        <v>1.0000000034802199</v>
      </c>
    </row>
    <row r="7242" spans="1:40" x14ac:dyDescent="0.25">
      <c r="A7242" t="str">
        <f>"20190303153950877"</f>
        <v>20190303153950877</v>
      </c>
      <c r="B7242" t="str">
        <f>"1551598790875932"</f>
        <v>1551598790875932</v>
      </c>
      <c r="C7242" t="s">
        <v>40</v>
      </c>
      <c r="D7242">
        <v>4.9537559999999896</v>
      </c>
      <c r="E7242">
        <v>0.4805797</v>
      </c>
      <c r="F7242" t="s">
        <v>75</v>
      </c>
      <c r="G7242">
        <v>-378.04169999999999</v>
      </c>
      <c r="H7242" s="1">
        <v>-1.0983229999999999E-6</v>
      </c>
      <c r="I7242">
        <v>18.533049999999999</v>
      </c>
      <c r="J7242">
        <v>-398.94450000000001</v>
      </c>
      <c r="K7242">
        <v>1.124214</v>
      </c>
      <c r="L7242">
        <v>17.947879999999898</v>
      </c>
      <c r="M7242">
        <v>0.99411819999999895</v>
      </c>
      <c r="N7242">
        <v>-2.3327349999999998E-3</v>
      </c>
      <c r="O7242">
        <v>-0.1082756</v>
      </c>
      <c r="P7242">
        <v>0.99790420000000002</v>
      </c>
      <c r="Q7242">
        <v>-5.9901099999999999E-2</v>
      </c>
      <c r="R7242">
        <v>-2.4480020000000002E-2</v>
      </c>
      <c r="S7242">
        <v>2.9989620000000001</v>
      </c>
      <c r="T7242">
        <v>-0.16016140000000001</v>
      </c>
      <c r="U7242">
        <v>8.1420899999999893E-2</v>
      </c>
      <c r="V7242">
        <v>-8.3070130000000006E-2</v>
      </c>
      <c r="W7242">
        <v>-5.8504229999999997E-2</v>
      </c>
      <c r="X7242">
        <v>0.99482490000000001</v>
      </c>
      <c r="Y7242">
        <v>-0.13487489999999999</v>
      </c>
      <c r="Z7242">
        <v>9.2740770000000004E-3</v>
      </c>
      <c r="AA7242">
        <v>0.99081920000000001</v>
      </c>
      <c r="AB7242">
        <v>29</v>
      </c>
      <c r="AC7242">
        <v>20.902799999999999</v>
      </c>
      <c r="AD7242">
        <v>-1.1242150983229999</v>
      </c>
      <c r="AE7242">
        <v>0.58517000000000097</v>
      </c>
      <c r="AF7242">
        <v>-2.8367997091099402</v>
      </c>
      <c r="AG7242">
        <v>-1.1242150983229999</v>
      </c>
      <c r="AH7242">
        <v>20.656844795212201</v>
      </c>
      <c r="AI7242">
        <v>93.086246454508299</v>
      </c>
      <c r="AJ7242">
        <v>97.819503712652306</v>
      </c>
      <c r="AK7242">
        <v>20.881008813522101</v>
      </c>
      <c r="AL7242">
        <v>93.353960658533893</v>
      </c>
      <c r="AM7242">
        <v>94.773253736668707</v>
      </c>
      <c r="AN7242">
        <v>0.99999998654305899</v>
      </c>
    </row>
    <row r="7243" spans="1:40" x14ac:dyDescent="0.25">
      <c r="A7243" t="str">
        <f>"20190303153950890"</f>
        <v>20190303153950890</v>
      </c>
      <c r="B7243" t="str">
        <f>"1551598790885692"</f>
        <v>1551598790885692</v>
      </c>
      <c r="C7243" t="s">
        <v>40</v>
      </c>
      <c r="D7243">
        <v>4.9412760000000002</v>
      </c>
      <c r="E7243">
        <v>0.48103040000000002</v>
      </c>
      <c r="F7243" t="s">
        <v>75</v>
      </c>
      <c r="G7243">
        <v>-377.7158</v>
      </c>
      <c r="H7243" s="1">
        <v>-1.254053E-6</v>
      </c>
      <c r="I7243">
        <v>18.523610000000001</v>
      </c>
      <c r="J7243">
        <v>-398.7971</v>
      </c>
      <c r="K7243">
        <v>1.12417099999999</v>
      </c>
      <c r="L7243">
        <v>17.93451</v>
      </c>
      <c r="M7243">
        <v>0.99442079999999999</v>
      </c>
      <c r="N7243">
        <v>-2.6715039999999999E-3</v>
      </c>
      <c r="O7243">
        <v>-0.1054518</v>
      </c>
      <c r="P7243">
        <v>0.99794590000000005</v>
      </c>
      <c r="Q7243">
        <v>-5.9990540000000002E-2</v>
      </c>
      <c r="R7243">
        <v>-2.247876E-2</v>
      </c>
      <c r="S7243">
        <v>2.9987789999999999</v>
      </c>
      <c r="T7243">
        <v>-0.15880720000000001</v>
      </c>
      <c r="U7243">
        <v>8.1329349999999995E-2</v>
      </c>
      <c r="V7243">
        <v>-8.2258880000000006E-2</v>
      </c>
      <c r="W7243">
        <v>-5.8223749999999998E-2</v>
      </c>
      <c r="X7243">
        <v>0.99490880000000004</v>
      </c>
      <c r="Y7243">
        <v>-0.132046</v>
      </c>
      <c r="Z7243">
        <v>8.9617800000000008E-3</v>
      </c>
      <c r="AA7243">
        <v>0.9912031</v>
      </c>
      <c r="AB7243">
        <v>29</v>
      </c>
      <c r="AC7243">
        <v>21.081299999999999</v>
      </c>
      <c r="AD7243">
        <v>-1.1241722540529999</v>
      </c>
      <c r="AE7243">
        <v>0.58910000000000196</v>
      </c>
      <c r="AF7243">
        <v>-2.80092588018652</v>
      </c>
      <c r="AG7243">
        <v>-1.1241722540529999</v>
      </c>
      <c r="AH7243">
        <v>20.8424151213956</v>
      </c>
      <c r="AI7243">
        <v>93.059903258151394</v>
      </c>
      <c r="AJ7243">
        <v>97.653887145101294</v>
      </c>
      <c r="AK7243">
        <v>21.059800975689701</v>
      </c>
      <c r="AL7243">
        <v>93.337862770918804</v>
      </c>
      <c r="AM7243">
        <v>94.726454331654594</v>
      </c>
      <c r="AN7243">
        <v>1.0000000243601701</v>
      </c>
    </row>
    <row r="7244" spans="1:40" x14ac:dyDescent="0.25">
      <c r="A7244" t="str">
        <f>"20190303153950902"</f>
        <v>20190303153950902</v>
      </c>
      <c r="B7244" t="str">
        <f>"1551598790895452"</f>
        <v>1551598790895452</v>
      </c>
      <c r="C7244" t="s">
        <v>40</v>
      </c>
      <c r="D7244">
        <v>4.9642410000000003</v>
      </c>
      <c r="E7244">
        <v>0.48133540000000002</v>
      </c>
      <c r="F7244" t="s">
        <v>75</v>
      </c>
      <c r="G7244">
        <v>-377.4984</v>
      </c>
      <c r="H7244" s="1">
        <v>-1.3558359999999999E-6</v>
      </c>
      <c r="I7244">
        <v>18.529319999999998</v>
      </c>
      <c r="J7244">
        <v>-398.63159999999999</v>
      </c>
      <c r="K7244">
        <v>1.1241270000000001</v>
      </c>
      <c r="L7244">
        <v>17.920100000000001</v>
      </c>
      <c r="M7244">
        <v>0.99473350000000005</v>
      </c>
      <c r="N7244">
        <v>-3.1404509999999998E-3</v>
      </c>
      <c r="O7244">
        <v>-0.1024476</v>
      </c>
      <c r="P7244">
        <v>0.99797040000000004</v>
      </c>
      <c r="Q7244">
        <v>-6.0137259999999998E-2</v>
      </c>
      <c r="R7244">
        <v>-2.0949869999999999E-2</v>
      </c>
      <c r="S7244">
        <v>2.998535</v>
      </c>
      <c r="T7244">
        <v>-0.15826589999999999</v>
      </c>
      <c r="U7244">
        <v>8.3740229999999999E-2</v>
      </c>
      <c r="V7244">
        <v>-8.0800730000000001E-2</v>
      </c>
      <c r="W7244">
        <v>-5.7859260000000003E-2</v>
      </c>
      <c r="X7244">
        <v>0.99504950000000003</v>
      </c>
      <c r="Y7244">
        <v>-0.12986019999999901</v>
      </c>
      <c r="Z7244">
        <v>8.7036490000000008E-3</v>
      </c>
      <c r="AA7244">
        <v>0.99149410000000004</v>
      </c>
      <c r="AB7244">
        <v>29</v>
      </c>
      <c r="AC7244">
        <v>21.133199999999899</v>
      </c>
      <c r="AD7244">
        <v>-1.124128355836</v>
      </c>
      <c r="AE7244">
        <v>0.60921999999999998</v>
      </c>
      <c r="AF7244">
        <v>-2.7632586798168299</v>
      </c>
      <c r="AG7244">
        <v>-1.124128355836</v>
      </c>
      <c r="AH7244">
        <v>20.900503363345202</v>
      </c>
      <c r="AI7244">
        <v>93.052164069414403</v>
      </c>
      <c r="AJ7244">
        <v>97.531404492764594</v>
      </c>
      <c r="AK7244">
        <v>21.112325876918</v>
      </c>
      <c r="AL7244">
        <v>93.316943915093503</v>
      </c>
      <c r="AM7244">
        <v>94.642387469704005</v>
      </c>
      <c r="AN7244">
        <v>0.99999997969326504</v>
      </c>
    </row>
    <row r="7245" spans="1:40" x14ac:dyDescent="0.25">
      <c r="A7245" t="str">
        <f>"20190303153950914"</f>
        <v>20190303153950914</v>
      </c>
      <c r="B7245" t="str">
        <f>"1551598790906188"</f>
        <v>1551598790906188</v>
      </c>
      <c r="C7245" t="s">
        <v>40</v>
      </c>
      <c r="D7245">
        <v>4.9700110000000004</v>
      </c>
      <c r="E7245">
        <v>0.48170390000000002</v>
      </c>
      <c r="F7245" t="s">
        <v>75</v>
      </c>
      <c r="G7245">
        <v>-377.44529999999997</v>
      </c>
      <c r="H7245" s="1">
        <v>-1.3812790000000001E-6</v>
      </c>
      <c r="I7245">
        <v>18.527349999999998</v>
      </c>
      <c r="J7245">
        <v>-398.47980000000001</v>
      </c>
      <c r="K7245">
        <v>1.1240829999999999</v>
      </c>
      <c r="L7245">
        <v>17.907170000000001</v>
      </c>
      <c r="M7245">
        <v>0.99500520000000003</v>
      </c>
      <c r="N7245">
        <v>-3.5939610000000001E-3</v>
      </c>
      <c r="O7245">
        <v>-9.9758959999999994E-2</v>
      </c>
      <c r="P7245">
        <v>0.99800529999999998</v>
      </c>
      <c r="Q7245">
        <v>-5.9982389999999997E-2</v>
      </c>
      <c r="R7245">
        <v>-1.969394E-2</v>
      </c>
      <c r="S7245">
        <v>2.9983219999999999</v>
      </c>
      <c r="T7245">
        <v>-0.15908849999999999</v>
      </c>
      <c r="U7245">
        <v>8.59375E-2</v>
      </c>
      <c r="V7245">
        <v>-7.9390160000000001E-2</v>
      </c>
      <c r="W7245">
        <v>-5.7212390000000002E-2</v>
      </c>
      <c r="X7245">
        <v>0.99520050000000004</v>
      </c>
      <c r="Y7245">
        <v>-0.1279121</v>
      </c>
      <c r="Z7245">
        <v>8.5455089999999997E-3</v>
      </c>
      <c r="AA7245">
        <v>0.99174870000000004</v>
      </c>
      <c r="AB7245">
        <v>29</v>
      </c>
      <c r="AC7245">
        <v>21.034500000000001</v>
      </c>
      <c r="AD7245">
        <v>-1.124084381279</v>
      </c>
      <c r="AE7245">
        <v>0.62017999999999696</v>
      </c>
      <c r="AF7245">
        <v>-2.70775336443223</v>
      </c>
      <c r="AG7245">
        <v>-1.124084381279</v>
      </c>
      <c r="AH7245">
        <v>20.808328357046101</v>
      </c>
      <c r="AI7245">
        <v>93.066360345756394</v>
      </c>
      <c r="AJ7245">
        <v>97.414143515361005</v>
      </c>
      <c r="AK7245">
        <v>21.013853121059899</v>
      </c>
      <c r="AL7245">
        <v>93.279819279166105</v>
      </c>
      <c r="AM7245">
        <v>94.560999340551504</v>
      </c>
      <c r="AN7245">
        <v>1.0000000451372899</v>
      </c>
    </row>
    <row r="7246" spans="1:40" x14ac:dyDescent="0.25">
      <c r="A7246" t="str">
        <f>"20190303153950933"</f>
        <v>20190303153950933</v>
      </c>
      <c r="B7246" t="str">
        <f>"1551598790925708"</f>
        <v>1551598790925708</v>
      </c>
      <c r="C7246" t="s">
        <v>40</v>
      </c>
      <c r="D7246">
        <v>4.9750259999999997</v>
      </c>
      <c r="E7246">
        <v>0.48249570000000003</v>
      </c>
      <c r="F7246" t="s">
        <v>75</v>
      </c>
      <c r="G7246">
        <v>-377.27109999999999</v>
      </c>
      <c r="H7246" s="1">
        <v>-1.4647619999999999E-6</v>
      </c>
      <c r="I7246">
        <v>18.520900000000001</v>
      </c>
      <c r="J7246">
        <v>-398.24709999999999</v>
      </c>
      <c r="K7246">
        <v>1.1240319999999999</v>
      </c>
      <c r="L7246">
        <v>17.88794</v>
      </c>
      <c r="M7246">
        <v>0.99539069999999996</v>
      </c>
      <c r="N7246">
        <v>-4.3445659999999898E-3</v>
      </c>
      <c r="O7246">
        <v>-9.5806769999999999E-2</v>
      </c>
      <c r="P7246">
        <v>0.99805759999999999</v>
      </c>
      <c r="Q7246">
        <v>-5.9307169999999999E-2</v>
      </c>
      <c r="R7246">
        <v>-1.9074549999999999E-2</v>
      </c>
      <c r="S7246">
        <v>2.9981689999999999</v>
      </c>
      <c r="T7246">
        <v>-0.15890609999999999</v>
      </c>
      <c r="U7246">
        <v>8.6761469999999993E-2</v>
      </c>
      <c r="V7246">
        <v>-7.6101370000000002E-2</v>
      </c>
      <c r="W7246">
        <v>-5.5718499999999997E-2</v>
      </c>
      <c r="X7246">
        <v>0.99554200000000004</v>
      </c>
      <c r="Y7246">
        <v>-0.12425890000000001</v>
      </c>
      <c r="Z7246">
        <v>8.2130409999999904E-3</v>
      </c>
      <c r="AA7246">
        <v>0.99221579999999998</v>
      </c>
      <c r="AB7246">
        <v>29</v>
      </c>
      <c r="AC7246">
        <v>20.975999999999999</v>
      </c>
      <c r="AD7246">
        <v>-1.1240334647619901</v>
      </c>
      <c r="AE7246">
        <v>0.63295999999999997</v>
      </c>
      <c r="AF7246">
        <v>-2.63215817186448</v>
      </c>
      <c r="AG7246">
        <v>-1.1240334647619901</v>
      </c>
      <c r="AH7246">
        <v>20.759308466796501</v>
      </c>
      <c r="AI7246">
        <v>93.074741090050097</v>
      </c>
      <c r="AJ7246">
        <v>97.226207724583503</v>
      </c>
      <c r="AK7246">
        <v>20.955681709055099</v>
      </c>
      <c r="AL7246">
        <v>93.1940892992275</v>
      </c>
      <c r="AM7246">
        <v>94.371311304169495</v>
      </c>
      <c r="AN7246">
        <v>0.99999992176106001</v>
      </c>
    </row>
    <row r="7247" spans="1:40" x14ac:dyDescent="0.25">
      <c r="A7247" t="str">
        <f>"20190303153950944"</f>
        <v>20190303153950944</v>
      </c>
      <c r="B7247" t="str">
        <f>"1551598790935468"</f>
        <v>1551598790935468</v>
      </c>
      <c r="C7247" t="s">
        <v>40</v>
      </c>
      <c r="D7247">
        <v>4.9651569999999996</v>
      </c>
      <c r="E7247">
        <v>0.48263539999999999</v>
      </c>
      <c r="F7247" t="s">
        <v>75</v>
      </c>
      <c r="G7247">
        <v>-376.7174</v>
      </c>
      <c r="H7247" s="1">
        <v>-1.7339689999999901E-6</v>
      </c>
      <c r="I7247">
        <v>18.478770000000001</v>
      </c>
      <c r="J7247">
        <v>-398.09910000000002</v>
      </c>
      <c r="K7247">
        <v>1.1240019999999999</v>
      </c>
      <c r="L7247">
        <v>17.87613</v>
      </c>
      <c r="M7247">
        <v>0.99561489999999997</v>
      </c>
      <c r="N7247">
        <v>-4.8542059999999998E-3</v>
      </c>
      <c r="O7247">
        <v>-9.3420320000000001E-2</v>
      </c>
      <c r="P7247">
        <v>0.99807230000000002</v>
      </c>
      <c r="Q7247">
        <v>-5.9219849999999997E-2</v>
      </c>
      <c r="R7247">
        <v>-1.856408E-2</v>
      </c>
      <c r="S7247">
        <v>2.9981080000000002</v>
      </c>
      <c r="T7247">
        <v>-0.15652669999999999</v>
      </c>
      <c r="U7247">
        <v>8.2275390000000004E-2</v>
      </c>
      <c r="V7247">
        <v>-7.4247259999999995E-2</v>
      </c>
      <c r="W7247">
        <v>-5.5082689999999997E-2</v>
      </c>
      <c r="X7247">
        <v>0.99571750000000003</v>
      </c>
      <c r="Y7247">
        <v>-0.1204148</v>
      </c>
      <c r="Z7247">
        <v>7.8489879999999995E-3</v>
      </c>
      <c r="AA7247">
        <v>0.99269260000000004</v>
      </c>
      <c r="AB7247">
        <v>29</v>
      </c>
      <c r="AC7247">
        <v>21.381699999999999</v>
      </c>
      <c r="AD7247">
        <v>-1.1240037339690001</v>
      </c>
      <c r="AE7247">
        <v>0.60264000000000095</v>
      </c>
      <c r="AF7247">
        <v>-2.5903606485856701</v>
      </c>
      <c r="AG7247">
        <v>-1.1240037339690001</v>
      </c>
      <c r="AH7247">
        <v>21.1734257963871</v>
      </c>
      <c r="AI7247">
        <v>93.016281070579495</v>
      </c>
      <c r="AJ7247">
        <v>96.974915456717198</v>
      </c>
      <c r="AK7247">
        <v>21.360882768247901</v>
      </c>
      <c r="AL7247">
        <v>93.157603629951097</v>
      </c>
      <c r="AM7247">
        <v>94.264458951529804</v>
      </c>
      <c r="AN7247">
        <v>1.00000004908069</v>
      </c>
    </row>
    <row r="7248" spans="1:40" x14ac:dyDescent="0.25">
      <c r="A7248" t="str">
        <f>"20190303153950956"</f>
        <v>20190303153950956</v>
      </c>
      <c r="B7248" t="str">
        <f>"1551598790946206"</f>
        <v>1551598790946206</v>
      </c>
      <c r="C7248" t="s">
        <v>40</v>
      </c>
      <c r="D7248">
        <v>4.9247370000000004</v>
      </c>
      <c r="E7248">
        <v>0.4828691</v>
      </c>
      <c r="F7248" t="s">
        <v>75</v>
      </c>
      <c r="G7248">
        <v>-376.6463</v>
      </c>
      <c r="H7248" s="1">
        <v>-1.769486E-6</v>
      </c>
      <c r="I7248">
        <v>18.467919999999999</v>
      </c>
      <c r="J7248">
        <v>-397.94549999999998</v>
      </c>
      <c r="K7248">
        <v>1.123966</v>
      </c>
      <c r="L7248">
        <v>17.864170000000001</v>
      </c>
      <c r="M7248">
        <v>0.99583319999999997</v>
      </c>
      <c r="N7248">
        <v>-5.387579E-3</v>
      </c>
      <c r="O7248">
        <v>-9.1034160000000003E-2</v>
      </c>
      <c r="P7248">
        <v>0.99807129999999999</v>
      </c>
      <c r="Q7248">
        <v>-5.9286310000000002E-2</v>
      </c>
      <c r="R7248">
        <v>-1.8400670000000001E-2</v>
      </c>
      <c r="S7248">
        <v>2.9980159999999998</v>
      </c>
      <c r="T7248">
        <v>-0.1570791</v>
      </c>
      <c r="U7248">
        <v>8.2702639999999994E-2</v>
      </c>
      <c r="V7248">
        <v>-7.2045100000000001E-2</v>
      </c>
      <c r="W7248">
        <v>-5.4575100000000001E-2</v>
      </c>
      <c r="X7248">
        <v>0.99590710000000005</v>
      </c>
      <c r="Y7248">
        <v>-0.1181827</v>
      </c>
      <c r="Z7248">
        <v>7.6836229999999997E-3</v>
      </c>
      <c r="AA7248">
        <v>0.99296209999999996</v>
      </c>
      <c r="AB7248">
        <v>29</v>
      </c>
      <c r="AC7248">
        <v>21.2991999999999</v>
      </c>
      <c r="AD7248">
        <v>-1.123967769486</v>
      </c>
      <c r="AE7248">
        <v>0.60374999999999701</v>
      </c>
      <c r="AF7248">
        <v>-2.5331774136976599</v>
      </c>
      <c r="AG7248">
        <v>-1.123967769486</v>
      </c>
      <c r="AH7248">
        <v>21.097093310906899</v>
      </c>
      <c r="AI7248">
        <v>93.027896099254704</v>
      </c>
      <c r="AJ7248">
        <v>96.846859457803305</v>
      </c>
      <c r="AK7248">
        <v>21.278337282908801</v>
      </c>
      <c r="AL7248">
        <v>93.128477379365194</v>
      </c>
      <c r="AM7248">
        <v>94.137636885438397</v>
      </c>
      <c r="AN7248">
        <v>0.999999944902213</v>
      </c>
    </row>
    <row r="7249" spans="1:40" x14ac:dyDescent="0.25">
      <c r="A7249" t="str">
        <f>"20190303153950970"</f>
        <v>20190303153950970</v>
      </c>
      <c r="B7249" t="str">
        <f>"1551598790965724"</f>
        <v>1551598790965724</v>
      </c>
      <c r="C7249" t="s">
        <v>40</v>
      </c>
      <c r="D7249">
        <v>4.9752650000000003</v>
      </c>
      <c r="E7249">
        <v>0.4831106</v>
      </c>
      <c r="F7249" t="s">
        <v>75</v>
      </c>
      <c r="G7249">
        <v>-376.48439999999999</v>
      </c>
      <c r="H7249" s="1">
        <v>-1.8498550000000001E-6</v>
      </c>
      <c r="I7249">
        <v>18.446370000000002</v>
      </c>
      <c r="J7249">
        <v>-397.77420000000001</v>
      </c>
      <c r="K7249">
        <v>1.123923</v>
      </c>
      <c r="L7249">
        <v>17.851099999999999</v>
      </c>
      <c r="M7249">
        <v>0.99606280000000003</v>
      </c>
      <c r="N7249">
        <v>-5.9839019999999897E-3</v>
      </c>
      <c r="O7249">
        <v>-8.8449600000000003E-2</v>
      </c>
      <c r="P7249">
        <v>0.99802199999999996</v>
      </c>
      <c r="Q7249">
        <v>-6.01919E-2</v>
      </c>
      <c r="R7249">
        <v>-1.815437E-2</v>
      </c>
      <c r="S7249">
        <v>2.997986</v>
      </c>
      <c r="T7249">
        <v>-0.1570116</v>
      </c>
      <c r="U7249">
        <v>8.1329349999999995E-2</v>
      </c>
      <c r="V7249">
        <v>-6.9717409999999994E-2</v>
      </c>
      <c r="W7249">
        <v>-5.4842790000000002E-2</v>
      </c>
      <c r="X7249">
        <v>0.99605809999999995</v>
      </c>
      <c r="Y7249">
        <v>-0.1151597</v>
      </c>
      <c r="Z7249">
        <v>7.4537689999999998E-3</v>
      </c>
      <c r="AA7249">
        <v>0.99331899999999995</v>
      </c>
      <c r="AB7249">
        <v>29</v>
      </c>
      <c r="AC7249">
        <v>21.2898</v>
      </c>
      <c r="AD7249">
        <v>-1.1239248498549901</v>
      </c>
      <c r="AE7249">
        <v>0.59527000000000196</v>
      </c>
      <c r="AF7249">
        <v>-2.4691685212489598</v>
      </c>
      <c r="AG7249">
        <v>-1.1239248498549901</v>
      </c>
      <c r="AH7249">
        <v>21.094957628056999</v>
      </c>
      <c r="AI7249">
        <v>93.029154810925505</v>
      </c>
      <c r="AJ7249">
        <v>96.676102535883601</v>
      </c>
      <c r="AK7249">
        <v>21.2686914873475</v>
      </c>
      <c r="AL7249">
        <v>93.143837738597</v>
      </c>
      <c r="AM7249">
        <v>94.003791880261304</v>
      </c>
      <c r="AN7249">
        <v>0.99999999372385096</v>
      </c>
    </row>
    <row r="7250" spans="1:40" x14ac:dyDescent="0.25">
      <c r="A7250" t="str">
        <f>"20190303153950991"</f>
        <v>20190303153950991</v>
      </c>
      <c r="B7250" t="str">
        <f>"1551598790986220"</f>
        <v>1551598790986220</v>
      </c>
      <c r="C7250" t="s">
        <v>40</v>
      </c>
      <c r="D7250">
        <v>4.9452809999999996</v>
      </c>
      <c r="E7250">
        <v>0.48353499999999999</v>
      </c>
      <c r="F7250" t="s">
        <v>75</v>
      </c>
      <c r="G7250">
        <v>-376.99689999999998</v>
      </c>
      <c r="H7250" s="1">
        <v>-1.6146599999999999E-6</v>
      </c>
      <c r="I7250">
        <v>18.406569999999999</v>
      </c>
      <c r="J7250">
        <v>-397.53070000000002</v>
      </c>
      <c r="K7250">
        <v>1.123847</v>
      </c>
      <c r="L7250">
        <v>17.83325</v>
      </c>
      <c r="M7250">
        <v>0.99635850000000004</v>
      </c>
      <c r="N7250">
        <v>-6.7947779999999996E-3</v>
      </c>
      <c r="O7250">
        <v>-8.4992730000000002E-2</v>
      </c>
      <c r="P7250">
        <v>0.9978553</v>
      </c>
      <c r="Q7250">
        <v>-6.2501009999999996E-2</v>
      </c>
      <c r="R7250">
        <v>-1.9451969999999999E-2</v>
      </c>
      <c r="S7250">
        <v>2.9976500000000001</v>
      </c>
      <c r="T7250">
        <v>-0.16215399999999999</v>
      </c>
      <c r="U7250">
        <v>8.0139160000000001E-2</v>
      </c>
      <c r="V7250">
        <v>-6.4965690000000006E-2</v>
      </c>
      <c r="W7250">
        <v>-5.6274009999999999E-2</v>
      </c>
      <c r="X7250">
        <v>0.9962995</v>
      </c>
      <c r="Y7250">
        <v>-0.1113142</v>
      </c>
      <c r="Z7250">
        <v>7.3996519999999996E-3</v>
      </c>
      <c r="AA7250">
        <v>0.99375769999999997</v>
      </c>
      <c r="AB7250">
        <v>29</v>
      </c>
      <c r="AC7250">
        <v>20.533799999999999</v>
      </c>
      <c r="AD7250">
        <v>-1.12384861466</v>
      </c>
      <c r="AE7250">
        <v>0.57332000000000205</v>
      </c>
      <c r="AF7250">
        <v>-2.3095960985317401</v>
      </c>
      <c r="AG7250">
        <v>-1.12384861466</v>
      </c>
      <c r="AH7250">
        <v>20.3498557547762</v>
      </c>
      <c r="AI7250">
        <v>93.1409032406292</v>
      </c>
      <c r="AJ7250">
        <v>96.475047317668299</v>
      </c>
      <c r="AK7250">
        <v>20.511311491155901</v>
      </c>
      <c r="AL7250">
        <v>93.225967447810007</v>
      </c>
      <c r="AM7250">
        <v>93.730803484129794</v>
      </c>
      <c r="AN7250">
        <v>0.99999999938945305</v>
      </c>
    </row>
    <row r="7251" spans="1:40" x14ac:dyDescent="0.25">
      <c r="A7251" t="str">
        <f>"20190303153951007"</f>
        <v>20190303153951007</v>
      </c>
      <c r="B7251" t="str">
        <f>"1551598790995980"</f>
        <v>1551598790995980</v>
      </c>
      <c r="C7251" t="s">
        <v>40</v>
      </c>
      <c r="D7251">
        <v>5.0014459999999996</v>
      </c>
      <c r="E7251">
        <v>0.48359839999999998</v>
      </c>
      <c r="F7251" t="s">
        <v>75</v>
      </c>
      <c r="G7251">
        <v>-377.65140000000002</v>
      </c>
      <c r="H7251" s="1">
        <v>-1.3212649999999901E-6</v>
      </c>
      <c r="I7251">
        <v>18.316410000000001</v>
      </c>
      <c r="J7251">
        <v>-397.30200000000002</v>
      </c>
      <c r="K7251">
        <v>1.123769</v>
      </c>
      <c r="L7251">
        <v>17.8172</v>
      </c>
      <c r="M7251">
        <v>0.99660959999999998</v>
      </c>
      <c r="N7251">
        <v>-7.5017340000000004E-3</v>
      </c>
      <c r="O7251">
        <v>-8.1933899999999907E-2</v>
      </c>
      <c r="P7251">
        <v>0.99773840000000003</v>
      </c>
      <c r="Q7251">
        <v>-6.4411979999999994E-2</v>
      </c>
      <c r="R7251">
        <v>-1.9220060000000001E-2</v>
      </c>
      <c r="S7251">
        <v>2.997223</v>
      </c>
      <c r="T7251">
        <v>-0.16944379999999901</v>
      </c>
      <c r="U7251">
        <v>7.2845460000000001E-2</v>
      </c>
      <c r="V7251">
        <v>-6.2141299999999997E-2</v>
      </c>
      <c r="W7251">
        <v>-5.7433970000000001E-2</v>
      </c>
      <c r="X7251">
        <v>0.99641349999999995</v>
      </c>
      <c r="Y7251">
        <v>-0.105837899999999</v>
      </c>
      <c r="Z7251">
        <v>7.3966700000000002E-3</v>
      </c>
      <c r="AA7251">
        <v>0.99435589999999996</v>
      </c>
      <c r="AB7251">
        <v>29</v>
      </c>
      <c r="AC7251">
        <v>19.650599999999901</v>
      </c>
      <c r="AD7251">
        <v>-1.1237703212649901</v>
      </c>
      <c r="AE7251">
        <v>0.49921000000000099</v>
      </c>
      <c r="AF7251">
        <v>-2.10076099801209</v>
      </c>
      <c r="AG7251">
        <v>-1.1237703212649901</v>
      </c>
      <c r="AH7251">
        <v>19.479956449051901</v>
      </c>
      <c r="AI7251">
        <v>93.282659341957995</v>
      </c>
      <c r="AJ7251">
        <v>96.155114209254094</v>
      </c>
      <c r="AK7251">
        <v>19.6251053439894</v>
      </c>
      <c r="AL7251">
        <v>93.292535829078702</v>
      </c>
      <c r="AM7251">
        <v>93.568627877391506</v>
      </c>
      <c r="AN7251">
        <v>1.00000003252895</v>
      </c>
    </row>
    <row r="7252" spans="1:40" x14ac:dyDescent="0.25">
      <c r="A7252" t="str">
        <f>"20190303153951022"</f>
        <v>20190303153951022</v>
      </c>
      <c r="B7252" t="str">
        <f>"1551598791015501"</f>
        <v>1551598791015501</v>
      </c>
      <c r="C7252" t="s">
        <v>40</v>
      </c>
      <c r="D7252">
        <v>4.9581480000000004</v>
      </c>
      <c r="E7252">
        <v>0.48399599999999998</v>
      </c>
      <c r="F7252" t="s">
        <v>75</v>
      </c>
      <c r="G7252">
        <v>-378.3168</v>
      </c>
      <c r="H7252" s="1">
        <v>-1.0132000000000001E-6</v>
      </c>
      <c r="I7252">
        <v>18.27985</v>
      </c>
      <c r="J7252">
        <v>-397.1123</v>
      </c>
      <c r="K7252">
        <v>1.1236809999999999</v>
      </c>
      <c r="L7252">
        <v>17.804320000000001</v>
      </c>
      <c r="M7252">
        <v>0.99680060000000004</v>
      </c>
      <c r="N7252">
        <v>-8.0484519999999993E-3</v>
      </c>
      <c r="O7252">
        <v>-7.9522860000000001E-2</v>
      </c>
      <c r="P7252">
        <v>0.9975328</v>
      </c>
      <c r="Q7252">
        <v>-6.6716600000000001E-2</v>
      </c>
      <c r="R7252">
        <v>-2.1845130000000001E-2</v>
      </c>
      <c r="S7252">
        <v>2.9967649999999999</v>
      </c>
      <c r="T7252">
        <v>-0.17738409999999999</v>
      </c>
      <c r="U7252">
        <v>7.3028560000000006E-2</v>
      </c>
      <c r="V7252">
        <v>-5.7103229999999998E-2</v>
      </c>
      <c r="W7252">
        <v>-5.9135119999999999E-2</v>
      </c>
      <c r="X7252">
        <v>0.99661540000000004</v>
      </c>
      <c r="Y7252">
        <v>-0.10347720000000001</v>
      </c>
      <c r="Z7252">
        <v>7.536152E-3</v>
      </c>
      <c r="AA7252">
        <v>0.99460329999999997</v>
      </c>
      <c r="AB7252">
        <v>29</v>
      </c>
      <c r="AC7252">
        <v>18.795500000000001</v>
      </c>
      <c r="AD7252">
        <v>-1.1236820131999901</v>
      </c>
      <c r="AE7252">
        <v>0.47552999999999901</v>
      </c>
      <c r="AF7252">
        <v>-1.9617370142192201</v>
      </c>
      <c r="AG7252">
        <v>-1.1236820131999901</v>
      </c>
      <c r="AH7252">
        <v>18.631604348263</v>
      </c>
      <c r="AI7252">
        <v>93.432430463150894</v>
      </c>
      <c r="AJ7252">
        <v>96.010573854029701</v>
      </c>
      <c r="AK7252">
        <v>18.7682645433711</v>
      </c>
      <c r="AL7252">
        <v>93.390170646875603</v>
      </c>
      <c r="AM7252">
        <v>93.279299857400105</v>
      </c>
      <c r="AN7252">
        <v>0.99999999840550302</v>
      </c>
    </row>
    <row r="7253" spans="1:40" x14ac:dyDescent="0.25">
      <c r="A7253" t="str">
        <f>"20190303153951044"</f>
        <v>20190303153951044</v>
      </c>
      <c r="B7253" t="str">
        <f>"1551598791035996"</f>
        <v>1551598791035996</v>
      </c>
      <c r="C7253" t="s">
        <v>40</v>
      </c>
      <c r="D7253">
        <v>4.9619499999999999</v>
      </c>
      <c r="E7253">
        <v>0.4843461</v>
      </c>
      <c r="F7253" t="s">
        <v>75</v>
      </c>
      <c r="G7253">
        <v>-378.88580000000002</v>
      </c>
      <c r="H7253" s="1">
        <v>-7.9395069999999898E-7</v>
      </c>
      <c r="I7253">
        <v>18.181149999999999</v>
      </c>
      <c r="J7253">
        <v>-396.82549999999998</v>
      </c>
      <c r="K7253">
        <v>1.123551</v>
      </c>
      <c r="L7253">
        <v>17.785489999999999</v>
      </c>
      <c r="M7253">
        <v>0.99706600000000001</v>
      </c>
      <c r="N7253">
        <v>-8.8179450000000006E-3</v>
      </c>
      <c r="O7253">
        <v>-7.6036359999999997E-2</v>
      </c>
      <c r="P7253">
        <v>0.9973706</v>
      </c>
      <c r="Q7253">
        <v>-6.8661509999999995E-2</v>
      </c>
      <c r="R7253">
        <v>-2.3180610000000001E-2</v>
      </c>
      <c r="S7253">
        <v>2.9964599999999999</v>
      </c>
      <c r="T7253">
        <v>-0.1847348</v>
      </c>
      <c r="U7253">
        <v>6.1950680000000001E-2</v>
      </c>
      <c r="V7253">
        <v>-5.2295069999999999E-2</v>
      </c>
      <c r="W7253">
        <v>-6.0250730000000002E-2</v>
      </c>
      <c r="X7253">
        <v>0.99681249999999999</v>
      </c>
      <c r="Y7253">
        <v>-9.6318589999999996E-2</v>
      </c>
      <c r="Z7253">
        <v>7.4011800000000003E-3</v>
      </c>
      <c r="AA7253">
        <v>0.99532310000000002</v>
      </c>
      <c r="AB7253">
        <v>29</v>
      </c>
      <c r="AC7253">
        <v>17.939699999999899</v>
      </c>
      <c r="AD7253">
        <v>-1.1235517939507</v>
      </c>
      <c r="AE7253">
        <v>0.39565999999999901</v>
      </c>
      <c r="AF7253">
        <v>-1.75176922766952</v>
      </c>
      <c r="AG7253">
        <v>-1.1235517939507</v>
      </c>
      <c r="AH7253">
        <v>17.787937498602101</v>
      </c>
      <c r="AI7253">
        <v>93.596857667083697</v>
      </c>
      <c r="AJ7253">
        <v>95.624394839121194</v>
      </c>
      <c r="AK7253">
        <v>17.909265325938801</v>
      </c>
      <c r="AL7253">
        <v>93.454204428598104</v>
      </c>
      <c r="AM7253">
        <v>93.003114873896493</v>
      </c>
      <c r="AN7253">
        <v>1.0000000424840401</v>
      </c>
    </row>
    <row r="7254" spans="1:40" x14ac:dyDescent="0.25">
      <c r="A7254" t="str">
        <f>"20190303153951057"</f>
        <v>20190303153951057</v>
      </c>
      <c r="B7254" t="str">
        <f>"1551598791045756"</f>
        <v>1551598791045756</v>
      </c>
      <c r="C7254" t="s">
        <v>40</v>
      </c>
      <c r="D7254">
        <v>4.9911849999999998</v>
      </c>
      <c r="E7254">
        <v>0.48448390000000002</v>
      </c>
      <c r="F7254" t="s">
        <v>75</v>
      </c>
      <c r="G7254">
        <v>-379.23129999999998</v>
      </c>
      <c r="H7254" s="1">
        <v>-6.8033209999999899E-7</v>
      </c>
      <c r="I7254">
        <v>18.10951</v>
      </c>
      <c r="J7254">
        <v>-396.66269999999997</v>
      </c>
      <c r="K7254">
        <v>1.1234729999999999</v>
      </c>
      <c r="L7254">
        <v>17.775210000000001</v>
      </c>
      <c r="M7254">
        <v>0.99720509999999996</v>
      </c>
      <c r="N7254">
        <v>-9.2174149999999996E-3</v>
      </c>
      <c r="O7254">
        <v>-7.414163E-2</v>
      </c>
      <c r="P7254">
        <v>0.99732299999999996</v>
      </c>
      <c r="Q7254">
        <v>-6.9256440000000002E-2</v>
      </c>
      <c r="R7254">
        <v>-2.3460209999999999E-2</v>
      </c>
      <c r="S7254">
        <v>2.9960939999999998</v>
      </c>
      <c r="T7254">
        <v>-0.1913282</v>
      </c>
      <c r="U7254">
        <v>5.5175780000000001E-2</v>
      </c>
      <c r="V7254">
        <v>-5.0134119999999997E-2</v>
      </c>
      <c r="W7254">
        <v>-6.041825E-2</v>
      </c>
      <c r="X7254">
        <v>0.9969133</v>
      </c>
      <c r="Y7254">
        <v>-9.2169070000000006E-2</v>
      </c>
      <c r="Z7254">
        <v>7.4088419999999997E-3</v>
      </c>
      <c r="AA7254">
        <v>0.99571580000000004</v>
      </c>
      <c r="AB7254">
        <v>29</v>
      </c>
      <c r="AC7254">
        <v>17.431399999999901</v>
      </c>
      <c r="AD7254">
        <v>-1.1234736803320999</v>
      </c>
      <c r="AE7254">
        <v>0.33429999999999799</v>
      </c>
      <c r="AF7254">
        <v>-1.61910397488973</v>
      </c>
      <c r="AG7254">
        <v>-1.1234736803320999</v>
      </c>
      <c r="AH7254">
        <v>17.286850939993201</v>
      </c>
      <c r="AI7254">
        <v>93.702269462131497</v>
      </c>
      <c r="AJ7254">
        <v>95.350770856881098</v>
      </c>
      <c r="AK7254">
        <v>17.398819103992299</v>
      </c>
      <c r="AL7254">
        <v>93.4638204164157</v>
      </c>
      <c r="AM7254">
        <v>92.878942071002996</v>
      </c>
      <c r="AN7254">
        <v>0.99999996131906199</v>
      </c>
    </row>
    <row r="7255" spans="1:40" x14ac:dyDescent="0.25">
      <c r="A7255" t="str">
        <f>"20190303153951072"</f>
        <v>20190303153951072</v>
      </c>
      <c r="B7255" t="str">
        <f>"1551598791065277"</f>
        <v>1551598791065277</v>
      </c>
      <c r="C7255" t="s">
        <v>40</v>
      </c>
      <c r="D7255">
        <v>4.9783879999999998</v>
      </c>
      <c r="E7255">
        <v>0.48478369999999998</v>
      </c>
      <c r="F7255" t="s">
        <v>75</v>
      </c>
      <c r="G7255">
        <v>-379.22719999999998</v>
      </c>
      <c r="H7255" s="1">
        <v>-6.8845159999999898E-7</v>
      </c>
      <c r="I7255">
        <v>18.084949999999999</v>
      </c>
      <c r="J7255">
        <v>-396.476</v>
      </c>
      <c r="K7255">
        <v>1.1233820000000001</v>
      </c>
      <c r="L7255">
        <v>17.7637</v>
      </c>
      <c r="M7255">
        <v>0.99735680000000004</v>
      </c>
      <c r="N7255">
        <v>-9.6506999999999999E-3</v>
      </c>
      <c r="O7255">
        <v>-7.2017239999999996E-2</v>
      </c>
      <c r="P7255">
        <v>0.99726890000000001</v>
      </c>
      <c r="Q7255">
        <v>-7.0075250000000006E-2</v>
      </c>
      <c r="R7255">
        <v>-2.3333119999999999E-2</v>
      </c>
      <c r="S7255">
        <v>2.9959410000000002</v>
      </c>
      <c r="T7255">
        <v>-0.19304589999999999</v>
      </c>
      <c r="U7255">
        <v>5.3222659999999998E-2</v>
      </c>
      <c r="V7255">
        <v>-4.8149270000000001E-2</v>
      </c>
      <c r="W7255">
        <v>-6.0777079999999997E-2</v>
      </c>
      <c r="X7255">
        <v>0.99698940000000003</v>
      </c>
      <c r="Y7255">
        <v>-8.9404239999999996E-2</v>
      </c>
      <c r="Z7255">
        <v>7.2475059999999999E-3</v>
      </c>
      <c r="AA7255">
        <v>0.99596910000000005</v>
      </c>
      <c r="AB7255">
        <v>29</v>
      </c>
      <c r="AC7255">
        <v>17.248799999999999</v>
      </c>
      <c r="AD7255">
        <v>-1.1233826884515901</v>
      </c>
      <c r="AE7255">
        <v>0.32124999999999898</v>
      </c>
      <c r="AF7255">
        <v>-1.5560863254383399</v>
      </c>
      <c r="AG7255">
        <v>-1.1233826884515901</v>
      </c>
      <c r="AH7255">
        <v>17.108327914210498</v>
      </c>
      <c r="AI7255">
        <v>93.741414833999798</v>
      </c>
      <c r="AJ7255">
        <v>95.197032286161999</v>
      </c>
      <c r="AK7255">
        <v>17.215640485822298</v>
      </c>
      <c r="AL7255">
        <v>93.484417458152805</v>
      </c>
      <c r="AM7255">
        <v>92.764932246249302</v>
      </c>
      <c r="AN7255">
        <v>1.0000000346836</v>
      </c>
    </row>
    <row r="7256" spans="1:40" x14ac:dyDescent="0.25">
      <c r="A7256" t="str">
        <f>"20190303153951089"</f>
        <v>20190303153951089</v>
      </c>
      <c r="B7256" t="str">
        <f>"1551598791085774"</f>
        <v>1551598791085774</v>
      </c>
      <c r="C7256" t="s">
        <v>40</v>
      </c>
      <c r="D7256">
        <v>5.0826960000000003</v>
      </c>
      <c r="E7256">
        <v>0.4852728</v>
      </c>
      <c r="F7256" t="s">
        <v>75</v>
      </c>
      <c r="G7256">
        <v>-379.19499999999999</v>
      </c>
      <c r="H7256" s="1">
        <v>-7.0762239999999995E-7</v>
      </c>
      <c r="I7256">
        <v>18.059270000000001</v>
      </c>
      <c r="J7256">
        <v>-396.25479999999999</v>
      </c>
      <c r="K7256">
        <v>1.123275</v>
      </c>
      <c r="L7256">
        <v>17.75046</v>
      </c>
      <c r="M7256">
        <v>0.99752540000000001</v>
      </c>
      <c r="N7256">
        <v>-1.012069E-2</v>
      </c>
      <c r="O7256">
        <v>-6.9576840000000001E-2</v>
      </c>
      <c r="P7256">
        <v>0.99713560000000001</v>
      </c>
      <c r="Q7256">
        <v>-7.1439459999999996E-2</v>
      </c>
      <c r="R7256">
        <v>-2.4848510000000001E-2</v>
      </c>
      <c r="S7256">
        <v>2.9957579999999999</v>
      </c>
      <c r="T7256">
        <v>-0.1947449</v>
      </c>
      <c r="U7256">
        <v>5.1239010000000001E-2</v>
      </c>
      <c r="V7256">
        <v>-4.4204090000000001E-2</v>
      </c>
      <c r="W7256">
        <v>-6.1631749999999999E-2</v>
      </c>
      <c r="X7256">
        <v>0.99711959999999999</v>
      </c>
      <c r="Y7256">
        <v>-8.6315020000000006E-2</v>
      </c>
      <c r="Z7256">
        <v>7.0517089999999998E-3</v>
      </c>
      <c r="AA7256">
        <v>0.99624290000000004</v>
      </c>
      <c r="AB7256">
        <v>29</v>
      </c>
      <c r="AC7256">
        <v>17.0597999999999</v>
      </c>
      <c r="AD7256">
        <v>-1.1232757076224</v>
      </c>
      <c r="AE7256">
        <v>0.30881000000000097</v>
      </c>
      <c r="AF7256">
        <v>-1.4886374888220699</v>
      </c>
      <c r="AG7256">
        <v>-1.1232757076224</v>
      </c>
      <c r="AH7256">
        <v>16.9236199489984</v>
      </c>
      <c r="AI7256">
        <v>93.782774084101206</v>
      </c>
      <c r="AJ7256">
        <v>95.026919888792506</v>
      </c>
      <c r="AK7256">
        <v>17.0260594990913</v>
      </c>
      <c r="AL7256">
        <v>93.533478592966205</v>
      </c>
      <c r="AM7256">
        <v>92.538362063251</v>
      </c>
      <c r="AN7256">
        <v>0.99999998544247504</v>
      </c>
    </row>
    <row r="7257" spans="1:40" x14ac:dyDescent="0.25">
      <c r="A7257" t="str">
        <f>"20190303153951103"</f>
        <v>20190303153951103</v>
      </c>
      <c r="B7257" t="str">
        <f>"1551598791095533"</f>
        <v>1551598791095533</v>
      </c>
      <c r="C7257" t="s">
        <v>40</v>
      </c>
      <c r="D7257">
        <v>5.019304</v>
      </c>
      <c r="E7257">
        <v>0.4852728</v>
      </c>
      <c r="F7257" t="s">
        <v>75</v>
      </c>
      <c r="G7257">
        <v>-379.01499999999999</v>
      </c>
      <c r="H7257" s="1">
        <v>-7.9338329999999998E-7</v>
      </c>
      <c r="I7257">
        <v>17.996860000000002</v>
      </c>
      <c r="J7257">
        <v>-396.08120000000002</v>
      </c>
      <c r="K7257">
        <v>1.123208</v>
      </c>
      <c r="L7257">
        <v>17.74042</v>
      </c>
      <c r="M7257">
        <v>0.99764960000000003</v>
      </c>
      <c r="N7257">
        <v>-1.0450940000000001E-2</v>
      </c>
      <c r="O7257">
        <v>-6.7722660000000004E-2</v>
      </c>
      <c r="P7257">
        <v>0.99704510000000002</v>
      </c>
      <c r="Q7257">
        <v>-7.2763259999999996E-2</v>
      </c>
      <c r="R7257">
        <v>-2.4635359999999999E-2</v>
      </c>
      <c r="S7257">
        <v>2.9956670000000001</v>
      </c>
      <c r="T7257">
        <v>-0.19518469999999999</v>
      </c>
      <c r="U7257">
        <v>4.2816159999999999E-2</v>
      </c>
      <c r="V7257">
        <v>-4.2565369999999998E-2</v>
      </c>
      <c r="W7257">
        <v>-6.2607309999999999E-2</v>
      </c>
      <c r="X7257">
        <v>0.99713019999999997</v>
      </c>
      <c r="Y7257">
        <v>-8.1675789999999998E-2</v>
      </c>
      <c r="Z7257">
        <v>6.7833959999999997E-3</v>
      </c>
      <c r="AA7257">
        <v>0.99663590000000002</v>
      </c>
      <c r="AB7257">
        <v>29</v>
      </c>
      <c r="AC7257">
        <v>17.066199999999998</v>
      </c>
      <c r="AD7257">
        <v>-1.1232087933832999</v>
      </c>
      <c r="AE7257">
        <v>0.256440000000001</v>
      </c>
      <c r="AF7257">
        <v>-1.4055955147956101</v>
      </c>
      <c r="AG7257">
        <v>-1.1232087933832999</v>
      </c>
      <c r="AH7257">
        <v>16.9363025929039</v>
      </c>
      <c r="AI7257">
        <v>93.781314543341395</v>
      </c>
      <c r="AJ7257">
        <v>94.744279167149699</v>
      </c>
      <c r="AK7257">
        <v>17.0316071544393</v>
      </c>
      <c r="AL7257">
        <v>93.589481954453703</v>
      </c>
      <c r="AM7257">
        <v>92.444351089373697</v>
      </c>
      <c r="AN7257">
        <v>1.0000000608703501</v>
      </c>
    </row>
    <row r="7258" spans="1:40" x14ac:dyDescent="0.25">
      <c r="A7258" t="str">
        <f>"20190303153951116"</f>
        <v>20190303153951116</v>
      </c>
      <c r="B7258" t="str">
        <f>"1551598791106268"</f>
        <v>1551598791106268</v>
      </c>
      <c r="C7258" t="s">
        <v>40</v>
      </c>
      <c r="D7258">
        <v>5.0006899999999996</v>
      </c>
      <c r="E7258">
        <v>0.49516569999999999</v>
      </c>
      <c r="F7258" t="s">
        <v>75</v>
      </c>
      <c r="G7258">
        <v>-379.19810000000001</v>
      </c>
      <c r="H7258" s="1">
        <v>-7.2607580000000001E-7</v>
      </c>
      <c r="I7258">
        <v>17.985529999999901</v>
      </c>
      <c r="J7258">
        <v>-395.91559999999998</v>
      </c>
      <c r="K7258">
        <v>1.123148</v>
      </c>
      <c r="L7258">
        <v>17.731079999999999</v>
      </c>
      <c r="M7258">
        <v>0.99776299999999996</v>
      </c>
      <c r="N7258">
        <v>-1.074789E-2</v>
      </c>
      <c r="O7258">
        <v>-6.5980179999999999E-2</v>
      </c>
      <c r="P7258">
        <v>0.99696059999999997</v>
      </c>
      <c r="Q7258">
        <v>-7.3918719999999993E-2</v>
      </c>
      <c r="R7258">
        <v>-2.4606929999999999E-2</v>
      </c>
      <c r="S7258">
        <v>2.995422</v>
      </c>
      <c r="T7258">
        <v>-0.19928119999999999</v>
      </c>
      <c r="U7258">
        <v>4.348755E-2</v>
      </c>
      <c r="V7258">
        <v>-4.0853819999999999E-2</v>
      </c>
      <c r="W7258">
        <v>-6.3449080000000005E-2</v>
      </c>
      <c r="X7258">
        <v>0.99714849999999999</v>
      </c>
      <c r="Y7258">
        <v>-8.0153650000000007E-2</v>
      </c>
      <c r="Z7258">
        <v>6.7683459999999997E-3</v>
      </c>
      <c r="AA7258">
        <v>0.99675950000000002</v>
      </c>
      <c r="AB7258">
        <v>29</v>
      </c>
      <c r="AC7258">
        <v>16.717499999999902</v>
      </c>
      <c r="AD7258">
        <v>-1.1231487260758</v>
      </c>
      <c r="AE7258">
        <v>0.25444999999999801</v>
      </c>
      <c r="AF7258">
        <v>-1.3508868241629399</v>
      </c>
      <c r="AG7258">
        <v>-1.1231487260758</v>
      </c>
      <c r="AH7258">
        <v>16.589415455372301</v>
      </c>
      <c r="AI7258">
        <v>93.860430991787098</v>
      </c>
      <c r="AJ7258">
        <v>94.655360673076899</v>
      </c>
      <c r="AK7258">
        <v>16.6821780179786</v>
      </c>
      <c r="AL7258">
        <v>93.637808215728796</v>
      </c>
      <c r="AM7258">
        <v>92.346133055138495</v>
      </c>
      <c r="AN7258">
        <v>0.99999997570684396</v>
      </c>
    </row>
    <row r="7259" spans="1:40" x14ac:dyDescent="0.25">
      <c r="A7259" t="str">
        <f>"20190303153951135"</f>
        <v>20190303153951135</v>
      </c>
      <c r="B7259" t="str">
        <f>"1551598791125789"</f>
        <v>1551598791125789</v>
      </c>
      <c r="C7259" t="s">
        <v>40</v>
      </c>
      <c r="D7259">
        <v>5.0019239999999998</v>
      </c>
      <c r="E7259">
        <v>0.4942339</v>
      </c>
      <c r="F7259" t="s">
        <v>42</v>
      </c>
      <c r="G7259">
        <v>-335.96559999999999</v>
      </c>
      <c r="H7259" s="1">
        <v>-2.1724670000000001E-6</v>
      </c>
      <c r="I7259">
        <v>17.02638</v>
      </c>
      <c r="J7259">
        <v>-395.6771</v>
      </c>
      <c r="K7259">
        <v>1.1230800000000001</v>
      </c>
      <c r="L7259">
        <v>17.71808</v>
      </c>
      <c r="M7259">
        <v>0.99791810000000003</v>
      </c>
      <c r="N7259">
        <v>-1.1138169999999999E-2</v>
      </c>
      <c r="O7259">
        <v>-6.3525520000000002E-2</v>
      </c>
      <c r="P7259">
        <v>0.99686770000000002</v>
      </c>
      <c r="Q7259">
        <v>-7.4935760000000004E-2</v>
      </c>
      <c r="R7259">
        <v>-2.5292169999999999E-2</v>
      </c>
      <c r="S7259">
        <v>3.004089</v>
      </c>
      <c r="T7259">
        <v>-5.628097E-2</v>
      </c>
      <c r="U7259">
        <v>-3.5308840000000001E-2</v>
      </c>
      <c r="V7259">
        <v>-3.7723060000000003E-2</v>
      </c>
      <c r="W7259">
        <v>-6.4049690000000006E-2</v>
      </c>
      <c r="X7259">
        <v>0.99723349999999999</v>
      </c>
      <c r="Y7259">
        <v>-5.1779739999999998E-2</v>
      </c>
      <c r="Z7259">
        <v>1.2547319999999999E-3</v>
      </c>
      <c r="AA7259">
        <v>0.99865780000000004</v>
      </c>
      <c r="AB7259">
        <v>29</v>
      </c>
      <c r="AC7259">
        <v>59.711500000000001</v>
      </c>
      <c r="AD7259">
        <v>-1.1230821724669999</v>
      </c>
      <c r="AE7259">
        <v>-0.69169999999999998</v>
      </c>
      <c r="AF7259">
        <v>-3.1020392717148702</v>
      </c>
      <c r="AG7259">
        <v>-1.1230821724669999</v>
      </c>
      <c r="AH7259">
        <v>59.613737881094401</v>
      </c>
      <c r="AI7259">
        <v>91.077827852233</v>
      </c>
      <c r="AJ7259">
        <v>92.978736236344602</v>
      </c>
      <c r="AK7259">
        <v>59.704955450659199</v>
      </c>
      <c r="AL7259">
        <v>93.672290601730694</v>
      </c>
      <c r="AM7259">
        <v>92.166335250842593</v>
      </c>
      <c r="AN7259">
        <v>1.0000000227835499</v>
      </c>
    </row>
    <row r="7260" spans="1:40" x14ac:dyDescent="0.25">
      <c r="A7260" t="str">
        <f>"20190303153951146"</f>
        <v>20190303153951146</v>
      </c>
      <c r="B7260" t="str">
        <f>"1551598791135549"</f>
        <v>1551598791135549</v>
      </c>
      <c r="C7260" t="s">
        <v>40</v>
      </c>
      <c r="D7260">
        <v>5.0307690000000003</v>
      </c>
      <c r="E7260">
        <v>0.49349090000000001</v>
      </c>
      <c r="F7260" t="s">
        <v>42</v>
      </c>
      <c r="G7260">
        <v>-350.57900000000001</v>
      </c>
      <c r="H7260" s="1">
        <v>-4.4404230000000003E-6</v>
      </c>
      <c r="I7260">
        <v>17.267949999999999</v>
      </c>
      <c r="J7260">
        <v>-395.52629999999999</v>
      </c>
      <c r="K7260">
        <v>1.1230420000000001</v>
      </c>
      <c r="L7260">
        <v>17.710079999999898</v>
      </c>
      <c r="M7260">
        <v>0.99801150000000005</v>
      </c>
      <c r="N7260">
        <v>-1.136497E-2</v>
      </c>
      <c r="O7260">
        <v>-6.2000880000000001E-2</v>
      </c>
      <c r="P7260">
        <v>0.99683169999999999</v>
      </c>
      <c r="Q7260">
        <v>-7.5492229999999994E-2</v>
      </c>
      <c r="R7260">
        <v>-2.5051190000000001E-2</v>
      </c>
      <c r="S7260">
        <v>3.0030519999999998</v>
      </c>
      <c r="T7260">
        <v>-7.4785470000000007E-2</v>
      </c>
      <c r="U7260">
        <v>-2.996826E-2</v>
      </c>
      <c r="V7260">
        <v>-3.6444560000000001E-2</v>
      </c>
      <c r="W7260">
        <v>-6.4368300000000003E-2</v>
      </c>
      <c r="X7260">
        <v>0.99726049999999999</v>
      </c>
      <c r="Y7260">
        <v>-5.2013089999999998E-2</v>
      </c>
      <c r="Z7260">
        <v>1.781075E-3</v>
      </c>
      <c r="AA7260">
        <v>0.9986448</v>
      </c>
      <c r="AB7260">
        <v>28</v>
      </c>
      <c r="AC7260">
        <v>44.947299999999899</v>
      </c>
      <c r="AD7260">
        <v>-1.1230464404230001</v>
      </c>
      <c r="AE7260">
        <v>-0.44212999999999802</v>
      </c>
      <c r="AF7260">
        <v>-2.3442092247263999</v>
      </c>
      <c r="AG7260">
        <v>-1.1230464404230001</v>
      </c>
      <c r="AH7260">
        <v>44.860225508417599</v>
      </c>
      <c r="AI7260">
        <v>91.432109712917693</v>
      </c>
      <c r="AJ7260">
        <v>92.9913188798444</v>
      </c>
      <c r="AK7260">
        <v>44.935469095834698</v>
      </c>
      <c r="AL7260">
        <v>93.690583462078195</v>
      </c>
      <c r="AM7260">
        <v>92.092924213878504</v>
      </c>
      <c r="AN7260">
        <v>0.99999999442936605</v>
      </c>
    </row>
    <row r="7261" spans="1:40" x14ac:dyDescent="0.25">
      <c r="A7261" t="str">
        <f>"20190303153951157"</f>
        <v>20190303153951157</v>
      </c>
      <c r="B7261" t="str">
        <f>"1551598791156045"</f>
        <v>1551598791156045</v>
      </c>
      <c r="C7261" t="s">
        <v>40</v>
      </c>
      <c r="D7261">
        <v>4.9622159999999997</v>
      </c>
      <c r="E7261">
        <v>0.49362020000000001</v>
      </c>
      <c r="F7261" t="s">
        <v>42</v>
      </c>
      <c r="G7261">
        <v>-355.56049999999999</v>
      </c>
      <c r="H7261" s="1">
        <v>-2.2803349999999999E-6</v>
      </c>
      <c r="I7261">
        <v>17.398039999999899</v>
      </c>
      <c r="J7261">
        <v>-395.38389999999998</v>
      </c>
      <c r="K7261">
        <v>1.123014</v>
      </c>
      <c r="L7261">
        <v>17.702850000000002</v>
      </c>
      <c r="M7261">
        <v>0.99809619999999999</v>
      </c>
      <c r="N7261">
        <v>-1.155959E-2</v>
      </c>
      <c r="O7261">
        <v>-6.05838E-2</v>
      </c>
      <c r="P7261">
        <v>0.99682700000000002</v>
      </c>
      <c r="Q7261">
        <v>-7.570702E-2</v>
      </c>
      <c r="R7261">
        <v>-2.4588579999999999E-2</v>
      </c>
      <c r="S7261">
        <v>3.0025629999999999</v>
      </c>
      <c r="T7261">
        <v>-8.4372279999999994E-2</v>
      </c>
      <c r="U7261">
        <v>-2.34375E-2</v>
      </c>
      <c r="V7261">
        <v>-3.5496779999999999E-2</v>
      </c>
      <c r="W7261">
        <v>-6.4380069999999998E-2</v>
      </c>
      <c r="X7261">
        <v>0.99729389999999996</v>
      </c>
      <c r="Y7261">
        <v>-5.2757110000000003E-2</v>
      </c>
      <c r="Z7261">
        <v>2.0466540000000002E-3</v>
      </c>
      <c r="AA7261">
        <v>0.99860530000000003</v>
      </c>
      <c r="AB7261">
        <v>28</v>
      </c>
      <c r="AC7261">
        <v>39.8233999999999</v>
      </c>
      <c r="AD7261">
        <v>-1.1230162803349999</v>
      </c>
      <c r="AE7261">
        <v>-0.30481000000000302</v>
      </c>
      <c r="AF7261">
        <v>-2.1068886593010498</v>
      </c>
      <c r="AG7261">
        <v>-1.1230162803349999</v>
      </c>
      <c r="AH7261">
        <v>39.7371084900158</v>
      </c>
      <c r="AI7261">
        <v>91.616544177218302</v>
      </c>
      <c r="AJ7261">
        <v>93.035019521761598</v>
      </c>
      <c r="AK7261">
        <v>39.808767081333599</v>
      </c>
      <c r="AL7261">
        <v>93.691259329475798</v>
      </c>
      <c r="AM7261">
        <v>92.038473787352203</v>
      </c>
      <c r="AN7261">
        <v>0.999999968890391</v>
      </c>
    </row>
    <row r="7262" spans="1:40" x14ac:dyDescent="0.25">
      <c r="A7262" t="str">
        <f>"20190303153951172"</f>
        <v>20190303153951172</v>
      </c>
      <c r="B7262" t="str">
        <f>"1551598791165805"</f>
        <v>1551598791165805</v>
      </c>
      <c r="C7262" t="s">
        <v>40</v>
      </c>
      <c r="D7262">
        <v>4.9295970000000002</v>
      </c>
      <c r="E7262">
        <v>0.49393189999999998</v>
      </c>
      <c r="F7262" t="s">
        <v>42</v>
      </c>
      <c r="G7262">
        <v>-355.36610000000002</v>
      </c>
      <c r="H7262" s="1">
        <v>-2.3644019999999998E-6</v>
      </c>
      <c r="I7262">
        <v>17.39406</v>
      </c>
      <c r="J7262">
        <v>-395.21289999999999</v>
      </c>
      <c r="K7262">
        <v>1.1229819999999999</v>
      </c>
      <c r="L7262">
        <v>17.694269999999999</v>
      </c>
      <c r="M7262">
        <v>0.99819480000000005</v>
      </c>
      <c r="N7262">
        <v>-1.1782320000000001E-2</v>
      </c>
      <c r="O7262">
        <v>-5.8895459999999997E-2</v>
      </c>
      <c r="P7262">
        <v>0.99682610000000005</v>
      </c>
      <c r="Q7262">
        <v>-7.6055639999999994E-2</v>
      </c>
      <c r="R7262">
        <v>-2.3529970000000001E-2</v>
      </c>
      <c r="S7262">
        <v>3.0025940000000002</v>
      </c>
      <c r="T7262">
        <v>-8.4261660000000002E-2</v>
      </c>
      <c r="U7262">
        <v>-2.3162840000000001E-2</v>
      </c>
      <c r="V7262">
        <v>-3.4874479999999999E-2</v>
      </c>
      <c r="W7262">
        <v>-6.4499390000000004E-2</v>
      </c>
      <c r="X7262">
        <v>0.99730819999999998</v>
      </c>
      <c r="Y7262">
        <v>-5.116076E-2</v>
      </c>
      <c r="Z7262">
        <v>1.9766229999999998E-3</v>
      </c>
      <c r="AA7262">
        <v>0.99868849999999998</v>
      </c>
      <c r="AB7262">
        <v>28</v>
      </c>
      <c r="AC7262">
        <v>39.846799999999902</v>
      </c>
      <c r="AD7262">
        <v>-1.1229843644019999</v>
      </c>
      <c r="AE7262">
        <v>-0.30020999999999898</v>
      </c>
      <c r="AF7262">
        <v>-2.04564462481614</v>
      </c>
      <c r="AG7262">
        <v>-1.1229843644019999</v>
      </c>
      <c r="AH7262">
        <v>39.763724022438801</v>
      </c>
      <c r="AI7262">
        <v>91.615549369345402</v>
      </c>
      <c r="AJ7262">
        <v>92.944984927590099</v>
      </c>
      <c r="AK7262">
        <v>39.832141593773301</v>
      </c>
      <c r="AL7262">
        <v>93.698109899522805</v>
      </c>
      <c r="AM7262">
        <v>92.002737630283093</v>
      </c>
      <c r="AN7262">
        <v>1.0000000232264401</v>
      </c>
    </row>
    <row r="7263" spans="1:40" x14ac:dyDescent="0.25">
      <c r="A7263" t="str">
        <f>"20190303153951191"</f>
        <v>20190303153951191</v>
      </c>
      <c r="B7263" t="str">
        <f>"1551598791185325"</f>
        <v>1551598791185325</v>
      </c>
      <c r="C7263" t="s">
        <v>40</v>
      </c>
      <c r="D7263">
        <v>4.8948019999999897</v>
      </c>
      <c r="E7263">
        <v>0.49435679999999999</v>
      </c>
      <c r="F7263" t="s">
        <v>42</v>
      </c>
      <c r="G7263">
        <v>-353.16059999999999</v>
      </c>
      <c r="H7263" s="1">
        <v>-3.3134080000000001E-6</v>
      </c>
      <c r="I7263">
        <v>17.377949999999998</v>
      </c>
      <c r="J7263">
        <v>-394.97899999999998</v>
      </c>
      <c r="K7263">
        <v>1.1229469999999999</v>
      </c>
      <c r="L7263">
        <v>17.682980000000001</v>
      </c>
      <c r="M7263">
        <v>0.99832279999999995</v>
      </c>
      <c r="N7263">
        <v>-1.2055339999999999E-2</v>
      </c>
      <c r="O7263">
        <v>-5.6624380000000002E-2</v>
      </c>
      <c r="P7263">
        <v>0.9968593</v>
      </c>
      <c r="Q7263">
        <v>-7.6098070000000004E-2</v>
      </c>
      <c r="R7263">
        <v>-2.1932420000000001E-2</v>
      </c>
      <c r="S7263">
        <v>3.0029300000000001</v>
      </c>
      <c r="T7263">
        <v>-8.0191849999999995E-2</v>
      </c>
      <c r="U7263">
        <v>-2.2583010000000001E-2</v>
      </c>
      <c r="V7263">
        <v>-3.4214939999999999E-2</v>
      </c>
      <c r="W7263">
        <v>-6.4260970000000001E-2</v>
      </c>
      <c r="X7263">
        <v>0.99734639999999997</v>
      </c>
      <c r="Y7263">
        <v>-4.9087390000000002E-2</v>
      </c>
      <c r="Z7263">
        <v>1.7795409999999999E-3</v>
      </c>
      <c r="AA7263">
        <v>0.99879289999999998</v>
      </c>
      <c r="AB7263">
        <v>28</v>
      </c>
      <c r="AC7263">
        <v>41.818399999999997</v>
      </c>
      <c r="AD7263">
        <v>-1.1229503134079999</v>
      </c>
      <c r="AE7263">
        <v>-0.30503000000000202</v>
      </c>
      <c r="AF7263">
        <v>-2.0620855992337201</v>
      </c>
      <c r="AG7263">
        <v>-1.1229503134079999</v>
      </c>
      <c r="AH7263">
        <v>41.738472841795101</v>
      </c>
      <c r="AI7263">
        <v>91.539262685047902</v>
      </c>
      <c r="AJ7263">
        <v>92.828393246694404</v>
      </c>
      <c r="AK7263">
        <v>41.804465426437602</v>
      </c>
      <c r="AL7263">
        <v>93.684421171769102</v>
      </c>
      <c r="AM7263">
        <v>91.964816985529694</v>
      </c>
      <c r="AN7263">
        <v>0.999999987988752</v>
      </c>
    </row>
    <row r="7264" spans="1:40" x14ac:dyDescent="0.25">
      <c r="A7264" t="str">
        <f>"20190303153951204"</f>
        <v>20190303153951204</v>
      </c>
      <c r="B7264" t="str">
        <f>"1551598791196061"</f>
        <v>1551598791196061</v>
      </c>
      <c r="C7264" t="s">
        <v>40</v>
      </c>
      <c r="D7264">
        <v>4.872026</v>
      </c>
      <c r="E7264">
        <v>0.49458600000000003</v>
      </c>
      <c r="F7264" t="s">
        <v>42</v>
      </c>
      <c r="G7264">
        <v>-348.89260000000002</v>
      </c>
      <c r="H7264" s="1">
        <v>-9.6442820000000005E-7</v>
      </c>
      <c r="I7264">
        <v>17.355560000000001</v>
      </c>
      <c r="J7264">
        <v>-394.7928</v>
      </c>
      <c r="K7264">
        <v>1.122914</v>
      </c>
      <c r="L7264">
        <v>17.674410000000002</v>
      </c>
      <c r="M7264">
        <v>0.99841970000000002</v>
      </c>
      <c r="N7264">
        <v>-1.224777E-2</v>
      </c>
      <c r="O7264">
        <v>-5.4846409999999998E-2</v>
      </c>
      <c r="P7264">
        <v>0.99690250000000002</v>
      </c>
      <c r="Q7264">
        <v>-7.6051610000000006E-2</v>
      </c>
      <c r="R7264">
        <v>-2.004593E-2</v>
      </c>
      <c r="S7264">
        <v>3.0033569999999998</v>
      </c>
      <c r="T7264">
        <v>-7.3180200000000001E-2</v>
      </c>
      <c r="U7264">
        <v>-2.133179E-2</v>
      </c>
      <c r="V7264">
        <v>-3.4333889999999999E-2</v>
      </c>
      <c r="W7264">
        <v>-6.4019640000000003E-2</v>
      </c>
      <c r="X7264">
        <v>0.99735779999999996</v>
      </c>
      <c r="Y7264">
        <v>-4.7732070000000001E-2</v>
      </c>
      <c r="Z7264">
        <v>1.5374270000000001E-3</v>
      </c>
      <c r="AA7264">
        <v>0.99885900000000005</v>
      </c>
      <c r="AB7264">
        <v>28</v>
      </c>
      <c r="AC7264">
        <v>45.900199999999899</v>
      </c>
      <c r="AD7264">
        <v>-1.1229149644281999</v>
      </c>
      <c r="AE7264">
        <v>-0.31885000000000102</v>
      </c>
      <c r="AF7264">
        <v>-2.1979645708701199</v>
      </c>
      <c r="AG7264">
        <v>-1.1229149644281999</v>
      </c>
      <c r="AH7264">
        <v>45.821167195686499</v>
      </c>
      <c r="AI7264">
        <v>91.402224536073604</v>
      </c>
      <c r="AJ7264">
        <v>92.746277419134202</v>
      </c>
      <c r="AK7264">
        <v>45.887594722835402</v>
      </c>
      <c r="AL7264">
        <v>93.670565569096894</v>
      </c>
      <c r="AM7264">
        <v>91.971619872529104</v>
      </c>
      <c r="AN7264">
        <v>0.99999995576455003</v>
      </c>
    </row>
    <row r="7265" spans="1:40" x14ac:dyDescent="0.25">
      <c r="A7265" t="str">
        <f>"20190303153951223"</f>
        <v>20190303153951223</v>
      </c>
      <c r="B7265" t="str">
        <f>"1551598791215580"</f>
        <v>1551598791215580</v>
      </c>
      <c r="C7265" t="s">
        <v>40</v>
      </c>
      <c r="D7265">
        <v>4.8102460000000002</v>
      </c>
      <c r="E7265">
        <v>0.49486459999999999</v>
      </c>
      <c r="F7265" t="s">
        <v>42</v>
      </c>
      <c r="G7265">
        <v>-346.48759999999999</v>
      </c>
      <c r="H7265" s="1">
        <v>-1.883628E-6</v>
      </c>
      <c r="I7265">
        <v>17.392109999999999</v>
      </c>
      <c r="J7265">
        <v>-394.57060000000001</v>
      </c>
      <c r="K7265">
        <v>1.122871</v>
      </c>
      <c r="L7265">
        <v>17.664549999999998</v>
      </c>
      <c r="M7265">
        <v>0.99853009999999998</v>
      </c>
      <c r="N7265">
        <v>-1.245637E-2</v>
      </c>
      <c r="O7265">
        <v>-5.2750209999999999E-2</v>
      </c>
      <c r="P7265">
        <v>0.99696580000000001</v>
      </c>
      <c r="Q7265">
        <v>-7.5703950000000006E-2</v>
      </c>
      <c r="R7265">
        <v>-1.812045E-2</v>
      </c>
      <c r="S7265">
        <v>3.0036010000000002</v>
      </c>
      <c r="T7265">
        <v>-6.9822549999999997E-2</v>
      </c>
      <c r="U7265">
        <v>-1.7547610000000002E-2</v>
      </c>
      <c r="V7265">
        <v>-3.4178649999999998E-2</v>
      </c>
      <c r="W7265">
        <v>-6.3458600000000004E-2</v>
      </c>
      <c r="X7265">
        <v>0.99739900000000004</v>
      </c>
      <c r="Y7265">
        <v>-4.6896930000000003E-2</v>
      </c>
      <c r="Z7265">
        <v>1.4054549999999999E-3</v>
      </c>
      <c r="AA7265">
        <v>0.99889870000000003</v>
      </c>
      <c r="AB7265">
        <v>28</v>
      </c>
      <c r="AC7265">
        <v>48.082999999999998</v>
      </c>
      <c r="AD7265">
        <v>-1.122872883628</v>
      </c>
      <c r="AE7265">
        <v>-0.27243999999999902</v>
      </c>
      <c r="AF7265">
        <v>-2.2632901229274198</v>
      </c>
      <c r="AG7265">
        <v>-1.122872883628</v>
      </c>
      <c r="AH7265">
        <v>48.004239444017401</v>
      </c>
      <c r="AI7265">
        <v>91.338481762019399</v>
      </c>
      <c r="AJ7265">
        <v>92.699366028898993</v>
      </c>
      <c r="AK7265">
        <v>48.070680568220403</v>
      </c>
      <c r="AL7265">
        <v>93.638354795191901</v>
      </c>
      <c r="AM7265">
        <v>91.9626312094762</v>
      </c>
      <c r="AN7265">
        <v>0.99999996961538995</v>
      </c>
    </row>
    <row r="7266" spans="1:40" x14ac:dyDescent="0.25">
      <c r="A7266" t="str">
        <f>"20190303153951235"</f>
        <v>20190303153951235</v>
      </c>
      <c r="B7266" t="str">
        <f>"1551598791225341"</f>
        <v>1551598791225341</v>
      </c>
      <c r="C7266" t="s">
        <v>40</v>
      </c>
      <c r="D7266">
        <v>4.8267119999999997</v>
      </c>
      <c r="E7266">
        <v>0.49497829999999898</v>
      </c>
      <c r="F7266" t="s">
        <v>42</v>
      </c>
      <c r="G7266">
        <v>-340.27640000000002</v>
      </c>
      <c r="H7266" s="1">
        <v>-4.5456049999999997E-6</v>
      </c>
      <c r="I7266">
        <v>17.406890000000001</v>
      </c>
      <c r="J7266">
        <v>-394.41890000000001</v>
      </c>
      <c r="K7266">
        <v>1.1228450000000001</v>
      </c>
      <c r="L7266">
        <v>17.65802</v>
      </c>
      <c r="M7266">
        <v>0.99860199999999999</v>
      </c>
      <c r="N7266">
        <v>-1.258654E-2</v>
      </c>
      <c r="O7266">
        <v>-5.1339070000000001E-2</v>
      </c>
      <c r="P7266">
        <v>0.99698620000000004</v>
      </c>
      <c r="Q7266">
        <v>-7.5729060000000001E-2</v>
      </c>
      <c r="R7266">
        <v>-1.6849340000000001E-2</v>
      </c>
      <c r="S7266">
        <v>3.0041500000000001</v>
      </c>
      <c r="T7266">
        <v>-6.2129860000000002E-2</v>
      </c>
      <c r="U7266">
        <v>-1.4251710000000001E-2</v>
      </c>
      <c r="V7266">
        <v>-3.4046199999999999E-2</v>
      </c>
      <c r="W7266">
        <v>-6.3350370000000003E-2</v>
      </c>
      <c r="X7266">
        <v>0.99741040000000003</v>
      </c>
      <c r="Y7266">
        <v>-4.6587179999999999E-2</v>
      </c>
      <c r="Z7266">
        <v>1.189788E-3</v>
      </c>
      <c r="AA7266">
        <v>0.99891350000000001</v>
      </c>
      <c r="AB7266">
        <v>28</v>
      </c>
      <c r="AC7266">
        <v>54.142499999999899</v>
      </c>
      <c r="AD7266">
        <v>-1.1228495456050001</v>
      </c>
      <c r="AE7266">
        <v>-0.25112999999999902</v>
      </c>
      <c r="AF7266">
        <v>-2.5279596719664501</v>
      </c>
      <c r="AG7266">
        <v>-1.1228495456050001</v>
      </c>
      <c r="AH7266">
        <v>54.060732847790199</v>
      </c>
      <c r="AI7266">
        <v>91.188572462922806</v>
      </c>
      <c r="AJ7266">
        <v>92.677284950581196</v>
      </c>
      <c r="AK7266">
        <v>54.131453030981</v>
      </c>
      <c r="AL7266">
        <v>93.632141206951403</v>
      </c>
      <c r="AM7266">
        <v>91.955009155259106</v>
      </c>
      <c r="AN7266">
        <v>0.99999995957086696</v>
      </c>
    </row>
    <row r="7267" spans="1:40" x14ac:dyDescent="0.25">
      <c r="A7267" t="str">
        <f>"20190303153951246"</f>
        <v>20190303153951246</v>
      </c>
      <c r="B7267" t="str">
        <f>"1551598791236077"</f>
        <v>1551598791236077</v>
      </c>
      <c r="C7267" t="s">
        <v>40</v>
      </c>
      <c r="D7267">
        <v>4.764888</v>
      </c>
      <c r="E7267">
        <v>0.49510890000000002</v>
      </c>
      <c r="F7267" t="s">
        <v>42</v>
      </c>
      <c r="G7267">
        <v>-337.73840000000001</v>
      </c>
      <c r="H7267" s="1">
        <v>-1.3383040000000001E-6</v>
      </c>
      <c r="I7267">
        <v>17.441459999999999</v>
      </c>
      <c r="J7267">
        <v>-394.26729999999998</v>
      </c>
      <c r="K7267">
        <v>1.122817</v>
      </c>
      <c r="L7267">
        <v>17.651700000000002</v>
      </c>
      <c r="M7267">
        <v>0.99867119999999998</v>
      </c>
      <c r="N7267">
        <v>-1.2707380000000001E-2</v>
      </c>
      <c r="O7267">
        <v>-4.9946169999999998E-2</v>
      </c>
      <c r="P7267">
        <v>0.99702659999999999</v>
      </c>
      <c r="Q7267">
        <v>-7.5459109999999996E-2</v>
      </c>
      <c r="R7267">
        <v>-1.5629190000000001E-2</v>
      </c>
      <c r="S7267">
        <v>3.0043329999999999</v>
      </c>
      <c r="T7267">
        <v>-5.9516189999999997E-2</v>
      </c>
      <c r="U7267">
        <v>-1.147461E-2</v>
      </c>
      <c r="V7267">
        <v>-3.3883910000000003E-2</v>
      </c>
      <c r="W7267">
        <v>-6.2955979999999995E-2</v>
      </c>
      <c r="X7267">
        <v>0.99744089999999996</v>
      </c>
      <c r="Y7267">
        <v>-4.6119180000000003E-2</v>
      </c>
      <c r="Z7267">
        <v>1.10396E-3</v>
      </c>
      <c r="AA7267">
        <v>0.99893529999999997</v>
      </c>
      <c r="AB7267">
        <v>28</v>
      </c>
      <c r="AC7267">
        <v>56.528899999999901</v>
      </c>
      <c r="AD7267">
        <v>-1.122818338304</v>
      </c>
      <c r="AE7267">
        <v>-0.21024000000000201</v>
      </c>
      <c r="AF7267">
        <v>-2.6126213656371799</v>
      </c>
      <c r="AG7267">
        <v>-1.122818338304</v>
      </c>
      <c r="AH7267">
        <v>56.446567610352801</v>
      </c>
      <c r="AI7267">
        <v>91.138341969777699</v>
      </c>
      <c r="AJ7267">
        <v>92.650035717840694</v>
      </c>
      <c r="AK7267">
        <v>56.518152008104003</v>
      </c>
      <c r="AL7267">
        <v>93.6094991179624</v>
      </c>
      <c r="AM7267">
        <v>91.945637829196599</v>
      </c>
      <c r="AN7267">
        <v>0.99999996188372797</v>
      </c>
    </row>
    <row r="7268" spans="1:40" x14ac:dyDescent="0.25">
      <c r="A7268" t="str">
        <f>"20190303153951258"</f>
        <v>20190303153951258</v>
      </c>
      <c r="B7268" t="str">
        <f>"1551598791255597"</f>
        <v>1551598791255597</v>
      </c>
      <c r="C7268" t="s">
        <v>40</v>
      </c>
      <c r="D7268">
        <v>4.73184</v>
      </c>
      <c r="E7268">
        <v>0.49528369999999999</v>
      </c>
      <c r="F7268" t="s">
        <v>42</v>
      </c>
      <c r="G7268">
        <v>-334.73649999999998</v>
      </c>
      <c r="H7268" s="1">
        <v>-2.6204610000000001E-6</v>
      </c>
      <c r="I7268">
        <v>17.473240000000001</v>
      </c>
      <c r="J7268">
        <v>-394.12700000000001</v>
      </c>
      <c r="K7268">
        <v>1.122795</v>
      </c>
      <c r="L7268">
        <v>17.646059999999999</v>
      </c>
      <c r="M7268">
        <v>0.99873250000000002</v>
      </c>
      <c r="N7268">
        <v>-1.280854E-2</v>
      </c>
      <c r="O7268">
        <v>-4.867585E-2</v>
      </c>
      <c r="P7268">
        <v>0.9970464</v>
      </c>
      <c r="Q7268">
        <v>-7.5385629999999995E-2</v>
      </c>
      <c r="R7268">
        <v>-1.4674019999999999E-2</v>
      </c>
      <c r="S7268">
        <v>3.0045470000000001</v>
      </c>
      <c r="T7268">
        <v>-5.6669240000000003E-2</v>
      </c>
      <c r="U7268">
        <v>-9.0026859999999993E-3</v>
      </c>
      <c r="V7268">
        <v>-3.3577040000000002E-2</v>
      </c>
      <c r="W7268">
        <v>-6.27775E-2</v>
      </c>
      <c r="X7268">
        <v>0.99746259999999998</v>
      </c>
      <c r="Y7268">
        <v>-4.5672320000000002E-2</v>
      </c>
      <c r="Z7268">
        <v>1.0172720000000001E-3</v>
      </c>
      <c r="AA7268">
        <v>0.99895599999999996</v>
      </c>
      <c r="AB7268">
        <v>28</v>
      </c>
      <c r="AC7268">
        <v>59.390499999999903</v>
      </c>
      <c r="AD7268">
        <v>-1.122797620461</v>
      </c>
      <c r="AE7268">
        <v>-0.172820000000001</v>
      </c>
      <c r="AF7268">
        <v>-2.71753384949323</v>
      </c>
      <c r="AG7268">
        <v>-1.122797620461</v>
      </c>
      <c r="AH7268">
        <v>59.3073045153048</v>
      </c>
      <c r="AI7268">
        <v>91.083449614784897</v>
      </c>
      <c r="AJ7268">
        <v>92.623528212314994</v>
      </c>
      <c r="AK7268">
        <v>59.380148480706502</v>
      </c>
      <c r="AL7268">
        <v>93.599252434248498</v>
      </c>
      <c r="AM7268">
        <v>91.927988585567704</v>
      </c>
      <c r="AN7268">
        <v>1.00000003526008</v>
      </c>
    </row>
    <row r="7269" spans="1:40" x14ac:dyDescent="0.25">
      <c r="A7269" t="str">
        <f>"20190303153951270"</f>
        <v>20190303153951270</v>
      </c>
      <c r="B7269" t="str">
        <f>"1551598791265357"</f>
        <v>1551598791265357</v>
      </c>
      <c r="C7269" t="s">
        <v>40</v>
      </c>
      <c r="D7269">
        <v>4.7422259999999996</v>
      </c>
      <c r="E7269">
        <v>0.49528369999999999</v>
      </c>
      <c r="F7269" t="s">
        <v>42</v>
      </c>
      <c r="G7269">
        <v>-328.91239999999999</v>
      </c>
      <c r="H7269" s="1">
        <v>-9.699921999999999E-7</v>
      </c>
      <c r="I7269">
        <v>17.48115</v>
      </c>
      <c r="J7269">
        <v>-393.9812</v>
      </c>
      <c r="K7269">
        <v>1.1227720000000001</v>
      </c>
      <c r="L7269">
        <v>17.64029</v>
      </c>
      <c r="M7269">
        <v>0.99879439999999997</v>
      </c>
      <c r="N7269">
        <v>-1.2910130000000001E-2</v>
      </c>
      <c r="O7269">
        <v>-4.7362990000000001E-2</v>
      </c>
      <c r="P7269">
        <v>0.99709119999999996</v>
      </c>
      <c r="Q7269">
        <v>-7.5014220000000006E-2</v>
      </c>
      <c r="R7269">
        <v>-1.3480270000000001E-2</v>
      </c>
      <c r="S7269">
        <v>3.0049130000000002</v>
      </c>
      <c r="T7269">
        <v>-5.1735400000000001E-2</v>
      </c>
      <c r="U7269">
        <v>-7.59887699999999E-3</v>
      </c>
      <c r="V7269">
        <v>-3.3468650000000003E-2</v>
      </c>
      <c r="W7269">
        <v>-6.2301370000000002E-2</v>
      </c>
      <c r="X7269">
        <v>0.9974961</v>
      </c>
      <c r="Y7269">
        <v>-4.4828750000000001E-2</v>
      </c>
      <c r="Z7269">
        <v>8.7878649999999995E-4</v>
      </c>
      <c r="AA7269">
        <v>0.9989943</v>
      </c>
      <c r="AB7269">
        <v>28</v>
      </c>
      <c r="AC7269">
        <v>65.068799999999996</v>
      </c>
      <c r="AD7269">
        <v>-1.12277296999219</v>
      </c>
      <c r="AE7269">
        <v>-0.15914</v>
      </c>
      <c r="AF7269">
        <v>-2.9222780598043898</v>
      </c>
      <c r="AG7269">
        <v>-1.12277296999219</v>
      </c>
      <c r="AH7269">
        <v>64.983953690092207</v>
      </c>
      <c r="AI7269">
        <v>90.988841420132601</v>
      </c>
      <c r="AJ7269">
        <v>92.574812135575897</v>
      </c>
      <c r="AK7269">
        <v>65.059315746455596</v>
      </c>
      <c r="AL7269">
        <v>93.571918671175894</v>
      </c>
      <c r="AM7269">
        <v>91.921705029936007</v>
      </c>
      <c r="AN7269">
        <v>1.0000000403759499</v>
      </c>
    </row>
    <row r="7270" spans="1:40" x14ac:dyDescent="0.25">
      <c r="A7270" t="str">
        <f>"20190303153951281"</f>
        <v>20190303153951281</v>
      </c>
      <c r="B7270" t="str">
        <f>"1551598791276092"</f>
        <v>1551598791276092</v>
      </c>
      <c r="C7270" t="s">
        <v>40</v>
      </c>
      <c r="D7270">
        <v>4.796818</v>
      </c>
      <c r="E7270">
        <v>0.47357290000000002</v>
      </c>
      <c r="F7270" t="s">
        <v>42</v>
      </c>
      <c r="G7270">
        <v>-327.32499999999999</v>
      </c>
      <c r="H7270" s="1">
        <v>-1.6113210000000001E-6</v>
      </c>
      <c r="I7270">
        <v>17.550940000000001</v>
      </c>
      <c r="J7270">
        <v>-393.8227</v>
      </c>
      <c r="K7270">
        <v>1.122754</v>
      </c>
      <c r="L7270">
        <v>17.634339999999899</v>
      </c>
      <c r="M7270">
        <v>0.99885880000000005</v>
      </c>
      <c r="N7270">
        <v>-1.3007039999999999E-2</v>
      </c>
      <c r="O7270">
        <v>-4.5956650000000002E-2</v>
      </c>
      <c r="P7270">
        <v>0.99711079999999996</v>
      </c>
      <c r="Q7270">
        <v>-7.4974719999999995E-2</v>
      </c>
      <c r="R7270">
        <v>-1.2201689999999999E-2</v>
      </c>
      <c r="S7270">
        <v>3.0048520000000001</v>
      </c>
      <c r="T7270">
        <v>-5.0614480000000003E-2</v>
      </c>
      <c r="U7270">
        <v>-4.0283200000000002E-3</v>
      </c>
      <c r="V7270">
        <v>-3.3348120000000002E-2</v>
      </c>
      <c r="W7270">
        <v>-6.2162299999999997E-2</v>
      </c>
      <c r="X7270">
        <v>0.99750879999999997</v>
      </c>
      <c r="Y7270">
        <v>-4.4609759999999998E-2</v>
      </c>
      <c r="Z7270">
        <v>8.4175289999999995E-4</v>
      </c>
      <c r="AA7270">
        <v>0.99900409999999995</v>
      </c>
      <c r="AB7270">
        <v>28</v>
      </c>
      <c r="AC7270">
        <v>66.497699999999995</v>
      </c>
      <c r="AD7270">
        <v>-1.122755611321</v>
      </c>
      <c r="AE7270">
        <v>-8.3399999999997407E-2</v>
      </c>
      <c r="AF7270">
        <v>-2.9721107817890502</v>
      </c>
      <c r="AG7270">
        <v>-1.122755611321</v>
      </c>
      <c r="AH7270">
        <v>66.412329696291096</v>
      </c>
      <c r="AI7270">
        <v>90.967572244618196</v>
      </c>
      <c r="AJ7270">
        <v>92.562413596161207</v>
      </c>
      <c r="AK7270">
        <v>66.488281361085299</v>
      </c>
      <c r="AL7270">
        <v>93.563935119430695</v>
      </c>
      <c r="AM7270">
        <v>91.914765231496602</v>
      </c>
      <c r="AN7270">
        <v>1.00000002736313</v>
      </c>
    </row>
    <row r="7271" spans="1:40" x14ac:dyDescent="0.25">
      <c r="A7271" t="str">
        <f>"20190303153951295"</f>
        <v>20190303153951295</v>
      </c>
      <c r="B7271" t="str">
        <f>"1551598791285853"</f>
        <v>1551598791285853</v>
      </c>
      <c r="C7271" t="s">
        <v>40</v>
      </c>
      <c r="D7271">
        <v>4.7125979999999998</v>
      </c>
      <c r="E7271">
        <v>0.46649069999999998</v>
      </c>
      <c r="F7271" t="s">
        <v>42</v>
      </c>
      <c r="G7271">
        <v>-324.44200000000001</v>
      </c>
      <c r="H7271" s="1">
        <v>-3.1420679999999999E-6</v>
      </c>
      <c r="I7271">
        <v>21.624479999999998</v>
      </c>
      <c r="J7271">
        <v>-393.65730000000002</v>
      </c>
      <c r="K7271">
        <v>1.1227370000000001</v>
      </c>
      <c r="L7271">
        <v>17.628299999999999</v>
      </c>
      <c r="M7271">
        <v>0.99892369999999997</v>
      </c>
      <c r="N7271">
        <v>-1.310249E-2</v>
      </c>
      <c r="O7271">
        <v>-4.4497479999999999E-2</v>
      </c>
      <c r="P7271">
        <v>0.99711870000000002</v>
      </c>
      <c r="Q7271">
        <v>-7.5014890000000001E-2</v>
      </c>
      <c r="R7271">
        <v>-1.128376E-2</v>
      </c>
      <c r="S7271">
        <v>3.0071409999999998</v>
      </c>
      <c r="T7271">
        <v>-4.866326E-2</v>
      </c>
      <c r="U7271">
        <v>0.17294309999999999</v>
      </c>
      <c r="V7271">
        <v>-3.281361E-2</v>
      </c>
      <c r="W7271">
        <v>-6.2102539999999998E-2</v>
      </c>
      <c r="X7271">
        <v>0.99753020000000003</v>
      </c>
      <c r="Y7271">
        <v>-0.1017627</v>
      </c>
      <c r="Z7271">
        <v>1.6269590000000001E-3</v>
      </c>
      <c r="AA7271">
        <v>0.99480740000000001</v>
      </c>
      <c r="AB7271">
        <v>28</v>
      </c>
      <c r="AC7271">
        <v>69.215299999999999</v>
      </c>
      <c r="AD7271">
        <v>-1.1227401420679901</v>
      </c>
      <c r="AE7271">
        <v>3.9961799999999901</v>
      </c>
      <c r="AF7271">
        <v>-7.0705373041203403</v>
      </c>
      <c r="AG7271">
        <v>-1.1227401420679901</v>
      </c>
      <c r="AH7271">
        <v>68.950812986018505</v>
      </c>
      <c r="AI7271">
        <v>90.928010825827201</v>
      </c>
      <c r="AJ7271">
        <v>95.854910898296296</v>
      </c>
      <c r="AK7271">
        <v>69.3214804705473</v>
      </c>
      <c r="AL7271">
        <v>93.560504667210495</v>
      </c>
      <c r="AM7271">
        <v>91.884056919873501</v>
      </c>
      <c r="AN7271">
        <v>0.99999997919386097</v>
      </c>
    </row>
    <row r="7272" spans="1:40" x14ac:dyDescent="0.25">
      <c r="A7272" t="str">
        <f>"20190303153951314"</f>
        <v>20190303153951314</v>
      </c>
      <c r="B7272" t="str">
        <f>"1551598791305376"</f>
        <v>1551598791305376</v>
      </c>
      <c r="C7272" t="s">
        <v>40</v>
      </c>
      <c r="D7272">
        <v>4.6268279999999997</v>
      </c>
      <c r="E7272">
        <v>0.46071830000000003</v>
      </c>
      <c r="F7272" t="s">
        <v>42</v>
      </c>
      <c r="G7272">
        <v>-332.22239999999999</v>
      </c>
      <c r="H7272" s="1">
        <v>-4.0084319999999996E-6</v>
      </c>
      <c r="I7272">
        <v>22.37143</v>
      </c>
      <c r="J7272">
        <v>-393.43520000000001</v>
      </c>
      <c r="K7272">
        <v>1.1227240000000001</v>
      </c>
      <c r="L7272">
        <v>17.620480000000001</v>
      </c>
      <c r="M7272">
        <v>0.99900690000000003</v>
      </c>
      <c r="N7272">
        <v>-1.3218519999999999E-2</v>
      </c>
      <c r="O7272">
        <v>-4.2552300000000001E-2</v>
      </c>
      <c r="P7272">
        <v>0.9971238</v>
      </c>
      <c r="Q7272">
        <v>-7.5072219999999995E-2</v>
      </c>
      <c r="R7272">
        <v>-1.0418719999999999E-2</v>
      </c>
      <c r="S7272">
        <v>3.0072019999999999</v>
      </c>
      <c r="T7272">
        <v>-5.4957510000000001E-2</v>
      </c>
      <c r="U7272">
        <v>0.23217769999999999</v>
      </c>
      <c r="V7272">
        <v>-3.174159E-2</v>
      </c>
      <c r="W7272">
        <v>-6.2036760000000003E-2</v>
      </c>
      <c r="X7272">
        <v>0.99756900000000004</v>
      </c>
      <c r="Y7272">
        <v>-0.1193034</v>
      </c>
      <c r="Z7272">
        <v>2.0932960000000001E-3</v>
      </c>
      <c r="AA7272">
        <v>0.99285570000000001</v>
      </c>
      <c r="AB7272">
        <v>28</v>
      </c>
      <c r="AC7272">
        <v>61.212800000000001</v>
      </c>
      <c r="AD7272">
        <v>-1.1227280084319999</v>
      </c>
      <c r="AE7272">
        <v>4.7509499999999996</v>
      </c>
      <c r="AF7272">
        <v>-7.3491612714565999</v>
      </c>
      <c r="AG7272">
        <v>-1.1227280084319999</v>
      </c>
      <c r="AH7272">
        <v>60.934788634622599</v>
      </c>
      <c r="AI7272">
        <v>91.047966899842905</v>
      </c>
      <c r="AJ7272">
        <v>96.877055059178204</v>
      </c>
      <c r="AK7272">
        <v>61.386636620040697</v>
      </c>
      <c r="AL7272">
        <v>93.556728399230906</v>
      </c>
      <c r="AM7272">
        <v>91.822476190069807</v>
      </c>
      <c r="AN7272">
        <v>0.99999999894401204</v>
      </c>
    </row>
    <row r="7273" spans="1:40" x14ac:dyDescent="0.25">
      <c r="A7273" t="str">
        <f>"20190303153951324"</f>
        <v>20190303153951324</v>
      </c>
      <c r="B7273" t="str">
        <f>"1551598791316109"</f>
        <v>1551598791316109</v>
      </c>
      <c r="C7273" t="s">
        <v>40</v>
      </c>
      <c r="D7273">
        <v>4.6634019999999996</v>
      </c>
      <c r="E7273">
        <v>0.4596557</v>
      </c>
      <c r="F7273" t="s">
        <v>42</v>
      </c>
      <c r="G7273">
        <v>-333.03039999999999</v>
      </c>
      <c r="H7273" s="1">
        <v>-3.8913590000000001E-6</v>
      </c>
      <c r="I7273">
        <v>23.261479999999999</v>
      </c>
      <c r="J7273">
        <v>-393.27769999999998</v>
      </c>
      <c r="K7273">
        <v>1.122722</v>
      </c>
      <c r="L7273">
        <v>17.61523</v>
      </c>
      <c r="M7273">
        <v>0.99906340000000005</v>
      </c>
      <c r="N7273">
        <v>-1.3292470000000001E-2</v>
      </c>
      <c r="O7273">
        <v>-4.1179479999999997E-2</v>
      </c>
      <c r="P7273">
        <v>0.99714700000000001</v>
      </c>
      <c r="Q7273">
        <v>-7.4825390000000006E-2</v>
      </c>
      <c r="R7273">
        <v>-9.9411440000000007E-3</v>
      </c>
      <c r="S7273">
        <v>3.0073850000000002</v>
      </c>
      <c r="T7273">
        <v>-5.5897469999999998E-2</v>
      </c>
      <c r="U7273">
        <v>0.28085329999999997</v>
      </c>
      <c r="V7273">
        <v>-3.0853149999999999E-2</v>
      </c>
      <c r="W7273">
        <v>-6.1710660000000001E-2</v>
      </c>
      <c r="X7273">
        <v>0.99761710000000003</v>
      </c>
      <c r="Y7273">
        <v>-0.13386909999999999</v>
      </c>
      <c r="Z7273">
        <v>2.350932E-3</v>
      </c>
      <c r="AA7273">
        <v>0.99099619999999999</v>
      </c>
      <c r="AB7273">
        <v>28</v>
      </c>
      <c r="AC7273">
        <v>60.247300000000003</v>
      </c>
      <c r="AD7273">
        <v>-1.1227258913589999</v>
      </c>
      <c r="AE7273">
        <v>5.6462499999999904</v>
      </c>
      <c r="AF7273">
        <v>-8.1198361015608498</v>
      </c>
      <c r="AG7273">
        <v>-1.1227258913589999</v>
      </c>
      <c r="AH7273">
        <v>59.943021548648403</v>
      </c>
      <c r="AI7273">
        <v>91.063309057157298</v>
      </c>
      <c r="AJ7273">
        <v>97.714287708097999</v>
      </c>
      <c r="AK7273">
        <v>60.500893250637802</v>
      </c>
      <c r="AL7273">
        <v>93.5380083727472</v>
      </c>
      <c r="AM7273">
        <v>91.771413101684203</v>
      </c>
      <c r="AN7273">
        <v>1.00000000031748</v>
      </c>
    </row>
    <row r="7274" spans="1:40" x14ac:dyDescent="0.25">
      <c r="A7274" t="str">
        <f>"20190303153951337"</f>
        <v>20190303153951337</v>
      </c>
      <c r="B7274" t="str">
        <f>"1551598791325869"</f>
        <v>1551598791325869</v>
      </c>
      <c r="C7274" t="s">
        <v>40</v>
      </c>
      <c r="D7274">
        <v>4.5935639999999998</v>
      </c>
      <c r="E7274">
        <v>0.45874910000000002</v>
      </c>
      <c r="F7274" t="s">
        <v>42</v>
      </c>
      <c r="G7274">
        <v>-330.71370000000002</v>
      </c>
      <c r="H7274" s="1">
        <v>-4.7513700000000004E-6</v>
      </c>
      <c r="I7274">
        <v>23.66535</v>
      </c>
      <c r="J7274">
        <v>-393.12779999999998</v>
      </c>
      <c r="K7274">
        <v>1.122727</v>
      </c>
      <c r="L7274">
        <v>17.610440000000001</v>
      </c>
      <c r="M7274">
        <v>0.99911559999999999</v>
      </c>
      <c r="N7274">
        <v>-1.335677E-2</v>
      </c>
      <c r="O7274">
        <v>-3.9874279999999998E-2</v>
      </c>
      <c r="P7274">
        <v>0.99716139999999998</v>
      </c>
      <c r="Q7274">
        <v>-7.4758080000000005E-2</v>
      </c>
      <c r="R7274">
        <v>-8.9862999999999991E-3</v>
      </c>
      <c r="S7274">
        <v>3.0074459999999998</v>
      </c>
      <c r="T7274">
        <v>-5.3969379999999997E-2</v>
      </c>
      <c r="U7274">
        <v>0.29083249999999999</v>
      </c>
      <c r="V7274">
        <v>-3.0507570000000001E-2</v>
      </c>
      <c r="W7274">
        <v>-6.1576930000000002E-2</v>
      </c>
      <c r="X7274">
        <v>0.99763599999999997</v>
      </c>
      <c r="Y7274">
        <v>-0.13583290000000001</v>
      </c>
      <c r="Z7274">
        <v>2.308086E-3</v>
      </c>
      <c r="AA7274">
        <v>0.99072910000000003</v>
      </c>
      <c r="AB7274">
        <v>28</v>
      </c>
      <c r="AC7274">
        <v>62.414099999999898</v>
      </c>
      <c r="AD7274">
        <v>-1.1227317513699999</v>
      </c>
      <c r="AE7274">
        <v>6.0549099999999996</v>
      </c>
      <c r="AF7274">
        <v>-8.5362961469181204</v>
      </c>
      <c r="AG7274">
        <v>-1.1227317513699999</v>
      </c>
      <c r="AH7274">
        <v>62.103088655635901</v>
      </c>
      <c r="AI7274">
        <v>91.026064377228806</v>
      </c>
      <c r="AJ7274">
        <v>97.826470052374503</v>
      </c>
      <c r="AK7274">
        <v>62.697069302027202</v>
      </c>
      <c r="AL7274">
        <v>93.530331576771104</v>
      </c>
      <c r="AM7274">
        <v>91.751551122732195</v>
      </c>
      <c r="AN7274">
        <v>1.0000000093157599</v>
      </c>
    </row>
    <row r="7275" spans="1:40" x14ac:dyDescent="0.25">
      <c r="A7275" t="str">
        <f>"20190303153951348"</f>
        <v>20190303153951348</v>
      </c>
      <c r="B7275" t="str">
        <f>"1551598791335629"</f>
        <v>1551598791335629</v>
      </c>
      <c r="C7275" t="s">
        <v>40</v>
      </c>
      <c r="D7275">
        <v>4.6183509999999997</v>
      </c>
      <c r="E7275">
        <v>0.4577232</v>
      </c>
      <c r="F7275" t="s">
        <v>42</v>
      </c>
      <c r="G7275">
        <v>-329.8929</v>
      </c>
      <c r="H7275" s="1">
        <v>-1.1814299999999901E-6</v>
      </c>
      <c r="I7275">
        <v>23.939579999999999</v>
      </c>
      <c r="J7275">
        <v>-392.98669999999998</v>
      </c>
      <c r="K7275">
        <v>1.1227320000000001</v>
      </c>
      <c r="L7275">
        <v>17.60605</v>
      </c>
      <c r="M7275">
        <v>0.99916300000000002</v>
      </c>
      <c r="N7275">
        <v>-1.3414819999999999E-2</v>
      </c>
      <c r="O7275">
        <v>-3.8645079999999998E-2</v>
      </c>
      <c r="P7275">
        <v>0.99718340000000005</v>
      </c>
      <c r="Q7275">
        <v>-7.4574559999999998E-2</v>
      </c>
      <c r="R7275">
        <v>-8.0070950000000005E-3</v>
      </c>
      <c r="S7275">
        <v>3.007263</v>
      </c>
      <c r="T7275">
        <v>-5.3393599999999999E-2</v>
      </c>
      <c r="U7275">
        <v>0.30099490000000001</v>
      </c>
      <c r="V7275">
        <v>-3.026208E-2</v>
      </c>
      <c r="W7275">
        <v>-6.1333850000000002E-2</v>
      </c>
      <c r="X7275">
        <v>0.99765839999999995</v>
      </c>
      <c r="Y7275">
        <v>-0.13793540000000001</v>
      </c>
      <c r="Z7275">
        <v>2.3166240000000002E-3</v>
      </c>
      <c r="AA7275">
        <v>0.9904385</v>
      </c>
      <c r="AB7275">
        <v>28</v>
      </c>
      <c r="AC7275">
        <v>63.093799999999902</v>
      </c>
      <c r="AD7275">
        <v>-1.1227331814299999</v>
      </c>
      <c r="AE7275">
        <v>6.3335299999999997</v>
      </c>
      <c r="AF7275">
        <v>-8.7645346441340202</v>
      </c>
      <c r="AG7275">
        <v>-1.1227331814299999</v>
      </c>
      <c r="AH7275">
        <v>62.782196987514503</v>
      </c>
      <c r="AI7275">
        <v>91.014672875047196</v>
      </c>
      <c r="AJ7275">
        <v>97.9472566866866</v>
      </c>
      <c r="AK7275">
        <v>63.400961001423198</v>
      </c>
      <c r="AL7275">
        <v>93.516377921304894</v>
      </c>
      <c r="AM7275">
        <v>91.737426331748296</v>
      </c>
      <c r="AN7275">
        <v>0.999999958866153</v>
      </c>
    </row>
    <row r="7276" spans="1:40" x14ac:dyDescent="0.25">
      <c r="A7276" t="str">
        <f>"20190303153951361"</f>
        <v>20190303153951361</v>
      </c>
      <c r="B7276" t="str">
        <f>"1551598791356126"</f>
        <v>1551598791356126</v>
      </c>
      <c r="C7276" t="s">
        <v>40</v>
      </c>
      <c r="D7276">
        <v>4.5952070000000003</v>
      </c>
      <c r="E7276">
        <v>0.45655600000000002</v>
      </c>
      <c r="F7276" t="s">
        <v>42</v>
      </c>
      <c r="G7276">
        <v>-334.58010000000002</v>
      </c>
      <c r="H7276" s="1">
        <v>-3.3865129999999998E-6</v>
      </c>
      <c r="I7276">
        <v>23.671790000000001</v>
      </c>
      <c r="J7276">
        <v>-392.84350000000001</v>
      </c>
      <c r="K7276">
        <v>1.122744</v>
      </c>
      <c r="L7276">
        <v>17.601900000000001</v>
      </c>
      <c r="M7276">
        <v>0.99920980000000004</v>
      </c>
      <c r="N7276">
        <v>-1.346663E-2</v>
      </c>
      <c r="O7276">
        <v>-3.7395200000000003E-2</v>
      </c>
      <c r="P7276">
        <v>0.99722639999999996</v>
      </c>
      <c r="Q7276">
        <v>-7.4098349999999993E-2</v>
      </c>
      <c r="R7276">
        <v>-6.997858E-3</v>
      </c>
      <c r="S7276">
        <v>3.006653</v>
      </c>
      <c r="T7276">
        <v>-5.7796119999999999E-2</v>
      </c>
      <c r="U7276">
        <v>0.31225589999999998</v>
      </c>
      <c r="V7276">
        <v>-3.002757E-2</v>
      </c>
      <c r="W7276">
        <v>-6.0804370000000003E-2</v>
      </c>
      <c r="X7276">
        <v>0.99769790000000003</v>
      </c>
      <c r="Y7276">
        <v>-0.14038120000000001</v>
      </c>
      <c r="Z7276">
        <v>2.5084479999999999E-3</v>
      </c>
      <c r="AA7276">
        <v>0.99009440000000004</v>
      </c>
      <c r="AB7276">
        <v>28</v>
      </c>
      <c r="AC7276">
        <v>58.263399999999898</v>
      </c>
      <c r="AD7276">
        <v>-1.122747386513</v>
      </c>
      <c r="AE7276">
        <v>6.0698899999999902</v>
      </c>
      <c r="AF7276">
        <v>-8.2415852086404406</v>
      </c>
      <c r="AG7276">
        <v>-1.122747386513</v>
      </c>
      <c r="AH7276">
        <v>57.974338138250999</v>
      </c>
      <c r="AI7276">
        <v>91.098426621506903</v>
      </c>
      <c r="AJ7276">
        <v>98.090908822604106</v>
      </c>
      <c r="AK7276">
        <v>58.567979058641399</v>
      </c>
      <c r="AL7276">
        <v>93.485984207243007</v>
      </c>
      <c r="AM7276">
        <v>91.723902433962607</v>
      </c>
      <c r="AN7276">
        <v>0.99999996301780503</v>
      </c>
    </row>
    <row r="7277" spans="1:40" x14ac:dyDescent="0.25">
      <c r="A7277" t="str">
        <f>"20190303153951380"</f>
        <v>20190303153951380</v>
      </c>
      <c r="B7277" t="str">
        <f>"1551598791375645"</f>
        <v>1551598791375645</v>
      </c>
      <c r="C7277" t="s">
        <v>40</v>
      </c>
      <c r="D7277">
        <v>4.5977899999999998</v>
      </c>
      <c r="E7277">
        <v>0.45558090000000001</v>
      </c>
      <c r="F7277" t="s">
        <v>42</v>
      </c>
      <c r="G7277">
        <v>-341.9957</v>
      </c>
      <c r="H7277" s="1">
        <v>-4.2142119999999997E-6</v>
      </c>
      <c r="I7277">
        <v>23.096530000000001</v>
      </c>
      <c r="J7277">
        <v>-392.60129999999998</v>
      </c>
      <c r="K7277">
        <v>1.1227739999999999</v>
      </c>
      <c r="L7277">
        <v>17.59515</v>
      </c>
      <c r="M7277">
        <v>0.99928570000000005</v>
      </c>
      <c r="N7277">
        <v>-1.354789E-2</v>
      </c>
      <c r="O7277">
        <v>-3.5277620000000003E-2</v>
      </c>
      <c r="P7277">
        <v>0.99730050000000003</v>
      </c>
      <c r="Q7277">
        <v>-7.3229489999999994E-2</v>
      </c>
      <c r="R7277">
        <v>-5.397476E-3</v>
      </c>
      <c r="S7277">
        <v>3.0056759999999998</v>
      </c>
      <c r="T7277">
        <v>-6.6367029999999994E-2</v>
      </c>
      <c r="U7277">
        <v>0.32479859999999999</v>
      </c>
      <c r="V7277">
        <v>-2.9521180000000001E-2</v>
      </c>
      <c r="W7277">
        <v>-5.985124E-2</v>
      </c>
      <c r="X7277">
        <v>0.99777070000000001</v>
      </c>
      <c r="Y7277">
        <v>-0.14238909999999999</v>
      </c>
      <c r="Z7277">
        <v>2.8352799999999999E-3</v>
      </c>
      <c r="AA7277">
        <v>0.98980670000000004</v>
      </c>
      <c r="AB7277">
        <v>28</v>
      </c>
      <c r="AC7277">
        <v>50.605599999999903</v>
      </c>
      <c r="AD7277">
        <v>-1.122778214212</v>
      </c>
      <c r="AE7277">
        <v>5.5013799999999904</v>
      </c>
      <c r="AF7277">
        <v>-7.2798223804112201</v>
      </c>
      <c r="AG7277">
        <v>-1.122778214212</v>
      </c>
      <c r="AH7277">
        <v>50.355503137779301</v>
      </c>
      <c r="AI7277">
        <v>91.264176087150005</v>
      </c>
      <c r="AJ7277">
        <v>98.226174866133803</v>
      </c>
      <c r="AK7277">
        <v>50.891385725558202</v>
      </c>
      <c r="AL7277">
        <v>93.431274032001099</v>
      </c>
      <c r="AM7277">
        <v>91.694723765799594</v>
      </c>
      <c r="AN7277">
        <v>1.0000000203882999</v>
      </c>
    </row>
    <row r="7278" spans="1:40" x14ac:dyDescent="0.25">
      <c r="A7278" t="str">
        <f>"20190303153951402"</f>
        <v>20190303153951402</v>
      </c>
      <c r="B7278" t="str">
        <f>"1551598791396140"</f>
        <v>1551598791396140</v>
      </c>
      <c r="C7278" t="s">
        <v>40</v>
      </c>
      <c r="D7278">
        <v>4.6062609999999999</v>
      </c>
      <c r="E7278">
        <v>0.4548565</v>
      </c>
      <c r="F7278" t="s">
        <v>42</v>
      </c>
      <c r="G7278">
        <v>-342.54169999999999</v>
      </c>
      <c r="H7278" s="1">
        <v>-4.050109E-6</v>
      </c>
      <c r="I7278">
        <v>23.218830000000001</v>
      </c>
      <c r="J7278">
        <v>-392.30869999999999</v>
      </c>
      <c r="K7278">
        <v>1.122792</v>
      </c>
      <c r="L7278">
        <v>17.58774</v>
      </c>
      <c r="M7278">
        <v>0.99937180000000003</v>
      </c>
      <c r="N7278">
        <v>-1.363287E-2</v>
      </c>
      <c r="O7278">
        <v>-3.2714519999999997E-2</v>
      </c>
      <c r="P7278">
        <v>0.9973339</v>
      </c>
      <c r="Q7278">
        <v>-7.2886010000000001E-2</v>
      </c>
      <c r="R7278">
        <v>-3.6149009999999998E-3</v>
      </c>
      <c r="S7278">
        <v>3.0050050000000001</v>
      </c>
      <c r="T7278">
        <v>-6.7398669999999994E-2</v>
      </c>
      <c r="U7278">
        <v>0.33758539999999998</v>
      </c>
      <c r="V7278">
        <v>-2.8749730000000001E-2</v>
      </c>
      <c r="W7278">
        <v>-5.9418699999999998E-2</v>
      </c>
      <c r="X7278">
        <v>0.99781909999999896</v>
      </c>
      <c r="Y7278">
        <v>-0.1440331</v>
      </c>
      <c r="Z7278">
        <v>2.8822380000000001E-3</v>
      </c>
      <c r="AA7278">
        <v>0.98956869999999997</v>
      </c>
      <c r="AB7278">
        <v>28</v>
      </c>
      <c r="AC7278">
        <v>49.767000000000003</v>
      </c>
      <c r="AD7278">
        <v>-1.122796050109</v>
      </c>
      <c r="AE7278">
        <v>5.6310900000000004</v>
      </c>
      <c r="AF7278">
        <v>-7.25268512522387</v>
      </c>
      <c r="AG7278">
        <v>-1.122796050109</v>
      </c>
      <c r="AH7278">
        <v>49.531228326826501</v>
      </c>
      <c r="AI7278">
        <v>91.284887235221404</v>
      </c>
      <c r="AJ7278">
        <v>98.330421170599493</v>
      </c>
      <c r="AK7278">
        <v>50.071995087673599</v>
      </c>
      <c r="AL7278">
        <v>93.406447054430004</v>
      </c>
      <c r="AM7278">
        <v>91.650381909991395</v>
      </c>
      <c r="AN7278">
        <v>1.0000000426047799</v>
      </c>
    </row>
    <row r="7279" spans="1:40" x14ac:dyDescent="0.25">
      <c r="A7279" t="str">
        <f>"20190303153951415"</f>
        <v>20190303153951415</v>
      </c>
      <c r="B7279" t="str">
        <f>"1551598791405901"</f>
        <v>1551598791405901</v>
      </c>
      <c r="C7279" t="s">
        <v>40</v>
      </c>
      <c r="D7279">
        <v>4.5929769999999897</v>
      </c>
      <c r="E7279">
        <v>0.454739</v>
      </c>
      <c r="F7279" t="s">
        <v>42</v>
      </c>
      <c r="G7279">
        <v>-343.9008</v>
      </c>
      <c r="H7279" s="1">
        <v>-3.5552759999999998E-6</v>
      </c>
      <c r="I7279">
        <v>23.210819999999998</v>
      </c>
      <c r="J7279">
        <v>-392.15300000000002</v>
      </c>
      <c r="K7279">
        <v>1.1227990000000001</v>
      </c>
      <c r="L7279">
        <v>17.58408</v>
      </c>
      <c r="M7279">
        <v>0.99941480000000005</v>
      </c>
      <c r="N7279">
        <v>-1.36726E-2</v>
      </c>
      <c r="O7279">
        <v>-3.1357980000000001E-2</v>
      </c>
      <c r="P7279">
        <v>0.99732929999999997</v>
      </c>
      <c r="Q7279">
        <v>-7.2981779999999996E-2</v>
      </c>
      <c r="R7279">
        <v>-2.908716E-3</v>
      </c>
      <c r="S7279">
        <v>3.0041500000000001</v>
      </c>
      <c r="T7279">
        <v>-6.9679740000000004E-2</v>
      </c>
      <c r="U7279">
        <v>0.34896850000000001</v>
      </c>
      <c r="V7279">
        <v>-2.8103030000000001E-2</v>
      </c>
      <c r="W7279">
        <v>-5.947123E-2</v>
      </c>
      <c r="X7279">
        <v>0.99783429999999995</v>
      </c>
      <c r="Y7279">
        <v>-0.14641750000000001</v>
      </c>
      <c r="Z7279">
        <v>2.9945670000000001E-3</v>
      </c>
      <c r="AA7279">
        <v>0.98921840000000005</v>
      </c>
      <c r="AB7279">
        <v>28</v>
      </c>
      <c r="AC7279">
        <v>48.252200000000002</v>
      </c>
      <c r="AD7279">
        <v>-1.1228025552759999</v>
      </c>
      <c r="AE7279">
        <v>5.6267399999999999</v>
      </c>
      <c r="AF7279">
        <v>-7.1333944826957998</v>
      </c>
      <c r="AG7279">
        <v>-1.1228025552759999</v>
      </c>
      <c r="AH7279">
        <v>48.0263504632142</v>
      </c>
      <c r="AI7279">
        <v>91.324739678510298</v>
      </c>
      <c r="AJ7279">
        <v>98.448423908237601</v>
      </c>
      <c r="AK7279">
        <v>48.566205752965303</v>
      </c>
      <c r="AL7279">
        <v>93.409462453459298</v>
      </c>
      <c r="AM7279">
        <v>91.6132532961838</v>
      </c>
      <c r="AN7279">
        <v>0.99999994887469001</v>
      </c>
    </row>
    <row r="7280" spans="1:40" x14ac:dyDescent="0.25">
      <c r="A7280" t="str">
        <f>"20190303153951427"</f>
        <v>20190303153951427</v>
      </c>
      <c r="B7280" t="str">
        <f>"1551598791415661"</f>
        <v>1551598791415661</v>
      </c>
      <c r="C7280" t="s">
        <v>40</v>
      </c>
      <c r="D7280">
        <v>4.5252290000000004</v>
      </c>
      <c r="E7280">
        <v>0.4547332</v>
      </c>
      <c r="F7280" t="s">
        <v>42</v>
      </c>
      <c r="G7280">
        <v>-345.2389</v>
      </c>
      <c r="H7280" s="1">
        <v>-2.9473039999999998E-6</v>
      </c>
      <c r="I7280">
        <v>23.083290000000002</v>
      </c>
      <c r="J7280">
        <v>-392.00259999999997</v>
      </c>
      <c r="K7280">
        <v>1.122798</v>
      </c>
      <c r="L7280">
        <v>17.580719999999999</v>
      </c>
      <c r="M7280">
        <v>0.99945430000000002</v>
      </c>
      <c r="N7280">
        <v>-1.3708369999999999E-2</v>
      </c>
      <c r="O7280">
        <v>-3.0052740000000001E-2</v>
      </c>
      <c r="P7280">
        <v>0.99734</v>
      </c>
      <c r="Q7280">
        <v>-7.2856309999999994E-2</v>
      </c>
      <c r="R7280">
        <v>-2.215739E-3</v>
      </c>
      <c r="S7280">
        <v>3.0038450000000001</v>
      </c>
      <c r="T7280">
        <v>-7.1891430000000006E-2</v>
      </c>
      <c r="U7280">
        <v>0.35211179999999997</v>
      </c>
      <c r="V7280">
        <v>-2.749617E-2</v>
      </c>
      <c r="W7280">
        <v>-5.9306249999999998E-2</v>
      </c>
      <c r="X7280">
        <v>0.99786109999999995</v>
      </c>
      <c r="Y7280">
        <v>-0.14615500000000001</v>
      </c>
      <c r="Z7280">
        <v>3.054728E-3</v>
      </c>
      <c r="AA7280">
        <v>0.98925700000000005</v>
      </c>
      <c r="AB7280">
        <v>28</v>
      </c>
      <c r="AC7280">
        <v>46.763699999999901</v>
      </c>
      <c r="AD7280">
        <v>-1.1228009473039999</v>
      </c>
      <c r="AE7280">
        <v>5.5025699999999897</v>
      </c>
      <c r="AF7280">
        <v>-6.9016691256492404</v>
      </c>
      <c r="AG7280">
        <v>-1.1228009473039999</v>
      </c>
      <c r="AH7280">
        <v>46.550721396424997</v>
      </c>
      <c r="AI7280">
        <v>91.366768943659295</v>
      </c>
      <c r="AJ7280">
        <v>98.433311186805497</v>
      </c>
      <c r="AK7280">
        <v>47.072958067395597</v>
      </c>
      <c r="AL7280">
        <v>93.399992829613595</v>
      </c>
      <c r="AM7280">
        <v>91.578391968924095</v>
      </c>
      <c r="AN7280">
        <v>1.00000002277347</v>
      </c>
    </row>
    <row r="7281" spans="1:40" x14ac:dyDescent="0.25">
      <c r="A7281" t="str">
        <f>"20190303153951440"</f>
        <v>20190303153951440</v>
      </c>
      <c r="B7281" t="str">
        <f>"1551598791436157"</f>
        <v>1551598791436157</v>
      </c>
      <c r="C7281" t="s">
        <v>40</v>
      </c>
      <c r="D7281">
        <v>4.579091</v>
      </c>
      <c r="E7281">
        <v>0.45412340000000001</v>
      </c>
      <c r="F7281" t="s">
        <v>42</v>
      </c>
      <c r="G7281">
        <v>-344.56950000000001</v>
      </c>
      <c r="H7281" s="1">
        <v>-3.2587299999999998E-6</v>
      </c>
      <c r="I7281">
        <v>23.174469999999999</v>
      </c>
      <c r="J7281">
        <v>-391.8596</v>
      </c>
      <c r="K7281">
        <v>1.122784</v>
      </c>
      <c r="L7281">
        <v>17.577760000000001</v>
      </c>
      <c r="M7281">
        <v>0.99948970000000004</v>
      </c>
      <c r="N7281">
        <v>-1.373803E-2</v>
      </c>
      <c r="O7281">
        <v>-2.883902E-2</v>
      </c>
      <c r="P7281">
        <v>0.99734869999999998</v>
      </c>
      <c r="Q7281">
        <v>-7.2755589999999995E-2</v>
      </c>
      <c r="R7281">
        <v>-1.6260300000000001E-3</v>
      </c>
      <c r="S7281">
        <v>3.0036010000000002</v>
      </c>
      <c r="T7281">
        <v>-7.1099040000000002E-2</v>
      </c>
      <c r="U7281">
        <v>0.35421750000000002</v>
      </c>
      <c r="V7281">
        <v>-2.687877E-2</v>
      </c>
      <c r="W7281">
        <v>-5.9171340000000003E-2</v>
      </c>
      <c r="X7281">
        <v>0.99788589999999999</v>
      </c>
      <c r="Y7281">
        <v>-0.14564859999999999</v>
      </c>
      <c r="Z7281">
        <v>3.0075670000000001E-3</v>
      </c>
      <c r="AA7281">
        <v>0.98933179999999998</v>
      </c>
      <c r="AB7281">
        <v>28</v>
      </c>
      <c r="AC7281">
        <v>47.290100000000002</v>
      </c>
      <c r="AD7281">
        <v>-1.1227872587299901</v>
      </c>
      <c r="AE7281">
        <v>5.5967099999999901</v>
      </c>
      <c r="AF7281">
        <v>-6.9544443858200102</v>
      </c>
      <c r="AG7281">
        <v>-1.1227872587299901</v>
      </c>
      <c r="AH7281">
        <v>47.082833629419298</v>
      </c>
      <c r="AI7281">
        <v>91.351420043687398</v>
      </c>
      <c r="AJ7281">
        <v>98.402210866409405</v>
      </c>
      <c r="AK7281">
        <v>47.606913053877001</v>
      </c>
      <c r="AL7281">
        <v>93.392249560095806</v>
      </c>
      <c r="AM7281">
        <v>91.542929699402606</v>
      </c>
      <c r="AN7281">
        <v>0.999999992586459</v>
      </c>
    </row>
    <row r="7282" spans="1:40" x14ac:dyDescent="0.25">
      <c r="A7282" t="str">
        <f>"20190303153951458"</f>
        <v>20190303153951458</v>
      </c>
      <c r="B7282" t="str">
        <f>"1551598791445917"</f>
        <v>1551598791445917</v>
      </c>
      <c r="C7282" t="s">
        <v>40</v>
      </c>
      <c r="D7282">
        <v>4.5108480000000002</v>
      </c>
      <c r="E7282">
        <v>0.45405499999999999</v>
      </c>
      <c r="F7282" t="s">
        <v>42</v>
      </c>
      <c r="G7282">
        <v>-346.7226</v>
      </c>
      <c r="H7282" s="1">
        <v>-2.289421E-6</v>
      </c>
      <c r="I7282">
        <v>23.00291</v>
      </c>
      <c r="J7282">
        <v>-391.6336</v>
      </c>
      <c r="K7282">
        <v>1.122746</v>
      </c>
      <c r="L7282">
        <v>17.573329999999999</v>
      </c>
      <c r="M7282">
        <v>0.99954160000000003</v>
      </c>
      <c r="N7282">
        <v>-1.3780890000000001E-2</v>
      </c>
      <c r="O7282">
        <v>-2.696171E-2</v>
      </c>
      <c r="P7282">
        <v>0.99740569999999895</v>
      </c>
      <c r="Q7282">
        <v>-7.1984039999999999E-2</v>
      </c>
      <c r="R7282">
        <v>-7.7751830000000004E-4</v>
      </c>
      <c r="S7282">
        <v>3.0031430000000001</v>
      </c>
      <c r="T7282">
        <v>-7.4703339999999993E-2</v>
      </c>
      <c r="U7282">
        <v>0.3609619</v>
      </c>
      <c r="V7282">
        <v>-2.586697E-2</v>
      </c>
      <c r="W7282">
        <v>-5.834831E-2</v>
      </c>
      <c r="X7282">
        <v>0.99796110000000005</v>
      </c>
      <c r="Y7282">
        <v>-0.14599279999999901</v>
      </c>
      <c r="Z7282">
        <v>3.1171279999999998E-3</v>
      </c>
      <c r="AA7282">
        <v>0.98928079999999996</v>
      </c>
      <c r="AB7282">
        <v>28</v>
      </c>
      <c r="AC7282">
        <v>44.911000000000001</v>
      </c>
      <c r="AD7282">
        <v>-1.1227482894209999</v>
      </c>
      <c r="AE7282">
        <v>5.4295799999999996</v>
      </c>
      <c r="AF7282">
        <v>-6.6345113512187197</v>
      </c>
      <c r="AG7282">
        <v>-1.1227482894209999</v>
      </c>
      <c r="AH7282">
        <v>44.720719126045701</v>
      </c>
      <c r="AI7282">
        <v>91.422589631938493</v>
      </c>
      <c r="AJ7282">
        <v>98.438527097913493</v>
      </c>
      <c r="AK7282">
        <v>45.224108877251702</v>
      </c>
      <c r="AL7282">
        <v>93.345011797573406</v>
      </c>
      <c r="AM7282">
        <v>91.484763725544099</v>
      </c>
      <c r="AN7282">
        <v>0.99999999126502304</v>
      </c>
    </row>
    <row r="7283" spans="1:40" x14ac:dyDescent="0.25">
      <c r="A7283" t="str">
        <f>"20190303153951471"</f>
        <v>20190303153951471</v>
      </c>
      <c r="B7283" t="str">
        <f>"1551598791465437"</f>
        <v>1551598791465437</v>
      </c>
      <c r="C7283" t="s">
        <v>40</v>
      </c>
      <c r="D7283">
        <v>4.5901759999999996</v>
      </c>
      <c r="E7283">
        <v>0.45359319999999997</v>
      </c>
      <c r="F7283" t="s">
        <v>42</v>
      </c>
      <c r="G7283">
        <v>-344.20229999999998</v>
      </c>
      <c r="H7283" s="1">
        <v>-3.4566099999999999E-6</v>
      </c>
      <c r="I7283">
        <v>23.326170000000001</v>
      </c>
      <c r="J7283">
        <v>-391.47050000000002</v>
      </c>
      <c r="K7283">
        <v>1.1227049999999901</v>
      </c>
      <c r="L7283">
        <v>17.570309999999999</v>
      </c>
      <c r="M7283">
        <v>0.99957589999999996</v>
      </c>
      <c r="N7283">
        <v>-1.380875E-2</v>
      </c>
      <c r="O7283">
        <v>-2.5644819999999999E-2</v>
      </c>
      <c r="P7283">
        <v>0.99742629999999999</v>
      </c>
      <c r="Q7283">
        <v>-7.1702059999999998E-2</v>
      </c>
      <c r="R7283">
        <v>4.0806559999999998E-4</v>
      </c>
      <c r="S7283">
        <v>3.0029599999999999</v>
      </c>
      <c r="T7283">
        <v>-7.1083309999999997E-2</v>
      </c>
      <c r="U7283">
        <v>0.36422729999999998</v>
      </c>
      <c r="V7283">
        <v>-2.574705E-2</v>
      </c>
      <c r="W7283">
        <v>-5.8034719999999998E-2</v>
      </c>
      <c r="X7283">
        <v>0.99798249999999999</v>
      </c>
      <c r="Y7283">
        <v>-0.1457628</v>
      </c>
      <c r="Z7283">
        <v>2.9811960000000002E-3</v>
      </c>
      <c r="AA7283">
        <v>0.9893151</v>
      </c>
      <c r="AB7283">
        <v>28</v>
      </c>
      <c r="AC7283">
        <v>47.2682</v>
      </c>
      <c r="AD7283">
        <v>-1.1227084566099901</v>
      </c>
      <c r="AE7283">
        <v>5.7558600000000002</v>
      </c>
      <c r="AF7283">
        <v>-6.9623960568579504</v>
      </c>
      <c r="AG7283">
        <v>-1.1227084566099901</v>
      </c>
      <c r="AH7283">
        <v>47.078857767989</v>
      </c>
      <c r="AI7283">
        <v>91.351403869242603</v>
      </c>
      <c r="AJ7283">
        <v>98.412380742293394</v>
      </c>
      <c r="AK7283">
        <v>47.604141436114901</v>
      </c>
      <c r="AL7283">
        <v>93.327013870209399</v>
      </c>
      <c r="AM7283">
        <v>91.477851702433398</v>
      </c>
      <c r="AN7283">
        <v>1.00000000480771</v>
      </c>
    </row>
    <row r="7284" spans="1:40" x14ac:dyDescent="0.25">
      <c r="A7284" t="str">
        <f>"20190303153951483"</f>
        <v>20190303153951483</v>
      </c>
      <c r="B7284" t="str">
        <f>"1551598791476173"</f>
        <v>1551598791476173</v>
      </c>
      <c r="C7284" t="s">
        <v>40</v>
      </c>
      <c r="D7284">
        <v>4.5117209999999996</v>
      </c>
      <c r="E7284">
        <v>0.45357439999999999</v>
      </c>
      <c r="F7284" t="s">
        <v>42</v>
      </c>
      <c r="G7284">
        <v>-346.66730000000001</v>
      </c>
      <c r="H7284" s="1">
        <v>-2.3433259999999999E-6</v>
      </c>
      <c r="I7284">
        <v>23.116430000000001</v>
      </c>
      <c r="J7284">
        <v>-391.32010000000002</v>
      </c>
      <c r="K7284">
        <v>1.122652</v>
      </c>
      <c r="L7284">
        <v>17.56775</v>
      </c>
      <c r="M7284">
        <v>0.99960459999999995</v>
      </c>
      <c r="N7284">
        <v>-1.383085E-2</v>
      </c>
      <c r="O7284">
        <v>-2.4483319999999999E-2</v>
      </c>
      <c r="P7284">
        <v>0.99742620000000004</v>
      </c>
      <c r="Q7284">
        <v>-7.1691879999999999E-2</v>
      </c>
      <c r="R7284">
        <v>1.3496269999999999E-3</v>
      </c>
      <c r="S7284">
        <v>3.0021969999999998</v>
      </c>
      <c r="T7284">
        <v>-7.5231080000000006E-2</v>
      </c>
      <c r="U7284">
        <v>0.3716431</v>
      </c>
      <c r="V7284">
        <v>-2.553772E-2</v>
      </c>
      <c r="W7284">
        <v>-5.7998099999999997E-2</v>
      </c>
      <c r="X7284">
        <v>0.99799000000000004</v>
      </c>
      <c r="Y7284">
        <v>-0.1470436</v>
      </c>
      <c r="Z7284">
        <v>3.1301469999999998E-3</v>
      </c>
      <c r="AA7284">
        <v>0.98912509999999998</v>
      </c>
      <c r="AB7284">
        <v>28</v>
      </c>
      <c r="AC7284">
        <v>44.652799999999999</v>
      </c>
      <c r="AD7284">
        <v>-1.1226543433259999</v>
      </c>
      <c r="AE7284">
        <v>5.5486799999999903</v>
      </c>
      <c r="AF7284">
        <v>-6.6362386643831304</v>
      </c>
      <c r="AG7284">
        <v>-1.1226543433259999</v>
      </c>
      <c r="AH7284">
        <v>44.475862894186101</v>
      </c>
      <c r="AI7284">
        <v>91.430120591029194</v>
      </c>
      <c r="AJ7284">
        <v>98.486486747187996</v>
      </c>
      <c r="AK7284">
        <v>44.982245348222499</v>
      </c>
      <c r="AL7284">
        <v>93.324912183293307</v>
      </c>
      <c r="AM7284">
        <v>91.465830648492798</v>
      </c>
      <c r="AN7284">
        <v>0.999999997423204</v>
      </c>
    </row>
    <row r="7285" spans="1:40" x14ac:dyDescent="0.25">
      <c r="A7285" t="str">
        <f>"20190303153951494"</f>
        <v>20190303153951494</v>
      </c>
      <c r="B7285" t="str">
        <f>"1551598791485933"</f>
        <v>1551598791485933</v>
      </c>
      <c r="C7285" t="s">
        <v>40</v>
      </c>
      <c r="D7285">
        <v>4.4913100000000004</v>
      </c>
      <c r="E7285">
        <v>0.4535631</v>
      </c>
      <c r="F7285" t="s">
        <v>42</v>
      </c>
      <c r="G7285">
        <v>-345.67419999999998</v>
      </c>
      <c r="H7285" s="1">
        <v>-2.8093240000000002E-6</v>
      </c>
      <c r="I7285">
        <v>23.26652</v>
      </c>
      <c r="J7285">
        <v>-391.16950000000003</v>
      </c>
      <c r="K7285">
        <v>1.122598</v>
      </c>
      <c r="L7285">
        <v>17.565279999999898</v>
      </c>
      <c r="M7285">
        <v>0.9996313</v>
      </c>
      <c r="N7285">
        <v>-1.385158E-2</v>
      </c>
      <c r="O7285">
        <v>-2.3351899999999998E-2</v>
      </c>
      <c r="P7285">
        <v>0.99741109999999999</v>
      </c>
      <c r="Q7285">
        <v>-7.1865750000000006E-2</v>
      </c>
      <c r="R7285">
        <v>2.4512290000000001E-3</v>
      </c>
      <c r="S7285">
        <v>3.0019230000000001</v>
      </c>
      <c r="T7285">
        <v>-7.3831800000000003E-2</v>
      </c>
      <c r="U7285">
        <v>0.37478640000000002</v>
      </c>
      <c r="V7285">
        <v>-2.551703E-2</v>
      </c>
      <c r="W7285">
        <v>-5.8147770000000001E-2</v>
      </c>
      <c r="X7285">
        <v>0.99798180000000003</v>
      </c>
      <c r="Y7285">
        <v>-0.14695730000000001</v>
      </c>
      <c r="Z7285">
        <v>3.0720470000000001E-3</v>
      </c>
      <c r="AA7285">
        <v>0.98913810000000002</v>
      </c>
      <c r="AB7285">
        <v>28</v>
      </c>
      <c r="AC7285">
        <v>45.4953</v>
      </c>
      <c r="AD7285">
        <v>-1.1226008093240001</v>
      </c>
      <c r="AE7285">
        <v>5.7012400000000003</v>
      </c>
      <c r="AF7285">
        <v>-6.7581375476575101</v>
      </c>
      <c r="AG7285">
        <v>-1.1226008093240001</v>
      </c>
      <c r="AH7285">
        <v>45.322575344710401</v>
      </c>
      <c r="AI7285">
        <v>91.403367140256407</v>
      </c>
      <c r="AJ7285">
        <v>98.480997213293406</v>
      </c>
      <c r="AK7285">
        <v>45.837413665771997</v>
      </c>
      <c r="AL7285">
        <v>93.333502205853094</v>
      </c>
      <c r="AM7285">
        <v>91.464655617048393</v>
      </c>
      <c r="AN7285">
        <v>0.99999997755361603</v>
      </c>
    </row>
    <row r="7286" spans="1:40" x14ac:dyDescent="0.25">
      <c r="A7286" t="str">
        <f>"20190303153951506"</f>
        <v>20190303153951506</v>
      </c>
      <c r="B7286" t="str">
        <f>"1551598791495542"</f>
        <v>1551598791495542</v>
      </c>
      <c r="C7286" t="s">
        <v>40</v>
      </c>
      <c r="D7286">
        <v>4.5075969999999996</v>
      </c>
      <c r="E7286">
        <v>0.4535476</v>
      </c>
      <c r="F7286" t="s">
        <v>42</v>
      </c>
      <c r="G7286">
        <v>-345.5607</v>
      </c>
      <c r="H7286" s="1">
        <v>-2.8712679999999999E-6</v>
      </c>
      <c r="I7286">
        <v>23.316330000000001</v>
      </c>
      <c r="J7286">
        <v>-391.0213</v>
      </c>
      <c r="K7286">
        <v>1.1225400000000001</v>
      </c>
      <c r="L7286">
        <v>17.56296</v>
      </c>
      <c r="M7286">
        <v>0.99965579999999998</v>
      </c>
      <c r="N7286">
        <v>-1.387037E-2</v>
      </c>
      <c r="O7286">
        <v>-2.227523E-2</v>
      </c>
      <c r="P7286">
        <v>0.99739829999999996</v>
      </c>
      <c r="Q7286">
        <v>-7.2002109999999994E-2</v>
      </c>
      <c r="R7286">
        <v>3.5524480000000002E-3</v>
      </c>
      <c r="S7286">
        <v>3.0014949999999998</v>
      </c>
      <c r="T7286">
        <v>-7.3877810000000002E-2</v>
      </c>
      <c r="U7286">
        <v>0.37847900000000001</v>
      </c>
      <c r="V7286">
        <v>-2.5552080000000001E-2</v>
      </c>
      <c r="W7286">
        <v>-5.826187E-2</v>
      </c>
      <c r="X7286">
        <v>0.99797429999999998</v>
      </c>
      <c r="Y7286">
        <v>-0.14710719999999999</v>
      </c>
      <c r="Z7286">
        <v>3.0660779999999999E-3</v>
      </c>
      <c r="AA7286">
        <v>0.98911579999999999</v>
      </c>
      <c r="AB7286">
        <v>28</v>
      </c>
      <c r="AC7286">
        <v>45.460599999999999</v>
      </c>
      <c r="AD7286">
        <v>-1.1225428712679999</v>
      </c>
      <c r="AE7286">
        <v>5.7533699999999897</v>
      </c>
      <c r="AF7286">
        <v>-6.7606276195755397</v>
      </c>
      <c r="AG7286">
        <v>-1.1225428712679999</v>
      </c>
      <c r="AH7286">
        <v>45.293966427296198</v>
      </c>
      <c r="AI7286">
        <v>91.404150191846796</v>
      </c>
      <c r="AJ7286">
        <v>98.489357327351499</v>
      </c>
      <c r="AK7286">
        <v>45.809492280808399</v>
      </c>
      <c r="AL7286">
        <v>93.340050584842302</v>
      </c>
      <c r="AM7286">
        <v>91.4666775963302</v>
      </c>
      <c r="AN7286">
        <v>1.00000002887435</v>
      </c>
    </row>
    <row r="7287" spans="1:40" x14ac:dyDescent="0.25">
      <c r="A7287" t="str">
        <f>"20190303153951524"</f>
        <v>20190303153951524</v>
      </c>
      <c r="B7287" t="str">
        <f>"1551598791516037"</f>
        <v>1551598791516037</v>
      </c>
      <c r="C7287" t="s">
        <v>40</v>
      </c>
      <c r="D7287">
        <v>4.5252850000000002</v>
      </c>
      <c r="E7287">
        <v>0.45332070000000002</v>
      </c>
      <c r="F7287" t="s">
        <v>42</v>
      </c>
      <c r="G7287">
        <v>-345.31560000000002</v>
      </c>
      <c r="H7287" s="1">
        <v>-2.9943319999999999E-6</v>
      </c>
      <c r="I7287">
        <v>23.38364</v>
      </c>
      <c r="J7287">
        <v>-390.7962</v>
      </c>
      <c r="K7287">
        <v>1.1224510000000001</v>
      </c>
      <c r="L7287">
        <v>17.55969</v>
      </c>
      <c r="M7287">
        <v>0.99968820000000003</v>
      </c>
      <c r="N7287">
        <v>-1.389517E-2</v>
      </c>
      <c r="O7287">
        <v>-2.0746339999999999E-2</v>
      </c>
      <c r="P7287">
        <v>0.99735309999999999</v>
      </c>
      <c r="Q7287">
        <v>-7.2535569999999994E-2</v>
      </c>
      <c r="R7287">
        <v>5.0474830000000002E-3</v>
      </c>
      <c r="S7287">
        <v>3.0011290000000002</v>
      </c>
      <c r="T7287">
        <v>-7.3708419999999997E-2</v>
      </c>
      <c r="U7287">
        <v>0.38220209999999999</v>
      </c>
      <c r="V7287">
        <v>-2.5533239999999999E-2</v>
      </c>
      <c r="W7287">
        <v>-5.8764900000000002E-2</v>
      </c>
      <c r="X7287">
        <v>0.99794519999999998</v>
      </c>
      <c r="Y7287">
        <v>-0.14681759999999999</v>
      </c>
      <c r="Z7287">
        <v>3.0403549999999998E-3</v>
      </c>
      <c r="AA7287">
        <v>0.98915889999999995</v>
      </c>
      <c r="AB7287">
        <v>28</v>
      </c>
      <c r="AC7287">
        <v>45.480599999999903</v>
      </c>
      <c r="AD7287">
        <v>-1.122453994332</v>
      </c>
      <c r="AE7287">
        <v>5.82395</v>
      </c>
      <c r="AF7287">
        <v>-6.7622909545767103</v>
      </c>
      <c r="AG7287">
        <v>-1.122453994332</v>
      </c>
      <c r="AH7287">
        <v>45.322811566796098</v>
      </c>
      <c r="AI7287">
        <v>91.403157773530197</v>
      </c>
      <c r="AJ7287">
        <v>98.486089997020201</v>
      </c>
      <c r="AK7287">
        <v>45.838256186760098</v>
      </c>
      <c r="AL7287">
        <v>93.368921843445705</v>
      </c>
      <c r="AM7287">
        <v>91.465639378894494</v>
      </c>
      <c r="AN7287">
        <v>0.99999994100997103</v>
      </c>
    </row>
    <row r="7288" spans="1:40" x14ac:dyDescent="0.25">
      <c r="A7288" t="str">
        <f>"20190303153951537"</f>
        <v>20190303153951537</v>
      </c>
      <c r="B7288" t="str">
        <f>"1551598791525798"</f>
        <v>1551598791525798</v>
      </c>
      <c r="C7288" t="s">
        <v>40</v>
      </c>
      <c r="D7288">
        <v>4.544276</v>
      </c>
      <c r="E7288">
        <v>0.45331290000000002</v>
      </c>
      <c r="F7288" t="s">
        <v>42</v>
      </c>
      <c r="G7288">
        <v>-348.08229999999998</v>
      </c>
      <c r="H7288" s="1">
        <v>-1.7306389999999901E-6</v>
      </c>
      <c r="I7288">
        <v>23.095120000000001</v>
      </c>
      <c r="J7288">
        <v>-390.64400000000001</v>
      </c>
      <c r="K7288">
        <v>1.122387</v>
      </c>
      <c r="L7288">
        <v>17.55762</v>
      </c>
      <c r="M7288">
        <v>0.99970760000000003</v>
      </c>
      <c r="N7288">
        <v>-1.390975E-2</v>
      </c>
      <c r="O7288">
        <v>-1.978591E-2</v>
      </c>
      <c r="P7288">
        <v>0.99735189999999996</v>
      </c>
      <c r="Q7288">
        <v>-7.2499480000000005E-2</v>
      </c>
      <c r="R7288">
        <v>5.7662649999999996E-3</v>
      </c>
      <c r="S7288">
        <v>3.000305</v>
      </c>
      <c r="T7288">
        <v>-7.8843239999999995E-2</v>
      </c>
      <c r="U7288">
        <v>0.38882450000000002</v>
      </c>
      <c r="V7288">
        <v>-2.530348E-2</v>
      </c>
      <c r="W7288">
        <v>-5.8708999999999997E-2</v>
      </c>
      <c r="X7288">
        <v>0.99795440000000002</v>
      </c>
      <c r="Y7288">
        <v>-0.14804</v>
      </c>
      <c r="Z7288">
        <v>3.2147450000000002E-3</v>
      </c>
      <c r="AA7288">
        <v>0.98897610000000002</v>
      </c>
      <c r="AB7288">
        <v>28</v>
      </c>
      <c r="AC7288">
        <v>42.561700000000002</v>
      </c>
      <c r="AD7288">
        <v>-1.1223887306389999</v>
      </c>
      <c r="AE7288">
        <v>5.5374999999999996</v>
      </c>
      <c r="AF7288">
        <v>-6.3742600915133796</v>
      </c>
      <c r="AG7288">
        <v>-1.1223887306389999</v>
      </c>
      <c r="AH7288">
        <v>42.414786225874799</v>
      </c>
      <c r="AI7288">
        <v>91.498993609600106</v>
      </c>
      <c r="AJ7288">
        <v>98.546674073671497</v>
      </c>
      <c r="AK7288">
        <v>42.905769294625003</v>
      </c>
      <c r="AL7288">
        <v>93.365713275751105</v>
      </c>
      <c r="AM7288">
        <v>91.452443163187297</v>
      </c>
      <c r="AN7288">
        <v>0.99999999863023503</v>
      </c>
    </row>
    <row r="7289" spans="1:40" x14ac:dyDescent="0.25">
      <c r="A7289" t="str">
        <f>"20190303153951549"</f>
        <v>20190303153951549</v>
      </c>
      <c r="B7289" t="str">
        <f>"1551598791546295"</f>
        <v>1551598791546295</v>
      </c>
      <c r="C7289" t="s">
        <v>40</v>
      </c>
      <c r="D7289">
        <v>4.5152609999999997</v>
      </c>
      <c r="E7289">
        <v>0.45328469999999998</v>
      </c>
      <c r="F7289" t="s">
        <v>42</v>
      </c>
      <c r="G7289">
        <v>-348.86770000000001</v>
      </c>
      <c r="H7289" s="1">
        <v>-1.3698749999999999E-6</v>
      </c>
      <c r="I7289">
        <v>23.005500000000001</v>
      </c>
      <c r="J7289">
        <v>-390.4973</v>
      </c>
      <c r="K7289">
        <v>1.1223240000000001</v>
      </c>
      <c r="L7289">
        <v>17.55566</v>
      </c>
      <c r="M7289">
        <v>0.99972470000000002</v>
      </c>
      <c r="N7289">
        <v>-1.392293E-2</v>
      </c>
      <c r="O7289">
        <v>-1.889176E-2</v>
      </c>
      <c r="P7289">
        <v>0.99736630000000004</v>
      </c>
      <c r="Q7289">
        <v>-7.2247069999999997E-2</v>
      </c>
      <c r="R7289">
        <v>6.3903619999999897E-3</v>
      </c>
      <c r="S7289">
        <v>2.9998469999999999</v>
      </c>
      <c r="T7289">
        <v>-8.0595730000000004E-2</v>
      </c>
      <c r="U7289">
        <v>0.39120480000000002</v>
      </c>
      <c r="V7289">
        <v>-2.504692E-2</v>
      </c>
      <c r="W7289">
        <v>-5.8438030000000002E-2</v>
      </c>
      <c r="X7289">
        <v>0.9979768</v>
      </c>
      <c r="Y7289">
        <v>-0.14794350000000001</v>
      </c>
      <c r="Z7289">
        <v>3.2568340000000001E-3</v>
      </c>
      <c r="AA7289">
        <v>0.98899040000000005</v>
      </c>
      <c r="AB7289">
        <v>28</v>
      </c>
      <c r="AC7289">
        <v>41.629599999999897</v>
      </c>
      <c r="AD7289">
        <v>-1.122325369875</v>
      </c>
      <c r="AE7289">
        <v>5.44984</v>
      </c>
      <c r="AF7289">
        <v>-6.2309472330772797</v>
      </c>
      <c r="AG7289">
        <v>-1.122325369875</v>
      </c>
      <c r="AH7289">
        <v>41.489554324211497</v>
      </c>
      <c r="AI7289">
        <v>91.532342605524207</v>
      </c>
      <c r="AJ7289">
        <v>98.540913717810398</v>
      </c>
      <c r="AK7289">
        <v>41.969839595582897</v>
      </c>
      <c r="AL7289">
        <v>93.350161056930901</v>
      </c>
      <c r="AM7289">
        <v>91.437690337833104</v>
      </c>
      <c r="AN7289">
        <v>1.0000000224450001</v>
      </c>
    </row>
    <row r="7290" spans="1:40" x14ac:dyDescent="0.25">
      <c r="A7290" t="str">
        <f>"20190303153951561"</f>
        <v>20190303153951561</v>
      </c>
      <c r="B7290" t="str">
        <f>"1551598791556054"</f>
        <v>1551598791556054</v>
      </c>
      <c r="C7290" t="s">
        <v>40</v>
      </c>
      <c r="D7290">
        <v>4.4535049999999998</v>
      </c>
      <c r="E7290">
        <v>0.45359690000000003</v>
      </c>
      <c r="F7290" t="s">
        <v>42</v>
      </c>
      <c r="G7290">
        <v>-348.48419999999999</v>
      </c>
      <c r="H7290" s="1">
        <v>-1.5503790000000001E-6</v>
      </c>
      <c r="I7290">
        <v>23.065660000000001</v>
      </c>
      <c r="J7290">
        <v>-390.35050000000001</v>
      </c>
      <c r="K7290">
        <v>1.122261</v>
      </c>
      <c r="L7290">
        <v>17.553829999999898</v>
      </c>
      <c r="M7290">
        <v>0.99973939999999994</v>
      </c>
      <c r="N7290">
        <v>-1.393398E-2</v>
      </c>
      <c r="O7290">
        <v>-1.808622E-2</v>
      </c>
      <c r="P7290">
        <v>0.99739690000000003</v>
      </c>
      <c r="Q7290">
        <v>-7.177103E-2</v>
      </c>
      <c r="R7290">
        <v>6.9681509999999997E-3</v>
      </c>
      <c r="S7290">
        <v>2.999603</v>
      </c>
      <c r="T7290">
        <v>-8.0130580000000007E-2</v>
      </c>
      <c r="U7290">
        <v>0.39340209999999998</v>
      </c>
      <c r="V7290">
        <v>-2.4833959999999999E-2</v>
      </c>
      <c r="W7290">
        <v>-5.7945450000000003E-2</v>
      </c>
      <c r="X7290">
        <v>0.99801079999999998</v>
      </c>
      <c r="Y7290">
        <v>-0.1478701</v>
      </c>
      <c r="Z7290">
        <v>3.231505E-3</v>
      </c>
      <c r="AA7290">
        <v>0.98900149999999998</v>
      </c>
      <c r="AB7290">
        <v>28</v>
      </c>
      <c r="AC7290">
        <v>41.866300000000003</v>
      </c>
      <c r="AD7290">
        <v>-1.122262550379</v>
      </c>
      <c r="AE7290">
        <v>5.5118299999999998</v>
      </c>
      <c r="AF7290">
        <v>-6.2637806538044396</v>
      </c>
      <c r="AG7290">
        <v>-1.122262550379</v>
      </c>
      <c r="AH7290">
        <v>41.730278184186801</v>
      </c>
      <c r="AI7290">
        <v>91.523439910926598</v>
      </c>
      <c r="AJ7290">
        <v>98.536457511973296</v>
      </c>
      <c r="AK7290">
        <v>42.212682201449603</v>
      </c>
      <c r="AL7290">
        <v>93.321890540490003</v>
      </c>
      <c r="AM7290">
        <v>91.425422980795105</v>
      </c>
      <c r="AN7290">
        <v>0.99999997883081104</v>
      </c>
    </row>
    <row r="7291" spans="1:40" x14ac:dyDescent="0.25">
      <c r="A7291" t="str">
        <f>"20190303153951581"</f>
        <v>20190303153951581</v>
      </c>
      <c r="B7291" t="str">
        <f>"1551598791575573"</f>
        <v>1551598791575573</v>
      </c>
      <c r="C7291" t="s">
        <v>40</v>
      </c>
      <c r="D7291">
        <v>4.4515650000000004</v>
      </c>
      <c r="E7291">
        <v>0.45405030000000002</v>
      </c>
      <c r="F7291" t="s">
        <v>42</v>
      </c>
      <c r="G7291">
        <v>-346.70460000000003</v>
      </c>
      <c r="H7291" s="1">
        <v>-2.3679790000000001E-6</v>
      </c>
      <c r="I7291">
        <v>23.269210000000001</v>
      </c>
      <c r="J7291">
        <v>-390.1037</v>
      </c>
      <c r="K7291">
        <v>1.12216</v>
      </c>
      <c r="L7291">
        <v>17.55087</v>
      </c>
      <c r="M7291">
        <v>0.99976129999999996</v>
      </c>
      <c r="N7291">
        <v>-1.395093E-2</v>
      </c>
      <c r="O7291">
        <v>-1.6818389999999999E-2</v>
      </c>
      <c r="P7291">
        <v>0.99751690000000004</v>
      </c>
      <c r="Q7291">
        <v>-6.9991830000000005E-2</v>
      </c>
      <c r="R7291">
        <v>7.8318469999999994E-3</v>
      </c>
      <c r="S7291">
        <v>2.9995419999999999</v>
      </c>
      <c r="T7291">
        <v>-7.7126979999999998E-2</v>
      </c>
      <c r="U7291">
        <v>0.39279170000000002</v>
      </c>
      <c r="V7291">
        <v>-2.445626E-2</v>
      </c>
      <c r="W7291">
        <v>-5.6139309999999998E-2</v>
      </c>
      <c r="X7291">
        <v>0.99812330000000005</v>
      </c>
      <c r="Y7291">
        <v>-0.14642639999999901</v>
      </c>
      <c r="Z7291">
        <v>3.0973300000000001E-3</v>
      </c>
      <c r="AA7291">
        <v>0.98921669999999995</v>
      </c>
      <c r="AB7291">
        <v>28</v>
      </c>
      <c r="AC7291">
        <v>43.399099999999898</v>
      </c>
      <c r="AD7291">
        <v>-1.122162367979</v>
      </c>
      <c r="AE7291">
        <v>5.7183400000000004</v>
      </c>
      <c r="AF7291">
        <v>-6.4432707272681196</v>
      </c>
      <c r="AG7291">
        <v>-1.122162367979</v>
      </c>
      <c r="AH7291">
        <v>43.268343383714601</v>
      </c>
      <c r="AI7291">
        <v>91.469434093659601</v>
      </c>
      <c r="AJ7291">
        <v>98.469913128460007</v>
      </c>
      <c r="AK7291">
        <v>43.759850607789097</v>
      </c>
      <c r="AL7291">
        <v>93.218237721608602</v>
      </c>
      <c r="AM7291">
        <v>91.403594290835102</v>
      </c>
      <c r="AN7291">
        <v>0.99999992639167401</v>
      </c>
    </row>
    <row r="7292" spans="1:40" x14ac:dyDescent="0.25">
      <c r="A7292" t="str">
        <f>"20190303153951596"</f>
        <v>20190303153951596</v>
      </c>
      <c r="B7292" t="str">
        <f>"1551598791585334"</f>
        <v>1551598791585334</v>
      </c>
      <c r="C7292" t="s">
        <v>40</v>
      </c>
      <c r="D7292">
        <v>4.4585290000000004</v>
      </c>
      <c r="E7292">
        <v>0.45435239999999999</v>
      </c>
      <c r="F7292" t="s">
        <v>42</v>
      </c>
      <c r="G7292">
        <v>-341.07310000000001</v>
      </c>
      <c r="H7292" s="1">
        <v>-4.6805229999999999E-6</v>
      </c>
      <c r="I7292">
        <v>23.955300000000001</v>
      </c>
      <c r="J7292">
        <v>-389.92349999999999</v>
      </c>
      <c r="K7292">
        <v>1.1220870000000001</v>
      </c>
      <c r="L7292">
        <v>17.548829999999999</v>
      </c>
      <c r="M7292">
        <v>0.99977490000000002</v>
      </c>
      <c r="N7292">
        <v>-1.396156E-2</v>
      </c>
      <c r="O7292">
        <v>-1.5976489999999999E-2</v>
      </c>
      <c r="P7292">
        <v>0.99757019999999996</v>
      </c>
      <c r="Q7292">
        <v>-6.9129339999999997E-2</v>
      </c>
      <c r="R7292">
        <v>8.646028E-3</v>
      </c>
      <c r="S7292">
        <v>2.999603</v>
      </c>
      <c r="T7292">
        <v>-6.8651909999999997E-2</v>
      </c>
      <c r="U7292">
        <v>0.39181519999999997</v>
      </c>
      <c r="V7292">
        <v>-2.4445080000000001E-2</v>
      </c>
      <c r="W7292">
        <v>-5.5260320000000002E-2</v>
      </c>
      <c r="X7292">
        <v>0.99817270000000002</v>
      </c>
      <c r="Y7292">
        <v>-0.14528769999999999</v>
      </c>
      <c r="Z7292">
        <v>2.8162080000000002E-3</v>
      </c>
      <c r="AA7292">
        <v>0.98938539999999997</v>
      </c>
      <c r="AB7292">
        <v>28</v>
      </c>
      <c r="AC7292">
        <v>48.850399999999901</v>
      </c>
      <c r="AD7292">
        <v>-1.1220916805229999</v>
      </c>
      <c r="AE7292">
        <v>6.4064699999999997</v>
      </c>
      <c r="AF7292">
        <v>-7.1824606349017399</v>
      </c>
      <c r="AG7292">
        <v>-1.1220916805229999</v>
      </c>
      <c r="AH7292">
        <v>48.716531851905202</v>
      </c>
      <c r="AI7292">
        <v>91.305358985600606</v>
      </c>
      <c r="AJ7292">
        <v>98.386911562405203</v>
      </c>
      <c r="AK7292">
        <v>49.255936760852499</v>
      </c>
      <c r="AL7292">
        <v>93.167796753180895</v>
      </c>
      <c r="AM7292">
        <v>91.402883499494706</v>
      </c>
      <c r="AN7292">
        <v>1.0000000019639901</v>
      </c>
    </row>
    <row r="7293" spans="1:40" x14ac:dyDescent="0.25">
      <c r="A7293" t="str">
        <f>"20190303153951608"</f>
        <v>20190303153951608</v>
      </c>
      <c r="B7293" t="str">
        <f>"1551598791596071"</f>
        <v>1551598791596071</v>
      </c>
      <c r="C7293" t="s">
        <v>40</v>
      </c>
      <c r="D7293">
        <v>4.433243</v>
      </c>
      <c r="E7293">
        <v>0.45470640000000001</v>
      </c>
      <c r="F7293" t="s">
        <v>42</v>
      </c>
      <c r="G7293">
        <v>-337.95240000000001</v>
      </c>
      <c r="H7293" s="1">
        <v>-2.1174369999999998E-6</v>
      </c>
      <c r="I7293">
        <v>24.33935</v>
      </c>
      <c r="J7293">
        <v>-389.75569999999999</v>
      </c>
      <c r="K7293">
        <v>1.1220209999999999</v>
      </c>
      <c r="L7293">
        <v>17.546970000000002</v>
      </c>
      <c r="M7293">
        <v>0.99978619999999996</v>
      </c>
      <c r="N7293">
        <v>-1.3970389999999999E-2</v>
      </c>
      <c r="O7293">
        <v>-1.5242479999999999E-2</v>
      </c>
      <c r="P7293">
        <v>0.99762989999999996</v>
      </c>
      <c r="Q7293">
        <v>-6.8168679999999995E-2</v>
      </c>
      <c r="R7293">
        <v>9.372656E-3</v>
      </c>
      <c r="S7293">
        <v>2.9994200000000002</v>
      </c>
      <c r="T7293">
        <v>-6.4759369999999997E-2</v>
      </c>
      <c r="U7293">
        <v>0.3919067</v>
      </c>
      <c r="V7293">
        <v>-2.4453059999999999E-2</v>
      </c>
      <c r="W7293">
        <v>-5.4285460000000001E-2</v>
      </c>
      <c r="X7293">
        <v>0.99822599999999995</v>
      </c>
      <c r="Y7293">
        <v>-0.1446047</v>
      </c>
      <c r="Z7293">
        <v>2.6846140000000001E-3</v>
      </c>
      <c r="AA7293">
        <v>0.98948590000000003</v>
      </c>
      <c r="AB7293">
        <v>28</v>
      </c>
      <c r="AC7293">
        <v>51.803299999999901</v>
      </c>
      <c r="AD7293">
        <v>-1.1220231174369999</v>
      </c>
      <c r="AE7293">
        <v>6.7923799999999899</v>
      </c>
      <c r="AF7293">
        <v>-7.5777837566870696</v>
      </c>
      <c r="AG7293">
        <v>-1.1220231174369999</v>
      </c>
      <c r="AH7293">
        <v>51.669907870231498</v>
      </c>
      <c r="AI7293">
        <v>91.230832502048003</v>
      </c>
      <c r="AJ7293">
        <v>98.343382038153393</v>
      </c>
      <c r="AK7293">
        <v>52.2346735594029</v>
      </c>
      <c r="AL7293">
        <v>93.111857403394893</v>
      </c>
      <c r="AM7293">
        <v>91.403266381121398</v>
      </c>
      <c r="AN7293">
        <v>1.0000000051933799</v>
      </c>
    </row>
    <row r="7294" spans="1:40" x14ac:dyDescent="0.25">
      <c r="A7294" t="str">
        <f>"20190303153951626"</f>
        <v>20190303153951626</v>
      </c>
      <c r="B7294" t="str">
        <f>"1551598791615590"</f>
        <v>1551598791615590</v>
      </c>
      <c r="C7294" t="s">
        <v>40</v>
      </c>
      <c r="D7294">
        <v>4.4709099999999999</v>
      </c>
      <c r="E7294">
        <v>0.45521329999999999</v>
      </c>
      <c r="F7294" t="s">
        <v>42</v>
      </c>
      <c r="G7294">
        <v>-334.0179</v>
      </c>
      <c r="H7294" s="1">
        <v>-3.8316179999999999E-6</v>
      </c>
      <c r="I7294">
        <v>24.819089999999999</v>
      </c>
      <c r="J7294">
        <v>-389.55459999999999</v>
      </c>
      <c r="K7294">
        <v>1.121956</v>
      </c>
      <c r="L7294">
        <v>17.54486</v>
      </c>
      <c r="M7294">
        <v>0.99979779999999996</v>
      </c>
      <c r="N7294">
        <v>-1.3979449999999999E-2</v>
      </c>
      <c r="O7294">
        <v>-1.4456979999999999E-2</v>
      </c>
      <c r="P7294">
        <v>0.99770570000000003</v>
      </c>
      <c r="Q7294">
        <v>-6.7012059999999998E-2</v>
      </c>
      <c r="R7294">
        <v>9.6325520000000008E-3</v>
      </c>
      <c r="S7294">
        <v>2.9993289999999999</v>
      </c>
      <c r="T7294">
        <v>-6.0377720000000003E-2</v>
      </c>
      <c r="U7294">
        <v>0.39132689999999998</v>
      </c>
      <c r="V7294">
        <v>-2.3944300000000002E-2</v>
      </c>
      <c r="W7294">
        <v>-5.3112550000000001E-2</v>
      </c>
      <c r="X7294">
        <v>0.99830140000000001</v>
      </c>
      <c r="Y7294">
        <v>-0.14364930000000001</v>
      </c>
      <c r="Z7294">
        <v>2.536759E-3</v>
      </c>
      <c r="AA7294">
        <v>0.98962539999999999</v>
      </c>
      <c r="AB7294">
        <v>28</v>
      </c>
      <c r="AC7294">
        <v>55.536700000000003</v>
      </c>
      <c r="AD7294">
        <v>-1.1219598316179999</v>
      </c>
      <c r="AE7294">
        <v>7.2742299999999904</v>
      </c>
      <c r="AF7294">
        <v>-8.07320172454566</v>
      </c>
      <c r="AG7294">
        <v>-1.1219598316179999</v>
      </c>
      <c r="AH7294">
        <v>55.403490951426399</v>
      </c>
      <c r="AI7294">
        <v>91.148000840643306</v>
      </c>
      <c r="AJ7294">
        <v>98.2905891257044</v>
      </c>
      <c r="AK7294">
        <v>55.999840977932699</v>
      </c>
      <c r="AL7294">
        <v>93.044557584882796</v>
      </c>
      <c r="AM7294">
        <v>91.373978185557803</v>
      </c>
      <c r="AN7294">
        <v>0.99999997885597602</v>
      </c>
    </row>
    <row r="7295" spans="1:40" x14ac:dyDescent="0.25">
      <c r="A7295" t="str">
        <f>"20190303153951639"</f>
        <v>20190303153951639</v>
      </c>
      <c r="B7295" t="str">
        <f>"1551598791636086"</f>
        <v>1551598791636086</v>
      </c>
      <c r="C7295" t="s">
        <v>40</v>
      </c>
      <c r="D7295">
        <v>4.4921040000000003</v>
      </c>
      <c r="E7295">
        <v>0.45550980000000002</v>
      </c>
      <c r="F7295" t="s">
        <v>42</v>
      </c>
      <c r="G7295">
        <v>-329.0471</v>
      </c>
      <c r="H7295" s="1">
        <v>-1.9629739999999998E-6</v>
      </c>
      <c r="I7295">
        <v>25.374400000000001</v>
      </c>
      <c r="J7295">
        <v>-389.38549999999998</v>
      </c>
      <c r="K7295">
        <v>1.1218969999999999</v>
      </c>
      <c r="L7295">
        <v>17.54318</v>
      </c>
      <c r="M7295">
        <v>0.99980630000000004</v>
      </c>
      <c r="N7295">
        <v>-1.3986119999999999E-2</v>
      </c>
      <c r="O7295">
        <v>-1.3854109999999999E-2</v>
      </c>
      <c r="P7295">
        <v>0.99774289999999999</v>
      </c>
      <c r="Q7295">
        <v>-6.6409750000000004E-2</v>
      </c>
      <c r="R7295">
        <v>9.9641810000000008E-3</v>
      </c>
      <c r="S7295">
        <v>2.9994510000000001</v>
      </c>
      <c r="T7295">
        <v>-5.561721E-2</v>
      </c>
      <c r="U7295">
        <v>0.38812259999999998</v>
      </c>
      <c r="V7295">
        <v>-2.3684210000000001E-2</v>
      </c>
      <c r="W7295">
        <v>-5.2498540000000003E-2</v>
      </c>
      <c r="X7295">
        <v>0.99834009999999995</v>
      </c>
      <c r="Y7295">
        <v>-0.142014</v>
      </c>
      <c r="Z7295">
        <v>2.3714249999999999E-3</v>
      </c>
      <c r="AA7295">
        <v>0.98986180000000001</v>
      </c>
      <c r="AB7295">
        <v>28</v>
      </c>
      <c r="AC7295">
        <v>60.338399999999901</v>
      </c>
      <c r="AD7295">
        <v>-1.1218989629739999</v>
      </c>
      <c r="AE7295">
        <v>7.8312200000000001</v>
      </c>
      <c r="AF7295">
        <v>-8.6635392836240097</v>
      </c>
      <c r="AG7295">
        <v>-1.1218989629739999</v>
      </c>
      <c r="AH7295">
        <v>60.203634250527401</v>
      </c>
      <c r="AI7295">
        <v>91.056704590430101</v>
      </c>
      <c r="AJ7295">
        <v>98.188870410641698</v>
      </c>
      <c r="AK7295">
        <v>60.834144583229602</v>
      </c>
      <c r="AL7295">
        <v>93.009328196212394</v>
      </c>
      <c r="AM7295">
        <v>91.359006596975703</v>
      </c>
      <c r="AN7295">
        <v>0.99999999688673202</v>
      </c>
    </row>
    <row r="7296" spans="1:40" x14ac:dyDescent="0.25">
      <c r="A7296" t="str">
        <f>"20190303153951655"</f>
        <v>20190303153951655</v>
      </c>
      <c r="B7296" t="str">
        <f>"1551598791645846"</f>
        <v>1551598791645846</v>
      </c>
      <c r="C7296" t="s">
        <v>40</v>
      </c>
      <c r="D7296">
        <v>4.4581929999999996</v>
      </c>
      <c r="E7296">
        <v>0.45565810000000001</v>
      </c>
      <c r="F7296" t="s">
        <v>42</v>
      </c>
      <c r="G7296">
        <v>-327.79250000000002</v>
      </c>
      <c r="H7296" s="1">
        <v>-2.5849340000000001E-6</v>
      </c>
      <c r="I7296">
        <v>25.482949999999999</v>
      </c>
      <c r="J7296">
        <v>-389.19330000000002</v>
      </c>
      <c r="K7296">
        <v>1.1218349999999999</v>
      </c>
      <c r="L7296">
        <v>17.541260000000001</v>
      </c>
      <c r="M7296">
        <v>0.9998148</v>
      </c>
      <c r="N7296">
        <v>-1.399276E-2</v>
      </c>
      <c r="O7296">
        <v>-1.3223210000000001E-2</v>
      </c>
      <c r="P7296">
        <v>0.99778489999999997</v>
      </c>
      <c r="Q7296">
        <v>-6.5774159999999998E-2</v>
      </c>
      <c r="R7296">
        <v>9.9766579999999994E-3</v>
      </c>
      <c r="S7296">
        <v>2.9992679999999998</v>
      </c>
      <c r="T7296">
        <v>-5.463088E-2</v>
      </c>
      <c r="U7296">
        <v>0.3866272</v>
      </c>
      <c r="V7296">
        <v>-2.3078979999999999E-2</v>
      </c>
      <c r="W7296">
        <v>-5.1850260000000002E-2</v>
      </c>
      <c r="X7296">
        <v>0.99838819999999995</v>
      </c>
      <c r="Y7296">
        <v>-0.14091310000000001</v>
      </c>
      <c r="Z7296">
        <v>2.323744E-3</v>
      </c>
      <c r="AA7296">
        <v>0.99001930000000005</v>
      </c>
      <c r="AB7296">
        <v>28</v>
      </c>
      <c r="AC7296">
        <v>61.400799999999997</v>
      </c>
      <c r="AD7296">
        <v>-1.1218375849339901</v>
      </c>
      <c r="AE7296">
        <v>7.9416899999999897</v>
      </c>
      <c r="AF7296">
        <v>-8.7501176728663097</v>
      </c>
      <c r="AG7296">
        <v>-1.1218375849339901</v>
      </c>
      <c r="AH7296">
        <v>61.2702890587966</v>
      </c>
      <c r="AI7296">
        <v>91.0384149488155</v>
      </c>
      <c r="AJ7296">
        <v>98.127553965361301</v>
      </c>
      <c r="AK7296">
        <v>61.902111435753703</v>
      </c>
      <c r="AL7296">
        <v>92.972133690149704</v>
      </c>
      <c r="AM7296">
        <v>91.324227080854897</v>
      </c>
      <c r="AN7296">
        <v>1.0000000433395699</v>
      </c>
    </row>
    <row r="7297" spans="1:40" x14ac:dyDescent="0.25">
      <c r="A7297" t="str">
        <f>"20190303153951669"</f>
        <v>20190303153951669</v>
      </c>
      <c r="B7297" t="str">
        <f>"1551598791665366"</f>
        <v>1551598791665366</v>
      </c>
      <c r="C7297" t="s">
        <v>40</v>
      </c>
      <c r="D7297">
        <v>4.4630159999999997</v>
      </c>
      <c r="E7297">
        <v>0.45597500000000002</v>
      </c>
      <c r="F7297" t="s">
        <v>42</v>
      </c>
      <c r="G7297">
        <v>-325.80549999999999</v>
      </c>
      <c r="H7297" s="1">
        <v>-3.5588699999999902E-6</v>
      </c>
      <c r="I7297">
        <v>25.687819999999999</v>
      </c>
      <c r="J7297">
        <v>-389.01510000000002</v>
      </c>
      <c r="K7297">
        <v>1.121785</v>
      </c>
      <c r="L7297">
        <v>17.539549999999998</v>
      </c>
      <c r="M7297">
        <v>0.99982150000000003</v>
      </c>
      <c r="N7297">
        <v>-1.3997999999999899E-2</v>
      </c>
      <c r="O7297">
        <v>-1.268684E-2</v>
      </c>
      <c r="P7297">
        <v>0.99786529999999996</v>
      </c>
      <c r="Q7297">
        <v>-6.4641359999999995E-2</v>
      </c>
      <c r="R7297">
        <v>9.2994840000000002E-3</v>
      </c>
      <c r="S7297">
        <v>2.999298</v>
      </c>
      <c r="T7297">
        <v>-5.3081629999999998E-2</v>
      </c>
      <c r="U7297">
        <v>0.38546750000000002</v>
      </c>
      <c r="V7297">
        <v>-2.1877219999999999E-2</v>
      </c>
      <c r="W7297">
        <v>-5.070529E-2</v>
      </c>
      <c r="X7297">
        <v>0.99847399999999997</v>
      </c>
      <c r="Y7297">
        <v>-0.1400062</v>
      </c>
      <c r="Z7297">
        <v>2.2646469999999998E-3</v>
      </c>
      <c r="AA7297">
        <v>0.99014809999999998</v>
      </c>
      <c r="AB7297">
        <v>28</v>
      </c>
      <c r="AC7297">
        <v>63.209600000000002</v>
      </c>
      <c r="AD7297">
        <v>-1.1217885588700001</v>
      </c>
      <c r="AE7297">
        <v>8.1482700000000001</v>
      </c>
      <c r="AF7297">
        <v>-8.94685093361303</v>
      </c>
      <c r="AG7297">
        <v>-1.1217885588700001</v>
      </c>
      <c r="AH7297">
        <v>63.081582450914503</v>
      </c>
      <c r="AI7297">
        <v>91.008698722819801</v>
      </c>
      <c r="AJ7297">
        <v>98.072411327808595</v>
      </c>
      <c r="AK7297">
        <v>63.7227635598977</v>
      </c>
      <c r="AL7297">
        <v>92.906445495846</v>
      </c>
      <c r="AM7297">
        <v>91.2551872593138</v>
      </c>
      <c r="AN7297">
        <v>0.99999998393245604</v>
      </c>
    </row>
    <row r="7298" spans="1:40" x14ac:dyDescent="0.25">
      <c r="A7298" t="str">
        <f>"20190303153951680"</f>
        <v>20190303153951680</v>
      </c>
      <c r="B7298" t="str">
        <f>"1551598791676102"</f>
        <v>1551598791676102</v>
      </c>
      <c r="C7298" t="s">
        <v>40</v>
      </c>
      <c r="D7298">
        <v>4.4748640000000002</v>
      </c>
      <c r="E7298">
        <v>0.45616849999999998</v>
      </c>
      <c r="F7298" t="s">
        <v>42</v>
      </c>
      <c r="G7298">
        <v>-322.89530000000002</v>
      </c>
      <c r="H7298" s="1">
        <v>-4.720992E-6</v>
      </c>
      <c r="I7298">
        <v>25.93891</v>
      </c>
      <c r="J7298">
        <v>-388.87209999999999</v>
      </c>
      <c r="K7298">
        <v>1.1217349999999999</v>
      </c>
      <c r="L7298">
        <v>17.538209999999999</v>
      </c>
      <c r="M7298">
        <v>0.99982629999999995</v>
      </c>
      <c r="N7298">
        <v>-1.400147E-2</v>
      </c>
      <c r="O7298">
        <v>-1.2306249999999999E-2</v>
      </c>
      <c r="P7298">
        <v>0.99790089999999998</v>
      </c>
      <c r="Q7298">
        <v>-6.4116660000000006E-2</v>
      </c>
      <c r="R7298">
        <v>9.1105690000000007E-3</v>
      </c>
      <c r="S7298">
        <v>2.9995729999999998</v>
      </c>
      <c r="T7298">
        <v>-5.08908E-2</v>
      </c>
      <c r="U7298">
        <v>0.38104250000000001</v>
      </c>
      <c r="V7298">
        <v>-2.1315509999999999E-2</v>
      </c>
      <c r="W7298">
        <v>-5.0173130000000003E-2</v>
      </c>
      <c r="X7298">
        <v>0.99851299999999998</v>
      </c>
      <c r="Y7298">
        <v>-0.13818329999999901</v>
      </c>
      <c r="Z7298">
        <v>2.1752479999999999E-3</v>
      </c>
      <c r="AA7298">
        <v>0.99040430000000002</v>
      </c>
      <c r="AB7298">
        <v>28</v>
      </c>
      <c r="AC7298">
        <v>65.976799999999898</v>
      </c>
      <c r="AD7298">
        <v>-1.1217397209919999</v>
      </c>
      <c r="AE7298">
        <v>8.4007000000000005</v>
      </c>
      <c r="AF7298">
        <v>-9.2094505837265501</v>
      </c>
      <c r="AG7298">
        <v>-1.1217397209919999</v>
      </c>
      <c r="AH7298">
        <v>65.849680273055199</v>
      </c>
      <c r="AI7298">
        <v>90.966526024371404</v>
      </c>
      <c r="AJ7298">
        <v>97.961499213669299</v>
      </c>
      <c r="AK7298">
        <v>66.500020091119893</v>
      </c>
      <c r="AL7298">
        <v>92.875916203435807</v>
      </c>
      <c r="AM7298">
        <v>91.222921780674099</v>
      </c>
      <c r="AN7298">
        <v>0.99999995255477703</v>
      </c>
    </row>
    <row r="7299" spans="1:40" x14ac:dyDescent="0.25">
      <c r="A7299" t="str">
        <f>"20190303153951694"</f>
        <v>20190303153951694</v>
      </c>
      <c r="B7299" t="str">
        <f>"1551598791685862"</f>
        <v>1551598791685862</v>
      </c>
      <c r="C7299" t="s">
        <v>40</v>
      </c>
      <c r="D7299">
        <v>4.4641099999999998</v>
      </c>
      <c r="E7299">
        <v>0.45635399999999998</v>
      </c>
      <c r="F7299" t="s">
        <v>42</v>
      </c>
      <c r="G7299">
        <v>-321.32380000000001</v>
      </c>
      <c r="H7299" s="1">
        <v>-5.3483190000000004E-6</v>
      </c>
      <c r="I7299">
        <v>26.073499999999999</v>
      </c>
      <c r="J7299">
        <v>-388.72</v>
      </c>
      <c r="K7299">
        <v>1.1216919999999999</v>
      </c>
      <c r="L7299">
        <v>17.536829999999998</v>
      </c>
      <c r="M7299">
        <v>0.99983100000000003</v>
      </c>
      <c r="N7299">
        <v>-1.400503E-2</v>
      </c>
      <c r="O7299">
        <v>-1.1917469999999999E-2</v>
      </c>
      <c r="P7299">
        <v>0.99795880000000003</v>
      </c>
      <c r="Q7299">
        <v>-6.3246899999999995E-2</v>
      </c>
      <c r="R7299">
        <v>8.8298370000000001E-3</v>
      </c>
      <c r="S7299">
        <v>2.9996339999999999</v>
      </c>
      <c r="T7299">
        <v>-4.9813389999999999E-2</v>
      </c>
      <c r="U7299">
        <v>0.37902829999999998</v>
      </c>
      <c r="V7299">
        <v>-2.0655070000000001E-2</v>
      </c>
      <c r="W7299">
        <v>-4.9295440000000003E-2</v>
      </c>
      <c r="X7299">
        <v>0.99857059999999997</v>
      </c>
      <c r="Y7299">
        <v>-0.1371425</v>
      </c>
      <c r="Z7299">
        <v>2.129377E-3</v>
      </c>
      <c r="AA7299">
        <v>0.99054900000000001</v>
      </c>
      <c r="AB7299">
        <v>28</v>
      </c>
      <c r="AC7299">
        <v>67.396199999999993</v>
      </c>
      <c r="AD7299">
        <v>-1.12169734831899</v>
      </c>
      <c r="AE7299">
        <v>8.5366699999999902</v>
      </c>
      <c r="AF7299">
        <v>-9.3367890821647403</v>
      </c>
      <c r="AG7299">
        <v>-1.12169734831899</v>
      </c>
      <c r="AH7299">
        <v>67.271327455074797</v>
      </c>
      <c r="AI7299">
        <v>90.946205807183702</v>
      </c>
      <c r="AJ7299">
        <v>97.901772353678695</v>
      </c>
      <c r="AK7299">
        <v>67.925439511820301</v>
      </c>
      <c r="AL7299">
        <v>92.825565942794995</v>
      </c>
      <c r="AM7299">
        <v>91.184973399729202</v>
      </c>
      <c r="AN7299">
        <v>0.99999995775292805</v>
      </c>
    </row>
    <row r="7300" spans="1:40" x14ac:dyDescent="0.25">
      <c r="A7300" t="str">
        <f>"20190303153951704"</f>
        <v>20190303153951704</v>
      </c>
      <c r="B7300" t="str">
        <f>"1551598791696129"</f>
        <v>1551598791696129</v>
      </c>
      <c r="C7300" t="s">
        <v>40</v>
      </c>
      <c r="D7300">
        <v>4.4848179999999997</v>
      </c>
      <c r="E7300">
        <v>0.45651969999999997</v>
      </c>
      <c r="F7300" t="s">
        <v>43</v>
      </c>
      <c r="G7300">
        <v>-315.44600000000003</v>
      </c>
      <c r="H7300">
        <v>-0.05</v>
      </c>
      <c r="I7300">
        <v>26.74239</v>
      </c>
      <c r="J7300">
        <v>-388.56630000000001</v>
      </c>
      <c r="K7300">
        <v>1.121651</v>
      </c>
      <c r="L7300">
        <v>17.53546</v>
      </c>
      <c r="M7300">
        <v>0.99983509999999998</v>
      </c>
      <c r="N7300">
        <v>-1.400826E-2</v>
      </c>
      <c r="O7300">
        <v>-1.155895E-2</v>
      </c>
      <c r="P7300">
        <v>0.99798260000000005</v>
      </c>
      <c r="Q7300">
        <v>-6.2947059999999999E-2</v>
      </c>
      <c r="R7300">
        <v>8.2769780000000008E-3</v>
      </c>
      <c r="S7300">
        <v>2.9997250000000002</v>
      </c>
      <c r="T7300">
        <v>-4.7967309999999999E-2</v>
      </c>
      <c r="U7300">
        <v>0.37686160000000002</v>
      </c>
      <c r="V7300">
        <v>-1.975114E-2</v>
      </c>
      <c r="W7300">
        <v>-4.898831E-2</v>
      </c>
      <c r="X7300">
        <v>0.99860409999999999</v>
      </c>
      <c r="Y7300">
        <v>-0.13608139999999999</v>
      </c>
      <c r="Z7300">
        <v>2.063568E-3</v>
      </c>
      <c r="AA7300">
        <v>0.99069549999999995</v>
      </c>
      <c r="AB7300">
        <v>28</v>
      </c>
      <c r="AC7300">
        <v>73.1203</v>
      </c>
      <c r="AD7300">
        <v>-1.171651</v>
      </c>
      <c r="AE7300">
        <v>9.2069299999999998</v>
      </c>
      <c r="AF7300">
        <v>-10.0490517092682</v>
      </c>
      <c r="AG7300">
        <v>-1.171651</v>
      </c>
      <c r="AH7300">
        <v>72.990532949636403</v>
      </c>
      <c r="AI7300">
        <v>90.911046033246905</v>
      </c>
      <c r="AJ7300">
        <v>97.838978683735405</v>
      </c>
      <c r="AK7300">
        <v>73.688358012601299</v>
      </c>
      <c r="AL7300">
        <v>92.807947128537094</v>
      </c>
      <c r="AM7300">
        <v>91.133091111421905</v>
      </c>
      <c r="AN7300">
        <v>1.00000005529238</v>
      </c>
    </row>
    <row r="7301" spans="1:40" x14ac:dyDescent="0.25">
      <c r="A7301" t="str">
        <f>"20190303153951718"</f>
        <v>20190303153951718</v>
      </c>
      <c r="B7301" t="str">
        <f>"1551598791715649"</f>
        <v>1551598791715649</v>
      </c>
      <c r="C7301" t="s">
        <v>40</v>
      </c>
      <c r="D7301">
        <v>4.438447</v>
      </c>
      <c r="E7301">
        <v>0.45663510000000002</v>
      </c>
      <c r="F7301" t="s">
        <v>43</v>
      </c>
      <c r="G7301">
        <v>-315.39190000000002</v>
      </c>
      <c r="H7301">
        <v>-0.05</v>
      </c>
      <c r="I7301">
        <v>26.657229999999998</v>
      </c>
      <c r="J7301">
        <v>-388.41559999999998</v>
      </c>
      <c r="K7301">
        <v>1.1216120000000001</v>
      </c>
      <c r="L7301">
        <v>17.534120000000001</v>
      </c>
      <c r="M7301">
        <v>0.99983869999999997</v>
      </c>
      <c r="N7301">
        <v>-1.401093E-2</v>
      </c>
      <c r="O7301">
        <v>-1.1237550000000001E-2</v>
      </c>
      <c r="P7301">
        <v>0.99802939999999996</v>
      </c>
      <c r="Q7301">
        <v>-6.2242270000000002E-2</v>
      </c>
      <c r="R7301">
        <v>7.9691199999999997E-3</v>
      </c>
      <c r="S7301">
        <v>2.999908</v>
      </c>
      <c r="T7301">
        <v>-4.803383E-2</v>
      </c>
      <c r="U7301">
        <v>0.37396239999999997</v>
      </c>
      <c r="V7301">
        <v>-1.9128969999999999E-2</v>
      </c>
      <c r="W7301">
        <v>-4.8277319999999999E-2</v>
      </c>
      <c r="X7301">
        <v>0.99865079999999995</v>
      </c>
      <c r="Y7301">
        <v>-0.13481290000000001</v>
      </c>
      <c r="Z7301">
        <v>2.0457280000000001E-3</v>
      </c>
      <c r="AA7301">
        <v>0.990869</v>
      </c>
      <c r="AB7301">
        <v>28</v>
      </c>
      <c r="AC7301">
        <v>73.023699999999906</v>
      </c>
      <c r="AD7301">
        <v>-1.1716120000000001</v>
      </c>
      <c r="AE7301">
        <v>9.1231099999999898</v>
      </c>
      <c r="AF7301">
        <v>-9.9407022599058106</v>
      </c>
      <c r="AG7301">
        <v>-1.1716120000000001</v>
      </c>
      <c r="AH7301">
        <v>72.898079744235005</v>
      </c>
      <c r="AI7301">
        <v>90.912331826629298</v>
      </c>
      <c r="AJ7301">
        <v>97.765208474687199</v>
      </c>
      <c r="AK7301">
        <v>73.582064842565302</v>
      </c>
      <c r="AL7301">
        <v>92.767162245035195</v>
      </c>
      <c r="AM7301">
        <v>91.097355784911699</v>
      </c>
      <c r="AN7301">
        <v>1.0000000187301401</v>
      </c>
    </row>
    <row r="7302" spans="1:40" x14ac:dyDescent="0.25">
      <c r="A7302" t="str">
        <f>"20190303153951730"</f>
        <v>20190303153951730</v>
      </c>
      <c r="B7302" t="str">
        <f>"1551598791725409"</f>
        <v>1551598791725409</v>
      </c>
      <c r="C7302" t="s">
        <v>40</v>
      </c>
      <c r="D7302">
        <v>4.5206600000000003</v>
      </c>
      <c r="E7302">
        <v>0.48111140000000002</v>
      </c>
      <c r="F7302" t="s">
        <v>43</v>
      </c>
      <c r="G7302">
        <v>-313.08260000000001</v>
      </c>
      <c r="H7302">
        <v>-0.05</v>
      </c>
      <c r="I7302">
        <v>26.88166</v>
      </c>
      <c r="J7302">
        <v>-388.27269999999999</v>
      </c>
      <c r="K7302">
        <v>1.121575</v>
      </c>
      <c r="L7302">
        <v>17.532869999999999</v>
      </c>
      <c r="M7302">
        <v>0.99984189999999995</v>
      </c>
      <c r="N7302">
        <v>-1.401326E-2</v>
      </c>
      <c r="O7302">
        <v>-1.0945659999999999E-2</v>
      </c>
      <c r="P7302">
        <v>0.99807069999999998</v>
      </c>
      <c r="Q7302">
        <v>-6.1683580000000002E-2</v>
      </c>
      <c r="R7302">
        <v>7.0641519999999998E-3</v>
      </c>
      <c r="S7302">
        <v>3.0000309999999999</v>
      </c>
      <c r="T7302">
        <v>-4.6657799999999999E-2</v>
      </c>
      <c r="U7302">
        <v>0.37225340000000001</v>
      </c>
      <c r="V7302">
        <v>-1.793848E-2</v>
      </c>
      <c r="W7302">
        <v>-4.7712450000000003E-2</v>
      </c>
      <c r="X7302">
        <v>0.99870000000000003</v>
      </c>
      <c r="Y7302">
        <v>-0.13396440000000001</v>
      </c>
      <c r="Z7302">
        <v>1.996889E-3</v>
      </c>
      <c r="AA7302">
        <v>0.99098410000000003</v>
      </c>
      <c r="AB7302">
        <v>27</v>
      </c>
      <c r="AC7302">
        <v>75.190099999999902</v>
      </c>
      <c r="AD7302">
        <v>-1.171575</v>
      </c>
      <c r="AE7302">
        <v>9.3487899999999904</v>
      </c>
      <c r="AF7302">
        <v>-10.168884683095399</v>
      </c>
      <c r="AG7302">
        <v>-1.171575</v>
      </c>
      <c r="AH7302">
        <v>75.065308931660994</v>
      </c>
      <c r="AI7302">
        <v>90.886074024199104</v>
      </c>
      <c r="AJ7302">
        <v>97.714733702386098</v>
      </c>
      <c r="AK7302">
        <v>75.760011936934305</v>
      </c>
      <c r="AL7302">
        <v>92.734760347733499</v>
      </c>
      <c r="AM7302">
        <v>91.029026418571704</v>
      </c>
      <c r="AN7302">
        <v>0.999999978474856</v>
      </c>
    </row>
    <row r="7303" spans="1:40" x14ac:dyDescent="0.25">
      <c r="A7303" t="str">
        <f>"20190303153951748"</f>
        <v>20190303153951748</v>
      </c>
      <c r="B7303" t="str">
        <f>"1551598791736145"</f>
        <v>1551598791736145</v>
      </c>
      <c r="C7303" t="s">
        <v>40</v>
      </c>
      <c r="D7303">
        <v>4.4427690000000002</v>
      </c>
      <c r="E7303">
        <v>0.4912223</v>
      </c>
      <c r="F7303" t="s">
        <v>73</v>
      </c>
      <c r="G7303">
        <v>-273.40989999999999</v>
      </c>
      <c r="H7303">
        <v>1.6497379999999999</v>
      </c>
      <c r="I7303">
        <v>24.241610000000001</v>
      </c>
      <c r="J7303">
        <v>-388.04149999999998</v>
      </c>
      <c r="K7303">
        <v>1.121529</v>
      </c>
      <c r="L7303">
        <v>17.53088</v>
      </c>
      <c r="M7303">
        <v>0.99984649999999997</v>
      </c>
      <c r="N7303">
        <v>-1.401617E-2</v>
      </c>
      <c r="O7303">
        <v>-1.052757E-2</v>
      </c>
      <c r="P7303">
        <v>0.99813090000000004</v>
      </c>
      <c r="Q7303">
        <v>-6.0838749999999997E-2</v>
      </c>
      <c r="R7303">
        <v>5.7878010000000004E-3</v>
      </c>
      <c r="S7303">
        <v>3.0054319999999999</v>
      </c>
      <c r="T7303">
        <v>1.3819690000000001E-2</v>
      </c>
      <c r="U7303">
        <v>0.1755371</v>
      </c>
      <c r="V7303">
        <v>-1.6252829999999999E-2</v>
      </c>
      <c r="W7303">
        <v>-4.6859629999999999E-2</v>
      </c>
      <c r="X7303">
        <v>0.99876920000000002</v>
      </c>
      <c r="Y7303">
        <v>-6.881437E-2</v>
      </c>
      <c r="Z7303">
        <v>1.288138E-4</v>
      </c>
      <c r="AA7303">
        <v>0.99762949999999995</v>
      </c>
      <c r="AB7303">
        <v>27</v>
      </c>
      <c r="AC7303">
        <v>114.63160000000001</v>
      </c>
      <c r="AD7303">
        <v>0.52820900000000004</v>
      </c>
      <c r="AE7303">
        <v>6.7107299999999999</v>
      </c>
      <c r="AF7303">
        <v>-7.9171010809299203</v>
      </c>
      <c r="AG7303">
        <v>0.52820900000000004</v>
      </c>
      <c r="AH7303">
        <v>114.55216774196199</v>
      </c>
      <c r="AI7303">
        <v>89.736435277057694</v>
      </c>
      <c r="AJ7303">
        <v>93.953624712710393</v>
      </c>
      <c r="AK7303">
        <v>114.82664598714</v>
      </c>
      <c r="AL7303">
        <v>92.685842722869594</v>
      </c>
      <c r="AM7303">
        <v>90.932283834746002</v>
      </c>
      <c r="AN7303">
        <v>0.99999994713769103</v>
      </c>
    </row>
    <row r="7304" spans="1:40" x14ac:dyDescent="0.25">
      <c r="A7304" t="str">
        <f>"20190303153951760"</f>
        <v>20190303153951760</v>
      </c>
      <c r="B7304" t="str">
        <f>"1551598791755665"</f>
        <v>1551598791755665</v>
      </c>
      <c r="C7304" t="s">
        <v>40</v>
      </c>
      <c r="D7304">
        <v>4.43344</v>
      </c>
      <c r="E7304">
        <v>0.50047680000000005</v>
      </c>
      <c r="F7304" t="s">
        <v>73</v>
      </c>
      <c r="G7304">
        <v>-273.40989999999999</v>
      </c>
      <c r="H7304">
        <v>2.3503210000000001</v>
      </c>
      <c r="I7304">
        <v>21.029070000000001</v>
      </c>
      <c r="J7304">
        <v>-387.90530000000001</v>
      </c>
      <c r="K7304">
        <v>1.1215059999999999</v>
      </c>
      <c r="L7304">
        <v>17.52975</v>
      </c>
      <c r="M7304">
        <v>0.99984870000000003</v>
      </c>
      <c r="N7304">
        <v>-1.4017490000000001E-2</v>
      </c>
      <c r="O7304">
        <v>-1.030582E-2</v>
      </c>
      <c r="P7304">
        <v>0.9981563</v>
      </c>
      <c r="Q7304">
        <v>-6.0450900000000002E-2</v>
      </c>
      <c r="R7304">
        <v>5.4431729999999999E-3</v>
      </c>
      <c r="S7304">
        <v>3.0070800000000002</v>
      </c>
      <c r="T7304">
        <v>3.2234430000000001E-2</v>
      </c>
      <c r="U7304">
        <v>9.1766360000000005E-2</v>
      </c>
      <c r="V7304">
        <v>-1.5690659999999999E-2</v>
      </c>
      <c r="W7304">
        <v>-4.6468460000000003E-2</v>
      </c>
      <c r="X7304">
        <v>0.99879649999999998</v>
      </c>
      <c r="Y7304">
        <v>-4.0800570000000001E-2</v>
      </c>
      <c r="Z7304">
        <v>-1.874546E-4</v>
      </c>
      <c r="AA7304">
        <v>0.99916729999999998</v>
      </c>
      <c r="AB7304">
        <v>27</v>
      </c>
      <c r="AC7304">
        <v>114.4954</v>
      </c>
      <c r="AD7304">
        <v>1.228815</v>
      </c>
      <c r="AE7304">
        <v>3.49932</v>
      </c>
      <c r="AF7304">
        <v>-4.6786805690526396</v>
      </c>
      <c r="AG7304">
        <v>1.228815</v>
      </c>
      <c r="AH7304">
        <v>114.440081957172</v>
      </c>
      <c r="AI7304">
        <v>89.385316339595505</v>
      </c>
      <c r="AJ7304">
        <v>92.341132948111394</v>
      </c>
      <c r="AK7304">
        <v>114.542273403908</v>
      </c>
      <c r="AL7304">
        <v>92.663405798095098</v>
      </c>
      <c r="AM7304">
        <v>90.900017822585994</v>
      </c>
      <c r="AN7304">
        <v>0.99999998149912805</v>
      </c>
    </row>
    <row r="7305" spans="1:40" x14ac:dyDescent="0.25">
      <c r="A7305" t="str">
        <f>"20190303153951771"</f>
        <v>20190303153951771</v>
      </c>
      <c r="B7305" t="str">
        <f>"1551598791765425"</f>
        <v>1551598791765425</v>
      </c>
      <c r="C7305" t="s">
        <v>40</v>
      </c>
      <c r="D7305">
        <v>4.3767189999999996</v>
      </c>
      <c r="E7305">
        <v>0.50335319999999995</v>
      </c>
      <c r="F7305" t="s">
        <v>76</v>
      </c>
      <c r="G7305">
        <v>-276.26159999999999</v>
      </c>
      <c r="H7305">
        <v>2.5721189999999998</v>
      </c>
      <c r="I7305">
        <v>18.1675</v>
      </c>
      <c r="J7305">
        <v>-387.76690000000002</v>
      </c>
      <c r="K7305">
        <v>1.121483</v>
      </c>
      <c r="L7305">
        <v>17.528589999999902</v>
      </c>
      <c r="M7305">
        <v>0.99985100000000005</v>
      </c>
      <c r="N7305">
        <v>-1.401876E-2</v>
      </c>
      <c r="O7305">
        <v>-1.008585E-2</v>
      </c>
      <c r="P7305">
        <v>0.99818989999999996</v>
      </c>
      <c r="Q7305">
        <v>-5.9907170000000003E-2</v>
      </c>
      <c r="R7305">
        <v>5.284909E-3</v>
      </c>
      <c r="S7305">
        <v>3.0077820000000002</v>
      </c>
      <c r="T7305">
        <v>3.9080860000000002E-2</v>
      </c>
      <c r="U7305">
        <v>1.7181399999999999E-2</v>
      </c>
      <c r="V7305">
        <v>-1.531623E-2</v>
      </c>
      <c r="W7305">
        <v>-4.5921650000000001E-2</v>
      </c>
      <c r="X7305">
        <v>0.99882760000000004</v>
      </c>
      <c r="Y7305">
        <v>-1.579504E-2</v>
      </c>
      <c r="Z7305">
        <v>-2.6431579999999999E-4</v>
      </c>
      <c r="AA7305">
        <v>0.99987519999999996</v>
      </c>
      <c r="AB7305">
        <v>27</v>
      </c>
      <c r="AC7305">
        <v>111.50530000000001</v>
      </c>
      <c r="AD7305">
        <v>1.45063599999999</v>
      </c>
      <c r="AE7305">
        <v>0.63891000000000198</v>
      </c>
      <c r="AF7305">
        <v>-1.7633151691415201</v>
      </c>
      <c r="AG7305">
        <v>1.45063599999999</v>
      </c>
      <c r="AH7305">
        <v>111.47431646922701</v>
      </c>
      <c r="AI7305">
        <v>89.254534701020106</v>
      </c>
      <c r="AJ7305">
        <v>90.906236478656297</v>
      </c>
      <c r="AK7305">
        <v>111.497698888684</v>
      </c>
      <c r="AL7305">
        <v>92.632042414371099</v>
      </c>
      <c r="AM7305">
        <v>90.878516537360696</v>
      </c>
      <c r="AN7305">
        <v>0.999999979680947</v>
      </c>
    </row>
    <row r="7306" spans="1:40" x14ac:dyDescent="0.25">
      <c r="A7306" t="str">
        <f>"20190303153951782"</f>
        <v>20190303153951782</v>
      </c>
      <c r="B7306" t="str">
        <f>"1551598791776161"</f>
        <v>1551598791776161</v>
      </c>
      <c r="C7306" t="s">
        <v>40</v>
      </c>
      <c r="D7306">
        <v>4.4081659999999996</v>
      </c>
      <c r="E7306">
        <v>0.50537869999999996</v>
      </c>
      <c r="F7306" t="s">
        <v>77</v>
      </c>
      <c r="G7306">
        <v>-276.36439999999999</v>
      </c>
      <c r="H7306">
        <v>2.6391979999999999</v>
      </c>
      <c r="I7306">
        <v>17.305869999999999</v>
      </c>
      <c r="J7306">
        <v>-387.6189</v>
      </c>
      <c r="K7306">
        <v>1.1214599999999999</v>
      </c>
      <c r="L7306">
        <v>17.527339999999999</v>
      </c>
      <c r="M7306">
        <v>0.99985310000000005</v>
      </c>
      <c r="N7306">
        <v>-1.401984E-2</v>
      </c>
      <c r="O7306">
        <v>-9.8695220000000004E-3</v>
      </c>
      <c r="P7306">
        <v>0.99823680000000004</v>
      </c>
      <c r="Q7306">
        <v>-5.9135340000000002E-2</v>
      </c>
      <c r="R7306">
        <v>5.1549350000000002E-3</v>
      </c>
      <c r="S7306">
        <v>3.0079039999999999</v>
      </c>
      <c r="T7306">
        <v>4.0978790000000001E-2</v>
      </c>
      <c r="U7306">
        <v>-6.0119630000000004E-3</v>
      </c>
      <c r="V7306">
        <v>-1.4974309999999999E-2</v>
      </c>
      <c r="W7306">
        <v>-4.514696E-2</v>
      </c>
      <c r="X7306">
        <v>0.99886810000000004</v>
      </c>
      <c r="Y7306">
        <v>-7.8681020000000001E-3</v>
      </c>
      <c r="Z7306">
        <v>-2.712522E-4</v>
      </c>
      <c r="AA7306">
        <v>0.999969</v>
      </c>
      <c r="AB7306">
        <v>27</v>
      </c>
      <c r="AC7306">
        <v>111.25449999999999</v>
      </c>
      <c r="AD7306">
        <v>1.51773799999999</v>
      </c>
      <c r="AE7306">
        <v>-0.221469999999996</v>
      </c>
      <c r="AF7306">
        <v>-0.87651422731805095</v>
      </c>
      <c r="AG7306">
        <v>1.51773799999999</v>
      </c>
      <c r="AH7306">
        <v>111.230565810475</v>
      </c>
      <c r="AI7306">
        <v>89.218273452589699</v>
      </c>
      <c r="AJ7306">
        <v>90.451490344116607</v>
      </c>
      <c r="AK7306">
        <v>111.244373234541</v>
      </c>
      <c r="AL7306">
        <v>92.587609858654801</v>
      </c>
      <c r="AM7306">
        <v>90.858872658194898</v>
      </c>
      <c r="AN7306">
        <v>0.99999997957741305</v>
      </c>
    </row>
    <row r="7307" spans="1:40" x14ac:dyDescent="0.25">
      <c r="A7307" t="str">
        <f>"20190303153951796"</f>
        <v>20190303153951796</v>
      </c>
      <c r="B7307" t="str">
        <f>"1551598791785920"</f>
        <v>1551598791785920</v>
      </c>
      <c r="C7307" t="s">
        <v>40</v>
      </c>
      <c r="D7307">
        <v>4.4070479999999996</v>
      </c>
      <c r="E7307">
        <v>0.50703209999999999</v>
      </c>
      <c r="F7307" t="s">
        <v>77</v>
      </c>
      <c r="G7307">
        <v>-277.17660000000001</v>
      </c>
      <c r="H7307">
        <v>2.6935980000000002</v>
      </c>
      <c r="I7307">
        <v>16.707079999999898</v>
      </c>
      <c r="J7307">
        <v>-387.46179999999998</v>
      </c>
      <c r="K7307">
        <v>1.1214409999999999</v>
      </c>
      <c r="L7307">
        <v>17.526060000000001</v>
      </c>
      <c r="M7307">
        <v>0.9998553</v>
      </c>
      <c r="N7307">
        <v>-1.402082E-2</v>
      </c>
      <c r="O7307">
        <v>-9.6488649999999995E-3</v>
      </c>
      <c r="P7307">
        <v>0.99830750000000001</v>
      </c>
      <c r="Q7307">
        <v>-5.7921359999999998E-2</v>
      </c>
      <c r="R7307">
        <v>5.2420359999999899E-3</v>
      </c>
      <c r="S7307">
        <v>3.0079959999999999</v>
      </c>
      <c r="T7307">
        <v>4.2818549999999997E-2</v>
      </c>
      <c r="U7307">
        <v>-2.233887E-2</v>
      </c>
      <c r="V7307">
        <v>-1.484509E-2</v>
      </c>
      <c r="W7307">
        <v>-4.3930249999999997E-2</v>
      </c>
      <c r="X7307">
        <v>0.99892429999999999</v>
      </c>
      <c r="Y7307">
        <v>-2.2197470000000002E-3</v>
      </c>
      <c r="Z7307">
        <v>-2.7285360000000003E-4</v>
      </c>
      <c r="AA7307">
        <v>0.99999749999999998</v>
      </c>
      <c r="AB7307">
        <v>27</v>
      </c>
      <c r="AC7307">
        <v>110.28519999999899</v>
      </c>
      <c r="AD7307">
        <v>1.572157</v>
      </c>
      <c r="AE7307">
        <v>-0.81898000000000304</v>
      </c>
      <c r="AF7307">
        <v>-0.24523975258592501</v>
      </c>
      <c r="AG7307">
        <v>1.572157</v>
      </c>
      <c r="AH7307">
        <v>110.26556160397</v>
      </c>
      <c r="AI7307">
        <v>89.183139018221993</v>
      </c>
      <c r="AJ7307">
        <v>90.127430354676207</v>
      </c>
      <c r="AK7307">
        <v>110.277041563545</v>
      </c>
      <c r="AL7307">
        <v>92.517828205879795</v>
      </c>
      <c r="AM7307">
        <v>90.851414262195306</v>
      </c>
      <c r="AN7307">
        <v>1.0000000003463301</v>
      </c>
    </row>
    <row r="7308" spans="1:40" x14ac:dyDescent="0.25">
      <c r="A7308" t="str">
        <f>"20190303153951809"</f>
        <v>20190303153951809</v>
      </c>
      <c r="B7308" t="str">
        <f>"1551598791805949"</f>
        <v>1551598791805949</v>
      </c>
      <c r="C7308" t="s">
        <v>40</v>
      </c>
      <c r="D7308">
        <v>4.3828170000000002</v>
      </c>
      <c r="E7308">
        <v>0.50938620000000001</v>
      </c>
      <c r="F7308" t="s">
        <v>77</v>
      </c>
      <c r="G7308">
        <v>-276.5138</v>
      </c>
      <c r="H7308">
        <v>2.8454139999999999</v>
      </c>
      <c r="I7308">
        <v>16.23152</v>
      </c>
      <c r="J7308">
        <v>-387.29950000000002</v>
      </c>
      <c r="K7308">
        <v>1.1214249999999999</v>
      </c>
      <c r="L7308">
        <v>17.52478</v>
      </c>
      <c r="M7308">
        <v>0.99985729999999995</v>
      </c>
      <c r="N7308">
        <v>-1.402167E-2</v>
      </c>
      <c r="O7308">
        <v>-9.4293559999999998E-3</v>
      </c>
      <c r="P7308">
        <v>0.99838780000000005</v>
      </c>
      <c r="Q7308">
        <v>-5.649647E-2</v>
      </c>
      <c r="R7308">
        <v>5.4824749999999997E-3</v>
      </c>
      <c r="S7308">
        <v>3.007965</v>
      </c>
      <c r="T7308">
        <v>4.6739459999999997E-2</v>
      </c>
      <c r="U7308">
        <v>-3.5095210000000002E-2</v>
      </c>
      <c r="V7308">
        <v>-1.486935E-2</v>
      </c>
      <c r="W7308">
        <v>-4.2502860000000003E-2</v>
      </c>
      <c r="X7308">
        <v>0.99898569999999998</v>
      </c>
      <c r="Y7308">
        <v>2.2405680000000001E-3</v>
      </c>
      <c r="Z7308">
        <v>-2.770103E-4</v>
      </c>
      <c r="AA7308">
        <v>0.99999740000000004</v>
      </c>
      <c r="AB7308">
        <v>27</v>
      </c>
      <c r="AC7308">
        <v>110.78570000000001</v>
      </c>
      <c r="AD7308">
        <v>1.723989</v>
      </c>
      <c r="AE7308">
        <v>-1.2932600000000001</v>
      </c>
      <c r="AF7308">
        <v>0.248401910575964</v>
      </c>
      <c r="AG7308">
        <v>1.723989</v>
      </c>
      <c r="AH7308">
        <v>110.766150174446</v>
      </c>
      <c r="AI7308">
        <v>89.108309982737893</v>
      </c>
      <c r="AJ7308">
        <v>89.871509868153197</v>
      </c>
      <c r="AK7308">
        <v>110.77984413262701</v>
      </c>
      <c r="AL7308">
        <v>92.435968273895</v>
      </c>
      <c r="AM7308">
        <v>90.852753039207997</v>
      </c>
      <c r="AN7308">
        <v>1.00000000974104</v>
      </c>
    </row>
    <row r="7309" spans="1:40" x14ac:dyDescent="0.25">
      <c r="A7309" t="str">
        <f>"20190303153951828"</f>
        <v>20190303153951828</v>
      </c>
      <c r="B7309" t="str">
        <f>"1551598791815710"</f>
        <v>1551598791815710</v>
      </c>
      <c r="C7309" t="s">
        <v>40</v>
      </c>
      <c r="D7309">
        <v>4.3745260000000004</v>
      </c>
      <c r="E7309">
        <v>0.51025829999999905</v>
      </c>
      <c r="F7309" t="s">
        <v>77</v>
      </c>
      <c r="G7309">
        <v>-276.71159999999998</v>
      </c>
      <c r="H7309">
        <v>2.9757989999999999</v>
      </c>
      <c r="I7309">
        <v>15.5792</v>
      </c>
      <c r="J7309">
        <v>-387.07119999999998</v>
      </c>
      <c r="K7309">
        <v>1.1214219999999999</v>
      </c>
      <c r="L7309">
        <v>17.523009999999999</v>
      </c>
      <c r="M7309">
        <v>0.99985999999999997</v>
      </c>
      <c r="N7309">
        <v>-1.402231E-2</v>
      </c>
      <c r="O7309">
        <v>-9.1355610000000004E-3</v>
      </c>
      <c r="P7309">
        <v>0.9984847</v>
      </c>
      <c r="Q7309">
        <v>-5.4652810000000003E-2</v>
      </c>
      <c r="R7309">
        <v>6.4541019999999998E-3</v>
      </c>
      <c r="S7309">
        <v>3.007965</v>
      </c>
      <c r="T7309">
        <v>5.0438520000000001E-2</v>
      </c>
      <c r="U7309">
        <v>-5.2917480000000003E-2</v>
      </c>
      <c r="V7309">
        <v>-1.555173E-2</v>
      </c>
      <c r="W7309">
        <v>-4.0657249999999999E-2</v>
      </c>
      <c r="X7309">
        <v>0.9990521</v>
      </c>
      <c r="Y7309">
        <v>8.4580850000000006E-3</v>
      </c>
      <c r="Z7309">
        <v>-2.6965179999999999E-4</v>
      </c>
      <c r="AA7309">
        <v>0.99996419999999997</v>
      </c>
      <c r="AB7309">
        <v>27</v>
      </c>
      <c r="AC7309">
        <v>110.3596</v>
      </c>
      <c r="AD7309">
        <v>1.8543769999999999</v>
      </c>
      <c r="AE7309">
        <v>-1.94380999999999</v>
      </c>
      <c r="AF7309">
        <v>0.93516897412219202</v>
      </c>
      <c r="AG7309">
        <v>1.8543769999999999</v>
      </c>
      <c r="AH7309">
        <v>110.341608883654</v>
      </c>
      <c r="AI7309">
        <v>89.0372248399363</v>
      </c>
      <c r="AJ7309">
        <v>89.514417516243398</v>
      </c>
      <c r="AK7309">
        <v>110.36115216008599</v>
      </c>
      <c r="AL7309">
        <v>92.330131126996406</v>
      </c>
      <c r="AM7309">
        <v>90.891821889947096</v>
      </c>
      <c r="AN7309">
        <v>0.999999983398982</v>
      </c>
    </row>
    <row r="7310" spans="1:40" x14ac:dyDescent="0.25">
      <c r="A7310" t="str">
        <f>"20190303153951842"</f>
        <v>20190303153951842</v>
      </c>
      <c r="B7310" t="str">
        <f>"1551598791835229"</f>
        <v>1551598791835229</v>
      </c>
      <c r="C7310" t="s">
        <v>40</v>
      </c>
      <c r="D7310">
        <v>4.3801319999999997</v>
      </c>
      <c r="E7310">
        <v>0.51172119999999999</v>
      </c>
      <c r="F7310" t="s">
        <v>77</v>
      </c>
      <c r="G7310">
        <v>-276.81580000000002</v>
      </c>
      <c r="H7310">
        <v>3.1629399999999999</v>
      </c>
      <c r="I7310">
        <v>15.453519999999999</v>
      </c>
      <c r="J7310">
        <v>-386.90300000000002</v>
      </c>
      <c r="K7310">
        <v>1.121413</v>
      </c>
      <c r="L7310">
        <v>17.521699999999999</v>
      </c>
      <c r="M7310">
        <v>0.99986200000000003</v>
      </c>
      <c r="N7310">
        <v>-1.4022639999999999E-2</v>
      </c>
      <c r="O7310">
        <v>-8.9251799999999996E-3</v>
      </c>
      <c r="P7310">
        <v>0.99852419999999997</v>
      </c>
      <c r="Q7310">
        <v>-5.3872469999999999E-2</v>
      </c>
      <c r="R7310">
        <v>6.8924700000000004E-3</v>
      </c>
      <c r="S7310">
        <v>3.007965</v>
      </c>
      <c r="T7310">
        <v>5.5696250000000003E-2</v>
      </c>
      <c r="U7310">
        <v>-5.6457519999999997E-2</v>
      </c>
      <c r="V7310">
        <v>-1.5781839999999998E-2</v>
      </c>
      <c r="W7310">
        <v>-3.9875939999999999E-2</v>
      </c>
      <c r="X7310">
        <v>0.99907999999999997</v>
      </c>
      <c r="Y7310">
        <v>9.8451179999999999E-3</v>
      </c>
      <c r="Z7310">
        <v>-2.6826839999999997E-4</v>
      </c>
      <c r="AA7310">
        <v>0.99995149999999999</v>
      </c>
      <c r="AB7310">
        <v>27</v>
      </c>
      <c r="AC7310">
        <v>110.0872</v>
      </c>
      <c r="AD7310">
        <v>2.0415269999999999</v>
      </c>
      <c r="AE7310">
        <v>-2.0681799999999901</v>
      </c>
      <c r="AF7310">
        <v>1.08508003874464</v>
      </c>
      <c r="AG7310">
        <v>2.0415269999999999</v>
      </c>
      <c r="AH7310">
        <v>110.063437185963</v>
      </c>
      <c r="AI7310">
        <v>88.937414731963202</v>
      </c>
      <c r="AJ7310">
        <v>89.435157631177702</v>
      </c>
      <c r="AK7310">
        <v>110.087717009531</v>
      </c>
      <c r="AL7310">
        <v>92.285328981924707</v>
      </c>
      <c r="AM7310">
        <v>90.904990217526304</v>
      </c>
      <c r="AN7310">
        <v>1.0000000017323301</v>
      </c>
    </row>
    <row r="7311" spans="1:40" x14ac:dyDescent="0.25">
      <c r="A7311" t="str">
        <f>"20190303153951859"</f>
        <v>20190303153951859</v>
      </c>
      <c r="B7311" t="str">
        <f>"1551598791855725"</f>
        <v>1551598791855725</v>
      </c>
      <c r="C7311" t="s">
        <v>40</v>
      </c>
      <c r="D7311">
        <v>4.352887</v>
      </c>
      <c r="E7311">
        <v>0.51244970000000001</v>
      </c>
      <c r="F7311" t="s">
        <v>73</v>
      </c>
      <c r="G7311">
        <v>-274.15660000000003</v>
      </c>
      <c r="H7311">
        <v>3.2684060000000001</v>
      </c>
      <c r="I7311">
        <v>15.02352</v>
      </c>
      <c r="J7311">
        <v>-386.6934</v>
      </c>
      <c r="K7311">
        <v>1.1214040000000001</v>
      </c>
      <c r="L7311">
        <v>17.520109999999999</v>
      </c>
      <c r="M7311">
        <v>0.99986419999999998</v>
      </c>
      <c r="N7311">
        <v>-1.402287E-2</v>
      </c>
      <c r="O7311">
        <v>-8.6669959999999997E-3</v>
      </c>
      <c r="P7311">
        <v>0.99847050000000004</v>
      </c>
      <c r="Q7311">
        <v>-5.4842019999999998E-2</v>
      </c>
      <c r="R7311">
        <v>7.0116179999999998E-3</v>
      </c>
      <c r="S7311">
        <v>3.0080260000000001</v>
      </c>
      <c r="T7311">
        <v>5.7280900000000003E-2</v>
      </c>
      <c r="U7311">
        <v>-6.6650390000000004E-2</v>
      </c>
      <c r="V7311">
        <v>-1.5642590000000001E-2</v>
      </c>
      <c r="W7311">
        <v>-4.0845489999999998E-2</v>
      </c>
      <c r="X7311">
        <v>0.99904300000000001</v>
      </c>
      <c r="Y7311">
        <v>1.3489620000000001E-2</v>
      </c>
      <c r="Z7311">
        <v>-2.5270240000000002E-4</v>
      </c>
      <c r="AA7311">
        <v>0.99990900000000005</v>
      </c>
      <c r="AB7311">
        <v>27</v>
      </c>
      <c r="AC7311">
        <v>112.536799999999</v>
      </c>
      <c r="AD7311">
        <v>2.1470020000000001</v>
      </c>
      <c r="AE7311">
        <v>-2.4965899999999901</v>
      </c>
      <c r="AF7311">
        <v>1.52049123682349</v>
      </c>
      <c r="AG7311">
        <v>2.1470020000000001</v>
      </c>
      <c r="AH7311">
        <v>112.513280174302</v>
      </c>
      <c r="AI7311">
        <v>88.9069023843726</v>
      </c>
      <c r="AJ7311">
        <v>89.225758703236295</v>
      </c>
      <c r="AK7311">
        <v>112.544034612103</v>
      </c>
      <c r="AL7311">
        <v>92.340925458726502</v>
      </c>
      <c r="AM7311">
        <v>90.897039623545993</v>
      </c>
      <c r="AN7311">
        <v>0.999999980262123</v>
      </c>
    </row>
    <row r="7312" spans="1:40" x14ac:dyDescent="0.25">
      <c r="A7312" t="str">
        <f>"20190303153951872"</f>
        <v>20190303153951872</v>
      </c>
      <c r="B7312" t="str">
        <f>"1551598791865486"</f>
        <v>1551598791865486</v>
      </c>
      <c r="C7312" t="s">
        <v>40</v>
      </c>
      <c r="D7312">
        <v>4.3545740000000004</v>
      </c>
      <c r="E7312">
        <v>0.51262829999999904</v>
      </c>
      <c r="F7312" t="s">
        <v>73</v>
      </c>
      <c r="G7312">
        <v>-274.15660000000003</v>
      </c>
      <c r="H7312">
        <v>3.1193620000000002</v>
      </c>
      <c r="I7312">
        <v>14.81761</v>
      </c>
      <c r="J7312">
        <v>-386.53250000000003</v>
      </c>
      <c r="K7312">
        <v>1.1213979999999999</v>
      </c>
      <c r="L7312">
        <v>17.51895</v>
      </c>
      <c r="M7312">
        <v>0.99986580000000003</v>
      </c>
      <c r="N7312">
        <v>-1.4022899999999901E-2</v>
      </c>
      <c r="O7312">
        <v>-8.4715799999999994E-3</v>
      </c>
      <c r="P7312">
        <v>0.99841659999999999</v>
      </c>
      <c r="Q7312">
        <v>-5.5883910000000002E-2</v>
      </c>
      <c r="R7312">
        <v>6.444946E-3</v>
      </c>
      <c r="S7312">
        <v>3.0079959999999999</v>
      </c>
      <c r="T7312">
        <v>5.34035E-2</v>
      </c>
      <c r="U7312">
        <v>-7.2235110000000005E-2</v>
      </c>
      <c r="V7312">
        <v>-1.488021E-2</v>
      </c>
      <c r="W7312">
        <v>-4.1887290000000001E-2</v>
      </c>
      <c r="X7312">
        <v>0.99901150000000005</v>
      </c>
      <c r="Y7312">
        <v>1.554037E-2</v>
      </c>
      <c r="Z7312">
        <v>-2.4020009999999999E-4</v>
      </c>
      <c r="AA7312">
        <v>0.99987919999999997</v>
      </c>
      <c r="AB7312">
        <v>27</v>
      </c>
      <c r="AC7312">
        <v>112.3759</v>
      </c>
      <c r="AD7312">
        <v>1.9979640000000001</v>
      </c>
      <c r="AE7312">
        <v>-2.7013400000000001</v>
      </c>
      <c r="AF7312">
        <v>1.7485955979521</v>
      </c>
      <c r="AG7312">
        <v>1.9979640000000001</v>
      </c>
      <c r="AH7312">
        <v>112.359256910547</v>
      </c>
      <c r="AI7312">
        <v>88.981401362707999</v>
      </c>
      <c r="AJ7312">
        <v>89.108404028569097</v>
      </c>
      <c r="AK7312">
        <v>112.39062265243</v>
      </c>
      <c r="AL7312">
        <v>92.400667363344397</v>
      </c>
      <c r="AM7312">
        <v>90.853353729459698</v>
      </c>
      <c r="AN7312">
        <v>0.99999997142271801</v>
      </c>
    </row>
    <row r="7313" spans="1:40" x14ac:dyDescent="0.25">
      <c r="A7313" t="str">
        <f>"20190303153951884"</f>
        <v>20190303153951884</v>
      </c>
      <c r="B7313" t="str">
        <f>"1551598791875245"</f>
        <v>1551598791875245</v>
      </c>
      <c r="C7313" t="s">
        <v>40</v>
      </c>
      <c r="D7313">
        <v>4.3965690000000004</v>
      </c>
      <c r="E7313">
        <v>0.5129148</v>
      </c>
      <c r="F7313" t="s">
        <v>73</v>
      </c>
      <c r="G7313">
        <v>-274.15660000000003</v>
      </c>
      <c r="H7313">
        <v>2.948763</v>
      </c>
      <c r="I7313">
        <v>14.69829</v>
      </c>
      <c r="J7313">
        <v>-386.38389999999998</v>
      </c>
      <c r="K7313">
        <v>1.1213959999999901</v>
      </c>
      <c r="L7313">
        <v>17.517879999999899</v>
      </c>
      <c r="M7313">
        <v>0.99986739999999996</v>
      </c>
      <c r="N7313">
        <v>-1.402277E-2</v>
      </c>
      <c r="O7313">
        <v>-8.2927139999999996E-3</v>
      </c>
      <c r="P7313">
        <v>0.99838380000000004</v>
      </c>
      <c r="Q7313">
        <v>-5.6555439999999998E-2</v>
      </c>
      <c r="R7313">
        <v>5.615826E-3</v>
      </c>
      <c r="S7313">
        <v>3.007965</v>
      </c>
      <c r="T7313">
        <v>4.8913119999999997E-2</v>
      </c>
      <c r="U7313">
        <v>-7.5500490000000003E-2</v>
      </c>
      <c r="V7313">
        <v>-1.3872300000000001E-2</v>
      </c>
      <c r="W7313">
        <v>-4.2558550000000001E-2</v>
      </c>
      <c r="X7313">
        <v>0.99899769999999999</v>
      </c>
      <c r="Y7313">
        <v>1.6803999999999999E-2</v>
      </c>
      <c r="Z7313">
        <v>-2.3232719999999999E-4</v>
      </c>
      <c r="AA7313">
        <v>0.99985880000000005</v>
      </c>
      <c r="AB7313">
        <v>27</v>
      </c>
      <c r="AC7313">
        <v>112.227299999999</v>
      </c>
      <c r="AD7313">
        <v>1.827367</v>
      </c>
      <c r="AE7313">
        <v>-2.81958999999999</v>
      </c>
      <c r="AF7313">
        <v>1.8882324094560199</v>
      </c>
      <c r="AG7313">
        <v>1.827367</v>
      </c>
      <c r="AH7313">
        <v>112.21709158815</v>
      </c>
      <c r="AI7313">
        <v>89.067197813013905</v>
      </c>
      <c r="AJ7313">
        <v>89.035997659166</v>
      </c>
      <c r="AK7313">
        <v>112.24785225690501</v>
      </c>
      <c r="AL7313">
        <v>92.439161897256398</v>
      </c>
      <c r="AM7313">
        <v>90.795570560549393</v>
      </c>
      <c r="AN7313">
        <v>1.00000003774534</v>
      </c>
    </row>
    <row r="7314" spans="1:40" x14ac:dyDescent="0.25">
      <c r="A7314" t="str">
        <f>"20190303153951896"</f>
        <v>20190303153951896</v>
      </c>
      <c r="B7314" t="str">
        <f>"1551598791885981"</f>
        <v>1551598791885981</v>
      </c>
      <c r="C7314" t="s">
        <v>40</v>
      </c>
      <c r="D7314">
        <v>4.393726</v>
      </c>
      <c r="E7314">
        <v>0.51316830000000002</v>
      </c>
      <c r="F7314" t="s">
        <v>73</v>
      </c>
      <c r="G7314">
        <v>-274.15660000000003</v>
      </c>
      <c r="H7314">
        <v>2.8524790000000002</v>
      </c>
      <c r="I7314">
        <v>14.517580000000001</v>
      </c>
      <c r="J7314">
        <v>-386.23970000000003</v>
      </c>
      <c r="K7314">
        <v>1.1213919999999999</v>
      </c>
      <c r="L7314">
        <v>17.51688</v>
      </c>
      <c r="M7314">
        <v>0.99986870000000005</v>
      </c>
      <c r="N7314">
        <v>-1.402254E-2</v>
      </c>
      <c r="O7314">
        <v>-8.1195580000000007E-3</v>
      </c>
      <c r="P7314">
        <v>0.99836210000000003</v>
      </c>
      <c r="Q7314">
        <v>-5.7009339999999999E-2</v>
      </c>
      <c r="R7314">
        <v>4.7832229999999996E-3</v>
      </c>
      <c r="S7314">
        <v>3.0079039999999999</v>
      </c>
      <c r="T7314">
        <v>4.6396369999999999E-2</v>
      </c>
      <c r="U7314">
        <v>-8.0413819999999997E-2</v>
      </c>
      <c r="V7314">
        <v>-1.286692E-2</v>
      </c>
      <c r="W7314">
        <v>-4.3012149999999999E-2</v>
      </c>
      <c r="X7314">
        <v>0.99899170000000004</v>
      </c>
      <c r="Y7314">
        <v>1.86096E-2</v>
      </c>
      <c r="Z7314">
        <v>-2.260583E-4</v>
      </c>
      <c r="AA7314">
        <v>0.99982680000000002</v>
      </c>
      <c r="AB7314">
        <v>27</v>
      </c>
      <c r="AC7314">
        <v>112.0831</v>
      </c>
      <c r="AD7314">
        <v>1.731087</v>
      </c>
      <c r="AE7314">
        <v>-2.9992999999999999</v>
      </c>
      <c r="AF7314">
        <v>2.0885485403711201</v>
      </c>
      <c r="AG7314">
        <v>1.731087</v>
      </c>
      <c r="AH7314">
        <v>112.077044433412</v>
      </c>
      <c r="AI7314">
        <v>89.115261464112805</v>
      </c>
      <c r="AJ7314">
        <v>88.932420385425104</v>
      </c>
      <c r="AK7314">
        <v>112.10986837087999</v>
      </c>
      <c r="AL7314">
        <v>92.465175151925393</v>
      </c>
      <c r="AM7314">
        <v>90.737923497340404</v>
      </c>
      <c r="AN7314">
        <v>1.0000000096733901</v>
      </c>
    </row>
    <row r="7315" spans="1:40" x14ac:dyDescent="0.25">
      <c r="A7315" t="str">
        <f>"20190303153951907"</f>
        <v>20190303153951907</v>
      </c>
      <c r="B7315" t="str">
        <f>"1551598791895272"</f>
        <v>1551598791895272</v>
      </c>
      <c r="C7315" t="s">
        <v>40</v>
      </c>
      <c r="D7315">
        <v>4.360023</v>
      </c>
      <c r="E7315">
        <v>0.51344749999999995</v>
      </c>
      <c r="F7315" t="s">
        <v>73</v>
      </c>
      <c r="G7315">
        <v>-274.15660000000003</v>
      </c>
      <c r="H7315">
        <v>2.7720180000000001</v>
      </c>
      <c r="I7315">
        <v>14.34634</v>
      </c>
      <c r="J7315">
        <v>-386.09859999999998</v>
      </c>
      <c r="K7315">
        <v>1.1213900000000001</v>
      </c>
      <c r="L7315">
        <v>17.515899999999998</v>
      </c>
      <c r="M7315">
        <v>0.99987009999999998</v>
      </c>
      <c r="N7315">
        <v>-1.402224E-2</v>
      </c>
      <c r="O7315">
        <v>-7.9502110000000004E-3</v>
      </c>
      <c r="P7315">
        <v>0.99836329999999995</v>
      </c>
      <c r="Q7315">
        <v>-5.7078209999999997E-2</v>
      </c>
      <c r="R7315">
        <v>3.6018640000000002E-3</v>
      </c>
      <c r="S7315">
        <v>3.0078130000000001</v>
      </c>
      <c r="T7315">
        <v>4.4295550000000003E-2</v>
      </c>
      <c r="U7315">
        <v>-8.5083010000000001E-2</v>
      </c>
      <c r="V7315">
        <v>-1.151688E-2</v>
      </c>
      <c r="W7315">
        <v>-4.308033E-2</v>
      </c>
      <c r="X7315">
        <v>0.99900529999999998</v>
      </c>
      <c r="Y7315">
        <v>2.0330500000000001E-2</v>
      </c>
      <c r="Z7315">
        <v>-2.214141E-4</v>
      </c>
      <c r="AA7315">
        <v>0.9997933</v>
      </c>
      <c r="AB7315">
        <v>27</v>
      </c>
      <c r="AC7315">
        <v>111.941999999999</v>
      </c>
      <c r="AD7315">
        <v>1.650628</v>
      </c>
      <c r="AE7315">
        <v>-3.1695599999999899</v>
      </c>
      <c r="AF7315">
        <v>2.2789147061664399</v>
      </c>
      <c r="AG7315">
        <v>1.650628</v>
      </c>
      <c r="AH7315">
        <v>111.93934362864201</v>
      </c>
      <c r="AI7315">
        <v>89.155367786094999</v>
      </c>
      <c r="AJ7315">
        <v>88.833706224551904</v>
      </c>
      <c r="AK7315">
        <v>111.974705523361</v>
      </c>
      <c r="AL7315">
        <v>92.469085049950294</v>
      </c>
      <c r="AM7315">
        <v>90.660496382447604</v>
      </c>
      <c r="AN7315">
        <v>1.00000007139296</v>
      </c>
    </row>
    <row r="7316" spans="1:40" x14ac:dyDescent="0.25">
      <c r="A7316" t="str">
        <f>"20190303153951920"</f>
        <v>20190303153951920</v>
      </c>
      <c r="B7316" t="str">
        <f>"1551598791915385"</f>
        <v>1551598791915385</v>
      </c>
      <c r="C7316" t="s">
        <v>40</v>
      </c>
      <c r="D7316">
        <v>4.3745880000000001</v>
      </c>
      <c r="E7316">
        <v>0.51398100000000002</v>
      </c>
      <c r="F7316" t="s">
        <v>73</v>
      </c>
      <c r="G7316">
        <v>-274.15660000000003</v>
      </c>
      <c r="H7316">
        <v>2.7464620000000002</v>
      </c>
      <c r="I7316">
        <v>14.12782</v>
      </c>
      <c r="J7316">
        <v>-385.95479999999998</v>
      </c>
      <c r="K7316">
        <v>1.121394</v>
      </c>
      <c r="L7316">
        <v>17.514979999999898</v>
      </c>
      <c r="M7316">
        <v>0.99987159999999997</v>
      </c>
      <c r="N7316">
        <v>-1.4021809999999999E-2</v>
      </c>
      <c r="O7316">
        <v>-7.7777489999999996E-3</v>
      </c>
      <c r="P7316">
        <v>0.99840859999999998</v>
      </c>
      <c r="Q7316">
        <v>-5.6331840000000001E-2</v>
      </c>
      <c r="R7316">
        <v>2.6846769999999999E-3</v>
      </c>
      <c r="S7316">
        <v>3.0077509999999998</v>
      </c>
      <c r="T7316">
        <v>4.3663859999999999E-2</v>
      </c>
      <c r="U7316">
        <v>-9.1033939999999994E-2</v>
      </c>
      <c r="V7316">
        <v>-1.0428720000000001E-2</v>
      </c>
      <c r="W7316">
        <v>-4.2333089999999997E-2</v>
      </c>
      <c r="X7316">
        <v>0.99904910000000002</v>
      </c>
      <c r="Y7316">
        <v>2.2479809999999999E-2</v>
      </c>
      <c r="Z7316">
        <v>-2.164286E-4</v>
      </c>
      <c r="AA7316">
        <v>0.99974730000000001</v>
      </c>
      <c r="AB7316">
        <v>27</v>
      </c>
      <c r="AC7316">
        <v>111.798199999999</v>
      </c>
      <c r="AD7316">
        <v>1.62506799999999</v>
      </c>
      <c r="AE7316">
        <v>-3.38715999999999</v>
      </c>
      <c r="AF7316">
        <v>2.5169025343160301</v>
      </c>
      <c r="AG7316">
        <v>1.62506799999999</v>
      </c>
      <c r="AH7316">
        <v>111.79756507927701</v>
      </c>
      <c r="AI7316">
        <v>89.167429101257596</v>
      </c>
      <c r="AJ7316">
        <v>88.710315947587603</v>
      </c>
      <c r="AK7316">
        <v>111.837700271541</v>
      </c>
      <c r="AL7316">
        <v>92.426232487543899</v>
      </c>
      <c r="AM7316">
        <v>90.598068643567501</v>
      </c>
      <c r="AN7316">
        <v>0.99999997646029803</v>
      </c>
    </row>
    <row r="7317" spans="1:40" x14ac:dyDescent="0.25">
      <c r="A7317" t="str">
        <f>"20190303153951937"</f>
        <v>20190303153951937</v>
      </c>
      <c r="B7317" t="str">
        <f>"1551598791926119"</f>
        <v>1551598791926119</v>
      </c>
      <c r="C7317" t="s">
        <v>40</v>
      </c>
      <c r="D7317">
        <v>4.3775680000000001</v>
      </c>
      <c r="E7317">
        <v>0.51415339999999998</v>
      </c>
      <c r="F7317" t="s">
        <v>73</v>
      </c>
      <c r="G7317">
        <v>-274.49669999999998</v>
      </c>
      <c r="H7317">
        <v>2.8396729999999999</v>
      </c>
      <c r="I7317">
        <v>13.877940000000001</v>
      </c>
      <c r="J7317">
        <v>-385.73599999999999</v>
      </c>
      <c r="K7317">
        <v>1.1214040000000001</v>
      </c>
      <c r="L7317">
        <v>17.513549999999999</v>
      </c>
      <c r="M7317">
        <v>0.99987349999999997</v>
      </c>
      <c r="N7317">
        <v>-1.402104E-2</v>
      </c>
      <c r="O7317">
        <v>-7.5156509999999999E-3</v>
      </c>
      <c r="P7317">
        <v>0.99854270000000001</v>
      </c>
      <c r="Q7317">
        <v>-5.3955089999999997E-2</v>
      </c>
      <c r="R7317">
        <v>1.2366460000000001E-3</v>
      </c>
      <c r="S7317">
        <v>3.00766</v>
      </c>
      <c r="T7317">
        <v>4.6367289999999999E-2</v>
      </c>
      <c r="U7317">
        <v>-9.8144529999999994E-2</v>
      </c>
      <c r="V7317">
        <v>-8.7212490000000004E-3</v>
      </c>
      <c r="W7317">
        <v>-3.9954299999999998E-2</v>
      </c>
      <c r="X7317">
        <v>0.99916340000000003</v>
      </c>
      <c r="Y7317">
        <v>2.5103839999999999E-2</v>
      </c>
      <c r="Z7317">
        <v>-2.0377359999999999E-4</v>
      </c>
      <c r="AA7317">
        <v>0.99968480000000004</v>
      </c>
      <c r="AB7317">
        <v>27</v>
      </c>
      <c r="AC7317">
        <v>111.2393</v>
      </c>
      <c r="AD7317">
        <v>1.7182689999999901</v>
      </c>
      <c r="AE7317">
        <v>-3.6356099999999998</v>
      </c>
      <c r="AF7317">
        <v>2.7987223356399</v>
      </c>
      <c r="AG7317">
        <v>1.7182689999999901</v>
      </c>
      <c r="AH7317">
        <v>111.236971783448</v>
      </c>
      <c r="AI7317">
        <v>89.115306784161007</v>
      </c>
      <c r="AJ7317">
        <v>88.558742189177195</v>
      </c>
      <c r="AK7317">
        <v>111.285440137603</v>
      </c>
      <c r="AL7317">
        <v>92.289822371461199</v>
      </c>
      <c r="AM7317">
        <v>90.500096450972407</v>
      </c>
      <c r="AN7317">
        <v>0.99999995308608403</v>
      </c>
    </row>
    <row r="7318" spans="1:40" x14ac:dyDescent="0.25">
      <c r="A7318" t="str">
        <f>"20190303153951950"</f>
        <v>20190303153951950</v>
      </c>
      <c r="B7318" t="str">
        <f>"1551598791945639"</f>
        <v>1551598791945639</v>
      </c>
      <c r="C7318" t="s">
        <v>40</v>
      </c>
      <c r="D7318">
        <v>4.4126240000000001</v>
      </c>
      <c r="E7318">
        <v>0.51437390000000005</v>
      </c>
      <c r="F7318" t="s">
        <v>73</v>
      </c>
      <c r="G7318">
        <v>-274.49669999999998</v>
      </c>
      <c r="H7318">
        <v>3.0742660000000002</v>
      </c>
      <c r="I7318">
        <v>13.66319</v>
      </c>
      <c r="J7318">
        <v>-385.58870000000002</v>
      </c>
      <c r="K7318">
        <v>1.1214120000000001</v>
      </c>
      <c r="L7318">
        <v>17.512599999999999</v>
      </c>
      <c r="M7318">
        <v>0.99987470000000001</v>
      </c>
      <c r="N7318">
        <v>-1.402046E-2</v>
      </c>
      <c r="O7318">
        <v>-7.3397219999999999E-3</v>
      </c>
      <c r="P7318">
        <v>0.99861230000000001</v>
      </c>
      <c r="Q7318">
        <v>-5.2655029999999999E-2</v>
      </c>
      <c r="R7318">
        <v>1.0167240000000001E-3</v>
      </c>
      <c r="S7318">
        <v>3.0073850000000002</v>
      </c>
      <c r="T7318">
        <v>5.2796240000000001E-2</v>
      </c>
      <c r="U7318">
        <v>-0.10409549999999999</v>
      </c>
      <c r="V7318">
        <v>-8.3267080000000004E-3</v>
      </c>
      <c r="W7318">
        <v>-3.8653689999999997E-2</v>
      </c>
      <c r="X7318">
        <v>0.99921800000000005</v>
      </c>
      <c r="Y7318">
        <v>2.725839E-2</v>
      </c>
      <c r="Z7318">
        <v>-1.83649E-4</v>
      </c>
      <c r="AA7318">
        <v>0.99962839999999997</v>
      </c>
      <c r="AB7318">
        <v>27</v>
      </c>
      <c r="AC7318">
        <v>111.092</v>
      </c>
      <c r="AD7318">
        <v>1.9528540000000001</v>
      </c>
      <c r="AE7318">
        <v>-3.84940999999999</v>
      </c>
      <c r="AF7318">
        <v>3.0329056075313798</v>
      </c>
      <c r="AG7318">
        <v>1.9528540000000001</v>
      </c>
      <c r="AH7318">
        <v>111.08297870110501</v>
      </c>
      <c r="AI7318">
        <v>88.993211200074697</v>
      </c>
      <c r="AJ7318">
        <v>88.436038245742097</v>
      </c>
      <c r="AK7318">
        <v>111.141532796159</v>
      </c>
      <c r="AL7318">
        <v>92.2152451100294</v>
      </c>
      <c r="AM7318">
        <v>90.4774475467282</v>
      </c>
      <c r="AN7318">
        <v>1.0000000266703599</v>
      </c>
    </row>
    <row r="7319" spans="1:40" x14ac:dyDescent="0.25">
      <c r="A7319" t="str">
        <f>"20190303153951963"</f>
        <v>20190303153951963</v>
      </c>
      <c r="B7319" t="str">
        <f>"1551598791955398"</f>
        <v>1551598791955398</v>
      </c>
      <c r="C7319" t="s">
        <v>40</v>
      </c>
      <c r="D7319">
        <v>4.3783669999999999</v>
      </c>
      <c r="E7319">
        <v>0.51447579999999904</v>
      </c>
      <c r="F7319" t="s">
        <v>73</v>
      </c>
      <c r="G7319">
        <v>-274.49669999999998</v>
      </c>
      <c r="H7319">
        <v>3.1776749999999998</v>
      </c>
      <c r="I7319">
        <v>13.57471</v>
      </c>
      <c r="J7319">
        <v>-385.43049999999999</v>
      </c>
      <c r="K7319">
        <v>1.1214189999999999</v>
      </c>
      <c r="L7319">
        <v>17.511659999999999</v>
      </c>
      <c r="M7319">
        <v>0.99987630000000005</v>
      </c>
      <c r="N7319">
        <v>-1.4019719999999999E-2</v>
      </c>
      <c r="O7319">
        <v>-7.1533009999999999E-3</v>
      </c>
      <c r="P7319">
        <v>0.99869280000000005</v>
      </c>
      <c r="Q7319">
        <v>-5.1113770000000003E-2</v>
      </c>
      <c r="R7319">
        <v>6.2891140000000004E-4</v>
      </c>
      <c r="S7319">
        <v>3.0072329999999998</v>
      </c>
      <c r="T7319">
        <v>5.5662629999999998E-2</v>
      </c>
      <c r="U7319">
        <v>-0.1065979</v>
      </c>
      <c r="V7319">
        <v>-7.7544500000000004E-3</v>
      </c>
      <c r="W7319">
        <v>-3.7111819999999997E-2</v>
      </c>
      <c r="X7319">
        <v>0.99928099999999997</v>
      </c>
      <c r="Y7319">
        <v>2.8277110000000001E-2</v>
      </c>
      <c r="Z7319">
        <v>-1.692966E-4</v>
      </c>
      <c r="AA7319">
        <v>0.99960009999999999</v>
      </c>
      <c r="AB7319">
        <v>27</v>
      </c>
      <c r="AC7319">
        <v>110.93380000000001</v>
      </c>
      <c r="AD7319">
        <v>2.0562559999999999</v>
      </c>
      <c r="AE7319">
        <v>-3.9369499999999902</v>
      </c>
      <c r="AF7319">
        <v>3.14215030740709</v>
      </c>
      <c r="AG7319">
        <v>2.0562559999999999</v>
      </c>
      <c r="AH7319">
        <v>110.921063925616</v>
      </c>
      <c r="AI7319">
        <v>88.938397572320198</v>
      </c>
      <c r="AJ7319">
        <v>88.377370252380899</v>
      </c>
      <c r="AK7319">
        <v>110.984610283059</v>
      </c>
      <c r="AL7319">
        <v>92.126839126535899</v>
      </c>
      <c r="AM7319">
        <v>90.444608012689301</v>
      </c>
      <c r="AN7319">
        <v>0.99999996781975697</v>
      </c>
    </row>
    <row r="7320" spans="1:40" x14ac:dyDescent="0.25">
      <c r="A7320" t="str">
        <f>"20190303153951973"</f>
        <v>20190303153951973</v>
      </c>
      <c r="B7320" t="str">
        <f>"1551598791966134"</f>
        <v>1551598791966134</v>
      </c>
      <c r="C7320" t="s">
        <v>40</v>
      </c>
      <c r="D7320">
        <v>4.4126430000000001</v>
      </c>
      <c r="E7320">
        <v>0.51463510000000001</v>
      </c>
      <c r="F7320" t="s">
        <v>73</v>
      </c>
      <c r="G7320">
        <v>-274.49669999999998</v>
      </c>
      <c r="H7320">
        <v>3.341971</v>
      </c>
      <c r="I7320">
        <v>13.5105</v>
      </c>
      <c r="J7320">
        <v>-385.30020000000002</v>
      </c>
      <c r="K7320">
        <v>1.121421</v>
      </c>
      <c r="L7320">
        <v>17.51089</v>
      </c>
      <c r="M7320">
        <v>0.99987729999999997</v>
      </c>
      <c r="N7320">
        <v>-1.401908E-2</v>
      </c>
      <c r="O7320">
        <v>-7.0003749999999997E-3</v>
      </c>
      <c r="P7320">
        <v>0.99877229999999995</v>
      </c>
      <c r="Q7320">
        <v>-4.9535849999999999E-2</v>
      </c>
      <c r="R7320">
        <v>3.9536589999999999E-4</v>
      </c>
      <c r="S7320">
        <v>3.0070800000000002</v>
      </c>
      <c r="T7320">
        <v>6.0192580000000002E-2</v>
      </c>
      <c r="U7320">
        <v>-0.1084595</v>
      </c>
      <c r="V7320">
        <v>-7.3693889999999996E-3</v>
      </c>
      <c r="W7320">
        <v>-3.553332E-2</v>
      </c>
      <c r="X7320">
        <v>0.99934129999999999</v>
      </c>
      <c r="Y7320">
        <v>2.9049519999999999E-2</v>
      </c>
      <c r="Z7320">
        <v>-1.512482E-4</v>
      </c>
      <c r="AA7320">
        <v>0.99957790000000002</v>
      </c>
      <c r="AB7320">
        <v>27</v>
      </c>
      <c r="AC7320">
        <v>110.8035</v>
      </c>
      <c r="AD7320">
        <v>2.2205499999999998</v>
      </c>
      <c r="AE7320">
        <v>-4.0003900000000003</v>
      </c>
      <c r="AF7320">
        <v>3.2232568986567598</v>
      </c>
      <c r="AG7320">
        <v>2.2205499999999998</v>
      </c>
      <c r="AH7320">
        <v>110.78435626394</v>
      </c>
      <c r="AI7320">
        <v>88.852208750339699</v>
      </c>
      <c r="AJ7320">
        <v>88.333456651511199</v>
      </c>
      <c r="AK7320">
        <v>110.85347906201601</v>
      </c>
      <c r="AL7320">
        <v>92.036337982738601</v>
      </c>
      <c r="AM7320">
        <v>90.422505538295795</v>
      </c>
      <c r="AN7320">
        <v>0.99999997930507201</v>
      </c>
    </row>
    <row r="7321" spans="1:40" x14ac:dyDescent="0.25">
      <c r="A7321" t="str">
        <f>"20190303153951985"</f>
        <v>20190303153951985</v>
      </c>
      <c r="B7321" t="str">
        <f>"1551598791975895"</f>
        <v>1551598791975895</v>
      </c>
      <c r="C7321" t="s">
        <v>40</v>
      </c>
      <c r="D7321">
        <v>4.3996719999999998</v>
      </c>
      <c r="E7321">
        <v>0.51474520000000001</v>
      </c>
      <c r="F7321" t="s">
        <v>73</v>
      </c>
      <c r="G7321">
        <v>-274.49669999999998</v>
      </c>
      <c r="H7321">
        <v>3.5274399999999999</v>
      </c>
      <c r="I7321">
        <v>13.44792</v>
      </c>
      <c r="J7321">
        <v>-385.15609999999998</v>
      </c>
      <c r="K7321">
        <v>1.1214189999999999</v>
      </c>
      <c r="L7321">
        <v>17.51004</v>
      </c>
      <c r="M7321">
        <v>0.9998785</v>
      </c>
      <c r="N7321">
        <v>-1.4018320000000001E-2</v>
      </c>
      <c r="O7321">
        <v>-6.8324299999999996E-3</v>
      </c>
      <c r="P7321">
        <v>0.99883529999999998</v>
      </c>
      <c r="Q7321">
        <v>-4.8251090000000003E-2</v>
      </c>
      <c r="R7321" s="1">
        <v>1.4095450000000001E-5</v>
      </c>
      <c r="S7321">
        <v>3.006958</v>
      </c>
      <c r="T7321">
        <v>6.5294030000000003E-2</v>
      </c>
      <c r="U7321">
        <v>-0.11026</v>
      </c>
      <c r="V7321">
        <v>-6.8216919999999999E-3</v>
      </c>
      <c r="W7321">
        <v>-3.4248210000000001E-2</v>
      </c>
      <c r="X7321">
        <v>0.99939009999999995</v>
      </c>
      <c r="Y7321">
        <v>2.9816169999999999E-2</v>
      </c>
      <c r="Z7321">
        <v>-1.2952889999999999E-4</v>
      </c>
      <c r="AA7321">
        <v>0.99955539999999998</v>
      </c>
      <c r="AB7321">
        <v>27</v>
      </c>
      <c r="AC7321">
        <v>110.65940000000001</v>
      </c>
      <c r="AD7321">
        <v>2.406021</v>
      </c>
      <c r="AE7321">
        <v>-4.0621199999999904</v>
      </c>
      <c r="AF7321">
        <v>3.30431836028766</v>
      </c>
      <c r="AG7321">
        <v>2.406021</v>
      </c>
      <c r="AH7321">
        <v>110.632343494571</v>
      </c>
      <c r="AI7321">
        <v>88.754688740038105</v>
      </c>
      <c r="AJ7321">
        <v>88.289223353097199</v>
      </c>
      <c r="AK7321">
        <v>110.70782666089799</v>
      </c>
      <c r="AL7321">
        <v>91.962661650680801</v>
      </c>
      <c r="AM7321">
        <v>90.391086614369499</v>
      </c>
      <c r="AN7321">
        <v>1.0000000236739699</v>
      </c>
    </row>
    <row r="7322" spans="1:40" x14ac:dyDescent="0.25">
      <c r="A7322" t="str">
        <f>"20190303153951999"</f>
        <v>20190303153951999</v>
      </c>
      <c r="B7322" t="str">
        <f>"1551598791985655"</f>
        <v>1551598791985655</v>
      </c>
      <c r="C7322" t="s">
        <v>40</v>
      </c>
      <c r="D7322">
        <v>4.4078679999999997</v>
      </c>
      <c r="E7322">
        <v>0.51473440000000004</v>
      </c>
      <c r="F7322" t="s">
        <v>73</v>
      </c>
      <c r="G7322">
        <v>-274.49669999999998</v>
      </c>
      <c r="H7322">
        <v>3.6571950000000002</v>
      </c>
      <c r="I7322">
        <v>13.38367</v>
      </c>
      <c r="J7322">
        <v>-384.99799999999999</v>
      </c>
      <c r="K7322">
        <v>1.1214170000000001</v>
      </c>
      <c r="L7322">
        <v>17.509160000000001</v>
      </c>
      <c r="M7322">
        <v>0.99987979999999999</v>
      </c>
      <c r="N7322">
        <v>-1.4014159999999999E-2</v>
      </c>
      <c r="O7322">
        <v>-6.6495649999999996E-3</v>
      </c>
      <c r="P7322">
        <v>0.99887619999999999</v>
      </c>
      <c r="Q7322">
        <v>-4.739575E-2</v>
      </c>
      <c r="R7322">
        <v>-6.6171509999999895E-4</v>
      </c>
      <c r="S7322">
        <v>3.0068359999999998</v>
      </c>
      <c r="T7322">
        <v>6.8902130000000006E-2</v>
      </c>
      <c r="U7322">
        <v>-0.1121216</v>
      </c>
      <c r="V7322">
        <v>-5.9636029999999996E-3</v>
      </c>
      <c r="W7322">
        <v>-3.339599E-2</v>
      </c>
      <c r="X7322">
        <v>0.99942439999999999</v>
      </c>
      <c r="Y7322">
        <v>3.0617990000000001E-2</v>
      </c>
      <c r="Z7322">
        <v>-1.094398E-4</v>
      </c>
      <c r="AA7322">
        <v>0.99953110000000001</v>
      </c>
      <c r="AB7322">
        <v>27</v>
      </c>
      <c r="AC7322">
        <v>110.5013</v>
      </c>
      <c r="AD7322">
        <v>2.5357780000000001</v>
      </c>
      <c r="AE7322">
        <v>-4.1254900000000001</v>
      </c>
      <c r="AF7322">
        <v>3.3887590500849898</v>
      </c>
      <c r="AG7322">
        <v>2.5357780000000001</v>
      </c>
      <c r="AH7322">
        <v>110.468199400073</v>
      </c>
      <c r="AI7322">
        <v>88.6856345081261</v>
      </c>
      <c r="AJ7322">
        <v>88.242926721504702</v>
      </c>
      <c r="AK7322">
        <v>110.549251180906</v>
      </c>
      <c r="AL7322">
        <v>91.913805145576902</v>
      </c>
      <c r="AM7322">
        <v>90.3418820146222</v>
      </c>
      <c r="AN7322">
        <v>0.99999999401209005</v>
      </c>
    </row>
    <row r="7323" spans="1:40" x14ac:dyDescent="0.25">
      <c r="A7323" t="str">
        <f>"20190303153952018"</f>
        <v>20190303153952018</v>
      </c>
      <c r="B7323" t="str">
        <f>"1551598792006151"</f>
        <v>1551598792006151</v>
      </c>
      <c r="C7323" t="s">
        <v>40</v>
      </c>
      <c r="D7323">
        <v>4.4156449999999996</v>
      </c>
      <c r="E7323">
        <v>0.51485519999999996</v>
      </c>
      <c r="F7323" t="s">
        <v>73</v>
      </c>
      <c r="G7323">
        <v>-274.49669999999998</v>
      </c>
      <c r="H7323">
        <v>3.7374499999999999</v>
      </c>
      <c r="I7323">
        <v>13.32347</v>
      </c>
      <c r="J7323">
        <v>-384.77</v>
      </c>
      <c r="K7323">
        <v>1.121399</v>
      </c>
      <c r="L7323">
        <v>17.507929999999899</v>
      </c>
      <c r="M7323">
        <v>0.99988189999999999</v>
      </c>
      <c r="N7323">
        <v>-1.3976769999999999E-2</v>
      </c>
      <c r="O7323">
        <v>-6.3845730000000002E-3</v>
      </c>
      <c r="P7323">
        <v>0.99889589999999995</v>
      </c>
      <c r="Q7323">
        <v>-4.6889840000000002E-2</v>
      </c>
      <c r="R7323">
        <v>-2.8937110000000002E-3</v>
      </c>
      <c r="S7323">
        <v>3.0067140000000001</v>
      </c>
      <c r="T7323">
        <v>7.1181770000000005E-2</v>
      </c>
      <c r="U7323">
        <v>-0.1138916</v>
      </c>
      <c r="V7323">
        <v>-3.4678819999999998E-3</v>
      </c>
      <c r="W7323">
        <v>-3.292573E-2</v>
      </c>
      <c r="X7323">
        <v>0.9994518</v>
      </c>
      <c r="Y7323">
        <v>3.1471470000000001E-2</v>
      </c>
      <c r="Z7323" s="1">
        <v>-8.7951369999999903E-5</v>
      </c>
      <c r="AA7323">
        <v>0.99950459999999997</v>
      </c>
      <c r="AB7323">
        <v>27</v>
      </c>
      <c r="AC7323">
        <v>110.27330000000001</v>
      </c>
      <c r="AD7323">
        <v>2.6160510000000001</v>
      </c>
      <c r="AE7323">
        <v>-4.1844599999999899</v>
      </c>
      <c r="AF7323">
        <v>3.4783031963664302</v>
      </c>
      <c r="AG7323">
        <v>2.6160510000000001</v>
      </c>
      <c r="AH7323">
        <v>110.23581944726401</v>
      </c>
      <c r="AI7323">
        <v>88.641221739752794</v>
      </c>
      <c r="AJ7323">
        <v>88.192729056592199</v>
      </c>
      <c r="AK7323">
        <v>110.321703237261</v>
      </c>
      <c r="AL7323">
        <v>91.886846365308799</v>
      </c>
      <c r="AM7323">
        <v>90.198803188973599</v>
      </c>
      <c r="AN7323">
        <v>1.00000001521241</v>
      </c>
    </row>
    <row r="7324" spans="1:40" x14ac:dyDescent="0.25">
      <c r="A7324" t="str">
        <f>"20190303153952035"</f>
        <v>20190303153952035</v>
      </c>
      <c r="B7324" t="str">
        <f>"1551598792025673"</f>
        <v>1551598792025673</v>
      </c>
      <c r="C7324" t="s">
        <v>40</v>
      </c>
      <c r="D7324">
        <v>4.4016890000000002</v>
      </c>
      <c r="E7324">
        <v>0.5149629</v>
      </c>
      <c r="F7324" t="s">
        <v>73</v>
      </c>
      <c r="G7324">
        <v>-274.49669999999998</v>
      </c>
      <c r="H7324">
        <v>3.7606959999999998</v>
      </c>
      <c r="I7324">
        <v>13.055</v>
      </c>
      <c r="J7324">
        <v>-384.56810000000002</v>
      </c>
      <c r="K7324">
        <v>1.121378</v>
      </c>
      <c r="L7324">
        <v>17.506900000000002</v>
      </c>
      <c r="M7324">
        <v>0.99988469999999996</v>
      </c>
      <c r="N7324">
        <v>-1.388823E-2</v>
      </c>
      <c r="O7324">
        <v>-6.1518659999999998E-3</v>
      </c>
      <c r="P7324">
        <v>0.99891799999999997</v>
      </c>
      <c r="Q7324">
        <v>-4.6341430000000003E-2</v>
      </c>
      <c r="R7324">
        <v>-3.931319E-3</v>
      </c>
      <c r="S7324">
        <v>3.006348</v>
      </c>
      <c r="T7324">
        <v>7.1954489999999996E-2</v>
      </c>
      <c r="U7324">
        <v>-0.1213989</v>
      </c>
      <c r="V7324">
        <v>-2.1983139999999998E-3</v>
      </c>
      <c r="W7324">
        <v>-3.246483E-2</v>
      </c>
      <c r="X7324">
        <v>0.99947050000000004</v>
      </c>
      <c r="Y7324">
        <v>3.4200069999999999E-2</v>
      </c>
      <c r="Z7324" s="1">
        <v>-6.1106579999999994E-5</v>
      </c>
      <c r="AA7324">
        <v>0.99941500000000005</v>
      </c>
      <c r="AB7324">
        <v>27</v>
      </c>
      <c r="AC7324">
        <v>110.0714</v>
      </c>
      <c r="AD7324">
        <v>2.6393179999999998</v>
      </c>
      <c r="AE7324">
        <v>-4.4519000000000002</v>
      </c>
      <c r="AF7324">
        <v>3.7724405271358301</v>
      </c>
      <c r="AG7324">
        <v>2.6393179999999998</v>
      </c>
      <c r="AH7324">
        <v>110.033545756086</v>
      </c>
      <c r="AI7324">
        <v>88.626745655513304</v>
      </c>
      <c r="AJ7324">
        <v>88.036414335785196</v>
      </c>
      <c r="AK7324">
        <v>110.12982565450901</v>
      </c>
      <c r="AL7324">
        <v>91.860424570341095</v>
      </c>
      <c r="AM7324">
        <v>90.126020639063796</v>
      </c>
      <c r="AN7324">
        <v>1.0000000390708099</v>
      </c>
    </row>
    <row r="7325" spans="1:40" x14ac:dyDescent="0.25">
      <c r="A7325" t="str">
        <f>"20190303153952049"</f>
        <v>20190303153952049</v>
      </c>
      <c r="B7325" t="str">
        <f>"1551598792046166"</f>
        <v>1551598792046166</v>
      </c>
      <c r="C7325" t="s">
        <v>40</v>
      </c>
      <c r="D7325">
        <v>4.3946620000000003</v>
      </c>
      <c r="E7325">
        <v>0.5150304</v>
      </c>
      <c r="F7325" t="s">
        <v>73</v>
      </c>
      <c r="G7325">
        <v>-274.49669999999998</v>
      </c>
      <c r="H7325">
        <v>3.7483040000000001</v>
      </c>
      <c r="I7325">
        <v>12.91761</v>
      </c>
      <c r="J7325">
        <v>-384.39760000000001</v>
      </c>
      <c r="K7325">
        <v>1.1213550000000001</v>
      </c>
      <c r="L7325">
        <v>17.506070000000001</v>
      </c>
      <c r="M7325">
        <v>0.99988739999999998</v>
      </c>
      <c r="N7325">
        <v>-1.37705E-2</v>
      </c>
      <c r="O7325">
        <v>-5.961264E-3</v>
      </c>
      <c r="P7325">
        <v>0.99893540000000003</v>
      </c>
      <c r="Q7325">
        <v>-4.5703029999999999E-2</v>
      </c>
      <c r="R7325">
        <v>-6.2855159999999997E-3</v>
      </c>
      <c r="S7325">
        <v>3.0061040000000001</v>
      </c>
      <c r="T7325">
        <v>7.1742769999999997E-2</v>
      </c>
      <c r="U7325">
        <v>-0.12533569999999999</v>
      </c>
      <c r="V7325">
        <v>3.4662529999999998E-4</v>
      </c>
      <c r="W7325">
        <v>-3.1942409999999997E-2</v>
      </c>
      <c r="X7325">
        <v>0.99948970000000004</v>
      </c>
      <c r="Y7325">
        <v>3.5700089999999997E-2</v>
      </c>
      <c r="Z7325" s="1">
        <v>-4.4403829999999999E-5</v>
      </c>
      <c r="AA7325">
        <v>0.99936250000000004</v>
      </c>
      <c r="AB7325">
        <v>27</v>
      </c>
      <c r="AC7325">
        <v>109.90089999999999</v>
      </c>
      <c r="AD7325">
        <v>2.6269490000000002</v>
      </c>
      <c r="AE7325">
        <v>-4.5884600000000004</v>
      </c>
      <c r="AF7325">
        <v>3.93092602333848</v>
      </c>
      <c r="AG7325">
        <v>2.6269490000000002</v>
      </c>
      <c r="AH7325">
        <v>109.863641316448</v>
      </c>
      <c r="AI7325">
        <v>88.631137497090194</v>
      </c>
      <c r="AJ7325">
        <v>87.950828593620798</v>
      </c>
      <c r="AK7325">
        <v>109.96532509731701</v>
      </c>
      <c r="AL7325">
        <v>91.830476558594995</v>
      </c>
      <c r="AM7325">
        <v>89.9801296942167</v>
      </c>
      <c r="AN7325">
        <v>1.00000004905589</v>
      </c>
    </row>
    <row r="7326" spans="1:40" x14ac:dyDescent="0.25">
      <c r="A7326" t="str">
        <f>"20190303153952061"</f>
        <v>20190303153952061</v>
      </c>
      <c r="B7326" t="str">
        <f>"1551598792055927"</f>
        <v>1551598792055927</v>
      </c>
      <c r="C7326" t="s">
        <v>40</v>
      </c>
      <c r="D7326">
        <v>4.3887700000000001</v>
      </c>
      <c r="E7326">
        <v>0.51503449999999995</v>
      </c>
      <c r="F7326" t="s">
        <v>73</v>
      </c>
      <c r="G7326">
        <v>-274.49669999999998</v>
      </c>
      <c r="H7326">
        <v>3.7437550000000002</v>
      </c>
      <c r="I7326">
        <v>12.64981</v>
      </c>
      <c r="J7326">
        <v>-384.24860000000001</v>
      </c>
      <c r="K7326">
        <v>1.121327</v>
      </c>
      <c r="L7326">
        <v>17.505369999999999</v>
      </c>
      <c r="M7326">
        <v>0.99989030000000001</v>
      </c>
      <c r="N7326">
        <v>-1.3635120000000001E-2</v>
      </c>
      <c r="O7326">
        <v>-5.7935039999999997E-3</v>
      </c>
      <c r="P7326">
        <v>0.99895230000000002</v>
      </c>
      <c r="Q7326">
        <v>-4.5228930000000001E-2</v>
      </c>
      <c r="R7326">
        <v>-6.9877000000000003E-3</v>
      </c>
      <c r="S7326">
        <v>3.005646</v>
      </c>
      <c r="T7326">
        <v>7.1719290000000005E-2</v>
      </c>
      <c r="U7326">
        <v>-0.1328125</v>
      </c>
      <c r="V7326">
        <v>1.216052E-3</v>
      </c>
      <c r="W7326">
        <v>-3.1602940000000003E-2</v>
      </c>
      <c r="X7326">
        <v>0.99949969999999999</v>
      </c>
      <c r="Y7326">
        <v>3.8354869999999999E-2</v>
      </c>
      <c r="Z7326" s="1">
        <v>-2.1422750000000001E-5</v>
      </c>
      <c r="AA7326">
        <v>0.99926420000000005</v>
      </c>
      <c r="AB7326">
        <v>27</v>
      </c>
      <c r="AC7326">
        <v>109.75190000000001</v>
      </c>
      <c r="AD7326">
        <v>2.62242799999999</v>
      </c>
      <c r="AE7326">
        <v>-4.8555599999999997</v>
      </c>
      <c r="AF7326">
        <v>4.2171683333269296</v>
      </c>
      <c r="AG7326">
        <v>2.62242799999999</v>
      </c>
      <c r="AH7326">
        <v>109.71567343679</v>
      </c>
      <c r="AI7326">
        <v>88.631784870729803</v>
      </c>
      <c r="AJ7326">
        <v>87.798791637370897</v>
      </c>
      <c r="AK7326">
        <v>109.82800478500501</v>
      </c>
      <c r="AL7326">
        <v>91.811016738418701</v>
      </c>
      <c r="AM7326">
        <v>89.930290511453293</v>
      </c>
      <c r="AN7326">
        <v>0.99999993744959803</v>
      </c>
    </row>
    <row r="7327" spans="1:40" x14ac:dyDescent="0.25">
      <c r="A7327" t="str">
        <f>"20190303153952075"</f>
        <v>20190303153952075</v>
      </c>
      <c r="B7327" t="str">
        <f>"1551598792065688"</f>
        <v>1551598792065688</v>
      </c>
      <c r="C7327" t="s">
        <v>40</v>
      </c>
      <c r="D7327">
        <v>4.4224629999999996</v>
      </c>
      <c r="E7327">
        <v>0.51502219999999999</v>
      </c>
      <c r="F7327" t="s">
        <v>73</v>
      </c>
      <c r="G7327">
        <v>-274.49669999999998</v>
      </c>
      <c r="H7327">
        <v>3.7772939999999999</v>
      </c>
      <c r="I7327">
        <v>12.57967</v>
      </c>
      <c r="J7327">
        <v>-384.07830000000001</v>
      </c>
      <c r="K7327">
        <v>1.1212949999999999</v>
      </c>
      <c r="L7327">
        <v>17.504579999999901</v>
      </c>
      <c r="M7327">
        <v>0.99989349999999999</v>
      </c>
      <c r="N7327">
        <v>-1.347547E-2</v>
      </c>
      <c r="O7327">
        <v>-5.5999869999999998E-3</v>
      </c>
      <c r="P7327">
        <v>0.99899610000000005</v>
      </c>
      <c r="Q7327">
        <v>-4.4177309999999997E-2</v>
      </c>
      <c r="R7327">
        <v>-7.442008E-3</v>
      </c>
      <c r="S7327">
        <v>3.005493</v>
      </c>
      <c r="T7327">
        <v>7.2732210000000005E-2</v>
      </c>
      <c r="U7327">
        <v>-0.1348877</v>
      </c>
      <c r="V7327">
        <v>1.8626949999999999E-3</v>
      </c>
      <c r="W7327">
        <v>-3.0710060000000001E-2</v>
      </c>
      <c r="X7327">
        <v>0.99952660000000004</v>
      </c>
      <c r="Y7327">
        <v>3.9238580000000002E-2</v>
      </c>
      <c r="Z7327" s="1">
        <v>-9.0623509999999995E-7</v>
      </c>
      <c r="AA7327">
        <v>0.99922979999999995</v>
      </c>
      <c r="AB7327">
        <v>27</v>
      </c>
      <c r="AC7327">
        <v>109.58159999999999</v>
      </c>
      <c r="AD7327">
        <v>2.655999</v>
      </c>
      <c r="AE7327">
        <v>-4.9249099999999899</v>
      </c>
      <c r="AF7327">
        <v>4.3085954530546999</v>
      </c>
      <c r="AG7327">
        <v>2.655999</v>
      </c>
      <c r="AH7327">
        <v>109.54324049724001</v>
      </c>
      <c r="AI7327">
        <v>88.612144246500193</v>
      </c>
      <c r="AJ7327">
        <v>87.7475821476813</v>
      </c>
      <c r="AK7327">
        <v>109.66011063327601</v>
      </c>
      <c r="AL7327">
        <v>91.7598335179852</v>
      </c>
      <c r="AM7327">
        <v>89.893225014249893</v>
      </c>
      <c r="AN7327">
        <v>1.0000000007627099</v>
      </c>
    </row>
    <row r="7328" spans="1:40" x14ac:dyDescent="0.25">
      <c r="A7328" t="str">
        <f>"20190303153952088"</f>
        <v>20190303153952088</v>
      </c>
      <c r="B7328" t="str">
        <f>"1551598792075447"</f>
        <v>1551598792075447</v>
      </c>
      <c r="C7328" t="s">
        <v>40</v>
      </c>
      <c r="D7328">
        <v>4.3941790000000003</v>
      </c>
      <c r="E7328">
        <v>0.51499689999999998</v>
      </c>
      <c r="F7328" t="s">
        <v>73</v>
      </c>
      <c r="G7328">
        <v>-274.49669999999998</v>
      </c>
      <c r="H7328">
        <v>3.8510119999999999</v>
      </c>
      <c r="I7328">
        <v>12.53614</v>
      </c>
      <c r="J7328">
        <v>-383.92720000000003</v>
      </c>
      <c r="K7328">
        <v>1.12127</v>
      </c>
      <c r="L7328">
        <v>17.50394</v>
      </c>
      <c r="M7328">
        <v>0.99989640000000002</v>
      </c>
      <c r="N7328">
        <v>-1.332976E-2</v>
      </c>
      <c r="O7328">
        <v>-5.4261350000000003E-3</v>
      </c>
      <c r="P7328">
        <v>0.99902159999999995</v>
      </c>
      <c r="Q7328">
        <v>-4.3584339999999999E-2</v>
      </c>
      <c r="R7328">
        <v>-7.5042310000000001E-3</v>
      </c>
      <c r="S7328">
        <v>3.0053100000000001</v>
      </c>
      <c r="T7328">
        <v>7.4863429999999995E-2</v>
      </c>
      <c r="U7328">
        <v>-0.13626099999999999</v>
      </c>
      <c r="V7328">
        <v>2.0981950000000002E-3</v>
      </c>
      <c r="W7328">
        <v>-3.026235E-2</v>
      </c>
      <c r="X7328">
        <v>0.99953979999999998</v>
      </c>
      <c r="Y7328">
        <v>3.9870059999999999E-2</v>
      </c>
      <c r="Z7328" s="1">
        <v>2.3008440000000001E-5</v>
      </c>
      <c r="AA7328">
        <v>0.99920489999999995</v>
      </c>
      <c r="AB7328">
        <v>27</v>
      </c>
      <c r="AC7328">
        <v>109.43049999999999</v>
      </c>
      <c r="AD7328">
        <v>2.7297419999999999</v>
      </c>
      <c r="AE7328">
        <v>-4.9678000000000004</v>
      </c>
      <c r="AF7328">
        <v>4.3711750292046903</v>
      </c>
      <c r="AG7328">
        <v>2.7297419999999999</v>
      </c>
      <c r="AH7328">
        <v>109.387920188698</v>
      </c>
      <c r="AI7328">
        <v>88.571637575127497</v>
      </c>
      <c r="AJ7328">
        <v>87.711660487587196</v>
      </c>
      <c r="AK7328">
        <v>109.509249589847</v>
      </c>
      <c r="AL7328">
        <v>91.734169675958995</v>
      </c>
      <c r="AM7328">
        <v>89.879727108898393</v>
      </c>
      <c r="AN7328">
        <v>1.0000000120169099</v>
      </c>
    </row>
    <row r="7329" spans="1:40" x14ac:dyDescent="0.25">
      <c r="A7329" t="str">
        <f>"20190303153952106"</f>
        <v>20190303153952106</v>
      </c>
      <c r="B7329" t="str">
        <f>"1551598792095474"</f>
        <v>1551598792095474</v>
      </c>
      <c r="C7329" t="s">
        <v>40</v>
      </c>
      <c r="D7329">
        <v>4.452731</v>
      </c>
      <c r="E7329">
        <v>0.51497289999999996</v>
      </c>
      <c r="F7329" t="s">
        <v>73</v>
      </c>
      <c r="G7329">
        <v>-274.49669999999998</v>
      </c>
      <c r="H7329">
        <v>3.8673190000000002</v>
      </c>
      <c r="I7329">
        <v>12.53988</v>
      </c>
      <c r="J7329">
        <v>-383.70780000000002</v>
      </c>
      <c r="K7329">
        <v>1.121245</v>
      </c>
      <c r="L7329">
        <v>17.503019999999999</v>
      </c>
      <c r="M7329">
        <v>0.99990060000000003</v>
      </c>
      <c r="N7329">
        <v>-1.312528E-2</v>
      </c>
      <c r="O7329">
        <v>-5.1700490000000003E-3</v>
      </c>
      <c r="P7329">
        <v>0.99907919999999995</v>
      </c>
      <c r="Q7329">
        <v>-4.2178359999999998E-2</v>
      </c>
      <c r="R7329">
        <v>-7.8800740000000008E-3</v>
      </c>
      <c r="S7329">
        <v>3.0051570000000001</v>
      </c>
      <c r="T7329">
        <v>7.5411439999999996E-2</v>
      </c>
      <c r="U7329">
        <v>-0.136322</v>
      </c>
      <c r="V7329">
        <v>2.7287470000000001E-3</v>
      </c>
      <c r="W7329">
        <v>-2.905982E-2</v>
      </c>
      <c r="X7329">
        <v>0.99957390000000002</v>
      </c>
      <c r="Y7329">
        <v>4.0148070000000001E-2</v>
      </c>
      <c r="Z7329" s="1">
        <v>4.2297940000000003E-5</v>
      </c>
      <c r="AA7329">
        <v>0.99919369999999996</v>
      </c>
      <c r="AB7329">
        <v>27</v>
      </c>
      <c r="AC7329">
        <v>109.2111</v>
      </c>
      <c r="AD7329">
        <v>2.7460740000000001</v>
      </c>
      <c r="AE7329">
        <v>-4.9631400000000001</v>
      </c>
      <c r="AF7329">
        <v>4.3956249183786698</v>
      </c>
      <c r="AG7329">
        <v>2.7460740000000001</v>
      </c>
      <c r="AH7329">
        <v>109.166423503082</v>
      </c>
      <c r="AI7329">
        <v>88.560198633916997</v>
      </c>
      <c r="AJ7329">
        <v>87.694210620197595</v>
      </c>
      <c r="AK7329">
        <v>109.289388603335</v>
      </c>
      <c r="AL7329">
        <v>91.665239553165407</v>
      </c>
      <c r="AM7329">
        <v>89.8435880547934</v>
      </c>
      <c r="AN7329">
        <v>0.99999995037991496</v>
      </c>
    </row>
    <row r="7330" spans="1:40" x14ac:dyDescent="0.25">
      <c r="A7330" t="str">
        <f>"20190303153952118"</f>
        <v>20190303153952118</v>
      </c>
      <c r="B7330" t="str">
        <f>"1551598792115971"</f>
        <v>1551598792115971</v>
      </c>
      <c r="C7330" t="s">
        <v>40</v>
      </c>
      <c r="D7330">
        <v>4.4236779999999998</v>
      </c>
      <c r="E7330">
        <v>0.51496169999999997</v>
      </c>
      <c r="F7330" t="s">
        <v>73</v>
      </c>
      <c r="G7330">
        <v>-274.49669999999998</v>
      </c>
      <c r="H7330">
        <v>3.950218</v>
      </c>
      <c r="I7330">
        <v>12.513120000000001</v>
      </c>
      <c r="J7330">
        <v>-383.55250000000001</v>
      </c>
      <c r="K7330">
        <v>1.121224</v>
      </c>
      <c r="L7330">
        <v>17.502410000000001</v>
      </c>
      <c r="M7330">
        <v>0.99990330000000005</v>
      </c>
      <c r="N7330">
        <v>-1.2986080000000001E-2</v>
      </c>
      <c r="O7330">
        <v>-4.9883760000000001E-3</v>
      </c>
      <c r="P7330">
        <v>0.99909590000000004</v>
      </c>
      <c r="Q7330">
        <v>-4.1797979999999998E-2</v>
      </c>
      <c r="R7330">
        <v>-7.7783469999999997E-3</v>
      </c>
      <c r="S7330">
        <v>3.0049739999999998</v>
      </c>
      <c r="T7330">
        <v>7.7840090000000001E-2</v>
      </c>
      <c r="U7330">
        <v>-0.13729859999999999</v>
      </c>
      <c r="V7330">
        <v>2.8081629999999998E-3</v>
      </c>
      <c r="W7330">
        <v>-2.8818400000000001E-2</v>
      </c>
      <c r="X7330">
        <v>0.99958069999999999</v>
      </c>
      <c r="Y7330">
        <v>4.065564E-2</v>
      </c>
      <c r="Z7330" s="1">
        <v>6.8195859999999999E-5</v>
      </c>
      <c r="AA7330">
        <v>0.99917319999999998</v>
      </c>
      <c r="AB7330">
        <v>27</v>
      </c>
      <c r="AC7330">
        <v>109.0558</v>
      </c>
      <c r="AD7330">
        <v>2.8289939999999998</v>
      </c>
      <c r="AE7330">
        <v>-4.9892899999999996</v>
      </c>
      <c r="AF7330">
        <v>4.4421877221389501</v>
      </c>
      <c r="AG7330">
        <v>2.8289939999999998</v>
      </c>
      <c r="AH7330">
        <v>109.006133730998</v>
      </c>
      <c r="AI7330">
        <v>88.514590866412405</v>
      </c>
      <c r="AJ7330">
        <v>87.666389527484498</v>
      </c>
      <c r="AK7330">
        <v>109.13328286911801</v>
      </c>
      <c r="AL7330">
        <v>91.651401359220998</v>
      </c>
      <c r="AM7330">
        <v>89.839037043430196</v>
      </c>
      <c r="AN7330">
        <v>0.999999980885242</v>
      </c>
    </row>
    <row r="7331" spans="1:40" x14ac:dyDescent="0.25">
      <c r="A7331" t="str">
        <f>"20190303153952132"</f>
        <v>20190303153952132</v>
      </c>
      <c r="B7331" t="str">
        <f>"1551598792125732"</f>
        <v>1551598792125732</v>
      </c>
      <c r="C7331" t="s">
        <v>40</v>
      </c>
      <c r="D7331">
        <v>4.443244</v>
      </c>
      <c r="E7331">
        <v>0.51497440000000005</v>
      </c>
      <c r="F7331" t="s">
        <v>73</v>
      </c>
      <c r="G7331">
        <v>-274.49669999999998</v>
      </c>
      <c r="H7331">
        <v>3.9285399999999999</v>
      </c>
      <c r="I7331">
        <v>12.53496</v>
      </c>
      <c r="J7331">
        <v>-383.39</v>
      </c>
      <c r="K7331">
        <v>1.1212089999999999</v>
      </c>
      <c r="L7331">
        <v>17.501799999999999</v>
      </c>
      <c r="M7331">
        <v>0.99990610000000002</v>
      </c>
      <c r="N7331">
        <v>-1.28437E-2</v>
      </c>
      <c r="O7331">
        <v>-4.7984560000000004E-3</v>
      </c>
      <c r="P7331">
        <v>0.99911819999999896</v>
      </c>
      <c r="Q7331">
        <v>-4.1315739999999997E-2</v>
      </c>
      <c r="R7331">
        <v>-7.4842060000000002E-3</v>
      </c>
      <c r="S7331">
        <v>3.004883</v>
      </c>
      <c r="T7331">
        <v>7.7351809999999993E-2</v>
      </c>
      <c r="U7331">
        <v>-0.1368713</v>
      </c>
      <c r="V7331">
        <v>2.7034590000000001E-3</v>
      </c>
      <c r="W7331">
        <v>-2.8478320000000001E-2</v>
      </c>
      <c r="X7331">
        <v>0.9995908</v>
      </c>
      <c r="Y7331">
        <v>4.0704890000000001E-2</v>
      </c>
      <c r="Z7331" s="1">
        <v>7.6965659999999998E-5</v>
      </c>
      <c r="AA7331">
        <v>0.99917120000000004</v>
      </c>
      <c r="AB7331">
        <v>27</v>
      </c>
      <c r="AC7331">
        <v>108.8933</v>
      </c>
      <c r="AD7331">
        <v>2.807331</v>
      </c>
      <c r="AE7331">
        <v>-4.9668400000000004</v>
      </c>
      <c r="AF7331">
        <v>4.4412743386228897</v>
      </c>
      <c r="AG7331">
        <v>2.807331</v>
      </c>
      <c r="AH7331">
        <v>108.84368984832101</v>
      </c>
      <c r="AI7331">
        <v>88.523764527988902</v>
      </c>
      <c r="AJ7331">
        <v>87.663390596594198</v>
      </c>
      <c r="AK7331">
        <v>108.970431057659</v>
      </c>
      <c r="AL7331">
        <v>91.631908103775501</v>
      </c>
      <c r="AM7331">
        <v>89.845040177325501</v>
      </c>
      <c r="AN7331">
        <v>1.0000000454226099</v>
      </c>
    </row>
    <row r="7332" spans="1:40" x14ac:dyDescent="0.25">
      <c r="A7332" t="str">
        <f>"20190303153952150"</f>
        <v>20190303153952150</v>
      </c>
      <c r="B7332" t="str">
        <f>"1551598792146227"</f>
        <v>1551598792146227</v>
      </c>
      <c r="C7332" t="s">
        <v>40</v>
      </c>
      <c r="D7332">
        <v>4.4463480000000004</v>
      </c>
      <c r="E7332">
        <v>0.51502840000000005</v>
      </c>
      <c r="F7332" t="s">
        <v>73</v>
      </c>
      <c r="G7332">
        <v>-274.49669999999998</v>
      </c>
      <c r="H7332">
        <v>3.9452579999999999</v>
      </c>
      <c r="I7332">
        <v>12.57372</v>
      </c>
      <c r="J7332">
        <v>-383.18049999999999</v>
      </c>
      <c r="K7332">
        <v>1.1212040000000001</v>
      </c>
      <c r="L7332">
        <v>17.501069999999999</v>
      </c>
      <c r="M7332">
        <v>0.9999093</v>
      </c>
      <c r="N7332">
        <v>-1.266772E-2</v>
      </c>
      <c r="O7332">
        <v>-4.5557459999999899E-3</v>
      </c>
      <c r="P7332">
        <v>0.99915560000000003</v>
      </c>
      <c r="Q7332">
        <v>-4.047162E-2</v>
      </c>
      <c r="R7332">
        <v>-7.0620689999999998E-3</v>
      </c>
      <c r="S7332">
        <v>3.0048219999999999</v>
      </c>
      <c r="T7332">
        <v>7.7927469999999999E-2</v>
      </c>
      <c r="U7332">
        <v>-0.13598629999999901</v>
      </c>
      <c r="V7332">
        <v>2.5234709999999998E-3</v>
      </c>
      <c r="W7332">
        <v>-2.7809850000000001E-2</v>
      </c>
      <c r="X7332">
        <v>0.99961009999999995</v>
      </c>
      <c r="Y7332">
        <v>4.0654259999999998E-2</v>
      </c>
      <c r="Z7332" s="1">
        <v>9.3409329999999996E-5</v>
      </c>
      <c r="AA7332">
        <v>0.99917330000000004</v>
      </c>
      <c r="AB7332">
        <v>27</v>
      </c>
      <c r="AC7332">
        <v>108.68380000000001</v>
      </c>
      <c r="AD7332">
        <v>2.8240539999999998</v>
      </c>
      <c r="AE7332">
        <v>-4.9273499999999997</v>
      </c>
      <c r="AF7332">
        <v>4.4291389878946497</v>
      </c>
      <c r="AG7332">
        <v>2.8240539999999998</v>
      </c>
      <c r="AH7332">
        <v>108.631926397464</v>
      </c>
      <c r="AI7332">
        <v>88.512079154862406</v>
      </c>
      <c r="AJ7332">
        <v>87.665230652956197</v>
      </c>
      <c r="AK7332">
        <v>108.75885244886101</v>
      </c>
      <c r="AL7332">
        <v>91.593592403915807</v>
      </c>
      <c r="AM7332">
        <v>89.855359673850998</v>
      </c>
      <c r="AN7332">
        <v>1.0000000538424501</v>
      </c>
    </row>
    <row r="7333" spans="1:40" x14ac:dyDescent="0.25">
      <c r="A7333" t="str">
        <f>"20190303153952160"</f>
        <v>20190303153952160</v>
      </c>
      <c r="B7333" t="str">
        <f>"1551598792155987"</f>
        <v>1551598792155987</v>
      </c>
      <c r="C7333" t="s">
        <v>40</v>
      </c>
      <c r="D7333">
        <v>4.4298590000000004</v>
      </c>
      <c r="E7333">
        <v>0.5150323</v>
      </c>
      <c r="F7333" t="s">
        <v>73</v>
      </c>
      <c r="G7333">
        <v>-274.49669999999998</v>
      </c>
      <c r="H7333">
        <v>3.9500479999999998</v>
      </c>
      <c r="I7333">
        <v>12.617699999999999</v>
      </c>
      <c r="J7333">
        <v>-383.03800000000001</v>
      </c>
      <c r="K7333">
        <v>1.1211990000000001</v>
      </c>
      <c r="L7333">
        <v>17.500579999999999</v>
      </c>
      <c r="M7333">
        <v>0.99991160000000001</v>
      </c>
      <c r="N7333">
        <v>-1.255567E-2</v>
      </c>
      <c r="O7333">
        <v>-4.3929310000000001E-3</v>
      </c>
      <c r="P7333">
        <v>0.99918119999999999</v>
      </c>
      <c r="Q7333">
        <v>-3.986203E-2</v>
      </c>
      <c r="R7333">
        <v>-6.943889E-3</v>
      </c>
      <c r="S7333">
        <v>3.0047609999999998</v>
      </c>
      <c r="T7333">
        <v>7.8208570000000005E-2</v>
      </c>
      <c r="U7333">
        <v>-0.13500980000000001</v>
      </c>
      <c r="V7333">
        <v>2.5676240000000001E-3</v>
      </c>
      <c r="W7333">
        <v>-2.731198E-2</v>
      </c>
      <c r="X7333">
        <v>0.9996237</v>
      </c>
      <c r="Y7333">
        <v>4.049357E-2</v>
      </c>
      <c r="Z7333">
        <v>1.028824E-4</v>
      </c>
      <c r="AA7333">
        <v>0.99917979999999995</v>
      </c>
      <c r="AB7333">
        <v>27</v>
      </c>
      <c r="AC7333">
        <v>108.54130000000001</v>
      </c>
      <c r="AD7333">
        <v>2.8288489999999999</v>
      </c>
      <c r="AE7333">
        <v>-4.8828800000000001</v>
      </c>
      <c r="AF7333">
        <v>4.4029961902866699</v>
      </c>
      <c r="AG7333">
        <v>2.8288489999999999</v>
      </c>
      <c r="AH7333">
        <v>108.488162641043</v>
      </c>
      <c r="AI7333">
        <v>88.507568425655904</v>
      </c>
      <c r="AJ7333">
        <v>87.675924088353298</v>
      </c>
      <c r="AK7333">
        <v>108.614318555824</v>
      </c>
      <c r="AL7333">
        <v>91.565055737867795</v>
      </c>
      <c r="AM7333">
        <v>89.852830925235295</v>
      </c>
      <c r="AN7333">
        <v>1.0000000392731001</v>
      </c>
    </row>
    <row r="7334" spans="1:40" x14ac:dyDescent="0.25">
      <c r="A7334" t="str">
        <f>"20190303153952172"</f>
        <v>20190303153952172</v>
      </c>
      <c r="B7334" t="str">
        <f>"1551598792165747"</f>
        <v>1551598792165747</v>
      </c>
      <c r="C7334" t="s">
        <v>40</v>
      </c>
      <c r="D7334">
        <v>4.4461040000000001</v>
      </c>
      <c r="E7334">
        <v>0.51505389999999995</v>
      </c>
      <c r="F7334" t="s">
        <v>73</v>
      </c>
      <c r="G7334">
        <v>-274.49669999999998</v>
      </c>
      <c r="H7334">
        <v>3.9618190000000002</v>
      </c>
      <c r="I7334">
        <v>12.63449</v>
      </c>
      <c r="J7334">
        <v>-382.90210000000002</v>
      </c>
      <c r="K7334">
        <v>1.1211930000000001</v>
      </c>
      <c r="L7334">
        <v>17.500150000000001</v>
      </c>
      <c r="M7334">
        <v>0.99991350000000001</v>
      </c>
      <c r="N7334">
        <v>-1.2451250000000001E-2</v>
      </c>
      <c r="O7334">
        <v>-4.2380380000000004E-3</v>
      </c>
      <c r="P7334">
        <v>0.99921219999999999</v>
      </c>
      <c r="Q7334">
        <v>-3.9093620000000003E-2</v>
      </c>
      <c r="R7334">
        <v>-6.8566149999999999E-3</v>
      </c>
      <c r="S7334">
        <v>3.0046689999999998</v>
      </c>
      <c r="T7334">
        <v>7.8634979999999993E-2</v>
      </c>
      <c r="U7334">
        <v>-0.13470460000000001</v>
      </c>
      <c r="V7334">
        <v>2.634618E-3</v>
      </c>
      <c r="W7334">
        <v>-2.66476E-2</v>
      </c>
      <c r="X7334">
        <v>0.99964140000000001</v>
      </c>
      <c r="Y7334">
        <v>4.0548149999999998E-2</v>
      </c>
      <c r="Z7334">
        <v>1.140694E-4</v>
      </c>
      <c r="AA7334">
        <v>0.9991776</v>
      </c>
      <c r="AB7334">
        <v>27</v>
      </c>
      <c r="AC7334">
        <v>108.4054</v>
      </c>
      <c r="AD7334">
        <v>2.8406259999999999</v>
      </c>
      <c r="AE7334">
        <v>-4.8656600000000001</v>
      </c>
      <c r="AF7334">
        <v>4.4031372034997398</v>
      </c>
      <c r="AG7334">
        <v>2.8406259999999999</v>
      </c>
      <c r="AH7334">
        <v>108.350800828446</v>
      </c>
      <c r="AI7334">
        <v>88.499462167442999</v>
      </c>
      <c r="AJ7334">
        <v>87.672906531510094</v>
      </c>
      <c r="AK7334">
        <v>108.47742997264599</v>
      </c>
      <c r="AL7334">
        <v>91.526975793922006</v>
      </c>
      <c r="AM7334">
        <v>89.848993706627496</v>
      </c>
      <c r="AN7334">
        <v>0.99999998219586195</v>
      </c>
    </row>
    <row r="7335" spans="1:40" x14ac:dyDescent="0.25">
      <c r="A7335" t="str">
        <f>"20190303153952184"</f>
        <v>20190303153952184</v>
      </c>
      <c r="B7335" t="str">
        <f>"1551598792175507"</f>
        <v>1551598792175507</v>
      </c>
      <c r="C7335" t="s">
        <v>40</v>
      </c>
      <c r="D7335">
        <v>4.4521870000000003</v>
      </c>
      <c r="E7335">
        <v>0.51502879999999995</v>
      </c>
      <c r="F7335" t="s">
        <v>73</v>
      </c>
      <c r="G7335">
        <v>-274.49669999999998</v>
      </c>
      <c r="H7335">
        <v>4.0015720000000004</v>
      </c>
      <c r="I7335">
        <v>12.64326</v>
      </c>
      <c r="J7335">
        <v>-382.7543</v>
      </c>
      <c r="K7335">
        <v>1.1211880000000001</v>
      </c>
      <c r="L7335">
        <v>17.499690000000001</v>
      </c>
      <c r="M7335">
        <v>0.99991549999999996</v>
      </c>
      <c r="N7335">
        <v>-1.234472E-2</v>
      </c>
      <c r="O7335">
        <v>-4.0716980000000003E-3</v>
      </c>
      <c r="P7335">
        <v>0.9992607</v>
      </c>
      <c r="Q7335">
        <v>-3.7890760000000002E-2</v>
      </c>
      <c r="R7335">
        <v>-6.5239740000000001E-3</v>
      </c>
      <c r="S7335">
        <v>3.0045470000000001</v>
      </c>
      <c r="T7335">
        <v>7.9832200000000006E-2</v>
      </c>
      <c r="U7335">
        <v>-0.13461300000000001</v>
      </c>
      <c r="V7335">
        <v>2.4676870000000001E-3</v>
      </c>
      <c r="W7335">
        <v>-2.5550819999999998E-2</v>
      </c>
      <c r="X7335">
        <v>0.99967050000000002</v>
      </c>
      <c r="Y7335">
        <v>4.0685329999999999E-2</v>
      </c>
      <c r="Z7335">
        <v>1.3052420000000001E-4</v>
      </c>
      <c r="AA7335">
        <v>0.99917199999999995</v>
      </c>
      <c r="AB7335">
        <v>27</v>
      </c>
      <c r="AC7335">
        <v>108.2576</v>
      </c>
      <c r="AD7335">
        <v>2.8803839999999998</v>
      </c>
      <c r="AE7335">
        <v>-4.8564299999999996</v>
      </c>
      <c r="AF7335">
        <v>4.4124465039810499</v>
      </c>
      <c r="AG7335">
        <v>2.8803839999999998</v>
      </c>
      <c r="AH7335">
        <v>108.200034796883</v>
      </c>
      <c r="AI7335">
        <v>88.476359855578195</v>
      </c>
      <c r="AJ7335">
        <v>87.664746090037198</v>
      </c>
      <c r="AK7335">
        <v>108.328268822984</v>
      </c>
      <c r="AL7335">
        <v>91.464113453873793</v>
      </c>
      <c r="AM7335">
        <v>89.8585656342985</v>
      </c>
      <c r="AN7335">
        <v>1.0000000212260201</v>
      </c>
    </row>
    <row r="7336" spans="1:40" x14ac:dyDescent="0.25">
      <c r="A7336" t="str">
        <f>"20190303153952198"</f>
        <v>20190303153952198</v>
      </c>
      <c r="B7336" t="str">
        <f>"1551598792186243"</f>
        <v>1551598792186243</v>
      </c>
      <c r="C7336" t="s">
        <v>40</v>
      </c>
      <c r="D7336">
        <v>4.4621089999999999</v>
      </c>
      <c r="E7336">
        <v>0.51503189999999999</v>
      </c>
      <c r="F7336" t="s">
        <v>73</v>
      </c>
      <c r="G7336">
        <v>-274.49669999999998</v>
      </c>
      <c r="H7336">
        <v>4.0847300000000004</v>
      </c>
      <c r="I7336">
        <v>12.69106</v>
      </c>
      <c r="J7336">
        <v>-382.59879999999998</v>
      </c>
      <c r="K7336">
        <v>1.121181</v>
      </c>
      <c r="L7336">
        <v>17.49924</v>
      </c>
      <c r="M7336">
        <v>0.99991750000000001</v>
      </c>
      <c r="N7336">
        <v>-1.2241190000000001E-2</v>
      </c>
      <c r="O7336">
        <v>-3.9005210000000001E-3</v>
      </c>
      <c r="P7336">
        <v>0.99930359999999996</v>
      </c>
      <c r="Q7336">
        <v>-3.6732580000000001E-2</v>
      </c>
      <c r="R7336">
        <v>-6.564846E-3</v>
      </c>
      <c r="S7336">
        <v>3.0044559999999998</v>
      </c>
      <c r="T7336">
        <v>8.2246780000000005E-2</v>
      </c>
      <c r="U7336">
        <v>-0.1334534</v>
      </c>
      <c r="V7336">
        <v>2.6789790000000002E-3</v>
      </c>
      <c r="W7336">
        <v>-2.4495610000000001E-2</v>
      </c>
      <c r="X7336">
        <v>0.99969640000000004</v>
      </c>
      <c r="Y7336">
        <v>4.047212E-2</v>
      </c>
      <c r="Z7336">
        <v>1.512989E-4</v>
      </c>
      <c r="AA7336">
        <v>0.99918070000000003</v>
      </c>
      <c r="AB7336">
        <v>27</v>
      </c>
      <c r="AC7336">
        <v>108.10209999999999</v>
      </c>
      <c r="AD7336">
        <v>2.963549</v>
      </c>
      <c r="AE7336">
        <v>-4.8081800000000001</v>
      </c>
      <c r="AF7336">
        <v>4.38316967347951</v>
      </c>
      <c r="AG7336">
        <v>2.963549</v>
      </c>
      <c r="AH7336">
        <v>108.038997312988</v>
      </c>
      <c r="AI7336">
        <v>88.430040783075398</v>
      </c>
      <c r="AJ7336">
        <v>87.676769691294993</v>
      </c>
      <c r="AK7336">
        <v>108.168478492848</v>
      </c>
      <c r="AL7336">
        <v>91.403635392172305</v>
      </c>
      <c r="AM7336">
        <v>89.846459562446</v>
      </c>
      <c r="AN7336">
        <v>1.00000005200535</v>
      </c>
    </row>
    <row r="7337" spans="1:40" x14ac:dyDescent="0.25">
      <c r="A7337" t="str">
        <f>"20190303153952212"</f>
        <v>20190303153952212</v>
      </c>
      <c r="B7337" t="str">
        <f>"1551598792206268"</f>
        <v>1551598792206268</v>
      </c>
      <c r="C7337" t="s">
        <v>40</v>
      </c>
      <c r="D7337">
        <v>4.4948800000000002</v>
      </c>
      <c r="E7337">
        <v>0.51490320000000001</v>
      </c>
      <c r="F7337" t="s">
        <v>73</v>
      </c>
      <c r="G7337">
        <v>-274.49669999999998</v>
      </c>
      <c r="H7337">
        <v>4.1597879999999998</v>
      </c>
      <c r="I7337">
        <v>12.69177</v>
      </c>
      <c r="J7337">
        <v>-382.42500000000001</v>
      </c>
      <c r="K7337">
        <v>1.1211739999999999</v>
      </c>
      <c r="L7337">
        <v>17.498750000000001</v>
      </c>
      <c r="M7337">
        <v>0.99991969999999997</v>
      </c>
      <c r="N7337">
        <v>-1.213408E-2</v>
      </c>
      <c r="O7337">
        <v>-3.714101E-3</v>
      </c>
      <c r="P7337">
        <v>0.99934219999999896</v>
      </c>
      <c r="Q7337">
        <v>-3.5776349999999998E-2</v>
      </c>
      <c r="R7337">
        <v>-5.9510329999999997E-3</v>
      </c>
      <c r="S7337">
        <v>3.0043030000000002</v>
      </c>
      <c r="T7337">
        <v>8.4447149999999999E-2</v>
      </c>
      <c r="U7337">
        <v>-0.133606</v>
      </c>
      <c r="V7337">
        <v>2.2507130000000001E-3</v>
      </c>
      <c r="W7337">
        <v>-2.364633E-2</v>
      </c>
      <c r="X7337">
        <v>0.99971779999999999</v>
      </c>
      <c r="Y7337">
        <v>4.0710499999999997E-2</v>
      </c>
      <c r="Z7337">
        <v>1.7525509999999901E-4</v>
      </c>
      <c r="AA7337">
        <v>0.99917100000000003</v>
      </c>
      <c r="AB7337">
        <v>27</v>
      </c>
      <c r="AC7337">
        <v>107.92829999999999</v>
      </c>
      <c r="AD7337">
        <v>3.0386139999999999</v>
      </c>
      <c r="AE7337">
        <v>-4.8069800000000003</v>
      </c>
      <c r="AF7337">
        <v>4.4025780209735199</v>
      </c>
      <c r="AG7337">
        <v>3.0386139999999999</v>
      </c>
      <c r="AH7337">
        <v>107.860084571238</v>
      </c>
      <c r="AI7337">
        <v>88.387642778147097</v>
      </c>
      <c r="AJ7337">
        <v>87.662627538113099</v>
      </c>
      <c r="AK7337">
        <v>107.992655824303</v>
      </c>
      <c r="AL7337">
        <v>91.354961272477595</v>
      </c>
      <c r="AM7337">
        <v>89.871007460384106</v>
      </c>
      <c r="AN7337">
        <v>0.99999994713415696</v>
      </c>
    </row>
    <row r="7338" spans="1:40" x14ac:dyDescent="0.25">
      <c r="A7338" t="str">
        <f>"20190303153952230"</f>
        <v>20190303153952230</v>
      </c>
      <c r="B7338" t="str">
        <f>"1551598792225930"</f>
        <v>1551598792225930</v>
      </c>
      <c r="C7338" t="s">
        <v>40</v>
      </c>
      <c r="D7338">
        <v>4.5017709999999997</v>
      </c>
      <c r="E7338">
        <v>0.51488579999999995</v>
      </c>
      <c r="F7338" t="s">
        <v>73</v>
      </c>
      <c r="G7338">
        <v>-274.49669999999998</v>
      </c>
      <c r="H7338">
        <v>4.1149740000000001</v>
      </c>
      <c r="I7338">
        <v>12.7963</v>
      </c>
      <c r="J7338">
        <v>-382.2079</v>
      </c>
      <c r="K7338">
        <v>1.121156</v>
      </c>
      <c r="L7338">
        <v>17.498200000000001</v>
      </c>
      <c r="M7338">
        <v>0.99992170000000002</v>
      </c>
      <c r="N7338">
        <v>-1.2018849999999999E-2</v>
      </c>
      <c r="O7338">
        <v>-3.4933899999999999E-3</v>
      </c>
      <c r="P7338">
        <v>0.99939230000000001</v>
      </c>
      <c r="Q7338">
        <v>-3.4491349999999997E-2</v>
      </c>
      <c r="R7338">
        <v>-5.0310320000000004E-3</v>
      </c>
      <c r="S7338">
        <v>3.0041199999999999</v>
      </c>
      <c r="T7338">
        <v>8.3330749999999995E-2</v>
      </c>
      <c r="U7338">
        <v>-0.130889899999999</v>
      </c>
      <c r="V7338">
        <v>1.550112E-3</v>
      </c>
      <c r="W7338">
        <v>-2.247644E-2</v>
      </c>
      <c r="X7338">
        <v>0.99974609999999997</v>
      </c>
      <c r="Y7338">
        <v>4.00323E-2</v>
      </c>
      <c r="Z7338">
        <v>1.7534119999999999E-4</v>
      </c>
      <c r="AA7338">
        <v>0.99919840000000004</v>
      </c>
      <c r="AB7338">
        <v>27</v>
      </c>
      <c r="AC7338">
        <v>107.71120000000001</v>
      </c>
      <c r="AD7338">
        <v>2.9938180000000001</v>
      </c>
      <c r="AE7338">
        <v>-4.7019000000000002</v>
      </c>
      <c r="AF7338">
        <v>4.3222340980457297</v>
      </c>
      <c r="AG7338">
        <v>2.9938180000000001</v>
      </c>
      <c r="AH7338">
        <v>107.643966766848</v>
      </c>
      <c r="AI7338">
        <v>88.408169741673305</v>
      </c>
      <c r="AJ7338">
        <v>87.700634624655507</v>
      </c>
      <c r="AK7338">
        <v>107.77229808776301</v>
      </c>
      <c r="AL7338">
        <v>91.2879136979316</v>
      </c>
      <c r="AM7338">
        <v>89.911162639993904</v>
      </c>
      <c r="AN7338">
        <v>0.999999928833745</v>
      </c>
    </row>
    <row r="7339" spans="1:40" x14ac:dyDescent="0.25">
      <c r="A7339" t="str">
        <f>"20190303153952251"</f>
        <v>20190303153952251</v>
      </c>
      <c r="B7339" t="str">
        <f>"1551598792245451"</f>
        <v>1551598792245451</v>
      </c>
      <c r="C7339" t="s">
        <v>40</v>
      </c>
      <c r="D7339">
        <v>4.544308</v>
      </c>
      <c r="E7339">
        <v>0.4957259</v>
      </c>
      <c r="F7339" t="s">
        <v>73</v>
      </c>
      <c r="G7339">
        <v>-274.49669999999998</v>
      </c>
      <c r="H7339">
        <v>4.1825070000000002</v>
      </c>
      <c r="I7339">
        <v>12.906969999999999</v>
      </c>
      <c r="J7339">
        <v>-381.95620000000002</v>
      </c>
      <c r="K7339">
        <v>1.121132</v>
      </c>
      <c r="L7339">
        <v>17.497620000000001</v>
      </c>
      <c r="M7339">
        <v>0.99992389999999998</v>
      </c>
      <c r="N7339">
        <v>-1.1910810000000001E-2</v>
      </c>
      <c r="O7339">
        <v>-3.2573300000000001E-3</v>
      </c>
      <c r="P7339">
        <v>0.99937580000000004</v>
      </c>
      <c r="Q7339">
        <v>-3.5080460000000001E-2</v>
      </c>
      <c r="R7339">
        <v>-4.2030289999999996E-3</v>
      </c>
      <c r="S7339">
        <v>3.0041199999999999</v>
      </c>
      <c r="T7339">
        <v>8.5382700000000006E-2</v>
      </c>
      <c r="U7339">
        <v>-0.12805179999999999</v>
      </c>
      <c r="V7339">
        <v>9.5751150000000004E-4</v>
      </c>
      <c r="W7339">
        <v>-2.31741E-2</v>
      </c>
      <c r="X7339">
        <v>0.99973100000000004</v>
      </c>
      <c r="Y7339">
        <v>3.9325319999999997E-2</v>
      </c>
      <c r="Z7339">
        <v>1.9285529999999999E-4</v>
      </c>
      <c r="AA7339">
        <v>0.99922650000000002</v>
      </c>
      <c r="AB7339">
        <v>27</v>
      </c>
      <c r="AC7339">
        <v>107.45950000000001</v>
      </c>
      <c r="AD7339">
        <v>3.061375</v>
      </c>
      <c r="AE7339">
        <v>-4.5906500000000001</v>
      </c>
      <c r="AF7339">
        <v>4.2371372003300598</v>
      </c>
      <c r="AG7339">
        <v>3.061375</v>
      </c>
      <c r="AH7339">
        <v>107.386887445114</v>
      </c>
      <c r="AI7339">
        <v>88.368328668023196</v>
      </c>
      <c r="AJ7339">
        <v>87.740467036388296</v>
      </c>
      <c r="AK7339">
        <v>107.51404068164599</v>
      </c>
      <c r="AL7339">
        <v>91.327896978836804</v>
      </c>
      <c r="AM7339">
        <v>89.945123887315603</v>
      </c>
      <c r="AN7339">
        <v>1.00000001405004</v>
      </c>
    </row>
    <row r="7340" spans="1:40" x14ac:dyDescent="0.25">
      <c r="A7340" t="str">
        <f>"20190303153952262"</f>
        <v>20190303153952262</v>
      </c>
      <c r="B7340" t="str">
        <f>"1551598792256187"</f>
        <v>1551598792256187</v>
      </c>
      <c r="C7340" t="s">
        <v>40</v>
      </c>
      <c r="D7340">
        <v>4.477875</v>
      </c>
      <c r="E7340">
        <v>0.49339640000000001</v>
      </c>
      <c r="F7340" t="s">
        <v>42</v>
      </c>
      <c r="G7340">
        <v>-327.58929999999998</v>
      </c>
      <c r="H7340" s="1">
        <v>-1.42247899999999E-6</v>
      </c>
      <c r="I7340">
        <v>17.91133</v>
      </c>
      <c r="J7340">
        <v>-381.80759999999998</v>
      </c>
      <c r="K7340">
        <v>1.121119</v>
      </c>
      <c r="L7340">
        <v>17.49728</v>
      </c>
      <c r="M7340">
        <v>0.99992479999999995</v>
      </c>
      <c r="N7340">
        <v>-1.1860000000000001E-2</v>
      </c>
      <c r="O7340">
        <v>-3.1304850000000001E-3</v>
      </c>
      <c r="P7340">
        <v>0.99935189999999996</v>
      </c>
      <c r="Q7340">
        <v>-3.5817429999999997E-2</v>
      </c>
      <c r="R7340">
        <v>-3.616859E-3</v>
      </c>
      <c r="S7340">
        <v>2.9997859999999998</v>
      </c>
      <c r="T7340">
        <v>-6.1860440000000003E-2</v>
      </c>
      <c r="U7340">
        <v>2.2827150000000001E-2</v>
      </c>
      <c r="V7340">
        <v>4.9770290000000002E-4</v>
      </c>
      <c r="W7340">
        <v>-2.396233E-2</v>
      </c>
      <c r="X7340">
        <v>0.99971279999999996</v>
      </c>
      <c r="Y7340">
        <v>-1.0736239999999999E-2</v>
      </c>
      <c r="Z7340">
        <v>2.0178700000000001E-4</v>
      </c>
      <c r="AA7340">
        <v>0.99994240000000001</v>
      </c>
      <c r="AB7340">
        <v>27</v>
      </c>
      <c r="AC7340">
        <v>54.218299999999999</v>
      </c>
      <c r="AD7340">
        <v>-1.1211204224789999</v>
      </c>
      <c r="AE7340">
        <v>0.41404999999999897</v>
      </c>
      <c r="AF7340">
        <v>-0.58353998571977805</v>
      </c>
      <c r="AG7340">
        <v>-1.1211204224789999</v>
      </c>
      <c r="AH7340">
        <v>54.193567539278497</v>
      </c>
      <c r="AI7340">
        <v>91.185059193451593</v>
      </c>
      <c r="AJ7340">
        <v>90.616919826511904</v>
      </c>
      <c r="AK7340">
        <v>54.208303723239503</v>
      </c>
      <c r="AL7340">
        <v>91.373071714342203</v>
      </c>
      <c r="AM7340">
        <v>89.971475534508002</v>
      </c>
      <c r="AN7340">
        <v>1.00000006172552</v>
      </c>
    </row>
    <row r="7341" spans="1:40" x14ac:dyDescent="0.25">
      <c r="A7341" t="str">
        <f>"20190303153952273"</f>
        <v>20190303153952273</v>
      </c>
      <c r="B7341" t="str">
        <f>"1551598792265946"</f>
        <v>1551598792265946</v>
      </c>
      <c r="C7341" t="s">
        <v>40</v>
      </c>
      <c r="D7341">
        <v>4.5182760000000002</v>
      </c>
      <c r="E7341">
        <v>0.49242659999999999</v>
      </c>
      <c r="F7341" t="s">
        <v>42</v>
      </c>
      <c r="G7341">
        <v>-328.68009999999998</v>
      </c>
      <c r="H7341" s="1">
        <v>-8.5139799999999996E-7</v>
      </c>
      <c r="I7341">
        <v>18.262049999999999</v>
      </c>
      <c r="J7341">
        <v>-381.67059999999998</v>
      </c>
      <c r="K7341">
        <v>1.1211070000000001</v>
      </c>
      <c r="L7341">
        <v>17.496949999999998</v>
      </c>
      <c r="M7341">
        <v>0.99992570000000003</v>
      </c>
      <c r="N7341">
        <v>-1.1819919999999999E-2</v>
      </c>
      <c r="O7341">
        <v>-3.0193099999999999E-3</v>
      </c>
      <c r="P7341">
        <v>0.99932500000000002</v>
      </c>
      <c r="Q7341">
        <v>-3.6588389999999998E-2</v>
      </c>
      <c r="R7341">
        <v>-3.308447E-3</v>
      </c>
      <c r="S7341">
        <v>2.9998170000000002</v>
      </c>
      <c r="T7341">
        <v>-6.3303470000000001E-2</v>
      </c>
      <c r="U7341">
        <v>4.3182369999999998E-2</v>
      </c>
      <c r="V7341">
        <v>3.0038889999999999E-4</v>
      </c>
      <c r="W7341">
        <v>-2.4773710000000001E-2</v>
      </c>
      <c r="X7341">
        <v>0.99969300000000005</v>
      </c>
      <c r="Y7341">
        <v>-1.7406479999999998E-2</v>
      </c>
      <c r="Z7341">
        <v>3.1454740000000001E-4</v>
      </c>
      <c r="AA7341">
        <v>0.99984839999999997</v>
      </c>
      <c r="AB7341">
        <v>27</v>
      </c>
      <c r="AC7341">
        <v>52.990499999999997</v>
      </c>
      <c r="AD7341">
        <v>-1.121107851398</v>
      </c>
      <c r="AE7341">
        <v>0.7651</v>
      </c>
      <c r="AF7341">
        <v>-0.92468860508565898</v>
      </c>
      <c r="AG7341">
        <v>-1.121107851398</v>
      </c>
      <c r="AH7341">
        <v>52.9642458648527</v>
      </c>
      <c r="AI7341">
        <v>91.212428748536098</v>
      </c>
      <c r="AJ7341">
        <v>91.000210077196797</v>
      </c>
      <c r="AK7341">
        <v>52.984179448807303</v>
      </c>
      <c r="AL7341">
        <v>91.419574314561302</v>
      </c>
      <c r="AM7341">
        <v>89.982783698930902</v>
      </c>
      <c r="AN7341">
        <v>0.99999996059482699</v>
      </c>
    </row>
    <row r="7342" spans="1:40" x14ac:dyDescent="0.25">
      <c r="A7342" t="str">
        <f>"20190303153952286"</f>
        <v>20190303153952286</v>
      </c>
      <c r="B7342" t="str">
        <f>"1551598792275707"</f>
        <v>1551598792275707</v>
      </c>
      <c r="C7342" t="s">
        <v>40</v>
      </c>
      <c r="D7342">
        <v>4.5262710000000004</v>
      </c>
      <c r="E7342">
        <v>0.49181459999999999</v>
      </c>
      <c r="F7342" t="s">
        <v>42</v>
      </c>
      <c r="G7342">
        <v>-329.55619999999999</v>
      </c>
      <c r="H7342" s="1">
        <v>-4.7874690000000005E-7</v>
      </c>
      <c r="I7342">
        <v>18.398230000000002</v>
      </c>
      <c r="J7342">
        <v>-381.50720000000001</v>
      </c>
      <c r="K7342">
        <v>1.121095</v>
      </c>
      <c r="L7342">
        <v>17.49661</v>
      </c>
      <c r="M7342">
        <v>0.99992650000000005</v>
      </c>
      <c r="N7342">
        <v>-1.1784090000000001E-2</v>
      </c>
      <c r="O7342">
        <v>-2.8968710000000001E-3</v>
      </c>
      <c r="P7342">
        <v>0.99930949999999996</v>
      </c>
      <c r="Q7342">
        <v>-3.7028499999999999E-2</v>
      </c>
      <c r="R7342">
        <v>-3.0990570000000001E-3</v>
      </c>
      <c r="S7342">
        <v>2.9998170000000002</v>
      </c>
      <c r="T7342">
        <v>-6.4533350000000003E-2</v>
      </c>
      <c r="U7342">
        <v>5.1879880000000003E-2</v>
      </c>
      <c r="V7342">
        <v>2.125056E-4</v>
      </c>
      <c r="W7342">
        <v>-2.5249850000000001E-2</v>
      </c>
      <c r="X7342">
        <v>0.99968120000000005</v>
      </c>
      <c r="Y7342">
        <v>-2.0180980000000001E-2</v>
      </c>
      <c r="Z7342">
        <v>3.6414450000000001E-4</v>
      </c>
      <c r="AA7342">
        <v>0.99979629999999997</v>
      </c>
      <c r="AB7342">
        <v>27</v>
      </c>
      <c r="AC7342">
        <v>51.951000000000001</v>
      </c>
      <c r="AD7342">
        <v>-1.1210954787468901</v>
      </c>
      <c r="AE7342">
        <v>0.90161999999999698</v>
      </c>
      <c r="AF7342">
        <v>-1.05163240451569</v>
      </c>
      <c r="AG7342">
        <v>-1.1210954787468901</v>
      </c>
      <c r="AH7342">
        <v>51.923996697711097</v>
      </c>
      <c r="AI7342">
        <v>91.236632399461399</v>
      </c>
      <c r="AJ7342">
        <v>91.160270117249297</v>
      </c>
      <c r="AK7342">
        <v>51.946744063998999</v>
      </c>
      <c r="AL7342">
        <v>91.446863535021805</v>
      </c>
      <c r="AM7342">
        <v>89.987820443337796</v>
      </c>
      <c r="AN7342">
        <v>1.00000005085854</v>
      </c>
    </row>
    <row r="7343" spans="1:40" x14ac:dyDescent="0.25">
      <c r="A7343" t="str">
        <f>"20190303153952300"</f>
        <v>20190303153952300</v>
      </c>
      <c r="B7343" t="str">
        <f>"1551598792285467"</f>
        <v>1551598792285467</v>
      </c>
      <c r="C7343" t="s">
        <v>40</v>
      </c>
      <c r="D7343">
        <v>4.5031689999999998</v>
      </c>
      <c r="E7343">
        <v>0.49147679999999999</v>
      </c>
      <c r="F7343" t="s">
        <v>42</v>
      </c>
      <c r="G7343">
        <v>-331.17039999999997</v>
      </c>
      <c r="H7343" s="1">
        <v>-3.9754239999999999E-6</v>
      </c>
      <c r="I7343">
        <v>18.45926</v>
      </c>
      <c r="J7343">
        <v>-381.36200000000002</v>
      </c>
      <c r="K7343">
        <v>1.1210960000000001</v>
      </c>
      <c r="L7343">
        <v>17.496310000000001</v>
      </c>
      <c r="M7343">
        <v>0.99992650000000005</v>
      </c>
      <c r="N7343">
        <v>-1.17962E-2</v>
      </c>
      <c r="O7343">
        <v>-2.8046189999999999E-3</v>
      </c>
      <c r="P7343">
        <v>0.99928919999999999</v>
      </c>
      <c r="Q7343">
        <v>-3.7587929999999999E-2</v>
      </c>
      <c r="R7343">
        <v>-2.891322E-3</v>
      </c>
      <c r="S7343">
        <v>2.9997859999999998</v>
      </c>
      <c r="T7343">
        <v>-6.6811079999999995E-2</v>
      </c>
      <c r="U7343">
        <v>5.7373050000000002E-2</v>
      </c>
      <c r="V7343" s="1">
        <v>9.6442609999999998E-5</v>
      </c>
      <c r="W7343">
        <v>-2.579743E-2</v>
      </c>
      <c r="X7343">
        <v>0.99966719999999998</v>
      </c>
      <c r="Y7343">
        <v>-2.191798E-2</v>
      </c>
      <c r="Z7343">
        <v>4.02712E-4</v>
      </c>
      <c r="AA7343">
        <v>0.99975970000000003</v>
      </c>
      <c r="AB7343">
        <v>27</v>
      </c>
      <c r="AC7343">
        <v>50.191600000000001</v>
      </c>
      <c r="AD7343">
        <v>-1.1210999754240001</v>
      </c>
      <c r="AE7343">
        <v>0.96294999999999897</v>
      </c>
      <c r="AF7343">
        <v>-1.10317413305252</v>
      </c>
      <c r="AG7343">
        <v>-1.1210999754240001</v>
      </c>
      <c r="AH7343">
        <v>50.163683467721903</v>
      </c>
      <c r="AI7343">
        <v>91.279971527120196</v>
      </c>
      <c r="AJ7343">
        <v>91.259816483458195</v>
      </c>
      <c r="AK7343">
        <v>50.188335271978602</v>
      </c>
      <c r="AL7343">
        <v>91.478247836063801</v>
      </c>
      <c r="AM7343">
        <v>89.994472405915602</v>
      </c>
      <c r="AN7343">
        <v>1.00000001372581</v>
      </c>
    </row>
    <row r="7344" spans="1:40" x14ac:dyDescent="0.25">
      <c r="A7344" t="str">
        <f>"20190303153952312"</f>
        <v>20190303153952312</v>
      </c>
      <c r="B7344" t="str">
        <f>"1551598792305962"</f>
        <v>1551598792305962</v>
      </c>
      <c r="C7344" t="s">
        <v>40</v>
      </c>
      <c r="D7344">
        <v>4.5766580000000001</v>
      </c>
      <c r="E7344">
        <v>0.4899326</v>
      </c>
      <c r="F7344" t="s">
        <v>42</v>
      </c>
      <c r="G7344">
        <v>-332.52510000000001</v>
      </c>
      <c r="H7344" s="1">
        <v>-3.3897700000000002E-6</v>
      </c>
      <c r="I7344">
        <v>18.48442</v>
      </c>
      <c r="J7344">
        <v>-381.20769999999999</v>
      </c>
      <c r="K7344">
        <v>1.1210990000000001</v>
      </c>
      <c r="L7344">
        <v>17.49597</v>
      </c>
      <c r="M7344">
        <v>0.99992639999999999</v>
      </c>
      <c r="N7344">
        <v>-1.1831080000000001E-2</v>
      </c>
      <c r="O7344">
        <v>-2.7156139999999999E-3</v>
      </c>
      <c r="P7344">
        <v>0.99927489999999997</v>
      </c>
      <c r="Q7344">
        <v>-3.7976709999999997E-2</v>
      </c>
      <c r="R7344">
        <v>-2.7567989999999999E-3</v>
      </c>
      <c r="S7344">
        <v>2.9997560000000001</v>
      </c>
      <c r="T7344">
        <v>-6.8862439999999997E-2</v>
      </c>
      <c r="U7344">
        <v>6.0699459999999997E-2</v>
      </c>
      <c r="V7344" s="1">
        <v>5.0203469999999999E-5</v>
      </c>
      <c r="W7344">
        <v>-2.6151489999999999E-2</v>
      </c>
      <c r="X7344">
        <v>0.99965800000000005</v>
      </c>
      <c r="Y7344">
        <v>-2.293651E-2</v>
      </c>
      <c r="Z7344">
        <v>4.2913270000000001E-4</v>
      </c>
      <c r="AA7344">
        <v>0.99973679999999998</v>
      </c>
      <c r="AB7344">
        <v>27</v>
      </c>
      <c r="AC7344">
        <v>48.682599999999901</v>
      </c>
      <c r="AD7344">
        <v>-1.1211023897700001</v>
      </c>
      <c r="AE7344">
        <v>0.98845000000000005</v>
      </c>
      <c r="AF7344">
        <v>-1.1200649932425299</v>
      </c>
      <c r="AG7344">
        <v>-1.1211023897700001</v>
      </c>
      <c r="AH7344">
        <v>48.653944206556901</v>
      </c>
      <c r="AI7344">
        <v>91.3196476919058</v>
      </c>
      <c r="AJ7344">
        <v>91.318776198449797</v>
      </c>
      <c r="AK7344">
        <v>48.679746332660599</v>
      </c>
      <c r="AL7344">
        <v>91.498540831952099</v>
      </c>
      <c r="AM7344">
        <v>89.997122568973097</v>
      </c>
      <c r="AN7344">
        <v>1.0000000099568001</v>
      </c>
    </row>
    <row r="7345" spans="1:40" x14ac:dyDescent="0.25">
      <c r="A7345" t="str">
        <f>"20190303153952327"</f>
        <v>20190303153952327</v>
      </c>
      <c r="B7345" t="str">
        <f>"1551598792315722"</f>
        <v>1551598792315722</v>
      </c>
      <c r="C7345" t="s">
        <v>40</v>
      </c>
      <c r="D7345">
        <v>4.5995869999999996</v>
      </c>
      <c r="E7345">
        <v>0.48931259999999999</v>
      </c>
      <c r="F7345" t="s">
        <v>42</v>
      </c>
      <c r="G7345">
        <v>-339.17959999999999</v>
      </c>
      <c r="H7345" s="1">
        <v>-5.5680830000000005E-7</v>
      </c>
      <c r="I7345">
        <v>18.520499999999998</v>
      </c>
      <c r="J7345">
        <v>-381.01690000000002</v>
      </c>
      <c r="K7345">
        <v>1.1211199999999999</v>
      </c>
      <c r="L7345">
        <v>17.495570000000001</v>
      </c>
      <c r="M7345">
        <v>0.99992539999999996</v>
      </c>
      <c r="N7345">
        <v>-1.193351E-2</v>
      </c>
      <c r="O7345">
        <v>-2.6289619999999999E-3</v>
      </c>
      <c r="P7345">
        <v>0.99929009999999996</v>
      </c>
      <c r="Q7345">
        <v>-3.7572059999999997E-2</v>
      </c>
      <c r="R7345">
        <v>-2.77808E-3</v>
      </c>
      <c r="S7345">
        <v>2.999298</v>
      </c>
      <c r="T7345">
        <v>-8.0006240000000006E-2</v>
      </c>
      <c r="U7345">
        <v>7.3120119999999997E-2</v>
      </c>
      <c r="V7345">
        <v>1.56735E-4</v>
      </c>
      <c r="W7345">
        <v>-2.564427E-2</v>
      </c>
      <c r="X7345">
        <v>0.99967110000000003</v>
      </c>
      <c r="Y7345">
        <v>-2.6985950000000002E-2</v>
      </c>
      <c r="Z7345">
        <v>5.5963629999999996E-4</v>
      </c>
      <c r="AA7345">
        <v>0.99963559999999996</v>
      </c>
      <c r="AB7345">
        <v>27</v>
      </c>
      <c r="AC7345">
        <v>41.837299999999999</v>
      </c>
      <c r="AD7345">
        <v>-1.1211205568083</v>
      </c>
      <c r="AE7345">
        <v>1.0249299999999899</v>
      </c>
      <c r="AF7345">
        <v>-1.1341090540865799</v>
      </c>
      <c r="AG7345">
        <v>-1.1211205568083</v>
      </c>
      <c r="AH7345">
        <v>41.804459455279101</v>
      </c>
      <c r="AI7345">
        <v>91.535637012562105</v>
      </c>
      <c r="AJ7345">
        <v>91.553990387718997</v>
      </c>
      <c r="AK7345">
        <v>41.834865184407299</v>
      </c>
      <c r="AL7345">
        <v>91.469469558997503</v>
      </c>
      <c r="AM7345">
        <v>89.991016791494303</v>
      </c>
      <c r="AN7345">
        <v>0.99999998066245099</v>
      </c>
    </row>
    <row r="7346" spans="1:40" x14ac:dyDescent="0.25">
      <c r="A7346" t="str">
        <f>"20190303153952340"</f>
        <v>20190303153952340</v>
      </c>
      <c r="B7346" t="str">
        <f>"1551598792325482"</f>
        <v>1551598792325482</v>
      </c>
      <c r="C7346" t="s">
        <v>40</v>
      </c>
      <c r="D7346">
        <v>4.504785</v>
      </c>
      <c r="E7346">
        <v>0.48944169999999998</v>
      </c>
      <c r="F7346" t="s">
        <v>42</v>
      </c>
      <c r="G7346">
        <v>-340.43689999999998</v>
      </c>
      <c r="H7346" s="1">
        <v>-4.274134E-6</v>
      </c>
      <c r="I7346">
        <v>18.549219999999998</v>
      </c>
      <c r="J7346">
        <v>-380.87090000000001</v>
      </c>
      <c r="K7346">
        <v>1.121138</v>
      </c>
      <c r="L7346">
        <v>17.495270000000001</v>
      </c>
      <c r="M7346">
        <v>0.99992440000000005</v>
      </c>
      <c r="N7346">
        <v>-1.203251E-2</v>
      </c>
      <c r="O7346">
        <v>-2.5760000000000002E-3</v>
      </c>
      <c r="P7346">
        <v>0.999305</v>
      </c>
      <c r="Q7346">
        <v>-3.7172919999999998E-2</v>
      </c>
      <c r="R7346">
        <v>-2.7492530000000001E-3</v>
      </c>
      <c r="S7346">
        <v>2.9992369999999999</v>
      </c>
      <c r="T7346">
        <v>-8.2861299999999999E-2</v>
      </c>
      <c r="U7346">
        <v>7.7880859999999996E-2</v>
      </c>
      <c r="V7346">
        <v>1.799104E-4</v>
      </c>
      <c r="W7346">
        <v>-2.514601E-2</v>
      </c>
      <c r="X7346">
        <v>0.99968380000000001</v>
      </c>
      <c r="Y7346">
        <v>-2.8517440000000002E-2</v>
      </c>
      <c r="Z7346">
        <v>6.0559630000000001E-4</v>
      </c>
      <c r="AA7346">
        <v>0.99959310000000001</v>
      </c>
      <c r="AB7346">
        <v>27</v>
      </c>
      <c r="AC7346">
        <v>40.433999999999997</v>
      </c>
      <c r="AD7346">
        <v>-1.121142274134</v>
      </c>
      <c r="AE7346">
        <v>1.0539499999999999</v>
      </c>
      <c r="AF7346">
        <v>-1.1572229169324999</v>
      </c>
      <c r="AG7346">
        <v>-1.121142274134</v>
      </c>
      <c r="AH7346">
        <v>40.400111088242099</v>
      </c>
      <c r="AI7346">
        <v>91.588954100525001</v>
      </c>
      <c r="AJ7346">
        <v>91.640734703305995</v>
      </c>
      <c r="AK7346">
        <v>40.432228491892801</v>
      </c>
      <c r="AL7346">
        <v>91.440912086136294</v>
      </c>
      <c r="AM7346">
        <v>89.989688633046498</v>
      </c>
      <c r="AN7346">
        <v>1.0000000270845499</v>
      </c>
    </row>
    <row r="7347" spans="1:40" x14ac:dyDescent="0.25">
      <c r="A7347" t="str">
        <f>"20190303153952351"</f>
        <v>20190303153952351</v>
      </c>
      <c r="B7347" t="str">
        <f>"1551598792345979"</f>
        <v>1551598792345979</v>
      </c>
      <c r="C7347" t="s">
        <v>40</v>
      </c>
      <c r="D7347">
        <v>4.5918010000000002</v>
      </c>
      <c r="E7347">
        <v>0.48891109999999999</v>
      </c>
      <c r="F7347" t="s">
        <v>42</v>
      </c>
      <c r="G7347">
        <v>-339.28590000000003</v>
      </c>
      <c r="H7347" s="1">
        <v>-5.0963259999999899E-7</v>
      </c>
      <c r="I7347">
        <v>18.561879999999999</v>
      </c>
      <c r="J7347">
        <v>-380.71940000000001</v>
      </c>
      <c r="K7347">
        <v>1.121146</v>
      </c>
      <c r="L7347">
        <v>17.49493</v>
      </c>
      <c r="M7347">
        <v>0.99992320000000001</v>
      </c>
      <c r="N7347">
        <v>-1.213815E-2</v>
      </c>
      <c r="O7347">
        <v>-2.5263159999999998E-3</v>
      </c>
      <c r="P7347">
        <v>0.99932969999999999</v>
      </c>
      <c r="Q7347">
        <v>-3.6497090000000003E-2</v>
      </c>
      <c r="R7347">
        <v>-2.8495619999999999E-3</v>
      </c>
      <c r="S7347">
        <v>2.999298</v>
      </c>
      <c r="T7347">
        <v>-8.0861450000000001E-2</v>
      </c>
      <c r="U7347">
        <v>7.6934810000000006E-2</v>
      </c>
      <c r="V7347">
        <v>3.285742E-4</v>
      </c>
      <c r="W7347">
        <v>-2.4364299999999998E-2</v>
      </c>
      <c r="X7347">
        <v>0.99970309999999996</v>
      </c>
      <c r="Y7347">
        <v>-2.8152989999999999E-2</v>
      </c>
      <c r="Z7347">
        <v>5.877438E-4</v>
      </c>
      <c r="AA7347">
        <v>0.99960349999999998</v>
      </c>
      <c r="AB7347">
        <v>27</v>
      </c>
      <c r="AC7347">
        <v>41.433499999999903</v>
      </c>
      <c r="AD7347">
        <v>-1.1211465096326001</v>
      </c>
      <c r="AE7347">
        <v>1.0669499999999901</v>
      </c>
      <c r="AF7347">
        <v>-1.1707717593948901</v>
      </c>
      <c r="AG7347">
        <v>-1.1211465096326001</v>
      </c>
      <c r="AH7347">
        <v>41.400379412942897</v>
      </c>
      <c r="AI7347">
        <v>91.5506045274971</v>
      </c>
      <c r="AJ7347">
        <v>91.619850068673202</v>
      </c>
      <c r="AK7347">
        <v>41.432102185917202</v>
      </c>
      <c r="AL7347">
        <v>91.396109699634295</v>
      </c>
      <c r="AM7347">
        <v>89.981168494686997</v>
      </c>
      <c r="AN7347">
        <v>1.0000000076125499</v>
      </c>
    </row>
    <row r="7348" spans="1:40" x14ac:dyDescent="0.25">
      <c r="A7348" t="str">
        <f>"20190303153952364"</f>
        <v>20190303153952364</v>
      </c>
      <c r="B7348" t="str">
        <f>"1551598792355739"</f>
        <v>1551598792355739</v>
      </c>
      <c r="C7348" t="s">
        <v>40</v>
      </c>
      <c r="D7348">
        <v>4.5493969999999999</v>
      </c>
      <c r="E7348">
        <v>0.48888989999999999</v>
      </c>
      <c r="F7348" t="s">
        <v>42</v>
      </c>
      <c r="G7348">
        <v>-339.86279999999999</v>
      </c>
      <c r="H7348" s="1">
        <v>-3.045353E-7</v>
      </c>
      <c r="I7348">
        <v>18.594819999999999</v>
      </c>
      <c r="J7348">
        <v>-380.56220000000002</v>
      </c>
      <c r="K7348">
        <v>1.1211580000000001</v>
      </c>
      <c r="L7348">
        <v>17.494599999999998</v>
      </c>
      <c r="M7348">
        <v>0.99992210000000004</v>
      </c>
      <c r="N7348">
        <v>-1.2246160000000001E-2</v>
      </c>
      <c r="O7348">
        <v>-2.486079E-3</v>
      </c>
      <c r="P7348">
        <v>0.99933530000000004</v>
      </c>
      <c r="Q7348">
        <v>-3.6316470000000003E-2</v>
      </c>
      <c r="R7348">
        <v>-3.202758E-3</v>
      </c>
      <c r="S7348">
        <v>2.999298</v>
      </c>
      <c r="T7348">
        <v>-8.2303760000000004E-2</v>
      </c>
      <c r="U7348">
        <v>8.0749509999999997E-2</v>
      </c>
      <c r="V7348">
        <v>7.2096729999999998E-4</v>
      </c>
      <c r="W7348">
        <v>-2.4075579999999999E-2</v>
      </c>
      <c r="X7348">
        <v>0.99970990000000004</v>
      </c>
      <c r="Y7348">
        <v>-2.9382060000000002E-2</v>
      </c>
      <c r="Z7348">
        <v>6.2074349999999897E-4</v>
      </c>
      <c r="AA7348">
        <v>0.99956800000000001</v>
      </c>
      <c r="AB7348">
        <v>27</v>
      </c>
      <c r="AC7348">
        <v>40.699399999999997</v>
      </c>
      <c r="AD7348">
        <v>-1.1211583045353</v>
      </c>
      <c r="AE7348">
        <v>1.10022</v>
      </c>
      <c r="AF7348">
        <v>-1.2004957580740001</v>
      </c>
      <c r="AG7348">
        <v>-1.1211583045353</v>
      </c>
      <c r="AH7348">
        <v>40.665701999403197</v>
      </c>
      <c r="AI7348">
        <v>91.578564133807703</v>
      </c>
      <c r="AJ7348">
        <v>91.690942634327698</v>
      </c>
      <c r="AK7348">
        <v>40.698863683317398</v>
      </c>
      <c r="AL7348">
        <v>91.379562392793005</v>
      </c>
      <c r="AM7348">
        <v>89.958679636667</v>
      </c>
      <c r="AN7348">
        <v>1.0000000187520901</v>
      </c>
    </row>
    <row r="7349" spans="1:40" x14ac:dyDescent="0.25">
      <c r="A7349" t="str">
        <f>"20190303153952376"</f>
        <v>20190303153952376</v>
      </c>
      <c r="B7349" t="str">
        <f>"1551598792365499"</f>
        <v>1551598792365499</v>
      </c>
      <c r="C7349" t="s">
        <v>40</v>
      </c>
      <c r="D7349">
        <v>4.598503</v>
      </c>
      <c r="E7349">
        <v>0.48865700000000001</v>
      </c>
      <c r="F7349" t="s">
        <v>42</v>
      </c>
      <c r="G7349">
        <v>-339.55419999999998</v>
      </c>
      <c r="H7349" s="1">
        <v>-4.1178759999999999E-7</v>
      </c>
      <c r="I7349">
        <v>18.586480000000002</v>
      </c>
      <c r="J7349">
        <v>-380.42410000000001</v>
      </c>
      <c r="K7349">
        <v>1.121167</v>
      </c>
      <c r="L7349">
        <v>17.494289999999999</v>
      </c>
      <c r="M7349">
        <v>0.99992099999999995</v>
      </c>
      <c r="N7349">
        <v>-1.233745E-2</v>
      </c>
      <c r="O7349">
        <v>-2.4580959999999999E-3</v>
      </c>
      <c r="P7349">
        <v>0.99934889999999998</v>
      </c>
      <c r="Q7349">
        <v>-3.5941359999999999E-2</v>
      </c>
      <c r="R7349">
        <v>-3.209085E-3</v>
      </c>
      <c r="S7349">
        <v>2.9992679999999998</v>
      </c>
      <c r="T7349">
        <v>-8.1999899999999903E-2</v>
      </c>
      <c r="U7349">
        <v>7.9864500000000005E-2</v>
      </c>
      <c r="V7349">
        <v>7.5436009999999996E-4</v>
      </c>
      <c r="W7349">
        <v>-2.3609089999999999E-2</v>
      </c>
      <c r="X7349">
        <v>0.99972099999999997</v>
      </c>
      <c r="Y7349">
        <v>-2.9059870000000002E-2</v>
      </c>
      <c r="Z7349">
        <v>6.133143E-4</v>
      </c>
      <c r="AA7349">
        <v>0.99957750000000001</v>
      </c>
      <c r="AB7349">
        <v>27</v>
      </c>
      <c r="AC7349">
        <v>40.869900000000001</v>
      </c>
      <c r="AD7349">
        <v>-1.1211674117876</v>
      </c>
      <c r="AE7349">
        <v>1.09218999999999</v>
      </c>
      <c r="AF7349">
        <v>-1.19176025523822</v>
      </c>
      <c r="AG7349">
        <v>-1.1211674117876</v>
      </c>
      <c r="AH7349">
        <v>40.836382219734901</v>
      </c>
      <c r="AI7349">
        <v>91.571997971373506</v>
      </c>
      <c r="AJ7349">
        <v>91.671633324512896</v>
      </c>
      <c r="AK7349">
        <v>40.869149999327099</v>
      </c>
      <c r="AL7349">
        <v>91.352826885790606</v>
      </c>
      <c r="AM7349">
        <v>89.956766296036605</v>
      </c>
      <c r="AN7349">
        <v>1.0000000180153901</v>
      </c>
    </row>
    <row r="7350" spans="1:40" x14ac:dyDescent="0.25">
      <c r="A7350" t="str">
        <f>"20190303153952387"</f>
        <v>20190303153952387</v>
      </c>
      <c r="B7350" t="str">
        <f>"1551598792376235"</f>
        <v>1551598792376235</v>
      </c>
      <c r="C7350" t="s">
        <v>40</v>
      </c>
      <c r="D7350">
        <v>4.5289140000000003</v>
      </c>
      <c r="E7350">
        <v>0.48876029999999998</v>
      </c>
      <c r="F7350" t="s">
        <v>42</v>
      </c>
      <c r="G7350">
        <v>-339.8913</v>
      </c>
      <c r="H7350" s="1">
        <v>-2.9413969999999998E-7</v>
      </c>
      <c r="I7350">
        <v>18.597449999999998</v>
      </c>
      <c r="J7350">
        <v>-380.28120000000001</v>
      </c>
      <c r="K7350">
        <v>1.121175</v>
      </c>
      <c r="L7350">
        <v>17.493960000000001</v>
      </c>
      <c r="M7350">
        <v>0.99991980000000003</v>
      </c>
      <c r="N7350">
        <v>-1.242997E-2</v>
      </c>
      <c r="O7350">
        <v>-2.4337E-3</v>
      </c>
      <c r="P7350">
        <v>0.99934540000000005</v>
      </c>
      <c r="Q7350">
        <v>-3.601596E-2</v>
      </c>
      <c r="R7350">
        <v>-3.422909E-3</v>
      </c>
      <c r="S7350">
        <v>2.9992369999999999</v>
      </c>
      <c r="T7350">
        <v>-8.296096E-2</v>
      </c>
      <c r="U7350">
        <v>8.1634520000000002E-2</v>
      </c>
      <c r="V7350">
        <v>9.919016000000001E-4</v>
      </c>
      <c r="W7350">
        <v>-2.3591210000000001E-2</v>
      </c>
      <c r="X7350">
        <v>0.99972119999999998</v>
      </c>
      <c r="Y7350">
        <v>-2.9624560000000001E-2</v>
      </c>
      <c r="Z7350">
        <v>6.3082229999999995E-4</v>
      </c>
      <c r="AA7350">
        <v>0.99956089999999997</v>
      </c>
      <c r="AB7350">
        <v>27</v>
      </c>
      <c r="AC7350">
        <v>40.389899999999997</v>
      </c>
      <c r="AD7350">
        <v>-1.1211752941397</v>
      </c>
      <c r="AE7350">
        <v>1.1034899999999901</v>
      </c>
      <c r="AF7350">
        <v>-1.2008665850989</v>
      </c>
      <c r="AG7350">
        <v>-1.1211752941397</v>
      </c>
      <c r="AH7350">
        <v>40.356021412375704</v>
      </c>
      <c r="AI7350">
        <v>91.590684378522795</v>
      </c>
      <c r="AJ7350">
        <v>91.704436844234607</v>
      </c>
      <c r="AK7350">
        <v>40.389448855258301</v>
      </c>
      <c r="AL7350">
        <v>91.351802171629402</v>
      </c>
      <c r="AM7350">
        <v>89.943152394163903</v>
      </c>
      <c r="AN7350">
        <v>1.00000000339374</v>
      </c>
    </row>
    <row r="7351" spans="1:40" x14ac:dyDescent="0.25">
      <c r="A7351" t="str">
        <f>"20190303153952408"</f>
        <v>20190303153952408</v>
      </c>
      <c r="B7351" t="str">
        <f>"1551598792395758"</f>
        <v>1551598792395758</v>
      </c>
      <c r="C7351" t="s">
        <v>40</v>
      </c>
      <c r="D7351">
        <v>4.6396559999999996</v>
      </c>
      <c r="E7351">
        <v>0.48815760000000002</v>
      </c>
      <c r="F7351" t="s">
        <v>42</v>
      </c>
      <c r="G7351">
        <v>-339.28579999999999</v>
      </c>
      <c r="H7351" s="1">
        <v>-5.0215269999999998E-7</v>
      </c>
      <c r="I7351">
        <v>18.59008</v>
      </c>
      <c r="J7351">
        <v>-380.0496</v>
      </c>
      <c r="K7351">
        <v>1.121186</v>
      </c>
      <c r="L7351">
        <v>17.49344</v>
      </c>
      <c r="M7351">
        <v>0.99991819999999998</v>
      </c>
      <c r="N7351">
        <v>-1.257569E-2</v>
      </c>
      <c r="O7351">
        <v>-2.4137540000000002E-3</v>
      </c>
      <c r="P7351">
        <v>0.99935660000000004</v>
      </c>
      <c r="Q7351">
        <v>-3.568876E-2</v>
      </c>
      <c r="R7351">
        <v>-3.6119640000000001E-3</v>
      </c>
      <c r="S7351">
        <v>2.999298</v>
      </c>
      <c r="T7351">
        <v>-8.2027199999999995E-2</v>
      </c>
      <c r="U7351">
        <v>8.0200199999999999E-2</v>
      </c>
      <c r="V7351">
        <v>1.2000929999999999E-3</v>
      </c>
      <c r="W7351">
        <v>-2.3118240000000002E-2</v>
      </c>
      <c r="X7351">
        <v>0.99973199999999995</v>
      </c>
      <c r="Y7351">
        <v>-2.9126949999999999E-2</v>
      </c>
      <c r="Z7351">
        <v>6.1702619999999997E-4</v>
      </c>
      <c r="AA7351">
        <v>0.99957560000000001</v>
      </c>
      <c r="AB7351">
        <v>27</v>
      </c>
      <c r="AC7351">
        <v>40.763800000000003</v>
      </c>
      <c r="AD7351">
        <v>-1.1211865021526899</v>
      </c>
      <c r="AE7351">
        <v>1.0966400000000001</v>
      </c>
      <c r="AF7351">
        <v>-1.1941356477136</v>
      </c>
      <c r="AG7351">
        <v>-1.1211865021526899</v>
      </c>
      <c r="AH7351">
        <v>40.730244037869802</v>
      </c>
      <c r="AI7351">
        <v>91.576112984540899</v>
      </c>
      <c r="AJ7351">
        <v>91.679325553719096</v>
      </c>
      <c r="AK7351">
        <v>40.763167179479296</v>
      </c>
      <c r="AL7351">
        <v>91.324695620712205</v>
      </c>
      <c r="AM7351">
        <v>89.931221336422695</v>
      </c>
      <c r="AN7351">
        <v>0.99999998253395295</v>
      </c>
    </row>
    <row r="7352" spans="1:40" x14ac:dyDescent="0.25">
      <c r="A7352" t="str">
        <f>"20190303153952421"</f>
        <v>20190303153952421</v>
      </c>
      <c r="B7352" t="str">
        <f>"1551598792416250"</f>
        <v>1551598792416250</v>
      </c>
      <c r="C7352" t="s">
        <v>40</v>
      </c>
      <c r="D7352">
        <v>4.5502589999999996</v>
      </c>
      <c r="E7352">
        <v>0.48817120000000003</v>
      </c>
      <c r="F7352" t="s">
        <v>42</v>
      </c>
      <c r="G7352">
        <v>-340.92610000000002</v>
      </c>
      <c r="H7352" s="1">
        <v>-4.056592E-6</v>
      </c>
      <c r="I7352">
        <v>18.592510000000001</v>
      </c>
      <c r="J7352">
        <v>-379.88959999999997</v>
      </c>
      <c r="K7352">
        <v>1.121192</v>
      </c>
      <c r="L7352">
        <v>17.493069999999999</v>
      </c>
      <c r="M7352">
        <v>0.99991680000000005</v>
      </c>
      <c r="N7352">
        <v>-1.267357E-2</v>
      </c>
      <c r="O7352">
        <v>-2.4099719999999998E-3</v>
      </c>
      <c r="P7352">
        <v>0.99936029999999998</v>
      </c>
      <c r="Q7352">
        <v>-3.5578039999999998E-2</v>
      </c>
      <c r="R7352">
        <v>-3.6710810000000001E-3</v>
      </c>
      <c r="S7352">
        <v>2.9991460000000001</v>
      </c>
      <c r="T7352">
        <v>-8.5948590000000005E-2</v>
      </c>
      <c r="U7352">
        <v>8.4259029999999999E-2</v>
      </c>
      <c r="V7352">
        <v>1.262214E-3</v>
      </c>
      <c r="W7352">
        <v>-2.2909659999999998E-2</v>
      </c>
      <c r="X7352">
        <v>0.99973670000000003</v>
      </c>
      <c r="Y7352">
        <v>-3.0474060000000001E-2</v>
      </c>
      <c r="Z7352">
        <v>6.6819539999999895E-4</v>
      </c>
      <c r="AA7352">
        <v>0.99953530000000002</v>
      </c>
      <c r="AB7352">
        <v>27</v>
      </c>
      <c r="AC7352">
        <v>38.963499999999897</v>
      </c>
      <c r="AD7352">
        <v>-1.1211960565920001</v>
      </c>
      <c r="AE7352">
        <v>1.09944</v>
      </c>
      <c r="AF7352">
        <v>-1.1923587652927501</v>
      </c>
      <c r="AG7352">
        <v>-1.1211960565920001</v>
      </c>
      <c r="AH7352">
        <v>38.928528571348799</v>
      </c>
      <c r="AI7352">
        <v>91.648969610512793</v>
      </c>
      <c r="AJ7352">
        <v>91.754388754468806</v>
      </c>
      <c r="AK7352">
        <v>38.962920023437803</v>
      </c>
      <c r="AL7352">
        <v>91.312741733570704</v>
      </c>
      <c r="AM7352">
        <v>89.927661456645495</v>
      </c>
      <c r="AN7352">
        <v>0.99999995751619197</v>
      </c>
    </row>
    <row r="7353" spans="1:40" x14ac:dyDescent="0.25">
      <c r="A7353" t="str">
        <f>"20190303153952441"</f>
        <v>20190303153952441</v>
      </c>
      <c r="B7353" t="str">
        <f>"1551598792435770"</f>
        <v>1551598792435770</v>
      </c>
      <c r="C7353" t="s">
        <v>40</v>
      </c>
      <c r="D7353">
        <v>4.4967550000000003</v>
      </c>
      <c r="E7353">
        <v>0.4895313</v>
      </c>
      <c r="F7353" t="s">
        <v>42</v>
      </c>
      <c r="G7353">
        <v>-341.59859999999998</v>
      </c>
      <c r="H7353" s="1">
        <v>-3.773035E-6</v>
      </c>
      <c r="I7353">
        <v>18.56447</v>
      </c>
      <c r="J7353">
        <v>-379.649</v>
      </c>
      <c r="K7353">
        <v>1.1211930000000001</v>
      </c>
      <c r="L7353">
        <v>17.492519999999999</v>
      </c>
      <c r="M7353">
        <v>0.99991490000000005</v>
      </c>
      <c r="N7353">
        <v>-1.2815119999999999E-2</v>
      </c>
      <c r="O7353">
        <v>-2.4122219999999999E-3</v>
      </c>
      <c r="P7353">
        <v>0.99937129999999996</v>
      </c>
      <c r="Q7353">
        <v>-3.5211909999999999E-2</v>
      </c>
      <c r="R7353">
        <v>-4.1530079999999997E-3</v>
      </c>
      <c r="S7353">
        <v>2.9991150000000002</v>
      </c>
      <c r="T7353">
        <v>-8.7816950000000005E-2</v>
      </c>
      <c r="U7353">
        <v>8.3923339999999999E-2</v>
      </c>
      <c r="V7353">
        <v>1.7413769999999999E-3</v>
      </c>
      <c r="W7353">
        <v>-2.2401910000000001E-2</v>
      </c>
      <c r="X7353">
        <v>0.99974750000000001</v>
      </c>
      <c r="Y7353">
        <v>-3.0364120000000001E-2</v>
      </c>
      <c r="Z7353">
        <v>6.7872869999999999E-4</v>
      </c>
      <c r="AA7353">
        <v>0.9995387</v>
      </c>
      <c r="AB7353">
        <v>27</v>
      </c>
      <c r="AC7353">
        <v>38.050400000000003</v>
      </c>
      <c r="AD7353">
        <v>-1.1211967730349901</v>
      </c>
      <c r="AE7353">
        <v>1.07194999999999</v>
      </c>
      <c r="AF7353">
        <v>-1.16273169506684</v>
      </c>
      <c r="AG7353">
        <v>-1.1211967730349901</v>
      </c>
      <c r="AH7353">
        <v>38.014723142106199</v>
      </c>
      <c r="AI7353">
        <v>91.688588490495903</v>
      </c>
      <c r="AJ7353">
        <v>91.751922681819096</v>
      </c>
      <c r="AK7353">
        <v>38.049023676955997</v>
      </c>
      <c r="AL7353">
        <v>91.283642313744494</v>
      </c>
      <c r="AM7353">
        <v>89.900201349101096</v>
      </c>
      <c r="AN7353">
        <v>0.999999970860876</v>
      </c>
    </row>
    <row r="7354" spans="1:40" x14ac:dyDescent="0.25">
      <c r="A7354" t="str">
        <f>"20190303153952454"</f>
        <v>20190303153952454</v>
      </c>
      <c r="B7354" t="str">
        <f>"1551598792445530"</f>
        <v>1551598792445530</v>
      </c>
      <c r="C7354" t="s">
        <v>40</v>
      </c>
      <c r="D7354">
        <v>4.3406570000000002</v>
      </c>
      <c r="E7354">
        <v>0.4895313</v>
      </c>
      <c r="F7354" t="s">
        <v>42</v>
      </c>
      <c r="G7354">
        <v>-338.35300000000001</v>
      </c>
      <c r="H7354" s="1">
        <v>-8.9032309999999896E-7</v>
      </c>
      <c r="I7354">
        <v>18.480709999999998</v>
      </c>
      <c r="J7354">
        <v>-379.4898</v>
      </c>
      <c r="K7354">
        <v>1.121197</v>
      </c>
      <c r="L7354">
        <v>17.49213</v>
      </c>
      <c r="M7354">
        <v>0.99991399999999997</v>
      </c>
      <c r="N7354">
        <v>-1.290348E-2</v>
      </c>
      <c r="O7354">
        <v>-2.4175149999999999E-3</v>
      </c>
      <c r="P7354">
        <v>0.99937739999999997</v>
      </c>
      <c r="Q7354">
        <v>-3.5036169999999998E-2</v>
      </c>
      <c r="R7354">
        <v>-4.188631E-3</v>
      </c>
      <c r="S7354">
        <v>2.9993289999999999</v>
      </c>
      <c r="T7354">
        <v>-8.143222E-2</v>
      </c>
      <c r="U7354">
        <v>7.1777339999999995E-2</v>
      </c>
      <c r="V7354">
        <v>1.7713970000000001E-3</v>
      </c>
      <c r="W7354">
        <v>-2.2137790000000001E-2</v>
      </c>
      <c r="X7354">
        <v>0.99975340000000001</v>
      </c>
      <c r="Y7354">
        <v>-2.632669E-2</v>
      </c>
      <c r="Z7354">
        <v>5.6162729999999998E-4</v>
      </c>
      <c r="AA7354">
        <v>0.99965320000000002</v>
      </c>
      <c r="AB7354">
        <v>27</v>
      </c>
      <c r="AC7354">
        <v>41.136800000000001</v>
      </c>
      <c r="AD7354">
        <v>-1.1211978903230999</v>
      </c>
      <c r="AE7354">
        <v>0.98858000000000201</v>
      </c>
      <c r="AF7354">
        <v>-1.0872270194983</v>
      </c>
      <c r="AG7354">
        <v>-1.1211978903230999</v>
      </c>
      <c r="AH7354">
        <v>41.103773181443998</v>
      </c>
      <c r="AI7354">
        <v>91.561937814193001</v>
      </c>
      <c r="AJ7354">
        <v>91.515164986161594</v>
      </c>
      <c r="AK7354">
        <v>41.133433081287798</v>
      </c>
      <c r="AL7354">
        <v>91.268505510035695</v>
      </c>
      <c r="AM7354">
        <v>89.898481499805001</v>
      </c>
      <c r="AN7354">
        <v>1.00000004020248</v>
      </c>
    </row>
    <row r="7355" spans="1:40" x14ac:dyDescent="0.25">
      <c r="A7355" t="str">
        <f>"20190303153952552"</f>
        <v>20190303153952552</v>
      </c>
      <c r="B7355" t="str">
        <f>"1551598792546059"</f>
        <v>1551598792546059</v>
      </c>
      <c r="C7355" t="s">
        <v>40</v>
      </c>
      <c r="D7355">
        <v>4.2641049999999998</v>
      </c>
      <c r="E7355">
        <v>0.50794510000000004</v>
      </c>
      <c r="F7355" t="s">
        <v>42</v>
      </c>
      <c r="G7355">
        <v>-337.92020000000002</v>
      </c>
      <c r="H7355" s="1">
        <v>-1.0751899999999901E-6</v>
      </c>
      <c r="I7355">
        <v>18.48516</v>
      </c>
      <c r="J7355">
        <v>-378.31369999999998</v>
      </c>
      <c r="K7355">
        <v>1.1209690000000001</v>
      </c>
      <c r="L7355">
        <v>17.489070000000002</v>
      </c>
      <c r="M7355">
        <v>0.99991110000000005</v>
      </c>
      <c r="N7355">
        <v>-1.3080400000000001E-2</v>
      </c>
      <c r="O7355">
        <v>-2.609854E-3</v>
      </c>
      <c r="P7355">
        <v>0.99933430000000001</v>
      </c>
      <c r="Q7355">
        <v>-3.5939209999999999E-2</v>
      </c>
      <c r="R7355">
        <v>-6.2833419999999999E-3</v>
      </c>
      <c r="S7355">
        <v>2.9993289999999999</v>
      </c>
      <c r="T7355">
        <v>-8.0896499999999996E-2</v>
      </c>
      <c r="U7355">
        <v>7.1655269999999993E-2</v>
      </c>
      <c r="V7355">
        <v>3.670591E-3</v>
      </c>
      <c r="W7355">
        <v>-2.2864949999999998E-2</v>
      </c>
      <c r="X7355">
        <v>0.99973179999999995</v>
      </c>
      <c r="Y7355">
        <v>-2.6478330000000001E-2</v>
      </c>
      <c r="Z7355">
        <v>5.6645549999999995E-4</v>
      </c>
      <c r="AA7355">
        <v>0.99964920000000002</v>
      </c>
      <c r="AB7355">
        <v>27</v>
      </c>
      <c r="AC7355">
        <v>40.393499999999896</v>
      </c>
      <c r="AD7355">
        <v>-1.12097007519</v>
      </c>
      <c r="AE7355">
        <v>0.99608999999999803</v>
      </c>
      <c r="AF7355">
        <v>-1.1006696127162101</v>
      </c>
      <c r="AG7355">
        <v>-1.12097007519</v>
      </c>
      <c r="AH7355">
        <v>40.359699138701103</v>
      </c>
      <c r="AI7355">
        <v>91.590361072290307</v>
      </c>
      <c r="AJ7355">
        <v>91.562154761715405</v>
      </c>
      <c r="AK7355">
        <v>40.390263208752401</v>
      </c>
      <c r="AL7355">
        <v>91.310179344314406</v>
      </c>
      <c r="AM7355">
        <v>89.789635152544506</v>
      </c>
      <c r="AN7355">
        <v>0.99999997555401499</v>
      </c>
    </row>
    <row r="7356" spans="1:40" x14ac:dyDescent="0.25">
      <c r="A7356" t="str">
        <f>"20190303153952563"</f>
        <v>20190303153952563</v>
      </c>
      <c r="B7356" t="str">
        <f>"1551598792555819"</f>
        <v>1551598792555819</v>
      </c>
      <c r="C7356" t="s">
        <v>40</v>
      </c>
      <c r="D7356">
        <v>5.1584560000000002</v>
      </c>
      <c r="E7356">
        <v>0.51344190000000001</v>
      </c>
      <c r="F7356" t="s">
        <v>44</v>
      </c>
      <c r="G7356">
        <v>-377.4151</v>
      </c>
      <c r="H7356">
        <v>0.97005859999999999</v>
      </c>
      <c r="I7356">
        <v>17.460840000000001</v>
      </c>
      <c r="J7356">
        <v>-378.1748</v>
      </c>
      <c r="K7356">
        <v>1.1209209999999901</v>
      </c>
      <c r="L7356">
        <v>17.488710000000001</v>
      </c>
      <c r="M7356">
        <v>0.99990889999999999</v>
      </c>
      <c r="N7356">
        <v>-1.324005E-2</v>
      </c>
      <c r="O7356">
        <v>-2.672355E-3</v>
      </c>
      <c r="P7356">
        <v>0.99928760000000005</v>
      </c>
      <c r="Q7356">
        <v>-3.7183439999999998E-2</v>
      </c>
      <c r="R7356">
        <v>-6.4584179999999996E-3</v>
      </c>
      <c r="S7356">
        <v>2.9833980000000002</v>
      </c>
      <c r="T7356">
        <v>-0.50101200000000001</v>
      </c>
      <c r="U7356">
        <v>-9.3719479999999994E-2</v>
      </c>
      <c r="V7356">
        <v>3.7823919999999999E-3</v>
      </c>
      <c r="W7356">
        <v>-2.3950249999999999E-2</v>
      </c>
      <c r="X7356">
        <v>0.99970599999999998</v>
      </c>
      <c r="Y7356">
        <v>2.8330480000000002E-2</v>
      </c>
      <c r="Z7356">
        <v>-2.1403210000000002E-3</v>
      </c>
      <c r="AA7356">
        <v>0.99959629999999999</v>
      </c>
      <c r="AB7356">
        <v>27</v>
      </c>
      <c r="AC7356">
        <v>0.75970000000000903</v>
      </c>
      <c r="AD7356">
        <v>-0.15086239999999901</v>
      </c>
      <c r="AE7356">
        <v>-2.7869999999999999E-2</v>
      </c>
      <c r="AF7356">
        <v>2.4860488130369601E-2</v>
      </c>
      <c r="AG7356">
        <v>-0.15086239999999901</v>
      </c>
      <c r="AH7356">
        <v>0.73098441468433595</v>
      </c>
      <c r="AI7356">
        <v>101.65456928926</v>
      </c>
      <c r="AJ7356">
        <v>88.052144177781003</v>
      </c>
      <c r="AK7356">
        <v>0.74680367039486395</v>
      </c>
      <c r="AL7356">
        <v>91.372379462322101</v>
      </c>
      <c r="AM7356">
        <v>89.783222203340202</v>
      </c>
      <c r="AN7356">
        <v>1.00000000370015</v>
      </c>
    </row>
    <row r="7357" spans="1:40" x14ac:dyDescent="0.25">
      <c r="A7357" t="str">
        <f>"20190303153952575"</f>
        <v>20190303153952575</v>
      </c>
      <c r="B7357" t="str">
        <f>"1551598792565579"</f>
        <v>1551598792565579</v>
      </c>
      <c r="C7357" t="s">
        <v>40</v>
      </c>
      <c r="D7357">
        <v>4.5511059999999999</v>
      </c>
      <c r="E7357">
        <v>0.51504340000000004</v>
      </c>
      <c r="F7357" t="s">
        <v>44</v>
      </c>
      <c r="G7357">
        <v>-377.40030000000002</v>
      </c>
      <c r="H7357">
        <v>1.0006790000000001</v>
      </c>
      <c r="I7357">
        <v>17.453189999999999</v>
      </c>
      <c r="J7357">
        <v>-378.03980000000001</v>
      </c>
      <c r="K7357">
        <v>1.1208610000000001</v>
      </c>
      <c r="L7357">
        <v>17.488250000000001</v>
      </c>
      <c r="M7357">
        <v>0.99990710000000005</v>
      </c>
      <c r="N7357">
        <v>-1.335422E-2</v>
      </c>
      <c r="O7357">
        <v>-2.7454279999999998E-3</v>
      </c>
      <c r="P7357">
        <v>0.99923039999999996</v>
      </c>
      <c r="Q7357">
        <v>-3.8708859999999998E-2</v>
      </c>
      <c r="R7357">
        <v>-6.3474339999999999E-3</v>
      </c>
      <c r="S7357">
        <v>2.9840089999999999</v>
      </c>
      <c r="T7357">
        <v>-0.46326430000000002</v>
      </c>
      <c r="U7357">
        <v>-0.1368103</v>
      </c>
      <c r="V7357">
        <v>3.5969230000000001E-3</v>
      </c>
      <c r="W7357">
        <v>-2.5362260000000001E-2</v>
      </c>
      <c r="X7357">
        <v>0.99967189999999995</v>
      </c>
      <c r="Y7357">
        <v>4.2531390000000002E-2</v>
      </c>
      <c r="Z7357">
        <v>-3.1790970000000001E-3</v>
      </c>
      <c r="AA7357">
        <v>0.99909009999999998</v>
      </c>
      <c r="AB7357">
        <v>27</v>
      </c>
      <c r="AC7357">
        <v>0.63949999999999796</v>
      </c>
      <c r="AD7357">
        <v>-0.120182</v>
      </c>
      <c r="AE7357">
        <v>-3.5060000000001403E-2</v>
      </c>
      <c r="AF7357">
        <v>3.2171188668281801E-2</v>
      </c>
      <c r="AG7357">
        <v>-0.120182</v>
      </c>
      <c r="AH7357">
        <v>0.61783834508286295</v>
      </c>
      <c r="AI7357">
        <v>100.99319017452299</v>
      </c>
      <c r="AJ7357">
        <v>87.019268654014994</v>
      </c>
      <c r="AK7357">
        <v>0.63024036617711299</v>
      </c>
      <c r="AL7357">
        <v>91.4533062252452</v>
      </c>
      <c r="AM7357">
        <v>89.7938447426842</v>
      </c>
      <c r="AN7357">
        <v>1.00000004486849</v>
      </c>
    </row>
    <row r="7358" spans="1:40" x14ac:dyDescent="0.25">
      <c r="A7358" t="str">
        <f>"20190303153952586"</f>
        <v>20190303153952586</v>
      </c>
      <c r="B7358" t="str">
        <f>"1551598792576315"</f>
        <v>1551598792576315</v>
      </c>
      <c r="C7358" t="s">
        <v>40</v>
      </c>
      <c r="D7358">
        <v>4.6237599999999999</v>
      </c>
      <c r="E7358">
        <v>0.51616700000000004</v>
      </c>
      <c r="F7358" t="s">
        <v>44</v>
      </c>
      <c r="G7358">
        <v>-377.1576</v>
      </c>
      <c r="H7358">
        <v>1.0095909999999999</v>
      </c>
      <c r="I7358">
        <v>17.444610000000001</v>
      </c>
      <c r="J7358">
        <v>-377.89839999999998</v>
      </c>
      <c r="K7358">
        <v>1.1207929999999999</v>
      </c>
      <c r="L7358">
        <v>17.487760000000002</v>
      </c>
      <c r="M7358">
        <v>0.99990579999999996</v>
      </c>
      <c r="N7358">
        <v>-1.3431169999999999E-2</v>
      </c>
      <c r="O7358">
        <v>-2.8351040000000002E-3</v>
      </c>
      <c r="P7358">
        <v>0.99917259999999997</v>
      </c>
      <c r="Q7358">
        <v>-4.0174910000000001E-2</v>
      </c>
      <c r="R7358">
        <v>-6.3238629999999999E-3</v>
      </c>
      <c r="S7358">
        <v>2.9867859999999999</v>
      </c>
      <c r="T7358">
        <v>-0.3767027</v>
      </c>
      <c r="U7358">
        <v>-0.14648439999999999</v>
      </c>
      <c r="V7358">
        <v>3.48219E-3</v>
      </c>
      <c r="W7358">
        <v>-2.6752160000000001E-2</v>
      </c>
      <c r="X7358">
        <v>0.99963610000000003</v>
      </c>
      <c r="Y7358">
        <v>4.5770369999999998E-2</v>
      </c>
      <c r="Z7358">
        <v>-2.8641510000000001E-3</v>
      </c>
      <c r="AA7358">
        <v>0.9989479</v>
      </c>
      <c r="AB7358">
        <v>27</v>
      </c>
      <c r="AC7358">
        <v>0.74079999999997803</v>
      </c>
      <c r="AD7358">
        <v>-0.111202</v>
      </c>
      <c r="AE7358">
        <v>-4.3150000000000598E-2</v>
      </c>
      <c r="AF7358">
        <v>4.0147792034890203E-2</v>
      </c>
      <c r="AG7358">
        <v>-0.111202</v>
      </c>
      <c r="AH7358">
        <v>0.72464597371550199</v>
      </c>
      <c r="AI7358">
        <v>98.711225828951299</v>
      </c>
      <c r="AJ7358">
        <v>86.828865627714194</v>
      </c>
      <c r="AK7358">
        <v>0.73422715642460701</v>
      </c>
      <c r="AL7358">
        <v>91.532968645597904</v>
      </c>
      <c r="AM7358">
        <v>89.800413386965502</v>
      </c>
      <c r="AN7358">
        <v>1.0000000680675301</v>
      </c>
    </row>
    <row r="7359" spans="1:40" x14ac:dyDescent="0.25">
      <c r="A7359" t="str">
        <f>"20190303153952598"</f>
        <v>20190303153952598</v>
      </c>
      <c r="B7359" t="str">
        <f>"1551598792595835"</f>
        <v>1551598792595835</v>
      </c>
      <c r="C7359" t="s">
        <v>40</v>
      </c>
      <c r="D7359">
        <v>4.4876480000000001</v>
      </c>
      <c r="E7359">
        <v>0.51821509999999904</v>
      </c>
      <c r="F7359" t="s">
        <v>44</v>
      </c>
      <c r="G7359">
        <v>-377.13909999999998</v>
      </c>
      <c r="H7359">
        <v>1.0447740000000001</v>
      </c>
      <c r="I7359">
        <v>17.448529999999899</v>
      </c>
      <c r="J7359">
        <v>-377.76569999999998</v>
      </c>
      <c r="K7359">
        <v>1.1207210000000001</v>
      </c>
      <c r="L7359">
        <v>17.487300000000001</v>
      </c>
      <c r="M7359">
        <v>0.9999053</v>
      </c>
      <c r="N7359">
        <v>-1.3443729999999999E-2</v>
      </c>
      <c r="O7359">
        <v>-2.9327400000000001E-3</v>
      </c>
      <c r="P7359">
        <v>0.99913529999999995</v>
      </c>
      <c r="Q7359">
        <v>-4.1116270000000003E-2</v>
      </c>
      <c r="R7359">
        <v>-6.1910799999999998E-3</v>
      </c>
      <c r="S7359">
        <v>2.989471</v>
      </c>
      <c r="T7359">
        <v>-0.29926979999999997</v>
      </c>
      <c r="U7359">
        <v>-0.1529846</v>
      </c>
      <c r="V7359">
        <v>3.250597E-3</v>
      </c>
      <c r="W7359">
        <v>-2.7681440000000002E-2</v>
      </c>
      <c r="X7359">
        <v>0.99961149999999999</v>
      </c>
      <c r="Y7359">
        <v>4.7917969999999997E-2</v>
      </c>
      <c r="Z7359">
        <v>-2.4608410000000001E-3</v>
      </c>
      <c r="AA7359">
        <v>0.99884830000000002</v>
      </c>
      <c r="AB7359">
        <v>27</v>
      </c>
      <c r="AC7359">
        <v>0.62659999999999605</v>
      </c>
      <c r="AD7359">
        <v>-7.5946999999999903E-2</v>
      </c>
      <c r="AE7359">
        <v>-3.8770000000003003E-2</v>
      </c>
      <c r="AF7359">
        <v>3.6399322502748702E-2</v>
      </c>
      <c r="AG7359">
        <v>-7.5946999999999903E-2</v>
      </c>
      <c r="AH7359">
        <v>0.61767163686374704</v>
      </c>
      <c r="AI7359">
        <v>96.997709008889998</v>
      </c>
      <c r="AJ7359">
        <v>86.627466293557603</v>
      </c>
      <c r="AK7359">
        <v>0.62338680486003295</v>
      </c>
      <c r="AL7359">
        <v>91.586232321447199</v>
      </c>
      <c r="AM7359">
        <v>89.813682783249405</v>
      </c>
      <c r="AN7359">
        <v>0.99999998971678905</v>
      </c>
    </row>
    <row r="7360" spans="1:40" x14ac:dyDescent="0.25">
      <c r="A7360" t="str">
        <f>"20190303153952611"</f>
        <v>20190303153952611</v>
      </c>
      <c r="B7360" t="str">
        <f>"1551598792605595"</f>
        <v>1551598792605595</v>
      </c>
      <c r="C7360" t="s">
        <v>40</v>
      </c>
      <c r="D7360">
        <v>4.5559200000000004</v>
      </c>
      <c r="E7360">
        <v>0.51684799999999997</v>
      </c>
      <c r="F7360" t="s">
        <v>78</v>
      </c>
      <c r="G7360">
        <v>-362.27080000000001</v>
      </c>
      <c r="H7360" s="1">
        <v>-4.1847120000000003E-6</v>
      </c>
      <c r="I7360">
        <v>16.625039999999998</v>
      </c>
      <c r="J7360">
        <v>-377.6157</v>
      </c>
      <c r="K7360">
        <v>1.12064599999999</v>
      </c>
      <c r="L7360">
        <v>17.48676</v>
      </c>
      <c r="M7360">
        <v>0.99990520000000005</v>
      </c>
      <c r="N7360">
        <v>-1.3437599999999999E-2</v>
      </c>
      <c r="O7360">
        <v>-3.0488550000000001E-3</v>
      </c>
      <c r="P7360">
        <v>0.99910860000000001</v>
      </c>
      <c r="Q7360">
        <v>-4.1773270000000001E-2</v>
      </c>
      <c r="R7360">
        <v>-6.0964110000000004E-3</v>
      </c>
      <c r="S7360">
        <v>2.992645</v>
      </c>
      <c r="T7360">
        <v>-0.21645310000000001</v>
      </c>
      <c r="U7360">
        <v>-0.1665344</v>
      </c>
      <c r="V7360">
        <v>3.0385519999999999E-3</v>
      </c>
      <c r="W7360">
        <v>-2.8344930000000001E-2</v>
      </c>
      <c r="X7360">
        <v>0.99959359999999997</v>
      </c>
      <c r="Y7360">
        <v>5.2360700000000003E-2</v>
      </c>
      <c r="Z7360">
        <v>-2.063128E-3</v>
      </c>
      <c r="AA7360">
        <v>0.99862609999999996</v>
      </c>
      <c r="AB7360">
        <v>27</v>
      </c>
      <c r="AC7360">
        <v>15.3448999999999</v>
      </c>
      <c r="AD7360">
        <v>-1.1206501847119901</v>
      </c>
      <c r="AE7360">
        <v>-0.86172000000000104</v>
      </c>
      <c r="AF7360">
        <v>0.81061756655564998</v>
      </c>
      <c r="AG7360">
        <v>-1.1206501847119901</v>
      </c>
      <c r="AH7360">
        <v>15.266289429576601</v>
      </c>
      <c r="AI7360">
        <v>94.192487305257998</v>
      </c>
      <c r="AJ7360">
        <v>86.9605325869978</v>
      </c>
      <c r="AK7360">
        <v>15.328814390660099</v>
      </c>
      <c r="AL7360">
        <v>91.624262380531604</v>
      </c>
      <c r="AM7360">
        <v>89.825833549554602</v>
      </c>
      <c r="AN7360">
        <v>1.0000000165079601</v>
      </c>
    </row>
    <row r="7361" spans="1:40" x14ac:dyDescent="0.25">
      <c r="A7361" t="str">
        <f>"20190303153952625"</f>
        <v>20190303153952625</v>
      </c>
      <c r="B7361" t="str">
        <f>"1551598792616331"</f>
        <v>1551598792616331</v>
      </c>
      <c r="C7361" t="s">
        <v>40</v>
      </c>
      <c r="D7361">
        <v>4.5605769999999897</v>
      </c>
      <c r="E7361">
        <v>0.515883599999999</v>
      </c>
      <c r="F7361" t="s">
        <v>78</v>
      </c>
      <c r="G7361">
        <v>-360.9615</v>
      </c>
      <c r="H7361" s="1">
        <v>-4.8036460000000001E-6</v>
      </c>
      <c r="I7361">
        <v>16.624879999999902</v>
      </c>
      <c r="J7361">
        <v>-377.43310000000002</v>
      </c>
      <c r="K7361">
        <v>1.120579</v>
      </c>
      <c r="L7361">
        <v>17.48602</v>
      </c>
      <c r="M7361">
        <v>0.99990489999999999</v>
      </c>
      <c r="N7361">
        <v>-1.341698E-2</v>
      </c>
      <c r="O7361">
        <v>-3.2052370000000001E-3</v>
      </c>
      <c r="P7361">
        <v>0.99911689999999997</v>
      </c>
      <c r="Q7361">
        <v>-4.1622619999999999E-2</v>
      </c>
      <c r="R7361">
        <v>-5.7669459999999898E-3</v>
      </c>
      <c r="S7361">
        <v>2.9933169999999998</v>
      </c>
      <c r="T7361">
        <v>-0.20141819999999999</v>
      </c>
      <c r="U7361">
        <v>-0.15490719999999999</v>
      </c>
      <c r="V7361">
        <v>2.5516689999999999E-3</v>
      </c>
      <c r="W7361">
        <v>-2.8214670000000001E-2</v>
      </c>
      <c r="X7361">
        <v>0.9995986</v>
      </c>
      <c r="Y7361">
        <v>4.835412E-2</v>
      </c>
      <c r="Z7361">
        <v>-1.776644E-3</v>
      </c>
      <c r="AA7361">
        <v>0.99882859999999996</v>
      </c>
      <c r="AB7361">
        <v>27</v>
      </c>
      <c r="AC7361">
        <v>16.471599999999999</v>
      </c>
      <c r="AD7361">
        <v>-1.1205838036460001</v>
      </c>
      <c r="AE7361">
        <v>-0.86114000000000201</v>
      </c>
      <c r="AF7361">
        <v>0.80462160219149204</v>
      </c>
      <c r="AG7361">
        <v>-1.1205838036460001</v>
      </c>
      <c r="AH7361">
        <v>16.398585850672099</v>
      </c>
      <c r="AI7361">
        <v>93.904499844589793</v>
      </c>
      <c r="AJ7361">
        <v>87.190948114392199</v>
      </c>
      <c r="AK7361">
        <v>16.456510623020002</v>
      </c>
      <c r="AL7361">
        <v>91.616796121647695</v>
      </c>
      <c r="AM7361">
        <v>89.853741745078906</v>
      </c>
      <c r="AN7361">
        <v>0.99999996986992601</v>
      </c>
    </row>
    <row r="7362" spans="1:40" x14ac:dyDescent="0.25">
      <c r="A7362" t="str">
        <f>"20190303153952641"</f>
        <v>20190303153952641</v>
      </c>
      <c r="B7362" t="str">
        <f>"1551598792635851"</f>
        <v>1551598792635851</v>
      </c>
      <c r="C7362" t="s">
        <v>40</v>
      </c>
      <c r="D7362">
        <v>4.5633939999999997</v>
      </c>
      <c r="E7362">
        <v>0.51480749999999997</v>
      </c>
      <c r="F7362" t="s">
        <v>42</v>
      </c>
      <c r="G7362">
        <v>-358.86259999999999</v>
      </c>
      <c r="H7362" s="1">
        <v>-1.180301E-6</v>
      </c>
      <c r="I7362">
        <v>16.582539999999899</v>
      </c>
      <c r="J7362">
        <v>-377.24689999999998</v>
      </c>
      <c r="K7362">
        <v>1.120536</v>
      </c>
      <c r="L7362">
        <v>17.48526</v>
      </c>
      <c r="M7362">
        <v>0.99990449999999997</v>
      </c>
      <c r="N7362">
        <v>-1.3414519999999999E-2</v>
      </c>
      <c r="O7362">
        <v>-3.3763249999999999E-3</v>
      </c>
      <c r="P7362">
        <v>0.99913070000000004</v>
      </c>
      <c r="Q7362">
        <v>-4.1390120000000002E-2</v>
      </c>
      <c r="R7362">
        <v>-4.9804039999999999E-3</v>
      </c>
      <c r="S7362">
        <v>2.9942319999999998</v>
      </c>
      <c r="T7362">
        <v>-0.18067839999999999</v>
      </c>
      <c r="U7362">
        <v>-0.1456604</v>
      </c>
      <c r="V7362">
        <v>1.5939319999999999E-3</v>
      </c>
      <c r="W7362">
        <v>-2.7984129999999999E-2</v>
      </c>
      <c r="X7362">
        <v>0.99960709999999997</v>
      </c>
      <c r="Y7362">
        <v>4.5120180000000003E-2</v>
      </c>
      <c r="Z7362">
        <v>-1.5042569999999999E-3</v>
      </c>
      <c r="AA7362">
        <v>0.99898050000000005</v>
      </c>
      <c r="AB7362">
        <v>27</v>
      </c>
      <c r="AC7362">
        <v>18.3843</v>
      </c>
      <c r="AD7362">
        <v>-1.120537180301</v>
      </c>
      <c r="AE7362">
        <v>-0.90272000000000197</v>
      </c>
      <c r="AF7362">
        <v>0.83753395617863902</v>
      </c>
      <c r="AG7362">
        <v>-1.120537180301</v>
      </c>
      <c r="AH7362">
        <v>18.319350724834202</v>
      </c>
      <c r="AI7362">
        <v>93.496598794368893</v>
      </c>
      <c r="AJ7362">
        <v>87.382343432162401</v>
      </c>
      <c r="AK7362">
        <v>18.372688362884499</v>
      </c>
      <c r="AL7362">
        <v>91.6035818808176</v>
      </c>
      <c r="AM7362">
        <v>89.908638605078906</v>
      </c>
      <c r="AN7362">
        <v>1.0000000032607399</v>
      </c>
    </row>
    <row r="7363" spans="1:40" x14ac:dyDescent="0.25">
      <c r="A7363" t="str">
        <f>"20190303153952657"</f>
        <v>20190303153952657</v>
      </c>
      <c r="B7363" t="str">
        <f>"1551598792645611"</f>
        <v>1551598792645611</v>
      </c>
      <c r="C7363" t="s">
        <v>40</v>
      </c>
      <c r="D7363">
        <v>4.5896350000000004</v>
      </c>
      <c r="E7363">
        <v>0.51426329999999998</v>
      </c>
      <c r="F7363" t="s">
        <v>42</v>
      </c>
      <c r="G7363">
        <v>-354.67320000000001</v>
      </c>
      <c r="H7363" s="1">
        <v>-2.824315E-6</v>
      </c>
      <c r="I7363">
        <v>16.477049999999998</v>
      </c>
      <c r="J7363">
        <v>-377.06369999999998</v>
      </c>
      <c r="K7363">
        <v>1.1205179999999999</v>
      </c>
      <c r="L7363">
        <v>17.484439999999999</v>
      </c>
      <c r="M7363">
        <v>0.9999036</v>
      </c>
      <c r="N7363">
        <v>-1.342431E-2</v>
      </c>
      <c r="O7363">
        <v>-3.5532810000000001E-3</v>
      </c>
      <c r="P7363">
        <v>0.99915169999999998</v>
      </c>
      <c r="Q7363">
        <v>-4.0929340000000002E-2</v>
      </c>
      <c r="R7363">
        <v>-4.5384370000000002E-3</v>
      </c>
      <c r="S7363">
        <v>2.9957889999999998</v>
      </c>
      <c r="T7363">
        <v>-0.14870820000000001</v>
      </c>
      <c r="U7363">
        <v>-0.13378909999999999</v>
      </c>
      <c r="V7363">
        <v>9.7466239999999997E-4</v>
      </c>
      <c r="W7363">
        <v>-2.7513070000000001E-2</v>
      </c>
      <c r="X7363">
        <v>0.99962099999999998</v>
      </c>
      <c r="Y7363">
        <v>4.1002520000000001E-2</v>
      </c>
      <c r="Z7363">
        <v>-1.1635879999999999E-3</v>
      </c>
      <c r="AA7363">
        <v>0.9991584</v>
      </c>
      <c r="AB7363">
        <v>27</v>
      </c>
      <c r="AC7363">
        <v>22.3904999999999</v>
      </c>
      <c r="AD7363">
        <v>-1.120520824315</v>
      </c>
      <c r="AE7363">
        <v>-1.00739</v>
      </c>
      <c r="AF7363">
        <v>0.925503538782388</v>
      </c>
      <c r="AG7363">
        <v>-1.120520824315</v>
      </c>
      <c r="AH7363">
        <v>22.338106844688099</v>
      </c>
      <c r="AI7363">
        <v>92.869198073758298</v>
      </c>
      <c r="AJ7363">
        <v>87.627501006757399</v>
      </c>
      <c r="AK7363">
        <v>22.385333169795</v>
      </c>
      <c r="AL7363">
        <v>91.576581689664906</v>
      </c>
      <c r="AM7363">
        <v>89.944134802816905</v>
      </c>
      <c r="AN7363">
        <v>1.0000000313143</v>
      </c>
    </row>
    <row r="7364" spans="1:40" x14ac:dyDescent="0.25">
      <c r="A7364" t="str">
        <f>"20190303153952670"</f>
        <v>20190303153952670</v>
      </c>
      <c r="B7364" t="str">
        <f>"1551598792666107"</f>
        <v>1551598792666107</v>
      </c>
      <c r="C7364" t="s">
        <v>40</v>
      </c>
      <c r="D7364">
        <v>4.5693519999999896</v>
      </c>
      <c r="E7364">
        <v>0.5130981</v>
      </c>
      <c r="F7364" t="s">
        <v>42</v>
      </c>
      <c r="G7364">
        <v>-351.93060000000003</v>
      </c>
      <c r="H7364" s="1">
        <v>-4.0122329999999997E-6</v>
      </c>
      <c r="I7364">
        <v>16.413129999999999</v>
      </c>
      <c r="J7364">
        <v>-376.91059999999999</v>
      </c>
      <c r="K7364">
        <v>1.120512</v>
      </c>
      <c r="L7364">
        <v>17.48376</v>
      </c>
      <c r="M7364">
        <v>0.99990279999999998</v>
      </c>
      <c r="N7364">
        <v>-1.343863E-2</v>
      </c>
      <c r="O7364">
        <v>-3.7062620000000001E-3</v>
      </c>
      <c r="P7364">
        <v>0.9991854</v>
      </c>
      <c r="Q7364">
        <v>-4.01083E-2</v>
      </c>
      <c r="R7364">
        <v>-4.4701460000000004E-3</v>
      </c>
      <c r="S7364">
        <v>2.9964900000000001</v>
      </c>
      <c r="T7364">
        <v>-0.1335943</v>
      </c>
      <c r="U7364">
        <v>-0.1277161</v>
      </c>
      <c r="V7364">
        <v>7.5349039999999905E-4</v>
      </c>
      <c r="W7364">
        <v>-2.667723E-2</v>
      </c>
      <c r="X7364">
        <v>0.99964379999999997</v>
      </c>
      <c r="Y7364">
        <v>3.8831350000000001E-2</v>
      </c>
      <c r="Z7364">
        <v>-1.01071E-3</v>
      </c>
      <c r="AA7364">
        <v>0.9992453</v>
      </c>
      <c r="AB7364">
        <v>27</v>
      </c>
      <c r="AC7364">
        <v>24.979999999999901</v>
      </c>
      <c r="AD7364">
        <v>-1.120516012233</v>
      </c>
      <c r="AE7364">
        <v>-1.07063</v>
      </c>
      <c r="AF7364">
        <v>0.976071496650184</v>
      </c>
      <c r="AG7364">
        <v>-1.120516012233</v>
      </c>
      <c r="AH7364">
        <v>24.933719449815001</v>
      </c>
      <c r="AI7364">
        <v>92.571162074462805</v>
      </c>
      <c r="AJ7364">
        <v>87.758207068993698</v>
      </c>
      <c r="AK7364">
        <v>24.977963033488699</v>
      </c>
      <c r="AL7364">
        <v>91.528674067949694</v>
      </c>
      <c r="AM7364">
        <v>89.956812805073596</v>
      </c>
      <c r="AN7364">
        <v>0.99999998461334705</v>
      </c>
    </row>
    <row r="7365" spans="1:40" x14ac:dyDescent="0.25">
      <c r="A7365" t="str">
        <f>"20190303153952685"</f>
        <v>20190303153952685</v>
      </c>
      <c r="B7365" t="str">
        <f>"1551598792675870"</f>
        <v>1551598792675870</v>
      </c>
      <c r="C7365" t="s">
        <v>40</v>
      </c>
      <c r="D7365">
        <v>4.5801809999999996</v>
      </c>
      <c r="E7365">
        <v>0.51255729999999999</v>
      </c>
      <c r="F7365" t="s">
        <v>42</v>
      </c>
      <c r="G7365">
        <v>-346.84789999999998</v>
      </c>
      <c r="H7365" s="1">
        <v>-1.940182E-6</v>
      </c>
      <c r="I7365">
        <v>16.303450000000002</v>
      </c>
      <c r="J7365">
        <v>-376.71660000000003</v>
      </c>
      <c r="K7365">
        <v>1.120517</v>
      </c>
      <c r="L7365">
        <v>17.482849999999999</v>
      </c>
      <c r="M7365">
        <v>0.99990179999999995</v>
      </c>
      <c r="N7365">
        <v>-1.346026E-2</v>
      </c>
      <c r="O7365">
        <v>-3.9058919999999998E-3</v>
      </c>
      <c r="P7365">
        <v>0.999251</v>
      </c>
      <c r="Q7365">
        <v>-3.8497509999999999E-2</v>
      </c>
      <c r="R7365">
        <v>-3.9138879999999999E-3</v>
      </c>
      <c r="S7365">
        <v>2.9974370000000001</v>
      </c>
      <c r="T7365">
        <v>-0.11172219999999999</v>
      </c>
      <c r="U7365">
        <v>-0.1176758</v>
      </c>
      <c r="V7365" s="1">
        <v>-1.9209979999999998E-6</v>
      </c>
      <c r="W7365">
        <v>-2.504375E-2</v>
      </c>
      <c r="X7365">
        <v>0.99968639999999998</v>
      </c>
      <c r="Y7365">
        <v>3.5292829999999997E-2</v>
      </c>
      <c r="Z7365">
        <v>-8.0205879999999997E-4</v>
      </c>
      <c r="AA7365">
        <v>0.99937670000000001</v>
      </c>
      <c r="AB7365">
        <v>27</v>
      </c>
      <c r="AC7365">
        <v>29.8687</v>
      </c>
      <c r="AD7365">
        <v>-1.1205189401819999</v>
      </c>
      <c r="AE7365">
        <v>-1.17939999999999</v>
      </c>
      <c r="AF7365">
        <v>1.06122531517661</v>
      </c>
      <c r="AG7365">
        <v>-1.1205189401819999</v>
      </c>
      <c r="AH7365">
        <v>29.831161265216299</v>
      </c>
      <c r="AI7365">
        <v>92.149775817510402</v>
      </c>
      <c r="AJ7365">
        <v>87.962596869839302</v>
      </c>
      <c r="AK7365">
        <v>29.8710552926444</v>
      </c>
      <c r="AL7365">
        <v>91.435051150016093</v>
      </c>
      <c r="AM7365">
        <v>90.000110099605095</v>
      </c>
      <c r="AN7365">
        <v>1.0000000438813501</v>
      </c>
    </row>
    <row r="7366" spans="1:40" x14ac:dyDescent="0.25">
      <c r="A7366" t="str">
        <f>"20190303153952698"</f>
        <v>20190303153952698</v>
      </c>
      <c r="B7366" t="str">
        <f>"1551598792685626"</f>
        <v>1551598792685626</v>
      </c>
      <c r="C7366" t="s">
        <v>40</v>
      </c>
      <c r="D7366">
        <v>4.6434470000000001</v>
      </c>
      <c r="E7366">
        <v>0.51183990000000001</v>
      </c>
      <c r="F7366" t="s">
        <v>42</v>
      </c>
      <c r="G7366">
        <v>-343.38900000000001</v>
      </c>
      <c r="H7366" s="1">
        <v>-3.416743E-6</v>
      </c>
      <c r="I7366">
        <v>16.243110000000001</v>
      </c>
      <c r="J7366">
        <v>-376.58109999999999</v>
      </c>
      <c r="K7366">
        <v>1.1205270000000001</v>
      </c>
      <c r="L7366">
        <v>17.48218</v>
      </c>
      <c r="M7366">
        <v>0.99990109999999999</v>
      </c>
      <c r="N7366">
        <v>-1.3476739999999999E-2</v>
      </c>
      <c r="O7366">
        <v>-4.044911E-3</v>
      </c>
      <c r="P7366">
        <v>0.99927849999999996</v>
      </c>
      <c r="Q7366">
        <v>-3.7793699999999902E-2</v>
      </c>
      <c r="R7366">
        <v>-3.8360349999999998E-3</v>
      </c>
      <c r="S7366">
        <v>2.997925</v>
      </c>
      <c r="T7366">
        <v>-0.1007946</v>
      </c>
      <c r="U7366">
        <v>-0.1115112</v>
      </c>
      <c r="V7366">
        <v>-2.1910540000000001E-4</v>
      </c>
      <c r="W7366">
        <v>-2.4323040000000001E-2</v>
      </c>
      <c r="X7366">
        <v>0.99970409999999998</v>
      </c>
      <c r="Y7366">
        <v>3.3102289999999999E-2</v>
      </c>
      <c r="Z7366">
        <v>-6.9793519999999996E-4</v>
      </c>
      <c r="AA7366">
        <v>0.99945170000000005</v>
      </c>
      <c r="AB7366">
        <v>27</v>
      </c>
      <c r="AC7366">
        <v>33.192099999999897</v>
      </c>
      <c r="AD7366">
        <v>-1.1205304167429999</v>
      </c>
      <c r="AE7366">
        <v>-1.2390699999999899</v>
      </c>
      <c r="AF7366">
        <v>1.1035326811950401</v>
      </c>
      <c r="AG7366">
        <v>-1.1205304167429999</v>
      </c>
      <c r="AH7366">
        <v>33.159103064673403</v>
      </c>
      <c r="AI7366">
        <v>91.934363509203294</v>
      </c>
      <c r="AJ7366">
        <v>88.093903871720499</v>
      </c>
      <c r="AK7366">
        <v>33.196377646468299</v>
      </c>
      <c r="AL7366">
        <v>91.393745023363707</v>
      </c>
      <c r="AM7366">
        <v>90.012557530260693</v>
      </c>
      <c r="AN7366">
        <v>0.999999972919413</v>
      </c>
    </row>
    <row r="7367" spans="1:40" x14ac:dyDescent="0.25">
      <c r="A7367" t="str">
        <f>"20190303153952710"</f>
        <v>20190303153952710</v>
      </c>
      <c r="B7367" t="str">
        <f>"1551598792706123"</f>
        <v>1551598792706123</v>
      </c>
      <c r="C7367" t="s">
        <v>40</v>
      </c>
      <c r="D7367">
        <v>4.5891669999999998</v>
      </c>
      <c r="E7367">
        <v>0.51112999999999997</v>
      </c>
      <c r="F7367" t="s">
        <v>42</v>
      </c>
      <c r="G7367">
        <v>-341.05799999999999</v>
      </c>
      <c r="H7367" s="1">
        <v>-4.4186240000000002E-6</v>
      </c>
      <c r="I7367">
        <v>16.23246</v>
      </c>
      <c r="J7367">
        <v>-376.43880000000001</v>
      </c>
      <c r="K7367">
        <v>1.120536</v>
      </c>
      <c r="L7367">
        <v>17.481449999999999</v>
      </c>
      <c r="M7367">
        <v>0.99990020000000002</v>
      </c>
      <c r="N7367">
        <v>-1.349471E-2</v>
      </c>
      <c r="O7367">
        <v>-4.1909729999999997E-3</v>
      </c>
      <c r="P7367">
        <v>0.99929920000000005</v>
      </c>
      <c r="Q7367">
        <v>-3.7209609999999997E-2</v>
      </c>
      <c r="R7367">
        <v>-4.0838180000000003E-3</v>
      </c>
      <c r="S7367">
        <v>2.9981689999999999</v>
      </c>
      <c r="T7367">
        <v>-9.4573379999999999E-2</v>
      </c>
      <c r="U7367">
        <v>-0.1054688</v>
      </c>
      <c r="V7367">
        <v>-1.166174E-4</v>
      </c>
      <c r="W7367">
        <v>-2.37208E-2</v>
      </c>
      <c r="X7367">
        <v>0.99971860000000001</v>
      </c>
      <c r="Y7367">
        <v>3.0945629999999998E-2</v>
      </c>
      <c r="Z7367">
        <v>-6.211589E-4</v>
      </c>
      <c r="AA7367">
        <v>0.99952090000000005</v>
      </c>
      <c r="AB7367">
        <v>27</v>
      </c>
      <c r="AC7367">
        <v>35.380799999999901</v>
      </c>
      <c r="AD7367">
        <v>-1.120540418624</v>
      </c>
      <c r="AE7367">
        <v>-1.2489899999999901</v>
      </c>
      <c r="AF7367">
        <v>1.0995839966104799</v>
      </c>
      <c r="AG7367">
        <v>-1.120540418624</v>
      </c>
      <c r="AH7367">
        <v>35.350310417235498</v>
      </c>
      <c r="AI7367">
        <v>91.814686787065298</v>
      </c>
      <c r="AJ7367">
        <v>88.218368824141393</v>
      </c>
      <c r="AK7367">
        <v>35.385154265458198</v>
      </c>
      <c r="AL7367">
        <v>91.359229235668806</v>
      </c>
      <c r="AM7367">
        <v>90.006683565562795</v>
      </c>
      <c r="AN7367">
        <v>0.99999998456910799</v>
      </c>
    </row>
    <row r="7368" spans="1:40" x14ac:dyDescent="0.25">
      <c r="A7368" t="str">
        <f>"20190303153952721"</f>
        <v>20190303153952721</v>
      </c>
      <c r="B7368" t="str">
        <f>"1551598792715883"</f>
        <v>1551598792715883</v>
      </c>
      <c r="C7368" t="s">
        <v>40</v>
      </c>
      <c r="D7368">
        <v>4.556667</v>
      </c>
      <c r="E7368">
        <v>0.51093999999999995</v>
      </c>
      <c r="F7368" t="s">
        <v>42</v>
      </c>
      <c r="G7368">
        <v>-335.56439999999998</v>
      </c>
      <c r="H7368" s="1">
        <v>-2.5062560000000001E-6</v>
      </c>
      <c r="I7368">
        <v>16.114820000000002</v>
      </c>
      <c r="J7368">
        <v>-376.29329999999999</v>
      </c>
      <c r="K7368">
        <v>1.120555</v>
      </c>
      <c r="L7368">
        <v>17.48068</v>
      </c>
      <c r="M7368">
        <v>0.99989930000000005</v>
      </c>
      <c r="N7368">
        <v>-1.351641E-2</v>
      </c>
      <c r="O7368">
        <v>-4.3380099999999998E-3</v>
      </c>
      <c r="P7368">
        <v>0.99929389999999996</v>
      </c>
      <c r="Q7368">
        <v>-3.7305869999999998E-2</v>
      </c>
      <c r="R7368">
        <v>-4.5226809999999997E-3</v>
      </c>
      <c r="S7368">
        <v>2.9985659999999998</v>
      </c>
      <c r="T7368">
        <v>-8.2203390000000001E-2</v>
      </c>
      <c r="U7368">
        <v>-0.1002502</v>
      </c>
      <c r="V7368">
        <v>1.74988E-4</v>
      </c>
      <c r="W7368">
        <v>-2.3795549999999999E-2</v>
      </c>
      <c r="X7368">
        <v>0.99971679999999996</v>
      </c>
      <c r="Y7368">
        <v>2.906189E-2</v>
      </c>
      <c r="Z7368">
        <v>-5.3444500000000004E-4</v>
      </c>
      <c r="AA7368">
        <v>0.99957750000000001</v>
      </c>
      <c r="AB7368">
        <v>27</v>
      </c>
      <c r="AC7368">
        <v>40.728900000000003</v>
      </c>
      <c r="AD7368">
        <v>-1.120557506256</v>
      </c>
      <c r="AE7368">
        <v>-1.3658599999999901</v>
      </c>
      <c r="AF7368">
        <v>1.1882502129155099</v>
      </c>
      <c r="AG7368">
        <v>-1.120557506256</v>
      </c>
      <c r="AH7368">
        <v>40.703666631184802</v>
      </c>
      <c r="AI7368">
        <v>91.576263018621205</v>
      </c>
      <c r="AJ7368">
        <v>88.327855997922498</v>
      </c>
      <c r="AK7368">
        <v>40.736421847235803</v>
      </c>
      <c r="AL7368">
        <v>91.363513325033693</v>
      </c>
      <c r="AM7368">
        <v>89.989971086048499</v>
      </c>
      <c r="AN7368">
        <v>0.99999996951142001</v>
      </c>
    </row>
    <row r="7369" spans="1:40" x14ac:dyDescent="0.25">
      <c r="A7369" t="str">
        <f>"20190303153952734"</f>
        <v>20190303153952734</v>
      </c>
      <c r="B7369" t="str">
        <f>"1551598792725643"</f>
        <v>1551598792725643</v>
      </c>
      <c r="C7369" t="s">
        <v>40</v>
      </c>
      <c r="D7369">
        <v>4.5379480000000001</v>
      </c>
      <c r="E7369">
        <v>0.51078279999999998</v>
      </c>
      <c r="F7369" t="s">
        <v>42</v>
      </c>
      <c r="G7369">
        <v>-333.30900000000003</v>
      </c>
      <c r="H7369" s="1">
        <v>-3.485603E-6</v>
      </c>
      <c r="I7369">
        <v>16.048439999999999</v>
      </c>
      <c r="J7369">
        <v>-376.14819999999997</v>
      </c>
      <c r="K7369">
        <v>1.120571</v>
      </c>
      <c r="L7369">
        <v>17.479890000000001</v>
      </c>
      <c r="M7369">
        <v>0.99989830000000002</v>
      </c>
      <c r="N7369">
        <v>-1.35388E-2</v>
      </c>
      <c r="O7369">
        <v>-4.4836169999999996E-3</v>
      </c>
      <c r="P7369">
        <v>0.99927679999999997</v>
      </c>
      <c r="Q7369">
        <v>-3.7704309999999998E-2</v>
      </c>
      <c r="R7369">
        <v>-4.9415780000000003E-3</v>
      </c>
      <c r="S7369">
        <v>2.9987789999999999</v>
      </c>
      <c r="T7369">
        <v>-7.8175190000000006E-2</v>
      </c>
      <c r="U7369">
        <v>-9.9914550000000005E-2</v>
      </c>
      <c r="V7369">
        <v>4.481992E-4</v>
      </c>
      <c r="W7369">
        <v>-2.417192E-2</v>
      </c>
      <c r="X7369">
        <v>0.99970769999999998</v>
      </c>
      <c r="Y7369">
        <v>2.8803550000000001E-2</v>
      </c>
      <c r="Z7369">
        <v>-5.1422449999999895E-4</v>
      </c>
      <c r="AA7369">
        <v>0.99958499999999995</v>
      </c>
      <c r="AB7369">
        <v>27</v>
      </c>
      <c r="AC7369">
        <v>42.839199999999899</v>
      </c>
      <c r="AD7369">
        <v>-1.120574485603</v>
      </c>
      <c r="AE7369">
        <v>-1.4314499999999999</v>
      </c>
      <c r="AF7369">
        <v>1.2384969738887199</v>
      </c>
      <c r="AG7369">
        <v>-1.120574485603</v>
      </c>
      <c r="AH7369">
        <v>42.815924945402102</v>
      </c>
      <c r="AI7369">
        <v>91.498571157171597</v>
      </c>
      <c r="AJ7369">
        <v>88.343119570410906</v>
      </c>
      <c r="AK7369">
        <v>42.848488781547701</v>
      </c>
      <c r="AL7369">
        <v>91.385083923069104</v>
      </c>
      <c r="AM7369">
        <v>89.974312570743805</v>
      </c>
      <c r="AN7369">
        <v>0.99999998401914902</v>
      </c>
    </row>
    <row r="7370" spans="1:40" x14ac:dyDescent="0.25">
      <c r="A7370" t="str">
        <f>"20190303153952746"</f>
        <v>20190303153952746</v>
      </c>
      <c r="B7370" t="str">
        <f>"1551598792736381"</f>
        <v>1551598792736381</v>
      </c>
      <c r="C7370" t="s">
        <v>40</v>
      </c>
      <c r="D7370">
        <v>4.5615290000000002</v>
      </c>
      <c r="E7370">
        <v>0.51058440000000005</v>
      </c>
      <c r="F7370" t="s">
        <v>42</v>
      </c>
      <c r="G7370">
        <v>-333.06529999999998</v>
      </c>
      <c r="H7370" s="1">
        <v>-3.5908E-6</v>
      </c>
      <c r="I7370">
        <v>16.04477</v>
      </c>
      <c r="J7370">
        <v>-376.00670000000002</v>
      </c>
      <c r="K7370">
        <v>1.1205959999999999</v>
      </c>
      <c r="L7370">
        <v>17.479099999999999</v>
      </c>
      <c r="M7370">
        <v>0.99989740000000005</v>
      </c>
      <c r="N7370">
        <v>-1.3561699999999999E-2</v>
      </c>
      <c r="O7370">
        <v>-4.6245690000000002E-3</v>
      </c>
      <c r="P7370">
        <v>0.99923519999999999</v>
      </c>
      <c r="Q7370">
        <v>-3.8684969999999999E-2</v>
      </c>
      <c r="R7370">
        <v>-5.7167320000000004E-3</v>
      </c>
      <c r="S7370">
        <v>2.9987180000000002</v>
      </c>
      <c r="T7370">
        <v>-7.7995899999999896E-2</v>
      </c>
      <c r="U7370">
        <v>-9.9884029999999999E-2</v>
      </c>
      <c r="V7370">
        <v>1.082403E-3</v>
      </c>
      <c r="W7370">
        <v>-2.5130420000000001E-2</v>
      </c>
      <c r="X7370">
        <v>0.99968360000000001</v>
      </c>
      <c r="Y7370">
        <v>2.8653290000000001E-2</v>
      </c>
      <c r="Z7370">
        <v>-5.0934379999999896E-4</v>
      </c>
      <c r="AA7370">
        <v>0.99958930000000001</v>
      </c>
      <c r="AB7370">
        <v>26</v>
      </c>
      <c r="AC7370">
        <v>42.941400000000002</v>
      </c>
      <c r="AD7370">
        <v>-1.1205995907999999</v>
      </c>
      <c r="AE7370">
        <v>-1.4343299999999899</v>
      </c>
      <c r="AF7370">
        <v>1.2348709266615201</v>
      </c>
      <c r="AG7370">
        <v>-1.1205995907999999</v>
      </c>
      <c r="AH7370">
        <v>42.91837955618</v>
      </c>
      <c r="AI7370">
        <v>91.4950354908066</v>
      </c>
      <c r="AJ7370">
        <v>88.351909408359703</v>
      </c>
      <c r="AK7370">
        <v>42.9507619650309</v>
      </c>
      <c r="AL7370">
        <v>91.440018594605505</v>
      </c>
      <c r="AM7370">
        <v>89.937963272182003</v>
      </c>
      <c r="AN7370">
        <v>1.0000000048572899</v>
      </c>
    </row>
    <row r="7371" spans="1:40" x14ac:dyDescent="0.25">
      <c r="A7371" t="str">
        <f>"20190303153952756"</f>
        <v>20190303153952756</v>
      </c>
      <c r="B7371" t="str">
        <f>"1551598792746139"</f>
        <v>1551598792746139</v>
      </c>
      <c r="C7371" t="s">
        <v>40</v>
      </c>
      <c r="D7371">
        <v>4.5378040000000004</v>
      </c>
      <c r="E7371">
        <v>0.51039650000000003</v>
      </c>
      <c r="F7371" t="s">
        <v>42</v>
      </c>
      <c r="G7371">
        <v>-333.82760000000002</v>
      </c>
      <c r="H7371" s="1">
        <v>-3.260332E-6</v>
      </c>
      <c r="I7371">
        <v>16.064150000000001</v>
      </c>
      <c r="J7371">
        <v>-375.87439999999998</v>
      </c>
      <c r="K7371">
        <v>1.120617</v>
      </c>
      <c r="L7371">
        <v>17.478359999999999</v>
      </c>
      <c r="M7371">
        <v>0.99989660000000002</v>
      </c>
      <c r="N7371">
        <v>-1.3582820000000001E-2</v>
      </c>
      <c r="O7371">
        <v>-4.7557220000000004E-3</v>
      </c>
      <c r="P7371">
        <v>0.99920750000000003</v>
      </c>
      <c r="Q7371">
        <v>-3.9298470000000002E-2</v>
      </c>
      <c r="R7371">
        <v>-6.3438749999999997E-3</v>
      </c>
      <c r="S7371">
        <v>2.9986269999999999</v>
      </c>
      <c r="T7371">
        <v>-7.9666379999999995E-2</v>
      </c>
      <c r="U7371">
        <v>-0.10058590000000001</v>
      </c>
      <c r="V7371">
        <v>1.5782109999999999E-3</v>
      </c>
      <c r="W7371">
        <v>-2.5723349999999999E-2</v>
      </c>
      <c r="X7371">
        <v>0.99966790000000005</v>
      </c>
      <c r="Y7371">
        <v>2.8756360000000002E-2</v>
      </c>
      <c r="Z7371">
        <v>-5.1552070000000002E-4</v>
      </c>
      <c r="AA7371">
        <v>0.99958630000000004</v>
      </c>
      <c r="AB7371">
        <v>26</v>
      </c>
      <c r="AC7371">
        <v>42.046799999999898</v>
      </c>
      <c r="AD7371">
        <v>-1.1206202603319999</v>
      </c>
      <c r="AE7371">
        <v>-1.41421</v>
      </c>
      <c r="AF7371">
        <v>1.2133518080750301</v>
      </c>
      <c r="AG7371">
        <v>-1.1206202603319999</v>
      </c>
      <c r="AH7371">
        <v>42.023234626658201</v>
      </c>
      <c r="AI7371">
        <v>91.526890327620094</v>
      </c>
      <c r="AJ7371">
        <v>88.346138058359301</v>
      </c>
      <c r="AK7371">
        <v>42.055680482726601</v>
      </c>
      <c r="AL7371">
        <v>91.4740019083455</v>
      </c>
      <c r="AM7371">
        <v>89.909545205606605</v>
      </c>
      <c r="AN7371">
        <v>1.00000004588779</v>
      </c>
    </row>
    <row r="7372" spans="1:40" x14ac:dyDescent="0.25">
      <c r="A7372" t="str">
        <f>"20190303153952769"</f>
        <v>20190303153952769</v>
      </c>
      <c r="B7372" t="str">
        <f>"1551598792765659"</f>
        <v>1551598792765659</v>
      </c>
      <c r="C7372" t="s">
        <v>40</v>
      </c>
      <c r="D7372">
        <v>4.5376279999999998</v>
      </c>
      <c r="E7372">
        <v>0.51016289999999997</v>
      </c>
      <c r="F7372" t="s">
        <v>42</v>
      </c>
      <c r="G7372">
        <v>-334.13260000000002</v>
      </c>
      <c r="H7372" s="1">
        <v>-3.1279219999999999E-6</v>
      </c>
      <c r="I7372">
        <v>16.072970000000002</v>
      </c>
      <c r="J7372">
        <v>-375.7337</v>
      </c>
      <c r="K7372">
        <v>1.1206389999999999</v>
      </c>
      <c r="L7372">
        <v>17.477540000000001</v>
      </c>
      <c r="M7372">
        <v>0.99989550000000005</v>
      </c>
      <c r="N7372">
        <v>-1.360516E-2</v>
      </c>
      <c r="O7372">
        <v>-4.8947460000000002E-3</v>
      </c>
      <c r="P7372">
        <v>0.99918960000000001</v>
      </c>
      <c r="Q7372">
        <v>-3.9622299999999999E-2</v>
      </c>
      <c r="R7372">
        <v>-7.0904540000000004E-3</v>
      </c>
      <c r="S7372">
        <v>2.9985659999999998</v>
      </c>
      <c r="T7372">
        <v>-8.0500840000000004E-2</v>
      </c>
      <c r="U7372">
        <v>-0.1009521</v>
      </c>
      <c r="V7372">
        <v>2.1857880000000001E-3</v>
      </c>
      <c r="W7372">
        <v>-2.6025309999999999E-2</v>
      </c>
      <c r="X7372">
        <v>0.99965890000000002</v>
      </c>
      <c r="Y7372">
        <v>2.873976E-2</v>
      </c>
      <c r="Z7372">
        <v>-5.1645459999999995E-4</v>
      </c>
      <c r="AA7372">
        <v>0.9995868</v>
      </c>
      <c r="AB7372">
        <v>26</v>
      </c>
      <c r="AC7372">
        <v>41.601099999999903</v>
      </c>
      <c r="AD7372">
        <v>-1.120642127922</v>
      </c>
      <c r="AE7372">
        <v>-1.4045699999999901</v>
      </c>
      <c r="AF7372">
        <v>1.2000377020914701</v>
      </c>
      <c r="AG7372">
        <v>-1.120642127922</v>
      </c>
      <c r="AH7372">
        <v>41.577341162956401</v>
      </c>
      <c r="AI7372">
        <v>91.543288056595401</v>
      </c>
      <c r="AJ7372">
        <v>88.346743435979306</v>
      </c>
      <c r="AK7372">
        <v>41.609749187494302</v>
      </c>
      <c r="AL7372">
        <v>91.491308795873394</v>
      </c>
      <c r="AM7372">
        <v>89.874721039617896</v>
      </c>
      <c r="AN7372">
        <v>1.00000000538949</v>
      </c>
    </row>
    <row r="7373" spans="1:40" x14ac:dyDescent="0.25">
      <c r="A7373" t="str">
        <f>"20190303153952787"</f>
        <v>20190303153952787</v>
      </c>
      <c r="B7373" t="str">
        <f>"1551598792776398"</f>
        <v>1551598792776398</v>
      </c>
      <c r="C7373" t="s">
        <v>40</v>
      </c>
      <c r="D7373">
        <v>4.5762210000000003</v>
      </c>
      <c r="E7373">
        <v>0.51060969999999894</v>
      </c>
      <c r="F7373" t="s">
        <v>42</v>
      </c>
      <c r="G7373">
        <v>-333.08300000000003</v>
      </c>
      <c r="H7373" s="1">
        <v>-3.5844759999999999E-6</v>
      </c>
      <c r="I7373">
        <v>16.03764</v>
      </c>
      <c r="J7373">
        <v>-375.53109999999998</v>
      </c>
      <c r="K7373">
        <v>1.1206739999999999</v>
      </c>
      <c r="L7373">
        <v>17.476289999999999</v>
      </c>
      <c r="M7373">
        <v>0.99989419999999996</v>
      </c>
      <c r="N7373">
        <v>-1.363499E-2</v>
      </c>
      <c r="O7373">
        <v>-5.0947140000000002E-3</v>
      </c>
      <c r="P7373">
        <v>0.99917849999999997</v>
      </c>
      <c r="Q7373">
        <v>-3.9726249999999998E-2</v>
      </c>
      <c r="R7373">
        <v>-8.0288440000000003E-3</v>
      </c>
      <c r="S7373">
        <v>2.9985659999999998</v>
      </c>
      <c r="T7373">
        <v>-7.8786969999999998E-2</v>
      </c>
      <c r="U7373">
        <v>-0.10122680000000001</v>
      </c>
      <c r="V7373">
        <v>2.9244800000000001E-3</v>
      </c>
      <c r="W7373">
        <v>-2.6099870000000001E-2</v>
      </c>
      <c r="X7373">
        <v>0.99965510000000002</v>
      </c>
      <c r="Y7373">
        <v>2.8631879999999998E-2</v>
      </c>
      <c r="Z7373">
        <v>-5.0693829999999996E-4</v>
      </c>
      <c r="AA7373">
        <v>0.99958990000000003</v>
      </c>
      <c r="AB7373">
        <v>26</v>
      </c>
      <c r="AC7373">
        <v>42.448099999999897</v>
      </c>
      <c r="AD7373">
        <v>-1.120677584476</v>
      </c>
      <c r="AE7373">
        <v>-1.43864999999999</v>
      </c>
      <c r="AF7373">
        <v>1.2214998886010999</v>
      </c>
      <c r="AG7373">
        <v>-1.120677584476</v>
      </c>
      <c r="AH7373">
        <v>42.425341833742799</v>
      </c>
      <c r="AI7373">
        <v>91.512506106140606</v>
      </c>
      <c r="AJ7373">
        <v>88.350809775081899</v>
      </c>
      <c r="AK7373">
        <v>42.457715552489702</v>
      </c>
      <c r="AL7373">
        <v>91.495582172948403</v>
      </c>
      <c r="AM7373">
        <v>89.832382305405204</v>
      </c>
      <c r="AN7373">
        <v>1.00000003737664</v>
      </c>
    </row>
    <row r="7374" spans="1:40" x14ac:dyDescent="0.25">
      <c r="A7374" t="str">
        <f>"20190303153952955"</f>
        <v>20190303153952955</v>
      </c>
      <c r="B7374" t="str">
        <f>"1551598792946219"</f>
        <v>1551598792946219</v>
      </c>
      <c r="C7374" t="s">
        <v>40</v>
      </c>
      <c r="D7374">
        <v>4.3891859999999996</v>
      </c>
      <c r="E7374">
        <v>0.51060969999999894</v>
      </c>
      <c r="F7374" t="s">
        <v>42</v>
      </c>
      <c r="G7374">
        <v>-329.88189999999997</v>
      </c>
      <c r="H7374" s="1">
        <v>-1.0340989999999999E-6</v>
      </c>
      <c r="I7374">
        <v>15.840999999999999</v>
      </c>
      <c r="J7374">
        <v>-373.55869999999999</v>
      </c>
      <c r="K7374">
        <v>1.12097</v>
      </c>
      <c r="L7374">
        <v>17.462309999999999</v>
      </c>
      <c r="M7374">
        <v>0.99987990000000004</v>
      </c>
      <c r="N7374">
        <v>-1.3826349999999999E-2</v>
      </c>
      <c r="O7374">
        <v>-7.0205160000000001E-3</v>
      </c>
      <c r="P7374">
        <v>0.99933629999999996</v>
      </c>
      <c r="Q7374">
        <v>-3.5353900000000001E-2</v>
      </c>
      <c r="R7374">
        <v>-8.7966769999999993E-3</v>
      </c>
      <c r="S7374">
        <v>2.998688</v>
      </c>
      <c r="T7374">
        <v>-7.3616860000000006E-2</v>
      </c>
      <c r="U7374">
        <v>-0.1074219</v>
      </c>
      <c r="V7374">
        <v>1.769552E-3</v>
      </c>
      <c r="W7374">
        <v>-2.1533679999999999E-2</v>
      </c>
      <c r="X7374">
        <v>0.9997665</v>
      </c>
      <c r="Y7374">
        <v>2.8769300000000001E-2</v>
      </c>
      <c r="Z7374">
        <v>-4.7675469999999999E-4</v>
      </c>
      <c r="AA7374">
        <v>0.99958599999999997</v>
      </c>
      <c r="AB7374">
        <v>26</v>
      </c>
      <c r="AC7374">
        <v>43.6768</v>
      </c>
      <c r="AD7374">
        <v>-1.120971034099</v>
      </c>
      <c r="AE7374">
        <v>-1.62131</v>
      </c>
      <c r="AF7374">
        <v>1.3137429206393301</v>
      </c>
      <c r="AG7374">
        <v>-1.120971034099</v>
      </c>
      <c r="AH7374">
        <v>43.658388762105197</v>
      </c>
      <c r="AI7374">
        <v>91.470135820036305</v>
      </c>
      <c r="AJ7374">
        <v>88.276408732152802</v>
      </c>
      <c r="AK7374">
        <v>43.692532609405198</v>
      </c>
      <c r="AL7374">
        <v>91.233884423312801</v>
      </c>
      <c r="AM7374">
        <v>89.898588565075997</v>
      </c>
      <c r="AN7374">
        <v>0.99999994260543401</v>
      </c>
    </row>
    <row r="7375" spans="1:40" x14ac:dyDescent="0.25">
      <c r="A7375" t="str">
        <f>"20190303153952966"</f>
        <v>20190303153952966</v>
      </c>
      <c r="B7375" t="str">
        <f>"1551598792955980"</f>
        <v>1551598792955980</v>
      </c>
      <c r="C7375" t="s">
        <v>40</v>
      </c>
      <c r="D7375">
        <v>4.6979150000000001</v>
      </c>
      <c r="E7375">
        <v>0.51060969999999894</v>
      </c>
      <c r="F7375" t="s">
        <v>43</v>
      </c>
      <c r="G7375">
        <v>-315.62580000000003</v>
      </c>
      <c r="H7375">
        <v>-0.05</v>
      </c>
      <c r="I7375">
        <v>15.34174</v>
      </c>
      <c r="J7375">
        <v>-373.4187</v>
      </c>
      <c r="K7375">
        <v>1.1209830000000001</v>
      </c>
      <c r="L7375">
        <v>17.461179999999999</v>
      </c>
      <c r="M7375">
        <v>0.99987879999999996</v>
      </c>
      <c r="N7375">
        <v>-1.3833989999999999E-2</v>
      </c>
      <c r="O7375">
        <v>-7.157053E-3</v>
      </c>
      <c r="P7375">
        <v>0.99933620000000001</v>
      </c>
      <c r="Q7375">
        <v>-3.528879E-2</v>
      </c>
      <c r="R7375">
        <v>-9.0665610000000008E-3</v>
      </c>
      <c r="S7375">
        <v>2.998901</v>
      </c>
      <c r="T7375">
        <v>-6.0615299999999997E-2</v>
      </c>
      <c r="U7375">
        <v>-0.1097717</v>
      </c>
      <c r="V7375">
        <v>1.9030640000000001E-3</v>
      </c>
      <c r="W7375">
        <v>-2.1460969999999999E-2</v>
      </c>
      <c r="X7375">
        <v>0.99976790000000004</v>
      </c>
      <c r="Y7375">
        <v>2.941564E-2</v>
      </c>
      <c r="Z7375">
        <v>-4.5512249999999998E-4</v>
      </c>
      <c r="AA7375">
        <v>0.99956719999999999</v>
      </c>
      <c r="AB7375">
        <v>26</v>
      </c>
      <c r="AC7375">
        <v>57.792899999999896</v>
      </c>
      <c r="AD7375">
        <v>-1.1709829999999899</v>
      </c>
      <c r="AE7375">
        <v>-2.1194399999999902</v>
      </c>
      <c r="AF7375">
        <v>1.70502028400076</v>
      </c>
      <c r="AG7375">
        <v>-1.1709829999999899</v>
      </c>
      <c r="AH7375">
        <v>57.7828997660948</v>
      </c>
      <c r="AI7375">
        <v>91.160447550229406</v>
      </c>
      <c r="AJ7375">
        <v>88.309843760784005</v>
      </c>
      <c r="AK7375">
        <v>57.819908342487899</v>
      </c>
      <c r="AL7375">
        <v>91.229717383416002</v>
      </c>
      <c r="AM7375">
        <v>89.890937282892907</v>
      </c>
      <c r="AN7375">
        <v>1.0000000243781599</v>
      </c>
    </row>
    <row r="7376" spans="1:40" x14ac:dyDescent="0.25">
      <c r="A7376" t="str">
        <f>"20190303153952989"</f>
        <v>20190303153952989</v>
      </c>
      <c r="B7376" t="str">
        <f>"1551598792986235"</f>
        <v>1551598792986235</v>
      </c>
      <c r="C7376" t="s">
        <v>40</v>
      </c>
      <c r="D7376">
        <v>4.4074540000000004</v>
      </c>
      <c r="E7376">
        <v>0.51055280000000003</v>
      </c>
      <c r="F7376" t="s">
        <v>43</v>
      </c>
      <c r="G7376">
        <v>-315.32749999999999</v>
      </c>
      <c r="H7376">
        <v>-0.05</v>
      </c>
      <c r="I7376">
        <v>15.31827</v>
      </c>
      <c r="J7376">
        <v>-373.15699999999998</v>
      </c>
      <c r="K7376">
        <v>1.121005</v>
      </c>
      <c r="L7376">
        <v>17.459009999999999</v>
      </c>
      <c r="M7376">
        <v>0.9998766</v>
      </c>
      <c r="N7376">
        <v>-1.384667E-2</v>
      </c>
      <c r="O7376">
        <v>-7.4125880000000003E-3</v>
      </c>
      <c r="P7376">
        <v>0.99935669999999999</v>
      </c>
      <c r="Q7376">
        <v>-3.4642369999999999E-2</v>
      </c>
      <c r="R7376">
        <v>-9.2585879999999999E-3</v>
      </c>
      <c r="S7376">
        <v>2.998901</v>
      </c>
      <c r="T7376">
        <v>-6.0450789999999997E-2</v>
      </c>
      <c r="U7376">
        <v>-0.11062619999999999</v>
      </c>
      <c r="V7376">
        <v>1.839977E-3</v>
      </c>
      <c r="W7376">
        <v>-2.0801610000000002E-2</v>
      </c>
      <c r="X7376">
        <v>0.9997819</v>
      </c>
      <c r="Y7376">
        <v>2.9444629999999999E-2</v>
      </c>
      <c r="Z7376">
        <v>-4.538675E-4</v>
      </c>
      <c r="AA7376">
        <v>0.99956630000000002</v>
      </c>
      <c r="AB7376">
        <v>26</v>
      </c>
      <c r="AC7376">
        <v>57.829500000000003</v>
      </c>
      <c r="AD7376">
        <v>-1.1710049999999901</v>
      </c>
      <c r="AE7376">
        <v>-2.1407399999999899</v>
      </c>
      <c r="AF7376">
        <v>1.7112730759867401</v>
      </c>
      <c r="AG7376">
        <v>-1.1710049999999901</v>
      </c>
      <c r="AH7376">
        <v>57.820105158891998</v>
      </c>
      <c r="AI7376">
        <v>91.159719773312204</v>
      </c>
      <c r="AJ7376">
        <v>88.304740004891201</v>
      </c>
      <c r="AK7376">
        <v>57.857274986262098</v>
      </c>
      <c r="AL7376">
        <v>91.191930465780302</v>
      </c>
      <c r="AM7376">
        <v>89.894554204792897</v>
      </c>
      <c r="AN7376">
        <v>0.99999997003078001</v>
      </c>
    </row>
    <row r="7377" spans="1:40" x14ac:dyDescent="0.25">
      <c r="A7377" t="str">
        <f>"20190303153953000"</f>
        <v>20190303153953000</v>
      </c>
      <c r="B7377" t="str">
        <f>"1551598792995995"</f>
        <v>1551598792995995</v>
      </c>
      <c r="C7377" t="s">
        <v>40</v>
      </c>
      <c r="D7377">
        <v>4.4583180000000002</v>
      </c>
      <c r="E7377">
        <v>0.51050130000000005</v>
      </c>
      <c r="F7377" t="s">
        <v>43</v>
      </c>
      <c r="G7377">
        <v>-302.93880000000001</v>
      </c>
      <c r="H7377">
        <v>-0.05</v>
      </c>
      <c r="I7377">
        <v>14.87114</v>
      </c>
      <c r="J7377">
        <v>-373.0292</v>
      </c>
      <c r="K7377">
        <v>1.12101299999999</v>
      </c>
      <c r="L7377">
        <v>17.45795</v>
      </c>
      <c r="M7377">
        <v>0.99987570000000003</v>
      </c>
      <c r="N7377">
        <v>-1.385195E-2</v>
      </c>
      <c r="O7377">
        <v>-7.5373080000000004E-3</v>
      </c>
      <c r="P7377">
        <v>0.9993687</v>
      </c>
      <c r="Q7377">
        <v>-3.4283750000000002E-2</v>
      </c>
      <c r="R7377">
        <v>-9.3434950000000003E-3</v>
      </c>
      <c r="S7377">
        <v>2.9992070000000002</v>
      </c>
      <c r="T7377">
        <v>-5.001676E-2</v>
      </c>
      <c r="U7377">
        <v>-0.1105347</v>
      </c>
      <c r="V7377">
        <v>1.800124E-3</v>
      </c>
      <c r="W7377">
        <v>-2.0437540000000001E-2</v>
      </c>
      <c r="X7377">
        <v>0.9997895</v>
      </c>
      <c r="Y7377">
        <v>2.9288249999999998E-2</v>
      </c>
      <c r="Z7377">
        <v>-4.2580800000000001E-4</v>
      </c>
      <c r="AA7377">
        <v>0.99957090000000004</v>
      </c>
      <c r="AB7377">
        <v>26</v>
      </c>
      <c r="AC7377">
        <v>70.090399999999903</v>
      </c>
      <c r="AD7377">
        <v>-1.1710130000000001</v>
      </c>
      <c r="AE7377">
        <v>-2.5868099999999998</v>
      </c>
      <c r="AF7377">
        <v>2.05781929142465</v>
      </c>
      <c r="AG7377">
        <v>-1.1710130000000001</v>
      </c>
      <c r="AH7377">
        <v>70.088370942033904</v>
      </c>
      <c r="AI7377">
        <v>90.956777393318006</v>
      </c>
      <c r="AJ7377">
        <v>88.318258831202698</v>
      </c>
      <c r="AK7377">
        <v>70.128351135546296</v>
      </c>
      <c r="AL7377">
        <v>91.171066332657205</v>
      </c>
      <c r="AM7377">
        <v>89.896838888238406</v>
      </c>
      <c r="AN7377">
        <v>0.99999998889895803</v>
      </c>
    </row>
    <row r="7378" spans="1:40" x14ac:dyDescent="0.25">
      <c r="A7378" t="str">
        <f>"20190303153953011"</f>
        <v>20190303153953011</v>
      </c>
      <c r="B7378" t="str">
        <f>"1551598793005757"</f>
        <v>1551598793005757</v>
      </c>
      <c r="C7378" t="s">
        <v>40</v>
      </c>
      <c r="D7378">
        <v>4.4429569999999998</v>
      </c>
      <c r="E7378">
        <v>0.51019079999999895</v>
      </c>
      <c r="F7378" t="s">
        <v>43</v>
      </c>
      <c r="G7378">
        <v>-295.6798</v>
      </c>
      <c r="H7378">
        <v>-0.05</v>
      </c>
      <c r="I7378">
        <v>14.61365</v>
      </c>
      <c r="J7378">
        <v>-372.90100000000001</v>
      </c>
      <c r="K7378">
        <v>1.121022</v>
      </c>
      <c r="L7378">
        <v>17.456849999999999</v>
      </c>
      <c r="M7378">
        <v>0.99987459999999995</v>
      </c>
      <c r="N7378">
        <v>-1.3857120000000001E-2</v>
      </c>
      <c r="O7378">
        <v>-7.6623849999999999E-3</v>
      </c>
      <c r="P7378">
        <v>0.99937960000000003</v>
      </c>
      <c r="Q7378">
        <v>-3.3937740000000001E-2</v>
      </c>
      <c r="R7378">
        <v>-9.4060510000000003E-3</v>
      </c>
      <c r="S7378">
        <v>2.999298</v>
      </c>
      <c r="T7378">
        <v>-4.5407179999999998E-2</v>
      </c>
      <c r="U7378">
        <v>-0.1102905</v>
      </c>
      <c r="V7378">
        <v>1.7377989999999999E-3</v>
      </c>
      <c r="W7378">
        <v>-2.0086199999999999E-2</v>
      </c>
      <c r="X7378">
        <v>0.99979669999999998</v>
      </c>
      <c r="Y7378">
        <v>2.9081880000000001E-2</v>
      </c>
      <c r="Z7378">
        <v>-4.1184719999999998E-4</v>
      </c>
      <c r="AA7378">
        <v>0.99957689999999999</v>
      </c>
      <c r="AB7378">
        <v>26</v>
      </c>
      <c r="AC7378">
        <v>77.221199999999996</v>
      </c>
      <c r="AD7378">
        <v>-1.171022</v>
      </c>
      <c r="AE7378">
        <v>-2.8431999999999902</v>
      </c>
      <c r="AF7378">
        <v>2.2508442113875802</v>
      </c>
      <c r="AG7378">
        <v>-1.171022</v>
      </c>
      <c r="AH7378">
        <v>77.222986056191303</v>
      </c>
      <c r="AI7378">
        <v>90.868407239981096</v>
      </c>
      <c r="AJ7378">
        <v>88.330453435070496</v>
      </c>
      <c r="AK7378">
        <v>77.264656652463898</v>
      </c>
      <c r="AL7378">
        <v>91.150931934863195</v>
      </c>
      <c r="AM7378">
        <v>89.900411305547493</v>
      </c>
      <c r="AN7378">
        <v>0.99999995835334599</v>
      </c>
    </row>
    <row r="7379" spans="1:40" x14ac:dyDescent="0.25">
      <c r="A7379" t="str">
        <f>"20190303153953023"</f>
        <v>20190303153953023</v>
      </c>
      <c r="B7379" t="str">
        <f>"1551598793015515"</f>
        <v>1551598793015515</v>
      </c>
      <c r="C7379" t="s">
        <v>40</v>
      </c>
      <c r="D7379">
        <v>4.448404</v>
      </c>
      <c r="E7379">
        <v>0.50990930000000001</v>
      </c>
      <c r="F7379" t="s">
        <v>43</v>
      </c>
      <c r="G7379">
        <v>-291.73829999999998</v>
      </c>
      <c r="H7379">
        <v>-0.05</v>
      </c>
      <c r="I7379">
        <v>14.53436</v>
      </c>
      <c r="J7379">
        <v>-372.75400000000002</v>
      </c>
      <c r="K7379">
        <v>1.1210329999999999</v>
      </c>
      <c r="L7379">
        <v>17.455539999999999</v>
      </c>
      <c r="M7379">
        <v>0.99987349999999997</v>
      </c>
      <c r="N7379">
        <v>-1.3862360000000001E-2</v>
      </c>
      <c r="O7379">
        <v>-7.8061780000000004E-3</v>
      </c>
      <c r="P7379">
        <v>0.99939149999999999</v>
      </c>
      <c r="Q7379">
        <v>-3.3592110000000001E-2</v>
      </c>
      <c r="R7379">
        <v>-9.4096579999999996E-3</v>
      </c>
      <c r="S7379">
        <v>2.9994200000000002</v>
      </c>
      <c r="T7379">
        <v>-4.3275830000000001E-2</v>
      </c>
      <c r="U7379">
        <v>-0.10800170000000001</v>
      </c>
      <c r="V7379">
        <v>1.5977529999999999E-3</v>
      </c>
      <c r="W7379">
        <v>-1.973513E-2</v>
      </c>
      <c r="X7379">
        <v>0.99980400000000003</v>
      </c>
      <c r="Y7379">
        <v>2.8175499999999999E-2</v>
      </c>
      <c r="Z7379">
        <v>-3.9417020000000002E-4</v>
      </c>
      <c r="AA7379">
        <v>0.99960289999999996</v>
      </c>
      <c r="AB7379">
        <v>26</v>
      </c>
      <c r="AC7379">
        <v>81.015699999999995</v>
      </c>
      <c r="AD7379">
        <v>-1.171033</v>
      </c>
      <c r="AE7379">
        <v>-2.9211799999999899</v>
      </c>
      <c r="AF7379">
        <v>2.28812982979372</v>
      </c>
      <c r="AG7379">
        <v>-1.171033</v>
      </c>
      <c r="AH7379">
        <v>81.019131213326602</v>
      </c>
      <c r="AI7379">
        <v>90.827753146101898</v>
      </c>
      <c r="AJ7379">
        <v>88.382291420764801</v>
      </c>
      <c r="AK7379">
        <v>81.059894392771795</v>
      </c>
      <c r="AL7379">
        <v>91.130813031560805</v>
      </c>
      <c r="AM7379">
        <v>89.908437628099804</v>
      </c>
      <c r="AN7379">
        <v>1.0000000332933801</v>
      </c>
    </row>
    <row r="7380" spans="1:40" x14ac:dyDescent="0.25">
      <c r="A7380" t="str">
        <f>"20190303153953045"</f>
        <v>20190303153953045</v>
      </c>
      <c r="B7380" t="str">
        <f>"1551598793036012"</f>
        <v>1551598793036012</v>
      </c>
      <c r="C7380" t="s">
        <v>40</v>
      </c>
      <c r="D7380">
        <v>4.4513600000000002</v>
      </c>
      <c r="E7380">
        <v>0.50934990000000002</v>
      </c>
      <c r="F7380" t="s">
        <v>43</v>
      </c>
      <c r="G7380">
        <v>-288.2593</v>
      </c>
      <c r="H7380">
        <v>-0.05</v>
      </c>
      <c r="I7380">
        <v>14.474959999999999</v>
      </c>
      <c r="J7380">
        <v>-372.50720000000001</v>
      </c>
      <c r="K7380">
        <v>1.121049</v>
      </c>
      <c r="L7380">
        <v>17.453340000000001</v>
      </c>
      <c r="M7380">
        <v>0.99987139999999997</v>
      </c>
      <c r="N7380">
        <v>-1.3870220000000001E-2</v>
      </c>
      <c r="O7380">
        <v>-8.0473760000000002E-3</v>
      </c>
      <c r="P7380">
        <v>0.9994054</v>
      </c>
      <c r="Q7380">
        <v>-3.3282230000000003E-2</v>
      </c>
      <c r="R7380">
        <v>-9.0225940000000001E-3</v>
      </c>
      <c r="S7380">
        <v>2.9994200000000002</v>
      </c>
      <c r="T7380">
        <v>-4.1569710000000003E-2</v>
      </c>
      <c r="U7380">
        <v>-0.10580440000000001</v>
      </c>
      <c r="V7380">
        <v>9.6961940000000004E-4</v>
      </c>
      <c r="W7380">
        <v>-1.9416949999999999E-2</v>
      </c>
      <c r="X7380">
        <v>0.99981100000000001</v>
      </c>
      <c r="Y7380">
        <v>2.7203519999999998E-2</v>
      </c>
      <c r="Z7380">
        <v>-3.7729659999999999E-4</v>
      </c>
      <c r="AA7380">
        <v>0.99962989999999996</v>
      </c>
      <c r="AB7380">
        <v>26</v>
      </c>
      <c r="AC7380">
        <v>84.247900000000001</v>
      </c>
      <c r="AD7380">
        <v>-1.171049</v>
      </c>
      <c r="AE7380">
        <v>-2.97838</v>
      </c>
      <c r="AF7380">
        <v>2.2997999804827298</v>
      </c>
      <c r="AG7380">
        <v>-1.171049</v>
      </c>
      <c r="AH7380">
        <v>84.252883654212198</v>
      </c>
      <c r="AI7380">
        <v>90.796018658377207</v>
      </c>
      <c r="AJ7380">
        <v>88.436420038943297</v>
      </c>
      <c r="AK7380">
        <v>84.292400842311096</v>
      </c>
      <c r="AL7380">
        <v>91.112579207306496</v>
      </c>
      <c r="AM7380">
        <v>89.944434416167397</v>
      </c>
      <c r="AN7380">
        <v>0.99999999691504105</v>
      </c>
    </row>
    <row r="7381" spans="1:40" x14ac:dyDescent="0.25">
      <c r="A7381" t="str">
        <f>"20190303153953059"</f>
        <v>20190303153953059</v>
      </c>
      <c r="B7381" t="str">
        <f>"1551598793055531"</f>
        <v>1551598793055531</v>
      </c>
      <c r="C7381" t="s">
        <v>40</v>
      </c>
      <c r="D7381">
        <v>4.4391639999999999</v>
      </c>
      <c r="E7381">
        <v>0.50887209999999905</v>
      </c>
      <c r="F7381" t="s">
        <v>43</v>
      </c>
      <c r="G7381">
        <v>-282.20589999999999</v>
      </c>
      <c r="H7381">
        <v>-0.05</v>
      </c>
      <c r="I7381">
        <v>14.43901</v>
      </c>
      <c r="J7381">
        <v>-372.34399999999999</v>
      </c>
      <c r="K7381">
        <v>1.121057</v>
      </c>
      <c r="L7381">
        <v>17.451840000000001</v>
      </c>
      <c r="M7381">
        <v>0.99987009999999998</v>
      </c>
      <c r="N7381">
        <v>-1.387468E-2</v>
      </c>
      <c r="O7381">
        <v>-8.2070159999999993E-3</v>
      </c>
      <c r="P7381">
        <v>0.99941740000000001</v>
      </c>
      <c r="Q7381">
        <v>-3.3030049999999998E-2</v>
      </c>
      <c r="R7381">
        <v>-8.6094299999999995E-3</v>
      </c>
      <c r="S7381">
        <v>2.9995729999999998</v>
      </c>
      <c r="T7381">
        <v>-3.8899179999999998E-2</v>
      </c>
      <c r="U7381">
        <v>-0.1001282</v>
      </c>
      <c r="V7381">
        <v>3.9692729999999998E-4</v>
      </c>
      <c r="W7381">
        <v>-1.9159949999999999E-2</v>
      </c>
      <c r="X7381">
        <v>0.99981640000000005</v>
      </c>
      <c r="Y7381">
        <v>2.5153499999999999E-2</v>
      </c>
      <c r="Z7381">
        <v>-3.4507329999999999E-4</v>
      </c>
      <c r="AA7381">
        <v>0.99968360000000001</v>
      </c>
      <c r="AB7381">
        <v>26</v>
      </c>
      <c r="AC7381">
        <v>90.138099999999994</v>
      </c>
      <c r="AD7381">
        <v>-1.171057</v>
      </c>
      <c r="AE7381">
        <v>-3.0128299999999899</v>
      </c>
      <c r="AF7381">
        <v>2.2725093568574599</v>
      </c>
      <c r="AG7381">
        <v>-1.171057</v>
      </c>
      <c r="AH7381">
        <v>90.144594191374296</v>
      </c>
      <c r="AI7381">
        <v>90.744043979286005</v>
      </c>
      <c r="AJ7381">
        <v>88.555902060587201</v>
      </c>
      <c r="AK7381">
        <v>90.180837960188697</v>
      </c>
      <c r="AL7381">
        <v>91.097851396431096</v>
      </c>
      <c r="AM7381">
        <v>89.977253565885903</v>
      </c>
      <c r="AN7381">
        <v>1.00000004747212</v>
      </c>
    </row>
    <row r="7382" spans="1:40" x14ac:dyDescent="0.25">
      <c r="A7382" t="str">
        <f>"20190303153953078"</f>
        <v>20190303153953078</v>
      </c>
      <c r="B7382" t="str">
        <f>"1551598793076027"</f>
        <v>1551598793076027</v>
      </c>
      <c r="C7382" t="s">
        <v>40</v>
      </c>
      <c r="D7382">
        <v>4.4583110000000001</v>
      </c>
      <c r="E7382">
        <v>0.50841190000000003</v>
      </c>
      <c r="F7382" t="s">
        <v>79</v>
      </c>
      <c r="G7382">
        <v>-279.68</v>
      </c>
      <c r="H7382">
        <v>-1.2473339999999999E-2</v>
      </c>
      <c r="I7382">
        <v>14.51529</v>
      </c>
      <c r="J7382">
        <v>-372.12639999999999</v>
      </c>
      <c r="K7382">
        <v>1.1210610000000001</v>
      </c>
      <c r="L7382">
        <v>17.449829999999999</v>
      </c>
      <c r="M7382">
        <v>0.99986830000000004</v>
      </c>
      <c r="N7382">
        <v>-1.387994E-2</v>
      </c>
      <c r="O7382">
        <v>-8.4199440000000004E-3</v>
      </c>
      <c r="P7382">
        <v>0.99942129999999996</v>
      </c>
      <c r="Q7382">
        <v>-3.3170440000000002E-2</v>
      </c>
      <c r="R7382">
        <v>-7.53023699999999E-3</v>
      </c>
      <c r="S7382">
        <v>2.9997250000000002</v>
      </c>
      <c r="T7382">
        <v>-3.6694650000000002E-2</v>
      </c>
      <c r="U7382">
        <v>-9.5062259999999996E-2</v>
      </c>
      <c r="V7382">
        <v>-8.9515860000000005E-4</v>
      </c>
      <c r="W7382">
        <v>-1.9294530000000001E-2</v>
      </c>
      <c r="X7382">
        <v>0.99981339999999996</v>
      </c>
      <c r="Y7382">
        <v>2.3253070000000001E-2</v>
      </c>
      <c r="Z7382">
        <v>-3.1750499999999999E-4</v>
      </c>
      <c r="AA7382">
        <v>0.9997296</v>
      </c>
      <c r="AB7382">
        <v>26</v>
      </c>
      <c r="AC7382">
        <v>92.446399999999898</v>
      </c>
      <c r="AD7382">
        <v>-1.13353434</v>
      </c>
      <c r="AE7382">
        <v>-2.9345399999999899</v>
      </c>
      <c r="AF7382">
        <v>2.15564375384053</v>
      </c>
      <c r="AG7382">
        <v>-1.13353434</v>
      </c>
      <c r="AH7382">
        <v>92.453947328463499</v>
      </c>
      <c r="AI7382">
        <v>90.702250556862197</v>
      </c>
      <c r="AJ7382">
        <v>88.664341339723705</v>
      </c>
      <c r="AK7382">
        <v>92.486020979971599</v>
      </c>
      <c r="AL7382">
        <v>91.105563787248499</v>
      </c>
      <c r="AM7382">
        <v>90.051298368345797</v>
      </c>
      <c r="AN7382">
        <v>0.99999995750819903</v>
      </c>
    </row>
    <row r="7383" spans="1:40" x14ac:dyDescent="0.25">
      <c r="A7383" t="str">
        <f>"20190303153953099"</f>
        <v>20190303153953099</v>
      </c>
      <c r="B7383" t="str">
        <f>"1551598793095547"</f>
        <v>1551598793095547</v>
      </c>
      <c r="C7383" t="s">
        <v>40</v>
      </c>
      <c r="D7383">
        <v>4.4544949999999996</v>
      </c>
      <c r="E7383">
        <v>0.50844420000000001</v>
      </c>
      <c r="F7383" t="s">
        <v>79</v>
      </c>
      <c r="G7383">
        <v>-279.68</v>
      </c>
      <c r="H7383">
        <v>-8.2905289999999996E-3</v>
      </c>
      <c r="I7383">
        <v>14.733829999999999</v>
      </c>
      <c r="J7383">
        <v>-371.87810000000002</v>
      </c>
      <c r="K7383">
        <v>1.12107</v>
      </c>
      <c r="L7383">
        <v>17.44745</v>
      </c>
      <c r="M7383">
        <v>0.99986609999999998</v>
      </c>
      <c r="N7383">
        <v>-1.388495E-2</v>
      </c>
      <c r="O7383">
        <v>-8.66255199999999E-3</v>
      </c>
      <c r="P7383">
        <v>0.99943439999999995</v>
      </c>
      <c r="Q7383">
        <v>-3.2990220000000001E-2</v>
      </c>
      <c r="R7383">
        <v>-6.5557559999999898E-3</v>
      </c>
      <c r="S7383">
        <v>2.999908</v>
      </c>
      <c r="T7383">
        <v>-3.6647680000000002E-2</v>
      </c>
      <c r="U7383">
        <v>-8.8134770000000001E-2</v>
      </c>
      <c r="V7383">
        <v>-2.1123029999999998E-3</v>
      </c>
      <c r="W7383">
        <v>-1.9108690000000001E-2</v>
      </c>
      <c r="X7383">
        <v>0.99981520000000002</v>
      </c>
      <c r="Y7383">
        <v>2.0702450000000001E-2</v>
      </c>
      <c r="Z7383">
        <v>-2.8466849999999997E-4</v>
      </c>
      <c r="AA7383">
        <v>0.9997857</v>
      </c>
      <c r="AB7383">
        <v>26</v>
      </c>
      <c r="AC7383">
        <v>92.198099999999997</v>
      </c>
      <c r="AD7383">
        <v>-1.1293605289999999</v>
      </c>
      <c r="AE7383">
        <v>-2.7136200000000001</v>
      </c>
      <c r="AF7383">
        <v>1.9144833383569999</v>
      </c>
      <c r="AG7383">
        <v>-1.1293605289999999</v>
      </c>
      <c r="AH7383">
        <v>92.204326328907896</v>
      </c>
      <c r="AI7383">
        <v>90.701598471239905</v>
      </c>
      <c r="AJ7383">
        <v>88.810510741238204</v>
      </c>
      <c r="AK7383">
        <v>92.231114573255894</v>
      </c>
      <c r="AL7383">
        <v>91.094913908291304</v>
      </c>
      <c r="AM7383">
        <v>90.121048236601894</v>
      </c>
      <c r="AN7383">
        <v>1.0000000190042599</v>
      </c>
    </row>
    <row r="7384" spans="1:40" x14ac:dyDescent="0.25">
      <c r="A7384" t="str">
        <f>"20190303153953221"</f>
        <v>20190303153953221</v>
      </c>
      <c r="B7384" t="str">
        <f>"1551598793215595"</f>
        <v>1551598793215595</v>
      </c>
      <c r="C7384" t="s">
        <v>40</v>
      </c>
      <c r="D7384">
        <v>3.001074</v>
      </c>
      <c r="E7384">
        <v>0.50844420000000001</v>
      </c>
      <c r="F7384" t="s">
        <v>79</v>
      </c>
      <c r="G7384">
        <v>-279.68</v>
      </c>
      <c r="H7384">
        <v>6.2090039999999999E-2</v>
      </c>
      <c r="I7384">
        <v>14.82324</v>
      </c>
      <c r="J7384">
        <v>-370.47140000000002</v>
      </c>
      <c r="K7384">
        <v>1.121132</v>
      </c>
      <c r="L7384">
        <v>17.432860000000002</v>
      </c>
      <c r="M7384">
        <v>0.99985360000000001</v>
      </c>
      <c r="N7384">
        <v>-1.3897949999999999E-2</v>
      </c>
      <c r="O7384">
        <v>-9.9976639999999999E-3</v>
      </c>
      <c r="P7384">
        <v>0.99940469999999904</v>
      </c>
      <c r="Q7384">
        <v>-3.3880550000000002E-2</v>
      </c>
      <c r="R7384">
        <v>-6.5175609999999998E-3</v>
      </c>
      <c r="S7384">
        <v>3</v>
      </c>
      <c r="T7384">
        <v>-3.4457679999999997E-2</v>
      </c>
      <c r="U7384">
        <v>-8.5388179999999994E-2</v>
      </c>
      <c r="V7384">
        <v>-3.4838479999999999E-3</v>
      </c>
      <c r="W7384">
        <v>-1.9985900000000001E-2</v>
      </c>
      <c r="X7384">
        <v>0.99979419999999997</v>
      </c>
      <c r="Y7384">
        <v>1.845254E-2</v>
      </c>
      <c r="Z7384">
        <v>-2.5834849999999999E-4</v>
      </c>
      <c r="AA7384">
        <v>0.99982969999999904</v>
      </c>
      <c r="AB7384">
        <v>26</v>
      </c>
      <c r="AC7384">
        <v>90.791399999999996</v>
      </c>
      <c r="AD7384">
        <v>-1.0590419600000001</v>
      </c>
      <c r="AE7384">
        <v>-2.6096200000000001</v>
      </c>
      <c r="AF7384">
        <v>1.7014687994778199</v>
      </c>
      <c r="AG7384">
        <v>-1.0590419600000001</v>
      </c>
      <c r="AH7384">
        <v>90.800609865964503</v>
      </c>
      <c r="AI7384">
        <v>90.668114835741207</v>
      </c>
      <c r="AJ7384">
        <v>88.926487680388504</v>
      </c>
      <c r="AK7384">
        <v>90.822724678241798</v>
      </c>
      <c r="AL7384">
        <v>91.145183957369596</v>
      </c>
      <c r="AM7384">
        <v>90.199650066954504</v>
      </c>
      <c r="AN7384">
        <v>1.00000000787466</v>
      </c>
    </row>
    <row r="7385" spans="1:40" x14ac:dyDescent="0.25">
      <c r="A7385" t="str">
        <f>"20190303153953248"</f>
        <v>20190303153953248</v>
      </c>
      <c r="B7385" t="str">
        <f>"1551598793236091"</f>
        <v>1551598793236091</v>
      </c>
      <c r="C7385" t="s">
        <v>40</v>
      </c>
      <c r="D7385">
        <v>4.6924070000000002</v>
      </c>
      <c r="E7385">
        <v>0.50844420000000001</v>
      </c>
      <c r="F7385" t="s">
        <v>79</v>
      </c>
      <c r="G7385">
        <v>-279.68</v>
      </c>
      <c r="H7385">
        <v>-6.2752959999999997E-3</v>
      </c>
      <c r="I7385">
        <v>14.84774</v>
      </c>
      <c r="J7385">
        <v>-370.15820000000002</v>
      </c>
      <c r="K7385">
        <v>1.1211580000000001</v>
      </c>
      <c r="L7385">
        <v>17.429410000000001</v>
      </c>
      <c r="M7385">
        <v>0.99985100000000005</v>
      </c>
      <c r="N7385">
        <v>-1.3898199999999999E-2</v>
      </c>
      <c r="O7385">
        <v>-1.025742E-2</v>
      </c>
      <c r="P7385">
        <v>0.99938039999999995</v>
      </c>
      <c r="Q7385">
        <v>-3.4311870000000001E-2</v>
      </c>
      <c r="R7385">
        <v>-7.8737709999999999E-3</v>
      </c>
      <c r="S7385">
        <v>2.9999690000000001</v>
      </c>
      <c r="T7385">
        <v>-3.7252189999999998E-2</v>
      </c>
      <c r="U7385">
        <v>-8.54187E-2</v>
      </c>
      <c r="V7385">
        <v>-2.3868489999999999E-3</v>
      </c>
      <c r="W7385">
        <v>-2.0417629999999999E-2</v>
      </c>
      <c r="X7385">
        <v>0.99978869999999997</v>
      </c>
      <c r="Y7385">
        <v>1.8202949999999999E-2</v>
      </c>
      <c r="Z7385">
        <v>-2.5473720000000001E-4</v>
      </c>
      <c r="AA7385">
        <v>0.99983429999999995</v>
      </c>
      <c r="AB7385">
        <v>26</v>
      </c>
      <c r="AC7385">
        <v>90.478200000000001</v>
      </c>
      <c r="AD7385">
        <v>-1.127433296</v>
      </c>
      <c r="AE7385">
        <v>-2.5816699999999999</v>
      </c>
      <c r="AF7385">
        <v>1.6531153210699701</v>
      </c>
      <c r="AG7385">
        <v>-1.127433296</v>
      </c>
      <c r="AH7385">
        <v>90.4858844504964</v>
      </c>
      <c r="AI7385">
        <v>90.713736198418403</v>
      </c>
      <c r="AJ7385">
        <v>88.953361666851194</v>
      </c>
      <c r="AK7385">
        <v>90.508006170118804</v>
      </c>
      <c r="AL7385">
        <v>91.169925310131603</v>
      </c>
      <c r="AM7385">
        <v>90.136785016897605</v>
      </c>
      <c r="AN7385">
        <v>1.00000001065532</v>
      </c>
    </row>
    <row r="7386" spans="1:40" x14ac:dyDescent="0.25">
      <c r="A7386" t="str">
        <f>"20190303153953261"</f>
        <v>20190303153953261</v>
      </c>
      <c r="B7386" t="str">
        <f>"1551598793255611"</f>
        <v>1551598793255611</v>
      </c>
      <c r="C7386" t="s">
        <v>40</v>
      </c>
      <c r="D7386">
        <v>4.6962289999999998</v>
      </c>
      <c r="E7386">
        <v>0.53969440000000002</v>
      </c>
      <c r="F7386" t="s">
        <v>79</v>
      </c>
      <c r="G7386">
        <v>-279.68</v>
      </c>
      <c r="H7386">
        <v>-4.091024E-2</v>
      </c>
      <c r="I7386">
        <v>14.73068</v>
      </c>
      <c r="J7386">
        <v>-370.0138</v>
      </c>
      <c r="K7386">
        <v>1.1211679999999999</v>
      </c>
      <c r="L7386">
        <v>17.42783</v>
      </c>
      <c r="M7386">
        <v>0.99984969999999995</v>
      </c>
      <c r="N7386">
        <v>-1.389811E-2</v>
      </c>
      <c r="O7386">
        <v>-1.0365640000000001E-2</v>
      </c>
      <c r="P7386">
        <v>0.99937730000000002</v>
      </c>
      <c r="Q7386">
        <v>-3.4209389999999999E-2</v>
      </c>
      <c r="R7386">
        <v>-8.6516800000000001E-3</v>
      </c>
      <c r="S7386">
        <v>2.9998469999999999</v>
      </c>
      <c r="T7386">
        <v>-3.8528800000000002E-2</v>
      </c>
      <c r="U7386">
        <v>-8.9477539999999994E-2</v>
      </c>
      <c r="V7386">
        <v>-1.7170379999999999E-3</v>
      </c>
      <c r="W7386">
        <v>-2.0315489999999999E-2</v>
      </c>
      <c r="X7386">
        <v>0.99979220000000002</v>
      </c>
      <c r="Y7386">
        <v>1.9447140000000002E-2</v>
      </c>
      <c r="Z7386">
        <v>-2.7099570000000003E-4</v>
      </c>
      <c r="AA7386">
        <v>0.99981089999999995</v>
      </c>
      <c r="AB7386">
        <v>26</v>
      </c>
      <c r="AC7386">
        <v>90.333799999999997</v>
      </c>
      <c r="AD7386">
        <v>-1.16207824</v>
      </c>
      <c r="AE7386">
        <v>-2.6971500000000002</v>
      </c>
      <c r="AF7386">
        <v>1.7602559397206801</v>
      </c>
      <c r="AG7386">
        <v>-1.16207824</v>
      </c>
      <c r="AH7386">
        <v>90.341968971326395</v>
      </c>
      <c r="AI7386">
        <v>90.736821153697306</v>
      </c>
      <c r="AJ7386">
        <v>88.883769333867804</v>
      </c>
      <c r="AK7386">
        <v>90.366588319053506</v>
      </c>
      <c r="AL7386">
        <v>91.164071853220804</v>
      </c>
      <c r="AM7386">
        <v>90.098399381334005</v>
      </c>
      <c r="AN7386">
        <v>1.00000005526713</v>
      </c>
    </row>
    <row r="7387" spans="1:40" x14ac:dyDescent="0.25">
      <c r="A7387" t="str">
        <f>"20190303153953279"</f>
        <v>20190303153953279</v>
      </c>
      <c r="B7387" t="str">
        <f>"1551598793276107"</f>
        <v>1551598793276107</v>
      </c>
      <c r="C7387" t="s">
        <v>40</v>
      </c>
      <c r="D7387">
        <v>4.4541320000000004</v>
      </c>
      <c r="E7387">
        <v>0.53752239999999996</v>
      </c>
      <c r="F7387" t="s">
        <v>42</v>
      </c>
      <c r="G7387">
        <v>-351.17160000000001</v>
      </c>
      <c r="H7387" s="1">
        <v>-4.5424839999999997E-6</v>
      </c>
      <c r="I7387">
        <v>15.25952</v>
      </c>
      <c r="J7387">
        <v>-369.81700000000001</v>
      </c>
      <c r="K7387">
        <v>1.1211799999999901</v>
      </c>
      <c r="L7387">
        <v>17.425629999999899</v>
      </c>
      <c r="M7387">
        <v>0.99984839999999997</v>
      </c>
      <c r="N7387">
        <v>-1.389785E-2</v>
      </c>
      <c r="O7387">
        <v>-1.050311E-2</v>
      </c>
      <c r="P7387">
        <v>0.99934619999999996</v>
      </c>
      <c r="Q7387">
        <v>-3.472418E-2</v>
      </c>
      <c r="R7387">
        <v>-1.007682E-2</v>
      </c>
      <c r="S7387">
        <v>2.9928279999999998</v>
      </c>
      <c r="T7387">
        <v>-0.17808260000000001</v>
      </c>
      <c r="U7387">
        <v>-0.3443909</v>
      </c>
      <c r="V7387">
        <v>-4.2840880000000002E-4</v>
      </c>
      <c r="W7387">
        <v>-2.0831209999999999E-2</v>
      </c>
      <c r="X7387">
        <v>0.99978290000000003</v>
      </c>
      <c r="Y7387">
        <v>0.1036632</v>
      </c>
      <c r="Z7387">
        <v>-3.3179949999999998E-3</v>
      </c>
      <c r="AA7387">
        <v>0.99460689999999996</v>
      </c>
      <c r="AB7387">
        <v>26</v>
      </c>
      <c r="AC7387">
        <v>18.645399999999899</v>
      </c>
      <c r="AD7387">
        <v>-1.1211845424839999</v>
      </c>
      <c r="AE7387">
        <v>-2.16610999999999</v>
      </c>
      <c r="AF7387">
        <v>1.96313304770774</v>
      </c>
      <c r="AG7387">
        <v>-1.1211845424839999</v>
      </c>
      <c r="AH7387">
        <v>18.6007624426002</v>
      </c>
      <c r="AI7387">
        <v>93.430395869946693</v>
      </c>
      <c r="AJ7387">
        <v>83.975280303401206</v>
      </c>
      <c r="AK7387">
        <v>18.7376441845648</v>
      </c>
      <c r="AL7387">
        <v>91.193626770616106</v>
      </c>
      <c r="AM7387">
        <v>90.0245513447408</v>
      </c>
      <c r="AN7387">
        <v>0.99999998498828602</v>
      </c>
    </row>
    <row r="7388" spans="1:40" x14ac:dyDescent="0.25">
      <c r="A7388" t="str">
        <f>"20190303153953291"</f>
        <v>20190303153953291</v>
      </c>
      <c r="B7388" t="str">
        <f>"1551598793285868"</f>
        <v>1551598793285868</v>
      </c>
      <c r="C7388" t="s">
        <v>40</v>
      </c>
      <c r="D7388">
        <v>4.4423550000000001</v>
      </c>
      <c r="E7388">
        <v>0.53689339999999997</v>
      </c>
      <c r="F7388" t="s">
        <v>42</v>
      </c>
      <c r="G7388">
        <v>-336.79469999999998</v>
      </c>
      <c r="H7388" s="1">
        <v>-2.6262610000000001E-6</v>
      </c>
      <c r="I7388">
        <v>13.79304</v>
      </c>
      <c r="J7388">
        <v>-369.6696</v>
      </c>
      <c r="K7388">
        <v>1.121192</v>
      </c>
      <c r="L7388">
        <v>17.423950000000001</v>
      </c>
      <c r="M7388">
        <v>0.99984740000000005</v>
      </c>
      <c r="N7388">
        <v>-1.389755E-2</v>
      </c>
      <c r="O7388">
        <v>-1.05977E-2</v>
      </c>
      <c r="P7388">
        <v>0.99933620000000001</v>
      </c>
      <c r="Q7388">
        <v>-3.479645E-2</v>
      </c>
      <c r="R7388">
        <v>-1.0803999999999999E-2</v>
      </c>
      <c r="S7388">
        <v>2.995117</v>
      </c>
      <c r="T7388">
        <v>-0.1016908</v>
      </c>
      <c r="U7388">
        <v>-0.32946779999999998</v>
      </c>
      <c r="V7388">
        <v>2.0485450000000001E-4</v>
      </c>
      <c r="W7388">
        <v>-2.0904030000000001E-2</v>
      </c>
      <c r="X7388">
        <v>0.99978149999999999</v>
      </c>
      <c r="Y7388">
        <v>9.8723430000000001E-2</v>
      </c>
      <c r="Z7388">
        <v>-2.1470719999999999E-3</v>
      </c>
      <c r="AA7388">
        <v>0.99511260000000001</v>
      </c>
      <c r="AB7388">
        <v>26</v>
      </c>
      <c r="AC7388">
        <v>32.874899999999997</v>
      </c>
      <c r="AD7388">
        <v>-1.121194626261</v>
      </c>
      <c r="AE7388">
        <v>-3.6309100000000001</v>
      </c>
      <c r="AF7388">
        <v>3.2785067133638499</v>
      </c>
      <c r="AG7388">
        <v>-1.121194626261</v>
      </c>
      <c r="AH7388">
        <v>32.873760408229998</v>
      </c>
      <c r="AI7388">
        <v>91.943741472472794</v>
      </c>
      <c r="AJ7388">
        <v>84.304712596225798</v>
      </c>
      <c r="AK7388">
        <v>33.055858891234998</v>
      </c>
      <c r="AL7388">
        <v>91.197799899244501</v>
      </c>
      <c r="AM7388">
        <v>89.988260136739797</v>
      </c>
      <c r="AN7388">
        <v>1.0000000340889199</v>
      </c>
    </row>
    <row r="7389" spans="1:40" x14ac:dyDescent="0.25">
      <c r="A7389" t="str">
        <f>"20190303153953304"</f>
        <v>20190303153953304</v>
      </c>
      <c r="B7389" t="str">
        <f>"1551598793295627"</f>
        <v>1551598793295627</v>
      </c>
      <c r="C7389" t="s">
        <v>40</v>
      </c>
      <c r="D7389">
        <v>4.4846059999999897</v>
      </c>
      <c r="E7389">
        <v>0.53501049999999895</v>
      </c>
      <c r="F7389" t="s">
        <v>42</v>
      </c>
      <c r="G7389">
        <v>-327.85039999999998</v>
      </c>
      <c r="H7389" s="1">
        <v>-2.6045359999999999E-6</v>
      </c>
      <c r="I7389">
        <v>12.870620000000001</v>
      </c>
      <c r="J7389">
        <v>-369.52179999999998</v>
      </c>
      <c r="K7389">
        <v>1.1212040000000001</v>
      </c>
      <c r="L7389">
        <v>17.422239999999999</v>
      </c>
      <c r="M7389">
        <v>0.99984640000000002</v>
      </c>
      <c r="N7389">
        <v>-1.3897120000000001E-2</v>
      </c>
      <c r="O7389">
        <v>-1.068035E-2</v>
      </c>
      <c r="P7389">
        <v>0.99933360000000004</v>
      </c>
      <c r="Q7389">
        <v>-3.4665139999999997E-2</v>
      </c>
      <c r="R7389">
        <v>-1.1437889999999999E-2</v>
      </c>
      <c r="S7389">
        <v>2.9956670000000001</v>
      </c>
      <c r="T7389">
        <v>-8.0315349999999994E-2</v>
      </c>
      <c r="U7389">
        <v>-0.32617190000000001</v>
      </c>
      <c r="V7389">
        <v>7.5663019999999996E-4</v>
      </c>
      <c r="W7389">
        <v>-2.077325E-2</v>
      </c>
      <c r="X7389">
        <v>0.99978389999999995</v>
      </c>
      <c r="Y7389">
        <v>9.7564799999999993E-2</v>
      </c>
      <c r="Z7389">
        <v>-1.8465459999999999E-3</v>
      </c>
      <c r="AA7389">
        <v>0.99522750000000004</v>
      </c>
      <c r="AB7389">
        <v>26</v>
      </c>
      <c r="AC7389">
        <v>41.671399999999998</v>
      </c>
      <c r="AD7389">
        <v>-1.1212066045360001</v>
      </c>
      <c r="AE7389">
        <v>-4.5516199999999998</v>
      </c>
      <c r="AF7389">
        <v>4.1033167428401098</v>
      </c>
      <c r="AG7389">
        <v>-1.1212066045360001</v>
      </c>
      <c r="AH7389">
        <v>41.687817179487503</v>
      </c>
      <c r="AI7389">
        <v>91.533210420907196</v>
      </c>
      <c r="AJ7389">
        <v>84.378504931140796</v>
      </c>
      <c r="AK7389">
        <v>41.904276795244897</v>
      </c>
      <c r="AL7389">
        <v>91.190305202043305</v>
      </c>
      <c r="AM7389">
        <v>89.956638920835005</v>
      </c>
      <c r="AN7389">
        <v>0.99999997355201498</v>
      </c>
    </row>
    <row r="7390" spans="1:40" x14ac:dyDescent="0.25">
      <c r="A7390" t="str">
        <f>"20190303153953316"</f>
        <v>20190303153953316</v>
      </c>
      <c r="B7390" t="str">
        <f>"1551598793305389"</f>
        <v>1551598793305389</v>
      </c>
      <c r="C7390" t="s">
        <v>40</v>
      </c>
      <c r="D7390">
        <v>4.4997040000000004</v>
      </c>
      <c r="E7390">
        <v>0.53364650000000002</v>
      </c>
      <c r="F7390" t="s">
        <v>42</v>
      </c>
      <c r="G7390">
        <v>-323.25880000000001</v>
      </c>
      <c r="H7390" s="1">
        <v>-4.4422200000000001E-6</v>
      </c>
      <c r="I7390">
        <v>12.590999999999999</v>
      </c>
      <c r="J7390">
        <v>-369.3886</v>
      </c>
      <c r="K7390">
        <v>1.121216</v>
      </c>
      <c r="L7390">
        <v>17.420780000000001</v>
      </c>
      <c r="M7390">
        <v>0.99984569999999995</v>
      </c>
      <c r="N7390">
        <v>-1.389666E-2</v>
      </c>
      <c r="O7390">
        <v>-1.074751E-2</v>
      </c>
      <c r="P7390">
        <v>0.99933709999999998</v>
      </c>
      <c r="Q7390">
        <v>-3.438683E-2</v>
      </c>
      <c r="R7390">
        <v>-1.1966890000000001E-2</v>
      </c>
      <c r="S7390">
        <v>2.9959410000000002</v>
      </c>
      <c r="T7390">
        <v>-7.2608229999999996E-2</v>
      </c>
      <c r="U7390">
        <v>-0.31286619999999998</v>
      </c>
      <c r="V7390">
        <v>1.2190619999999999E-3</v>
      </c>
      <c r="W7390">
        <v>-2.0495409999999999E-2</v>
      </c>
      <c r="X7390">
        <v>0.99978920000000004</v>
      </c>
      <c r="Y7390">
        <v>9.3126650000000005E-2</v>
      </c>
      <c r="Z7390">
        <v>-1.6635549999999999E-3</v>
      </c>
      <c r="AA7390">
        <v>0.99565289999999995</v>
      </c>
      <c r="AB7390">
        <v>26</v>
      </c>
      <c r="AC7390">
        <v>46.129799999999904</v>
      </c>
      <c r="AD7390">
        <v>-1.1212204422200001</v>
      </c>
      <c r="AE7390">
        <v>-4.8297800000000004</v>
      </c>
      <c r="AF7390">
        <v>4.3311416768268503</v>
      </c>
      <c r="AG7390">
        <v>-1.1212204422200001</v>
      </c>
      <c r="AH7390">
        <v>46.152078677610199</v>
      </c>
      <c r="AI7390">
        <v>91.385586623530202</v>
      </c>
      <c r="AJ7390">
        <v>84.6387795091768</v>
      </c>
      <c r="AK7390">
        <v>46.368419099308497</v>
      </c>
      <c r="AL7390">
        <v>91.174382725545598</v>
      </c>
      <c r="AM7390">
        <v>89.930138200182597</v>
      </c>
      <c r="AN7390">
        <v>0.99999999618993396</v>
      </c>
    </row>
    <row r="7391" spans="1:40" x14ac:dyDescent="0.25">
      <c r="A7391" t="str">
        <f>"20190303153953327"</f>
        <v>20190303153953327</v>
      </c>
      <c r="B7391" t="str">
        <f>"1551598793316123"</f>
        <v>1551598793316123</v>
      </c>
      <c r="C7391" t="s">
        <v>40</v>
      </c>
      <c r="D7391">
        <v>4.5062920000000002</v>
      </c>
      <c r="E7391">
        <v>0.53263939999999999</v>
      </c>
      <c r="F7391" t="s">
        <v>43</v>
      </c>
      <c r="G7391">
        <v>-315.02449999999999</v>
      </c>
      <c r="H7391">
        <v>-0.05</v>
      </c>
      <c r="I7391">
        <v>11.914870000000001</v>
      </c>
      <c r="J7391">
        <v>-369.25150000000002</v>
      </c>
      <c r="K7391">
        <v>1.121229</v>
      </c>
      <c r="L7391">
        <v>17.419219999999999</v>
      </c>
      <c r="M7391">
        <v>0.99984499999999998</v>
      </c>
      <c r="N7391">
        <v>-1.389612E-2</v>
      </c>
      <c r="O7391">
        <v>-1.0810139999999999E-2</v>
      </c>
      <c r="P7391">
        <v>0.99934920000000005</v>
      </c>
      <c r="Q7391">
        <v>-3.3900609999999998E-2</v>
      </c>
      <c r="R7391">
        <v>-1.233833E-2</v>
      </c>
      <c r="S7391">
        <v>2.9960629999999999</v>
      </c>
      <c r="T7391">
        <v>-6.4546939999999997E-2</v>
      </c>
      <c r="U7391">
        <v>-0.30343629999999999</v>
      </c>
      <c r="V7391">
        <v>1.5283569999999999E-3</v>
      </c>
      <c r="W7391">
        <v>-2.0009599999999999E-2</v>
      </c>
      <c r="X7391">
        <v>0.99979859999999998</v>
      </c>
      <c r="Y7391">
        <v>8.9967030000000003E-2</v>
      </c>
      <c r="Z7391">
        <v>-1.511E-3</v>
      </c>
      <c r="AA7391">
        <v>0.99594360000000004</v>
      </c>
      <c r="AB7391">
        <v>26</v>
      </c>
      <c r="AC7391">
        <v>54.226999999999997</v>
      </c>
      <c r="AD7391">
        <v>-1.1712290000000001</v>
      </c>
      <c r="AE7391">
        <v>-5.5043499999999996</v>
      </c>
      <c r="AF7391">
        <v>4.9155005393077502</v>
      </c>
      <c r="AG7391">
        <v>-1.1712290000000001</v>
      </c>
      <c r="AH7391">
        <v>54.258285972630397</v>
      </c>
      <c r="AI7391">
        <v>91.231562780707407</v>
      </c>
      <c r="AJ7391">
        <v>84.823450418568996</v>
      </c>
      <c r="AK7391">
        <v>54.493077721946598</v>
      </c>
      <c r="AL7391">
        <v>91.146542170596106</v>
      </c>
      <c r="AM7391">
        <v>89.912414022705207</v>
      </c>
      <c r="AN7391">
        <v>0.999999980264619</v>
      </c>
    </row>
    <row r="7392" spans="1:40" x14ac:dyDescent="0.25">
      <c r="A7392" t="str">
        <f>"20190303153953345"</f>
        <v>20190303153953345</v>
      </c>
      <c r="B7392" t="str">
        <f>"1551598793335643"</f>
        <v>1551598793335643</v>
      </c>
      <c r="C7392" t="s">
        <v>40</v>
      </c>
      <c r="D7392">
        <v>4.4993400000000001</v>
      </c>
      <c r="E7392">
        <v>0.53101869999999995</v>
      </c>
      <c r="F7392" t="s">
        <v>43</v>
      </c>
      <c r="G7392">
        <v>-307.73590000000002</v>
      </c>
      <c r="H7392">
        <v>-0.05</v>
      </c>
      <c r="I7392">
        <v>11.333819999999999</v>
      </c>
      <c r="J7392">
        <v>-369.05279999999999</v>
      </c>
      <c r="K7392">
        <v>1.121254</v>
      </c>
      <c r="L7392">
        <v>17.41696</v>
      </c>
      <c r="M7392">
        <v>0.99984430000000002</v>
      </c>
      <c r="N7392">
        <v>-1.389517E-2</v>
      </c>
      <c r="O7392">
        <v>-1.0878840000000001E-2</v>
      </c>
      <c r="P7392">
        <v>0.99935949999999996</v>
      </c>
      <c r="Q7392">
        <v>-3.3476520000000003E-2</v>
      </c>
      <c r="R7392">
        <v>-1.265289E-2</v>
      </c>
      <c r="S7392">
        <v>2.9963989999999998</v>
      </c>
      <c r="T7392">
        <v>-5.7049990000000002E-2</v>
      </c>
      <c r="U7392">
        <v>-0.29641719999999999</v>
      </c>
      <c r="V7392">
        <v>1.77526299999999E-3</v>
      </c>
      <c r="W7392">
        <v>-1.9586280000000001E-2</v>
      </c>
      <c r="X7392">
        <v>0.99980659999999999</v>
      </c>
      <c r="Y7392">
        <v>8.7583939999999999E-2</v>
      </c>
      <c r="Z7392">
        <v>-1.3860229999999999E-3</v>
      </c>
      <c r="AA7392">
        <v>0.99615620000000005</v>
      </c>
      <c r="AB7392">
        <v>26</v>
      </c>
      <c r="AC7392">
        <v>61.316899999999897</v>
      </c>
      <c r="AD7392">
        <v>-1.171254</v>
      </c>
      <c r="AE7392">
        <v>-6.0831400000000002</v>
      </c>
      <c r="AF7392">
        <v>5.4137027568519596</v>
      </c>
      <c r="AG7392">
        <v>-1.171254</v>
      </c>
      <c r="AH7392">
        <v>61.357285262235898</v>
      </c>
      <c r="AI7392">
        <v>91.089359714963095</v>
      </c>
      <c r="AJ7392">
        <v>84.957711412913895</v>
      </c>
      <c r="AK7392">
        <v>61.606789140673897</v>
      </c>
      <c r="AL7392">
        <v>91.122282937278399</v>
      </c>
      <c r="AM7392">
        <v>89.898265353988506</v>
      </c>
      <c r="AN7392">
        <v>1.0000000056632501</v>
      </c>
    </row>
    <row r="7393" spans="1:40" x14ac:dyDescent="0.25">
      <c r="A7393" t="str">
        <f>"20190303153953357"</f>
        <v>20190303153953357</v>
      </c>
      <c r="B7393" t="str">
        <f>"1551598793345404"</f>
        <v>1551598793345404</v>
      </c>
      <c r="C7393" t="s">
        <v>40</v>
      </c>
      <c r="D7393">
        <v>4.5930460000000002</v>
      </c>
      <c r="E7393">
        <v>0.5296594</v>
      </c>
      <c r="F7393" t="s">
        <v>43</v>
      </c>
      <c r="G7393">
        <v>-294.57589999999999</v>
      </c>
      <c r="H7393">
        <v>-0.05</v>
      </c>
      <c r="I7393">
        <v>10.35432</v>
      </c>
      <c r="J7393">
        <v>-368.91849999999999</v>
      </c>
      <c r="K7393">
        <v>1.1212679999999999</v>
      </c>
      <c r="L7393">
        <v>17.415469999999999</v>
      </c>
      <c r="M7393">
        <v>0.99984399999999996</v>
      </c>
      <c r="N7393">
        <v>-1.3894460000000001E-2</v>
      </c>
      <c r="O7393">
        <v>-1.0912470000000001E-2</v>
      </c>
      <c r="P7393">
        <v>0.99937719999999997</v>
      </c>
      <c r="Q7393">
        <v>-3.308088E-2</v>
      </c>
      <c r="R7393">
        <v>-1.2291420000000001E-2</v>
      </c>
      <c r="S7393">
        <v>2.9967350000000001</v>
      </c>
      <c r="T7393">
        <v>-4.7127839999999997E-2</v>
      </c>
      <c r="U7393">
        <v>-0.28417969999999998</v>
      </c>
      <c r="V7393">
        <v>1.3805899999999999E-3</v>
      </c>
      <c r="W7393">
        <v>-1.9191079999999999E-2</v>
      </c>
      <c r="X7393">
        <v>0.99981489999999995</v>
      </c>
      <c r="Y7393">
        <v>8.3516519999999997E-2</v>
      </c>
      <c r="Z7393">
        <v>-1.2169170000000001E-3</v>
      </c>
      <c r="AA7393">
        <v>0.99650570000000005</v>
      </c>
      <c r="AB7393">
        <v>26</v>
      </c>
      <c r="AC7393">
        <v>74.342600000000004</v>
      </c>
      <c r="AD7393">
        <v>-1.171268</v>
      </c>
      <c r="AE7393">
        <v>-7.0611499999999996</v>
      </c>
      <c r="AF7393">
        <v>6.2478528539426996</v>
      </c>
      <c r="AG7393">
        <v>-1.171268</v>
      </c>
      <c r="AH7393">
        <v>74.396932890093794</v>
      </c>
      <c r="AI7393">
        <v>90.898798145243305</v>
      </c>
      <c r="AJ7393">
        <v>85.199565739460596</v>
      </c>
      <c r="AK7393">
        <v>74.668006250772905</v>
      </c>
      <c r="AL7393">
        <v>91.0996353733711</v>
      </c>
      <c r="AM7393">
        <v>89.920883425559495</v>
      </c>
      <c r="AN7393">
        <v>1.00000001892116</v>
      </c>
    </row>
    <row r="7394" spans="1:40" x14ac:dyDescent="0.25">
      <c r="A7394" t="str">
        <f>"20190303153953367"</f>
        <v>20190303153953367</v>
      </c>
      <c r="B7394" t="str">
        <f>"1551598793365899"</f>
        <v>1551598793365899</v>
      </c>
      <c r="C7394" t="s">
        <v>40</v>
      </c>
      <c r="D7394">
        <v>4.5281650000000004</v>
      </c>
      <c r="E7394">
        <v>0.5281458</v>
      </c>
      <c r="F7394" t="s">
        <v>43</v>
      </c>
      <c r="G7394">
        <v>-292.01949999999999</v>
      </c>
      <c r="H7394">
        <v>-0.05</v>
      </c>
      <c r="I7394">
        <v>10.4299</v>
      </c>
      <c r="J7394">
        <v>-368.79050000000001</v>
      </c>
      <c r="K7394">
        <v>1.121281</v>
      </c>
      <c r="L7394">
        <v>17.41403</v>
      </c>
      <c r="M7394">
        <v>0.9998437</v>
      </c>
      <c r="N7394">
        <v>-1.389376E-2</v>
      </c>
      <c r="O7394">
        <v>-1.093907E-2</v>
      </c>
      <c r="P7394">
        <v>0.99938459999999996</v>
      </c>
      <c r="Q7394">
        <v>-3.3026199999999901E-2</v>
      </c>
      <c r="R7394">
        <v>-1.181281E-2</v>
      </c>
      <c r="S7394">
        <v>2.9969790000000001</v>
      </c>
      <c r="T7394">
        <v>-4.5647739999999999E-2</v>
      </c>
      <c r="U7394">
        <v>-0.27224730000000003</v>
      </c>
      <c r="V7394">
        <v>8.7603249999999996E-4</v>
      </c>
      <c r="W7394">
        <v>-1.9136960000000001E-2</v>
      </c>
      <c r="X7394">
        <v>0.9998165</v>
      </c>
      <c r="Y7394">
        <v>7.9549850000000005E-2</v>
      </c>
      <c r="Z7394">
        <v>-1.143848E-3</v>
      </c>
      <c r="AA7394">
        <v>0.9968302</v>
      </c>
      <c r="AB7394">
        <v>25</v>
      </c>
      <c r="AC7394">
        <v>76.771000000000001</v>
      </c>
      <c r="AD7394">
        <v>-1.171281</v>
      </c>
      <c r="AE7394">
        <v>-6.9841300000000004</v>
      </c>
      <c r="AF7394">
        <v>6.1424096407281903</v>
      </c>
      <c r="AG7394">
        <v>-1.171281</v>
      </c>
      <c r="AH7394">
        <v>76.825077078758198</v>
      </c>
      <c r="AI7394">
        <v>90.870690077759605</v>
      </c>
      <c r="AJ7394">
        <v>85.428743964422793</v>
      </c>
      <c r="AK7394">
        <v>77.079138315971093</v>
      </c>
      <c r="AL7394">
        <v>91.096533963679093</v>
      </c>
      <c r="AM7394">
        <v>89.949797835781197</v>
      </c>
      <c r="AN7394">
        <v>1.0000000121716099</v>
      </c>
    </row>
    <row r="7395" spans="1:40" x14ac:dyDescent="0.25">
      <c r="A7395" t="str">
        <f>"20190303153953379"</f>
        <v>20190303153953379</v>
      </c>
      <c r="B7395" t="str">
        <f>"1551598793375660"</f>
        <v>1551598793375660</v>
      </c>
      <c r="C7395" t="s">
        <v>40</v>
      </c>
      <c r="D7395">
        <v>4.5852510000000004</v>
      </c>
      <c r="E7395">
        <v>0.52721229999999997</v>
      </c>
      <c r="F7395" t="s">
        <v>43</v>
      </c>
      <c r="G7395">
        <v>-282.44529999999997</v>
      </c>
      <c r="H7395">
        <v>-0.05</v>
      </c>
      <c r="I7395">
        <v>9.963654</v>
      </c>
      <c r="J7395">
        <v>-368.666</v>
      </c>
      <c r="K7395">
        <v>1.121292</v>
      </c>
      <c r="L7395">
        <v>17.41263</v>
      </c>
      <c r="M7395">
        <v>0.9998435</v>
      </c>
      <c r="N7395">
        <v>-1.3893030000000001E-2</v>
      </c>
      <c r="O7395">
        <v>-1.095293E-2</v>
      </c>
      <c r="P7395">
        <v>0.9993879</v>
      </c>
      <c r="Q7395">
        <v>-3.3021410000000001E-2</v>
      </c>
      <c r="R7395">
        <v>-1.1552440000000001E-2</v>
      </c>
      <c r="S7395">
        <v>2.9974370000000001</v>
      </c>
      <c r="T7395">
        <v>-4.0660500000000002E-2</v>
      </c>
      <c r="U7395">
        <v>-0.25863649999999999</v>
      </c>
      <c r="V7395">
        <v>6.022124E-4</v>
      </c>
      <c r="W7395">
        <v>-1.913285E-2</v>
      </c>
      <c r="X7395">
        <v>0.99981679999999995</v>
      </c>
      <c r="Y7395">
        <v>7.5033959999999997E-2</v>
      </c>
      <c r="Z7395">
        <v>-1.0338579999999999E-3</v>
      </c>
      <c r="AA7395">
        <v>0.99718050000000003</v>
      </c>
      <c r="AB7395">
        <v>25</v>
      </c>
      <c r="AC7395">
        <v>86.220699999999994</v>
      </c>
      <c r="AD7395">
        <v>-1.171292</v>
      </c>
      <c r="AE7395">
        <v>-7.4489759999999903</v>
      </c>
      <c r="AF7395">
        <v>6.5028774490118399</v>
      </c>
      <c r="AG7395">
        <v>-1.171292</v>
      </c>
      <c r="AH7395">
        <v>86.281318028100202</v>
      </c>
      <c r="AI7395">
        <v>90.775558431716405</v>
      </c>
      <c r="AJ7395">
        <v>85.689862463802498</v>
      </c>
      <c r="AK7395">
        <v>86.533953918287494</v>
      </c>
      <c r="AL7395">
        <v>91.096298414167606</v>
      </c>
      <c r="AM7395">
        <v>89.965489452949896</v>
      </c>
      <c r="AN7395">
        <v>1.0000000310855599</v>
      </c>
    </row>
    <row r="7396" spans="1:40" x14ac:dyDescent="0.25">
      <c r="A7396" t="str">
        <f>"20190303153953391"</f>
        <v>20190303153953391</v>
      </c>
      <c r="B7396" t="str">
        <f>"1551598793385420"</f>
        <v>1551598793385420</v>
      </c>
      <c r="C7396" t="s">
        <v>40</v>
      </c>
      <c r="D7396">
        <v>4.5889389999999999</v>
      </c>
      <c r="E7396">
        <v>0.52632639999999997</v>
      </c>
      <c r="F7396" t="s">
        <v>43</v>
      </c>
      <c r="G7396">
        <v>-285.05239999999998</v>
      </c>
      <c r="H7396">
        <v>-0.05</v>
      </c>
      <c r="I7396">
        <v>10.427149999999999</v>
      </c>
      <c r="J7396">
        <v>-368.5317</v>
      </c>
      <c r="K7396">
        <v>1.1213029999999999</v>
      </c>
      <c r="L7396">
        <v>17.41113</v>
      </c>
      <c r="M7396">
        <v>0.99984340000000005</v>
      </c>
      <c r="N7396">
        <v>-1.389224E-2</v>
      </c>
      <c r="O7396">
        <v>-1.096512E-2</v>
      </c>
      <c r="P7396">
        <v>0.9993706</v>
      </c>
      <c r="Q7396">
        <v>-3.3711440000000002E-2</v>
      </c>
      <c r="R7396">
        <v>-1.105537E-2</v>
      </c>
      <c r="S7396">
        <v>2.997528</v>
      </c>
      <c r="T7396">
        <v>-4.1990520000000003E-2</v>
      </c>
      <c r="U7396">
        <v>-0.25042720000000002</v>
      </c>
      <c r="V7396" s="1">
        <v>9.3744760000000001E-5</v>
      </c>
      <c r="W7396">
        <v>-1.982385E-2</v>
      </c>
      <c r="X7396">
        <v>0.99980349999999996</v>
      </c>
      <c r="Y7396">
        <v>7.2307360000000001E-2</v>
      </c>
      <c r="Z7396">
        <v>-1.007534E-3</v>
      </c>
      <c r="AA7396">
        <v>0.99738190000000004</v>
      </c>
      <c r="AB7396">
        <v>25</v>
      </c>
      <c r="AC7396">
        <v>83.479299999999995</v>
      </c>
      <c r="AD7396">
        <v>-1.171303</v>
      </c>
      <c r="AE7396">
        <v>-6.9839799999999999</v>
      </c>
      <c r="AF7396">
        <v>6.0669250929726202</v>
      </c>
      <c r="AG7396">
        <v>-1.171303</v>
      </c>
      <c r="AH7396">
        <v>83.534536738164505</v>
      </c>
      <c r="AI7396">
        <v>90.801226146778205</v>
      </c>
      <c r="AJ7396">
        <v>85.846030221464602</v>
      </c>
      <c r="AK7396">
        <v>83.762750425599705</v>
      </c>
      <c r="AL7396">
        <v>91.135897327007299</v>
      </c>
      <c r="AM7396">
        <v>89.994627765272099</v>
      </c>
      <c r="AN7396">
        <v>1.0000000162145699</v>
      </c>
    </row>
    <row r="7397" spans="1:40" x14ac:dyDescent="0.25">
      <c r="A7397" t="str">
        <f>"20190303153953402"</f>
        <v>20190303153953402</v>
      </c>
      <c r="B7397" t="str">
        <f>"1551598793396156"</f>
        <v>1551598793396156</v>
      </c>
      <c r="C7397" t="s">
        <v>40</v>
      </c>
      <c r="D7397">
        <v>4.5381</v>
      </c>
      <c r="E7397">
        <v>0.52572010000000002</v>
      </c>
      <c r="F7397" t="s">
        <v>43</v>
      </c>
      <c r="G7397">
        <v>-290.9289</v>
      </c>
      <c r="H7397">
        <v>-0.05</v>
      </c>
      <c r="I7397">
        <v>11.149430000000001</v>
      </c>
      <c r="J7397">
        <v>-368.39400000000001</v>
      </c>
      <c r="K7397">
        <v>1.12131</v>
      </c>
      <c r="L7397">
        <v>17.409610000000001</v>
      </c>
      <c r="M7397">
        <v>0.99984340000000005</v>
      </c>
      <c r="N7397">
        <v>-1.389142E-2</v>
      </c>
      <c r="O7397">
        <v>-1.0968759999999999E-2</v>
      </c>
      <c r="P7397">
        <v>0.99935379999999996</v>
      </c>
      <c r="Q7397">
        <v>-3.424907E-2</v>
      </c>
      <c r="R7397">
        <v>-1.0916250000000001E-2</v>
      </c>
      <c r="S7397">
        <v>2.9977109999999998</v>
      </c>
      <c r="T7397">
        <v>-4.5246120000000001E-2</v>
      </c>
      <c r="U7397">
        <v>-0.24188229999999999</v>
      </c>
      <c r="V7397" s="1">
        <v>-4.8397920000000001E-5</v>
      </c>
      <c r="W7397">
        <v>-2.0362499999999999E-2</v>
      </c>
      <c r="X7397">
        <v>0.99979260000000003</v>
      </c>
      <c r="Y7397">
        <v>6.9473359999999998E-2</v>
      </c>
      <c r="Z7397">
        <v>-9.9371149999999994E-4</v>
      </c>
      <c r="AA7397">
        <v>0.99758329999999995</v>
      </c>
      <c r="AB7397">
        <v>25</v>
      </c>
      <c r="AC7397">
        <v>77.465100000000007</v>
      </c>
      <c r="AD7397">
        <v>-1.1713100000000001</v>
      </c>
      <c r="AE7397">
        <v>-6.2601800000000001</v>
      </c>
      <c r="AF7397">
        <v>5.4087966994086596</v>
      </c>
      <c r="AG7397">
        <v>-1.1713100000000001</v>
      </c>
      <c r="AH7397">
        <v>77.511505534990306</v>
      </c>
      <c r="AI7397">
        <v>90.863655656218299</v>
      </c>
      <c r="AJ7397">
        <v>86.008338607712602</v>
      </c>
      <c r="AK7397">
        <v>77.708818927792606</v>
      </c>
      <c r="AL7397">
        <v>91.166766021347897</v>
      </c>
      <c r="AM7397">
        <v>90.002773571789803</v>
      </c>
      <c r="AN7397">
        <v>0.999999938381682</v>
      </c>
    </row>
    <row r="7398" spans="1:40" x14ac:dyDescent="0.25">
      <c r="A7398" t="str">
        <f>"20190303153953414"</f>
        <v>20190303153953414</v>
      </c>
      <c r="B7398" t="str">
        <f>"1551598793405915"</f>
        <v>1551598793405915</v>
      </c>
      <c r="C7398" t="s">
        <v>40</v>
      </c>
      <c r="D7398">
        <v>4.5626379999999997</v>
      </c>
      <c r="E7398">
        <v>0.52506430000000004</v>
      </c>
      <c r="F7398" t="s">
        <v>43</v>
      </c>
      <c r="G7398">
        <v>-294.97949999999997</v>
      </c>
      <c r="H7398">
        <v>-0.05</v>
      </c>
      <c r="I7398">
        <v>11.61279</v>
      </c>
      <c r="J7398">
        <v>-368.25920000000002</v>
      </c>
      <c r="K7398">
        <v>1.1213139999999999</v>
      </c>
      <c r="L7398">
        <v>17.408110000000001</v>
      </c>
      <c r="M7398">
        <v>0.99984340000000005</v>
      </c>
      <c r="N7398">
        <v>-1.389056E-2</v>
      </c>
      <c r="O7398">
        <v>-1.096861E-2</v>
      </c>
      <c r="P7398">
        <v>0.99932849999999995</v>
      </c>
      <c r="Q7398">
        <v>-3.5072039999999999E-2</v>
      </c>
      <c r="R7398">
        <v>-1.062245E-2</v>
      </c>
      <c r="S7398">
        <v>2.9976500000000001</v>
      </c>
      <c r="T7398">
        <v>-4.7826769999999998E-2</v>
      </c>
      <c r="U7398">
        <v>-0.2366943</v>
      </c>
      <c r="V7398">
        <v>-3.4116389999999999E-4</v>
      </c>
      <c r="W7398">
        <v>-2.1186630000000001E-2</v>
      </c>
      <c r="X7398">
        <v>0.99977550000000004</v>
      </c>
      <c r="Y7398">
        <v>6.7758529999999997E-2</v>
      </c>
      <c r="Z7398">
        <v>-9.8852440000000009E-4</v>
      </c>
      <c r="AA7398">
        <v>0.99770130000000001</v>
      </c>
      <c r="AB7398">
        <v>25</v>
      </c>
      <c r="AC7398">
        <v>73.279700000000005</v>
      </c>
      <c r="AD7398">
        <v>-1.171314</v>
      </c>
      <c r="AE7398">
        <v>-5.7953200000000002</v>
      </c>
      <c r="AF7398">
        <v>4.9898503833005403</v>
      </c>
      <c r="AG7398">
        <v>-1.171314</v>
      </c>
      <c r="AH7398">
        <v>73.320247209576905</v>
      </c>
      <c r="AI7398">
        <v>90.913128433852904</v>
      </c>
      <c r="AJ7398">
        <v>86.106706984118901</v>
      </c>
      <c r="AK7398">
        <v>73.499178459407204</v>
      </c>
      <c r="AL7398">
        <v>91.213995290002799</v>
      </c>
      <c r="AM7398">
        <v>90.019551640176701</v>
      </c>
      <c r="AN7398">
        <v>1.0000000200418999</v>
      </c>
    </row>
    <row r="7399" spans="1:40" x14ac:dyDescent="0.25">
      <c r="A7399" t="str">
        <f>"20190303153953426"</f>
        <v>20190303153953426</v>
      </c>
      <c r="B7399" t="str">
        <f>"1551598793415676"</f>
        <v>1551598793415676</v>
      </c>
      <c r="C7399" t="s">
        <v>40</v>
      </c>
      <c r="D7399">
        <v>4.5374489999999996</v>
      </c>
      <c r="E7399">
        <v>0.52450529999999995</v>
      </c>
      <c r="F7399" t="s">
        <v>43</v>
      </c>
      <c r="G7399">
        <v>-298.0806</v>
      </c>
      <c r="H7399">
        <v>-0.05</v>
      </c>
      <c r="I7399">
        <v>12.010680000000001</v>
      </c>
      <c r="J7399">
        <v>-368.12990000000002</v>
      </c>
      <c r="K7399">
        <v>1.121318</v>
      </c>
      <c r="L7399">
        <v>17.40671</v>
      </c>
      <c r="M7399">
        <v>0.9998435</v>
      </c>
      <c r="N7399">
        <v>-1.388968E-2</v>
      </c>
      <c r="O7399">
        <v>-1.0964440000000001E-2</v>
      </c>
      <c r="P7399">
        <v>0.99932410000000005</v>
      </c>
      <c r="Q7399">
        <v>-3.5298950000000003E-2</v>
      </c>
      <c r="R7399">
        <v>-1.026853E-2</v>
      </c>
      <c r="S7399">
        <v>2.9978030000000002</v>
      </c>
      <c r="T7399">
        <v>-5.0034759999999998E-2</v>
      </c>
      <c r="U7399">
        <v>-0.2305603</v>
      </c>
      <c r="V7399">
        <v>-6.9060390000000001E-4</v>
      </c>
      <c r="W7399">
        <v>-2.1414510000000001E-2</v>
      </c>
      <c r="X7399">
        <v>0.99977050000000001</v>
      </c>
      <c r="Y7399">
        <v>6.5728819999999993E-2</v>
      </c>
      <c r="Z7399">
        <v>-9.7429989999999996E-4</v>
      </c>
      <c r="AA7399">
        <v>0.99783710000000003</v>
      </c>
      <c r="AB7399">
        <v>25</v>
      </c>
      <c r="AC7399">
        <v>70.049300000000002</v>
      </c>
      <c r="AD7399">
        <v>-1.1713180000000001</v>
      </c>
      <c r="AE7399">
        <v>-5.3960299999999997</v>
      </c>
      <c r="AF7399">
        <v>4.6262942981436499</v>
      </c>
      <c r="AG7399">
        <v>-1.1713180000000001</v>
      </c>
      <c r="AH7399">
        <v>70.084778256235793</v>
      </c>
      <c r="AI7399">
        <v>90.955409085283804</v>
      </c>
      <c r="AJ7399">
        <v>86.223386101059106</v>
      </c>
      <c r="AK7399">
        <v>70.247069177410495</v>
      </c>
      <c r="AL7399">
        <v>91.227054771568405</v>
      </c>
      <c r="AM7399">
        <v>90.039577765589002</v>
      </c>
      <c r="AN7399">
        <v>1.00000005542126</v>
      </c>
    </row>
    <row r="7400" spans="1:40" x14ac:dyDescent="0.25">
      <c r="A7400" t="str">
        <f>"20190303153953439"</f>
        <v>20190303153953439</v>
      </c>
      <c r="B7400" t="str">
        <f>"1551598793436171"</f>
        <v>1551598793436171</v>
      </c>
      <c r="C7400" t="s">
        <v>40</v>
      </c>
      <c r="D7400">
        <v>4.5593979999999998</v>
      </c>
      <c r="E7400">
        <v>0.52371120000000004</v>
      </c>
      <c r="F7400" t="s">
        <v>43</v>
      </c>
      <c r="G7400">
        <v>-298.43110000000001</v>
      </c>
      <c r="H7400">
        <v>-0.05</v>
      </c>
      <c r="I7400">
        <v>12.17558</v>
      </c>
      <c r="J7400">
        <v>-367.98950000000002</v>
      </c>
      <c r="K7400">
        <v>1.121324</v>
      </c>
      <c r="L7400">
        <v>17.405179999999898</v>
      </c>
      <c r="M7400">
        <v>0.9998437</v>
      </c>
      <c r="N7400">
        <v>-1.3888670000000001E-2</v>
      </c>
      <c r="O7400">
        <v>-1.0950619999999999E-2</v>
      </c>
      <c r="P7400">
        <v>0.99932310000000002</v>
      </c>
      <c r="Q7400">
        <v>-3.546258E-2</v>
      </c>
      <c r="R7400">
        <v>-9.7988020000000006E-3</v>
      </c>
      <c r="S7400">
        <v>2.9979550000000001</v>
      </c>
      <c r="T7400">
        <v>-5.03819E-2</v>
      </c>
      <c r="U7400">
        <v>-0.22500609999999999</v>
      </c>
      <c r="V7400">
        <v>-1.1463510000000001E-3</v>
      </c>
      <c r="W7400">
        <v>-2.157922E-2</v>
      </c>
      <c r="X7400">
        <v>0.9997665</v>
      </c>
      <c r="Y7400">
        <v>6.3900869999999999E-2</v>
      </c>
      <c r="Z7400">
        <v>-9.4876219999999998E-4</v>
      </c>
      <c r="AA7400">
        <v>0.99795579999999995</v>
      </c>
      <c r="AB7400">
        <v>25</v>
      </c>
      <c r="AC7400">
        <v>69.558400000000006</v>
      </c>
      <c r="AD7400">
        <v>-1.171324</v>
      </c>
      <c r="AE7400">
        <v>-5.2295999999999898</v>
      </c>
      <c r="AF7400">
        <v>4.4662460224486997</v>
      </c>
      <c r="AG7400">
        <v>-1.171324</v>
      </c>
      <c r="AH7400">
        <v>69.5918783589306</v>
      </c>
      <c r="AI7400">
        <v>90.962293902315693</v>
      </c>
      <c r="AJ7400">
        <v>86.327925161342606</v>
      </c>
      <c r="AK7400">
        <v>69.744884306809197</v>
      </c>
      <c r="AL7400">
        <v>91.236494189325199</v>
      </c>
      <c r="AM7400">
        <v>90.065696385462203</v>
      </c>
      <c r="AN7400">
        <v>1.0000000156893301</v>
      </c>
    </row>
    <row r="7401" spans="1:40" x14ac:dyDescent="0.25">
      <c r="A7401" t="str">
        <f>"20190303153953453"</f>
        <v>20190303153953453</v>
      </c>
      <c r="B7401" t="str">
        <f>"1551598793445932"</f>
        <v>1551598793445932</v>
      </c>
      <c r="C7401" t="s">
        <v>40</v>
      </c>
      <c r="D7401">
        <v>4.5345870000000001</v>
      </c>
      <c r="E7401">
        <v>0.52358979999999999</v>
      </c>
      <c r="F7401" t="s">
        <v>43</v>
      </c>
      <c r="G7401">
        <v>-298.50420000000003</v>
      </c>
      <c r="H7401">
        <v>-0.05</v>
      </c>
      <c r="I7401">
        <v>12.37</v>
      </c>
      <c r="J7401">
        <v>-367.82709999999997</v>
      </c>
      <c r="K7401">
        <v>1.1213280000000001</v>
      </c>
      <c r="L7401">
        <v>17.403410000000001</v>
      </c>
      <c r="M7401">
        <v>0.99984399999999996</v>
      </c>
      <c r="N7401">
        <v>-1.3887490000000001E-2</v>
      </c>
      <c r="O7401">
        <v>-1.092603E-2</v>
      </c>
      <c r="P7401">
        <v>0.99933170000000004</v>
      </c>
      <c r="Q7401">
        <v>-3.5310220000000003E-2</v>
      </c>
      <c r="R7401">
        <v>-9.4745999999999997E-3</v>
      </c>
      <c r="S7401">
        <v>2.9981080000000002</v>
      </c>
      <c r="T7401">
        <v>-5.0539489999999999E-2</v>
      </c>
      <c r="U7401">
        <v>-0.21725459999999999</v>
      </c>
      <c r="V7401">
        <v>-1.44526299999999E-3</v>
      </c>
      <c r="W7401">
        <v>-2.1428030000000001E-2</v>
      </c>
      <c r="X7401">
        <v>0.99976929999999997</v>
      </c>
      <c r="Y7401">
        <v>6.1355779999999999E-2</v>
      </c>
      <c r="Z7401">
        <v>-9.1075260000000001E-4</v>
      </c>
      <c r="AA7401">
        <v>0.99811550000000004</v>
      </c>
      <c r="AB7401">
        <v>25</v>
      </c>
      <c r="AC7401">
        <v>69.322899999999905</v>
      </c>
      <c r="AD7401">
        <v>-1.1713279999999999</v>
      </c>
      <c r="AE7401">
        <v>-5.0334099999999999</v>
      </c>
      <c r="AF7401">
        <v>4.2743985250481797</v>
      </c>
      <c r="AG7401">
        <v>-1.1713279999999999</v>
      </c>
      <c r="AH7401">
        <v>69.354065113978606</v>
      </c>
      <c r="AI7401">
        <v>90.965750282733595</v>
      </c>
      <c r="AJ7401">
        <v>86.473233204941295</v>
      </c>
      <c r="AK7401">
        <v>69.495531078397406</v>
      </c>
      <c r="AL7401">
        <v>91.227829716193298</v>
      </c>
      <c r="AM7401">
        <v>90.082826520582501</v>
      </c>
      <c r="AN7401">
        <v>0.99999995123865304</v>
      </c>
    </row>
    <row r="7402" spans="1:40" x14ac:dyDescent="0.25">
      <c r="A7402" t="str">
        <f>"20190303153953470"</f>
        <v>20190303153953470</v>
      </c>
      <c r="B7402" t="str">
        <f>"1551598793465452"</f>
        <v>1551598793465452</v>
      </c>
      <c r="C7402" t="s">
        <v>40</v>
      </c>
      <c r="D7402">
        <v>4.50596</v>
      </c>
      <c r="E7402">
        <v>0.55522260000000001</v>
      </c>
      <c r="F7402" t="s">
        <v>43</v>
      </c>
      <c r="G7402">
        <v>-297.53710000000001</v>
      </c>
      <c r="H7402">
        <v>-0.05</v>
      </c>
      <c r="I7402">
        <v>12.356579999999999</v>
      </c>
      <c r="J7402">
        <v>-367.64609999999999</v>
      </c>
      <c r="K7402">
        <v>1.1213439999999999</v>
      </c>
      <c r="L7402">
        <v>17.40146</v>
      </c>
      <c r="M7402">
        <v>0.99984439999999997</v>
      </c>
      <c r="N7402">
        <v>-1.388615E-2</v>
      </c>
      <c r="O7402">
        <v>-1.088398E-2</v>
      </c>
      <c r="P7402">
        <v>0.9993687</v>
      </c>
      <c r="Q7402">
        <v>-3.4425240000000003E-2</v>
      </c>
      <c r="R7402">
        <v>-8.7921470000000002E-3</v>
      </c>
      <c r="S7402">
        <v>2.9981990000000001</v>
      </c>
      <c r="T7402">
        <v>-4.9962640000000003E-2</v>
      </c>
      <c r="U7402">
        <v>-0.21527099999999999</v>
      </c>
      <c r="V7402">
        <v>-2.0860219999999999E-3</v>
      </c>
      <c r="W7402">
        <v>-2.0544139999999999E-2</v>
      </c>
      <c r="X7402">
        <v>0.99978679999999998</v>
      </c>
      <c r="Y7402">
        <v>6.0739040000000001E-2</v>
      </c>
      <c r="Z7402">
        <v>-8.9758839999999997E-4</v>
      </c>
      <c r="AA7402">
        <v>0.99815330000000002</v>
      </c>
      <c r="AB7402">
        <v>25</v>
      </c>
      <c r="AC7402">
        <v>70.108999999999895</v>
      </c>
      <c r="AD7402">
        <v>-1.1713439999999999</v>
      </c>
      <c r="AE7402">
        <v>-5.0448799999999903</v>
      </c>
      <c r="AF7402">
        <v>4.2802539978118999</v>
      </c>
      <c r="AG7402">
        <v>-1.1713439999999999</v>
      </c>
      <c r="AH7402">
        <v>70.140282078358695</v>
      </c>
      <c r="AI7402">
        <v>90.954975475533203</v>
      </c>
      <c r="AJ7402">
        <v>86.507901890583895</v>
      </c>
      <c r="AK7402">
        <v>70.280522131553994</v>
      </c>
      <c r="AL7402">
        <v>91.177175297884503</v>
      </c>
      <c r="AM7402">
        <v>90.119545570249798</v>
      </c>
      <c r="AN7402">
        <v>1.0000000293151801</v>
      </c>
    </row>
    <row r="7403" spans="1:40" x14ac:dyDescent="0.25">
      <c r="A7403" t="str">
        <f>"20190303153953484"</f>
        <v>20190303153953484</v>
      </c>
      <c r="B7403" t="str">
        <f>"1551598793476187"</f>
        <v>1551598793476187</v>
      </c>
      <c r="C7403" t="s">
        <v>40</v>
      </c>
      <c r="D7403">
        <v>4.556114</v>
      </c>
      <c r="E7403">
        <v>0.55887369999999903</v>
      </c>
      <c r="F7403" t="s">
        <v>80</v>
      </c>
      <c r="G7403">
        <v>-279.33690000000001</v>
      </c>
      <c r="H7403">
        <v>1.8590500000000001</v>
      </c>
      <c r="I7403">
        <v>3.7437399999999998</v>
      </c>
      <c r="J7403">
        <v>-367.46429999999998</v>
      </c>
      <c r="K7403">
        <v>1.121364</v>
      </c>
      <c r="L7403">
        <v>17.399539999999998</v>
      </c>
      <c r="M7403">
        <v>0.99984510000000004</v>
      </c>
      <c r="N7403">
        <v>-1.3884850000000001E-2</v>
      </c>
      <c r="O7403">
        <v>-1.082087E-2</v>
      </c>
      <c r="P7403">
        <v>0.99937469999999995</v>
      </c>
      <c r="Q7403">
        <v>-3.4283859999999999E-2</v>
      </c>
      <c r="R7403">
        <v>-8.6689590000000004E-3</v>
      </c>
      <c r="S7403">
        <v>2.9987180000000002</v>
      </c>
      <c r="T7403">
        <v>2.5050280000000001E-2</v>
      </c>
      <c r="U7403">
        <v>-0.46377560000000001</v>
      </c>
      <c r="V7403">
        <v>-2.1451439999999999E-3</v>
      </c>
      <c r="W7403">
        <v>-2.0404080000000002E-2</v>
      </c>
      <c r="X7403">
        <v>0.9997895</v>
      </c>
      <c r="Y7403">
        <v>0.14214299999999999</v>
      </c>
      <c r="Z7403">
        <v>-6.4172600000000002E-4</v>
      </c>
      <c r="AA7403">
        <v>0.98984589999999995</v>
      </c>
      <c r="AB7403">
        <v>25</v>
      </c>
      <c r="AC7403">
        <v>88.127399999999895</v>
      </c>
      <c r="AD7403">
        <v>0.73768599999999995</v>
      </c>
      <c r="AE7403">
        <v>-13.6557999999999</v>
      </c>
      <c r="AF7403">
        <v>12.7004242797241</v>
      </c>
      <c r="AG7403">
        <v>0.73768599999999995</v>
      </c>
      <c r="AH7403">
        <v>88.263981770270902</v>
      </c>
      <c r="AI7403">
        <v>89.526030179347401</v>
      </c>
      <c r="AJ7403">
        <v>81.811834982000207</v>
      </c>
      <c r="AK7403">
        <v>89.176092286342694</v>
      </c>
      <c r="AL7403">
        <v>91.169148819136595</v>
      </c>
      <c r="AM7403">
        <v>90.122933386520998</v>
      </c>
      <c r="AN7403">
        <v>0.99999998621683805</v>
      </c>
    </row>
    <row r="7404" spans="1:40" x14ac:dyDescent="0.25">
      <c r="A7404" t="str">
        <f>"20190303153953501"</f>
        <v>20190303153953501</v>
      </c>
      <c r="B7404" t="str">
        <f>"1551598793495708"</f>
        <v>1551598793495708</v>
      </c>
      <c r="C7404" t="s">
        <v>40</v>
      </c>
      <c r="D7404">
        <v>4.4854469999999997</v>
      </c>
      <c r="E7404">
        <v>0.56143769999999904</v>
      </c>
      <c r="F7404" t="s">
        <v>80</v>
      </c>
      <c r="G7404">
        <v>-279.02</v>
      </c>
      <c r="H7404">
        <v>2.27311</v>
      </c>
      <c r="I7404">
        <v>2.8823259999999999</v>
      </c>
      <c r="J7404">
        <v>-367.2921</v>
      </c>
      <c r="K7404">
        <v>1.121383</v>
      </c>
      <c r="L7404">
        <v>17.39771</v>
      </c>
      <c r="M7404">
        <v>0.99984589999999995</v>
      </c>
      <c r="N7404">
        <v>-1.3883639999999999E-2</v>
      </c>
      <c r="O7404">
        <v>-1.0745930000000001E-2</v>
      </c>
      <c r="P7404">
        <v>0.99940459999999998</v>
      </c>
      <c r="Q7404">
        <v>-3.3417229999999999E-2</v>
      </c>
      <c r="R7404">
        <v>-8.5764880000000002E-3</v>
      </c>
      <c r="S7404">
        <v>2.9989620000000001</v>
      </c>
      <c r="T7404">
        <v>3.9053320000000002E-2</v>
      </c>
      <c r="U7404">
        <v>-0.49224849999999998</v>
      </c>
      <c r="V7404">
        <v>-2.1623440000000001E-3</v>
      </c>
      <c r="W7404">
        <v>-1.9538449999999999E-2</v>
      </c>
      <c r="X7404">
        <v>0.9998068</v>
      </c>
      <c r="Y7404">
        <v>0.15136260000000001</v>
      </c>
      <c r="Z7404">
        <v>-3.6600880000000003E-4</v>
      </c>
      <c r="AA7404">
        <v>0.98847819999999997</v>
      </c>
      <c r="AB7404">
        <v>25</v>
      </c>
      <c r="AC7404">
        <v>88.272099999999995</v>
      </c>
      <c r="AD7404">
        <v>1.1517269999999999</v>
      </c>
      <c r="AE7404">
        <v>-14.515383999999999</v>
      </c>
      <c r="AF7404">
        <v>13.5636402852098</v>
      </c>
      <c r="AG7404">
        <v>1.1517269999999999</v>
      </c>
      <c r="AH7404">
        <v>88.408344530291998</v>
      </c>
      <c r="AI7404">
        <v>89.262260603901197</v>
      </c>
      <c r="AJ7404">
        <v>81.277671225602305</v>
      </c>
      <c r="AK7404">
        <v>89.450177168387498</v>
      </c>
      <c r="AL7404">
        <v>91.119541926104503</v>
      </c>
      <c r="AM7404">
        <v>90.123916932635595</v>
      </c>
      <c r="AN7404">
        <v>1.0000000320431</v>
      </c>
    </row>
    <row r="7405" spans="1:40" x14ac:dyDescent="0.25">
      <c r="A7405" t="str">
        <f>"20190303153953514"</f>
        <v>20190303153953514</v>
      </c>
      <c r="B7405" t="str">
        <f>"1551598793505467"</f>
        <v>1551598793505467</v>
      </c>
      <c r="C7405" t="s">
        <v>40</v>
      </c>
      <c r="D7405">
        <v>4.5549739999999996</v>
      </c>
      <c r="E7405">
        <v>0.56110150000000003</v>
      </c>
      <c r="F7405" t="s">
        <v>80</v>
      </c>
      <c r="G7405">
        <v>-279.02</v>
      </c>
      <c r="H7405">
        <v>2.5668289999999998</v>
      </c>
      <c r="I7405">
        <v>2.3208690000000001</v>
      </c>
      <c r="J7405">
        <v>-367.1533</v>
      </c>
      <c r="K7405">
        <v>1.1213979999999999</v>
      </c>
      <c r="L7405">
        <v>17.3963</v>
      </c>
      <c r="M7405">
        <v>0.99984680000000004</v>
      </c>
      <c r="N7405">
        <v>-1.388267E-2</v>
      </c>
      <c r="O7405">
        <v>-1.0674960000000001E-2</v>
      </c>
      <c r="P7405">
        <v>0.99940499999999999</v>
      </c>
      <c r="Q7405">
        <v>-3.3441220000000001E-2</v>
      </c>
      <c r="R7405">
        <v>-8.47838699999999E-3</v>
      </c>
      <c r="S7405">
        <v>2.9990540000000001</v>
      </c>
      <c r="T7405">
        <v>4.9109220000000002E-2</v>
      </c>
      <c r="U7405">
        <v>-0.51223750000000001</v>
      </c>
      <c r="V7405">
        <v>-2.188564E-3</v>
      </c>
      <c r="W7405">
        <v>-1.9563489999999999E-2</v>
      </c>
      <c r="X7405">
        <v>0.99980619999999998</v>
      </c>
      <c r="Y7405">
        <v>0.15783029999999901</v>
      </c>
      <c r="Z7405">
        <v>-1.4128510000000001E-4</v>
      </c>
      <c r="AA7405">
        <v>0.98746619999999996</v>
      </c>
      <c r="AB7405">
        <v>25</v>
      </c>
      <c r="AC7405">
        <v>88.133300000000006</v>
      </c>
      <c r="AD7405">
        <v>1.4454309999999999</v>
      </c>
      <c r="AE7405">
        <v>-15.075431</v>
      </c>
      <c r="AF7405">
        <v>14.1299692782158</v>
      </c>
      <c r="AG7405">
        <v>1.4454309999999999</v>
      </c>
      <c r="AH7405">
        <v>88.266155760690594</v>
      </c>
      <c r="AI7405">
        <v>89.073611271549396</v>
      </c>
      <c r="AJ7405">
        <v>80.905049416171394</v>
      </c>
      <c r="AK7405">
        <v>89.401675349791802</v>
      </c>
      <c r="AL7405">
        <v>91.120976946395004</v>
      </c>
      <c r="AM7405">
        <v>90.125419586426105</v>
      </c>
      <c r="AN7405">
        <v>0.99999997875589997</v>
      </c>
    </row>
    <row r="7406" spans="1:40" x14ac:dyDescent="0.25">
      <c r="A7406" t="str">
        <f>"20190303153953524"</f>
        <v>20190303153953524</v>
      </c>
      <c r="B7406" t="str">
        <f>"1551598793516203"</f>
        <v>1551598793516203</v>
      </c>
      <c r="C7406" t="s">
        <v>40</v>
      </c>
      <c r="D7406">
        <v>4.5331780000000004</v>
      </c>
      <c r="E7406">
        <v>0.56114430000000004</v>
      </c>
      <c r="F7406" t="s">
        <v>80</v>
      </c>
      <c r="G7406">
        <v>-279.02</v>
      </c>
      <c r="H7406">
        <v>2.5797940000000001</v>
      </c>
      <c r="I7406">
        <v>2.4324020000000002</v>
      </c>
      <c r="J7406">
        <v>-367.01830000000001</v>
      </c>
      <c r="K7406">
        <v>1.1214200000000001</v>
      </c>
      <c r="L7406">
        <v>17.394960000000001</v>
      </c>
      <c r="M7406">
        <v>0.99984770000000001</v>
      </c>
      <c r="N7406">
        <v>-1.388174E-2</v>
      </c>
      <c r="O7406">
        <v>-1.0590860000000001E-2</v>
      </c>
      <c r="P7406">
        <v>0.99940790000000002</v>
      </c>
      <c r="Q7406">
        <v>-3.3355370000000002E-2</v>
      </c>
      <c r="R7406">
        <v>-8.4435680000000003E-3</v>
      </c>
      <c r="S7406">
        <v>2.9991460000000001</v>
      </c>
      <c r="T7406">
        <v>4.9628730000000003E-2</v>
      </c>
      <c r="U7406">
        <v>-0.50921629999999996</v>
      </c>
      <c r="V7406">
        <v>-2.1380330000000001E-3</v>
      </c>
      <c r="W7406">
        <v>-1.9478639999999998E-2</v>
      </c>
      <c r="X7406">
        <v>0.99980800000000003</v>
      </c>
      <c r="Y7406">
        <v>0.15694140000000001</v>
      </c>
      <c r="Z7406">
        <v>-1.278745E-4</v>
      </c>
      <c r="AA7406">
        <v>0.98760789999999998</v>
      </c>
      <c r="AB7406">
        <v>25</v>
      </c>
      <c r="AC7406">
        <v>87.9983</v>
      </c>
      <c r="AD7406">
        <v>1.4583739999999901</v>
      </c>
      <c r="AE7406">
        <v>-14.962558</v>
      </c>
      <c r="AF7406">
        <v>14.0259072611737</v>
      </c>
      <c r="AG7406">
        <v>1.4583739999999901</v>
      </c>
      <c r="AH7406">
        <v>88.128320439344094</v>
      </c>
      <c r="AI7406">
        <v>89.063720287983699</v>
      </c>
      <c r="AJ7406">
        <v>80.957034389904607</v>
      </c>
      <c r="AK7406">
        <v>89.249390993343098</v>
      </c>
      <c r="AL7406">
        <v>91.116114434907303</v>
      </c>
      <c r="AM7406">
        <v>90.122523605163494</v>
      </c>
      <c r="AN7406">
        <v>1.00000001273267</v>
      </c>
    </row>
    <row r="7407" spans="1:40" x14ac:dyDescent="0.25">
      <c r="A7407" t="str">
        <f>"20190303153953535"</f>
        <v>20190303153953535</v>
      </c>
      <c r="B7407" t="str">
        <f>"1551598793525964"</f>
        <v>1551598793525964</v>
      </c>
      <c r="C7407" t="s">
        <v>40</v>
      </c>
      <c r="D7407">
        <v>4.4518909999999998</v>
      </c>
      <c r="E7407">
        <v>0.56115199999999998</v>
      </c>
      <c r="F7407" t="s">
        <v>80</v>
      </c>
      <c r="G7407">
        <v>-279.02</v>
      </c>
      <c r="H7407">
        <v>2.6135280000000001</v>
      </c>
      <c r="I7407">
        <v>2.4478589999999998</v>
      </c>
      <c r="J7407">
        <v>-366.8972</v>
      </c>
      <c r="K7407">
        <v>1.1214390000000001</v>
      </c>
      <c r="L7407">
        <v>17.39377</v>
      </c>
      <c r="M7407">
        <v>0.99984859999999998</v>
      </c>
      <c r="N7407">
        <v>-1.388089E-2</v>
      </c>
      <c r="O7407">
        <v>-1.050237E-2</v>
      </c>
      <c r="P7407">
        <v>0.99941749999999996</v>
      </c>
      <c r="Q7407">
        <v>-3.307765E-2</v>
      </c>
      <c r="R7407">
        <v>-8.4241000000000003E-3</v>
      </c>
      <c r="S7407">
        <v>2.9991759999999998</v>
      </c>
      <c r="T7407">
        <v>5.0854330000000003E-2</v>
      </c>
      <c r="U7407">
        <v>-0.50942989999999999</v>
      </c>
      <c r="V7407">
        <v>-2.0689150000000002E-3</v>
      </c>
      <c r="W7407">
        <v>-1.920171E-2</v>
      </c>
      <c r="X7407">
        <v>0.99981350000000002</v>
      </c>
      <c r="Y7407">
        <v>0.15709500000000001</v>
      </c>
      <c r="Z7407" s="1">
        <v>-9.7358369999999997E-5</v>
      </c>
      <c r="AA7407">
        <v>0.98758349999999995</v>
      </c>
      <c r="AB7407">
        <v>25</v>
      </c>
      <c r="AC7407">
        <v>87.877200000000002</v>
      </c>
      <c r="AD7407">
        <v>1.492089</v>
      </c>
      <c r="AE7407">
        <v>-14.945911000000001</v>
      </c>
      <c r="AF7407">
        <v>14.018151103882399</v>
      </c>
      <c r="AG7407">
        <v>1.492089</v>
      </c>
      <c r="AH7407">
        <v>88.004677072348997</v>
      </c>
      <c r="AI7407">
        <v>89.040753745450402</v>
      </c>
      <c r="AJ7407">
        <v>80.949464381174295</v>
      </c>
      <c r="AK7407">
        <v>89.126640666882693</v>
      </c>
      <c r="AL7407">
        <v>91.100244549089894</v>
      </c>
      <c r="AM7407">
        <v>90.1185620402957</v>
      </c>
      <c r="AN7407">
        <v>1.0000000104292199</v>
      </c>
    </row>
    <row r="7408" spans="1:40" x14ac:dyDescent="0.25">
      <c r="A7408" t="str">
        <f>"20190303153953547"</f>
        <v>20190303153953547</v>
      </c>
      <c r="B7408" t="str">
        <f>"1551598793535724"</f>
        <v>1551598793535724</v>
      </c>
      <c r="C7408" t="s">
        <v>40</v>
      </c>
      <c r="D7408">
        <v>4.5212960000000004</v>
      </c>
      <c r="E7408">
        <v>0.56117499999999998</v>
      </c>
      <c r="F7408" t="s">
        <v>80</v>
      </c>
      <c r="G7408">
        <v>-279.02</v>
      </c>
      <c r="H7408">
        <v>3.3224860000000001</v>
      </c>
      <c r="I7408">
        <v>2.4880239999999998</v>
      </c>
      <c r="J7408">
        <v>-366.7681</v>
      </c>
      <c r="K7408">
        <v>1.1214630000000001</v>
      </c>
      <c r="L7408">
        <v>17.392489999999999</v>
      </c>
      <c r="M7408">
        <v>0.99984969999999995</v>
      </c>
      <c r="N7408">
        <v>-1.387999E-2</v>
      </c>
      <c r="O7408">
        <v>-1.0398950000000001E-2</v>
      </c>
      <c r="P7408">
        <v>0.99943230000000005</v>
      </c>
      <c r="Q7408">
        <v>-3.2638299999999898E-2</v>
      </c>
      <c r="R7408">
        <v>-8.3765219999999904E-3</v>
      </c>
      <c r="S7408">
        <v>2.9999389999999999</v>
      </c>
      <c r="T7408">
        <v>7.5139049999999999E-2</v>
      </c>
      <c r="U7408">
        <v>-0.50885009999999997</v>
      </c>
      <c r="V7408">
        <v>-2.0126760000000001E-3</v>
      </c>
      <c r="W7408">
        <v>-1.8763200000000001E-2</v>
      </c>
      <c r="X7408">
        <v>0.99982190000000004</v>
      </c>
      <c r="Y7408">
        <v>0.15695580000000001</v>
      </c>
      <c r="Z7408">
        <v>4.5243140000000002E-4</v>
      </c>
      <c r="AA7408">
        <v>0.98760550000000003</v>
      </c>
      <c r="AB7408">
        <v>25</v>
      </c>
      <c r="AC7408">
        <v>87.748099999999994</v>
      </c>
      <c r="AD7408">
        <v>2.2010230000000002</v>
      </c>
      <c r="AE7408">
        <v>-14.904465999999999</v>
      </c>
      <c r="AF7408">
        <v>13.982533227157999</v>
      </c>
      <c r="AG7408">
        <v>2.2010230000000002</v>
      </c>
      <c r="AH7408">
        <v>87.8446401376913</v>
      </c>
      <c r="AI7408">
        <v>88.582542030850206</v>
      </c>
      <c r="AJ7408">
        <v>80.955905520246901</v>
      </c>
      <c r="AK7408">
        <v>88.977730576901095</v>
      </c>
      <c r="AL7408">
        <v>91.0751152923348</v>
      </c>
      <c r="AM7408">
        <v>90.115338226297894</v>
      </c>
      <c r="AN7408">
        <v>0.999999970129265</v>
      </c>
    </row>
    <row r="7409" spans="1:40" x14ac:dyDescent="0.25">
      <c r="A7409" t="str">
        <f>"20190303153953560"</f>
        <v>20190303153953560</v>
      </c>
      <c r="B7409" t="str">
        <f>"1551598793556219"</f>
        <v>1551598793556219</v>
      </c>
      <c r="C7409" t="s">
        <v>40</v>
      </c>
      <c r="D7409">
        <v>4.5388809999999999</v>
      </c>
      <c r="E7409">
        <v>0.56116049999999995</v>
      </c>
      <c r="F7409" t="s">
        <v>80</v>
      </c>
      <c r="G7409">
        <v>-279.02</v>
      </c>
      <c r="H7409">
        <v>3.2718820000000002</v>
      </c>
      <c r="I7409">
        <v>2.504461</v>
      </c>
      <c r="J7409">
        <v>-366.63249999999999</v>
      </c>
      <c r="K7409">
        <v>1.1214869999999999</v>
      </c>
      <c r="L7409">
        <v>17.391200000000001</v>
      </c>
      <c r="M7409">
        <v>0.99985100000000005</v>
      </c>
      <c r="N7409">
        <v>-1.3878130000000001E-2</v>
      </c>
      <c r="O7409">
        <v>-1.0268920000000001E-2</v>
      </c>
      <c r="P7409">
        <v>0.99944129999999998</v>
      </c>
      <c r="Q7409">
        <v>-3.2371080000000003E-2</v>
      </c>
      <c r="R7409">
        <v>-8.3210179999999995E-3</v>
      </c>
      <c r="S7409">
        <v>2.9998170000000002</v>
      </c>
      <c r="T7409">
        <v>7.3515650000000002E-2</v>
      </c>
      <c r="U7409">
        <v>-0.50897219999999999</v>
      </c>
      <c r="V7409">
        <v>-1.937359E-3</v>
      </c>
      <c r="W7409">
        <v>-1.8497799999999998E-2</v>
      </c>
      <c r="X7409">
        <v>0.99982700000000002</v>
      </c>
      <c r="Y7409">
        <v>0.15713099999999999</v>
      </c>
      <c r="Z7409">
        <v>4.2195619999999998E-4</v>
      </c>
      <c r="AA7409">
        <v>0.9875777</v>
      </c>
      <c r="AB7409">
        <v>25</v>
      </c>
      <c r="AC7409">
        <v>87.612499999999997</v>
      </c>
      <c r="AD7409">
        <v>2.1503950000000001</v>
      </c>
      <c r="AE7409">
        <v>-14.886739</v>
      </c>
      <c r="AF7409">
        <v>13.9779971208159</v>
      </c>
      <c r="AG7409">
        <v>2.1503950000000001</v>
      </c>
      <c r="AH7409">
        <v>87.709409243574498</v>
      </c>
      <c r="AI7409">
        <v>88.613040948804198</v>
      </c>
      <c r="AJ7409">
        <v>80.9450820521037</v>
      </c>
      <c r="AK7409">
        <v>88.842270750034302</v>
      </c>
      <c r="AL7409">
        <v>91.059906346079501</v>
      </c>
      <c r="AM7409">
        <v>90.111021561906696</v>
      </c>
      <c r="AN7409">
        <v>0.99999997594686696</v>
      </c>
    </row>
    <row r="7410" spans="1:40" x14ac:dyDescent="0.25">
      <c r="A7410" t="str">
        <f>"20190303153953571"</f>
        <v>20190303153953571</v>
      </c>
      <c r="B7410" t="str">
        <f>"1551598793565980"</f>
        <v>1551598793565980</v>
      </c>
      <c r="C7410" t="s">
        <v>40</v>
      </c>
      <c r="D7410">
        <v>4.5376440000000002</v>
      </c>
      <c r="E7410">
        <v>0.56114509999999995</v>
      </c>
      <c r="F7410" t="s">
        <v>80</v>
      </c>
      <c r="G7410">
        <v>-279.02</v>
      </c>
      <c r="H7410">
        <v>2.8969680000000002</v>
      </c>
      <c r="I7410">
        <v>2.5188730000000001</v>
      </c>
      <c r="J7410">
        <v>-366.49079999999998</v>
      </c>
      <c r="K7410">
        <v>1.1215079999999999</v>
      </c>
      <c r="L7410">
        <v>17.389890000000001</v>
      </c>
      <c r="M7410">
        <v>0.99985259999999998</v>
      </c>
      <c r="N7410">
        <v>-1.3869940000000001E-2</v>
      </c>
      <c r="O7410">
        <v>-1.0122630000000001E-2</v>
      </c>
      <c r="P7410">
        <v>0.99944509999999998</v>
      </c>
      <c r="Q7410">
        <v>-3.2178520000000002E-2</v>
      </c>
      <c r="R7410">
        <v>-8.6178550000000007E-3</v>
      </c>
      <c r="S7410">
        <v>2.9994200000000002</v>
      </c>
      <c r="T7410">
        <v>6.0783740000000003E-2</v>
      </c>
      <c r="U7410">
        <v>-0.50915529999999998</v>
      </c>
      <c r="V7410">
        <v>-1.493505E-3</v>
      </c>
      <c r="W7410">
        <v>-1.831327E-2</v>
      </c>
      <c r="X7410">
        <v>0.99983120000000003</v>
      </c>
      <c r="Y7410">
        <v>0.1573639</v>
      </c>
      <c r="Z7410">
        <v>1.408386E-4</v>
      </c>
      <c r="AA7410">
        <v>0.98754070000000005</v>
      </c>
      <c r="AB7410">
        <v>25</v>
      </c>
      <c r="AC7410">
        <v>87.470799999999997</v>
      </c>
      <c r="AD7410">
        <v>1.77546</v>
      </c>
      <c r="AE7410">
        <v>-14.871017</v>
      </c>
      <c r="AF7410">
        <v>13.979137647825199</v>
      </c>
      <c r="AG7410">
        <v>1.77546</v>
      </c>
      <c r="AH7410">
        <v>87.581795929058501</v>
      </c>
      <c r="AI7410">
        <v>88.853170379461901</v>
      </c>
      <c r="AJ7410">
        <v>80.931379813491006</v>
      </c>
      <c r="AK7410">
        <v>88.708170569275595</v>
      </c>
      <c r="AL7410">
        <v>91.049331720762495</v>
      </c>
      <c r="AM7410">
        <v>90.085585916438902</v>
      </c>
      <c r="AN7410">
        <v>1.00000001745435</v>
      </c>
    </row>
    <row r="7411" spans="1:40" x14ac:dyDescent="0.25">
      <c r="A7411" t="str">
        <f>"20190303153953583"</f>
        <v>20190303153953583</v>
      </c>
      <c r="B7411" t="str">
        <f>"1551598793575740"</f>
        <v>1551598793575740</v>
      </c>
      <c r="C7411" t="s">
        <v>40</v>
      </c>
      <c r="D7411">
        <v>4.51464</v>
      </c>
      <c r="E7411">
        <v>0.56120119999999996</v>
      </c>
      <c r="F7411" t="s">
        <v>80</v>
      </c>
      <c r="G7411">
        <v>-279.02</v>
      </c>
      <c r="H7411">
        <v>2.7216019999999999</v>
      </c>
      <c r="I7411">
        <v>2.515625</v>
      </c>
      <c r="J7411">
        <v>-366.35329999999999</v>
      </c>
      <c r="K7411">
        <v>1.1215269999999999</v>
      </c>
      <c r="L7411">
        <v>17.388670000000001</v>
      </c>
      <c r="M7411">
        <v>0.99985469999999999</v>
      </c>
      <c r="N7411">
        <v>-1.384006E-2</v>
      </c>
      <c r="O7411">
        <v>-9.959163E-3</v>
      </c>
      <c r="P7411">
        <v>0.99945479999999998</v>
      </c>
      <c r="Q7411">
        <v>-3.1797579999999999E-2</v>
      </c>
      <c r="R7411">
        <v>-8.8961709999999996E-3</v>
      </c>
      <c r="S7411">
        <v>2.9990230000000002</v>
      </c>
      <c r="T7411">
        <v>5.4860829999999999E-2</v>
      </c>
      <c r="U7411">
        <v>-0.50997919999999997</v>
      </c>
      <c r="V7411">
        <v>-1.0510809999999999E-3</v>
      </c>
      <c r="W7411">
        <v>-1.7961939999999999E-2</v>
      </c>
      <c r="X7411">
        <v>0.99983809999999995</v>
      </c>
      <c r="Y7411">
        <v>0.1578135</v>
      </c>
      <c r="Z7411" s="1">
        <v>1.540012E-5</v>
      </c>
      <c r="AA7411">
        <v>0.98746900000000004</v>
      </c>
      <c r="AB7411">
        <v>25</v>
      </c>
      <c r="AC7411">
        <v>87.333299999999994</v>
      </c>
      <c r="AD7411">
        <v>1.6000749999999999</v>
      </c>
      <c r="AE7411">
        <v>-14.873044999999999</v>
      </c>
      <c r="AF7411">
        <v>13.9978911067558</v>
      </c>
      <c r="AG7411">
        <v>1.6000749999999999</v>
      </c>
      <c r="AH7411">
        <v>87.448578178798897</v>
      </c>
      <c r="AI7411">
        <v>88.964931187286993</v>
      </c>
      <c r="AJ7411">
        <v>80.9058143187101</v>
      </c>
      <c r="AK7411">
        <v>88.576266691116103</v>
      </c>
      <c r="AL7411">
        <v>91.029198720294602</v>
      </c>
      <c r="AM7411">
        <v>90.060232234640594</v>
      </c>
      <c r="AN7411">
        <v>0.99999998113571997</v>
      </c>
    </row>
    <row r="7412" spans="1:40" x14ac:dyDescent="0.25">
      <c r="A7412" t="str">
        <f>"20190303153953604"</f>
        <v>20190303153953604</v>
      </c>
      <c r="B7412" t="str">
        <f>"1551598793596236"</f>
        <v>1551598793596236</v>
      </c>
      <c r="C7412" t="s">
        <v>40</v>
      </c>
      <c r="D7412">
        <v>4.5218249999999998</v>
      </c>
      <c r="E7412">
        <v>0.56134640000000002</v>
      </c>
      <c r="F7412" t="s">
        <v>80</v>
      </c>
      <c r="G7412">
        <v>-279.02</v>
      </c>
      <c r="H7412">
        <v>2.6121759999999998</v>
      </c>
      <c r="I7412">
        <v>2.4962810000000002</v>
      </c>
      <c r="J7412">
        <v>-366.13260000000002</v>
      </c>
      <c r="K7412">
        <v>1.1215360000000001</v>
      </c>
      <c r="L7412">
        <v>17.386749999999999</v>
      </c>
      <c r="M7412">
        <v>0.99985880000000005</v>
      </c>
      <c r="N7412">
        <v>-1.374717E-2</v>
      </c>
      <c r="O7412">
        <v>-9.6700529999999996E-3</v>
      </c>
      <c r="P7412">
        <v>0.99946210000000002</v>
      </c>
      <c r="Q7412">
        <v>-3.140043E-2</v>
      </c>
      <c r="R7412">
        <v>-9.4823990000000007E-3</v>
      </c>
      <c r="S7412">
        <v>2.9987180000000002</v>
      </c>
      <c r="T7412">
        <v>5.1183699999999999E-2</v>
      </c>
      <c r="U7412">
        <v>-0.51135249999999999</v>
      </c>
      <c r="V7412">
        <v>-1.7479719999999999E-4</v>
      </c>
      <c r="W7412">
        <v>-1.7657160000000002E-2</v>
      </c>
      <c r="X7412">
        <v>0.99984410000000001</v>
      </c>
      <c r="Y7412">
        <v>0.15855639999999999</v>
      </c>
      <c r="Z7412" s="1">
        <v>-5.0181759999999897E-5</v>
      </c>
      <c r="AA7412">
        <v>0.9873499</v>
      </c>
      <c r="AB7412">
        <v>25</v>
      </c>
      <c r="AC7412">
        <v>87.1126</v>
      </c>
      <c r="AD7412">
        <v>1.49063999999999</v>
      </c>
      <c r="AE7412">
        <v>-14.890469</v>
      </c>
      <c r="AF7412">
        <v>14.0433143619875</v>
      </c>
      <c r="AG7412">
        <v>1.49063999999999</v>
      </c>
      <c r="AH7412">
        <v>87.227715481081802</v>
      </c>
      <c r="AI7412">
        <v>89.033408406763598</v>
      </c>
      <c r="AJ7412">
        <v>80.854088892217405</v>
      </c>
      <c r="AK7412">
        <v>88.3635164189823</v>
      </c>
      <c r="AL7412">
        <v>91.011733307817593</v>
      </c>
      <c r="AM7412">
        <v>90.010016703332695</v>
      </c>
      <c r="AN7412">
        <v>1.00000001507906</v>
      </c>
    </row>
    <row r="7413" spans="1:40" x14ac:dyDescent="0.25">
      <c r="A7413" t="str">
        <f>"20190303153953615"</f>
        <v>20190303153953615</v>
      </c>
      <c r="B7413" t="str">
        <f>"1551598793605996"</f>
        <v>1551598793605996</v>
      </c>
      <c r="C7413" t="s">
        <v>40</v>
      </c>
      <c r="D7413">
        <v>4.5048029999999999</v>
      </c>
      <c r="E7413">
        <v>0.56127640000000001</v>
      </c>
      <c r="F7413" t="s">
        <v>80</v>
      </c>
      <c r="G7413">
        <v>-279.02</v>
      </c>
      <c r="H7413">
        <v>2.4277220000000002</v>
      </c>
      <c r="I7413">
        <v>2.4414880000000001</v>
      </c>
      <c r="J7413">
        <v>-365.9991</v>
      </c>
      <c r="K7413">
        <v>1.1215349999999999</v>
      </c>
      <c r="L7413">
        <v>17.385679999999901</v>
      </c>
      <c r="M7413">
        <v>0.99986169999999996</v>
      </c>
      <c r="N7413">
        <v>-1.36640999999999E-2</v>
      </c>
      <c r="O7413">
        <v>-9.481148E-3</v>
      </c>
      <c r="P7413">
        <v>0.99947169999999996</v>
      </c>
      <c r="Q7413">
        <v>-3.0989909999999999E-2</v>
      </c>
      <c r="R7413">
        <v>-9.8029280000000007E-3</v>
      </c>
      <c r="S7413">
        <v>2.9981689999999999</v>
      </c>
      <c r="T7413">
        <v>4.4955250000000002E-2</v>
      </c>
      <c r="U7413">
        <v>-0.51437379999999999</v>
      </c>
      <c r="V7413">
        <v>3.3506619999999998E-4</v>
      </c>
      <c r="W7413">
        <v>-1.7329290000000001E-2</v>
      </c>
      <c r="X7413">
        <v>0.99984980000000001</v>
      </c>
      <c r="Y7413">
        <v>0.15974160000000001</v>
      </c>
      <c r="Z7413">
        <v>-1.802079E-4</v>
      </c>
      <c r="AA7413">
        <v>0.9871588</v>
      </c>
      <c r="AB7413">
        <v>25</v>
      </c>
      <c r="AC7413">
        <v>86.979100000000003</v>
      </c>
      <c r="AD7413">
        <v>1.306187</v>
      </c>
      <c r="AE7413">
        <v>-14.9441919999999</v>
      </c>
      <c r="AF7413">
        <v>14.115689405956999</v>
      </c>
      <c r="AG7413">
        <v>1.306187</v>
      </c>
      <c r="AH7413">
        <v>87.097812233369297</v>
      </c>
      <c r="AI7413">
        <v>89.151876483933805</v>
      </c>
      <c r="AJ7413">
        <v>80.794280922431597</v>
      </c>
      <c r="AK7413">
        <v>88.2439103152375</v>
      </c>
      <c r="AL7413">
        <v>90.992944861364407</v>
      </c>
      <c r="AM7413">
        <v>89.980799237646593</v>
      </c>
      <c r="AN7413">
        <v>1.00000001956065</v>
      </c>
    </row>
    <row r="7414" spans="1:40" x14ac:dyDescent="0.25">
      <c r="A7414" t="str">
        <f>"20190303153953626"</f>
        <v>20190303153953626</v>
      </c>
      <c r="B7414" t="str">
        <f>"1551598793615756"</f>
        <v>1551598793615756</v>
      </c>
      <c r="C7414" t="s">
        <v>40</v>
      </c>
      <c r="D7414">
        <v>4.4943619999999997</v>
      </c>
      <c r="E7414">
        <v>0.56132169999999904</v>
      </c>
      <c r="F7414" t="s">
        <v>80</v>
      </c>
      <c r="G7414">
        <v>-279.02</v>
      </c>
      <c r="H7414">
        <v>2.3381829999999999</v>
      </c>
      <c r="I7414">
        <v>2.4466019999999999</v>
      </c>
      <c r="J7414">
        <v>-365.875</v>
      </c>
      <c r="K7414">
        <v>1.1215250000000001</v>
      </c>
      <c r="L7414">
        <v>17.38467</v>
      </c>
      <c r="M7414">
        <v>0.9998648</v>
      </c>
      <c r="N7414">
        <v>-1.357335E-2</v>
      </c>
      <c r="O7414">
        <v>-9.2994010000000005E-3</v>
      </c>
      <c r="P7414">
        <v>0.99948479999999995</v>
      </c>
      <c r="Q7414">
        <v>-3.0528090000000001E-2</v>
      </c>
      <c r="R7414">
        <v>-9.9321319999999998E-3</v>
      </c>
      <c r="S7414">
        <v>2.997833</v>
      </c>
      <c r="T7414">
        <v>4.193318E-2</v>
      </c>
      <c r="U7414">
        <v>-0.51489259999999903</v>
      </c>
      <c r="V7414">
        <v>6.4602859999999998E-4</v>
      </c>
      <c r="W7414">
        <v>-1.695787E-2</v>
      </c>
      <c r="X7414">
        <v>0.99985599999999997</v>
      </c>
      <c r="Y7414">
        <v>0.160106</v>
      </c>
      <c r="Z7414">
        <v>-2.373869E-4</v>
      </c>
      <c r="AA7414">
        <v>0.98709979999999997</v>
      </c>
      <c r="AB7414">
        <v>25</v>
      </c>
      <c r="AC7414">
        <v>86.855000000000004</v>
      </c>
      <c r="AD7414">
        <v>1.216658</v>
      </c>
      <c r="AE7414">
        <v>-14.938067999999999</v>
      </c>
      <c r="AF7414">
        <v>14.1269558236446</v>
      </c>
      <c r="AG7414">
        <v>1.216658</v>
      </c>
      <c r="AH7414">
        <v>86.973595720067706</v>
      </c>
      <c r="AI7414">
        <v>89.208918144027095</v>
      </c>
      <c r="AJ7414">
        <v>80.774127435747303</v>
      </c>
      <c r="AK7414">
        <v>88.121833219753</v>
      </c>
      <c r="AL7414">
        <v>90.971660950695295</v>
      </c>
      <c r="AM7414">
        <v>89.962979962040606</v>
      </c>
      <c r="AN7414">
        <v>1.0000000037219401</v>
      </c>
    </row>
    <row r="7415" spans="1:40" x14ac:dyDescent="0.25">
      <c r="A7415" t="str">
        <f>"20190303153953638"</f>
        <v>20190303153953638</v>
      </c>
      <c r="B7415" t="str">
        <f>"1551598793625518"</f>
        <v>1551598793625518</v>
      </c>
      <c r="C7415" t="s">
        <v>40</v>
      </c>
      <c r="D7415">
        <v>4.4620680000000004</v>
      </c>
      <c r="E7415">
        <v>0.56133559999999905</v>
      </c>
      <c r="F7415" t="s">
        <v>80</v>
      </c>
      <c r="G7415">
        <v>-279.02</v>
      </c>
      <c r="H7415">
        <v>2.2904620000000002</v>
      </c>
      <c r="I7415">
        <v>2.44462</v>
      </c>
      <c r="J7415">
        <v>-365.74939999999998</v>
      </c>
      <c r="K7415">
        <v>1.121515</v>
      </c>
      <c r="L7415">
        <v>17.38373</v>
      </c>
      <c r="M7415">
        <v>0.99986790000000003</v>
      </c>
      <c r="N7415">
        <v>-1.3472359999999999E-2</v>
      </c>
      <c r="O7415">
        <v>-9.1057359999999997E-3</v>
      </c>
      <c r="P7415">
        <v>0.99949089999999996</v>
      </c>
      <c r="Q7415">
        <v>-3.0273990000000001E-2</v>
      </c>
      <c r="R7415">
        <v>-1.0079370000000001E-2</v>
      </c>
      <c r="S7415">
        <v>2.99762</v>
      </c>
      <c r="T7415">
        <v>4.0343400000000001E-2</v>
      </c>
      <c r="U7415">
        <v>-0.515625</v>
      </c>
      <c r="V7415">
        <v>9.872437999999999E-4</v>
      </c>
      <c r="W7415">
        <v>-1.680446E-2</v>
      </c>
      <c r="X7415">
        <v>0.99985829999999998</v>
      </c>
      <c r="Y7415">
        <v>0.16054350000000001</v>
      </c>
      <c r="Z7415">
        <v>-2.6039569999999998E-4</v>
      </c>
      <c r="AA7415">
        <v>0.98702869999999998</v>
      </c>
      <c r="AB7415">
        <v>25</v>
      </c>
      <c r="AC7415">
        <v>86.729399999999998</v>
      </c>
      <c r="AD7415">
        <v>1.16894699999999</v>
      </c>
      <c r="AE7415">
        <v>-14.939109999999999</v>
      </c>
      <c r="AF7415">
        <v>14.146188200202101</v>
      </c>
      <c r="AG7415">
        <v>1.16894699999999</v>
      </c>
      <c r="AH7415">
        <v>86.846525780988102</v>
      </c>
      <c r="AI7415">
        <v>89.238879956328702</v>
      </c>
      <c r="AJ7415">
        <v>80.748500400557006</v>
      </c>
      <c r="AK7415">
        <v>87.998864298990696</v>
      </c>
      <c r="AL7415">
        <v>90.962869963489695</v>
      </c>
      <c r="AM7415">
        <v>89.943427098911599</v>
      </c>
      <c r="AN7415">
        <v>0.99999999230255099</v>
      </c>
    </row>
    <row r="7416" spans="1:40" x14ac:dyDescent="0.25">
      <c r="A7416" t="str">
        <f>"20190303153953651"</f>
        <v>20190303153953651</v>
      </c>
      <c r="B7416" t="str">
        <f>"1551598793646012"</f>
        <v>1551598793646012</v>
      </c>
      <c r="C7416" t="s">
        <v>40</v>
      </c>
      <c r="D7416">
        <v>4.4347139999999996</v>
      </c>
      <c r="E7416">
        <v>0.56142190000000003</v>
      </c>
      <c r="F7416" t="s">
        <v>80</v>
      </c>
      <c r="G7416">
        <v>-279.02</v>
      </c>
      <c r="H7416">
        <v>2.2299060000000002</v>
      </c>
      <c r="I7416">
        <v>2.4443570000000001</v>
      </c>
      <c r="J7416">
        <v>-365.59719999999999</v>
      </c>
      <c r="K7416">
        <v>1.1214930000000001</v>
      </c>
      <c r="L7416">
        <v>17.382570000000001</v>
      </c>
      <c r="M7416">
        <v>0.99987170000000003</v>
      </c>
      <c r="N7416">
        <v>-1.33472E-2</v>
      </c>
      <c r="O7416">
        <v>-8.8653199999999995E-3</v>
      </c>
      <c r="P7416">
        <v>0.99949310000000002</v>
      </c>
      <c r="Q7416">
        <v>-3.0203569999999999E-2</v>
      </c>
      <c r="R7416">
        <v>-1.0078220000000001E-2</v>
      </c>
      <c r="S7416">
        <v>2.9974980000000002</v>
      </c>
      <c r="T7416">
        <v>3.8307670000000002E-2</v>
      </c>
      <c r="U7416">
        <v>-0.51632690000000003</v>
      </c>
      <c r="V7416">
        <v>1.226776E-3</v>
      </c>
      <c r="W7416">
        <v>-1.6858999999999999E-2</v>
      </c>
      <c r="X7416">
        <v>0.99985710000000005</v>
      </c>
      <c r="Y7416">
        <v>0.161012299999999</v>
      </c>
      <c r="Z7416">
        <v>-2.9105860000000001E-4</v>
      </c>
      <c r="AA7416">
        <v>0.98695239999999995</v>
      </c>
      <c r="AB7416">
        <v>25</v>
      </c>
      <c r="AC7416">
        <v>86.577200000000005</v>
      </c>
      <c r="AD7416">
        <v>1.1084129999999901</v>
      </c>
      <c r="AE7416">
        <v>-14.938212999999999</v>
      </c>
      <c r="AF7416">
        <v>14.167767904958099</v>
      </c>
      <c r="AG7416">
        <v>1.1084129999999901</v>
      </c>
      <c r="AH7416">
        <v>86.6924422763271</v>
      </c>
      <c r="AI7416">
        <v>89.277069584091393</v>
      </c>
      <c r="AJ7416">
        <v>80.718450481385005</v>
      </c>
      <c r="AK7416">
        <v>87.849495016315501</v>
      </c>
      <c r="AL7416">
        <v>90.965995334174806</v>
      </c>
      <c r="AM7416">
        <v>89.929700902322196</v>
      </c>
      <c r="AN7416">
        <v>0.99999997564038101</v>
      </c>
    </row>
    <row r="7417" spans="1:40" x14ac:dyDescent="0.25">
      <c r="A7417" t="str">
        <f>"20190303153953668"</f>
        <v>20190303153953668</v>
      </c>
      <c r="B7417" t="str">
        <f>"1551598793665531"</f>
        <v>1551598793665531</v>
      </c>
      <c r="C7417" t="s">
        <v>40</v>
      </c>
      <c r="D7417">
        <v>4.4761129999999998</v>
      </c>
      <c r="E7417">
        <v>0.56158549999999996</v>
      </c>
      <c r="F7417" t="s">
        <v>80</v>
      </c>
      <c r="G7417">
        <v>-279.02</v>
      </c>
      <c r="H7417">
        <v>2.080438</v>
      </c>
      <c r="I7417">
        <v>2.4454310000000001</v>
      </c>
      <c r="J7417">
        <v>-365.40359999999998</v>
      </c>
      <c r="K7417">
        <v>1.1214710000000001</v>
      </c>
      <c r="L7417">
        <v>17.3812</v>
      </c>
      <c r="M7417">
        <v>0.9998766</v>
      </c>
      <c r="N7417">
        <v>-1.319151E-2</v>
      </c>
      <c r="O7417">
        <v>-8.5476409999999999E-3</v>
      </c>
      <c r="P7417">
        <v>0.99949520000000003</v>
      </c>
      <c r="Q7417">
        <v>-3.021774E-2</v>
      </c>
      <c r="R7417">
        <v>-9.8381289999999993E-3</v>
      </c>
      <c r="S7417">
        <v>2.9972840000000001</v>
      </c>
      <c r="T7417">
        <v>3.3198480000000002E-2</v>
      </c>
      <c r="U7417">
        <v>-0.51712040000000004</v>
      </c>
      <c r="V7417">
        <v>1.3046139999999999E-3</v>
      </c>
      <c r="W7417">
        <v>-1.7028789999999999E-2</v>
      </c>
      <c r="X7417">
        <v>0.99985409999999997</v>
      </c>
      <c r="Y7417">
        <v>0.16159209999999999</v>
      </c>
      <c r="Z7417">
        <v>-3.9126340000000001E-4</v>
      </c>
      <c r="AA7417">
        <v>0.98685750000000005</v>
      </c>
      <c r="AB7417">
        <v>25</v>
      </c>
      <c r="AC7417">
        <v>86.383600000000001</v>
      </c>
      <c r="AD7417">
        <v>0.95896700000000001</v>
      </c>
      <c r="AE7417">
        <v>-14.935769000000001</v>
      </c>
      <c r="AF7417">
        <v>14.1950845342971</v>
      </c>
      <c r="AG7417">
        <v>0.95896700000000001</v>
      </c>
      <c r="AH7417">
        <v>86.497769996140804</v>
      </c>
      <c r="AI7417">
        <v>89.373193853283496</v>
      </c>
      <c r="AJ7417">
        <v>80.680305339898695</v>
      </c>
      <c r="AK7417">
        <v>87.660049377970395</v>
      </c>
      <c r="AL7417">
        <v>90.975725005156605</v>
      </c>
      <c r="AM7417">
        <v>89.925240258880393</v>
      </c>
      <c r="AN7417">
        <v>0.99999995149667997</v>
      </c>
    </row>
    <row r="7418" spans="1:40" x14ac:dyDescent="0.25">
      <c r="A7418" t="str">
        <f>"20190303153953683"</f>
        <v>20190303153953683</v>
      </c>
      <c r="B7418" t="str">
        <f>"1551598793676268"</f>
        <v>1551598793676268</v>
      </c>
      <c r="C7418" t="s">
        <v>40</v>
      </c>
      <c r="D7418">
        <v>4.4450450000000004</v>
      </c>
      <c r="E7418">
        <v>0.56166640000000001</v>
      </c>
      <c r="F7418" t="s">
        <v>80</v>
      </c>
      <c r="G7418">
        <v>-279.02</v>
      </c>
      <c r="H7418">
        <v>1.946925</v>
      </c>
      <c r="I7418">
        <v>2.4534090000000002</v>
      </c>
      <c r="J7418">
        <v>-365.25549999999998</v>
      </c>
      <c r="K7418">
        <v>1.121456</v>
      </c>
      <c r="L7418">
        <v>17.380189999999999</v>
      </c>
      <c r="M7418">
        <v>0.99988010000000005</v>
      </c>
      <c r="N7418">
        <v>-1.3079550000000001E-2</v>
      </c>
      <c r="O7418">
        <v>-8.2986139999999993E-3</v>
      </c>
      <c r="P7418">
        <v>0.99949049999999995</v>
      </c>
      <c r="Q7418">
        <v>-3.050655E-2</v>
      </c>
      <c r="R7418">
        <v>-9.3885359999999994E-3</v>
      </c>
      <c r="S7418">
        <v>2.997223</v>
      </c>
      <c r="T7418">
        <v>2.8640510000000001E-2</v>
      </c>
      <c r="U7418">
        <v>-0.51794430000000002</v>
      </c>
      <c r="V7418">
        <v>1.1045759999999999E-3</v>
      </c>
      <c r="W7418">
        <v>-1.7429770000000001E-2</v>
      </c>
      <c r="X7418">
        <v>0.9998475</v>
      </c>
      <c r="Y7418">
        <v>0.1621051</v>
      </c>
      <c r="Z7418">
        <v>-4.856304E-4</v>
      </c>
      <c r="AA7418">
        <v>0.98677340000000002</v>
      </c>
      <c r="AB7418">
        <v>25</v>
      </c>
      <c r="AC7418">
        <v>86.235500000000002</v>
      </c>
      <c r="AD7418">
        <v>0.82546900000000001</v>
      </c>
      <c r="AE7418">
        <v>-14.926780999999901</v>
      </c>
      <c r="AF7418">
        <v>14.2093065291063</v>
      </c>
      <c r="AG7418">
        <v>0.82546900000000001</v>
      </c>
      <c r="AH7418">
        <v>86.348730407168603</v>
      </c>
      <c r="AI7418">
        <v>89.459553606994902</v>
      </c>
      <c r="AJ7418">
        <v>80.655314027969396</v>
      </c>
      <c r="AK7418">
        <v>87.51393622754</v>
      </c>
      <c r="AL7418">
        <v>90.998702810282097</v>
      </c>
      <c r="AM7418">
        <v>89.936702829976696</v>
      </c>
      <c r="AN7418">
        <v>1.0000000201133199</v>
      </c>
    </row>
    <row r="7419" spans="1:40" x14ac:dyDescent="0.25">
      <c r="A7419" t="str">
        <f>"20190303153953695"</f>
        <v>20190303153953695</v>
      </c>
      <c r="B7419" t="str">
        <f>"1551598793686028"</f>
        <v>1551598793686028</v>
      </c>
      <c r="C7419" t="s">
        <v>40</v>
      </c>
      <c r="D7419">
        <v>4.4312750000000003</v>
      </c>
      <c r="E7419">
        <v>0.56169639999999998</v>
      </c>
      <c r="F7419" t="s">
        <v>80</v>
      </c>
      <c r="G7419">
        <v>-279.02</v>
      </c>
      <c r="H7419">
        <v>1.8698429999999999</v>
      </c>
      <c r="I7419">
        <v>2.4985309999999998</v>
      </c>
      <c r="J7419">
        <v>-365.1046</v>
      </c>
      <c r="K7419">
        <v>1.12144</v>
      </c>
      <c r="L7419">
        <v>17.37921</v>
      </c>
      <c r="M7419">
        <v>0.99988359999999998</v>
      </c>
      <c r="N7419">
        <v>-1.2968489999999999E-2</v>
      </c>
      <c r="O7419">
        <v>-8.04472E-3</v>
      </c>
      <c r="P7419">
        <v>0.9994923</v>
      </c>
      <c r="Q7419">
        <v>-3.054635E-2</v>
      </c>
      <c r="R7419">
        <v>-9.0806770000000005E-3</v>
      </c>
      <c r="S7419">
        <v>2.9974669999999999</v>
      </c>
      <c r="T7419">
        <v>2.601326E-2</v>
      </c>
      <c r="U7419">
        <v>-0.51727290000000004</v>
      </c>
      <c r="V7419">
        <v>1.0506269999999999E-3</v>
      </c>
      <c r="W7419">
        <v>-1.758065E-2</v>
      </c>
      <c r="X7419">
        <v>0.99984490000000004</v>
      </c>
      <c r="Y7419">
        <v>0.16212760000000001</v>
      </c>
      <c r="Z7419">
        <v>-5.33561E-4</v>
      </c>
      <c r="AA7419">
        <v>0.98676969999999997</v>
      </c>
      <c r="AB7419">
        <v>25</v>
      </c>
      <c r="AC7419">
        <v>86.084599999999995</v>
      </c>
      <c r="AD7419">
        <v>0.74840299999999904</v>
      </c>
      <c r="AE7419">
        <v>-14.880679000000001</v>
      </c>
      <c r="AF7419">
        <v>14.186571540848901</v>
      </c>
      <c r="AG7419">
        <v>0.74840299999999904</v>
      </c>
      <c r="AH7419">
        <v>86.195209041931307</v>
      </c>
      <c r="AI7419">
        <v>89.509136864224402</v>
      </c>
      <c r="AJ7419">
        <v>80.653677886140599</v>
      </c>
      <c r="AK7419">
        <v>87.358073358541205</v>
      </c>
      <c r="AL7419">
        <v>91.007348938828002</v>
      </c>
      <c r="AM7419">
        <v>89.939794191291995</v>
      </c>
      <c r="AN7419">
        <v>1.00000000356376</v>
      </c>
    </row>
    <row r="7420" spans="1:40" x14ac:dyDescent="0.25">
      <c r="A7420" t="str">
        <f>"20190303153953707"</f>
        <v>20190303153953707</v>
      </c>
      <c r="B7420" t="str">
        <f>"1551598793695788"</f>
        <v>1551598793695788</v>
      </c>
      <c r="C7420" t="s">
        <v>40</v>
      </c>
      <c r="D7420">
        <v>4.4526029999999999</v>
      </c>
      <c r="E7420">
        <v>0.56177719999999998</v>
      </c>
      <c r="F7420" t="s">
        <v>80</v>
      </c>
      <c r="G7420">
        <v>-279.02</v>
      </c>
      <c r="H7420">
        <v>1.8190869999999999</v>
      </c>
      <c r="I7420">
        <v>2.5414300000000001</v>
      </c>
      <c r="J7420">
        <v>-364.96910000000003</v>
      </c>
      <c r="K7420">
        <v>1.1214280000000001</v>
      </c>
      <c r="L7420">
        <v>17.378329999999998</v>
      </c>
      <c r="M7420">
        <v>0.99988659999999996</v>
      </c>
      <c r="N7420">
        <v>-1.287164E-2</v>
      </c>
      <c r="O7420">
        <v>-7.8164389999999997E-3</v>
      </c>
      <c r="P7420">
        <v>0.99948020000000004</v>
      </c>
      <c r="Q7420">
        <v>-3.099213E-2</v>
      </c>
      <c r="R7420">
        <v>-8.8724749999999995E-3</v>
      </c>
      <c r="S7420">
        <v>2.997528</v>
      </c>
      <c r="T7420">
        <v>2.4292589999999999E-2</v>
      </c>
      <c r="U7420">
        <v>-0.51666259999999997</v>
      </c>
      <c r="V7420">
        <v>1.0711360000000001E-3</v>
      </c>
      <c r="W7420">
        <v>-1.812341E-2</v>
      </c>
      <c r="X7420">
        <v>0.99983520000000004</v>
      </c>
      <c r="Y7420">
        <v>0.1621543</v>
      </c>
      <c r="Z7420">
        <v>-5.6178230000000003E-4</v>
      </c>
      <c r="AA7420">
        <v>0.98676529999999996</v>
      </c>
      <c r="AB7420">
        <v>25</v>
      </c>
      <c r="AC7420">
        <v>85.949100000000001</v>
      </c>
      <c r="AD7420">
        <v>0.69765899999999903</v>
      </c>
      <c r="AE7420">
        <v>-14.836899999999901</v>
      </c>
      <c r="AF7420">
        <v>14.163668908015801</v>
      </c>
      <c r="AG7420">
        <v>0.69765899999999903</v>
      </c>
      <c r="AH7420">
        <v>86.056949241416106</v>
      </c>
      <c r="AI7420">
        <v>89.541682161389005</v>
      </c>
      <c r="AJ7420">
        <v>80.6537731305975</v>
      </c>
      <c r="AK7420">
        <v>87.217514053977993</v>
      </c>
      <c r="AL7420">
        <v>91.038451739772199</v>
      </c>
      <c r="AM7420">
        <v>89.938618335696106</v>
      </c>
      <c r="AN7420">
        <v>1.0000000162406899</v>
      </c>
    </row>
    <row r="7421" spans="1:40" x14ac:dyDescent="0.25">
      <c r="A7421" t="str">
        <f>"20190303153953720"</f>
        <v>20190303153953720</v>
      </c>
      <c r="B7421" t="str">
        <f>"1551598793715308"</f>
        <v>1551598793715308</v>
      </c>
      <c r="C7421" t="s">
        <v>40</v>
      </c>
      <c r="D7421">
        <v>4.4138799999999998</v>
      </c>
      <c r="E7421">
        <v>0.56198609999999904</v>
      </c>
      <c r="F7421" t="s">
        <v>80</v>
      </c>
      <c r="G7421">
        <v>-279.02</v>
      </c>
      <c r="H7421">
        <v>1.743943</v>
      </c>
      <c r="I7421">
        <v>2.563618</v>
      </c>
      <c r="J7421">
        <v>-364.83479999999997</v>
      </c>
      <c r="K7421">
        <v>1.1214230000000001</v>
      </c>
      <c r="L7421">
        <v>17.377500000000001</v>
      </c>
      <c r="M7421">
        <v>0.99988960000000005</v>
      </c>
      <c r="N7421">
        <v>-1.277999E-2</v>
      </c>
      <c r="O7421">
        <v>-7.5932069999999898E-3</v>
      </c>
      <c r="P7421">
        <v>0.9994788</v>
      </c>
      <c r="Q7421">
        <v>-3.1145229999999999E-2</v>
      </c>
      <c r="R7421">
        <v>-8.4951179999999994E-3</v>
      </c>
      <c r="S7421">
        <v>2.9976500000000001</v>
      </c>
      <c r="T7421">
        <v>2.171147E-2</v>
      </c>
      <c r="U7421">
        <v>-0.51669309999999902</v>
      </c>
      <c r="V7421">
        <v>9.1719420000000004E-4</v>
      </c>
      <c r="W7421">
        <v>-1.8368300000000001E-2</v>
      </c>
      <c r="X7421">
        <v>0.99983080000000002</v>
      </c>
      <c r="Y7421">
        <v>0.16237760000000001</v>
      </c>
      <c r="Z7421">
        <v>-6.1242519999999995E-4</v>
      </c>
      <c r="AA7421">
        <v>0.98672850000000001</v>
      </c>
      <c r="AB7421">
        <v>25</v>
      </c>
      <c r="AC7421">
        <v>85.814799999999906</v>
      </c>
      <c r="AD7421">
        <v>0.62251999999999996</v>
      </c>
      <c r="AE7421">
        <v>-14.813882</v>
      </c>
      <c r="AF7421">
        <v>14.161068523466801</v>
      </c>
      <c r="AG7421">
        <v>0.62251999999999996</v>
      </c>
      <c r="AH7421">
        <v>85.920429086035398</v>
      </c>
      <c r="AI7421">
        <v>89.590407365138304</v>
      </c>
      <c r="AJ7421">
        <v>80.6408736211324</v>
      </c>
      <c r="AK7421">
        <v>87.081820876720002</v>
      </c>
      <c r="AL7421">
        <v>91.0524853276779</v>
      </c>
      <c r="AM7421">
        <v>89.947439764895506</v>
      </c>
      <c r="AN7421">
        <v>0.999999932159362</v>
      </c>
    </row>
    <row r="7422" spans="1:40" x14ac:dyDescent="0.25">
      <c r="A7422" t="str">
        <f>"20190303153953735"</f>
        <v>20190303153953735</v>
      </c>
      <c r="B7422" t="str">
        <f>"1551598793726043"</f>
        <v>1551598793726043</v>
      </c>
      <c r="C7422" t="s">
        <v>40</v>
      </c>
      <c r="D7422">
        <v>4.3955409999999997</v>
      </c>
      <c r="E7422">
        <v>0.5620233</v>
      </c>
      <c r="F7422" t="s">
        <v>80</v>
      </c>
      <c r="G7422">
        <v>-279.02</v>
      </c>
      <c r="H7422">
        <v>1.6686879999999999</v>
      </c>
      <c r="I7422">
        <v>2.5705179999999999</v>
      </c>
      <c r="J7422">
        <v>-364.65030000000002</v>
      </c>
      <c r="K7422">
        <v>1.1214109999999999</v>
      </c>
      <c r="L7422">
        <v>17.376429999999999</v>
      </c>
      <c r="M7422">
        <v>0.99989340000000004</v>
      </c>
      <c r="N7422">
        <v>-1.265553E-2</v>
      </c>
      <c r="O7422">
        <v>-7.2887269999999896E-3</v>
      </c>
      <c r="P7422">
        <v>0.99946429999999997</v>
      </c>
      <c r="Q7422">
        <v>-3.1759519999999999E-2</v>
      </c>
      <c r="R7422">
        <v>-7.9019810000000006E-3</v>
      </c>
      <c r="S7422">
        <v>2.9977109999999998</v>
      </c>
      <c r="T7422">
        <v>1.9117240000000001E-2</v>
      </c>
      <c r="U7422">
        <v>-0.51724239999999999</v>
      </c>
      <c r="V7422">
        <v>6.2899419999999998E-4</v>
      </c>
      <c r="W7422">
        <v>-1.9107409999999998E-2</v>
      </c>
      <c r="X7422">
        <v>0.99981730000000002</v>
      </c>
      <c r="Y7422">
        <v>0.1628501</v>
      </c>
      <c r="Z7422">
        <v>-6.6032489999999998E-4</v>
      </c>
      <c r="AA7422">
        <v>0.98665060000000004</v>
      </c>
      <c r="AB7422">
        <v>25</v>
      </c>
      <c r="AC7422">
        <v>85.630300000000005</v>
      </c>
      <c r="AD7422">
        <v>0.54727700000000001</v>
      </c>
      <c r="AE7422">
        <v>-14.805911999999999</v>
      </c>
      <c r="AF7422">
        <v>14.1807703829885</v>
      </c>
      <c r="AG7422">
        <v>0.54727700000000001</v>
      </c>
      <c r="AH7422">
        <v>85.732549658763801</v>
      </c>
      <c r="AI7422">
        <v>89.639157962197004</v>
      </c>
      <c r="AJ7422">
        <v>80.607910795012003</v>
      </c>
      <c r="AK7422">
        <v>86.899158981903696</v>
      </c>
      <c r="AL7422">
        <v>91.094840510247295</v>
      </c>
      <c r="AM7422">
        <v>89.963954706281001</v>
      </c>
      <c r="AN7422">
        <v>1.00000006106494</v>
      </c>
    </row>
    <row r="7423" spans="1:40" x14ac:dyDescent="0.25">
      <c r="A7423" t="str">
        <f>"20190303153953746"</f>
        <v>20190303153953746</v>
      </c>
      <c r="B7423" t="str">
        <f>"1551598793735804"</f>
        <v>1551598793735804</v>
      </c>
      <c r="C7423" t="s">
        <v>40</v>
      </c>
      <c r="D7423">
        <v>4.3882409999999998</v>
      </c>
      <c r="E7423">
        <v>0.56210230000000005</v>
      </c>
      <c r="F7423" t="s">
        <v>80</v>
      </c>
      <c r="G7423">
        <v>-279.02</v>
      </c>
      <c r="H7423">
        <v>1.5852280000000001</v>
      </c>
      <c r="I7423">
        <v>2.6439149999999998</v>
      </c>
      <c r="J7423">
        <v>-364.5247</v>
      </c>
      <c r="K7423">
        <v>1.1213979999999999</v>
      </c>
      <c r="L7423">
        <v>17.375729999999901</v>
      </c>
      <c r="M7423">
        <v>0.99989600000000001</v>
      </c>
      <c r="N7423">
        <v>-1.2571239999999999E-2</v>
      </c>
      <c r="O7423">
        <v>-7.0841530000000002E-3</v>
      </c>
      <c r="P7423">
        <v>0.99946849999999998</v>
      </c>
      <c r="Q7423">
        <v>-3.1683780000000002E-2</v>
      </c>
      <c r="R7423">
        <v>-7.688131E-3</v>
      </c>
      <c r="S7423">
        <v>2.9980470000000001</v>
      </c>
      <c r="T7423">
        <v>1.6238929999999999E-2</v>
      </c>
      <c r="U7423">
        <v>-0.51580809999999999</v>
      </c>
      <c r="V7423">
        <v>6.1948319999999995E-4</v>
      </c>
      <c r="W7423">
        <v>-1.9115940000000001E-2</v>
      </c>
      <c r="X7423">
        <v>0.99981710000000001</v>
      </c>
      <c r="Y7423">
        <v>0.16257469999999999</v>
      </c>
      <c r="Z7423">
        <v>-7.1879379999999996E-4</v>
      </c>
      <c r="AA7423">
        <v>0.98669600000000002</v>
      </c>
      <c r="AB7423">
        <v>25</v>
      </c>
      <c r="AC7423">
        <v>85.5047</v>
      </c>
      <c r="AD7423">
        <v>0.46383000000000002</v>
      </c>
      <c r="AE7423">
        <v>-14.7318149999999</v>
      </c>
      <c r="AF7423">
        <v>14.1252654281282</v>
      </c>
      <c r="AG7423">
        <v>0.46383000000000002</v>
      </c>
      <c r="AH7423">
        <v>85.604478351166705</v>
      </c>
      <c r="AI7423">
        <v>89.693699556541205</v>
      </c>
      <c r="AJ7423">
        <v>80.630271852530797</v>
      </c>
      <c r="AK7423">
        <v>86.763269737022597</v>
      </c>
      <c r="AL7423">
        <v>91.095329379468694</v>
      </c>
      <c r="AM7423">
        <v>89.964499738704902</v>
      </c>
      <c r="AN7423">
        <v>1.0000000181869599</v>
      </c>
    </row>
    <row r="7424" spans="1:40" x14ac:dyDescent="0.25">
      <c r="A7424" t="str">
        <f>"20190303153953758"</f>
        <v>20190303153953758</v>
      </c>
      <c r="B7424" t="str">
        <f>"1551598793745564"</f>
        <v>1551598793745564</v>
      </c>
      <c r="C7424" t="s">
        <v>40</v>
      </c>
      <c r="D7424">
        <v>4.3805040000000002</v>
      </c>
      <c r="E7424">
        <v>0.56214379999999997</v>
      </c>
      <c r="F7424" t="s">
        <v>80</v>
      </c>
      <c r="G7424">
        <v>-279.02</v>
      </c>
      <c r="H7424">
        <v>1.5669550000000001</v>
      </c>
      <c r="I7424">
        <v>2.6633830000000001</v>
      </c>
      <c r="J7424">
        <v>-364.40039999999999</v>
      </c>
      <c r="K7424">
        <v>1.121391</v>
      </c>
      <c r="L7424">
        <v>17.375060000000001</v>
      </c>
      <c r="M7424">
        <v>0.99989839999999997</v>
      </c>
      <c r="N7424">
        <v>-1.2490070000000001E-2</v>
      </c>
      <c r="O7424">
        <v>-6.8834229999999996E-3</v>
      </c>
      <c r="P7424">
        <v>0.99947799999999998</v>
      </c>
      <c r="Q7424">
        <v>-3.144313E-2</v>
      </c>
      <c r="R7424">
        <v>-7.43699599999999E-3</v>
      </c>
      <c r="S7424">
        <v>2.9981080000000002</v>
      </c>
      <c r="T7424">
        <v>1.5622850000000001E-2</v>
      </c>
      <c r="U7424">
        <v>-0.51586909999999997</v>
      </c>
      <c r="V7424">
        <v>5.6891310000000003E-4</v>
      </c>
      <c r="W7424">
        <v>-1.895641E-2</v>
      </c>
      <c r="X7424">
        <v>0.99982020000000005</v>
      </c>
      <c r="Y7424">
        <v>0.16278879999999901</v>
      </c>
      <c r="Z7424">
        <v>-7.2398869999999998E-4</v>
      </c>
      <c r="AA7424">
        <v>0.98666069999999995</v>
      </c>
      <c r="AB7424">
        <v>25</v>
      </c>
      <c r="AC7424">
        <v>85.380399999999995</v>
      </c>
      <c r="AD7424">
        <v>0.44556399999999902</v>
      </c>
      <c r="AE7424">
        <v>-14.711677</v>
      </c>
      <c r="AF7424">
        <v>14.1231996770848</v>
      </c>
      <c r="AG7424">
        <v>0.44556399999999902</v>
      </c>
      <c r="AH7424">
        <v>85.477390790716598</v>
      </c>
      <c r="AI7424">
        <v>89.705334708874801</v>
      </c>
      <c r="AJ7424">
        <v>80.617936425366395</v>
      </c>
      <c r="AK7424">
        <v>86.637449366805498</v>
      </c>
      <c r="AL7424">
        <v>91.086187291981901</v>
      </c>
      <c r="AM7424">
        <v>89.967397822106705</v>
      </c>
      <c r="AN7424">
        <v>1.0000000507351201</v>
      </c>
    </row>
    <row r="7425" spans="1:40" x14ac:dyDescent="0.25">
      <c r="A7425" t="str">
        <f>"20190303153953770"</f>
        <v>20190303153953770</v>
      </c>
      <c r="B7425" t="str">
        <f>"1551598793766060"</f>
        <v>1551598793766060</v>
      </c>
      <c r="C7425" t="s">
        <v>40</v>
      </c>
      <c r="D7425">
        <v>4.3559099999999997</v>
      </c>
      <c r="E7425">
        <v>0.56228889999999998</v>
      </c>
      <c r="F7425" t="s">
        <v>80</v>
      </c>
      <c r="G7425">
        <v>-279.02</v>
      </c>
      <c r="H7425">
        <v>1.5646639999999901</v>
      </c>
      <c r="I7425">
        <v>2.6949689999999999</v>
      </c>
      <c r="J7425">
        <v>-364.26330000000002</v>
      </c>
      <c r="K7425">
        <v>1.1213820000000001</v>
      </c>
      <c r="L7425">
        <v>17.374359999999999</v>
      </c>
      <c r="M7425">
        <v>0.99990109999999999</v>
      </c>
      <c r="N7425">
        <v>-1.2401590000000001E-2</v>
      </c>
      <c r="O7425">
        <v>-6.6628709999999999E-3</v>
      </c>
      <c r="P7425">
        <v>0.99948239999999999</v>
      </c>
      <c r="Q7425">
        <v>-3.1327099999999997E-2</v>
      </c>
      <c r="R7425">
        <v>-7.3450909999999998E-3</v>
      </c>
      <c r="S7425">
        <v>2.9981990000000001</v>
      </c>
      <c r="T7425">
        <v>1.5565870000000001E-2</v>
      </c>
      <c r="U7425">
        <v>-0.51550289999999999</v>
      </c>
      <c r="V7425">
        <v>6.9738319999999995E-4</v>
      </c>
      <c r="W7425">
        <v>-1.8928730000000001E-2</v>
      </c>
      <c r="X7425">
        <v>0.99982059999999995</v>
      </c>
      <c r="Y7425">
        <v>0.16288429999999901</v>
      </c>
      <c r="Z7425">
        <v>-7.1403059999999895E-4</v>
      </c>
      <c r="AA7425">
        <v>0.98664490000000005</v>
      </c>
      <c r="AB7425">
        <v>25</v>
      </c>
      <c r="AC7425">
        <v>85.243300000000005</v>
      </c>
      <c r="AD7425">
        <v>0.44328200000000001</v>
      </c>
      <c r="AE7425">
        <v>-14.679391000000001</v>
      </c>
      <c r="AF7425">
        <v>14.110685838544301</v>
      </c>
      <c r="AG7425">
        <v>0.44328200000000001</v>
      </c>
      <c r="AH7425">
        <v>85.336980716482401</v>
      </c>
      <c r="AI7425">
        <v>89.706367416524699</v>
      </c>
      <c r="AJ7425">
        <v>80.610952751769801</v>
      </c>
      <c r="AK7425">
        <v>86.496868333893502</v>
      </c>
      <c r="AL7425">
        <v>91.084601106983499</v>
      </c>
      <c r="AM7425">
        <v>89.960035722825296</v>
      </c>
      <c r="AN7425">
        <v>1.00000000767355</v>
      </c>
    </row>
    <row r="7426" spans="1:40" x14ac:dyDescent="0.25">
      <c r="A7426" t="str">
        <f>"20190303153953782"</f>
        <v>20190303153953782</v>
      </c>
      <c r="B7426" t="str">
        <f>"1551598793775820"</f>
        <v>1551598793775820</v>
      </c>
      <c r="C7426" t="s">
        <v>40</v>
      </c>
      <c r="D7426">
        <v>4.3505539999999998</v>
      </c>
      <c r="E7426">
        <v>0.56240440000000003</v>
      </c>
      <c r="F7426" t="s">
        <v>80</v>
      </c>
      <c r="G7426">
        <v>-279.02</v>
      </c>
      <c r="H7426">
        <v>1.5526519999999999</v>
      </c>
      <c r="I7426">
        <v>2.6928230000000002</v>
      </c>
      <c r="J7426">
        <v>-364.12909999999999</v>
      </c>
      <c r="K7426">
        <v>1.121373</v>
      </c>
      <c r="L7426">
        <v>17.373719999999999</v>
      </c>
      <c r="M7426">
        <v>0.9999034</v>
      </c>
      <c r="N7426">
        <v>-1.2318920000000001E-2</v>
      </c>
      <c r="O7426">
        <v>-6.4479669999999998E-3</v>
      </c>
      <c r="P7426">
        <v>0.99949330000000003</v>
      </c>
      <c r="Q7426">
        <v>-3.104146E-2</v>
      </c>
      <c r="R7426">
        <v>-7.0364759999999998E-3</v>
      </c>
      <c r="S7426">
        <v>2.99823</v>
      </c>
      <c r="T7426">
        <v>1.5168910000000001E-2</v>
      </c>
      <c r="U7426">
        <v>-0.51638790000000001</v>
      </c>
      <c r="V7426">
        <v>6.0335119999999998E-4</v>
      </c>
      <c r="W7426">
        <v>-1.8725729999999999E-2</v>
      </c>
      <c r="X7426">
        <v>0.9998245</v>
      </c>
      <c r="Y7426">
        <v>0.16337739999999901</v>
      </c>
      <c r="Z7426">
        <v>-7.1467939999999999E-4</v>
      </c>
      <c r="AA7426">
        <v>0.98656339999999998</v>
      </c>
      <c r="AB7426">
        <v>25</v>
      </c>
      <c r="AC7426">
        <v>85.109099999999998</v>
      </c>
      <c r="AD7426">
        <v>0.43127900000000002</v>
      </c>
      <c r="AE7426">
        <v>-14.680897</v>
      </c>
      <c r="AF7426">
        <v>14.1314171032007</v>
      </c>
      <c r="AG7426">
        <v>0.43127900000000002</v>
      </c>
      <c r="AH7426">
        <v>85.199875005497304</v>
      </c>
      <c r="AI7426">
        <v>89.713881915541094</v>
      </c>
      <c r="AJ7426">
        <v>80.582544574364206</v>
      </c>
      <c r="AK7426">
        <v>86.364932998716796</v>
      </c>
      <c r="AL7426">
        <v>91.072967984456099</v>
      </c>
      <c r="AM7426">
        <v>89.965424458864604</v>
      </c>
      <c r="AN7426">
        <v>1.0000000238984701</v>
      </c>
    </row>
    <row r="7427" spans="1:40" x14ac:dyDescent="0.25">
      <c r="A7427" t="str">
        <f>"20190303153953792"</f>
        <v>20190303153953792</v>
      </c>
      <c r="B7427" t="str">
        <f>"1551598793786090"</f>
        <v>1551598793786090</v>
      </c>
      <c r="C7427" t="s">
        <v>40</v>
      </c>
      <c r="D7427">
        <v>4.3920320000000004</v>
      </c>
      <c r="E7427">
        <v>0.56237399999999904</v>
      </c>
      <c r="F7427" t="s">
        <v>80</v>
      </c>
      <c r="G7427">
        <v>-279.02</v>
      </c>
      <c r="H7427">
        <v>1.5683320000000001</v>
      </c>
      <c r="I7427">
        <v>2.7153320000000001</v>
      </c>
      <c r="J7427">
        <v>-364.01369999999997</v>
      </c>
      <c r="K7427">
        <v>1.1213630000000001</v>
      </c>
      <c r="L7427">
        <v>17.373169999999998</v>
      </c>
      <c r="M7427">
        <v>0.9999053</v>
      </c>
      <c r="N7427">
        <v>-1.22486E-2</v>
      </c>
      <c r="O7427">
        <v>-6.2634120000000003E-3</v>
      </c>
      <c r="P7427">
        <v>0.99950399999999995</v>
      </c>
      <c r="Q7427">
        <v>-3.072076E-2</v>
      </c>
      <c r="R7427">
        <v>-6.9349429999999998E-3</v>
      </c>
      <c r="S7427">
        <v>2.9984130000000002</v>
      </c>
      <c r="T7427">
        <v>1.5746469999999999E-2</v>
      </c>
      <c r="U7427">
        <v>-0.5164185</v>
      </c>
      <c r="V7427">
        <v>6.8603580000000004E-4</v>
      </c>
      <c r="W7427">
        <v>-1.8475200000000001E-2</v>
      </c>
      <c r="X7427">
        <v>0.99982910000000003</v>
      </c>
      <c r="Y7427">
        <v>0.16355910000000001</v>
      </c>
      <c r="Z7427">
        <v>-6.9151879999999996E-4</v>
      </c>
      <c r="AA7427">
        <v>0.98653329999999995</v>
      </c>
      <c r="AB7427">
        <v>25</v>
      </c>
      <c r="AC7427">
        <v>84.993699999999905</v>
      </c>
      <c r="AD7427">
        <v>0.44696900000000001</v>
      </c>
      <c r="AE7427">
        <v>-14.657838</v>
      </c>
      <c r="AF7427">
        <v>14.1247805586982</v>
      </c>
      <c r="AG7427">
        <v>0.44696900000000001</v>
      </c>
      <c r="AH7427">
        <v>85.081562528051705</v>
      </c>
      <c r="AI7427">
        <v>89.703068059048505</v>
      </c>
      <c r="AJ7427">
        <v>80.574033214520298</v>
      </c>
      <c r="AK7427">
        <v>86.247211487288695</v>
      </c>
      <c r="AL7427">
        <v>91.058611197246293</v>
      </c>
      <c r="AM7427">
        <v>89.960686331527796</v>
      </c>
      <c r="AN7427">
        <v>1.0000000164334799</v>
      </c>
    </row>
    <row r="7428" spans="1:40" x14ac:dyDescent="0.25">
      <c r="A7428" t="str">
        <f>"20190303153953803"</f>
        <v>20190303153953803</v>
      </c>
      <c r="B7428" t="str">
        <f>"1551598793795850"</f>
        <v>1551598793795850</v>
      </c>
      <c r="C7428" t="s">
        <v>40</v>
      </c>
      <c r="D7428">
        <v>4.453551</v>
      </c>
      <c r="E7428">
        <v>0.56237399999999904</v>
      </c>
      <c r="F7428" t="s">
        <v>80</v>
      </c>
      <c r="G7428">
        <v>-279.02</v>
      </c>
      <c r="H7428">
        <v>1.5752269999999999</v>
      </c>
      <c r="I7428">
        <v>2.7493669999999999</v>
      </c>
      <c r="J7428">
        <v>-363.88389999999998</v>
      </c>
      <c r="K7428">
        <v>1.121354</v>
      </c>
      <c r="L7428">
        <v>17.372589999999999</v>
      </c>
      <c r="M7428">
        <v>0.99990760000000001</v>
      </c>
      <c r="N7428">
        <v>-1.2171670000000001E-2</v>
      </c>
      <c r="O7428">
        <v>-6.056535E-3</v>
      </c>
      <c r="P7428">
        <v>0.99951009999999996</v>
      </c>
      <c r="Q7428">
        <v>-3.0565740000000001E-2</v>
      </c>
      <c r="R7428">
        <v>-6.7388959999999899E-3</v>
      </c>
      <c r="S7428">
        <v>2.9984130000000002</v>
      </c>
      <c r="T7428">
        <v>1.6011480000000002E-2</v>
      </c>
      <c r="U7428">
        <v>-0.51589969999999996</v>
      </c>
      <c r="V7428">
        <v>6.9651109999999995E-4</v>
      </c>
      <c r="W7428">
        <v>-1.839706E-2</v>
      </c>
      <c r="X7428">
        <v>0.99983049999999996</v>
      </c>
      <c r="Y7428">
        <v>0.1635974</v>
      </c>
      <c r="Z7428">
        <v>-6.7459399999999896E-4</v>
      </c>
      <c r="AA7428">
        <v>0.98652700000000004</v>
      </c>
      <c r="AB7428">
        <v>25</v>
      </c>
      <c r="AC7428">
        <v>84.863900000000001</v>
      </c>
      <c r="AD7428">
        <v>0.45387299999999903</v>
      </c>
      <c r="AE7428">
        <v>-14.623222999999999</v>
      </c>
      <c r="AF7428">
        <v>14.108543588322901</v>
      </c>
      <c r="AG7428">
        <v>0.45387299999999903</v>
      </c>
      <c r="AH7428">
        <v>84.948556124872695</v>
      </c>
      <c r="AI7428">
        <v>89.698012924575096</v>
      </c>
      <c r="AJ7428">
        <v>80.5701973177936</v>
      </c>
      <c r="AK7428">
        <v>86.113379858094007</v>
      </c>
      <c r="AL7428">
        <v>91.054133379470997</v>
      </c>
      <c r="AM7428">
        <v>89.960086094634505</v>
      </c>
      <c r="AN7428">
        <v>0.99999998283730196</v>
      </c>
    </row>
    <row r="7429" spans="1:40" x14ac:dyDescent="0.25">
      <c r="A7429" t="str">
        <f>"20190303153953816"</f>
        <v>20190303153953816</v>
      </c>
      <c r="B7429" t="str">
        <f>"1551598793806111"</f>
        <v>1551598793806111</v>
      </c>
      <c r="C7429" t="s">
        <v>40</v>
      </c>
      <c r="D7429">
        <v>4.4411459999999998</v>
      </c>
      <c r="E7429">
        <v>0.54067469999999995</v>
      </c>
      <c r="F7429" t="s">
        <v>80</v>
      </c>
      <c r="G7429">
        <v>-279.02</v>
      </c>
      <c r="H7429">
        <v>1.5900099999999999</v>
      </c>
      <c r="I7429">
        <v>2.7895599999999998</v>
      </c>
      <c r="J7429">
        <v>-363.74549999999999</v>
      </c>
      <c r="K7429">
        <v>1.121345</v>
      </c>
      <c r="L7429">
        <v>17.371979999999901</v>
      </c>
      <c r="M7429">
        <v>0.99990979999999996</v>
      </c>
      <c r="N7429">
        <v>-1.209082E-2</v>
      </c>
      <c r="O7429">
        <v>-5.8362850000000001E-3</v>
      </c>
      <c r="P7429">
        <v>0.99951120000000004</v>
      </c>
      <c r="Q7429">
        <v>-3.05969E-2</v>
      </c>
      <c r="R7429">
        <v>-6.4154290000000003E-3</v>
      </c>
      <c r="S7429">
        <v>2.9984739999999999</v>
      </c>
      <c r="T7429">
        <v>1.655889E-2</v>
      </c>
      <c r="U7429">
        <v>-0.51525880000000002</v>
      </c>
      <c r="V7429">
        <v>5.9333430000000004E-4</v>
      </c>
      <c r="W7429">
        <v>-1.8509129999999999E-2</v>
      </c>
      <c r="X7429">
        <v>0.99982850000000001</v>
      </c>
      <c r="Y7429">
        <v>0.16360649999999999</v>
      </c>
      <c r="Z7429">
        <v>-6.4988260000000005E-4</v>
      </c>
      <c r="AA7429">
        <v>0.98652550000000006</v>
      </c>
      <c r="AB7429">
        <v>25</v>
      </c>
      <c r="AC7429">
        <v>84.725499999999997</v>
      </c>
      <c r="AD7429">
        <v>0.468665</v>
      </c>
      <c r="AE7429">
        <v>-14.5824199999999</v>
      </c>
      <c r="AF7429">
        <v>14.087234615909701</v>
      </c>
      <c r="AG7429">
        <v>0.468665</v>
      </c>
      <c r="AH7429">
        <v>84.806649916146498</v>
      </c>
      <c r="AI7429">
        <v>89.687650746401104</v>
      </c>
      <c r="AJ7429">
        <v>80.568711909692894</v>
      </c>
      <c r="AK7429">
        <v>85.969981365623994</v>
      </c>
      <c r="AL7429">
        <v>91.060555609176504</v>
      </c>
      <c r="AM7429">
        <v>89.965998621523894</v>
      </c>
      <c r="AN7429">
        <v>0.99999998467559903</v>
      </c>
    </row>
    <row r="7430" spans="1:40" x14ac:dyDescent="0.25">
      <c r="A7430" t="str">
        <f>"20190303153953830"</f>
        <v>20190303153953830</v>
      </c>
      <c r="B7430" t="str">
        <f>"1551598793825632"</f>
        <v>1551598793825632</v>
      </c>
      <c r="C7430" t="s">
        <v>40</v>
      </c>
      <c r="D7430">
        <v>4.4031539999999998</v>
      </c>
      <c r="E7430">
        <v>0.53803710000000005</v>
      </c>
      <c r="F7430" t="s">
        <v>43</v>
      </c>
      <c r="G7430">
        <v>-276.14640000000003</v>
      </c>
      <c r="H7430">
        <v>-0.05</v>
      </c>
      <c r="I7430">
        <v>7.3627009999999897</v>
      </c>
      <c r="J7430">
        <v>-363.58330000000001</v>
      </c>
      <c r="K7430">
        <v>1.1213360000000001</v>
      </c>
      <c r="L7430">
        <v>17.371310000000001</v>
      </c>
      <c r="M7430">
        <v>0.99991240000000003</v>
      </c>
      <c r="N7430">
        <v>-1.1997399999999899E-2</v>
      </c>
      <c r="O7430">
        <v>-5.5785390000000004E-3</v>
      </c>
      <c r="P7430">
        <v>0.99951120000000004</v>
      </c>
      <c r="Q7430">
        <v>-3.064737E-2</v>
      </c>
      <c r="R7430">
        <v>-6.1985499999999997E-3</v>
      </c>
      <c r="S7430">
        <v>2.9980159999999998</v>
      </c>
      <c r="T7430">
        <v>-4.008842E-2</v>
      </c>
      <c r="U7430">
        <v>-0.34255980000000003</v>
      </c>
      <c r="V7430">
        <v>6.338944E-4</v>
      </c>
      <c r="W7430">
        <v>-1.8653010000000001E-2</v>
      </c>
      <c r="X7430">
        <v>0.99982579999999999</v>
      </c>
      <c r="Y7430">
        <v>0.10796070000000001</v>
      </c>
      <c r="Z7430">
        <v>-1.361611E-3</v>
      </c>
      <c r="AA7430">
        <v>0.99415419999999999</v>
      </c>
      <c r="AB7430">
        <v>25</v>
      </c>
      <c r="AC7430">
        <v>87.436899999999895</v>
      </c>
      <c r="AD7430">
        <v>-1.1713359999999999</v>
      </c>
      <c r="AE7430">
        <v>-10.008609</v>
      </c>
      <c r="AF7430">
        <v>9.5189617422567991</v>
      </c>
      <c r="AG7430">
        <v>-1.1713359999999999</v>
      </c>
      <c r="AH7430">
        <v>87.475881110059106</v>
      </c>
      <c r="AI7430">
        <v>90.762665195591097</v>
      </c>
      <c r="AJ7430">
        <v>83.789616707483304</v>
      </c>
      <c r="AK7430">
        <v>88.000070662793505</v>
      </c>
      <c r="AL7430">
        <v>91.068800750815399</v>
      </c>
      <c r="AM7430">
        <v>89.963674203135497</v>
      </c>
      <c r="AN7430">
        <v>0.99999998347490504</v>
      </c>
    </row>
    <row r="7431" spans="1:40" x14ac:dyDescent="0.25">
      <c r="A7431" t="str">
        <f>"20190303153953848"</f>
        <v>20190303153953848</v>
      </c>
      <c r="B7431" t="str">
        <f>"1551598793835392"</f>
        <v>1551598793835392</v>
      </c>
      <c r="C7431" t="s">
        <v>40</v>
      </c>
      <c r="D7431">
        <v>4.3991150000000001</v>
      </c>
      <c r="E7431">
        <v>0.53691169999999899</v>
      </c>
      <c r="F7431" t="s">
        <v>43</v>
      </c>
      <c r="G7431">
        <v>-279.09719999999999</v>
      </c>
      <c r="H7431">
        <v>-0.05</v>
      </c>
      <c r="I7431">
        <v>8.3288879999999992</v>
      </c>
      <c r="J7431">
        <v>-363.37990000000002</v>
      </c>
      <c r="K7431">
        <v>1.121327</v>
      </c>
      <c r="L7431">
        <v>17.370539999999998</v>
      </c>
      <c r="M7431">
        <v>0.99991560000000002</v>
      </c>
      <c r="N7431">
        <v>-1.188616E-2</v>
      </c>
      <c r="O7431">
        <v>-5.256681E-3</v>
      </c>
      <c r="P7431">
        <v>0.9995212</v>
      </c>
      <c r="Q7431">
        <v>-3.0330019999999999E-2</v>
      </c>
      <c r="R7431">
        <v>-6.1374480000000002E-3</v>
      </c>
      <c r="S7431">
        <v>2.9981990000000001</v>
      </c>
      <c r="T7431">
        <v>-4.1567800000000002E-2</v>
      </c>
      <c r="U7431">
        <v>-0.32089230000000002</v>
      </c>
      <c r="V7431">
        <v>8.9438089999999896E-4</v>
      </c>
      <c r="W7431">
        <v>-1.8446629999999999E-2</v>
      </c>
      <c r="X7431">
        <v>0.99982950000000004</v>
      </c>
      <c r="Y7431">
        <v>0.101174</v>
      </c>
      <c r="Z7431">
        <v>-1.292039E-3</v>
      </c>
      <c r="AA7431">
        <v>0.99486790000000003</v>
      </c>
      <c r="AB7431">
        <v>25</v>
      </c>
      <c r="AC7431">
        <v>84.282700000000006</v>
      </c>
      <c r="AD7431">
        <v>-1.171327</v>
      </c>
      <c r="AE7431">
        <v>-9.0416519999999903</v>
      </c>
      <c r="AF7431">
        <v>8.5968069941811898</v>
      </c>
      <c r="AG7431">
        <v>-1.171327</v>
      </c>
      <c r="AH7431">
        <v>84.312968584545104</v>
      </c>
      <c r="AI7431">
        <v>90.791831632039901</v>
      </c>
      <c r="AJ7431">
        <v>84.178068065514594</v>
      </c>
      <c r="AK7431">
        <v>84.758207679106903</v>
      </c>
      <c r="AL7431">
        <v>91.056973938582203</v>
      </c>
      <c r="AM7431">
        <v>89.948747024188805</v>
      </c>
      <c r="AN7431">
        <v>1.0000000535728899</v>
      </c>
    </row>
    <row r="7432" spans="1:40" x14ac:dyDescent="0.25">
      <c r="A7432" t="str">
        <f>"20190303153953861"</f>
        <v>20190303153953861</v>
      </c>
      <c r="B7432" t="str">
        <f>"1551598793855888"</f>
        <v>1551598793855888</v>
      </c>
      <c r="C7432" t="s">
        <v>40</v>
      </c>
      <c r="D7432">
        <v>4.4247129999999997</v>
      </c>
      <c r="E7432">
        <v>0.53529689999999996</v>
      </c>
      <c r="F7432" t="s">
        <v>43</v>
      </c>
      <c r="G7432">
        <v>-286.94170000000003</v>
      </c>
      <c r="H7432">
        <v>-0.05</v>
      </c>
      <c r="I7432">
        <v>9.4203189999999992</v>
      </c>
      <c r="J7432">
        <v>-363.23790000000002</v>
      </c>
      <c r="K7432">
        <v>1.1213219999999999</v>
      </c>
      <c r="L7432">
        <v>17.37003</v>
      </c>
      <c r="M7432">
        <v>0.99991759999999996</v>
      </c>
      <c r="N7432">
        <v>-1.1812400000000001E-2</v>
      </c>
      <c r="O7432">
        <v>-5.0325309999999998E-3</v>
      </c>
      <c r="P7432">
        <v>0.99953519999999896</v>
      </c>
      <c r="Q7432">
        <v>-2.9899530000000001E-2</v>
      </c>
      <c r="R7432">
        <v>-5.9617359999999996E-3</v>
      </c>
      <c r="S7432">
        <v>2.9981080000000002</v>
      </c>
      <c r="T7432">
        <v>-4.5942539999999997E-2</v>
      </c>
      <c r="U7432">
        <v>-0.31182860000000001</v>
      </c>
      <c r="V7432">
        <v>9.4240670000000004E-4</v>
      </c>
      <c r="W7432">
        <v>-1.808974E-2</v>
      </c>
      <c r="X7432">
        <v>0.9998359</v>
      </c>
      <c r="Y7432">
        <v>9.8422930000000006E-2</v>
      </c>
      <c r="Z7432">
        <v>-1.3173779999999999E-3</v>
      </c>
      <c r="AA7432">
        <v>0.99514380000000002</v>
      </c>
      <c r="AB7432">
        <v>25</v>
      </c>
      <c r="AC7432">
        <v>76.296199999999999</v>
      </c>
      <c r="AD7432">
        <v>-1.171322</v>
      </c>
      <c r="AE7432">
        <v>-7.94971099999999</v>
      </c>
      <c r="AF7432">
        <v>7.5638569454352096</v>
      </c>
      <c r="AG7432">
        <v>-1.171322</v>
      </c>
      <c r="AH7432">
        <v>76.317449357726005</v>
      </c>
      <c r="AI7432">
        <v>90.875021483699001</v>
      </c>
      <c r="AJ7432">
        <v>84.339873980393094</v>
      </c>
      <c r="AK7432">
        <v>76.700306411302904</v>
      </c>
      <c r="AL7432">
        <v>91.036522315402294</v>
      </c>
      <c r="AM7432">
        <v>89.945995227312295</v>
      </c>
      <c r="AN7432">
        <v>0.99999997687623199</v>
      </c>
    </row>
    <row r="7433" spans="1:40" x14ac:dyDescent="0.25">
      <c r="A7433" t="str">
        <f>"20190303153953875"</f>
        <v>20190303153953875</v>
      </c>
      <c r="B7433" t="str">
        <f>"1551598793865648"</f>
        <v>1551598793865648</v>
      </c>
      <c r="C7433" t="s">
        <v>40</v>
      </c>
      <c r="D7433">
        <v>4.4312849999999999</v>
      </c>
      <c r="E7433">
        <v>0.53515230000000003</v>
      </c>
      <c r="F7433" t="s">
        <v>43</v>
      </c>
      <c r="G7433">
        <v>-295.3818</v>
      </c>
      <c r="H7433">
        <v>-0.05</v>
      </c>
      <c r="I7433">
        <v>10.612730000000001</v>
      </c>
      <c r="J7433">
        <v>-363.07839999999999</v>
      </c>
      <c r="K7433">
        <v>1.121318</v>
      </c>
      <c r="L7433">
        <v>17.369509999999998</v>
      </c>
      <c r="M7433">
        <v>0.99991980000000003</v>
      </c>
      <c r="N7433">
        <v>-1.1732090000000001E-2</v>
      </c>
      <c r="O7433">
        <v>-4.7810459999999997E-3</v>
      </c>
      <c r="P7433">
        <v>0.99953879999999995</v>
      </c>
      <c r="Q7433">
        <v>-2.9818620000000001E-2</v>
      </c>
      <c r="R7433">
        <v>-5.7230600000000003E-3</v>
      </c>
      <c r="S7433">
        <v>2.9980470000000001</v>
      </c>
      <c r="T7433">
        <v>-5.1751850000000002E-2</v>
      </c>
      <c r="U7433">
        <v>-0.29855350000000003</v>
      </c>
      <c r="V7433">
        <v>9.5528710000000001E-4</v>
      </c>
      <c r="W7433">
        <v>-1.8089109999999999E-2</v>
      </c>
      <c r="X7433">
        <v>0.9998359</v>
      </c>
      <c r="Y7433">
        <v>9.4310190000000002E-2</v>
      </c>
      <c r="Z7433">
        <v>-1.3402399999999999E-3</v>
      </c>
      <c r="AA7433">
        <v>0.99554189999999998</v>
      </c>
      <c r="AB7433">
        <v>25</v>
      </c>
      <c r="AC7433">
        <v>67.696599999999904</v>
      </c>
      <c r="AD7433">
        <v>-1.1713180000000001</v>
      </c>
      <c r="AE7433">
        <v>-6.75678</v>
      </c>
      <c r="AF7433">
        <v>6.4311136204675003</v>
      </c>
      <c r="AG7433">
        <v>-1.1713180000000001</v>
      </c>
      <c r="AH7433">
        <v>67.7080626882384</v>
      </c>
      <c r="AI7433">
        <v>90.986651687763697</v>
      </c>
      <c r="AJ7433">
        <v>84.574153907688299</v>
      </c>
      <c r="AK7433">
        <v>68.022885569864698</v>
      </c>
      <c r="AL7433">
        <v>91.036486212297604</v>
      </c>
      <c r="AM7433">
        <v>89.945257114294193</v>
      </c>
      <c r="AN7433">
        <v>0.99999997770142202</v>
      </c>
    </row>
    <row r="7434" spans="1:40" x14ac:dyDescent="0.25">
      <c r="A7434" t="str">
        <f>"20190303153953888"</f>
        <v>20190303153953888</v>
      </c>
      <c r="B7434" t="str">
        <f>"1551598793875407"</f>
        <v>1551598793875407</v>
      </c>
      <c r="C7434" t="s">
        <v>40</v>
      </c>
      <c r="D7434">
        <v>4.4096250000000001</v>
      </c>
      <c r="E7434">
        <v>0.53505719999999901</v>
      </c>
      <c r="F7434" t="s">
        <v>43</v>
      </c>
      <c r="G7434">
        <v>-296.65519999999998</v>
      </c>
      <c r="H7434">
        <v>-0.05</v>
      </c>
      <c r="I7434">
        <v>10.795</v>
      </c>
      <c r="J7434">
        <v>-362.92869999999999</v>
      </c>
      <c r="K7434">
        <v>1.1213109999999999</v>
      </c>
      <c r="L7434">
        <v>17.369019999999999</v>
      </c>
      <c r="M7434">
        <v>0.99992179999999997</v>
      </c>
      <c r="N7434">
        <v>-1.1659620000000001E-2</v>
      </c>
      <c r="O7434">
        <v>-4.5451010000000002E-3</v>
      </c>
      <c r="P7434">
        <v>0.99955519999999998</v>
      </c>
      <c r="Q7434">
        <v>-2.923562E-2</v>
      </c>
      <c r="R7434">
        <v>-5.9005849999999999E-3</v>
      </c>
      <c r="S7434">
        <v>2.998138</v>
      </c>
      <c r="T7434">
        <v>-5.2869680000000002E-2</v>
      </c>
      <c r="U7434">
        <v>-0.29675289999999999</v>
      </c>
      <c r="V7434">
        <v>1.3681779999999901E-3</v>
      </c>
      <c r="W7434">
        <v>-1.7578159999999999E-2</v>
      </c>
      <c r="X7434">
        <v>0.99984459999999997</v>
      </c>
      <c r="Y7434">
        <v>9.3949379999999999E-2</v>
      </c>
      <c r="Z7434">
        <v>-1.348333E-3</v>
      </c>
      <c r="AA7434">
        <v>0.99557609999999996</v>
      </c>
      <c r="AB7434">
        <v>25</v>
      </c>
      <c r="AC7434">
        <v>66.273499999999999</v>
      </c>
      <c r="AD7434">
        <v>-1.171311</v>
      </c>
      <c r="AE7434">
        <v>-6.57402</v>
      </c>
      <c r="AF7434">
        <v>6.2707721972419401</v>
      </c>
      <c r="AG7434">
        <v>-1.171311</v>
      </c>
      <c r="AH7434">
        <v>66.282194373477196</v>
      </c>
      <c r="AI7434">
        <v>91.007901847193807</v>
      </c>
      <c r="AJ7434">
        <v>84.595493342571004</v>
      </c>
      <c r="AK7434">
        <v>66.588466301393694</v>
      </c>
      <c r="AL7434">
        <v>91.007206209672304</v>
      </c>
      <c r="AM7434">
        <v>89.921597040085999</v>
      </c>
      <c r="AN7434">
        <v>1.00000004388459</v>
      </c>
    </row>
    <row r="7435" spans="1:40" x14ac:dyDescent="0.25">
      <c r="A7435" t="str">
        <f>"20190303153953904"</f>
        <v>20190303153953904</v>
      </c>
      <c r="B7435" t="str">
        <f>"1551598793895903"</f>
        <v>1551598793895903</v>
      </c>
      <c r="C7435" t="s">
        <v>40</v>
      </c>
      <c r="D7435">
        <v>4.4030279999999999</v>
      </c>
      <c r="E7435">
        <v>0.53506409999999904</v>
      </c>
      <c r="F7435" t="s">
        <v>43</v>
      </c>
      <c r="G7435">
        <v>-296.71460000000002</v>
      </c>
      <c r="H7435">
        <v>-0.05</v>
      </c>
      <c r="I7435">
        <v>10.819599999999999</v>
      </c>
      <c r="J7435">
        <v>-362.75400000000002</v>
      </c>
      <c r="K7435">
        <v>1.1213070000000001</v>
      </c>
      <c r="L7435">
        <v>17.36853</v>
      </c>
      <c r="M7435">
        <v>0.99992389999999998</v>
      </c>
      <c r="N7435">
        <v>-1.1581899999999999E-2</v>
      </c>
      <c r="O7435">
        <v>-4.2695490000000001E-3</v>
      </c>
      <c r="P7435">
        <v>0.99957169999999895</v>
      </c>
      <c r="Q7435">
        <v>-2.8661499999999999E-2</v>
      </c>
      <c r="R7435">
        <v>-5.919695E-3</v>
      </c>
      <c r="S7435">
        <v>2.997986</v>
      </c>
      <c r="T7435">
        <v>-5.3033589999999999E-2</v>
      </c>
      <c r="U7435">
        <v>-0.29653930000000001</v>
      </c>
      <c r="V7435">
        <v>1.662286E-3</v>
      </c>
      <c r="W7435">
        <v>-1.708142E-2</v>
      </c>
      <c r="X7435">
        <v>0.99985270000000004</v>
      </c>
      <c r="Y7435">
        <v>9.4158359999999997E-2</v>
      </c>
      <c r="Z7435">
        <v>-1.351407E-3</v>
      </c>
      <c r="AA7435">
        <v>0.99555629999999995</v>
      </c>
      <c r="AB7435">
        <v>25</v>
      </c>
      <c r="AC7435">
        <v>66.039400000000001</v>
      </c>
      <c r="AD7435">
        <v>-1.1713069999999901</v>
      </c>
      <c r="AE7435">
        <v>-6.5489300000000004</v>
      </c>
      <c r="AF7435">
        <v>6.2649413076556399</v>
      </c>
      <c r="AG7435">
        <v>-1.1713069999999901</v>
      </c>
      <c r="AH7435">
        <v>66.046186175922003</v>
      </c>
      <c r="AI7435">
        <v>91.011475547742606</v>
      </c>
      <c r="AJ7435">
        <v>84.581309149661095</v>
      </c>
      <c r="AK7435">
        <v>66.352996601971</v>
      </c>
      <c r="AL7435">
        <v>90.978740893037795</v>
      </c>
      <c r="AM7435">
        <v>89.9047440844096</v>
      </c>
      <c r="AN7435">
        <v>0.99999997990062595</v>
      </c>
    </row>
    <row r="7436" spans="1:40" x14ac:dyDescent="0.25">
      <c r="A7436" t="str">
        <f>"20190303153953915"</f>
        <v>20190303153953915</v>
      </c>
      <c r="B7436" t="str">
        <f>"1551598793906171"</f>
        <v>1551598793906171</v>
      </c>
      <c r="C7436" t="s">
        <v>40</v>
      </c>
      <c r="D7436">
        <v>4.416722</v>
      </c>
      <c r="E7436">
        <v>0.53484860000000001</v>
      </c>
      <c r="F7436" t="s">
        <v>43</v>
      </c>
      <c r="G7436">
        <v>-295.02140000000003</v>
      </c>
      <c r="H7436">
        <v>-0.05</v>
      </c>
      <c r="I7436">
        <v>10.66559</v>
      </c>
      <c r="J7436">
        <v>-362.61149999999998</v>
      </c>
      <c r="K7436">
        <v>1.1213059999999999</v>
      </c>
      <c r="L7436">
        <v>17.368189999999998</v>
      </c>
      <c r="M7436">
        <v>0.99992559999999997</v>
      </c>
      <c r="N7436">
        <v>-1.152241E-2</v>
      </c>
      <c r="O7436">
        <v>-4.0447599999999997E-3</v>
      </c>
      <c r="P7436">
        <v>0.99957569999999996</v>
      </c>
      <c r="Q7436">
        <v>-2.8514279999999999E-2</v>
      </c>
      <c r="R7436">
        <v>-5.9706630000000002E-3</v>
      </c>
      <c r="S7436">
        <v>2.9980470000000001</v>
      </c>
      <c r="T7436">
        <v>-5.1845549999999997E-2</v>
      </c>
      <c r="U7436">
        <v>-0.29669190000000001</v>
      </c>
      <c r="V7436">
        <v>1.937921E-3</v>
      </c>
      <c r="W7436">
        <v>-1.699347E-2</v>
      </c>
      <c r="X7436">
        <v>0.99985369999999996</v>
      </c>
      <c r="Y7436">
        <v>9.4431189999999998E-2</v>
      </c>
      <c r="Z7436">
        <v>-1.336631E-3</v>
      </c>
      <c r="AA7436">
        <v>0.99553049999999998</v>
      </c>
      <c r="AB7436">
        <v>25</v>
      </c>
      <c r="AC7436">
        <v>67.590099999999893</v>
      </c>
      <c r="AD7436">
        <v>-1.171306</v>
      </c>
      <c r="AE7436">
        <v>-6.7025999999999897</v>
      </c>
      <c r="AF7436">
        <v>6.4272299410111602</v>
      </c>
      <c r="AG7436">
        <v>-1.171306</v>
      </c>
      <c r="AH7436">
        <v>67.596556776907505</v>
      </c>
      <c r="AI7436">
        <v>90.988259569091696</v>
      </c>
      <c r="AJ7436">
        <v>84.568519436855198</v>
      </c>
      <c r="AK7436">
        <v>67.911528701347507</v>
      </c>
      <c r="AL7436">
        <v>90.973700999952101</v>
      </c>
      <c r="AM7436">
        <v>89.888949197976501</v>
      </c>
      <c r="AN7436">
        <v>0.99999997748206604</v>
      </c>
    </row>
    <row r="7437" spans="1:40" x14ac:dyDescent="0.25">
      <c r="A7437" t="str">
        <f>"20190303153953928"</f>
        <v>20190303153953928</v>
      </c>
      <c r="B7437" t="str">
        <f>"1551598793915932"</f>
        <v>1551598793915932</v>
      </c>
      <c r="C7437" t="s">
        <v>40</v>
      </c>
      <c r="D7437">
        <v>4.3968730000000003</v>
      </c>
      <c r="E7437">
        <v>0.53489019999999898</v>
      </c>
      <c r="F7437" t="s">
        <v>43</v>
      </c>
      <c r="G7437">
        <v>-296.55439999999999</v>
      </c>
      <c r="H7437">
        <v>-0.05</v>
      </c>
      <c r="I7437">
        <v>10.86523</v>
      </c>
      <c r="J7437">
        <v>-362.47140000000002</v>
      </c>
      <c r="K7437">
        <v>1.1213040000000001</v>
      </c>
      <c r="L7437">
        <v>17.36786</v>
      </c>
      <c r="M7437">
        <v>0.99992700000000001</v>
      </c>
      <c r="N7437">
        <v>-1.146674E-2</v>
      </c>
      <c r="O7437">
        <v>-3.823688E-3</v>
      </c>
      <c r="P7437">
        <v>0.99956849999999997</v>
      </c>
      <c r="Q7437">
        <v>-2.873479E-2</v>
      </c>
      <c r="R7437">
        <v>-6.0970030000000001E-3</v>
      </c>
      <c r="S7437">
        <v>2.997986</v>
      </c>
      <c r="T7437">
        <v>-5.3159480000000002E-2</v>
      </c>
      <c r="U7437">
        <v>-0.2951355</v>
      </c>
      <c r="V7437">
        <v>2.2856349999999998E-3</v>
      </c>
      <c r="W7437">
        <v>-1.7269509999999998E-2</v>
      </c>
      <c r="X7437">
        <v>0.99984819999999996</v>
      </c>
      <c r="Y7437">
        <v>9.4140600000000005E-2</v>
      </c>
      <c r="Z7437">
        <v>-1.3498060000000001E-3</v>
      </c>
      <c r="AA7437">
        <v>0.99555800000000005</v>
      </c>
      <c r="AB7437">
        <v>25</v>
      </c>
      <c r="AC7437">
        <v>65.917000000000002</v>
      </c>
      <c r="AD7437">
        <v>-1.1713039999999999</v>
      </c>
      <c r="AE7437">
        <v>-6.5026299999999999</v>
      </c>
      <c r="AF7437">
        <v>6.2485658836597997</v>
      </c>
      <c r="AG7437">
        <v>-1.1713039999999999</v>
      </c>
      <c r="AH7437">
        <v>65.920769797672193</v>
      </c>
      <c r="AI7437">
        <v>91.013403385741</v>
      </c>
      <c r="AJ7437">
        <v>84.585167264454995</v>
      </c>
      <c r="AK7437">
        <v>66.226614131937495</v>
      </c>
      <c r="AL7437">
        <v>90.989519284274607</v>
      </c>
      <c r="AM7437">
        <v>89.869023106814495</v>
      </c>
      <c r="AN7437">
        <v>0.999999941573114</v>
      </c>
    </row>
    <row r="7438" spans="1:40" x14ac:dyDescent="0.25">
      <c r="A7438" t="str">
        <f>"20190303153953940"</f>
        <v>20190303153953940</v>
      </c>
      <c r="B7438" t="str">
        <f>"1551598793935452"</f>
        <v>1551598793935452</v>
      </c>
      <c r="C7438" t="s">
        <v>40</v>
      </c>
      <c r="D7438">
        <v>4.4237780000000004</v>
      </c>
      <c r="E7438">
        <v>0.53484449999999994</v>
      </c>
      <c r="F7438" t="s">
        <v>43</v>
      </c>
      <c r="G7438">
        <v>-297.5933</v>
      </c>
      <c r="H7438">
        <v>-0.05</v>
      </c>
      <c r="I7438">
        <v>10.96564</v>
      </c>
      <c r="J7438">
        <v>-362.34449999999998</v>
      </c>
      <c r="K7438">
        <v>1.121302</v>
      </c>
      <c r="L7438">
        <v>17.36758</v>
      </c>
      <c r="M7438">
        <v>0.99992829999999999</v>
      </c>
      <c r="N7438">
        <v>-1.1421199999999999E-2</v>
      </c>
      <c r="O7438">
        <v>-3.6229360000000002E-3</v>
      </c>
      <c r="P7438">
        <v>0.99957130000000005</v>
      </c>
      <c r="Q7438">
        <v>-2.862586E-2</v>
      </c>
      <c r="R7438">
        <v>-6.1519969999999898E-3</v>
      </c>
      <c r="S7438">
        <v>2.997925</v>
      </c>
      <c r="T7438">
        <v>-5.4124239999999997E-2</v>
      </c>
      <c r="U7438">
        <v>-0.29583739999999997</v>
      </c>
      <c r="V7438">
        <v>2.5411750000000001E-3</v>
      </c>
      <c r="W7438">
        <v>-1.720592E-2</v>
      </c>
      <c r="X7438">
        <v>0.99984870000000003</v>
      </c>
      <c r="Y7438">
        <v>9.4572509999999999E-2</v>
      </c>
      <c r="Z7438">
        <v>-1.3690659999999999E-3</v>
      </c>
      <c r="AA7438">
        <v>0.99551699999999999</v>
      </c>
      <c r="AB7438">
        <v>25</v>
      </c>
      <c r="AC7438">
        <v>64.751199999999898</v>
      </c>
      <c r="AD7438">
        <v>-1.1713020000000001</v>
      </c>
      <c r="AE7438">
        <v>-6.4019399999999997</v>
      </c>
      <c r="AF7438">
        <v>6.1652953559007999</v>
      </c>
      <c r="AG7438">
        <v>-1.1713020000000001</v>
      </c>
      <c r="AH7438">
        <v>64.752986856266205</v>
      </c>
      <c r="AI7438">
        <v>91.031632732084603</v>
      </c>
      <c r="AJ7438">
        <v>84.561119891107396</v>
      </c>
      <c r="AK7438">
        <v>65.056376489998897</v>
      </c>
      <c r="AL7438">
        <v>90.985875283805797</v>
      </c>
      <c r="AM7438">
        <v>89.854379678639205</v>
      </c>
      <c r="AN7438">
        <v>0.99999996207255704</v>
      </c>
    </row>
    <row r="7439" spans="1:40" x14ac:dyDescent="0.25">
      <c r="A7439" t="str">
        <f>"20190303153953952"</f>
        <v>20190303153953952</v>
      </c>
      <c r="B7439" t="str">
        <f>"1551598793946188"</f>
        <v>1551598793946188</v>
      </c>
      <c r="C7439" t="s">
        <v>40</v>
      </c>
      <c r="D7439">
        <v>4.4187500000000002</v>
      </c>
      <c r="E7439">
        <v>0.53488979999999997</v>
      </c>
      <c r="F7439" t="s">
        <v>43</v>
      </c>
      <c r="G7439">
        <v>-300.3116</v>
      </c>
      <c r="H7439">
        <v>-0.05</v>
      </c>
      <c r="I7439">
        <v>11.248519999999999</v>
      </c>
      <c r="J7439">
        <v>-362.21660000000003</v>
      </c>
      <c r="K7439">
        <v>1.121302</v>
      </c>
      <c r="L7439">
        <v>17.367339999999999</v>
      </c>
      <c r="M7439">
        <v>0.99992950000000003</v>
      </c>
      <c r="N7439">
        <v>-1.1375990000000001E-2</v>
      </c>
      <c r="O7439">
        <v>-3.4207560000000001E-3</v>
      </c>
      <c r="P7439">
        <v>0.99957640000000003</v>
      </c>
      <c r="Q7439">
        <v>-2.8414869999999998E-2</v>
      </c>
      <c r="R7439">
        <v>-6.3109749999999999E-3</v>
      </c>
      <c r="S7439">
        <v>2.9978639999999999</v>
      </c>
      <c r="T7439">
        <v>-5.6605460000000003E-2</v>
      </c>
      <c r="U7439">
        <v>-0.29571530000000001</v>
      </c>
      <c r="V7439">
        <v>2.902076E-3</v>
      </c>
      <c r="W7439">
        <v>-1.703986E-2</v>
      </c>
      <c r="X7439">
        <v>0.99985060000000003</v>
      </c>
      <c r="Y7439">
        <v>9.4733769999999995E-2</v>
      </c>
      <c r="Z7439">
        <v>-1.406774E-3</v>
      </c>
      <c r="AA7439">
        <v>0.99550159999999999</v>
      </c>
      <c r="AB7439">
        <v>25</v>
      </c>
      <c r="AC7439">
        <v>61.905000000000001</v>
      </c>
      <c r="AD7439">
        <v>-1.1713020000000001</v>
      </c>
      <c r="AE7439">
        <v>-6.1188200000000004</v>
      </c>
      <c r="AF7439">
        <v>5.9049150817504898</v>
      </c>
      <c r="AG7439">
        <v>-1.1713020000000001</v>
      </c>
      <c r="AH7439">
        <v>61.903622857286898</v>
      </c>
      <c r="AI7439">
        <v>91.079088844242804</v>
      </c>
      <c r="AJ7439">
        <v>84.551108408198999</v>
      </c>
      <c r="AK7439">
        <v>62.195646900366803</v>
      </c>
      <c r="AL7439">
        <v>90.976359313564004</v>
      </c>
      <c r="AM7439">
        <v>89.833698914925407</v>
      </c>
      <c r="AN7439">
        <v>1.0000000005971399</v>
      </c>
    </row>
    <row r="7440" spans="1:40" x14ac:dyDescent="0.25">
      <c r="A7440" t="str">
        <f>"20190303153953963"</f>
        <v>20190303153953963</v>
      </c>
      <c r="B7440" t="str">
        <f>"1551598793955947"</f>
        <v>1551598793955947</v>
      </c>
      <c r="C7440" t="s">
        <v>40</v>
      </c>
      <c r="D7440">
        <v>4.4109339999999904</v>
      </c>
      <c r="E7440">
        <v>0.53503140000000005</v>
      </c>
      <c r="F7440" t="s">
        <v>43</v>
      </c>
      <c r="G7440">
        <v>-300.15710000000001</v>
      </c>
      <c r="H7440">
        <v>-0.05</v>
      </c>
      <c r="I7440">
        <v>11.227830000000001</v>
      </c>
      <c r="J7440">
        <v>-362.07679999999999</v>
      </c>
      <c r="K7440">
        <v>1.1213</v>
      </c>
      <c r="L7440">
        <v>17.367069999999998</v>
      </c>
      <c r="M7440">
        <v>0.99993080000000001</v>
      </c>
      <c r="N7440">
        <v>-1.13285E-2</v>
      </c>
      <c r="O7440">
        <v>-3.1996099999999999E-3</v>
      </c>
      <c r="P7440">
        <v>0.99960190000000004</v>
      </c>
      <c r="Q7440">
        <v>-2.7477660000000001E-2</v>
      </c>
      <c r="R7440">
        <v>-6.4132669999999899E-3</v>
      </c>
      <c r="S7440">
        <v>2.9978030000000002</v>
      </c>
      <c r="T7440">
        <v>-5.6580070000000003E-2</v>
      </c>
      <c r="U7440">
        <v>-0.29656979999999999</v>
      </c>
      <c r="V7440">
        <v>3.2248509999999999E-3</v>
      </c>
      <c r="W7440">
        <v>-1.6149710000000001E-2</v>
      </c>
      <c r="X7440">
        <v>0.99986439999999999</v>
      </c>
      <c r="Y7440">
        <v>9.5236829999999995E-2</v>
      </c>
      <c r="Z7440">
        <v>-1.4132529999999999E-3</v>
      </c>
      <c r="AA7440">
        <v>0.9954537</v>
      </c>
      <c r="AB7440">
        <v>25</v>
      </c>
      <c r="AC7440">
        <v>61.919699999999899</v>
      </c>
      <c r="AD7440">
        <v>-1.1713</v>
      </c>
      <c r="AE7440">
        <v>-6.13924</v>
      </c>
      <c r="AF7440">
        <v>5.9389725190189404</v>
      </c>
      <c r="AG7440">
        <v>-1.1713</v>
      </c>
      <c r="AH7440">
        <v>61.917087234900301</v>
      </c>
      <c r="AI7440">
        <v>91.0787982884234</v>
      </c>
      <c r="AJ7440">
        <v>84.521056372797503</v>
      </c>
      <c r="AK7440">
        <v>62.212290023161103</v>
      </c>
      <c r="AL7440">
        <v>90.925350435828506</v>
      </c>
      <c r="AM7440">
        <v>89.815205230657</v>
      </c>
      <c r="AN7440">
        <v>1.0000000155922</v>
      </c>
    </row>
    <row r="7441" spans="1:40" x14ac:dyDescent="0.25">
      <c r="A7441" t="str">
        <f>"20190303153953974"</f>
        <v>20190303153953974</v>
      </c>
      <c r="B7441" t="str">
        <f>"1551598793965707"</f>
        <v>1551598793965707</v>
      </c>
      <c r="C7441" t="s">
        <v>40</v>
      </c>
      <c r="D7441">
        <v>4.4207070000000002</v>
      </c>
      <c r="E7441">
        <v>0.53501989999999999</v>
      </c>
      <c r="F7441" t="s">
        <v>43</v>
      </c>
      <c r="G7441">
        <v>-296.18459999999999</v>
      </c>
      <c r="H7441">
        <v>-0.05</v>
      </c>
      <c r="I7441">
        <v>10.817629999999999</v>
      </c>
      <c r="J7441">
        <v>-361.94779999999997</v>
      </c>
      <c r="K7441">
        <v>1.1213029999999999</v>
      </c>
      <c r="L7441">
        <v>17.366849999999999</v>
      </c>
      <c r="M7441">
        <v>0.99993189999999998</v>
      </c>
      <c r="N7441">
        <v>-1.1284489999999999E-2</v>
      </c>
      <c r="O7441">
        <v>-2.995293E-3</v>
      </c>
      <c r="P7441">
        <v>0.99962019999999996</v>
      </c>
      <c r="Q7441">
        <v>-2.6824440000000001E-2</v>
      </c>
      <c r="R7441">
        <v>-6.3110519999999897E-3</v>
      </c>
      <c r="S7441">
        <v>2.997833</v>
      </c>
      <c r="T7441">
        <v>-5.3289410000000002E-2</v>
      </c>
      <c r="U7441">
        <v>-0.29797360000000001</v>
      </c>
      <c r="V7441">
        <v>3.3265080000000002E-3</v>
      </c>
      <c r="W7441">
        <v>-1.554028E-2</v>
      </c>
      <c r="X7441">
        <v>0.99987369999999998</v>
      </c>
      <c r="Y7441">
        <v>9.5903160000000001E-2</v>
      </c>
      <c r="Z7441">
        <v>-1.3733619999999999E-3</v>
      </c>
      <c r="AA7441">
        <v>0.99538970000000004</v>
      </c>
      <c r="AB7441">
        <v>25</v>
      </c>
      <c r="AC7441">
        <v>65.763199999999898</v>
      </c>
      <c r="AD7441">
        <v>-1.171303</v>
      </c>
      <c r="AE7441">
        <v>-6.54922</v>
      </c>
      <c r="AF7441">
        <v>6.3502033483212701</v>
      </c>
      <c r="AG7441">
        <v>-1.171303</v>
      </c>
      <c r="AH7441">
        <v>65.761866344799699</v>
      </c>
      <c r="AI7441">
        <v>91.015679878010502</v>
      </c>
      <c r="AJ7441">
        <v>84.484413574249501</v>
      </c>
      <c r="AK7441">
        <v>66.078136311749404</v>
      </c>
      <c r="AL7441">
        <v>90.890428306742805</v>
      </c>
      <c r="AM7441">
        <v>89.809381759191695</v>
      </c>
      <c r="AN7441">
        <v>0.99999999095482095</v>
      </c>
    </row>
    <row r="7442" spans="1:40" x14ac:dyDescent="0.25">
      <c r="A7442" t="str">
        <f>"20190303153953985"</f>
        <v>20190303153953985</v>
      </c>
      <c r="B7442" t="str">
        <f>"1551598793975469"</f>
        <v>1551598793975469</v>
      </c>
      <c r="C7442" t="s">
        <v>40</v>
      </c>
      <c r="D7442">
        <v>4.3823919999999896</v>
      </c>
      <c r="E7442">
        <v>0.53546459999999996</v>
      </c>
      <c r="F7442" t="s">
        <v>43</v>
      </c>
      <c r="G7442">
        <v>-293.92660000000001</v>
      </c>
      <c r="H7442">
        <v>-0.05</v>
      </c>
      <c r="I7442">
        <v>10.614929999999999</v>
      </c>
      <c r="J7442">
        <v>-361.8202</v>
      </c>
      <c r="K7442">
        <v>1.1212979999999999</v>
      </c>
      <c r="L7442">
        <v>17.36673</v>
      </c>
      <c r="M7442">
        <v>0.99993299999999996</v>
      </c>
      <c r="N7442">
        <v>-1.124088E-2</v>
      </c>
      <c r="O7442">
        <v>-2.7932429999999999E-3</v>
      </c>
      <c r="P7442">
        <v>0.99965210000000004</v>
      </c>
      <c r="Q7442">
        <v>-2.5627E-2</v>
      </c>
      <c r="R7442">
        <v>-6.2651690000000001E-3</v>
      </c>
      <c r="S7442">
        <v>2.9978940000000001</v>
      </c>
      <c r="T7442">
        <v>-5.1622750000000002E-2</v>
      </c>
      <c r="U7442">
        <v>-0.29757689999999998</v>
      </c>
      <c r="V7442">
        <v>3.481596E-3</v>
      </c>
      <c r="W7442">
        <v>-1.4386080000000001E-2</v>
      </c>
      <c r="X7442">
        <v>0.99989039999999996</v>
      </c>
      <c r="Y7442">
        <v>9.5973089999999997E-2</v>
      </c>
      <c r="Z7442">
        <v>-1.348389E-3</v>
      </c>
      <c r="AA7442">
        <v>0.99538300000000002</v>
      </c>
      <c r="AB7442">
        <v>25</v>
      </c>
      <c r="AC7442">
        <v>67.893599999999907</v>
      </c>
      <c r="AD7442">
        <v>-1.171298</v>
      </c>
      <c r="AE7442">
        <v>-6.7517999999999896</v>
      </c>
      <c r="AF7442">
        <v>6.5601849780228596</v>
      </c>
      <c r="AG7442">
        <v>-1.171298</v>
      </c>
      <c r="AH7442">
        <v>67.892186824138506</v>
      </c>
      <c r="AI7442">
        <v>90.983806128970599</v>
      </c>
      <c r="AJ7442">
        <v>84.480843177050403</v>
      </c>
      <c r="AK7442">
        <v>68.218450566649594</v>
      </c>
      <c r="AL7442">
        <v>90.824290145998205</v>
      </c>
      <c r="AM7442">
        <v>89.800498184004894</v>
      </c>
      <c r="AN7442">
        <v>0.99999994641031498</v>
      </c>
    </row>
    <row r="7443" spans="1:40" x14ac:dyDescent="0.25">
      <c r="A7443" t="str">
        <f>"20190303153953996"</f>
        <v>20190303153953996</v>
      </c>
      <c r="B7443" t="str">
        <f>"1551598793986204"</f>
        <v>1551598793986204</v>
      </c>
      <c r="C7443" t="s">
        <v>40</v>
      </c>
      <c r="D7443">
        <v>4.3813110000000002</v>
      </c>
      <c r="E7443">
        <v>0.5355529</v>
      </c>
      <c r="F7443" t="s">
        <v>43</v>
      </c>
      <c r="G7443">
        <v>-287.38220000000001</v>
      </c>
      <c r="H7443">
        <v>-0.05</v>
      </c>
      <c r="I7443">
        <v>9.8938290000000002</v>
      </c>
      <c r="J7443">
        <v>-361.69880000000001</v>
      </c>
      <c r="K7443">
        <v>1.1213010000000001</v>
      </c>
      <c r="L7443">
        <v>17.366579999999999</v>
      </c>
      <c r="M7443">
        <v>0.99993390000000004</v>
      </c>
      <c r="N7443">
        <v>-1.1195149999999999E-2</v>
      </c>
      <c r="O7443">
        <v>-2.6015589999999998E-3</v>
      </c>
      <c r="P7443">
        <v>0.99969629999999998</v>
      </c>
      <c r="Q7443">
        <v>-2.387034E-2</v>
      </c>
      <c r="R7443">
        <v>-6.1377790000000003E-3</v>
      </c>
      <c r="S7443">
        <v>2.997925</v>
      </c>
      <c r="T7443">
        <v>-4.7173020000000003E-2</v>
      </c>
      <c r="U7443">
        <v>-0.30096440000000002</v>
      </c>
      <c r="V7443">
        <v>3.5446140000000002E-3</v>
      </c>
      <c r="W7443">
        <v>-1.267473E-2</v>
      </c>
      <c r="X7443">
        <v>0.99991339999999995</v>
      </c>
      <c r="Y7443">
        <v>9.7279309999999994E-2</v>
      </c>
      <c r="Z7443">
        <v>-1.297582E-3</v>
      </c>
      <c r="AA7443">
        <v>0.99525629999999998</v>
      </c>
      <c r="AB7443">
        <v>25</v>
      </c>
      <c r="AC7443">
        <v>74.316599999999994</v>
      </c>
      <c r="AD7443">
        <v>-1.1713009999999999</v>
      </c>
      <c r="AE7443">
        <v>-7.4727509999999899</v>
      </c>
      <c r="AF7443">
        <v>7.27758484904568</v>
      </c>
      <c r="AG7443">
        <v>-1.1713009999999999</v>
      </c>
      <c r="AH7443">
        <v>74.317514231899494</v>
      </c>
      <c r="AI7443">
        <v>90.898652863080699</v>
      </c>
      <c r="AJ7443">
        <v>84.407110234010403</v>
      </c>
      <c r="AK7443">
        <v>74.682180664976897</v>
      </c>
      <c r="AL7443">
        <v>90.726227973490396</v>
      </c>
      <c r="AM7443">
        <v>89.796891839337604</v>
      </c>
      <c r="AN7443">
        <v>1.0000000102842701</v>
      </c>
    </row>
    <row r="7444" spans="1:40" x14ac:dyDescent="0.25">
      <c r="A7444" t="str">
        <f>"20190303153954008"</f>
        <v>20190303153954008</v>
      </c>
      <c r="B7444" t="str">
        <f>"1551598793995963"</f>
        <v>1551598793995963</v>
      </c>
      <c r="C7444" t="s">
        <v>40</v>
      </c>
      <c r="D7444">
        <v>4.3965509999999997</v>
      </c>
      <c r="E7444">
        <v>0.5355529</v>
      </c>
      <c r="F7444" t="s">
        <v>43</v>
      </c>
      <c r="G7444">
        <v>-278.89299999999997</v>
      </c>
      <c r="H7444">
        <v>-0.05</v>
      </c>
      <c r="I7444">
        <v>9.0446930000000005</v>
      </c>
      <c r="J7444">
        <v>-361.56279999999998</v>
      </c>
      <c r="K7444">
        <v>1.1213029999999999</v>
      </c>
      <c r="L7444">
        <v>17.36646</v>
      </c>
      <c r="M7444">
        <v>0.99993520000000002</v>
      </c>
      <c r="N7444">
        <v>-1.114182E-2</v>
      </c>
      <c r="O7444">
        <v>-2.3874270000000001E-3</v>
      </c>
      <c r="P7444">
        <v>0.99973319999999999</v>
      </c>
      <c r="Q7444">
        <v>-2.2287930000000001E-2</v>
      </c>
      <c r="R7444">
        <v>-6.08853E-3</v>
      </c>
      <c r="S7444">
        <v>2.9980470000000001</v>
      </c>
      <c r="T7444">
        <v>-4.240787E-2</v>
      </c>
      <c r="U7444">
        <v>-0.30130000000000001</v>
      </c>
      <c r="V7444">
        <v>3.7085260000000002E-3</v>
      </c>
      <c r="W7444">
        <v>-1.1145240000000001E-2</v>
      </c>
      <c r="X7444">
        <v>0.99993100000000001</v>
      </c>
      <c r="Y7444">
        <v>9.7601850000000004E-2</v>
      </c>
      <c r="Z7444">
        <v>-1.2265430000000001E-3</v>
      </c>
      <c r="AA7444">
        <v>0.99522480000000002</v>
      </c>
      <c r="AB7444">
        <v>25</v>
      </c>
      <c r="AC7444">
        <v>82.669799999999995</v>
      </c>
      <c r="AD7444">
        <v>-1.171303</v>
      </c>
      <c r="AE7444">
        <v>-8.3217669999999995</v>
      </c>
      <c r="AF7444">
        <v>8.1227486964119002</v>
      </c>
      <c r="AG7444">
        <v>-1.171303</v>
      </c>
      <c r="AH7444">
        <v>82.673003501465999</v>
      </c>
      <c r="AI7444">
        <v>90.807817479309804</v>
      </c>
      <c r="AJ7444">
        <v>84.388612274108993</v>
      </c>
      <c r="AK7444">
        <v>83.079338617109102</v>
      </c>
      <c r="AL7444">
        <v>90.638588442854996</v>
      </c>
      <c r="AM7444">
        <v>89.787503423952202</v>
      </c>
      <c r="AN7444">
        <v>0.99999998715037497</v>
      </c>
    </row>
    <row r="7445" spans="1:40" x14ac:dyDescent="0.25">
      <c r="A7445" t="str">
        <f>"20190303153954026"</f>
        <v>20190303153954026</v>
      </c>
      <c r="B7445" t="str">
        <f>"1551598794015487"</f>
        <v>1551598794015487</v>
      </c>
      <c r="C7445" t="s">
        <v>40</v>
      </c>
      <c r="D7445">
        <v>4.4143290000000004</v>
      </c>
      <c r="E7445">
        <v>0.50497930000000002</v>
      </c>
      <c r="F7445" t="s">
        <v>43</v>
      </c>
      <c r="G7445">
        <v>-268.2475</v>
      </c>
      <c r="H7445">
        <v>-0.05</v>
      </c>
      <c r="I7445">
        <v>7.9935</v>
      </c>
      <c r="J7445">
        <v>-361.36470000000003</v>
      </c>
      <c r="K7445">
        <v>1.1213059999999999</v>
      </c>
      <c r="L7445">
        <v>17.366329999999898</v>
      </c>
      <c r="M7445">
        <v>0.99993670000000001</v>
      </c>
      <c r="N7445">
        <v>-1.105226E-2</v>
      </c>
      <c r="O7445">
        <v>-2.0796790000000001E-3</v>
      </c>
      <c r="P7445">
        <v>0.99977490000000002</v>
      </c>
      <c r="Q7445">
        <v>-2.027501E-2</v>
      </c>
      <c r="R7445">
        <v>-6.2622449999999996E-3</v>
      </c>
      <c r="S7445">
        <v>2.9981689999999999</v>
      </c>
      <c r="T7445">
        <v>-3.7633300000000001E-2</v>
      </c>
      <c r="U7445">
        <v>-0.30114750000000001</v>
      </c>
      <c r="V7445">
        <v>4.1885869999999997E-3</v>
      </c>
      <c r="W7445">
        <v>-9.2212849999999992E-3</v>
      </c>
      <c r="X7445">
        <v>0.99994870000000002</v>
      </c>
      <c r="Y7445">
        <v>9.7856879999999993E-2</v>
      </c>
      <c r="Z7445">
        <v>-1.1516639999999999E-3</v>
      </c>
      <c r="AA7445">
        <v>0.99519990000000003</v>
      </c>
      <c r="AB7445">
        <v>25</v>
      </c>
      <c r="AC7445">
        <v>93.117199999999997</v>
      </c>
      <c r="AD7445">
        <v>-1.171306</v>
      </c>
      <c r="AE7445">
        <v>-9.3728299999999898</v>
      </c>
      <c r="AF7445">
        <v>9.1777064061046101</v>
      </c>
      <c r="AG7445">
        <v>-1.171306</v>
      </c>
      <c r="AH7445">
        <v>93.121905651984505</v>
      </c>
      <c r="AI7445">
        <v>90.7171655774778</v>
      </c>
      <c r="AJ7445">
        <v>84.371344293363606</v>
      </c>
      <c r="AK7445">
        <v>93.580401606743493</v>
      </c>
      <c r="AL7445">
        <v>90.528348205677403</v>
      </c>
      <c r="AM7445">
        <v>89.760000734416295</v>
      </c>
      <c r="AN7445">
        <v>0.99999998949489899</v>
      </c>
    </row>
    <row r="7446" spans="1:40" x14ac:dyDescent="0.25">
      <c r="A7446" t="str">
        <f>"20190303153954037"</f>
        <v>20190303153954037</v>
      </c>
      <c r="B7446" t="str">
        <f>"1551598794026220"</f>
        <v>1551598794026220</v>
      </c>
      <c r="C7446" t="s">
        <v>40</v>
      </c>
      <c r="D7446">
        <v>4.4199630000000001</v>
      </c>
      <c r="E7446">
        <v>0.50148530000000002</v>
      </c>
      <c r="F7446" t="s">
        <v>79</v>
      </c>
      <c r="G7446">
        <v>-279.68</v>
      </c>
      <c r="H7446">
        <v>1.2024820000000001</v>
      </c>
      <c r="I7446">
        <v>15.81765</v>
      </c>
      <c r="J7446">
        <v>-361.22789999999998</v>
      </c>
      <c r="K7446">
        <v>1.121297</v>
      </c>
      <c r="L7446">
        <v>17.36627</v>
      </c>
      <c r="M7446">
        <v>0.99993790000000005</v>
      </c>
      <c r="N7446">
        <v>-1.0987449999999999E-2</v>
      </c>
      <c r="O7446">
        <v>-1.8717289999999999E-3</v>
      </c>
      <c r="P7446">
        <v>0.99979260000000003</v>
      </c>
      <c r="Q7446">
        <v>-1.9463100000000001E-2</v>
      </c>
      <c r="R7446">
        <v>-5.9880929999999999E-3</v>
      </c>
      <c r="S7446">
        <v>3.0003660000000001</v>
      </c>
      <c r="T7446">
        <v>2.9817820000000001E-3</v>
      </c>
      <c r="U7446">
        <v>-5.6884770000000001E-2</v>
      </c>
      <c r="V7446">
        <v>4.1219209999999997E-3</v>
      </c>
      <c r="W7446">
        <v>-8.4741179999999992E-3</v>
      </c>
      <c r="X7446">
        <v>0.99995560000000006</v>
      </c>
      <c r="Y7446">
        <v>1.708455E-2</v>
      </c>
      <c r="Z7446">
        <v>-1.078046E-4</v>
      </c>
      <c r="AA7446">
        <v>0.99985400000000002</v>
      </c>
      <c r="AB7446">
        <v>25</v>
      </c>
      <c r="AC7446">
        <v>81.547899999999899</v>
      </c>
      <c r="AD7446">
        <v>8.1184999999999993E-2</v>
      </c>
      <c r="AE7446">
        <v>-1.5486199999999899</v>
      </c>
      <c r="AF7446">
        <v>1.3959711227426299</v>
      </c>
      <c r="AG7446">
        <v>8.1184999999999993E-2</v>
      </c>
      <c r="AH7446">
        <v>81.550575111092897</v>
      </c>
      <c r="AI7446">
        <v>89.942969439945401</v>
      </c>
      <c r="AJ7446">
        <v>89.019314791334097</v>
      </c>
      <c r="AK7446">
        <v>81.562562657936098</v>
      </c>
      <c r="AL7446">
        <v>90.485537007038303</v>
      </c>
      <c r="AM7446">
        <v>89.763822174543606</v>
      </c>
      <c r="AN7446">
        <v>1.0000000014399799</v>
      </c>
    </row>
    <row r="7447" spans="1:40" x14ac:dyDescent="0.25">
      <c r="A7447" t="str">
        <f>"20190303153954050"</f>
        <v>20190303153954050</v>
      </c>
      <c r="B7447" t="str">
        <f>"1551598794045739"</f>
        <v>1551598794045739</v>
      </c>
      <c r="C7447" t="s">
        <v>40</v>
      </c>
      <c r="D7447">
        <v>4.4225260000000004</v>
      </c>
      <c r="E7447">
        <v>0.49819209999999903</v>
      </c>
      <c r="F7447" t="s">
        <v>79</v>
      </c>
      <c r="G7447">
        <v>-279.68</v>
      </c>
      <c r="H7447">
        <v>1.3343640000000001</v>
      </c>
      <c r="I7447">
        <v>16.602409999999999</v>
      </c>
      <c r="J7447">
        <v>-361.08510000000001</v>
      </c>
      <c r="K7447">
        <v>1.121289</v>
      </c>
      <c r="L7447">
        <v>17.366209999999999</v>
      </c>
      <c r="M7447">
        <v>0.99993909999999997</v>
      </c>
      <c r="N7447">
        <v>-1.091869E-2</v>
      </c>
      <c r="O7447">
        <v>-1.656739E-3</v>
      </c>
      <c r="P7447">
        <v>0.99980559999999996</v>
      </c>
      <c r="Q7447">
        <v>-1.888629E-2</v>
      </c>
      <c r="R7447">
        <v>-5.7086580000000001E-3</v>
      </c>
      <c r="S7447">
        <v>3.00061</v>
      </c>
      <c r="T7447">
        <v>7.8400369999999994E-3</v>
      </c>
      <c r="U7447">
        <v>-2.810669E-2</v>
      </c>
      <c r="V7447">
        <v>4.0568440000000004E-3</v>
      </c>
      <c r="W7447">
        <v>-7.9660630000000007E-3</v>
      </c>
      <c r="X7447">
        <v>0.99996010000000002</v>
      </c>
      <c r="Y7447">
        <v>7.7100399999999996E-3</v>
      </c>
      <c r="Z7447" s="1">
        <v>-5.4439559999999997E-5</v>
      </c>
      <c r="AA7447">
        <v>0.99997029999999998</v>
      </c>
      <c r="AB7447">
        <v>26</v>
      </c>
      <c r="AC7447">
        <v>81.405100000000004</v>
      </c>
      <c r="AD7447">
        <v>0.21307499999999899</v>
      </c>
      <c r="AE7447">
        <v>-0.76379999999999904</v>
      </c>
      <c r="AF7447">
        <v>0.62891961046926503</v>
      </c>
      <c r="AG7447">
        <v>0.21307499999999899</v>
      </c>
      <c r="AH7447">
        <v>81.405696088144595</v>
      </c>
      <c r="AI7447">
        <v>89.850036218515399</v>
      </c>
      <c r="AJ7447">
        <v>89.557356251965203</v>
      </c>
      <c r="AK7447">
        <v>81.408404335347498</v>
      </c>
      <c r="AL7447">
        <v>90.456426589784996</v>
      </c>
      <c r="AM7447">
        <v>89.767551961234204</v>
      </c>
      <c r="AN7447">
        <v>1.00000005886748</v>
      </c>
    </row>
    <row r="7448" spans="1:40" x14ac:dyDescent="0.25">
      <c r="A7448" t="str">
        <f>"20190303153954073"</f>
        <v>20190303153954073</v>
      </c>
      <c r="B7448" t="str">
        <f>"1551598794066235"</f>
        <v>1551598794066235</v>
      </c>
      <c r="C7448" t="s">
        <v>40</v>
      </c>
      <c r="D7448">
        <v>4.4591880000000002</v>
      </c>
      <c r="E7448">
        <v>0.49568489999999998</v>
      </c>
      <c r="F7448" t="s">
        <v>79</v>
      </c>
      <c r="G7448">
        <v>-279.68</v>
      </c>
      <c r="H7448">
        <v>1.285849</v>
      </c>
      <c r="I7448">
        <v>17.336410000000001</v>
      </c>
      <c r="J7448">
        <v>-360.83629999999999</v>
      </c>
      <c r="K7448">
        <v>1.1212629999999999</v>
      </c>
      <c r="L7448">
        <v>17.366209999999999</v>
      </c>
      <c r="M7448">
        <v>0.99994079999999996</v>
      </c>
      <c r="N7448">
        <v>-1.0798719999999999E-2</v>
      </c>
      <c r="O7448">
        <v>-1.296136E-3</v>
      </c>
      <c r="P7448">
        <v>0.99982360000000003</v>
      </c>
      <c r="Q7448">
        <v>-1.8197649999999999E-2</v>
      </c>
      <c r="R7448">
        <v>-4.6775310000000004E-3</v>
      </c>
      <c r="S7448">
        <v>3.0007630000000001</v>
      </c>
      <c r="T7448">
        <v>6.0660840000000002E-3</v>
      </c>
      <c r="U7448">
        <v>-1.0986329999999999E-3</v>
      </c>
      <c r="V7448">
        <v>3.3856759999999998E-3</v>
      </c>
      <c r="W7448">
        <v>-7.3977610000000001E-3</v>
      </c>
      <c r="X7448">
        <v>0.99996689999999999</v>
      </c>
      <c r="Y7448">
        <v>-9.2999599999999999E-4</v>
      </c>
      <c r="Z7448" s="1">
        <v>-1.2535579999999999E-5</v>
      </c>
      <c r="AA7448">
        <v>0.99999959999999999</v>
      </c>
      <c r="AB7448">
        <v>26</v>
      </c>
      <c r="AC7448">
        <v>81.156299999999902</v>
      </c>
      <c r="AD7448">
        <v>0.16458600000000001</v>
      </c>
      <c r="AE7448">
        <v>-2.9799999999998002E-2</v>
      </c>
      <c r="AF7448">
        <v>-7.5395456222146107E-2</v>
      </c>
      <c r="AG7448">
        <v>0.16458600000000001</v>
      </c>
      <c r="AH7448">
        <v>81.155936668161303</v>
      </c>
      <c r="AI7448">
        <v>89.883803125729798</v>
      </c>
      <c r="AJ7448">
        <v>90.053228887134495</v>
      </c>
      <c r="AK7448">
        <v>81.156138581827705</v>
      </c>
      <c r="AL7448">
        <v>90.423864351291598</v>
      </c>
      <c r="AM7448">
        <v>89.806009374559196</v>
      </c>
      <c r="AN7448">
        <v>0.99999999538270001</v>
      </c>
    </row>
    <row r="7449" spans="1:40" x14ac:dyDescent="0.25">
      <c r="A7449" t="str">
        <f>"20190303153954088"</f>
        <v>20190303153954088</v>
      </c>
      <c r="B7449" t="str">
        <f>"1551598794075995"</f>
        <v>1551598794075995</v>
      </c>
      <c r="C7449" t="s">
        <v>40</v>
      </c>
      <c r="D7449">
        <v>4.4639360000000003</v>
      </c>
      <c r="E7449">
        <v>0.49496319999999999</v>
      </c>
      <c r="F7449" t="s">
        <v>79</v>
      </c>
      <c r="G7449">
        <v>-279.68</v>
      </c>
      <c r="H7449">
        <v>0.99151730000000005</v>
      </c>
      <c r="I7449">
        <v>17.951419999999999</v>
      </c>
      <c r="J7449">
        <v>-360.65300000000002</v>
      </c>
      <c r="K7449">
        <v>1.1212439999999999</v>
      </c>
      <c r="L7449">
        <v>17.36627</v>
      </c>
      <c r="M7449">
        <v>0.9999422</v>
      </c>
      <c r="N7449">
        <v>-1.0713530000000001E-2</v>
      </c>
      <c r="O7449">
        <v>-1.0403579999999999E-3</v>
      </c>
      <c r="P7449">
        <v>0.99982139999999997</v>
      </c>
      <c r="Q7449">
        <v>-1.8438599999999999E-2</v>
      </c>
      <c r="R7449">
        <v>-4.160258E-3</v>
      </c>
      <c r="S7449">
        <v>3.0005799999999998</v>
      </c>
      <c r="T7449">
        <v>-4.796982E-3</v>
      </c>
      <c r="U7449">
        <v>2.163696E-2</v>
      </c>
      <c r="V7449">
        <v>3.1242280000000002E-3</v>
      </c>
      <c r="W7449">
        <v>-7.7241559999999898E-3</v>
      </c>
      <c r="X7449">
        <v>0.99996529999999995</v>
      </c>
      <c r="Y7449">
        <v>-8.2510029999999998E-3</v>
      </c>
      <c r="Z7449" s="1">
        <v>4.1313090000000002E-5</v>
      </c>
      <c r="AA7449">
        <v>0.99996600000000002</v>
      </c>
      <c r="AB7449">
        <v>26</v>
      </c>
      <c r="AC7449">
        <v>80.972999999999999</v>
      </c>
      <c r="AD7449">
        <v>-0.1297267</v>
      </c>
      <c r="AE7449">
        <v>0.58515000000000195</v>
      </c>
      <c r="AF7449">
        <v>-0.66939369738423304</v>
      </c>
      <c r="AG7449">
        <v>-0.1297267</v>
      </c>
      <c r="AH7449">
        <v>80.972139552420003</v>
      </c>
      <c r="AI7449">
        <v>90.091791227291395</v>
      </c>
      <c r="AJ7449">
        <v>90.473651310377903</v>
      </c>
      <c r="AK7449">
        <v>80.975010346621005</v>
      </c>
      <c r="AL7449">
        <v>90.442565934504799</v>
      </c>
      <c r="AM7449">
        <v>89.820989292139799</v>
      </c>
      <c r="AN7449">
        <v>1.0000000122952899</v>
      </c>
    </row>
    <row r="7450" spans="1:40" x14ac:dyDescent="0.25">
      <c r="A7450" t="str">
        <f>"20190303153954105"</f>
        <v>20190303153954105</v>
      </c>
      <c r="B7450" t="str">
        <f>"1551598794095516"</f>
        <v>1551598794095516</v>
      </c>
      <c r="C7450" t="s">
        <v>40</v>
      </c>
      <c r="D7450">
        <v>4.4194800000000001</v>
      </c>
      <c r="E7450">
        <v>0.49463499999999999</v>
      </c>
      <c r="F7450" t="s">
        <v>79</v>
      </c>
      <c r="G7450">
        <v>-279.68</v>
      </c>
      <c r="H7450">
        <v>0.83536180000000004</v>
      </c>
      <c r="I7450">
        <v>18.142910000000001</v>
      </c>
      <c r="J7450">
        <v>-360.45359999999999</v>
      </c>
      <c r="K7450">
        <v>1.121219</v>
      </c>
      <c r="L7450">
        <v>17.366329999999898</v>
      </c>
      <c r="M7450">
        <v>0.99994340000000004</v>
      </c>
      <c r="N7450">
        <v>-1.062691E-2</v>
      </c>
      <c r="O7450">
        <v>-7.7505140000000004E-4</v>
      </c>
      <c r="P7450">
        <v>0.99982070000000001</v>
      </c>
      <c r="Q7450">
        <v>-1.8661170000000001E-2</v>
      </c>
      <c r="R7450">
        <v>-3.2516699999999999E-3</v>
      </c>
      <c r="S7450">
        <v>3.0004270000000002</v>
      </c>
      <c r="T7450">
        <v>-1.0593180000000001E-2</v>
      </c>
      <c r="U7450">
        <v>2.8778080000000001E-2</v>
      </c>
      <c r="V7450">
        <v>2.480936E-3</v>
      </c>
      <c r="W7450">
        <v>-8.0337759999999994E-3</v>
      </c>
      <c r="X7450">
        <v>0.99996470000000004</v>
      </c>
      <c r="Y7450">
        <v>-1.036566E-2</v>
      </c>
      <c r="Z7450" s="1">
        <v>6.7878590000000004E-5</v>
      </c>
      <c r="AA7450">
        <v>0.99994629999999995</v>
      </c>
      <c r="AB7450">
        <v>26</v>
      </c>
      <c r="AC7450">
        <v>80.773599999999902</v>
      </c>
      <c r="AD7450">
        <v>-0.28585719999999898</v>
      </c>
      <c r="AE7450">
        <v>0.77658000000000205</v>
      </c>
      <c r="AF7450">
        <v>-0.83917647398228601</v>
      </c>
      <c r="AG7450">
        <v>-0.28585719999999898</v>
      </c>
      <c r="AH7450">
        <v>80.771962280820404</v>
      </c>
      <c r="AI7450">
        <v>90.2027616811027</v>
      </c>
      <c r="AJ7450">
        <v>90.595250369119398</v>
      </c>
      <c r="AK7450">
        <v>80.776827259973203</v>
      </c>
      <c r="AL7450">
        <v>90.460306387405893</v>
      </c>
      <c r="AM7450">
        <v>89.857848111656395</v>
      </c>
      <c r="AN7450">
        <v>1.00000004892317</v>
      </c>
    </row>
    <row r="7451" spans="1:40" x14ac:dyDescent="0.25">
      <c r="A7451" t="str">
        <f>"20190303153954127"</f>
        <v>20190303153954127</v>
      </c>
      <c r="B7451" t="str">
        <f>"1551598794115543"</f>
        <v>1551598794115543</v>
      </c>
      <c r="C7451" t="s">
        <v>40</v>
      </c>
      <c r="D7451">
        <v>4.423775</v>
      </c>
      <c r="E7451">
        <v>0.49400529999999998</v>
      </c>
      <c r="F7451" t="s">
        <v>79</v>
      </c>
      <c r="G7451">
        <v>-279.68</v>
      </c>
      <c r="H7451">
        <v>0.71586530000000004</v>
      </c>
      <c r="I7451">
        <v>18.281549999999999</v>
      </c>
      <c r="J7451">
        <v>-360.20769999999999</v>
      </c>
      <c r="K7451">
        <v>1.121181</v>
      </c>
      <c r="L7451">
        <v>17.366489999999999</v>
      </c>
      <c r="M7451">
        <v>0.99994450000000001</v>
      </c>
      <c r="N7451">
        <v>-1.0527969999999999E-2</v>
      </c>
      <c r="O7451">
        <v>-4.7328490000000001E-4</v>
      </c>
      <c r="P7451">
        <v>0.9998283</v>
      </c>
      <c r="Q7451">
        <v>-1.83924E-2</v>
      </c>
      <c r="R7451">
        <v>-2.2179790000000001E-3</v>
      </c>
      <c r="S7451">
        <v>3.000397</v>
      </c>
      <c r="T7451">
        <v>-1.505709E-2</v>
      </c>
      <c r="U7451">
        <v>3.3996579999999998E-2</v>
      </c>
      <c r="V7451">
        <v>1.748746E-3</v>
      </c>
      <c r="W7451">
        <v>-7.8643500000000009E-3</v>
      </c>
      <c r="X7451">
        <v>0.99996759999999996</v>
      </c>
      <c r="Y7451">
        <v>-1.1802780000000001E-2</v>
      </c>
      <c r="Z7451" s="1">
        <v>8.9141089999999999E-5</v>
      </c>
      <c r="AA7451">
        <v>0.99993030000000005</v>
      </c>
      <c r="AB7451">
        <v>26</v>
      </c>
      <c r="AC7451">
        <v>80.527699999999896</v>
      </c>
      <c r="AD7451">
        <v>-0.4053157</v>
      </c>
      <c r="AE7451">
        <v>0.91505999999999998</v>
      </c>
      <c r="AF7451">
        <v>-0.95315040946086405</v>
      </c>
      <c r="AG7451">
        <v>-0.4053157</v>
      </c>
      <c r="AH7451">
        <v>80.525218144632305</v>
      </c>
      <c r="AI7451">
        <v>90.288369988574004</v>
      </c>
      <c r="AJ7451">
        <v>90.678159546737902</v>
      </c>
      <c r="AK7451">
        <v>80.531878990622999</v>
      </c>
      <c r="AL7451">
        <v>90.450598684322301</v>
      </c>
      <c r="AM7451">
        <v>89.899801090457998</v>
      </c>
      <c r="AN7451">
        <v>1.00000005358162</v>
      </c>
    </row>
    <row r="7452" spans="1:40" x14ac:dyDescent="0.25">
      <c r="A7452" t="str">
        <f>"20190303153954141"</f>
        <v>20190303153954141</v>
      </c>
      <c r="B7452" t="str">
        <f>"1551598794136039"</f>
        <v>1551598794136039</v>
      </c>
      <c r="C7452" t="s">
        <v>40</v>
      </c>
      <c r="D7452">
        <v>4.4366640000000004</v>
      </c>
      <c r="E7452">
        <v>0.4938787</v>
      </c>
      <c r="F7452" t="s">
        <v>79</v>
      </c>
      <c r="G7452">
        <v>-279.68</v>
      </c>
      <c r="H7452">
        <v>0.61507060000000002</v>
      </c>
      <c r="I7452">
        <v>18.49438</v>
      </c>
      <c r="J7452">
        <v>-360.04860000000002</v>
      </c>
      <c r="K7452">
        <v>1.121159</v>
      </c>
      <c r="L7452">
        <v>17.36664</v>
      </c>
      <c r="M7452">
        <v>0.99994519999999998</v>
      </c>
      <c r="N7452">
        <v>-1.046952E-2</v>
      </c>
      <c r="O7452">
        <v>-3.0055560000000003E-4</v>
      </c>
      <c r="P7452">
        <v>0.99983250000000001</v>
      </c>
      <c r="Q7452">
        <v>-1.822323E-2</v>
      </c>
      <c r="R7452">
        <v>-1.7435529999999999E-3</v>
      </c>
      <c r="S7452">
        <v>3.0002749999999998</v>
      </c>
      <c r="T7452">
        <v>-1.8856410000000001E-2</v>
      </c>
      <c r="U7452">
        <v>4.2022709999999998E-2</v>
      </c>
      <c r="V7452">
        <v>1.446646E-3</v>
      </c>
      <c r="W7452">
        <v>-7.7538090000000004E-3</v>
      </c>
      <c r="X7452">
        <v>0.99996890000000005</v>
      </c>
      <c r="Y7452">
        <v>-1.43047E-2</v>
      </c>
      <c r="Z7452">
        <v>1.185807E-4</v>
      </c>
      <c r="AA7452">
        <v>0.9998977</v>
      </c>
      <c r="AB7452">
        <v>26</v>
      </c>
      <c r="AC7452">
        <v>80.368600000000001</v>
      </c>
      <c r="AD7452">
        <v>-0.50608839999999999</v>
      </c>
      <c r="AE7452">
        <v>1.12773999999999</v>
      </c>
      <c r="AF7452">
        <v>-1.15185083877931</v>
      </c>
      <c r="AG7452">
        <v>-0.50608839999999999</v>
      </c>
      <c r="AH7452">
        <v>80.365071284959797</v>
      </c>
      <c r="AI7452">
        <v>90.3607707656966</v>
      </c>
      <c r="AJ7452">
        <v>90.821148691292905</v>
      </c>
      <c r="AK7452">
        <v>80.3749187773156</v>
      </c>
      <c r="AL7452">
        <v>90.444264979176594</v>
      </c>
      <c r="AM7452">
        <v>89.917110769720296</v>
      </c>
      <c r="AN7452">
        <v>1.0000000076529301</v>
      </c>
    </row>
    <row r="7453" spans="1:40" x14ac:dyDescent="0.25">
      <c r="A7453" t="str">
        <f>"20190303153954154"</f>
        <v>20190303153954154</v>
      </c>
      <c r="B7453" t="str">
        <f>"1551598794145798"</f>
        <v>1551598794145798</v>
      </c>
      <c r="C7453" t="s">
        <v>40</v>
      </c>
      <c r="D7453">
        <v>4.4167820000000004</v>
      </c>
      <c r="E7453">
        <v>0.4938651</v>
      </c>
      <c r="F7453" t="s">
        <v>79</v>
      </c>
      <c r="G7453">
        <v>-279.68</v>
      </c>
      <c r="H7453">
        <v>0.57811129999999999</v>
      </c>
      <c r="I7453">
        <v>18.556920000000002</v>
      </c>
      <c r="J7453">
        <v>-359.89550000000003</v>
      </c>
      <c r="K7453">
        <v>1.121132</v>
      </c>
      <c r="L7453">
        <v>17.366759999999999</v>
      </c>
      <c r="M7453">
        <v>0.99994590000000005</v>
      </c>
      <c r="N7453">
        <v>-1.041602E-2</v>
      </c>
      <c r="O7453">
        <v>-1.468214E-4</v>
      </c>
      <c r="P7453">
        <v>0.99983560000000005</v>
      </c>
      <c r="Q7453">
        <v>-1.8101470000000001E-2</v>
      </c>
      <c r="R7453">
        <v>-1.299997E-3</v>
      </c>
      <c r="S7453">
        <v>3.0001829999999998</v>
      </c>
      <c r="T7453">
        <v>-2.0272020000000002E-2</v>
      </c>
      <c r="U7453">
        <v>4.4433590000000002E-2</v>
      </c>
      <c r="V7453">
        <v>1.1562040000000001E-3</v>
      </c>
      <c r="W7453">
        <v>-7.6856869999999897E-3</v>
      </c>
      <c r="X7453">
        <v>0.99996980000000002</v>
      </c>
      <c r="Y7453">
        <v>-1.495462E-2</v>
      </c>
      <c r="Z7453">
        <v>1.2787550000000001E-4</v>
      </c>
      <c r="AA7453">
        <v>0.9998882</v>
      </c>
      <c r="AB7453">
        <v>26</v>
      </c>
      <c r="AC7453">
        <v>80.215500000000006</v>
      </c>
      <c r="AD7453">
        <v>-0.54302069999999902</v>
      </c>
      <c r="AE7453">
        <v>1.1901600000000001</v>
      </c>
      <c r="AF7453">
        <v>-1.20188291034408</v>
      </c>
      <c r="AG7453">
        <v>-0.54302069999999902</v>
      </c>
      <c r="AH7453">
        <v>80.211649379074004</v>
      </c>
      <c r="AI7453">
        <v>90.387834277369905</v>
      </c>
      <c r="AJ7453">
        <v>90.858449686946997</v>
      </c>
      <c r="AK7453">
        <v>80.222491173749404</v>
      </c>
      <c r="AL7453">
        <v>90.4403617615245</v>
      </c>
      <c r="AM7453">
        <v>89.933752419387901</v>
      </c>
      <c r="AN7453">
        <v>1.0000000037521899</v>
      </c>
    </row>
    <row r="7454" spans="1:40" x14ac:dyDescent="0.25">
      <c r="A7454" t="str">
        <f>"20190303153954171"</f>
        <v>20190303153954171</v>
      </c>
      <c r="B7454" t="str">
        <f>"1551598794165319"</f>
        <v>1551598794165319</v>
      </c>
      <c r="C7454" t="s">
        <v>40</v>
      </c>
      <c r="D7454">
        <v>4.4310349999999996</v>
      </c>
      <c r="E7454">
        <v>0.49387700000000001</v>
      </c>
      <c r="F7454" t="s">
        <v>79</v>
      </c>
      <c r="G7454">
        <v>-279.68</v>
      </c>
      <c r="H7454">
        <v>0.55622450000000001</v>
      </c>
      <c r="I7454">
        <v>18.593109999999999</v>
      </c>
      <c r="J7454">
        <v>-359.70260000000002</v>
      </c>
      <c r="K7454">
        <v>1.1210979999999999</v>
      </c>
      <c r="L7454">
        <v>17.36694</v>
      </c>
      <c r="M7454">
        <v>0.99994649999999996</v>
      </c>
      <c r="N7454">
        <v>-1.035343E-2</v>
      </c>
      <c r="O7454" s="1">
        <v>2.4633210000000001E-5</v>
      </c>
      <c r="P7454">
        <v>0.99983599999999995</v>
      </c>
      <c r="Q7454">
        <v>-1.8067119999999999E-2</v>
      </c>
      <c r="R7454">
        <v>-1.279669E-3</v>
      </c>
      <c r="S7454">
        <v>3.0002140000000002</v>
      </c>
      <c r="T7454">
        <v>-2.1128540000000001E-2</v>
      </c>
      <c r="U7454">
        <v>4.586792E-2</v>
      </c>
      <c r="V7454">
        <v>1.30719E-3</v>
      </c>
      <c r="W7454">
        <v>-7.713948E-3</v>
      </c>
      <c r="X7454">
        <v>0.99996940000000001</v>
      </c>
      <c r="Y7454">
        <v>-1.5260869999999999E-2</v>
      </c>
      <c r="Z7454">
        <v>1.3282419999999999E-4</v>
      </c>
      <c r="AA7454">
        <v>0.99988350000000004</v>
      </c>
      <c r="AB7454">
        <v>26</v>
      </c>
      <c r="AC7454">
        <v>80.022599999999997</v>
      </c>
      <c r="AD7454">
        <v>-0.56487349999999903</v>
      </c>
      <c r="AE7454">
        <v>1.22616999999999</v>
      </c>
      <c r="AF7454">
        <v>-1.22413769812724</v>
      </c>
      <c r="AG7454">
        <v>-0.56487349999999903</v>
      </c>
      <c r="AH7454">
        <v>80.018643915443903</v>
      </c>
      <c r="AI7454">
        <v>90.4044125461931</v>
      </c>
      <c r="AJ7454">
        <v>90.876451404809899</v>
      </c>
      <c r="AK7454">
        <v>80.030000432597703</v>
      </c>
      <c r="AL7454">
        <v>90.441981043960595</v>
      </c>
      <c r="AM7454">
        <v>89.925101280739696</v>
      </c>
      <c r="AN7454">
        <v>1.0000000073379001</v>
      </c>
    </row>
    <row r="7455" spans="1:40" x14ac:dyDescent="0.25">
      <c r="A7455" t="str">
        <f>"20190303153954182"</f>
        <v>20190303153954182</v>
      </c>
      <c r="B7455" t="str">
        <f>"1551598794176055"</f>
        <v>1551598794176055</v>
      </c>
      <c r="C7455" t="s">
        <v>40</v>
      </c>
      <c r="D7455">
        <v>4.4371910000000003</v>
      </c>
      <c r="E7455">
        <v>0.4939249</v>
      </c>
      <c r="F7455" t="s">
        <v>79</v>
      </c>
      <c r="G7455">
        <v>-279.68</v>
      </c>
      <c r="H7455">
        <v>0.50211620000000001</v>
      </c>
      <c r="I7455">
        <v>18.588760000000001</v>
      </c>
      <c r="J7455">
        <v>-359.56670000000003</v>
      </c>
      <c r="K7455">
        <v>1.121073</v>
      </c>
      <c r="L7455">
        <v>17.367069999999998</v>
      </c>
      <c r="M7455">
        <v>0.99994680000000002</v>
      </c>
      <c r="N7455">
        <v>-1.031349E-2</v>
      </c>
      <c r="O7455">
        <v>1.2576379999999901E-4</v>
      </c>
      <c r="P7455">
        <v>0.999834</v>
      </c>
      <c r="Q7455">
        <v>-1.8168E-2</v>
      </c>
      <c r="R7455">
        <v>-1.4406289999999999E-3</v>
      </c>
      <c r="S7455">
        <v>3.0001220000000002</v>
      </c>
      <c r="T7455">
        <v>-2.3206109999999999E-2</v>
      </c>
      <c r="U7455">
        <v>4.5806880000000001E-2</v>
      </c>
      <c r="V7455">
        <v>1.568662E-3</v>
      </c>
      <c r="W7455">
        <v>-7.85475699999999E-3</v>
      </c>
      <c r="X7455">
        <v>0.99996790000000002</v>
      </c>
      <c r="Y7455">
        <v>-1.513975E-2</v>
      </c>
      <c r="Z7455">
        <v>1.3695459999999999E-4</v>
      </c>
      <c r="AA7455">
        <v>0.99988540000000004</v>
      </c>
      <c r="AB7455">
        <v>26</v>
      </c>
      <c r="AC7455">
        <v>79.886700000000005</v>
      </c>
      <c r="AD7455">
        <v>-0.61895679999999997</v>
      </c>
      <c r="AE7455">
        <v>1.22168999999999</v>
      </c>
      <c r="AF7455">
        <v>-1.2115698868351801</v>
      </c>
      <c r="AG7455">
        <v>-0.61895679999999997</v>
      </c>
      <c r="AH7455">
        <v>79.882058784733402</v>
      </c>
      <c r="AI7455">
        <v>90.443889718930293</v>
      </c>
      <c r="AJ7455">
        <v>90.868937531049497</v>
      </c>
      <c r="AK7455">
        <v>79.893643832275899</v>
      </c>
      <c r="AL7455">
        <v>90.450049062316694</v>
      </c>
      <c r="AM7455">
        <v>89.910119476477902</v>
      </c>
      <c r="AN7455">
        <v>0.99999997946920405</v>
      </c>
    </row>
    <row r="7456" spans="1:40" x14ac:dyDescent="0.25">
      <c r="A7456" t="str">
        <f>"20190303153954194"</f>
        <v>20190303153954194</v>
      </c>
      <c r="B7456" t="str">
        <f>"1551598794185814"</f>
        <v>1551598794185814</v>
      </c>
      <c r="C7456" t="s">
        <v>40</v>
      </c>
      <c r="D7456">
        <v>4.4570150000000002</v>
      </c>
      <c r="E7456">
        <v>0.49393619999999999</v>
      </c>
      <c r="F7456" t="s">
        <v>79</v>
      </c>
      <c r="G7456">
        <v>-279.68</v>
      </c>
      <c r="H7456">
        <v>0.47105989999999998</v>
      </c>
      <c r="I7456">
        <v>18.56324</v>
      </c>
      <c r="J7456">
        <v>-359.43950000000001</v>
      </c>
      <c r="K7456">
        <v>1.1210500000000001</v>
      </c>
      <c r="L7456">
        <v>17.367159999999998</v>
      </c>
      <c r="M7456">
        <v>0.99994720000000004</v>
      </c>
      <c r="N7456">
        <v>-1.027993E-2</v>
      </c>
      <c r="O7456">
        <v>2.118547E-4</v>
      </c>
      <c r="P7456">
        <v>0.99983999999999995</v>
      </c>
      <c r="Q7456">
        <v>-1.7832460000000001E-2</v>
      </c>
      <c r="R7456">
        <v>-1.50903E-3</v>
      </c>
      <c r="S7456">
        <v>3.0001220000000002</v>
      </c>
      <c r="T7456">
        <v>-2.4410959999999999E-2</v>
      </c>
      <c r="U7456">
        <v>4.4921879999999997E-2</v>
      </c>
      <c r="V7456">
        <v>1.722861E-3</v>
      </c>
      <c r="W7456">
        <v>-7.5527569999999898E-3</v>
      </c>
      <c r="X7456">
        <v>0.99997000000000003</v>
      </c>
      <c r="Y7456">
        <v>-1.4758729999999999E-2</v>
      </c>
      <c r="Z7456">
        <v>1.3636160000000001E-4</v>
      </c>
      <c r="AA7456">
        <v>0.99989110000000003</v>
      </c>
      <c r="AB7456">
        <v>26</v>
      </c>
      <c r="AC7456">
        <v>79.759500000000003</v>
      </c>
      <c r="AD7456">
        <v>-0.64999010000000002</v>
      </c>
      <c r="AE7456">
        <v>1.19607999999999</v>
      </c>
      <c r="AF7456">
        <v>-1.1791033669773701</v>
      </c>
      <c r="AG7456">
        <v>-0.64999010000000002</v>
      </c>
      <c r="AH7456">
        <v>79.754456131020405</v>
      </c>
      <c r="AI7456">
        <v>90.466892982574905</v>
      </c>
      <c r="AJ7456">
        <v>90.847008786689599</v>
      </c>
      <c r="AK7456">
        <v>79.765820027346095</v>
      </c>
      <c r="AL7456">
        <v>90.432745211241993</v>
      </c>
      <c r="AM7456">
        <v>89.901284472220098</v>
      </c>
      <c r="AN7456">
        <v>1.0000000066441599</v>
      </c>
    </row>
    <row r="7457" spans="1:40" x14ac:dyDescent="0.25">
      <c r="A7457" t="str">
        <f>"20190303153954204"</f>
        <v>20190303153954204</v>
      </c>
      <c r="B7457" t="str">
        <f>"1551598794195575"</f>
        <v>1551598794195575</v>
      </c>
      <c r="C7457" t="s">
        <v>40</v>
      </c>
      <c r="D7457">
        <v>4.4416390000000003</v>
      </c>
      <c r="E7457">
        <v>0.49397619999999998</v>
      </c>
      <c r="F7457" t="s">
        <v>79</v>
      </c>
      <c r="G7457">
        <v>-279.68</v>
      </c>
      <c r="H7457">
        <v>0.47185359999999998</v>
      </c>
      <c r="I7457">
        <v>18.552499999999998</v>
      </c>
      <c r="J7457">
        <v>-359.31290000000001</v>
      </c>
      <c r="K7457">
        <v>1.121032</v>
      </c>
      <c r="L7457">
        <v>17.367279999999901</v>
      </c>
      <c r="M7457">
        <v>0.99994740000000004</v>
      </c>
      <c r="N7457">
        <v>-1.0251949999999999E-2</v>
      </c>
      <c r="O7457">
        <v>2.8581709999999998E-4</v>
      </c>
      <c r="P7457">
        <v>0.99983949999999999</v>
      </c>
      <c r="Q7457">
        <v>-1.7815339999999999E-2</v>
      </c>
      <c r="R7457">
        <v>-1.8693469999999999E-3</v>
      </c>
      <c r="S7457">
        <v>3.0001220000000002</v>
      </c>
      <c r="T7457">
        <v>-2.441919E-2</v>
      </c>
      <c r="U7457">
        <v>4.4586180000000003E-2</v>
      </c>
      <c r="V7457">
        <v>2.156898E-3</v>
      </c>
      <c r="W7457">
        <v>-7.5635909999999997E-3</v>
      </c>
      <c r="X7457">
        <v>0.99996910000000006</v>
      </c>
      <c r="Y7457">
        <v>-1.457293E-2</v>
      </c>
      <c r="Z7457">
        <v>1.346164E-4</v>
      </c>
      <c r="AA7457">
        <v>0.99989380000000005</v>
      </c>
      <c r="AB7457">
        <v>26</v>
      </c>
      <c r="AC7457">
        <v>79.632900000000006</v>
      </c>
      <c r="AD7457">
        <v>-0.64917840000000004</v>
      </c>
      <c r="AE7457">
        <v>1.1852199999999999</v>
      </c>
      <c r="AF7457">
        <v>-1.1623810790438101</v>
      </c>
      <c r="AG7457">
        <v>-0.64917840000000004</v>
      </c>
      <c r="AH7457">
        <v>79.627944830262095</v>
      </c>
      <c r="AI7457">
        <v>90.467052068526797</v>
      </c>
      <c r="AJ7457">
        <v>90.836324485890898</v>
      </c>
      <c r="AK7457">
        <v>79.639074330753004</v>
      </c>
      <c r="AL7457">
        <v>90.433365961089905</v>
      </c>
      <c r="AM7457">
        <v>89.876415220643196</v>
      </c>
      <c r="AN7457">
        <v>1.0000000305362999</v>
      </c>
    </row>
    <row r="7458" spans="1:40" x14ac:dyDescent="0.25">
      <c r="A7458" t="str">
        <f>"20190303153954216"</f>
        <v>20190303153954216</v>
      </c>
      <c r="B7458" t="str">
        <f>"1551598794205335"</f>
        <v>1551598794205335</v>
      </c>
      <c r="C7458" t="s">
        <v>40</v>
      </c>
      <c r="D7458">
        <v>4.4621190000000004</v>
      </c>
      <c r="E7458">
        <v>0.4940097</v>
      </c>
      <c r="F7458" t="s">
        <v>79</v>
      </c>
      <c r="G7458">
        <v>-279.68</v>
      </c>
      <c r="H7458">
        <v>0.45167819999999997</v>
      </c>
      <c r="I7458">
        <v>18.513480000000001</v>
      </c>
      <c r="J7458">
        <v>-359.17970000000003</v>
      </c>
      <c r="K7458">
        <v>1.12101299999999</v>
      </c>
      <c r="L7458">
        <v>17.3674</v>
      </c>
      <c r="M7458">
        <v>0.99994769999999999</v>
      </c>
      <c r="N7458">
        <v>-1.022936E-2</v>
      </c>
      <c r="O7458">
        <v>3.4721330000000002E-4</v>
      </c>
      <c r="P7458">
        <v>0.99984209999999996</v>
      </c>
      <c r="Q7458">
        <v>-1.7668119999999999E-2</v>
      </c>
      <c r="R7458">
        <v>-1.9271679999999999E-3</v>
      </c>
      <c r="S7458">
        <v>3.0001220000000002</v>
      </c>
      <c r="T7458">
        <v>-2.5217409999999999E-2</v>
      </c>
      <c r="U7458">
        <v>4.3182369999999998E-2</v>
      </c>
      <c r="V7458">
        <v>2.2757810000000002E-3</v>
      </c>
      <c r="W7458">
        <v>-7.4390259999999996E-3</v>
      </c>
      <c r="X7458">
        <v>0.99996969999999996</v>
      </c>
      <c r="Y7458">
        <v>-1.4043750000000001E-2</v>
      </c>
      <c r="Z7458">
        <v>1.314892E-4</v>
      </c>
      <c r="AA7458">
        <v>0.99990140000000005</v>
      </c>
      <c r="AB7458">
        <v>26</v>
      </c>
      <c r="AC7458">
        <v>79.499700000000004</v>
      </c>
      <c r="AD7458">
        <v>-0.66933479999999901</v>
      </c>
      <c r="AE7458">
        <v>1.14607999999999</v>
      </c>
      <c r="AF7458">
        <v>-1.1183958743654401</v>
      </c>
      <c r="AG7458">
        <v>-0.66933479999999901</v>
      </c>
      <c r="AH7458">
        <v>79.494459349180502</v>
      </c>
      <c r="AI7458">
        <v>90.482365169490393</v>
      </c>
      <c r="AJ7458">
        <v>90.806032730502594</v>
      </c>
      <c r="AK7458">
        <v>79.505143768342407</v>
      </c>
      <c r="AL7458">
        <v>90.426228741954802</v>
      </c>
      <c r="AM7458">
        <v>89.869603627715705</v>
      </c>
      <c r="AN7458">
        <v>0.99999995960253796</v>
      </c>
    </row>
    <row r="7459" spans="1:40" x14ac:dyDescent="0.25">
      <c r="A7459" t="str">
        <f>"20190303153954227"</f>
        <v>20190303153954227</v>
      </c>
      <c r="B7459" t="str">
        <f>"1551598794216071"</f>
        <v>1551598794216071</v>
      </c>
      <c r="C7459" t="s">
        <v>40</v>
      </c>
      <c r="D7459">
        <v>4.4533009999999997</v>
      </c>
      <c r="E7459">
        <v>0.49403039999999998</v>
      </c>
      <c r="F7459" t="s">
        <v>79</v>
      </c>
      <c r="G7459">
        <v>-279.68</v>
      </c>
      <c r="H7459">
        <v>0.44372679999999998</v>
      </c>
      <c r="I7459">
        <v>18.500389999999999</v>
      </c>
      <c r="J7459">
        <v>-359.04759999999999</v>
      </c>
      <c r="K7459">
        <v>1.120997</v>
      </c>
      <c r="L7459">
        <v>17.367519999999999</v>
      </c>
      <c r="M7459">
        <v>0.99994769999999999</v>
      </c>
      <c r="N7459">
        <v>-1.021127E-2</v>
      </c>
      <c r="O7459">
        <v>3.9779259999999999E-4</v>
      </c>
      <c r="P7459">
        <v>0.99984600000000001</v>
      </c>
      <c r="Q7459">
        <v>-1.744126E-2</v>
      </c>
      <c r="R7459">
        <v>-1.9924360000000002E-3</v>
      </c>
      <c r="S7459">
        <v>3.0000610000000001</v>
      </c>
      <c r="T7459">
        <v>-2.555847E-2</v>
      </c>
      <c r="U7459">
        <v>4.2755130000000002E-2</v>
      </c>
      <c r="V7459">
        <v>2.391116E-3</v>
      </c>
      <c r="W7459">
        <v>-7.2303050000000002E-3</v>
      </c>
      <c r="X7459">
        <v>0.99997100000000005</v>
      </c>
      <c r="Y7459">
        <v>-1.385109E-2</v>
      </c>
      <c r="Z7459">
        <v>1.3039700000000001E-4</v>
      </c>
      <c r="AA7459">
        <v>0.99990400000000002</v>
      </c>
      <c r="AB7459">
        <v>26</v>
      </c>
      <c r="AC7459">
        <v>79.367599999999896</v>
      </c>
      <c r="AD7459">
        <v>-0.67727019999999905</v>
      </c>
      <c r="AE7459">
        <v>1.1328699999999901</v>
      </c>
      <c r="AF7459">
        <v>-1.1012162458143899</v>
      </c>
      <c r="AG7459">
        <v>-0.67727019999999905</v>
      </c>
      <c r="AH7459">
        <v>79.362266583701597</v>
      </c>
      <c r="AI7459">
        <v>90.488897921611098</v>
      </c>
      <c r="AJ7459">
        <v>90.794974702667304</v>
      </c>
      <c r="AK7459">
        <v>79.372795902918696</v>
      </c>
      <c r="AL7459">
        <v>90.414269571543002</v>
      </c>
      <c r="AM7459">
        <v>89.862995432853396</v>
      </c>
      <c r="AN7459">
        <v>0.99999999779355897</v>
      </c>
    </row>
    <row r="7460" spans="1:40" x14ac:dyDescent="0.25">
      <c r="A7460" t="str">
        <f>"20190303153954238"</f>
        <v>20190303153954238</v>
      </c>
      <c r="B7460" t="str">
        <f>"1551598794225830"</f>
        <v>1551598794225830</v>
      </c>
      <c r="C7460" t="s">
        <v>40</v>
      </c>
      <c r="D7460">
        <v>4.4757210000000001</v>
      </c>
      <c r="E7460">
        <v>0.49401929999999999</v>
      </c>
      <c r="F7460" t="s">
        <v>79</v>
      </c>
      <c r="G7460">
        <v>-279.68</v>
      </c>
      <c r="H7460">
        <v>0.44836340000000002</v>
      </c>
      <c r="I7460">
        <v>18.488130000000002</v>
      </c>
      <c r="J7460">
        <v>-358.92219999999998</v>
      </c>
      <c r="K7460">
        <v>1.120984</v>
      </c>
      <c r="L7460">
        <v>17.367650000000001</v>
      </c>
      <c r="M7460">
        <v>0.9999479</v>
      </c>
      <c r="N7460">
        <v>-1.020388E-2</v>
      </c>
      <c r="O7460">
        <v>4.2646360000000001E-4</v>
      </c>
      <c r="P7460">
        <v>0.99985579999999996</v>
      </c>
      <c r="Q7460">
        <v>-1.688984E-2</v>
      </c>
      <c r="R7460">
        <v>-1.8824899999999999E-3</v>
      </c>
      <c r="S7460">
        <v>3.0000610000000001</v>
      </c>
      <c r="T7460">
        <v>-2.5425199999999998E-2</v>
      </c>
      <c r="U7460">
        <v>4.2358399999999997E-2</v>
      </c>
      <c r="V7460">
        <v>2.3094589999999998E-3</v>
      </c>
      <c r="W7460">
        <v>-6.6863180000000001E-3</v>
      </c>
      <c r="X7460">
        <v>0.99997499999999995</v>
      </c>
      <c r="Y7460">
        <v>-1.3690239999999999E-2</v>
      </c>
      <c r="Z7460">
        <v>1.2860009999999999E-4</v>
      </c>
      <c r="AA7460">
        <v>0.99990630000000003</v>
      </c>
      <c r="AB7460">
        <v>26</v>
      </c>
      <c r="AC7460">
        <v>79.242199999999897</v>
      </c>
      <c r="AD7460">
        <v>-0.67262059999999901</v>
      </c>
      <c r="AE7460">
        <v>1.1204799999999899</v>
      </c>
      <c r="AF7460">
        <v>-1.0866059534324799</v>
      </c>
      <c r="AG7460">
        <v>-0.67262059999999901</v>
      </c>
      <c r="AH7460">
        <v>79.236962868279306</v>
      </c>
      <c r="AI7460">
        <v>90.486310575876601</v>
      </c>
      <c r="AJ7460">
        <v>90.785669094838099</v>
      </c>
      <c r="AK7460">
        <v>79.247267558942696</v>
      </c>
      <c r="AL7460">
        <v>90.3831006485877</v>
      </c>
      <c r="AM7460">
        <v>89.867674673470702</v>
      </c>
      <c r="AN7460">
        <v>1.00000002053713</v>
      </c>
    </row>
    <row r="7461" spans="1:40" x14ac:dyDescent="0.25">
      <c r="A7461" t="str">
        <f>"20190303153954252"</f>
        <v>20190303153954252</v>
      </c>
      <c r="B7461" t="str">
        <f>"1551598794246326"</f>
        <v>1551598794246326</v>
      </c>
      <c r="C7461" t="s">
        <v>40</v>
      </c>
      <c r="D7461">
        <v>4.4870489999999998</v>
      </c>
      <c r="E7461">
        <v>0.49402810000000003</v>
      </c>
      <c r="F7461" t="s">
        <v>79</v>
      </c>
      <c r="G7461">
        <v>-279.68</v>
      </c>
      <c r="H7461">
        <v>0.47816609999999998</v>
      </c>
      <c r="I7461">
        <v>18.497769999999999</v>
      </c>
      <c r="J7461">
        <v>-358.77719999999999</v>
      </c>
      <c r="K7461">
        <v>1.120968</v>
      </c>
      <c r="L7461">
        <v>17.367739999999898</v>
      </c>
      <c r="M7461">
        <v>0.99994799999999995</v>
      </c>
      <c r="N7461">
        <v>-1.019921E-2</v>
      </c>
      <c r="O7461">
        <v>4.5288579999999999E-4</v>
      </c>
      <c r="P7461">
        <v>0.99986249999999999</v>
      </c>
      <c r="Q7461">
        <v>-1.6485090000000001E-2</v>
      </c>
      <c r="R7461">
        <v>-1.8889099999999999E-3</v>
      </c>
      <c r="S7461">
        <v>3.0000610000000001</v>
      </c>
      <c r="T7461">
        <v>-2.433658E-2</v>
      </c>
      <c r="U7461">
        <v>4.278564E-2</v>
      </c>
      <c r="V7461">
        <v>2.3419259999999998E-3</v>
      </c>
      <c r="W7461">
        <v>-6.2863140000000003E-3</v>
      </c>
      <c r="X7461">
        <v>0.99997749999999996</v>
      </c>
      <c r="Y7461">
        <v>-1.3806250000000001E-2</v>
      </c>
      <c r="Z7461">
        <v>1.2735439999999999E-4</v>
      </c>
      <c r="AA7461">
        <v>0.99990469999999998</v>
      </c>
      <c r="AB7461">
        <v>26</v>
      </c>
      <c r="AC7461">
        <v>79.097199999999901</v>
      </c>
      <c r="AD7461">
        <v>-0.64280190000000004</v>
      </c>
      <c r="AE7461">
        <v>1.1300300000000001</v>
      </c>
      <c r="AF7461">
        <v>-1.0941337802222599</v>
      </c>
      <c r="AG7461">
        <v>-0.64280190000000004</v>
      </c>
      <c r="AH7461">
        <v>79.092481186200203</v>
      </c>
      <c r="AI7461">
        <v>90.465600537814595</v>
      </c>
      <c r="AJ7461">
        <v>90.792556364810096</v>
      </c>
      <c r="AK7461">
        <v>79.102660531748896</v>
      </c>
      <c r="AL7461">
        <v>90.360181632665004</v>
      </c>
      <c r="AM7461">
        <v>89.865814750423297</v>
      </c>
      <c r="AN7461">
        <v>1.0000000014336701</v>
      </c>
    </row>
    <row r="7462" spans="1:40" x14ac:dyDescent="0.25">
      <c r="A7462" t="str">
        <f>"20190303153954273"</f>
        <v>20190303153954273</v>
      </c>
      <c r="B7462" t="str">
        <f>"1551598794265847"</f>
        <v>1551598794265847</v>
      </c>
      <c r="C7462" t="s">
        <v>40</v>
      </c>
      <c r="D7462">
        <v>4.4904710000000003</v>
      </c>
      <c r="E7462">
        <v>0.49403609999999998</v>
      </c>
      <c r="F7462" t="s">
        <v>79</v>
      </c>
      <c r="G7462">
        <v>-279.68</v>
      </c>
      <c r="H7462">
        <v>0.48441889999999999</v>
      </c>
      <c r="I7462">
        <v>18.492550000000001</v>
      </c>
      <c r="J7462">
        <v>-358.52359999999999</v>
      </c>
      <c r="K7462">
        <v>1.1209480000000001</v>
      </c>
      <c r="L7462">
        <v>17.367889999999999</v>
      </c>
      <c r="M7462">
        <v>0.99994780000000005</v>
      </c>
      <c r="N7462">
        <v>-1.021465E-2</v>
      </c>
      <c r="O7462">
        <v>4.5795820000000002E-4</v>
      </c>
      <c r="P7462">
        <v>0.99988120000000003</v>
      </c>
      <c r="Q7462">
        <v>-1.529545E-2</v>
      </c>
      <c r="R7462">
        <v>-1.952376E-3</v>
      </c>
      <c r="S7462">
        <v>3.0001220000000002</v>
      </c>
      <c r="T7462">
        <v>-2.4143930000000001E-2</v>
      </c>
      <c r="U7462">
        <v>4.2663569999999998E-2</v>
      </c>
      <c r="V7462">
        <v>2.410185E-3</v>
      </c>
      <c r="W7462">
        <v>-5.0812799999999997E-3</v>
      </c>
      <c r="X7462">
        <v>0.99998419999999999</v>
      </c>
      <c r="Y7462">
        <v>-1.376023E-2</v>
      </c>
      <c r="Z7462">
        <v>1.2664349999999999E-4</v>
      </c>
      <c r="AA7462">
        <v>0.9999053</v>
      </c>
      <c r="AB7462">
        <v>26</v>
      </c>
      <c r="AC7462">
        <v>78.843599999999896</v>
      </c>
      <c r="AD7462">
        <v>-0.63652909999999996</v>
      </c>
      <c r="AE7462">
        <v>1.12466</v>
      </c>
      <c r="AF7462">
        <v>-1.0884799968723899</v>
      </c>
      <c r="AG7462">
        <v>-0.63652909999999996</v>
      </c>
      <c r="AH7462">
        <v>78.838969253685406</v>
      </c>
      <c r="AI7462">
        <v>90.462539828857899</v>
      </c>
      <c r="AJ7462">
        <v>90.790996487434697</v>
      </c>
      <c r="AK7462">
        <v>78.849052188230502</v>
      </c>
      <c r="AL7462">
        <v>90.291137147194505</v>
      </c>
      <c r="AM7462">
        <v>89.861904657149793</v>
      </c>
      <c r="AN7462">
        <v>1.0000000143239001</v>
      </c>
    </row>
    <row r="7463" spans="1:40" x14ac:dyDescent="0.25">
      <c r="A7463" t="str">
        <f>"20190303153954286"</f>
        <v>20190303153954286</v>
      </c>
      <c r="B7463" t="str">
        <f>"1551598794275606"</f>
        <v>1551598794275606</v>
      </c>
      <c r="C7463" t="s">
        <v>40</v>
      </c>
      <c r="D7463">
        <v>4.490596</v>
      </c>
      <c r="E7463">
        <v>0.49404320000000002</v>
      </c>
      <c r="F7463" t="s">
        <v>79</v>
      </c>
      <c r="G7463">
        <v>-279.68</v>
      </c>
      <c r="H7463">
        <v>0.54696999999999996</v>
      </c>
      <c r="I7463">
        <v>18.481079999999999</v>
      </c>
      <c r="J7463">
        <v>-358.36849999999998</v>
      </c>
      <c r="K7463">
        <v>1.1209389999999999</v>
      </c>
      <c r="L7463">
        <v>17.367920000000002</v>
      </c>
      <c r="M7463">
        <v>0.99994760000000005</v>
      </c>
      <c r="N7463">
        <v>-1.023338E-2</v>
      </c>
      <c r="O7463">
        <v>4.4244709999999998E-4</v>
      </c>
      <c r="P7463">
        <v>0.99989320000000004</v>
      </c>
      <c r="Q7463">
        <v>-1.4485049999999999E-2</v>
      </c>
      <c r="R7463">
        <v>-1.9176620000000001E-3</v>
      </c>
      <c r="S7463">
        <v>3.000092</v>
      </c>
      <c r="T7463">
        <v>-2.1840450000000001E-2</v>
      </c>
      <c r="U7463">
        <v>4.2358399999999997E-2</v>
      </c>
      <c r="V7463">
        <v>2.359903E-3</v>
      </c>
      <c r="W7463">
        <v>-4.2521659999999999E-3</v>
      </c>
      <c r="X7463">
        <v>0.99998819999999999</v>
      </c>
      <c r="Y7463">
        <v>-1.367433E-2</v>
      </c>
      <c r="Z7463">
        <v>1.210527E-4</v>
      </c>
      <c r="AA7463">
        <v>0.99990650000000003</v>
      </c>
      <c r="AB7463">
        <v>26</v>
      </c>
      <c r="AC7463">
        <v>78.688499999999905</v>
      </c>
      <c r="AD7463">
        <v>-0.57396899999999995</v>
      </c>
      <c r="AE7463">
        <v>1.1131599999999899</v>
      </c>
      <c r="AF7463">
        <v>-1.0782852124489399</v>
      </c>
      <c r="AG7463">
        <v>-0.57396899999999995</v>
      </c>
      <c r="AH7463">
        <v>78.684799231998397</v>
      </c>
      <c r="AI7463">
        <v>90.417899403630301</v>
      </c>
      <c r="AJ7463">
        <v>90.785124006282899</v>
      </c>
      <c r="AK7463">
        <v>78.694280412189002</v>
      </c>
      <c r="AL7463">
        <v>90.243631893659199</v>
      </c>
      <c r="AM7463">
        <v>89.864786173527506</v>
      </c>
      <c r="AN7463">
        <v>1.0000000250985499</v>
      </c>
    </row>
    <row r="7464" spans="1:40" x14ac:dyDescent="0.25">
      <c r="A7464" t="str">
        <f>"20190303153954300"</f>
        <v>20190303153954300</v>
      </c>
      <c r="B7464" t="str">
        <f>"1551598794296103"</f>
        <v>1551598794296103</v>
      </c>
      <c r="C7464" t="s">
        <v>40</v>
      </c>
      <c r="D7464">
        <v>4.4887259999999998</v>
      </c>
      <c r="E7464">
        <v>0.4940428</v>
      </c>
      <c r="F7464" t="s">
        <v>79</v>
      </c>
      <c r="G7464">
        <v>-279.68</v>
      </c>
      <c r="H7464">
        <v>0.60014250000000002</v>
      </c>
      <c r="I7464">
        <v>18.480509999999999</v>
      </c>
      <c r="J7464">
        <v>-358.21190000000001</v>
      </c>
      <c r="K7464">
        <v>1.120935</v>
      </c>
      <c r="L7464">
        <v>17.367979999999999</v>
      </c>
      <c r="M7464">
        <v>0.99994720000000004</v>
      </c>
      <c r="N7464">
        <v>-1.0263359999999999E-2</v>
      </c>
      <c r="O7464">
        <v>4.0858330000000001E-4</v>
      </c>
      <c r="P7464">
        <v>0.99990179999999995</v>
      </c>
      <c r="Q7464">
        <v>-1.3884179999999999E-2</v>
      </c>
      <c r="R7464">
        <v>-1.869276E-3</v>
      </c>
      <c r="S7464">
        <v>3.0001220000000002</v>
      </c>
      <c r="T7464">
        <v>-1.9856100000000002E-2</v>
      </c>
      <c r="U7464">
        <v>4.2419430000000001E-2</v>
      </c>
      <c r="V7464">
        <v>2.2774560000000002E-3</v>
      </c>
      <c r="W7464">
        <v>-3.6213510000000001E-3</v>
      </c>
      <c r="X7464">
        <v>0.99999079999999996</v>
      </c>
      <c r="Y7464">
        <v>-1.3728489999999999E-2</v>
      </c>
      <c r="Z7464">
        <v>1.173747E-4</v>
      </c>
      <c r="AA7464">
        <v>0.99990579999999996</v>
      </c>
      <c r="AB7464">
        <v>26</v>
      </c>
      <c r="AC7464">
        <v>78.531899999999993</v>
      </c>
      <c r="AD7464">
        <v>-0.52079249999999999</v>
      </c>
      <c r="AE7464">
        <v>1.11252999999999</v>
      </c>
      <c r="AF7464">
        <v>-1.08039388845389</v>
      </c>
      <c r="AG7464">
        <v>-0.52079249999999999</v>
      </c>
      <c r="AH7464">
        <v>78.528895164615804</v>
      </c>
      <c r="AI7464">
        <v>90.379935962187204</v>
      </c>
      <c r="AJ7464">
        <v>90.788220752691203</v>
      </c>
      <c r="AK7464">
        <v>78.538053525392897</v>
      </c>
      <c r="AL7464">
        <v>90.207488592207397</v>
      </c>
      <c r="AM7464">
        <v>89.869510408278799</v>
      </c>
      <c r="AN7464">
        <v>0.99999995053676705</v>
      </c>
    </row>
    <row r="7465" spans="1:40" x14ac:dyDescent="0.25">
      <c r="A7465" t="str">
        <f>"20190303153954316"</f>
        <v>20190303153954316</v>
      </c>
      <c r="B7465" t="str">
        <f>"1551598794305863"</f>
        <v>1551598794305863</v>
      </c>
      <c r="C7465" t="s">
        <v>40</v>
      </c>
      <c r="D7465">
        <v>4.4711660000000002</v>
      </c>
      <c r="E7465">
        <v>0.4940425</v>
      </c>
      <c r="F7465" t="s">
        <v>79</v>
      </c>
      <c r="G7465">
        <v>-279.68</v>
      </c>
      <c r="H7465">
        <v>0.59752830000000001</v>
      </c>
      <c r="I7465">
        <v>18.480779999999999</v>
      </c>
      <c r="J7465">
        <v>-358.01940000000002</v>
      </c>
      <c r="K7465">
        <v>1.1209370000000001</v>
      </c>
      <c r="L7465">
        <v>17.368010000000002</v>
      </c>
      <c r="M7465">
        <v>0.99994669999999997</v>
      </c>
      <c r="N7465">
        <v>-1.0329E-2</v>
      </c>
      <c r="O7465">
        <v>3.4184189999999999E-4</v>
      </c>
      <c r="P7465">
        <v>0.99991810000000003</v>
      </c>
      <c r="Q7465">
        <v>-1.272073E-2</v>
      </c>
      <c r="R7465">
        <v>-1.4393639999999901E-3</v>
      </c>
      <c r="S7465">
        <v>3.0000610000000001</v>
      </c>
      <c r="T7465">
        <v>-1.9994970000000001E-2</v>
      </c>
      <c r="U7465">
        <v>4.2510989999999999E-2</v>
      </c>
      <c r="V7465">
        <v>1.7807470000000001E-3</v>
      </c>
      <c r="W7465">
        <v>-2.3921939999999998E-3</v>
      </c>
      <c r="X7465">
        <v>0.99999550000000004</v>
      </c>
      <c r="Y7465">
        <v>-1.382601E-2</v>
      </c>
      <c r="Z7465">
        <v>1.187359E-4</v>
      </c>
      <c r="AA7465">
        <v>0.99990440000000003</v>
      </c>
      <c r="AB7465">
        <v>26</v>
      </c>
      <c r="AC7465">
        <v>78.339399999999998</v>
      </c>
      <c r="AD7465">
        <v>-0.52340869999999995</v>
      </c>
      <c r="AE7465">
        <v>1.11276999999999</v>
      </c>
      <c r="AF7465">
        <v>-1.0859403534801</v>
      </c>
      <c r="AG7465">
        <v>-0.52340869999999995</v>
      </c>
      <c r="AH7465">
        <v>78.336279630357495</v>
      </c>
      <c r="AI7465">
        <v>90.382782822855404</v>
      </c>
      <c r="AJ7465">
        <v>90.794214560777903</v>
      </c>
      <c r="AK7465">
        <v>78.345554624650603</v>
      </c>
      <c r="AL7465">
        <v>90.137062757989199</v>
      </c>
      <c r="AM7465">
        <v>89.897970361233803</v>
      </c>
      <c r="AN7465">
        <v>0.99999994683612903</v>
      </c>
    </row>
    <row r="7466" spans="1:40" x14ac:dyDescent="0.25">
      <c r="A7466" t="str">
        <f>"20190303153954328"</f>
        <v>20190303153954328</v>
      </c>
      <c r="B7466" t="str">
        <f>"1551598794315623"</f>
        <v>1551598794315623</v>
      </c>
      <c r="C7466" t="s">
        <v>40</v>
      </c>
      <c r="D7466">
        <v>4.4800589999999998</v>
      </c>
      <c r="E7466">
        <v>0.49403970000000003</v>
      </c>
      <c r="F7466" t="s">
        <v>79</v>
      </c>
      <c r="G7466">
        <v>-279.68</v>
      </c>
      <c r="H7466">
        <v>0.65312219999999999</v>
      </c>
      <c r="I7466">
        <v>18.510750000000002</v>
      </c>
      <c r="J7466">
        <v>-357.88470000000001</v>
      </c>
      <c r="K7466">
        <v>1.1209359999999999</v>
      </c>
      <c r="L7466">
        <v>17.368040000000001</v>
      </c>
      <c r="M7466">
        <v>0.99994609999999995</v>
      </c>
      <c r="N7466">
        <v>-1.0397719999999999E-2</v>
      </c>
      <c r="O7466">
        <v>2.7835080000000002E-4</v>
      </c>
      <c r="P7466">
        <v>0.99992539999999996</v>
      </c>
      <c r="Q7466">
        <v>-1.216835E-2</v>
      </c>
      <c r="R7466">
        <v>-1.1639949999999999E-3</v>
      </c>
      <c r="S7466">
        <v>3.000092</v>
      </c>
      <c r="T7466">
        <v>-1.791537E-2</v>
      </c>
      <c r="U7466">
        <v>4.3762210000000003E-2</v>
      </c>
      <c r="V7466">
        <v>1.4420559999999999E-3</v>
      </c>
      <c r="W7466">
        <v>-1.771052E-3</v>
      </c>
      <c r="X7466">
        <v>0.99999740000000004</v>
      </c>
      <c r="Y7466">
        <v>-1.4306370000000001E-2</v>
      </c>
      <c r="Z7466">
        <v>1.1833E-4</v>
      </c>
      <c r="AA7466">
        <v>0.9998977</v>
      </c>
      <c r="AB7466">
        <v>26</v>
      </c>
      <c r="AC7466">
        <v>78.204700000000003</v>
      </c>
      <c r="AD7466">
        <v>-0.4678138</v>
      </c>
      <c r="AE7466">
        <v>1.1427099999999999</v>
      </c>
      <c r="AF7466">
        <v>-1.12090034143724</v>
      </c>
      <c r="AG7466">
        <v>-0.4678138</v>
      </c>
      <c r="AH7466">
        <v>78.202217325617298</v>
      </c>
      <c r="AI7466">
        <v>90.342710024141496</v>
      </c>
      <c r="AJ7466">
        <v>90.821184660307296</v>
      </c>
      <c r="AK7466">
        <v>78.211649144932295</v>
      </c>
      <c r="AL7466">
        <v>90.101473857125995</v>
      </c>
      <c r="AM7466">
        <v>89.917376119829299</v>
      </c>
      <c r="AN7466">
        <v>1.0000000080787199</v>
      </c>
    </row>
    <row r="7467" spans="1:40" x14ac:dyDescent="0.25">
      <c r="A7467" t="str">
        <f>"20190303153954338"</f>
        <v>20190303153954338</v>
      </c>
      <c r="B7467" t="str">
        <f>"1551598794326359"</f>
        <v>1551598794326359</v>
      </c>
      <c r="C7467" t="s">
        <v>40</v>
      </c>
      <c r="D7467">
        <v>4.4818119999999997</v>
      </c>
      <c r="E7467">
        <v>0.49403049999999998</v>
      </c>
      <c r="F7467" t="s">
        <v>79</v>
      </c>
      <c r="G7467">
        <v>-279.68</v>
      </c>
      <c r="H7467">
        <v>0.65867410000000004</v>
      </c>
      <c r="I7467">
        <v>18.53031</v>
      </c>
      <c r="J7467">
        <v>-357.76510000000002</v>
      </c>
      <c r="K7467">
        <v>1.120946</v>
      </c>
      <c r="L7467">
        <v>17.368010000000002</v>
      </c>
      <c r="M7467">
        <v>0.99994490000000003</v>
      </c>
      <c r="N7467">
        <v>-1.049893E-2</v>
      </c>
      <c r="O7467">
        <v>2.044367E-4</v>
      </c>
      <c r="P7467">
        <v>0.99992809999999999</v>
      </c>
      <c r="Q7467">
        <v>-1.19451E-2</v>
      </c>
      <c r="R7467">
        <v>-1.0421829999999999E-3</v>
      </c>
      <c r="S7467">
        <v>3.0000309999999999</v>
      </c>
      <c r="T7467">
        <v>-1.773286E-2</v>
      </c>
      <c r="U7467">
        <v>4.4586180000000003E-2</v>
      </c>
      <c r="V7467">
        <v>1.2462269999999999E-3</v>
      </c>
      <c r="W7467">
        <v>-1.446587E-3</v>
      </c>
      <c r="X7467">
        <v>0.99999819999999995</v>
      </c>
      <c r="Y7467">
        <v>-1.4655140000000001E-2</v>
      </c>
      <c r="Z7467">
        <v>1.211875E-4</v>
      </c>
      <c r="AA7467">
        <v>0.99989260000000002</v>
      </c>
      <c r="AB7467">
        <v>26</v>
      </c>
      <c r="AC7467">
        <v>78.085099999999997</v>
      </c>
      <c r="AD7467">
        <v>-0.46227190000000001</v>
      </c>
      <c r="AE7467">
        <v>1.1622999999999899</v>
      </c>
      <c r="AF7467">
        <v>-1.1462954702043999</v>
      </c>
      <c r="AG7467">
        <v>-0.46227190000000001</v>
      </c>
      <c r="AH7467">
        <v>78.0825999940988</v>
      </c>
      <c r="AI7467">
        <v>90.339167315693302</v>
      </c>
      <c r="AJ7467">
        <v>90.841073105467899</v>
      </c>
      <c r="AK7467">
        <v>78.092381897679303</v>
      </c>
      <c r="AL7467">
        <v>90.082883356811806</v>
      </c>
      <c r="AM7467">
        <v>89.928596361023395</v>
      </c>
      <c r="AN7467">
        <v>1.0000000228494601</v>
      </c>
    </row>
    <row r="7468" spans="1:40" x14ac:dyDescent="0.25">
      <c r="A7468" t="str">
        <f>"20190303153954348"</f>
        <v>20190303153954348</v>
      </c>
      <c r="B7468" t="str">
        <f>"1551598794336119"</f>
        <v>1551598794336119</v>
      </c>
      <c r="C7468" t="s">
        <v>40</v>
      </c>
      <c r="D7468">
        <v>4.4429129999999999</v>
      </c>
      <c r="E7468">
        <v>0.49408609999999997</v>
      </c>
      <c r="F7468" t="s">
        <v>79</v>
      </c>
      <c r="G7468">
        <v>-279.68</v>
      </c>
      <c r="H7468">
        <v>0.64113989999999998</v>
      </c>
      <c r="I7468">
        <v>18.538830000000001</v>
      </c>
      <c r="J7468">
        <v>-357.64139999999998</v>
      </c>
      <c r="K7468">
        <v>1.1209530000000001</v>
      </c>
      <c r="L7468">
        <v>17.367979999999999</v>
      </c>
      <c r="M7468">
        <v>0.9999439</v>
      </c>
      <c r="N7468">
        <v>-1.060899E-2</v>
      </c>
      <c r="O7468">
        <v>1.2538639999999901E-4</v>
      </c>
      <c r="P7468">
        <v>0.99993290000000001</v>
      </c>
      <c r="Q7468">
        <v>-1.1565199999999999E-2</v>
      </c>
      <c r="R7468">
        <v>-8.2925289999999895E-4</v>
      </c>
      <c r="S7468">
        <v>3.0000309999999999</v>
      </c>
      <c r="T7468">
        <v>-1.843405E-2</v>
      </c>
      <c r="U7468">
        <v>4.4982910000000001E-2</v>
      </c>
      <c r="V7468">
        <v>9.5429040000000003E-4</v>
      </c>
      <c r="W7468">
        <v>-9.5655999999999996E-4</v>
      </c>
      <c r="X7468">
        <v>0.99999910000000003</v>
      </c>
      <c r="Y7468">
        <v>-1.4866320000000001E-2</v>
      </c>
      <c r="Z7468">
        <v>1.2509779999999999E-4</v>
      </c>
      <c r="AA7468">
        <v>0.99988949999999999</v>
      </c>
      <c r="AB7468">
        <v>26</v>
      </c>
      <c r="AC7468">
        <v>77.961399999999898</v>
      </c>
      <c r="AD7468">
        <v>-0.47981309999999999</v>
      </c>
      <c r="AE7468">
        <v>1.17084999999999</v>
      </c>
      <c r="AF7468">
        <v>-1.1610301757900401</v>
      </c>
      <c r="AG7468">
        <v>-0.47981309999999999</v>
      </c>
      <c r="AH7468">
        <v>77.958593968497595</v>
      </c>
      <c r="AI7468">
        <v>90.352595768144894</v>
      </c>
      <c r="AJ7468">
        <v>90.853237700351698</v>
      </c>
      <c r="AK7468">
        <v>77.968715426285598</v>
      </c>
      <c r="AL7468">
        <v>90.054806858505501</v>
      </c>
      <c r="AM7468">
        <v>89.945323155038494</v>
      </c>
      <c r="AN7468">
        <v>1.0000000128390001</v>
      </c>
    </row>
    <row r="7469" spans="1:40" x14ac:dyDescent="0.25">
      <c r="A7469" t="str">
        <f>"20190303153954361"</f>
        <v>20190303153954361</v>
      </c>
      <c r="B7469" t="str">
        <f>"1551598794355639"</f>
        <v>1551598794355639</v>
      </c>
      <c r="C7469" t="s">
        <v>40</v>
      </c>
      <c r="D7469">
        <v>4.5265380000000004</v>
      </c>
      <c r="E7469">
        <v>0.4941045</v>
      </c>
      <c r="F7469" t="s">
        <v>79</v>
      </c>
      <c r="G7469">
        <v>-279.68</v>
      </c>
      <c r="H7469">
        <v>0.66913889999999998</v>
      </c>
      <c r="I7469">
        <v>18.541689999999999</v>
      </c>
      <c r="J7469">
        <v>-357.50670000000002</v>
      </c>
      <c r="K7469">
        <v>1.120965</v>
      </c>
      <c r="L7469">
        <v>17.367889999999999</v>
      </c>
      <c r="M7469">
        <v>0.99994209999999994</v>
      </c>
      <c r="N7469">
        <v>-1.0765149999999999E-2</v>
      </c>
      <c r="O7469" s="1">
        <v>1.479086E-5</v>
      </c>
      <c r="P7469">
        <v>0.9999342</v>
      </c>
      <c r="Q7469">
        <v>-1.1464530000000001E-2</v>
      </c>
      <c r="R7469">
        <v>-7.7637449999999998E-4</v>
      </c>
      <c r="S7469">
        <v>3.0000610000000001</v>
      </c>
      <c r="T7469">
        <v>-1.738632E-2</v>
      </c>
      <c r="U7469">
        <v>4.5166020000000001E-2</v>
      </c>
      <c r="V7469">
        <v>7.9072020000000003E-4</v>
      </c>
      <c r="W7469">
        <v>-6.9971140000000002E-4</v>
      </c>
      <c r="X7469">
        <v>0.99999950000000004</v>
      </c>
      <c r="Y7469">
        <v>-1.503782E-2</v>
      </c>
      <c r="Z7469">
        <v>1.245962E-4</v>
      </c>
      <c r="AA7469">
        <v>0.99988690000000002</v>
      </c>
      <c r="AB7469">
        <v>26</v>
      </c>
      <c r="AC7469">
        <v>77.826700000000002</v>
      </c>
      <c r="AD7469">
        <v>-0.45182609999999901</v>
      </c>
      <c r="AE7469">
        <v>1.1738</v>
      </c>
      <c r="AF7469">
        <v>-1.17260929639869</v>
      </c>
      <c r="AG7469">
        <v>-0.45182609999999901</v>
      </c>
      <c r="AH7469">
        <v>77.824094943371904</v>
      </c>
      <c r="AI7469">
        <v>90.332602643850905</v>
      </c>
      <c r="AJ7469">
        <v>90.863234967509499</v>
      </c>
      <c r="AK7469">
        <v>77.834239979212299</v>
      </c>
      <c r="AL7469">
        <v>90.040090511066595</v>
      </c>
      <c r="AM7469">
        <v>89.954695056553902</v>
      </c>
      <c r="AN7469">
        <v>1.00000005741736</v>
      </c>
    </row>
    <row r="7470" spans="1:40" x14ac:dyDescent="0.25">
      <c r="A7470" t="str">
        <f>"20190303153954373"</f>
        <v>20190303153954373</v>
      </c>
      <c r="B7470" t="str">
        <f>"1551598794366376"</f>
        <v>1551598794366376</v>
      </c>
      <c r="C7470" t="s">
        <v>40</v>
      </c>
      <c r="D7470">
        <v>4.5190340000000004</v>
      </c>
      <c r="E7470">
        <v>0.50963769999999997</v>
      </c>
      <c r="F7470" t="s">
        <v>79</v>
      </c>
      <c r="G7470">
        <v>-279.68</v>
      </c>
      <c r="H7470">
        <v>0.62932319999999997</v>
      </c>
      <c r="I7470">
        <v>18.538789999999999</v>
      </c>
      <c r="J7470">
        <v>-357.36360000000002</v>
      </c>
      <c r="K7470">
        <v>1.1209709999999999</v>
      </c>
      <c r="L7470">
        <v>17.367799999999999</v>
      </c>
      <c r="M7470">
        <v>0.9999403</v>
      </c>
      <c r="N7470">
        <v>-1.09339E-2</v>
      </c>
      <c r="O7470">
        <v>-1.119518E-4</v>
      </c>
      <c r="P7470">
        <v>0.99993589999999999</v>
      </c>
      <c r="Q7470">
        <v>-1.132828E-2</v>
      </c>
      <c r="R7470">
        <v>-5.3884289999999997E-4</v>
      </c>
      <c r="S7470">
        <v>3.0000309999999999</v>
      </c>
      <c r="T7470">
        <v>-1.8951539999999999E-2</v>
      </c>
      <c r="U7470">
        <v>4.5135500000000002E-2</v>
      </c>
      <c r="V7470">
        <v>4.2676669999999999E-4</v>
      </c>
      <c r="W7470">
        <v>-3.9459039999999998E-4</v>
      </c>
      <c r="X7470">
        <v>0.99999979999999999</v>
      </c>
      <c r="Y7470">
        <v>-1.515443E-2</v>
      </c>
      <c r="Z7470">
        <v>1.30204E-4</v>
      </c>
      <c r="AA7470">
        <v>0.99988509999999997</v>
      </c>
      <c r="AB7470">
        <v>26</v>
      </c>
      <c r="AC7470">
        <v>77.683599999999998</v>
      </c>
      <c r="AD7470">
        <v>-0.49164780000000002</v>
      </c>
      <c r="AE7470">
        <v>1.17098999999999</v>
      </c>
      <c r="AF7470">
        <v>-1.17964009172363</v>
      </c>
      <c r="AG7470">
        <v>-0.49164780000000002</v>
      </c>
      <c r="AH7470">
        <v>77.680357682704894</v>
      </c>
      <c r="AI7470">
        <v>90.362584845129604</v>
      </c>
      <c r="AJ7470">
        <v>90.870016640409801</v>
      </c>
      <c r="AK7470">
        <v>77.690869721082507</v>
      </c>
      <c r="AL7470">
        <v>90.022608365845798</v>
      </c>
      <c r="AM7470">
        <v>89.975548065847306</v>
      </c>
      <c r="AN7470">
        <v>0.99999996891571896</v>
      </c>
    </row>
    <row r="7471" spans="1:40" x14ac:dyDescent="0.25">
      <c r="A7471" t="str">
        <f>"20190303153954385"</f>
        <v>20190303153954385</v>
      </c>
      <c r="B7471" t="str">
        <f>"1551598794376135"</f>
        <v>1551598794376135</v>
      </c>
      <c r="C7471" t="s">
        <v>40</v>
      </c>
      <c r="D7471">
        <v>4.5821180000000004</v>
      </c>
      <c r="E7471">
        <v>0.51181489999999996</v>
      </c>
      <c r="F7471" t="s">
        <v>79</v>
      </c>
      <c r="G7471">
        <v>-279.68</v>
      </c>
      <c r="H7471">
        <v>0.1005795</v>
      </c>
      <c r="I7471">
        <v>15.33114</v>
      </c>
      <c r="J7471">
        <v>-357.21409999999997</v>
      </c>
      <c r="K7471">
        <v>1.1209789999999999</v>
      </c>
      <c r="L7471">
        <v>17.367609999999999</v>
      </c>
      <c r="M7471">
        <v>0.99993829999999995</v>
      </c>
      <c r="N7471">
        <v>-1.1115999999999999E-2</v>
      </c>
      <c r="O7471">
        <v>-2.6521900000000002E-4</v>
      </c>
      <c r="P7471">
        <v>0.99993569999999998</v>
      </c>
      <c r="Q7471">
        <v>-1.134777E-2</v>
      </c>
      <c r="R7471">
        <v>-3.4764199999999897E-4</v>
      </c>
      <c r="S7471">
        <v>2.999695</v>
      </c>
      <c r="T7471">
        <v>-3.9401529999999997E-2</v>
      </c>
      <c r="U7471">
        <v>-7.86438E-2</v>
      </c>
      <c r="V7471" s="1">
        <v>8.2277469999999896E-5</v>
      </c>
      <c r="W7471">
        <v>-2.3182469999999999E-4</v>
      </c>
      <c r="X7471">
        <v>0.99999990000000005</v>
      </c>
      <c r="Y7471">
        <v>2.5938989999999999E-2</v>
      </c>
      <c r="Z7471">
        <v>-3.1399439999999998E-4</v>
      </c>
      <c r="AA7471">
        <v>0.99966350000000004</v>
      </c>
      <c r="AB7471">
        <v>26</v>
      </c>
      <c r="AC7471">
        <v>77.534099999999896</v>
      </c>
      <c r="AD7471">
        <v>-1.0203994999999999</v>
      </c>
      <c r="AE7471">
        <v>-2.03647</v>
      </c>
      <c r="AF7471">
        <v>2.0155562844002599</v>
      </c>
      <c r="AG7471">
        <v>-1.0203994999999999</v>
      </c>
      <c r="AH7471">
        <v>77.521219778732799</v>
      </c>
      <c r="AI7471">
        <v>90.753876952235899</v>
      </c>
      <c r="AJ7471">
        <v>88.510641897939294</v>
      </c>
      <c r="AK7471">
        <v>77.554130762054001</v>
      </c>
      <c r="AL7471">
        <v>90.013282577942206</v>
      </c>
      <c r="AM7471">
        <v>89.995285847759206</v>
      </c>
      <c r="AN7471">
        <v>0.99999993025613898</v>
      </c>
    </row>
    <row r="7472" spans="1:40" x14ac:dyDescent="0.25">
      <c r="A7472" t="str">
        <f>"20190303153954397"</f>
        <v>20190303153954397</v>
      </c>
      <c r="B7472" t="str">
        <f>"1551598794385896"</f>
        <v>1551598794385896</v>
      </c>
      <c r="C7472" t="s">
        <v>40</v>
      </c>
      <c r="D7472">
        <v>4.6108320000000003</v>
      </c>
      <c r="E7472">
        <v>0.51288040000000001</v>
      </c>
      <c r="F7472" t="s">
        <v>43</v>
      </c>
      <c r="G7472">
        <v>-299.3578</v>
      </c>
      <c r="H7472">
        <v>-0.05</v>
      </c>
      <c r="I7472">
        <v>15.515140000000001</v>
      </c>
      <c r="J7472">
        <v>-357.08510000000001</v>
      </c>
      <c r="K7472">
        <v>1.120984</v>
      </c>
      <c r="L7472">
        <v>17.367429999999999</v>
      </c>
      <c r="M7472">
        <v>0.99993650000000001</v>
      </c>
      <c r="N7472">
        <v>-1.126687E-2</v>
      </c>
      <c r="O7472">
        <v>-4.140851E-4</v>
      </c>
      <c r="P7472">
        <v>0.99993560000000004</v>
      </c>
      <c r="Q7472">
        <v>-1.134521E-2</v>
      </c>
      <c r="R7472" s="1">
        <v>-9.2270110000000003E-5</v>
      </c>
      <c r="S7472">
        <v>2.9994809999999998</v>
      </c>
      <c r="T7472">
        <v>-6.0707810000000001E-2</v>
      </c>
      <c r="U7472">
        <v>-9.6038819999999997E-2</v>
      </c>
      <c r="V7472">
        <v>-3.2169019999999998E-4</v>
      </c>
      <c r="W7472" s="1">
        <v>-7.8183500000000001E-5</v>
      </c>
      <c r="X7472">
        <v>0.99999990000000005</v>
      </c>
      <c r="Y7472">
        <v>3.1578139999999998E-2</v>
      </c>
      <c r="Z7472">
        <v>-4.9370659999999999E-4</v>
      </c>
      <c r="AA7472">
        <v>0.99950119999999998</v>
      </c>
      <c r="AB7472">
        <v>26</v>
      </c>
      <c r="AC7472">
        <v>57.7273</v>
      </c>
      <c r="AD7472">
        <v>-1.170984</v>
      </c>
      <c r="AE7472">
        <v>-1.85229</v>
      </c>
      <c r="AF7472">
        <v>1.8276330655403401</v>
      </c>
      <c r="AG7472">
        <v>-1.170984</v>
      </c>
      <c r="AH7472">
        <v>57.704342850607297</v>
      </c>
      <c r="AI7472">
        <v>91.161951044431802</v>
      </c>
      <c r="AJ7472">
        <v>88.185913533318995</v>
      </c>
      <c r="AK7472">
        <v>57.745152436987702</v>
      </c>
      <c r="AL7472">
        <v>90.004479584784605</v>
      </c>
      <c r="AM7472">
        <v>90.018431491978006</v>
      </c>
      <c r="AN7472">
        <v>0.99999995479862602</v>
      </c>
    </row>
    <row r="7473" spans="1:40" x14ac:dyDescent="0.25">
      <c r="A7473" t="str">
        <f>"20190303153954408"</f>
        <v>20190303153954408</v>
      </c>
      <c r="B7473" t="str">
        <f>"1551598794405414"</f>
        <v>1551598794405414</v>
      </c>
      <c r="C7473" t="s">
        <v>40</v>
      </c>
      <c r="D7473">
        <v>4.584352</v>
      </c>
      <c r="E7473">
        <v>0.51392599999999999</v>
      </c>
      <c r="F7473" t="s">
        <v>43</v>
      </c>
      <c r="G7473">
        <v>-309.07979999999998</v>
      </c>
      <c r="H7473">
        <v>-0.05</v>
      </c>
      <c r="I7473">
        <v>15.70139</v>
      </c>
      <c r="J7473">
        <v>-356.95010000000002</v>
      </c>
      <c r="K7473">
        <v>1.120986</v>
      </c>
      <c r="L7473">
        <v>17.36722</v>
      </c>
      <c r="M7473">
        <v>0.99993460000000001</v>
      </c>
      <c r="N7473">
        <v>-1.1422130000000001E-2</v>
      </c>
      <c r="O7473">
        <v>-5.7706739999999895E-4</v>
      </c>
      <c r="P7473">
        <v>0.99993900000000002</v>
      </c>
      <c r="Q7473">
        <v>-1.1044460000000001E-2</v>
      </c>
      <c r="R7473" s="1">
        <v>2.3591859999999998E-6</v>
      </c>
      <c r="S7473">
        <v>2.99939</v>
      </c>
      <c r="T7473">
        <v>-7.3163510000000001E-2</v>
      </c>
      <c r="U7473">
        <v>-0.10409549999999999</v>
      </c>
      <c r="V7473">
        <v>-5.7918219999999999E-4</v>
      </c>
      <c r="W7473">
        <v>3.7843380000000002E-4</v>
      </c>
      <c r="X7473">
        <v>0.99999979999999999</v>
      </c>
      <c r="Y7473">
        <v>3.4093070000000003E-2</v>
      </c>
      <c r="Z7473">
        <v>-6.0296000000000004E-4</v>
      </c>
      <c r="AA7473">
        <v>0.99941849999999999</v>
      </c>
      <c r="AB7473">
        <v>26</v>
      </c>
      <c r="AC7473">
        <v>47.8703</v>
      </c>
      <c r="AD7473">
        <v>-1.1709860000000001</v>
      </c>
      <c r="AE7473">
        <v>-1.6658299999999899</v>
      </c>
      <c r="AF7473">
        <v>1.6372250465159901</v>
      </c>
      <c r="AG7473">
        <v>-1.1709860000000001</v>
      </c>
      <c r="AH7473">
        <v>47.842660314239602</v>
      </c>
      <c r="AI7473">
        <v>91.401258523255805</v>
      </c>
      <c r="AJ7473">
        <v>88.040044339824902</v>
      </c>
      <c r="AK7473">
        <v>47.884985747192701</v>
      </c>
      <c r="AL7473">
        <v>89.978317340770104</v>
      </c>
      <c r="AM7473">
        <v>90.033184698555402</v>
      </c>
      <c r="AN7473">
        <v>1.0000000393321</v>
      </c>
    </row>
    <row r="7474" spans="1:40" x14ac:dyDescent="0.25">
      <c r="A7474" t="str">
        <f>"20190303153954420"</f>
        <v>20190303153954420</v>
      </c>
      <c r="B7474" t="str">
        <f>"1551598794416151"</f>
        <v>1551598794416151</v>
      </c>
      <c r="C7474" t="s">
        <v>40</v>
      </c>
      <c r="D7474">
        <v>4.6317309999999896</v>
      </c>
      <c r="E7474">
        <v>0.5144415</v>
      </c>
      <c r="F7474" t="s">
        <v>43</v>
      </c>
      <c r="G7474">
        <v>-314.42140000000001</v>
      </c>
      <c r="H7474">
        <v>-0.05</v>
      </c>
      <c r="I7474">
        <v>15.772629999999999</v>
      </c>
      <c r="J7474">
        <v>-356.82159999999999</v>
      </c>
      <c r="K7474">
        <v>1.120986</v>
      </c>
      <c r="L7474">
        <v>17.366969999999998</v>
      </c>
      <c r="M7474">
        <v>0.99993290000000001</v>
      </c>
      <c r="N7474">
        <v>-1.15605E-2</v>
      </c>
      <c r="O7474">
        <v>-7.5002869999999896E-4</v>
      </c>
      <c r="P7474">
        <v>0.99993969999999999</v>
      </c>
      <c r="Q7474">
        <v>-1.097764E-2</v>
      </c>
      <c r="R7474">
        <v>-1.52946E-4</v>
      </c>
      <c r="S7474">
        <v>2.999298</v>
      </c>
      <c r="T7474">
        <v>-8.2582589999999997E-2</v>
      </c>
      <c r="U7474">
        <v>-0.1124573</v>
      </c>
      <c r="V7474">
        <v>-5.9682509999999997E-4</v>
      </c>
      <c r="W7474">
        <v>5.8347379999999999E-4</v>
      </c>
      <c r="X7474">
        <v>0.99999959999999999</v>
      </c>
      <c r="Y7474">
        <v>3.6699000000000002E-2</v>
      </c>
      <c r="Z7474">
        <v>-7.0525669999999896E-4</v>
      </c>
      <c r="AA7474">
        <v>0.99932609999999999</v>
      </c>
      <c r="AB7474">
        <v>26</v>
      </c>
      <c r="AC7474">
        <v>42.400199999999899</v>
      </c>
      <c r="AD7474">
        <v>-1.1709860000000001</v>
      </c>
      <c r="AE7474">
        <v>-1.5943400000000001</v>
      </c>
      <c r="AF7474">
        <v>1.5613468637486301</v>
      </c>
      <c r="AG7474">
        <v>-1.1709860000000001</v>
      </c>
      <c r="AH7474">
        <v>42.3691136274416</v>
      </c>
      <c r="AI7474">
        <v>91.582048813217995</v>
      </c>
      <c r="AJ7474">
        <v>87.889544623141006</v>
      </c>
      <c r="AK7474">
        <v>42.414040149650802</v>
      </c>
      <c r="AL7474">
        <v>89.966569410179005</v>
      </c>
      <c r="AM7474">
        <v>90.034195568955496</v>
      </c>
      <c r="AN7474">
        <v>0.99999994832101602</v>
      </c>
    </row>
    <row r="7475" spans="1:40" x14ac:dyDescent="0.25">
      <c r="A7475" t="str">
        <f>"20190303153954431"</f>
        <v>20190303153954431</v>
      </c>
      <c r="B7475" t="str">
        <f>"1551598794425911"</f>
        <v>1551598794425911</v>
      </c>
      <c r="C7475" t="s">
        <v>40</v>
      </c>
      <c r="D7475">
        <v>4.5801319999999999</v>
      </c>
      <c r="E7475">
        <v>0.51472879999999999</v>
      </c>
      <c r="F7475" t="s">
        <v>43</v>
      </c>
      <c r="G7475">
        <v>-315.46319999999997</v>
      </c>
      <c r="H7475">
        <v>-0.05</v>
      </c>
      <c r="I7475">
        <v>15.752689999999999</v>
      </c>
      <c r="J7475">
        <v>-356.69110000000001</v>
      </c>
      <c r="K7475">
        <v>1.120989</v>
      </c>
      <c r="L7475">
        <v>17.366700000000002</v>
      </c>
      <c r="M7475">
        <v>0.99993120000000002</v>
      </c>
      <c r="N7475">
        <v>-1.1699299999999999E-2</v>
      </c>
      <c r="O7475">
        <v>-9.2871779999999997E-4</v>
      </c>
      <c r="P7475">
        <v>0.99993940000000003</v>
      </c>
      <c r="Q7475">
        <v>-1.1018389999999999E-2</v>
      </c>
      <c r="R7475">
        <v>-3.2105620000000002E-4</v>
      </c>
      <c r="S7475">
        <v>2.9992369999999999</v>
      </c>
      <c r="T7475">
        <v>-8.4917779999999998E-2</v>
      </c>
      <c r="U7475">
        <v>-0.1170654</v>
      </c>
      <c r="V7475">
        <v>-6.0731550000000004E-4</v>
      </c>
      <c r="W7475">
        <v>6.8122539999999996E-4</v>
      </c>
      <c r="X7475">
        <v>0.99999959999999999</v>
      </c>
      <c r="Y7475">
        <v>3.8052549999999997E-2</v>
      </c>
      <c r="Z7475">
        <v>-7.457109E-4</v>
      </c>
      <c r="AA7475">
        <v>0.99927540000000004</v>
      </c>
      <c r="AB7475">
        <v>26</v>
      </c>
      <c r="AC7475">
        <v>41.227899999999998</v>
      </c>
      <c r="AD7475">
        <v>-1.1709889999999901</v>
      </c>
      <c r="AE7475">
        <v>-1.6140099999999999</v>
      </c>
      <c r="AF7475">
        <v>1.5744494040214501</v>
      </c>
      <c r="AG7475">
        <v>-1.1709889999999901</v>
      </c>
      <c r="AH7475">
        <v>41.196198310255497</v>
      </c>
      <c r="AI7475">
        <v>91.626988982662695</v>
      </c>
      <c r="AJ7475">
        <v>87.811316894381406</v>
      </c>
      <c r="AK7475">
        <v>41.242900739179802</v>
      </c>
      <c r="AL7475">
        <v>89.960968657306097</v>
      </c>
      <c r="AM7475">
        <v>90.034796624623496</v>
      </c>
      <c r="AN7475">
        <v>1.0000000164501599</v>
      </c>
    </row>
    <row r="7476" spans="1:40" x14ac:dyDescent="0.25">
      <c r="A7476" t="str">
        <f>"20190303153954443"</f>
        <v>20190303153954443</v>
      </c>
      <c r="B7476" t="str">
        <f>"1551598794435671"</f>
        <v>1551598794435671</v>
      </c>
      <c r="C7476" t="s">
        <v>40</v>
      </c>
      <c r="D7476">
        <v>4.5993459999999997</v>
      </c>
      <c r="E7476">
        <v>0.51507449999999999</v>
      </c>
      <c r="F7476" t="s">
        <v>43</v>
      </c>
      <c r="G7476">
        <v>-316.8999</v>
      </c>
      <c r="H7476">
        <v>-0.05</v>
      </c>
      <c r="I7476">
        <v>15.775499999999999</v>
      </c>
      <c r="J7476">
        <v>-356.55410000000001</v>
      </c>
      <c r="K7476">
        <v>1.1209960000000001</v>
      </c>
      <c r="L7476">
        <v>17.366329999999898</v>
      </c>
      <c r="M7476">
        <v>0.99992939999999997</v>
      </c>
      <c r="N7476">
        <v>-1.1838400000000001E-2</v>
      </c>
      <c r="O7476">
        <v>-1.127517E-3</v>
      </c>
      <c r="P7476">
        <v>0.99993889999999996</v>
      </c>
      <c r="Q7476">
        <v>-1.1057640000000001E-2</v>
      </c>
      <c r="R7476">
        <v>-4.5778939999999998E-4</v>
      </c>
      <c r="S7476">
        <v>2.9992070000000002</v>
      </c>
      <c r="T7476">
        <v>-8.8261720000000002E-2</v>
      </c>
      <c r="U7476">
        <v>-0.1199341</v>
      </c>
      <c r="V7476">
        <v>-6.6882740000000001E-4</v>
      </c>
      <c r="W7476">
        <v>7.8136119999999904E-4</v>
      </c>
      <c r="X7476">
        <v>0.99999950000000004</v>
      </c>
      <c r="Y7476">
        <v>3.8806590000000002E-2</v>
      </c>
      <c r="Z7476">
        <v>-7.8071E-4</v>
      </c>
      <c r="AA7476">
        <v>0.99924639999999998</v>
      </c>
      <c r="AB7476">
        <v>26</v>
      </c>
      <c r="AC7476">
        <v>39.654200000000003</v>
      </c>
      <c r="AD7476">
        <v>-1.1709959999999999</v>
      </c>
      <c r="AE7476">
        <v>-1.59082999999999</v>
      </c>
      <c r="AF7476">
        <v>1.54477015114592</v>
      </c>
      <c r="AG7476">
        <v>-1.1709959999999999</v>
      </c>
      <c r="AH7476">
        <v>39.621472928217997</v>
      </c>
      <c r="AI7476">
        <v>91.6915755077478</v>
      </c>
      <c r="AJ7476">
        <v>87.767271192400898</v>
      </c>
      <c r="AK7476">
        <v>39.668862643809199</v>
      </c>
      <c r="AL7476">
        <v>89.955231297704302</v>
      </c>
      <c r="AM7476">
        <v>90.038321000689095</v>
      </c>
      <c r="AN7476">
        <v>1.0000000289278299</v>
      </c>
    </row>
    <row r="7477" spans="1:40" x14ac:dyDescent="0.25">
      <c r="A7477" t="str">
        <f>"20190303153954454"</f>
        <v>20190303153954454</v>
      </c>
      <c r="B7477" t="str">
        <f>"1551598794445431"</f>
        <v>1551598794445431</v>
      </c>
      <c r="C7477" t="s">
        <v>40</v>
      </c>
      <c r="D7477">
        <v>4.567329</v>
      </c>
      <c r="E7477">
        <v>0.5153607</v>
      </c>
      <c r="F7477" t="s">
        <v>43</v>
      </c>
      <c r="G7477">
        <v>-317.9212</v>
      </c>
      <c r="H7477">
        <v>-0.05</v>
      </c>
      <c r="I7477">
        <v>15.78012</v>
      </c>
      <c r="J7477">
        <v>-356.43369999999999</v>
      </c>
      <c r="K7477">
        <v>1.1209990000000001</v>
      </c>
      <c r="L7477">
        <v>17.366029999999999</v>
      </c>
      <c r="M7477">
        <v>0.99992760000000003</v>
      </c>
      <c r="N7477">
        <v>-1.195765E-2</v>
      </c>
      <c r="O7477">
        <v>-1.305053E-3</v>
      </c>
      <c r="P7477">
        <v>0.99993719999999997</v>
      </c>
      <c r="Q7477">
        <v>-1.1180300000000001E-2</v>
      </c>
      <c r="R7477">
        <v>-7.6330159999999996E-4</v>
      </c>
      <c r="S7477">
        <v>2.9990839999999999</v>
      </c>
      <c r="T7477">
        <v>-9.090471E-2</v>
      </c>
      <c r="U7477">
        <v>-0.1231384</v>
      </c>
      <c r="V7477">
        <v>-5.4103509999999997E-4</v>
      </c>
      <c r="W7477">
        <v>7.7754649999999903E-4</v>
      </c>
      <c r="X7477">
        <v>0.99999950000000004</v>
      </c>
      <c r="Y7477">
        <v>3.9694849999999997E-2</v>
      </c>
      <c r="Z7477">
        <v>-8.1477939999999999E-4</v>
      </c>
      <c r="AA7477">
        <v>0.99921150000000003</v>
      </c>
      <c r="AB7477">
        <v>26</v>
      </c>
      <c r="AC7477">
        <v>38.512499999999903</v>
      </c>
      <c r="AD7477">
        <v>-1.1709989999999999</v>
      </c>
      <c r="AE7477">
        <v>-1.5859099999999899</v>
      </c>
      <c r="AF7477">
        <v>1.5342281975923</v>
      </c>
      <c r="AG7477">
        <v>-1.1709989999999999</v>
      </c>
      <c r="AH7477">
        <v>38.479023186003403</v>
      </c>
      <c r="AI7477">
        <v>91.741712133538002</v>
      </c>
      <c r="AJ7477">
        <v>87.716723162428806</v>
      </c>
      <c r="AK7477">
        <v>38.527397007445003</v>
      </c>
      <c r="AL7477">
        <v>89.955449860398105</v>
      </c>
      <c r="AM7477">
        <v>90.030999040273201</v>
      </c>
      <c r="AN7477">
        <v>0.99999994864889297</v>
      </c>
    </row>
    <row r="7478" spans="1:40" x14ac:dyDescent="0.25">
      <c r="A7478" t="str">
        <f>"20190303153954467"</f>
        <v>20190303153954467</v>
      </c>
      <c r="B7478" t="str">
        <f>"1551598794456167"</f>
        <v>1551598794456167</v>
      </c>
      <c r="C7478" t="s">
        <v>40</v>
      </c>
      <c r="D7478">
        <v>4.5502390000000004</v>
      </c>
      <c r="E7478">
        <v>0.51561899999999905</v>
      </c>
      <c r="F7478" t="s">
        <v>42</v>
      </c>
      <c r="G7478">
        <v>-320.84710000000001</v>
      </c>
      <c r="H7478" s="1">
        <v>-4.9723230000000002E-6</v>
      </c>
      <c r="I7478">
        <v>15.866110000000001</v>
      </c>
      <c r="J7478">
        <v>-356.27199999999999</v>
      </c>
      <c r="K7478">
        <v>1.121005</v>
      </c>
      <c r="L7478">
        <v>17.365539999999999</v>
      </c>
      <c r="M7478">
        <v>0.99992550000000002</v>
      </c>
      <c r="N7478">
        <v>-1.211187E-2</v>
      </c>
      <c r="O7478">
        <v>-1.5494459999999999E-3</v>
      </c>
      <c r="P7478">
        <v>0.9999344</v>
      </c>
      <c r="Q7478">
        <v>-1.13963E-2</v>
      </c>
      <c r="R7478">
        <v>-1.230164E-3</v>
      </c>
      <c r="S7478">
        <v>2.9990230000000002</v>
      </c>
      <c r="T7478">
        <v>-9.4471570000000005E-2</v>
      </c>
      <c r="U7478">
        <v>-0.12640380000000001</v>
      </c>
      <c r="V7478">
        <v>-3.19306E-4</v>
      </c>
      <c r="W7478">
        <v>7.1603460000000004E-4</v>
      </c>
      <c r="X7478">
        <v>0.99999970000000005</v>
      </c>
      <c r="Y7478">
        <v>4.0535189999999999E-2</v>
      </c>
      <c r="Z7478">
        <v>-8.5366629999999999E-4</v>
      </c>
      <c r="AA7478">
        <v>0.9991778</v>
      </c>
      <c r="AB7478">
        <v>26</v>
      </c>
      <c r="AC7478">
        <v>35.424899999999901</v>
      </c>
      <c r="AD7478">
        <v>-1.121009972323</v>
      </c>
      <c r="AE7478">
        <v>-1.49942999999999</v>
      </c>
      <c r="AF7478">
        <v>1.44309269756838</v>
      </c>
      <c r="AG7478">
        <v>-1.121009972323</v>
      </c>
      <c r="AH7478">
        <v>35.391803437151601</v>
      </c>
      <c r="AI7478">
        <v>91.812690910496002</v>
      </c>
      <c r="AJ7478">
        <v>87.665071113704101</v>
      </c>
      <c r="AK7478">
        <v>35.438946519695001</v>
      </c>
      <c r="AL7478">
        <v>89.958974236229693</v>
      </c>
      <c r="AM7478">
        <v>90.018294891039901</v>
      </c>
      <c r="AN7478">
        <v>1.00000000733098</v>
      </c>
    </row>
    <row r="7479" spans="1:40" x14ac:dyDescent="0.25">
      <c r="A7479" t="str">
        <f>"20190303153954485"</f>
        <v>20190303153954485</v>
      </c>
      <c r="B7479" t="str">
        <f>"1551598794475687"</f>
        <v>1551598794475687</v>
      </c>
      <c r="C7479" t="s">
        <v>40</v>
      </c>
      <c r="D7479">
        <v>4.5516319999999997</v>
      </c>
      <c r="E7479">
        <v>0.51609240000000001</v>
      </c>
      <c r="F7479" t="s">
        <v>42</v>
      </c>
      <c r="G7479">
        <v>-321.67</v>
      </c>
      <c r="H7479" s="1">
        <v>-4.5832819999999997E-6</v>
      </c>
      <c r="I7479">
        <v>15.86656</v>
      </c>
      <c r="J7479">
        <v>-356.07209999999998</v>
      </c>
      <c r="K7479">
        <v>1.1210100000000001</v>
      </c>
      <c r="L7479">
        <v>17.364899999999999</v>
      </c>
      <c r="M7479">
        <v>0.99992289999999995</v>
      </c>
      <c r="N7479">
        <v>-1.2288459999999999E-2</v>
      </c>
      <c r="O7479">
        <v>-1.8568809999999999E-3</v>
      </c>
      <c r="P7479">
        <v>0.99992899999999996</v>
      </c>
      <c r="Q7479">
        <v>-1.1797709999999999E-2</v>
      </c>
      <c r="R7479">
        <v>-1.7009179999999901E-3</v>
      </c>
      <c r="S7479">
        <v>2.998901</v>
      </c>
      <c r="T7479">
        <v>-9.7155930000000001E-2</v>
      </c>
      <c r="U7479">
        <v>-0.12991330000000001</v>
      </c>
      <c r="V7479">
        <v>-1.557509E-4</v>
      </c>
      <c r="W7479">
        <v>4.9096749999999998E-4</v>
      </c>
      <c r="X7479">
        <v>0.99999990000000005</v>
      </c>
      <c r="Y7479">
        <v>4.1394819999999999E-2</v>
      </c>
      <c r="Z7479">
        <v>-8.8729970000000005E-4</v>
      </c>
      <c r="AA7479">
        <v>0.99914250000000004</v>
      </c>
      <c r="AB7479">
        <v>26</v>
      </c>
      <c r="AC7479">
        <v>34.402099999999898</v>
      </c>
      <c r="AD7479">
        <v>-1.121014583282</v>
      </c>
      <c r="AE7479">
        <v>-1.49833999999999</v>
      </c>
      <c r="AF7479">
        <v>1.4329333526483501</v>
      </c>
      <c r="AG7479">
        <v>-1.121014583282</v>
      </c>
      <c r="AH7479">
        <v>34.368399026757899</v>
      </c>
      <c r="AI7479">
        <v>91.866567791084606</v>
      </c>
      <c r="AJ7479">
        <v>87.612530339258896</v>
      </c>
      <c r="AK7479">
        <v>34.416519628682899</v>
      </c>
      <c r="AL7479">
        <v>89.971869634160299</v>
      </c>
      <c r="AM7479">
        <v>90.008923870045507</v>
      </c>
      <c r="AN7479">
        <v>1.00000003265371</v>
      </c>
    </row>
    <row r="7480" spans="1:40" x14ac:dyDescent="0.25">
      <c r="A7480" t="str">
        <f>"20190303153954500"</f>
        <v>20190303153954500</v>
      </c>
      <c r="B7480" t="str">
        <f>"1551598794496183"</f>
        <v>1551598794496183</v>
      </c>
      <c r="C7480" t="s">
        <v>40</v>
      </c>
      <c r="D7480">
        <v>4.5429040000000001</v>
      </c>
      <c r="E7480">
        <v>0.51652969999999998</v>
      </c>
      <c r="F7480" t="s">
        <v>42</v>
      </c>
      <c r="G7480">
        <v>-322.91800000000001</v>
      </c>
      <c r="H7480" s="1">
        <v>-3.9926240000000003E-6</v>
      </c>
      <c r="I7480">
        <v>15.87055</v>
      </c>
      <c r="J7480">
        <v>-355.91030000000001</v>
      </c>
      <c r="K7480">
        <v>1.1210169999999999</v>
      </c>
      <c r="L7480">
        <v>17.364319999999999</v>
      </c>
      <c r="M7480">
        <v>0.9999207</v>
      </c>
      <c r="N7480">
        <v>-1.2420469999999999E-2</v>
      </c>
      <c r="O7480">
        <v>-2.1041279999999998E-3</v>
      </c>
      <c r="P7480">
        <v>0.99992389999999998</v>
      </c>
      <c r="Q7480">
        <v>-1.219189E-2</v>
      </c>
      <c r="R7480">
        <v>-1.923913E-3</v>
      </c>
      <c r="S7480">
        <v>2.9987490000000001</v>
      </c>
      <c r="T7480">
        <v>-0.10139430000000001</v>
      </c>
      <c r="U7480">
        <v>-0.13516239999999999</v>
      </c>
      <c r="V7480">
        <v>-1.800696E-4</v>
      </c>
      <c r="W7480">
        <v>2.28707E-4</v>
      </c>
      <c r="X7480">
        <v>0.99999990000000005</v>
      </c>
      <c r="Y7480">
        <v>4.289196E-2</v>
      </c>
      <c r="Z7480">
        <v>-9.4620930000000004E-4</v>
      </c>
      <c r="AA7480">
        <v>0.9990793</v>
      </c>
      <c r="AB7480">
        <v>26</v>
      </c>
      <c r="AC7480">
        <v>32.9923</v>
      </c>
      <c r="AD7480">
        <v>-1.121020992624</v>
      </c>
      <c r="AE7480">
        <v>-1.49377</v>
      </c>
      <c r="AF7480">
        <v>1.42270213777688</v>
      </c>
      <c r="AG7480">
        <v>-1.121020992624</v>
      </c>
      <c r="AH7480">
        <v>32.957398071655597</v>
      </c>
      <c r="AI7480">
        <v>91.946310369209797</v>
      </c>
      <c r="AJ7480">
        <v>87.528195311058099</v>
      </c>
      <c r="AK7480">
        <v>33.0071334273715</v>
      </c>
      <c r="AL7480">
        <v>89.986896053285406</v>
      </c>
      <c r="AM7480">
        <v>90.010317229018796</v>
      </c>
      <c r="AN7480">
        <v>0.999999942365979</v>
      </c>
    </row>
    <row r="7481" spans="1:40" x14ac:dyDescent="0.25">
      <c r="A7481" t="str">
        <f>"20190303153954511"</f>
        <v>20190303153954511</v>
      </c>
      <c r="B7481" t="str">
        <f>"1551598794505943"</f>
        <v>1551598794505943</v>
      </c>
      <c r="C7481" t="s">
        <v>40</v>
      </c>
      <c r="D7481">
        <v>4.5393179999999997</v>
      </c>
      <c r="E7481">
        <v>0.51679010000000003</v>
      </c>
      <c r="F7481" t="s">
        <v>42</v>
      </c>
      <c r="G7481">
        <v>-324.25889999999998</v>
      </c>
      <c r="H7481" s="1">
        <v>-3.3548200000000002E-6</v>
      </c>
      <c r="I7481">
        <v>15.8928799999999</v>
      </c>
      <c r="J7481">
        <v>-355.77440000000001</v>
      </c>
      <c r="K7481">
        <v>1.121024</v>
      </c>
      <c r="L7481">
        <v>17.36383</v>
      </c>
      <c r="M7481">
        <v>0.999919</v>
      </c>
      <c r="N7481">
        <v>-1.2526260000000001E-2</v>
      </c>
      <c r="O7481">
        <v>-2.309939E-3</v>
      </c>
      <c r="P7481">
        <v>0.99992020000000004</v>
      </c>
      <c r="Q7481">
        <v>-1.246214E-2</v>
      </c>
      <c r="R7481">
        <v>-2.1478349999999998E-3</v>
      </c>
      <c r="S7481">
        <v>2.9986570000000001</v>
      </c>
      <c r="T7481">
        <v>-0.10620549999999999</v>
      </c>
      <c r="U7481">
        <v>-0.13940429999999901</v>
      </c>
      <c r="V7481">
        <v>-1.6242660000000001E-4</v>
      </c>
      <c r="W7481" s="1">
        <v>6.4243800000000003E-5</v>
      </c>
      <c r="X7481">
        <v>1</v>
      </c>
      <c r="Y7481">
        <v>4.4094229999999998E-2</v>
      </c>
      <c r="Z7481">
        <v>-1.0038099999999999E-3</v>
      </c>
      <c r="AA7481">
        <v>0.99902690000000005</v>
      </c>
      <c r="AB7481">
        <v>26</v>
      </c>
      <c r="AC7481">
        <v>31.515499999999999</v>
      </c>
      <c r="AD7481">
        <v>-1.12102735482</v>
      </c>
      <c r="AE7481">
        <v>-1.47095</v>
      </c>
      <c r="AF7481">
        <v>1.3963785309169701</v>
      </c>
      <c r="AG7481">
        <v>-1.12102735482</v>
      </c>
      <c r="AH7481">
        <v>31.479070957280801</v>
      </c>
      <c r="AI7481">
        <v>92.037543744855995</v>
      </c>
      <c r="AJ7481">
        <v>87.460084459400704</v>
      </c>
      <c r="AK7481">
        <v>31.529961681952301</v>
      </c>
      <c r="AL7481">
        <v>89.996319101453693</v>
      </c>
      <c r="AM7481">
        <v>90.009306358578797</v>
      </c>
      <c r="AN7481">
        <v>1.0000000152548301</v>
      </c>
    </row>
    <row r="7482" spans="1:40" x14ac:dyDescent="0.25">
      <c r="A7482" t="str">
        <f>"20190303153954528"</f>
        <v>20190303153954528</v>
      </c>
      <c r="B7482" t="str">
        <f>"1551598794515702"</f>
        <v>1551598794515702</v>
      </c>
      <c r="C7482" t="s">
        <v>40</v>
      </c>
      <c r="D7482">
        <v>4.5127240000000004</v>
      </c>
      <c r="E7482">
        <v>0.51691140000000002</v>
      </c>
      <c r="F7482" t="s">
        <v>42</v>
      </c>
      <c r="G7482">
        <v>-324.41250000000002</v>
      </c>
      <c r="H7482" s="1">
        <v>-3.284997E-6</v>
      </c>
      <c r="I7482">
        <v>15.8771</v>
      </c>
      <c r="J7482">
        <v>-355.58109999999999</v>
      </c>
      <c r="K7482">
        <v>1.121035</v>
      </c>
      <c r="L7482">
        <v>17.363039999999899</v>
      </c>
      <c r="M7482">
        <v>0.99991660000000004</v>
      </c>
      <c r="N7482">
        <v>-1.2663219999999999E-2</v>
      </c>
      <c r="O7482">
        <v>-2.5918019999999998E-3</v>
      </c>
      <c r="P7482">
        <v>0.99991569999999996</v>
      </c>
      <c r="Q7482">
        <v>-1.284982E-2</v>
      </c>
      <c r="R7482">
        <v>-1.9705069999999998E-3</v>
      </c>
      <c r="S7482">
        <v>2.998596</v>
      </c>
      <c r="T7482">
        <v>-0.1071846</v>
      </c>
      <c r="U7482">
        <v>-0.1421509</v>
      </c>
      <c r="V7482">
        <v>-6.2162079999999998E-4</v>
      </c>
      <c r="W7482">
        <v>-1.861814E-4</v>
      </c>
      <c r="X7482">
        <v>0.99999979999999999</v>
      </c>
      <c r="Y7482">
        <v>4.4725439999999998E-2</v>
      </c>
      <c r="Z7482">
        <v>-1.022364E-3</v>
      </c>
      <c r="AA7482">
        <v>0.99899879999999996</v>
      </c>
      <c r="AB7482">
        <v>26</v>
      </c>
      <c r="AC7482">
        <v>31.168599999999898</v>
      </c>
      <c r="AD7482">
        <v>-1.121038284997</v>
      </c>
      <c r="AE7482">
        <v>-1.48593999999999</v>
      </c>
      <c r="AF7482">
        <v>1.4033344390376601</v>
      </c>
      <c r="AG7482">
        <v>-1.121038284997</v>
      </c>
      <c r="AH7482">
        <v>31.132165041618101</v>
      </c>
      <c r="AI7482">
        <v>92.060182786440905</v>
      </c>
      <c r="AJ7482">
        <v>87.419043994670702</v>
      </c>
      <c r="AK7482">
        <v>31.183934558723799</v>
      </c>
      <c r="AL7482">
        <v>90.010667408393005</v>
      </c>
      <c r="AM7482">
        <v>90.035616250833201</v>
      </c>
      <c r="AN7482">
        <v>1.00000001053798</v>
      </c>
    </row>
    <row r="7483" spans="1:40" x14ac:dyDescent="0.25">
      <c r="A7483" t="str">
        <f>"20190303153954540"</f>
        <v>20190303153954540</v>
      </c>
      <c r="B7483" t="str">
        <f>"1551598794536199"</f>
        <v>1551598794536199</v>
      </c>
      <c r="C7483" t="s">
        <v>40</v>
      </c>
      <c r="D7483">
        <v>4.5225629999999999</v>
      </c>
      <c r="E7483">
        <v>0.5172523</v>
      </c>
      <c r="F7483" t="s">
        <v>42</v>
      </c>
      <c r="G7483">
        <v>-324.88510000000002</v>
      </c>
      <c r="H7483" s="1">
        <v>-3.056989E-6</v>
      </c>
      <c r="I7483">
        <v>15.903169999999999</v>
      </c>
      <c r="J7483">
        <v>-355.44839999999999</v>
      </c>
      <c r="K7483">
        <v>1.1210420000000001</v>
      </c>
      <c r="L7483">
        <v>17.362490000000001</v>
      </c>
      <c r="M7483">
        <v>0.99991490000000005</v>
      </c>
      <c r="N7483">
        <v>-1.2748270000000001E-2</v>
      </c>
      <c r="O7483">
        <v>-2.7735390000000002E-3</v>
      </c>
      <c r="P7483">
        <v>0.99991240000000003</v>
      </c>
      <c r="Q7483">
        <v>-1.312731E-2</v>
      </c>
      <c r="R7483">
        <v>-1.6827509999999999E-3</v>
      </c>
      <c r="S7483">
        <v>2.9985659999999998</v>
      </c>
      <c r="T7483">
        <v>-0.1095096</v>
      </c>
      <c r="U7483">
        <v>-0.1426086</v>
      </c>
      <c r="V7483">
        <v>-1.0908280000000001E-3</v>
      </c>
      <c r="W7483">
        <v>-3.7834030000000001E-4</v>
      </c>
      <c r="X7483">
        <v>0.99999930000000004</v>
      </c>
      <c r="Y7483">
        <v>4.469509E-2</v>
      </c>
      <c r="Z7483">
        <v>-1.034741E-3</v>
      </c>
      <c r="AA7483">
        <v>0.99900009999999995</v>
      </c>
      <c r="AB7483">
        <v>26</v>
      </c>
      <c r="AC7483">
        <v>30.563299999999899</v>
      </c>
      <c r="AD7483">
        <v>-1.121045056989</v>
      </c>
      <c r="AE7483">
        <v>-1.45932</v>
      </c>
      <c r="AF7483">
        <v>1.37269639297635</v>
      </c>
      <c r="AG7483">
        <v>-1.121045056989</v>
      </c>
      <c r="AH7483">
        <v>30.526254177998698</v>
      </c>
      <c r="AI7483">
        <v>92.101061697160802</v>
      </c>
      <c r="AJ7483">
        <v>87.425273301022997</v>
      </c>
      <c r="AK7483">
        <v>30.577659026597701</v>
      </c>
      <c r="AL7483">
        <v>90.021677303652496</v>
      </c>
      <c r="AM7483">
        <v>90.062499859534896</v>
      </c>
      <c r="AN7483">
        <v>0.99999996652379797</v>
      </c>
    </row>
    <row r="7484" spans="1:40" x14ac:dyDescent="0.25">
      <c r="A7484" t="str">
        <f>"20190303153954551"</f>
        <v>20190303153954551</v>
      </c>
      <c r="B7484" t="str">
        <f>"1551598794545959"</f>
        <v>1551598794545959</v>
      </c>
      <c r="C7484" t="s">
        <v>40</v>
      </c>
      <c r="D7484">
        <v>4.4210940000000001</v>
      </c>
      <c r="E7484">
        <v>0.51793129999999998</v>
      </c>
      <c r="F7484" t="s">
        <v>42</v>
      </c>
      <c r="G7484">
        <v>-325.11399999999998</v>
      </c>
      <c r="H7484" s="1">
        <v>-2.9492679999999998E-6</v>
      </c>
      <c r="I7484">
        <v>15.900359999999999</v>
      </c>
      <c r="J7484">
        <v>-355.31810000000002</v>
      </c>
      <c r="K7484">
        <v>1.1210530000000001</v>
      </c>
      <c r="L7484">
        <v>17.361940000000001</v>
      </c>
      <c r="M7484">
        <v>0.99991339999999995</v>
      </c>
      <c r="N7484">
        <v>-1.282936E-2</v>
      </c>
      <c r="O7484">
        <v>-2.947486E-3</v>
      </c>
      <c r="P7484">
        <v>0.99991039999999998</v>
      </c>
      <c r="Q7484">
        <v>-1.335604E-2</v>
      </c>
      <c r="R7484">
        <v>-1.077008E-3</v>
      </c>
      <c r="S7484">
        <v>2.9985659999999998</v>
      </c>
      <c r="T7484">
        <v>-0.1108156</v>
      </c>
      <c r="U7484">
        <v>-0.144531299999999</v>
      </c>
      <c r="V7484">
        <v>-1.8704559999999999E-3</v>
      </c>
      <c r="W7484">
        <v>-5.2552839999999996E-4</v>
      </c>
      <c r="X7484">
        <v>0.9999981</v>
      </c>
      <c r="Y7484">
        <v>4.5159110000000002E-2</v>
      </c>
      <c r="Z7484">
        <v>-1.0526419999999999E-3</v>
      </c>
      <c r="AA7484">
        <v>0.99897930000000001</v>
      </c>
      <c r="AB7484">
        <v>26</v>
      </c>
      <c r="AC7484">
        <v>30.204099999999901</v>
      </c>
      <c r="AD7484">
        <v>-1.1210559492679999</v>
      </c>
      <c r="AE7484">
        <v>-1.4615799999999901</v>
      </c>
      <c r="AF7484">
        <v>1.3706563611362499</v>
      </c>
      <c r="AG7484">
        <v>-1.1210559492679999</v>
      </c>
      <c r="AH7484">
        <v>30.166816429814698</v>
      </c>
      <c r="AI7484">
        <v>92.126048797120106</v>
      </c>
      <c r="AJ7484">
        <v>87.398504078756005</v>
      </c>
      <c r="AK7484">
        <v>30.218740523255601</v>
      </c>
      <c r="AL7484">
        <v>90.030110561099804</v>
      </c>
      <c r="AM7484">
        <v>90.107169313205404</v>
      </c>
      <c r="AN7484">
        <v>0.99999998739467799</v>
      </c>
    </row>
    <row r="7485" spans="1:40" x14ac:dyDescent="0.25">
      <c r="A7485" t="str">
        <f>"20190303153954561"</f>
        <v>20190303153954561</v>
      </c>
      <c r="B7485" t="str">
        <f>"1551598794555718"</f>
        <v>1551598794555718</v>
      </c>
      <c r="C7485" t="s">
        <v>40</v>
      </c>
      <c r="D7485">
        <v>4.5157100000000003</v>
      </c>
      <c r="E7485">
        <v>0.51806359999999996</v>
      </c>
      <c r="F7485" t="s">
        <v>42</v>
      </c>
      <c r="G7485">
        <v>-323.59629999999999</v>
      </c>
      <c r="H7485" s="1">
        <v>-3.6850599999999998E-6</v>
      </c>
      <c r="I7485">
        <v>15.796860000000001</v>
      </c>
      <c r="J7485">
        <v>-355.18970000000002</v>
      </c>
      <c r="K7485">
        <v>1.1210690000000001</v>
      </c>
      <c r="L7485">
        <v>17.361360000000001</v>
      </c>
      <c r="M7485">
        <v>0.99991200000000002</v>
      </c>
      <c r="N7485">
        <v>-1.290179E-2</v>
      </c>
      <c r="O7485">
        <v>-3.1019929999999999E-3</v>
      </c>
      <c r="P7485">
        <v>0.99990480000000004</v>
      </c>
      <c r="Q7485">
        <v>-1.3806270000000001E-2</v>
      </c>
      <c r="R7485">
        <v>-3.8846630000000001E-4</v>
      </c>
      <c r="S7485">
        <v>2.9987180000000002</v>
      </c>
      <c r="T7485">
        <v>-0.10597529999999999</v>
      </c>
      <c r="U7485">
        <v>-0.1479492</v>
      </c>
      <c r="V7485">
        <v>-2.7144550000000002E-3</v>
      </c>
      <c r="W7485">
        <v>-9.0292439999999996E-4</v>
      </c>
      <c r="X7485">
        <v>0.99999590000000005</v>
      </c>
      <c r="Y7485">
        <v>4.6140359999999998E-2</v>
      </c>
      <c r="Z7485">
        <v>-1.0429910000000001E-3</v>
      </c>
      <c r="AA7485">
        <v>0.9989344</v>
      </c>
      <c r="AB7485">
        <v>26</v>
      </c>
      <c r="AC7485">
        <v>31.593399999999999</v>
      </c>
      <c r="AD7485">
        <v>-1.1210726850599999</v>
      </c>
      <c r="AE7485">
        <v>-1.5645</v>
      </c>
      <c r="AF7485">
        <v>1.46464213108917</v>
      </c>
      <c r="AG7485">
        <v>-1.1210726850599999</v>
      </c>
      <c r="AH7485">
        <v>31.5584620547356</v>
      </c>
      <c r="AI7485">
        <v>92.032315666354506</v>
      </c>
      <c r="AJ7485">
        <v>87.342784347166997</v>
      </c>
      <c r="AK7485">
        <v>31.612315761385499</v>
      </c>
      <c r="AL7485">
        <v>90.051733764794193</v>
      </c>
      <c r="AM7485">
        <v>90.155527070849999</v>
      </c>
      <c r="AN7485">
        <v>0.99999999177761401</v>
      </c>
    </row>
    <row r="7486" spans="1:40" x14ac:dyDescent="0.25">
      <c r="A7486" t="str">
        <f>"20190303153954574"</f>
        <v>20190303153954574</v>
      </c>
      <c r="B7486" t="str">
        <f>"1551598794566455"</f>
        <v>1551598794566455</v>
      </c>
      <c r="C7486" t="s">
        <v>40</v>
      </c>
      <c r="D7486">
        <v>4.4848100000000004</v>
      </c>
      <c r="E7486">
        <v>0.51818770000000003</v>
      </c>
      <c r="F7486" t="s">
        <v>42</v>
      </c>
      <c r="G7486">
        <v>-324.13690000000003</v>
      </c>
      <c r="H7486" s="1">
        <v>-3.4218879999999999E-6</v>
      </c>
      <c r="I7486">
        <v>15.83976</v>
      </c>
      <c r="J7486">
        <v>-355.05939999999998</v>
      </c>
      <c r="K7486">
        <v>1.1210880000000001</v>
      </c>
      <c r="L7486">
        <v>17.360779999999998</v>
      </c>
      <c r="M7486">
        <v>0.99991050000000004</v>
      </c>
      <c r="N7486">
        <v>-1.2972020000000001E-2</v>
      </c>
      <c r="O7486">
        <v>-3.2494220000000001E-3</v>
      </c>
      <c r="P7486">
        <v>0.99990579999999996</v>
      </c>
      <c r="Q7486">
        <v>-1.37077E-2</v>
      </c>
      <c r="R7486">
        <v>4.7658120000000002E-4</v>
      </c>
      <c r="S7486">
        <v>2.9987789999999999</v>
      </c>
      <c r="T7486">
        <v>-0.1082625</v>
      </c>
      <c r="U7486">
        <v>-0.14694209999999999</v>
      </c>
      <c r="V7486">
        <v>-3.7262979999999998E-3</v>
      </c>
      <c r="W7486">
        <v>-7.3366509999999905E-4</v>
      </c>
      <c r="X7486">
        <v>0.99999280000000002</v>
      </c>
      <c r="Y7486">
        <v>4.5656370000000002E-2</v>
      </c>
      <c r="Z7486">
        <v>-1.044754E-3</v>
      </c>
      <c r="AA7486">
        <v>0.99895670000000003</v>
      </c>
      <c r="AB7486">
        <v>26</v>
      </c>
      <c r="AC7486">
        <v>30.9224999999999</v>
      </c>
      <c r="AD7486">
        <v>-1.1210914218879999</v>
      </c>
      <c r="AE7486">
        <v>-1.52101999999999</v>
      </c>
      <c r="AF7486">
        <v>1.4186630408479</v>
      </c>
      <c r="AG7486">
        <v>-1.1210914218879999</v>
      </c>
      <c r="AH7486">
        <v>30.886779482139399</v>
      </c>
      <c r="AI7486">
        <v>92.076553848886704</v>
      </c>
      <c r="AJ7486">
        <v>87.370191448290399</v>
      </c>
      <c r="AK7486">
        <v>30.939660592482401</v>
      </c>
      <c r="AL7486">
        <v>90.042035917080796</v>
      </c>
      <c r="AM7486">
        <v>90.213501697638605</v>
      </c>
      <c r="AN7486">
        <v>1.00000001180655</v>
      </c>
    </row>
    <row r="7487" spans="1:40" x14ac:dyDescent="0.25">
      <c r="A7487" t="str">
        <f>"20190303153954585"</f>
        <v>20190303153954585</v>
      </c>
      <c r="B7487" t="str">
        <f>"1551598794576216"</f>
        <v>1551598794576216</v>
      </c>
      <c r="C7487" t="s">
        <v>40</v>
      </c>
      <c r="D7487">
        <v>4.488156</v>
      </c>
      <c r="E7487">
        <v>0.51830319999999996</v>
      </c>
      <c r="F7487" t="s">
        <v>42</v>
      </c>
      <c r="G7487">
        <v>-323.97609999999997</v>
      </c>
      <c r="H7487" s="1">
        <v>-3.4952809999999999E-6</v>
      </c>
      <c r="I7487">
        <v>15.8545</v>
      </c>
      <c r="J7487">
        <v>-354.9203</v>
      </c>
      <c r="K7487">
        <v>1.1211089999999999</v>
      </c>
      <c r="L7487">
        <v>17.36017</v>
      </c>
      <c r="M7487">
        <v>0.9999093</v>
      </c>
      <c r="N7487">
        <v>-1.304163E-2</v>
      </c>
      <c r="O7487">
        <v>-3.3916530000000001E-3</v>
      </c>
      <c r="P7487">
        <v>0.99990679999999998</v>
      </c>
      <c r="Q7487">
        <v>-1.3581080000000001E-2</v>
      </c>
      <c r="R7487">
        <v>1.4720999999999901E-3</v>
      </c>
      <c r="S7487">
        <v>2.998901</v>
      </c>
      <c r="T7487">
        <v>-0.1081623</v>
      </c>
      <c r="U7487">
        <v>-0.1453247</v>
      </c>
      <c r="V7487">
        <v>-4.8640200000000001E-3</v>
      </c>
      <c r="W7487">
        <v>-5.3706030000000001E-4</v>
      </c>
      <c r="X7487">
        <v>0.99998799999999999</v>
      </c>
      <c r="Y7487">
        <v>4.4975420000000002E-2</v>
      </c>
      <c r="Z7487">
        <v>-1.0259100000000001E-3</v>
      </c>
      <c r="AA7487">
        <v>0.99898759999999998</v>
      </c>
      <c r="AB7487">
        <v>26</v>
      </c>
      <c r="AC7487">
        <v>30.944199999999999</v>
      </c>
      <c r="AD7487">
        <v>-1.1211124952810001</v>
      </c>
      <c r="AE7487">
        <v>-1.5056700000000001</v>
      </c>
      <c r="AF7487">
        <v>1.3988685839839301</v>
      </c>
      <c r="AG7487">
        <v>-1.1211124952810001</v>
      </c>
      <c r="AH7487">
        <v>30.9086535649936</v>
      </c>
      <c r="AI7487">
        <v>92.0751880083602</v>
      </c>
      <c r="AJ7487">
        <v>87.408667133178398</v>
      </c>
      <c r="AK7487">
        <v>30.960597406108398</v>
      </c>
      <c r="AL7487">
        <v>90.030771290824504</v>
      </c>
      <c r="AM7487">
        <v>90.278688963916906</v>
      </c>
      <c r="AN7487">
        <v>0.99999997363416204</v>
      </c>
    </row>
    <row r="7488" spans="1:40" x14ac:dyDescent="0.25">
      <c r="A7488" t="str">
        <f>"20190303153954596"</f>
        <v>20190303153954596</v>
      </c>
      <c r="B7488" t="str">
        <f>"1551598794585976"</f>
        <v>1551598794585976</v>
      </c>
      <c r="C7488" t="s">
        <v>40</v>
      </c>
      <c r="D7488">
        <v>4.4528480000000004</v>
      </c>
      <c r="E7488">
        <v>0.51841769999999998</v>
      </c>
      <c r="F7488" t="s">
        <v>42</v>
      </c>
      <c r="G7488">
        <v>-323.84910000000002</v>
      </c>
      <c r="H7488" s="1">
        <v>-3.5514399999999998E-6</v>
      </c>
      <c r="I7488">
        <v>15.87637</v>
      </c>
      <c r="J7488">
        <v>-354.79520000000002</v>
      </c>
      <c r="K7488">
        <v>1.121132</v>
      </c>
      <c r="L7488">
        <v>17.359590000000001</v>
      </c>
      <c r="M7488">
        <v>0.99990820000000002</v>
      </c>
      <c r="N7488">
        <v>-1.309917E-2</v>
      </c>
      <c r="O7488">
        <v>-3.49921E-3</v>
      </c>
      <c r="P7488">
        <v>0.9999091</v>
      </c>
      <c r="Q7488">
        <v>-1.3248640000000001E-2</v>
      </c>
      <c r="R7488">
        <v>2.6247559999999998E-3</v>
      </c>
      <c r="S7488">
        <v>2.9990540000000001</v>
      </c>
      <c r="T7488">
        <v>-0.108212</v>
      </c>
      <c r="U7488">
        <v>-0.14321900000000001</v>
      </c>
      <c r="V7488">
        <v>-6.1242839999999998E-3</v>
      </c>
      <c r="W7488">
        <v>-1.467831E-4</v>
      </c>
      <c r="X7488">
        <v>0.99998120000000001</v>
      </c>
      <c r="Y7488">
        <v>4.4166360000000002E-2</v>
      </c>
      <c r="Z7488">
        <v>-1.0053320000000001E-3</v>
      </c>
      <c r="AA7488">
        <v>0.99902369999999996</v>
      </c>
      <c r="AB7488">
        <v>26</v>
      </c>
      <c r="AC7488">
        <v>30.946100000000001</v>
      </c>
      <c r="AD7488">
        <v>-1.1211355514399901</v>
      </c>
      <c r="AE7488">
        <v>-1.48321999999999</v>
      </c>
      <c r="AF7488">
        <v>1.3731166306217</v>
      </c>
      <c r="AG7488">
        <v>-1.1211355514399901</v>
      </c>
      <c r="AH7488">
        <v>30.910623367627</v>
      </c>
      <c r="AI7488">
        <v>92.0751760830194</v>
      </c>
      <c r="AJ7488">
        <v>87.456469957631498</v>
      </c>
      <c r="AK7488">
        <v>30.961411970084399</v>
      </c>
      <c r="AL7488">
        <v>90.008410052463603</v>
      </c>
      <c r="AM7488">
        <v>90.3508978355555</v>
      </c>
      <c r="AN7488">
        <v>0.99999996437661498</v>
      </c>
    </row>
    <row r="7489" spans="1:40" x14ac:dyDescent="0.25">
      <c r="A7489" t="str">
        <f>"20190303153954608"</f>
        <v>20190303153954608</v>
      </c>
      <c r="B7489" t="str">
        <f>"1551598794595735"</f>
        <v>1551598794595735</v>
      </c>
      <c r="C7489" t="s">
        <v>40</v>
      </c>
      <c r="D7489">
        <v>4.4842700000000004</v>
      </c>
      <c r="E7489">
        <v>0.51854929999999999</v>
      </c>
      <c r="F7489" t="s">
        <v>42</v>
      </c>
      <c r="G7489">
        <v>-323.50599999999997</v>
      </c>
      <c r="H7489" s="1">
        <v>-3.7108129999999998E-6</v>
      </c>
      <c r="I7489">
        <v>15.892200000000001</v>
      </c>
      <c r="J7489">
        <v>-354.66269999999997</v>
      </c>
      <c r="K7489">
        <v>1.1211580000000001</v>
      </c>
      <c r="L7489">
        <v>17.358979999999999</v>
      </c>
      <c r="M7489">
        <v>0.99990710000000005</v>
      </c>
      <c r="N7489">
        <v>-1.315761E-2</v>
      </c>
      <c r="O7489">
        <v>-3.6035070000000002E-3</v>
      </c>
      <c r="P7489">
        <v>0.99991220000000003</v>
      </c>
      <c r="Q7489">
        <v>-1.2779220000000001E-2</v>
      </c>
      <c r="R7489">
        <v>3.592418E-3</v>
      </c>
      <c r="S7489">
        <v>2.9992070000000002</v>
      </c>
      <c r="T7489">
        <v>-0.10746600000000001</v>
      </c>
      <c r="U7489">
        <v>-0.14065549999999999</v>
      </c>
      <c r="V7489">
        <v>-7.1957130000000003E-3</v>
      </c>
      <c r="W7489">
        <v>3.8129489999999999E-4</v>
      </c>
      <c r="X7489">
        <v>0.99997400000000003</v>
      </c>
      <c r="Y7489">
        <v>4.3208999999999997E-2</v>
      </c>
      <c r="Z7489">
        <v>-9.763819E-4</v>
      </c>
      <c r="AA7489">
        <v>0.9990656</v>
      </c>
      <c r="AB7489">
        <v>26</v>
      </c>
      <c r="AC7489">
        <v>31.156700000000001</v>
      </c>
      <c r="AD7489">
        <v>-1.1211617108130001</v>
      </c>
      <c r="AE7489">
        <v>-1.46677999999999</v>
      </c>
      <c r="AF7489">
        <v>1.35273960813373</v>
      </c>
      <c r="AG7489">
        <v>-1.1211617108130001</v>
      </c>
      <c r="AH7489">
        <v>31.121573718587602</v>
      </c>
      <c r="AI7489">
        <v>92.061256547274596</v>
      </c>
      <c r="AJ7489">
        <v>87.511131187469104</v>
      </c>
      <c r="AK7489">
        <v>31.171128608869601</v>
      </c>
      <c r="AL7489">
        <v>89.978153410124406</v>
      </c>
      <c r="AM7489">
        <v>90.412287589029802</v>
      </c>
      <c r="AN7489">
        <v>0.99999996217368803</v>
      </c>
    </row>
    <row r="7490" spans="1:40" x14ac:dyDescent="0.25">
      <c r="A7490" t="str">
        <f>"20190303153954620"</f>
        <v>20190303153954620</v>
      </c>
      <c r="B7490" t="str">
        <f>"1551598794616231"</f>
        <v>1551598794616231</v>
      </c>
      <c r="C7490" t="s">
        <v>40</v>
      </c>
      <c r="D7490">
        <v>4.5660509999999999</v>
      </c>
      <c r="E7490">
        <v>0.51930319999999996</v>
      </c>
      <c r="F7490" t="s">
        <v>42</v>
      </c>
      <c r="G7490">
        <v>-322.94749999999999</v>
      </c>
      <c r="H7490" s="1">
        <v>-3.9749169999999997E-6</v>
      </c>
      <c r="I7490">
        <v>15.89171</v>
      </c>
      <c r="J7490">
        <v>-354.53539999999998</v>
      </c>
      <c r="K7490">
        <v>1.121186</v>
      </c>
      <c r="L7490">
        <v>17.358429999999998</v>
      </c>
      <c r="M7490">
        <v>0.99990610000000002</v>
      </c>
      <c r="N7490">
        <v>-1.320785E-2</v>
      </c>
      <c r="O7490">
        <v>-3.6720580000000002E-3</v>
      </c>
      <c r="P7490">
        <v>0.99991090000000005</v>
      </c>
      <c r="Q7490">
        <v>-1.2549980000000001E-2</v>
      </c>
      <c r="R7490">
        <v>4.5902490000000002E-3</v>
      </c>
      <c r="S7490">
        <v>2.99939</v>
      </c>
      <c r="T7490">
        <v>-0.10603120000000001</v>
      </c>
      <c r="U7490">
        <v>-0.13876340000000001</v>
      </c>
      <c r="V7490">
        <v>-8.2623639999999995E-3</v>
      </c>
      <c r="W7490">
        <v>6.6072149999999905E-4</v>
      </c>
      <c r="X7490">
        <v>0.99996569999999996</v>
      </c>
      <c r="Y7490">
        <v>4.251017E-2</v>
      </c>
      <c r="Z7490">
        <v>-9.5053749999999995E-4</v>
      </c>
      <c r="AA7490">
        <v>0.99909559999999997</v>
      </c>
      <c r="AB7490">
        <v>26</v>
      </c>
      <c r="AC7490">
        <v>31.587899999999902</v>
      </c>
      <c r="AD7490">
        <v>-1.121189974917</v>
      </c>
      <c r="AE7490">
        <v>-1.46671999999999</v>
      </c>
      <c r="AF7490">
        <v>1.3490115100192299</v>
      </c>
      <c r="AG7490">
        <v>-1.121189974917</v>
      </c>
      <c r="AH7490">
        <v>31.5534064874956</v>
      </c>
      <c r="AI7490">
        <v>92.033184032019307</v>
      </c>
      <c r="AJ7490">
        <v>87.551908548913403</v>
      </c>
      <c r="AK7490">
        <v>31.602125877528401</v>
      </c>
      <c r="AL7490">
        <v>89.962143445837896</v>
      </c>
      <c r="AM7490">
        <v>90.473404051015393</v>
      </c>
      <c r="AN7490">
        <v>1.0000000521941199</v>
      </c>
    </row>
    <row r="7491" spans="1:40" x14ac:dyDescent="0.25">
      <c r="A7491" t="str">
        <f>"20190303153954631"</f>
        <v>20190303153954631</v>
      </c>
      <c r="B7491" t="str">
        <f>"1551598794625991"</f>
        <v>1551598794625991</v>
      </c>
      <c r="C7491" t="s">
        <v>40</v>
      </c>
      <c r="D7491">
        <v>4.4839789999999997</v>
      </c>
      <c r="E7491">
        <v>0.51943729999999999</v>
      </c>
      <c r="F7491" t="s">
        <v>42</v>
      </c>
      <c r="G7491">
        <v>-321.16050000000001</v>
      </c>
      <c r="H7491" s="1">
        <v>-4.8390760000000002E-6</v>
      </c>
      <c r="I7491">
        <v>15.78224</v>
      </c>
      <c r="J7491">
        <v>-354.40249999999997</v>
      </c>
      <c r="K7491">
        <v>1.1212169999999999</v>
      </c>
      <c r="L7491">
        <v>17.357849999999999</v>
      </c>
      <c r="M7491">
        <v>0.9999053</v>
      </c>
      <c r="N7491">
        <v>-1.325869E-2</v>
      </c>
      <c r="O7491">
        <v>-3.7341409999999998E-3</v>
      </c>
      <c r="P7491">
        <v>0.99991019999999997</v>
      </c>
      <c r="Q7491">
        <v>-1.230126E-2</v>
      </c>
      <c r="R7491">
        <v>5.3453469999999899E-3</v>
      </c>
      <c r="S7491">
        <v>2.9996339999999999</v>
      </c>
      <c r="T7491">
        <v>-0.1007692</v>
      </c>
      <c r="U7491">
        <v>-0.1416626</v>
      </c>
      <c r="V7491">
        <v>-9.0791540000000007E-3</v>
      </c>
      <c r="W7491">
        <v>9.5969839999999996E-4</v>
      </c>
      <c r="X7491">
        <v>0.99995829999999997</v>
      </c>
      <c r="Y7491">
        <v>4.3410089999999998E-2</v>
      </c>
      <c r="Z7491">
        <v>-9.4075189999999996E-4</v>
      </c>
      <c r="AA7491">
        <v>0.99905690000000003</v>
      </c>
      <c r="AB7491">
        <v>25</v>
      </c>
      <c r="AC7491">
        <v>33.241999999999898</v>
      </c>
      <c r="AD7491">
        <v>-1.12122183907599</v>
      </c>
      <c r="AE7491">
        <v>-1.57560999999999</v>
      </c>
      <c r="AF7491">
        <v>1.4498121252067899</v>
      </c>
      <c r="AG7491">
        <v>-1.12122183907599</v>
      </c>
      <c r="AH7491">
        <v>33.209955635522498</v>
      </c>
      <c r="AI7491">
        <v>91.931825151775996</v>
      </c>
      <c r="AJ7491">
        <v>87.500285592959301</v>
      </c>
      <c r="AK7491">
        <v>33.260490779965799</v>
      </c>
      <c r="AL7491">
        <v>89.945013322363593</v>
      </c>
      <c r="AM7491">
        <v>90.520204604330999</v>
      </c>
      <c r="AN7491">
        <v>0.99999997689863196</v>
      </c>
    </row>
    <row r="7492" spans="1:40" x14ac:dyDescent="0.25">
      <c r="A7492" t="str">
        <f>"20190303153954643"</f>
        <v>20190303153954643</v>
      </c>
      <c r="B7492" t="str">
        <f>"1551598794635751"</f>
        <v>1551598794635751</v>
      </c>
      <c r="C7492" t="s">
        <v>40</v>
      </c>
      <c r="D7492">
        <v>4.5891270000000004</v>
      </c>
      <c r="E7492">
        <v>0.51970749999999999</v>
      </c>
      <c r="F7492" t="s">
        <v>42</v>
      </c>
      <c r="G7492">
        <v>-320.76690000000002</v>
      </c>
      <c r="H7492" s="1">
        <v>-5.0249120000000003E-6</v>
      </c>
      <c r="I7492">
        <v>15.78346</v>
      </c>
      <c r="J7492">
        <v>-354.26510000000002</v>
      </c>
      <c r="K7492">
        <v>1.121251</v>
      </c>
      <c r="L7492">
        <v>17.35727</v>
      </c>
      <c r="M7492">
        <v>0.99990449999999997</v>
      </c>
      <c r="N7492">
        <v>-1.3305880000000001E-2</v>
      </c>
      <c r="O7492">
        <v>-3.7644290000000001E-3</v>
      </c>
      <c r="P7492">
        <v>0.99990769999999995</v>
      </c>
      <c r="Q7492">
        <v>-1.214046E-2</v>
      </c>
      <c r="R7492">
        <v>6.1356600000000002E-3</v>
      </c>
      <c r="S7492">
        <v>2.9997859999999998</v>
      </c>
      <c r="T7492">
        <v>-9.9996089999999996E-2</v>
      </c>
      <c r="U7492">
        <v>-0.14041139999999999</v>
      </c>
      <c r="V7492">
        <v>-9.8997489999999994E-3</v>
      </c>
      <c r="W7492">
        <v>1.167122E-3</v>
      </c>
      <c r="X7492">
        <v>0.99995029999999996</v>
      </c>
      <c r="Y7492">
        <v>4.2962380000000001E-2</v>
      </c>
      <c r="Z7492">
        <v>-9.2625680000000003E-4</v>
      </c>
      <c r="AA7492">
        <v>0.99907619999999997</v>
      </c>
      <c r="AB7492">
        <v>25</v>
      </c>
      <c r="AC7492">
        <v>33.498199999999997</v>
      </c>
      <c r="AD7492">
        <v>-1.121256024912</v>
      </c>
      <c r="AE7492">
        <v>-1.5738099999999999</v>
      </c>
      <c r="AF7492">
        <v>1.4460695172825599</v>
      </c>
      <c r="AG7492">
        <v>-1.121256024912</v>
      </c>
      <c r="AH7492">
        <v>33.466474927397101</v>
      </c>
      <c r="AI7492">
        <v>91.917124357035306</v>
      </c>
      <c r="AJ7492">
        <v>87.525817289977596</v>
      </c>
      <c r="AK7492">
        <v>33.516462763667498</v>
      </c>
      <c r="AL7492">
        <v>89.933128819027402</v>
      </c>
      <c r="AM7492">
        <v>90.567223496257895</v>
      </c>
      <c r="AN7492">
        <v>0.99999998483705699</v>
      </c>
    </row>
    <row r="7493" spans="1:40" x14ac:dyDescent="0.25">
      <c r="A7493" t="str">
        <f>"20190303153954655"</f>
        <v>20190303153954655</v>
      </c>
      <c r="B7493" t="str">
        <f>"1551598794645511"</f>
        <v>1551598794645511</v>
      </c>
      <c r="C7493" t="s">
        <v>40</v>
      </c>
      <c r="D7493">
        <v>4.5038749999999999</v>
      </c>
      <c r="E7493">
        <v>0.51991149999999997</v>
      </c>
      <c r="F7493" t="s">
        <v>42</v>
      </c>
      <c r="G7493">
        <v>-320.47210000000001</v>
      </c>
      <c r="H7493" s="1">
        <v>-5.165111E-6</v>
      </c>
      <c r="I7493">
        <v>15.778689999999999</v>
      </c>
      <c r="J7493">
        <v>-354.13319999999999</v>
      </c>
      <c r="K7493">
        <v>1.121286</v>
      </c>
      <c r="L7493">
        <v>17.356719999999999</v>
      </c>
      <c r="M7493">
        <v>0.99990400000000002</v>
      </c>
      <c r="N7493">
        <v>-1.3348459999999999E-2</v>
      </c>
      <c r="O7493">
        <v>-3.7728800000000002E-3</v>
      </c>
      <c r="P7493">
        <v>0.99990610000000002</v>
      </c>
      <c r="Q7493">
        <v>-1.2139570000000001E-2</v>
      </c>
      <c r="R7493">
        <v>6.3922409999999999E-3</v>
      </c>
      <c r="S7493">
        <v>2.9999389999999999</v>
      </c>
      <c r="T7493">
        <v>-9.9538450000000001E-2</v>
      </c>
      <c r="U7493">
        <v>-0.1401367</v>
      </c>
      <c r="V7493">
        <v>-1.016533E-2</v>
      </c>
      <c r="W7493">
        <v>1.2095610000000001E-3</v>
      </c>
      <c r="X7493">
        <v>0.99994760000000005</v>
      </c>
      <c r="Y7493">
        <v>4.2860589999999997E-2</v>
      </c>
      <c r="Z7493">
        <v>-9.2206869999999998E-4</v>
      </c>
      <c r="AA7493">
        <v>0.99908070000000004</v>
      </c>
      <c r="AB7493">
        <v>25</v>
      </c>
      <c r="AC7493">
        <v>33.661099999999898</v>
      </c>
      <c r="AD7493">
        <v>-1.121291165111</v>
      </c>
      <c r="AE7493">
        <v>-1.57803</v>
      </c>
      <c r="AF7493">
        <v>1.4494034046634801</v>
      </c>
      <c r="AG7493">
        <v>-1.121291165111</v>
      </c>
      <c r="AH7493">
        <v>33.629579896051297</v>
      </c>
      <c r="AI7493">
        <v>91.907901922235794</v>
      </c>
      <c r="AJ7493">
        <v>87.532132840554894</v>
      </c>
      <c r="AK7493">
        <v>33.679470127828701</v>
      </c>
      <c r="AL7493">
        <v>89.930697242727803</v>
      </c>
      <c r="AM7493">
        <v>90.582440963793701</v>
      </c>
      <c r="AN7493">
        <v>0.99999999985878996</v>
      </c>
    </row>
    <row r="7494" spans="1:40" x14ac:dyDescent="0.25">
      <c r="A7494" t="str">
        <f>"20190303153954669"</f>
        <v>20190303153954669</v>
      </c>
      <c r="B7494" t="str">
        <f>"1551598794666007"</f>
        <v>1551598794666007</v>
      </c>
      <c r="C7494" t="s">
        <v>40</v>
      </c>
      <c r="D7494">
        <v>4.4569150000000004</v>
      </c>
      <c r="E7494">
        <v>0.52016530000000005</v>
      </c>
      <c r="F7494" t="s">
        <v>42</v>
      </c>
      <c r="G7494">
        <v>-320.37439999999998</v>
      </c>
      <c r="H7494" s="1">
        <v>-5.2127619999999997E-6</v>
      </c>
      <c r="I7494">
        <v>15.770479999999999</v>
      </c>
      <c r="J7494">
        <v>-353.9676</v>
      </c>
      <c r="K7494">
        <v>1.1213299999999999</v>
      </c>
      <c r="L7494">
        <v>17.35605</v>
      </c>
      <c r="M7494">
        <v>0.99990319999999999</v>
      </c>
      <c r="N7494">
        <v>-1.339829E-2</v>
      </c>
      <c r="O7494">
        <v>-3.7551160000000002E-3</v>
      </c>
      <c r="P7494">
        <v>0.99990599999999996</v>
      </c>
      <c r="Q7494">
        <v>-1.18917E-2</v>
      </c>
      <c r="R7494">
        <v>6.8214310000000002E-3</v>
      </c>
      <c r="S7494">
        <v>2.9999690000000001</v>
      </c>
      <c r="T7494">
        <v>-9.9643229999999999E-2</v>
      </c>
      <c r="U7494">
        <v>-0.14096069999999999</v>
      </c>
      <c r="V7494">
        <v>-1.057634E-2</v>
      </c>
      <c r="W7494">
        <v>1.5061530000000001E-3</v>
      </c>
      <c r="X7494">
        <v>0.99994300000000003</v>
      </c>
      <c r="Y7494">
        <v>4.3151330000000002E-2</v>
      </c>
      <c r="Z7494">
        <v>-9.3105970000000005E-4</v>
      </c>
      <c r="AA7494">
        <v>0.99906810000000001</v>
      </c>
      <c r="AB7494">
        <v>25</v>
      </c>
      <c r="AC7494">
        <v>33.593200000000003</v>
      </c>
      <c r="AD7494">
        <v>-1.121335212762</v>
      </c>
      <c r="AE7494">
        <v>-1.5855699999999999</v>
      </c>
      <c r="AF7494">
        <v>1.45778046635277</v>
      </c>
      <c r="AG7494">
        <v>-1.121335212762</v>
      </c>
      <c r="AH7494">
        <v>33.561605991327603</v>
      </c>
      <c r="AI7494">
        <v>91.911810470503497</v>
      </c>
      <c r="AJ7494">
        <v>87.512866356560494</v>
      </c>
      <c r="AK7494">
        <v>33.611960866105001</v>
      </c>
      <c r="AL7494">
        <v>89.913703762811906</v>
      </c>
      <c r="AM7494">
        <v>90.605991590404102</v>
      </c>
      <c r="AN7494">
        <v>1.00000006535682</v>
      </c>
    </row>
    <row r="7495" spans="1:40" x14ac:dyDescent="0.25">
      <c r="A7495" t="str">
        <f>"20190303153954686"</f>
        <v>20190303153954686</v>
      </c>
      <c r="B7495" t="str">
        <f>"1551598794675767"</f>
        <v>1551598794675767</v>
      </c>
      <c r="C7495" t="s">
        <v>40</v>
      </c>
      <c r="D7495">
        <v>4.4514800000000001</v>
      </c>
      <c r="E7495">
        <v>0.52023279999999905</v>
      </c>
      <c r="F7495" t="s">
        <v>42</v>
      </c>
      <c r="G7495">
        <v>-320.02100000000002</v>
      </c>
      <c r="H7495" s="1">
        <v>-5.3828199999999899E-6</v>
      </c>
      <c r="I7495">
        <v>15.75342</v>
      </c>
      <c r="J7495">
        <v>-353.77690000000001</v>
      </c>
      <c r="K7495">
        <v>1.121391</v>
      </c>
      <c r="L7495">
        <v>17.35538</v>
      </c>
      <c r="M7495">
        <v>0.99990290000000004</v>
      </c>
      <c r="N7495">
        <v>-1.3448730000000001E-2</v>
      </c>
      <c r="O7495">
        <v>-3.6624119999999999E-3</v>
      </c>
      <c r="P7495">
        <v>0.9999131</v>
      </c>
      <c r="Q7495">
        <v>-1.115998E-2</v>
      </c>
      <c r="R7495">
        <v>7.0281939999999998E-3</v>
      </c>
      <c r="S7495">
        <v>3.0000309999999999</v>
      </c>
      <c r="T7495">
        <v>-9.9098210000000006E-2</v>
      </c>
      <c r="U7495">
        <v>-0.14163210000000001</v>
      </c>
      <c r="V7495">
        <v>-1.0690760000000001E-2</v>
      </c>
      <c r="W7495">
        <v>2.2872109999999999E-3</v>
      </c>
      <c r="X7495">
        <v>0.99994019999999995</v>
      </c>
      <c r="Y7495">
        <v>4.3466110000000002E-2</v>
      </c>
      <c r="Z7495">
        <v>-9.3821750000000004E-4</v>
      </c>
      <c r="AA7495">
        <v>0.99905449999999996</v>
      </c>
      <c r="AB7495">
        <v>25</v>
      </c>
      <c r="AC7495">
        <v>33.755899999999997</v>
      </c>
      <c r="AD7495">
        <v>-1.12139638282</v>
      </c>
      <c r="AE7495">
        <v>-1.6019599999999901</v>
      </c>
      <c r="AF7495">
        <v>1.4766840314631799</v>
      </c>
      <c r="AG7495">
        <v>-1.12139638282</v>
      </c>
      <c r="AH7495">
        <v>33.724405899593798</v>
      </c>
      <c r="AI7495">
        <v>91.902662944641307</v>
      </c>
      <c r="AJ7495">
        <v>87.492802314572202</v>
      </c>
      <c r="AK7495">
        <v>33.775341284089698</v>
      </c>
      <c r="AL7495">
        <v>89.868952343818606</v>
      </c>
      <c r="AM7495">
        <v>90.612548720972299</v>
      </c>
      <c r="AN7495">
        <v>0.99999996362978705</v>
      </c>
    </row>
    <row r="7496" spans="1:40" x14ac:dyDescent="0.25">
      <c r="A7496" t="str">
        <f>"20190303153954702"</f>
        <v>20190303153954702</v>
      </c>
      <c r="B7496" t="str">
        <f>"1551598794696263"</f>
        <v>1551598794696263</v>
      </c>
      <c r="C7496" t="s">
        <v>40</v>
      </c>
      <c r="D7496">
        <v>4.4826739999999896</v>
      </c>
      <c r="E7496">
        <v>0.52039859999999905</v>
      </c>
      <c r="F7496" t="s">
        <v>43</v>
      </c>
      <c r="G7496">
        <v>-317.66559999999998</v>
      </c>
      <c r="H7496">
        <v>-0.05</v>
      </c>
      <c r="I7496">
        <v>15.652850000000001</v>
      </c>
      <c r="J7496">
        <v>-353.6044</v>
      </c>
      <c r="K7496">
        <v>1.121448</v>
      </c>
      <c r="L7496">
        <v>17.354859999999999</v>
      </c>
      <c r="M7496">
        <v>0.99990270000000003</v>
      </c>
      <c r="N7496">
        <v>-1.348973E-2</v>
      </c>
      <c r="O7496">
        <v>-3.5220009999999999E-3</v>
      </c>
      <c r="P7496">
        <v>0.99991200000000002</v>
      </c>
      <c r="Q7496">
        <v>-1.116233E-2</v>
      </c>
      <c r="R7496">
        <v>7.1647109999999998E-3</v>
      </c>
      <c r="S7496">
        <v>3.0001829999999998</v>
      </c>
      <c r="T7496">
        <v>-9.7321030000000003E-2</v>
      </c>
      <c r="U7496">
        <v>-0.14144899999999999</v>
      </c>
      <c r="V7496">
        <v>-1.0686940000000001E-2</v>
      </c>
      <c r="W7496">
        <v>2.324404E-3</v>
      </c>
      <c r="X7496">
        <v>0.99994019999999995</v>
      </c>
      <c r="Y7496">
        <v>4.3544010000000001E-2</v>
      </c>
      <c r="Z7496">
        <v>-9.3298350000000003E-4</v>
      </c>
      <c r="AA7496">
        <v>0.99905109999999997</v>
      </c>
      <c r="AB7496">
        <v>25</v>
      </c>
      <c r="AC7496">
        <v>35.938800000000001</v>
      </c>
      <c r="AD7496">
        <v>-1.171448</v>
      </c>
      <c r="AE7496">
        <v>-1.70201</v>
      </c>
      <c r="AF7496">
        <v>1.5737430988371099</v>
      </c>
      <c r="AG7496">
        <v>-1.171448</v>
      </c>
      <c r="AH7496">
        <v>35.906507675225797</v>
      </c>
      <c r="AI7496">
        <v>91.866818203417395</v>
      </c>
      <c r="AJ7496">
        <v>87.490394566901699</v>
      </c>
      <c r="AK7496">
        <v>35.960064671645</v>
      </c>
      <c r="AL7496">
        <v>89.866821342132098</v>
      </c>
      <c r="AM7496">
        <v>90.612329863013201</v>
      </c>
      <c r="AN7496">
        <v>1.0000000085582701</v>
      </c>
    </row>
    <row r="7497" spans="1:40" x14ac:dyDescent="0.25">
      <c r="A7497" t="str">
        <f>"20190303153954716"</f>
        <v>20190303153954716</v>
      </c>
      <c r="B7497" t="str">
        <f>"1551598794706023"</f>
        <v>1551598794706023</v>
      </c>
      <c r="C7497" t="s">
        <v>40</v>
      </c>
      <c r="D7497">
        <v>4.4397010000000003</v>
      </c>
      <c r="E7497">
        <v>0.52047900000000002</v>
      </c>
      <c r="F7497" t="s">
        <v>43</v>
      </c>
      <c r="G7497">
        <v>-317.51949999999999</v>
      </c>
      <c r="H7497">
        <v>-0.05</v>
      </c>
      <c r="I7497">
        <v>15.642899999999999</v>
      </c>
      <c r="J7497">
        <v>-353.43819999999999</v>
      </c>
      <c r="K7497">
        <v>1.1215109999999999</v>
      </c>
      <c r="L7497">
        <v>17.354399999999998</v>
      </c>
      <c r="M7497">
        <v>0.99990299999999999</v>
      </c>
      <c r="N7497">
        <v>-1.352598E-2</v>
      </c>
      <c r="O7497">
        <v>-3.336945E-3</v>
      </c>
      <c r="P7497">
        <v>0.99991390000000002</v>
      </c>
      <c r="Q7497">
        <v>-1.1010259999999999E-2</v>
      </c>
      <c r="R7497">
        <v>7.1549029999999998E-3</v>
      </c>
      <c r="S7497">
        <v>3.0001530000000001</v>
      </c>
      <c r="T7497">
        <v>-9.7395899999999994E-2</v>
      </c>
      <c r="U7497">
        <v>-0.14233399999999999</v>
      </c>
      <c r="V7497">
        <v>-1.049288E-2</v>
      </c>
      <c r="W7497">
        <v>2.5113240000000001E-3</v>
      </c>
      <c r="X7497">
        <v>0.99994179999999999</v>
      </c>
      <c r="Y7497">
        <v>4.4022980000000003E-2</v>
      </c>
      <c r="Z7497">
        <v>-9.488713E-4</v>
      </c>
      <c r="AA7497">
        <v>0.99903010000000003</v>
      </c>
      <c r="AB7497">
        <v>25</v>
      </c>
      <c r="AC7497">
        <v>35.918700000000001</v>
      </c>
      <c r="AD7497">
        <v>-1.171511</v>
      </c>
      <c r="AE7497">
        <v>-1.71149999999999</v>
      </c>
      <c r="AF7497">
        <v>1.58993327634974</v>
      </c>
      <c r="AG7497">
        <v>-1.171511</v>
      </c>
      <c r="AH7497">
        <v>35.886123249606598</v>
      </c>
      <c r="AI7497">
        <v>91.867939162826403</v>
      </c>
      <c r="AJ7497">
        <v>87.463171750355897</v>
      </c>
      <c r="AK7497">
        <v>35.940425258089498</v>
      </c>
      <c r="AL7497">
        <v>89.856111583332506</v>
      </c>
      <c r="AM7497">
        <v>90.6012106642238</v>
      </c>
      <c r="AN7497">
        <v>1.00000000533308</v>
      </c>
    </row>
    <row r="7498" spans="1:40" x14ac:dyDescent="0.25">
      <c r="A7498" t="str">
        <f>"20190303153954728"</f>
        <v>20190303153954728</v>
      </c>
      <c r="B7498" t="str">
        <f>"1551598794716513"</f>
        <v>1551598794716513</v>
      </c>
      <c r="C7498" t="s">
        <v>40</v>
      </c>
      <c r="D7498">
        <v>4.4668140000000003</v>
      </c>
      <c r="E7498">
        <v>0.52056080000000005</v>
      </c>
      <c r="F7498" t="s">
        <v>43</v>
      </c>
      <c r="G7498">
        <v>-317.15679999999998</v>
      </c>
      <c r="H7498">
        <v>-0.05</v>
      </c>
      <c r="I7498">
        <v>15.624689999999999</v>
      </c>
      <c r="J7498">
        <v>-353.2996</v>
      </c>
      <c r="K7498">
        <v>1.1215649999999999</v>
      </c>
      <c r="L7498">
        <v>17.35406</v>
      </c>
      <c r="M7498">
        <v>0.99990330000000005</v>
      </c>
      <c r="N7498">
        <v>-1.3554210000000001E-2</v>
      </c>
      <c r="O7498">
        <v>-3.148718E-3</v>
      </c>
      <c r="P7498">
        <v>0.99992460000000005</v>
      </c>
      <c r="Q7498">
        <v>-1.07045E-2</v>
      </c>
      <c r="R7498">
        <v>6.0464789999999996E-3</v>
      </c>
      <c r="S7498">
        <v>3.0002140000000002</v>
      </c>
      <c r="T7498">
        <v>-9.6875669999999997E-2</v>
      </c>
      <c r="U7498">
        <v>-0.14303589999999999</v>
      </c>
      <c r="V7498">
        <v>-9.1968919999999999E-3</v>
      </c>
      <c r="W7498">
        <v>2.8446320000000002E-3</v>
      </c>
      <c r="X7498">
        <v>0.99995369999999995</v>
      </c>
      <c r="Y7498">
        <v>4.4443200000000002E-2</v>
      </c>
      <c r="Z7498">
        <v>-9.5949070000000004E-4</v>
      </c>
      <c r="AA7498">
        <v>0.99901150000000005</v>
      </c>
      <c r="AB7498">
        <v>25</v>
      </c>
      <c r="AC7498">
        <v>36.142800000000001</v>
      </c>
      <c r="AD7498">
        <v>-1.171565</v>
      </c>
      <c r="AE7498">
        <v>-1.7293700000000001</v>
      </c>
      <c r="AF7498">
        <v>1.6138556535104001</v>
      </c>
      <c r="AG7498">
        <v>-1.171565</v>
      </c>
      <c r="AH7498">
        <v>36.110211352528701</v>
      </c>
      <c r="AI7498">
        <v>91.856409061147502</v>
      </c>
      <c r="AJ7498">
        <v>87.441011207246206</v>
      </c>
      <c r="AK7498">
        <v>36.165238261953803</v>
      </c>
      <c r="AL7498">
        <v>89.837014378586801</v>
      </c>
      <c r="AM7498">
        <v>90.526952636744795</v>
      </c>
      <c r="AN7498">
        <v>1.00000003844868</v>
      </c>
    </row>
    <row r="7499" spans="1:40" x14ac:dyDescent="0.25">
      <c r="A7499" t="str">
        <f>"20190303153954741"</f>
        <v>20190303153954741</v>
      </c>
      <c r="B7499" t="str">
        <f>"1551598794736279"</f>
        <v>1551598794736279</v>
      </c>
      <c r="C7499" t="s">
        <v>40</v>
      </c>
      <c r="D7499">
        <v>4.323277</v>
      </c>
      <c r="E7499">
        <v>0.52096419999999999</v>
      </c>
      <c r="F7499" t="s">
        <v>43</v>
      </c>
      <c r="G7499">
        <v>-316.7525</v>
      </c>
      <c r="H7499">
        <v>-0.05</v>
      </c>
      <c r="I7499">
        <v>15.5643799999999</v>
      </c>
      <c r="J7499">
        <v>-353.161</v>
      </c>
      <c r="K7499">
        <v>1.1216189999999999</v>
      </c>
      <c r="L7499">
        <v>17.353850000000001</v>
      </c>
      <c r="M7499">
        <v>0.99990369999999995</v>
      </c>
      <c r="N7499">
        <v>-1.3579290000000001E-2</v>
      </c>
      <c r="O7499">
        <v>-2.8983099999999999E-3</v>
      </c>
      <c r="P7499">
        <v>0.99992789999999998</v>
      </c>
      <c r="Q7499">
        <v>-1.074084E-2</v>
      </c>
      <c r="R7499">
        <v>5.4139280000000001E-3</v>
      </c>
      <c r="S7499">
        <v>3.0000610000000001</v>
      </c>
      <c r="T7499">
        <v>-9.6171019999999996E-2</v>
      </c>
      <c r="U7499">
        <v>-0.1469116</v>
      </c>
      <c r="V7499">
        <v>-8.3143079999999994E-3</v>
      </c>
      <c r="W7499">
        <v>2.8331879999999999E-3</v>
      </c>
      <c r="X7499">
        <v>0.9999614</v>
      </c>
      <c r="Y7499">
        <v>4.5982540000000002E-2</v>
      </c>
      <c r="Z7499">
        <v>-9.9540890000000002E-4</v>
      </c>
      <c r="AA7499">
        <v>0.99894170000000004</v>
      </c>
      <c r="AB7499">
        <v>25</v>
      </c>
      <c r="AC7499">
        <v>36.408499999999997</v>
      </c>
      <c r="AD7499">
        <v>-1.171619</v>
      </c>
      <c r="AE7499">
        <v>-1.7894699999999999</v>
      </c>
      <c r="AF7499">
        <v>1.68219186304438</v>
      </c>
      <c r="AG7499">
        <v>-1.171619</v>
      </c>
      <c r="AH7499">
        <v>36.375955957317601</v>
      </c>
      <c r="AI7499">
        <v>91.842811632537504</v>
      </c>
      <c r="AJ7499">
        <v>87.352265449298599</v>
      </c>
      <c r="AK7499">
        <v>36.433674428390603</v>
      </c>
      <c r="AL7499">
        <v>89.837670064305001</v>
      </c>
      <c r="AM7499">
        <v>90.476382169031496</v>
      </c>
      <c r="AN7499">
        <v>0.99999997808086005</v>
      </c>
    </row>
    <row r="7500" spans="1:40" x14ac:dyDescent="0.25">
      <c r="A7500" t="str">
        <f>"20190303153954752"</f>
        <v>20190303153954752</v>
      </c>
      <c r="B7500" t="str">
        <f>"1551598794746039"</f>
        <v>1551598794746039</v>
      </c>
      <c r="C7500" t="s">
        <v>40</v>
      </c>
      <c r="D7500">
        <v>4.3145579999999999</v>
      </c>
      <c r="E7500">
        <v>0.52096419999999999</v>
      </c>
      <c r="F7500" t="s">
        <v>43</v>
      </c>
      <c r="G7500">
        <v>-315.47329999999999</v>
      </c>
      <c r="H7500">
        <v>-0.05</v>
      </c>
      <c r="I7500">
        <v>15.445399999999999</v>
      </c>
      <c r="J7500">
        <v>-353.02749999999997</v>
      </c>
      <c r="K7500">
        <v>1.1216740000000001</v>
      </c>
      <c r="L7500">
        <v>17.3537</v>
      </c>
      <c r="M7500">
        <v>0.99990409999999996</v>
      </c>
      <c r="N7500">
        <v>-1.3602380000000001E-2</v>
      </c>
      <c r="O7500">
        <v>-2.6346799999999999E-3</v>
      </c>
      <c r="P7500">
        <v>0.99993489999999996</v>
      </c>
      <c r="Q7500">
        <v>-1.0465820000000001E-2</v>
      </c>
      <c r="R7500">
        <v>4.5552220000000003E-3</v>
      </c>
      <c r="S7500">
        <v>3.0000309999999999</v>
      </c>
      <c r="T7500">
        <v>-9.3263750000000006E-2</v>
      </c>
      <c r="U7500">
        <v>-0.15191650000000001</v>
      </c>
      <c r="V7500">
        <v>-7.1918619999999898E-3</v>
      </c>
      <c r="W7500">
        <v>3.1307330000000001E-3</v>
      </c>
      <c r="X7500">
        <v>0.9999692</v>
      </c>
      <c r="Y7500">
        <v>4.7908979999999997E-2</v>
      </c>
      <c r="Z7500">
        <v>-1.0241860000000001E-3</v>
      </c>
      <c r="AA7500">
        <v>0.99885119999999905</v>
      </c>
      <c r="AB7500">
        <v>25</v>
      </c>
      <c r="AC7500">
        <v>37.554199999999902</v>
      </c>
      <c r="AD7500">
        <v>-1.1716739999999899</v>
      </c>
      <c r="AE7500">
        <v>-1.9083000000000001</v>
      </c>
      <c r="AF7500">
        <v>1.80758593610074</v>
      </c>
      <c r="AG7500">
        <v>-1.1716739999999899</v>
      </c>
      <c r="AH7500">
        <v>37.522666924820001</v>
      </c>
      <c r="AI7500">
        <v>91.786453105461405</v>
      </c>
      <c r="AJ7500">
        <v>87.242012611421899</v>
      </c>
      <c r="AK7500">
        <v>37.584447847875097</v>
      </c>
      <c r="AL7500">
        <v>89.8206219125898</v>
      </c>
      <c r="AM7500">
        <v>90.412068926578797</v>
      </c>
      <c r="AN7500">
        <v>0.99999996265839097</v>
      </c>
    </row>
    <row r="7501" spans="1:40" x14ac:dyDescent="0.25">
      <c r="A7501" t="str">
        <f>"20190303153954764"</f>
        <v>20190303153954764</v>
      </c>
      <c r="B7501" t="str">
        <f>"1551598794755799"</f>
        <v>1551598794755799</v>
      </c>
      <c r="C7501" t="s">
        <v>40</v>
      </c>
      <c r="D7501">
        <v>4.5045380000000002</v>
      </c>
      <c r="E7501">
        <v>0.54107320000000003</v>
      </c>
      <c r="F7501" t="s">
        <v>43</v>
      </c>
      <c r="G7501">
        <v>-315.05250000000001</v>
      </c>
      <c r="H7501">
        <v>-0.05</v>
      </c>
      <c r="I7501">
        <v>15.39861</v>
      </c>
      <c r="J7501">
        <v>-352.8947</v>
      </c>
      <c r="K7501">
        <v>1.121731</v>
      </c>
      <c r="L7501">
        <v>17.353639999999999</v>
      </c>
      <c r="M7501">
        <v>0.99990449999999997</v>
      </c>
      <c r="N7501">
        <v>-1.36232E-2</v>
      </c>
      <c r="O7501">
        <v>-2.3263170000000001E-3</v>
      </c>
      <c r="P7501">
        <v>0.99993840000000001</v>
      </c>
      <c r="Q7501">
        <v>-1.0443060000000001E-2</v>
      </c>
      <c r="R7501">
        <v>3.8345480000000001E-3</v>
      </c>
      <c r="S7501">
        <v>2.9999690000000001</v>
      </c>
      <c r="T7501">
        <v>-9.2560530000000002E-2</v>
      </c>
      <c r="U7501">
        <v>-0.15444949999999999</v>
      </c>
      <c r="V7501">
        <v>-6.1643059999999996E-3</v>
      </c>
      <c r="W7501">
        <v>3.1746019999999999E-3</v>
      </c>
      <c r="X7501">
        <v>0.99997599999999998</v>
      </c>
      <c r="Y7501">
        <v>4.9058740000000003E-2</v>
      </c>
      <c r="Z7501">
        <v>-1.0506230000000001E-3</v>
      </c>
      <c r="AA7501">
        <v>0.99879530000000005</v>
      </c>
      <c r="AB7501">
        <v>25</v>
      </c>
      <c r="AC7501">
        <v>37.842199999999899</v>
      </c>
      <c r="AD7501">
        <v>-1.1717309999999901</v>
      </c>
      <c r="AE7501">
        <v>-1.9550299999999901</v>
      </c>
      <c r="AF7501">
        <v>1.8652000951265999</v>
      </c>
      <c r="AG7501">
        <v>-1.1717309999999901</v>
      </c>
      <c r="AH7501">
        <v>37.810491904802198</v>
      </c>
      <c r="AI7501">
        <v>91.772849278421702</v>
      </c>
      <c r="AJ7501">
        <v>87.175875595331405</v>
      </c>
      <c r="AK7501">
        <v>37.874598651528103</v>
      </c>
      <c r="AL7501">
        <v>89.818108405279006</v>
      </c>
      <c r="AM7501">
        <v>90.353192720372704</v>
      </c>
      <c r="AN7501">
        <v>1.0000000386711501</v>
      </c>
    </row>
    <row r="7502" spans="1:40" x14ac:dyDescent="0.25">
      <c r="A7502" t="str">
        <f>"20190303153954775"</f>
        <v>20190303153954775</v>
      </c>
      <c r="B7502" t="str">
        <f>"1551598794765559"</f>
        <v>1551598794765559</v>
      </c>
      <c r="C7502" t="s">
        <v>40</v>
      </c>
      <c r="D7502">
        <v>4.4693370000000003</v>
      </c>
      <c r="E7502">
        <v>0.54742360000000001</v>
      </c>
      <c r="F7502" t="s">
        <v>43</v>
      </c>
      <c r="G7502">
        <v>-221.5634</v>
      </c>
      <c r="H7502">
        <v>-0.05</v>
      </c>
      <c r="I7502">
        <v>3.524994</v>
      </c>
      <c r="J7502">
        <v>-352.77519999999998</v>
      </c>
      <c r="K7502">
        <v>1.1217859999999999</v>
      </c>
      <c r="L7502">
        <v>17.353670000000001</v>
      </c>
      <c r="M7502">
        <v>0.99990500000000004</v>
      </c>
      <c r="N7502">
        <v>-1.3640660000000001E-2</v>
      </c>
      <c r="O7502">
        <v>-2.018513E-3</v>
      </c>
      <c r="P7502">
        <v>0.99994280000000002</v>
      </c>
      <c r="Q7502">
        <v>-1.023263E-2</v>
      </c>
      <c r="R7502">
        <v>3.1368730000000001E-3</v>
      </c>
      <c r="S7502">
        <v>3.00116</v>
      </c>
      <c r="T7502">
        <v>-2.6776189999999998E-2</v>
      </c>
      <c r="U7502">
        <v>-0.3160095</v>
      </c>
      <c r="V7502">
        <v>-5.1591509999999998E-3</v>
      </c>
      <c r="W7502">
        <v>3.4030060000000001E-3</v>
      </c>
      <c r="X7502">
        <v>0.99998089999999995</v>
      </c>
      <c r="Y7502">
        <v>0.10269880000000001</v>
      </c>
      <c r="Z7502">
        <v>-1.168805E-3</v>
      </c>
      <c r="AA7502">
        <v>0.99471180000000003</v>
      </c>
      <c r="AB7502">
        <v>25</v>
      </c>
      <c r="AC7502">
        <v>131.21179999999899</v>
      </c>
      <c r="AD7502">
        <v>-1.171786</v>
      </c>
      <c r="AE7502">
        <v>-13.828676</v>
      </c>
      <c r="AF7502">
        <v>13.562700682427201</v>
      </c>
      <c r="AG7502">
        <v>-1.171786</v>
      </c>
      <c r="AH7502">
        <v>131.22909757128599</v>
      </c>
      <c r="AI7502">
        <v>90.508888009097106</v>
      </c>
      <c r="AJ7502">
        <v>84.099355185451799</v>
      </c>
      <c r="AK7502">
        <v>131.93330126092101</v>
      </c>
      <c r="AL7502">
        <v>89.805021741989606</v>
      </c>
      <c r="AM7502">
        <v>90.295600601459498</v>
      </c>
      <c r="AN7502">
        <v>0.99999999882684298</v>
      </c>
    </row>
    <row r="7503" spans="1:40" x14ac:dyDescent="0.25">
      <c r="A7503" t="str">
        <f>"20190303153954786"</f>
        <v>20190303153954786</v>
      </c>
      <c r="B7503" t="str">
        <f>"1551598794776296"</f>
        <v>1551598794776296</v>
      </c>
      <c r="C7503" t="s">
        <v>40</v>
      </c>
      <c r="D7503">
        <v>4.264475</v>
      </c>
      <c r="E7503">
        <v>0.5525139</v>
      </c>
      <c r="F7503" t="s">
        <v>43</v>
      </c>
      <c r="G7503">
        <v>-252.70070000000001</v>
      </c>
      <c r="H7503">
        <v>-0.05</v>
      </c>
      <c r="I7503">
        <v>5.0509490000000001</v>
      </c>
      <c r="J7503">
        <v>-352.65</v>
      </c>
      <c r="K7503">
        <v>1.1218349999999999</v>
      </c>
      <c r="L7503">
        <v>17.353729999999999</v>
      </c>
      <c r="M7503">
        <v>0.9999053</v>
      </c>
      <c r="N7503">
        <v>-1.3657829999999999E-2</v>
      </c>
      <c r="O7503">
        <v>-1.66992299999999E-3</v>
      </c>
      <c r="P7503">
        <v>0.99994470000000002</v>
      </c>
      <c r="Q7503">
        <v>-1.021817E-2</v>
      </c>
      <c r="R7503">
        <v>2.4919199999999999E-3</v>
      </c>
      <c r="S7503">
        <v>3.0009769999999998</v>
      </c>
      <c r="T7503">
        <v>-3.5138849999999999E-2</v>
      </c>
      <c r="U7503">
        <v>-0.368927</v>
      </c>
      <c r="V7503">
        <v>-4.1663919999999997E-3</v>
      </c>
      <c r="W7503">
        <v>3.4349530000000001E-3</v>
      </c>
      <c r="X7503">
        <v>0.99998540000000002</v>
      </c>
      <c r="Y7503">
        <v>0.1203415</v>
      </c>
      <c r="Z7503">
        <v>-1.5301100000000001E-3</v>
      </c>
      <c r="AA7503">
        <v>0.99273140000000004</v>
      </c>
      <c r="AB7503">
        <v>25</v>
      </c>
      <c r="AC7503">
        <v>99.949299999999894</v>
      </c>
      <c r="AD7503">
        <v>-1.171835</v>
      </c>
      <c r="AE7503">
        <v>-12.302781</v>
      </c>
      <c r="AF7503">
        <v>12.134197571768899</v>
      </c>
      <c r="AG7503">
        <v>-1.171835</v>
      </c>
      <c r="AH7503">
        <v>99.956172412220994</v>
      </c>
      <c r="AI7503">
        <v>90.666780930278506</v>
      </c>
      <c r="AJ7503">
        <v>83.078436464032904</v>
      </c>
      <c r="AK7503">
        <v>100.696814007592</v>
      </c>
      <c r="AL7503">
        <v>89.803191299112598</v>
      </c>
      <c r="AM7503">
        <v>90.238718781385202</v>
      </c>
      <c r="AN7503">
        <v>0.99999997896878401</v>
      </c>
    </row>
    <row r="7504" spans="1:40" x14ac:dyDescent="0.25">
      <c r="A7504" t="str">
        <f>"20190303153954797"</f>
        <v>20190303153954797</v>
      </c>
      <c r="B7504" t="str">
        <f>"1551598794786056"</f>
        <v>1551598794786056</v>
      </c>
      <c r="C7504" t="s">
        <v>40</v>
      </c>
      <c r="D7504">
        <v>4.2544209999999998</v>
      </c>
      <c r="E7504">
        <v>0.5552821</v>
      </c>
      <c r="F7504" t="s">
        <v>80</v>
      </c>
      <c r="G7504">
        <v>-259.38709999999998</v>
      </c>
      <c r="H7504">
        <v>2.029058</v>
      </c>
      <c r="I7504">
        <v>4.6006199999999904</v>
      </c>
      <c r="J7504">
        <v>-352.52640000000002</v>
      </c>
      <c r="K7504">
        <v>1.12188</v>
      </c>
      <c r="L7504">
        <v>17.35388</v>
      </c>
      <c r="M7504">
        <v>0.99990570000000001</v>
      </c>
      <c r="N7504">
        <v>-1.367315E-2</v>
      </c>
      <c r="O7504">
        <v>-1.2865769999999999E-3</v>
      </c>
      <c r="P7504">
        <v>0.99994459999999996</v>
      </c>
      <c r="Q7504">
        <v>-1.033387E-2</v>
      </c>
      <c r="R7504">
        <v>2.0452790000000001E-3</v>
      </c>
      <c r="S7504">
        <v>3.001465</v>
      </c>
      <c r="T7504">
        <v>2.9196980000000001E-2</v>
      </c>
      <c r="U7504">
        <v>-0.41043089999999999</v>
      </c>
      <c r="V7504">
        <v>-3.3357529999999999E-3</v>
      </c>
      <c r="W7504">
        <v>3.3352949999999998E-3</v>
      </c>
      <c r="X7504">
        <v>0.99998889999999996</v>
      </c>
      <c r="Y7504">
        <v>0.13421069999999999</v>
      </c>
      <c r="Z7504">
        <v>-3.0205839999999999E-4</v>
      </c>
      <c r="AA7504">
        <v>0.99095279999999997</v>
      </c>
      <c r="AB7504">
        <v>25</v>
      </c>
      <c r="AC7504">
        <v>93.139300000000006</v>
      </c>
      <c r="AD7504">
        <v>0.90717800000000004</v>
      </c>
      <c r="AE7504">
        <v>-12.753259999999999</v>
      </c>
      <c r="AF7504">
        <v>12.632231022235899</v>
      </c>
      <c r="AG7504">
        <v>0.90717800000000004</v>
      </c>
      <c r="AH7504">
        <v>93.146958461093703</v>
      </c>
      <c r="AI7504">
        <v>89.447063133197403</v>
      </c>
      <c r="AJ7504">
        <v>82.276884673886997</v>
      </c>
      <c r="AK7504">
        <v>94.004000463148103</v>
      </c>
      <c r="AL7504">
        <v>89.8089013236916</v>
      </c>
      <c r="AM7504">
        <v>90.191125980988602</v>
      </c>
      <c r="AN7504">
        <v>1.0000000257820101</v>
      </c>
    </row>
    <row r="7505" spans="1:40" x14ac:dyDescent="0.25">
      <c r="A7505" t="str">
        <f>"20190303153954809"</f>
        <v>20190303153954809</v>
      </c>
      <c r="B7505" t="str">
        <f>"1551598794805575"</f>
        <v>1551598794805575</v>
      </c>
      <c r="C7505" t="s">
        <v>40</v>
      </c>
      <c r="D7505">
        <v>4.4381370000000002</v>
      </c>
      <c r="E7505">
        <v>0.55830219999999997</v>
      </c>
      <c r="F7505" t="s">
        <v>80</v>
      </c>
      <c r="G7505">
        <v>-265.7654</v>
      </c>
      <c r="H7505">
        <v>3.142998</v>
      </c>
      <c r="I7505">
        <v>4.8313030000000001</v>
      </c>
      <c r="J7505">
        <v>-352.3922</v>
      </c>
      <c r="K7505">
        <v>1.121923</v>
      </c>
      <c r="L7505">
        <v>17.354129999999898</v>
      </c>
      <c r="M7505">
        <v>0.99990590000000001</v>
      </c>
      <c r="N7505">
        <v>-1.3689069999999999E-2</v>
      </c>
      <c r="O7505">
        <v>-8.5432889999999999E-4</v>
      </c>
      <c r="P7505">
        <v>0.99994179999999999</v>
      </c>
      <c r="Q7505">
        <v>-1.0660680000000001E-2</v>
      </c>
      <c r="R7505">
        <v>1.6114040000000001E-3</v>
      </c>
      <c r="S7505">
        <v>3.00177</v>
      </c>
      <c r="T7505">
        <v>6.992698E-2</v>
      </c>
      <c r="U7505">
        <v>-0.43325809999999998</v>
      </c>
      <c r="V7505">
        <v>-2.4698279999999999E-3</v>
      </c>
      <c r="W7505">
        <v>3.0253519999999998E-3</v>
      </c>
      <c r="X7505">
        <v>0.9999924</v>
      </c>
      <c r="Y7505">
        <v>0.14199349999999999</v>
      </c>
      <c r="Z7505">
        <v>6.3672640000000003E-4</v>
      </c>
      <c r="AA7505">
        <v>0.98986739999999995</v>
      </c>
      <c r="AB7505">
        <v>25</v>
      </c>
      <c r="AC7505">
        <v>86.626800000000003</v>
      </c>
      <c r="AD7505">
        <v>2.0210750000000002</v>
      </c>
      <c r="AE7505">
        <v>-12.5228269999999</v>
      </c>
      <c r="AF7505">
        <v>12.442173730122301</v>
      </c>
      <c r="AG7505">
        <v>2.0210750000000002</v>
      </c>
      <c r="AH7505">
        <v>86.591298800764093</v>
      </c>
      <c r="AI7505">
        <v>88.676524497360305</v>
      </c>
      <c r="AJ7505">
        <v>81.8232225680119</v>
      </c>
      <c r="AK7505">
        <v>87.503973962840007</v>
      </c>
      <c r="AL7505">
        <v>89.826659839016102</v>
      </c>
      <c r="AM7505">
        <v>90.141511508266504</v>
      </c>
      <c r="AN7505">
        <v>1.0000000264314099</v>
      </c>
    </row>
    <row r="7506" spans="1:40" x14ac:dyDescent="0.25">
      <c r="A7506" t="str">
        <f>"20190303153954824"</f>
        <v>20190303153954824</v>
      </c>
      <c r="B7506" t="str">
        <f>"1551598794816311"</f>
        <v>1551598794816311</v>
      </c>
      <c r="C7506" t="s">
        <v>40</v>
      </c>
      <c r="D7506">
        <v>4.4046079999999996</v>
      </c>
      <c r="E7506">
        <v>0.55940469999999998</v>
      </c>
      <c r="F7506" t="s">
        <v>80</v>
      </c>
      <c r="G7506">
        <v>-269.04340000000002</v>
      </c>
      <c r="H7506">
        <v>1.9528110000000001</v>
      </c>
      <c r="I7506">
        <v>4.6005949999999904</v>
      </c>
      <c r="J7506">
        <v>-352.23360000000002</v>
      </c>
      <c r="K7506">
        <v>1.1219730000000001</v>
      </c>
      <c r="L7506">
        <v>17.354610000000001</v>
      </c>
      <c r="M7506">
        <v>0.99990610000000002</v>
      </c>
      <c r="N7506">
        <v>-1.370557E-2</v>
      </c>
      <c r="O7506">
        <v>-2.7794210000000002E-4</v>
      </c>
      <c r="P7506">
        <v>0.99994050000000001</v>
      </c>
      <c r="Q7506">
        <v>-1.0820659999999999E-2</v>
      </c>
      <c r="R7506">
        <v>1.424437E-3</v>
      </c>
      <c r="S7506">
        <v>3.0012210000000001</v>
      </c>
      <c r="T7506">
        <v>2.9918670000000001E-2</v>
      </c>
      <c r="U7506">
        <v>-0.45922849999999998</v>
      </c>
      <c r="V7506">
        <v>-1.706417E-3</v>
      </c>
      <c r="W7506">
        <v>2.8827789999999998E-3</v>
      </c>
      <c r="X7506">
        <v>0.99999439999999995</v>
      </c>
      <c r="Y7506">
        <v>0.15098159999999999</v>
      </c>
      <c r="Z7506">
        <v>-2.990286E-4</v>
      </c>
      <c r="AA7506">
        <v>0.98853650000000004</v>
      </c>
      <c r="AB7506">
        <v>25</v>
      </c>
      <c r="AC7506">
        <v>83.190200000000004</v>
      </c>
      <c r="AD7506">
        <v>0.83083799999999997</v>
      </c>
      <c r="AE7506">
        <v>-12.754015000000001</v>
      </c>
      <c r="AF7506">
        <v>12.729649725555801</v>
      </c>
      <c r="AG7506">
        <v>0.83083799999999997</v>
      </c>
      <c r="AH7506">
        <v>83.185635242803698</v>
      </c>
      <c r="AI7506">
        <v>89.434346906923494</v>
      </c>
      <c r="AJ7506">
        <v>81.2996912265981</v>
      </c>
      <c r="AK7506">
        <v>84.158090429063193</v>
      </c>
      <c r="AL7506">
        <v>89.834828703098907</v>
      </c>
      <c r="AM7506">
        <v>90.097770944807806</v>
      </c>
      <c r="AN7506">
        <v>1.00000001115255</v>
      </c>
    </row>
    <row r="7507" spans="1:40" x14ac:dyDescent="0.25">
      <c r="A7507" t="str">
        <f>"20190303153954835"</f>
        <v>20190303153954835</v>
      </c>
      <c r="B7507" t="str">
        <f>"1551598794826073"</f>
        <v>1551598794826073</v>
      </c>
      <c r="C7507" t="s">
        <v>40</v>
      </c>
      <c r="D7507">
        <v>4.3948419999999997</v>
      </c>
      <c r="E7507">
        <v>0.56025899999999995</v>
      </c>
      <c r="F7507" t="s">
        <v>80</v>
      </c>
      <c r="G7507">
        <v>-270.58510000000001</v>
      </c>
      <c r="H7507">
        <v>1.6354359999999999</v>
      </c>
      <c r="I7507">
        <v>4.6004909999999999</v>
      </c>
      <c r="J7507">
        <v>-352.09230000000002</v>
      </c>
      <c r="K7507">
        <v>1.1220139999999901</v>
      </c>
      <c r="L7507">
        <v>17.3551</v>
      </c>
      <c r="M7507">
        <v>0.99990610000000002</v>
      </c>
      <c r="N7507">
        <v>-1.371929E-2</v>
      </c>
      <c r="O7507">
        <v>2.6411890000000002E-4</v>
      </c>
      <c r="P7507">
        <v>0.99993920000000003</v>
      </c>
      <c r="Q7507">
        <v>-1.097834E-2</v>
      </c>
      <c r="R7507">
        <v>1.252055E-3</v>
      </c>
      <c r="S7507">
        <v>3.001007</v>
      </c>
      <c r="T7507">
        <v>1.8872380000000001E-2</v>
      </c>
      <c r="U7507">
        <v>-0.46878049999999999</v>
      </c>
      <c r="V7507">
        <v>-9.9211950000000003E-4</v>
      </c>
      <c r="W7507">
        <v>2.7397290000000002E-3</v>
      </c>
      <c r="X7507">
        <v>0.99999579999999999</v>
      </c>
      <c r="Y7507">
        <v>0.1546006</v>
      </c>
      <c r="Z7507">
        <v>-5.7849940000000003E-4</v>
      </c>
      <c r="AA7507">
        <v>0.98797690000000005</v>
      </c>
      <c r="AB7507">
        <v>25</v>
      </c>
      <c r="AC7507">
        <v>81.507199999999997</v>
      </c>
      <c r="AD7507">
        <v>0.51342200000000005</v>
      </c>
      <c r="AE7507">
        <v>-12.754609</v>
      </c>
      <c r="AF7507">
        <v>12.775643363969801</v>
      </c>
      <c r="AG7507">
        <v>0.51342200000000005</v>
      </c>
      <c r="AH7507">
        <v>81.500671564999493</v>
      </c>
      <c r="AI7507">
        <v>89.643418310438193</v>
      </c>
      <c r="AJ7507">
        <v>81.091094391297801</v>
      </c>
      <c r="AK7507">
        <v>82.497515908416005</v>
      </c>
      <c r="AL7507">
        <v>89.843024902009006</v>
      </c>
      <c r="AM7507">
        <v>90.056844480218601</v>
      </c>
      <c r="AN7507">
        <v>1.00000004521686</v>
      </c>
    </row>
    <row r="7508" spans="1:40" x14ac:dyDescent="0.25">
      <c r="A7508" t="str">
        <f>"20190303153954847"</f>
        <v>20190303153954847</v>
      </c>
      <c r="B7508" t="str">
        <f>"1551598794835831"</f>
        <v>1551598794835831</v>
      </c>
      <c r="C7508" t="s">
        <v>40</v>
      </c>
      <c r="D7508">
        <v>4.4018920000000001</v>
      </c>
      <c r="E7508">
        <v>0.56081999999999999</v>
      </c>
      <c r="F7508" t="s">
        <v>80</v>
      </c>
      <c r="G7508">
        <v>-271.71499999999997</v>
      </c>
      <c r="H7508">
        <v>1.4029240000000001</v>
      </c>
      <c r="I7508">
        <v>4.6004120000000004</v>
      </c>
      <c r="J7508">
        <v>-351.95659999999998</v>
      </c>
      <c r="K7508">
        <v>1.1220570000000001</v>
      </c>
      <c r="L7508">
        <v>17.35568</v>
      </c>
      <c r="M7508">
        <v>0.99990540000000006</v>
      </c>
      <c r="N7508">
        <v>-1.373162E-2</v>
      </c>
      <c r="O7508">
        <v>8.0826679999999895E-4</v>
      </c>
      <c r="P7508">
        <v>0.99993770000000004</v>
      </c>
      <c r="Q7508">
        <v>-1.110297E-2</v>
      </c>
      <c r="R7508">
        <v>1.3198929999999999E-3</v>
      </c>
      <c r="S7508">
        <v>3.0008849999999998</v>
      </c>
      <c r="T7508">
        <v>1.048779E-2</v>
      </c>
      <c r="U7508">
        <v>-0.47619630000000002</v>
      </c>
      <c r="V7508">
        <v>-5.1623809999999995E-4</v>
      </c>
      <c r="W7508">
        <v>2.6281490000000002E-3</v>
      </c>
      <c r="X7508">
        <v>0.99999640000000001</v>
      </c>
      <c r="Y7508">
        <v>0.1575252</v>
      </c>
      <c r="Z7508">
        <v>-8.0091169999999998E-4</v>
      </c>
      <c r="AA7508">
        <v>0.98751460000000002</v>
      </c>
      <c r="AB7508">
        <v>25</v>
      </c>
      <c r="AC7508">
        <v>80.241600000000005</v>
      </c>
      <c r="AD7508">
        <v>0.28086699999999998</v>
      </c>
      <c r="AE7508">
        <v>-12.755267999999999</v>
      </c>
      <c r="AF7508">
        <v>12.819973371289199</v>
      </c>
      <c r="AG7508">
        <v>0.28086699999999998</v>
      </c>
      <c r="AH7508">
        <v>80.230304407722898</v>
      </c>
      <c r="AI7508">
        <v>89.801934691926803</v>
      </c>
      <c r="AJ7508">
        <v>80.921474024380601</v>
      </c>
      <c r="AK7508">
        <v>81.248583672997896</v>
      </c>
      <c r="AL7508">
        <v>89.849417979037398</v>
      </c>
      <c r="AM7508">
        <v>90.029578368208405</v>
      </c>
      <c r="AN7508">
        <v>0.99999998684095004</v>
      </c>
    </row>
    <row r="7509" spans="1:40" x14ac:dyDescent="0.25">
      <c r="A7509" t="str">
        <f>"20190303153954864"</f>
        <v>20190303153954864</v>
      </c>
      <c r="B7509" t="str">
        <f>"1551598794856330"</f>
        <v>1551598794856330</v>
      </c>
      <c r="C7509" t="s">
        <v>40</v>
      </c>
      <c r="D7509">
        <v>4.4277680000000004</v>
      </c>
      <c r="E7509">
        <v>0.56189199999999995</v>
      </c>
      <c r="F7509" t="s">
        <v>80</v>
      </c>
      <c r="G7509">
        <v>-272.30680000000001</v>
      </c>
      <c r="H7509">
        <v>1.206375</v>
      </c>
      <c r="I7509">
        <v>4.6003480000000003</v>
      </c>
      <c r="J7509">
        <v>-351.77640000000002</v>
      </c>
      <c r="K7509">
        <v>1.122099</v>
      </c>
      <c r="L7509">
        <v>17.356660000000002</v>
      </c>
      <c r="M7509">
        <v>0.99990440000000003</v>
      </c>
      <c r="N7509">
        <v>-1.37459E-2</v>
      </c>
      <c r="O7509">
        <v>1.5793630000000001E-3</v>
      </c>
      <c r="P7509">
        <v>0.99993449999999995</v>
      </c>
      <c r="Q7509">
        <v>-1.1287709999999999E-2</v>
      </c>
      <c r="R7509">
        <v>2.0073719999999999E-3</v>
      </c>
      <c r="S7509">
        <v>3.0008240000000002</v>
      </c>
      <c r="T7509">
        <v>3.1768080000000001E-3</v>
      </c>
      <c r="U7509">
        <v>-0.4805603</v>
      </c>
      <c r="V7509">
        <v>-4.3231520000000002E-4</v>
      </c>
      <c r="W7509">
        <v>2.4574409999999999E-3</v>
      </c>
      <c r="X7509">
        <v>0.99999689999999997</v>
      </c>
      <c r="Y7509">
        <v>0.1596882</v>
      </c>
      <c r="Z7509">
        <v>-9.973006E-4</v>
      </c>
      <c r="AA7509">
        <v>0.98716700000000002</v>
      </c>
      <c r="AB7509">
        <v>25</v>
      </c>
      <c r="AC7509">
        <v>79.4696</v>
      </c>
      <c r="AD7509">
        <v>8.4276000000000004E-2</v>
      </c>
      <c r="AE7509">
        <v>-12.756311999999999</v>
      </c>
      <c r="AF7509">
        <v>12.881805153475399</v>
      </c>
      <c r="AG7509">
        <v>8.4276000000000004E-2</v>
      </c>
      <c r="AH7509">
        <v>79.449265013115394</v>
      </c>
      <c r="AI7509">
        <v>89.940006849097799</v>
      </c>
      <c r="AJ7509">
        <v>80.790280064453796</v>
      </c>
      <c r="AK7509">
        <v>80.486854315350897</v>
      </c>
      <c r="AL7509">
        <v>89.859198862405506</v>
      </c>
      <c r="AM7509">
        <v>90.024769911622897</v>
      </c>
      <c r="AN7509">
        <v>1.0000000129611499</v>
      </c>
    </row>
    <row r="7510" spans="1:40" x14ac:dyDescent="0.25">
      <c r="A7510" t="str">
        <f>"20190303153954876"</f>
        <v>20190303153954876</v>
      </c>
      <c r="B7510" t="str">
        <f>"1551598794866087"</f>
        <v>1551598794866087</v>
      </c>
      <c r="C7510" t="s">
        <v>40</v>
      </c>
      <c r="D7510">
        <v>4.4405039999999998</v>
      </c>
      <c r="E7510">
        <v>0.56231929999999997</v>
      </c>
      <c r="F7510" t="s">
        <v>80</v>
      </c>
      <c r="G7510">
        <v>-273.20119999999997</v>
      </c>
      <c r="H7510">
        <v>0.91805630000000005</v>
      </c>
      <c r="I7510">
        <v>4.6002519999999896</v>
      </c>
      <c r="J7510">
        <v>-351.6413</v>
      </c>
      <c r="K7510">
        <v>1.1221299999999901</v>
      </c>
      <c r="L7510">
        <v>17.357510000000001</v>
      </c>
      <c r="M7510">
        <v>0.99990310000000004</v>
      </c>
      <c r="N7510">
        <v>-1.375563E-2</v>
      </c>
      <c r="O7510">
        <v>2.177549E-3</v>
      </c>
      <c r="P7510">
        <v>0.99993370000000004</v>
      </c>
      <c r="Q7510">
        <v>-1.119526E-2</v>
      </c>
      <c r="R7510">
        <v>2.7355180000000002E-3</v>
      </c>
      <c r="S7510">
        <v>3.0010680000000001</v>
      </c>
      <c r="T7510">
        <v>-7.7930689999999997E-3</v>
      </c>
      <c r="U7510">
        <v>-0.48721310000000001</v>
      </c>
      <c r="V7510">
        <v>-5.6249119999999999E-4</v>
      </c>
      <c r="W7510">
        <v>2.5594839999999999E-3</v>
      </c>
      <c r="X7510">
        <v>0.99999649999999995</v>
      </c>
      <c r="Y7510">
        <v>0.16239410000000001</v>
      </c>
      <c r="Z7510">
        <v>-1.309583E-3</v>
      </c>
      <c r="AA7510">
        <v>0.98672510000000002</v>
      </c>
      <c r="AB7510">
        <v>25</v>
      </c>
      <c r="AC7510">
        <v>78.440100000000001</v>
      </c>
      <c r="AD7510">
        <v>-0.204073699999999</v>
      </c>
      <c r="AE7510">
        <v>-12.757258</v>
      </c>
      <c r="AF7510">
        <v>12.927965808518501</v>
      </c>
      <c r="AG7510">
        <v>-0.204073699999999</v>
      </c>
      <c r="AH7510">
        <v>78.411614754551096</v>
      </c>
      <c r="AI7510">
        <v>90.147131064827306</v>
      </c>
      <c r="AJ7510">
        <v>80.637693316658599</v>
      </c>
      <c r="AK7510">
        <v>79.470467938960795</v>
      </c>
      <c r="AL7510">
        <v>89.853352199229306</v>
      </c>
      <c r="AM7510">
        <v>90.032228481173902</v>
      </c>
      <c r="AN7510">
        <v>0.99999993368347095</v>
      </c>
    </row>
    <row r="7511" spans="1:40" x14ac:dyDescent="0.25">
      <c r="A7511" t="str">
        <f>"20190303153954890"</f>
        <v>20190303153954890</v>
      </c>
      <c r="B7511" t="str">
        <f>"1551598794885607"</f>
        <v>1551598794885607</v>
      </c>
      <c r="C7511" t="s">
        <v>40</v>
      </c>
      <c r="D7511">
        <v>4.4201459999999999</v>
      </c>
      <c r="E7511">
        <v>0.56291709999999995</v>
      </c>
      <c r="F7511" t="s">
        <v>80</v>
      </c>
      <c r="G7511">
        <v>-273.2638</v>
      </c>
      <c r="H7511">
        <v>0.80109259999999904</v>
      </c>
      <c r="I7511">
        <v>4.6002159999999996</v>
      </c>
      <c r="J7511">
        <v>-351.49169999999998</v>
      </c>
      <c r="K7511">
        <v>1.1221570000000001</v>
      </c>
      <c r="L7511">
        <v>17.35849</v>
      </c>
      <c r="M7511">
        <v>0.99990140000000005</v>
      </c>
      <c r="N7511">
        <v>-1.3765670000000001E-2</v>
      </c>
      <c r="O7511">
        <v>2.8542200000000002E-3</v>
      </c>
      <c r="P7511">
        <v>0.99992999999999999</v>
      </c>
      <c r="Q7511">
        <v>-1.1271049999999999E-2</v>
      </c>
      <c r="R7511">
        <v>3.6531100000000002E-3</v>
      </c>
      <c r="S7511">
        <v>3.0013730000000001</v>
      </c>
      <c r="T7511">
        <v>-1.2293699999999999E-2</v>
      </c>
      <c r="U7511">
        <v>-0.4885254</v>
      </c>
      <c r="V7511">
        <v>-8.0376999999999998E-4</v>
      </c>
      <c r="W7511">
        <v>2.4932040000000002E-3</v>
      </c>
      <c r="X7511">
        <v>0.99999649999999995</v>
      </c>
      <c r="Y7511">
        <v>0.16346369999999999</v>
      </c>
      <c r="Z7511">
        <v>-1.4376899999999999E-3</v>
      </c>
      <c r="AA7511">
        <v>0.98654830000000004</v>
      </c>
      <c r="AB7511">
        <v>25</v>
      </c>
      <c r="AC7511">
        <v>78.227899999999906</v>
      </c>
      <c r="AD7511">
        <v>-0.32106440000000003</v>
      </c>
      <c r="AE7511">
        <v>-12.758274</v>
      </c>
      <c r="AF7511">
        <v>12.9813097669181</v>
      </c>
      <c r="AG7511">
        <v>-0.32106440000000003</v>
      </c>
      <c r="AH7511">
        <v>78.189879978041603</v>
      </c>
      <c r="AI7511">
        <v>90.232090576854901</v>
      </c>
      <c r="AJ7511">
        <v>80.573570363887796</v>
      </c>
      <c r="AK7511">
        <v>79.260802523026399</v>
      </c>
      <c r="AL7511">
        <v>89.857149775492402</v>
      </c>
      <c r="AM7511">
        <v>90.046052779966502</v>
      </c>
      <c r="AN7511">
        <v>0.99999993106232099</v>
      </c>
    </row>
    <row r="7512" spans="1:40" x14ac:dyDescent="0.25">
      <c r="A7512" t="str">
        <f>"20190303153954903"</f>
        <v>20190303153954903</v>
      </c>
      <c r="B7512" t="str">
        <f>"1551598794896343"</f>
        <v>1551598794896343</v>
      </c>
      <c r="C7512" t="s">
        <v>40</v>
      </c>
      <c r="D7512">
        <v>4.4019459999999997</v>
      </c>
      <c r="E7512">
        <v>0.56314949999999997</v>
      </c>
      <c r="F7512" t="s">
        <v>80</v>
      </c>
      <c r="G7512">
        <v>-273.42910000000001</v>
      </c>
      <c r="H7512">
        <v>0.64652679999999996</v>
      </c>
      <c r="I7512">
        <v>4.6001629999999896</v>
      </c>
      <c r="J7512">
        <v>-351.34120000000001</v>
      </c>
      <c r="K7512">
        <v>1.122179</v>
      </c>
      <c r="L7512">
        <v>17.35971</v>
      </c>
      <c r="M7512">
        <v>0.99989899999999998</v>
      </c>
      <c r="N7512">
        <v>-1.3774369999999999E-2</v>
      </c>
      <c r="O7512">
        <v>3.5564149999999998E-3</v>
      </c>
      <c r="P7512">
        <v>0.99992060000000005</v>
      </c>
      <c r="Q7512">
        <v>-1.169895E-2</v>
      </c>
      <c r="R7512">
        <v>4.6792370000000002E-3</v>
      </c>
      <c r="S7512">
        <v>3.00177</v>
      </c>
      <c r="T7512">
        <v>-1.8289570000000002E-2</v>
      </c>
      <c r="U7512">
        <v>-0.4906006</v>
      </c>
      <c r="V7512">
        <v>-1.1265890000000001E-3</v>
      </c>
      <c r="W7512">
        <v>2.0735879999999999E-3</v>
      </c>
      <c r="X7512">
        <v>0.99999720000000003</v>
      </c>
      <c r="Y7512">
        <v>0.1647962</v>
      </c>
      <c r="Z7512">
        <v>-1.614145E-3</v>
      </c>
      <c r="AA7512">
        <v>0.98632629999999999</v>
      </c>
      <c r="AB7512">
        <v>25</v>
      </c>
      <c r="AC7512">
        <v>77.912099999999995</v>
      </c>
      <c r="AD7512">
        <v>-0.47565220000000002</v>
      </c>
      <c r="AE7512">
        <v>-12.759547</v>
      </c>
      <c r="AF7512">
        <v>13.0361071134664</v>
      </c>
      <c r="AG7512">
        <v>-0.47565220000000002</v>
      </c>
      <c r="AH7512">
        <v>77.863398410201597</v>
      </c>
      <c r="AI7512">
        <v>90.345199816306803</v>
      </c>
      <c r="AJ7512">
        <v>80.495531380315995</v>
      </c>
      <c r="AK7512">
        <v>78.948560124139902</v>
      </c>
      <c r="AL7512">
        <v>89.881192072166996</v>
      </c>
      <c r="AM7512">
        <v>90.064548948374195</v>
      </c>
      <c r="AN7512">
        <v>0.99999998448890404</v>
      </c>
    </row>
    <row r="7513" spans="1:40" x14ac:dyDescent="0.25">
      <c r="A7513" t="str">
        <f>"20190303153954918"</f>
        <v>20190303153954918</v>
      </c>
      <c r="B7513" t="str">
        <f>"1551598794915863"</f>
        <v>1551598794915863</v>
      </c>
      <c r="C7513" t="s">
        <v>40</v>
      </c>
      <c r="D7513">
        <v>4.4008120000000002</v>
      </c>
      <c r="E7513">
        <v>0.56352880000000005</v>
      </c>
      <c r="F7513" t="s">
        <v>80</v>
      </c>
      <c r="G7513">
        <v>-273.0675</v>
      </c>
      <c r="H7513">
        <v>0.57047780000000003</v>
      </c>
      <c r="I7513">
        <v>4.6001379999999896</v>
      </c>
      <c r="J7513">
        <v>-351.16660000000002</v>
      </c>
      <c r="K7513">
        <v>1.1221950000000001</v>
      </c>
      <c r="L7513">
        <v>17.361239999999999</v>
      </c>
      <c r="M7513">
        <v>0.99989539999999999</v>
      </c>
      <c r="N7513">
        <v>-1.378359E-2</v>
      </c>
      <c r="O7513">
        <v>4.3790820000000003E-3</v>
      </c>
      <c r="P7513">
        <v>0.9999133</v>
      </c>
      <c r="Q7513">
        <v>-1.148135E-2</v>
      </c>
      <c r="R7513">
        <v>6.4500629999999998E-3</v>
      </c>
      <c r="S7513">
        <v>3.0022890000000002</v>
      </c>
      <c r="T7513">
        <v>-2.1161200000000002E-2</v>
      </c>
      <c r="U7513">
        <v>-0.48941040000000002</v>
      </c>
      <c r="V7513">
        <v>-2.0754910000000001E-3</v>
      </c>
      <c r="W7513">
        <v>2.2981780000000001E-3</v>
      </c>
      <c r="X7513">
        <v>0.99999519999999997</v>
      </c>
      <c r="Y7513">
        <v>0.1651976</v>
      </c>
      <c r="Z7513">
        <v>-1.6951329999999999E-3</v>
      </c>
      <c r="AA7513">
        <v>0.986259</v>
      </c>
      <c r="AB7513">
        <v>25</v>
      </c>
      <c r="AC7513">
        <v>78.099100000000007</v>
      </c>
      <c r="AD7513">
        <v>-0.55171719999999902</v>
      </c>
      <c r="AE7513">
        <v>-12.761101999999999</v>
      </c>
      <c r="AF7513">
        <v>13.102377614218399</v>
      </c>
      <c r="AG7513">
        <v>-0.55171719999999902</v>
      </c>
      <c r="AH7513">
        <v>78.038670584301101</v>
      </c>
      <c r="AI7513">
        <v>90.399471470562105</v>
      </c>
      <c r="AJ7513">
        <v>80.469161695474099</v>
      </c>
      <c r="AK7513">
        <v>79.132867997940096</v>
      </c>
      <c r="AL7513">
        <v>89.868323983415493</v>
      </c>
      <c r="AM7513">
        <v>90.118917274767796</v>
      </c>
      <c r="AN7513">
        <v>0.999999994654025</v>
      </c>
    </row>
    <row r="7514" spans="1:40" x14ac:dyDescent="0.25">
      <c r="A7514" t="str">
        <f>"20190303153954930"</f>
        <v>20190303153954930</v>
      </c>
      <c r="B7514" t="str">
        <f>"1551598794925624"</f>
        <v>1551598794925624</v>
      </c>
      <c r="C7514" t="s">
        <v>40</v>
      </c>
      <c r="D7514">
        <v>4.4015180000000003</v>
      </c>
      <c r="E7514">
        <v>0.56369729999999996</v>
      </c>
      <c r="F7514" t="s">
        <v>80</v>
      </c>
      <c r="G7514">
        <v>-272.50389999999999</v>
      </c>
      <c r="H7514">
        <v>0.47908590000000001</v>
      </c>
      <c r="I7514">
        <v>4.6001070000000004</v>
      </c>
      <c r="J7514">
        <v>-351.04340000000002</v>
      </c>
      <c r="K7514">
        <v>1.122207</v>
      </c>
      <c r="L7514">
        <v>17.362369999999999</v>
      </c>
      <c r="M7514">
        <v>0.99989249999999996</v>
      </c>
      <c r="N7514">
        <v>-1.378966E-2</v>
      </c>
      <c r="O7514">
        <v>4.96409E-3</v>
      </c>
      <c r="P7514">
        <v>0.99990610000000002</v>
      </c>
      <c r="Q7514">
        <v>-1.148296E-2</v>
      </c>
      <c r="R7514">
        <v>7.4732549999999998E-3</v>
      </c>
      <c r="S7514">
        <v>3.0031129999999999</v>
      </c>
      <c r="T7514">
        <v>-2.4551989999999999E-2</v>
      </c>
      <c r="U7514">
        <v>-0.48718260000000002</v>
      </c>
      <c r="V7514">
        <v>-2.5137010000000001E-3</v>
      </c>
      <c r="W7514">
        <v>2.301993E-3</v>
      </c>
      <c r="X7514">
        <v>0.99999420000000006</v>
      </c>
      <c r="Y7514">
        <v>0.1650162</v>
      </c>
      <c r="Z7514">
        <v>-1.787725E-3</v>
      </c>
      <c r="AA7514">
        <v>0.98628930000000004</v>
      </c>
      <c r="AB7514">
        <v>25</v>
      </c>
      <c r="AC7514">
        <v>78.539500000000004</v>
      </c>
      <c r="AD7514">
        <v>-0.643121099999999</v>
      </c>
      <c r="AE7514">
        <v>-12.762263000000001</v>
      </c>
      <c r="AF7514">
        <v>13.151160859871499</v>
      </c>
      <c r="AG7514">
        <v>-0.643121099999999</v>
      </c>
      <c r="AH7514">
        <v>78.470046876000097</v>
      </c>
      <c r="AI7514">
        <v>90.463112903964401</v>
      </c>
      <c r="AJ7514">
        <v>80.485952494483996</v>
      </c>
      <c r="AK7514">
        <v>79.567046529534693</v>
      </c>
      <c r="AL7514">
        <v>89.868105401322794</v>
      </c>
      <c r="AM7514">
        <v>90.144024990251594</v>
      </c>
      <c r="AN7514">
        <v>1.0000000089490599</v>
      </c>
    </row>
    <row r="7515" spans="1:40" x14ac:dyDescent="0.25">
      <c r="A7515" t="str">
        <f>"20190303153954941"</f>
        <v>20190303153954941</v>
      </c>
      <c r="B7515" t="str">
        <f>"1551598794936359"</f>
        <v>1551598794936359</v>
      </c>
      <c r="C7515" t="s">
        <v>40</v>
      </c>
      <c r="D7515">
        <v>4.3853090000000003</v>
      </c>
      <c r="E7515">
        <v>0.5639499</v>
      </c>
      <c r="F7515" t="s">
        <v>80</v>
      </c>
      <c r="G7515">
        <v>-272.0847</v>
      </c>
      <c r="H7515">
        <v>0.44007750000000001</v>
      </c>
      <c r="I7515">
        <v>4.6000940000000003</v>
      </c>
      <c r="J7515">
        <v>-350.91609999999997</v>
      </c>
      <c r="K7515">
        <v>1.1222129999999999</v>
      </c>
      <c r="L7515">
        <v>17.363679999999999</v>
      </c>
      <c r="M7515">
        <v>0.99988949999999999</v>
      </c>
      <c r="N7515">
        <v>-1.379495E-2</v>
      </c>
      <c r="O7515">
        <v>5.5731089999999997E-3</v>
      </c>
      <c r="P7515">
        <v>0.99989629999999996</v>
      </c>
      <c r="Q7515">
        <v>-1.157066E-2</v>
      </c>
      <c r="R7515">
        <v>8.6054349999999998E-3</v>
      </c>
      <c r="S7515">
        <v>3.003571</v>
      </c>
      <c r="T7515">
        <v>-2.5947930000000001E-2</v>
      </c>
      <c r="U7515">
        <v>-0.48547360000000001</v>
      </c>
      <c r="V7515">
        <v>-3.0367889999999998E-3</v>
      </c>
      <c r="W7515">
        <v>2.218547E-3</v>
      </c>
      <c r="X7515">
        <v>0.99999289999999996</v>
      </c>
      <c r="Y7515">
        <v>0.1650452</v>
      </c>
      <c r="Z7515">
        <v>-1.825609E-3</v>
      </c>
      <c r="AA7515">
        <v>0.9862843</v>
      </c>
      <c r="AB7515">
        <v>25</v>
      </c>
      <c r="AC7515">
        <v>78.831399999999903</v>
      </c>
      <c r="AD7515">
        <v>-0.68213550000000001</v>
      </c>
      <c r="AE7515">
        <v>-12.763585999999901</v>
      </c>
      <c r="AF7515">
        <v>13.2018022099322</v>
      </c>
      <c r="AG7515">
        <v>-0.68213550000000001</v>
      </c>
      <c r="AH7515">
        <v>78.753289811347003</v>
      </c>
      <c r="AI7515">
        <v>90.489436129991304</v>
      </c>
      <c r="AJ7515">
        <v>80.483708279315493</v>
      </c>
      <c r="AK7515">
        <v>79.855078401693007</v>
      </c>
      <c r="AL7515">
        <v>89.872886512420493</v>
      </c>
      <c r="AM7515">
        <v>90.173995893471599</v>
      </c>
      <c r="AN7515">
        <v>0.99999997204431501</v>
      </c>
    </row>
    <row r="7516" spans="1:40" x14ac:dyDescent="0.25">
      <c r="A7516" t="str">
        <f>"20190303153954952"</f>
        <v>20190303153954952</v>
      </c>
      <c r="B7516" t="str">
        <f>"1551598794946119"</f>
        <v>1551598794946119</v>
      </c>
      <c r="C7516" t="s">
        <v>40</v>
      </c>
      <c r="D7516">
        <v>4.3641560000000004</v>
      </c>
      <c r="E7516">
        <v>0.56433769999999905</v>
      </c>
      <c r="F7516" t="s">
        <v>80</v>
      </c>
      <c r="G7516">
        <v>-271.70330000000001</v>
      </c>
      <c r="H7516">
        <v>0.4292435</v>
      </c>
      <c r="I7516">
        <v>4.6000899999999998</v>
      </c>
      <c r="J7516">
        <v>-350.78579999999999</v>
      </c>
      <c r="K7516">
        <v>1.122217</v>
      </c>
      <c r="L7516">
        <v>17.365110000000001</v>
      </c>
      <c r="M7516">
        <v>0.99988569999999999</v>
      </c>
      <c r="N7516">
        <v>-1.3800049999999999E-2</v>
      </c>
      <c r="O7516">
        <v>6.1964740000000004E-3</v>
      </c>
      <c r="P7516">
        <v>0.99989159999999999</v>
      </c>
      <c r="Q7516">
        <v>-1.105517E-2</v>
      </c>
      <c r="R7516">
        <v>9.7430940000000008E-3</v>
      </c>
      <c r="S7516">
        <v>3.0042110000000002</v>
      </c>
      <c r="T7516">
        <v>-2.628136E-2</v>
      </c>
      <c r="U7516">
        <v>-0.48406979999999999</v>
      </c>
      <c r="V7516">
        <v>-3.5522409999999998E-3</v>
      </c>
      <c r="W7516">
        <v>2.7382980000000001E-3</v>
      </c>
      <c r="X7516">
        <v>0.99998989999999999</v>
      </c>
      <c r="Y7516">
        <v>0.1651774</v>
      </c>
      <c r="Z7516">
        <v>-1.8339070000000001E-3</v>
      </c>
      <c r="AA7516">
        <v>0.98626210000000003</v>
      </c>
      <c r="AB7516">
        <v>25</v>
      </c>
      <c r="AC7516">
        <v>79.082499999999897</v>
      </c>
      <c r="AD7516">
        <v>-0.69297349999999902</v>
      </c>
      <c r="AE7516">
        <v>-12.76502</v>
      </c>
      <c r="AF7516">
        <v>13.2538623012827</v>
      </c>
      <c r="AG7516">
        <v>-0.69297349999999902</v>
      </c>
      <c r="AH7516">
        <v>78.995964195674205</v>
      </c>
      <c r="AI7516">
        <v>90.495673071699898</v>
      </c>
      <c r="AJ7516">
        <v>80.475680591978502</v>
      </c>
      <c r="AK7516">
        <v>80.103105042047602</v>
      </c>
      <c r="AL7516">
        <v>89.8431068789519</v>
      </c>
      <c r="AM7516">
        <v>90.2035296166829</v>
      </c>
      <c r="AN7516">
        <v>0.99999995839703304</v>
      </c>
    </row>
    <row r="7517" spans="1:40" x14ac:dyDescent="0.25">
      <c r="A7517" t="str">
        <f>"20190303153954963"</f>
        <v>20190303153954963</v>
      </c>
      <c r="B7517" t="str">
        <f>"1551598794955880"</f>
        <v>1551598794955880</v>
      </c>
      <c r="C7517" t="s">
        <v>40</v>
      </c>
      <c r="D7517">
        <v>4.3897050000000002</v>
      </c>
      <c r="E7517">
        <v>0.56469759999999902</v>
      </c>
      <c r="F7517" t="s">
        <v>80</v>
      </c>
      <c r="G7517">
        <v>-271.50889999999998</v>
      </c>
      <c r="H7517">
        <v>0.48150969999999998</v>
      </c>
      <c r="I7517">
        <v>4.6001070000000004</v>
      </c>
      <c r="J7517">
        <v>-350.66180000000003</v>
      </c>
      <c r="K7517">
        <v>1.12222</v>
      </c>
      <c r="L7517">
        <v>17.366520000000001</v>
      </c>
      <c r="M7517">
        <v>0.99988169999999998</v>
      </c>
      <c r="N7517">
        <v>-1.380427E-2</v>
      </c>
      <c r="O7517">
        <v>6.7895849999999999E-3</v>
      </c>
      <c r="P7517">
        <v>0.99988440000000001</v>
      </c>
      <c r="Q7517">
        <v>-1.0559219999999999E-2</v>
      </c>
      <c r="R7517">
        <v>1.0952190000000001E-2</v>
      </c>
      <c r="S7517">
        <v>3.004791</v>
      </c>
      <c r="T7517">
        <v>-2.4284360000000001E-2</v>
      </c>
      <c r="U7517">
        <v>-0.48382570000000003</v>
      </c>
      <c r="V7517">
        <v>-4.1687790000000001E-3</v>
      </c>
      <c r="W7517">
        <v>3.2370670000000002E-3</v>
      </c>
      <c r="X7517">
        <v>0.99998609999999999</v>
      </c>
      <c r="Y7517">
        <v>0.165656</v>
      </c>
      <c r="Z7517">
        <v>-1.7773229999999999E-3</v>
      </c>
      <c r="AA7517">
        <v>0.986182</v>
      </c>
      <c r="AB7517">
        <v>25</v>
      </c>
      <c r="AC7517">
        <v>79.152900000000002</v>
      </c>
      <c r="AD7517">
        <v>-0.64071029999999995</v>
      </c>
      <c r="AE7517">
        <v>-12.766413</v>
      </c>
      <c r="AF7517">
        <v>13.3027356922344</v>
      </c>
      <c r="AG7517">
        <v>-0.64071029999999995</v>
      </c>
      <c r="AH7517">
        <v>79.059339496748905</v>
      </c>
      <c r="AI7517">
        <v>90.457888134677106</v>
      </c>
      <c r="AJ7517">
        <v>80.448727997189593</v>
      </c>
      <c r="AK7517">
        <v>80.173265171428397</v>
      </c>
      <c r="AL7517">
        <v>89.814529404319401</v>
      </c>
      <c r="AM7517">
        <v>90.238855378832895</v>
      </c>
      <c r="AN7517">
        <v>1.00000002875716</v>
      </c>
    </row>
    <row r="7518" spans="1:40" x14ac:dyDescent="0.25">
      <c r="A7518" t="str">
        <f>"20190303153954976"</f>
        <v>20190303153954976</v>
      </c>
      <c r="B7518" t="str">
        <f>"1551598794965639"</f>
        <v>1551598794965639</v>
      </c>
      <c r="C7518" t="s">
        <v>40</v>
      </c>
      <c r="D7518">
        <v>4.3602679999999996</v>
      </c>
      <c r="E7518">
        <v>0.56508859999999905</v>
      </c>
      <c r="F7518" t="s">
        <v>80</v>
      </c>
      <c r="G7518">
        <v>-271.22579999999999</v>
      </c>
      <c r="H7518">
        <v>0.53176630000000003</v>
      </c>
      <c r="I7518">
        <v>4.6001240000000001</v>
      </c>
      <c r="J7518">
        <v>-350.53109999999998</v>
      </c>
      <c r="K7518">
        <v>1.12222</v>
      </c>
      <c r="L7518">
        <v>17.368069999999999</v>
      </c>
      <c r="M7518">
        <v>0.99987720000000002</v>
      </c>
      <c r="N7518">
        <v>-1.3808300000000001E-2</v>
      </c>
      <c r="O7518">
        <v>7.4133699999999999E-3</v>
      </c>
      <c r="P7518">
        <v>0.99987700000000002</v>
      </c>
      <c r="Q7518">
        <v>-1.0135180000000001E-2</v>
      </c>
      <c r="R7518">
        <v>1.197461E-2</v>
      </c>
      <c r="S7518">
        <v>3.0053709999999998</v>
      </c>
      <c r="T7518">
        <v>-2.2339109999999999E-2</v>
      </c>
      <c r="U7518">
        <v>-0.48300169999999998</v>
      </c>
      <c r="V7518">
        <v>-4.568356E-3</v>
      </c>
      <c r="W7518">
        <v>3.6647870000000001E-3</v>
      </c>
      <c r="X7518">
        <v>0.99998279999999995</v>
      </c>
      <c r="Y7518">
        <v>0.1659794</v>
      </c>
      <c r="Z7518">
        <v>-1.719333E-3</v>
      </c>
      <c r="AA7518">
        <v>0.98612770000000005</v>
      </c>
      <c r="AB7518">
        <v>25</v>
      </c>
      <c r="AC7518">
        <v>79.305299999999903</v>
      </c>
      <c r="AD7518">
        <v>-0.59045369999999997</v>
      </c>
      <c r="AE7518">
        <v>-12.767945999999901</v>
      </c>
      <c r="AF7518">
        <v>13.3548490604148</v>
      </c>
      <c r="AG7518">
        <v>-0.59045369999999997</v>
      </c>
      <c r="AH7518">
        <v>79.2041782047353</v>
      </c>
      <c r="AI7518">
        <v>90.421177468052306</v>
      </c>
      <c r="AJ7518">
        <v>80.429212980068897</v>
      </c>
      <c r="AK7518">
        <v>80.324357912688995</v>
      </c>
      <c r="AL7518">
        <v>89.790022691650194</v>
      </c>
      <c r="AM7518">
        <v>90.261750199297396</v>
      </c>
      <c r="AN7518">
        <v>0.999999950418068</v>
      </c>
    </row>
    <row r="7519" spans="1:40" x14ac:dyDescent="0.25">
      <c r="A7519" t="str">
        <f>"20190303153954988"</f>
        <v>20190303153954988</v>
      </c>
      <c r="B7519" t="str">
        <f>"1551598794986136"</f>
        <v>1551598794986136</v>
      </c>
      <c r="C7519" t="s">
        <v>40</v>
      </c>
      <c r="D7519">
        <v>4.4020359999999998</v>
      </c>
      <c r="E7519">
        <v>0.56575259999999905</v>
      </c>
      <c r="F7519" t="s">
        <v>80</v>
      </c>
      <c r="G7519">
        <v>-271.08100000000002</v>
      </c>
      <c r="H7519">
        <v>0.58480049999999995</v>
      </c>
      <c r="I7519">
        <v>4.600142</v>
      </c>
      <c r="J7519">
        <v>-350.38729999999998</v>
      </c>
      <c r="K7519">
        <v>1.1222190000000001</v>
      </c>
      <c r="L7519">
        <v>17.36984</v>
      </c>
      <c r="M7519">
        <v>0.99987199999999998</v>
      </c>
      <c r="N7519">
        <v>-1.3812369999999999E-2</v>
      </c>
      <c r="O7519">
        <v>8.0980459999999994E-3</v>
      </c>
      <c r="P7519">
        <v>0.99987029999999999</v>
      </c>
      <c r="Q7519">
        <v>-9.6095269999999997E-3</v>
      </c>
      <c r="R7519">
        <v>1.294117E-2</v>
      </c>
      <c r="S7519">
        <v>3.0059200000000001</v>
      </c>
      <c r="T7519">
        <v>-2.033269E-2</v>
      </c>
      <c r="U7519">
        <v>-0.48306270000000001</v>
      </c>
      <c r="V7519">
        <v>-4.8511040000000002E-3</v>
      </c>
      <c r="W7519">
        <v>4.193596E-3</v>
      </c>
      <c r="X7519">
        <v>0.99997939999999996</v>
      </c>
      <c r="Y7519">
        <v>0.1666472</v>
      </c>
      <c r="Z7519">
        <v>-1.661654E-3</v>
      </c>
      <c r="AA7519">
        <v>0.98601519999999998</v>
      </c>
      <c r="AB7519">
        <v>25</v>
      </c>
      <c r="AC7519">
        <v>79.306299999999993</v>
      </c>
      <c r="AD7519">
        <v>-0.53741850000000002</v>
      </c>
      <c r="AE7519">
        <v>-12.769698</v>
      </c>
      <c r="AF7519">
        <v>13.410966141728901</v>
      </c>
      <c r="AG7519">
        <v>-0.53741850000000002</v>
      </c>
      <c r="AH7519">
        <v>79.196734751748906</v>
      </c>
      <c r="AI7519">
        <v>90.383338435312396</v>
      </c>
      <c r="AJ7519">
        <v>80.388858671439607</v>
      </c>
      <c r="AK7519">
        <v>80.325995959201293</v>
      </c>
      <c r="AL7519">
        <v>89.759723934329202</v>
      </c>
      <c r="AM7519">
        <v>90.277951330582795</v>
      </c>
      <c r="AN7519">
        <v>0.99999995994089397</v>
      </c>
    </row>
    <row r="7520" spans="1:40" x14ac:dyDescent="0.25">
      <c r="A7520" t="str">
        <f>"20190303153955001"</f>
        <v>20190303153955001</v>
      </c>
      <c r="B7520" t="str">
        <f>"1551598794995897"</f>
        <v>1551598794995897</v>
      </c>
      <c r="C7520" t="s">
        <v>40</v>
      </c>
      <c r="D7520">
        <v>4.4172409999999998</v>
      </c>
      <c r="E7520">
        <v>0.56608409999999998</v>
      </c>
      <c r="F7520" t="s">
        <v>80</v>
      </c>
      <c r="G7520">
        <v>-271.3014</v>
      </c>
      <c r="H7520">
        <v>0.62283120000000003</v>
      </c>
      <c r="I7520">
        <v>4.600155</v>
      </c>
      <c r="J7520">
        <v>-350.2482</v>
      </c>
      <c r="K7520">
        <v>1.1222160000000001</v>
      </c>
      <c r="L7520">
        <v>17.371729999999999</v>
      </c>
      <c r="M7520">
        <v>0.99986640000000004</v>
      </c>
      <c r="N7520">
        <v>-1.3815640000000001E-2</v>
      </c>
      <c r="O7520">
        <v>8.7539780000000008E-3</v>
      </c>
      <c r="P7520">
        <v>0.9998631</v>
      </c>
      <c r="Q7520">
        <v>-9.224065E-3</v>
      </c>
      <c r="R7520">
        <v>1.374734E-2</v>
      </c>
      <c r="S7520">
        <v>3.0064700000000002</v>
      </c>
      <c r="T7520">
        <v>-1.8984440000000002E-2</v>
      </c>
      <c r="U7520">
        <v>-0.48544310000000002</v>
      </c>
      <c r="V7520">
        <v>-5.0022499999999998E-3</v>
      </c>
      <c r="W7520">
        <v>4.5822149999999997E-3</v>
      </c>
      <c r="X7520">
        <v>0.999977</v>
      </c>
      <c r="Y7520">
        <v>0.1680275</v>
      </c>
      <c r="Z7520">
        <v>-1.630133E-3</v>
      </c>
      <c r="AA7520">
        <v>0.98578100000000002</v>
      </c>
      <c r="AB7520">
        <v>25</v>
      </c>
      <c r="AC7520">
        <v>78.946799999999996</v>
      </c>
      <c r="AD7520">
        <v>-0.49938479999999902</v>
      </c>
      <c r="AE7520">
        <v>-12.771575</v>
      </c>
      <c r="AF7520">
        <v>13.461725037811799</v>
      </c>
      <c r="AG7520">
        <v>-0.49938479999999902</v>
      </c>
      <c r="AH7520">
        <v>78.828887953852401</v>
      </c>
      <c r="AI7520">
        <v>90.357787239028596</v>
      </c>
      <c r="AJ7520">
        <v>80.308999774136495</v>
      </c>
      <c r="AK7520">
        <v>79.971626232140196</v>
      </c>
      <c r="AL7520">
        <v>89.737457503508693</v>
      </c>
      <c r="AM7520">
        <v>90.286612014523001</v>
      </c>
      <c r="AN7520">
        <v>1.0000000098641799</v>
      </c>
    </row>
    <row r="7521" spans="1:40" x14ac:dyDescent="0.25">
      <c r="A7521" t="str">
        <f>"20190303153955015"</f>
        <v>20190303153955015</v>
      </c>
      <c r="B7521" t="str">
        <f>"1551598795005655"</f>
        <v>1551598795005655</v>
      </c>
      <c r="C7521" t="s">
        <v>40</v>
      </c>
      <c r="D7521">
        <v>4.3880350000000004</v>
      </c>
      <c r="E7521">
        <v>0.56627109999999903</v>
      </c>
      <c r="F7521" t="s">
        <v>80</v>
      </c>
      <c r="G7521">
        <v>-271.17270000000002</v>
      </c>
      <c r="H7521">
        <v>0.64691379999999998</v>
      </c>
      <c r="I7521">
        <v>4.6001640000000004</v>
      </c>
      <c r="J7521">
        <v>-350.0958</v>
      </c>
      <c r="K7521">
        <v>1.1222110000000001</v>
      </c>
      <c r="L7521">
        <v>17.373839999999898</v>
      </c>
      <c r="M7521">
        <v>0.99985979999999997</v>
      </c>
      <c r="N7521">
        <v>-1.381893E-2</v>
      </c>
      <c r="O7521">
        <v>9.4688940000000003E-3</v>
      </c>
      <c r="P7521">
        <v>0.99985520000000006</v>
      </c>
      <c r="Q7521">
        <v>-8.8537540000000001E-3</v>
      </c>
      <c r="R7521">
        <v>1.454594E-2</v>
      </c>
      <c r="S7521">
        <v>3.006958</v>
      </c>
      <c r="T7521">
        <v>-1.807404E-2</v>
      </c>
      <c r="U7521">
        <v>-0.4856567</v>
      </c>
      <c r="V7521">
        <v>-5.0866399999999999E-3</v>
      </c>
      <c r="W7521">
        <v>4.9555750000000003E-3</v>
      </c>
      <c r="X7521">
        <v>0.99997480000000005</v>
      </c>
      <c r="Y7521">
        <v>0.16877590000000001</v>
      </c>
      <c r="Z7521">
        <v>-1.60428E-3</v>
      </c>
      <c r="AA7521">
        <v>0.98565320000000001</v>
      </c>
      <c r="AB7521">
        <v>25</v>
      </c>
      <c r="AC7521">
        <v>78.923099999999906</v>
      </c>
      <c r="AD7521">
        <v>-0.47529719999999998</v>
      </c>
      <c r="AE7521">
        <v>-12.773675999999901</v>
      </c>
      <c r="AF7521">
        <v>13.5200111511876</v>
      </c>
      <c r="AG7521">
        <v>-0.47529719999999998</v>
      </c>
      <c r="AH7521">
        <v>78.795812196645699</v>
      </c>
      <c r="AI7521">
        <v>90.340626923733296</v>
      </c>
      <c r="AJ7521">
        <v>80.2638337198008</v>
      </c>
      <c r="AK7521">
        <v>79.948712489230402</v>
      </c>
      <c r="AL7521">
        <v>89.716065309880307</v>
      </c>
      <c r="AM7521">
        <v>90.291447834710496</v>
      </c>
      <c r="AN7521">
        <v>1.00000001613255</v>
      </c>
    </row>
    <row r="7522" spans="1:40" x14ac:dyDescent="0.25">
      <c r="A7522" t="str">
        <f>"20190303153955032"</f>
        <v>20190303153955032</v>
      </c>
      <c r="B7522" t="str">
        <f>"1551598795026151"</f>
        <v>1551598795026151</v>
      </c>
      <c r="C7522" t="s">
        <v>40</v>
      </c>
      <c r="D7522">
        <v>4.3731119999999999</v>
      </c>
      <c r="E7522">
        <v>0.56672389999999995</v>
      </c>
      <c r="F7522" t="s">
        <v>80</v>
      </c>
      <c r="G7522">
        <v>-270.85160000000002</v>
      </c>
      <c r="H7522">
        <v>0.65574129999999997</v>
      </c>
      <c r="I7522">
        <v>4.6001640000000004</v>
      </c>
      <c r="J7522">
        <v>-349.91239999999999</v>
      </c>
      <c r="K7522">
        <v>1.1222049999999999</v>
      </c>
      <c r="L7522">
        <v>17.376560000000001</v>
      </c>
      <c r="M7522">
        <v>0.99985119999999905</v>
      </c>
      <c r="N7522">
        <v>-1.3822320000000001E-2</v>
      </c>
      <c r="O7522">
        <v>1.031984E-2</v>
      </c>
      <c r="P7522">
        <v>0.9998553</v>
      </c>
      <c r="Q7522">
        <v>-8.4877200000000007E-3</v>
      </c>
      <c r="R7522">
        <v>1.474527E-2</v>
      </c>
      <c r="S7522">
        <v>3.0073850000000002</v>
      </c>
      <c r="T7522">
        <v>-1.7702820000000001E-2</v>
      </c>
      <c r="U7522">
        <v>-0.48477170000000003</v>
      </c>
      <c r="V7522">
        <v>-4.4352870000000004E-3</v>
      </c>
      <c r="W7522">
        <v>5.3265480000000004E-3</v>
      </c>
      <c r="X7522">
        <v>0.99997599999999998</v>
      </c>
      <c r="Y7522">
        <v>0.16931019999999999</v>
      </c>
      <c r="Z7522">
        <v>-1.5915009999999999E-3</v>
      </c>
      <c r="AA7522">
        <v>0.98556149999999998</v>
      </c>
      <c r="AB7522">
        <v>25</v>
      </c>
      <c r="AC7522">
        <v>79.060799999999901</v>
      </c>
      <c r="AD7522">
        <v>-0.46646369999999898</v>
      </c>
      <c r="AE7522">
        <v>-12.776396</v>
      </c>
      <c r="AF7522">
        <v>13.5912272025513</v>
      </c>
      <c r="AG7522">
        <v>-0.46646369999999898</v>
      </c>
      <c r="AH7522">
        <v>78.922048756317196</v>
      </c>
      <c r="AI7522">
        <v>90.333726758100795</v>
      </c>
      <c r="AJ7522">
        <v>80.228889618195296</v>
      </c>
      <c r="AK7522">
        <v>80.085134857533305</v>
      </c>
      <c r="AL7522">
        <v>89.694809843850706</v>
      </c>
      <c r="AM7522">
        <v>90.254127658681398</v>
      </c>
      <c r="AN7522">
        <v>1.0000000222301799</v>
      </c>
    </row>
    <row r="7523" spans="1:40" x14ac:dyDescent="0.25">
      <c r="A7523" t="str">
        <f>"20190303153955044"</f>
        <v>20190303153955044</v>
      </c>
      <c r="B7523" t="str">
        <f>"1551598795035911"</f>
        <v>1551598795035911</v>
      </c>
      <c r="C7523" t="s">
        <v>40</v>
      </c>
      <c r="D7523">
        <v>4.4010049999999996</v>
      </c>
      <c r="E7523">
        <v>0.56688850000000002</v>
      </c>
      <c r="F7523" t="s">
        <v>80</v>
      </c>
      <c r="G7523">
        <v>-271.13979999999998</v>
      </c>
      <c r="H7523">
        <v>0.65078780000000003</v>
      </c>
      <c r="I7523">
        <v>4.6001629999999896</v>
      </c>
      <c r="J7523">
        <v>-349.76909999999998</v>
      </c>
      <c r="K7523">
        <v>1.122196</v>
      </c>
      <c r="L7523">
        <v>17.378779999999999</v>
      </c>
      <c r="M7523">
        <v>0.99984430000000002</v>
      </c>
      <c r="N7523">
        <v>-1.382448E-2</v>
      </c>
      <c r="O7523">
        <v>1.097645E-2</v>
      </c>
      <c r="P7523">
        <v>0.99985550000000001</v>
      </c>
      <c r="Q7523">
        <v>-8.3255529999999994E-3</v>
      </c>
      <c r="R7523">
        <v>1.4821580000000001E-2</v>
      </c>
      <c r="S7523">
        <v>3.0074770000000002</v>
      </c>
      <c r="T7523">
        <v>-1.7998340000000002E-2</v>
      </c>
      <c r="U7523">
        <v>-0.48779299999999998</v>
      </c>
      <c r="V7523">
        <v>-3.8549859999999999E-3</v>
      </c>
      <c r="W7523">
        <v>5.492009E-3</v>
      </c>
      <c r="X7523">
        <v>0.99997749999999996</v>
      </c>
      <c r="Y7523">
        <v>0.17091700000000001</v>
      </c>
      <c r="Z7523">
        <v>-1.6118250000000001E-3</v>
      </c>
      <c r="AA7523">
        <v>0.9852841</v>
      </c>
      <c r="AB7523">
        <v>25</v>
      </c>
      <c r="AC7523">
        <v>78.629300000000001</v>
      </c>
      <c r="AD7523">
        <v>-0.4714082</v>
      </c>
      <c r="AE7523">
        <v>-12.778617000000001</v>
      </c>
      <c r="AF7523">
        <v>13.640522321728399</v>
      </c>
      <c r="AG7523">
        <v>-0.4714082</v>
      </c>
      <c r="AH7523">
        <v>78.481536641915596</v>
      </c>
      <c r="AI7523">
        <v>90.339066329310697</v>
      </c>
      <c r="AJ7523">
        <v>80.140174336358896</v>
      </c>
      <c r="AK7523">
        <v>79.659510848215305</v>
      </c>
      <c r="AL7523">
        <v>89.685329485092296</v>
      </c>
      <c r="AM7523">
        <v>90.220878303472105</v>
      </c>
      <c r="AN7523">
        <v>1.0000000117930801</v>
      </c>
    </row>
    <row r="7524" spans="1:40" x14ac:dyDescent="0.25">
      <c r="A7524" t="str">
        <f>"20190303153955057"</f>
        <v>20190303153955057</v>
      </c>
      <c r="B7524" t="str">
        <f>"1551598795045672"</f>
        <v>1551598795045672</v>
      </c>
      <c r="C7524" t="s">
        <v>40</v>
      </c>
      <c r="D7524">
        <v>4.3890919999999998</v>
      </c>
      <c r="E7524">
        <v>0.56716820000000001</v>
      </c>
      <c r="F7524" t="s">
        <v>80</v>
      </c>
      <c r="G7524">
        <v>-271.15339999999998</v>
      </c>
      <c r="H7524">
        <v>0.64396299999999995</v>
      </c>
      <c r="I7524">
        <v>4.6001629999999896</v>
      </c>
      <c r="J7524">
        <v>-349.63990000000001</v>
      </c>
      <c r="K7524">
        <v>1.122188</v>
      </c>
      <c r="L7524">
        <v>17.380859999999998</v>
      </c>
      <c r="M7524">
        <v>0.99983759999999999</v>
      </c>
      <c r="N7524">
        <v>-1.382622E-2</v>
      </c>
      <c r="O7524">
        <v>1.156333E-2</v>
      </c>
      <c r="P7524">
        <v>0.99985550000000001</v>
      </c>
      <c r="Q7524">
        <v>-8.3127429999999992E-3</v>
      </c>
      <c r="R7524">
        <v>1.4833580000000001E-2</v>
      </c>
      <c r="S7524">
        <v>3.0075379999999998</v>
      </c>
      <c r="T7524">
        <v>-1.8295289999999999E-2</v>
      </c>
      <c r="U7524">
        <v>-0.48886109999999999</v>
      </c>
      <c r="V7524">
        <v>-3.2799330000000001E-3</v>
      </c>
      <c r="W7524">
        <v>5.5072669999999997E-3</v>
      </c>
      <c r="X7524">
        <v>0.99997939999999996</v>
      </c>
      <c r="Y7524">
        <v>0.17183280000000001</v>
      </c>
      <c r="Z7524">
        <v>-1.626054E-3</v>
      </c>
      <c r="AA7524">
        <v>0.98512480000000002</v>
      </c>
      <c r="AB7524">
        <v>25</v>
      </c>
      <c r="AC7524">
        <v>78.486500000000007</v>
      </c>
      <c r="AD7524">
        <v>-0.47822499999999901</v>
      </c>
      <c r="AE7524">
        <v>-12.780697</v>
      </c>
      <c r="AF7524">
        <v>13.6869993510652</v>
      </c>
      <c r="AG7524">
        <v>-0.47822499999999901</v>
      </c>
      <c r="AH7524">
        <v>78.330617087644399</v>
      </c>
      <c r="AI7524">
        <v>90.344577892821704</v>
      </c>
      <c r="AJ7524">
        <v>80.088559070679096</v>
      </c>
      <c r="AK7524">
        <v>79.518854517138607</v>
      </c>
      <c r="AL7524">
        <v>89.684455231544803</v>
      </c>
      <c r="AM7524">
        <v>90.187929515408996</v>
      </c>
      <c r="AN7524">
        <v>0.99999994418732496</v>
      </c>
    </row>
    <row r="7525" spans="1:40" x14ac:dyDescent="0.25">
      <c r="A7525" t="str">
        <f>"20190303153955071"</f>
        <v>20190303153955071</v>
      </c>
      <c r="B7525" t="str">
        <f>"1551598795066168"</f>
        <v>1551598795066168</v>
      </c>
      <c r="C7525" t="s">
        <v>40</v>
      </c>
      <c r="D7525">
        <v>4.3843540000000001</v>
      </c>
      <c r="E7525">
        <v>0.56771629999999995</v>
      </c>
      <c r="F7525" t="s">
        <v>80</v>
      </c>
      <c r="G7525">
        <v>-271.36160000000001</v>
      </c>
      <c r="H7525">
        <v>0.65326079999999997</v>
      </c>
      <c r="I7525">
        <v>4.6001640000000004</v>
      </c>
      <c r="J7525">
        <v>-349.48340000000002</v>
      </c>
      <c r="K7525">
        <v>1.122179</v>
      </c>
      <c r="L7525">
        <v>17.38345</v>
      </c>
      <c r="M7525">
        <v>0.99982919999999997</v>
      </c>
      <c r="N7525">
        <v>-1.3828109999999999E-2</v>
      </c>
      <c r="O7525">
        <v>1.2268970000000001E-2</v>
      </c>
      <c r="P7525">
        <v>0.99985840000000004</v>
      </c>
      <c r="Q7525">
        <v>-8.2385469999999902E-3</v>
      </c>
      <c r="R7525">
        <v>1.4687179999999999E-2</v>
      </c>
      <c r="S7525">
        <v>3.0075989999999999</v>
      </c>
      <c r="T7525">
        <v>-1.801705E-2</v>
      </c>
      <c r="U7525">
        <v>-0.4910583</v>
      </c>
      <c r="V7525">
        <v>-2.4283170000000001E-3</v>
      </c>
      <c r="W7525">
        <v>5.5859430000000003E-3</v>
      </c>
      <c r="X7525">
        <v>0.99998149999999997</v>
      </c>
      <c r="Y7525">
        <v>0.17322589999999999</v>
      </c>
      <c r="Z7525">
        <v>-1.6256210000000001E-3</v>
      </c>
      <c r="AA7525">
        <v>0.9848808</v>
      </c>
      <c r="AB7525">
        <v>25</v>
      </c>
      <c r="AC7525">
        <v>78.121799999999993</v>
      </c>
      <c r="AD7525">
        <v>-0.46891820000000001</v>
      </c>
      <c r="AE7525">
        <v>-12.783286</v>
      </c>
      <c r="AF7525">
        <v>13.7404071091151</v>
      </c>
      <c r="AG7525">
        <v>-0.46891820000000001</v>
      </c>
      <c r="AH7525">
        <v>77.956330745248806</v>
      </c>
      <c r="AI7525">
        <v>90.3394062631276</v>
      </c>
      <c r="AJ7525">
        <v>80.003847311347201</v>
      </c>
      <c r="AK7525">
        <v>79.159384630409704</v>
      </c>
      <c r="AL7525">
        <v>89.679947393038503</v>
      </c>
      <c r="AM7525">
        <v>90.139134615926096</v>
      </c>
      <c r="AN7525">
        <v>1.00000004991244</v>
      </c>
    </row>
    <row r="7526" spans="1:40" x14ac:dyDescent="0.25">
      <c r="A7526" t="str">
        <f>"20190303153955089"</f>
        <v>20190303153955089</v>
      </c>
      <c r="B7526" t="str">
        <f>"1551598795085688"</f>
        <v>1551598795085688</v>
      </c>
      <c r="C7526" t="s">
        <v>40</v>
      </c>
      <c r="D7526">
        <v>4.4065500000000002</v>
      </c>
      <c r="E7526">
        <v>0.56823809999999997</v>
      </c>
      <c r="F7526" t="s">
        <v>80</v>
      </c>
      <c r="G7526">
        <v>-271.95209999999997</v>
      </c>
      <c r="H7526">
        <v>0.65506379999999997</v>
      </c>
      <c r="I7526">
        <v>4.6001640000000004</v>
      </c>
      <c r="J7526">
        <v>-349.27969999999999</v>
      </c>
      <c r="K7526">
        <v>1.1221680000000001</v>
      </c>
      <c r="L7526">
        <v>17.386990000000001</v>
      </c>
      <c r="M7526">
        <v>0.99981770000000003</v>
      </c>
      <c r="N7526">
        <v>-1.382974E-2</v>
      </c>
      <c r="O7526">
        <v>1.317138E-2</v>
      </c>
      <c r="P7526">
        <v>0.99987060000000005</v>
      </c>
      <c r="Q7526">
        <v>-7.894903E-3</v>
      </c>
      <c r="R7526">
        <v>1.403591E-2</v>
      </c>
      <c r="S7526">
        <v>3.0075379999999998</v>
      </c>
      <c r="T7526">
        <v>-1.8119929999999999E-2</v>
      </c>
      <c r="U7526">
        <v>-0.49588009999999899</v>
      </c>
      <c r="V7526">
        <v>-8.7480589999999997E-4</v>
      </c>
      <c r="W7526">
        <v>5.9335519999999999E-3</v>
      </c>
      <c r="X7526">
        <v>0.99998200000000004</v>
      </c>
      <c r="Y7526">
        <v>0.175654799999999</v>
      </c>
      <c r="Z7526">
        <v>-1.6464050000000001E-3</v>
      </c>
      <c r="AA7526">
        <v>0.98445050000000001</v>
      </c>
      <c r="AB7526">
        <v>25</v>
      </c>
      <c r="AC7526">
        <v>77.327600000000004</v>
      </c>
      <c r="AD7526">
        <v>-0.46710420000000002</v>
      </c>
      <c r="AE7526">
        <v>-12.786826</v>
      </c>
      <c r="AF7526">
        <v>13.8038348262968</v>
      </c>
      <c r="AG7526">
        <v>-0.46710420000000002</v>
      </c>
      <c r="AH7526">
        <v>77.149714423207598</v>
      </c>
      <c r="AI7526">
        <v>90.341471361603894</v>
      </c>
      <c r="AJ7526">
        <v>79.855825387998493</v>
      </c>
      <c r="AK7526">
        <v>78.376287726759699</v>
      </c>
      <c r="AL7526">
        <v>89.660030513322795</v>
      </c>
      <c r="AM7526">
        <v>90.050123575400903</v>
      </c>
      <c r="AN7526">
        <v>0.99999998632434905</v>
      </c>
    </row>
    <row r="7527" spans="1:40" x14ac:dyDescent="0.25">
      <c r="A7527" t="str">
        <f>"20190303153955113"</f>
        <v>20190303153955113</v>
      </c>
      <c r="B7527" t="str">
        <f>"1551598795106184"</f>
        <v>1551598795106184</v>
      </c>
      <c r="C7527" t="s">
        <v>40</v>
      </c>
      <c r="D7527">
        <v>4.3998499999999998</v>
      </c>
      <c r="E7527">
        <v>0.56851019999999997</v>
      </c>
      <c r="F7527" t="s">
        <v>80</v>
      </c>
      <c r="G7527">
        <v>-272.67770000000002</v>
      </c>
      <c r="H7527">
        <v>0.67588519999999996</v>
      </c>
      <c r="I7527">
        <v>4.6001719999999997</v>
      </c>
      <c r="J7527">
        <v>-349.03089999999997</v>
      </c>
      <c r="K7527">
        <v>1.1221449999999999</v>
      </c>
      <c r="L7527">
        <v>17.391539999999999</v>
      </c>
      <c r="M7527">
        <v>0.99980290000000005</v>
      </c>
      <c r="N7527">
        <v>-1.383117E-2</v>
      </c>
      <c r="O7527">
        <v>1.4247020000000001E-2</v>
      </c>
      <c r="P7527">
        <v>0.9998823</v>
      </c>
      <c r="Q7527">
        <v>-6.863643E-3</v>
      </c>
      <c r="R7527">
        <v>1.37352999999999E-2</v>
      </c>
      <c r="S7527">
        <v>3.0072329999999998</v>
      </c>
      <c r="T7527">
        <v>-1.7519949999999999E-2</v>
      </c>
      <c r="U7527">
        <v>-0.50198359999999997</v>
      </c>
      <c r="V7527">
        <v>5.0071589999999997E-4</v>
      </c>
      <c r="W7527">
        <v>6.9687439999999998E-3</v>
      </c>
      <c r="X7527">
        <v>0.99997559999999996</v>
      </c>
      <c r="Y7527">
        <v>0.1786739</v>
      </c>
      <c r="Z7527">
        <v>-1.6479070000000001E-3</v>
      </c>
      <c r="AA7527">
        <v>0.98390699999999998</v>
      </c>
      <c r="AB7527">
        <v>25</v>
      </c>
      <c r="AC7527">
        <v>76.353199999999902</v>
      </c>
      <c r="AD7527">
        <v>-0.44625979999999998</v>
      </c>
      <c r="AE7527">
        <v>-12.791368</v>
      </c>
      <c r="AF7527">
        <v>13.877517955267001</v>
      </c>
      <c r="AG7527">
        <v>-0.44625979999999998</v>
      </c>
      <c r="AH7527">
        <v>76.160662189776403</v>
      </c>
      <c r="AI7527">
        <v>90.330280011617504</v>
      </c>
      <c r="AJ7527">
        <v>79.673217319614494</v>
      </c>
      <c r="AK7527">
        <v>77.415961646117296</v>
      </c>
      <c r="AL7527">
        <v>89.600717151429095</v>
      </c>
      <c r="AM7527">
        <v>89.971310394566203</v>
      </c>
      <c r="AN7527">
        <v>1.0000000073523501</v>
      </c>
    </row>
    <row r="7528" spans="1:40" x14ac:dyDescent="0.25">
      <c r="A7528" t="str">
        <f>"20190303153955128"</f>
        <v>20190303153955128</v>
      </c>
      <c r="B7528" t="str">
        <f>"1551598795115943"</f>
        <v>1551598795115943</v>
      </c>
      <c r="C7528" t="s">
        <v>40</v>
      </c>
      <c r="D7528">
        <v>4.3719000000000001</v>
      </c>
      <c r="E7528">
        <v>0.56875719999999996</v>
      </c>
      <c r="F7528" t="s">
        <v>80</v>
      </c>
      <c r="G7528">
        <v>-272.87169999999998</v>
      </c>
      <c r="H7528">
        <v>0.72542879999999998</v>
      </c>
      <c r="I7528">
        <v>4.600187</v>
      </c>
      <c r="J7528">
        <v>-348.86369999999999</v>
      </c>
      <c r="K7528">
        <v>1.122128</v>
      </c>
      <c r="L7528">
        <v>17.394739999999999</v>
      </c>
      <c r="M7528">
        <v>0.99979280000000004</v>
      </c>
      <c r="N7528">
        <v>-1.383173E-2</v>
      </c>
      <c r="O7528">
        <v>1.494758E-2</v>
      </c>
      <c r="P7528">
        <v>0.99987999999999999</v>
      </c>
      <c r="Q7528">
        <v>-6.2553289999999996E-3</v>
      </c>
      <c r="R7528">
        <v>1.4182180000000001E-2</v>
      </c>
      <c r="S7528">
        <v>3.0071409999999998</v>
      </c>
      <c r="T7528">
        <v>-1.5664339999999999E-2</v>
      </c>
      <c r="U7528">
        <v>-0.50506589999999996</v>
      </c>
      <c r="V7528">
        <v>7.5377899999999999E-4</v>
      </c>
      <c r="W7528">
        <v>7.5781260000000001E-3</v>
      </c>
      <c r="X7528">
        <v>0.99997100000000005</v>
      </c>
      <c r="Y7528">
        <v>0.18035010000000001</v>
      </c>
      <c r="Z7528">
        <v>-1.5945740000000001E-3</v>
      </c>
      <c r="AA7528">
        <v>0.98360119999999895</v>
      </c>
      <c r="AB7528">
        <v>25</v>
      </c>
      <c r="AC7528">
        <v>75.992000000000004</v>
      </c>
      <c r="AD7528">
        <v>-0.39669919999999897</v>
      </c>
      <c r="AE7528">
        <v>-12.794553000000001</v>
      </c>
      <c r="AF7528">
        <v>13.928759141150699</v>
      </c>
      <c r="AG7528">
        <v>-0.39669919999999897</v>
      </c>
      <c r="AH7528">
        <v>75.790234141725506</v>
      </c>
      <c r="AI7528">
        <v>90.294953673989895</v>
      </c>
      <c r="AJ7528">
        <v>79.586362367684501</v>
      </c>
      <c r="AK7528">
        <v>77.060543034195206</v>
      </c>
      <c r="AL7528">
        <v>89.565801207005507</v>
      </c>
      <c r="AM7528">
        <v>89.956810400296106</v>
      </c>
      <c r="AN7528">
        <v>0.99999999850872601</v>
      </c>
    </row>
    <row r="7529" spans="1:40" x14ac:dyDescent="0.25">
      <c r="A7529" t="str">
        <f>"20190303153955144"</f>
        <v>20190303153955144</v>
      </c>
      <c r="B7529" t="str">
        <f>"1551598795136439"</f>
        <v>1551598795136439</v>
      </c>
      <c r="C7529" t="s">
        <v>40</v>
      </c>
      <c r="D7529">
        <v>4.4232339999999999</v>
      </c>
      <c r="E7529">
        <v>0.56890549999999995</v>
      </c>
      <c r="F7529" t="s">
        <v>80</v>
      </c>
      <c r="G7529">
        <v>-272.77890000000002</v>
      </c>
      <c r="H7529">
        <v>0.77451199999999998</v>
      </c>
      <c r="I7529">
        <v>4.6002039999999997</v>
      </c>
      <c r="J7529">
        <v>-348.67500000000001</v>
      </c>
      <c r="K7529">
        <v>1.1221110000000001</v>
      </c>
      <c r="L7529">
        <v>17.39847</v>
      </c>
      <c r="M7529">
        <v>0.99978100000000003</v>
      </c>
      <c r="N7529">
        <v>-1.383201E-2</v>
      </c>
      <c r="O7529">
        <v>1.571614E-2</v>
      </c>
      <c r="P7529">
        <v>0.99988960000000005</v>
      </c>
      <c r="Q7529">
        <v>-5.0512420000000001E-3</v>
      </c>
      <c r="R7529">
        <v>1.397927E-2</v>
      </c>
      <c r="S7529">
        <v>3.0074459999999998</v>
      </c>
      <c r="T7529">
        <v>-1.3740540000000001E-2</v>
      </c>
      <c r="U7529">
        <v>-0.50573729999999995</v>
      </c>
      <c r="V7529">
        <v>1.7242E-3</v>
      </c>
      <c r="W7529">
        <v>8.7840060000000005E-3</v>
      </c>
      <c r="X7529">
        <v>0.99995990000000001</v>
      </c>
      <c r="Y7529">
        <v>0.18130450000000001</v>
      </c>
      <c r="Z7529">
        <v>-1.5295249999999999E-3</v>
      </c>
      <c r="AA7529">
        <v>0.98342580000000002</v>
      </c>
      <c r="AB7529">
        <v>25</v>
      </c>
      <c r="AC7529">
        <v>75.896099999999905</v>
      </c>
      <c r="AD7529">
        <v>-0.34759899999999999</v>
      </c>
      <c r="AE7529">
        <v>-12.798266</v>
      </c>
      <c r="AF7529">
        <v>13.989307344506299</v>
      </c>
      <c r="AG7529">
        <v>-0.34759899999999999</v>
      </c>
      <c r="AH7529">
        <v>75.684022389807396</v>
      </c>
      <c r="AI7529">
        <v>90.258761125851393</v>
      </c>
      <c r="AJ7529">
        <v>79.527739292188897</v>
      </c>
      <c r="AK7529">
        <v>76.966829154803605</v>
      </c>
      <c r="AL7529">
        <v>89.496707039795893</v>
      </c>
      <c r="AM7529">
        <v>89.901206753257796</v>
      </c>
      <c r="AN7529">
        <v>0.99999996661752799</v>
      </c>
    </row>
    <row r="7530" spans="1:40" x14ac:dyDescent="0.25">
      <c r="A7530" t="str">
        <f>"20190303153955167"</f>
        <v>20190303153955167</v>
      </c>
      <c r="B7530" t="str">
        <f>"1551598795155960"</f>
        <v>1551598795155960</v>
      </c>
      <c r="C7530" t="s">
        <v>40</v>
      </c>
      <c r="D7530">
        <v>4.4316139999999997</v>
      </c>
      <c r="E7530">
        <v>0.56887129999999997</v>
      </c>
      <c r="F7530" t="s">
        <v>80</v>
      </c>
      <c r="G7530">
        <v>-272.83069999999998</v>
      </c>
      <c r="H7530">
        <v>0.84965349999999995</v>
      </c>
      <c r="I7530">
        <v>4.6002289999999997</v>
      </c>
      <c r="J7530">
        <v>-348.42160000000001</v>
      </c>
      <c r="K7530">
        <v>1.1220699999999999</v>
      </c>
      <c r="L7530">
        <v>17.403659999999999</v>
      </c>
      <c r="M7530">
        <v>0.99976500000000001</v>
      </c>
      <c r="N7530">
        <v>-1.383215E-2</v>
      </c>
      <c r="O7530">
        <v>1.669907E-2</v>
      </c>
      <c r="P7530">
        <v>0.99989059999999996</v>
      </c>
      <c r="Q7530">
        <v>-4.8133270000000001E-3</v>
      </c>
      <c r="R7530">
        <v>1.3995830000000001E-2</v>
      </c>
      <c r="S7530">
        <v>3.0073850000000002</v>
      </c>
      <c r="T7530">
        <v>-1.0803460000000001E-2</v>
      </c>
      <c r="U7530">
        <v>-0.50747679999999995</v>
      </c>
      <c r="V7530">
        <v>2.6912110000000002E-3</v>
      </c>
      <c r="W7530">
        <v>9.0233680000000004E-3</v>
      </c>
      <c r="X7530">
        <v>0.9999557</v>
      </c>
      <c r="Y7530">
        <v>0.1828293</v>
      </c>
      <c r="Z7530">
        <v>-1.4297839999999999E-3</v>
      </c>
      <c r="AA7530">
        <v>0.98314360000000001</v>
      </c>
      <c r="AB7530">
        <v>25</v>
      </c>
      <c r="AC7530">
        <v>75.590900000000005</v>
      </c>
      <c r="AD7530">
        <v>-0.27241650000000001</v>
      </c>
      <c r="AE7530">
        <v>-12.803431</v>
      </c>
      <c r="AF7530">
        <v>14.063886148450401</v>
      </c>
      <c r="AG7530">
        <v>-0.27241650000000001</v>
      </c>
      <c r="AH7530">
        <v>75.365580312878905</v>
      </c>
      <c r="AI7530">
        <v>90.2035861156956</v>
      </c>
      <c r="AJ7530">
        <v>79.429676346189893</v>
      </c>
      <c r="AK7530">
        <v>76.667058116527798</v>
      </c>
      <c r="AL7530">
        <v>89.482992097543303</v>
      </c>
      <c r="AM7530">
        <v>89.845798509084602</v>
      </c>
      <c r="AN7530">
        <v>1.0000000328745899</v>
      </c>
    </row>
    <row r="7531" spans="1:40" x14ac:dyDescent="0.25">
      <c r="A7531" t="str">
        <f>"20190303153955181"</f>
        <v>20190303153955181</v>
      </c>
      <c r="B7531" t="str">
        <f>"1551598795176456"</f>
        <v>1551598795176456</v>
      </c>
      <c r="C7531" t="s">
        <v>40</v>
      </c>
      <c r="D7531">
        <v>4.4300680000000003</v>
      </c>
      <c r="E7531">
        <v>0.53022999999999998</v>
      </c>
      <c r="F7531" t="s">
        <v>80</v>
      </c>
      <c r="G7531">
        <v>-272.51010000000002</v>
      </c>
      <c r="H7531">
        <v>0.87809329999999997</v>
      </c>
      <c r="I7531">
        <v>4.6002390000000002</v>
      </c>
      <c r="J7531">
        <v>-348.274</v>
      </c>
      <c r="K7531">
        <v>1.1220399999999999</v>
      </c>
      <c r="L7531">
        <v>17.406739999999999</v>
      </c>
      <c r="M7531">
        <v>0.99975599999999998</v>
      </c>
      <c r="N7531">
        <v>-1.383188E-2</v>
      </c>
      <c r="O7531">
        <v>1.7230269999999999E-2</v>
      </c>
      <c r="P7531">
        <v>0.99989289999999997</v>
      </c>
      <c r="Q7531">
        <v>-4.7259310000000001E-3</v>
      </c>
      <c r="R7531">
        <v>1.385314E-2</v>
      </c>
      <c r="S7531">
        <v>3.0073850000000002</v>
      </c>
      <c r="T7531">
        <v>-9.6656079999999991E-3</v>
      </c>
      <c r="U7531">
        <v>-0.50723269999999998</v>
      </c>
      <c r="V7531">
        <v>3.3658239999999999E-3</v>
      </c>
      <c r="W7531">
        <v>9.1111040000000001E-3</v>
      </c>
      <c r="X7531">
        <v>0.99995290000000003</v>
      </c>
      <c r="Y7531">
        <v>0.18327460000000001</v>
      </c>
      <c r="Z7531">
        <v>-1.387351E-3</v>
      </c>
      <c r="AA7531">
        <v>0.98306079999999996</v>
      </c>
      <c r="AB7531">
        <v>25</v>
      </c>
      <c r="AC7531">
        <v>75.763899999999893</v>
      </c>
      <c r="AD7531">
        <v>-0.24394669999999899</v>
      </c>
      <c r="AE7531">
        <v>-12.806501000000001</v>
      </c>
      <c r="AF7531">
        <v>14.1100144432195</v>
      </c>
      <c r="AG7531">
        <v>-0.24394669999999899</v>
      </c>
      <c r="AH7531">
        <v>75.531208684223301</v>
      </c>
      <c r="AI7531">
        <v>90.181903429472996</v>
      </c>
      <c r="AJ7531">
        <v>79.418519400225605</v>
      </c>
      <c r="AK7531">
        <v>76.838242450488096</v>
      </c>
      <c r="AL7531">
        <v>89.477965008758105</v>
      </c>
      <c r="AM7531">
        <v>89.807144135010304</v>
      </c>
      <c r="AN7531">
        <v>1.0000000716028501</v>
      </c>
    </row>
    <row r="7532" spans="1:40" x14ac:dyDescent="0.25">
      <c r="A7532" t="str">
        <f>"20190303153955194"</f>
        <v>20190303153955194</v>
      </c>
      <c r="B7532" t="str">
        <f>"1551598795186216"</f>
        <v>1551598795186216</v>
      </c>
      <c r="C7532" t="s">
        <v>40</v>
      </c>
      <c r="D7532">
        <v>4.4557289999999998</v>
      </c>
      <c r="E7532">
        <v>0.52215789999999995</v>
      </c>
      <c r="F7532" t="s">
        <v>81</v>
      </c>
      <c r="G7532">
        <v>-279.68</v>
      </c>
      <c r="H7532">
        <v>0.4252841</v>
      </c>
      <c r="I7532">
        <v>12.84357</v>
      </c>
      <c r="J7532">
        <v>-348.12790000000001</v>
      </c>
      <c r="K7532">
        <v>1.1220079999999999</v>
      </c>
      <c r="L7532">
        <v>17.40982</v>
      </c>
      <c r="M7532">
        <v>0.99974719999999995</v>
      </c>
      <c r="N7532">
        <v>-1.383146E-2</v>
      </c>
      <c r="O7532">
        <v>1.7732749999999999E-2</v>
      </c>
      <c r="P7532">
        <v>0.99989269999999997</v>
      </c>
      <c r="Q7532">
        <v>-4.6199020000000004E-3</v>
      </c>
      <c r="R7532">
        <v>1.390925E-2</v>
      </c>
      <c r="S7532">
        <v>3.0029300000000001</v>
      </c>
      <c r="T7532">
        <v>-3.0503269999999999E-2</v>
      </c>
      <c r="U7532">
        <v>-0.1997681</v>
      </c>
      <c r="V7532">
        <v>3.812897E-3</v>
      </c>
      <c r="W7532">
        <v>9.2169580000000008E-3</v>
      </c>
      <c r="X7532">
        <v>0.99995020000000001</v>
      </c>
      <c r="Y7532">
        <v>8.4052219999999997E-2</v>
      </c>
      <c r="Z7532">
        <v>-9.4335529999999999E-4</v>
      </c>
      <c r="AA7532">
        <v>0.99646089999999998</v>
      </c>
      <c r="AB7532">
        <v>25</v>
      </c>
      <c r="AC7532">
        <v>68.447900000000004</v>
      </c>
      <c r="AD7532">
        <v>-0.69672389999999995</v>
      </c>
      <c r="AE7532">
        <v>-4.5662500000000001</v>
      </c>
      <c r="AF7532">
        <v>5.7788212688999803</v>
      </c>
      <c r="AG7532">
        <v>-0.69672389999999995</v>
      </c>
      <c r="AH7532">
        <v>68.349105188173397</v>
      </c>
      <c r="AI7532">
        <v>90.581954224163496</v>
      </c>
      <c r="AJ7532">
        <v>85.167215755391595</v>
      </c>
      <c r="AK7532">
        <v>68.5965041345017</v>
      </c>
      <c r="AL7532">
        <v>89.471899700987393</v>
      </c>
      <c r="AM7532">
        <v>89.781527273020899</v>
      </c>
      <c r="AN7532">
        <v>0.99999994648917101</v>
      </c>
    </row>
    <row r="7533" spans="1:40" x14ac:dyDescent="0.25">
      <c r="A7533" t="str">
        <f>"20190303153955208"</f>
        <v>20190303153955208</v>
      </c>
      <c r="B7533" t="str">
        <f>"1551598795195976"</f>
        <v>1551598795195976</v>
      </c>
      <c r="C7533" t="s">
        <v>40</v>
      </c>
      <c r="D7533">
        <v>4.4638900000000001</v>
      </c>
      <c r="E7533">
        <v>0.51846789999999998</v>
      </c>
      <c r="F7533" t="s">
        <v>79</v>
      </c>
      <c r="G7533">
        <v>-279.68</v>
      </c>
      <c r="H7533">
        <v>0.1019669</v>
      </c>
      <c r="I7533">
        <v>14.32037</v>
      </c>
      <c r="J7533">
        <v>-347.96100000000001</v>
      </c>
      <c r="K7533">
        <v>1.121964</v>
      </c>
      <c r="L7533">
        <v>17.413450000000001</v>
      </c>
      <c r="M7533">
        <v>0.99973749999999995</v>
      </c>
      <c r="N7533">
        <v>-1.3830749999999999E-2</v>
      </c>
      <c r="O7533">
        <v>1.8269629999999999E-2</v>
      </c>
      <c r="P7533">
        <v>0.99988949999999999</v>
      </c>
      <c r="Q7533">
        <v>-4.2917780000000004E-3</v>
      </c>
      <c r="R7533">
        <v>1.424169E-2</v>
      </c>
      <c r="S7533">
        <v>3.002014</v>
      </c>
      <c r="T7533">
        <v>-4.4737220000000001E-2</v>
      </c>
      <c r="U7533">
        <v>-0.13549800000000001</v>
      </c>
      <c r="V7533">
        <v>4.0179609999999996E-3</v>
      </c>
      <c r="W7533">
        <v>9.5440520000000008E-3</v>
      </c>
      <c r="X7533">
        <v>0.99994640000000001</v>
      </c>
      <c r="Y7533">
        <v>6.3321530000000001E-2</v>
      </c>
      <c r="Z7533">
        <v>-9.2931269999999998E-4</v>
      </c>
      <c r="AA7533">
        <v>0.99799280000000001</v>
      </c>
      <c r="AB7533">
        <v>25</v>
      </c>
      <c r="AC7533">
        <v>68.281000000000006</v>
      </c>
      <c r="AD7533">
        <v>-1.0199971000000001</v>
      </c>
      <c r="AE7533">
        <v>-3.0930800000000001</v>
      </c>
      <c r="AF7533">
        <v>4.33918519700853</v>
      </c>
      <c r="AG7533">
        <v>-1.0199971000000001</v>
      </c>
      <c r="AH7533">
        <v>68.197899406107993</v>
      </c>
      <c r="AI7533">
        <v>90.855147471632307</v>
      </c>
      <c r="AJ7533">
        <v>86.359384677998193</v>
      </c>
      <c r="AK7533">
        <v>68.343415232658401</v>
      </c>
      <c r="AL7533">
        <v>89.453157808645997</v>
      </c>
      <c r="AM7533">
        <v>89.769776691452705</v>
      </c>
      <c r="AN7533">
        <v>1.00000001790606</v>
      </c>
    </row>
    <row r="7534" spans="1:40" x14ac:dyDescent="0.25">
      <c r="A7534" t="str">
        <f>"20190303153955221"</f>
        <v>20190303153955221</v>
      </c>
      <c r="B7534" t="str">
        <f>"1551598795216472"</f>
        <v>1551598795216472</v>
      </c>
      <c r="C7534" t="s">
        <v>40</v>
      </c>
      <c r="D7534">
        <v>4.4381709999999996</v>
      </c>
      <c r="E7534">
        <v>0.51494419999999996</v>
      </c>
      <c r="F7534" t="s">
        <v>79</v>
      </c>
      <c r="G7534">
        <v>-279.68</v>
      </c>
      <c r="H7534">
        <v>1.406872E-2</v>
      </c>
      <c r="I7534">
        <v>15.02051</v>
      </c>
      <c r="J7534">
        <v>-347.83539999999999</v>
      </c>
      <c r="K7534">
        <v>1.121931</v>
      </c>
      <c r="L7534">
        <v>17.4162</v>
      </c>
      <c r="M7534">
        <v>0.99973080000000003</v>
      </c>
      <c r="N7534">
        <v>-1.383002E-2</v>
      </c>
      <c r="O7534">
        <v>1.8630500000000001E-2</v>
      </c>
      <c r="P7534">
        <v>0.99988639999999995</v>
      </c>
      <c r="Q7534">
        <v>-4.1090839999999998E-3</v>
      </c>
      <c r="R7534">
        <v>1.4507259999999999E-2</v>
      </c>
      <c r="S7534">
        <v>3.0016479999999999</v>
      </c>
      <c r="T7534">
        <v>-4.870319E-2</v>
      </c>
      <c r="U7534">
        <v>-0.1051941</v>
      </c>
      <c r="V7534">
        <v>4.1139669999999996E-3</v>
      </c>
      <c r="W7534">
        <v>9.7257200000000002E-3</v>
      </c>
      <c r="X7534">
        <v>0.99994430000000001</v>
      </c>
      <c r="Y7534">
        <v>5.3625609999999997E-2</v>
      </c>
      <c r="Z7534">
        <v>-8.5049369999999895E-4</v>
      </c>
      <c r="AA7534">
        <v>0.99856069999999997</v>
      </c>
      <c r="AB7534">
        <v>25</v>
      </c>
      <c r="AC7534">
        <v>68.155399999999901</v>
      </c>
      <c r="AD7534">
        <v>-1.10786228</v>
      </c>
      <c r="AE7534">
        <v>-2.3956900000000001</v>
      </c>
      <c r="AF7534">
        <v>3.6641977536488199</v>
      </c>
      <c r="AG7534">
        <v>-1.10786228</v>
      </c>
      <c r="AH7534">
        <v>68.080964947943897</v>
      </c>
      <c r="AI7534">
        <v>90.930928618693599</v>
      </c>
      <c r="AJ7534">
        <v>86.9192460334381</v>
      </c>
      <c r="AK7534">
        <v>68.188499706713401</v>
      </c>
      <c r="AL7534">
        <v>89.442748538730598</v>
      </c>
      <c r="AM7534">
        <v>89.764275253902397</v>
      </c>
      <c r="AN7534">
        <v>1.00000005872824</v>
      </c>
    </row>
    <row r="7535" spans="1:40" x14ac:dyDescent="0.25">
      <c r="A7535" t="str">
        <f>"20190303153955232"</f>
        <v>20190303153955232</v>
      </c>
      <c r="B7535" t="str">
        <f>"1551598795226232"</f>
        <v>1551598795226232</v>
      </c>
      <c r="C7535" t="s">
        <v>40</v>
      </c>
      <c r="D7535">
        <v>4.4014530000000001</v>
      </c>
      <c r="E7535">
        <v>0.51387649999999996</v>
      </c>
      <c r="F7535" t="s">
        <v>43</v>
      </c>
      <c r="G7535">
        <v>-282.84699999999998</v>
      </c>
      <c r="H7535">
        <v>-0.05</v>
      </c>
      <c r="I7535">
        <v>15.76149</v>
      </c>
      <c r="J7535">
        <v>-347.7165</v>
      </c>
      <c r="K7535">
        <v>1.1218980000000001</v>
      </c>
      <c r="L7535">
        <v>17.418789999999898</v>
      </c>
      <c r="M7535">
        <v>0.99972459999999996</v>
      </c>
      <c r="N7535">
        <v>-1.3829320000000001E-2</v>
      </c>
      <c r="O7535">
        <v>1.896074E-2</v>
      </c>
      <c r="P7535">
        <v>0.99988350000000004</v>
      </c>
      <c r="Q7535">
        <v>-3.6552659999999999E-3</v>
      </c>
      <c r="R7535">
        <v>1.4824759999999999E-2</v>
      </c>
      <c r="S7535">
        <v>3.0012210000000001</v>
      </c>
      <c r="T7535">
        <v>-5.412078E-2</v>
      </c>
      <c r="U7535">
        <v>-7.6416020000000001E-2</v>
      </c>
      <c r="V7535">
        <v>4.1273229999999996E-3</v>
      </c>
      <c r="W7535">
        <v>1.0178690000000001E-2</v>
      </c>
      <c r="X7535">
        <v>0.99993969999999999</v>
      </c>
      <c r="Y7535">
        <v>4.4392319999999999E-2</v>
      </c>
      <c r="Z7535">
        <v>-7.8689509999999995E-4</v>
      </c>
      <c r="AA7535">
        <v>0.99901379999999995</v>
      </c>
      <c r="AB7535">
        <v>25</v>
      </c>
      <c r="AC7535">
        <v>64.869500000000002</v>
      </c>
      <c r="AD7535">
        <v>-1.1718979999999899</v>
      </c>
      <c r="AE7535">
        <v>-1.65729999999999</v>
      </c>
      <c r="AF7535">
        <v>2.8861520296099901</v>
      </c>
      <c r="AG7535">
        <v>-1.1718979999999899</v>
      </c>
      <c r="AH7535">
        <v>64.805273344963894</v>
      </c>
      <c r="AI7535">
        <v>91.034962440311801</v>
      </c>
      <c r="AJ7535">
        <v>87.449974022332697</v>
      </c>
      <c r="AK7535">
        <v>64.880094572803401</v>
      </c>
      <c r="AL7535">
        <v>89.416793964028898</v>
      </c>
      <c r="AM7535">
        <v>89.763508893932993</v>
      </c>
      <c r="AN7535">
        <v>1.00000002208067</v>
      </c>
    </row>
    <row r="7536" spans="1:40" x14ac:dyDescent="0.25">
      <c r="A7536" t="str">
        <f>"20190303153955243"</f>
        <v>20190303153955243</v>
      </c>
      <c r="B7536" t="str">
        <f>"1551598795235991"</f>
        <v>1551598795235991</v>
      </c>
      <c r="C7536" t="s">
        <v>40</v>
      </c>
      <c r="D7536">
        <v>4.4047989999999997</v>
      </c>
      <c r="E7536">
        <v>0.51316030000000001</v>
      </c>
      <c r="F7536" t="s">
        <v>43</v>
      </c>
      <c r="G7536">
        <v>-284.97829999999999</v>
      </c>
      <c r="H7536">
        <v>-0.05</v>
      </c>
      <c r="I7536">
        <v>16.017810000000001</v>
      </c>
      <c r="J7536">
        <v>-347.577</v>
      </c>
      <c r="K7536">
        <v>1.121858</v>
      </c>
      <c r="L7536">
        <v>17.42191</v>
      </c>
      <c r="M7536">
        <v>0.9997182</v>
      </c>
      <c r="N7536">
        <v>-1.3828379999999999E-2</v>
      </c>
      <c r="O7536">
        <v>1.929778E-2</v>
      </c>
      <c r="P7536">
        <v>0.99988250000000001</v>
      </c>
      <c r="Q7536">
        <v>-3.1146239999999999E-3</v>
      </c>
      <c r="R7536">
        <v>1.5018210000000001E-2</v>
      </c>
      <c r="S7536">
        <v>3.001099</v>
      </c>
      <c r="T7536">
        <v>-5.6058049999999998E-2</v>
      </c>
      <c r="U7536">
        <v>-6.7016599999999996E-2</v>
      </c>
      <c r="V7536">
        <v>4.271543E-3</v>
      </c>
      <c r="W7536">
        <v>1.071797E-2</v>
      </c>
      <c r="X7536">
        <v>0.99993339999999997</v>
      </c>
      <c r="Y7536">
        <v>4.1602920000000002E-2</v>
      </c>
      <c r="Z7536">
        <v>-7.6977999999999997E-4</v>
      </c>
      <c r="AA7536">
        <v>0.99913390000000002</v>
      </c>
      <c r="AB7536">
        <v>25</v>
      </c>
      <c r="AC7536">
        <v>62.598700000000001</v>
      </c>
      <c r="AD7536">
        <v>-1.1718580000000001</v>
      </c>
      <c r="AE7536">
        <v>-1.4040999999999899</v>
      </c>
      <c r="AF7536">
        <v>2.6110553023579799</v>
      </c>
      <c r="AG7536">
        <v>-1.1718580000000001</v>
      </c>
      <c r="AH7536">
        <v>62.538036975183097</v>
      </c>
      <c r="AI7536">
        <v>91.072567032448305</v>
      </c>
      <c r="AJ7536">
        <v>87.609205234831904</v>
      </c>
      <c r="AK7536">
        <v>62.603489756350598</v>
      </c>
      <c r="AL7536">
        <v>89.385893773198305</v>
      </c>
      <c r="AM7536">
        <v>89.755243802034101</v>
      </c>
      <c r="AN7536">
        <v>0.99999996269804003</v>
      </c>
    </row>
    <row r="7537" spans="1:40" x14ac:dyDescent="0.25">
      <c r="A7537" t="str">
        <f>"20190303153955255"</f>
        <v>20190303153955255</v>
      </c>
      <c r="B7537" t="str">
        <f>"1551598795245751"</f>
        <v>1551598795245751</v>
      </c>
      <c r="C7537" t="s">
        <v>40</v>
      </c>
      <c r="D7537">
        <v>4.4052040000000003</v>
      </c>
      <c r="E7537">
        <v>0.51269169999999997</v>
      </c>
      <c r="F7537" t="s">
        <v>43</v>
      </c>
      <c r="G7537">
        <v>-285.89400000000001</v>
      </c>
      <c r="H7537">
        <v>-0.05</v>
      </c>
      <c r="I7537">
        <v>16.172419999999999</v>
      </c>
      <c r="J7537">
        <v>-347.45400000000001</v>
      </c>
      <c r="K7537">
        <v>1.1218170000000001</v>
      </c>
      <c r="L7537">
        <v>17.424589999999998</v>
      </c>
      <c r="M7537">
        <v>0.99971299999999996</v>
      </c>
      <c r="N7537">
        <v>-1.3827580000000001E-2</v>
      </c>
      <c r="O7537">
        <v>1.9564660000000001E-2</v>
      </c>
      <c r="P7537">
        <v>0.99988160000000004</v>
      </c>
      <c r="Q7537">
        <v>-2.2435910000000001E-3</v>
      </c>
      <c r="R7537">
        <v>1.522752E-2</v>
      </c>
      <c r="S7537">
        <v>3.0010680000000001</v>
      </c>
      <c r="T7537">
        <v>-5.7014469999999998E-2</v>
      </c>
      <c r="U7537">
        <v>-6.0791020000000001E-2</v>
      </c>
      <c r="V7537">
        <v>4.3295590000000002E-3</v>
      </c>
      <c r="W7537">
        <v>1.158766E-2</v>
      </c>
      <c r="X7537">
        <v>0.99992349999999997</v>
      </c>
      <c r="Y7537">
        <v>3.9798279999999998E-2</v>
      </c>
      <c r="Z7537">
        <v>-7.5432289999999996E-4</v>
      </c>
      <c r="AA7537">
        <v>0.99920739999999997</v>
      </c>
      <c r="AB7537">
        <v>25</v>
      </c>
      <c r="AC7537">
        <v>61.56</v>
      </c>
      <c r="AD7537">
        <v>-1.1718170000000001</v>
      </c>
      <c r="AE7537">
        <v>-1.25216999999999</v>
      </c>
      <c r="AF7537">
        <v>2.45555648183558</v>
      </c>
      <c r="AG7537">
        <v>-1.1718170000000001</v>
      </c>
      <c r="AH7537">
        <v>61.501438627408</v>
      </c>
      <c r="AI7537">
        <v>91.090683640756595</v>
      </c>
      <c r="AJ7537">
        <v>87.713576537676801</v>
      </c>
      <c r="AK7537">
        <v>61.561594082332</v>
      </c>
      <c r="AL7537">
        <v>89.336061136961504</v>
      </c>
      <c r="AM7537">
        <v>89.751917114028402</v>
      </c>
      <c r="AN7537">
        <v>1.00000001239883</v>
      </c>
    </row>
    <row r="7538" spans="1:40" x14ac:dyDescent="0.25">
      <c r="A7538" t="str">
        <f>"20190303153955266"</f>
        <v>20190303153955266</v>
      </c>
      <c r="B7538" t="str">
        <f>"1551598795256488"</f>
        <v>1551598795256488</v>
      </c>
      <c r="C7538" t="s">
        <v>40</v>
      </c>
      <c r="D7538">
        <v>4.391235</v>
      </c>
      <c r="E7538">
        <v>0.51229829999999998</v>
      </c>
      <c r="F7538" t="s">
        <v>43</v>
      </c>
      <c r="G7538">
        <v>-284.81810000000002</v>
      </c>
      <c r="H7538">
        <v>-0.05</v>
      </c>
      <c r="I7538">
        <v>16.245639999999899</v>
      </c>
      <c r="J7538">
        <v>-347.33049999999997</v>
      </c>
      <c r="K7538">
        <v>1.1217760000000001</v>
      </c>
      <c r="L7538">
        <v>17.427309999999999</v>
      </c>
      <c r="M7538">
        <v>0.99970829999999999</v>
      </c>
      <c r="N7538">
        <v>-1.382679E-2</v>
      </c>
      <c r="O7538">
        <v>1.980649E-2</v>
      </c>
      <c r="P7538">
        <v>0.99988259999999995</v>
      </c>
      <c r="Q7538">
        <v>-1.851976E-3</v>
      </c>
      <c r="R7538">
        <v>1.5220610000000001E-2</v>
      </c>
      <c r="S7538">
        <v>3.001099</v>
      </c>
      <c r="T7538">
        <v>-5.6145790000000001E-2</v>
      </c>
      <c r="U7538">
        <v>-5.6488040000000003E-2</v>
      </c>
      <c r="V7538">
        <v>4.579255E-3</v>
      </c>
      <c r="W7538">
        <v>1.197817E-2</v>
      </c>
      <c r="X7538">
        <v>0.99991770000000002</v>
      </c>
      <c r="Y7538">
        <v>3.8608320000000002E-2</v>
      </c>
      <c r="Z7538">
        <v>-7.2471660000000002E-4</v>
      </c>
      <c r="AA7538">
        <v>0.99925419999999998</v>
      </c>
      <c r="AB7538">
        <v>24</v>
      </c>
      <c r="AC7538">
        <v>62.5123999999999</v>
      </c>
      <c r="AD7538">
        <v>-1.1717759999999999</v>
      </c>
      <c r="AE7538">
        <v>-1.18167</v>
      </c>
      <c r="AF7538">
        <v>2.4188580518114802</v>
      </c>
      <c r="AG7538">
        <v>-1.1717759999999999</v>
      </c>
      <c r="AH7538">
        <v>62.454791262325202</v>
      </c>
      <c r="AI7538">
        <v>91.074051533868001</v>
      </c>
      <c r="AJ7538">
        <v>87.7820576732163</v>
      </c>
      <c r="AK7538">
        <v>62.5125978094784</v>
      </c>
      <c r="AL7538">
        <v>89.313684949878294</v>
      </c>
      <c r="AM7538">
        <v>89.737608254567107</v>
      </c>
      <c r="AN7538">
        <v>0.99999992645309399</v>
      </c>
    </row>
    <row r="7539" spans="1:40" x14ac:dyDescent="0.25">
      <c r="A7539" t="str">
        <f>"20190303153955277"</f>
        <v>20190303153955277</v>
      </c>
      <c r="B7539" t="str">
        <f>"1551598795266248"</f>
        <v>1551598795266248</v>
      </c>
      <c r="C7539" t="s">
        <v>40</v>
      </c>
      <c r="D7539">
        <v>4.4297930000000001</v>
      </c>
      <c r="E7539">
        <v>0.51201359999999996</v>
      </c>
      <c r="F7539" t="s">
        <v>43</v>
      </c>
      <c r="G7539">
        <v>-285.78500000000003</v>
      </c>
      <c r="H7539">
        <v>-0.05</v>
      </c>
      <c r="I7539">
        <v>16.33081</v>
      </c>
      <c r="J7539">
        <v>-347.21089999999998</v>
      </c>
      <c r="K7539">
        <v>1.121734</v>
      </c>
      <c r="L7539">
        <v>17.429960000000001</v>
      </c>
      <c r="M7539">
        <v>0.9997045</v>
      </c>
      <c r="N7539">
        <v>-1.382591E-2</v>
      </c>
      <c r="O7539">
        <v>1.9995200000000001E-2</v>
      </c>
      <c r="P7539">
        <v>0.99988489999999997</v>
      </c>
      <c r="Q7539">
        <v>-1.7198319999999999E-3</v>
      </c>
      <c r="R7539">
        <v>1.508279E-2</v>
      </c>
      <c r="S7539">
        <v>3.0010680000000001</v>
      </c>
      <c r="T7539">
        <v>-5.7137849999999997E-2</v>
      </c>
      <c r="U7539">
        <v>-5.3466800000000002E-2</v>
      </c>
      <c r="V7539">
        <v>4.9071189999999997E-3</v>
      </c>
      <c r="W7539">
        <v>1.210929E-2</v>
      </c>
      <c r="X7539">
        <v>0.99991459999999999</v>
      </c>
      <c r="Y7539">
        <v>3.7791379999999999E-2</v>
      </c>
      <c r="Z7539">
        <v>-7.2520869999999999E-4</v>
      </c>
      <c r="AA7539">
        <v>0.99928539999999999</v>
      </c>
      <c r="AB7539">
        <v>24</v>
      </c>
      <c r="AC7539">
        <v>61.425899999999899</v>
      </c>
      <c r="AD7539">
        <v>-1.1717340000000001</v>
      </c>
      <c r="AE7539">
        <v>-1.0991500000000001</v>
      </c>
      <c r="AF7539">
        <v>2.3264244814413</v>
      </c>
      <c r="AG7539">
        <v>-1.1717340000000001</v>
      </c>
      <c r="AH7539">
        <v>61.369313562176401</v>
      </c>
      <c r="AI7539">
        <v>91.093039556333693</v>
      </c>
      <c r="AJ7539">
        <v>87.829037010550493</v>
      </c>
      <c r="AK7539">
        <v>61.424570478981202</v>
      </c>
      <c r="AL7539">
        <v>89.306171805768699</v>
      </c>
      <c r="AM7539">
        <v>89.718821036138905</v>
      </c>
      <c r="AN7539">
        <v>0.99999996100717103</v>
      </c>
    </row>
    <row r="7540" spans="1:40" x14ac:dyDescent="0.25">
      <c r="A7540" t="str">
        <f>"20190303153955293"</f>
        <v>20190303153955293</v>
      </c>
      <c r="B7540" t="str">
        <f>"1551598795285768"</f>
        <v>1551598795285768</v>
      </c>
      <c r="C7540" t="s">
        <v>40</v>
      </c>
      <c r="D7540">
        <v>4.4201689999999996</v>
      </c>
      <c r="E7540">
        <v>0.5115693</v>
      </c>
      <c r="F7540" t="s">
        <v>43</v>
      </c>
      <c r="G7540">
        <v>-286.59249999999997</v>
      </c>
      <c r="H7540">
        <v>-0.05</v>
      </c>
      <c r="I7540">
        <v>16.386959999999998</v>
      </c>
      <c r="J7540">
        <v>-347.04160000000002</v>
      </c>
      <c r="K7540">
        <v>1.1216699999999999</v>
      </c>
      <c r="L7540">
        <v>17.433620000000001</v>
      </c>
      <c r="M7540">
        <v>0.99970000000000003</v>
      </c>
      <c r="N7540">
        <v>-1.3824599999999999E-2</v>
      </c>
      <c r="O7540">
        <v>2.021999E-2</v>
      </c>
      <c r="P7540">
        <v>0.99988339999999998</v>
      </c>
      <c r="Q7540">
        <v>-1.3123290000000001E-3</v>
      </c>
      <c r="R7540">
        <v>1.522286E-2</v>
      </c>
      <c r="S7540">
        <v>3.0010379999999999</v>
      </c>
      <c r="T7540">
        <v>-5.8009030000000003E-2</v>
      </c>
      <c r="U7540">
        <v>-5.1635739999999999E-2</v>
      </c>
      <c r="V7540">
        <v>4.9935450000000003E-3</v>
      </c>
      <c r="W7540">
        <v>1.251504E-2</v>
      </c>
      <c r="X7540">
        <v>0.99990919999999905</v>
      </c>
      <c r="Y7540">
        <v>3.7406540000000002E-2</v>
      </c>
      <c r="Z7540">
        <v>-7.3136190000000002E-4</v>
      </c>
      <c r="AA7540">
        <v>0.99929990000000002</v>
      </c>
      <c r="AB7540">
        <v>24</v>
      </c>
      <c r="AC7540">
        <v>60.449100000000001</v>
      </c>
      <c r="AD7540">
        <v>-1.17167</v>
      </c>
      <c r="AE7540">
        <v>-1.0466599999999899</v>
      </c>
      <c r="AF7540">
        <v>2.26799114591934</v>
      </c>
      <c r="AG7540">
        <v>-1.17167</v>
      </c>
      <c r="AH7540">
        <v>60.392891377795102</v>
      </c>
      <c r="AI7540">
        <v>91.110661431369607</v>
      </c>
      <c r="AJ7540">
        <v>87.849328263527397</v>
      </c>
      <c r="AK7540">
        <v>60.446818968387703</v>
      </c>
      <c r="AL7540">
        <v>89.282922297099503</v>
      </c>
      <c r="AM7540">
        <v>89.713867344332499</v>
      </c>
      <c r="AN7540">
        <v>0.99999998498125398</v>
      </c>
    </row>
    <row r="7541" spans="1:40" x14ac:dyDescent="0.25">
      <c r="A7541" t="str">
        <f>"20190303153955310"</f>
        <v>20190303153955310</v>
      </c>
      <c r="B7541" t="str">
        <f>"1551598795306263"</f>
        <v>1551598795306263</v>
      </c>
      <c r="C7541" t="s">
        <v>40</v>
      </c>
      <c r="D7541">
        <v>4.3887299999999998</v>
      </c>
      <c r="E7541">
        <v>0.51129659999999999</v>
      </c>
      <c r="F7541" t="s">
        <v>43</v>
      </c>
      <c r="G7541">
        <v>-289.483</v>
      </c>
      <c r="H7541">
        <v>-0.05</v>
      </c>
      <c r="I7541">
        <v>16.516999999999999</v>
      </c>
      <c r="J7541">
        <v>-346.85719999999998</v>
      </c>
      <c r="K7541">
        <v>1.1215980000000001</v>
      </c>
      <c r="L7541">
        <v>17.437650000000001</v>
      </c>
      <c r="M7541">
        <v>0.99969669999999999</v>
      </c>
      <c r="N7541">
        <v>-1.382311E-2</v>
      </c>
      <c r="O7541">
        <v>2.0386640000000001E-2</v>
      </c>
      <c r="P7541">
        <v>0.99988359999999998</v>
      </c>
      <c r="Q7541">
        <v>-1.4890329999999901E-3</v>
      </c>
      <c r="R7541">
        <v>1.51912E-2</v>
      </c>
      <c r="S7541">
        <v>3.001007</v>
      </c>
      <c r="T7541">
        <v>-6.1088919999999998E-2</v>
      </c>
      <c r="U7541">
        <v>-4.7790529999999998E-2</v>
      </c>
      <c r="V7541">
        <v>5.1942910000000002E-3</v>
      </c>
      <c r="W7541">
        <v>1.233529E-2</v>
      </c>
      <c r="X7541">
        <v>0.99991039999999998</v>
      </c>
      <c r="Y7541">
        <v>3.6292449999999997E-2</v>
      </c>
      <c r="Z7541">
        <v>-7.5335739999999999E-4</v>
      </c>
      <c r="AA7541">
        <v>0.99934100000000003</v>
      </c>
      <c r="AB7541">
        <v>24</v>
      </c>
      <c r="AC7541">
        <v>57.374199999999902</v>
      </c>
      <c r="AD7541">
        <v>-1.1715979999999999</v>
      </c>
      <c r="AE7541">
        <v>-0.92065000000000197</v>
      </c>
      <c r="AF7541">
        <v>2.0893664255739699</v>
      </c>
      <c r="AG7541">
        <v>-1.1715979999999999</v>
      </c>
      <c r="AH7541">
        <v>57.319607482835998</v>
      </c>
      <c r="AI7541">
        <v>91.170170991849702</v>
      </c>
      <c r="AJ7541">
        <v>87.912426381868201</v>
      </c>
      <c r="AK7541">
        <v>57.369639147551801</v>
      </c>
      <c r="AL7541">
        <v>89.2932220009871</v>
      </c>
      <c r="AM7541">
        <v>89.702365057062494</v>
      </c>
      <c r="AN7541">
        <v>0.99999997403326801</v>
      </c>
    </row>
    <row r="7542" spans="1:40" x14ac:dyDescent="0.25">
      <c r="A7542" t="str">
        <f>"20190303153955323"</f>
        <v>20190303153955323</v>
      </c>
      <c r="B7542" t="str">
        <f>"1551598795316023"</f>
        <v>1551598795316023</v>
      </c>
      <c r="C7542" t="s">
        <v>40</v>
      </c>
      <c r="D7542">
        <v>4.4093269999999896</v>
      </c>
      <c r="E7542">
        <v>0.51119040000000004</v>
      </c>
      <c r="F7542" t="s">
        <v>43</v>
      </c>
      <c r="G7542">
        <v>-292.66410000000002</v>
      </c>
      <c r="H7542">
        <v>-0.05</v>
      </c>
      <c r="I7542">
        <v>16.610979999999898</v>
      </c>
      <c r="J7542">
        <v>-346.70699999999999</v>
      </c>
      <c r="K7542">
        <v>1.12154</v>
      </c>
      <c r="L7542">
        <v>17.440860000000001</v>
      </c>
      <c r="M7542">
        <v>0.99969540000000001</v>
      </c>
      <c r="N7542">
        <v>-1.382188E-2</v>
      </c>
      <c r="O7542">
        <v>2.04558E-2</v>
      </c>
      <c r="P7542">
        <v>0.99988460000000001</v>
      </c>
      <c r="Q7542">
        <v>-1.13196E-3</v>
      </c>
      <c r="R7542">
        <v>1.5161239999999999E-2</v>
      </c>
      <c r="S7542">
        <v>3.0009160000000001</v>
      </c>
      <c r="T7542">
        <v>-6.4876680000000006E-2</v>
      </c>
      <c r="U7542">
        <v>-4.5776369999999997E-2</v>
      </c>
      <c r="V7542">
        <v>5.2950230000000003E-3</v>
      </c>
      <c r="W7542">
        <v>1.269051E-2</v>
      </c>
      <c r="X7542">
        <v>0.9999055</v>
      </c>
      <c r="Y7542">
        <v>3.569025E-2</v>
      </c>
      <c r="Z7542">
        <v>-7.9187539999999996E-4</v>
      </c>
      <c r="AA7542">
        <v>0.99936259999999999</v>
      </c>
      <c r="AB7542">
        <v>24</v>
      </c>
      <c r="AC7542">
        <v>54.042899999999896</v>
      </c>
      <c r="AD7542">
        <v>-1.17154</v>
      </c>
      <c r="AE7542">
        <v>-0.82988000000000195</v>
      </c>
      <c r="AF7542">
        <v>1.9343936575575</v>
      </c>
      <c r="AG7542">
        <v>-1.17154</v>
      </c>
      <c r="AH7542">
        <v>53.989246927083002</v>
      </c>
      <c r="AI7542">
        <v>91.242298152834096</v>
      </c>
      <c r="AJ7542">
        <v>87.948013562707104</v>
      </c>
      <c r="AK7542">
        <v>54.036591015232801</v>
      </c>
      <c r="AL7542">
        <v>89.272867853545904</v>
      </c>
      <c r="AM7542">
        <v>89.696591693417105</v>
      </c>
      <c r="AN7542">
        <v>1.0000000476214299</v>
      </c>
    </row>
    <row r="7543" spans="1:40" x14ac:dyDescent="0.25">
      <c r="A7543" t="str">
        <f>"20190303153955337"</f>
        <v>20190303153955337</v>
      </c>
      <c r="B7543" t="str">
        <f>"1551598795325783"</f>
        <v>1551598795325783</v>
      </c>
      <c r="C7543" t="s">
        <v>40</v>
      </c>
      <c r="D7543">
        <v>4.3843649999999998</v>
      </c>
      <c r="E7543">
        <v>0.51108129999999996</v>
      </c>
      <c r="F7543" t="s">
        <v>43</v>
      </c>
      <c r="G7543">
        <v>-292.63310000000001</v>
      </c>
      <c r="H7543">
        <v>-0.05</v>
      </c>
      <c r="I7543">
        <v>16.629200000000001</v>
      </c>
      <c r="J7543">
        <v>-346.56029999999998</v>
      </c>
      <c r="K7543">
        <v>1.1214919999999999</v>
      </c>
      <c r="L7543">
        <v>17.443939999999898</v>
      </c>
      <c r="M7543">
        <v>0.99969450000000004</v>
      </c>
      <c r="N7543">
        <v>-1.382068E-2</v>
      </c>
      <c r="O7543">
        <v>2.0491510000000001E-2</v>
      </c>
      <c r="P7543">
        <v>0.99988489999999997</v>
      </c>
      <c r="Q7543">
        <v>-1.017074E-3</v>
      </c>
      <c r="R7543">
        <v>1.513022E-2</v>
      </c>
      <c r="S7543">
        <v>3.0009459999999999</v>
      </c>
      <c r="T7543">
        <v>-6.5017099999999994E-2</v>
      </c>
      <c r="U7543">
        <v>-4.5043949999999999E-2</v>
      </c>
      <c r="V7543">
        <v>5.3634809999999998E-3</v>
      </c>
      <c r="W7543">
        <v>1.2803510000000001E-2</v>
      </c>
      <c r="X7543">
        <v>0.9999036</v>
      </c>
      <c r="Y7543">
        <v>3.548196E-2</v>
      </c>
      <c r="Z7543">
        <v>-7.9024610000000002E-4</v>
      </c>
      <c r="AA7543">
        <v>0.99936999999999998</v>
      </c>
      <c r="AB7543">
        <v>24</v>
      </c>
      <c r="AC7543">
        <v>53.9271999999999</v>
      </c>
      <c r="AD7543">
        <v>-1.171492</v>
      </c>
      <c r="AE7543">
        <v>-0.81473999999999602</v>
      </c>
      <c r="AF7543">
        <v>1.9188188909588499</v>
      </c>
      <c r="AG7543">
        <v>-1.171492</v>
      </c>
      <c r="AH7543">
        <v>53.873759748599902</v>
      </c>
      <c r="AI7543">
        <v>91.244918817982395</v>
      </c>
      <c r="AJ7543">
        <v>87.960161475244206</v>
      </c>
      <c r="AK7543">
        <v>53.9206477046801</v>
      </c>
      <c r="AL7543">
        <v>89.266392835313496</v>
      </c>
      <c r="AM7543">
        <v>89.692668495700303</v>
      </c>
      <c r="AN7543">
        <v>0.999999953044857</v>
      </c>
    </row>
    <row r="7544" spans="1:40" x14ac:dyDescent="0.25">
      <c r="A7544" t="str">
        <f>"20190303153955350"</f>
        <v>20190303153955350</v>
      </c>
      <c r="B7544" t="str">
        <f>"1551598795346280"</f>
        <v>1551598795346280</v>
      </c>
      <c r="C7544" t="s">
        <v>40</v>
      </c>
      <c r="D7544">
        <v>4.4087759999999996</v>
      </c>
      <c r="E7544">
        <v>0.51085879999999995</v>
      </c>
      <c r="F7544" t="s">
        <v>43</v>
      </c>
      <c r="G7544">
        <v>-295.03629999999998</v>
      </c>
      <c r="H7544">
        <v>-0.05</v>
      </c>
      <c r="I7544">
        <v>16.68262</v>
      </c>
      <c r="J7544">
        <v>-346.42380000000003</v>
      </c>
      <c r="K7544">
        <v>1.121453</v>
      </c>
      <c r="L7544">
        <v>17.446809999999999</v>
      </c>
      <c r="M7544">
        <v>0.99969419999999998</v>
      </c>
      <c r="N7544">
        <v>-1.381955E-2</v>
      </c>
      <c r="O7544">
        <v>2.050211E-2</v>
      </c>
      <c r="P7544">
        <v>0.99988080000000001</v>
      </c>
      <c r="Q7544">
        <v>-6.2811559999999896E-4</v>
      </c>
      <c r="R7544">
        <v>1.542609E-2</v>
      </c>
      <c r="S7544">
        <v>3.0009160000000001</v>
      </c>
      <c r="T7544">
        <v>-6.8231230000000004E-2</v>
      </c>
      <c r="U7544">
        <v>-4.4342039999999999E-2</v>
      </c>
      <c r="V7544">
        <v>5.0793349999999999E-3</v>
      </c>
      <c r="W7544">
        <v>1.319067E-2</v>
      </c>
      <c r="X7544">
        <v>0.99990009999999996</v>
      </c>
      <c r="Y7544">
        <v>3.5257820000000002E-2</v>
      </c>
      <c r="Z7544">
        <v>-8.2719279999999998E-4</v>
      </c>
      <c r="AA7544">
        <v>0.99937790000000004</v>
      </c>
      <c r="AB7544">
        <v>24</v>
      </c>
      <c r="AC7544">
        <v>51.387500000000003</v>
      </c>
      <c r="AD7544">
        <v>-1.1714530000000001</v>
      </c>
      <c r="AE7544">
        <v>-0.76418999999999904</v>
      </c>
      <c r="AF7544">
        <v>1.81673832863697</v>
      </c>
      <c r="AG7544">
        <v>-1.1714530000000001</v>
      </c>
      <c r="AH7544">
        <v>51.334356309423598</v>
      </c>
      <c r="AI7544">
        <v>91.306448528028497</v>
      </c>
      <c r="AJ7544">
        <v>87.973131026355802</v>
      </c>
      <c r="AK7544">
        <v>51.379849921820501</v>
      </c>
      <c r="AL7544">
        <v>89.244208363080702</v>
      </c>
      <c r="AM7544">
        <v>89.708948969006101</v>
      </c>
      <c r="AN7544">
        <v>1.0000000016995501</v>
      </c>
    </row>
    <row r="7545" spans="1:40" x14ac:dyDescent="0.25">
      <c r="A7545" t="str">
        <f>"20190303153955365"</f>
        <v>20190303153955365</v>
      </c>
      <c r="B7545" t="str">
        <f>"1551598795356040"</f>
        <v>1551598795356040</v>
      </c>
      <c r="C7545" t="s">
        <v>40</v>
      </c>
      <c r="D7545">
        <v>4.3905709999999996</v>
      </c>
      <c r="E7545">
        <v>0.5107351</v>
      </c>
      <c r="F7545" t="s">
        <v>43</v>
      </c>
      <c r="G7545">
        <v>-298.48360000000002</v>
      </c>
      <c r="H7545">
        <v>-0.05</v>
      </c>
      <c r="I7545">
        <v>16.778410000000001</v>
      </c>
      <c r="J7545">
        <v>-346.24880000000002</v>
      </c>
      <c r="K7545">
        <v>1.121407</v>
      </c>
      <c r="L7545">
        <v>17.450410000000002</v>
      </c>
      <c r="M7545">
        <v>0.99969540000000001</v>
      </c>
      <c r="N7545">
        <v>-1.3818E-2</v>
      </c>
      <c r="O7545">
        <v>2.0453740000000002E-2</v>
      </c>
      <c r="P7545">
        <v>0.99987519999999996</v>
      </c>
      <c r="Q7545">
        <v>4.8470959999999998E-4</v>
      </c>
      <c r="R7545">
        <v>1.579479E-2</v>
      </c>
      <c r="S7545">
        <v>3.0009459999999999</v>
      </c>
      <c r="T7545">
        <v>-7.3330160000000005E-2</v>
      </c>
      <c r="U7545">
        <v>-4.1839599999999998E-2</v>
      </c>
      <c r="V7545">
        <v>4.6641149999999999E-3</v>
      </c>
      <c r="W7545">
        <v>1.4301589999999999E-2</v>
      </c>
      <c r="X7545">
        <v>0.99988690000000002</v>
      </c>
      <c r="Y7545">
        <v>3.4374349999999998E-2</v>
      </c>
      <c r="Z7545">
        <v>-8.7454600000000003E-4</v>
      </c>
      <c r="AA7545">
        <v>0.99940870000000004</v>
      </c>
      <c r="AB7545">
        <v>24</v>
      </c>
      <c r="AC7545">
        <v>47.765199999999901</v>
      </c>
      <c r="AD7545">
        <v>-1.1714069999999901</v>
      </c>
      <c r="AE7545">
        <v>-0.67200000000000004</v>
      </c>
      <c r="AF7545">
        <v>1.64793862589609</v>
      </c>
      <c r="AG7545">
        <v>-1.1714069999999901</v>
      </c>
      <c r="AH7545">
        <v>47.712768710390797</v>
      </c>
      <c r="AI7545">
        <v>91.405561363222503</v>
      </c>
      <c r="AJ7545">
        <v>88.021862652470404</v>
      </c>
      <c r="AK7545">
        <v>47.7555880927627</v>
      </c>
      <c r="AL7545">
        <v>89.180551358558404</v>
      </c>
      <c r="AM7545">
        <v>89.732737606173501</v>
      </c>
      <c r="AN7545">
        <v>1.0000000511184299</v>
      </c>
    </row>
    <row r="7546" spans="1:40" x14ac:dyDescent="0.25">
      <c r="A7546" t="str">
        <f>"20190303153955377"</f>
        <v>20190303153955377</v>
      </c>
      <c r="B7546" t="str">
        <f>"1551598795365801"</f>
        <v>1551598795365801</v>
      </c>
      <c r="C7546" t="s">
        <v>40</v>
      </c>
      <c r="D7546">
        <v>4.3872580000000001</v>
      </c>
      <c r="E7546">
        <v>0.51067379999999996</v>
      </c>
      <c r="F7546" t="s">
        <v>43</v>
      </c>
      <c r="G7546">
        <v>-297.97559999999999</v>
      </c>
      <c r="H7546">
        <v>-0.05</v>
      </c>
      <c r="I7546">
        <v>16.811260000000001</v>
      </c>
      <c r="J7546">
        <v>-346.12729999999999</v>
      </c>
      <c r="K7546">
        <v>1.121383</v>
      </c>
      <c r="L7546">
        <v>17.45288</v>
      </c>
      <c r="M7546">
        <v>0.99969669999999999</v>
      </c>
      <c r="N7546">
        <v>-1.3816899999999899E-2</v>
      </c>
      <c r="O7546">
        <v>2.039082E-2</v>
      </c>
      <c r="P7546">
        <v>0.99987130000000002</v>
      </c>
      <c r="Q7546">
        <v>6.7037059999999998E-4</v>
      </c>
      <c r="R7546">
        <v>1.6033820000000001E-2</v>
      </c>
      <c r="S7546">
        <v>3.0010379999999999</v>
      </c>
      <c r="T7546">
        <v>-7.2823639999999995E-2</v>
      </c>
      <c r="U7546">
        <v>-3.9733890000000001E-2</v>
      </c>
      <c r="V7546">
        <v>4.3631820000000002E-3</v>
      </c>
      <c r="W7546">
        <v>1.448611E-2</v>
      </c>
      <c r="X7546">
        <v>0.99988560000000004</v>
      </c>
      <c r="Y7546">
        <v>3.3610470000000003E-2</v>
      </c>
      <c r="Z7546">
        <v>-8.5296880000000001E-4</v>
      </c>
      <c r="AA7546">
        <v>0.99943459999999995</v>
      </c>
      <c r="AB7546">
        <v>24</v>
      </c>
      <c r="AC7546">
        <v>48.151699999999998</v>
      </c>
      <c r="AD7546">
        <v>-1.1713830000000001</v>
      </c>
      <c r="AE7546">
        <v>-0.64161999999999897</v>
      </c>
      <c r="AF7546">
        <v>1.62247285584157</v>
      </c>
      <c r="AG7546">
        <v>-1.1713830000000001</v>
      </c>
      <c r="AH7546">
        <v>48.100141667363197</v>
      </c>
      <c r="AI7546">
        <v>91.394256026582198</v>
      </c>
      <c r="AJ7546">
        <v>88.068080234339305</v>
      </c>
      <c r="AK7546">
        <v>48.1417509519652</v>
      </c>
      <c r="AL7546">
        <v>89.169978044656503</v>
      </c>
      <c r="AM7546">
        <v>89.749981070727003</v>
      </c>
      <c r="AN7546">
        <v>1.00000004891372</v>
      </c>
    </row>
    <row r="7547" spans="1:40" x14ac:dyDescent="0.25">
      <c r="A7547" t="str">
        <f>"20190303153955388"</f>
        <v>20190303153955388</v>
      </c>
      <c r="B7547" t="str">
        <f>"1551598795376536"</f>
        <v>1551598795376536</v>
      </c>
      <c r="C7547" t="s">
        <v>40</v>
      </c>
      <c r="D7547">
        <v>4.4236170000000001</v>
      </c>
      <c r="E7547">
        <v>0.51058190000000003</v>
      </c>
      <c r="F7547" t="s">
        <v>43</v>
      </c>
      <c r="G7547">
        <v>-299.1345</v>
      </c>
      <c r="H7547">
        <v>-0.05</v>
      </c>
      <c r="I7547">
        <v>16.848859999999998</v>
      </c>
      <c r="J7547">
        <v>-346.0016</v>
      </c>
      <c r="K7547">
        <v>1.1213519999999999</v>
      </c>
      <c r="L7547">
        <v>17.455379999999899</v>
      </c>
      <c r="M7547">
        <v>0.99969830000000004</v>
      </c>
      <c r="N7547">
        <v>-1.381576E-2</v>
      </c>
      <c r="O7547">
        <v>2.0313060000000001E-2</v>
      </c>
      <c r="P7547">
        <v>0.99987130000000002</v>
      </c>
      <c r="Q7547">
        <v>1.0132159999999999E-3</v>
      </c>
      <c r="R7547">
        <v>1.6032210000000002E-2</v>
      </c>
      <c r="S7547">
        <v>3.0010379999999999</v>
      </c>
      <c r="T7547">
        <v>-7.4806449999999997E-2</v>
      </c>
      <c r="U7547">
        <v>-3.8574219999999999E-2</v>
      </c>
      <c r="V7547">
        <v>4.2881789999999996E-3</v>
      </c>
      <c r="W7547">
        <v>1.482749E-2</v>
      </c>
      <c r="X7547">
        <v>0.99988089999999996</v>
      </c>
      <c r="Y7547">
        <v>3.3145979999999998E-2</v>
      </c>
      <c r="Z7547">
        <v>-8.6767940000000003E-4</v>
      </c>
      <c r="AA7547">
        <v>0.99945010000000001</v>
      </c>
      <c r="AB7547">
        <v>24</v>
      </c>
      <c r="AC7547">
        <v>46.867099999999901</v>
      </c>
      <c r="AD7547">
        <v>-1.1713519999999999</v>
      </c>
      <c r="AE7547">
        <v>-0.60651999999999595</v>
      </c>
      <c r="AF7547">
        <v>1.55752707765756</v>
      </c>
      <c r="AG7547">
        <v>-1.1713519999999999</v>
      </c>
      <c r="AH7547">
        <v>46.815867779322097</v>
      </c>
      <c r="AI7547">
        <v>91.432472398107393</v>
      </c>
      <c r="AJ7547">
        <v>88.094517320928404</v>
      </c>
      <c r="AK7547">
        <v>46.856412923275599</v>
      </c>
      <c r="AL7547">
        <v>89.150416293760202</v>
      </c>
      <c r="AM7547">
        <v>89.754277682300497</v>
      </c>
      <c r="AN7547">
        <v>1.00000002856182</v>
      </c>
    </row>
    <row r="7548" spans="1:40" x14ac:dyDescent="0.25">
      <c r="A7548" t="str">
        <f>"20190303153955399"</f>
        <v>20190303153955399</v>
      </c>
      <c r="B7548" t="str">
        <f>"1551598795396056"</f>
        <v>1551598795396056</v>
      </c>
      <c r="C7548" t="s">
        <v>40</v>
      </c>
      <c r="D7548">
        <v>4.3971269999999896</v>
      </c>
      <c r="E7548">
        <v>0.5103394</v>
      </c>
      <c r="F7548" t="s">
        <v>43</v>
      </c>
      <c r="G7548">
        <v>-298.76029999999997</v>
      </c>
      <c r="H7548">
        <v>-0.05</v>
      </c>
      <c r="I7548">
        <v>16.85924</v>
      </c>
      <c r="J7548">
        <v>-345.88830000000002</v>
      </c>
      <c r="K7548">
        <v>1.121327</v>
      </c>
      <c r="L7548">
        <v>17.457609999999999</v>
      </c>
      <c r="M7548">
        <v>0.99970029999999999</v>
      </c>
      <c r="N7548">
        <v>-1.3814750000000001E-2</v>
      </c>
      <c r="O7548">
        <v>2.0209990000000001E-2</v>
      </c>
      <c r="P7548">
        <v>0.99987179999999998</v>
      </c>
      <c r="Q7548">
        <v>1.0171010000000001E-3</v>
      </c>
      <c r="R7548">
        <v>1.5982150000000001E-2</v>
      </c>
      <c r="S7548">
        <v>3.0010680000000001</v>
      </c>
      <c r="T7548">
        <v>-7.4411749999999999E-2</v>
      </c>
      <c r="U7548">
        <v>-3.7872309999999999E-2</v>
      </c>
      <c r="V7548">
        <v>4.2361819999999998E-3</v>
      </c>
      <c r="W7548">
        <v>1.4830350000000001E-2</v>
      </c>
      <c r="X7548">
        <v>0.99988100000000002</v>
      </c>
      <c r="Y7548">
        <v>3.2809419999999999E-2</v>
      </c>
      <c r="Z7548">
        <v>-8.5519600000000002E-4</v>
      </c>
      <c r="AA7548">
        <v>0.99946120000000005</v>
      </c>
      <c r="AB7548">
        <v>24</v>
      </c>
      <c r="AC7548">
        <v>47.128</v>
      </c>
      <c r="AD7548">
        <v>-1.171327</v>
      </c>
      <c r="AE7548">
        <v>-0.59836999999999896</v>
      </c>
      <c r="AF7548">
        <v>1.54983785555955</v>
      </c>
      <c r="AG7548">
        <v>-1.171327</v>
      </c>
      <c r="AH7548">
        <v>47.077202120368099</v>
      </c>
      <c r="AI7548">
        <v>91.424509753352396</v>
      </c>
      <c r="AJ7548">
        <v>88.114435340969706</v>
      </c>
      <c r="AK7548">
        <v>47.117268212423397</v>
      </c>
      <c r="AL7548">
        <v>89.150252342492195</v>
      </c>
      <c r="AM7548">
        <v>89.757257215950901</v>
      </c>
      <c r="AN7548">
        <v>0.999999949340028</v>
      </c>
    </row>
    <row r="7549" spans="1:40" x14ac:dyDescent="0.25">
      <c r="A7549" t="str">
        <f>"20190303153955410"</f>
        <v>20190303153955410</v>
      </c>
      <c r="B7549" t="str">
        <f>"1551598795405816"</f>
        <v>1551598795405816</v>
      </c>
      <c r="C7549" t="s">
        <v>40</v>
      </c>
      <c r="D7549">
        <v>4.4072290000000001</v>
      </c>
      <c r="E7549">
        <v>0.51022959999999995</v>
      </c>
      <c r="F7549" t="s">
        <v>43</v>
      </c>
      <c r="G7549">
        <v>-299.56900000000002</v>
      </c>
      <c r="H7549">
        <v>-0.05</v>
      </c>
      <c r="I7549">
        <v>16.900379999999998</v>
      </c>
      <c r="J7549">
        <v>-345.77179999999998</v>
      </c>
      <c r="K7549">
        <v>1.1213029999999999</v>
      </c>
      <c r="L7549">
        <v>17.459869999999999</v>
      </c>
      <c r="M7549">
        <v>0.9997026</v>
      </c>
      <c r="N7549">
        <v>-1.381371E-2</v>
      </c>
      <c r="O7549">
        <v>2.0100119999999999E-2</v>
      </c>
      <c r="P7549">
        <v>0.99987729999999997</v>
      </c>
      <c r="Q7549">
        <v>9.7638930000000003E-4</v>
      </c>
      <c r="R7549">
        <v>1.5642860000000001E-2</v>
      </c>
      <c r="S7549">
        <v>3.001007</v>
      </c>
      <c r="T7549">
        <v>-7.5889709999999999E-2</v>
      </c>
      <c r="U7549">
        <v>-3.6102290000000002E-2</v>
      </c>
      <c r="V7549">
        <v>4.4663350000000001E-3</v>
      </c>
      <c r="W7549">
        <v>1.478791E-2</v>
      </c>
      <c r="X7549">
        <v>0.99988069999999896</v>
      </c>
      <c r="Y7549">
        <v>3.2110140000000002E-2</v>
      </c>
      <c r="Z7549">
        <v>-8.5831350000000004E-4</v>
      </c>
      <c r="AA7549">
        <v>0.99948389999999998</v>
      </c>
      <c r="AB7549">
        <v>24</v>
      </c>
      <c r="AC7549">
        <v>46.202799999999897</v>
      </c>
      <c r="AD7549">
        <v>-1.171303</v>
      </c>
      <c r="AE7549">
        <v>-0.55949000000000304</v>
      </c>
      <c r="AF7549">
        <v>1.4871916672833501</v>
      </c>
      <c r="AG7549">
        <v>-1.171303</v>
      </c>
      <c r="AH7549">
        <v>46.152559614570301</v>
      </c>
      <c r="AI7549">
        <v>91.453040167548707</v>
      </c>
      <c r="AJ7549">
        <v>88.154374697750498</v>
      </c>
      <c r="AK7549">
        <v>46.191367686500797</v>
      </c>
      <c r="AL7549">
        <v>89.152684304034494</v>
      </c>
      <c r="AM7549">
        <v>89.744069024020007</v>
      </c>
      <c r="AN7549">
        <v>1.00000002233149</v>
      </c>
    </row>
    <row r="7550" spans="1:40" x14ac:dyDescent="0.25">
      <c r="A7550" t="str">
        <f>"20190303153955421"</f>
        <v>20190303153955421</v>
      </c>
      <c r="B7550" t="str">
        <f>"1551598795415576"</f>
        <v>1551598795415576</v>
      </c>
      <c r="C7550" t="s">
        <v>40</v>
      </c>
      <c r="D7550">
        <v>4.3968759999999998</v>
      </c>
      <c r="E7550">
        <v>0.51016729999999999</v>
      </c>
      <c r="F7550" t="s">
        <v>43</v>
      </c>
      <c r="G7550">
        <v>-300.11669999999998</v>
      </c>
      <c r="H7550">
        <v>-0.05</v>
      </c>
      <c r="I7550">
        <v>16.90878</v>
      </c>
      <c r="J7550">
        <v>-345.64960000000002</v>
      </c>
      <c r="K7550">
        <v>1.1212759999999999</v>
      </c>
      <c r="L7550">
        <v>17.462219999999999</v>
      </c>
      <c r="M7550">
        <v>0.99970550000000002</v>
      </c>
      <c r="N7550">
        <v>-1.3812649999999999E-2</v>
      </c>
      <c r="O7550">
        <v>1.995682E-2</v>
      </c>
      <c r="P7550">
        <v>0.99988180000000004</v>
      </c>
      <c r="Q7550">
        <v>8.4436959999999997E-4</v>
      </c>
      <c r="R7550">
        <v>1.536064E-2</v>
      </c>
      <c r="S7550">
        <v>3.001007</v>
      </c>
      <c r="T7550">
        <v>-7.6992270000000002E-2</v>
      </c>
      <c r="U7550">
        <v>-3.6224369999999999E-2</v>
      </c>
      <c r="V7550">
        <v>4.6061619999999996E-3</v>
      </c>
      <c r="W7550">
        <v>1.465441E-2</v>
      </c>
      <c r="X7550">
        <v>0.99988200000000005</v>
      </c>
      <c r="Y7550">
        <v>3.200712E-2</v>
      </c>
      <c r="Z7550">
        <v>-8.6786729999999905E-4</v>
      </c>
      <c r="AA7550">
        <v>0.99948729999999997</v>
      </c>
      <c r="AB7550">
        <v>24</v>
      </c>
      <c r="AC7550">
        <v>45.532899999999998</v>
      </c>
      <c r="AD7550">
        <v>-1.171276</v>
      </c>
      <c r="AE7550">
        <v>-0.55344000000000104</v>
      </c>
      <c r="AF7550">
        <v>1.46114156554165</v>
      </c>
      <c r="AG7550">
        <v>-1.171276</v>
      </c>
      <c r="AH7550">
        <v>45.482692193914197</v>
      </c>
      <c r="AI7550">
        <v>91.474401788972699</v>
      </c>
      <c r="AJ7550">
        <v>88.159993193139599</v>
      </c>
      <c r="AK7550">
        <v>45.521227041338399</v>
      </c>
      <c r="AL7550">
        <v>89.160334093236401</v>
      </c>
      <c r="AM7550">
        <v>89.736057079259893</v>
      </c>
      <c r="AN7550">
        <v>0.99999999119240901</v>
      </c>
    </row>
    <row r="7551" spans="1:40" x14ac:dyDescent="0.25">
      <c r="A7551" t="str">
        <f>"20190303153955433"</f>
        <v>20190303153955433</v>
      </c>
      <c r="B7551" t="str">
        <f>"1551598795426315"</f>
        <v>1551598795426315</v>
      </c>
      <c r="C7551" t="s">
        <v>40</v>
      </c>
      <c r="D7551">
        <v>4.4116080000000002</v>
      </c>
      <c r="E7551">
        <v>0.51015519999999903</v>
      </c>
      <c r="F7551" t="s">
        <v>43</v>
      </c>
      <c r="G7551">
        <v>-301.548</v>
      </c>
      <c r="H7551">
        <v>-0.05</v>
      </c>
      <c r="I7551">
        <v>16.924039999999898</v>
      </c>
      <c r="J7551">
        <v>-345.52210000000002</v>
      </c>
      <c r="K7551">
        <v>1.1212500000000001</v>
      </c>
      <c r="L7551">
        <v>17.46463</v>
      </c>
      <c r="M7551">
        <v>0.99970859999999995</v>
      </c>
      <c r="N7551">
        <v>-1.3811530000000001E-2</v>
      </c>
      <c r="O7551">
        <v>1.9800180000000001E-2</v>
      </c>
      <c r="P7551">
        <v>0.99988840000000001</v>
      </c>
      <c r="Q7551">
        <v>3.4341500000000002E-4</v>
      </c>
      <c r="R7551">
        <v>1.493878E-2</v>
      </c>
      <c r="S7551">
        <v>3.0009769999999998</v>
      </c>
      <c r="T7551">
        <v>-7.970178E-2</v>
      </c>
      <c r="U7551">
        <v>-3.6621090000000002E-2</v>
      </c>
      <c r="V7551">
        <v>4.8719779999999999E-3</v>
      </c>
      <c r="W7551">
        <v>1.4152359999999999E-2</v>
      </c>
      <c r="X7551">
        <v>0.999888</v>
      </c>
      <c r="Y7551">
        <v>3.1981599999999999E-2</v>
      </c>
      <c r="Z7551">
        <v>-8.9782580000000005E-4</v>
      </c>
      <c r="AA7551">
        <v>0.99948809999999999</v>
      </c>
      <c r="AB7551">
        <v>24</v>
      </c>
      <c r="AC7551">
        <v>43.9741</v>
      </c>
      <c r="AD7551">
        <v>-1.1712499999999999</v>
      </c>
      <c r="AE7551">
        <v>-0.54059000000000101</v>
      </c>
      <c r="AF7551">
        <v>1.41026179402638</v>
      </c>
      <c r="AG7551">
        <v>-1.1712499999999999</v>
      </c>
      <c r="AH7551">
        <v>43.923617033686703</v>
      </c>
      <c r="AI7551">
        <v>91.526678561292798</v>
      </c>
      <c r="AJ7551">
        <v>88.161028030204903</v>
      </c>
      <c r="AK7551">
        <v>43.9618561734165</v>
      </c>
      <c r="AL7551">
        <v>89.189102446708006</v>
      </c>
      <c r="AM7551">
        <v>89.720827164426495</v>
      </c>
      <c r="AN7551">
        <v>1.0000000190036</v>
      </c>
    </row>
    <row r="7552" spans="1:40" x14ac:dyDescent="0.25">
      <c r="A7552" t="str">
        <f>"20190303153955443"</f>
        <v>20190303153955443</v>
      </c>
      <c r="B7552" t="str">
        <f>"1551598795436072"</f>
        <v>1551598795436072</v>
      </c>
      <c r="C7552" t="s">
        <v>40</v>
      </c>
      <c r="D7552">
        <v>4.3882779999999997</v>
      </c>
      <c r="E7552">
        <v>0.51010659999999997</v>
      </c>
      <c r="F7552" t="s">
        <v>43</v>
      </c>
      <c r="G7552">
        <v>-303.2106</v>
      </c>
      <c r="H7552">
        <v>-0.05</v>
      </c>
      <c r="I7552">
        <v>16.931079999999898</v>
      </c>
      <c r="J7552">
        <v>-345.40309999999999</v>
      </c>
      <c r="K7552">
        <v>1.121232</v>
      </c>
      <c r="L7552">
        <v>17.466829999999899</v>
      </c>
      <c r="M7552">
        <v>0.99971180000000004</v>
      </c>
      <c r="N7552">
        <v>-1.381049E-2</v>
      </c>
      <c r="O7552">
        <v>1.963962E-2</v>
      </c>
      <c r="P7552">
        <v>0.99989439999999996</v>
      </c>
      <c r="Q7552">
        <v>-3.8905910000000001E-4</v>
      </c>
      <c r="R7552">
        <v>1.452465E-2</v>
      </c>
      <c r="S7552">
        <v>3.0009160000000001</v>
      </c>
      <c r="T7552">
        <v>-8.3070279999999996E-2</v>
      </c>
      <c r="U7552">
        <v>-3.7841800000000002E-2</v>
      </c>
      <c r="V7552">
        <v>5.1257789999999996E-3</v>
      </c>
      <c r="W7552">
        <v>1.3418100000000001E-2</v>
      </c>
      <c r="X7552">
        <v>0.99989680000000003</v>
      </c>
      <c r="Y7552">
        <v>3.2226190000000002E-2</v>
      </c>
      <c r="Z7552">
        <v>-9.4085510000000002E-4</v>
      </c>
      <c r="AA7552">
        <v>0.99948020000000004</v>
      </c>
      <c r="AB7552">
        <v>24</v>
      </c>
      <c r="AC7552">
        <v>42.192500000000003</v>
      </c>
      <c r="AD7552">
        <v>-1.1712320000000001</v>
      </c>
      <c r="AE7552">
        <v>-0.53574999999999995</v>
      </c>
      <c r="AF7552">
        <v>1.36331992400589</v>
      </c>
      <c r="AG7552">
        <v>-1.1712320000000001</v>
      </c>
      <c r="AH7552">
        <v>42.141369718221398</v>
      </c>
      <c r="AI7552">
        <v>91.591175560022904</v>
      </c>
      <c r="AJ7552">
        <v>88.147064399948604</v>
      </c>
      <c r="AK7552">
        <v>42.179680740148399</v>
      </c>
      <c r="AL7552">
        <v>89.231176402174896</v>
      </c>
      <c r="AM7552">
        <v>89.706286757926506</v>
      </c>
      <c r="AN7552">
        <v>0.99999996483410203</v>
      </c>
    </row>
    <row r="7553" spans="1:40" x14ac:dyDescent="0.25">
      <c r="A7553" t="str">
        <f>"20190303153955455"</f>
        <v>20190303153955455</v>
      </c>
      <c r="B7553" t="str">
        <f>"1551598795445833"</f>
        <v>1551598795445833</v>
      </c>
      <c r="C7553" t="s">
        <v>40</v>
      </c>
      <c r="D7553">
        <v>4.3907259999999999</v>
      </c>
      <c r="E7553">
        <v>0.51013580000000003</v>
      </c>
      <c r="F7553" t="s">
        <v>43</v>
      </c>
      <c r="G7553">
        <v>-305.04939999999999</v>
      </c>
      <c r="H7553">
        <v>-0.05</v>
      </c>
      <c r="I7553">
        <v>16.946059999999999</v>
      </c>
      <c r="J7553">
        <v>-345.2747</v>
      </c>
      <c r="K7553">
        <v>1.1212120000000001</v>
      </c>
      <c r="L7553">
        <v>17.469149999999999</v>
      </c>
      <c r="M7553">
        <v>0.99971540000000003</v>
      </c>
      <c r="N7553">
        <v>-1.380934E-2</v>
      </c>
      <c r="O7553">
        <v>1.9457169999999999E-2</v>
      </c>
      <c r="P7553">
        <v>0.99990299999999999</v>
      </c>
      <c r="Q7553">
        <v>-9.5639189999999999E-4</v>
      </c>
      <c r="R7553">
        <v>1.389848E-2</v>
      </c>
      <c r="S7553">
        <v>3.0008539999999999</v>
      </c>
      <c r="T7553">
        <v>-8.7097289999999994E-2</v>
      </c>
      <c r="U7553">
        <v>-3.872681E-2</v>
      </c>
      <c r="V7553">
        <v>5.5698140000000002E-3</v>
      </c>
      <c r="W7553">
        <v>1.28488E-2</v>
      </c>
      <c r="X7553">
        <v>0.99990199999999996</v>
      </c>
      <c r="Y7553">
        <v>3.2336789999999997E-2</v>
      </c>
      <c r="Z7553">
        <v>-9.8842960000000007E-4</v>
      </c>
      <c r="AA7553">
        <v>0.99947660000000005</v>
      </c>
      <c r="AB7553">
        <v>24</v>
      </c>
      <c r="AC7553">
        <v>40.225299999999997</v>
      </c>
      <c r="AD7553">
        <v>-1.1712119999999999</v>
      </c>
      <c r="AE7553">
        <v>-0.52308999999999894</v>
      </c>
      <c r="AF7553">
        <v>1.3046302056913099</v>
      </c>
      <c r="AG7553">
        <v>-1.1712119999999999</v>
      </c>
      <c r="AH7553">
        <v>40.173453079709802</v>
      </c>
      <c r="AI7553">
        <v>91.669041855116703</v>
      </c>
      <c r="AJ7553">
        <v>88.139977076404904</v>
      </c>
      <c r="AK7553">
        <v>40.211691457462898</v>
      </c>
      <c r="AL7553">
        <v>89.263797776116803</v>
      </c>
      <c r="AM7553">
        <v>89.680845188613304</v>
      </c>
      <c r="AN7553">
        <v>1.00000006204671</v>
      </c>
    </row>
    <row r="7554" spans="1:40" x14ac:dyDescent="0.25">
      <c r="A7554" t="str">
        <f>"20190303153955466"</f>
        <v>20190303153955466</v>
      </c>
      <c r="B7554" t="str">
        <f>"1551598795455592"</f>
        <v>1551598795455592</v>
      </c>
      <c r="C7554" t="s">
        <v>40</v>
      </c>
      <c r="D7554">
        <v>4.386145</v>
      </c>
      <c r="E7554">
        <v>0.51014079999999995</v>
      </c>
      <c r="F7554" t="s">
        <v>43</v>
      </c>
      <c r="G7554">
        <v>-306.48489999999998</v>
      </c>
      <c r="H7554">
        <v>-0.05</v>
      </c>
      <c r="I7554">
        <v>16.940929999999899</v>
      </c>
      <c r="J7554">
        <v>-345.15699999999998</v>
      </c>
      <c r="K7554">
        <v>1.121192</v>
      </c>
      <c r="L7554">
        <v>17.47128</v>
      </c>
      <c r="M7554">
        <v>0.99971869999999996</v>
      </c>
      <c r="N7554">
        <v>-1.3808259999999999E-2</v>
      </c>
      <c r="O7554">
        <v>1.9284019999999999E-2</v>
      </c>
      <c r="P7554">
        <v>0.99990760000000001</v>
      </c>
      <c r="Q7554">
        <v>-1.5937519999999999E-3</v>
      </c>
      <c r="R7554">
        <v>1.350378E-2</v>
      </c>
      <c r="S7554">
        <v>3.0007320000000002</v>
      </c>
      <c r="T7554">
        <v>-9.0603710000000004E-2</v>
      </c>
      <c r="U7554">
        <v>-4.0863040000000003E-2</v>
      </c>
      <c r="V7554">
        <v>5.7912959999999996E-3</v>
      </c>
      <c r="W7554">
        <v>1.221037E-2</v>
      </c>
      <c r="X7554">
        <v>0.99990869999999998</v>
      </c>
      <c r="Y7554">
        <v>3.287354E-2</v>
      </c>
      <c r="Z7554">
        <v>-1.0390550000000001E-3</v>
      </c>
      <c r="AA7554">
        <v>0.99945899999999999</v>
      </c>
      <c r="AB7554">
        <v>24</v>
      </c>
      <c r="AC7554">
        <v>38.6721</v>
      </c>
      <c r="AD7554">
        <v>-1.171192</v>
      </c>
      <c r="AE7554">
        <v>-0.53035000000000199</v>
      </c>
      <c r="AF7554">
        <v>1.27490689283481</v>
      </c>
      <c r="AG7554">
        <v>-1.171192</v>
      </c>
      <c r="AH7554">
        <v>38.619264487323797</v>
      </c>
      <c r="AI7554">
        <v>91.736110121381301</v>
      </c>
      <c r="AJ7554">
        <v>88.109226911849603</v>
      </c>
      <c r="AK7554">
        <v>38.658047905036902</v>
      </c>
      <c r="AL7554">
        <v>89.300379961410698</v>
      </c>
      <c r="AM7554">
        <v>89.668156594202301</v>
      </c>
      <c r="AN7554">
        <v>1.0000000202902899</v>
      </c>
    </row>
    <row r="7555" spans="1:40" x14ac:dyDescent="0.25">
      <c r="A7555" t="str">
        <f>"20190303153955478"</f>
        <v>20190303153955478</v>
      </c>
      <c r="B7555" t="str">
        <f>"1551598795466328"</f>
        <v>1551598795466328</v>
      </c>
      <c r="C7555" t="s">
        <v>40</v>
      </c>
      <c r="D7555">
        <v>4.377027</v>
      </c>
      <c r="E7555">
        <v>0.51015259999999996</v>
      </c>
      <c r="F7555" t="s">
        <v>43</v>
      </c>
      <c r="G7555">
        <v>-307.91680000000002</v>
      </c>
      <c r="H7555">
        <v>-0.05</v>
      </c>
      <c r="I7555">
        <v>16.949390000000001</v>
      </c>
      <c r="J7555">
        <v>-345.04</v>
      </c>
      <c r="K7555">
        <v>1.1211799999999901</v>
      </c>
      <c r="L7555">
        <v>17.473329999999901</v>
      </c>
      <c r="M7555">
        <v>0.99972220000000001</v>
      </c>
      <c r="N7555">
        <v>-1.3807160000000001E-2</v>
      </c>
      <c r="O7555">
        <v>1.910425E-2</v>
      </c>
      <c r="P7555">
        <v>0.99991180000000002</v>
      </c>
      <c r="Q7555">
        <v>-2.3656649999999999E-3</v>
      </c>
      <c r="R7555">
        <v>1.308963E-2</v>
      </c>
      <c r="S7555">
        <v>3.000702</v>
      </c>
      <c r="T7555">
        <v>-9.4371319999999995E-2</v>
      </c>
      <c r="U7555">
        <v>-4.2053220000000002E-2</v>
      </c>
      <c r="V7555">
        <v>6.0251829999999999E-3</v>
      </c>
      <c r="W7555">
        <v>1.1436989999999999E-2</v>
      </c>
      <c r="X7555">
        <v>0.99991640000000004</v>
      </c>
      <c r="Y7555">
        <v>3.308821E-2</v>
      </c>
      <c r="Z7555">
        <v>-1.085581E-3</v>
      </c>
      <c r="AA7555">
        <v>0.9994518</v>
      </c>
      <c r="AB7555">
        <v>24</v>
      </c>
      <c r="AC7555">
        <v>37.123199999999997</v>
      </c>
      <c r="AD7555">
        <v>-1.1711800000000001</v>
      </c>
      <c r="AE7555">
        <v>-0.52393999999999596</v>
      </c>
      <c r="AF7555">
        <v>1.2318969648578599</v>
      </c>
      <c r="AG7555">
        <v>-1.1711800000000001</v>
      </c>
      <c r="AH7555">
        <v>37.069525023602502</v>
      </c>
      <c r="AI7555">
        <v>91.808611544754598</v>
      </c>
      <c r="AJ7555">
        <v>88.096643240824505</v>
      </c>
      <c r="AK7555">
        <v>37.108475018517197</v>
      </c>
      <c r="AL7555">
        <v>89.344694427962494</v>
      </c>
      <c r="AM7555">
        <v>89.654757759120301</v>
      </c>
      <c r="AN7555">
        <v>0.99999995727970004</v>
      </c>
    </row>
    <row r="7556" spans="1:40" x14ac:dyDescent="0.25">
      <c r="A7556" t="str">
        <f>"20190303153955490"</f>
        <v>20190303153955490</v>
      </c>
      <c r="B7556" t="str">
        <f>"1551598795485848"</f>
        <v>1551598795485848</v>
      </c>
      <c r="C7556" t="s">
        <v>40</v>
      </c>
      <c r="D7556">
        <v>4.3634879999999896</v>
      </c>
      <c r="E7556">
        <v>0.51032109999999997</v>
      </c>
      <c r="F7556" t="s">
        <v>43</v>
      </c>
      <c r="G7556">
        <v>-309.26870000000002</v>
      </c>
      <c r="H7556">
        <v>-0.05</v>
      </c>
      <c r="I7556">
        <v>16.957090000000001</v>
      </c>
      <c r="J7556">
        <v>-344.90679999999998</v>
      </c>
      <c r="K7556">
        <v>1.12117</v>
      </c>
      <c r="L7556">
        <v>17.475650000000002</v>
      </c>
      <c r="M7556">
        <v>0.99972620000000001</v>
      </c>
      <c r="N7556">
        <v>-1.3805889999999999E-2</v>
      </c>
      <c r="O7556">
        <v>1.889689E-2</v>
      </c>
      <c r="P7556">
        <v>0.99991699999999994</v>
      </c>
      <c r="Q7556">
        <v>-3.0439579999999998E-3</v>
      </c>
      <c r="R7556">
        <v>1.25281E-2</v>
      </c>
      <c r="S7556">
        <v>3.00061</v>
      </c>
      <c r="T7556">
        <v>-9.8242159999999995E-2</v>
      </c>
      <c r="U7556">
        <v>-4.330444E-2</v>
      </c>
      <c r="V7556">
        <v>6.3791899999999999E-3</v>
      </c>
      <c r="W7556">
        <v>1.0757539999999999E-2</v>
      </c>
      <c r="X7556">
        <v>0.99992179999999997</v>
      </c>
      <c r="Y7556">
        <v>3.3295779999999997E-2</v>
      </c>
      <c r="Z7556">
        <v>-1.1324830000000001E-3</v>
      </c>
      <c r="AA7556">
        <v>0.99944489999999997</v>
      </c>
      <c r="AB7556">
        <v>24</v>
      </c>
      <c r="AC7556">
        <v>35.638099999999902</v>
      </c>
      <c r="AD7556">
        <v>-1.17117</v>
      </c>
      <c r="AE7556">
        <v>-0.51856000000000002</v>
      </c>
      <c r="AF7556">
        <v>1.19069513500542</v>
      </c>
      <c r="AG7556">
        <v>-1.17117</v>
      </c>
      <c r="AH7556">
        <v>35.583514153200802</v>
      </c>
      <c r="AI7556">
        <v>91.884057523541799</v>
      </c>
      <c r="AJ7556">
        <v>88.083484392134594</v>
      </c>
      <c r="AK7556">
        <v>35.622687624103698</v>
      </c>
      <c r="AL7556">
        <v>89.383626479054598</v>
      </c>
      <c r="AM7556">
        <v>89.634475710845507</v>
      </c>
      <c r="AN7556">
        <v>1.00000001242357</v>
      </c>
    </row>
    <row r="7557" spans="1:40" x14ac:dyDescent="0.25">
      <c r="A7557" t="str">
        <f>"20190303153955504"</f>
        <v>20190303153955504</v>
      </c>
      <c r="B7557" t="str">
        <f>"1551598795495608"</f>
        <v>1551598795495608</v>
      </c>
      <c r="C7557" t="s">
        <v>40</v>
      </c>
      <c r="D7557">
        <v>4.3761729999999996</v>
      </c>
      <c r="E7557">
        <v>0.51038099999999997</v>
      </c>
      <c r="F7557" t="s">
        <v>43</v>
      </c>
      <c r="G7557">
        <v>-310.81689999999998</v>
      </c>
      <c r="H7557">
        <v>-0.05</v>
      </c>
      <c r="I7557">
        <v>16.948969999999999</v>
      </c>
      <c r="J7557">
        <v>-344.75450000000001</v>
      </c>
      <c r="K7557">
        <v>1.1211660000000001</v>
      </c>
      <c r="L7557">
        <v>17.478269999999998</v>
      </c>
      <c r="M7557">
        <v>0.99973080000000003</v>
      </c>
      <c r="N7557">
        <v>-1.380438E-2</v>
      </c>
      <c r="O7557">
        <v>1.8652760000000001E-2</v>
      </c>
      <c r="P7557">
        <v>0.99992190000000003</v>
      </c>
      <c r="Q7557">
        <v>-3.351845E-3</v>
      </c>
      <c r="R7557">
        <v>1.206371E-2</v>
      </c>
      <c r="S7557">
        <v>3.0005190000000002</v>
      </c>
      <c r="T7557">
        <v>-0.1030836</v>
      </c>
      <c r="U7557">
        <v>-4.6356199999999903E-2</v>
      </c>
      <c r="V7557">
        <v>6.5989869999999997E-3</v>
      </c>
      <c r="W7557">
        <v>1.044761E-2</v>
      </c>
      <c r="X7557">
        <v>0.99992360000000002</v>
      </c>
      <c r="Y7557">
        <v>3.4065070000000003E-2</v>
      </c>
      <c r="Z7557">
        <v>-1.2033409999999999E-3</v>
      </c>
      <c r="AA7557">
        <v>0.9994189</v>
      </c>
      <c r="AB7557">
        <v>24</v>
      </c>
      <c r="AC7557">
        <v>33.937600000000003</v>
      </c>
      <c r="AD7557">
        <v>-1.1711659999999999</v>
      </c>
      <c r="AE7557">
        <v>-0.52929999999999899</v>
      </c>
      <c r="AF7557">
        <v>1.16091588098138</v>
      </c>
      <c r="AG7557">
        <v>-1.1711659999999999</v>
      </c>
      <c r="AH7557">
        <v>33.8814810541868</v>
      </c>
      <c r="AI7557">
        <v>91.978569162634201</v>
      </c>
      <c r="AJ7557">
        <v>88.037583767869705</v>
      </c>
      <c r="AK7557">
        <v>33.921587726807402</v>
      </c>
      <c r="AL7557">
        <v>89.401385122178894</v>
      </c>
      <c r="AM7557">
        <v>89.621882496597493</v>
      </c>
      <c r="AN7557">
        <v>0.99999995251054796</v>
      </c>
    </row>
    <row r="7558" spans="1:40" x14ac:dyDescent="0.25">
      <c r="A7558" t="str">
        <f>"20190303153955518"</f>
        <v>20190303153955518</v>
      </c>
      <c r="B7558" t="str">
        <f>"1551598795506346"</f>
        <v>1551598795506346</v>
      </c>
      <c r="C7558" t="s">
        <v>40</v>
      </c>
      <c r="D7558">
        <v>4.3885519999999998</v>
      </c>
      <c r="E7558">
        <v>0.5104609</v>
      </c>
      <c r="F7558" t="s">
        <v>43</v>
      </c>
      <c r="G7558">
        <v>-311.2971</v>
      </c>
      <c r="H7558">
        <v>-0.05</v>
      </c>
      <c r="I7558">
        <v>16.940950000000001</v>
      </c>
      <c r="J7558">
        <v>-344.61189999999999</v>
      </c>
      <c r="K7558">
        <v>1.121157</v>
      </c>
      <c r="L7558">
        <v>17.480650000000001</v>
      </c>
      <c r="M7558">
        <v>0.99973509999999999</v>
      </c>
      <c r="N7558">
        <v>-1.3802969999999999E-2</v>
      </c>
      <c r="O7558">
        <v>1.8423519999999999E-2</v>
      </c>
      <c r="P7558">
        <v>0.99992510000000001</v>
      </c>
      <c r="Q7558">
        <v>-3.5878730000000001E-3</v>
      </c>
      <c r="R7558">
        <v>1.17074E-2</v>
      </c>
      <c r="S7558">
        <v>3.0004580000000001</v>
      </c>
      <c r="T7558">
        <v>-0.10503029999999999</v>
      </c>
      <c r="U7558">
        <v>-4.8187260000000003E-2</v>
      </c>
      <c r="V7558">
        <v>6.7260239999999997E-3</v>
      </c>
      <c r="W7558">
        <v>1.021064E-2</v>
      </c>
      <c r="X7558">
        <v>0.99992530000000002</v>
      </c>
      <c r="Y7558">
        <v>3.4444519999999999E-2</v>
      </c>
      <c r="Z7558">
        <v>-1.230903E-3</v>
      </c>
      <c r="AA7558">
        <v>0.99940589999999996</v>
      </c>
      <c r="AB7558">
        <v>24</v>
      </c>
      <c r="AC7558">
        <v>33.314799999999899</v>
      </c>
      <c r="AD7558">
        <v>-1.171157</v>
      </c>
      <c r="AE7558">
        <v>-0.53969999999999896</v>
      </c>
      <c r="AF7558">
        <v>1.1520193580307501</v>
      </c>
      <c r="AG7558">
        <v>-1.171157</v>
      </c>
      <c r="AH7558">
        <v>33.258110057349697</v>
      </c>
      <c r="AI7558">
        <v>92.015582577648601</v>
      </c>
      <c r="AJ7558">
        <v>88.016139007216694</v>
      </c>
      <c r="AK7558">
        <v>33.298658259856502</v>
      </c>
      <c r="AL7558">
        <v>89.414963285740996</v>
      </c>
      <c r="AM7558">
        <v>89.614604234887594</v>
      </c>
      <c r="AN7558">
        <v>1.0000000510740701</v>
      </c>
    </row>
    <row r="7559" spans="1:40" x14ac:dyDescent="0.25">
      <c r="A7559" t="str">
        <f>"20190303153955533"</f>
        <v>20190303153955533</v>
      </c>
      <c r="B7559" t="str">
        <f>"1551598795525864"</f>
        <v>1551598795525864</v>
      </c>
      <c r="C7559" t="s">
        <v>40</v>
      </c>
      <c r="D7559">
        <v>4.3475910000000004</v>
      </c>
      <c r="E7559">
        <v>0.51059840000000001</v>
      </c>
      <c r="F7559" t="s">
        <v>43</v>
      </c>
      <c r="G7559">
        <v>-311.65859999999998</v>
      </c>
      <c r="H7559">
        <v>-0.05</v>
      </c>
      <c r="I7559">
        <v>16.932310000000001</v>
      </c>
      <c r="J7559">
        <v>-344.43979999999999</v>
      </c>
      <c r="K7559">
        <v>1.1211549999999999</v>
      </c>
      <c r="L7559">
        <v>17.483519999999999</v>
      </c>
      <c r="M7559">
        <v>0.99974010000000002</v>
      </c>
      <c r="N7559">
        <v>-1.3801269999999999E-2</v>
      </c>
      <c r="O7559">
        <v>1.8147380000000001E-2</v>
      </c>
      <c r="P7559">
        <v>0.99993019999999999</v>
      </c>
      <c r="Q7559">
        <v>-4.1878559999999898E-3</v>
      </c>
      <c r="R7559">
        <v>1.104718E-2</v>
      </c>
      <c r="S7559">
        <v>3.000397</v>
      </c>
      <c r="T7559">
        <v>-0.1066339</v>
      </c>
      <c r="U7559">
        <v>-4.9926760000000001E-2</v>
      </c>
      <c r="V7559">
        <v>7.1093509999999999E-3</v>
      </c>
      <c r="W7559">
        <v>9.6079459999999992E-3</v>
      </c>
      <c r="X7559">
        <v>0.99992859999999995</v>
      </c>
      <c r="Y7559">
        <v>3.4746859999999997E-2</v>
      </c>
      <c r="Z7559">
        <v>-1.2514239999999999E-3</v>
      </c>
      <c r="AA7559">
        <v>0.99939540000000004</v>
      </c>
      <c r="AB7559">
        <v>24</v>
      </c>
      <c r="AC7559">
        <v>32.781199999999998</v>
      </c>
      <c r="AD7559">
        <v>-1.1711549999999999</v>
      </c>
      <c r="AE7559">
        <v>-0.55121000000000098</v>
      </c>
      <c r="AF7559">
        <v>1.1446082086692499</v>
      </c>
      <c r="AG7559">
        <v>-1.1711549999999999</v>
      </c>
      <c r="AH7559">
        <v>32.724040269103497</v>
      </c>
      <c r="AI7559">
        <v>92.048422308452402</v>
      </c>
      <c r="AJ7559">
        <v>87.996748142788903</v>
      </c>
      <c r="AK7559">
        <v>32.764989600475801</v>
      </c>
      <c r="AL7559">
        <v>89.449496791135402</v>
      </c>
      <c r="AM7559">
        <v>89.592641970671906</v>
      </c>
      <c r="AN7559">
        <v>1.0000000302979599</v>
      </c>
    </row>
    <row r="7560" spans="1:40" x14ac:dyDescent="0.25">
      <c r="A7560" t="str">
        <f>"20190303153955544"</f>
        <v>20190303153955544</v>
      </c>
      <c r="B7560" t="str">
        <f>"1551598795535624"</f>
        <v>1551598795535624</v>
      </c>
      <c r="C7560" t="s">
        <v>40</v>
      </c>
      <c r="D7560">
        <v>4.3594860000000004</v>
      </c>
      <c r="E7560">
        <v>0.51070559999999998</v>
      </c>
      <c r="F7560" t="s">
        <v>43</v>
      </c>
      <c r="G7560">
        <v>-312.50639999999999</v>
      </c>
      <c r="H7560">
        <v>-0.05</v>
      </c>
      <c r="I7560">
        <v>16.91901</v>
      </c>
      <c r="J7560">
        <v>-344.3159</v>
      </c>
      <c r="K7560">
        <v>1.1211610000000001</v>
      </c>
      <c r="L7560">
        <v>17.485569999999999</v>
      </c>
      <c r="M7560">
        <v>0.99974379999999996</v>
      </c>
      <c r="N7560">
        <v>-1.3800049999999999E-2</v>
      </c>
      <c r="O7560">
        <v>1.7950560000000001E-2</v>
      </c>
      <c r="P7560">
        <v>0.99993120000000002</v>
      </c>
      <c r="Q7560">
        <v>-4.5807490000000003E-3</v>
      </c>
      <c r="R7560">
        <v>1.0801130000000001E-2</v>
      </c>
      <c r="S7560">
        <v>3.0003359999999999</v>
      </c>
      <c r="T7560">
        <v>-0.1100371</v>
      </c>
      <c r="U7560">
        <v>-5.3039549999999998E-2</v>
      </c>
      <c r="V7560">
        <v>7.158073E-3</v>
      </c>
      <c r="W7560">
        <v>9.2145730000000002E-3</v>
      </c>
      <c r="X7560">
        <v>0.99993189999999998</v>
      </c>
      <c r="Y7560">
        <v>3.5584110000000002E-2</v>
      </c>
      <c r="Z7560">
        <v>-1.308331E-3</v>
      </c>
      <c r="AA7560">
        <v>0.99936579999999997</v>
      </c>
      <c r="AB7560">
        <v>24</v>
      </c>
      <c r="AC7560">
        <v>31.8095</v>
      </c>
      <c r="AD7560">
        <v>-1.1711609999999999</v>
      </c>
      <c r="AE7560">
        <v>-0.56656000000000195</v>
      </c>
      <c r="AF7560">
        <v>1.13598191284297</v>
      </c>
      <c r="AG7560">
        <v>-1.1711609999999999</v>
      </c>
      <c r="AH7560">
        <v>31.7511756556517</v>
      </c>
      <c r="AI7560">
        <v>92.111081755961607</v>
      </c>
      <c r="AJ7560">
        <v>87.950966605544593</v>
      </c>
      <c r="AK7560">
        <v>31.7930688753111</v>
      </c>
      <c r="AL7560">
        <v>89.472036372549695</v>
      </c>
      <c r="AM7560">
        <v>89.589851701996395</v>
      </c>
      <c r="AN7560">
        <v>0.99999997550112696</v>
      </c>
    </row>
    <row r="7561" spans="1:40" x14ac:dyDescent="0.25">
      <c r="A7561" t="str">
        <f>"20190303153955556"</f>
        <v>20190303153955556</v>
      </c>
      <c r="B7561" t="str">
        <f>"1551598795546360"</f>
        <v>1551598795546360</v>
      </c>
      <c r="C7561" t="s">
        <v>40</v>
      </c>
      <c r="D7561">
        <v>4.3701699999999999</v>
      </c>
      <c r="E7561">
        <v>0.51079540000000001</v>
      </c>
      <c r="F7561" t="s">
        <v>43</v>
      </c>
      <c r="G7561">
        <v>-312.90159999999997</v>
      </c>
      <c r="H7561">
        <v>-0.05</v>
      </c>
      <c r="I7561">
        <v>16.913599999999999</v>
      </c>
      <c r="J7561">
        <v>-344.20010000000002</v>
      </c>
      <c r="K7561">
        <v>1.121164</v>
      </c>
      <c r="L7561">
        <v>17.487459999999999</v>
      </c>
      <c r="M7561">
        <v>0.99974700000000005</v>
      </c>
      <c r="N7561">
        <v>-1.379884E-2</v>
      </c>
      <c r="O7561">
        <v>1.7770069999999999E-2</v>
      </c>
      <c r="P7561">
        <v>0.99993209999999999</v>
      </c>
      <c r="Q7561">
        <v>-4.9681700000000001E-3</v>
      </c>
      <c r="R7561">
        <v>1.05638E-2</v>
      </c>
      <c r="S7561">
        <v>3.0002439999999999</v>
      </c>
      <c r="T7561">
        <v>-0.1118524</v>
      </c>
      <c r="U7561">
        <v>-5.4626460000000002E-2</v>
      </c>
      <c r="V7561">
        <v>7.2142530000000003E-3</v>
      </c>
      <c r="W7561">
        <v>8.8254900000000001E-3</v>
      </c>
      <c r="X7561">
        <v>0.99993500000000002</v>
      </c>
      <c r="Y7561">
        <v>3.5931169999999998E-2</v>
      </c>
      <c r="Z7561">
        <v>-1.334603E-3</v>
      </c>
      <c r="AA7561">
        <v>0.9993533</v>
      </c>
      <c r="AB7561">
        <v>24</v>
      </c>
      <c r="AC7561">
        <v>31.298500000000001</v>
      </c>
      <c r="AD7561">
        <v>-1.1711639999999901</v>
      </c>
      <c r="AE7561">
        <v>-0.57386000000000303</v>
      </c>
      <c r="AF7561">
        <v>1.1284193194577701</v>
      </c>
      <c r="AG7561">
        <v>-1.1711639999999901</v>
      </c>
      <c r="AH7561">
        <v>31.2396316578556</v>
      </c>
      <c r="AI7561">
        <v>92.145597368063605</v>
      </c>
      <c r="AJ7561">
        <v>87.931295472803498</v>
      </c>
      <c r="AK7561">
        <v>31.2819363434221</v>
      </c>
      <c r="AL7561">
        <v>89.494330090906203</v>
      </c>
      <c r="AM7561">
        <v>89.586634053612201</v>
      </c>
      <c r="AN7561">
        <v>0.99999996947254299</v>
      </c>
    </row>
    <row r="7562" spans="1:40" x14ac:dyDescent="0.25">
      <c r="A7562" t="str">
        <f>"20190303153955567"</f>
        <v>20190303153955567</v>
      </c>
      <c r="B7562" t="str">
        <f>"1551598795556120"</f>
        <v>1551598795556120</v>
      </c>
      <c r="C7562" t="s">
        <v>40</v>
      </c>
      <c r="D7562">
        <v>4.3510109999999997</v>
      </c>
      <c r="E7562">
        <v>0.51088919999999904</v>
      </c>
      <c r="F7562" t="s">
        <v>43</v>
      </c>
      <c r="G7562">
        <v>-313.28109999999998</v>
      </c>
      <c r="H7562">
        <v>-0.05</v>
      </c>
      <c r="I7562">
        <v>16.90971</v>
      </c>
      <c r="J7562">
        <v>-344.06959999999998</v>
      </c>
      <c r="K7562">
        <v>1.1211709999999999</v>
      </c>
      <c r="L7562">
        <v>17.489529999999998</v>
      </c>
      <c r="M7562">
        <v>0.99975040000000004</v>
      </c>
      <c r="N7562">
        <v>-1.3797429999999999E-2</v>
      </c>
      <c r="O7562">
        <v>1.7569689999999999E-2</v>
      </c>
      <c r="P7562">
        <v>0.99993290000000001</v>
      </c>
      <c r="Q7562">
        <v>-5.4358289999999997E-3</v>
      </c>
      <c r="R7562">
        <v>1.0235090000000001E-2</v>
      </c>
      <c r="S7562">
        <v>3.0002749999999998</v>
      </c>
      <c r="T7562">
        <v>-0.1136457</v>
      </c>
      <c r="U7562">
        <v>-5.6060789999999999E-2</v>
      </c>
      <c r="V7562">
        <v>7.3423069999999898E-3</v>
      </c>
      <c r="W7562">
        <v>8.3562989999999993E-3</v>
      </c>
      <c r="X7562">
        <v>0.99993810000000005</v>
      </c>
      <c r="Y7562">
        <v>3.620686E-2</v>
      </c>
      <c r="Z7562">
        <v>-1.3582259999999999E-3</v>
      </c>
      <c r="AA7562">
        <v>0.99934339999999999</v>
      </c>
      <c r="AB7562">
        <v>24</v>
      </c>
      <c r="AC7562">
        <v>30.788499999999999</v>
      </c>
      <c r="AD7562">
        <v>-1.171171</v>
      </c>
      <c r="AE7562">
        <v>-0.579819999999997</v>
      </c>
      <c r="AF7562">
        <v>1.1191076440963199</v>
      </c>
      <c r="AG7562">
        <v>-1.171171</v>
      </c>
      <c r="AH7562">
        <v>30.729109638888101</v>
      </c>
      <c r="AI7562">
        <v>92.181198951440095</v>
      </c>
      <c r="AJ7562">
        <v>87.914296233397707</v>
      </c>
      <c r="AK7562">
        <v>30.771776397035001</v>
      </c>
      <c r="AL7562">
        <v>89.521213748631695</v>
      </c>
      <c r="AM7562">
        <v>89.579298315870901</v>
      </c>
      <c r="AN7562">
        <v>0.999999970518334</v>
      </c>
    </row>
    <row r="7563" spans="1:40" x14ac:dyDescent="0.25">
      <c r="A7563" t="str">
        <f>"20190303153955578"</f>
        <v>20190303153955578</v>
      </c>
      <c r="B7563" t="str">
        <f>"1551598795575640"</f>
        <v>1551598795575640</v>
      </c>
      <c r="C7563" t="s">
        <v>40</v>
      </c>
      <c r="D7563">
        <v>4.3539079999999997</v>
      </c>
      <c r="E7563">
        <v>0.51099340000000004</v>
      </c>
      <c r="F7563" t="s">
        <v>43</v>
      </c>
      <c r="G7563">
        <v>-313.62580000000003</v>
      </c>
      <c r="H7563">
        <v>-0.05</v>
      </c>
      <c r="I7563">
        <v>16.903320000000001</v>
      </c>
      <c r="J7563">
        <v>-343.9606</v>
      </c>
      <c r="K7563">
        <v>1.1211770000000001</v>
      </c>
      <c r="L7563">
        <v>17.49127</v>
      </c>
      <c r="M7563">
        <v>0.99975340000000001</v>
      </c>
      <c r="N7563">
        <v>-1.3796299999999999E-2</v>
      </c>
      <c r="O7563">
        <v>1.740767E-2</v>
      </c>
      <c r="P7563">
        <v>0.99993180000000004</v>
      </c>
      <c r="Q7563">
        <v>-5.6171959999999996E-3</v>
      </c>
      <c r="R7563">
        <v>1.0251400000000001E-2</v>
      </c>
      <c r="S7563">
        <v>3.0001530000000001</v>
      </c>
      <c r="T7563">
        <v>-0.1154155</v>
      </c>
      <c r="U7563">
        <v>-5.776978E-2</v>
      </c>
      <c r="V7563">
        <v>7.1636209999999898E-3</v>
      </c>
      <c r="W7563">
        <v>8.174153E-3</v>
      </c>
      <c r="X7563">
        <v>0.99994090000000002</v>
      </c>
      <c r="Y7563">
        <v>3.6613140000000002E-2</v>
      </c>
      <c r="Z7563">
        <v>-1.3859219999999999E-3</v>
      </c>
      <c r="AA7563">
        <v>0.99932860000000001</v>
      </c>
      <c r="AB7563">
        <v>24</v>
      </c>
      <c r="AC7563">
        <v>30.334799999999898</v>
      </c>
      <c r="AD7563">
        <v>-1.1711769999999999</v>
      </c>
      <c r="AE7563">
        <v>-0.58794999999999897</v>
      </c>
      <c r="AF7563">
        <v>1.1143089126291901</v>
      </c>
      <c r="AG7563">
        <v>-1.1711769999999999</v>
      </c>
      <c r="AH7563">
        <v>30.2748559053523</v>
      </c>
      <c r="AI7563">
        <v>92.213874001002395</v>
      </c>
      <c r="AJ7563">
        <v>87.892099280139604</v>
      </c>
      <c r="AK7563">
        <v>30.317985421329301</v>
      </c>
      <c r="AL7563">
        <v>89.531650301723303</v>
      </c>
      <c r="AM7563">
        <v>89.589537513952806</v>
      </c>
      <c r="AN7563">
        <v>0.99999996886795395</v>
      </c>
    </row>
    <row r="7564" spans="1:40" x14ac:dyDescent="0.25">
      <c r="A7564" t="str">
        <f>"20190303153955588"</f>
        <v>20190303153955588</v>
      </c>
      <c r="B7564" t="str">
        <f>"1551598795586376"</f>
        <v>1551598795586376</v>
      </c>
      <c r="C7564" t="s">
        <v>40</v>
      </c>
      <c r="D7564">
        <v>4.4017390000000001</v>
      </c>
      <c r="E7564">
        <v>0.51103409999999905</v>
      </c>
      <c r="F7564" t="s">
        <v>43</v>
      </c>
      <c r="G7564">
        <v>-313.91210000000001</v>
      </c>
      <c r="H7564">
        <v>-0.05</v>
      </c>
      <c r="I7564">
        <v>16.904419999999998</v>
      </c>
      <c r="J7564">
        <v>-343.84570000000002</v>
      </c>
      <c r="K7564">
        <v>1.121183</v>
      </c>
      <c r="L7564">
        <v>17.493069999999999</v>
      </c>
      <c r="M7564">
        <v>0.99975630000000004</v>
      </c>
      <c r="N7564">
        <v>-1.3795119999999999E-2</v>
      </c>
      <c r="O7564">
        <v>1.7238030000000001E-2</v>
      </c>
      <c r="P7564">
        <v>0.99993030000000005</v>
      </c>
      <c r="Q7564">
        <v>-5.4960429999999999E-3</v>
      </c>
      <c r="R7564">
        <v>1.045053E-2</v>
      </c>
      <c r="S7564">
        <v>3.0001530000000001</v>
      </c>
      <c r="T7564">
        <v>-0.11693439999999999</v>
      </c>
      <c r="U7564">
        <v>-5.859375E-2</v>
      </c>
      <c r="V7564">
        <v>6.7949569999999999E-3</v>
      </c>
      <c r="W7564">
        <v>8.2947909999999993E-3</v>
      </c>
      <c r="X7564">
        <v>0.99994249999999996</v>
      </c>
      <c r="Y7564">
        <v>3.6716810000000003E-2</v>
      </c>
      <c r="Z7564">
        <v>-1.40245E-3</v>
      </c>
      <c r="AA7564">
        <v>0.99932469999999995</v>
      </c>
      <c r="AB7564">
        <v>24</v>
      </c>
      <c r="AC7564">
        <v>29.933599999999998</v>
      </c>
      <c r="AD7564">
        <v>-1.1711830000000001</v>
      </c>
      <c r="AE7564">
        <v>-0.58864999999999701</v>
      </c>
      <c r="AF7564">
        <v>1.10292014035685</v>
      </c>
      <c r="AG7564">
        <v>-1.1711830000000001</v>
      </c>
      <c r="AH7564">
        <v>29.873289572715802</v>
      </c>
      <c r="AI7564">
        <v>92.243605509087899</v>
      </c>
      <c r="AJ7564">
        <v>87.885603451162297</v>
      </c>
      <c r="AK7564">
        <v>29.916576213711799</v>
      </c>
      <c r="AL7564">
        <v>89.5247380285427</v>
      </c>
      <c r="AM7564">
        <v>89.61066124733</v>
      </c>
      <c r="AN7564">
        <v>0.99999998915230703</v>
      </c>
    </row>
    <row r="7565" spans="1:40" x14ac:dyDescent="0.25">
      <c r="A7565" t="str">
        <f>"20190303153955601"</f>
        <v>20190303153955601</v>
      </c>
      <c r="B7565" t="str">
        <f>"1551598795596136"</f>
        <v>1551598795596136</v>
      </c>
      <c r="C7565" t="s">
        <v>40</v>
      </c>
      <c r="D7565">
        <v>4.3630199999999997</v>
      </c>
      <c r="E7565">
        <v>0.51104189999999905</v>
      </c>
      <c r="F7565" t="s">
        <v>43</v>
      </c>
      <c r="G7565">
        <v>-313.75670000000002</v>
      </c>
      <c r="H7565">
        <v>-0.05</v>
      </c>
      <c r="I7565">
        <v>16.907579999999999</v>
      </c>
      <c r="J7565">
        <v>-343.71190000000001</v>
      </c>
      <c r="K7565">
        <v>1.121189</v>
      </c>
      <c r="L7565">
        <v>17.495149999999999</v>
      </c>
      <c r="M7565">
        <v>0.99975970000000003</v>
      </c>
      <c r="N7565">
        <v>-1.3793730000000001E-2</v>
      </c>
      <c r="O7565">
        <v>1.7046470000000001E-2</v>
      </c>
      <c r="P7565">
        <v>0.99992689999999995</v>
      </c>
      <c r="Q7565">
        <v>-5.567158E-3</v>
      </c>
      <c r="R7565">
        <v>1.07338E-2</v>
      </c>
      <c r="S7565">
        <v>3.0001530000000001</v>
      </c>
      <c r="T7565">
        <v>-0.1167778</v>
      </c>
      <c r="U7565">
        <v>-5.8380130000000002E-2</v>
      </c>
      <c r="V7565">
        <v>6.3199369999999899E-3</v>
      </c>
      <c r="W7565">
        <v>8.2227889999999994E-3</v>
      </c>
      <c r="X7565">
        <v>0.99994620000000001</v>
      </c>
      <c r="Y7565">
        <v>3.6454640000000003E-2</v>
      </c>
      <c r="Z7565">
        <v>-1.388872E-3</v>
      </c>
      <c r="AA7565">
        <v>0.99933430000000001</v>
      </c>
      <c r="AB7565">
        <v>24</v>
      </c>
      <c r="AC7565">
        <v>29.955199999999898</v>
      </c>
      <c r="AD7565">
        <v>-1.171189</v>
      </c>
      <c r="AE7565">
        <v>-0.58756999999999904</v>
      </c>
      <c r="AF7565">
        <v>1.0964880262460099</v>
      </c>
      <c r="AG7565">
        <v>-1.171189</v>
      </c>
      <c r="AH7565">
        <v>29.8951478921465</v>
      </c>
      <c r="AI7565">
        <v>92.241998139937195</v>
      </c>
      <c r="AJ7565">
        <v>87.899458884580397</v>
      </c>
      <c r="AK7565">
        <v>29.938166897102001</v>
      </c>
      <c r="AL7565">
        <v>89.528863575399299</v>
      </c>
      <c r="AM7565">
        <v>89.637879622466002</v>
      </c>
      <c r="AN7565">
        <v>0.99999997937853102</v>
      </c>
    </row>
    <row r="7566" spans="1:40" x14ac:dyDescent="0.25">
      <c r="A7566" t="str">
        <f>"20190303153955611"</f>
        <v>20190303153955611</v>
      </c>
      <c r="B7566" t="str">
        <f>"1551598795605896"</f>
        <v>1551598795605896</v>
      </c>
      <c r="C7566" t="s">
        <v>40</v>
      </c>
      <c r="D7566">
        <v>4.3465639999999999</v>
      </c>
      <c r="E7566">
        <v>0.51107599999999997</v>
      </c>
      <c r="F7566" t="s">
        <v>43</v>
      </c>
      <c r="G7566">
        <v>-313.76499999999999</v>
      </c>
      <c r="H7566">
        <v>-0.05</v>
      </c>
      <c r="I7566">
        <v>16.920030000000001</v>
      </c>
      <c r="J7566">
        <v>-343.59789999999998</v>
      </c>
      <c r="K7566">
        <v>1.1211850000000001</v>
      </c>
      <c r="L7566">
        <v>17.49689</v>
      </c>
      <c r="M7566">
        <v>0.99976229999999999</v>
      </c>
      <c r="N7566">
        <v>-1.3792550000000001E-2</v>
      </c>
      <c r="O7566">
        <v>1.6884920000000001E-2</v>
      </c>
      <c r="P7566">
        <v>0.99992239999999999</v>
      </c>
      <c r="Q7566">
        <v>-5.4750399999999996E-3</v>
      </c>
      <c r="R7566">
        <v>1.1191899999999999E-2</v>
      </c>
      <c r="S7566">
        <v>3.0002140000000002</v>
      </c>
      <c r="T7566">
        <v>-0.1173351</v>
      </c>
      <c r="U7566">
        <v>-5.7617189999999999E-2</v>
      </c>
      <c r="V7566">
        <v>5.7001229999999996E-3</v>
      </c>
      <c r="W7566">
        <v>8.3143390000000005E-3</v>
      </c>
      <c r="X7566">
        <v>0.99994919999999998</v>
      </c>
      <c r="Y7566">
        <v>3.6038830000000001E-2</v>
      </c>
      <c r="Z7566">
        <v>-1.380306E-3</v>
      </c>
      <c r="AA7566">
        <v>0.99934940000000005</v>
      </c>
      <c r="AB7566">
        <v>24</v>
      </c>
      <c r="AC7566">
        <v>29.832899999999899</v>
      </c>
      <c r="AD7566">
        <v>-1.1711849999999999</v>
      </c>
      <c r="AE7566">
        <v>-0.57685999999999904</v>
      </c>
      <c r="AF7566">
        <v>1.0788896315551899</v>
      </c>
      <c r="AG7566">
        <v>-1.1711849999999999</v>
      </c>
      <c r="AH7566">
        <v>29.7730358738341</v>
      </c>
      <c r="AI7566">
        <v>92.251212496564904</v>
      </c>
      <c r="AJ7566">
        <v>87.9246729624724</v>
      </c>
      <c r="AK7566">
        <v>29.815588913954301</v>
      </c>
      <c r="AL7566">
        <v>89.523617982468593</v>
      </c>
      <c r="AM7566">
        <v>89.673393955252607</v>
      </c>
      <c r="AN7566">
        <v>1.0000000111079299</v>
      </c>
    </row>
    <row r="7567" spans="1:40" x14ac:dyDescent="0.25">
      <c r="A7567" t="str">
        <f>"20190303153955622"</f>
        <v>20190303153955622</v>
      </c>
      <c r="B7567" t="str">
        <f>"1551598795615657"</f>
        <v>1551598795615657</v>
      </c>
      <c r="C7567" t="s">
        <v>40</v>
      </c>
      <c r="D7567">
        <v>4.376277</v>
      </c>
      <c r="E7567">
        <v>0.51109179999999999</v>
      </c>
      <c r="F7567" t="s">
        <v>43</v>
      </c>
      <c r="G7567">
        <v>-313.64139999999998</v>
      </c>
      <c r="H7567">
        <v>-0.05</v>
      </c>
      <c r="I7567">
        <v>16.93225</v>
      </c>
      <c r="J7567">
        <v>-343.48</v>
      </c>
      <c r="K7567">
        <v>1.121191</v>
      </c>
      <c r="L7567">
        <v>17.498719999999999</v>
      </c>
      <c r="M7567">
        <v>0.99976520000000002</v>
      </c>
      <c r="N7567">
        <v>-1.3791329999999999E-2</v>
      </c>
      <c r="O7567">
        <v>1.6720869999999999E-2</v>
      </c>
      <c r="P7567">
        <v>0.99991529999999995</v>
      </c>
      <c r="Q7567">
        <v>-5.683123E-3</v>
      </c>
      <c r="R7567">
        <v>1.170796E-2</v>
      </c>
      <c r="S7567">
        <v>3.0002140000000002</v>
      </c>
      <c r="T7567">
        <v>-0.11729680000000001</v>
      </c>
      <c r="U7567">
        <v>-5.654907E-2</v>
      </c>
      <c r="V7567">
        <v>5.019758E-3</v>
      </c>
      <c r="W7567">
        <v>8.1054909999999994E-3</v>
      </c>
      <c r="X7567">
        <v>0.99995449999999997</v>
      </c>
      <c r="Y7567">
        <v>3.5519799999999997E-2</v>
      </c>
      <c r="Z7567">
        <v>-1.3619909999999999E-3</v>
      </c>
      <c r="AA7567">
        <v>0.99936809999999998</v>
      </c>
      <c r="AB7567">
        <v>24</v>
      </c>
      <c r="AC7567">
        <v>29.8386</v>
      </c>
      <c r="AD7567">
        <v>-1.1711910000000001</v>
      </c>
      <c r="AE7567">
        <v>-0.56647000000000203</v>
      </c>
      <c r="AF7567">
        <v>1.0637273156495901</v>
      </c>
      <c r="AG7567">
        <v>-1.1711910000000001</v>
      </c>
      <c r="AH7567">
        <v>29.7790928375093</v>
      </c>
      <c r="AI7567">
        <v>92.250808329542494</v>
      </c>
      <c r="AJ7567">
        <v>87.954229705830699</v>
      </c>
      <c r="AK7567">
        <v>29.8210927765153</v>
      </c>
      <c r="AL7567">
        <v>89.535584466005105</v>
      </c>
      <c r="AM7567">
        <v>89.712378381560001</v>
      </c>
      <c r="AN7567">
        <v>0.99999994951248805</v>
      </c>
    </row>
    <row r="7568" spans="1:40" x14ac:dyDescent="0.25">
      <c r="A7568" t="str">
        <f>"20190303153955635"</f>
        <v>20190303153955635</v>
      </c>
      <c r="B7568" t="str">
        <f>"1551598795626392"</f>
        <v>1551598795626392</v>
      </c>
      <c r="C7568" t="s">
        <v>40</v>
      </c>
      <c r="D7568">
        <v>4.336951</v>
      </c>
      <c r="E7568">
        <v>0.51112409999999997</v>
      </c>
      <c r="F7568" t="s">
        <v>43</v>
      </c>
      <c r="G7568">
        <v>-313.77229999999997</v>
      </c>
      <c r="H7568">
        <v>-0.05</v>
      </c>
      <c r="I7568">
        <v>16.953279999999999</v>
      </c>
      <c r="J7568">
        <v>-343.3492</v>
      </c>
      <c r="K7568">
        <v>1.1211960000000001</v>
      </c>
      <c r="L7568">
        <v>17.50067</v>
      </c>
      <c r="M7568">
        <v>0.99976810000000005</v>
      </c>
      <c r="N7568">
        <v>-1.378997E-2</v>
      </c>
      <c r="O7568">
        <v>1.6540260000000001E-2</v>
      </c>
      <c r="P7568">
        <v>0.99990970000000001</v>
      </c>
      <c r="Q7568">
        <v>-5.7066699999999996E-3</v>
      </c>
      <c r="R7568">
        <v>1.2176269999999999E-2</v>
      </c>
      <c r="S7568">
        <v>3.0002140000000002</v>
      </c>
      <c r="T7568">
        <v>-0.1182798</v>
      </c>
      <c r="U7568">
        <v>-5.5084229999999998E-2</v>
      </c>
      <c r="V7568">
        <v>4.370484E-3</v>
      </c>
      <c r="W7568">
        <v>8.081174E-3</v>
      </c>
      <c r="X7568">
        <v>0.99995780000000001</v>
      </c>
      <c r="Y7568">
        <v>3.4851569999999998E-2</v>
      </c>
      <c r="Z7568">
        <v>-1.350876E-3</v>
      </c>
      <c r="AA7568">
        <v>0.99939160000000005</v>
      </c>
      <c r="AB7568">
        <v>24</v>
      </c>
      <c r="AC7568">
        <v>29.576899999999998</v>
      </c>
      <c r="AD7568">
        <v>-1.1711959999999999</v>
      </c>
      <c r="AE7568">
        <v>-0.54738999999999904</v>
      </c>
      <c r="AF7568">
        <v>1.0349489678029899</v>
      </c>
      <c r="AG7568">
        <v>-1.1711959999999999</v>
      </c>
      <c r="AH7568">
        <v>29.517529822869999</v>
      </c>
      <c r="AI7568">
        <v>92.270795056845898</v>
      </c>
      <c r="AJ7568">
        <v>87.991907636446399</v>
      </c>
      <c r="AK7568">
        <v>29.5588799902905</v>
      </c>
      <c r="AL7568">
        <v>89.536977798474197</v>
      </c>
      <c r="AM7568">
        <v>89.7495807391672</v>
      </c>
      <c r="AN7568">
        <v>1.0000000041422199</v>
      </c>
    </row>
    <row r="7569" spans="1:40" x14ac:dyDescent="0.25">
      <c r="A7569" t="str">
        <f>"20190303153955645"</f>
        <v>20190303153955645</v>
      </c>
      <c r="B7569" t="str">
        <f>"1551598795636152"</f>
        <v>1551598795636152</v>
      </c>
      <c r="C7569" t="s">
        <v>40</v>
      </c>
      <c r="D7569">
        <v>4.3321059999999996</v>
      </c>
      <c r="E7569">
        <v>0.5111734</v>
      </c>
      <c r="F7569" t="s">
        <v>43</v>
      </c>
      <c r="G7569">
        <v>-313.73579999999998</v>
      </c>
      <c r="H7569">
        <v>-0.05</v>
      </c>
      <c r="I7569">
        <v>16.968119999999999</v>
      </c>
      <c r="J7569">
        <v>-343.22669999999999</v>
      </c>
      <c r="K7569">
        <v>1.1212059999999999</v>
      </c>
      <c r="L7569">
        <v>17.50253</v>
      </c>
      <c r="M7569">
        <v>0.99977090000000002</v>
      </c>
      <c r="N7569">
        <v>-1.3788689999999999E-2</v>
      </c>
      <c r="O7569">
        <v>1.6372629999999999E-2</v>
      </c>
      <c r="P7569">
        <v>0.99990310000000004</v>
      </c>
      <c r="Q7569">
        <v>-5.8516380000000002E-3</v>
      </c>
      <c r="R7569">
        <v>1.264565E-2</v>
      </c>
      <c r="S7569">
        <v>3.0002140000000002</v>
      </c>
      <c r="T7569">
        <v>-0.118657</v>
      </c>
      <c r="U7569">
        <v>-5.3955080000000002E-2</v>
      </c>
      <c r="V7569">
        <v>3.7333140000000002E-3</v>
      </c>
      <c r="W7569">
        <v>7.9352650000000004E-3</v>
      </c>
      <c r="X7569">
        <v>0.99996160000000001</v>
      </c>
      <c r="Y7569">
        <v>3.4308360000000003E-2</v>
      </c>
      <c r="Z7569">
        <v>-1.3363429999999901E-3</v>
      </c>
      <c r="AA7569">
        <v>0.99941040000000003</v>
      </c>
      <c r="AB7569">
        <v>24</v>
      </c>
      <c r="AC7569">
        <v>29.4909</v>
      </c>
      <c r="AD7569">
        <v>-1.171206</v>
      </c>
      <c r="AE7569">
        <v>-0.53440999999999705</v>
      </c>
      <c r="AF7569">
        <v>1.0156265108101299</v>
      </c>
      <c r="AG7569">
        <v>-1.171206</v>
      </c>
      <c r="AH7569">
        <v>29.431790761330301</v>
      </c>
      <c r="AI7569">
        <v>92.277466499314301</v>
      </c>
      <c r="AJ7569">
        <v>88.023632614831996</v>
      </c>
      <c r="AK7569">
        <v>29.472589437011202</v>
      </c>
      <c r="AL7569">
        <v>89.545338058985905</v>
      </c>
      <c r="AM7569">
        <v>89.786089643880999</v>
      </c>
      <c r="AN7569">
        <v>1.0000000537692999</v>
      </c>
    </row>
    <row r="7570" spans="1:40" x14ac:dyDescent="0.25">
      <c r="A7570" t="str">
        <f>"20190303153955657"</f>
        <v>20190303153955657</v>
      </c>
      <c r="B7570" t="str">
        <f>"1551598795645912"</f>
        <v>1551598795645912</v>
      </c>
      <c r="C7570" t="s">
        <v>40</v>
      </c>
      <c r="D7570">
        <v>4.395861</v>
      </c>
      <c r="E7570">
        <v>0.51121629999999996</v>
      </c>
      <c r="F7570" t="s">
        <v>43</v>
      </c>
      <c r="G7570">
        <v>-313.79629999999997</v>
      </c>
      <c r="H7570">
        <v>-0.05</v>
      </c>
      <c r="I7570">
        <v>16.983750000000001</v>
      </c>
      <c r="J7570">
        <v>-343.11619999999999</v>
      </c>
      <c r="K7570">
        <v>1.121211</v>
      </c>
      <c r="L7570">
        <v>17.504149999999999</v>
      </c>
      <c r="M7570">
        <v>0.99977340000000003</v>
      </c>
      <c r="N7570">
        <v>-1.3787529999999999E-2</v>
      </c>
      <c r="O7570">
        <v>1.6222440000000001E-2</v>
      </c>
      <c r="P7570">
        <v>0.99989660000000002</v>
      </c>
      <c r="Q7570">
        <v>-5.9058799999999996E-3</v>
      </c>
      <c r="R7570">
        <v>1.3118380000000001E-2</v>
      </c>
      <c r="S7570">
        <v>3.0002749999999998</v>
      </c>
      <c r="T7570">
        <v>-0.1193982</v>
      </c>
      <c r="U7570">
        <v>-5.2886959999999997E-2</v>
      </c>
      <c r="V7570">
        <v>3.1101599999999998E-3</v>
      </c>
      <c r="W7570">
        <v>7.8804310000000002E-3</v>
      </c>
      <c r="X7570">
        <v>0.99996410000000002</v>
      </c>
      <c r="Y7570">
        <v>3.3802270000000002E-2</v>
      </c>
      <c r="Z7570">
        <v>-1.327132E-3</v>
      </c>
      <c r="AA7570">
        <v>0.99942770000000003</v>
      </c>
      <c r="AB7570">
        <v>24</v>
      </c>
      <c r="AC7570">
        <v>29.319900000000001</v>
      </c>
      <c r="AD7570">
        <v>-1.171211</v>
      </c>
      <c r="AE7570">
        <v>-0.52039999999999798</v>
      </c>
      <c r="AF7570">
        <v>0.99443072089994</v>
      </c>
      <c r="AG7570">
        <v>-1.171211</v>
      </c>
      <c r="AH7570">
        <v>29.260921718907699</v>
      </c>
      <c r="AI7570">
        <v>92.290802325954999</v>
      </c>
      <c r="AJ7570">
        <v>88.053555404405401</v>
      </c>
      <c r="AK7570">
        <v>29.3012315015126</v>
      </c>
      <c r="AL7570">
        <v>89.548479884036894</v>
      </c>
      <c r="AM7570">
        <v>89.821795135451595</v>
      </c>
      <c r="AN7570">
        <v>0.99999998778839005</v>
      </c>
    </row>
    <row r="7571" spans="1:40" x14ac:dyDescent="0.25">
      <c r="A7571" t="str">
        <f>"20190303153955670"</f>
        <v>20190303153955670</v>
      </c>
      <c r="B7571" t="str">
        <f>"1551598795666408"</f>
        <v>1551598795666408</v>
      </c>
      <c r="C7571" t="s">
        <v>40</v>
      </c>
      <c r="D7571">
        <v>4.3934749999999996</v>
      </c>
      <c r="E7571">
        <v>0.51124639999999999</v>
      </c>
      <c r="F7571" t="s">
        <v>43</v>
      </c>
      <c r="G7571">
        <v>-313.76889999999997</v>
      </c>
      <c r="H7571">
        <v>-0.05</v>
      </c>
      <c r="I7571">
        <v>16.997879999999999</v>
      </c>
      <c r="J7571">
        <v>-342.98149999999998</v>
      </c>
      <c r="K7571">
        <v>1.1212150000000001</v>
      </c>
      <c r="L7571">
        <v>17.506129999999999</v>
      </c>
      <c r="M7571">
        <v>0.99977629999999995</v>
      </c>
      <c r="N7571">
        <v>-1.3786120000000001E-2</v>
      </c>
      <c r="O7571">
        <v>1.6040080000000002E-2</v>
      </c>
      <c r="P7571">
        <v>0.99989099999999997</v>
      </c>
      <c r="Q7571">
        <v>-6.1474440000000002E-3</v>
      </c>
      <c r="R7571">
        <v>1.3435030000000001E-2</v>
      </c>
      <c r="S7571">
        <v>3.0002749999999998</v>
      </c>
      <c r="T7571">
        <v>-0.1197367</v>
      </c>
      <c r="U7571">
        <v>-5.1757810000000001E-2</v>
      </c>
      <c r="V7571">
        <v>2.6108009999999998E-3</v>
      </c>
      <c r="W7571">
        <v>7.6372530000000001E-3</v>
      </c>
      <c r="X7571">
        <v>0.99996750000000001</v>
      </c>
      <c r="Y7571">
        <v>3.3244379999999997E-2</v>
      </c>
      <c r="Z7571">
        <v>-1.31113E-3</v>
      </c>
      <c r="AA7571">
        <v>0.99944639999999996</v>
      </c>
      <c r="AB7571">
        <v>24</v>
      </c>
      <c r="AC7571">
        <v>29.212599999999998</v>
      </c>
      <c r="AD7571">
        <v>-1.1712149999999999</v>
      </c>
      <c r="AE7571">
        <v>-0.50824999999999998</v>
      </c>
      <c r="AF7571">
        <v>0.97523442874101696</v>
      </c>
      <c r="AG7571">
        <v>-1.1712149999999999</v>
      </c>
      <c r="AH7571">
        <v>29.153839272015301</v>
      </c>
      <c r="AI7571">
        <v>92.299256582524706</v>
      </c>
      <c r="AJ7571">
        <v>88.084094915215999</v>
      </c>
      <c r="AK7571">
        <v>29.193649498919001</v>
      </c>
      <c r="AL7571">
        <v>89.562413413776795</v>
      </c>
      <c r="AM7571">
        <v>89.850407599696794</v>
      </c>
      <c r="AN7571">
        <v>1.0000000724857401</v>
      </c>
    </row>
    <row r="7572" spans="1:40" x14ac:dyDescent="0.25">
      <c r="A7572" t="str">
        <f>"20190303153955683"</f>
        <v>20190303153955683</v>
      </c>
      <c r="B7572" t="str">
        <f>"1551598795676168"</f>
        <v>1551598795676168</v>
      </c>
      <c r="C7572" t="s">
        <v>40</v>
      </c>
      <c r="D7572">
        <v>4.4326460000000001</v>
      </c>
      <c r="E7572">
        <v>0.54188409999999998</v>
      </c>
      <c r="F7572" t="s">
        <v>43</v>
      </c>
      <c r="G7572">
        <v>-313.70389999999998</v>
      </c>
      <c r="H7572">
        <v>-0.05</v>
      </c>
      <c r="I7572">
        <v>17.007899999999999</v>
      </c>
      <c r="J7572">
        <v>-342.83699999999999</v>
      </c>
      <c r="K7572">
        <v>1.121218</v>
      </c>
      <c r="L7572">
        <v>17.508179999999999</v>
      </c>
      <c r="M7572">
        <v>0.99977939999999998</v>
      </c>
      <c r="N7572">
        <v>-1.378472E-2</v>
      </c>
      <c r="O7572">
        <v>1.5845129999999999E-2</v>
      </c>
      <c r="P7572">
        <v>0.99988600000000005</v>
      </c>
      <c r="Q7572">
        <v>-6.5581090000000003E-3</v>
      </c>
      <c r="R7572">
        <v>1.360213E-2</v>
      </c>
      <c r="S7572">
        <v>3.000305</v>
      </c>
      <c r="T7572">
        <v>-0.12002359999999999</v>
      </c>
      <c r="U7572">
        <v>-5.1055910000000003E-2</v>
      </c>
      <c r="V7572">
        <v>2.2485320000000001E-3</v>
      </c>
      <c r="W7572">
        <v>7.2257529999999997E-3</v>
      </c>
      <c r="X7572">
        <v>0.99997139999999995</v>
      </c>
      <c r="Y7572">
        <v>3.2815909999999997E-2</v>
      </c>
      <c r="Z7572">
        <v>-1.2976089999999999E-3</v>
      </c>
      <c r="AA7572">
        <v>0.99946060000000003</v>
      </c>
      <c r="AB7572">
        <v>24</v>
      </c>
      <c r="AC7572">
        <v>29.133099999999999</v>
      </c>
      <c r="AD7572">
        <v>-1.1712180000000001</v>
      </c>
      <c r="AE7572">
        <v>-0.50027999999999995</v>
      </c>
      <c r="AF7572">
        <v>0.960327169736088</v>
      </c>
      <c r="AG7572">
        <v>-1.1712180000000001</v>
      </c>
      <c r="AH7572">
        <v>29.074536954757299</v>
      </c>
      <c r="AI7572">
        <v>92.305559296906296</v>
      </c>
      <c r="AJ7572">
        <v>88.108217593253599</v>
      </c>
      <c r="AK7572">
        <v>29.1139602082919</v>
      </c>
      <c r="AL7572">
        <v>89.585991260694797</v>
      </c>
      <c r="AM7572">
        <v>89.871165138753994</v>
      </c>
      <c r="AN7572">
        <v>1.0000000341102599</v>
      </c>
    </row>
    <row r="7573" spans="1:40" x14ac:dyDescent="0.25">
      <c r="A7573" t="str">
        <f>"20190303153955695"</f>
        <v>20190303153955695</v>
      </c>
      <c r="B7573" t="str">
        <f>"1551598795685928"</f>
        <v>1551598795685928</v>
      </c>
      <c r="C7573" t="s">
        <v>40</v>
      </c>
      <c r="D7573">
        <v>4.4802269999999904</v>
      </c>
      <c r="E7573">
        <v>0.54569009999999996</v>
      </c>
      <c r="F7573" t="s">
        <v>43</v>
      </c>
      <c r="G7573">
        <v>-314.75580000000002</v>
      </c>
      <c r="H7573">
        <v>-0.05</v>
      </c>
      <c r="I7573">
        <v>14.749980000000001</v>
      </c>
      <c r="J7573">
        <v>-342.70940000000002</v>
      </c>
      <c r="K7573">
        <v>1.1212200000000001</v>
      </c>
      <c r="L7573">
        <v>17.51004</v>
      </c>
      <c r="M7573">
        <v>0.99978219999999995</v>
      </c>
      <c r="N7573">
        <v>-1.3783439999999999E-2</v>
      </c>
      <c r="O7573">
        <v>1.5673289999999999E-2</v>
      </c>
      <c r="P7573">
        <v>0.99988449999999995</v>
      </c>
      <c r="Q7573">
        <v>-6.7027019999999996E-3</v>
      </c>
      <c r="R7573">
        <v>1.3651969999999999E-2</v>
      </c>
      <c r="S7573">
        <v>3.0035400000000001</v>
      </c>
      <c r="T7573">
        <v>-0.1252722</v>
      </c>
      <c r="U7573">
        <v>-0.29501339999999998</v>
      </c>
      <c r="V7573">
        <v>2.0264620000000001E-3</v>
      </c>
      <c r="W7573">
        <v>7.0798440000000001E-3</v>
      </c>
      <c r="X7573">
        <v>0.99997290000000005</v>
      </c>
      <c r="Y7573">
        <v>0.1132031</v>
      </c>
      <c r="Z7573">
        <v>-3.573119E-3</v>
      </c>
      <c r="AA7573">
        <v>0.99356540000000004</v>
      </c>
      <c r="AB7573">
        <v>24</v>
      </c>
      <c r="AC7573">
        <v>27.953599999999899</v>
      </c>
      <c r="AD7573">
        <v>-1.1712199999999999</v>
      </c>
      <c r="AE7573">
        <v>-2.7600600000000002</v>
      </c>
      <c r="AF7573">
        <v>3.19233734420148</v>
      </c>
      <c r="AG7573">
        <v>-1.1712199999999999</v>
      </c>
      <c r="AH7573">
        <v>27.858468944526098</v>
      </c>
      <c r="AI7573">
        <v>92.391765873292897</v>
      </c>
      <c r="AJ7573">
        <v>83.462917491721001</v>
      </c>
      <c r="AK7573">
        <v>28.065228770503701</v>
      </c>
      <c r="AL7573">
        <v>89.5943514367235</v>
      </c>
      <c r="AM7573">
        <v>89.883889292398393</v>
      </c>
      <c r="AN7573">
        <v>1.00000001573685</v>
      </c>
    </row>
    <row r="7574" spans="1:40" x14ac:dyDescent="0.25">
      <c r="A7574" t="str">
        <f>"20190303153955708"</f>
        <v>20190303153955708</v>
      </c>
      <c r="B7574" t="str">
        <f>"1551598795695687"</f>
        <v>1551598795695687</v>
      </c>
      <c r="C7574" t="s">
        <v>40</v>
      </c>
      <c r="D7574">
        <v>4.4223330000000001</v>
      </c>
      <c r="E7574">
        <v>0.547131699999999</v>
      </c>
      <c r="F7574" t="s">
        <v>43</v>
      </c>
      <c r="G7574">
        <v>-315.15440000000001</v>
      </c>
      <c r="H7574">
        <v>-0.05</v>
      </c>
      <c r="I7574">
        <v>14.52678</v>
      </c>
      <c r="J7574">
        <v>-342.56779999999998</v>
      </c>
      <c r="K7574">
        <v>1.121221</v>
      </c>
      <c r="L7574">
        <v>17.512049999999999</v>
      </c>
      <c r="M7574">
        <v>0.99978529999999999</v>
      </c>
      <c r="N7574">
        <v>-1.3781969999999999E-2</v>
      </c>
      <c r="O7574">
        <v>1.548297E-2</v>
      </c>
      <c r="P7574">
        <v>0.99988339999999998</v>
      </c>
      <c r="Q7574">
        <v>-7.0914519999999998E-3</v>
      </c>
      <c r="R7574">
        <v>1.3537469999999999E-2</v>
      </c>
      <c r="S7574">
        <v>3.0039370000000001</v>
      </c>
      <c r="T7574">
        <v>-0.12768199999999999</v>
      </c>
      <c r="U7574">
        <v>-0.32522579999999901</v>
      </c>
      <c r="V7574">
        <v>1.9504189999999999E-3</v>
      </c>
      <c r="W7574">
        <v>6.6898010000000004E-3</v>
      </c>
      <c r="X7574">
        <v>0.99997570000000002</v>
      </c>
      <c r="Y7574">
        <v>0.1228672</v>
      </c>
      <c r="Z7574">
        <v>-3.8954760000000001E-3</v>
      </c>
      <c r="AA7574">
        <v>0.99241550000000001</v>
      </c>
      <c r="AB7574">
        <v>24</v>
      </c>
      <c r="AC7574">
        <v>27.4133999999999</v>
      </c>
      <c r="AD7574">
        <v>-1.1712209999999901</v>
      </c>
      <c r="AE7574">
        <v>-2.9852699999999999</v>
      </c>
      <c r="AF7574">
        <v>3.4032537865216201</v>
      </c>
      <c r="AG7574">
        <v>-1.1712209999999901</v>
      </c>
      <c r="AH7574">
        <v>27.3146131035931</v>
      </c>
      <c r="AI7574">
        <v>92.436461100398603</v>
      </c>
      <c r="AJ7574">
        <v>82.897854132959196</v>
      </c>
      <c r="AK7574">
        <v>27.550716578072802</v>
      </c>
      <c r="AL7574">
        <v>89.616699769862507</v>
      </c>
      <c r="AM7574">
        <v>89.888246649123005</v>
      </c>
      <c r="AN7574">
        <v>0.99999997908109195</v>
      </c>
    </row>
    <row r="7575" spans="1:40" x14ac:dyDescent="0.25">
      <c r="A7575" t="str">
        <f>"20190303153955724"</f>
        <v>20190303153955724</v>
      </c>
      <c r="B7575" t="str">
        <f>"1551598795716184"</f>
        <v>1551598795716184</v>
      </c>
      <c r="C7575" t="s">
        <v>40</v>
      </c>
      <c r="D7575">
        <v>4.4890990000000004</v>
      </c>
      <c r="E7575">
        <v>0.54885519999999999</v>
      </c>
      <c r="F7575" t="s">
        <v>43</v>
      </c>
      <c r="G7575">
        <v>-317.4323</v>
      </c>
      <c r="H7575">
        <v>-0.05</v>
      </c>
      <c r="I7575">
        <v>14.69041</v>
      </c>
      <c r="J7575">
        <v>-342.39569999999998</v>
      </c>
      <c r="K7575">
        <v>1.1212219999999999</v>
      </c>
      <c r="L7575">
        <v>17.514429999999901</v>
      </c>
      <c r="M7575">
        <v>0.99978880000000003</v>
      </c>
      <c r="N7575">
        <v>-1.378017E-2</v>
      </c>
      <c r="O7575">
        <v>1.5254709999999999E-2</v>
      </c>
      <c r="P7575">
        <v>0.99988319999999997</v>
      </c>
      <c r="Q7575">
        <v>-8.1039900000000002E-3</v>
      </c>
      <c r="R7575">
        <v>1.2963769999999999E-2</v>
      </c>
      <c r="S7575">
        <v>3.0039669999999998</v>
      </c>
      <c r="T7575">
        <v>-0.1399736</v>
      </c>
      <c r="U7575">
        <v>-0.3372192</v>
      </c>
      <c r="V7575">
        <v>2.2950890000000002E-3</v>
      </c>
      <c r="W7575">
        <v>5.675111E-3</v>
      </c>
      <c r="X7575">
        <v>0.99998129999999996</v>
      </c>
      <c r="Y7575">
        <v>0.12652089999999999</v>
      </c>
      <c r="Z7575">
        <v>-4.3109000000000003E-3</v>
      </c>
      <c r="AA7575">
        <v>0.99195460000000002</v>
      </c>
      <c r="AB7575">
        <v>24</v>
      </c>
      <c r="AC7575">
        <v>24.963399999999901</v>
      </c>
      <c r="AD7575">
        <v>-1.171222</v>
      </c>
      <c r="AE7575">
        <v>-2.8240199999999902</v>
      </c>
      <c r="AF7575">
        <v>3.1975871037029702</v>
      </c>
      <c r="AG7575">
        <v>-1.171222</v>
      </c>
      <c r="AH7575">
        <v>24.863371890641901</v>
      </c>
      <c r="AI7575">
        <v>92.675001135640997</v>
      </c>
      <c r="AJ7575">
        <v>82.671625950961996</v>
      </c>
      <c r="AK7575">
        <v>25.095489356285</v>
      </c>
      <c r="AL7575">
        <v>89.674838358148193</v>
      </c>
      <c r="AM7575">
        <v>89.868498858516901</v>
      </c>
      <c r="AN7575">
        <v>1.0000000373340301</v>
      </c>
    </row>
    <row r="7576" spans="1:40" x14ac:dyDescent="0.25">
      <c r="A7576" t="str">
        <f>"20190303153955737"</f>
        <v>20190303153955737</v>
      </c>
      <c r="B7576" t="str">
        <f>"1551598795725944"</f>
        <v>1551598795725944</v>
      </c>
      <c r="C7576" t="s">
        <v>40</v>
      </c>
      <c r="D7576">
        <v>4.468934</v>
      </c>
      <c r="E7576">
        <v>0.5493441</v>
      </c>
      <c r="F7576" t="s">
        <v>43</v>
      </c>
      <c r="G7576">
        <v>-317.46640000000002</v>
      </c>
      <c r="H7576">
        <v>-0.05</v>
      </c>
      <c r="I7576">
        <v>14.588839999999999</v>
      </c>
      <c r="J7576">
        <v>-342.2568</v>
      </c>
      <c r="K7576">
        <v>1.121224</v>
      </c>
      <c r="L7576">
        <v>17.51633</v>
      </c>
      <c r="M7576">
        <v>0.9997914</v>
      </c>
      <c r="N7576">
        <v>-1.37787E-2</v>
      </c>
      <c r="O7576">
        <v>1.507412E-2</v>
      </c>
      <c r="P7576">
        <v>0.99988469999999996</v>
      </c>
      <c r="Q7576">
        <v>-8.5249820000000004E-3</v>
      </c>
      <c r="R7576">
        <v>1.2562240000000001E-2</v>
      </c>
      <c r="S7576">
        <v>3.0037539999999998</v>
      </c>
      <c r="T7576">
        <v>-0.14112169999999999</v>
      </c>
      <c r="U7576">
        <v>-0.3525085</v>
      </c>
      <c r="V7576">
        <v>2.515935E-3</v>
      </c>
      <c r="W7576">
        <v>5.2526389999999999E-3</v>
      </c>
      <c r="X7576">
        <v>0.99998299999999996</v>
      </c>
      <c r="Y7576">
        <v>0.1313221</v>
      </c>
      <c r="Z7576">
        <v>-4.4798049999999999E-3</v>
      </c>
      <c r="AA7576">
        <v>0.99132960000000003</v>
      </c>
      <c r="AB7576">
        <v>24</v>
      </c>
      <c r="AC7576">
        <v>24.790399999999899</v>
      </c>
      <c r="AD7576">
        <v>-1.171224</v>
      </c>
      <c r="AE7576">
        <v>-2.9274900000000001</v>
      </c>
      <c r="AF7576">
        <v>3.29363566931243</v>
      </c>
      <c r="AG7576">
        <v>-1.171224</v>
      </c>
      <c r="AH7576">
        <v>24.689098717980901</v>
      </c>
      <c r="AI7576">
        <v>92.692198306338895</v>
      </c>
      <c r="AJ7576">
        <v>82.401353080226102</v>
      </c>
      <c r="AK7576">
        <v>24.935344334629601</v>
      </c>
      <c r="AL7576">
        <v>89.699044558106095</v>
      </c>
      <c r="AM7576">
        <v>89.855845396509906</v>
      </c>
      <c r="AN7576">
        <v>0.99999996021719295</v>
      </c>
    </row>
    <row r="7577" spans="1:40" x14ac:dyDescent="0.25">
      <c r="A7577" t="str">
        <f>"20190303153955752"</f>
        <v>20190303153955752</v>
      </c>
      <c r="B7577" t="str">
        <f>"1551598795746441"</f>
        <v>1551598795746441</v>
      </c>
      <c r="C7577" t="s">
        <v>40</v>
      </c>
      <c r="D7577">
        <v>4.4741730000000004</v>
      </c>
      <c r="E7577">
        <v>0.55030939999999995</v>
      </c>
      <c r="F7577" t="s">
        <v>43</v>
      </c>
      <c r="G7577">
        <v>-317.3913</v>
      </c>
      <c r="H7577">
        <v>-0.05</v>
      </c>
      <c r="I7577">
        <v>14.555389999999999</v>
      </c>
      <c r="J7577">
        <v>-342.10910000000001</v>
      </c>
      <c r="K7577">
        <v>1.1212279999999999</v>
      </c>
      <c r="L7577">
        <v>17.518339999999998</v>
      </c>
      <c r="M7577">
        <v>0.99979430000000002</v>
      </c>
      <c r="N7577">
        <v>-1.377715E-2</v>
      </c>
      <c r="O7577">
        <v>1.48847999999999E-2</v>
      </c>
      <c r="P7577">
        <v>0.99988849999999996</v>
      </c>
      <c r="Q7577">
        <v>-8.7693589999999991E-3</v>
      </c>
      <c r="R7577">
        <v>1.2089569999999999E-2</v>
      </c>
      <c r="S7577">
        <v>3.0036010000000002</v>
      </c>
      <c r="T7577">
        <v>-0.14147699999999999</v>
      </c>
      <c r="U7577">
        <v>-0.35766599999999998</v>
      </c>
      <c r="V7577">
        <v>2.7989769999999998E-3</v>
      </c>
      <c r="W7577">
        <v>5.006595E-3</v>
      </c>
      <c r="X7577">
        <v>0.99998350000000003</v>
      </c>
      <c r="Y7577">
        <v>0.13281599999999999</v>
      </c>
      <c r="Z7577">
        <v>-4.5282409999999997E-3</v>
      </c>
      <c r="AA7577">
        <v>0.99113039999999997</v>
      </c>
      <c r="AB7577">
        <v>24</v>
      </c>
      <c r="AC7577">
        <v>24.7178</v>
      </c>
      <c r="AD7577">
        <v>-1.1712279999999999</v>
      </c>
      <c r="AE7577">
        <v>-2.9629500000000002</v>
      </c>
      <c r="AF7577">
        <v>3.3232203774208302</v>
      </c>
      <c r="AG7577">
        <v>-1.1712279999999999</v>
      </c>
      <c r="AH7577">
        <v>24.616467009212599</v>
      </c>
      <c r="AI7577">
        <v>92.6995721941949</v>
      </c>
      <c r="AJ7577">
        <v>82.311558330702198</v>
      </c>
      <c r="AK7577">
        <v>24.867368512179599</v>
      </c>
      <c r="AL7577">
        <v>89.713142024097706</v>
      </c>
      <c r="AM7577">
        <v>89.839628203615902</v>
      </c>
      <c r="AN7577">
        <v>0.99999995026899402</v>
      </c>
    </row>
    <row r="7578" spans="1:40" x14ac:dyDescent="0.25">
      <c r="A7578" t="str">
        <f>"20190303153955764"</f>
        <v>20190303153955764</v>
      </c>
      <c r="B7578" t="str">
        <f>"1551598795756200"</f>
        <v>1551598795756200</v>
      </c>
      <c r="C7578" t="s">
        <v>40</v>
      </c>
      <c r="D7578">
        <v>4.4346129999999997</v>
      </c>
      <c r="E7578">
        <v>0.55082940000000002</v>
      </c>
      <c r="F7578" t="s">
        <v>43</v>
      </c>
      <c r="G7578">
        <v>-317.45690000000002</v>
      </c>
      <c r="H7578">
        <v>-0.05</v>
      </c>
      <c r="I7578">
        <v>14.507540000000001</v>
      </c>
      <c r="J7578">
        <v>-341.96089999999998</v>
      </c>
      <c r="K7578">
        <v>1.121229</v>
      </c>
      <c r="L7578">
        <v>17.520320000000002</v>
      </c>
      <c r="M7578">
        <v>0.99979709999999999</v>
      </c>
      <c r="N7578">
        <v>-1.377568E-2</v>
      </c>
      <c r="O7578">
        <v>1.470087E-2</v>
      </c>
      <c r="P7578">
        <v>0.99989249999999996</v>
      </c>
      <c r="Q7578">
        <v>-8.9623900000000006E-3</v>
      </c>
      <c r="R7578">
        <v>1.160945E-2</v>
      </c>
      <c r="S7578">
        <v>3.003479</v>
      </c>
      <c r="T7578">
        <v>-0.14269589999999999</v>
      </c>
      <c r="U7578">
        <v>-0.36682130000000002</v>
      </c>
      <c r="V7578">
        <v>3.0949459999999999E-3</v>
      </c>
      <c r="W7578">
        <v>4.8120480000000002E-3</v>
      </c>
      <c r="X7578">
        <v>0.99998359999999997</v>
      </c>
      <c r="Y7578">
        <v>0.1356087</v>
      </c>
      <c r="Z7578">
        <v>-4.6398610000000003E-3</v>
      </c>
      <c r="AA7578">
        <v>0.99075159999999995</v>
      </c>
      <c r="AB7578">
        <v>24</v>
      </c>
      <c r="AC7578">
        <v>24.503999999999898</v>
      </c>
      <c r="AD7578">
        <v>-1.1712290000000001</v>
      </c>
      <c r="AE7578">
        <v>-3.0127799999999998</v>
      </c>
      <c r="AF7578">
        <v>3.3651451331943099</v>
      </c>
      <c r="AG7578">
        <v>-1.1712290000000001</v>
      </c>
      <c r="AH7578">
        <v>24.402137959039599</v>
      </c>
      <c r="AI7578">
        <v>92.722192372699794</v>
      </c>
      <c r="AJ7578">
        <v>82.148223566751895</v>
      </c>
      <c r="AK7578">
        <v>24.660906636008001</v>
      </c>
      <c r="AL7578">
        <v>89.7242888857335</v>
      </c>
      <c r="AM7578">
        <v>89.8226703143755</v>
      </c>
      <c r="AN7578">
        <v>0.99999996738282804</v>
      </c>
    </row>
    <row r="7579" spans="1:40" x14ac:dyDescent="0.25">
      <c r="A7579" t="str">
        <f>"20190303153955778"</f>
        <v>20190303153955778</v>
      </c>
      <c r="B7579" t="str">
        <f>"1551598795775720"</f>
        <v>1551598795775720</v>
      </c>
      <c r="C7579" t="s">
        <v>40</v>
      </c>
      <c r="D7579">
        <v>4.4358979999999999</v>
      </c>
      <c r="E7579">
        <v>0.55185909999999905</v>
      </c>
      <c r="F7579" t="s">
        <v>43</v>
      </c>
      <c r="G7579">
        <v>-317.16250000000002</v>
      </c>
      <c r="H7579">
        <v>-0.05</v>
      </c>
      <c r="I7579">
        <v>14.44591</v>
      </c>
      <c r="J7579">
        <v>-341.82709999999997</v>
      </c>
      <c r="K7579">
        <v>1.1212299999999999</v>
      </c>
      <c r="L7579">
        <v>17.52206</v>
      </c>
      <c r="M7579">
        <v>0.9997994</v>
      </c>
      <c r="N7579">
        <v>-1.377427E-2</v>
      </c>
      <c r="O7579">
        <v>1.454073E-2</v>
      </c>
      <c r="P7579">
        <v>0.99989249999999996</v>
      </c>
      <c r="Q7579">
        <v>-9.7375959999999994E-3</v>
      </c>
      <c r="R7579">
        <v>1.096839E-2</v>
      </c>
      <c r="S7579">
        <v>3.0033569999999998</v>
      </c>
      <c r="T7579">
        <v>-0.141848799999999</v>
      </c>
      <c r="U7579">
        <v>-0.37234499999999998</v>
      </c>
      <c r="V7579">
        <v>3.5752510000000002E-3</v>
      </c>
      <c r="W7579">
        <v>4.0352879999999997E-3</v>
      </c>
      <c r="X7579">
        <v>0.99998549999999997</v>
      </c>
      <c r="Y7579">
        <v>0.1372496</v>
      </c>
      <c r="Z7579">
        <v>-4.6610810000000001E-3</v>
      </c>
      <c r="AA7579">
        <v>0.99052549999999995</v>
      </c>
      <c r="AB7579">
        <v>24</v>
      </c>
      <c r="AC7579">
        <v>24.664599999999901</v>
      </c>
      <c r="AD7579">
        <v>-1.17123</v>
      </c>
      <c r="AE7579">
        <v>-3.0761499999999899</v>
      </c>
      <c r="AF7579">
        <v>3.4268909407607202</v>
      </c>
      <c r="AG7579">
        <v>-1.17123</v>
      </c>
      <c r="AH7579">
        <v>24.5627189413511</v>
      </c>
      <c r="AI7579">
        <v>92.703832170664597</v>
      </c>
      <c r="AJ7579">
        <v>82.057592586791301</v>
      </c>
      <c r="AK7579">
        <v>24.8282605718681</v>
      </c>
      <c r="AL7579">
        <v>89.768794408653207</v>
      </c>
      <c r="AM7579">
        <v>89.795151109522294</v>
      </c>
      <c r="AN7579">
        <v>1.0000000330895999</v>
      </c>
    </row>
    <row r="7580" spans="1:40" x14ac:dyDescent="0.25">
      <c r="A7580" t="str">
        <f>"20190303153955790"</f>
        <v>20190303153955790</v>
      </c>
      <c r="B7580" t="str">
        <f>"1551598795785480"</f>
        <v>1551598795785480</v>
      </c>
      <c r="C7580" t="s">
        <v>40</v>
      </c>
      <c r="D7580">
        <v>4.4210019999999997</v>
      </c>
      <c r="E7580">
        <v>0.55221969999999898</v>
      </c>
      <c r="F7580" t="s">
        <v>43</v>
      </c>
      <c r="G7580">
        <v>-316.99110000000002</v>
      </c>
      <c r="H7580">
        <v>-0.05</v>
      </c>
      <c r="I7580">
        <v>14.35974</v>
      </c>
      <c r="J7580">
        <v>-341.7</v>
      </c>
      <c r="K7580">
        <v>1.1212359999999999</v>
      </c>
      <c r="L7580">
        <v>17.52374</v>
      </c>
      <c r="M7580">
        <v>0.99980170000000002</v>
      </c>
      <c r="N7580">
        <v>-1.3772919999999999E-2</v>
      </c>
      <c r="O7580">
        <v>1.43921E-2</v>
      </c>
      <c r="P7580">
        <v>0.9998958</v>
      </c>
      <c r="Q7580">
        <v>-1.0091930000000001E-2</v>
      </c>
      <c r="R7580">
        <v>1.033506E-2</v>
      </c>
      <c r="S7580">
        <v>3.0031430000000001</v>
      </c>
      <c r="T7580">
        <v>-0.1416239</v>
      </c>
      <c r="U7580">
        <v>-0.38238529999999998</v>
      </c>
      <c r="V7580">
        <v>4.0596470000000004E-3</v>
      </c>
      <c r="W7580">
        <v>3.6795690000000002E-3</v>
      </c>
      <c r="X7580">
        <v>0.99998500000000001</v>
      </c>
      <c r="Y7580">
        <v>0.14036670000000001</v>
      </c>
      <c r="Z7580">
        <v>-4.744308E-3</v>
      </c>
      <c r="AA7580">
        <v>0.99008819999999997</v>
      </c>
      <c r="AB7580">
        <v>24</v>
      </c>
      <c r="AC7580">
        <v>24.7088999999999</v>
      </c>
      <c r="AD7580">
        <v>-1.1712359999999999</v>
      </c>
      <c r="AE7580">
        <v>-3.1640000000000001</v>
      </c>
      <c r="AF7580">
        <v>3.5115560866481998</v>
      </c>
      <c r="AG7580">
        <v>-1.1712359999999999</v>
      </c>
      <c r="AH7580">
        <v>24.606403484091398</v>
      </c>
      <c r="AI7580">
        <v>92.697862500579404</v>
      </c>
      <c r="AJ7580">
        <v>81.878214075673199</v>
      </c>
      <c r="AK7580">
        <v>24.8832858027085</v>
      </c>
      <c r="AL7580">
        <v>89.789175752266004</v>
      </c>
      <c r="AM7580">
        <v>89.767397149379704</v>
      </c>
      <c r="AN7580">
        <v>1.0000000100933899</v>
      </c>
    </row>
    <row r="7581" spans="1:40" x14ac:dyDescent="0.25">
      <c r="A7581" t="str">
        <f>"20190303153955801"</f>
        <v>20190303153955801</v>
      </c>
      <c r="B7581" t="str">
        <f>"1551598795796216"</f>
        <v>1551598795796216</v>
      </c>
      <c r="C7581" t="s">
        <v>40</v>
      </c>
      <c r="D7581">
        <v>4.3493079999999997</v>
      </c>
      <c r="E7581">
        <v>0.55253799999999997</v>
      </c>
      <c r="F7581" t="s">
        <v>43</v>
      </c>
      <c r="G7581">
        <v>-317.06290000000001</v>
      </c>
      <c r="H7581">
        <v>-0.05</v>
      </c>
      <c r="I7581">
        <v>14.3471799999999</v>
      </c>
      <c r="J7581">
        <v>-341.58350000000002</v>
      </c>
      <c r="K7581">
        <v>1.121245</v>
      </c>
      <c r="L7581">
        <v>17.525269999999999</v>
      </c>
      <c r="M7581">
        <v>0.99980340000000001</v>
      </c>
      <c r="N7581">
        <v>-1.377166E-2</v>
      </c>
      <c r="O7581">
        <v>1.426705E-2</v>
      </c>
      <c r="P7581">
        <v>0.99989519999999998</v>
      </c>
      <c r="Q7581">
        <v>-1.051143E-2</v>
      </c>
      <c r="R7581">
        <v>9.9526660000000006E-3</v>
      </c>
      <c r="S7581">
        <v>3.0028990000000002</v>
      </c>
      <c r="T7581">
        <v>-0.142756299999999</v>
      </c>
      <c r="U7581">
        <v>-0.38717649999999998</v>
      </c>
      <c r="V7581">
        <v>4.3168460000000001E-3</v>
      </c>
      <c r="W7581">
        <v>3.2585240000000001E-3</v>
      </c>
      <c r="X7581">
        <v>0.99998540000000002</v>
      </c>
      <c r="Y7581">
        <v>0.14180200000000001</v>
      </c>
      <c r="Z7581">
        <v>-4.8156839999999998E-3</v>
      </c>
      <c r="AA7581">
        <v>0.98988330000000002</v>
      </c>
      <c r="AB7581">
        <v>24</v>
      </c>
      <c r="AC7581">
        <v>24.520600000000002</v>
      </c>
      <c r="AD7581">
        <v>-1.1712450000000001</v>
      </c>
      <c r="AE7581">
        <v>-3.1780900000000001</v>
      </c>
      <c r="AF7581">
        <v>3.51973842305773</v>
      </c>
      <c r="AG7581">
        <v>-1.1712450000000001</v>
      </c>
      <c r="AH7581">
        <v>24.4179667279749</v>
      </c>
      <c r="AI7581">
        <v>92.718124084535106</v>
      </c>
      <c r="AJ7581">
        <v>81.7975733295699</v>
      </c>
      <c r="AK7581">
        <v>24.698126903578402</v>
      </c>
      <c r="AL7581">
        <v>89.813300001941101</v>
      </c>
      <c r="AM7581">
        <v>89.752660868656903</v>
      </c>
      <c r="AN7581">
        <v>1.0000000266756</v>
      </c>
    </row>
    <row r="7582" spans="1:40" x14ac:dyDescent="0.25">
      <c r="A7582" t="str">
        <f>"20190303153955814"</f>
        <v>20190303153955814</v>
      </c>
      <c r="B7582" t="str">
        <f>"1551598795805975"</f>
        <v>1551598795805975</v>
      </c>
      <c r="C7582" t="s">
        <v>40</v>
      </c>
      <c r="D7582">
        <v>4.3726279999999997</v>
      </c>
      <c r="E7582">
        <v>0.55284339999999998</v>
      </c>
      <c r="F7582" t="s">
        <v>43</v>
      </c>
      <c r="G7582">
        <v>-317.51990000000001</v>
      </c>
      <c r="H7582">
        <v>-0.05</v>
      </c>
      <c r="I7582">
        <v>14.392810000000001</v>
      </c>
      <c r="J7582">
        <v>-341.44959999999998</v>
      </c>
      <c r="K7582">
        <v>1.1212530000000001</v>
      </c>
      <c r="L7582">
        <v>17.52704</v>
      </c>
      <c r="M7582">
        <v>0.99980550000000001</v>
      </c>
      <c r="N7582">
        <v>-1.377023E-2</v>
      </c>
      <c r="O7582">
        <v>1.412951E-2</v>
      </c>
      <c r="P7582">
        <v>0.99989810000000001</v>
      </c>
      <c r="Q7582">
        <v>-1.0732770000000001E-2</v>
      </c>
      <c r="R7582">
        <v>9.4177170000000008E-3</v>
      </c>
      <c r="S7582">
        <v>3.0026549999999999</v>
      </c>
      <c r="T7582">
        <v>-0.1461481</v>
      </c>
      <c r="U7582">
        <v>-0.39086910000000002</v>
      </c>
      <c r="V7582">
        <v>4.7139469999999996E-3</v>
      </c>
      <c r="W7582">
        <v>3.0353659999999998E-3</v>
      </c>
      <c r="X7582">
        <v>0.99998430000000005</v>
      </c>
      <c r="Y7582">
        <v>0.14286260000000001</v>
      </c>
      <c r="Z7582">
        <v>-4.9396220000000003E-3</v>
      </c>
      <c r="AA7582">
        <v>0.9897302</v>
      </c>
      <c r="AB7582">
        <v>24</v>
      </c>
      <c r="AC7582">
        <v>23.929699999999901</v>
      </c>
      <c r="AD7582">
        <v>-1.1712530000000001</v>
      </c>
      <c r="AE7582">
        <v>-3.1342299999999899</v>
      </c>
      <c r="AF7582">
        <v>3.46390559045645</v>
      </c>
      <c r="AG7582">
        <v>-1.1712530000000001</v>
      </c>
      <c r="AH7582">
        <v>23.826902723797499</v>
      </c>
      <c r="AI7582">
        <v>92.784979574502998</v>
      </c>
      <c r="AJ7582">
        <v>81.728406497094994</v>
      </c>
      <c r="AK7582">
        <v>24.1058451197819</v>
      </c>
      <c r="AL7582">
        <v>89.826086074906598</v>
      </c>
      <c r="AM7582">
        <v>89.729908492229001</v>
      </c>
      <c r="AN7582">
        <v>1.0000000174947801</v>
      </c>
    </row>
    <row r="7583" spans="1:40" x14ac:dyDescent="0.25">
      <c r="A7583" t="str">
        <f>"20190303153955826"</f>
        <v>20190303153955826</v>
      </c>
      <c r="B7583" t="str">
        <f>"1551598795815736"</f>
        <v>1551598795815736</v>
      </c>
      <c r="C7583" t="s">
        <v>40</v>
      </c>
      <c r="D7583">
        <v>4.3498919999999996</v>
      </c>
      <c r="E7583">
        <v>0.55306140000000004</v>
      </c>
      <c r="F7583" t="s">
        <v>43</v>
      </c>
      <c r="G7583">
        <v>-318.01799999999997</v>
      </c>
      <c r="H7583">
        <v>-0.05</v>
      </c>
      <c r="I7583">
        <v>14.44492</v>
      </c>
      <c r="J7583">
        <v>-341.31040000000002</v>
      </c>
      <c r="K7583">
        <v>1.1212660000000001</v>
      </c>
      <c r="L7583">
        <v>17.528839999999999</v>
      </c>
      <c r="M7583">
        <v>0.99980729999999995</v>
      </c>
      <c r="N7583">
        <v>-1.376873E-2</v>
      </c>
      <c r="O7583">
        <v>1.399768E-2</v>
      </c>
      <c r="P7583">
        <v>0.99990029999999996</v>
      </c>
      <c r="Q7583">
        <v>-1.107326E-2</v>
      </c>
      <c r="R7583">
        <v>8.7687619999999994E-3</v>
      </c>
      <c r="S7583">
        <v>3.0024109999999999</v>
      </c>
      <c r="T7583">
        <v>-0.1500783</v>
      </c>
      <c r="U7583">
        <v>-0.394928</v>
      </c>
      <c r="V7583">
        <v>5.2307279999999996E-3</v>
      </c>
      <c r="W7583">
        <v>2.6934749999999999E-3</v>
      </c>
      <c r="X7583">
        <v>0.9999827</v>
      </c>
      <c r="Y7583">
        <v>0.144044899999999</v>
      </c>
      <c r="Z7583">
        <v>-5.0838120000000001E-3</v>
      </c>
      <c r="AA7583">
        <v>0.9895581</v>
      </c>
      <c r="AB7583">
        <v>24</v>
      </c>
      <c r="AC7583">
        <v>23.292400000000001</v>
      </c>
      <c r="AD7583">
        <v>-1.1712659999999999</v>
      </c>
      <c r="AE7583">
        <v>-3.0839199999999898</v>
      </c>
      <c r="AF7583">
        <v>3.4012360028445001</v>
      </c>
      <c r="AG7583">
        <v>-1.1712659999999999</v>
      </c>
      <c r="AH7583">
        <v>23.1893190838084</v>
      </c>
      <c r="AI7583">
        <v>92.8609292113306</v>
      </c>
      <c r="AJ7583">
        <v>81.655779778921399</v>
      </c>
      <c r="AK7583">
        <v>23.466674028512902</v>
      </c>
      <c r="AL7583">
        <v>89.845675064881405</v>
      </c>
      <c r="AM7583">
        <v>89.700298910342994</v>
      </c>
      <c r="AN7583">
        <v>1.00000000781113</v>
      </c>
    </row>
    <row r="7584" spans="1:40" x14ac:dyDescent="0.25">
      <c r="A7584" t="str">
        <f>"20190303153955838"</f>
        <v>20190303153955838</v>
      </c>
      <c r="B7584" t="str">
        <f>"1551598795825497"</f>
        <v>1551598795825497</v>
      </c>
      <c r="C7584" t="s">
        <v>40</v>
      </c>
      <c r="D7584">
        <v>4.3914239999999998</v>
      </c>
      <c r="E7584">
        <v>0.55335429999999997</v>
      </c>
      <c r="F7584" t="s">
        <v>43</v>
      </c>
      <c r="G7584">
        <v>-318.26479999999998</v>
      </c>
      <c r="H7584">
        <v>-0.05</v>
      </c>
      <c r="I7584">
        <v>14.468640000000001</v>
      </c>
      <c r="J7584">
        <v>-341.19900000000001</v>
      </c>
      <c r="K7584">
        <v>1.121278</v>
      </c>
      <c r="L7584">
        <v>17.530270000000002</v>
      </c>
      <c r="M7584">
        <v>0.99980860000000005</v>
      </c>
      <c r="N7584">
        <v>-1.37676E-2</v>
      </c>
      <c r="O7584">
        <v>1.3905819999999999E-2</v>
      </c>
      <c r="P7584">
        <v>0.99990279999999998</v>
      </c>
      <c r="Q7584">
        <v>-1.1193150000000001E-2</v>
      </c>
      <c r="R7584">
        <v>8.3284120000000003E-3</v>
      </c>
      <c r="S7584">
        <v>3.0021360000000001</v>
      </c>
      <c r="T7584">
        <v>-0.1525803</v>
      </c>
      <c r="U7584">
        <v>-0.39865109999999998</v>
      </c>
      <c r="V7584">
        <v>5.5790609999999997E-3</v>
      </c>
      <c r="W7584">
        <v>2.5728359999999998E-3</v>
      </c>
      <c r="X7584">
        <v>0.99998109999999996</v>
      </c>
      <c r="Y7584">
        <v>0.14516279999999901</v>
      </c>
      <c r="Z7584">
        <v>-5.1877679999999997E-3</v>
      </c>
      <c r="AA7584">
        <v>0.9893942</v>
      </c>
      <c r="AB7584">
        <v>24</v>
      </c>
      <c r="AC7584">
        <v>22.934200000000001</v>
      </c>
      <c r="AD7584">
        <v>-1.171278</v>
      </c>
      <c r="AE7584">
        <v>-3.0616300000000001</v>
      </c>
      <c r="AF7584">
        <v>3.37164279404446</v>
      </c>
      <c r="AG7584">
        <v>-1.171278</v>
      </c>
      <c r="AH7584">
        <v>22.830897034097902</v>
      </c>
      <c r="AI7584">
        <v>92.905375722679196</v>
      </c>
      <c r="AJ7584">
        <v>81.599338749140401</v>
      </c>
      <c r="AK7584">
        <v>23.108217730181899</v>
      </c>
      <c r="AL7584">
        <v>89.852587189190004</v>
      </c>
      <c r="AM7584">
        <v>89.680340626091095</v>
      </c>
      <c r="AN7584">
        <v>0.99999997288196596</v>
      </c>
    </row>
    <row r="7585" spans="1:40" x14ac:dyDescent="0.25">
      <c r="A7585" t="str">
        <f>"20190303153955848"</f>
        <v>20190303153955848</v>
      </c>
      <c r="B7585" t="str">
        <f>"1551598795845994"</f>
        <v>1551598795845994</v>
      </c>
      <c r="C7585" t="s">
        <v>40</v>
      </c>
      <c r="D7585">
        <v>4.4248450000000004</v>
      </c>
      <c r="E7585">
        <v>0.55379929999999999</v>
      </c>
      <c r="F7585" t="s">
        <v>43</v>
      </c>
      <c r="G7585">
        <v>-317.9751</v>
      </c>
      <c r="H7585">
        <v>-0.05</v>
      </c>
      <c r="I7585">
        <v>14.41882</v>
      </c>
      <c r="J7585">
        <v>-341.0797</v>
      </c>
      <c r="K7585">
        <v>1.1212899999999999</v>
      </c>
      <c r="L7585">
        <v>17.531829999999999</v>
      </c>
      <c r="M7585">
        <v>0.99980999999999998</v>
      </c>
      <c r="N7585">
        <v>-1.3766399999999899E-2</v>
      </c>
      <c r="O7585">
        <v>1.381136E-2</v>
      </c>
      <c r="P7585">
        <v>0.99989980000000001</v>
      </c>
      <c r="Q7585">
        <v>-1.153732E-2</v>
      </c>
      <c r="R7585">
        <v>8.2383189999999992E-3</v>
      </c>
      <c r="S7585">
        <v>3.0019529999999999</v>
      </c>
      <c r="T7585">
        <v>-0.15140100000000001</v>
      </c>
      <c r="U7585">
        <v>-0.40219120000000003</v>
      </c>
      <c r="V7585">
        <v>5.5742469999999896E-3</v>
      </c>
      <c r="W7585">
        <v>2.227606E-3</v>
      </c>
      <c r="X7585">
        <v>0.99998200000000004</v>
      </c>
      <c r="Y7585">
        <v>0.1462253</v>
      </c>
      <c r="Z7585">
        <v>-5.1845049999999998E-3</v>
      </c>
      <c r="AA7585">
        <v>0.9892377</v>
      </c>
      <c r="AB7585">
        <v>24</v>
      </c>
      <c r="AC7585">
        <v>23.104600000000001</v>
      </c>
      <c r="AD7585">
        <v>-1.1712899999999999</v>
      </c>
      <c r="AE7585">
        <v>-3.1130099999999898</v>
      </c>
      <c r="AF7585">
        <v>3.4232084015341502</v>
      </c>
      <c r="AG7585">
        <v>-1.1712899999999999</v>
      </c>
      <c r="AH7585">
        <v>23.001337573235499</v>
      </c>
      <c r="AI7585">
        <v>92.883433554057703</v>
      </c>
      <c r="AJ7585">
        <v>81.535003148270903</v>
      </c>
      <c r="AK7585">
        <v>23.284153542320801</v>
      </c>
      <c r="AL7585">
        <v>89.872367474444502</v>
      </c>
      <c r="AM7585">
        <v>89.680616732053196</v>
      </c>
      <c r="AN7585">
        <v>1.0000000173910499</v>
      </c>
    </row>
    <row r="7586" spans="1:40" x14ac:dyDescent="0.25">
      <c r="A7586" t="str">
        <f>"20190303153955860"</f>
        <v>20190303153955860</v>
      </c>
      <c r="B7586" t="str">
        <f>"1551598795855753"</f>
        <v>1551598795855753</v>
      </c>
      <c r="C7586" t="s">
        <v>40</v>
      </c>
      <c r="D7586">
        <v>4.3664889999999996</v>
      </c>
      <c r="E7586">
        <v>0.55396179999999995</v>
      </c>
      <c r="F7586" t="s">
        <v>43</v>
      </c>
      <c r="G7586">
        <v>-317.7106</v>
      </c>
      <c r="H7586">
        <v>-0.05</v>
      </c>
      <c r="I7586">
        <v>14.37119</v>
      </c>
      <c r="J7586">
        <v>-340.96550000000002</v>
      </c>
      <c r="K7586">
        <v>1.121305</v>
      </c>
      <c r="L7586">
        <v>17.533290000000001</v>
      </c>
      <c r="M7586">
        <v>0.9998108</v>
      </c>
      <c r="N7586">
        <v>-1.376512E-2</v>
      </c>
      <c r="O7586">
        <v>1.374178E-2</v>
      </c>
      <c r="P7586">
        <v>0.99990380000000001</v>
      </c>
      <c r="Q7586">
        <v>-1.136439E-2</v>
      </c>
      <c r="R7586">
        <v>7.9784150000000009E-3</v>
      </c>
      <c r="S7586">
        <v>3.0019230000000001</v>
      </c>
      <c r="T7586">
        <v>-0.15045999999999901</v>
      </c>
      <c r="U7586">
        <v>-0.40600589999999998</v>
      </c>
      <c r="V7586">
        <v>5.7645830000000002E-3</v>
      </c>
      <c r="W7586">
        <v>2.3987909999999999E-3</v>
      </c>
      <c r="X7586">
        <v>0.99998050000000005</v>
      </c>
      <c r="Y7586">
        <v>0.1473933</v>
      </c>
      <c r="Z7586">
        <v>-5.191808E-3</v>
      </c>
      <c r="AA7586">
        <v>0.98906430000000001</v>
      </c>
      <c r="AB7586">
        <v>24</v>
      </c>
      <c r="AC7586">
        <v>23.254899999999999</v>
      </c>
      <c r="AD7586">
        <v>-1.17130499999999</v>
      </c>
      <c r="AE7586">
        <v>-3.1621000000000001</v>
      </c>
      <c r="AF7586">
        <v>3.47274515047968</v>
      </c>
      <c r="AG7586">
        <v>-1.17130499999999</v>
      </c>
      <c r="AH7586">
        <v>23.1515787573944</v>
      </c>
      <c r="AI7586">
        <v>92.864298905664</v>
      </c>
      <c r="AJ7586">
        <v>81.469214211883695</v>
      </c>
      <c r="AK7586">
        <v>23.439870162674602</v>
      </c>
      <c r="AL7586">
        <v>89.862559266924507</v>
      </c>
      <c r="AM7586">
        <v>89.669710941397099</v>
      </c>
      <c r="AN7586">
        <v>0.999999992497837</v>
      </c>
    </row>
    <row r="7587" spans="1:40" x14ac:dyDescent="0.25">
      <c r="A7587" t="str">
        <f>"20190303153955872"</f>
        <v>20190303153955872</v>
      </c>
      <c r="B7587" t="str">
        <f>"1551598795865512"</f>
        <v>1551598795865512</v>
      </c>
      <c r="C7587" t="s">
        <v>40</v>
      </c>
      <c r="D7587">
        <v>4.3367469999999999</v>
      </c>
      <c r="E7587">
        <v>0.55410009999999998</v>
      </c>
      <c r="F7587" t="s">
        <v>43</v>
      </c>
      <c r="G7587">
        <v>-317.60480000000001</v>
      </c>
      <c r="H7587">
        <v>-0.05</v>
      </c>
      <c r="I7587">
        <v>14.35802</v>
      </c>
      <c r="J7587">
        <v>-340.83850000000001</v>
      </c>
      <c r="K7587">
        <v>1.1213229999999901</v>
      </c>
      <c r="L7587">
        <v>17.534939999999999</v>
      </c>
      <c r="M7587">
        <v>0.99981189999999998</v>
      </c>
      <c r="N7587">
        <v>-1.376369E-2</v>
      </c>
      <c r="O7587">
        <v>1.3670450000000001E-2</v>
      </c>
      <c r="P7587">
        <v>0.99990480000000004</v>
      </c>
      <c r="Q7587">
        <v>-1.1318669999999999E-2</v>
      </c>
      <c r="R7587">
        <v>7.9086390000000003E-3</v>
      </c>
      <c r="S7587">
        <v>3.0018310000000001</v>
      </c>
      <c r="T7587">
        <v>-0.1505116</v>
      </c>
      <c r="U7587">
        <v>-0.40801999999999999</v>
      </c>
      <c r="V7587">
        <v>5.7631160000000004E-3</v>
      </c>
      <c r="W7587">
        <v>2.4436129999999999E-3</v>
      </c>
      <c r="X7587">
        <v>0.99998039999999999</v>
      </c>
      <c r="Y7587">
        <v>0.14797739999999901</v>
      </c>
      <c r="Z7587">
        <v>-5.2092320000000003E-3</v>
      </c>
      <c r="AA7587">
        <v>0.98897699999999999</v>
      </c>
      <c r="AB7587">
        <v>24</v>
      </c>
      <c r="AC7587">
        <v>23.233699999999999</v>
      </c>
      <c r="AD7587">
        <v>-1.1713229999999999</v>
      </c>
      <c r="AE7587">
        <v>-3.1769199999999902</v>
      </c>
      <c r="AF7587">
        <v>3.4855717543426801</v>
      </c>
      <c r="AG7587">
        <v>-1.1713229999999999</v>
      </c>
      <c r="AH7587">
        <v>23.130384046709999</v>
      </c>
      <c r="AI7587">
        <v>92.866671936144201</v>
      </c>
      <c r="AJ7587">
        <v>81.430442930705297</v>
      </c>
      <c r="AK7587">
        <v>23.4208427297845</v>
      </c>
      <c r="AL7587">
        <v>89.859991147957899</v>
      </c>
      <c r="AM7587">
        <v>89.669794960131796</v>
      </c>
      <c r="AN7587">
        <v>0.99999999256734096</v>
      </c>
    </row>
    <row r="7588" spans="1:40" x14ac:dyDescent="0.25">
      <c r="A7588" t="str">
        <f>"20190303153955884"</f>
        <v>20190303153955884</v>
      </c>
      <c r="B7588" t="str">
        <f>"1551598795876248"</f>
        <v>1551598795876248</v>
      </c>
      <c r="C7588" t="s">
        <v>40</v>
      </c>
      <c r="D7588">
        <v>4.402819</v>
      </c>
      <c r="E7588">
        <v>0.55420740000000002</v>
      </c>
      <c r="F7588" t="s">
        <v>43</v>
      </c>
      <c r="G7588">
        <v>-317.58019999999999</v>
      </c>
      <c r="H7588">
        <v>-0.05</v>
      </c>
      <c r="I7588">
        <v>14.362640000000001</v>
      </c>
      <c r="J7588">
        <v>-340.70929999999998</v>
      </c>
      <c r="K7588">
        <v>1.1213439999999999</v>
      </c>
      <c r="L7588">
        <v>17.53659</v>
      </c>
      <c r="M7588">
        <v>0.99981260000000005</v>
      </c>
      <c r="N7588">
        <v>-1.376223E-2</v>
      </c>
      <c r="O7588">
        <v>1.3618399999999999E-2</v>
      </c>
      <c r="P7588">
        <v>0.9999015</v>
      </c>
      <c r="Q7588">
        <v>-1.141927E-2</v>
      </c>
      <c r="R7588">
        <v>8.1736940000000004E-3</v>
      </c>
      <c r="S7588">
        <v>3.00177</v>
      </c>
      <c r="T7588">
        <v>-0.15117349999999999</v>
      </c>
      <c r="U7588">
        <v>-0.4094238</v>
      </c>
      <c r="V7588">
        <v>5.445849E-3</v>
      </c>
      <c r="W7588">
        <v>2.3420469999999999E-3</v>
      </c>
      <c r="X7588">
        <v>0.99998240000000005</v>
      </c>
      <c r="Y7588">
        <v>0.14838019999999999</v>
      </c>
      <c r="Z7588">
        <v>-5.2393220000000002E-3</v>
      </c>
      <c r="AA7588">
        <v>0.98891649999999998</v>
      </c>
      <c r="AB7588">
        <v>24</v>
      </c>
      <c r="AC7588">
        <v>23.129099999999902</v>
      </c>
      <c r="AD7588">
        <v>-1.1713439999999999</v>
      </c>
      <c r="AE7588">
        <v>-3.17395</v>
      </c>
      <c r="AF7588">
        <v>3.4799065081985598</v>
      </c>
      <c r="AG7588">
        <v>-1.1713439999999999</v>
      </c>
      <c r="AH7588">
        <v>23.025761872321699</v>
      </c>
      <c r="AI7588">
        <v>92.879540831857199</v>
      </c>
      <c r="AJ7588">
        <v>81.405869132467004</v>
      </c>
      <c r="AK7588">
        <v>23.316678705874999</v>
      </c>
      <c r="AL7588">
        <v>89.865810464962607</v>
      </c>
      <c r="AM7588">
        <v>89.687973429415607</v>
      </c>
      <c r="AN7588">
        <v>0.99999997138261998</v>
      </c>
    </row>
    <row r="7589" spans="1:40" x14ac:dyDescent="0.25">
      <c r="A7589" t="str">
        <f>"20190303153955896"</f>
        <v>20190303153955896</v>
      </c>
      <c r="B7589" t="str">
        <f>"1551598795886008"</f>
        <v>1551598795886008</v>
      </c>
      <c r="C7589" t="s">
        <v>40</v>
      </c>
      <c r="D7589">
        <v>4.349888</v>
      </c>
      <c r="E7589">
        <v>0.55431450000000004</v>
      </c>
      <c r="F7589" t="s">
        <v>43</v>
      </c>
      <c r="G7589">
        <v>-317.44510000000002</v>
      </c>
      <c r="H7589">
        <v>-0.05</v>
      </c>
      <c r="I7589">
        <v>14.363160000000001</v>
      </c>
      <c r="J7589">
        <v>-340.58819999999997</v>
      </c>
      <c r="K7589">
        <v>1.121362</v>
      </c>
      <c r="L7589">
        <v>17.538209999999999</v>
      </c>
      <c r="M7589">
        <v>0.99981310000000001</v>
      </c>
      <c r="N7589">
        <v>-1.376084E-2</v>
      </c>
      <c r="O7589">
        <v>1.3582250000000001E-2</v>
      </c>
      <c r="P7589">
        <v>0.99990000000000001</v>
      </c>
      <c r="Q7589">
        <v>-1.150757E-2</v>
      </c>
      <c r="R7589">
        <v>8.2241060000000001E-3</v>
      </c>
      <c r="S7589">
        <v>3.0018919999999998</v>
      </c>
      <c r="T7589">
        <v>-0.15114430000000001</v>
      </c>
      <c r="U7589">
        <v>-0.40948489999999999</v>
      </c>
      <c r="V7589">
        <v>5.3590869999999898E-3</v>
      </c>
      <c r="W7589">
        <v>2.2524020000000001E-3</v>
      </c>
      <c r="X7589">
        <v>0.99998310000000001</v>
      </c>
      <c r="Y7589">
        <v>0.14835889999999999</v>
      </c>
      <c r="Z7589">
        <v>-5.2362110000000002E-3</v>
      </c>
      <c r="AA7589">
        <v>0.98891969999999996</v>
      </c>
      <c r="AB7589">
        <v>24</v>
      </c>
      <c r="AC7589">
        <v>23.143099999999901</v>
      </c>
      <c r="AD7589">
        <v>-1.171362</v>
      </c>
      <c r="AE7589">
        <v>-3.1750499999999899</v>
      </c>
      <c r="AF7589">
        <v>3.4803710134233099</v>
      </c>
      <c r="AG7589">
        <v>-1.171362</v>
      </c>
      <c r="AH7589">
        <v>23.039903978975399</v>
      </c>
      <c r="AI7589">
        <v>92.877851277197394</v>
      </c>
      <c r="AJ7589">
        <v>81.409936225783497</v>
      </c>
      <c r="AK7589">
        <v>23.3307146630044</v>
      </c>
      <c r="AL7589">
        <v>89.870946762086703</v>
      </c>
      <c r="AM7589">
        <v>89.692944683172698</v>
      </c>
      <c r="AN7589">
        <v>0.99999999670692596</v>
      </c>
    </row>
    <row r="7590" spans="1:40" x14ac:dyDescent="0.25">
      <c r="A7590" t="str">
        <f>"20190303153955910"</f>
        <v>20190303153955910</v>
      </c>
      <c r="B7590" t="str">
        <f>"1551598795905528"</f>
        <v>1551598795905528</v>
      </c>
      <c r="C7590" t="s">
        <v>40</v>
      </c>
      <c r="D7590">
        <v>4.3176360000000003</v>
      </c>
      <c r="E7590">
        <v>0.55458189999999996</v>
      </c>
      <c r="F7590" t="s">
        <v>43</v>
      </c>
      <c r="G7590">
        <v>-317.53269999999998</v>
      </c>
      <c r="H7590">
        <v>-0.05</v>
      </c>
      <c r="I7590">
        <v>14.388350000000001</v>
      </c>
      <c r="J7590">
        <v>-340.44330000000002</v>
      </c>
      <c r="K7590">
        <v>1.121383</v>
      </c>
      <c r="L7590">
        <v>17.540129999999898</v>
      </c>
      <c r="M7590">
        <v>0.99981350000000002</v>
      </c>
      <c r="N7590">
        <v>-1.3759179999999999E-2</v>
      </c>
      <c r="O7590">
        <v>1.355163E-2</v>
      </c>
      <c r="P7590">
        <v>0.99989589999999995</v>
      </c>
      <c r="Q7590">
        <v>-1.1687690000000001E-2</v>
      </c>
      <c r="R7590">
        <v>8.4536249999999993E-3</v>
      </c>
      <c r="S7590">
        <v>3.0019230000000001</v>
      </c>
      <c r="T7590">
        <v>-0.1525165</v>
      </c>
      <c r="U7590">
        <v>-0.41012569999999998</v>
      </c>
      <c r="V7590">
        <v>5.0988170000000003E-3</v>
      </c>
      <c r="W7590">
        <v>2.070728E-3</v>
      </c>
      <c r="X7590">
        <v>0.99998489999999995</v>
      </c>
      <c r="Y7590">
        <v>0.1485302</v>
      </c>
      <c r="Z7590">
        <v>-5.2802769999999999E-3</v>
      </c>
      <c r="AA7590">
        <v>0.98889369999999999</v>
      </c>
      <c r="AB7590">
        <v>24</v>
      </c>
      <c r="AC7590">
        <v>22.910599999999999</v>
      </c>
      <c r="AD7590">
        <v>-1.1713830000000001</v>
      </c>
      <c r="AE7590">
        <v>-3.1517799999999898</v>
      </c>
      <c r="AF7590">
        <v>3.45313665419524</v>
      </c>
      <c r="AG7590">
        <v>-1.1713830000000001</v>
      </c>
      <c r="AH7590">
        <v>22.807266504756399</v>
      </c>
      <c r="AI7590">
        <v>92.9070589438616</v>
      </c>
      <c r="AJ7590">
        <v>81.3905154356042</v>
      </c>
      <c r="AK7590">
        <v>23.0969196280418</v>
      </c>
      <c r="AL7590">
        <v>89.881355945397303</v>
      </c>
      <c r="AM7590">
        <v>89.7078574257594</v>
      </c>
      <c r="AN7590">
        <v>1.00000004303862</v>
      </c>
    </row>
    <row r="7591" spans="1:40" x14ac:dyDescent="0.25">
      <c r="A7591" t="str">
        <f>"20190303153955926"</f>
        <v>20190303153955926</v>
      </c>
      <c r="B7591" t="str">
        <f>"1551598795916265"</f>
        <v>1551598795916265</v>
      </c>
      <c r="C7591" t="s">
        <v>40</v>
      </c>
      <c r="D7591">
        <v>4.3203569999999996</v>
      </c>
      <c r="E7591">
        <v>0.55470540000000002</v>
      </c>
      <c r="F7591" t="s">
        <v>43</v>
      </c>
      <c r="G7591">
        <v>-317.74369999999999</v>
      </c>
      <c r="H7591">
        <v>-0.05</v>
      </c>
      <c r="I7591">
        <v>14.427860000000001</v>
      </c>
      <c r="J7591">
        <v>-340.27269999999999</v>
      </c>
      <c r="K7591">
        <v>1.1213959999999901</v>
      </c>
      <c r="L7591">
        <v>17.542390000000001</v>
      </c>
      <c r="M7591">
        <v>0.99981370000000003</v>
      </c>
      <c r="N7591">
        <v>-1.375725E-2</v>
      </c>
      <c r="O7591">
        <v>1.3539610000000001E-2</v>
      </c>
      <c r="P7591">
        <v>0.99988220000000005</v>
      </c>
      <c r="Q7591">
        <v>-1.247235E-2</v>
      </c>
      <c r="R7591">
        <v>8.9657480000000008E-3</v>
      </c>
      <c r="S7591">
        <v>3.0019529999999999</v>
      </c>
      <c r="T7591">
        <v>-0.1549122</v>
      </c>
      <c r="U7591">
        <v>-0.41159059999999997</v>
      </c>
      <c r="V7591">
        <v>4.5741530000000001E-3</v>
      </c>
      <c r="W7591">
        <v>1.284901E-3</v>
      </c>
      <c r="X7591">
        <v>0.99998869999999895</v>
      </c>
      <c r="Y7591">
        <v>0.1489828</v>
      </c>
      <c r="Z7591">
        <v>-5.3639509999999996E-3</v>
      </c>
      <c r="AA7591">
        <v>0.98882530000000002</v>
      </c>
      <c r="AB7591">
        <v>23</v>
      </c>
      <c r="AC7591">
        <v>22.529</v>
      </c>
      <c r="AD7591">
        <v>-1.1713960000000001</v>
      </c>
      <c r="AE7591">
        <v>-3.1145299999999998</v>
      </c>
      <c r="AF7591">
        <v>3.4102605110975799</v>
      </c>
      <c r="AG7591">
        <v>-1.1713960000000001</v>
      </c>
      <c r="AH7591">
        <v>22.4252715901291</v>
      </c>
      <c r="AI7591">
        <v>92.956231783404306</v>
      </c>
      <c r="AJ7591">
        <v>81.353153813747895</v>
      </c>
      <c r="AK7591">
        <v>22.713318807110099</v>
      </c>
      <c r="AL7591">
        <v>89.926380574392496</v>
      </c>
      <c r="AM7591">
        <v>89.737919204578304</v>
      </c>
      <c r="AN7591">
        <v>0.99999998698696801</v>
      </c>
    </row>
    <row r="7592" spans="1:40" x14ac:dyDescent="0.25">
      <c r="A7592" t="str">
        <f>"20190303153955939"</f>
        <v>20190303153955939</v>
      </c>
      <c r="B7592" t="str">
        <f>"1551598795935784"</f>
        <v>1551598795935784</v>
      </c>
      <c r="C7592" t="s">
        <v>40</v>
      </c>
      <c r="D7592">
        <v>4.3319640000000001</v>
      </c>
      <c r="E7592">
        <v>0.55497369999999902</v>
      </c>
      <c r="F7592" t="s">
        <v>43</v>
      </c>
      <c r="G7592">
        <v>-318.0505</v>
      </c>
      <c r="H7592">
        <v>-0.05</v>
      </c>
      <c r="I7592">
        <v>14.500170000000001</v>
      </c>
      <c r="J7592">
        <v>-340.13159999999999</v>
      </c>
      <c r="K7592">
        <v>1.121407</v>
      </c>
      <c r="L7592">
        <v>17.544309999999999</v>
      </c>
      <c r="M7592">
        <v>0.99981370000000003</v>
      </c>
      <c r="N7592">
        <v>-1.3755669999999999E-2</v>
      </c>
      <c r="O7592">
        <v>1.3540689999999999E-2</v>
      </c>
      <c r="P7592">
        <v>0.99987700000000002</v>
      </c>
      <c r="Q7592">
        <v>-1.2874480000000001E-2</v>
      </c>
      <c r="R7592">
        <v>8.9498440000000002E-3</v>
      </c>
      <c r="S7592">
        <v>3.0020449999999999</v>
      </c>
      <c r="T7592">
        <v>-0.15824630000000001</v>
      </c>
      <c r="U7592">
        <v>-0.41098020000000002</v>
      </c>
      <c r="V7592">
        <v>4.5913129999999996E-3</v>
      </c>
      <c r="W7592">
        <v>8.8102009999999997E-4</v>
      </c>
      <c r="X7592">
        <v>0.99998909999999996</v>
      </c>
      <c r="Y7592">
        <v>0.14877270000000001</v>
      </c>
      <c r="Z7592">
        <v>-5.4539999999999996E-3</v>
      </c>
      <c r="AA7592">
        <v>0.98885639999999997</v>
      </c>
      <c r="AB7592">
        <v>23</v>
      </c>
      <c r="AC7592">
        <v>22.0810999999999</v>
      </c>
      <c r="AD7592">
        <v>-1.1714069999999901</v>
      </c>
      <c r="AE7592">
        <v>-3.0441399999999899</v>
      </c>
      <c r="AF7592">
        <v>3.3336754260800201</v>
      </c>
      <c r="AG7592">
        <v>-1.1714069999999901</v>
      </c>
      <c r="AH7592">
        <v>21.977154333059801</v>
      </c>
      <c r="AI7592">
        <v>93.016599467796397</v>
      </c>
      <c r="AJ7592">
        <v>81.374658492373996</v>
      </c>
      <c r="AK7592">
        <v>22.2594002341758</v>
      </c>
      <c r="AL7592">
        <v>89.949521261498802</v>
      </c>
      <c r="AM7592">
        <v>89.736936123765702</v>
      </c>
      <c r="AN7592">
        <v>1.00000002823514</v>
      </c>
    </row>
    <row r="7593" spans="1:40" x14ac:dyDescent="0.25">
      <c r="A7593" t="str">
        <f>"20190303153955953"</f>
        <v>20190303153955953</v>
      </c>
      <c r="B7593" t="str">
        <f>"1551598795945544"</f>
        <v>1551598795945544</v>
      </c>
      <c r="C7593" t="s">
        <v>40</v>
      </c>
      <c r="D7593">
        <v>4.3414440000000001</v>
      </c>
      <c r="E7593">
        <v>0.55501119999999904</v>
      </c>
      <c r="F7593" t="s">
        <v>43</v>
      </c>
      <c r="G7593">
        <v>-318.2131</v>
      </c>
      <c r="H7593">
        <v>-0.05</v>
      </c>
      <c r="I7593">
        <v>14.527329999999999</v>
      </c>
      <c r="J7593">
        <v>-339.9898</v>
      </c>
      <c r="K7593">
        <v>1.1214170000000001</v>
      </c>
      <c r="L7593">
        <v>17.546199999999999</v>
      </c>
      <c r="M7593">
        <v>0.99981370000000003</v>
      </c>
      <c r="N7593">
        <v>-1.375407E-2</v>
      </c>
      <c r="O7593">
        <v>1.354911E-2</v>
      </c>
      <c r="P7593">
        <v>0.9998667</v>
      </c>
      <c r="Q7593">
        <v>-1.3486639999999999E-2</v>
      </c>
      <c r="R7593">
        <v>9.2314300000000005E-3</v>
      </c>
      <c r="S7593">
        <v>3.0019840000000002</v>
      </c>
      <c r="T7593">
        <v>-0.1604371</v>
      </c>
      <c r="U7593">
        <v>-0.41320800000000002</v>
      </c>
      <c r="V7593">
        <v>4.3177830000000004E-3</v>
      </c>
      <c r="W7593">
        <v>2.6733079999999998E-4</v>
      </c>
      <c r="X7593">
        <v>0.99999059999999995</v>
      </c>
      <c r="Y7593">
        <v>0.14949589999999999</v>
      </c>
      <c r="Z7593">
        <v>-5.5421419999999999E-3</v>
      </c>
      <c r="AA7593">
        <v>0.98874680000000004</v>
      </c>
      <c r="AB7593">
        <v>23</v>
      </c>
      <c r="AC7593">
        <v>21.776700000000002</v>
      </c>
      <c r="AD7593">
        <v>-1.1714169999999999</v>
      </c>
      <c r="AE7593">
        <v>-3.0188700000000002</v>
      </c>
      <c r="AF7593">
        <v>3.3042945910326802</v>
      </c>
      <c r="AG7593">
        <v>-1.1714169999999999</v>
      </c>
      <c r="AH7593">
        <v>21.672265315739502</v>
      </c>
      <c r="AI7593">
        <v>93.058630329208498</v>
      </c>
      <c r="AJ7593">
        <v>81.331073949830696</v>
      </c>
      <c r="AK7593">
        <v>21.9539897159496</v>
      </c>
      <c r="AL7593">
        <v>89.984683072591196</v>
      </c>
      <c r="AM7593">
        <v>89.7526084691671</v>
      </c>
      <c r="AN7593">
        <v>0.99999995740207404</v>
      </c>
    </row>
    <row r="7594" spans="1:40" x14ac:dyDescent="0.25">
      <c r="A7594" t="str">
        <f>"20190303153955964"</f>
        <v>20190303153955964</v>
      </c>
      <c r="B7594" t="str">
        <f>"1551598795956280"</f>
        <v>1551598795956280</v>
      </c>
      <c r="C7594" t="s">
        <v>40</v>
      </c>
      <c r="D7594">
        <v>4.3091220000000003</v>
      </c>
      <c r="E7594">
        <v>0.55510230000000005</v>
      </c>
      <c r="F7594" t="s">
        <v>43</v>
      </c>
      <c r="G7594">
        <v>-318.46530000000001</v>
      </c>
      <c r="H7594">
        <v>-0.05</v>
      </c>
      <c r="I7594">
        <v>14.58742</v>
      </c>
      <c r="J7594">
        <v>-339.86630000000002</v>
      </c>
      <c r="K7594">
        <v>1.1214219999999999</v>
      </c>
      <c r="L7594">
        <v>17.547879999999999</v>
      </c>
      <c r="M7594">
        <v>0.99981339999999996</v>
      </c>
      <c r="N7594">
        <v>-1.375265E-2</v>
      </c>
      <c r="O7594">
        <v>1.356514E-2</v>
      </c>
      <c r="P7594">
        <v>0.99986050000000004</v>
      </c>
      <c r="Q7594">
        <v>-1.376278E-2</v>
      </c>
      <c r="R7594">
        <v>9.470539E-3</v>
      </c>
      <c r="S7594">
        <v>3.0019840000000002</v>
      </c>
      <c r="T7594">
        <v>-0.16337550000000001</v>
      </c>
      <c r="U7594">
        <v>-0.41265869999999999</v>
      </c>
      <c r="V7594">
        <v>4.0948010000000003E-3</v>
      </c>
      <c r="W7594" s="1">
        <v>-1.0123629999999999E-5</v>
      </c>
      <c r="X7594">
        <v>0.99999159999999998</v>
      </c>
      <c r="Y7594">
        <v>0.14932519999999999</v>
      </c>
      <c r="Z7594">
        <v>-5.6228210000000001E-3</v>
      </c>
      <c r="AA7594">
        <v>0.98877219999999999</v>
      </c>
      <c r="AB7594">
        <v>23</v>
      </c>
      <c r="AC7594">
        <v>21.401</v>
      </c>
      <c r="AD7594">
        <v>-1.171422</v>
      </c>
      <c r="AE7594">
        <v>-2.9604599999999901</v>
      </c>
      <c r="AF7594">
        <v>3.2409945088505498</v>
      </c>
      <c r="AG7594">
        <v>-1.171422</v>
      </c>
      <c r="AH7594">
        <v>21.296259653253301</v>
      </c>
      <c r="AI7594">
        <v>93.112671027479493</v>
      </c>
      <c r="AJ7594">
        <v>81.346776258377702</v>
      </c>
      <c r="AK7594">
        <v>21.5732925193923</v>
      </c>
      <c r="AL7594">
        <v>90.000580041281694</v>
      </c>
      <c r="AM7594">
        <v>89.765384525285995</v>
      </c>
      <c r="AN7594">
        <v>0.99999998378413801</v>
      </c>
    </row>
    <row r="7595" spans="1:40" x14ac:dyDescent="0.25">
      <c r="A7595" t="str">
        <f>"20190303153955979"</f>
        <v>20190303153955979</v>
      </c>
      <c r="B7595" t="str">
        <f>"1551598795975801"</f>
        <v>1551598795975801</v>
      </c>
      <c r="C7595" t="s">
        <v>40</v>
      </c>
      <c r="D7595">
        <v>4.3335879999999998</v>
      </c>
      <c r="E7595">
        <v>0.55524030000000002</v>
      </c>
      <c r="F7595" t="s">
        <v>43</v>
      </c>
      <c r="G7595">
        <v>-318.51859999999999</v>
      </c>
      <c r="H7595">
        <v>-0.05</v>
      </c>
      <c r="I7595">
        <v>14.613479999999999</v>
      </c>
      <c r="J7595">
        <v>-339.71109999999999</v>
      </c>
      <c r="K7595">
        <v>1.121426</v>
      </c>
      <c r="L7595">
        <v>17.549990000000001</v>
      </c>
      <c r="M7595">
        <v>0.99981319999999996</v>
      </c>
      <c r="N7595">
        <v>-1.375088E-2</v>
      </c>
      <c r="O7595">
        <v>1.359406E-2</v>
      </c>
      <c r="P7595">
        <v>0.99985049999999998</v>
      </c>
      <c r="Q7595">
        <v>-1.441952E-2</v>
      </c>
      <c r="R7595">
        <v>9.5723389999999992E-3</v>
      </c>
      <c r="S7595">
        <v>3.002075</v>
      </c>
      <c r="T7595">
        <v>-0.1647342</v>
      </c>
      <c r="U7595">
        <v>-0.41265869999999999</v>
      </c>
      <c r="V7595">
        <v>4.0217120000000002E-3</v>
      </c>
      <c r="W7595">
        <v>-6.6862910000000005E-4</v>
      </c>
      <c r="X7595">
        <v>0.99999170000000004</v>
      </c>
      <c r="Y7595">
        <v>0.14934529999999999</v>
      </c>
      <c r="Z7595">
        <v>-5.6641149999999999E-3</v>
      </c>
      <c r="AA7595">
        <v>0.98876889999999995</v>
      </c>
      <c r="AB7595">
        <v>23</v>
      </c>
      <c r="AC7595">
        <v>21.1924999999999</v>
      </c>
      <c r="AD7595">
        <v>-1.1714260000000001</v>
      </c>
      <c r="AE7595">
        <v>-2.9365100000000002</v>
      </c>
      <c r="AF7595">
        <v>3.2147207530360302</v>
      </c>
      <c r="AG7595">
        <v>-1.1714260000000001</v>
      </c>
      <c r="AH7595">
        <v>21.087402210933</v>
      </c>
      <c r="AI7595">
        <v>93.1433272076317</v>
      </c>
      <c r="AJ7595">
        <v>81.332140875739</v>
      </c>
      <c r="AK7595">
        <v>21.363173930835799</v>
      </c>
      <c r="AL7595">
        <v>90.038309627936101</v>
      </c>
      <c r="AM7595">
        <v>89.769572205762998</v>
      </c>
      <c r="AN7595">
        <v>1.00000001065058</v>
      </c>
    </row>
    <row r="7596" spans="1:40" x14ac:dyDescent="0.25">
      <c r="A7596" t="str">
        <f>"20190303153955991"</f>
        <v>20190303153955991</v>
      </c>
      <c r="B7596" t="str">
        <f>"1551598795985560"</f>
        <v>1551598795985560</v>
      </c>
      <c r="C7596" t="s">
        <v>40</v>
      </c>
      <c r="D7596">
        <v>4.4150980000000004</v>
      </c>
      <c r="E7596">
        <v>0.55524030000000002</v>
      </c>
      <c r="F7596" t="s">
        <v>43</v>
      </c>
      <c r="G7596">
        <v>-318.76830000000001</v>
      </c>
      <c r="H7596">
        <v>-0.05</v>
      </c>
      <c r="I7596">
        <v>14.665629999999901</v>
      </c>
      <c r="J7596">
        <v>-339.59550000000002</v>
      </c>
      <c r="K7596">
        <v>1.121429</v>
      </c>
      <c r="L7596">
        <v>17.551570000000002</v>
      </c>
      <c r="M7596">
        <v>0.9998127</v>
      </c>
      <c r="N7596">
        <v>-1.3749569999999999E-2</v>
      </c>
      <c r="O7596">
        <v>1.3619890000000001E-2</v>
      </c>
      <c r="P7596">
        <v>0.99985550000000001</v>
      </c>
      <c r="Q7596">
        <v>-1.412047E-2</v>
      </c>
      <c r="R7596">
        <v>9.4632369999999993E-3</v>
      </c>
      <c r="S7596">
        <v>3.0019840000000002</v>
      </c>
      <c r="T7596">
        <v>-0.16791500000000001</v>
      </c>
      <c r="U7596">
        <v>-0.41345209999999999</v>
      </c>
      <c r="V7596">
        <v>4.1569290000000002E-3</v>
      </c>
      <c r="W7596">
        <v>-3.7080650000000001E-4</v>
      </c>
      <c r="X7596">
        <v>0.99999130000000003</v>
      </c>
      <c r="Y7596">
        <v>0.14962059999999999</v>
      </c>
      <c r="Z7596">
        <v>-5.7676749999999999E-3</v>
      </c>
      <c r="AA7596">
        <v>0.98872669999999996</v>
      </c>
      <c r="AB7596">
        <v>23</v>
      </c>
      <c r="AC7596">
        <v>20.827200000000001</v>
      </c>
      <c r="AD7596">
        <v>-1.1714290000000001</v>
      </c>
      <c r="AE7596">
        <v>-2.8859400000000002</v>
      </c>
      <c r="AF7596">
        <v>3.1595562459289499</v>
      </c>
      <c r="AG7596">
        <v>-1.1714290000000001</v>
      </c>
      <c r="AH7596">
        <v>20.7216395923455</v>
      </c>
      <c r="AI7596">
        <v>93.1986911271038</v>
      </c>
      <c r="AJ7596">
        <v>81.330532865248102</v>
      </c>
      <c r="AK7596">
        <v>20.9938416915125</v>
      </c>
      <c r="AL7596">
        <v>90.021245647765596</v>
      </c>
      <c r="AM7596">
        <v>89.761824812339597</v>
      </c>
      <c r="AN7596">
        <v>1.00000000881593</v>
      </c>
    </row>
    <row r="7597" spans="1:40" x14ac:dyDescent="0.25">
      <c r="A7597" t="str">
        <f>"20190303153956003"</f>
        <v>20190303153956003</v>
      </c>
      <c r="B7597" t="str">
        <f>"1551598795996297"</f>
        <v>1551598795996297</v>
      </c>
      <c r="C7597" t="s">
        <v>40</v>
      </c>
      <c r="D7597">
        <v>4.4190269999999998</v>
      </c>
      <c r="E7597">
        <v>0.55362999999999996</v>
      </c>
      <c r="F7597" t="s">
        <v>43</v>
      </c>
      <c r="G7597">
        <v>-318.53910000000002</v>
      </c>
      <c r="H7597">
        <v>-0.05</v>
      </c>
      <c r="I7597">
        <v>14.649380000000001</v>
      </c>
      <c r="J7597">
        <v>-339.4665</v>
      </c>
      <c r="K7597">
        <v>1.121435</v>
      </c>
      <c r="L7597">
        <v>17.553339999999999</v>
      </c>
      <c r="M7597">
        <v>0.99981240000000005</v>
      </c>
      <c r="N7597">
        <v>-1.3748109999999999E-2</v>
      </c>
      <c r="O7597">
        <v>1.365617E-2</v>
      </c>
      <c r="P7597">
        <v>0.99985760000000001</v>
      </c>
      <c r="Q7597">
        <v>-1.390855E-2</v>
      </c>
      <c r="R7597">
        <v>9.5765250000000007E-3</v>
      </c>
      <c r="S7597">
        <v>3.0019529999999999</v>
      </c>
      <c r="T7597">
        <v>-0.167007399999999</v>
      </c>
      <c r="U7597">
        <v>-0.41375729999999999</v>
      </c>
      <c r="V7597">
        <v>4.079816E-3</v>
      </c>
      <c r="W7597">
        <v>-1.602788E-4</v>
      </c>
      <c r="X7597">
        <v>0.99999170000000004</v>
      </c>
      <c r="Y7597">
        <v>0.14975920000000001</v>
      </c>
      <c r="Z7597">
        <v>-5.7473530000000002E-3</v>
      </c>
      <c r="AA7597">
        <v>0.98870579999999997</v>
      </c>
      <c r="AB7597">
        <v>23</v>
      </c>
      <c r="AC7597">
        <v>20.927399999999899</v>
      </c>
      <c r="AD7597">
        <v>-1.171435</v>
      </c>
      <c r="AE7597">
        <v>-2.9039600000000001</v>
      </c>
      <c r="AF7597">
        <v>3.1797293359287702</v>
      </c>
      <c r="AG7597">
        <v>-1.171435</v>
      </c>
      <c r="AH7597">
        <v>20.8217784959315</v>
      </c>
      <c r="AI7597">
        <v>93.183243957777506</v>
      </c>
      <c r="AJ7597">
        <v>81.317344690572796</v>
      </c>
      <c r="AK7597">
        <v>21.095719905768199</v>
      </c>
      <c r="AL7597">
        <v>90.009183298500304</v>
      </c>
      <c r="AM7597">
        <v>89.766243118786093</v>
      </c>
      <c r="AN7597">
        <v>1.00000003532838</v>
      </c>
    </row>
    <row r="7598" spans="1:40" x14ac:dyDescent="0.25">
      <c r="A7598" t="str">
        <f>"20190303153956013"</f>
        <v>20190303153956013</v>
      </c>
      <c r="B7598" t="str">
        <f>"1551598796006056"</f>
        <v>1551598796006056</v>
      </c>
      <c r="C7598" t="s">
        <v>40</v>
      </c>
      <c r="D7598">
        <v>4.405875</v>
      </c>
      <c r="E7598">
        <v>0.55391369999999995</v>
      </c>
      <c r="F7598" t="s">
        <v>42</v>
      </c>
      <c r="G7598">
        <v>-325.09890000000001</v>
      </c>
      <c r="H7598" s="1">
        <v>-3.0040730000000001E-6</v>
      </c>
      <c r="I7598">
        <v>15.63147</v>
      </c>
      <c r="J7598">
        <v>-339.35329999999999</v>
      </c>
      <c r="K7598">
        <v>1.121448</v>
      </c>
      <c r="L7598">
        <v>17.554929999999999</v>
      </c>
      <c r="M7598">
        <v>0.99981189999999998</v>
      </c>
      <c r="N7598">
        <v>-1.374424E-2</v>
      </c>
      <c r="O7598">
        <v>1.3690610000000001E-2</v>
      </c>
      <c r="P7598">
        <v>0.99986640000000004</v>
      </c>
      <c r="Q7598">
        <v>-1.346468E-2</v>
      </c>
      <c r="R7598">
        <v>9.2672269999999994E-3</v>
      </c>
      <c r="S7598">
        <v>3.001007</v>
      </c>
      <c r="T7598">
        <v>-0.2342389</v>
      </c>
      <c r="U7598">
        <v>-0.40142820000000001</v>
      </c>
      <c r="V7598">
        <v>4.4236919999999999E-3</v>
      </c>
      <c r="W7598">
        <v>2.7972860000000002E-4</v>
      </c>
      <c r="X7598">
        <v>0.99999020000000005</v>
      </c>
      <c r="Y7598">
        <v>0.14560119999999999</v>
      </c>
      <c r="Z7598">
        <v>-7.53091099999999E-3</v>
      </c>
      <c r="AA7598">
        <v>0.98931469999999999</v>
      </c>
      <c r="AB7598">
        <v>23</v>
      </c>
      <c r="AC7598">
        <v>14.254399999999899</v>
      </c>
      <c r="AD7598">
        <v>-1.1214510040729999</v>
      </c>
      <c r="AE7598">
        <v>-1.92345999999999</v>
      </c>
      <c r="AF7598">
        <v>2.1056494818487499</v>
      </c>
      <c r="AG7598">
        <v>-1.1214510040729999</v>
      </c>
      <c r="AH7598">
        <v>14.140767457058001</v>
      </c>
      <c r="AI7598">
        <v>94.485174620609499</v>
      </c>
      <c r="AJ7598">
        <v>81.530529193871203</v>
      </c>
      <c r="AK7598">
        <v>14.340596792655999</v>
      </c>
      <c r="AL7598">
        <v>89.983972731981595</v>
      </c>
      <c r="AM7598">
        <v>89.746540287958595</v>
      </c>
      <c r="AN7598">
        <v>1.0000000236975199</v>
      </c>
    </row>
    <row r="7599" spans="1:40" x14ac:dyDescent="0.25">
      <c r="A7599" t="str">
        <f>"20190303153956025"</f>
        <v>20190303153956025</v>
      </c>
      <c r="B7599" t="str">
        <f>"1551598796015817"</f>
        <v>1551598796015817</v>
      </c>
      <c r="C7599" t="s">
        <v>40</v>
      </c>
      <c r="D7599">
        <v>4.4141839999999997</v>
      </c>
      <c r="E7599">
        <v>0.55430760000000001</v>
      </c>
      <c r="F7599" t="s">
        <v>42</v>
      </c>
      <c r="G7599">
        <v>-324.84949999999998</v>
      </c>
      <c r="H7599" s="1">
        <v>-3.1276459999999999E-6</v>
      </c>
      <c r="I7599">
        <v>15.59965</v>
      </c>
      <c r="J7599">
        <v>-339.2296</v>
      </c>
      <c r="K7599">
        <v>1.121454</v>
      </c>
      <c r="L7599">
        <v>17.556639999999899</v>
      </c>
      <c r="M7599">
        <v>0.99981140000000002</v>
      </c>
      <c r="N7599">
        <v>-1.373601E-2</v>
      </c>
      <c r="O7599">
        <v>1.3731470000000001E-2</v>
      </c>
      <c r="P7599">
        <v>0.99986830000000004</v>
      </c>
      <c r="Q7599">
        <v>-1.332129E-2</v>
      </c>
      <c r="R7599">
        <v>9.2816040000000006E-3</v>
      </c>
      <c r="S7599">
        <v>3.001007</v>
      </c>
      <c r="T7599">
        <v>-0.23204169999999999</v>
      </c>
      <c r="U7599">
        <v>-0.40457149999999997</v>
      </c>
      <c r="V7599">
        <v>4.4501139999999998E-3</v>
      </c>
      <c r="W7599">
        <v>4.1515029999999997E-4</v>
      </c>
      <c r="X7599">
        <v>0.99999000000000005</v>
      </c>
      <c r="Y7599">
        <v>0.1466652</v>
      </c>
      <c r="Z7599">
        <v>-7.5180730000000001E-3</v>
      </c>
      <c r="AA7599">
        <v>0.98915759999999997</v>
      </c>
      <c r="AB7599">
        <v>23</v>
      </c>
      <c r="AC7599">
        <v>14.380100000000001</v>
      </c>
      <c r="AD7599">
        <v>-1.1214571276459999</v>
      </c>
      <c r="AE7599">
        <v>-1.95698999999999</v>
      </c>
      <c r="AF7599">
        <v>2.1414963923766601</v>
      </c>
      <c r="AG7599">
        <v>-1.1214571276459999</v>
      </c>
      <c r="AH7599">
        <v>14.2666779138564</v>
      </c>
      <c r="AI7599">
        <v>94.444998344953206</v>
      </c>
      <c r="AJ7599">
        <v>81.463363751305096</v>
      </c>
      <c r="AK7599">
        <v>14.4700301169496</v>
      </c>
      <c r="AL7599">
        <v>89.9762136389772</v>
      </c>
      <c r="AM7599">
        <v>89.745026382844202</v>
      </c>
      <c r="AN7599">
        <v>0.99999998798219203</v>
      </c>
    </row>
    <row r="7600" spans="1:40" x14ac:dyDescent="0.25">
      <c r="A7600" t="str">
        <f>"20190303153956036"</f>
        <v>20190303153956036</v>
      </c>
      <c r="B7600" t="str">
        <f>"1551598796025577"</f>
        <v>1551598796025577</v>
      </c>
      <c r="C7600" t="s">
        <v>40</v>
      </c>
      <c r="D7600">
        <v>4.4355969999999996</v>
      </c>
      <c r="E7600">
        <v>0.55451079999999997</v>
      </c>
      <c r="F7600" t="s">
        <v>42</v>
      </c>
      <c r="G7600">
        <v>-324.57409999999999</v>
      </c>
      <c r="H7600" s="1">
        <v>-3.2637889999999999E-6</v>
      </c>
      <c r="I7600">
        <v>15.565939999999999</v>
      </c>
      <c r="J7600">
        <v>-339.11880000000002</v>
      </c>
      <c r="K7600">
        <v>1.1214550000000001</v>
      </c>
      <c r="L7600">
        <v>17.558229999999998</v>
      </c>
      <c r="M7600">
        <v>0.99981109999999895</v>
      </c>
      <c r="N7600">
        <v>-1.371994E-2</v>
      </c>
      <c r="O7600">
        <v>1.377016E-2</v>
      </c>
      <c r="P7600">
        <v>0.99987170000000003</v>
      </c>
      <c r="Q7600">
        <v>-1.3195989999999999E-2</v>
      </c>
      <c r="R7600">
        <v>9.0887380000000007E-3</v>
      </c>
      <c r="S7600">
        <v>3.0011290000000002</v>
      </c>
      <c r="T7600">
        <v>-0.2296503</v>
      </c>
      <c r="U7600">
        <v>-0.40765380000000001</v>
      </c>
      <c r="V7600">
        <v>4.6816440000000004E-3</v>
      </c>
      <c r="W7600">
        <v>5.2434599999999997E-4</v>
      </c>
      <c r="X7600">
        <v>0.99998889999999996</v>
      </c>
      <c r="Y7600">
        <v>0.14770259999999999</v>
      </c>
      <c r="Z7600">
        <v>-7.4966950000000003E-3</v>
      </c>
      <c r="AA7600">
        <v>0.98900339999999998</v>
      </c>
      <c r="AB7600">
        <v>23</v>
      </c>
      <c r="AC7600">
        <v>14.544700000000001</v>
      </c>
      <c r="AD7600">
        <v>-1.1214582637889901</v>
      </c>
      <c r="AE7600">
        <v>-1.9922899999999899</v>
      </c>
      <c r="AF7600">
        <v>2.1796830553394</v>
      </c>
      <c r="AG7600">
        <v>-1.1214582637889901</v>
      </c>
      <c r="AH7600">
        <v>14.431666903832999</v>
      </c>
      <c r="AI7600">
        <v>94.393786561006394</v>
      </c>
      <c r="AJ7600">
        <v>81.411261574647199</v>
      </c>
      <c r="AK7600">
        <v>14.6383638594736</v>
      </c>
      <c r="AL7600">
        <v>89.969957185711394</v>
      </c>
      <c r="AM7600">
        <v>89.731760539908294</v>
      </c>
      <c r="AN7600">
        <v>0.99999999642624005</v>
      </c>
    </row>
    <row r="7601" spans="1:40" x14ac:dyDescent="0.25">
      <c r="A7601" t="str">
        <f>"20190303153956047"</f>
        <v>20190303153956047</v>
      </c>
      <c r="B7601" t="str">
        <f>"1551598796036313"</f>
        <v>1551598796036313</v>
      </c>
      <c r="C7601" t="s">
        <v>40</v>
      </c>
      <c r="D7601">
        <v>4.413341</v>
      </c>
      <c r="E7601">
        <v>0.55461629999999995</v>
      </c>
      <c r="F7601" t="s">
        <v>42</v>
      </c>
      <c r="G7601">
        <v>-324.52679999999998</v>
      </c>
      <c r="H7601" s="1">
        <v>-3.2862349999999999E-6</v>
      </c>
      <c r="I7601">
        <v>15.56555</v>
      </c>
      <c r="J7601">
        <v>-339.00869999999998</v>
      </c>
      <c r="K7601">
        <v>1.1214580000000001</v>
      </c>
      <c r="L7601">
        <v>17.559750000000001</v>
      </c>
      <c r="M7601">
        <v>0.99981089999999995</v>
      </c>
      <c r="N7601">
        <v>-1.369952E-2</v>
      </c>
      <c r="O7601">
        <v>1.380936E-2</v>
      </c>
      <c r="P7601">
        <v>0.99987009999999998</v>
      </c>
      <c r="Q7601">
        <v>-1.3206580000000001E-2</v>
      </c>
      <c r="R7601">
        <v>9.2495159999999993E-3</v>
      </c>
      <c r="S7601">
        <v>3.0010379999999999</v>
      </c>
      <c r="T7601">
        <v>-0.23064229999999999</v>
      </c>
      <c r="U7601">
        <v>-0.40982059999999998</v>
      </c>
      <c r="V7601">
        <v>4.560176E-3</v>
      </c>
      <c r="W7601">
        <v>4.9335169999999997E-4</v>
      </c>
      <c r="X7601">
        <v>0.99998949999999998</v>
      </c>
      <c r="Y7601">
        <v>0.14843970000000001</v>
      </c>
      <c r="Z7601">
        <v>-7.5598139999999998E-3</v>
      </c>
      <c r="AA7601">
        <v>0.98889260000000001</v>
      </c>
      <c r="AB7601">
        <v>23</v>
      </c>
      <c r="AC7601">
        <v>14.4818999999999</v>
      </c>
      <c r="AD7601">
        <v>-1.121461286235</v>
      </c>
      <c r="AE7601">
        <v>-1.9942</v>
      </c>
      <c r="AF7601">
        <v>2.1811777136417398</v>
      </c>
      <c r="AG7601">
        <v>-1.121461286235</v>
      </c>
      <c r="AH7601">
        <v>14.368416967603199</v>
      </c>
      <c r="AI7601">
        <v>94.412563413721699</v>
      </c>
      <c r="AJ7601">
        <v>81.3681953793632</v>
      </c>
      <c r="AK7601">
        <v>14.5762346917823</v>
      </c>
      <c r="AL7601">
        <v>89.9717330291748</v>
      </c>
      <c r="AM7601">
        <v>89.738720229056597</v>
      </c>
      <c r="AN7601">
        <v>1.00000001935565</v>
      </c>
    </row>
    <row r="7602" spans="1:40" x14ac:dyDescent="0.25">
      <c r="A7602" t="str">
        <f>"20190303153956058"</f>
        <v>20190303153956058</v>
      </c>
      <c r="B7602" t="str">
        <f>"1551598796046072"</f>
        <v>1551598796046072</v>
      </c>
      <c r="C7602" t="s">
        <v>40</v>
      </c>
      <c r="D7602">
        <v>4.4346050000000004</v>
      </c>
      <c r="E7602">
        <v>0.55481199999999997</v>
      </c>
      <c r="F7602" t="s">
        <v>42</v>
      </c>
      <c r="G7602">
        <v>-324.39929999999998</v>
      </c>
      <c r="H7602" s="1">
        <v>-3.3470220000000001E-6</v>
      </c>
      <c r="I7602">
        <v>15.562670000000001</v>
      </c>
      <c r="J7602">
        <v>-338.89400000000001</v>
      </c>
      <c r="K7602">
        <v>1.1214519999999999</v>
      </c>
      <c r="L7602">
        <v>17.56137</v>
      </c>
      <c r="M7602">
        <v>0.99981059999999999</v>
      </c>
      <c r="N7602">
        <v>-1.366765E-2</v>
      </c>
      <c r="O7602">
        <v>1.3852150000000001E-2</v>
      </c>
      <c r="P7602">
        <v>0.99986759999999997</v>
      </c>
      <c r="Q7602">
        <v>-1.331999E-2</v>
      </c>
      <c r="R7602">
        <v>9.3429910000000001E-3</v>
      </c>
      <c r="S7602">
        <v>3.0011290000000002</v>
      </c>
      <c r="T7602">
        <v>-0.23037479999999999</v>
      </c>
      <c r="U7602">
        <v>-0.4102478</v>
      </c>
      <c r="V7602">
        <v>4.5094760000000001E-3</v>
      </c>
      <c r="W7602">
        <v>3.4839309999999999E-4</v>
      </c>
      <c r="X7602">
        <v>0.99998969999999998</v>
      </c>
      <c r="Y7602">
        <v>0.14861679999999999</v>
      </c>
      <c r="Z7602">
        <v>-7.5604919999999898E-3</v>
      </c>
      <c r="AA7602">
        <v>0.98886600000000002</v>
      </c>
      <c r="AB7602">
        <v>23</v>
      </c>
      <c r="AC7602">
        <v>14.4947</v>
      </c>
      <c r="AD7602">
        <v>-1.1214553470219999</v>
      </c>
      <c r="AE7602">
        <v>-1.9986999999999999</v>
      </c>
      <c r="AF7602">
        <v>2.1864654945759199</v>
      </c>
      <c r="AG7602">
        <v>-1.1214553470219999</v>
      </c>
      <c r="AH7602">
        <v>14.3811392461038</v>
      </c>
      <c r="AI7602">
        <v>94.408499790219693</v>
      </c>
      <c r="AJ7602">
        <v>81.355124476647902</v>
      </c>
      <c r="AK7602">
        <v>14.5895668020048</v>
      </c>
      <c r="AL7602">
        <v>89.980038543926</v>
      </c>
      <c r="AM7602">
        <v>89.741625147515094</v>
      </c>
      <c r="AN7602">
        <v>0.99999992842881502</v>
      </c>
    </row>
    <row r="7603" spans="1:40" x14ac:dyDescent="0.25">
      <c r="A7603" t="str">
        <f>"20190303153956071"</f>
        <v>20190303153956071</v>
      </c>
      <c r="B7603" t="str">
        <f>"1551598796065592"</f>
        <v>1551598796065592</v>
      </c>
      <c r="C7603" t="s">
        <v>40</v>
      </c>
      <c r="D7603">
        <v>4.3946959999999997</v>
      </c>
      <c r="E7603">
        <v>0.55371979999999998</v>
      </c>
      <c r="F7603" t="s">
        <v>42</v>
      </c>
      <c r="G7603">
        <v>-324.2081</v>
      </c>
      <c r="H7603" s="1">
        <v>-3.4400500000000002E-6</v>
      </c>
      <c r="I7603">
        <v>15.547739999999999</v>
      </c>
      <c r="J7603">
        <v>-338.76260000000002</v>
      </c>
      <c r="K7603">
        <v>1.1214470000000001</v>
      </c>
      <c r="L7603">
        <v>17.56326</v>
      </c>
      <c r="M7603">
        <v>0.99981059999999999</v>
      </c>
      <c r="N7603">
        <v>-1.362705E-2</v>
      </c>
      <c r="O7603">
        <v>1.3900890000000001E-2</v>
      </c>
      <c r="P7603">
        <v>0.99985939999999995</v>
      </c>
      <c r="Q7603">
        <v>-1.385217E-2</v>
      </c>
      <c r="R7603">
        <v>9.4881519999999997E-3</v>
      </c>
      <c r="S7603">
        <v>3.00116</v>
      </c>
      <c r="T7603">
        <v>-0.22917709999999999</v>
      </c>
      <c r="U7603">
        <v>-0.411499</v>
      </c>
      <c r="V7603">
        <v>4.4127990000000002E-3</v>
      </c>
      <c r="W7603">
        <v>-2.2465549999999999E-4</v>
      </c>
      <c r="X7603">
        <v>0.99999020000000005</v>
      </c>
      <c r="Y7603">
        <v>0.14907210000000001</v>
      </c>
      <c r="Z7603">
        <v>-7.5463459999999998E-3</v>
      </c>
      <c r="AA7603">
        <v>0.9887975</v>
      </c>
      <c r="AB7603">
        <v>23</v>
      </c>
      <c r="AC7603">
        <v>14.554500000000001</v>
      </c>
      <c r="AD7603">
        <v>-1.1214504400499901</v>
      </c>
      <c r="AE7603">
        <v>-2.01552</v>
      </c>
      <c r="AF7603">
        <v>2.2048208198431798</v>
      </c>
      <c r="AG7603">
        <v>-1.1214504400499901</v>
      </c>
      <c r="AH7603">
        <v>14.440950906679101</v>
      </c>
      <c r="AI7603">
        <v>94.3898754206093</v>
      </c>
      <c r="AJ7603">
        <v>81.319211337527904</v>
      </c>
      <c r="AK7603">
        <v>14.651278068012299</v>
      </c>
      <c r="AL7603">
        <v>90.012871812595904</v>
      </c>
      <c r="AM7603">
        <v>89.747164404817696</v>
      </c>
      <c r="AN7603">
        <v>0.99999996168057304</v>
      </c>
    </row>
    <row r="7604" spans="1:40" x14ac:dyDescent="0.25">
      <c r="A7604" t="str">
        <f>"20190303153956082"</f>
        <v>20190303153956082</v>
      </c>
      <c r="B7604" t="str">
        <f>"1551598796076329"</f>
        <v>1551598796076329</v>
      </c>
      <c r="C7604" t="s">
        <v>40</v>
      </c>
      <c r="D7604">
        <v>4.3614759999999997</v>
      </c>
      <c r="E7604">
        <v>0.55241839999999998</v>
      </c>
      <c r="F7604" t="s">
        <v>42</v>
      </c>
      <c r="G7604">
        <v>-323.52289999999999</v>
      </c>
      <c r="H7604" s="1">
        <v>-3.768762E-6</v>
      </c>
      <c r="I7604">
        <v>15.52051</v>
      </c>
      <c r="J7604">
        <v>-338.63810000000001</v>
      </c>
      <c r="K7604">
        <v>1.1214409999999999</v>
      </c>
      <c r="L7604">
        <v>17.565059999999999</v>
      </c>
      <c r="M7604">
        <v>0.99981059999999999</v>
      </c>
      <c r="N7604">
        <v>-1.3582220000000001E-2</v>
      </c>
      <c r="O7604">
        <v>1.3944659999999999E-2</v>
      </c>
      <c r="P7604">
        <v>0.99984960000000001</v>
      </c>
      <c r="Q7604">
        <v>-1.430592E-2</v>
      </c>
      <c r="R7604">
        <v>9.8130620000000009E-3</v>
      </c>
      <c r="S7604">
        <v>3.0011899999999998</v>
      </c>
      <c r="T7604">
        <v>-0.2208495</v>
      </c>
      <c r="U7604">
        <v>-0.40228269999999999</v>
      </c>
      <c r="V7604">
        <v>4.1317860000000001E-3</v>
      </c>
      <c r="W7604">
        <v>-7.2326770000000001E-4</v>
      </c>
      <c r="X7604">
        <v>0.99999119999999997</v>
      </c>
      <c r="Y7604">
        <v>0.14617629999999901</v>
      </c>
      <c r="Z7604">
        <v>-7.178126E-3</v>
      </c>
      <c r="AA7604">
        <v>0.98923249999999996</v>
      </c>
      <c r="AB7604">
        <v>23</v>
      </c>
      <c r="AC7604">
        <v>15.1152</v>
      </c>
      <c r="AD7604">
        <v>-1.1214447687619999</v>
      </c>
      <c r="AE7604">
        <v>-2.0445499999999899</v>
      </c>
      <c r="AF7604">
        <v>2.2430217673983801</v>
      </c>
      <c r="AG7604">
        <v>-1.1214447687619999</v>
      </c>
      <c r="AH7604">
        <v>15.0041088262934</v>
      </c>
      <c r="AI7604">
        <v>94.227675829754801</v>
      </c>
      <c r="AJ7604">
        <v>81.497599452505</v>
      </c>
      <c r="AK7604">
        <v>15.212234112373499</v>
      </c>
      <c r="AL7604">
        <v>90.041440190387803</v>
      </c>
      <c r="AM7604">
        <v>89.763265364240397</v>
      </c>
      <c r="AN7604">
        <v>0.99999999742457701</v>
      </c>
    </row>
    <row r="7605" spans="1:40" x14ac:dyDescent="0.25">
      <c r="A7605" t="str">
        <f>"20190303153956094"</f>
        <v>20190303153956094</v>
      </c>
      <c r="B7605" t="str">
        <f>"1551598796086088"</f>
        <v>1551598796086088</v>
      </c>
      <c r="C7605" t="s">
        <v>40</v>
      </c>
      <c r="D7605">
        <v>4.373081</v>
      </c>
      <c r="E7605">
        <v>0.55126359999999996</v>
      </c>
      <c r="F7605" t="s">
        <v>42</v>
      </c>
      <c r="G7605">
        <v>-323.08229999999998</v>
      </c>
      <c r="H7605" s="1">
        <v>-3.9737109999999998E-6</v>
      </c>
      <c r="I7605">
        <v>15.53927</v>
      </c>
      <c r="J7605">
        <v>-338.51929999999999</v>
      </c>
      <c r="K7605">
        <v>1.121432</v>
      </c>
      <c r="L7605">
        <v>17.566770000000002</v>
      </c>
      <c r="M7605">
        <v>0.99981059999999999</v>
      </c>
      <c r="N7605">
        <v>-1.353859E-2</v>
      </c>
      <c r="O7605">
        <v>1.398814E-2</v>
      </c>
      <c r="P7605">
        <v>0.99984609999999996</v>
      </c>
      <c r="Q7605">
        <v>-1.4592269999999999E-2</v>
      </c>
      <c r="R7605">
        <v>9.7527570000000008E-3</v>
      </c>
      <c r="S7605">
        <v>3.0011899999999998</v>
      </c>
      <c r="T7605">
        <v>-0.21636159999999999</v>
      </c>
      <c r="U7605">
        <v>-0.39083859999999998</v>
      </c>
      <c r="V7605">
        <v>4.2356090000000004E-3</v>
      </c>
      <c r="W7605">
        <v>-1.0532390000000001E-3</v>
      </c>
      <c r="X7605">
        <v>0.9999905</v>
      </c>
      <c r="Y7605">
        <v>0.14254020000000001</v>
      </c>
      <c r="Z7605">
        <v>-6.895066E-3</v>
      </c>
      <c r="AA7605">
        <v>0.98976500000000001</v>
      </c>
      <c r="AB7605">
        <v>23</v>
      </c>
      <c r="AC7605">
        <v>15.436999999999999</v>
      </c>
      <c r="AD7605">
        <v>-1.121435973711</v>
      </c>
      <c r="AE7605">
        <v>-2.0274999999999999</v>
      </c>
      <c r="AF7605">
        <v>2.23167845918341</v>
      </c>
      <c r="AG7605">
        <v>-1.121435973711</v>
      </c>
      <c r="AH7605">
        <v>15.3276070560694</v>
      </c>
      <c r="AI7605">
        <v>94.141049763067599</v>
      </c>
      <c r="AJ7605">
        <v>81.716023417799505</v>
      </c>
      <c r="AK7605">
        <v>15.529763213055899</v>
      </c>
      <c r="AL7605">
        <v>90.060346159173505</v>
      </c>
      <c r="AM7605">
        <v>89.757316626424696</v>
      </c>
      <c r="AN7605">
        <v>1.00000002489312</v>
      </c>
    </row>
    <row r="7606" spans="1:40" x14ac:dyDescent="0.25">
      <c r="A7606" t="str">
        <f>"20190303153956117"</f>
        <v>20190303153956117</v>
      </c>
      <c r="B7606" t="str">
        <f>"1551598796105608"</f>
        <v>1551598796105608</v>
      </c>
      <c r="C7606" t="s">
        <v>40</v>
      </c>
      <c r="D7606">
        <v>4.3867240000000001</v>
      </c>
      <c r="E7606">
        <v>0.54983149999999903</v>
      </c>
      <c r="F7606" t="s">
        <v>42</v>
      </c>
      <c r="G7606">
        <v>-322.59199999999998</v>
      </c>
      <c r="H7606" s="1">
        <v>-4.2050929999999998E-6</v>
      </c>
      <c r="I7606">
        <v>15.54144</v>
      </c>
      <c r="J7606">
        <v>-338.28429999999997</v>
      </c>
      <c r="K7606">
        <v>1.1214120000000001</v>
      </c>
      <c r="L7606">
        <v>17.57019</v>
      </c>
      <c r="M7606">
        <v>0.99981030000000004</v>
      </c>
      <c r="N7606">
        <v>-1.34501E-2</v>
      </c>
      <c r="O7606">
        <v>1.408243E-2</v>
      </c>
      <c r="P7606">
        <v>0.99984439999999997</v>
      </c>
      <c r="Q7606">
        <v>-1.458595E-2</v>
      </c>
      <c r="R7606">
        <v>9.9137889999999992E-3</v>
      </c>
      <c r="S7606">
        <v>3.001099</v>
      </c>
      <c r="T7606">
        <v>-0.2113063</v>
      </c>
      <c r="U7606">
        <v>-0.38162230000000003</v>
      </c>
      <c r="V7606">
        <v>4.1688879999999999E-3</v>
      </c>
      <c r="W7606">
        <v>-1.1354679999999999E-3</v>
      </c>
      <c r="X7606">
        <v>0.99999059999999995</v>
      </c>
      <c r="Y7606">
        <v>0.13967489999999999</v>
      </c>
      <c r="Z7606">
        <v>-6.6341400000000002E-3</v>
      </c>
      <c r="AA7606">
        <v>0.99017520000000003</v>
      </c>
      <c r="AB7606">
        <v>23</v>
      </c>
      <c r="AC7606">
        <v>15.6922999999999</v>
      </c>
      <c r="AD7606">
        <v>-1.1214162050929899</v>
      </c>
      <c r="AE7606">
        <v>-2.0287500000000001</v>
      </c>
      <c r="AF7606">
        <v>2.2383115140091099</v>
      </c>
      <c r="AG7606">
        <v>-1.1214162050929899</v>
      </c>
      <c r="AH7606">
        <v>15.5838937048009</v>
      </c>
      <c r="AI7606">
        <v>94.074239506294504</v>
      </c>
      <c r="AJ7606">
        <v>81.826517832561294</v>
      </c>
      <c r="AK7606">
        <v>15.783705386927499</v>
      </c>
      <c r="AL7606">
        <v>90.065057542412902</v>
      </c>
      <c r="AM7606">
        <v>89.761139450823705</v>
      </c>
      <c r="AN7606">
        <v>0.99999993450154501</v>
      </c>
    </row>
    <row r="7607" spans="1:40" x14ac:dyDescent="0.25">
      <c r="A7607" t="str">
        <f>"20190303153956132"</f>
        <v>20190303153956132</v>
      </c>
      <c r="B7607" t="str">
        <f>"1551598796126105"</f>
        <v>1551598796126105</v>
      </c>
      <c r="C7607" t="s">
        <v>40</v>
      </c>
      <c r="D7607">
        <v>4.3825710000000004</v>
      </c>
      <c r="E7607">
        <v>0.54883780000000004</v>
      </c>
      <c r="F7607" t="s">
        <v>42</v>
      </c>
      <c r="G7607">
        <v>-321.60719999999998</v>
      </c>
      <c r="H7607" s="1">
        <v>-4.6749809999999998E-6</v>
      </c>
      <c r="I7607">
        <v>15.51674</v>
      </c>
      <c r="J7607">
        <v>-338.12880000000001</v>
      </c>
      <c r="K7607">
        <v>1.1214</v>
      </c>
      <c r="L7607">
        <v>17.57245</v>
      </c>
      <c r="M7607">
        <v>0.99981030000000004</v>
      </c>
      <c r="N7607">
        <v>-1.339245E-2</v>
      </c>
      <c r="O7607">
        <v>1.4147359999999999E-2</v>
      </c>
      <c r="P7607">
        <v>0.99984439999999997</v>
      </c>
      <c r="Q7607">
        <v>-1.4530929999999999E-2</v>
      </c>
      <c r="R7607">
        <v>1.000672E-2</v>
      </c>
      <c r="S7607">
        <v>3.0011899999999998</v>
      </c>
      <c r="T7607">
        <v>-0.20180960000000001</v>
      </c>
      <c r="U7607">
        <v>-0.36953740000000002</v>
      </c>
      <c r="V7607">
        <v>4.1408920000000002E-3</v>
      </c>
      <c r="W7607">
        <v>-1.138144E-3</v>
      </c>
      <c r="X7607">
        <v>0.99999079999999996</v>
      </c>
      <c r="Y7607">
        <v>0.13585410000000001</v>
      </c>
      <c r="Z7607">
        <v>-6.2180650000000001E-3</v>
      </c>
      <c r="AA7607">
        <v>0.99070939999999996</v>
      </c>
      <c r="AB7607">
        <v>23</v>
      </c>
      <c r="AC7607">
        <v>16.521599999999999</v>
      </c>
      <c r="AD7607">
        <v>-1.121404674981</v>
      </c>
      <c r="AE7607">
        <v>-2.0557099999999999</v>
      </c>
      <c r="AF7607">
        <v>2.2789232109136801</v>
      </c>
      <c r="AG7607">
        <v>-1.121404674981</v>
      </c>
      <c r="AH7607">
        <v>16.416383128201002</v>
      </c>
      <c r="AI7607">
        <v>93.870804622455196</v>
      </c>
      <c r="AJ7607">
        <v>82.096706578899003</v>
      </c>
      <c r="AK7607">
        <v>16.6117029367309</v>
      </c>
      <c r="AL7607">
        <v>90.0652108603729</v>
      </c>
      <c r="AM7607">
        <v>89.762743538305102</v>
      </c>
      <c r="AN7607">
        <v>1.0000000212214799</v>
      </c>
    </row>
    <row r="7608" spans="1:40" x14ac:dyDescent="0.25">
      <c r="A7608" t="str">
        <f>"20190303153956145"</f>
        <v>20190303153956145</v>
      </c>
      <c r="B7608" t="str">
        <f>"1551598796135865"</f>
        <v>1551598796135865</v>
      </c>
      <c r="C7608" t="s">
        <v>40</v>
      </c>
      <c r="D7608">
        <v>4.3723799999999997</v>
      </c>
      <c r="E7608">
        <v>0.54838809999999905</v>
      </c>
      <c r="F7608" t="s">
        <v>42</v>
      </c>
      <c r="G7608">
        <v>-320.94549999999998</v>
      </c>
      <c r="H7608" s="1">
        <v>-4.9900289999999998E-6</v>
      </c>
      <c r="I7608">
        <v>15.504079999999901</v>
      </c>
      <c r="J7608">
        <v>-337.97699999999998</v>
      </c>
      <c r="K7608">
        <v>1.121391</v>
      </c>
      <c r="L7608">
        <v>17.574679999999901</v>
      </c>
      <c r="M7608">
        <v>0.99981019999999998</v>
      </c>
      <c r="N7608">
        <v>-1.3337959999999999E-2</v>
      </c>
      <c r="O7608">
        <v>1.420592E-2</v>
      </c>
      <c r="P7608">
        <v>0.99984320000000004</v>
      </c>
      <c r="Q7608">
        <v>-1.456643E-2</v>
      </c>
      <c r="R7608">
        <v>1.006542E-2</v>
      </c>
      <c r="S7608">
        <v>3.0012819999999998</v>
      </c>
      <c r="T7608">
        <v>-0.19586770000000001</v>
      </c>
      <c r="U7608">
        <v>-0.36126710000000001</v>
      </c>
      <c r="V7608">
        <v>4.1407960000000004E-3</v>
      </c>
      <c r="W7608">
        <v>-1.2281550000000001E-3</v>
      </c>
      <c r="X7608">
        <v>0.99999070000000001</v>
      </c>
      <c r="Y7608">
        <v>0.13324530000000001</v>
      </c>
      <c r="Z7608">
        <v>-5.9550159999999996E-3</v>
      </c>
      <c r="AA7608">
        <v>0.99106519999999998</v>
      </c>
      <c r="AB7608">
        <v>23</v>
      </c>
      <c r="AC7608">
        <v>17.031499999999902</v>
      </c>
      <c r="AD7608">
        <v>-1.121395990029</v>
      </c>
      <c r="AE7608">
        <v>-2.07059999999999</v>
      </c>
      <c r="AF7608">
        <v>2.3025240695781899</v>
      </c>
      <c r="AG7608">
        <v>-1.121395990029</v>
      </c>
      <c r="AH7608">
        <v>16.928045578013201</v>
      </c>
      <c r="AI7608">
        <v>93.755532322671399</v>
      </c>
      <c r="AJ7608">
        <v>82.254259692878193</v>
      </c>
      <c r="AK7608">
        <v>17.1206855338427</v>
      </c>
      <c r="AL7608">
        <v>90.070368113855395</v>
      </c>
      <c r="AM7608">
        <v>89.762749014931202</v>
      </c>
      <c r="AN7608">
        <v>1.0000000273213501</v>
      </c>
    </row>
    <row r="7609" spans="1:40" x14ac:dyDescent="0.25">
      <c r="A7609" t="str">
        <f>"20190303153956158"</f>
        <v>20190303153956158</v>
      </c>
      <c r="B7609" t="str">
        <f>"1551598796145624"</f>
        <v>1551598796145624</v>
      </c>
      <c r="C7609" t="s">
        <v>40</v>
      </c>
      <c r="D7609">
        <v>4.386056</v>
      </c>
      <c r="E7609">
        <v>0.54801259999999996</v>
      </c>
      <c r="F7609" t="s">
        <v>42</v>
      </c>
      <c r="G7609">
        <v>-320.60480000000001</v>
      </c>
      <c r="H7609" s="1">
        <v>-5.1507380000000003E-6</v>
      </c>
      <c r="I7609">
        <v>15.50596</v>
      </c>
      <c r="J7609">
        <v>-337.85489999999999</v>
      </c>
      <c r="K7609">
        <v>1.1213789999999999</v>
      </c>
      <c r="L7609">
        <v>17.57648</v>
      </c>
      <c r="M7609">
        <v>0.99980999999999998</v>
      </c>
      <c r="N7609">
        <v>-1.3295980000000001E-2</v>
      </c>
      <c r="O7609">
        <v>1.4251710000000001E-2</v>
      </c>
      <c r="P7609">
        <v>0.99984510000000004</v>
      </c>
      <c r="Q7609">
        <v>-1.447142E-2</v>
      </c>
      <c r="R7609">
        <v>1.0011239999999999E-2</v>
      </c>
      <c r="S7609">
        <v>3.0012210000000001</v>
      </c>
      <c r="T7609">
        <v>-0.1937326</v>
      </c>
      <c r="U7609">
        <v>-0.35739140000000003</v>
      </c>
      <c r="V7609">
        <v>4.2407529999999999E-3</v>
      </c>
      <c r="W7609">
        <v>-1.1751369999999999E-3</v>
      </c>
      <c r="X7609">
        <v>0.9999903</v>
      </c>
      <c r="Y7609">
        <v>0.1320414</v>
      </c>
      <c r="Z7609">
        <v>-5.8516890000000002E-3</v>
      </c>
      <c r="AA7609">
        <v>0.99122690000000002</v>
      </c>
      <c r="AB7609">
        <v>23</v>
      </c>
      <c r="AC7609">
        <v>17.2500999999999</v>
      </c>
      <c r="AD7609">
        <v>-1.121384150738</v>
      </c>
      <c r="AE7609">
        <v>-2.0705200000000001</v>
      </c>
      <c r="AF7609">
        <v>2.30656582196701</v>
      </c>
      <c r="AG7609">
        <v>-1.121384150738</v>
      </c>
      <c r="AH7609">
        <v>17.147401598161</v>
      </c>
      <c r="AI7609">
        <v>93.708324840400294</v>
      </c>
      <c r="AJ7609">
        <v>82.3389005349771</v>
      </c>
      <c r="AK7609">
        <v>17.3381409001429</v>
      </c>
      <c r="AL7609">
        <v>90.067330407123606</v>
      </c>
      <c r="AM7609">
        <v>89.757021850833496</v>
      </c>
      <c r="AN7609">
        <v>0.99999998251353195</v>
      </c>
    </row>
    <row r="7610" spans="1:40" x14ac:dyDescent="0.25">
      <c r="A7610" t="str">
        <f>"20190303153956170"</f>
        <v>20190303153956170</v>
      </c>
      <c r="B7610" t="str">
        <f>"1551598796166120"</f>
        <v>1551598796166120</v>
      </c>
      <c r="C7610" t="s">
        <v>40</v>
      </c>
      <c r="D7610">
        <v>4.3751889999999998</v>
      </c>
      <c r="E7610">
        <v>0.54747309999999905</v>
      </c>
      <c r="F7610" t="s">
        <v>42</v>
      </c>
      <c r="G7610">
        <v>-320.22000000000003</v>
      </c>
      <c r="H7610" s="1">
        <v>-5.3349670000000003E-6</v>
      </c>
      <c r="I7610">
        <v>15.49282</v>
      </c>
      <c r="J7610">
        <v>-337.73540000000003</v>
      </c>
      <c r="K7610">
        <v>1.1213690000000001</v>
      </c>
      <c r="L7610">
        <v>17.578250000000001</v>
      </c>
      <c r="M7610">
        <v>0.99980999999999998</v>
      </c>
      <c r="N7610">
        <v>-1.3255589999999999E-2</v>
      </c>
      <c r="O7610">
        <v>1.429599E-2</v>
      </c>
      <c r="P7610">
        <v>0.99985559999999996</v>
      </c>
      <c r="Q7610">
        <v>-1.379876E-2</v>
      </c>
      <c r="R7610">
        <v>9.9280059999999996E-3</v>
      </c>
      <c r="S7610">
        <v>3.0012509999999999</v>
      </c>
      <c r="T7610">
        <v>-0.19084680000000001</v>
      </c>
      <c r="U7610">
        <v>-0.35461429999999999</v>
      </c>
      <c r="V7610">
        <v>4.3682809999999999E-3</v>
      </c>
      <c r="W7610">
        <v>-5.4281350000000002E-4</v>
      </c>
      <c r="X7610">
        <v>0.9999903</v>
      </c>
      <c r="Y7610">
        <v>0.13119120000000001</v>
      </c>
      <c r="Z7610">
        <v>-5.7426769999999999E-3</v>
      </c>
      <c r="AA7610">
        <v>0.99134049999999996</v>
      </c>
      <c r="AB7610">
        <v>23</v>
      </c>
      <c r="AC7610">
        <v>17.5154</v>
      </c>
      <c r="AD7610">
        <v>-1.121374334967</v>
      </c>
      <c r="AE7610">
        <v>-2.0854299999999899</v>
      </c>
      <c r="AF7610">
        <v>2.3262372153890798</v>
      </c>
      <c r="AG7610">
        <v>-1.121374334967</v>
      </c>
      <c r="AH7610">
        <v>17.413416661379099</v>
      </c>
      <c r="AI7610">
        <v>93.652241181788199</v>
      </c>
      <c r="AJ7610">
        <v>82.390976334309698</v>
      </c>
      <c r="AK7610">
        <v>17.603861502641301</v>
      </c>
      <c r="AL7610">
        <v>90.031100924503605</v>
      </c>
      <c r="AM7610">
        <v>89.749715099185295</v>
      </c>
      <c r="AN7610">
        <v>0.99999998830974002</v>
      </c>
    </row>
    <row r="7611" spans="1:40" x14ac:dyDescent="0.25">
      <c r="A7611" t="str">
        <f>"20190303153956180"</f>
        <v>20190303153956180</v>
      </c>
      <c r="B7611" t="str">
        <f>"1551598796175880"</f>
        <v>1551598796175880</v>
      </c>
      <c r="C7611" t="s">
        <v>40</v>
      </c>
      <c r="D7611">
        <v>4.3684719999999997</v>
      </c>
      <c r="E7611">
        <v>0.54727460000000006</v>
      </c>
      <c r="F7611" t="s">
        <v>43</v>
      </c>
      <c r="G7611">
        <v>-318.72050000000002</v>
      </c>
      <c r="H7611">
        <v>-0.05</v>
      </c>
      <c r="I7611">
        <v>15.35718</v>
      </c>
      <c r="J7611">
        <v>-337.62099999999998</v>
      </c>
      <c r="K7611">
        <v>1.1213679999999999</v>
      </c>
      <c r="L7611">
        <v>17.579929999999901</v>
      </c>
      <c r="M7611">
        <v>0.99980999999999998</v>
      </c>
      <c r="N7611">
        <v>-1.321929E-2</v>
      </c>
      <c r="O7611">
        <v>1.4337849999999999E-2</v>
      </c>
      <c r="P7611">
        <v>0.99985290000000004</v>
      </c>
      <c r="Q7611">
        <v>-1.38937E-2</v>
      </c>
      <c r="R7611">
        <v>1.0078210000000001E-2</v>
      </c>
      <c r="S7611">
        <v>3.001404</v>
      </c>
      <c r="T7611">
        <v>-0.18489459999999999</v>
      </c>
      <c r="U7611">
        <v>-0.35058590000000001</v>
      </c>
      <c r="V7611">
        <v>4.2597479999999998E-3</v>
      </c>
      <c r="W7611">
        <v>-6.7409879999999998E-4</v>
      </c>
      <c r="X7611">
        <v>0.99999070000000001</v>
      </c>
      <c r="Y7611">
        <v>0.12993640000000001</v>
      </c>
      <c r="Z7611">
        <v>-5.5385399999999998E-3</v>
      </c>
      <c r="AA7611">
        <v>0.99150689999999997</v>
      </c>
      <c r="AB7611">
        <v>23</v>
      </c>
      <c r="AC7611">
        <v>18.900499999999901</v>
      </c>
      <c r="AD7611">
        <v>-1.171368</v>
      </c>
      <c r="AE7611">
        <v>-2.2227499999999898</v>
      </c>
      <c r="AF7611">
        <v>2.4841263690569</v>
      </c>
      <c r="AG7611">
        <v>-1.171368</v>
      </c>
      <c r="AH7611">
        <v>18.795476703555298</v>
      </c>
      <c r="AI7611">
        <v>93.535497888168706</v>
      </c>
      <c r="AJ7611">
        <v>82.471071488394301</v>
      </c>
      <c r="AK7611">
        <v>18.995076502156</v>
      </c>
      <c r="AL7611">
        <v>90.0386230191409</v>
      </c>
      <c r="AM7611">
        <v>89.755933624231602</v>
      </c>
      <c r="AN7611">
        <v>0.99999999997435196</v>
      </c>
    </row>
    <row r="7612" spans="1:40" x14ac:dyDescent="0.25">
      <c r="A7612" t="str">
        <f>"20190303153956192"</f>
        <v>20190303153956192</v>
      </c>
      <c r="B7612" t="str">
        <f>"1551598796185640"</f>
        <v>1551598796185640</v>
      </c>
      <c r="C7612" t="s">
        <v>40</v>
      </c>
      <c r="D7612">
        <v>4.3913710000000004</v>
      </c>
      <c r="E7612">
        <v>0.54707799999999995</v>
      </c>
      <c r="F7612" t="s">
        <v>43</v>
      </c>
      <c r="G7612">
        <v>-318.47329999999999</v>
      </c>
      <c r="H7612">
        <v>-0.05</v>
      </c>
      <c r="I7612">
        <v>15.356579999999999</v>
      </c>
      <c r="J7612">
        <v>-337.49579999999997</v>
      </c>
      <c r="K7612">
        <v>1.1213610000000001</v>
      </c>
      <c r="L7612">
        <v>17.581789999999899</v>
      </c>
      <c r="M7612">
        <v>0.99980959999999997</v>
      </c>
      <c r="N7612">
        <v>-1.31804E-2</v>
      </c>
      <c r="O7612">
        <v>1.438389E-2</v>
      </c>
      <c r="P7612">
        <v>0.99985440000000003</v>
      </c>
      <c r="Q7612">
        <v>-1.394916E-2</v>
      </c>
      <c r="R7612">
        <v>9.8345889999999995E-3</v>
      </c>
      <c r="S7612">
        <v>3.001404</v>
      </c>
      <c r="T7612">
        <v>-0.1836122</v>
      </c>
      <c r="U7612">
        <v>-0.34851070000000001</v>
      </c>
      <c r="V7612">
        <v>4.5495379999999997E-3</v>
      </c>
      <c r="W7612">
        <v>-7.6848219999999998E-4</v>
      </c>
      <c r="X7612">
        <v>0.99998929999999997</v>
      </c>
      <c r="Y7612">
        <v>0.12931110000000001</v>
      </c>
      <c r="Z7612">
        <v>-5.482036E-3</v>
      </c>
      <c r="AA7612">
        <v>0.9915889</v>
      </c>
      <c r="AB7612">
        <v>23</v>
      </c>
      <c r="AC7612">
        <v>19.022499999999901</v>
      </c>
      <c r="AD7612">
        <v>-1.1713610000000001</v>
      </c>
      <c r="AE7612">
        <v>-2.2252099999999899</v>
      </c>
      <c r="AF7612">
        <v>2.48930952537158</v>
      </c>
      <c r="AG7612">
        <v>-1.1713610000000001</v>
      </c>
      <c r="AH7612">
        <v>18.9177575740758</v>
      </c>
      <c r="AI7612">
        <v>93.512945131153899</v>
      </c>
      <c r="AJ7612">
        <v>82.503752662110898</v>
      </c>
      <c r="AK7612">
        <v>19.116754435231101</v>
      </c>
      <c r="AL7612">
        <v>90.044030793469005</v>
      </c>
      <c r="AM7612">
        <v>89.739329683179605</v>
      </c>
      <c r="AN7612">
        <v>0.99999994448769602</v>
      </c>
    </row>
    <row r="7613" spans="1:40" x14ac:dyDescent="0.25">
      <c r="A7613" t="str">
        <f>"20190303153956204"</f>
        <v>20190303153956204</v>
      </c>
      <c r="B7613" t="str">
        <f>"1551598796196377"</f>
        <v>1551598796196377</v>
      </c>
      <c r="C7613" t="s">
        <v>40</v>
      </c>
      <c r="D7613">
        <v>4.3567</v>
      </c>
      <c r="E7613">
        <v>0.54693879999999995</v>
      </c>
      <c r="F7613" t="s">
        <v>43</v>
      </c>
      <c r="G7613">
        <v>-318.23779999999999</v>
      </c>
      <c r="H7613">
        <v>-0.05</v>
      </c>
      <c r="I7613">
        <v>15.3510299999999</v>
      </c>
      <c r="J7613">
        <v>-337.37349999999998</v>
      </c>
      <c r="K7613">
        <v>1.1213569999999999</v>
      </c>
      <c r="L7613">
        <v>17.583590000000001</v>
      </c>
      <c r="M7613">
        <v>0.99980959999999997</v>
      </c>
      <c r="N7613">
        <v>-1.3144660000000001E-2</v>
      </c>
      <c r="O7613">
        <v>1.4428440000000001E-2</v>
      </c>
      <c r="P7613">
        <v>0.99985429999999997</v>
      </c>
      <c r="Q7613">
        <v>-1.403192E-2</v>
      </c>
      <c r="R7613">
        <v>9.7303509999999999E-3</v>
      </c>
      <c r="S7613">
        <v>3.0012819999999998</v>
      </c>
      <c r="T7613">
        <v>-0.18255150000000001</v>
      </c>
      <c r="U7613">
        <v>-0.34765629999999997</v>
      </c>
      <c r="V7613">
        <v>4.6981790000000002E-3</v>
      </c>
      <c r="W7613">
        <v>-8.8700409999999997E-4</v>
      </c>
      <c r="X7613">
        <v>0.99998860000000001</v>
      </c>
      <c r="Y7613">
        <v>0.12908519999999901</v>
      </c>
      <c r="Z7613">
        <v>-5.4464860000000004E-3</v>
      </c>
      <c r="AA7613">
        <v>0.99161860000000002</v>
      </c>
      <c r="AB7613">
        <v>23</v>
      </c>
      <c r="AC7613">
        <v>19.1356999999999</v>
      </c>
      <c r="AD7613">
        <v>-1.171357</v>
      </c>
      <c r="AE7613">
        <v>-2.2325599999999999</v>
      </c>
      <c r="AF7613">
        <v>2.49921077160784</v>
      </c>
      <c r="AG7613">
        <v>-1.171357</v>
      </c>
      <c r="AH7613">
        <v>19.031139526434998</v>
      </c>
      <c r="AI7613">
        <v>93.492174778512293</v>
      </c>
      <c r="AJ7613">
        <v>82.518604036024499</v>
      </c>
      <c r="AK7613">
        <v>19.230247096098498</v>
      </c>
      <c r="AL7613">
        <v>90.050821596485605</v>
      </c>
      <c r="AM7613">
        <v>89.730813083760395</v>
      </c>
      <c r="AN7613">
        <v>1.0000000298960701</v>
      </c>
    </row>
    <row r="7614" spans="1:40" x14ac:dyDescent="0.25">
      <c r="A7614" t="str">
        <f>"20190303153956214"</f>
        <v>20190303153956214</v>
      </c>
      <c r="B7614" t="str">
        <f>"1551598796206136"</f>
        <v>1551598796206136</v>
      </c>
      <c r="C7614" t="s">
        <v>40</v>
      </c>
      <c r="D7614">
        <v>4.4019069999999996</v>
      </c>
      <c r="E7614">
        <v>0.54681380000000002</v>
      </c>
      <c r="F7614" t="s">
        <v>43</v>
      </c>
      <c r="G7614">
        <v>-318.05040000000002</v>
      </c>
      <c r="H7614">
        <v>-0.05</v>
      </c>
      <c r="I7614">
        <v>15.350540000000001</v>
      </c>
      <c r="J7614">
        <v>-337.26679999999999</v>
      </c>
      <c r="K7614">
        <v>1.1213550000000001</v>
      </c>
      <c r="L7614">
        <v>17.585170000000002</v>
      </c>
      <c r="M7614">
        <v>0.99980930000000001</v>
      </c>
      <c r="N7614">
        <v>-1.311496E-2</v>
      </c>
      <c r="O7614">
        <v>1.446675E-2</v>
      </c>
      <c r="P7614">
        <v>0.99985500000000005</v>
      </c>
      <c r="Q7614">
        <v>-1.413679E-2</v>
      </c>
      <c r="R7614">
        <v>9.5100949999999997E-3</v>
      </c>
      <c r="S7614">
        <v>3.0012509999999999</v>
      </c>
      <c r="T7614">
        <v>-0.18193400000000001</v>
      </c>
      <c r="U7614">
        <v>-0.34683229999999998</v>
      </c>
      <c r="V7614">
        <v>4.9568009999999899E-3</v>
      </c>
      <c r="W7614">
        <v>-1.0215980000000001E-3</v>
      </c>
      <c r="X7614">
        <v>0.99998719999999996</v>
      </c>
      <c r="Y7614">
        <v>0.1288581</v>
      </c>
      <c r="Z7614">
        <v>-5.4223989999999996E-3</v>
      </c>
      <c r="AA7614">
        <v>0.99164819999999998</v>
      </c>
      <c r="AB7614">
        <v>23</v>
      </c>
      <c r="AC7614">
        <v>19.216399999999901</v>
      </c>
      <c r="AD7614">
        <v>-1.1713549999999999</v>
      </c>
      <c r="AE7614">
        <v>-2.2346300000000001</v>
      </c>
      <c r="AF7614">
        <v>2.5032418515700501</v>
      </c>
      <c r="AG7614">
        <v>-1.1713549999999999</v>
      </c>
      <c r="AH7614">
        <v>19.111992366810799</v>
      </c>
      <c r="AI7614">
        <v>93.477585764256503</v>
      </c>
      <c r="AJ7614">
        <v>82.538016359170697</v>
      </c>
      <c r="AK7614">
        <v>19.310788293917799</v>
      </c>
      <c r="AL7614">
        <v>90.058533263539402</v>
      </c>
      <c r="AM7614">
        <v>89.715994913553104</v>
      </c>
      <c r="AN7614">
        <v>1.00000000685123</v>
      </c>
    </row>
    <row r="7615" spans="1:40" x14ac:dyDescent="0.25">
      <c r="A7615" t="str">
        <f>"20190303153956226"</f>
        <v>20190303153956226</v>
      </c>
      <c r="B7615" t="str">
        <f>"1551598796215897"</f>
        <v>1551598796215897</v>
      </c>
      <c r="C7615" t="s">
        <v>40</v>
      </c>
      <c r="D7615">
        <v>4.3836209999999998</v>
      </c>
      <c r="E7615">
        <v>0.5467651</v>
      </c>
      <c r="F7615" t="s">
        <v>43</v>
      </c>
      <c r="G7615">
        <v>-317.84750000000003</v>
      </c>
      <c r="H7615">
        <v>-0.05</v>
      </c>
      <c r="I7615">
        <v>15.34393</v>
      </c>
      <c r="J7615">
        <v>-337.14109999999999</v>
      </c>
      <c r="K7615">
        <v>1.121351</v>
      </c>
      <c r="L7615">
        <v>17.587070000000001</v>
      </c>
      <c r="M7615">
        <v>0.99980919999999895</v>
      </c>
      <c r="N7615">
        <v>-1.308164E-2</v>
      </c>
      <c r="O7615">
        <v>1.451118E-2</v>
      </c>
      <c r="P7615">
        <v>0.99985369999999996</v>
      </c>
      <c r="Q7615">
        <v>-1.4432769999999999E-2</v>
      </c>
      <c r="R7615">
        <v>9.186652E-3</v>
      </c>
      <c r="S7615">
        <v>3.00116</v>
      </c>
      <c r="T7615">
        <v>-0.1810271</v>
      </c>
      <c r="U7615">
        <v>-0.34637449999999997</v>
      </c>
      <c r="V7615">
        <v>5.3247719999999898E-3</v>
      </c>
      <c r="W7615">
        <v>-1.3509380000000001E-3</v>
      </c>
      <c r="X7615">
        <v>0.99998489999999995</v>
      </c>
      <c r="Y7615">
        <v>0.1287594</v>
      </c>
      <c r="Z7615">
        <v>-5.3956669999999998E-3</v>
      </c>
      <c r="AA7615">
        <v>0.99166120000000002</v>
      </c>
      <c r="AB7615">
        <v>23</v>
      </c>
      <c r="AC7615">
        <v>19.293599999999898</v>
      </c>
      <c r="AD7615">
        <v>-1.171351</v>
      </c>
      <c r="AE7615">
        <v>-2.2431399999999999</v>
      </c>
      <c r="AF7615">
        <v>2.5137586401011198</v>
      </c>
      <c r="AG7615">
        <v>-1.171351</v>
      </c>
      <c r="AH7615">
        <v>19.189227878793801</v>
      </c>
      <c r="AI7615">
        <v>93.4636017411122</v>
      </c>
      <c r="AJ7615">
        <v>82.536840204593602</v>
      </c>
      <c r="AK7615">
        <v>19.388592322552999</v>
      </c>
      <c r="AL7615">
        <v>90.077403070161395</v>
      </c>
      <c r="AM7615">
        <v>89.694911314126301</v>
      </c>
      <c r="AN7615">
        <v>0.99999998922916999</v>
      </c>
    </row>
    <row r="7616" spans="1:40" x14ac:dyDescent="0.25">
      <c r="A7616" t="str">
        <f>"20190303153956237"</f>
        <v>20190303153956237</v>
      </c>
      <c r="B7616" t="str">
        <f>"1551598796225656"</f>
        <v>1551598796225656</v>
      </c>
      <c r="C7616" t="s">
        <v>40</v>
      </c>
      <c r="D7616">
        <v>4.4096820000000001</v>
      </c>
      <c r="E7616">
        <v>0.54668300000000003</v>
      </c>
      <c r="F7616" t="s">
        <v>43</v>
      </c>
      <c r="G7616">
        <v>-317.74380000000002</v>
      </c>
      <c r="H7616">
        <v>-0.05</v>
      </c>
      <c r="I7616">
        <v>15.344889999999999</v>
      </c>
      <c r="J7616">
        <v>-337.03210000000001</v>
      </c>
      <c r="K7616">
        <v>1.1213500000000001</v>
      </c>
      <c r="L7616">
        <v>17.58868</v>
      </c>
      <c r="M7616">
        <v>0.9998089</v>
      </c>
      <c r="N7616">
        <v>-1.305485E-2</v>
      </c>
      <c r="O7616">
        <v>1.454866E-2</v>
      </c>
      <c r="P7616">
        <v>0.99985239999999997</v>
      </c>
      <c r="Q7616">
        <v>-1.4685459999999999E-2</v>
      </c>
      <c r="R7616">
        <v>8.9221119999999994E-3</v>
      </c>
      <c r="S7616">
        <v>3.001007</v>
      </c>
      <c r="T7616">
        <v>-0.1812233</v>
      </c>
      <c r="U7616">
        <v>-0.34689330000000002</v>
      </c>
      <c r="V7616">
        <v>5.6266279999999998E-3</v>
      </c>
      <c r="W7616">
        <v>-1.6304449999999999E-3</v>
      </c>
      <c r="X7616">
        <v>0.99998279999999995</v>
      </c>
      <c r="Y7616">
        <v>0.12897049999999999</v>
      </c>
      <c r="Z7616">
        <v>-5.4091520000000004E-3</v>
      </c>
      <c r="AA7616">
        <v>0.99163369999999995</v>
      </c>
      <c r="AB7616">
        <v>23</v>
      </c>
      <c r="AC7616">
        <v>19.2882999999999</v>
      </c>
      <c r="AD7616">
        <v>-1.1713499999999999</v>
      </c>
      <c r="AE7616">
        <v>-2.2437900000000002</v>
      </c>
      <c r="AF7616">
        <v>2.5150438046552299</v>
      </c>
      <c r="AG7616">
        <v>-1.1713499999999999</v>
      </c>
      <c r="AH7616">
        <v>19.1838069407458</v>
      </c>
      <c r="AI7616">
        <v>93.464528834293802</v>
      </c>
      <c r="AJ7616">
        <v>82.530981515411796</v>
      </c>
      <c r="AK7616">
        <v>19.383393792152098</v>
      </c>
      <c r="AL7616">
        <v>90.093417662467004</v>
      </c>
      <c r="AM7616">
        <v>89.677615819845798</v>
      </c>
      <c r="AN7616">
        <v>0.99999995879469294</v>
      </c>
    </row>
    <row r="7617" spans="1:40" x14ac:dyDescent="0.25">
      <c r="A7617" t="str">
        <f>"20190303153956248"</f>
        <v>20190303153956248</v>
      </c>
      <c r="B7617" t="str">
        <f>"1551598796235417"</f>
        <v>1551598796235417</v>
      </c>
      <c r="C7617" t="s">
        <v>40</v>
      </c>
      <c r="D7617">
        <v>4.3820259999999998</v>
      </c>
      <c r="E7617">
        <v>0.54658430000000002</v>
      </c>
      <c r="F7617" t="s">
        <v>43</v>
      </c>
      <c r="G7617">
        <v>-317.62130000000002</v>
      </c>
      <c r="H7617">
        <v>-0.05</v>
      </c>
      <c r="I7617">
        <v>15.3443</v>
      </c>
      <c r="J7617">
        <v>-336.91800000000001</v>
      </c>
      <c r="K7617">
        <v>1.121351</v>
      </c>
      <c r="L7617">
        <v>17.590389999999999</v>
      </c>
      <c r="M7617">
        <v>0.99980869999999999</v>
      </c>
      <c r="N7617">
        <v>-1.3027540000000001E-2</v>
      </c>
      <c r="O7617">
        <v>1.458745E-2</v>
      </c>
      <c r="P7617">
        <v>0.99985389999999996</v>
      </c>
      <c r="Q7617">
        <v>-1.4741560000000001E-2</v>
      </c>
      <c r="R7617">
        <v>8.6676340000000004E-3</v>
      </c>
      <c r="S7617">
        <v>3.0009160000000001</v>
      </c>
      <c r="T7617">
        <v>-0.18109149999999999</v>
      </c>
      <c r="U7617">
        <v>-0.34698489999999999</v>
      </c>
      <c r="V7617">
        <v>5.9198790000000003E-3</v>
      </c>
      <c r="W7617">
        <v>-1.713862E-3</v>
      </c>
      <c r="X7617">
        <v>0.99998100000000001</v>
      </c>
      <c r="Y7617">
        <v>0.1290425</v>
      </c>
      <c r="Z7617">
        <v>-5.4089300000000002E-3</v>
      </c>
      <c r="AA7617">
        <v>0.99162430000000001</v>
      </c>
      <c r="AB7617">
        <v>23</v>
      </c>
      <c r="AC7617">
        <v>19.296699999999898</v>
      </c>
      <c r="AD7617">
        <v>-1.171351</v>
      </c>
      <c r="AE7617">
        <v>-2.2460900000000001</v>
      </c>
      <c r="AF7617">
        <v>2.5182095758162499</v>
      </c>
      <c r="AG7617">
        <v>-1.171351</v>
      </c>
      <c r="AH7617">
        <v>19.192106126117299</v>
      </c>
      <c r="AI7617">
        <v>93.462989052484204</v>
      </c>
      <c r="AJ7617">
        <v>82.524883599781603</v>
      </c>
      <c r="AK7617">
        <v>19.392018466087599</v>
      </c>
      <c r="AL7617">
        <v>90.098197108192394</v>
      </c>
      <c r="AM7617">
        <v>89.6608134358261</v>
      </c>
      <c r="AN7617">
        <v>0.99999999132566397</v>
      </c>
    </row>
    <row r="7618" spans="1:40" x14ac:dyDescent="0.25">
      <c r="A7618" t="str">
        <f>"20190303153956259"</f>
        <v>20190303153956259</v>
      </c>
      <c r="B7618" t="str">
        <f>"1551598796255912"</f>
        <v>1551598796255912</v>
      </c>
      <c r="C7618" t="s">
        <v>40</v>
      </c>
      <c r="D7618">
        <v>4.3782870000000003</v>
      </c>
      <c r="E7618">
        <v>0.54637500000000006</v>
      </c>
      <c r="F7618" t="s">
        <v>43</v>
      </c>
      <c r="G7618">
        <v>-317.42759999999998</v>
      </c>
      <c r="H7618">
        <v>-0.05</v>
      </c>
      <c r="I7618">
        <v>15.336499999999999</v>
      </c>
      <c r="J7618">
        <v>-336.80930000000001</v>
      </c>
      <c r="K7618">
        <v>1.121348</v>
      </c>
      <c r="L7618">
        <v>17.592040000000001</v>
      </c>
      <c r="M7618">
        <v>0.99980869999999999</v>
      </c>
      <c r="N7618">
        <v>-1.300395E-2</v>
      </c>
      <c r="O7618">
        <v>1.462426E-2</v>
      </c>
      <c r="P7618">
        <v>0.9998553</v>
      </c>
      <c r="Q7618">
        <v>-1.479197E-2</v>
      </c>
      <c r="R7618">
        <v>8.4141300000000006E-3</v>
      </c>
      <c r="S7618">
        <v>3.0007929999999998</v>
      </c>
      <c r="T7618">
        <v>-0.1803439</v>
      </c>
      <c r="U7618">
        <v>-0.34701539999999997</v>
      </c>
      <c r="V7618">
        <v>6.2102109999999898E-3</v>
      </c>
      <c r="W7618">
        <v>-1.78787E-3</v>
      </c>
      <c r="X7618">
        <v>0.99997910000000001</v>
      </c>
      <c r="Y7618">
        <v>0.12909569999999901</v>
      </c>
      <c r="Z7618">
        <v>-5.3919989999999998E-3</v>
      </c>
      <c r="AA7618">
        <v>0.99161750000000004</v>
      </c>
      <c r="AB7618">
        <v>23</v>
      </c>
      <c r="AC7618">
        <v>19.381699999999999</v>
      </c>
      <c r="AD7618">
        <v>-1.1713480000000001</v>
      </c>
      <c r="AE7618">
        <v>-2.2555399999999999</v>
      </c>
      <c r="AF7618">
        <v>2.52964964022904</v>
      </c>
      <c r="AG7618">
        <v>-1.1713480000000001</v>
      </c>
      <c r="AH7618">
        <v>19.277169875166798</v>
      </c>
      <c r="AI7618">
        <v>93.447729749158896</v>
      </c>
      <c r="AJ7618">
        <v>82.524069001068398</v>
      </c>
      <c r="AK7618">
        <v>19.477691388751701</v>
      </c>
      <c r="AL7618">
        <v>90.102437461753695</v>
      </c>
      <c r="AM7618">
        <v>89.644178257481002</v>
      </c>
      <c r="AN7618">
        <v>0.99999998181830496</v>
      </c>
    </row>
    <row r="7619" spans="1:40" x14ac:dyDescent="0.25">
      <c r="A7619" t="str">
        <f>"20190303153956270"</f>
        <v>20190303153956270</v>
      </c>
      <c r="B7619" t="str">
        <f>"1551598796265672"</f>
        <v>1551598796265672</v>
      </c>
      <c r="C7619" t="s">
        <v>40</v>
      </c>
      <c r="D7619">
        <v>4.3917979999999996</v>
      </c>
      <c r="E7619">
        <v>0.54628679999999996</v>
      </c>
      <c r="F7619" t="s">
        <v>43</v>
      </c>
      <c r="G7619">
        <v>-317.23239999999998</v>
      </c>
      <c r="H7619">
        <v>-0.05</v>
      </c>
      <c r="I7619">
        <v>15.33347</v>
      </c>
      <c r="J7619">
        <v>-336.68509999999998</v>
      </c>
      <c r="K7619">
        <v>1.1213470000000001</v>
      </c>
      <c r="L7619">
        <v>17.593900000000001</v>
      </c>
      <c r="M7619">
        <v>0.99980829999999998</v>
      </c>
      <c r="N7619">
        <v>-1.2977600000000001E-2</v>
      </c>
      <c r="O7619">
        <v>1.466663E-2</v>
      </c>
      <c r="P7619">
        <v>0.9998553</v>
      </c>
      <c r="Q7619">
        <v>-1.4775079999999999E-2</v>
      </c>
      <c r="R7619">
        <v>8.4215909999999904E-3</v>
      </c>
      <c r="S7619">
        <v>3.0007320000000002</v>
      </c>
      <c r="T7619">
        <v>-0.17954300000000001</v>
      </c>
      <c r="U7619">
        <v>-0.34619139999999998</v>
      </c>
      <c r="V7619">
        <v>6.245301E-3</v>
      </c>
      <c r="W7619">
        <v>-1.7973259999999999E-3</v>
      </c>
      <c r="X7619">
        <v>0.9999789</v>
      </c>
      <c r="Y7619">
        <v>0.1288743</v>
      </c>
      <c r="Z7619">
        <v>-5.3637509999999999E-3</v>
      </c>
      <c r="AA7619">
        <v>0.99164640000000004</v>
      </c>
      <c r="AB7619">
        <v>23</v>
      </c>
      <c r="AC7619">
        <v>19.4527</v>
      </c>
      <c r="AD7619">
        <v>-1.1713469999999999</v>
      </c>
      <c r="AE7619">
        <v>-2.2604299999999902</v>
      </c>
      <c r="AF7619">
        <v>2.5364421201762899</v>
      </c>
      <c r="AG7619">
        <v>-1.1713469999999999</v>
      </c>
      <c r="AH7619">
        <v>19.348232237704</v>
      </c>
      <c r="AI7619">
        <v>93.435152189279805</v>
      </c>
      <c r="AJ7619">
        <v>82.531442196611195</v>
      </c>
      <c r="AK7619">
        <v>19.548904909164101</v>
      </c>
      <c r="AL7619">
        <v>90.102979247870707</v>
      </c>
      <c r="AM7619">
        <v>89.642167712970803</v>
      </c>
      <c r="AN7619">
        <v>1.0000000173052701</v>
      </c>
    </row>
    <row r="7620" spans="1:40" x14ac:dyDescent="0.25">
      <c r="A7620" t="str">
        <f>"20190303153956283"</f>
        <v>20190303153956283</v>
      </c>
      <c r="B7620" t="str">
        <f>"1551598796275433"</f>
        <v>1551598796275433</v>
      </c>
      <c r="C7620" t="s">
        <v>40</v>
      </c>
      <c r="D7620">
        <v>4.4032070000000001</v>
      </c>
      <c r="E7620">
        <v>0.54624499999999998</v>
      </c>
      <c r="F7620" t="s">
        <v>43</v>
      </c>
      <c r="G7620">
        <v>-317.0795</v>
      </c>
      <c r="H7620">
        <v>-0.05</v>
      </c>
      <c r="I7620">
        <v>15.336589999999999</v>
      </c>
      <c r="J7620">
        <v>-336.55700000000002</v>
      </c>
      <c r="K7620">
        <v>1.12134</v>
      </c>
      <c r="L7620">
        <v>17.595829999999999</v>
      </c>
      <c r="M7620">
        <v>0.99980800000000003</v>
      </c>
      <c r="N7620">
        <v>-1.295292E-2</v>
      </c>
      <c r="O7620">
        <v>1.4711119999999999E-2</v>
      </c>
      <c r="P7620">
        <v>0.99985930000000001</v>
      </c>
      <c r="Q7620">
        <v>-1.46293E-2</v>
      </c>
      <c r="R7620">
        <v>8.2252909999999992E-3</v>
      </c>
      <c r="S7620">
        <v>3.000702</v>
      </c>
      <c r="T7620">
        <v>-0.17927889999999999</v>
      </c>
      <c r="U7620">
        <v>-0.3454895</v>
      </c>
      <c r="V7620">
        <v>6.4860019999999899E-3</v>
      </c>
      <c r="W7620">
        <v>-1.6762210000000001E-3</v>
      </c>
      <c r="X7620">
        <v>0.99997760000000002</v>
      </c>
      <c r="Y7620">
        <v>0.1286918</v>
      </c>
      <c r="Z7620">
        <v>-5.3511449999999999E-3</v>
      </c>
      <c r="AA7620">
        <v>0.99167019999999995</v>
      </c>
      <c r="AB7620">
        <v>23</v>
      </c>
      <c r="AC7620">
        <v>19.4774999999999</v>
      </c>
      <c r="AD7620">
        <v>-1.17134</v>
      </c>
      <c r="AE7620">
        <v>-2.2592400000000001</v>
      </c>
      <c r="AF7620">
        <v>2.5365036085056998</v>
      </c>
      <c r="AG7620">
        <v>-1.17134</v>
      </c>
      <c r="AH7620">
        <v>19.373019005168601</v>
      </c>
      <c r="AI7620">
        <v>93.4308196835225</v>
      </c>
      <c r="AJ7620">
        <v>82.540711368908006</v>
      </c>
      <c r="AK7620">
        <v>19.573445106219399</v>
      </c>
      <c r="AL7620">
        <v>90.096040430038897</v>
      </c>
      <c r="AM7620">
        <v>89.628376346357101</v>
      </c>
      <c r="AN7620">
        <v>1.0000000392202699</v>
      </c>
    </row>
    <row r="7621" spans="1:40" x14ac:dyDescent="0.25">
      <c r="A7621" t="str">
        <f>"20190303153956293"</f>
        <v>20190303153956293</v>
      </c>
      <c r="B7621" t="str">
        <f>"1551598796286169"</f>
        <v>1551598796286169</v>
      </c>
      <c r="C7621" t="s">
        <v>40</v>
      </c>
      <c r="D7621">
        <v>4.3758559999999997</v>
      </c>
      <c r="E7621">
        <v>0.54614960000000001</v>
      </c>
      <c r="F7621" t="s">
        <v>43</v>
      </c>
      <c r="G7621">
        <v>-316.86270000000002</v>
      </c>
      <c r="H7621">
        <v>-0.05</v>
      </c>
      <c r="I7621">
        <v>15.32686</v>
      </c>
      <c r="J7621">
        <v>-336.44529999999997</v>
      </c>
      <c r="K7621">
        <v>1.12134</v>
      </c>
      <c r="L7621">
        <v>17.597529999999999</v>
      </c>
      <c r="M7621">
        <v>0.99980769999999997</v>
      </c>
      <c r="N7621">
        <v>-1.293247E-2</v>
      </c>
      <c r="O7621">
        <v>1.475023E-2</v>
      </c>
      <c r="P7621">
        <v>0.99985670000000004</v>
      </c>
      <c r="Q7621">
        <v>-1.484618E-2</v>
      </c>
      <c r="R7621">
        <v>8.1630250000000008E-3</v>
      </c>
      <c r="S7621">
        <v>3.0006409999999999</v>
      </c>
      <c r="T7621">
        <v>-0.17846679999999901</v>
      </c>
      <c r="U7621">
        <v>-0.34570309999999999</v>
      </c>
      <c r="V7621">
        <v>6.5873859999999998E-3</v>
      </c>
      <c r="W7621">
        <v>-1.913589E-3</v>
      </c>
      <c r="X7621">
        <v>0.99997650000000005</v>
      </c>
      <c r="Y7621">
        <v>0.1288048</v>
      </c>
      <c r="Z7621">
        <v>-5.3348190000000002E-3</v>
      </c>
      <c r="AA7621">
        <v>0.99165559999999997</v>
      </c>
      <c r="AB7621">
        <v>23</v>
      </c>
      <c r="AC7621">
        <v>19.5825999999999</v>
      </c>
      <c r="AD7621">
        <v>-1.17134</v>
      </c>
      <c r="AE7621">
        <v>-2.2706699999999902</v>
      </c>
      <c r="AF7621">
        <v>2.5502913357417798</v>
      </c>
      <c r="AG7621">
        <v>-1.17134</v>
      </c>
      <c r="AH7621">
        <v>19.4782075093127</v>
      </c>
      <c r="AI7621">
        <v>93.4123357194362</v>
      </c>
      <c r="AJ7621">
        <v>82.540666752622002</v>
      </c>
      <c r="AK7621">
        <v>19.679344274355401</v>
      </c>
      <c r="AL7621">
        <v>90.109640637265201</v>
      </c>
      <c r="AM7621">
        <v>89.622567173966601</v>
      </c>
      <c r="AN7621">
        <v>1.0000000280147101</v>
      </c>
    </row>
    <row r="7622" spans="1:40" x14ac:dyDescent="0.25">
      <c r="A7622" t="str">
        <f>"20190303153956306"</f>
        <v>20190303153956306</v>
      </c>
      <c r="B7622" t="str">
        <f>"1551598796295929"</f>
        <v>1551598796295929</v>
      </c>
      <c r="C7622" t="s">
        <v>40</v>
      </c>
      <c r="D7622">
        <v>4.3855629999999897</v>
      </c>
      <c r="E7622">
        <v>0.54607939999999999</v>
      </c>
      <c r="F7622" t="s">
        <v>43</v>
      </c>
      <c r="G7622">
        <v>-316.81760000000003</v>
      </c>
      <c r="H7622">
        <v>-0.05</v>
      </c>
      <c r="I7622">
        <v>15.340179999999901</v>
      </c>
      <c r="J7622">
        <v>-336.31529999999998</v>
      </c>
      <c r="K7622">
        <v>1.1213340000000001</v>
      </c>
      <c r="L7622">
        <v>17.599489999999999</v>
      </c>
      <c r="M7622">
        <v>0.99980729999999995</v>
      </c>
      <c r="N7622">
        <v>-1.2910329999999999E-2</v>
      </c>
      <c r="O7622">
        <v>1.479656E-2</v>
      </c>
      <c r="P7622">
        <v>0.99985900000000005</v>
      </c>
      <c r="Q7622">
        <v>-1.467513E-2</v>
      </c>
      <c r="R7622">
        <v>8.1732269999999999E-3</v>
      </c>
      <c r="S7622">
        <v>3.0005799999999998</v>
      </c>
      <c r="T7622">
        <v>-0.1790687</v>
      </c>
      <c r="U7622">
        <v>-0.34509279999999998</v>
      </c>
      <c r="V7622">
        <v>6.6236300000000001E-3</v>
      </c>
      <c r="W7622">
        <v>-1.7646610000000001E-3</v>
      </c>
      <c r="X7622">
        <v>0.99997650000000005</v>
      </c>
      <c r="Y7622">
        <v>0.1286525</v>
      </c>
      <c r="Z7622">
        <v>-5.3462830000000003E-3</v>
      </c>
      <c r="AA7622">
        <v>0.99167530000000004</v>
      </c>
      <c r="AB7622">
        <v>23</v>
      </c>
      <c r="AC7622">
        <v>19.497699999999899</v>
      </c>
      <c r="AD7622">
        <v>-1.1713340000000001</v>
      </c>
      <c r="AE7622">
        <v>-2.2593100000000002</v>
      </c>
      <c r="AF7622">
        <v>2.5385451302200899</v>
      </c>
      <c r="AG7622">
        <v>-1.1713340000000001</v>
      </c>
      <c r="AH7622">
        <v>19.393068812325701</v>
      </c>
      <c r="AI7622">
        <v>93.427276868972797</v>
      </c>
      <c r="AJ7622">
        <v>82.542406512267107</v>
      </c>
      <c r="AK7622">
        <v>19.593553855217799</v>
      </c>
      <c r="AL7622">
        <v>90.101107680701105</v>
      </c>
      <c r="AM7622">
        <v>89.620490587543699</v>
      </c>
      <c r="AN7622">
        <v>0.99999999352753499</v>
      </c>
    </row>
    <row r="7623" spans="1:40" x14ac:dyDescent="0.25">
      <c r="A7623" t="str">
        <f>"20190303153956319"</f>
        <v>20190303153956319</v>
      </c>
      <c r="B7623" t="str">
        <f>"1551598796316424"</f>
        <v>1551598796316424</v>
      </c>
      <c r="C7623" t="s">
        <v>40</v>
      </c>
      <c r="D7623">
        <v>4.3841409999999996</v>
      </c>
      <c r="E7623">
        <v>0.54593930000000002</v>
      </c>
      <c r="F7623" t="s">
        <v>43</v>
      </c>
      <c r="G7623">
        <v>-316.62240000000003</v>
      </c>
      <c r="H7623">
        <v>-0.05</v>
      </c>
      <c r="I7623">
        <v>15.33844</v>
      </c>
      <c r="J7623">
        <v>-336.18490000000003</v>
      </c>
      <c r="K7623">
        <v>1.121332</v>
      </c>
      <c r="L7623">
        <v>17.601500000000001</v>
      </c>
      <c r="M7623">
        <v>0.9998068</v>
      </c>
      <c r="N7623">
        <v>-1.2889899999999999E-2</v>
      </c>
      <c r="O7623">
        <v>1.4843179999999999E-2</v>
      </c>
      <c r="P7623">
        <v>0.99985460000000004</v>
      </c>
      <c r="Q7623">
        <v>-1.4856400000000001E-2</v>
      </c>
      <c r="R7623">
        <v>8.3820049999999997E-3</v>
      </c>
      <c r="S7623">
        <v>3.0005799999999998</v>
      </c>
      <c r="T7623">
        <v>-0.17847489999999999</v>
      </c>
      <c r="U7623">
        <v>-0.34451290000000001</v>
      </c>
      <c r="V7623">
        <v>6.4613400000000003E-3</v>
      </c>
      <c r="W7623">
        <v>-1.9663829999999999E-3</v>
      </c>
      <c r="X7623">
        <v>0.99997720000000001</v>
      </c>
      <c r="Y7623">
        <v>0.12851170000000001</v>
      </c>
      <c r="Z7623">
        <v>-5.3268150000000004E-3</v>
      </c>
      <c r="AA7623">
        <v>0.99169370000000001</v>
      </c>
      <c r="AB7623">
        <v>23</v>
      </c>
      <c r="AC7623">
        <v>19.5625</v>
      </c>
      <c r="AD7623">
        <v>-1.171332</v>
      </c>
      <c r="AE7623">
        <v>-2.2630599999999998</v>
      </c>
      <c r="AF7623">
        <v>2.54420348747884</v>
      </c>
      <c r="AG7623">
        <v>-1.171332</v>
      </c>
      <c r="AH7623">
        <v>19.457911801291601</v>
      </c>
      <c r="AI7623">
        <v>93.415940570144301</v>
      </c>
      <c r="AJ7623">
        <v>82.550598243137102</v>
      </c>
      <c r="AK7623">
        <v>19.658466921577698</v>
      </c>
      <c r="AL7623">
        <v>90.112665518506105</v>
      </c>
      <c r="AM7623">
        <v>89.629789199221094</v>
      </c>
      <c r="AN7623">
        <v>1.0000000080482601</v>
      </c>
    </row>
    <row r="7624" spans="1:40" x14ac:dyDescent="0.25">
      <c r="A7624" t="str">
        <f>"20190303153956333"</f>
        <v>20190303153956333</v>
      </c>
      <c r="B7624" t="str">
        <f>"1551598796326184"</f>
        <v>1551598796326184</v>
      </c>
      <c r="C7624" t="s">
        <v>40</v>
      </c>
      <c r="D7624">
        <v>4.3913960000000003</v>
      </c>
      <c r="E7624">
        <v>0.54593930000000002</v>
      </c>
      <c r="F7624" t="s">
        <v>43</v>
      </c>
      <c r="G7624">
        <v>-316.51240000000001</v>
      </c>
      <c r="H7624">
        <v>-0.05</v>
      </c>
      <c r="I7624">
        <v>15.35446</v>
      </c>
      <c r="J7624">
        <v>-336.04340000000002</v>
      </c>
      <c r="K7624">
        <v>1.1213299999999999</v>
      </c>
      <c r="L7624">
        <v>17.603639999999999</v>
      </c>
      <c r="M7624">
        <v>0.99980630000000004</v>
      </c>
      <c r="N7624">
        <v>-1.286811E-2</v>
      </c>
      <c r="O7624">
        <v>1.489321E-2</v>
      </c>
      <c r="P7624">
        <v>0.99985619999999997</v>
      </c>
      <c r="Q7624">
        <v>-1.472855E-2</v>
      </c>
      <c r="R7624">
        <v>8.4108869999999902E-3</v>
      </c>
      <c r="S7624">
        <v>3.0006710000000001</v>
      </c>
      <c r="T7624">
        <v>-0.178665299999999</v>
      </c>
      <c r="U7624">
        <v>-0.34274290000000002</v>
      </c>
      <c r="V7624">
        <v>6.4825809999999899E-3</v>
      </c>
      <c r="W7624">
        <v>-1.860317E-3</v>
      </c>
      <c r="X7624">
        <v>0.99997720000000001</v>
      </c>
      <c r="Y7624">
        <v>0.12798099999999901</v>
      </c>
      <c r="Z7624">
        <v>-5.3138650000000001E-3</v>
      </c>
      <c r="AA7624">
        <v>0.99176240000000004</v>
      </c>
      <c r="AB7624">
        <v>23</v>
      </c>
      <c r="AC7624">
        <v>19.530999999999999</v>
      </c>
      <c r="AD7624">
        <v>-1.17133</v>
      </c>
      <c r="AE7624">
        <v>-2.2491799999999902</v>
      </c>
      <c r="AF7624">
        <v>2.5308501856629899</v>
      </c>
      <c r="AG7624">
        <v>-1.17133</v>
      </c>
      <c r="AH7624">
        <v>19.426375956845401</v>
      </c>
      <c r="AI7624">
        <v>93.421674978497705</v>
      </c>
      <c r="AJ7624">
        <v>82.577364653542105</v>
      </c>
      <c r="AK7624">
        <v>19.625526730456802</v>
      </c>
      <c r="AL7624">
        <v>90.106588380256795</v>
      </c>
      <c r="AM7624">
        <v>89.628572202797599</v>
      </c>
      <c r="AN7624">
        <v>0.99999994257779901</v>
      </c>
    </row>
    <row r="7625" spans="1:40" x14ac:dyDescent="0.25">
      <c r="A7625" t="str">
        <f>"20190303153956346"</f>
        <v>20190303153956346</v>
      </c>
      <c r="B7625" t="str">
        <f>"1551598796335945"</f>
        <v>1551598796335945</v>
      </c>
      <c r="C7625" t="s">
        <v>40</v>
      </c>
      <c r="D7625">
        <v>4.3194460000000001</v>
      </c>
      <c r="E7625">
        <v>0.53982730000000001</v>
      </c>
      <c r="F7625" t="s">
        <v>43</v>
      </c>
      <c r="G7625">
        <v>-316.32130000000001</v>
      </c>
      <c r="H7625">
        <v>-0.05</v>
      </c>
      <c r="I7625">
        <v>15.35117</v>
      </c>
      <c r="J7625">
        <v>-335.89980000000003</v>
      </c>
      <c r="K7625">
        <v>1.121329</v>
      </c>
      <c r="L7625">
        <v>17.605869999999999</v>
      </c>
      <c r="M7625">
        <v>0.99980590000000003</v>
      </c>
      <c r="N7625">
        <v>-1.28454E-2</v>
      </c>
      <c r="O7625">
        <v>1.494318E-2</v>
      </c>
      <c r="P7625">
        <v>0.99985100000000005</v>
      </c>
      <c r="Q7625">
        <v>-1.501079E-2</v>
      </c>
      <c r="R7625">
        <v>8.5358450000000002E-3</v>
      </c>
      <c r="S7625">
        <v>3.000702</v>
      </c>
      <c r="T7625">
        <v>-0.17821679999999901</v>
      </c>
      <c r="U7625">
        <v>-0.34271239999999997</v>
      </c>
      <c r="V7625">
        <v>6.4073730000000001E-3</v>
      </c>
      <c r="W7625">
        <v>-2.165302E-3</v>
      </c>
      <c r="X7625">
        <v>0.99997709999999995</v>
      </c>
      <c r="Y7625">
        <v>0.12802079999999999</v>
      </c>
      <c r="Z7625">
        <v>-5.3047199999999997E-3</v>
      </c>
      <c r="AA7625">
        <v>0.99175729999999995</v>
      </c>
      <c r="AB7625">
        <v>23</v>
      </c>
      <c r="AC7625">
        <v>19.578499999999998</v>
      </c>
      <c r="AD7625">
        <v>-1.1713290000000001</v>
      </c>
      <c r="AE7625">
        <v>-2.2546999999999899</v>
      </c>
      <c r="AF7625">
        <v>2.5380717447001602</v>
      </c>
      <c r="AG7625">
        <v>-1.1713290000000001</v>
      </c>
      <c r="AH7625">
        <v>19.473827935175301</v>
      </c>
      <c r="AI7625">
        <v>93.4133309036268</v>
      </c>
      <c r="AJ7625">
        <v>82.574357134425298</v>
      </c>
      <c r="AK7625">
        <v>19.673428634996501</v>
      </c>
      <c r="AL7625">
        <v>90.124062766422398</v>
      </c>
      <c r="AM7625">
        <v>89.632881186324198</v>
      </c>
      <c r="AN7625">
        <v>0.99999997174295996</v>
      </c>
    </row>
    <row r="7626" spans="1:40" x14ac:dyDescent="0.25">
      <c r="A7626" t="str">
        <f>"20190303153956359"</f>
        <v>20190303153956359</v>
      </c>
      <c r="B7626" t="str">
        <f>"1551598796355465"</f>
        <v>1551598796355465</v>
      </c>
      <c r="C7626" t="s">
        <v>40</v>
      </c>
      <c r="D7626">
        <v>4.352112</v>
      </c>
      <c r="E7626">
        <v>0.52348890000000003</v>
      </c>
      <c r="F7626" t="s">
        <v>81</v>
      </c>
      <c r="G7626">
        <v>-279.68</v>
      </c>
      <c r="H7626">
        <v>-2.298617E-2</v>
      </c>
      <c r="I7626">
        <v>12.13311</v>
      </c>
      <c r="J7626">
        <v>-335.7679</v>
      </c>
      <c r="K7626">
        <v>1.121329</v>
      </c>
      <c r="L7626">
        <v>17.607879999999899</v>
      </c>
      <c r="M7626">
        <v>0.99980559999999996</v>
      </c>
      <c r="N7626">
        <v>-1.28215E-2</v>
      </c>
      <c r="O7626">
        <v>1.4984839999999999E-2</v>
      </c>
      <c r="P7626">
        <v>0.99985550000000001</v>
      </c>
      <c r="Q7626">
        <v>-1.471888E-2</v>
      </c>
      <c r="R7626">
        <v>8.5150219999999902E-3</v>
      </c>
      <c r="S7626">
        <v>3.0020449999999999</v>
      </c>
      <c r="T7626">
        <v>-6.1105130000000001E-2</v>
      </c>
      <c r="U7626">
        <v>-0.2922363</v>
      </c>
      <c r="V7626">
        <v>6.4700979999999996E-3</v>
      </c>
      <c r="W7626">
        <v>-1.89723E-3</v>
      </c>
      <c r="X7626">
        <v>0.99997729999999996</v>
      </c>
      <c r="Y7626">
        <v>0.11175450000000001</v>
      </c>
      <c r="Z7626">
        <v>-1.9654849999999999E-3</v>
      </c>
      <c r="AA7626">
        <v>0.99373389999999995</v>
      </c>
      <c r="AB7626">
        <v>23</v>
      </c>
      <c r="AC7626">
        <v>56.087899999999898</v>
      </c>
      <c r="AD7626">
        <v>-1.14431517</v>
      </c>
      <c r="AE7626">
        <v>-5.4747699999999897</v>
      </c>
      <c r="AF7626">
        <v>6.3120898202287901</v>
      </c>
      <c r="AG7626">
        <v>-1.14431517</v>
      </c>
      <c r="AH7626">
        <v>55.9764759475337</v>
      </c>
      <c r="AI7626">
        <v>91.1637488541854</v>
      </c>
      <c r="AJ7626">
        <v>83.566318627697896</v>
      </c>
      <c r="AK7626">
        <v>56.342859304544902</v>
      </c>
      <c r="AL7626">
        <v>90.108703333599493</v>
      </c>
      <c r="AM7626">
        <v>89.629287449392393</v>
      </c>
      <c r="AN7626">
        <v>1.0000000310825401</v>
      </c>
    </row>
    <row r="7627" spans="1:40" x14ac:dyDescent="0.25">
      <c r="A7627" t="str">
        <f>"20190303153956372"</f>
        <v>20190303153956372</v>
      </c>
      <c r="B7627" t="str">
        <f>"1551598796366201"</f>
        <v>1551598796366201</v>
      </c>
      <c r="C7627" t="s">
        <v>40</v>
      </c>
      <c r="D7627">
        <v>4.3653719999999998</v>
      </c>
      <c r="E7627">
        <v>0.52378080000000005</v>
      </c>
      <c r="F7627" t="s">
        <v>43</v>
      </c>
      <c r="G7627">
        <v>-294.09089999999998</v>
      </c>
      <c r="H7627">
        <v>-0.05</v>
      </c>
      <c r="I7627">
        <v>15.354139999999999</v>
      </c>
      <c r="J7627">
        <v>-335.64280000000002</v>
      </c>
      <c r="K7627">
        <v>1.121327</v>
      </c>
      <c r="L7627">
        <v>17.6098</v>
      </c>
      <c r="M7627">
        <v>0.99980530000000001</v>
      </c>
      <c r="N7627">
        <v>-1.27957E-2</v>
      </c>
      <c r="O7627">
        <v>1.502388E-2</v>
      </c>
      <c r="P7627">
        <v>0.99986589999999997</v>
      </c>
      <c r="Q7627">
        <v>-1.4161379999999999E-2</v>
      </c>
      <c r="R7627">
        <v>8.232797E-3</v>
      </c>
      <c r="S7627">
        <v>3.00061</v>
      </c>
      <c r="T7627">
        <v>-8.4331989999999996E-2</v>
      </c>
      <c r="U7627">
        <v>-0.16226199999999999</v>
      </c>
      <c r="V7627">
        <v>6.7912519999999898E-3</v>
      </c>
      <c r="W7627">
        <v>-1.365464E-3</v>
      </c>
      <c r="X7627">
        <v>0.99997599999999998</v>
      </c>
      <c r="Y7627">
        <v>6.8953219999999996E-2</v>
      </c>
      <c r="Z7627">
        <v>-1.6394949999999999E-3</v>
      </c>
      <c r="AA7627">
        <v>0.99761860000000002</v>
      </c>
      <c r="AB7627">
        <v>23</v>
      </c>
      <c r="AC7627">
        <v>41.551900000000003</v>
      </c>
      <c r="AD7627">
        <v>-1.171327</v>
      </c>
      <c r="AE7627">
        <v>-2.2556600000000002</v>
      </c>
      <c r="AF7627">
        <v>2.8774473806872098</v>
      </c>
      <c r="AG7627">
        <v>-1.171327</v>
      </c>
      <c r="AH7627">
        <v>41.480452457377602</v>
      </c>
      <c r="AI7627">
        <v>91.613615469089098</v>
      </c>
      <c r="AJ7627">
        <v>86.031819903410096</v>
      </c>
      <c r="AK7627">
        <v>41.596630229362503</v>
      </c>
      <c r="AL7627">
        <v>90.0782353491295</v>
      </c>
      <c r="AM7627">
        <v>89.610886566251494</v>
      </c>
      <c r="AN7627">
        <v>0.99999999308583098</v>
      </c>
    </row>
    <row r="7628" spans="1:40" x14ac:dyDescent="0.25">
      <c r="A7628" t="str">
        <f>"20190303153956382"</f>
        <v>20190303153956382</v>
      </c>
      <c r="B7628" t="str">
        <f>"1551598796375961"</f>
        <v>1551598796375961</v>
      </c>
      <c r="C7628" t="s">
        <v>40</v>
      </c>
      <c r="D7628">
        <v>4.3272529999999998</v>
      </c>
      <c r="E7628">
        <v>0.52373000000000003</v>
      </c>
      <c r="F7628" t="s">
        <v>43</v>
      </c>
      <c r="G7628">
        <v>-293.26949999999999</v>
      </c>
      <c r="H7628">
        <v>-0.05</v>
      </c>
      <c r="I7628">
        <v>15.273529999999999</v>
      </c>
      <c r="J7628">
        <v>-335.52159999999998</v>
      </c>
      <c r="K7628">
        <v>1.121321</v>
      </c>
      <c r="L7628">
        <v>17.611689999999999</v>
      </c>
      <c r="M7628">
        <v>0.99980519999999995</v>
      </c>
      <c r="N7628">
        <v>-1.276042E-2</v>
      </c>
      <c r="O7628">
        <v>1.506335E-2</v>
      </c>
      <c r="P7628">
        <v>0.99987199999999998</v>
      </c>
      <c r="Q7628">
        <v>-1.388641E-2</v>
      </c>
      <c r="R7628">
        <v>7.9630769999999903E-3</v>
      </c>
      <c r="S7628">
        <v>3.0005190000000002</v>
      </c>
      <c r="T7628">
        <v>-8.294356E-2</v>
      </c>
      <c r="U7628">
        <v>-0.16543579999999999</v>
      </c>
      <c r="V7628">
        <v>7.1004689999999999E-3</v>
      </c>
      <c r="W7628">
        <v>-1.1257999999999999E-3</v>
      </c>
      <c r="X7628">
        <v>0.99997409999999998</v>
      </c>
      <c r="Y7628">
        <v>7.0046910000000004E-2</v>
      </c>
      <c r="Z7628">
        <v>-1.6386230000000001E-3</v>
      </c>
      <c r="AA7628">
        <v>0.99754240000000005</v>
      </c>
      <c r="AB7628">
        <v>23</v>
      </c>
      <c r="AC7628">
        <v>42.252099999999899</v>
      </c>
      <c r="AD7628">
        <v>-1.1713209999999901</v>
      </c>
      <c r="AE7628">
        <v>-2.3381599999999998</v>
      </c>
      <c r="AF7628">
        <v>2.9721274450633302</v>
      </c>
      <c r="AG7628">
        <v>-1.1713209999999901</v>
      </c>
      <c r="AH7628">
        <v>42.179764930742103</v>
      </c>
      <c r="AI7628">
        <v>91.586747681371705</v>
      </c>
      <c r="AJ7628">
        <v>85.969409492564694</v>
      </c>
      <c r="AK7628">
        <v>42.300568601939602</v>
      </c>
      <c r="AL7628">
        <v>90.064503605918205</v>
      </c>
      <c r="AM7628">
        <v>89.593169393922395</v>
      </c>
      <c r="AN7628">
        <v>0.99999994237823298</v>
      </c>
    </row>
    <row r="7629" spans="1:40" x14ac:dyDescent="0.25">
      <c r="A7629" t="str">
        <f>"20190303153956393"</f>
        <v>20190303153956393</v>
      </c>
      <c r="B7629" t="str">
        <f>"1551598796385721"</f>
        <v>1551598796385721</v>
      </c>
      <c r="C7629" t="s">
        <v>40</v>
      </c>
      <c r="D7629">
        <v>4.3243080000000003</v>
      </c>
      <c r="E7629">
        <v>0.52358570000000004</v>
      </c>
      <c r="F7629" t="s">
        <v>43</v>
      </c>
      <c r="G7629">
        <v>-294.96960000000001</v>
      </c>
      <c r="H7629">
        <v>-0.05</v>
      </c>
      <c r="I7629">
        <v>15.36964</v>
      </c>
      <c r="J7629">
        <v>-335.41640000000001</v>
      </c>
      <c r="K7629">
        <v>1.121316</v>
      </c>
      <c r="L7629">
        <v>17.613340000000001</v>
      </c>
      <c r="M7629">
        <v>0.99980519999999995</v>
      </c>
      <c r="N7629">
        <v>-1.272497E-2</v>
      </c>
      <c r="O7629">
        <v>1.5097869999999999E-2</v>
      </c>
      <c r="P7629">
        <v>0.99987700000000002</v>
      </c>
      <c r="Q7629">
        <v>-1.3746100000000001E-2</v>
      </c>
      <c r="R7629">
        <v>7.5823180000000002E-3</v>
      </c>
      <c r="S7629">
        <v>3.0005190000000002</v>
      </c>
      <c r="T7629">
        <v>-8.6668250000000002E-2</v>
      </c>
      <c r="U7629">
        <v>-0.1658936</v>
      </c>
      <c r="V7629">
        <v>7.515786E-3</v>
      </c>
      <c r="W7629">
        <v>-1.0209640000000001E-3</v>
      </c>
      <c r="X7629">
        <v>0.99997119999999995</v>
      </c>
      <c r="Y7629">
        <v>7.0229689999999997E-2</v>
      </c>
      <c r="Z7629">
        <v>-1.704374E-3</v>
      </c>
      <c r="AA7629">
        <v>0.99752940000000001</v>
      </c>
      <c r="AB7629">
        <v>23</v>
      </c>
      <c r="AC7629">
        <v>40.446800000000003</v>
      </c>
      <c r="AD7629">
        <v>-1.171316</v>
      </c>
      <c r="AE7629">
        <v>-2.2437</v>
      </c>
      <c r="AF7629">
        <v>2.8517698093372701</v>
      </c>
      <c r="AG7629">
        <v>-1.171316</v>
      </c>
      <c r="AH7629">
        <v>40.374555154797001</v>
      </c>
      <c r="AI7629">
        <v>91.657628141171898</v>
      </c>
      <c r="AJ7629">
        <v>85.959745951730099</v>
      </c>
      <c r="AK7629">
        <v>40.492089056568197</v>
      </c>
      <c r="AL7629">
        <v>90.058496940437806</v>
      </c>
      <c r="AM7629">
        <v>89.569372888810506</v>
      </c>
      <c r="AN7629">
        <v>0.999999965118062</v>
      </c>
    </row>
    <row r="7630" spans="1:40" x14ac:dyDescent="0.25">
      <c r="A7630" t="str">
        <f>"20190303153956405"</f>
        <v>20190303153956405</v>
      </c>
      <c r="B7630" t="str">
        <f>"1551598796395481"</f>
        <v>1551598796395481</v>
      </c>
      <c r="C7630" t="s">
        <v>40</v>
      </c>
      <c r="D7630">
        <v>4.357666</v>
      </c>
      <c r="E7630">
        <v>0.52353879999999997</v>
      </c>
      <c r="F7630" t="s">
        <v>43</v>
      </c>
      <c r="G7630">
        <v>-295.95069999999998</v>
      </c>
      <c r="H7630">
        <v>-0.05</v>
      </c>
      <c r="I7630">
        <v>15.430859999999999</v>
      </c>
      <c r="J7630">
        <v>-335.29719999999998</v>
      </c>
      <c r="K7630">
        <v>1.1213040000000001</v>
      </c>
      <c r="L7630">
        <v>17.615169999999999</v>
      </c>
      <c r="M7630">
        <v>0.99980519999999995</v>
      </c>
      <c r="N7630">
        <v>-1.2676750000000001E-2</v>
      </c>
      <c r="O7630">
        <v>1.5137579999999999E-2</v>
      </c>
      <c r="P7630">
        <v>0.99988809999999995</v>
      </c>
      <c r="Q7630">
        <v>-1.308607E-2</v>
      </c>
      <c r="R7630">
        <v>7.2798559999999899E-3</v>
      </c>
      <c r="S7630">
        <v>3.000397</v>
      </c>
      <c r="T7630">
        <v>-8.9049699999999996E-2</v>
      </c>
      <c r="U7630">
        <v>-0.16592409999999999</v>
      </c>
      <c r="V7630">
        <v>7.8580569999999999E-3</v>
      </c>
      <c r="W7630">
        <v>-4.0917260000000001E-4</v>
      </c>
      <c r="X7630">
        <v>0.99996910000000006</v>
      </c>
      <c r="Y7630">
        <v>7.0279460000000002E-2</v>
      </c>
      <c r="Z7630">
        <v>-1.7450009999999999E-3</v>
      </c>
      <c r="AA7630">
        <v>0.99752580000000002</v>
      </c>
      <c r="AB7630">
        <v>23</v>
      </c>
      <c r="AC7630">
        <v>39.346499999999899</v>
      </c>
      <c r="AD7630">
        <v>-1.1713039999999999</v>
      </c>
      <c r="AE7630">
        <v>-2.18431</v>
      </c>
      <c r="AF7630">
        <v>2.7772646286216598</v>
      </c>
      <c r="AG7630">
        <v>-1.1713039999999999</v>
      </c>
      <c r="AH7630">
        <v>39.274225637658603</v>
      </c>
      <c r="AI7630">
        <v>91.704014957039007</v>
      </c>
      <c r="AJ7630">
        <v>85.955080134897102</v>
      </c>
      <c r="AK7630">
        <v>39.389718852963803</v>
      </c>
      <c r="AL7630">
        <v>90.023443862349893</v>
      </c>
      <c r="AM7630">
        <v>89.549761853762504</v>
      </c>
      <c r="AN7630">
        <v>1.0000000587184099</v>
      </c>
    </row>
    <row r="7631" spans="1:40" x14ac:dyDescent="0.25">
      <c r="A7631" t="str">
        <f>"20190303153956415"</f>
        <v>20190303153956415</v>
      </c>
      <c r="B7631" t="str">
        <f>"1551598796406217"</f>
        <v>1551598796406217</v>
      </c>
      <c r="C7631" t="s">
        <v>40</v>
      </c>
      <c r="D7631">
        <v>4.3628460000000002</v>
      </c>
      <c r="E7631">
        <v>0.5237252</v>
      </c>
      <c r="F7631" t="s">
        <v>43</v>
      </c>
      <c r="G7631">
        <v>-295.25900000000001</v>
      </c>
      <c r="H7631">
        <v>-0.05</v>
      </c>
      <c r="I7631">
        <v>15.394119999999999</v>
      </c>
      <c r="J7631">
        <v>-335.18779999999998</v>
      </c>
      <c r="K7631">
        <v>1.1212879999999901</v>
      </c>
      <c r="L7631">
        <v>17.616849999999999</v>
      </c>
      <c r="M7631">
        <v>0.99980530000000001</v>
      </c>
      <c r="N7631">
        <v>-1.262449E-2</v>
      </c>
      <c r="O7631">
        <v>1.517248E-2</v>
      </c>
      <c r="P7631">
        <v>0.99988650000000001</v>
      </c>
      <c r="Q7631">
        <v>-1.329407E-2</v>
      </c>
      <c r="R7631">
        <v>7.1334129999999999E-3</v>
      </c>
      <c r="S7631">
        <v>3.000397</v>
      </c>
      <c r="T7631">
        <v>-8.7775469999999994E-2</v>
      </c>
      <c r="U7631">
        <v>-0.16644289999999901</v>
      </c>
      <c r="V7631">
        <v>8.0391839999999996E-3</v>
      </c>
      <c r="W7631">
        <v>-6.6952609999999997E-4</v>
      </c>
      <c r="X7631">
        <v>0.99996750000000001</v>
      </c>
      <c r="Y7631">
        <v>7.0487330000000001E-2</v>
      </c>
      <c r="Z7631">
        <v>-1.7275529999999999E-3</v>
      </c>
      <c r="AA7631">
        <v>0.99751120000000004</v>
      </c>
      <c r="AB7631">
        <v>23</v>
      </c>
      <c r="AC7631">
        <v>39.928799999999903</v>
      </c>
      <c r="AD7631">
        <v>-1.1712880000000001</v>
      </c>
      <c r="AE7631">
        <v>-2.2227299999999901</v>
      </c>
      <c r="AF7631">
        <v>2.8259170276305801</v>
      </c>
      <c r="AG7631">
        <v>-1.1712880000000001</v>
      </c>
      <c r="AH7631">
        <v>39.856285408269599</v>
      </c>
      <c r="AI7631">
        <v>91.679098785547794</v>
      </c>
      <c r="AJ7631">
        <v>85.9443633505511</v>
      </c>
      <c r="AK7631">
        <v>39.973506340718203</v>
      </c>
      <c r="AL7631">
        <v>90.038361021177494</v>
      </c>
      <c r="AM7631">
        <v>89.539383639168904</v>
      </c>
      <c r="AN7631">
        <v>1.00000003890041</v>
      </c>
    </row>
    <row r="7632" spans="1:40" x14ac:dyDescent="0.25">
      <c r="A7632" t="str">
        <f>"20190303153956426"</f>
        <v>20190303153956426</v>
      </c>
      <c r="B7632" t="str">
        <f>"1551598796415977"</f>
        <v>1551598796415977</v>
      </c>
      <c r="C7632" t="s">
        <v>40</v>
      </c>
      <c r="D7632">
        <v>4.35053</v>
      </c>
      <c r="E7632">
        <v>0.52377470000000004</v>
      </c>
      <c r="F7632" t="s">
        <v>43</v>
      </c>
      <c r="G7632">
        <v>-295.61579999999998</v>
      </c>
      <c r="H7632">
        <v>-0.05</v>
      </c>
      <c r="I7632">
        <v>15.395829999999901</v>
      </c>
      <c r="J7632">
        <v>-335.06599999999997</v>
      </c>
      <c r="K7632">
        <v>1.121273</v>
      </c>
      <c r="L7632">
        <v>17.618739999999999</v>
      </c>
      <c r="M7632">
        <v>0.99980539999999996</v>
      </c>
      <c r="N7632">
        <v>-1.256003E-2</v>
      </c>
      <c r="O7632">
        <v>1.5210499999999899E-2</v>
      </c>
      <c r="P7632">
        <v>0.99988239999999995</v>
      </c>
      <c r="Q7632">
        <v>-1.3633370000000001E-2</v>
      </c>
      <c r="R7632">
        <v>7.0346519999999997E-3</v>
      </c>
      <c r="S7632">
        <v>3.000305</v>
      </c>
      <c r="T7632">
        <v>-8.8805679999999998E-2</v>
      </c>
      <c r="U7632">
        <v>-0.16839599999999999</v>
      </c>
      <c r="V7632">
        <v>8.176015E-3</v>
      </c>
      <c r="W7632">
        <v>-1.073423E-3</v>
      </c>
      <c r="X7632">
        <v>0.99996600000000002</v>
      </c>
      <c r="Y7632">
        <v>7.1172890000000003E-2</v>
      </c>
      <c r="Z7632">
        <v>-1.758669E-3</v>
      </c>
      <c r="AA7632">
        <v>0.99746250000000003</v>
      </c>
      <c r="AB7632">
        <v>23</v>
      </c>
      <c r="AC7632">
        <v>39.450200000000002</v>
      </c>
      <c r="AD7632">
        <v>-1.171273</v>
      </c>
      <c r="AE7632">
        <v>-2.2229100000000002</v>
      </c>
      <c r="AF7632">
        <v>2.8202792348482801</v>
      </c>
      <c r="AG7632">
        <v>-1.171273</v>
      </c>
      <c r="AH7632">
        <v>39.3772203850205</v>
      </c>
      <c r="AI7632">
        <v>91.699406479313296</v>
      </c>
      <c r="AJ7632">
        <v>85.9033512605873</v>
      </c>
      <c r="AK7632">
        <v>39.495459747337101</v>
      </c>
      <c r="AL7632">
        <v>90.061502619324301</v>
      </c>
      <c r="AM7632">
        <v>89.531543358248896</v>
      </c>
      <c r="AN7632">
        <v>1.0000000003070999</v>
      </c>
    </row>
    <row r="7633" spans="1:40" x14ac:dyDescent="0.25">
      <c r="A7633" t="str">
        <f>"20190303153956438"</f>
        <v>20190303153956438</v>
      </c>
      <c r="B7633" t="str">
        <f>"1551598796425736"</f>
        <v>1551598796425736</v>
      </c>
      <c r="C7633" t="s">
        <v>40</v>
      </c>
      <c r="D7633">
        <v>4.3581779999999997</v>
      </c>
      <c r="E7633">
        <v>0.52387669999999997</v>
      </c>
      <c r="F7633" t="s">
        <v>43</v>
      </c>
      <c r="G7633">
        <v>-297.30549999999999</v>
      </c>
      <c r="H7633">
        <v>-0.05</v>
      </c>
      <c r="I7633">
        <v>15.48935</v>
      </c>
      <c r="J7633">
        <v>-334.95710000000003</v>
      </c>
      <c r="K7633">
        <v>1.1212549999999999</v>
      </c>
      <c r="L7633">
        <v>17.620450000000002</v>
      </c>
      <c r="M7633">
        <v>0.99980590000000003</v>
      </c>
      <c r="N7633">
        <v>-1.249421E-2</v>
      </c>
      <c r="O7633">
        <v>1.523862E-2</v>
      </c>
      <c r="P7633">
        <v>0.99988089999999996</v>
      </c>
      <c r="Q7633">
        <v>-1.3653169999999999E-2</v>
      </c>
      <c r="R7633">
        <v>7.2294400000000002E-3</v>
      </c>
      <c r="S7633">
        <v>3.0002439999999999</v>
      </c>
      <c r="T7633">
        <v>-9.3063000000000007E-2</v>
      </c>
      <c r="U7633">
        <v>-0.16918949999999999</v>
      </c>
      <c r="V7633">
        <v>8.0092569999999901E-3</v>
      </c>
      <c r="W7633">
        <v>-1.1591310000000001E-3</v>
      </c>
      <c r="X7633">
        <v>0.9999673</v>
      </c>
      <c r="Y7633">
        <v>7.146081E-2</v>
      </c>
      <c r="Z7633">
        <v>-1.836121E-3</v>
      </c>
      <c r="AA7633">
        <v>0.99744169999999999</v>
      </c>
      <c r="AB7633">
        <v>23</v>
      </c>
      <c r="AC7633">
        <v>37.651600000000002</v>
      </c>
      <c r="AD7633">
        <v>-1.1712549999999999</v>
      </c>
      <c r="AE7633">
        <v>-2.1311</v>
      </c>
      <c r="AF7633">
        <v>2.7020492827718701</v>
      </c>
      <c r="AG7633">
        <v>-1.1712549999999999</v>
      </c>
      <c r="AH7633">
        <v>37.578501668063801</v>
      </c>
      <c r="AI7633">
        <v>91.780635290051805</v>
      </c>
      <c r="AJ7633">
        <v>85.887275234025594</v>
      </c>
      <c r="AK7633">
        <v>37.693722238832102</v>
      </c>
      <c r="AL7633">
        <v>90.066413325991405</v>
      </c>
      <c r="AM7633">
        <v>89.541098183502797</v>
      </c>
      <c r="AN7633">
        <v>1.0000000464258201</v>
      </c>
    </row>
    <row r="7634" spans="1:40" x14ac:dyDescent="0.25">
      <c r="A7634" t="str">
        <f>"20190303153956450"</f>
        <v>20190303153956450</v>
      </c>
      <c r="B7634" t="str">
        <f>"1551598796446233"</f>
        <v>1551598796446233</v>
      </c>
      <c r="C7634" t="s">
        <v>40</v>
      </c>
      <c r="D7634">
        <v>4.4555829999999998</v>
      </c>
      <c r="E7634">
        <v>0.52388800000000002</v>
      </c>
      <c r="F7634" t="s">
        <v>43</v>
      </c>
      <c r="G7634">
        <v>-297.60849999999999</v>
      </c>
      <c r="H7634">
        <v>-0.05</v>
      </c>
      <c r="I7634">
        <v>15.51132</v>
      </c>
      <c r="J7634">
        <v>-334.83359999999999</v>
      </c>
      <c r="K7634">
        <v>1.1212329999999999</v>
      </c>
      <c r="L7634">
        <v>17.62238</v>
      </c>
      <c r="M7634">
        <v>0.99980630000000004</v>
      </c>
      <c r="N7634">
        <v>-1.2417330000000001E-2</v>
      </c>
      <c r="O7634">
        <v>1.5268769999999999E-2</v>
      </c>
      <c r="P7634">
        <v>0.99987649999999995</v>
      </c>
      <c r="Q7634">
        <v>-1.3942589999999999E-2</v>
      </c>
      <c r="R7634">
        <v>7.2482349999999996E-3</v>
      </c>
      <c r="S7634">
        <v>3.0003359999999999</v>
      </c>
      <c r="T7634">
        <v>-9.4090699999999999E-2</v>
      </c>
      <c r="U7634">
        <v>-0.16943359999999999</v>
      </c>
      <c r="V7634">
        <v>8.0205889999999998E-3</v>
      </c>
      <c r="W7634">
        <v>-1.5255589999999999E-3</v>
      </c>
      <c r="X7634">
        <v>0.99996669999999999</v>
      </c>
      <c r="Y7634">
        <v>7.1569060000000004E-2</v>
      </c>
      <c r="Z7634">
        <v>-1.8548659999999999E-3</v>
      </c>
      <c r="AA7634">
        <v>0.99743389999999998</v>
      </c>
      <c r="AB7634">
        <v>23</v>
      </c>
      <c r="AC7634">
        <v>37.225099999999998</v>
      </c>
      <c r="AD7634">
        <v>-1.171233</v>
      </c>
      <c r="AE7634">
        <v>-2.1110599999999899</v>
      </c>
      <c r="AF7634">
        <v>2.67659797798221</v>
      </c>
      <c r="AG7634">
        <v>-1.171233</v>
      </c>
      <c r="AH7634">
        <v>37.151863341375098</v>
      </c>
      <c r="AI7634">
        <v>91.801018123975396</v>
      </c>
      <c r="AJ7634">
        <v>85.879257590394602</v>
      </c>
      <c r="AK7634">
        <v>37.266565621374802</v>
      </c>
      <c r="AL7634">
        <v>90.087408123455404</v>
      </c>
      <c r="AM7634">
        <v>89.540448652479597</v>
      </c>
      <c r="AN7634">
        <v>1.00000002914352</v>
      </c>
    </row>
    <row r="7635" spans="1:40" x14ac:dyDescent="0.25">
      <c r="A7635" t="str">
        <f>"20190303153956459"</f>
        <v>20190303153956459</v>
      </c>
      <c r="B7635" t="str">
        <f>"1551598796455993"</f>
        <v>1551598796455993</v>
      </c>
      <c r="C7635" t="s">
        <v>40</v>
      </c>
      <c r="D7635">
        <v>4.3583610000000004</v>
      </c>
      <c r="E7635">
        <v>0.52406279999999905</v>
      </c>
      <c r="F7635" t="s">
        <v>43</v>
      </c>
      <c r="G7635">
        <v>-299.45319999999998</v>
      </c>
      <c r="H7635">
        <v>-0.05</v>
      </c>
      <c r="I7635">
        <v>15.6236</v>
      </c>
      <c r="J7635">
        <v>-334.72269999999997</v>
      </c>
      <c r="K7635">
        <v>1.121216</v>
      </c>
      <c r="L7635">
        <v>17.624079999999999</v>
      </c>
      <c r="M7635">
        <v>0.999807</v>
      </c>
      <c r="N7635">
        <v>-1.234447E-2</v>
      </c>
      <c r="O7635">
        <v>1.528673E-2</v>
      </c>
      <c r="P7635">
        <v>0.99986850000000005</v>
      </c>
      <c r="Q7635">
        <v>-1.4376760000000001E-2</v>
      </c>
      <c r="R7635">
        <v>7.5146719999999896E-3</v>
      </c>
      <c r="S7635">
        <v>3.0002140000000002</v>
      </c>
      <c r="T7635">
        <v>-9.9318859999999995E-2</v>
      </c>
      <c r="U7635">
        <v>-0.1694946</v>
      </c>
      <c r="V7635">
        <v>7.7722069999999997E-3</v>
      </c>
      <c r="W7635">
        <v>-2.032725E-3</v>
      </c>
      <c r="X7635">
        <v>0.99996779999999996</v>
      </c>
      <c r="Y7635">
        <v>7.1604199999999896E-2</v>
      </c>
      <c r="Z7635">
        <v>-1.943448E-3</v>
      </c>
      <c r="AA7635">
        <v>0.99743119999999996</v>
      </c>
      <c r="AB7635">
        <v>23</v>
      </c>
      <c r="AC7635">
        <v>35.269499999999901</v>
      </c>
      <c r="AD7635">
        <v>-1.171216</v>
      </c>
      <c r="AE7635">
        <v>-2.00048</v>
      </c>
      <c r="AF7635">
        <v>2.53665427559076</v>
      </c>
      <c r="AG7635">
        <v>-1.171216</v>
      </c>
      <c r="AH7635">
        <v>35.196107151502297</v>
      </c>
      <c r="AI7635">
        <v>91.900993238860195</v>
      </c>
      <c r="AJ7635">
        <v>85.877705582160701</v>
      </c>
      <c r="AK7635">
        <v>35.3068310734985</v>
      </c>
      <c r="AL7635">
        <v>90.116466635452099</v>
      </c>
      <c r="AM7635">
        <v>89.554679969082898</v>
      </c>
      <c r="AN7635">
        <v>1.0000000701047</v>
      </c>
    </row>
    <row r="7636" spans="1:40" x14ac:dyDescent="0.25">
      <c r="A7636" t="str">
        <f>"20190303153956472"</f>
        <v>20190303153956472</v>
      </c>
      <c r="B7636" t="str">
        <f>"1551598796465753"</f>
        <v>1551598796465753</v>
      </c>
      <c r="C7636" t="s">
        <v>40</v>
      </c>
      <c r="D7636">
        <v>4.3842309999999998</v>
      </c>
      <c r="E7636">
        <v>0.52431539999999999</v>
      </c>
      <c r="F7636" t="s">
        <v>43</v>
      </c>
      <c r="G7636">
        <v>-300.0403</v>
      </c>
      <c r="H7636">
        <v>-0.05</v>
      </c>
      <c r="I7636">
        <v>15.65732</v>
      </c>
      <c r="J7636">
        <v>-334.60430000000002</v>
      </c>
      <c r="K7636">
        <v>1.1211979999999999</v>
      </c>
      <c r="L7636">
        <v>17.62595</v>
      </c>
      <c r="M7636">
        <v>0.99980769999999997</v>
      </c>
      <c r="N7636">
        <v>-1.226679E-2</v>
      </c>
      <c r="O7636">
        <v>1.530399E-2</v>
      </c>
      <c r="P7636">
        <v>0.99986770000000003</v>
      </c>
      <c r="Q7636">
        <v>-1.435728E-2</v>
      </c>
      <c r="R7636">
        <v>7.6695840000000001E-3</v>
      </c>
      <c r="S7636">
        <v>3.0002140000000002</v>
      </c>
      <c r="T7636">
        <v>-0.1013167</v>
      </c>
      <c r="U7636">
        <v>-0.1701355</v>
      </c>
      <c r="V7636">
        <v>7.6343959999999999E-3</v>
      </c>
      <c r="W7636">
        <v>-2.0910070000000002E-3</v>
      </c>
      <c r="X7636">
        <v>0.99996859999999999</v>
      </c>
      <c r="Y7636">
        <v>7.1831580000000006E-2</v>
      </c>
      <c r="Z7636">
        <v>-1.9814189999999999E-3</v>
      </c>
      <c r="AA7636">
        <v>0.99741480000000005</v>
      </c>
      <c r="AB7636">
        <v>23</v>
      </c>
      <c r="AC7636">
        <v>34.564</v>
      </c>
      <c r="AD7636">
        <v>-1.171198</v>
      </c>
      <c r="AE7636">
        <v>-1.9686299999999901</v>
      </c>
      <c r="AF7636">
        <v>2.4945513433745701</v>
      </c>
      <c r="AG7636">
        <v>-1.171198</v>
      </c>
      <c r="AH7636">
        <v>34.490348021268197</v>
      </c>
      <c r="AI7636">
        <v>91.939797751747903</v>
      </c>
      <c r="AJ7636">
        <v>85.863224616333397</v>
      </c>
      <c r="AK7636">
        <v>34.600268753119998</v>
      </c>
      <c r="AL7636">
        <v>90.119805971885398</v>
      </c>
      <c r="AM7636">
        <v>89.562576093364498</v>
      </c>
      <c r="AN7636">
        <v>0.99999992864925602</v>
      </c>
    </row>
    <row r="7637" spans="1:40" x14ac:dyDescent="0.25">
      <c r="A7637" t="str">
        <f>"20190303153956484"</f>
        <v>20190303153956484</v>
      </c>
      <c r="B7637" t="str">
        <f>"1551598796475513"</f>
        <v>1551598796475513</v>
      </c>
      <c r="C7637" t="s">
        <v>40</v>
      </c>
      <c r="D7637">
        <v>4.3928079999999996</v>
      </c>
      <c r="E7637">
        <v>0.52448269999999997</v>
      </c>
      <c r="F7637" t="s">
        <v>43</v>
      </c>
      <c r="G7637">
        <v>-300.12040000000002</v>
      </c>
      <c r="H7637">
        <v>-0.05</v>
      </c>
      <c r="I7637">
        <v>15.65254</v>
      </c>
      <c r="J7637">
        <v>-334.4753</v>
      </c>
      <c r="K7637">
        <v>1.121178</v>
      </c>
      <c r="L7637">
        <v>17.627929999999999</v>
      </c>
      <c r="M7637">
        <v>0.99980849999999999</v>
      </c>
      <c r="N7637">
        <v>-1.218203E-2</v>
      </c>
      <c r="O7637">
        <v>1.5315509999999999E-2</v>
      </c>
      <c r="P7637">
        <v>0.99985979999999997</v>
      </c>
      <c r="Q7637">
        <v>-1.456211E-2</v>
      </c>
      <c r="R7637">
        <v>8.2625340000000002E-3</v>
      </c>
      <c r="S7637">
        <v>3.0002140000000002</v>
      </c>
      <c r="T7637">
        <v>-0.101898</v>
      </c>
      <c r="U7637">
        <v>-0.17169189999999901</v>
      </c>
      <c r="V7637">
        <v>7.0529549999999996E-3</v>
      </c>
      <c r="W7637">
        <v>-2.3806830000000002E-3</v>
      </c>
      <c r="X7637">
        <v>0.99997230000000004</v>
      </c>
      <c r="Y7637">
        <v>7.2357840000000007E-2</v>
      </c>
      <c r="Z7637">
        <v>-2.001947E-3</v>
      </c>
      <c r="AA7637">
        <v>0.9973767</v>
      </c>
      <c r="AB7637">
        <v>23</v>
      </c>
      <c r="AC7637">
        <v>34.354899999999901</v>
      </c>
      <c r="AD7637">
        <v>-1.1711780000000001</v>
      </c>
      <c r="AE7637">
        <v>-1.97538999999999</v>
      </c>
      <c r="AF7637">
        <v>2.4984660674549399</v>
      </c>
      <c r="AG7637">
        <v>-1.1711780000000001</v>
      </c>
      <c r="AH7637">
        <v>34.2809047478613</v>
      </c>
      <c r="AI7637">
        <v>91.951528420381607</v>
      </c>
      <c r="AJ7637">
        <v>85.8315306377459</v>
      </c>
      <c r="AK7637">
        <v>34.391778391497098</v>
      </c>
      <c r="AL7637">
        <v>90.136403216247501</v>
      </c>
      <c r="AM7637">
        <v>89.595890952370695</v>
      </c>
      <c r="AN7637">
        <v>1.00000000629653</v>
      </c>
    </row>
    <row r="7638" spans="1:40" x14ac:dyDescent="0.25">
      <c r="A7638" t="str">
        <f>"20190303153956495"</f>
        <v>20190303153956495</v>
      </c>
      <c r="B7638" t="str">
        <f>"1551598796486249"</f>
        <v>1551598796486249</v>
      </c>
      <c r="C7638" t="s">
        <v>40</v>
      </c>
      <c r="D7638">
        <v>4.4687830000000002</v>
      </c>
      <c r="E7638">
        <v>0.52423469999999905</v>
      </c>
      <c r="F7638" t="s">
        <v>43</v>
      </c>
      <c r="G7638">
        <v>-300.39370000000002</v>
      </c>
      <c r="H7638">
        <v>-0.05</v>
      </c>
      <c r="I7638">
        <v>15.682130000000001</v>
      </c>
      <c r="J7638">
        <v>-334.36900000000003</v>
      </c>
      <c r="K7638">
        <v>1.1211629999999999</v>
      </c>
      <c r="L7638">
        <v>17.629579999999901</v>
      </c>
      <c r="M7638">
        <v>0.99980939999999996</v>
      </c>
      <c r="N7638">
        <v>-1.211214E-2</v>
      </c>
      <c r="O7638">
        <v>1.532154E-2</v>
      </c>
      <c r="P7638">
        <v>0.99985190000000002</v>
      </c>
      <c r="Q7638">
        <v>-1.4742389999999999E-2</v>
      </c>
      <c r="R7638">
        <v>8.8777639999999998E-3</v>
      </c>
      <c r="S7638">
        <v>3.000305</v>
      </c>
      <c r="T7638">
        <v>-0.10310229999999999</v>
      </c>
      <c r="U7638">
        <v>-0.17129520000000001</v>
      </c>
      <c r="V7638">
        <v>6.4436019999999997E-3</v>
      </c>
      <c r="W7638">
        <v>-2.6308909999999998E-3</v>
      </c>
      <c r="X7638">
        <v>0.99997579999999997</v>
      </c>
      <c r="Y7638">
        <v>7.2229500000000002E-2</v>
      </c>
      <c r="Z7638">
        <v>-2.0182289999999999E-3</v>
      </c>
      <c r="AA7638">
        <v>0.99738599999999999</v>
      </c>
      <c r="AB7638">
        <v>23</v>
      </c>
      <c r="AC7638">
        <v>33.975299999999997</v>
      </c>
      <c r="AD7638">
        <v>-1.171163</v>
      </c>
      <c r="AE7638">
        <v>-1.9474499999999899</v>
      </c>
      <c r="AF7638">
        <v>2.46489408128354</v>
      </c>
      <c r="AG7638">
        <v>-1.171163</v>
      </c>
      <c r="AH7638">
        <v>33.901319871269003</v>
      </c>
      <c r="AI7638">
        <v>91.973361655682595</v>
      </c>
      <c r="AJ7638">
        <v>85.8414613284843</v>
      </c>
      <c r="AK7638">
        <v>34.010980794717099</v>
      </c>
      <c r="AL7638">
        <v>90.150739121372496</v>
      </c>
      <c r="AM7638">
        <v>89.630804975745406</v>
      </c>
      <c r="AN7638">
        <v>1.00000002108991</v>
      </c>
    </row>
    <row r="7639" spans="1:40" x14ac:dyDescent="0.25">
      <c r="A7639" t="str">
        <f>"20190303153956505"</f>
        <v>20190303153956505</v>
      </c>
      <c r="B7639" t="str">
        <f>"1551598796496009"</f>
        <v>1551598796496009</v>
      </c>
      <c r="C7639" t="s">
        <v>40</v>
      </c>
      <c r="D7639">
        <v>4.385453</v>
      </c>
      <c r="E7639">
        <v>0.52436539999999998</v>
      </c>
      <c r="F7639" t="s">
        <v>43</v>
      </c>
      <c r="G7639">
        <v>-301.33949999999999</v>
      </c>
      <c r="H7639">
        <v>-0.05</v>
      </c>
      <c r="I7639">
        <v>15.78487</v>
      </c>
      <c r="J7639">
        <v>-334.25009999999997</v>
      </c>
      <c r="K7639">
        <v>1.1211420000000001</v>
      </c>
      <c r="L7639">
        <v>17.631439999999898</v>
      </c>
      <c r="M7639">
        <v>0.99981030000000004</v>
      </c>
      <c r="N7639">
        <v>-1.203388E-2</v>
      </c>
      <c r="O7639">
        <v>1.5325099999999999E-2</v>
      </c>
      <c r="P7639">
        <v>0.99984340000000005</v>
      </c>
      <c r="Q7639">
        <v>-1.4812870000000001E-2</v>
      </c>
      <c r="R7639">
        <v>9.7160690000000008E-3</v>
      </c>
      <c r="S7639">
        <v>3.0003660000000001</v>
      </c>
      <c r="T7639">
        <v>-0.10638739999999999</v>
      </c>
      <c r="U7639">
        <v>-0.167572</v>
      </c>
      <c r="V7639">
        <v>5.6086799999999996E-3</v>
      </c>
      <c r="W7639">
        <v>-2.7796320000000002E-3</v>
      </c>
      <c r="X7639">
        <v>0.99998039999999999</v>
      </c>
      <c r="Y7639">
        <v>7.0995610000000001E-2</v>
      </c>
      <c r="Z7639">
        <v>-2.043633E-3</v>
      </c>
      <c r="AA7639">
        <v>0.99747459999999999</v>
      </c>
      <c r="AB7639">
        <v>23</v>
      </c>
      <c r="AC7639">
        <v>32.910599999999903</v>
      </c>
      <c r="AD7639">
        <v>-1.1711419999999999</v>
      </c>
      <c r="AE7639">
        <v>-1.8465699999999901</v>
      </c>
      <c r="AF7639">
        <v>2.3477840524598101</v>
      </c>
      <c r="AG7639">
        <v>-1.1711419999999999</v>
      </c>
      <c r="AH7639">
        <v>32.836981614027401</v>
      </c>
      <c r="AI7639">
        <v>92.037410903424899</v>
      </c>
      <c r="AJ7639">
        <v>85.910415849044497</v>
      </c>
      <c r="AK7639">
        <v>32.941630576841803</v>
      </c>
      <c r="AL7639">
        <v>90.159261388556601</v>
      </c>
      <c r="AM7639">
        <v>89.678643378478199</v>
      </c>
      <c r="AN7639">
        <v>0.99999999201477796</v>
      </c>
    </row>
    <row r="7640" spans="1:40" x14ac:dyDescent="0.25">
      <c r="A7640" t="str">
        <f>"20190303153956519"</f>
        <v>20190303153956519</v>
      </c>
      <c r="B7640" t="str">
        <f>"1551598796515528"</f>
        <v>1551598796515528</v>
      </c>
      <c r="C7640" t="s">
        <v>40</v>
      </c>
      <c r="D7640">
        <v>4.4744080000000004</v>
      </c>
      <c r="E7640">
        <v>0.52432900000000005</v>
      </c>
      <c r="F7640" t="s">
        <v>43</v>
      </c>
      <c r="G7640">
        <v>-301.36559999999997</v>
      </c>
      <c r="H7640">
        <v>-0.05</v>
      </c>
      <c r="I7640">
        <v>15.81062</v>
      </c>
      <c r="J7640">
        <v>-334.1146</v>
      </c>
      <c r="K7640">
        <v>1.121119</v>
      </c>
      <c r="L7640">
        <v>17.633479999999999</v>
      </c>
      <c r="M7640">
        <v>0.99981149999999996</v>
      </c>
      <c r="N7640">
        <v>-1.194431E-2</v>
      </c>
      <c r="O7640">
        <v>1.531941E-2</v>
      </c>
      <c r="P7640">
        <v>0.99983200000000005</v>
      </c>
      <c r="Q7640">
        <v>-1.4956290000000001E-2</v>
      </c>
      <c r="R7640">
        <v>1.061927E-2</v>
      </c>
      <c r="S7640">
        <v>3.0004879999999998</v>
      </c>
      <c r="T7640">
        <v>-0.1068588</v>
      </c>
      <c r="U7640">
        <v>-0.1661377</v>
      </c>
      <c r="V7640">
        <v>4.6995359999999998E-3</v>
      </c>
      <c r="W7640">
        <v>-3.0126290000000002E-3</v>
      </c>
      <c r="X7640">
        <v>0.9999844</v>
      </c>
      <c r="Y7640">
        <v>7.0512279999999997E-2</v>
      </c>
      <c r="Z7640">
        <v>-2.0381140000000002E-3</v>
      </c>
      <c r="AA7640">
        <v>0.99750879999999997</v>
      </c>
      <c r="AB7640">
        <v>23</v>
      </c>
      <c r="AC7640">
        <v>32.749000000000002</v>
      </c>
      <c r="AD7640">
        <v>-1.171119</v>
      </c>
      <c r="AE7640">
        <v>-1.8228599999999899</v>
      </c>
      <c r="AF7640">
        <v>2.3214176286174002</v>
      </c>
      <c r="AG7640">
        <v>-1.171119</v>
      </c>
      <c r="AH7640">
        <v>32.675572480581501</v>
      </c>
      <c r="AI7640">
        <v>92.047492301895701</v>
      </c>
      <c r="AJ7640">
        <v>85.936281414275896</v>
      </c>
      <c r="AK7640">
        <v>32.778858071207303</v>
      </c>
      <c r="AL7640">
        <v>90.172611191336202</v>
      </c>
      <c r="AM7640">
        <v>89.730734203305303</v>
      </c>
      <c r="AN7640">
        <v>0.99999998090773301</v>
      </c>
    </row>
    <row r="7641" spans="1:40" x14ac:dyDescent="0.25">
      <c r="A7641" t="str">
        <f>"20190303153956534"</f>
        <v>20190303153956534</v>
      </c>
      <c r="B7641" t="str">
        <f>"1551598796526264"</f>
        <v>1551598796526264</v>
      </c>
      <c r="C7641" t="s">
        <v>40</v>
      </c>
      <c r="D7641">
        <v>4.3997950000000001</v>
      </c>
      <c r="E7641">
        <v>0.52437780000000001</v>
      </c>
      <c r="F7641" t="s">
        <v>43</v>
      </c>
      <c r="G7641">
        <v>-301.77870000000001</v>
      </c>
      <c r="H7641">
        <v>-0.05</v>
      </c>
      <c r="I7641">
        <v>15.875019999999999</v>
      </c>
      <c r="J7641">
        <v>-333.96699999999998</v>
      </c>
      <c r="K7641">
        <v>1.121095</v>
      </c>
      <c r="L7641">
        <v>17.635770000000001</v>
      </c>
      <c r="M7641">
        <v>0.9998127</v>
      </c>
      <c r="N7641">
        <v>-1.1847470000000001E-2</v>
      </c>
      <c r="O7641">
        <v>1.530347E-2</v>
      </c>
      <c r="P7641">
        <v>0.99981540000000002</v>
      </c>
      <c r="Q7641">
        <v>-1.542553E-2</v>
      </c>
      <c r="R7641">
        <v>1.14549E-2</v>
      </c>
      <c r="S7641">
        <v>3.00061</v>
      </c>
      <c r="T7641">
        <v>-0.1086739</v>
      </c>
      <c r="U7641">
        <v>-0.1631775</v>
      </c>
      <c r="V7641">
        <v>3.8478789999999998E-3</v>
      </c>
      <c r="W7641">
        <v>-3.5787670000000001E-3</v>
      </c>
      <c r="X7641">
        <v>0.99998620000000005</v>
      </c>
      <c r="Y7641">
        <v>6.9511909999999996E-2</v>
      </c>
      <c r="Z7641">
        <v>-2.042267E-3</v>
      </c>
      <c r="AA7641">
        <v>0.99757899999999999</v>
      </c>
      <c r="AB7641">
        <v>23</v>
      </c>
      <c r="AC7641">
        <v>32.188299999999899</v>
      </c>
      <c r="AD7641">
        <v>-1.171095</v>
      </c>
      <c r="AE7641">
        <v>-1.76074999999999</v>
      </c>
      <c r="AF7641">
        <v>2.2502013420085998</v>
      </c>
      <c r="AG7641">
        <v>-1.171095</v>
      </c>
      <c r="AH7641">
        <v>32.115198657163603</v>
      </c>
      <c r="AI7641">
        <v>92.083287754404296</v>
      </c>
      <c r="AJ7641">
        <v>85.992032334534898</v>
      </c>
      <c r="AK7641">
        <v>32.215227057521801</v>
      </c>
      <c r="AL7641">
        <v>90.2050486812294</v>
      </c>
      <c r="AM7641">
        <v>89.779530818860593</v>
      </c>
      <c r="AN7641">
        <v>1.00000000696823</v>
      </c>
    </row>
    <row r="7642" spans="1:40" x14ac:dyDescent="0.25">
      <c r="A7642" t="str">
        <f>"20190303153956546"</f>
        <v>20190303153956546</v>
      </c>
      <c r="B7642" t="str">
        <f>"1551598796536025"</f>
        <v>1551598796536025</v>
      </c>
      <c r="C7642" t="s">
        <v>40</v>
      </c>
      <c r="D7642">
        <v>4.3727910000000003</v>
      </c>
      <c r="E7642">
        <v>0.52448569999999906</v>
      </c>
      <c r="F7642" t="s">
        <v>43</v>
      </c>
      <c r="G7642">
        <v>-302.15269999999998</v>
      </c>
      <c r="H7642">
        <v>-0.05</v>
      </c>
      <c r="I7642">
        <v>15.928380000000001</v>
      </c>
      <c r="J7642">
        <v>-333.8245</v>
      </c>
      <c r="K7642">
        <v>1.1210659999999999</v>
      </c>
      <c r="L7642">
        <v>17.63794</v>
      </c>
      <c r="M7642">
        <v>0.99981430000000004</v>
      </c>
      <c r="N7642">
        <v>-1.175612E-2</v>
      </c>
      <c r="O7642">
        <v>1.527238E-2</v>
      </c>
      <c r="P7642">
        <v>0.99980259999999999</v>
      </c>
      <c r="Q7642">
        <v>-1.5562589999999999E-2</v>
      </c>
      <c r="R7642">
        <v>1.235324E-2</v>
      </c>
      <c r="S7642">
        <v>3.000702</v>
      </c>
      <c r="T7642">
        <v>-0.1104566</v>
      </c>
      <c r="U7642">
        <v>-0.161041299999999</v>
      </c>
      <c r="V7642">
        <v>2.9180790000000001E-3</v>
      </c>
      <c r="W7642">
        <v>-3.8071759999999998E-3</v>
      </c>
      <c r="X7642">
        <v>0.99998849999999995</v>
      </c>
      <c r="Y7642">
        <v>6.8769860000000002E-2</v>
      </c>
      <c r="Z7642">
        <v>-2.0513599999999999E-3</v>
      </c>
      <c r="AA7642">
        <v>0.99763040000000003</v>
      </c>
      <c r="AB7642">
        <v>23</v>
      </c>
      <c r="AC7642">
        <v>31.671800000000001</v>
      </c>
      <c r="AD7642">
        <v>-1.1710659999999999</v>
      </c>
      <c r="AE7642">
        <v>-1.70956</v>
      </c>
      <c r="AF7642">
        <v>2.1901122391225498</v>
      </c>
      <c r="AG7642">
        <v>-1.1710659999999999</v>
      </c>
      <c r="AH7642">
        <v>31.598919697811102</v>
      </c>
      <c r="AI7642">
        <v>92.117353469168094</v>
      </c>
      <c r="AJ7642">
        <v>86.035186293209406</v>
      </c>
      <c r="AK7642">
        <v>31.696367508991099</v>
      </c>
      <c r="AL7642">
        <v>90.218135642549598</v>
      </c>
      <c r="AM7642">
        <v>89.832804940841001</v>
      </c>
      <c r="AN7642">
        <v>1.0000000049531901</v>
      </c>
    </row>
    <row r="7643" spans="1:40" x14ac:dyDescent="0.25">
      <c r="A7643" t="str">
        <f>"20190303153956562"</f>
        <v>20190303153956562</v>
      </c>
      <c r="B7643" t="str">
        <f>"1551598796555545"</f>
        <v>1551598796555545</v>
      </c>
      <c r="C7643" t="s">
        <v>40</v>
      </c>
      <c r="D7643">
        <v>4.5056289999999999</v>
      </c>
      <c r="E7643">
        <v>0.52427679999999999</v>
      </c>
      <c r="F7643" t="s">
        <v>43</v>
      </c>
      <c r="G7643">
        <v>-302.15879999999999</v>
      </c>
      <c r="H7643">
        <v>-0.05</v>
      </c>
      <c r="I7643">
        <v>15.957599999999999</v>
      </c>
      <c r="J7643">
        <v>-333.67290000000003</v>
      </c>
      <c r="K7643">
        <v>1.1210310000000001</v>
      </c>
      <c r="L7643">
        <v>17.640229999999999</v>
      </c>
      <c r="M7643">
        <v>0.99981620000000004</v>
      </c>
      <c r="N7643">
        <v>-1.166532E-2</v>
      </c>
      <c r="O7643">
        <v>1.521778E-2</v>
      </c>
      <c r="P7643">
        <v>0.99976540000000003</v>
      </c>
      <c r="Q7643">
        <v>-1.6332989999999999E-2</v>
      </c>
      <c r="R7643">
        <v>1.423144E-2</v>
      </c>
      <c r="S7643">
        <v>3.0008240000000002</v>
      </c>
      <c r="T7643">
        <v>-0.1109769</v>
      </c>
      <c r="U7643">
        <v>-0.15924070000000001</v>
      </c>
      <c r="V7643">
        <v>9.8476429999999897E-4</v>
      </c>
      <c r="W7643">
        <v>-4.6682640000000001E-3</v>
      </c>
      <c r="X7643">
        <v>0.99998860000000001</v>
      </c>
      <c r="Y7643">
        <v>6.8116419999999997E-2</v>
      </c>
      <c r="Z7643">
        <v>-2.0408940000000001E-3</v>
      </c>
      <c r="AA7643">
        <v>0.99767530000000004</v>
      </c>
      <c r="AB7643">
        <v>23</v>
      </c>
      <c r="AC7643">
        <v>31.514099999999999</v>
      </c>
      <c r="AD7643">
        <v>-1.1710309999999999</v>
      </c>
      <c r="AE7643">
        <v>-1.6826299999999901</v>
      </c>
      <c r="AF7643">
        <v>2.15906963890632</v>
      </c>
      <c r="AG7643">
        <v>-1.1710309999999999</v>
      </c>
      <c r="AH7643">
        <v>31.441551926809101</v>
      </c>
      <c r="AI7643">
        <v>92.127971237581093</v>
      </c>
      <c r="AJ7643">
        <v>86.071705268123907</v>
      </c>
      <c r="AK7643">
        <v>31.537344258431801</v>
      </c>
      <c r="AL7643">
        <v>90.267472801355296</v>
      </c>
      <c r="AM7643">
        <v>89.943576536806603</v>
      </c>
      <c r="AN7643">
        <v>0.999999981289729</v>
      </c>
    </row>
    <row r="7644" spans="1:40" x14ac:dyDescent="0.25">
      <c r="A7644" t="str">
        <f>"20190303153956575"</f>
        <v>20190303153956575</v>
      </c>
      <c r="B7644" t="str">
        <f>"1551598796566280"</f>
        <v>1551598796566280</v>
      </c>
      <c r="C7644" t="s">
        <v>40</v>
      </c>
      <c r="D7644">
        <v>4.5042669999999996</v>
      </c>
      <c r="E7644">
        <v>0.52419759999999904</v>
      </c>
      <c r="F7644" t="s">
        <v>43</v>
      </c>
      <c r="G7644">
        <v>-303.37110000000001</v>
      </c>
      <c r="H7644">
        <v>-0.05</v>
      </c>
      <c r="I7644">
        <v>16.105350000000001</v>
      </c>
      <c r="J7644">
        <v>-333.53800000000001</v>
      </c>
      <c r="K7644">
        <v>1.121003</v>
      </c>
      <c r="L7644">
        <v>17.642240000000001</v>
      </c>
      <c r="M7644">
        <v>0.99981799999999998</v>
      </c>
      <c r="N7644">
        <v>-1.1588660000000001E-2</v>
      </c>
      <c r="O7644">
        <v>1.5152880000000001E-2</v>
      </c>
      <c r="P7644">
        <v>0.99975250000000004</v>
      </c>
      <c r="Q7644">
        <v>-1.6692809999999999E-2</v>
      </c>
      <c r="R7644">
        <v>1.471388E-2</v>
      </c>
      <c r="S7644">
        <v>3.0009769999999998</v>
      </c>
      <c r="T7644">
        <v>-0.11597440000000001</v>
      </c>
      <c r="U7644">
        <v>-0.15200810000000001</v>
      </c>
      <c r="V7644">
        <v>4.3681280000000002E-4</v>
      </c>
      <c r="W7644">
        <v>-5.10473E-3</v>
      </c>
      <c r="X7644">
        <v>0.99998690000000001</v>
      </c>
      <c r="Y7644">
        <v>6.5647570000000002E-2</v>
      </c>
      <c r="Z7644">
        <v>-2.057634E-3</v>
      </c>
      <c r="AA7644">
        <v>0.99784079999999997</v>
      </c>
      <c r="AB7644">
        <v>23</v>
      </c>
      <c r="AC7644">
        <v>30.166899999999998</v>
      </c>
      <c r="AD7644">
        <v>-1.171003</v>
      </c>
      <c r="AE7644">
        <v>-1.5368899999999901</v>
      </c>
      <c r="AF7644">
        <v>1.99086758414016</v>
      </c>
      <c r="AG7644">
        <v>-1.171003</v>
      </c>
      <c r="AH7644">
        <v>30.094916628157598</v>
      </c>
      <c r="AI7644">
        <v>92.223418463374301</v>
      </c>
      <c r="AJ7644">
        <v>86.215229590015795</v>
      </c>
      <c r="AK7644">
        <v>30.183419432187399</v>
      </c>
      <c r="AL7644">
        <v>90.292480747618399</v>
      </c>
      <c r="AM7644">
        <v>89.974972143849598</v>
      </c>
      <c r="AN7644">
        <v>1.0000000246227001</v>
      </c>
    </row>
    <row r="7645" spans="1:40" x14ac:dyDescent="0.25">
      <c r="A7645" t="str">
        <f>"20190303153956586"</f>
        <v>20190303153956586</v>
      </c>
      <c r="B7645" t="str">
        <f>"1551598796576041"</f>
        <v>1551598796576041</v>
      </c>
      <c r="C7645" t="s">
        <v>40</v>
      </c>
      <c r="D7645">
        <v>4.3884939999999997</v>
      </c>
      <c r="E7645">
        <v>0.52419759999999904</v>
      </c>
      <c r="F7645" t="s">
        <v>43</v>
      </c>
      <c r="G7645">
        <v>-303.87819999999999</v>
      </c>
      <c r="H7645">
        <v>-0.05</v>
      </c>
      <c r="I7645">
        <v>16.1601</v>
      </c>
      <c r="J7645">
        <v>-333.40809999999999</v>
      </c>
      <c r="K7645">
        <v>1.1209720000000001</v>
      </c>
      <c r="L7645">
        <v>17.644130000000001</v>
      </c>
      <c r="M7645">
        <v>0.99982020000000005</v>
      </c>
      <c r="N7645">
        <v>-1.151926E-2</v>
      </c>
      <c r="O7645">
        <v>1.5071849999999999E-2</v>
      </c>
      <c r="P7645">
        <v>0.9997376</v>
      </c>
      <c r="Q7645">
        <v>-1.7150930000000002E-2</v>
      </c>
      <c r="R7645">
        <v>1.5200450000000001E-2</v>
      </c>
      <c r="S7645">
        <v>3.0009769999999998</v>
      </c>
      <c r="T7645">
        <v>-0.118482</v>
      </c>
      <c r="U7645">
        <v>-0.1499634</v>
      </c>
      <c r="V7645">
        <v>-1.3143009999999999E-4</v>
      </c>
      <c r="W7645">
        <v>-5.6321879999999998E-3</v>
      </c>
      <c r="X7645">
        <v>0.99998410000000004</v>
      </c>
      <c r="Y7645">
        <v>6.4886589999999994E-2</v>
      </c>
      <c r="Z7645">
        <v>-2.074794E-3</v>
      </c>
      <c r="AA7645">
        <v>0.99789050000000001</v>
      </c>
      <c r="AB7645">
        <v>23</v>
      </c>
      <c r="AC7645">
        <v>29.529900000000001</v>
      </c>
      <c r="AD7645">
        <v>-1.1709719999999999</v>
      </c>
      <c r="AE7645">
        <v>-1.48403</v>
      </c>
      <c r="AF7645">
        <v>1.92594034145082</v>
      </c>
      <c r="AG7645">
        <v>-1.1709719999999999</v>
      </c>
      <c r="AH7645">
        <v>29.4579731217191</v>
      </c>
      <c r="AI7645">
        <v>92.271498526443906</v>
      </c>
      <c r="AJ7645">
        <v>86.259368260370493</v>
      </c>
      <c r="AK7645">
        <v>29.544078967934201</v>
      </c>
      <c r="AL7645">
        <v>90.322702317773505</v>
      </c>
      <c r="AM7645">
        <v>90.007530509722699</v>
      </c>
      <c r="AN7645">
        <v>0.99999996953417303</v>
      </c>
    </row>
    <row r="7646" spans="1:40" x14ac:dyDescent="0.25">
      <c r="A7646" t="str">
        <f>"20190303153956597"</f>
        <v>20190303153956597</v>
      </c>
      <c r="B7646" t="str">
        <f>"1551598796585801"</f>
        <v>1551598796585801</v>
      </c>
      <c r="C7646" t="s">
        <v>40</v>
      </c>
      <c r="D7646">
        <v>4.4504729999999997</v>
      </c>
      <c r="E7646">
        <v>0.52355209999999996</v>
      </c>
      <c r="F7646" t="s">
        <v>43</v>
      </c>
      <c r="G7646">
        <v>-304.07900000000001</v>
      </c>
      <c r="H7646">
        <v>-0.05</v>
      </c>
      <c r="I7646">
        <v>16.19284</v>
      </c>
      <c r="J7646">
        <v>-333.29309999999998</v>
      </c>
      <c r="K7646">
        <v>1.120943</v>
      </c>
      <c r="L7646">
        <v>17.645779999999998</v>
      </c>
      <c r="M7646">
        <v>0.99982210000000005</v>
      </c>
      <c r="N7646">
        <v>-1.146251E-2</v>
      </c>
      <c r="O7646">
        <v>1.497686E-2</v>
      </c>
      <c r="P7646">
        <v>0.99973809999999996</v>
      </c>
      <c r="Q7646">
        <v>-1.71490999999999E-2</v>
      </c>
      <c r="R7646">
        <v>1.515912E-2</v>
      </c>
      <c r="S7646">
        <v>3.0009769999999998</v>
      </c>
      <c r="T7646">
        <v>-0.119815</v>
      </c>
      <c r="U7646">
        <v>-0.14849849999999901</v>
      </c>
      <c r="V7646">
        <v>-1.8531179999999999E-4</v>
      </c>
      <c r="W7646">
        <v>-5.6870929999999998E-3</v>
      </c>
      <c r="X7646">
        <v>0.99998379999999998</v>
      </c>
      <c r="Y7646">
        <v>6.4305050000000002E-2</v>
      </c>
      <c r="Z7646">
        <v>-2.0772590000000001E-3</v>
      </c>
      <c r="AA7646">
        <v>0.99792809999999998</v>
      </c>
      <c r="AB7646">
        <v>23</v>
      </c>
      <c r="AC7646">
        <v>29.214099999999899</v>
      </c>
      <c r="AD7646">
        <v>-1.1709430000000001</v>
      </c>
      <c r="AE7646">
        <v>-1.4529399999999899</v>
      </c>
      <c r="AF7646">
        <v>1.8873167324581499</v>
      </c>
      <c r="AG7646">
        <v>-1.1709430000000001</v>
      </c>
      <c r="AH7646">
        <v>29.1423587199967</v>
      </c>
      <c r="AI7646">
        <v>92.296107809111604</v>
      </c>
      <c r="AJ7646">
        <v>86.294586636226896</v>
      </c>
      <c r="AK7646">
        <v>29.2268736563258</v>
      </c>
      <c r="AL7646">
        <v>90.325848186745205</v>
      </c>
      <c r="AM7646">
        <v>90.010617755919995</v>
      </c>
      <c r="AN7646">
        <v>0.99999998881484597</v>
      </c>
    </row>
    <row r="7647" spans="1:40" x14ac:dyDescent="0.25">
      <c r="A7647" t="str">
        <f>"20190303153956609"</f>
        <v>20190303153956609</v>
      </c>
      <c r="B7647" t="str">
        <f>"1551598796606298"</f>
        <v>1551598796606298</v>
      </c>
      <c r="C7647" t="s">
        <v>40</v>
      </c>
      <c r="D7647">
        <v>4.4538769999999896</v>
      </c>
      <c r="E7647">
        <v>0.4934151</v>
      </c>
      <c r="F7647" t="s">
        <v>43</v>
      </c>
      <c r="G7647">
        <v>-303.4332</v>
      </c>
      <c r="H7647">
        <v>-0.05</v>
      </c>
      <c r="I7647">
        <v>16.21829</v>
      </c>
      <c r="J7647">
        <v>-333.17430000000002</v>
      </c>
      <c r="K7647">
        <v>1.120919</v>
      </c>
      <c r="L7647">
        <v>17.647489999999902</v>
      </c>
      <c r="M7647">
        <v>0.99982439999999995</v>
      </c>
      <c r="N7647">
        <v>-1.1405220000000001E-2</v>
      </c>
      <c r="O7647">
        <v>1.4871759999999999E-2</v>
      </c>
      <c r="P7647">
        <v>0.99974200000000002</v>
      </c>
      <c r="Q7647">
        <v>-1.7104419999999999E-2</v>
      </c>
      <c r="R7647">
        <v>1.495459E-2</v>
      </c>
      <c r="S7647">
        <v>3.0009160000000001</v>
      </c>
      <c r="T7647">
        <v>-0.1176797</v>
      </c>
      <c r="U7647">
        <v>-0.14346310000000001</v>
      </c>
      <c r="V7647" s="1">
        <v>-8.6249619999999996E-5</v>
      </c>
      <c r="W7647">
        <v>-5.6997209999999996E-3</v>
      </c>
      <c r="X7647">
        <v>0.99998370000000003</v>
      </c>
      <c r="Y7647">
        <v>6.2534720000000002E-2</v>
      </c>
      <c r="Z7647">
        <v>-1.9951719999999999E-3</v>
      </c>
      <c r="AA7647">
        <v>0.99804079999999995</v>
      </c>
      <c r="AB7647">
        <v>23</v>
      </c>
      <c r="AC7647">
        <v>29.741099999999999</v>
      </c>
      <c r="AD7647">
        <v>-1.170919</v>
      </c>
      <c r="AE7647">
        <v>-1.42919999999999</v>
      </c>
      <c r="AF7647">
        <v>1.86848364691961</v>
      </c>
      <c r="AG7647">
        <v>-1.170919</v>
      </c>
      <c r="AH7647">
        <v>29.6706699592091</v>
      </c>
      <c r="AI7647">
        <v>92.255476322406693</v>
      </c>
      <c r="AJ7647">
        <v>86.396608366208596</v>
      </c>
      <c r="AK7647">
        <v>29.7524946562751</v>
      </c>
      <c r="AL7647">
        <v>90.326571743154005</v>
      </c>
      <c r="AM7647">
        <v>90.004941819750002</v>
      </c>
      <c r="AN7647">
        <v>0.99999994726208097</v>
      </c>
    </row>
    <row r="7648" spans="1:40" x14ac:dyDescent="0.25">
      <c r="A7648" t="str">
        <f>"20190303153956620"</f>
        <v>20190303153956620</v>
      </c>
      <c r="B7648" t="str">
        <f>"1551598796616056"</f>
        <v>1551598796616056</v>
      </c>
      <c r="C7648" t="s">
        <v>40</v>
      </c>
      <c r="D7648">
        <v>4.4493340000000003</v>
      </c>
      <c r="E7648">
        <v>0.49333660000000001</v>
      </c>
      <c r="F7648" t="s">
        <v>43</v>
      </c>
      <c r="G7648">
        <v>-303.85129999999998</v>
      </c>
      <c r="H7648">
        <v>-0.05</v>
      </c>
      <c r="I7648">
        <v>18.58916</v>
      </c>
      <c r="J7648">
        <v>-333.05290000000002</v>
      </c>
      <c r="K7648">
        <v>1.120889</v>
      </c>
      <c r="L7648">
        <v>17.649139999999999</v>
      </c>
      <c r="M7648">
        <v>0.99982700000000002</v>
      </c>
      <c r="N7648">
        <v>-1.1357799999999999E-2</v>
      </c>
      <c r="O7648">
        <v>1.472888E-2</v>
      </c>
      <c r="P7648">
        <v>0.99975789999999998</v>
      </c>
      <c r="Q7648">
        <v>-1.6629660000000001E-2</v>
      </c>
      <c r="R7648">
        <v>1.4403050000000001E-2</v>
      </c>
      <c r="S7648">
        <v>2.9972840000000001</v>
      </c>
      <c r="T7648">
        <v>-0.11968669999999999</v>
      </c>
      <c r="U7648">
        <v>9.6252439999999995E-2</v>
      </c>
      <c r="V7648">
        <v>3.2243529999999998E-4</v>
      </c>
      <c r="W7648">
        <v>-5.2725009999999998E-3</v>
      </c>
      <c r="X7648">
        <v>0.99998609999999999</v>
      </c>
      <c r="Y7648">
        <v>-1.7359200000000002E-2</v>
      </c>
      <c r="Z7648" s="1">
        <v>2.4527540000000001E-5</v>
      </c>
      <c r="AA7648">
        <v>0.99984930000000005</v>
      </c>
      <c r="AB7648">
        <v>23</v>
      </c>
      <c r="AC7648">
        <v>29.201599999999999</v>
      </c>
      <c r="AD7648">
        <v>-1.1708889999999901</v>
      </c>
      <c r="AE7648">
        <v>0.94001999999999997</v>
      </c>
      <c r="AF7648">
        <v>-0.50896596183522402</v>
      </c>
      <c r="AG7648">
        <v>-1.1708889999999901</v>
      </c>
      <c r="AH7648">
        <v>29.165436107243199</v>
      </c>
      <c r="AI7648">
        <v>92.298638492383404</v>
      </c>
      <c r="AJ7648">
        <v>90.999767042645004</v>
      </c>
      <c r="AK7648">
        <v>29.1933672385751</v>
      </c>
      <c r="AL7648">
        <v>90.302093438830198</v>
      </c>
      <c r="AM7648">
        <v>89.9815255619895</v>
      </c>
      <c r="AN7648">
        <v>1.00000005171226</v>
      </c>
    </row>
    <row r="7649" spans="1:40" x14ac:dyDescent="0.25">
      <c r="A7649" t="str">
        <f>"20190303153956631"</f>
        <v>20190303153956631</v>
      </c>
      <c r="B7649" t="str">
        <f>"1551598796625817"</f>
        <v>1551598796625817</v>
      </c>
      <c r="C7649" t="s">
        <v>40</v>
      </c>
      <c r="D7649">
        <v>4.4446320000000004</v>
      </c>
      <c r="E7649">
        <v>0.4929984</v>
      </c>
      <c r="F7649" t="s">
        <v>43</v>
      </c>
      <c r="G7649">
        <v>-301.69290000000001</v>
      </c>
      <c r="H7649">
        <v>-0.05</v>
      </c>
      <c r="I7649">
        <v>18.646560000000001</v>
      </c>
      <c r="J7649">
        <v>-332.94060000000002</v>
      </c>
      <c r="K7649">
        <v>1.120865</v>
      </c>
      <c r="L7649">
        <v>17.650670000000002</v>
      </c>
      <c r="M7649">
        <v>0.99982969999999904</v>
      </c>
      <c r="N7649">
        <v>-1.1316669999999999E-2</v>
      </c>
      <c r="O7649">
        <v>1.458886E-2</v>
      </c>
      <c r="P7649">
        <v>0.9997798</v>
      </c>
      <c r="Q7649">
        <v>-1.6230189999999999E-2</v>
      </c>
      <c r="R7649">
        <v>1.330807E-2</v>
      </c>
      <c r="S7649">
        <v>2.9974980000000002</v>
      </c>
      <c r="T7649">
        <v>-0.1119175</v>
      </c>
      <c r="U7649">
        <v>9.5336909999999997E-2</v>
      </c>
      <c r="V7649">
        <v>1.277521E-3</v>
      </c>
      <c r="W7649">
        <v>-4.9146190000000003E-3</v>
      </c>
      <c r="X7649">
        <v>0.99998710000000002</v>
      </c>
      <c r="Y7649">
        <v>-1.719296E-2</v>
      </c>
      <c r="Z7649" s="1">
        <v>3.883331E-5</v>
      </c>
      <c r="AA7649">
        <v>0.99985219999999997</v>
      </c>
      <c r="AB7649">
        <v>23</v>
      </c>
      <c r="AC7649">
        <v>31.247699999999998</v>
      </c>
      <c r="AD7649">
        <v>-1.170865</v>
      </c>
      <c r="AE7649">
        <v>0.99588999999999905</v>
      </c>
      <c r="AF7649">
        <v>-0.53913037281165199</v>
      </c>
      <c r="AG7649">
        <v>-1.170865</v>
      </c>
      <c r="AH7649">
        <v>31.215121315992601</v>
      </c>
      <c r="AI7649">
        <v>92.147811527286706</v>
      </c>
      <c r="AJ7649">
        <v>90.989482747506003</v>
      </c>
      <c r="AK7649">
        <v>31.241725067275699</v>
      </c>
      <c r="AL7649">
        <v>90.281588062190295</v>
      </c>
      <c r="AM7649">
        <v>89.926802534034707</v>
      </c>
      <c r="AN7649">
        <v>0.99999999285311503</v>
      </c>
    </row>
    <row r="7650" spans="1:40" x14ac:dyDescent="0.25">
      <c r="A7650" t="str">
        <f>"20190303153956642"</f>
        <v>20190303153956642</v>
      </c>
      <c r="B7650" t="str">
        <f>"1551598796635577"</f>
        <v>1551598796635577</v>
      </c>
      <c r="C7650" t="s">
        <v>40</v>
      </c>
      <c r="D7650">
        <v>4.4485720000000004</v>
      </c>
      <c r="E7650">
        <v>0.49291950000000001</v>
      </c>
      <c r="F7650" t="s">
        <v>43</v>
      </c>
      <c r="G7650">
        <v>-302.09539999999998</v>
      </c>
      <c r="H7650">
        <v>-0.05</v>
      </c>
      <c r="I7650">
        <v>18.625109999999999</v>
      </c>
      <c r="J7650">
        <v>-332.8227</v>
      </c>
      <c r="K7650">
        <v>1.1208389999999999</v>
      </c>
      <c r="L7650">
        <v>17.652190000000001</v>
      </c>
      <c r="M7650">
        <v>0.99983239999999995</v>
      </c>
      <c r="N7650">
        <v>-1.1283110000000001E-2</v>
      </c>
      <c r="O7650">
        <v>1.4416109999999999E-2</v>
      </c>
      <c r="P7650">
        <v>0.99980619999999998</v>
      </c>
      <c r="Q7650">
        <v>-1.556338E-2</v>
      </c>
      <c r="R7650">
        <v>1.204821E-2</v>
      </c>
      <c r="S7650">
        <v>2.9975589999999999</v>
      </c>
      <c r="T7650">
        <v>-0.1137855</v>
      </c>
      <c r="U7650">
        <v>9.4696039999999995E-2</v>
      </c>
      <c r="V7650">
        <v>2.3649330000000001E-3</v>
      </c>
      <c r="W7650">
        <v>-4.2820139999999998E-3</v>
      </c>
      <c r="X7650">
        <v>0.99998799999999999</v>
      </c>
      <c r="Y7650">
        <v>-1.715129E-2</v>
      </c>
      <c r="Z7650" s="1">
        <v>3.790775E-5</v>
      </c>
      <c r="AA7650">
        <v>0.99985290000000004</v>
      </c>
      <c r="AB7650">
        <v>23</v>
      </c>
      <c r="AC7650">
        <v>30.7273</v>
      </c>
      <c r="AD7650">
        <v>-1.170839</v>
      </c>
      <c r="AE7650">
        <v>0.97291999999999801</v>
      </c>
      <c r="AF7650">
        <v>-0.529055157210084</v>
      </c>
      <c r="AG7650">
        <v>-1.170839</v>
      </c>
      <c r="AH7650">
        <v>30.693612772481199</v>
      </c>
      <c r="AI7650">
        <v>92.184222329402004</v>
      </c>
      <c r="AJ7650">
        <v>90.987489690919006</v>
      </c>
      <c r="AK7650">
        <v>30.720491993949398</v>
      </c>
      <c r="AL7650">
        <v>90.245342088517603</v>
      </c>
      <c r="AM7650">
        <v>89.864497946863594</v>
      </c>
      <c r="AN7650">
        <v>0.99999996434799399</v>
      </c>
    </row>
    <row r="7651" spans="1:40" x14ac:dyDescent="0.25">
      <c r="A7651" t="str">
        <f>"20190303153956654"</f>
        <v>20190303153956654</v>
      </c>
      <c r="B7651" t="str">
        <f>"1551598796645337"</f>
        <v>1551598796645337</v>
      </c>
      <c r="C7651" t="s">
        <v>40</v>
      </c>
      <c r="D7651">
        <v>4.4235550000000003</v>
      </c>
      <c r="E7651">
        <v>0.49285679999999998</v>
      </c>
      <c r="F7651" t="s">
        <v>43</v>
      </c>
      <c r="G7651">
        <v>-302.09649999999999</v>
      </c>
      <c r="H7651">
        <v>-0.05</v>
      </c>
      <c r="I7651">
        <v>18.589970000000001</v>
      </c>
      <c r="J7651">
        <v>-332.71249999999998</v>
      </c>
      <c r="K7651">
        <v>1.1208180000000001</v>
      </c>
      <c r="L7651">
        <v>17.65363</v>
      </c>
      <c r="M7651">
        <v>0.99983529999999998</v>
      </c>
      <c r="N7651">
        <v>-1.1258020000000001E-2</v>
      </c>
      <c r="O7651">
        <v>1.4241200000000001E-2</v>
      </c>
      <c r="P7651">
        <v>0.99982199999999999</v>
      </c>
      <c r="Q7651">
        <v>-1.5403E-2</v>
      </c>
      <c r="R7651">
        <v>1.0905939999999999E-2</v>
      </c>
      <c r="S7651">
        <v>2.9977109999999998</v>
      </c>
      <c r="T7651">
        <v>-0.114229399999999</v>
      </c>
      <c r="U7651">
        <v>9.1491699999999995E-2</v>
      </c>
      <c r="V7651">
        <v>3.331999E-3</v>
      </c>
      <c r="W7651">
        <v>-4.1474950000000002E-3</v>
      </c>
      <c r="X7651">
        <v>0.99998589999999998</v>
      </c>
      <c r="Y7651">
        <v>-1.6257589999999999E-2</v>
      </c>
      <c r="Z7651" s="1">
        <v>1.9113879999999999E-5</v>
      </c>
      <c r="AA7651">
        <v>0.99986790000000003</v>
      </c>
      <c r="AB7651">
        <v>23</v>
      </c>
      <c r="AC7651">
        <v>30.6159999999999</v>
      </c>
      <c r="AD7651">
        <v>-1.1708179999999999</v>
      </c>
      <c r="AE7651">
        <v>0.93634000000000095</v>
      </c>
      <c r="AF7651">
        <v>-0.499479078072602</v>
      </c>
      <c r="AG7651">
        <v>-1.1708179999999999</v>
      </c>
      <c r="AH7651">
        <v>30.581547976185501</v>
      </c>
      <c r="AI7651">
        <v>92.192212463874498</v>
      </c>
      <c r="AJ7651">
        <v>90.935711261942899</v>
      </c>
      <c r="AK7651">
        <v>30.6080278809055</v>
      </c>
      <c r="AL7651">
        <v>90.237634627969499</v>
      </c>
      <c r="AM7651">
        <v>89.809088534627904</v>
      </c>
      <c r="AN7651">
        <v>1.00000005206545</v>
      </c>
    </row>
    <row r="7652" spans="1:40" x14ac:dyDescent="0.25">
      <c r="A7652" t="str">
        <f>"20190303153956665"</f>
        <v>20190303153956665</v>
      </c>
      <c r="B7652" t="str">
        <f>"1551598796656073"</f>
        <v>1551598796656073</v>
      </c>
      <c r="C7652" t="s">
        <v>40</v>
      </c>
      <c r="D7652">
        <v>4.4291739999999997</v>
      </c>
      <c r="E7652">
        <v>0.49278040000000001</v>
      </c>
      <c r="F7652" t="s">
        <v>43</v>
      </c>
      <c r="G7652">
        <v>-302.11649999999997</v>
      </c>
      <c r="H7652">
        <v>-0.05</v>
      </c>
      <c r="I7652">
        <v>18.557189999999999</v>
      </c>
      <c r="J7652">
        <v>-332.58760000000001</v>
      </c>
      <c r="K7652">
        <v>1.120795</v>
      </c>
      <c r="L7652">
        <v>17.655179999999898</v>
      </c>
      <c r="M7652">
        <v>0.99983860000000002</v>
      </c>
      <c r="N7652">
        <v>-1.1239799999999999E-2</v>
      </c>
      <c r="O7652">
        <v>1.4021280000000001E-2</v>
      </c>
      <c r="P7652">
        <v>0.99983699999999998</v>
      </c>
      <c r="Q7652">
        <v>-1.5320830000000001E-2</v>
      </c>
      <c r="R7652">
        <v>9.5763110000000005E-3</v>
      </c>
      <c r="S7652">
        <v>2.9978030000000002</v>
      </c>
      <c r="T7652">
        <v>-0.114716899999999</v>
      </c>
      <c r="U7652">
        <v>8.8531490000000004E-2</v>
      </c>
      <c r="V7652">
        <v>4.4415359999999899E-3</v>
      </c>
      <c r="W7652">
        <v>-4.0845859999999899E-3</v>
      </c>
      <c r="X7652">
        <v>0.99998180000000003</v>
      </c>
      <c r="Y7652">
        <v>-1.5490759999999999E-2</v>
      </c>
      <c r="Z7652" s="1">
        <v>4.679023E-6</v>
      </c>
      <c r="AA7652">
        <v>0.99987999999999999</v>
      </c>
      <c r="AB7652">
        <v>23</v>
      </c>
      <c r="AC7652">
        <v>30.4711</v>
      </c>
      <c r="AD7652">
        <v>-1.170795</v>
      </c>
      <c r="AE7652">
        <v>0.90200999999999998</v>
      </c>
      <c r="AF7652">
        <v>-0.47395143731973799</v>
      </c>
      <c r="AG7652">
        <v>-1.170795</v>
      </c>
      <c r="AH7652">
        <v>30.435858116906399</v>
      </c>
      <c r="AI7652">
        <v>92.2026792613255</v>
      </c>
      <c r="AJ7652">
        <v>90.892145780194696</v>
      </c>
      <c r="AK7652">
        <v>30.462055909104699</v>
      </c>
      <c r="AL7652">
        <v>90.234030188279206</v>
      </c>
      <c r="AM7652">
        <v>89.745515774477298</v>
      </c>
      <c r="AN7652">
        <v>1.00000000570803</v>
      </c>
    </row>
    <row r="7653" spans="1:40" x14ac:dyDescent="0.25">
      <c r="A7653" t="str">
        <f>"20190303153956676"</f>
        <v>20190303153956676</v>
      </c>
      <c r="B7653" t="str">
        <f>"1551598796665834"</f>
        <v>1551598796665834</v>
      </c>
      <c r="C7653" t="s">
        <v>40</v>
      </c>
      <c r="D7653">
        <v>4.4943299999999997</v>
      </c>
      <c r="E7653">
        <v>0.4923033</v>
      </c>
      <c r="F7653" t="s">
        <v>43</v>
      </c>
      <c r="G7653">
        <v>-301.75189999999998</v>
      </c>
      <c r="H7653">
        <v>-0.05</v>
      </c>
      <c r="I7653">
        <v>18.53096</v>
      </c>
      <c r="J7653">
        <v>-332.46679999999998</v>
      </c>
      <c r="K7653">
        <v>1.1207739999999999</v>
      </c>
      <c r="L7653">
        <v>17.656649999999999</v>
      </c>
      <c r="M7653">
        <v>0.99984170000000006</v>
      </c>
      <c r="N7653">
        <v>-1.1242759999999999E-2</v>
      </c>
      <c r="O7653">
        <v>1.3785159999999999E-2</v>
      </c>
      <c r="P7653">
        <v>0.99984669999999998</v>
      </c>
      <c r="Q7653">
        <v>-1.5415949999999999E-2</v>
      </c>
      <c r="R7653">
        <v>8.3120820000000002E-3</v>
      </c>
      <c r="S7653">
        <v>2.997925</v>
      </c>
      <c r="T7653">
        <v>-0.1138279</v>
      </c>
      <c r="U7653">
        <v>8.5144040000000004E-2</v>
      </c>
      <c r="V7653">
        <v>5.4692999999999999E-3</v>
      </c>
      <c r="W7653">
        <v>-4.1778739999999998E-3</v>
      </c>
      <c r="X7653">
        <v>0.99997630000000004</v>
      </c>
      <c r="Y7653">
        <v>-1.459767E-2</v>
      </c>
      <c r="Z7653" s="1">
        <v>-9.0572140000000003E-6</v>
      </c>
      <c r="AA7653">
        <v>0.99989340000000004</v>
      </c>
      <c r="AB7653">
        <v>23</v>
      </c>
      <c r="AC7653">
        <v>30.7149</v>
      </c>
      <c r="AD7653">
        <v>-1.170774</v>
      </c>
      <c r="AE7653">
        <v>0.87431000000000103</v>
      </c>
      <c r="AF7653">
        <v>-0.45013681656954602</v>
      </c>
      <c r="AG7653">
        <v>-1.170774</v>
      </c>
      <c r="AH7653">
        <v>30.679494970280899</v>
      </c>
      <c r="AI7653">
        <v>92.185194566601098</v>
      </c>
      <c r="AJ7653">
        <v>90.840596931143494</v>
      </c>
      <c r="AK7653">
        <v>30.705125737312901</v>
      </c>
      <c r="AL7653">
        <v>90.239375247686496</v>
      </c>
      <c r="AM7653">
        <v>89.686627890897796</v>
      </c>
      <c r="AN7653">
        <v>0.999999984217669</v>
      </c>
    </row>
    <row r="7654" spans="1:40" x14ac:dyDescent="0.25">
      <c r="A7654" t="str">
        <f>"20190303153956688"</f>
        <v>20190303153956688</v>
      </c>
      <c r="B7654" t="str">
        <f>"1551598796675593"</f>
        <v>1551598796675593</v>
      </c>
      <c r="C7654" t="s">
        <v>40</v>
      </c>
      <c r="D7654">
        <v>4.431527</v>
      </c>
      <c r="E7654">
        <v>0.49253449999999999</v>
      </c>
      <c r="F7654" t="s">
        <v>43</v>
      </c>
      <c r="G7654">
        <v>-302.50529999999998</v>
      </c>
      <c r="H7654">
        <v>-0.05</v>
      </c>
      <c r="I7654">
        <v>18.506959999999999</v>
      </c>
      <c r="J7654">
        <v>-332.34769999999997</v>
      </c>
      <c r="K7654">
        <v>1.1207590000000001</v>
      </c>
      <c r="L7654">
        <v>17.658049999999999</v>
      </c>
      <c r="M7654">
        <v>0.99984499999999998</v>
      </c>
      <c r="N7654">
        <v>-1.1255360000000001E-2</v>
      </c>
      <c r="O7654">
        <v>1.354149E-2</v>
      </c>
      <c r="P7654">
        <v>0.99985199999999996</v>
      </c>
      <c r="Q7654">
        <v>-1.56727999999999E-2</v>
      </c>
      <c r="R7654">
        <v>7.1004369999999898E-3</v>
      </c>
      <c r="S7654">
        <v>2.9979550000000001</v>
      </c>
      <c r="T7654">
        <v>-0.1171478</v>
      </c>
      <c r="U7654">
        <v>8.5083010000000001E-2</v>
      </c>
      <c r="V7654">
        <v>6.4369290000000001E-3</v>
      </c>
      <c r="W7654">
        <v>-4.4233270000000003E-3</v>
      </c>
      <c r="X7654">
        <v>0.99996949999999996</v>
      </c>
      <c r="Y7654">
        <v>-1.4820099999999999E-2</v>
      </c>
      <c r="Z7654" s="1">
        <v>-3.5933770000000002E-6</v>
      </c>
      <c r="AA7654">
        <v>0.9998901</v>
      </c>
      <c r="AB7654">
        <v>23</v>
      </c>
      <c r="AC7654">
        <v>29.842400000000001</v>
      </c>
      <c r="AD7654">
        <v>-1.1707590000000001</v>
      </c>
      <c r="AE7654">
        <v>0.84891000000000005</v>
      </c>
      <c r="AF7654">
        <v>-0.444013179611703</v>
      </c>
      <c r="AG7654">
        <v>-1.1707590000000001</v>
      </c>
      <c r="AH7654">
        <v>29.805323278710802</v>
      </c>
      <c r="AI7654">
        <v>92.249183827230695</v>
      </c>
      <c r="AJ7654">
        <v>90.853478398205496</v>
      </c>
      <c r="AK7654">
        <v>29.831612763781401</v>
      </c>
      <c r="AL7654">
        <v>90.253438794864906</v>
      </c>
      <c r="AM7654">
        <v>89.631184980349502</v>
      </c>
      <c r="AN7654">
        <v>1.0000000004034699</v>
      </c>
    </row>
    <row r="7655" spans="1:40" x14ac:dyDescent="0.25">
      <c r="A7655" t="str">
        <f>"20190303153956699"</f>
        <v>20190303153956699</v>
      </c>
      <c r="B7655" t="str">
        <f>"1551598796696089"</f>
        <v>1551598796696089</v>
      </c>
      <c r="C7655" t="s">
        <v>40</v>
      </c>
      <c r="D7655">
        <v>4.442437</v>
      </c>
      <c r="E7655">
        <v>0.49219940000000001</v>
      </c>
      <c r="F7655" t="s">
        <v>43</v>
      </c>
      <c r="G7655">
        <v>-302.53750000000002</v>
      </c>
      <c r="H7655">
        <v>-0.05</v>
      </c>
      <c r="I7655">
        <v>18.44943</v>
      </c>
      <c r="J7655">
        <v>-332.23939999999999</v>
      </c>
      <c r="K7655">
        <v>1.1207609999999999</v>
      </c>
      <c r="L7655">
        <v>17.659269999999999</v>
      </c>
      <c r="M7655">
        <v>0.9998475</v>
      </c>
      <c r="N7655">
        <v>-1.1314090000000001E-2</v>
      </c>
      <c r="O7655">
        <v>1.33034E-2</v>
      </c>
      <c r="P7655">
        <v>0.99985369999999996</v>
      </c>
      <c r="Q7655">
        <v>-1.5972630000000002E-2</v>
      </c>
      <c r="R7655">
        <v>6.106925E-3</v>
      </c>
      <c r="S7655">
        <v>2.9980769999999999</v>
      </c>
      <c r="T7655">
        <v>-0.11774560000000001</v>
      </c>
      <c r="U7655">
        <v>7.9589839999999995E-2</v>
      </c>
      <c r="V7655">
        <v>7.1919920000000003E-3</v>
      </c>
      <c r="W7655">
        <v>-4.6654590000000003E-3</v>
      </c>
      <c r="X7655">
        <v>0.99996320000000005</v>
      </c>
      <c r="Y7655">
        <v>-1.322776E-2</v>
      </c>
      <c r="Z7655" s="1">
        <v>-3.7194509999999998E-5</v>
      </c>
      <c r="AA7655">
        <v>0.99991249999999998</v>
      </c>
      <c r="AB7655">
        <v>23</v>
      </c>
      <c r="AC7655">
        <v>29.701899999999899</v>
      </c>
      <c r="AD7655">
        <v>-1.1707609999999999</v>
      </c>
      <c r="AE7655">
        <v>0.79015999999999598</v>
      </c>
      <c r="AF7655">
        <v>-0.39431630246108001</v>
      </c>
      <c r="AG7655">
        <v>-1.1707609999999999</v>
      </c>
      <c r="AH7655">
        <v>29.663727676020201</v>
      </c>
      <c r="AI7655">
        <v>92.259963776777298</v>
      </c>
      <c r="AJ7655">
        <v>90.761580931428</v>
      </c>
      <c r="AK7655">
        <v>29.689440990065801</v>
      </c>
      <c r="AL7655">
        <v>90.267312094292294</v>
      </c>
      <c r="AM7655">
        <v>89.587921152661593</v>
      </c>
      <c r="AN7655">
        <v>0.99999994630542299</v>
      </c>
    </row>
    <row r="7656" spans="1:40" x14ac:dyDescent="0.25">
      <c r="A7656" t="str">
        <f>"20190303153956712"</f>
        <v>20190303153956712</v>
      </c>
      <c r="B7656" t="str">
        <f>"1551598796705849"</f>
        <v>1551598796705849</v>
      </c>
      <c r="C7656" t="s">
        <v>40</v>
      </c>
      <c r="D7656">
        <v>4.4532619999999996</v>
      </c>
      <c r="E7656">
        <v>0.49224079999999898</v>
      </c>
      <c r="F7656" t="s">
        <v>43</v>
      </c>
      <c r="G7656">
        <v>-303.5675</v>
      </c>
      <c r="H7656">
        <v>-0.05</v>
      </c>
      <c r="I7656">
        <v>18.41666</v>
      </c>
      <c r="J7656">
        <v>-332.10660000000001</v>
      </c>
      <c r="K7656">
        <v>1.1207659999999999</v>
      </c>
      <c r="L7656">
        <v>17.660710000000002</v>
      </c>
      <c r="M7656">
        <v>0.99985049999999998</v>
      </c>
      <c r="N7656">
        <v>-1.1399019999999999E-2</v>
      </c>
      <c r="O7656">
        <v>1.3005859999999999E-2</v>
      </c>
      <c r="P7656">
        <v>0.99985139999999995</v>
      </c>
      <c r="Q7656">
        <v>-1.645692E-2</v>
      </c>
      <c r="R7656">
        <v>5.1388520000000002E-3</v>
      </c>
      <c r="S7656">
        <v>2.997986</v>
      </c>
      <c r="T7656">
        <v>-0.122416899999999</v>
      </c>
      <c r="U7656">
        <v>7.9193120000000006E-2</v>
      </c>
      <c r="V7656">
        <v>7.8617770000000003E-3</v>
      </c>
      <c r="W7656">
        <v>-5.0659040000000004E-3</v>
      </c>
      <c r="X7656">
        <v>0.99995630000000002</v>
      </c>
      <c r="Y7656">
        <v>-1.3393189999999999E-2</v>
      </c>
      <c r="Z7656" s="1">
        <v>-3.2851329999999997E-5</v>
      </c>
      <c r="AA7656">
        <v>0.99991030000000003</v>
      </c>
      <c r="AB7656">
        <v>23</v>
      </c>
      <c r="AC7656">
        <v>28.539100000000001</v>
      </c>
      <c r="AD7656">
        <v>-1.170766</v>
      </c>
      <c r="AE7656">
        <v>0.75594999999999801</v>
      </c>
      <c r="AF7656">
        <v>-0.38404056743660803</v>
      </c>
      <c r="AG7656">
        <v>-1.170766</v>
      </c>
      <c r="AH7656">
        <v>28.498591472475098</v>
      </c>
      <c r="AI7656">
        <v>92.3522626510279</v>
      </c>
      <c r="AJ7656">
        <v>90.772058222544203</v>
      </c>
      <c r="AK7656">
        <v>28.525215092952799</v>
      </c>
      <c r="AL7656">
        <v>90.290256149550103</v>
      </c>
      <c r="AM7656">
        <v>89.549542954253596</v>
      </c>
      <c r="AN7656">
        <v>1.0000000364153101</v>
      </c>
    </row>
    <row r="7657" spans="1:40" x14ac:dyDescent="0.25">
      <c r="A7657" t="str">
        <f>"20190303153956725"</f>
        <v>20190303153956725</v>
      </c>
      <c r="B7657" t="str">
        <f>"1551598796715608"</f>
        <v>1551598796715608</v>
      </c>
      <c r="C7657" t="s">
        <v>40</v>
      </c>
      <c r="D7657">
        <v>4.4792870000000002</v>
      </c>
      <c r="E7657">
        <v>0.49221880000000001</v>
      </c>
      <c r="F7657" t="s">
        <v>43</v>
      </c>
      <c r="G7657">
        <v>-303.99810000000002</v>
      </c>
      <c r="H7657">
        <v>-0.05</v>
      </c>
      <c r="I7657">
        <v>18.372299999999999</v>
      </c>
      <c r="J7657">
        <v>-331.9633</v>
      </c>
      <c r="K7657">
        <v>1.120787</v>
      </c>
      <c r="L7657">
        <v>17.662199999999999</v>
      </c>
      <c r="M7657">
        <v>0.99985329999999994</v>
      </c>
      <c r="N7657">
        <v>-1.1530159999999999E-2</v>
      </c>
      <c r="O7657">
        <v>1.2667299999999999E-2</v>
      </c>
      <c r="P7657">
        <v>0.99984600000000001</v>
      </c>
      <c r="Q7657">
        <v>-1.6930810000000001E-2</v>
      </c>
      <c r="R7657">
        <v>4.6397900000000004E-3</v>
      </c>
      <c r="S7657">
        <v>2.997986</v>
      </c>
      <c r="T7657">
        <v>-0.1248713</v>
      </c>
      <c r="U7657">
        <v>7.5897220000000001E-2</v>
      </c>
      <c r="V7657">
        <v>8.0216309999999996E-3</v>
      </c>
      <c r="W7657">
        <v>-5.4091520000000004E-3</v>
      </c>
      <c r="X7657">
        <v>0.99995319999999999</v>
      </c>
      <c r="Y7657">
        <v>-1.263361E-2</v>
      </c>
      <c r="Z7657" s="1">
        <v>-4.5431949999999998E-5</v>
      </c>
      <c r="AA7657">
        <v>0.99992020000000004</v>
      </c>
      <c r="AB7657">
        <v>23</v>
      </c>
      <c r="AC7657">
        <v>27.9651999999999</v>
      </c>
      <c r="AD7657">
        <v>-1.170787</v>
      </c>
      <c r="AE7657">
        <v>0.71009999999999995</v>
      </c>
      <c r="AF7657">
        <v>-0.35515380102039601</v>
      </c>
      <c r="AG7657">
        <v>-1.170787</v>
      </c>
      <c r="AH7657">
        <v>27.923041036086001</v>
      </c>
      <c r="AI7657">
        <v>92.400758167463707</v>
      </c>
      <c r="AJ7657">
        <v>90.728707043648001</v>
      </c>
      <c r="AK7657">
        <v>27.949831790633201</v>
      </c>
      <c r="AL7657">
        <v>90.309923090503304</v>
      </c>
      <c r="AM7657">
        <v>89.5403827473571</v>
      </c>
      <c r="AN7657">
        <v>1.0000000038397401</v>
      </c>
    </row>
    <row r="7658" spans="1:40" x14ac:dyDescent="0.25">
      <c r="A7658" t="str">
        <f>"20190303153956739"</f>
        <v>20190303153956739</v>
      </c>
      <c r="B7658" t="str">
        <f>"1551598796736090"</f>
        <v>1551598796736090</v>
      </c>
      <c r="C7658" t="s">
        <v>40</v>
      </c>
      <c r="D7658">
        <v>4.4882960000000001</v>
      </c>
      <c r="E7658">
        <v>0.49187839999999999</v>
      </c>
      <c r="F7658" t="s">
        <v>43</v>
      </c>
      <c r="G7658">
        <v>-304.3399</v>
      </c>
      <c r="H7658">
        <v>-0.05</v>
      </c>
      <c r="I7658">
        <v>18.349150000000002</v>
      </c>
      <c r="J7658">
        <v>-331.81299999999999</v>
      </c>
      <c r="K7658">
        <v>1.1208089999999999</v>
      </c>
      <c r="L7658">
        <v>17.663699999999999</v>
      </c>
      <c r="M7658">
        <v>0.99985630000000003</v>
      </c>
      <c r="N7658">
        <v>-1.1672429999999999E-2</v>
      </c>
      <c r="O7658">
        <v>1.229805E-2</v>
      </c>
      <c r="P7658">
        <v>0.99984079999999997</v>
      </c>
      <c r="Q7658">
        <v>-1.7336359999999999E-2</v>
      </c>
      <c r="R7658">
        <v>4.2677740000000002E-3</v>
      </c>
      <c r="S7658">
        <v>2.997986</v>
      </c>
      <c r="T7658">
        <v>-0.12706589999999901</v>
      </c>
      <c r="U7658">
        <v>7.455444E-2</v>
      </c>
      <c r="V7658">
        <v>8.0239339999999999E-3</v>
      </c>
      <c r="W7658">
        <v>-5.6726459999999999E-3</v>
      </c>
      <c r="X7658">
        <v>0.9999517</v>
      </c>
      <c r="Y7658">
        <v>-1.255495E-2</v>
      </c>
      <c r="Z7658" s="1">
        <v>-3.8169430000000003E-5</v>
      </c>
      <c r="AA7658">
        <v>0.99992119999999995</v>
      </c>
      <c r="AB7658">
        <v>23</v>
      </c>
      <c r="AC7658">
        <v>27.473099999999999</v>
      </c>
      <c r="AD7658">
        <v>-1.170809</v>
      </c>
      <c r="AE7658">
        <v>0.685450000000003</v>
      </c>
      <c r="AF7658">
        <v>-0.34687999718103901</v>
      </c>
      <c r="AG7658">
        <v>-1.170809</v>
      </c>
      <c r="AH7658">
        <v>27.429666390058699</v>
      </c>
      <c r="AI7658">
        <v>92.443936589804295</v>
      </c>
      <c r="AJ7658">
        <v>90.724533071675395</v>
      </c>
      <c r="AK7658">
        <v>27.456833716159601</v>
      </c>
      <c r="AL7658">
        <v>90.325020423348093</v>
      </c>
      <c r="AM7658">
        <v>89.540250107867493</v>
      </c>
      <c r="AN7658">
        <v>0.99999998238118304</v>
      </c>
    </row>
    <row r="7659" spans="1:40" x14ac:dyDescent="0.25">
      <c r="A7659" t="str">
        <f>"20190303153956752"</f>
        <v>20190303153956752</v>
      </c>
      <c r="B7659" t="str">
        <f>"1551598796745849"</f>
        <v>1551598796745849</v>
      </c>
      <c r="C7659" t="s">
        <v>40</v>
      </c>
      <c r="D7659">
        <v>4.4389190000000003</v>
      </c>
      <c r="E7659">
        <v>0.49191479999999999</v>
      </c>
      <c r="F7659" t="s">
        <v>43</v>
      </c>
      <c r="G7659">
        <v>-305.28120000000001</v>
      </c>
      <c r="H7659">
        <v>-0.05</v>
      </c>
      <c r="I7659">
        <v>18.337019999999999</v>
      </c>
      <c r="J7659">
        <v>-331.67989999999998</v>
      </c>
      <c r="K7659">
        <v>1.12083</v>
      </c>
      <c r="L7659">
        <v>17.665009999999999</v>
      </c>
      <c r="M7659">
        <v>0.99985889999999999</v>
      </c>
      <c r="N7659">
        <v>-1.179674E-2</v>
      </c>
      <c r="O7659">
        <v>1.1964249999999999E-2</v>
      </c>
      <c r="P7659">
        <v>0.99983480000000002</v>
      </c>
      <c r="Q7659">
        <v>-1.7600379999999999E-2</v>
      </c>
      <c r="R7659">
        <v>4.5739780000000002E-3</v>
      </c>
      <c r="S7659">
        <v>2.9978639999999999</v>
      </c>
      <c r="T7659">
        <v>-0.132291299999999</v>
      </c>
      <c r="U7659">
        <v>7.6080320000000007E-2</v>
      </c>
      <c r="V7659">
        <v>7.3837410000000001E-3</v>
      </c>
      <c r="W7659">
        <v>-5.8117809999999898E-3</v>
      </c>
      <c r="X7659">
        <v>0.99995579999999995</v>
      </c>
      <c r="Y7659">
        <v>-1.3396699999999999E-2</v>
      </c>
      <c r="Z7659" s="1">
        <v>-1.2034900000000001E-5</v>
      </c>
      <c r="AA7659">
        <v>0.99991019999999997</v>
      </c>
      <c r="AB7659">
        <v>23</v>
      </c>
      <c r="AC7659">
        <v>26.398699999999899</v>
      </c>
      <c r="AD7659">
        <v>-1.17083</v>
      </c>
      <c r="AE7659">
        <v>0.67201</v>
      </c>
      <c r="AF7659">
        <v>-0.35540063954363699</v>
      </c>
      <c r="AG7659">
        <v>-1.17083</v>
      </c>
      <c r="AH7659">
        <v>26.353045877934399</v>
      </c>
      <c r="AI7659">
        <v>92.543669660425095</v>
      </c>
      <c r="AJ7659">
        <v>90.772651571353094</v>
      </c>
      <c r="AK7659">
        <v>26.3814362677244</v>
      </c>
      <c r="AL7659">
        <v>90.332992414260701</v>
      </c>
      <c r="AM7659">
        <v>89.576931792803094</v>
      </c>
      <c r="AN7659">
        <v>0.99999994919159196</v>
      </c>
    </row>
    <row r="7660" spans="1:40" x14ac:dyDescent="0.25">
      <c r="A7660" t="str">
        <f>"20190303153956765"</f>
        <v>20190303153956765</v>
      </c>
      <c r="B7660" t="str">
        <f>"1551598796755610"</f>
        <v>1551598796755610</v>
      </c>
      <c r="C7660" t="s">
        <v>40</v>
      </c>
      <c r="D7660">
        <v>4.5002050000000002</v>
      </c>
      <c r="E7660">
        <v>0.49185020000000002</v>
      </c>
      <c r="F7660" t="s">
        <v>43</v>
      </c>
      <c r="G7660">
        <v>-305.14519999999999</v>
      </c>
      <c r="H7660">
        <v>-0.05</v>
      </c>
      <c r="I7660">
        <v>18.344360000000002</v>
      </c>
      <c r="J7660">
        <v>-331.55079999999998</v>
      </c>
      <c r="K7660">
        <v>1.1208499999999999</v>
      </c>
      <c r="L7660">
        <v>17.6662</v>
      </c>
      <c r="M7660">
        <v>0.99986140000000001</v>
      </c>
      <c r="N7660">
        <v>-1.1908139999999999E-2</v>
      </c>
      <c r="O7660">
        <v>1.163439E-2</v>
      </c>
      <c r="P7660">
        <v>0.99982729999999997</v>
      </c>
      <c r="Q7660">
        <v>-1.798754E-2</v>
      </c>
      <c r="R7660">
        <v>4.6869349999999997E-3</v>
      </c>
      <c r="S7660">
        <v>2.9978030000000002</v>
      </c>
      <c r="T7660">
        <v>-0.13227649999999999</v>
      </c>
      <c r="U7660">
        <v>7.6751710000000001E-2</v>
      </c>
      <c r="V7660">
        <v>6.940613E-3</v>
      </c>
      <c r="W7660">
        <v>-6.0871240000000002E-3</v>
      </c>
      <c r="X7660">
        <v>0.9999574</v>
      </c>
      <c r="Y7660">
        <v>-1.3949929999999999E-2</v>
      </c>
      <c r="Z7660" s="1">
        <v>1.6177670000000001E-5</v>
      </c>
      <c r="AA7660">
        <v>0.99990270000000003</v>
      </c>
      <c r="AB7660">
        <v>23</v>
      </c>
      <c r="AC7660">
        <v>26.4056</v>
      </c>
      <c r="AD7660">
        <v>-1.1708499999999999</v>
      </c>
      <c r="AE7660">
        <v>0.67816000000000098</v>
      </c>
      <c r="AF7660">
        <v>-0.370151974551713</v>
      </c>
      <c r="AG7660">
        <v>-1.1708499999999999</v>
      </c>
      <c r="AH7660">
        <v>26.359910469834599</v>
      </c>
      <c r="AI7660">
        <v>92.543032059583098</v>
      </c>
      <c r="AJ7660">
        <v>90.804507744381397</v>
      </c>
      <c r="AK7660">
        <v>26.388497156610899</v>
      </c>
      <c r="AL7660">
        <v>90.348768663711994</v>
      </c>
      <c r="AM7660">
        <v>89.6023216126259</v>
      </c>
      <c r="AN7660">
        <v>1.00000001350108</v>
      </c>
    </row>
    <row r="7661" spans="1:40" x14ac:dyDescent="0.25">
      <c r="A7661" t="str">
        <f>"20190303153956775"</f>
        <v>20190303153956775</v>
      </c>
      <c r="B7661" t="str">
        <f>"1551598796766347"</f>
        <v>1551598796766347</v>
      </c>
      <c r="C7661" t="s">
        <v>40</v>
      </c>
      <c r="D7661">
        <v>4.4997129999999999</v>
      </c>
      <c r="E7661">
        <v>0.49185020000000002</v>
      </c>
      <c r="F7661" t="s">
        <v>43</v>
      </c>
      <c r="G7661">
        <v>-305.32209999999998</v>
      </c>
      <c r="H7661">
        <v>-0.05</v>
      </c>
      <c r="I7661">
        <v>18.344940000000001</v>
      </c>
      <c r="J7661">
        <v>-331.4427</v>
      </c>
      <c r="K7661">
        <v>1.1208670000000001</v>
      </c>
      <c r="L7661">
        <v>17.667179999999998</v>
      </c>
      <c r="M7661">
        <v>0.99986359999999996</v>
      </c>
      <c r="N7661">
        <v>-1.199719E-2</v>
      </c>
      <c r="O7661">
        <v>1.135947E-2</v>
      </c>
      <c r="P7661">
        <v>0.99981549999999997</v>
      </c>
      <c r="Q7661">
        <v>-1.8563960000000001E-2</v>
      </c>
      <c r="R7661">
        <v>4.9810770000000004E-3</v>
      </c>
      <c r="S7661">
        <v>2.9978030000000002</v>
      </c>
      <c r="T7661">
        <v>-0.1338221</v>
      </c>
      <c r="U7661">
        <v>7.7575679999999994E-2</v>
      </c>
      <c r="V7661">
        <v>6.3708419999999998E-3</v>
      </c>
      <c r="W7661">
        <v>-6.5739589999999999E-3</v>
      </c>
      <c r="X7661">
        <v>0.99995809999999996</v>
      </c>
      <c r="Y7661">
        <v>-1.449843E-2</v>
      </c>
      <c r="Z7661" s="1">
        <v>3.9931100000000001E-5</v>
      </c>
      <c r="AA7661">
        <v>0.99989490000000003</v>
      </c>
      <c r="AB7661">
        <v>23</v>
      </c>
      <c r="AC7661">
        <v>26.1206</v>
      </c>
      <c r="AD7661">
        <v>-1.1708670000000001</v>
      </c>
      <c r="AE7661">
        <v>0.67776000000000203</v>
      </c>
      <c r="AF7661">
        <v>-0.38021530438671403</v>
      </c>
      <c r="AG7661">
        <v>-1.1708670000000001</v>
      </c>
      <c r="AH7661">
        <v>26.0742577367999</v>
      </c>
      <c r="AI7661">
        <v>92.570872147006895</v>
      </c>
      <c r="AJ7661">
        <v>90.835428896848995</v>
      </c>
      <c r="AK7661">
        <v>26.103302659518899</v>
      </c>
      <c r="AL7661">
        <v>90.3766628172704</v>
      </c>
      <c r="AM7661">
        <v>89.634967285342</v>
      </c>
      <c r="AN7661">
        <v>1.0000000031601599</v>
      </c>
    </row>
    <row r="7662" spans="1:40" x14ac:dyDescent="0.25">
      <c r="A7662" t="str">
        <f>"20190303153956785"</f>
        <v>20190303153956785</v>
      </c>
      <c r="B7662" t="str">
        <f>"1551598796776107"</f>
        <v>1551598796776107</v>
      </c>
      <c r="C7662" t="s">
        <v>40</v>
      </c>
      <c r="D7662">
        <v>4.5408330000000001</v>
      </c>
      <c r="E7662">
        <v>0.4884365</v>
      </c>
      <c r="F7662" t="s">
        <v>43</v>
      </c>
      <c r="G7662">
        <v>-305.55340000000001</v>
      </c>
      <c r="H7662">
        <v>-0.05</v>
      </c>
      <c r="I7662">
        <v>18.344799999999999</v>
      </c>
      <c r="J7662">
        <v>-331.33109999999999</v>
      </c>
      <c r="K7662">
        <v>1.1208769999999999</v>
      </c>
      <c r="L7662">
        <v>17.66818</v>
      </c>
      <c r="M7662">
        <v>0.99986569999999997</v>
      </c>
      <c r="N7662">
        <v>-1.2086009999999999E-2</v>
      </c>
      <c r="O7662">
        <v>1.107699E-2</v>
      </c>
      <c r="P7662">
        <v>0.99980119999999895</v>
      </c>
      <c r="Q7662">
        <v>-1.917951E-2</v>
      </c>
      <c r="R7662">
        <v>5.4898819999999997E-3</v>
      </c>
      <c r="S7662">
        <v>2.9976500000000001</v>
      </c>
      <c r="T7662">
        <v>-0.13557149999999901</v>
      </c>
      <c r="U7662">
        <v>7.846069E-2</v>
      </c>
      <c r="V7662">
        <v>5.5791209999999898E-3</v>
      </c>
      <c r="W7662">
        <v>-7.0999330000000001E-3</v>
      </c>
      <c r="X7662">
        <v>0.99995919999999905</v>
      </c>
      <c r="Y7662">
        <v>-1.5076050000000001E-2</v>
      </c>
      <c r="Z7662" s="1">
        <v>6.5079770000000005E-5</v>
      </c>
      <c r="AA7662">
        <v>0.99988630000000001</v>
      </c>
      <c r="AB7662">
        <v>23</v>
      </c>
      <c r="AC7662">
        <v>25.7776999999999</v>
      </c>
      <c r="AD7662">
        <v>-1.1708769999999999</v>
      </c>
      <c r="AE7662">
        <v>0.676619999999999</v>
      </c>
      <c r="AF7662">
        <v>-0.39021380551691098</v>
      </c>
      <c r="AG7662">
        <v>-1.1708769999999999</v>
      </c>
      <c r="AH7662">
        <v>25.730563841873099</v>
      </c>
      <c r="AI7662">
        <v>92.605165012237705</v>
      </c>
      <c r="AJ7662">
        <v>90.868845725198199</v>
      </c>
      <c r="AK7662">
        <v>25.760146260917299</v>
      </c>
      <c r="AL7662">
        <v>90.406799626257197</v>
      </c>
      <c r="AM7662">
        <v>89.680330187630503</v>
      </c>
      <c r="AN7662">
        <v>0.99999996865218799</v>
      </c>
    </row>
    <row r="7663" spans="1:40" x14ac:dyDescent="0.25">
      <c r="A7663" t="str">
        <f>"20190303153956796"</f>
        <v>20190303153956796</v>
      </c>
      <c r="B7663" t="str">
        <f>"1551598796785867"</f>
        <v>1551598796785867</v>
      </c>
      <c r="C7663" t="s">
        <v>40</v>
      </c>
      <c r="D7663">
        <v>4.4675200000000004</v>
      </c>
      <c r="E7663">
        <v>0.48913250000000003</v>
      </c>
      <c r="F7663" t="s">
        <v>43</v>
      </c>
      <c r="G7663">
        <v>-315.48649999999998</v>
      </c>
      <c r="H7663">
        <v>-0.05</v>
      </c>
      <c r="I7663">
        <v>18.22681</v>
      </c>
      <c r="J7663">
        <v>-331.22609999999997</v>
      </c>
      <c r="K7663">
        <v>1.120887</v>
      </c>
      <c r="L7663">
        <v>17.669039999999999</v>
      </c>
      <c r="M7663">
        <v>0.99986759999999997</v>
      </c>
      <c r="N7663">
        <v>-1.216858E-2</v>
      </c>
      <c r="O7663">
        <v>1.0818110000000001E-2</v>
      </c>
      <c r="P7663">
        <v>0.99978319999999998</v>
      </c>
      <c r="Q7663">
        <v>-1.9884430000000002E-2</v>
      </c>
      <c r="R7663">
        <v>6.2017829999999998E-3</v>
      </c>
      <c r="S7663">
        <v>2.9957889999999998</v>
      </c>
      <c r="T7663">
        <v>-0.2213813</v>
      </c>
      <c r="U7663">
        <v>0.1056213</v>
      </c>
      <c r="V7663">
        <v>4.6076709999999998E-3</v>
      </c>
      <c r="W7663">
        <v>-7.7213639999999997E-3</v>
      </c>
      <c r="X7663">
        <v>0.99995959999999995</v>
      </c>
      <c r="Y7663">
        <v>-2.4363699999999999E-2</v>
      </c>
      <c r="Z7663">
        <v>3.8064419999999998E-4</v>
      </c>
      <c r="AA7663">
        <v>0.99970309999999996</v>
      </c>
      <c r="AB7663">
        <v>23</v>
      </c>
      <c r="AC7663">
        <v>15.7395999999999</v>
      </c>
      <c r="AD7663">
        <v>-1.170887</v>
      </c>
      <c r="AE7663">
        <v>0.55777000000000099</v>
      </c>
      <c r="AF7663">
        <v>-0.38532233522300102</v>
      </c>
      <c r="AG7663">
        <v>-1.170887</v>
      </c>
      <c r="AH7663">
        <v>15.6581689766646</v>
      </c>
      <c r="AI7663">
        <v>94.275216725633797</v>
      </c>
      <c r="AJ7663">
        <v>91.409672403693506</v>
      </c>
      <c r="AK7663">
        <v>15.706613427807101</v>
      </c>
      <c r="AL7663">
        <v>90.442405953917202</v>
      </c>
      <c r="AM7663">
        <v>89.735991100779103</v>
      </c>
      <c r="AN7663">
        <v>1.0000000258631101</v>
      </c>
    </row>
    <row r="7664" spans="1:40" x14ac:dyDescent="0.25">
      <c r="A7664" t="str">
        <f>"20190303153956807"</f>
        <v>20190303153956807</v>
      </c>
      <c r="B7664" t="str">
        <f>"1551598796795626"</f>
        <v>1551598796795626</v>
      </c>
      <c r="C7664" t="s">
        <v>40</v>
      </c>
      <c r="D7664">
        <v>4.4772489999999996</v>
      </c>
      <c r="E7664">
        <v>0.48945240000000001</v>
      </c>
      <c r="F7664" t="s">
        <v>43</v>
      </c>
      <c r="G7664">
        <v>-312.91800000000001</v>
      </c>
      <c r="H7664">
        <v>-0.05</v>
      </c>
      <c r="I7664">
        <v>18.297070000000001</v>
      </c>
      <c r="J7664">
        <v>-331.1071</v>
      </c>
      <c r="K7664">
        <v>1.120903</v>
      </c>
      <c r="L7664">
        <v>17.670010000000001</v>
      </c>
      <c r="M7664">
        <v>0.99986940000000002</v>
      </c>
      <c r="N7664">
        <v>-1.226153E-2</v>
      </c>
      <c r="O7664">
        <v>1.0528839999999999E-2</v>
      </c>
      <c r="P7664">
        <v>0.99976039999999999</v>
      </c>
      <c r="Q7664">
        <v>-2.074432E-2</v>
      </c>
      <c r="R7664">
        <v>7.0036359999999997E-3</v>
      </c>
      <c r="S7664">
        <v>2.996216</v>
      </c>
      <c r="T7664">
        <v>-0.19162170000000001</v>
      </c>
      <c r="U7664">
        <v>0.10278320000000001</v>
      </c>
      <c r="V7664">
        <v>3.515495E-3</v>
      </c>
      <c r="W7664">
        <v>-8.4873069999999995E-3</v>
      </c>
      <c r="X7664">
        <v>0.99995780000000001</v>
      </c>
      <c r="Y7664">
        <v>-2.3715170000000001E-2</v>
      </c>
      <c r="Z7664">
        <v>3.5949240000000002E-4</v>
      </c>
      <c r="AA7664">
        <v>0.99971869999999996</v>
      </c>
      <c r="AB7664">
        <v>23</v>
      </c>
      <c r="AC7664">
        <v>18.1891</v>
      </c>
      <c r="AD7664">
        <v>-1.170903</v>
      </c>
      <c r="AE7664">
        <v>0.62705999999999995</v>
      </c>
      <c r="AF7664">
        <v>-0.43370557616211303</v>
      </c>
      <c r="AG7664">
        <v>-1.170903</v>
      </c>
      <c r="AH7664">
        <v>18.119695515790902</v>
      </c>
      <c r="AI7664">
        <v>93.696282970417201</v>
      </c>
      <c r="AJ7664">
        <v>91.371146394023</v>
      </c>
      <c r="AK7664">
        <v>18.162667203557302</v>
      </c>
      <c r="AL7664">
        <v>90.486292710198299</v>
      </c>
      <c r="AM7664">
        <v>89.798569303064994</v>
      </c>
      <c r="AN7664">
        <v>0.99999999743302304</v>
      </c>
    </row>
    <row r="7665" spans="1:40" x14ac:dyDescent="0.25">
      <c r="A7665" t="str">
        <f>"20190303153956821"</f>
        <v>20190303153956821</v>
      </c>
      <c r="B7665" t="str">
        <f>"1551598796816123"</f>
        <v>1551598796816123</v>
      </c>
      <c r="C7665" t="s">
        <v>40</v>
      </c>
      <c r="D7665">
        <v>4.5341040000000001</v>
      </c>
      <c r="E7665">
        <v>0.48870239999999998</v>
      </c>
      <c r="F7665" t="s">
        <v>43</v>
      </c>
      <c r="G7665">
        <v>-311.55919999999998</v>
      </c>
      <c r="H7665">
        <v>-0.05</v>
      </c>
      <c r="I7665">
        <v>18.341370000000001</v>
      </c>
      <c r="J7665">
        <v>-330.97829999999999</v>
      </c>
      <c r="K7665">
        <v>1.1209199999999999</v>
      </c>
      <c r="L7665">
        <v>17.671019999999999</v>
      </c>
      <c r="M7665">
        <v>0.99987139999999997</v>
      </c>
      <c r="N7665">
        <v>-1.235985E-2</v>
      </c>
      <c r="O7665">
        <v>1.023029E-2</v>
      </c>
      <c r="P7665">
        <v>0.99974680000000005</v>
      </c>
      <c r="Q7665">
        <v>-2.116239E-2</v>
      </c>
      <c r="R7665">
        <v>7.6616200000000001E-3</v>
      </c>
      <c r="S7665">
        <v>2.9962770000000001</v>
      </c>
      <c r="T7665">
        <v>-0.17947449999999901</v>
      </c>
      <c r="U7665">
        <v>0.10290530000000001</v>
      </c>
      <c r="V7665">
        <v>2.559024E-3</v>
      </c>
      <c r="W7665">
        <v>-8.8061459999999904E-3</v>
      </c>
      <c r="X7665">
        <v>0.99995800000000001</v>
      </c>
      <c r="Y7665">
        <v>-2.4056859999999999E-2</v>
      </c>
      <c r="Z7665">
        <v>3.8282339999999999E-4</v>
      </c>
      <c r="AA7665">
        <v>0.99971049999999995</v>
      </c>
      <c r="AB7665">
        <v>23</v>
      </c>
      <c r="AC7665">
        <v>19.4191</v>
      </c>
      <c r="AD7665">
        <v>-1.17092</v>
      </c>
      <c r="AE7665">
        <v>0.670349999999999</v>
      </c>
      <c r="AF7665">
        <v>-0.46993021391018303</v>
      </c>
      <c r="AG7665">
        <v>-1.17092</v>
      </c>
      <c r="AH7665">
        <v>19.354656724961199</v>
      </c>
      <c r="AI7665">
        <v>93.461048751667406</v>
      </c>
      <c r="AJ7665">
        <v>91.390865736548193</v>
      </c>
      <c r="AK7665">
        <v>19.395737289245599</v>
      </c>
      <c r="AL7665">
        <v>90.504561496156896</v>
      </c>
      <c r="AM7665">
        <v>89.853372886868996</v>
      </c>
      <c r="AN7665">
        <v>1.0000000492876</v>
      </c>
    </row>
    <row r="7666" spans="1:40" x14ac:dyDescent="0.25">
      <c r="A7666" t="str">
        <f>"20190303153956833"</f>
        <v>20190303153956833</v>
      </c>
      <c r="B7666" t="str">
        <f>"1551598796825883"</f>
        <v>1551598796825883</v>
      </c>
      <c r="C7666" t="s">
        <v>40</v>
      </c>
      <c r="D7666">
        <v>4.530367</v>
      </c>
      <c r="E7666">
        <v>0.48876049999999899</v>
      </c>
      <c r="F7666" t="s">
        <v>43</v>
      </c>
      <c r="G7666">
        <v>-313.13819999999998</v>
      </c>
      <c r="H7666">
        <v>-0.05</v>
      </c>
      <c r="I7666">
        <v>18.329470000000001</v>
      </c>
      <c r="J7666">
        <v>-330.84350000000001</v>
      </c>
      <c r="K7666">
        <v>1.120941</v>
      </c>
      <c r="L7666">
        <v>17.672059999999998</v>
      </c>
      <c r="M7666">
        <v>0.99987309999999996</v>
      </c>
      <c r="N7666">
        <v>-1.246008E-2</v>
      </c>
      <c r="O7666">
        <v>9.9259789999999997E-3</v>
      </c>
      <c r="P7666">
        <v>0.9997355</v>
      </c>
      <c r="Q7666">
        <v>-2.120497E-2</v>
      </c>
      <c r="R7666">
        <v>8.916775E-3</v>
      </c>
      <c r="S7666">
        <v>2.9957280000000002</v>
      </c>
      <c r="T7666">
        <v>-0.19662170000000001</v>
      </c>
      <c r="U7666">
        <v>0.1105652</v>
      </c>
      <c r="V7666">
        <v>9.9974599999999992E-4</v>
      </c>
      <c r="W7666">
        <v>-8.7469699999999997E-3</v>
      </c>
      <c r="X7666">
        <v>0.99996130000000005</v>
      </c>
      <c r="Y7666">
        <v>-2.690588E-2</v>
      </c>
      <c r="Z7666">
        <v>5.2264249999999998E-4</v>
      </c>
      <c r="AA7666">
        <v>0.99963780000000002</v>
      </c>
      <c r="AB7666">
        <v>23</v>
      </c>
      <c r="AC7666">
        <v>17.705300000000001</v>
      </c>
      <c r="AD7666">
        <v>-1.170941</v>
      </c>
      <c r="AE7666">
        <v>0.65740999999999805</v>
      </c>
      <c r="AF7666">
        <v>-0.47952703856269202</v>
      </c>
      <c r="AG7666">
        <v>-1.170941</v>
      </c>
      <c r="AH7666">
        <v>17.633931674758401</v>
      </c>
      <c r="AI7666">
        <v>93.797618601525201</v>
      </c>
      <c r="AJ7666">
        <v>91.557684728823503</v>
      </c>
      <c r="AK7666">
        <v>17.679270214469899</v>
      </c>
      <c r="AL7666">
        <v>90.501170827702794</v>
      </c>
      <c r="AM7666">
        <v>89.942716575831895</v>
      </c>
      <c r="AN7666">
        <v>1.0000000552369599</v>
      </c>
    </row>
    <row r="7667" spans="1:40" x14ac:dyDescent="0.25">
      <c r="A7667" t="str">
        <f>"20190303153956844"</f>
        <v>20190303153956844</v>
      </c>
      <c r="B7667" t="str">
        <f>"1551598796835642"</f>
        <v>1551598796835642</v>
      </c>
      <c r="C7667" t="s">
        <v>40</v>
      </c>
      <c r="D7667">
        <v>4.5307180000000002</v>
      </c>
      <c r="E7667">
        <v>0.4888594</v>
      </c>
      <c r="F7667" t="s">
        <v>43</v>
      </c>
      <c r="G7667">
        <v>-312.60550000000001</v>
      </c>
      <c r="H7667">
        <v>-0.05</v>
      </c>
      <c r="I7667">
        <v>18.36562</v>
      </c>
      <c r="J7667">
        <v>-330.71910000000003</v>
      </c>
      <c r="K7667">
        <v>1.1209639999999901</v>
      </c>
      <c r="L7667">
        <v>17.672969999999999</v>
      </c>
      <c r="M7667">
        <v>0.99987470000000001</v>
      </c>
      <c r="N7667">
        <v>-1.2547640000000001E-2</v>
      </c>
      <c r="O7667">
        <v>9.6570240000000002E-3</v>
      </c>
      <c r="P7667">
        <v>0.99972510000000003</v>
      </c>
      <c r="Q7667">
        <v>-2.1130179999999998E-2</v>
      </c>
      <c r="R7667">
        <v>1.01739E-2</v>
      </c>
      <c r="S7667">
        <v>2.9956969999999998</v>
      </c>
      <c r="T7667">
        <v>-0.1923339</v>
      </c>
      <c r="U7667">
        <v>0.1139221</v>
      </c>
      <c r="V7667">
        <v>-5.2575720000000003E-4</v>
      </c>
      <c r="W7667">
        <v>-8.5832189999999996E-3</v>
      </c>
      <c r="X7667">
        <v>0.99996300000000005</v>
      </c>
      <c r="Y7667">
        <v>-2.8291819999999999E-2</v>
      </c>
      <c r="Z7667">
        <v>5.8666489999999996E-4</v>
      </c>
      <c r="AA7667">
        <v>0.99959949999999997</v>
      </c>
      <c r="AB7667">
        <v>23</v>
      </c>
      <c r="AC7667">
        <v>18.113600000000002</v>
      </c>
      <c r="AD7667">
        <v>-1.1709639999999999</v>
      </c>
      <c r="AE7667">
        <v>0.69264999999999999</v>
      </c>
      <c r="AF7667">
        <v>-0.51552918853268903</v>
      </c>
      <c r="AG7667">
        <v>-1.1709639999999999</v>
      </c>
      <c r="AH7667">
        <v>18.044147404217799</v>
      </c>
      <c r="AI7667">
        <v>93.711458344654204</v>
      </c>
      <c r="AJ7667">
        <v>91.636520312858096</v>
      </c>
      <c r="AK7667">
        <v>18.089449482465302</v>
      </c>
      <c r="AL7667">
        <v>90.491788274371004</v>
      </c>
      <c r="AM7667">
        <v>90.030124780449597</v>
      </c>
      <c r="AN7667">
        <v>0.99999997471901703</v>
      </c>
    </row>
    <row r="7668" spans="1:40" x14ac:dyDescent="0.25">
      <c r="A7668" t="str">
        <f>"20190303153956857"</f>
        <v>20190303153956857</v>
      </c>
      <c r="B7668" t="str">
        <f>"1551598796846379"</f>
        <v>1551598796846379</v>
      </c>
      <c r="C7668" t="s">
        <v>40</v>
      </c>
      <c r="D7668">
        <v>4.5880479999999997</v>
      </c>
      <c r="E7668">
        <v>0.48872070000000001</v>
      </c>
      <c r="F7668" t="s">
        <v>43</v>
      </c>
      <c r="G7668">
        <v>-312.03769999999997</v>
      </c>
      <c r="H7668">
        <v>-0.05</v>
      </c>
      <c r="I7668">
        <v>18.402439999999999</v>
      </c>
      <c r="J7668">
        <v>-330.59690000000001</v>
      </c>
      <c r="K7668">
        <v>1.120987</v>
      </c>
      <c r="L7668">
        <v>17.673860000000001</v>
      </c>
      <c r="M7668">
        <v>0.99987610000000005</v>
      </c>
      <c r="N7668">
        <v>-1.2627620000000001E-2</v>
      </c>
      <c r="O7668">
        <v>9.4038950000000007E-3</v>
      </c>
      <c r="P7668">
        <v>0.99971650000000001</v>
      </c>
      <c r="Q7668">
        <v>-2.098179E-2</v>
      </c>
      <c r="R7668">
        <v>1.126891E-2</v>
      </c>
      <c r="S7668">
        <v>2.9956360000000002</v>
      </c>
      <c r="T7668">
        <v>-0.18776860000000001</v>
      </c>
      <c r="U7668">
        <v>0.11697390000000001</v>
      </c>
      <c r="V7668">
        <v>-1.873729E-3</v>
      </c>
      <c r="W7668">
        <v>-8.3537160000000006E-3</v>
      </c>
      <c r="X7668">
        <v>0.9999633</v>
      </c>
      <c r="Y7668">
        <v>-2.9561270000000001E-2</v>
      </c>
      <c r="Z7668">
        <v>6.4215769999999999E-4</v>
      </c>
      <c r="AA7668">
        <v>0.99956270000000003</v>
      </c>
      <c r="AB7668">
        <v>23</v>
      </c>
      <c r="AC7668">
        <v>18.559200000000001</v>
      </c>
      <c r="AD7668">
        <v>-1.170987</v>
      </c>
      <c r="AE7668">
        <v>0.72857999999999701</v>
      </c>
      <c r="AF7668">
        <v>-0.551811754027558</v>
      </c>
      <c r="AG7668">
        <v>-1.170987</v>
      </c>
      <c r="AH7668">
        <v>18.491730065934899</v>
      </c>
      <c r="AI7668">
        <v>93.621803534761099</v>
      </c>
      <c r="AJ7668">
        <v>91.709256236009296</v>
      </c>
      <c r="AK7668">
        <v>18.536984317775399</v>
      </c>
      <c r="AL7668">
        <v>90.478638261791801</v>
      </c>
      <c r="AM7668">
        <v>90.107360578137303</v>
      </c>
      <c r="AN7668">
        <v>0.99999994838912998</v>
      </c>
    </row>
    <row r="7669" spans="1:40" x14ac:dyDescent="0.25">
      <c r="A7669" t="str">
        <f>"20190303153956867"</f>
        <v>20190303153956867</v>
      </c>
      <c r="B7669" t="str">
        <f>"1551598796856138"</f>
        <v>1551598796856138</v>
      </c>
      <c r="C7669" t="s">
        <v>40</v>
      </c>
      <c r="D7669">
        <v>4.5873460000000001</v>
      </c>
      <c r="E7669">
        <v>0.48858990000000002</v>
      </c>
      <c r="F7669" t="s">
        <v>43</v>
      </c>
      <c r="G7669">
        <v>-311.84339999999997</v>
      </c>
      <c r="H7669">
        <v>-0.05</v>
      </c>
      <c r="I7669">
        <v>18.43329</v>
      </c>
      <c r="J7669">
        <v>-330.4821</v>
      </c>
      <c r="K7669">
        <v>1.1210089999999999</v>
      </c>
      <c r="L7669">
        <v>17.674679999999999</v>
      </c>
      <c r="M7669">
        <v>0.99987729999999997</v>
      </c>
      <c r="N7669">
        <v>-1.2699749999999999E-2</v>
      </c>
      <c r="O7669">
        <v>9.1714480000000004E-3</v>
      </c>
      <c r="P7669">
        <v>0.99970190000000003</v>
      </c>
      <c r="Q7669">
        <v>-2.098564E-2</v>
      </c>
      <c r="R7669">
        <v>1.2478639999999999E-2</v>
      </c>
      <c r="S7669">
        <v>2.9956049999999999</v>
      </c>
      <c r="T7669">
        <v>-0.18704809999999999</v>
      </c>
      <c r="U7669">
        <v>0.121307399999999</v>
      </c>
      <c r="V7669">
        <v>-3.3156309999999999E-3</v>
      </c>
      <c r="W7669">
        <v>-8.2843900000000009E-3</v>
      </c>
      <c r="X7669">
        <v>0.99996019999999997</v>
      </c>
      <c r="Y7669">
        <v>-3.1233770000000001E-2</v>
      </c>
      <c r="Z7669">
        <v>7.1693549999999999E-4</v>
      </c>
      <c r="AA7669">
        <v>0.99951179999999995</v>
      </c>
      <c r="AB7669">
        <v>23</v>
      </c>
      <c r="AC7669">
        <v>18.6387</v>
      </c>
      <c r="AD7669">
        <v>-1.171009</v>
      </c>
      <c r="AE7669">
        <v>0.75861000000000001</v>
      </c>
      <c r="AF7669">
        <v>-0.58531390458186905</v>
      </c>
      <c r="AG7669">
        <v>-1.171009</v>
      </c>
      <c r="AH7669">
        <v>18.571689116123899</v>
      </c>
      <c r="AI7669">
        <v>93.606134236774693</v>
      </c>
      <c r="AJ7669">
        <v>91.805162642622705</v>
      </c>
      <c r="AK7669">
        <v>18.6177735261479</v>
      </c>
      <c r="AL7669">
        <v>90.474666006225405</v>
      </c>
      <c r="AM7669">
        <v>90.189978527671897</v>
      </c>
      <c r="AN7669">
        <v>1.0000000130553199</v>
      </c>
    </row>
    <row r="7670" spans="1:40" x14ac:dyDescent="0.25">
      <c r="A7670" t="str">
        <f>"20190303153956880"</f>
        <v>20190303153956880</v>
      </c>
      <c r="B7670" t="str">
        <f>"1551598796875658"</f>
        <v>1551598796875658</v>
      </c>
      <c r="C7670" t="s">
        <v>40</v>
      </c>
      <c r="D7670">
        <v>4.5376379999999896</v>
      </c>
      <c r="E7670">
        <v>0.48869570000000001</v>
      </c>
      <c r="F7670" t="s">
        <v>43</v>
      </c>
      <c r="G7670">
        <v>-311.78859999999997</v>
      </c>
      <c r="H7670">
        <v>-0.05</v>
      </c>
      <c r="I7670">
        <v>18.46088</v>
      </c>
      <c r="J7670">
        <v>-330.3603</v>
      </c>
      <c r="K7670">
        <v>1.1210329999999999</v>
      </c>
      <c r="L7670">
        <v>17.675539999999899</v>
      </c>
      <c r="M7670">
        <v>0.9998785</v>
      </c>
      <c r="N7670">
        <v>-1.2769020000000001E-2</v>
      </c>
      <c r="O7670">
        <v>8.9429030000000003E-3</v>
      </c>
      <c r="P7670">
        <v>0.99968590000000002</v>
      </c>
      <c r="Q7670">
        <v>-2.1163029999999999E-2</v>
      </c>
      <c r="R7670">
        <v>1.343369E-2</v>
      </c>
      <c r="S7670">
        <v>2.9953919999999998</v>
      </c>
      <c r="T7670">
        <v>-0.18763830000000001</v>
      </c>
      <c r="U7670">
        <v>0.12597659999999999</v>
      </c>
      <c r="V7670">
        <v>-4.4990869999999997E-3</v>
      </c>
      <c r="W7670">
        <v>-8.3918469999999992E-3</v>
      </c>
      <c r="X7670">
        <v>0.99995460000000003</v>
      </c>
      <c r="Y7670">
        <v>-3.3015509999999998E-2</v>
      </c>
      <c r="Z7670">
        <v>7.9844089999999996E-4</v>
      </c>
      <c r="AA7670">
        <v>0.99945450000000002</v>
      </c>
      <c r="AB7670">
        <v>23</v>
      </c>
      <c r="AC7670">
        <v>18.5717</v>
      </c>
      <c r="AD7670">
        <v>-1.171033</v>
      </c>
      <c r="AE7670">
        <v>0.78534000000000104</v>
      </c>
      <c r="AF7670">
        <v>-0.61676233484519305</v>
      </c>
      <c r="AG7670">
        <v>-1.171033</v>
      </c>
      <c r="AH7670">
        <v>18.5045402249681</v>
      </c>
      <c r="AI7670">
        <v>93.619047302550698</v>
      </c>
      <c r="AJ7670">
        <v>91.908980244545504</v>
      </c>
      <c r="AK7670">
        <v>18.551811852275701</v>
      </c>
      <c r="AL7670">
        <v>90.480823091029805</v>
      </c>
      <c r="AM7670">
        <v>90.257788660930302</v>
      </c>
      <c r="AN7670">
        <v>0.99999993347052996</v>
      </c>
    </row>
    <row r="7671" spans="1:40" x14ac:dyDescent="0.25">
      <c r="A7671" t="str">
        <f>"20190303153956897"</f>
        <v>20190303153956897</v>
      </c>
      <c r="B7671" t="str">
        <f>"1551598796886397"</f>
        <v>1551598796886397</v>
      </c>
      <c r="C7671" t="s">
        <v>40</v>
      </c>
      <c r="D7671">
        <v>4.5649860000000002</v>
      </c>
      <c r="E7671">
        <v>0.48897370000000001</v>
      </c>
      <c r="F7671" t="s">
        <v>43</v>
      </c>
      <c r="G7671">
        <v>-311.56389999999999</v>
      </c>
      <c r="H7671">
        <v>-0.05</v>
      </c>
      <c r="I7671">
        <v>18.479130000000001</v>
      </c>
      <c r="J7671">
        <v>-330.18880000000001</v>
      </c>
      <c r="K7671">
        <v>1.1210639999999901</v>
      </c>
      <c r="L7671">
        <v>17.6767</v>
      </c>
      <c r="M7671">
        <v>0.99987999999999999</v>
      </c>
      <c r="N7671">
        <v>-1.286082E-2</v>
      </c>
      <c r="O7671">
        <v>8.6398629999999994E-3</v>
      </c>
      <c r="P7671">
        <v>0.99966469999999996</v>
      </c>
      <c r="Q7671">
        <v>-2.131986E-2</v>
      </c>
      <c r="R7671">
        <v>1.46978E-2</v>
      </c>
      <c r="S7671">
        <v>2.9952700000000001</v>
      </c>
      <c r="T7671">
        <v>-0.18660840000000001</v>
      </c>
      <c r="U7671">
        <v>0.12805179999999999</v>
      </c>
      <c r="V7671">
        <v>-6.0654180000000004E-3</v>
      </c>
      <c r="W7671">
        <v>-8.4562460000000006E-3</v>
      </c>
      <c r="X7671">
        <v>0.99994590000000005</v>
      </c>
      <c r="Y7671">
        <v>-3.4009119999999997E-2</v>
      </c>
      <c r="Z7671">
        <v>8.5046479999999897E-4</v>
      </c>
      <c r="AA7671">
        <v>0.99942120000000001</v>
      </c>
      <c r="AB7671">
        <v>23</v>
      </c>
      <c r="AC7671">
        <v>18.6249</v>
      </c>
      <c r="AD7671">
        <v>-1.1710640000000001</v>
      </c>
      <c r="AE7671">
        <v>0.80242999999999698</v>
      </c>
      <c r="AF7671">
        <v>-0.63894880084178296</v>
      </c>
      <c r="AG7671">
        <v>-1.1710640000000001</v>
      </c>
      <c r="AH7671">
        <v>18.557906845676499</v>
      </c>
      <c r="AI7671">
        <v>93.608628953582496</v>
      </c>
      <c r="AJ7671">
        <v>91.971914959321296</v>
      </c>
      <c r="AK7671">
        <v>18.605793531988901</v>
      </c>
      <c r="AL7671">
        <v>90.484512956571393</v>
      </c>
      <c r="AM7671">
        <v>90.347537392081506</v>
      </c>
      <c r="AN7671">
        <v>1.00000005015936</v>
      </c>
    </row>
    <row r="7672" spans="1:40" x14ac:dyDescent="0.25">
      <c r="A7672" t="str">
        <f>"20190303153956907"</f>
        <v>20190303153956907</v>
      </c>
      <c r="B7672" t="str">
        <f>"1551598796896154"</f>
        <v>1551598796896154</v>
      </c>
      <c r="C7672" t="s">
        <v>40</v>
      </c>
      <c r="D7672">
        <v>4.5495619999999999</v>
      </c>
      <c r="E7672">
        <v>0.48907600000000001</v>
      </c>
      <c r="F7672" t="s">
        <v>43</v>
      </c>
      <c r="G7672">
        <v>-311.22449999999998</v>
      </c>
      <c r="H7672">
        <v>-0.05</v>
      </c>
      <c r="I7672">
        <v>18.497330000000002</v>
      </c>
      <c r="J7672">
        <v>-330.07380000000001</v>
      </c>
      <c r="K7672">
        <v>1.121089</v>
      </c>
      <c r="L7672">
        <v>17.677429999999902</v>
      </c>
      <c r="M7672">
        <v>0.99988089999999996</v>
      </c>
      <c r="N7672">
        <v>-1.2918539999999999E-2</v>
      </c>
      <c r="O7672">
        <v>8.4499199999999997E-3</v>
      </c>
      <c r="P7672">
        <v>0.99964770000000003</v>
      </c>
      <c r="Q7672">
        <v>-2.1916250000000002E-2</v>
      </c>
      <c r="R7672">
        <v>1.4981609999999999E-2</v>
      </c>
      <c r="S7672">
        <v>2.9951780000000001</v>
      </c>
      <c r="T7672">
        <v>-0.18495510000000001</v>
      </c>
      <c r="U7672">
        <v>0.12960819999999901</v>
      </c>
      <c r="V7672">
        <v>-6.5393350000000003E-3</v>
      </c>
      <c r="W7672">
        <v>-8.9950819999999997E-3</v>
      </c>
      <c r="X7672">
        <v>0.9999382</v>
      </c>
      <c r="Y7672">
        <v>-3.4717730000000002E-2</v>
      </c>
      <c r="Z7672">
        <v>8.830458E-4</v>
      </c>
      <c r="AA7672">
        <v>0.99939670000000003</v>
      </c>
      <c r="AB7672">
        <v>23</v>
      </c>
      <c r="AC7672">
        <v>18.849299999999999</v>
      </c>
      <c r="AD7672">
        <v>-1.171089</v>
      </c>
      <c r="AE7672">
        <v>0.81989999999999996</v>
      </c>
      <c r="AF7672">
        <v>-0.65804708579747395</v>
      </c>
      <c r="AG7672">
        <v>-1.171089</v>
      </c>
      <c r="AH7672">
        <v>18.783189081477701</v>
      </c>
      <c r="AI7672">
        <v>93.565461449356604</v>
      </c>
      <c r="AJ7672">
        <v>92.006470074004795</v>
      </c>
      <c r="AK7672">
        <v>18.831162138423402</v>
      </c>
      <c r="AL7672">
        <v>90.515387165100705</v>
      </c>
      <c r="AM7672">
        <v>90.374694111146496</v>
      </c>
      <c r="AN7672">
        <v>1.0000000391108299</v>
      </c>
    </row>
    <row r="7673" spans="1:40" x14ac:dyDescent="0.25">
      <c r="A7673" t="str">
        <f>"20190303153956918"</f>
        <v>20190303153956918</v>
      </c>
      <c r="B7673" t="str">
        <f>"1551598796905914"</f>
        <v>1551598796905914</v>
      </c>
      <c r="C7673" t="s">
        <v>40</v>
      </c>
      <c r="D7673">
        <v>4.5636349999999997</v>
      </c>
      <c r="E7673">
        <v>0.48926829999999999</v>
      </c>
      <c r="F7673" t="s">
        <v>43</v>
      </c>
      <c r="G7673">
        <v>-311.26089999999999</v>
      </c>
      <c r="H7673">
        <v>-0.05</v>
      </c>
      <c r="I7673">
        <v>18.49193</v>
      </c>
      <c r="J7673">
        <v>-329.95940000000002</v>
      </c>
      <c r="K7673">
        <v>1.121113</v>
      </c>
      <c r="L7673">
        <v>17.678190000000001</v>
      </c>
      <c r="M7673">
        <v>0.99988169999999998</v>
      </c>
      <c r="N7673">
        <v>-1.297092E-2</v>
      </c>
      <c r="O7673">
        <v>8.2824249999999995E-3</v>
      </c>
      <c r="P7673">
        <v>0.9996408</v>
      </c>
      <c r="Q7673">
        <v>-2.222002E-2</v>
      </c>
      <c r="R7673">
        <v>1.498944E-2</v>
      </c>
      <c r="S7673">
        <v>2.9950260000000002</v>
      </c>
      <c r="T7673">
        <v>-0.18643799999999999</v>
      </c>
      <c r="U7673">
        <v>0.12966920000000001</v>
      </c>
      <c r="V7673">
        <v>-6.7143089999999999E-3</v>
      </c>
      <c r="W7673">
        <v>-9.2467799999999996E-3</v>
      </c>
      <c r="X7673">
        <v>0.99993469999999995</v>
      </c>
      <c r="Y7673">
        <v>-3.4905970000000001E-2</v>
      </c>
      <c r="Z7673">
        <v>9.0413899999999998E-4</v>
      </c>
      <c r="AA7673">
        <v>0.99939020000000001</v>
      </c>
      <c r="AB7673">
        <v>23</v>
      </c>
      <c r="AC7673">
        <v>18.698499999999999</v>
      </c>
      <c r="AD7673">
        <v>-1.1711129999999901</v>
      </c>
      <c r="AE7673">
        <v>0.81373999999999902</v>
      </c>
      <c r="AF7673">
        <v>-0.65626070910480705</v>
      </c>
      <c r="AG7673">
        <v>-1.1711129999999901</v>
      </c>
      <c r="AH7673">
        <v>18.631650795938299</v>
      </c>
      <c r="AI7673">
        <v>93.594434668972099</v>
      </c>
      <c r="AJ7673">
        <v>92.017289340449807</v>
      </c>
      <c r="AK7673">
        <v>18.679951690485499</v>
      </c>
      <c r="AL7673">
        <v>90.529809021181293</v>
      </c>
      <c r="AM7673">
        <v>90.384720908691605</v>
      </c>
      <c r="AN7673">
        <v>0.99999999457490196</v>
      </c>
    </row>
    <row r="7674" spans="1:40" x14ac:dyDescent="0.25">
      <c r="A7674" t="str">
        <f>"20190303153956932"</f>
        <v>20190303153956932</v>
      </c>
      <c r="B7674" t="str">
        <f>"1551598796925728"</f>
        <v>1551598796925728</v>
      </c>
      <c r="C7674" t="s">
        <v>40</v>
      </c>
      <c r="D7674">
        <v>4.5837149999999998</v>
      </c>
      <c r="E7674">
        <v>0.48948730000000001</v>
      </c>
      <c r="F7674" t="s">
        <v>43</v>
      </c>
      <c r="G7674">
        <v>-311.07850000000002</v>
      </c>
      <c r="H7674">
        <v>-0.05</v>
      </c>
      <c r="I7674">
        <v>18.486419999999999</v>
      </c>
      <c r="J7674">
        <v>-329.82859999999999</v>
      </c>
      <c r="K7674">
        <v>1.1211390000000001</v>
      </c>
      <c r="L7674">
        <v>17.67905</v>
      </c>
      <c r="M7674">
        <v>0.99988250000000001</v>
      </c>
      <c r="N7674">
        <v>-1.3028659999999999E-2</v>
      </c>
      <c r="O7674">
        <v>8.1009399999999992E-3</v>
      </c>
      <c r="P7674">
        <v>0.9996391</v>
      </c>
      <c r="Q7674">
        <v>-2.2292490000000002E-2</v>
      </c>
      <c r="R7674">
        <v>1.5000400000000001E-2</v>
      </c>
      <c r="S7674">
        <v>2.9949949999999999</v>
      </c>
      <c r="T7674">
        <v>-0.18576819999999999</v>
      </c>
      <c r="U7674">
        <v>0.12820429999999999</v>
      </c>
      <c r="V7674">
        <v>-6.906461E-3</v>
      </c>
      <c r="W7674">
        <v>-9.2618389999999991E-3</v>
      </c>
      <c r="X7674">
        <v>0.99993319999999997</v>
      </c>
      <c r="Y7674">
        <v>-3.460075E-2</v>
      </c>
      <c r="Z7674">
        <v>9.0102509999999999E-4</v>
      </c>
      <c r="AA7674">
        <v>0.99940079999999998</v>
      </c>
      <c r="AB7674">
        <v>23</v>
      </c>
      <c r="AC7674">
        <v>18.7500999999999</v>
      </c>
      <c r="AD7674">
        <v>-1.1711389999999999</v>
      </c>
      <c r="AE7674">
        <v>0.80737000000000203</v>
      </c>
      <c r="AF7674">
        <v>-0.652894777462106</v>
      </c>
      <c r="AG7674">
        <v>-1.1711389999999999</v>
      </c>
      <c r="AH7674">
        <v>18.6832714430445</v>
      </c>
      <c r="AI7674">
        <v>93.584643547708396</v>
      </c>
      <c r="AJ7674">
        <v>92.0014106789979</v>
      </c>
      <c r="AK7674">
        <v>18.7313232304138</v>
      </c>
      <c r="AL7674">
        <v>90.530671902827507</v>
      </c>
      <c r="AM7674">
        <v>90.395731209155002</v>
      </c>
      <c r="AN7674">
        <v>0.99999994266372105</v>
      </c>
    </row>
    <row r="7675" spans="1:40" x14ac:dyDescent="0.25">
      <c r="A7675" t="str">
        <f>"20190303153956954"</f>
        <v>20190303153956954</v>
      </c>
      <c r="B7675" t="str">
        <f>"1551598796946225"</f>
        <v>1551598796946225</v>
      </c>
      <c r="C7675" t="s">
        <v>40</v>
      </c>
      <c r="D7675">
        <v>4.5649249999999997</v>
      </c>
      <c r="E7675">
        <v>0.48959459999999999</v>
      </c>
      <c r="F7675" t="s">
        <v>43</v>
      </c>
      <c r="G7675">
        <v>-310.91739999999999</v>
      </c>
      <c r="H7675">
        <v>-0.05</v>
      </c>
      <c r="I7675">
        <v>18.47813</v>
      </c>
      <c r="J7675">
        <v>-329.61340000000001</v>
      </c>
      <c r="K7675">
        <v>1.1211819999999999</v>
      </c>
      <c r="L7675">
        <v>17.68045</v>
      </c>
      <c r="M7675">
        <v>0.99988319999999997</v>
      </c>
      <c r="N7675">
        <v>-1.311326E-2</v>
      </c>
      <c r="O7675">
        <v>7.8565590000000008E-3</v>
      </c>
      <c r="P7675">
        <v>0.99964450000000005</v>
      </c>
      <c r="Q7675">
        <v>-2.2639840000000001E-2</v>
      </c>
      <c r="R7675">
        <v>1.4082330000000001E-2</v>
      </c>
      <c r="S7675">
        <v>2.9950559999999999</v>
      </c>
      <c r="T7675">
        <v>-0.1854787</v>
      </c>
      <c r="U7675">
        <v>0.12655640000000001</v>
      </c>
      <c r="V7675">
        <v>-6.2312869999999899E-3</v>
      </c>
      <c r="W7675">
        <v>-9.5255819999999995E-3</v>
      </c>
      <c r="X7675">
        <v>0.99993520000000002</v>
      </c>
      <c r="Y7675">
        <v>-3.4295720000000002E-2</v>
      </c>
      <c r="Z7675">
        <v>9.0275749999999997E-4</v>
      </c>
      <c r="AA7675">
        <v>0.9994113</v>
      </c>
      <c r="AB7675">
        <v>23</v>
      </c>
      <c r="AC7675">
        <v>18.696000000000002</v>
      </c>
      <c r="AD7675">
        <v>-1.1711819999999999</v>
      </c>
      <c r="AE7675">
        <v>0.79767999999999895</v>
      </c>
      <c r="AF7675">
        <v>-0.64821741201806005</v>
      </c>
      <c r="AG7675">
        <v>-1.1711819999999999</v>
      </c>
      <c r="AH7675">
        <v>18.628720406886298</v>
      </c>
      <c r="AI7675">
        <v>93.595263306596394</v>
      </c>
      <c r="AJ7675">
        <v>91.992898177170204</v>
      </c>
      <c r="AK7675">
        <v>18.676752316404201</v>
      </c>
      <c r="AL7675">
        <v>90.545783908218894</v>
      </c>
      <c r="AM7675">
        <v>90.357044961071097</v>
      </c>
      <c r="AN7675">
        <v>0.99999998492457698</v>
      </c>
    </row>
    <row r="7676" spans="1:40" x14ac:dyDescent="0.25">
      <c r="A7676" t="str">
        <f>"20190303153956964"</f>
        <v>20190303153956964</v>
      </c>
      <c r="B7676" t="str">
        <f>"1551598796955986"</f>
        <v>1551598796955986</v>
      </c>
      <c r="C7676" t="s">
        <v>40</v>
      </c>
      <c r="D7676">
        <v>4.5431169999999996</v>
      </c>
      <c r="E7676">
        <v>0.48967060000000001</v>
      </c>
      <c r="F7676" t="s">
        <v>43</v>
      </c>
      <c r="G7676">
        <v>-310.51990000000001</v>
      </c>
      <c r="H7676">
        <v>-0.05</v>
      </c>
      <c r="I7676">
        <v>18.465440000000001</v>
      </c>
      <c r="J7676">
        <v>-329.48149999999998</v>
      </c>
      <c r="K7676">
        <v>1.121208</v>
      </c>
      <c r="L7676">
        <v>17.681339999999999</v>
      </c>
      <c r="M7676">
        <v>0.99988350000000004</v>
      </c>
      <c r="N7676">
        <v>-1.315992E-2</v>
      </c>
      <c r="O7676">
        <v>7.7360969999999999E-3</v>
      </c>
      <c r="P7676">
        <v>0.99964960000000003</v>
      </c>
      <c r="Q7676">
        <v>-2.286028E-2</v>
      </c>
      <c r="R7676">
        <v>1.334251E-2</v>
      </c>
      <c r="S7676">
        <v>2.9951780000000001</v>
      </c>
      <c r="T7676">
        <v>-0.183722</v>
      </c>
      <c r="U7676">
        <v>0.1231384</v>
      </c>
      <c r="V7676">
        <v>-5.6114290000000002E-3</v>
      </c>
      <c r="W7676">
        <v>-9.6999789999999992E-3</v>
      </c>
      <c r="X7676">
        <v>0.99993719999999997</v>
      </c>
      <c r="Y7676">
        <v>-3.3279129999999997E-2</v>
      </c>
      <c r="Z7676">
        <v>8.6643660000000004E-4</v>
      </c>
      <c r="AA7676">
        <v>0.99944569999999999</v>
      </c>
      <c r="AB7676">
        <v>23</v>
      </c>
      <c r="AC7676">
        <v>18.961599999999901</v>
      </c>
      <c r="AD7676">
        <v>-1.171208</v>
      </c>
      <c r="AE7676">
        <v>0.78410000000000202</v>
      </c>
      <c r="AF7676">
        <v>-0.63495669933254695</v>
      </c>
      <c r="AG7676">
        <v>-1.171208</v>
      </c>
      <c r="AH7676">
        <v>18.8951331105077</v>
      </c>
      <c r="AI7676">
        <v>93.544924431263198</v>
      </c>
      <c r="AJ7676">
        <v>91.924657211678607</v>
      </c>
      <c r="AK7676">
        <v>18.942041955742098</v>
      </c>
      <c r="AL7676">
        <v>90.555776578856396</v>
      </c>
      <c r="AM7676">
        <v>90.321528015740498</v>
      </c>
      <c r="AN7676">
        <v>0.99999999083593105</v>
      </c>
    </row>
    <row r="7677" spans="1:40" x14ac:dyDescent="0.25">
      <c r="A7677" t="str">
        <f>"20190303153956975"</f>
        <v>20190303153956975</v>
      </c>
      <c r="B7677" t="str">
        <f>"1551598796965745"</f>
        <v>1551598796965745</v>
      </c>
      <c r="C7677" t="s">
        <v>40</v>
      </c>
      <c r="D7677">
        <v>4.5652949999999999</v>
      </c>
      <c r="E7677">
        <v>0.48973709999999998</v>
      </c>
      <c r="F7677" t="s">
        <v>43</v>
      </c>
      <c r="G7677">
        <v>-310.3639</v>
      </c>
      <c r="H7677">
        <v>-0.05</v>
      </c>
      <c r="I7677">
        <v>18.449549999999999</v>
      </c>
      <c r="J7677">
        <v>-329.37329999999997</v>
      </c>
      <c r="K7677">
        <v>1.1212249999999999</v>
      </c>
      <c r="L7677">
        <v>17.682040000000001</v>
      </c>
      <c r="M7677">
        <v>0.99988370000000004</v>
      </c>
      <c r="N7677">
        <v>-1.319531E-2</v>
      </c>
      <c r="O7677">
        <v>7.6535980000000002E-3</v>
      </c>
      <c r="P7677">
        <v>0.99964739999999996</v>
      </c>
      <c r="Q7677">
        <v>-2.3438959999999998E-2</v>
      </c>
      <c r="R7677">
        <v>1.2489760000000001E-2</v>
      </c>
      <c r="S7677">
        <v>2.9952700000000001</v>
      </c>
      <c r="T7677">
        <v>-0.18349979999999999</v>
      </c>
      <c r="U7677">
        <v>0.1203613</v>
      </c>
      <c r="V7677">
        <v>-4.8413570000000001E-3</v>
      </c>
      <c r="W7677">
        <v>-1.024387E-2</v>
      </c>
      <c r="X7677">
        <v>0.99993580000000004</v>
      </c>
      <c r="Y7677">
        <v>-3.243712E-2</v>
      </c>
      <c r="Z7677">
        <v>8.3926970000000004E-4</v>
      </c>
      <c r="AA7677">
        <v>0.99947350000000001</v>
      </c>
      <c r="AB7677">
        <v>23</v>
      </c>
      <c r="AC7677">
        <v>19.0093999999999</v>
      </c>
      <c r="AD7677">
        <v>-1.171225</v>
      </c>
      <c r="AE7677">
        <v>0.76750999999999703</v>
      </c>
      <c r="AF7677">
        <v>-0.61963614446030801</v>
      </c>
      <c r="AG7677">
        <v>-1.171225</v>
      </c>
      <c r="AH7677">
        <v>18.9429246281132</v>
      </c>
      <c r="AI7677">
        <v>93.536159166383499</v>
      </c>
      <c r="AJ7677">
        <v>91.873516486333699</v>
      </c>
      <c r="AK7677">
        <v>18.989210368483601</v>
      </c>
      <c r="AL7677">
        <v>90.586940788422496</v>
      </c>
      <c r="AM7677">
        <v>90.277404965148506</v>
      </c>
      <c r="AN7677">
        <v>0.99999998986590899</v>
      </c>
    </row>
    <row r="7678" spans="1:40" x14ac:dyDescent="0.25">
      <c r="A7678" t="str">
        <f>"20190303153956986"</f>
        <v>20190303153956986</v>
      </c>
      <c r="B7678" t="str">
        <f>"1551598796976481"</f>
        <v>1551598796976481</v>
      </c>
      <c r="C7678" t="s">
        <v>40</v>
      </c>
      <c r="D7678">
        <v>4.5658349999999999</v>
      </c>
      <c r="E7678">
        <v>0.48981479999999999</v>
      </c>
      <c r="F7678" t="s">
        <v>43</v>
      </c>
      <c r="G7678">
        <v>-310.39980000000003</v>
      </c>
      <c r="H7678">
        <v>-0.05</v>
      </c>
      <c r="I7678">
        <v>18.42436</v>
      </c>
      <c r="J7678">
        <v>-329.26010000000002</v>
      </c>
      <c r="K7678">
        <v>1.121243</v>
      </c>
      <c r="L7678">
        <v>17.6828</v>
      </c>
      <c r="M7678">
        <v>0.99988379999999999</v>
      </c>
      <c r="N7678">
        <v>-1.3230489999999999E-2</v>
      </c>
      <c r="O7678">
        <v>7.5776719999999997E-3</v>
      </c>
      <c r="P7678">
        <v>0.99964889999999995</v>
      </c>
      <c r="Q7678">
        <v>-2.3879850000000001E-2</v>
      </c>
      <c r="R7678">
        <v>1.1486049999999999E-2</v>
      </c>
      <c r="S7678">
        <v>2.9952390000000002</v>
      </c>
      <c r="T7678">
        <v>-0.18489459999999999</v>
      </c>
      <c r="U7678">
        <v>0.1171875</v>
      </c>
      <c r="V7678">
        <v>-3.9129969999999997E-3</v>
      </c>
      <c r="W7678">
        <v>-1.0650140000000001E-2</v>
      </c>
      <c r="X7678">
        <v>0.99993560000000004</v>
      </c>
      <c r="Y7678">
        <v>-3.1457260000000001E-2</v>
      </c>
      <c r="Z7678">
        <v>8.1108329999999998E-4</v>
      </c>
      <c r="AA7678">
        <v>0.99950470000000002</v>
      </c>
      <c r="AB7678">
        <v>23</v>
      </c>
      <c r="AC7678">
        <v>18.860299999999899</v>
      </c>
      <c r="AD7678">
        <v>-1.171243</v>
      </c>
      <c r="AE7678">
        <v>0.741559999999999</v>
      </c>
      <c r="AF7678">
        <v>-0.59631288435129404</v>
      </c>
      <c r="AG7678">
        <v>-1.171243</v>
      </c>
      <c r="AH7678">
        <v>18.793014227500301</v>
      </c>
      <c r="AI7678">
        <v>93.564461194681598</v>
      </c>
      <c r="AJ7678">
        <v>91.817417448092897</v>
      </c>
      <c r="AK7678">
        <v>18.838916714506801</v>
      </c>
      <c r="AL7678">
        <v>90.610219627285204</v>
      </c>
      <c r="AM7678">
        <v>90.224211508157794</v>
      </c>
      <c r="AN7678">
        <v>0.99999997058745005</v>
      </c>
    </row>
    <row r="7679" spans="1:40" x14ac:dyDescent="0.25">
      <c r="A7679" t="str">
        <f>"20190303153956998"</f>
        <v>20190303153956998</v>
      </c>
      <c r="B7679" t="str">
        <f>"1551598796986242"</f>
        <v>1551598796986242</v>
      </c>
      <c r="C7679" t="s">
        <v>40</v>
      </c>
      <c r="D7679">
        <v>4.5618939999999997</v>
      </c>
      <c r="E7679">
        <v>0.48989769999999999</v>
      </c>
      <c r="F7679" t="s">
        <v>43</v>
      </c>
      <c r="G7679">
        <v>-310.38029999999998</v>
      </c>
      <c r="H7679">
        <v>-0.05</v>
      </c>
      <c r="I7679">
        <v>18.39818</v>
      </c>
      <c r="J7679">
        <v>-329.13780000000003</v>
      </c>
      <c r="K7679">
        <v>1.1212629999999999</v>
      </c>
      <c r="L7679">
        <v>17.68365</v>
      </c>
      <c r="M7679">
        <v>0.99988379999999999</v>
      </c>
      <c r="N7679">
        <v>-1.32649E-2</v>
      </c>
      <c r="O7679">
        <v>7.5222359999999999E-3</v>
      </c>
      <c r="P7679">
        <v>0.99965159999999997</v>
      </c>
      <c r="Q7679">
        <v>-2.419402E-2</v>
      </c>
      <c r="R7679">
        <v>1.0560450000000001E-2</v>
      </c>
      <c r="S7679">
        <v>2.9952999999999999</v>
      </c>
      <c r="T7679">
        <v>-0.18581929999999999</v>
      </c>
      <c r="U7679">
        <v>0.113494899999999</v>
      </c>
      <c r="V7679">
        <v>-3.0423360000000001E-3</v>
      </c>
      <c r="W7679">
        <v>-1.093033E-2</v>
      </c>
      <c r="X7679">
        <v>0.99993560000000004</v>
      </c>
      <c r="Y7679">
        <v>-3.0283560000000001E-2</v>
      </c>
      <c r="Z7679">
        <v>7.7293869999999897E-4</v>
      </c>
      <c r="AA7679">
        <v>0.99954100000000001</v>
      </c>
      <c r="AB7679">
        <v>23</v>
      </c>
      <c r="AC7679">
        <v>18.7575</v>
      </c>
      <c r="AD7679">
        <v>-1.1712629999999999</v>
      </c>
      <c r="AE7679">
        <v>0.714529999999999</v>
      </c>
      <c r="AF7679">
        <v>-0.57117522004356303</v>
      </c>
      <c r="AG7679">
        <v>-1.1712629999999999</v>
      </c>
      <c r="AH7679">
        <v>18.689578513189598</v>
      </c>
      <c r="AI7679">
        <v>93.584328209880994</v>
      </c>
      <c r="AJ7679">
        <v>91.750480710371804</v>
      </c>
      <c r="AK7679">
        <v>18.734952445838701</v>
      </c>
      <c r="AL7679">
        <v>90.626274269764494</v>
      </c>
      <c r="AM7679">
        <v>90.174323701238094</v>
      </c>
      <c r="AN7679">
        <v>0.99999996603480201</v>
      </c>
    </row>
    <row r="7680" spans="1:40" x14ac:dyDescent="0.25">
      <c r="A7680" t="str">
        <f>"20190303153957008"</f>
        <v>20190303153957008</v>
      </c>
      <c r="B7680" t="str">
        <f>"1551598796996001"</f>
        <v>1551598796996001</v>
      </c>
      <c r="C7680" t="s">
        <v>40</v>
      </c>
      <c r="D7680">
        <v>4.560657</v>
      </c>
      <c r="E7680">
        <v>0.48995630000000001</v>
      </c>
      <c r="F7680" t="s">
        <v>43</v>
      </c>
      <c r="G7680">
        <v>-310.28109999999998</v>
      </c>
      <c r="H7680">
        <v>-0.05</v>
      </c>
      <c r="I7680">
        <v>18.376239999999999</v>
      </c>
      <c r="J7680">
        <v>-329.03309999999999</v>
      </c>
      <c r="K7680">
        <v>1.1212819999999999</v>
      </c>
      <c r="L7680">
        <v>17.684329999999999</v>
      </c>
      <c r="M7680">
        <v>0.99988370000000004</v>
      </c>
      <c r="N7680">
        <v>-1.3293630000000001E-2</v>
      </c>
      <c r="O7680">
        <v>7.4804329999999999E-3</v>
      </c>
      <c r="P7680">
        <v>0.99965599999999999</v>
      </c>
      <c r="Q7680">
        <v>-2.4482380000000002E-2</v>
      </c>
      <c r="R7680">
        <v>9.4237330000000001E-3</v>
      </c>
      <c r="S7680">
        <v>2.9953609999999999</v>
      </c>
      <c r="T7680">
        <v>-0.1860533</v>
      </c>
      <c r="U7680">
        <v>0.1100159</v>
      </c>
      <c r="V7680">
        <v>-1.9466279999999999E-3</v>
      </c>
      <c r="W7680">
        <v>-1.119031E-2</v>
      </c>
      <c r="X7680">
        <v>0.99993549999999998</v>
      </c>
      <c r="Y7680">
        <v>-2.916763E-2</v>
      </c>
      <c r="Z7680">
        <v>7.3417830000000004E-4</v>
      </c>
      <c r="AA7680">
        <v>0.99957419999999997</v>
      </c>
      <c r="AB7680">
        <v>23</v>
      </c>
      <c r="AC7680">
        <v>18.751999999999999</v>
      </c>
      <c r="AD7680">
        <v>-1.1712819999999999</v>
      </c>
      <c r="AE7680">
        <v>0.69191000000000003</v>
      </c>
      <c r="AF7680">
        <v>-0.54946436674546695</v>
      </c>
      <c r="AG7680">
        <v>-1.1712819999999999</v>
      </c>
      <c r="AH7680">
        <v>18.683856182793999</v>
      </c>
      <c r="AI7680">
        <v>93.585604623529207</v>
      </c>
      <c r="AJ7680">
        <v>91.684497983912706</v>
      </c>
      <c r="AK7680">
        <v>18.728595635369299</v>
      </c>
      <c r="AL7680">
        <v>90.641170911170803</v>
      </c>
      <c r="AM7680">
        <v>90.111540622153896</v>
      </c>
      <c r="AN7680">
        <v>1.0000000082793501</v>
      </c>
    </row>
    <row r="7681" spans="1:40" x14ac:dyDescent="0.25">
      <c r="A7681" t="str">
        <f>"20190303153957020"</f>
        <v>20190303153957020</v>
      </c>
      <c r="B7681" t="str">
        <f>"1551598797016497"</f>
        <v>1551598797016497</v>
      </c>
      <c r="C7681" t="s">
        <v>40</v>
      </c>
      <c r="D7681">
        <v>4.6190910000000001</v>
      </c>
      <c r="E7681">
        <v>0.48997239999999997</v>
      </c>
      <c r="F7681" t="s">
        <v>43</v>
      </c>
      <c r="G7681">
        <v>-310.23610000000002</v>
      </c>
      <c r="H7681">
        <v>-0.05</v>
      </c>
      <c r="I7681">
        <v>18.349989999999998</v>
      </c>
      <c r="J7681">
        <v>-328.92410000000001</v>
      </c>
      <c r="K7681">
        <v>1.121302</v>
      </c>
      <c r="L7681">
        <v>17.685120000000001</v>
      </c>
      <c r="M7681">
        <v>0.99988339999999998</v>
      </c>
      <c r="N7681">
        <v>-1.331997E-2</v>
      </c>
      <c r="O7681">
        <v>7.4648219999999899E-3</v>
      </c>
      <c r="P7681">
        <v>0.99965749999999998</v>
      </c>
      <c r="Q7681">
        <v>-2.480158E-2</v>
      </c>
      <c r="R7681">
        <v>8.3579559999999997E-3</v>
      </c>
      <c r="S7681">
        <v>2.9954830000000001</v>
      </c>
      <c r="T7681">
        <v>-0.1866544</v>
      </c>
      <c r="U7681">
        <v>0.1060791</v>
      </c>
      <c r="V7681">
        <v>-8.9574309999999999E-4</v>
      </c>
      <c r="W7681">
        <v>-1.1483429999999999E-2</v>
      </c>
      <c r="X7681">
        <v>0.99993370000000004</v>
      </c>
      <c r="Y7681">
        <v>-2.787241E-2</v>
      </c>
      <c r="Z7681">
        <v>6.8799369999999896E-4</v>
      </c>
      <c r="AA7681">
        <v>0.99961129999999998</v>
      </c>
      <c r="AB7681">
        <v>23</v>
      </c>
      <c r="AC7681">
        <v>18.687999999999899</v>
      </c>
      <c r="AD7681">
        <v>-1.1713020000000001</v>
      </c>
      <c r="AE7681">
        <v>0.66486999999999696</v>
      </c>
      <c r="AF7681">
        <v>-0.52328344745876398</v>
      </c>
      <c r="AG7681">
        <v>-1.1713020000000001</v>
      </c>
      <c r="AH7681">
        <v>18.619391446862899</v>
      </c>
      <c r="AI7681">
        <v>93.598182042828199</v>
      </c>
      <c r="AJ7681">
        <v>91.609829361956002</v>
      </c>
      <c r="AK7681">
        <v>18.6635342792597</v>
      </c>
      <c r="AL7681">
        <v>90.657966509814202</v>
      </c>
      <c r="AM7681">
        <v>90.051325688323004</v>
      </c>
      <c r="AN7681">
        <v>1.0000000379579701</v>
      </c>
    </row>
    <row r="7682" spans="1:40" x14ac:dyDescent="0.25">
      <c r="A7682" t="str">
        <f>"20190303153957031"</f>
        <v>20190303153957031</v>
      </c>
      <c r="B7682" t="str">
        <f>"1551598797026257"</f>
        <v>1551598797026257</v>
      </c>
      <c r="C7682" t="s">
        <v>40</v>
      </c>
      <c r="D7682">
        <v>4.6336149999999998</v>
      </c>
      <c r="E7682">
        <v>0.48988150000000003</v>
      </c>
      <c r="F7682" t="s">
        <v>43</v>
      </c>
      <c r="G7682">
        <v>-310.28640000000001</v>
      </c>
      <c r="H7682">
        <v>-0.05</v>
      </c>
      <c r="I7682">
        <v>18.324629999999999</v>
      </c>
      <c r="J7682">
        <v>-328.81670000000003</v>
      </c>
      <c r="K7682">
        <v>1.1213229999999901</v>
      </c>
      <c r="L7682">
        <v>17.685849999999999</v>
      </c>
      <c r="M7682">
        <v>0.99988330000000003</v>
      </c>
      <c r="N7682">
        <v>-1.334552E-2</v>
      </c>
      <c r="O7682">
        <v>7.452729E-3</v>
      </c>
      <c r="P7682">
        <v>0.99966929999999998</v>
      </c>
      <c r="Q7682">
        <v>-2.4628890000000001E-2</v>
      </c>
      <c r="R7682">
        <v>7.41480099999999E-3</v>
      </c>
      <c r="S7682">
        <v>2.9954830000000001</v>
      </c>
      <c r="T7682">
        <v>-0.1882538</v>
      </c>
      <c r="U7682">
        <v>0.10278320000000001</v>
      </c>
      <c r="V7682" s="1">
        <v>3.6044019999999997E-5</v>
      </c>
      <c r="W7682">
        <v>-1.128523E-2</v>
      </c>
      <c r="X7682">
        <v>0.9999363</v>
      </c>
      <c r="Y7682">
        <v>-2.6787660000000001E-2</v>
      </c>
      <c r="Z7682">
        <v>6.5129879999999997E-4</v>
      </c>
      <c r="AA7682">
        <v>0.99964090000000005</v>
      </c>
      <c r="AB7682">
        <v>23</v>
      </c>
      <c r="AC7682">
        <v>18.5303</v>
      </c>
      <c r="AD7682">
        <v>-1.1713229999999999</v>
      </c>
      <c r="AE7682">
        <v>0.63878000000000001</v>
      </c>
      <c r="AF7682">
        <v>-0.49865856585652402</v>
      </c>
      <c r="AG7682">
        <v>-1.1713229999999999</v>
      </c>
      <c r="AH7682">
        <v>18.460870566712401</v>
      </c>
      <c r="AI7682">
        <v>93.629170689094295</v>
      </c>
      <c r="AJ7682">
        <v>91.547277276325403</v>
      </c>
      <c r="AK7682">
        <v>18.504712913648198</v>
      </c>
      <c r="AL7682">
        <v>90.6466097876731</v>
      </c>
      <c r="AM7682">
        <v>89.997934698218501</v>
      </c>
      <c r="AN7682">
        <v>0.99999998088650599</v>
      </c>
    </row>
    <row r="7683" spans="1:40" x14ac:dyDescent="0.25">
      <c r="A7683" t="str">
        <f>"20190303153957040"</f>
        <v>20190303153957040</v>
      </c>
      <c r="B7683" t="str">
        <f>"1551598797036017"</f>
        <v>1551598797036017</v>
      </c>
      <c r="C7683" t="s">
        <v>40</v>
      </c>
      <c r="D7683">
        <v>4.5685379999999904</v>
      </c>
      <c r="E7683">
        <v>0.4898846</v>
      </c>
      <c r="F7683" t="s">
        <v>43</v>
      </c>
      <c r="G7683">
        <v>-310.20659999999998</v>
      </c>
      <c r="H7683">
        <v>-0.05</v>
      </c>
      <c r="I7683">
        <v>18.310929999999999</v>
      </c>
      <c r="J7683">
        <v>-328.7079</v>
      </c>
      <c r="K7683">
        <v>1.1213489999999999</v>
      </c>
      <c r="L7683">
        <v>17.686710000000001</v>
      </c>
      <c r="M7683">
        <v>0.99988279999999996</v>
      </c>
      <c r="N7683">
        <v>-1.3368440000000001E-2</v>
      </c>
      <c r="O7683">
        <v>7.4682029999999996E-3</v>
      </c>
      <c r="P7683">
        <v>0.99967969999999895</v>
      </c>
      <c r="Q7683">
        <v>-2.4419159999999999E-2</v>
      </c>
      <c r="R7683">
        <v>6.6817949999999999E-3</v>
      </c>
      <c r="S7683">
        <v>2.9956360000000002</v>
      </c>
      <c r="T7683">
        <v>-0.1885462</v>
      </c>
      <c r="U7683">
        <v>0.1006165</v>
      </c>
      <c r="V7683">
        <v>7.8487309999999999E-4</v>
      </c>
      <c r="W7683">
        <v>-1.105252E-2</v>
      </c>
      <c r="X7683">
        <v>0.99993860000000001</v>
      </c>
      <c r="Y7683">
        <v>-2.6049849999999999E-2</v>
      </c>
      <c r="Z7683">
        <v>6.2344500000000003E-4</v>
      </c>
      <c r="AA7683">
        <v>0.9996604</v>
      </c>
      <c r="AB7683">
        <v>23</v>
      </c>
      <c r="AC7683">
        <v>18.501300000000001</v>
      </c>
      <c r="AD7683">
        <v>-1.171349</v>
      </c>
      <c r="AE7683">
        <v>0.624219999999997</v>
      </c>
      <c r="AF7683">
        <v>-0.484080614244915</v>
      </c>
      <c r="AG7683">
        <v>-1.171349</v>
      </c>
      <c r="AH7683">
        <v>18.431649252385199</v>
      </c>
      <c r="AI7683">
        <v>93.635061578619101</v>
      </c>
      <c r="AJ7683">
        <v>91.504444949937493</v>
      </c>
      <c r="AK7683">
        <v>18.475174875595599</v>
      </c>
      <c r="AL7683">
        <v>90.633275649700295</v>
      </c>
      <c r="AM7683">
        <v>89.955027331830095</v>
      </c>
      <c r="AN7683">
        <v>0.99999998899704601</v>
      </c>
    </row>
    <row r="7684" spans="1:40" x14ac:dyDescent="0.25">
      <c r="A7684" t="str">
        <f>"20190303153957053"</f>
        <v>20190303153957053</v>
      </c>
      <c r="B7684" t="str">
        <f>"1551598797045779"</f>
        <v>1551598797045779</v>
      </c>
      <c r="C7684" t="s">
        <v>40</v>
      </c>
      <c r="D7684">
        <v>4.5685330000000004</v>
      </c>
      <c r="E7684">
        <v>0.48997180000000001</v>
      </c>
      <c r="F7684" t="s">
        <v>43</v>
      </c>
      <c r="G7684">
        <v>-310.01859999999999</v>
      </c>
      <c r="H7684">
        <v>-0.05</v>
      </c>
      <c r="I7684">
        <v>18.300509999999999</v>
      </c>
      <c r="J7684">
        <v>-328.58580000000001</v>
      </c>
      <c r="K7684">
        <v>1.1213740000000001</v>
      </c>
      <c r="L7684">
        <v>17.68759</v>
      </c>
      <c r="M7684">
        <v>0.9998823</v>
      </c>
      <c r="N7684">
        <v>-1.3393179999999999E-2</v>
      </c>
      <c r="O7684">
        <v>7.4959839999999998E-3</v>
      </c>
      <c r="P7684">
        <v>0.99968000000000001</v>
      </c>
      <c r="Q7684">
        <v>-2.450453E-2</v>
      </c>
      <c r="R7684">
        <v>6.2770909999999899E-3</v>
      </c>
      <c r="S7684">
        <v>2.9957579999999999</v>
      </c>
      <c r="T7684">
        <v>-0.18775939999999999</v>
      </c>
      <c r="U7684">
        <v>9.8388669999999998E-2</v>
      </c>
      <c r="V7684">
        <v>1.2183840000000001E-3</v>
      </c>
      <c r="W7684">
        <v>-1.1113090000000001E-2</v>
      </c>
      <c r="X7684">
        <v>0.99993750000000003</v>
      </c>
      <c r="Y7684">
        <v>-2.528035E-2</v>
      </c>
      <c r="Z7684">
        <v>5.9187319999999999E-4</v>
      </c>
      <c r="AA7684">
        <v>0.99968020000000002</v>
      </c>
      <c r="AB7684">
        <v>23</v>
      </c>
      <c r="AC7684">
        <v>18.5672</v>
      </c>
      <c r="AD7684">
        <v>-1.1713739999999999</v>
      </c>
      <c r="AE7684">
        <v>0.61291999999999902</v>
      </c>
      <c r="AF7684">
        <v>-0.47183494590095798</v>
      </c>
      <c r="AG7684">
        <v>-1.1713739999999999</v>
      </c>
      <c r="AH7684">
        <v>18.497729697076</v>
      </c>
      <c r="AI7684">
        <v>93.6222582169502</v>
      </c>
      <c r="AJ7684">
        <v>91.461167967947901</v>
      </c>
      <c r="AK7684">
        <v>18.5407861001128</v>
      </c>
      <c r="AL7684">
        <v>90.636746264709004</v>
      </c>
      <c r="AM7684">
        <v>89.9301874102336</v>
      </c>
      <c r="AN7684">
        <v>0.99999999456758404</v>
      </c>
    </row>
    <row r="7685" spans="1:40" x14ac:dyDescent="0.25">
      <c r="A7685" t="str">
        <f>"20190303153957065"</f>
        <v>20190303153957065</v>
      </c>
      <c r="B7685" t="str">
        <f>"1551598797056513"</f>
        <v>1551598797056513</v>
      </c>
      <c r="C7685" t="s">
        <v>40</v>
      </c>
      <c r="D7685">
        <v>4.613162</v>
      </c>
      <c r="E7685">
        <v>0.48997180000000001</v>
      </c>
      <c r="F7685" t="s">
        <v>43</v>
      </c>
      <c r="G7685">
        <v>-309.86970000000002</v>
      </c>
      <c r="H7685">
        <v>-0.05</v>
      </c>
      <c r="I7685">
        <v>18.29027</v>
      </c>
      <c r="J7685">
        <v>-328.46440000000001</v>
      </c>
      <c r="K7685">
        <v>1.121399</v>
      </c>
      <c r="L7685">
        <v>17.688510000000001</v>
      </c>
      <c r="M7685">
        <v>0.99988160000000004</v>
      </c>
      <c r="N7685">
        <v>-1.3415679999999999E-2</v>
      </c>
      <c r="O7685">
        <v>7.5463029999999999E-3</v>
      </c>
      <c r="P7685">
        <v>0.99967879999999998</v>
      </c>
      <c r="Q7685">
        <v>-2.4620110000000001E-2</v>
      </c>
      <c r="R7685">
        <v>6.0407730000000001E-3</v>
      </c>
      <c r="S7685">
        <v>2.9957579999999999</v>
      </c>
      <c r="T7685">
        <v>-0.1874931</v>
      </c>
      <c r="U7685">
        <v>9.6466060000000006E-2</v>
      </c>
      <c r="V7685">
        <v>1.505492E-3</v>
      </c>
      <c r="W7685">
        <v>-1.120608E-2</v>
      </c>
      <c r="X7685">
        <v>0.99993609999999999</v>
      </c>
      <c r="Y7685">
        <v>-2.4590919999999999E-2</v>
      </c>
      <c r="Z7685">
        <v>5.6322329999999995E-4</v>
      </c>
      <c r="AA7685">
        <v>0.99969739999999996</v>
      </c>
      <c r="AB7685">
        <v>23</v>
      </c>
      <c r="AC7685">
        <v>18.5946999999999</v>
      </c>
      <c r="AD7685">
        <v>-1.1713990000000001</v>
      </c>
      <c r="AE7685">
        <v>0.60175999999999796</v>
      </c>
      <c r="AF7685">
        <v>-0.459587019052416</v>
      </c>
      <c r="AG7685">
        <v>-1.1713990000000001</v>
      </c>
      <c r="AH7685">
        <v>18.525270454704199</v>
      </c>
      <c r="AI7685">
        <v>93.617027852541995</v>
      </c>
      <c r="AJ7685">
        <v>91.421139643203901</v>
      </c>
      <c r="AK7685">
        <v>18.5679573799925</v>
      </c>
      <c r="AL7685">
        <v>90.6420745125493</v>
      </c>
      <c r="AM7685">
        <v>89.913736215230003</v>
      </c>
      <c r="AN7685">
        <v>1.0000000234091599</v>
      </c>
    </row>
    <row r="7686" spans="1:40" x14ac:dyDescent="0.25">
      <c r="A7686" t="str">
        <f>"20190303153957077"</f>
        <v>20190303153957077</v>
      </c>
      <c r="B7686" t="str">
        <f>"1551598797066274"</f>
        <v>1551598797066274</v>
      </c>
      <c r="C7686" t="s">
        <v>40</v>
      </c>
      <c r="D7686">
        <v>4.621829</v>
      </c>
      <c r="E7686">
        <v>0.51253689999999996</v>
      </c>
      <c r="F7686" t="s">
        <v>43</v>
      </c>
      <c r="G7686">
        <v>-309.78859999999997</v>
      </c>
      <c r="H7686">
        <v>-0.05</v>
      </c>
      <c r="I7686">
        <v>18.284939999999999</v>
      </c>
      <c r="J7686">
        <v>-328.34050000000002</v>
      </c>
      <c r="K7686">
        <v>1.1214249999999999</v>
      </c>
      <c r="L7686">
        <v>17.689509999999999</v>
      </c>
      <c r="M7686">
        <v>0.99988080000000001</v>
      </c>
      <c r="N7686">
        <v>-1.3436780000000001E-2</v>
      </c>
      <c r="O7686">
        <v>7.6206619999999899E-3</v>
      </c>
      <c r="P7686">
        <v>0.99968190000000001</v>
      </c>
      <c r="Q7686">
        <v>-2.4414189999999999E-2</v>
      </c>
      <c r="R7686">
        <v>6.3588719999999998E-3</v>
      </c>
      <c r="S7686">
        <v>2.9957889999999998</v>
      </c>
      <c r="T7686">
        <v>-0.18790480000000001</v>
      </c>
      <c r="U7686">
        <v>9.5672610000000005E-2</v>
      </c>
      <c r="V7686">
        <v>1.2623700000000001E-3</v>
      </c>
      <c r="W7686">
        <v>-1.0978969999999999E-2</v>
      </c>
      <c r="X7686">
        <v>0.99993889999999996</v>
      </c>
      <c r="Y7686">
        <v>-2.425244E-2</v>
      </c>
      <c r="Z7686">
        <v>5.4775180000000002E-4</v>
      </c>
      <c r="AA7686">
        <v>0.99970570000000003</v>
      </c>
      <c r="AB7686">
        <v>23</v>
      </c>
      <c r="AC7686">
        <v>18.5519</v>
      </c>
      <c r="AD7686">
        <v>-1.1714249999999999</v>
      </c>
      <c r="AE7686">
        <v>0.59542999999999602</v>
      </c>
      <c r="AF7686">
        <v>-0.45222102537397402</v>
      </c>
      <c r="AG7686">
        <v>-1.1714249999999999</v>
      </c>
      <c r="AH7686">
        <v>18.482285128979001</v>
      </c>
      <c r="AI7686">
        <v>93.625528375140405</v>
      </c>
      <c r="AJ7686">
        <v>91.401622538587901</v>
      </c>
      <c r="AK7686">
        <v>18.524891470000401</v>
      </c>
      <c r="AL7686">
        <v>90.629061302856897</v>
      </c>
      <c r="AM7686">
        <v>89.927667145703595</v>
      </c>
      <c r="AN7686">
        <v>0.99999996754674303</v>
      </c>
    </row>
    <row r="7687" spans="1:40" x14ac:dyDescent="0.25">
      <c r="A7687" t="str">
        <f>"20190303153957090"</f>
        <v>20190303153957090</v>
      </c>
      <c r="B7687" t="str">
        <f>"1551598797085794"</f>
        <v>1551598797085794</v>
      </c>
      <c r="C7687" t="s">
        <v>40</v>
      </c>
      <c r="D7687">
        <v>4.6525299999999996</v>
      </c>
      <c r="E7687">
        <v>0.52886319999999998</v>
      </c>
      <c r="F7687" t="s">
        <v>43</v>
      </c>
      <c r="G7687">
        <v>-307.411</v>
      </c>
      <c r="H7687">
        <v>-0.05</v>
      </c>
      <c r="I7687">
        <v>17.109909999999999</v>
      </c>
      <c r="J7687">
        <v>-328.20679999999999</v>
      </c>
      <c r="K7687">
        <v>1.121454</v>
      </c>
      <c r="L7687">
        <v>17.69061</v>
      </c>
      <c r="M7687">
        <v>0.99987959999999998</v>
      </c>
      <c r="N7687">
        <v>-1.345822E-2</v>
      </c>
      <c r="O7687">
        <v>7.7178219999999896E-3</v>
      </c>
      <c r="P7687">
        <v>0.99967919999999999</v>
      </c>
      <c r="Q7687">
        <v>-2.433865E-2</v>
      </c>
      <c r="R7687">
        <v>7.0145260000000001E-3</v>
      </c>
      <c r="S7687">
        <v>2.9973749999999999</v>
      </c>
      <c r="T7687">
        <v>-0.1677631</v>
      </c>
      <c r="U7687">
        <v>-8.3007810000000001E-2</v>
      </c>
      <c r="V7687">
        <v>7.0462809999999895E-4</v>
      </c>
      <c r="W7687">
        <v>-1.0882019999999999E-2</v>
      </c>
      <c r="X7687">
        <v>0.99994050000000001</v>
      </c>
      <c r="Y7687">
        <v>3.5322109999999997E-2</v>
      </c>
      <c r="Z7687">
        <v>-1.553266E-3</v>
      </c>
      <c r="AA7687">
        <v>0.99937469999999995</v>
      </c>
      <c r="AB7687">
        <v>23</v>
      </c>
      <c r="AC7687">
        <v>20.7957999999999</v>
      </c>
      <c r="AD7687">
        <v>-1.171454</v>
      </c>
      <c r="AE7687">
        <v>-0.58069999999999999</v>
      </c>
      <c r="AF7687">
        <v>0.73885281890498</v>
      </c>
      <c r="AG7687">
        <v>-1.171454</v>
      </c>
      <c r="AH7687">
        <v>20.7249848344856</v>
      </c>
      <c r="AI7687">
        <v>93.233080763308394</v>
      </c>
      <c r="AJ7687">
        <v>87.958250497599494</v>
      </c>
      <c r="AK7687">
        <v>20.771210950538698</v>
      </c>
      <c r="AL7687">
        <v>90.623506150191801</v>
      </c>
      <c r="AM7687">
        <v>89.959625388136601</v>
      </c>
      <c r="AN7687">
        <v>0.99999995920014395</v>
      </c>
    </row>
    <row r="7688" spans="1:40" x14ac:dyDescent="0.25">
      <c r="A7688" t="str">
        <f>"20190303153957104"</f>
        <v>20190303153957104</v>
      </c>
      <c r="B7688" t="str">
        <f>"1551598797095553"</f>
        <v>1551598797095553</v>
      </c>
      <c r="C7688" t="s">
        <v>40</v>
      </c>
      <c r="D7688">
        <v>4.6706810000000001</v>
      </c>
      <c r="E7688">
        <v>0.53136680000000003</v>
      </c>
      <c r="F7688" t="s">
        <v>43</v>
      </c>
      <c r="G7688">
        <v>-304.03399999999999</v>
      </c>
      <c r="H7688">
        <v>-0.05</v>
      </c>
      <c r="I7688">
        <v>15.991070000000001</v>
      </c>
      <c r="J7688">
        <v>-328.06439999999998</v>
      </c>
      <c r="K7688">
        <v>1.12148799999999</v>
      </c>
      <c r="L7688">
        <v>17.69183</v>
      </c>
      <c r="M7688">
        <v>0.99987820000000005</v>
      </c>
      <c r="N7688">
        <v>-1.347844E-2</v>
      </c>
      <c r="O7688">
        <v>7.863442E-3</v>
      </c>
      <c r="P7688">
        <v>0.99968369999999995</v>
      </c>
      <c r="Q7688">
        <v>-2.3944529999999999E-2</v>
      </c>
      <c r="R7688">
        <v>7.6958319999999997E-3</v>
      </c>
      <c r="S7688">
        <v>2.998901</v>
      </c>
      <c r="T7688">
        <v>-0.14533109999999999</v>
      </c>
      <c r="U7688">
        <v>-0.2108459</v>
      </c>
      <c r="V7688">
        <v>1.6960009999999901E-4</v>
      </c>
      <c r="W7688">
        <v>-1.046773E-2</v>
      </c>
      <c r="X7688">
        <v>0.99994519999999998</v>
      </c>
      <c r="Y7688">
        <v>7.7856090000000003E-2</v>
      </c>
      <c r="Z7688">
        <v>-2.6834300000000001E-3</v>
      </c>
      <c r="AA7688">
        <v>0.99696099999999999</v>
      </c>
      <c r="AB7688">
        <v>23</v>
      </c>
      <c r="AC7688">
        <v>24.030399999999901</v>
      </c>
      <c r="AD7688">
        <v>-1.1714880000000001</v>
      </c>
      <c r="AE7688">
        <v>-1.7007599999999901</v>
      </c>
      <c r="AF7688">
        <v>1.8852281612072701</v>
      </c>
      <c r="AG7688">
        <v>-1.1714880000000001</v>
      </c>
      <c r="AH7688">
        <v>23.959623549705899</v>
      </c>
      <c r="AI7688">
        <v>92.790593972660702</v>
      </c>
      <c r="AJ7688">
        <v>85.501034088369806</v>
      </c>
      <c r="AK7688">
        <v>24.062211660559701</v>
      </c>
      <c r="AL7688">
        <v>90.599767701976305</v>
      </c>
      <c r="AM7688">
        <v>89.990282097617097</v>
      </c>
      <c r="AN7688">
        <v>1.0000000025692899</v>
      </c>
    </row>
    <row r="7689" spans="1:40" x14ac:dyDescent="0.25">
      <c r="A7689" t="str">
        <f>"20190303153957119"</f>
        <v>20190303153957119</v>
      </c>
      <c r="B7689" t="str">
        <f>"1551598797116049"</f>
        <v>1551598797116049</v>
      </c>
      <c r="C7689" t="s">
        <v>40</v>
      </c>
      <c r="D7689">
        <v>4.6584240000000001</v>
      </c>
      <c r="E7689">
        <v>0.53418949999999998</v>
      </c>
      <c r="F7689" t="s">
        <v>43</v>
      </c>
      <c r="G7689">
        <v>-304.6429</v>
      </c>
      <c r="H7689">
        <v>-0.05</v>
      </c>
      <c r="I7689">
        <v>15.904159999999999</v>
      </c>
      <c r="J7689">
        <v>-327.91239999999999</v>
      </c>
      <c r="K7689">
        <v>1.121518</v>
      </c>
      <c r="L7689">
        <v>17.693210000000001</v>
      </c>
      <c r="M7689">
        <v>0.9998766</v>
      </c>
      <c r="N7689">
        <v>-1.349815E-2</v>
      </c>
      <c r="O7689">
        <v>8.048375E-3</v>
      </c>
      <c r="P7689">
        <v>0.99966880000000002</v>
      </c>
      <c r="Q7689">
        <v>-2.424898E-2</v>
      </c>
      <c r="R7689">
        <v>8.6464579999999992E-3</v>
      </c>
      <c r="S7689">
        <v>2.9991460000000001</v>
      </c>
      <c r="T7689">
        <v>-0.15001</v>
      </c>
      <c r="U7689">
        <v>-0.22891239999999999</v>
      </c>
      <c r="V7689">
        <v>-5.9536029999999996E-4</v>
      </c>
      <c r="W7689">
        <v>-1.075284E-2</v>
      </c>
      <c r="X7689">
        <v>0.999942</v>
      </c>
      <c r="Y7689">
        <v>8.3989720000000004E-2</v>
      </c>
      <c r="Z7689">
        <v>-2.9576009999999998E-3</v>
      </c>
      <c r="AA7689">
        <v>0.99646219999999996</v>
      </c>
      <c r="AB7689">
        <v>23</v>
      </c>
      <c r="AC7689">
        <v>23.269499999999901</v>
      </c>
      <c r="AD7689">
        <v>-1.1715180000000001</v>
      </c>
      <c r="AE7689">
        <v>-1.78904999999999</v>
      </c>
      <c r="AF7689">
        <v>1.9713234327400799</v>
      </c>
      <c r="AG7689">
        <v>-1.1715180000000001</v>
      </c>
      <c r="AH7689">
        <v>23.1958971666911</v>
      </c>
      <c r="AI7689">
        <v>92.880921848639403</v>
      </c>
      <c r="AJ7689">
        <v>85.142341031709606</v>
      </c>
      <c r="AK7689">
        <v>23.3089728617222</v>
      </c>
      <c r="AL7689">
        <v>90.616104228597493</v>
      </c>
      <c r="AM7689">
        <v>90.034113607037995</v>
      </c>
      <c r="AN7689">
        <v>0.99999999069297596</v>
      </c>
    </row>
    <row r="7690" spans="1:40" x14ac:dyDescent="0.25">
      <c r="A7690" t="str">
        <f>"20190303153957144"</f>
        <v>20190303153957144</v>
      </c>
      <c r="B7690" t="str">
        <f>"1551598797136545"</f>
        <v>1551598797136545</v>
      </c>
      <c r="C7690" t="s">
        <v>40</v>
      </c>
      <c r="D7690">
        <v>4.7006110000000003</v>
      </c>
      <c r="E7690">
        <v>0.53491089999999997</v>
      </c>
      <c r="F7690" t="s">
        <v>43</v>
      </c>
      <c r="G7690">
        <v>-305.6114</v>
      </c>
      <c r="H7690">
        <v>-0.05</v>
      </c>
      <c r="I7690">
        <v>15.8439</v>
      </c>
      <c r="J7690">
        <v>-327.66520000000003</v>
      </c>
      <c r="K7690">
        <v>1.121578</v>
      </c>
      <c r="L7690">
        <v>17.695589999999999</v>
      </c>
      <c r="M7690">
        <v>0.99987320000000002</v>
      </c>
      <c r="N7690">
        <v>-1.3526389999999999E-2</v>
      </c>
      <c r="O7690">
        <v>8.4150509999999998E-3</v>
      </c>
      <c r="P7690">
        <v>0.99966440000000001</v>
      </c>
      <c r="Q7690">
        <v>-2.4229259999999999E-2</v>
      </c>
      <c r="R7690">
        <v>9.1772220000000005E-3</v>
      </c>
      <c r="S7690">
        <v>2.9993289999999999</v>
      </c>
      <c r="T7690">
        <v>-0.1575607</v>
      </c>
      <c r="U7690">
        <v>-0.2487183</v>
      </c>
      <c r="V7690">
        <v>-7.5795279999999897E-4</v>
      </c>
      <c r="W7690">
        <v>-1.0705060000000001E-2</v>
      </c>
      <c r="X7690">
        <v>0.99994240000000001</v>
      </c>
      <c r="Y7690">
        <v>9.0862040000000005E-2</v>
      </c>
      <c r="Z7690">
        <v>-3.3244540000000001E-3</v>
      </c>
      <c r="AA7690">
        <v>0.99585800000000002</v>
      </c>
      <c r="AB7690">
        <v>23</v>
      </c>
      <c r="AC7690">
        <v>22.053799999999999</v>
      </c>
      <c r="AD7690">
        <v>-1.171578</v>
      </c>
      <c r="AE7690">
        <v>-1.8516900000000001</v>
      </c>
      <c r="AF7690">
        <v>2.0315321446647099</v>
      </c>
      <c r="AG7690">
        <v>-1.171578</v>
      </c>
      <c r="AH7690">
        <v>21.975851155069499</v>
      </c>
      <c r="AI7690">
        <v>93.038735122268093</v>
      </c>
      <c r="AJ7690">
        <v>84.7183691586809</v>
      </c>
      <c r="AK7690">
        <v>22.1006278610961</v>
      </c>
      <c r="AL7690">
        <v>90.613366480265398</v>
      </c>
      <c r="AM7690">
        <v>90.043429989760298</v>
      </c>
      <c r="AN7690">
        <v>0.99999998805990498</v>
      </c>
    </row>
    <row r="7691" spans="1:40" x14ac:dyDescent="0.25">
      <c r="A7691" t="str">
        <f>"20190303153957158"</f>
        <v>20190303153957158</v>
      </c>
      <c r="B7691" t="str">
        <f>"1551598797146306"</f>
        <v>1551598797146306</v>
      </c>
      <c r="C7691" t="s">
        <v>40</v>
      </c>
      <c r="D7691">
        <v>4.7057690000000001</v>
      </c>
      <c r="E7691">
        <v>0.53471289999999905</v>
      </c>
      <c r="F7691" t="s">
        <v>43</v>
      </c>
      <c r="G7691">
        <v>-307.0924</v>
      </c>
      <c r="H7691">
        <v>-0.05</v>
      </c>
      <c r="I7691">
        <v>15.958360000000001</v>
      </c>
      <c r="J7691">
        <v>-327.5256</v>
      </c>
      <c r="K7691">
        <v>1.1216090000000001</v>
      </c>
      <c r="L7691">
        <v>17.69699</v>
      </c>
      <c r="M7691">
        <v>0.99987090000000001</v>
      </c>
      <c r="N7691">
        <v>-1.354027E-2</v>
      </c>
      <c r="O7691">
        <v>8.6576109999999904E-3</v>
      </c>
      <c r="P7691">
        <v>0.99966940000000004</v>
      </c>
      <c r="Q7691">
        <v>-2.4044940000000001E-2</v>
      </c>
      <c r="R7691">
        <v>9.1207600000000003E-3</v>
      </c>
      <c r="S7691">
        <v>2.9992369999999999</v>
      </c>
      <c r="T7691">
        <v>-0.17080039999999999</v>
      </c>
      <c r="U7691">
        <v>-0.25326539999999997</v>
      </c>
      <c r="V7691">
        <v>-4.5851730000000002E-4</v>
      </c>
      <c r="W7691">
        <v>-1.0506669999999999E-2</v>
      </c>
      <c r="X7691">
        <v>0.99994470000000002</v>
      </c>
      <c r="Y7691">
        <v>9.2575610000000003E-2</v>
      </c>
      <c r="Z7691">
        <v>-3.6325709999999998E-3</v>
      </c>
      <c r="AA7691">
        <v>0.995699</v>
      </c>
      <c r="AB7691">
        <v>23</v>
      </c>
      <c r="AC7691">
        <v>20.433199999999999</v>
      </c>
      <c r="AD7691">
        <v>-1.1716089999999999</v>
      </c>
      <c r="AE7691">
        <v>-1.7386299999999899</v>
      </c>
      <c r="AF7691">
        <v>1.9092518001175101</v>
      </c>
      <c r="AG7691">
        <v>-1.1716089999999999</v>
      </c>
      <c r="AH7691">
        <v>20.350953343209401</v>
      </c>
      <c r="AI7691">
        <v>93.280520648647794</v>
      </c>
      <c r="AJ7691">
        <v>84.640407535649203</v>
      </c>
      <c r="AK7691">
        <v>20.473866563563899</v>
      </c>
      <c r="AL7691">
        <v>90.6019989228448</v>
      </c>
      <c r="AM7691">
        <v>90.026272557154797</v>
      </c>
      <c r="AN7691">
        <v>1.0000000017053401</v>
      </c>
    </row>
    <row r="7692" spans="1:40" x14ac:dyDescent="0.25">
      <c r="A7692" t="str">
        <f>"20190303153957171"</f>
        <v>20190303153957171</v>
      </c>
      <c r="B7692" t="str">
        <f>"1551598797165825"</f>
        <v>1551598797165825</v>
      </c>
      <c r="C7692" t="s">
        <v>40</v>
      </c>
      <c r="D7692">
        <v>4.7000109999999999</v>
      </c>
      <c r="E7692">
        <v>0.53465959999999901</v>
      </c>
      <c r="F7692" t="s">
        <v>43</v>
      </c>
      <c r="G7692">
        <v>-307.92419999999998</v>
      </c>
      <c r="H7692">
        <v>-0.05</v>
      </c>
      <c r="I7692">
        <v>16.049440000000001</v>
      </c>
      <c r="J7692">
        <v>-327.38799999999998</v>
      </c>
      <c r="K7692">
        <v>1.1216410000000001</v>
      </c>
      <c r="L7692">
        <v>17.698460000000001</v>
      </c>
      <c r="M7692">
        <v>0.99986850000000005</v>
      </c>
      <c r="N7692">
        <v>-1.3552939999999999E-2</v>
      </c>
      <c r="O7692">
        <v>8.9133609999999999E-3</v>
      </c>
      <c r="P7692">
        <v>0.99968460000000003</v>
      </c>
      <c r="Q7692">
        <v>-2.3434880000000002E-2</v>
      </c>
      <c r="R7692">
        <v>9.0246879999999995E-3</v>
      </c>
      <c r="S7692">
        <v>2.998993</v>
      </c>
      <c r="T7692">
        <v>-0.17925479999999899</v>
      </c>
      <c r="U7692">
        <v>-0.2520752</v>
      </c>
      <c r="V7692">
        <v>-1.061547E-4</v>
      </c>
      <c r="W7692">
        <v>-9.8835899999999994E-3</v>
      </c>
      <c r="X7692">
        <v>0.99995109999999998</v>
      </c>
      <c r="Y7692">
        <v>9.2426750000000002E-2</v>
      </c>
      <c r="Z7692">
        <v>-3.793982E-3</v>
      </c>
      <c r="AA7692">
        <v>0.99571229999999999</v>
      </c>
      <c r="AB7692">
        <v>23</v>
      </c>
      <c r="AC7692">
        <v>19.4637999999999</v>
      </c>
      <c r="AD7692">
        <v>-1.1716409999999999</v>
      </c>
      <c r="AE7692">
        <v>-1.6490199999999999</v>
      </c>
      <c r="AF7692">
        <v>1.81592508484654</v>
      </c>
      <c r="AG7692">
        <v>-1.1716409999999999</v>
      </c>
      <c r="AH7692">
        <v>19.378608146811899</v>
      </c>
      <c r="AI7692">
        <v>93.444866371298204</v>
      </c>
      <c r="AJ7692">
        <v>84.646576623525803</v>
      </c>
      <c r="AK7692">
        <v>19.498737914397001</v>
      </c>
      <c r="AL7692">
        <v>90.566297242112299</v>
      </c>
      <c r="AM7692">
        <v>90.006082513697507</v>
      </c>
      <c r="AN7692">
        <v>0.99999994950565796</v>
      </c>
    </row>
    <row r="7693" spans="1:40" x14ac:dyDescent="0.25">
      <c r="A7693" t="str">
        <f>"20190303153957185"</f>
        <v>20190303153957185</v>
      </c>
      <c r="B7693" t="str">
        <f>"1551598797176561"</f>
        <v>1551598797176561</v>
      </c>
      <c r="C7693" t="s">
        <v>40</v>
      </c>
      <c r="D7693">
        <v>4.6677970000000002</v>
      </c>
      <c r="E7693">
        <v>0.53489390000000003</v>
      </c>
      <c r="F7693" t="s">
        <v>43</v>
      </c>
      <c r="G7693">
        <v>-308.976</v>
      </c>
      <c r="H7693">
        <v>-0.05</v>
      </c>
      <c r="I7693">
        <v>16.14922</v>
      </c>
      <c r="J7693">
        <v>-327.23360000000002</v>
      </c>
      <c r="K7693">
        <v>1.121683</v>
      </c>
      <c r="L7693">
        <v>17.70016</v>
      </c>
      <c r="M7693">
        <v>0.99986549999999996</v>
      </c>
      <c r="N7693">
        <v>-1.356542E-2</v>
      </c>
      <c r="O7693">
        <v>9.2241760000000006E-3</v>
      </c>
      <c r="P7693">
        <v>0.99974350000000001</v>
      </c>
      <c r="Q7693">
        <v>-2.102271E-2</v>
      </c>
      <c r="R7693">
        <v>8.4324589999999998E-3</v>
      </c>
      <c r="S7693">
        <v>2.9987180000000002</v>
      </c>
      <c r="T7693">
        <v>-0.19082199999999999</v>
      </c>
      <c r="U7693">
        <v>-0.25231930000000002</v>
      </c>
      <c r="V7693">
        <v>7.9606939999999997E-4</v>
      </c>
      <c r="W7693">
        <v>-7.457778E-3</v>
      </c>
      <c r="X7693">
        <v>0.99997190000000002</v>
      </c>
      <c r="Y7693">
        <v>9.2797160000000004E-2</v>
      </c>
      <c r="Z7693">
        <v>-4.0363020000000003E-3</v>
      </c>
      <c r="AA7693">
        <v>0.99567689999999998</v>
      </c>
      <c r="AB7693">
        <v>23</v>
      </c>
      <c r="AC7693">
        <v>18.2576</v>
      </c>
      <c r="AD7693">
        <v>-1.171683</v>
      </c>
      <c r="AE7693">
        <v>-1.55094</v>
      </c>
      <c r="AF7693">
        <v>1.7122993273745299</v>
      </c>
      <c r="AG7693">
        <v>-1.171683</v>
      </c>
      <c r="AH7693">
        <v>18.168226952041099</v>
      </c>
      <c r="AI7693">
        <v>93.673704356802205</v>
      </c>
      <c r="AJ7693">
        <v>84.615953228196602</v>
      </c>
      <c r="AK7693">
        <v>18.286314024972</v>
      </c>
      <c r="AL7693">
        <v>90.427303153680995</v>
      </c>
      <c r="AM7693">
        <v>89.954387311099495</v>
      </c>
      <c r="AN7693">
        <v>1.00000002648439</v>
      </c>
    </row>
    <row r="7694" spans="1:40" x14ac:dyDescent="0.25">
      <c r="A7694" t="str">
        <f>"20190303153957197"</f>
        <v>20190303153957197</v>
      </c>
      <c r="B7694" t="str">
        <f>"1551598797186322"</f>
        <v>1551598797186322</v>
      </c>
      <c r="C7694" t="s">
        <v>40</v>
      </c>
      <c r="D7694">
        <v>4.7059610000000003</v>
      </c>
      <c r="E7694">
        <v>0.53485459999999996</v>
      </c>
      <c r="F7694" t="s">
        <v>43</v>
      </c>
      <c r="G7694">
        <v>-307.71359999999999</v>
      </c>
      <c r="H7694">
        <v>-0.05</v>
      </c>
      <c r="I7694">
        <v>16.0349</v>
      </c>
      <c r="J7694">
        <v>-327.1268</v>
      </c>
      <c r="K7694">
        <v>1.121702</v>
      </c>
      <c r="L7694">
        <v>17.701419999999999</v>
      </c>
      <c r="M7694">
        <v>0.99986330000000001</v>
      </c>
      <c r="N7694">
        <v>-1.3573129999999999E-2</v>
      </c>
      <c r="O7694">
        <v>9.4479530000000003E-3</v>
      </c>
      <c r="P7694">
        <v>0.99977249999999995</v>
      </c>
      <c r="Q7694">
        <v>-1.9661370000000001E-2</v>
      </c>
      <c r="R7694">
        <v>8.2909619999999903E-3</v>
      </c>
      <c r="S7694">
        <v>2.9991460000000001</v>
      </c>
      <c r="T7694">
        <v>-0.18002309999999999</v>
      </c>
      <c r="U7694">
        <v>-0.25585940000000001</v>
      </c>
      <c r="V7694">
        <v>1.160449E-3</v>
      </c>
      <c r="W7694">
        <v>-6.0881950000000002E-3</v>
      </c>
      <c r="X7694">
        <v>0.9999808</v>
      </c>
      <c r="Y7694">
        <v>9.4196039999999995E-2</v>
      </c>
      <c r="Z7694">
        <v>-3.8982729999999998E-3</v>
      </c>
      <c r="AA7694">
        <v>0.99554600000000004</v>
      </c>
      <c r="AB7694">
        <v>23</v>
      </c>
      <c r="AC7694">
        <v>19.4132</v>
      </c>
      <c r="AD7694">
        <v>-1.171702</v>
      </c>
      <c r="AE7694">
        <v>-1.66652</v>
      </c>
      <c r="AF7694">
        <v>1.8432120860571699</v>
      </c>
      <c r="AG7694">
        <v>-1.171702</v>
      </c>
      <c r="AH7694">
        <v>19.3266976890385</v>
      </c>
      <c r="AI7694">
        <v>93.4537390124392</v>
      </c>
      <c r="AJ7694">
        <v>84.552105175845398</v>
      </c>
      <c r="AK7694">
        <v>19.4497187623492</v>
      </c>
      <c r="AL7694">
        <v>90.348830031047896</v>
      </c>
      <c r="AM7694">
        <v>89.933509923196993</v>
      </c>
      <c r="AN7694">
        <v>1.0000000065644301</v>
      </c>
    </row>
    <row r="7695" spans="1:40" x14ac:dyDescent="0.25">
      <c r="A7695" t="str">
        <f>"20190303153957208"</f>
        <v>20190303153957208</v>
      </c>
      <c r="B7695" t="str">
        <f>"1551598797196081"</f>
        <v>1551598797196081</v>
      </c>
      <c r="C7695" t="s">
        <v>40</v>
      </c>
      <c r="D7695">
        <v>4.6623419999999998</v>
      </c>
      <c r="E7695">
        <v>0.53547230000000001</v>
      </c>
      <c r="F7695" t="s">
        <v>43</v>
      </c>
      <c r="G7695">
        <v>-307.66090000000003</v>
      </c>
      <c r="H7695">
        <v>-0.05</v>
      </c>
      <c r="I7695">
        <v>16.039439999999999</v>
      </c>
      <c r="J7695">
        <v>-327.00779999999997</v>
      </c>
      <c r="K7695">
        <v>1.121723</v>
      </c>
      <c r="L7695">
        <v>17.70279</v>
      </c>
      <c r="M7695">
        <v>0.99986079999999999</v>
      </c>
      <c r="N7695">
        <v>-1.3581279999999999E-2</v>
      </c>
      <c r="O7695">
        <v>9.7011519999999993E-3</v>
      </c>
      <c r="P7695">
        <v>0.99979320000000005</v>
      </c>
      <c r="Q7695">
        <v>-1.8534470000000001E-2</v>
      </c>
      <c r="R7695">
        <v>8.367569E-3</v>
      </c>
      <c r="S7695">
        <v>2.9992679999999998</v>
      </c>
      <c r="T7695">
        <v>-0.18053350000000001</v>
      </c>
      <c r="U7695">
        <v>-0.256073</v>
      </c>
      <c r="V7695">
        <v>1.3366929999999999E-3</v>
      </c>
      <c r="W7695">
        <v>-4.9527939999999999E-3</v>
      </c>
      <c r="X7695">
        <v>0.99998679999999995</v>
      </c>
      <c r="Y7695">
        <v>9.4512959999999993E-2</v>
      </c>
      <c r="Z7695">
        <v>-3.931464E-3</v>
      </c>
      <c r="AA7695">
        <v>0.99551590000000001</v>
      </c>
      <c r="AB7695">
        <v>23</v>
      </c>
      <c r="AC7695">
        <v>19.346899999999899</v>
      </c>
      <c r="AD7695">
        <v>-1.1717229999999901</v>
      </c>
      <c r="AE7695">
        <v>-1.6633500000000001</v>
      </c>
      <c r="AF7695">
        <v>1.84426114538574</v>
      </c>
      <c r="AG7695">
        <v>-1.1717229999999901</v>
      </c>
      <c r="AH7695">
        <v>19.2597255549632</v>
      </c>
      <c r="AI7695">
        <v>93.465655080744995</v>
      </c>
      <c r="AJ7695">
        <v>84.530183187318002</v>
      </c>
      <c r="AK7695">
        <v>19.383272747748499</v>
      </c>
      <c r="AL7695">
        <v>90.283775364945797</v>
      </c>
      <c r="AM7695">
        <v>89.923412167250902</v>
      </c>
      <c r="AN7695">
        <v>0.99999995854541002</v>
      </c>
    </row>
    <row r="7696" spans="1:40" x14ac:dyDescent="0.25">
      <c r="A7696" t="str">
        <f>"20190303153957219"</f>
        <v>20190303153957219</v>
      </c>
      <c r="B7696" t="str">
        <f>"1551598797215601"</f>
        <v>1551598797215601</v>
      </c>
      <c r="C7696" t="s">
        <v>40</v>
      </c>
      <c r="D7696">
        <v>4.6802780000000004</v>
      </c>
      <c r="E7696">
        <v>0.53615239999999997</v>
      </c>
      <c r="F7696" t="s">
        <v>43</v>
      </c>
      <c r="G7696">
        <v>-307.04669999999999</v>
      </c>
      <c r="H7696">
        <v>-0.05</v>
      </c>
      <c r="I7696">
        <v>15.967420000000001</v>
      </c>
      <c r="J7696">
        <v>-326.90469999999999</v>
      </c>
      <c r="K7696">
        <v>1.121732</v>
      </c>
      <c r="L7696">
        <v>17.704039999999999</v>
      </c>
      <c r="M7696">
        <v>0.99985840000000004</v>
      </c>
      <c r="N7696">
        <v>-1.3587419999999999E-2</v>
      </c>
      <c r="O7696">
        <v>9.9266100000000006E-3</v>
      </c>
      <c r="P7696">
        <v>0.99981019999999998</v>
      </c>
      <c r="Q7696">
        <v>-1.7466869999999999E-2</v>
      </c>
      <c r="R7696">
        <v>8.6336150000000007E-3</v>
      </c>
      <c r="S7696">
        <v>2.9995419999999999</v>
      </c>
      <c r="T7696">
        <v>-0.17607410000000001</v>
      </c>
      <c r="U7696">
        <v>-0.26077270000000002</v>
      </c>
      <c r="V7696">
        <v>1.295467E-3</v>
      </c>
      <c r="W7696">
        <v>-3.878917E-3</v>
      </c>
      <c r="X7696">
        <v>0.99999170000000004</v>
      </c>
      <c r="Y7696">
        <v>9.6283839999999996E-2</v>
      </c>
      <c r="Z7696">
        <v>-3.9209179999999998E-3</v>
      </c>
      <c r="AA7696">
        <v>0.99534619999999996</v>
      </c>
      <c r="AB7696">
        <v>23</v>
      </c>
      <c r="AC7696">
        <v>19.858000000000001</v>
      </c>
      <c r="AD7696">
        <v>-1.171732</v>
      </c>
      <c r="AE7696">
        <v>-1.7366199999999901</v>
      </c>
      <c r="AF7696">
        <v>1.9270169592093001</v>
      </c>
      <c r="AG7696">
        <v>-1.171732</v>
      </c>
      <c r="AH7696">
        <v>19.77146613811</v>
      </c>
      <c r="AI7696">
        <v>93.375640029183302</v>
      </c>
      <c r="AJ7696">
        <v>84.433275198238405</v>
      </c>
      <c r="AK7696">
        <v>19.899678979605099</v>
      </c>
      <c r="AL7696">
        <v>90.222246116690201</v>
      </c>
      <c r="AM7696">
        <v>89.925774633853806</v>
      </c>
      <c r="AN7696">
        <v>1.00000006215036</v>
      </c>
    </row>
    <row r="7697" spans="1:40" x14ac:dyDescent="0.25">
      <c r="A7697" t="str">
        <f>"20190303153957230"</f>
        <v>20190303153957230</v>
      </c>
      <c r="B7697" t="str">
        <f>"1551598797225707"</f>
        <v>1551598797225707</v>
      </c>
      <c r="C7697" t="s">
        <v>40</v>
      </c>
      <c r="D7697">
        <v>4.7124180000000004</v>
      </c>
      <c r="E7697">
        <v>0.53605459999999905</v>
      </c>
      <c r="F7697" t="s">
        <v>43</v>
      </c>
      <c r="G7697">
        <v>-306.54430000000002</v>
      </c>
      <c r="H7697">
        <v>-0.05</v>
      </c>
      <c r="I7697">
        <v>15.90265</v>
      </c>
      <c r="J7697">
        <v>-326.79239999999999</v>
      </c>
      <c r="K7697">
        <v>1.1217379999999999</v>
      </c>
      <c r="L7697">
        <v>17.705379999999899</v>
      </c>
      <c r="M7697">
        <v>0.99985599999999997</v>
      </c>
      <c r="N7697">
        <v>-1.359397E-2</v>
      </c>
      <c r="O7697">
        <v>1.017214E-2</v>
      </c>
      <c r="P7697">
        <v>0.99981759999999997</v>
      </c>
      <c r="Q7697">
        <v>-1.6861040000000001E-2</v>
      </c>
      <c r="R7697">
        <v>8.9957800000000001E-3</v>
      </c>
      <c r="S7697">
        <v>2.9998469999999999</v>
      </c>
      <c r="T7697">
        <v>-0.1726404</v>
      </c>
      <c r="U7697">
        <v>-0.26541140000000002</v>
      </c>
      <c r="V7697">
        <v>1.1783060000000001E-3</v>
      </c>
      <c r="W7697">
        <v>-3.2665419999999999E-3</v>
      </c>
      <c r="X7697">
        <v>0.99999400000000005</v>
      </c>
      <c r="Y7697">
        <v>9.8050540000000005E-2</v>
      </c>
      <c r="Z7697">
        <v>-3.9279570000000001E-3</v>
      </c>
      <c r="AA7697">
        <v>0.99517370000000005</v>
      </c>
      <c r="AB7697">
        <v>23</v>
      </c>
      <c r="AC7697">
        <v>20.248099999999901</v>
      </c>
      <c r="AD7697">
        <v>-1.1717379999999999</v>
      </c>
      <c r="AE7697">
        <v>-1.80272999999999</v>
      </c>
      <c r="AF7697">
        <v>2.0019707004482399</v>
      </c>
      <c r="AG7697">
        <v>-1.1717379999999999</v>
      </c>
      <c r="AH7697">
        <v>20.1617257980087</v>
      </c>
      <c r="AI7697">
        <v>93.309873986098296</v>
      </c>
      <c r="AJ7697">
        <v>84.329369081264502</v>
      </c>
      <c r="AK7697">
        <v>20.294729458166898</v>
      </c>
      <c r="AL7697">
        <v>90.187159397547603</v>
      </c>
      <c r="AM7697">
        <v>89.932487665395996</v>
      </c>
      <c r="AN7697">
        <v>1.00000002936883</v>
      </c>
    </row>
    <row r="7698" spans="1:40" x14ac:dyDescent="0.25">
      <c r="A7698" t="str">
        <f>"20190303153957241"</f>
        <v>20190303153957241</v>
      </c>
      <c r="B7698" t="str">
        <f>"1551598797236442"</f>
        <v>1551598797236442</v>
      </c>
      <c r="C7698" t="s">
        <v>40</v>
      </c>
      <c r="D7698">
        <v>4.704021</v>
      </c>
      <c r="E7698">
        <v>0.53602620000000001</v>
      </c>
      <c r="F7698" t="s">
        <v>43</v>
      </c>
      <c r="G7698">
        <v>-306.77609999999999</v>
      </c>
      <c r="H7698">
        <v>-0.05</v>
      </c>
      <c r="I7698">
        <v>15.946120000000001</v>
      </c>
      <c r="J7698">
        <v>-326.67360000000002</v>
      </c>
      <c r="K7698">
        <v>1.1217379999999999</v>
      </c>
      <c r="L7698">
        <v>17.706910000000001</v>
      </c>
      <c r="M7698">
        <v>0.9998532</v>
      </c>
      <c r="N7698">
        <v>-1.3599979999999999E-2</v>
      </c>
      <c r="O7698">
        <v>1.0433639999999999E-2</v>
      </c>
      <c r="P7698">
        <v>0.99982099999999996</v>
      </c>
      <c r="Q7698">
        <v>-1.6289629999999999E-2</v>
      </c>
      <c r="R7698">
        <v>9.6519989999999996E-3</v>
      </c>
      <c r="S7698">
        <v>2.9999690000000001</v>
      </c>
      <c r="T7698">
        <v>-0.1756154</v>
      </c>
      <c r="U7698">
        <v>-0.26367190000000001</v>
      </c>
      <c r="V7698">
        <v>7.8311280000000004E-4</v>
      </c>
      <c r="W7698">
        <v>-2.6893529999999998E-3</v>
      </c>
      <c r="X7698">
        <v>0.99999610000000005</v>
      </c>
      <c r="Y7698">
        <v>9.7728380000000004E-2</v>
      </c>
      <c r="Z7698">
        <v>-3.9867110000000004E-3</v>
      </c>
      <c r="AA7698">
        <v>0.99520520000000001</v>
      </c>
      <c r="AB7698">
        <v>23</v>
      </c>
      <c r="AC7698">
        <v>19.897500000000001</v>
      </c>
      <c r="AD7698">
        <v>-1.1717379999999999</v>
      </c>
      <c r="AE7698">
        <v>-1.7607900000000001</v>
      </c>
      <c r="AF7698">
        <v>1.9615670458835399</v>
      </c>
      <c r="AG7698">
        <v>-1.1717379999999999</v>
      </c>
      <c r="AH7698">
        <v>19.809879117923799</v>
      </c>
      <c r="AI7698">
        <v>93.368618104506695</v>
      </c>
      <c r="AJ7698">
        <v>84.345026741991106</v>
      </c>
      <c r="AK7698">
        <v>19.941214252971001</v>
      </c>
      <c r="AL7698">
        <v>90.154088758729003</v>
      </c>
      <c r="AM7698">
        <v>89.955130775859601</v>
      </c>
      <c r="AN7698">
        <v>1.00000002295021</v>
      </c>
    </row>
    <row r="7699" spans="1:40" x14ac:dyDescent="0.25">
      <c r="A7699" t="str">
        <f>"20190303153957254"</f>
        <v>20190303153957254</v>
      </c>
      <c r="B7699" t="str">
        <f>"1551598797246203"</f>
        <v>1551598797246203</v>
      </c>
      <c r="C7699" t="s">
        <v>40</v>
      </c>
      <c r="D7699">
        <v>4.6860609999999996</v>
      </c>
      <c r="E7699">
        <v>0.53607299999999902</v>
      </c>
      <c r="F7699" t="s">
        <v>43</v>
      </c>
      <c r="G7699">
        <v>-306.95670000000001</v>
      </c>
      <c r="H7699">
        <v>-0.05</v>
      </c>
      <c r="I7699">
        <v>15.9877</v>
      </c>
      <c r="J7699">
        <v>-326.5548</v>
      </c>
      <c r="K7699">
        <v>1.121737</v>
      </c>
      <c r="L7699">
        <v>17.708400000000001</v>
      </c>
      <c r="M7699">
        <v>0.99985029999999997</v>
      </c>
      <c r="N7699">
        <v>-1.3605630000000001E-2</v>
      </c>
      <c r="O7699">
        <v>1.069412E-2</v>
      </c>
      <c r="P7699">
        <v>0.99982510000000002</v>
      </c>
      <c r="Q7699">
        <v>-1.574095E-2</v>
      </c>
      <c r="R7699">
        <v>1.010222E-2</v>
      </c>
      <c r="S7699">
        <v>3.0001829999999998</v>
      </c>
      <c r="T7699">
        <v>-0.178294799999999</v>
      </c>
      <c r="U7699">
        <v>-0.26159670000000002</v>
      </c>
      <c r="V7699">
        <v>5.9321579999999997E-4</v>
      </c>
      <c r="W7699">
        <v>-2.1351009999999999E-3</v>
      </c>
      <c r="X7699">
        <v>0.99999760000000004</v>
      </c>
      <c r="Y7699">
        <v>9.7292870000000004E-2</v>
      </c>
      <c r="Z7699">
        <v>-4.0355349999999998E-3</v>
      </c>
      <c r="AA7699">
        <v>0.99524760000000001</v>
      </c>
      <c r="AB7699">
        <v>23</v>
      </c>
      <c r="AC7699">
        <v>19.598099999999899</v>
      </c>
      <c r="AD7699">
        <v>-1.171737</v>
      </c>
      <c r="AE7699">
        <v>-1.7206999999999999</v>
      </c>
      <c r="AF7699">
        <v>1.92338260367873</v>
      </c>
      <c r="AG7699">
        <v>-1.171737</v>
      </c>
      <c r="AH7699">
        <v>19.509370528771399</v>
      </c>
      <c r="AI7699">
        <v>93.4205249968864</v>
      </c>
      <c r="AJ7699">
        <v>84.369539638464602</v>
      </c>
      <c r="AK7699">
        <v>19.638938532064198</v>
      </c>
      <c r="AL7699">
        <v>90.122332362316499</v>
      </c>
      <c r="AM7699">
        <v>89.966011160733203</v>
      </c>
      <c r="AN7699">
        <v>1.00000005528351</v>
      </c>
    </row>
    <row r="7700" spans="1:40" x14ac:dyDescent="0.25">
      <c r="A7700" t="str">
        <f>"20190303153957263"</f>
        <v>20190303153957263</v>
      </c>
      <c r="B7700" t="str">
        <f>"1551598797255963"</f>
        <v>1551598797255963</v>
      </c>
      <c r="C7700" t="s">
        <v>40</v>
      </c>
      <c r="D7700">
        <v>4.6478029999999997</v>
      </c>
      <c r="E7700">
        <v>0.5361243</v>
      </c>
      <c r="F7700" t="s">
        <v>43</v>
      </c>
      <c r="G7700">
        <v>-307.0788</v>
      </c>
      <c r="H7700">
        <v>-0.05</v>
      </c>
      <c r="I7700">
        <v>16.016629999999999</v>
      </c>
      <c r="J7700">
        <v>-326.4461</v>
      </c>
      <c r="K7700">
        <v>1.1217349999999999</v>
      </c>
      <c r="L7700">
        <v>17.70984</v>
      </c>
      <c r="M7700">
        <v>0.99984770000000001</v>
      </c>
      <c r="N7700">
        <v>-1.3610219999999999E-2</v>
      </c>
      <c r="O7700">
        <v>1.09304E-2</v>
      </c>
      <c r="P7700">
        <v>0.99983010000000005</v>
      </c>
      <c r="Q7700">
        <v>-1.5152570000000001E-2</v>
      </c>
      <c r="R7700">
        <v>1.050769E-2</v>
      </c>
      <c r="S7700">
        <v>3.000305</v>
      </c>
      <c r="T7700">
        <v>-0.180508</v>
      </c>
      <c r="U7700">
        <v>-0.26062010000000002</v>
      </c>
      <c r="V7700">
        <v>4.2362939999999999E-4</v>
      </c>
      <c r="W7700">
        <v>-1.542201E-3</v>
      </c>
      <c r="X7700">
        <v>0.99999870000000002</v>
      </c>
      <c r="Y7700">
        <v>9.7197900000000004E-2</v>
      </c>
      <c r="Z7700">
        <v>-4.0866740000000002E-3</v>
      </c>
      <c r="AA7700">
        <v>0.99525669999999999</v>
      </c>
      <c r="AB7700">
        <v>23</v>
      </c>
      <c r="AC7700">
        <v>19.3673</v>
      </c>
      <c r="AD7700">
        <v>-1.171735</v>
      </c>
      <c r="AE7700">
        <v>-1.6932100000000001</v>
      </c>
      <c r="AF7700">
        <v>1.89792641478878</v>
      </c>
      <c r="AG7700">
        <v>-1.171735</v>
      </c>
      <c r="AH7700">
        <v>19.277606410093401</v>
      </c>
      <c r="AI7700">
        <v>93.461588369105101</v>
      </c>
      <c r="AJ7700">
        <v>84.377213862537801</v>
      </c>
      <c r="AK7700">
        <v>19.406215408694599</v>
      </c>
      <c r="AL7700">
        <v>90.088361645349494</v>
      </c>
      <c r="AM7700">
        <v>89.975727793200406</v>
      </c>
      <c r="AN7700">
        <v>0.99999997892374104</v>
      </c>
    </row>
    <row r="7701" spans="1:40" x14ac:dyDescent="0.25">
      <c r="A7701" t="str">
        <f>"20190303153957275"</f>
        <v>20190303153957275</v>
      </c>
      <c r="B7701" t="str">
        <f>"1551598797265723"</f>
        <v>1551598797265723</v>
      </c>
      <c r="C7701" t="s">
        <v>40</v>
      </c>
      <c r="D7701">
        <v>4.6470149999999997</v>
      </c>
      <c r="E7701">
        <v>0.53610360000000001</v>
      </c>
      <c r="F7701" t="s">
        <v>43</v>
      </c>
      <c r="G7701">
        <v>-307.11399999999998</v>
      </c>
      <c r="H7701">
        <v>-0.05</v>
      </c>
      <c r="I7701">
        <v>16.035779999999999</v>
      </c>
      <c r="J7701">
        <v>-326.3338</v>
      </c>
      <c r="K7701">
        <v>1.121732</v>
      </c>
      <c r="L7701">
        <v>17.71133</v>
      </c>
      <c r="M7701">
        <v>0.99984499999999998</v>
      </c>
      <c r="N7701">
        <v>-1.361454E-2</v>
      </c>
      <c r="O7701">
        <v>1.117102E-2</v>
      </c>
      <c r="P7701">
        <v>0.99982689999999996</v>
      </c>
      <c r="Q7701">
        <v>-1.495339E-2</v>
      </c>
      <c r="R7701">
        <v>1.106974E-2</v>
      </c>
      <c r="S7701">
        <v>3.0004879999999998</v>
      </c>
      <c r="T7701">
        <v>-0.18186240000000001</v>
      </c>
      <c r="U7701">
        <v>-0.25982670000000002</v>
      </c>
      <c r="V7701">
        <v>1.0212700000000001E-4</v>
      </c>
      <c r="W7701">
        <v>-1.338913E-3</v>
      </c>
      <c r="X7701">
        <v>0.99999910000000003</v>
      </c>
      <c r="Y7701">
        <v>9.7167600000000007E-2</v>
      </c>
      <c r="Z7701">
        <v>-4.1235680000000002E-3</v>
      </c>
      <c r="AA7701">
        <v>0.99525949999999996</v>
      </c>
      <c r="AB7701">
        <v>23</v>
      </c>
      <c r="AC7701">
        <v>19.2197999999999</v>
      </c>
      <c r="AD7701">
        <v>-1.171732</v>
      </c>
      <c r="AE7701">
        <v>-1.6755500000000001</v>
      </c>
      <c r="AF7701">
        <v>1.88322347916974</v>
      </c>
      <c r="AG7701">
        <v>-1.171732</v>
      </c>
      <c r="AH7701">
        <v>19.1293192822822</v>
      </c>
      <c r="AI7701">
        <v>93.488348917478405</v>
      </c>
      <c r="AJ7701">
        <v>84.377521521503596</v>
      </c>
      <c r="AK7701">
        <v>19.257474983907201</v>
      </c>
      <c r="AL7701">
        <v>90.076714086836304</v>
      </c>
      <c r="AM7701">
        <v>89.994148548679703</v>
      </c>
      <c r="AN7701">
        <v>1.00000000155937</v>
      </c>
    </row>
    <row r="7702" spans="1:40" x14ac:dyDescent="0.25">
      <c r="A7702" t="str">
        <f>"20190303153957286"</f>
        <v>20190303153957286</v>
      </c>
      <c r="B7702" t="str">
        <f>"1551598797276459"</f>
        <v>1551598797276459</v>
      </c>
      <c r="C7702" t="s">
        <v>40</v>
      </c>
      <c r="D7702">
        <v>4.6497320000000002</v>
      </c>
      <c r="E7702">
        <v>0.53605639999999999</v>
      </c>
      <c r="F7702" t="s">
        <v>43</v>
      </c>
      <c r="G7702">
        <v>-307.32249999999999</v>
      </c>
      <c r="H7702">
        <v>-0.05</v>
      </c>
      <c r="I7702">
        <v>16.077120000000001</v>
      </c>
      <c r="J7702">
        <v>-326.2192</v>
      </c>
      <c r="K7702">
        <v>1.121726</v>
      </c>
      <c r="L7702">
        <v>17.712889999999899</v>
      </c>
      <c r="M7702">
        <v>0.99984209999999996</v>
      </c>
      <c r="N7702">
        <v>-1.361862E-2</v>
      </c>
      <c r="O7702">
        <v>1.1413960000000001E-2</v>
      </c>
      <c r="P7702">
        <v>0.9998319</v>
      </c>
      <c r="Q7702">
        <v>-1.4517749999999999E-2</v>
      </c>
      <c r="R7702">
        <v>1.1215879999999999E-2</v>
      </c>
      <c r="S7702">
        <v>3.0006409999999999</v>
      </c>
      <c r="T7702">
        <v>-0.18493960000000001</v>
      </c>
      <c r="U7702">
        <v>-0.25793460000000001</v>
      </c>
      <c r="V7702">
        <v>1.9849860000000001E-4</v>
      </c>
      <c r="W7702">
        <v>-8.990736E-4</v>
      </c>
      <c r="X7702">
        <v>0.99999959999999999</v>
      </c>
      <c r="Y7702">
        <v>9.6775490000000006E-2</v>
      </c>
      <c r="Z7702">
        <v>-4.1815469999999999E-3</v>
      </c>
      <c r="AA7702">
        <v>0.9952974</v>
      </c>
      <c r="AB7702">
        <v>23</v>
      </c>
      <c r="AC7702">
        <v>18.896699999999999</v>
      </c>
      <c r="AD7702">
        <v>-1.171726</v>
      </c>
      <c r="AE7702">
        <v>-1.63576999999999</v>
      </c>
      <c r="AF7702">
        <v>1.8443311606639601</v>
      </c>
      <c r="AG7702">
        <v>-1.171726</v>
      </c>
      <c r="AH7702">
        <v>18.8050315667058</v>
      </c>
      <c r="AI7702">
        <v>93.548461655057295</v>
      </c>
      <c r="AJ7702">
        <v>84.398546337241896</v>
      </c>
      <c r="AK7702">
        <v>18.931553329668301</v>
      </c>
      <c r="AL7702">
        <v>90.051513128462105</v>
      </c>
      <c r="AM7702">
        <v>89.988626863580805</v>
      </c>
      <c r="AN7702">
        <v>1.0000000238675899</v>
      </c>
    </row>
    <row r="7703" spans="1:40" x14ac:dyDescent="0.25">
      <c r="A7703" t="str">
        <f>"20190303153957297"</f>
        <v>20190303153957297</v>
      </c>
      <c r="B7703" t="str">
        <f>"1551598797286218"</f>
        <v>1551598797286218</v>
      </c>
      <c r="C7703" t="s">
        <v>40</v>
      </c>
      <c r="D7703">
        <v>4.6365660000000002</v>
      </c>
      <c r="E7703">
        <v>0.53613940000000004</v>
      </c>
      <c r="F7703" t="s">
        <v>43</v>
      </c>
      <c r="G7703">
        <v>-307.3657</v>
      </c>
      <c r="H7703">
        <v>-0.05</v>
      </c>
      <c r="I7703">
        <v>16.09761</v>
      </c>
      <c r="J7703">
        <v>-326.11259999999999</v>
      </c>
      <c r="K7703">
        <v>1.121721</v>
      </c>
      <c r="L7703">
        <v>17.714359999999999</v>
      </c>
      <c r="M7703">
        <v>0.99983960000000005</v>
      </c>
      <c r="N7703">
        <v>-1.3621930000000001E-2</v>
      </c>
      <c r="O7703">
        <v>1.1634439999999999E-2</v>
      </c>
      <c r="P7703">
        <v>0.99982579999999999</v>
      </c>
      <c r="Q7703">
        <v>-1.4584379999999999E-2</v>
      </c>
      <c r="R7703">
        <v>1.1646149999999999E-2</v>
      </c>
      <c r="S7703">
        <v>3.0006409999999999</v>
      </c>
      <c r="T7703">
        <v>-0.18648700000000001</v>
      </c>
      <c r="U7703">
        <v>-0.25708009999999998</v>
      </c>
      <c r="V7703" s="1">
        <v>-1.110096E-5</v>
      </c>
      <c r="W7703">
        <v>-9.6255050000000001E-4</v>
      </c>
      <c r="X7703">
        <v>0.99999950000000004</v>
      </c>
      <c r="Y7703">
        <v>9.6709829999999997E-2</v>
      </c>
      <c r="Z7703">
        <v>-4.220601E-3</v>
      </c>
      <c r="AA7703">
        <v>0.99530370000000001</v>
      </c>
      <c r="AB7703">
        <v>23</v>
      </c>
      <c r="AC7703">
        <v>18.746899999999901</v>
      </c>
      <c r="AD7703">
        <v>-1.171721</v>
      </c>
      <c r="AE7703">
        <v>-1.6167499999999899</v>
      </c>
      <c r="AF7703">
        <v>1.8276832989907299</v>
      </c>
      <c r="AG7703">
        <v>-1.171721</v>
      </c>
      <c r="AH7703">
        <v>18.654483184476</v>
      </c>
      <c r="AI7703">
        <v>93.577044693094606</v>
      </c>
      <c r="AJ7703">
        <v>84.404273584301507</v>
      </c>
      <c r="AK7703">
        <v>18.780391349041299</v>
      </c>
      <c r="AL7703">
        <v>90.055150091757596</v>
      </c>
      <c r="AM7703">
        <v>90.000636038474497</v>
      </c>
      <c r="AN7703">
        <v>0.99999996331347196</v>
      </c>
    </row>
    <row r="7704" spans="1:40" x14ac:dyDescent="0.25">
      <c r="A7704" t="str">
        <f>"20190303153957308"</f>
        <v>20190303153957308</v>
      </c>
      <c r="B7704" t="str">
        <f>"1551598797305739"</f>
        <v>1551598797305739</v>
      </c>
      <c r="C7704" t="s">
        <v>40</v>
      </c>
      <c r="D7704">
        <v>4.6643970000000001</v>
      </c>
      <c r="E7704">
        <v>0.53630669999999903</v>
      </c>
      <c r="F7704" t="s">
        <v>43</v>
      </c>
      <c r="G7704">
        <v>-307.56229999999999</v>
      </c>
      <c r="H7704">
        <v>-0.05</v>
      </c>
      <c r="I7704">
        <v>16.129639999999998</v>
      </c>
      <c r="J7704">
        <v>-325.99880000000002</v>
      </c>
      <c r="K7704">
        <v>1.121713</v>
      </c>
      <c r="L7704">
        <v>17.71594</v>
      </c>
      <c r="M7704">
        <v>0.99983690000000003</v>
      </c>
      <c r="N7704">
        <v>-1.362533E-2</v>
      </c>
      <c r="O7704">
        <v>1.1868449999999999E-2</v>
      </c>
      <c r="P7704">
        <v>0.99981830000000005</v>
      </c>
      <c r="Q7704">
        <v>-1.49237E-2</v>
      </c>
      <c r="R7704">
        <v>1.18773E-2</v>
      </c>
      <c r="S7704">
        <v>3.0007320000000002</v>
      </c>
      <c r="T7704">
        <v>-0.18953929999999999</v>
      </c>
      <c r="U7704">
        <v>-0.25634770000000001</v>
      </c>
      <c r="V7704" s="1">
        <v>-8.1812799999999994E-6</v>
      </c>
      <c r="W7704">
        <v>-1.298511E-3</v>
      </c>
      <c r="X7704">
        <v>0.99999919999999998</v>
      </c>
      <c r="Y7704">
        <v>9.6691410000000005E-2</v>
      </c>
      <c r="Z7704">
        <v>-4.2922619999999998E-3</v>
      </c>
      <c r="AA7704">
        <v>0.9953052</v>
      </c>
      <c r="AB7704">
        <v>22</v>
      </c>
      <c r="AC7704">
        <v>18.436499999999999</v>
      </c>
      <c r="AD7704">
        <v>-1.171713</v>
      </c>
      <c r="AE7704">
        <v>-1.5863</v>
      </c>
      <c r="AF7704">
        <v>1.7978130087148101</v>
      </c>
      <c r="AG7704">
        <v>-1.171713</v>
      </c>
      <c r="AH7704">
        <v>18.342828340740699</v>
      </c>
      <c r="AI7704">
        <v>93.637621317152707</v>
      </c>
      <c r="AJ7704">
        <v>84.402218416211596</v>
      </c>
      <c r="AK7704">
        <v>18.467928809332001</v>
      </c>
      <c r="AL7704">
        <v>90.074399217652498</v>
      </c>
      <c r="AM7704">
        <v>90.000468753190006</v>
      </c>
      <c r="AN7704">
        <v>1.00000004309919</v>
      </c>
    </row>
    <row r="7705" spans="1:40" x14ac:dyDescent="0.25">
      <c r="A7705" t="str">
        <f>"20190303153957321"</f>
        <v>20190303153957321</v>
      </c>
      <c r="B7705" t="str">
        <f>"1551598797316475"</f>
        <v>1551598797316475</v>
      </c>
      <c r="C7705" t="s">
        <v>40</v>
      </c>
      <c r="D7705">
        <v>4.6399280000000003</v>
      </c>
      <c r="E7705">
        <v>0.53644440000000004</v>
      </c>
      <c r="F7705" t="s">
        <v>43</v>
      </c>
      <c r="G7705">
        <v>-308.09390000000002</v>
      </c>
      <c r="H7705">
        <v>-0.05</v>
      </c>
      <c r="I7705">
        <v>16.182690000000001</v>
      </c>
      <c r="J7705">
        <v>-325.88279999999997</v>
      </c>
      <c r="K7705">
        <v>1.1217060000000001</v>
      </c>
      <c r="L7705">
        <v>17.717589999999898</v>
      </c>
      <c r="M7705">
        <v>0.999834</v>
      </c>
      <c r="N7705">
        <v>-1.362821E-2</v>
      </c>
      <c r="O7705">
        <v>1.21011E-2</v>
      </c>
      <c r="P7705">
        <v>0.99980829999999998</v>
      </c>
      <c r="Q7705">
        <v>-1.5602380000000001E-2</v>
      </c>
      <c r="R7705">
        <v>1.184407E-2</v>
      </c>
      <c r="S7705">
        <v>3.000702</v>
      </c>
      <c r="T7705">
        <v>-0.19636790000000001</v>
      </c>
      <c r="U7705">
        <v>-0.25695800000000002</v>
      </c>
      <c r="V7705">
        <v>2.5783160000000002E-4</v>
      </c>
      <c r="W7705">
        <v>-1.9742029999999999E-3</v>
      </c>
      <c r="X7705">
        <v>0.99999800000000005</v>
      </c>
      <c r="Y7705">
        <v>9.7106590000000007E-2</v>
      </c>
      <c r="Z7705">
        <v>-4.4572070000000004E-3</v>
      </c>
      <c r="AA7705">
        <v>0.99526400000000004</v>
      </c>
      <c r="AB7705">
        <v>22</v>
      </c>
      <c r="AC7705">
        <v>17.788899999999899</v>
      </c>
      <c r="AD7705">
        <v>-1.1717059999999999</v>
      </c>
      <c r="AE7705">
        <v>-1.5348999999999899</v>
      </c>
      <c r="AF7705">
        <v>1.74256856602175</v>
      </c>
      <c r="AG7705">
        <v>-1.1717059999999999</v>
      </c>
      <c r="AH7705">
        <v>17.6928285375255</v>
      </c>
      <c r="AI7705">
        <v>93.770684136492505</v>
      </c>
      <c r="AJ7705">
        <v>84.3750735935498</v>
      </c>
      <c r="AK7705">
        <v>17.8170037272264</v>
      </c>
      <c r="AL7705">
        <v>90.113113575316802</v>
      </c>
      <c r="AM7705">
        <v>89.985227308276805</v>
      </c>
      <c r="AN7705">
        <v>0.99999998197930895</v>
      </c>
    </row>
    <row r="7706" spans="1:40" x14ac:dyDescent="0.25">
      <c r="A7706" t="str">
        <f>"20190303153957334"</f>
        <v>20190303153957334</v>
      </c>
      <c r="B7706" t="str">
        <f>"1551598797325766"</f>
        <v>1551598797325766</v>
      </c>
      <c r="C7706" t="s">
        <v>40</v>
      </c>
      <c r="D7706">
        <v>4.6539659999999996</v>
      </c>
      <c r="E7706">
        <v>0.53649939999999996</v>
      </c>
      <c r="F7706" t="s">
        <v>43</v>
      </c>
      <c r="G7706">
        <v>-308.40980000000002</v>
      </c>
      <c r="H7706">
        <v>-0.05</v>
      </c>
      <c r="I7706">
        <v>16.214829999999999</v>
      </c>
      <c r="J7706">
        <v>-325.75069999999999</v>
      </c>
      <c r="K7706">
        <v>1.1216969999999999</v>
      </c>
      <c r="L7706">
        <v>17.71951</v>
      </c>
      <c r="M7706">
        <v>0.99983069999999996</v>
      </c>
      <c r="N7706">
        <v>-1.3631249999999999E-2</v>
      </c>
      <c r="O7706">
        <v>1.236456E-2</v>
      </c>
      <c r="P7706">
        <v>0.99980179999999996</v>
      </c>
      <c r="Q7706">
        <v>-1.618619E-2</v>
      </c>
      <c r="R7706">
        <v>1.160511E-2</v>
      </c>
      <c r="S7706">
        <v>3.0004879999999998</v>
      </c>
      <c r="T7706">
        <v>-0.20120679999999999</v>
      </c>
      <c r="U7706">
        <v>-0.25805660000000002</v>
      </c>
      <c r="V7706">
        <v>7.6060329999999999E-4</v>
      </c>
      <c r="W7706">
        <v>-2.5547130000000001E-3</v>
      </c>
      <c r="X7706">
        <v>0.99999640000000001</v>
      </c>
      <c r="Y7706">
        <v>9.7722160000000002E-2</v>
      </c>
      <c r="Z7706">
        <v>-4.5937440000000003E-3</v>
      </c>
      <c r="AA7706">
        <v>0.99520310000000001</v>
      </c>
      <c r="AB7706">
        <v>22</v>
      </c>
      <c r="AC7706">
        <v>17.340899999999898</v>
      </c>
      <c r="AD7706">
        <v>-1.171697</v>
      </c>
      <c r="AE7706">
        <v>-1.50468</v>
      </c>
      <c r="AF7706">
        <v>1.71124318291453</v>
      </c>
      <c r="AG7706">
        <v>-1.171697</v>
      </c>
      <c r="AH7706">
        <v>17.242834008549099</v>
      </c>
      <c r="AI7706">
        <v>93.868480221611705</v>
      </c>
      <c r="AJ7706">
        <v>84.332312059482803</v>
      </c>
      <c r="AK7706">
        <v>17.3671112087548</v>
      </c>
      <c r="AL7706">
        <v>90.146374438934004</v>
      </c>
      <c r="AM7706">
        <v>89.956420492543899</v>
      </c>
      <c r="AN7706">
        <v>0.99999995254442497</v>
      </c>
    </row>
    <row r="7707" spans="1:40" x14ac:dyDescent="0.25">
      <c r="A7707" t="str">
        <f>"20190303153957346"</f>
        <v>20190303153957346</v>
      </c>
      <c r="B7707" t="str">
        <f>"1551598797336501"</f>
        <v>1551598797336501</v>
      </c>
      <c r="C7707" t="s">
        <v>40</v>
      </c>
      <c r="D7707">
        <v>4.6528859999999996</v>
      </c>
      <c r="E7707">
        <v>0.53655030000000004</v>
      </c>
      <c r="F7707" t="s">
        <v>43</v>
      </c>
      <c r="G7707">
        <v>-308.67579999999998</v>
      </c>
      <c r="H7707">
        <v>-0.05</v>
      </c>
      <c r="I7707">
        <v>16.244810000000001</v>
      </c>
      <c r="J7707">
        <v>-325.62200000000001</v>
      </c>
      <c r="K7707">
        <v>1.1216889999999999</v>
      </c>
      <c r="L7707">
        <v>17.721409999999999</v>
      </c>
      <c r="M7707">
        <v>0.99982740000000003</v>
      </c>
      <c r="N7707">
        <v>-1.363378E-2</v>
      </c>
      <c r="O7707">
        <v>1.261789E-2</v>
      </c>
      <c r="P7707">
        <v>0.99978710000000004</v>
      </c>
      <c r="Q7707">
        <v>-1.6942039999999998E-2</v>
      </c>
      <c r="R7707">
        <v>1.17818E-2</v>
      </c>
      <c r="S7707">
        <v>3.0002749999999998</v>
      </c>
      <c r="T7707">
        <v>-0.2058828</v>
      </c>
      <c r="U7707">
        <v>-0.25912479999999999</v>
      </c>
      <c r="V7707">
        <v>8.3774819999999999E-4</v>
      </c>
      <c r="W7707">
        <v>-3.3080929999999998E-3</v>
      </c>
      <c r="X7707">
        <v>0.99999420000000006</v>
      </c>
      <c r="Y7707">
        <v>9.8317639999999998E-2</v>
      </c>
      <c r="Z7707">
        <v>-4.727378E-3</v>
      </c>
      <c r="AA7707">
        <v>0.99514380000000002</v>
      </c>
      <c r="AB7707">
        <v>22</v>
      </c>
      <c r="AC7707">
        <v>16.946200000000001</v>
      </c>
      <c r="AD7707">
        <v>-1.171689</v>
      </c>
      <c r="AE7707">
        <v>-1.4765999999999999</v>
      </c>
      <c r="AF7707">
        <v>1.6823456243166801</v>
      </c>
      <c r="AG7707">
        <v>-1.171689</v>
      </c>
      <c r="AH7707">
        <v>16.8462892897087</v>
      </c>
      <c r="AI7707">
        <v>93.958985634688204</v>
      </c>
      <c r="AJ7707">
        <v>84.297095806391994</v>
      </c>
      <c r="AK7707">
        <v>16.970580565936199</v>
      </c>
      <c r="AL7707">
        <v>90.189540108546097</v>
      </c>
      <c r="AM7707">
        <v>89.952000296676104</v>
      </c>
      <c r="AN7707">
        <v>1.0000000226674901</v>
      </c>
    </row>
    <row r="7708" spans="1:40" x14ac:dyDescent="0.25">
      <c r="A7708" t="str">
        <f>"20190303153957359"</f>
        <v>20190303153957359</v>
      </c>
      <c r="B7708" t="str">
        <f>"1551598797356021"</f>
        <v>1551598797356021</v>
      </c>
      <c r="C7708" t="s">
        <v>40</v>
      </c>
      <c r="D7708">
        <v>4.6544080000000001</v>
      </c>
      <c r="E7708">
        <v>0.5366959</v>
      </c>
      <c r="F7708" t="s">
        <v>43</v>
      </c>
      <c r="G7708">
        <v>-308.94380000000001</v>
      </c>
      <c r="H7708">
        <v>-0.05</v>
      </c>
      <c r="I7708">
        <v>16.281569999999999</v>
      </c>
      <c r="J7708">
        <v>-325.49400000000003</v>
      </c>
      <c r="K7708">
        <v>1.121683</v>
      </c>
      <c r="L7708">
        <v>17.723299999999998</v>
      </c>
      <c r="M7708">
        <v>0.9998243</v>
      </c>
      <c r="N7708">
        <v>-1.3635980000000001E-2</v>
      </c>
      <c r="O7708">
        <v>1.286808E-2</v>
      </c>
      <c r="P7708">
        <v>0.99977039999999995</v>
      </c>
      <c r="Q7708">
        <v>-1.8167530000000001E-2</v>
      </c>
      <c r="R7708">
        <v>1.1374779999999999E-2</v>
      </c>
      <c r="S7708">
        <v>3.0001530000000001</v>
      </c>
      <c r="T7708">
        <v>-0.2107687</v>
      </c>
      <c r="U7708">
        <v>-0.25900269999999997</v>
      </c>
      <c r="V7708">
        <v>1.4953290000000001E-3</v>
      </c>
      <c r="W7708">
        <v>-4.5311489999999999E-3</v>
      </c>
      <c r="X7708">
        <v>0.99998860000000001</v>
      </c>
      <c r="Y7708">
        <v>9.851567E-2</v>
      </c>
      <c r="Z7708">
        <v>-4.8501619999999999E-3</v>
      </c>
      <c r="AA7708">
        <v>0.99512370000000006</v>
      </c>
      <c r="AB7708">
        <v>22</v>
      </c>
      <c r="AC7708">
        <v>16.5502</v>
      </c>
      <c r="AD7708">
        <v>-1.171683</v>
      </c>
      <c r="AE7708">
        <v>-1.44172999999999</v>
      </c>
      <c r="AF7708">
        <v>1.6464099801429899</v>
      </c>
      <c r="AG7708">
        <v>-1.171683</v>
      </c>
      <c r="AH7708">
        <v>16.44845613335</v>
      </c>
      <c r="AI7708">
        <v>94.054311724188807</v>
      </c>
      <c r="AJ7708">
        <v>84.284011624349702</v>
      </c>
      <c r="AK7708">
        <v>16.5721216519172</v>
      </c>
      <c r="AL7708">
        <v>90.259616606653495</v>
      </c>
      <c r="AM7708">
        <v>89.914323046457994</v>
      </c>
      <c r="AN7708">
        <v>0.99999998372501897</v>
      </c>
    </row>
    <row r="7709" spans="1:40" x14ac:dyDescent="0.25">
      <c r="A7709" t="str">
        <f>"20190303153957373"</f>
        <v>20190303153957373</v>
      </c>
      <c r="B7709" t="str">
        <f>"1551598797365782"</f>
        <v>1551598797365782</v>
      </c>
      <c r="C7709" t="s">
        <v>40</v>
      </c>
      <c r="D7709">
        <v>4.6582730000000003</v>
      </c>
      <c r="E7709">
        <v>0.53673009999999999</v>
      </c>
      <c r="F7709" t="s">
        <v>43</v>
      </c>
      <c r="G7709">
        <v>-309.37299999999999</v>
      </c>
      <c r="H7709">
        <v>-0.05</v>
      </c>
      <c r="I7709">
        <v>16.318760000000001</v>
      </c>
      <c r="J7709">
        <v>-325.36340000000001</v>
      </c>
      <c r="K7709">
        <v>1.1216759999999999</v>
      </c>
      <c r="L7709">
        <v>17.725279999999898</v>
      </c>
      <c r="M7709">
        <v>0.99982090000000001</v>
      </c>
      <c r="N7709">
        <v>-1.3638040000000001E-2</v>
      </c>
      <c r="O7709">
        <v>1.312256E-2</v>
      </c>
      <c r="P7709">
        <v>0.99976109999999896</v>
      </c>
      <c r="Q7709">
        <v>-1.900988E-2</v>
      </c>
      <c r="R7709">
        <v>1.079343E-2</v>
      </c>
      <c r="S7709">
        <v>2.9997250000000002</v>
      </c>
      <c r="T7709">
        <v>-0.21802179999999999</v>
      </c>
      <c r="U7709">
        <v>-0.26135249999999999</v>
      </c>
      <c r="V7709">
        <v>2.3314220000000001E-3</v>
      </c>
      <c r="W7709">
        <v>-5.3710889999999999E-3</v>
      </c>
      <c r="X7709">
        <v>0.99998279999999995</v>
      </c>
      <c r="Y7709">
        <v>9.9530809999999997E-2</v>
      </c>
      <c r="Z7709">
        <v>-5.0588810000000003E-3</v>
      </c>
      <c r="AA7709">
        <v>0.99502159999999995</v>
      </c>
      <c r="AB7709">
        <v>22</v>
      </c>
      <c r="AC7709">
        <v>15.990399999999999</v>
      </c>
      <c r="AD7709">
        <v>-1.1716759999999999</v>
      </c>
      <c r="AE7709">
        <v>-1.40651999999999</v>
      </c>
      <c r="AF7709">
        <v>1.6076879019866801</v>
      </c>
      <c r="AG7709">
        <v>-1.1716759999999999</v>
      </c>
      <c r="AH7709">
        <v>15.885926746983101</v>
      </c>
      <c r="AI7709">
        <v>94.196886511948904</v>
      </c>
      <c r="AJ7709">
        <v>84.221226132485896</v>
      </c>
      <c r="AK7709">
        <v>16.0100016755054</v>
      </c>
      <c r="AL7709">
        <v>90.307742228540704</v>
      </c>
      <c r="AM7709">
        <v>89.866417303548303</v>
      </c>
      <c r="AN7709">
        <v>0.99999994221071198</v>
      </c>
    </row>
    <row r="7710" spans="1:40" x14ac:dyDescent="0.25">
      <c r="A7710" t="str">
        <f>"20190303153957386"</f>
        <v>20190303153957386</v>
      </c>
      <c r="B7710" t="str">
        <f>"1551598797376518"</f>
        <v>1551598797376518</v>
      </c>
      <c r="C7710" t="s">
        <v>40</v>
      </c>
      <c r="D7710">
        <v>4.4882989999999996</v>
      </c>
      <c r="E7710">
        <v>0.53673009999999999</v>
      </c>
      <c r="F7710" t="s">
        <v>43</v>
      </c>
      <c r="G7710">
        <v>-309.58300000000003</v>
      </c>
      <c r="H7710">
        <v>-0.05</v>
      </c>
      <c r="I7710">
        <v>16.339320000000001</v>
      </c>
      <c r="J7710">
        <v>-325.22160000000002</v>
      </c>
      <c r="K7710">
        <v>1.1216680000000001</v>
      </c>
      <c r="L7710">
        <v>17.727450000000001</v>
      </c>
      <c r="M7710">
        <v>0.99981710000000001</v>
      </c>
      <c r="N7710">
        <v>-1.363993E-2</v>
      </c>
      <c r="O7710">
        <v>1.3398439999999999E-2</v>
      </c>
      <c r="P7710">
        <v>0.99975069999999999</v>
      </c>
      <c r="Q7710">
        <v>-2.0048690000000001E-2</v>
      </c>
      <c r="R7710">
        <v>9.8231020000000002E-3</v>
      </c>
      <c r="S7710">
        <v>2.9993590000000001</v>
      </c>
      <c r="T7710">
        <v>-0.22269920000000001</v>
      </c>
      <c r="U7710">
        <v>-0.26342769999999999</v>
      </c>
      <c r="V7710">
        <v>3.578126E-3</v>
      </c>
      <c r="W7710">
        <v>-6.4074719999999896E-3</v>
      </c>
      <c r="X7710">
        <v>0.99997309999999995</v>
      </c>
      <c r="Y7710">
        <v>0.1004818</v>
      </c>
      <c r="Z7710">
        <v>-5.2153080000000001E-3</v>
      </c>
      <c r="AA7710">
        <v>0.99492519999999995</v>
      </c>
      <c r="AB7710">
        <v>22</v>
      </c>
      <c r="AC7710">
        <v>15.6386</v>
      </c>
      <c r="AD7710">
        <v>-1.1716679999999999</v>
      </c>
      <c r="AE7710">
        <v>-1.3881300000000001</v>
      </c>
      <c r="AF7710">
        <v>1.58870964197693</v>
      </c>
      <c r="AG7710">
        <v>-1.1716679999999999</v>
      </c>
      <c r="AH7710">
        <v>15.5320916980478</v>
      </c>
      <c r="AI7710">
        <v>94.291646258187797</v>
      </c>
      <c r="AJ7710">
        <v>84.159776590643901</v>
      </c>
      <c r="AK7710">
        <v>15.6570328205986</v>
      </c>
      <c r="AL7710">
        <v>90.367123604158493</v>
      </c>
      <c r="AM7710">
        <v>89.794983841659501</v>
      </c>
      <c r="AN7710">
        <v>1.00000002970335</v>
      </c>
    </row>
    <row r="7711" spans="1:40" x14ac:dyDescent="0.25">
      <c r="A7711" t="str">
        <f>"20190303153957397"</f>
        <v>20190303153957397</v>
      </c>
      <c r="B7711" t="str">
        <f>"1551598797386277"</f>
        <v>1551598797386277</v>
      </c>
      <c r="C7711" t="s">
        <v>40</v>
      </c>
      <c r="D7711">
        <v>4.5084879999999998</v>
      </c>
      <c r="E7711">
        <v>0.53695609999999905</v>
      </c>
      <c r="F7711" t="s">
        <v>43</v>
      </c>
      <c r="G7711">
        <v>-309.6789</v>
      </c>
      <c r="H7711">
        <v>-0.05</v>
      </c>
      <c r="I7711">
        <v>16.347719999999999</v>
      </c>
      <c r="J7711">
        <v>-325.11259999999999</v>
      </c>
      <c r="K7711">
        <v>1.1216660000000001</v>
      </c>
      <c r="L7711">
        <v>17.72916</v>
      </c>
      <c r="M7711">
        <v>0.99981439999999999</v>
      </c>
      <c r="N7711">
        <v>-1.364114E-2</v>
      </c>
      <c r="O7711">
        <v>1.361033E-2</v>
      </c>
      <c r="P7711">
        <v>0.99974439999999998</v>
      </c>
      <c r="Q7711">
        <v>-2.0582530000000002E-2</v>
      </c>
      <c r="R7711">
        <v>9.3784609999999994E-3</v>
      </c>
      <c r="S7711">
        <v>2.9988100000000002</v>
      </c>
      <c r="T7711">
        <v>-0.22606209999999999</v>
      </c>
      <c r="U7711">
        <v>-0.26620480000000002</v>
      </c>
      <c r="V7711">
        <v>4.2346770000000001E-3</v>
      </c>
      <c r="W7711">
        <v>-6.939855E-3</v>
      </c>
      <c r="X7711">
        <v>0.99996700000000005</v>
      </c>
      <c r="Y7711">
        <v>0.1016085</v>
      </c>
      <c r="Z7711">
        <v>-5.350105E-3</v>
      </c>
      <c r="AA7711">
        <v>0.99481010000000003</v>
      </c>
      <c r="AB7711">
        <v>22</v>
      </c>
      <c r="AC7711">
        <v>15.4336999999999</v>
      </c>
      <c r="AD7711">
        <v>-1.1716660000000001</v>
      </c>
      <c r="AE7711">
        <v>-1.38143999999999</v>
      </c>
      <c r="AF7711">
        <v>1.5823423458402499</v>
      </c>
      <c r="AG7711">
        <v>-1.1716660000000001</v>
      </c>
      <c r="AH7711">
        <v>15.3258419328169</v>
      </c>
      <c r="AI7711">
        <v>94.348750778949295</v>
      </c>
      <c r="AJ7711">
        <v>84.105287235748193</v>
      </c>
      <c r="AK7711">
        <v>15.4517972891403</v>
      </c>
      <c r="AL7711">
        <v>90.397627574785105</v>
      </c>
      <c r="AM7711">
        <v>89.757364323716303</v>
      </c>
      <c r="AN7711">
        <v>1.0000000475828501</v>
      </c>
    </row>
    <row r="7712" spans="1:40" x14ac:dyDescent="0.25">
      <c r="A7712" t="str">
        <f>"20190303153957408"</f>
        <v>20190303153957408</v>
      </c>
      <c r="B7712" t="str">
        <f>"1551598797405798"</f>
        <v>1551598797405798</v>
      </c>
      <c r="C7712" t="s">
        <v>40</v>
      </c>
      <c r="D7712">
        <v>4.5204500000000003</v>
      </c>
      <c r="E7712">
        <v>0.53655889999999995</v>
      </c>
      <c r="F7712" t="s">
        <v>43</v>
      </c>
      <c r="G7712">
        <v>-309.26549999999997</v>
      </c>
      <c r="H7712">
        <v>-0.05</v>
      </c>
      <c r="I7712">
        <v>16.30641</v>
      </c>
      <c r="J7712">
        <v>-325.00229999999999</v>
      </c>
      <c r="K7712">
        <v>1.121664</v>
      </c>
      <c r="L7712">
        <v>17.730899999999998</v>
      </c>
      <c r="M7712">
        <v>0.99981140000000002</v>
      </c>
      <c r="N7712">
        <v>-1.364228E-2</v>
      </c>
      <c r="O7712">
        <v>1.382509E-2</v>
      </c>
      <c r="P7712">
        <v>0.99974039999999997</v>
      </c>
      <c r="Q7712">
        <v>-2.0876260000000001E-2</v>
      </c>
      <c r="R7712">
        <v>9.130427E-3</v>
      </c>
      <c r="S7712">
        <v>2.9987490000000001</v>
      </c>
      <c r="T7712">
        <v>-0.2217143</v>
      </c>
      <c r="U7712">
        <v>-0.26922610000000002</v>
      </c>
      <c r="V7712">
        <v>4.697578E-3</v>
      </c>
      <c r="W7712">
        <v>-7.232273E-3</v>
      </c>
      <c r="X7712">
        <v>0.99996280000000004</v>
      </c>
      <c r="Y7712">
        <v>0.102827</v>
      </c>
      <c r="Z7712">
        <v>-5.3233439999999998E-3</v>
      </c>
      <c r="AA7712">
        <v>0.99468500000000004</v>
      </c>
      <c r="AB7712">
        <v>22</v>
      </c>
      <c r="AC7712">
        <v>15.736800000000001</v>
      </c>
      <c r="AD7712">
        <v>-1.171664</v>
      </c>
      <c r="AE7712">
        <v>-1.42448999999999</v>
      </c>
      <c r="AF7712">
        <v>1.63295823832402</v>
      </c>
      <c r="AG7712">
        <v>-1.171664</v>
      </c>
      <c r="AH7712">
        <v>15.629663452797301</v>
      </c>
      <c r="AI7712">
        <v>94.263986469754499</v>
      </c>
      <c r="AJ7712">
        <v>84.035482708939199</v>
      </c>
      <c r="AK7712">
        <v>15.7583542536876</v>
      </c>
      <c r="AL7712">
        <v>90.414382336976303</v>
      </c>
      <c r="AM7712">
        <v>89.730840573866303</v>
      </c>
      <c r="AN7712">
        <v>0.99999998719782601</v>
      </c>
    </row>
    <row r="7713" spans="1:40" x14ac:dyDescent="0.25">
      <c r="A7713" t="str">
        <f>"20190303153957420"</f>
        <v>20190303153957420</v>
      </c>
      <c r="B7713" t="str">
        <f>"1551598797416534"</f>
        <v>1551598797416534</v>
      </c>
      <c r="C7713" t="s">
        <v>40</v>
      </c>
      <c r="D7713">
        <v>4.5132580000000004</v>
      </c>
      <c r="E7713">
        <v>0.5363483</v>
      </c>
      <c r="F7713" t="s">
        <v>43</v>
      </c>
      <c r="G7713">
        <v>-308.81889999999999</v>
      </c>
      <c r="H7713">
        <v>-0.05</v>
      </c>
      <c r="I7713">
        <v>16.291260000000001</v>
      </c>
      <c r="J7713">
        <v>-324.89100000000002</v>
      </c>
      <c r="K7713">
        <v>1.1216630000000001</v>
      </c>
      <c r="L7713">
        <v>17.73273</v>
      </c>
      <c r="M7713">
        <v>0.99980840000000004</v>
      </c>
      <c r="N7713">
        <v>-1.364316E-2</v>
      </c>
      <c r="O7713">
        <v>1.4042010000000001E-2</v>
      </c>
      <c r="P7713">
        <v>0.99973199999999995</v>
      </c>
      <c r="Q7713">
        <v>-2.127882E-2</v>
      </c>
      <c r="R7713">
        <v>9.1339500000000001E-3</v>
      </c>
      <c r="S7713">
        <v>2.998688</v>
      </c>
      <c r="T7713">
        <v>-0.21710170000000001</v>
      </c>
      <c r="U7713">
        <v>-0.2667542</v>
      </c>
      <c r="V7713">
        <v>4.9111340000000002E-3</v>
      </c>
      <c r="W7713">
        <v>-7.6339249999999997E-3</v>
      </c>
      <c r="X7713">
        <v>0.99995880000000004</v>
      </c>
      <c r="Y7713">
        <v>0.1022463</v>
      </c>
      <c r="Z7713">
        <v>-5.2115870000000002E-3</v>
      </c>
      <c r="AA7713">
        <v>0.9947454</v>
      </c>
      <c r="AB7713">
        <v>22</v>
      </c>
      <c r="AC7713">
        <v>16.072099999999899</v>
      </c>
      <c r="AD7713">
        <v>-1.1716629999999999</v>
      </c>
      <c r="AE7713">
        <v>-1.44146999999999</v>
      </c>
      <c r="AF7713">
        <v>1.6582908156649501</v>
      </c>
      <c r="AG7713">
        <v>-1.1716629999999999</v>
      </c>
      <c r="AH7713">
        <v>15.9660977738512</v>
      </c>
      <c r="AI7713">
        <v>94.174717696037902</v>
      </c>
      <c r="AJ7713">
        <v>84.070335329432297</v>
      </c>
      <c r="AK7713">
        <v>16.094688587825001</v>
      </c>
      <c r="AL7713">
        <v>90.437395932522605</v>
      </c>
      <c r="AM7713">
        <v>89.718603418073201</v>
      </c>
      <c r="AN7713">
        <v>0.99999999887275504</v>
      </c>
    </row>
    <row r="7714" spans="1:40" x14ac:dyDescent="0.25">
      <c r="A7714" t="str">
        <f>"20190303153957431"</f>
        <v>20190303153957431</v>
      </c>
      <c r="B7714" t="str">
        <f>"1551598797425824"</f>
        <v>1551598797425824</v>
      </c>
      <c r="C7714" t="s">
        <v>40</v>
      </c>
      <c r="D7714">
        <v>4.507638</v>
      </c>
      <c r="E7714">
        <v>0.53616569999999997</v>
      </c>
      <c r="F7714" t="s">
        <v>43</v>
      </c>
      <c r="G7714">
        <v>-308.6386</v>
      </c>
      <c r="H7714">
        <v>-0.05</v>
      </c>
      <c r="I7714">
        <v>16.296710000000001</v>
      </c>
      <c r="J7714">
        <v>-324.77449999999999</v>
      </c>
      <c r="K7714">
        <v>1.1216600000000001</v>
      </c>
      <c r="L7714">
        <v>17.734590000000001</v>
      </c>
      <c r="M7714">
        <v>0.99980519999999995</v>
      </c>
      <c r="N7714">
        <v>-1.364402E-2</v>
      </c>
      <c r="O7714">
        <v>1.4269469999999999E-2</v>
      </c>
      <c r="P7714">
        <v>0.99973440000000002</v>
      </c>
      <c r="Q7714">
        <v>-2.1159529999999999E-2</v>
      </c>
      <c r="R7714">
        <v>9.1429500000000004E-3</v>
      </c>
      <c r="S7714">
        <v>2.9986570000000001</v>
      </c>
      <c r="T7714">
        <v>-0.21617790000000001</v>
      </c>
      <c r="U7714">
        <v>-0.26495360000000001</v>
      </c>
      <c r="V7714">
        <v>5.1294620000000004E-3</v>
      </c>
      <c r="W7714">
        <v>-7.5136600000000001E-3</v>
      </c>
      <c r="X7714">
        <v>0.99995860000000003</v>
      </c>
      <c r="Y7714">
        <v>0.1018843</v>
      </c>
      <c r="Z7714">
        <v>-5.189567E-3</v>
      </c>
      <c r="AA7714">
        <v>0.99478270000000002</v>
      </c>
      <c r="AB7714">
        <v>22</v>
      </c>
      <c r="AC7714">
        <v>16.1358999999999</v>
      </c>
      <c r="AD7714">
        <v>-1.1716599999999999</v>
      </c>
      <c r="AE7714">
        <v>-1.4378799999999901</v>
      </c>
      <c r="AF7714">
        <v>1.65932585131921</v>
      </c>
      <c r="AG7714">
        <v>-1.1716599999999999</v>
      </c>
      <c r="AH7714">
        <v>16.0298853657847</v>
      </c>
      <c r="AI7714">
        <v>94.158301291087199</v>
      </c>
      <c r="AJ7714">
        <v>84.090103724219205</v>
      </c>
      <c r="AK7714">
        <v>16.158074584450102</v>
      </c>
      <c r="AL7714">
        <v>90.430505064310296</v>
      </c>
      <c r="AM7714">
        <v>89.706093886294596</v>
      </c>
      <c r="AN7714">
        <v>0.99999998409048196</v>
      </c>
    </row>
    <row r="7715" spans="1:40" x14ac:dyDescent="0.25">
      <c r="A7715" t="str">
        <f>"20190303153957443"</f>
        <v>20190303153957443</v>
      </c>
      <c r="B7715" t="str">
        <f>"1551598797435585"</f>
        <v>1551598797435585</v>
      </c>
      <c r="C7715" t="s">
        <v>40</v>
      </c>
      <c r="D7715">
        <v>4.5069280000000003</v>
      </c>
      <c r="E7715">
        <v>0.53600309999999995</v>
      </c>
      <c r="F7715" t="s">
        <v>43</v>
      </c>
      <c r="G7715">
        <v>-308.33850000000001</v>
      </c>
      <c r="H7715">
        <v>-0.05</v>
      </c>
      <c r="I7715">
        <v>16.289870000000001</v>
      </c>
      <c r="J7715">
        <v>-324.66160000000002</v>
      </c>
      <c r="K7715">
        <v>1.1216569999999999</v>
      </c>
      <c r="L7715">
        <v>17.736450000000001</v>
      </c>
      <c r="M7715">
        <v>0.99980210000000003</v>
      </c>
      <c r="N7715">
        <v>-1.364462E-2</v>
      </c>
      <c r="O7715">
        <v>1.4489129999999999E-2</v>
      </c>
      <c r="P7715">
        <v>0.99972059999999996</v>
      </c>
      <c r="Q7715">
        <v>-2.1696819999999999E-2</v>
      </c>
      <c r="R7715">
        <v>9.3946440000000006E-3</v>
      </c>
      <c r="S7715">
        <v>2.998688</v>
      </c>
      <c r="T7715">
        <v>-0.2137645</v>
      </c>
      <c r="U7715">
        <v>-0.26358029999999999</v>
      </c>
      <c r="V7715">
        <v>5.097776E-3</v>
      </c>
      <c r="W7715">
        <v>-8.0504900000000004E-3</v>
      </c>
      <c r="X7715">
        <v>0.99995460000000003</v>
      </c>
      <c r="Y7715">
        <v>0.1016572</v>
      </c>
      <c r="Z7715">
        <v>-5.140408E-3</v>
      </c>
      <c r="AA7715">
        <v>0.99480619999999997</v>
      </c>
      <c r="AB7715">
        <v>22</v>
      </c>
      <c r="AC7715">
        <v>16.3231</v>
      </c>
      <c r="AD7715">
        <v>-1.1716569999999999</v>
      </c>
      <c r="AE7715">
        <v>-1.44658</v>
      </c>
      <c r="AF7715">
        <v>1.6743979490071099</v>
      </c>
      <c r="AG7715">
        <v>-1.1716569999999999</v>
      </c>
      <c r="AH7715">
        <v>16.217519208679999</v>
      </c>
      <c r="AI7715">
        <v>94.110458254080598</v>
      </c>
      <c r="AJ7715">
        <v>84.105312118066706</v>
      </c>
      <c r="AK7715">
        <v>16.345773701516599</v>
      </c>
      <c r="AL7715">
        <v>90.4612640826074</v>
      </c>
      <c r="AM7715">
        <v>89.707908219654897</v>
      </c>
      <c r="AN7715">
        <v>0.99999999988527299</v>
      </c>
    </row>
    <row r="7716" spans="1:40" x14ac:dyDescent="0.25">
      <c r="A7716" t="str">
        <f>"20190303153957455"</f>
        <v>20190303153957455</v>
      </c>
      <c r="B7716" t="str">
        <f>"1551598797446321"</f>
        <v>1551598797446321</v>
      </c>
      <c r="C7716" t="s">
        <v>40</v>
      </c>
      <c r="D7716">
        <v>4.495838</v>
      </c>
      <c r="E7716">
        <v>0.53585070000000001</v>
      </c>
      <c r="F7716" t="s">
        <v>43</v>
      </c>
      <c r="G7716">
        <v>-308.16809999999998</v>
      </c>
      <c r="H7716">
        <v>-0.05</v>
      </c>
      <c r="I7716">
        <v>16.297609999999999</v>
      </c>
      <c r="J7716">
        <v>-324.54489999999998</v>
      </c>
      <c r="K7716">
        <v>1.121653</v>
      </c>
      <c r="L7716">
        <v>17.738399999999999</v>
      </c>
      <c r="M7716">
        <v>0.99979850000000003</v>
      </c>
      <c r="N7716">
        <v>-1.364514E-2</v>
      </c>
      <c r="O7716">
        <v>1.471636E-2</v>
      </c>
      <c r="P7716">
        <v>0.99971019999999999</v>
      </c>
      <c r="Q7716">
        <v>-2.210999E-2</v>
      </c>
      <c r="R7716">
        <v>9.5062849999999997E-3</v>
      </c>
      <c r="S7716">
        <v>2.998688</v>
      </c>
      <c r="T7716">
        <v>-0.21301909999999999</v>
      </c>
      <c r="U7716">
        <v>-0.26159670000000002</v>
      </c>
      <c r="V7716">
        <v>5.2134059999999899E-3</v>
      </c>
      <c r="W7716">
        <v>-8.4631849999999998E-3</v>
      </c>
      <c r="X7716">
        <v>0.99995060000000002</v>
      </c>
      <c r="Y7716">
        <v>0.1012333</v>
      </c>
      <c r="Z7716">
        <v>-5.1194719999999999E-3</v>
      </c>
      <c r="AA7716">
        <v>0.9948496</v>
      </c>
      <c r="AB7716">
        <v>22</v>
      </c>
      <c r="AC7716">
        <v>16.376799999999999</v>
      </c>
      <c r="AD7716">
        <v>-1.1716530000000001</v>
      </c>
      <c r="AE7716">
        <v>-1.44078999999999</v>
      </c>
      <c r="AF7716">
        <v>1.6731650301510801</v>
      </c>
      <c r="AG7716">
        <v>-1.1716530000000001</v>
      </c>
      <c r="AH7716">
        <v>16.271177219883601</v>
      </c>
      <c r="AI7716">
        <v>94.097108633947499</v>
      </c>
      <c r="AJ7716">
        <v>84.128911043387106</v>
      </c>
      <c r="AK7716">
        <v>16.398885940556699</v>
      </c>
      <c r="AL7716">
        <v>90.484910568687397</v>
      </c>
      <c r="AM7716">
        <v>89.701281789093599</v>
      </c>
      <c r="AN7716">
        <v>1.0000000037714101</v>
      </c>
    </row>
    <row r="7717" spans="1:40" x14ac:dyDescent="0.25">
      <c r="A7717" t="str">
        <f>"20190303153957465"</f>
        <v>20190303153957465</v>
      </c>
      <c r="B7717" t="str">
        <f>"1551598797456082"</f>
        <v>1551598797456082</v>
      </c>
      <c r="C7717" t="s">
        <v>40</v>
      </c>
      <c r="D7717">
        <v>4.5071830000000004</v>
      </c>
      <c r="E7717">
        <v>0.53571610000000003</v>
      </c>
      <c r="F7717" t="s">
        <v>43</v>
      </c>
      <c r="G7717">
        <v>-307.97000000000003</v>
      </c>
      <c r="H7717">
        <v>-0.05</v>
      </c>
      <c r="I7717">
        <v>16.301389999999898</v>
      </c>
      <c r="J7717">
        <v>-324.43610000000001</v>
      </c>
      <c r="K7717">
        <v>1.121651</v>
      </c>
      <c r="L7717">
        <v>17.74023</v>
      </c>
      <c r="M7717">
        <v>0.99979560000000001</v>
      </c>
      <c r="N7717">
        <v>-1.364552E-2</v>
      </c>
      <c r="O7717">
        <v>1.4927330000000001E-2</v>
      </c>
      <c r="P7717">
        <v>0.99970239999999999</v>
      </c>
      <c r="Q7717">
        <v>-2.2451280000000001E-2</v>
      </c>
      <c r="R7717">
        <v>9.5519360000000005E-3</v>
      </c>
      <c r="S7717">
        <v>2.9986570000000001</v>
      </c>
      <c r="T7717">
        <v>-0.2119704</v>
      </c>
      <c r="U7717">
        <v>-0.25997920000000002</v>
      </c>
      <c r="V7717">
        <v>5.3785400000000002E-3</v>
      </c>
      <c r="W7717">
        <v>-8.8041019999999994E-3</v>
      </c>
      <c r="X7717">
        <v>0.99994680000000002</v>
      </c>
      <c r="Y7717">
        <v>0.10091509999999999</v>
      </c>
      <c r="Z7717">
        <v>-5.0954950000000002E-3</v>
      </c>
      <c r="AA7717">
        <v>0.99488200000000004</v>
      </c>
      <c r="AB7717">
        <v>22</v>
      </c>
      <c r="AC7717">
        <v>16.466099999999901</v>
      </c>
      <c r="AD7717">
        <v>-1.171651</v>
      </c>
      <c r="AE7717">
        <v>-1.4388399999999999</v>
      </c>
      <c r="AF7717">
        <v>1.6760756145637301</v>
      </c>
      <c r="AG7717">
        <v>-1.171651</v>
      </c>
      <c r="AH7717">
        <v>16.360577730205499</v>
      </c>
      <c r="AI7717">
        <v>94.074947532929698</v>
      </c>
      <c r="AJ7717">
        <v>84.150683287900193</v>
      </c>
      <c r="AK7717">
        <v>16.487889470688302</v>
      </c>
      <c r="AL7717">
        <v>90.504444392881496</v>
      </c>
      <c r="AM7717">
        <v>89.691818934718597</v>
      </c>
      <c r="AN7717">
        <v>1.0000000218673899</v>
      </c>
    </row>
    <row r="7718" spans="1:40" x14ac:dyDescent="0.25">
      <c r="A7718" t="str">
        <f>"20190303153957476"</f>
        <v>20190303153957476</v>
      </c>
      <c r="B7718" t="str">
        <f>"1551598797465842"</f>
        <v>1551598797465842</v>
      </c>
      <c r="C7718" t="s">
        <v>40</v>
      </c>
      <c r="D7718">
        <v>4.5161319999999998</v>
      </c>
      <c r="E7718">
        <v>0.53561029999999998</v>
      </c>
      <c r="F7718" t="s">
        <v>43</v>
      </c>
      <c r="G7718">
        <v>-307.77980000000002</v>
      </c>
      <c r="H7718">
        <v>-0.05</v>
      </c>
      <c r="I7718">
        <v>16.303419999999999</v>
      </c>
      <c r="J7718">
        <v>-324.32850000000002</v>
      </c>
      <c r="K7718">
        <v>1.1216539999999999</v>
      </c>
      <c r="L7718">
        <v>17.742100000000001</v>
      </c>
      <c r="M7718">
        <v>0.99979229999999997</v>
      </c>
      <c r="N7718">
        <v>-1.364571E-2</v>
      </c>
      <c r="O7718">
        <v>1.513609E-2</v>
      </c>
      <c r="P7718">
        <v>0.99969940000000002</v>
      </c>
      <c r="Q7718">
        <v>-2.2520620000000002E-2</v>
      </c>
      <c r="R7718">
        <v>9.6901729999999998E-3</v>
      </c>
      <c r="S7718">
        <v>2.998596</v>
      </c>
      <c r="T7718">
        <v>-0.21092949999999999</v>
      </c>
      <c r="U7718">
        <v>-0.25866699999999998</v>
      </c>
      <c r="V7718">
        <v>5.4492409999999996E-3</v>
      </c>
      <c r="W7718">
        <v>-8.8732599999999991E-3</v>
      </c>
      <c r="X7718">
        <v>0.9999458</v>
      </c>
      <c r="Y7718">
        <v>0.1006957</v>
      </c>
      <c r="Z7718">
        <v>-5.0756880000000001E-3</v>
      </c>
      <c r="AA7718">
        <v>0.99490429999999996</v>
      </c>
      <c r="AB7718">
        <v>22</v>
      </c>
      <c r="AC7718">
        <v>16.548699999999901</v>
      </c>
      <c r="AD7718">
        <v>-1.171654</v>
      </c>
      <c r="AE7718">
        <v>-1.43867999999999</v>
      </c>
      <c r="AF7718">
        <v>1.68065966700194</v>
      </c>
      <c r="AG7718">
        <v>-1.171654</v>
      </c>
      <c r="AH7718">
        <v>16.443219352155101</v>
      </c>
      <c r="AI7718">
        <v>94.054642783486202</v>
      </c>
      <c r="AJ7718">
        <v>84.164070664398196</v>
      </c>
      <c r="AK7718">
        <v>16.570360668225899</v>
      </c>
      <c r="AL7718">
        <v>90.508407012109004</v>
      </c>
      <c r="AM7718">
        <v>89.687767656799807</v>
      </c>
      <c r="AN7718">
        <v>1.0000000159540701</v>
      </c>
    </row>
    <row r="7719" spans="1:40" x14ac:dyDescent="0.25">
      <c r="A7719" t="str">
        <f>"20190303153957487"</f>
        <v>20190303153957487</v>
      </c>
      <c r="B7719" t="str">
        <f>"1551598797475601"</f>
        <v>1551598797475601</v>
      </c>
      <c r="C7719" t="s">
        <v>40</v>
      </c>
      <c r="D7719">
        <v>4.5127459999999999</v>
      </c>
      <c r="E7719">
        <v>0.53546579999999999</v>
      </c>
      <c r="F7719" t="s">
        <v>43</v>
      </c>
      <c r="G7719">
        <v>-307.54419999999999</v>
      </c>
      <c r="H7719">
        <v>-0.05</v>
      </c>
      <c r="I7719">
        <v>16.302150000000001</v>
      </c>
      <c r="J7719">
        <v>-324.22390000000001</v>
      </c>
      <c r="K7719">
        <v>1.121653</v>
      </c>
      <c r="L7719">
        <v>17.7439</v>
      </c>
      <c r="M7719">
        <v>0.99978940000000005</v>
      </c>
      <c r="N7719">
        <v>-1.36458E-2</v>
      </c>
      <c r="O7719">
        <v>1.5338539999999999E-2</v>
      </c>
      <c r="P7719">
        <v>0.99970749999999997</v>
      </c>
      <c r="Q7719">
        <v>-2.222588E-2</v>
      </c>
      <c r="R7719">
        <v>9.5543929999999996E-3</v>
      </c>
      <c r="S7719">
        <v>2.9987180000000002</v>
      </c>
      <c r="T7719">
        <v>-0.20933019999999999</v>
      </c>
      <c r="U7719">
        <v>-0.25726320000000003</v>
      </c>
      <c r="V7719">
        <v>5.7871729999999996E-3</v>
      </c>
      <c r="W7719">
        <v>-8.5781980000000004E-3</v>
      </c>
      <c r="X7719">
        <v>0.99994649999999996</v>
      </c>
      <c r="Y7719">
        <v>0.10043630000000001</v>
      </c>
      <c r="Z7719">
        <v>-5.0413630000000001E-3</v>
      </c>
      <c r="AA7719">
        <v>0.99493069999999895</v>
      </c>
      <c r="AB7719">
        <v>22</v>
      </c>
      <c r="AC7719">
        <v>16.6797</v>
      </c>
      <c r="AD7719">
        <v>-1.1716530000000001</v>
      </c>
      <c r="AE7719">
        <v>-1.4417499999999901</v>
      </c>
      <c r="AF7719">
        <v>1.6891733848913999</v>
      </c>
      <c r="AG7719">
        <v>-1.1716530000000001</v>
      </c>
      <c r="AH7719">
        <v>16.574444971444699</v>
      </c>
      <c r="AI7719">
        <v>94.022762860874295</v>
      </c>
      <c r="AJ7719">
        <v>84.180830750558897</v>
      </c>
      <c r="AK7719">
        <v>16.701446152596599</v>
      </c>
      <c r="AL7719">
        <v>90.491500549647199</v>
      </c>
      <c r="AM7719">
        <v>89.6684053734933</v>
      </c>
      <c r="AN7719">
        <v>1.0000000398572499</v>
      </c>
    </row>
    <row r="7720" spans="1:40" x14ac:dyDescent="0.25">
      <c r="A7720" t="str">
        <f>"20190303153957498"</f>
        <v>20190303153957498</v>
      </c>
      <c r="B7720" t="str">
        <f>"1551598797486338"</f>
        <v>1551598797486338</v>
      </c>
      <c r="C7720" t="s">
        <v>40</v>
      </c>
      <c r="D7720">
        <v>4.5262120000000001</v>
      </c>
      <c r="E7720">
        <v>0.53533359999999997</v>
      </c>
      <c r="F7720" t="s">
        <v>43</v>
      </c>
      <c r="G7720">
        <v>-307.18119999999999</v>
      </c>
      <c r="H7720">
        <v>-0.05</v>
      </c>
      <c r="I7720">
        <v>16.286650000000002</v>
      </c>
      <c r="J7720">
        <v>-324.1173</v>
      </c>
      <c r="K7720">
        <v>1.1216549999999901</v>
      </c>
      <c r="L7720">
        <v>17.74579</v>
      </c>
      <c r="M7720">
        <v>0.99978599999999995</v>
      </c>
      <c r="N7720">
        <v>-1.3645849999999999E-2</v>
      </c>
      <c r="O7720">
        <v>1.554492E-2</v>
      </c>
      <c r="P7720">
        <v>0.9997163</v>
      </c>
      <c r="Q7720">
        <v>-2.1871379999999999E-2</v>
      </c>
      <c r="R7720">
        <v>9.4307439999999996E-3</v>
      </c>
      <c r="S7720">
        <v>2.9987490000000001</v>
      </c>
      <c r="T7720">
        <v>-0.20615839999999999</v>
      </c>
      <c r="U7720">
        <v>-0.25640869999999999</v>
      </c>
      <c r="V7720">
        <v>6.1171619999999998E-3</v>
      </c>
      <c r="W7720">
        <v>-8.2234309999999998E-3</v>
      </c>
      <c r="X7720">
        <v>0.99994749999999999</v>
      </c>
      <c r="Y7720">
        <v>0.1003682</v>
      </c>
      <c r="Z7720">
        <v>-4.9809009999999898E-3</v>
      </c>
      <c r="AA7720">
        <v>0.99493790000000004</v>
      </c>
      <c r="AB7720">
        <v>22</v>
      </c>
      <c r="AC7720">
        <v>16.9361</v>
      </c>
      <c r="AD7720">
        <v>-1.1716549999999999</v>
      </c>
      <c r="AE7720">
        <v>-1.4591399999999899</v>
      </c>
      <c r="AF7720">
        <v>1.7141151987882901</v>
      </c>
      <c r="AG7720">
        <v>-1.1716549999999999</v>
      </c>
      <c r="AH7720">
        <v>16.831407333878602</v>
      </c>
      <c r="AI7720">
        <v>93.961581273375003</v>
      </c>
      <c r="AJ7720">
        <v>84.185029806427593</v>
      </c>
      <c r="AK7720">
        <v>16.9589869742471</v>
      </c>
      <c r="AL7720">
        <v>90.471173188888599</v>
      </c>
      <c r="AM7720">
        <v>89.649498405539106</v>
      </c>
      <c r="AN7720">
        <v>1.0000000236222899</v>
      </c>
    </row>
    <row r="7721" spans="1:40" x14ac:dyDescent="0.25">
      <c r="A7721" t="str">
        <f>"20190303153957510"</f>
        <v>20190303153957510</v>
      </c>
      <c r="B7721" t="str">
        <f>"1551598797505858"</f>
        <v>1551598797505858</v>
      </c>
      <c r="C7721" t="s">
        <v>40</v>
      </c>
      <c r="D7721">
        <v>4.5462899999999999</v>
      </c>
      <c r="E7721">
        <v>0.53504469999999904</v>
      </c>
      <c r="F7721" t="s">
        <v>43</v>
      </c>
      <c r="G7721">
        <v>-306.74450000000002</v>
      </c>
      <c r="H7721">
        <v>-0.05</v>
      </c>
      <c r="I7721">
        <v>16.265350000000002</v>
      </c>
      <c r="J7721">
        <v>-323.99810000000002</v>
      </c>
      <c r="K7721">
        <v>1.1216489999999999</v>
      </c>
      <c r="L7721">
        <v>17.747859999999999</v>
      </c>
      <c r="M7721">
        <v>0.99978250000000002</v>
      </c>
      <c r="N7721">
        <v>-1.3645880000000001E-2</v>
      </c>
      <c r="O7721">
        <v>1.5775020000000001E-2</v>
      </c>
      <c r="P7721">
        <v>0.99972490000000003</v>
      </c>
      <c r="Q7721">
        <v>-2.1599779999999999E-2</v>
      </c>
      <c r="R7721">
        <v>9.1538120000000008E-3</v>
      </c>
      <c r="S7721">
        <v>2.9988709999999998</v>
      </c>
      <c r="T7721">
        <v>-0.2022494</v>
      </c>
      <c r="U7721">
        <v>-0.25555420000000001</v>
      </c>
      <c r="V7721">
        <v>6.6239999999999997E-3</v>
      </c>
      <c r="W7721">
        <v>-7.9515130000000003E-3</v>
      </c>
      <c r="X7721">
        <v>0.99994649999999996</v>
      </c>
      <c r="Y7721">
        <v>0.10032290000000001</v>
      </c>
      <c r="Z7721">
        <v>-4.9060029999999999E-3</v>
      </c>
      <c r="AA7721">
        <v>0.99494280000000002</v>
      </c>
      <c r="AB7721">
        <v>22</v>
      </c>
      <c r="AC7721">
        <v>17.253599999999999</v>
      </c>
      <c r="AD7721">
        <v>-1.1716489999999999</v>
      </c>
      <c r="AE7721">
        <v>-1.48250999999999</v>
      </c>
      <c r="AF7721">
        <v>1.7465317256142601</v>
      </c>
      <c r="AG7721">
        <v>-1.1716489999999999</v>
      </c>
      <c r="AH7721">
        <v>17.149559487566201</v>
      </c>
      <c r="AI7721">
        <v>93.888294864823806</v>
      </c>
      <c r="AJ7721">
        <v>84.184977484903897</v>
      </c>
      <c r="AK7721">
        <v>17.278035914575099</v>
      </c>
      <c r="AL7721">
        <v>90.455592912329806</v>
      </c>
      <c r="AM7721">
        <v>89.620458002342801</v>
      </c>
      <c r="AN7721">
        <v>1.00000005339861</v>
      </c>
    </row>
    <row r="7722" spans="1:40" x14ac:dyDescent="0.25">
      <c r="A7722" t="str">
        <f>"20190303153957520"</f>
        <v>20190303153957520</v>
      </c>
      <c r="B7722" t="str">
        <f>"1551598797515617"</f>
        <v>1551598797515617</v>
      </c>
      <c r="C7722" t="s">
        <v>40</v>
      </c>
      <c r="D7722">
        <v>4.5363110000000004</v>
      </c>
      <c r="E7722">
        <v>0.53494059999999999</v>
      </c>
      <c r="F7722" t="s">
        <v>43</v>
      </c>
      <c r="G7722">
        <v>-306.15170000000001</v>
      </c>
      <c r="H7722">
        <v>-0.05</v>
      </c>
      <c r="I7722">
        <v>16.236509999999999</v>
      </c>
      <c r="J7722">
        <v>-323.89139999999998</v>
      </c>
      <c r="K7722">
        <v>1.1216489999999999</v>
      </c>
      <c r="L7722">
        <v>17.749790000000001</v>
      </c>
      <c r="M7722">
        <v>0.99977919999999998</v>
      </c>
      <c r="N7722">
        <v>-1.364578E-2</v>
      </c>
      <c r="O7722">
        <v>1.5980879999999999E-2</v>
      </c>
      <c r="P7722">
        <v>0.99973089999999998</v>
      </c>
      <c r="Q7722">
        <v>-2.145474E-2</v>
      </c>
      <c r="R7722">
        <v>8.8316469999999998E-3</v>
      </c>
      <c r="S7722">
        <v>2.998901</v>
      </c>
      <c r="T7722">
        <v>-0.19688359999999999</v>
      </c>
      <c r="U7722">
        <v>-0.25396729999999901</v>
      </c>
      <c r="V7722">
        <v>7.1520739999999996E-3</v>
      </c>
      <c r="W7722">
        <v>-7.8062969999999898E-3</v>
      </c>
      <c r="X7722">
        <v>0.99994400000000006</v>
      </c>
      <c r="Y7722">
        <v>0.1000192</v>
      </c>
      <c r="Z7722">
        <v>-4.7872519999999997E-3</v>
      </c>
      <c r="AA7722">
        <v>0.99497400000000003</v>
      </c>
      <c r="AB7722">
        <v>22</v>
      </c>
      <c r="AC7722">
        <v>17.7396999999999</v>
      </c>
      <c r="AD7722">
        <v>-1.1716489999999999</v>
      </c>
      <c r="AE7722">
        <v>-1.51328</v>
      </c>
      <c r="AF7722">
        <v>1.7888621774703699</v>
      </c>
      <c r="AG7722">
        <v>-1.1716489999999999</v>
      </c>
      <c r="AH7722">
        <v>17.6368691734748</v>
      </c>
      <c r="AI7722">
        <v>93.781333620535506</v>
      </c>
      <c r="AJ7722">
        <v>84.208442841530399</v>
      </c>
      <c r="AK7722">
        <v>17.766033420869402</v>
      </c>
      <c r="AL7722">
        <v>90.447272393545703</v>
      </c>
      <c r="AM7722">
        <v>89.590200383931005</v>
      </c>
      <c r="AN7722">
        <v>1.00000004678567</v>
      </c>
    </row>
    <row r="7723" spans="1:40" x14ac:dyDescent="0.25">
      <c r="A7723" t="str">
        <f>"20190303153957534"</f>
        <v>20190303153957534</v>
      </c>
      <c r="B7723" t="str">
        <f>"1551598797526353"</f>
        <v>1551598797526353</v>
      </c>
      <c r="C7723" t="s">
        <v>40</v>
      </c>
      <c r="D7723">
        <v>4.5533809999999999</v>
      </c>
      <c r="E7723">
        <v>0.5348212</v>
      </c>
      <c r="F7723" t="s">
        <v>43</v>
      </c>
      <c r="G7723">
        <v>-305.7799</v>
      </c>
      <c r="H7723">
        <v>-0.05</v>
      </c>
      <c r="I7723">
        <v>16.216170000000002</v>
      </c>
      <c r="J7723">
        <v>-323.7654</v>
      </c>
      <c r="K7723">
        <v>1.121648</v>
      </c>
      <c r="L7723">
        <v>17.752079999999999</v>
      </c>
      <c r="M7723">
        <v>0.99977530000000003</v>
      </c>
      <c r="N7723">
        <v>-1.3645640000000001E-2</v>
      </c>
      <c r="O7723">
        <v>1.6223979999999999E-2</v>
      </c>
      <c r="P7723">
        <v>0.99972729999999999</v>
      </c>
      <c r="Q7723">
        <v>-2.187631E-2</v>
      </c>
      <c r="R7723">
        <v>8.1736150000000004E-3</v>
      </c>
      <c r="S7723">
        <v>2.998901</v>
      </c>
      <c r="T7723">
        <v>-0.19400129999999999</v>
      </c>
      <c r="U7723">
        <v>-0.25393680000000002</v>
      </c>
      <c r="V7723">
        <v>8.0532780000000005E-3</v>
      </c>
      <c r="W7723">
        <v>-8.2276750000000003E-3</v>
      </c>
      <c r="X7723">
        <v>0.99993370000000004</v>
      </c>
      <c r="Y7723">
        <v>0.10025779999999999</v>
      </c>
      <c r="Z7723">
        <v>-4.7458159999999999E-3</v>
      </c>
      <c r="AA7723">
        <v>0.99495020000000001</v>
      </c>
      <c r="AB7723">
        <v>22</v>
      </c>
      <c r="AC7723">
        <v>17.985499999999998</v>
      </c>
      <c r="AD7723">
        <v>-1.171648</v>
      </c>
      <c r="AE7723">
        <v>-1.5359099999999899</v>
      </c>
      <c r="AF7723">
        <v>1.81986423631276</v>
      </c>
      <c r="AG7723">
        <v>-1.171648</v>
      </c>
      <c r="AH7723">
        <v>17.8828705554285</v>
      </c>
      <c r="AI7723">
        <v>93.729334733929306</v>
      </c>
      <c r="AJ7723">
        <v>84.189254542089003</v>
      </c>
      <c r="AK7723">
        <v>18.013376257013199</v>
      </c>
      <c r="AL7723">
        <v>90.471416382301697</v>
      </c>
      <c r="AM7723">
        <v>89.538560542003296</v>
      </c>
      <c r="AN7723">
        <v>0.99999997715906996</v>
      </c>
    </row>
    <row r="7724" spans="1:40" x14ac:dyDescent="0.25">
      <c r="A7724" t="str">
        <f>"20190303153957546"</f>
        <v>20190303153957546</v>
      </c>
      <c r="B7724" t="str">
        <f>"1551598797536114"</f>
        <v>1551598797536114</v>
      </c>
      <c r="C7724" t="s">
        <v>40</v>
      </c>
      <c r="D7724">
        <v>4.53627</v>
      </c>
      <c r="E7724">
        <v>0.53474060000000001</v>
      </c>
      <c r="F7724" t="s">
        <v>43</v>
      </c>
      <c r="G7724">
        <v>-305.6053</v>
      </c>
      <c r="H7724">
        <v>-0.05</v>
      </c>
      <c r="I7724">
        <v>16.208860000000001</v>
      </c>
      <c r="J7724">
        <v>-323.62979999999999</v>
      </c>
      <c r="K7724">
        <v>1.1216469999999901</v>
      </c>
      <c r="L7724">
        <v>17.754579999999901</v>
      </c>
      <c r="M7724">
        <v>0.99977090000000002</v>
      </c>
      <c r="N7724">
        <v>-1.364546E-2</v>
      </c>
      <c r="O7724">
        <v>1.6484970000000002E-2</v>
      </c>
      <c r="P7724">
        <v>0.99972119999999998</v>
      </c>
      <c r="Q7724">
        <v>-2.2317460000000001E-2</v>
      </c>
      <c r="R7724">
        <v>7.7203339999999997E-3</v>
      </c>
      <c r="S7724">
        <v>2.9986570000000001</v>
      </c>
      <c r="T7724">
        <v>-0.19346669999999999</v>
      </c>
      <c r="U7724">
        <v>-0.25482179999999999</v>
      </c>
      <c r="V7724">
        <v>8.7675440000000004E-3</v>
      </c>
      <c r="W7724">
        <v>-8.6687759999999996E-3</v>
      </c>
      <c r="X7724">
        <v>0.99992400000000004</v>
      </c>
      <c r="Y7724">
        <v>0.1008155</v>
      </c>
      <c r="Z7724">
        <v>-4.7693359999999999E-3</v>
      </c>
      <c r="AA7724">
        <v>0.99489369999999999</v>
      </c>
      <c r="AB7724">
        <v>22</v>
      </c>
      <c r="AC7724">
        <v>18.0244999999999</v>
      </c>
      <c r="AD7724">
        <v>-1.1716470000000001</v>
      </c>
      <c r="AE7724">
        <v>-1.54571999999999</v>
      </c>
      <c r="AF7724">
        <v>1.83497407367444</v>
      </c>
      <c r="AG7724">
        <v>-1.1716470000000001</v>
      </c>
      <c r="AH7724">
        <v>17.921394630367601</v>
      </c>
      <c r="AI7724">
        <v>93.721103427321196</v>
      </c>
      <c r="AJ7724">
        <v>84.153850250382504</v>
      </c>
      <c r="AK7724">
        <v>18.053151304994799</v>
      </c>
      <c r="AL7724">
        <v>90.4966904935511</v>
      </c>
      <c r="AM7724">
        <v>89.497631425136106</v>
      </c>
      <c r="AN7724">
        <v>1.0000000116405601</v>
      </c>
    </row>
    <row r="7725" spans="1:40" x14ac:dyDescent="0.25">
      <c r="A7725" t="str">
        <f>"20190303153957559"</f>
        <v>20190303153957559</v>
      </c>
      <c r="B7725" t="str">
        <f>"1551598797555633"</f>
        <v>1551598797555633</v>
      </c>
      <c r="C7725" t="s">
        <v>40</v>
      </c>
      <c r="D7725">
        <v>4.551895</v>
      </c>
      <c r="E7725">
        <v>0.53465249999999997</v>
      </c>
      <c r="F7725" t="s">
        <v>43</v>
      </c>
      <c r="G7725">
        <v>-305.43639999999999</v>
      </c>
      <c r="H7725">
        <v>-0.05</v>
      </c>
      <c r="I7725">
        <v>16.205089999999998</v>
      </c>
      <c r="J7725">
        <v>-323.51170000000002</v>
      </c>
      <c r="K7725">
        <v>1.1216440000000001</v>
      </c>
      <c r="L7725">
        <v>17.756769999999999</v>
      </c>
      <c r="M7725">
        <v>0.99976730000000003</v>
      </c>
      <c r="N7725">
        <v>-1.364515E-2</v>
      </c>
      <c r="O7725">
        <v>1.6711989999999999E-2</v>
      </c>
      <c r="P7725">
        <v>0.99971089999999996</v>
      </c>
      <c r="Q7725">
        <v>-2.3026399999999999E-2</v>
      </c>
      <c r="R7725">
        <v>6.9525450000000001E-3</v>
      </c>
      <c r="S7725">
        <v>2.9984739999999999</v>
      </c>
      <c r="T7725">
        <v>-0.1931001</v>
      </c>
      <c r="U7725">
        <v>-0.25537110000000002</v>
      </c>
      <c r="V7725">
        <v>9.7624559999999992E-3</v>
      </c>
      <c r="W7725">
        <v>-9.3777349999999999E-3</v>
      </c>
      <c r="X7725">
        <v>0.99990840000000003</v>
      </c>
      <c r="Y7725">
        <v>0.1012272</v>
      </c>
      <c r="Z7725">
        <v>-4.7889480000000003E-3</v>
      </c>
      <c r="AA7725">
        <v>0.99485179999999995</v>
      </c>
      <c r="AB7725">
        <v>22</v>
      </c>
      <c r="AC7725">
        <v>18.075299999999999</v>
      </c>
      <c r="AD7725">
        <v>-1.1716439999999999</v>
      </c>
      <c r="AE7725">
        <v>-1.5516799999999999</v>
      </c>
      <c r="AF7725">
        <v>1.8458666410559399</v>
      </c>
      <c r="AG7725">
        <v>-1.1716439999999999</v>
      </c>
      <c r="AH7725">
        <v>17.971881920835902</v>
      </c>
      <c r="AI7725">
        <v>93.710550153589395</v>
      </c>
      <c r="AJ7725">
        <v>84.135794226668196</v>
      </c>
      <c r="AK7725">
        <v>18.104378285259301</v>
      </c>
      <c r="AL7725">
        <v>90.537312497464796</v>
      </c>
      <c r="AM7725">
        <v>89.440619006098899</v>
      </c>
      <c r="AN7725">
        <v>1.00000002792572</v>
      </c>
    </row>
    <row r="7726" spans="1:40" x14ac:dyDescent="0.25">
      <c r="A7726" t="str">
        <f>"20190303153957573"</f>
        <v>20190303153957573</v>
      </c>
      <c r="B7726" t="str">
        <f>"1551598797566370"</f>
        <v>1551598797566370</v>
      </c>
      <c r="C7726" t="s">
        <v>40</v>
      </c>
      <c r="D7726">
        <v>4.5288259999999996</v>
      </c>
      <c r="E7726">
        <v>0.53455259999999905</v>
      </c>
      <c r="F7726" t="s">
        <v>43</v>
      </c>
      <c r="G7726">
        <v>-305.27370000000002</v>
      </c>
      <c r="H7726">
        <v>-0.05</v>
      </c>
      <c r="I7726">
        <v>16.19426</v>
      </c>
      <c r="J7726">
        <v>-323.37869999999998</v>
      </c>
      <c r="K7726">
        <v>1.12164</v>
      </c>
      <c r="L7726">
        <v>17.75928</v>
      </c>
      <c r="M7726">
        <v>0.99976279999999995</v>
      </c>
      <c r="N7726">
        <v>-1.3644689999999999E-2</v>
      </c>
      <c r="O7726">
        <v>1.696804E-2</v>
      </c>
      <c r="P7726">
        <v>0.99969330000000001</v>
      </c>
      <c r="Q7726">
        <v>-2.3943869999999999E-2</v>
      </c>
      <c r="R7726">
        <v>6.333923E-3</v>
      </c>
      <c r="S7726">
        <v>2.99823</v>
      </c>
      <c r="T7726">
        <v>-0.19261120000000001</v>
      </c>
      <c r="U7726">
        <v>-0.2568665</v>
      </c>
      <c r="V7726">
        <v>1.0637249999999999E-2</v>
      </c>
      <c r="W7726">
        <v>-1.0295489999999999E-2</v>
      </c>
      <c r="X7726">
        <v>0.99989039999999996</v>
      </c>
      <c r="Y7726">
        <v>0.1019804</v>
      </c>
      <c r="Z7726">
        <v>-4.8204859999999997E-3</v>
      </c>
      <c r="AA7726">
        <v>0.99477470000000001</v>
      </c>
      <c r="AB7726">
        <v>22</v>
      </c>
      <c r="AC7726">
        <v>18.104999999999901</v>
      </c>
      <c r="AD7726">
        <v>-1.17164</v>
      </c>
      <c r="AE7726">
        <v>-1.5650200000000001</v>
      </c>
      <c r="AF7726">
        <v>1.86428022510355</v>
      </c>
      <c r="AG7726">
        <v>-1.17164</v>
      </c>
      <c r="AH7726">
        <v>18.001008734615599</v>
      </c>
      <c r="AI7726">
        <v>93.704227385266293</v>
      </c>
      <c r="AJ7726">
        <v>84.087223851940095</v>
      </c>
      <c r="AK7726">
        <v>18.135175668049602</v>
      </c>
      <c r="AL7726">
        <v>90.589898558324606</v>
      </c>
      <c r="AM7726">
        <v>89.390486657570605</v>
      </c>
      <c r="AN7726">
        <v>0.99999998010703095</v>
      </c>
    </row>
    <row r="7727" spans="1:40" x14ac:dyDescent="0.25">
      <c r="A7727" t="str">
        <f>"20190303153957584"</f>
        <v>20190303153957584</v>
      </c>
      <c r="B7727" t="str">
        <f>"1551598797576128"</f>
        <v>1551598797576128</v>
      </c>
      <c r="C7727" t="s">
        <v>40</v>
      </c>
      <c r="D7727">
        <v>4.5668009999999999</v>
      </c>
      <c r="E7727">
        <v>0.53447679999999997</v>
      </c>
      <c r="F7727" t="s">
        <v>43</v>
      </c>
      <c r="G7727">
        <v>-305.30360000000002</v>
      </c>
      <c r="H7727">
        <v>-0.05</v>
      </c>
      <c r="I7727">
        <v>16.204319999999999</v>
      </c>
      <c r="J7727">
        <v>-323.25729999999999</v>
      </c>
      <c r="K7727">
        <v>1.1216410000000001</v>
      </c>
      <c r="L7727">
        <v>17.76163</v>
      </c>
      <c r="M7727">
        <v>0.99975899999999995</v>
      </c>
      <c r="N7727">
        <v>-1.3644119999999999E-2</v>
      </c>
      <c r="O7727">
        <v>1.7201569999999999E-2</v>
      </c>
      <c r="P7727">
        <v>0.99966940000000004</v>
      </c>
      <c r="Q7727">
        <v>-2.504408E-2</v>
      </c>
      <c r="R7727">
        <v>5.8389679999999999E-3</v>
      </c>
      <c r="S7727">
        <v>2.997925</v>
      </c>
      <c r="T7727">
        <v>-0.19432769999999999</v>
      </c>
      <c r="U7727">
        <v>-0.25790410000000002</v>
      </c>
      <c r="V7727">
        <v>1.136585E-2</v>
      </c>
      <c r="W7727">
        <v>-1.139623E-2</v>
      </c>
      <c r="X7727">
        <v>0.9998705</v>
      </c>
      <c r="Y7727">
        <v>0.1025567</v>
      </c>
      <c r="Z7727">
        <v>-4.8940829999999996E-3</v>
      </c>
      <c r="AA7727">
        <v>0.99471509999999996</v>
      </c>
      <c r="AB7727">
        <v>22</v>
      </c>
      <c r="AC7727">
        <v>17.953699999999898</v>
      </c>
      <c r="AD7727">
        <v>-1.1716409999999999</v>
      </c>
      <c r="AE7727">
        <v>-1.55730999999999</v>
      </c>
      <c r="AF7727">
        <v>1.8580860867484199</v>
      </c>
      <c r="AG7727">
        <v>-1.1716409999999999</v>
      </c>
      <c r="AH7727">
        <v>17.848806650746202</v>
      </c>
      <c r="AI7727">
        <v>93.735523402781098</v>
      </c>
      <c r="AJ7727">
        <v>84.056835299274098</v>
      </c>
      <c r="AK7727">
        <v>17.983468113641798</v>
      </c>
      <c r="AL7727">
        <v>90.652969991901301</v>
      </c>
      <c r="AM7727">
        <v>89.348728471728805</v>
      </c>
      <c r="AN7727">
        <v>1.0000000366873401</v>
      </c>
    </row>
    <row r="7728" spans="1:40" x14ac:dyDescent="0.25">
      <c r="A7728" t="str">
        <f>"20190303153957599"</f>
        <v>20190303153957599</v>
      </c>
      <c r="B7728" t="str">
        <f>"1551598797595650"</f>
        <v>1551598797595650</v>
      </c>
      <c r="C7728" t="s">
        <v>40</v>
      </c>
      <c r="D7728">
        <v>4.5362679999999997</v>
      </c>
      <c r="E7728">
        <v>0.53429340000000003</v>
      </c>
      <c r="F7728" t="s">
        <v>43</v>
      </c>
      <c r="G7728">
        <v>-305.3931</v>
      </c>
      <c r="H7728">
        <v>-0.05</v>
      </c>
      <c r="I7728">
        <v>16.219739999999899</v>
      </c>
      <c r="J7728">
        <v>-323.12240000000003</v>
      </c>
      <c r="K7728">
        <v>1.1216330000000001</v>
      </c>
      <c r="L7728">
        <v>17.764250000000001</v>
      </c>
      <c r="M7728">
        <v>0.99975449999999999</v>
      </c>
      <c r="N7728">
        <v>-1.364346E-2</v>
      </c>
      <c r="O7728">
        <v>1.7461379999999999E-2</v>
      </c>
      <c r="P7728">
        <v>0.99962479999999998</v>
      </c>
      <c r="Q7728">
        <v>-2.7010429999999998E-2</v>
      </c>
      <c r="R7728">
        <v>4.6036719999999996E-3</v>
      </c>
      <c r="S7728">
        <v>2.9975890000000001</v>
      </c>
      <c r="T7728">
        <v>-0.19659969999999999</v>
      </c>
      <c r="U7728">
        <v>-0.25872800000000001</v>
      </c>
      <c r="V7728">
        <v>1.286109E-2</v>
      </c>
      <c r="W7728">
        <v>-1.3363130000000001E-2</v>
      </c>
      <c r="X7728">
        <v>0.99982800000000005</v>
      </c>
      <c r="Y7728">
        <v>0.1030881</v>
      </c>
      <c r="Z7728">
        <v>-4.9806570000000003E-3</v>
      </c>
      <c r="AA7728">
        <v>0.99465979999999998</v>
      </c>
      <c r="AB7728">
        <v>22</v>
      </c>
      <c r="AC7728">
        <v>17.729299999999999</v>
      </c>
      <c r="AD7728">
        <v>-1.1716329999999999</v>
      </c>
      <c r="AE7728">
        <v>-1.54451</v>
      </c>
      <c r="AF7728">
        <v>1.8458807678267699</v>
      </c>
      <c r="AG7728">
        <v>-1.1716329999999999</v>
      </c>
      <c r="AH7728">
        <v>17.623240699192898</v>
      </c>
      <c r="AI7728">
        <v>93.7829226140515</v>
      </c>
      <c r="AJ7728">
        <v>84.020569427729896</v>
      </c>
      <c r="AK7728">
        <v>17.758339236466099</v>
      </c>
      <c r="AL7728">
        <v>90.765673735372204</v>
      </c>
      <c r="AM7728">
        <v>89.263027702639206</v>
      </c>
      <c r="AN7728">
        <v>1.00000000523169</v>
      </c>
    </row>
    <row r="7729" spans="1:40" x14ac:dyDescent="0.25">
      <c r="A7729" t="str">
        <f>"20190303153957610"</f>
        <v>20190303153957610</v>
      </c>
      <c r="B7729" t="str">
        <f>"1551598797606385"</f>
        <v>1551598797606385</v>
      </c>
      <c r="C7729" t="s">
        <v>40</v>
      </c>
      <c r="D7729">
        <v>4.5808600000000004</v>
      </c>
      <c r="E7729">
        <v>0.53420869999999998</v>
      </c>
      <c r="F7729" t="s">
        <v>43</v>
      </c>
      <c r="G7729">
        <v>-305.63310000000001</v>
      </c>
      <c r="H7729">
        <v>-0.05</v>
      </c>
      <c r="I7729">
        <v>16.241710000000001</v>
      </c>
      <c r="J7729">
        <v>-323.01069999999999</v>
      </c>
      <c r="K7729">
        <v>1.1216299999999999</v>
      </c>
      <c r="L7729">
        <v>17.76642</v>
      </c>
      <c r="M7729">
        <v>0.99975069999999999</v>
      </c>
      <c r="N7729">
        <v>-1.3642899999999999E-2</v>
      </c>
      <c r="O7729">
        <v>1.7676959999999999E-2</v>
      </c>
      <c r="P7729">
        <v>0.99959980000000004</v>
      </c>
      <c r="Q7729">
        <v>-2.8027590000000002E-2</v>
      </c>
      <c r="R7729">
        <v>3.866576E-3</v>
      </c>
      <c r="S7729">
        <v>2.996918</v>
      </c>
      <c r="T7729">
        <v>-0.20076730000000001</v>
      </c>
      <c r="U7729">
        <v>-0.26089479999999998</v>
      </c>
      <c r="V7729">
        <v>1.381374E-2</v>
      </c>
      <c r="W7729">
        <v>-1.4380759999999999E-2</v>
      </c>
      <c r="X7729">
        <v>0.99980119999999895</v>
      </c>
      <c r="Y7729">
        <v>0.1040208</v>
      </c>
      <c r="Z7729">
        <v>-5.1260530000000002E-3</v>
      </c>
      <c r="AA7729">
        <v>0.9945619</v>
      </c>
      <c r="AB7729">
        <v>22</v>
      </c>
      <c r="AC7729">
        <v>17.377599999999902</v>
      </c>
      <c r="AD7729">
        <v>-1.1716299999999999</v>
      </c>
      <c r="AE7729">
        <v>-1.52470999999999</v>
      </c>
      <c r="AF7729">
        <v>1.8234578610978001</v>
      </c>
      <c r="AG7729">
        <v>-1.1716299999999999</v>
      </c>
      <c r="AH7729">
        <v>17.270024778354699</v>
      </c>
      <c r="AI7729">
        <v>93.859713814171002</v>
      </c>
      <c r="AJ7729">
        <v>83.972749014587293</v>
      </c>
      <c r="AK7729">
        <v>17.4055011784518</v>
      </c>
      <c r="AL7729">
        <v>90.823985229878801</v>
      </c>
      <c r="AM7729">
        <v>89.208423990202803</v>
      </c>
      <c r="AN7729">
        <v>1.0000000325962</v>
      </c>
    </row>
    <row r="7730" spans="1:40" x14ac:dyDescent="0.25">
      <c r="A7730" t="str">
        <f>"20190303153957621"</f>
        <v>20190303153957621</v>
      </c>
      <c r="B7730" t="str">
        <f>"1551598797616149"</f>
        <v>1551598797616149</v>
      </c>
      <c r="C7730" t="s">
        <v>40</v>
      </c>
      <c r="D7730">
        <v>4.538335</v>
      </c>
      <c r="E7730">
        <v>0.53411940000000002</v>
      </c>
      <c r="F7730" t="s">
        <v>43</v>
      </c>
      <c r="G7730">
        <v>-305.68310000000002</v>
      </c>
      <c r="H7730">
        <v>-0.05</v>
      </c>
      <c r="I7730">
        <v>16.24896</v>
      </c>
      <c r="J7730">
        <v>-322.8997</v>
      </c>
      <c r="K7730">
        <v>1.1216269999999999</v>
      </c>
      <c r="L7730">
        <v>17.768650000000001</v>
      </c>
      <c r="M7730">
        <v>0.99974700000000005</v>
      </c>
      <c r="N7730">
        <v>-1.364229E-2</v>
      </c>
      <c r="O7730">
        <v>1.7891649999999999E-2</v>
      </c>
      <c r="P7730">
        <v>0.99959520000000002</v>
      </c>
      <c r="Q7730">
        <v>-2.826321E-2</v>
      </c>
      <c r="R7730">
        <v>3.309378E-3</v>
      </c>
      <c r="S7730">
        <v>2.9965519999999999</v>
      </c>
      <c r="T7730">
        <v>-0.2026163</v>
      </c>
      <c r="U7730">
        <v>-0.26242070000000001</v>
      </c>
      <c r="V7730">
        <v>1.458576E-2</v>
      </c>
      <c r="W7730">
        <v>-1.4616759999999999E-2</v>
      </c>
      <c r="X7730">
        <v>0.99978679999999998</v>
      </c>
      <c r="Y7730">
        <v>0.104739899999999</v>
      </c>
      <c r="Z7730">
        <v>-5.2100260000000004E-3</v>
      </c>
      <c r="AA7730">
        <v>0.99448599999999998</v>
      </c>
      <c r="AB7730">
        <v>22</v>
      </c>
      <c r="AC7730">
        <v>17.2165999999999</v>
      </c>
      <c r="AD7730">
        <v>-1.171627</v>
      </c>
      <c r="AE7730">
        <v>-1.51969</v>
      </c>
      <c r="AF7730">
        <v>1.8191491803569</v>
      </c>
      <c r="AG7730">
        <v>-1.171627</v>
      </c>
      <c r="AH7730">
        <v>17.108034913210801</v>
      </c>
      <c r="AI7730">
        <v>93.8958337113352</v>
      </c>
      <c r="AJ7730">
        <v>83.930373463448802</v>
      </c>
      <c r="AK7730">
        <v>17.244328695520799</v>
      </c>
      <c r="AL7730">
        <v>90.837508465645499</v>
      </c>
      <c r="AM7730">
        <v>89.164178595267103</v>
      </c>
      <c r="AN7730">
        <v>1.00000001976095</v>
      </c>
    </row>
    <row r="7731" spans="1:40" x14ac:dyDescent="0.25">
      <c r="A7731" t="str">
        <f>"20190303153957633"</f>
        <v>20190303153957633</v>
      </c>
      <c r="B7731" t="str">
        <f>"1551598797625905"</f>
        <v>1551598797625905</v>
      </c>
      <c r="C7731" t="s">
        <v>40</v>
      </c>
      <c r="D7731">
        <v>4.5509779999999997</v>
      </c>
      <c r="E7731">
        <v>0.53402439999999995</v>
      </c>
      <c r="F7731" t="s">
        <v>43</v>
      </c>
      <c r="G7731">
        <v>-305.55419999999998</v>
      </c>
      <c r="H7731">
        <v>-0.05</v>
      </c>
      <c r="I7731">
        <v>16.244420000000002</v>
      </c>
      <c r="J7731">
        <v>-322.78660000000002</v>
      </c>
      <c r="K7731">
        <v>1.1216250000000001</v>
      </c>
      <c r="L7731">
        <v>17.770900000000001</v>
      </c>
      <c r="M7731">
        <v>0.99974289999999999</v>
      </c>
      <c r="N7731">
        <v>-1.364162E-2</v>
      </c>
      <c r="O7731">
        <v>1.8110640000000001E-2</v>
      </c>
      <c r="P7731">
        <v>0.99959370000000003</v>
      </c>
      <c r="Q7731">
        <v>-2.8390800000000001E-2</v>
      </c>
      <c r="R7731">
        <v>2.5402789999999999E-3</v>
      </c>
      <c r="S7731">
        <v>2.9963679999999999</v>
      </c>
      <c r="T7731">
        <v>-0.20239460000000001</v>
      </c>
      <c r="U7731">
        <v>-0.26330569999999998</v>
      </c>
      <c r="V7731">
        <v>1.557353E-2</v>
      </c>
      <c r="W7731">
        <v>-1.474469E-2</v>
      </c>
      <c r="X7731">
        <v>0.99977000000000005</v>
      </c>
      <c r="Y7731">
        <v>0.105253399999999</v>
      </c>
      <c r="Z7731">
        <v>-5.2376460000000003E-3</v>
      </c>
      <c r="AA7731">
        <v>0.99443159999999997</v>
      </c>
      <c r="AB7731">
        <v>22</v>
      </c>
      <c r="AC7731">
        <v>17.232399999999998</v>
      </c>
      <c r="AD7731">
        <v>-1.1716249999999999</v>
      </c>
      <c r="AE7731">
        <v>-1.5264799999999901</v>
      </c>
      <c r="AF7731">
        <v>1.8299551573652999</v>
      </c>
      <c r="AG7731">
        <v>-1.1716249999999999</v>
      </c>
      <c r="AH7731">
        <v>17.123386875945901</v>
      </c>
      <c r="AI7731">
        <v>93.892125910436903</v>
      </c>
      <c r="AJ7731">
        <v>83.900023141614497</v>
      </c>
      <c r="AK7731">
        <v>17.260701582551899</v>
      </c>
      <c r="AL7731">
        <v>90.844839123975802</v>
      </c>
      <c r="AM7731">
        <v>89.107569360268002</v>
      </c>
      <c r="AN7731">
        <v>0.99999999680992802</v>
      </c>
    </row>
    <row r="7732" spans="1:40" x14ac:dyDescent="0.25">
      <c r="A7732" t="str">
        <f>"20190303153957644"</f>
        <v>20190303153957644</v>
      </c>
      <c r="B7732" t="str">
        <f>"1551598797635665"</f>
        <v>1551598797635665</v>
      </c>
      <c r="C7732" t="s">
        <v>40</v>
      </c>
      <c r="D7732">
        <v>4.5428329999999999</v>
      </c>
      <c r="E7732">
        <v>0.53397079999999997</v>
      </c>
      <c r="F7732" t="s">
        <v>43</v>
      </c>
      <c r="G7732">
        <v>-305.31420000000003</v>
      </c>
      <c r="H7732">
        <v>-0.05</v>
      </c>
      <c r="I7732">
        <v>16.22653</v>
      </c>
      <c r="J7732">
        <v>-322.66789999999997</v>
      </c>
      <c r="K7732">
        <v>1.121629</v>
      </c>
      <c r="L7732">
        <v>17.773350000000001</v>
      </c>
      <c r="M7732">
        <v>0.99973880000000004</v>
      </c>
      <c r="N7732">
        <v>-1.364082E-2</v>
      </c>
      <c r="O7732">
        <v>1.8340530000000001E-2</v>
      </c>
      <c r="P7732">
        <v>0.99958429999999998</v>
      </c>
      <c r="Q7732">
        <v>-2.874086E-2</v>
      </c>
      <c r="R7732">
        <v>2.2413300000000001E-3</v>
      </c>
      <c r="S7732">
        <v>2.9961850000000001</v>
      </c>
      <c r="T7732">
        <v>-0.20091239999999999</v>
      </c>
      <c r="U7732">
        <v>-0.2648315</v>
      </c>
      <c r="V7732">
        <v>1.6102390000000001E-2</v>
      </c>
      <c r="W7732">
        <v>-1.509546E-2</v>
      </c>
      <c r="X7732">
        <v>0.99975639999999999</v>
      </c>
      <c r="Y7732">
        <v>0.1059918</v>
      </c>
      <c r="Z7732">
        <v>-5.2449799999999998E-3</v>
      </c>
      <c r="AA7732">
        <v>0.99435320000000005</v>
      </c>
      <c r="AB7732">
        <v>22</v>
      </c>
      <c r="AC7732">
        <v>17.3536999999999</v>
      </c>
      <c r="AD7732">
        <v>-1.171629</v>
      </c>
      <c r="AE7732">
        <v>-1.5468200000000001</v>
      </c>
      <c r="AF7732">
        <v>1.85646991549326</v>
      </c>
      <c r="AG7732">
        <v>-1.171629</v>
      </c>
      <c r="AH7732">
        <v>17.244423969458602</v>
      </c>
      <c r="AI7732">
        <v>93.864581908439106</v>
      </c>
      <c r="AJ7732">
        <v>83.855416952862598</v>
      </c>
      <c r="AK7732">
        <v>17.383594366505701</v>
      </c>
      <c r="AL7732">
        <v>90.864938990979596</v>
      </c>
      <c r="AM7732">
        <v>89.077255998232303</v>
      </c>
      <c r="AN7732">
        <v>1.0000000096086401</v>
      </c>
    </row>
    <row r="7733" spans="1:40" x14ac:dyDescent="0.25">
      <c r="A7733" t="str">
        <f>"20190303153957655"</f>
        <v>20190303153957655</v>
      </c>
      <c r="B7733" t="str">
        <f>"1551598797646402"</f>
        <v>1551598797646402</v>
      </c>
      <c r="C7733" t="s">
        <v>40</v>
      </c>
      <c r="D7733">
        <v>4.5312400000000004</v>
      </c>
      <c r="E7733">
        <v>0.53397079999999997</v>
      </c>
      <c r="F7733" t="s">
        <v>43</v>
      </c>
      <c r="G7733">
        <v>-305.17680000000001</v>
      </c>
      <c r="H7733">
        <v>-0.05</v>
      </c>
      <c r="I7733">
        <v>16.224930000000001</v>
      </c>
      <c r="J7733">
        <v>-322.57060000000001</v>
      </c>
      <c r="K7733">
        <v>1.1216299999999999</v>
      </c>
      <c r="L7733">
        <v>17.77533</v>
      </c>
      <c r="M7733">
        <v>0.99973529999999999</v>
      </c>
      <c r="N7733">
        <v>-1.36402E-2</v>
      </c>
      <c r="O7733">
        <v>1.8529589999999999E-2</v>
      </c>
      <c r="P7733">
        <v>0.9995927</v>
      </c>
      <c r="Q7733">
        <v>-2.8490740000000001E-2</v>
      </c>
      <c r="R7733">
        <v>1.7124900000000001E-3</v>
      </c>
      <c r="S7733">
        <v>2.9960629999999999</v>
      </c>
      <c r="T7733">
        <v>-0.20068810000000001</v>
      </c>
      <c r="U7733">
        <v>-0.26522829999999997</v>
      </c>
      <c r="V7733">
        <v>1.682001E-2</v>
      </c>
      <c r="W7733">
        <v>-1.484564E-2</v>
      </c>
      <c r="X7733">
        <v>0.99974830000000003</v>
      </c>
      <c r="Y7733">
        <v>0.10631350000000001</v>
      </c>
      <c r="Z7733">
        <v>-5.2628190000000002E-3</v>
      </c>
      <c r="AA7733">
        <v>0.9943187</v>
      </c>
      <c r="AB7733">
        <v>22</v>
      </c>
      <c r="AC7733">
        <v>17.393799999999999</v>
      </c>
      <c r="AD7733">
        <v>-1.1716299999999999</v>
      </c>
      <c r="AE7733">
        <v>-1.55039999999999</v>
      </c>
      <c r="AF7733">
        <v>1.86407264176501</v>
      </c>
      <c r="AG7733">
        <v>-1.1716299999999999</v>
      </c>
      <c r="AH7733">
        <v>17.284277398751598</v>
      </c>
      <c r="AI7733">
        <v>93.855622827856294</v>
      </c>
      <c r="AJ7733">
        <v>83.844563149825007</v>
      </c>
      <c r="AK7733">
        <v>17.423941255286501</v>
      </c>
      <c r="AL7733">
        <v>90.850623776515704</v>
      </c>
      <c r="AM7733">
        <v>89.036132723037596</v>
      </c>
      <c r="AN7733">
        <v>0.99999998455814898</v>
      </c>
    </row>
    <row r="7734" spans="1:40" x14ac:dyDescent="0.25">
      <c r="A7734" t="str">
        <f>"20190303153957666"</f>
        <v>20190303153957666</v>
      </c>
      <c r="B7734" t="str">
        <f>"1551598797656161"</f>
        <v>1551598797656161</v>
      </c>
      <c r="C7734" t="s">
        <v>40</v>
      </c>
      <c r="D7734">
        <v>4.5585889999999996</v>
      </c>
      <c r="E7734">
        <v>0.52776279999999998</v>
      </c>
      <c r="F7734" t="s">
        <v>43</v>
      </c>
      <c r="G7734">
        <v>-305.00729999999999</v>
      </c>
      <c r="H7734">
        <v>-0.05</v>
      </c>
      <c r="I7734">
        <v>16.211010000000002</v>
      </c>
      <c r="J7734">
        <v>-322.45280000000002</v>
      </c>
      <c r="K7734">
        <v>1.121632</v>
      </c>
      <c r="L7734">
        <v>17.77777</v>
      </c>
      <c r="M7734">
        <v>0.99973120000000004</v>
      </c>
      <c r="N7734">
        <v>-1.3639449999999999E-2</v>
      </c>
      <c r="O7734">
        <v>1.8758049999999998E-2</v>
      </c>
      <c r="P7734">
        <v>0.99960669999999996</v>
      </c>
      <c r="Q7734">
        <v>-2.8014850000000001E-2</v>
      </c>
      <c r="R7734">
        <v>1.4557350000000001E-3</v>
      </c>
      <c r="S7734">
        <v>2.9959720000000001</v>
      </c>
      <c r="T7734">
        <v>-0.1998588</v>
      </c>
      <c r="U7734">
        <v>-0.26684570000000002</v>
      </c>
      <c r="V7734">
        <v>1.73051E-2</v>
      </c>
      <c r="W7734">
        <v>-1.437018E-2</v>
      </c>
      <c r="X7734">
        <v>0.99974700000000005</v>
      </c>
      <c r="Y7734">
        <v>0.10707609999999999</v>
      </c>
      <c r="Z7734">
        <v>-5.2857640000000001E-3</v>
      </c>
      <c r="AA7734">
        <v>0.99423680000000003</v>
      </c>
      <c r="AB7734">
        <v>22</v>
      </c>
      <c r="AC7734">
        <v>17.445499999999999</v>
      </c>
      <c r="AD7734">
        <v>-1.171632</v>
      </c>
      <c r="AE7734">
        <v>-1.5667599999999899</v>
      </c>
      <c r="AF7734">
        <v>1.8853226926911799</v>
      </c>
      <c r="AG7734">
        <v>-1.171632</v>
      </c>
      <c r="AH7734">
        <v>17.3354734307424</v>
      </c>
      <c r="AI7734">
        <v>93.843904701131905</v>
      </c>
      <c r="AJ7734">
        <v>83.793180732106606</v>
      </c>
      <c r="AK7734">
        <v>17.4770078179011</v>
      </c>
      <c r="AL7734">
        <v>90.823378991337805</v>
      </c>
      <c r="AM7734">
        <v>89.008338922589104</v>
      </c>
      <c r="AN7734">
        <v>1.0000000162841201</v>
      </c>
    </row>
    <row r="7735" spans="1:40" x14ac:dyDescent="0.25">
      <c r="A7735" t="str">
        <f>"20190303153957679"</f>
        <v>20190303153957679</v>
      </c>
      <c r="B7735" t="str">
        <f>"1551598797675681"</f>
        <v>1551598797675681</v>
      </c>
      <c r="C7735" t="s">
        <v>40</v>
      </c>
      <c r="D7735">
        <v>4.5593120000000003</v>
      </c>
      <c r="E7735">
        <v>0.52745949999999997</v>
      </c>
      <c r="F7735" t="s">
        <v>43</v>
      </c>
      <c r="G7735">
        <v>-286.00700000000001</v>
      </c>
      <c r="H7735">
        <v>-0.05</v>
      </c>
      <c r="I7735">
        <v>15.138500000000001</v>
      </c>
      <c r="J7735">
        <v>-322.33069999999998</v>
      </c>
      <c r="K7735">
        <v>1.121631</v>
      </c>
      <c r="L7735">
        <v>17.780360000000002</v>
      </c>
      <c r="M7735">
        <v>0.99972660000000002</v>
      </c>
      <c r="N7735">
        <v>-1.3638610000000001E-2</v>
      </c>
      <c r="O7735">
        <v>1.8995439999999999E-2</v>
      </c>
      <c r="P7735">
        <v>0.9996178</v>
      </c>
      <c r="Q7735">
        <v>-2.7608810000000001E-2</v>
      </c>
      <c r="R7735">
        <v>1.5214040000000001E-3</v>
      </c>
      <c r="S7735">
        <v>2.9988100000000002</v>
      </c>
      <c r="T7735">
        <v>-9.6403600000000006E-2</v>
      </c>
      <c r="U7735">
        <v>-0.2171631</v>
      </c>
      <c r="V7735">
        <v>1.7476869999999999E-2</v>
      </c>
      <c r="W7735">
        <v>-1.3964829999999999E-2</v>
      </c>
      <c r="X7735">
        <v>0.99974969999999996</v>
      </c>
      <c r="Y7735">
        <v>9.1091829999999999E-2</v>
      </c>
      <c r="Z7735">
        <v>-2.4352390000000001E-3</v>
      </c>
      <c r="AA7735">
        <v>0.99583949999999999</v>
      </c>
      <c r="AB7735">
        <v>22</v>
      </c>
      <c r="AC7735">
        <v>36.323699999999903</v>
      </c>
      <c r="AD7735">
        <v>-1.1716309999999901</v>
      </c>
      <c r="AE7735">
        <v>-2.6418599999999999</v>
      </c>
      <c r="AF7735">
        <v>3.3279878190867902</v>
      </c>
      <c r="AG7735">
        <v>-1.1716309999999901</v>
      </c>
      <c r="AH7735">
        <v>36.229462054378502</v>
      </c>
      <c r="AI7735">
        <v>91.844492675564098</v>
      </c>
      <c r="AJ7735">
        <v>84.751618544067796</v>
      </c>
      <c r="AK7735">
        <v>36.400853600895203</v>
      </c>
      <c r="AL7735">
        <v>90.800151861149899</v>
      </c>
      <c r="AM7735">
        <v>88.998500418113807</v>
      </c>
      <c r="AN7735">
        <v>0.999999960056007</v>
      </c>
    </row>
    <row r="7736" spans="1:40" x14ac:dyDescent="0.25">
      <c r="A7736" t="str">
        <f>"20190303153957690"</f>
        <v>20190303153957690</v>
      </c>
      <c r="B7736" t="str">
        <f>"1551598797686417"</f>
        <v>1551598797686417</v>
      </c>
      <c r="C7736" t="s">
        <v>40</v>
      </c>
      <c r="D7736">
        <v>4.56846</v>
      </c>
      <c r="E7736">
        <v>0.52772479999999999</v>
      </c>
      <c r="F7736" t="s">
        <v>43</v>
      </c>
      <c r="G7736">
        <v>-291.50790000000001</v>
      </c>
      <c r="H7736">
        <v>-0.05</v>
      </c>
      <c r="I7736">
        <v>15.573029999999999</v>
      </c>
      <c r="J7736">
        <v>-322.22480000000002</v>
      </c>
      <c r="K7736">
        <v>1.121634</v>
      </c>
      <c r="L7736">
        <v>17.782589999999999</v>
      </c>
      <c r="M7736">
        <v>0.99972269999999996</v>
      </c>
      <c r="N7736">
        <v>-1.363786E-2</v>
      </c>
      <c r="O7736">
        <v>1.9201490000000002E-2</v>
      </c>
      <c r="P7736">
        <v>0.99962580000000001</v>
      </c>
      <c r="Q7736">
        <v>-2.7301120000000002E-2</v>
      </c>
      <c r="R7736">
        <v>1.699721E-3</v>
      </c>
      <c r="S7736">
        <v>2.9983219999999999</v>
      </c>
      <c r="T7736">
        <v>-0.1139715</v>
      </c>
      <c r="U7736">
        <v>-0.21472169999999999</v>
      </c>
      <c r="V7736">
        <v>1.7504519999999999E-2</v>
      </c>
      <c r="W7736">
        <v>-1.365779E-2</v>
      </c>
      <c r="X7736">
        <v>0.99975349999999996</v>
      </c>
      <c r="Y7736">
        <v>9.0477940000000007E-2</v>
      </c>
      <c r="Z7736">
        <v>-2.8022049999999999E-3</v>
      </c>
      <c r="AA7736">
        <v>0.99589450000000002</v>
      </c>
      <c r="AB7736">
        <v>22</v>
      </c>
      <c r="AC7736">
        <v>30.716899999999999</v>
      </c>
      <c r="AD7736">
        <v>-1.1716340000000001</v>
      </c>
      <c r="AE7736">
        <v>-2.2095600000000002</v>
      </c>
      <c r="AF7736">
        <v>2.7949721790241999</v>
      </c>
      <c r="AG7736">
        <v>-1.1716340000000001</v>
      </c>
      <c r="AH7736">
        <v>30.624479231825099</v>
      </c>
      <c r="AI7736">
        <v>92.181899024790098</v>
      </c>
      <c r="AJ7736">
        <v>84.785292841226905</v>
      </c>
      <c r="AK7736">
        <v>30.7740690181191</v>
      </c>
      <c r="AL7736">
        <v>90.782558053221805</v>
      </c>
      <c r="AM7736">
        <v>88.996920089927499</v>
      </c>
      <c r="AN7736">
        <v>1.00000000210518</v>
      </c>
    </row>
    <row r="7737" spans="1:40" x14ac:dyDescent="0.25">
      <c r="A7737" t="str">
        <f>"20190303153957701"</f>
        <v>20190303153957701</v>
      </c>
      <c r="B7737" t="str">
        <f>"1551598797696177"</f>
        <v>1551598797696177</v>
      </c>
      <c r="C7737" t="s">
        <v>40</v>
      </c>
      <c r="D7737">
        <v>4.5689500000000001</v>
      </c>
      <c r="E7737">
        <v>0.52788610000000002</v>
      </c>
      <c r="F7737" t="s">
        <v>43</v>
      </c>
      <c r="G7737">
        <v>-290.66449999999998</v>
      </c>
      <c r="H7737">
        <v>-0.05</v>
      </c>
      <c r="I7737">
        <v>15.50583</v>
      </c>
      <c r="J7737">
        <v>-322.1182</v>
      </c>
      <c r="K7737">
        <v>1.121634</v>
      </c>
      <c r="L7737">
        <v>17.784879999999902</v>
      </c>
      <c r="M7737">
        <v>0.99971860000000001</v>
      </c>
      <c r="N7737">
        <v>-1.3637069999999999E-2</v>
      </c>
      <c r="O7737">
        <v>1.940884E-2</v>
      </c>
      <c r="P7737">
        <v>0.99963089999999999</v>
      </c>
      <c r="Q7737">
        <v>-2.709226E-2</v>
      </c>
      <c r="R7737">
        <v>2.0955779999999999E-3</v>
      </c>
      <c r="S7737">
        <v>2.9984440000000001</v>
      </c>
      <c r="T7737">
        <v>-0.1113132</v>
      </c>
      <c r="U7737">
        <v>-0.21630859999999999</v>
      </c>
      <c r="V7737">
        <v>1.7315850000000001E-2</v>
      </c>
      <c r="W7737">
        <v>-1.344975E-2</v>
      </c>
      <c r="X7737">
        <v>0.99975959999999997</v>
      </c>
      <c r="Y7737">
        <v>9.1209150000000003E-2</v>
      </c>
      <c r="Z7737">
        <v>-2.7684530000000001E-3</v>
      </c>
      <c r="AA7737">
        <v>0.99582789999999999</v>
      </c>
      <c r="AB7737">
        <v>22</v>
      </c>
      <c r="AC7737">
        <v>31.453700000000001</v>
      </c>
      <c r="AD7737">
        <v>-1.1716340000000001</v>
      </c>
      <c r="AE7737">
        <v>-2.27904999999999</v>
      </c>
      <c r="AF7737">
        <v>2.8851748943905902</v>
      </c>
      <c r="AG7737">
        <v>-1.1716340000000001</v>
      </c>
      <c r="AH7737">
        <v>31.3602503138423</v>
      </c>
      <c r="AI7737">
        <v>92.130613088116704</v>
      </c>
      <c r="AJ7737">
        <v>84.743527328277594</v>
      </c>
      <c r="AK7737">
        <v>31.514476993090401</v>
      </c>
      <c r="AL7737">
        <v>90.770637148858995</v>
      </c>
      <c r="AM7737">
        <v>89.007735524935399</v>
      </c>
      <c r="AN7737">
        <v>0.99999999611422197</v>
      </c>
    </row>
    <row r="7738" spans="1:40" x14ac:dyDescent="0.25">
      <c r="A7738" t="str">
        <f>"20190303153957710"</f>
        <v>20190303153957710</v>
      </c>
      <c r="B7738" t="str">
        <f>"1551598797705937"</f>
        <v>1551598797705937</v>
      </c>
      <c r="C7738" t="s">
        <v>40</v>
      </c>
      <c r="D7738">
        <v>4.5423339999999897</v>
      </c>
      <c r="E7738">
        <v>0.5279471</v>
      </c>
      <c r="F7738" t="s">
        <v>43</v>
      </c>
      <c r="G7738">
        <v>-290.67489999999998</v>
      </c>
      <c r="H7738">
        <v>-0.05</v>
      </c>
      <c r="I7738">
        <v>15.515029999999999</v>
      </c>
      <c r="J7738">
        <v>-322.02879999999999</v>
      </c>
      <c r="K7738">
        <v>1.1216360000000001</v>
      </c>
      <c r="L7738">
        <v>17.786829999999998</v>
      </c>
      <c r="M7738">
        <v>0.99971529999999997</v>
      </c>
      <c r="N7738">
        <v>-1.363641E-2</v>
      </c>
      <c r="O7738">
        <v>1.9582579999999999E-2</v>
      </c>
      <c r="P7738">
        <v>0.99962530000000005</v>
      </c>
      <c r="Q7738">
        <v>-2.7255870000000001E-2</v>
      </c>
      <c r="R7738">
        <v>2.5533629999999999E-3</v>
      </c>
      <c r="S7738">
        <v>2.998535</v>
      </c>
      <c r="T7738">
        <v>-0.11173080000000001</v>
      </c>
      <c r="U7738">
        <v>-0.21646119999999999</v>
      </c>
      <c r="V7738">
        <v>1.7032039999999998E-2</v>
      </c>
      <c r="W7738">
        <v>-1.361418E-2</v>
      </c>
      <c r="X7738">
        <v>0.99976220000000005</v>
      </c>
      <c r="Y7738">
        <v>9.1429570000000002E-2</v>
      </c>
      <c r="Z7738">
        <v>-2.7870999999999998E-3</v>
      </c>
      <c r="AA7738">
        <v>0.99580760000000001</v>
      </c>
      <c r="AB7738">
        <v>22</v>
      </c>
      <c r="AC7738">
        <v>31.353899999999999</v>
      </c>
      <c r="AD7738">
        <v>-1.1716359999999999</v>
      </c>
      <c r="AE7738">
        <v>-2.27179999999999</v>
      </c>
      <c r="AF7738">
        <v>2.8814090842043698</v>
      </c>
      <c r="AG7738">
        <v>-1.1716359999999999</v>
      </c>
      <c r="AH7738">
        <v>31.2599720128073</v>
      </c>
      <c r="AI7738">
        <v>92.137411101170798</v>
      </c>
      <c r="AJ7738">
        <v>84.733604146065304</v>
      </c>
      <c r="AK7738">
        <v>31.4143454407143</v>
      </c>
      <c r="AL7738">
        <v>90.780059195391999</v>
      </c>
      <c r="AM7738">
        <v>89.0239982896763</v>
      </c>
      <c r="AN7738">
        <v>0.99999994641623502</v>
      </c>
    </row>
    <row r="7739" spans="1:40" x14ac:dyDescent="0.25">
      <c r="A7739" t="str">
        <f>"20190303153957722"</f>
        <v>20190303153957722</v>
      </c>
      <c r="B7739" t="str">
        <f>"1551598797715697"</f>
        <v>1551598797715697</v>
      </c>
      <c r="C7739" t="s">
        <v>40</v>
      </c>
      <c r="D7739">
        <v>4.5616700000000003</v>
      </c>
      <c r="E7739">
        <v>0.52821289999999999</v>
      </c>
      <c r="F7739" t="s">
        <v>43</v>
      </c>
      <c r="G7739">
        <v>-289.9803</v>
      </c>
      <c r="H7739">
        <v>-0.05</v>
      </c>
      <c r="I7739">
        <v>15.482889999999999</v>
      </c>
      <c r="J7739">
        <v>-321.911</v>
      </c>
      <c r="K7739">
        <v>1.121629</v>
      </c>
      <c r="L7739">
        <v>17.789400000000001</v>
      </c>
      <c r="M7739">
        <v>0.99971069999999995</v>
      </c>
      <c r="N7739">
        <v>-1.363559E-2</v>
      </c>
      <c r="O7739">
        <v>1.9810910000000001E-2</v>
      </c>
      <c r="P7739">
        <v>0.99960439999999995</v>
      </c>
      <c r="Q7739">
        <v>-2.796616E-2</v>
      </c>
      <c r="R7739">
        <v>2.9470669999999998E-3</v>
      </c>
      <c r="S7739">
        <v>2.9987180000000002</v>
      </c>
      <c r="T7739">
        <v>-0.10962769999999999</v>
      </c>
      <c r="U7739">
        <v>-0.2155762</v>
      </c>
      <c r="V7739">
        <v>1.6866809999999999E-2</v>
      </c>
      <c r="W7739">
        <v>-1.4325569999999999E-2</v>
      </c>
      <c r="X7739">
        <v>0.99975510000000001</v>
      </c>
      <c r="Y7739">
        <v>9.1363379999999994E-2</v>
      </c>
      <c r="Z7739">
        <v>-2.744809E-3</v>
      </c>
      <c r="AA7739">
        <v>0.99581379999999997</v>
      </c>
      <c r="AB7739">
        <v>22</v>
      </c>
      <c r="AC7739">
        <v>31.930700000000002</v>
      </c>
      <c r="AD7739">
        <v>-1.171629</v>
      </c>
      <c r="AE7739">
        <v>-2.3065099999999998</v>
      </c>
      <c r="AF7739">
        <v>2.9347615716466402</v>
      </c>
      <c r="AG7739">
        <v>-1.171629</v>
      </c>
      <c r="AH7739">
        <v>31.836093389064999</v>
      </c>
      <c r="AI7739">
        <v>92.098752361106804</v>
      </c>
      <c r="AJ7739">
        <v>84.733161382705902</v>
      </c>
      <c r="AK7739">
        <v>31.9925363526139</v>
      </c>
      <c r="AL7739">
        <v>90.820822788710402</v>
      </c>
      <c r="AM7739">
        <v>89.033457939446507</v>
      </c>
      <c r="AN7739">
        <v>0.99999998560570502</v>
      </c>
    </row>
    <row r="7740" spans="1:40" x14ac:dyDescent="0.25">
      <c r="A7740" t="str">
        <f>"20190303153957735"</f>
        <v>20190303153957735</v>
      </c>
      <c r="B7740" t="str">
        <f>"1551598797726433"</f>
        <v>1551598797726433</v>
      </c>
      <c r="C7740" t="s">
        <v>40</v>
      </c>
      <c r="D7740">
        <v>4.5840759999999996</v>
      </c>
      <c r="E7740">
        <v>0.52840480000000001</v>
      </c>
      <c r="F7740" t="s">
        <v>43</v>
      </c>
      <c r="G7740">
        <v>-290.78739999999999</v>
      </c>
      <c r="H7740">
        <v>-0.05</v>
      </c>
      <c r="I7740">
        <v>15.54144</v>
      </c>
      <c r="J7740">
        <v>-321.79559999999998</v>
      </c>
      <c r="K7740">
        <v>1.1216170000000001</v>
      </c>
      <c r="L7740">
        <v>17.79196</v>
      </c>
      <c r="M7740">
        <v>0.9997064</v>
      </c>
      <c r="N7740">
        <v>-1.3634739999999999E-2</v>
      </c>
      <c r="O7740">
        <v>2.0032359999999999E-2</v>
      </c>
      <c r="P7740">
        <v>0.99956230000000001</v>
      </c>
      <c r="Q7740">
        <v>-2.9405049999999999E-2</v>
      </c>
      <c r="R7740">
        <v>3.3192759999999999E-3</v>
      </c>
      <c r="S7740">
        <v>2.9986570000000001</v>
      </c>
      <c r="T7740">
        <v>-0.1128825</v>
      </c>
      <c r="U7740">
        <v>-0.21658330000000001</v>
      </c>
      <c r="V7740">
        <v>1.6715770000000001E-2</v>
      </c>
      <c r="W7740">
        <v>-1.5765870000000001E-2</v>
      </c>
      <c r="X7740">
        <v>0.99973599999999996</v>
      </c>
      <c r="Y7740">
        <v>9.1912709999999995E-2</v>
      </c>
      <c r="Z7740">
        <v>-2.8351460000000002E-3</v>
      </c>
      <c r="AA7740">
        <v>0.99576299999999995</v>
      </c>
      <c r="AB7740">
        <v>22</v>
      </c>
      <c r="AC7740">
        <v>31.008199999999899</v>
      </c>
      <c r="AD7740">
        <v>-1.1716169999999999</v>
      </c>
      <c r="AE7740">
        <v>-2.2505199999999999</v>
      </c>
      <c r="AF7740">
        <v>2.8672215482106198</v>
      </c>
      <c r="AG7740">
        <v>-1.1716169999999999</v>
      </c>
      <c r="AH7740">
        <v>30.912987764902699</v>
      </c>
      <c r="AI7740">
        <v>92.161230964455896</v>
      </c>
      <c r="AJ7740">
        <v>84.700899750061694</v>
      </c>
      <c r="AK7740">
        <v>31.067772021086999</v>
      </c>
      <c r="AL7740">
        <v>90.903355215105705</v>
      </c>
      <c r="AM7740">
        <v>89.042093275684906</v>
      </c>
      <c r="AN7740">
        <v>1.00000002465977</v>
      </c>
    </row>
    <row r="7741" spans="1:40" x14ac:dyDescent="0.25">
      <c r="A7741" t="str">
        <f>"20190303153957747"</f>
        <v>20190303153957747</v>
      </c>
      <c r="B7741" t="str">
        <f>"1551598797736193"</f>
        <v>1551598797736193</v>
      </c>
      <c r="C7741" t="s">
        <v>40</v>
      </c>
      <c r="D7741">
        <v>4.6061239999999897</v>
      </c>
      <c r="E7741">
        <v>0.52801009999999904</v>
      </c>
      <c r="F7741" t="s">
        <v>43</v>
      </c>
      <c r="G7741">
        <v>-292.41030000000001</v>
      </c>
      <c r="H7741">
        <v>-0.05</v>
      </c>
      <c r="I7741">
        <v>15.664960000000001</v>
      </c>
      <c r="J7741">
        <v>-321.66460000000001</v>
      </c>
      <c r="K7741">
        <v>1.1215980000000001</v>
      </c>
      <c r="L7741">
        <v>17.794829999999902</v>
      </c>
      <c r="M7741">
        <v>0.99970139999999996</v>
      </c>
      <c r="N7741">
        <v>-1.363369E-2</v>
      </c>
      <c r="O7741">
        <v>2.0279789999999999E-2</v>
      </c>
      <c r="P7741">
        <v>0.99950430000000001</v>
      </c>
      <c r="Q7741">
        <v>-3.1299180000000003E-2</v>
      </c>
      <c r="R7741">
        <v>3.4521349999999998E-3</v>
      </c>
      <c r="S7741">
        <v>2.9985050000000002</v>
      </c>
      <c r="T7741">
        <v>-0.1195531</v>
      </c>
      <c r="U7741">
        <v>-0.21704100000000001</v>
      </c>
      <c r="V7741">
        <v>1.682985E-2</v>
      </c>
      <c r="W7741">
        <v>-1.7661759999999999E-2</v>
      </c>
      <c r="X7741">
        <v>0.99970239999999999</v>
      </c>
      <c r="Y7741">
        <v>9.2303120000000002E-2</v>
      </c>
      <c r="Z7741">
        <v>-2.9986470000000001E-3</v>
      </c>
      <c r="AA7741">
        <v>0.99572649999999996</v>
      </c>
      <c r="AB7741">
        <v>22</v>
      </c>
      <c r="AC7741">
        <v>29.254300000000001</v>
      </c>
      <c r="AD7741">
        <v>-1.1715979999999999</v>
      </c>
      <c r="AE7741">
        <v>-2.1298699999999902</v>
      </c>
      <c r="AF7741">
        <v>2.7184210016229402</v>
      </c>
      <c r="AG7741">
        <v>-1.1715979999999999</v>
      </c>
      <c r="AH7741">
        <v>29.158564336980898</v>
      </c>
      <c r="AI7741">
        <v>92.290996192181495</v>
      </c>
      <c r="AJ7741">
        <v>84.673772851875697</v>
      </c>
      <c r="AK7741">
        <v>29.3084344312269</v>
      </c>
      <c r="AL7741">
        <v>91.011996889250895</v>
      </c>
      <c r="AM7741">
        <v>89.035524678098696</v>
      </c>
      <c r="AN7741">
        <v>1.0000000350915299</v>
      </c>
    </row>
    <row r="7742" spans="1:40" x14ac:dyDescent="0.25">
      <c r="A7742" t="str">
        <f>"20190303153957762"</f>
        <v>20190303153957762</v>
      </c>
      <c r="B7742" t="str">
        <f>"1551598797755713"</f>
        <v>1551598797755713</v>
      </c>
      <c r="C7742" t="s">
        <v>40</v>
      </c>
      <c r="D7742">
        <v>4.6018689999999998</v>
      </c>
      <c r="E7742">
        <v>0.52741640000000001</v>
      </c>
      <c r="F7742" t="s">
        <v>43</v>
      </c>
      <c r="G7742">
        <v>-294.67009999999999</v>
      </c>
      <c r="H7742">
        <v>-0.05</v>
      </c>
      <c r="I7742">
        <v>15.871700000000001</v>
      </c>
      <c r="J7742">
        <v>-321.53269999999998</v>
      </c>
      <c r="K7742">
        <v>1.12158</v>
      </c>
      <c r="L7742">
        <v>17.797820000000002</v>
      </c>
      <c r="M7742">
        <v>0.99969669999999999</v>
      </c>
      <c r="N7742">
        <v>-1.3632460000000001E-2</v>
      </c>
      <c r="O7742">
        <v>2.051892E-2</v>
      </c>
      <c r="P7742">
        <v>0.99944129999999998</v>
      </c>
      <c r="Q7742">
        <v>-3.3253699999999997E-2</v>
      </c>
      <c r="R7742">
        <v>3.4041039999999998E-3</v>
      </c>
      <c r="S7742">
        <v>2.9981689999999999</v>
      </c>
      <c r="T7742">
        <v>-0.1301244</v>
      </c>
      <c r="U7742">
        <v>-0.21359249999999999</v>
      </c>
      <c r="V7742">
        <v>1.7116610000000001E-2</v>
      </c>
      <c r="W7742">
        <v>-1.9618400000000001E-2</v>
      </c>
      <c r="X7742">
        <v>0.99966100000000002</v>
      </c>
      <c r="Y7742">
        <v>9.1393169999999996E-2</v>
      </c>
      <c r="Z7742">
        <v>-3.2138739999999998E-3</v>
      </c>
      <c r="AA7742">
        <v>0.99580970000000002</v>
      </c>
      <c r="AB7742">
        <v>22</v>
      </c>
      <c r="AC7742">
        <v>26.862599999999901</v>
      </c>
      <c r="AD7742">
        <v>-1.1715799999999901</v>
      </c>
      <c r="AE7742">
        <v>-1.9261200000000001</v>
      </c>
      <c r="AF7742">
        <v>2.4722784508726598</v>
      </c>
      <c r="AG7742">
        <v>-1.1715799999999901</v>
      </c>
      <c r="AH7742">
        <v>26.766763531081601</v>
      </c>
      <c r="AI7742">
        <v>92.4956249033186</v>
      </c>
      <c r="AJ7742">
        <v>84.722919759449198</v>
      </c>
      <c r="AK7742">
        <v>26.906214716379001</v>
      </c>
      <c r="AL7742">
        <v>91.1241236518742</v>
      </c>
      <c r="AM7742">
        <v>89.019053770317797</v>
      </c>
      <c r="AN7742">
        <v>0.99999998743872598</v>
      </c>
    </row>
    <row r="7743" spans="1:40" x14ac:dyDescent="0.25">
      <c r="A7743" t="str">
        <f>"20190303153957776"</f>
        <v>20190303153957776</v>
      </c>
      <c r="B7743" t="str">
        <f>"1551598797766450"</f>
        <v>1551598797766450</v>
      </c>
      <c r="C7743" t="s">
        <v>40</v>
      </c>
      <c r="D7743">
        <v>4.5809639999999998</v>
      </c>
      <c r="E7743">
        <v>0.52762290000000001</v>
      </c>
      <c r="F7743" t="s">
        <v>43</v>
      </c>
      <c r="G7743">
        <v>-297.4237</v>
      </c>
      <c r="H7743">
        <v>-0.05</v>
      </c>
      <c r="I7743">
        <v>16.115739999999999</v>
      </c>
      <c r="J7743">
        <v>-321.3972</v>
      </c>
      <c r="K7743">
        <v>1.1215599999999999</v>
      </c>
      <c r="L7743">
        <v>17.80087</v>
      </c>
      <c r="M7743">
        <v>0.99969169999999996</v>
      </c>
      <c r="N7743">
        <v>-1.363119E-2</v>
      </c>
      <c r="O7743">
        <v>2.0755019999999999E-2</v>
      </c>
      <c r="P7743">
        <v>0.99938570000000004</v>
      </c>
      <c r="Q7743">
        <v>-3.4926560000000002E-2</v>
      </c>
      <c r="R7743">
        <v>2.9066249999999999E-3</v>
      </c>
      <c r="S7743">
        <v>2.997528</v>
      </c>
      <c r="T7743">
        <v>-0.14566479999999901</v>
      </c>
      <c r="U7743">
        <v>-0.20913699999999999</v>
      </c>
      <c r="V7743">
        <v>1.7849150000000001E-2</v>
      </c>
      <c r="W7743">
        <v>-2.1293369999999999E-2</v>
      </c>
      <c r="X7743">
        <v>0.99961390000000006</v>
      </c>
      <c r="Y7743">
        <v>9.0143870000000001E-2</v>
      </c>
      <c r="Z7743">
        <v>-3.5264179999999999E-3</v>
      </c>
      <c r="AA7743">
        <v>0.99592250000000004</v>
      </c>
      <c r="AB7743">
        <v>22</v>
      </c>
      <c r="AC7743">
        <v>23.973500000000001</v>
      </c>
      <c r="AD7743">
        <v>-1.1715599999999999</v>
      </c>
      <c r="AE7743">
        <v>-1.68513</v>
      </c>
      <c r="AF7743">
        <v>2.1772096333369801</v>
      </c>
      <c r="AG7743">
        <v>-1.1715599999999999</v>
      </c>
      <c r="AH7743">
        <v>23.876615596440399</v>
      </c>
      <c r="AI7743">
        <v>92.7975059084729</v>
      </c>
      <c r="AJ7743">
        <v>84.789843988501602</v>
      </c>
      <c r="AK7743">
        <v>24.004282262989602</v>
      </c>
      <c r="AL7743">
        <v>91.220112477053405</v>
      </c>
      <c r="AM7743">
        <v>88.977032738614795</v>
      </c>
      <c r="AN7743">
        <v>0.99999997441744404</v>
      </c>
    </row>
    <row r="7744" spans="1:40" x14ac:dyDescent="0.25">
      <c r="A7744" t="str">
        <f>"20190303153957788"</f>
        <v>20190303153957788</v>
      </c>
      <c r="B7744" t="str">
        <f>"1551598797776209"</f>
        <v>1551598797776209</v>
      </c>
      <c r="C7744" t="s">
        <v>40</v>
      </c>
      <c r="D7744">
        <v>4.5876720000000004</v>
      </c>
      <c r="E7744">
        <v>0.52770519999999999</v>
      </c>
      <c r="F7744" t="s">
        <v>43</v>
      </c>
      <c r="G7744">
        <v>-298.2439</v>
      </c>
      <c r="H7744">
        <v>-0.05</v>
      </c>
      <c r="I7744">
        <v>16.161479999999901</v>
      </c>
      <c r="J7744">
        <v>-321.26409999999998</v>
      </c>
      <c r="K7744">
        <v>1.1215360000000001</v>
      </c>
      <c r="L7744">
        <v>17.803889999999999</v>
      </c>
      <c r="M7744">
        <v>0.99968710000000005</v>
      </c>
      <c r="N7744">
        <v>-1.362994E-2</v>
      </c>
      <c r="O7744">
        <v>2.0975279999999999E-2</v>
      </c>
      <c r="P7744">
        <v>0.99932889999999996</v>
      </c>
      <c r="Q7744">
        <v>-3.6559889999999998E-2</v>
      </c>
      <c r="R7744">
        <v>2.2632680000000001E-3</v>
      </c>
      <c r="S7744">
        <v>2.9971920000000001</v>
      </c>
      <c r="T7744">
        <v>-0.15165809999999999</v>
      </c>
      <c r="U7744">
        <v>-0.2122192</v>
      </c>
      <c r="V7744">
        <v>1.8711579999999998E-2</v>
      </c>
      <c r="W7744">
        <v>-2.2929000000000001E-2</v>
      </c>
      <c r="X7744">
        <v>0.99956199999999995</v>
      </c>
      <c r="Y7744">
        <v>9.1376360000000004E-2</v>
      </c>
      <c r="Z7744">
        <v>-3.7056099999999998E-3</v>
      </c>
      <c r="AA7744">
        <v>0.99580959999999996</v>
      </c>
      <c r="AB7744">
        <v>22</v>
      </c>
      <c r="AC7744">
        <v>23.0201999999999</v>
      </c>
      <c r="AD7744">
        <v>-1.1715359999999999</v>
      </c>
      <c r="AE7744">
        <v>-1.6424099999999999</v>
      </c>
      <c r="AF7744">
        <v>2.1194869976330102</v>
      </c>
      <c r="AG7744">
        <v>-1.1715359999999999</v>
      </c>
      <c r="AH7744">
        <v>22.9216158702888</v>
      </c>
      <c r="AI7744">
        <v>92.913464709541401</v>
      </c>
      <c r="AJ7744">
        <v>84.717068645388593</v>
      </c>
      <c r="AK7744">
        <v>23.049190784873701</v>
      </c>
      <c r="AL7744">
        <v>91.313850033768205</v>
      </c>
      <c r="AM7744">
        <v>88.927560914749193</v>
      </c>
      <c r="AN7744">
        <v>1.00000002705554</v>
      </c>
    </row>
    <row r="7745" spans="1:40" x14ac:dyDescent="0.25">
      <c r="A7745" t="str">
        <f>"20190303153957801"</f>
        <v>20190303153957801</v>
      </c>
      <c r="B7745" t="str">
        <f>"1551598797795730"</f>
        <v>1551598797795730</v>
      </c>
      <c r="C7745" t="s">
        <v>40</v>
      </c>
      <c r="D7745">
        <v>4.5917250000000003</v>
      </c>
      <c r="E7745">
        <v>0.52763819999999995</v>
      </c>
      <c r="F7745" t="s">
        <v>43</v>
      </c>
      <c r="G7745">
        <v>-298.77890000000002</v>
      </c>
      <c r="H7745">
        <v>-0.05</v>
      </c>
      <c r="I7745">
        <v>16.192399999999999</v>
      </c>
      <c r="J7745">
        <v>-321.14089999999999</v>
      </c>
      <c r="K7745">
        <v>1.121418</v>
      </c>
      <c r="L7745">
        <v>17.806729999999899</v>
      </c>
      <c r="M7745">
        <v>0.99968829999999997</v>
      </c>
      <c r="N7745">
        <v>-1.3248660000000001E-2</v>
      </c>
      <c r="O7745">
        <v>2.116608E-2</v>
      </c>
      <c r="P7745">
        <v>0.99934140000000005</v>
      </c>
      <c r="Q7745">
        <v>-3.6228839999999998E-2</v>
      </c>
      <c r="R7745">
        <v>2.1530579999999998E-3</v>
      </c>
      <c r="S7745">
        <v>2.9968569999999999</v>
      </c>
      <c r="T7745">
        <v>-0.15614400000000001</v>
      </c>
      <c r="U7745">
        <v>-0.21478269999999999</v>
      </c>
      <c r="V7745">
        <v>1.9011489999999999E-2</v>
      </c>
      <c r="W7745">
        <v>-2.2979610000000001E-2</v>
      </c>
      <c r="X7745">
        <v>0.99955519999999998</v>
      </c>
      <c r="Y7745">
        <v>9.2411209999999994E-2</v>
      </c>
      <c r="Z7745">
        <v>-3.8371189999999999E-3</v>
      </c>
      <c r="AA7745">
        <v>0.99571350000000003</v>
      </c>
      <c r="AB7745">
        <v>22</v>
      </c>
      <c r="AC7745">
        <v>22.361999999999899</v>
      </c>
      <c r="AD7745">
        <v>-1.1714180000000001</v>
      </c>
      <c r="AE7745">
        <v>-1.6143299999999901</v>
      </c>
      <c r="AF7745">
        <v>2.0816430011942701</v>
      </c>
      <c r="AG7745">
        <v>-1.1714180000000001</v>
      </c>
      <c r="AH7745">
        <v>22.262044487532101</v>
      </c>
      <c r="AI7745">
        <v>92.999039849341102</v>
      </c>
      <c r="AJ7745">
        <v>84.6580125409467</v>
      </c>
      <c r="AK7745">
        <v>22.389820956854599</v>
      </c>
      <c r="AL7745">
        <v>91.316750509038499</v>
      </c>
      <c r="AM7745">
        <v>88.910368516033003</v>
      </c>
      <c r="AN7745">
        <v>1.0000000485374001</v>
      </c>
    </row>
    <row r="7746" spans="1:40" x14ac:dyDescent="0.25">
      <c r="A7746" t="str">
        <f>"20190303153957813"</f>
        <v>20190303153957813</v>
      </c>
      <c r="B7746" t="str">
        <f>"1551598797806465"</f>
        <v>1551598797806465</v>
      </c>
      <c r="C7746" t="s">
        <v>40</v>
      </c>
      <c r="D7746">
        <v>4.5911540000000004</v>
      </c>
      <c r="E7746">
        <v>0.52774239999999994</v>
      </c>
      <c r="F7746" t="s">
        <v>43</v>
      </c>
      <c r="G7746">
        <v>-298.35629999999998</v>
      </c>
      <c r="H7746">
        <v>-0.05</v>
      </c>
      <c r="I7746">
        <v>16.175160000000002</v>
      </c>
      <c r="J7746">
        <v>-321.03160000000003</v>
      </c>
      <c r="K7746">
        <v>1.1213040000000001</v>
      </c>
      <c r="L7746">
        <v>17.809229999999999</v>
      </c>
      <c r="M7746">
        <v>0.99968900000000005</v>
      </c>
      <c r="N7746">
        <v>-1.2929609999999999E-2</v>
      </c>
      <c r="O7746">
        <v>2.1326990000000001E-2</v>
      </c>
      <c r="P7746">
        <v>0.99935700000000005</v>
      </c>
      <c r="Q7746">
        <v>-3.5793569999999997E-2</v>
      </c>
      <c r="R7746">
        <v>2.054831E-3</v>
      </c>
      <c r="S7746">
        <v>2.9968569999999999</v>
      </c>
      <c r="T7746">
        <v>-0.15407680000000001</v>
      </c>
      <c r="U7746">
        <v>-0.2145996</v>
      </c>
      <c r="V7746">
        <v>1.9270079999999998E-2</v>
      </c>
      <c r="W7746">
        <v>-2.2863769999999999E-2</v>
      </c>
      <c r="X7746">
        <v>0.99955280000000002</v>
      </c>
      <c r="Y7746">
        <v>9.2515340000000001E-2</v>
      </c>
      <c r="Z7746">
        <v>-3.7922780000000001E-3</v>
      </c>
      <c r="AA7746">
        <v>0.99570409999999998</v>
      </c>
      <c r="AB7746">
        <v>22</v>
      </c>
      <c r="AC7746">
        <v>22.6753</v>
      </c>
      <c r="AD7746">
        <v>-1.1713039999999999</v>
      </c>
      <c r="AE7746">
        <v>-1.6340699999999899</v>
      </c>
      <c r="AF7746">
        <v>2.1117289757166202</v>
      </c>
      <c r="AG7746">
        <v>-1.1713039999999999</v>
      </c>
      <c r="AH7746">
        <v>22.575362599447601</v>
      </c>
      <c r="AI7746">
        <v>92.957194430367196</v>
      </c>
      <c r="AJ7746">
        <v>84.656028106526705</v>
      </c>
      <c r="AK7746">
        <v>22.7041482734727</v>
      </c>
      <c r="AL7746">
        <v>91.310111758993202</v>
      </c>
      <c r="AM7746">
        <v>88.895548589576805</v>
      </c>
      <c r="AN7746">
        <v>0.99999994397482805</v>
      </c>
    </row>
    <row r="7747" spans="1:40" x14ac:dyDescent="0.25">
      <c r="A7747" t="str">
        <f>"20190303153957825"</f>
        <v>20190303153957825</v>
      </c>
      <c r="B7747" t="str">
        <f>"1551598797816226"</f>
        <v>1551598797816226</v>
      </c>
      <c r="C7747" t="s">
        <v>40</v>
      </c>
      <c r="D7747">
        <v>4.6053879999999996</v>
      </c>
      <c r="E7747">
        <v>0.52774219999999905</v>
      </c>
      <c r="F7747" t="s">
        <v>43</v>
      </c>
      <c r="G7747">
        <v>-298.11950000000002</v>
      </c>
      <c r="H7747">
        <v>-0.05</v>
      </c>
      <c r="I7747">
        <v>16.159929999999999</v>
      </c>
      <c r="J7747">
        <v>-320.8972</v>
      </c>
      <c r="K7747">
        <v>1.121132</v>
      </c>
      <c r="L7747">
        <v>17.81232</v>
      </c>
      <c r="M7747">
        <v>0.9996893</v>
      </c>
      <c r="N7747">
        <v>-1.2618310000000001E-2</v>
      </c>
      <c r="O7747">
        <v>2.150289E-2</v>
      </c>
      <c r="P7747">
        <v>0.99936959999999997</v>
      </c>
      <c r="Q7747">
        <v>-3.5452690000000002E-2</v>
      </c>
      <c r="R7747">
        <v>1.9200059999999999E-3</v>
      </c>
      <c r="S7747">
        <v>2.9968870000000001</v>
      </c>
      <c r="T7747">
        <v>-0.1532056</v>
      </c>
      <c r="U7747">
        <v>-0.2157288</v>
      </c>
      <c r="V7747">
        <v>1.9579539999999999E-2</v>
      </c>
      <c r="W7747">
        <v>-2.2835000000000001E-2</v>
      </c>
      <c r="X7747">
        <v>0.99954750000000003</v>
      </c>
      <c r="Y7747">
        <v>9.3064190000000005E-2</v>
      </c>
      <c r="Z7747">
        <v>-3.7890459999999999E-3</v>
      </c>
      <c r="AA7747">
        <v>0.99565289999999995</v>
      </c>
      <c r="AB7747">
        <v>22</v>
      </c>
      <c r="AC7747">
        <v>22.7776999999999</v>
      </c>
      <c r="AD7747">
        <v>-1.1711320000000001</v>
      </c>
      <c r="AE7747">
        <v>-1.65239</v>
      </c>
      <c r="AF7747">
        <v>2.1362155005424102</v>
      </c>
      <c r="AG7747">
        <v>-1.1711320000000001</v>
      </c>
      <c r="AH7747">
        <v>22.677263407425201</v>
      </c>
      <c r="AI7747">
        <v>92.943317797678404</v>
      </c>
      <c r="AJ7747">
        <v>84.618574267697397</v>
      </c>
      <c r="AK7747">
        <v>22.8077452299855</v>
      </c>
      <c r="AL7747">
        <v>91.3084628552852</v>
      </c>
      <c r="AM7747">
        <v>88.877810652986696</v>
      </c>
      <c r="AN7747">
        <v>1.00000000018393</v>
      </c>
    </row>
    <row r="7748" spans="1:40" x14ac:dyDescent="0.25">
      <c r="A7748" t="str">
        <f>"20190303153957837"</f>
        <v>20190303153957837</v>
      </c>
      <c r="B7748" t="str">
        <f>"1551598797825986"</f>
        <v>1551598797825986</v>
      </c>
      <c r="C7748" t="s">
        <v>40</v>
      </c>
      <c r="D7748">
        <v>4.6198889999999997</v>
      </c>
      <c r="E7748">
        <v>0.52782059999999997</v>
      </c>
      <c r="F7748" t="s">
        <v>43</v>
      </c>
      <c r="G7748">
        <v>-297.46620000000001</v>
      </c>
      <c r="H7748">
        <v>-0.05</v>
      </c>
      <c r="I7748">
        <v>16.122620000000001</v>
      </c>
      <c r="J7748">
        <v>-320.7903</v>
      </c>
      <c r="K7748">
        <v>1.1209899999999999</v>
      </c>
      <c r="L7748">
        <v>17.814729999999901</v>
      </c>
      <c r="M7748">
        <v>0.99968670000000004</v>
      </c>
      <c r="N7748">
        <v>-1.2623809999999999E-2</v>
      </c>
      <c r="O7748">
        <v>2.1620589999999999E-2</v>
      </c>
      <c r="P7748">
        <v>0.99935379999999996</v>
      </c>
      <c r="Q7748">
        <v>-3.5909740000000002E-2</v>
      </c>
      <c r="R7748">
        <v>1.67062E-3</v>
      </c>
      <c r="S7748">
        <v>2.9970089999999998</v>
      </c>
      <c r="T7748">
        <v>-0.14979679999999901</v>
      </c>
      <c r="U7748">
        <v>-0.2161255</v>
      </c>
      <c r="V7748">
        <v>1.9944980000000001E-2</v>
      </c>
      <c r="W7748">
        <v>-2.3287769999999999E-2</v>
      </c>
      <c r="X7748">
        <v>0.99952980000000002</v>
      </c>
      <c r="Y7748">
        <v>9.3316060000000006E-2</v>
      </c>
      <c r="Z7748">
        <v>-3.724134E-3</v>
      </c>
      <c r="AA7748">
        <v>0.99562949999999995</v>
      </c>
      <c r="AB7748">
        <v>22</v>
      </c>
      <c r="AC7748">
        <v>23.324099999999898</v>
      </c>
      <c r="AD7748">
        <v>-1.17099</v>
      </c>
      <c r="AE7748">
        <v>-1.69210999999999</v>
      </c>
      <c r="AF7748">
        <v>2.19054283295538</v>
      </c>
      <c r="AG7748">
        <v>-1.17099</v>
      </c>
      <c r="AH7748">
        <v>23.223829228513999</v>
      </c>
      <c r="AI7748">
        <v>92.873784551396398</v>
      </c>
      <c r="AJ7748">
        <v>84.6116283623046</v>
      </c>
      <c r="AK7748">
        <v>23.356282656242499</v>
      </c>
      <c r="AL7748">
        <v>91.334411604547299</v>
      </c>
      <c r="AM7748">
        <v>88.856850952465606</v>
      </c>
      <c r="AN7748">
        <v>0.99999997177340605</v>
      </c>
    </row>
    <row r="7749" spans="1:40" x14ac:dyDescent="0.25">
      <c r="A7749" t="str">
        <f>"20190303153957848"</f>
        <v>20190303153957848</v>
      </c>
      <c r="B7749" t="str">
        <f>"1551598797846481"</f>
        <v>1551598797846481</v>
      </c>
      <c r="C7749" t="s">
        <v>40</v>
      </c>
      <c r="D7749">
        <v>4.5860479999999999</v>
      </c>
      <c r="E7749">
        <v>0.52801290000000001</v>
      </c>
      <c r="F7749" t="s">
        <v>43</v>
      </c>
      <c r="G7749">
        <v>-297.56529999999998</v>
      </c>
      <c r="H7749">
        <v>-0.05</v>
      </c>
      <c r="I7749">
        <v>16.129179999999899</v>
      </c>
      <c r="J7749">
        <v>-320.67790000000002</v>
      </c>
      <c r="K7749">
        <v>1.1208389999999999</v>
      </c>
      <c r="L7749">
        <v>17.817319999999999</v>
      </c>
      <c r="M7749">
        <v>0.99968279999999998</v>
      </c>
      <c r="N7749">
        <v>-1.2732479999999999E-2</v>
      </c>
      <c r="O7749">
        <v>2.1735560000000001E-2</v>
      </c>
      <c r="P7749">
        <v>0.99932240000000006</v>
      </c>
      <c r="Q7749">
        <v>-3.6801109999999998E-2</v>
      </c>
      <c r="R7749">
        <v>8.8236289999999904E-4</v>
      </c>
      <c r="S7749">
        <v>2.9968870000000001</v>
      </c>
      <c r="T7749">
        <v>-0.15110090000000001</v>
      </c>
      <c r="U7749">
        <v>-0.21749879999999999</v>
      </c>
      <c r="V7749">
        <v>2.0845949999999999E-2</v>
      </c>
      <c r="W7749">
        <v>-2.4072110000000001E-2</v>
      </c>
      <c r="X7749">
        <v>0.99949290000000002</v>
      </c>
      <c r="Y7749">
        <v>9.388357E-2</v>
      </c>
      <c r="Z7749">
        <v>-3.77882E-3</v>
      </c>
      <c r="AA7749">
        <v>0.99557600000000002</v>
      </c>
      <c r="AB7749">
        <v>22</v>
      </c>
      <c r="AC7749">
        <v>23.1126</v>
      </c>
      <c r="AD7749">
        <v>-1.170839</v>
      </c>
      <c r="AE7749">
        <v>-1.68814</v>
      </c>
      <c r="AF7749">
        <v>2.1845707099608398</v>
      </c>
      <c r="AG7749">
        <v>-1.170839</v>
      </c>
      <c r="AH7749">
        <v>23.0117031218935</v>
      </c>
      <c r="AI7749">
        <v>92.899691650092606</v>
      </c>
      <c r="AJ7749">
        <v>84.576990286062795</v>
      </c>
      <c r="AK7749">
        <v>23.144798416078402</v>
      </c>
      <c r="AL7749">
        <v>91.379363491379493</v>
      </c>
      <c r="AM7749">
        <v>88.805182291517795</v>
      </c>
      <c r="AN7749">
        <v>1.0000000386308301</v>
      </c>
    </row>
    <row r="7750" spans="1:40" x14ac:dyDescent="0.25">
      <c r="A7750" t="str">
        <f>"20190303153957860"</f>
        <v>20190303153957860</v>
      </c>
      <c r="B7750" t="str">
        <f>"1551598797846481"</f>
        <v>1551598797846481</v>
      </c>
      <c r="C7750" t="s">
        <v>40</v>
      </c>
      <c r="D7750">
        <v>4.5860479999999999</v>
      </c>
      <c r="E7750">
        <v>0.52801290000000001</v>
      </c>
      <c r="F7750" t="s">
        <v>43</v>
      </c>
      <c r="G7750">
        <v>-297.65640000000002</v>
      </c>
      <c r="H7750">
        <v>-0.05</v>
      </c>
      <c r="I7750">
        <v>16.116389999999999</v>
      </c>
      <c r="J7750">
        <v>-320.57400000000001</v>
      </c>
      <c r="K7750">
        <v>1.120633</v>
      </c>
      <c r="L7750">
        <v>17.819669999999999</v>
      </c>
      <c r="M7750">
        <v>0.99967700000000004</v>
      </c>
      <c r="N7750">
        <v>-1.3057569999999999E-2</v>
      </c>
      <c r="O7750">
        <v>2.1807549999999998E-2</v>
      </c>
      <c r="P7750">
        <v>0.99929199999999996</v>
      </c>
      <c r="Q7750">
        <v>-3.7625230000000003E-2</v>
      </c>
      <c r="R7750">
        <v>3.7364080000000001E-4</v>
      </c>
      <c r="S7750">
        <v>2.9966430000000002</v>
      </c>
      <c r="T7750">
        <v>-0.15240499999999901</v>
      </c>
      <c r="U7750">
        <v>-0.22140499999999999</v>
      </c>
      <c r="V7750">
        <v>2.142463E-2</v>
      </c>
      <c r="W7750">
        <v>-2.4573009999999999E-2</v>
      </c>
      <c r="X7750">
        <v>0.99946840000000003</v>
      </c>
      <c r="Y7750">
        <v>9.5246529999999996E-2</v>
      </c>
      <c r="Z7750">
        <v>-3.863254E-3</v>
      </c>
      <c r="AA7750">
        <v>0.99544619999999995</v>
      </c>
      <c r="AB7750">
        <v>22</v>
      </c>
      <c r="AC7750">
        <v>22.9176</v>
      </c>
      <c r="AD7750">
        <v>-1.170633</v>
      </c>
      <c r="AE7750">
        <v>-1.7032799999999999</v>
      </c>
      <c r="AF7750">
        <v>2.1969932944136601</v>
      </c>
      <c r="AG7750">
        <v>-1.170633</v>
      </c>
      <c r="AH7750">
        <v>22.8157980514355</v>
      </c>
      <c r="AI7750">
        <v>92.923656811472</v>
      </c>
      <c r="AJ7750">
        <v>84.499796428048398</v>
      </c>
      <c r="AK7750">
        <v>22.9512048023688</v>
      </c>
      <c r="AL7750">
        <v>91.408071542973403</v>
      </c>
      <c r="AM7750">
        <v>88.771994283358595</v>
      </c>
      <c r="AN7750">
        <v>0.99999996509482703</v>
      </c>
    </row>
    <row r="7751" spans="1:40" x14ac:dyDescent="0.25">
      <c r="A7751" t="str">
        <f>"20190303153957871"</f>
        <v>20190303153957871</v>
      </c>
      <c r="B7751" t="str">
        <f>"1551598797866002"</f>
        <v>1551598797866002</v>
      </c>
      <c r="C7751" t="s">
        <v>40</v>
      </c>
      <c r="D7751">
        <v>4.6358810000000004</v>
      </c>
      <c r="E7751">
        <v>0.52768729999999997</v>
      </c>
      <c r="F7751" t="s">
        <v>43</v>
      </c>
      <c r="G7751">
        <v>-297.92899999999997</v>
      </c>
      <c r="H7751">
        <v>-0.05</v>
      </c>
      <c r="I7751">
        <v>16.135359999999999</v>
      </c>
      <c r="J7751">
        <v>-320.45650000000001</v>
      </c>
      <c r="K7751">
        <v>1.120374</v>
      </c>
      <c r="L7751">
        <v>17.822299999999998</v>
      </c>
      <c r="M7751">
        <v>0.99966999999999995</v>
      </c>
      <c r="N7751">
        <v>-1.345766E-2</v>
      </c>
      <c r="O7751">
        <v>2.187979E-2</v>
      </c>
      <c r="P7751">
        <v>0.99924659999999998</v>
      </c>
      <c r="Q7751">
        <v>-3.880803E-2</v>
      </c>
      <c r="R7751">
        <v>-5.9594390000000002E-4</v>
      </c>
      <c r="S7751">
        <v>2.9963989999999998</v>
      </c>
      <c r="T7751">
        <v>-0.15489829999999999</v>
      </c>
      <c r="U7751">
        <v>-0.22286990000000001</v>
      </c>
      <c r="V7751">
        <v>2.2463460000000001E-2</v>
      </c>
      <c r="W7751">
        <v>-2.5358149999999999E-2</v>
      </c>
      <c r="X7751">
        <v>0.99942600000000004</v>
      </c>
      <c r="Y7751">
        <v>9.5801590000000006E-2</v>
      </c>
      <c r="Z7751">
        <v>-3.9523070000000004E-3</v>
      </c>
      <c r="AA7751">
        <v>0.99539259999999996</v>
      </c>
      <c r="AB7751">
        <v>22</v>
      </c>
      <c r="AC7751">
        <v>22.5274999999999</v>
      </c>
      <c r="AD7751">
        <v>-1.170374</v>
      </c>
      <c r="AE7751">
        <v>-1.6869399999999899</v>
      </c>
      <c r="AF7751">
        <v>2.1736434871717898</v>
      </c>
      <c r="AG7751">
        <v>-1.170374</v>
      </c>
      <c r="AH7751">
        <v>22.4250024884422</v>
      </c>
      <c r="AI7751">
        <v>92.973678150153006</v>
      </c>
      <c r="AJ7751">
        <v>84.463646141521707</v>
      </c>
      <c r="AK7751">
        <v>22.560479558640601</v>
      </c>
      <c r="AL7751">
        <v>91.453070749193401</v>
      </c>
      <c r="AM7751">
        <v>88.712416145430296</v>
      </c>
      <c r="AN7751">
        <v>0.99999998614129704</v>
      </c>
    </row>
    <row r="7752" spans="1:40" x14ac:dyDescent="0.25">
      <c r="A7752" t="str">
        <f>"20190303153957882"</f>
        <v>20190303153957882</v>
      </c>
      <c r="B7752" t="str">
        <f>"1551598797875761"</f>
        <v>1551598797875761</v>
      </c>
      <c r="C7752" t="s">
        <v>40</v>
      </c>
      <c r="D7752">
        <v>4.6043810000000001</v>
      </c>
      <c r="E7752">
        <v>0.52776009999999995</v>
      </c>
      <c r="F7752" t="s">
        <v>43</v>
      </c>
      <c r="G7752">
        <v>-297.95319999999998</v>
      </c>
      <c r="H7752">
        <v>-0.05</v>
      </c>
      <c r="I7752">
        <v>16.14601</v>
      </c>
      <c r="J7752">
        <v>-320.34609999999998</v>
      </c>
      <c r="K7752">
        <v>1.1200110000000001</v>
      </c>
      <c r="L7752">
        <v>17.8248</v>
      </c>
      <c r="M7752">
        <v>0.99966310000000003</v>
      </c>
      <c r="N7752">
        <v>-1.390504E-2</v>
      </c>
      <c r="O7752">
        <v>2.1915009999999999E-2</v>
      </c>
      <c r="P7752">
        <v>0.99920359999999997</v>
      </c>
      <c r="Q7752">
        <v>-3.9880980000000003E-2</v>
      </c>
      <c r="R7752">
        <v>-1.3163770000000001E-3</v>
      </c>
      <c r="S7752">
        <v>2.9960330000000002</v>
      </c>
      <c r="T7752">
        <v>-0.15581999999999999</v>
      </c>
      <c r="U7752">
        <v>-0.22317500000000001</v>
      </c>
      <c r="V7752">
        <v>2.3216440000000001E-2</v>
      </c>
      <c r="W7752">
        <v>-2.5986160000000001E-2</v>
      </c>
      <c r="X7752">
        <v>0.99939270000000002</v>
      </c>
      <c r="Y7752">
        <v>9.5943609999999999E-2</v>
      </c>
      <c r="Z7752">
        <v>-3.9918669999999996E-3</v>
      </c>
      <c r="AA7752">
        <v>0.99537880000000001</v>
      </c>
      <c r="AB7752">
        <v>22</v>
      </c>
      <c r="AC7752">
        <v>22.392900000000001</v>
      </c>
      <c r="AD7752">
        <v>-1.1700109999999999</v>
      </c>
      <c r="AE7752">
        <v>-1.67878999999999</v>
      </c>
      <c r="AF7752">
        <v>2.16330207259062</v>
      </c>
      <c r="AG7752">
        <v>-1.1700109999999999</v>
      </c>
      <c r="AH7752">
        <v>22.290215061112502</v>
      </c>
      <c r="AI7752">
        <v>92.990665977981095</v>
      </c>
      <c r="AJ7752">
        <v>84.456710881214605</v>
      </c>
      <c r="AK7752">
        <v>22.4254874878572</v>
      </c>
      <c r="AL7752">
        <v>91.489064876216602</v>
      </c>
      <c r="AM7752">
        <v>88.6692270020297</v>
      </c>
      <c r="AN7752">
        <v>1.00000002620555</v>
      </c>
    </row>
    <row r="7753" spans="1:40" x14ac:dyDescent="0.25">
      <c r="A7753" t="str">
        <f>"20190303153957893"</f>
        <v>20190303153957893</v>
      </c>
      <c r="B7753" t="str">
        <f>"1551598797886497"</f>
        <v>1551598797886497</v>
      </c>
      <c r="C7753" t="s">
        <v>40</v>
      </c>
      <c r="D7753">
        <v>4.5971289999999998</v>
      </c>
      <c r="E7753">
        <v>0.52786619999999995</v>
      </c>
      <c r="F7753" t="s">
        <v>43</v>
      </c>
      <c r="G7753">
        <v>-298.2824</v>
      </c>
      <c r="H7753">
        <v>-0.05</v>
      </c>
      <c r="I7753">
        <v>16.161100000000001</v>
      </c>
      <c r="J7753">
        <v>-320.24520000000001</v>
      </c>
      <c r="K7753">
        <v>1.1196410000000001</v>
      </c>
      <c r="L7753">
        <v>17.827059999999999</v>
      </c>
      <c r="M7753">
        <v>0.99965649999999995</v>
      </c>
      <c r="N7753">
        <v>-1.434853E-2</v>
      </c>
      <c r="O7753">
        <v>2.1937080000000001E-2</v>
      </c>
      <c r="P7753">
        <v>0.99917820000000002</v>
      </c>
      <c r="Q7753">
        <v>-4.0478930000000003E-2</v>
      </c>
      <c r="R7753">
        <v>-2.135685E-3</v>
      </c>
      <c r="S7753">
        <v>2.9957579999999999</v>
      </c>
      <c r="T7753">
        <v>-0.15886159999999999</v>
      </c>
      <c r="U7753">
        <v>-0.22589110000000001</v>
      </c>
      <c r="V7753">
        <v>2.4055690000000001E-2</v>
      </c>
      <c r="W7753">
        <v>-2.6142809999999999E-2</v>
      </c>
      <c r="X7753">
        <v>0.9993687</v>
      </c>
      <c r="Y7753">
        <v>9.6860829999999995E-2</v>
      </c>
      <c r="Z7753">
        <v>-4.1061989999999996E-3</v>
      </c>
      <c r="AA7753">
        <v>0.99528939999999999</v>
      </c>
      <c r="AB7753">
        <v>22</v>
      </c>
      <c r="AC7753">
        <v>21.962800000000001</v>
      </c>
      <c r="AD7753">
        <v>-1.1696409999999999</v>
      </c>
      <c r="AE7753">
        <v>-1.6659599999999899</v>
      </c>
      <c r="AF7753">
        <v>2.1413697489342698</v>
      </c>
      <c r="AG7753">
        <v>-1.1696409999999999</v>
      </c>
      <c r="AH7753">
        <v>21.859321859427201</v>
      </c>
      <c r="AI7753">
        <v>93.048278187057406</v>
      </c>
      <c r="AJ7753">
        <v>84.405076822331694</v>
      </c>
      <c r="AK7753">
        <v>21.9950784637055</v>
      </c>
      <c r="AL7753">
        <v>91.498043408397606</v>
      </c>
      <c r="AM7753">
        <v>88.621106098617602</v>
      </c>
      <c r="AN7753">
        <v>0.99999996063787999</v>
      </c>
    </row>
    <row r="7754" spans="1:40" x14ac:dyDescent="0.25">
      <c r="A7754" t="str">
        <f>"20190303153957904"</f>
        <v>20190303153957904</v>
      </c>
      <c r="B7754" t="str">
        <f>"1551598797896257"</f>
        <v>1551598797896257</v>
      </c>
      <c r="C7754" t="s">
        <v>40</v>
      </c>
      <c r="D7754">
        <v>4.6675449999999996</v>
      </c>
      <c r="E7754">
        <v>0.52775309999999998</v>
      </c>
      <c r="F7754" t="s">
        <v>43</v>
      </c>
      <c r="G7754">
        <v>-298.43630000000002</v>
      </c>
      <c r="H7754">
        <v>-0.05</v>
      </c>
      <c r="I7754">
        <v>16.157779999999999</v>
      </c>
      <c r="J7754">
        <v>-320.13749999999999</v>
      </c>
      <c r="K7754">
        <v>1.119165</v>
      </c>
      <c r="L7754">
        <v>17.829439999999899</v>
      </c>
      <c r="M7754">
        <v>0.99964839999999999</v>
      </c>
      <c r="N7754">
        <v>-1.489204E-2</v>
      </c>
      <c r="O7754">
        <v>2.1940749999999998E-2</v>
      </c>
      <c r="P7754">
        <v>0.9991601</v>
      </c>
      <c r="Q7754">
        <v>-4.0912919999999998E-2</v>
      </c>
      <c r="R7754">
        <v>-2.369608E-3</v>
      </c>
      <c r="S7754">
        <v>2.9954830000000001</v>
      </c>
      <c r="T7754">
        <v>-0.16065170000000001</v>
      </c>
      <c r="U7754">
        <v>-0.2292786</v>
      </c>
      <c r="V7754">
        <v>2.429154E-2</v>
      </c>
      <c r="W7754">
        <v>-2.6035300000000001E-2</v>
      </c>
      <c r="X7754">
        <v>0.99936590000000003</v>
      </c>
      <c r="Y7754">
        <v>9.7983459999999994E-2</v>
      </c>
      <c r="Z7754">
        <v>-4.2013980000000003E-3</v>
      </c>
      <c r="AA7754">
        <v>0.99517920000000004</v>
      </c>
      <c r="AB7754">
        <v>22</v>
      </c>
      <c r="AC7754">
        <v>21.701199999999901</v>
      </c>
      <c r="AD7754">
        <v>-1.169165</v>
      </c>
      <c r="AE7754">
        <v>-1.6716599999999899</v>
      </c>
      <c r="AF7754">
        <v>2.1412723336317199</v>
      </c>
      <c r="AG7754">
        <v>-1.169165</v>
      </c>
      <c r="AH7754">
        <v>21.596976066943601</v>
      </c>
      <c r="AI7754">
        <v>93.083626264835701</v>
      </c>
      <c r="AJ7754">
        <v>84.337808363204203</v>
      </c>
      <c r="AK7754">
        <v>21.734336181262499</v>
      </c>
      <c r="AL7754">
        <v>91.491881294840994</v>
      </c>
      <c r="AM7754">
        <v>88.607588360100806</v>
      </c>
      <c r="AN7754">
        <v>1.00000005892223</v>
      </c>
    </row>
    <row r="7755" spans="1:40" x14ac:dyDescent="0.25">
      <c r="A7755" t="str">
        <f>"20190303153957914"</f>
        <v>20190303153957914</v>
      </c>
      <c r="B7755" t="str">
        <f>"1551598797906017"</f>
        <v>1551598797906017</v>
      </c>
      <c r="C7755" t="s">
        <v>40</v>
      </c>
      <c r="D7755">
        <v>4.5843089999999904</v>
      </c>
      <c r="E7755">
        <v>0.52779699999999996</v>
      </c>
      <c r="F7755" t="s">
        <v>43</v>
      </c>
      <c r="G7755">
        <v>-298.6936</v>
      </c>
      <c r="H7755">
        <v>-0.05</v>
      </c>
      <c r="I7755">
        <v>16.18929</v>
      </c>
      <c r="J7755">
        <v>-320.036</v>
      </c>
      <c r="K7755">
        <v>1.1186700000000001</v>
      </c>
      <c r="L7755">
        <v>17.831669999999999</v>
      </c>
      <c r="M7755">
        <v>0.99963930000000001</v>
      </c>
      <c r="N7755">
        <v>-1.549743E-2</v>
      </c>
      <c r="O7755">
        <v>2.1930959999999999E-2</v>
      </c>
      <c r="P7755">
        <v>0.99912350000000005</v>
      </c>
      <c r="Q7755">
        <v>-4.1782390000000003E-2</v>
      </c>
      <c r="R7755">
        <v>-2.5870820000000001E-3</v>
      </c>
      <c r="S7755">
        <v>2.9952700000000001</v>
      </c>
      <c r="T7755">
        <v>-0.16330810000000001</v>
      </c>
      <c r="U7755">
        <v>-0.22909550000000001</v>
      </c>
      <c r="V7755">
        <v>2.4497089999999999E-2</v>
      </c>
      <c r="W7755">
        <v>-2.630151E-2</v>
      </c>
      <c r="X7755">
        <v>0.99935379999999996</v>
      </c>
      <c r="Y7755">
        <v>9.7911799999999993E-2</v>
      </c>
      <c r="Z7755">
        <v>-4.2779799999999998E-3</v>
      </c>
      <c r="AA7755">
        <v>0.99518589999999996</v>
      </c>
      <c r="AB7755">
        <v>22</v>
      </c>
      <c r="AC7755">
        <v>21.342400000000001</v>
      </c>
      <c r="AD7755">
        <v>-1.1686700000000001</v>
      </c>
      <c r="AE7755">
        <v>-1.64238</v>
      </c>
      <c r="AF7755">
        <v>2.10382936389479</v>
      </c>
      <c r="AG7755">
        <v>-1.1686700000000001</v>
      </c>
      <c r="AH7755">
        <v>21.237936288045098</v>
      </c>
      <c r="AI7755">
        <v>93.134355361375498</v>
      </c>
      <c r="AJ7755">
        <v>84.342738211129003</v>
      </c>
      <c r="AK7755">
        <v>21.373858456917699</v>
      </c>
      <c r="AL7755">
        <v>91.507139396954798</v>
      </c>
      <c r="AM7755">
        <v>88.595793762709704</v>
      </c>
      <c r="AN7755">
        <v>0.99999994721059204</v>
      </c>
    </row>
    <row r="7756" spans="1:40" x14ac:dyDescent="0.25">
      <c r="A7756" t="str">
        <f>"20190303153957924"</f>
        <v>20190303153957924</v>
      </c>
      <c r="B7756" t="str">
        <f>"1551598797915778"</f>
        <v>1551598797915778</v>
      </c>
      <c r="C7756" t="s">
        <v>40</v>
      </c>
      <c r="D7756">
        <v>4.6830280000000002</v>
      </c>
      <c r="E7756">
        <v>0.52819240000000001</v>
      </c>
      <c r="F7756" t="s">
        <v>43</v>
      </c>
      <c r="G7756">
        <v>-298.64139999999998</v>
      </c>
      <c r="H7756">
        <v>-0.05</v>
      </c>
      <c r="I7756">
        <v>16.18806</v>
      </c>
      <c r="J7756">
        <v>-319.93729999999999</v>
      </c>
      <c r="K7756">
        <v>1.11815</v>
      </c>
      <c r="L7756">
        <v>17.833829999999999</v>
      </c>
      <c r="M7756">
        <v>0.99962899999999999</v>
      </c>
      <c r="N7756">
        <v>-1.6186059999999999E-2</v>
      </c>
      <c r="O7756">
        <v>2.1907599999999999E-2</v>
      </c>
      <c r="P7756">
        <v>0.99908200000000003</v>
      </c>
      <c r="Q7756">
        <v>-4.275168E-2</v>
      </c>
      <c r="R7756">
        <v>-2.7967000000000001E-3</v>
      </c>
      <c r="S7756">
        <v>2.9952390000000002</v>
      </c>
      <c r="T7756">
        <v>-0.1636137</v>
      </c>
      <c r="U7756">
        <v>-0.23010249999999999</v>
      </c>
      <c r="V7756">
        <v>2.4681359999999999E-2</v>
      </c>
      <c r="W7756">
        <v>-2.6584340000000001E-2</v>
      </c>
      <c r="X7756">
        <v>0.99934179999999995</v>
      </c>
      <c r="Y7756">
        <v>9.821966E-2</v>
      </c>
      <c r="Z7756">
        <v>-4.3139160000000001E-3</v>
      </c>
      <c r="AA7756">
        <v>0.99515540000000002</v>
      </c>
      <c r="AB7756">
        <v>22</v>
      </c>
      <c r="AC7756">
        <v>21.2959</v>
      </c>
      <c r="AD7756">
        <v>-1.16815</v>
      </c>
      <c r="AE7756">
        <v>-1.64576999999999</v>
      </c>
      <c r="AF7756">
        <v>2.1056799514752198</v>
      </c>
      <c r="AG7756">
        <v>-1.16815</v>
      </c>
      <c r="AH7756">
        <v>21.191344331001002</v>
      </c>
      <c r="AI7756">
        <v>93.139744039647297</v>
      </c>
      <c r="AJ7756">
        <v>84.325426303162502</v>
      </c>
      <c r="AK7756">
        <v>21.327717576796498</v>
      </c>
      <c r="AL7756">
        <v>91.523350004619303</v>
      </c>
      <c r="AM7756">
        <v>88.585218453214793</v>
      </c>
      <c r="AN7756">
        <v>0.99999996494596199</v>
      </c>
    </row>
    <row r="7757" spans="1:40" x14ac:dyDescent="0.25">
      <c r="A7757" t="str">
        <f>"20190303153957935"</f>
        <v>20190303153957935</v>
      </c>
      <c r="B7757" t="str">
        <f>"1551598797926514"</f>
        <v>1551598797926514</v>
      </c>
      <c r="C7757" t="s">
        <v>40</v>
      </c>
      <c r="D7757">
        <v>4.7253869999999996</v>
      </c>
      <c r="E7757">
        <v>0.52819240000000001</v>
      </c>
      <c r="F7757" t="s">
        <v>43</v>
      </c>
      <c r="G7757">
        <v>-298.89409999999998</v>
      </c>
      <c r="H7757">
        <v>-0.05</v>
      </c>
      <c r="I7757">
        <v>16.190290000000001</v>
      </c>
      <c r="J7757">
        <v>-319.84030000000001</v>
      </c>
      <c r="K7757">
        <v>1.11759599999999</v>
      </c>
      <c r="L7757">
        <v>17.835909999999998</v>
      </c>
      <c r="M7757">
        <v>0.99961770000000005</v>
      </c>
      <c r="N7757">
        <v>-1.6931499999999999E-2</v>
      </c>
      <c r="O7757">
        <v>2.1867480000000002E-2</v>
      </c>
      <c r="P7757">
        <v>0.99904820000000005</v>
      </c>
      <c r="Q7757">
        <v>-4.3536789999999999E-2</v>
      </c>
      <c r="R7757">
        <v>-2.7834869999999999E-3</v>
      </c>
      <c r="S7757">
        <v>2.9949650000000001</v>
      </c>
      <c r="T7757">
        <v>-0.1662565</v>
      </c>
      <c r="U7757">
        <v>-0.23391719999999999</v>
      </c>
      <c r="V7757">
        <v>2.4626269999999999E-2</v>
      </c>
      <c r="W7757">
        <v>-2.6626049999999998E-2</v>
      </c>
      <c r="X7757">
        <v>0.99934210000000001</v>
      </c>
      <c r="Y7757">
        <v>9.9436849999999993E-2</v>
      </c>
      <c r="Z7757">
        <v>-4.4395149999999998E-3</v>
      </c>
      <c r="AA7757">
        <v>0.99503399999999997</v>
      </c>
      <c r="AB7757">
        <v>22</v>
      </c>
      <c r="AC7757">
        <v>20.946200000000001</v>
      </c>
      <c r="AD7757">
        <v>-1.1675960000000001</v>
      </c>
      <c r="AE7757">
        <v>-1.6456200000000001</v>
      </c>
      <c r="AF7757">
        <v>2.0968570999582199</v>
      </c>
      <c r="AG7757">
        <v>-1.1675960000000001</v>
      </c>
      <c r="AH7757">
        <v>20.840838933232799</v>
      </c>
      <c r="AI7757">
        <v>93.190536321807002</v>
      </c>
      <c r="AJ7757">
        <v>84.254640472891793</v>
      </c>
      <c r="AK7757">
        <v>20.978576156589199</v>
      </c>
      <c r="AL7757">
        <v>91.525740579582703</v>
      </c>
      <c r="AM7757">
        <v>88.588375459096795</v>
      </c>
      <c r="AN7757">
        <v>1.00000001627256</v>
      </c>
    </row>
    <row r="7758" spans="1:40" x14ac:dyDescent="0.25">
      <c r="A7758" t="str">
        <f>"20190303153957947"</f>
        <v>20190303153957947</v>
      </c>
      <c r="B7758" t="str">
        <f>"1551598797936274"</f>
        <v>1551598797936274</v>
      </c>
      <c r="C7758" t="s">
        <v>40</v>
      </c>
      <c r="D7758">
        <v>4.7212249999999996</v>
      </c>
      <c r="E7758">
        <v>0.56033520000000003</v>
      </c>
      <c r="F7758" t="s">
        <v>43</v>
      </c>
      <c r="G7758">
        <v>-299.09230000000002</v>
      </c>
      <c r="H7758">
        <v>-0.05</v>
      </c>
      <c r="I7758">
        <v>16.215789999999998</v>
      </c>
      <c r="J7758">
        <v>-319.70699999999999</v>
      </c>
      <c r="K7758">
        <v>1.1167860000000001</v>
      </c>
      <c r="L7758">
        <v>17.83878</v>
      </c>
      <c r="M7758">
        <v>0.99959989999999999</v>
      </c>
      <c r="N7758">
        <v>-1.8046309999999999E-2</v>
      </c>
      <c r="O7758">
        <v>2.179004E-2</v>
      </c>
      <c r="P7758">
        <v>0.99898189999999998</v>
      </c>
      <c r="Q7758">
        <v>-4.5023470000000003E-2</v>
      </c>
      <c r="R7758">
        <v>-2.8675110000000001E-3</v>
      </c>
      <c r="S7758">
        <v>2.9948730000000001</v>
      </c>
      <c r="T7758">
        <v>-0.16853650000000001</v>
      </c>
      <c r="U7758">
        <v>-0.23385619999999999</v>
      </c>
      <c r="V7758">
        <v>2.4629939999999999E-2</v>
      </c>
      <c r="W7758">
        <v>-2.700118E-2</v>
      </c>
      <c r="X7758">
        <v>0.999332</v>
      </c>
      <c r="Y7758">
        <v>9.9334989999999998E-2</v>
      </c>
      <c r="Z7758">
        <v>-4.5184780000000003E-3</v>
      </c>
      <c r="AA7758">
        <v>0.99504380000000003</v>
      </c>
      <c r="AB7758">
        <v>22</v>
      </c>
      <c r="AC7758">
        <v>20.6146999999999</v>
      </c>
      <c r="AD7758">
        <v>-1.1667860000000001</v>
      </c>
      <c r="AE7758">
        <v>-1.6229899999999999</v>
      </c>
      <c r="AF7758">
        <v>2.0652972503691398</v>
      </c>
      <c r="AG7758">
        <v>-1.1667860000000001</v>
      </c>
      <c r="AH7758">
        <v>20.509136230568799</v>
      </c>
      <c r="AI7758">
        <v>93.239756179029598</v>
      </c>
      <c r="AJ7758">
        <v>84.249624361256494</v>
      </c>
      <c r="AK7758">
        <v>20.645859420867101</v>
      </c>
      <c r="AL7758">
        <v>91.547241589679203</v>
      </c>
      <c r="AM7758">
        <v>88.588150909582296</v>
      </c>
      <c r="AN7758">
        <v>1.00000007194489</v>
      </c>
    </row>
    <row r="7759" spans="1:40" x14ac:dyDescent="0.25">
      <c r="A7759" t="str">
        <f>"20190303153957961"</f>
        <v>20190303153957961</v>
      </c>
      <c r="B7759" t="str">
        <f>"1551598797955793"</f>
        <v>1551598797955793</v>
      </c>
      <c r="C7759" t="s">
        <v>40</v>
      </c>
      <c r="D7759">
        <v>4.6772629999999999</v>
      </c>
      <c r="E7759">
        <v>0.57615740000000004</v>
      </c>
      <c r="F7759" t="s">
        <v>43</v>
      </c>
      <c r="G7759">
        <v>-301.32209999999998</v>
      </c>
      <c r="H7759">
        <v>-0.05</v>
      </c>
      <c r="I7759">
        <v>14.823969999999999</v>
      </c>
      <c r="J7759">
        <v>-319.58390000000003</v>
      </c>
      <c r="K7759">
        <v>1.1159399999999999</v>
      </c>
      <c r="L7759">
        <v>17.841370000000001</v>
      </c>
      <c r="M7759">
        <v>0.99958309999999995</v>
      </c>
      <c r="N7759">
        <v>-1.9082979999999999E-2</v>
      </c>
      <c r="O7759">
        <v>2.166916E-2</v>
      </c>
      <c r="P7759">
        <v>0.9989249</v>
      </c>
      <c r="Q7759">
        <v>-4.625688E-2</v>
      </c>
      <c r="R7759">
        <v>-3.0615320000000001E-3</v>
      </c>
      <c r="S7759">
        <v>2.9931030000000001</v>
      </c>
      <c r="T7759">
        <v>-0.18995509999999999</v>
      </c>
      <c r="U7759">
        <v>-0.49081419999999998</v>
      </c>
      <c r="V7759">
        <v>2.4700079999999999E-2</v>
      </c>
      <c r="W7759">
        <v>-2.7201380000000001E-2</v>
      </c>
      <c r="X7759">
        <v>0.99932469999999995</v>
      </c>
      <c r="Y7759">
        <v>0.1826807</v>
      </c>
      <c r="Z7759">
        <v>-8.4646319999999997E-3</v>
      </c>
      <c r="AA7759">
        <v>0.98313589999999995</v>
      </c>
      <c r="AB7759">
        <v>22</v>
      </c>
      <c r="AC7759">
        <v>18.261800000000001</v>
      </c>
      <c r="AD7759">
        <v>-1.16594</v>
      </c>
      <c r="AE7759">
        <v>-3.0173999999999999</v>
      </c>
      <c r="AF7759">
        <v>3.3989940858178</v>
      </c>
      <c r="AG7759">
        <v>-1.16594</v>
      </c>
      <c r="AH7759">
        <v>18.120213745439699</v>
      </c>
      <c r="AI7759">
        <v>93.618664019837198</v>
      </c>
      <c r="AJ7759">
        <v>79.375903383508401</v>
      </c>
      <c r="AK7759">
        <v>18.473081038620599</v>
      </c>
      <c r="AL7759">
        <v>91.558716636082806</v>
      </c>
      <c r="AM7759">
        <v>88.584121606951996</v>
      </c>
      <c r="AN7759">
        <v>0.99999993252799801</v>
      </c>
    </row>
    <row r="7760" spans="1:40" x14ac:dyDescent="0.25">
      <c r="A7760" t="str">
        <f>"20190303153957976"</f>
        <v>20190303153957976</v>
      </c>
      <c r="B7760" t="str">
        <f>"1551598797966530"</f>
        <v>1551598797966530</v>
      </c>
      <c r="C7760" t="s">
        <v>40</v>
      </c>
      <c r="D7760">
        <v>4.6473019999999998</v>
      </c>
      <c r="E7760">
        <v>0.57976919999999899</v>
      </c>
      <c r="F7760" t="s">
        <v>43</v>
      </c>
      <c r="G7760">
        <v>-301.87479999999999</v>
      </c>
      <c r="H7760">
        <v>-0.05</v>
      </c>
      <c r="I7760">
        <v>14.18571</v>
      </c>
      <c r="J7760">
        <v>-319.4434</v>
      </c>
      <c r="K7760">
        <v>1.1149230000000001</v>
      </c>
      <c r="L7760">
        <v>17.8443</v>
      </c>
      <c r="M7760">
        <v>0.99956449999999997</v>
      </c>
      <c r="N7760">
        <v>-2.0217079999999998E-2</v>
      </c>
      <c r="O7760">
        <v>2.1495859999999999E-2</v>
      </c>
      <c r="P7760">
        <v>0.99887329999999996</v>
      </c>
      <c r="Q7760">
        <v>-4.7320679999999997E-2</v>
      </c>
      <c r="R7760">
        <v>-3.5419230000000002E-3</v>
      </c>
      <c r="S7760">
        <v>2.9922179999999998</v>
      </c>
      <c r="T7760">
        <v>-0.19700300000000001</v>
      </c>
      <c r="U7760">
        <v>-0.6176758</v>
      </c>
      <c r="V7760">
        <v>2.5003750000000002E-2</v>
      </c>
      <c r="W7760">
        <v>-2.713544E-2</v>
      </c>
      <c r="X7760">
        <v>0.99931899999999996</v>
      </c>
      <c r="Y7760">
        <v>0.2225433</v>
      </c>
      <c r="Z7760">
        <v>-1.048844E-2</v>
      </c>
      <c r="AA7760">
        <v>0.97486640000000002</v>
      </c>
      <c r="AB7760">
        <v>22</v>
      </c>
      <c r="AC7760">
        <v>17.5686</v>
      </c>
      <c r="AD7760">
        <v>-1.1649229999999999</v>
      </c>
      <c r="AE7760">
        <v>-3.6585899999999998</v>
      </c>
      <c r="AF7760">
        <v>4.0185399715776198</v>
      </c>
      <c r="AG7760">
        <v>-1.1649229999999999</v>
      </c>
      <c r="AH7760">
        <v>17.412503883620001</v>
      </c>
      <c r="AI7760">
        <v>93.729721957002496</v>
      </c>
      <c r="AJ7760">
        <v>77.004540183291496</v>
      </c>
      <c r="AK7760">
        <v>17.908126663506099</v>
      </c>
      <c r="AL7760">
        <v>91.554937064994107</v>
      </c>
      <c r="AM7760">
        <v>88.566713429466105</v>
      </c>
      <c r="AN7760">
        <v>0.99999999168952802</v>
      </c>
    </row>
    <row r="7761" spans="1:40" x14ac:dyDescent="0.25">
      <c r="A7761" t="str">
        <f>"20190303153957988"</f>
        <v>20190303153957988</v>
      </c>
      <c r="B7761" t="str">
        <f>"1551598797986050"</f>
        <v>1551598797986050</v>
      </c>
      <c r="C7761" t="s">
        <v>40</v>
      </c>
      <c r="D7761">
        <v>4.7027419999999998</v>
      </c>
      <c r="E7761">
        <v>0.58228740000000001</v>
      </c>
      <c r="F7761" t="s">
        <v>43</v>
      </c>
      <c r="G7761">
        <v>-301.68799999999999</v>
      </c>
      <c r="H7761">
        <v>-0.05</v>
      </c>
      <c r="I7761">
        <v>13.998900000000001</v>
      </c>
      <c r="J7761">
        <v>-319.31560000000002</v>
      </c>
      <c r="K7761">
        <v>1.1139399999999999</v>
      </c>
      <c r="L7761">
        <v>17.84686</v>
      </c>
      <c r="M7761">
        <v>0.99954860000000001</v>
      </c>
      <c r="N7761">
        <v>-2.1188780000000001E-2</v>
      </c>
      <c r="O7761">
        <v>2.1300329999999999E-2</v>
      </c>
      <c r="P7761">
        <v>0.99883940000000004</v>
      </c>
      <c r="Q7761">
        <v>-4.8004999999999999E-2</v>
      </c>
      <c r="R7761">
        <v>-3.9195059999999997E-3</v>
      </c>
      <c r="S7761">
        <v>2.9917910000000001</v>
      </c>
      <c r="T7761">
        <v>-0.19628979999999999</v>
      </c>
      <c r="U7761">
        <v>-0.647949199999999</v>
      </c>
      <c r="V7761">
        <v>2.5182469999999998E-2</v>
      </c>
      <c r="W7761">
        <v>-2.685216E-2</v>
      </c>
      <c r="X7761">
        <v>0.99932220000000005</v>
      </c>
      <c r="Y7761">
        <v>0.23178609999999999</v>
      </c>
      <c r="Z7761">
        <v>-1.093128E-2</v>
      </c>
      <c r="AA7761">
        <v>0.97270540000000005</v>
      </c>
      <c r="AB7761">
        <v>22</v>
      </c>
      <c r="AC7761">
        <v>17.627600000000001</v>
      </c>
      <c r="AD7761">
        <v>-1.16394</v>
      </c>
      <c r="AE7761">
        <v>-3.8479599999999898</v>
      </c>
      <c r="AF7761">
        <v>4.2051445525993598</v>
      </c>
      <c r="AG7761">
        <v>-1.16394</v>
      </c>
      <c r="AH7761">
        <v>17.468919399159802</v>
      </c>
      <c r="AI7761">
        <v>93.706370993546699</v>
      </c>
      <c r="AJ7761">
        <v>76.4651854356228</v>
      </c>
      <c r="AK7761">
        <v>18.005586411061401</v>
      </c>
      <c r="AL7761">
        <v>91.538700344871799</v>
      </c>
      <c r="AM7761">
        <v>88.556477626935802</v>
      </c>
      <c r="AN7761">
        <v>1.0000000273523999</v>
      </c>
    </row>
    <row r="7762" spans="1:40" x14ac:dyDescent="0.25">
      <c r="A7762" t="str">
        <f>"20190303153958002"</f>
        <v>20190303153958002</v>
      </c>
      <c r="B7762" t="str">
        <f>"1551598797995809"</f>
        <v>1551598797995809</v>
      </c>
      <c r="C7762" t="s">
        <v>40</v>
      </c>
      <c r="D7762">
        <v>4.6997589999999896</v>
      </c>
      <c r="E7762">
        <v>0.58375059999999901</v>
      </c>
      <c r="F7762" t="s">
        <v>43</v>
      </c>
      <c r="G7762">
        <v>-302.90789999999998</v>
      </c>
      <c r="H7762">
        <v>-0.05</v>
      </c>
      <c r="I7762">
        <v>14.17426</v>
      </c>
      <c r="J7762">
        <v>-319.18889999999999</v>
      </c>
      <c r="K7762">
        <v>1.1129309999999999</v>
      </c>
      <c r="L7762">
        <v>17.849329999999998</v>
      </c>
      <c r="M7762">
        <v>0.9995349</v>
      </c>
      <c r="N7762">
        <v>-2.206553E-2</v>
      </c>
      <c r="O7762">
        <v>2.1051719999999999E-2</v>
      </c>
      <c r="P7762">
        <v>0.99878500000000003</v>
      </c>
      <c r="Q7762">
        <v>-4.9062330000000001E-2</v>
      </c>
      <c r="R7762">
        <v>-4.6540679999999999E-3</v>
      </c>
      <c r="S7762">
        <v>2.990631</v>
      </c>
      <c r="T7762">
        <v>-0.21215129999999999</v>
      </c>
      <c r="U7762">
        <v>-0.66940310000000003</v>
      </c>
      <c r="V7762">
        <v>2.56639E-2</v>
      </c>
      <c r="W7762">
        <v>-2.7038E-2</v>
      </c>
      <c r="X7762">
        <v>0.99930490000000005</v>
      </c>
      <c r="Y7762">
        <v>0.23814879999999999</v>
      </c>
      <c r="Z7762">
        <v>-1.201355E-2</v>
      </c>
      <c r="AA7762">
        <v>0.97115439999999997</v>
      </c>
      <c r="AB7762">
        <v>22</v>
      </c>
      <c r="AC7762">
        <v>16.280999999999999</v>
      </c>
      <c r="AD7762">
        <v>-1.1629309999999999</v>
      </c>
      <c r="AE7762">
        <v>-3.6750699999999901</v>
      </c>
      <c r="AF7762">
        <v>3.9976741600878598</v>
      </c>
      <c r="AG7762">
        <v>-1.1629309999999999</v>
      </c>
      <c r="AH7762">
        <v>16.121738575104999</v>
      </c>
      <c r="AI7762">
        <v>94.004967667478198</v>
      </c>
      <c r="AJ7762">
        <v>76.073389026346007</v>
      </c>
      <c r="AK7762">
        <v>16.650653497236199</v>
      </c>
      <c r="AL7762">
        <v>91.549352123531307</v>
      </c>
      <c r="AM7762">
        <v>88.528867407902396</v>
      </c>
      <c r="AN7762">
        <v>0.99999998618560904</v>
      </c>
    </row>
    <row r="7763" spans="1:40" x14ac:dyDescent="0.25">
      <c r="A7763" t="str">
        <f>"20190303153958013"</f>
        <v>20190303153958013</v>
      </c>
      <c r="B7763" t="str">
        <f>"1551598798005570"</f>
        <v>1551598798005570</v>
      </c>
      <c r="C7763" t="s">
        <v>40</v>
      </c>
      <c r="D7763">
        <v>4.6834569999999998</v>
      </c>
      <c r="E7763">
        <v>0.5848139</v>
      </c>
      <c r="F7763" t="s">
        <v>43</v>
      </c>
      <c r="G7763">
        <v>-303.02210000000002</v>
      </c>
      <c r="H7763">
        <v>-0.05</v>
      </c>
      <c r="I7763">
        <v>14.155060000000001</v>
      </c>
      <c r="J7763">
        <v>-319.08210000000003</v>
      </c>
      <c r="K7763">
        <v>1.1120859999999999</v>
      </c>
      <c r="L7763">
        <v>17.851379999999999</v>
      </c>
      <c r="M7763">
        <v>0.99952350000000001</v>
      </c>
      <c r="N7763">
        <v>-2.2788800000000001E-2</v>
      </c>
      <c r="O7763">
        <v>2.0823789999999998E-2</v>
      </c>
      <c r="P7763">
        <v>0.99871900000000002</v>
      </c>
      <c r="Q7763">
        <v>-5.0297300000000003E-2</v>
      </c>
      <c r="R7763">
        <v>-5.5607850000000004E-3</v>
      </c>
      <c r="S7763">
        <v>2.9899290000000001</v>
      </c>
      <c r="T7763">
        <v>-0.2150745</v>
      </c>
      <c r="U7763">
        <v>-0.68322749999999999</v>
      </c>
      <c r="V7763">
        <v>2.633806E-2</v>
      </c>
      <c r="W7763">
        <v>-2.7555070000000001E-2</v>
      </c>
      <c r="X7763">
        <v>0.99927319999999997</v>
      </c>
      <c r="Y7763">
        <v>0.24220849999999999</v>
      </c>
      <c r="Z7763">
        <v>-1.239957E-2</v>
      </c>
      <c r="AA7763">
        <v>0.97014500000000004</v>
      </c>
      <c r="AB7763">
        <v>22</v>
      </c>
      <c r="AC7763">
        <v>16.059999999999999</v>
      </c>
      <c r="AD7763">
        <v>-1.162086</v>
      </c>
      <c r="AE7763">
        <v>-3.6963199999999898</v>
      </c>
      <c r="AF7763">
        <v>4.0100950772180601</v>
      </c>
      <c r="AG7763">
        <v>-1.162086</v>
      </c>
      <c r="AH7763">
        <v>15.9004604805724</v>
      </c>
      <c r="AI7763">
        <v>94.053550820256802</v>
      </c>
      <c r="AJ7763">
        <v>75.845185691728005</v>
      </c>
      <c r="AK7763">
        <v>16.4394631875244</v>
      </c>
      <c r="AL7763">
        <v>91.578989150675696</v>
      </c>
      <c r="AM7763">
        <v>88.490192296970207</v>
      </c>
      <c r="AN7763">
        <v>0.99999995176275303</v>
      </c>
    </row>
    <row r="7764" spans="1:40" x14ac:dyDescent="0.25">
      <c r="A7764" t="str">
        <f>"20190303153958024"</f>
        <v>20190303153958024</v>
      </c>
      <c r="B7764" t="str">
        <f>"1551598798016306"</f>
        <v>1551598798016306</v>
      </c>
      <c r="C7764" t="s">
        <v>40</v>
      </c>
      <c r="D7764">
        <v>4.6568889999999996</v>
      </c>
      <c r="E7764">
        <v>0.58608970000000005</v>
      </c>
      <c r="F7764" t="s">
        <v>43</v>
      </c>
      <c r="G7764">
        <v>-303.24630000000002</v>
      </c>
      <c r="H7764">
        <v>-0.05</v>
      </c>
      <c r="I7764">
        <v>14.171519999999999</v>
      </c>
      <c r="J7764">
        <v>-318.97609999999997</v>
      </c>
      <c r="K7764">
        <v>1.111245</v>
      </c>
      <c r="L7764">
        <v>17.85333</v>
      </c>
      <c r="M7764">
        <v>0.99951290000000004</v>
      </c>
      <c r="N7764">
        <v>-2.3482309999999999E-2</v>
      </c>
      <c r="O7764">
        <v>2.0563620000000001E-2</v>
      </c>
      <c r="P7764">
        <v>0.9986507</v>
      </c>
      <c r="Q7764">
        <v>-5.1532620000000001E-2</v>
      </c>
      <c r="R7764">
        <v>-6.4472239999999997E-3</v>
      </c>
      <c r="S7764">
        <v>2.9889220000000001</v>
      </c>
      <c r="T7764">
        <v>-0.21933659999999999</v>
      </c>
      <c r="U7764">
        <v>-0.69454959999999999</v>
      </c>
      <c r="V7764">
        <v>2.6959440000000001E-2</v>
      </c>
      <c r="W7764">
        <v>-2.810257E-2</v>
      </c>
      <c r="X7764">
        <v>0.99924139999999995</v>
      </c>
      <c r="Y7764">
        <v>0.2454703</v>
      </c>
      <c r="Z7764">
        <v>-1.2814269999999999E-2</v>
      </c>
      <c r="AA7764">
        <v>0.96931940000000005</v>
      </c>
      <c r="AB7764">
        <v>22</v>
      </c>
      <c r="AC7764">
        <v>15.7297999999999</v>
      </c>
      <c r="AD7764">
        <v>-1.1612450000000001</v>
      </c>
      <c r="AE7764">
        <v>-3.6818099999999898</v>
      </c>
      <c r="AF7764">
        <v>3.9839966128475499</v>
      </c>
      <c r="AG7764">
        <v>-1.1612450000000001</v>
      </c>
      <c r="AH7764">
        <v>15.570288493682</v>
      </c>
      <c r="AI7764">
        <v>94.132616500232103</v>
      </c>
      <c r="AJ7764">
        <v>75.647561116291698</v>
      </c>
      <c r="AK7764">
        <v>16.113801622760899</v>
      </c>
      <c r="AL7764">
        <v>91.6103707154126</v>
      </c>
      <c r="AM7764">
        <v>88.454540114929003</v>
      </c>
      <c r="AN7764">
        <v>0.99999997065983803</v>
      </c>
    </row>
    <row r="7765" spans="1:40" x14ac:dyDescent="0.25">
      <c r="A7765" t="str">
        <f>"20190303153958035"</f>
        <v>20190303153958035</v>
      </c>
      <c r="B7765" t="str">
        <f>"1551598798026066"</f>
        <v>1551598798026066</v>
      </c>
      <c r="C7765" t="s">
        <v>40</v>
      </c>
      <c r="D7765">
        <v>4.7352420000000004</v>
      </c>
      <c r="E7765">
        <v>0.58642439999999996</v>
      </c>
      <c r="F7765" t="s">
        <v>43</v>
      </c>
      <c r="G7765">
        <v>-303.41789999999997</v>
      </c>
      <c r="H7765">
        <v>-0.05</v>
      </c>
      <c r="I7765">
        <v>14.17061</v>
      </c>
      <c r="J7765">
        <v>-318.86290000000002</v>
      </c>
      <c r="K7765">
        <v>1.1103700000000001</v>
      </c>
      <c r="L7765">
        <v>17.85538</v>
      </c>
      <c r="M7765">
        <v>0.99950190000000005</v>
      </c>
      <c r="N7765">
        <v>-2.420257E-2</v>
      </c>
      <c r="O7765">
        <v>2.025544E-2</v>
      </c>
      <c r="P7765">
        <v>0.99858029999999998</v>
      </c>
      <c r="Q7765">
        <v>-5.2712299999999997E-2</v>
      </c>
      <c r="R7765">
        <v>-7.6792190000000001E-3</v>
      </c>
      <c r="S7765">
        <v>2.9879760000000002</v>
      </c>
      <c r="T7765">
        <v>-0.22301979999999999</v>
      </c>
      <c r="U7765">
        <v>-0.7072754</v>
      </c>
      <c r="V7765">
        <v>2.7878429999999999E-2</v>
      </c>
      <c r="W7765">
        <v>-2.8568550000000002E-2</v>
      </c>
      <c r="X7765">
        <v>0.99920299999999995</v>
      </c>
      <c r="Y7765">
        <v>0.24910669999999999</v>
      </c>
      <c r="Z7765">
        <v>-1.3226129999999999E-2</v>
      </c>
      <c r="AA7765">
        <v>0.96838579999999996</v>
      </c>
      <c r="AB7765">
        <v>22</v>
      </c>
      <c r="AC7765">
        <v>15.445</v>
      </c>
      <c r="AD7765">
        <v>-1.1603699999999999</v>
      </c>
      <c r="AE7765">
        <v>-3.6847699999999999</v>
      </c>
      <c r="AF7765">
        <v>3.9757184626028899</v>
      </c>
      <c r="AG7765">
        <v>-1.1603699999999999</v>
      </c>
      <c r="AH7765">
        <v>15.285539571646501</v>
      </c>
      <c r="AI7765">
        <v>94.201886085956303</v>
      </c>
      <c r="AJ7765">
        <v>75.420594025927699</v>
      </c>
      <c r="AK7765">
        <v>15.836682601705199</v>
      </c>
      <c r="AL7765">
        <v>91.637080077059906</v>
      </c>
      <c r="AM7765">
        <v>88.401824157414296</v>
      </c>
      <c r="AN7765">
        <v>1.0000000020586799</v>
      </c>
    </row>
    <row r="7766" spans="1:40" x14ac:dyDescent="0.25">
      <c r="A7766" t="str">
        <f>"20190303153958045"</f>
        <v>20190303153958045</v>
      </c>
      <c r="B7766" t="str">
        <f>"1551598798035826"</f>
        <v>1551598798035826</v>
      </c>
      <c r="C7766" t="s">
        <v>40</v>
      </c>
      <c r="D7766">
        <v>4.7043059999999999</v>
      </c>
      <c r="E7766">
        <v>0.58652729999999997</v>
      </c>
      <c r="F7766" t="s">
        <v>43</v>
      </c>
      <c r="G7766">
        <v>-303.88650000000001</v>
      </c>
      <c r="H7766">
        <v>-0.05</v>
      </c>
      <c r="I7766">
        <v>14.276579999999999</v>
      </c>
      <c r="J7766">
        <v>-318.76139999999998</v>
      </c>
      <c r="K7766">
        <v>1.1095900000000001</v>
      </c>
      <c r="L7766">
        <v>17.857119999999998</v>
      </c>
      <c r="M7766">
        <v>0.99949239999999995</v>
      </c>
      <c r="N7766">
        <v>-2.4833899999999999E-2</v>
      </c>
      <c r="O7766">
        <v>1.9954949999999999E-2</v>
      </c>
      <c r="P7766">
        <v>0.99850609999999995</v>
      </c>
      <c r="Q7766">
        <v>-5.3907780000000002E-2</v>
      </c>
      <c r="R7766">
        <v>-8.9343169999999902E-3</v>
      </c>
      <c r="S7766">
        <v>2.9866030000000001</v>
      </c>
      <c r="T7766">
        <v>-0.2314012</v>
      </c>
      <c r="U7766">
        <v>-0.71368409999999904</v>
      </c>
      <c r="V7766">
        <v>2.8827950000000001E-2</v>
      </c>
      <c r="W7766">
        <v>-2.913924E-2</v>
      </c>
      <c r="X7766">
        <v>0.99915960000000004</v>
      </c>
      <c r="Y7766">
        <v>0.2508087</v>
      </c>
      <c r="Z7766">
        <v>-1.3766830000000001E-2</v>
      </c>
      <c r="AA7766">
        <v>0.96793879999999999</v>
      </c>
      <c r="AB7766">
        <v>21</v>
      </c>
      <c r="AC7766">
        <v>14.874899999999901</v>
      </c>
      <c r="AD7766">
        <v>-1.1595899999999999</v>
      </c>
      <c r="AE7766">
        <v>-3.5805400000000001</v>
      </c>
      <c r="AF7766">
        <v>3.85460395665651</v>
      </c>
      <c r="AG7766">
        <v>-1.1595899999999999</v>
      </c>
      <c r="AH7766">
        <v>14.7159316117576</v>
      </c>
      <c r="AI7766">
        <v>94.359039237691306</v>
      </c>
      <c r="AJ7766">
        <v>75.322035086255198</v>
      </c>
      <c r="AK7766">
        <v>15.256515455132501</v>
      </c>
      <c r="AL7766">
        <v>91.669791785498603</v>
      </c>
      <c r="AM7766">
        <v>88.347349340934599</v>
      </c>
      <c r="AN7766">
        <v>1.0000000261405599</v>
      </c>
    </row>
    <row r="7767" spans="1:40" x14ac:dyDescent="0.25">
      <c r="A7767" t="str">
        <f>"20190303153958057"</f>
        <v>20190303153958057</v>
      </c>
      <c r="B7767" t="str">
        <f>"1551598798046562"</f>
        <v>1551598798046562</v>
      </c>
      <c r="C7767" t="s">
        <v>40</v>
      </c>
      <c r="D7767">
        <v>4.728656</v>
      </c>
      <c r="E7767">
        <v>0.58670849999999997</v>
      </c>
      <c r="F7767" t="s">
        <v>43</v>
      </c>
      <c r="G7767">
        <v>-304.35309999999998</v>
      </c>
      <c r="H7767">
        <v>-0.05</v>
      </c>
      <c r="I7767">
        <v>14.389620000000001</v>
      </c>
      <c r="J7767">
        <v>-318.6592</v>
      </c>
      <c r="K7767">
        <v>1.108819</v>
      </c>
      <c r="L7767">
        <v>17.858799999999999</v>
      </c>
      <c r="M7767">
        <v>0.99948749999999997</v>
      </c>
      <c r="N7767">
        <v>-2.5319850000000001E-2</v>
      </c>
      <c r="O7767">
        <v>1.9592950000000001E-2</v>
      </c>
      <c r="P7767">
        <v>0.99844500000000003</v>
      </c>
      <c r="Q7767">
        <v>-5.4793019999999998E-2</v>
      </c>
      <c r="R7767">
        <v>-1.02851E-2</v>
      </c>
      <c r="S7767">
        <v>2.9850460000000001</v>
      </c>
      <c r="T7767">
        <v>-0.24023929999999999</v>
      </c>
      <c r="U7767">
        <v>-0.71838380000000002</v>
      </c>
      <c r="V7767">
        <v>2.9812350000000001E-2</v>
      </c>
      <c r="W7767">
        <v>-2.954476E-2</v>
      </c>
      <c r="X7767">
        <v>0.99911879999999997</v>
      </c>
      <c r="Y7767">
        <v>0.25193690000000002</v>
      </c>
      <c r="Z7767">
        <v>-1.428599E-2</v>
      </c>
      <c r="AA7767">
        <v>0.9676382</v>
      </c>
      <c r="AB7767">
        <v>21</v>
      </c>
      <c r="AC7767">
        <v>14.306100000000001</v>
      </c>
      <c r="AD7767">
        <v>-1.158819</v>
      </c>
      <c r="AE7767">
        <v>-3.4691799999999899</v>
      </c>
      <c r="AF7767">
        <v>3.7258137781308802</v>
      </c>
      <c r="AG7767">
        <v>-1.158819</v>
      </c>
      <c r="AH7767">
        <v>14.1476872944699</v>
      </c>
      <c r="AI7767">
        <v>94.528832514189205</v>
      </c>
      <c r="AJ7767">
        <v>75.246066716441504</v>
      </c>
      <c r="AK7767">
        <v>14.6758851714701</v>
      </c>
      <c r="AL7767">
        <v>91.693036383646898</v>
      </c>
      <c r="AM7767">
        <v>88.290878758410201</v>
      </c>
      <c r="AN7767">
        <v>1.0000000227846999</v>
      </c>
    </row>
    <row r="7768" spans="1:40" x14ac:dyDescent="0.25">
      <c r="A7768" t="str">
        <f>"20190303153958069"</f>
        <v>20190303153958069</v>
      </c>
      <c r="B7768" t="str">
        <f>"1551598798066082"</f>
        <v>1551598798066082</v>
      </c>
      <c r="C7768" t="s">
        <v>40</v>
      </c>
      <c r="D7768">
        <v>4.7439429999999998</v>
      </c>
      <c r="E7768">
        <v>0.58702460000000001</v>
      </c>
      <c r="F7768" t="s">
        <v>43</v>
      </c>
      <c r="G7768">
        <v>-304.54039999999998</v>
      </c>
      <c r="H7768">
        <v>-0.05</v>
      </c>
      <c r="I7768">
        <v>14.43365</v>
      </c>
      <c r="J7768">
        <v>-318.54059999999998</v>
      </c>
      <c r="K7768">
        <v>1.107926</v>
      </c>
      <c r="L7768">
        <v>17.860689999999899</v>
      </c>
      <c r="M7768">
        <v>0.99948349999999997</v>
      </c>
      <c r="N7768">
        <v>-2.581191E-2</v>
      </c>
      <c r="O7768">
        <v>1.9144009999999999E-2</v>
      </c>
      <c r="P7768">
        <v>0.99838329999999997</v>
      </c>
      <c r="Q7768">
        <v>-5.5603840000000002E-2</v>
      </c>
      <c r="R7768">
        <v>-1.178677E-2</v>
      </c>
      <c r="S7768">
        <v>2.9837950000000002</v>
      </c>
      <c r="T7768">
        <v>-0.244898</v>
      </c>
      <c r="U7768">
        <v>-0.7238464</v>
      </c>
      <c r="V7768">
        <v>3.0860760000000001E-2</v>
      </c>
      <c r="W7768">
        <v>-2.987045E-2</v>
      </c>
      <c r="X7768">
        <v>0.99907729999999995</v>
      </c>
      <c r="Y7768">
        <v>0.253222</v>
      </c>
      <c r="Z7768">
        <v>-1.460972E-2</v>
      </c>
      <c r="AA7768">
        <v>0.96729790000000004</v>
      </c>
      <c r="AB7768">
        <v>21</v>
      </c>
      <c r="AC7768">
        <v>14.0002</v>
      </c>
      <c r="AD7768">
        <v>-1.157926</v>
      </c>
      <c r="AE7768">
        <v>-3.4270399999999901</v>
      </c>
      <c r="AF7768">
        <v>3.6708297717626799</v>
      </c>
      <c r="AG7768">
        <v>-1.157926</v>
      </c>
      <c r="AH7768">
        <v>13.8426646656242</v>
      </c>
      <c r="AI7768">
        <v>94.622563244645804</v>
      </c>
      <c r="AJ7768">
        <v>75.148013278683493</v>
      </c>
      <c r="AK7768">
        <v>14.367851226946</v>
      </c>
      <c r="AL7768">
        <v>91.711705254692504</v>
      </c>
      <c r="AM7768">
        <v>88.230738251053495</v>
      </c>
      <c r="AN7768">
        <v>1.00000004083313</v>
      </c>
    </row>
    <row r="7769" spans="1:40" x14ac:dyDescent="0.25">
      <c r="A7769" t="str">
        <f>"20190303153958080"</f>
        <v>20190303153958080</v>
      </c>
      <c r="B7769" t="str">
        <f>"1551598798075842"</f>
        <v>1551598798075842</v>
      </c>
      <c r="C7769" t="s">
        <v>40</v>
      </c>
      <c r="D7769">
        <v>4.6510449999999999</v>
      </c>
      <c r="E7769">
        <v>0.58772819999999903</v>
      </c>
      <c r="F7769" t="s">
        <v>43</v>
      </c>
      <c r="G7769">
        <v>-304.91820000000001</v>
      </c>
      <c r="H7769">
        <v>-0.05</v>
      </c>
      <c r="I7769">
        <v>14.52182</v>
      </c>
      <c r="J7769">
        <v>-318.43020000000001</v>
      </c>
      <c r="K7769">
        <v>1.1070770000000001</v>
      </c>
      <c r="L7769">
        <v>17.86234</v>
      </c>
      <c r="M7769">
        <v>0.99948499999999996</v>
      </c>
      <c r="N7769">
        <v>-2.6112030000000001E-2</v>
      </c>
      <c r="O7769">
        <v>1.8655069999999999E-2</v>
      </c>
      <c r="P7769">
        <v>0.99833510000000003</v>
      </c>
      <c r="Q7769">
        <v>-5.6151020000000003E-2</v>
      </c>
      <c r="R7769">
        <v>-1.320384E-2</v>
      </c>
      <c r="S7769">
        <v>2.9821469999999999</v>
      </c>
      <c r="T7769">
        <v>-0.25348789999999999</v>
      </c>
      <c r="U7769">
        <v>-0.73092650000000003</v>
      </c>
      <c r="V7769">
        <v>3.17852E-2</v>
      </c>
      <c r="W7769">
        <v>-3.0123730000000001E-2</v>
      </c>
      <c r="X7769">
        <v>0.9990407</v>
      </c>
      <c r="Y7769">
        <v>0.25495849999999998</v>
      </c>
      <c r="Z7769">
        <v>-1.512634E-2</v>
      </c>
      <c r="AA7769">
        <v>0.96683370000000002</v>
      </c>
      <c r="AB7769">
        <v>21</v>
      </c>
      <c r="AC7769">
        <v>13.512</v>
      </c>
      <c r="AD7769">
        <v>-1.1570769999999999</v>
      </c>
      <c r="AE7769">
        <v>-3.3405199999999899</v>
      </c>
      <c r="AF7769">
        <v>3.5674381493549299</v>
      </c>
      <c r="AG7769">
        <v>-1.1570769999999999</v>
      </c>
      <c r="AH7769">
        <v>13.35501597096</v>
      </c>
      <c r="AI7769">
        <v>94.784786466462094</v>
      </c>
      <c r="AJ7769">
        <v>75.044150554146896</v>
      </c>
      <c r="AK7769">
        <v>13.8716218849131</v>
      </c>
      <c r="AL7769">
        <v>91.726223682829499</v>
      </c>
      <c r="AM7769">
        <v>88.177708174522607</v>
      </c>
      <c r="AN7769">
        <v>1.0000000291523199</v>
      </c>
    </row>
    <row r="7770" spans="1:40" x14ac:dyDescent="0.25">
      <c r="A7770" t="str">
        <f>"20190303153958093"</f>
        <v>20190303153958093</v>
      </c>
      <c r="B7770" t="str">
        <f>"1551598798085602"</f>
        <v>1551598798085602</v>
      </c>
      <c r="C7770" t="s">
        <v>40</v>
      </c>
      <c r="D7770">
        <v>4.6509099999999997</v>
      </c>
      <c r="E7770">
        <v>0.588252</v>
      </c>
      <c r="F7770" t="s">
        <v>43</v>
      </c>
      <c r="G7770">
        <v>-304.75490000000002</v>
      </c>
      <c r="H7770">
        <v>-0.05</v>
      </c>
      <c r="I7770">
        <v>14.463839999999999</v>
      </c>
      <c r="J7770">
        <v>-318.30790000000002</v>
      </c>
      <c r="K7770">
        <v>1.1061219999999901</v>
      </c>
      <c r="L7770">
        <v>17.86411</v>
      </c>
      <c r="M7770">
        <v>0.99948720000000002</v>
      </c>
      <c r="N7770">
        <v>-2.642133E-2</v>
      </c>
      <c r="O7770">
        <v>1.8095090000000001E-2</v>
      </c>
      <c r="P7770">
        <v>0.99830160000000001</v>
      </c>
      <c r="Q7770">
        <v>-5.6360729999999998E-2</v>
      </c>
      <c r="R7770">
        <v>-1.475487E-2</v>
      </c>
      <c r="S7770">
        <v>2.980988</v>
      </c>
      <c r="T7770">
        <v>-0.2522218</v>
      </c>
      <c r="U7770">
        <v>-0.74081419999999998</v>
      </c>
      <c r="V7770">
        <v>3.2772669999999997E-2</v>
      </c>
      <c r="W7770">
        <v>-3.0030979999999999E-2</v>
      </c>
      <c r="X7770">
        <v>0.9990116</v>
      </c>
      <c r="Y7770">
        <v>0.2575228</v>
      </c>
      <c r="Z7770">
        <v>-1.5210329999999999E-2</v>
      </c>
      <c r="AA7770">
        <v>0.96615249999999997</v>
      </c>
      <c r="AB7770">
        <v>22</v>
      </c>
      <c r="AC7770">
        <v>13.5529999999999</v>
      </c>
      <c r="AD7770">
        <v>-1.1561220000000001</v>
      </c>
      <c r="AE7770">
        <v>-3.4002699999999999</v>
      </c>
      <c r="AF7770">
        <v>3.6202576037226102</v>
      </c>
      <c r="AG7770">
        <v>-1.1561220000000001</v>
      </c>
      <c r="AH7770">
        <v>13.3975126845263</v>
      </c>
      <c r="AI7770">
        <v>94.762082915050698</v>
      </c>
      <c r="AJ7770">
        <v>74.878749761590399</v>
      </c>
      <c r="AK7770">
        <v>13.926098855323399</v>
      </c>
      <c r="AL7770">
        <v>91.720907071442895</v>
      </c>
      <c r="AM7770">
        <v>88.121080357090804</v>
      </c>
      <c r="AN7770">
        <v>1.00000004229662</v>
      </c>
    </row>
    <row r="7771" spans="1:40" x14ac:dyDescent="0.25">
      <c r="A7771" t="str">
        <f>"20190303153958105"</f>
        <v>20190303153958105</v>
      </c>
      <c r="B7771" t="str">
        <f>"1551598798096338"</f>
        <v>1551598798096338</v>
      </c>
      <c r="C7771" t="s">
        <v>40</v>
      </c>
      <c r="D7771">
        <v>4.6321659999999998</v>
      </c>
      <c r="E7771">
        <v>0.58875540000000004</v>
      </c>
      <c r="F7771" t="s">
        <v>43</v>
      </c>
      <c r="G7771">
        <v>-304.55739999999997</v>
      </c>
      <c r="H7771">
        <v>-0.05</v>
      </c>
      <c r="I7771">
        <v>14.40509</v>
      </c>
      <c r="J7771">
        <v>-318.18650000000002</v>
      </c>
      <c r="K7771">
        <v>1.1051550000000001</v>
      </c>
      <c r="L7771">
        <v>17.865690000000001</v>
      </c>
      <c r="M7771">
        <v>0.99949089999999996</v>
      </c>
      <c r="N7771">
        <v>-2.668245E-2</v>
      </c>
      <c r="O7771">
        <v>1.750345E-2</v>
      </c>
      <c r="P7771">
        <v>0.99824179999999996</v>
      </c>
      <c r="Q7771">
        <v>-5.6996520000000002E-2</v>
      </c>
      <c r="R7771">
        <v>-1.6289049999999999E-2</v>
      </c>
      <c r="S7771">
        <v>2.9798580000000001</v>
      </c>
      <c r="T7771">
        <v>-0.25054219999999999</v>
      </c>
      <c r="U7771">
        <v>-0.74960329999999997</v>
      </c>
      <c r="V7771">
        <v>3.3710219999999999E-2</v>
      </c>
      <c r="W7771">
        <v>-3.0413630000000001E-2</v>
      </c>
      <c r="X7771">
        <v>0.99896879999999999</v>
      </c>
      <c r="Y7771">
        <v>0.25972060000000002</v>
      </c>
      <c r="Z7771">
        <v>-1.524755E-2</v>
      </c>
      <c r="AA7771">
        <v>0.96556339999999996</v>
      </c>
      <c r="AB7771">
        <v>22</v>
      </c>
      <c r="AC7771">
        <v>13.629099999999999</v>
      </c>
      <c r="AD7771">
        <v>-1.1551549999999999</v>
      </c>
      <c r="AE7771">
        <v>-3.4605999999999999</v>
      </c>
      <c r="AF7771">
        <v>3.6739169542813102</v>
      </c>
      <c r="AG7771">
        <v>-1.1551549999999999</v>
      </c>
      <c r="AH7771">
        <v>13.475476308238701</v>
      </c>
      <c r="AI7771">
        <v>94.727836360596001</v>
      </c>
      <c r="AJ7771">
        <v>74.749681643789799</v>
      </c>
      <c r="AK7771">
        <v>14.015010188896801</v>
      </c>
      <c r="AL7771">
        <v>91.742841366750994</v>
      </c>
      <c r="AM7771">
        <v>88.0672862848553</v>
      </c>
      <c r="AN7771">
        <v>1.0000000155978299</v>
      </c>
    </row>
    <row r="7772" spans="1:40" x14ac:dyDescent="0.25">
      <c r="A7772" t="str">
        <f>"20190303153958117"</f>
        <v>20190303153958117</v>
      </c>
      <c r="B7772" t="str">
        <f>"1551598798106099"</f>
        <v>1551598798106099</v>
      </c>
      <c r="C7772" t="s">
        <v>40</v>
      </c>
      <c r="D7772">
        <v>4.7232539999999998</v>
      </c>
      <c r="E7772">
        <v>0.58882029999999996</v>
      </c>
      <c r="F7772" t="s">
        <v>43</v>
      </c>
      <c r="G7772">
        <v>-304.43979999999999</v>
      </c>
      <c r="H7772">
        <v>-0.05</v>
      </c>
      <c r="I7772">
        <v>14.366619999999999</v>
      </c>
      <c r="J7772">
        <v>-318.0754</v>
      </c>
      <c r="K7772">
        <v>1.1042320000000001</v>
      </c>
      <c r="L7772">
        <v>17.86703</v>
      </c>
      <c r="M7772">
        <v>0.99949509999999997</v>
      </c>
      <c r="N7772">
        <v>-2.6885139999999998E-2</v>
      </c>
      <c r="O7772">
        <v>1.693387E-2</v>
      </c>
      <c r="P7772">
        <v>0.99820399999999998</v>
      </c>
      <c r="Q7772">
        <v>-5.7241800000000002E-2</v>
      </c>
      <c r="R7772">
        <v>-1.7675050000000001E-2</v>
      </c>
      <c r="S7772">
        <v>2.9786380000000001</v>
      </c>
      <c r="T7772">
        <v>-0.25029899999999999</v>
      </c>
      <c r="U7772">
        <v>-0.75817869999999998</v>
      </c>
      <c r="V7772">
        <v>3.4522379999999998E-2</v>
      </c>
      <c r="W7772">
        <v>-3.0463810000000001E-2</v>
      </c>
      <c r="X7772">
        <v>0.99893949999999998</v>
      </c>
      <c r="Y7772">
        <v>0.26186730000000003</v>
      </c>
      <c r="Z7772">
        <v>-1.5347080000000001E-2</v>
      </c>
      <c r="AA7772">
        <v>0.96498189999999995</v>
      </c>
      <c r="AB7772">
        <v>22</v>
      </c>
      <c r="AC7772">
        <v>13.6356</v>
      </c>
      <c r="AD7772">
        <v>-1.1542319999999999</v>
      </c>
      <c r="AE7772">
        <v>-3.5004099999999898</v>
      </c>
      <c r="AF7772">
        <v>3.7059817890969402</v>
      </c>
      <c r="AG7772">
        <v>-1.1542319999999999</v>
      </c>
      <c r="AH7772">
        <v>13.483704322373301</v>
      </c>
      <c r="AI7772">
        <v>94.718559765201803</v>
      </c>
      <c r="AJ7772">
        <v>74.631795842096295</v>
      </c>
      <c r="AK7772">
        <v>14.0312805824747</v>
      </c>
      <c r="AL7772">
        <v>91.745717861217798</v>
      </c>
      <c r="AM7772">
        <v>88.020701171035398</v>
      </c>
      <c r="AN7772">
        <v>0.99999998155041503</v>
      </c>
    </row>
    <row r="7773" spans="1:40" x14ac:dyDescent="0.25">
      <c r="A7773" t="str">
        <f>"20190303153958128"</f>
        <v>20190303153958128</v>
      </c>
      <c r="B7773" t="str">
        <f>"1551598798125617"</f>
        <v>1551598798125617</v>
      </c>
      <c r="C7773" t="s">
        <v>40</v>
      </c>
      <c r="D7773">
        <v>4.6864290000000004</v>
      </c>
      <c r="E7773">
        <v>0.58916099999999905</v>
      </c>
      <c r="F7773" t="s">
        <v>43</v>
      </c>
      <c r="G7773">
        <v>-304.45080000000002</v>
      </c>
      <c r="H7773">
        <v>-0.05</v>
      </c>
      <c r="I7773">
        <v>14.37627</v>
      </c>
      <c r="J7773">
        <v>-317.9606</v>
      </c>
      <c r="K7773">
        <v>1.103264</v>
      </c>
      <c r="L7773">
        <v>17.868410000000001</v>
      </c>
      <c r="M7773">
        <v>0.99950000000000006</v>
      </c>
      <c r="N7773">
        <v>-2.7076800000000002E-2</v>
      </c>
      <c r="O7773">
        <v>1.6332329999999999E-2</v>
      </c>
      <c r="P7773">
        <v>0.99814150000000001</v>
      </c>
      <c r="Q7773">
        <v>-5.7889919999999997E-2</v>
      </c>
      <c r="R7773">
        <v>-1.9033379999999999E-2</v>
      </c>
      <c r="S7773">
        <v>2.977417</v>
      </c>
      <c r="T7773">
        <v>-0.25223790000000001</v>
      </c>
      <c r="U7773">
        <v>-0.76284790000000002</v>
      </c>
      <c r="V7773">
        <v>3.5273609999999997E-2</v>
      </c>
      <c r="W7773">
        <v>-3.0928830000000001E-2</v>
      </c>
      <c r="X7773">
        <v>0.99889899999999998</v>
      </c>
      <c r="Y7773">
        <v>0.26278000000000001</v>
      </c>
      <c r="Z7773">
        <v>-1.548364E-2</v>
      </c>
      <c r="AA7773">
        <v>0.96473149999999996</v>
      </c>
      <c r="AB7773">
        <v>22</v>
      </c>
      <c r="AC7773">
        <v>13.509799999999901</v>
      </c>
      <c r="AD7773">
        <v>-1.1532639999999901</v>
      </c>
      <c r="AE7773">
        <v>-3.4921399999999898</v>
      </c>
      <c r="AF7773">
        <v>3.6872147716483998</v>
      </c>
      <c r="AG7773">
        <v>-1.1532639999999901</v>
      </c>
      <c r="AH7773">
        <v>13.3596840665248</v>
      </c>
      <c r="AI7773">
        <v>94.756796765314306</v>
      </c>
      <c r="AJ7773">
        <v>74.570726212087195</v>
      </c>
      <c r="AK7773">
        <v>13.907074781682701</v>
      </c>
      <c r="AL7773">
        <v>91.772374045578005</v>
      </c>
      <c r="AM7773">
        <v>87.977583766017901</v>
      </c>
      <c r="AN7773">
        <v>1.0000000161442999</v>
      </c>
    </row>
    <row r="7774" spans="1:40" x14ac:dyDescent="0.25">
      <c r="A7774" t="str">
        <f>"20190303153958142"</f>
        <v>20190303153958142</v>
      </c>
      <c r="B7774" t="str">
        <f>"1551598798136355"</f>
        <v>1551598798136355</v>
      </c>
      <c r="C7774" t="s">
        <v>40</v>
      </c>
      <c r="D7774">
        <v>4.7067880000000004</v>
      </c>
      <c r="E7774">
        <v>0.58930669999999996</v>
      </c>
      <c r="F7774" t="s">
        <v>43</v>
      </c>
      <c r="G7774">
        <v>-304.54809999999998</v>
      </c>
      <c r="H7774">
        <v>-0.05</v>
      </c>
      <c r="I7774">
        <v>14.399990000000001</v>
      </c>
      <c r="J7774">
        <v>-317.83569999999997</v>
      </c>
      <c r="K7774">
        <v>1.1021219999999901</v>
      </c>
      <c r="L7774">
        <v>17.869629999999901</v>
      </c>
      <c r="M7774">
        <v>0.9995096</v>
      </c>
      <c r="N7774">
        <v>-2.7157500000000001E-2</v>
      </c>
      <c r="O7774">
        <v>1.5599719999999999E-2</v>
      </c>
      <c r="P7774">
        <v>0.99809829999999999</v>
      </c>
      <c r="Q7774">
        <v>-5.8161039999999997E-2</v>
      </c>
      <c r="R7774">
        <v>-2.0427270000000001E-2</v>
      </c>
      <c r="S7774">
        <v>2.9760439999999999</v>
      </c>
      <c r="T7774">
        <v>-0.25589289999999998</v>
      </c>
      <c r="U7774">
        <v>-0.76959230000000001</v>
      </c>
      <c r="V7774">
        <v>3.5929240000000001E-2</v>
      </c>
      <c r="W7774">
        <v>-3.112813E-2</v>
      </c>
      <c r="X7774">
        <v>0.99886940000000002</v>
      </c>
      <c r="Y7774">
        <v>0.2641925</v>
      </c>
      <c r="Z7774">
        <v>-1.5710970000000001E-2</v>
      </c>
      <c r="AA7774">
        <v>0.96434200000000003</v>
      </c>
      <c r="AB7774">
        <v>22</v>
      </c>
      <c r="AC7774">
        <v>13.2875999999999</v>
      </c>
      <c r="AD7774">
        <v>-1.1521220000000001</v>
      </c>
      <c r="AE7774">
        <v>-3.4696399999999898</v>
      </c>
      <c r="AF7774">
        <v>3.6508813470003898</v>
      </c>
      <c r="AG7774">
        <v>-1.1521220000000001</v>
      </c>
      <c r="AH7774">
        <v>13.139359837686101</v>
      </c>
      <c r="AI7774">
        <v>94.829115265737201</v>
      </c>
      <c r="AJ7774">
        <v>74.471601301218996</v>
      </c>
      <c r="AK7774">
        <v>13.6857260186282</v>
      </c>
      <c r="AL7774">
        <v>91.783798669471693</v>
      </c>
      <c r="AM7774">
        <v>87.939964248277505</v>
      </c>
      <c r="AN7774">
        <v>0.99999997451031697</v>
      </c>
    </row>
    <row r="7775" spans="1:40" x14ac:dyDescent="0.25">
      <c r="A7775" t="str">
        <f>"20190303153958156"</f>
        <v>20190303153958156</v>
      </c>
      <c r="B7775" t="str">
        <f>"1551598798146114"</f>
        <v>1551598798146114</v>
      </c>
      <c r="C7775" t="s">
        <v>40</v>
      </c>
      <c r="D7775">
        <v>4.7046910000000004</v>
      </c>
      <c r="E7775">
        <v>0.58947139999999998</v>
      </c>
      <c r="F7775" t="s">
        <v>43</v>
      </c>
      <c r="G7775">
        <v>-304.53949999999998</v>
      </c>
      <c r="H7775">
        <v>-0.05</v>
      </c>
      <c r="I7775">
        <v>14.40584</v>
      </c>
      <c r="J7775">
        <v>-317.69529999999997</v>
      </c>
      <c r="K7775">
        <v>1.100778</v>
      </c>
      <c r="L7775">
        <v>17.870850000000001</v>
      </c>
      <c r="M7775">
        <v>0.9995231</v>
      </c>
      <c r="N7775">
        <v>-2.7150279999999999E-2</v>
      </c>
      <c r="O7775">
        <v>1.471946E-2</v>
      </c>
      <c r="P7775">
        <v>0.99806430000000002</v>
      </c>
      <c r="Q7775">
        <v>-5.8177640000000003E-2</v>
      </c>
      <c r="R7775">
        <v>-2.1980900000000001E-2</v>
      </c>
      <c r="S7775">
        <v>2.9747919999999999</v>
      </c>
      <c r="T7775">
        <v>-0.25776710000000003</v>
      </c>
      <c r="U7775">
        <v>-0.77496339999999997</v>
      </c>
      <c r="V7775">
        <v>3.6597060000000001E-2</v>
      </c>
      <c r="W7775">
        <v>-3.116184E-2</v>
      </c>
      <c r="X7775">
        <v>0.99884410000000001</v>
      </c>
      <c r="Y7775">
        <v>0.26505380000000001</v>
      </c>
      <c r="Z7775">
        <v>-1.5801559999999999E-2</v>
      </c>
      <c r="AA7775">
        <v>0.96410410000000002</v>
      </c>
      <c r="AB7775">
        <v>21</v>
      </c>
      <c r="AC7775">
        <v>13.155799999999999</v>
      </c>
      <c r="AD7775">
        <v>-1.1507780000000001</v>
      </c>
      <c r="AE7775">
        <v>-3.4650099999999999</v>
      </c>
      <c r="AF7775">
        <v>3.6323618024505802</v>
      </c>
      <c r="AG7775">
        <v>-1.1507780000000001</v>
      </c>
      <c r="AH7775">
        <v>13.0102610836054</v>
      </c>
      <c r="AI7775">
        <v>94.869471386935103</v>
      </c>
      <c r="AJ7775">
        <v>74.400687828661503</v>
      </c>
      <c r="AK7775">
        <v>13.5567413390078</v>
      </c>
      <c r="AL7775">
        <v>91.785731054693997</v>
      </c>
      <c r="AM7775">
        <v>87.901654993500401</v>
      </c>
      <c r="AN7775">
        <v>0.99999997058881895</v>
      </c>
    </row>
    <row r="7776" spans="1:40" x14ac:dyDescent="0.25">
      <c r="A7776" t="str">
        <f>"20190303153958169"</f>
        <v>20190303153958169</v>
      </c>
      <c r="B7776" t="str">
        <f>"1551598798165633"</f>
        <v>1551598798165633</v>
      </c>
      <c r="C7776" t="s">
        <v>40</v>
      </c>
      <c r="D7776">
        <v>4.7265649999999999</v>
      </c>
      <c r="E7776">
        <v>0.58974289999999996</v>
      </c>
      <c r="F7776" t="s">
        <v>43</v>
      </c>
      <c r="G7776">
        <v>-304.44380000000001</v>
      </c>
      <c r="H7776">
        <v>-0.05</v>
      </c>
      <c r="I7776">
        <v>14.39119</v>
      </c>
      <c r="J7776">
        <v>-317.5752</v>
      </c>
      <c r="K7776">
        <v>1.0995760000000001</v>
      </c>
      <c r="L7776">
        <v>17.8718</v>
      </c>
      <c r="M7776">
        <v>0.9995368</v>
      </c>
      <c r="N7776">
        <v>-2.706422E-2</v>
      </c>
      <c r="O7776">
        <v>1.392006E-2</v>
      </c>
      <c r="P7776">
        <v>0.99805840000000001</v>
      </c>
      <c r="Q7776">
        <v>-5.759214E-2</v>
      </c>
      <c r="R7776">
        <v>-2.3723080000000001E-2</v>
      </c>
      <c r="S7776">
        <v>2.9735719999999999</v>
      </c>
      <c r="T7776">
        <v>-0.25822790000000001</v>
      </c>
      <c r="U7776">
        <v>-0.78082280000000004</v>
      </c>
      <c r="V7776">
        <v>3.7536659999999999E-2</v>
      </c>
      <c r="W7776">
        <v>-3.0671859999999999E-2</v>
      </c>
      <c r="X7776">
        <v>0.99882439999999995</v>
      </c>
      <c r="Y7776">
        <v>0.2661501</v>
      </c>
      <c r="Z7776">
        <v>-1.5831330000000001E-2</v>
      </c>
      <c r="AA7776">
        <v>0.96380160000000004</v>
      </c>
      <c r="AB7776">
        <v>21</v>
      </c>
      <c r="AC7776">
        <v>13.1313999999999</v>
      </c>
      <c r="AD7776">
        <v>-1.1495759999999999</v>
      </c>
      <c r="AE7776">
        <v>-3.48061</v>
      </c>
      <c r="AF7776">
        <v>3.6370847114323701</v>
      </c>
      <c r="AG7776">
        <v>-1.1495759999999999</v>
      </c>
      <c r="AH7776">
        <v>12.9886488093799</v>
      </c>
      <c r="AI7776">
        <v>94.871423397132006</v>
      </c>
      <c r="AJ7776">
        <v>74.356677557769203</v>
      </c>
      <c r="AK7776">
        <v>13.5371676532175</v>
      </c>
      <c r="AL7776">
        <v>91.7576438365965</v>
      </c>
      <c r="AM7776">
        <v>87.847789297172895</v>
      </c>
      <c r="AN7776">
        <v>0.99999997293758702</v>
      </c>
    </row>
    <row r="7777" spans="1:40" x14ac:dyDescent="0.25">
      <c r="A7777" t="str">
        <f>"20190303153958183"</f>
        <v>20190303153958183</v>
      </c>
      <c r="B7777" t="str">
        <f>"1551598798176370"</f>
        <v>1551598798176370</v>
      </c>
      <c r="C7777" t="s">
        <v>40</v>
      </c>
      <c r="D7777">
        <v>4.707929</v>
      </c>
      <c r="E7777">
        <v>0.58978949999999997</v>
      </c>
      <c r="F7777" t="s">
        <v>43</v>
      </c>
      <c r="G7777">
        <v>-304.33339999999998</v>
      </c>
      <c r="H7777">
        <v>-0.05</v>
      </c>
      <c r="I7777">
        <v>14.360279999999999</v>
      </c>
      <c r="J7777">
        <v>-317.45530000000002</v>
      </c>
      <c r="K7777">
        <v>1.0982959999999999</v>
      </c>
      <c r="L7777">
        <v>17.87247</v>
      </c>
      <c r="M7777">
        <v>0.99955510000000003</v>
      </c>
      <c r="N7777">
        <v>-2.682992E-2</v>
      </c>
      <c r="O7777">
        <v>1.304143E-2</v>
      </c>
      <c r="P7777">
        <v>0.99808110000000005</v>
      </c>
      <c r="Q7777">
        <v>-5.6844730000000003E-2</v>
      </c>
      <c r="R7777">
        <v>-2.4554409999999999E-2</v>
      </c>
      <c r="S7777">
        <v>2.9721679999999999</v>
      </c>
      <c r="T7777">
        <v>-0.25802730000000001</v>
      </c>
      <c r="U7777">
        <v>-0.78817749999999998</v>
      </c>
      <c r="V7777">
        <v>3.7486930000000002E-2</v>
      </c>
      <c r="W7777">
        <v>-3.016454E-2</v>
      </c>
      <c r="X7777">
        <v>0.9988418</v>
      </c>
      <c r="Y7777">
        <v>0.26764260000000001</v>
      </c>
      <c r="Z7777">
        <v>-1.582832E-2</v>
      </c>
      <c r="AA7777">
        <v>0.96338820000000003</v>
      </c>
      <c r="AB7777">
        <v>21</v>
      </c>
      <c r="AC7777">
        <v>13.1219</v>
      </c>
      <c r="AD7777">
        <v>-1.148296</v>
      </c>
      <c r="AE7777">
        <v>-3.5121899999999999</v>
      </c>
      <c r="AF7777">
        <v>3.6569483713615401</v>
      </c>
      <c r="AG7777">
        <v>-1.148296</v>
      </c>
      <c r="AH7777">
        <v>12.9821916629762</v>
      </c>
      <c r="AI7777">
        <v>94.866328971737602</v>
      </c>
      <c r="AJ7777">
        <v>74.268023946609901</v>
      </c>
      <c r="AK7777">
        <v>13.536216438453801</v>
      </c>
      <c r="AL7777">
        <v>91.728562941188002</v>
      </c>
      <c r="AM7777">
        <v>87.850675359155801</v>
      </c>
      <c r="AN7777">
        <v>1.00000005541073</v>
      </c>
    </row>
    <row r="7778" spans="1:40" x14ac:dyDescent="0.25">
      <c r="A7778" t="str">
        <f>"20190303153958195"</f>
        <v>20190303153958195</v>
      </c>
      <c r="B7778" t="str">
        <f>"1551598798186130"</f>
        <v>1551598798186130</v>
      </c>
      <c r="C7778" t="s">
        <v>40</v>
      </c>
      <c r="D7778">
        <v>4.7085749999999997</v>
      </c>
      <c r="E7778">
        <v>0.58987480000000003</v>
      </c>
      <c r="F7778" t="s">
        <v>43</v>
      </c>
      <c r="G7778">
        <v>-304.15429999999998</v>
      </c>
      <c r="H7778">
        <v>-0.05</v>
      </c>
      <c r="I7778">
        <v>14.332000000000001</v>
      </c>
      <c r="J7778">
        <v>-317.32089999999999</v>
      </c>
      <c r="K7778">
        <v>1.0968199999999999</v>
      </c>
      <c r="L7778">
        <v>17.87311</v>
      </c>
      <c r="M7778">
        <v>0.99957560000000001</v>
      </c>
      <c r="N7778">
        <v>-2.6527229999999999E-2</v>
      </c>
      <c r="O7778">
        <v>1.204096E-2</v>
      </c>
      <c r="P7778">
        <v>0.99809559999999997</v>
      </c>
      <c r="Q7778">
        <v>-5.6122400000000003E-2</v>
      </c>
      <c r="R7778">
        <v>-2.560426E-2</v>
      </c>
      <c r="S7778">
        <v>2.9717410000000002</v>
      </c>
      <c r="T7778">
        <v>-0.25655470000000002</v>
      </c>
      <c r="U7778">
        <v>-0.79101560000000004</v>
      </c>
      <c r="V7778">
        <v>3.7533080000000003E-2</v>
      </c>
      <c r="W7778">
        <v>-2.975208E-2</v>
      </c>
      <c r="X7778">
        <v>0.99885239999999997</v>
      </c>
      <c r="Y7778">
        <v>0.2675902</v>
      </c>
      <c r="Z7778">
        <v>-1.5658640000000001E-2</v>
      </c>
      <c r="AA7778">
        <v>0.96340550000000003</v>
      </c>
      <c r="AB7778">
        <v>21</v>
      </c>
      <c r="AC7778">
        <v>13.166600000000001</v>
      </c>
      <c r="AD7778">
        <v>-1.14682</v>
      </c>
      <c r="AE7778">
        <v>-3.5411100000000002</v>
      </c>
      <c r="AF7778">
        <v>3.6734584490627502</v>
      </c>
      <c r="AG7778">
        <v>-1.14682</v>
      </c>
      <c r="AH7778">
        <v>13.0308011884725</v>
      </c>
      <c r="AI7778">
        <v>94.841788304874498</v>
      </c>
      <c r="AJ7778">
        <v>74.256547826130003</v>
      </c>
      <c r="AK7778">
        <v>13.587173094609801</v>
      </c>
      <c r="AL7778">
        <v>91.704920177367995</v>
      </c>
      <c r="AM7778">
        <v>87.848054636558004</v>
      </c>
      <c r="AN7778">
        <v>1.0000000176721799</v>
      </c>
    </row>
    <row r="7779" spans="1:40" x14ac:dyDescent="0.25">
      <c r="A7779" t="str">
        <f>"20190303153958206"</f>
        <v>20190303153958206</v>
      </c>
      <c r="B7779" t="str">
        <f>"1551598798195890"</f>
        <v>1551598798195890</v>
      </c>
      <c r="C7779" t="s">
        <v>40</v>
      </c>
      <c r="D7779">
        <v>4.7072640000000003</v>
      </c>
      <c r="E7779">
        <v>0.58994780000000002</v>
      </c>
      <c r="F7779" t="s">
        <v>43</v>
      </c>
      <c r="G7779">
        <v>-303.95569999999998</v>
      </c>
      <c r="H7779">
        <v>-0.05</v>
      </c>
      <c r="I7779">
        <v>14.29767</v>
      </c>
      <c r="J7779">
        <v>-317.20850000000002</v>
      </c>
      <c r="K7779">
        <v>1.0955509999999999</v>
      </c>
      <c r="L7779">
        <v>17.873539999999998</v>
      </c>
      <c r="M7779">
        <v>0.99959310000000001</v>
      </c>
      <c r="N7779">
        <v>-2.6235939999999999E-2</v>
      </c>
      <c r="O7779">
        <v>1.118922E-2</v>
      </c>
      <c r="P7779">
        <v>0.99809210000000004</v>
      </c>
      <c r="Q7779">
        <v>-5.5749269999999997E-2</v>
      </c>
      <c r="R7779">
        <v>-2.6532610000000002E-2</v>
      </c>
      <c r="S7779">
        <v>2.9710079999999999</v>
      </c>
      <c r="T7779">
        <v>-0.25493159999999998</v>
      </c>
      <c r="U7779">
        <v>-0.79479979999999995</v>
      </c>
      <c r="V7779">
        <v>3.7605819999999998E-2</v>
      </c>
      <c r="W7779">
        <v>-2.96768E-2</v>
      </c>
      <c r="X7779">
        <v>0.99885190000000001</v>
      </c>
      <c r="Y7779">
        <v>0.26799050000000002</v>
      </c>
      <c r="Z7779">
        <v>-1.5518290000000001E-2</v>
      </c>
      <c r="AA7779">
        <v>0.9632965</v>
      </c>
      <c r="AB7779">
        <v>21</v>
      </c>
      <c r="AC7779">
        <v>13.252800000000001</v>
      </c>
      <c r="AD7779">
        <v>-1.145551</v>
      </c>
      <c r="AE7779">
        <v>-3.5758699999999899</v>
      </c>
      <c r="AF7779">
        <v>3.6982290196399701</v>
      </c>
      <c r="AG7779">
        <v>-1.145551</v>
      </c>
      <c r="AH7779">
        <v>13.120565846076101</v>
      </c>
      <c r="AI7779">
        <v>94.803573612016507</v>
      </c>
      <c r="AJ7779">
        <v>74.258710537250707</v>
      </c>
      <c r="AK7779">
        <v>13.6798550100696</v>
      </c>
      <c r="AL7779">
        <v>91.700605051722903</v>
      </c>
      <c r="AM7779">
        <v>87.843886969449301</v>
      </c>
      <c r="AN7779">
        <v>1.0000000141448599</v>
      </c>
    </row>
    <row r="7780" spans="1:40" x14ac:dyDescent="0.25">
      <c r="A7780" t="str">
        <f>"20190303153958217"</f>
        <v>20190303153958217</v>
      </c>
      <c r="B7780" t="str">
        <f>"1551598798205650"</f>
        <v>1551598798205650</v>
      </c>
      <c r="C7780" t="s">
        <v>40</v>
      </c>
      <c r="D7780">
        <v>4.7360410000000002</v>
      </c>
      <c r="E7780">
        <v>0.59008700000000003</v>
      </c>
      <c r="F7780" t="s">
        <v>43</v>
      </c>
      <c r="G7780">
        <v>-303.8141</v>
      </c>
      <c r="H7780">
        <v>-0.05</v>
      </c>
      <c r="I7780">
        <v>14.273929999999901</v>
      </c>
      <c r="J7780">
        <v>-317.11279999999999</v>
      </c>
      <c r="K7780">
        <v>1.094452</v>
      </c>
      <c r="L7780">
        <v>17.873660000000001</v>
      </c>
      <c r="M7780">
        <v>0.99960859999999996</v>
      </c>
      <c r="N7780">
        <v>-2.596716E-2</v>
      </c>
      <c r="O7780">
        <v>1.041486E-2</v>
      </c>
      <c r="P7780">
        <v>0.99807190000000001</v>
      </c>
      <c r="Q7780">
        <v>-5.5810520000000002E-2</v>
      </c>
      <c r="R7780">
        <v>-2.7162479999999999E-2</v>
      </c>
      <c r="S7780">
        <v>2.9703369999999998</v>
      </c>
      <c r="T7780">
        <v>-0.25403799999999999</v>
      </c>
      <c r="U7780">
        <v>-0.79824830000000002</v>
      </c>
      <c r="V7780">
        <v>3.7457419999999998E-2</v>
      </c>
      <c r="W7780">
        <v>-3.0010889999999998E-2</v>
      </c>
      <c r="X7780">
        <v>0.9988475</v>
      </c>
      <c r="Y7780">
        <v>0.26835219999999999</v>
      </c>
      <c r="Z7780">
        <v>-1.541786E-2</v>
      </c>
      <c r="AA7780">
        <v>0.96319750000000004</v>
      </c>
      <c r="AB7780">
        <v>21</v>
      </c>
      <c r="AC7780">
        <v>13.298699999999901</v>
      </c>
      <c r="AD7780">
        <v>-1.144452</v>
      </c>
      <c r="AE7780">
        <v>-3.5997300000000001</v>
      </c>
      <c r="AF7780">
        <v>3.7124682898130401</v>
      </c>
      <c r="AG7780">
        <v>-1.144452</v>
      </c>
      <c r="AH7780">
        <v>13.1696006892247</v>
      </c>
      <c r="AI7780">
        <v>94.781162071824099</v>
      </c>
      <c r="AJ7780">
        <v>74.257025595869905</v>
      </c>
      <c r="AK7780">
        <v>13.730643593684899</v>
      </c>
      <c r="AL7780">
        <v>91.719755518505295</v>
      </c>
      <c r="AM7780">
        <v>87.852377983248203</v>
      </c>
      <c r="AN7780">
        <v>1.0000000200439401</v>
      </c>
    </row>
    <row r="7781" spans="1:40" x14ac:dyDescent="0.25">
      <c r="A7781" t="str">
        <f>"20190303153958227"</f>
        <v>20190303153958227</v>
      </c>
      <c r="B7781" t="str">
        <f>"1551598798216386"</f>
        <v>1551598798216386</v>
      </c>
      <c r="C7781" t="s">
        <v>40</v>
      </c>
      <c r="D7781">
        <v>4.7174100000000001</v>
      </c>
      <c r="E7781">
        <v>0.59020039999999996</v>
      </c>
      <c r="F7781" t="s">
        <v>43</v>
      </c>
      <c r="G7781">
        <v>-303.74669999999998</v>
      </c>
      <c r="H7781">
        <v>-0.05</v>
      </c>
      <c r="I7781">
        <v>14.26756</v>
      </c>
      <c r="J7781">
        <v>-317.01420000000002</v>
      </c>
      <c r="K7781">
        <v>1.093318</v>
      </c>
      <c r="L7781">
        <v>17.873750000000001</v>
      </c>
      <c r="M7781">
        <v>0.99962410000000002</v>
      </c>
      <c r="N7781">
        <v>-2.5685860000000001E-2</v>
      </c>
      <c r="O7781">
        <v>9.6069020000000005E-3</v>
      </c>
      <c r="P7781">
        <v>0.99804559999999998</v>
      </c>
      <c r="Q7781">
        <v>-5.5956199999999998E-2</v>
      </c>
      <c r="R7781">
        <v>-2.782803E-2</v>
      </c>
      <c r="S7781">
        <v>2.9697879999999999</v>
      </c>
      <c r="T7781">
        <v>-0.25428499999999998</v>
      </c>
      <c r="U7781">
        <v>-0.80123900000000003</v>
      </c>
      <c r="V7781">
        <v>3.731077E-2</v>
      </c>
      <c r="W7781">
        <v>-3.0441929999999999E-2</v>
      </c>
      <c r="X7781">
        <v>0.9988399</v>
      </c>
      <c r="Y7781">
        <v>0.26852429999999999</v>
      </c>
      <c r="Z7781">
        <v>-1.5357020000000001E-2</v>
      </c>
      <c r="AA7781">
        <v>0.96315050000000002</v>
      </c>
      <c r="AB7781">
        <v>21</v>
      </c>
      <c r="AC7781">
        <v>13.2675</v>
      </c>
      <c r="AD7781">
        <v>-1.1433180000000001</v>
      </c>
      <c r="AE7781">
        <v>-3.6061899999999998</v>
      </c>
      <c r="AF7781">
        <v>3.7078845652981398</v>
      </c>
      <c r="AG7781">
        <v>-1.1433180000000001</v>
      </c>
      <c r="AH7781">
        <v>13.1413573319969</v>
      </c>
      <c r="AI7781">
        <v>94.786344441813299</v>
      </c>
      <c r="AJ7781">
        <v>74.243382830922002</v>
      </c>
      <c r="AK7781">
        <v>13.702220861084101</v>
      </c>
      <c r="AL7781">
        <v>91.744463658840601</v>
      </c>
      <c r="AM7781">
        <v>87.860762075228607</v>
      </c>
      <c r="AN7781">
        <v>0.99999997524606299</v>
      </c>
    </row>
    <row r="7782" spans="1:40" x14ac:dyDescent="0.25">
      <c r="A7782" t="str">
        <f>"20190303153958237"</f>
        <v>20190303153958237</v>
      </c>
      <c r="B7782" t="str">
        <f>"1551598798235905"</f>
        <v>1551598798235905</v>
      </c>
      <c r="C7782" t="s">
        <v>40</v>
      </c>
      <c r="D7782">
        <v>4.7915559999999999</v>
      </c>
      <c r="E7782">
        <v>0.59046239999999905</v>
      </c>
      <c r="F7782" t="s">
        <v>43</v>
      </c>
      <c r="G7782">
        <v>-303.71039999999999</v>
      </c>
      <c r="H7782">
        <v>-0.05</v>
      </c>
      <c r="I7782">
        <v>14.27092</v>
      </c>
      <c r="J7782">
        <v>-316.91860000000003</v>
      </c>
      <c r="K7782">
        <v>1.092222</v>
      </c>
      <c r="L7782">
        <v>17.873660000000001</v>
      </c>
      <c r="M7782">
        <v>0.99963990000000003</v>
      </c>
      <c r="N7782">
        <v>-2.5379599999999999E-2</v>
      </c>
      <c r="O7782">
        <v>8.7266289999999996E-3</v>
      </c>
      <c r="P7782">
        <v>0.99797559999999996</v>
      </c>
      <c r="Q7782">
        <v>-5.6695740000000001E-2</v>
      </c>
      <c r="R7782">
        <v>-2.8818179999999999E-2</v>
      </c>
      <c r="S7782">
        <v>2.969147</v>
      </c>
      <c r="T7782">
        <v>-0.25516549999999999</v>
      </c>
      <c r="U7782">
        <v>-0.80407709999999999</v>
      </c>
      <c r="V7782">
        <v>3.7415299999999999E-2</v>
      </c>
      <c r="W7782">
        <v>-3.1492039999999999E-2</v>
      </c>
      <c r="X7782">
        <v>0.99880340000000001</v>
      </c>
      <c r="Y7782">
        <v>0.26858340000000003</v>
      </c>
      <c r="Z7782">
        <v>-1.531212E-2</v>
      </c>
      <c r="AA7782">
        <v>0.96313470000000001</v>
      </c>
      <c r="AB7782">
        <v>21</v>
      </c>
      <c r="AC7782">
        <v>13.2082</v>
      </c>
      <c r="AD7782">
        <v>-1.1422219999999901</v>
      </c>
      <c r="AE7782">
        <v>-3.6027399999999901</v>
      </c>
      <c r="AF7782">
        <v>3.6922029271254799</v>
      </c>
      <c r="AG7782">
        <v>-1.1422219999999901</v>
      </c>
      <c r="AH7782">
        <v>13.0851660806726</v>
      </c>
      <c r="AI7782">
        <v>94.802199384532798</v>
      </c>
      <c r="AJ7782">
        <v>74.242681424986699</v>
      </c>
      <c r="AK7782">
        <v>13.643995196097899</v>
      </c>
      <c r="AL7782">
        <v>91.804659462550305</v>
      </c>
      <c r="AM7782">
        <v>87.854696048293803</v>
      </c>
      <c r="AN7782">
        <v>0.99999994255450397</v>
      </c>
    </row>
    <row r="7783" spans="1:40" x14ac:dyDescent="0.25">
      <c r="A7783" t="str">
        <f>"20190303153958248"</f>
        <v>20190303153958248</v>
      </c>
      <c r="B7783" t="str">
        <f>"1551598798235905"</f>
        <v>1551598798235905</v>
      </c>
      <c r="C7783" t="s">
        <v>40</v>
      </c>
      <c r="D7783">
        <v>4.7915559999999999</v>
      </c>
      <c r="E7783">
        <v>0.59046239999999905</v>
      </c>
      <c r="F7783" t="s">
        <v>43</v>
      </c>
      <c r="G7783">
        <v>-303.72910000000002</v>
      </c>
      <c r="H7783">
        <v>-0.05</v>
      </c>
      <c r="I7783">
        <v>14.278409999999999</v>
      </c>
      <c r="J7783">
        <v>-316.8202</v>
      </c>
      <c r="K7783">
        <v>1.0910899999999999</v>
      </c>
      <c r="L7783">
        <v>17.8735</v>
      </c>
      <c r="M7783">
        <v>0.99965550000000003</v>
      </c>
      <c r="N7783">
        <v>-2.5059640000000001E-2</v>
      </c>
      <c r="O7783">
        <v>7.8069430000000002E-3</v>
      </c>
      <c r="P7783">
        <v>0.99791439999999998</v>
      </c>
      <c r="Q7783">
        <v>-5.7244110000000001E-2</v>
      </c>
      <c r="R7783">
        <v>-2.983324E-2</v>
      </c>
      <c r="S7783">
        <v>2.9680789999999999</v>
      </c>
      <c r="T7783">
        <v>-0.25703880000000001</v>
      </c>
      <c r="U7783">
        <v>-0.80905150000000003</v>
      </c>
      <c r="V7783">
        <v>3.7506129999999999E-2</v>
      </c>
      <c r="W7783">
        <v>-3.2364289999999997E-2</v>
      </c>
      <c r="X7783">
        <v>0.99877210000000005</v>
      </c>
      <c r="Y7783">
        <v>0.26927390000000001</v>
      </c>
      <c r="Z7783">
        <v>-1.534428E-2</v>
      </c>
      <c r="AA7783">
        <v>0.96294139999999995</v>
      </c>
      <c r="AB7783">
        <v>21</v>
      </c>
      <c r="AC7783">
        <v>13.0910999999999</v>
      </c>
      <c r="AD7783">
        <v>-1.1410899999999999</v>
      </c>
      <c r="AE7783">
        <v>-3.5950899999999901</v>
      </c>
      <c r="AF7783">
        <v>3.6712764622579299</v>
      </c>
      <c r="AG7783">
        <v>-1.1410899999999999</v>
      </c>
      <c r="AH7783">
        <v>12.9709856070752</v>
      </c>
      <c r="AI7783">
        <v>94.838396432755204</v>
      </c>
      <c r="AJ7783">
        <v>74.196493085154302</v>
      </c>
      <c r="AK7783">
        <v>13.5287406978396</v>
      </c>
      <c r="AL7783">
        <v>91.854661222120001</v>
      </c>
      <c r="AM7783">
        <v>87.849425626553796</v>
      </c>
      <c r="AN7783">
        <v>0.99999993239659302</v>
      </c>
    </row>
    <row r="7784" spans="1:40" x14ac:dyDescent="0.25">
      <c r="A7784" t="str">
        <f>"20190303153958259"</f>
        <v>20190303153958259</v>
      </c>
      <c r="B7784" t="str">
        <f>"1551598798256402"</f>
        <v>1551598798256402</v>
      </c>
      <c r="C7784" t="s">
        <v>40</v>
      </c>
      <c r="D7784">
        <v>4.7909100000000002</v>
      </c>
      <c r="E7784">
        <v>0.5905281</v>
      </c>
      <c r="F7784" t="s">
        <v>43</v>
      </c>
      <c r="G7784">
        <v>-303.74639999999999</v>
      </c>
      <c r="H7784">
        <v>-0.05</v>
      </c>
      <c r="I7784">
        <v>14.295590000000001</v>
      </c>
      <c r="J7784">
        <v>-316.72340000000003</v>
      </c>
      <c r="K7784">
        <v>1.0899939999999999</v>
      </c>
      <c r="L7784">
        <v>17.873139999999999</v>
      </c>
      <c r="M7784">
        <v>0.99967189999999995</v>
      </c>
      <c r="N7784">
        <v>-2.4697460000000001E-2</v>
      </c>
      <c r="O7784">
        <v>6.7915129999999999E-3</v>
      </c>
      <c r="P7784">
        <v>0.9978728</v>
      </c>
      <c r="Q7784">
        <v>-5.7301619999999998E-2</v>
      </c>
      <c r="R7784">
        <v>-3.1090639999999999E-2</v>
      </c>
      <c r="S7784">
        <v>2.967133</v>
      </c>
      <c r="T7784">
        <v>-0.25897249999999999</v>
      </c>
      <c r="U7784">
        <v>-0.812011699999999</v>
      </c>
      <c r="V7784">
        <v>3.7745729999999998E-2</v>
      </c>
      <c r="W7784">
        <v>-3.2787360000000002E-2</v>
      </c>
      <c r="X7784">
        <v>0.99874929999999995</v>
      </c>
      <c r="Y7784">
        <v>0.26925680000000002</v>
      </c>
      <c r="Z7784">
        <v>-1.53274E-2</v>
      </c>
      <c r="AA7784">
        <v>0.96294639999999998</v>
      </c>
      <c r="AB7784">
        <v>21</v>
      </c>
      <c r="AC7784">
        <v>12.977</v>
      </c>
      <c r="AD7784">
        <v>-1.139994</v>
      </c>
      <c r="AE7784">
        <v>-3.57755</v>
      </c>
      <c r="AF7784">
        <v>3.6395249256543498</v>
      </c>
      <c r="AG7784">
        <v>-1.139994</v>
      </c>
      <c r="AH7784">
        <v>12.860162354076801</v>
      </c>
      <c r="AI7784">
        <v>94.875264663673505</v>
      </c>
      <c r="AJ7784">
        <v>74.198078650586694</v>
      </c>
      <c r="AK7784">
        <v>13.413780368625</v>
      </c>
      <c r="AL7784">
        <v>91.878914173726301</v>
      </c>
      <c r="AM7784">
        <v>87.835650798682195</v>
      </c>
      <c r="AN7784">
        <v>0.99999995767974503</v>
      </c>
    </row>
    <row r="7785" spans="1:40" x14ac:dyDescent="0.25">
      <c r="A7785" t="str">
        <f>"20190303153958269"</f>
        <v>20190303153958269</v>
      </c>
      <c r="B7785" t="str">
        <f>"1551598798266164"</f>
        <v>1551598798266164</v>
      </c>
      <c r="C7785" t="s">
        <v>40</v>
      </c>
      <c r="D7785">
        <v>4.8050090000000001</v>
      </c>
      <c r="E7785">
        <v>0.59061900000000001</v>
      </c>
      <c r="F7785" t="s">
        <v>43</v>
      </c>
      <c r="G7785">
        <v>-303.78149999999999</v>
      </c>
      <c r="H7785">
        <v>-0.05</v>
      </c>
      <c r="I7785">
        <v>14.31134</v>
      </c>
      <c r="J7785">
        <v>-316.6259</v>
      </c>
      <c r="K7785">
        <v>1.0888899999999999</v>
      </c>
      <c r="L7785">
        <v>17.872769999999999</v>
      </c>
      <c r="M7785">
        <v>0.99968749999999995</v>
      </c>
      <c r="N7785">
        <v>-2.4327999999999999E-2</v>
      </c>
      <c r="O7785">
        <v>5.7576750000000003E-3</v>
      </c>
      <c r="P7785">
        <v>0.99782939999999998</v>
      </c>
      <c r="Q7785">
        <v>-5.7403990000000002E-2</v>
      </c>
      <c r="R7785">
        <v>-3.2268970000000001E-2</v>
      </c>
      <c r="S7785">
        <v>2.9660030000000002</v>
      </c>
      <c r="T7785">
        <v>-0.26125989999999999</v>
      </c>
      <c r="U7785">
        <v>-0.81628420000000002</v>
      </c>
      <c r="V7785">
        <v>3.788818E-2</v>
      </c>
      <c r="W7785">
        <v>-3.3262159999999999E-2</v>
      </c>
      <c r="X7785">
        <v>0.99872830000000001</v>
      </c>
      <c r="Y7785">
        <v>0.2696288</v>
      </c>
      <c r="Z7785">
        <v>-1.534458E-2</v>
      </c>
      <c r="AA7785">
        <v>0.96284199999999998</v>
      </c>
      <c r="AB7785">
        <v>21</v>
      </c>
      <c r="AC7785">
        <v>12.8444</v>
      </c>
      <c r="AD7785">
        <v>-1.13889</v>
      </c>
      <c r="AE7785">
        <v>-3.5614300000000001</v>
      </c>
      <c r="AF7785">
        <v>3.6089982753110399</v>
      </c>
      <c r="AG7785">
        <v>-1.13889</v>
      </c>
      <c r="AH7785">
        <v>12.7307313359582</v>
      </c>
      <c r="AI7785">
        <v>94.919226984314506</v>
      </c>
      <c r="AJ7785">
        <v>74.1726502041641</v>
      </c>
      <c r="AK7785">
        <v>13.2813199393602</v>
      </c>
      <c r="AL7785">
        <v>91.906132879621893</v>
      </c>
      <c r="AM7785">
        <v>87.827444856638905</v>
      </c>
      <c r="AN7785">
        <v>1.0000000513462299</v>
      </c>
    </row>
    <row r="7786" spans="1:40" x14ac:dyDescent="0.25">
      <c r="A7786" t="str">
        <f>"20190303153958280"</f>
        <v>20190303153958280</v>
      </c>
      <c r="B7786" t="str">
        <f>"1551598798275922"</f>
        <v>1551598798275922</v>
      </c>
      <c r="C7786" t="s">
        <v>40</v>
      </c>
      <c r="D7786">
        <v>4.7920740000000004</v>
      </c>
      <c r="E7786">
        <v>0.59069389999999999</v>
      </c>
      <c r="F7786" t="s">
        <v>43</v>
      </c>
      <c r="G7786">
        <v>-303.7518</v>
      </c>
      <c r="H7786">
        <v>-0.05</v>
      </c>
      <c r="I7786">
        <v>14.31012</v>
      </c>
      <c r="J7786">
        <v>-316.51990000000001</v>
      </c>
      <c r="K7786">
        <v>1.0877220000000001</v>
      </c>
      <c r="L7786">
        <v>17.872070000000001</v>
      </c>
      <c r="M7786">
        <v>0.9997045</v>
      </c>
      <c r="N7786">
        <v>-2.3885679999999999E-2</v>
      </c>
      <c r="O7786">
        <v>4.5441839999999997E-3</v>
      </c>
      <c r="P7786">
        <v>0.99781549999999997</v>
      </c>
      <c r="Q7786">
        <v>-5.6865680000000002E-2</v>
      </c>
      <c r="R7786">
        <v>-3.36295E-2</v>
      </c>
      <c r="S7786">
        <v>2.9648439999999998</v>
      </c>
      <c r="T7786">
        <v>-0.26228179999999901</v>
      </c>
      <c r="U7786">
        <v>-0.82046509999999995</v>
      </c>
      <c r="V7786">
        <v>3.8034859999999997E-2</v>
      </c>
      <c r="W7786">
        <v>-3.3169129999999998E-2</v>
      </c>
      <c r="X7786">
        <v>0.9987258</v>
      </c>
      <c r="Y7786">
        <v>0.26981559999999999</v>
      </c>
      <c r="Z7786">
        <v>-1.527007E-2</v>
      </c>
      <c r="AA7786">
        <v>0.96279090000000001</v>
      </c>
      <c r="AB7786">
        <v>21</v>
      </c>
      <c r="AC7786">
        <v>12.7681</v>
      </c>
      <c r="AD7786">
        <v>-1.1377219999999999</v>
      </c>
      <c r="AE7786">
        <v>-3.5619499999999902</v>
      </c>
      <c r="AF7786">
        <v>3.5934783788873399</v>
      </c>
      <c r="AG7786">
        <v>-1.1377219999999999</v>
      </c>
      <c r="AH7786">
        <v>12.6585261363141</v>
      </c>
      <c r="AI7786">
        <v>94.941594516613307</v>
      </c>
      <c r="AJ7786">
        <v>74.151916716989604</v>
      </c>
      <c r="AK7786">
        <v>13.2077924784031</v>
      </c>
      <c r="AL7786">
        <v>91.900799746234398</v>
      </c>
      <c r="AM7786">
        <v>87.819036696279696</v>
      </c>
      <c r="AN7786">
        <v>1.0000000326728999</v>
      </c>
    </row>
    <row r="7787" spans="1:40" x14ac:dyDescent="0.25">
      <c r="A7787" t="str">
        <f>"20190303153958294"</f>
        <v>20190303153958294</v>
      </c>
      <c r="B7787" t="str">
        <f>"1551598798285682"</f>
        <v>1551598798285682</v>
      </c>
      <c r="C7787" t="s">
        <v>40</v>
      </c>
      <c r="D7787">
        <v>4.6862719999999998</v>
      </c>
      <c r="E7787">
        <v>0.59069389999999999</v>
      </c>
      <c r="F7787" t="s">
        <v>43</v>
      </c>
      <c r="G7787">
        <v>-303.62459999999999</v>
      </c>
      <c r="H7787">
        <v>-0.05</v>
      </c>
      <c r="I7787">
        <v>14.28181</v>
      </c>
      <c r="J7787">
        <v>-316.39049999999997</v>
      </c>
      <c r="K7787">
        <v>1.0863149999999999</v>
      </c>
      <c r="L7787">
        <v>17.87106</v>
      </c>
      <c r="M7787">
        <v>0.99972309999999998</v>
      </c>
      <c r="N7787">
        <v>-2.3338850000000001E-2</v>
      </c>
      <c r="O7787">
        <v>3.0405430000000002E-3</v>
      </c>
      <c r="P7787">
        <v>0.99777530000000003</v>
      </c>
      <c r="Q7787">
        <v>-5.6553720000000002E-2</v>
      </c>
      <c r="R7787">
        <v>-3.5305669999999997E-2</v>
      </c>
      <c r="S7787">
        <v>2.9638979999999999</v>
      </c>
      <c r="T7787">
        <v>-0.26149810000000001</v>
      </c>
      <c r="U7787">
        <v>-0.82519529999999996</v>
      </c>
      <c r="V7787">
        <v>3.8205610000000001E-2</v>
      </c>
      <c r="W7787">
        <v>-3.3408300000000002E-2</v>
      </c>
      <c r="X7787">
        <v>0.99871129999999997</v>
      </c>
      <c r="Y7787">
        <v>0.26988899999999999</v>
      </c>
      <c r="Z7787">
        <v>-1.507145E-2</v>
      </c>
      <c r="AA7787">
        <v>0.96277349999999995</v>
      </c>
      <c r="AB7787">
        <v>21</v>
      </c>
      <c r="AC7787">
        <v>12.765899999999901</v>
      </c>
      <c r="AD7787">
        <v>-1.136315</v>
      </c>
      <c r="AE7787">
        <v>-3.5892499999999998</v>
      </c>
      <c r="AF7787">
        <v>3.6016138484212101</v>
      </c>
      <c r="AG7787">
        <v>-1.136315</v>
      </c>
      <c r="AH7787">
        <v>12.6619524293615</v>
      </c>
      <c r="AI7787">
        <v>94.933454371502293</v>
      </c>
      <c r="AJ7787">
        <v>74.121926351051599</v>
      </c>
      <c r="AK7787">
        <v>13.213170452839</v>
      </c>
      <c r="AL7787">
        <v>91.914510796915707</v>
      </c>
      <c r="AM7787">
        <v>87.809223434708798</v>
      </c>
      <c r="AN7787">
        <v>1.0000000219460199</v>
      </c>
    </row>
    <row r="7788" spans="1:40" x14ac:dyDescent="0.25">
      <c r="A7788" t="str">
        <f>"20190303153958306"</f>
        <v>20190303153958306</v>
      </c>
      <c r="B7788" t="str">
        <f>"1551598798296418"</f>
        <v>1551598798296418</v>
      </c>
      <c r="C7788" t="s">
        <v>40</v>
      </c>
      <c r="D7788">
        <v>4.7289879999999904</v>
      </c>
      <c r="E7788">
        <v>0.59081890000000004</v>
      </c>
      <c r="F7788" t="s">
        <v>43</v>
      </c>
      <c r="G7788">
        <v>-303.48009999999999</v>
      </c>
      <c r="H7788">
        <v>-0.05</v>
      </c>
      <c r="I7788">
        <v>14.253590000000001</v>
      </c>
      <c r="J7788">
        <v>-316.26949999999999</v>
      </c>
      <c r="K7788">
        <v>1.085035</v>
      </c>
      <c r="L7788">
        <v>17.869900000000001</v>
      </c>
      <c r="M7788">
        <v>0.99973849999999997</v>
      </c>
      <c r="N7788">
        <v>-2.2816429999999999E-2</v>
      </c>
      <c r="O7788">
        <v>1.5955850000000001E-3</v>
      </c>
      <c r="P7788">
        <v>0.99776690000000001</v>
      </c>
      <c r="Q7788">
        <v>-5.5703519999999999E-2</v>
      </c>
      <c r="R7788">
        <v>-3.6859059999999999E-2</v>
      </c>
      <c r="S7788">
        <v>2.962494</v>
      </c>
      <c r="T7788">
        <v>-0.26074360000000002</v>
      </c>
      <c r="U7788">
        <v>-0.83007809999999904</v>
      </c>
      <c r="V7788">
        <v>3.8314439999999998E-2</v>
      </c>
      <c r="W7788">
        <v>-3.3084349999999998E-2</v>
      </c>
      <c r="X7788">
        <v>0.99871790000000005</v>
      </c>
      <c r="Y7788">
        <v>0.270101599999999</v>
      </c>
      <c r="Z7788">
        <v>-1.4889589999999999E-2</v>
      </c>
      <c r="AA7788">
        <v>0.96271669999999998</v>
      </c>
      <c r="AB7788">
        <v>21</v>
      </c>
      <c r="AC7788">
        <v>12.789400000000001</v>
      </c>
      <c r="AD7788">
        <v>-1.135035</v>
      </c>
      <c r="AE7788">
        <v>-3.6163099999999999</v>
      </c>
      <c r="AF7788">
        <v>3.6103862861954199</v>
      </c>
      <c r="AG7788">
        <v>-1.135035</v>
      </c>
      <c r="AH7788">
        <v>12.6910546452735</v>
      </c>
      <c r="AI7788">
        <v>94.916629397487</v>
      </c>
      <c r="AJ7788">
        <v>74.119861010324897</v>
      </c>
      <c r="AK7788">
        <v>13.243340273363399</v>
      </c>
      <c r="AL7788">
        <v>91.895939591125497</v>
      </c>
      <c r="AM7788">
        <v>87.803003543292704</v>
      </c>
      <c r="AN7788">
        <v>1.0000000071539199</v>
      </c>
    </row>
    <row r="7789" spans="1:40" x14ac:dyDescent="0.25">
      <c r="A7789" t="str">
        <f>"20190303153958317"</f>
        <v>20190303153958317</v>
      </c>
      <c r="B7789" t="str">
        <f>"1551598798306179"</f>
        <v>1551598798306179</v>
      </c>
      <c r="C7789" t="s">
        <v>40</v>
      </c>
      <c r="D7789">
        <v>4.7682640000000003</v>
      </c>
      <c r="E7789">
        <v>0.59081890000000004</v>
      </c>
      <c r="F7789" t="s">
        <v>43</v>
      </c>
      <c r="G7789">
        <v>-303.21559999999999</v>
      </c>
      <c r="H7789">
        <v>-0.05</v>
      </c>
      <c r="I7789">
        <v>14.186249999999999</v>
      </c>
      <c r="J7789">
        <v>-316.16969999999998</v>
      </c>
      <c r="K7789">
        <v>1.0840289999999999</v>
      </c>
      <c r="L7789">
        <v>17.868679999999902</v>
      </c>
      <c r="M7789">
        <v>0.9997492</v>
      </c>
      <c r="N7789">
        <v>-2.2390400000000001E-2</v>
      </c>
      <c r="O7789">
        <v>3.7964869999999998E-4</v>
      </c>
      <c r="P7789">
        <v>0.99772749999999999</v>
      </c>
      <c r="Q7789">
        <v>-5.5290449999999998E-2</v>
      </c>
      <c r="R7789">
        <v>-3.8508630000000002E-2</v>
      </c>
      <c r="S7789">
        <v>2.961487</v>
      </c>
      <c r="T7789">
        <v>-0.25750040000000002</v>
      </c>
      <c r="U7789">
        <v>-0.83569340000000003</v>
      </c>
      <c r="V7789">
        <v>3.8747259999999999E-2</v>
      </c>
      <c r="W7789">
        <v>-3.3102359999999997E-2</v>
      </c>
      <c r="X7789">
        <v>0.99870060000000005</v>
      </c>
      <c r="Y7789">
        <v>0.27073930000000002</v>
      </c>
      <c r="Z7789">
        <v>-1.4644580000000001E-2</v>
      </c>
      <c r="AA7789">
        <v>0.96254130000000004</v>
      </c>
      <c r="AB7789">
        <v>21</v>
      </c>
      <c r="AC7789">
        <v>12.954099999999899</v>
      </c>
      <c r="AD7789">
        <v>-1.134029</v>
      </c>
      <c r="AE7789">
        <v>-3.6824299999999899</v>
      </c>
      <c r="AF7789">
        <v>3.6613874051190498</v>
      </c>
      <c r="AG7789">
        <v>-1.134029</v>
      </c>
      <c r="AH7789">
        <v>12.8615044230283</v>
      </c>
      <c r="AI7789">
        <v>94.847256171097897</v>
      </c>
      <c r="AJ7789">
        <v>74.109512591892795</v>
      </c>
      <c r="AK7789">
        <v>13.4205095106997</v>
      </c>
      <c r="AL7789">
        <v>91.8969720626108</v>
      </c>
      <c r="AM7789">
        <v>87.778171404611598</v>
      </c>
      <c r="AN7789">
        <v>1.00000000241771</v>
      </c>
    </row>
    <row r="7790" spans="1:40" x14ac:dyDescent="0.25">
      <c r="A7790" t="str">
        <f>"20190303153958328"</f>
        <v>20190303153958328</v>
      </c>
      <c r="B7790" t="str">
        <f>"1551598798325698"</f>
        <v>1551598798325698</v>
      </c>
      <c r="C7790" t="s">
        <v>40</v>
      </c>
      <c r="D7790">
        <v>4.7543439999999997</v>
      </c>
      <c r="E7790">
        <v>0.56672319999999998</v>
      </c>
      <c r="F7790" t="s">
        <v>43</v>
      </c>
      <c r="G7790">
        <v>-303.09539999999998</v>
      </c>
      <c r="H7790">
        <v>-0.05</v>
      </c>
      <c r="I7790">
        <v>14.156650000000001</v>
      </c>
      <c r="J7790">
        <v>-316.06450000000001</v>
      </c>
      <c r="K7790">
        <v>1.082997</v>
      </c>
      <c r="L7790">
        <v>17.867370000000001</v>
      </c>
      <c r="M7790">
        <v>0.99975890000000001</v>
      </c>
      <c r="N7790">
        <v>-2.1943170000000001E-2</v>
      </c>
      <c r="O7790">
        <v>-9.0918089999999997E-4</v>
      </c>
      <c r="P7790">
        <v>0.99764540000000002</v>
      </c>
      <c r="Q7790">
        <v>-5.5450579999999999E-2</v>
      </c>
      <c r="R7790">
        <v>-4.0363620000000003E-2</v>
      </c>
      <c r="S7790">
        <v>2.960175</v>
      </c>
      <c r="T7790">
        <v>-0.25675829999999999</v>
      </c>
      <c r="U7790">
        <v>-0.84045409999999898</v>
      </c>
      <c r="V7790">
        <v>3.9309999999999998E-2</v>
      </c>
      <c r="W7790">
        <v>-3.371615E-2</v>
      </c>
      <c r="X7790">
        <v>0.99865809999999999</v>
      </c>
      <c r="Y7790">
        <v>0.2710555</v>
      </c>
      <c r="Z7790">
        <v>-1.4487989999999999E-2</v>
      </c>
      <c r="AA7790">
        <v>0.9624547</v>
      </c>
      <c r="AB7790">
        <v>21</v>
      </c>
      <c r="AC7790">
        <v>12.969099999999999</v>
      </c>
      <c r="AD7790">
        <v>-1.132997</v>
      </c>
      <c r="AE7790">
        <v>-3.7107199999999998</v>
      </c>
      <c r="AF7790">
        <v>3.67301317785431</v>
      </c>
      <c r="AG7790">
        <v>-1.132997</v>
      </c>
      <c r="AH7790">
        <v>12.8815962265897</v>
      </c>
      <c r="AI7790">
        <v>94.834766893679699</v>
      </c>
      <c r="AJ7790">
        <v>74.085215332370595</v>
      </c>
      <c r="AK7790">
        <v>13.442850492049301</v>
      </c>
      <c r="AL7790">
        <v>91.932159233647695</v>
      </c>
      <c r="AM7790">
        <v>87.745840230257897</v>
      </c>
      <c r="AN7790">
        <v>1.00000002778321</v>
      </c>
    </row>
    <row r="7791" spans="1:40" x14ac:dyDescent="0.25">
      <c r="A7791" t="str">
        <f>"20190303153958339"</f>
        <v>20190303153958339</v>
      </c>
      <c r="B7791" t="str">
        <f>"1551598798336434"</f>
        <v>1551598798336434</v>
      </c>
      <c r="C7791" t="s">
        <v>40</v>
      </c>
      <c r="D7791">
        <v>4.7388960000000004</v>
      </c>
      <c r="E7791">
        <v>0.56557880000000005</v>
      </c>
      <c r="F7791" t="s">
        <v>43</v>
      </c>
      <c r="G7791">
        <v>-299.25170000000003</v>
      </c>
      <c r="H7791">
        <v>-0.05</v>
      </c>
      <c r="I7791">
        <v>14.1691</v>
      </c>
      <c r="J7791">
        <v>-315.96769999999998</v>
      </c>
      <c r="K7791">
        <v>1.08212</v>
      </c>
      <c r="L7791">
        <v>17.86581</v>
      </c>
      <c r="M7791">
        <v>0.99976549999999997</v>
      </c>
      <c r="N7791">
        <v>-2.1545450000000001E-2</v>
      </c>
      <c r="O7791">
        <v>-2.1375690000000002E-3</v>
      </c>
      <c r="P7791">
        <v>0.99756540000000005</v>
      </c>
      <c r="Q7791">
        <v>-5.561845E-2</v>
      </c>
      <c r="R7791">
        <v>-4.2069139999999998E-2</v>
      </c>
      <c r="S7791">
        <v>2.9695130000000001</v>
      </c>
      <c r="T7791">
        <v>-0.20011209999999999</v>
      </c>
      <c r="U7791">
        <v>-0.65319819999999995</v>
      </c>
      <c r="V7791">
        <v>3.9785010000000003E-2</v>
      </c>
      <c r="W7791">
        <v>-3.4286919999999999E-2</v>
      </c>
      <c r="X7791">
        <v>0.9986199</v>
      </c>
      <c r="Y7791">
        <v>0.21213370000000001</v>
      </c>
      <c r="Z7791">
        <v>-9.2746979999999996E-3</v>
      </c>
      <c r="AA7791">
        <v>0.97719659999999997</v>
      </c>
      <c r="AB7791">
        <v>21</v>
      </c>
      <c r="AC7791">
        <v>16.715999999999902</v>
      </c>
      <c r="AD7791">
        <v>-1.13212</v>
      </c>
      <c r="AE7791">
        <v>-3.6967099999999999</v>
      </c>
      <c r="AF7791">
        <v>3.6450218216202099</v>
      </c>
      <c r="AG7791">
        <v>-1.13212</v>
      </c>
      <c r="AH7791">
        <v>16.651049893805698</v>
      </c>
      <c r="AI7791">
        <v>93.799898618113602</v>
      </c>
      <c r="AJ7791">
        <v>77.652359737693899</v>
      </c>
      <c r="AK7791">
        <v>17.082896192990599</v>
      </c>
      <c r="AL7791">
        <v>91.9648807780531</v>
      </c>
      <c r="AM7791">
        <v>87.718543086648907</v>
      </c>
      <c r="AN7791">
        <v>1.0000000722898901</v>
      </c>
    </row>
    <row r="7792" spans="1:40" x14ac:dyDescent="0.25">
      <c r="A7792" t="str">
        <f>"20190303153958350"</f>
        <v>20190303153958350</v>
      </c>
      <c r="B7792" t="str">
        <f>"1551598798346194"</f>
        <v>1551598798346194</v>
      </c>
      <c r="C7792" t="s">
        <v>40</v>
      </c>
      <c r="D7792">
        <v>4.7414909999999999</v>
      </c>
      <c r="E7792">
        <v>0.56494049999999996</v>
      </c>
      <c r="F7792" t="s">
        <v>43</v>
      </c>
      <c r="G7792">
        <v>-299.06229999999999</v>
      </c>
      <c r="H7792">
        <v>-0.05</v>
      </c>
      <c r="I7792">
        <v>14.169280000000001</v>
      </c>
      <c r="J7792">
        <v>-315.86279999999999</v>
      </c>
      <c r="K7792">
        <v>1.0811839999999999</v>
      </c>
      <c r="L7792">
        <v>17.86411</v>
      </c>
      <c r="M7792">
        <v>0.99977090000000002</v>
      </c>
      <c r="N7792">
        <v>-2.11176E-2</v>
      </c>
      <c r="O7792">
        <v>-3.4750950000000001E-3</v>
      </c>
      <c r="P7792">
        <v>0.99748499999999996</v>
      </c>
      <c r="Q7792">
        <v>-5.5433660000000003E-2</v>
      </c>
      <c r="R7792">
        <v>-4.4168239999999998E-2</v>
      </c>
      <c r="S7792">
        <v>2.968842</v>
      </c>
      <c r="T7792">
        <v>-0.1988182</v>
      </c>
      <c r="U7792">
        <v>-0.64916989999999997</v>
      </c>
      <c r="V7792">
        <v>4.0545810000000002E-2</v>
      </c>
      <c r="W7792">
        <v>-3.4536490000000003E-2</v>
      </c>
      <c r="X7792">
        <v>0.99858060000000004</v>
      </c>
      <c r="Y7792">
        <v>0.20962510000000001</v>
      </c>
      <c r="Z7792">
        <v>-9.0150600000000001E-3</v>
      </c>
      <c r="AA7792">
        <v>0.97774030000000001</v>
      </c>
      <c r="AB7792">
        <v>21</v>
      </c>
      <c r="AC7792">
        <v>16.8005</v>
      </c>
      <c r="AD7792">
        <v>-1.131184</v>
      </c>
      <c r="AE7792">
        <v>-3.6948300000000001</v>
      </c>
      <c r="AF7792">
        <v>3.62075433956714</v>
      </c>
      <c r="AG7792">
        <v>-1.131184</v>
      </c>
      <c r="AH7792">
        <v>16.740849944998601</v>
      </c>
      <c r="AI7792">
        <v>93.778512161620895</v>
      </c>
      <c r="AJ7792">
        <v>77.795898378078206</v>
      </c>
      <c r="AK7792">
        <v>17.165240927825899</v>
      </c>
      <c r="AL7792">
        <v>91.979188754698299</v>
      </c>
      <c r="AM7792">
        <v>87.674871314636604</v>
      </c>
      <c r="AN7792">
        <v>0.99999997327321699</v>
      </c>
    </row>
    <row r="7793" spans="1:40" x14ac:dyDescent="0.25">
      <c r="A7793" t="str">
        <f>"20190303153958362"</f>
        <v>20190303153958362</v>
      </c>
      <c r="B7793" t="str">
        <f>"1551598798355953"</f>
        <v>1551598798355953</v>
      </c>
      <c r="C7793" t="s">
        <v>40</v>
      </c>
      <c r="D7793">
        <v>4.7149850000000004</v>
      </c>
      <c r="E7793">
        <v>0.56476899999999997</v>
      </c>
      <c r="F7793" t="s">
        <v>43</v>
      </c>
      <c r="G7793">
        <v>-298.87970000000001</v>
      </c>
      <c r="H7793">
        <v>-0.05</v>
      </c>
      <c r="I7793">
        <v>14.143129999999999</v>
      </c>
      <c r="J7793">
        <v>-315.74160000000001</v>
      </c>
      <c r="K7793">
        <v>1.080201</v>
      </c>
      <c r="L7793">
        <v>17.861820000000002</v>
      </c>
      <c r="M7793">
        <v>0.99977380000000005</v>
      </c>
      <c r="N7793">
        <v>-2.0648960000000001E-2</v>
      </c>
      <c r="O7793">
        <v>-5.086915E-3</v>
      </c>
      <c r="P7793">
        <v>0.9973706</v>
      </c>
      <c r="Q7793">
        <v>-5.5238660000000002E-2</v>
      </c>
      <c r="R7793">
        <v>-4.6911380000000003E-2</v>
      </c>
      <c r="S7793">
        <v>2.9677730000000002</v>
      </c>
      <c r="T7793">
        <v>-0.1976734</v>
      </c>
      <c r="U7793">
        <v>-0.65023799999999998</v>
      </c>
      <c r="V7793">
        <v>4.1677499999999999E-2</v>
      </c>
      <c r="W7793">
        <v>-3.481824E-2</v>
      </c>
      <c r="X7793">
        <v>0.99852419999999997</v>
      </c>
      <c r="Y7793">
        <v>0.20847199999999999</v>
      </c>
      <c r="Z7793">
        <v>-8.8042539999999992E-3</v>
      </c>
      <c r="AA7793">
        <v>0.97798870000000004</v>
      </c>
      <c r="AB7793">
        <v>21</v>
      </c>
      <c r="AC7793">
        <v>16.861899999999899</v>
      </c>
      <c r="AD7793">
        <v>-1.130201</v>
      </c>
      <c r="AE7793">
        <v>-3.7186900000000001</v>
      </c>
      <c r="AF7793">
        <v>3.6173509397628099</v>
      </c>
      <c r="AG7793">
        <v>-1.130201</v>
      </c>
      <c r="AH7793">
        <v>16.8085905023487</v>
      </c>
      <c r="AI7793">
        <v>93.760897515732395</v>
      </c>
      <c r="AJ7793">
        <v>77.854703947438907</v>
      </c>
      <c r="AK7793">
        <v>17.230533851202999</v>
      </c>
      <c r="AL7793">
        <v>91.995341600645403</v>
      </c>
      <c r="AM7793">
        <v>87.609913132661603</v>
      </c>
      <c r="AN7793">
        <v>0.99999995091429195</v>
      </c>
    </row>
    <row r="7794" spans="1:40" x14ac:dyDescent="0.25">
      <c r="A7794" t="str">
        <f>"20190303153958376"</f>
        <v>20190303153958376</v>
      </c>
      <c r="B7794" t="str">
        <f>"1551598798365714"</f>
        <v>1551598798365714</v>
      </c>
      <c r="C7794" t="s">
        <v>40</v>
      </c>
      <c r="D7794">
        <v>4.765936</v>
      </c>
      <c r="E7794">
        <v>0.56482719999999997</v>
      </c>
      <c r="F7794" t="s">
        <v>43</v>
      </c>
      <c r="G7794">
        <v>-298.80869999999999</v>
      </c>
      <c r="H7794">
        <v>-0.05</v>
      </c>
      <c r="I7794">
        <v>14.110440000000001</v>
      </c>
      <c r="J7794">
        <v>-315.6234</v>
      </c>
      <c r="K7794">
        <v>1.0792919999999999</v>
      </c>
      <c r="L7794">
        <v>17.85934</v>
      </c>
      <c r="M7794">
        <v>0.99977340000000003</v>
      </c>
      <c r="N7794">
        <v>-2.0207349999999999E-2</v>
      </c>
      <c r="O7794">
        <v>-6.6953119999999897E-3</v>
      </c>
      <c r="P7794">
        <v>0.99723130000000004</v>
      </c>
      <c r="Q7794">
        <v>-5.5347689999999998E-2</v>
      </c>
      <c r="R7794">
        <v>-4.9662709999999999E-2</v>
      </c>
      <c r="S7794">
        <v>2.9660340000000001</v>
      </c>
      <c r="T7794">
        <v>-0.19797000000000001</v>
      </c>
      <c r="U7794">
        <v>-0.65710449999999998</v>
      </c>
      <c r="V7794">
        <v>4.2820469999999999E-2</v>
      </c>
      <c r="W7794">
        <v>-3.5376940000000003E-2</v>
      </c>
      <c r="X7794">
        <v>0.99845620000000002</v>
      </c>
      <c r="Y7794">
        <v>0.2091789</v>
      </c>
      <c r="Z7794">
        <v>-8.7244880000000007E-3</v>
      </c>
      <c r="AA7794">
        <v>0.97783850000000005</v>
      </c>
      <c r="AB7794">
        <v>21</v>
      </c>
      <c r="AC7794">
        <v>16.814699999999998</v>
      </c>
      <c r="AD7794">
        <v>-1.129292</v>
      </c>
      <c r="AE7794">
        <v>-3.7488999999999999</v>
      </c>
      <c r="AF7794">
        <v>3.62065531960585</v>
      </c>
      <c r="AG7794">
        <v>-1.129292</v>
      </c>
      <c r="AH7794">
        <v>16.767378678096001</v>
      </c>
      <c r="AI7794">
        <v>93.766529397506304</v>
      </c>
      <c r="AJ7794">
        <v>77.814953121771197</v>
      </c>
      <c r="AK7794">
        <v>17.190969521796099</v>
      </c>
      <c r="AL7794">
        <v>92.027372487155205</v>
      </c>
      <c r="AM7794">
        <v>87.544279165094395</v>
      </c>
      <c r="AN7794">
        <v>0.99999995192661095</v>
      </c>
    </row>
    <row r="7795" spans="1:40" x14ac:dyDescent="0.25">
      <c r="A7795" t="str">
        <f>"20190303153958389"</f>
        <v>20190303153958389</v>
      </c>
      <c r="B7795" t="str">
        <f>"1551598798386210"</f>
        <v>1551598798386210</v>
      </c>
      <c r="C7795" t="s">
        <v>40</v>
      </c>
      <c r="D7795">
        <v>4.7211730000000003</v>
      </c>
      <c r="E7795">
        <v>0.56455269999999902</v>
      </c>
      <c r="F7795" t="s">
        <v>43</v>
      </c>
      <c r="G7795">
        <v>-298.7124</v>
      </c>
      <c r="H7795">
        <v>-0.05</v>
      </c>
      <c r="I7795">
        <v>14.061389999999999</v>
      </c>
      <c r="J7795">
        <v>-315.49549999999999</v>
      </c>
      <c r="K7795">
        <v>1.0783640000000001</v>
      </c>
      <c r="L7795">
        <v>17.85651</v>
      </c>
      <c r="M7795">
        <v>0.99976900000000002</v>
      </c>
      <c r="N7795">
        <v>-1.974739E-2</v>
      </c>
      <c r="O7795">
        <v>-8.4727399999999994E-3</v>
      </c>
      <c r="P7795">
        <v>0.99707100000000004</v>
      </c>
      <c r="Q7795">
        <v>-5.5436279999999998E-2</v>
      </c>
      <c r="R7795">
        <v>-5.2691620000000002E-2</v>
      </c>
      <c r="S7795">
        <v>2.964172</v>
      </c>
      <c r="T7795">
        <v>-0.19794310000000001</v>
      </c>
      <c r="U7795">
        <v>-0.66571040000000004</v>
      </c>
      <c r="V7795">
        <v>4.4072729999999997E-2</v>
      </c>
      <c r="W7795">
        <v>-3.5933850000000003E-2</v>
      </c>
      <c r="X7795">
        <v>0.99838190000000004</v>
      </c>
      <c r="Y7795">
        <v>0.21027660000000001</v>
      </c>
      <c r="Z7795">
        <v>-8.6391060000000006E-3</v>
      </c>
      <c r="AA7795">
        <v>0.97760369999999996</v>
      </c>
      <c r="AB7795">
        <v>21</v>
      </c>
      <c r="AC7795">
        <v>16.783099999999902</v>
      </c>
      <c r="AD7795">
        <v>-1.1283639999999999</v>
      </c>
      <c r="AE7795">
        <v>-3.7951199999999998</v>
      </c>
      <c r="AF7795">
        <v>3.63711653441315</v>
      </c>
      <c r="AG7795">
        <v>-1.1283639999999999</v>
      </c>
      <c r="AH7795">
        <v>16.742660655573701</v>
      </c>
      <c r="AI7795">
        <v>93.767971156264906</v>
      </c>
      <c r="AJ7795">
        <v>77.743697452091496</v>
      </c>
      <c r="AK7795">
        <v>17.1702797830756</v>
      </c>
      <c r="AL7795">
        <v>92.059301217486706</v>
      </c>
      <c r="AM7795">
        <v>87.472366980632202</v>
      </c>
      <c r="AN7795">
        <v>1.0000000326765399</v>
      </c>
    </row>
    <row r="7796" spans="1:40" x14ac:dyDescent="0.25">
      <c r="A7796" t="str">
        <f>"20190303153958403"</f>
        <v>20190303153958403</v>
      </c>
      <c r="B7796" t="str">
        <f>"1551598798395971"</f>
        <v>1551598798395971</v>
      </c>
      <c r="C7796" t="s">
        <v>40</v>
      </c>
      <c r="D7796">
        <v>4.7460449999999996</v>
      </c>
      <c r="E7796">
        <v>0.56465319999999997</v>
      </c>
      <c r="F7796" t="s">
        <v>43</v>
      </c>
      <c r="G7796">
        <v>-298.75389999999999</v>
      </c>
      <c r="H7796">
        <v>-0.05</v>
      </c>
      <c r="I7796">
        <v>14.05556</v>
      </c>
      <c r="J7796">
        <v>-315.35899999999998</v>
      </c>
      <c r="K7796">
        <v>1.077483</v>
      </c>
      <c r="L7796">
        <v>17.853059999999999</v>
      </c>
      <c r="M7796">
        <v>0.99975930000000002</v>
      </c>
      <c r="N7796">
        <v>-1.9297109999999999E-2</v>
      </c>
      <c r="O7796">
        <v>-1.0443050000000001E-2</v>
      </c>
      <c r="P7796">
        <v>0.99686680000000005</v>
      </c>
      <c r="Q7796">
        <v>-5.4466090000000002E-2</v>
      </c>
      <c r="R7796">
        <v>-5.7358569999999998E-2</v>
      </c>
      <c r="S7796">
        <v>2.9621580000000001</v>
      </c>
      <c r="T7796">
        <v>-0.1996462</v>
      </c>
      <c r="U7796">
        <v>-0.67251590000000006</v>
      </c>
      <c r="V7796">
        <v>4.6777159999999998E-2</v>
      </c>
      <c r="W7796">
        <v>-3.5429330000000002E-2</v>
      </c>
      <c r="X7796">
        <v>0.99827679999999996</v>
      </c>
      <c r="Y7796">
        <v>0.2106249</v>
      </c>
      <c r="Z7796">
        <v>-8.5667989999999999E-3</v>
      </c>
      <c r="AA7796">
        <v>0.97752939999999999</v>
      </c>
      <c r="AB7796">
        <v>21</v>
      </c>
      <c r="AC7796">
        <v>16.6051</v>
      </c>
      <c r="AD7796">
        <v>-1.127483</v>
      </c>
      <c r="AE7796">
        <v>-3.7974999999999999</v>
      </c>
      <c r="AF7796">
        <v>3.6080449618071402</v>
      </c>
      <c r="AG7796">
        <v>-1.127483</v>
      </c>
      <c r="AH7796">
        <v>16.571256422982799</v>
      </c>
      <c r="AI7796">
        <v>93.803479487834494</v>
      </c>
      <c r="AJ7796">
        <v>77.716745981149003</v>
      </c>
      <c r="AK7796">
        <v>16.996933423354999</v>
      </c>
      <c r="AL7796">
        <v>92.030376090337796</v>
      </c>
      <c r="AM7796">
        <v>87.317202134189003</v>
      </c>
      <c r="AN7796">
        <v>0.99999995477007597</v>
      </c>
    </row>
    <row r="7797" spans="1:40" x14ac:dyDescent="0.25">
      <c r="A7797" t="str">
        <f>"20190303153958415"</f>
        <v>20190303153958415</v>
      </c>
      <c r="B7797" t="str">
        <f>"1551598798405730"</f>
        <v>1551598798405730</v>
      </c>
      <c r="C7797" t="s">
        <v>40</v>
      </c>
      <c r="D7797">
        <v>4.728898</v>
      </c>
      <c r="E7797">
        <v>0.56448809999999905</v>
      </c>
      <c r="F7797" t="s">
        <v>43</v>
      </c>
      <c r="G7797">
        <v>-298.42649999999998</v>
      </c>
      <c r="H7797">
        <v>-0.05</v>
      </c>
      <c r="I7797">
        <v>13.9218799999999</v>
      </c>
      <c r="J7797">
        <v>-315.2509</v>
      </c>
      <c r="K7797">
        <v>1.076827</v>
      </c>
      <c r="L7797">
        <v>17.850159999999999</v>
      </c>
      <c r="M7797">
        <v>0.99974810000000003</v>
      </c>
      <c r="N7797">
        <v>-1.8957519999999999E-2</v>
      </c>
      <c r="O7797">
        <v>-1.20304E-2</v>
      </c>
      <c r="P7797">
        <v>0.99674459999999998</v>
      </c>
      <c r="Q7797">
        <v>-5.3471110000000002E-2</v>
      </c>
      <c r="R7797">
        <v>-6.0344340000000003E-2</v>
      </c>
      <c r="S7797">
        <v>2.9591059999999998</v>
      </c>
      <c r="T7797">
        <v>-0.19703789999999999</v>
      </c>
      <c r="U7797">
        <v>-0.687011699999999</v>
      </c>
      <c r="V7797">
        <v>4.8182250000000003E-2</v>
      </c>
      <c r="W7797">
        <v>-3.4782100000000003E-2</v>
      </c>
      <c r="X7797">
        <v>0.99823280000000003</v>
      </c>
      <c r="Y7797">
        <v>0.21384629999999999</v>
      </c>
      <c r="Z7797">
        <v>-8.5109130000000002E-3</v>
      </c>
      <c r="AA7797">
        <v>0.97683019999999998</v>
      </c>
      <c r="AB7797">
        <v>21</v>
      </c>
      <c r="AC7797">
        <v>16.824400000000001</v>
      </c>
      <c r="AD7797">
        <v>-1.126827</v>
      </c>
      <c r="AE7797">
        <v>-3.92828</v>
      </c>
      <c r="AF7797">
        <v>3.7097741941134301</v>
      </c>
      <c r="AG7797">
        <v>-1.126827</v>
      </c>
      <c r="AH7797">
        <v>16.798988921572398</v>
      </c>
      <c r="AI7797">
        <v>93.747462184692694</v>
      </c>
      <c r="AJ7797">
        <v>77.547055421123503</v>
      </c>
      <c r="AK7797">
        <v>17.240597218378198</v>
      </c>
      <c r="AL7797">
        <v>91.993269531654306</v>
      </c>
      <c r="AM7797">
        <v>87.236617859208394</v>
      </c>
      <c r="AN7797">
        <v>1.0000000233456501</v>
      </c>
    </row>
    <row r="7798" spans="1:40" x14ac:dyDescent="0.25">
      <c r="A7798" t="str">
        <f>"20190303153958426"</f>
        <v>20190303153958426</v>
      </c>
      <c r="B7798" t="str">
        <f>"1551598798416466"</f>
        <v>1551598798416466</v>
      </c>
      <c r="C7798" t="s">
        <v>40</v>
      </c>
      <c r="D7798">
        <v>4.7719800000000001</v>
      </c>
      <c r="E7798">
        <v>0.56445040000000002</v>
      </c>
      <c r="F7798" t="s">
        <v>43</v>
      </c>
      <c r="G7798">
        <v>-298.03910000000002</v>
      </c>
      <c r="H7798">
        <v>-0.05</v>
      </c>
      <c r="I7798">
        <v>13.80791</v>
      </c>
      <c r="J7798">
        <v>-315.14330000000001</v>
      </c>
      <c r="K7798">
        <v>1.0762100000000001</v>
      </c>
      <c r="L7798">
        <v>17.847079999999998</v>
      </c>
      <c r="M7798">
        <v>0.99973339999999999</v>
      </c>
      <c r="N7798">
        <v>-1.8634700000000001E-2</v>
      </c>
      <c r="O7798">
        <v>-1.363661E-2</v>
      </c>
      <c r="P7798">
        <v>0.99663330000000006</v>
      </c>
      <c r="Q7798">
        <v>-5.22643E-2</v>
      </c>
      <c r="R7798">
        <v>-6.3171619999999998E-2</v>
      </c>
      <c r="S7798">
        <v>2.9573670000000001</v>
      </c>
      <c r="T7798">
        <v>-0.1936138</v>
      </c>
      <c r="U7798">
        <v>-0.69454959999999999</v>
      </c>
      <c r="V7798">
        <v>4.9411320000000002E-2</v>
      </c>
      <c r="W7798">
        <v>-3.3905379999999999E-2</v>
      </c>
      <c r="X7798">
        <v>0.9982029</v>
      </c>
      <c r="Y7798">
        <v>0.21478320000000001</v>
      </c>
      <c r="Z7798">
        <v>-8.3312819999999902E-3</v>
      </c>
      <c r="AA7798">
        <v>0.9766262</v>
      </c>
      <c r="AB7798">
        <v>21</v>
      </c>
      <c r="AC7798">
        <v>17.104199999999899</v>
      </c>
      <c r="AD7798">
        <v>-1.1262099999999999</v>
      </c>
      <c r="AE7798">
        <v>-4.0391699999999897</v>
      </c>
      <c r="AF7798">
        <v>3.7899473164259598</v>
      </c>
      <c r="AG7798">
        <v>-1.1262099999999999</v>
      </c>
      <c r="AH7798">
        <v>17.0875303483704</v>
      </c>
      <c r="AI7798">
        <v>93.681600236840893</v>
      </c>
      <c r="AJ7798">
        <v>77.494461326702407</v>
      </c>
      <c r="AK7798">
        <v>17.538977821750699</v>
      </c>
      <c r="AL7798">
        <v>91.943007489626396</v>
      </c>
      <c r="AM7798">
        <v>87.166156103652</v>
      </c>
      <c r="AN7798">
        <v>1.0000000414527399</v>
      </c>
    </row>
    <row r="7799" spans="1:40" x14ac:dyDescent="0.25">
      <c r="A7799" t="str">
        <f>"20190303153958436"</f>
        <v>20190303153958436</v>
      </c>
      <c r="B7799" t="str">
        <f>"1551598798426226"</f>
        <v>1551598798426226</v>
      </c>
      <c r="C7799" t="s">
        <v>40</v>
      </c>
      <c r="D7799">
        <v>4.7154910000000001</v>
      </c>
      <c r="E7799">
        <v>0.56429779999999996</v>
      </c>
      <c r="F7799" t="s">
        <v>43</v>
      </c>
      <c r="G7799">
        <v>-297.6223</v>
      </c>
      <c r="H7799">
        <v>-0.05</v>
      </c>
      <c r="I7799">
        <v>13.68207</v>
      </c>
      <c r="J7799">
        <v>-315.04599999999999</v>
      </c>
      <c r="K7799">
        <v>1.075699</v>
      </c>
      <c r="L7799">
        <v>17.844059999999999</v>
      </c>
      <c r="M7799">
        <v>0.99971710000000003</v>
      </c>
      <c r="N7799">
        <v>-1.836314E-2</v>
      </c>
      <c r="O7799">
        <v>-1.511988E-2</v>
      </c>
      <c r="P7799">
        <v>0.99650289999999997</v>
      </c>
      <c r="Q7799">
        <v>-5.1171759999999997E-2</v>
      </c>
      <c r="R7799">
        <v>-6.6057060000000001E-2</v>
      </c>
      <c r="S7799">
        <v>2.9556580000000001</v>
      </c>
      <c r="T7799">
        <v>-0.1899836</v>
      </c>
      <c r="U7799">
        <v>-0.70260619999999996</v>
      </c>
      <c r="V7799">
        <v>5.0821140000000001E-2</v>
      </c>
      <c r="W7799">
        <v>-3.3093089999999999E-2</v>
      </c>
      <c r="X7799">
        <v>0.99815929999999997</v>
      </c>
      <c r="Y7799">
        <v>0.2159992</v>
      </c>
      <c r="Z7799">
        <v>-8.1696600000000005E-3</v>
      </c>
      <c r="AA7799">
        <v>0.97635939999999999</v>
      </c>
      <c r="AB7799">
        <v>21</v>
      </c>
      <c r="AC7799">
        <v>17.423699999999901</v>
      </c>
      <c r="AD7799">
        <v>-1.125699</v>
      </c>
      <c r="AE7799">
        <v>-4.1619899999999896</v>
      </c>
      <c r="AF7799">
        <v>3.8826934403625599</v>
      </c>
      <c r="AG7799">
        <v>-1.125699</v>
      </c>
      <c r="AH7799">
        <v>17.415875249161999</v>
      </c>
      <c r="AI7799">
        <v>93.609868445757698</v>
      </c>
      <c r="AJ7799">
        <v>77.4320135425572</v>
      </c>
      <c r="AK7799">
        <v>17.878904252912399</v>
      </c>
      <c r="AL7799">
        <v>91.896440711464706</v>
      </c>
      <c r="AM7799">
        <v>87.085310332728696</v>
      </c>
      <c r="AN7799">
        <v>0.99999996452656803</v>
      </c>
    </row>
    <row r="7800" spans="1:40" x14ac:dyDescent="0.25">
      <c r="A7800" t="str">
        <f>"20190303153958447"</f>
        <v>20190303153958447</v>
      </c>
      <c r="B7800" t="str">
        <f>"1551598798435985"</f>
        <v>1551598798435985</v>
      </c>
      <c r="C7800" t="s">
        <v>40</v>
      </c>
      <c r="D7800">
        <v>4.7650129999999997</v>
      </c>
      <c r="E7800">
        <v>0.56424810000000003</v>
      </c>
      <c r="F7800" t="s">
        <v>43</v>
      </c>
      <c r="G7800">
        <v>-297.24680000000001</v>
      </c>
      <c r="H7800">
        <v>-0.05</v>
      </c>
      <c r="I7800">
        <v>13.566129999999999</v>
      </c>
      <c r="J7800">
        <v>-314.94779999999997</v>
      </c>
      <c r="K7800">
        <v>1.0752029999999999</v>
      </c>
      <c r="L7800">
        <v>17.840910000000001</v>
      </c>
      <c r="M7800">
        <v>0.99969799999999998</v>
      </c>
      <c r="N7800">
        <v>-1.80955E-2</v>
      </c>
      <c r="O7800">
        <v>-1.6627929999999999E-2</v>
      </c>
      <c r="P7800">
        <v>0.9963516</v>
      </c>
      <c r="Q7800">
        <v>-4.9941300000000001E-2</v>
      </c>
      <c r="R7800">
        <v>-6.9205569999999994E-2</v>
      </c>
      <c r="S7800">
        <v>2.9539490000000002</v>
      </c>
      <c r="T7800">
        <v>-0.18682009999999999</v>
      </c>
      <c r="U7800">
        <v>-0.70996090000000001</v>
      </c>
      <c r="V7800">
        <v>5.2470679999999999E-2</v>
      </c>
      <c r="W7800">
        <v>-3.2140540000000002E-2</v>
      </c>
      <c r="X7800">
        <v>0.99810509999999997</v>
      </c>
      <c r="Y7800">
        <v>0.2169693</v>
      </c>
      <c r="Z7800">
        <v>-8.0127870000000004E-3</v>
      </c>
      <c r="AA7800">
        <v>0.97614559999999995</v>
      </c>
      <c r="AB7800">
        <v>21</v>
      </c>
      <c r="AC7800">
        <v>17.700999999999901</v>
      </c>
      <c r="AD7800">
        <v>-1.125203</v>
      </c>
      <c r="AE7800">
        <v>-4.2747799999999998</v>
      </c>
      <c r="AF7800">
        <v>3.96467206553121</v>
      </c>
      <c r="AG7800">
        <v>-1.125203</v>
      </c>
      <c r="AH7800">
        <v>17.7020559686745</v>
      </c>
      <c r="AI7800">
        <v>93.549325331417506</v>
      </c>
      <c r="AJ7800">
        <v>77.375976820504803</v>
      </c>
      <c r="AK7800">
        <v>18.175464007735801</v>
      </c>
      <c r="AL7800">
        <v>91.841834514020704</v>
      </c>
      <c r="AM7800">
        <v>86.990714092980795</v>
      </c>
      <c r="AN7800">
        <v>0.99999998860858097</v>
      </c>
    </row>
    <row r="7801" spans="1:40" x14ac:dyDescent="0.25">
      <c r="A7801" t="str">
        <f>"20190303153958458"</f>
        <v>20190303153958458</v>
      </c>
      <c r="B7801" t="str">
        <f>"1551598798445746"</f>
        <v>1551598798445746</v>
      </c>
      <c r="C7801" t="s">
        <v>40</v>
      </c>
      <c r="D7801">
        <v>4.7569049999999997</v>
      </c>
      <c r="E7801">
        <v>0.56419219999999903</v>
      </c>
      <c r="F7801" t="s">
        <v>43</v>
      </c>
      <c r="G7801">
        <v>-296.71530000000001</v>
      </c>
      <c r="H7801">
        <v>-0.05</v>
      </c>
      <c r="I7801">
        <v>13.40039</v>
      </c>
      <c r="J7801">
        <v>-314.84780000000001</v>
      </c>
      <c r="K7801">
        <v>1.074738</v>
      </c>
      <c r="L7801">
        <v>17.83746</v>
      </c>
      <c r="M7801">
        <v>0.99967519999999999</v>
      </c>
      <c r="N7801">
        <v>-1.7844599999999999E-2</v>
      </c>
      <c r="O7801">
        <v>-1.8200310000000001E-2</v>
      </c>
      <c r="P7801">
        <v>0.9961546</v>
      </c>
      <c r="Q7801">
        <v>-4.8833599999999998E-2</v>
      </c>
      <c r="R7801">
        <v>-7.2744439999999994E-2</v>
      </c>
      <c r="S7801">
        <v>2.9519039999999999</v>
      </c>
      <c r="T7801">
        <v>-0.18217369999999999</v>
      </c>
      <c r="U7801">
        <v>-0.71893309999999999</v>
      </c>
      <c r="V7801">
        <v>5.4446229999999998E-2</v>
      </c>
      <c r="W7801">
        <v>-3.1296690000000002E-2</v>
      </c>
      <c r="X7801">
        <v>0.99802610000000003</v>
      </c>
      <c r="Y7801">
        <v>0.218412</v>
      </c>
      <c r="Z7801">
        <v>-7.8303959999999999E-3</v>
      </c>
      <c r="AA7801">
        <v>0.97582530000000001</v>
      </c>
      <c r="AB7801">
        <v>21</v>
      </c>
      <c r="AC7801">
        <v>18.1325</v>
      </c>
      <c r="AD7801">
        <v>-1.124738</v>
      </c>
      <c r="AE7801">
        <v>-4.4370699999999896</v>
      </c>
      <c r="AF7801">
        <v>4.0914125076012198</v>
      </c>
      <c r="AG7801">
        <v>-1.124738</v>
      </c>
      <c r="AH7801">
        <v>18.1443966451173</v>
      </c>
      <c r="AI7801">
        <v>93.460455806567495</v>
      </c>
      <c r="AJ7801">
        <v>77.292799503531697</v>
      </c>
      <c r="AK7801">
        <v>18.6339427253425</v>
      </c>
      <c r="AL7801">
        <v>91.7934611343791</v>
      </c>
      <c r="AM7801">
        <v>86.877386286511296</v>
      </c>
      <c r="AN7801">
        <v>0.99999998552368896</v>
      </c>
    </row>
    <row r="7802" spans="1:40" x14ac:dyDescent="0.25">
      <c r="A7802" t="str">
        <f>"20190303153958470"</f>
        <v>20190303153958470</v>
      </c>
      <c r="B7802" t="str">
        <f>"1551598798466242"</f>
        <v>1551598798466242</v>
      </c>
      <c r="C7802" t="s">
        <v>40</v>
      </c>
      <c r="D7802">
        <v>4.768516</v>
      </c>
      <c r="E7802">
        <v>0.564114</v>
      </c>
      <c r="F7802" t="s">
        <v>43</v>
      </c>
      <c r="G7802">
        <v>-296.3646</v>
      </c>
      <c r="H7802">
        <v>-0.05</v>
      </c>
      <c r="I7802">
        <v>13.269</v>
      </c>
      <c r="J7802">
        <v>-314.74160000000001</v>
      </c>
      <c r="K7802">
        <v>1.074255</v>
      </c>
      <c r="L7802">
        <v>17.83371</v>
      </c>
      <c r="M7802">
        <v>0.99964790000000003</v>
      </c>
      <c r="N7802">
        <v>-1.7583189999999999E-2</v>
      </c>
      <c r="O7802">
        <v>-1.9878980000000001E-2</v>
      </c>
      <c r="P7802">
        <v>0.99590990000000001</v>
      </c>
      <c r="Q7802">
        <v>-4.8184449999999997E-2</v>
      </c>
      <c r="R7802">
        <v>-7.6432669999999994E-2</v>
      </c>
      <c r="S7802">
        <v>2.949554</v>
      </c>
      <c r="T7802">
        <v>-0.17948520000000001</v>
      </c>
      <c r="U7802">
        <v>-0.72903439999999997</v>
      </c>
      <c r="V7802">
        <v>5.6464189999999997E-2</v>
      </c>
      <c r="W7802">
        <v>-3.0922979999999999E-2</v>
      </c>
      <c r="X7802">
        <v>0.99792559999999997</v>
      </c>
      <c r="Y7802">
        <v>0.2201158</v>
      </c>
      <c r="Z7802">
        <v>-7.7127999999999997E-3</v>
      </c>
      <c r="AA7802">
        <v>0.97544319999999896</v>
      </c>
      <c r="AB7802">
        <v>21</v>
      </c>
      <c r="AC7802">
        <v>18.376999999999999</v>
      </c>
      <c r="AD7802">
        <v>-1.124255</v>
      </c>
      <c r="AE7802">
        <v>-4.5647099999999998</v>
      </c>
      <c r="AF7802">
        <v>4.18368707866051</v>
      </c>
      <c r="AG7802">
        <v>-1.124255</v>
      </c>
      <c r="AH7802">
        <v>18.3992628800268</v>
      </c>
      <c r="AI7802">
        <v>93.409787390037707</v>
      </c>
      <c r="AJ7802">
        <v>77.189704069173899</v>
      </c>
      <c r="AK7802">
        <v>18.9023824267077</v>
      </c>
      <c r="AL7802">
        <v>91.7720387879274</v>
      </c>
      <c r="AM7802">
        <v>86.761568225751205</v>
      </c>
      <c r="AN7802">
        <v>0.99999996928989698</v>
      </c>
    </row>
    <row r="7803" spans="1:40" x14ac:dyDescent="0.25">
      <c r="A7803" t="str">
        <f>"20190303153958480"</f>
        <v>20190303153958480</v>
      </c>
      <c r="B7803" t="str">
        <f>"1551598798476002"</f>
        <v>1551598798476002</v>
      </c>
      <c r="C7803" t="s">
        <v>40</v>
      </c>
      <c r="D7803">
        <v>4.7729369999999998</v>
      </c>
      <c r="E7803">
        <v>0.5639516</v>
      </c>
      <c r="F7803" t="s">
        <v>43</v>
      </c>
      <c r="G7803">
        <v>-296.22179999999997</v>
      </c>
      <c r="H7803">
        <v>-0.05</v>
      </c>
      <c r="I7803">
        <v>13.188029999999999</v>
      </c>
      <c r="J7803">
        <v>-314.63150000000002</v>
      </c>
      <c r="K7803">
        <v>1.073809</v>
      </c>
      <c r="L7803">
        <v>17.829439999999899</v>
      </c>
      <c r="M7803">
        <v>0.99961500000000003</v>
      </c>
      <c r="N7803">
        <v>-1.733761E-2</v>
      </c>
      <c r="O7803">
        <v>-2.1669560000000001E-2</v>
      </c>
      <c r="P7803">
        <v>0.99560159999999998</v>
      </c>
      <c r="Q7803">
        <v>-4.8045980000000002E-2</v>
      </c>
      <c r="R7803">
        <v>-8.0431249999999996E-2</v>
      </c>
      <c r="S7803">
        <v>2.9468990000000002</v>
      </c>
      <c r="T7803">
        <v>-0.1788931</v>
      </c>
      <c r="U7803">
        <v>-0.73922730000000003</v>
      </c>
      <c r="V7803">
        <v>5.8679530000000001E-2</v>
      </c>
      <c r="W7803">
        <v>-3.104662E-2</v>
      </c>
      <c r="X7803">
        <v>0.99779399999999996</v>
      </c>
      <c r="Y7803">
        <v>0.22175210000000001</v>
      </c>
      <c r="Z7803">
        <v>-7.6529850000000002E-3</v>
      </c>
      <c r="AA7803">
        <v>0.97507299999999997</v>
      </c>
      <c r="AB7803">
        <v>21</v>
      </c>
      <c r="AC7803">
        <v>18.409700000000001</v>
      </c>
      <c r="AD7803">
        <v>-1.1238090000000001</v>
      </c>
      <c r="AE7803">
        <v>-4.6414099999999898</v>
      </c>
      <c r="AF7803">
        <v>4.22652129551855</v>
      </c>
      <c r="AG7803">
        <v>-1.1238090000000001</v>
      </c>
      <c r="AH7803">
        <v>18.441355116528399</v>
      </c>
      <c r="AI7803">
        <v>93.399348906987896</v>
      </c>
      <c r="AJ7803">
        <v>77.091477246242505</v>
      </c>
      <c r="AK7803">
        <v>18.9528363962722</v>
      </c>
      <c r="AL7803">
        <v>91.779126145481996</v>
      </c>
      <c r="AM7803">
        <v>86.634353910395006</v>
      </c>
      <c r="AN7803">
        <v>1.00000002314522</v>
      </c>
    </row>
    <row r="7804" spans="1:40" x14ac:dyDescent="0.25">
      <c r="A7804" t="str">
        <f>"20190303153958492"</f>
        <v>20190303153958492</v>
      </c>
      <c r="B7804" t="str">
        <f>"1551598798485762"</f>
        <v>1551598798485762</v>
      </c>
      <c r="C7804" t="s">
        <v>40</v>
      </c>
      <c r="D7804">
        <v>4.7648869999999999</v>
      </c>
      <c r="E7804">
        <v>0.56380680000000005</v>
      </c>
      <c r="F7804" t="s">
        <v>43</v>
      </c>
      <c r="G7804">
        <v>-296.31599999999997</v>
      </c>
      <c r="H7804">
        <v>-0.05</v>
      </c>
      <c r="I7804">
        <v>13.1649799999999</v>
      </c>
      <c r="J7804">
        <v>-314.52929999999998</v>
      </c>
      <c r="K7804">
        <v>1.0734079999999999</v>
      </c>
      <c r="L7804">
        <v>17.82535</v>
      </c>
      <c r="M7804">
        <v>0.99958089999999999</v>
      </c>
      <c r="N7804">
        <v>-1.711615E-2</v>
      </c>
      <c r="O7804">
        <v>-2.334688E-2</v>
      </c>
      <c r="P7804">
        <v>0.99524670000000004</v>
      </c>
      <c r="Q7804">
        <v>-4.8305590000000002E-2</v>
      </c>
      <c r="R7804">
        <v>-8.4562209999999999E-2</v>
      </c>
      <c r="S7804">
        <v>2.944</v>
      </c>
      <c r="T7804">
        <v>-0.18063860000000001</v>
      </c>
      <c r="U7804">
        <v>-0.74975590000000003</v>
      </c>
      <c r="V7804">
        <v>6.1139979999999997E-2</v>
      </c>
      <c r="W7804">
        <v>-3.1546100000000001E-2</v>
      </c>
      <c r="X7804">
        <v>0.99763049999999998</v>
      </c>
      <c r="Y7804">
        <v>0.22361039999999999</v>
      </c>
      <c r="Z7804">
        <v>-7.6782200000000004E-3</v>
      </c>
      <c r="AA7804">
        <v>0.97464839999999997</v>
      </c>
      <c r="AB7804">
        <v>21</v>
      </c>
      <c r="AC7804">
        <v>18.2133</v>
      </c>
      <c r="AD7804">
        <v>-1.123408</v>
      </c>
      <c r="AE7804">
        <v>-4.6603700000000003</v>
      </c>
      <c r="AF7804">
        <v>4.21874934495436</v>
      </c>
      <c r="AG7804">
        <v>-1.123408</v>
      </c>
      <c r="AH7804">
        <v>18.251982452865999</v>
      </c>
      <c r="AI7804">
        <v>93.431850948177399</v>
      </c>
      <c r="AJ7804">
        <v>76.985256804633593</v>
      </c>
      <c r="AK7804">
        <v>18.766852560558601</v>
      </c>
      <c r="AL7804">
        <v>91.807758427650597</v>
      </c>
      <c r="AM7804">
        <v>86.493003189588293</v>
      </c>
      <c r="AN7804">
        <v>0.99999993405492804</v>
      </c>
    </row>
    <row r="7805" spans="1:40" x14ac:dyDescent="0.25">
      <c r="A7805" t="str">
        <f>"20190303153958504"</f>
        <v>20190303153958504</v>
      </c>
      <c r="B7805" t="str">
        <f>"1551598798496498"</f>
        <v>1551598798496498</v>
      </c>
      <c r="C7805" t="s">
        <v>40</v>
      </c>
      <c r="D7805">
        <v>4.7441740000000001</v>
      </c>
      <c r="E7805">
        <v>0.56365639999999995</v>
      </c>
      <c r="F7805" t="s">
        <v>43</v>
      </c>
      <c r="G7805">
        <v>-296.52690000000001</v>
      </c>
      <c r="H7805">
        <v>-0.05</v>
      </c>
      <c r="I7805">
        <v>13.167759999999999</v>
      </c>
      <c r="J7805">
        <v>-314.42180000000002</v>
      </c>
      <c r="K7805">
        <v>1.073021</v>
      </c>
      <c r="L7805">
        <v>17.820799999999998</v>
      </c>
      <c r="M7805">
        <v>0.99954089999999995</v>
      </c>
      <c r="N7805">
        <v>-1.690026E-2</v>
      </c>
      <c r="O7805">
        <v>-2.5147829999999999E-2</v>
      </c>
      <c r="P7805">
        <v>0.99482150000000003</v>
      </c>
      <c r="Q7805">
        <v>-4.8541229999999998E-2</v>
      </c>
      <c r="R7805">
        <v>-8.9296520000000004E-2</v>
      </c>
      <c r="S7805">
        <v>2.9407649999999999</v>
      </c>
      <c r="T7805">
        <v>-0.18351300000000001</v>
      </c>
      <c r="U7805">
        <v>-0.76083369999999995</v>
      </c>
      <c r="V7805">
        <v>6.4083080000000001E-2</v>
      </c>
      <c r="W7805">
        <v>-3.2019659999999998E-2</v>
      </c>
      <c r="X7805">
        <v>0.9974307</v>
      </c>
      <c r="Y7805">
        <v>0.22553980000000001</v>
      </c>
      <c r="Z7805">
        <v>-7.733045E-3</v>
      </c>
      <c r="AA7805">
        <v>0.97420329999999999</v>
      </c>
      <c r="AB7805">
        <v>21</v>
      </c>
      <c r="AC7805">
        <v>17.8949</v>
      </c>
      <c r="AD7805">
        <v>-1.1230209999999901</v>
      </c>
      <c r="AE7805">
        <v>-4.6530399999999901</v>
      </c>
      <c r="AF7805">
        <v>4.18604368987745</v>
      </c>
      <c r="AG7805">
        <v>-1.1230209999999901</v>
      </c>
      <c r="AH7805">
        <v>17.940089244670801</v>
      </c>
      <c r="AI7805">
        <v>93.488484692865896</v>
      </c>
      <c r="AJ7805">
        <v>76.865908436120705</v>
      </c>
      <c r="AK7805">
        <v>18.456189748882501</v>
      </c>
      <c r="AL7805">
        <v>91.834905103398299</v>
      </c>
      <c r="AM7805">
        <v>86.323904541626504</v>
      </c>
      <c r="AN7805">
        <v>0.99999995053564406</v>
      </c>
    </row>
    <row r="7806" spans="1:40" x14ac:dyDescent="0.25">
      <c r="A7806" t="str">
        <f>"20190303153958516"</f>
        <v>20190303153958516</v>
      </c>
      <c r="B7806" t="str">
        <f>"1551598798506258"</f>
        <v>1551598798506258</v>
      </c>
      <c r="C7806" t="s">
        <v>40</v>
      </c>
      <c r="D7806">
        <v>4.7862689999999999</v>
      </c>
      <c r="E7806">
        <v>0.56376610000000005</v>
      </c>
      <c r="F7806" t="s">
        <v>43</v>
      </c>
      <c r="G7806">
        <v>-296.65230000000003</v>
      </c>
      <c r="H7806">
        <v>-0.05</v>
      </c>
      <c r="I7806">
        <v>13.1405799999999</v>
      </c>
      <c r="J7806">
        <v>-314.31200000000001</v>
      </c>
      <c r="K7806">
        <v>1.072654</v>
      </c>
      <c r="L7806">
        <v>17.815919999999998</v>
      </c>
      <c r="M7806">
        <v>0.99949549999999998</v>
      </c>
      <c r="N7806">
        <v>-1.6692450000000001E-2</v>
      </c>
      <c r="O7806">
        <v>-2.7019629999999999E-2</v>
      </c>
      <c r="P7806">
        <v>0.9944248</v>
      </c>
      <c r="Q7806">
        <v>-4.8534330000000001E-2</v>
      </c>
      <c r="R7806">
        <v>-9.3614849999999999E-2</v>
      </c>
      <c r="S7806">
        <v>2.937103</v>
      </c>
      <c r="T7806">
        <v>-0.18562329999999999</v>
      </c>
      <c r="U7806">
        <v>-0.77359009999999995</v>
      </c>
      <c r="V7806">
        <v>6.6540290000000002E-2</v>
      </c>
      <c r="W7806">
        <v>-3.2240119999999997E-2</v>
      </c>
      <c r="X7806">
        <v>0.99726269999999995</v>
      </c>
      <c r="Y7806">
        <v>0.22795760000000001</v>
      </c>
      <c r="Z7806">
        <v>-7.7806480000000003E-3</v>
      </c>
      <c r="AA7806">
        <v>0.97363999999999995</v>
      </c>
      <c r="AB7806">
        <v>21</v>
      </c>
      <c r="AC7806">
        <v>17.659699999999901</v>
      </c>
      <c r="AD7806">
        <v>-1.122654</v>
      </c>
      <c r="AE7806">
        <v>-4.6753400000000003</v>
      </c>
      <c r="AF7806">
        <v>4.1806188510601796</v>
      </c>
      <c r="AG7806">
        <v>-1.122654</v>
      </c>
      <c r="AH7806">
        <v>17.712699915877199</v>
      </c>
      <c r="AI7806">
        <v>93.529897474534806</v>
      </c>
      <c r="AJ7806">
        <v>76.719871674390006</v>
      </c>
      <c r="AK7806">
        <v>18.2339700639074</v>
      </c>
      <c r="AL7806">
        <v>91.847543031352501</v>
      </c>
      <c r="AM7806">
        <v>86.182715751418598</v>
      </c>
      <c r="AN7806">
        <v>0.99999996417109305</v>
      </c>
    </row>
    <row r="7807" spans="1:40" x14ac:dyDescent="0.25">
      <c r="A7807" t="str">
        <f>"20190303153958526"</f>
        <v>20190303153958526</v>
      </c>
      <c r="B7807" t="str">
        <f>"1551598798516018"</f>
        <v>1551598798516018</v>
      </c>
      <c r="C7807" t="s">
        <v>40</v>
      </c>
      <c r="D7807">
        <v>5.2247949999999896</v>
      </c>
      <c r="E7807">
        <v>0.56376610000000005</v>
      </c>
      <c r="F7807" t="s">
        <v>43</v>
      </c>
      <c r="G7807">
        <v>-296.40730000000002</v>
      </c>
      <c r="H7807">
        <v>-0.05</v>
      </c>
      <c r="I7807">
        <v>13.011810000000001</v>
      </c>
      <c r="J7807">
        <v>-314.20359999999999</v>
      </c>
      <c r="K7807">
        <v>1.072314</v>
      </c>
      <c r="L7807">
        <v>17.810939999999999</v>
      </c>
      <c r="M7807">
        <v>0.99944630000000001</v>
      </c>
      <c r="N7807">
        <v>-1.6497319999999999E-2</v>
      </c>
      <c r="O7807">
        <v>-2.889326E-2</v>
      </c>
      <c r="P7807">
        <v>0.99401779999999995</v>
      </c>
      <c r="Q7807">
        <v>-4.850032E-2</v>
      </c>
      <c r="R7807">
        <v>-9.7858000000000001E-2</v>
      </c>
      <c r="S7807">
        <v>2.9337460000000002</v>
      </c>
      <c r="T7807">
        <v>-0.1839509</v>
      </c>
      <c r="U7807">
        <v>-0.78717040000000005</v>
      </c>
      <c r="V7807">
        <v>6.8922159999999996E-2</v>
      </c>
      <c r="W7807">
        <v>-3.2420810000000001E-2</v>
      </c>
      <c r="X7807">
        <v>0.99709510000000001</v>
      </c>
      <c r="Y7807">
        <v>0.2306202</v>
      </c>
      <c r="Z7807">
        <v>-7.7275759999999999E-3</v>
      </c>
      <c r="AA7807">
        <v>0.97301320000000002</v>
      </c>
      <c r="AB7807">
        <v>21</v>
      </c>
      <c r="AC7807">
        <v>17.796299999999899</v>
      </c>
      <c r="AD7807">
        <v>-1.122314</v>
      </c>
      <c r="AE7807">
        <v>-4.7991299999999901</v>
      </c>
      <c r="AF7807">
        <v>4.2670425957182303</v>
      </c>
      <c r="AG7807">
        <v>-1.122314</v>
      </c>
      <c r="AH7807">
        <v>17.861328432559201</v>
      </c>
      <c r="AI7807">
        <v>93.497285204598001</v>
      </c>
      <c r="AJ7807">
        <v>76.563961684896</v>
      </c>
      <c r="AK7807">
        <v>18.398214440646601</v>
      </c>
      <c r="AL7807">
        <v>91.857901143768402</v>
      </c>
      <c r="AM7807">
        <v>86.045836034075293</v>
      </c>
      <c r="AN7807">
        <v>1.0000000057520599</v>
      </c>
    </row>
    <row r="7808" spans="1:40" x14ac:dyDescent="0.25">
      <c r="A7808" t="str">
        <f>"20190303153958537"</f>
        <v>20190303153958537</v>
      </c>
      <c r="B7808" t="str">
        <f>"1551598798525777"</f>
        <v>1551598798525777</v>
      </c>
      <c r="C7808" t="s">
        <v>40</v>
      </c>
      <c r="D7808">
        <v>4.7863160000000002</v>
      </c>
      <c r="E7808">
        <v>0.61408439999999997</v>
      </c>
      <c r="F7808" t="s">
        <v>43</v>
      </c>
      <c r="G7808">
        <v>-296.30099999999999</v>
      </c>
      <c r="H7808">
        <v>-0.05</v>
      </c>
      <c r="I7808">
        <v>12.925380000000001</v>
      </c>
      <c r="J7808">
        <v>-314.11169999999998</v>
      </c>
      <c r="K7808">
        <v>1.072055</v>
      </c>
      <c r="L7808">
        <v>17.8064</v>
      </c>
      <c r="M7808">
        <v>0.99940030000000002</v>
      </c>
      <c r="N7808">
        <v>-1.6346119999999999E-2</v>
      </c>
      <c r="O7808">
        <v>-3.0530000000000002E-2</v>
      </c>
      <c r="P7808">
        <v>0.99362030000000001</v>
      </c>
      <c r="Q7808">
        <v>-4.7852869999999999E-2</v>
      </c>
      <c r="R7808">
        <v>-0.1021234</v>
      </c>
      <c r="S7808">
        <v>2.9303590000000002</v>
      </c>
      <c r="T7808">
        <v>-0.1837039</v>
      </c>
      <c r="U7808">
        <v>-0.79968260000000002</v>
      </c>
      <c r="V7808">
        <v>7.1566060000000001E-2</v>
      </c>
      <c r="W7808">
        <v>-3.194574E-2</v>
      </c>
      <c r="X7808">
        <v>0.99692420000000004</v>
      </c>
      <c r="Y7808">
        <v>0.2331762</v>
      </c>
      <c r="Z7808">
        <v>-7.7280219999999898E-3</v>
      </c>
      <c r="AA7808">
        <v>0.97240380000000004</v>
      </c>
      <c r="AB7808">
        <v>21</v>
      </c>
      <c r="AC7808">
        <v>17.810699999999901</v>
      </c>
      <c r="AD7808">
        <v>-1.122055</v>
      </c>
      <c r="AE7808">
        <v>-4.8810200000000004</v>
      </c>
      <c r="AF7808">
        <v>4.3189668905532699</v>
      </c>
      <c r="AG7808">
        <v>-1.122055</v>
      </c>
      <c r="AH7808">
        <v>17.885406785127898</v>
      </c>
      <c r="AI7808">
        <v>93.489743262646797</v>
      </c>
      <c r="AJ7808">
        <v>76.424117722467599</v>
      </c>
      <c r="AK7808">
        <v>18.433671861412201</v>
      </c>
      <c r="AL7808">
        <v>91.830667456736904</v>
      </c>
      <c r="AM7808">
        <v>85.893959407395897</v>
      </c>
      <c r="AN7808">
        <v>1.0000000458968501</v>
      </c>
    </row>
    <row r="7809" spans="1:40" x14ac:dyDescent="0.25">
      <c r="A7809" t="str">
        <f>"20190303153958547"</f>
        <v>20190303153958547</v>
      </c>
      <c r="B7809" t="str">
        <f>"1551598798536122"</f>
        <v>1551598798536122</v>
      </c>
      <c r="C7809" t="s">
        <v>40</v>
      </c>
      <c r="D7809">
        <v>4.8626129999999996</v>
      </c>
      <c r="E7809">
        <v>0.62675329999999996</v>
      </c>
      <c r="F7809" t="s">
        <v>80</v>
      </c>
      <c r="G7809">
        <v>-279.02</v>
      </c>
      <c r="H7809">
        <v>1.5089250000000001</v>
      </c>
      <c r="I7809">
        <v>3.1318630000000001</v>
      </c>
      <c r="J7809">
        <v>-314.00940000000003</v>
      </c>
      <c r="K7809">
        <v>1.0717749999999999</v>
      </c>
      <c r="L7809">
        <v>17.801269999999999</v>
      </c>
      <c r="M7809">
        <v>0.99934520000000004</v>
      </c>
      <c r="N7809">
        <v>-1.61812E-2</v>
      </c>
      <c r="O7809">
        <v>-3.2364599999999903E-2</v>
      </c>
      <c r="P7809">
        <v>0.99323799999999995</v>
      </c>
      <c r="Q7809">
        <v>-4.6647910000000001E-2</v>
      </c>
      <c r="R7809">
        <v>-0.10631110000000001</v>
      </c>
      <c r="S7809">
        <v>2.8964840000000001</v>
      </c>
      <c r="T7809">
        <v>3.6059500000000001E-2</v>
      </c>
      <c r="U7809">
        <v>-1.2112430000000001</v>
      </c>
      <c r="V7809">
        <v>7.3938299999999998E-2</v>
      </c>
      <c r="W7809">
        <v>-3.0925810000000001E-2</v>
      </c>
      <c r="X7809">
        <v>0.99678319999999998</v>
      </c>
      <c r="Y7809">
        <v>0.3557575</v>
      </c>
      <c r="Z7809">
        <v>-1.758672E-3</v>
      </c>
      <c r="AA7809">
        <v>0.93457659999999998</v>
      </c>
      <c r="AB7809">
        <v>21</v>
      </c>
      <c r="AC7809">
        <v>34.989400000000003</v>
      </c>
      <c r="AD7809">
        <v>0.43714999999999998</v>
      </c>
      <c r="AE7809">
        <v>-14.669407</v>
      </c>
      <c r="AF7809">
        <v>13.5273580883956</v>
      </c>
      <c r="AG7809">
        <v>0.43714999999999998</v>
      </c>
      <c r="AH7809">
        <v>35.441191756096103</v>
      </c>
      <c r="AI7809">
        <v>89.339772953822006</v>
      </c>
      <c r="AJ7809">
        <v>69.108913253743594</v>
      </c>
      <c r="AK7809">
        <v>37.937561730645697</v>
      </c>
      <c r="AL7809">
        <v>91.772200935324705</v>
      </c>
      <c r="AM7809">
        <v>85.757745203393895</v>
      </c>
      <c r="AN7809">
        <v>1.00000001286664</v>
      </c>
    </row>
    <row r="7810" spans="1:40" x14ac:dyDescent="0.25">
      <c r="A7810" t="str">
        <f>"20190303153958561"</f>
        <v>20190303153958561</v>
      </c>
      <c r="B7810" t="str">
        <f>"1551598798555642"</f>
        <v>1551598798555642</v>
      </c>
      <c r="C7810" t="s">
        <v>40</v>
      </c>
      <c r="D7810">
        <v>4.7345899999999999</v>
      </c>
      <c r="E7810">
        <v>0.63697939999999997</v>
      </c>
      <c r="F7810" t="s">
        <v>80</v>
      </c>
      <c r="G7810">
        <v>-279.02</v>
      </c>
      <c r="H7810">
        <v>1.520057</v>
      </c>
      <c r="I7810">
        <v>1.7200569999999999</v>
      </c>
      <c r="J7810">
        <v>-313.89519999999999</v>
      </c>
      <c r="K7810">
        <v>1.0714920000000001</v>
      </c>
      <c r="L7810">
        <v>17.795169999999999</v>
      </c>
      <c r="M7810">
        <v>0.99927679999999997</v>
      </c>
      <c r="N7810">
        <v>-1.601561E-2</v>
      </c>
      <c r="O7810">
        <v>-3.4487709999999998E-2</v>
      </c>
      <c r="P7810">
        <v>0.99277839999999995</v>
      </c>
      <c r="Q7810">
        <v>-4.5631579999999998E-2</v>
      </c>
      <c r="R7810">
        <v>-0.11094610000000001</v>
      </c>
      <c r="S7810">
        <v>2.880493</v>
      </c>
      <c r="T7810">
        <v>3.6904810000000003E-2</v>
      </c>
      <c r="U7810">
        <v>-1.3238829999999999</v>
      </c>
      <c r="V7810">
        <v>7.6471209999999998E-2</v>
      </c>
      <c r="W7810">
        <v>-3.009889E-2</v>
      </c>
      <c r="X7810">
        <v>0.99661739999999999</v>
      </c>
      <c r="Y7810">
        <v>0.38603969999999999</v>
      </c>
      <c r="Z7810">
        <v>-1.8318919999999999E-3</v>
      </c>
      <c r="AA7810">
        <v>0.92248030000000003</v>
      </c>
      <c r="AB7810">
        <v>21</v>
      </c>
      <c r="AC7810">
        <v>34.8752</v>
      </c>
      <c r="AD7810">
        <v>0.44856499999999899</v>
      </c>
      <c r="AE7810">
        <v>-16.075113000000002</v>
      </c>
      <c r="AF7810">
        <v>14.8606001410114</v>
      </c>
      <c r="AG7810">
        <v>0.44856499999999899</v>
      </c>
      <c r="AH7810">
        <v>35.404082500178703</v>
      </c>
      <c r="AI7810">
        <v>89.330674583965603</v>
      </c>
      <c r="AJ7810">
        <v>67.230133978729995</v>
      </c>
      <c r="AK7810">
        <v>38.3990586445776</v>
      </c>
      <c r="AL7810">
        <v>91.7247998335055</v>
      </c>
      <c r="AM7810">
        <v>85.612248967012604</v>
      </c>
      <c r="AN7810">
        <v>1.0000000155604201</v>
      </c>
    </row>
    <row r="7811" spans="1:40" x14ac:dyDescent="0.25">
      <c r="A7811" t="str">
        <f>"20190303153958575"</f>
        <v>20190303153958575</v>
      </c>
      <c r="B7811" t="str">
        <f>"1551598798566377"</f>
        <v>1551598798566377</v>
      </c>
      <c r="C7811" t="s">
        <v>40</v>
      </c>
      <c r="D7811">
        <v>4.9294929999999999</v>
      </c>
      <c r="E7811">
        <v>0.69854169999999904</v>
      </c>
      <c r="F7811" t="s">
        <v>80</v>
      </c>
      <c r="G7811">
        <v>-279.02</v>
      </c>
      <c r="H7811">
        <v>1.336176</v>
      </c>
      <c r="I7811">
        <v>0.524231</v>
      </c>
      <c r="J7811">
        <v>-313.76159999999999</v>
      </c>
      <c r="K7811">
        <v>1.0711759999999999</v>
      </c>
      <c r="L7811">
        <v>17.787689999999898</v>
      </c>
      <c r="M7811">
        <v>0.9991892</v>
      </c>
      <c r="N7811">
        <v>-1.5831979999999999E-2</v>
      </c>
      <c r="O7811">
        <v>-3.702126E-2</v>
      </c>
      <c r="P7811">
        <v>0.99222889999999997</v>
      </c>
      <c r="Q7811">
        <v>-4.4407990000000001E-2</v>
      </c>
      <c r="R7811">
        <v>-0.1162338</v>
      </c>
      <c r="S7811">
        <v>2.8642880000000002</v>
      </c>
      <c r="T7811">
        <v>2.173841E-2</v>
      </c>
      <c r="U7811">
        <v>-1.4184570000000001</v>
      </c>
      <c r="V7811">
        <v>7.9251810000000006E-2</v>
      </c>
      <c r="W7811">
        <v>-2.9087200000000001E-2</v>
      </c>
      <c r="X7811">
        <v>0.99643020000000004</v>
      </c>
      <c r="Y7811">
        <v>0.41031909999999999</v>
      </c>
      <c r="Z7811">
        <v>-2.7748569999999999E-3</v>
      </c>
      <c r="AA7811">
        <v>0.91193780000000002</v>
      </c>
      <c r="AB7811">
        <v>21</v>
      </c>
      <c r="AC7811">
        <v>34.741599999999998</v>
      </c>
      <c r="AD7811">
        <v>0.26499999999999901</v>
      </c>
      <c r="AE7811">
        <v>-17.263458999999902</v>
      </c>
      <c r="AF7811">
        <v>15.964537790863799</v>
      </c>
      <c r="AG7811">
        <v>0.26499999999999901</v>
      </c>
      <c r="AH7811">
        <v>35.355323222372697</v>
      </c>
      <c r="AI7811">
        <v>89.6086071117155</v>
      </c>
      <c r="AJ7811">
        <v>65.698657585059607</v>
      </c>
      <c r="AK7811">
        <v>38.793499095007697</v>
      </c>
      <c r="AL7811">
        <v>91.666808843983404</v>
      </c>
      <c r="AM7811">
        <v>85.452510883445299</v>
      </c>
      <c r="AN7811">
        <v>1.0000000290320701</v>
      </c>
    </row>
    <row r="7812" spans="1:40" x14ac:dyDescent="0.25">
      <c r="A7812" t="str">
        <f>"20190303153958588"</f>
        <v>20190303153958588</v>
      </c>
      <c r="B7812" t="str">
        <f>"1551598798576138"</f>
        <v>1551598798576138</v>
      </c>
      <c r="C7812" t="s">
        <v>40</v>
      </c>
      <c r="D7812">
        <v>4.9312690000000003</v>
      </c>
      <c r="E7812">
        <v>0.69677369999999905</v>
      </c>
      <c r="F7812" t="s">
        <v>80</v>
      </c>
      <c r="G7812">
        <v>-279.02</v>
      </c>
      <c r="H7812">
        <v>1.602285</v>
      </c>
      <c r="I7812">
        <v>-6.0452360000000001</v>
      </c>
      <c r="J7812">
        <v>-313.63529999999997</v>
      </c>
      <c r="K7812">
        <v>1.0708959999999901</v>
      </c>
      <c r="L7812">
        <v>17.7803</v>
      </c>
      <c r="M7812">
        <v>0.99909780000000004</v>
      </c>
      <c r="N7812">
        <v>-1.5670360000000001E-2</v>
      </c>
      <c r="O7812">
        <v>-3.9474410000000001E-2</v>
      </c>
      <c r="P7812">
        <v>0.99163599999999996</v>
      </c>
      <c r="Q7812">
        <v>-4.3459020000000001E-2</v>
      </c>
      <c r="R7812">
        <v>-0.1215319</v>
      </c>
      <c r="S7812">
        <v>2.8003849999999999</v>
      </c>
      <c r="T7812">
        <v>4.2810679999999997E-2</v>
      </c>
      <c r="U7812">
        <v>-1.921082</v>
      </c>
      <c r="V7812">
        <v>8.2124139999999998E-2</v>
      </c>
      <c r="W7812">
        <v>-2.8330339999999999E-2</v>
      </c>
      <c r="X7812">
        <v>0.99621930000000003</v>
      </c>
      <c r="Y7812">
        <v>0.53271759999999901</v>
      </c>
      <c r="Z7812">
        <v>-1.9999499999999999E-3</v>
      </c>
      <c r="AA7812">
        <v>0.84629069999999995</v>
      </c>
      <c r="AB7812">
        <v>21</v>
      </c>
      <c r="AC7812">
        <v>34.615299999999898</v>
      </c>
      <c r="AD7812">
        <v>0.531389</v>
      </c>
      <c r="AE7812">
        <v>-23.825536</v>
      </c>
      <c r="AF7812">
        <v>22.436787397365499</v>
      </c>
      <c r="AG7812">
        <v>0.531389</v>
      </c>
      <c r="AH7812">
        <v>35.523247570504097</v>
      </c>
      <c r="AI7812">
        <v>89.275394743913395</v>
      </c>
      <c r="AJ7812">
        <v>57.723142652057298</v>
      </c>
      <c r="AK7812">
        <v>42.018959065393702</v>
      </c>
      <c r="AL7812">
        <v>91.623426226579994</v>
      </c>
      <c r="AM7812">
        <v>85.287432019850598</v>
      </c>
      <c r="AN7812">
        <v>0.99999993811387</v>
      </c>
    </row>
    <row r="7813" spans="1:40" x14ac:dyDescent="0.25">
      <c r="A7813" t="str">
        <f>"20190303153958600"</f>
        <v>20190303153958600</v>
      </c>
      <c r="B7813" t="str">
        <f>"1551598798595658"</f>
        <v>1551598798595658</v>
      </c>
      <c r="C7813" t="s">
        <v>40</v>
      </c>
      <c r="D7813">
        <v>4.7380440000000004</v>
      </c>
      <c r="E7813">
        <v>0.6974342</v>
      </c>
      <c r="F7813" t="s">
        <v>80</v>
      </c>
      <c r="G7813">
        <v>-279.02</v>
      </c>
      <c r="H7813">
        <v>1.4061900000000001</v>
      </c>
      <c r="I7813">
        <v>-6.0587030000000004</v>
      </c>
      <c r="J7813">
        <v>-313.52289999999999</v>
      </c>
      <c r="K7813">
        <v>1.0706719999999901</v>
      </c>
      <c r="L7813">
        <v>17.77328</v>
      </c>
      <c r="M7813">
        <v>0.99900770000000005</v>
      </c>
      <c r="N7813">
        <v>-1.5541910000000001E-2</v>
      </c>
      <c r="O7813">
        <v>-4.1739520000000002E-2</v>
      </c>
      <c r="P7813">
        <v>0.99099740000000003</v>
      </c>
      <c r="Q7813">
        <v>-4.2781260000000002E-2</v>
      </c>
      <c r="R7813">
        <v>-0.1268629</v>
      </c>
      <c r="S7813">
        <v>2.7909549999999999</v>
      </c>
      <c r="T7813">
        <v>2.7034039999999999E-2</v>
      </c>
      <c r="U7813">
        <v>-1.9220889999999999</v>
      </c>
      <c r="V7813">
        <v>8.5219320000000001E-2</v>
      </c>
      <c r="W7813">
        <v>-2.7813810000000001E-2</v>
      </c>
      <c r="X7813">
        <v>0.99597389999999997</v>
      </c>
      <c r="Y7813">
        <v>0.53233839999999999</v>
      </c>
      <c r="Z7813">
        <v>-3.1607829999999999E-3</v>
      </c>
      <c r="AA7813">
        <v>0.84652569999999905</v>
      </c>
      <c r="AB7813">
        <v>21</v>
      </c>
      <c r="AC7813">
        <v>34.502899999999997</v>
      </c>
      <c r="AD7813">
        <v>0.33551799999999998</v>
      </c>
      <c r="AE7813">
        <v>-23.831982999999902</v>
      </c>
      <c r="AF7813">
        <v>22.369468603688802</v>
      </c>
      <c r="AG7813">
        <v>0.33551799999999998</v>
      </c>
      <c r="AH7813">
        <v>35.465409534823699</v>
      </c>
      <c r="AI7813">
        <v>89.541545243426995</v>
      </c>
      <c r="AJ7813">
        <v>57.758711569381902</v>
      </c>
      <c r="AK7813">
        <v>41.932099534992403</v>
      </c>
      <c r="AL7813">
        <v>91.5938195086772</v>
      </c>
      <c r="AM7813">
        <v>85.109466486732003</v>
      </c>
      <c r="AN7813">
        <v>0.99999997500459303</v>
      </c>
    </row>
    <row r="7814" spans="1:40" x14ac:dyDescent="0.25">
      <c r="A7814" t="str">
        <f>"20190303153958616"</f>
        <v>20190303153958616</v>
      </c>
      <c r="B7814" t="str">
        <f>"1551598798606394"</f>
        <v>1551598798606394</v>
      </c>
      <c r="C7814" t="s">
        <v>40</v>
      </c>
      <c r="D7814">
        <v>4.8906450000000001</v>
      </c>
      <c r="E7814">
        <v>0.69611889999999998</v>
      </c>
      <c r="F7814" t="s">
        <v>80</v>
      </c>
      <c r="G7814">
        <v>-279.02</v>
      </c>
      <c r="H7814">
        <v>1.589766</v>
      </c>
      <c r="I7814">
        <v>-6.3253459999999997</v>
      </c>
      <c r="J7814">
        <v>-313.38099999999997</v>
      </c>
      <c r="K7814">
        <v>1.070397</v>
      </c>
      <c r="L7814">
        <v>17.764009999999999</v>
      </c>
      <c r="M7814">
        <v>0.99888350000000004</v>
      </c>
      <c r="N7814">
        <v>-1.538866E-2</v>
      </c>
      <c r="O7814">
        <v>-4.4666329999999997E-2</v>
      </c>
      <c r="P7814">
        <v>0.98988549999999997</v>
      </c>
      <c r="Q7814">
        <v>-4.2048229999999999E-2</v>
      </c>
      <c r="R7814">
        <v>-0.13549620000000001</v>
      </c>
      <c r="S7814">
        <v>2.7804570000000002</v>
      </c>
      <c r="T7814">
        <v>4.1831849999999997E-2</v>
      </c>
      <c r="U7814">
        <v>-1.9420170000000001</v>
      </c>
      <c r="V7814">
        <v>9.0975120000000007E-2</v>
      </c>
      <c r="W7814">
        <v>-2.7291739999999998E-2</v>
      </c>
      <c r="X7814">
        <v>0.99547909999999995</v>
      </c>
      <c r="Y7814">
        <v>0.53543850000000004</v>
      </c>
      <c r="Z7814">
        <v>-2.1243360000000001E-3</v>
      </c>
      <c r="AA7814">
        <v>0.84457159999999998</v>
      </c>
      <c r="AB7814">
        <v>21</v>
      </c>
      <c r="AC7814">
        <v>34.360999999999898</v>
      </c>
      <c r="AD7814">
        <v>0.51936899999999997</v>
      </c>
      <c r="AE7814">
        <v>-24.089355999999999</v>
      </c>
      <c r="AF7814">
        <v>22.5268961385068</v>
      </c>
      <c r="AG7814">
        <v>0.51936899999999997</v>
      </c>
      <c r="AH7814">
        <v>35.397386619287403</v>
      </c>
      <c r="AI7814">
        <v>89.290803878184093</v>
      </c>
      <c r="AJ7814">
        <v>57.527325597349503</v>
      </c>
      <c r="AK7814">
        <v>41.960764688796402</v>
      </c>
      <c r="AL7814">
        <v>91.563895739379603</v>
      </c>
      <c r="AM7814">
        <v>84.778341958996904</v>
      </c>
      <c r="AN7814">
        <v>0.99999997503402505</v>
      </c>
    </row>
    <row r="7815" spans="1:40" x14ac:dyDescent="0.25">
      <c r="A7815" t="str">
        <f>"20190303153958626"</f>
        <v>20190303153958626</v>
      </c>
      <c r="B7815" t="str">
        <f>"1551598798616154"</f>
        <v>1551598798616154</v>
      </c>
      <c r="C7815" t="s">
        <v>40</v>
      </c>
      <c r="D7815">
        <v>4.944191</v>
      </c>
      <c r="E7815">
        <v>0.69361700000000004</v>
      </c>
      <c r="F7815" t="s">
        <v>80</v>
      </c>
      <c r="G7815">
        <v>-279.02</v>
      </c>
      <c r="H7815">
        <v>1.504677</v>
      </c>
      <c r="I7815">
        <v>-6.5485610000000003</v>
      </c>
      <c r="J7815">
        <v>-313.28280000000001</v>
      </c>
      <c r="K7815">
        <v>1.070217</v>
      </c>
      <c r="L7815">
        <v>17.757390000000001</v>
      </c>
      <c r="M7815">
        <v>0.99879030000000002</v>
      </c>
      <c r="N7815">
        <v>-1.528973E-2</v>
      </c>
      <c r="O7815">
        <v>-4.6738269999999998E-2</v>
      </c>
      <c r="P7815">
        <v>0.98921979999999998</v>
      </c>
      <c r="Q7815">
        <v>-4.1687910000000002E-2</v>
      </c>
      <c r="R7815">
        <v>-0.1403807</v>
      </c>
      <c r="S7815">
        <v>2.7644039999999999</v>
      </c>
      <c r="T7815">
        <v>3.4938690000000001E-2</v>
      </c>
      <c r="U7815">
        <v>-1.955994</v>
      </c>
      <c r="V7815">
        <v>9.3819360000000004E-2</v>
      </c>
      <c r="W7815">
        <v>-2.7063839999999999E-2</v>
      </c>
      <c r="X7815">
        <v>0.99522129999999998</v>
      </c>
      <c r="Y7815">
        <v>0.53883349999999997</v>
      </c>
      <c r="Z7815">
        <v>-2.6497439999999999E-3</v>
      </c>
      <c r="AA7815">
        <v>0.84240809999999999</v>
      </c>
      <c r="AB7815">
        <v>21</v>
      </c>
      <c r="AC7815">
        <v>34.262799999999999</v>
      </c>
      <c r="AD7815">
        <v>0.43446000000000001</v>
      </c>
      <c r="AE7815">
        <v>-24.305951</v>
      </c>
      <c r="AF7815">
        <v>22.675386176578101</v>
      </c>
      <c r="AG7815">
        <v>0.43446000000000001</v>
      </c>
      <c r="AH7815">
        <v>35.357716684959399</v>
      </c>
      <c r="AI7815">
        <v>89.407394541571094</v>
      </c>
      <c r="AJ7815">
        <v>57.327393247710802</v>
      </c>
      <c r="AK7815">
        <v>42.006309322795801</v>
      </c>
      <c r="AL7815">
        <v>91.550833198292196</v>
      </c>
      <c r="AM7815">
        <v>84.614650830660494</v>
      </c>
      <c r="AN7815">
        <v>0.99999997986002198</v>
      </c>
    </row>
    <row r="7816" spans="1:40" x14ac:dyDescent="0.25">
      <c r="A7816" t="str">
        <f>"20190303153958637"</f>
        <v>20190303153958637</v>
      </c>
      <c r="B7816" t="str">
        <f>"1551598798625916"</f>
        <v>1551598798625916</v>
      </c>
      <c r="C7816" t="s">
        <v>40</v>
      </c>
      <c r="D7816">
        <v>4.8428240000000002</v>
      </c>
      <c r="E7816">
        <v>0.69318769999999996</v>
      </c>
      <c r="F7816" t="s">
        <v>80</v>
      </c>
      <c r="G7816">
        <v>-279.02</v>
      </c>
      <c r="H7816">
        <v>1.194731</v>
      </c>
      <c r="I7816">
        <v>-6.480194</v>
      </c>
      <c r="J7816">
        <v>-313.1841</v>
      </c>
      <c r="K7816">
        <v>1.0700459999999901</v>
      </c>
      <c r="L7816">
        <v>17.750309999999999</v>
      </c>
      <c r="M7816">
        <v>0.99868820000000003</v>
      </c>
      <c r="N7816">
        <v>-1.51992E-2</v>
      </c>
      <c r="O7816">
        <v>-4.8897660000000003E-2</v>
      </c>
      <c r="P7816">
        <v>0.98854529999999996</v>
      </c>
      <c r="Q7816">
        <v>-4.0878089999999999E-2</v>
      </c>
      <c r="R7816">
        <v>-0.14528360000000001</v>
      </c>
      <c r="S7816">
        <v>2.7564090000000001</v>
      </c>
      <c r="T7816">
        <v>1.001704E-2</v>
      </c>
      <c r="U7816">
        <v>-1.9498899999999999</v>
      </c>
      <c r="V7816">
        <v>9.6599210000000005E-2</v>
      </c>
      <c r="W7816">
        <v>-2.6379059999999999E-2</v>
      </c>
      <c r="X7816">
        <v>0.99497369999999996</v>
      </c>
      <c r="Y7816">
        <v>0.53690649999999995</v>
      </c>
      <c r="Z7816">
        <v>-4.4466039999999998E-3</v>
      </c>
      <c r="AA7816">
        <v>0.84363009999999905</v>
      </c>
      <c r="AB7816">
        <v>21</v>
      </c>
      <c r="AC7816">
        <v>34.164099999999998</v>
      </c>
      <c r="AD7816">
        <v>0.124685</v>
      </c>
      <c r="AE7816">
        <v>-24.230504</v>
      </c>
      <c r="AF7816">
        <v>22.530575522478902</v>
      </c>
      <c r="AG7816">
        <v>0.124685</v>
      </c>
      <c r="AH7816">
        <v>35.307862116598599</v>
      </c>
      <c r="AI7816">
        <v>89.829436107683307</v>
      </c>
      <c r="AJ7816">
        <v>57.457327532251902</v>
      </c>
      <c r="AK7816">
        <v>41.884215487079302</v>
      </c>
      <c r="AL7816">
        <v>91.5115842033197</v>
      </c>
      <c r="AM7816">
        <v>84.454692865530703</v>
      </c>
      <c r="AN7816">
        <v>0.99999996293539795</v>
      </c>
    </row>
    <row r="7817" spans="1:40" x14ac:dyDescent="0.25">
      <c r="A7817" t="str">
        <f>"20190303153958648"</f>
        <v>20190303153958648</v>
      </c>
      <c r="B7817" t="str">
        <f>"1551598798646410"</f>
        <v>1551598798646410</v>
      </c>
      <c r="C7817" t="s">
        <v>40</v>
      </c>
      <c r="D7817">
        <v>4.8731549999999997</v>
      </c>
      <c r="E7817">
        <v>0.69246909999999995</v>
      </c>
      <c r="F7817" t="s">
        <v>80</v>
      </c>
      <c r="G7817">
        <v>-279.02</v>
      </c>
      <c r="H7817">
        <v>1.217438</v>
      </c>
      <c r="I7817">
        <v>-6.6249909999999996</v>
      </c>
      <c r="J7817">
        <v>-313.07920000000001</v>
      </c>
      <c r="K7817">
        <v>1.069868</v>
      </c>
      <c r="L7817">
        <v>17.742709999999999</v>
      </c>
      <c r="M7817">
        <v>0.99857340000000006</v>
      </c>
      <c r="N7817">
        <v>-1.5105769999999999E-2</v>
      </c>
      <c r="O7817">
        <v>-5.1216650000000002E-2</v>
      </c>
      <c r="P7817">
        <v>0.98778589999999999</v>
      </c>
      <c r="Q7817">
        <v>-4.0134679999999999E-2</v>
      </c>
      <c r="R7817">
        <v>-0.15056069999999999</v>
      </c>
      <c r="S7817">
        <v>2.747223</v>
      </c>
      <c r="T7817">
        <v>1.1852150000000001E-2</v>
      </c>
      <c r="U7817">
        <v>-1.960083</v>
      </c>
      <c r="V7817">
        <v>9.9598850000000003E-2</v>
      </c>
      <c r="W7817">
        <v>-2.5767390000000001E-2</v>
      </c>
      <c r="X7817">
        <v>0.99469399999999997</v>
      </c>
      <c r="Y7817">
        <v>0.53835489999999997</v>
      </c>
      <c r="Z7817">
        <v>-4.3365080000000002E-3</v>
      </c>
      <c r="AA7817">
        <v>0.84270699999999998</v>
      </c>
      <c r="AB7817">
        <v>21</v>
      </c>
      <c r="AC7817">
        <v>34.059199999999997</v>
      </c>
      <c r="AD7817">
        <v>0.14756999999999901</v>
      </c>
      <c r="AE7817">
        <v>-24.367701</v>
      </c>
      <c r="AF7817">
        <v>22.590835159426099</v>
      </c>
      <c r="AG7817">
        <v>0.14756999999999901</v>
      </c>
      <c r="AH7817">
        <v>35.262225829723597</v>
      </c>
      <c r="AI7817">
        <v>89.798101755043007</v>
      </c>
      <c r="AJ7817">
        <v>57.354240391346202</v>
      </c>
      <c r="AK7817">
        <v>41.878302025890299</v>
      </c>
      <c r="AL7817">
        <v>91.476526087087507</v>
      </c>
      <c r="AM7817">
        <v>84.282024281566095</v>
      </c>
      <c r="AN7817">
        <v>1.0000000214723599</v>
      </c>
    </row>
    <row r="7818" spans="1:40" x14ac:dyDescent="0.25">
      <c r="A7818" t="str">
        <f>"20190303153958661"</f>
        <v>20190303153958661</v>
      </c>
      <c r="B7818" t="str">
        <f>"1551598798656171"</f>
        <v>1551598798656171</v>
      </c>
      <c r="C7818" t="s">
        <v>40</v>
      </c>
      <c r="D7818">
        <v>4.8285989999999996</v>
      </c>
      <c r="E7818">
        <v>0.69201049999999997</v>
      </c>
      <c r="F7818" t="s">
        <v>80</v>
      </c>
      <c r="G7818">
        <v>-279.02</v>
      </c>
      <c r="H7818">
        <v>1.2596210000000001</v>
      </c>
      <c r="I7818">
        <v>-6.7553749999999999</v>
      </c>
      <c r="J7818">
        <v>-312.96949999999998</v>
      </c>
      <c r="K7818">
        <v>1.069693</v>
      </c>
      <c r="L7818">
        <v>17.734159999999999</v>
      </c>
      <c r="M7818">
        <v>0.99844069999999996</v>
      </c>
      <c r="N7818">
        <v>-1.501975E-2</v>
      </c>
      <c r="O7818">
        <v>-5.3764310000000003E-2</v>
      </c>
      <c r="P7818">
        <v>0.98689000000000004</v>
      </c>
      <c r="Q7818">
        <v>-3.9562989999999999E-2</v>
      </c>
      <c r="R7818">
        <v>-0.156471</v>
      </c>
      <c r="S7818">
        <v>2.7375790000000002</v>
      </c>
      <c r="T7818">
        <v>1.525176E-2</v>
      </c>
      <c r="U7818">
        <v>-1.9690859999999999</v>
      </c>
      <c r="V7818">
        <v>0.1030104</v>
      </c>
      <c r="W7818">
        <v>-2.5327490000000001E-2</v>
      </c>
      <c r="X7818">
        <v>0.99435779999999996</v>
      </c>
      <c r="Y7818">
        <v>0.539439</v>
      </c>
      <c r="Z7818">
        <v>-4.1205269999999997E-3</v>
      </c>
      <c r="AA7818">
        <v>0.84201459999999995</v>
      </c>
      <c r="AB7818">
        <v>21</v>
      </c>
      <c r="AC7818">
        <v>33.9495</v>
      </c>
      <c r="AD7818">
        <v>0.18992799999999899</v>
      </c>
      <c r="AE7818">
        <v>-24.489535</v>
      </c>
      <c r="AF7818">
        <v>22.628163492749401</v>
      </c>
      <c r="AG7818">
        <v>0.18992799999999899</v>
      </c>
      <c r="AH7818">
        <v>35.216472688912901</v>
      </c>
      <c r="AI7818">
        <v>89.740036348244502</v>
      </c>
      <c r="AJ7818">
        <v>57.277435940184702</v>
      </c>
      <c r="AK7818">
        <v>41.860121886453399</v>
      </c>
      <c r="AL7818">
        <v>91.451313433465799</v>
      </c>
      <c r="AM7818">
        <v>84.085546838642898</v>
      </c>
      <c r="AN7818">
        <v>1.0000000293393401</v>
      </c>
    </row>
    <row r="7819" spans="1:40" x14ac:dyDescent="0.25">
      <c r="A7819" t="str">
        <f>"20190303153958683"</f>
        <v>20190303153958683</v>
      </c>
      <c r="B7819" t="str">
        <f>"1551598798675693"</f>
        <v>1551598798675693</v>
      </c>
      <c r="C7819" t="s">
        <v>40</v>
      </c>
      <c r="D7819">
        <v>4.9271520000000004</v>
      </c>
      <c r="E7819">
        <v>0.69116480000000002</v>
      </c>
      <c r="F7819" t="s">
        <v>80</v>
      </c>
      <c r="G7819">
        <v>-279.02</v>
      </c>
      <c r="H7819">
        <v>1.278454</v>
      </c>
      <c r="I7819">
        <v>-6.9442050000000002</v>
      </c>
      <c r="J7819">
        <v>-312.76479999999998</v>
      </c>
      <c r="K7819">
        <v>1.069367</v>
      </c>
      <c r="L7819">
        <v>17.717500000000001</v>
      </c>
      <c r="M7819">
        <v>0.99816570000000004</v>
      </c>
      <c r="N7819">
        <v>-1.487309E-2</v>
      </c>
      <c r="O7819">
        <v>-5.8686820000000001E-2</v>
      </c>
      <c r="P7819">
        <v>0.98500169999999998</v>
      </c>
      <c r="Q7819">
        <v>-3.7898479999999998E-2</v>
      </c>
      <c r="R7819">
        <v>-0.1683315</v>
      </c>
      <c r="S7819">
        <v>2.7262879999999998</v>
      </c>
      <c r="T7819">
        <v>1.6764399999999999E-2</v>
      </c>
      <c r="U7819">
        <v>-1.981781</v>
      </c>
      <c r="V7819">
        <v>0.11006050000000001</v>
      </c>
      <c r="W7819">
        <v>-2.3908059999999998E-2</v>
      </c>
      <c r="X7819">
        <v>0.99363729999999995</v>
      </c>
      <c r="Y7819">
        <v>0.53951070000000001</v>
      </c>
      <c r="Z7819">
        <v>-4.0594350000000001E-3</v>
      </c>
      <c r="AA7819">
        <v>0.84196899999999997</v>
      </c>
      <c r="AB7819">
        <v>21</v>
      </c>
      <c r="AC7819">
        <v>33.744799999999998</v>
      </c>
      <c r="AD7819">
        <v>0.209087</v>
      </c>
      <c r="AE7819">
        <v>-24.661704999999898</v>
      </c>
      <c r="AF7819">
        <v>22.638029252606401</v>
      </c>
      <c r="AG7819">
        <v>0.209087</v>
      </c>
      <c r="AH7819">
        <v>35.133223886231399</v>
      </c>
      <c r="AI7819">
        <v>89.713370100134</v>
      </c>
      <c r="AJ7819">
        <v>57.204365518319896</v>
      </c>
      <c r="AK7819">
        <v>41.795544098091298</v>
      </c>
      <c r="AL7819">
        <v>91.369961470918696</v>
      </c>
      <c r="AM7819">
        <v>83.6793828005693</v>
      </c>
      <c r="AN7819">
        <v>0.99999999647225102</v>
      </c>
    </row>
    <row r="7820" spans="1:40" x14ac:dyDescent="0.25">
      <c r="A7820" t="str">
        <f>"20190303153958694"</f>
        <v>20190303153958694</v>
      </c>
      <c r="B7820" t="str">
        <f>"1551598798686426"</f>
        <v>1551598798686426</v>
      </c>
      <c r="C7820" t="s">
        <v>40</v>
      </c>
      <c r="D7820">
        <v>4.9394019999999896</v>
      </c>
      <c r="E7820">
        <v>0.68974309999999905</v>
      </c>
      <c r="F7820" t="s">
        <v>80</v>
      </c>
      <c r="G7820">
        <v>-279.02</v>
      </c>
      <c r="H7820">
        <v>1.342406</v>
      </c>
      <c r="I7820">
        <v>-7.3413589999999997</v>
      </c>
      <c r="J7820">
        <v>-312.66559999999998</v>
      </c>
      <c r="K7820">
        <v>1.069218</v>
      </c>
      <c r="L7820">
        <v>17.708950000000002</v>
      </c>
      <c r="M7820">
        <v>0.9980175</v>
      </c>
      <c r="N7820">
        <v>-1.480982E-2</v>
      </c>
      <c r="O7820">
        <v>-6.1170870000000002E-2</v>
      </c>
      <c r="P7820">
        <v>0.98384890000000003</v>
      </c>
      <c r="Q7820">
        <v>-3.7085729999999997E-2</v>
      </c>
      <c r="R7820">
        <v>-0.1751171</v>
      </c>
      <c r="S7820">
        <v>2.70343</v>
      </c>
      <c r="T7820">
        <v>2.1874310000000001E-2</v>
      </c>
      <c r="U7820">
        <v>-2.007568</v>
      </c>
      <c r="V7820">
        <v>0.1144327</v>
      </c>
      <c r="W7820">
        <v>-2.3218590000000001E-2</v>
      </c>
      <c r="X7820">
        <v>0.99315969999999998</v>
      </c>
      <c r="Y7820">
        <v>0.5459794</v>
      </c>
      <c r="Z7820">
        <v>-3.7687770000000001E-3</v>
      </c>
      <c r="AA7820">
        <v>0.83779009999999998</v>
      </c>
      <c r="AB7820">
        <v>21</v>
      </c>
      <c r="AC7820">
        <v>33.645600000000002</v>
      </c>
      <c r="AD7820">
        <v>0.27318799999999999</v>
      </c>
      <c r="AE7820">
        <v>-25.050308999999999</v>
      </c>
      <c r="AF7820">
        <v>22.944057807066201</v>
      </c>
      <c r="AG7820">
        <v>0.27318799999999999</v>
      </c>
      <c r="AH7820">
        <v>35.113606163862499</v>
      </c>
      <c r="AI7820">
        <v>89.626838854019098</v>
      </c>
      <c r="AJ7820">
        <v>56.838452859256797</v>
      </c>
      <c r="AK7820">
        <v>41.946033878880399</v>
      </c>
      <c r="AL7820">
        <v>91.3304466826755</v>
      </c>
      <c r="AM7820">
        <v>83.427315576046496</v>
      </c>
      <c r="AN7820">
        <v>1.0000000677274801</v>
      </c>
    </row>
    <row r="7821" spans="1:40" x14ac:dyDescent="0.25">
      <c r="A7821" t="str">
        <f>"20190303153958704"</f>
        <v>20190303153958704</v>
      </c>
      <c r="B7821" t="str">
        <f>"1551598798696186"</f>
        <v>1551598798696186</v>
      </c>
      <c r="C7821" t="s">
        <v>40</v>
      </c>
      <c r="D7821">
        <v>4.8869280000000002</v>
      </c>
      <c r="E7821">
        <v>0.6883281</v>
      </c>
      <c r="F7821" t="s">
        <v>80</v>
      </c>
      <c r="G7821">
        <v>-279.02</v>
      </c>
      <c r="H7821">
        <v>1.248027</v>
      </c>
      <c r="I7821">
        <v>-7.480607</v>
      </c>
      <c r="J7821">
        <v>-312.55900000000003</v>
      </c>
      <c r="K7821">
        <v>1.069062</v>
      </c>
      <c r="L7821">
        <v>17.699400000000001</v>
      </c>
      <c r="M7821">
        <v>0.99784609999999996</v>
      </c>
      <c r="N7821">
        <v>-1.474787E-2</v>
      </c>
      <c r="O7821">
        <v>-6.3921140000000001E-2</v>
      </c>
      <c r="P7821">
        <v>0.98261039999999999</v>
      </c>
      <c r="Q7821">
        <v>-3.5461020000000003E-2</v>
      </c>
      <c r="R7821">
        <v>-0.18226290000000001</v>
      </c>
      <c r="S7821">
        <v>2.6911619999999998</v>
      </c>
      <c r="T7821">
        <v>1.430213E-2</v>
      </c>
      <c r="U7821">
        <v>-2.0148009999999998</v>
      </c>
      <c r="V7821">
        <v>0.118913</v>
      </c>
      <c r="W7821">
        <v>-2.172091E-2</v>
      </c>
      <c r="X7821">
        <v>0.99266710000000002</v>
      </c>
      <c r="Y7821">
        <v>0.54693419999999904</v>
      </c>
      <c r="Z7821">
        <v>-4.3324669999999996E-3</v>
      </c>
      <c r="AA7821">
        <v>0.83716440000000003</v>
      </c>
      <c r="AB7821">
        <v>20</v>
      </c>
      <c r="AC7821">
        <v>33.539000000000001</v>
      </c>
      <c r="AD7821">
        <v>0.17896499999999901</v>
      </c>
      <c r="AE7821">
        <v>-25.180007</v>
      </c>
      <c r="AF7821">
        <v>22.9839989451336</v>
      </c>
      <c r="AG7821">
        <v>0.17896499999999901</v>
      </c>
      <c r="AH7821">
        <v>35.079467082857903</v>
      </c>
      <c r="AI7821">
        <v>89.755501740804505</v>
      </c>
      <c r="AJ7821">
        <v>56.767260649112899</v>
      </c>
      <c r="AK7821">
        <v>41.9388274370951</v>
      </c>
      <c r="AL7821">
        <v>91.244614306872606</v>
      </c>
      <c r="AM7821">
        <v>83.169008068810498</v>
      </c>
      <c r="AN7821">
        <v>1.0000000354613101</v>
      </c>
    </row>
    <row r="7822" spans="1:40" x14ac:dyDescent="0.25">
      <c r="A7822" t="str">
        <f>"20190303153958716"</f>
        <v>20190303153958716</v>
      </c>
      <c r="B7822" t="str">
        <f>"1551598798705946"</f>
        <v>1551598798705946</v>
      </c>
      <c r="C7822" t="s">
        <v>40</v>
      </c>
      <c r="D7822">
        <v>4.9097879999999998</v>
      </c>
      <c r="E7822">
        <v>0.68712989999999996</v>
      </c>
      <c r="F7822" t="s">
        <v>80</v>
      </c>
      <c r="G7822">
        <v>-279.02</v>
      </c>
      <c r="H7822">
        <v>1.194752</v>
      </c>
      <c r="I7822">
        <v>-7.6362899999999998</v>
      </c>
      <c r="J7822">
        <v>-312.4588</v>
      </c>
      <c r="K7822">
        <v>1.068919</v>
      </c>
      <c r="L7822">
        <v>17.689969999999999</v>
      </c>
      <c r="M7822">
        <v>0.99767209999999995</v>
      </c>
      <c r="N7822">
        <v>-1.4694810000000001E-2</v>
      </c>
      <c r="O7822">
        <v>-6.6591349999999994E-2</v>
      </c>
      <c r="P7822">
        <v>0.98120309999999999</v>
      </c>
      <c r="Q7822">
        <v>-3.3649640000000001E-2</v>
      </c>
      <c r="R7822">
        <v>-0.19002160000000001</v>
      </c>
      <c r="S7822">
        <v>2.6781920000000001</v>
      </c>
      <c r="T7822">
        <v>1.0036710000000001E-2</v>
      </c>
      <c r="U7822">
        <v>-2.0231319999999999</v>
      </c>
      <c r="V7822">
        <v>0.1241013</v>
      </c>
      <c r="W7822">
        <v>-2.0035959999999998E-2</v>
      </c>
      <c r="X7822">
        <v>0.99206719999999904</v>
      </c>
      <c r="Y7822">
        <v>0.54829119999999998</v>
      </c>
      <c r="Z7822">
        <v>-4.6649990000000004E-3</v>
      </c>
      <c r="AA7822">
        <v>0.83627450000000003</v>
      </c>
      <c r="AB7822">
        <v>20</v>
      </c>
      <c r="AC7822">
        <v>33.438800000000001</v>
      </c>
      <c r="AD7822">
        <v>0.125833</v>
      </c>
      <c r="AE7822">
        <v>-25.326260000000001</v>
      </c>
      <c r="AF7822">
        <v>23.0428492815313</v>
      </c>
      <c r="AG7822">
        <v>0.125833</v>
      </c>
      <c r="AH7822">
        <v>35.050937513223602</v>
      </c>
      <c r="AI7822">
        <v>89.828123631248801</v>
      </c>
      <c r="AJ7822">
        <v>56.678666398235002</v>
      </c>
      <c r="AK7822">
        <v>41.947073288981201</v>
      </c>
      <c r="AL7822">
        <v>91.148052824007706</v>
      </c>
      <c r="AM7822">
        <v>82.869700915605193</v>
      </c>
      <c r="AN7822">
        <v>0.999999950835324</v>
      </c>
    </row>
    <row r="7823" spans="1:40" x14ac:dyDescent="0.25">
      <c r="A7823" t="str">
        <f>"20190303153958726"</f>
        <v>20190303153958726</v>
      </c>
      <c r="B7823" t="str">
        <f>"1551598798715706"</f>
        <v>1551598798715706</v>
      </c>
      <c r="C7823" t="s">
        <v>40</v>
      </c>
      <c r="D7823">
        <v>4.9469799999999999</v>
      </c>
      <c r="E7823">
        <v>0.68589679999999997</v>
      </c>
      <c r="F7823" t="s">
        <v>80</v>
      </c>
      <c r="G7823">
        <v>-279.02</v>
      </c>
      <c r="H7823">
        <v>1.1662779999999999</v>
      </c>
      <c r="I7823">
        <v>-7.85527</v>
      </c>
      <c r="J7823">
        <v>-312.36110000000002</v>
      </c>
      <c r="K7823">
        <v>1.068781</v>
      </c>
      <c r="L7823">
        <v>17.680599999999998</v>
      </c>
      <c r="M7823">
        <v>0.9974923</v>
      </c>
      <c r="N7823">
        <v>-1.464588E-2</v>
      </c>
      <c r="O7823">
        <v>-6.9244570000000005E-2</v>
      </c>
      <c r="P7823">
        <v>0.97972590000000004</v>
      </c>
      <c r="Q7823">
        <v>-3.1774980000000001E-2</v>
      </c>
      <c r="R7823">
        <v>-0.19780780000000001</v>
      </c>
      <c r="S7823">
        <v>2.6636660000000001</v>
      </c>
      <c r="T7823">
        <v>7.7553989999999996E-3</v>
      </c>
      <c r="U7823">
        <v>-2.0348820000000001</v>
      </c>
      <c r="V7823">
        <v>0.12934329999999999</v>
      </c>
      <c r="W7823">
        <v>-1.82866E-2</v>
      </c>
      <c r="X7823">
        <v>0.99143119999999996</v>
      </c>
      <c r="Y7823">
        <v>0.55058569999999996</v>
      </c>
      <c r="Z7823">
        <v>-4.8664349999999997E-3</v>
      </c>
      <c r="AA7823">
        <v>0.83476439999999996</v>
      </c>
      <c r="AB7823">
        <v>20</v>
      </c>
      <c r="AC7823">
        <v>33.341099999999997</v>
      </c>
      <c r="AD7823">
        <v>9.7497000000000097E-2</v>
      </c>
      <c r="AE7823">
        <v>-25.535869999999999</v>
      </c>
      <c r="AF7823">
        <v>23.165501054515101</v>
      </c>
      <c r="AG7823">
        <v>9.7497000000000097E-2</v>
      </c>
      <c r="AH7823">
        <v>35.0292756931089</v>
      </c>
      <c r="AI7823">
        <v>89.866984605968298</v>
      </c>
      <c r="AJ7823">
        <v>56.522606441437503</v>
      </c>
      <c r="AK7823">
        <v>41.996429614380098</v>
      </c>
      <c r="AL7823">
        <v>91.047803450121506</v>
      </c>
      <c r="AM7823">
        <v>82.567103980614107</v>
      </c>
      <c r="AN7823">
        <v>0.99999995666394403</v>
      </c>
    </row>
    <row r="7824" spans="1:40" x14ac:dyDescent="0.25">
      <c r="A7824" t="str">
        <f>"20190303153958739"</f>
        <v>20190303153958739</v>
      </c>
      <c r="B7824" t="str">
        <f>"1551598798736202"</f>
        <v>1551598798736202</v>
      </c>
      <c r="C7824" t="s">
        <v>40</v>
      </c>
      <c r="D7824">
        <v>5.00624</v>
      </c>
      <c r="E7824">
        <v>0.68398149999999902</v>
      </c>
      <c r="F7824" t="s">
        <v>80</v>
      </c>
      <c r="G7824">
        <v>-279.02</v>
      </c>
      <c r="H7824">
        <v>1.133243</v>
      </c>
      <c r="I7824">
        <v>-8.0720589999999994</v>
      </c>
      <c r="J7824">
        <v>-312.2543</v>
      </c>
      <c r="K7824">
        <v>1.0686329999999999</v>
      </c>
      <c r="L7824">
        <v>17.66977</v>
      </c>
      <c r="M7824">
        <v>0.99727829999999995</v>
      </c>
      <c r="N7824">
        <v>-1.4598989999999999E-2</v>
      </c>
      <c r="O7824">
        <v>-7.2269659999999999E-2</v>
      </c>
      <c r="P7824">
        <v>0.97799590000000003</v>
      </c>
      <c r="Q7824">
        <v>-2.9987139999999999E-2</v>
      </c>
      <c r="R7824">
        <v>-0.20645759999999999</v>
      </c>
      <c r="S7824">
        <v>2.6491090000000002</v>
      </c>
      <c r="T7824">
        <v>5.1218269999999998E-3</v>
      </c>
      <c r="U7824">
        <v>-2.046173</v>
      </c>
      <c r="V7824">
        <v>0.13509879999999999</v>
      </c>
      <c r="W7824">
        <v>-1.6634320000000001E-2</v>
      </c>
      <c r="X7824">
        <v>0.99069249999999998</v>
      </c>
      <c r="Y7824">
        <v>0.55249079999999995</v>
      </c>
      <c r="Z7824">
        <v>-5.0936569999999997E-3</v>
      </c>
      <c r="AA7824">
        <v>0.83350340000000001</v>
      </c>
      <c r="AB7824">
        <v>20</v>
      </c>
      <c r="AC7824">
        <v>33.234299999999998</v>
      </c>
      <c r="AD7824">
        <v>6.4610000000000001E-2</v>
      </c>
      <c r="AE7824">
        <v>-25.741828999999999</v>
      </c>
      <c r="AF7824">
        <v>23.2723606030832</v>
      </c>
      <c r="AG7824">
        <v>6.4610000000000001E-2</v>
      </c>
      <c r="AH7824">
        <v>35.007846832398599</v>
      </c>
      <c r="AI7824">
        <v>89.9119387055717</v>
      </c>
      <c r="AJ7824">
        <v>56.3850116129044</v>
      </c>
      <c r="AK7824">
        <v>42.037557996780897</v>
      </c>
      <c r="AL7824">
        <v>90.953120281755503</v>
      </c>
      <c r="AM7824">
        <v>82.234585963889302</v>
      </c>
      <c r="AN7824">
        <v>1.00000000795977</v>
      </c>
    </row>
    <row r="7825" spans="1:40" x14ac:dyDescent="0.25">
      <c r="A7825" t="str">
        <f>"20190303153958749"</f>
        <v>20190303153958749</v>
      </c>
      <c r="B7825" t="str">
        <f>"1551598798745962"</f>
        <v>1551598798745962</v>
      </c>
      <c r="C7825" t="s">
        <v>40</v>
      </c>
      <c r="D7825">
        <v>4.958609</v>
      </c>
      <c r="E7825">
        <v>0.68322720000000003</v>
      </c>
      <c r="F7825" t="s">
        <v>80</v>
      </c>
      <c r="G7825">
        <v>-279.02</v>
      </c>
      <c r="H7825">
        <v>1.016462</v>
      </c>
      <c r="I7825">
        <v>-8.2583690000000001</v>
      </c>
      <c r="J7825">
        <v>-312.15159999999997</v>
      </c>
      <c r="K7825">
        <v>1.068487</v>
      </c>
      <c r="L7825">
        <v>17.659210000000002</v>
      </c>
      <c r="M7825">
        <v>0.99706110000000003</v>
      </c>
      <c r="N7825">
        <v>-1.455537E-2</v>
      </c>
      <c r="O7825">
        <v>-7.5215959999999998E-2</v>
      </c>
      <c r="P7825">
        <v>0.97609000000000001</v>
      </c>
      <c r="Q7825">
        <v>-2.878031E-2</v>
      </c>
      <c r="R7825">
        <v>-0.2154537</v>
      </c>
      <c r="S7825">
        <v>2.633667</v>
      </c>
      <c r="T7825">
        <v>-4.1342970000000003E-3</v>
      </c>
      <c r="U7825">
        <v>-2.0546880000000001</v>
      </c>
      <c r="V7825">
        <v>0.14129169999999999</v>
      </c>
      <c r="W7825">
        <v>-1.556712E-2</v>
      </c>
      <c r="X7825">
        <v>0.98984559999999999</v>
      </c>
      <c r="Y7825">
        <v>0.55404929999999997</v>
      </c>
      <c r="Z7825">
        <v>-5.7635660000000003E-3</v>
      </c>
      <c r="AA7825">
        <v>0.83246390000000003</v>
      </c>
      <c r="AB7825">
        <v>20</v>
      </c>
      <c r="AC7825">
        <v>33.131599999999899</v>
      </c>
      <c r="AD7825">
        <v>-5.2025000000000203E-2</v>
      </c>
      <c r="AE7825">
        <v>-25.917579</v>
      </c>
      <c r="AF7825">
        <v>23.351821191056501</v>
      </c>
      <c r="AG7825">
        <v>-5.2025000000000203E-2</v>
      </c>
      <c r="AH7825">
        <v>34.987295603594902</v>
      </c>
      <c r="AI7825">
        <v>90.070862950256199</v>
      </c>
      <c r="AJ7825">
        <v>56.279380740641002</v>
      </c>
      <c r="AK7825">
        <v>42.064487554147497</v>
      </c>
      <c r="AL7825">
        <v>90.891966307224095</v>
      </c>
      <c r="AM7825">
        <v>81.876410693113399</v>
      </c>
      <c r="AN7825">
        <v>0.99999999577667198</v>
      </c>
    </row>
    <row r="7826" spans="1:40" x14ac:dyDescent="0.25">
      <c r="A7826" t="str">
        <f>"20190303153958761"</f>
        <v>20190303153958761</v>
      </c>
      <c r="B7826" t="str">
        <f>"1551598798755722"</f>
        <v>1551598798755722</v>
      </c>
      <c r="C7826" t="s">
        <v>40</v>
      </c>
      <c r="D7826">
        <v>4.9461029999999999</v>
      </c>
      <c r="E7826">
        <v>0.68322720000000003</v>
      </c>
      <c r="F7826" t="s">
        <v>80</v>
      </c>
      <c r="G7826">
        <v>-279.02</v>
      </c>
      <c r="H7826">
        <v>0.99758329999999995</v>
      </c>
      <c r="I7826">
        <v>-8.5951459999999997</v>
      </c>
      <c r="J7826">
        <v>-312.03969999999998</v>
      </c>
      <c r="K7826">
        <v>1.068325</v>
      </c>
      <c r="L7826">
        <v>17.646909999999998</v>
      </c>
      <c r="M7826">
        <v>0.99679980000000001</v>
      </c>
      <c r="N7826">
        <v>-1.451674E-2</v>
      </c>
      <c r="O7826">
        <v>-7.8610219999999995E-2</v>
      </c>
      <c r="P7826">
        <v>0.97413090000000002</v>
      </c>
      <c r="Q7826">
        <v>-2.822844E-2</v>
      </c>
      <c r="R7826">
        <v>-0.22421479999999999</v>
      </c>
      <c r="S7826">
        <v>2.6157840000000001</v>
      </c>
      <c r="T7826">
        <v>-5.5979489999999996E-3</v>
      </c>
      <c r="U7826">
        <v>-2.0728149999999999</v>
      </c>
      <c r="V7826">
        <v>0.14680969999999999</v>
      </c>
      <c r="W7826">
        <v>-1.515262E-2</v>
      </c>
      <c r="X7826">
        <v>0.9890487</v>
      </c>
      <c r="Y7826">
        <v>0.55751619999999902</v>
      </c>
      <c r="Z7826">
        <v>-5.9275680000000002E-3</v>
      </c>
      <c r="AA7826">
        <v>0.83014489999999996</v>
      </c>
      <c r="AB7826">
        <v>20</v>
      </c>
      <c r="AC7826">
        <v>33.0197</v>
      </c>
      <c r="AD7826">
        <v>-7.0741699999999894E-2</v>
      </c>
      <c r="AE7826">
        <v>-26.242056000000002</v>
      </c>
      <c r="AF7826">
        <v>23.564805418190002</v>
      </c>
      <c r="AG7826">
        <v>-7.0741699999999894E-2</v>
      </c>
      <c r="AH7826">
        <v>34.980509259671599</v>
      </c>
      <c r="AI7826">
        <v>90.096098707218999</v>
      </c>
      <c r="AJ7826">
        <v>56.033612657264896</v>
      </c>
      <c r="AK7826">
        <v>42.177495028169297</v>
      </c>
      <c r="AL7826">
        <v>90.868214391607793</v>
      </c>
      <c r="AM7826">
        <v>81.556934699634695</v>
      </c>
      <c r="AN7826">
        <v>1.0000000104393201</v>
      </c>
    </row>
    <row r="7827" spans="1:40" x14ac:dyDescent="0.25">
      <c r="A7827" t="str">
        <f>"20190303153958774"</f>
        <v>20190303153958774</v>
      </c>
      <c r="B7827" t="str">
        <f>"1551598798766460"</f>
        <v>1551598798766460</v>
      </c>
      <c r="C7827" t="s">
        <v>40</v>
      </c>
      <c r="D7827">
        <v>4.9505339999999904</v>
      </c>
      <c r="E7827">
        <v>0.66064969999999901</v>
      </c>
      <c r="F7827" t="s">
        <v>80</v>
      </c>
      <c r="G7827">
        <v>-279.02</v>
      </c>
      <c r="H7827">
        <v>1.031126</v>
      </c>
      <c r="I7827">
        <v>-9.0018469999999997</v>
      </c>
      <c r="J7827">
        <v>-311.93119999999999</v>
      </c>
      <c r="K7827">
        <v>1.0681609999999999</v>
      </c>
      <c r="L7827">
        <v>17.63467</v>
      </c>
      <c r="M7827">
        <v>0.99653049999999999</v>
      </c>
      <c r="N7827">
        <v>-1.448178E-2</v>
      </c>
      <c r="O7827">
        <v>-8.1960829999999998E-2</v>
      </c>
      <c r="P7827">
        <v>0.97190549999999998</v>
      </c>
      <c r="Q7827">
        <v>-2.884799E-2</v>
      </c>
      <c r="R7827">
        <v>-0.23359820000000001</v>
      </c>
      <c r="S7827">
        <v>2.597137</v>
      </c>
      <c r="T7827">
        <v>-2.9258729999999998E-3</v>
      </c>
      <c r="U7827">
        <v>-2.0960390000000002</v>
      </c>
      <c r="V7827">
        <v>0.15300859999999999</v>
      </c>
      <c r="W7827">
        <v>-1.591621E-2</v>
      </c>
      <c r="X7827">
        <v>0.98809669999999905</v>
      </c>
      <c r="Y7827">
        <v>0.56212959999999901</v>
      </c>
      <c r="Z7827">
        <v>-5.8249119999999998E-3</v>
      </c>
      <c r="AA7827">
        <v>0.82702869999999995</v>
      </c>
      <c r="AB7827">
        <v>20</v>
      </c>
      <c r="AC7827">
        <v>32.911200000000001</v>
      </c>
      <c r="AD7827">
        <v>-3.7035000000000103E-2</v>
      </c>
      <c r="AE7827">
        <v>-26.636517000000001</v>
      </c>
      <c r="AF7827">
        <v>23.849151047398198</v>
      </c>
      <c r="AG7827">
        <v>-3.7035000000000103E-2</v>
      </c>
      <c r="AH7827">
        <v>34.983801601174903</v>
      </c>
      <c r="AI7827">
        <v>90.050117259400594</v>
      </c>
      <c r="AJ7827">
        <v>55.716970299567301</v>
      </c>
      <c r="AK7827">
        <v>42.339694752598398</v>
      </c>
      <c r="AL7827">
        <v>90.911970144899499</v>
      </c>
      <c r="AM7827">
        <v>81.197556532816606</v>
      </c>
      <c r="AN7827">
        <v>1.0000000229828001</v>
      </c>
    </row>
    <row r="7828" spans="1:40" x14ac:dyDescent="0.25">
      <c r="A7828" t="str">
        <f>"20190303153958785"</f>
        <v>20190303153958785</v>
      </c>
      <c r="B7828" t="str">
        <f>"1551598798776218"</f>
        <v>1551598798776218</v>
      </c>
      <c r="C7828" t="s">
        <v>40</v>
      </c>
      <c r="D7828">
        <v>4.9542789999999997</v>
      </c>
      <c r="E7828">
        <v>0.66000800000000004</v>
      </c>
      <c r="F7828" t="s">
        <v>43</v>
      </c>
      <c r="G7828">
        <v>-292.62240000000003</v>
      </c>
      <c r="H7828">
        <v>-0.05</v>
      </c>
      <c r="I7828">
        <v>3.2536770000000002</v>
      </c>
      <c r="J7828">
        <v>-311.82139999999998</v>
      </c>
      <c r="K7828">
        <v>1.0680019999999999</v>
      </c>
      <c r="L7828">
        <v>17.6218</v>
      </c>
      <c r="M7828">
        <v>0.99623649999999997</v>
      </c>
      <c r="N7828">
        <v>-1.445133E-2</v>
      </c>
      <c r="O7828">
        <v>-8.5463460000000005E-2</v>
      </c>
      <c r="P7828">
        <v>0.96975129999999998</v>
      </c>
      <c r="Q7828">
        <v>-2.9786839999999998E-2</v>
      </c>
      <c r="R7828">
        <v>-0.24227119999999999</v>
      </c>
      <c r="S7828">
        <v>2.6142270000000001</v>
      </c>
      <c r="T7828">
        <v>-0.151388299999999</v>
      </c>
      <c r="U7828">
        <v>-1.947052</v>
      </c>
      <c r="V7828">
        <v>0.15834709999999999</v>
      </c>
      <c r="W7828">
        <v>-1.6989310000000001E-2</v>
      </c>
      <c r="X7828">
        <v>0.98723729999999998</v>
      </c>
      <c r="Y7828">
        <v>0.52587879999999998</v>
      </c>
      <c r="Z7828">
        <v>-1.450773E-2</v>
      </c>
      <c r="AA7828">
        <v>0.85043579999999996</v>
      </c>
      <c r="AB7828">
        <v>20</v>
      </c>
      <c r="AC7828">
        <v>19.198999999999899</v>
      </c>
      <c r="AD7828">
        <v>-1.1180019999999999</v>
      </c>
      <c r="AE7828">
        <v>-14.368123000000001</v>
      </c>
      <c r="AF7828">
        <v>12.647069178142401</v>
      </c>
      <c r="AG7828">
        <v>-1.1180019999999999</v>
      </c>
      <c r="AH7828">
        <v>20.3126677434052</v>
      </c>
      <c r="AI7828">
        <v>92.675110312728506</v>
      </c>
      <c r="AJ7828">
        <v>58.092789327926198</v>
      </c>
      <c r="AK7828">
        <v>23.9541803892911</v>
      </c>
      <c r="AL7828">
        <v>90.973462628583405</v>
      </c>
      <c r="AM7828">
        <v>80.887704297532295</v>
      </c>
      <c r="AN7828">
        <v>0.99999996362198695</v>
      </c>
    </row>
    <row r="7829" spans="1:40" x14ac:dyDescent="0.25">
      <c r="A7829" t="str">
        <f>"20190303153958798"</f>
        <v>20190303153958798</v>
      </c>
      <c r="B7829" t="str">
        <f>"1551598798795737"</f>
        <v>1551598798795737</v>
      </c>
      <c r="C7829" t="s">
        <v>40</v>
      </c>
      <c r="D7829">
        <v>4.9336399999999996</v>
      </c>
      <c r="E7829">
        <v>0.65806690000000001</v>
      </c>
      <c r="F7829" t="s">
        <v>43</v>
      </c>
      <c r="G7829">
        <v>-293.11270000000002</v>
      </c>
      <c r="H7829">
        <v>-0.05</v>
      </c>
      <c r="I7829">
        <v>3.466202</v>
      </c>
      <c r="J7829">
        <v>-311.70729999999998</v>
      </c>
      <c r="K7829">
        <v>1.067839</v>
      </c>
      <c r="L7829">
        <v>17.607759999999999</v>
      </c>
      <c r="M7829">
        <v>0.99590679999999998</v>
      </c>
      <c r="N7829">
        <v>-1.4424640000000001E-2</v>
      </c>
      <c r="O7829">
        <v>-8.9228189999999999E-2</v>
      </c>
      <c r="P7829">
        <v>0.96735610000000005</v>
      </c>
      <c r="Q7829">
        <v>-3.0434969999999999E-2</v>
      </c>
      <c r="R7829">
        <v>-0.25158700000000001</v>
      </c>
      <c r="S7829">
        <v>2.5977480000000002</v>
      </c>
      <c r="T7829">
        <v>-0.15523779999999901</v>
      </c>
      <c r="U7829">
        <v>-1.965546</v>
      </c>
      <c r="V7829">
        <v>0.16409660000000001</v>
      </c>
      <c r="W7829">
        <v>-1.7777910000000001E-2</v>
      </c>
      <c r="X7829">
        <v>0.9862841</v>
      </c>
      <c r="Y7829">
        <v>0.52906869999999995</v>
      </c>
      <c r="Z7829">
        <v>-1.4731869999999999E-2</v>
      </c>
      <c r="AA7829">
        <v>0.84845110000000001</v>
      </c>
      <c r="AB7829">
        <v>20</v>
      </c>
      <c r="AC7829">
        <v>18.5945999999999</v>
      </c>
      <c r="AD7829">
        <v>-1.117839</v>
      </c>
      <c r="AE7829">
        <v>-14.1415579999999</v>
      </c>
      <c r="AF7829">
        <v>12.397417635389001</v>
      </c>
      <c r="AG7829">
        <v>-1.117839</v>
      </c>
      <c r="AH7829">
        <v>19.7371800628374</v>
      </c>
      <c r="AI7829">
        <v>92.745797319419694</v>
      </c>
      <c r="AJ7829">
        <v>57.8660400966384</v>
      </c>
      <c r="AK7829">
        <v>23.334562453344699</v>
      </c>
      <c r="AL7829">
        <v>91.018652836843202</v>
      </c>
      <c r="AM7829">
        <v>80.553735642340001</v>
      </c>
      <c r="AN7829">
        <v>1.00000003706416</v>
      </c>
    </row>
    <row r="7830" spans="1:40" x14ac:dyDescent="0.25">
      <c r="A7830" t="str">
        <f>"20190303153958810"</f>
        <v>20190303153958810</v>
      </c>
      <c r="B7830" t="str">
        <f>"1551598798805498"</f>
        <v>1551598798805498</v>
      </c>
      <c r="C7830" t="s">
        <v>40</v>
      </c>
      <c r="D7830">
        <v>5.0136430000000001</v>
      </c>
      <c r="E7830">
        <v>0.65686339999999999</v>
      </c>
      <c r="F7830" t="s">
        <v>43</v>
      </c>
      <c r="G7830">
        <v>-293.45620000000002</v>
      </c>
      <c r="H7830">
        <v>-0.05</v>
      </c>
      <c r="I7830">
        <v>3.6453549999999999</v>
      </c>
      <c r="J7830">
        <v>-311.60399999999998</v>
      </c>
      <c r="K7830">
        <v>1.067699</v>
      </c>
      <c r="L7830">
        <v>17.59479</v>
      </c>
      <c r="M7830">
        <v>0.99559089999999995</v>
      </c>
      <c r="N7830">
        <v>-1.4401799999999999E-2</v>
      </c>
      <c r="O7830">
        <v>-9.2690969999999998E-2</v>
      </c>
      <c r="P7830">
        <v>0.96503070000000002</v>
      </c>
      <c r="Q7830">
        <v>-3.0509319999999999E-2</v>
      </c>
      <c r="R7830">
        <v>-0.26035589999999997</v>
      </c>
      <c r="S7830">
        <v>2.5824579999999999</v>
      </c>
      <c r="T7830">
        <v>-0.158169</v>
      </c>
      <c r="U7830">
        <v>-1.975616</v>
      </c>
      <c r="V7830">
        <v>0.1696078</v>
      </c>
      <c r="W7830">
        <v>-1.798495E-2</v>
      </c>
      <c r="X7830">
        <v>0.98534750000000004</v>
      </c>
      <c r="Y7830">
        <v>0.53059419999999902</v>
      </c>
      <c r="Z7830">
        <v>-1.4854050000000001E-2</v>
      </c>
      <c r="AA7830">
        <v>0.84749580000000002</v>
      </c>
      <c r="AB7830">
        <v>20</v>
      </c>
      <c r="AC7830">
        <v>18.1478</v>
      </c>
      <c r="AD7830">
        <v>-1.117699</v>
      </c>
      <c r="AE7830">
        <v>-13.949434999999999</v>
      </c>
      <c r="AF7830">
        <v>12.178020606054901</v>
      </c>
      <c r="AG7830">
        <v>-1.117699</v>
      </c>
      <c r="AH7830">
        <v>19.316718185085399</v>
      </c>
      <c r="AI7830">
        <v>92.802198832158894</v>
      </c>
      <c r="AJ7830">
        <v>57.771052436949503</v>
      </c>
      <c r="AK7830">
        <v>22.862393540006</v>
      </c>
      <c r="AL7830">
        <v>91.030517310373597</v>
      </c>
      <c r="AM7830">
        <v>80.233388142187593</v>
      </c>
      <c r="AN7830">
        <v>0.99999998000179602</v>
      </c>
    </row>
    <row r="7831" spans="1:40" x14ac:dyDescent="0.25">
      <c r="A7831" t="str">
        <f>"20190303153958823"</f>
        <v>20190303153958823</v>
      </c>
      <c r="B7831" t="str">
        <f>"1551598798816234"</f>
        <v>1551598798816234</v>
      </c>
      <c r="C7831" t="s">
        <v>40</v>
      </c>
      <c r="D7831">
        <v>4.934259</v>
      </c>
      <c r="E7831">
        <v>0.65762749999999903</v>
      </c>
      <c r="F7831" t="s">
        <v>43</v>
      </c>
      <c r="G7831">
        <v>-293.82069999999999</v>
      </c>
      <c r="H7831">
        <v>-0.05</v>
      </c>
      <c r="I7831">
        <v>3.8090820000000001</v>
      </c>
      <c r="J7831">
        <v>-311.47989999999999</v>
      </c>
      <c r="K7831">
        <v>1.0675380000000001</v>
      </c>
      <c r="L7831">
        <v>17.578220000000002</v>
      </c>
      <c r="M7831">
        <v>0.99517449999999996</v>
      </c>
      <c r="N7831">
        <v>-1.438132E-2</v>
      </c>
      <c r="O7831">
        <v>-9.7061700000000001E-2</v>
      </c>
      <c r="P7831">
        <v>0.96233420000000003</v>
      </c>
      <c r="Q7831">
        <v>-3.0805760000000001E-2</v>
      </c>
      <c r="R7831">
        <v>-0.27011869999999999</v>
      </c>
      <c r="S7831">
        <v>2.5667420000000001</v>
      </c>
      <c r="T7831">
        <v>-0.16132189999999999</v>
      </c>
      <c r="U7831">
        <v>-1.989746</v>
      </c>
      <c r="V7831">
        <v>0.17524999999999999</v>
      </c>
      <c r="W7831">
        <v>-1.8426870000000001E-2</v>
      </c>
      <c r="X7831">
        <v>0.98435150000000005</v>
      </c>
      <c r="Y7831">
        <v>0.53226549999999995</v>
      </c>
      <c r="Z7831">
        <v>-1.495111E-2</v>
      </c>
      <c r="AA7831">
        <v>0.84644540000000001</v>
      </c>
      <c r="AB7831">
        <v>20</v>
      </c>
      <c r="AC7831">
        <v>17.659199999999998</v>
      </c>
      <c r="AD7831">
        <v>-1.1175379999999999</v>
      </c>
      <c r="AE7831">
        <v>-13.769138</v>
      </c>
      <c r="AF7831">
        <v>11.9601143370281</v>
      </c>
      <c r="AG7831">
        <v>-1.1175379999999999</v>
      </c>
      <c r="AH7831">
        <v>18.865409861923499</v>
      </c>
      <c r="AI7831">
        <v>92.864147087849304</v>
      </c>
      <c r="AJ7831">
        <v>57.626506086080603</v>
      </c>
      <c r="AK7831">
        <v>22.3650825036393</v>
      </c>
      <c r="AL7831">
        <v>91.055841644694496</v>
      </c>
      <c r="AM7831">
        <v>79.9050610844169</v>
      </c>
      <c r="AN7831">
        <v>0.99999999379512305</v>
      </c>
    </row>
    <row r="7832" spans="1:40" x14ac:dyDescent="0.25">
      <c r="A7832" t="str">
        <f>"20190303153958834"</f>
        <v>20190303153958834</v>
      </c>
      <c r="B7832" t="str">
        <f>"1551598798825994"</f>
        <v>1551598798825994</v>
      </c>
      <c r="C7832" t="s">
        <v>40</v>
      </c>
      <c r="D7832">
        <v>4.7206760000000001</v>
      </c>
      <c r="E7832">
        <v>0.65916200000000003</v>
      </c>
      <c r="F7832" t="s">
        <v>43</v>
      </c>
      <c r="G7832">
        <v>-291.96879999999999</v>
      </c>
      <c r="H7832">
        <v>-0.05</v>
      </c>
      <c r="I7832">
        <v>2.0822910000000001</v>
      </c>
      <c r="J7832">
        <v>-311.37549999999999</v>
      </c>
      <c r="K7832">
        <v>1.06741</v>
      </c>
      <c r="L7832">
        <v>17.5639</v>
      </c>
      <c r="M7832">
        <v>0.99480190000000002</v>
      </c>
      <c r="N7832">
        <v>-1.436606E-2</v>
      </c>
      <c r="O7832">
        <v>-0.1008105</v>
      </c>
      <c r="P7832">
        <v>0.95958180000000004</v>
      </c>
      <c r="Q7832">
        <v>-3.024404E-2</v>
      </c>
      <c r="R7832">
        <v>-0.27980060000000001</v>
      </c>
      <c r="S7832">
        <v>2.5453489999999999</v>
      </c>
      <c r="T7832">
        <v>-0.14579010000000001</v>
      </c>
      <c r="U7832">
        <v>-2.0215450000000001</v>
      </c>
      <c r="V7832">
        <v>0.18145149999999999</v>
      </c>
      <c r="W7832">
        <v>-1.8006359999999999E-2</v>
      </c>
      <c r="X7832">
        <v>0.98323499999999997</v>
      </c>
      <c r="Y7832">
        <v>0.53913029999999995</v>
      </c>
      <c r="Z7832">
        <v>-1.416972E-2</v>
      </c>
      <c r="AA7832">
        <v>0.84210319999999905</v>
      </c>
      <c r="AB7832">
        <v>20</v>
      </c>
      <c r="AC7832">
        <v>19.406700000000001</v>
      </c>
      <c r="AD7832">
        <v>-1.11741</v>
      </c>
      <c r="AE7832">
        <v>-15.481608999999899</v>
      </c>
      <c r="AF7832">
        <v>13.418936434567399</v>
      </c>
      <c r="AG7832">
        <v>-1.11741</v>
      </c>
      <c r="AH7832">
        <v>20.826490950833801</v>
      </c>
      <c r="AI7832">
        <v>92.582401596900297</v>
      </c>
      <c r="AJ7832">
        <v>57.205483972487897</v>
      </c>
      <c r="AK7832">
        <v>24.800386800778401</v>
      </c>
      <c r="AL7832">
        <v>91.031744221480096</v>
      </c>
      <c r="AM7832">
        <v>79.543968412274097</v>
      </c>
      <c r="AN7832">
        <v>0.99999997053884904</v>
      </c>
    </row>
    <row r="7833" spans="1:40" x14ac:dyDescent="0.25">
      <c r="A7833" t="str">
        <f>"20190303153958845"</f>
        <v>20190303153958845</v>
      </c>
      <c r="B7833" t="str">
        <f>"1551598798835833"</f>
        <v>1551598798835833</v>
      </c>
      <c r="C7833" t="s">
        <v>40</v>
      </c>
      <c r="D7833">
        <v>4.6919570000000004</v>
      </c>
      <c r="E7833">
        <v>0.66066550000000002</v>
      </c>
      <c r="F7833" t="s">
        <v>43</v>
      </c>
      <c r="G7833">
        <v>-287.1968</v>
      </c>
      <c r="H7833">
        <v>-0.05</v>
      </c>
      <c r="I7833">
        <v>-2.1686399999999999</v>
      </c>
      <c r="J7833">
        <v>-311.27350000000001</v>
      </c>
      <c r="K7833">
        <v>1.067283</v>
      </c>
      <c r="L7833">
        <v>17.549410000000002</v>
      </c>
      <c r="M7833">
        <v>0.99441449999999998</v>
      </c>
      <c r="N7833">
        <v>-1.4353690000000001E-2</v>
      </c>
      <c r="O7833">
        <v>-0.1045652</v>
      </c>
      <c r="P7833">
        <v>0.95673759999999997</v>
      </c>
      <c r="Q7833">
        <v>-2.939845E-2</v>
      </c>
      <c r="R7833">
        <v>-0.28946349999999998</v>
      </c>
      <c r="S7833">
        <v>2.5224000000000002</v>
      </c>
      <c r="T7833">
        <v>-0.1165718</v>
      </c>
      <c r="U7833">
        <v>-2.0585629999999999</v>
      </c>
      <c r="V7833">
        <v>0.18765100000000001</v>
      </c>
      <c r="W7833">
        <v>-1.7300530000000001E-2</v>
      </c>
      <c r="X7833">
        <v>0.98208340000000005</v>
      </c>
      <c r="Y7833">
        <v>0.54731269999999999</v>
      </c>
      <c r="Z7833">
        <v>-1.2621159999999999E-2</v>
      </c>
      <c r="AA7833">
        <v>0.83683299999999905</v>
      </c>
      <c r="AB7833">
        <v>20</v>
      </c>
      <c r="AC7833">
        <v>24.076699999999999</v>
      </c>
      <c r="AD7833">
        <v>-1.117283</v>
      </c>
      <c r="AE7833">
        <v>-19.718050000000002</v>
      </c>
      <c r="AF7833">
        <v>17.070087514982301</v>
      </c>
      <c r="AG7833">
        <v>-1.117283</v>
      </c>
      <c r="AH7833">
        <v>25.973241366057898</v>
      </c>
      <c r="AI7833">
        <v>92.058784690948599</v>
      </c>
      <c r="AJ7833">
        <v>56.686353503766703</v>
      </c>
      <c r="AK7833">
        <v>31.1005703505699</v>
      </c>
      <c r="AL7833">
        <v>90.991296801798995</v>
      </c>
      <c r="AM7833">
        <v>79.182630684974598</v>
      </c>
      <c r="AN7833">
        <v>1.0000000053474201</v>
      </c>
    </row>
    <row r="7834" spans="1:40" x14ac:dyDescent="0.25">
      <c r="A7834" t="str">
        <f>"20190303153958856"</f>
        <v>20190303153958856</v>
      </c>
      <c r="B7834" t="str">
        <f>"1551598798845593"</f>
        <v>1551598798845593</v>
      </c>
      <c r="C7834" t="s">
        <v>40</v>
      </c>
      <c r="D7834">
        <v>4.7252749999999999</v>
      </c>
      <c r="E7834">
        <v>0.66131169999999995</v>
      </c>
      <c r="F7834" t="s">
        <v>43</v>
      </c>
      <c r="G7834">
        <v>-280.95580000000001</v>
      </c>
      <c r="H7834">
        <v>-0.05</v>
      </c>
      <c r="I7834">
        <v>-7.8685</v>
      </c>
      <c r="J7834">
        <v>-311.17329999999998</v>
      </c>
      <c r="K7834">
        <v>1.0671740000000001</v>
      </c>
      <c r="L7834">
        <v>17.534579999999998</v>
      </c>
      <c r="M7834">
        <v>0.9940078</v>
      </c>
      <c r="N7834">
        <v>-1.434476E-2</v>
      </c>
      <c r="O7834">
        <v>-0.1083638</v>
      </c>
      <c r="P7834">
        <v>0.95377630000000002</v>
      </c>
      <c r="Q7834">
        <v>-2.85603E-2</v>
      </c>
      <c r="R7834">
        <v>-0.29915770000000003</v>
      </c>
      <c r="S7834">
        <v>2.4989620000000001</v>
      </c>
      <c r="T7834">
        <v>-9.209299E-2</v>
      </c>
      <c r="U7834">
        <v>-2.0950929999999999</v>
      </c>
      <c r="V7834">
        <v>0.19386120000000001</v>
      </c>
      <c r="W7834">
        <v>-1.6600520000000001E-2</v>
      </c>
      <c r="X7834">
        <v>0.98088850000000005</v>
      </c>
      <c r="Y7834">
        <v>0.55529700000000004</v>
      </c>
      <c r="Z7834">
        <v>-1.133018E-2</v>
      </c>
      <c r="AA7834">
        <v>0.83157490000000001</v>
      </c>
      <c r="AB7834">
        <v>20</v>
      </c>
      <c r="AC7834">
        <v>30.217499999999902</v>
      </c>
      <c r="AD7834">
        <v>-1.1171739999999999</v>
      </c>
      <c r="AE7834">
        <v>-25.403079999999999</v>
      </c>
      <c r="AF7834">
        <v>21.9610502221228</v>
      </c>
      <c r="AG7834">
        <v>-1.1171739999999999</v>
      </c>
      <c r="AH7834">
        <v>32.766337799770596</v>
      </c>
      <c r="AI7834">
        <v>91.622309277105401</v>
      </c>
      <c r="AJ7834">
        <v>56.168738941198399</v>
      </c>
      <c r="AK7834">
        <v>39.460976893806802</v>
      </c>
      <c r="AL7834">
        <v>90.951183428568498</v>
      </c>
      <c r="AM7834">
        <v>78.820233805501502</v>
      </c>
      <c r="AN7834">
        <v>0.99999999578097998</v>
      </c>
    </row>
    <row r="7835" spans="1:40" x14ac:dyDescent="0.25">
      <c r="A7835" t="str">
        <f>"20190303153958872"</f>
        <v>20190303153958872</v>
      </c>
      <c r="B7835" t="str">
        <f>"1551598798866088"</f>
        <v>1551598798866088</v>
      </c>
      <c r="C7835" t="s">
        <v>40</v>
      </c>
      <c r="D7835">
        <v>4.7445820000000003</v>
      </c>
      <c r="E7835">
        <v>0.66159269999999903</v>
      </c>
      <c r="F7835" t="s">
        <v>43</v>
      </c>
      <c r="G7835">
        <v>-273.37400000000002</v>
      </c>
      <c r="H7835">
        <v>-0.05</v>
      </c>
      <c r="I7835">
        <v>-14.90089</v>
      </c>
      <c r="J7835">
        <v>-311.0308</v>
      </c>
      <c r="K7835">
        <v>1.0670249999999999</v>
      </c>
      <c r="L7835">
        <v>17.512820000000001</v>
      </c>
      <c r="M7835">
        <v>0.99339089999999997</v>
      </c>
      <c r="N7835">
        <v>-1.433478E-2</v>
      </c>
      <c r="O7835">
        <v>-0.1138822</v>
      </c>
      <c r="P7835">
        <v>0.94769760000000003</v>
      </c>
      <c r="Q7835">
        <v>-2.5459969999999998E-2</v>
      </c>
      <c r="R7835">
        <v>-0.31815280000000001</v>
      </c>
      <c r="S7835">
        <v>2.4766240000000002</v>
      </c>
      <c r="T7835">
        <v>-7.3197600000000002E-2</v>
      </c>
      <c r="U7835">
        <v>-2.1251829999999998</v>
      </c>
      <c r="V7835">
        <v>0.2080043</v>
      </c>
      <c r="W7835">
        <v>-1.377344E-2</v>
      </c>
      <c r="X7835">
        <v>0.97803090000000004</v>
      </c>
      <c r="Y7835">
        <v>0.56029649999999998</v>
      </c>
      <c r="Z7835">
        <v>-1.0272999999999999E-2</v>
      </c>
      <c r="AA7835">
        <v>0.82822839999999998</v>
      </c>
      <c r="AB7835">
        <v>20</v>
      </c>
      <c r="AC7835">
        <v>37.656799999999897</v>
      </c>
      <c r="AD7835">
        <v>-1.1170249999999999</v>
      </c>
      <c r="AE7835">
        <v>-32.413709999999902</v>
      </c>
      <c r="AF7835">
        <v>27.899810346164202</v>
      </c>
      <c r="AG7835">
        <v>-1.1170249999999999</v>
      </c>
      <c r="AH7835">
        <v>41.082723446933301</v>
      </c>
      <c r="AI7835">
        <v>91.288543456074095</v>
      </c>
      <c r="AJ7835">
        <v>55.819065390539599</v>
      </c>
      <c r="AK7835">
        <v>49.673305990438799</v>
      </c>
      <c r="AL7835">
        <v>90.789184959657405</v>
      </c>
      <c r="AM7835">
        <v>77.993419018480296</v>
      </c>
      <c r="AN7835">
        <v>0.999999968911366</v>
      </c>
    </row>
    <row r="7836" spans="1:40" x14ac:dyDescent="0.25">
      <c r="A7836" t="str">
        <f>"20190303153958883"</f>
        <v>20190303153958883</v>
      </c>
      <c r="B7836" t="str">
        <f>"1551598798875848"</f>
        <v>1551598798875848</v>
      </c>
      <c r="C7836" t="s">
        <v>40</v>
      </c>
      <c r="D7836">
        <v>4.7842149999999997</v>
      </c>
      <c r="E7836">
        <v>0.66162500000000002</v>
      </c>
      <c r="F7836" t="s">
        <v>80</v>
      </c>
      <c r="G7836">
        <v>-279.02</v>
      </c>
      <c r="H7836">
        <v>0.51325609999999999</v>
      </c>
      <c r="I7836">
        <v>-11.10412</v>
      </c>
      <c r="J7836">
        <v>-310.93130000000002</v>
      </c>
      <c r="K7836">
        <v>1.066926</v>
      </c>
      <c r="L7836">
        <v>17.49689</v>
      </c>
      <c r="M7836">
        <v>0.9929268</v>
      </c>
      <c r="N7836">
        <v>-1.4330880000000001E-2</v>
      </c>
      <c r="O7836">
        <v>-0.1178598</v>
      </c>
      <c r="P7836">
        <v>0.94410649999999996</v>
      </c>
      <c r="Q7836">
        <v>-2.3845470000000001E-2</v>
      </c>
      <c r="R7836">
        <v>-0.32877770000000001</v>
      </c>
      <c r="S7836">
        <v>2.4339900000000001</v>
      </c>
      <c r="T7836">
        <v>-4.2106749999999998E-2</v>
      </c>
      <c r="U7836">
        <v>-2.1759339999999998</v>
      </c>
      <c r="V7836">
        <v>0.2150753</v>
      </c>
      <c r="W7836">
        <v>-1.2311839999999999E-2</v>
      </c>
      <c r="X7836">
        <v>0.9765199</v>
      </c>
      <c r="Y7836">
        <v>0.57384230000000003</v>
      </c>
      <c r="Z7836">
        <v>-8.6999239999999995E-3</v>
      </c>
      <c r="AA7836">
        <v>0.81891969999999903</v>
      </c>
      <c r="AB7836">
        <v>20</v>
      </c>
      <c r="AC7836">
        <v>31.911300000000001</v>
      </c>
      <c r="AD7836">
        <v>-0.55366990000000005</v>
      </c>
      <c r="AE7836">
        <v>-28.601009999999999</v>
      </c>
      <c r="AF7836">
        <v>24.636068422623001</v>
      </c>
      <c r="AG7836">
        <v>-0.55366990000000005</v>
      </c>
      <c r="AH7836">
        <v>35.054244053425599</v>
      </c>
      <c r="AI7836">
        <v>90.740362262541794</v>
      </c>
      <c r="AJ7836">
        <v>54.900510860292997</v>
      </c>
      <c r="AK7836">
        <v>42.849065845586999</v>
      </c>
      <c r="AL7836">
        <v>90.705434263960996</v>
      </c>
      <c r="AM7836">
        <v>77.579099032780505</v>
      </c>
      <c r="AN7836">
        <v>1.0000000405851399</v>
      </c>
    </row>
    <row r="7837" spans="1:40" x14ac:dyDescent="0.25">
      <c r="A7837" t="str">
        <f>"20190303153958894"</f>
        <v>20190303153958894</v>
      </c>
      <c r="B7837" t="str">
        <f>"1551598798885609"</f>
        <v>1551598798885609</v>
      </c>
      <c r="C7837" t="s">
        <v>40</v>
      </c>
      <c r="D7837">
        <v>4.8540970000000003</v>
      </c>
      <c r="E7837">
        <v>0.66162500000000002</v>
      </c>
      <c r="F7837" t="s">
        <v>80</v>
      </c>
      <c r="G7837">
        <v>-279.02</v>
      </c>
      <c r="H7837">
        <v>0.67195439999999995</v>
      </c>
      <c r="I7837">
        <v>-11.682729999999999</v>
      </c>
      <c r="J7837">
        <v>-310.83229999999998</v>
      </c>
      <c r="K7837">
        <v>1.066832</v>
      </c>
      <c r="L7837">
        <v>17.480619999999998</v>
      </c>
      <c r="M7837">
        <v>0.9924404</v>
      </c>
      <c r="N7837">
        <v>-1.4328199999999999E-2</v>
      </c>
      <c r="O7837">
        <v>-0.1218878</v>
      </c>
      <c r="P7837">
        <v>0.94016489999999997</v>
      </c>
      <c r="Q7837">
        <v>-2.168921E-2</v>
      </c>
      <c r="R7837">
        <v>-0.34002929999999998</v>
      </c>
      <c r="S7837">
        <v>2.4096069999999998</v>
      </c>
      <c r="T7837">
        <v>-2.9824139999999999E-2</v>
      </c>
      <c r="U7837">
        <v>-2.2033390000000002</v>
      </c>
      <c r="V7837">
        <v>0.2227819</v>
      </c>
      <c r="W7837">
        <v>-1.031834E-2</v>
      </c>
      <c r="X7837">
        <v>0.97481370000000001</v>
      </c>
      <c r="Y7837">
        <v>0.57974419999999904</v>
      </c>
      <c r="Z7837">
        <v>-8.0731659999999997E-3</v>
      </c>
      <c r="AA7837">
        <v>0.814758599999999</v>
      </c>
      <c r="AB7837">
        <v>20</v>
      </c>
      <c r="AC7837">
        <v>31.8123</v>
      </c>
      <c r="AD7837">
        <v>-0.3948776</v>
      </c>
      <c r="AE7837">
        <v>-29.163350000000001</v>
      </c>
      <c r="AF7837">
        <v>25.065831814256999</v>
      </c>
      <c r="AG7837">
        <v>-0.3948776</v>
      </c>
      <c r="AH7837">
        <v>35.1271358424219</v>
      </c>
      <c r="AI7837">
        <v>90.524274212133903</v>
      </c>
      <c r="AJ7837">
        <v>54.489310418399903</v>
      </c>
      <c r="AK7837">
        <v>43.155156416719898</v>
      </c>
      <c r="AL7837">
        <v>90.591207826820906</v>
      </c>
      <c r="AM7837">
        <v>77.126822770894506</v>
      </c>
      <c r="AN7837">
        <v>0.999999996407827</v>
      </c>
    </row>
    <row r="7838" spans="1:40" x14ac:dyDescent="0.25">
      <c r="A7838" t="str">
        <f>"20190303153958905"</f>
        <v>20190303153958905</v>
      </c>
      <c r="B7838" t="str">
        <f>"1551598798896345"</f>
        <v>1551598798896345</v>
      </c>
      <c r="C7838" t="s">
        <v>40</v>
      </c>
      <c r="D7838">
        <v>5.1319319999999999</v>
      </c>
      <c r="E7838">
        <v>0.69785450000000004</v>
      </c>
      <c r="F7838" t="s">
        <v>80</v>
      </c>
      <c r="G7838">
        <v>-279.02</v>
      </c>
      <c r="H7838">
        <v>0.74322189999999999</v>
      </c>
      <c r="I7838">
        <v>-12.313879999999999</v>
      </c>
      <c r="J7838">
        <v>-310.73099999999999</v>
      </c>
      <c r="K7838">
        <v>1.0667469999999999</v>
      </c>
      <c r="L7838">
        <v>17.4635</v>
      </c>
      <c r="M7838">
        <v>0.99191620000000003</v>
      </c>
      <c r="N7838">
        <v>-1.4327019999999999E-2</v>
      </c>
      <c r="O7838">
        <v>-0.12608239999999901</v>
      </c>
      <c r="P7838">
        <v>0.93590660000000003</v>
      </c>
      <c r="Q7838">
        <v>-2.0007199999999999E-2</v>
      </c>
      <c r="R7838">
        <v>-0.3516802</v>
      </c>
      <c r="S7838">
        <v>2.3831180000000001</v>
      </c>
      <c r="T7838">
        <v>-2.4242400000000001E-2</v>
      </c>
      <c r="U7838">
        <v>-2.2319640000000001</v>
      </c>
      <c r="V7838">
        <v>0.23077120000000001</v>
      </c>
      <c r="W7838">
        <v>-8.8050019999999993E-3</v>
      </c>
      <c r="X7838">
        <v>0.97296819999999895</v>
      </c>
      <c r="Y7838">
        <v>0.58602980000000005</v>
      </c>
      <c r="Z7838">
        <v>-7.8563109999999995E-3</v>
      </c>
      <c r="AA7838">
        <v>0.81025139999999995</v>
      </c>
      <c r="AB7838">
        <v>20</v>
      </c>
      <c r="AC7838">
        <v>31.710999999999999</v>
      </c>
      <c r="AD7838">
        <v>-0.32352509999999901</v>
      </c>
      <c r="AE7838">
        <v>-29.777379999999901</v>
      </c>
      <c r="AF7838">
        <v>25.539678175956201</v>
      </c>
      <c r="AG7838">
        <v>-0.32352509999999901</v>
      </c>
      <c r="AH7838">
        <v>35.210728474710102</v>
      </c>
      <c r="AI7838">
        <v>90.426141607824206</v>
      </c>
      <c r="AJ7838">
        <v>54.045197644352903</v>
      </c>
      <c r="AK7838">
        <v>43.499140560952497</v>
      </c>
      <c r="AL7838">
        <v>90.504495973873603</v>
      </c>
      <c r="AM7838">
        <v>76.656993400965305</v>
      </c>
      <c r="AN7838">
        <v>0.99999999651044902</v>
      </c>
    </row>
    <row r="7839" spans="1:40" x14ac:dyDescent="0.25">
      <c r="A7839" t="str">
        <f>"20190303153958927"</f>
        <v>20190303153958927</v>
      </c>
      <c r="B7839" t="str">
        <f>"1551598798915865"</f>
        <v>1551598798915865</v>
      </c>
      <c r="C7839" t="s">
        <v>40</v>
      </c>
      <c r="D7839">
        <v>5.1747740000000002</v>
      </c>
      <c r="E7839">
        <v>0.69785450000000004</v>
      </c>
      <c r="F7839" t="s">
        <v>80</v>
      </c>
      <c r="G7839">
        <v>-279.02</v>
      </c>
      <c r="H7839">
        <v>2.5893030000000001</v>
      </c>
      <c r="I7839">
        <v>-18.085889999999999</v>
      </c>
      <c r="J7839">
        <v>-310.53250000000003</v>
      </c>
      <c r="K7839">
        <v>1.066584</v>
      </c>
      <c r="L7839">
        <v>17.42831</v>
      </c>
      <c r="M7839">
        <v>0.99080480000000004</v>
      </c>
      <c r="N7839">
        <v>-1.432873E-2</v>
      </c>
      <c r="O7839">
        <v>-0.13453860000000001</v>
      </c>
      <c r="P7839">
        <v>0.92656649999999996</v>
      </c>
      <c r="Q7839">
        <v>-1.8854159999999998E-2</v>
      </c>
      <c r="R7839">
        <v>-0.3756583</v>
      </c>
      <c r="S7839">
        <v>2.2569889999999999</v>
      </c>
      <c r="T7839">
        <v>0.1083659</v>
      </c>
      <c r="U7839">
        <v>-2.5301819999999999</v>
      </c>
      <c r="V7839">
        <v>0.24749109999999999</v>
      </c>
      <c r="W7839">
        <v>-8.0029799999999998E-3</v>
      </c>
      <c r="X7839">
        <v>0.96885710000000003</v>
      </c>
      <c r="Y7839">
        <v>0.64984449999999905</v>
      </c>
      <c r="Z7839">
        <v>2.2096E-4</v>
      </c>
      <c r="AA7839">
        <v>0.76006719999999905</v>
      </c>
      <c r="AB7839">
        <v>20</v>
      </c>
      <c r="AC7839">
        <v>31.512499999999999</v>
      </c>
      <c r="AD7839">
        <v>1.5227189999999899</v>
      </c>
      <c r="AE7839">
        <v>-35.514200000000002</v>
      </c>
      <c r="AF7839">
        <v>30.919365809855201</v>
      </c>
      <c r="AG7839">
        <v>1.5227189999999899</v>
      </c>
      <c r="AH7839">
        <v>35.967466888385999</v>
      </c>
      <c r="AI7839">
        <v>88.161201029837898</v>
      </c>
      <c r="AJ7839">
        <v>49.316060085381899</v>
      </c>
      <c r="AK7839">
        <v>47.455079070672198</v>
      </c>
      <c r="AL7839">
        <v>90.458541878681999</v>
      </c>
      <c r="AM7839">
        <v>75.670433162167598</v>
      </c>
      <c r="AN7839">
        <v>0.99999998624425002</v>
      </c>
    </row>
    <row r="7840" spans="1:40" x14ac:dyDescent="0.25">
      <c r="A7840" t="str">
        <f>"20190303153958996"</f>
        <v>20190303153958996</v>
      </c>
      <c r="B7840" t="str">
        <f>"1551598798986095"</f>
        <v>1551598798986095</v>
      </c>
      <c r="C7840" t="s">
        <v>40</v>
      </c>
      <c r="D7840">
        <v>5.0987349999999996</v>
      </c>
      <c r="E7840">
        <v>0.73535530000000005</v>
      </c>
      <c r="F7840" t="s">
        <v>80</v>
      </c>
      <c r="G7840">
        <v>-279.02</v>
      </c>
      <c r="H7840">
        <v>2.6677759999999999</v>
      </c>
      <c r="I7840">
        <v>-19.789459999999998</v>
      </c>
      <c r="J7840">
        <v>-309.91789999999997</v>
      </c>
      <c r="K7840">
        <v>1.0660590000000001</v>
      </c>
      <c r="L7840">
        <v>17.30518</v>
      </c>
      <c r="M7840">
        <v>0.98656200000000005</v>
      </c>
      <c r="N7840">
        <v>-1.437124E-2</v>
      </c>
      <c r="O7840">
        <v>-0.16275499999999901</v>
      </c>
      <c r="P7840">
        <v>0.89119559999999998</v>
      </c>
      <c r="Q7840">
        <v>-1.9376350000000001E-2</v>
      </c>
      <c r="R7840">
        <v>-0.45320569999999999</v>
      </c>
      <c r="S7840">
        <v>2.1909480000000001</v>
      </c>
      <c r="T7840">
        <v>0.11132499999999999</v>
      </c>
      <c r="U7840">
        <v>-2.5876160000000001</v>
      </c>
      <c r="V7840">
        <v>0.30199690000000001</v>
      </c>
      <c r="W7840">
        <v>-9.7245639999999998E-3</v>
      </c>
      <c r="X7840">
        <v>0.95325930000000003</v>
      </c>
      <c r="Y7840">
        <v>0.64778959999999997</v>
      </c>
      <c r="Z7840">
        <v>-9.8707619999999999E-4</v>
      </c>
      <c r="AA7840">
        <v>0.76181869999999996</v>
      </c>
      <c r="AB7840">
        <v>20</v>
      </c>
      <c r="AC7840">
        <v>30.8979</v>
      </c>
      <c r="AD7840">
        <v>1.6017169999999901</v>
      </c>
      <c r="AE7840">
        <v>-37.094639999999998</v>
      </c>
      <c r="AF7840">
        <v>31.535917096565001</v>
      </c>
      <c r="AG7840">
        <v>1.6017169999999901</v>
      </c>
      <c r="AH7840">
        <v>36.483639330221799</v>
      </c>
      <c r="AI7840">
        <v>88.097677761627196</v>
      </c>
      <c r="AJ7840">
        <v>49.160350665071903</v>
      </c>
      <c r="AK7840">
        <v>48.250756504403299</v>
      </c>
      <c r="AL7840">
        <v>90.557185260344696</v>
      </c>
      <c r="AM7840">
        <v>72.421560483186099</v>
      </c>
      <c r="AN7840">
        <v>0.99999999389554495</v>
      </c>
    </row>
    <row r="7841" spans="1:40" x14ac:dyDescent="0.25">
      <c r="A7841" t="str">
        <f>"20190303153959007"</f>
        <v>20190303153959007</v>
      </c>
      <c r="B7841" t="str">
        <f>"1551598798995856"</f>
        <v>1551598798995856</v>
      </c>
      <c r="C7841" t="s">
        <v>40</v>
      </c>
      <c r="D7841">
        <v>4.394406</v>
      </c>
      <c r="E7841">
        <v>0.74189249999999995</v>
      </c>
      <c r="F7841" t="s">
        <v>82</v>
      </c>
      <c r="G7841">
        <v>-284.2638</v>
      </c>
      <c r="H7841">
        <v>0.52411409999999903</v>
      </c>
      <c r="I7841">
        <v>-25.368320000000001</v>
      </c>
      <c r="J7841">
        <v>-309.81270000000001</v>
      </c>
      <c r="K7841">
        <v>1.065976</v>
      </c>
      <c r="L7841">
        <v>17.282070000000001</v>
      </c>
      <c r="M7841">
        <v>0.98570619999999998</v>
      </c>
      <c r="N7841">
        <v>-1.438354E-2</v>
      </c>
      <c r="O7841">
        <v>-0.16785820000000001</v>
      </c>
      <c r="P7841">
        <v>0.88473429999999997</v>
      </c>
      <c r="Q7841">
        <v>-1.860757E-2</v>
      </c>
      <c r="R7841">
        <v>-0.46572409999999997</v>
      </c>
      <c r="S7841">
        <v>1.8231809999999999</v>
      </c>
      <c r="T7841">
        <v>-3.8514850000000003E-2</v>
      </c>
      <c r="U7841">
        <v>-3.032715</v>
      </c>
      <c r="V7841">
        <v>0.31049339999999997</v>
      </c>
      <c r="W7841">
        <v>-9.160975E-3</v>
      </c>
      <c r="X7841">
        <v>0.95053140000000003</v>
      </c>
      <c r="Y7841">
        <v>0.758247</v>
      </c>
      <c r="Z7841">
        <v>-1.2022720000000001E-2</v>
      </c>
      <c r="AA7841">
        <v>0.65185649999999995</v>
      </c>
      <c r="AB7841">
        <v>20</v>
      </c>
      <c r="AC7841">
        <v>25.5489</v>
      </c>
      <c r="AD7841">
        <v>-0.54186190000000001</v>
      </c>
      <c r="AE7841">
        <v>-42.650390000000002</v>
      </c>
      <c r="AF7841">
        <v>37.751583440912498</v>
      </c>
      <c r="AG7841">
        <v>-0.54186190000000001</v>
      </c>
      <c r="AH7841">
        <v>32.342431603752402</v>
      </c>
      <c r="AI7841">
        <v>90.624509125500893</v>
      </c>
      <c r="AJ7841">
        <v>40.587233166763497</v>
      </c>
      <c r="AK7841">
        <v>49.714269064909899</v>
      </c>
      <c r="AL7841">
        <v>90.524892541160995</v>
      </c>
      <c r="AM7841">
        <v>71.910247226500502</v>
      </c>
      <c r="AN7841">
        <v>1.00000000864623</v>
      </c>
    </row>
    <row r="7842" spans="1:40" x14ac:dyDescent="0.25">
      <c r="A7842" t="str">
        <f>"20190303153959020"</f>
        <v>20190303153959020</v>
      </c>
      <c r="B7842" t="str">
        <f>"1551598799016352"</f>
        <v>1551598799016352</v>
      </c>
      <c r="C7842" t="s">
        <v>40</v>
      </c>
      <c r="D7842">
        <v>4.7959480000000001</v>
      </c>
      <c r="E7842">
        <v>0.74103260000000004</v>
      </c>
      <c r="F7842" t="s">
        <v>82</v>
      </c>
      <c r="G7842">
        <v>-283.79750000000001</v>
      </c>
      <c r="H7842">
        <v>2.8131780000000002</v>
      </c>
      <c r="I7842">
        <v>-28.593229999999998</v>
      </c>
      <c r="J7842">
        <v>-309.7133</v>
      </c>
      <c r="K7842">
        <v>1.0658890000000001</v>
      </c>
      <c r="L7842">
        <v>17.259250000000002</v>
      </c>
      <c r="M7842">
        <v>0.98484590000000005</v>
      </c>
      <c r="N7842">
        <v>-1.439853E-2</v>
      </c>
      <c r="O7842">
        <v>-0.17283289999999901</v>
      </c>
      <c r="P7842">
        <v>0.87821019999999905</v>
      </c>
      <c r="Q7842">
        <v>-1.866454E-2</v>
      </c>
      <c r="R7842">
        <v>-0.47791080000000002</v>
      </c>
      <c r="S7842">
        <v>1.7597959999999999</v>
      </c>
      <c r="T7842">
        <v>0.11818919999999999</v>
      </c>
      <c r="U7842">
        <v>-3.1032410000000001</v>
      </c>
      <c r="V7842">
        <v>0.31881809999999899</v>
      </c>
      <c r="W7842">
        <v>-9.4260290000000007E-3</v>
      </c>
      <c r="X7842">
        <v>0.94776899999999997</v>
      </c>
      <c r="Y7842">
        <v>0.77144840000000003</v>
      </c>
      <c r="Z7842">
        <v>4.8054199999999998E-4</v>
      </c>
      <c r="AA7842">
        <v>0.63629179999999996</v>
      </c>
      <c r="AB7842">
        <v>20</v>
      </c>
      <c r="AC7842">
        <v>25.915799999999901</v>
      </c>
      <c r="AD7842">
        <v>1.7472890000000001</v>
      </c>
      <c r="AE7842">
        <v>-45.85248</v>
      </c>
      <c r="AF7842">
        <v>40.638017633305502</v>
      </c>
      <c r="AG7842">
        <v>1.7472890000000001</v>
      </c>
      <c r="AH7842">
        <v>33.414580083804097</v>
      </c>
      <c r="AI7842">
        <v>88.097844145029597</v>
      </c>
      <c r="AJ7842">
        <v>39.428726602741399</v>
      </c>
      <c r="AK7842">
        <v>52.640627448685699</v>
      </c>
      <c r="AL7842">
        <v>90.540079701922295</v>
      </c>
      <c r="AM7842">
        <v>71.407679230469597</v>
      </c>
      <c r="AN7842">
        <v>0.99999995413565801</v>
      </c>
    </row>
    <row r="7843" spans="1:40" x14ac:dyDescent="0.25">
      <c r="A7843" t="str">
        <f>"20190303153959030"</f>
        <v>20190303153959030</v>
      </c>
      <c r="B7843" t="str">
        <f>"1551598799026112"</f>
        <v>1551598799026112</v>
      </c>
      <c r="C7843" t="s">
        <v>40</v>
      </c>
      <c r="D7843">
        <v>5.103891</v>
      </c>
      <c r="E7843">
        <v>0.73562169999999905</v>
      </c>
      <c r="F7843" t="s">
        <v>82</v>
      </c>
      <c r="G7843">
        <v>-284.43680000000001</v>
      </c>
      <c r="H7843">
        <v>3.3099970000000001</v>
      </c>
      <c r="I7843">
        <v>-28.593229999999998</v>
      </c>
      <c r="J7843">
        <v>-309.61669999999998</v>
      </c>
      <c r="K7843">
        <v>1.065796</v>
      </c>
      <c r="L7843">
        <v>17.236879999999999</v>
      </c>
      <c r="M7843">
        <v>0.98397939999999995</v>
      </c>
      <c r="N7843">
        <v>-1.441307E-2</v>
      </c>
      <c r="O7843">
        <v>-0.17769849999999901</v>
      </c>
      <c r="P7843">
        <v>0.87152770000000002</v>
      </c>
      <c r="Q7843">
        <v>-1.8584440000000001E-2</v>
      </c>
      <c r="R7843">
        <v>-0.48999470000000001</v>
      </c>
      <c r="S7843">
        <v>1.7206729999999999</v>
      </c>
      <c r="T7843">
        <v>0.15276629999999899</v>
      </c>
      <c r="U7843">
        <v>-3.1213679999999999</v>
      </c>
      <c r="V7843">
        <v>0.32720709999999997</v>
      </c>
      <c r="W7843">
        <v>-9.5602510000000005E-3</v>
      </c>
      <c r="X7843">
        <v>0.94490430000000003</v>
      </c>
      <c r="Y7843">
        <v>0.77583219999999997</v>
      </c>
      <c r="Z7843">
        <v>3.13364E-3</v>
      </c>
      <c r="AA7843">
        <v>0.63093159999999904</v>
      </c>
      <c r="AB7843">
        <v>20</v>
      </c>
      <c r="AC7843">
        <v>25.1798999999999</v>
      </c>
      <c r="AD7843">
        <v>2.2442009999999999</v>
      </c>
      <c r="AE7843">
        <v>-45.830109999999998</v>
      </c>
      <c r="AF7843">
        <v>40.550985220133597</v>
      </c>
      <c r="AG7843">
        <v>2.2442009999999999</v>
      </c>
      <c r="AH7843">
        <v>32.863335636223198</v>
      </c>
      <c r="AI7843">
        <v>87.538028403745898</v>
      </c>
      <c r="AJ7843">
        <v>39.022005510783899</v>
      </c>
      <c r="AK7843">
        <v>52.243829009663401</v>
      </c>
      <c r="AL7843">
        <v>90.547770372114201</v>
      </c>
      <c r="AM7843">
        <v>70.899748264481403</v>
      </c>
      <c r="AN7843">
        <v>1.0000000104240401</v>
      </c>
    </row>
    <row r="7844" spans="1:40" x14ac:dyDescent="0.25">
      <c r="A7844" t="str">
        <f>"20190303153959041"</f>
        <v>20190303153959041</v>
      </c>
      <c r="B7844" t="str">
        <f>"1551598799036379"</f>
        <v>1551598799036379</v>
      </c>
      <c r="C7844" t="s">
        <v>40</v>
      </c>
      <c r="D7844">
        <v>4.9499129999999996</v>
      </c>
      <c r="E7844">
        <v>0.73383100000000001</v>
      </c>
      <c r="F7844" t="s">
        <v>82</v>
      </c>
      <c r="G7844">
        <v>-284.57389999999998</v>
      </c>
      <c r="H7844">
        <v>2.686229</v>
      </c>
      <c r="I7844">
        <v>-28.606169999999999</v>
      </c>
      <c r="J7844">
        <v>-309.51639999999998</v>
      </c>
      <c r="K7844">
        <v>1.0656870000000001</v>
      </c>
      <c r="L7844">
        <v>17.21255</v>
      </c>
      <c r="M7844">
        <v>0.9830217</v>
      </c>
      <c r="N7844">
        <v>-1.443291E-2</v>
      </c>
      <c r="O7844">
        <v>-0.18292079999999999</v>
      </c>
      <c r="P7844">
        <v>0.86464560000000001</v>
      </c>
      <c r="Q7844">
        <v>-1.9046130000000001E-2</v>
      </c>
      <c r="R7844">
        <v>-0.50202139999999995</v>
      </c>
      <c r="S7844">
        <v>1.697479</v>
      </c>
      <c r="T7844">
        <v>0.10983800000000001</v>
      </c>
      <c r="U7844">
        <v>-3.1073909999999998</v>
      </c>
      <c r="V7844">
        <v>0.33525899999999997</v>
      </c>
      <c r="W7844">
        <v>-1.024254E-2</v>
      </c>
      <c r="X7844">
        <v>0.94207030000000003</v>
      </c>
      <c r="Y7844">
        <v>0.77504859999999998</v>
      </c>
      <c r="Z7844">
        <v>-5.7173330000000004E-4</v>
      </c>
      <c r="AA7844">
        <v>0.63190139999999995</v>
      </c>
      <c r="AB7844">
        <v>20</v>
      </c>
      <c r="AC7844">
        <v>24.9424999999999</v>
      </c>
      <c r="AD7844">
        <v>1.6205419999999999</v>
      </c>
      <c r="AE7844">
        <v>-45.818719999999999</v>
      </c>
      <c r="AF7844">
        <v>40.443483969131698</v>
      </c>
      <c r="AG7844">
        <v>1.6205419999999999</v>
      </c>
      <c r="AH7844">
        <v>32.871922564931801</v>
      </c>
      <c r="AI7844">
        <v>88.219019956534495</v>
      </c>
      <c r="AJ7844">
        <v>39.103749347924101</v>
      </c>
      <c r="AK7844">
        <v>52.142735304642898</v>
      </c>
      <c r="AL7844">
        <v>90.586864587751805</v>
      </c>
      <c r="AM7844">
        <v>70.410641610096604</v>
      </c>
      <c r="AN7844">
        <v>0.99999997842437005</v>
      </c>
    </row>
    <row r="7845" spans="1:40" x14ac:dyDescent="0.25">
      <c r="A7845" t="str">
        <f>"20190303153959051"</f>
        <v>20190303153959051</v>
      </c>
      <c r="B7845" t="str">
        <f>"1551598799046139"</f>
        <v>1551598799046139</v>
      </c>
      <c r="C7845" t="s">
        <v>40</v>
      </c>
      <c r="D7845">
        <v>4.9222839999999897</v>
      </c>
      <c r="E7845">
        <v>0.73185040000000001</v>
      </c>
      <c r="F7845" t="s">
        <v>64</v>
      </c>
      <c r="G7845">
        <v>-251.5591</v>
      </c>
      <c r="H7845">
        <v>4.7390230000000004</v>
      </c>
      <c r="I7845">
        <v>-91.564989999999995</v>
      </c>
      <c r="J7845">
        <v>-309.43099999999998</v>
      </c>
      <c r="K7845">
        <v>1.065593</v>
      </c>
      <c r="L7845">
        <v>17.191679999999899</v>
      </c>
      <c r="M7845">
        <v>0.98217860000000001</v>
      </c>
      <c r="N7845">
        <v>-1.444994E-2</v>
      </c>
      <c r="O7845">
        <v>-0.18739339999999999</v>
      </c>
      <c r="P7845">
        <v>0.85811249999999994</v>
      </c>
      <c r="Q7845">
        <v>-1.9280229999999999E-2</v>
      </c>
      <c r="R7845">
        <v>-0.51309979999999999</v>
      </c>
      <c r="S7845">
        <v>1.661438</v>
      </c>
      <c r="T7845">
        <v>0.1053026</v>
      </c>
      <c r="U7845">
        <v>-3.1182859999999999</v>
      </c>
      <c r="V7845">
        <v>0.34306789999999998</v>
      </c>
      <c r="W7845">
        <v>-1.068814E-2</v>
      </c>
      <c r="X7845">
        <v>0.93924980000000002</v>
      </c>
      <c r="Y7845">
        <v>0.77876190000000001</v>
      </c>
      <c r="Z7845">
        <v>-1.077812E-3</v>
      </c>
      <c r="AA7845">
        <v>0.62731870000000001</v>
      </c>
      <c r="AB7845">
        <v>20</v>
      </c>
      <c r="AC7845">
        <v>57.871899999999897</v>
      </c>
      <c r="AD7845">
        <v>3.6734300000000002</v>
      </c>
      <c r="AE7845">
        <v>-108.75667</v>
      </c>
      <c r="AF7845">
        <v>95.898424633227293</v>
      </c>
      <c r="AG7845">
        <v>3.6734300000000002</v>
      </c>
      <c r="AH7845">
        <v>77.160287754582797</v>
      </c>
      <c r="AI7845">
        <v>88.290551302497406</v>
      </c>
      <c r="AJ7845">
        <v>38.820306321228003</v>
      </c>
      <c r="AK7845">
        <v>123.141024607844</v>
      </c>
      <c r="AL7845">
        <v>90.612396970698299</v>
      </c>
      <c r="AM7845">
        <v>69.934906953742498</v>
      </c>
      <c r="AN7845">
        <v>1.0000000035735499</v>
      </c>
    </row>
    <row r="7846" spans="1:40" x14ac:dyDescent="0.25">
      <c r="A7846" t="str">
        <f>"20190303153959062"</f>
        <v>20190303153959062</v>
      </c>
      <c r="B7846" t="str">
        <f>"1551598799055899"</f>
        <v>1551598799055899</v>
      </c>
      <c r="C7846" t="s">
        <v>40</v>
      </c>
      <c r="D7846">
        <v>4.9544280000000001</v>
      </c>
      <c r="E7846">
        <v>0.72992559999999995</v>
      </c>
      <c r="F7846" t="s">
        <v>64</v>
      </c>
      <c r="G7846">
        <v>-252.74279999999999</v>
      </c>
      <c r="H7846">
        <v>4.5686929999999997</v>
      </c>
      <c r="I7846">
        <v>-91.564989999999995</v>
      </c>
      <c r="J7846">
        <v>-309.32769999999999</v>
      </c>
      <c r="K7846">
        <v>1.0654779999999999</v>
      </c>
      <c r="L7846">
        <v>17.165369999999999</v>
      </c>
      <c r="M7846">
        <v>0.98109970000000002</v>
      </c>
      <c r="N7846">
        <v>-1.447504E-2</v>
      </c>
      <c r="O7846">
        <v>-0.19296160000000001</v>
      </c>
      <c r="P7846">
        <v>0.85093439999999998</v>
      </c>
      <c r="Q7846">
        <v>-1.9427949999999999E-2</v>
      </c>
      <c r="R7846">
        <v>-0.52491269999999901</v>
      </c>
      <c r="S7846">
        <v>1.6293029999999999</v>
      </c>
      <c r="T7846">
        <v>0.1006845</v>
      </c>
      <c r="U7846">
        <v>-3.1258240000000002</v>
      </c>
      <c r="V7846">
        <v>0.35070559999999901</v>
      </c>
      <c r="W7846">
        <v>-1.1061100000000001E-2</v>
      </c>
      <c r="X7846">
        <v>0.93642040000000004</v>
      </c>
      <c r="Y7846">
        <v>0.78088950000000001</v>
      </c>
      <c r="Z7846">
        <v>-1.662534E-3</v>
      </c>
      <c r="AA7846">
        <v>0.62466699999999997</v>
      </c>
      <c r="AB7846">
        <v>20</v>
      </c>
      <c r="AC7846">
        <v>56.584899999999998</v>
      </c>
      <c r="AD7846">
        <v>3.5032149999999902</v>
      </c>
      <c r="AE7846">
        <v>-108.73036</v>
      </c>
      <c r="AF7846">
        <v>95.688465022072705</v>
      </c>
      <c r="AG7846">
        <v>3.5032149999999902</v>
      </c>
      <c r="AH7846">
        <v>76.441773701211602</v>
      </c>
      <c r="AI7846">
        <v>88.361559064511098</v>
      </c>
      <c r="AJ7846">
        <v>38.619990175255303</v>
      </c>
      <c r="AK7846">
        <v>122.523057504307</v>
      </c>
      <c r="AL7846">
        <v>90.633767292330603</v>
      </c>
      <c r="AM7846">
        <v>69.468207713021897</v>
      </c>
      <c r="AN7846">
        <v>0.99999996567036398</v>
      </c>
    </row>
    <row r="7847" spans="1:40" x14ac:dyDescent="0.25">
      <c r="A7847" t="str">
        <f>"20190303153959074"</f>
        <v>20190303153959074</v>
      </c>
      <c r="B7847" t="str">
        <f>"1551598799065660"</f>
        <v>1551598799065660</v>
      </c>
      <c r="C7847" t="s">
        <v>40</v>
      </c>
      <c r="D7847">
        <v>4.9376749999999996</v>
      </c>
      <c r="E7847">
        <v>0.72769919999999899</v>
      </c>
      <c r="F7847" t="s">
        <v>64</v>
      </c>
      <c r="G7847">
        <v>-254.06020000000001</v>
      </c>
      <c r="H7847">
        <v>4.3891489999999997</v>
      </c>
      <c r="I7847">
        <v>-91.564989999999995</v>
      </c>
      <c r="J7847">
        <v>-309.22680000000003</v>
      </c>
      <c r="K7847">
        <v>1.0653629999999901</v>
      </c>
      <c r="L7847">
        <v>17.139129999999899</v>
      </c>
      <c r="M7847">
        <v>0.97999829999999999</v>
      </c>
      <c r="N7847">
        <v>-1.450065E-2</v>
      </c>
      <c r="O7847">
        <v>-0.19847680000000001</v>
      </c>
      <c r="P7847">
        <v>0.8436591</v>
      </c>
      <c r="Q7847">
        <v>-1.949329E-2</v>
      </c>
      <c r="R7847">
        <v>-0.53652500000000003</v>
      </c>
      <c r="S7847">
        <v>1.593628</v>
      </c>
      <c r="T7847">
        <v>9.5837829999999999E-2</v>
      </c>
      <c r="U7847">
        <v>-3.1352229999999999</v>
      </c>
      <c r="V7847">
        <v>0.35825430000000003</v>
      </c>
      <c r="W7847">
        <v>-1.135296E-2</v>
      </c>
      <c r="X7847">
        <v>0.93355509999999997</v>
      </c>
      <c r="Y7847">
        <v>0.78376950000000001</v>
      </c>
      <c r="Z7847">
        <v>-2.2466560000000001E-3</v>
      </c>
      <c r="AA7847">
        <v>0.62104780000000004</v>
      </c>
      <c r="AB7847">
        <v>20</v>
      </c>
      <c r="AC7847">
        <v>55.166600000000003</v>
      </c>
      <c r="AD7847">
        <v>3.3237860000000001</v>
      </c>
      <c r="AE7847">
        <v>-108.70411999999899</v>
      </c>
      <c r="AF7847">
        <v>95.519600454660093</v>
      </c>
      <c r="AG7847">
        <v>3.3237860000000001</v>
      </c>
      <c r="AH7847">
        <v>75.590177259514206</v>
      </c>
      <c r="AI7847">
        <v>88.436988509434599</v>
      </c>
      <c r="AJ7847">
        <v>38.3566037277227</v>
      </c>
      <c r="AK7847">
        <v>121.856130426484</v>
      </c>
      <c r="AL7847">
        <v>90.650490615722205</v>
      </c>
      <c r="AM7847">
        <v>69.005559468612105</v>
      </c>
      <c r="AN7847">
        <v>1.00000007895262</v>
      </c>
    </row>
    <row r="7848" spans="1:40" x14ac:dyDescent="0.25">
      <c r="A7848" t="str">
        <f>"20190303153959086"</f>
        <v>20190303153959086</v>
      </c>
      <c r="B7848" t="str">
        <f>"1551598799076395"</f>
        <v>1551598799076395</v>
      </c>
      <c r="C7848" t="s">
        <v>40</v>
      </c>
      <c r="D7848">
        <v>4.9760200000000001</v>
      </c>
      <c r="E7848">
        <v>0.72468310000000002</v>
      </c>
      <c r="F7848" t="s">
        <v>64</v>
      </c>
      <c r="G7848">
        <v>-255.26169999999999</v>
      </c>
      <c r="H7848">
        <v>4.0885280000000002</v>
      </c>
      <c r="I7848">
        <v>-91.564989999999995</v>
      </c>
      <c r="J7848">
        <v>-309.11989999999997</v>
      </c>
      <c r="K7848">
        <v>1.0652469999999901</v>
      </c>
      <c r="L7848">
        <v>17.110600000000002</v>
      </c>
      <c r="M7848">
        <v>0.97877400000000003</v>
      </c>
      <c r="N7848">
        <v>-1.4529490000000001E-2</v>
      </c>
      <c r="O7848">
        <v>-0.20442679999999999</v>
      </c>
      <c r="P7848">
        <v>0.83627989999999996</v>
      </c>
      <c r="Q7848">
        <v>-2.036754E-2</v>
      </c>
      <c r="R7848">
        <v>-0.54792439999999998</v>
      </c>
      <c r="S7848">
        <v>1.559814</v>
      </c>
      <c r="T7848">
        <v>8.7382319999999999E-2</v>
      </c>
      <c r="U7848">
        <v>-3.1419980000000001</v>
      </c>
      <c r="V7848">
        <v>0.36522670000000002</v>
      </c>
      <c r="W7848">
        <v>-1.2450879999999999E-2</v>
      </c>
      <c r="X7848">
        <v>0.93083530000000003</v>
      </c>
      <c r="Y7848">
        <v>0.78588760000000002</v>
      </c>
      <c r="Z7848">
        <v>-3.1293279999999998E-3</v>
      </c>
      <c r="AA7848">
        <v>0.61836150000000001</v>
      </c>
      <c r="AB7848">
        <v>20</v>
      </c>
      <c r="AC7848">
        <v>53.858199999999897</v>
      </c>
      <c r="AD7848">
        <v>3.0232809999999999</v>
      </c>
      <c r="AE7848">
        <v>-108.67559</v>
      </c>
      <c r="AF7848">
        <v>95.309633732495897</v>
      </c>
      <c r="AG7848">
        <v>3.0232809999999999</v>
      </c>
      <c r="AH7848">
        <v>74.8925887765201</v>
      </c>
      <c r="AI7848">
        <v>88.571242756439403</v>
      </c>
      <c r="AJ7848">
        <v>38.1596231705132</v>
      </c>
      <c r="AK7848">
        <v>121.25166540660901</v>
      </c>
      <c r="AL7848">
        <v>90.713401336104397</v>
      </c>
      <c r="AM7848">
        <v>68.576721661488804</v>
      </c>
      <c r="AN7848">
        <v>0.99999996126587598</v>
      </c>
    </row>
    <row r="7849" spans="1:40" x14ac:dyDescent="0.25">
      <c r="A7849" t="str">
        <f>"20190303153959098"</f>
        <v>20190303153959098</v>
      </c>
      <c r="B7849" t="str">
        <f>"1551598799095916"</f>
        <v>1551598799095916</v>
      </c>
      <c r="C7849" t="s">
        <v>40</v>
      </c>
      <c r="D7849">
        <v>4.7104569999999999</v>
      </c>
      <c r="E7849">
        <v>0.723244</v>
      </c>
      <c r="F7849" t="s">
        <v>64</v>
      </c>
      <c r="G7849">
        <v>-256.2122</v>
      </c>
      <c r="H7849">
        <v>3.287226</v>
      </c>
      <c r="I7849">
        <v>-91.564989999999995</v>
      </c>
      <c r="J7849">
        <v>-309.01569999999998</v>
      </c>
      <c r="K7849">
        <v>1.0651330000000001</v>
      </c>
      <c r="L7849">
        <v>17.081700000000001</v>
      </c>
      <c r="M7849">
        <v>0.97750879999999996</v>
      </c>
      <c r="N7849">
        <v>-1.455972E-2</v>
      </c>
      <c r="O7849">
        <v>-0.2103912</v>
      </c>
      <c r="P7849">
        <v>0.82984880000000005</v>
      </c>
      <c r="Q7849">
        <v>-2.0762070000000001E-2</v>
      </c>
      <c r="R7849">
        <v>-0.55760209999999999</v>
      </c>
      <c r="S7849">
        <v>1.5299069999999999</v>
      </c>
      <c r="T7849">
        <v>6.4252139999999999E-2</v>
      </c>
      <c r="U7849">
        <v>-3.1425169999999998</v>
      </c>
      <c r="V7849">
        <v>0.37034879999999998</v>
      </c>
      <c r="W7849">
        <v>-1.3030180000000001E-2</v>
      </c>
      <c r="X7849">
        <v>0.9288014</v>
      </c>
      <c r="Y7849">
        <v>0.78691669999999903</v>
      </c>
      <c r="Z7849">
        <v>-5.1124899999999999E-3</v>
      </c>
      <c r="AA7849">
        <v>0.61703809999999903</v>
      </c>
      <c r="AB7849">
        <v>20</v>
      </c>
      <c r="AC7849">
        <v>52.8034999999999</v>
      </c>
      <c r="AD7849">
        <v>2.2220930000000001</v>
      </c>
      <c r="AE7849">
        <v>-108.646689999999</v>
      </c>
      <c r="AF7849">
        <v>95.0716195878517</v>
      </c>
      <c r="AG7849">
        <v>2.2220930000000001</v>
      </c>
      <c r="AH7849">
        <v>74.456897764350103</v>
      </c>
      <c r="AI7849">
        <v>88.945805571219495</v>
      </c>
      <c r="AJ7849">
        <v>38.066853849832</v>
      </c>
      <c r="AK7849">
        <v>120.77822723094</v>
      </c>
      <c r="AL7849">
        <v>90.746595425810696</v>
      </c>
      <c r="AM7849">
        <v>68.260930865716006</v>
      </c>
      <c r="AN7849">
        <v>1.0000000299471099</v>
      </c>
    </row>
    <row r="7850" spans="1:40" x14ac:dyDescent="0.25">
      <c r="A7850" t="str">
        <f>"20190303153959111"</f>
        <v>20190303153959111</v>
      </c>
      <c r="B7850" t="str">
        <f>"1551598799105675"</f>
        <v>1551598799105675</v>
      </c>
      <c r="C7850" t="s">
        <v>40</v>
      </c>
      <c r="D7850">
        <v>5.0049440000000001</v>
      </c>
      <c r="E7850">
        <v>0.723244</v>
      </c>
      <c r="F7850" t="s">
        <v>64</v>
      </c>
      <c r="G7850">
        <v>-257.30599999999998</v>
      </c>
      <c r="H7850">
        <v>3.7036509999999998</v>
      </c>
      <c r="I7850">
        <v>-91.564989999999995</v>
      </c>
      <c r="J7850">
        <v>-308.91309999999999</v>
      </c>
      <c r="K7850">
        <v>1.065015</v>
      </c>
      <c r="L7850">
        <v>17.05283</v>
      </c>
      <c r="M7850">
        <v>0.97621440000000004</v>
      </c>
      <c r="N7850">
        <v>-1.458924E-2</v>
      </c>
      <c r="O7850">
        <v>-0.21631629999999999</v>
      </c>
      <c r="P7850">
        <v>0.8214072</v>
      </c>
      <c r="Q7850">
        <v>-2.088481E-2</v>
      </c>
      <c r="R7850">
        <v>-0.56995959999999901</v>
      </c>
      <c r="S7850">
        <v>1.499725</v>
      </c>
      <c r="T7850">
        <v>7.6524969999999998E-2</v>
      </c>
      <c r="U7850">
        <v>-3.151062</v>
      </c>
      <c r="V7850">
        <v>0.37859409999999999</v>
      </c>
      <c r="W7850">
        <v>-1.3408079999999999E-2</v>
      </c>
      <c r="X7850">
        <v>0.92546569999999995</v>
      </c>
      <c r="Y7850">
        <v>0.78862540000000003</v>
      </c>
      <c r="Z7850">
        <v>-4.4009829999999998E-3</v>
      </c>
      <c r="AA7850">
        <v>0.61485819999999902</v>
      </c>
      <c r="AB7850">
        <v>20</v>
      </c>
      <c r="AC7850">
        <v>51.607100000000003</v>
      </c>
      <c r="AD7850">
        <v>2.638636</v>
      </c>
      <c r="AE7850">
        <v>-108.61781999999999</v>
      </c>
      <c r="AF7850">
        <v>94.835255310011704</v>
      </c>
      <c r="AG7850">
        <v>2.638636</v>
      </c>
      <c r="AH7850">
        <v>73.8477026872864</v>
      </c>
      <c r="AI7850">
        <v>88.742406193341097</v>
      </c>
      <c r="AJ7850">
        <v>37.907699929419202</v>
      </c>
      <c r="AK7850">
        <v>120.225501628587</v>
      </c>
      <c r="AL7850">
        <v>90.768249403501301</v>
      </c>
      <c r="AM7850">
        <v>67.751268274709503</v>
      </c>
      <c r="AN7850">
        <v>1.0000000155202899</v>
      </c>
    </row>
    <row r="7851" spans="1:40" x14ac:dyDescent="0.25">
      <c r="A7851" t="str">
        <f>"20190303153959123"</f>
        <v>20190303153959123</v>
      </c>
      <c r="B7851" t="str">
        <f>"1551598799116412"</f>
        <v>1551598799116412</v>
      </c>
      <c r="C7851" t="s">
        <v>40</v>
      </c>
      <c r="D7851">
        <v>4.7409679999999996</v>
      </c>
      <c r="E7851">
        <v>0.72190269999999901</v>
      </c>
      <c r="F7851" t="s">
        <v>64</v>
      </c>
      <c r="G7851">
        <v>-259.46870000000001</v>
      </c>
      <c r="H7851">
        <v>3.5440290000000001</v>
      </c>
      <c r="I7851">
        <v>-90.976830000000007</v>
      </c>
      <c r="J7851">
        <v>-308.7989</v>
      </c>
      <c r="K7851">
        <v>1.0648919999999999</v>
      </c>
      <c r="L7851">
        <v>17.019289999999899</v>
      </c>
      <c r="M7851">
        <v>0.97467990000000004</v>
      </c>
      <c r="N7851">
        <v>-1.4624989999999999E-2</v>
      </c>
      <c r="O7851">
        <v>-0.22312609999999999</v>
      </c>
      <c r="P7851">
        <v>0.81297759999999997</v>
      </c>
      <c r="Q7851">
        <v>-2.1160950000000001E-2</v>
      </c>
      <c r="R7851">
        <v>-0.58191059999999994</v>
      </c>
      <c r="S7851">
        <v>1.452332</v>
      </c>
      <c r="T7851">
        <v>7.2816489999999998E-2</v>
      </c>
      <c r="U7851">
        <v>-3.1731569999999998</v>
      </c>
      <c r="V7851">
        <v>0.3856463</v>
      </c>
      <c r="W7851">
        <v>-1.392353E-2</v>
      </c>
      <c r="X7851">
        <v>0.92254170000000002</v>
      </c>
      <c r="Y7851">
        <v>0.79352519999999904</v>
      </c>
      <c r="Z7851">
        <v>-4.9185319999999998E-3</v>
      </c>
      <c r="AA7851">
        <v>0.60851750000000004</v>
      </c>
      <c r="AB7851">
        <v>20</v>
      </c>
      <c r="AC7851">
        <v>49.330199999999898</v>
      </c>
      <c r="AD7851">
        <v>2.4791369999999899</v>
      </c>
      <c r="AE7851">
        <v>-107.996119999999</v>
      </c>
      <c r="AF7851">
        <v>94.223789954633006</v>
      </c>
      <c r="AG7851">
        <v>2.4791369999999899</v>
      </c>
      <c r="AH7851">
        <v>72.154166668256494</v>
      </c>
      <c r="AI7851">
        <v>88.803282475870702</v>
      </c>
      <c r="AJ7851">
        <v>37.443967956695801</v>
      </c>
      <c r="AK7851">
        <v>118.703380243656</v>
      </c>
      <c r="AL7851">
        <v>90.797785234884998</v>
      </c>
      <c r="AM7851">
        <v>67.313810510038195</v>
      </c>
      <c r="AN7851">
        <v>1.0000000608151101</v>
      </c>
    </row>
    <row r="7852" spans="1:40" x14ac:dyDescent="0.25">
      <c r="A7852" t="str">
        <f>"20190303153959135"</f>
        <v>20190303153959135</v>
      </c>
      <c r="B7852" t="str">
        <f>"1551598799126173"</f>
        <v>1551598799126173</v>
      </c>
      <c r="C7852" t="s">
        <v>40</v>
      </c>
      <c r="D7852">
        <v>4.9944300000000004</v>
      </c>
      <c r="E7852">
        <v>0.71881039999999996</v>
      </c>
      <c r="F7852" t="s">
        <v>64</v>
      </c>
      <c r="G7852">
        <v>-260.93540000000002</v>
      </c>
      <c r="H7852">
        <v>3.583882</v>
      </c>
      <c r="I7852">
        <v>-90.976820000000004</v>
      </c>
      <c r="J7852">
        <v>-308.6977</v>
      </c>
      <c r="K7852">
        <v>1.064786</v>
      </c>
      <c r="L7852">
        <v>16.988889999999898</v>
      </c>
      <c r="M7852">
        <v>0.97325709999999999</v>
      </c>
      <c r="N7852">
        <v>-1.4657299999999899E-2</v>
      </c>
      <c r="O7852">
        <v>-0.22925119999999999</v>
      </c>
      <c r="P7852">
        <v>0.80465750000000003</v>
      </c>
      <c r="Q7852">
        <v>-2.183746E-2</v>
      </c>
      <c r="R7852">
        <v>-0.59333780000000003</v>
      </c>
      <c r="S7852">
        <v>1.4118649999999999</v>
      </c>
      <c r="T7852">
        <v>7.4304819999999994E-2</v>
      </c>
      <c r="U7852">
        <v>-3.185638</v>
      </c>
      <c r="V7852">
        <v>0.39285249999999999</v>
      </c>
      <c r="W7852">
        <v>-1.483423E-2</v>
      </c>
      <c r="X7852">
        <v>0.91948180000000002</v>
      </c>
      <c r="Y7852">
        <v>0.79701880000000003</v>
      </c>
      <c r="Z7852">
        <v>-5.0249070000000003E-3</v>
      </c>
      <c r="AA7852">
        <v>0.60393359999999996</v>
      </c>
      <c r="AB7852">
        <v>20</v>
      </c>
      <c r="AC7852">
        <v>47.762299999999897</v>
      </c>
      <c r="AD7852">
        <v>2.5190959999999998</v>
      </c>
      <c r="AE7852">
        <v>-107.96571</v>
      </c>
      <c r="AF7852">
        <v>94.096084773430803</v>
      </c>
      <c r="AG7852">
        <v>2.5190959999999998</v>
      </c>
      <c r="AH7852">
        <v>71.211485313485795</v>
      </c>
      <c r="AI7852">
        <v>88.777070362069907</v>
      </c>
      <c r="AJ7852">
        <v>37.1182689687965</v>
      </c>
      <c r="AK7852">
        <v>118.03175274009401</v>
      </c>
      <c r="AL7852">
        <v>90.849969979831101</v>
      </c>
      <c r="AM7852">
        <v>66.865198343512802</v>
      </c>
      <c r="AN7852">
        <v>0.99999996083359</v>
      </c>
    </row>
    <row r="7853" spans="1:40" x14ac:dyDescent="0.25">
      <c r="A7853" t="str">
        <f>"20190303153959147"</f>
        <v>20190303153959147</v>
      </c>
      <c r="B7853" t="str">
        <f>"1551598799136439"</f>
        <v>1551598799136439</v>
      </c>
      <c r="C7853" t="s">
        <v>40</v>
      </c>
      <c r="D7853">
        <v>5.0352449999999997</v>
      </c>
      <c r="E7853">
        <v>0.71564609999999995</v>
      </c>
      <c r="F7853" t="s">
        <v>64</v>
      </c>
      <c r="G7853">
        <v>-261.63740000000001</v>
      </c>
      <c r="H7853">
        <v>2.888458</v>
      </c>
      <c r="I7853">
        <v>-91.564989999999995</v>
      </c>
      <c r="J7853">
        <v>-308.59249999999997</v>
      </c>
      <c r="K7853">
        <v>1.06467</v>
      </c>
      <c r="L7853">
        <v>16.95654</v>
      </c>
      <c r="M7853">
        <v>0.97171149999999995</v>
      </c>
      <c r="N7853">
        <v>-1.469169E-2</v>
      </c>
      <c r="O7853">
        <v>-0.23571429999999999</v>
      </c>
      <c r="P7853">
        <v>0.79566099999999995</v>
      </c>
      <c r="Q7853">
        <v>-2.2428400000000001E-2</v>
      </c>
      <c r="R7853">
        <v>-0.60532719999999995</v>
      </c>
      <c r="S7853">
        <v>1.3809199999999999</v>
      </c>
      <c r="T7853">
        <v>5.3513409999999997E-2</v>
      </c>
      <c r="U7853">
        <v>-3.1853639999999999</v>
      </c>
      <c r="V7853">
        <v>0.40049180000000001</v>
      </c>
      <c r="W7853">
        <v>-1.5672479999999999E-2</v>
      </c>
      <c r="X7853">
        <v>0.91616629999999999</v>
      </c>
      <c r="Y7853">
        <v>0.79791020000000001</v>
      </c>
      <c r="Z7853">
        <v>-6.7473730000000001E-3</v>
      </c>
      <c r="AA7853">
        <v>0.60273869999999996</v>
      </c>
      <c r="AB7853">
        <v>20</v>
      </c>
      <c r="AC7853">
        <v>46.955099999999902</v>
      </c>
      <c r="AD7853">
        <v>1.823788</v>
      </c>
      <c r="AE7853">
        <v>-108.52153</v>
      </c>
      <c r="AF7853">
        <v>94.371352402341898</v>
      </c>
      <c r="AG7853">
        <v>1.823788</v>
      </c>
      <c r="AH7853">
        <v>71.197624279832496</v>
      </c>
      <c r="AI7853">
        <v>89.116135300166107</v>
      </c>
      <c r="AJ7853">
        <v>37.0324017961021</v>
      </c>
      <c r="AK7853">
        <v>118.230199441632</v>
      </c>
      <c r="AL7853">
        <v>90.898003724342502</v>
      </c>
      <c r="AM7853">
        <v>66.387996942084797</v>
      </c>
      <c r="AN7853">
        <v>0.99999999887613999</v>
      </c>
    </row>
    <row r="7854" spans="1:40" x14ac:dyDescent="0.25">
      <c r="A7854" t="str">
        <f>"20190303153959172"</f>
        <v>20190303153959172</v>
      </c>
      <c r="B7854" t="str">
        <f>"1551598799166695"</f>
        <v>1551598799166695</v>
      </c>
      <c r="C7854" t="s">
        <v>40</v>
      </c>
      <c r="D7854">
        <v>4.6317300000000001</v>
      </c>
      <c r="E7854">
        <v>0.71184429999999999</v>
      </c>
      <c r="F7854" t="s">
        <v>64</v>
      </c>
      <c r="G7854">
        <v>-262.67380000000003</v>
      </c>
      <c r="H7854">
        <v>2.254623</v>
      </c>
      <c r="I7854">
        <v>-91.564989999999995</v>
      </c>
      <c r="J7854">
        <v>-308.38290000000001</v>
      </c>
      <c r="K7854">
        <v>1.064465</v>
      </c>
      <c r="L7854">
        <v>16.889039999999898</v>
      </c>
      <c r="M7854">
        <v>0.96839310000000001</v>
      </c>
      <c r="N7854">
        <v>-1.476417E-2</v>
      </c>
      <c r="O7854">
        <v>-0.24899180000000001</v>
      </c>
      <c r="P7854">
        <v>0.77739029999999998</v>
      </c>
      <c r="Q7854">
        <v>-2.3367780000000001E-2</v>
      </c>
      <c r="R7854">
        <v>-0.62858419999999904</v>
      </c>
      <c r="S7854">
        <v>1.3479000000000001</v>
      </c>
      <c r="T7854">
        <v>3.4930349999999999E-2</v>
      </c>
      <c r="U7854">
        <v>-3.1855470000000001</v>
      </c>
      <c r="V7854">
        <v>0.41496549999999999</v>
      </c>
      <c r="W7854">
        <v>-1.7086489999999999E-2</v>
      </c>
      <c r="X7854">
        <v>0.9096767</v>
      </c>
      <c r="Y7854">
        <v>0.79492910000000006</v>
      </c>
      <c r="Z7854">
        <v>-8.42668699999999E-3</v>
      </c>
      <c r="AA7854">
        <v>0.60664379999999996</v>
      </c>
      <c r="AB7854">
        <v>20</v>
      </c>
      <c r="AC7854">
        <v>45.7090999999999</v>
      </c>
      <c r="AD7854">
        <v>1.190158</v>
      </c>
      <c r="AE7854">
        <v>-108.45403</v>
      </c>
      <c r="AF7854">
        <v>93.645570653597304</v>
      </c>
      <c r="AG7854">
        <v>1.190158</v>
      </c>
      <c r="AH7854">
        <v>71.269018692373706</v>
      </c>
      <c r="AI7854">
        <v>89.420562085605795</v>
      </c>
      <c r="AJ7854">
        <v>37.272971071331703</v>
      </c>
      <c r="AK7854">
        <v>117.686797919209</v>
      </c>
      <c r="AL7854">
        <v>90.979031399073904</v>
      </c>
      <c r="AM7854">
        <v>65.479040821915504</v>
      </c>
      <c r="AN7854">
        <v>1.00000000642683</v>
      </c>
    </row>
    <row r="7855" spans="1:40" x14ac:dyDescent="0.25">
      <c r="A7855" t="str">
        <f>"20190303153959185"</f>
        <v>20190303153959185</v>
      </c>
      <c r="B7855" t="str">
        <f>"1551598799176454"</f>
        <v>1551598799176454</v>
      </c>
      <c r="C7855" t="s">
        <v>40</v>
      </c>
      <c r="D7855">
        <v>4.6062190000000003</v>
      </c>
      <c r="E7855">
        <v>0.71061529999999995</v>
      </c>
      <c r="F7855" t="s">
        <v>64</v>
      </c>
      <c r="G7855">
        <v>-265.26749999999998</v>
      </c>
      <c r="H7855">
        <v>2.027161</v>
      </c>
      <c r="I7855">
        <v>-91.564989999999995</v>
      </c>
      <c r="J7855">
        <v>-308.26850000000002</v>
      </c>
      <c r="K7855">
        <v>1.064354</v>
      </c>
      <c r="L7855">
        <v>16.850560000000002</v>
      </c>
      <c r="M7855">
        <v>0.96644430000000003</v>
      </c>
      <c r="N7855">
        <v>-1.480534E-2</v>
      </c>
      <c r="O7855">
        <v>-0.25644929999999999</v>
      </c>
      <c r="P7855">
        <v>0.76342519999999903</v>
      </c>
      <c r="Q7855">
        <v>-2.3457479999999999E-2</v>
      </c>
      <c r="R7855">
        <v>-0.64547010000000005</v>
      </c>
      <c r="S7855">
        <v>1.2722469999999999</v>
      </c>
      <c r="T7855">
        <v>2.840757E-2</v>
      </c>
      <c r="U7855">
        <v>-3.200256</v>
      </c>
      <c r="V7855">
        <v>0.42783650000000001</v>
      </c>
      <c r="W7855">
        <v>-1.7560619999999999E-2</v>
      </c>
      <c r="X7855">
        <v>0.90368559999999998</v>
      </c>
      <c r="Y7855">
        <v>0.80344720000000003</v>
      </c>
      <c r="Z7855">
        <v>-9.1042329999999998E-3</v>
      </c>
      <c r="AA7855">
        <v>0.59530629999999995</v>
      </c>
      <c r="AB7855">
        <v>20</v>
      </c>
      <c r="AC7855">
        <v>43.000999999999998</v>
      </c>
      <c r="AD7855">
        <v>0.96280699999999997</v>
      </c>
      <c r="AE7855">
        <v>-108.41555</v>
      </c>
      <c r="AF7855">
        <v>93.753900340241103</v>
      </c>
      <c r="AG7855">
        <v>0.96280699999999997</v>
      </c>
      <c r="AH7855">
        <v>69.364038583790901</v>
      </c>
      <c r="AI7855">
        <v>89.526996916651399</v>
      </c>
      <c r="AJ7855">
        <v>36.495972448439097</v>
      </c>
      <c r="AK7855">
        <v>116.62800124747299</v>
      </c>
      <c r="AL7855">
        <v>91.006201075537504</v>
      </c>
      <c r="AM7855">
        <v>64.665481615010407</v>
      </c>
      <c r="AN7855">
        <v>1.0000000548771899</v>
      </c>
    </row>
    <row r="7856" spans="1:40" x14ac:dyDescent="0.25">
      <c r="A7856" t="str">
        <f>"20190303153959196"</f>
        <v>20190303153959196</v>
      </c>
      <c r="B7856" t="str">
        <f>"1551598799186214"</f>
        <v>1551598799186214</v>
      </c>
      <c r="C7856" t="s">
        <v>40</v>
      </c>
      <c r="D7856">
        <v>4.6475720000000003</v>
      </c>
      <c r="E7856">
        <v>0.70964359999999904</v>
      </c>
      <c r="F7856" t="s">
        <v>64</v>
      </c>
      <c r="G7856">
        <v>-267.59399999999999</v>
      </c>
      <c r="H7856">
        <v>2.082913</v>
      </c>
      <c r="I7856">
        <v>-91.564989999999995</v>
      </c>
      <c r="J7856">
        <v>-308.16770000000002</v>
      </c>
      <c r="K7856">
        <v>1.064263</v>
      </c>
      <c r="L7856">
        <v>16.8157</v>
      </c>
      <c r="M7856">
        <v>0.96464570000000005</v>
      </c>
      <c r="N7856">
        <v>-1.484224E-2</v>
      </c>
      <c r="O7856">
        <v>-0.26313229999999999</v>
      </c>
      <c r="P7856">
        <v>0.75473389999999996</v>
      </c>
      <c r="Q7856">
        <v>-2.3546399999999999E-2</v>
      </c>
      <c r="R7856">
        <v>-0.65560869999999905</v>
      </c>
      <c r="S7856">
        <v>1.2080690000000001</v>
      </c>
      <c r="T7856">
        <v>3.0252459999999998E-2</v>
      </c>
      <c r="U7856">
        <v>-3.2200319999999998</v>
      </c>
      <c r="V7856">
        <v>0.43363479999999999</v>
      </c>
      <c r="W7856">
        <v>-1.7855050000000001E-2</v>
      </c>
      <c r="X7856">
        <v>0.90091180000000004</v>
      </c>
      <c r="Y7856">
        <v>0.81085379999999996</v>
      </c>
      <c r="Z7856">
        <v>-9.2040430000000003E-3</v>
      </c>
      <c r="AA7856">
        <v>0.58517629999999998</v>
      </c>
      <c r="AB7856">
        <v>20</v>
      </c>
      <c r="AC7856">
        <v>40.573700000000002</v>
      </c>
      <c r="AD7856">
        <v>1.0186500000000001</v>
      </c>
      <c r="AE7856">
        <v>-108.38069</v>
      </c>
      <c r="AF7856">
        <v>93.875772961060505</v>
      </c>
      <c r="AG7856">
        <v>1.0186500000000001</v>
      </c>
      <c r="AH7856">
        <v>67.659909052909299</v>
      </c>
      <c r="AI7856">
        <v>89.495643505512803</v>
      </c>
      <c r="AJ7856">
        <v>35.781754434088597</v>
      </c>
      <c r="AK7856">
        <v>115.721915339779</v>
      </c>
      <c r="AL7856">
        <v>91.023073365541507</v>
      </c>
      <c r="AM7856">
        <v>64.2971480809138</v>
      </c>
      <c r="AN7856">
        <v>1.00000000698039</v>
      </c>
    </row>
    <row r="7857" spans="1:40" x14ac:dyDescent="0.25">
      <c r="A7857" t="str">
        <f>"20190303153959208"</f>
        <v>20190303153959208</v>
      </c>
      <c r="B7857" t="str">
        <f>"1551598799195974"</f>
        <v>1551598799195974</v>
      </c>
      <c r="C7857" t="s">
        <v>40</v>
      </c>
      <c r="D7857">
        <v>4.5435549999999996</v>
      </c>
      <c r="E7857">
        <v>0.70844050000000003</v>
      </c>
      <c r="F7857" t="s">
        <v>64</v>
      </c>
      <c r="G7857">
        <v>-272.93389999999999</v>
      </c>
      <c r="H7857">
        <v>2.0243630000000001</v>
      </c>
      <c r="I7857">
        <v>-80.464519999999993</v>
      </c>
      <c r="J7857">
        <v>-308.06810000000002</v>
      </c>
      <c r="K7857">
        <v>1.064171</v>
      </c>
      <c r="L7857">
        <v>16.780670000000001</v>
      </c>
      <c r="M7857">
        <v>0.96280310000000002</v>
      </c>
      <c r="N7857">
        <v>-1.4878499999999999E-2</v>
      </c>
      <c r="O7857">
        <v>-0.26979439999999999</v>
      </c>
      <c r="P7857">
        <v>0.7463573</v>
      </c>
      <c r="Q7857">
        <v>-2.360493E-2</v>
      </c>
      <c r="R7857">
        <v>-0.66512700000000002</v>
      </c>
      <c r="S7857">
        <v>1.1699520000000001</v>
      </c>
      <c r="T7857">
        <v>3.1880859999999997E-2</v>
      </c>
      <c r="U7857">
        <v>-3.2302249999999999</v>
      </c>
      <c r="V7857">
        <v>0.43881799999999999</v>
      </c>
      <c r="W7857">
        <v>-1.8104680000000001E-2</v>
      </c>
      <c r="X7857">
        <v>0.89839360000000001</v>
      </c>
      <c r="Y7857">
        <v>0.81349099999999996</v>
      </c>
      <c r="Z7857">
        <v>-9.2912129999999996E-3</v>
      </c>
      <c r="AA7857">
        <v>0.5815034</v>
      </c>
      <c r="AB7857">
        <v>20</v>
      </c>
      <c r="AC7857">
        <v>35.1342</v>
      </c>
      <c r="AD7857">
        <v>0.96019200000000005</v>
      </c>
      <c r="AE7857">
        <v>-97.245189999999994</v>
      </c>
      <c r="AF7857">
        <v>84.151010265173994</v>
      </c>
      <c r="AG7857">
        <v>0.96019200000000005</v>
      </c>
      <c r="AH7857">
        <v>60.064987807127601</v>
      </c>
      <c r="AI7857">
        <v>89.467896979746797</v>
      </c>
      <c r="AJ7857">
        <v>35.518342383851497</v>
      </c>
      <c r="AK7857">
        <v>103.393023253973</v>
      </c>
      <c r="AL7857">
        <v>91.037378390599002</v>
      </c>
      <c r="AM7857">
        <v>63.966924995150002</v>
      </c>
      <c r="AN7857">
        <v>1.00000003854143</v>
      </c>
    </row>
    <row r="7858" spans="1:40" x14ac:dyDescent="0.25">
      <c r="A7858" t="str">
        <f>"20190303153959218"</f>
        <v>20190303153959218</v>
      </c>
      <c r="B7858" t="str">
        <f>"1551598799216471"</f>
        <v>1551598799216471</v>
      </c>
      <c r="C7858" t="s">
        <v>40</v>
      </c>
      <c r="D7858">
        <v>4.7894119999999996</v>
      </c>
      <c r="E7858">
        <v>0.70718619999999899</v>
      </c>
      <c r="F7858" t="s">
        <v>64</v>
      </c>
      <c r="G7858">
        <v>-273.97570000000002</v>
      </c>
      <c r="H7858">
        <v>2.0669919999999999</v>
      </c>
      <c r="I7858">
        <v>-80.464519999999993</v>
      </c>
      <c r="J7858">
        <v>-307.9846</v>
      </c>
      <c r="K7858">
        <v>1.064095</v>
      </c>
      <c r="L7858">
        <v>16.750119999999999</v>
      </c>
      <c r="M7858">
        <v>0.96117750000000002</v>
      </c>
      <c r="N7858">
        <v>-1.491113E-2</v>
      </c>
      <c r="O7858">
        <v>-0.27552850000000001</v>
      </c>
      <c r="P7858">
        <v>0.73886109999999905</v>
      </c>
      <c r="Q7858">
        <v>-2.379467E-2</v>
      </c>
      <c r="R7858">
        <v>-0.67343779999999998</v>
      </c>
      <c r="S7858">
        <v>1.135132</v>
      </c>
      <c r="T7858">
        <v>3.3390160000000002E-2</v>
      </c>
      <c r="U7858">
        <v>-3.237854</v>
      </c>
      <c r="V7858">
        <v>0.4435036</v>
      </c>
      <c r="W7858">
        <v>-1.8464629999999999E-2</v>
      </c>
      <c r="X7858">
        <v>0.8960823</v>
      </c>
      <c r="Y7858">
        <v>0.81600810000000001</v>
      </c>
      <c r="Z7858">
        <v>-9.3648859999999993E-3</v>
      </c>
      <c r="AA7858">
        <v>0.57796459999999905</v>
      </c>
      <c r="AB7858">
        <v>20</v>
      </c>
      <c r="AC7858">
        <v>34.008899999999898</v>
      </c>
      <c r="AD7858">
        <v>1.0028969999999999</v>
      </c>
      <c r="AE7858">
        <v>-97.214640000000003</v>
      </c>
      <c r="AF7858">
        <v>84.071459042746895</v>
      </c>
      <c r="AG7858">
        <v>1.0028969999999999</v>
      </c>
      <c r="AH7858">
        <v>59.474952419131</v>
      </c>
      <c r="AI7858">
        <v>89.442038591160596</v>
      </c>
      <c r="AJ7858">
        <v>35.276861095195102</v>
      </c>
      <c r="AK7858">
        <v>102.986824367133</v>
      </c>
      <c r="AL7858">
        <v>91.058005561513696</v>
      </c>
      <c r="AM7858">
        <v>63.667524512284501</v>
      </c>
      <c r="AN7858">
        <v>0.99999993707364099</v>
      </c>
    </row>
    <row r="7859" spans="1:40" x14ac:dyDescent="0.25">
      <c r="A7859" t="str">
        <f>"20190303153959230"</f>
        <v>20190303153959230</v>
      </c>
      <c r="B7859" t="str">
        <f>"1551598799226230"</f>
        <v>1551598799226230</v>
      </c>
      <c r="C7859" t="s">
        <v>40</v>
      </c>
      <c r="D7859">
        <v>4.7453940000000001</v>
      </c>
      <c r="E7859">
        <v>0.66354139999999995</v>
      </c>
      <c r="F7859" t="s">
        <v>64</v>
      </c>
      <c r="G7859">
        <v>-274.83440000000002</v>
      </c>
      <c r="H7859">
        <v>2.1456360000000001</v>
      </c>
      <c r="I7859">
        <v>-80.464519999999993</v>
      </c>
      <c r="J7859">
        <v>-307.88959999999997</v>
      </c>
      <c r="K7859">
        <v>1.0640050000000001</v>
      </c>
      <c r="L7859">
        <v>16.71527</v>
      </c>
      <c r="M7859">
        <v>0.95928340000000001</v>
      </c>
      <c r="N7859">
        <v>-1.494732E-2</v>
      </c>
      <c r="O7859">
        <v>-0.2820493</v>
      </c>
      <c r="P7859">
        <v>0.73086039999999997</v>
      </c>
      <c r="Q7859">
        <v>-2.4541489999999999E-2</v>
      </c>
      <c r="R7859">
        <v>-0.68208550000000001</v>
      </c>
      <c r="S7859">
        <v>1.105804</v>
      </c>
      <c r="T7859">
        <v>3.6077860000000003E-2</v>
      </c>
      <c r="U7859">
        <v>-3.2428279999999998</v>
      </c>
      <c r="V7859">
        <v>0.44794489999999998</v>
      </c>
      <c r="W7859">
        <v>-1.9386250000000001E-2</v>
      </c>
      <c r="X7859">
        <v>0.89385099999999995</v>
      </c>
      <c r="Y7859">
        <v>0.81703139999999996</v>
      </c>
      <c r="Z7859">
        <v>-9.3825239999999997E-3</v>
      </c>
      <c r="AA7859">
        <v>0.57651680000000005</v>
      </c>
      <c r="AB7859">
        <v>20</v>
      </c>
      <c r="AC7859">
        <v>33.0551999999999</v>
      </c>
      <c r="AD7859">
        <v>1.081631</v>
      </c>
      <c r="AE7859">
        <v>-97.179789999999997</v>
      </c>
      <c r="AF7859">
        <v>83.899827036917003</v>
      </c>
      <c r="AG7859">
        <v>1.081631</v>
      </c>
      <c r="AH7859">
        <v>59.118841269676402</v>
      </c>
      <c r="AI7859">
        <v>89.396211936464397</v>
      </c>
      <c r="AJ7859">
        <v>35.169904079486898</v>
      </c>
      <c r="AK7859">
        <v>102.642039611038</v>
      </c>
      <c r="AL7859">
        <v>91.110819853224996</v>
      </c>
      <c r="AM7859">
        <v>63.382697904904397</v>
      </c>
      <c r="AN7859">
        <v>1.00000003516303</v>
      </c>
    </row>
    <row r="7860" spans="1:40" x14ac:dyDescent="0.25">
      <c r="A7860" t="str">
        <f>"20190303153959239"</f>
        <v>20190303153959239</v>
      </c>
      <c r="B7860" t="str">
        <f>"1551598799236498"</f>
        <v>1551598799236498</v>
      </c>
      <c r="C7860" t="s">
        <v>40</v>
      </c>
      <c r="D7860">
        <v>4.8746790000000004</v>
      </c>
      <c r="E7860">
        <v>0.65868300000000002</v>
      </c>
      <c r="F7860" t="s">
        <v>64</v>
      </c>
      <c r="G7860">
        <v>-261.10059999999999</v>
      </c>
      <c r="H7860">
        <v>0.54580689999999998</v>
      </c>
      <c r="I7860">
        <v>-90.976820000000004</v>
      </c>
      <c r="J7860">
        <v>-307.8048</v>
      </c>
      <c r="K7860">
        <v>1.0639190000000001</v>
      </c>
      <c r="L7860">
        <v>16.6828</v>
      </c>
      <c r="M7860">
        <v>0.95750089999999999</v>
      </c>
      <c r="N7860">
        <v>-1.4982280000000001E-2</v>
      </c>
      <c r="O7860">
        <v>-0.28804099999999999</v>
      </c>
      <c r="P7860">
        <v>0.72301409999999999</v>
      </c>
      <c r="Q7860">
        <v>-2.5314239999999998E-2</v>
      </c>
      <c r="R7860">
        <v>-0.69036929999999996</v>
      </c>
      <c r="S7860">
        <v>1.303741</v>
      </c>
      <c r="T7860">
        <v>-1.4438869999999999E-2</v>
      </c>
      <c r="U7860">
        <v>-3.0007630000000001</v>
      </c>
      <c r="V7860">
        <v>0.45252379999999998</v>
      </c>
      <c r="W7860">
        <v>-2.0334109999999999E-2</v>
      </c>
      <c r="X7860">
        <v>0.89152049999999905</v>
      </c>
      <c r="Y7860">
        <v>0.76342159999999903</v>
      </c>
      <c r="Z7860">
        <v>-1.166085E-2</v>
      </c>
      <c r="AA7860">
        <v>0.64579519999999901</v>
      </c>
      <c r="AB7860">
        <v>20</v>
      </c>
      <c r="AC7860">
        <v>46.7042</v>
      </c>
      <c r="AD7860">
        <v>-0.51811209999999996</v>
      </c>
      <c r="AE7860">
        <v>-107.65962</v>
      </c>
      <c r="AF7860">
        <v>89.639770059092299</v>
      </c>
      <c r="AG7860">
        <v>-0.51811209999999996</v>
      </c>
      <c r="AH7860">
        <v>75.7367205214085</v>
      </c>
      <c r="AI7860">
        <v>90.252962099784796</v>
      </c>
      <c r="AJ7860">
        <v>40.194496370637502</v>
      </c>
      <c r="AK7860">
        <v>117.35249316368601</v>
      </c>
      <c r="AL7860">
        <v>91.165138946065099</v>
      </c>
      <c r="AM7860">
        <v>63.088264047623902</v>
      </c>
      <c r="AN7860">
        <v>1.0000000337580901</v>
      </c>
    </row>
    <row r="7861" spans="1:40" x14ac:dyDescent="0.25">
      <c r="A7861" t="str">
        <f>"20190303153959252"</f>
        <v>20190303153959252</v>
      </c>
      <c r="B7861" t="str">
        <f>"1551598799246258"</f>
        <v>1551598799246258</v>
      </c>
      <c r="C7861" t="s">
        <v>40</v>
      </c>
      <c r="D7861">
        <v>4.7955639999999997</v>
      </c>
      <c r="E7861">
        <v>0.65854569999999901</v>
      </c>
      <c r="F7861" t="s">
        <v>42</v>
      </c>
      <c r="G7861">
        <v>-288.98910000000001</v>
      </c>
      <c r="H7861">
        <v>7.9986479999999999E-2</v>
      </c>
      <c r="I7861">
        <v>-26.69379</v>
      </c>
      <c r="J7861">
        <v>-307.70479999999998</v>
      </c>
      <c r="K7861">
        <v>1.06382</v>
      </c>
      <c r="L7861">
        <v>16.644169999999999</v>
      </c>
      <c r="M7861">
        <v>0.95534039999999998</v>
      </c>
      <c r="N7861">
        <v>-1.5022829999999999E-2</v>
      </c>
      <c r="O7861">
        <v>-0.29512569999999999</v>
      </c>
      <c r="P7861">
        <v>0.71474419999999905</v>
      </c>
      <c r="Q7861">
        <v>-2.6797439999999999E-2</v>
      </c>
      <c r="R7861">
        <v>-0.6988723</v>
      </c>
      <c r="S7861">
        <v>1.29541</v>
      </c>
      <c r="T7861">
        <v>-6.7741040000000002E-2</v>
      </c>
      <c r="U7861">
        <v>-2.9863590000000002</v>
      </c>
      <c r="V7861">
        <v>0.4564416</v>
      </c>
      <c r="W7861">
        <v>-2.1988130000000002E-2</v>
      </c>
      <c r="X7861">
        <v>0.88948169999999904</v>
      </c>
      <c r="Y7861">
        <v>0.75876279999999996</v>
      </c>
      <c r="Z7861">
        <v>-1.4026810000000001E-2</v>
      </c>
      <c r="AA7861">
        <v>0.65121600000000002</v>
      </c>
      <c r="AB7861">
        <v>20</v>
      </c>
      <c r="AC7861">
        <v>18.715699999999899</v>
      </c>
      <c r="AD7861">
        <v>-0.98383352000000002</v>
      </c>
      <c r="AE7861">
        <v>-43.337960000000002</v>
      </c>
      <c r="AF7861">
        <v>35.867487745296202</v>
      </c>
      <c r="AG7861">
        <v>-0.98383352000000002</v>
      </c>
      <c r="AH7861">
        <v>30.6601521527454</v>
      </c>
      <c r="AI7861">
        <v>91.1944497099541</v>
      </c>
      <c r="AJ7861">
        <v>40.524397607432597</v>
      </c>
      <c r="AK7861">
        <v>47.1962873071977</v>
      </c>
      <c r="AL7861">
        <v>91.259928519660093</v>
      </c>
      <c r="AM7861">
        <v>62.8351656930842</v>
      </c>
      <c r="AN7861">
        <v>1.0000000533531701</v>
      </c>
    </row>
    <row r="7862" spans="1:40" x14ac:dyDescent="0.25">
      <c r="A7862" t="str">
        <f>"20190303153959261"</f>
        <v>20190303153959261</v>
      </c>
      <c r="B7862" t="str">
        <f>"1551598799256018"</f>
        <v>1551598799256018</v>
      </c>
      <c r="C7862" t="s">
        <v>40</v>
      </c>
      <c r="D7862">
        <v>4.9767070000000002</v>
      </c>
      <c r="E7862">
        <v>0.65376040000000002</v>
      </c>
      <c r="F7862" t="s">
        <v>42</v>
      </c>
      <c r="G7862">
        <v>-286.29390000000001</v>
      </c>
      <c r="H7862">
        <v>7.9985829999999994E-2</v>
      </c>
      <c r="I7862">
        <v>-34.315519999999999</v>
      </c>
      <c r="J7862">
        <v>-307.61369999999999</v>
      </c>
      <c r="K7862">
        <v>1.0637270000000001</v>
      </c>
      <c r="L7862">
        <v>16.607789999999898</v>
      </c>
      <c r="M7862">
        <v>0.95327799999999996</v>
      </c>
      <c r="N7862">
        <v>-1.5061710000000001E-2</v>
      </c>
      <c r="O7862">
        <v>-0.30171910000000002</v>
      </c>
      <c r="P7862">
        <v>0.70675049999999995</v>
      </c>
      <c r="Q7862">
        <v>-2.8720249999999999E-2</v>
      </c>
      <c r="R7862">
        <v>-0.70687999999999995</v>
      </c>
      <c r="S7862">
        <v>1.260834</v>
      </c>
      <c r="T7862">
        <v>-5.7935479999999998E-2</v>
      </c>
      <c r="U7862">
        <v>-3.0008849999999998</v>
      </c>
      <c r="V7862">
        <v>0.46029179999999997</v>
      </c>
      <c r="W7862">
        <v>-2.4072969999999999E-2</v>
      </c>
      <c r="X7862">
        <v>0.88744120000000004</v>
      </c>
      <c r="Y7862">
        <v>0.76180689999999995</v>
      </c>
      <c r="Z7862">
        <v>-1.366152E-2</v>
      </c>
      <c r="AA7862">
        <v>0.64766020000000002</v>
      </c>
      <c r="AB7862">
        <v>19</v>
      </c>
      <c r="AC7862">
        <v>21.319799999999901</v>
      </c>
      <c r="AD7862">
        <v>-0.98374117000000005</v>
      </c>
      <c r="AE7862">
        <v>-50.923310000000001</v>
      </c>
      <c r="AF7862">
        <v>42.102884116093698</v>
      </c>
      <c r="AG7862">
        <v>-0.98374117000000005</v>
      </c>
      <c r="AH7862">
        <v>35.680946604654402</v>
      </c>
      <c r="AI7862">
        <v>91.021193458818999</v>
      </c>
      <c r="AJ7862">
        <v>40.280287860494397</v>
      </c>
      <c r="AK7862">
        <v>55.197378091599397</v>
      </c>
      <c r="AL7862">
        <v>91.379412879900798</v>
      </c>
      <c r="AM7862">
        <v>62.585448816998401</v>
      </c>
      <c r="AN7862">
        <v>0.99999996624464904</v>
      </c>
    </row>
    <row r="7863" spans="1:40" x14ac:dyDescent="0.25">
      <c r="A7863" t="str">
        <f>"20190303153959273"</f>
        <v>20190303153959273</v>
      </c>
      <c r="B7863" t="str">
        <f>"1551598799266754"</f>
        <v>1551598799266754</v>
      </c>
      <c r="C7863" t="s">
        <v>40</v>
      </c>
      <c r="D7863">
        <v>4.6007150000000001</v>
      </c>
      <c r="E7863">
        <v>0.65562419999999899</v>
      </c>
      <c r="F7863" t="s">
        <v>42</v>
      </c>
      <c r="G7863">
        <v>-295.2697</v>
      </c>
      <c r="H7863" s="1">
        <v>-4.071334E-6</v>
      </c>
      <c r="I7863">
        <v>-12.83273</v>
      </c>
      <c r="J7863">
        <v>-307.52229999999997</v>
      </c>
      <c r="K7863">
        <v>1.063634</v>
      </c>
      <c r="L7863">
        <v>16.570709999999998</v>
      </c>
      <c r="M7863">
        <v>0.95114299999999996</v>
      </c>
      <c r="N7863">
        <v>-1.5100519999999999E-2</v>
      </c>
      <c r="O7863">
        <v>-0.30838149999999998</v>
      </c>
      <c r="P7863">
        <v>0.69892430000000005</v>
      </c>
      <c r="Q7863">
        <v>-3.0476110000000001E-2</v>
      </c>
      <c r="R7863">
        <v>-0.71454600000000001</v>
      </c>
      <c r="S7863">
        <v>1.2525329999999999</v>
      </c>
      <c r="T7863">
        <v>-0.1079359</v>
      </c>
      <c r="U7863">
        <v>-2.9873050000000001</v>
      </c>
      <c r="V7863">
        <v>0.46374090000000001</v>
      </c>
      <c r="W7863">
        <v>-2.5980799999999998E-2</v>
      </c>
      <c r="X7863">
        <v>0.88558979999999998</v>
      </c>
      <c r="Y7863">
        <v>0.75744060000000002</v>
      </c>
      <c r="Z7863">
        <v>-1.54945E-2</v>
      </c>
      <c r="AA7863">
        <v>0.65272030000000003</v>
      </c>
      <c r="AB7863">
        <v>19</v>
      </c>
      <c r="AC7863">
        <v>12.2525999999999</v>
      </c>
      <c r="AD7863">
        <v>-1.0636380713339999</v>
      </c>
      <c r="AE7863">
        <v>-29.40344</v>
      </c>
      <c r="AF7863">
        <v>24.164215158898401</v>
      </c>
      <c r="AG7863">
        <v>-1.0636380713339999</v>
      </c>
      <c r="AH7863">
        <v>20.7007324254275</v>
      </c>
      <c r="AI7863">
        <v>91.914575064529203</v>
      </c>
      <c r="AJ7863">
        <v>40.585637592773203</v>
      </c>
      <c r="AK7863">
        <v>31.836471901601701</v>
      </c>
      <c r="AL7863">
        <v>91.488757767076294</v>
      </c>
      <c r="AM7863">
        <v>62.361105816714201</v>
      </c>
      <c r="AN7863">
        <v>0.99999995908274397</v>
      </c>
    </row>
    <row r="7864" spans="1:40" x14ac:dyDescent="0.25">
      <c r="A7864" t="str">
        <f>"20190303153959287"</f>
        <v>20190303153959287</v>
      </c>
      <c r="B7864" t="str">
        <f>"1551598799276514"</f>
        <v>1551598799276514</v>
      </c>
      <c r="C7864" t="s">
        <v>40</v>
      </c>
      <c r="D7864">
        <v>4.6168709999999997</v>
      </c>
      <c r="E7864">
        <v>0.65682510000000005</v>
      </c>
      <c r="F7864" t="s">
        <v>42</v>
      </c>
      <c r="G7864">
        <v>-291.96859999999998</v>
      </c>
      <c r="H7864" s="1">
        <v>-4.9467910000000002E-6</v>
      </c>
      <c r="I7864">
        <v>-22.156980000000001</v>
      </c>
      <c r="J7864">
        <v>-307.41120000000001</v>
      </c>
      <c r="K7864">
        <v>1.0635330000000001</v>
      </c>
      <c r="L7864">
        <v>16.524439999999998</v>
      </c>
      <c r="M7864">
        <v>0.94843750000000004</v>
      </c>
      <c r="N7864">
        <v>-1.514833E-2</v>
      </c>
      <c r="O7864">
        <v>-0.31660280000000002</v>
      </c>
      <c r="P7864">
        <v>0.69016409999999995</v>
      </c>
      <c r="Q7864">
        <v>-3.249929E-2</v>
      </c>
      <c r="R7864">
        <v>-0.72292319999999999</v>
      </c>
      <c r="S7864">
        <v>1.209595</v>
      </c>
      <c r="T7864">
        <v>-8.2718009999999995E-2</v>
      </c>
      <c r="U7864">
        <v>-3.0118100000000001</v>
      </c>
      <c r="V7864">
        <v>0.46673520000000002</v>
      </c>
      <c r="W7864">
        <v>-2.8155019999999999E-2</v>
      </c>
      <c r="X7864">
        <v>0.88394889999999904</v>
      </c>
      <c r="Y7864">
        <v>0.7618028</v>
      </c>
      <c r="Z7864">
        <v>-1.455099E-2</v>
      </c>
      <c r="AA7864">
        <v>0.64764549999999999</v>
      </c>
      <c r="AB7864">
        <v>19</v>
      </c>
      <c r="AC7864">
        <v>15.442600000000001</v>
      </c>
      <c r="AD7864">
        <v>-1.063537946791</v>
      </c>
      <c r="AE7864">
        <v>-38.681420000000003</v>
      </c>
      <c r="AF7864">
        <v>31.780657661867899</v>
      </c>
      <c r="AG7864">
        <v>-1.063537946791</v>
      </c>
      <c r="AH7864">
        <v>26.8785403491678</v>
      </c>
      <c r="AI7864">
        <v>91.463688823536799</v>
      </c>
      <c r="AJ7864">
        <v>40.222922997949901</v>
      </c>
      <c r="AK7864">
        <v>41.636489353533896</v>
      </c>
      <c r="AL7864">
        <v>91.613376932716307</v>
      </c>
      <c r="AM7864">
        <v>62.165430025683698</v>
      </c>
      <c r="AN7864">
        <v>1.00000005494072</v>
      </c>
    </row>
    <row r="7865" spans="1:40" x14ac:dyDescent="0.25">
      <c r="A7865" t="str">
        <f>"20190303153959297"</f>
        <v>20190303153959297</v>
      </c>
      <c r="B7865" t="str">
        <f>"1551598799286275"</f>
        <v>1551598799286275</v>
      </c>
      <c r="C7865" t="s">
        <v>40</v>
      </c>
      <c r="D7865">
        <v>4.5889230000000003</v>
      </c>
      <c r="E7865">
        <v>0.65751999999999999</v>
      </c>
      <c r="F7865" t="s">
        <v>42</v>
      </c>
      <c r="G7865">
        <v>-289.95780000000002</v>
      </c>
      <c r="H7865">
        <v>3.2283230000000003E-2</v>
      </c>
      <c r="I7865">
        <v>-28.853639999999999</v>
      </c>
      <c r="J7865">
        <v>-307.32690000000002</v>
      </c>
      <c r="K7865">
        <v>1.06345499999999</v>
      </c>
      <c r="L7865">
        <v>16.488189999999999</v>
      </c>
      <c r="M7865">
        <v>0.94629260000000004</v>
      </c>
      <c r="N7865">
        <v>-1.51851E-2</v>
      </c>
      <c r="O7865">
        <v>-0.32295509999999999</v>
      </c>
      <c r="P7865">
        <v>0.68272549999999999</v>
      </c>
      <c r="Q7865">
        <v>-3.3478349999999997E-2</v>
      </c>
      <c r="R7865">
        <v>-0.729908</v>
      </c>
      <c r="S7865">
        <v>1.1665650000000001</v>
      </c>
      <c r="T7865">
        <v>-6.8927530000000001E-2</v>
      </c>
      <c r="U7865">
        <v>-3.03302</v>
      </c>
      <c r="V7865">
        <v>0.46978880000000001</v>
      </c>
      <c r="W7865">
        <v>-2.9267990000000001E-2</v>
      </c>
      <c r="X7865">
        <v>0.88229360000000001</v>
      </c>
      <c r="Y7865">
        <v>0.76704269999999997</v>
      </c>
      <c r="Z7865">
        <v>-1.415283E-2</v>
      </c>
      <c r="AA7865">
        <v>0.64144000000000001</v>
      </c>
      <c r="AB7865">
        <v>19</v>
      </c>
      <c r="AC7865">
        <v>17.3691</v>
      </c>
      <c r="AD7865">
        <v>-1.0311717699999901</v>
      </c>
      <c r="AE7865">
        <v>-45.341830000000002</v>
      </c>
      <c r="AF7865">
        <v>37.284678413873202</v>
      </c>
      <c r="AG7865">
        <v>-1.0311717699999901</v>
      </c>
      <c r="AH7865">
        <v>31.069192869563899</v>
      </c>
      <c r="AI7865">
        <v>91.2171724188659</v>
      </c>
      <c r="AJ7865">
        <v>39.804326356105904</v>
      </c>
      <c r="AK7865">
        <v>48.543849303607502</v>
      </c>
      <c r="AL7865">
        <v>91.677171700717807</v>
      </c>
      <c r="AM7865">
        <v>61.966345231682403</v>
      </c>
      <c r="AN7865">
        <v>1.00000006422251</v>
      </c>
    </row>
    <row r="7866" spans="1:40" x14ac:dyDescent="0.25">
      <c r="A7866" t="str">
        <f>"20190303153959307"</f>
        <v>20190303153959307</v>
      </c>
      <c r="B7866" t="str">
        <f>"1551598799296034"</f>
        <v>1551598799296034</v>
      </c>
      <c r="C7866" t="s">
        <v>40</v>
      </c>
      <c r="D7866">
        <v>4.6279269999999997</v>
      </c>
      <c r="E7866">
        <v>0.65776569999999901</v>
      </c>
      <c r="F7866" t="s">
        <v>42</v>
      </c>
      <c r="G7866">
        <v>-287.5016</v>
      </c>
      <c r="H7866">
        <v>7.9986479999999999E-2</v>
      </c>
      <c r="I7866">
        <v>-36.921320000000001</v>
      </c>
      <c r="J7866">
        <v>-307.24079999999998</v>
      </c>
      <c r="K7866">
        <v>1.063374</v>
      </c>
      <c r="L7866">
        <v>16.450869999999998</v>
      </c>
      <c r="M7866">
        <v>0.94404569999999999</v>
      </c>
      <c r="N7866">
        <v>-1.5221989999999999E-2</v>
      </c>
      <c r="O7866">
        <v>-0.32946379999999997</v>
      </c>
      <c r="P7866">
        <v>0.67566969999999904</v>
      </c>
      <c r="Q7866">
        <v>-3.3783250000000001E-2</v>
      </c>
      <c r="R7866">
        <v>-0.73643029999999998</v>
      </c>
      <c r="S7866">
        <v>1.1317440000000001</v>
      </c>
      <c r="T7866">
        <v>-5.6141969999999999E-2</v>
      </c>
      <c r="U7866">
        <v>-3.0489199999999999</v>
      </c>
      <c r="V7866">
        <v>0.47217609999999899</v>
      </c>
      <c r="W7866">
        <v>-2.9690000000000001E-2</v>
      </c>
      <c r="X7866">
        <v>0.88100409999999996</v>
      </c>
      <c r="Y7866">
        <v>0.77021569999999995</v>
      </c>
      <c r="Z7866">
        <v>-1.3755069999999999E-2</v>
      </c>
      <c r="AA7866">
        <v>0.63763519999999996</v>
      </c>
      <c r="AB7866">
        <v>19</v>
      </c>
      <c r="AC7866">
        <v>19.739199999999901</v>
      </c>
      <c r="AD7866">
        <v>-0.98338751999999996</v>
      </c>
      <c r="AE7866">
        <v>-53.372190000000003</v>
      </c>
      <c r="AF7866">
        <v>43.874408491611497</v>
      </c>
      <c r="AG7866">
        <v>-0.98338751999999996</v>
      </c>
      <c r="AH7866">
        <v>36.2122869418954</v>
      </c>
      <c r="AI7866">
        <v>90.990330434321393</v>
      </c>
      <c r="AJ7866">
        <v>39.534983879293797</v>
      </c>
      <c r="AK7866">
        <v>56.896928713819399</v>
      </c>
      <c r="AL7866">
        <v>91.701361722226906</v>
      </c>
      <c r="AM7866">
        <v>61.810818453676603</v>
      </c>
      <c r="AN7866">
        <v>0.99999999486400903</v>
      </c>
    </row>
    <row r="7867" spans="1:40" x14ac:dyDescent="0.25">
      <c r="A7867" t="str">
        <f>"20190303153959318"</f>
        <v>20190303153959318</v>
      </c>
      <c r="B7867" t="str">
        <f>"1551598799316530"</f>
        <v>1551598799316530</v>
      </c>
      <c r="C7867" t="s">
        <v>40</v>
      </c>
      <c r="D7867">
        <v>4.9992219999999996</v>
      </c>
      <c r="E7867">
        <v>0.65492669999999997</v>
      </c>
      <c r="F7867" t="s">
        <v>63</v>
      </c>
      <c r="G7867">
        <v>-283.59620000000001</v>
      </c>
      <c r="H7867">
        <v>7.9986929999999998E-2</v>
      </c>
      <c r="I7867">
        <v>-49.272689999999997</v>
      </c>
      <c r="J7867">
        <v>-307.15210000000002</v>
      </c>
      <c r="K7867">
        <v>1.063307</v>
      </c>
      <c r="L7867">
        <v>16.41104</v>
      </c>
      <c r="M7867">
        <v>0.94162509999999999</v>
      </c>
      <c r="N7867">
        <v>-1.5261200000000001E-2</v>
      </c>
      <c r="O7867">
        <v>-0.3363177</v>
      </c>
      <c r="P7867">
        <v>0.66852719999999999</v>
      </c>
      <c r="Q7867">
        <v>-3.4073730000000003E-2</v>
      </c>
      <c r="R7867">
        <v>-0.74290679999999998</v>
      </c>
      <c r="S7867">
        <v>1.1012879999999901</v>
      </c>
      <c r="T7867">
        <v>-4.5802950000000002E-2</v>
      </c>
      <c r="U7867">
        <v>-3.061188</v>
      </c>
      <c r="V7867">
        <v>0.47425270000000003</v>
      </c>
      <c r="W7867">
        <v>-3.0088520000000001E-2</v>
      </c>
      <c r="X7867">
        <v>0.8798745</v>
      </c>
      <c r="Y7867">
        <v>0.77205749999999995</v>
      </c>
      <c r="Z7867">
        <v>-1.3443800000000001E-2</v>
      </c>
      <c r="AA7867">
        <v>0.63541049999999999</v>
      </c>
      <c r="AB7867">
        <v>19</v>
      </c>
      <c r="AC7867">
        <v>23.555900000000001</v>
      </c>
      <c r="AD7867">
        <v>-0.98332006999999999</v>
      </c>
      <c r="AE7867">
        <v>-65.683729999999997</v>
      </c>
      <c r="AF7867">
        <v>53.9227470655918</v>
      </c>
      <c r="AG7867">
        <v>-0.98332006999999999</v>
      </c>
      <c r="AH7867">
        <v>44.267786251112398</v>
      </c>
      <c r="AI7867">
        <v>90.807504111633406</v>
      </c>
      <c r="AJ7867">
        <v>39.384225101582601</v>
      </c>
      <c r="AK7867">
        <v>69.772963739789802</v>
      </c>
      <c r="AL7867">
        <v>91.724205366418005</v>
      </c>
      <c r="AM7867">
        <v>61.675315181396897</v>
      </c>
      <c r="AN7867">
        <v>1.0000000391216599</v>
      </c>
    </row>
    <row r="7868" spans="1:40" x14ac:dyDescent="0.25">
      <c r="A7868" t="str">
        <f>"20190303153959330"</f>
        <v>20190303153959330</v>
      </c>
      <c r="B7868" t="str">
        <f>"1551598799326291"</f>
        <v>1551598799326291</v>
      </c>
      <c r="C7868" t="s">
        <v>40</v>
      </c>
      <c r="D7868">
        <v>4.9841360000000003</v>
      </c>
      <c r="E7868">
        <v>0.65212139999999996</v>
      </c>
      <c r="F7868" t="s">
        <v>42</v>
      </c>
      <c r="G7868">
        <v>-289.7842</v>
      </c>
      <c r="H7868">
        <v>7.998624E-2</v>
      </c>
      <c r="I7868">
        <v>-32.369050000000001</v>
      </c>
      <c r="J7868">
        <v>-307.06009999999998</v>
      </c>
      <c r="K7868">
        <v>1.063231</v>
      </c>
      <c r="L7868">
        <v>16.36938</v>
      </c>
      <c r="M7868">
        <v>0.93904929999999998</v>
      </c>
      <c r="N7868">
        <v>-1.530111E-2</v>
      </c>
      <c r="O7868">
        <v>-0.34344170000000002</v>
      </c>
      <c r="P7868">
        <v>0.66117150000000002</v>
      </c>
      <c r="Q7868">
        <v>-3.3343640000000001E-2</v>
      </c>
      <c r="R7868">
        <v>-0.74949359999999998</v>
      </c>
      <c r="S7868">
        <v>1.0881350000000001</v>
      </c>
      <c r="T7868">
        <v>-6.1607240000000001E-2</v>
      </c>
      <c r="U7868">
        <v>-3.0561829999999999</v>
      </c>
      <c r="V7868">
        <v>0.47629769999999999</v>
      </c>
      <c r="W7868">
        <v>-2.9467690000000001E-2</v>
      </c>
      <c r="X7868">
        <v>0.87879010000000002</v>
      </c>
      <c r="Y7868">
        <v>0.76925330000000003</v>
      </c>
      <c r="Z7868">
        <v>-1.3852669999999999E-2</v>
      </c>
      <c r="AA7868">
        <v>0.63879379999999997</v>
      </c>
      <c r="AB7868">
        <v>19</v>
      </c>
      <c r="AC7868">
        <v>17.275899999999901</v>
      </c>
      <c r="AD7868">
        <v>-0.98324476000000005</v>
      </c>
      <c r="AE7868">
        <v>-48.738430000000001</v>
      </c>
      <c r="AF7868">
        <v>39.824790744986998</v>
      </c>
      <c r="AG7868">
        <v>-0.98324476000000005</v>
      </c>
      <c r="AH7868">
        <v>32.953677024055999</v>
      </c>
      <c r="AI7868">
        <v>91.089725276707</v>
      </c>
      <c r="AJ7868">
        <v>39.606614589862303</v>
      </c>
      <c r="AK7868">
        <v>51.700343882278602</v>
      </c>
      <c r="AL7868">
        <v>91.688618811294106</v>
      </c>
      <c r="AM7868">
        <v>61.5426365645828</v>
      </c>
      <c r="AN7868">
        <v>0.99999994181861596</v>
      </c>
    </row>
    <row r="7869" spans="1:40" x14ac:dyDescent="0.25">
      <c r="A7869" t="str">
        <f>"20190303153959340"</f>
        <v>20190303153959340</v>
      </c>
      <c r="B7869" t="str">
        <f>"1551598799336558"</f>
        <v>1551598799336558</v>
      </c>
      <c r="C7869" t="s">
        <v>40</v>
      </c>
      <c r="D7869">
        <v>4.993417</v>
      </c>
      <c r="E7869">
        <v>0.64957670000000001</v>
      </c>
      <c r="F7869" t="s">
        <v>42</v>
      </c>
      <c r="G7869">
        <v>-292.93619999999999</v>
      </c>
      <c r="H7869" s="1">
        <v>-4.1248730000000004E-6</v>
      </c>
      <c r="I7869">
        <v>-23.753810000000001</v>
      </c>
      <c r="J7869">
        <v>-306.97190000000001</v>
      </c>
      <c r="K7869">
        <v>1.0631619999999999</v>
      </c>
      <c r="L7869">
        <v>16.327939999999899</v>
      </c>
      <c r="M7869">
        <v>0.93646390000000002</v>
      </c>
      <c r="N7869">
        <v>-1.534136E-2</v>
      </c>
      <c r="O7869">
        <v>-0.35042830000000003</v>
      </c>
      <c r="P7869">
        <v>0.65408250000000001</v>
      </c>
      <c r="Q7869">
        <v>-3.2624550000000002E-2</v>
      </c>
      <c r="R7869">
        <v>-0.75571919999999904</v>
      </c>
      <c r="S7869">
        <v>1.0741879999999999</v>
      </c>
      <c r="T7869">
        <v>-8.0863710000000005E-2</v>
      </c>
      <c r="U7869">
        <v>-3.0515439999999998</v>
      </c>
      <c r="V7869">
        <v>0.47806520000000002</v>
      </c>
      <c r="W7869">
        <v>-2.8843250000000001E-2</v>
      </c>
      <c r="X7869">
        <v>0.87785069999999998</v>
      </c>
      <c r="Y7869">
        <v>0.76667269999999998</v>
      </c>
      <c r="Z7869">
        <v>-1.426058E-2</v>
      </c>
      <c r="AA7869">
        <v>0.6418798</v>
      </c>
      <c r="AB7869">
        <v>19</v>
      </c>
      <c r="AC7869">
        <v>14.0357</v>
      </c>
      <c r="AD7869">
        <v>-1.063166124873</v>
      </c>
      <c r="AE7869">
        <v>-40.08175</v>
      </c>
      <c r="AF7869">
        <v>32.600013472955503</v>
      </c>
      <c r="AG7869">
        <v>-1.063166124873</v>
      </c>
      <c r="AH7869">
        <v>27.1758745602604</v>
      </c>
      <c r="AI7869">
        <v>91.434964786215701</v>
      </c>
      <c r="AJ7869">
        <v>39.815108880702397</v>
      </c>
      <c r="AK7869">
        <v>42.4549097132589</v>
      </c>
      <c r="AL7869">
        <v>91.652825620672203</v>
      </c>
      <c r="AM7869">
        <v>61.4279075408176</v>
      </c>
      <c r="AN7869">
        <v>1.0000000600060399</v>
      </c>
    </row>
    <row r="7870" spans="1:40" x14ac:dyDescent="0.25">
      <c r="A7870" t="str">
        <f>"20190303153959352"</f>
        <v>20190303153959352</v>
      </c>
      <c r="B7870" t="str">
        <f>"1551598799346319"</f>
        <v>1551598799346319</v>
      </c>
      <c r="C7870" t="s">
        <v>40</v>
      </c>
      <c r="D7870">
        <v>4.8192059999999897</v>
      </c>
      <c r="E7870">
        <v>0.6488159</v>
      </c>
      <c r="F7870" t="s">
        <v>42</v>
      </c>
      <c r="G7870">
        <v>-295.3766</v>
      </c>
      <c r="H7870" s="1">
        <v>-2.3678329999999999E-6</v>
      </c>
      <c r="I7870">
        <v>-17.008890000000001</v>
      </c>
      <c r="J7870">
        <v>-306.88080000000002</v>
      </c>
      <c r="K7870">
        <v>1.063099</v>
      </c>
      <c r="L7870">
        <v>16.284669999999998</v>
      </c>
      <c r="M7870">
        <v>0.93371970000000004</v>
      </c>
      <c r="N7870">
        <v>-1.538224E-2</v>
      </c>
      <c r="O7870">
        <v>-0.3576742</v>
      </c>
      <c r="P7870">
        <v>0.64716249999999997</v>
      </c>
      <c r="Q7870">
        <v>-3.1481469999999998E-2</v>
      </c>
      <c r="R7870">
        <v>-0.76170190000000004</v>
      </c>
      <c r="S7870">
        <v>1.0601499999999999</v>
      </c>
      <c r="T7870">
        <v>-9.7203730000000002E-2</v>
      </c>
      <c r="U7870">
        <v>-3.0479430000000001</v>
      </c>
      <c r="V7870">
        <v>0.47933229999999999</v>
      </c>
      <c r="W7870">
        <v>-2.7780610000000001E-2</v>
      </c>
      <c r="X7870">
        <v>0.87719369999999997</v>
      </c>
      <c r="Y7870">
        <v>0.76399349999999999</v>
      </c>
      <c r="Z7870">
        <v>-1.446594E-2</v>
      </c>
      <c r="AA7870">
        <v>0.64506180000000002</v>
      </c>
      <c r="AB7870">
        <v>19</v>
      </c>
      <c r="AC7870">
        <v>11.504200000000001</v>
      </c>
      <c r="AD7870">
        <v>-1.0631013678329999</v>
      </c>
      <c r="AE7870">
        <v>-33.293559999999999</v>
      </c>
      <c r="AF7870">
        <v>26.9507419129054</v>
      </c>
      <c r="AG7870">
        <v>-1.0631013678329999</v>
      </c>
      <c r="AH7870">
        <v>22.632012304390699</v>
      </c>
      <c r="AI7870">
        <v>91.730248209382694</v>
      </c>
      <c r="AJ7870">
        <v>40.022018119693698</v>
      </c>
      <c r="AK7870">
        <v>35.209099038748697</v>
      </c>
      <c r="AL7870">
        <v>91.591916510879599</v>
      </c>
      <c r="AM7870">
        <v>61.346114461473903</v>
      </c>
      <c r="AN7870">
        <v>1.0000000017174699</v>
      </c>
    </row>
    <row r="7871" spans="1:40" x14ac:dyDescent="0.25">
      <c r="A7871" t="str">
        <f>"20190303153959363"</f>
        <v>20190303153959363</v>
      </c>
      <c r="B7871" t="str">
        <f>"1551598799356079"</f>
        <v>1551598799356079</v>
      </c>
      <c r="C7871" t="s">
        <v>40</v>
      </c>
      <c r="D7871">
        <v>4.8145629999999997</v>
      </c>
      <c r="E7871">
        <v>0.64846919999999897</v>
      </c>
      <c r="F7871" t="s">
        <v>42</v>
      </c>
      <c r="G7871">
        <v>-294.91199999999998</v>
      </c>
      <c r="H7871" s="1">
        <v>-1.830482E-6</v>
      </c>
      <c r="I7871">
        <v>-18.951139999999999</v>
      </c>
      <c r="J7871">
        <v>-306.78919999999999</v>
      </c>
      <c r="K7871">
        <v>1.0630360000000001</v>
      </c>
      <c r="L7871">
        <v>16.23987</v>
      </c>
      <c r="M7871">
        <v>0.93085189999999995</v>
      </c>
      <c r="N7871">
        <v>-1.5423859999999999E-2</v>
      </c>
      <c r="O7871">
        <v>-0.36507129999999999</v>
      </c>
      <c r="P7871">
        <v>0.63981399999999999</v>
      </c>
      <c r="Q7871">
        <v>-3.0506990000000001E-2</v>
      </c>
      <c r="R7871">
        <v>-0.7679241</v>
      </c>
      <c r="S7871">
        <v>1.037201</v>
      </c>
      <c r="T7871">
        <v>-9.2127200000000006E-2</v>
      </c>
      <c r="U7871">
        <v>-3.0534970000000001</v>
      </c>
      <c r="V7871">
        <v>0.4808519</v>
      </c>
      <c r="W7871">
        <v>-2.68866E-2</v>
      </c>
      <c r="X7871">
        <v>0.87638950000000004</v>
      </c>
      <c r="Y7871">
        <v>0.76360850000000002</v>
      </c>
      <c r="Z7871">
        <v>-1.4209919999999999E-2</v>
      </c>
      <c r="AA7871">
        <v>0.64552330000000002</v>
      </c>
      <c r="AB7871">
        <v>19</v>
      </c>
      <c r="AC7871">
        <v>11.877199999999901</v>
      </c>
      <c r="AD7871">
        <v>-1.0630378304820001</v>
      </c>
      <c r="AE7871">
        <v>-35.191009999999999</v>
      </c>
      <c r="AF7871">
        <v>28.401705652706902</v>
      </c>
      <c r="AG7871">
        <v>-1.0630378304820001</v>
      </c>
      <c r="AH7871">
        <v>23.886415720186601</v>
      </c>
      <c r="AI7871">
        <v>91.640783600449694</v>
      </c>
      <c r="AJ7871">
        <v>40.064522294785903</v>
      </c>
      <c r="AK7871">
        <v>37.126106574344902</v>
      </c>
      <c r="AL7871">
        <v>91.540674370396005</v>
      </c>
      <c r="AM7871">
        <v>61.247580122357803</v>
      </c>
      <c r="AN7871">
        <v>0.99999999735170997</v>
      </c>
    </row>
    <row r="7872" spans="1:40" x14ac:dyDescent="0.25">
      <c r="A7872" t="str">
        <f>"20190303153959376"</f>
        <v>20190303153959376</v>
      </c>
      <c r="B7872" t="str">
        <f>"1551598799365839"</f>
        <v>1551598799365839</v>
      </c>
      <c r="C7872" t="s">
        <v>40</v>
      </c>
      <c r="D7872">
        <v>4.6655470000000001</v>
      </c>
      <c r="E7872">
        <v>0.64868239999999999</v>
      </c>
      <c r="F7872" t="s">
        <v>42</v>
      </c>
      <c r="G7872">
        <v>-294.4307</v>
      </c>
      <c r="H7872" s="1">
        <v>-4.9070370000000002E-6</v>
      </c>
      <c r="I7872">
        <v>-21.231629999999999</v>
      </c>
      <c r="J7872">
        <v>-306.69</v>
      </c>
      <c r="K7872">
        <v>1.0629740000000001</v>
      </c>
      <c r="L7872">
        <v>16.190370000000001</v>
      </c>
      <c r="M7872">
        <v>0.92764040000000003</v>
      </c>
      <c r="N7872">
        <v>-1.5468010000000001E-2</v>
      </c>
      <c r="O7872">
        <v>-0.37315419999999999</v>
      </c>
      <c r="P7872">
        <v>0.63212089999999999</v>
      </c>
      <c r="Q7872">
        <v>-2.994761E-2</v>
      </c>
      <c r="R7872">
        <v>-0.7742909</v>
      </c>
      <c r="S7872">
        <v>1.009827</v>
      </c>
      <c r="T7872">
        <v>-8.6861969999999997E-2</v>
      </c>
      <c r="U7872">
        <v>-3.0618289999999999</v>
      </c>
      <c r="V7872">
        <v>0.48199910000000001</v>
      </c>
      <c r="W7872">
        <v>-2.6395869999999998E-2</v>
      </c>
      <c r="X7872">
        <v>0.87577399999999905</v>
      </c>
      <c r="Y7872">
        <v>0.76375139999999997</v>
      </c>
      <c r="Z7872">
        <v>-1.398543E-2</v>
      </c>
      <c r="AA7872">
        <v>0.64535889999999996</v>
      </c>
      <c r="AB7872">
        <v>19</v>
      </c>
      <c r="AC7872">
        <v>12.2592999999999</v>
      </c>
      <c r="AD7872">
        <v>-1.0629789070369999</v>
      </c>
      <c r="AE7872">
        <v>-37.421999999999997</v>
      </c>
      <c r="AF7872">
        <v>30.121207578324402</v>
      </c>
      <c r="AG7872">
        <v>-1.0629789070369999</v>
      </c>
      <c r="AH7872">
        <v>25.320979321109601</v>
      </c>
      <c r="AI7872">
        <v>91.547371540072504</v>
      </c>
      <c r="AJ7872">
        <v>40.051626332878499</v>
      </c>
      <c r="AK7872">
        <v>39.364566095835102</v>
      </c>
      <c r="AL7872">
        <v>91.512547644925306</v>
      </c>
      <c r="AM7872">
        <v>61.172964794220498</v>
      </c>
      <c r="AN7872">
        <v>0.99999998671493295</v>
      </c>
    </row>
    <row r="7873" spans="1:40" x14ac:dyDescent="0.25">
      <c r="A7873" t="str">
        <f>"20190303153959390"</f>
        <v>20190303153959390</v>
      </c>
      <c r="B7873" t="str">
        <f>"1551598799386335"</f>
        <v>1551598799386335</v>
      </c>
      <c r="C7873" t="s">
        <v>40</v>
      </c>
      <c r="D7873">
        <v>4.9631489999999996</v>
      </c>
      <c r="E7873">
        <v>0.64583740000000001</v>
      </c>
      <c r="F7873" t="s">
        <v>42</v>
      </c>
      <c r="G7873">
        <v>-293.08390000000003</v>
      </c>
      <c r="H7873" s="1">
        <v>-3.1316889999999999E-6</v>
      </c>
      <c r="I7873">
        <v>-26.556809999999999</v>
      </c>
      <c r="J7873">
        <v>-306.58210000000003</v>
      </c>
      <c r="K7873">
        <v>1.06291</v>
      </c>
      <c r="L7873">
        <v>16.135439999999999</v>
      </c>
      <c r="M7873">
        <v>0.92402660000000003</v>
      </c>
      <c r="N7873">
        <v>-1.5514999999999999E-2</v>
      </c>
      <c r="O7873">
        <v>-0.38201370000000001</v>
      </c>
      <c r="P7873">
        <v>0.62401209999999996</v>
      </c>
      <c r="Q7873">
        <v>-2.9404940000000001E-2</v>
      </c>
      <c r="R7873">
        <v>-0.78086160000000004</v>
      </c>
      <c r="S7873">
        <v>0.97811890000000001</v>
      </c>
      <c r="T7873">
        <v>-7.6415780000000003E-2</v>
      </c>
      <c r="U7873">
        <v>-3.073029</v>
      </c>
      <c r="V7873">
        <v>0.48277789999999998</v>
      </c>
      <c r="W7873">
        <v>-2.590986E-2</v>
      </c>
      <c r="X7873">
        <v>0.87535949999999996</v>
      </c>
      <c r="Y7873">
        <v>0.76436210000000004</v>
      </c>
      <c r="Z7873">
        <v>-1.371883E-2</v>
      </c>
      <c r="AA7873">
        <v>0.64464129999999997</v>
      </c>
      <c r="AB7873">
        <v>19</v>
      </c>
      <c r="AC7873">
        <v>13.498199999999899</v>
      </c>
      <c r="AD7873">
        <v>-1.0629131316889999</v>
      </c>
      <c r="AE7873">
        <v>-42.692250000000001</v>
      </c>
      <c r="AF7873">
        <v>34.277083332600398</v>
      </c>
      <c r="AG7873">
        <v>-1.0629131316889999</v>
      </c>
      <c r="AH7873">
        <v>28.7689678548596</v>
      </c>
      <c r="AI7873">
        <v>91.360644557096904</v>
      </c>
      <c r="AJ7873">
        <v>40.006943972314602</v>
      </c>
      <c r="AK7873">
        <v>44.762727101345099</v>
      </c>
      <c r="AL7873">
        <v>91.484691718512593</v>
      </c>
      <c r="AM7873">
        <v>61.122404412555397</v>
      </c>
      <c r="AN7873">
        <v>1.00000003790693</v>
      </c>
    </row>
    <row r="7874" spans="1:40" x14ac:dyDescent="0.25">
      <c r="A7874" t="str">
        <f>"20190303153959404"</f>
        <v>20190303153959404</v>
      </c>
      <c r="B7874" t="str">
        <f>"1551598799396094"</f>
        <v>1551598799396094</v>
      </c>
      <c r="C7874" t="s">
        <v>40</v>
      </c>
      <c r="D7874">
        <v>4.9694399999999996</v>
      </c>
      <c r="E7874">
        <v>0.64450620000000003</v>
      </c>
      <c r="F7874" t="s">
        <v>42</v>
      </c>
      <c r="G7874">
        <v>-292.65769999999998</v>
      </c>
      <c r="H7874" s="1">
        <v>-2.687466E-6</v>
      </c>
      <c r="I7874">
        <v>-28.195399999999999</v>
      </c>
      <c r="J7874">
        <v>-306.46269999999998</v>
      </c>
      <c r="K7874">
        <v>1.0628409999999999</v>
      </c>
      <c r="L7874">
        <v>16.07245</v>
      </c>
      <c r="M7874">
        <v>0.91983490000000001</v>
      </c>
      <c r="N7874">
        <v>-1.55654E-2</v>
      </c>
      <c r="O7874">
        <v>-0.39199679999999998</v>
      </c>
      <c r="P7874">
        <v>0.61512939999999905</v>
      </c>
      <c r="Q7874">
        <v>-2.897943E-2</v>
      </c>
      <c r="R7874">
        <v>-0.78789319999999996</v>
      </c>
      <c r="S7874">
        <v>0.96392820000000001</v>
      </c>
      <c r="T7874">
        <v>-7.3581220000000003E-2</v>
      </c>
      <c r="U7874">
        <v>-3.068848</v>
      </c>
      <c r="V7874">
        <v>0.48323159999999998</v>
      </c>
      <c r="W7874">
        <v>-2.55284E-2</v>
      </c>
      <c r="X7874">
        <v>0.87512029999999996</v>
      </c>
      <c r="Y7874">
        <v>0.75983769999999995</v>
      </c>
      <c r="Z7874">
        <v>-1.3422720000000001E-2</v>
      </c>
      <c r="AA7874">
        <v>0.64997419999999995</v>
      </c>
      <c r="AB7874">
        <v>19</v>
      </c>
      <c r="AC7874">
        <v>13.805</v>
      </c>
      <c r="AD7874">
        <v>-1.0628436874660001</v>
      </c>
      <c r="AE7874">
        <v>-44.267850000000003</v>
      </c>
      <c r="AF7874">
        <v>35.293333584544897</v>
      </c>
      <c r="AG7874">
        <v>-1.0628436874660001</v>
      </c>
      <c r="AH7874">
        <v>30.039035917470098</v>
      </c>
      <c r="AI7874">
        <v>91.313719082430396</v>
      </c>
      <c r="AJ7874">
        <v>40.4019343753965</v>
      </c>
      <c r="AK7874">
        <v>46.358307896913303</v>
      </c>
      <c r="AL7874">
        <v>91.462828481323598</v>
      </c>
      <c r="AM7874">
        <v>61.093013372911699</v>
      </c>
      <c r="AN7874">
        <v>1.0000000089586001</v>
      </c>
    </row>
    <row r="7875" spans="1:40" x14ac:dyDescent="0.25">
      <c r="A7875" t="str">
        <f>"20190303153959418"</f>
        <v>20190303153959418</v>
      </c>
      <c r="B7875" t="str">
        <f>"1551598799405854"</f>
        <v>1551598799405854</v>
      </c>
      <c r="C7875" t="s">
        <v>40</v>
      </c>
      <c r="D7875">
        <v>4.9885270000000004</v>
      </c>
      <c r="E7875">
        <v>0.64340129999999995</v>
      </c>
      <c r="F7875" t="s">
        <v>42</v>
      </c>
      <c r="G7875">
        <v>-292.59300000000002</v>
      </c>
      <c r="H7875" s="1">
        <v>-2.292675E-6</v>
      </c>
      <c r="I7875">
        <v>-29.406120000000001</v>
      </c>
      <c r="J7875">
        <v>-306.35939999999999</v>
      </c>
      <c r="K7875">
        <v>1.0627819999999999</v>
      </c>
      <c r="L7875">
        <v>16.01651</v>
      </c>
      <c r="M7875">
        <v>0.91606089999999996</v>
      </c>
      <c r="N7875">
        <v>-1.560806E-2</v>
      </c>
      <c r="O7875">
        <v>-0.40073550000000002</v>
      </c>
      <c r="P7875">
        <v>0.60742229999999997</v>
      </c>
      <c r="Q7875">
        <v>-2.8919380000000001E-2</v>
      </c>
      <c r="R7875">
        <v>-0.79385240000000001</v>
      </c>
      <c r="S7875">
        <v>0.93725590000000003</v>
      </c>
      <c r="T7875">
        <v>-7.1822289999999997E-2</v>
      </c>
      <c r="U7875">
        <v>-3.073242</v>
      </c>
      <c r="V7875">
        <v>0.48342930000000001</v>
      </c>
      <c r="W7875">
        <v>-2.549734E-2</v>
      </c>
      <c r="X7875">
        <v>0.87501200000000001</v>
      </c>
      <c r="Y7875">
        <v>0.75907349999999996</v>
      </c>
      <c r="Z7875">
        <v>-1.3291270000000001E-2</v>
      </c>
      <c r="AA7875">
        <v>0.65086929999999998</v>
      </c>
      <c r="AB7875">
        <v>19</v>
      </c>
      <c r="AC7875">
        <v>13.7663999999999</v>
      </c>
      <c r="AD7875">
        <v>-1.062784292675</v>
      </c>
      <c r="AE7875">
        <v>-45.422629999999998</v>
      </c>
      <c r="AF7875">
        <v>36.079514896746197</v>
      </c>
      <c r="AG7875">
        <v>-1.062784292675</v>
      </c>
      <c r="AH7875">
        <v>30.801629288877798</v>
      </c>
      <c r="AI7875">
        <v>91.283389063248407</v>
      </c>
      <c r="AJ7875">
        <v>40.4878885909094</v>
      </c>
      <c r="AK7875">
        <v>47.451040794557301</v>
      </c>
      <c r="AL7875">
        <v>91.461048306165694</v>
      </c>
      <c r="AM7875">
        <v>61.080093630735398</v>
      </c>
      <c r="AN7875">
        <v>1.0000000012947801</v>
      </c>
    </row>
    <row r="7876" spans="1:40" x14ac:dyDescent="0.25">
      <c r="A7876" t="str">
        <f>"20190303153959430"</f>
        <v>20190303153959430</v>
      </c>
      <c r="B7876" t="str">
        <f>"1551598799426350"</f>
        <v>1551598799426350</v>
      </c>
      <c r="C7876" t="s">
        <v>40</v>
      </c>
      <c r="D7876">
        <v>5.0923119999999997</v>
      </c>
      <c r="E7876">
        <v>0.64141800000000004</v>
      </c>
      <c r="F7876" t="s">
        <v>42</v>
      </c>
      <c r="G7876">
        <v>-292.6952</v>
      </c>
      <c r="H7876" s="1">
        <v>-2.075253E-6</v>
      </c>
      <c r="I7876">
        <v>-29.965160000000001</v>
      </c>
      <c r="J7876">
        <v>-306.26740000000001</v>
      </c>
      <c r="K7876">
        <v>1.0627310000000001</v>
      </c>
      <c r="L7876">
        <v>15.96597</v>
      </c>
      <c r="M7876">
        <v>0.91260050000000004</v>
      </c>
      <c r="N7876">
        <v>-1.5645329999999999E-2</v>
      </c>
      <c r="O7876">
        <v>-0.40855320000000001</v>
      </c>
      <c r="P7876">
        <v>0.60127469999999905</v>
      </c>
      <c r="Q7876">
        <v>-2.9465209999999999E-2</v>
      </c>
      <c r="R7876">
        <v>-0.79849919999999996</v>
      </c>
      <c r="S7876">
        <v>0.91433719999999996</v>
      </c>
      <c r="T7876">
        <v>-7.1115730000000002E-2</v>
      </c>
      <c r="U7876">
        <v>-3.0768430000000002</v>
      </c>
      <c r="V7876">
        <v>0.4826725</v>
      </c>
      <c r="W7876">
        <v>-2.60401E-2</v>
      </c>
      <c r="X7876">
        <v>0.87541369999999896</v>
      </c>
      <c r="Y7876">
        <v>0.75817029999999996</v>
      </c>
      <c r="Z7876">
        <v>-1.317778E-2</v>
      </c>
      <c r="AA7876">
        <v>0.65192349999999999</v>
      </c>
      <c r="AB7876">
        <v>19</v>
      </c>
      <c r="AC7876">
        <v>13.5722</v>
      </c>
      <c r="AD7876">
        <v>-1.06273307525299</v>
      </c>
      <c r="AE7876">
        <v>-45.931130000000003</v>
      </c>
      <c r="AF7876">
        <v>36.358354492794597</v>
      </c>
      <c r="AG7876">
        <v>-1.06273307525299</v>
      </c>
      <c r="AH7876">
        <v>31.139785458833099</v>
      </c>
      <c r="AI7876">
        <v>91.27175823636</v>
      </c>
      <c r="AJ7876">
        <v>40.5790137687206</v>
      </c>
      <c r="AK7876">
        <v>47.882622959014199</v>
      </c>
      <c r="AL7876">
        <v>91.492156514279401</v>
      </c>
      <c r="AM7876">
        <v>61.129194501551503</v>
      </c>
      <c r="AN7876">
        <v>0.99999998760597397</v>
      </c>
    </row>
    <row r="7877" spans="1:40" x14ac:dyDescent="0.25">
      <c r="A7877" t="str">
        <f>"20190303153959441"</f>
        <v>20190303153959441</v>
      </c>
      <c r="B7877" t="str">
        <f>"1551598799436618"</f>
        <v>1551598799436618</v>
      </c>
      <c r="C7877" t="s">
        <v>40</v>
      </c>
      <c r="D7877">
        <v>4.8715409999999997</v>
      </c>
      <c r="E7877">
        <v>0.64080809999999999</v>
      </c>
      <c r="F7877" t="s">
        <v>42</v>
      </c>
      <c r="G7877">
        <v>-294.49380000000002</v>
      </c>
      <c r="H7877" s="1">
        <v>-3.6566380000000001E-6</v>
      </c>
      <c r="I7877">
        <v>-24.120239999999999</v>
      </c>
      <c r="J7877">
        <v>-306.17559999999997</v>
      </c>
      <c r="K7877">
        <v>1.0626799999999901</v>
      </c>
      <c r="L7877">
        <v>15.91376</v>
      </c>
      <c r="M7877">
        <v>0.90900060000000005</v>
      </c>
      <c r="N7877">
        <v>-1.5683679999999998E-2</v>
      </c>
      <c r="O7877">
        <v>-0.41649969999999997</v>
      </c>
      <c r="P7877">
        <v>0.5947346</v>
      </c>
      <c r="Q7877">
        <v>-2.9908580000000001E-2</v>
      </c>
      <c r="R7877">
        <v>-0.80336600000000002</v>
      </c>
      <c r="S7877">
        <v>0.9028931</v>
      </c>
      <c r="T7877">
        <v>-8.1498860000000006E-2</v>
      </c>
      <c r="U7877">
        <v>-3.0741269999999998</v>
      </c>
      <c r="V7877">
        <v>0.48215639999999998</v>
      </c>
      <c r="W7877">
        <v>-2.6487070000000001E-2</v>
      </c>
      <c r="X7877">
        <v>0.87568469999999998</v>
      </c>
      <c r="Y7877">
        <v>0.75449519999999903</v>
      </c>
      <c r="Z7877">
        <v>-1.297121E-2</v>
      </c>
      <c r="AA7877">
        <v>0.65617740000000002</v>
      </c>
      <c r="AB7877">
        <v>19</v>
      </c>
      <c r="AC7877">
        <v>11.6817999999999</v>
      </c>
      <c r="AD7877">
        <v>-1.06268365663799</v>
      </c>
      <c r="AE7877">
        <v>-40.033999999999999</v>
      </c>
      <c r="AF7877">
        <v>31.508881237425001</v>
      </c>
      <c r="AG7877">
        <v>-1.06268365663799</v>
      </c>
      <c r="AH7877">
        <v>27.278555959504999</v>
      </c>
      <c r="AI7877">
        <v>91.460634247133797</v>
      </c>
      <c r="AJ7877">
        <v>40.884108448451201</v>
      </c>
      <c r="AK7877">
        <v>41.690028887302098</v>
      </c>
      <c r="AL7877">
        <v>91.517774787499803</v>
      </c>
      <c r="AM7877">
        <v>61.162598368237802</v>
      </c>
      <c r="AN7877">
        <v>1.00000002637611</v>
      </c>
    </row>
    <row r="7878" spans="1:40" x14ac:dyDescent="0.25">
      <c r="A7878" t="str">
        <f>"20190303153959452"</f>
        <v>20190303153959452</v>
      </c>
      <c r="B7878" t="str">
        <f>"1551598799446379"</f>
        <v>1551598799446379</v>
      </c>
      <c r="C7878" t="s">
        <v>40</v>
      </c>
      <c r="D7878">
        <v>5.1180219999999998</v>
      </c>
      <c r="E7878">
        <v>0.63915599999999995</v>
      </c>
      <c r="F7878" t="s">
        <v>42</v>
      </c>
      <c r="G7878">
        <v>-294.6884</v>
      </c>
      <c r="H7878" s="1">
        <v>-3.589804E-6</v>
      </c>
      <c r="I7878">
        <v>-24.19558</v>
      </c>
      <c r="J7878">
        <v>-306.09219999999999</v>
      </c>
      <c r="K7878">
        <v>1.0626389999999999</v>
      </c>
      <c r="L7878">
        <v>15.86572</v>
      </c>
      <c r="M7878">
        <v>0.90564529999999999</v>
      </c>
      <c r="N7878">
        <v>-1.5718449999999998E-2</v>
      </c>
      <c r="O7878">
        <v>-0.42374489999999998</v>
      </c>
      <c r="P7878">
        <v>0.58880200000000005</v>
      </c>
      <c r="Q7878">
        <v>-3.0863120000000001E-2</v>
      </c>
      <c r="R7878">
        <v>-0.80768819999999997</v>
      </c>
      <c r="S7878">
        <v>0.88168329999999995</v>
      </c>
      <c r="T7878">
        <v>-8.1564429999999993E-2</v>
      </c>
      <c r="U7878">
        <v>-3.078522</v>
      </c>
      <c r="V7878">
        <v>0.48155819999999999</v>
      </c>
      <c r="W7878">
        <v>-2.7442029999999999E-2</v>
      </c>
      <c r="X7878">
        <v>0.8759844</v>
      </c>
      <c r="Y7878">
        <v>0.75367959999999901</v>
      </c>
      <c r="Z7878">
        <v>-1.283839E-2</v>
      </c>
      <c r="AA7878">
        <v>0.6571167</v>
      </c>
      <c r="AB7878">
        <v>19</v>
      </c>
      <c r="AC7878">
        <v>11.403799999999899</v>
      </c>
      <c r="AD7878">
        <v>-1.0626425898039999</v>
      </c>
      <c r="AE7878">
        <v>-40.061300000000003</v>
      </c>
      <c r="AF7878">
        <v>31.432450218593601</v>
      </c>
      <c r="AG7878">
        <v>-1.0626425898039999</v>
      </c>
      <c r="AH7878">
        <v>27.289178620686499</v>
      </c>
      <c r="AI7878">
        <v>91.462359232599496</v>
      </c>
      <c r="AJ7878">
        <v>40.964021973509901</v>
      </c>
      <c r="AK7878">
        <v>41.639253185062799</v>
      </c>
      <c r="AL7878">
        <v>91.572509882659702</v>
      </c>
      <c r="AM7878">
        <v>61.200919122105901</v>
      </c>
      <c r="AN7878">
        <v>1.0000000170205601</v>
      </c>
    </row>
    <row r="7879" spans="1:40" x14ac:dyDescent="0.25">
      <c r="A7879" t="str">
        <f>"20190303153959463"</f>
        <v>20190303153959463</v>
      </c>
      <c r="B7879" t="str">
        <f>"1551598799456138"</f>
        <v>1551598799456138</v>
      </c>
      <c r="C7879" t="s">
        <v>40</v>
      </c>
      <c r="D7879">
        <v>5.1419030000000001</v>
      </c>
      <c r="E7879">
        <v>0.63762890000000005</v>
      </c>
      <c r="F7879" t="s">
        <v>42</v>
      </c>
      <c r="G7879">
        <v>-296.35019999999997</v>
      </c>
      <c r="H7879" s="1">
        <v>-1.5679679999999901E-6</v>
      </c>
      <c r="I7879">
        <v>-18.59808</v>
      </c>
      <c r="J7879">
        <v>-306.00310000000002</v>
      </c>
      <c r="K7879">
        <v>1.0625899999999999</v>
      </c>
      <c r="L7879">
        <v>15.813140000000001</v>
      </c>
      <c r="M7879">
        <v>0.90193829999999997</v>
      </c>
      <c r="N7879">
        <v>-1.5756530000000001E-2</v>
      </c>
      <c r="O7879">
        <v>-0.43157770000000001</v>
      </c>
      <c r="P7879">
        <v>0.58211499999999905</v>
      </c>
      <c r="Q7879">
        <v>-3.185619E-2</v>
      </c>
      <c r="R7879">
        <v>-0.81248219999999904</v>
      </c>
      <c r="S7879">
        <v>0.86968989999999902</v>
      </c>
      <c r="T7879">
        <v>-9.4864249999999997E-2</v>
      </c>
      <c r="U7879">
        <v>-3.07666</v>
      </c>
      <c r="V7879">
        <v>0.48113909999999999</v>
      </c>
      <c r="W7879">
        <v>-2.8442479999999999E-2</v>
      </c>
      <c r="X7879">
        <v>0.87618269999999998</v>
      </c>
      <c r="Y7879">
        <v>0.75017149999999999</v>
      </c>
      <c r="Z7879">
        <v>-1.250384E-2</v>
      </c>
      <c r="AA7879">
        <v>0.66112510000000002</v>
      </c>
      <c r="AB7879">
        <v>19</v>
      </c>
      <c r="AC7879">
        <v>9.6529000000000398</v>
      </c>
      <c r="AD7879">
        <v>-1.062591567968</v>
      </c>
      <c r="AE7879">
        <v>-34.41122</v>
      </c>
      <c r="AF7879">
        <v>26.8504184857612</v>
      </c>
      <c r="AG7879">
        <v>-1.062591567968</v>
      </c>
      <c r="AH7879">
        <v>23.539548774284999</v>
      </c>
      <c r="AI7879">
        <v>91.704497379003001</v>
      </c>
      <c r="AJ7879">
        <v>41.240787784292102</v>
      </c>
      <c r="AK7879">
        <v>35.723723632871298</v>
      </c>
      <c r="AL7879">
        <v>91.629853920456398</v>
      </c>
      <c r="AM7879">
        <v>61.227445903425398</v>
      </c>
      <c r="AN7879">
        <v>0.99999996599832397</v>
      </c>
    </row>
    <row r="7880" spans="1:40" x14ac:dyDescent="0.25">
      <c r="A7880" t="str">
        <f>"20190303153959474"</f>
        <v>20190303153959474</v>
      </c>
      <c r="B7880" t="str">
        <f>"1551598799465899"</f>
        <v>1551598799465899</v>
      </c>
      <c r="C7880" t="s">
        <v>40</v>
      </c>
      <c r="D7880">
        <v>4.8888059999999998</v>
      </c>
      <c r="E7880">
        <v>0.63715339999999998</v>
      </c>
      <c r="F7880" t="s">
        <v>42</v>
      </c>
      <c r="G7880">
        <v>-297.53820000000002</v>
      </c>
      <c r="H7880" s="1">
        <v>-2.8744540000000002E-6</v>
      </c>
      <c r="I7880">
        <v>-14.684699999999999</v>
      </c>
      <c r="J7880">
        <v>-305.92410000000001</v>
      </c>
      <c r="K7880">
        <v>1.0625519999999999</v>
      </c>
      <c r="L7880">
        <v>15.76559</v>
      </c>
      <c r="M7880">
        <v>0.89855180000000001</v>
      </c>
      <c r="N7880">
        <v>-1.5790809999999999E-2</v>
      </c>
      <c r="O7880">
        <v>-0.43858330000000001</v>
      </c>
      <c r="P7880">
        <v>0.57566519999999899</v>
      </c>
      <c r="Q7880">
        <v>-3.2859399999999997E-2</v>
      </c>
      <c r="R7880">
        <v>-0.817025</v>
      </c>
      <c r="S7880">
        <v>0.85388180000000002</v>
      </c>
      <c r="T7880">
        <v>-0.1071872</v>
      </c>
      <c r="U7880">
        <v>-3.076416</v>
      </c>
      <c r="V7880">
        <v>0.48119650000000003</v>
      </c>
      <c r="W7880">
        <v>-2.9466860000000001E-2</v>
      </c>
      <c r="X7880">
        <v>0.87611729999999999</v>
      </c>
      <c r="Y7880">
        <v>0.74809309999999996</v>
      </c>
      <c r="Z7880">
        <v>-1.215452E-2</v>
      </c>
      <c r="AA7880">
        <v>0.66348240000000003</v>
      </c>
      <c r="AB7880">
        <v>19</v>
      </c>
      <c r="AC7880">
        <v>8.3858999999999906</v>
      </c>
      <c r="AD7880">
        <v>-1.0625548744540001</v>
      </c>
      <c r="AE7880">
        <v>-30.450289999999999</v>
      </c>
      <c r="AF7880">
        <v>23.659422666279699</v>
      </c>
      <c r="AG7880">
        <v>-1.0625548744540001</v>
      </c>
      <c r="AH7880">
        <v>20.8691394405244</v>
      </c>
      <c r="AI7880">
        <v>91.929013226250603</v>
      </c>
      <c r="AJ7880">
        <v>41.414375742522999</v>
      </c>
      <c r="AK7880">
        <v>31.566093910253599</v>
      </c>
      <c r="AL7880">
        <v>91.6885712290768</v>
      </c>
      <c r="AM7880">
        <v>61.222757503499601</v>
      </c>
      <c r="AN7880">
        <v>0.99999994540489801</v>
      </c>
    </row>
    <row r="7881" spans="1:40" x14ac:dyDescent="0.25">
      <c r="A7881" t="str">
        <f>"20190303153959486"</f>
        <v>20190303153959486</v>
      </c>
      <c r="B7881" t="str">
        <f>"1551598799476634"</f>
        <v>1551598799476634</v>
      </c>
      <c r="C7881" t="s">
        <v>40</v>
      </c>
      <c r="D7881">
        <v>5.0733860000000002</v>
      </c>
      <c r="E7881">
        <v>0.6365307</v>
      </c>
      <c r="F7881" t="s">
        <v>42</v>
      </c>
      <c r="G7881">
        <v>-297.85329999999999</v>
      </c>
      <c r="H7881" s="1">
        <v>-3.0691489999999998E-6</v>
      </c>
      <c r="I7881">
        <v>-14.100569999999999</v>
      </c>
      <c r="J7881">
        <v>-305.8349</v>
      </c>
      <c r="K7881">
        <v>1.062503</v>
      </c>
      <c r="L7881">
        <v>15.71088</v>
      </c>
      <c r="M7881">
        <v>0.89461299999999899</v>
      </c>
      <c r="N7881">
        <v>-1.5830029999999998E-2</v>
      </c>
      <c r="O7881">
        <v>-0.4465614</v>
      </c>
      <c r="P7881">
        <v>0.56845809999999997</v>
      </c>
      <c r="Q7881">
        <v>-3.3389519999999999E-2</v>
      </c>
      <c r="R7881">
        <v>-0.82203479999999995</v>
      </c>
      <c r="S7881">
        <v>0.83255000000000001</v>
      </c>
      <c r="T7881">
        <v>-0.1096089</v>
      </c>
      <c r="U7881">
        <v>-3.0808719999999998</v>
      </c>
      <c r="V7881">
        <v>0.48107169999999999</v>
      </c>
      <c r="W7881">
        <v>-3.001647E-2</v>
      </c>
      <c r="X7881">
        <v>0.87616719999999904</v>
      </c>
      <c r="Y7881">
        <v>0.74669919999999901</v>
      </c>
      <c r="Z7881">
        <v>-1.186772E-2</v>
      </c>
      <c r="AA7881">
        <v>0.66505609999999904</v>
      </c>
      <c r="AB7881">
        <v>19</v>
      </c>
      <c r="AC7881">
        <v>7.98160000000001</v>
      </c>
      <c r="AD7881">
        <v>-1.062506069149</v>
      </c>
      <c r="AE7881">
        <v>-29.811450000000001</v>
      </c>
      <c r="AF7881">
        <v>23.0809726910542</v>
      </c>
      <c r="AG7881">
        <v>-1.062506069149</v>
      </c>
      <c r="AH7881">
        <v>20.431430664839699</v>
      </c>
      <c r="AI7881">
        <v>91.974151239298294</v>
      </c>
      <c r="AJ7881">
        <v>41.515467851440803</v>
      </c>
      <c r="AK7881">
        <v>30.8432096015366</v>
      </c>
      <c r="AL7881">
        <v>91.720075466578194</v>
      </c>
      <c r="AM7881">
        <v>61.230404727026297</v>
      </c>
      <c r="AN7881">
        <v>0.99999996568399396</v>
      </c>
    </row>
    <row r="7882" spans="1:40" x14ac:dyDescent="0.25">
      <c r="A7882" t="str">
        <f>"20190303153959498"</f>
        <v>20190303153959498</v>
      </c>
      <c r="B7882" t="str">
        <f>"1551598799486395"</f>
        <v>1551598799486395</v>
      </c>
      <c r="C7882" t="s">
        <v>40</v>
      </c>
      <c r="D7882">
        <v>4.8090659999999996</v>
      </c>
      <c r="E7882">
        <v>0.6365307</v>
      </c>
      <c r="F7882" t="s">
        <v>42</v>
      </c>
      <c r="G7882">
        <v>-298.11059999999998</v>
      </c>
      <c r="H7882" s="1">
        <v>-3.183551E-6</v>
      </c>
      <c r="I7882">
        <v>-13.727499999999999</v>
      </c>
      <c r="J7882">
        <v>-305.75139999999999</v>
      </c>
      <c r="K7882">
        <v>1.0624530000000001</v>
      </c>
      <c r="L7882">
        <v>15.658390000000001</v>
      </c>
      <c r="M7882">
        <v>0.89079940000000002</v>
      </c>
      <c r="N7882">
        <v>-1.5867650000000001E-2</v>
      </c>
      <c r="O7882">
        <v>-0.45411980000000002</v>
      </c>
      <c r="P7882">
        <v>0.5614924</v>
      </c>
      <c r="Q7882">
        <v>-3.351523E-2</v>
      </c>
      <c r="R7882">
        <v>-0.82680330000000002</v>
      </c>
      <c r="S7882">
        <v>0.80950929999999999</v>
      </c>
      <c r="T7882">
        <v>-0.1113518</v>
      </c>
      <c r="U7882">
        <v>-3.085175</v>
      </c>
      <c r="V7882">
        <v>0.48104590000000003</v>
      </c>
      <c r="W7882">
        <v>-3.016551E-2</v>
      </c>
      <c r="X7882">
        <v>0.87617630000000002</v>
      </c>
      <c r="Y7882">
        <v>0.74593290000000001</v>
      </c>
      <c r="Z7882">
        <v>-1.16119E-2</v>
      </c>
      <c r="AA7882">
        <v>0.66591999999999996</v>
      </c>
      <c r="AB7882">
        <v>19</v>
      </c>
      <c r="AC7882">
        <v>7.6408000000000103</v>
      </c>
      <c r="AD7882">
        <v>-1.062456183551</v>
      </c>
      <c r="AE7882">
        <v>-29.38589</v>
      </c>
      <c r="AF7882">
        <v>22.682179473006698</v>
      </c>
      <c r="AG7882">
        <v>-1.062456183551</v>
      </c>
      <c r="AH7882">
        <v>20.1290239079493</v>
      </c>
      <c r="AI7882">
        <v>92.0065162694045</v>
      </c>
      <c r="AJ7882">
        <v>41.587062070593298</v>
      </c>
      <c r="AK7882">
        <v>30.344483555902698</v>
      </c>
      <c r="AL7882">
        <v>91.728618617953998</v>
      </c>
      <c r="AM7882">
        <v>61.231952132548997</v>
      </c>
      <c r="AN7882">
        <v>1.00000001229103</v>
      </c>
    </row>
    <row r="7883" spans="1:40" x14ac:dyDescent="0.25">
      <c r="A7883" t="str">
        <f>"20190303153959510"</f>
        <v>20190303153959510</v>
      </c>
      <c r="B7883" t="str">
        <f>"1551598799505914"</f>
        <v>1551598799505914</v>
      </c>
      <c r="C7883" t="s">
        <v>40</v>
      </c>
      <c r="D7883">
        <v>4.7809850000000003</v>
      </c>
      <c r="E7883">
        <v>0.66514189999999995</v>
      </c>
      <c r="F7883" t="s">
        <v>42</v>
      </c>
      <c r="G7883">
        <v>-298.36130000000003</v>
      </c>
      <c r="H7883" s="1">
        <v>-3.2318510000000001E-6</v>
      </c>
      <c r="I7883">
        <v>-13.51126</v>
      </c>
      <c r="J7883">
        <v>-305.6542</v>
      </c>
      <c r="K7883">
        <v>1.062392</v>
      </c>
      <c r="L7883">
        <v>15.596310000000001</v>
      </c>
      <c r="M7883">
        <v>0.88623259999999904</v>
      </c>
      <c r="N7883">
        <v>-1.5911359999999999E-2</v>
      </c>
      <c r="O7883">
        <v>-0.46296720000000002</v>
      </c>
      <c r="P7883">
        <v>0.55341589999999996</v>
      </c>
      <c r="Q7883">
        <v>-3.3613990000000003E-2</v>
      </c>
      <c r="R7883">
        <v>-0.83222659999999904</v>
      </c>
      <c r="S7883">
        <v>0.78332519999999894</v>
      </c>
      <c r="T7883">
        <v>-0.11261690000000001</v>
      </c>
      <c r="U7883">
        <v>-3.091888</v>
      </c>
      <c r="V7883">
        <v>0.48084270000000001</v>
      </c>
      <c r="W7883">
        <v>-3.0288269999999999E-2</v>
      </c>
      <c r="X7883">
        <v>0.87628359999999905</v>
      </c>
      <c r="Y7883">
        <v>0.74494189999999905</v>
      </c>
      <c r="Z7883">
        <v>-1.131037E-2</v>
      </c>
      <c r="AA7883">
        <v>0.66703349999999995</v>
      </c>
      <c r="AB7883">
        <v>19</v>
      </c>
      <c r="AC7883">
        <v>7.2928999999999702</v>
      </c>
      <c r="AD7883">
        <v>-1.0623952318509999</v>
      </c>
      <c r="AE7883">
        <v>-29.107569999999999</v>
      </c>
      <c r="AF7883">
        <v>22.394471148588401</v>
      </c>
      <c r="AG7883">
        <v>-1.0623952318509999</v>
      </c>
      <c r="AH7883">
        <v>19.916615016401</v>
      </c>
      <c r="AI7883">
        <v>92.030225590282399</v>
      </c>
      <c r="AJ7883">
        <v>41.648426131451899</v>
      </c>
      <c r="AK7883">
        <v>29.988540734173</v>
      </c>
      <c r="AL7883">
        <v>91.735655459261196</v>
      </c>
      <c r="AM7883">
        <v>61.245122442134502</v>
      </c>
      <c r="AN7883">
        <v>1.00000001453592</v>
      </c>
    </row>
    <row r="7884" spans="1:40" x14ac:dyDescent="0.25">
      <c r="A7884" t="str">
        <f>"20190303153959523"</f>
        <v>20190303153959523</v>
      </c>
      <c r="B7884" t="str">
        <f>"1551598799516650"</f>
        <v>1551598799516650</v>
      </c>
      <c r="C7884" t="s">
        <v>40</v>
      </c>
      <c r="D7884">
        <v>4.7986849999999999</v>
      </c>
      <c r="E7884">
        <v>0.66467129999999996</v>
      </c>
      <c r="F7884" t="s">
        <v>83</v>
      </c>
      <c r="G7884">
        <v>-286.8186</v>
      </c>
      <c r="H7884">
        <v>2.9454820000000002</v>
      </c>
      <c r="I7884">
        <v>-91.564989999999995</v>
      </c>
      <c r="J7884">
        <v>-305.55990000000003</v>
      </c>
      <c r="K7884">
        <v>1.0623339999999999</v>
      </c>
      <c r="L7884">
        <v>15.534179999999999</v>
      </c>
      <c r="M7884">
        <v>0.88161929999999999</v>
      </c>
      <c r="N7884">
        <v>-1.5955299999999999E-2</v>
      </c>
      <c r="O7884">
        <v>-0.47169169999999999</v>
      </c>
      <c r="P7884">
        <v>0.5457999</v>
      </c>
      <c r="Q7884">
        <v>-3.3401359999999998E-2</v>
      </c>
      <c r="R7884">
        <v>-0.83724979999999904</v>
      </c>
      <c r="S7884">
        <v>0.56765750000000004</v>
      </c>
      <c r="T7884">
        <v>5.6752200000000003E-2</v>
      </c>
      <c r="U7884">
        <v>-3.229584</v>
      </c>
      <c r="V7884">
        <v>0.4801976</v>
      </c>
      <c r="W7884">
        <v>-3.008773E-2</v>
      </c>
      <c r="X7884">
        <v>0.87664409999999904</v>
      </c>
      <c r="Y7884">
        <v>0.7868001</v>
      </c>
      <c r="Z7884">
        <v>-1.510941E-2</v>
      </c>
      <c r="AA7884">
        <v>0.61702299999999999</v>
      </c>
      <c r="AB7884">
        <v>19</v>
      </c>
      <c r="AC7884">
        <v>18.741299999999999</v>
      </c>
      <c r="AD7884">
        <v>1.883148</v>
      </c>
      <c r="AE7884">
        <v>-107.09917</v>
      </c>
      <c r="AF7884">
        <v>85.565797082752795</v>
      </c>
      <c r="AG7884">
        <v>1.883148</v>
      </c>
      <c r="AH7884">
        <v>67.028901284171596</v>
      </c>
      <c r="AI7884">
        <v>89.007436765330098</v>
      </c>
      <c r="AJ7884">
        <v>38.0737613034756</v>
      </c>
      <c r="AK7884">
        <v>108.710282329501</v>
      </c>
      <c r="AL7884">
        <v>91.7241602492319</v>
      </c>
      <c r="AM7884">
        <v>61.287481681367296</v>
      </c>
      <c r="AN7884">
        <v>0.99999994230355904</v>
      </c>
    </row>
    <row r="7885" spans="1:40" x14ac:dyDescent="0.25">
      <c r="A7885" t="str">
        <f>"20190303153959534"</f>
        <v>20190303153959534</v>
      </c>
      <c r="B7885" t="str">
        <f>"1551598799526410"</f>
        <v>1551598799526410</v>
      </c>
      <c r="C7885" t="s">
        <v>40</v>
      </c>
      <c r="D7885">
        <v>4.761393</v>
      </c>
      <c r="E7885">
        <v>0.66454650000000004</v>
      </c>
      <c r="F7885" t="s">
        <v>83</v>
      </c>
      <c r="G7885">
        <v>-287.62630000000001</v>
      </c>
      <c r="H7885">
        <v>2.9554499999999999</v>
      </c>
      <c r="I7885">
        <v>-91.564989999999995</v>
      </c>
      <c r="J7885">
        <v>-305.47890000000001</v>
      </c>
      <c r="K7885">
        <v>1.0622819999999999</v>
      </c>
      <c r="L7885">
        <v>15.4798299999999</v>
      </c>
      <c r="M7885">
        <v>0.87753519999999896</v>
      </c>
      <c r="N7885">
        <v>-1.5993210000000001E-2</v>
      </c>
      <c r="O7885">
        <v>-0.47924549999999999</v>
      </c>
      <c r="P7885">
        <v>0.53910619999999998</v>
      </c>
      <c r="Q7885">
        <v>-3.3065129999999998E-2</v>
      </c>
      <c r="R7885">
        <v>-0.84158869999999897</v>
      </c>
      <c r="S7885">
        <v>0.5412903</v>
      </c>
      <c r="T7885">
        <v>5.7140349999999999E-2</v>
      </c>
      <c r="U7885">
        <v>-3.2325740000000001</v>
      </c>
      <c r="V7885">
        <v>0.47967589999999999</v>
      </c>
      <c r="W7885">
        <v>-2.976235E-2</v>
      </c>
      <c r="X7885">
        <v>0.87694079999999996</v>
      </c>
      <c r="Y7885">
        <v>0.78648640000000003</v>
      </c>
      <c r="Z7885">
        <v>-1.5404670000000001E-2</v>
      </c>
      <c r="AA7885">
        <v>0.61741539999999995</v>
      </c>
      <c r="AB7885">
        <v>19</v>
      </c>
      <c r="AC7885">
        <v>17.852599999999899</v>
      </c>
      <c r="AD7885">
        <v>1.893168</v>
      </c>
      <c r="AE7885">
        <v>-107.04482</v>
      </c>
      <c r="AF7885">
        <v>85.364759912762096</v>
      </c>
      <c r="AG7885">
        <v>1.893168</v>
      </c>
      <c r="AH7885">
        <v>66.955221463965898</v>
      </c>
      <c r="AI7885">
        <v>89.000283580982</v>
      </c>
      <c r="AJ7885">
        <v>38.108602706012597</v>
      </c>
      <c r="AK7885">
        <v>108.506810852261</v>
      </c>
      <c r="AL7885">
        <v>91.705508952820495</v>
      </c>
      <c r="AM7885">
        <v>61.3218796372757</v>
      </c>
      <c r="AN7885">
        <v>0.99999996661148505</v>
      </c>
    </row>
    <row r="7886" spans="1:40" x14ac:dyDescent="0.25">
      <c r="A7886" t="str">
        <f>"20190303153959546"</f>
        <v>20190303153959546</v>
      </c>
      <c r="B7886" t="str">
        <f>"1551598799536678"</f>
        <v>1551598799536678</v>
      </c>
      <c r="C7886" t="s">
        <v>40</v>
      </c>
      <c r="D7886">
        <v>4.8133670000000004</v>
      </c>
      <c r="E7886">
        <v>0.66365369999999901</v>
      </c>
      <c r="F7886" t="s">
        <v>83</v>
      </c>
      <c r="G7886">
        <v>-288.40370000000001</v>
      </c>
      <c r="H7886">
        <v>2.9736370000000001</v>
      </c>
      <c r="I7886">
        <v>-91.564989999999995</v>
      </c>
      <c r="J7886">
        <v>-305.38709999999998</v>
      </c>
      <c r="K7886">
        <v>1.0622229999999999</v>
      </c>
      <c r="L7886">
        <v>15.41705</v>
      </c>
      <c r="M7886">
        <v>0.87277109999999902</v>
      </c>
      <c r="N7886">
        <v>-1.6036459999999999E-2</v>
      </c>
      <c r="O7886">
        <v>-0.48786659999999998</v>
      </c>
      <c r="P7886">
        <v>0.53175810000000001</v>
      </c>
      <c r="Q7886">
        <v>-3.29384E-2</v>
      </c>
      <c r="R7886">
        <v>-0.8462558</v>
      </c>
      <c r="S7886">
        <v>0.51623540000000001</v>
      </c>
      <c r="T7886">
        <v>5.7786579999999997E-2</v>
      </c>
      <c r="U7886">
        <v>-3.2362980000000001</v>
      </c>
      <c r="V7886">
        <v>0.47867690000000002</v>
      </c>
      <c r="W7886">
        <v>-2.963466E-2</v>
      </c>
      <c r="X7886">
        <v>0.87749089999999996</v>
      </c>
      <c r="Y7886">
        <v>0.78517300000000001</v>
      </c>
      <c r="Z7886">
        <v>-1.575004E-2</v>
      </c>
      <c r="AA7886">
        <v>0.61907619999999997</v>
      </c>
      <c r="AB7886">
        <v>19</v>
      </c>
      <c r="AC7886">
        <v>16.9833999999999</v>
      </c>
      <c r="AD7886">
        <v>1.9114139999999999</v>
      </c>
      <c r="AE7886">
        <v>-106.982039999999</v>
      </c>
      <c r="AF7886">
        <v>85.069637393837297</v>
      </c>
      <c r="AG7886">
        <v>1.9114139999999999</v>
      </c>
      <c r="AH7886">
        <v>67.003327948807097</v>
      </c>
      <c r="AI7886">
        <v>88.988765220896099</v>
      </c>
      <c r="AJ7886">
        <v>38.224999805007897</v>
      </c>
      <c r="AK7886">
        <v>108.304859844855</v>
      </c>
      <c r="AL7886">
        <v>91.698189512110702</v>
      </c>
      <c r="AM7886">
        <v>61.387250691634598</v>
      </c>
      <c r="AN7886">
        <v>1.00000003362486</v>
      </c>
    </row>
    <row r="7887" spans="1:40" x14ac:dyDescent="0.25">
      <c r="A7887" t="str">
        <f>"20190303153959558"</f>
        <v>20190303153959558</v>
      </c>
      <c r="B7887" t="str">
        <f>"1551598799556201"</f>
        <v>1551598799556201</v>
      </c>
      <c r="C7887" t="s">
        <v>40</v>
      </c>
      <c r="D7887">
        <v>5.232246</v>
      </c>
      <c r="E7887">
        <v>0.62664469999999906</v>
      </c>
      <c r="F7887" t="s">
        <v>83</v>
      </c>
      <c r="G7887">
        <v>-289.05329999999998</v>
      </c>
      <c r="H7887">
        <v>2.9098489999999999</v>
      </c>
      <c r="I7887">
        <v>-91.564989999999995</v>
      </c>
      <c r="J7887">
        <v>-305.30439999999999</v>
      </c>
      <c r="K7887">
        <v>1.0621769999999999</v>
      </c>
      <c r="L7887">
        <v>15.35876</v>
      </c>
      <c r="M7887">
        <v>0.86830869999999905</v>
      </c>
      <c r="N7887">
        <v>-1.6076380000000001E-2</v>
      </c>
      <c r="O7887">
        <v>-0.49576360000000003</v>
      </c>
      <c r="P7887">
        <v>0.52531079999999997</v>
      </c>
      <c r="Q7887">
        <v>-3.2701470000000003E-2</v>
      </c>
      <c r="R7887">
        <v>-0.85028179999999998</v>
      </c>
      <c r="S7887">
        <v>0.49417109999999898</v>
      </c>
      <c r="T7887">
        <v>5.5899499999999998E-2</v>
      </c>
      <c r="U7887">
        <v>-3.236694</v>
      </c>
      <c r="V7887">
        <v>0.47739680000000001</v>
      </c>
      <c r="W7887">
        <v>-2.9383090000000001E-2</v>
      </c>
      <c r="X7887">
        <v>0.87819639999999999</v>
      </c>
      <c r="Y7887">
        <v>0.78368199999999999</v>
      </c>
      <c r="Z7887">
        <v>-1.601551E-2</v>
      </c>
      <c r="AA7887">
        <v>0.62095579999999995</v>
      </c>
      <c r="AB7887">
        <v>19</v>
      </c>
      <c r="AC7887">
        <v>16.251100000000001</v>
      </c>
      <c r="AD7887">
        <v>1.847672</v>
      </c>
      <c r="AE7887">
        <v>-106.92375</v>
      </c>
      <c r="AF7887">
        <v>84.7723351751428</v>
      </c>
      <c r="AG7887">
        <v>1.847672</v>
      </c>
      <c r="AH7887">
        <v>67.108963325463407</v>
      </c>
      <c r="AI7887">
        <v>89.020963928427193</v>
      </c>
      <c r="AJ7887">
        <v>38.366459676790399</v>
      </c>
      <c r="AK7887">
        <v>108.13591291279999</v>
      </c>
      <c r="AL7887">
        <v>91.683769400656303</v>
      </c>
      <c r="AM7887">
        <v>61.471031814912799</v>
      </c>
      <c r="AN7887">
        <v>0.99999999380057403</v>
      </c>
    </row>
    <row r="7888" spans="1:40" x14ac:dyDescent="0.25">
      <c r="A7888" t="str">
        <f>"20190303153959571"</f>
        <v>20190303153959571</v>
      </c>
      <c r="B7888" t="str">
        <f>"1551598799565959"</f>
        <v>1551598799565959</v>
      </c>
      <c r="C7888" t="s">
        <v>40</v>
      </c>
      <c r="D7888">
        <v>5.2649879999999998</v>
      </c>
      <c r="E7888">
        <v>0.62657039999999997</v>
      </c>
      <c r="F7888" t="s">
        <v>43</v>
      </c>
      <c r="G7888">
        <v>-302.96609999999998</v>
      </c>
      <c r="H7888">
        <v>-0.05</v>
      </c>
      <c r="I7888">
        <v>5.2367860000000004</v>
      </c>
      <c r="J7888">
        <v>-305.21690000000001</v>
      </c>
      <c r="K7888">
        <v>1.0621259999999999</v>
      </c>
      <c r="L7888">
        <v>15.29636</v>
      </c>
      <c r="M7888">
        <v>0.86347099999999899</v>
      </c>
      <c r="N7888">
        <v>-1.6118250000000001E-2</v>
      </c>
      <c r="O7888">
        <v>-0.5041409</v>
      </c>
      <c r="P7888">
        <v>0.51803149999999998</v>
      </c>
      <c r="Q7888">
        <v>-3.2703830000000003E-2</v>
      </c>
      <c r="R7888">
        <v>-0.854736099999999</v>
      </c>
      <c r="S7888">
        <v>0.71063229999999999</v>
      </c>
      <c r="T7888">
        <v>-0.33800849999999999</v>
      </c>
      <c r="U7888">
        <v>-3.0762330000000002</v>
      </c>
      <c r="V7888">
        <v>0.47639609999999899</v>
      </c>
      <c r="W7888">
        <v>-2.93811E-2</v>
      </c>
      <c r="X7888">
        <v>0.87873969999999901</v>
      </c>
      <c r="Y7888">
        <v>0.7257034</v>
      </c>
      <c r="Z7888" s="1">
        <v>8.4932890000000001E-5</v>
      </c>
      <c r="AA7888">
        <v>0.68800779999999995</v>
      </c>
      <c r="AB7888">
        <v>19</v>
      </c>
      <c r="AC7888">
        <v>2.2508000000000199</v>
      </c>
      <c r="AD7888">
        <v>-1.1121259999999999</v>
      </c>
      <c r="AE7888">
        <v>-10.059574</v>
      </c>
      <c r="AF7888">
        <v>7.4655164240121099</v>
      </c>
      <c r="AG7888">
        <v>-1.1121259999999999</v>
      </c>
      <c r="AH7888">
        <v>6.9351332420939302</v>
      </c>
      <c r="AI7888">
        <v>96.228731039960394</v>
      </c>
      <c r="AJ7888">
        <v>42.890720967321897</v>
      </c>
      <c r="AK7888">
        <v>10.2502113540486</v>
      </c>
      <c r="AL7888">
        <v>91.683655361531095</v>
      </c>
      <c r="AM7888">
        <v>61.536301135681299</v>
      </c>
      <c r="AN7888">
        <v>0.999999976744254</v>
      </c>
    </row>
    <row r="7889" spans="1:40" x14ac:dyDescent="0.25">
      <c r="A7889" t="str">
        <f>"20190303153959585"</f>
        <v>20190303153959585</v>
      </c>
      <c r="B7889" t="str">
        <f>"1551598799576697"</f>
        <v>1551598799576697</v>
      </c>
      <c r="C7889" t="s">
        <v>40</v>
      </c>
      <c r="D7889">
        <v>5.2060409999999999</v>
      </c>
      <c r="E7889">
        <v>0.62690469999999998</v>
      </c>
      <c r="F7889" t="s">
        <v>43</v>
      </c>
      <c r="G7889">
        <v>-302.92380000000003</v>
      </c>
      <c r="H7889">
        <v>-0.05</v>
      </c>
      <c r="I7889">
        <v>4.9756320000000001</v>
      </c>
      <c r="J7889">
        <v>-305.11410000000001</v>
      </c>
      <c r="K7889">
        <v>1.062071</v>
      </c>
      <c r="L7889">
        <v>15.22076</v>
      </c>
      <c r="M7889">
        <v>0.85755429999999999</v>
      </c>
      <c r="N7889">
        <v>-1.6168720000000001E-2</v>
      </c>
      <c r="O7889">
        <v>-0.51413920000000002</v>
      </c>
      <c r="P7889">
        <v>0.50928209999999996</v>
      </c>
      <c r="Q7889">
        <v>-3.2671279999999997E-2</v>
      </c>
      <c r="R7889">
        <v>-0.85997939999999995</v>
      </c>
      <c r="S7889">
        <v>0.6847839</v>
      </c>
      <c r="T7889">
        <v>-0.332119</v>
      </c>
      <c r="U7889">
        <v>-3.0821230000000002</v>
      </c>
      <c r="V7889">
        <v>0.47515220000000002</v>
      </c>
      <c r="W7889">
        <v>-2.933871E-2</v>
      </c>
      <c r="X7889">
        <v>0.87941429999999998</v>
      </c>
      <c r="Y7889">
        <v>0.72359569999999995</v>
      </c>
      <c r="Z7889">
        <v>1.1787410000000001E-3</v>
      </c>
      <c r="AA7889">
        <v>0.69022320000000004</v>
      </c>
      <c r="AB7889">
        <v>19</v>
      </c>
      <c r="AC7889">
        <v>2.1902999999999802</v>
      </c>
      <c r="AD7889">
        <v>-1.11207099999999</v>
      </c>
      <c r="AE7889">
        <v>-10.245127999999999</v>
      </c>
      <c r="AF7889">
        <v>7.57528304587166</v>
      </c>
      <c r="AG7889">
        <v>-1.11207099999999</v>
      </c>
      <c r="AH7889">
        <v>7.0670310919501604</v>
      </c>
      <c r="AI7889">
        <v>96.126876766161303</v>
      </c>
      <c r="AJ7889">
        <v>43.011994241200902</v>
      </c>
      <c r="AK7889">
        <v>10.4194310587815</v>
      </c>
      <c r="AL7889">
        <v>91.681225604233603</v>
      </c>
      <c r="AM7889">
        <v>61.617412594430803</v>
      </c>
      <c r="AN7889">
        <v>0.99999994205689502</v>
      </c>
    </row>
    <row r="7890" spans="1:40" x14ac:dyDescent="0.25">
      <c r="A7890" t="str">
        <f>"20190303153959598"</f>
        <v>20190303153959598</v>
      </c>
      <c r="B7890" t="str">
        <f>"1551598799586455"</f>
        <v>1551598799586455</v>
      </c>
      <c r="C7890" t="s">
        <v>40</v>
      </c>
      <c r="D7890">
        <v>4.830781</v>
      </c>
      <c r="E7890">
        <v>0.62690469999999998</v>
      </c>
      <c r="F7890" t="s">
        <v>43</v>
      </c>
      <c r="G7890">
        <v>-302.87950000000001</v>
      </c>
      <c r="H7890">
        <v>-0.05</v>
      </c>
      <c r="I7890">
        <v>4.6104430000000001</v>
      </c>
      <c r="J7890">
        <v>-305.02719999999999</v>
      </c>
      <c r="K7890">
        <v>1.0620339999999999</v>
      </c>
      <c r="L7890">
        <v>15.15521</v>
      </c>
      <c r="M7890">
        <v>0.85236579999999995</v>
      </c>
      <c r="N7890">
        <v>-1.6211610000000001E-2</v>
      </c>
      <c r="O7890">
        <v>-0.52269500000000002</v>
      </c>
      <c r="P7890">
        <v>0.50372839999999997</v>
      </c>
      <c r="Q7890">
        <v>-3.2625410000000001E-2</v>
      </c>
      <c r="R7890">
        <v>-0.86324609999999902</v>
      </c>
      <c r="S7890">
        <v>0.65093990000000002</v>
      </c>
      <c r="T7890">
        <v>-0.32393369999999999</v>
      </c>
      <c r="U7890">
        <v>-3.090668</v>
      </c>
      <c r="V7890">
        <v>0.47201969999999999</v>
      </c>
      <c r="W7890">
        <v>-2.9214150000000001E-2</v>
      </c>
      <c r="X7890">
        <v>0.88110379999999999</v>
      </c>
      <c r="Y7890">
        <v>0.72441690000000003</v>
      </c>
      <c r="Z7890">
        <v>1.685977E-3</v>
      </c>
      <c r="AA7890">
        <v>0.68936009999999903</v>
      </c>
      <c r="AB7890">
        <v>19</v>
      </c>
      <c r="AC7890">
        <v>2.14769999999998</v>
      </c>
      <c r="AD7890">
        <v>-1.112034</v>
      </c>
      <c r="AE7890">
        <v>-10.544767</v>
      </c>
      <c r="AF7890">
        <v>7.7833250087798698</v>
      </c>
      <c r="AG7890">
        <v>-1.112034</v>
      </c>
      <c r="AH7890">
        <v>7.2657001055972197</v>
      </c>
      <c r="AI7890">
        <v>95.962370119911199</v>
      </c>
      <c r="AJ7890">
        <v>43.030036192522502</v>
      </c>
      <c r="AK7890">
        <v>10.7054736389348</v>
      </c>
      <c r="AL7890">
        <v>91.674085709044803</v>
      </c>
      <c r="AM7890">
        <v>61.821419634465897</v>
      </c>
      <c r="AN7890">
        <v>0.999999985061376</v>
      </c>
    </row>
    <row r="7891" spans="1:40" x14ac:dyDescent="0.25">
      <c r="A7891" t="str">
        <f>"20190303153959612"</f>
        <v>20190303153959612</v>
      </c>
      <c r="B7891" t="str">
        <f>"1551598799605974"</f>
        <v>1551598799605974</v>
      </c>
      <c r="C7891" t="s">
        <v>40</v>
      </c>
      <c r="D7891">
        <v>4.8775199999999996</v>
      </c>
      <c r="E7891">
        <v>0.65673090000000001</v>
      </c>
      <c r="F7891" t="s">
        <v>43</v>
      </c>
      <c r="G7891">
        <v>-302.83229999999998</v>
      </c>
      <c r="H7891">
        <v>-0.05</v>
      </c>
      <c r="I7891">
        <v>4.3768459999999996</v>
      </c>
      <c r="J7891">
        <v>-304.92649999999998</v>
      </c>
      <c r="K7891">
        <v>1.0619809999999901</v>
      </c>
      <c r="L7891">
        <v>15.077819999999999</v>
      </c>
      <c r="M7891">
        <v>0.84616990000000003</v>
      </c>
      <c r="N7891">
        <v>-1.6261060000000001E-2</v>
      </c>
      <c r="O7891">
        <v>-0.53266530000000001</v>
      </c>
      <c r="P7891">
        <v>0.49504599999999999</v>
      </c>
      <c r="Q7891">
        <v>-3.2617569999999999E-2</v>
      </c>
      <c r="R7891">
        <v>-0.86825459999999999</v>
      </c>
      <c r="S7891">
        <v>0.63034060000000003</v>
      </c>
      <c r="T7891">
        <v>-0.31935740000000001</v>
      </c>
      <c r="U7891">
        <v>-3.095367</v>
      </c>
      <c r="V7891">
        <v>0.47050989999999998</v>
      </c>
      <c r="W7891">
        <v>-2.9178820000000001E-2</v>
      </c>
      <c r="X7891">
        <v>0.88191219999999904</v>
      </c>
      <c r="Y7891">
        <v>0.72102480000000002</v>
      </c>
      <c r="Z7891">
        <v>2.856538E-3</v>
      </c>
      <c r="AA7891">
        <v>0.6929033</v>
      </c>
      <c r="AB7891">
        <v>19</v>
      </c>
      <c r="AC7891">
        <v>2.0941999999999998</v>
      </c>
      <c r="AD7891">
        <v>-1.1119810000000001</v>
      </c>
      <c r="AE7891">
        <v>-10.700974</v>
      </c>
      <c r="AF7891">
        <v>7.8586547841520096</v>
      </c>
      <c r="AG7891">
        <v>-1.1119810000000001</v>
      </c>
      <c r="AH7891">
        <v>7.3961550671576299</v>
      </c>
      <c r="AI7891">
        <v>95.882998121982993</v>
      </c>
      <c r="AJ7891">
        <v>43.263422017342798</v>
      </c>
      <c r="AK7891">
        <v>10.848873975591999</v>
      </c>
      <c r="AL7891">
        <v>91.672060478821507</v>
      </c>
      <c r="AM7891">
        <v>61.919586357140098</v>
      </c>
      <c r="AN7891">
        <v>1.00000004902172</v>
      </c>
    </row>
    <row r="7892" spans="1:40" x14ac:dyDescent="0.25">
      <c r="A7892" t="str">
        <f>"20190303153959632"</f>
        <v>20190303153959632</v>
      </c>
      <c r="B7892" t="str">
        <f>"1551598799626471"</f>
        <v>1551598799626471</v>
      </c>
      <c r="C7892" t="s">
        <v>40</v>
      </c>
      <c r="D7892">
        <v>4.8345890000000002</v>
      </c>
      <c r="E7892">
        <v>0.65362540000000002</v>
      </c>
      <c r="F7892" t="s">
        <v>83</v>
      </c>
      <c r="G7892">
        <v>-291.59179999999998</v>
      </c>
      <c r="H7892">
        <v>2.437846</v>
      </c>
      <c r="I7892">
        <v>-91.564989999999995</v>
      </c>
      <c r="J7892">
        <v>-304.79450000000003</v>
      </c>
      <c r="K7892">
        <v>1.0619209999999999</v>
      </c>
      <c r="L7892">
        <v>14.97296</v>
      </c>
      <c r="M7892">
        <v>0.83766689999999999</v>
      </c>
      <c r="N7892">
        <v>-1.6326199999999999E-2</v>
      </c>
      <c r="O7892">
        <v>-0.54593740000000002</v>
      </c>
      <c r="P7892">
        <v>0.48520920000000001</v>
      </c>
      <c r="Q7892">
        <v>-3.1849450000000001E-2</v>
      </c>
      <c r="R7892">
        <v>-0.87381799999999998</v>
      </c>
      <c r="S7892">
        <v>0.40347290000000002</v>
      </c>
      <c r="T7892">
        <v>4.1630510000000003E-2</v>
      </c>
      <c r="U7892">
        <v>-3.226715</v>
      </c>
      <c r="V7892">
        <v>0.46660370000000001</v>
      </c>
      <c r="W7892">
        <v>-2.8304380000000001E-2</v>
      </c>
      <c r="X7892">
        <v>0.88401350000000001</v>
      </c>
      <c r="Y7892">
        <v>0.76357390000000003</v>
      </c>
      <c r="Z7892">
        <v>-1.7272490000000001E-2</v>
      </c>
      <c r="AA7892">
        <v>0.64548930000000004</v>
      </c>
      <c r="AB7892">
        <v>19</v>
      </c>
      <c r="AC7892">
        <v>13.2027</v>
      </c>
      <c r="AD7892">
        <v>1.3759250000000001</v>
      </c>
      <c r="AE7892">
        <v>-106.53795</v>
      </c>
      <c r="AF7892">
        <v>82.032925164328105</v>
      </c>
      <c r="AG7892">
        <v>1.3759250000000001</v>
      </c>
      <c r="AH7892">
        <v>69.220371712679096</v>
      </c>
      <c r="AI7892">
        <v>89.265568754681496</v>
      </c>
      <c r="AJ7892">
        <v>40.158076695566002</v>
      </c>
      <c r="AK7892">
        <v>107.34409085116501</v>
      </c>
      <c r="AL7892">
        <v>91.621938115555594</v>
      </c>
      <c r="AM7892">
        <v>62.173824265330403</v>
      </c>
      <c r="AN7892">
        <v>1.00000000948156</v>
      </c>
    </row>
    <row r="7893" spans="1:40" x14ac:dyDescent="0.25">
      <c r="A7893" t="str">
        <f>"20190303153959642"</f>
        <v>20190303153959642</v>
      </c>
      <c r="B7893" t="str">
        <f>"1551598799635764"</f>
        <v>1551598799635764</v>
      </c>
      <c r="C7893" t="s">
        <v>40</v>
      </c>
      <c r="D7893">
        <v>4.8254679999999999</v>
      </c>
      <c r="E7893">
        <v>0.65306540000000002</v>
      </c>
      <c r="F7893" t="s">
        <v>83</v>
      </c>
      <c r="G7893">
        <v>-291.93009999999998</v>
      </c>
      <c r="H7893">
        <v>2.342768</v>
      </c>
      <c r="I7893">
        <v>-91.564989999999995</v>
      </c>
      <c r="J7893">
        <v>-304.71730000000002</v>
      </c>
      <c r="K7893">
        <v>1.0618890000000001</v>
      </c>
      <c r="L7893">
        <v>14.90967</v>
      </c>
      <c r="M7893">
        <v>0.8324859</v>
      </c>
      <c r="N7893">
        <v>-1.6363559999999999E-2</v>
      </c>
      <c r="O7893">
        <v>-0.55380459999999998</v>
      </c>
      <c r="P7893">
        <v>0.47893560000000002</v>
      </c>
      <c r="Q7893">
        <v>-3.1412950000000002E-2</v>
      </c>
      <c r="R7893">
        <v>-0.87728799999999996</v>
      </c>
      <c r="S7893">
        <v>0.38867190000000001</v>
      </c>
      <c r="T7893">
        <v>3.8698549999999998E-2</v>
      </c>
      <c r="U7893">
        <v>-3.2188110000000001</v>
      </c>
      <c r="V7893">
        <v>0.46463189999999999</v>
      </c>
      <c r="W7893">
        <v>-2.7809819999999999E-2</v>
      </c>
      <c r="X7893">
        <v>0.8850671</v>
      </c>
      <c r="Y7893">
        <v>0.76020339999999997</v>
      </c>
      <c r="Z7893">
        <v>-1.7371749999999998E-2</v>
      </c>
      <c r="AA7893">
        <v>0.6494529</v>
      </c>
      <c r="AB7893">
        <v>19</v>
      </c>
      <c r="AC7893">
        <v>12.7872</v>
      </c>
      <c r="AD7893">
        <v>1.2808790000000001</v>
      </c>
      <c r="AE7893">
        <v>-106.47466</v>
      </c>
      <c r="AF7893">
        <v>81.556326336296607</v>
      </c>
      <c r="AG7893">
        <v>1.2808790000000001</v>
      </c>
      <c r="AH7893">
        <v>69.610708518832496</v>
      </c>
      <c r="AI7893">
        <v>89.315590218350096</v>
      </c>
      <c r="AJ7893">
        <v>40.481725671770597</v>
      </c>
      <c r="AK7893">
        <v>107.23211159432999</v>
      </c>
      <c r="AL7893">
        <v>91.593590802012002</v>
      </c>
      <c r="AM7893">
        <v>62.301964789686899</v>
      </c>
      <c r="AN7893">
        <v>0.99999998004422597</v>
      </c>
    </row>
    <row r="7894" spans="1:40" x14ac:dyDescent="0.25">
      <c r="A7894" t="str">
        <f>"20190303153959654"</f>
        <v>20190303153959654</v>
      </c>
      <c r="B7894" t="str">
        <f>"1551598799646500"</f>
        <v>1551598799646500</v>
      </c>
      <c r="C7894" t="s">
        <v>40</v>
      </c>
      <c r="D7894">
        <v>5.0250680000000001</v>
      </c>
      <c r="E7894">
        <v>0.65067169999999996</v>
      </c>
      <c r="F7894" t="s">
        <v>83</v>
      </c>
      <c r="G7894">
        <v>-292.4898</v>
      </c>
      <c r="H7894">
        <v>2.3112550000000001</v>
      </c>
      <c r="I7894">
        <v>-91.564989999999995</v>
      </c>
      <c r="J7894">
        <v>-304.64420000000001</v>
      </c>
      <c r="K7894">
        <v>1.0618639999999999</v>
      </c>
      <c r="L7894">
        <v>14.84872</v>
      </c>
      <c r="M7894">
        <v>0.82745179999999996</v>
      </c>
      <c r="N7894">
        <v>-1.639811E-2</v>
      </c>
      <c r="O7894">
        <v>-0.56129739999999995</v>
      </c>
      <c r="P7894">
        <v>0.47284039999999999</v>
      </c>
      <c r="Q7894">
        <v>-3.0957620000000002E-2</v>
      </c>
      <c r="R7894">
        <v>-0.88060459999999996</v>
      </c>
      <c r="S7894">
        <v>0.36968990000000002</v>
      </c>
      <c r="T7894">
        <v>3.7773969999999997E-2</v>
      </c>
      <c r="U7894">
        <v>-3.2191770000000002</v>
      </c>
      <c r="V7894">
        <v>0.46280260000000001</v>
      </c>
      <c r="W7894">
        <v>-2.7297950000000001E-2</v>
      </c>
      <c r="X7894">
        <v>0.88604090000000002</v>
      </c>
      <c r="Y7894">
        <v>0.75811799999999996</v>
      </c>
      <c r="Z7894">
        <v>-1.7548419999999999E-2</v>
      </c>
      <c r="AA7894">
        <v>0.65188119999999905</v>
      </c>
      <c r="AB7894">
        <v>19</v>
      </c>
      <c r="AC7894">
        <v>12.154400000000001</v>
      </c>
      <c r="AD7894">
        <v>1.2493909999999999</v>
      </c>
      <c r="AE7894">
        <v>-106.41370999999999</v>
      </c>
      <c r="AF7894">
        <v>81.229846938487796</v>
      </c>
      <c r="AG7894">
        <v>1.2493909999999999</v>
      </c>
      <c r="AH7894">
        <v>69.786802212439696</v>
      </c>
      <c r="AI7894">
        <v>89.331581806626303</v>
      </c>
      <c r="AJ7894">
        <v>40.666784618713798</v>
      </c>
      <c r="AK7894">
        <v>107.098304256226</v>
      </c>
      <c r="AL7894">
        <v>91.564251717090798</v>
      </c>
      <c r="AM7894">
        <v>62.420743952639498</v>
      </c>
      <c r="AN7894">
        <v>0.99999995055688495</v>
      </c>
    </row>
    <row r="7895" spans="1:40" x14ac:dyDescent="0.25">
      <c r="A7895" t="str">
        <f>"20190303153959667"</f>
        <v>20190303153959667</v>
      </c>
      <c r="B7895" t="str">
        <f>"1551598799656260"</f>
        <v>1551598799656260</v>
      </c>
      <c r="C7895" t="s">
        <v>40</v>
      </c>
      <c r="D7895">
        <v>5.054468</v>
      </c>
      <c r="E7895">
        <v>0.64844230000000003</v>
      </c>
      <c r="F7895" t="s">
        <v>83</v>
      </c>
      <c r="G7895">
        <v>-292.60719999999998</v>
      </c>
      <c r="H7895">
        <v>1.815817</v>
      </c>
      <c r="I7895">
        <v>-91.564989999999995</v>
      </c>
      <c r="J7895">
        <v>-304.5471</v>
      </c>
      <c r="K7895">
        <v>1.0618350000000001</v>
      </c>
      <c r="L7895">
        <v>14.7662</v>
      </c>
      <c r="M7895">
        <v>0.82057549999999901</v>
      </c>
      <c r="N7895">
        <v>-1.6442660000000001E-2</v>
      </c>
      <c r="O7895">
        <v>-0.57130179999999997</v>
      </c>
      <c r="P7895">
        <v>0.4641805</v>
      </c>
      <c r="Q7895">
        <v>-3.0845540000000001E-2</v>
      </c>
      <c r="R7895">
        <v>-0.88520350000000003</v>
      </c>
      <c r="S7895">
        <v>0.3633728</v>
      </c>
      <c r="T7895">
        <v>2.2760869999999999E-2</v>
      </c>
      <c r="U7895">
        <v>-3.2124329999999999</v>
      </c>
      <c r="V7895">
        <v>0.4607406</v>
      </c>
      <c r="W7895">
        <v>-2.7117740000000001E-2</v>
      </c>
      <c r="X7895">
        <v>0.88712049999999998</v>
      </c>
      <c r="Y7895">
        <v>0.7512375</v>
      </c>
      <c r="Z7895">
        <v>-1.690935E-2</v>
      </c>
      <c r="AA7895">
        <v>0.65981540000000005</v>
      </c>
      <c r="AB7895">
        <v>19</v>
      </c>
      <c r="AC7895">
        <v>11.9399</v>
      </c>
      <c r="AD7895">
        <v>0.75398199999999904</v>
      </c>
      <c r="AE7895">
        <v>-106.331189999999</v>
      </c>
      <c r="AF7895">
        <v>80.438353467645499</v>
      </c>
      <c r="AG7895">
        <v>0.75398199999999904</v>
      </c>
      <c r="AH7895">
        <v>70.550815567263896</v>
      </c>
      <c r="AI7895">
        <v>89.596246385042406</v>
      </c>
      <c r="AJ7895">
        <v>41.253330759875197</v>
      </c>
      <c r="AK7895">
        <v>106.996797964463</v>
      </c>
      <c r="AL7895">
        <v>91.553922501603495</v>
      </c>
      <c r="AM7895">
        <v>62.554150518711502</v>
      </c>
      <c r="AN7895">
        <v>1.0000000269156499</v>
      </c>
    </row>
    <row r="7896" spans="1:40" x14ac:dyDescent="0.25">
      <c r="A7896" t="str">
        <f>"20190303153959681"</f>
        <v>20190303153959681</v>
      </c>
      <c r="B7896" t="str">
        <f>"1551598799675780"</f>
        <v>1551598799675780</v>
      </c>
      <c r="C7896" t="s">
        <v>40</v>
      </c>
      <c r="D7896">
        <v>5.0819470000000004</v>
      </c>
      <c r="E7896">
        <v>0.64500780000000002</v>
      </c>
      <c r="F7896" t="s">
        <v>83</v>
      </c>
      <c r="G7896">
        <v>-293.03719999999998</v>
      </c>
      <c r="H7896">
        <v>1.2391639999999999</v>
      </c>
      <c r="I7896">
        <v>-91.564989999999995</v>
      </c>
      <c r="J7896">
        <v>-304.464</v>
      </c>
      <c r="K7896">
        <v>1.061812</v>
      </c>
      <c r="L7896">
        <v>14.693149999999999</v>
      </c>
      <c r="M7896">
        <v>0.81445310000000004</v>
      </c>
      <c r="N7896">
        <v>-1.6479170000000001E-2</v>
      </c>
      <c r="O7896">
        <v>-0.57999559999999994</v>
      </c>
      <c r="P7896">
        <v>0.456704</v>
      </c>
      <c r="Q7896">
        <v>-3.1014860000000002E-2</v>
      </c>
      <c r="R7896">
        <v>-0.88907800000000003</v>
      </c>
      <c r="S7896">
        <v>0.34716799999999998</v>
      </c>
      <c r="T7896">
        <v>5.3490400000000002E-3</v>
      </c>
      <c r="U7896">
        <v>-3.207214</v>
      </c>
      <c r="V7896">
        <v>0.45877380000000001</v>
      </c>
      <c r="W7896">
        <v>-2.7217669999999999E-2</v>
      </c>
      <c r="X7896">
        <v>0.88813609999999898</v>
      </c>
      <c r="Y7896">
        <v>0.74733700000000003</v>
      </c>
      <c r="Z7896">
        <v>-1.5942410000000001E-2</v>
      </c>
      <c r="AA7896">
        <v>0.66425389999999995</v>
      </c>
      <c r="AB7896">
        <v>19</v>
      </c>
      <c r="AC7896">
        <v>11.4268</v>
      </c>
      <c r="AD7896">
        <v>0.17735199999999901</v>
      </c>
      <c r="AE7896">
        <v>-106.25814</v>
      </c>
      <c r="AF7896">
        <v>79.925398413913499</v>
      </c>
      <c r="AG7896">
        <v>0.17735199999999901</v>
      </c>
      <c r="AH7896">
        <v>70.945273666910595</v>
      </c>
      <c r="AI7896">
        <v>89.904917513083305</v>
      </c>
      <c r="AJ7896">
        <v>41.593659328704597</v>
      </c>
      <c r="AK7896">
        <v>106.870634979996</v>
      </c>
      <c r="AL7896">
        <v>91.559650276899703</v>
      </c>
      <c r="AM7896">
        <v>62.681023597661202</v>
      </c>
      <c r="AN7896">
        <v>0.99999996662493795</v>
      </c>
    </row>
    <row r="7897" spans="1:40" x14ac:dyDescent="0.25">
      <c r="A7897" t="str">
        <f>"20190303153959695"</f>
        <v>20190303153959695</v>
      </c>
      <c r="B7897" t="str">
        <f>"1551598799686516"</f>
        <v>1551598799686516</v>
      </c>
      <c r="C7897" t="s">
        <v>40</v>
      </c>
      <c r="D7897">
        <v>5.1223020000000004</v>
      </c>
      <c r="E7897">
        <v>0.64328989999999997</v>
      </c>
      <c r="F7897" t="s">
        <v>83</v>
      </c>
      <c r="G7897">
        <v>-293.04770000000002</v>
      </c>
      <c r="H7897">
        <v>0.17827029999999999</v>
      </c>
      <c r="I7897">
        <v>-91.564989999999995</v>
      </c>
      <c r="J7897">
        <v>-304.37490000000003</v>
      </c>
      <c r="K7897">
        <v>1.06179</v>
      </c>
      <c r="L7897">
        <v>14.613429999999999</v>
      </c>
      <c r="M7897">
        <v>0.80770810000000004</v>
      </c>
      <c r="N7897">
        <v>-1.6517279999999999E-2</v>
      </c>
      <c r="O7897">
        <v>-0.58935109999999902</v>
      </c>
      <c r="P7897">
        <v>0.44858130000000002</v>
      </c>
      <c r="Q7897">
        <v>-3.1352169999999999E-2</v>
      </c>
      <c r="R7897">
        <v>-0.89319210000000004</v>
      </c>
      <c r="S7897">
        <v>0.34347529999999998</v>
      </c>
      <c r="T7897">
        <v>-2.658224E-2</v>
      </c>
      <c r="U7897">
        <v>-3.19693</v>
      </c>
      <c r="V7897">
        <v>0.45660669999999998</v>
      </c>
      <c r="W7897">
        <v>-2.7477209999999998E-2</v>
      </c>
      <c r="X7897">
        <v>0.88924429999999999</v>
      </c>
      <c r="Y7897">
        <v>0.74007019999999901</v>
      </c>
      <c r="Z7897">
        <v>-1.372423E-2</v>
      </c>
      <c r="AA7897">
        <v>0.67238959999999903</v>
      </c>
      <c r="AB7897">
        <v>19</v>
      </c>
      <c r="AC7897">
        <v>11.327199999999999</v>
      </c>
      <c r="AD7897">
        <v>-0.88351970000000002</v>
      </c>
      <c r="AE7897">
        <v>-106.17841999999899</v>
      </c>
      <c r="AF7897">
        <v>79.090851099469901</v>
      </c>
      <c r="AG7897">
        <v>-0.88351970000000002</v>
      </c>
      <c r="AH7897">
        <v>71.7303182210062</v>
      </c>
      <c r="AI7897">
        <v>90.474094677320096</v>
      </c>
      <c r="AJ7897">
        <v>42.206008057520997</v>
      </c>
      <c r="AK7897">
        <v>106.77725360199901</v>
      </c>
      <c r="AL7897">
        <v>91.574526256074193</v>
      </c>
      <c r="AM7897">
        <v>62.820534025275599</v>
      </c>
      <c r="AN7897">
        <v>1.0000000503183799</v>
      </c>
    </row>
    <row r="7898" spans="1:40" x14ac:dyDescent="0.25">
      <c r="A7898" t="str">
        <f>"20190303153959708"</f>
        <v>20190303153959708</v>
      </c>
      <c r="B7898" t="str">
        <f>"1551598799706036"</f>
        <v>1551598799706036</v>
      </c>
      <c r="C7898" t="s">
        <v>40</v>
      </c>
      <c r="D7898">
        <v>5.0323909999999996</v>
      </c>
      <c r="E7898">
        <v>0.62615779999999999</v>
      </c>
      <c r="F7898" t="s">
        <v>63</v>
      </c>
      <c r="G7898">
        <v>-296.64999999999998</v>
      </c>
      <c r="H7898" s="1">
        <v>-1.201343E-5</v>
      </c>
      <c r="I7898">
        <v>-61.091239999999999</v>
      </c>
      <c r="J7898">
        <v>-304.28449999999998</v>
      </c>
      <c r="K7898">
        <v>1.0617540000000001</v>
      </c>
      <c r="L7898">
        <v>14.5308799999999</v>
      </c>
      <c r="M7898">
        <v>0.80065249999999999</v>
      </c>
      <c r="N7898">
        <v>-1.6554869999999999E-2</v>
      </c>
      <c r="O7898">
        <v>-0.59890030000000005</v>
      </c>
      <c r="P7898">
        <v>0.44235540000000001</v>
      </c>
      <c r="Q7898">
        <v>-3.3137899999999998E-2</v>
      </c>
      <c r="R7898">
        <v>-0.89622760000000001</v>
      </c>
      <c r="S7898">
        <v>0.32586670000000001</v>
      </c>
      <c r="T7898">
        <v>-4.4790860000000002E-2</v>
      </c>
      <c r="U7898">
        <v>-3.1935120000000001</v>
      </c>
      <c r="V7898">
        <v>0.45213900000000001</v>
      </c>
      <c r="W7898">
        <v>-2.911031E-2</v>
      </c>
      <c r="X7898">
        <v>0.8914723</v>
      </c>
      <c r="Y7898">
        <v>0.73560269999999905</v>
      </c>
      <c r="Z7898">
        <v>-1.2274449999999999E-2</v>
      </c>
      <c r="AA7898">
        <v>0.67730190000000001</v>
      </c>
      <c r="AB7898">
        <v>19</v>
      </c>
      <c r="AC7898">
        <v>7.6345000000000001</v>
      </c>
      <c r="AD7898">
        <v>-1.06176601343</v>
      </c>
      <c r="AE7898">
        <v>-75.622119999999995</v>
      </c>
      <c r="AF7898">
        <v>55.971482826689602</v>
      </c>
      <c r="AG7898">
        <v>-1.06176601343</v>
      </c>
      <c r="AH7898">
        <v>51.399705246294701</v>
      </c>
      <c r="AI7898">
        <v>90.800492198960995</v>
      </c>
      <c r="AJ7898">
        <v>42.561865181712697</v>
      </c>
      <c r="AK7898">
        <v>75.999104838752302</v>
      </c>
      <c r="AL7898">
        <v>91.668133602897797</v>
      </c>
      <c r="AM7898">
        <v>63.106681667472003</v>
      </c>
      <c r="AN7898">
        <v>0.99999997356829196</v>
      </c>
    </row>
    <row r="7899" spans="1:40" x14ac:dyDescent="0.25">
      <c r="A7899" t="str">
        <f>"20190303153959721"</f>
        <v>20190303153959721</v>
      </c>
      <c r="B7899" t="str">
        <f>"1551598799715796"</f>
        <v>1551598799715796</v>
      </c>
      <c r="C7899" t="s">
        <v>40</v>
      </c>
      <c r="D7899">
        <v>5.0798930000000002</v>
      </c>
      <c r="E7899">
        <v>0.62608969999999997</v>
      </c>
      <c r="F7899" t="s">
        <v>42</v>
      </c>
      <c r="G7899">
        <v>-301.56400000000002</v>
      </c>
      <c r="H7899" s="1">
        <v>-2.2185879999999999E-6</v>
      </c>
      <c r="I7899">
        <v>-5.6496209999999998</v>
      </c>
      <c r="J7899">
        <v>-304.20960000000002</v>
      </c>
      <c r="K7899">
        <v>1.0617430000000001</v>
      </c>
      <c r="L7899">
        <v>14.46011</v>
      </c>
      <c r="M7899">
        <v>0.79458139999999999</v>
      </c>
      <c r="N7899">
        <v>-1.6584999999999999E-2</v>
      </c>
      <c r="O7899">
        <v>-0.60693129999999995</v>
      </c>
      <c r="P7899">
        <v>0.43564389999999997</v>
      </c>
      <c r="Q7899">
        <v>-3.4133320000000002E-2</v>
      </c>
      <c r="R7899">
        <v>-0.89947160000000004</v>
      </c>
      <c r="S7899">
        <v>0.42233280000000001</v>
      </c>
      <c r="T7899">
        <v>-0.16482649999999999</v>
      </c>
      <c r="U7899">
        <v>-3.1328130000000001</v>
      </c>
      <c r="V7899">
        <v>0.4497736</v>
      </c>
      <c r="W7899">
        <v>-3.00179E-2</v>
      </c>
      <c r="X7899">
        <v>0.89263799999999904</v>
      </c>
      <c r="Y7899">
        <v>0.70576159999999999</v>
      </c>
      <c r="Z7899">
        <v>-9.8895189999999994E-4</v>
      </c>
      <c r="AA7899">
        <v>0.70844869999999904</v>
      </c>
      <c r="AB7899">
        <v>19</v>
      </c>
      <c r="AC7899">
        <v>2.6456</v>
      </c>
      <c r="AD7899">
        <v>-1.0617452185879901</v>
      </c>
      <c r="AE7899">
        <v>-20.109731</v>
      </c>
      <c r="AF7899">
        <v>14.3358135934897</v>
      </c>
      <c r="AG7899">
        <v>-1.0617452185879901</v>
      </c>
      <c r="AH7899">
        <v>14.2702332242363</v>
      </c>
      <c r="AI7899">
        <v>93.004696267963595</v>
      </c>
      <c r="AJ7899">
        <v>44.868647638789703</v>
      </c>
      <c r="AK7899">
        <v>20.255429162833799</v>
      </c>
      <c r="AL7899">
        <v>91.7201574078737</v>
      </c>
      <c r="AM7899">
        <v>63.257831170216299</v>
      </c>
      <c r="AN7899">
        <v>0.99999998231068399</v>
      </c>
    </row>
    <row r="7900" spans="1:40" x14ac:dyDescent="0.25">
      <c r="A7900" t="str">
        <f>"20190303153959733"</f>
        <v>20190303153959733</v>
      </c>
      <c r="B7900" t="str">
        <f>"1551598799726533"</f>
        <v>1551598799726533</v>
      </c>
      <c r="C7900" t="s">
        <v>40</v>
      </c>
      <c r="D7900">
        <v>5.056165</v>
      </c>
      <c r="E7900">
        <v>0.62551669999999904</v>
      </c>
      <c r="F7900" t="s">
        <v>42</v>
      </c>
      <c r="G7900">
        <v>-301.4948</v>
      </c>
      <c r="H7900" s="1">
        <v>-1.6451440000000001E-6</v>
      </c>
      <c r="I7900">
        <v>-6.8237920000000001</v>
      </c>
      <c r="J7900">
        <v>-304.12790000000001</v>
      </c>
      <c r="K7900">
        <v>1.061731</v>
      </c>
      <c r="L7900">
        <v>14.381740000000001</v>
      </c>
      <c r="M7900">
        <v>0.78780059999999996</v>
      </c>
      <c r="N7900">
        <v>-1.6617199999999999E-2</v>
      </c>
      <c r="O7900">
        <v>-0.61570619999999998</v>
      </c>
      <c r="P7900">
        <v>0.42780610000000002</v>
      </c>
      <c r="Q7900">
        <v>-3.4610729999999999E-2</v>
      </c>
      <c r="R7900">
        <v>-0.90320769999999995</v>
      </c>
      <c r="S7900">
        <v>0.39996340000000002</v>
      </c>
      <c r="T7900">
        <v>-0.15642139999999999</v>
      </c>
      <c r="U7900">
        <v>-3.1356510000000002</v>
      </c>
      <c r="V7900">
        <v>0.44761020000000001</v>
      </c>
      <c r="W7900">
        <v>-3.0411440000000001E-2</v>
      </c>
      <c r="X7900">
        <v>0.89371149999999999</v>
      </c>
      <c r="Y7900">
        <v>0.70300569999999996</v>
      </c>
      <c r="Z7900">
        <v>-1.1669969999999999E-3</v>
      </c>
      <c r="AA7900">
        <v>0.71118319999999902</v>
      </c>
      <c r="AB7900">
        <v>19</v>
      </c>
      <c r="AC7900">
        <v>2.63310000000001</v>
      </c>
      <c r="AD7900">
        <v>-1.0617326451439999</v>
      </c>
      <c r="AE7900">
        <v>-21.205532000000002</v>
      </c>
      <c r="AF7900">
        <v>15.049443449800201</v>
      </c>
      <c r="AG7900">
        <v>-1.0617326451439999</v>
      </c>
      <c r="AH7900">
        <v>15.095556436450099</v>
      </c>
      <c r="AI7900">
        <v>92.851531863083494</v>
      </c>
      <c r="AJ7900">
        <v>45.087645628294297</v>
      </c>
      <c r="AK7900">
        <v>21.3421847167658</v>
      </c>
      <c r="AL7900">
        <v>91.742715865039301</v>
      </c>
      <c r="AM7900">
        <v>63.396267702403101</v>
      </c>
      <c r="AN7900">
        <v>0.99999999602958101</v>
      </c>
    </row>
    <row r="7901" spans="1:40" x14ac:dyDescent="0.25">
      <c r="A7901" t="str">
        <f>"20190303153959745"</f>
        <v>20190303153959745</v>
      </c>
      <c r="B7901" t="str">
        <f>"1551598799735824"</f>
        <v>1551598799735824</v>
      </c>
      <c r="C7901" t="s">
        <v>40</v>
      </c>
      <c r="D7901">
        <v>5.0091970000000003</v>
      </c>
      <c r="E7901">
        <v>0.62600269999999902</v>
      </c>
      <c r="F7901" t="s">
        <v>42</v>
      </c>
      <c r="G7901">
        <v>-301.52210000000002</v>
      </c>
      <c r="H7901" s="1">
        <v>-1.419857E-6</v>
      </c>
      <c r="I7901">
        <v>-7.3157500000000004</v>
      </c>
      <c r="J7901">
        <v>-304.05470000000003</v>
      </c>
      <c r="K7901">
        <v>1.0617219999999901</v>
      </c>
      <c r="L7901">
        <v>14.30997</v>
      </c>
      <c r="M7901">
        <v>0.78155109999999905</v>
      </c>
      <c r="N7901">
        <v>-1.664527E-2</v>
      </c>
      <c r="O7901">
        <v>-0.62361919999999904</v>
      </c>
      <c r="P7901">
        <v>0.42092990000000002</v>
      </c>
      <c r="Q7901">
        <v>-3.4519599999999998E-2</v>
      </c>
      <c r="R7901">
        <v>-0.90643640000000003</v>
      </c>
      <c r="S7901">
        <v>0.37676999999999999</v>
      </c>
      <c r="T7901">
        <v>-0.1535127</v>
      </c>
      <c r="U7901">
        <v>-3.1371769999999999</v>
      </c>
      <c r="V7901">
        <v>0.44539469999999998</v>
      </c>
      <c r="W7901">
        <v>-3.0234230000000001E-2</v>
      </c>
      <c r="X7901">
        <v>0.894823699999999</v>
      </c>
      <c r="Y7901">
        <v>0.70107569999999997</v>
      </c>
      <c r="Z7901">
        <v>-9.5500800000000003E-4</v>
      </c>
      <c r="AA7901">
        <v>0.713086199999999</v>
      </c>
      <c r="AB7901">
        <v>19</v>
      </c>
      <c r="AC7901">
        <v>2.5326</v>
      </c>
      <c r="AD7901">
        <v>-1.06172341985699</v>
      </c>
      <c r="AE7901">
        <v>-21.625720000000001</v>
      </c>
      <c r="AF7901">
        <v>15.2879986114299</v>
      </c>
      <c r="AG7901">
        <v>-1.06172341985699</v>
      </c>
      <c r="AH7901">
        <v>15.4310216471288</v>
      </c>
      <c r="AI7901">
        <v>92.798281907627597</v>
      </c>
      <c r="AJ7901">
        <v>45.266758413490699</v>
      </c>
      <c r="AK7901">
        <v>21.747794997137401</v>
      </c>
      <c r="AL7901">
        <v>91.732557800578306</v>
      </c>
      <c r="AM7901">
        <v>63.538368848994402</v>
      </c>
      <c r="AN7901">
        <v>1.00000000076673</v>
      </c>
    </row>
    <row r="7902" spans="1:40" x14ac:dyDescent="0.25">
      <c r="A7902" t="str">
        <f>"20190303153959758"</f>
        <v>20190303153959758</v>
      </c>
      <c r="B7902" t="str">
        <f>"1551598799756320"</f>
        <v>1551598799756320</v>
      </c>
      <c r="C7902" t="s">
        <v>40</v>
      </c>
      <c r="D7902">
        <v>4.9846440000000003</v>
      </c>
      <c r="E7902">
        <v>0.62668630000000003</v>
      </c>
      <c r="F7902" t="s">
        <v>42</v>
      </c>
      <c r="G7902">
        <v>-301.4692</v>
      </c>
      <c r="H7902" s="1">
        <v>-6.4363589999999996E-7</v>
      </c>
      <c r="I7902">
        <v>-8.9280329999999992</v>
      </c>
      <c r="J7902">
        <v>-303.97899999999998</v>
      </c>
      <c r="K7902">
        <v>1.061717</v>
      </c>
      <c r="L7902">
        <v>14.23373</v>
      </c>
      <c r="M7902">
        <v>0.77487869999999903</v>
      </c>
      <c r="N7902">
        <v>-1.667306E-2</v>
      </c>
      <c r="O7902">
        <v>-0.63189019999999996</v>
      </c>
      <c r="P7902">
        <v>0.41315540000000001</v>
      </c>
      <c r="Q7902">
        <v>-3.4094989999999999E-2</v>
      </c>
      <c r="R7902">
        <v>-0.91002229999999995</v>
      </c>
      <c r="S7902">
        <v>0.34957890000000003</v>
      </c>
      <c r="T7902">
        <v>-0.14354800000000001</v>
      </c>
      <c r="U7902">
        <v>-3.1418460000000001</v>
      </c>
      <c r="V7902">
        <v>0.4435674</v>
      </c>
      <c r="W7902">
        <v>-2.9733570000000001E-2</v>
      </c>
      <c r="X7902">
        <v>0.89574769999999904</v>
      </c>
      <c r="Y7902">
        <v>0.69976439999999995</v>
      </c>
      <c r="Z7902">
        <v>-1.4860450000000001E-3</v>
      </c>
      <c r="AA7902">
        <v>0.71437220000000001</v>
      </c>
      <c r="AB7902">
        <v>19</v>
      </c>
      <c r="AC7902">
        <v>2.5098000000000402</v>
      </c>
      <c r="AD7902">
        <v>-1.0617176436358999</v>
      </c>
      <c r="AE7902">
        <v>-23.161763000000001</v>
      </c>
      <c r="AF7902">
        <v>16.329996728514001</v>
      </c>
      <c r="AG7902">
        <v>-1.0617176436358999</v>
      </c>
      <c r="AH7902">
        <v>16.5484163411362</v>
      </c>
      <c r="AI7902">
        <v>92.614716465426795</v>
      </c>
      <c r="AJ7902">
        <v>45.380624753517203</v>
      </c>
      <c r="AK7902">
        <v>23.273292008387401</v>
      </c>
      <c r="AL7902">
        <v>91.7038591373299</v>
      </c>
      <c r="AM7902">
        <v>63.655739208180897</v>
      </c>
      <c r="AN7902">
        <v>1.00000003279149</v>
      </c>
    </row>
    <row r="7903" spans="1:40" x14ac:dyDescent="0.25">
      <c r="A7903" t="str">
        <f>"20190303153959771"</f>
        <v>20190303153959771</v>
      </c>
      <c r="B7903" t="str">
        <f>"1551598799766080"</f>
        <v>1551598799766080</v>
      </c>
      <c r="C7903" t="s">
        <v>40</v>
      </c>
      <c r="D7903">
        <v>4.9947239999999997</v>
      </c>
      <c r="E7903">
        <v>0.62639129999999998</v>
      </c>
      <c r="F7903" t="s">
        <v>42</v>
      </c>
      <c r="G7903">
        <v>-301.34879999999998</v>
      </c>
      <c r="H7903" s="1">
        <v>-4.0640579999999999E-6</v>
      </c>
      <c r="I7903">
        <v>-11.773820000000001</v>
      </c>
      <c r="J7903">
        <v>-303.90159999999997</v>
      </c>
      <c r="K7903">
        <v>1.0617129999999999</v>
      </c>
      <c r="L7903">
        <v>14.15466</v>
      </c>
      <c r="M7903">
        <v>0.76790559999999997</v>
      </c>
      <c r="N7903">
        <v>-1.670058E-2</v>
      </c>
      <c r="O7903">
        <v>-0.64034550000000001</v>
      </c>
      <c r="P7903">
        <v>0.4048621</v>
      </c>
      <c r="Q7903">
        <v>-3.3993699999999898E-2</v>
      </c>
      <c r="R7903">
        <v>-0.9137459</v>
      </c>
      <c r="S7903">
        <v>0.31829829999999998</v>
      </c>
      <c r="T7903">
        <v>-0.12848419999999999</v>
      </c>
      <c r="U7903">
        <v>-3.1473080000000002</v>
      </c>
      <c r="V7903">
        <v>0.44190170000000001</v>
      </c>
      <c r="W7903">
        <v>-2.9560690000000001E-2</v>
      </c>
      <c r="X7903">
        <v>0.89657629999999999</v>
      </c>
      <c r="Y7903">
        <v>0.69916160000000005</v>
      </c>
      <c r="Z7903">
        <v>-2.6363239999999998E-3</v>
      </c>
      <c r="AA7903">
        <v>0.71495880000000001</v>
      </c>
      <c r="AB7903">
        <v>18</v>
      </c>
      <c r="AC7903">
        <v>2.5527999999999902</v>
      </c>
      <c r="AD7903">
        <v>-1.06171706405799</v>
      </c>
      <c r="AE7903">
        <v>-25.92848</v>
      </c>
      <c r="AF7903">
        <v>18.248194074671201</v>
      </c>
      <c r="AG7903">
        <v>-1.06171706405799</v>
      </c>
      <c r="AH7903">
        <v>18.535301268700199</v>
      </c>
      <c r="AI7903">
        <v>92.337433029830805</v>
      </c>
      <c r="AJ7903">
        <v>45.447203189418197</v>
      </c>
      <c r="AK7903">
        <v>26.0323111388992</v>
      </c>
      <c r="AL7903">
        <v>91.693949535564002</v>
      </c>
      <c r="AM7903">
        <v>63.762379478775898</v>
      </c>
      <c r="AN7903">
        <v>1.0000000042889201</v>
      </c>
    </row>
    <row r="7904" spans="1:40" x14ac:dyDescent="0.25">
      <c r="A7904" t="str">
        <f>"20190303153959785"</f>
        <v>20190303153959785</v>
      </c>
      <c r="B7904" t="str">
        <f>"1551598799775841"</f>
        <v>1551598799775841</v>
      </c>
      <c r="C7904" t="s">
        <v>40</v>
      </c>
      <c r="D7904">
        <v>5.0149670000000004</v>
      </c>
      <c r="E7904">
        <v>0.62597700000000001</v>
      </c>
      <c r="F7904" t="s">
        <v>42</v>
      </c>
      <c r="G7904">
        <v>-301.45890000000003</v>
      </c>
      <c r="H7904" s="1">
        <v>-3.9051040000000002E-6</v>
      </c>
      <c r="I7904">
        <v>-12.212820000000001</v>
      </c>
      <c r="J7904">
        <v>-303.815</v>
      </c>
      <c r="K7904">
        <v>1.061707</v>
      </c>
      <c r="L7904">
        <v>14.06345</v>
      </c>
      <c r="M7904">
        <v>0.75982689999999997</v>
      </c>
      <c r="N7904">
        <v>-1.672949E-2</v>
      </c>
      <c r="O7904">
        <v>-0.64991019999999999</v>
      </c>
      <c r="P7904">
        <v>0.39484180000000002</v>
      </c>
      <c r="Q7904">
        <v>-3.3959299999999998E-2</v>
      </c>
      <c r="R7904">
        <v>-0.91812150000000003</v>
      </c>
      <c r="S7904">
        <v>0.29174800000000001</v>
      </c>
      <c r="T7904">
        <v>-0.1268061</v>
      </c>
      <c r="U7904">
        <v>-3.1492</v>
      </c>
      <c r="V7904">
        <v>0.4404863</v>
      </c>
      <c r="W7904">
        <v>-2.9459510000000001E-2</v>
      </c>
      <c r="X7904">
        <v>0.89727590000000002</v>
      </c>
      <c r="Y7904">
        <v>0.69623359999999901</v>
      </c>
      <c r="Z7904">
        <v>-2.3211619999999999E-3</v>
      </c>
      <c r="AA7904">
        <v>0.71781149999999905</v>
      </c>
      <c r="AB7904">
        <v>18</v>
      </c>
      <c r="AC7904">
        <v>2.3560999999999601</v>
      </c>
      <c r="AD7904">
        <v>-1.0617109051039999</v>
      </c>
      <c r="AE7904">
        <v>-26.27627</v>
      </c>
      <c r="AF7904">
        <v>18.406931129641698</v>
      </c>
      <c r="AG7904">
        <v>-1.0617109051039999</v>
      </c>
      <c r="AH7904">
        <v>18.839571751922399</v>
      </c>
      <c r="AI7904">
        <v>92.308309581505995</v>
      </c>
      <c r="AJ7904">
        <v>45.665495148159103</v>
      </c>
      <c r="AK7904">
        <v>26.360421230572701</v>
      </c>
      <c r="AL7904">
        <v>91.688149759108896</v>
      </c>
      <c r="AM7904">
        <v>63.852880720871603</v>
      </c>
      <c r="AN7904">
        <v>1.0000000419689601</v>
      </c>
    </row>
    <row r="7905" spans="1:40" x14ac:dyDescent="0.25">
      <c r="A7905" t="str">
        <f>"20190303153959799"</f>
        <v>20190303153959799</v>
      </c>
      <c r="B7905" t="str">
        <f>"1551598799796336"</f>
        <v>1551598799796336</v>
      </c>
      <c r="C7905" t="s">
        <v>40</v>
      </c>
      <c r="D7905">
        <v>4.9818910000000001</v>
      </c>
      <c r="E7905">
        <v>0.62545319999999904</v>
      </c>
      <c r="F7905" t="s">
        <v>42</v>
      </c>
      <c r="G7905">
        <v>-301.64920000000001</v>
      </c>
      <c r="H7905" s="1">
        <v>-3.9955129999999998E-6</v>
      </c>
      <c r="I7905">
        <v>-12.12013</v>
      </c>
      <c r="J7905">
        <v>-303.73579999999998</v>
      </c>
      <c r="K7905">
        <v>1.0617030000000001</v>
      </c>
      <c r="L7905">
        <v>13.97781</v>
      </c>
      <c r="M7905">
        <v>0.75219749999999996</v>
      </c>
      <c r="N7905">
        <v>-1.675453E-2</v>
      </c>
      <c r="O7905">
        <v>-0.6587248</v>
      </c>
      <c r="P7905">
        <v>0.3863354</v>
      </c>
      <c r="Q7905">
        <v>-3.385941E-2</v>
      </c>
      <c r="R7905">
        <v>-0.92173700000000003</v>
      </c>
      <c r="S7905">
        <v>0.26062010000000002</v>
      </c>
      <c r="T7905">
        <v>-0.12775919999999999</v>
      </c>
      <c r="U7905">
        <v>-3.150757</v>
      </c>
      <c r="V7905">
        <v>0.43832779999999999</v>
      </c>
      <c r="W7905">
        <v>-2.9269719999999999E-2</v>
      </c>
      <c r="X7905">
        <v>0.89833850000000004</v>
      </c>
      <c r="Y7905">
        <v>0.69493539999999998</v>
      </c>
      <c r="Z7905">
        <v>-1.806607E-3</v>
      </c>
      <c r="AA7905">
        <v>0.71906999999999999</v>
      </c>
      <c r="AB7905">
        <v>18</v>
      </c>
      <c r="AC7905">
        <v>2.08659999999997</v>
      </c>
      <c r="AD7905">
        <v>-1.0617069955130001</v>
      </c>
      <c r="AE7905">
        <v>-26.097939999999902</v>
      </c>
      <c r="AF7905">
        <v>18.2288944617132</v>
      </c>
      <c r="AG7905">
        <v>-1.0617069955130001</v>
      </c>
      <c r="AH7905">
        <v>18.732722277958398</v>
      </c>
      <c r="AI7905">
        <v>92.326014027574203</v>
      </c>
      <c r="AJ7905">
        <v>45.780956633033703</v>
      </c>
      <c r="AK7905">
        <v>26.1597916464126</v>
      </c>
      <c r="AL7905">
        <v>91.677270941316806</v>
      </c>
      <c r="AM7905">
        <v>63.990786413905496</v>
      </c>
      <c r="AN7905">
        <v>1.00000001867198</v>
      </c>
    </row>
    <row r="7906" spans="1:40" x14ac:dyDescent="0.25">
      <c r="A7906" t="str">
        <f>"20190303153959821"</f>
        <v>20190303153959821</v>
      </c>
      <c r="B7906" t="str">
        <f>"1551598799815856"</f>
        <v>1551598799815856</v>
      </c>
      <c r="C7906" t="s">
        <v>40</v>
      </c>
      <c r="D7906">
        <v>5.0156970000000003</v>
      </c>
      <c r="E7906">
        <v>0.62443950000000004</v>
      </c>
      <c r="F7906" t="s">
        <v>42</v>
      </c>
      <c r="G7906">
        <v>-301.77050000000003</v>
      </c>
      <c r="H7906" s="1">
        <v>-3.931318E-6</v>
      </c>
      <c r="I7906">
        <v>-12.34501</v>
      </c>
      <c r="J7906">
        <v>-303.608</v>
      </c>
      <c r="K7906">
        <v>1.061707</v>
      </c>
      <c r="L7906">
        <v>13.83536</v>
      </c>
      <c r="M7906">
        <v>0.73939940000000004</v>
      </c>
      <c r="N7906">
        <v>-1.679317E-2</v>
      </c>
      <c r="O7906">
        <v>-0.67305769999999998</v>
      </c>
      <c r="P7906">
        <v>0.37096519999999999</v>
      </c>
      <c r="Q7906">
        <v>-3.494655E-2</v>
      </c>
      <c r="R7906">
        <v>-0.92798910000000001</v>
      </c>
      <c r="S7906">
        <v>0.23529050000000001</v>
      </c>
      <c r="T7906">
        <v>-0.1271099</v>
      </c>
      <c r="U7906">
        <v>-3.1514280000000001</v>
      </c>
      <c r="V7906">
        <v>0.43593769999999998</v>
      </c>
      <c r="W7906">
        <v>-3.02481E-2</v>
      </c>
      <c r="X7906">
        <v>0.89946839999999995</v>
      </c>
      <c r="Y7906">
        <v>0.68684999999999996</v>
      </c>
      <c r="Z7906">
        <v>-1.0063299999999999E-3</v>
      </c>
      <c r="AA7906">
        <v>0.72679859999999996</v>
      </c>
      <c r="AB7906">
        <v>18</v>
      </c>
      <c r="AC7906">
        <v>1.8374999999999699</v>
      </c>
      <c r="AD7906">
        <v>-1.061710931318</v>
      </c>
      <c r="AE7906">
        <v>-26.18037</v>
      </c>
      <c r="AF7906">
        <v>18.093949187334701</v>
      </c>
      <c r="AG7906">
        <v>-1.061710931318</v>
      </c>
      <c r="AH7906">
        <v>18.951206938163899</v>
      </c>
      <c r="AI7906">
        <v>92.320377884660004</v>
      </c>
      <c r="AJ7906">
        <v>46.325638533884998</v>
      </c>
      <c r="AK7906">
        <v>26.223395503035899</v>
      </c>
      <c r="AL7906">
        <v>91.733352833352598</v>
      </c>
      <c r="AM7906">
        <v>64.142318350313502</v>
      </c>
      <c r="AN7906">
        <v>1.00000001421673</v>
      </c>
    </row>
    <row r="7907" spans="1:40" x14ac:dyDescent="0.25">
      <c r="A7907" t="str">
        <f>"20190303153959837"</f>
        <v>20190303153959837</v>
      </c>
      <c r="B7907" t="str">
        <f>"1551598799826592"</f>
        <v>1551598799826592</v>
      </c>
      <c r="C7907" t="s">
        <v>40</v>
      </c>
      <c r="D7907">
        <v>5.0170339999999998</v>
      </c>
      <c r="E7907">
        <v>0.62392930000000002</v>
      </c>
      <c r="F7907" t="s">
        <v>42</v>
      </c>
      <c r="G7907">
        <v>-302.07670000000002</v>
      </c>
      <c r="H7907" s="1">
        <v>-4.282043E-6</v>
      </c>
      <c r="I7907">
        <v>-11.51271</v>
      </c>
      <c r="J7907">
        <v>-303.51870000000002</v>
      </c>
      <c r="K7907">
        <v>1.061707</v>
      </c>
      <c r="L7907">
        <v>13.732329999999999</v>
      </c>
      <c r="M7907">
        <v>0.73006450000000001</v>
      </c>
      <c r="N7907">
        <v>-1.6819239999999999E-2</v>
      </c>
      <c r="O7907">
        <v>-0.68317139999999998</v>
      </c>
      <c r="P7907">
        <v>0.35932550000000002</v>
      </c>
      <c r="Q7907">
        <v>-3.5062419999999997E-2</v>
      </c>
      <c r="R7907">
        <v>-0.93255359999999998</v>
      </c>
      <c r="S7907">
        <v>0.19039919999999999</v>
      </c>
      <c r="T7907">
        <v>-0.13200999999999999</v>
      </c>
      <c r="U7907">
        <v>-3.1517029999999999</v>
      </c>
      <c r="V7907">
        <v>0.43480580000000002</v>
      </c>
      <c r="W7907">
        <v>-3.0305479999999999E-2</v>
      </c>
      <c r="X7907">
        <v>0.90001419999999999</v>
      </c>
      <c r="Y7907">
        <v>0.68714049999999904</v>
      </c>
      <c r="Z7907" s="1">
        <v>2.9768790000000001E-5</v>
      </c>
      <c r="AA7907">
        <v>0.72652459999999996</v>
      </c>
      <c r="AB7907">
        <v>18</v>
      </c>
      <c r="AC7907">
        <v>1.4419999999999999</v>
      </c>
      <c r="AD7907">
        <v>-1.0617112820429999</v>
      </c>
      <c r="AE7907">
        <v>-25.245039999999999</v>
      </c>
      <c r="AF7907">
        <v>17.417134492658999</v>
      </c>
      <c r="AG7907">
        <v>-1.0617112820429999</v>
      </c>
      <c r="AH7907">
        <v>18.269819945153898</v>
      </c>
      <c r="AI7907">
        <v>92.408544758433393</v>
      </c>
      <c r="AJ7907">
        <v>46.368735004195301</v>
      </c>
      <c r="AK7907">
        <v>25.264008502415798</v>
      </c>
      <c r="AL7907">
        <v>91.736641940372493</v>
      </c>
      <c r="AM7907">
        <v>64.214350363814802</v>
      </c>
      <c r="AN7907">
        <v>1.0000000330166501</v>
      </c>
    </row>
    <row r="7908" spans="1:40" x14ac:dyDescent="0.25">
      <c r="A7908" t="str">
        <f>"20190303153959854"</f>
        <v>20190303153959854</v>
      </c>
      <c r="B7908" t="str">
        <f>"1551598799846620"</f>
        <v>1551598799846620</v>
      </c>
      <c r="C7908" t="s">
        <v>40</v>
      </c>
      <c r="D7908">
        <v>5.1225589999999999</v>
      </c>
      <c r="E7908">
        <v>0.62473909999999999</v>
      </c>
      <c r="F7908" t="s">
        <v>42</v>
      </c>
      <c r="G7908">
        <v>-302.2826</v>
      </c>
      <c r="H7908" s="1">
        <v>-4.3425299999999999E-6</v>
      </c>
      <c r="I7908">
        <v>-11.44228</v>
      </c>
      <c r="J7908">
        <v>-303.42419999999998</v>
      </c>
      <c r="K7908">
        <v>1.0617129999999999</v>
      </c>
      <c r="L7908">
        <v>13.62012</v>
      </c>
      <c r="M7908">
        <v>0.71982539999999995</v>
      </c>
      <c r="N7908">
        <v>-1.684652E-2</v>
      </c>
      <c r="O7908">
        <v>-0.69395090000000004</v>
      </c>
      <c r="P7908">
        <v>0.34878540000000002</v>
      </c>
      <c r="Q7908">
        <v>-3.5027629999999997E-2</v>
      </c>
      <c r="R7908">
        <v>-0.93654760000000004</v>
      </c>
      <c r="S7908">
        <v>0.15478520000000001</v>
      </c>
      <c r="T7908">
        <v>-0.1329466</v>
      </c>
      <c r="U7908">
        <v>-3.1523439999999998</v>
      </c>
      <c r="V7908">
        <v>0.43157600000000002</v>
      </c>
      <c r="W7908">
        <v>-3.014491E-2</v>
      </c>
      <c r="X7908">
        <v>0.90157279999999995</v>
      </c>
      <c r="Y7908">
        <v>0.68453050000000004</v>
      </c>
      <c r="Z7908">
        <v>7.2716269999999997E-4</v>
      </c>
      <c r="AA7908">
        <v>0.72898390000000002</v>
      </c>
      <c r="AB7908">
        <v>18</v>
      </c>
      <c r="AC7908">
        <v>1.14159999999998</v>
      </c>
      <c r="AD7908">
        <v>-1.0617173425299999</v>
      </c>
      <c r="AE7908">
        <v>-25.0624</v>
      </c>
      <c r="AF7908">
        <v>17.219944320337301</v>
      </c>
      <c r="AG7908">
        <v>-1.0617173425299999</v>
      </c>
      <c r="AH7908">
        <v>18.1838449295145</v>
      </c>
      <c r="AI7908">
        <v>92.427593169906999</v>
      </c>
      <c r="AJ7908">
        <v>46.559544845980902</v>
      </c>
      <c r="AK7908">
        <v>25.066031647063301</v>
      </c>
      <c r="AL7908">
        <v>91.727437746005606</v>
      </c>
      <c r="AM7908">
        <v>64.419918416843899</v>
      </c>
      <c r="AN7908">
        <v>1.00000003653737</v>
      </c>
    </row>
    <row r="7909" spans="1:40" x14ac:dyDescent="0.25">
      <c r="A7909" t="str">
        <f>"20190303153959870"</f>
        <v>20190303153959870</v>
      </c>
      <c r="B7909" t="str">
        <f>"1551598799866140"</f>
        <v>1551598799866140</v>
      </c>
      <c r="C7909" t="s">
        <v>40</v>
      </c>
      <c r="D7909">
        <v>5.0790170000000003</v>
      </c>
      <c r="E7909">
        <v>0.62585649999999904</v>
      </c>
      <c r="F7909" t="s">
        <v>42</v>
      </c>
      <c r="G7909">
        <v>-302.50650000000002</v>
      </c>
      <c r="H7909" s="1">
        <v>-4.202532E-6</v>
      </c>
      <c r="I7909">
        <v>-11.970359999999999</v>
      </c>
      <c r="J7909">
        <v>-303.34109999999998</v>
      </c>
      <c r="K7909">
        <v>1.0617129999999999</v>
      </c>
      <c r="L7909">
        <v>13.51877</v>
      </c>
      <c r="M7909">
        <v>0.71050400000000002</v>
      </c>
      <c r="N7909">
        <v>-1.6870639999999999E-2</v>
      </c>
      <c r="O7909">
        <v>-0.70349090000000003</v>
      </c>
      <c r="P7909">
        <v>0.33790239999999999</v>
      </c>
      <c r="Q7909">
        <v>-3.4751070000000002E-2</v>
      </c>
      <c r="R7909">
        <v>-0.94053929999999997</v>
      </c>
      <c r="S7909">
        <v>0.1131897</v>
      </c>
      <c r="T7909">
        <v>-0.1309476</v>
      </c>
      <c r="U7909">
        <v>-3.1562190000000001</v>
      </c>
      <c r="V7909">
        <v>0.43001840000000002</v>
      </c>
      <c r="W7909">
        <v>-2.980004E-2</v>
      </c>
      <c r="X7909">
        <v>0.90232809999999997</v>
      </c>
      <c r="Y7909">
        <v>0.68445210000000001</v>
      </c>
      <c r="Z7909">
        <v>8.8581539999999903E-4</v>
      </c>
      <c r="AA7909">
        <v>0.72905730000000002</v>
      </c>
      <c r="AB7909">
        <v>18</v>
      </c>
      <c r="AC7909">
        <v>0.83459999999996604</v>
      </c>
      <c r="AD7909">
        <v>-1.0617172025320001</v>
      </c>
      <c r="AE7909">
        <v>-25.489129999999999</v>
      </c>
      <c r="AF7909">
        <v>17.495167363241301</v>
      </c>
      <c r="AG7909">
        <v>-1.0617172025320001</v>
      </c>
      <c r="AH7909">
        <v>18.494939443710599</v>
      </c>
      <c r="AI7909">
        <v>92.388054655088297</v>
      </c>
      <c r="AJ7909">
        <v>46.591214864111201</v>
      </c>
      <c r="AK7909">
        <v>25.480794915239599</v>
      </c>
      <c r="AL7909">
        <v>91.707669445856595</v>
      </c>
      <c r="AM7909">
        <v>64.519144158244103</v>
      </c>
      <c r="AN7909">
        <v>0.99999993338608295</v>
      </c>
    </row>
    <row r="7910" spans="1:40" x14ac:dyDescent="0.25">
      <c r="A7910" t="str">
        <f>"20190303153959883"</f>
        <v>20190303153959883</v>
      </c>
      <c r="B7910" t="str">
        <f>"1551598799875900"</f>
        <v>1551598799875900</v>
      </c>
      <c r="C7910" t="s">
        <v>40</v>
      </c>
      <c r="D7910">
        <v>5.1163999999999996</v>
      </c>
      <c r="E7910">
        <v>0.62622500000000003</v>
      </c>
      <c r="F7910" t="s">
        <v>42</v>
      </c>
      <c r="G7910">
        <v>-302.79379999999998</v>
      </c>
      <c r="H7910" s="1">
        <v>-4.2592459999999998E-6</v>
      </c>
      <c r="I7910">
        <v>-11.95349</v>
      </c>
      <c r="J7910">
        <v>-303.26530000000002</v>
      </c>
      <c r="K7910">
        <v>1.061706</v>
      </c>
      <c r="L7910">
        <v>13.422969999999999</v>
      </c>
      <c r="M7910">
        <v>0.70165649999999902</v>
      </c>
      <c r="N7910">
        <v>-1.6893099999999901E-2</v>
      </c>
      <c r="O7910">
        <v>-0.71231560000000005</v>
      </c>
      <c r="P7910">
        <v>0.32789269999999998</v>
      </c>
      <c r="Q7910">
        <v>-3.4584589999999998E-2</v>
      </c>
      <c r="R7910">
        <v>-0.94408230000000004</v>
      </c>
      <c r="S7910">
        <v>6.7901610000000001E-2</v>
      </c>
      <c r="T7910">
        <v>-0.13172970000000001</v>
      </c>
      <c r="U7910">
        <v>-3.1604000000000001</v>
      </c>
      <c r="V7910">
        <v>0.42833539999999998</v>
      </c>
      <c r="W7910">
        <v>-2.9564960000000001E-2</v>
      </c>
      <c r="X7910">
        <v>0.9031361</v>
      </c>
      <c r="Y7910">
        <v>0.68581219999999998</v>
      </c>
      <c r="Z7910">
        <v>1.331437E-3</v>
      </c>
      <c r="AA7910">
        <v>0.72777729999999996</v>
      </c>
      <c r="AB7910">
        <v>18</v>
      </c>
      <c r="AC7910">
        <v>0.47150000000004799</v>
      </c>
      <c r="AD7910">
        <v>-1.0617102592459999</v>
      </c>
      <c r="AE7910">
        <v>-25.376460000000002</v>
      </c>
      <c r="AF7910">
        <v>17.441667888692901</v>
      </c>
      <c r="AG7910">
        <v>-1.0617102592459999</v>
      </c>
      <c r="AH7910">
        <v>18.377342080663102</v>
      </c>
      <c r="AI7910">
        <v>92.399539651962897</v>
      </c>
      <c r="AJ7910">
        <v>46.496356074036399</v>
      </c>
      <c r="AK7910">
        <v>25.358740295286001</v>
      </c>
      <c r="AL7910">
        <v>91.694194203754193</v>
      </c>
      <c r="AM7910">
        <v>64.626156616747295</v>
      </c>
      <c r="AN7910">
        <v>1.0000000584380799</v>
      </c>
    </row>
    <row r="7911" spans="1:40" x14ac:dyDescent="0.25">
      <c r="A7911" t="str">
        <f>"20190303153959897"</f>
        <v>20190303153959897</v>
      </c>
      <c r="B7911" t="str">
        <f>"1551598799886636"</f>
        <v>1551598799886636</v>
      </c>
      <c r="C7911" t="s">
        <v>40</v>
      </c>
      <c r="D7911">
        <v>5.1796309999999997</v>
      </c>
      <c r="E7911">
        <v>0.62623589999999996</v>
      </c>
      <c r="F7911" t="s">
        <v>42</v>
      </c>
      <c r="G7911">
        <v>-303.01190000000003</v>
      </c>
      <c r="H7911" s="1">
        <v>-4.2861100000000002E-6</v>
      </c>
      <c r="I7911">
        <v>-11.988239999999999</v>
      </c>
      <c r="J7911">
        <v>-303.19880000000001</v>
      </c>
      <c r="K7911">
        <v>1.0617019999999999</v>
      </c>
      <c r="L7911">
        <v>13.337070000000001</v>
      </c>
      <c r="M7911">
        <v>0.69366810000000001</v>
      </c>
      <c r="N7911">
        <v>-1.6912839999999998E-2</v>
      </c>
      <c r="O7911">
        <v>-0.72009619999999996</v>
      </c>
      <c r="P7911">
        <v>0.31908239999999999</v>
      </c>
      <c r="Q7911">
        <v>-3.4443399999999999E-2</v>
      </c>
      <c r="R7911">
        <v>-0.94710090000000002</v>
      </c>
      <c r="S7911">
        <v>3.1524660000000003E-2</v>
      </c>
      <c r="T7911">
        <v>-0.1321089</v>
      </c>
      <c r="U7911">
        <v>-3.1619259999999998</v>
      </c>
      <c r="V7911">
        <v>0.42668519999999999</v>
      </c>
      <c r="W7911">
        <v>-2.9358809999999999E-2</v>
      </c>
      <c r="X7911">
        <v>0.90392360000000005</v>
      </c>
      <c r="Y7911">
        <v>0.68607559999999901</v>
      </c>
      <c r="Z7911">
        <v>1.7293650000000001E-3</v>
      </c>
      <c r="AA7911">
        <v>0.72752819999999996</v>
      </c>
      <c r="AB7911">
        <v>18</v>
      </c>
      <c r="AC7911">
        <v>0.18689999999998</v>
      </c>
      <c r="AD7911">
        <v>-1.06170628611</v>
      </c>
      <c r="AE7911">
        <v>-25.325310000000002</v>
      </c>
      <c r="AF7911">
        <v>17.4046800368825</v>
      </c>
      <c r="AG7911">
        <v>-1.06170628611</v>
      </c>
      <c r="AH7911">
        <v>18.336707982816499</v>
      </c>
      <c r="AI7911">
        <v>92.404738629248797</v>
      </c>
      <c r="AJ7911">
        <v>46.493763144817002</v>
      </c>
      <c r="AK7911">
        <v>25.3038528108134</v>
      </c>
      <c r="AL7911">
        <v>91.682377585778596</v>
      </c>
      <c r="AM7911">
        <v>64.730965378897807</v>
      </c>
      <c r="AN7911">
        <v>1.0000000371302999</v>
      </c>
    </row>
    <row r="7912" spans="1:40" x14ac:dyDescent="0.25">
      <c r="A7912" t="str">
        <f>"20190303153959910"</f>
        <v>20190303153959910</v>
      </c>
      <c r="B7912" t="str">
        <f>"1551598799906155"</f>
        <v>1551598799906155</v>
      </c>
      <c r="C7912" t="s">
        <v>40</v>
      </c>
      <c r="D7912">
        <v>5.1214240000000002</v>
      </c>
      <c r="E7912">
        <v>0.62647269999999999</v>
      </c>
      <c r="F7912" t="s">
        <v>42</v>
      </c>
      <c r="G7912">
        <v>-303.18209999999999</v>
      </c>
      <c r="H7912" s="1">
        <v>-4.407809E-6</v>
      </c>
      <c r="I7912">
        <v>-11.71932</v>
      </c>
      <c r="J7912">
        <v>-303.13150000000002</v>
      </c>
      <c r="K7912">
        <v>1.0616969999999999</v>
      </c>
      <c r="L7912">
        <v>13.2485</v>
      </c>
      <c r="M7912">
        <v>0.68538140000000003</v>
      </c>
      <c r="N7912">
        <v>-1.6932829999999999E-2</v>
      </c>
      <c r="O7912">
        <v>-0.7279873</v>
      </c>
      <c r="P7912">
        <v>0.3114209</v>
      </c>
      <c r="Q7912">
        <v>-3.4418070000000002E-2</v>
      </c>
      <c r="R7912">
        <v>-0.94964879999999996</v>
      </c>
      <c r="S7912">
        <v>2.1057129999999999E-3</v>
      </c>
      <c r="T7912">
        <v>-0.13398189999999999</v>
      </c>
      <c r="U7912">
        <v>-3.1619869999999999</v>
      </c>
      <c r="V7912">
        <v>0.42364439999999998</v>
      </c>
      <c r="W7912">
        <v>-2.922485E-2</v>
      </c>
      <c r="X7912">
        <v>0.90535710000000003</v>
      </c>
      <c r="Y7912">
        <v>0.68451569999999995</v>
      </c>
      <c r="Z7912">
        <v>2.4193069999999999E-3</v>
      </c>
      <c r="AA7912">
        <v>0.72899409999999998</v>
      </c>
      <c r="AB7912">
        <v>18</v>
      </c>
      <c r="AC7912">
        <v>-5.0599999999974402E-2</v>
      </c>
      <c r="AD7912">
        <v>-1.0617014078089999</v>
      </c>
      <c r="AE7912">
        <v>-24.96782</v>
      </c>
      <c r="AF7912">
        <v>17.120818034100001</v>
      </c>
      <c r="AG7912">
        <v>-1.0617014078089999</v>
      </c>
      <c r="AH7912">
        <v>18.111429150810899</v>
      </c>
      <c r="AI7912">
        <v>92.439302049504093</v>
      </c>
      <c r="AJ7912">
        <v>46.610538391383002</v>
      </c>
      <c r="AK7912">
        <v>24.945410117313202</v>
      </c>
      <c r="AL7912">
        <v>91.674698886761007</v>
      </c>
      <c r="AM7912">
        <v>64.923662301230095</v>
      </c>
      <c r="AN7912">
        <v>1.00000007401464</v>
      </c>
    </row>
    <row r="7913" spans="1:40" x14ac:dyDescent="0.25">
      <c r="A7913" t="str">
        <f>"20190303153959925"</f>
        <v>20190303153959925</v>
      </c>
      <c r="B7913" t="str">
        <f>"1551598799915916"</f>
        <v>1551598799915916</v>
      </c>
      <c r="C7913" t="s">
        <v>40</v>
      </c>
      <c r="D7913">
        <v>5.0675049999999997</v>
      </c>
      <c r="E7913">
        <v>0.62651129999999999</v>
      </c>
      <c r="F7913" t="s">
        <v>42</v>
      </c>
      <c r="G7913">
        <v>-303.32940000000002</v>
      </c>
      <c r="H7913" s="1">
        <v>-4.5193580000000004E-6</v>
      </c>
      <c r="I7913">
        <v>-11.46833</v>
      </c>
      <c r="J7913">
        <v>-303.04950000000002</v>
      </c>
      <c r="K7913">
        <v>1.06169</v>
      </c>
      <c r="L7913">
        <v>13.136810000000001</v>
      </c>
      <c r="M7913">
        <v>0.67487189999999997</v>
      </c>
      <c r="N7913">
        <v>-1.6957719999999999E-2</v>
      </c>
      <c r="O7913">
        <v>-0.73773999999999995</v>
      </c>
      <c r="P7913">
        <v>0.29978640000000001</v>
      </c>
      <c r="Q7913">
        <v>-3.4781670000000001E-2</v>
      </c>
      <c r="R7913">
        <v>-0.95337190000000005</v>
      </c>
      <c r="S7913">
        <v>-2.5329589999999999E-2</v>
      </c>
      <c r="T7913">
        <v>-0.1358415</v>
      </c>
      <c r="U7913">
        <v>-3.162445</v>
      </c>
      <c r="V7913">
        <v>0.4217147</v>
      </c>
      <c r="W7913">
        <v>-2.951606E-2</v>
      </c>
      <c r="X7913">
        <v>0.90624800000000005</v>
      </c>
      <c r="Y7913">
        <v>0.68037910000000001</v>
      </c>
      <c r="Z7913">
        <v>3.2940130000000001E-3</v>
      </c>
      <c r="AA7913">
        <v>0.73285290000000003</v>
      </c>
      <c r="AB7913">
        <v>18</v>
      </c>
      <c r="AC7913">
        <v>-0.27989999999999698</v>
      </c>
      <c r="AD7913">
        <v>-1.0616945193580001</v>
      </c>
      <c r="AE7913">
        <v>-24.605139999999999</v>
      </c>
      <c r="AF7913">
        <v>16.7829856012739</v>
      </c>
      <c r="AG7913">
        <v>-1.0616945193580001</v>
      </c>
      <c r="AH7913">
        <v>17.9324995991573</v>
      </c>
      <c r="AI7913">
        <v>92.475173954369296</v>
      </c>
      <c r="AJ7913">
        <v>46.896509434210003</v>
      </c>
      <c r="AK7913">
        <v>24.583944818087701</v>
      </c>
      <c r="AL7913">
        <v>91.691391380617702</v>
      </c>
      <c r="AM7913">
        <v>65.0454919319629</v>
      </c>
      <c r="AN7913">
        <v>0.99999996174900596</v>
      </c>
    </row>
    <row r="7914" spans="1:40" x14ac:dyDescent="0.25">
      <c r="A7914" t="str">
        <f>"20190303153959944"</f>
        <v>20190303153959944</v>
      </c>
      <c r="B7914" t="str">
        <f>"1551598799936412"</f>
        <v>1551598799936412</v>
      </c>
      <c r="C7914" t="s">
        <v>40</v>
      </c>
      <c r="D7914">
        <v>5.096533</v>
      </c>
      <c r="E7914">
        <v>0.62629309999999905</v>
      </c>
      <c r="F7914" t="s">
        <v>42</v>
      </c>
      <c r="G7914">
        <v>-303.54700000000003</v>
      </c>
      <c r="H7914" s="1">
        <v>-4.5868540000000001E-6</v>
      </c>
      <c r="I7914">
        <v>-11.383369999999999</v>
      </c>
      <c r="J7914">
        <v>-302.96269999999998</v>
      </c>
      <c r="K7914">
        <v>1.061679</v>
      </c>
      <c r="L7914">
        <v>13.01459</v>
      </c>
      <c r="M7914">
        <v>0.66328640000000005</v>
      </c>
      <c r="N7914">
        <v>-1.6984840000000001E-2</v>
      </c>
      <c r="O7914">
        <v>-0.74817309999999904</v>
      </c>
      <c r="P7914">
        <v>0.28961379999999998</v>
      </c>
      <c r="Q7914">
        <v>-3.4919239999999997E-2</v>
      </c>
      <c r="R7914">
        <v>-0.95650670000000004</v>
      </c>
      <c r="S7914">
        <v>-6.4147949999999995E-2</v>
      </c>
      <c r="T7914">
        <v>-0.13690629999999901</v>
      </c>
      <c r="U7914">
        <v>-3.161896</v>
      </c>
      <c r="V7914">
        <v>0.41722959999999898</v>
      </c>
      <c r="W7914">
        <v>-2.950034E-2</v>
      </c>
      <c r="X7914">
        <v>0.90832219999999997</v>
      </c>
      <c r="Y7914">
        <v>0.67794849999999995</v>
      </c>
      <c r="Z7914">
        <v>4.0505649999999999E-3</v>
      </c>
      <c r="AA7914">
        <v>0.73509829999999998</v>
      </c>
      <c r="AB7914">
        <v>18</v>
      </c>
      <c r="AC7914">
        <v>-0.58430000000004101</v>
      </c>
      <c r="AD7914">
        <v>-1.061683586854</v>
      </c>
      <c r="AE7914">
        <v>-24.397960000000001</v>
      </c>
      <c r="AF7914">
        <v>16.590989434862099</v>
      </c>
      <c r="AG7914">
        <v>-1.061683586854</v>
      </c>
      <c r="AH7914">
        <v>17.835160989759601</v>
      </c>
      <c r="AI7914">
        <v>92.495663674874194</v>
      </c>
      <c r="AJ7914">
        <v>47.069786094032096</v>
      </c>
      <c r="AK7914">
        <v>24.381982487011701</v>
      </c>
      <c r="AL7914">
        <v>91.690490210027093</v>
      </c>
      <c r="AM7914">
        <v>65.328742692804298</v>
      </c>
      <c r="AN7914">
        <v>1.00000001409455</v>
      </c>
    </row>
    <row r="7915" spans="1:40" x14ac:dyDescent="0.25">
      <c r="A7915" t="str">
        <f>"20190303153959959"</f>
        <v>20190303153959959</v>
      </c>
      <c r="B7915" t="str">
        <f>"1551598799955933"</f>
        <v>1551598799955933</v>
      </c>
      <c r="C7915" t="s">
        <v>40</v>
      </c>
      <c r="D7915">
        <v>5.0729649999999999</v>
      </c>
      <c r="E7915">
        <v>0.62630169999999996</v>
      </c>
      <c r="F7915" t="s">
        <v>42</v>
      </c>
      <c r="G7915">
        <v>-303.70240000000001</v>
      </c>
      <c r="H7915" s="1">
        <v>-4.6515390000000003E-6</v>
      </c>
      <c r="I7915">
        <v>-11.27431</v>
      </c>
      <c r="J7915">
        <v>-302.88749999999999</v>
      </c>
      <c r="K7915">
        <v>1.0616680000000001</v>
      </c>
      <c r="L7915">
        <v>12.9053</v>
      </c>
      <c r="M7915">
        <v>0.65285459999999995</v>
      </c>
      <c r="N7915">
        <v>-1.7009170000000001E-2</v>
      </c>
      <c r="O7915">
        <v>-0.75729259999999998</v>
      </c>
      <c r="P7915">
        <v>0.27890809999999999</v>
      </c>
      <c r="Q7915">
        <v>-3.4774329999999999E-2</v>
      </c>
      <c r="R7915">
        <v>-0.95968819999999999</v>
      </c>
      <c r="S7915">
        <v>-9.6252439999999995E-2</v>
      </c>
      <c r="T7915">
        <v>-0.13814849999999901</v>
      </c>
      <c r="U7915">
        <v>-3.1605219999999998</v>
      </c>
      <c r="V7915">
        <v>0.41479880000000002</v>
      </c>
      <c r="W7915">
        <v>-2.926925E-2</v>
      </c>
      <c r="X7915">
        <v>0.90944219999999998</v>
      </c>
      <c r="Y7915">
        <v>0.67522869999999902</v>
      </c>
      <c r="Z7915">
        <v>4.7964710000000001E-3</v>
      </c>
      <c r="AA7915">
        <v>0.7375929</v>
      </c>
      <c r="AB7915">
        <v>18</v>
      </c>
      <c r="AC7915">
        <v>-0.81490000000002205</v>
      </c>
      <c r="AD7915">
        <v>-1.061672651539</v>
      </c>
      <c r="AE7915">
        <v>-24.17961</v>
      </c>
      <c r="AF7915">
        <v>16.3737253973847</v>
      </c>
      <c r="AG7915">
        <v>-1.061672651539</v>
      </c>
      <c r="AH7915">
        <v>17.747419973702002</v>
      </c>
      <c r="AI7915">
        <v>92.517522578049494</v>
      </c>
      <c r="AJ7915">
        <v>47.3054448768236</v>
      </c>
      <c r="AK7915">
        <v>24.170166485379202</v>
      </c>
      <c r="AL7915">
        <v>91.677244159073595</v>
      </c>
      <c r="AM7915">
        <v>65.482155702665196</v>
      </c>
      <c r="AN7915">
        <v>0.99999992430891804</v>
      </c>
    </row>
    <row r="7916" spans="1:40" x14ac:dyDescent="0.25">
      <c r="A7916" t="str">
        <f>"20190303153959974"</f>
        <v>20190303153959974</v>
      </c>
      <c r="B7916" t="str">
        <f>"1551598799966668"</f>
        <v>1551598799966668</v>
      </c>
      <c r="C7916" t="s">
        <v>40</v>
      </c>
      <c r="D7916">
        <v>5.0920620000000003</v>
      </c>
      <c r="E7916">
        <v>0.62610659999999996</v>
      </c>
      <c r="F7916" t="s">
        <v>42</v>
      </c>
      <c r="G7916">
        <v>-303.93360000000001</v>
      </c>
      <c r="H7916" s="1">
        <v>-4.3793020000000002E-6</v>
      </c>
      <c r="I7916">
        <v>-12.19482</v>
      </c>
      <c r="J7916">
        <v>-302.81830000000002</v>
      </c>
      <c r="K7916">
        <v>1.0616589999999999</v>
      </c>
      <c r="L7916">
        <v>12.801970000000001</v>
      </c>
      <c r="M7916">
        <v>0.64291999999999905</v>
      </c>
      <c r="N7916">
        <v>-1.7032129999999999E-2</v>
      </c>
      <c r="O7916">
        <v>-0.76574409999999904</v>
      </c>
      <c r="P7916">
        <v>0.26882410000000001</v>
      </c>
      <c r="Q7916">
        <v>-3.4589519999999999E-2</v>
      </c>
      <c r="R7916">
        <v>-0.96256819999999998</v>
      </c>
      <c r="S7916">
        <v>-0.131683299999999</v>
      </c>
      <c r="T7916">
        <v>-0.13363699999999901</v>
      </c>
      <c r="U7916">
        <v>-3.1594540000000002</v>
      </c>
      <c r="V7916">
        <v>0.41248600000000002</v>
      </c>
      <c r="W7916">
        <v>-2.9002569999999998E-2</v>
      </c>
      <c r="X7916">
        <v>0.91050209999999998</v>
      </c>
      <c r="Y7916">
        <v>0.67389449999999995</v>
      </c>
      <c r="Z7916">
        <v>4.5357069999999999E-3</v>
      </c>
      <c r="AA7916">
        <v>0.73881359999999996</v>
      </c>
      <c r="AB7916">
        <v>18</v>
      </c>
      <c r="AC7916">
        <v>-1.11529999999999</v>
      </c>
      <c r="AD7916">
        <v>-1.0616633793019901</v>
      </c>
      <c r="AE7916">
        <v>-24.996790000000001</v>
      </c>
      <c r="AF7916">
        <v>16.897004540945101</v>
      </c>
      <c r="AG7916">
        <v>-1.0616633793019901</v>
      </c>
      <c r="AH7916">
        <v>18.393652616055601</v>
      </c>
      <c r="AI7916">
        <v>92.433958517148994</v>
      </c>
      <c r="AJ7916">
        <v>47.428412254581303</v>
      </c>
      <c r="AK7916">
        <v>24.999246951614399</v>
      </c>
      <c r="AL7916">
        <v>91.661957967673004</v>
      </c>
      <c r="AM7916">
        <v>65.627983021019801</v>
      </c>
      <c r="AN7916">
        <v>0.99999996168350602</v>
      </c>
    </row>
    <row r="7917" spans="1:40" x14ac:dyDescent="0.25">
      <c r="A7917" t="str">
        <f>"20190303153959989"</f>
        <v>20190303153959989</v>
      </c>
      <c r="B7917" t="str">
        <f>"1551598799986188"</f>
        <v>1551598799986188</v>
      </c>
      <c r="C7917" t="s">
        <v>40</v>
      </c>
      <c r="D7917">
        <v>5.1098679999999996</v>
      </c>
      <c r="E7917">
        <v>0.62541420000000003</v>
      </c>
      <c r="F7917" t="s">
        <v>42</v>
      </c>
      <c r="G7917">
        <v>-304.11500000000001</v>
      </c>
      <c r="H7917" s="1">
        <v>-4.3733750000000003E-6</v>
      </c>
      <c r="I7917">
        <v>-12.30678</v>
      </c>
      <c r="J7917">
        <v>-302.75009999999997</v>
      </c>
      <c r="K7917">
        <v>1.061655</v>
      </c>
      <c r="L7917">
        <v>12.6972</v>
      </c>
      <c r="M7917">
        <v>0.63277620000000001</v>
      </c>
      <c r="N7917">
        <v>-1.7055270000000001E-2</v>
      </c>
      <c r="O7917">
        <v>-0.77414700000000003</v>
      </c>
      <c r="P7917">
        <v>0.26342480000000001</v>
      </c>
      <c r="Q7917">
        <v>-3.4393590000000002E-2</v>
      </c>
      <c r="R7917">
        <v>-0.96406670000000005</v>
      </c>
      <c r="S7917">
        <v>-0.16305539999999999</v>
      </c>
      <c r="T7917">
        <v>-0.13350339999999999</v>
      </c>
      <c r="U7917">
        <v>-3.15741</v>
      </c>
      <c r="V7917">
        <v>0.40559790000000001</v>
      </c>
      <c r="W7917">
        <v>-2.8579159999999999E-2</v>
      </c>
      <c r="X7917">
        <v>0.91360469999999905</v>
      </c>
      <c r="Y7917">
        <v>0.67150909999999997</v>
      </c>
      <c r="Z7917">
        <v>5.0082900000000003E-3</v>
      </c>
      <c r="AA7917">
        <v>0.74097939999999995</v>
      </c>
      <c r="AB7917">
        <v>18</v>
      </c>
      <c r="AC7917">
        <v>-1.36490000000003</v>
      </c>
      <c r="AD7917">
        <v>-1.0616593733749999</v>
      </c>
      <c r="AE7917">
        <v>-25.003979999999999</v>
      </c>
      <c r="AF7917">
        <v>16.850722001326801</v>
      </c>
      <c r="AG7917">
        <v>-1.0616593733749999</v>
      </c>
      <c r="AH7917">
        <v>18.4625826463446</v>
      </c>
      <c r="AI7917">
        <v>92.432044886277296</v>
      </c>
      <c r="AJ7917">
        <v>47.613427327806797</v>
      </c>
      <c r="AK7917">
        <v>25.018811134108201</v>
      </c>
      <c r="AL7917">
        <v>91.637688259305307</v>
      </c>
      <c r="AM7917">
        <v>66.061009964897906</v>
      </c>
      <c r="AN7917">
        <v>0.99999998636640197</v>
      </c>
    </row>
    <row r="7918" spans="1:40" x14ac:dyDescent="0.25">
      <c r="A7918" t="str">
        <f>"20190303154000012"</f>
        <v>20190303154000012</v>
      </c>
      <c r="B7918" t="str">
        <f>"1551598800005708"</f>
        <v>1551598800005708</v>
      </c>
      <c r="C7918" t="s">
        <v>40</v>
      </c>
      <c r="D7918">
        <v>5.1143210000000003</v>
      </c>
      <c r="E7918">
        <v>0.62495959999999995</v>
      </c>
      <c r="F7918" t="s">
        <v>42</v>
      </c>
      <c r="G7918">
        <v>-304.13099999999997</v>
      </c>
      <c r="H7918" s="1">
        <v>-4.4416019999999996E-6</v>
      </c>
      <c r="I7918">
        <v>-12.114649999999999</v>
      </c>
      <c r="J7918">
        <v>-302.6499</v>
      </c>
      <c r="K7918">
        <v>1.0616429999999999</v>
      </c>
      <c r="L7918">
        <v>12.536619999999999</v>
      </c>
      <c r="M7918">
        <v>0.61713619999999902</v>
      </c>
      <c r="N7918">
        <v>-1.708877E-2</v>
      </c>
      <c r="O7918">
        <v>-0.78667089999999995</v>
      </c>
      <c r="P7918">
        <v>0.24954750000000001</v>
      </c>
      <c r="Q7918">
        <v>-3.5377039999999998E-2</v>
      </c>
      <c r="R7918">
        <v>-0.96771620000000003</v>
      </c>
      <c r="S7918">
        <v>-0.17559810000000001</v>
      </c>
      <c r="T7918">
        <v>-0.13499610000000001</v>
      </c>
      <c r="U7918">
        <v>-3.1549680000000002</v>
      </c>
      <c r="V7918">
        <v>0.4003681</v>
      </c>
      <c r="W7918">
        <v>-2.9379769999999999E-2</v>
      </c>
      <c r="X7918">
        <v>0.91588329999999996</v>
      </c>
      <c r="Y7918">
        <v>0.65955540000000001</v>
      </c>
      <c r="Z7918">
        <v>6.2566389999999996E-3</v>
      </c>
      <c r="AA7918">
        <v>0.75162989999999996</v>
      </c>
      <c r="AB7918">
        <v>18</v>
      </c>
      <c r="AC7918">
        <v>-1.4810999999999599</v>
      </c>
      <c r="AD7918">
        <v>-1.0616474416020001</v>
      </c>
      <c r="AE7918">
        <v>-24.65127</v>
      </c>
      <c r="AF7918">
        <v>16.350502748035201</v>
      </c>
      <c r="AG7918">
        <v>-1.0616474416020001</v>
      </c>
      <c r="AH7918">
        <v>18.4470017238846</v>
      </c>
      <c r="AI7918">
        <v>92.466123074312804</v>
      </c>
      <c r="AJ7918">
        <v>48.447819585952601</v>
      </c>
      <c r="AK7918">
        <v>24.673019839589401</v>
      </c>
      <c r="AL7918">
        <v>91.683579081350501</v>
      </c>
      <c r="AM7918">
        <v>66.387996402741905</v>
      </c>
      <c r="AN7918">
        <v>1.00000000280087</v>
      </c>
    </row>
    <row r="7919" spans="1:40" x14ac:dyDescent="0.25">
      <c r="A7919" t="str">
        <f>"20190303154000034"</f>
        <v>20190303154000034</v>
      </c>
      <c r="B7919" t="str">
        <f>"1551598800026204"</f>
        <v>1551598800026204</v>
      </c>
      <c r="C7919" t="s">
        <v>40</v>
      </c>
      <c r="D7919">
        <v>5.1103120000000004</v>
      </c>
      <c r="E7919">
        <v>0.62432310000000002</v>
      </c>
      <c r="F7919" t="s">
        <v>42</v>
      </c>
      <c r="G7919">
        <v>-304.33519999999999</v>
      </c>
      <c r="H7919" s="1">
        <v>-4.5574709999999998E-6</v>
      </c>
      <c r="I7919">
        <v>-11.880599999999999</v>
      </c>
      <c r="J7919">
        <v>-302.55270000000002</v>
      </c>
      <c r="K7919">
        <v>1.0616449999999999</v>
      </c>
      <c r="L7919">
        <v>12.373200000000001</v>
      </c>
      <c r="M7919">
        <v>0.6010858</v>
      </c>
      <c r="N7919">
        <v>-1.7119099999999901E-2</v>
      </c>
      <c r="O7919">
        <v>-0.79900109999999902</v>
      </c>
      <c r="P7919">
        <v>0.2359754</v>
      </c>
      <c r="Q7919">
        <v>-3.7395190000000002E-2</v>
      </c>
      <c r="R7919">
        <v>-0.9710394</v>
      </c>
      <c r="S7919">
        <v>-0.21749879999999999</v>
      </c>
      <c r="T7919">
        <v>-0.13701050000000001</v>
      </c>
      <c r="U7919">
        <v>-3.151154</v>
      </c>
      <c r="V7919">
        <v>0.39455440000000003</v>
      </c>
      <c r="W7919">
        <v>-3.1191190000000001E-2</v>
      </c>
      <c r="X7919">
        <v>0.91834309999999997</v>
      </c>
      <c r="Y7919">
        <v>0.65433409999999903</v>
      </c>
      <c r="Z7919">
        <v>7.4202779999999998E-3</v>
      </c>
      <c r="AA7919">
        <v>0.75616909999999904</v>
      </c>
      <c r="AB7919">
        <v>18</v>
      </c>
      <c r="AC7919">
        <v>-1.78249999999997</v>
      </c>
      <c r="AD7919">
        <v>-1.0616495574709901</v>
      </c>
      <c r="AE7919">
        <v>-24.253799999999998</v>
      </c>
      <c r="AF7919">
        <v>15.974736321898</v>
      </c>
      <c r="AG7919">
        <v>-1.0616495574709901</v>
      </c>
      <c r="AH7919">
        <v>18.275233188879799</v>
      </c>
      <c r="AI7919">
        <v>92.504404387834896</v>
      </c>
      <c r="AJ7919">
        <v>48.842662597381803</v>
      </c>
      <c r="AK7919">
        <v>24.296161187417699</v>
      </c>
      <c r="AL7919">
        <v>91.787413349029407</v>
      </c>
      <c r="AM7919">
        <v>66.749838469488495</v>
      </c>
      <c r="AN7919">
        <v>1.0000000571052901</v>
      </c>
    </row>
    <row r="7920" spans="1:40" x14ac:dyDescent="0.25">
      <c r="A7920" t="str">
        <f>"20190303154000055"</f>
        <v>20190303154000055</v>
      </c>
      <c r="B7920" t="str">
        <f>"1551598800045723"</f>
        <v>1551598800045723</v>
      </c>
      <c r="C7920" t="s">
        <v>40</v>
      </c>
      <c r="D7920">
        <v>5.1421989999999997</v>
      </c>
      <c r="E7920">
        <v>0.62398089999999995</v>
      </c>
      <c r="F7920" t="s">
        <v>42</v>
      </c>
      <c r="G7920">
        <v>-304.45139999999998</v>
      </c>
      <c r="H7920" s="1">
        <v>-4.909004E-6</v>
      </c>
      <c r="I7920">
        <v>-10.90814</v>
      </c>
      <c r="J7920">
        <v>-302.46339999999998</v>
      </c>
      <c r="K7920">
        <v>1.0616669999999999</v>
      </c>
      <c r="L7920">
        <v>12.216060000000001</v>
      </c>
      <c r="M7920">
        <v>0.5855456</v>
      </c>
      <c r="N7920">
        <v>-1.7143019999999998E-2</v>
      </c>
      <c r="O7920">
        <v>-0.81045829999999996</v>
      </c>
      <c r="P7920">
        <v>0.22422429999999999</v>
      </c>
      <c r="Q7920">
        <v>-3.9182929999999998E-2</v>
      </c>
      <c r="R7920">
        <v>-0.97374959999999999</v>
      </c>
      <c r="S7920">
        <v>-0.25659179999999998</v>
      </c>
      <c r="T7920">
        <v>-0.14347409999999999</v>
      </c>
      <c r="U7920">
        <v>-3.1463009999999998</v>
      </c>
      <c r="V7920">
        <v>0.38783210000000001</v>
      </c>
      <c r="W7920">
        <v>-3.2737000000000002E-2</v>
      </c>
      <c r="X7920">
        <v>0.92114850000000004</v>
      </c>
      <c r="Y7920">
        <v>0.649128699999999</v>
      </c>
      <c r="Z7920">
        <v>9.4158780000000008E-3</v>
      </c>
      <c r="AA7920">
        <v>0.76062030000000003</v>
      </c>
      <c r="AB7920">
        <v>18</v>
      </c>
      <c r="AC7920">
        <v>-1.98799999999999</v>
      </c>
      <c r="AD7920">
        <v>-1.0616719090040001</v>
      </c>
      <c r="AE7920">
        <v>-23.124199999999998</v>
      </c>
      <c r="AF7920">
        <v>15.1220484036784</v>
      </c>
      <c r="AG7920">
        <v>-1.0616719090040001</v>
      </c>
      <c r="AH7920">
        <v>17.543009517908398</v>
      </c>
      <c r="AI7920">
        <v>92.624527327742797</v>
      </c>
      <c r="AJ7920">
        <v>49.238710038433297</v>
      </c>
      <c r="AK7920">
        <v>23.185354819605099</v>
      </c>
      <c r="AL7920">
        <v>91.876027121414197</v>
      </c>
      <c r="AM7920">
        <v>67.167397221390701</v>
      </c>
      <c r="AN7920">
        <v>1.0000000040058299</v>
      </c>
    </row>
    <row r="7921" spans="1:40" x14ac:dyDescent="0.25">
      <c r="A7921" t="str">
        <f>"20190303154000077"</f>
        <v>20190303154000077</v>
      </c>
      <c r="B7921" t="str">
        <f>"1551598800066219"</f>
        <v>1551598800066219</v>
      </c>
      <c r="C7921" t="s">
        <v>40</v>
      </c>
      <c r="D7921">
        <v>5.1270530000000001</v>
      </c>
      <c r="E7921">
        <v>0.60647320000000005</v>
      </c>
      <c r="F7921" t="s">
        <v>42</v>
      </c>
      <c r="G7921">
        <v>-304.54199999999997</v>
      </c>
      <c r="H7921" s="1">
        <v>-8.8307009999999897E-7</v>
      </c>
      <c r="I7921">
        <v>-10.151109999999999</v>
      </c>
      <c r="J7921">
        <v>-302.37400000000002</v>
      </c>
      <c r="K7921">
        <v>1.0617080000000001</v>
      </c>
      <c r="L7921">
        <v>12.050929999999999</v>
      </c>
      <c r="M7921">
        <v>0.56912399999999996</v>
      </c>
      <c r="N7921">
        <v>-1.7161719999999998E-2</v>
      </c>
      <c r="O7921">
        <v>-0.82207280000000005</v>
      </c>
      <c r="P7921">
        <v>0.21234529999999999</v>
      </c>
      <c r="Q7921">
        <v>-3.8530549999999997E-2</v>
      </c>
      <c r="R7921">
        <v>-0.9764351</v>
      </c>
      <c r="S7921">
        <v>-0.29199219999999998</v>
      </c>
      <c r="T7921">
        <v>-0.1491421</v>
      </c>
      <c r="U7921">
        <v>-3.1421199999999998</v>
      </c>
      <c r="V7921">
        <v>0.38055149999999999</v>
      </c>
      <c r="W7921">
        <v>-3.1813609999999999E-2</v>
      </c>
      <c r="X7921">
        <v>0.92421229999999999</v>
      </c>
      <c r="Y7921">
        <v>0.64238209999999996</v>
      </c>
      <c r="Z7921">
        <v>1.139485E-2</v>
      </c>
      <c r="AA7921">
        <v>0.76629969999999903</v>
      </c>
      <c r="AB7921">
        <v>18</v>
      </c>
      <c r="AC7921">
        <v>-2.1680000000000001</v>
      </c>
      <c r="AD7921">
        <v>-1.0617088830701</v>
      </c>
      <c r="AE7921">
        <v>-22.20204</v>
      </c>
      <c r="AF7921">
        <v>14.3874985364506</v>
      </c>
      <c r="AG7921">
        <v>-1.0617088830701</v>
      </c>
      <c r="AH7921">
        <v>16.9818690247677</v>
      </c>
      <c r="AI7921">
        <v>92.731039730134697</v>
      </c>
      <c r="AJ7921">
        <v>49.727827303800098</v>
      </c>
      <c r="AK7921">
        <v>22.282531621499501</v>
      </c>
      <c r="AL7921">
        <v>91.823093267523006</v>
      </c>
      <c r="AM7921">
        <v>67.620209805252301</v>
      </c>
      <c r="AN7921">
        <v>0.999999962702385</v>
      </c>
    </row>
    <row r="7922" spans="1:40" x14ac:dyDescent="0.25">
      <c r="A7922" t="str">
        <f>"20190303154000100"</f>
        <v>20190303154000100</v>
      </c>
      <c r="B7922" t="str">
        <f>"1551598800096477"</f>
        <v>1551598800096477</v>
      </c>
      <c r="C7922" t="s">
        <v>40</v>
      </c>
      <c r="D7922">
        <v>5.1398950000000001</v>
      </c>
      <c r="E7922">
        <v>0.60571219999999903</v>
      </c>
      <c r="F7922" t="s">
        <v>42</v>
      </c>
      <c r="G7922">
        <v>-303.48899999999998</v>
      </c>
      <c r="H7922" s="1">
        <v>-2.6916019999999998E-6</v>
      </c>
      <c r="I7922">
        <v>-5.7324929999999998</v>
      </c>
      <c r="J7922">
        <v>-302.28739999999999</v>
      </c>
      <c r="K7922">
        <v>1.061782</v>
      </c>
      <c r="L7922">
        <v>11.88287</v>
      </c>
      <c r="M7922">
        <v>0.55232950000000003</v>
      </c>
      <c r="N7922">
        <v>-1.7173580000000001E-2</v>
      </c>
      <c r="O7922">
        <v>-0.833449</v>
      </c>
      <c r="P7922">
        <v>0.20034750000000001</v>
      </c>
      <c r="Q7922">
        <v>-3.2875250000000002E-2</v>
      </c>
      <c r="R7922">
        <v>-0.97917339999999997</v>
      </c>
      <c r="S7922">
        <v>-0.1948242</v>
      </c>
      <c r="T7922">
        <v>-0.18552199999999999</v>
      </c>
      <c r="U7922">
        <v>-3.1074519999999999</v>
      </c>
      <c r="V7922">
        <v>0.37339030000000001</v>
      </c>
      <c r="W7922">
        <v>-2.5879349999999999E-2</v>
      </c>
      <c r="X7922">
        <v>0.92731330000000001</v>
      </c>
      <c r="Y7922">
        <v>0.60294309999999995</v>
      </c>
      <c r="Z7922">
        <v>2.1091680000000002E-2</v>
      </c>
      <c r="AA7922">
        <v>0.79750529999999997</v>
      </c>
      <c r="AB7922">
        <v>18</v>
      </c>
      <c r="AC7922">
        <v>-1.20160000000004</v>
      </c>
      <c r="AD7922">
        <v>-1.061784691602</v>
      </c>
      <c r="AE7922">
        <v>-17.615362999999999</v>
      </c>
      <c r="AF7922">
        <v>10.6938664748031</v>
      </c>
      <c r="AG7922">
        <v>-1.061784691602</v>
      </c>
      <c r="AH7922">
        <v>13.969376327925501</v>
      </c>
      <c r="AI7922">
        <v>93.453827921219897</v>
      </c>
      <c r="AJ7922">
        <v>52.565145102082397</v>
      </c>
      <c r="AK7922">
        <v>17.624688420038702</v>
      </c>
      <c r="AL7922">
        <v>91.482943084377396</v>
      </c>
      <c r="AM7922">
        <v>68.067414963195702</v>
      </c>
      <c r="AN7922">
        <v>1.0000000066237</v>
      </c>
    </row>
    <row r="7923" spans="1:40" x14ac:dyDescent="0.25">
      <c r="A7923" t="str">
        <f>"20190303154000123"</f>
        <v>20190303154000123</v>
      </c>
      <c r="B7923" t="str">
        <f>"1551598800115996"</f>
        <v>1551598800115996</v>
      </c>
      <c r="C7923" t="s">
        <v>40</v>
      </c>
      <c r="D7923">
        <v>5.1406429999999999</v>
      </c>
      <c r="E7923">
        <v>0.60424100000000003</v>
      </c>
      <c r="F7923" t="s">
        <v>42</v>
      </c>
      <c r="G7923">
        <v>-303.81979999999999</v>
      </c>
      <c r="H7923" s="1">
        <v>-1.183226E-6</v>
      </c>
      <c r="I7923">
        <v>-9.1096380000000003</v>
      </c>
      <c r="J7923">
        <v>-302.2038</v>
      </c>
      <c r="K7923">
        <v>1.0618700000000001</v>
      </c>
      <c r="L7923">
        <v>11.71246</v>
      </c>
      <c r="M7923">
        <v>0.53523929999999997</v>
      </c>
      <c r="N7923">
        <v>-1.7177499999999998E-2</v>
      </c>
      <c r="O7923">
        <v>-0.844526</v>
      </c>
      <c r="P7923">
        <v>0.1879624</v>
      </c>
      <c r="Q7923">
        <v>-2.808151E-2</v>
      </c>
      <c r="R7923">
        <v>-0.98177519999999996</v>
      </c>
      <c r="S7923">
        <v>-0.2266541</v>
      </c>
      <c r="T7923">
        <v>-0.15704419999999999</v>
      </c>
      <c r="U7923">
        <v>-3.1049190000000002</v>
      </c>
      <c r="V7923">
        <v>0.36640879999999998</v>
      </c>
      <c r="W7923">
        <v>-2.0807530000000001E-2</v>
      </c>
      <c r="X7923">
        <v>0.93022130000000003</v>
      </c>
      <c r="Y7923">
        <v>0.59494630000000004</v>
      </c>
      <c r="Z7923">
        <v>1.6134639999999999E-2</v>
      </c>
      <c r="AA7923">
        <v>0.80360350000000003</v>
      </c>
      <c r="AB7923">
        <v>18</v>
      </c>
      <c r="AC7923">
        <v>-1.6159999999999799</v>
      </c>
      <c r="AD7923">
        <v>-1.0618711832259999</v>
      </c>
      <c r="AE7923">
        <v>-20.822098</v>
      </c>
      <c r="AF7923">
        <v>12.479142511149499</v>
      </c>
      <c r="AG7923">
        <v>-1.0618711832259999</v>
      </c>
      <c r="AH7923">
        <v>16.679202537220501</v>
      </c>
      <c r="AI7923">
        <v>92.918175990659094</v>
      </c>
      <c r="AJ7923">
        <v>53.196685709646403</v>
      </c>
      <c r="AK7923">
        <v>20.857908943635</v>
      </c>
      <c r="AL7923">
        <v>91.192269677210604</v>
      </c>
      <c r="AM7923">
        <v>68.500805924551898</v>
      </c>
      <c r="AN7923">
        <v>1.00000001449791</v>
      </c>
    </row>
    <row r="7924" spans="1:40" x14ac:dyDescent="0.25">
      <c r="A7924" t="str">
        <f>"20190303154000145"</f>
        <v>20190303154000145</v>
      </c>
      <c r="B7924" t="str">
        <f>"1551598800136492"</f>
        <v>1551598800136492</v>
      </c>
      <c r="C7924" t="s">
        <v>40</v>
      </c>
      <c r="D7924">
        <v>5.0660239999999996</v>
      </c>
      <c r="E7924">
        <v>0.60434619999999994</v>
      </c>
      <c r="F7924" t="s">
        <v>42</v>
      </c>
      <c r="G7924">
        <v>-304.04700000000003</v>
      </c>
      <c r="H7924" s="1">
        <v>-4.8911819999999998E-6</v>
      </c>
      <c r="I7924">
        <v>-10.74972</v>
      </c>
      <c r="J7924">
        <v>-302.12700000000001</v>
      </c>
      <c r="K7924">
        <v>1.0619479999999999</v>
      </c>
      <c r="L7924">
        <v>11.54745</v>
      </c>
      <c r="M7924">
        <v>0.51866449999999997</v>
      </c>
      <c r="N7924">
        <v>-1.7172110000000001E-2</v>
      </c>
      <c r="O7924">
        <v>-0.8548055</v>
      </c>
      <c r="P7924">
        <v>0.17628429999999901</v>
      </c>
      <c r="Q7924">
        <v>-2.822187E-2</v>
      </c>
      <c r="R7924">
        <v>-0.98393489999999995</v>
      </c>
      <c r="S7924">
        <v>-0.25439450000000002</v>
      </c>
      <c r="T7924">
        <v>-0.14655950000000001</v>
      </c>
      <c r="U7924">
        <v>-3.1002200000000002</v>
      </c>
      <c r="V7924">
        <v>0.3593092</v>
      </c>
      <c r="W7924">
        <v>-2.0667609999999999E-2</v>
      </c>
      <c r="X7924">
        <v>0.93298970000000003</v>
      </c>
      <c r="Y7924">
        <v>0.58651469999999895</v>
      </c>
      <c r="Z7924">
        <v>1.477202E-2</v>
      </c>
      <c r="AA7924">
        <v>0.80980390000000002</v>
      </c>
      <c r="AB7924">
        <v>18</v>
      </c>
      <c r="AC7924">
        <v>-1.9200000000000099</v>
      </c>
      <c r="AD7924">
        <v>-1.061952891182</v>
      </c>
      <c r="AE7924">
        <v>-22.297170000000001</v>
      </c>
      <c r="AF7924">
        <v>13.178250449178799</v>
      </c>
      <c r="AG7924">
        <v>-1.061952891182</v>
      </c>
      <c r="AH7924">
        <v>18.0259815904775</v>
      </c>
      <c r="AI7924">
        <v>92.7228494943583</v>
      </c>
      <c r="AJ7924">
        <v>53.830590543507299</v>
      </c>
      <c r="AK7924">
        <v>22.354642496461601</v>
      </c>
      <c r="AL7924">
        <v>91.184251125939198</v>
      </c>
      <c r="AM7924">
        <v>68.937509578459398</v>
      </c>
      <c r="AN7924">
        <v>1.00000001580692</v>
      </c>
    </row>
    <row r="7925" spans="1:40" x14ac:dyDescent="0.25">
      <c r="A7925" t="str">
        <f>"20190303154000166"</f>
        <v>20190303154000166</v>
      </c>
      <c r="B7925" t="str">
        <f>"1551598800156013"</f>
        <v>1551598800156013</v>
      </c>
      <c r="C7925" t="s">
        <v>40</v>
      </c>
      <c r="D7925">
        <v>4.9817609999999997</v>
      </c>
      <c r="E7925">
        <v>0.60483629999999999</v>
      </c>
      <c r="F7925" t="s">
        <v>42</v>
      </c>
      <c r="G7925">
        <v>-304.32170000000002</v>
      </c>
      <c r="H7925" s="1">
        <v>-4.6036679999999996E-6</v>
      </c>
      <c r="I7925">
        <v>-11.7378</v>
      </c>
      <c r="J7925">
        <v>-302.05309999999997</v>
      </c>
      <c r="K7925">
        <v>1.062036</v>
      </c>
      <c r="L7925">
        <v>11.380649999999999</v>
      </c>
      <c r="M7925">
        <v>0.50192910000000002</v>
      </c>
      <c r="N7925">
        <v>-1.715496E-2</v>
      </c>
      <c r="O7925">
        <v>-0.86473860000000002</v>
      </c>
      <c r="P7925">
        <v>0.1645759</v>
      </c>
      <c r="Q7925">
        <v>-3.0833380000000001E-2</v>
      </c>
      <c r="R7925">
        <v>-0.98588220000000004</v>
      </c>
      <c r="S7925">
        <v>-0.2919312</v>
      </c>
      <c r="T7925">
        <v>-0.14125289999999999</v>
      </c>
      <c r="U7925">
        <v>-3.097229</v>
      </c>
      <c r="V7925">
        <v>0.35213990000000001</v>
      </c>
      <c r="W7925">
        <v>-2.2991709999999999E-2</v>
      </c>
      <c r="X7925">
        <v>0.93566499999999997</v>
      </c>
      <c r="Y7925">
        <v>0.580561199999999</v>
      </c>
      <c r="Z7925">
        <v>1.4363290000000001E-2</v>
      </c>
      <c r="AA7925">
        <v>0.81408999999999998</v>
      </c>
      <c r="AB7925">
        <v>18</v>
      </c>
      <c r="AC7925">
        <v>-2.2686000000000401</v>
      </c>
      <c r="AD7925">
        <v>-1.0620406036679999</v>
      </c>
      <c r="AE7925">
        <v>-23.118449999999999</v>
      </c>
      <c r="AF7925">
        <v>13.539264874473201</v>
      </c>
      <c r="AG7925">
        <v>-1.0620406036679999</v>
      </c>
      <c r="AH7925">
        <v>18.8161838829187</v>
      </c>
      <c r="AI7925">
        <v>92.6231752607532</v>
      </c>
      <c r="AJ7925">
        <v>54.262936786490897</v>
      </c>
      <c r="AK7925">
        <v>23.2053528200024</v>
      </c>
      <c r="AL7925">
        <v>91.317443955966397</v>
      </c>
      <c r="AM7925">
        <v>69.3760442985145</v>
      </c>
      <c r="AN7925">
        <v>1.00000006006286</v>
      </c>
    </row>
    <row r="7926" spans="1:40" x14ac:dyDescent="0.25">
      <c r="A7926" t="str">
        <f>"20190303154000191"</f>
        <v>20190303154000191</v>
      </c>
      <c r="B7926" t="str">
        <f>"1551598800186268"</f>
        <v>1551598800186268</v>
      </c>
      <c r="C7926" t="s">
        <v>40</v>
      </c>
      <c r="D7926">
        <v>5.0494620000000001</v>
      </c>
      <c r="E7926">
        <v>0.60451519999999903</v>
      </c>
      <c r="F7926" t="s">
        <v>42</v>
      </c>
      <c r="G7926">
        <v>-304.59519999999998</v>
      </c>
      <c r="H7926" s="1">
        <v>-4.461824E-6</v>
      </c>
      <c r="I7926">
        <v>-12.297140000000001</v>
      </c>
      <c r="J7926">
        <v>-301.9787</v>
      </c>
      <c r="K7926">
        <v>1.062152</v>
      </c>
      <c r="L7926">
        <v>11.203519999999999</v>
      </c>
      <c r="M7926">
        <v>0.48422730000000003</v>
      </c>
      <c r="N7926">
        <v>-1.7120529999999998E-2</v>
      </c>
      <c r="O7926">
        <v>-0.87477479999999996</v>
      </c>
      <c r="P7926">
        <v>0.1511953</v>
      </c>
      <c r="Q7926">
        <v>-3.4188370000000003E-2</v>
      </c>
      <c r="R7926">
        <v>-0.98791269999999998</v>
      </c>
      <c r="S7926">
        <v>-0.33218379999999997</v>
      </c>
      <c r="T7926">
        <v>-0.13878170000000001</v>
      </c>
      <c r="U7926">
        <v>-3.0940859999999999</v>
      </c>
      <c r="V7926">
        <v>0.34565620000000002</v>
      </c>
      <c r="W7926">
        <v>-2.6067010000000002E-2</v>
      </c>
      <c r="X7926">
        <v>0.93799909999999997</v>
      </c>
      <c r="Y7926">
        <v>0.57455239999999996</v>
      </c>
      <c r="Z7926">
        <v>1.457695E-2</v>
      </c>
      <c r="AA7926">
        <v>0.81833800000000001</v>
      </c>
      <c r="AB7926">
        <v>18</v>
      </c>
      <c r="AC7926">
        <v>-2.6164999999999701</v>
      </c>
      <c r="AD7926">
        <v>-1.062156461824</v>
      </c>
      <c r="AE7926">
        <v>-23.50066</v>
      </c>
      <c r="AF7926">
        <v>13.6429840103659</v>
      </c>
      <c r="AG7926">
        <v>-1.062156461824</v>
      </c>
      <c r="AH7926">
        <v>19.254779616310199</v>
      </c>
      <c r="AI7926">
        <v>92.577141421174005</v>
      </c>
      <c r="AJ7926">
        <v>54.680501276918797</v>
      </c>
      <c r="AK7926">
        <v>23.622144846079799</v>
      </c>
      <c r="AL7926">
        <v>91.493698841882406</v>
      </c>
      <c r="AM7926">
        <v>69.770967983299101</v>
      </c>
      <c r="AN7926">
        <v>1.0000000046047901</v>
      </c>
    </row>
    <row r="7927" spans="1:40" x14ac:dyDescent="0.25">
      <c r="A7927" t="str">
        <f>"20190303154000212"</f>
        <v>20190303154000212</v>
      </c>
      <c r="B7927" t="str">
        <f>"1551598800205787"</f>
        <v>1551598800205787</v>
      </c>
      <c r="C7927" t="s">
        <v>40</v>
      </c>
      <c r="D7927">
        <v>5.0716029999999996</v>
      </c>
      <c r="E7927">
        <v>0.60426080000000004</v>
      </c>
      <c r="F7927" t="s">
        <v>42</v>
      </c>
      <c r="G7927">
        <v>-304.7878</v>
      </c>
      <c r="H7927" s="1">
        <v>-4.5426460000000003E-6</v>
      </c>
      <c r="I7927">
        <v>-12.16006</v>
      </c>
      <c r="J7927">
        <v>-301.91140000000001</v>
      </c>
      <c r="K7927">
        <v>1.062314</v>
      </c>
      <c r="L7927">
        <v>11.034179999999999</v>
      </c>
      <c r="M7927">
        <v>0.46744760000000002</v>
      </c>
      <c r="N7927">
        <v>-1.706821E-2</v>
      </c>
      <c r="O7927">
        <v>-0.88385619999999998</v>
      </c>
      <c r="P7927">
        <v>0.1371579</v>
      </c>
      <c r="Q7927">
        <v>-3.6692229999999999E-2</v>
      </c>
      <c r="R7927">
        <v>-0.98986969999999996</v>
      </c>
      <c r="S7927">
        <v>-0.37136839999999999</v>
      </c>
      <c r="T7927">
        <v>-0.14041789999999901</v>
      </c>
      <c r="U7927">
        <v>-3.0886840000000002</v>
      </c>
      <c r="V7927">
        <v>0.34098250000000002</v>
      </c>
      <c r="W7927">
        <v>-2.8339119999999999E-2</v>
      </c>
      <c r="X7927">
        <v>0.93964239999999999</v>
      </c>
      <c r="Y7927">
        <v>0.56932709999999997</v>
      </c>
      <c r="Z7927">
        <v>1.5705199999999999E-2</v>
      </c>
      <c r="AA7927">
        <v>0.82196100000000005</v>
      </c>
      <c r="AB7927">
        <v>18</v>
      </c>
      <c r="AC7927">
        <v>-2.8763999999999799</v>
      </c>
      <c r="AD7927">
        <v>-1.062318542646</v>
      </c>
      <c r="AE7927">
        <v>-23.194240000000001</v>
      </c>
      <c r="AF7927">
        <v>13.358764768925999</v>
      </c>
      <c r="AG7927">
        <v>-1.062318542646</v>
      </c>
      <c r="AH7927">
        <v>19.1190947436403</v>
      </c>
      <c r="AI7927">
        <v>92.607830405577005</v>
      </c>
      <c r="AJ7927">
        <v>55.057489929126803</v>
      </c>
      <c r="AK7927">
        <v>23.347909984704099</v>
      </c>
      <c r="AL7927">
        <v>91.623929376234699</v>
      </c>
      <c r="AM7927">
        <v>70.054905071412094</v>
      </c>
      <c r="AN7927">
        <v>1.0000000054531899</v>
      </c>
    </row>
    <row r="7928" spans="1:40" x14ac:dyDescent="0.25">
      <c r="A7928" t="str">
        <f>"20190303154000301"</f>
        <v>20190303154000301</v>
      </c>
      <c r="B7928" t="str">
        <f>"1551598800296556"</f>
        <v>1551598800296556</v>
      </c>
      <c r="C7928" t="s">
        <v>40</v>
      </c>
      <c r="D7928">
        <v>5.128298</v>
      </c>
      <c r="E7928">
        <v>0.60426080000000004</v>
      </c>
      <c r="F7928" t="s">
        <v>42</v>
      </c>
      <c r="G7928">
        <v>-304.92570000000001</v>
      </c>
      <c r="H7928" s="1">
        <v>-4.8102220000000003E-6</v>
      </c>
      <c r="I7928">
        <v>-11.445639999999999</v>
      </c>
      <c r="J7928">
        <v>-301.67039999999997</v>
      </c>
      <c r="K7928">
        <v>1.063153</v>
      </c>
      <c r="L7928">
        <v>10.34033</v>
      </c>
      <c r="M7928">
        <v>0.40035389999999998</v>
      </c>
      <c r="N7928">
        <v>-1.6737769999999999E-2</v>
      </c>
      <c r="O7928">
        <v>-0.91620769999999996</v>
      </c>
      <c r="P7928">
        <v>8.3011050000000003E-2</v>
      </c>
      <c r="Q7928">
        <v>-3.9251000000000001E-2</v>
      </c>
      <c r="R7928">
        <v>-0.99577550000000004</v>
      </c>
      <c r="S7928">
        <v>-0.41333009999999898</v>
      </c>
      <c r="T7928">
        <v>-0.1456722</v>
      </c>
      <c r="U7928">
        <v>-3.0825809999999998</v>
      </c>
      <c r="V7928">
        <v>0.3221078</v>
      </c>
      <c r="W7928">
        <v>-2.999137E-2</v>
      </c>
      <c r="X7928">
        <v>0.94622779999999995</v>
      </c>
      <c r="Y7928">
        <v>0.51829269999999905</v>
      </c>
      <c r="Z7928">
        <v>2.044282E-2</v>
      </c>
      <c r="AA7928">
        <v>0.85495900000000002</v>
      </c>
      <c r="AB7928">
        <v>18</v>
      </c>
      <c r="AC7928">
        <v>-3.2553000000000298</v>
      </c>
      <c r="AD7928">
        <v>-1.0631578102220001</v>
      </c>
      <c r="AE7928">
        <v>-21.785969999999999</v>
      </c>
      <c r="AF7928">
        <v>11.6790634746271</v>
      </c>
      <c r="AG7928">
        <v>-1.0631578102220001</v>
      </c>
      <c r="AH7928">
        <v>18.616449948944901</v>
      </c>
      <c r="AI7928">
        <v>92.769622695084394</v>
      </c>
      <c r="AJ7928">
        <v>57.897821405487399</v>
      </c>
      <c r="AK7928">
        <v>22.002341622549601</v>
      </c>
      <c r="AL7928">
        <v>91.718636664426199</v>
      </c>
      <c r="AM7928">
        <v>71.200782397300401</v>
      </c>
      <c r="AN7928">
        <v>0.99999998329407802</v>
      </c>
    </row>
    <row r="7929" spans="1:40" x14ac:dyDescent="0.25">
      <c r="A7929" t="str">
        <f>"20190303154000323"</f>
        <v>20190303154000323</v>
      </c>
      <c r="B7929" t="str">
        <f>"1551598800316076"</f>
        <v>1551598800316076</v>
      </c>
      <c r="C7929" t="s">
        <v>40</v>
      </c>
      <c r="D7929">
        <v>5.0867089999999999</v>
      </c>
      <c r="E7929">
        <v>0.58543659999999997</v>
      </c>
      <c r="F7929" t="s">
        <v>42</v>
      </c>
      <c r="G7929">
        <v>-305.7441</v>
      </c>
      <c r="H7929" s="1">
        <v>-5.0728330000000002E-6</v>
      </c>
      <c r="I7929">
        <v>-11.100569999999999</v>
      </c>
      <c r="J7929">
        <v>-301.61750000000001</v>
      </c>
      <c r="K7929">
        <v>1.063388</v>
      </c>
      <c r="L7929">
        <v>10.165620000000001</v>
      </c>
      <c r="M7929">
        <v>0.38406449999999998</v>
      </c>
      <c r="N7929">
        <v>-1.6627690000000001E-2</v>
      </c>
      <c r="O7929">
        <v>-0.92315670000000005</v>
      </c>
      <c r="P7929">
        <v>7.1591340000000003E-2</v>
      </c>
      <c r="Q7929">
        <v>-3.886038E-2</v>
      </c>
      <c r="R7929">
        <v>-0.99667700000000004</v>
      </c>
      <c r="S7929">
        <v>-0.58047490000000002</v>
      </c>
      <c r="T7929">
        <v>-0.15149089999999901</v>
      </c>
      <c r="U7929">
        <v>-3.055145</v>
      </c>
      <c r="V7929">
        <v>0.31622230000000001</v>
      </c>
      <c r="W7929">
        <v>-2.936565E-2</v>
      </c>
      <c r="X7929">
        <v>0.94823049999999998</v>
      </c>
      <c r="Y7929">
        <v>0.54931909999999995</v>
      </c>
      <c r="Z7929">
        <v>2.2083410000000001E-2</v>
      </c>
      <c r="AA7929">
        <v>0.83532079999999997</v>
      </c>
      <c r="AB7929">
        <v>18</v>
      </c>
      <c r="AC7929">
        <v>-4.1265999999999901</v>
      </c>
      <c r="AD7929">
        <v>-1.0633930728329899</v>
      </c>
      <c r="AE7929">
        <v>-21.266189999999899</v>
      </c>
      <c r="AF7929">
        <v>11.9499459320557</v>
      </c>
      <c r="AG7929">
        <v>-1.0633930728329899</v>
      </c>
      <c r="AH7929">
        <v>18.006248793838498</v>
      </c>
      <c r="AI7929">
        <v>92.8170573282584</v>
      </c>
      <c r="AJ7929">
        <v>56.429540647644799</v>
      </c>
      <c r="AK7929">
        <v>21.6369362025222</v>
      </c>
      <c r="AL7929">
        <v>91.682769749438904</v>
      </c>
      <c r="AM7929">
        <v>71.557140844938999</v>
      </c>
      <c r="AN7929">
        <v>0.99999998277373103</v>
      </c>
    </row>
    <row r="7930" spans="1:40" x14ac:dyDescent="0.25">
      <c r="A7930" t="str">
        <f>"20190303154000368"</f>
        <v>20190303154000368</v>
      </c>
      <c r="B7930" t="str">
        <f>"1551598800356600"</f>
        <v>1551598800356600</v>
      </c>
      <c r="C7930" t="s">
        <v>40</v>
      </c>
      <c r="D7930">
        <v>5.1364330000000002</v>
      </c>
      <c r="E7930">
        <v>0.58311899999999905</v>
      </c>
      <c r="F7930" t="s">
        <v>42</v>
      </c>
      <c r="G7930">
        <v>-305.40839999999997</v>
      </c>
      <c r="H7930" s="1">
        <v>-3.8275089999999998E-6</v>
      </c>
      <c r="I7930">
        <v>-14.58503</v>
      </c>
      <c r="J7930">
        <v>-301.52010000000001</v>
      </c>
      <c r="K7930">
        <v>1.0638479999999999</v>
      </c>
      <c r="L7930">
        <v>9.8151550000000007</v>
      </c>
      <c r="M7930">
        <v>0.35219709999999899</v>
      </c>
      <c r="N7930">
        <v>-1.639376E-2</v>
      </c>
      <c r="O7930">
        <v>-0.93578240000000001</v>
      </c>
      <c r="P7930">
        <v>4.9740979999999997E-2</v>
      </c>
      <c r="Q7930">
        <v>-3.7749440000000002E-2</v>
      </c>
      <c r="R7930">
        <v>-0.99804899999999996</v>
      </c>
      <c r="S7930">
        <v>-0.46536250000000001</v>
      </c>
      <c r="T7930">
        <v>-0.1305394</v>
      </c>
      <c r="U7930">
        <v>-3.0383300000000002</v>
      </c>
      <c r="V7930">
        <v>0.30453740000000001</v>
      </c>
      <c r="W7930">
        <v>-2.7835260000000001E-2</v>
      </c>
      <c r="X7930">
        <v>0.95209350000000004</v>
      </c>
      <c r="Y7930">
        <v>0.489591</v>
      </c>
      <c r="Z7930">
        <v>1.8959839999999999E-2</v>
      </c>
      <c r="AA7930">
        <v>0.87174609999999997</v>
      </c>
      <c r="AB7930">
        <v>17</v>
      </c>
      <c r="AC7930">
        <v>-3.8882999999999499</v>
      </c>
      <c r="AD7930">
        <v>-1.0638518275090001</v>
      </c>
      <c r="AE7930">
        <v>-24.400185</v>
      </c>
      <c r="AF7930">
        <v>12.211281194394299</v>
      </c>
      <c r="AG7930">
        <v>-1.0638518275090001</v>
      </c>
      <c r="AH7930">
        <v>21.426974452301099</v>
      </c>
      <c r="AI7930">
        <v>92.470020044218899</v>
      </c>
      <c r="AJ7930">
        <v>60.321086741583201</v>
      </c>
      <c r="AK7930">
        <v>24.685266927846399</v>
      </c>
      <c r="AL7930">
        <v>91.595049049058005</v>
      </c>
      <c r="AM7930">
        <v>72.262562779637506</v>
      </c>
      <c r="AN7930">
        <v>0.99999993122013597</v>
      </c>
    </row>
    <row r="7931" spans="1:40" x14ac:dyDescent="0.25">
      <c r="A7931" t="str">
        <f>"20190303154000390"</f>
        <v>20190303154000390</v>
      </c>
      <c r="B7931" t="str">
        <f>"1551598800385880"</f>
        <v>1551598800385880</v>
      </c>
      <c r="C7931" t="s">
        <v>40</v>
      </c>
      <c r="D7931">
        <v>5.0319190000000003</v>
      </c>
      <c r="E7931">
        <v>0.53888959999999997</v>
      </c>
      <c r="F7931" t="s">
        <v>42</v>
      </c>
      <c r="G7931">
        <v>-305.9264</v>
      </c>
      <c r="H7931" s="1">
        <v>-3.3747640000000001E-6</v>
      </c>
      <c r="I7931">
        <v>-16.185449999999999</v>
      </c>
      <c r="J7931">
        <v>-301.47480000000002</v>
      </c>
      <c r="K7931">
        <v>1.0640689999999999</v>
      </c>
      <c r="L7931">
        <v>9.6365970000000001</v>
      </c>
      <c r="M7931">
        <v>0.3364046</v>
      </c>
      <c r="N7931">
        <v>-1.627317E-2</v>
      </c>
      <c r="O7931">
        <v>-0.94157709999999994</v>
      </c>
      <c r="P7931">
        <v>3.9163660000000003E-2</v>
      </c>
      <c r="Q7931">
        <v>-3.8240860000000002E-2</v>
      </c>
      <c r="R7931">
        <v>-0.99850090000000002</v>
      </c>
      <c r="S7931">
        <v>-0.51293949999999999</v>
      </c>
      <c r="T7931">
        <v>-0.1238431</v>
      </c>
      <c r="U7931">
        <v>-3.0267330000000001</v>
      </c>
      <c r="V7931">
        <v>0.29860300000000001</v>
      </c>
      <c r="W7931">
        <v>-2.8140180000000001E-2</v>
      </c>
      <c r="X7931">
        <v>0.95396239999999999</v>
      </c>
      <c r="Y7931">
        <v>0.48879410000000001</v>
      </c>
      <c r="Z7931">
        <v>1.7673970000000001E-2</v>
      </c>
      <c r="AA7931">
        <v>0.872220199999999</v>
      </c>
      <c r="AB7931">
        <v>17</v>
      </c>
      <c r="AC7931">
        <v>-4.4515999999999796</v>
      </c>
      <c r="AD7931">
        <v>-1.064072374764</v>
      </c>
      <c r="AE7931">
        <v>-25.822047000000001</v>
      </c>
      <c r="AF7931">
        <v>12.858678558340801</v>
      </c>
      <c r="AG7931">
        <v>-1.064072374764</v>
      </c>
      <c r="AH7931">
        <v>22.781359238384798</v>
      </c>
      <c r="AI7931">
        <v>92.329269714636297</v>
      </c>
      <c r="AJ7931">
        <v>60.557939887910202</v>
      </c>
      <c r="AK7931">
        <v>26.1814474969167</v>
      </c>
      <c r="AL7931">
        <v>91.612526510184694</v>
      </c>
      <c r="AM7931">
        <v>72.619181461916199</v>
      </c>
      <c r="AN7931">
        <v>0.99999994097659395</v>
      </c>
    </row>
    <row r="7932" spans="1:40" x14ac:dyDescent="0.25">
      <c r="A7932" t="str">
        <f>"20190303154000417"</f>
        <v>20190303154000417</v>
      </c>
      <c r="B7932" t="str">
        <f>"1551598800406377"</f>
        <v>1551598800406377</v>
      </c>
      <c r="C7932" t="s">
        <v>40</v>
      </c>
      <c r="D7932">
        <v>5.0032750000000004</v>
      </c>
      <c r="E7932">
        <v>0.5309431</v>
      </c>
      <c r="F7932" t="s">
        <v>42</v>
      </c>
      <c r="G7932">
        <v>-302.99299999999999</v>
      </c>
      <c r="H7932" s="1">
        <v>-3.515162E-6</v>
      </c>
      <c r="I7932">
        <v>-14.07329</v>
      </c>
      <c r="J7932">
        <v>-301.42579999999998</v>
      </c>
      <c r="K7932">
        <v>1.064295</v>
      </c>
      <c r="L7932">
        <v>9.429138</v>
      </c>
      <c r="M7932">
        <v>0.31844139999999999</v>
      </c>
      <c r="N7932">
        <v>-1.6132629999999998E-2</v>
      </c>
      <c r="O7932">
        <v>-0.94780549999999997</v>
      </c>
      <c r="P7932">
        <v>2.6096540000000001E-2</v>
      </c>
      <c r="Q7932">
        <v>-3.7964400000000002E-2</v>
      </c>
      <c r="R7932">
        <v>-0.9989384</v>
      </c>
      <c r="S7932">
        <v>-0.1925354</v>
      </c>
      <c r="T7932">
        <v>-0.13494610000000001</v>
      </c>
      <c r="U7932">
        <v>-3.0068969999999999</v>
      </c>
      <c r="V7932">
        <v>0.2929657</v>
      </c>
      <c r="W7932">
        <v>-2.7699270000000002E-2</v>
      </c>
      <c r="X7932">
        <v>0.95572170000000001</v>
      </c>
      <c r="Y7932">
        <v>0.37818570000000001</v>
      </c>
      <c r="Z7932">
        <v>2.332414E-2</v>
      </c>
      <c r="AA7932">
        <v>0.92543589999999998</v>
      </c>
      <c r="AB7932">
        <v>17</v>
      </c>
      <c r="AC7932">
        <v>-1.5672000000000099</v>
      </c>
      <c r="AD7932">
        <v>-1.0642985151619999</v>
      </c>
      <c r="AE7932">
        <v>-23.502427999999998</v>
      </c>
      <c r="AF7932">
        <v>8.9524348090030497</v>
      </c>
      <c r="AG7932">
        <v>-1.0642985151619999</v>
      </c>
      <c r="AH7932">
        <v>21.735123764206101</v>
      </c>
      <c r="AI7932">
        <v>92.592383222461905</v>
      </c>
      <c r="AJ7932">
        <v>67.613829247272605</v>
      </c>
      <c r="AK7932">
        <v>23.530712385819999</v>
      </c>
      <c r="AL7932">
        <v>91.587254186462303</v>
      </c>
      <c r="AM7932">
        <v>72.957670275067997</v>
      </c>
      <c r="AN7932">
        <v>1.0000000593929499</v>
      </c>
    </row>
    <row r="7933" spans="1:40" x14ac:dyDescent="0.25">
      <c r="A7933" t="str">
        <f>"20190303154000437"</f>
        <v>20190303154000437</v>
      </c>
      <c r="B7933" t="str">
        <f>"1551598800425896"</f>
        <v>1551598800425896</v>
      </c>
      <c r="C7933" t="s">
        <v>40</v>
      </c>
      <c r="D7933">
        <v>4.9335149999999999</v>
      </c>
      <c r="E7933">
        <v>0.53019139999999998</v>
      </c>
      <c r="F7933" t="s">
        <v>42</v>
      </c>
      <c r="G7933">
        <v>-302.69659999999999</v>
      </c>
      <c r="H7933" s="1">
        <v>-3.7990789999999998E-6</v>
      </c>
      <c r="I7933">
        <v>-13.22762</v>
      </c>
      <c r="J7933">
        <v>-301.39049999999997</v>
      </c>
      <c r="K7933">
        <v>1.0644439999999999</v>
      </c>
      <c r="L7933">
        <v>9.2700809999999993</v>
      </c>
      <c r="M7933">
        <v>0.30487009999999998</v>
      </c>
      <c r="N7933">
        <v>-1.6029450000000001E-2</v>
      </c>
      <c r="O7933">
        <v>-0.95225910000000002</v>
      </c>
      <c r="P7933">
        <v>1.8033939999999998E-2</v>
      </c>
      <c r="Q7933">
        <v>-3.8015279999999999E-2</v>
      </c>
      <c r="R7933">
        <v>-0.99911450000000002</v>
      </c>
      <c r="S7933">
        <v>-0.16839599999999999</v>
      </c>
      <c r="T7933">
        <v>-0.1410294</v>
      </c>
      <c r="U7933">
        <v>-3.0022280000000001</v>
      </c>
      <c r="V7933">
        <v>0.28703190000000001</v>
      </c>
      <c r="W7933">
        <v>-2.7608580000000001E-2</v>
      </c>
      <c r="X7933">
        <v>0.95752309999999996</v>
      </c>
      <c r="Y7933">
        <v>0.35755229999999999</v>
      </c>
      <c r="Z7933">
        <v>2.5820840000000001E-2</v>
      </c>
      <c r="AA7933">
        <v>0.93353609999999998</v>
      </c>
      <c r="AB7933">
        <v>17</v>
      </c>
      <c r="AC7933">
        <v>-1.30610000000001</v>
      </c>
      <c r="AD7933">
        <v>-1.064447799079</v>
      </c>
      <c r="AE7933">
        <v>-22.497700999999999</v>
      </c>
      <c r="AF7933">
        <v>8.0856231493504094</v>
      </c>
      <c r="AG7933">
        <v>-1.064447799079</v>
      </c>
      <c r="AH7933">
        <v>20.981339536643201</v>
      </c>
      <c r="AI7933">
        <v>92.7103287775995</v>
      </c>
      <c r="AJ7933">
        <v>68.924728501165305</v>
      </c>
      <c r="AK7933">
        <v>22.510596606535898</v>
      </c>
      <c r="AL7933">
        <v>91.582056112930701</v>
      </c>
      <c r="AM7933">
        <v>73.3131099874049</v>
      </c>
      <c r="AN7933">
        <v>1.0000000161704099</v>
      </c>
    </row>
    <row r="7934" spans="1:40" x14ac:dyDescent="0.25">
      <c r="A7934" t="str">
        <f>"20190303154000460"</f>
        <v>20190303154000460</v>
      </c>
      <c r="B7934" t="str">
        <f>"1551598800456152"</f>
        <v>1551598800456152</v>
      </c>
      <c r="C7934" t="s">
        <v>40</v>
      </c>
      <c r="D7934">
        <v>4.9504359999999998</v>
      </c>
      <c r="E7934">
        <v>0.52867810000000004</v>
      </c>
      <c r="F7934" t="s">
        <v>42</v>
      </c>
      <c r="G7934">
        <v>-303.02710000000002</v>
      </c>
      <c r="H7934" s="1">
        <v>-2.2460479999999998E-6</v>
      </c>
      <c r="I7934">
        <v>-17.052789999999899</v>
      </c>
      <c r="J7934">
        <v>-301.3535</v>
      </c>
      <c r="K7934">
        <v>1.0645929999999999</v>
      </c>
      <c r="L7934">
        <v>9.0920100000000001</v>
      </c>
      <c r="M7934">
        <v>0.28991030000000001</v>
      </c>
      <c r="N7934">
        <v>-1.59192999999999E-2</v>
      </c>
      <c r="O7934">
        <v>-0.95692140000000003</v>
      </c>
      <c r="P7934">
        <v>9.3661950000000008E-3</v>
      </c>
      <c r="Q7934">
        <v>-3.9015420000000002E-2</v>
      </c>
      <c r="R7934">
        <v>-0.99919500000000006</v>
      </c>
      <c r="S7934">
        <v>-0.186615</v>
      </c>
      <c r="T7934">
        <v>-0.12137100000000001</v>
      </c>
      <c r="U7934">
        <v>-3.001404</v>
      </c>
      <c r="V7934">
        <v>0.28031080000000003</v>
      </c>
      <c r="W7934">
        <v>-2.846131E-2</v>
      </c>
      <c r="X7934">
        <v>0.95948730000000004</v>
      </c>
      <c r="Y7934">
        <v>0.3485994</v>
      </c>
      <c r="Z7934">
        <v>2.04336E-2</v>
      </c>
      <c r="AA7934">
        <v>0.93704909999999997</v>
      </c>
      <c r="AB7934">
        <v>17</v>
      </c>
      <c r="AC7934">
        <v>-1.67360000000002</v>
      </c>
      <c r="AD7934">
        <v>-1.0645952460479999</v>
      </c>
      <c r="AE7934">
        <v>-26.1448</v>
      </c>
      <c r="AF7934">
        <v>9.1671765432370709</v>
      </c>
      <c r="AG7934">
        <v>-1.0645952460479999</v>
      </c>
      <c r="AH7934">
        <v>24.495984453268399</v>
      </c>
      <c r="AI7934">
        <v>92.330830792663804</v>
      </c>
      <c r="AJ7934">
        <v>69.4825522941386</v>
      </c>
      <c r="AK7934">
        <v>26.176778700740702</v>
      </c>
      <c r="AL7934">
        <v>91.630933124707298</v>
      </c>
      <c r="AM7934">
        <v>73.714464650106706</v>
      </c>
      <c r="AN7934">
        <v>1.0000000348124201</v>
      </c>
    </row>
    <row r="7935" spans="1:40" x14ac:dyDescent="0.25">
      <c r="A7935" t="str">
        <f>"20190303154000480"</f>
        <v>20190303154000480</v>
      </c>
      <c r="B7935" t="str">
        <f>"1551598800476648"</f>
        <v>1551598800476648</v>
      </c>
      <c r="C7935" t="s">
        <v>40</v>
      </c>
      <c r="D7935">
        <v>4.8964280000000002</v>
      </c>
      <c r="E7935">
        <v>0.52635319999999997</v>
      </c>
      <c r="F7935" t="s">
        <v>42</v>
      </c>
      <c r="G7935">
        <v>-303.17649999999998</v>
      </c>
      <c r="H7935" s="1">
        <v>-1.8167009999999999E-6</v>
      </c>
      <c r="I7935">
        <v>-18.14629</v>
      </c>
      <c r="J7935">
        <v>-301.32240000000002</v>
      </c>
      <c r="K7935">
        <v>1.064732</v>
      </c>
      <c r="L7935">
        <v>8.9322509999999902</v>
      </c>
      <c r="M7935">
        <v>0.27672619999999998</v>
      </c>
      <c r="N7935">
        <v>-1.5822240000000001E-2</v>
      </c>
      <c r="O7935">
        <v>-0.96081859999999997</v>
      </c>
      <c r="P7935">
        <v>3.5356300000000001E-3</v>
      </c>
      <c r="Q7935">
        <v>-4.066956E-2</v>
      </c>
      <c r="R7935">
        <v>-0.99916669999999996</v>
      </c>
      <c r="S7935">
        <v>-0.20077510000000001</v>
      </c>
      <c r="T7935">
        <v>-0.11724270000000001</v>
      </c>
      <c r="U7935">
        <v>-2.9997250000000002</v>
      </c>
      <c r="V7935">
        <v>0.27267659999999899</v>
      </c>
      <c r="W7935">
        <v>-2.994981E-2</v>
      </c>
      <c r="X7935">
        <v>0.96163949999999998</v>
      </c>
      <c r="Y7935">
        <v>0.34014729999999999</v>
      </c>
      <c r="Z7935">
        <v>1.9590980000000001E-2</v>
      </c>
      <c r="AA7935">
        <v>0.94016809999999995</v>
      </c>
      <c r="AB7935">
        <v>17</v>
      </c>
      <c r="AC7935">
        <v>-1.8540999999999599</v>
      </c>
      <c r="AD7935">
        <v>-1.0647338167010001</v>
      </c>
      <c r="AE7935">
        <v>-27.078540999999898</v>
      </c>
      <c r="AF7935">
        <v>9.2617036420062693</v>
      </c>
      <c r="AG7935">
        <v>-1.0647338167010001</v>
      </c>
      <c r="AH7935">
        <v>25.4684868389228</v>
      </c>
      <c r="AI7935">
        <v>92.249920860705302</v>
      </c>
      <c r="AJ7935">
        <v>70.016027772863893</v>
      </c>
      <c r="AK7935">
        <v>27.121147363582601</v>
      </c>
      <c r="AL7935">
        <v>91.7162543123696</v>
      </c>
      <c r="AM7935">
        <v>74.169110001692204</v>
      </c>
      <c r="AN7935">
        <v>1.0000000236334201</v>
      </c>
    </row>
    <row r="7936" spans="1:40" x14ac:dyDescent="0.25">
      <c r="A7936" t="str">
        <f>"20190303154000503"</f>
        <v>20190303154000503</v>
      </c>
      <c r="B7936" t="str">
        <f>"1551598800496169"</f>
        <v>1551598800496169</v>
      </c>
      <c r="C7936" t="s">
        <v>40</v>
      </c>
      <c r="D7936">
        <v>4.9252409999999998</v>
      </c>
      <c r="E7936">
        <v>0.52450410000000003</v>
      </c>
      <c r="F7936" t="s">
        <v>42</v>
      </c>
      <c r="G7936">
        <v>-303.03590000000003</v>
      </c>
      <c r="H7936" s="1">
        <v>-2.3616610000000002E-6</v>
      </c>
      <c r="I7936">
        <v>-16.788729999999902</v>
      </c>
      <c r="J7936">
        <v>-301.28930000000003</v>
      </c>
      <c r="K7936">
        <v>1.0649120000000001</v>
      </c>
      <c r="L7936">
        <v>8.7500610000000005</v>
      </c>
      <c r="M7936">
        <v>0.261994</v>
      </c>
      <c r="N7936">
        <v>-1.5708260000000002E-2</v>
      </c>
      <c r="O7936">
        <v>-0.96494170000000001</v>
      </c>
      <c r="P7936">
        <v>3.8491429999999997E-4</v>
      </c>
      <c r="Q7936">
        <v>-4.1877959999999999E-2</v>
      </c>
      <c r="R7936">
        <v>-0.99912290000000004</v>
      </c>
      <c r="S7936">
        <v>-0.19973750000000001</v>
      </c>
      <c r="T7936">
        <v>-0.1241109</v>
      </c>
      <c r="U7936">
        <v>-2.9981689999999999</v>
      </c>
      <c r="V7936">
        <v>0.26096390000000003</v>
      </c>
      <c r="W7936">
        <v>-3.090495E-2</v>
      </c>
      <c r="X7936">
        <v>0.96485379999999998</v>
      </c>
      <c r="Y7936">
        <v>0.32542659999999901</v>
      </c>
      <c r="Z7936">
        <v>2.2179399999999998E-2</v>
      </c>
      <c r="AA7936">
        <v>0.94530709999999996</v>
      </c>
      <c r="AB7936">
        <v>17</v>
      </c>
      <c r="AC7936">
        <v>-1.7465999999999999</v>
      </c>
      <c r="AD7936">
        <v>-1.064914361661</v>
      </c>
      <c r="AE7936">
        <v>-25.538791</v>
      </c>
      <c r="AF7936">
        <v>8.3629373493089503</v>
      </c>
      <c r="AG7936">
        <v>-1.064914361661</v>
      </c>
      <c r="AH7936">
        <v>24.1470396785489</v>
      </c>
      <c r="AI7936">
        <v>92.386291236029507</v>
      </c>
      <c r="AJ7936">
        <v>70.897298327005103</v>
      </c>
      <c r="AK7936">
        <v>25.576401016240599</v>
      </c>
      <c r="AL7936">
        <v>91.771005082860597</v>
      </c>
      <c r="AM7936">
        <v>74.865334505317605</v>
      </c>
      <c r="AN7936">
        <v>1.00000006420607</v>
      </c>
    </row>
    <row r="7937" spans="1:40" x14ac:dyDescent="0.25">
      <c r="A7937" t="str">
        <f>"20190303154000536"</f>
        <v>20190303154000536</v>
      </c>
      <c r="B7937" t="str">
        <f>"1551598800526425"</f>
        <v>1551598800526425</v>
      </c>
      <c r="C7937" t="s">
        <v>40</v>
      </c>
      <c r="D7937">
        <v>5.0263739999999997</v>
      </c>
      <c r="E7937">
        <v>0.52137520000000004</v>
      </c>
      <c r="F7937" t="s">
        <v>42</v>
      </c>
      <c r="G7937">
        <v>-302.86259999999999</v>
      </c>
      <c r="H7937" s="1">
        <v>-2.8555029999999999E-6</v>
      </c>
      <c r="I7937">
        <v>-15.530110000000001</v>
      </c>
      <c r="J7937">
        <v>-301.24579999999997</v>
      </c>
      <c r="K7937">
        <v>1.065237</v>
      </c>
      <c r="L7937">
        <v>8.4873349999999999</v>
      </c>
      <c r="M7937">
        <v>0.24137159999999999</v>
      </c>
      <c r="N7937">
        <v>-1.5533720000000001E-2</v>
      </c>
      <c r="O7937">
        <v>-0.97030839999999996</v>
      </c>
      <c r="P7937">
        <v>-6.7815139999999998E-3</v>
      </c>
      <c r="Q7937">
        <v>-4.364229E-2</v>
      </c>
      <c r="R7937">
        <v>-0.99902429999999998</v>
      </c>
      <c r="S7937">
        <v>-0.19421389999999999</v>
      </c>
      <c r="T7937">
        <v>-0.13145519999999999</v>
      </c>
      <c r="U7937">
        <v>-2.9971920000000001</v>
      </c>
      <c r="V7937">
        <v>0.24728269999999999</v>
      </c>
      <c r="W7937">
        <v>-3.2365749999999999E-2</v>
      </c>
      <c r="X7937">
        <v>0.96840269999999995</v>
      </c>
      <c r="Y7937">
        <v>0.30347859999999999</v>
      </c>
      <c r="Z7937">
        <v>2.5145589999999999E-2</v>
      </c>
      <c r="AA7937">
        <v>0.95250639999999998</v>
      </c>
      <c r="AB7937">
        <v>17</v>
      </c>
      <c r="AC7937">
        <v>-1.61680000000001</v>
      </c>
      <c r="AD7937">
        <v>-1.065239855503</v>
      </c>
      <c r="AE7937">
        <v>-24.017444999999999</v>
      </c>
      <c r="AF7937">
        <v>7.3524146491403304</v>
      </c>
      <c r="AG7937">
        <v>-1.065239855503</v>
      </c>
      <c r="AH7937">
        <v>22.8720546205736</v>
      </c>
      <c r="AI7937">
        <v>92.538789533226605</v>
      </c>
      <c r="AJ7937">
        <v>72.179560800720495</v>
      </c>
      <c r="AK7937">
        <v>24.048360020782098</v>
      </c>
      <c r="AL7937">
        <v>91.854744732209696</v>
      </c>
      <c r="AM7937">
        <v>75.6755611124604</v>
      </c>
      <c r="AN7937">
        <v>1.0000000324298199</v>
      </c>
    </row>
    <row r="7938" spans="1:40" x14ac:dyDescent="0.25">
      <c r="A7938" t="str">
        <f>"20190303154000557"</f>
        <v>20190303154000557</v>
      </c>
      <c r="B7938" t="str">
        <f>"1551598800545944"</f>
        <v>1551598800545944</v>
      </c>
      <c r="C7938" t="s">
        <v>40</v>
      </c>
      <c r="D7938">
        <v>4.9379569999999999</v>
      </c>
      <c r="E7938">
        <v>0.51984459999999999</v>
      </c>
      <c r="F7938" t="s">
        <v>42</v>
      </c>
      <c r="G7938">
        <v>-302.57799999999997</v>
      </c>
      <c r="H7938" s="1">
        <v>-4.0753830000000001E-6</v>
      </c>
      <c r="I7938">
        <v>-12.38128</v>
      </c>
      <c r="J7938">
        <v>-301.22000000000003</v>
      </c>
      <c r="K7938">
        <v>1.065469</v>
      </c>
      <c r="L7938">
        <v>8.31625399999999</v>
      </c>
      <c r="M7938">
        <v>0.22835569999999999</v>
      </c>
      <c r="N7938">
        <v>-1.5418690000000001E-2</v>
      </c>
      <c r="O7938">
        <v>-0.97345570000000003</v>
      </c>
      <c r="P7938">
        <v>-8.8563540000000003E-3</v>
      </c>
      <c r="Q7938">
        <v>-4.4938199999999998E-2</v>
      </c>
      <c r="R7938">
        <v>-0.99895049999999996</v>
      </c>
      <c r="S7938">
        <v>-0.19119259999999999</v>
      </c>
      <c r="T7938">
        <v>-0.15287829999999999</v>
      </c>
      <c r="U7938">
        <v>-2.9949650000000001</v>
      </c>
      <c r="V7938">
        <v>0.2363017</v>
      </c>
      <c r="W7938">
        <v>-3.3428949999999999E-2</v>
      </c>
      <c r="X7938">
        <v>0.97110450000000004</v>
      </c>
      <c r="Y7938">
        <v>0.289753599999999</v>
      </c>
      <c r="Z7938">
        <v>3.2293090000000003E-2</v>
      </c>
      <c r="AA7938">
        <v>0.95655630000000003</v>
      </c>
      <c r="AB7938">
        <v>17</v>
      </c>
      <c r="AC7938">
        <v>-1.3579999999999399</v>
      </c>
      <c r="AD7938">
        <v>-1.065473075383</v>
      </c>
      <c r="AE7938">
        <v>-20.697534000000001</v>
      </c>
      <c r="AF7938">
        <v>6.0331522117964598</v>
      </c>
      <c r="AG7938">
        <v>-1.065473075383</v>
      </c>
      <c r="AH7938">
        <v>19.788169224668199</v>
      </c>
      <c r="AI7938">
        <v>92.948319868009605</v>
      </c>
      <c r="AJ7938">
        <v>73.044226543752799</v>
      </c>
      <c r="AK7938">
        <v>20.714869049771298</v>
      </c>
      <c r="AL7938">
        <v>91.915694717395297</v>
      </c>
      <c r="AM7938">
        <v>76.323841536985697</v>
      </c>
      <c r="AN7938">
        <v>0.99999996902062005</v>
      </c>
    </row>
    <row r="7939" spans="1:40" x14ac:dyDescent="0.25">
      <c r="A7939" t="str">
        <f>"20190303154000580"</f>
        <v>20190303154000580</v>
      </c>
      <c r="B7939" t="str">
        <f>"1551598800576204"</f>
        <v>1551598800576204</v>
      </c>
      <c r="C7939" t="s">
        <v>40</v>
      </c>
      <c r="D7939">
        <v>4.9457500000000003</v>
      </c>
      <c r="E7939">
        <v>0.51863320000000002</v>
      </c>
      <c r="F7939" t="s">
        <v>42</v>
      </c>
      <c r="G7939">
        <v>-302.43630000000002</v>
      </c>
      <c r="H7939" s="1">
        <v>-4.3999229999999996E-6</v>
      </c>
      <c r="I7939">
        <v>-11.353759999999999</v>
      </c>
      <c r="J7939">
        <v>-301.1952</v>
      </c>
      <c r="K7939">
        <v>1.065688</v>
      </c>
      <c r="L7939">
        <v>8.1386719999999997</v>
      </c>
      <c r="M7939">
        <v>0.2151797</v>
      </c>
      <c r="N7939">
        <v>-1.530334E-2</v>
      </c>
      <c r="O7939">
        <v>-0.97645470000000001</v>
      </c>
      <c r="P7939">
        <v>-1.076704E-2</v>
      </c>
      <c r="Q7939">
        <v>-4.5549319999999997E-2</v>
      </c>
      <c r="R7939">
        <v>-0.99890389999999996</v>
      </c>
      <c r="S7939">
        <v>-0.18515010000000001</v>
      </c>
      <c r="T7939">
        <v>-0.1621881</v>
      </c>
      <c r="U7939">
        <v>-2.994202</v>
      </c>
      <c r="V7939">
        <v>0.2250307</v>
      </c>
      <c r="W7939">
        <v>-3.3817460000000001E-2</v>
      </c>
      <c r="X7939">
        <v>0.97376470000000004</v>
      </c>
      <c r="Y7939">
        <v>0.27487349999999999</v>
      </c>
      <c r="Z7939">
        <v>3.570309E-2</v>
      </c>
      <c r="AA7939">
        <v>0.96081729999999999</v>
      </c>
      <c r="AB7939">
        <v>17</v>
      </c>
      <c r="AC7939">
        <v>-1.2411000000000101</v>
      </c>
      <c r="AD7939">
        <v>-1.0656923999229999</v>
      </c>
      <c r="AE7939">
        <v>-19.492432000000001</v>
      </c>
      <c r="AF7939">
        <v>5.3908376446379096</v>
      </c>
      <c r="AG7939">
        <v>-1.0656923999229999</v>
      </c>
      <c r="AH7939">
        <v>18.712904801806999</v>
      </c>
      <c r="AI7939">
        <v>93.132333065382696</v>
      </c>
      <c r="AJ7939">
        <v>73.929299025008802</v>
      </c>
      <c r="AK7939">
        <v>19.5030673721749</v>
      </c>
      <c r="AL7939">
        <v>91.937967111219805</v>
      </c>
      <c r="AM7939">
        <v>76.9877441963949</v>
      </c>
      <c r="AN7939">
        <v>1.00000006375471</v>
      </c>
    </row>
    <row r="7940" spans="1:40" x14ac:dyDescent="0.25">
      <c r="A7940" t="str">
        <f>"20190303154000602"</f>
        <v>20190303154000602</v>
      </c>
      <c r="B7940" t="str">
        <f>"1551598800595723"</f>
        <v>1551598800595723</v>
      </c>
      <c r="C7940" t="s">
        <v>40</v>
      </c>
      <c r="D7940">
        <v>4.989471</v>
      </c>
      <c r="E7940">
        <v>0.51778349999999995</v>
      </c>
      <c r="F7940" t="s">
        <v>42</v>
      </c>
      <c r="G7940">
        <v>-302.38170000000002</v>
      </c>
      <c r="H7940" s="1">
        <v>-4.3414849999999997E-6</v>
      </c>
      <c r="I7940">
        <v>-11.496980000000001</v>
      </c>
      <c r="J7940">
        <v>-301.17200000000003</v>
      </c>
      <c r="K7940">
        <v>1.0659069999999999</v>
      </c>
      <c r="L7940">
        <v>7.9590449999999997</v>
      </c>
      <c r="M7940">
        <v>0.20226079999999999</v>
      </c>
      <c r="N7940">
        <v>-1.5188460000000001E-2</v>
      </c>
      <c r="O7940">
        <v>-0.97921400000000003</v>
      </c>
      <c r="P7940">
        <v>-1.2580050000000001E-2</v>
      </c>
      <c r="Q7940">
        <v>-4.7155639999999999E-2</v>
      </c>
      <c r="R7940">
        <v>-0.99880869999999999</v>
      </c>
      <c r="S7940">
        <v>-0.18090819999999999</v>
      </c>
      <c r="T7940">
        <v>-0.16249040000000001</v>
      </c>
      <c r="U7940">
        <v>-2.9939269999999998</v>
      </c>
      <c r="V7940">
        <v>0.21390780000000001</v>
      </c>
      <c r="W7940">
        <v>-3.5218510000000001E-2</v>
      </c>
      <c r="X7940">
        <v>0.97621880000000005</v>
      </c>
      <c r="Y7940">
        <v>0.26080009999999998</v>
      </c>
      <c r="Z7940">
        <v>3.6259670000000001E-2</v>
      </c>
      <c r="AA7940">
        <v>0.9647116</v>
      </c>
      <c r="AB7940">
        <v>17</v>
      </c>
      <c r="AC7940">
        <v>-1.20969999999999</v>
      </c>
      <c r="AD7940">
        <v>-1.0659113414850001</v>
      </c>
      <c r="AE7940">
        <v>-19.456025</v>
      </c>
      <c r="AF7940">
        <v>5.1050728251618196</v>
      </c>
      <c r="AG7940">
        <v>-1.0659113414850001</v>
      </c>
      <c r="AH7940">
        <v>18.753035247733202</v>
      </c>
      <c r="AI7940">
        <v>93.139160062759302</v>
      </c>
      <c r="AJ7940">
        <v>74.771591397075795</v>
      </c>
      <c r="AK7940">
        <v>19.464692819071999</v>
      </c>
      <c r="AL7940">
        <v>92.018289322959603</v>
      </c>
      <c r="AM7940">
        <v>77.640753704672306</v>
      </c>
      <c r="AN7940">
        <v>1.00000001791045</v>
      </c>
    </row>
    <row r="7941" spans="1:40" x14ac:dyDescent="0.25">
      <c r="A7941" t="str">
        <f>"20190303154000625"</f>
        <v>20190303154000625</v>
      </c>
      <c r="B7941" t="str">
        <f>"1551598800616216"</f>
        <v>1551598800616216</v>
      </c>
      <c r="C7941" t="s">
        <v>40</v>
      </c>
      <c r="D7941">
        <v>4.9873570000000003</v>
      </c>
      <c r="E7941">
        <v>0.51690379999999903</v>
      </c>
      <c r="F7941" t="s">
        <v>42</v>
      </c>
      <c r="G7941">
        <v>-302.30380000000002</v>
      </c>
      <c r="H7941" s="1">
        <v>-4.5279819999999996E-6</v>
      </c>
      <c r="I7941">
        <v>-10.90837</v>
      </c>
      <c r="J7941">
        <v>-301.1506</v>
      </c>
      <c r="K7941">
        <v>1.066133</v>
      </c>
      <c r="L7941">
        <v>7.7796329999999996</v>
      </c>
      <c r="M7941">
        <v>0.18981020000000001</v>
      </c>
      <c r="N7941">
        <v>-1.507141E-2</v>
      </c>
      <c r="O7941">
        <v>-0.98170519999999994</v>
      </c>
      <c r="P7941">
        <v>-1.361615E-2</v>
      </c>
      <c r="Q7941">
        <v>-4.8477230000000003E-2</v>
      </c>
      <c r="R7941">
        <v>-0.9987317</v>
      </c>
      <c r="S7941">
        <v>-0.17956539999999999</v>
      </c>
      <c r="T7941">
        <v>-0.1691087</v>
      </c>
      <c r="U7941">
        <v>-2.993347</v>
      </c>
      <c r="V7941">
        <v>0.20250799999999999</v>
      </c>
      <c r="W7941">
        <v>-3.6344710000000002E-2</v>
      </c>
      <c r="X7941">
        <v>0.97860590000000003</v>
      </c>
      <c r="Y7941">
        <v>0.24809790000000001</v>
      </c>
      <c r="Z7941">
        <v>3.8793910000000001E-2</v>
      </c>
      <c r="AA7941">
        <v>0.96795790000000004</v>
      </c>
      <c r="AB7941">
        <v>17</v>
      </c>
      <c r="AC7941">
        <v>-1.15320000000002</v>
      </c>
      <c r="AD7941">
        <v>-1.066137527982</v>
      </c>
      <c r="AE7941">
        <v>-18.688002999999998</v>
      </c>
      <c r="AF7941">
        <v>4.66468299169739</v>
      </c>
      <c r="AG7941">
        <v>-1.066137527982</v>
      </c>
      <c r="AH7941">
        <v>18.0706881133266</v>
      </c>
      <c r="AI7941">
        <v>93.269503020094902</v>
      </c>
      <c r="AJ7941">
        <v>75.525902107254296</v>
      </c>
      <c r="AK7941">
        <v>18.6934663861662</v>
      </c>
      <c r="AL7941">
        <v>92.082857283730107</v>
      </c>
      <c r="AM7941">
        <v>78.308507784842902</v>
      </c>
      <c r="AN7941">
        <v>0.99999996776189604</v>
      </c>
    </row>
    <row r="7942" spans="1:40" x14ac:dyDescent="0.25">
      <c r="A7942" t="str">
        <f>"20190303154000647"</f>
        <v>20190303154000647</v>
      </c>
      <c r="B7942" t="str">
        <f>"1551598800635736"</f>
        <v>1551598800635736</v>
      </c>
      <c r="C7942" t="s">
        <v>40</v>
      </c>
      <c r="D7942">
        <v>4.9813660000000004</v>
      </c>
      <c r="E7942">
        <v>0.51596779999999998</v>
      </c>
      <c r="F7942" t="s">
        <v>42</v>
      </c>
      <c r="G7942">
        <v>-302.21449999999999</v>
      </c>
      <c r="H7942" s="1">
        <v>-1.877777E-7</v>
      </c>
      <c r="I7942">
        <v>-10.311920000000001</v>
      </c>
      <c r="J7942">
        <v>-301.13159999999999</v>
      </c>
      <c r="K7942">
        <v>1.0663530000000001</v>
      </c>
      <c r="L7942">
        <v>7.6050110000000002</v>
      </c>
      <c r="M7942">
        <v>0.1781295</v>
      </c>
      <c r="N7942">
        <v>-1.492108E-2</v>
      </c>
      <c r="O7942">
        <v>-0.98389400000000005</v>
      </c>
      <c r="P7942">
        <v>-1.391569E-2</v>
      </c>
      <c r="Q7942">
        <v>-4.9439329999999997E-2</v>
      </c>
      <c r="R7942">
        <v>-0.99868049999999997</v>
      </c>
      <c r="S7942">
        <v>-0.17599489999999901</v>
      </c>
      <c r="T7942">
        <v>-0.17636879999999999</v>
      </c>
      <c r="U7942">
        <v>-2.9928590000000002</v>
      </c>
      <c r="V7942">
        <v>0.19116440000000001</v>
      </c>
      <c r="W7942">
        <v>-3.7163399999999999E-2</v>
      </c>
      <c r="X7942">
        <v>0.98085429999999996</v>
      </c>
      <c r="Y7942">
        <v>0.23542060000000001</v>
      </c>
      <c r="Z7942">
        <v>4.1558690000000002E-2</v>
      </c>
      <c r="AA7942">
        <v>0.97100469999999905</v>
      </c>
      <c r="AB7942">
        <v>17</v>
      </c>
      <c r="AC7942">
        <v>-1.08289999999999</v>
      </c>
      <c r="AD7942">
        <v>-1.0663531877776999</v>
      </c>
      <c r="AE7942">
        <v>-17.916930999999899</v>
      </c>
      <c r="AF7942">
        <v>4.2424932698932096</v>
      </c>
      <c r="AG7942">
        <v>-1.0663531877776999</v>
      </c>
      <c r="AH7942">
        <v>17.3760785204292</v>
      </c>
      <c r="AI7942">
        <v>93.411808231066502</v>
      </c>
      <c r="AJ7942">
        <v>76.279267039463207</v>
      </c>
      <c r="AK7942">
        <v>17.918257811916099</v>
      </c>
      <c r="AL7942">
        <v>92.129796303716702</v>
      </c>
      <c r="AM7942">
        <v>78.971541698463298</v>
      </c>
      <c r="AN7942">
        <v>1.0000000519776999</v>
      </c>
    </row>
    <row r="7943" spans="1:40" x14ac:dyDescent="0.25">
      <c r="A7943" t="str">
        <f>"20190303154000670"</f>
        <v>20190303154000670</v>
      </c>
      <c r="B7943" t="str">
        <f>"1551598800665992"</f>
        <v>1551598800665992</v>
      </c>
      <c r="C7943" t="s">
        <v>40</v>
      </c>
      <c r="D7943">
        <v>5.0063909999999998</v>
      </c>
      <c r="E7943">
        <v>0.51495119999999905</v>
      </c>
      <c r="F7943" t="s">
        <v>42</v>
      </c>
      <c r="G7943">
        <v>-302.11759999999998</v>
      </c>
      <c r="H7943" s="1">
        <v>-3.9481059999999998E-7</v>
      </c>
      <c r="I7943">
        <v>-9.8193870000000008</v>
      </c>
      <c r="J7943">
        <v>-301.11410000000001</v>
      </c>
      <c r="K7943">
        <v>1.0664960000000001</v>
      </c>
      <c r="L7943">
        <v>7.4307860000000003</v>
      </c>
      <c r="M7943">
        <v>0.16685059999999999</v>
      </c>
      <c r="N7943">
        <v>-1.4627090000000001E-2</v>
      </c>
      <c r="O7943">
        <v>-0.98587389999999997</v>
      </c>
      <c r="P7943">
        <v>-1.446414E-2</v>
      </c>
      <c r="Q7943">
        <v>-5.0959440000000002E-2</v>
      </c>
      <c r="R7943">
        <v>-0.99859609999999999</v>
      </c>
      <c r="S7943">
        <v>-0.16934199999999999</v>
      </c>
      <c r="T7943">
        <v>-0.1831409</v>
      </c>
      <c r="U7943">
        <v>-2.9925540000000002</v>
      </c>
      <c r="V7943">
        <v>0.18045120000000001</v>
      </c>
      <c r="W7943">
        <v>-3.8719139999999999E-2</v>
      </c>
      <c r="X7943">
        <v>0.98282150000000001</v>
      </c>
      <c r="Y7943">
        <v>0.2221234</v>
      </c>
      <c r="Z7943">
        <v>4.4312850000000001E-2</v>
      </c>
      <c r="AA7943">
        <v>0.97401110000000002</v>
      </c>
      <c r="AB7943">
        <v>17</v>
      </c>
      <c r="AC7943">
        <v>-1.0034999999999701</v>
      </c>
      <c r="AD7943">
        <v>-1.0664963948106001</v>
      </c>
      <c r="AE7943">
        <v>-17.250173</v>
      </c>
      <c r="AF7943">
        <v>3.8532602751906002</v>
      </c>
      <c r="AG7943">
        <v>-1.0664963948106001</v>
      </c>
      <c r="AH7943">
        <v>16.776947578203401</v>
      </c>
      <c r="AI7943">
        <v>93.545287650743006</v>
      </c>
      <c r="AJ7943">
        <v>77.064874161972199</v>
      </c>
      <c r="AK7943">
        <v>17.246767794293898</v>
      </c>
      <c r="AL7943">
        <v>92.218998089119907</v>
      </c>
      <c r="AM7943">
        <v>79.596069135432799</v>
      </c>
      <c r="AN7943">
        <v>0.99999995412301301</v>
      </c>
    </row>
    <row r="7944" spans="1:40" x14ac:dyDescent="0.25">
      <c r="A7944" t="str">
        <f>"20190303154000692"</f>
        <v>20190303154000692</v>
      </c>
      <c r="B7944" t="str">
        <f>"1551598800686488"</f>
        <v>1551598800686488</v>
      </c>
      <c r="C7944" t="s">
        <v>40</v>
      </c>
      <c r="D7944">
        <v>5.0191990000000004</v>
      </c>
      <c r="E7944">
        <v>0.51440370000000002</v>
      </c>
      <c r="F7944" t="s">
        <v>42</v>
      </c>
      <c r="G7944">
        <v>-302.03059999999999</v>
      </c>
      <c r="H7944" s="1">
        <v>-5.548428E-7</v>
      </c>
      <c r="I7944">
        <v>-9.4318899999999992</v>
      </c>
      <c r="J7944">
        <v>-301.09780000000001</v>
      </c>
      <c r="K7944">
        <v>1.0665629999999999</v>
      </c>
      <c r="L7944">
        <v>7.2518619999999903</v>
      </c>
      <c r="M7944">
        <v>0.1556671</v>
      </c>
      <c r="N7944">
        <v>-1.4142109999999999E-2</v>
      </c>
      <c r="O7944">
        <v>-0.98770849999999999</v>
      </c>
      <c r="P7944">
        <v>-1.5057950000000001E-2</v>
      </c>
      <c r="Q7944">
        <v>-5.1992429999999999E-2</v>
      </c>
      <c r="R7944">
        <v>-0.99853400000000003</v>
      </c>
      <c r="S7944">
        <v>-0.1626282</v>
      </c>
      <c r="T7944">
        <v>-0.18924579999999999</v>
      </c>
      <c r="U7944">
        <v>-2.9922179999999998</v>
      </c>
      <c r="V7944">
        <v>0.16988439999999999</v>
      </c>
      <c r="W7944">
        <v>-4.0007569999999999E-2</v>
      </c>
      <c r="X7944">
        <v>0.98465159999999996</v>
      </c>
      <c r="Y7944">
        <v>0.20888300000000001</v>
      </c>
      <c r="Z7944">
        <v>4.704303E-2</v>
      </c>
      <c r="AA7944">
        <v>0.97680849999999997</v>
      </c>
      <c r="AB7944">
        <v>17</v>
      </c>
      <c r="AC7944">
        <v>-0.93279999999998597</v>
      </c>
      <c r="AD7944">
        <v>-1.0665635548428001</v>
      </c>
      <c r="AE7944">
        <v>-16.683751999999998</v>
      </c>
      <c r="AF7944">
        <v>3.50451937697055</v>
      </c>
      <c r="AG7944">
        <v>-1.0665635548428001</v>
      </c>
      <c r="AH7944">
        <v>16.268827657031999</v>
      </c>
      <c r="AI7944">
        <v>93.666993306002794</v>
      </c>
      <c r="AJ7944">
        <v>77.843496000201597</v>
      </c>
      <c r="AK7944">
        <v>16.6761496519517</v>
      </c>
      <c r="AL7944">
        <v>92.292876751069798</v>
      </c>
      <c r="AM7944">
        <v>80.210988163730406</v>
      </c>
      <c r="AN7944">
        <v>1.0000000442016099</v>
      </c>
    </row>
    <row r="7945" spans="1:40" x14ac:dyDescent="0.25">
      <c r="A7945" t="str">
        <f>"20190303154000714"</f>
        <v>20190303154000714</v>
      </c>
      <c r="B7945" t="str">
        <f>"1551598800706009"</f>
        <v>1551598800706009</v>
      </c>
      <c r="C7945" t="s">
        <v>40</v>
      </c>
      <c r="D7945">
        <v>5.032705</v>
      </c>
      <c r="E7945">
        <v>0.5139011</v>
      </c>
      <c r="F7945" t="s">
        <v>42</v>
      </c>
      <c r="G7945">
        <v>-301.97829999999999</v>
      </c>
      <c r="H7945" s="1">
        <v>-6.5066709999999995E-7</v>
      </c>
      <c r="I7945">
        <v>-9.199738</v>
      </c>
      <c r="J7945">
        <v>-301.08330000000001</v>
      </c>
      <c r="K7945">
        <v>1.0666009999999999</v>
      </c>
      <c r="L7945">
        <v>7.0769039999999901</v>
      </c>
      <c r="M7945">
        <v>0.1450476</v>
      </c>
      <c r="N7945">
        <v>-1.3630420000000001E-2</v>
      </c>
      <c r="O7945">
        <v>-0.98933079999999995</v>
      </c>
      <c r="P7945">
        <v>-1.5211000000000001E-2</v>
      </c>
      <c r="Q7945">
        <v>-5.2063610000000003E-2</v>
      </c>
      <c r="R7945">
        <v>-0.99852790000000002</v>
      </c>
      <c r="S7945">
        <v>-0.16012570000000001</v>
      </c>
      <c r="T7945">
        <v>-0.193965</v>
      </c>
      <c r="U7945">
        <v>-2.9918819999999999</v>
      </c>
      <c r="V7945">
        <v>0.15946009999999999</v>
      </c>
      <c r="W7945">
        <v>-4.039069E-2</v>
      </c>
      <c r="X7945">
        <v>0.98637770000000002</v>
      </c>
      <c r="Y7945">
        <v>0.1975575</v>
      </c>
      <c r="Z7945">
        <v>4.9324079999999999E-2</v>
      </c>
      <c r="AA7945">
        <v>0.97904959999999996</v>
      </c>
      <c r="AB7945">
        <v>17</v>
      </c>
      <c r="AC7945">
        <v>-0.89499999999998103</v>
      </c>
      <c r="AD7945">
        <v>-1.0666016506670899</v>
      </c>
      <c r="AE7945">
        <v>-16.276641999999999</v>
      </c>
      <c r="AF7945">
        <v>3.2328002808946299</v>
      </c>
      <c r="AG7945">
        <v>-1.0666016506670899</v>
      </c>
      <c r="AH7945">
        <v>15.906550610946899</v>
      </c>
      <c r="AI7945">
        <v>93.759550455518394</v>
      </c>
      <c r="AJ7945">
        <v>78.511843666759603</v>
      </c>
      <c r="AK7945">
        <v>16.266744882611601</v>
      </c>
      <c r="AL7945">
        <v>92.314845887059903</v>
      </c>
      <c r="AM7945">
        <v>80.816881118294305</v>
      </c>
      <c r="AN7945">
        <v>0.99999994919398605</v>
      </c>
    </row>
    <row r="7946" spans="1:40" x14ac:dyDescent="0.25">
      <c r="A7946" t="str">
        <f>"20190303154000736"</f>
        <v>20190303154000736</v>
      </c>
      <c r="B7946" t="str">
        <f>"1551598800726505"</f>
        <v>1551598800726505</v>
      </c>
      <c r="C7946" t="s">
        <v>40</v>
      </c>
      <c r="D7946">
        <v>5.001665</v>
      </c>
      <c r="E7946">
        <v>0.51345320000000005</v>
      </c>
      <c r="F7946" t="s">
        <v>42</v>
      </c>
      <c r="G7946">
        <v>-301.94119999999998</v>
      </c>
      <c r="H7946" s="1">
        <v>-6.0023340000000002E-7</v>
      </c>
      <c r="I7946">
        <v>-9.2855369999999997</v>
      </c>
      <c r="J7946">
        <v>-301.07</v>
      </c>
      <c r="K7946">
        <v>1.0666279999999999</v>
      </c>
      <c r="L7946">
        <v>6.8983460000000001</v>
      </c>
      <c r="M7946">
        <v>0.13451089999999999</v>
      </c>
      <c r="N7946">
        <v>-1.3130569999999999E-2</v>
      </c>
      <c r="O7946">
        <v>-0.99082519999999996</v>
      </c>
      <c r="P7946">
        <v>-1.6108000000000001E-2</v>
      </c>
      <c r="Q7946">
        <v>-5.2854909999999998E-2</v>
      </c>
      <c r="R7946">
        <v>-0.99847229999999998</v>
      </c>
      <c r="S7946">
        <v>-0.15686040000000001</v>
      </c>
      <c r="T7946">
        <v>-0.1950268</v>
      </c>
      <c r="U7946">
        <v>-2.9918520000000002</v>
      </c>
      <c r="V7946">
        <v>0.14983850000000001</v>
      </c>
      <c r="W7946">
        <v>-4.1510430000000001E-2</v>
      </c>
      <c r="X7946">
        <v>0.98783869999999896</v>
      </c>
      <c r="Y7946">
        <v>0.186054</v>
      </c>
      <c r="Z7946">
        <v>5.0394399999999999E-2</v>
      </c>
      <c r="AA7946">
        <v>0.98124630000000002</v>
      </c>
      <c r="AB7946">
        <v>17</v>
      </c>
      <c r="AC7946">
        <v>-0.87119999999998698</v>
      </c>
      <c r="AD7946">
        <v>-1.0666286002334</v>
      </c>
      <c r="AE7946">
        <v>-16.183882999999899</v>
      </c>
      <c r="AF7946">
        <v>3.0272658567778299</v>
      </c>
      <c r="AG7946">
        <v>-1.0666286002334</v>
      </c>
      <c r="AH7946">
        <v>15.8509313423683</v>
      </c>
      <c r="AI7946">
        <v>93.781555456201403</v>
      </c>
      <c r="AJ7946">
        <v>79.187657413867299</v>
      </c>
      <c r="AK7946">
        <v>16.172633043475699</v>
      </c>
      <c r="AL7946">
        <v>92.379056023108006</v>
      </c>
      <c r="AM7946">
        <v>81.374941650049095</v>
      </c>
      <c r="AN7946">
        <v>0.99999999454936195</v>
      </c>
    </row>
    <row r="7947" spans="1:40" x14ac:dyDescent="0.25">
      <c r="A7947" t="str">
        <f>"20190303154000758"</f>
        <v>20190303154000758</v>
      </c>
      <c r="B7947" t="str">
        <f>"1551598800746024"</f>
        <v>1551598800746024</v>
      </c>
      <c r="C7947" t="s">
        <v>40</v>
      </c>
      <c r="D7947">
        <v>4.9935179999999999</v>
      </c>
      <c r="E7947">
        <v>0.51296039999999998</v>
      </c>
      <c r="F7947" t="s">
        <v>42</v>
      </c>
      <c r="G7947">
        <v>-301.90710000000001</v>
      </c>
      <c r="H7947" s="1">
        <v>-6.4416189999999998E-7</v>
      </c>
      <c r="I7947">
        <v>-9.1734449999999992</v>
      </c>
      <c r="J7947">
        <v>-301.0582</v>
      </c>
      <c r="K7947">
        <v>1.066643</v>
      </c>
      <c r="L7947">
        <v>6.7196350000000002</v>
      </c>
      <c r="M7947">
        <v>0.1242351</v>
      </c>
      <c r="N7947">
        <v>-1.264348E-2</v>
      </c>
      <c r="O7947">
        <v>-0.99217219999999995</v>
      </c>
      <c r="P7947">
        <v>-1.7812870000000001E-2</v>
      </c>
      <c r="Q7947">
        <v>-5.3761740000000002E-2</v>
      </c>
      <c r="R7947">
        <v>-0.99839500000000003</v>
      </c>
      <c r="S7947">
        <v>-0.15582279999999901</v>
      </c>
      <c r="T7947">
        <v>-0.19854040000000001</v>
      </c>
      <c r="U7947">
        <v>-2.9915769999999999</v>
      </c>
      <c r="V7947">
        <v>0.1412746</v>
      </c>
      <c r="W7947">
        <v>-4.2761710000000001E-2</v>
      </c>
      <c r="X7947">
        <v>0.98904650000000005</v>
      </c>
      <c r="Y7947">
        <v>0.17552899999999999</v>
      </c>
      <c r="Z7947">
        <v>5.2230909999999998E-2</v>
      </c>
      <c r="AA7947">
        <v>0.98308770000000001</v>
      </c>
      <c r="AB7947">
        <v>17</v>
      </c>
      <c r="AC7947">
        <v>-0.84890000000001398</v>
      </c>
      <c r="AD7947">
        <v>-1.0666436441619001</v>
      </c>
      <c r="AE7947">
        <v>-15.893079999999999</v>
      </c>
      <c r="AF7947">
        <v>2.8043630612102199</v>
      </c>
      <c r="AG7947">
        <v>-1.0666436441619001</v>
      </c>
      <c r="AH7947">
        <v>15.594420553723101</v>
      </c>
      <c r="AI7947">
        <v>93.851294668120403</v>
      </c>
      <c r="AJ7947">
        <v>79.805395626811702</v>
      </c>
      <c r="AK7947">
        <v>15.8804324012003</v>
      </c>
      <c r="AL7947">
        <v>92.450812738190393</v>
      </c>
      <c r="AM7947">
        <v>81.8709057517936</v>
      </c>
      <c r="AN7947">
        <v>1.00000002780476</v>
      </c>
    </row>
    <row r="7948" spans="1:40" x14ac:dyDescent="0.25">
      <c r="A7948" t="str">
        <f>"20190303154000782"</f>
        <v>20190303154000782</v>
      </c>
      <c r="B7948" t="str">
        <f>"1551598800776284"</f>
        <v>1551598800776284</v>
      </c>
      <c r="C7948" t="s">
        <v>40</v>
      </c>
      <c r="D7948">
        <v>5.0110340000000004</v>
      </c>
      <c r="E7948">
        <v>0.51244239999999996</v>
      </c>
      <c r="F7948" t="s">
        <v>42</v>
      </c>
      <c r="G7948">
        <v>-301.8861</v>
      </c>
      <c r="H7948" s="1">
        <v>-6.9850349999999995E-7</v>
      </c>
      <c r="I7948">
        <v>-9.0466660000000001</v>
      </c>
      <c r="J7948">
        <v>-301.04750000000001</v>
      </c>
      <c r="K7948">
        <v>1.0666500000000001</v>
      </c>
      <c r="L7948">
        <v>6.5355220000000003</v>
      </c>
      <c r="M7948">
        <v>0.113901</v>
      </c>
      <c r="N7948">
        <v>-1.213908E-2</v>
      </c>
      <c r="O7948">
        <v>-0.99341800000000002</v>
      </c>
      <c r="P7948">
        <v>-1.9863200000000001E-2</v>
      </c>
      <c r="Q7948">
        <v>-5.3493909999999999E-2</v>
      </c>
      <c r="R7948">
        <v>-0.99837089999999995</v>
      </c>
      <c r="S7948">
        <v>-0.15707399999999999</v>
      </c>
      <c r="T7948">
        <v>-0.20235939999999999</v>
      </c>
      <c r="U7948">
        <v>-2.9911189999999999</v>
      </c>
      <c r="V7948">
        <v>0.13301640000000001</v>
      </c>
      <c r="W7948">
        <v>-4.2871020000000003E-2</v>
      </c>
      <c r="X7948">
        <v>0.99018620000000002</v>
      </c>
      <c r="Y7948">
        <v>0.1656928</v>
      </c>
      <c r="Z7948">
        <v>5.4175139999999997E-2</v>
      </c>
      <c r="AA7948">
        <v>0.98468820000000001</v>
      </c>
      <c r="AB7948">
        <v>18</v>
      </c>
      <c r="AC7948">
        <v>-0.83859999999998502</v>
      </c>
      <c r="AD7948">
        <v>-1.0666506985035</v>
      </c>
      <c r="AE7948">
        <v>-15.582188</v>
      </c>
      <c r="AF7948">
        <v>2.59596997231148</v>
      </c>
      <c r="AG7948">
        <v>-1.0666506985035</v>
      </c>
      <c r="AH7948">
        <v>15.313691070439599</v>
      </c>
      <c r="AI7948">
        <v>93.928542797893002</v>
      </c>
      <c r="AJ7948">
        <v>80.378711526882597</v>
      </c>
      <c r="AK7948">
        <v>15.568748761882601</v>
      </c>
      <c r="AL7948">
        <v>92.4570815595726</v>
      </c>
      <c r="AM7948">
        <v>82.348990201732406</v>
      </c>
      <c r="AN7948">
        <v>0.99999999884762003</v>
      </c>
    </row>
    <row r="7949" spans="1:40" x14ac:dyDescent="0.25">
      <c r="A7949" t="str">
        <f>"20190303154000803"</f>
        <v>20190303154000803</v>
      </c>
      <c r="B7949" t="str">
        <f>"1551598800795801"</f>
        <v>1551598800795801</v>
      </c>
      <c r="C7949" t="s">
        <v>40</v>
      </c>
      <c r="D7949">
        <v>5.0444690000000003</v>
      </c>
      <c r="E7949">
        <v>0.51218520000000001</v>
      </c>
      <c r="F7949" t="s">
        <v>42</v>
      </c>
      <c r="G7949">
        <v>-301.88459999999998</v>
      </c>
      <c r="H7949" s="1">
        <v>-6.2940019999999899E-7</v>
      </c>
      <c r="I7949">
        <v>-9.1919819999999994</v>
      </c>
      <c r="J7949">
        <v>-301.03879999999998</v>
      </c>
      <c r="K7949">
        <v>1.066641</v>
      </c>
      <c r="L7949">
        <v>6.3580629999999996</v>
      </c>
      <c r="M7949">
        <v>0.10417029999999999</v>
      </c>
      <c r="N7949">
        <v>-1.165918E-2</v>
      </c>
      <c r="O7949">
        <v>-0.99449120000000002</v>
      </c>
      <c r="P7949">
        <v>-2.1435450000000002E-2</v>
      </c>
      <c r="Q7949">
        <v>-5.1031680000000003E-2</v>
      </c>
      <c r="R7949">
        <v>-0.99846710000000005</v>
      </c>
      <c r="S7949">
        <v>-0.15917970000000001</v>
      </c>
      <c r="T7949">
        <v>-0.2028432</v>
      </c>
      <c r="U7949">
        <v>-2.990875</v>
      </c>
      <c r="V7949">
        <v>0.1249205</v>
      </c>
      <c r="W7949">
        <v>-4.0773499999999997E-2</v>
      </c>
      <c r="X7949">
        <v>0.9913286</v>
      </c>
      <c r="Y7949">
        <v>0.1567326</v>
      </c>
      <c r="Z7949">
        <v>5.4978289999999999E-2</v>
      </c>
      <c r="AA7949">
        <v>0.98610969999999998</v>
      </c>
      <c r="AB7949">
        <v>18</v>
      </c>
      <c r="AC7949">
        <v>-0.845799999999997</v>
      </c>
      <c r="AD7949">
        <v>-1.0666416294001999</v>
      </c>
      <c r="AE7949">
        <v>-15.550045000000001</v>
      </c>
      <c r="AF7949">
        <v>2.4496685639181899</v>
      </c>
      <c r="AG7949">
        <v>-1.0666416294001999</v>
      </c>
      <c r="AH7949">
        <v>15.3055174657867</v>
      </c>
      <c r="AI7949">
        <v>93.936556996823995</v>
      </c>
      <c r="AJ7949">
        <v>80.90685501918</v>
      </c>
      <c r="AK7949">
        <v>15.5369709188799</v>
      </c>
      <c r="AL7949">
        <v>92.336797247070194</v>
      </c>
      <c r="AM7949">
        <v>82.817831204150593</v>
      </c>
      <c r="AN7949">
        <v>1.0000000014002299</v>
      </c>
    </row>
    <row r="7950" spans="1:40" x14ac:dyDescent="0.25">
      <c r="A7950" t="str">
        <f>"20190303154000828"</f>
        <v>20190303154000828</v>
      </c>
      <c r="B7950" t="str">
        <f>"1551598800816297"</f>
        <v>1551598800816297</v>
      </c>
      <c r="C7950" t="s">
        <v>40</v>
      </c>
      <c r="D7950">
        <v>5.0141629999999999</v>
      </c>
      <c r="E7950">
        <v>0.51201090000000005</v>
      </c>
      <c r="F7950" t="s">
        <v>42</v>
      </c>
      <c r="G7950">
        <v>-301.91989999999998</v>
      </c>
      <c r="H7950" s="1">
        <v>-2.8530300000000002E-7</v>
      </c>
      <c r="I7950">
        <v>-9.9397769999999994</v>
      </c>
      <c r="J7950">
        <v>-301.0308</v>
      </c>
      <c r="K7950">
        <v>1.06664</v>
      </c>
      <c r="L7950">
        <v>6.1651920000000002</v>
      </c>
      <c r="M7950">
        <v>9.3821479999999999E-2</v>
      </c>
      <c r="N7950">
        <v>-1.1162109999999999E-2</v>
      </c>
      <c r="O7950">
        <v>-0.99552660000000004</v>
      </c>
      <c r="P7950">
        <v>-2.4407249999999998E-2</v>
      </c>
      <c r="Q7950">
        <v>-4.8412190000000001E-2</v>
      </c>
      <c r="R7950">
        <v>-0.99852940000000001</v>
      </c>
      <c r="S7950">
        <v>-0.16171259999999901</v>
      </c>
      <c r="T7950">
        <v>-0.19575909999999999</v>
      </c>
      <c r="U7950">
        <v>-2.9911189999999999</v>
      </c>
      <c r="V7950">
        <v>0.1175981</v>
      </c>
      <c r="W7950">
        <v>-3.8551530000000001E-2</v>
      </c>
      <c r="X7950">
        <v>0.99231270000000005</v>
      </c>
      <c r="Y7950">
        <v>0.1472966</v>
      </c>
      <c r="Z7950">
        <v>5.3301019999999998E-2</v>
      </c>
      <c r="AA7950">
        <v>0.98765519999999996</v>
      </c>
      <c r="AB7950">
        <v>18</v>
      </c>
      <c r="AC7950">
        <v>-0.88909999999998401</v>
      </c>
      <c r="AD7950">
        <v>-1.0666402853029999</v>
      </c>
      <c r="AE7950">
        <v>-16.104969000000001</v>
      </c>
      <c r="AF7950">
        <v>2.3858300842854701</v>
      </c>
      <c r="AG7950">
        <v>-1.0666402853029999</v>
      </c>
      <c r="AH7950">
        <v>15.881049613936</v>
      </c>
      <c r="AI7950">
        <v>93.799947522335103</v>
      </c>
      <c r="AJ7950">
        <v>81.456276210543706</v>
      </c>
      <c r="AK7950">
        <v>16.094646424498102</v>
      </c>
      <c r="AL7950">
        <v>92.209387435078895</v>
      </c>
      <c r="AM7950">
        <v>83.241450185477305</v>
      </c>
      <c r="AN7950">
        <v>1.00000001408512</v>
      </c>
    </row>
    <row r="7951" spans="1:40" x14ac:dyDescent="0.25">
      <c r="A7951" t="str">
        <f>"20190303154000852"</f>
        <v>20190303154000852</v>
      </c>
      <c r="B7951" t="str">
        <f>"1551598800846554"</f>
        <v>1551598800846554</v>
      </c>
      <c r="C7951" t="s">
        <v>40</v>
      </c>
      <c r="D7951">
        <v>5.04786</v>
      </c>
      <c r="E7951">
        <v>0.51171619999999995</v>
      </c>
      <c r="F7951" t="s">
        <v>42</v>
      </c>
      <c r="G7951">
        <v>-301.99180000000001</v>
      </c>
      <c r="H7951" s="1">
        <v>-4.5077729999999997E-6</v>
      </c>
      <c r="I7951">
        <v>-10.805110000000001</v>
      </c>
      <c r="J7951">
        <v>-301.02449999999999</v>
      </c>
      <c r="K7951">
        <v>1.066614</v>
      </c>
      <c r="L7951">
        <v>5.9688420000000004</v>
      </c>
      <c r="M7951">
        <v>8.3521250000000005E-2</v>
      </c>
      <c r="N7951">
        <v>-1.069555E-2</v>
      </c>
      <c r="O7951">
        <v>-0.99644880000000002</v>
      </c>
      <c r="P7951">
        <v>-2.6962940000000001E-2</v>
      </c>
      <c r="Q7951">
        <v>-4.6896899999999998E-2</v>
      </c>
      <c r="R7951">
        <v>-0.99853610000000004</v>
      </c>
      <c r="S7951">
        <v>-0.16937260000000001</v>
      </c>
      <c r="T7951">
        <v>-0.18800459999999999</v>
      </c>
      <c r="U7951">
        <v>-2.9911500000000002</v>
      </c>
      <c r="V7951">
        <v>0.1098944</v>
      </c>
      <c r="W7951">
        <v>-3.7405430000000003E-2</v>
      </c>
      <c r="X7951">
        <v>0.99323919999999999</v>
      </c>
      <c r="Y7951">
        <v>0.13959839999999901</v>
      </c>
      <c r="Z7951">
        <v>5.134093E-2</v>
      </c>
      <c r="AA7951">
        <v>0.98887630000000004</v>
      </c>
      <c r="AB7951">
        <v>18</v>
      </c>
      <c r="AC7951">
        <v>-0.96730000000002203</v>
      </c>
      <c r="AD7951">
        <v>-1.0666185077729999</v>
      </c>
      <c r="AE7951">
        <v>-16.773951999999898</v>
      </c>
      <c r="AF7951">
        <v>2.3554885273920001</v>
      </c>
      <c r="AG7951">
        <v>-1.0666185077729999</v>
      </c>
      <c r="AH7951">
        <v>16.5677741315852</v>
      </c>
      <c r="AI7951">
        <v>93.646993970901406</v>
      </c>
      <c r="AJ7951">
        <v>81.908321353805704</v>
      </c>
      <c r="AK7951">
        <v>16.768337452443699</v>
      </c>
      <c r="AL7951">
        <v>92.143673303086203</v>
      </c>
      <c r="AM7951">
        <v>83.686335508881697</v>
      </c>
      <c r="AN7951">
        <v>1.0000000268807401</v>
      </c>
    </row>
    <row r="7952" spans="1:40" x14ac:dyDescent="0.25">
      <c r="A7952" t="str">
        <f>"20190303154000870"</f>
        <v>20190303154000870</v>
      </c>
      <c r="B7952" t="str">
        <f>"1551598800866073"</f>
        <v>1551598800866073</v>
      </c>
      <c r="C7952" t="s">
        <v>40</v>
      </c>
      <c r="D7952">
        <v>5.0619079999999999</v>
      </c>
      <c r="E7952">
        <v>0.5115556</v>
      </c>
      <c r="F7952" t="s">
        <v>42</v>
      </c>
      <c r="G7952">
        <v>-302.036</v>
      </c>
      <c r="H7952" s="1">
        <v>-4.3259320000000004E-6</v>
      </c>
      <c r="I7952">
        <v>-11.36252</v>
      </c>
      <c r="J7952">
        <v>-301.0206</v>
      </c>
      <c r="K7952">
        <v>1.066586</v>
      </c>
      <c r="L7952">
        <v>5.8054199999999998</v>
      </c>
      <c r="M7952">
        <v>7.5110159999999995E-2</v>
      </c>
      <c r="N7952">
        <v>-1.0341919999999999E-2</v>
      </c>
      <c r="O7952">
        <v>-0.99712160000000005</v>
      </c>
      <c r="P7952">
        <v>-2.7452839999999999E-2</v>
      </c>
      <c r="Q7952">
        <v>-4.7171379999999999E-2</v>
      </c>
      <c r="R7952">
        <v>-0.99850950000000005</v>
      </c>
      <c r="S7952">
        <v>-0.17456050000000001</v>
      </c>
      <c r="T7952">
        <v>-0.18407580000000001</v>
      </c>
      <c r="U7952">
        <v>-2.991028</v>
      </c>
      <c r="V7952">
        <v>0.1019941</v>
      </c>
      <c r="W7952">
        <v>-3.7939899999999999E-2</v>
      </c>
      <c r="X7952">
        <v>0.99406119999999998</v>
      </c>
      <c r="Y7952">
        <v>0.13295979999999999</v>
      </c>
      <c r="Z7952">
        <v>5.0493459999999997E-2</v>
      </c>
      <c r="AA7952">
        <v>0.9898344</v>
      </c>
      <c r="AB7952">
        <v>18</v>
      </c>
      <c r="AC7952">
        <v>-1.0153999999999901</v>
      </c>
      <c r="AD7952">
        <v>-1.066590325932</v>
      </c>
      <c r="AE7952">
        <v>-17.167939999999899</v>
      </c>
      <c r="AF7952">
        <v>2.2932665588624701</v>
      </c>
      <c r="AG7952">
        <v>-1.066590325932</v>
      </c>
      <c r="AH7952">
        <v>16.9778667520292</v>
      </c>
      <c r="AI7952">
        <v>93.562467071808001</v>
      </c>
      <c r="AJ7952">
        <v>82.307394286884005</v>
      </c>
      <c r="AK7952">
        <v>17.165216161849699</v>
      </c>
      <c r="AL7952">
        <v>92.174318096803106</v>
      </c>
      <c r="AM7952">
        <v>84.141755942261796</v>
      </c>
      <c r="AN7952">
        <v>0.99999995089612803</v>
      </c>
    </row>
    <row r="7953" spans="1:40" x14ac:dyDescent="0.25">
      <c r="A7953" t="str">
        <f>"20190303154000893"</f>
        <v>20190303154000893</v>
      </c>
      <c r="B7953" t="str">
        <f>"1551598800886569"</f>
        <v>1551598800886569</v>
      </c>
      <c r="C7953" t="s">
        <v>40</v>
      </c>
      <c r="D7953">
        <v>5.0392989999999998</v>
      </c>
      <c r="E7953">
        <v>0.51137109999999997</v>
      </c>
      <c r="F7953" t="s">
        <v>42</v>
      </c>
      <c r="G7953">
        <v>-302.02710000000002</v>
      </c>
      <c r="H7953" s="1">
        <v>-4.312462E-6</v>
      </c>
      <c r="I7953">
        <v>-11.397460000000001</v>
      </c>
      <c r="J7953">
        <v>-301.01769999999999</v>
      </c>
      <c r="K7953">
        <v>1.0665530000000001</v>
      </c>
      <c r="L7953">
        <v>5.6211849999999997</v>
      </c>
      <c r="M7953">
        <v>6.5764879999999998E-2</v>
      </c>
      <c r="N7953">
        <v>-9.9852929999999993E-3</v>
      </c>
      <c r="O7953">
        <v>-0.99778529999999999</v>
      </c>
      <c r="P7953">
        <v>-2.866811E-2</v>
      </c>
      <c r="Q7953">
        <v>-4.6982929999999999E-2</v>
      </c>
      <c r="R7953">
        <v>-0.99848440000000005</v>
      </c>
      <c r="S7953">
        <v>-0.1749878</v>
      </c>
      <c r="T7953">
        <v>-0.1854382</v>
      </c>
      <c r="U7953">
        <v>-2.9909059999999998</v>
      </c>
      <c r="V7953">
        <v>9.3889029999999998E-2</v>
      </c>
      <c r="W7953">
        <v>-3.801707E-2</v>
      </c>
      <c r="X7953">
        <v>0.99485650000000003</v>
      </c>
      <c r="Y7953">
        <v>0.1238139</v>
      </c>
      <c r="Z7953">
        <v>5.1402009999999998E-2</v>
      </c>
      <c r="AA7953">
        <v>0.9909732</v>
      </c>
      <c r="AB7953">
        <v>18</v>
      </c>
      <c r="AC7953">
        <v>-1.0094000000000201</v>
      </c>
      <c r="AD7953">
        <v>-1.066557312462</v>
      </c>
      <c r="AE7953">
        <v>-17.018644999999999</v>
      </c>
      <c r="AF7953">
        <v>2.1182092517473401</v>
      </c>
      <c r="AG7953">
        <v>-1.066557312462</v>
      </c>
      <c r="AH7953">
        <v>16.849467451667099</v>
      </c>
      <c r="AI7953">
        <v>93.593731787172302</v>
      </c>
      <c r="AJ7953">
        <v>82.834723114312993</v>
      </c>
      <c r="AK7953">
        <v>17.0155490167006</v>
      </c>
      <c r="AL7953">
        <v>92.178742803012199</v>
      </c>
      <c r="AM7953">
        <v>84.6087106750348</v>
      </c>
      <c r="AN7953">
        <v>0.99999995157898602</v>
      </c>
    </row>
    <row r="7954" spans="1:40" x14ac:dyDescent="0.25">
      <c r="A7954" t="str">
        <f>"20190303154000915"</f>
        <v>20190303154000915</v>
      </c>
      <c r="B7954" t="str">
        <f>"1551598800906089"</f>
        <v>1551598800906089</v>
      </c>
      <c r="C7954" t="s">
        <v>40</v>
      </c>
      <c r="D7954">
        <v>5.0587589999999896</v>
      </c>
      <c r="E7954">
        <v>0.51120140000000003</v>
      </c>
      <c r="F7954" t="s">
        <v>42</v>
      </c>
      <c r="G7954">
        <v>-302.03570000000002</v>
      </c>
      <c r="H7954" s="1">
        <v>-4.2470670000000001E-6</v>
      </c>
      <c r="I7954">
        <v>-11.59409</v>
      </c>
      <c r="J7954">
        <v>-301.01639999999998</v>
      </c>
      <c r="K7954">
        <v>1.0665180000000001</v>
      </c>
      <c r="L7954">
        <v>5.4337160000000004</v>
      </c>
      <c r="M7954">
        <v>5.6389599999999998E-2</v>
      </c>
      <c r="N7954">
        <v>-9.6644580000000008E-3</v>
      </c>
      <c r="O7954">
        <v>-0.99836219999999998</v>
      </c>
      <c r="P7954">
        <v>-3.028074E-2</v>
      </c>
      <c r="Q7954">
        <v>-4.5606630000000002E-2</v>
      </c>
      <c r="R7954">
        <v>-0.99850079999999997</v>
      </c>
      <c r="S7954">
        <v>-0.17684939999999999</v>
      </c>
      <c r="T7954">
        <v>-0.1852895</v>
      </c>
      <c r="U7954">
        <v>-2.9907530000000002</v>
      </c>
      <c r="V7954">
        <v>8.6164249999999998E-2</v>
      </c>
      <c r="W7954">
        <v>-3.6877569999999998E-2</v>
      </c>
      <c r="X7954">
        <v>0.99559819999999999</v>
      </c>
      <c r="Y7954">
        <v>0.1151095</v>
      </c>
      <c r="Z7954">
        <v>5.1764009999999999E-2</v>
      </c>
      <c r="AA7954">
        <v>0.99200310000000003</v>
      </c>
      <c r="AB7954">
        <v>18</v>
      </c>
      <c r="AC7954">
        <v>-1.0193000000000401</v>
      </c>
      <c r="AD7954">
        <v>-1.0665222470669999</v>
      </c>
      <c r="AE7954">
        <v>-17.027805999999899</v>
      </c>
      <c r="AF7954">
        <v>1.97021224506318</v>
      </c>
      <c r="AG7954">
        <v>-1.0665222470669999</v>
      </c>
      <c r="AH7954">
        <v>16.8772552267707</v>
      </c>
      <c r="AI7954">
        <v>93.591551909908702</v>
      </c>
      <c r="AJ7954">
        <v>83.3415587655916</v>
      </c>
      <c r="AK7954">
        <v>17.025303227362599</v>
      </c>
      <c r="AL7954">
        <v>92.1134083183304</v>
      </c>
      <c r="AM7954">
        <v>85.053649971313206</v>
      </c>
      <c r="AN7954">
        <v>1.0000000044952</v>
      </c>
    </row>
    <row r="7955" spans="1:40" x14ac:dyDescent="0.25">
      <c r="A7955" t="str">
        <f>"20190303154000937"</f>
        <v>20190303154000937</v>
      </c>
      <c r="B7955" t="str">
        <f>"1551598800926585"</f>
        <v>1551598800926585</v>
      </c>
      <c r="C7955" t="s">
        <v>40</v>
      </c>
      <c r="D7955">
        <v>5.1379169999999998</v>
      </c>
      <c r="E7955">
        <v>0.51083909999999999</v>
      </c>
      <c r="F7955" t="s">
        <v>42</v>
      </c>
      <c r="G7955">
        <v>-302.07580000000002</v>
      </c>
      <c r="H7955" s="1">
        <v>-4.0805210000000001E-6</v>
      </c>
      <c r="I7955">
        <v>-12.104430000000001</v>
      </c>
      <c r="J7955">
        <v>-301.01659999999998</v>
      </c>
      <c r="K7955">
        <v>1.066486</v>
      </c>
      <c r="L7955">
        <v>5.2508540000000004</v>
      </c>
      <c r="M7955">
        <v>4.7371080000000003E-2</v>
      </c>
      <c r="N7955">
        <v>-9.3870140000000008E-3</v>
      </c>
      <c r="O7955">
        <v>-0.99883350000000004</v>
      </c>
      <c r="P7955">
        <v>-3.1281709999999997E-2</v>
      </c>
      <c r="Q7955">
        <v>-4.3941149999999998E-2</v>
      </c>
      <c r="R7955">
        <v>-0.99854449999999995</v>
      </c>
      <c r="S7955">
        <v>-0.18066409999999999</v>
      </c>
      <c r="T7955">
        <v>-0.18187059999999999</v>
      </c>
      <c r="U7955">
        <v>-2.990723</v>
      </c>
      <c r="V7955">
        <v>7.8187859999999998E-2</v>
      </c>
      <c r="W7955">
        <v>-3.5403030000000002E-2</v>
      </c>
      <c r="X7955">
        <v>0.99630980000000002</v>
      </c>
      <c r="Y7955">
        <v>0.107403399999999</v>
      </c>
      <c r="Z7955">
        <v>5.0981020000000002E-2</v>
      </c>
      <c r="AA7955">
        <v>0.9929076</v>
      </c>
      <c r="AB7955">
        <v>18</v>
      </c>
      <c r="AC7955">
        <v>-1.0592000000000299</v>
      </c>
      <c r="AD7955">
        <v>-1.066490080521</v>
      </c>
      <c r="AE7955">
        <v>-17.355284000000001</v>
      </c>
      <c r="AF7955">
        <v>1.8731383439779801</v>
      </c>
      <c r="AG7955">
        <v>-1.066490080521</v>
      </c>
      <c r="AH7955">
        <v>17.220833633528201</v>
      </c>
      <c r="AI7955">
        <v>93.523087264581804</v>
      </c>
      <c r="AJ7955">
        <v>83.792249099492594</v>
      </c>
      <c r="AK7955">
        <v>17.355205541311999</v>
      </c>
      <c r="AL7955">
        <v>92.028868240957394</v>
      </c>
      <c r="AM7955">
        <v>85.512769669425495</v>
      </c>
      <c r="AN7955">
        <v>0.99999996678029901</v>
      </c>
    </row>
    <row r="7956" spans="1:40" x14ac:dyDescent="0.25">
      <c r="A7956" t="str">
        <f>"20190303154000959"</f>
        <v>20190303154000959</v>
      </c>
      <c r="B7956" t="str">
        <f>"1551598800955864"</f>
        <v>1551598800955864</v>
      </c>
      <c r="C7956" t="s">
        <v>40</v>
      </c>
      <c r="D7956">
        <v>5.0741500000000004</v>
      </c>
      <c r="E7956">
        <v>0.49580469999999999</v>
      </c>
      <c r="F7956" t="s">
        <v>42</v>
      </c>
      <c r="G7956">
        <v>-302.10419999999999</v>
      </c>
      <c r="H7956" s="1">
        <v>-3.8494330000000002E-6</v>
      </c>
      <c r="I7956">
        <v>-12.742839999999999</v>
      </c>
      <c r="J7956">
        <v>-301.01830000000001</v>
      </c>
      <c r="K7956">
        <v>1.066476</v>
      </c>
      <c r="L7956">
        <v>5.063599</v>
      </c>
      <c r="M7956">
        <v>3.8277850000000002E-2</v>
      </c>
      <c r="N7956">
        <v>-9.1340350000000004E-3</v>
      </c>
      <c r="O7956">
        <v>-0.99922560000000005</v>
      </c>
      <c r="P7956">
        <v>-3.1306019999999997E-2</v>
      </c>
      <c r="Q7956">
        <v>-4.151324E-2</v>
      </c>
      <c r="R7956">
        <v>-0.99864770000000003</v>
      </c>
      <c r="S7956">
        <v>-0.18078610000000001</v>
      </c>
      <c r="T7956">
        <v>-0.1772716</v>
      </c>
      <c r="U7956">
        <v>-2.9909059999999998</v>
      </c>
      <c r="V7956">
        <v>6.9170099999999998E-2</v>
      </c>
      <c r="W7956">
        <v>-3.3128299999999999E-2</v>
      </c>
      <c r="X7956">
        <v>0.99705469999999896</v>
      </c>
      <c r="Y7956">
        <v>9.8394969999999998E-2</v>
      </c>
      <c r="Z7956">
        <v>4.9773119999999997E-2</v>
      </c>
      <c r="AA7956">
        <v>0.99390199999999995</v>
      </c>
      <c r="AB7956">
        <v>18</v>
      </c>
      <c r="AC7956">
        <v>-1.0858999999999801</v>
      </c>
      <c r="AD7956">
        <v>-1.0664798494329999</v>
      </c>
      <c r="AE7956">
        <v>-17.806438999999902</v>
      </c>
      <c r="AF7956">
        <v>1.7604330438173901</v>
      </c>
      <c r="AG7956">
        <v>-1.0664798494329999</v>
      </c>
      <c r="AH7956">
        <v>17.688603741512701</v>
      </c>
      <c r="AI7956">
        <v>93.433374839426506</v>
      </c>
      <c r="AJ7956">
        <v>84.316435128081906</v>
      </c>
      <c r="AK7956">
        <v>17.807953450502598</v>
      </c>
      <c r="AL7956">
        <v>91.898459076649701</v>
      </c>
      <c r="AM7956">
        <v>86.031496443130607</v>
      </c>
      <c r="AN7956">
        <v>1.00000003089349</v>
      </c>
    </row>
    <row r="7957" spans="1:40" x14ac:dyDescent="0.25">
      <c r="A7957" t="str">
        <f>"20190303154000983"</f>
        <v>20190303154000983</v>
      </c>
      <c r="B7957" t="str">
        <f>"1551598800976364"</f>
        <v>1551598800976364</v>
      </c>
      <c r="C7957" t="s">
        <v>40</v>
      </c>
      <c r="D7957">
        <v>5.0782790000000002</v>
      </c>
      <c r="E7957">
        <v>0.4958321</v>
      </c>
      <c r="F7957" t="s">
        <v>42</v>
      </c>
      <c r="G7957">
        <v>-301.5163</v>
      </c>
      <c r="H7957" s="1">
        <v>-7.6869010000000003E-7</v>
      </c>
      <c r="I7957">
        <v>-19.55951</v>
      </c>
      <c r="J7957">
        <v>-301.02179999999998</v>
      </c>
      <c r="K7957">
        <v>1.066492</v>
      </c>
      <c r="L7957">
        <v>4.868805</v>
      </c>
      <c r="M7957">
        <v>2.897506E-2</v>
      </c>
      <c r="N7957">
        <v>-8.8997339999999994E-3</v>
      </c>
      <c r="O7957">
        <v>-0.9995406</v>
      </c>
      <c r="P7957">
        <v>-3.1538009999999998E-2</v>
      </c>
      <c r="Q7957">
        <v>-3.754743E-2</v>
      </c>
      <c r="R7957">
        <v>-0.99879720000000005</v>
      </c>
      <c r="S7957">
        <v>-6.0607910000000001E-2</v>
      </c>
      <c r="T7957">
        <v>-0.12979599999999999</v>
      </c>
      <c r="U7957">
        <v>-2.9967649999999999</v>
      </c>
      <c r="V7957">
        <v>6.016556E-2</v>
      </c>
      <c r="W7957">
        <v>-2.9294259999999999E-2</v>
      </c>
      <c r="X7957">
        <v>0.99775840000000005</v>
      </c>
      <c r="Y7957">
        <v>4.9158760000000003E-2</v>
      </c>
      <c r="Z7957">
        <v>3.431795E-2</v>
      </c>
      <c r="AA7957">
        <v>0.99820129999999996</v>
      </c>
      <c r="AB7957">
        <v>18</v>
      </c>
      <c r="AC7957">
        <v>-0.49450000000001598</v>
      </c>
      <c r="AD7957">
        <v>-1.0664927686901</v>
      </c>
      <c r="AE7957">
        <v>-24.428315000000001</v>
      </c>
      <c r="AF7957">
        <v>1.1998462243499799</v>
      </c>
      <c r="AG7957">
        <v>-1.0664927686901</v>
      </c>
      <c r="AH7957">
        <v>24.357322184855001</v>
      </c>
      <c r="AI7957">
        <v>92.504079354609701</v>
      </c>
      <c r="AJ7957">
        <v>87.179878832783899</v>
      </c>
      <c r="AK7957">
        <v>24.410165542342899</v>
      </c>
      <c r="AL7957">
        <v>91.678677720839104</v>
      </c>
      <c r="AM7957">
        <v>86.549201187812997</v>
      </c>
      <c r="AN7957">
        <v>0.99999993652480801</v>
      </c>
    </row>
    <row r="7958" spans="1:40" x14ac:dyDescent="0.25">
      <c r="A7958" t="str">
        <f>"20190303154001004"</f>
        <v>20190303154001004</v>
      </c>
      <c r="B7958" t="str">
        <f>"1551598800995880"</f>
        <v>1551598800995880</v>
      </c>
      <c r="C7958" t="s">
        <v>40</v>
      </c>
      <c r="D7958">
        <v>5.1271630000000004</v>
      </c>
      <c r="E7958">
        <v>0.49541869999999999</v>
      </c>
      <c r="F7958" t="s">
        <v>42</v>
      </c>
      <c r="G7958">
        <v>-301.59379999999999</v>
      </c>
      <c r="H7958" s="1">
        <v>-3.5793280000000001E-6</v>
      </c>
      <c r="I7958">
        <v>-23.055900000000001</v>
      </c>
      <c r="J7958">
        <v>-301.0265</v>
      </c>
      <c r="K7958">
        <v>1.066533</v>
      </c>
      <c r="L7958">
        <v>4.6846620000000003</v>
      </c>
      <c r="M7958">
        <v>2.0344589999999999E-2</v>
      </c>
      <c r="N7958">
        <v>-8.7029569999999903E-3</v>
      </c>
      <c r="O7958">
        <v>-0.99975530000000001</v>
      </c>
      <c r="P7958">
        <v>-2.976355E-2</v>
      </c>
      <c r="Q7958">
        <v>-3.4120079999999997E-2</v>
      </c>
      <c r="R7958">
        <v>-0.99897429999999998</v>
      </c>
      <c r="S7958">
        <v>-6.1401369999999997E-2</v>
      </c>
      <c r="T7958">
        <v>-0.1144753</v>
      </c>
      <c r="U7958">
        <v>-2.9973749999999999</v>
      </c>
      <c r="V7958">
        <v>4.981766E-2</v>
      </c>
      <c r="W7958">
        <v>-2.5945610000000001E-2</v>
      </c>
      <c r="X7958">
        <v>0.99842129999999996</v>
      </c>
      <c r="Y7958">
        <v>4.0800389999999999E-2</v>
      </c>
      <c r="Z7958">
        <v>2.9432400000000001E-2</v>
      </c>
      <c r="AA7958">
        <v>0.9987338</v>
      </c>
      <c r="AB7958">
        <v>18</v>
      </c>
      <c r="AC7958">
        <v>-0.56729999999998804</v>
      </c>
      <c r="AD7958">
        <v>-1.0665365793279999</v>
      </c>
      <c r="AE7958">
        <v>-27.740562000000001</v>
      </c>
      <c r="AF7958">
        <v>1.1299047443904999</v>
      </c>
      <c r="AG7958">
        <v>-1.0665365793279999</v>
      </c>
      <c r="AH7958">
        <v>27.6823762758514</v>
      </c>
      <c r="AI7958">
        <v>92.204545980158997</v>
      </c>
      <c r="AJ7958">
        <v>87.662669685693302</v>
      </c>
      <c r="AK7958">
        <v>27.725947076416698</v>
      </c>
      <c r="AL7958">
        <v>91.486740738523807</v>
      </c>
      <c r="AM7958">
        <v>87.143514044489706</v>
      </c>
      <c r="AN7958">
        <v>1.0000000331099099</v>
      </c>
    </row>
    <row r="7959" spans="1:40" x14ac:dyDescent="0.25">
      <c r="A7959" t="str">
        <f>"20190303154001028"</f>
        <v>20190303154001028</v>
      </c>
      <c r="B7959" t="str">
        <f>"1551598801016377"</f>
        <v>1551598801016377</v>
      </c>
      <c r="C7959" t="s">
        <v>40</v>
      </c>
      <c r="D7959">
        <v>5.097003</v>
      </c>
      <c r="E7959">
        <v>0.49525459999999899</v>
      </c>
      <c r="F7959" t="s">
        <v>42</v>
      </c>
      <c r="G7959">
        <v>-301.56479999999999</v>
      </c>
      <c r="H7959" s="1">
        <v>-2.3282940000000001E-6</v>
      </c>
      <c r="I7959">
        <v>-25.954090000000001</v>
      </c>
      <c r="J7959">
        <v>-301.03289999999998</v>
      </c>
      <c r="K7959">
        <v>1.0665929999999999</v>
      </c>
      <c r="L7959">
        <v>4.4900820000000001</v>
      </c>
      <c r="M7959">
        <v>1.1417429999999999E-2</v>
      </c>
      <c r="N7959">
        <v>-8.5182190000000005E-3</v>
      </c>
      <c r="O7959">
        <v>-0.99989859999999997</v>
      </c>
      <c r="P7959">
        <v>-2.7405880000000001E-2</v>
      </c>
      <c r="Q7959">
        <v>-3.2939780000000002E-2</v>
      </c>
      <c r="R7959">
        <v>-0.99908169999999996</v>
      </c>
      <c r="S7959">
        <v>-5.2673339999999999E-2</v>
      </c>
      <c r="T7959">
        <v>-0.1043589</v>
      </c>
      <c r="U7959">
        <v>-2.9979550000000001</v>
      </c>
      <c r="V7959">
        <v>3.8561869999999998E-2</v>
      </c>
      <c r="W7959">
        <v>-2.482349E-2</v>
      </c>
      <c r="X7959">
        <v>0.9989479</v>
      </c>
      <c r="Y7959">
        <v>2.8970579999999999E-2</v>
      </c>
      <c r="Z7959">
        <v>2.62604E-2</v>
      </c>
      <c r="AA7959">
        <v>0.99923530000000005</v>
      </c>
      <c r="AB7959">
        <v>19</v>
      </c>
      <c r="AC7959">
        <v>-0.53190000000000703</v>
      </c>
      <c r="AD7959">
        <v>-1.0665953282939999</v>
      </c>
      <c r="AE7959">
        <v>-30.444171999999998</v>
      </c>
      <c r="AF7959">
        <v>0.87839429527819901</v>
      </c>
      <c r="AG7959">
        <v>-1.0665953282939999</v>
      </c>
      <c r="AH7959">
        <v>30.3988137851136</v>
      </c>
      <c r="AI7959">
        <v>92.008660158188903</v>
      </c>
      <c r="AJ7959">
        <v>88.344860234813297</v>
      </c>
      <c r="AK7959">
        <v>30.4302001583021</v>
      </c>
      <c r="AL7959">
        <v>91.422427227172093</v>
      </c>
      <c r="AM7959">
        <v>87.789338244629405</v>
      </c>
      <c r="AN7959">
        <v>1.0000000651940399</v>
      </c>
    </row>
    <row r="7960" spans="1:40" x14ac:dyDescent="0.25">
      <c r="A7960" t="str">
        <f>"20190303154001050"</f>
        <v>20190303154001050</v>
      </c>
      <c r="B7960" t="str">
        <f>"1551598801035896"</f>
        <v>1551598801035896</v>
      </c>
      <c r="C7960" t="s">
        <v>40</v>
      </c>
      <c r="D7960">
        <v>5.1207960000000003</v>
      </c>
      <c r="E7960">
        <v>0.49540299999999998</v>
      </c>
      <c r="F7960" t="s">
        <v>42</v>
      </c>
      <c r="G7960">
        <v>-301.46629999999999</v>
      </c>
      <c r="H7960" s="1">
        <v>-2.8008369999999999E-6</v>
      </c>
      <c r="I7960">
        <v>-24.79149</v>
      </c>
      <c r="J7960">
        <v>-301.04059999999998</v>
      </c>
      <c r="K7960">
        <v>1.0666719999999901</v>
      </c>
      <c r="L7960">
        <v>4.2999879999999999</v>
      </c>
      <c r="M7960">
        <v>2.9173070000000001E-3</v>
      </c>
      <c r="N7960">
        <v>-8.3581239999999998E-3</v>
      </c>
      <c r="O7960">
        <v>-0.99996099999999999</v>
      </c>
      <c r="P7960">
        <v>-2.5179139999999999E-2</v>
      </c>
      <c r="Q7960">
        <v>-3.1646979999999998E-2</v>
      </c>
      <c r="R7960">
        <v>-0.99918229999999997</v>
      </c>
      <c r="S7960">
        <v>-4.4372559999999998E-2</v>
      </c>
      <c r="T7960">
        <v>-0.10920199999999999</v>
      </c>
      <c r="U7960">
        <v>-2.9979550000000001</v>
      </c>
      <c r="V7960">
        <v>2.786131E-2</v>
      </c>
      <c r="W7960">
        <v>-2.3573119999999999E-2</v>
      </c>
      <c r="X7960">
        <v>0.99933380000000005</v>
      </c>
      <c r="Y7960">
        <v>1.7707210000000001E-2</v>
      </c>
      <c r="Z7960">
        <v>2.8042250000000001E-2</v>
      </c>
      <c r="AA7960">
        <v>0.9994499</v>
      </c>
      <c r="AB7960">
        <v>19</v>
      </c>
      <c r="AC7960">
        <v>-0.42570000000000602</v>
      </c>
      <c r="AD7960">
        <v>-1.0666748008369999</v>
      </c>
      <c r="AE7960">
        <v>-29.091477999999999</v>
      </c>
      <c r="AF7960">
        <v>0.50988456125140103</v>
      </c>
      <c r="AG7960">
        <v>-1.0666748008369999</v>
      </c>
      <c r="AH7960">
        <v>29.051064007943101</v>
      </c>
      <c r="AI7960">
        <v>92.102474568985599</v>
      </c>
      <c r="AJ7960">
        <v>88.994486599838694</v>
      </c>
      <c r="AK7960">
        <v>29.075111304862599</v>
      </c>
      <c r="AL7960">
        <v>91.350765415076495</v>
      </c>
      <c r="AM7960">
        <v>88.403014024538194</v>
      </c>
      <c r="AN7960">
        <v>0.99999999420194496</v>
      </c>
    </row>
    <row r="7961" spans="1:40" x14ac:dyDescent="0.25">
      <c r="A7961" t="str">
        <f>"20190303154001072"</f>
        <v>20190303154001072</v>
      </c>
      <c r="B7961" t="str">
        <f>"1551598801066153"</f>
        <v>1551598801066153</v>
      </c>
      <c r="C7961" t="s">
        <v>40</v>
      </c>
      <c r="D7961">
        <v>5.1112580000000003</v>
      </c>
      <c r="E7961">
        <v>0.49574509999999999</v>
      </c>
      <c r="F7961" t="s">
        <v>42</v>
      </c>
      <c r="G7961">
        <v>-301.44600000000003</v>
      </c>
      <c r="H7961" s="1">
        <v>-1.843001E-6</v>
      </c>
      <c r="I7961">
        <v>-27.01164</v>
      </c>
      <c r="J7961">
        <v>-301.04969999999997</v>
      </c>
      <c r="K7961">
        <v>1.0667690000000001</v>
      </c>
      <c r="L7961">
        <v>4.1087339999999903</v>
      </c>
      <c r="M7961">
        <v>-5.3604680000000002E-3</v>
      </c>
      <c r="N7961">
        <v>-8.2197190000000003E-3</v>
      </c>
      <c r="O7961">
        <v>-0.99995199999999995</v>
      </c>
      <c r="P7961">
        <v>-2.4933839999999999E-2</v>
      </c>
      <c r="Q7961">
        <v>-3.0758339999999999E-2</v>
      </c>
      <c r="R7961">
        <v>-0.99921599999999999</v>
      </c>
      <c r="S7961">
        <v>-3.8818360000000003E-2</v>
      </c>
      <c r="T7961">
        <v>-0.1021389</v>
      </c>
      <c r="U7961">
        <v>-2.99823</v>
      </c>
      <c r="V7961">
        <v>1.9357829999999999E-2</v>
      </c>
      <c r="W7961">
        <v>-2.2731560000000001E-2</v>
      </c>
      <c r="X7961">
        <v>0.99955419999999995</v>
      </c>
      <c r="Y7961">
        <v>7.5799869999999998E-3</v>
      </c>
      <c r="Z7961">
        <v>2.5828179999999999E-2</v>
      </c>
      <c r="AA7961">
        <v>0.99963769999999996</v>
      </c>
      <c r="AB7961">
        <v>19</v>
      </c>
      <c r="AC7961">
        <v>-0.39629999999999599</v>
      </c>
      <c r="AD7961">
        <v>-1.0667708430009999</v>
      </c>
      <c r="AE7961">
        <v>-31.120373999999899</v>
      </c>
      <c r="AF7961">
        <v>0.22919965105220899</v>
      </c>
      <c r="AG7961">
        <v>-1.0667708430009999</v>
      </c>
      <c r="AH7961">
        <v>31.085530455654201</v>
      </c>
      <c r="AI7961">
        <v>91.965410591974305</v>
      </c>
      <c r="AJ7961">
        <v>89.577554749299907</v>
      </c>
      <c r="AK7961">
        <v>31.1046738645645</v>
      </c>
      <c r="AL7961">
        <v>91.302534609930902</v>
      </c>
      <c r="AM7961">
        <v>88.890522066404301</v>
      </c>
      <c r="AN7961">
        <v>1.00000002406999</v>
      </c>
    </row>
    <row r="7962" spans="1:40" x14ac:dyDescent="0.25">
      <c r="A7962" t="str">
        <f>"20190303154001094"</f>
        <v>20190303154001094</v>
      </c>
      <c r="B7962" t="str">
        <f>"1551598801086649"</f>
        <v>1551598801086649</v>
      </c>
      <c r="C7962" t="s">
        <v>40</v>
      </c>
      <c r="D7962">
        <v>5.0800190000000001</v>
      </c>
      <c r="E7962">
        <v>0.49640329999999999</v>
      </c>
      <c r="F7962" t="s">
        <v>42</v>
      </c>
      <c r="G7962">
        <v>-301.49349999999998</v>
      </c>
      <c r="H7962" s="1">
        <v>-1.174872E-6</v>
      </c>
      <c r="I7962">
        <v>-28.59854</v>
      </c>
      <c r="J7962">
        <v>-301.06040000000002</v>
      </c>
      <c r="K7962">
        <v>1.066854</v>
      </c>
      <c r="L7962">
        <v>3.9145810000000001</v>
      </c>
      <c r="M7962">
        <v>-1.353032E-2</v>
      </c>
      <c r="N7962">
        <v>-8.1009059999999997E-3</v>
      </c>
      <c r="O7962">
        <v>-0.99987559999999998</v>
      </c>
      <c r="P7962">
        <v>-2.497922E-2</v>
      </c>
      <c r="Q7962">
        <v>-3.1486970000000003E-2</v>
      </c>
      <c r="R7962">
        <v>-0.99919210000000003</v>
      </c>
      <c r="S7962">
        <v>-4.0679930000000003E-2</v>
      </c>
      <c r="T7962">
        <v>-9.7792270000000001E-2</v>
      </c>
      <c r="U7962">
        <v>-2.9983219999999999</v>
      </c>
      <c r="V7962">
        <v>1.1235469999999999E-2</v>
      </c>
      <c r="W7962">
        <v>-2.349685E-2</v>
      </c>
      <c r="X7962">
        <v>0.99966080000000002</v>
      </c>
      <c r="Y7962" s="1">
        <v>3.1483350000000001E-5</v>
      </c>
      <c r="Z7962">
        <v>2.449544E-2</v>
      </c>
      <c r="AA7962">
        <v>0.99970000000000003</v>
      </c>
      <c r="AB7962">
        <v>19</v>
      </c>
      <c r="AC7962">
        <v>-0.43309999999996701</v>
      </c>
      <c r="AD7962">
        <v>-1.0668551748720001</v>
      </c>
      <c r="AE7962">
        <v>-32.513120999999998</v>
      </c>
      <c r="AF7962">
        <v>-6.85965014959694E-3</v>
      </c>
      <c r="AG7962">
        <v>-1.0668551748720001</v>
      </c>
      <c r="AH7962">
        <v>32.481038719416098</v>
      </c>
      <c r="AI7962">
        <v>91.881230792010101</v>
      </c>
      <c r="AJ7962">
        <v>90.012100259479396</v>
      </c>
      <c r="AK7962">
        <v>32.498555403450801</v>
      </c>
      <c r="AL7962">
        <v>91.346394211834905</v>
      </c>
      <c r="AM7962">
        <v>89.356063669168094</v>
      </c>
      <c r="AN7962">
        <v>1.00000002640134</v>
      </c>
    </row>
    <row r="7963" spans="1:40" x14ac:dyDescent="0.25">
      <c r="A7963" t="str">
        <f>"20190303154001117"</f>
        <v>20190303154001117</v>
      </c>
      <c r="B7963" t="str">
        <f>"1551598801106169"</f>
        <v>1551598801106169</v>
      </c>
      <c r="C7963" t="s">
        <v>40</v>
      </c>
      <c r="D7963">
        <v>5.0760370000000004</v>
      </c>
      <c r="E7963">
        <v>0.49717739999999999</v>
      </c>
      <c r="F7963" t="s">
        <v>42</v>
      </c>
      <c r="G7963">
        <v>-301.55590000000001</v>
      </c>
      <c r="H7963" s="1">
        <v>-1.3898189999999999E-6</v>
      </c>
      <c r="I7963">
        <v>-28.136209999999998</v>
      </c>
      <c r="J7963">
        <v>-301.07260000000002</v>
      </c>
      <c r="K7963">
        <v>1.066918</v>
      </c>
      <c r="L7963">
        <v>3.7156980000000002</v>
      </c>
      <c r="M7963">
        <v>-2.1653430000000001E-2</v>
      </c>
      <c r="N7963">
        <v>-8.0003799999999996E-3</v>
      </c>
      <c r="O7963">
        <v>-0.9997336</v>
      </c>
      <c r="P7963">
        <v>-2.5327639999999998E-2</v>
      </c>
      <c r="Q7963">
        <v>-3.2503890000000001E-2</v>
      </c>
      <c r="R7963">
        <v>-0.99915080000000001</v>
      </c>
      <c r="S7963">
        <v>-4.6356199999999903E-2</v>
      </c>
      <c r="T7963">
        <v>-9.9796179999999998E-2</v>
      </c>
      <c r="U7963">
        <v>-2.9981080000000002</v>
      </c>
      <c r="V7963">
        <v>3.4593599999999999E-3</v>
      </c>
      <c r="W7963">
        <v>-2.4539760000000001E-2</v>
      </c>
      <c r="X7963">
        <v>0.9996929</v>
      </c>
      <c r="Y7963">
        <v>-6.1991019999999997E-3</v>
      </c>
      <c r="Z7963">
        <v>2.5258280000000001E-2</v>
      </c>
      <c r="AA7963">
        <v>0.99966169999999999</v>
      </c>
      <c r="AB7963">
        <v>19</v>
      </c>
      <c r="AC7963">
        <v>-0.48329999999998502</v>
      </c>
      <c r="AD7963">
        <v>-1.0669193898189999</v>
      </c>
      <c r="AE7963">
        <v>-31.851908000000002</v>
      </c>
      <c r="AF7963">
        <v>-0.20630698317121901</v>
      </c>
      <c r="AG7963">
        <v>-1.0669193898189999</v>
      </c>
      <c r="AH7963">
        <v>31.819211972600101</v>
      </c>
      <c r="AI7963">
        <v>91.920405841332297</v>
      </c>
      <c r="AJ7963">
        <v>90.371484805924297</v>
      </c>
      <c r="AK7963">
        <v>31.837762643014599</v>
      </c>
      <c r="AL7963">
        <v>91.406165791377802</v>
      </c>
      <c r="AM7963">
        <v>89.801733175579898</v>
      </c>
      <c r="AN7963">
        <v>1.0000000306514301</v>
      </c>
    </row>
    <row r="7964" spans="1:40" x14ac:dyDescent="0.25">
      <c r="A7964" t="str">
        <f>"20190303154001140"</f>
        <v>20190303154001140</v>
      </c>
      <c r="B7964" t="str">
        <f>"1551598801126666"</f>
        <v>1551598801126666</v>
      </c>
      <c r="C7964" t="s">
        <v>40</v>
      </c>
      <c r="D7964">
        <v>5.0399190000000003</v>
      </c>
      <c r="E7964">
        <v>0.4980734</v>
      </c>
      <c r="F7964" t="s">
        <v>42</v>
      </c>
      <c r="G7964">
        <v>-301.6277</v>
      </c>
      <c r="H7964" s="1">
        <v>-1.7426339999999999E-6</v>
      </c>
      <c r="I7964">
        <v>-27.358319999999999</v>
      </c>
      <c r="J7964">
        <v>-301.08530000000002</v>
      </c>
      <c r="K7964">
        <v>1.066975</v>
      </c>
      <c r="L7964">
        <v>3.5289609999999998</v>
      </c>
      <c r="M7964">
        <v>-2.903209E-2</v>
      </c>
      <c r="N7964">
        <v>-7.9212580000000005E-3</v>
      </c>
      <c r="O7964">
        <v>-0.99954719999999997</v>
      </c>
      <c r="P7964">
        <v>-2.4926859999999999E-2</v>
      </c>
      <c r="Q7964">
        <v>-3.3840700000000001E-2</v>
      </c>
      <c r="R7964">
        <v>-0.99911640000000002</v>
      </c>
      <c r="S7964">
        <v>-5.3558349999999998E-2</v>
      </c>
      <c r="T7964">
        <v>-0.1029299</v>
      </c>
      <c r="U7964">
        <v>-2.997833</v>
      </c>
      <c r="V7964">
        <v>-4.3251829999999998E-3</v>
      </c>
      <c r="W7964">
        <v>-2.588497E-2</v>
      </c>
      <c r="X7964">
        <v>0.99965550000000003</v>
      </c>
      <c r="Y7964">
        <v>-1.1177400000000001E-2</v>
      </c>
      <c r="Z7964">
        <v>2.6373460000000001E-2</v>
      </c>
      <c r="AA7964">
        <v>0.99958970000000003</v>
      </c>
      <c r="AB7964">
        <v>19</v>
      </c>
      <c r="AC7964">
        <v>-0.542399999999986</v>
      </c>
      <c r="AD7964">
        <v>-1.066976742634</v>
      </c>
      <c r="AE7964">
        <v>-30.887281000000002</v>
      </c>
      <c r="AF7964">
        <v>-0.354156521560268</v>
      </c>
      <c r="AG7964">
        <v>-1.066976742634</v>
      </c>
      <c r="AH7964">
        <v>30.853202224939199</v>
      </c>
      <c r="AI7964">
        <v>91.980503946867699</v>
      </c>
      <c r="AJ7964">
        <v>90.657655651801704</v>
      </c>
      <c r="AK7964">
        <v>30.873677360238101</v>
      </c>
      <c r="AL7964">
        <v>91.483265310051294</v>
      </c>
      <c r="AM7964">
        <v>90.247898586229496</v>
      </c>
      <c r="AN7964">
        <v>0.99999992878006405</v>
      </c>
    </row>
    <row r="7965" spans="1:40" x14ac:dyDescent="0.25">
      <c r="A7965" t="str">
        <f>"20190303154001161"</f>
        <v>20190303154001161</v>
      </c>
      <c r="B7965" t="str">
        <f>"1551598801155945"</f>
        <v>1551598801155945</v>
      </c>
      <c r="C7965" t="s">
        <v>40</v>
      </c>
      <c r="D7965">
        <v>5.0128820000000003</v>
      </c>
      <c r="E7965">
        <v>0.49894440000000001</v>
      </c>
      <c r="F7965" t="s">
        <v>42</v>
      </c>
      <c r="G7965">
        <v>-301.67110000000002</v>
      </c>
      <c r="H7965" s="1">
        <v>-2.3582690000000001E-6</v>
      </c>
      <c r="I7965">
        <v>-25.95017</v>
      </c>
      <c r="J7965">
        <v>-301.09960000000001</v>
      </c>
      <c r="K7965">
        <v>1.067059</v>
      </c>
      <c r="L7965">
        <v>3.3342290000000001</v>
      </c>
      <c r="M7965">
        <v>-3.6444699999999997E-2</v>
      </c>
      <c r="N7965">
        <v>-7.8535299999999992E-3</v>
      </c>
      <c r="O7965">
        <v>-0.999305</v>
      </c>
      <c r="P7965">
        <v>-2.5083109999999999E-2</v>
      </c>
      <c r="Q7965">
        <v>-3.5010659999999999E-2</v>
      </c>
      <c r="R7965">
        <v>-0.99907230000000002</v>
      </c>
      <c r="S7965">
        <v>-5.9570310000000001E-2</v>
      </c>
      <c r="T7965">
        <v>-0.1084924</v>
      </c>
      <c r="U7965">
        <v>-2.9974980000000002</v>
      </c>
      <c r="V7965">
        <v>-1.1583899999999999E-2</v>
      </c>
      <c r="W7965">
        <v>-2.7060649999999999E-2</v>
      </c>
      <c r="X7965">
        <v>0.99956670000000003</v>
      </c>
      <c r="Y7965">
        <v>-1.6587480000000002E-2</v>
      </c>
      <c r="Z7965">
        <v>2.8281890000000001E-2</v>
      </c>
      <c r="AA7965">
        <v>0.99946239999999997</v>
      </c>
      <c r="AB7965">
        <v>19</v>
      </c>
      <c r="AC7965">
        <v>-0.571500000000014</v>
      </c>
      <c r="AD7965">
        <v>-1.0670613582690001</v>
      </c>
      <c r="AE7965">
        <v>-29.284399000000001</v>
      </c>
      <c r="AF7965">
        <v>-0.49551588153361298</v>
      </c>
      <c r="AG7965">
        <v>-1.0670613582690001</v>
      </c>
      <c r="AH7965">
        <v>29.2469551702996</v>
      </c>
      <c r="AI7965">
        <v>92.089183129401206</v>
      </c>
      <c r="AJ7965">
        <v>90.970639592284101</v>
      </c>
      <c r="AK7965">
        <v>29.2706088536723</v>
      </c>
      <c r="AL7965">
        <v>91.550650285239996</v>
      </c>
      <c r="AM7965">
        <v>90.663966566702101</v>
      </c>
      <c r="AN7965">
        <v>1.00000002663326</v>
      </c>
    </row>
    <row r="7966" spans="1:40" x14ac:dyDescent="0.25">
      <c r="A7966" t="str">
        <f>"20190303154001183"</f>
        <v>20190303154001183</v>
      </c>
      <c r="B7966" t="str">
        <f>"1551598801176441"</f>
        <v>1551598801176441</v>
      </c>
      <c r="C7966" t="s">
        <v>40</v>
      </c>
      <c r="D7966">
        <v>5.0234589999999999</v>
      </c>
      <c r="E7966">
        <v>0.49942120000000001</v>
      </c>
      <c r="F7966" t="s">
        <v>42</v>
      </c>
      <c r="G7966">
        <v>-301.73020000000002</v>
      </c>
      <c r="H7966" s="1">
        <v>-2.838585E-6</v>
      </c>
      <c r="I7966">
        <v>-24.86721</v>
      </c>
      <c r="J7966">
        <v>-301.11520000000002</v>
      </c>
      <c r="K7966">
        <v>1.067178</v>
      </c>
      <c r="L7966">
        <v>3.138153</v>
      </c>
      <c r="M7966">
        <v>-4.3596929999999999E-2</v>
      </c>
      <c r="N7966">
        <v>-7.7984530000000003E-3</v>
      </c>
      <c r="O7966">
        <v>-0.99901879999999998</v>
      </c>
      <c r="P7966">
        <v>-2.5476929999999998E-2</v>
      </c>
      <c r="Q7966">
        <v>-3.7036640000000003E-2</v>
      </c>
      <c r="R7966">
        <v>-0.99898929999999997</v>
      </c>
      <c r="S7966">
        <v>-6.7016599999999996E-2</v>
      </c>
      <c r="T7966">
        <v>-0.1134028</v>
      </c>
      <c r="U7966">
        <v>-2.997131</v>
      </c>
      <c r="V7966">
        <v>-1.8348300000000001E-2</v>
      </c>
      <c r="W7966">
        <v>-2.9089400000000001E-2</v>
      </c>
      <c r="X7966">
        <v>0.99940839999999997</v>
      </c>
      <c r="Y7966">
        <v>-2.1260210000000002E-2</v>
      </c>
      <c r="Z7966">
        <v>2.9956960000000001E-2</v>
      </c>
      <c r="AA7966">
        <v>0.99932500000000002</v>
      </c>
      <c r="AB7966">
        <v>19</v>
      </c>
      <c r="AC7966">
        <v>-0.61500000000000898</v>
      </c>
      <c r="AD7966">
        <v>-1.0671808385849999</v>
      </c>
      <c r="AE7966">
        <v>-28.005362999999999</v>
      </c>
      <c r="AF7966">
        <v>-0.60569061810180802</v>
      </c>
      <c r="AG7966">
        <v>-1.0671808385849999</v>
      </c>
      <c r="AH7966">
        <v>27.964958788274298</v>
      </c>
      <c r="AI7966">
        <v>92.184912443171697</v>
      </c>
      <c r="AJ7966">
        <v>91.240770327098403</v>
      </c>
      <c r="AK7966">
        <v>27.9918676778986</v>
      </c>
      <c r="AL7966">
        <v>91.666934993716595</v>
      </c>
      <c r="AM7966">
        <v>91.051784296300895</v>
      </c>
      <c r="AN7966">
        <v>1.0000000016479</v>
      </c>
    </row>
    <row r="7967" spans="1:40" x14ac:dyDescent="0.25">
      <c r="A7967" t="str">
        <f>"20190303154001205"</f>
        <v>20190303154001205</v>
      </c>
      <c r="B7967" t="str">
        <f>"1551598801195961"</f>
        <v>1551598801195961</v>
      </c>
      <c r="C7967" t="s">
        <v>40</v>
      </c>
      <c r="D7967">
        <v>5.0235919999999998</v>
      </c>
      <c r="E7967">
        <v>0.49987749999999997</v>
      </c>
      <c r="F7967" t="s">
        <v>42</v>
      </c>
      <c r="G7967">
        <v>-301.75380000000001</v>
      </c>
      <c r="H7967" s="1">
        <v>-3.4355680000000002E-6</v>
      </c>
      <c r="I7967">
        <v>-23.490269999999999</v>
      </c>
      <c r="J7967">
        <v>-301.13200000000001</v>
      </c>
      <c r="K7967">
        <v>1.06734</v>
      </c>
      <c r="L7967">
        <v>2.9407960000000002</v>
      </c>
      <c r="M7967">
        <v>-5.0465070000000001E-2</v>
      </c>
      <c r="N7967">
        <v>-7.7539480000000001E-3</v>
      </c>
      <c r="O7967">
        <v>-0.99869589999999997</v>
      </c>
      <c r="P7967">
        <v>-2.6534760000000001E-2</v>
      </c>
      <c r="Q7967">
        <v>-3.8853100000000002E-2</v>
      </c>
      <c r="R7967">
        <v>-0.99889249999999996</v>
      </c>
      <c r="S7967">
        <v>-7.1868899999999999E-2</v>
      </c>
      <c r="T7967">
        <v>-0.1201007</v>
      </c>
      <c r="U7967">
        <v>-2.9967649999999999</v>
      </c>
      <c r="V7967">
        <v>-2.4160129999999998E-2</v>
      </c>
      <c r="W7967">
        <v>-3.091209E-2</v>
      </c>
      <c r="X7967">
        <v>0.99923010000000001</v>
      </c>
      <c r="Y7967">
        <v>-2.6514900000000001E-2</v>
      </c>
      <c r="Z7967">
        <v>3.2211129999999998E-2</v>
      </c>
      <c r="AA7967">
        <v>0.9991293</v>
      </c>
      <c r="AB7967">
        <v>19</v>
      </c>
      <c r="AC7967">
        <v>-0.62180000000000701</v>
      </c>
      <c r="AD7967">
        <v>-1.0673434355679901</v>
      </c>
      <c r="AE7967">
        <v>-26.431065999999898</v>
      </c>
      <c r="AF7967">
        <v>-0.71171782259432304</v>
      </c>
      <c r="AG7967">
        <v>-1.0673434355679901</v>
      </c>
      <c r="AH7967">
        <v>26.385762390865001</v>
      </c>
      <c r="AI7967">
        <v>92.315595481256196</v>
      </c>
      <c r="AJ7967">
        <v>91.545096230055407</v>
      </c>
      <c r="AK7967">
        <v>26.416930578998599</v>
      </c>
      <c r="AL7967">
        <v>91.771414429147697</v>
      </c>
      <c r="AM7967">
        <v>91.385070187438998</v>
      </c>
      <c r="AN7967">
        <v>1.00000003096789</v>
      </c>
    </row>
    <row r="7968" spans="1:40" x14ac:dyDescent="0.25">
      <c r="A7968" t="str">
        <f>"20190303154001229"</f>
        <v>20190303154001229</v>
      </c>
      <c r="B7968" t="str">
        <f>"1551598801216457"</f>
        <v>1551598801216457</v>
      </c>
      <c r="C7968" t="s">
        <v>40</v>
      </c>
      <c r="D7968">
        <v>4.9867520000000001</v>
      </c>
      <c r="E7968">
        <v>0.50019009999999997</v>
      </c>
      <c r="F7968" t="s">
        <v>42</v>
      </c>
      <c r="G7968">
        <v>-301.79739999999998</v>
      </c>
      <c r="H7968" s="1">
        <v>-3.9148540000000004E-6</v>
      </c>
      <c r="I7968">
        <v>-22.400030000000001</v>
      </c>
      <c r="J7968">
        <v>-301.14980000000003</v>
      </c>
      <c r="K7968">
        <v>1.067536</v>
      </c>
      <c r="L7968">
        <v>2.742737</v>
      </c>
      <c r="M7968">
        <v>-5.7003989999999997E-2</v>
      </c>
      <c r="N7968">
        <v>-7.7261439999999999E-3</v>
      </c>
      <c r="O7968">
        <v>-0.99834420000000001</v>
      </c>
      <c r="P7968">
        <v>-2.8491539999999999E-2</v>
      </c>
      <c r="Q7968">
        <v>-3.9423920000000001E-2</v>
      </c>
      <c r="R7968">
        <v>-0.9988167</v>
      </c>
      <c r="S7968">
        <v>-7.8674320000000006E-2</v>
      </c>
      <c r="T7968">
        <v>-0.12620439999999999</v>
      </c>
      <c r="U7968">
        <v>-2.9963380000000002</v>
      </c>
      <c r="V7968">
        <v>-2.8733459999999999E-2</v>
      </c>
      <c r="W7968">
        <v>-3.1488019999999999E-2</v>
      </c>
      <c r="X7968">
        <v>0.99909099999999995</v>
      </c>
      <c r="Y7968">
        <v>-3.0790439999999999E-2</v>
      </c>
      <c r="Z7968">
        <v>3.4247670000000001E-2</v>
      </c>
      <c r="AA7968">
        <v>0.99893900000000002</v>
      </c>
      <c r="AB7968">
        <v>19</v>
      </c>
      <c r="AC7968">
        <v>-0.64759999999995399</v>
      </c>
      <c r="AD7968">
        <v>-1.0675399148539999</v>
      </c>
      <c r="AE7968">
        <v>-25.142766999999999</v>
      </c>
      <c r="AF7968">
        <v>-0.78531888589944399</v>
      </c>
      <c r="AG7968">
        <v>-1.0675399148539999</v>
      </c>
      <c r="AH7968">
        <v>25.093589902502099</v>
      </c>
      <c r="AI7968">
        <v>92.434836725901505</v>
      </c>
      <c r="AJ7968">
        <v>91.792520591983703</v>
      </c>
      <c r="AK7968">
        <v>25.128561865282201</v>
      </c>
      <c r="AL7968">
        <v>91.804428975628198</v>
      </c>
      <c r="AM7968">
        <v>91.6473497602137</v>
      </c>
      <c r="AN7968">
        <v>0.99999996670404501</v>
      </c>
    </row>
    <row r="7969" spans="1:40" x14ac:dyDescent="0.25">
      <c r="A7969" t="str">
        <f>"20190303154001254"</f>
        <v>20190303154001254</v>
      </c>
      <c r="B7969" t="str">
        <f>"1551598801246713"</f>
        <v>1551598801246713</v>
      </c>
      <c r="C7969" t="s">
        <v>40</v>
      </c>
      <c r="D7969">
        <v>5.0061039999999997</v>
      </c>
      <c r="E7969">
        <v>0.50055699999999903</v>
      </c>
      <c r="F7969" t="s">
        <v>42</v>
      </c>
      <c r="G7969">
        <v>-301.875</v>
      </c>
      <c r="H7969" s="1">
        <v>-4.0263790000000002E-6</v>
      </c>
      <c r="I7969">
        <v>-22.158829999999998</v>
      </c>
      <c r="J7969">
        <v>-301.17020000000002</v>
      </c>
      <c r="K7969">
        <v>1.06777099999999</v>
      </c>
      <c r="L7969">
        <v>2.5266419999999998</v>
      </c>
      <c r="M7969">
        <v>-6.3665319999999997E-2</v>
      </c>
      <c r="N7969">
        <v>-7.7256219999999997E-3</v>
      </c>
      <c r="O7969">
        <v>-0.99794139999999998</v>
      </c>
      <c r="P7969">
        <v>-3.0650409999999999E-2</v>
      </c>
      <c r="Q7969">
        <v>-3.9429279999999997E-2</v>
      </c>
      <c r="R7969">
        <v>-0.99875210000000003</v>
      </c>
      <c r="S7969">
        <v>-8.7249759999999996E-2</v>
      </c>
      <c r="T7969">
        <v>-0.12843979999999999</v>
      </c>
      <c r="U7969">
        <v>-2.9960019999999998</v>
      </c>
      <c r="V7969">
        <v>-3.3222790000000002E-2</v>
      </c>
      <c r="W7969">
        <v>-3.1478909999999999E-2</v>
      </c>
      <c r="X7969">
        <v>0.99895210000000001</v>
      </c>
      <c r="Y7969">
        <v>-3.460063E-2</v>
      </c>
      <c r="Z7969">
        <v>3.4966289999999997E-2</v>
      </c>
      <c r="AA7969">
        <v>0.99878940000000005</v>
      </c>
      <c r="AB7969">
        <v>19</v>
      </c>
      <c r="AC7969">
        <v>-0.704799999999977</v>
      </c>
      <c r="AD7969">
        <v>-1.06777502637899</v>
      </c>
      <c r="AE7969">
        <v>-24.685472000000001</v>
      </c>
      <c r="AF7969">
        <v>-0.86666506925837505</v>
      </c>
      <c r="AG7969">
        <v>-1.06777502637899</v>
      </c>
      <c r="AH7969">
        <v>24.634209021189999</v>
      </c>
      <c r="AI7969">
        <v>92.480411510219696</v>
      </c>
      <c r="AJ7969">
        <v>92.014912632061794</v>
      </c>
      <c r="AK7969">
        <v>24.672565856613101</v>
      </c>
      <c r="AL7969">
        <v>91.803906715875598</v>
      </c>
      <c r="AM7969">
        <v>91.904820366001701</v>
      </c>
      <c r="AN7969">
        <v>0.99999998682229096</v>
      </c>
    </row>
    <row r="7970" spans="1:40" x14ac:dyDescent="0.25">
      <c r="A7970" t="str">
        <f>"20190303154001273"</f>
        <v>20190303154001273</v>
      </c>
      <c r="B7970" t="str">
        <f>"1551598801266233"</f>
        <v>1551598801266233</v>
      </c>
      <c r="C7970" t="s">
        <v>40</v>
      </c>
      <c r="D7970">
        <v>5.0521159999999998</v>
      </c>
      <c r="E7970">
        <v>0.50067589999999995</v>
      </c>
      <c r="F7970" t="s">
        <v>42</v>
      </c>
      <c r="G7970">
        <v>-301.98180000000002</v>
      </c>
      <c r="H7970" s="1">
        <v>-3.8645769999999998E-6</v>
      </c>
      <c r="I7970">
        <v>-22.63165</v>
      </c>
      <c r="J7970">
        <v>-301.18729999999999</v>
      </c>
      <c r="K7970">
        <v>1.0679730000000001</v>
      </c>
      <c r="L7970">
        <v>2.3515009999999998</v>
      </c>
      <c r="M7970">
        <v>-6.8739880000000003E-2</v>
      </c>
      <c r="N7970">
        <v>-7.7413229999999996E-3</v>
      </c>
      <c r="O7970">
        <v>-0.99760470000000001</v>
      </c>
      <c r="P7970">
        <v>-3.1180369999999999E-2</v>
      </c>
      <c r="Q7970">
        <v>-3.8296410000000003E-2</v>
      </c>
      <c r="R7970">
        <v>-0.99878020000000001</v>
      </c>
      <c r="S7970">
        <v>-9.6649170000000006E-2</v>
      </c>
      <c r="T7970">
        <v>-0.127146699999999</v>
      </c>
      <c r="U7970">
        <v>-2.9957579999999999</v>
      </c>
      <c r="V7970">
        <v>-3.7753290000000002E-2</v>
      </c>
      <c r="W7970">
        <v>-3.0315760000000001E-2</v>
      </c>
      <c r="X7970">
        <v>0.99882720000000003</v>
      </c>
      <c r="Y7970">
        <v>-3.6549360000000003E-2</v>
      </c>
      <c r="Z7970">
        <v>3.4501549999999999E-2</v>
      </c>
      <c r="AA7970">
        <v>0.99873610000000002</v>
      </c>
      <c r="AB7970">
        <v>20</v>
      </c>
      <c r="AC7970">
        <v>-0.79450000000002696</v>
      </c>
      <c r="AD7970">
        <v>-1.067976864577</v>
      </c>
      <c r="AE7970">
        <v>-24.983150999999999</v>
      </c>
      <c r="AF7970">
        <v>-0.923084345239785</v>
      </c>
      <c r="AG7970">
        <v>-1.067976864577</v>
      </c>
      <c r="AH7970">
        <v>24.9331518579625</v>
      </c>
      <c r="AI7970">
        <v>92.451008604722603</v>
      </c>
      <c r="AJ7970">
        <v>92.120257123551198</v>
      </c>
      <c r="AK7970">
        <v>24.973079923467999</v>
      </c>
      <c r="AL7970">
        <v>91.737231154689795</v>
      </c>
      <c r="AM7970">
        <v>92.164613607204501</v>
      </c>
      <c r="AN7970">
        <v>1.0000000658350101</v>
      </c>
    </row>
    <row r="7971" spans="1:40" x14ac:dyDescent="0.25">
      <c r="A7971" t="str">
        <f>"20190303154001295"</f>
        <v>20190303154001295</v>
      </c>
      <c r="B7971" t="str">
        <f>"1551598801286729"</f>
        <v>1551598801286729</v>
      </c>
      <c r="C7971" t="s">
        <v>40</v>
      </c>
      <c r="D7971">
        <v>5.0169189999999997</v>
      </c>
      <c r="E7971">
        <v>0.50072550000000005</v>
      </c>
      <c r="F7971" t="s">
        <v>42</v>
      </c>
      <c r="G7971">
        <v>-302.04050000000001</v>
      </c>
      <c r="H7971" s="1">
        <v>-3.5458539999999998E-6</v>
      </c>
      <c r="I7971">
        <v>-23.411000000000001</v>
      </c>
      <c r="J7971">
        <v>-301.20780000000002</v>
      </c>
      <c r="K7971">
        <v>1.0681620000000001</v>
      </c>
      <c r="L7971">
        <v>2.1502080000000001</v>
      </c>
      <c r="M7971">
        <v>-7.4245839999999994E-2</v>
      </c>
      <c r="N7971">
        <v>-7.7752979999999999E-3</v>
      </c>
      <c r="O7971">
        <v>-0.99720989999999998</v>
      </c>
      <c r="P7971">
        <v>-3.2534670000000002E-2</v>
      </c>
      <c r="Q7971">
        <v>-3.6191069999999999E-2</v>
      </c>
      <c r="R7971">
        <v>-0.99881540000000002</v>
      </c>
      <c r="S7971">
        <v>-9.9212649999999999E-2</v>
      </c>
      <c r="T7971">
        <v>-0.1241908</v>
      </c>
      <c r="U7971">
        <v>-2.995819</v>
      </c>
      <c r="V7971">
        <v>-4.1891110000000002E-2</v>
      </c>
      <c r="W7971">
        <v>-2.8166989999999999E-2</v>
      </c>
      <c r="X7971">
        <v>0.99872510000000003</v>
      </c>
      <c r="Y7971">
        <v>-4.1210539999999997E-2</v>
      </c>
      <c r="Z7971">
        <v>3.3458590000000003E-2</v>
      </c>
      <c r="AA7971">
        <v>0.99859010000000004</v>
      </c>
      <c r="AB7971">
        <v>20</v>
      </c>
      <c r="AC7971">
        <v>-0.83269999999998801</v>
      </c>
      <c r="AD7971">
        <v>-1.068165545854</v>
      </c>
      <c r="AE7971">
        <v>-25.561208000000001</v>
      </c>
      <c r="AF7971">
        <v>-1.0656098019722799</v>
      </c>
      <c r="AG7971">
        <v>-1.068165545854</v>
      </c>
      <c r="AH7971">
        <v>25.507983483685901</v>
      </c>
      <c r="AI7971">
        <v>92.395814641228796</v>
      </c>
      <c r="AJ7971">
        <v>92.392171213136294</v>
      </c>
      <c r="AK7971">
        <v>25.552567841361899</v>
      </c>
      <c r="AL7971">
        <v>91.614063067628905</v>
      </c>
      <c r="AM7971">
        <v>92.401839805312605</v>
      </c>
      <c r="AN7971">
        <v>1.00000003489635</v>
      </c>
    </row>
    <row r="7972" spans="1:40" x14ac:dyDescent="0.25">
      <c r="A7972" t="str">
        <f>"20190303154001316"</f>
        <v>20190303154001316</v>
      </c>
      <c r="B7972" t="str">
        <f>"1551598801306249"</f>
        <v>1551598801306249</v>
      </c>
      <c r="C7972" t="s">
        <v>40</v>
      </c>
      <c r="D7972">
        <v>5.0220390000000004</v>
      </c>
      <c r="E7972">
        <v>0.50068769999999996</v>
      </c>
      <c r="F7972" t="s">
        <v>42</v>
      </c>
      <c r="G7972">
        <v>-302.13569999999999</v>
      </c>
      <c r="H7972" s="1">
        <v>-3.039812E-6</v>
      </c>
      <c r="I7972">
        <v>-24.649650000000001</v>
      </c>
      <c r="J7972">
        <v>-301.22809999999998</v>
      </c>
      <c r="K7972">
        <v>1.0683279999999999</v>
      </c>
      <c r="L7972">
        <v>1.9578249999999999</v>
      </c>
      <c r="M7972">
        <v>-7.9196989999999995E-2</v>
      </c>
      <c r="N7972">
        <v>-7.8626010000000003E-3</v>
      </c>
      <c r="O7972">
        <v>-0.99682809999999999</v>
      </c>
      <c r="P7972">
        <v>-3.3920970000000002E-2</v>
      </c>
      <c r="Q7972">
        <v>-3.4823699999999999E-2</v>
      </c>
      <c r="R7972">
        <v>-0.99881759999999997</v>
      </c>
      <c r="S7972">
        <v>-0.10372919999999999</v>
      </c>
      <c r="T7972">
        <v>-0.1194059</v>
      </c>
      <c r="U7972">
        <v>-2.9958499999999999</v>
      </c>
      <c r="V7972">
        <v>-4.5449139999999999E-2</v>
      </c>
      <c r="W7972">
        <v>-2.6706239999999999E-2</v>
      </c>
      <c r="X7972">
        <v>0.99860959999999999</v>
      </c>
      <c r="Y7972">
        <v>-4.466622E-2</v>
      </c>
      <c r="Z7972">
        <v>3.175944E-2</v>
      </c>
      <c r="AA7972">
        <v>0.99849699999999997</v>
      </c>
      <c r="AB7972">
        <v>20</v>
      </c>
      <c r="AC7972">
        <v>-0.90760000000000196</v>
      </c>
      <c r="AD7972">
        <v>-1.0683310398119901</v>
      </c>
      <c r="AE7972">
        <v>-26.607475000000001</v>
      </c>
      <c r="AF7972">
        <v>-1.20061445615453</v>
      </c>
      <c r="AG7972">
        <v>-1.0683310398119901</v>
      </c>
      <c r="AH7972">
        <v>26.553019185968299</v>
      </c>
      <c r="AI7972">
        <v>92.301639885763393</v>
      </c>
      <c r="AJ7972">
        <v>92.588907817277402</v>
      </c>
      <c r="AK7972">
        <v>26.601609616212201</v>
      </c>
      <c r="AL7972">
        <v>91.530336802101203</v>
      </c>
      <c r="AM7972">
        <v>92.605871350799106</v>
      </c>
      <c r="AN7972">
        <v>0.999999990396918</v>
      </c>
    </row>
    <row r="7973" spans="1:40" x14ac:dyDescent="0.25">
      <c r="A7973" t="str">
        <f>"20190303154001339"</f>
        <v>20190303154001339</v>
      </c>
      <c r="B7973" t="str">
        <f>"1551598801336505"</f>
        <v>1551598801336505</v>
      </c>
      <c r="C7973" t="s">
        <v>40</v>
      </c>
      <c r="D7973">
        <v>4.9963439999999997</v>
      </c>
      <c r="E7973">
        <v>0.50052770000000002</v>
      </c>
      <c r="F7973" t="s">
        <v>42</v>
      </c>
      <c r="G7973">
        <v>-302.20240000000001</v>
      </c>
      <c r="H7973" s="1">
        <v>-2.8018270000000001E-6</v>
      </c>
      <c r="I7973">
        <v>-25.245760000000001</v>
      </c>
      <c r="J7973">
        <v>-301.24979999999999</v>
      </c>
      <c r="K7973">
        <v>1.068522</v>
      </c>
      <c r="L7973">
        <v>1.7583009999999999</v>
      </c>
      <c r="M7973">
        <v>-8.4007750000000006E-2</v>
      </c>
      <c r="N7973">
        <v>-8.0678629999999998E-3</v>
      </c>
      <c r="O7973">
        <v>-0.9964324</v>
      </c>
      <c r="P7973">
        <v>-3.5745649999999997E-2</v>
      </c>
      <c r="Q7973">
        <v>-3.4374460000000003E-2</v>
      </c>
      <c r="R7973">
        <v>-0.99876960000000004</v>
      </c>
      <c r="S7973">
        <v>-0.1072998</v>
      </c>
      <c r="T7973">
        <v>-0.1176509</v>
      </c>
      <c r="U7973">
        <v>-2.995819</v>
      </c>
      <c r="V7973">
        <v>-4.8433009999999999E-2</v>
      </c>
      <c r="W7973">
        <v>-2.605097E-2</v>
      </c>
      <c r="X7973">
        <v>0.9984866</v>
      </c>
      <c r="Y7973">
        <v>-4.8297560000000003E-2</v>
      </c>
      <c r="Z7973">
        <v>3.0947349999999998E-2</v>
      </c>
      <c r="AA7973">
        <v>0.99835339999999995</v>
      </c>
      <c r="AB7973">
        <v>20</v>
      </c>
      <c r="AC7973">
        <v>-0.95260000000001799</v>
      </c>
      <c r="AD7973">
        <v>-1.0685248018269999</v>
      </c>
      <c r="AE7973">
        <v>-27.004061</v>
      </c>
      <c r="AF7973">
        <v>-1.31733189946818</v>
      </c>
      <c r="AG7973">
        <v>-1.0685248018269999</v>
      </c>
      <c r="AH7973">
        <v>26.946488612158198</v>
      </c>
      <c r="AI7973">
        <v>92.268087360082205</v>
      </c>
      <c r="AJ7973">
        <v>92.798788235595197</v>
      </c>
      <c r="AK7973">
        <v>26.999821427384401</v>
      </c>
      <c r="AL7973">
        <v>91.492779587007504</v>
      </c>
      <c r="AM7973">
        <v>92.777036483641496</v>
      </c>
      <c r="AN7973">
        <v>0.99999994993757901</v>
      </c>
    </row>
    <row r="7974" spans="1:40" x14ac:dyDescent="0.25">
      <c r="A7974" t="str">
        <f>"20190303154001361"</f>
        <v>20190303154001361</v>
      </c>
      <c r="B7974" t="str">
        <f>"1551598801356025"</f>
        <v>1551598801356025</v>
      </c>
      <c r="C7974" t="s">
        <v>40</v>
      </c>
      <c r="D7974">
        <v>5.0006550000000001</v>
      </c>
      <c r="E7974">
        <v>0.50043029999999999</v>
      </c>
      <c r="F7974" t="s">
        <v>42</v>
      </c>
      <c r="G7974">
        <v>-302.24939999999998</v>
      </c>
      <c r="H7974" s="1">
        <v>-2.922502E-6</v>
      </c>
      <c r="I7974">
        <v>-24.993600000000001</v>
      </c>
      <c r="J7974">
        <v>-301.2724</v>
      </c>
      <c r="K7974">
        <v>1.0687549999999999</v>
      </c>
      <c r="L7974">
        <v>1.5563659999999999</v>
      </c>
      <c r="M7974">
        <v>-8.8550630000000005E-2</v>
      </c>
      <c r="N7974">
        <v>-8.4471709999999998E-3</v>
      </c>
      <c r="O7974">
        <v>-0.99603589999999997</v>
      </c>
      <c r="P7974">
        <v>-3.6603700000000003E-2</v>
      </c>
      <c r="Q7974">
        <v>-3.6646869999999998E-2</v>
      </c>
      <c r="R7974">
        <v>-0.99865780000000004</v>
      </c>
      <c r="S7974">
        <v>-0.1119385</v>
      </c>
      <c r="T7974">
        <v>-0.1196493</v>
      </c>
      <c r="U7974">
        <v>-2.9955750000000001</v>
      </c>
      <c r="V7974">
        <v>-5.2121319999999999E-2</v>
      </c>
      <c r="W7974">
        <v>-2.794435E-2</v>
      </c>
      <c r="X7974">
        <v>0.99824970000000002</v>
      </c>
      <c r="Y7974">
        <v>-5.1304570000000001E-2</v>
      </c>
      <c r="Z7974">
        <v>3.1207240000000001E-2</v>
      </c>
      <c r="AA7974">
        <v>0.99819539999999995</v>
      </c>
      <c r="AB7974">
        <v>20</v>
      </c>
      <c r="AC7974">
        <v>-0.976999999999975</v>
      </c>
      <c r="AD7974">
        <v>-1.0687579225020001</v>
      </c>
      <c r="AE7974">
        <v>-26.549965999999898</v>
      </c>
      <c r="AF7974">
        <v>-1.3757120135779</v>
      </c>
      <c r="AG7974">
        <v>-1.0687579225020001</v>
      </c>
      <c r="AH7974">
        <v>26.489312682597099</v>
      </c>
      <c r="AI7974">
        <v>92.307339654048505</v>
      </c>
      <c r="AJ7974">
        <v>92.972962751060706</v>
      </c>
      <c r="AK7974">
        <v>26.546534866863801</v>
      </c>
      <c r="AL7974">
        <v>91.601301782458506</v>
      </c>
      <c r="AM7974">
        <v>92.988853733449901</v>
      </c>
      <c r="AN7974">
        <v>0.99999999112277704</v>
      </c>
    </row>
    <row r="7975" spans="1:40" x14ac:dyDescent="0.25">
      <c r="A7975" t="str">
        <f>"20190303154001384"</f>
        <v>20190303154001384</v>
      </c>
      <c r="B7975" t="str">
        <f>"1551598801376521"</f>
        <v>1551598801376521</v>
      </c>
      <c r="C7975" t="s">
        <v>40</v>
      </c>
      <c r="D7975">
        <v>4.9383339999999896</v>
      </c>
      <c r="E7975">
        <v>0.50044900000000003</v>
      </c>
      <c r="F7975" t="s">
        <v>42</v>
      </c>
      <c r="G7975">
        <v>-302.22469999999998</v>
      </c>
      <c r="H7975" s="1">
        <v>-3.544602E-6</v>
      </c>
      <c r="I7975">
        <v>-23.528130000000001</v>
      </c>
      <c r="J7975">
        <v>-301.29509999999999</v>
      </c>
      <c r="K7975">
        <v>1.069013</v>
      </c>
      <c r="L7975">
        <v>1.3586119999999999</v>
      </c>
      <c r="M7975">
        <v>-9.2728649999999996E-2</v>
      </c>
      <c r="N7975">
        <v>-8.9448770000000004E-3</v>
      </c>
      <c r="O7975">
        <v>-0.99565119999999896</v>
      </c>
      <c r="P7975">
        <v>-3.5163310000000003E-2</v>
      </c>
      <c r="Q7975">
        <v>-3.7931640000000003E-2</v>
      </c>
      <c r="R7975">
        <v>-0.99866129999999997</v>
      </c>
      <c r="S7975">
        <v>-0.1137085</v>
      </c>
      <c r="T7975">
        <v>-0.12761349999999999</v>
      </c>
      <c r="U7975">
        <v>-2.9951780000000001</v>
      </c>
      <c r="V7975">
        <v>-5.7736009999999997E-2</v>
      </c>
      <c r="W7975">
        <v>-2.8726990000000001E-2</v>
      </c>
      <c r="X7975">
        <v>0.99791850000000004</v>
      </c>
      <c r="Y7975">
        <v>-5.4900989999999997E-2</v>
      </c>
      <c r="Z7975">
        <v>3.3322829999999998E-2</v>
      </c>
      <c r="AA7975">
        <v>0.99793560000000003</v>
      </c>
      <c r="AB7975">
        <v>20</v>
      </c>
      <c r="AC7975">
        <v>-0.92959999999999299</v>
      </c>
      <c r="AD7975">
        <v>-1.0690165446019999</v>
      </c>
      <c r="AE7975">
        <v>-24.886742000000002</v>
      </c>
      <c r="AF7975">
        <v>-1.3796698244952901</v>
      </c>
      <c r="AG7975">
        <v>-1.0690165446019999</v>
      </c>
      <c r="AH7975">
        <v>24.819977912452099</v>
      </c>
      <c r="AI7975">
        <v>92.462454552579999</v>
      </c>
      <c r="AJ7975">
        <v>93.181630147736499</v>
      </c>
      <c r="AK7975">
        <v>24.8812698384119</v>
      </c>
      <c r="AL7975">
        <v>91.646161735139898</v>
      </c>
      <c r="AM7975">
        <v>93.3112383734953</v>
      </c>
      <c r="AN7975">
        <v>1.0000000097237101</v>
      </c>
    </row>
    <row r="7976" spans="1:40" x14ac:dyDescent="0.25">
      <c r="A7976" t="str">
        <f>"20190303154001406"</f>
        <v>20190303154001406</v>
      </c>
      <c r="B7976" t="str">
        <f>"1551598801396041"</f>
        <v>1551598801396041</v>
      </c>
      <c r="C7976" t="s">
        <v>40</v>
      </c>
      <c r="D7976">
        <v>4.9708189999999997</v>
      </c>
      <c r="E7976">
        <v>0.50046789999999997</v>
      </c>
      <c r="F7976" t="s">
        <v>42</v>
      </c>
      <c r="G7976">
        <v>-302.17759999999998</v>
      </c>
      <c r="H7976" s="1">
        <v>-3.852762E-6</v>
      </c>
      <c r="I7976">
        <v>-22.78058</v>
      </c>
      <c r="J7976">
        <v>-301.3177</v>
      </c>
      <c r="K7976">
        <v>1.069237</v>
      </c>
      <c r="L7976">
        <v>1.166504</v>
      </c>
      <c r="M7976">
        <v>-9.657425E-2</v>
      </c>
      <c r="N7976">
        <v>-9.4308929999999992E-3</v>
      </c>
      <c r="O7976">
        <v>-0.99528119999999998</v>
      </c>
      <c r="P7976">
        <v>-3.2116350000000002E-2</v>
      </c>
      <c r="Q7976">
        <v>-3.7296879999999998E-2</v>
      </c>
      <c r="R7976">
        <v>-0.99878829999999996</v>
      </c>
      <c r="S7976">
        <v>-0.1094971</v>
      </c>
      <c r="T7976">
        <v>-0.13264039999999999</v>
      </c>
      <c r="U7976">
        <v>-2.995117</v>
      </c>
      <c r="V7976">
        <v>-6.4620689999999995E-2</v>
      </c>
      <c r="W7976">
        <v>-2.7598729999999998E-2</v>
      </c>
      <c r="X7976">
        <v>0.99752819999999998</v>
      </c>
      <c r="Y7976">
        <v>-6.0157200000000001E-2</v>
      </c>
      <c r="Z7976">
        <v>3.4470599999999997E-2</v>
      </c>
      <c r="AA7976">
        <v>0.99759350000000002</v>
      </c>
      <c r="AB7976">
        <v>20</v>
      </c>
      <c r="AC7976">
        <v>-0.85989999999998101</v>
      </c>
      <c r="AD7976">
        <v>-1.0692408527619901</v>
      </c>
      <c r="AE7976">
        <v>-23.947084</v>
      </c>
      <c r="AF7976">
        <v>-1.4539990105981799</v>
      </c>
      <c r="AG7976">
        <v>-1.0692408527619901</v>
      </c>
      <c r="AH7976">
        <v>23.870659939049101</v>
      </c>
      <c r="AI7976">
        <v>92.560002811660695</v>
      </c>
      <c r="AJ7976">
        <v>93.485668406893396</v>
      </c>
      <c r="AK7976">
        <v>23.9387926815402</v>
      </c>
      <c r="AL7976">
        <v>91.581491533642904</v>
      </c>
      <c r="AM7976">
        <v>93.706488268907506</v>
      </c>
      <c r="AN7976">
        <v>1.00000001663446</v>
      </c>
    </row>
    <row r="7977" spans="1:40" x14ac:dyDescent="0.25">
      <c r="A7977" t="str">
        <f>"20190303154001429"</f>
        <v>20190303154001429</v>
      </c>
      <c r="B7977" t="str">
        <f>"1551598801416537"</f>
        <v>1551598801416537</v>
      </c>
      <c r="C7977" t="s">
        <v>40</v>
      </c>
      <c r="D7977">
        <v>4.936922</v>
      </c>
      <c r="E7977">
        <v>0.50045059999999997</v>
      </c>
      <c r="F7977" t="s">
        <v>42</v>
      </c>
      <c r="G7977">
        <v>-302.13330000000002</v>
      </c>
      <c r="H7977" s="1">
        <v>-3.7188069999999999E-6</v>
      </c>
      <c r="I7977">
        <v>-23.0654</v>
      </c>
      <c r="J7977">
        <v>-301.3417</v>
      </c>
      <c r="K7977">
        <v>1.069402</v>
      </c>
      <c r="L7977">
        <v>0.96640009999999998</v>
      </c>
      <c r="M7977">
        <v>-0.1003652</v>
      </c>
      <c r="N7977">
        <v>-9.8757140000000007E-3</v>
      </c>
      <c r="O7977">
        <v>-0.99490179999999995</v>
      </c>
      <c r="P7977">
        <v>-2.967202E-2</v>
      </c>
      <c r="Q7977">
        <v>-3.6290080000000002E-2</v>
      </c>
      <c r="R7977">
        <v>-0.99890089999999998</v>
      </c>
      <c r="S7977">
        <v>-0.10083010000000001</v>
      </c>
      <c r="T7977">
        <v>-0.1321753</v>
      </c>
      <c r="U7977">
        <v>-2.9954529999999999</v>
      </c>
      <c r="V7977">
        <v>-7.0848990000000001E-2</v>
      </c>
      <c r="W7977">
        <v>-2.614383E-2</v>
      </c>
      <c r="X7977">
        <v>0.99714440000000004</v>
      </c>
      <c r="Y7977">
        <v>-6.6842550000000001E-2</v>
      </c>
      <c r="Z7977">
        <v>3.3835629999999998E-2</v>
      </c>
      <c r="AA7977">
        <v>0.99718960000000001</v>
      </c>
      <c r="AB7977">
        <v>20</v>
      </c>
      <c r="AC7977">
        <v>-0.79160000000001596</v>
      </c>
      <c r="AD7977">
        <v>-1.0694057188070001</v>
      </c>
      <c r="AE7977">
        <v>-24.031800100000002</v>
      </c>
      <c r="AF7977">
        <v>-1.6212641657784099</v>
      </c>
      <c r="AG7977">
        <v>-1.0694057188070001</v>
      </c>
      <c r="AH7977">
        <v>23.9425366367525</v>
      </c>
      <c r="AI7977">
        <v>92.551610167386201</v>
      </c>
      <c r="AJ7977">
        <v>93.873858750749307</v>
      </c>
      <c r="AK7977">
        <v>24.021182041874798</v>
      </c>
      <c r="AL7977">
        <v>91.498101785859404</v>
      </c>
      <c r="AM7977">
        <v>94.064143263248894</v>
      </c>
      <c r="AN7977">
        <v>1.00000001684122</v>
      </c>
    </row>
    <row r="7978" spans="1:40" x14ac:dyDescent="0.25">
      <c r="A7978" t="str">
        <f>"20190303154001452"</f>
        <v>20190303154001452</v>
      </c>
      <c r="B7978" t="str">
        <f>"1551598801446794"</f>
        <v>1551598801446794</v>
      </c>
      <c r="C7978" t="s">
        <v>40</v>
      </c>
      <c r="D7978">
        <v>4.9621740000000001</v>
      </c>
      <c r="E7978">
        <v>0.50036789999999998</v>
      </c>
      <c r="F7978" t="s">
        <v>42</v>
      </c>
      <c r="G7978">
        <v>-302.1087</v>
      </c>
      <c r="H7978" s="1">
        <v>-3.4799489999999998E-6</v>
      </c>
      <c r="I7978">
        <v>-23.606919999999999</v>
      </c>
      <c r="J7978">
        <v>-301.36669999999998</v>
      </c>
      <c r="K7978">
        <v>1.069736</v>
      </c>
      <c r="L7978">
        <v>0.76617429999999997</v>
      </c>
      <c r="M7978">
        <v>-0.1025986</v>
      </c>
      <c r="N7978">
        <v>-1.088185E-2</v>
      </c>
      <c r="O7978">
        <v>-0.99466370000000004</v>
      </c>
      <c r="P7978">
        <v>-2.7137540000000002E-2</v>
      </c>
      <c r="Q7978">
        <v>-3.6112150000000003E-2</v>
      </c>
      <c r="R7978">
        <v>-0.99897950000000002</v>
      </c>
      <c r="S7978">
        <v>-9.3505859999999996E-2</v>
      </c>
      <c r="T7978">
        <v>-0.13037360000000001</v>
      </c>
      <c r="U7978">
        <v>-2.9957889999999998</v>
      </c>
      <c r="V7978">
        <v>-7.560472E-2</v>
      </c>
      <c r="W7978">
        <v>-2.4969499999999999E-2</v>
      </c>
      <c r="X7978">
        <v>0.99682519999999997</v>
      </c>
      <c r="Y7978">
        <v>-7.1517059999999993E-2</v>
      </c>
      <c r="Z7978">
        <v>3.2211099999999999E-2</v>
      </c>
      <c r="AA7978">
        <v>0.99691920000000001</v>
      </c>
      <c r="AB7978">
        <v>20</v>
      </c>
      <c r="AC7978">
        <v>-0.74200000000001798</v>
      </c>
      <c r="AD7978">
        <v>-1.0697394799490001</v>
      </c>
      <c r="AE7978">
        <v>-24.373094299999899</v>
      </c>
      <c r="AF7978">
        <v>-1.75932265355498</v>
      </c>
      <c r="AG7978">
        <v>-1.0697394799490001</v>
      </c>
      <c r="AH7978">
        <v>24.2738744047133</v>
      </c>
      <c r="AI7978">
        <v>92.516775075580398</v>
      </c>
      <c r="AJ7978">
        <v>94.145436749656199</v>
      </c>
      <c r="AK7978">
        <v>24.3610454900866</v>
      </c>
      <c r="AL7978">
        <v>91.430795649870902</v>
      </c>
      <c r="AM7978">
        <v>94.337323707506997</v>
      </c>
      <c r="AN7978">
        <v>1.0000000144857799</v>
      </c>
    </row>
    <row r="7979" spans="1:40" x14ac:dyDescent="0.25">
      <c r="A7979" t="str">
        <f>"20190303154001475"</f>
        <v>20190303154001475</v>
      </c>
      <c r="B7979" t="str">
        <f>"1551598801466314"</f>
        <v>1551598801466314</v>
      </c>
      <c r="C7979" t="s">
        <v>40</v>
      </c>
      <c r="D7979">
        <v>4.9243860000000002</v>
      </c>
      <c r="E7979">
        <v>0.5004113</v>
      </c>
      <c r="F7979" t="s">
        <v>42</v>
      </c>
      <c r="G7979">
        <v>-302.05590000000001</v>
      </c>
      <c r="H7979" s="1">
        <v>-3.5062840000000002E-6</v>
      </c>
      <c r="I7979">
        <v>-23.512779999999999</v>
      </c>
      <c r="J7979">
        <v>-301.39049999999997</v>
      </c>
      <c r="K7979">
        <v>1.070784</v>
      </c>
      <c r="L7979">
        <v>0.57815550000000004</v>
      </c>
      <c r="M7979">
        <v>-0.1049563</v>
      </c>
      <c r="N7979">
        <v>-1.221421E-2</v>
      </c>
      <c r="O7979">
        <v>-0.99440189999999995</v>
      </c>
      <c r="P7979">
        <v>-2.5968850000000002E-2</v>
      </c>
      <c r="Q7979">
        <v>-3.5481180000000001E-2</v>
      </c>
      <c r="R7979">
        <v>-0.99903319999999995</v>
      </c>
      <c r="S7979">
        <v>-8.5052489999999994E-2</v>
      </c>
      <c r="T7979">
        <v>-0.1320035</v>
      </c>
      <c r="U7979">
        <v>-2.9959720000000001</v>
      </c>
      <c r="V7979">
        <v>-7.9098580000000002E-2</v>
      </c>
      <c r="W7979">
        <v>-2.310133E-2</v>
      </c>
      <c r="X7979">
        <v>0.99659909999999996</v>
      </c>
      <c r="Y7979">
        <v>-7.6688649999999997E-2</v>
      </c>
      <c r="Z7979">
        <v>3.139223E-2</v>
      </c>
      <c r="AA7979">
        <v>0.99656080000000002</v>
      </c>
      <c r="AB7979">
        <v>19</v>
      </c>
      <c r="AC7979">
        <v>-0.66540000000003297</v>
      </c>
      <c r="AD7979">
        <v>-1.070787506284</v>
      </c>
      <c r="AE7979">
        <v>-24.090935500000001</v>
      </c>
      <c r="AF7979">
        <v>-1.86328126256244</v>
      </c>
      <c r="AG7979">
        <v>-1.070787506284</v>
      </c>
      <c r="AH7979">
        <v>23.980361010085499</v>
      </c>
      <c r="AI7979">
        <v>92.549039107911895</v>
      </c>
      <c r="AJ7979">
        <v>94.442972409316695</v>
      </c>
      <c r="AK7979">
        <v>24.076463966310701</v>
      </c>
      <c r="AL7979">
        <v>91.323726451939805</v>
      </c>
      <c r="AM7979">
        <v>94.537967516506797</v>
      </c>
      <c r="AN7979">
        <v>1.0000000114632901</v>
      </c>
    </row>
    <row r="7980" spans="1:40" x14ac:dyDescent="0.25">
      <c r="A7980" t="str">
        <f>"20190303154001495"</f>
        <v>20190303154001495</v>
      </c>
      <c r="B7980" t="str">
        <f>"1551598801486809"</f>
        <v>1551598801486809</v>
      </c>
      <c r="C7980" t="s">
        <v>40</v>
      </c>
      <c r="D7980">
        <v>4.9177080000000002</v>
      </c>
      <c r="E7980">
        <v>0.50052609999999997</v>
      </c>
      <c r="F7980" t="s">
        <v>42</v>
      </c>
      <c r="G7980">
        <v>-302.06229999999999</v>
      </c>
      <c r="H7980" s="1">
        <v>-3.3325619999999999E-6</v>
      </c>
      <c r="I7980">
        <v>-23.921679999999999</v>
      </c>
      <c r="J7980">
        <v>-301.41390000000001</v>
      </c>
      <c r="K7980">
        <v>1.0720529999999999</v>
      </c>
      <c r="L7980">
        <v>0.3936462</v>
      </c>
      <c r="M7980">
        <v>-0.1086226</v>
      </c>
      <c r="N7980">
        <v>-1.253315E-2</v>
      </c>
      <c r="O7980">
        <v>-0.99400409999999995</v>
      </c>
      <c r="P7980">
        <v>-2.6414E-2</v>
      </c>
      <c r="Q7980">
        <v>-3.5846360000000001E-2</v>
      </c>
      <c r="R7980">
        <v>-0.99900829999999996</v>
      </c>
      <c r="S7980">
        <v>-8.2153320000000002E-2</v>
      </c>
      <c r="T7980">
        <v>-0.13094829999999999</v>
      </c>
      <c r="U7980">
        <v>-2.996124</v>
      </c>
      <c r="V7980">
        <v>-8.229177E-2</v>
      </c>
      <c r="W7980">
        <v>-2.3269109999999999E-2</v>
      </c>
      <c r="X7980">
        <v>0.99633660000000002</v>
      </c>
      <c r="Y7980">
        <v>-8.1327040000000003E-2</v>
      </c>
      <c r="Z7980">
        <v>3.0690619999999998E-2</v>
      </c>
      <c r="AA7980">
        <v>0.99621479999999996</v>
      </c>
      <c r="AB7980">
        <v>19</v>
      </c>
      <c r="AC7980">
        <v>-0.64839999999997999</v>
      </c>
      <c r="AD7980">
        <v>-1.0720563325620001</v>
      </c>
      <c r="AE7980">
        <v>-24.315326200000001</v>
      </c>
      <c r="AF7980">
        <v>-1.9929670457264801</v>
      </c>
      <c r="AG7980">
        <v>-1.0720563325620001</v>
      </c>
      <c r="AH7980">
        <v>24.194868545137201</v>
      </c>
      <c r="AI7980">
        <v>92.528520776373597</v>
      </c>
      <c r="AJ7980">
        <v>94.708907084497199</v>
      </c>
      <c r="AK7980">
        <v>24.300470907824199</v>
      </c>
      <c r="AL7980">
        <v>91.3333421329082</v>
      </c>
      <c r="AM7980">
        <v>94.721590284360502</v>
      </c>
      <c r="AN7980">
        <v>1.0000000036947401</v>
      </c>
    </row>
    <row r="7981" spans="1:40" x14ac:dyDescent="0.25">
      <c r="A7981" t="str">
        <f>"20190303154001518"</f>
        <v>20190303154001518</v>
      </c>
      <c r="B7981" t="str">
        <f>"1551598801506329"</f>
        <v>1551598801506329</v>
      </c>
      <c r="C7981" t="s">
        <v>40</v>
      </c>
      <c r="D7981">
        <v>4.9952809999999896</v>
      </c>
      <c r="E7981">
        <v>0.50064960000000003</v>
      </c>
      <c r="F7981" t="s">
        <v>42</v>
      </c>
      <c r="G7981">
        <v>-302.09190000000001</v>
      </c>
      <c r="H7981" s="1">
        <v>-3.42571999999999E-6</v>
      </c>
      <c r="I7981">
        <v>-23.72289</v>
      </c>
      <c r="J7981">
        <v>-301.4384</v>
      </c>
      <c r="K7981">
        <v>1.072813</v>
      </c>
      <c r="L7981">
        <v>0.2016907</v>
      </c>
      <c r="M7981">
        <v>-0.11249729999999999</v>
      </c>
      <c r="N7981">
        <v>-1.119349E-2</v>
      </c>
      <c r="O7981">
        <v>-0.99358900000000006</v>
      </c>
      <c r="P7981">
        <v>-2.7629770000000001E-2</v>
      </c>
      <c r="Q7981">
        <v>-3.789145E-2</v>
      </c>
      <c r="R7981">
        <v>-0.9988998</v>
      </c>
      <c r="S7981">
        <v>-8.4228520000000001E-2</v>
      </c>
      <c r="T7981">
        <v>-0.13318050000000001</v>
      </c>
      <c r="U7981">
        <v>-2.9959720000000001</v>
      </c>
      <c r="V7981">
        <v>-8.4949029999999995E-2</v>
      </c>
      <c r="W7981">
        <v>-2.6671940000000002E-2</v>
      </c>
      <c r="X7981">
        <v>0.99602820000000003</v>
      </c>
      <c r="Y7981">
        <v>-8.4524089999999996E-2</v>
      </c>
      <c r="Z7981">
        <v>3.273119E-2</v>
      </c>
      <c r="AA7981">
        <v>0.99588370000000004</v>
      </c>
      <c r="AB7981">
        <v>19</v>
      </c>
      <c r="AC7981">
        <v>-0.65350000000000796</v>
      </c>
      <c r="AD7981">
        <v>-1.0728164257199999</v>
      </c>
      <c r="AE7981">
        <v>-23.9245807</v>
      </c>
      <c r="AF7981">
        <v>-2.0381729892932698</v>
      </c>
      <c r="AG7981">
        <v>-1.0728164257199999</v>
      </c>
      <c r="AH7981">
        <v>23.798393300759201</v>
      </c>
      <c r="AI7981">
        <v>92.571708314925701</v>
      </c>
      <c r="AJ7981">
        <v>94.895055036015407</v>
      </c>
      <c r="AK7981">
        <v>23.909592382874301</v>
      </c>
      <c r="AL7981">
        <v>91.528370914264201</v>
      </c>
      <c r="AM7981">
        <v>94.8748325968415</v>
      </c>
      <c r="AN7981">
        <v>0.99999995263827102</v>
      </c>
    </row>
    <row r="7982" spans="1:40" x14ac:dyDescent="0.25">
      <c r="A7982" t="str">
        <f>"20190303154001540"</f>
        <v>20190303154001540</v>
      </c>
      <c r="B7982" t="str">
        <f>"1551598801536588"</f>
        <v>1551598801536588</v>
      </c>
      <c r="C7982" t="s">
        <v>40</v>
      </c>
      <c r="D7982">
        <v>4.9407360000000002</v>
      </c>
      <c r="E7982">
        <v>0.54191389999999995</v>
      </c>
      <c r="F7982" t="s">
        <v>42</v>
      </c>
      <c r="G7982">
        <v>-302.11880000000002</v>
      </c>
      <c r="H7982" s="1">
        <v>-3.839566E-6</v>
      </c>
      <c r="I7982">
        <v>-22.774909999999998</v>
      </c>
      <c r="J7982">
        <v>-301.46370000000002</v>
      </c>
      <c r="K7982">
        <v>1.0734840000000001</v>
      </c>
      <c r="L7982">
        <v>9.4299320000000002E-3</v>
      </c>
      <c r="M7982">
        <v>-0.1151354</v>
      </c>
      <c r="N7982">
        <v>-9.2743960000000007E-3</v>
      </c>
      <c r="O7982">
        <v>-0.99330669999999999</v>
      </c>
      <c r="P7982">
        <v>-2.8018850000000001E-2</v>
      </c>
      <c r="Q7982">
        <v>-4.1365039999999999E-2</v>
      </c>
      <c r="R7982">
        <v>-0.99875139999999996</v>
      </c>
      <c r="S7982">
        <v>-8.8714600000000005E-2</v>
      </c>
      <c r="T7982">
        <v>-0.13986709999999999</v>
      </c>
      <c r="U7982">
        <v>-2.9955440000000002</v>
      </c>
      <c r="V7982">
        <v>-8.7210129999999997E-2</v>
      </c>
      <c r="W7982">
        <v>-3.2006130000000001E-2</v>
      </c>
      <c r="X7982">
        <v>0.99567559999999999</v>
      </c>
      <c r="Y7982">
        <v>-8.568191E-2</v>
      </c>
      <c r="Z7982">
        <v>3.6829750000000001E-2</v>
      </c>
      <c r="AA7982">
        <v>0.99564160000000002</v>
      </c>
      <c r="AB7982">
        <v>19</v>
      </c>
      <c r="AC7982">
        <v>-0.65510000000000401</v>
      </c>
      <c r="AD7982">
        <v>-1.0734878395659999</v>
      </c>
      <c r="AE7982">
        <v>-22.784339931999899</v>
      </c>
      <c r="AF7982">
        <v>-1.9682876714153199</v>
      </c>
      <c r="AG7982">
        <v>-1.0734878395659999</v>
      </c>
      <c r="AH7982">
        <v>22.657979583790901</v>
      </c>
      <c r="AI7982">
        <v>92.702364128502694</v>
      </c>
      <c r="AJ7982">
        <v>94.964792918778102</v>
      </c>
      <c r="AK7982">
        <v>22.768631300950599</v>
      </c>
      <c r="AL7982">
        <v>91.834129495308503</v>
      </c>
      <c r="AM7982">
        <v>95.005699419768106</v>
      </c>
      <c r="AN7982">
        <v>0.99999994978377504</v>
      </c>
    </row>
    <row r="7983" spans="1:40" x14ac:dyDescent="0.25">
      <c r="A7983" t="str">
        <f>"20190303154001563"</f>
        <v>20190303154001563</v>
      </c>
      <c r="B7983" t="str">
        <f>"1551598801556105"</f>
        <v>1551598801556105</v>
      </c>
      <c r="C7983" t="s">
        <v>40</v>
      </c>
      <c r="D7983">
        <v>4.952877</v>
      </c>
      <c r="E7983">
        <v>0.54434369999999999</v>
      </c>
      <c r="F7983" t="s">
        <v>42</v>
      </c>
      <c r="G7983">
        <v>-303.58859999999999</v>
      </c>
      <c r="H7983" s="1">
        <v>-3.2536489999999999E-6</v>
      </c>
      <c r="I7983">
        <v>-15.05228</v>
      </c>
      <c r="J7983">
        <v>-301.4898</v>
      </c>
      <c r="K7983">
        <v>1.074864</v>
      </c>
      <c r="L7983">
        <v>-0.18640139999999999</v>
      </c>
      <c r="M7983">
        <v>-0.1167474</v>
      </c>
      <c r="N7983">
        <v>-7.7279710000000001E-3</v>
      </c>
      <c r="O7983">
        <v>-0.99313169999999995</v>
      </c>
      <c r="P7983">
        <v>-2.8015290000000002E-2</v>
      </c>
      <c r="Q7983">
        <v>-4.304098E-2</v>
      </c>
      <c r="R7983">
        <v>-0.99868060000000003</v>
      </c>
      <c r="S7983">
        <v>-0.42086790000000002</v>
      </c>
      <c r="T7983">
        <v>-0.21261720000000001</v>
      </c>
      <c r="U7983">
        <v>-2.9831539999999999</v>
      </c>
      <c r="V7983">
        <v>-8.8826509999999997E-2</v>
      </c>
      <c r="W7983">
        <v>-3.5215419999999997E-2</v>
      </c>
      <c r="X7983">
        <v>0.99542439999999999</v>
      </c>
      <c r="Y7983">
        <v>2.2855919999999998E-2</v>
      </c>
      <c r="Z7983">
        <v>6.2364379999999997E-2</v>
      </c>
      <c r="AA7983">
        <v>0.99779169999999995</v>
      </c>
      <c r="AB7983">
        <v>20</v>
      </c>
      <c r="AC7983">
        <v>-2.0987999999999798</v>
      </c>
      <c r="AD7983">
        <v>-1.0748672536489901</v>
      </c>
      <c r="AE7983">
        <v>-14.865878599999901</v>
      </c>
      <c r="AF7983">
        <v>0.34706355024114699</v>
      </c>
      <c r="AG7983">
        <v>-1.0748672536489901</v>
      </c>
      <c r="AH7983">
        <v>14.9327097655937</v>
      </c>
      <c r="AI7983">
        <v>94.115983219991705</v>
      </c>
      <c r="AJ7983">
        <v>88.668580749091902</v>
      </c>
      <c r="AK7983">
        <v>14.975366895816901</v>
      </c>
      <c r="AL7983">
        <v>92.018112194371895</v>
      </c>
      <c r="AM7983">
        <v>95.0992718653563</v>
      </c>
      <c r="AN7983">
        <v>1.00000000539995</v>
      </c>
    </row>
    <row r="7984" spans="1:40" x14ac:dyDescent="0.25">
      <c r="A7984" t="str">
        <f>"20190303154001585"</f>
        <v>20190303154001585</v>
      </c>
      <c r="B7984" t="str">
        <f>"1551598801576601"</f>
        <v>1551598801576601</v>
      </c>
      <c r="C7984" t="s">
        <v>40</v>
      </c>
      <c r="D7984">
        <v>4.9293959999999997</v>
      </c>
      <c r="E7984">
        <v>0.54553989999999997</v>
      </c>
      <c r="F7984" t="s">
        <v>42</v>
      </c>
      <c r="G7984">
        <v>-303.55759999999998</v>
      </c>
      <c r="H7984" s="1">
        <v>-3.6255479999999999E-6</v>
      </c>
      <c r="I7984">
        <v>-14.16615</v>
      </c>
      <c r="J7984">
        <v>-301.51510000000002</v>
      </c>
      <c r="K7984">
        <v>1.0768120000000001</v>
      </c>
      <c r="L7984">
        <v>-0.37768550000000001</v>
      </c>
      <c r="M7984">
        <v>-0.11771379999999999</v>
      </c>
      <c r="N7984">
        <v>-6.5407E-3</v>
      </c>
      <c r="O7984">
        <v>-0.99302599999999996</v>
      </c>
      <c r="P7984">
        <v>-2.7825530000000001E-2</v>
      </c>
      <c r="Q7984">
        <v>-4.1199810000000003E-2</v>
      </c>
      <c r="R7984">
        <v>-0.99876350000000003</v>
      </c>
      <c r="S7984">
        <v>-0.44103999999999999</v>
      </c>
      <c r="T7984">
        <v>-0.22925699999999999</v>
      </c>
      <c r="U7984">
        <v>-2.9817200000000001</v>
      </c>
      <c r="V7984">
        <v>-8.9967060000000001E-2</v>
      </c>
      <c r="W7984">
        <v>-3.461558E-2</v>
      </c>
      <c r="X7984">
        <v>0.99534299999999998</v>
      </c>
      <c r="Y7984">
        <v>2.8497350000000001E-2</v>
      </c>
      <c r="Z7984">
        <v>6.8975190000000006E-2</v>
      </c>
      <c r="AA7984">
        <v>0.99721130000000002</v>
      </c>
      <c r="AB7984">
        <v>20</v>
      </c>
      <c r="AC7984">
        <v>-2.04249999999996</v>
      </c>
      <c r="AD7984">
        <v>-1.0768156255479999</v>
      </c>
      <c r="AE7984">
        <v>-13.7884644999999</v>
      </c>
      <c r="AF7984">
        <v>0.402768033693646</v>
      </c>
      <c r="AG7984">
        <v>-1.0768156255479999</v>
      </c>
      <c r="AH7984">
        <v>13.8503743530454</v>
      </c>
      <c r="AI7984">
        <v>94.443722265191994</v>
      </c>
      <c r="AJ7984">
        <v>88.334311678281196</v>
      </c>
      <c r="AK7984">
        <v>13.898007904008701</v>
      </c>
      <c r="AL7984">
        <v>91.983722938207904</v>
      </c>
      <c r="AM7984">
        <v>95.164815756976395</v>
      </c>
      <c r="AN7984">
        <v>0.99999999895638902</v>
      </c>
    </row>
    <row r="7985" spans="1:40" x14ac:dyDescent="0.25">
      <c r="A7985" t="str">
        <f>"20190303154001607"</f>
        <v>20190303154001607</v>
      </c>
      <c r="B7985" t="str">
        <f>"1551598801596121"</f>
        <v>1551598801596121</v>
      </c>
      <c r="C7985" t="s">
        <v>40</v>
      </c>
      <c r="D7985">
        <v>4.9415239999999896</v>
      </c>
      <c r="E7985">
        <v>0.5464386</v>
      </c>
      <c r="F7985" t="s">
        <v>42</v>
      </c>
      <c r="G7985">
        <v>-303.66039999999998</v>
      </c>
      <c r="H7985" s="1">
        <v>-3.4681650000000002E-6</v>
      </c>
      <c r="I7985">
        <v>-14.59679</v>
      </c>
      <c r="J7985">
        <v>-301.53919999999999</v>
      </c>
      <c r="K7985">
        <v>1.0789850000000001</v>
      </c>
      <c r="L7985">
        <v>-0.56582639999999995</v>
      </c>
      <c r="M7985">
        <v>-0.1184934</v>
      </c>
      <c r="N7985">
        <v>-5.2469839999999997E-3</v>
      </c>
      <c r="O7985">
        <v>-0.99294110000000002</v>
      </c>
      <c r="P7985">
        <v>-2.8471659999999999E-2</v>
      </c>
      <c r="Q7985">
        <v>-3.6453949999999999E-2</v>
      </c>
      <c r="R7985">
        <v>-0.99892990000000004</v>
      </c>
      <c r="S7985">
        <v>-0.44989010000000001</v>
      </c>
      <c r="T7985">
        <v>-0.22581780000000001</v>
      </c>
      <c r="U7985">
        <v>-2.9818730000000002</v>
      </c>
      <c r="V7985">
        <v>-9.0084739999999996E-2</v>
      </c>
      <c r="W7985">
        <v>-3.1266429999999998E-2</v>
      </c>
      <c r="X7985">
        <v>0.99544319999999997</v>
      </c>
      <c r="Y7985">
        <v>3.0601110000000001E-2</v>
      </c>
      <c r="Z7985">
        <v>6.9097469999999994E-2</v>
      </c>
      <c r="AA7985">
        <v>0.99714049999999999</v>
      </c>
      <c r="AB7985">
        <v>19</v>
      </c>
      <c r="AC7985">
        <v>-2.12119999999998</v>
      </c>
      <c r="AD7985">
        <v>-1.0789884681649999</v>
      </c>
      <c r="AE7985">
        <v>-14.0309635999999</v>
      </c>
      <c r="AF7985">
        <v>0.441105855820835</v>
      </c>
      <c r="AG7985">
        <v>-1.0789884681649999</v>
      </c>
      <c r="AH7985">
        <v>14.101931100398</v>
      </c>
      <c r="AI7985">
        <v>94.373246479269099</v>
      </c>
      <c r="AJ7985">
        <v>88.208382543322898</v>
      </c>
      <c r="AK7985">
        <v>14.1500265459413</v>
      </c>
      <c r="AL7985">
        <v>91.7917264762672</v>
      </c>
      <c r="AM7985">
        <v>95.171017166555401</v>
      </c>
      <c r="AN7985">
        <v>1.00000000722602</v>
      </c>
    </row>
    <row r="7986" spans="1:40" x14ac:dyDescent="0.25">
      <c r="A7986" t="str">
        <f>"20190303154001631"</f>
        <v>20190303154001631</v>
      </c>
      <c r="B7986" t="str">
        <f>"1551598801626377"</f>
        <v>1551598801626377</v>
      </c>
      <c r="C7986" t="s">
        <v>40</v>
      </c>
      <c r="D7986">
        <v>4.9422620000000004</v>
      </c>
      <c r="E7986">
        <v>0.5472146</v>
      </c>
      <c r="F7986" t="s">
        <v>42</v>
      </c>
      <c r="G7986">
        <v>-303.90600000000001</v>
      </c>
      <c r="H7986" s="1">
        <v>-2.9607630000000001E-6</v>
      </c>
      <c r="I7986">
        <v>-15.93187</v>
      </c>
      <c r="J7986">
        <v>-301.56279999999998</v>
      </c>
      <c r="K7986">
        <v>1.0811440000000001</v>
      </c>
      <c r="L7986">
        <v>-0.75802609999999904</v>
      </c>
      <c r="M7986">
        <v>-0.1190225</v>
      </c>
      <c r="N7986">
        <v>-3.7369019999999998E-3</v>
      </c>
      <c r="O7986">
        <v>-0.99288469999999995</v>
      </c>
      <c r="P7986">
        <v>-2.8057970000000002E-2</v>
      </c>
      <c r="Q7986">
        <v>-3.1861489999999999E-2</v>
      </c>
      <c r="R7986">
        <v>-0.99909890000000001</v>
      </c>
      <c r="S7986">
        <v>-0.45938109999999999</v>
      </c>
      <c r="T7986">
        <v>-0.2094269</v>
      </c>
      <c r="U7986">
        <v>-2.9824830000000002</v>
      </c>
      <c r="V7986">
        <v>-9.1008859999999997E-2</v>
      </c>
      <c r="W7986">
        <v>-2.82981E-2</v>
      </c>
      <c r="X7986">
        <v>0.99544790000000005</v>
      </c>
      <c r="Y7986">
        <v>3.3182370000000003E-2</v>
      </c>
      <c r="Z7986">
        <v>6.5185359999999998E-2</v>
      </c>
      <c r="AA7986">
        <v>0.99732129999999997</v>
      </c>
      <c r="AB7986">
        <v>19</v>
      </c>
      <c r="AC7986">
        <v>-2.3432000000000199</v>
      </c>
      <c r="AD7986">
        <v>-1.081146960763</v>
      </c>
      <c r="AE7986">
        <v>-15.1738439</v>
      </c>
      <c r="AF7986">
        <v>0.51793400290934899</v>
      </c>
      <c r="AG7986">
        <v>-1.081146960763</v>
      </c>
      <c r="AH7986">
        <v>15.269164513517699</v>
      </c>
      <c r="AI7986">
        <v>94.047799709283694</v>
      </c>
      <c r="AJ7986">
        <v>88.057257232443405</v>
      </c>
      <c r="AK7986">
        <v>15.316152236218</v>
      </c>
      <c r="AL7986">
        <v>91.621578236832306</v>
      </c>
      <c r="AM7986">
        <v>95.223746704966004</v>
      </c>
      <c r="AN7986">
        <v>0.99999995833825905</v>
      </c>
    </row>
    <row r="7987" spans="1:40" x14ac:dyDescent="0.25">
      <c r="A7987" t="str">
        <f>"20190303154001652"</f>
        <v>20190303154001652</v>
      </c>
      <c r="B7987" t="str">
        <f>"1551598801645897"</f>
        <v>1551598801645897</v>
      </c>
      <c r="C7987" t="s">
        <v>40</v>
      </c>
      <c r="D7987">
        <v>4.9327290000000001</v>
      </c>
      <c r="E7987">
        <v>0.54752749999999994</v>
      </c>
      <c r="F7987" t="s">
        <v>42</v>
      </c>
      <c r="G7987">
        <v>-304.0908</v>
      </c>
      <c r="H7987" s="1">
        <v>-2.5523830000000001E-6</v>
      </c>
      <c r="I7987">
        <v>-16.99841</v>
      </c>
      <c r="J7987">
        <v>-301.58539999999999</v>
      </c>
      <c r="K7987">
        <v>1.0830959999999901</v>
      </c>
      <c r="L7987">
        <v>-0.952179</v>
      </c>
      <c r="M7987">
        <v>-0.11889950000000001</v>
      </c>
      <c r="N7987">
        <v>-2.2957170000000001E-3</v>
      </c>
      <c r="O7987">
        <v>-0.99290369999999994</v>
      </c>
      <c r="P7987">
        <v>-2.8051659999999999E-2</v>
      </c>
      <c r="Q7987">
        <v>-2.992421E-2</v>
      </c>
      <c r="R7987">
        <v>-0.99915860000000001</v>
      </c>
      <c r="S7987">
        <v>-0.46438600000000002</v>
      </c>
      <c r="T7987">
        <v>-0.19860530000000001</v>
      </c>
      <c r="U7987">
        <v>-2.9833370000000001</v>
      </c>
      <c r="V7987">
        <v>-9.0872750000000002E-2</v>
      </c>
      <c r="W7987">
        <v>-2.78827E-2</v>
      </c>
      <c r="X7987">
        <v>0.99547209999999997</v>
      </c>
      <c r="Y7987">
        <v>3.4920859999999998E-2</v>
      </c>
      <c r="Z7987">
        <v>6.3039410000000004E-2</v>
      </c>
      <c r="AA7987">
        <v>0.99739990000000001</v>
      </c>
      <c r="AB7987">
        <v>19</v>
      </c>
      <c r="AC7987">
        <v>-2.5053999999999998</v>
      </c>
      <c r="AD7987">
        <v>-1.0830985523829999</v>
      </c>
      <c r="AE7987">
        <v>-16.046230999999999</v>
      </c>
      <c r="AF7987">
        <v>0.57716655278018103</v>
      </c>
      <c r="AG7987">
        <v>-1.0830985523829999</v>
      </c>
      <c r="AH7987">
        <v>16.158427911829101</v>
      </c>
      <c r="AI7987">
        <v>93.832359900242295</v>
      </c>
      <c r="AJ7987">
        <v>87.954308763254105</v>
      </c>
      <c r="AK7987">
        <v>16.204968876415698</v>
      </c>
      <c r="AL7987">
        <v>91.597768103690299</v>
      </c>
      <c r="AM7987">
        <v>95.215851256300397</v>
      </c>
      <c r="AN7987">
        <v>1.00000000176513</v>
      </c>
    </row>
    <row r="7988" spans="1:40" x14ac:dyDescent="0.25">
      <c r="A7988" t="str">
        <f>"20190303154001675"</f>
        <v>20190303154001675</v>
      </c>
      <c r="B7988" t="str">
        <f>"1551598801666393"</f>
        <v>1551598801666393</v>
      </c>
      <c r="C7988" t="s">
        <v>40</v>
      </c>
      <c r="D7988">
        <v>4.96075</v>
      </c>
      <c r="E7988">
        <v>0.54776409999999998</v>
      </c>
      <c r="F7988" t="s">
        <v>42</v>
      </c>
      <c r="G7988">
        <v>-304.20119999999997</v>
      </c>
      <c r="H7988" s="1">
        <v>-2.2937909999999999E-6</v>
      </c>
      <c r="I7988">
        <v>-17.669709999999998</v>
      </c>
      <c r="J7988">
        <v>-301.60669999999999</v>
      </c>
      <c r="K7988">
        <v>1.0847739999999999</v>
      </c>
      <c r="L7988">
        <v>-1.141418</v>
      </c>
      <c r="M7988">
        <v>-0.1180369</v>
      </c>
      <c r="N7988">
        <v>-1.114173E-3</v>
      </c>
      <c r="O7988">
        <v>-0.99300840000000001</v>
      </c>
      <c r="P7988">
        <v>-2.7247759999999999E-2</v>
      </c>
      <c r="Q7988">
        <v>-2.9614140000000001E-2</v>
      </c>
      <c r="R7988">
        <v>-0.99919020000000003</v>
      </c>
      <c r="S7988">
        <v>-0.46685789999999999</v>
      </c>
      <c r="T7988">
        <v>-0.1933048</v>
      </c>
      <c r="U7988">
        <v>-2.9836429999999998</v>
      </c>
      <c r="V7988">
        <v>-9.0793509999999994E-2</v>
      </c>
      <c r="W7988">
        <v>-2.8791649999999998E-2</v>
      </c>
      <c r="X7988">
        <v>0.99545349999999999</v>
      </c>
      <c r="Y7988">
        <v>3.6587389999999997E-2</v>
      </c>
      <c r="Z7988">
        <v>6.2469289999999997E-2</v>
      </c>
      <c r="AA7988">
        <v>0.99737600000000004</v>
      </c>
      <c r="AB7988">
        <v>19</v>
      </c>
      <c r="AC7988">
        <v>-2.59449999999998</v>
      </c>
      <c r="AD7988">
        <v>-1.0847762937909999</v>
      </c>
      <c r="AE7988">
        <v>-16.528292</v>
      </c>
      <c r="AF7988">
        <v>0.62279427883296901</v>
      </c>
      <c r="AG7988">
        <v>-1.0847762937909999</v>
      </c>
      <c r="AH7988">
        <v>16.6490021536233</v>
      </c>
      <c r="AI7988">
        <v>93.7252754034986</v>
      </c>
      <c r="AJ7988">
        <v>87.857718242145495</v>
      </c>
      <c r="AK7988">
        <v>16.695924204208399</v>
      </c>
      <c r="AL7988">
        <v>91.649867954021104</v>
      </c>
      <c r="AM7988">
        <v>95.211424984169099</v>
      </c>
      <c r="AN7988">
        <v>1.00000004561504</v>
      </c>
    </row>
    <row r="7989" spans="1:40" x14ac:dyDescent="0.25">
      <c r="A7989" t="str">
        <f>"20190303154001696"</f>
        <v>20190303154001696</v>
      </c>
      <c r="B7989" t="str">
        <f>"1551598801685913"</f>
        <v>1551598801685913</v>
      </c>
      <c r="C7989" t="s">
        <v>40</v>
      </c>
      <c r="D7989">
        <v>4.9744890000000002</v>
      </c>
      <c r="E7989">
        <v>0.54780039999999997</v>
      </c>
      <c r="F7989" t="s">
        <v>42</v>
      </c>
      <c r="G7989">
        <v>-304.25470000000001</v>
      </c>
      <c r="H7989" s="1">
        <v>-2.1283550000000001E-6</v>
      </c>
      <c r="I7989">
        <v>-18.088539999999998</v>
      </c>
      <c r="J7989">
        <v>-301.62689999999998</v>
      </c>
      <c r="K7989">
        <v>1.086214</v>
      </c>
      <c r="L7989">
        <v>-1.3270569999999999</v>
      </c>
      <c r="M7989">
        <v>-0.1164847</v>
      </c>
      <c r="N7989">
        <v>-1.2421000000000001E-4</v>
      </c>
      <c r="O7989">
        <v>-0.99319290000000005</v>
      </c>
      <c r="P7989">
        <v>-2.5871689999999999E-2</v>
      </c>
      <c r="Q7989">
        <v>-2.880274E-2</v>
      </c>
      <c r="R7989">
        <v>-0.99925070000000005</v>
      </c>
      <c r="S7989">
        <v>-0.46627809999999997</v>
      </c>
      <c r="T7989">
        <v>-0.1910087</v>
      </c>
      <c r="U7989">
        <v>-2.98407</v>
      </c>
      <c r="V7989">
        <v>-9.0605969999999994E-2</v>
      </c>
      <c r="W7989">
        <v>-2.8980220000000001E-2</v>
      </c>
      <c r="X7989">
        <v>0.99546500000000004</v>
      </c>
      <c r="Y7989">
        <v>3.793738E-2</v>
      </c>
      <c r="Z7989">
        <v>6.2703969999999998E-2</v>
      </c>
      <c r="AA7989">
        <v>0.9973109</v>
      </c>
      <c r="AB7989">
        <v>19</v>
      </c>
      <c r="AC7989">
        <v>-2.6278000000000299</v>
      </c>
      <c r="AD7989">
        <v>-1.086216128355</v>
      </c>
      <c r="AE7989">
        <v>-16.761482999999998</v>
      </c>
      <c r="AF7989">
        <v>0.654771900302899</v>
      </c>
      <c r="AG7989">
        <v>-1.086216128355</v>
      </c>
      <c r="AH7989">
        <v>16.884271302024299</v>
      </c>
      <c r="AI7989">
        <v>93.678180710069199</v>
      </c>
      <c r="AJ7989">
        <v>87.779182988628307</v>
      </c>
      <c r="AK7989">
        <v>16.931840098444301</v>
      </c>
      <c r="AL7989">
        <v>91.660676920110106</v>
      </c>
      <c r="AM7989">
        <v>95.200659780112005</v>
      </c>
      <c r="AN7989">
        <v>0.99999993058794201</v>
      </c>
    </row>
    <row r="7990" spans="1:40" x14ac:dyDescent="0.25">
      <c r="A7990" t="str">
        <f>"20190303154001720"</f>
        <v>20190303154001720</v>
      </c>
      <c r="B7990" t="str">
        <f>"1551598801716169"</f>
        <v>1551598801716169</v>
      </c>
      <c r="C7990" t="s">
        <v>40</v>
      </c>
      <c r="D7990">
        <v>4.9637960000000003</v>
      </c>
      <c r="E7990">
        <v>0.54788169999999903</v>
      </c>
      <c r="F7990" t="s">
        <v>42</v>
      </c>
      <c r="G7990">
        <v>-304.28109999999998</v>
      </c>
      <c r="H7990" s="1">
        <v>-1.9714439999999998E-6</v>
      </c>
      <c r="I7990">
        <v>-18.470669999999998</v>
      </c>
      <c r="J7990">
        <v>-301.6472</v>
      </c>
      <c r="K7990">
        <v>1.087547</v>
      </c>
      <c r="L7990">
        <v>-1.5195620000000001</v>
      </c>
      <c r="M7990">
        <v>-0.1143023</v>
      </c>
      <c r="N7990">
        <v>8.0356009999999996E-4</v>
      </c>
      <c r="O7990">
        <v>-0.99344589999999999</v>
      </c>
      <c r="P7990">
        <v>-2.2910099999999999E-2</v>
      </c>
      <c r="Q7990">
        <v>-2.6989889999999999E-2</v>
      </c>
      <c r="R7990">
        <v>-0.99937350000000003</v>
      </c>
      <c r="S7990">
        <v>-0.46212769999999997</v>
      </c>
      <c r="T7990">
        <v>-0.18911849999999999</v>
      </c>
      <c r="U7990">
        <v>-2.9848330000000001</v>
      </c>
      <c r="V7990">
        <v>-9.1375799999999993E-2</v>
      </c>
      <c r="W7990">
        <v>-2.8100529999999999E-2</v>
      </c>
      <c r="X7990">
        <v>0.99541990000000002</v>
      </c>
      <c r="Y7990">
        <v>3.8738019999999998E-2</v>
      </c>
      <c r="Z7990">
        <v>6.3016169999999996E-2</v>
      </c>
      <c r="AA7990">
        <v>0.99726040000000005</v>
      </c>
      <c r="AB7990">
        <v>19</v>
      </c>
      <c r="AC7990">
        <v>-2.6338999999999801</v>
      </c>
      <c r="AD7990">
        <v>-1.0875489714440001</v>
      </c>
      <c r="AE7990">
        <v>-16.951107999999898</v>
      </c>
      <c r="AF7990">
        <v>0.67636813652024896</v>
      </c>
      <c r="AG7990">
        <v>-1.0875489714440001</v>
      </c>
      <c r="AH7990">
        <v>17.072453763886202</v>
      </c>
      <c r="AI7990">
        <v>93.642079774385905</v>
      </c>
      <c r="AJ7990">
        <v>87.731270248623801</v>
      </c>
      <c r="AK7990">
        <v>17.1204238890695</v>
      </c>
      <c r="AL7990">
        <v>91.610253775686402</v>
      </c>
      <c r="AM7990">
        <v>95.244837892081804</v>
      </c>
      <c r="AN7990">
        <v>0.99999997696396503</v>
      </c>
    </row>
    <row r="7991" spans="1:40" x14ac:dyDescent="0.25">
      <c r="A7991" t="str">
        <f>"20190303154001741"</f>
        <v>20190303154001741</v>
      </c>
      <c r="B7991" t="str">
        <f>"1551598801736665"</f>
        <v>1551598801736665</v>
      </c>
      <c r="C7991" t="s">
        <v>40</v>
      </c>
      <c r="D7991">
        <v>4.9328370000000001</v>
      </c>
      <c r="E7991">
        <v>0.54796869999999998</v>
      </c>
      <c r="F7991" t="s">
        <v>42</v>
      </c>
      <c r="G7991">
        <v>-304.3596</v>
      </c>
      <c r="H7991" s="1">
        <v>-1.6115139999999999E-6</v>
      </c>
      <c r="I7991">
        <v>-19.358339999999998</v>
      </c>
      <c r="J7991">
        <v>-301.6662</v>
      </c>
      <c r="K7991">
        <v>1.088749</v>
      </c>
      <c r="L7991">
        <v>-1.7052</v>
      </c>
      <c r="M7991">
        <v>-0.1113975</v>
      </c>
      <c r="N7991">
        <v>1.417497E-3</v>
      </c>
      <c r="O7991">
        <v>-0.99377499999999996</v>
      </c>
      <c r="P7991">
        <v>-1.7970320000000001E-2</v>
      </c>
      <c r="Q7991">
        <v>-2.633218E-2</v>
      </c>
      <c r="R7991">
        <v>-0.99949169999999998</v>
      </c>
      <c r="S7991">
        <v>-0.45410159999999999</v>
      </c>
      <c r="T7991">
        <v>-0.18207570000000001</v>
      </c>
      <c r="U7991">
        <v>-2.986542</v>
      </c>
      <c r="V7991">
        <v>-9.3385869999999996E-2</v>
      </c>
      <c r="W7991">
        <v>-2.806647E-2</v>
      </c>
      <c r="X7991">
        <v>0.99523430000000002</v>
      </c>
      <c r="Y7991">
        <v>3.8971220000000001E-2</v>
      </c>
      <c r="Z7991">
        <v>6.132348E-2</v>
      </c>
      <c r="AA7991">
        <v>0.99735680000000004</v>
      </c>
      <c r="AB7991">
        <v>19</v>
      </c>
      <c r="AC7991">
        <v>-2.6933999999999898</v>
      </c>
      <c r="AD7991">
        <v>-1.088750611514</v>
      </c>
      <c r="AE7991">
        <v>-17.653139999999901</v>
      </c>
      <c r="AF7991">
        <v>0.70748868201167903</v>
      </c>
      <c r="AG7991">
        <v>-1.088750611514</v>
      </c>
      <c r="AH7991">
        <v>17.777221749622498</v>
      </c>
      <c r="AI7991">
        <v>93.501887953943495</v>
      </c>
      <c r="AJ7991">
        <v>87.720974879255493</v>
      </c>
      <c r="AK7991">
        <v>17.8245766082816</v>
      </c>
      <c r="AL7991">
        <v>91.608301507018794</v>
      </c>
      <c r="AM7991">
        <v>95.360541972793897</v>
      </c>
      <c r="AN7991">
        <v>0.99999997967520304</v>
      </c>
    </row>
    <row r="7992" spans="1:40" x14ac:dyDescent="0.25">
      <c r="A7992" t="str">
        <f>"20190303154001764"</f>
        <v>20190303154001764</v>
      </c>
      <c r="B7992" t="str">
        <f>"1551598801756185"</f>
        <v>1551598801756185</v>
      </c>
      <c r="C7992" t="s">
        <v>40</v>
      </c>
      <c r="D7992">
        <v>4.9713719999999997</v>
      </c>
      <c r="E7992">
        <v>0.54800599999999999</v>
      </c>
      <c r="F7992" t="s">
        <v>42</v>
      </c>
      <c r="G7992">
        <v>-304.32209999999998</v>
      </c>
      <c r="H7992" s="1">
        <v>-1.434783E-6</v>
      </c>
      <c r="I7992">
        <v>-19.747019999999999</v>
      </c>
      <c r="J7992">
        <v>-301.68529999999998</v>
      </c>
      <c r="K7992">
        <v>1.090314</v>
      </c>
      <c r="L7992">
        <v>-1.8955690000000001</v>
      </c>
      <c r="M7992">
        <v>-0.10791580000000001</v>
      </c>
      <c r="N7992">
        <v>1.280427E-3</v>
      </c>
      <c r="O7992">
        <v>-0.99415920000000002</v>
      </c>
      <c r="P7992">
        <v>-1.274923E-2</v>
      </c>
      <c r="Q7992">
        <v>-2.7141040000000002E-2</v>
      </c>
      <c r="R7992">
        <v>-0.99955050000000001</v>
      </c>
      <c r="S7992">
        <v>-0.43997190000000003</v>
      </c>
      <c r="T7992">
        <v>-0.18036559999999999</v>
      </c>
      <c r="U7992">
        <v>-2.988861</v>
      </c>
      <c r="V7992">
        <v>-9.5080319999999996E-2</v>
      </c>
      <c r="W7992">
        <v>-2.8788069999999999E-2</v>
      </c>
      <c r="X7992">
        <v>0.99505319999999997</v>
      </c>
      <c r="Y7992">
        <v>3.7750499999999999E-2</v>
      </c>
      <c r="Z7992">
        <v>6.0638579999999997E-2</v>
      </c>
      <c r="AA7992">
        <v>0.99744560000000004</v>
      </c>
      <c r="AB7992">
        <v>19</v>
      </c>
      <c r="AC7992">
        <v>-2.6367999999999898</v>
      </c>
      <c r="AD7992">
        <v>-1.090315434783</v>
      </c>
      <c r="AE7992">
        <v>-17.851451000000001</v>
      </c>
      <c r="AF7992">
        <v>0.69241808555766005</v>
      </c>
      <c r="AG7992">
        <v>-1.090315434783</v>
      </c>
      <c r="AH7992">
        <v>17.966161404453398</v>
      </c>
      <c r="AI7992">
        <v>93.4702892528436</v>
      </c>
      <c r="AJ7992">
        <v>87.792905891802704</v>
      </c>
      <c r="AK7992">
        <v>18.0125285888296</v>
      </c>
      <c r="AL7992">
        <v>91.649662915235496</v>
      </c>
      <c r="AM7992">
        <v>95.458212121293002</v>
      </c>
      <c r="AN7992">
        <v>0.99999994552793203</v>
      </c>
    </row>
    <row r="7993" spans="1:40" x14ac:dyDescent="0.25">
      <c r="A7993" t="str">
        <f>"20190303154001786"</f>
        <v>20190303154001786</v>
      </c>
      <c r="B7993" t="str">
        <f>"1551598801776681"</f>
        <v>1551598801776681</v>
      </c>
      <c r="C7993" t="s">
        <v>40</v>
      </c>
      <c r="D7993">
        <v>4.978091</v>
      </c>
      <c r="E7993">
        <v>0.54796540000000005</v>
      </c>
      <c r="F7993" t="s">
        <v>42</v>
      </c>
      <c r="G7993">
        <v>-304.20249999999999</v>
      </c>
      <c r="H7993" s="1">
        <v>-1.458243E-6</v>
      </c>
      <c r="I7993">
        <v>-19.61815</v>
      </c>
      <c r="J7993">
        <v>-301.70260000000002</v>
      </c>
      <c r="K7993">
        <v>1.0924199999999999</v>
      </c>
      <c r="L7993">
        <v>-2.0752259999999998</v>
      </c>
      <c r="M7993">
        <v>-0.1052675</v>
      </c>
      <c r="N7993">
        <v>5.7255439999999999E-4</v>
      </c>
      <c r="O7993">
        <v>-0.99444379999999999</v>
      </c>
      <c r="P7993">
        <v>-8.4064710000000004E-3</v>
      </c>
      <c r="Q7993">
        <v>-2.9440600000000001E-2</v>
      </c>
      <c r="R7993">
        <v>-0.99953119999999995</v>
      </c>
      <c r="S7993">
        <v>-0.42480469999999998</v>
      </c>
      <c r="T7993">
        <v>-0.18400610000000001</v>
      </c>
      <c r="U7993">
        <v>-2.990936</v>
      </c>
      <c r="V7993">
        <v>-9.6706089999999995E-2</v>
      </c>
      <c r="W7993">
        <v>-3.0497119999999999E-2</v>
      </c>
      <c r="X7993">
        <v>0.9948456</v>
      </c>
      <c r="Y7993">
        <v>3.5352689999999999E-2</v>
      </c>
      <c r="Z7993">
        <v>6.1140630000000001E-2</v>
      </c>
      <c r="AA7993">
        <v>0.99750289999999997</v>
      </c>
      <c r="AB7993">
        <v>19</v>
      </c>
      <c r="AC7993">
        <v>-2.4998999999999598</v>
      </c>
      <c r="AD7993">
        <v>-1.0924214582430001</v>
      </c>
      <c r="AE7993">
        <v>-17.542923999999999</v>
      </c>
      <c r="AF7993">
        <v>0.63688986600388198</v>
      </c>
      <c r="AG7993">
        <v>-1.0924214582430001</v>
      </c>
      <c r="AH7993">
        <v>17.641565191347201</v>
      </c>
      <c r="AI7993">
        <v>93.541110290492298</v>
      </c>
      <c r="AJ7993">
        <v>87.932424928911502</v>
      </c>
      <c r="AK7993">
        <v>17.686826615998701</v>
      </c>
      <c r="AL7993">
        <v>91.747627317256899</v>
      </c>
      <c r="AM7993">
        <v>95.552114660896393</v>
      </c>
      <c r="AN7993">
        <v>0.99999995500536998</v>
      </c>
    </row>
    <row r="7994" spans="1:40" x14ac:dyDescent="0.25">
      <c r="A7994" t="str">
        <f>"20190303154001808"</f>
        <v>20190303154001808</v>
      </c>
      <c r="B7994" t="str">
        <f>"1551598801796202"</f>
        <v>1551598801796202</v>
      </c>
      <c r="C7994" t="s">
        <v>40</v>
      </c>
      <c r="D7994">
        <v>4.9877989999999999</v>
      </c>
      <c r="E7994">
        <v>0.5479503</v>
      </c>
      <c r="F7994" t="s">
        <v>42</v>
      </c>
      <c r="G7994">
        <v>-304.05250000000001</v>
      </c>
      <c r="H7994" s="1">
        <v>-1.6075129999999901E-6</v>
      </c>
      <c r="I7994">
        <v>-19.177219999999998</v>
      </c>
      <c r="J7994">
        <v>-301.71949999999998</v>
      </c>
      <c r="K7994">
        <v>1.094795</v>
      </c>
      <c r="L7994">
        <v>-2.2614749999999999</v>
      </c>
      <c r="M7994">
        <v>-0.103521699999999</v>
      </c>
      <c r="N7994" s="1">
        <v>-8.4785309999999895E-5</v>
      </c>
      <c r="O7994">
        <v>-0.99462729999999999</v>
      </c>
      <c r="P7994">
        <v>-5.9529609999999997E-3</v>
      </c>
      <c r="Q7994">
        <v>-3.0961320000000001E-2</v>
      </c>
      <c r="R7994">
        <v>-0.99950280000000002</v>
      </c>
      <c r="S7994">
        <v>-0.41116330000000001</v>
      </c>
      <c r="T7994">
        <v>-0.19113930000000001</v>
      </c>
      <c r="U7994">
        <v>-2.9923099999999998</v>
      </c>
      <c r="V7994">
        <v>-9.7360639999999998E-2</v>
      </c>
      <c r="W7994">
        <v>-3.1466689999999999E-2</v>
      </c>
      <c r="X7994">
        <v>0.99475159999999996</v>
      </c>
      <c r="Y7994">
        <v>3.2567680000000002E-2</v>
      </c>
      <c r="Z7994">
        <v>6.2839839999999994E-2</v>
      </c>
      <c r="AA7994">
        <v>0.99749209999999999</v>
      </c>
      <c r="AB7994">
        <v>19</v>
      </c>
      <c r="AC7994">
        <v>-2.3330000000000202</v>
      </c>
      <c r="AD7994">
        <v>-1.094796607513</v>
      </c>
      <c r="AE7994">
        <v>-16.915745000000001</v>
      </c>
      <c r="AF7994">
        <v>0.56698811249221004</v>
      </c>
      <c r="AG7994">
        <v>-1.094796607513</v>
      </c>
      <c r="AH7994">
        <v>16.996510908891199</v>
      </c>
      <c r="AI7994">
        <v>93.683459443618702</v>
      </c>
      <c r="AJ7994">
        <v>88.089373540721098</v>
      </c>
      <c r="AK7994">
        <v>17.041168921396999</v>
      </c>
      <c r="AL7994">
        <v>91.803206197409693</v>
      </c>
      <c r="AM7994">
        <v>95.5899815092219</v>
      </c>
      <c r="AN7994">
        <v>0.99999999625166203</v>
      </c>
    </row>
    <row r="7995" spans="1:40" x14ac:dyDescent="0.25">
      <c r="A7995" t="str">
        <f>"20190303154001832"</f>
        <v>20190303154001832</v>
      </c>
      <c r="B7995" t="str">
        <f>"1551598801826461"</f>
        <v>1551598801826461</v>
      </c>
      <c r="C7995" t="s">
        <v>40</v>
      </c>
      <c r="D7995">
        <v>4.9724329999999997</v>
      </c>
      <c r="E7995">
        <v>0.5480602</v>
      </c>
      <c r="F7995" t="s">
        <v>42</v>
      </c>
      <c r="G7995">
        <v>-303.97300000000001</v>
      </c>
      <c r="H7995" s="1">
        <v>-1.6706309999999999E-6</v>
      </c>
      <c r="I7995">
        <v>-18.980730000000001</v>
      </c>
      <c r="J7995">
        <v>-301.73579999999998</v>
      </c>
      <c r="K7995">
        <v>1.0970439999999999</v>
      </c>
      <c r="L7995">
        <v>-2.45343</v>
      </c>
      <c r="M7995">
        <v>-0.10158590000000001</v>
      </c>
      <c r="N7995">
        <v>-4.6944830000000002E-4</v>
      </c>
      <c r="O7995">
        <v>-0.99482689999999996</v>
      </c>
      <c r="P7995">
        <v>-4.194443E-3</v>
      </c>
      <c r="Q7995">
        <v>-3.1057649999999999E-2</v>
      </c>
      <c r="R7995">
        <v>-0.99950890000000003</v>
      </c>
      <c r="S7995">
        <v>-0.40341189999999999</v>
      </c>
      <c r="T7995">
        <v>-0.19598589999999999</v>
      </c>
      <c r="U7995">
        <v>-2.9930110000000001</v>
      </c>
      <c r="V7995">
        <v>-9.7171720000000003E-2</v>
      </c>
      <c r="W7995">
        <v>-3.1194590000000001E-2</v>
      </c>
      <c r="X7995">
        <v>0.99477859999999996</v>
      </c>
      <c r="Y7995">
        <v>3.1933900000000001E-2</v>
      </c>
      <c r="Z7995">
        <v>6.4063739999999994E-2</v>
      </c>
      <c r="AA7995">
        <v>0.99743470000000001</v>
      </c>
      <c r="AB7995">
        <v>19</v>
      </c>
      <c r="AC7995">
        <v>-2.2372000000000298</v>
      </c>
      <c r="AD7995">
        <v>-1.0970456706309999</v>
      </c>
      <c r="AE7995">
        <v>-16.527299999999901</v>
      </c>
      <c r="AF7995">
        <v>0.54433085255196001</v>
      </c>
      <c r="AG7995">
        <v>-1.0970456706309999</v>
      </c>
      <c r="AH7995">
        <v>16.5972566043414</v>
      </c>
      <c r="AI7995">
        <v>93.779610037589194</v>
      </c>
      <c r="AJ7995">
        <v>88.121575962078197</v>
      </c>
      <c r="AK7995">
        <v>16.642377596690999</v>
      </c>
      <c r="AL7995">
        <v>91.787608433317999</v>
      </c>
      <c r="AM7995">
        <v>95.579052656689598</v>
      </c>
      <c r="AN7995">
        <v>0.99999995431549205</v>
      </c>
    </row>
    <row r="7996" spans="1:40" x14ac:dyDescent="0.25">
      <c r="A7996" t="str">
        <f>"20190303154001854"</f>
        <v>20190303154001854</v>
      </c>
      <c r="B7996" t="str">
        <f>"1551598801845977"</f>
        <v>1551598801845977</v>
      </c>
      <c r="C7996" t="s">
        <v>40</v>
      </c>
      <c r="D7996">
        <v>5.0035119999999997</v>
      </c>
      <c r="E7996">
        <v>0.54809049999999904</v>
      </c>
      <c r="F7996" t="s">
        <v>42</v>
      </c>
      <c r="G7996">
        <v>-303.97210000000001</v>
      </c>
      <c r="H7996" s="1">
        <v>-1.5616940000000001E-6</v>
      </c>
      <c r="I7996">
        <v>-19.23415</v>
      </c>
      <c r="J7996">
        <v>-301.7516</v>
      </c>
      <c r="K7996">
        <v>1.099159</v>
      </c>
      <c r="L7996">
        <v>-2.6433409999999999</v>
      </c>
      <c r="M7996">
        <v>-9.9026210000000003E-2</v>
      </c>
      <c r="N7996">
        <v>-9.2376260000000005E-4</v>
      </c>
      <c r="O7996">
        <v>-0.99508450000000004</v>
      </c>
      <c r="P7996">
        <v>-2.791473E-3</v>
      </c>
      <c r="Q7996">
        <v>-3.0606209999999998E-2</v>
      </c>
      <c r="R7996">
        <v>-0.99952790000000002</v>
      </c>
      <c r="S7996">
        <v>-0.39895629999999999</v>
      </c>
      <c r="T7996">
        <v>-0.1957151</v>
      </c>
      <c r="U7996">
        <v>-2.9937130000000001</v>
      </c>
      <c r="V7996">
        <v>-9.6031320000000003E-2</v>
      </c>
      <c r="W7996">
        <v>-3.0233989999999999E-2</v>
      </c>
      <c r="X7996">
        <v>0.99491909999999895</v>
      </c>
      <c r="Y7996">
        <v>3.3019939999999998E-2</v>
      </c>
      <c r="Z7996">
        <v>6.3539680000000001E-2</v>
      </c>
      <c r="AA7996">
        <v>0.99743289999999996</v>
      </c>
      <c r="AB7996">
        <v>19</v>
      </c>
      <c r="AC7996">
        <v>-2.2205000000000101</v>
      </c>
      <c r="AD7996">
        <v>-1.0991605616939999</v>
      </c>
      <c r="AE7996">
        <v>-16.590809</v>
      </c>
      <c r="AF7996">
        <v>0.56422744339734499</v>
      </c>
      <c r="AG7996">
        <v>-1.0991605616939999</v>
      </c>
      <c r="AH7996">
        <v>16.657323982654798</v>
      </c>
      <c r="AI7996">
        <v>93.773124195495001</v>
      </c>
      <c r="AJ7996">
        <v>88.0599827507789</v>
      </c>
      <c r="AK7996">
        <v>16.703082015346599</v>
      </c>
      <c r="AL7996">
        <v>91.732543937078901</v>
      </c>
      <c r="AM7996">
        <v>95.513209335605296</v>
      </c>
      <c r="AN7996">
        <v>1.0000000620585301</v>
      </c>
    </row>
    <row r="7997" spans="1:40" x14ac:dyDescent="0.25">
      <c r="A7997" t="str">
        <f>"20190303154001877"</f>
        <v>20190303154001877</v>
      </c>
      <c r="B7997" t="str">
        <f>"1551598801866474"</f>
        <v>1551598801866474</v>
      </c>
      <c r="C7997" t="s">
        <v>40</v>
      </c>
      <c r="D7997">
        <v>4.9948899999999998</v>
      </c>
      <c r="E7997">
        <v>0.5481201</v>
      </c>
      <c r="F7997" t="s">
        <v>42</v>
      </c>
      <c r="G7997">
        <v>-303.9753</v>
      </c>
      <c r="H7997" s="1">
        <v>-1.451431E-6</v>
      </c>
      <c r="I7997">
        <v>-19.49314</v>
      </c>
      <c r="J7997">
        <v>-301.76679999999999</v>
      </c>
      <c r="K7997">
        <v>1.1012919999999999</v>
      </c>
      <c r="L7997">
        <v>-2.8317570000000001</v>
      </c>
      <c r="M7997">
        <v>-9.589752E-2</v>
      </c>
      <c r="N7997">
        <v>-1.6735400000000001E-3</v>
      </c>
      <c r="O7997">
        <v>-0.99538990000000005</v>
      </c>
      <c r="P7997">
        <v>-2.088169E-3</v>
      </c>
      <c r="Q7997">
        <v>-3.076361E-2</v>
      </c>
      <c r="R7997">
        <v>-0.99952479999999999</v>
      </c>
      <c r="S7997">
        <v>-0.39517210000000003</v>
      </c>
      <c r="T7997">
        <v>-0.19532840000000001</v>
      </c>
      <c r="U7997">
        <v>-2.9943240000000002</v>
      </c>
      <c r="V7997">
        <v>-9.3628119999999995E-2</v>
      </c>
      <c r="W7997">
        <v>-2.9561879999999999E-2</v>
      </c>
      <c r="X7997">
        <v>0.99516830000000001</v>
      </c>
      <c r="Y7997">
        <v>3.4902559999999999E-2</v>
      </c>
      <c r="Z7997">
        <v>6.2688949999999993E-2</v>
      </c>
      <c r="AA7997">
        <v>0.99742260000000005</v>
      </c>
      <c r="AB7997">
        <v>19</v>
      </c>
      <c r="AC7997">
        <v>-2.2085000000000101</v>
      </c>
      <c r="AD7997">
        <v>-1.101293451431</v>
      </c>
      <c r="AE7997">
        <v>-16.661382999999901</v>
      </c>
      <c r="AF7997">
        <v>0.59796665064321197</v>
      </c>
      <c r="AG7997">
        <v>-1.101293451431</v>
      </c>
      <c r="AH7997">
        <v>16.724575644650301</v>
      </c>
      <c r="AI7997">
        <v>93.765021303360697</v>
      </c>
      <c r="AJ7997">
        <v>87.952332045864594</v>
      </c>
      <c r="AK7997">
        <v>16.771459145675902</v>
      </c>
      <c r="AL7997">
        <v>91.694017691135798</v>
      </c>
      <c r="AM7997">
        <v>95.374720648381199</v>
      </c>
      <c r="AN7997">
        <v>1.0000000374643701</v>
      </c>
    </row>
    <row r="7998" spans="1:40" x14ac:dyDescent="0.25">
      <c r="A7998" t="str">
        <f>"20190303154001897"</f>
        <v>20190303154001897</v>
      </c>
      <c r="B7998" t="str">
        <f>"1551598801885994"</f>
        <v>1551598801885994</v>
      </c>
      <c r="C7998" t="s">
        <v>40</v>
      </c>
      <c r="D7998">
        <v>5.0089069999999998</v>
      </c>
      <c r="E7998">
        <v>0.529918</v>
      </c>
      <c r="F7998" t="s">
        <v>42</v>
      </c>
      <c r="G7998">
        <v>-303.97019999999998</v>
      </c>
      <c r="H7998" s="1">
        <v>-1.4009030000000001E-6</v>
      </c>
      <c r="I7998">
        <v>-19.607769999999999</v>
      </c>
      <c r="J7998">
        <v>-301.78120000000001</v>
      </c>
      <c r="K7998">
        <v>1.10344</v>
      </c>
      <c r="L7998">
        <v>-3.0130309999999998</v>
      </c>
      <c r="M7998">
        <v>-9.2692839999999999E-2</v>
      </c>
      <c r="N7998">
        <v>-2.6302280000000001E-3</v>
      </c>
      <c r="O7998">
        <v>-0.9956912</v>
      </c>
      <c r="P7998">
        <v>-1.8961480000000001E-3</v>
      </c>
      <c r="Q7998">
        <v>-3.2145960000000001E-2</v>
      </c>
      <c r="R7998">
        <v>-0.99948139999999996</v>
      </c>
      <c r="S7998">
        <v>-0.39331050000000001</v>
      </c>
      <c r="T7998">
        <v>-0.19658410000000001</v>
      </c>
      <c r="U7998">
        <v>-2.9945680000000001</v>
      </c>
      <c r="V7998">
        <v>-9.0626250000000005E-2</v>
      </c>
      <c r="W7998">
        <v>-2.992703E-2</v>
      </c>
      <c r="X7998">
        <v>0.99543519999999996</v>
      </c>
      <c r="Y7998">
        <v>3.7502099999999997E-2</v>
      </c>
      <c r="Z7998">
        <v>6.2175420000000002E-2</v>
      </c>
      <c r="AA7998">
        <v>0.99736040000000004</v>
      </c>
      <c r="AB7998">
        <v>19</v>
      </c>
      <c r="AC7998">
        <v>-2.1889999999999601</v>
      </c>
      <c r="AD7998">
        <v>-1.103441400903</v>
      </c>
      <c r="AE7998">
        <v>-16.594739000000001</v>
      </c>
      <c r="AF7998">
        <v>0.63858169349900396</v>
      </c>
      <c r="AG7998">
        <v>-1.103441400903</v>
      </c>
      <c r="AH7998">
        <v>16.653825792980498</v>
      </c>
      <c r="AI7998">
        <v>93.787960678875393</v>
      </c>
      <c r="AJ7998">
        <v>87.804100966569706</v>
      </c>
      <c r="AK7998">
        <v>16.702553189481002</v>
      </c>
      <c r="AL7998">
        <v>91.714948585447104</v>
      </c>
      <c r="AM7998">
        <v>95.201972310000201</v>
      </c>
      <c r="AN7998">
        <v>0.99999999085636104</v>
      </c>
    </row>
    <row r="7999" spans="1:40" x14ac:dyDescent="0.25">
      <c r="A7999" t="str">
        <f>"20190303154001921"</f>
        <v>20190303154001921</v>
      </c>
      <c r="B7999" t="str">
        <f>"1551598801916249"</f>
        <v>1551598801916249</v>
      </c>
      <c r="C7999" t="s">
        <v>40</v>
      </c>
      <c r="D7999">
        <v>5.0471430000000002</v>
      </c>
      <c r="E7999">
        <v>0.5096965</v>
      </c>
      <c r="F7999" t="s">
        <v>42</v>
      </c>
      <c r="G7999">
        <v>-303.36779999999999</v>
      </c>
      <c r="H7999" s="1">
        <v>-4.2504879999999999E-6</v>
      </c>
      <c r="I7999">
        <v>-22.27843</v>
      </c>
      <c r="J7999">
        <v>-301.79570000000001</v>
      </c>
      <c r="K7999">
        <v>1.1057399999999999</v>
      </c>
      <c r="L7999">
        <v>-3.2035520000000002</v>
      </c>
      <c r="M7999">
        <v>-8.9531159999999999E-2</v>
      </c>
      <c r="N7999">
        <v>-3.687091E-3</v>
      </c>
      <c r="O7999">
        <v>-0.99597740000000001</v>
      </c>
      <c r="P7999">
        <v>-2.2630329999999998E-3</v>
      </c>
      <c r="Q7999">
        <v>-3.4296439999999997E-2</v>
      </c>
      <c r="R7999">
        <v>-0.9994094</v>
      </c>
      <c r="S7999">
        <v>-0.24670410000000001</v>
      </c>
      <c r="T7999">
        <v>-0.17157439999999999</v>
      </c>
      <c r="U7999">
        <v>-2.9955750000000001</v>
      </c>
      <c r="V7999">
        <v>-8.7096610000000005E-2</v>
      </c>
      <c r="W7999">
        <v>-3.0989099999999901E-2</v>
      </c>
      <c r="X7999">
        <v>0.99571779999999999</v>
      </c>
      <c r="Y7999">
        <v>-7.5963089999999999E-3</v>
      </c>
      <c r="Z7999">
        <v>5.3074040000000003E-2</v>
      </c>
      <c r="AA7999">
        <v>0.9985617</v>
      </c>
      <c r="AB7999">
        <v>19</v>
      </c>
      <c r="AC7999">
        <v>-1.5720999999999701</v>
      </c>
      <c r="AD7999">
        <v>-1.105744250488</v>
      </c>
      <c r="AE7999">
        <v>-19.074877999999998</v>
      </c>
      <c r="AF7999">
        <v>-0.14154837588681701</v>
      </c>
      <c r="AG7999">
        <v>-1.105744250488</v>
      </c>
      <c r="AH7999">
        <v>19.075357949706198</v>
      </c>
      <c r="AI7999">
        <v>93.317469704177199</v>
      </c>
      <c r="AJ7999">
        <v>90.425154573983207</v>
      </c>
      <c r="AK7999">
        <v>19.107903788736799</v>
      </c>
      <c r="AL7999">
        <v>91.775828874934007</v>
      </c>
      <c r="AM7999">
        <v>94.999005823389098</v>
      </c>
      <c r="AN7999">
        <v>1.0000000405145699</v>
      </c>
    </row>
    <row r="8000" spans="1:40" x14ac:dyDescent="0.25">
      <c r="A8000" t="str">
        <f>"20190303154001943"</f>
        <v>20190303154001943</v>
      </c>
      <c r="B8000" t="str">
        <f>"1551598801936749"</f>
        <v>1551598801936749</v>
      </c>
      <c r="C8000" t="s">
        <v>40</v>
      </c>
      <c r="D8000">
        <v>4.994586</v>
      </c>
      <c r="E8000">
        <v>0.50590779999999902</v>
      </c>
      <c r="F8000" t="s">
        <v>42</v>
      </c>
      <c r="G8000">
        <v>-302.29899999999998</v>
      </c>
      <c r="H8000" s="1">
        <v>-4.6384450000000001E-6</v>
      </c>
      <c r="I8000">
        <v>-20.581240000000001</v>
      </c>
      <c r="J8000">
        <v>-301.80930000000001</v>
      </c>
      <c r="K8000">
        <v>1.107944</v>
      </c>
      <c r="L8000">
        <v>-3.391235</v>
      </c>
      <c r="M8000">
        <v>-8.6748980000000003E-2</v>
      </c>
      <c r="N8000">
        <v>-4.6749679999999998E-3</v>
      </c>
      <c r="O8000">
        <v>-0.99621950000000004</v>
      </c>
      <c r="P8000">
        <v>-2.7953240000000001E-3</v>
      </c>
      <c r="Q8000">
        <v>-3.6073819999999999E-2</v>
      </c>
      <c r="R8000">
        <v>-0.99934540000000005</v>
      </c>
      <c r="S8000">
        <v>-8.6730959999999996E-2</v>
      </c>
      <c r="T8000">
        <v>-0.19057389999999999</v>
      </c>
      <c r="U8000">
        <v>-2.9950260000000002</v>
      </c>
      <c r="V8000">
        <v>-8.3775710000000003E-2</v>
      </c>
      <c r="W8000">
        <v>-3.1770489999999998E-2</v>
      </c>
      <c r="X8000">
        <v>0.99597809999999998</v>
      </c>
      <c r="Y8000">
        <v>-5.7916719999999998E-2</v>
      </c>
      <c r="Z8000">
        <v>5.8416280000000001E-2</v>
      </c>
      <c r="AA8000">
        <v>0.99661089999999997</v>
      </c>
      <c r="AB8000">
        <v>19</v>
      </c>
      <c r="AC8000">
        <v>-0.489700000000027</v>
      </c>
      <c r="AD8000">
        <v>-1.1079486384449999</v>
      </c>
      <c r="AE8000">
        <v>-17.190004999999999</v>
      </c>
      <c r="AF8000">
        <v>-0.99922977507321598</v>
      </c>
      <c r="AG8000">
        <v>-1.1079486384449999</v>
      </c>
      <c r="AH8000">
        <v>17.096716625399001</v>
      </c>
      <c r="AI8000">
        <v>93.701555459539605</v>
      </c>
      <c r="AJ8000">
        <v>93.344887486330606</v>
      </c>
      <c r="AK8000">
        <v>17.1616936721881</v>
      </c>
      <c r="AL8000">
        <v>91.820621256454899</v>
      </c>
      <c r="AM8000">
        <v>94.808059704647604</v>
      </c>
      <c r="AN8000">
        <v>1.0000000546502199</v>
      </c>
    </row>
    <row r="8001" spans="1:40" x14ac:dyDescent="0.25">
      <c r="A8001" t="str">
        <f>"20190303154001965"</f>
        <v>20190303154001965</v>
      </c>
      <c r="B8001" t="str">
        <f>"1551598801956266"</f>
        <v>1551598801956266</v>
      </c>
      <c r="C8001" t="s">
        <v>40</v>
      </c>
      <c r="D8001">
        <v>4.9701089999999999</v>
      </c>
      <c r="E8001">
        <v>0.50356319999999999</v>
      </c>
      <c r="F8001" t="s">
        <v>42</v>
      </c>
      <c r="G8001">
        <v>-302.14449999999999</v>
      </c>
      <c r="H8001" s="1">
        <v>-4.5470660000000004E-6</v>
      </c>
      <c r="I8001">
        <v>-20.76925</v>
      </c>
      <c r="J8001">
        <v>-301.82220000000001</v>
      </c>
      <c r="K8001">
        <v>1.109979</v>
      </c>
      <c r="L8001">
        <v>-3.5790099999999998</v>
      </c>
      <c r="M8001">
        <v>-8.4136370000000002E-2</v>
      </c>
      <c r="N8001">
        <v>-5.6123179999999998E-3</v>
      </c>
      <c r="O8001">
        <v>-0.9964385</v>
      </c>
      <c r="P8001">
        <v>-2.8169639999999999E-3</v>
      </c>
      <c r="Q8001">
        <v>-3.6461100000000003E-2</v>
      </c>
      <c r="R8001">
        <v>-0.99933130000000003</v>
      </c>
      <c r="S8001">
        <v>-5.776978E-2</v>
      </c>
      <c r="T8001">
        <v>-0.19094240000000001</v>
      </c>
      <c r="U8001">
        <v>-2.994904</v>
      </c>
      <c r="V8001">
        <v>-8.1141999999999895E-2</v>
      </c>
      <c r="W8001">
        <v>-3.1217100000000001E-2</v>
      </c>
      <c r="X8001">
        <v>0.99621360000000003</v>
      </c>
      <c r="Y8001">
        <v>-6.4923990000000001E-2</v>
      </c>
      <c r="Z8001">
        <v>5.7618170000000003E-2</v>
      </c>
      <c r="AA8001">
        <v>0.99622540000000004</v>
      </c>
      <c r="AB8001">
        <v>19</v>
      </c>
      <c r="AC8001">
        <v>-0.32229999999998399</v>
      </c>
      <c r="AD8001">
        <v>-1.109983547066</v>
      </c>
      <c r="AE8001">
        <v>-17.190239999999999</v>
      </c>
      <c r="AF8001">
        <v>-1.1205197164496401</v>
      </c>
      <c r="AG8001">
        <v>-1.109983547066</v>
      </c>
      <c r="AH8001">
        <v>17.085194096728699</v>
      </c>
      <c r="AI8001">
        <v>93.709197398290996</v>
      </c>
      <c r="AJ8001">
        <v>93.752327183099496</v>
      </c>
      <c r="AK8001">
        <v>17.1578403429045</v>
      </c>
      <c r="AL8001">
        <v>91.788898646923101</v>
      </c>
      <c r="AM8001">
        <v>94.656485229729597</v>
      </c>
      <c r="AN8001">
        <v>1.0000000341606801</v>
      </c>
    </row>
    <row r="8002" spans="1:40" x14ac:dyDescent="0.25">
      <c r="A8002" t="str">
        <f>"20190303154001987"</f>
        <v>20190303154001987</v>
      </c>
      <c r="B8002" t="str">
        <f>"1551598801976762"</f>
        <v>1551598801976762</v>
      </c>
      <c r="C8002" t="s">
        <v>40</v>
      </c>
      <c r="D8002">
        <v>5.0003380000000002</v>
      </c>
      <c r="E8002">
        <v>0.5017663</v>
      </c>
      <c r="F8002" t="s">
        <v>42</v>
      </c>
      <c r="G8002">
        <v>-302.05239999999998</v>
      </c>
      <c r="H8002" s="1">
        <v>-4.4253069999999998E-6</v>
      </c>
      <c r="I8002">
        <v>-21.079039999999999</v>
      </c>
      <c r="J8002">
        <v>-301.83409999999998</v>
      </c>
      <c r="K8002">
        <v>1.111726</v>
      </c>
      <c r="L8002">
        <v>-3.7622070000000001</v>
      </c>
      <c r="M8002">
        <v>-8.1531899999999893E-2</v>
      </c>
      <c r="N8002">
        <v>-6.4780360000000004E-3</v>
      </c>
      <c r="O8002">
        <v>-0.99664989999999998</v>
      </c>
      <c r="P8002">
        <v>-1.8378279999999999E-3</v>
      </c>
      <c r="Q8002">
        <v>-3.5845670000000003E-2</v>
      </c>
      <c r="R8002">
        <v>-0.99935600000000002</v>
      </c>
      <c r="S8002">
        <v>-3.939819E-2</v>
      </c>
      <c r="T8002">
        <v>-0.1899631</v>
      </c>
      <c r="U8002">
        <v>-2.9949650000000001</v>
      </c>
      <c r="V8002">
        <v>-7.9525180000000001E-2</v>
      </c>
      <c r="W8002">
        <v>-2.97259E-2</v>
      </c>
      <c r="X8002">
        <v>0.99638959999999999</v>
      </c>
      <c r="Y8002">
        <v>-6.8422010000000005E-2</v>
      </c>
      <c r="Z8002">
        <v>5.6444670000000002E-2</v>
      </c>
      <c r="AA8002">
        <v>0.99605849999999996</v>
      </c>
      <c r="AB8002">
        <v>19</v>
      </c>
      <c r="AC8002">
        <v>-0.21829999999999899</v>
      </c>
      <c r="AD8002">
        <v>-1.1117304253069999</v>
      </c>
      <c r="AE8002">
        <v>-17.316832999999999</v>
      </c>
      <c r="AF8002">
        <v>-1.1894288931696899</v>
      </c>
      <c r="AG8002">
        <v>-1.1117304253069999</v>
      </c>
      <c r="AH8002">
        <v>17.206072358088001</v>
      </c>
      <c r="AI8002">
        <v>93.688117515572003</v>
      </c>
      <c r="AJ8002">
        <v>93.9544765658502</v>
      </c>
      <c r="AK8002">
        <v>17.282928328909399</v>
      </c>
      <c r="AL8002">
        <v>91.703419439402296</v>
      </c>
      <c r="AM8002">
        <v>94.563294174224893</v>
      </c>
      <c r="AN8002">
        <v>1.0000000591864899</v>
      </c>
    </row>
    <row r="8003" spans="1:40" x14ac:dyDescent="0.25">
      <c r="A8003" t="str">
        <f>"20190303154002009"</f>
        <v>20190303154002009</v>
      </c>
      <c r="B8003" t="str">
        <f>"1551598802006041"</f>
        <v>1551598802006041</v>
      </c>
      <c r="C8003" t="s">
        <v>40</v>
      </c>
      <c r="D8003">
        <v>5.0301489999999998</v>
      </c>
      <c r="E8003">
        <v>0.50008770000000002</v>
      </c>
      <c r="F8003" t="s">
        <v>42</v>
      </c>
      <c r="G8003">
        <v>-301.96199999999999</v>
      </c>
      <c r="H8003" s="1">
        <v>-4.3505839999999999E-6</v>
      </c>
      <c r="I8003">
        <v>-21.25151</v>
      </c>
      <c r="J8003">
        <v>-301.8458</v>
      </c>
      <c r="K8003">
        <v>1.113259</v>
      </c>
      <c r="L8003">
        <v>-3.9494630000000002</v>
      </c>
      <c r="M8003">
        <v>-7.8710210000000003E-2</v>
      </c>
      <c r="N8003">
        <v>-7.2856459999999998E-3</v>
      </c>
      <c r="O8003">
        <v>-0.99687079999999995</v>
      </c>
      <c r="P8003">
        <v>-6.0586919999999897E-4</v>
      </c>
      <c r="Q8003">
        <v>-3.5755719999999998E-2</v>
      </c>
      <c r="R8003">
        <v>-0.99936029999999998</v>
      </c>
      <c r="S8003">
        <v>-2.191162E-2</v>
      </c>
      <c r="T8003">
        <v>-0.19038450000000001</v>
      </c>
      <c r="U8003">
        <v>-2.9950559999999999</v>
      </c>
      <c r="V8003">
        <v>-7.7943620000000005E-2</v>
      </c>
      <c r="W8003">
        <v>-2.8807309999999999E-2</v>
      </c>
      <c r="X8003">
        <v>0.99654149999999997</v>
      </c>
      <c r="Y8003">
        <v>-7.1409959999999995E-2</v>
      </c>
      <c r="Z8003">
        <v>5.5790859999999998E-2</v>
      </c>
      <c r="AA8003">
        <v>0.99588560000000004</v>
      </c>
      <c r="AB8003">
        <v>19</v>
      </c>
      <c r="AC8003">
        <v>-0.116199999999992</v>
      </c>
      <c r="AD8003">
        <v>-1.1132633505839999</v>
      </c>
      <c r="AE8003">
        <v>-17.302047000000002</v>
      </c>
      <c r="AF8003">
        <v>-1.2409074490491701</v>
      </c>
      <c r="AG8003">
        <v>-1.1132633505839999</v>
      </c>
      <c r="AH8003">
        <v>17.186363156606301</v>
      </c>
      <c r="AI8003">
        <v>93.696615411573404</v>
      </c>
      <c r="AJ8003">
        <v>94.129762153386906</v>
      </c>
      <c r="AK8003">
        <v>17.267028845045001</v>
      </c>
      <c r="AL8003">
        <v>91.650765628575797</v>
      </c>
      <c r="AM8003">
        <v>94.472234451372401</v>
      </c>
      <c r="AN8003">
        <v>1.00000001511519</v>
      </c>
    </row>
    <row r="8004" spans="1:40" x14ac:dyDescent="0.25">
      <c r="A8004" t="str">
        <f>"20190303154002032"</f>
        <v>20190303154002032</v>
      </c>
      <c r="B8004" t="str">
        <f>"1551598802026541"</f>
        <v>1551598802026541</v>
      </c>
      <c r="C8004" t="s">
        <v>40</v>
      </c>
      <c r="D8004">
        <v>5.0220050000000001</v>
      </c>
      <c r="E8004">
        <v>0.49934899999999999</v>
      </c>
      <c r="F8004" t="s">
        <v>42</v>
      </c>
      <c r="G8004">
        <v>-301.8741</v>
      </c>
      <c r="H8004" s="1">
        <v>-4.2404229999999997E-6</v>
      </c>
      <c r="I8004">
        <v>-21.529409999999999</v>
      </c>
      <c r="J8004">
        <v>-301.85730000000001</v>
      </c>
      <c r="K8004">
        <v>1.1145879999999999</v>
      </c>
      <c r="L8004">
        <v>-4.1410519999999904</v>
      </c>
      <c r="M8004">
        <v>-7.5721949999999996E-2</v>
      </c>
      <c r="N8004">
        <v>-8.0057710000000001E-3</v>
      </c>
      <c r="O8004">
        <v>-0.99709700000000001</v>
      </c>
      <c r="P8004">
        <v>7.054556E-4</v>
      </c>
      <c r="Q8004">
        <v>-3.6919109999999998E-2</v>
      </c>
      <c r="R8004">
        <v>-0.99931809999999999</v>
      </c>
      <c r="S8004">
        <v>-4.8217770000000002E-3</v>
      </c>
      <c r="T8004">
        <v>-0.1896679</v>
      </c>
      <c r="U8004">
        <v>-2.995117</v>
      </c>
      <c r="V8004">
        <v>-7.626753E-2</v>
      </c>
      <c r="W8004">
        <v>-2.922667E-2</v>
      </c>
      <c r="X8004">
        <v>0.99665899999999996</v>
      </c>
      <c r="Y8004">
        <v>-7.4100079999999999E-2</v>
      </c>
      <c r="Z8004">
        <v>5.4848929999999997E-2</v>
      </c>
      <c r="AA8004">
        <v>0.99574130000000005</v>
      </c>
      <c r="AB8004">
        <v>19</v>
      </c>
      <c r="AC8004">
        <v>-1.6799999999989199E-2</v>
      </c>
      <c r="AD8004">
        <v>-1.114592240423</v>
      </c>
      <c r="AE8004">
        <v>-17.388358</v>
      </c>
      <c r="AF8004">
        <v>-1.2946511322873799</v>
      </c>
      <c r="AG8004">
        <v>-1.114592240423</v>
      </c>
      <c r="AH8004">
        <v>17.2687507567131</v>
      </c>
      <c r="AI8004">
        <v>93.682663266579098</v>
      </c>
      <c r="AJ8004">
        <v>94.287486588319794</v>
      </c>
      <c r="AK8004">
        <v>17.353045557314299</v>
      </c>
      <c r="AL8004">
        <v>91.674803252670202</v>
      </c>
      <c r="AM8004">
        <v>94.375927829517707</v>
      </c>
      <c r="AN8004">
        <v>1.0000000483262901</v>
      </c>
    </row>
    <row r="8005" spans="1:40" x14ac:dyDescent="0.25">
      <c r="A8005" t="str">
        <f>"20190303154002055"</f>
        <v>20190303154002055</v>
      </c>
      <c r="B8005" t="str">
        <f>"1551598802046058"</f>
        <v>1551598802046058</v>
      </c>
      <c r="C8005" t="s">
        <v>40</v>
      </c>
      <c r="D8005">
        <v>4.9935390000000002</v>
      </c>
      <c r="E8005">
        <v>0.49877179999999999</v>
      </c>
      <c r="F8005" t="s">
        <v>42</v>
      </c>
      <c r="G8005">
        <v>-301.82960000000003</v>
      </c>
      <c r="H8005" s="1">
        <v>-4.2912109999999998E-6</v>
      </c>
      <c r="I8005">
        <v>-21.356950000000001</v>
      </c>
      <c r="J8005">
        <v>-301.86799999999999</v>
      </c>
      <c r="K8005">
        <v>1.1157319999999999</v>
      </c>
      <c r="L8005">
        <v>-4.328735</v>
      </c>
      <c r="M8005">
        <v>-7.2824280000000005E-2</v>
      </c>
      <c r="N8005">
        <v>-8.6319329999999996E-3</v>
      </c>
      <c r="O8005">
        <v>-0.99730739999999996</v>
      </c>
      <c r="P8005">
        <v>1.63787E-3</v>
      </c>
      <c r="Q8005">
        <v>-3.8675000000000001E-2</v>
      </c>
      <c r="R8005">
        <v>-0.99925070000000005</v>
      </c>
      <c r="S8005">
        <v>4.8217770000000002E-3</v>
      </c>
      <c r="T8005">
        <v>-0.19389410000000001</v>
      </c>
      <c r="U8005">
        <v>-2.9948730000000001</v>
      </c>
      <c r="V8005">
        <v>-7.4298370000000002E-2</v>
      </c>
      <c r="W8005">
        <v>-3.0337019999999999E-2</v>
      </c>
      <c r="X8005">
        <v>0.99677450000000001</v>
      </c>
      <c r="Y8005">
        <v>-7.4406369999999999E-2</v>
      </c>
      <c r="Z8005">
        <v>5.564322E-2</v>
      </c>
      <c r="AA8005">
        <v>0.99567439999999996</v>
      </c>
      <c r="AB8005">
        <v>19</v>
      </c>
      <c r="AC8005">
        <v>3.8399999999967301E-2</v>
      </c>
      <c r="AD8005">
        <v>-1.115736291211</v>
      </c>
      <c r="AE8005">
        <v>-17.028214999999999</v>
      </c>
      <c r="AF8005">
        <v>-1.2729467360403599</v>
      </c>
      <c r="AG8005">
        <v>-1.115736291211</v>
      </c>
      <c r="AH8005">
        <v>16.9076135061174</v>
      </c>
      <c r="AI8005">
        <v>93.764859815640307</v>
      </c>
      <c r="AJ8005">
        <v>94.305583191695007</v>
      </c>
      <c r="AK8005">
        <v>16.992135102351401</v>
      </c>
      <c r="AL8005">
        <v>91.738449949705597</v>
      </c>
      <c r="AM8005">
        <v>94.262875129867993</v>
      </c>
      <c r="AN8005">
        <v>0.99999999320869304</v>
      </c>
    </row>
    <row r="8006" spans="1:40" x14ac:dyDescent="0.25">
      <c r="A8006" t="str">
        <f>"20190303154002080"</f>
        <v>20190303154002080</v>
      </c>
      <c r="B8006" t="str">
        <f>"1551598802076314"</f>
        <v>1551598802076314</v>
      </c>
      <c r="C8006" t="s">
        <v>40</v>
      </c>
      <c r="D8006">
        <v>5.0148149999999996</v>
      </c>
      <c r="E8006">
        <v>0.49816280000000002</v>
      </c>
      <c r="F8006" t="s">
        <v>42</v>
      </c>
      <c r="G8006">
        <v>-301.79919999999998</v>
      </c>
      <c r="H8006" s="1">
        <v>-4.4087940000000003E-6</v>
      </c>
      <c r="I8006">
        <v>-20.9956</v>
      </c>
      <c r="J8006">
        <v>-301.87920000000003</v>
      </c>
      <c r="K8006">
        <v>1.116843</v>
      </c>
      <c r="L8006">
        <v>-4.5332339999999904</v>
      </c>
      <c r="M8006">
        <v>-6.9750899999999894E-2</v>
      </c>
      <c r="N8006">
        <v>-9.2463030000000009E-3</v>
      </c>
      <c r="O8006">
        <v>-0.99752160000000001</v>
      </c>
      <c r="P8006">
        <v>2.6466419999999998E-3</v>
      </c>
      <c r="Q8006">
        <v>-4.0245200000000002E-2</v>
      </c>
      <c r="R8006">
        <v>-0.99918640000000003</v>
      </c>
      <c r="S8006">
        <v>1.235962E-2</v>
      </c>
      <c r="T8006">
        <v>-0.20046030000000001</v>
      </c>
      <c r="U8006">
        <v>-2.9944760000000001</v>
      </c>
      <c r="V8006">
        <v>-7.2229999999999905E-2</v>
      </c>
      <c r="W8006">
        <v>-3.1278559999999997E-2</v>
      </c>
      <c r="X8006">
        <v>0.99689740000000004</v>
      </c>
      <c r="Y8006">
        <v>-7.3837669999999994E-2</v>
      </c>
      <c r="Z8006">
        <v>5.7228729999999998E-2</v>
      </c>
      <c r="AA8006">
        <v>0.99562689999999998</v>
      </c>
      <c r="AB8006">
        <v>19</v>
      </c>
      <c r="AC8006">
        <v>8.00000000000409E-2</v>
      </c>
      <c r="AD8006">
        <v>-1.1168474087939999</v>
      </c>
      <c r="AE8006">
        <v>-16.462365999999999</v>
      </c>
      <c r="AF8006">
        <v>-1.22249254651873</v>
      </c>
      <c r="AG8006">
        <v>-1.1168474087939999</v>
      </c>
      <c r="AH8006">
        <v>16.341475688014999</v>
      </c>
      <c r="AI8006">
        <v>93.898901528458694</v>
      </c>
      <c r="AJ8006">
        <v>94.278281672791294</v>
      </c>
      <c r="AK8006">
        <v>16.425153388106001</v>
      </c>
      <c r="AL8006">
        <v>91.792421874324205</v>
      </c>
      <c r="AM8006">
        <v>94.144112490292699</v>
      </c>
      <c r="AN8006">
        <v>0.99999997367121596</v>
      </c>
    </row>
    <row r="8007" spans="1:40" x14ac:dyDescent="0.25">
      <c r="A8007" t="str">
        <f>"20190303154002100"</f>
        <v>20190303154002100</v>
      </c>
      <c r="B8007" t="str">
        <f>"1551598802096810"</f>
        <v>1551598802096810</v>
      </c>
      <c r="C8007" t="s">
        <v>40</v>
      </c>
      <c r="D8007">
        <v>5.0124930000000001</v>
      </c>
      <c r="E8007">
        <v>0.49771280000000001</v>
      </c>
      <c r="F8007" t="s">
        <v>42</v>
      </c>
      <c r="G8007">
        <v>-301.76949999999999</v>
      </c>
      <c r="H8007" s="1">
        <v>-4.4972129999999996E-6</v>
      </c>
      <c r="I8007">
        <v>-20.720269999999999</v>
      </c>
      <c r="J8007">
        <v>-301.88819999999998</v>
      </c>
      <c r="K8007">
        <v>1.1176809999999999</v>
      </c>
      <c r="L8007">
        <v>-4.707916</v>
      </c>
      <c r="M8007">
        <v>-6.7168610000000004E-2</v>
      </c>
      <c r="N8007">
        <v>-9.7201070000000004E-3</v>
      </c>
      <c r="O8007">
        <v>-0.99769430000000003</v>
      </c>
      <c r="P8007">
        <v>3.5019920000000002E-3</v>
      </c>
      <c r="Q8007">
        <v>-4.094238E-2</v>
      </c>
      <c r="R8007">
        <v>-0.99915520000000002</v>
      </c>
      <c r="S8007">
        <v>2.029419E-2</v>
      </c>
      <c r="T8007">
        <v>-0.20658090000000001</v>
      </c>
      <c r="U8007">
        <v>-2.9940799999999999</v>
      </c>
      <c r="V8007">
        <v>-7.050244E-2</v>
      </c>
      <c r="W8007">
        <v>-3.1492449999999998E-2</v>
      </c>
      <c r="X8007">
        <v>0.99701430000000002</v>
      </c>
      <c r="Y8007">
        <v>-7.3892650000000004E-2</v>
      </c>
      <c r="Z8007">
        <v>5.8802399999999998E-2</v>
      </c>
      <c r="AA8007">
        <v>0.9955311</v>
      </c>
      <c r="AB8007">
        <v>19</v>
      </c>
      <c r="AC8007">
        <v>0.11869999999998899</v>
      </c>
      <c r="AD8007">
        <v>-1.1176854972129999</v>
      </c>
      <c r="AE8007">
        <v>-16.012353999999998</v>
      </c>
      <c r="AF8007">
        <v>-1.1882212860716601</v>
      </c>
      <c r="AG8007">
        <v>-1.1176854972129999</v>
      </c>
      <c r="AH8007">
        <v>15.8907960585088</v>
      </c>
      <c r="AI8007">
        <v>94.0121318873787</v>
      </c>
      <c r="AJ8007">
        <v>94.2762870994693</v>
      </c>
      <c r="AK8007">
        <v>15.9743071858679</v>
      </c>
      <c r="AL8007">
        <v>91.804682967511098</v>
      </c>
      <c r="AM8007">
        <v>94.044856075356805</v>
      </c>
      <c r="AN8007">
        <v>0.99999994142872095</v>
      </c>
    </row>
    <row r="8008" spans="1:40" x14ac:dyDescent="0.25">
      <c r="A8008" t="str">
        <f>"20190303154002122"</f>
        <v>20190303154002122</v>
      </c>
      <c r="B8008" t="str">
        <f>"1551598802116331"</f>
        <v>1551598802116331</v>
      </c>
      <c r="C8008" t="s">
        <v>40</v>
      </c>
      <c r="D8008">
        <v>5.0206530000000003</v>
      </c>
      <c r="E8008">
        <v>0.49739909999999998</v>
      </c>
      <c r="F8008" t="s">
        <v>42</v>
      </c>
      <c r="G8008">
        <v>-301.74740000000003</v>
      </c>
      <c r="H8008" s="1">
        <v>-4.5074280000000002E-6</v>
      </c>
      <c r="I8008">
        <v>-20.678750000000001</v>
      </c>
      <c r="J8008">
        <v>-301.89699999999999</v>
      </c>
      <c r="K8008">
        <v>1.118417</v>
      </c>
      <c r="L8008">
        <v>-4.885834</v>
      </c>
      <c r="M8008">
        <v>-6.454849E-2</v>
      </c>
      <c r="N8008">
        <v>-1.0151469999999999E-2</v>
      </c>
      <c r="O8008">
        <v>-0.99786300000000006</v>
      </c>
      <c r="P8008">
        <v>3.761515E-3</v>
      </c>
      <c r="Q8008">
        <v>-4.1246310000000001E-2</v>
      </c>
      <c r="R8008">
        <v>-0.99914179999999997</v>
      </c>
      <c r="S8008">
        <v>2.6397710000000001E-2</v>
      </c>
      <c r="T8008">
        <v>-0.2095195</v>
      </c>
      <c r="U8008">
        <v>-2.9938660000000001</v>
      </c>
      <c r="V8008">
        <v>-6.8145919999999999E-2</v>
      </c>
      <c r="W8008">
        <v>-3.1352989999999997E-2</v>
      </c>
      <c r="X8008">
        <v>0.99718260000000003</v>
      </c>
      <c r="Y8008">
        <v>-7.3302220000000001E-2</v>
      </c>
      <c r="Z8008">
        <v>5.9365500000000002E-2</v>
      </c>
      <c r="AA8008">
        <v>0.99554129999999996</v>
      </c>
      <c r="AB8008">
        <v>19</v>
      </c>
      <c r="AC8008">
        <v>0.14959999999996301</v>
      </c>
      <c r="AD8008">
        <v>-1.118421507428</v>
      </c>
      <c r="AE8008">
        <v>-15.792916</v>
      </c>
      <c r="AF8008">
        <v>-1.1629176181901399</v>
      </c>
      <c r="AG8008">
        <v>-1.118421507428</v>
      </c>
      <c r="AH8008">
        <v>15.6717311886182</v>
      </c>
      <c r="AI8008">
        <v>94.070868825690695</v>
      </c>
      <c r="AJ8008">
        <v>94.243843678439106</v>
      </c>
      <c r="AK8008">
        <v>15.7545676711004</v>
      </c>
      <c r="AL8008">
        <v>91.796688431883993</v>
      </c>
      <c r="AM8008">
        <v>93.909426848935794</v>
      </c>
      <c r="AN8008">
        <v>1.0000000070686701</v>
      </c>
    </row>
    <row r="8009" spans="1:40" x14ac:dyDescent="0.25">
      <c r="A8009" t="str">
        <f>"20190303154002145"</f>
        <v>20190303154002145</v>
      </c>
      <c r="B8009" t="str">
        <f>"1551598802135850"</f>
        <v>1551598802135850</v>
      </c>
      <c r="C8009" t="s">
        <v>40</v>
      </c>
      <c r="D8009">
        <v>4.9900089999999997</v>
      </c>
      <c r="E8009">
        <v>0.49717109999999898</v>
      </c>
      <c r="F8009" t="s">
        <v>42</v>
      </c>
      <c r="G8009">
        <v>-301.73809999999997</v>
      </c>
      <c r="H8009" s="1">
        <v>-4.4663090000000004E-6</v>
      </c>
      <c r="I8009">
        <v>-20.794720000000002</v>
      </c>
      <c r="J8009">
        <v>-301.90609999999998</v>
      </c>
      <c r="K8009">
        <v>1.119092</v>
      </c>
      <c r="L8009">
        <v>-5.0794370000000004</v>
      </c>
      <c r="M8009">
        <v>-6.1701939999999997E-2</v>
      </c>
      <c r="N8009">
        <v>-1.056469E-2</v>
      </c>
      <c r="O8009">
        <v>-0.9980388</v>
      </c>
      <c r="P8009">
        <v>4.0958409999999898E-3</v>
      </c>
      <c r="Q8009">
        <v>-4.2333740000000002E-2</v>
      </c>
      <c r="R8009">
        <v>-0.99909539999999997</v>
      </c>
      <c r="S8009">
        <v>2.990723E-2</v>
      </c>
      <c r="T8009">
        <v>-0.2104675</v>
      </c>
      <c r="U8009">
        <v>-2.9937740000000002</v>
      </c>
      <c r="V8009">
        <v>-6.5633250000000004E-2</v>
      </c>
      <c r="W8009">
        <v>-3.2013729999999997E-2</v>
      </c>
      <c r="X8009">
        <v>0.9973301</v>
      </c>
      <c r="Y8009">
        <v>-7.1624160000000006E-2</v>
      </c>
      <c r="Z8009">
        <v>5.9290679999999998E-2</v>
      </c>
      <c r="AA8009">
        <v>0.99566790000000005</v>
      </c>
      <c r="AB8009">
        <v>19</v>
      </c>
      <c r="AC8009">
        <v>0.16800000000000601</v>
      </c>
      <c r="AD8009">
        <v>-1.1190964663089999</v>
      </c>
      <c r="AE8009">
        <v>-15.715282999999999</v>
      </c>
      <c r="AF8009">
        <v>-1.1316593860531801</v>
      </c>
      <c r="AG8009">
        <v>-1.1190964663089999</v>
      </c>
      <c r="AH8009">
        <v>15.5958923799608</v>
      </c>
      <c r="AI8009">
        <v>94.093546968199803</v>
      </c>
      <c r="AJ8009">
        <v>94.150186917527904</v>
      </c>
      <c r="AK8009">
        <v>15.676890284564401</v>
      </c>
      <c r="AL8009">
        <v>91.834565137873497</v>
      </c>
      <c r="AM8009">
        <v>93.765146154709797</v>
      </c>
      <c r="AN8009">
        <v>0.99999996539004199</v>
      </c>
    </row>
    <row r="8010" spans="1:40" x14ac:dyDescent="0.25">
      <c r="A8010" t="str">
        <f>"20190303154002166"</f>
        <v>20190303154002166</v>
      </c>
      <c r="B8010" t="str">
        <f>"1551598802156346"</f>
        <v>1551598802156346</v>
      </c>
      <c r="C8010" t="s">
        <v>40</v>
      </c>
      <c r="D8010">
        <v>4.9968700000000004</v>
      </c>
      <c r="E8010">
        <v>0.49700329999999898</v>
      </c>
      <c r="F8010" t="s">
        <v>42</v>
      </c>
      <c r="G8010">
        <v>-301.73430000000002</v>
      </c>
      <c r="H8010" s="1">
        <v>-4.4837339999999996E-6</v>
      </c>
      <c r="I8010">
        <v>-20.741530000000001</v>
      </c>
      <c r="J8010">
        <v>-301.91359999999997</v>
      </c>
      <c r="K8010">
        <v>1.119588</v>
      </c>
      <c r="L8010">
        <v>-5.2504269999999904</v>
      </c>
      <c r="M8010">
        <v>-5.9217640000000002E-2</v>
      </c>
      <c r="N8010">
        <v>-1.0884909999999999E-2</v>
      </c>
      <c r="O8010">
        <v>-0.99818569999999995</v>
      </c>
      <c r="P8010">
        <v>4.5380799999999999E-3</v>
      </c>
      <c r="Q8010">
        <v>-4.2222429999999998E-2</v>
      </c>
      <c r="R8010">
        <v>-0.99909829999999999</v>
      </c>
      <c r="S8010">
        <v>3.2836909999999997E-2</v>
      </c>
      <c r="T8010">
        <v>-0.21389530000000001</v>
      </c>
      <c r="U8010">
        <v>-2.9935299999999998</v>
      </c>
      <c r="V8010">
        <v>-6.3597639999999997E-2</v>
      </c>
      <c r="W8010">
        <v>-3.1569550000000002E-2</v>
      </c>
      <c r="X8010">
        <v>0.99747620000000004</v>
      </c>
      <c r="Y8010">
        <v>-7.0115490000000003E-2</v>
      </c>
      <c r="Z8010">
        <v>6.0128519999999998E-2</v>
      </c>
      <c r="AA8010">
        <v>0.99572499999999997</v>
      </c>
      <c r="AB8010">
        <v>19</v>
      </c>
      <c r="AC8010">
        <v>0.179299999999955</v>
      </c>
      <c r="AD8010">
        <v>-1.1195924837340001</v>
      </c>
      <c r="AE8010">
        <v>-15.491103000000001</v>
      </c>
      <c r="AF8010">
        <v>-1.0906898905887801</v>
      </c>
      <c r="AG8010">
        <v>-1.1195924837340001</v>
      </c>
      <c r="AH8010">
        <v>15.373007042479401</v>
      </c>
      <c r="AI8010">
        <v>94.1550019407577</v>
      </c>
      <c r="AJ8010">
        <v>94.058242362062003</v>
      </c>
      <c r="AK8010">
        <v>15.452263177126699</v>
      </c>
      <c r="AL8010">
        <v>91.809102504364105</v>
      </c>
      <c r="AM8010">
        <v>93.648157949988999</v>
      </c>
      <c r="AN8010">
        <v>1.0000000329336001</v>
      </c>
    </row>
    <row r="8011" spans="1:40" x14ac:dyDescent="0.25">
      <c r="A8011" t="str">
        <f>"20190303154002188"</f>
        <v>20190303154002188</v>
      </c>
      <c r="B8011" t="str">
        <f>"1551598802175866"</f>
        <v>1551598802175866</v>
      </c>
      <c r="C8011" t="s">
        <v>40</v>
      </c>
      <c r="D8011">
        <v>4.9881960000000003</v>
      </c>
      <c r="E8011">
        <v>0.49681500000000001</v>
      </c>
      <c r="F8011" t="s">
        <v>42</v>
      </c>
      <c r="G8011">
        <v>-301.72879999999998</v>
      </c>
      <c r="H8011" s="1">
        <v>-4.4160709999999998E-6</v>
      </c>
      <c r="I8011">
        <v>-20.93749</v>
      </c>
      <c r="J8011">
        <v>-301.92140000000001</v>
      </c>
      <c r="K8011">
        <v>1.1200330000000001</v>
      </c>
      <c r="L8011">
        <v>-5.434418</v>
      </c>
      <c r="M8011">
        <v>-5.6607320000000003E-2</v>
      </c>
      <c r="N8011">
        <v>-1.1190189999999999E-2</v>
      </c>
      <c r="O8011">
        <v>-0.99833380000000005</v>
      </c>
      <c r="P8011">
        <v>6.0134089999999999E-3</v>
      </c>
      <c r="Q8011">
        <v>-4.227185E-2</v>
      </c>
      <c r="R8011">
        <v>-0.99908799999999998</v>
      </c>
      <c r="S8011">
        <v>3.5278320000000002E-2</v>
      </c>
      <c r="T8011">
        <v>-0.21364949999999999</v>
      </c>
      <c r="U8011">
        <v>-2.9935299999999998</v>
      </c>
      <c r="V8011">
        <v>-6.246707E-2</v>
      </c>
      <c r="W8011">
        <v>-3.1303030000000003E-2</v>
      </c>
      <c r="X8011">
        <v>0.997556</v>
      </c>
      <c r="Y8011">
        <v>-6.8319249999999998E-2</v>
      </c>
      <c r="Z8011">
        <v>5.9762599999999999E-2</v>
      </c>
      <c r="AA8011">
        <v>0.99587199999999998</v>
      </c>
      <c r="AB8011">
        <v>19</v>
      </c>
      <c r="AC8011">
        <v>0.192600000000027</v>
      </c>
      <c r="AD8011">
        <v>-1.120037416071</v>
      </c>
      <c r="AE8011">
        <v>-15.503072</v>
      </c>
      <c r="AF8011">
        <v>-1.0643787705037</v>
      </c>
      <c r="AG8011">
        <v>-1.120037416071</v>
      </c>
      <c r="AH8011">
        <v>15.387006562636399</v>
      </c>
      <c r="AI8011">
        <v>94.153390795181807</v>
      </c>
      <c r="AJ8011">
        <v>93.9570672043141</v>
      </c>
      <c r="AK8011">
        <v>15.4643899633679</v>
      </c>
      <c r="AL8011">
        <v>91.793824552791804</v>
      </c>
      <c r="AM8011">
        <v>93.583189545401694</v>
      </c>
      <c r="AN8011">
        <v>0.99999999382878202</v>
      </c>
    </row>
    <row r="8012" spans="1:40" x14ac:dyDescent="0.25">
      <c r="A8012" t="str">
        <f>"20190303154002211"</f>
        <v>20190303154002211</v>
      </c>
      <c r="B8012" t="str">
        <f>"1551598802206122"</f>
        <v>1551598802206122</v>
      </c>
      <c r="C8012" t="s">
        <v>40</v>
      </c>
      <c r="D8012">
        <v>4.9801529999999996</v>
      </c>
      <c r="E8012">
        <v>0.4964134</v>
      </c>
      <c r="F8012" t="s">
        <v>42</v>
      </c>
      <c r="G8012">
        <v>-301.70639999999997</v>
      </c>
      <c r="H8012" s="1">
        <v>-4.3635860000000001E-6</v>
      </c>
      <c r="I8012">
        <v>-21.080069999999999</v>
      </c>
      <c r="J8012">
        <v>-301.9289</v>
      </c>
      <c r="K8012">
        <v>1.1203920000000001</v>
      </c>
      <c r="L8012">
        <v>-5.6211549999999999</v>
      </c>
      <c r="M8012">
        <v>-5.4058429999999998E-2</v>
      </c>
      <c r="N8012">
        <v>-1.1443129999999999E-2</v>
      </c>
      <c r="O8012">
        <v>-0.99847220000000003</v>
      </c>
      <c r="P8012">
        <v>7.797834E-3</v>
      </c>
      <c r="Q8012">
        <v>-4.2550749999999998E-2</v>
      </c>
      <c r="R8012">
        <v>-0.99906399999999995</v>
      </c>
      <c r="S8012">
        <v>4.1137699999999902E-2</v>
      </c>
      <c r="T8012">
        <v>-0.2142936</v>
      </c>
      <c r="U8012">
        <v>-2.993439</v>
      </c>
      <c r="V8012">
        <v>-6.1706419999999998E-2</v>
      </c>
      <c r="W8012">
        <v>-3.1318239999999997E-2</v>
      </c>
      <c r="X8012">
        <v>0.99760289999999996</v>
      </c>
      <c r="Y8012">
        <v>-6.7721180000000006E-2</v>
      </c>
      <c r="Z8012">
        <v>5.9740349999999998E-2</v>
      </c>
      <c r="AA8012">
        <v>0.99591410000000002</v>
      </c>
      <c r="AB8012">
        <v>19</v>
      </c>
      <c r="AC8012">
        <v>0.22250000000002401</v>
      </c>
      <c r="AD8012">
        <v>-1.1203963635859999</v>
      </c>
      <c r="AE8012">
        <v>-15.458914999999999</v>
      </c>
      <c r="AF8012">
        <v>-1.05238724437328</v>
      </c>
      <c r="AG8012">
        <v>-1.1203963635859999</v>
      </c>
      <c r="AH8012">
        <v>15.343699152946799</v>
      </c>
      <c r="AI8012">
        <v>94.166569482617106</v>
      </c>
      <c r="AJ8012">
        <v>93.923634157625202</v>
      </c>
      <c r="AK8012">
        <v>15.420502930183501</v>
      </c>
      <c r="AL8012">
        <v>91.794696383693406</v>
      </c>
      <c r="AM8012">
        <v>93.539503334230403</v>
      </c>
      <c r="AN8012">
        <v>1.0000000302571601</v>
      </c>
    </row>
    <row r="8013" spans="1:40" x14ac:dyDescent="0.25">
      <c r="A8013" t="str">
        <f>"20190303154002234"</f>
        <v>20190303154002234</v>
      </c>
      <c r="B8013" t="str">
        <f>"1551598802226621"</f>
        <v>1551598802226621</v>
      </c>
      <c r="C8013" t="s">
        <v>40</v>
      </c>
      <c r="D8013">
        <v>5.0199639999999999</v>
      </c>
      <c r="E8013">
        <v>0.49627009999999999</v>
      </c>
      <c r="F8013" t="s">
        <v>42</v>
      </c>
      <c r="G8013">
        <v>-301.67169999999999</v>
      </c>
      <c r="H8013" s="1">
        <v>-4.3369720000000002E-6</v>
      </c>
      <c r="I8013">
        <v>-21.140160000000002</v>
      </c>
      <c r="J8013">
        <v>-301.93619999999999</v>
      </c>
      <c r="K8013">
        <v>1.120668</v>
      </c>
      <c r="L8013">
        <v>-5.8128970000000004</v>
      </c>
      <c r="M8013">
        <v>-5.1553660000000001E-2</v>
      </c>
      <c r="N8013">
        <v>-1.164463E-2</v>
      </c>
      <c r="O8013">
        <v>-0.99860260000000001</v>
      </c>
      <c r="P8013">
        <v>9.509768E-3</v>
      </c>
      <c r="Q8013">
        <v>-4.2904320000000003E-2</v>
      </c>
      <c r="R8013">
        <v>-0.99903419999999998</v>
      </c>
      <c r="S8013">
        <v>4.9621579999999998E-2</v>
      </c>
      <c r="T8013">
        <v>-0.21609619999999999</v>
      </c>
      <c r="U8013">
        <v>-2.9932249999999998</v>
      </c>
      <c r="V8013">
        <v>-6.0917430000000002E-2</v>
      </c>
      <c r="W8013">
        <v>-3.1458090000000001E-2</v>
      </c>
      <c r="X8013">
        <v>0.99764699999999995</v>
      </c>
      <c r="Y8013">
        <v>-6.8040290000000003E-2</v>
      </c>
      <c r="Z8013">
        <v>6.0151530000000002E-2</v>
      </c>
      <c r="AA8013">
        <v>0.99586759999999996</v>
      </c>
      <c r="AB8013">
        <v>19</v>
      </c>
      <c r="AC8013">
        <v>0.26449999999999801</v>
      </c>
      <c r="AD8013">
        <v>-1.120672336972</v>
      </c>
      <c r="AE8013">
        <v>-15.327263</v>
      </c>
      <c r="AF8013">
        <v>-1.0487730413265499</v>
      </c>
      <c r="AG8013">
        <v>-1.120672336972</v>
      </c>
      <c r="AH8013">
        <v>15.211942910467499</v>
      </c>
      <c r="AI8013">
        <v>94.203458191128107</v>
      </c>
      <c r="AJ8013">
        <v>93.943962399852694</v>
      </c>
      <c r="AK8013">
        <v>15.289180438806699</v>
      </c>
      <c r="AL8013">
        <v>91.802713129568005</v>
      </c>
      <c r="AM8013">
        <v>93.494205353589606</v>
      </c>
      <c r="AN8013">
        <v>1.0000000406566201</v>
      </c>
    </row>
    <row r="8014" spans="1:40" x14ac:dyDescent="0.25">
      <c r="A8014" t="str">
        <f>"20190303154002255"</f>
        <v>20190303154002255</v>
      </c>
      <c r="B8014" t="str">
        <f>"1551598802246138"</f>
        <v>1551598802246138</v>
      </c>
      <c r="C8014" t="s">
        <v>40</v>
      </c>
      <c r="D8014">
        <v>4.9733460000000003</v>
      </c>
      <c r="E8014">
        <v>0.49619360000000001</v>
      </c>
      <c r="F8014" t="s">
        <v>42</v>
      </c>
      <c r="G8014">
        <v>-301.64929999999998</v>
      </c>
      <c r="H8014" s="1">
        <v>-4.3025620000000003E-6</v>
      </c>
      <c r="I8014">
        <v>-21.229610000000001</v>
      </c>
      <c r="J8014">
        <v>-301.94260000000003</v>
      </c>
      <c r="K8014">
        <v>1.120876</v>
      </c>
      <c r="L8014">
        <v>-5.990723</v>
      </c>
      <c r="M8014">
        <v>-4.9317409999999999E-2</v>
      </c>
      <c r="N8014">
        <v>-1.1801229999999999E-2</v>
      </c>
      <c r="O8014">
        <v>-0.99871339999999997</v>
      </c>
      <c r="P8014">
        <v>1.1156640000000001E-2</v>
      </c>
      <c r="Q8014">
        <v>-4.3576879999999998E-2</v>
      </c>
      <c r="R8014">
        <v>-0.99898790000000004</v>
      </c>
      <c r="S8014">
        <v>5.569458E-2</v>
      </c>
      <c r="T8014">
        <v>-0.21757029999999999</v>
      </c>
      <c r="U8014">
        <v>-2.993042</v>
      </c>
      <c r="V8014">
        <v>-6.0330370000000001E-2</v>
      </c>
      <c r="W8014">
        <v>-3.1963690000000003E-2</v>
      </c>
      <c r="X8014">
        <v>0.99766650000000001</v>
      </c>
      <c r="Y8014">
        <v>-6.782639E-2</v>
      </c>
      <c r="Z8014">
        <v>6.0498139999999999E-2</v>
      </c>
      <c r="AA8014">
        <v>0.9958612</v>
      </c>
      <c r="AB8014">
        <v>19</v>
      </c>
      <c r="AC8014">
        <v>0.29330000000004403</v>
      </c>
      <c r="AD8014">
        <v>-1.120880302562</v>
      </c>
      <c r="AE8014">
        <v>-15.238887</v>
      </c>
      <c r="AF8014">
        <v>-1.03891919079406</v>
      </c>
      <c r="AG8014">
        <v>-1.120880302562</v>
      </c>
      <c r="AH8014">
        <v>15.124081511481499</v>
      </c>
      <c r="AI8014">
        <v>94.228643502955194</v>
      </c>
      <c r="AJ8014">
        <v>93.929648250595704</v>
      </c>
      <c r="AK8014">
        <v>15.2011041475153</v>
      </c>
      <c r="AL8014">
        <v>91.831696638893405</v>
      </c>
      <c r="AM8014">
        <v>93.460546526376106</v>
      </c>
      <c r="AN8014">
        <v>0.99999993812249899</v>
      </c>
    </row>
    <row r="8015" spans="1:40" x14ac:dyDescent="0.25">
      <c r="A8015" t="str">
        <f>"20190303154002280"</f>
        <v>20190303154002280</v>
      </c>
      <c r="B8015" t="str">
        <f>"1551598802276393"</f>
        <v>1551598802276393</v>
      </c>
      <c r="C8015" t="s">
        <v>40</v>
      </c>
      <c r="D8015">
        <v>4.9671880000000002</v>
      </c>
      <c r="E8015">
        <v>0.49614209999999898</v>
      </c>
      <c r="F8015" t="s">
        <v>42</v>
      </c>
      <c r="G8015">
        <v>-301.62860000000001</v>
      </c>
      <c r="H8015" s="1">
        <v>-4.2842950000000003E-6</v>
      </c>
      <c r="I8015">
        <v>-21.27253</v>
      </c>
      <c r="J8015">
        <v>-301.94900000000001</v>
      </c>
      <c r="K8015">
        <v>1.1210500000000001</v>
      </c>
      <c r="L8015">
        <v>-6.1762079999999999</v>
      </c>
      <c r="M8015">
        <v>-4.7083590000000002E-2</v>
      </c>
      <c r="N8015">
        <v>-1.194753E-2</v>
      </c>
      <c r="O8015">
        <v>-0.99881940000000002</v>
      </c>
      <c r="P8015">
        <v>1.2876459999999999E-2</v>
      </c>
      <c r="Q8015">
        <v>-4.4607359999999999E-2</v>
      </c>
      <c r="R8015">
        <v>-0.99892170000000002</v>
      </c>
      <c r="S8015">
        <v>6.149292E-2</v>
      </c>
      <c r="T8015">
        <v>-0.2195116</v>
      </c>
      <c r="U8015">
        <v>-2.9927670000000002</v>
      </c>
      <c r="V8015">
        <v>-5.9817269999999999E-2</v>
      </c>
      <c r="W8015">
        <v>-3.2837900000000003E-2</v>
      </c>
      <c r="X8015">
        <v>0.99766900000000003</v>
      </c>
      <c r="Y8015">
        <v>-6.7524239999999999E-2</v>
      </c>
      <c r="Z8015">
        <v>6.1011589999999997E-2</v>
      </c>
      <c r="AA8015">
        <v>0.99585040000000002</v>
      </c>
      <c r="AB8015">
        <v>19</v>
      </c>
      <c r="AC8015">
        <v>0.32040000000000601</v>
      </c>
      <c r="AD8015">
        <v>-1.121054284295</v>
      </c>
      <c r="AE8015">
        <v>-15.096322000000001</v>
      </c>
      <c r="AF8015">
        <v>-1.0252332856981801</v>
      </c>
      <c r="AG8015">
        <v>-1.121054284295</v>
      </c>
      <c r="AH8015">
        <v>14.981908950929</v>
      </c>
      <c r="AI8015">
        <v>94.269360138411699</v>
      </c>
      <c r="AJ8015">
        <v>93.914728387810399</v>
      </c>
      <c r="AK8015">
        <v>15.058733738676899</v>
      </c>
      <c r="AL8015">
        <v>91.881811508168099</v>
      </c>
      <c r="AM8015">
        <v>93.431177178578395</v>
      </c>
      <c r="AN8015">
        <v>0.99999993351382899</v>
      </c>
    </row>
    <row r="8016" spans="1:40" x14ac:dyDescent="0.25">
      <c r="A8016" t="str">
        <f>"20190303154002312"</f>
        <v>20190303154002312</v>
      </c>
      <c r="B8016" t="str">
        <f>"1551598802306653"</f>
        <v>1551598802306653</v>
      </c>
      <c r="C8016" t="s">
        <v>40</v>
      </c>
      <c r="D8016">
        <v>4.9684819999999998</v>
      </c>
      <c r="E8016">
        <v>0.4961042</v>
      </c>
      <c r="F8016" t="s">
        <v>42</v>
      </c>
      <c r="G8016">
        <v>-301.61160000000001</v>
      </c>
      <c r="H8016" s="1">
        <v>-4.2852729999999998E-6</v>
      </c>
      <c r="I8016">
        <v>-21.2608</v>
      </c>
      <c r="J8016">
        <v>-301.95800000000003</v>
      </c>
      <c r="K8016">
        <v>1.1212489999999999</v>
      </c>
      <c r="L8016">
        <v>-6.4513850000000001</v>
      </c>
      <c r="M8016">
        <v>-4.3973989999999998E-2</v>
      </c>
      <c r="N8016">
        <v>-1.2133039999999999E-2</v>
      </c>
      <c r="O8016">
        <v>-0.99895900000000004</v>
      </c>
      <c r="P8016">
        <v>1.5784719999999999E-2</v>
      </c>
      <c r="Q8016">
        <v>-4.697875E-2</v>
      </c>
      <c r="R8016">
        <v>-0.99877150000000003</v>
      </c>
      <c r="S8016">
        <v>6.692505E-2</v>
      </c>
      <c r="T8016">
        <v>-0.22239110000000001</v>
      </c>
      <c r="U8016">
        <v>-2.992432</v>
      </c>
      <c r="V8016">
        <v>-5.9614489999999999E-2</v>
      </c>
      <c r="W8016">
        <v>-3.501116E-2</v>
      </c>
      <c r="X8016">
        <v>0.99760729999999997</v>
      </c>
      <c r="Y8016">
        <v>-6.6226129999999994E-2</v>
      </c>
      <c r="Z8016">
        <v>6.1804350000000001E-2</v>
      </c>
      <c r="AA8016">
        <v>0.99588869999999896</v>
      </c>
      <c r="AB8016">
        <v>19</v>
      </c>
      <c r="AC8016">
        <v>0.34639999999996002</v>
      </c>
      <c r="AD8016">
        <v>-1.1212532852729999</v>
      </c>
      <c r="AE8016">
        <v>-14.809415</v>
      </c>
      <c r="AF8016">
        <v>-0.99166045137751901</v>
      </c>
      <c r="AG8016">
        <v>-1.1212532852729999</v>
      </c>
      <c r="AH8016">
        <v>14.6956592846663</v>
      </c>
      <c r="AI8016">
        <v>94.353253190489696</v>
      </c>
      <c r="AJ8016">
        <v>93.860456454766606</v>
      </c>
      <c r="AK8016">
        <v>14.771695948385901</v>
      </c>
      <c r="AL8016">
        <v>92.006401754206493</v>
      </c>
      <c r="AM8016">
        <v>93.4197841597083</v>
      </c>
      <c r="AN8016">
        <v>0.99999999687789698</v>
      </c>
    </row>
    <row r="8017" spans="1:40" x14ac:dyDescent="0.25">
      <c r="A8017" t="str">
        <f>"20190303154002333"</f>
        <v>20190303154002333</v>
      </c>
      <c r="B8017" t="str">
        <f>"1551598802326170"</f>
        <v>1551598802326170</v>
      </c>
      <c r="C8017" t="s">
        <v>40</v>
      </c>
      <c r="D8017">
        <v>4.968953</v>
      </c>
      <c r="E8017">
        <v>0.49617359999999999</v>
      </c>
      <c r="F8017" t="s">
        <v>42</v>
      </c>
      <c r="G8017">
        <v>-301.58460000000002</v>
      </c>
      <c r="H8017" s="1">
        <v>-4.3327769999999998E-6</v>
      </c>
      <c r="I8017">
        <v>-21.107089999999999</v>
      </c>
      <c r="J8017">
        <v>-301.96359999999999</v>
      </c>
      <c r="K8017">
        <v>1.1213420000000001</v>
      </c>
      <c r="L8017">
        <v>-6.6318659999999996</v>
      </c>
      <c r="M8017">
        <v>-4.208079E-2</v>
      </c>
      <c r="N8017">
        <v>-1.222355E-2</v>
      </c>
      <c r="O8017">
        <v>-0.99903960000000003</v>
      </c>
      <c r="P8017">
        <v>1.6911160000000001E-2</v>
      </c>
      <c r="Q8017">
        <v>-4.7719009999999999E-2</v>
      </c>
      <c r="R8017">
        <v>-0.99871779999999999</v>
      </c>
      <c r="S8017">
        <v>7.6232910000000001E-2</v>
      </c>
      <c r="T8017">
        <v>-0.22888600000000001</v>
      </c>
      <c r="U8017">
        <v>-2.99173</v>
      </c>
      <c r="V8017">
        <v>-5.8851550000000002E-2</v>
      </c>
      <c r="W8017">
        <v>-3.5650429999999997E-2</v>
      </c>
      <c r="X8017">
        <v>0.99762989999999996</v>
      </c>
      <c r="Y8017">
        <v>-6.7431870000000005E-2</v>
      </c>
      <c r="Z8017">
        <v>6.3882750000000002E-2</v>
      </c>
      <c r="AA8017">
        <v>0.99567660000000002</v>
      </c>
      <c r="AB8017">
        <v>18</v>
      </c>
      <c r="AC8017">
        <v>0.37899999999996198</v>
      </c>
      <c r="AD8017">
        <v>-1.1213463327769999</v>
      </c>
      <c r="AE8017">
        <v>-14.475224000000001</v>
      </c>
      <c r="AF8017">
        <v>-0.98194979231568602</v>
      </c>
      <c r="AG8017">
        <v>-1.1213463327769999</v>
      </c>
      <c r="AH8017">
        <v>14.360331917443199</v>
      </c>
      <c r="AI8017">
        <v>94.454599608389898</v>
      </c>
      <c r="AJ8017">
        <v>93.911757491403094</v>
      </c>
      <c r="AK8017">
        <v>14.4374781652406</v>
      </c>
      <c r="AL8017">
        <v>92.043052230622095</v>
      </c>
      <c r="AM8017">
        <v>93.376043705209497</v>
      </c>
      <c r="AN8017">
        <v>0.99999993773529605</v>
      </c>
    </row>
    <row r="8018" spans="1:40" x14ac:dyDescent="0.25">
      <c r="A8018" t="str">
        <f>"20190303154002356"</f>
        <v>20190303154002356</v>
      </c>
      <c r="B8018" t="str">
        <f>"1551598802346667"</f>
        <v>1551598802346667</v>
      </c>
      <c r="C8018" t="s">
        <v>40</v>
      </c>
      <c r="D8018">
        <v>5.0084339999999896</v>
      </c>
      <c r="E8018">
        <v>0.50838709999999998</v>
      </c>
      <c r="F8018" t="s">
        <v>42</v>
      </c>
      <c r="G8018">
        <v>-301.57839999999999</v>
      </c>
      <c r="H8018" s="1">
        <v>-4.2963400000000001E-6</v>
      </c>
      <c r="I8018">
        <v>-21.21095</v>
      </c>
      <c r="J8018">
        <v>-301.96899999999999</v>
      </c>
      <c r="K8018">
        <v>1.1214170000000001</v>
      </c>
      <c r="L8018">
        <v>-6.8156129999999999</v>
      </c>
      <c r="M8018">
        <v>-4.0243920000000002E-2</v>
      </c>
      <c r="N8018">
        <v>-1.229656E-2</v>
      </c>
      <c r="O8018">
        <v>-0.99911419999999995</v>
      </c>
      <c r="P8018">
        <v>1.7932380000000001E-2</v>
      </c>
      <c r="Q8018">
        <v>-4.6462820000000002E-2</v>
      </c>
      <c r="R8018">
        <v>-0.99875899999999995</v>
      </c>
      <c r="S8018">
        <v>7.9040529999999998E-2</v>
      </c>
      <c r="T8018">
        <v>-0.23009170000000001</v>
      </c>
      <c r="U8018">
        <v>-2.9915159999999998</v>
      </c>
      <c r="V8018">
        <v>-5.804745E-2</v>
      </c>
      <c r="W8018">
        <v>-3.4310609999999998E-2</v>
      </c>
      <c r="X8018">
        <v>0.9977241</v>
      </c>
      <c r="Y8018">
        <v>-6.6532690000000005E-2</v>
      </c>
      <c r="Z8018">
        <v>6.4224180000000006E-2</v>
      </c>
      <c r="AA8018">
        <v>0.99571509999999996</v>
      </c>
      <c r="AB8018">
        <v>18</v>
      </c>
      <c r="AC8018">
        <v>0.390600000000006</v>
      </c>
      <c r="AD8018">
        <v>-1.1214212963400001</v>
      </c>
      <c r="AE8018">
        <v>-14.395337</v>
      </c>
      <c r="AF8018">
        <v>-0.96380739476275301</v>
      </c>
      <c r="AG8018">
        <v>-1.1214212963400001</v>
      </c>
      <c r="AH8018">
        <v>14.281347792131699</v>
      </c>
      <c r="AI8018">
        <v>94.479703515659807</v>
      </c>
      <c r="AJ8018">
        <v>93.860874234467602</v>
      </c>
      <c r="AK8018">
        <v>14.3576949813648</v>
      </c>
      <c r="AL8018">
        <v>91.966238953847594</v>
      </c>
      <c r="AM8018">
        <v>93.329707000131293</v>
      </c>
      <c r="AN8018">
        <v>1.00000005206544</v>
      </c>
    </row>
    <row r="8019" spans="1:40" x14ac:dyDescent="0.25">
      <c r="A8019" t="str">
        <f>"20190303154002377"</f>
        <v>20190303154002377</v>
      </c>
      <c r="B8019" t="str">
        <f>"1551598802366186"</f>
        <v>1551598802366186</v>
      </c>
      <c r="C8019" t="s">
        <v>40</v>
      </c>
      <c r="D8019">
        <v>4.9293449999999996</v>
      </c>
      <c r="E8019">
        <v>0.50868420000000003</v>
      </c>
      <c r="F8019" t="s">
        <v>63</v>
      </c>
      <c r="G8019">
        <v>-302.11559999999997</v>
      </c>
      <c r="H8019" s="1">
        <v>-2.6949030000000001E-6</v>
      </c>
      <c r="I8019">
        <v>-44.153210000000001</v>
      </c>
      <c r="J8019">
        <v>-301.9742</v>
      </c>
      <c r="K8019">
        <v>1.1214789999999999</v>
      </c>
      <c r="L8019">
        <v>-6.9973749999999999</v>
      </c>
      <c r="M8019">
        <v>-3.8519579999999998E-2</v>
      </c>
      <c r="N8019">
        <v>-1.2357419999999999E-2</v>
      </c>
      <c r="O8019">
        <v>-0.9991816</v>
      </c>
      <c r="P8019">
        <v>1.8794430000000001E-2</v>
      </c>
      <c r="Q8019">
        <v>-4.4912300000000002E-2</v>
      </c>
      <c r="R8019">
        <v>-0.99881439999999999</v>
      </c>
      <c r="S8019">
        <v>-1.177979E-2</v>
      </c>
      <c r="T8019">
        <v>-9.0096469999999998E-2</v>
      </c>
      <c r="U8019">
        <v>-2.9997560000000001</v>
      </c>
      <c r="V8019">
        <v>-5.719751E-2</v>
      </c>
      <c r="W8019">
        <v>-3.2689009999999998E-2</v>
      </c>
      <c r="X8019">
        <v>0.99782760000000004</v>
      </c>
      <c r="Y8019">
        <v>-3.4589799999999997E-2</v>
      </c>
      <c r="Z8019">
        <v>1.762534E-2</v>
      </c>
      <c r="AA8019">
        <v>0.99924619999999997</v>
      </c>
      <c r="AB8019">
        <v>18</v>
      </c>
      <c r="AC8019">
        <v>-0.14139999999997599</v>
      </c>
      <c r="AD8019">
        <v>-1.121481694903</v>
      </c>
      <c r="AE8019">
        <v>-37.155835000000003</v>
      </c>
      <c r="AF8019">
        <v>-1.28886699430834</v>
      </c>
      <c r="AG8019">
        <v>-1.121481694903</v>
      </c>
      <c r="AH8019">
        <v>37.099904059450402</v>
      </c>
      <c r="AI8019">
        <v>91.730406142046505</v>
      </c>
      <c r="AJ8019">
        <v>91.989680405797003</v>
      </c>
      <c r="AK8019">
        <v>37.1392215931008</v>
      </c>
      <c r="AL8019">
        <v>91.873275989091397</v>
      </c>
      <c r="AM8019">
        <v>93.280720620159698</v>
      </c>
      <c r="AN8019">
        <v>1.0000000229233601</v>
      </c>
    </row>
    <row r="8020" spans="1:40" x14ac:dyDescent="0.25">
      <c r="A8020" t="str">
        <f>"20190303154002401"</f>
        <v>20190303154002401</v>
      </c>
      <c r="B8020" t="str">
        <f>"1551598802396457"</f>
        <v>1551598802396457</v>
      </c>
      <c r="C8020" t="s">
        <v>40</v>
      </c>
      <c r="D8020">
        <v>4.991104</v>
      </c>
      <c r="E8020">
        <v>0.50873990000000002</v>
      </c>
      <c r="F8020" t="s">
        <v>63</v>
      </c>
      <c r="G8020">
        <v>-302.12790000000001</v>
      </c>
      <c r="H8020" s="1">
        <v>-3.5726060000000001E-6</v>
      </c>
      <c r="I8020">
        <v>-45.654089999999997</v>
      </c>
      <c r="J8020">
        <v>-301.97930000000002</v>
      </c>
      <c r="K8020">
        <v>1.1215189999999999</v>
      </c>
      <c r="L8020">
        <v>-7.1837460000000002</v>
      </c>
      <c r="M8020">
        <v>-3.6850790000000001E-2</v>
      </c>
      <c r="N8020">
        <v>-1.240789E-2</v>
      </c>
      <c r="O8020">
        <v>-0.99924380000000002</v>
      </c>
      <c r="P8020">
        <v>1.931358E-2</v>
      </c>
      <c r="Q8020">
        <v>-4.4429580000000003E-2</v>
      </c>
      <c r="R8020">
        <v>-0.99882579999999999</v>
      </c>
      <c r="S8020">
        <v>-1.1932369999999999E-2</v>
      </c>
      <c r="T8020">
        <v>-8.7030410000000002E-2</v>
      </c>
      <c r="U8020">
        <v>-2.9998779999999998</v>
      </c>
      <c r="V8020">
        <v>-5.605607E-2</v>
      </c>
      <c r="W8020">
        <v>-3.2145689999999998E-2</v>
      </c>
      <c r="X8020">
        <v>0.99790999999999996</v>
      </c>
      <c r="Y8020">
        <v>-3.2870530000000002E-2</v>
      </c>
      <c r="Z8020">
        <v>1.655763E-2</v>
      </c>
      <c r="AA8020">
        <v>0.9993225</v>
      </c>
      <c r="AB8020">
        <v>18</v>
      </c>
      <c r="AC8020">
        <v>-0.14859999999998699</v>
      </c>
      <c r="AD8020">
        <v>-1.1215225726060001</v>
      </c>
      <c r="AE8020">
        <v>-38.470343999999997</v>
      </c>
      <c r="AF8020">
        <v>-1.26819476731914</v>
      </c>
      <c r="AG8020">
        <v>-1.1215225726060001</v>
      </c>
      <c r="AH8020">
        <v>38.417036703097999</v>
      </c>
      <c r="AI8020">
        <v>91.671271804812704</v>
      </c>
      <c r="AJ8020">
        <v>91.890719244959101</v>
      </c>
      <c r="AK8020">
        <v>38.454321472311797</v>
      </c>
      <c r="AL8020">
        <v>91.842129722099898</v>
      </c>
      <c r="AM8020">
        <v>93.215124008346606</v>
      </c>
      <c r="AN8020">
        <v>0.99999999823470997</v>
      </c>
    </row>
    <row r="8021" spans="1:40" x14ac:dyDescent="0.25">
      <c r="A8021" t="str">
        <f>"20190303154002423"</f>
        <v>20190303154002423</v>
      </c>
      <c r="B8021" t="str">
        <f>"1551598802415962"</f>
        <v>1551598802415962</v>
      </c>
      <c r="C8021" t="s">
        <v>40</v>
      </c>
      <c r="D8021">
        <v>4.9635009999999999</v>
      </c>
      <c r="E8021">
        <v>0.507988</v>
      </c>
      <c r="F8021" t="s">
        <v>63</v>
      </c>
      <c r="G8021">
        <v>-302.10770000000002</v>
      </c>
      <c r="H8021" s="1">
        <v>-2.0549009999999998E-6</v>
      </c>
      <c r="I8021">
        <v>-43.148060000000001</v>
      </c>
      <c r="J8021">
        <v>-301.98410000000001</v>
      </c>
      <c r="K8021">
        <v>1.121542</v>
      </c>
      <c r="L8021">
        <v>-7.3647770000000001</v>
      </c>
      <c r="M8021">
        <v>-3.5323E-2</v>
      </c>
      <c r="N8021">
        <v>-1.244018E-2</v>
      </c>
      <c r="O8021">
        <v>-0.99929860000000004</v>
      </c>
      <c r="P8021">
        <v>1.959934E-2</v>
      </c>
      <c r="Q8021">
        <v>-4.4957709999999998E-2</v>
      </c>
      <c r="R8021">
        <v>-0.99879680000000004</v>
      </c>
      <c r="S8021">
        <v>-1.071167E-2</v>
      </c>
      <c r="T8021">
        <v>-9.3539479999999994E-2</v>
      </c>
      <c r="U8021">
        <v>-2.9995729999999998</v>
      </c>
      <c r="V8021">
        <v>-5.4818930000000002E-2</v>
      </c>
      <c r="W8021">
        <v>-3.2632290000000001E-2</v>
      </c>
      <c r="X8021">
        <v>0.99796300000000004</v>
      </c>
      <c r="Y8021">
        <v>-3.1748690000000003E-2</v>
      </c>
      <c r="Z8021">
        <v>1.8696230000000001E-2</v>
      </c>
      <c r="AA8021">
        <v>0.99932100000000001</v>
      </c>
      <c r="AB8021">
        <v>18</v>
      </c>
      <c r="AC8021">
        <v>-0.12360000000000999</v>
      </c>
      <c r="AD8021">
        <v>-1.1215440549010001</v>
      </c>
      <c r="AE8021">
        <v>-35.783282999999997</v>
      </c>
      <c r="AF8021">
        <v>-1.1394284428177399</v>
      </c>
      <c r="AG8021">
        <v>-1.1215440549010001</v>
      </c>
      <c r="AH8021">
        <v>35.730215533146499</v>
      </c>
      <c r="AI8021">
        <v>91.796967356702496</v>
      </c>
      <c r="AJ8021">
        <v>91.826530370668493</v>
      </c>
      <c r="AK8021">
        <v>35.765967906495803</v>
      </c>
      <c r="AL8021">
        <v>91.870024358378402</v>
      </c>
      <c r="AM8021">
        <v>93.144144550208196</v>
      </c>
      <c r="AN8021">
        <v>1.0000000654029899</v>
      </c>
    </row>
    <row r="8022" spans="1:40" x14ac:dyDescent="0.25">
      <c r="A8022" t="str">
        <f>"20190303154002445"</f>
        <v>20190303154002445</v>
      </c>
      <c r="B8022" t="str">
        <f>"1551598802436458"</f>
        <v>1551598802436458</v>
      </c>
      <c r="C8022" t="s">
        <v>40</v>
      </c>
      <c r="D8022">
        <v>4.9961919999999997</v>
      </c>
      <c r="E8022">
        <v>0.50763729999999996</v>
      </c>
      <c r="F8022" t="s">
        <v>63</v>
      </c>
      <c r="G8022">
        <v>-302.02960000000002</v>
      </c>
      <c r="H8022" s="1">
        <v>-1.0216300000000001E-6</v>
      </c>
      <c r="I8022">
        <v>-41.539569999999998</v>
      </c>
      <c r="J8022">
        <v>-301.98869999999999</v>
      </c>
      <c r="K8022">
        <v>1.1215440000000001</v>
      </c>
      <c r="L8022">
        <v>-7.5486149999999999</v>
      </c>
      <c r="M8022">
        <v>-3.3856589999999999E-2</v>
      </c>
      <c r="N8022">
        <v>-1.2443620000000001E-2</v>
      </c>
      <c r="O8022">
        <v>-0.99934940000000005</v>
      </c>
      <c r="P8022">
        <v>2.0394309999999999E-2</v>
      </c>
      <c r="Q8022">
        <v>-4.6054480000000002E-2</v>
      </c>
      <c r="R8022">
        <v>-0.99873120000000004</v>
      </c>
      <c r="S8022">
        <v>-3.9978030000000003E-3</v>
      </c>
      <c r="T8022">
        <v>-9.8429440000000007E-2</v>
      </c>
      <c r="U8022">
        <v>-2.9992679999999998</v>
      </c>
      <c r="V8022">
        <v>-5.4149330000000002E-2</v>
      </c>
      <c r="W8022">
        <v>-3.3718369999999998E-2</v>
      </c>
      <c r="X8022">
        <v>0.99796339999999994</v>
      </c>
      <c r="Y8022">
        <v>-3.2518119999999998E-2</v>
      </c>
      <c r="Z8022">
        <v>2.0324100000000001E-2</v>
      </c>
      <c r="AA8022">
        <v>0.9992645</v>
      </c>
      <c r="AB8022">
        <v>18</v>
      </c>
      <c r="AC8022">
        <v>-4.0900000000021898E-2</v>
      </c>
      <c r="AD8022">
        <v>-1.12154502162999</v>
      </c>
      <c r="AE8022">
        <v>-33.990955</v>
      </c>
      <c r="AF8022">
        <v>-1.10882302466687</v>
      </c>
      <c r="AG8022">
        <v>-1.12154502162999</v>
      </c>
      <c r="AH8022">
        <v>33.935904024824801</v>
      </c>
      <c r="AI8022">
        <v>91.891865889193397</v>
      </c>
      <c r="AJ8022">
        <v>91.871418707322107</v>
      </c>
      <c r="AK8022">
        <v>33.972532047489402</v>
      </c>
      <c r="AL8022">
        <v>91.932286531065301</v>
      </c>
      <c r="AM8022">
        <v>93.1058139920261</v>
      </c>
      <c r="AN8022">
        <v>1.00000001307723</v>
      </c>
    </row>
    <row r="8023" spans="1:40" x14ac:dyDescent="0.25">
      <c r="A8023" t="str">
        <f>"20190303154002468"</f>
        <v>20190303154002468</v>
      </c>
      <c r="B8023" t="str">
        <f>"1551598802455978"</f>
        <v>1551598802455978</v>
      </c>
      <c r="C8023" t="s">
        <v>40</v>
      </c>
      <c r="D8023">
        <v>4.988391</v>
      </c>
      <c r="E8023">
        <v>0.50725429999999905</v>
      </c>
      <c r="F8023" t="s">
        <v>63</v>
      </c>
      <c r="G8023">
        <v>-301.97390000000001</v>
      </c>
      <c r="H8023" s="1">
        <v>-1.3896870000000001E-6</v>
      </c>
      <c r="I8023">
        <v>-42.130809999999997</v>
      </c>
      <c r="J8023">
        <v>-301.99329999999998</v>
      </c>
      <c r="K8023">
        <v>1.1215310000000001</v>
      </c>
      <c r="L8023">
        <v>-7.7329410000000003</v>
      </c>
      <c r="M8023">
        <v>-3.2470110000000003E-2</v>
      </c>
      <c r="N8023">
        <v>-1.24168E-2</v>
      </c>
      <c r="O8023">
        <v>-0.99939579999999995</v>
      </c>
      <c r="P8023">
        <v>2.1170609999999999E-2</v>
      </c>
      <c r="Q8023">
        <v>-4.6146300000000001E-2</v>
      </c>
      <c r="R8023">
        <v>-0.99871089999999996</v>
      </c>
      <c r="S8023">
        <v>1.2817379999999999E-3</v>
      </c>
      <c r="T8023">
        <v>-9.7271079999999996E-2</v>
      </c>
      <c r="U8023">
        <v>-2.999298</v>
      </c>
      <c r="V8023">
        <v>-5.3544290000000001E-2</v>
      </c>
      <c r="W8023">
        <v>-3.3829909999999998E-2</v>
      </c>
      <c r="X8023">
        <v>0.99799230000000005</v>
      </c>
      <c r="Y8023">
        <v>-3.2890469999999998E-2</v>
      </c>
      <c r="Z8023">
        <v>1.9966979999999999E-2</v>
      </c>
      <c r="AA8023">
        <v>0.99925949999999997</v>
      </c>
      <c r="AB8023">
        <v>18</v>
      </c>
      <c r="AC8023">
        <v>1.9399999999961798E-2</v>
      </c>
      <c r="AD8023">
        <v>-1.121532389687</v>
      </c>
      <c r="AE8023">
        <v>-34.397869</v>
      </c>
      <c r="AF8023">
        <v>-1.1351714552938801</v>
      </c>
      <c r="AG8023">
        <v>-1.121532389687</v>
      </c>
      <c r="AH8023">
        <v>34.342590028621402</v>
      </c>
      <c r="AI8023">
        <v>91.869433984216997</v>
      </c>
      <c r="AJ8023">
        <v>91.893184566158695</v>
      </c>
      <c r="AK8023">
        <v>34.379644253656799</v>
      </c>
      <c r="AL8023">
        <v>91.938680893570705</v>
      </c>
      <c r="AM8023">
        <v>93.071089081035097</v>
      </c>
      <c r="AN8023">
        <v>1.00000004233075</v>
      </c>
    </row>
    <row r="8024" spans="1:40" x14ac:dyDescent="0.25">
      <c r="A8024" t="str">
        <f>"20190303154002491"</f>
        <v>20190303154002491</v>
      </c>
      <c r="B8024" t="str">
        <f>"1551598802486234"</f>
        <v>1551598802486234</v>
      </c>
      <c r="C8024" t="s">
        <v>40</v>
      </c>
      <c r="D8024">
        <v>4.9130419999999999</v>
      </c>
      <c r="E8024">
        <v>0.50723169999999995</v>
      </c>
      <c r="F8024" t="s">
        <v>63</v>
      </c>
      <c r="G8024">
        <v>-301.9144</v>
      </c>
      <c r="H8024" s="1">
        <v>-1.418913E-6</v>
      </c>
      <c r="I8024">
        <v>-42.189839999999997</v>
      </c>
      <c r="J8024">
        <v>-301.99759999999998</v>
      </c>
      <c r="K8024">
        <v>1.121523</v>
      </c>
      <c r="L8024">
        <v>-7.9158020000000002</v>
      </c>
      <c r="M8024">
        <v>-3.1175020000000001E-2</v>
      </c>
      <c r="N8024">
        <v>-1.237973E-2</v>
      </c>
      <c r="O8024">
        <v>-0.99943720000000003</v>
      </c>
      <c r="P8024">
        <v>2.2073969999999998E-2</v>
      </c>
      <c r="Q8024">
        <v>-4.6323660000000003E-2</v>
      </c>
      <c r="R8024">
        <v>-0.99868239999999997</v>
      </c>
      <c r="S8024">
        <v>6.8664549999999996E-3</v>
      </c>
      <c r="T8024">
        <v>-9.7620730000000003E-2</v>
      </c>
      <c r="U8024">
        <v>-2.9992070000000002</v>
      </c>
      <c r="V8024">
        <v>-5.3156540000000002E-2</v>
      </c>
      <c r="W8024">
        <v>-3.403838E-2</v>
      </c>
      <c r="X8024">
        <v>0.9980059</v>
      </c>
      <c r="Y8024">
        <v>-3.3455850000000002E-2</v>
      </c>
      <c r="Z8024">
        <v>2.0122640000000001E-2</v>
      </c>
      <c r="AA8024">
        <v>0.99923759999999995</v>
      </c>
      <c r="AB8024">
        <v>18</v>
      </c>
      <c r="AC8024">
        <v>8.3199999999976598E-2</v>
      </c>
      <c r="AD8024">
        <v>-1.121524418913</v>
      </c>
      <c r="AE8024">
        <v>-34.274037999999997</v>
      </c>
      <c r="AF8024">
        <v>-1.15050344644932</v>
      </c>
      <c r="AG8024">
        <v>-1.121524418913</v>
      </c>
      <c r="AH8024">
        <v>34.218143512882797</v>
      </c>
      <c r="AI8024">
        <v>91.876179193172405</v>
      </c>
      <c r="AJ8024">
        <v>91.925708464245204</v>
      </c>
      <c r="AK8024">
        <v>34.255843598877497</v>
      </c>
      <c r="AL8024">
        <v>91.950632304604994</v>
      </c>
      <c r="AM8024">
        <v>93.048849914771495</v>
      </c>
      <c r="AN8024">
        <v>1.0000000027463001</v>
      </c>
    </row>
    <row r="8025" spans="1:40" x14ac:dyDescent="0.25">
      <c r="A8025" t="str">
        <f>"20190303154002513"</f>
        <v>20190303154002513</v>
      </c>
      <c r="B8025" t="str">
        <f>"1551598802506735"</f>
        <v>1551598802506735</v>
      </c>
      <c r="C8025" t="s">
        <v>40</v>
      </c>
      <c r="D8025">
        <v>4.9796370000000003</v>
      </c>
      <c r="E8025">
        <v>0.50711890000000004</v>
      </c>
      <c r="F8025" t="s">
        <v>63</v>
      </c>
      <c r="G8025">
        <v>-301.88850000000002</v>
      </c>
      <c r="H8025" s="1">
        <v>-1.6891850000000001E-6</v>
      </c>
      <c r="I8025">
        <v>-42.620719999999999</v>
      </c>
      <c r="J8025">
        <v>-302.0018</v>
      </c>
      <c r="K8025">
        <v>1.121507</v>
      </c>
      <c r="L8025">
        <v>-8.0995480000000004</v>
      </c>
      <c r="M8025">
        <v>-2.9944780000000001E-2</v>
      </c>
      <c r="N8025">
        <v>-1.235376E-2</v>
      </c>
      <c r="O8025">
        <v>-0.99947520000000001</v>
      </c>
      <c r="P8025">
        <v>2.3475610000000001E-2</v>
      </c>
      <c r="Q8025">
        <v>-4.6452689999999998E-2</v>
      </c>
      <c r="R8025">
        <v>-0.9986448</v>
      </c>
      <c r="S8025">
        <v>9.4299320000000002E-3</v>
      </c>
      <c r="T8025">
        <v>-9.6923350000000005E-2</v>
      </c>
      <c r="U8025">
        <v>-2.9992369999999999</v>
      </c>
      <c r="V8025">
        <v>-5.3331389999999999E-2</v>
      </c>
      <c r="W8025">
        <v>-3.4189459999999998E-2</v>
      </c>
      <c r="X8025">
        <v>0.99799139999999997</v>
      </c>
      <c r="Y8025">
        <v>-3.3079839999999999E-2</v>
      </c>
      <c r="Z8025">
        <v>1.9918140000000001E-2</v>
      </c>
      <c r="AA8025">
        <v>0.99925419999999998</v>
      </c>
      <c r="AB8025">
        <v>18</v>
      </c>
      <c r="AC8025">
        <v>0.113299999999981</v>
      </c>
      <c r="AD8025">
        <v>-1.1215086891849999</v>
      </c>
      <c r="AE8025">
        <v>-34.521172</v>
      </c>
      <c r="AF8025">
        <v>-1.1458476224917</v>
      </c>
      <c r="AG8025">
        <v>-1.1215086891849999</v>
      </c>
      <c r="AH8025">
        <v>34.465919395767898</v>
      </c>
      <c r="AI8025">
        <v>91.862698172643107</v>
      </c>
      <c r="AJ8025">
        <v>91.904143623188403</v>
      </c>
      <c r="AK8025">
        <v>34.503193305974698</v>
      </c>
      <c r="AL8025">
        <v>91.959293606644394</v>
      </c>
      <c r="AM8025">
        <v>93.058903967077597</v>
      </c>
      <c r="AN8025">
        <v>0.99999999540419104</v>
      </c>
    </row>
    <row r="8026" spans="1:40" x14ac:dyDescent="0.25">
      <c r="A8026" t="str">
        <f>"20190303154002535"</f>
        <v>20190303154002535</v>
      </c>
      <c r="B8026" t="str">
        <f>"1551598802526250"</f>
        <v>1551598802526250</v>
      </c>
      <c r="C8026" t="s">
        <v>40</v>
      </c>
      <c r="D8026">
        <v>4.9153589999999996</v>
      </c>
      <c r="E8026">
        <v>0.50723370000000001</v>
      </c>
      <c r="F8026" t="s">
        <v>63</v>
      </c>
      <c r="G8026">
        <v>-301.83150000000001</v>
      </c>
      <c r="H8026" s="1">
        <v>-1.6749719999999999E-6</v>
      </c>
      <c r="I8026">
        <v>-42.610860000000002</v>
      </c>
      <c r="J8026">
        <v>-302.00580000000002</v>
      </c>
      <c r="K8026">
        <v>1.1215059999999999</v>
      </c>
      <c r="L8026">
        <v>-8.2812809999999999</v>
      </c>
      <c r="M8026">
        <v>-2.8780940000000001E-2</v>
      </c>
      <c r="N8026">
        <v>-1.23375E-2</v>
      </c>
      <c r="O8026">
        <v>-0.99950969999999995</v>
      </c>
      <c r="P8026">
        <v>2.3986239999999999E-2</v>
      </c>
      <c r="Q8026">
        <v>-4.7086740000000002E-2</v>
      </c>
      <c r="R8026">
        <v>-0.99860269999999995</v>
      </c>
      <c r="S8026">
        <v>1.480103E-2</v>
      </c>
      <c r="T8026">
        <v>-9.7463729999999998E-2</v>
      </c>
      <c r="U8026">
        <v>-2.9991759999999998</v>
      </c>
      <c r="V8026">
        <v>-5.2680150000000002E-2</v>
      </c>
      <c r="W8026">
        <v>-3.4836180000000001E-2</v>
      </c>
      <c r="X8026">
        <v>0.99800359999999999</v>
      </c>
      <c r="Y8026">
        <v>-3.370538E-2</v>
      </c>
      <c r="Z8026">
        <v>2.0115750000000002E-2</v>
      </c>
      <c r="AA8026">
        <v>0.99922940000000005</v>
      </c>
      <c r="AB8026">
        <v>18</v>
      </c>
      <c r="AC8026">
        <v>0.174300000000016</v>
      </c>
      <c r="AD8026">
        <v>-1.1215076749720001</v>
      </c>
      <c r="AE8026">
        <v>-34.329578999999903</v>
      </c>
      <c r="AF8026">
        <v>-1.16110128795529</v>
      </c>
      <c r="AG8026">
        <v>-1.1215076749720001</v>
      </c>
      <c r="AH8026">
        <v>34.273760823085098</v>
      </c>
      <c r="AI8026">
        <v>91.873092804018199</v>
      </c>
      <c r="AJ8026">
        <v>91.940282282359902</v>
      </c>
      <c r="AK8026">
        <v>34.311756245111603</v>
      </c>
      <c r="AL8026">
        <v>91.996370069560498</v>
      </c>
      <c r="AM8026">
        <v>93.021583870992401</v>
      </c>
      <c r="AN8026">
        <v>0.99999997162698695</v>
      </c>
    </row>
    <row r="8027" spans="1:40" x14ac:dyDescent="0.25">
      <c r="A8027" t="str">
        <f>"20190303154002557"</f>
        <v>20190303154002557</v>
      </c>
      <c r="B8027" t="str">
        <f>"1551598802546747"</f>
        <v>1551598802546747</v>
      </c>
      <c r="C8027" t="s">
        <v>40</v>
      </c>
      <c r="D8027">
        <v>4.9150179999999999</v>
      </c>
      <c r="E8027">
        <v>0.50748539999999998</v>
      </c>
      <c r="F8027" t="s">
        <v>63</v>
      </c>
      <c r="G8027">
        <v>-301.8322</v>
      </c>
      <c r="H8027" s="1">
        <v>-1.4568509999999999E-6</v>
      </c>
      <c r="I8027">
        <v>-42.267539999999997</v>
      </c>
      <c r="J8027">
        <v>-302.00959999999998</v>
      </c>
      <c r="K8027">
        <v>1.121516</v>
      </c>
      <c r="L8027">
        <v>-8.4640199999999997</v>
      </c>
      <c r="M8027">
        <v>-2.766045E-2</v>
      </c>
      <c r="N8027">
        <v>-1.2332050000000001E-2</v>
      </c>
      <c r="O8027">
        <v>-0.99954160000000003</v>
      </c>
      <c r="P8027">
        <v>2.405434E-2</v>
      </c>
      <c r="Q8027">
        <v>-4.7660040000000001E-2</v>
      </c>
      <c r="R8027">
        <v>-0.99857450000000003</v>
      </c>
      <c r="S8027">
        <v>1.531982E-2</v>
      </c>
      <c r="T8027">
        <v>-9.8969340000000003E-2</v>
      </c>
      <c r="U8027">
        <v>-2.9991759999999998</v>
      </c>
      <c r="V8027">
        <v>-5.162928E-2</v>
      </c>
      <c r="W8027">
        <v>-3.541176E-2</v>
      </c>
      <c r="X8027">
        <v>0.99803830000000004</v>
      </c>
      <c r="Y8027">
        <v>-3.2757920000000003E-2</v>
      </c>
      <c r="Z8027">
        <v>2.0624190000000001E-2</v>
      </c>
      <c r="AA8027">
        <v>0.99925050000000004</v>
      </c>
      <c r="AB8027">
        <v>18</v>
      </c>
      <c r="AC8027">
        <v>0.17739999999997699</v>
      </c>
      <c r="AD8027">
        <v>-1.121517456851</v>
      </c>
      <c r="AE8027">
        <v>-33.803519999999999</v>
      </c>
      <c r="AF8027">
        <v>-1.1112003991597701</v>
      </c>
      <c r="AG8027">
        <v>-1.121517456851</v>
      </c>
      <c r="AH8027">
        <v>33.748529055052501</v>
      </c>
      <c r="AI8027">
        <v>91.902299600713306</v>
      </c>
      <c r="AJ8027">
        <v>91.885833318728899</v>
      </c>
      <c r="AK8027">
        <v>33.7854374118915</v>
      </c>
      <c r="AL8027">
        <v>92.029368655599896</v>
      </c>
      <c r="AM8027">
        <v>92.961314551537299</v>
      </c>
      <c r="AN8027">
        <v>1.0000000117832499</v>
      </c>
    </row>
    <row r="8028" spans="1:40" x14ac:dyDescent="0.25">
      <c r="A8028" t="str">
        <f>"20190303154002579"</f>
        <v>20190303154002579</v>
      </c>
      <c r="B8028" t="str">
        <f>"1551598802577002"</f>
        <v>1551598802577002</v>
      </c>
      <c r="C8028" t="s">
        <v>40</v>
      </c>
      <c r="D8028">
        <v>4.8941670000000004</v>
      </c>
      <c r="E8028">
        <v>0.50805719999999999</v>
      </c>
      <c r="F8028" t="s">
        <v>63</v>
      </c>
      <c r="G8028">
        <v>-301.8553</v>
      </c>
      <c r="H8028" s="1">
        <v>-1.688193E-6</v>
      </c>
      <c r="I8028">
        <v>-42.626429999999999</v>
      </c>
      <c r="J8028">
        <v>-302.01339999999999</v>
      </c>
      <c r="K8028">
        <v>1.121537</v>
      </c>
      <c r="L8028">
        <v>-8.6465149999999902</v>
      </c>
      <c r="M8028">
        <v>-2.659108E-2</v>
      </c>
      <c r="N8028">
        <v>-1.2364170000000001E-2</v>
      </c>
      <c r="O8028">
        <v>-0.99956999999999996</v>
      </c>
      <c r="P8028">
        <v>2.3307439999999999E-2</v>
      </c>
      <c r="Q8028">
        <v>-4.7636199999999997E-2</v>
      </c>
      <c r="R8028">
        <v>-0.99859310000000001</v>
      </c>
      <c r="S8028">
        <v>1.3549800000000001E-2</v>
      </c>
      <c r="T8028">
        <v>-9.8462939999999999E-2</v>
      </c>
      <c r="U8028">
        <v>-2.9992679999999998</v>
      </c>
      <c r="V8028">
        <v>-4.9817060000000003E-2</v>
      </c>
      <c r="W8028">
        <v>-3.5351380000000002E-2</v>
      </c>
      <c r="X8028">
        <v>0.99813249999999998</v>
      </c>
      <c r="Y8028">
        <v>-3.1099269999999998E-2</v>
      </c>
      <c r="Z8028">
        <v>2.0425059999999998E-2</v>
      </c>
      <c r="AA8028">
        <v>0.99930759999999996</v>
      </c>
      <c r="AB8028">
        <v>18</v>
      </c>
      <c r="AC8028">
        <v>0.15809999999999</v>
      </c>
      <c r="AD8028">
        <v>-1.1215386881930001</v>
      </c>
      <c r="AE8028">
        <v>-33.979914999999998</v>
      </c>
      <c r="AF8028">
        <v>-1.0605204360573399</v>
      </c>
      <c r="AG8028">
        <v>-1.1215386881930001</v>
      </c>
      <c r="AH8028">
        <v>33.926734623032999</v>
      </c>
      <c r="AI8028">
        <v>91.892451598013906</v>
      </c>
      <c r="AJ8028">
        <v>91.790433592885705</v>
      </c>
      <c r="AK8028">
        <v>33.961829674004797</v>
      </c>
      <c r="AL8028">
        <v>92.025907046527195</v>
      </c>
      <c r="AM8028">
        <v>92.857276726498895</v>
      </c>
      <c r="AN8028">
        <v>0.999999973545598</v>
      </c>
    </row>
    <row r="8029" spans="1:40" x14ac:dyDescent="0.25">
      <c r="A8029" t="str">
        <f>"20190303154002602"</f>
        <v>20190303154002602</v>
      </c>
      <c r="B8029" t="str">
        <f>"1551598802596522"</f>
        <v>1551598802596522</v>
      </c>
      <c r="C8029" t="s">
        <v>40</v>
      </c>
      <c r="D8029">
        <v>4.8954120000000003</v>
      </c>
      <c r="E8029">
        <v>0.50836079999999995</v>
      </c>
      <c r="F8029" t="s">
        <v>63</v>
      </c>
      <c r="G8029">
        <v>-301.9323</v>
      </c>
      <c r="H8029" s="1">
        <v>-2.6066429999999999E-6</v>
      </c>
      <c r="I8029">
        <v>-44.054510000000001</v>
      </c>
      <c r="J8029">
        <v>-302.01690000000002</v>
      </c>
      <c r="K8029">
        <v>1.1215649999999999</v>
      </c>
      <c r="L8029">
        <v>-8.8292850000000005</v>
      </c>
      <c r="M8029">
        <v>-2.5555930000000001E-2</v>
      </c>
      <c r="N8029">
        <v>-1.2447099999999999E-2</v>
      </c>
      <c r="O8029">
        <v>-0.99959609999999999</v>
      </c>
      <c r="P8029">
        <v>2.2299320000000001E-2</v>
      </c>
      <c r="Q8029">
        <v>-4.8536500000000003E-2</v>
      </c>
      <c r="R8029">
        <v>-0.99857260000000003</v>
      </c>
      <c r="S8029">
        <v>6.8664549999999996E-3</v>
      </c>
      <c r="T8029">
        <v>-9.5009800000000005E-2</v>
      </c>
      <c r="U8029">
        <v>-2.9995419999999999</v>
      </c>
      <c r="V8029">
        <v>-4.7776140000000002E-2</v>
      </c>
      <c r="W8029">
        <v>-3.6164179999999997E-2</v>
      </c>
      <c r="X8029">
        <v>0.99820319999999996</v>
      </c>
      <c r="Y8029">
        <v>-2.7838189999999999E-2</v>
      </c>
      <c r="Z8029">
        <v>1.919353E-2</v>
      </c>
      <c r="AA8029">
        <v>0.99942819999999999</v>
      </c>
      <c r="AB8029">
        <v>18</v>
      </c>
      <c r="AC8029">
        <v>8.4600000000023101E-2</v>
      </c>
      <c r="AD8029">
        <v>-1.12156760664299</v>
      </c>
      <c r="AE8029">
        <v>-35.225225000000002</v>
      </c>
      <c r="AF8029">
        <v>-0.98385790392831196</v>
      </c>
      <c r="AG8029">
        <v>-1.12156760664299</v>
      </c>
      <c r="AH8029">
        <v>35.175895864170002</v>
      </c>
      <c r="AI8029">
        <v>91.825518013987306</v>
      </c>
      <c r="AJ8029">
        <v>91.602125869346594</v>
      </c>
      <c r="AK8029">
        <v>35.207521073178803</v>
      </c>
      <c r="AL8029">
        <v>92.072506767736698</v>
      </c>
      <c r="AM8029">
        <v>92.740207414063306</v>
      </c>
      <c r="AN8029">
        <v>1.0000000179793</v>
      </c>
    </row>
    <row r="8030" spans="1:40" x14ac:dyDescent="0.25">
      <c r="A8030" t="str">
        <f>"20190303154002624"</f>
        <v>20190303154002624</v>
      </c>
      <c r="B8030" t="str">
        <f>"1551598802616042"</f>
        <v>1551598802616042</v>
      </c>
      <c r="C8030" t="s">
        <v>40</v>
      </c>
      <c r="D8030">
        <v>4.8455579999999996</v>
      </c>
      <c r="E8030">
        <v>0.50838679999999903</v>
      </c>
      <c r="F8030" t="s">
        <v>63</v>
      </c>
      <c r="G8030">
        <v>-302.00189999999998</v>
      </c>
      <c r="H8030" s="1">
        <v>-2.5365690000000002E-6</v>
      </c>
      <c r="I8030">
        <v>-43.929009999999998</v>
      </c>
      <c r="J8030">
        <v>-302.0204</v>
      </c>
      <c r="K8030">
        <v>1.1215839999999999</v>
      </c>
      <c r="L8030">
        <v>-9.0125729999999997</v>
      </c>
      <c r="M8030">
        <v>-2.4537880000000001E-2</v>
      </c>
      <c r="N8030">
        <v>-1.254737E-2</v>
      </c>
      <c r="O8030">
        <v>-0.99962010000000001</v>
      </c>
      <c r="P8030">
        <v>2.1217059999999999E-2</v>
      </c>
      <c r="Q8030">
        <v>-4.8791920000000003E-2</v>
      </c>
      <c r="R8030">
        <v>-0.99858360000000002</v>
      </c>
      <c r="S8030">
        <v>1.2817379999999999E-3</v>
      </c>
      <c r="T8030">
        <v>-9.5848559999999999E-2</v>
      </c>
      <c r="U8030">
        <v>-2.999603</v>
      </c>
      <c r="V8030">
        <v>-4.5679570000000003E-2</v>
      </c>
      <c r="W8030">
        <v>-3.6314319999999997E-2</v>
      </c>
      <c r="X8030">
        <v>0.99829579999999996</v>
      </c>
      <c r="Y8030">
        <v>-2.495994E-2</v>
      </c>
      <c r="Z8030">
        <v>1.9374499999999999E-2</v>
      </c>
      <c r="AA8030">
        <v>0.99950070000000002</v>
      </c>
      <c r="AB8030">
        <v>18</v>
      </c>
      <c r="AC8030">
        <v>1.8500000000017201E-2</v>
      </c>
      <c r="AD8030">
        <v>-1.1215865365690001</v>
      </c>
      <c r="AE8030">
        <v>-34.916437000000002</v>
      </c>
      <c r="AF8030">
        <v>-0.87443500657142803</v>
      </c>
      <c r="AG8030">
        <v>-1.1215865365690001</v>
      </c>
      <c r="AH8030">
        <v>34.869488874150498</v>
      </c>
      <c r="AI8030">
        <v>91.841720447272806</v>
      </c>
      <c r="AJ8030">
        <v>91.436526270107393</v>
      </c>
      <c r="AK8030">
        <v>34.898479154316099</v>
      </c>
      <c r="AL8030">
        <v>92.081114996220293</v>
      </c>
      <c r="AM8030">
        <v>92.619887050802404</v>
      </c>
      <c r="AN8030">
        <v>0.99999992862504095</v>
      </c>
    </row>
    <row r="8031" spans="1:40" x14ac:dyDescent="0.25">
      <c r="A8031" t="str">
        <f>"20190303154002646"</f>
        <v>20190303154002646</v>
      </c>
      <c r="B8031" t="str">
        <f>"1551598802636539"</f>
        <v>1551598802636539</v>
      </c>
      <c r="C8031" t="s">
        <v>40</v>
      </c>
      <c r="D8031">
        <v>4.9046960000000004</v>
      </c>
      <c r="E8031">
        <v>0.50866400000000001</v>
      </c>
      <c r="F8031" t="s">
        <v>63</v>
      </c>
      <c r="G8031">
        <v>-302.04379999999998</v>
      </c>
      <c r="H8031" s="1">
        <v>-2.52362E-6</v>
      </c>
      <c r="I8031">
        <v>-43.899479999999997</v>
      </c>
      <c r="J8031">
        <v>-302.02359999999999</v>
      </c>
      <c r="K8031">
        <v>1.1215980000000001</v>
      </c>
      <c r="L8031">
        <v>-9.1904299999999992</v>
      </c>
      <c r="M8031">
        <v>-2.3564870000000002E-2</v>
      </c>
      <c r="N8031">
        <v>-1.2630000000000001E-2</v>
      </c>
      <c r="O8031">
        <v>-0.9996427</v>
      </c>
      <c r="P8031">
        <v>2.0804219999999998E-2</v>
      </c>
      <c r="Q8031">
        <v>-5.0535509999999999E-2</v>
      </c>
      <c r="R8031">
        <v>-0.99850589999999995</v>
      </c>
      <c r="S8031">
        <v>-2.0141600000000001E-3</v>
      </c>
      <c r="T8031">
        <v>-9.643388E-2</v>
      </c>
      <c r="U8031">
        <v>-2.9995729999999998</v>
      </c>
      <c r="V8031">
        <v>-4.4292989999999997E-2</v>
      </c>
      <c r="W8031">
        <v>-3.7972930000000002E-2</v>
      </c>
      <c r="X8031">
        <v>0.99829659999999998</v>
      </c>
      <c r="Y8031">
        <v>-2.2889099999999999E-2</v>
      </c>
      <c r="Z8031">
        <v>1.9489079999999999E-2</v>
      </c>
      <c r="AA8031">
        <v>0.99954799999999999</v>
      </c>
      <c r="AB8031">
        <v>18</v>
      </c>
      <c r="AC8031">
        <v>-2.0199999999988401E-2</v>
      </c>
      <c r="AD8031">
        <v>-1.12160052362</v>
      </c>
      <c r="AE8031">
        <v>-34.709049999999998</v>
      </c>
      <c r="AF8031">
        <v>-0.79695277075258897</v>
      </c>
      <c r="AG8031">
        <v>-1.12160052362</v>
      </c>
      <c r="AH8031">
        <v>34.663689735973598</v>
      </c>
      <c r="AI8031">
        <v>91.852763059714803</v>
      </c>
      <c r="AJ8031">
        <v>91.317055042274106</v>
      </c>
      <c r="AK8031">
        <v>34.690985969920703</v>
      </c>
      <c r="AL8031">
        <v>92.176211927973597</v>
      </c>
      <c r="AM8031">
        <v>92.540465502419096</v>
      </c>
      <c r="AN8031">
        <v>0.999999956973741</v>
      </c>
    </row>
    <row r="8032" spans="1:40" x14ac:dyDescent="0.25">
      <c r="A8032" t="str">
        <f>"20190303154002668"</f>
        <v>20190303154002668</v>
      </c>
      <c r="B8032" t="str">
        <f>"1551598802656058"</f>
        <v>1551598802656058</v>
      </c>
      <c r="C8032" t="s">
        <v>40</v>
      </c>
      <c r="D8032">
        <v>4.9005890000000001</v>
      </c>
      <c r="E8032">
        <v>0.50896790000000003</v>
      </c>
      <c r="F8032" t="s">
        <v>63</v>
      </c>
      <c r="G8032">
        <v>-302.08479999999997</v>
      </c>
      <c r="H8032" s="1">
        <v>-1.834317E-6</v>
      </c>
      <c r="I8032">
        <v>-42.806049999999999</v>
      </c>
      <c r="J8032">
        <v>-302.02679999999998</v>
      </c>
      <c r="K8032">
        <v>1.1216079999999999</v>
      </c>
      <c r="L8032">
        <v>-9.3752750000000002</v>
      </c>
      <c r="M8032">
        <v>-2.2573119999999999E-2</v>
      </c>
      <c r="N8032">
        <v>-1.270199E-2</v>
      </c>
      <c r="O8032">
        <v>-0.99966440000000001</v>
      </c>
      <c r="P8032">
        <v>2.109076E-2</v>
      </c>
      <c r="Q8032">
        <v>-5.2196819999999998E-2</v>
      </c>
      <c r="R8032">
        <v>-0.99841429999999998</v>
      </c>
      <c r="S8032">
        <v>-5.4626459999999998E-3</v>
      </c>
      <c r="T8032">
        <v>-0.100081</v>
      </c>
      <c r="U8032">
        <v>-2.9995419999999999</v>
      </c>
      <c r="V8032">
        <v>-4.3586239999999998E-2</v>
      </c>
      <c r="W8032">
        <v>-3.9562029999999998E-2</v>
      </c>
      <c r="X8032">
        <v>0.99826599999999999</v>
      </c>
      <c r="Y8032">
        <v>-2.0748519999999999E-2</v>
      </c>
      <c r="Z8032">
        <v>2.0633140000000001E-2</v>
      </c>
      <c r="AA8032">
        <v>0.99957180000000001</v>
      </c>
      <c r="AB8032">
        <v>18</v>
      </c>
      <c r="AC8032">
        <v>-5.7999999999992703E-2</v>
      </c>
      <c r="AD8032">
        <v>-1.121609834317</v>
      </c>
      <c r="AE8032">
        <v>-33.430774999999997</v>
      </c>
      <c r="AF8032">
        <v>-0.69592928925401099</v>
      </c>
      <c r="AG8032">
        <v>-1.121609834317</v>
      </c>
      <c r="AH8032">
        <v>33.3859849040455</v>
      </c>
      <c r="AI8032">
        <v>91.923723627647306</v>
      </c>
      <c r="AJ8032">
        <v>91.1941548981154</v>
      </c>
      <c r="AK8032">
        <v>33.412068391663901</v>
      </c>
      <c r="AL8032">
        <v>92.267329153017897</v>
      </c>
      <c r="AM8032">
        <v>92.500057582065295</v>
      </c>
      <c r="AN8032">
        <v>0.99999996064552799</v>
      </c>
    </row>
    <row r="8033" spans="1:40" x14ac:dyDescent="0.25">
      <c r="A8033" t="str">
        <f>"20190303154002697"</f>
        <v>20190303154002697</v>
      </c>
      <c r="B8033" t="str">
        <f>"1551598802686314"</f>
        <v>1551598802686314</v>
      </c>
      <c r="C8033" t="s">
        <v>40</v>
      </c>
      <c r="D8033">
        <v>4.9968000000000004</v>
      </c>
      <c r="E8033">
        <v>0.50911110000000004</v>
      </c>
      <c r="F8033" t="s">
        <v>63</v>
      </c>
      <c r="G8033">
        <v>-302.10160000000002</v>
      </c>
      <c r="H8033" s="1">
        <v>-1.2802029999999999E-6</v>
      </c>
      <c r="I8033">
        <v>-41.930599999999998</v>
      </c>
      <c r="J8033">
        <v>-302.03019999999998</v>
      </c>
      <c r="K8033">
        <v>1.121637</v>
      </c>
      <c r="L8033">
        <v>-9.5892029999999995</v>
      </c>
      <c r="M8033">
        <v>-2.145292E-2</v>
      </c>
      <c r="N8033">
        <v>-1.27881E-2</v>
      </c>
      <c r="O8033">
        <v>-0.99968809999999997</v>
      </c>
      <c r="P8033">
        <v>2.1983760000000001E-2</v>
      </c>
      <c r="Q8033">
        <v>-5.2799270000000002E-2</v>
      </c>
      <c r="R8033">
        <v>-0.99836340000000001</v>
      </c>
      <c r="S8033">
        <v>-6.8969729999999998E-3</v>
      </c>
      <c r="T8033">
        <v>-0.1033404</v>
      </c>
      <c r="U8033">
        <v>-2.9995120000000002</v>
      </c>
      <c r="V8033">
        <v>-4.3358290000000001E-2</v>
      </c>
      <c r="W8033">
        <v>-4.0079799999999999E-2</v>
      </c>
      <c r="X8033">
        <v>0.99825529999999996</v>
      </c>
      <c r="Y8033">
        <v>-1.9150540000000001E-2</v>
      </c>
      <c r="Z8033">
        <v>2.1633869999999999E-2</v>
      </c>
      <c r="AA8033">
        <v>0.99958250000000004</v>
      </c>
      <c r="AB8033">
        <v>18</v>
      </c>
      <c r="AC8033">
        <v>-7.1400000000039598E-2</v>
      </c>
      <c r="AD8033">
        <v>-1.121638280203</v>
      </c>
      <c r="AE8033">
        <v>-32.341397000000001</v>
      </c>
      <c r="AF8033">
        <v>-0.62174273572364402</v>
      </c>
      <c r="AG8033">
        <v>-1.121638280203</v>
      </c>
      <c r="AH8033">
        <v>32.2966388539202</v>
      </c>
      <c r="AI8033">
        <v>91.988672278349995</v>
      </c>
      <c r="AJ8033">
        <v>91.102865074240498</v>
      </c>
      <c r="AK8033">
        <v>32.322090243695399</v>
      </c>
      <c r="AL8033">
        <v>92.297018676610605</v>
      </c>
      <c r="AM8033">
        <v>92.487025710983602</v>
      </c>
      <c r="AN8033">
        <v>0.99999998782892696</v>
      </c>
    </row>
    <row r="8034" spans="1:40" x14ac:dyDescent="0.25">
      <c r="A8034" t="str">
        <f>"20190303154002713"</f>
        <v>20190303154002713</v>
      </c>
      <c r="B8034" t="str">
        <f>"1551598802705836"</f>
        <v>1551598802705836</v>
      </c>
      <c r="C8034" t="s">
        <v>40</v>
      </c>
      <c r="D8034">
        <v>4.9675060000000002</v>
      </c>
      <c r="E8034">
        <v>0.5090055</v>
      </c>
      <c r="F8034" t="s">
        <v>63</v>
      </c>
      <c r="G8034">
        <v>-302.08949999999999</v>
      </c>
      <c r="H8034" s="1">
        <v>-1.101342E-6</v>
      </c>
      <c r="I8034">
        <v>-41.651859999999999</v>
      </c>
      <c r="J8034">
        <v>-302.03250000000003</v>
      </c>
      <c r="K8034">
        <v>1.121658</v>
      </c>
      <c r="L8034">
        <v>-9.7390139999999992</v>
      </c>
      <c r="M8034">
        <v>-2.0673520000000001E-2</v>
      </c>
      <c r="N8034">
        <v>-1.285011E-2</v>
      </c>
      <c r="O8034">
        <v>-0.99970380000000003</v>
      </c>
      <c r="P8034">
        <v>2.2646010000000001E-2</v>
      </c>
      <c r="Q8034">
        <v>-5.1835239999999998E-2</v>
      </c>
      <c r="R8034">
        <v>-0.99839909999999998</v>
      </c>
      <c r="S8034">
        <v>-5.5541990000000001E-3</v>
      </c>
      <c r="T8034">
        <v>-0.10492990000000001</v>
      </c>
      <c r="U8034">
        <v>-2.9994809999999998</v>
      </c>
      <c r="V8034">
        <v>-4.3243910000000003E-2</v>
      </c>
      <c r="W8034">
        <v>-3.9054270000000002E-2</v>
      </c>
      <c r="X8034">
        <v>0.99830090000000005</v>
      </c>
      <c r="Y8034">
        <v>-1.8818540000000002E-2</v>
      </c>
      <c r="Z8034">
        <v>2.210208E-2</v>
      </c>
      <c r="AA8034">
        <v>0.99957859999999998</v>
      </c>
      <c r="AB8034">
        <v>18</v>
      </c>
      <c r="AC8034">
        <v>-5.69999999999595E-2</v>
      </c>
      <c r="AD8034">
        <v>-1.1216591013420001</v>
      </c>
      <c r="AE8034">
        <v>-31.912845999999998</v>
      </c>
      <c r="AF8034">
        <v>-0.60207368265248895</v>
      </c>
      <c r="AG8034">
        <v>-1.1216591013420001</v>
      </c>
      <c r="AH8034">
        <v>31.867835081753</v>
      </c>
      <c r="AI8034">
        <v>92.015460451534494</v>
      </c>
      <c r="AJ8034">
        <v>91.082350821906203</v>
      </c>
      <c r="AK8034">
        <v>31.893252023849399</v>
      </c>
      <c r="AL8034">
        <v>92.238214102725806</v>
      </c>
      <c r="AM8034">
        <v>92.480359934334501</v>
      </c>
      <c r="AN8034">
        <v>0.99999997934906504</v>
      </c>
    </row>
    <row r="8035" spans="1:40" x14ac:dyDescent="0.25">
      <c r="A8035" t="str">
        <f>"20190303154002736"</f>
        <v>20190303154002736</v>
      </c>
      <c r="B8035" t="str">
        <f>"1551598802726330"</f>
        <v>1551598802726330</v>
      </c>
      <c r="C8035" t="s">
        <v>40</v>
      </c>
      <c r="D8035">
        <v>4.9341679999999997</v>
      </c>
      <c r="E8035">
        <v>0.50900279999999998</v>
      </c>
      <c r="F8035" t="s">
        <v>63</v>
      </c>
      <c r="G8035">
        <v>-302.06299999999999</v>
      </c>
      <c r="H8035" s="1">
        <v>-1.278366E-6</v>
      </c>
      <c r="I8035">
        <v>-41.93618</v>
      </c>
      <c r="J8035">
        <v>-302.03500000000003</v>
      </c>
      <c r="K8035">
        <v>1.12168</v>
      </c>
      <c r="L8035">
        <v>-9.9203799999999998</v>
      </c>
      <c r="M8035">
        <v>-1.9721430000000002E-2</v>
      </c>
      <c r="N8035">
        <v>-1.291874E-2</v>
      </c>
      <c r="O8035">
        <v>-0.99972220000000001</v>
      </c>
      <c r="P8035">
        <v>2.3601179999999999E-2</v>
      </c>
      <c r="Q8035">
        <v>-5.0966669999999999E-2</v>
      </c>
      <c r="R8035">
        <v>-0.99842160000000002</v>
      </c>
      <c r="S8035">
        <v>-2.8381349999999999E-3</v>
      </c>
      <c r="T8035">
        <v>-0.1044924</v>
      </c>
      <c r="U8035">
        <v>-2.9994510000000001</v>
      </c>
      <c r="V8035">
        <v>-4.3248330000000001E-2</v>
      </c>
      <c r="W8035">
        <v>-3.8117890000000001E-2</v>
      </c>
      <c r="X8035">
        <v>0.99833689999999997</v>
      </c>
      <c r="Y8035">
        <v>-1.8771469999999998E-2</v>
      </c>
      <c r="Z8035">
        <v>2.188915E-2</v>
      </c>
      <c r="AA8035">
        <v>0.99958409999999998</v>
      </c>
      <c r="AB8035">
        <v>18</v>
      </c>
      <c r="AC8035">
        <v>-2.79999999999631E-2</v>
      </c>
      <c r="AD8035">
        <v>-1.121681278366</v>
      </c>
      <c r="AE8035">
        <v>-32.015799999999999</v>
      </c>
      <c r="AF8035">
        <v>-0.60271558969608696</v>
      </c>
      <c r="AG8035">
        <v>-1.121681278366</v>
      </c>
      <c r="AH8035">
        <v>31.970881365542301</v>
      </c>
      <c r="AI8035">
        <v>92.0090109272967</v>
      </c>
      <c r="AJ8035">
        <v>91.080013059824495</v>
      </c>
      <c r="AK8035">
        <v>31.996229313184401</v>
      </c>
      <c r="AL8035">
        <v>92.184523494471506</v>
      </c>
      <c r="AM8035">
        <v>92.480523798438</v>
      </c>
      <c r="AN8035">
        <v>0.99999997874372504</v>
      </c>
    </row>
    <row r="8036" spans="1:40" x14ac:dyDescent="0.25">
      <c r="A8036" t="str">
        <f>"20190303154002758"</f>
        <v>20190303154002758</v>
      </c>
      <c r="B8036" t="str">
        <f>"1551598802745851"</f>
        <v>1551598802745851</v>
      </c>
      <c r="C8036" t="s">
        <v>40</v>
      </c>
      <c r="D8036">
        <v>4.8814580000000003</v>
      </c>
      <c r="E8036">
        <v>0.50913549999999996</v>
      </c>
      <c r="F8036" t="s">
        <v>63</v>
      </c>
      <c r="G8036">
        <v>-302.03699999999998</v>
      </c>
      <c r="H8036" s="1">
        <v>-1.2296460000000001E-6</v>
      </c>
      <c r="I8036">
        <v>-41.865220000000001</v>
      </c>
      <c r="J8036">
        <v>-302.03739999999999</v>
      </c>
      <c r="K8036">
        <v>1.1216839999999999</v>
      </c>
      <c r="L8036">
        <v>-10.09775</v>
      </c>
      <c r="M8036">
        <v>-1.8775010000000002E-2</v>
      </c>
      <c r="N8036">
        <v>-1.297533E-2</v>
      </c>
      <c r="O8036">
        <v>-0.99973959999999995</v>
      </c>
      <c r="P8036">
        <v>2.5502420000000001E-2</v>
      </c>
      <c r="Q8036">
        <v>-5.1158309999999999E-2</v>
      </c>
      <c r="R8036">
        <v>-0.99836499999999995</v>
      </c>
      <c r="S8036">
        <v>-1.8310550000000001E-4</v>
      </c>
      <c r="T8036">
        <v>-0.1053166</v>
      </c>
      <c r="U8036">
        <v>-2.9993590000000001</v>
      </c>
      <c r="V8036">
        <v>-4.4203020000000003E-2</v>
      </c>
      <c r="W8036">
        <v>-3.8255490000000003E-2</v>
      </c>
      <c r="X8036">
        <v>0.9982898</v>
      </c>
      <c r="Y8036">
        <v>-1.8709730000000001E-2</v>
      </c>
      <c r="Z8036">
        <v>2.210879E-2</v>
      </c>
      <c r="AA8036">
        <v>0.99958049999999998</v>
      </c>
      <c r="AB8036">
        <v>18</v>
      </c>
      <c r="AC8036">
        <v>3.9999999995643499E-4</v>
      </c>
      <c r="AD8036">
        <v>-1.121685229646</v>
      </c>
      <c r="AE8036">
        <v>-31.767469999999999</v>
      </c>
      <c r="AF8036">
        <v>-0.59614143735287795</v>
      </c>
      <c r="AG8036">
        <v>-1.121685229646</v>
      </c>
      <c r="AH8036">
        <v>31.7223124677108</v>
      </c>
      <c r="AI8036">
        <v>92.024749424977898</v>
      </c>
      <c r="AJ8036">
        <v>91.076603995167005</v>
      </c>
      <c r="AK8036">
        <v>31.7477348903322</v>
      </c>
      <c r="AL8036">
        <v>92.1924131958353</v>
      </c>
      <c r="AM8036">
        <v>92.535329176989805</v>
      </c>
      <c r="AN8036">
        <v>0.99999995713814904</v>
      </c>
    </row>
    <row r="8037" spans="1:40" x14ac:dyDescent="0.25">
      <c r="A8037" t="str">
        <f>"20190303154002780"</f>
        <v>20190303154002780</v>
      </c>
      <c r="B8037" t="str">
        <f>"1551598802776106"</f>
        <v>1551598802776106</v>
      </c>
      <c r="C8037" t="s">
        <v>40</v>
      </c>
      <c r="D8037">
        <v>4.9178810000000004</v>
      </c>
      <c r="E8037">
        <v>0.50930679999999995</v>
      </c>
      <c r="F8037" t="s">
        <v>63</v>
      </c>
      <c r="G8037">
        <v>-301.99009999999998</v>
      </c>
      <c r="H8037" s="1">
        <v>-9.8290290000000008E-7</v>
      </c>
      <c r="I8037">
        <v>-41.487290000000002</v>
      </c>
      <c r="J8037">
        <v>-302.03960000000001</v>
      </c>
      <c r="K8037">
        <v>1.121691</v>
      </c>
      <c r="L8037">
        <v>-10.27713</v>
      </c>
      <c r="M8037">
        <v>-1.7804629999999998E-2</v>
      </c>
      <c r="N8037">
        <v>-1.302441E-2</v>
      </c>
      <c r="O8037">
        <v>-0.99975709999999995</v>
      </c>
      <c r="P8037">
        <v>2.775174E-2</v>
      </c>
      <c r="Q8037">
        <v>-5.225759E-2</v>
      </c>
      <c r="R8037">
        <v>-0.99824860000000004</v>
      </c>
      <c r="S8037">
        <v>4.5166019999999998E-3</v>
      </c>
      <c r="T8037">
        <v>-0.107178</v>
      </c>
      <c r="U8037">
        <v>-2.999298</v>
      </c>
      <c r="V8037">
        <v>-4.5480189999999997E-2</v>
      </c>
      <c r="W8037">
        <v>-3.9309120000000003E-2</v>
      </c>
      <c r="X8037">
        <v>0.99819150000000001</v>
      </c>
      <c r="Y8037">
        <v>-1.9305240000000001E-2</v>
      </c>
      <c r="Z8037">
        <v>2.2680430000000001E-2</v>
      </c>
      <c r="AA8037">
        <v>0.99955640000000001</v>
      </c>
      <c r="AB8037">
        <v>18</v>
      </c>
      <c r="AC8037">
        <v>4.9500000000023102E-2</v>
      </c>
      <c r="AD8037">
        <v>-1.12169198290289</v>
      </c>
      <c r="AE8037">
        <v>-31.210159999999998</v>
      </c>
      <c r="AF8037">
        <v>-0.60444364490782099</v>
      </c>
      <c r="AG8037">
        <v>-1.12169198290289</v>
      </c>
      <c r="AH8037">
        <v>31.164076541787999</v>
      </c>
      <c r="AI8037">
        <v>92.060976053231599</v>
      </c>
      <c r="AJ8037">
        <v>91.111142441057396</v>
      </c>
      <c r="AK8037">
        <v>31.190114006312999</v>
      </c>
      <c r="AL8037">
        <v>92.252827191474594</v>
      </c>
      <c r="AM8037">
        <v>92.608739901535898</v>
      </c>
      <c r="AN8037">
        <v>0.99999996263492896</v>
      </c>
    </row>
    <row r="8038" spans="1:40" x14ac:dyDescent="0.25">
      <c r="A8038" t="str">
        <f>"20190303154002803"</f>
        <v>20190303154002803</v>
      </c>
      <c r="B8038" t="str">
        <f>"1551598802796602"</f>
        <v>1551598802796602</v>
      </c>
      <c r="C8038" t="s">
        <v>40</v>
      </c>
      <c r="D8038">
        <v>4.8975720000000003</v>
      </c>
      <c r="E8038">
        <v>0.50950629999999997</v>
      </c>
      <c r="F8038" t="s">
        <v>42</v>
      </c>
      <c r="G8038">
        <v>-301.94049999999999</v>
      </c>
      <c r="H8038" s="1">
        <v>-5.4742819999999995E-7</v>
      </c>
      <c r="I8038">
        <v>-40.338380000000001</v>
      </c>
      <c r="J8038">
        <v>-302.04169999999999</v>
      </c>
      <c r="K8038">
        <v>1.121699</v>
      </c>
      <c r="L8038">
        <v>-10.45862</v>
      </c>
      <c r="M8038">
        <v>-1.6816279999999999E-2</v>
      </c>
      <c r="N8038">
        <v>-1.3069040000000001E-2</v>
      </c>
      <c r="O8038">
        <v>-0.99977329999999998</v>
      </c>
      <c r="P8038">
        <v>2.97065E-2</v>
      </c>
      <c r="Q8038">
        <v>-5.2882609999999997E-2</v>
      </c>
      <c r="R8038">
        <v>-0.99815900000000002</v>
      </c>
      <c r="S8038">
        <v>9.8876950000000002E-3</v>
      </c>
      <c r="T8038">
        <v>-0.1119087</v>
      </c>
      <c r="U8038">
        <v>-2.9991460000000001</v>
      </c>
      <c r="V8038">
        <v>-4.6445809999999997E-2</v>
      </c>
      <c r="W8038">
        <v>-3.9892110000000001E-2</v>
      </c>
      <c r="X8038">
        <v>0.99812389999999995</v>
      </c>
      <c r="Y8038">
        <v>-2.0106389999999998E-2</v>
      </c>
      <c r="Z8038">
        <v>2.4212299999999999E-2</v>
      </c>
      <c r="AA8038">
        <v>0.99950459999999997</v>
      </c>
      <c r="AB8038">
        <v>18</v>
      </c>
      <c r="AC8038">
        <v>0.10120000000000499</v>
      </c>
      <c r="AD8038">
        <v>-1.1216995474281899</v>
      </c>
      <c r="AE8038">
        <v>-29.879759999999902</v>
      </c>
      <c r="AF8038">
        <v>-0.60284538284862299</v>
      </c>
      <c r="AG8038">
        <v>-1.1216995474281899</v>
      </c>
      <c r="AH8038">
        <v>29.831791201388501</v>
      </c>
      <c r="AI8038">
        <v>92.152914215585895</v>
      </c>
      <c r="AJ8038">
        <v>91.157684273595805</v>
      </c>
      <c r="AK8038">
        <v>29.858958433166499</v>
      </c>
      <c r="AL8038">
        <v>92.286256295388398</v>
      </c>
      <c r="AM8038">
        <v>92.664228985126996</v>
      </c>
      <c r="AN8038">
        <v>0.99999995672900799</v>
      </c>
    </row>
    <row r="8039" spans="1:40" x14ac:dyDescent="0.25">
      <c r="A8039" t="str">
        <f>"20190303154002824"</f>
        <v>20190303154002824</v>
      </c>
      <c r="B8039" t="str">
        <f>"1551598802816123"</f>
        <v>1551598802816123</v>
      </c>
      <c r="C8039" t="s">
        <v>40</v>
      </c>
      <c r="D8039">
        <v>4.8341329999999996</v>
      </c>
      <c r="E8039">
        <v>0.50963890000000001</v>
      </c>
      <c r="F8039" t="s">
        <v>42</v>
      </c>
      <c r="G8039">
        <v>-301.90179999999998</v>
      </c>
      <c r="H8039" s="1">
        <v>-6.9547259999999998E-7</v>
      </c>
      <c r="I8039">
        <v>-39.969230000000003</v>
      </c>
      <c r="J8039">
        <v>-302.04360000000003</v>
      </c>
      <c r="K8039">
        <v>1.1217109999999999</v>
      </c>
      <c r="L8039">
        <v>-10.63828</v>
      </c>
      <c r="M8039">
        <v>-1.5836949999999999E-2</v>
      </c>
      <c r="N8039">
        <v>-1.3108750000000001E-2</v>
      </c>
      <c r="O8039">
        <v>-0.99978880000000003</v>
      </c>
      <c r="P8039">
        <v>3.1203169999999999E-2</v>
      </c>
      <c r="Q8039">
        <v>-5.2433540000000001E-2</v>
      </c>
      <c r="R8039">
        <v>-0.99813700000000005</v>
      </c>
      <c r="S8039">
        <v>1.422119E-2</v>
      </c>
      <c r="T8039">
        <v>-0.11399529999999999</v>
      </c>
      <c r="U8039">
        <v>-2.9990839999999999</v>
      </c>
      <c r="V8039">
        <v>-4.6965E-2</v>
      </c>
      <c r="W8039">
        <v>-3.9404550000000003E-2</v>
      </c>
      <c r="X8039">
        <v>0.99811899999999998</v>
      </c>
      <c r="Y8039">
        <v>-2.0570959999999999E-2</v>
      </c>
      <c r="Z8039">
        <v>2.4868189999999998E-2</v>
      </c>
      <c r="AA8039">
        <v>0.99947909999999995</v>
      </c>
      <c r="AB8039">
        <v>18</v>
      </c>
      <c r="AC8039">
        <v>0.141800000000046</v>
      </c>
      <c r="AD8039">
        <v>-1.1217116954726001</v>
      </c>
      <c r="AE8039">
        <v>-29.330949999999898</v>
      </c>
      <c r="AF8039">
        <v>-0.60544937166272395</v>
      </c>
      <c r="AG8039">
        <v>-1.1217116954726001</v>
      </c>
      <c r="AH8039">
        <v>29.2821994011498</v>
      </c>
      <c r="AI8039">
        <v>92.193285502880101</v>
      </c>
      <c r="AJ8039">
        <v>91.1844995342679</v>
      </c>
      <c r="AK8039">
        <v>29.309930191627998</v>
      </c>
      <c r="AL8039">
        <v>92.258299119286306</v>
      </c>
      <c r="AM8039">
        <v>92.693980385211006</v>
      </c>
      <c r="AN8039">
        <v>0.99999998397335099</v>
      </c>
    </row>
    <row r="8040" spans="1:40" x14ac:dyDescent="0.25">
      <c r="A8040" t="str">
        <f>"20190303154002847"</f>
        <v>20190303154002847</v>
      </c>
      <c r="B8040" t="str">
        <f>"1551598802836618"</f>
        <v>1551598802836618</v>
      </c>
      <c r="C8040" t="s">
        <v>40</v>
      </c>
      <c r="D8040">
        <v>4.8964879999999997</v>
      </c>
      <c r="E8040">
        <v>0.50973059999999903</v>
      </c>
      <c r="F8040" t="s">
        <v>63</v>
      </c>
      <c r="G8040">
        <v>-301.86610000000002</v>
      </c>
      <c r="H8040" s="1">
        <v>-5.8869479999999995E-7</v>
      </c>
      <c r="I8040">
        <v>-40.59966</v>
      </c>
      <c r="J8040">
        <v>-302.04520000000002</v>
      </c>
      <c r="K8040">
        <v>1.121718</v>
      </c>
      <c r="L8040">
        <v>-10.816039999999999</v>
      </c>
      <c r="M8040">
        <v>-1.4866519999999999E-2</v>
      </c>
      <c r="N8040">
        <v>-1.3142920000000001E-2</v>
      </c>
      <c r="O8040">
        <v>-0.99980329999999995</v>
      </c>
      <c r="P8040">
        <v>3.1990240000000003E-2</v>
      </c>
      <c r="Q8040">
        <v>-5.1155720000000002E-2</v>
      </c>
      <c r="R8040">
        <v>-0.99817840000000002</v>
      </c>
      <c r="S8040">
        <v>1.7761229999999999E-2</v>
      </c>
      <c r="T8040">
        <v>-0.1122837</v>
      </c>
      <c r="U8040">
        <v>-2.9991460000000001</v>
      </c>
      <c r="V8040">
        <v>-4.678558E-2</v>
      </c>
      <c r="W8040">
        <v>-3.8092029999999999E-2</v>
      </c>
      <c r="X8040">
        <v>0.99817840000000002</v>
      </c>
      <c r="Y8040">
        <v>-2.078023E-2</v>
      </c>
      <c r="Z8040">
        <v>2.4264270000000001E-2</v>
      </c>
      <c r="AA8040">
        <v>0.99948959999999998</v>
      </c>
      <c r="AB8040">
        <v>18</v>
      </c>
      <c r="AC8040">
        <v>0.17910000000000501</v>
      </c>
      <c r="AD8040">
        <v>-1.1217185886948</v>
      </c>
      <c r="AE8040">
        <v>-29.783619999999999</v>
      </c>
      <c r="AF8040">
        <v>-0.621016300710592</v>
      </c>
      <c r="AG8040">
        <v>-1.1217185886948</v>
      </c>
      <c r="AH8040">
        <v>29.7354884720888</v>
      </c>
      <c r="AI8040">
        <v>92.159886797944395</v>
      </c>
      <c r="AJ8040">
        <v>91.1964303601399</v>
      </c>
      <c r="AK8040">
        <v>29.763117923223302</v>
      </c>
      <c r="AL8040">
        <v>92.183040689772398</v>
      </c>
      <c r="AM8040">
        <v>92.683544200033495</v>
      </c>
      <c r="AN8040">
        <v>1.0000000057359999</v>
      </c>
    </row>
    <row r="8041" spans="1:40" x14ac:dyDescent="0.25">
      <c r="A8041" t="str">
        <f>"20190303154002870"</f>
        <v>20190303154002870</v>
      </c>
      <c r="B8041" t="str">
        <f>"1551598802865898"</f>
        <v>1551598802865898</v>
      </c>
      <c r="C8041" t="s">
        <v>40</v>
      </c>
      <c r="D8041">
        <v>4.9666009999999998</v>
      </c>
      <c r="E8041">
        <v>0.50994680000000003</v>
      </c>
      <c r="F8041" t="s">
        <v>63</v>
      </c>
      <c r="G8041">
        <v>-301.84840000000003</v>
      </c>
      <c r="H8041" s="1">
        <v>-9.5066789999999998E-7</v>
      </c>
      <c r="I8041">
        <v>-41.467619999999997</v>
      </c>
      <c r="J8041">
        <v>-302.04680000000002</v>
      </c>
      <c r="K8041">
        <v>1.121723</v>
      </c>
      <c r="L8041">
        <v>-11.002039999999999</v>
      </c>
      <c r="M8041">
        <v>-1.384442E-2</v>
      </c>
      <c r="N8041">
        <v>-1.313741E-2</v>
      </c>
      <c r="O8041">
        <v>-0.99981810000000004</v>
      </c>
      <c r="P8041">
        <v>3.364495E-2</v>
      </c>
      <c r="Q8041">
        <v>-5.0241790000000001E-2</v>
      </c>
      <c r="R8041">
        <v>-0.99817040000000001</v>
      </c>
      <c r="S8041">
        <v>1.9256590000000001E-2</v>
      </c>
      <c r="T8041">
        <v>-0.10975939999999999</v>
      </c>
      <c r="U8041">
        <v>-2.9992369999999999</v>
      </c>
      <c r="V8041">
        <v>-4.7420230000000001E-2</v>
      </c>
      <c r="W8041">
        <v>-3.7184740000000001E-2</v>
      </c>
      <c r="X8041">
        <v>0.99818269999999998</v>
      </c>
      <c r="Y8041">
        <v>-2.0256699999999999E-2</v>
      </c>
      <c r="Z8041">
        <v>2.342957E-2</v>
      </c>
      <c r="AA8041">
        <v>0.99952019999999997</v>
      </c>
      <c r="AB8041">
        <v>18</v>
      </c>
      <c r="AC8041">
        <v>0.198399999999992</v>
      </c>
      <c r="AD8041">
        <v>-1.12172395066789</v>
      </c>
      <c r="AE8041">
        <v>-30.465579999999999</v>
      </c>
      <c r="AF8041">
        <v>-0.61935596095547696</v>
      </c>
      <c r="AG8041">
        <v>-1.12172395066789</v>
      </c>
      <c r="AH8041">
        <v>30.418676896944401</v>
      </c>
      <c r="AI8041">
        <v>92.1114540744979</v>
      </c>
      <c r="AJ8041">
        <v>91.166440605473198</v>
      </c>
      <c r="AK8041">
        <v>30.445652737107999</v>
      </c>
      <c r="AL8041">
        <v>92.131019860770493</v>
      </c>
      <c r="AM8041">
        <v>92.719880685612907</v>
      </c>
      <c r="AN8041">
        <v>1.0000000428407001</v>
      </c>
    </row>
    <row r="8042" spans="1:40" x14ac:dyDescent="0.25">
      <c r="A8042" t="str">
        <f>"20190303154002894"</f>
        <v>20190303154002894</v>
      </c>
      <c r="B8042" t="str">
        <f>"1551598802886394"</f>
        <v>1551598802886394</v>
      </c>
      <c r="C8042" t="s">
        <v>40</v>
      </c>
      <c r="D8042">
        <v>4.9418850000000001</v>
      </c>
      <c r="E8042">
        <v>0.50985829999999999</v>
      </c>
      <c r="F8042" t="s">
        <v>63</v>
      </c>
      <c r="G8042">
        <v>-301.80869999999999</v>
      </c>
      <c r="H8042" s="1">
        <v>-1.646108E-6</v>
      </c>
      <c r="I8042">
        <v>-42.570419999999999</v>
      </c>
      <c r="J8042">
        <v>-302.04809999999998</v>
      </c>
      <c r="K8042">
        <v>1.121691</v>
      </c>
      <c r="L8042">
        <v>-11.18604</v>
      </c>
      <c r="M8042">
        <v>-1.283111E-2</v>
      </c>
      <c r="N8042">
        <v>-1.301414E-2</v>
      </c>
      <c r="O8042">
        <v>-0.99983290000000002</v>
      </c>
      <c r="P8042">
        <v>3.5384739999999998E-2</v>
      </c>
      <c r="Q8042">
        <v>-5.0596769999999999E-2</v>
      </c>
      <c r="R8042">
        <v>-0.99809219999999998</v>
      </c>
      <c r="S8042">
        <v>2.261353E-2</v>
      </c>
      <c r="T8042">
        <v>-0.1065768</v>
      </c>
      <c r="U8042">
        <v>-2.9993590000000001</v>
      </c>
      <c r="V8042">
        <v>-4.8146639999999997E-2</v>
      </c>
      <c r="W8042">
        <v>-3.7664999999999997E-2</v>
      </c>
      <c r="X8042">
        <v>0.99812990000000001</v>
      </c>
      <c r="Y8042">
        <v>-2.0362109999999999E-2</v>
      </c>
      <c r="Z8042">
        <v>2.2492640000000001E-2</v>
      </c>
      <c r="AA8042">
        <v>0.99953959999999997</v>
      </c>
      <c r="AB8042">
        <v>18</v>
      </c>
      <c r="AC8042">
        <v>0.23939999999998901</v>
      </c>
      <c r="AD8042">
        <v>-1.1216926461079999</v>
      </c>
      <c r="AE8042">
        <v>-31.38438</v>
      </c>
      <c r="AF8042">
        <v>-0.64129173409751405</v>
      </c>
      <c r="AG8042">
        <v>-1.1216926461079999</v>
      </c>
      <c r="AH8042">
        <v>31.3386947650332</v>
      </c>
      <c r="AI8042">
        <v>92.049459833995201</v>
      </c>
      <c r="AJ8042">
        <v>91.172294592148802</v>
      </c>
      <c r="AK8042">
        <v>31.365319049173898</v>
      </c>
      <c r="AL8042">
        <v>92.158556061753501</v>
      </c>
      <c r="AM8042">
        <v>92.761627207216904</v>
      </c>
      <c r="AN8042">
        <v>1.00000002422114</v>
      </c>
    </row>
    <row r="8043" spans="1:40" x14ac:dyDescent="0.25">
      <c r="A8043" t="str">
        <f>"20190303154002914"</f>
        <v>20190303154002914</v>
      </c>
      <c r="B8043" t="str">
        <f>"1551598802905915"</f>
        <v>1551598802905915</v>
      </c>
      <c r="C8043" t="s">
        <v>40</v>
      </c>
      <c r="D8043">
        <v>4.8725809999999896</v>
      </c>
      <c r="E8043">
        <v>0.4876721</v>
      </c>
      <c r="F8043" t="s">
        <v>63</v>
      </c>
      <c r="G8043">
        <v>-301.75200000000001</v>
      </c>
      <c r="H8043" s="1">
        <v>-1.5584599999999999E-6</v>
      </c>
      <c r="I8043">
        <v>-42.444960000000002</v>
      </c>
      <c r="J8043">
        <v>-302.04910000000001</v>
      </c>
      <c r="K8043">
        <v>1.121645</v>
      </c>
      <c r="L8043">
        <v>-11.357570000000001</v>
      </c>
      <c r="M8043">
        <v>-1.188376E-2</v>
      </c>
      <c r="N8043">
        <v>-1.283053E-2</v>
      </c>
      <c r="O8043">
        <v>-0.99984720000000005</v>
      </c>
      <c r="P8043">
        <v>3.7244590000000001E-2</v>
      </c>
      <c r="Q8043">
        <v>-5.097724E-2</v>
      </c>
      <c r="R8043">
        <v>-0.99800529999999998</v>
      </c>
      <c r="S8043">
        <v>2.8411869999999999E-2</v>
      </c>
      <c r="T8043">
        <v>-0.1076255</v>
      </c>
      <c r="U8043">
        <v>-2.9992679999999998</v>
      </c>
      <c r="V8043">
        <v>-4.9059369999999998E-2</v>
      </c>
      <c r="W8043">
        <v>-3.8230750000000001E-2</v>
      </c>
      <c r="X8043">
        <v>0.9980639</v>
      </c>
      <c r="Y8043">
        <v>-2.134687E-2</v>
      </c>
      <c r="Z8043">
        <v>2.3026209999999998E-2</v>
      </c>
      <c r="AA8043">
        <v>0.99950700000000003</v>
      </c>
      <c r="AB8043">
        <v>18</v>
      </c>
      <c r="AC8043">
        <v>0.29709999999999998</v>
      </c>
      <c r="AD8043">
        <v>-1.1216465584599999</v>
      </c>
      <c r="AE8043">
        <v>-31.087389999999999</v>
      </c>
      <c r="AF8043">
        <v>-0.66567796244972099</v>
      </c>
      <c r="AG8043">
        <v>-1.1216465584599999</v>
      </c>
      <c r="AH8043">
        <v>31.0412577168991</v>
      </c>
      <c r="AI8043">
        <v>92.068953308111503</v>
      </c>
      <c r="AJ8043">
        <v>91.228516349543298</v>
      </c>
      <c r="AK8043">
        <v>31.068648164970799</v>
      </c>
      <c r="AL8043">
        <v>92.190994609802502</v>
      </c>
      <c r="AM8043">
        <v>92.814082602869206</v>
      </c>
      <c r="AN8043">
        <v>0.99999998025678405</v>
      </c>
    </row>
    <row r="8044" spans="1:40" x14ac:dyDescent="0.25">
      <c r="A8044" t="str">
        <f>"20190303154002937"</f>
        <v>20190303154002937</v>
      </c>
      <c r="B8044" t="str">
        <f>"1551598802926411"</f>
        <v>1551598802926411</v>
      </c>
      <c r="C8044" t="s">
        <v>40</v>
      </c>
      <c r="D8044">
        <v>4.8369099999999996</v>
      </c>
      <c r="E8044">
        <v>0.48758449999999998</v>
      </c>
      <c r="F8044" t="s">
        <v>42</v>
      </c>
      <c r="G8044">
        <v>-300.26400000000001</v>
      </c>
      <c r="H8044" s="1">
        <v>-1.646728E-6</v>
      </c>
      <c r="I8044">
        <v>-36.736040000000003</v>
      </c>
      <c r="J8044">
        <v>-302.05009999999999</v>
      </c>
      <c r="K8044">
        <v>1.121594</v>
      </c>
      <c r="L8044">
        <v>-11.535489999999999</v>
      </c>
      <c r="M8044">
        <v>-1.0896950000000001E-2</v>
      </c>
      <c r="N8044">
        <v>-1.2599000000000001E-2</v>
      </c>
      <c r="O8044">
        <v>-0.99986149999999996</v>
      </c>
      <c r="P8044">
        <v>3.8402070000000003E-2</v>
      </c>
      <c r="Q8044">
        <v>-5.0877890000000002E-2</v>
      </c>
      <c r="R8044">
        <v>-0.99796649999999998</v>
      </c>
      <c r="S8044">
        <v>0.21041869999999999</v>
      </c>
      <c r="T8044">
        <v>-0.13220999999999999</v>
      </c>
      <c r="U8044">
        <v>-2.9913940000000001</v>
      </c>
      <c r="V8044">
        <v>-4.9231879999999999E-2</v>
      </c>
      <c r="W8044">
        <v>-3.8362390000000003E-2</v>
      </c>
      <c r="X8044">
        <v>0.9980504</v>
      </c>
      <c r="Y8044">
        <v>-8.0971199999999993E-2</v>
      </c>
      <c r="Z8044">
        <v>3.142793E-2</v>
      </c>
      <c r="AA8044">
        <v>0.99622080000000002</v>
      </c>
      <c r="AB8044">
        <v>18</v>
      </c>
      <c r="AC8044">
        <v>1.78609999999997</v>
      </c>
      <c r="AD8044">
        <v>-1.1215956467279999</v>
      </c>
      <c r="AE8044">
        <v>-25.20055</v>
      </c>
      <c r="AF8044">
        <v>-2.0565713915302601</v>
      </c>
      <c r="AG8044">
        <v>-1.1215956467279999</v>
      </c>
      <c r="AH8044">
        <v>25.1300587499877</v>
      </c>
      <c r="AI8044">
        <v>92.547004918099404</v>
      </c>
      <c r="AJ8044">
        <v>94.678495171588594</v>
      </c>
      <c r="AK8044">
        <v>25.2390038523919</v>
      </c>
      <c r="AL8044">
        <v>92.198542462896199</v>
      </c>
      <c r="AM8044">
        <v>92.824000053511696</v>
      </c>
      <c r="AN8044">
        <v>1.0000000259574999</v>
      </c>
    </row>
    <row r="8045" spans="1:40" x14ac:dyDescent="0.25">
      <c r="A8045" t="str">
        <f>"20190303154002959"</f>
        <v>20190303154002959</v>
      </c>
      <c r="B8045" t="str">
        <f>"1551598802945931"</f>
        <v>1551598802945931</v>
      </c>
      <c r="C8045" t="s">
        <v>40</v>
      </c>
      <c r="D8045">
        <v>4.8435779999999999</v>
      </c>
      <c r="E8045">
        <v>0.48627130000000002</v>
      </c>
      <c r="F8045" t="s">
        <v>42</v>
      </c>
      <c r="G8045">
        <v>-300.17500000000001</v>
      </c>
      <c r="H8045" s="1">
        <v>-1.2147589999999999E-6</v>
      </c>
      <c r="I8045">
        <v>-37.68777</v>
      </c>
      <c r="J8045">
        <v>-302.05090000000001</v>
      </c>
      <c r="K8045">
        <v>1.1215360000000001</v>
      </c>
      <c r="L8045">
        <v>-11.716089999999999</v>
      </c>
      <c r="M8045">
        <v>-9.8928939999999993E-3</v>
      </c>
      <c r="N8045">
        <v>-1.232078E-2</v>
      </c>
      <c r="O8045">
        <v>-0.99987530000000002</v>
      </c>
      <c r="P8045">
        <v>3.8262289999999997E-2</v>
      </c>
      <c r="Q8045">
        <v>-5.0682709999999999E-2</v>
      </c>
      <c r="R8045">
        <v>-0.99798189999999998</v>
      </c>
      <c r="S8045">
        <v>0.21447749999999999</v>
      </c>
      <c r="T8045">
        <v>-0.1282896</v>
      </c>
      <c r="U8045">
        <v>-2.991333</v>
      </c>
      <c r="V8045">
        <v>-4.809095E-2</v>
      </c>
      <c r="W8045">
        <v>-3.8442400000000002E-2</v>
      </c>
      <c r="X8045">
        <v>0.99810290000000002</v>
      </c>
      <c r="Y8045">
        <v>-8.1320229999999993E-2</v>
      </c>
      <c r="Z8045">
        <v>3.040178E-2</v>
      </c>
      <c r="AA8045">
        <v>0.9962242</v>
      </c>
      <c r="AB8045">
        <v>18</v>
      </c>
      <c r="AC8045">
        <v>1.8758999999999999</v>
      </c>
      <c r="AD8045">
        <v>-1.1215372147589999</v>
      </c>
      <c r="AE8045">
        <v>-25.971679999999999</v>
      </c>
      <c r="AF8045">
        <v>-2.1288135681024198</v>
      </c>
      <c r="AG8045">
        <v>-1.1215372147589999</v>
      </c>
      <c r="AH8045">
        <v>25.9037952275871</v>
      </c>
      <c r="AI8045">
        <v>92.470824789783904</v>
      </c>
      <c r="AJ8045">
        <v>94.698097224602904</v>
      </c>
      <c r="AK8045">
        <v>26.0153089569313</v>
      </c>
      <c r="AL8045">
        <v>92.203130187198596</v>
      </c>
      <c r="AM8045">
        <v>92.758512343504606</v>
      </c>
      <c r="AN8045">
        <v>0.99999997828903597</v>
      </c>
    </row>
    <row r="8046" spans="1:40" x14ac:dyDescent="0.25">
      <c r="A8046" t="str">
        <f>"20190303154002982"</f>
        <v>20190303154002982</v>
      </c>
      <c r="B8046" t="str">
        <f>"1551598802976186"</f>
        <v>1551598802976186</v>
      </c>
      <c r="C8046" t="s">
        <v>40</v>
      </c>
      <c r="D8046">
        <v>4.8862100000000002</v>
      </c>
      <c r="E8046">
        <v>0.48549379999999998</v>
      </c>
      <c r="F8046" t="s">
        <v>42</v>
      </c>
      <c r="G8046">
        <v>-300.1952</v>
      </c>
      <c r="H8046" s="1">
        <v>-1.7508090000000001E-6</v>
      </c>
      <c r="I8046">
        <v>-36.450769999999999</v>
      </c>
      <c r="J8046">
        <v>-302.05149999999998</v>
      </c>
      <c r="K8046">
        <v>1.121469</v>
      </c>
      <c r="L8046">
        <v>-11.901059999999999</v>
      </c>
      <c r="M8046">
        <v>-8.8648259999999993E-3</v>
      </c>
      <c r="N8046">
        <v>-1.199004E-2</v>
      </c>
      <c r="O8046">
        <v>-0.99988909999999998</v>
      </c>
      <c r="P8046">
        <v>3.728716E-2</v>
      </c>
      <c r="Q8046">
        <v>-5.1030880000000001E-2</v>
      </c>
      <c r="R8046">
        <v>-0.99800100000000003</v>
      </c>
      <c r="S8046">
        <v>0.22436519999999999</v>
      </c>
      <c r="T8046">
        <v>-0.13560059999999999</v>
      </c>
      <c r="U8046">
        <v>-2.99057</v>
      </c>
      <c r="V8046">
        <v>-4.6089779999999997E-2</v>
      </c>
      <c r="W8046">
        <v>-3.9117369999999999E-2</v>
      </c>
      <c r="X8046">
        <v>0.99817109999999998</v>
      </c>
      <c r="Y8046">
        <v>-8.3581870000000003E-2</v>
      </c>
      <c r="Z8046">
        <v>3.3165970000000003E-2</v>
      </c>
      <c r="AA8046">
        <v>0.99594890000000003</v>
      </c>
      <c r="AB8046">
        <v>18</v>
      </c>
      <c r="AC8046">
        <v>1.8562999999999701</v>
      </c>
      <c r="AD8046">
        <v>-1.121470750809</v>
      </c>
      <c r="AE8046">
        <v>-24.549710000000001</v>
      </c>
      <c r="AF8046">
        <v>-2.0695772761709299</v>
      </c>
      <c r="AG8046">
        <v>-1.121470750809</v>
      </c>
      <c r="AH8046">
        <v>24.4814904518364</v>
      </c>
      <c r="AI8046">
        <v>92.613515442354597</v>
      </c>
      <c r="AJ8046">
        <v>94.832090582295805</v>
      </c>
      <c r="AK8046">
        <v>24.594394106997601</v>
      </c>
      <c r="AL8046">
        <v>92.241832205871802</v>
      </c>
      <c r="AM8046">
        <v>92.643710607025</v>
      </c>
      <c r="AN8046">
        <v>0.99999999066568701</v>
      </c>
    </row>
    <row r="8047" spans="1:40" x14ac:dyDescent="0.25">
      <c r="A8047" t="str">
        <f>"20190303154003004"</f>
        <v>20190303154003004</v>
      </c>
      <c r="B8047" t="str">
        <f>"1551598802996683"</f>
        <v>1551598802996683</v>
      </c>
      <c r="C8047" t="s">
        <v>40</v>
      </c>
      <c r="D8047">
        <v>4.9057170000000001</v>
      </c>
      <c r="E8047">
        <v>0.484767</v>
      </c>
      <c r="F8047" t="s">
        <v>42</v>
      </c>
      <c r="G8047">
        <v>-300.26369999999997</v>
      </c>
      <c r="H8047" s="1">
        <v>-2.2187579999999999E-6</v>
      </c>
      <c r="I8047">
        <v>-35.402429999999903</v>
      </c>
      <c r="J8047">
        <v>-302.05200000000002</v>
      </c>
      <c r="K8047">
        <v>1.12141</v>
      </c>
      <c r="L8047">
        <v>-12.079800000000001</v>
      </c>
      <c r="M8047">
        <v>-7.8745740000000005E-3</v>
      </c>
      <c r="N8047">
        <v>-1.1633050000000001E-2</v>
      </c>
      <c r="O8047">
        <v>-0.9999015</v>
      </c>
      <c r="P8047">
        <v>3.6624780000000003E-2</v>
      </c>
      <c r="Q8047">
        <v>-5.1482319999999998E-2</v>
      </c>
      <c r="R8047">
        <v>-0.99800219999999995</v>
      </c>
      <c r="S8047">
        <v>0.22747800000000001</v>
      </c>
      <c r="T8047">
        <v>-0.14269079999999901</v>
      </c>
      <c r="U8047">
        <v>-2.9902039999999999</v>
      </c>
      <c r="V8047">
        <v>-4.4438119999999998E-2</v>
      </c>
      <c r="W8047">
        <v>-3.9922909999999999E-2</v>
      </c>
      <c r="X8047">
        <v>0.99821409999999999</v>
      </c>
      <c r="Y8047">
        <v>-8.3627670000000001E-2</v>
      </c>
      <c r="Z8047">
        <v>3.5884449999999998E-2</v>
      </c>
      <c r="AA8047">
        <v>0.99585069999999998</v>
      </c>
      <c r="AB8047">
        <v>18</v>
      </c>
      <c r="AC8047">
        <v>1.78830000000004</v>
      </c>
      <c r="AD8047">
        <v>-1.121412218758</v>
      </c>
      <c r="AE8047">
        <v>-23.32263</v>
      </c>
      <c r="AF8047">
        <v>-1.9673908253840999</v>
      </c>
      <c r="AG8047">
        <v>-1.121412218758</v>
      </c>
      <c r="AH8047">
        <v>23.254375381124099</v>
      </c>
      <c r="AI8047">
        <v>92.751063256773705</v>
      </c>
      <c r="AJ8047">
        <v>94.835881117155395</v>
      </c>
      <c r="AK8047">
        <v>23.364378151160299</v>
      </c>
      <c r="AL8047">
        <v>92.288022342313297</v>
      </c>
      <c r="AM8047">
        <v>92.548988981413601</v>
      </c>
      <c r="AN8047">
        <v>0.99999998734540596</v>
      </c>
    </row>
    <row r="8048" spans="1:40" x14ac:dyDescent="0.25">
      <c r="A8048" t="str">
        <f>"20190303154003026"</f>
        <v>20190303154003026</v>
      </c>
      <c r="B8048" t="str">
        <f>"1551598803016203"</f>
        <v>1551598803016203</v>
      </c>
      <c r="C8048" t="s">
        <v>40</v>
      </c>
      <c r="D8048">
        <v>4.8102130000000001</v>
      </c>
      <c r="E8048">
        <v>0.48484949999999999</v>
      </c>
      <c r="F8048" t="s">
        <v>42</v>
      </c>
      <c r="G8048">
        <v>-300.31549999999999</v>
      </c>
      <c r="H8048" s="1">
        <v>-2.6047330000000001E-6</v>
      </c>
      <c r="I8048">
        <v>-34.534880000000001</v>
      </c>
      <c r="J8048">
        <v>-302.05220000000003</v>
      </c>
      <c r="K8048">
        <v>1.121354</v>
      </c>
      <c r="L8048">
        <v>-12.26422</v>
      </c>
      <c r="M8048">
        <v>-6.8566690000000001E-3</v>
      </c>
      <c r="N8048">
        <v>-1.123525E-2</v>
      </c>
      <c r="O8048">
        <v>-0.99991350000000001</v>
      </c>
      <c r="P8048">
        <v>3.564925E-2</v>
      </c>
      <c r="Q8048">
        <v>-5.1716230000000002E-2</v>
      </c>
      <c r="R8048">
        <v>-0.99802570000000002</v>
      </c>
      <c r="S8048">
        <v>0.2312012</v>
      </c>
      <c r="T8048">
        <v>-0.14931179999999999</v>
      </c>
      <c r="U8048">
        <v>-2.9898069999999999</v>
      </c>
      <c r="V8048">
        <v>-4.2445919999999998E-2</v>
      </c>
      <c r="W8048">
        <v>-4.0551339999999998E-2</v>
      </c>
      <c r="X8048">
        <v>0.99827549999999998</v>
      </c>
      <c r="Y8048">
        <v>-8.3848649999999997E-2</v>
      </c>
      <c r="Z8048">
        <v>3.8487109999999998E-2</v>
      </c>
      <c r="AA8048">
        <v>0.99573500000000004</v>
      </c>
      <c r="AB8048">
        <v>18</v>
      </c>
      <c r="AC8048">
        <v>1.7367000000000401</v>
      </c>
      <c r="AD8048">
        <v>-1.1213566047329999</v>
      </c>
      <c r="AE8048">
        <v>-22.270659999999999</v>
      </c>
      <c r="AF8048">
        <v>-1.8846222190950599</v>
      </c>
      <c r="AG8048">
        <v>-1.1213566047329999</v>
      </c>
      <c r="AH8048">
        <v>22.2022795156639</v>
      </c>
      <c r="AI8048">
        <v>92.8810020640922</v>
      </c>
      <c r="AJ8048">
        <v>94.851874274879407</v>
      </c>
      <c r="AK8048">
        <v>22.310321764496202</v>
      </c>
      <c r="AL8048">
        <v>92.324057835840705</v>
      </c>
      <c r="AM8048">
        <v>92.434706736816807</v>
      </c>
      <c r="AN8048">
        <v>1.0000000206003401</v>
      </c>
    </row>
    <row r="8049" spans="1:40" x14ac:dyDescent="0.25">
      <c r="A8049" t="str">
        <f>"20190303154003048"</f>
        <v>20190303154003048</v>
      </c>
      <c r="B8049" t="str">
        <f>"1551598803036699"</f>
        <v>1551598803036699</v>
      </c>
      <c r="C8049" t="s">
        <v>40</v>
      </c>
      <c r="D8049">
        <v>4.8974849999999996</v>
      </c>
      <c r="E8049">
        <v>0.48455809999999999</v>
      </c>
      <c r="F8049" t="s">
        <v>42</v>
      </c>
      <c r="G8049">
        <v>-300.3415</v>
      </c>
      <c r="H8049" s="1">
        <v>-2.5332909999999999E-6</v>
      </c>
      <c r="I8049">
        <v>-34.717529999999996</v>
      </c>
      <c r="J8049">
        <v>-302.0523</v>
      </c>
      <c r="K8049">
        <v>1.1213</v>
      </c>
      <c r="L8049">
        <v>-12.443569999999999</v>
      </c>
      <c r="M8049">
        <v>-5.8690180000000002E-3</v>
      </c>
      <c r="N8049">
        <v>-1.082867E-2</v>
      </c>
      <c r="O8049">
        <v>-0.99992440000000005</v>
      </c>
      <c r="P8049">
        <v>3.5465139999999999E-2</v>
      </c>
      <c r="Q8049">
        <v>-5.0976870000000001E-2</v>
      </c>
      <c r="R8049">
        <v>-0.99807020000000002</v>
      </c>
      <c r="S8049">
        <v>0.22781370000000001</v>
      </c>
      <c r="T8049">
        <v>-0.14932819999999999</v>
      </c>
      <c r="U8049">
        <v>-2.9900509999999998</v>
      </c>
      <c r="V8049">
        <v>-4.1275930000000002E-2</v>
      </c>
      <c r="W8049">
        <v>-4.021628E-2</v>
      </c>
      <c r="X8049">
        <v>0.99833810000000001</v>
      </c>
      <c r="Y8049">
        <v>-8.1737160000000003E-2</v>
      </c>
      <c r="Z8049">
        <v>3.8902369999999999E-2</v>
      </c>
      <c r="AA8049">
        <v>0.99589439999999996</v>
      </c>
      <c r="AB8049">
        <v>18</v>
      </c>
      <c r="AC8049">
        <v>1.7108000000000001</v>
      </c>
      <c r="AD8049">
        <v>-1.121302533291</v>
      </c>
      <c r="AE8049">
        <v>-22.273959999999899</v>
      </c>
      <c r="AF8049">
        <v>-1.8368766184304</v>
      </c>
      <c r="AG8049">
        <v>-1.121302533291</v>
      </c>
      <c r="AH8049">
        <v>22.207585359441101</v>
      </c>
      <c r="AI8049">
        <v>92.8806955596108</v>
      </c>
      <c r="AJ8049">
        <v>94.7283953358791</v>
      </c>
      <c r="AK8049">
        <v>22.311617659402501</v>
      </c>
      <c r="AL8049">
        <v>92.304844670884805</v>
      </c>
      <c r="AM8049">
        <v>92.367525030141493</v>
      </c>
      <c r="AN8049">
        <v>1.0000000067429999</v>
      </c>
    </row>
    <row r="8050" spans="1:40" x14ac:dyDescent="0.25">
      <c r="A8050" t="str">
        <f>"20190303154003072"</f>
        <v>20190303154003072</v>
      </c>
      <c r="B8050" t="str">
        <f>"1551598803066443"</f>
        <v>1551598803066443</v>
      </c>
      <c r="C8050" t="s">
        <v>40</v>
      </c>
      <c r="D8050">
        <v>4.7356910000000001</v>
      </c>
      <c r="E8050">
        <v>0.48495270000000001</v>
      </c>
      <c r="F8050" t="s">
        <v>42</v>
      </c>
      <c r="G8050">
        <v>-300.3202</v>
      </c>
      <c r="H8050" s="1">
        <v>-2.4067580000000001E-6</v>
      </c>
      <c r="I8050">
        <v>-34.999279999999999</v>
      </c>
      <c r="J8050">
        <v>-302.05220000000003</v>
      </c>
      <c r="K8050">
        <v>1.121248</v>
      </c>
      <c r="L8050">
        <v>-12.63354</v>
      </c>
      <c r="M8050">
        <v>-4.8234289999999997E-3</v>
      </c>
      <c r="N8050">
        <v>-1.039169E-2</v>
      </c>
      <c r="O8050">
        <v>-0.9999344</v>
      </c>
      <c r="P8050">
        <v>3.5364119999999999E-2</v>
      </c>
      <c r="Q8050">
        <v>-5.0439579999999998E-2</v>
      </c>
      <c r="R8050">
        <v>-0.99810089999999996</v>
      </c>
      <c r="S8050">
        <v>0.22961429999999999</v>
      </c>
      <c r="T8050">
        <v>-0.1486431</v>
      </c>
      <c r="U8050">
        <v>-2.9900509999999998</v>
      </c>
      <c r="V8050">
        <v>-4.0131189999999997E-2</v>
      </c>
      <c r="W8050">
        <v>-4.011385E-2</v>
      </c>
      <c r="X8050">
        <v>0.99838890000000002</v>
      </c>
      <c r="Y8050">
        <v>-8.1292059999999999E-2</v>
      </c>
      <c r="Z8050">
        <v>3.9112050000000002E-2</v>
      </c>
      <c r="AA8050">
        <v>0.99592259999999999</v>
      </c>
      <c r="AB8050">
        <v>18</v>
      </c>
      <c r="AC8050">
        <v>1.73200000000002</v>
      </c>
      <c r="AD8050">
        <v>-1.121250406758</v>
      </c>
      <c r="AE8050">
        <v>-22.365739999999999</v>
      </c>
      <c r="AF8050">
        <v>-1.8352801775160099</v>
      </c>
      <c r="AG8050">
        <v>-1.121250406758</v>
      </c>
      <c r="AH8050">
        <v>22.301409882120002</v>
      </c>
      <c r="AI8050">
        <v>92.868561767182499</v>
      </c>
      <c r="AJ8050">
        <v>94.704518190872804</v>
      </c>
      <c r="AK8050">
        <v>22.4048730979436</v>
      </c>
      <c r="AL8050">
        <v>92.298971106755403</v>
      </c>
      <c r="AM8050">
        <v>92.301819110624706</v>
      </c>
      <c r="AN8050">
        <v>1.00000001450792</v>
      </c>
    </row>
    <row r="8051" spans="1:40" x14ac:dyDescent="0.25">
      <c r="A8051" t="str">
        <f>"20190303154003095"</f>
        <v>20190303154003095</v>
      </c>
      <c r="B8051" t="str">
        <f>"1551598803085963"</f>
        <v>1551598803085963</v>
      </c>
      <c r="C8051" t="s">
        <v>40</v>
      </c>
      <c r="D8051">
        <v>4.7483769999999996</v>
      </c>
      <c r="E8051">
        <v>0.4850101</v>
      </c>
      <c r="F8051" t="s">
        <v>42</v>
      </c>
      <c r="G8051">
        <v>-300.2894</v>
      </c>
      <c r="H8051" s="1">
        <v>-1.9929800000000001E-6</v>
      </c>
      <c r="I8051">
        <v>-35.944710000000001</v>
      </c>
      <c r="J8051">
        <v>-302.05189999999999</v>
      </c>
      <c r="K8051">
        <v>1.121202</v>
      </c>
      <c r="L8051">
        <v>-12.83231</v>
      </c>
      <c r="M8051">
        <v>-3.7289290000000002E-3</v>
      </c>
      <c r="N8051">
        <v>-9.9483530000000001E-3</v>
      </c>
      <c r="O8051">
        <v>-0.99994349999999999</v>
      </c>
      <c r="P8051">
        <v>3.6039330000000001E-2</v>
      </c>
      <c r="Q8051">
        <v>-4.9477210000000001E-2</v>
      </c>
      <c r="R8051">
        <v>-0.99812500000000004</v>
      </c>
      <c r="S8051">
        <v>0.22613530000000001</v>
      </c>
      <c r="T8051">
        <v>-0.14383699999999999</v>
      </c>
      <c r="U8051">
        <v>-2.9904169999999999</v>
      </c>
      <c r="V8051">
        <v>-3.9714010000000001E-2</v>
      </c>
      <c r="W8051">
        <v>-3.9593629999999998E-2</v>
      </c>
      <c r="X8051">
        <v>0.99842629999999999</v>
      </c>
      <c r="Y8051">
        <v>-7.9045550000000006E-2</v>
      </c>
      <c r="Z8051">
        <v>3.795921E-2</v>
      </c>
      <c r="AA8051">
        <v>0.99614800000000003</v>
      </c>
      <c r="AB8051">
        <v>19</v>
      </c>
      <c r="AC8051">
        <v>1.76249999999998</v>
      </c>
      <c r="AD8051">
        <v>-1.12120399298</v>
      </c>
      <c r="AE8051">
        <v>-23.112400000000001</v>
      </c>
      <c r="AF8051">
        <v>-1.84436125417841</v>
      </c>
      <c r="AG8051">
        <v>-1.12120399298</v>
      </c>
      <c r="AH8051">
        <v>23.051732495747899</v>
      </c>
      <c r="AI8051">
        <v>92.775735641404495</v>
      </c>
      <c r="AJ8051">
        <v>94.574471154700802</v>
      </c>
      <c r="AK8051">
        <v>23.152562231539498</v>
      </c>
      <c r="AL8051">
        <v>92.269141104240106</v>
      </c>
      <c r="AM8051">
        <v>92.277830867499901</v>
      </c>
      <c r="AN8051">
        <v>0.99999996732927199</v>
      </c>
    </row>
    <row r="8052" spans="1:40" x14ac:dyDescent="0.25">
      <c r="A8052" t="str">
        <f>"20190303154003120"</f>
        <v>20190303154003120</v>
      </c>
      <c r="B8052" t="str">
        <f>"1551598803116219"</f>
        <v>1551598803116219</v>
      </c>
      <c r="C8052" t="s">
        <v>40</v>
      </c>
      <c r="D8052">
        <v>4.7323969999999997</v>
      </c>
      <c r="E8052">
        <v>0.48541000000000001</v>
      </c>
      <c r="F8052" t="s">
        <v>42</v>
      </c>
      <c r="G8052">
        <v>-300.22070000000002</v>
      </c>
      <c r="H8052" s="1">
        <v>-1.571718E-6</v>
      </c>
      <c r="I8052">
        <v>-36.884030000000003</v>
      </c>
      <c r="J8052">
        <v>-302.05130000000003</v>
      </c>
      <c r="K8052">
        <v>1.121165</v>
      </c>
      <c r="L8052">
        <v>-13.03528</v>
      </c>
      <c r="M8052">
        <v>-2.6113320000000001E-3</v>
      </c>
      <c r="N8052">
        <v>-9.5235790000000008E-3</v>
      </c>
      <c r="O8052">
        <v>-0.99995140000000005</v>
      </c>
      <c r="P8052">
        <v>3.7550800000000002E-2</v>
      </c>
      <c r="Q8052">
        <v>-4.87895E-2</v>
      </c>
      <c r="R8052">
        <v>-0.99810310000000002</v>
      </c>
      <c r="S8052">
        <v>0.2276917</v>
      </c>
      <c r="T8052">
        <v>-0.13940669999999999</v>
      </c>
      <c r="U8052">
        <v>-2.9905089999999999</v>
      </c>
      <c r="V8052">
        <v>-4.0110050000000001E-2</v>
      </c>
      <c r="W8052">
        <v>-3.9330959999999998E-2</v>
      </c>
      <c r="X8052">
        <v>0.99842089999999994</v>
      </c>
      <c r="Y8052">
        <v>-7.8449379999999999E-2</v>
      </c>
      <c r="Z8052">
        <v>3.6910449999999997E-2</v>
      </c>
      <c r="AA8052">
        <v>0.99623459999999997</v>
      </c>
      <c r="AB8052">
        <v>19</v>
      </c>
      <c r="AC8052">
        <v>1.8306</v>
      </c>
      <c r="AD8052">
        <v>-1.1211665717179999</v>
      </c>
      <c r="AE8052">
        <v>-23.8487499999999</v>
      </c>
      <c r="AF8052">
        <v>-1.8887237858875701</v>
      </c>
      <c r="AG8052">
        <v>-1.1211665717179999</v>
      </c>
      <c r="AH8052">
        <v>23.791614651474799</v>
      </c>
      <c r="AI8052">
        <v>92.689586349044404</v>
      </c>
      <c r="AJ8052">
        <v>94.538970045268698</v>
      </c>
      <c r="AK8052">
        <v>23.8927859351978</v>
      </c>
      <c r="AL8052">
        <v>92.254079377096502</v>
      </c>
      <c r="AM8052">
        <v>92.300534222590201</v>
      </c>
      <c r="AN8052">
        <v>1.00000001704116</v>
      </c>
    </row>
    <row r="8053" spans="1:40" x14ac:dyDescent="0.25">
      <c r="A8053" t="str">
        <f>"20190303154003139"</f>
        <v>20190303154003139</v>
      </c>
      <c r="B8053" t="str">
        <f>"1551598803125980"</f>
        <v>1551598803125980</v>
      </c>
      <c r="C8053" t="s">
        <v>40</v>
      </c>
      <c r="D8053">
        <v>4.7150290000000004</v>
      </c>
      <c r="E8053">
        <v>0.48556329999999998</v>
      </c>
      <c r="F8053" t="s">
        <v>42</v>
      </c>
      <c r="G8053">
        <v>-300.14429999999999</v>
      </c>
      <c r="H8053" s="1">
        <v>-1.1046829999999999E-6</v>
      </c>
      <c r="I8053">
        <v>-37.925339999999998</v>
      </c>
      <c r="J8053">
        <v>-302.05070000000001</v>
      </c>
      <c r="K8053">
        <v>1.1211409999999999</v>
      </c>
      <c r="L8053">
        <v>-13.19666</v>
      </c>
      <c r="M8053">
        <v>-1.7227200000000001E-3</v>
      </c>
      <c r="N8053">
        <v>-9.1988910000000007E-3</v>
      </c>
      <c r="O8053">
        <v>-0.99995619999999996</v>
      </c>
      <c r="P8053">
        <v>3.9618279999999999E-2</v>
      </c>
      <c r="Q8053">
        <v>-4.8116100000000002E-2</v>
      </c>
      <c r="R8053">
        <v>-0.99805569999999999</v>
      </c>
      <c r="S8053">
        <v>0.229126</v>
      </c>
      <c r="T8053">
        <v>-0.13470660000000001</v>
      </c>
      <c r="U8053">
        <v>-2.9905089999999999</v>
      </c>
      <c r="V8053">
        <v>-4.1290319999999998E-2</v>
      </c>
      <c r="W8053">
        <v>-3.8983829999999997E-2</v>
      </c>
      <c r="X8053">
        <v>0.99838640000000001</v>
      </c>
      <c r="Y8053">
        <v>-7.8043459999999995E-2</v>
      </c>
      <c r="Z8053">
        <v>3.5672660000000002E-2</v>
      </c>
      <c r="AA8053">
        <v>0.99631150000000002</v>
      </c>
      <c r="AB8053">
        <v>19</v>
      </c>
      <c r="AC8053">
        <v>1.9064000000000101</v>
      </c>
      <c r="AD8053">
        <v>-1.1211421046829999</v>
      </c>
      <c r="AE8053">
        <v>-24.728680000000001</v>
      </c>
      <c r="AF8053">
        <v>-1.94502516879223</v>
      </c>
      <c r="AG8053">
        <v>-1.1211421046829999</v>
      </c>
      <c r="AH8053">
        <v>24.674939061728701</v>
      </c>
      <c r="AI8053">
        <v>92.593494771219198</v>
      </c>
      <c r="AJ8053">
        <v>94.507073926140194</v>
      </c>
      <c r="AK8053">
        <v>24.776858158898001</v>
      </c>
      <c r="AL8053">
        <v>92.234175028804302</v>
      </c>
      <c r="AM8053">
        <v>92.368235033413697</v>
      </c>
      <c r="AN8053">
        <v>1.0000000166160601</v>
      </c>
    </row>
    <row r="8054" spans="1:40" x14ac:dyDescent="0.25">
      <c r="A8054" t="str">
        <f>"20190303154003160"</f>
        <v>20190303154003160</v>
      </c>
      <c r="B8054" t="str">
        <f>"1551598803156678"</f>
        <v>1551598803156678</v>
      </c>
      <c r="C8054" t="s">
        <v>40</v>
      </c>
      <c r="D8054">
        <v>4.6900440000000003</v>
      </c>
      <c r="E8054">
        <v>0.48590660000000002</v>
      </c>
      <c r="F8054" t="s">
        <v>42</v>
      </c>
      <c r="G8054">
        <v>-300.06029999999998</v>
      </c>
      <c r="H8054" s="1">
        <v>-7.8416759999999898E-7</v>
      </c>
      <c r="I8054">
        <v>-38.620379999999997</v>
      </c>
      <c r="J8054">
        <v>-302.04989999999998</v>
      </c>
      <c r="K8054">
        <v>1.1211120000000001</v>
      </c>
      <c r="L8054">
        <v>-13.380710000000001</v>
      </c>
      <c r="M8054">
        <v>-7.0841519999999996E-4</v>
      </c>
      <c r="N8054">
        <v>-8.8280800000000003E-3</v>
      </c>
      <c r="O8054">
        <v>-0.99996070000000004</v>
      </c>
      <c r="P8054">
        <v>4.2426409999999998E-2</v>
      </c>
      <c r="Q8054">
        <v>-4.7374260000000001E-2</v>
      </c>
      <c r="R8054">
        <v>-0.99797570000000002</v>
      </c>
      <c r="S8054">
        <v>0.23410030000000001</v>
      </c>
      <c r="T8054">
        <v>-0.1318628</v>
      </c>
      <c r="U8054">
        <v>-2.9902039999999999</v>
      </c>
      <c r="V8054">
        <v>-4.308613E-2</v>
      </c>
      <c r="W8054">
        <v>-3.8615379999999998E-2</v>
      </c>
      <c r="X8054">
        <v>0.99832480000000001</v>
      </c>
      <c r="Y8054">
        <v>-7.8690120000000002E-2</v>
      </c>
      <c r="Z8054">
        <v>3.5098570000000003E-2</v>
      </c>
      <c r="AA8054">
        <v>0.99628110000000003</v>
      </c>
      <c r="AB8054">
        <v>19</v>
      </c>
      <c r="AC8054">
        <v>1.98959999999999</v>
      </c>
      <c r="AD8054">
        <v>-1.1211127841676001</v>
      </c>
      <c r="AE8054">
        <v>-25.23967</v>
      </c>
      <c r="AF8054">
        <v>-2.0035517313410902</v>
      </c>
      <c r="AG8054">
        <v>-1.1211127841676001</v>
      </c>
      <c r="AH8054">
        <v>25.188862955259001</v>
      </c>
      <c r="AI8054">
        <v>92.540441059595096</v>
      </c>
      <c r="AJ8054">
        <v>94.547798694306195</v>
      </c>
      <c r="AK8054">
        <v>25.2932783639014</v>
      </c>
      <c r="AL8054">
        <v>92.213048562741903</v>
      </c>
      <c r="AM8054">
        <v>92.471262227992298</v>
      </c>
      <c r="AN8054">
        <v>0.99999998423297998</v>
      </c>
    </row>
    <row r="8055" spans="1:40" x14ac:dyDescent="0.25">
      <c r="A8055" t="str">
        <f>"20190303154003184"</f>
        <v>20190303154003184</v>
      </c>
      <c r="B8055" t="str">
        <f>"1551598803176197"</f>
        <v>1551598803176197</v>
      </c>
      <c r="C8055" t="s">
        <v>40</v>
      </c>
      <c r="D8055">
        <v>4.7167940000000002</v>
      </c>
      <c r="E8055">
        <v>0.48613699999999999</v>
      </c>
      <c r="F8055" t="s">
        <v>42</v>
      </c>
      <c r="G8055">
        <v>-299.93740000000003</v>
      </c>
      <c r="H8055" s="1">
        <v>-2.8977109999999899E-7</v>
      </c>
      <c r="I8055">
        <v>-39.717619999999997</v>
      </c>
      <c r="J8055">
        <v>-302.04880000000003</v>
      </c>
      <c r="K8055">
        <v>1.1210770000000001</v>
      </c>
      <c r="L8055">
        <v>-13.574400000000001</v>
      </c>
      <c r="M8055">
        <v>3.5976759999999997E-4</v>
      </c>
      <c r="N8055">
        <v>-8.4246410000000001E-3</v>
      </c>
      <c r="O8055">
        <v>-0.99996479999999999</v>
      </c>
      <c r="P8055">
        <v>4.4937610000000003E-2</v>
      </c>
      <c r="Q8055">
        <v>-4.6013140000000001E-2</v>
      </c>
      <c r="R8055">
        <v>-0.99792970000000003</v>
      </c>
      <c r="S8055">
        <v>0.2398071</v>
      </c>
      <c r="T8055">
        <v>-0.12727179999999999</v>
      </c>
      <c r="U8055">
        <v>-2.9898380000000002</v>
      </c>
      <c r="V8055">
        <v>-4.4532000000000002E-2</v>
      </c>
      <c r="W8055">
        <v>-3.765955E-2</v>
      </c>
      <c r="X8055">
        <v>0.99829789999999996</v>
      </c>
      <c r="Y8055">
        <v>-7.9528849999999998E-2</v>
      </c>
      <c r="Z8055">
        <v>3.397588E-2</v>
      </c>
      <c r="AA8055">
        <v>0.99625339999999996</v>
      </c>
      <c r="AB8055">
        <v>19</v>
      </c>
      <c r="AC8055">
        <v>2.1114000000000002</v>
      </c>
      <c r="AD8055">
        <v>-1.1210772897711001</v>
      </c>
      <c r="AE8055">
        <v>-26.143219999999999</v>
      </c>
      <c r="AF8055">
        <v>-2.0981607902429298</v>
      </c>
      <c r="AG8055">
        <v>-1.1210772897711001</v>
      </c>
      <c r="AH8055">
        <v>26.096301009145101</v>
      </c>
      <c r="AI8055">
        <v>92.451968104368106</v>
      </c>
      <c r="AJ8055">
        <v>94.596732780646803</v>
      </c>
      <c r="AK8055">
        <v>26.204503798989698</v>
      </c>
      <c r="AL8055">
        <v>92.158243589472505</v>
      </c>
      <c r="AM8055">
        <v>92.554152715170801</v>
      </c>
      <c r="AN8055">
        <v>1.0000000189373</v>
      </c>
    </row>
    <row r="8056" spans="1:40" x14ac:dyDescent="0.25">
      <c r="A8056" t="str">
        <f>"20190303154003205"</f>
        <v>20190303154003205</v>
      </c>
      <c r="B8056" t="str">
        <f>"1551598803196694"</f>
        <v>1551598803196694</v>
      </c>
      <c r="C8056" t="s">
        <v>40</v>
      </c>
      <c r="D8056">
        <v>4.6884969999999999</v>
      </c>
      <c r="E8056">
        <v>0.48634620000000001</v>
      </c>
      <c r="F8056" t="s">
        <v>63</v>
      </c>
      <c r="G8056">
        <v>-299.80610000000001</v>
      </c>
      <c r="H8056" s="1">
        <v>-3.5391960000000001E-7</v>
      </c>
      <c r="I8056">
        <v>-40.879440000000002</v>
      </c>
      <c r="J8056">
        <v>-302.04750000000001</v>
      </c>
      <c r="K8056">
        <v>1.1210260000000001</v>
      </c>
      <c r="L8056">
        <v>-13.759740000000001</v>
      </c>
      <c r="M8056">
        <v>1.382849E-3</v>
      </c>
      <c r="N8056">
        <v>-8.0235480000000001E-3</v>
      </c>
      <c r="O8056">
        <v>-0.99996719999999895</v>
      </c>
      <c r="P8056">
        <v>4.6432500000000002E-2</v>
      </c>
      <c r="Q8056">
        <v>-4.520718E-2</v>
      </c>
      <c r="R8056">
        <v>-0.99789799999999995</v>
      </c>
      <c r="S8056">
        <v>0.2455444</v>
      </c>
      <c r="T8056">
        <v>-0.12274160000000001</v>
      </c>
      <c r="U8056">
        <v>-2.9895019999999999</v>
      </c>
      <c r="V8056">
        <v>-4.500585E-2</v>
      </c>
      <c r="W8056">
        <v>-3.7255169999999997E-2</v>
      </c>
      <c r="X8056">
        <v>0.99829179999999995</v>
      </c>
      <c r="Y8056">
        <v>-8.0421590000000001E-2</v>
      </c>
      <c r="Z8056">
        <v>3.2870089999999998E-2</v>
      </c>
      <c r="AA8056">
        <v>0.99621879999999996</v>
      </c>
      <c r="AB8056">
        <v>19</v>
      </c>
      <c r="AC8056">
        <v>2.2413999999999898</v>
      </c>
      <c r="AD8056">
        <v>-1.1210263539195999</v>
      </c>
      <c r="AE8056">
        <v>-27.119700000000002</v>
      </c>
      <c r="AF8056">
        <v>-2.2001603378011101</v>
      </c>
      <c r="AG8056">
        <v>-1.1210263539195999</v>
      </c>
      <c r="AH8056">
        <v>27.0768218246854</v>
      </c>
      <c r="AI8056">
        <v>92.363009225786001</v>
      </c>
      <c r="AJ8056">
        <v>94.645432776644995</v>
      </c>
      <c r="AK8056">
        <v>27.189183248563701</v>
      </c>
      <c r="AL8056">
        <v>92.135058100255705</v>
      </c>
      <c r="AM8056">
        <v>92.581309777614507</v>
      </c>
      <c r="AN8056">
        <v>0.99999999608659496</v>
      </c>
    </row>
    <row r="8057" spans="1:40" x14ac:dyDescent="0.25">
      <c r="A8057" t="str">
        <f>"20190303154003226"</f>
        <v>20190303154003226</v>
      </c>
      <c r="B8057" t="str">
        <f>"1551598803216214"</f>
        <v>1551598803216214</v>
      </c>
      <c r="C8057" t="s">
        <v>40</v>
      </c>
      <c r="D8057">
        <v>4.7127679999999996</v>
      </c>
      <c r="E8057">
        <v>0.48646630000000002</v>
      </c>
      <c r="F8057" t="s">
        <v>63</v>
      </c>
      <c r="G8057">
        <v>-299.7217</v>
      </c>
      <c r="H8057" s="1">
        <v>-9.2836090000000002E-7</v>
      </c>
      <c r="I8057">
        <v>-41.747880000000002</v>
      </c>
      <c r="J8057">
        <v>-302.04610000000002</v>
      </c>
      <c r="K8057">
        <v>1.120981</v>
      </c>
      <c r="L8057">
        <v>-13.94952</v>
      </c>
      <c r="M8057">
        <v>2.4300250000000002E-3</v>
      </c>
      <c r="N8057">
        <v>-7.6038249999999998E-3</v>
      </c>
      <c r="O8057">
        <v>-0.99996810000000003</v>
      </c>
      <c r="P8057">
        <v>4.7150459999999998E-2</v>
      </c>
      <c r="Q8057">
        <v>-4.4924350000000002E-2</v>
      </c>
      <c r="R8057">
        <v>-0.99787709999999996</v>
      </c>
      <c r="S8057">
        <v>0.2484131</v>
      </c>
      <c r="T8057">
        <v>-0.1197343</v>
      </c>
      <c r="U8057">
        <v>-2.9893489999999998</v>
      </c>
      <c r="V8057">
        <v>-4.467811E-2</v>
      </c>
      <c r="W8057">
        <v>-3.7391439999999998E-2</v>
      </c>
      <c r="X8057">
        <v>0.99830140000000001</v>
      </c>
      <c r="Y8057">
        <v>-8.0334260000000005E-2</v>
      </c>
      <c r="Z8057">
        <v>3.228992E-2</v>
      </c>
      <c r="AA8057">
        <v>0.99624480000000004</v>
      </c>
      <c r="AB8057">
        <v>19</v>
      </c>
      <c r="AC8057">
        <v>2.3244000000000198</v>
      </c>
      <c r="AD8057">
        <v>-1.1209819283608999</v>
      </c>
      <c r="AE8057">
        <v>-27.798359999999999</v>
      </c>
      <c r="AF8057">
        <v>-2.2532018818677502</v>
      </c>
      <c r="AG8057">
        <v>-1.1209819283608999</v>
      </c>
      <c r="AH8057">
        <v>27.7590995703296</v>
      </c>
      <c r="AI8057">
        <v>92.304918173736496</v>
      </c>
      <c r="AJ8057">
        <v>94.640516120770897</v>
      </c>
      <c r="AK8057">
        <v>27.872946169352801</v>
      </c>
      <c r="AL8057">
        <v>92.142871297519605</v>
      </c>
      <c r="AM8057">
        <v>92.562512794805599</v>
      </c>
      <c r="AN8057">
        <v>0.99999996927020196</v>
      </c>
    </row>
    <row r="8058" spans="1:40" x14ac:dyDescent="0.25">
      <c r="A8058" t="str">
        <f>"20190303154003250"</f>
        <v>20190303154003250</v>
      </c>
      <c r="B8058" t="str">
        <f>"1551598803246470"</f>
        <v>1551598803246470</v>
      </c>
      <c r="C8058" t="s">
        <v>40</v>
      </c>
      <c r="D8058">
        <v>4.7024720000000002</v>
      </c>
      <c r="E8058">
        <v>0.486794</v>
      </c>
      <c r="F8058" t="s">
        <v>63</v>
      </c>
      <c r="G8058">
        <v>-299.69639999999998</v>
      </c>
      <c r="H8058" s="1">
        <v>-1.16067E-6</v>
      </c>
      <c r="I8058">
        <v>-42.10275</v>
      </c>
      <c r="J8058">
        <v>-302.04430000000002</v>
      </c>
      <c r="K8058">
        <v>1.12094</v>
      </c>
      <c r="L8058">
        <v>-14.14639</v>
      </c>
      <c r="M8058">
        <v>3.5155469999999999E-3</v>
      </c>
      <c r="N8058">
        <v>-7.172276E-3</v>
      </c>
      <c r="O8058">
        <v>-0.99996819999999997</v>
      </c>
      <c r="P8058">
        <v>4.7708670000000002E-2</v>
      </c>
      <c r="Q8058">
        <v>-4.4940969999999997E-2</v>
      </c>
      <c r="R8058">
        <v>-0.99784989999999996</v>
      </c>
      <c r="S8058">
        <v>0.24948119999999999</v>
      </c>
      <c r="T8058">
        <v>-0.11902260000000001</v>
      </c>
      <c r="U8058">
        <v>-2.9892270000000001</v>
      </c>
      <c r="V8058">
        <v>-4.4151349999999999E-2</v>
      </c>
      <c r="W8058">
        <v>-3.7838789999999997E-2</v>
      </c>
      <c r="X8058">
        <v>0.99830799999999997</v>
      </c>
      <c r="Y8058">
        <v>-7.9609730000000004E-2</v>
      </c>
      <c r="Z8058">
        <v>3.2486750000000002E-2</v>
      </c>
      <c r="AA8058">
        <v>0.99629659999999998</v>
      </c>
      <c r="AB8058">
        <v>19</v>
      </c>
      <c r="AC8058">
        <v>2.3479000000000299</v>
      </c>
      <c r="AD8058">
        <v>-1.1209411606699999</v>
      </c>
      <c r="AE8058">
        <v>-27.956359999999901</v>
      </c>
      <c r="AF8058">
        <v>-2.24601545164994</v>
      </c>
      <c r="AG8058">
        <v>-1.1209411606699999</v>
      </c>
      <c r="AH8058">
        <v>27.919869274577501</v>
      </c>
      <c r="AI8058">
        <v>92.291710011828798</v>
      </c>
      <c r="AJ8058">
        <v>94.599258040103393</v>
      </c>
      <c r="AK8058">
        <v>28.032484634870201</v>
      </c>
      <c r="AL8058">
        <v>92.168520674098502</v>
      </c>
      <c r="AM8058">
        <v>92.532323321372701</v>
      </c>
      <c r="AN8058">
        <v>0.99999998929974299</v>
      </c>
    </row>
    <row r="8059" spans="1:40" x14ac:dyDescent="0.25">
      <c r="A8059" t="str">
        <f>"20190303154003272"</f>
        <v>20190303154003272</v>
      </c>
      <c r="B8059" t="str">
        <f>"1551598803265990"</f>
        <v>1551598803265990</v>
      </c>
      <c r="C8059" t="s">
        <v>40</v>
      </c>
      <c r="D8059">
        <v>4.7033009999999997</v>
      </c>
      <c r="E8059">
        <v>0.48699310000000001</v>
      </c>
      <c r="F8059" t="s">
        <v>63</v>
      </c>
      <c r="G8059">
        <v>-299.72500000000002</v>
      </c>
      <c r="H8059" s="1">
        <v>-1.1012130000000001E-6</v>
      </c>
      <c r="I8059">
        <v>-42.021180000000001</v>
      </c>
      <c r="J8059">
        <v>-302.04239999999999</v>
      </c>
      <c r="K8059">
        <v>1.12090499999999</v>
      </c>
      <c r="L8059">
        <v>-14.34503</v>
      </c>
      <c r="M8059">
        <v>4.6067520000000004E-3</v>
      </c>
      <c r="N8059">
        <v>-6.7641200000000002E-3</v>
      </c>
      <c r="O8059">
        <v>-0.99996669999999999</v>
      </c>
      <c r="P8059">
        <v>4.7895159999999999E-2</v>
      </c>
      <c r="Q8059">
        <v>-4.4399109999999999E-2</v>
      </c>
      <c r="R8059">
        <v>-0.99786540000000001</v>
      </c>
      <c r="S8059">
        <v>0.2487183</v>
      </c>
      <c r="T8059">
        <v>-0.1202047</v>
      </c>
      <c r="U8059">
        <v>-2.989166</v>
      </c>
      <c r="V8059">
        <v>-4.3248059999999998E-2</v>
      </c>
      <c r="W8059">
        <v>-3.770366E-2</v>
      </c>
      <c r="X8059">
        <v>0.99835260000000003</v>
      </c>
      <c r="Y8059">
        <v>-7.8269820000000004E-2</v>
      </c>
      <c r="Z8059">
        <v>3.3291330000000001E-2</v>
      </c>
      <c r="AA8059">
        <v>0.99637620000000005</v>
      </c>
      <c r="AB8059">
        <v>20</v>
      </c>
      <c r="AC8059">
        <v>2.3173999999999602</v>
      </c>
      <c r="AD8059">
        <v>-1.1209061012129899</v>
      </c>
      <c r="AE8059">
        <v>-27.67615</v>
      </c>
      <c r="AF8059">
        <v>-2.18631408255834</v>
      </c>
      <c r="AG8059">
        <v>-1.1209061012129899</v>
      </c>
      <c r="AH8059">
        <v>27.6415071551477</v>
      </c>
      <c r="AI8059">
        <v>92.314938625812005</v>
      </c>
      <c r="AJ8059">
        <v>94.522413325356496</v>
      </c>
      <c r="AK8059">
        <v>27.750483195133899</v>
      </c>
      <c r="AL8059">
        <v>92.160772878930501</v>
      </c>
      <c r="AM8059">
        <v>92.480469372311404</v>
      </c>
      <c r="AN8059">
        <v>0.99999993729895698</v>
      </c>
    </row>
    <row r="8060" spans="1:40" x14ac:dyDescent="0.25">
      <c r="A8060" t="str">
        <f>"20190303154003295"</f>
        <v>20190303154003295</v>
      </c>
      <c r="B8060" t="str">
        <f>"1551598803286486"</f>
        <v>1551598803286486</v>
      </c>
      <c r="C8060" t="s">
        <v>40</v>
      </c>
      <c r="D8060">
        <v>4.68344</v>
      </c>
      <c r="E8060">
        <v>0.4871839</v>
      </c>
      <c r="F8060" t="s">
        <v>63</v>
      </c>
      <c r="G8060">
        <v>-299.71820000000002</v>
      </c>
      <c r="H8060" s="1">
        <v>-1.34560399999999E-6</v>
      </c>
      <c r="I8060">
        <v>-42.402819999999998</v>
      </c>
      <c r="J8060">
        <v>-302.0403</v>
      </c>
      <c r="K8060">
        <v>1.120876</v>
      </c>
      <c r="L8060">
        <v>-14.54279</v>
      </c>
      <c r="M8060">
        <v>5.690194E-3</v>
      </c>
      <c r="N8060">
        <v>-6.3942819999999899E-3</v>
      </c>
      <c r="O8060">
        <v>-0.99996339999999995</v>
      </c>
      <c r="P8060">
        <v>4.8818159999999999E-2</v>
      </c>
      <c r="Q8060">
        <v>-4.4191710000000002E-2</v>
      </c>
      <c r="R8060">
        <v>-0.99782979999999999</v>
      </c>
      <c r="S8060">
        <v>0.2476196</v>
      </c>
      <c r="T8060">
        <v>-0.11941930000000001</v>
      </c>
      <c r="U8060">
        <v>-2.9892270000000001</v>
      </c>
      <c r="V8060">
        <v>-4.3089269999999999E-2</v>
      </c>
      <c r="W8060">
        <v>-3.786606E-2</v>
      </c>
      <c r="X8060">
        <v>0.99835339999999995</v>
      </c>
      <c r="Y8060">
        <v>-7.6824959999999998E-2</v>
      </c>
      <c r="Z8060">
        <v>3.3401559999999997E-2</v>
      </c>
      <c r="AA8060">
        <v>0.99648490000000001</v>
      </c>
      <c r="AB8060">
        <v>20</v>
      </c>
      <c r="AC8060">
        <v>2.3220999999999701</v>
      </c>
      <c r="AD8060">
        <v>-1.120877345604</v>
      </c>
      <c r="AE8060">
        <v>-27.860029999999998</v>
      </c>
      <c r="AF8060">
        <v>-2.1600579375589999</v>
      </c>
      <c r="AG8060">
        <v>-1.120877345604</v>
      </c>
      <c r="AH8060">
        <v>27.828059283230701</v>
      </c>
      <c r="AI8060">
        <v>92.299641307375694</v>
      </c>
      <c r="AJ8060">
        <v>94.438489098235493</v>
      </c>
      <c r="AK8060">
        <v>27.934263902750399</v>
      </c>
      <c r="AL8060">
        <v>92.170084189369902</v>
      </c>
      <c r="AM8060">
        <v>92.471371391520194</v>
      </c>
      <c r="AN8060">
        <v>1.0000000174903001</v>
      </c>
    </row>
    <row r="8061" spans="1:40" x14ac:dyDescent="0.25">
      <c r="A8061" t="str">
        <f>"20190303154003321"</f>
        <v>20190303154003321</v>
      </c>
      <c r="B8061" t="str">
        <f>"1551598803316742"</f>
        <v>1551598803316742</v>
      </c>
      <c r="C8061" t="s">
        <v>40</v>
      </c>
      <c r="D8061">
        <v>4.7191150000000004</v>
      </c>
      <c r="E8061">
        <v>0.48740810000000001</v>
      </c>
      <c r="F8061" t="s">
        <v>63</v>
      </c>
      <c r="G8061">
        <v>-299.71379999999999</v>
      </c>
      <c r="H8061" s="1">
        <v>-1.405036E-6</v>
      </c>
      <c r="I8061">
        <v>-42.494509999999998</v>
      </c>
      <c r="J8061">
        <v>-302.03750000000002</v>
      </c>
      <c r="K8061">
        <v>1.120849</v>
      </c>
      <c r="L8061">
        <v>-14.77454</v>
      </c>
      <c r="M8061">
        <v>6.9567469999999897E-3</v>
      </c>
      <c r="N8061">
        <v>-6.0091279999999999E-3</v>
      </c>
      <c r="O8061">
        <v>-0.99995769999999995</v>
      </c>
      <c r="P8061">
        <v>4.9610010000000003E-2</v>
      </c>
      <c r="Q8061">
        <v>-4.3090209999999997E-2</v>
      </c>
      <c r="R8061">
        <v>-0.99783880000000003</v>
      </c>
      <c r="S8061">
        <v>0.24877929999999901</v>
      </c>
      <c r="T8061">
        <v>-0.1198621</v>
      </c>
      <c r="U8061">
        <v>-2.9890439999999998</v>
      </c>
      <c r="V8061">
        <v>-4.2616729999999999E-2</v>
      </c>
      <c r="W8061">
        <v>-3.7149130000000002E-2</v>
      </c>
      <c r="X8061">
        <v>0.99840059999999997</v>
      </c>
      <c r="Y8061">
        <v>-7.5950439999999994E-2</v>
      </c>
      <c r="Z8061">
        <v>3.3936710000000002E-2</v>
      </c>
      <c r="AA8061">
        <v>0.99653389999999997</v>
      </c>
      <c r="AB8061">
        <v>20</v>
      </c>
      <c r="AC8061">
        <v>2.3237000000000299</v>
      </c>
      <c r="AD8061">
        <v>-1.120850405036</v>
      </c>
      <c r="AE8061">
        <v>-27.71997</v>
      </c>
      <c r="AF8061">
        <v>-2.1273455835627599</v>
      </c>
      <c r="AG8061">
        <v>-1.120850405036</v>
      </c>
      <c r="AH8061">
        <v>27.690507648752799</v>
      </c>
      <c r="AI8061">
        <v>92.311137879604303</v>
      </c>
      <c r="AJ8061">
        <v>94.393164914692704</v>
      </c>
      <c r="AK8061">
        <v>27.7947138626756</v>
      </c>
      <c r="AL8061">
        <v>92.128978236998094</v>
      </c>
      <c r="AM8061">
        <v>92.444186647830307</v>
      </c>
      <c r="AN8061">
        <v>1.0000000008079999</v>
      </c>
    </row>
    <row r="8062" spans="1:40" x14ac:dyDescent="0.25">
      <c r="A8062" t="str">
        <f>"20190303154003339"</f>
        <v>20190303154003339</v>
      </c>
      <c r="B8062" t="str">
        <f>"1551598803326503"</f>
        <v>1551598803326503</v>
      </c>
      <c r="C8062" t="s">
        <v>40</v>
      </c>
      <c r="D8062">
        <v>4.6988589999999997</v>
      </c>
      <c r="E8062">
        <v>0.48746129999999999</v>
      </c>
      <c r="F8062" t="s">
        <v>63</v>
      </c>
      <c r="G8062">
        <v>-299.673</v>
      </c>
      <c r="H8062" s="1">
        <v>-1.8165520000000001E-6</v>
      </c>
      <c r="I8062">
        <v>-43.12482</v>
      </c>
      <c r="J8062">
        <v>-302.03539999999998</v>
      </c>
      <c r="K8062">
        <v>1.1208359999999999</v>
      </c>
      <c r="L8062">
        <v>-14.93857</v>
      </c>
      <c r="M8062">
        <v>7.8516339999999997E-3</v>
      </c>
      <c r="N8062">
        <v>-5.7653950000000004E-3</v>
      </c>
      <c r="O8062">
        <v>-0.99995250000000002</v>
      </c>
      <c r="P8062">
        <v>5.0486910000000003E-2</v>
      </c>
      <c r="Q8062">
        <v>-4.2087739999999998E-2</v>
      </c>
      <c r="R8062">
        <v>-0.99783739999999999</v>
      </c>
      <c r="S8062">
        <v>0.24929809999999999</v>
      </c>
      <c r="T8062">
        <v>-0.118173</v>
      </c>
      <c r="U8062">
        <v>-2.9890140000000001</v>
      </c>
      <c r="V8062">
        <v>-4.2600789999999999E-2</v>
      </c>
      <c r="W8062">
        <v>-3.6390499999999999E-2</v>
      </c>
      <c r="X8062">
        <v>0.99842920000000002</v>
      </c>
      <c r="Y8062">
        <v>-7.5232300000000002E-2</v>
      </c>
      <c r="Z8062">
        <v>3.361919E-2</v>
      </c>
      <c r="AA8062">
        <v>0.99659909999999996</v>
      </c>
      <c r="AB8062">
        <v>20</v>
      </c>
      <c r="AC8062">
        <v>2.3623999999999801</v>
      </c>
      <c r="AD8062">
        <v>-1.1208378165520001</v>
      </c>
      <c r="AE8062">
        <v>-28.186250000000001</v>
      </c>
      <c r="AF8062">
        <v>-2.1376586944678699</v>
      </c>
      <c r="AG8062">
        <v>-1.1208378165520001</v>
      </c>
      <c r="AH8062">
        <v>28.1597121607495</v>
      </c>
      <c r="AI8062">
        <v>92.272801845251394</v>
      </c>
      <c r="AJ8062">
        <v>94.341108466388803</v>
      </c>
      <c r="AK8062">
        <v>28.262966070129799</v>
      </c>
      <c r="AL8062">
        <v>92.085482565370896</v>
      </c>
      <c r="AM8062">
        <v>92.443203650337097</v>
      </c>
      <c r="AN8062">
        <v>0.99999998160575598</v>
      </c>
    </row>
    <row r="8063" spans="1:40" x14ac:dyDescent="0.25">
      <c r="A8063" t="str">
        <f>"20190303154003361"</f>
        <v>20190303154003361</v>
      </c>
      <c r="B8063" t="str">
        <f>"1551598803356763"</f>
        <v>1551598803356763</v>
      </c>
      <c r="C8063" t="s">
        <v>40</v>
      </c>
      <c r="D8063">
        <v>4.7281259999999996</v>
      </c>
      <c r="E8063">
        <v>0.50223419999999996</v>
      </c>
      <c r="F8063" t="s">
        <v>63</v>
      </c>
      <c r="G8063">
        <v>-299.59780000000001</v>
      </c>
      <c r="H8063" s="1">
        <v>-2.3521349999999998E-6</v>
      </c>
      <c r="I8063">
        <v>-43.935960000000001</v>
      </c>
      <c r="J8063">
        <v>-302.03250000000003</v>
      </c>
      <c r="K8063">
        <v>1.1208260000000001</v>
      </c>
      <c r="L8063">
        <v>-15.142519999999999</v>
      </c>
      <c r="M8063">
        <v>8.9620719999999997E-3</v>
      </c>
      <c r="N8063">
        <v>-5.4953780000000004E-3</v>
      </c>
      <c r="O8063">
        <v>-0.99994490000000003</v>
      </c>
      <c r="P8063">
        <v>5.174132E-2</v>
      </c>
      <c r="Q8063">
        <v>-4.2252829999999998E-2</v>
      </c>
      <c r="R8063">
        <v>-0.9977665</v>
      </c>
      <c r="S8063">
        <v>0.25125120000000001</v>
      </c>
      <c r="T8063">
        <v>-0.11553099999999999</v>
      </c>
      <c r="U8063">
        <v>-2.9889220000000001</v>
      </c>
      <c r="V8063">
        <v>-4.2745779999999997E-2</v>
      </c>
      <c r="W8063">
        <v>-3.6826360000000002E-2</v>
      </c>
      <c r="X8063">
        <v>0.99840709999999999</v>
      </c>
      <c r="Y8063">
        <v>-7.4776640000000005E-2</v>
      </c>
      <c r="Z8063">
        <v>3.3010230000000002E-2</v>
      </c>
      <c r="AA8063">
        <v>0.99665380000000003</v>
      </c>
      <c r="AB8063">
        <v>20</v>
      </c>
      <c r="AC8063">
        <v>2.4347000000000198</v>
      </c>
      <c r="AD8063">
        <v>-1.120828352135</v>
      </c>
      <c r="AE8063">
        <v>-28.79344</v>
      </c>
      <c r="AF8063">
        <v>-2.1732797462561901</v>
      </c>
      <c r="AG8063">
        <v>-1.120828352135</v>
      </c>
      <c r="AH8063">
        <v>28.770817727338802</v>
      </c>
      <c r="AI8063">
        <v>92.224619368896498</v>
      </c>
      <c r="AJ8063">
        <v>94.319784441519502</v>
      </c>
      <c r="AK8063">
        <v>28.874545082999798</v>
      </c>
      <c r="AL8063">
        <v>92.110472090064803</v>
      </c>
      <c r="AM8063">
        <v>92.451563062136302</v>
      </c>
      <c r="AN8063">
        <v>1.00000005991453</v>
      </c>
    </row>
    <row r="8064" spans="1:40" x14ac:dyDescent="0.25">
      <c r="A8064" t="str">
        <f>"20190303154003384"</f>
        <v>20190303154003384</v>
      </c>
      <c r="B8064" t="str">
        <f>"1551598803376278"</f>
        <v>1551598803376278</v>
      </c>
      <c r="C8064" t="s">
        <v>40</v>
      </c>
      <c r="D8064">
        <v>4.7479060000000004</v>
      </c>
      <c r="E8064">
        <v>0.50629170000000001</v>
      </c>
      <c r="F8064" t="s">
        <v>63</v>
      </c>
      <c r="G8064">
        <v>-300.79309999999998</v>
      </c>
      <c r="H8064" s="1">
        <v>-1.228886E-6</v>
      </c>
      <c r="I8064">
        <v>-42.136499999999998</v>
      </c>
      <c r="J8064">
        <v>-302.02949999999998</v>
      </c>
      <c r="K8064">
        <v>1.120814</v>
      </c>
      <c r="L8064">
        <v>-15.34277</v>
      </c>
      <c r="M8064">
        <v>1.0048639999999999E-2</v>
      </c>
      <c r="N8064">
        <v>-5.2684280000000003E-3</v>
      </c>
      <c r="O8064">
        <v>-0.99993589999999999</v>
      </c>
      <c r="P8064">
        <v>5.2593250000000001E-2</v>
      </c>
      <c r="Q8064">
        <v>-4.220521E-2</v>
      </c>
      <c r="R8064">
        <v>-0.9977241</v>
      </c>
      <c r="S8064">
        <v>0.13748170000000001</v>
      </c>
      <c r="T8064">
        <v>-0.12432840000000001</v>
      </c>
      <c r="U8064">
        <v>-2.9943240000000002</v>
      </c>
      <c r="V8064">
        <v>-4.25127E-2</v>
      </c>
      <c r="W8064">
        <v>-3.7005669999999997E-2</v>
      </c>
      <c r="X8064">
        <v>0.99841029999999997</v>
      </c>
      <c r="Y8064">
        <v>-3.5790830000000003E-2</v>
      </c>
      <c r="Z8064">
        <v>3.6184130000000002E-2</v>
      </c>
      <c r="AA8064">
        <v>0.99870400000000004</v>
      </c>
      <c r="AB8064">
        <v>20</v>
      </c>
      <c r="AC8064">
        <v>1.2363999999999999</v>
      </c>
      <c r="AD8064">
        <v>-1.120815228886</v>
      </c>
      <c r="AE8064">
        <v>-26.79373</v>
      </c>
      <c r="AF8064">
        <v>-0.96540762993575902</v>
      </c>
      <c r="AG8064">
        <v>-1.120815228886</v>
      </c>
      <c r="AH8064">
        <v>26.7580782599338</v>
      </c>
      <c r="AI8064">
        <v>92.396987607353907</v>
      </c>
      <c r="AJ8064">
        <v>92.066284439639105</v>
      </c>
      <c r="AK8064">
        <v>26.798936375050101</v>
      </c>
      <c r="AL8064">
        <v>92.120753061536504</v>
      </c>
      <c r="AM8064">
        <v>92.438203790778005</v>
      </c>
      <c r="AN8064">
        <v>0.99999993820976196</v>
      </c>
    </row>
    <row r="8065" spans="1:40" x14ac:dyDescent="0.25">
      <c r="A8065" t="str">
        <f>"20190303154003406"</f>
        <v>20190303154003406</v>
      </c>
      <c r="B8065" t="str">
        <f>"1551598803396774"</f>
        <v>1551598803396774</v>
      </c>
      <c r="C8065" t="s">
        <v>40</v>
      </c>
      <c r="D8065">
        <v>4.7695109999999996</v>
      </c>
      <c r="E8065">
        <v>0.50708160000000002</v>
      </c>
      <c r="F8065" t="s">
        <v>63</v>
      </c>
      <c r="G8065">
        <v>-301.10120000000001</v>
      </c>
      <c r="H8065" s="1">
        <v>-6.5364619999999996E-7</v>
      </c>
      <c r="I8065">
        <v>-41.164020000000001</v>
      </c>
      <c r="J8065">
        <v>-302.02620000000002</v>
      </c>
      <c r="K8065">
        <v>1.1208</v>
      </c>
      <c r="L8065">
        <v>-15.548679999999999</v>
      </c>
      <c r="M8065">
        <v>1.115932E-2</v>
      </c>
      <c r="N8065">
        <v>-5.0779459999999998E-3</v>
      </c>
      <c r="O8065">
        <v>-0.99992490000000001</v>
      </c>
      <c r="P8065">
        <v>5.3540650000000002E-2</v>
      </c>
      <c r="Q8065">
        <v>-4.1195370000000002E-2</v>
      </c>
      <c r="R8065">
        <v>-0.99771549999999998</v>
      </c>
      <c r="S8065">
        <v>0.1076965</v>
      </c>
      <c r="T8065">
        <v>-0.13003190000000001</v>
      </c>
      <c r="U8065">
        <v>-2.9956670000000001</v>
      </c>
      <c r="V8065">
        <v>-4.2351630000000001E-2</v>
      </c>
      <c r="W8065">
        <v>-3.6186139999999999E-2</v>
      </c>
      <c r="X8065">
        <v>0.99844719999999998</v>
      </c>
      <c r="Y8065">
        <v>-2.4743709999999999E-2</v>
      </c>
      <c r="Z8065">
        <v>3.8268480000000001E-2</v>
      </c>
      <c r="AA8065">
        <v>0.99896110000000005</v>
      </c>
      <c r="AB8065">
        <v>20</v>
      </c>
      <c r="AC8065">
        <v>0.92500000000001104</v>
      </c>
      <c r="AD8065">
        <v>-1.1208006536462001</v>
      </c>
      <c r="AE8065">
        <v>-25.61534</v>
      </c>
      <c r="AF8065">
        <v>-0.63786934371151505</v>
      </c>
      <c r="AG8065">
        <v>-1.1208006536462001</v>
      </c>
      <c r="AH8065">
        <v>25.5751674491732</v>
      </c>
      <c r="AI8065">
        <v>92.5085332772653</v>
      </c>
      <c r="AJ8065">
        <v>91.428715807551001</v>
      </c>
      <c r="AK8065">
        <v>25.607660210532799</v>
      </c>
      <c r="AL8065">
        <v>92.073765939356505</v>
      </c>
      <c r="AM8065">
        <v>92.428887469780193</v>
      </c>
      <c r="AN8065">
        <v>0.99999995423979704</v>
      </c>
    </row>
    <row r="8066" spans="1:40" x14ac:dyDescent="0.25">
      <c r="A8066" t="str">
        <f>"20190303154003434"</f>
        <v>20190303154003434</v>
      </c>
      <c r="B8066" t="str">
        <f>"1551598803426054"</f>
        <v>1551598803426054</v>
      </c>
      <c r="C8066" t="s">
        <v>40</v>
      </c>
      <c r="D8066">
        <v>4.7221640000000003</v>
      </c>
      <c r="E8066">
        <v>0.50714919999999997</v>
      </c>
      <c r="F8066" t="s">
        <v>63</v>
      </c>
      <c r="G8066">
        <v>-301.13330000000002</v>
      </c>
      <c r="H8066" s="1">
        <v>-7.0595019999999902E-7</v>
      </c>
      <c r="I8066">
        <v>-41.239280000000001</v>
      </c>
      <c r="J8066">
        <v>-302.02170000000001</v>
      </c>
      <c r="K8066">
        <v>1.1208020000000001</v>
      </c>
      <c r="L8066">
        <v>-15.80847</v>
      </c>
      <c r="M8066">
        <v>1.2545779999999999E-2</v>
      </c>
      <c r="N8066">
        <v>-4.9194800000000004E-3</v>
      </c>
      <c r="O8066">
        <v>-0.99990950000000001</v>
      </c>
      <c r="P8066">
        <v>5.4544179999999998E-2</v>
      </c>
      <c r="Q8066">
        <v>-4.0029729999999999E-2</v>
      </c>
      <c r="R8066">
        <v>-0.99770890000000001</v>
      </c>
      <c r="S8066">
        <v>0.104126</v>
      </c>
      <c r="T8066">
        <v>-0.13070080000000001</v>
      </c>
      <c r="U8066">
        <v>-2.9958800000000001</v>
      </c>
      <c r="V8066">
        <v>-4.1972740000000001E-2</v>
      </c>
      <c r="W8066">
        <v>-3.5178269999999998E-2</v>
      </c>
      <c r="X8066">
        <v>0.99849929999999998</v>
      </c>
      <c r="Y8066">
        <v>-2.2165730000000002E-2</v>
      </c>
      <c r="Z8066">
        <v>3.8647529999999999E-2</v>
      </c>
      <c r="AA8066">
        <v>0.99900699999999998</v>
      </c>
      <c r="AB8066">
        <v>20</v>
      </c>
      <c r="AC8066">
        <v>0.88839999999998998</v>
      </c>
      <c r="AD8066">
        <v>-1.1208027059501999</v>
      </c>
      <c r="AE8066">
        <v>-25.430810000000001</v>
      </c>
      <c r="AF8066">
        <v>-0.56817469295493395</v>
      </c>
      <c r="AG8066">
        <v>-1.1208027059501999</v>
      </c>
      <c r="AH8066">
        <v>25.390695623466499</v>
      </c>
      <c r="AI8066">
        <v>92.526892667154698</v>
      </c>
      <c r="AJ8066">
        <v>91.281909732597398</v>
      </c>
      <c r="AK8066">
        <v>25.421771091544802</v>
      </c>
      <c r="AL8066">
        <v>92.015982273099993</v>
      </c>
      <c r="AM8066">
        <v>92.407058157231006</v>
      </c>
      <c r="AN8066">
        <v>1.00000003684189</v>
      </c>
    </row>
    <row r="8067" spans="1:40" x14ac:dyDescent="0.25">
      <c r="A8067" t="str">
        <f>"20190303154003451"</f>
        <v>20190303154003451</v>
      </c>
      <c r="B8067" t="str">
        <f>"1551598803446550"</f>
        <v>1551598803446550</v>
      </c>
      <c r="C8067" t="s">
        <v>40</v>
      </c>
      <c r="D8067">
        <v>4.7329970000000001</v>
      </c>
      <c r="E8067">
        <v>0.50741179999999997</v>
      </c>
      <c r="F8067" t="s">
        <v>63</v>
      </c>
      <c r="G8067">
        <v>-301.03930000000003</v>
      </c>
      <c r="H8067" s="1">
        <v>-2.0782459999999999E-6</v>
      </c>
      <c r="I8067">
        <v>-43.418819999999997</v>
      </c>
      <c r="J8067">
        <v>-302.01889999999997</v>
      </c>
      <c r="K8067">
        <v>1.120811</v>
      </c>
      <c r="L8067">
        <v>-15.96161</v>
      </c>
      <c r="M8067">
        <v>1.33542E-2</v>
      </c>
      <c r="N8067">
        <v>-4.8709519999999996E-3</v>
      </c>
      <c r="O8067">
        <v>-0.99989910000000004</v>
      </c>
      <c r="P8067">
        <v>5.5033810000000002E-2</v>
      </c>
      <c r="Q8067">
        <v>-3.9048010000000001E-2</v>
      </c>
      <c r="R8067">
        <v>-0.99772079999999996</v>
      </c>
      <c r="S8067">
        <v>0.1065979</v>
      </c>
      <c r="T8067">
        <v>-0.121626</v>
      </c>
      <c r="U8067">
        <v>-2.9961850000000001</v>
      </c>
      <c r="V8067">
        <v>-4.1656039999999998E-2</v>
      </c>
      <c r="W8067">
        <v>-3.4244339999999998E-2</v>
      </c>
      <c r="X8067">
        <v>0.99854500000000002</v>
      </c>
      <c r="Y8067">
        <v>-2.218121E-2</v>
      </c>
      <c r="Z8067">
        <v>3.5670739999999999E-2</v>
      </c>
      <c r="AA8067">
        <v>0.99911740000000004</v>
      </c>
      <c r="AB8067">
        <v>21</v>
      </c>
      <c r="AC8067">
        <v>0.97959999999994796</v>
      </c>
      <c r="AD8067">
        <v>-1.120813078246</v>
      </c>
      <c r="AE8067">
        <v>-27.45721</v>
      </c>
      <c r="AF8067">
        <v>-0.61182108939689595</v>
      </c>
      <c r="AG8067">
        <v>-1.120813078246</v>
      </c>
      <c r="AH8067">
        <v>27.422207898865299</v>
      </c>
      <c r="AI8067">
        <v>92.339935002249405</v>
      </c>
      <c r="AJ8067">
        <v>91.278122881150793</v>
      </c>
      <c r="AK8067">
        <v>27.4519222104826</v>
      </c>
      <c r="AL8067">
        <v>91.962439815162497</v>
      </c>
      <c r="AM8067">
        <v>92.388807920065901</v>
      </c>
      <c r="AN8067">
        <v>1.0000000087577501</v>
      </c>
    </row>
    <row r="8068" spans="1:40" x14ac:dyDescent="0.25">
      <c r="A8068" t="str">
        <f>"20190303154003473"</f>
        <v>20190303154003473</v>
      </c>
      <c r="B8068" t="str">
        <f>"1551598803466070"</f>
        <v>1551598803466070</v>
      </c>
      <c r="C8068" t="s">
        <v>40</v>
      </c>
      <c r="D8068">
        <v>4.740005</v>
      </c>
      <c r="E8068">
        <v>0.50760609999999995</v>
      </c>
      <c r="F8068" t="s">
        <v>63</v>
      </c>
      <c r="G8068">
        <v>-301.01429999999999</v>
      </c>
      <c r="H8068" s="1">
        <v>-2.6649359999999998E-6</v>
      </c>
      <c r="I8068">
        <v>-44.347320000000003</v>
      </c>
      <c r="J8068">
        <v>-302.01490000000001</v>
      </c>
      <c r="K8068">
        <v>1.12083</v>
      </c>
      <c r="L8068">
        <v>-16.170809999999999</v>
      </c>
      <c r="M8068">
        <v>1.4445879999999999E-2</v>
      </c>
      <c r="N8068">
        <v>-4.8583530000000002E-3</v>
      </c>
      <c r="O8068">
        <v>-0.99988390000000005</v>
      </c>
      <c r="P8068">
        <v>5.6763510000000003E-2</v>
      </c>
      <c r="Q8068">
        <v>-3.8826930000000003E-2</v>
      </c>
      <c r="R8068">
        <v>-0.99763259999999998</v>
      </c>
      <c r="S8068">
        <v>0.10604860000000001</v>
      </c>
      <c r="T8068">
        <v>-0.118312</v>
      </c>
      <c r="U8068">
        <v>-2.9963679999999999</v>
      </c>
      <c r="V8068">
        <v>-4.2297220000000003E-2</v>
      </c>
      <c r="W8068">
        <v>-3.4036780000000003E-2</v>
      </c>
      <c r="X8068">
        <v>0.99852510000000005</v>
      </c>
      <c r="Y8068">
        <v>-2.090612E-2</v>
      </c>
      <c r="Z8068">
        <v>3.4577780000000002E-2</v>
      </c>
      <c r="AA8068">
        <v>0.9991833</v>
      </c>
      <c r="AB8068">
        <v>21</v>
      </c>
      <c r="AC8068">
        <v>1.0006000000000199</v>
      </c>
      <c r="AD8068">
        <v>-1.1208326649359901</v>
      </c>
      <c r="AE8068">
        <v>-28.17651</v>
      </c>
      <c r="AF8068">
        <v>-0.59251991917270896</v>
      </c>
      <c r="AG8068">
        <v>-1.1208326649359901</v>
      </c>
      <c r="AH8068">
        <v>28.1435471848005</v>
      </c>
      <c r="AI8068">
        <v>92.280126800655694</v>
      </c>
      <c r="AJ8068">
        <v>91.2060980022856</v>
      </c>
      <c r="AK8068">
        <v>28.172088915458399</v>
      </c>
      <c r="AL8068">
        <v>91.950540649381097</v>
      </c>
      <c r="AM8068">
        <v>92.425581737991493</v>
      </c>
      <c r="AN8068">
        <v>0.99999996627125198</v>
      </c>
    </row>
    <row r="8069" spans="1:40" x14ac:dyDescent="0.25">
      <c r="A8069" t="str">
        <f>"20190303154003497"</f>
        <v>20190303154003497</v>
      </c>
      <c r="B8069" t="str">
        <f>"1551598803486566"</f>
        <v>1551598803486566</v>
      </c>
      <c r="C8069" t="s">
        <v>40</v>
      </c>
      <c r="D8069">
        <v>4.7411659999999998</v>
      </c>
      <c r="E8069">
        <v>0.50778509999999999</v>
      </c>
      <c r="F8069" t="s">
        <v>63</v>
      </c>
      <c r="G8069">
        <v>-300.98219999999998</v>
      </c>
      <c r="H8069" s="1">
        <v>-2.671303E-6</v>
      </c>
      <c r="I8069">
        <v>-44.364359999999998</v>
      </c>
      <c r="J8069">
        <v>-302.0104</v>
      </c>
      <c r="K8069">
        <v>1.120859</v>
      </c>
      <c r="L8069">
        <v>-16.38965</v>
      </c>
      <c r="M8069">
        <v>1.5567650000000001E-2</v>
      </c>
      <c r="N8069">
        <v>-4.9330110000000002E-3</v>
      </c>
      <c r="O8069">
        <v>-0.9998667</v>
      </c>
      <c r="P8069">
        <v>5.8257700000000003E-2</v>
      </c>
      <c r="Q8069">
        <v>-3.9121780000000002E-2</v>
      </c>
      <c r="R8069">
        <v>-0.99753499999999995</v>
      </c>
      <c r="S8069">
        <v>0.1097412</v>
      </c>
      <c r="T8069">
        <v>-0.1191156</v>
      </c>
      <c r="U8069">
        <v>-2.9962460000000002</v>
      </c>
      <c r="V8069">
        <v>-4.267257E-2</v>
      </c>
      <c r="W8069">
        <v>-3.4257419999999997E-2</v>
      </c>
      <c r="X8069">
        <v>0.99850159999999999</v>
      </c>
      <c r="Y8069">
        <v>-2.10154E-2</v>
      </c>
      <c r="Z8069">
        <v>3.4770469999999998E-2</v>
      </c>
      <c r="AA8069">
        <v>0.99917440000000002</v>
      </c>
      <c r="AB8069">
        <v>21</v>
      </c>
      <c r="AC8069">
        <v>1.02820000000002</v>
      </c>
      <c r="AD8069">
        <v>-1.120861671303</v>
      </c>
      <c r="AE8069">
        <v>-27.974710000000002</v>
      </c>
      <c r="AF8069">
        <v>-0.59162114147396705</v>
      </c>
      <c r="AG8069">
        <v>-1.120861671303</v>
      </c>
      <c r="AH8069">
        <v>27.942529359728699</v>
      </c>
      <c r="AI8069">
        <v>92.296566066206594</v>
      </c>
      <c r="AJ8069">
        <v>91.212929944582697</v>
      </c>
      <c r="AK8069">
        <v>27.971258346390702</v>
      </c>
      <c r="AL8069">
        <v>91.963189736222802</v>
      </c>
      <c r="AM8069">
        <v>92.447138077904199</v>
      </c>
      <c r="AN8069">
        <v>0.99999998212900998</v>
      </c>
    </row>
    <row r="8070" spans="1:40" x14ac:dyDescent="0.25">
      <c r="A8070" t="str">
        <f>"20190303154003518"</f>
        <v>20190303154003518</v>
      </c>
      <c r="B8070" t="str">
        <f>"1551598803506087"</f>
        <v>1551598803506087</v>
      </c>
      <c r="C8070" t="s">
        <v>40</v>
      </c>
      <c r="D8070">
        <v>4.7344269999999904</v>
      </c>
      <c r="E8070">
        <v>0.50787209999999905</v>
      </c>
      <c r="F8070" t="s">
        <v>63</v>
      </c>
      <c r="G8070">
        <v>-300.95949999999999</v>
      </c>
      <c r="H8070" s="1">
        <v>-2.643409E-6</v>
      </c>
      <c r="I8070">
        <v>-44.32544</v>
      </c>
      <c r="J8070">
        <v>-302.00599999999997</v>
      </c>
      <c r="K8070">
        <v>1.1208979999999999</v>
      </c>
      <c r="L8070">
        <v>-16.593350000000001</v>
      </c>
      <c r="M8070">
        <v>1.6586480000000001E-2</v>
      </c>
      <c r="N8070">
        <v>-5.1163800000000002E-3</v>
      </c>
      <c r="O8070">
        <v>-0.99984960000000001</v>
      </c>
      <c r="P8070">
        <v>5.9482019999999997E-2</v>
      </c>
      <c r="Q8070">
        <v>-3.9828490000000001E-2</v>
      </c>
      <c r="R8070">
        <v>-0.99743490000000001</v>
      </c>
      <c r="S8070">
        <v>0.11270139999999999</v>
      </c>
      <c r="T8070">
        <v>-0.12021279999999999</v>
      </c>
      <c r="U8070">
        <v>-2.996124</v>
      </c>
      <c r="V8070">
        <v>-4.2880799999999997E-2</v>
      </c>
      <c r="W8070">
        <v>-3.4780749999999999E-2</v>
      </c>
      <c r="X8070">
        <v>0.99847459999999999</v>
      </c>
      <c r="Y8070">
        <v>-2.0983620000000001E-2</v>
      </c>
      <c r="Z8070">
        <v>3.4952490000000003E-2</v>
      </c>
      <c r="AA8070">
        <v>0.99916859999999996</v>
      </c>
      <c r="AB8070">
        <v>21</v>
      </c>
      <c r="AC8070">
        <v>1.04649999999998</v>
      </c>
      <c r="AD8070">
        <v>-1.1209006434090001</v>
      </c>
      <c r="AE8070">
        <v>-27.732089999999999</v>
      </c>
      <c r="AF8070">
        <v>-0.58541734610312601</v>
      </c>
      <c r="AG8070">
        <v>-1.1209006434090001</v>
      </c>
      <c r="AH8070">
        <v>27.700443384991601</v>
      </c>
      <c r="AI8070">
        <v>92.316697327729401</v>
      </c>
      <c r="AJ8070">
        <v>91.210700866094896</v>
      </c>
      <c r="AK8070">
        <v>27.729293093164799</v>
      </c>
      <c r="AL8070">
        <v>91.993192191622796</v>
      </c>
      <c r="AM8070">
        <v>92.459131206783098</v>
      </c>
      <c r="AN8070">
        <v>0.99999999521218097</v>
      </c>
    </row>
    <row r="8071" spans="1:40" x14ac:dyDescent="0.25">
      <c r="A8071" t="str">
        <f>"20190303154003540"</f>
        <v>20190303154003540</v>
      </c>
      <c r="B8071" t="str">
        <f>"1551598803536342"</f>
        <v>1551598803536342</v>
      </c>
      <c r="C8071" t="s">
        <v>40</v>
      </c>
      <c r="D8071">
        <v>4.7391909999999999</v>
      </c>
      <c r="E8071">
        <v>0.50807959999999996</v>
      </c>
      <c r="F8071" t="s">
        <v>63</v>
      </c>
      <c r="G8071">
        <v>-300.94959999999998</v>
      </c>
      <c r="H8071" s="1">
        <v>-2.389623E-6</v>
      </c>
      <c r="I8071">
        <v>-43.928350000000002</v>
      </c>
      <c r="J8071">
        <v>-302.00139999999999</v>
      </c>
      <c r="K8071">
        <v>1.120965</v>
      </c>
      <c r="L8071">
        <v>-16.800809999999998</v>
      </c>
      <c r="M8071">
        <v>1.7590599999999901E-2</v>
      </c>
      <c r="N8071">
        <v>-5.4524519999999896E-3</v>
      </c>
      <c r="O8071">
        <v>-0.99983040000000001</v>
      </c>
      <c r="P8071">
        <v>6.0396449999999997E-2</v>
      </c>
      <c r="Q8071">
        <v>-4.0578990000000002E-2</v>
      </c>
      <c r="R8071">
        <v>-0.99734940000000005</v>
      </c>
      <c r="S8071">
        <v>0.1157837</v>
      </c>
      <c r="T8071">
        <v>-0.1228505</v>
      </c>
      <c r="U8071">
        <v>-2.995911</v>
      </c>
      <c r="V8071">
        <v>-4.2794480000000003E-2</v>
      </c>
      <c r="W8071">
        <v>-3.5194209999999997E-2</v>
      </c>
      <c r="X8071">
        <v>0.99846380000000001</v>
      </c>
      <c r="Y8071">
        <v>-2.1007700000000001E-2</v>
      </c>
      <c r="Z8071">
        <v>3.5495730000000003E-2</v>
      </c>
      <c r="AA8071">
        <v>0.99914899999999995</v>
      </c>
      <c r="AB8071">
        <v>21</v>
      </c>
      <c r="AC8071">
        <v>1.0518000000000101</v>
      </c>
      <c r="AD8071">
        <v>-1.1209673896229999</v>
      </c>
      <c r="AE8071">
        <v>-27.12754</v>
      </c>
      <c r="AF8071">
        <v>-0.57346272442188995</v>
      </c>
      <c r="AG8071">
        <v>-1.1209673896229999</v>
      </c>
      <c r="AH8071">
        <v>27.095647750349301</v>
      </c>
      <c r="AI8071">
        <v>92.368488888695495</v>
      </c>
      <c r="AJ8071">
        <v>91.2124489345059</v>
      </c>
      <c r="AK8071">
        <v>27.124888099233001</v>
      </c>
      <c r="AL8071">
        <v>92.016896248525796</v>
      </c>
      <c r="AM8071">
        <v>92.454213493546803</v>
      </c>
      <c r="AN8071">
        <v>0.99999997992321699</v>
      </c>
    </row>
    <row r="8072" spans="1:40" x14ac:dyDescent="0.25">
      <c r="A8072" t="str">
        <f>"20190303154003562"</f>
        <v>20190303154003562</v>
      </c>
      <c r="B8072" t="str">
        <f>"1551598803555862"</f>
        <v>1551598803555862</v>
      </c>
      <c r="C8072" t="s">
        <v>40</v>
      </c>
      <c r="D8072">
        <v>4.7691369999999997</v>
      </c>
      <c r="E8072">
        <v>0.50825329999999902</v>
      </c>
      <c r="F8072" t="s">
        <v>63</v>
      </c>
      <c r="G8072">
        <v>-300.9633</v>
      </c>
      <c r="H8072" s="1">
        <v>-2.0565839999999999E-6</v>
      </c>
      <c r="I8072">
        <v>-43.401400000000002</v>
      </c>
      <c r="J8072">
        <v>-301.99650000000003</v>
      </c>
      <c r="K8072">
        <v>1.1210549999999999</v>
      </c>
      <c r="L8072">
        <v>-17.014890000000001</v>
      </c>
      <c r="M8072">
        <v>1.85805E-2</v>
      </c>
      <c r="N8072">
        <v>-5.959074E-3</v>
      </c>
      <c r="O8072">
        <v>-0.99980979999999997</v>
      </c>
      <c r="P8072">
        <v>6.0972270000000002E-2</v>
      </c>
      <c r="Q8072">
        <v>-4.0580669999999999E-2</v>
      </c>
      <c r="R8072">
        <v>-0.99731420000000004</v>
      </c>
      <c r="S8072">
        <v>0.1169128</v>
      </c>
      <c r="T8072">
        <v>-0.12624340000000001</v>
      </c>
      <c r="U8072">
        <v>-2.9957579999999999</v>
      </c>
      <c r="V8072">
        <v>-4.2384829999999998E-2</v>
      </c>
      <c r="W8072">
        <v>-3.4687240000000001E-2</v>
      </c>
      <c r="X8072">
        <v>0.99849900000000003</v>
      </c>
      <c r="Y8072">
        <v>-2.039465E-2</v>
      </c>
      <c r="Z8072">
        <v>3.6119699999999998E-2</v>
      </c>
      <c r="AA8072">
        <v>0.99913940000000001</v>
      </c>
      <c r="AB8072">
        <v>21</v>
      </c>
      <c r="AC8072">
        <v>1.0332000000000201</v>
      </c>
      <c r="AD8072">
        <v>-1.1210570565839999</v>
      </c>
      <c r="AE8072">
        <v>-26.386509999999902</v>
      </c>
      <c r="AF8072">
        <v>-0.54176205358067397</v>
      </c>
      <c r="AG8072">
        <v>-1.1210570565839999</v>
      </c>
      <c r="AH8072">
        <v>26.353655290417802</v>
      </c>
      <c r="AI8072">
        <v>92.435320330963705</v>
      </c>
      <c r="AJ8072">
        <v>91.177685117300996</v>
      </c>
      <c r="AK8072">
        <v>26.383051798701899</v>
      </c>
      <c r="AL8072">
        <v>91.987831287063798</v>
      </c>
      <c r="AM8072">
        <v>92.430663270705296</v>
      </c>
      <c r="AN8072">
        <v>0.99999996571697203</v>
      </c>
    </row>
    <row r="8073" spans="1:40" x14ac:dyDescent="0.25">
      <c r="A8073" t="str">
        <f>"20190303154003585"</f>
        <v>20190303154003585</v>
      </c>
      <c r="B8073" t="str">
        <f>"1551598803576358"</f>
        <v>1551598803576358</v>
      </c>
      <c r="C8073" t="s">
        <v>40</v>
      </c>
      <c r="D8073">
        <v>4.7768930000000003</v>
      </c>
      <c r="E8073">
        <v>0.50842979999999904</v>
      </c>
      <c r="F8073" t="s">
        <v>63</v>
      </c>
      <c r="G8073">
        <v>-300.97280000000001</v>
      </c>
      <c r="H8073" s="1">
        <v>-1.9243189999999998E-6</v>
      </c>
      <c r="I8073">
        <v>-43.191229999999997</v>
      </c>
      <c r="J8073">
        <v>-301.99149999999997</v>
      </c>
      <c r="K8073">
        <v>1.1211519999999999</v>
      </c>
      <c r="L8073">
        <v>-17.222899999999999</v>
      </c>
      <c r="M8073">
        <v>1.9489900000000001E-2</v>
      </c>
      <c r="N8073">
        <v>-6.5813740000000001E-3</v>
      </c>
      <c r="O8073">
        <v>-0.99978849999999997</v>
      </c>
      <c r="P8073">
        <v>6.1532870000000003E-2</v>
      </c>
      <c r="Q8073">
        <v>-4.0048630000000002E-2</v>
      </c>
      <c r="R8073">
        <v>-0.99730149999999995</v>
      </c>
      <c r="S8073">
        <v>0.117157</v>
      </c>
      <c r="T8073">
        <v>-0.1282971</v>
      </c>
      <c r="U8073">
        <v>-2.9956969999999998</v>
      </c>
      <c r="V8073">
        <v>-4.2041299999999997E-2</v>
      </c>
      <c r="W8073">
        <v>-3.3530119999999997E-2</v>
      </c>
      <c r="X8073">
        <v>0.99855309999999997</v>
      </c>
      <c r="Y8073">
        <v>-1.956693E-2</v>
      </c>
      <c r="Z8073">
        <v>3.618155E-2</v>
      </c>
      <c r="AA8073">
        <v>0.99915370000000003</v>
      </c>
      <c r="AB8073">
        <v>21</v>
      </c>
      <c r="AC8073">
        <v>1.01869999999996</v>
      </c>
      <c r="AD8073">
        <v>-1.1211539243189901</v>
      </c>
      <c r="AE8073">
        <v>-25.968330000000002</v>
      </c>
      <c r="AF8073">
        <v>-0.51142361039400797</v>
      </c>
      <c r="AG8073">
        <v>-1.1211539243189901</v>
      </c>
      <c r="AH8073">
        <v>25.9349838473143</v>
      </c>
      <c r="AI8073">
        <v>92.474840754783003</v>
      </c>
      <c r="AJ8073">
        <v>91.1296948296023</v>
      </c>
      <c r="AK8073">
        <v>25.964243247045399</v>
      </c>
      <c r="AL8073">
        <v>91.921494491353201</v>
      </c>
      <c r="AM8073">
        <v>92.410855563436598</v>
      </c>
      <c r="AN8073">
        <v>1.0000000166862499</v>
      </c>
    </row>
    <row r="8074" spans="1:40" x14ac:dyDescent="0.25">
      <c r="A8074" t="str">
        <f>"20190303154003606"</f>
        <v>20190303154003606</v>
      </c>
      <c r="B8074" t="str">
        <f>"1551598803595878"</f>
        <v>1551598803595878</v>
      </c>
      <c r="C8074" t="s">
        <v>40</v>
      </c>
      <c r="D8074">
        <v>4.7052649999999998</v>
      </c>
      <c r="E8074">
        <v>0.5085906</v>
      </c>
      <c r="F8074" t="s">
        <v>63</v>
      </c>
      <c r="G8074">
        <v>-300.96859999999998</v>
      </c>
      <c r="H8074" s="1">
        <v>-2.0435570000000001E-6</v>
      </c>
      <c r="I8074">
        <v>-43.379739999999998</v>
      </c>
      <c r="J8074">
        <v>-301.9864</v>
      </c>
      <c r="K8074">
        <v>1.1212329999999999</v>
      </c>
      <c r="L8074">
        <v>-17.43188</v>
      </c>
      <c r="M8074">
        <v>2.0350630000000001E-2</v>
      </c>
      <c r="N8074">
        <v>-7.275129E-3</v>
      </c>
      <c r="O8074">
        <v>-0.99976670000000001</v>
      </c>
      <c r="P8074">
        <v>6.2596860000000004E-2</v>
      </c>
      <c r="Q8074">
        <v>-4.0450270000000003E-2</v>
      </c>
      <c r="R8074">
        <v>-0.99721899999999997</v>
      </c>
      <c r="S8074">
        <v>0.117157</v>
      </c>
      <c r="T8074">
        <v>-0.12840509999999999</v>
      </c>
      <c r="U8074">
        <v>-2.9957280000000002</v>
      </c>
      <c r="V8074">
        <v>-4.2251219999999999E-2</v>
      </c>
      <c r="W8074">
        <v>-3.3235239999999999E-2</v>
      </c>
      <c r="X8074">
        <v>0.9985541</v>
      </c>
      <c r="Y8074">
        <v>-1.8706359999999998E-2</v>
      </c>
      <c r="Z8074">
        <v>3.5523359999999997E-2</v>
      </c>
      <c r="AA8074">
        <v>0.99919369999999996</v>
      </c>
      <c r="AB8074">
        <v>21</v>
      </c>
      <c r="AC8074">
        <v>1.01780000000002</v>
      </c>
      <c r="AD8074">
        <v>-1.121235043557</v>
      </c>
      <c r="AE8074">
        <v>-25.947859999999999</v>
      </c>
      <c r="AF8074">
        <v>-0.48860914588815102</v>
      </c>
      <c r="AG8074">
        <v>-1.121235043557</v>
      </c>
      <c r="AH8074">
        <v>25.9148855749551</v>
      </c>
      <c r="AI8074">
        <v>92.476977965146602</v>
      </c>
      <c r="AJ8074">
        <v>91.080148519112996</v>
      </c>
      <c r="AK8074">
        <v>25.9437314448666</v>
      </c>
      <c r="AL8074">
        <v>91.904589686268906</v>
      </c>
      <c r="AM8074">
        <v>92.422876678344807</v>
      </c>
      <c r="AN8074">
        <v>1.00000001869807</v>
      </c>
    </row>
    <row r="8075" spans="1:40" x14ac:dyDescent="0.25">
      <c r="A8075" t="str">
        <f>"20190303154003629"</f>
        <v>20190303154003629</v>
      </c>
      <c r="B8075" t="str">
        <f>"1551598803626134"</f>
        <v>1551598803626134</v>
      </c>
      <c r="C8075" t="s">
        <v>40</v>
      </c>
      <c r="D8075">
        <v>4.7267839999999897</v>
      </c>
      <c r="E8075">
        <v>0.5087855</v>
      </c>
      <c r="F8075" t="s">
        <v>63</v>
      </c>
      <c r="G8075">
        <v>-300.96600000000001</v>
      </c>
      <c r="H8075" s="1">
        <v>-1.8659880000000001E-6</v>
      </c>
      <c r="I8075">
        <v>-43.100949999999997</v>
      </c>
      <c r="J8075">
        <v>-301.9812</v>
      </c>
      <c r="K8075">
        <v>1.1212850000000001</v>
      </c>
      <c r="L8075">
        <v>-17.64114</v>
      </c>
      <c r="M8075">
        <v>2.115326E-2</v>
      </c>
      <c r="N8075">
        <v>-7.9593119999999996E-3</v>
      </c>
      <c r="O8075">
        <v>-0.99974470000000004</v>
      </c>
      <c r="P8075">
        <v>6.3217629999999997E-2</v>
      </c>
      <c r="Q8075">
        <v>-4.1355280000000001E-2</v>
      </c>
      <c r="R8075">
        <v>-0.99714259999999999</v>
      </c>
      <c r="S8075">
        <v>0.11907959999999999</v>
      </c>
      <c r="T8075">
        <v>-0.13084779999999999</v>
      </c>
      <c r="U8075">
        <v>-2.9955750000000001</v>
      </c>
      <c r="V8075">
        <v>-4.2075689999999999E-2</v>
      </c>
      <c r="W8075">
        <v>-3.3452210000000003E-2</v>
      </c>
      <c r="X8075">
        <v>0.99855419999999995</v>
      </c>
      <c r="Y8075">
        <v>-1.8545269999999999E-2</v>
      </c>
      <c r="Z8075">
        <v>3.5653410000000003E-2</v>
      </c>
      <c r="AA8075">
        <v>0.99919210000000003</v>
      </c>
      <c r="AB8075">
        <v>21</v>
      </c>
      <c r="AC8075">
        <v>1.0151999999999901</v>
      </c>
      <c r="AD8075">
        <v>-1.121286865988</v>
      </c>
      <c r="AE8075">
        <v>-25.459810000000001</v>
      </c>
      <c r="AF8075">
        <v>-0.47547706886768898</v>
      </c>
      <c r="AG8075">
        <v>-1.121286865988</v>
      </c>
      <c r="AH8075">
        <v>25.426348440203601</v>
      </c>
      <c r="AI8075">
        <v>92.524632994465193</v>
      </c>
      <c r="AJ8075">
        <v>91.071316019223801</v>
      </c>
      <c r="AK8075">
        <v>25.455501520918801</v>
      </c>
      <c r="AL8075">
        <v>91.917028195330801</v>
      </c>
      <c r="AM8075">
        <v>92.412822671138599</v>
      </c>
      <c r="AN8075">
        <v>0.99999995219024895</v>
      </c>
    </row>
    <row r="8076" spans="1:40" x14ac:dyDescent="0.25">
      <c r="A8076" t="str">
        <f>"20190303154003652"</f>
        <v>20190303154003652</v>
      </c>
      <c r="B8076" t="str">
        <f>"1551598803646631"</f>
        <v>1551598803646631</v>
      </c>
      <c r="C8076" t="s">
        <v>40</v>
      </c>
      <c r="D8076">
        <v>4.749072</v>
      </c>
      <c r="E8076">
        <v>0.50893729999999904</v>
      </c>
      <c r="F8076" t="s">
        <v>63</v>
      </c>
      <c r="G8076">
        <v>-300.99290000000002</v>
      </c>
      <c r="H8076" s="1">
        <v>-1.4401420000000001E-6</v>
      </c>
      <c r="I8076">
        <v>-42.4251</v>
      </c>
      <c r="J8076">
        <v>-301.97559999999999</v>
      </c>
      <c r="K8076">
        <v>1.121305</v>
      </c>
      <c r="L8076">
        <v>-17.856870000000001</v>
      </c>
      <c r="M8076">
        <v>2.1897159999999999E-2</v>
      </c>
      <c r="N8076">
        <v>-8.6045099999999992E-3</v>
      </c>
      <c r="O8076">
        <v>-0.99972329999999998</v>
      </c>
      <c r="P8076">
        <v>6.3706750000000006E-2</v>
      </c>
      <c r="Q8076">
        <v>-4.2255870000000001E-2</v>
      </c>
      <c r="R8076">
        <v>-0.9970736</v>
      </c>
      <c r="S8076">
        <v>0.1194458</v>
      </c>
      <c r="T8076">
        <v>-0.13551879999999999</v>
      </c>
      <c r="U8076">
        <v>-2.9953919999999998</v>
      </c>
      <c r="V8076">
        <v>-4.1826790000000003E-2</v>
      </c>
      <c r="W8076">
        <v>-3.3703370000000003E-2</v>
      </c>
      <c r="X8076">
        <v>0.99855629999999995</v>
      </c>
      <c r="Y8076">
        <v>-1.7923910000000001E-2</v>
      </c>
      <c r="Z8076">
        <v>3.6564770000000003E-2</v>
      </c>
      <c r="AA8076">
        <v>0.99917049999999996</v>
      </c>
      <c r="AB8076">
        <v>21</v>
      </c>
      <c r="AC8076">
        <v>0.98269999999996505</v>
      </c>
      <c r="AD8076">
        <v>-1.1213064401420001</v>
      </c>
      <c r="AE8076">
        <v>-24.56823</v>
      </c>
      <c r="AF8076">
        <v>-0.44354757485246099</v>
      </c>
      <c r="AG8076">
        <v>-1.1213064401420001</v>
      </c>
      <c r="AH8076">
        <v>24.532836299797101</v>
      </c>
      <c r="AI8076">
        <v>92.616532702959404</v>
      </c>
      <c r="AJ8076">
        <v>91.035780586567597</v>
      </c>
      <c r="AK8076">
        <v>24.5624534502664</v>
      </c>
      <c r="AL8076">
        <v>91.931426551886105</v>
      </c>
      <c r="AM8076">
        <v>92.398561227668296</v>
      </c>
      <c r="AN8076">
        <v>1.00000004089037</v>
      </c>
    </row>
    <row r="8077" spans="1:40" x14ac:dyDescent="0.25">
      <c r="A8077" t="str">
        <f>"20190303154003674"</f>
        <v>20190303154003674</v>
      </c>
      <c r="B8077" t="str">
        <f>"1551598803666151"</f>
        <v>1551598803666151</v>
      </c>
      <c r="C8077" t="s">
        <v>40</v>
      </c>
      <c r="D8077">
        <v>4.755414</v>
      </c>
      <c r="E8077">
        <v>0.50898980000000005</v>
      </c>
      <c r="F8077" t="s">
        <v>63</v>
      </c>
      <c r="G8077">
        <v>-301.01479999999998</v>
      </c>
      <c r="H8077" s="1">
        <v>-1.106135E-6</v>
      </c>
      <c r="I8077">
        <v>-41.894820000000003</v>
      </c>
      <c r="J8077">
        <v>-301.97019999999998</v>
      </c>
      <c r="K8077">
        <v>1.1213109999999999</v>
      </c>
      <c r="L8077">
        <v>-18.06635</v>
      </c>
      <c r="M8077">
        <v>2.2537640000000001E-2</v>
      </c>
      <c r="N8077">
        <v>-9.1829240000000003E-3</v>
      </c>
      <c r="O8077">
        <v>-0.99970389999999998</v>
      </c>
      <c r="P8077">
        <v>6.3853729999999997E-2</v>
      </c>
      <c r="Q8077">
        <v>-4.2621979999999997E-2</v>
      </c>
      <c r="R8077">
        <v>-0.99704859999999995</v>
      </c>
      <c r="S8077">
        <v>0.11972049999999999</v>
      </c>
      <c r="T8077">
        <v>-0.13972000000000001</v>
      </c>
      <c r="U8077">
        <v>-2.9952390000000002</v>
      </c>
      <c r="V8077">
        <v>-4.1338560000000003E-2</v>
      </c>
      <c r="W8077">
        <v>-3.3486780000000001E-2</v>
      </c>
      <c r="X8077">
        <v>0.99858389999999997</v>
      </c>
      <c r="Y8077">
        <v>-1.7375229999999998E-2</v>
      </c>
      <c r="Z8077">
        <v>3.7386089999999997E-2</v>
      </c>
      <c r="AA8077">
        <v>0.99914990000000004</v>
      </c>
      <c r="AB8077">
        <v>21</v>
      </c>
      <c r="AC8077">
        <v>0.95539999999999703</v>
      </c>
      <c r="AD8077">
        <v>-1.121312106135</v>
      </c>
      <c r="AE8077">
        <v>-23.828469999999999</v>
      </c>
      <c r="AF8077">
        <v>-0.41717490359412701</v>
      </c>
      <c r="AG8077">
        <v>-1.121312106135</v>
      </c>
      <c r="AH8077">
        <v>23.791350740464001</v>
      </c>
      <c r="AI8077">
        <v>92.698001113518202</v>
      </c>
      <c r="AJ8077">
        <v>91.0045630565577</v>
      </c>
      <c r="AK8077">
        <v>23.821413597755502</v>
      </c>
      <c r="AL8077">
        <v>91.919009884622398</v>
      </c>
      <c r="AM8077">
        <v>92.370530315091898</v>
      </c>
      <c r="AN8077">
        <v>1.0000000231584201</v>
      </c>
    </row>
    <row r="8078" spans="1:40" x14ac:dyDescent="0.25">
      <c r="A8078" t="str">
        <f>"20190303154003697"</f>
        <v>20190303154003697</v>
      </c>
      <c r="B8078" t="str">
        <f>"1551598803686647"</f>
        <v>1551598803686647</v>
      </c>
      <c r="C8078" t="s">
        <v>40</v>
      </c>
      <c r="D8078">
        <v>4.8581300000000001</v>
      </c>
      <c r="E8078">
        <v>0.50974920000000001</v>
      </c>
      <c r="F8078" t="s">
        <v>63</v>
      </c>
      <c r="G8078">
        <v>-301.02449999999999</v>
      </c>
      <c r="H8078" s="1">
        <v>-9.929364999999999E-7</v>
      </c>
      <c r="I8078">
        <v>-41.71461</v>
      </c>
      <c r="J8078">
        <v>-301.96480000000003</v>
      </c>
      <c r="K8078">
        <v>1.1213150000000001</v>
      </c>
      <c r="L8078">
        <v>-18.274809999999999</v>
      </c>
      <c r="M8078">
        <v>2.3108449999999999E-2</v>
      </c>
      <c r="N8078">
        <v>-9.7179750000000002E-3</v>
      </c>
      <c r="O8078">
        <v>-0.99968590000000002</v>
      </c>
      <c r="P8078">
        <v>6.4619579999999996E-2</v>
      </c>
      <c r="Q8078">
        <v>-4.272567E-2</v>
      </c>
      <c r="R8078">
        <v>-0.99699539999999998</v>
      </c>
      <c r="S8078">
        <v>0.1197815</v>
      </c>
      <c r="T8078">
        <v>-0.14201859999999999</v>
      </c>
      <c r="U8078">
        <v>-2.9951479999999999</v>
      </c>
      <c r="V8078">
        <v>-4.1539149999999997E-2</v>
      </c>
      <c r="W8078">
        <v>-3.3052499999999999E-2</v>
      </c>
      <c r="X8078">
        <v>0.99858999999999998</v>
      </c>
      <c r="Y8078">
        <v>-1.6825199999999998E-2</v>
      </c>
      <c r="Z8078">
        <v>3.7616990000000003E-2</v>
      </c>
      <c r="AA8078">
        <v>0.9991506</v>
      </c>
      <c r="AB8078">
        <v>21</v>
      </c>
      <c r="AC8078">
        <v>0.940300000000036</v>
      </c>
      <c r="AD8078">
        <v>-1.1213159929365</v>
      </c>
      <c r="AE8078">
        <v>-23.439800000000002</v>
      </c>
      <c r="AF8078">
        <v>-0.39745783395940898</v>
      </c>
      <c r="AG8078">
        <v>-1.1213159929365</v>
      </c>
      <c r="AH8078">
        <v>23.401801394731901</v>
      </c>
      <c r="AI8078">
        <v>92.742879871320497</v>
      </c>
      <c r="AJ8078">
        <v>90.973021980600393</v>
      </c>
      <c r="AK8078">
        <v>23.4320214835226</v>
      </c>
      <c r="AL8078">
        <v>91.894113776421193</v>
      </c>
      <c r="AM8078">
        <v>92.382005254174999</v>
      </c>
      <c r="AN8078">
        <v>0.99999997841948596</v>
      </c>
    </row>
    <row r="8079" spans="1:40" x14ac:dyDescent="0.25">
      <c r="A8079" t="str">
        <f>"20190303154003720"</f>
        <v>20190303154003720</v>
      </c>
      <c r="B8079" t="str">
        <f>"1551598803715927"</f>
        <v>1551598803715927</v>
      </c>
      <c r="C8079" t="s">
        <v>40</v>
      </c>
      <c r="D8079">
        <v>4.8368399999999996</v>
      </c>
      <c r="E8079">
        <v>0.54048779999999996</v>
      </c>
      <c r="F8079" t="s">
        <v>63</v>
      </c>
      <c r="G8079">
        <v>-301.05130000000003</v>
      </c>
      <c r="H8079" s="1">
        <v>-1.083391E-6</v>
      </c>
      <c r="I8079">
        <v>-41.851050000000001</v>
      </c>
      <c r="J8079">
        <v>-301.95890000000003</v>
      </c>
      <c r="K8079">
        <v>1.121308</v>
      </c>
      <c r="L8079">
        <v>-18.496030000000001</v>
      </c>
      <c r="M8079">
        <v>2.365416E-2</v>
      </c>
      <c r="N8079">
        <v>-1.023429E-2</v>
      </c>
      <c r="O8079">
        <v>-0.9996678</v>
      </c>
      <c r="P8079">
        <v>6.535908E-2</v>
      </c>
      <c r="Q8079">
        <v>-4.3307089999999999E-2</v>
      </c>
      <c r="R8079">
        <v>-0.99692170000000002</v>
      </c>
      <c r="S8079">
        <v>0.1160583</v>
      </c>
      <c r="T8079">
        <v>-0.14246610000000001</v>
      </c>
      <c r="U8079">
        <v>-2.995422</v>
      </c>
      <c r="V8079">
        <v>-4.1737620000000003E-2</v>
      </c>
      <c r="W8079">
        <v>-3.3114829999999998E-2</v>
      </c>
      <c r="X8079">
        <v>0.99857969999999896</v>
      </c>
      <c r="Y8079">
        <v>-1.503637E-2</v>
      </c>
      <c r="Z8079">
        <v>3.7246639999999998E-2</v>
      </c>
      <c r="AA8079">
        <v>0.999193</v>
      </c>
      <c r="AB8079">
        <v>21</v>
      </c>
      <c r="AC8079">
        <v>0.90760000000000196</v>
      </c>
      <c r="AD8079">
        <v>-1.121309083391</v>
      </c>
      <c r="AE8079">
        <v>-23.35502</v>
      </c>
      <c r="AF8079">
        <v>-0.35405879494544801</v>
      </c>
      <c r="AG8079">
        <v>-1.121309083391</v>
      </c>
      <c r="AH8079">
        <v>23.316288863849</v>
      </c>
      <c r="AI8079">
        <v>92.752986521696101</v>
      </c>
      <c r="AJ8079">
        <v>90.869971879288897</v>
      </c>
      <c r="AK8079">
        <v>23.345920801571001</v>
      </c>
      <c r="AL8079">
        <v>91.897686901286406</v>
      </c>
      <c r="AM8079">
        <v>92.3933976973874</v>
      </c>
      <c r="AN8079">
        <v>1.00000001907064</v>
      </c>
    </row>
    <row r="8080" spans="1:40" x14ac:dyDescent="0.25">
      <c r="A8080" t="str">
        <f>"20190303154003741"</f>
        <v>20190303154003741</v>
      </c>
      <c r="B8080" t="str">
        <f>"1551598803736422"</f>
        <v>1551598803736422</v>
      </c>
      <c r="C8080" t="s">
        <v>40</v>
      </c>
      <c r="D8080">
        <v>4.8629930000000003</v>
      </c>
      <c r="E8080">
        <v>0.54069719999999999</v>
      </c>
      <c r="F8080" t="s">
        <v>42</v>
      </c>
      <c r="G8080">
        <v>-302.84320000000002</v>
      </c>
      <c r="H8080" s="1">
        <v>-1.1376280000000001E-6</v>
      </c>
      <c r="I8080">
        <v>-39.522489999999998</v>
      </c>
      <c r="J8080">
        <v>-301.95370000000003</v>
      </c>
      <c r="K8080">
        <v>1.121292</v>
      </c>
      <c r="L8080">
        <v>-18.691800000000001</v>
      </c>
      <c r="M8080">
        <v>2.4091029999999999E-2</v>
      </c>
      <c r="N8080">
        <v>-1.0640409999999999E-2</v>
      </c>
      <c r="O8080">
        <v>-0.99965340000000003</v>
      </c>
      <c r="P8080">
        <v>6.5799529999999995E-2</v>
      </c>
      <c r="Q8080">
        <v>-4.3907839999999997E-2</v>
      </c>
      <c r="R8080">
        <v>-0.9968669</v>
      </c>
      <c r="S8080">
        <v>-0.12661739999999999</v>
      </c>
      <c r="T8080">
        <v>-0.1605502</v>
      </c>
      <c r="U8080">
        <v>-3.0105900000000001</v>
      </c>
      <c r="V8080">
        <v>-4.1745919999999999E-2</v>
      </c>
      <c r="W8080">
        <v>-3.3306639999999998E-2</v>
      </c>
      <c r="X8080">
        <v>0.99857289999999999</v>
      </c>
      <c r="Y8080">
        <v>6.6018629999999995E-2</v>
      </c>
      <c r="Z8080">
        <v>4.2514410000000002E-2</v>
      </c>
      <c r="AA8080">
        <v>0.99691220000000003</v>
      </c>
      <c r="AB8080">
        <v>21</v>
      </c>
      <c r="AC8080">
        <v>-0.88949999999999796</v>
      </c>
      <c r="AD8080">
        <v>-1.121293137628</v>
      </c>
      <c r="AE8080">
        <v>-20.830690000000001</v>
      </c>
      <c r="AF8080">
        <v>1.3870910183082299</v>
      </c>
      <c r="AG8080">
        <v>-1.121293137628</v>
      </c>
      <c r="AH8080">
        <v>20.743218300853499</v>
      </c>
      <c r="AI8080">
        <v>93.087281595894595</v>
      </c>
      <c r="AJ8080">
        <v>86.174348699697006</v>
      </c>
      <c r="AK8080">
        <v>20.8197604518022</v>
      </c>
      <c r="AL8080">
        <v>91.9086830109961</v>
      </c>
      <c r="AM8080">
        <v>92.3938893807006</v>
      </c>
      <c r="AN8080">
        <v>0.99999994535957104</v>
      </c>
    </row>
    <row r="8081" spans="1:40" x14ac:dyDescent="0.25">
      <c r="A8081" t="str">
        <f>"20190303154003764"</f>
        <v>20190303154003764</v>
      </c>
      <c r="B8081" t="str">
        <f>"1551598803755943"</f>
        <v>1551598803755943</v>
      </c>
      <c r="C8081" t="s">
        <v>40</v>
      </c>
      <c r="D8081">
        <v>4.8566940000000001</v>
      </c>
      <c r="E8081">
        <v>0.54086599999999996</v>
      </c>
      <c r="F8081" t="s">
        <v>42</v>
      </c>
      <c r="G8081">
        <v>-302.8614</v>
      </c>
      <c r="H8081" s="1">
        <v>-8.3685319999999899E-7</v>
      </c>
      <c r="I8081">
        <v>-40.234870000000001</v>
      </c>
      <c r="J8081">
        <v>-301.94810000000001</v>
      </c>
      <c r="K8081">
        <v>1.121262</v>
      </c>
      <c r="L8081">
        <v>-18.901489999999999</v>
      </c>
      <c r="M8081">
        <v>2.45084E-2</v>
      </c>
      <c r="N8081">
        <v>-1.102408E-2</v>
      </c>
      <c r="O8081">
        <v>-0.9996391</v>
      </c>
      <c r="P8081">
        <v>6.5833929999999999E-2</v>
      </c>
      <c r="Q8081">
        <v>-4.4863050000000002E-2</v>
      </c>
      <c r="R8081">
        <v>-0.99682190000000004</v>
      </c>
      <c r="S8081">
        <v>-0.12686159999999999</v>
      </c>
      <c r="T8081">
        <v>-0.15671370000000001</v>
      </c>
      <c r="U8081">
        <v>-3.0108950000000001</v>
      </c>
      <c r="V8081">
        <v>-4.1367540000000001E-2</v>
      </c>
      <c r="W8081">
        <v>-3.3874689999999999E-2</v>
      </c>
      <c r="X8081">
        <v>0.99856959999999995</v>
      </c>
      <c r="Y8081">
        <v>6.6514039999999996E-2</v>
      </c>
      <c r="Z8081">
        <v>4.0856580000000003E-2</v>
      </c>
      <c r="AA8081">
        <v>0.99694870000000002</v>
      </c>
      <c r="AB8081">
        <v>21</v>
      </c>
      <c r="AC8081">
        <v>-0.91329999999999201</v>
      </c>
      <c r="AD8081">
        <v>-1.1212628368531901</v>
      </c>
      <c r="AE8081">
        <v>-21.333379999999998</v>
      </c>
      <c r="AF8081">
        <v>1.43195580146283</v>
      </c>
      <c r="AG8081">
        <v>-1.1212628368531901</v>
      </c>
      <c r="AH8081">
        <v>21.246002517337999</v>
      </c>
      <c r="AI8081">
        <v>93.014170076088305</v>
      </c>
      <c r="AJ8081">
        <v>86.144162711926697</v>
      </c>
      <c r="AK8081">
        <v>21.3237039637438</v>
      </c>
      <c r="AL8081">
        <v>91.9412481384351</v>
      </c>
      <c r="AM8081">
        <v>92.372224186880104</v>
      </c>
      <c r="AN8081">
        <v>1.0000000070162001</v>
      </c>
    </row>
    <row r="8082" spans="1:40" x14ac:dyDescent="0.25">
      <c r="A8082" t="str">
        <f>"20190303154003786"</f>
        <v>20190303154003786</v>
      </c>
      <c r="B8082" t="str">
        <f>"1551598803776439"</f>
        <v>1551598803776439</v>
      </c>
      <c r="C8082" t="s">
        <v>40</v>
      </c>
      <c r="D8082">
        <v>4.8330780000000004</v>
      </c>
      <c r="E8082">
        <v>0.54123069999999995</v>
      </c>
      <c r="F8082" t="s">
        <v>63</v>
      </c>
      <c r="G8082">
        <v>-302.86360000000002</v>
      </c>
      <c r="H8082" s="1">
        <v>-7.8648100000000001E-7</v>
      </c>
      <c r="I8082">
        <v>-40.42268</v>
      </c>
      <c r="J8082">
        <v>-301.9425</v>
      </c>
      <c r="K8082">
        <v>1.121219</v>
      </c>
      <c r="L8082">
        <v>-19.107970000000002</v>
      </c>
      <c r="M8082">
        <v>2.4861310000000001E-2</v>
      </c>
      <c r="N8082">
        <v>-1.1356E-2</v>
      </c>
      <c r="O8082">
        <v>-0.99962660000000003</v>
      </c>
      <c r="P8082">
        <v>6.5392489999999998E-2</v>
      </c>
      <c r="Q8082">
        <v>-4.5489420000000003E-2</v>
      </c>
      <c r="R8082">
        <v>-0.99682289999999996</v>
      </c>
      <c r="S8082">
        <v>-0.12808230000000001</v>
      </c>
      <c r="T8082">
        <v>-0.15687200000000001</v>
      </c>
      <c r="U8082">
        <v>-3.0109560000000002</v>
      </c>
      <c r="V8082">
        <v>-4.0576710000000002E-2</v>
      </c>
      <c r="W8082">
        <v>-3.4165090000000002E-2</v>
      </c>
      <c r="X8082">
        <v>0.99859209999999998</v>
      </c>
      <c r="Y8082">
        <v>6.7268359999999999E-2</v>
      </c>
      <c r="Z8082">
        <v>4.0573400000000003E-2</v>
      </c>
      <c r="AA8082">
        <v>0.99690959999999995</v>
      </c>
      <c r="AB8082">
        <v>21</v>
      </c>
      <c r="AC8082">
        <v>-0.92110000000002401</v>
      </c>
      <c r="AD8082">
        <v>-1.1212197864810001</v>
      </c>
      <c r="AE8082">
        <v>-21.314710000000002</v>
      </c>
      <c r="AF8082">
        <v>1.4467650823578599</v>
      </c>
      <c r="AG8082">
        <v>-1.1212197864810001</v>
      </c>
      <c r="AH8082">
        <v>21.226593435691399</v>
      </c>
      <c r="AI8082">
        <v>93.016651192718598</v>
      </c>
      <c r="AJ8082">
        <v>86.100856762315203</v>
      </c>
      <c r="AK8082">
        <v>21.305363923135999</v>
      </c>
      <c r="AL8082">
        <v>91.95789657636</v>
      </c>
      <c r="AM8082">
        <v>92.3268719535006</v>
      </c>
      <c r="AN8082">
        <v>0.99999995247577</v>
      </c>
    </row>
    <row r="8083" spans="1:40" x14ac:dyDescent="0.25">
      <c r="A8083" t="str">
        <f>"20190303154003807"</f>
        <v>20190303154003807</v>
      </c>
      <c r="B8083" t="str">
        <f>"1551598803796935"</f>
        <v>1551598803796935</v>
      </c>
      <c r="C8083" t="s">
        <v>40</v>
      </c>
      <c r="D8083">
        <v>4.8338559999999999</v>
      </c>
      <c r="E8083">
        <v>0.54149230000000004</v>
      </c>
      <c r="F8083" t="s">
        <v>63</v>
      </c>
      <c r="G8083">
        <v>-302.88440000000003</v>
      </c>
      <c r="H8083" s="1">
        <v>-8.4269400000000004E-7</v>
      </c>
      <c r="I8083">
        <v>-40.555309999999999</v>
      </c>
      <c r="J8083">
        <v>-301.93700000000001</v>
      </c>
      <c r="K8083">
        <v>1.1211819999999999</v>
      </c>
      <c r="L8083">
        <v>-19.313690000000001</v>
      </c>
      <c r="M8083">
        <v>2.514945E-2</v>
      </c>
      <c r="N8083">
        <v>-1.1647050000000001E-2</v>
      </c>
      <c r="O8083">
        <v>-0.99961610000000001</v>
      </c>
      <c r="P8083">
        <v>6.4913170000000006E-2</v>
      </c>
      <c r="Q8083">
        <v>-4.6044599999999998E-2</v>
      </c>
      <c r="R8083">
        <v>-0.99682859999999995</v>
      </c>
      <c r="S8083">
        <v>-0.13223270000000001</v>
      </c>
      <c r="T8083">
        <v>-0.157411</v>
      </c>
      <c r="U8083">
        <v>-3.011047</v>
      </c>
      <c r="V8083">
        <v>-3.9813050000000003E-2</v>
      </c>
      <c r="W8083">
        <v>-3.4425270000000001E-2</v>
      </c>
      <c r="X8083">
        <v>0.998614</v>
      </c>
      <c r="Y8083">
        <v>6.8925009999999995E-2</v>
      </c>
      <c r="Z8083">
        <v>4.0453500000000003E-2</v>
      </c>
      <c r="AA8083">
        <v>0.9968013</v>
      </c>
      <c r="AB8083">
        <v>21</v>
      </c>
      <c r="AC8083">
        <v>-0.94740000000001501</v>
      </c>
      <c r="AD8083">
        <v>-1.12118284269399</v>
      </c>
      <c r="AE8083">
        <v>-21.241620000000001</v>
      </c>
      <c r="AF8083">
        <v>1.47724406656859</v>
      </c>
      <c r="AG8083">
        <v>-1.12118284269399</v>
      </c>
      <c r="AH8083">
        <v>21.152259495616999</v>
      </c>
      <c r="AI8083">
        <v>93.026784500106601</v>
      </c>
      <c r="AJ8083">
        <v>86.005029942247106</v>
      </c>
      <c r="AK8083">
        <v>21.233402524533901</v>
      </c>
      <c r="AL8083">
        <v>91.972812375752298</v>
      </c>
      <c r="AM8083">
        <v>92.2830766305335</v>
      </c>
      <c r="AN8083">
        <v>1.00000004958043</v>
      </c>
    </row>
    <row r="8084" spans="1:40" x14ac:dyDescent="0.25">
      <c r="A8084" t="str">
        <f>"20190303154003832"</f>
        <v>20190303154003832</v>
      </c>
      <c r="B8084" t="str">
        <f>"1551598803826215"</f>
        <v>1551598803826215</v>
      </c>
      <c r="C8084" t="s">
        <v>40</v>
      </c>
      <c r="D8084">
        <v>4.8346839999999904</v>
      </c>
      <c r="E8084">
        <v>0.54179469999999996</v>
      </c>
      <c r="F8084" t="s">
        <v>63</v>
      </c>
      <c r="G8084">
        <v>-302.89170000000001</v>
      </c>
      <c r="H8084" s="1">
        <v>-8.193093E-7</v>
      </c>
      <c r="I8084">
        <v>-40.48903</v>
      </c>
      <c r="J8084">
        <v>-301.93130000000002</v>
      </c>
      <c r="K8084">
        <v>1.121143</v>
      </c>
      <c r="L8084">
        <v>-19.530460000000001</v>
      </c>
      <c r="M8084">
        <v>2.5376630000000001E-2</v>
      </c>
      <c r="N8084">
        <v>-1.191321E-2</v>
      </c>
      <c r="O8084">
        <v>-0.99960709999999997</v>
      </c>
      <c r="P8084">
        <v>6.4489420000000006E-2</v>
      </c>
      <c r="Q8084">
        <v>-4.6260740000000002E-2</v>
      </c>
      <c r="R8084">
        <v>-0.99684600000000001</v>
      </c>
      <c r="S8084">
        <v>-0.13574220000000001</v>
      </c>
      <c r="T8084">
        <v>-0.15942600000000001</v>
      </c>
      <c r="U8084">
        <v>-3.0110169999999998</v>
      </c>
      <c r="V8084">
        <v>-3.9165989999999998E-2</v>
      </c>
      <c r="W8084">
        <v>-3.437113E-2</v>
      </c>
      <c r="X8084">
        <v>0.99864140000000001</v>
      </c>
      <c r="Y8084">
        <v>7.0309490000000002E-2</v>
      </c>
      <c r="Z8084">
        <v>4.084869E-2</v>
      </c>
      <c r="AA8084">
        <v>0.99668849999999998</v>
      </c>
      <c r="AB8084">
        <v>21</v>
      </c>
      <c r="AC8084">
        <v>-0.96039999999999204</v>
      </c>
      <c r="AD8084">
        <v>-1.1211438193093</v>
      </c>
      <c r="AE8084">
        <v>-20.958570000000002</v>
      </c>
      <c r="AF8084">
        <v>1.4877379289178401</v>
      </c>
      <c r="AG8084">
        <v>-1.1211438193093</v>
      </c>
      <c r="AH8084">
        <v>20.867857115964298</v>
      </c>
      <c r="AI8084">
        <v>93.067538129952197</v>
      </c>
      <c r="AJ8084">
        <v>85.922095714177303</v>
      </c>
      <c r="AK8084">
        <v>20.950842184051201</v>
      </c>
      <c r="AL8084">
        <v>91.969708648059196</v>
      </c>
      <c r="AM8084">
        <v>92.245947771977399</v>
      </c>
      <c r="AN8084">
        <v>0.99999999757205804</v>
      </c>
    </row>
    <row r="8085" spans="1:40" x14ac:dyDescent="0.25">
      <c r="A8085" t="str">
        <f>"20190303154003853"</f>
        <v>20190303154003853</v>
      </c>
      <c r="B8085" t="str">
        <f>"1551598803846711"</f>
        <v>1551598803846711</v>
      </c>
      <c r="C8085" t="s">
        <v>40</v>
      </c>
      <c r="D8085">
        <v>4.8530220000000002</v>
      </c>
      <c r="E8085">
        <v>0.54196889999999998</v>
      </c>
      <c r="F8085" t="s">
        <v>63</v>
      </c>
      <c r="G8085">
        <v>-302.90769999999998</v>
      </c>
      <c r="H8085" s="1">
        <v>-8.7037109999999899E-7</v>
      </c>
      <c r="I8085">
        <v>-40.611559999999997</v>
      </c>
      <c r="J8085">
        <v>-301.92599999999999</v>
      </c>
      <c r="K8085">
        <v>1.1211070000000001</v>
      </c>
      <c r="L8085">
        <v>-19.730260000000001</v>
      </c>
      <c r="M8085">
        <v>2.5521209999999999E-2</v>
      </c>
      <c r="N8085">
        <v>-1.2126420000000001E-2</v>
      </c>
      <c r="O8085">
        <v>-0.99960090000000001</v>
      </c>
      <c r="P8085">
        <v>6.5189699999999906E-2</v>
      </c>
      <c r="Q8085">
        <v>-4.5888360000000003E-2</v>
      </c>
      <c r="R8085">
        <v>-0.99681759999999997</v>
      </c>
      <c r="S8085">
        <v>-0.13946529999999999</v>
      </c>
      <c r="T8085">
        <v>-0.16013629999999901</v>
      </c>
      <c r="U8085">
        <v>-3.0110779999999999</v>
      </c>
      <c r="V8085">
        <v>-3.972535E-2</v>
      </c>
      <c r="W8085">
        <v>-3.3782319999999998E-2</v>
      </c>
      <c r="X8085">
        <v>0.99863939999999995</v>
      </c>
      <c r="Y8085">
        <v>7.1681419999999996E-2</v>
      </c>
      <c r="Z8085">
        <v>4.0864400000000002E-2</v>
      </c>
      <c r="AA8085">
        <v>0.99659010000000003</v>
      </c>
      <c r="AB8085">
        <v>21</v>
      </c>
      <c r="AC8085">
        <v>-0.98169999999998903</v>
      </c>
      <c r="AD8085">
        <v>-1.1211078703710999</v>
      </c>
      <c r="AE8085">
        <v>-20.8813</v>
      </c>
      <c r="AF8085">
        <v>1.5099922750483501</v>
      </c>
      <c r="AG8085">
        <v>-1.1211078703710999</v>
      </c>
      <c r="AH8085">
        <v>20.789646123449</v>
      </c>
      <c r="AI8085">
        <v>93.078663060123503</v>
      </c>
      <c r="AJ8085">
        <v>85.845791318160195</v>
      </c>
      <c r="AK8085">
        <v>20.8745382096456</v>
      </c>
      <c r="AL8085">
        <v>91.935952710255506</v>
      </c>
      <c r="AM8085">
        <v>92.2779949039776</v>
      </c>
      <c r="AN8085">
        <v>0.99999999990478206</v>
      </c>
    </row>
    <row r="8086" spans="1:40" x14ac:dyDescent="0.25">
      <c r="A8086" t="str">
        <f>"20190303154003875"</f>
        <v>20190303154003875</v>
      </c>
      <c r="B8086" t="str">
        <f>"1551598803866231"</f>
        <v>1551598803866231</v>
      </c>
      <c r="C8086" t="s">
        <v>40</v>
      </c>
      <c r="D8086">
        <v>4.8448710000000004</v>
      </c>
      <c r="E8086">
        <v>0.54213449999999996</v>
      </c>
      <c r="F8086" t="s">
        <v>63</v>
      </c>
      <c r="G8086">
        <v>-302.9058</v>
      </c>
      <c r="H8086" s="1">
        <v>-1.0193600000000001E-6</v>
      </c>
      <c r="I8086">
        <v>-41.002940000000002</v>
      </c>
      <c r="J8086">
        <v>-301.92059999999998</v>
      </c>
      <c r="K8086">
        <v>1.121084</v>
      </c>
      <c r="L8086">
        <v>-19.935420000000001</v>
      </c>
      <c r="M8086">
        <v>2.5617359999999999E-2</v>
      </c>
      <c r="N8086">
        <v>-1.2317120000000001E-2</v>
      </c>
      <c r="O8086">
        <v>-0.99959609999999999</v>
      </c>
      <c r="P8086">
        <v>6.5932909999999997E-2</v>
      </c>
      <c r="Q8086">
        <v>-4.594612E-2</v>
      </c>
      <c r="R8086">
        <v>-0.99676609999999999</v>
      </c>
      <c r="S8086">
        <v>-0.138702399999999</v>
      </c>
      <c r="T8086">
        <v>-0.1587036</v>
      </c>
      <c r="U8086">
        <v>-3.0113530000000002</v>
      </c>
      <c r="V8086">
        <v>-4.0376479999999999E-2</v>
      </c>
      <c r="W8086">
        <v>-3.3646919999999997E-2</v>
      </c>
      <c r="X8086">
        <v>0.9986178</v>
      </c>
      <c r="Y8086">
        <v>7.1522269999999999E-2</v>
      </c>
      <c r="Z8086">
        <v>4.019636E-2</v>
      </c>
      <c r="AA8086">
        <v>0.99662870000000003</v>
      </c>
      <c r="AB8086">
        <v>21</v>
      </c>
      <c r="AC8086">
        <v>-0.98520000000001995</v>
      </c>
      <c r="AD8086">
        <v>-1.1210850193599999</v>
      </c>
      <c r="AE8086">
        <v>-21.067519999999998</v>
      </c>
      <c r="AF8086">
        <v>1.52031601526237</v>
      </c>
      <c r="AG8086">
        <v>-1.1210850193599999</v>
      </c>
      <c r="AH8086">
        <v>20.976096101375699</v>
      </c>
      <c r="AI8086">
        <v>93.051321378846595</v>
      </c>
      <c r="AJ8086">
        <v>85.8545365017618</v>
      </c>
      <c r="AK8086">
        <v>21.060978136379301</v>
      </c>
      <c r="AL8086">
        <v>91.928190558781296</v>
      </c>
      <c r="AM8086">
        <v>92.315342765988603</v>
      </c>
      <c r="AN8086">
        <v>0.99999994291975602</v>
      </c>
    </row>
    <row r="8087" spans="1:40" x14ac:dyDescent="0.25">
      <c r="A8087" t="str">
        <f>"20190303154003897"</f>
        <v>20190303154003897</v>
      </c>
      <c r="B8087" t="str">
        <f>"1551598803886727"</f>
        <v>1551598803886727</v>
      </c>
      <c r="C8087" t="s">
        <v>40</v>
      </c>
      <c r="D8087">
        <v>4.8626189999999996</v>
      </c>
      <c r="E8087">
        <v>0.54229380000000005</v>
      </c>
      <c r="F8087" t="s">
        <v>63</v>
      </c>
      <c r="G8087">
        <v>-302.89429999999999</v>
      </c>
      <c r="H8087" s="1">
        <v>-1.0983290000000001E-6</v>
      </c>
      <c r="I8087">
        <v>-41.217700000000001</v>
      </c>
      <c r="J8087">
        <v>-301.91520000000003</v>
      </c>
      <c r="K8087">
        <v>1.1210639999999901</v>
      </c>
      <c r="L8087">
        <v>-20.144200000000001</v>
      </c>
      <c r="M8087">
        <v>2.566601E-2</v>
      </c>
      <c r="N8087">
        <v>-1.248558E-2</v>
      </c>
      <c r="O8087">
        <v>-0.99959279999999995</v>
      </c>
      <c r="P8087">
        <v>6.6675300000000007E-2</v>
      </c>
      <c r="Q8087">
        <v>-4.5791940000000003E-2</v>
      </c>
      <c r="R8087">
        <v>-0.99672380000000005</v>
      </c>
      <c r="S8087">
        <v>-0.13778689999999999</v>
      </c>
      <c r="T8087">
        <v>-0.15863849999999999</v>
      </c>
      <c r="U8087">
        <v>-3.011536</v>
      </c>
      <c r="V8087">
        <v>-4.1073079999999998E-2</v>
      </c>
      <c r="W8087">
        <v>-3.332222E-2</v>
      </c>
      <c r="X8087">
        <v>0.99860040000000005</v>
      </c>
      <c r="Y8087">
        <v>7.1265729999999999E-2</v>
      </c>
      <c r="Z8087">
        <v>4.0004039999999998E-2</v>
      </c>
      <c r="AA8087">
        <v>0.99665490000000001</v>
      </c>
      <c r="AB8087">
        <v>21</v>
      </c>
      <c r="AC8087">
        <v>-0.97909999999996</v>
      </c>
      <c r="AD8087">
        <v>-1.12106509832899</v>
      </c>
      <c r="AE8087">
        <v>-21.073499999999999</v>
      </c>
      <c r="AF8087">
        <v>1.51541272642097</v>
      </c>
      <c r="AG8087">
        <v>-1.12106509832899</v>
      </c>
      <c r="AH8087">
        <v>20.9821733062936</v>
      </c>
      <c r="AI8087">
        <v>93.050440981708206</v>
      </c>
      <c r="AJ8087">
        <v>85.8690526460244</v>
      </c>
      <c r="AK8087">
        <v>21.066676513903001</v>
      </c>
      <c r="AL8087">
        <v>91.909575949264394</v>
      </c>
      <c r="AM8087">
        <v>92.355284880274695</v>
      </c>
      <c r="AN8087">
        <v>1.00000006356328</v>
      </c>
    </row>
    <row r="8088" spans="1:40" x14ac:dyDescent="0.25">
      <c r="A8088" t="str">
        <f>"20190303154003922"</f>
        <v>20190303154003922</v>
      </c>
      <c r="B8088" t="str">
        <f>"1551598803916007"</f>
        <v>1551598803916007</v>
      </c>
      <c r="C8088" t="s">
        <v>40</v>
      </c>
      <c r="D8088">
        <v>4.8373220000000003</v>
      </c>
      <c r="E8088">
        <v>0.54248050000000003</v>
      </c>
      <c r="F8088" t="s">
        <v>63</v>
      </c>
      <c r="G8088">
        <v>-302.88650000000001</v>
      </c>
      <c r="H8088" s="1">
        <v>-1.212566E-6</v>
      </c>
      <c r="I8088">
        <v>-41.52225</v>
      </c>
      <c r="J8088">
        <v>-301.90929999999997</v>
      </c>
      <c r="K8088">
        <v>1.1210450000000001</v>
      </c>
      <c r="L8088">
        <v>-20.370850000000001</v>
      </c>
      <c r="M8088">
        <v>2.567086E-2</v>
      </c>
      <c r="N8088">
        <v>-1.2643069999999999E-2</v>
      </c>
      <c r="O8088">
        <v>-0.99959070000000005</v>
      </c>
      <c r="P8088">
        <v>6.704628E-2</v>
      </c>
      <c r="Q8088">
        <v>-4.6204950000000002E-2</v>
      </c>
      <c r="R8088">
        <v>-0.9966798</v>
      </c>
      <c r="S8088">
        <v>-0.13684079999999901</v>
      </c>
      <c r="T8088">
        <v>-0.1579361</v>
      </c>
      <c r="U8088">
        <v>-3.011749</v>
      </c>
      <c r="V8088">
        <v>-4.1441760000000001E-2</v>
      </c>
      <c r="W8088">
        <v>-3.3576229999999999E-2</v>
      </c>
      <c r="X8088">
        <v>0.99857660000000004</v>
      </c>
      <c r="Y8088">
        <v>7.0955489999999996E-2</v>
      </c>
      <c r="Z8088">
        <v>3.9611979999999998E-2</v>
      </c>
      <c r="AA8088">
        <v>0.99669269999999999</v>
      </c>
      <c r="AB8088">
        <v>21</v>
      </c>
      <c r="AC8088">
        <v>-0.97720000000003804</v>
      </c>
      <c r="AD8088">
        <v>-1.1210462125659999</v>
      </c>
      <c r="AE8088">
        <v>-21.151399999999999</v>
      </c>
      <c r="AF8088">
        <v>1.5156472787001001</v>
      </c>
      <c r="AG8088">
        <v>-1.1210462125659999</v>
      </c>
      <c r="AH8088">
        <v>21.060306146594701</v>
      </c>
      <c r="AI8088">
        <v>93.039150000931798</v>
      </c>
      <c r="AJ8088">
        <v>85.883690697677494</v>
      </c>
      <c r="AK8088">
        <v>21.144512911685499</v>
      </c>
      <c r="AL8088">
        <v>91.924137911797601</v>
      </c>
      <c r="AM8088">
        <v>92.376458822124107</v>
      </c>
      <c r="AN8088">
        <v>1.00000000438023</v>
      </c>
    </row>
    <row r="8089" spans="1:40" x14ac:dyDescent="0.25">
      <c r="A8089" t="str">
        <f>"20190303154003943"</f>
        <v>20190303154003943</v>
      </c>
      <c r="B8089" t="str">
        <f>"1551598803936503"</f>
        <v>1551598803936503</v>
      </c>
      <c r="C8089" t="s">
        <v>40</v>
      </c>
      <c r="D8089">
        <v>4.7510849999999998</v>
      </c>
      <c r="E8089">
        <v>0.54257369999999905</v>
      </c>
      <c r="F8089" t="s">
        <v>63</v>
      </c>
      <c r="G8089">
        <v>-302.86939999999998</v>
      </c>
      <c r="H8089" s="1">
        <v>-1.1807369999999999E-6</v>
      </c>
      <c r="I8089">
        <v>-41.45082</v>
      </c>
      <c r="J8089">
        <v>-301.90440000000001</v>
      </c>
      <c r="K8089">
        <v>1.121046</v>
      </c>
      <c r="L8089">
        <v>-20.56326</v>
      </c>
      <c r="M8089">
        <v>2.5649089999999999E-2</v>
      </c>
      <c r="N8089">
        <v>-1.27583E-2</v>
      </c>
      <c r="O8089">
        <v>-0.99958999999999998</v>
      </c>
      <c r="P8089">
        <v>6.742679E-2</v>
      </c>
      <c r="Q8089">
        <v>-4.5875949999999999E-2</v>
      </c>
      <c r="R8089">
        <v>-0.99666969999999999</v>
      </c>
      <c r="S8089">
        <v>-0.13717650000000001</v>
      </c>
      <c r="T8089">
        <v>-0.16017000000000001</v>
      </c>
      <c r="U8089">
        <v>-3.0118100000000001</v>
      </c>
      <c r="V8089">
        <v>-4.1844729999999997E-2</v>
      </c>
      <c r="W8089">
        <v>-3.3131029999999999E-2</v>
      </c>
      <c r="X8089">
        <v>0.99857470000000004</v>
      </c>
      <c r="Y8089">
        <v>7.1041930000000003E-2</v>
      </c>
      <c r="Z8089">
        <v>4.0232829999999997E-2</v>
      </c>
      <c r="AA8089">
        <v>0.99666160000000004</v>
      </c>
      <c r="AB8089">
        <v>21</v>
      </c>
      <c r="AC8089">
        <v>-0.96499999999997499</v>
      </c>
      <c r="AD8089">
        <v>-1.1210471807369999</v>
      </c>
      <c r="AE8089">
        <v>-20.887560000000001</v>
      </c>
      <c r="AF8089">
        <v>1.4961721774080301</v>
      </c>
      <c r="AG8089">
        <v>-1.1210471807369999</v>
      </c>
      <c r="AH8089">
        <v>20.7961573080138</v>
      </c>
      <c r="AI8089">
        <v>93.077686528932304</v>
      </c>
      <c r="AJ8089">
        <v>85.884965497849706</v>
      </c>
      <c r="AK8089">
        <v>20.880024826267501</v>
      </c>
      <c r="AL8089">
        <v>91.898615564582002</v>
      </c>
      <c r="AM8089">
        <v>92.399544632599799</v>
      </c>
      <c r="AN8089">
        <v>1.0000000390288599</v>
      </c>
    </row>
    <row r="8090" spans="1:40" x14ac:dyDescent="0.25">
      <c r="A8090" t="str">
        <f>"20190303154003964"</f>
        <v>20190303154003964</v>
      </c>
      <c r="B8090" t="str">
        <f>"1551598803956023"</f>
        <v>1551598803956023</v>
      </c>
      <c r="C8090" t="s">
        <v>40</v>
      </c>
      <c r="D8090">
        <v>4.7841500000000003</v>
      </c>
      <c r="E8090">
        <v>0.54019530000000004</v>
      </c>
      <c r="F8090" t="s">
        <v>63</v>
      </c>
      <c r="G8090">
        <v>-302.8664</v>
      </c>
      <c r="H8090" s="1">
        <v>-1.30384E-6</v>
      </c>
      <c r="I8090">
        <v>-41.775239999999997</v>
      </c>
      <c r="J8090">
        <v>-301.89929999999998</v>
      </c>
      <c r="K8090">
        <v>1.1210530000000001</v>
      </c>
      <c r="L8090">
        <v>-20.76266</v>
      </c>
      <c r="M8090">
        <v>2.561484E-2</v>
      </c>
      <c r="N8090">
        <v>-1.2862180000000001E-2</v>
      </c>
      <c r="O8090">
        <v>-0.99958930000000001</v>
      </c>
      <c r="P8090">
        <v>6.6977060000000005E-2</v>
      </c>
      <c r="Q8090">
        <v>-4.5309580000000002E-2</v>
      </c>
      <c r="R8090">
        <v>-0.99672570000000005</v>
      </c>
      <c r="S8090">
        <v>-0.13659669999999999</v>
      </c>
      <c r="T8090">
        <v>-0.15917979999999901</v>
      </c>
      <c r="U8090">
        <v>-3.0119319999999998</v>
      </c>
      <c r="V8090">
        <v>-4.1428060000000003E-2</v>
      </c>
      <c r="W8090">
        <v>-3.2460070000000001E-2</v>
      </c>
      <c r="X8090">
        <v>0.99861409999999995</v>
      </c>
      <c r="Y8090">
        <v>7.0815210000000003E-2</v>
      </c>
      <c r="Z8090">
        <v>3.9800780000000001E-2</v>
      </c>
      <c r="AA8090">
        <v>0.99669509999999994</v>
      </c>
      <c r="AB8090">
        <v>21</v>
      </c>
      <c r="AC8090">
        <v>-0.96710000000001595</v>
      </c>
      <c r="AD8090">
        <v>-1.12105430384</v>
      </c>
      <c r="AE8090">
        <v>-21.01258</v>
      </c>
      <c r="AF8090">
        <v>1.5007981149234699</v>
      </c>
      <c r="AG8090">
        <v>-1.12105430384</v>
      </c>
      <c r="AH8090">
        <v>20.921485339151999</v>
      </c>
      <c r="AI8090">
        <v>93.0593502900971</v>
      </c>
      <c r="AJ8090">
        <v>85.896928290107496</v>
      </c>
      <c r="AK8090">
        <v>21.0051828492463</v>
      </c>
      <c r="AL8090">
        <v>91.860151714557205</v>
      </c>
      <c r="AM8090">
        <v>92.375584992933497</v>
      </c>
      <c r="AN8090">
        <v>1.00000003050928</v>
      </c>
    </row>
    <row r="8091" spans="1:40" x14ac:dyDescent="0.25">
      <c r="A8091" t="str">
        <f>"20190303154003987"</f>
        <v>20190303154003987</v>
      </c>
      <c r="B8091" t="str">
        <f>"1551598803976519"</f>
        <v>1551598803976519</v>
      </c>
      <c r="C8091" t="s">
        <v>40</v>
      </c>
      <c r="D8091">
        <v>4.8267850000000001</v>
      </c>
      <c r="E8091">
        <v>0.53764559999999995</v>
      </c>
      <c r="F8091" t="s">
        <v>63</v>
      </c>
      <c r="G8091">
        <v>-302.75240000000002</v>
      </c>
      <c r="H8091" s="1">
        <v>-1.633457E-6</v>
      </c>
      <c r="I8091">
        <v>-42.343800000000002</v>
      </c>
      <c r="J8091">
        <v>-301.89420000000001</v>
      </c>
      <c r="K8091">
        <v>1.1210690000000001</v>
      </c>
      <c r="L8091">
        <v>-20.964259999999999</v>
      </c>
      <c r="M8091">
        <v>2.5574429999999999E-2</v>
      </c>
      <c r="N8091">
        <v>-1.295314E-2</v>
      </c>
      <c r="O8091">
        <v>-0.99958899999999995</v>
      </c>
      <c r="P8091">
        <v>6.6611390000000006E-2</v>
      </c>
      <c r="Q8091">
        <v>-4.4495859999999998E-2</v>
      </c>
      <c r="R8091">
        <v>-0.99678650000000002</v>
      </c>
      <c r="S8091">
        <v>-0.1190186</v>
      </c>
      <c r="T8091">
        <v>-0.15639620000000001</v>
      </c>
      <c r="U8091">
        <v>-3.010742</v>
      </c>
      <c r="V8091">
        <v>-4.1101159999999998E-2</v>
      </c>
      <c r="W8091">
        <v>-3.1555050000000001E-2</v>
      </c>
      <c r="X8091">
        <v>0.99865660000000001</v>
      </c>
      <c r="Y8091">
        <v>6.4987009999999998E-2</v>
      </c>
      <c r="Z8091">
        <v>3.8829049999999997E-2</v>
      </c>
      <c r="AA8091">
        <v>0.99713039999999997</v>
      </c>
      <c r="AB8091">
        <v>21</v>
      </c>
      <c r="AC8091">
        <v>-0.85820000000000995</v>
      </c>
      <c r="AD8091">
        <v>-1.121070633457</v>
      </c>
      <c r="AE8091">
        <v>-21.379539999999999</v>
      </c>
      <c r="AF8091">
        <v>1.40088899154305</v>
      </c>
      <c r="AG8091">
        <v>-1.121070633457</v>
      </c>
      <c r="AH8091">
        <v>21.2921455424631</v>
      </c>
      <c r="AI8091">
        <v>93.007454803928894</v>
      </c>
      <c r="AJ8091">
        <v>86.2357241482635</v>
      </c>
      <c r="AK8091">
        <v>21.367609860095602</v>
      </c>
      <c r="AL8091">
        <v>91.808271332774396</v>
      </c>
      <c r="AM8091">
        <v>92.356760791829004</v>
      </c>
      <c r="AN8091">
        <v>1.0000000156286999</v>
      </c>
    </row>
    <row r="8092" spans="1:40" x14ac:dyDescent="0.25">
      <c r="A8092" t="str">
        <f>"20190303154004008"</f>
        <v>20190303154004008</v>
      </c>
      <c r="B8092" t="str">
        <f>"1551598803996039"</f>
        <v>1551598803996039</v>
      </c>
      <c r="C8092" t="s">
        <v>40</v>
      </c>
      <c r="D8092">
        <v>4.7815029999999998</v>
      </c>
      <c r="E8092">
        <v>0.53544369999999997</v>
      </c>
      <c r="F8092" t="s">
        <v>63</v>
      </c>
      <c r="G8092">
        <v>-302.61709999999999</v>
      </c>
      <c r="H8092" s="1">
        <v>-1.8571279999999999E-6</v>
      </c>
      <c r="I8092">
        <v>-42.72533</v>
      </c>
      <c r="J8092">
        <v>-301.88900000000001</v>
      </c>
      <c r="K8092">
        <v>1.1210899999999999</v>
      </c>
      <c r="L8092">
        <v>-21.167300000000001</v>
      </c>
      <c r="M8092">
        <v>2.552931E-2</v>
      </c>
      <c r="N8092">
        <v>-1.303228E-2</v>
      </c>
      <c r="O8092">
        <v>-0.99958930000000001</v>
      </c>
      <c r="P8092">
        <v>6.6276689999999999E-2</v>
      </c>
      <c r="Q8092">
        <v>-4.3294630000000001E-2</v>
      </c>
      <c r="R8092">
        <v>-0.99686209999999997</v>
      </c>
      <c r="S8092">
        <v>-9.9975590000000003E-2</v>
      </c>
      <c r="T8092">
        <v>-0.1550376</v>
      </c>
      <c r="U8092">
        <v>-3.00943</v>
      </c>
      <c r="V8092">
        <v>-4.0808949999999997E-2</v>
      </c>
      <c r="W8092">
        <v>-3.027434E-2</v>
      </c>
      <c r="X8092">
        <v>0.99870820000000005</v>
      </c>
      <c r="Y8092">
        <v>5.8659919999999997E-2</v>
      </c>
      <c r="Z8092">
        <v>3.8340560000000003E-2</v>
      </c>
      <c r="AA8092">
        <v>0.99754149999999997</v>
      </c>
      <c r="AB8092">
        <v>21</v>
      </c>
      <c r="AC8092">
        <v>-0.72809999999998298</v>
      </c>
      <c r="AD8092">
        <v>-1.121091857128</v>
      </c>
      <c r="AE8092">
        <v>-21.558029999999999</v>
      </c>
      <c r="AF8092">
        <v>1.2748272673163701</v>
      </c>
      <c r="AG8092">
        <v>-1.121091857128</v>
      </c>
      <c r="AH8092">
        <v>21.474404702811299</v>
      </c>
      <c r="AI8092">
        <v>92.983225405089499</v>
      </c>
      <c r="AJ8092">
        <v>86.602625362236395</v>
      </c>
      <c r="AK8092">
        <v>21.541404059478999</v>
      </c>
      <c r="AL8092">
        <v>91.734857009969403</v>
      </c>
      <c r="AM8092">
        <v>92.339903251632094</v>
      </c>
      <c r="AN8092">
        <v>0.99999998740488805</v>
      </c>
    </row>
    <row r="8093" spans="1:40" x14ac:dyDescent="0.25">
      <c r="A8093" t="str">
        <f>"20190303154004032"</f>
        <v>20190303154004032</v>
      </c>
      <c r="B8093" t="str">
        <f>"1551598804026294"</f>
        <v>1551598804026294</v>
      </c>
      <c r="C8093" t="s">
        <v>40</v>
      </c>
      <c r="D8093">
        <v>4.7558259999999999</v>
      </c>
      <c r="E8093">
        <v>0.53256610000000004</v>
      </c>
      <c r="F8093" t="s">
        <v>63</v>
      </c>
      <c r="G8093">
        <v>-302.50319999999999</v>
      </c>
      <c r="H8093" s="1">
        <v>-2.219581E-6</v>
      </c>
      <c r="I8093">
        <v>-43.320500000000003</v>
      </c>
      <c r="J8093">
        <v>-301.88369999999998</v>
      </c>
      <c r="K8093">
        <v>1.121105</v>
      </c>
      <c r="L8093">
        <v>-21.377500000000001</v>
      </c>
      <c r="M8093">
        <v>2.5477409999999999E-2</v>
      </c>
      <c r="N8093">
        <v>-1.310191E-2</v>
      </c>
      <c r="O8093">
        <v>-0.99958950000000002</v>
      </c>
      <c r="P8093">
        <v>6.5197560000000002E-2</v>
      </c>
      <c r="Q8093">
        <v>-4.3586689999999997E-2</v>
      </c>
      <c r="R8093">
        <v>-0.99692000000000003</v>
      </c>
      <c r="S8093">
        <v>-8.3404539999999999E-2</v>
      </c>
      <c r="T8093">
        <v>-0.15224360000000001</v>
      </c>
      <c r="U8093">
        <v>-3.0083920000000002</v>
      </c>
      <c r="V8093">
        <v>-3.9780509999999998E-2</v>
      </c>
      <c r="W8093">
        <v>-3.049692E-2</v>
      </c>
      <c r="X8093">
        <v>0.99874289999999999</v>
      </c>
      <c r="Y8093">
        <v>5.3132560000000002E-2</v>
      </c>
      <c r="Z8093">
        <v>3.7377529999999999E-2</v>
      </c>
      <c r="AA8093">
        <v>0.99788770000000004</v>
      </c>
      <c r="AB8093">
        <v>21</v>
      </c>
      <c r="AC8093">
        <v>-0.61950000000001604</v>
      </c>
      <c r="AD8093">
        <v>-1.1211072195809999</v>
      </c>
      <c r="AE8093">
        <v>-21.943000000000001</v>
      </c>
      <c r="AF8093">
        <v>1.17533208244189</v>
      </c>
      <c r="AG8093">
        <v>-1.1211072195809999</v>
      </c>
      <c r="AH8093">
        <v>21.863066157354201</v>
      </c>
      <c r="AI8093">
        <v>92.931250470963903</v>
      </c>
      <c r="AJ8093">
        <v>86.922810045618405</v>
      </c>
      <c r="AK8093">
        <v>21.9233197463947</v>
      </c>
      <c r="AL8093">
        <v>91.747615834066906</v>
      </c>
      <c r="AM8093">
        <v>92.2809184912077</v>
      </c>
      <c r="AN8093">
        <v>0.99999996570287697</v>
      </c>
    </row>
    <row r="8094" spans="1:40" x14ac:dyDescent="0.25">
      <c r="A8094" t="str">
        <f>"20190303154004053"</f>
        <v>20190303154004053</v>
      </c>
      <c r="B8094" t="str">
        <f>"1551598804046791"</f>
        <v>1551598804046791</v>
      </c>
      <c r="C8094" t="s">
        <v>40</v>
      </c>
      <c r="D8094">
        <v>4.7586370000000002</v>
      </c>
      <c r="E8094">
        <v>0.53092969999999995</v>
      </c>
      <c r="F8094" t="s">
        <v>63</v>
      </c>
      <c r="G8094">
        <v>-302.34589999999997</v>
      </c>
      <c r="H8094" s="1">
        <v>-2.0924920000000001E-6</v>
      </c>
      <c r="I8094">
        <v>-43.15502</v>
      </c>
      <c r="J8094">
        <v>-301.87869999999998</v>
      </c>
      <c r="K8094">
        <v>1.1211169999999999</v>
      </c>
      <c r="L8094">
        <v>-21.579529999999998</v>
      </c>
      <c r="M8094">
        <v>2.5426879999999999E-2</v>
      </c>
      <c r="N8094">
        <v>-1.315945E-2</v>
      </c>
      <c r="O8094">
        <v>-0.99958999999999998</v>
      </c>
      <c r="P8094">
        <v>6.4184359999999996E-2</v>
      </c>
      <c r="Q8094">
        <v>-4.3591089999999999E-2</v>
      </c>
      <c r="R8094">
        <v>-0.99698569999999997</v>
      </c>
      <c r="S8094">
        <v>-6.3812259999999996E-2</v>
      </c>
      <c r="T8094">
        <v>-0.15478420000000001</v>
      </c>
      <c r="U8094">
        <v>-3.0066830000000002</v>
      </c>
      <c r="V8094">
        <v>-3.8816650000000001E-2</v>
      </c>
      <c r="W8094">
        <v>-3.0443689999999999E-2</v>
      </c>
      <c r="X8094">
        <v>0.99878250000000002</v>
      </c>
      <c r="Y8094">
        <v>4.6599880000000003E-2</v>
      </c>
      <c r="Z8094">
        <v>3.8203309999999997E-2</v>
      </c>
      <c r="AA8094">
        <v>0.99818280000000004</v>
      </c>
      <c r="AB8094">
        <v>20</v>
      </c>
      <c r="AC8094">
        <v>-0.46719999999999101</v>
      </c>
      <c r="AD8094">
        <v>-1.12111909249199</v>
      </c>
      <c r="AE8094">
        <v>-21.575489999999999</v>
      </c>
      <c r="AF8094">
        <v>1.01296003368911</v>
      </c>
      <c r="AG8094">
        <v>-1.12111909249199</v>
      </c>
      <c r="AH8094">
        <v>21.4986111325473</v>
      </c>
      <c r="AI8094">
        <v>92.981879458037696</v>
      </c>
      <c r="AJ8094">
        <v>87.302363298344304</v>
      </c>
      <c r="AK8094">
        <v>21.551642087736401</v>
      </c>
      <c r="AL8094">
        <v>91.744564474283806</v>
      </c>
      <c r="AM8094">
        <v>92.225621196345799</v>
      </c>
      <c r="AN8094">
        <v>1.0000000164421401</v>
      </c>
    </row>
    <row r="8095" spans="1:40" x14ac:dyDescent="0.25">
      <c r="A8095" t="str">
        <f>"20190303154004076"</f>
        <v>20190303154004076</v>
      </c>
      <c r="B8095" t="str">
        <f>"1551598804066311"</f>
        <v>1551598804066311</v>
      </c>
      <c r="C8095" t="s">
        <v>40</v>
      </c>
      <c r="D8095">
        <v>4.7635560000000003</v>
      </c>
      <c r="E8095">
        <v>0.52943030000000002</v>
      </c>
      <c r="F8095" t="s">
        <v>63</v>
      </c>
      <c r="G8095">
        <v>-302.2647</v>
      </c>
      <c r="H8095" s="1">
        <v>-2.0596350000000001E-6</v>
      </c>
      <c r="I8095">
        <v>-43.121119999999998</v>
      </c>
      <c r="J8095">
        <v>-301.87349999999998</v>
      </c>
      <c r="K8095">
        <v>1.121127</v>
      </c>
      <c r="L8095">
        <v>-21.784420000000001</v>
      </c>
      <c r="M8095">
        <v>2.5376300000000001E-2</v>
      </c>
      <c r="N8095">
        <v>-1.320962E-2</v>
      </c>
      <c r="O8095">
        <v>-0.99959089999999995</v>
      </c>
      <c r="P8095">
        <v>6.2818299999999994E-2</v>
      </c>
      <c r="Q8095">
        <v>-4.3915360000000001E-2</v>
      </c>
      <c r="R8095">
        <v>-0.99705860000000002</v>
      </c>
      <c r="S8095">
        <v>-5.386353E-2</v>
      </c>
      <c r="T8095">
        <v>-0.15643019999999999</v>
      </c>
      <c r="U8095">
        <v>-3.0057070000000001</v>
      </c>
      <c r="V8095">
        <v>-3.7499449999999997E-2</v>
      </c>
      <c r="W8095">
        <v>-3.0717729999999999E-2</v>
      </c>
      <c r="X8095">
        <v>0.99882439999999995</v>
      </c>
      <c r="Y8095">
        <v>4.3254109999999998E-2</v>
      </c>
      <c r="Z8095">
        <v>3.8721190000000003E-2</v>
      </c>
      <c r="AA8095">
        <v>0.99831340000000002</v>
      </c>
      <c r="AB8095">
        <v>20</v>
      </c>
      <c r="AC8095">
        <v>-0.39120000000002603</v>
      </c>
      <c r="AD8095">
        <v>-1.1211290596349901</v>
      </c>
      <c r="AE8095">
        <v>-21.3367</v>
      </c>
      <c r="AF8095">
        <v>0.93000082053598199</v>
      </c>
      <c r="AG8095">
        <v>-1.1211290596349901</v>
      </c>
      <c r="AH8095">
        <v>21.261218481609799</v>
      </c>
      <c r="AI8095">
        <v>93.015600003617706</v>
      </c>
      <c r="AJ8095">
        <v>87.495384522682201</v>
      </c>
      <c r="AK8095">
        <v>21.311059176336201</v>
      </c>
      <c r="AL8095">
        <v>91.760273212040801</v>
      </c>
      <c r="AM8095">
        <v>92.150079224915203</v>
      </c>
      <c r="AN8095">
        <v>0.99999998486100705</v>
      </c>
    </row>
    <row r="8096" spans="1:40" x14ac:dyDescent="0.25">
      <c r="A8096" t="str">
        <f>"20190303154004099"</f>
        <v>20190303154004099</v>
      </c>
      <c r="B8096" t="str">
        <f>"1551598804086808"</f>
        <v>1551598804086808</v>
      </c>
      <c r="C8096" t="s">
        <v>40</v>
      </c>
      <c r="D8096">
        <v>4.7814370000000004</v>
      </c>
      <c r="E8096">
        <v>0.52803049999999996</v>
      </c>
      <c r="F8096" t="s">
        <v>63</v>
      </c>
      <c r="G8096">
        <v>-302.19830000000002</v>
      </c>
      <c r="H8096" s="1">
        <v>-1.9747910000000001E-6</v>
      </c>
      <c r="I8096">
        <v>-43.002189999999999</v>
      </c>
      <c r="J8096">
        <v>-301.86840000000001</v>
      </c>
      <c r="K8096">
        <v>1.1211390000000001</v>
      </c>
      <c r="L8096">
        <v>-21.989070000000002</v>
      </c>
      <c r="M8096">
        <v>2.5324940000000001E-2</v>
      </c>
      <c r="N8096">
        <v>-1.325258E-2</v>
      </c>
      <c r="O8096">
        <v>-0.99959160000000002</v>
      </c>
      <c r="P8096">
        <v>6.1830919999999998E-2</v>
      </c>
      <c r="Q8096">
        <v>-4.4344109999999999E-2</v>
      </c>
      <c r="R8096">
        <v>-0.99710149999999997</v>
      </c>
      <c r="S8096">
        <v>-4.5989990000000001E-2</v>
      </c>
      <c r="T8096">
        <v>-0.15876899999999999</v>
      </c>
      <c r="U8096">
        <v>-3.0047609999999998</v>
      </c>
      <c r="V8096">
        <v>-3.6562160000000003E-2</v>
      </c>
      <c r="W8096">
        <v>-3.1103789999999999E-2</v>
      </c>
      <c r="X8096">
        <v>0.99884720000000005</v>
      </c>
      <c r="Y8096">
        <v>4.0593480000000001E-2</v>
      </c>
      <c r="Z8096">
        <v>3.9474019999999999E-2</v>
      </c>
      <c r="AA8096">
        <v>0.9983957</v>
      </c>
      <c r="AB8096">
        <v>20</v>
      </c>
      <c r="AC8096">
        <v>-0.32990000000000902</v>
      </c>
      <c r="AD8096">
        <v>-1.1211409747909999</v>
      </c>
      <c r="AE8096">
        <v>-21.013120000000001</v>
      </c>
      <c r="AF8096">
        <v>0.85955055456867901</v>
      </c>
      <c r="AG8096">
        <v>-1.1211409747909999</v>
      </c>
      <c r="AH8096">
        <v>20.938433467551199</v>
      </c>
      <c r="AI8096">
        <v>93.062380893602395</v>
      </c>
      <c r="AJ8096">
        <v>87.649251922955997</v>
      </c>
      <c r="AK8096">
        <v>20.986037746947002</v>
      </c>
      <c r="AL8096">
        <v>91.782403399199595</v>
      </c>
      <c r="AM8096">
        <v>92.096339250723403</v>
      </c>
      <c r="AN8096">
        <v>0.99999998312203398</v>
      </c>
    </row>
    <row r="8097" spans="1:40" x14ac:dyDescent="0.25">
      <c r="A8097" t="str">
        <f>"20190303154004123"</f>
        <v>20190303154004123</v>
      </c>
      <c r="B8097" t="str">
        <f>"1551598804116087"</f>
        <v>1551598804116087</v>
      </c>
      <c r="C8097" t="s">
        <v>40</v>
      </c>
      <c r="D8097">
        <v>4.7961989999999997</v>
      </c>
      <c r="E8097">
        <v>0.52610269999999904</v>
      </c>
      <c r="F8097" t="s">
        <v>63</v>
      </c>
      <c r="G8097">
        <v>-302.13279999999997</v>
      </c>
      <c r="H8097" s="1">
        <v>-1.884419E-6</v>
      </c>
      <c r="I8097">
        <v>-42.874369999999999</v>
      </c>
      <c r="J8097">
        <v>-301.86279999999999</v>
      </c>
      <c r="K8097">
        <v>1.121151</v>
      </c>
      <c r="L8097">
        <v>-22.212309999999999</v>
      </c>
      <c r="M8097">
        <v>2.5267350000000001E-2</v>
      </c>
      <c r="N8097">
        <v>-1.329254E-2</v>
      </c>
      <c r="O8097">
        <v>-0.99959240000000005</v>
      </c>
      <c r="P8097">
        <v>6.0486850000000002E-2</v>
      </c>
      <c r="Q8097">
        <v>-4.391834E-2</v>
      </c>
      <c r="R8097">
        <v>-0.99720249999999999</v>
      </c>
      <c r="S8097">
        <v>-3.80249E-2</v>
      </c>
      <c r="T8097">
        <v>-0.16125239999999999</v>
      </c>
      <c r="U8097">
        <v>-3.0039060000000002</v>
      </c>
      <c r="V8097">
        <v>-3.5273329999999999E-2</v>
      </c>
      <c r="W8097">
        <v>-3.0637910000000001E-2</v>
      </c>
      <c r="X8097">
        <v>0.99890800000000002</v>
      </c>
      <c r="Y8097">
        <v>3.7893839999999998E-2</v>
      </c>
      <c r="Z8097">
        <v>4.0276369999999999E-2</v>
      </c>
      <c r="AA8097">
        <v>0.99846979999999996</v>
      </c>
      <c r="AB8097">
        <v>20</v>
      </c>
      <c r="AC8097">
        <v>-0.26999999999998098</v>
      </c>
      <c r="AD8097">
        <v>-1.121152884419</v>
      </c>
      <c r="AE8097">
        <v>-20.66206</v>
      </c>
      <c r="AF8097">
        <v>0.78971063742501602</v>
      </c>
      <c r="AG8097">
        <v>-1.121152884419</v>
      </c>
      <c r="AH8097">
        <v>20.588032215014</v>
      </c>
      <c r="AI8097">
        <v>93.114764755154695</v>
      </c>
      <c r="AJ8097">
        <v>87.803339594579299</v>
      </c>
      <c r="AK8097">
        <v>20.633654479213298</v>
      </c>
      <c r="AL8097">
        <v>91.7556976108539</v>
      </c>
      <c r="AM8097">
        <v>92.0223819871144</v>
      </c>
      <c r="AN8097">
        <v>1.00000004090122</v>
      </c>
    </row>
    <row r="8098" spans="1:40" x14ac:dyDescent="0.25">
      <c r="A8098" t="str">
        <f>"20190303154004147"</f>
        <v>20190303154004147</v>
      </c>
      <c r="B8098" t="str">
        <f>"1551598804136583"</f>
        <v>1551598804136583</v>
      </c>
      <c r="C8098" t="s">
        <v>40</v>
      </c>
      <c r="D8098">
        <v>4.8017159999999999</v>
      </c>
      <c r="E8098">
        <v>0.52493800000000002</v>
      </c>
      <c r="F8098" t="s">
        <v>63</v>
      </c>
      <c r="G8098">
        <v>-302.0471</v>
      </c>
      <c r="H8098" s="1">
        <v>-1.9399010000000001E-6</v>
      </c>
      <c r="I8098">
        <v>-42.980420000000002</v>
      </c>
      <c r="J8098">
        <v>-301.85750000000002</v>
      </c>
      <c r="K8098">
        <v>1.1211709999999999</v>
      </c>
      <c r="L8098">
        <v>-22.427399999999999</v>
      </c>
      <c r="M8098">
        <v>2.5211250000000001E-2</v>
      </c>
      <c r="N8098">
        <v>-1.3325170000000001E-2</v>
      </c>
      <c r="O8098">
        <v>-0.99959359999999997</v>
      </c>
      <c r="P8098">
        <v>5.9727559999999999E-2</v>
      </c>
      <c r="Q8098">
        <v>-4.3534589999999998E-2</v>
      </c>
      <c r="R8098">
        <v>-0.99726499999999996</v>
      </c>
      <c r="S8098">
        <v>-2.6641850000000002E-2</v>
      </c>
      <c r="T8098">
        <v>-0.16210959999999999</v>
      </c>
      <c r="U8098">
        <v>-3.0028990000000002</v>
      </c>
      <c r="V8098">
        <v>-3.4567849999999997E-2</v>
      </c>
      <c r="W8098">
        <v>-3.022155E-2</v>
      </c>
      <c r="X8098">
        <v>0.99894530000000004</v>
      </c>
      <c r="Y8098">
        <v>3.4058779999999997E-2</v>
      </c>
      <c r="Z8098">
        <v>4.0551419999999998E-2</v>
      </c>
      <c r="AA8098">
        <v>0.99859679999999995</v>
      </c>
      <c r="AB8098">
        <v>20</v>
      </c>
      <c r="AC8098">
        <v>-0.189599999999984</v>
      </c>
      <c r="AD8098">
        <v>-1.121172939901</v>
      </c>
      <c r="AE8098">
        <v>-20.55302</v>
      </c>
      <c r="AF8098">
        <v>0.70565326389879102</v>
      </c>
      <c r="AG8098">
        <v>-1.121172939901</v>
      </c>
      <c r="AH8098">
        <v>20.480765407278401</v>
      </c>
      <c r="AI8098">
        <v>93.131545176199893</v>
      </c>
      <c r="AJ8098">
        <v>88.026686710061099</v>
      </c>
      <c r="AK8098">
        <v>20.523565161978699</v>
      </c>
      <c r="AL8098">
        <v>91.731830967309094</v>
      </c>
      <c r="AM8098">
        <v>91.981892220658295</v>
      </c>
      <c r="AN8098">
        <v>0.99999999536505702</v>
      </c>
    </row>
    <row r="8099" spans="1:40" x14ac:dyDescent="0.25">
      <c r="A8099" t="str">
        <f>"20190303154004167"</f>
        <v>20190303154004167</v>
      </c>
      <c r="B8099" t="str">
        <f>"1551598804156103"</f>
        <v>1551598804156103</v>
      </c>
      <c r="C8099" t="s">
        <v>40</v>
      </c>
      <c r="D8099">
        <v>4.8498950000000001</v>
      </c>
      <c r="E8099">
        <v>0.52371990000000002</v>
      </c>
      <c r="F8099" t="s">
        <v>63</v>
      </c>
      <c r="G8099">
        <v>-301.99290000000002</v>
      </c>
      <c r="H8099" s="1">
        <v>-2.017795E-6</v>
      </c>
      <c r="I8099">
        <v>-43.114829999999998</v>
      </c>
      <c r="J8099">
        <v>-301.8528</v>
      </c>
      <c r="K8099">
        <v>1.121184</v>
      </c>
      <c r="L8099">
        <v>-22.616489999999999</v>
      </c>
      <c r="M8099">
        <v>2.5162090000000002E-2</v>
      </c>
      <c r="N8099">
        <v>-1.334954E-2</v>
      </c>
      <c r="O8099">
        <v>-0.99959450000000005</v>
      </c>
      <c r="P8099">
        <v>5.916006E-2</v>
      </c>
      <c r="Q8099">
        <v>-4.2836510000000001E-2</v>
      </c>
      <c r="R8099">
        <v>-0.99732920000000003</v>
      </c>
      <c r="S8099">
        <v>-1.9653319999999998E-2</v>
      </c>
      <c r="T8099">
        <v>-0.16271160000000001</v>
      </c>
      <c r="U8099">
        <v>-3.0022890000000002</v>
      </c>
      <c r="V8099">
        <v>-3.404795E-2</v>
      </c>
      <c r="W8099">
        <v>-2.9498920000000001E-2</v>
      </c>
      <c r="X8099">
        <v>0.99898480000000001</v>
      </c>
      <c r="Y8099">
        <v>3.1687949999999999E-2</v>
      </c>
      <c r="Z8099">
        <v>4.0740690000000003E-2</v>
      </c>
      <c r="AA8099">
        <v>0.99866710000000003</v>
      </c>
      <c r="AB8099">
        <v>20</v>
      </c>
      <c r="AC8099">
        <v>-0.14010000000001799</v>
      </c>
      <c r="AD8099">
        <v>-1.1211860177949999</v>
      </c>
      <c r="AE8099">
        <v>-20.498339999999999</v>
      </c>
      <c r="AF8099">
        <v>0.65392628518306595</v>
      </c>
      <c r="AG8099">
        <v>-1.1211860177949999</v>
      </c>
      <c r="AH8099">
        <v>20.427214001595001</v>
      </c>
      <c r="AI8099">
        <v>93.140028917242702</v>
      </c>
      <c r="AJ8099">
        <v>88.1664447580618</v>
      </c>
      <c r="AK8099">
        <v>20.4684085736999</v>
      </c>
      <c r="AL8099">
        <v>91.690408770953297</v>
      </c>
      <c r="AM8099">
        <v>91.952030699252802</v>
      </c>
      <c r="AN8099">
        <v>1.0000000399057001</v>
      </c>
    </row>
    <row r="8100" spans="1:40" x14ac:dyDescent="0.25">
      <c r="A8100" t="str">
        <f>"20190303154004187"</f>
        <v>20190303154004187</v>
      </c>
      <c r="B8100" t="str">
        <f>"1551598804176599"</f>
        <v>1551598804176599</v>
      </c>
      <c r="C8100" t="s">
        <v>40</v>
      </c>
      <c r="D8100">
        <v>4.8080230000000004</v>
      </c>
      <c r="E8100">
        <v>0.52263809999999999</v>
      </c>
      <c r="F8100" t="s">
        <v>63</v>
      </c>
      <c r="G8100">
        <v>-301.93459999999999</v>
      </c>
      <c r="H8100" s="1">
        <v>-2.1356649999999998E-6</v>
      </c>
      <c r="I8100">
        <v>-43.313029999999998</v>
      </c>
      <c r="J8100">
        <v>-301.84829999999999</v>
      </c>
      <c r="K8100">
        <v>1.121183</v>
      </c>
      <c r="L8100">
        <v>-22.79626</v>
      </c>
      <c r="M8100">
        <v>2.5116690000000001E-2</v>
      </c>
      <c r="N8100">
        <v>-1.3369499999999999E-2</v>
      </c>
      <c r="O8100">
        <v>-0.99959520000000002</v>
      </c>
      <c r="P8100">
        <v>5.9789889999999998E-2</v>
      </c>
      <c r="Q8100">
        <v>-4.2241899999999999E-2</v>
      </c>
      <c r="R8100">
        <v>-0.99731709999999996</v>
      </c>
      <c r="S8100">
        <v>-1.1871339999999999E-2</v>
      </c>
      <c r="T8100">
        <v>-0.16261210000000001</v>
      </c>
      <c r="U8100">
        <v>-3.0017399999999999</v>
      </c>
      <c r="V8100">
        <v>-3.4722599999999999E-2</v>
      </c>
      <c r="W8100">
        <v>-2.88845E-2</v>
      </c>
      <c r="X8100">
        <v>0.99897950000000002</v>
      </c>
      <c r="Y8100">
        <v>2.9055870000000001E-2</v>
      </c>
      <c r="Z8100">
        <v>4.070066E-2</v>
      </c>
      <c r="AA8100">
        <v>0.99874879999999999</v>
      </c>
      <c r="AB8100">
        <v>20</v>
      </c>
      <c r="AC8100">
        <v>-8.6299999999994201E-2</v>
      </c>
      <c r="AD8100">
        <v>-1.121185135665</v>
      </c>
      <c r="AE8100">
        <v>-20.516770000000001</v>
      </c>
      <c r="AF8100">
        <v>0.59984085574276602</v>
      </c>
      <c r="AG8100">
        <v>-1.121185135665</v>
      </c>
      <c r="AH8100">
        <v>20.447068120022099</v>
      </c>
      <c r="AI8100">
        <v>93.137240350323907</v>
      </c>
      <c r="AJ8100">
        <v>88.319637076108094</v>
      </c>
      <c r="AK8100">
        <v>20.4865677912499</v>
      </c>
      <c r="AL8100">
        <v>91.655190143744605</v>
      </c>
      <c r="AM8100">
        <v>91.990689341964199</v>
      </c>
      <c r="AN8100">
        <v>1.0000000073556199</v>
      </c>
    </row>
    <row r="8101" spans="1:40" x14ac:dyDescent="0.25">
      <c r="A8101" t="str">
        <f>"20190303154004210"</f>
        <v>20190303154004210</v>
      </c>
      <c r="B8101" t="str">
        <f>"1551598804206855"</f>
        <v>1551598804206855</v>
      </c>
      <c r="C8101" t="s">
        <v>40</v>
      </c>
      <c r="D8101">
        <v>4.8289629999999999</v>
      </c>
      <c r="E8101">
        <v>0.52113350000000003</v>
      </c>
      <c r="F8101" t="s">
        <v>63</v>
      </c>
      <c r="G8101">
        <v>-301.85660000000001</v>
      </c>
      <c r="H8101" s="1">
        <v>-2.3004629999999999E-6</v>
      </c>
      <c r="I8101">
        <v>-43.589399999999998</v>
      </c>
      <c r="J8101">
        <v>-301.8433</v>
      </c>
      <c r="K8101">
        <v>1.121192</v>
      </c>
      <c r="L8101">
        <v>-22.999359999999999</v>
      </c>
      <c r="M8101">
        <v>2.506653E-2</v>
      </c>
      <c r="N8101">
        <v>-1.3388860000000001E-2</v>
      </c>
      <c r="O8101">
        <v>-0.99959620000000005</v>
      </c>
      <c r="P8101">
        <v>6.0311839999999999E-2</v>
      </c>
      <c r="Q8101">
        <v>-4.238306E-2</v>
      </c>
      <c r="R8101">
        <v>-0.99727929999999998</v>
      </c>
      <c r="S8101">
        <v>-1.190186E-3</v>
      </c>
      <c r="T8101">
        <v>-0.161832</v>
      </c>
      <c r="U8101">
        <v>-3.0012819999999998</v>
      </c>
      <c r="V8101">
        <v>-3.5295529999999999E-2</v>
      </c>
      <c r="W8101">
        <v>-2.9006779999999999E-2</v>
      </c>
      <c r="X8101">
        <v>0.99895579999999995</v>
      </c>
      <c r="Y8101">
        <v>2.5453409999999999E-2</v>
      </c>
      <c r="Z8101">
        <v>4.0434320000000003E-2</v>
      </c>
      <c r="AA8101">
        <v>0.99885789999999997</v>
      </c>
      <c r="AB8101">
        <v>20</v>
      </c>
      <c r="AC8101">
        <v>-1.33000000000151E-2</v>
      </c>
      <c r="AD8101">
        <v>-1.1211943004629901</v>
      </c>
      <c r="AE8101">
        <v>-20.590039999999998</v>
      </c>
      <c r="AF8101">
        <v>0.52789760443900802</v>
      </c>
      <c r="AG8101">
        <v>-1.1211943004629901</v>
      </c>
      <c r="AH8101">
        <v>20.5223837095512</v>
      </c>
      <c r="AI8101">
        <v>93.126085378171496</v>
      </c>
      <c r="AJ8101">
        <v>88.526504680712506</v>
      </c>
      <c r="AK8101">
        <v>20.559766186954</v>
      </c>
      <c r="AL8101">
        <v>91.662199338719006</v>
      </c>
      <c r="AM8101">
        <v>92.023557005861406</v>
      </c>
      <c r="AN8101">
        <v>0.99999992903879198</v>
      </c>
    </row>
    <row r="8102" spans="1:40" x14ac:dyDescent="0.25">
      <c r="A8102" t="str">
        <f>"20190303154004233"</f>
        <v>20190303154004233</v>
      </c>
      <c r="B8102" t="str">
        <f>"1551598804226374"</f>
        <v>1551598804226374</v>
      </c>
      <c r="C8102" t="s">
        <v>40</v>
      </c>
      <c r="D8102">
        <v>4.8601369999999999</v>
      </c>
      <c r="E8102">
        <v>0.5202312</v>
      </c>
      <c r="F8102" t="s">
        <v>63</v>
      </c>
      <c r="G8102">
        <v>-301.75790000000001</v>
      </c>
      <c r="H8102" s="1">
        <v>-2.251693E-6</v>
      </c>
      <c r="I8102">
        <v>-43.534300000000002</v>
      </c>
      <c r="J8102">
        <v>-301.83819999999997</v>
      </c>
      <c r="K8102">
        <v>1.1212</v>
      </c>
      <c r="L8102">
        <v>-23.206240000000001</v>
      </c>
      <c r="M8102">
        <v>2.5016900000000002E-2</v>
      </c>
      <c r="N8102">
        <v>-1.340538E-2</v>
      </c>
      <c r="O8102">
        <v>-0.99959710000000002</v>
      </c>
      <c r="P8102">
        <v>6.0630620000000003E-2</v>
      </c>
      <c r="Q8102">
        <v>-4.1892699999999998E-2</v>
      </c>
      <c r="R8102">
        <v>-0.99728070000000002</v>
      </c>
      <c r="S8102">
        <v>1.248169E-2</v>
      </c>
      <c r="T8102">
        <v>-0.163823</v>
      </c>
      <c r="U8102">
        <v>-3.0004580000000001</v>
      </c>
      <c r="V8102">
        <v>-3.5663779999999999E-2</v>
      </c>
      <c r="W8102">
        <v>-2.849989E-2</v>
      </c>
      <c r="X8102">
        <v>0.9989574</v>
      </c>
      <c r="Y8102">
        <v>2.0854350000000001E-2</v>
      </c>
      <c r="Z8102">
        <v>4.1096760000000003E-2</v>
      </c>
      <c r="AA8102">
        <v>0.99893750000000003</v>
      </c>
      <c r="AB8102">
        <v>20</v>
      </c>
      <c r="AC8102">
        <v>8.0299999999965593E-2</v>
      </c>
      <c r="AD8102">
        <v>-1.121202251693</v>
      </c>
      <c r="AE8102">
        <v>-20.328060000000001</v>
      </c>
      <c r="AF8102">
        <v>0.42701688729787901</v>
      </c>
      <c r="AG8102">
        <v>-1.121202251693</v>
      </c>
      <c r="AH8102">
        <v>20.262067150371301</v>
      </c>
      <c r="AI8102">
        <v>93.166532418842905</v>
      </c>
      <c r="AJ8102">
        <v>88.792687634744894</v>
      </c>
      <c r="AK8102">
        <v>20.297556579977702</v>
      </c>
      <c r="AL8102">
        <v>91.633144520362094</v>
      </c>
      <c r="AM8102">
        <v>92.044648349566202</v>
      </c>
      <c r="AN8102">
        <v>1.00000001797433</v>
      </c>
    </row>
    <row r="8103" spans="1:40" x14ac:dyDescent="0.25">
      <c r="A8103" t="str">
        <f>"20190303154004254"</f>
        <v>20190303154004254</v>
      </c>
      <c r="B8103" t="str">
        <f>"1551598804246871"</f>
        <v>1551598804246871</v>
      </c>
      <c r="C8103" t="s">
        <v>40</v>
      </c>
      <c r="D8103">
        <v>4.780589</v>
      </c>
      <c r="E8103">
        <v>0.51947739999999998</v>
      </c>
      <c r="F8103" t="s">
        <v>63</v>
      </c>
      <c r="G8103">
        <v>-301.69720000000001</v>
      </c>
      <c r="H8103" s="1">
        <v>-2.3770010000000001E-6</v>
      </c>
      <c r="I8103">
        <v>-43.74474</v>
      </c>
      <c r="J8103">
        <v>-301.83319999999998</v>
      </c>
      <c r="K8103">
        <v>1.1212059999999999</v>
      </c>
      <c r="L8103">
        <v>-23.405670000000001</v>
      </c>
      <c r="M8103">
        <v>2.4969149999999999E-2</v>
      </c>
      <c r="N8103">
        <v>-1.3418879999999999E-2</v>
      </c>
      <c r="O8103">
        <v>-0.99959830000000005</v>
      </c>
      <c r="P8103">
        <v>6.075792E-2</v>
      </c>
      <c r="Q8103">
        <v>-4.2020849999999998E-2</v>
      </c>
      <c r="R8103">
        <v>-0.99726780000000004</v>
      </c>
      <c r="S8103">
        <v>2.0599369999999999E-2</v>
      </c>
      <c r="T8103">
        <v>-0.16377410000000001</v>
      </c>
      <c r="U8103">
        <v>-3.0000610000000001</v>
      </c>
      <c r="V8103">
        <v>-3.5838950000000001E-2</v>
      </c>
      <c r="W8103">
        <v>-2.8614730000000001E-2</v>
      </c>
      <c r="X8103">
        <v>0.9989479</v>
      </c>
      <c r="Y8103">
        <v>1.8104329999999998E-2</v>
      </c>
      <c r="Z8103">
        <v>4.1075840000000002E-2</v>
      </c>
      <c r="AA8103">
        <v>0.99899199999999999</v>
      </c>
      <c r="AB8103">
        <v>20</v>
      </c>
      <c r="AC8103">
        <v>0.13599999999996701</v>
      </c>
      <c r="AD8103">
        <v>-1.121208377001</v>
      </c>
      <c r="AE8103">
        <v>-20.33907</v>
      </c>
      <c r="AF8103">
        <v>0.37081056539880702</v>
      </c>
      <c r="AG8103">
        <v>-1.121208377001</v>
      </c>
      <c r="AH8103">
        <v>20.274515069269199</v>
      </c>
      <c r="AI8103">
        <v>93.164782537450094</v>
      </c>
      <c r="AJ8103">
        <v>88.9522061640223</v>
      </c>
      <c r="AK8103">
        <v>20.308879092507599</v>
      </c>
      <c r="AL8103">
        <v>91.639726966855804</v>
      </c>
      <c r="AM8103">
        <v>92.0547019975062</v>
      </c>
      <c r="AN8103">
        <v>1.00000007001224</v>
      </c>
    </row>
    <row r="8104" spans="1:40" x14ac:dyDescent="0.25">
      <c r="A8104" t="str">
        <f>"20190303154004277"</f>
        <v>20190303154004277</v>
      </c>
      <c r="B8104" t="str">
        <f>"1551598804266391"</f>
        <v>1551598804266391</v>
      </c>
      <c r="C8104" t="s">
        <v>40</v>
      </c>
      <c r="D8104">
        <v>4.7964339999999996</v>
      </c>
      <c r="E8104">
        <v>0.51880039999999905</v>
      </c>
      <c r="F8104" t="s">
        <v>63</v>
      </c>
      <c r="G8104">
        <v>-301.64839999999998</v>
      </c>
      <c r="H8104" s="1">
        <v>-2.518427E-6</v>
      </c>
      <c r="I8104">
        <v>-43.977910000000001</v>
      </c>
      <c r="J8104">
        <v>-301.82830000000001</v>
      </c>
      <c r="K8104">
        <v>1.121216</v>
      </c>
      <c r="L8104">
        <v>-23.60764</v>
      </c>
      <c r="M8104">
        <v>2.4920520000000002E-2</v>
      </c>
      <c r="N8104">
        <v>-1.342583E-2</v>
      </c>
      <c r="O8104">
        <v>-0.99959929999999997</v>
      </c>
      <c r="P8104">
        <v>6.1335639999999997E-2</v>
      </c>
      <c r="Q8104">
        <v>-4.2023020000000001E-2</v>
      </c>
      <c r="R8104">
        <v>-0.99723209999999995</v>
      </c>
      <c r="S8104">
        <v>2.6947019999999999E-2</v>
      </c>
      <c r="T8104">
        <v>-0.16348650000000001</v>
      </c>
      <c r="U8104">
        <v>-2.999695</v>
      </c>
      <c r="V8104">
        <v>-3.6466289999999998E-2</v>
      </c>
      <c r="W8104">
        <v>-2.861023E-2</v>
      </c>
      <c r="X8104">
        <v>0.99892530000000002</v>
      </c>
      <c r="Y8104">
        <v>1.5941940000000002E-2</v>
      </c>
      <c r="Z8104">
        <v>4.0981040000000003E-2</v>
      </c>
      <c r="AA8104">
        <v>0.9990327</v>
      </c>
      <c r="AB8104">
        <v>20</v>
      </c>
      <c r="AC8104">
        <v>0.17990000000003101</v>
      </c>
      <c r="AD8104">
        <v>-1.121218518427</v>
      </c>
      <c r="AE8104">
        <v>-20.370269999999898</v>
      </c>
      <c r="AF8104">
        <v>0.32684919880067997</v>
      </c>
      <c r="AG8104">
        <v>-1.121218518427</v>
      </c>
      <c r="AH8104">
        <v>20.306908936205001</v>
      </c>
      <c r="AI8104">
        <v>93.159891706241197</v>
      </c>
      <c r="AJ8104">
        <v>89.077877250180094</v>
      </c>
      <c r="AK8104">
        <v>20.3404648891844</v>
      </c>
      <c r="AL8104">
        <v>91.639469070830899</v>
      </c>
      <c r="AM8104">
        <v>92.090683978245394</v>
      </c>
      <c r="AN8104">
        <v>1.00000004527355</v>
      </c>
    </row>
    <row r="8105" spans="1:40" x14ac:dyDescent="0.25">
      <c r="A8105" t="str">
        <f>"20190303154004299"</f>
        <v>20190303154004299</v>
      </c>
      <c r="B8105" t="str">
        <f>"1551598804286887"</f>
        <v>1551598804286887</v>
      </c>
      <c r="C8105" t="s">
        <v>40</v>
      </c>
      <c r="D8105">
        <v>4.8830429999999998</v>
      </c>
      <c r="E8105">
        <v>0.51799740000000005</v>
      </c>
      <c r="F8105" t="s">
        <v>63</v>
      </c>
      <c r="G8105">
        <v>-301.59440000000001</v>
      </c>
      <c r="H8105" s="1">
        <v>-2.6896200000000002E-6</v>
      </c>
      <c r="I8105">
        <v>-44.259070000000001</v>
      </c>
      <c r="J8105">
        <v>-301.82339999999999</v>
      </c>
      <c r="K8105">
        <v>1.121211</v>
      </c>
      <c r="L8105">
        <v>-23.805050000000001</v>
      </c>
      <c r="M8105">
        <v>2.4872109999999999E-2</v>
      </c>
      <c r="N8105">
        <v>-1.338657E-2</v>
      </c>
      <c r="O8105">
        <v>-0.99960139999999997</v>
      </c>
      <c r="P8105">
        <v>6.1115360000000001E-2</v>
      </c>
      <c r="Q8105">
        <v>-4.1785450000000002E-2</v>
      </c>
      <c r="R8105">
        <v>-0.99725600000000003</v>
      </c>
      <c r="S8105">
        <v>3.3966059999999999E-2</v>
      </c>
      <c r="T8105">
        <v>-0.1628444</v>
      </c>
      <c r="U8105">
        <v>-2.99939</v>
      </c>
      <c r="V8105">
        <v>-3.6293100000000002E-2</v>
      </c>
      <c r="W8105">
        <v>-2.8411700000000002E-2</v>
      </c>
      <c r="X8105">
        <v>0.99893719999999997</v>
      </c>
      <c r="Y8105">
        <v>1.3555940000000001E-2</v>
      </c>
      <c r="Z8105">
        <v>4.0813460000000003E-2</v>
      </c>
      <c r="AA8105">
        <v>0.99907480000000004</v>
      </c>
      <c r="AB8105">
        <v>20</v>
      </c>
      <c r="AC8105">
        <v>0.22899999999998499</v>
      </c>
      <c r="AD8105">
        <v>-1.12121368962</v>
      </c>
      <c r="AE8105">
        <v>-20.45402</v>
      </c>
      <c r="AF8105">
        <v>0.279012601847417</v>
      </c>
      <c r="AG8105">
        <v>-1.12121368962</v>
      </c>
      <c r="AH8105">
        <v>20.3921203531218</v>
      </c>
      <c r="AI8105">
        <v>93.146813514243405</v>
      </c>
      <c r="AJ8105">
        <v>89.216106673985294</v>
      </c>
      <c r="AK8105">
        <v>20.424826576154398</v>
      </c>
      <c r="AL8105">
        <v>91.628089634059904</v>
      </c>
      <c r="AM8105">
        <v>92.080738638763606</v>
      </c>
      <c r="AN8105">
        <v>0.99999997167416899</v>
      </c>
    </row>
    <row r="8106" spans="1:40" x14ac:dyDescent="0.25">
      <c r="A8106" t="str">
        <f>"20190303154004322"</f>
        <v>20190303154004322</v>
      </c>
      <c r="B8106" t="str">
        <f>"1551598804316167"</f>
        <v>1551598804316167</v>
      </c>
      <c r="C8106" t="s">
        <v>40</v>
      </c>
      <c r="D8106">
        <v>4.8376449999999904</v>
      </c>
      <c r="E8106">
        <v>0.51703949999999999</v>
      </c>
      <c r="F8106" t="s">
        <v>63</v>
      </c>
      <c r="G8106">
        <v>-301.54849999999999</v>
      </c>
      <c r="H8106" s="1">
        <v>-2.8609259999999999E-6</v>
      </c>
      <c r="I8106">
        <v>-44.538640000000001</v>
      </c>
      <c r="J8106">
        <v>-301.81830000000002</v>
      </c>
      <c r="K8106">
        <v>1.121176</v>
      </c>
      <c r="L8106">
        <v>-24.013459999999998</v>
      </c>
      <c r="M8106">
        <v>2.482005E-2</v>
      </c>
      <c r="N8106">
        <v>-1.3226720000000001E-2</v>
      </c>
      <c r="O8106">
        <v>-0.99960450000000001</v>
      </c>
      <c r="P8106">
        <v>6.0735780000000003E-2</v>
      </c>
      <c r="Q8106">
        <v>-4.1126000000000003E-2</v>
      </c>
      <c r="R8106">
        <v>-0.99730629999999998</v>
      </c>
      <c r="S8106">
        <v>3.9764399999999998E-2</v>
      </c>
      <c r="T8106">
        <v>-0.16217860000000001</v>
      </c>
      <c r="U8106">
        <v>-2.9990230000000002</v>
      </c>
      <c r="V8106">
        <v>-3.5964950000000002E-2</v>
      </c>
      <c r="W8106">
        <v>-2.7911439999999999E-2</v>
      </c>
      <c r="X8106">
        <v>0.99896320000000005</v>
      </c>
      <c r="Y8106">
        <v>1.157205E-2</v>
      </c>
      <c r="Z8106">
        <v>4.0759169999999997E-2</v>
      </c>
      <c r="AA8106">
        <v>0.99910200000000005</v>
      </c>
      <c r="AB8106">
        <v>20</v>
      </c>
      <c r="AC8106">
        <v>0.26980000000003201</v>
      </c>
      <c r="AD8106">
        <v>-1.1211788609260001</v>
      </c>
      <c r="AE8106">
        <v>-20.525179999999999</v>
      </c>
      <c r="AF8106">
        <v>0.23905049134109499</v>
      </c>
      <c r="AG8106">
        <v>-1.1211788609260001</v>
      </c>
      <c r="AH8106">
        <v>20.464500550327202</v>
      </c>
      <c r="AI8106">
        <v>93.135688100390496</v>
      </c>
      <c r="AJ8106">
        <v>89.330745390514295</v>
      </c>
      <c r="AK8106">
        <v>20.496584348372298</v>
      </c>
      <c r="AL8106">
        <v>91.599415427498201</v>
      </c>
      <c r="AM8106">
        <v>92.061887993587703</v>
      </c>
      <c r="AN8106">
        <v>1.0000000005328</v>
      </c>
    </row>
    <row r="8107" spans="1:40" x14ac:dyDescent="0.25">
      <c r="A8107" t="str">
        <f>"20190303154004345"</f>
        <v>20190303154004345</v>
      </c>
      <c r="B8107" t="str">
        <f>"1551598804336663"</f>
        <v>1551598804336663</v>
      </c>
      <c r="C8107" t="s">
        <v>40</v>
      </c>
      <c r="D8107">
        <v>4.8661289999999999</v>
      </c>
      <c r="E8107">
        <v>0.51681270000000001</v>
      </c>
      <c r="F8107" t="s">
        <v>63</v>
      </c>
      <c r="G8107">
        <v>-301.49470000000002</v>
      </c>
      <c r="H8107" s="1">
        <v>-3.1366140000000001E-6</v>
      </c>
      <c r="I8107">
        <v>-44.984139999999996</v>
      </c>
      <c r="J8107">
        <v>-301.81319999999999</v>
      </c>
      <c r="K8107">
        <v>1.1211139999999999</v>
      </c>
      <c r="L8107">
        <v>-24.217410000000001</v>
      </c>
      <c r="M8107">
        <v>2.4766340000000001E-2</v>
      </c>
      <c r="N8107">
        <v>-1.2959689999999999E-2</v>
      </c>
      <c r="O8107">
        <v>-0.99960950000000004</v>
      </c>
      <c r="P8107">
        <v>6.0788599999999998E-2</v>
      </c>
      <c r="Q8107">
        <v>-3.9984550000000001E-2</v>
      </c>
      <c r="R8107">
        <v>-0.99734970000000001</v>
      </c>
      <c r="S8107">
        <v>4.6264649999999997E-2</v>
      </c>
      <c r="T8107">
        <v>-0.1603205</v>
      </c>
      <c r="U8107">
        <v>-2.9986570000000001</v>
      </c>
      <c r="V8107">
        <v>-3.6070129999999999E-2</v>
      </c>
      <c r="W8107">
        <v>-2.7036190000000002E-2</v>
      </c>
      <c r="X8107">
        <v>0.99898350000000002</v>
      </c>
      <c r="Y8107">
        <v>9.3521679999999992E-3</v>
      </c>
      <c r="Z8107">
        <v>4.0415760000000002E-2</v>
      </c>
      <c r="AA8107">
        <v>0.99913920000000001</v>
      </c>
      <c r="AB8107">
        <v>20</v>
      </c>
      <c r="AC8107">
        <v>0.31849999999997097</v>
      </c>
      <c r="AD8107">
        <v>-1.121117136614</v>
      </c>
      <c r="AE8107">
        <v>-20.766729999999999</v>
      </c>
      <c r="AF8107">
        <v>0.19538735507487001</v>
      </c>
      <c r="AG8107">
        <v>-1.121117136614</v>
      </c>
      <c r="AH8107">
        <v>20.707908593581799</v>
      </c>
      <c r="AI8107">
        <v>93.098805439076401</v>
      </c>
      <c r="AJ8107">
        <v>89.459407570353306</v>
      </c>
      <c r="AK8107">
        <v>20.7391551942858</v>
      </c>
      <c r="AL8107">
        <v>91.549248325426404</v>
      </c>
      <c r="AM8107">
        <v>92.067870801460003</v>
      </c>
      <c r="AN8107">
        <v>1.0000000215600899</v>
      </c>
    </row>
    <row r="8108" spans="1:40" x14ac:dyDescent="0.25">
      <c r="A8108" t="str">
        <f>"20190303154004366"</f>
        <v>20190303154004366</v>
      </c>
      <c r="B8108" t="str">
        <f>"1551598804356184"</f>
        <v>1551598804356184</v>
      </c>
      <c r="C8108" t="s">
        <v>40</v>
      </c>
      <c r="D8108">
        <v>4.8001950000000004</v>
      </c>
      <c r="E8108">
        <v>0.516845</v>
      </c>
      <c r="F8108" t="s">
        <v>63</v>
      </c>
      <c r="G8108">
        <v>-301.4674</v>
      </c>
      <c r="H8108" s="1">
        <v>-3.524904E-6</v>
      </c>
      <c r="I8108">
        <v>-45.78163</v>
      </c>
      <c r="J8108">
        <v>-301.80849999999998</v>
      </c>
      <c r="K8108">
        <v>1.121059</v>
      </c>
      <c r="L8108">
        <v>-24.41095</v>
      </c>
      <c r="M8108">
        <v>2.4710369999999999E-2</v>
      </c>
      <c r="N8108">
        <v>-1.267209E-2</v>
      </c>
      <c r="O8108">
        <v>-0.99961449999999996</v>
      </c>
      <c r="P8108">
        <v>6.0454630000000002E-2</v>
      </c>
      <c r="Q8108">
        <v>-3.8372719999999999E-2</v>
      </c>
      <c r="R8108">
        <v>-0.99743329999999997</v>
      </c>
      <c r="S8108">
        <v>4.8095699999999998E-2</v>
      </c>
      <c r="T8108">
        <v>-0.15590560000000001</v>
      </c>
      <c r="U8108">
        <v>-2.9987789999999999</v>
      </c>
      <c r="V8108">
        <v>-3.5790330000000002E-2</v>
      </c>
      <c r="W8108">
        <v>-2.5710739999999999E-2</v>
      </c>
      <c r="X8108">
        <v>0.99902849999999999</v>
      </c>
      <c r="Y8108">
        <v>8.6864999999999998E-3</v>
      </c>
      <c r="Z8108">
        <v>3.923484E-2</v>
      </c>
      <c r="AA8108">
        <v>0.99919219999999997</v>
      </c>
      <c r="AB8108">
        <v>20</v>
      </c>
      <c r="AC8108">
        <v>0.34109999999998297</v>
      </c>
      <c r="AD8108">
        <v>-1.121062524904</v>
      </c>
      <c r="AE8108">
        <v>-21.37068</v>
      </c>
      <c r="AF8108">
        <v>0.18661050657175601</v>
      </c>
      <c r="AG8108">
        <v>-1.121062524904</v>
      </c>
      <c r="AH8108">
        <v>21.313945243388499</v>
      </c>
      <c r="AI8108">
        <v>93.010731273229197</v>
      </c>
      <c r="AJ8108">
        <v>89.498369676329901</v>
      </c>
      <c r="AK8108">
        <v>21.3442232583917</v>
      </c>
      <c r="AL8108">
        <v>91.473279286043294</v>
      </c>
      <c r="AM8108">
        <v>92.051751518837406</v>
      </c>
      <c r="AN8108">
        <v>0.99999996684255199</v>
      </c>
    </row>
    <row r="8109" spans="1:40" x14ac:dyDescent="0.25">
      <c r="A8109" t="str">
        <f>"20190303154004388"</f>
        <v>20190303154004388</v>
      </c>
      <c r="B8109" t="str">
        <f>"1551598804376679"</f>
        <v>1551598804376679</v>
      </c>
      <c r="C8109" t="s">
        <v>40</v>
      </c>
      <c r="D8109">
        <v>4.8359269999999999</v>
      </c>
      <c r="E8109">
        <v>0.51668329999999996</v>
      </c>
      <c r="F8109" t="s">
        <v>63</v>
      </c>
      <c r="G8109">
        <v>-301.45620000000002</v>
      </c>
      <c r="H8109" s="1">
        <v>-4.075991E-6</v>
      </c>
      <c r="I8109">
        <v>-46.978169999999999</v>
      </c>
      <c r="J8109">
        <v>-301.80360000000002</v>
      </c>
      <c r="K8109">
        <v>1.1210150000000001</v>
      </c>
      <c r="L8109">
        <v>-24.614039999999999</v>
      </c>
      <c r="M8109">
        <v>2.4644559999999999E-2</v>
      </c>
      <c r="N8109">
        <v>-1.238707E-2</v>
      </c>
      <c r="O8109">
        <v>-0.99961949999999999</v>
      </c>
      <c r="P8109">
        <v>5.9838479999999999E-2</v>
      </c>
      <c r="Q8109">
        <v>-3.7882510000000001E-2</v>
      </c>
      <c r="R8109">
        <v>-0.99748890000000001</v>
      </c>
      <c r="S8109">
        <v>4.6813960000000002E-2</v>
      </c>
      <c r="T8109">
        <v>-0.14898739999999999</v>
      </c>
      <c r="U8109">
        <v>-2.9991460000000001</v>
      </c>
      <c r="V8109">
        <v>-3.5239350000000003E-2</v>
      </c>
      <c r="W8109">
        <v>-2.5504519999999999E-2</v>
      </c>
      <c r="X8109">
        <v>0.99905339999999998</v>
      </c>
      <c r="Y8109">
        <v>9.0483330000000004E-3</v>
      </c>
      <c r="Z8109">
        <v>3.7215570000000003E-2</v>
      </c>
      <c r="AA8109">
        <v>0.99926630000000005</v>
      </c>
      <c r="AB8109">
        <v>20</v>
      </c>
      <c r="AC8109">
        <v>0.34739999999999299</v>
      </c>
      <c r="AD8109">
        <v>-1.1210190759909999</v>
      </c>
      <c r="AE8109">
        <v>-22.364129999999999</v>
      </c>
      <c r="AF8109">
        <v>0.20339106400347701</v>
      </c>
      <c r="AG8109">
        <v>-1.1210190759909999</v>
      </c>
      <c r="AH8109">
        <v>22.309856580683899</v>
      </c>
      <c r="AI8109">
        <v>92.876442736193795</v>
      </c>
      <c r="AJ8109">
        <v>89.477669133368394</v>
      </c>
      <c r="AK8109">
        <v>22.3389290778304</v>
      </c>
      <c r="AL8109">
        <v>91.461459834073494</v>
      </c>
      <c r="AM8109">
        <v>92.020141567131205</v>
      </c>
      <c r="AN8109">
        <v>0.99999999419020602</v>
      </c>
    </row>
    <row r="8110" spans="1:40" x14ac:dyDescent="0.25">
      <c r="A8110" t="str">
        <f>"20190303154004411"</f>
        <v>20190303154004411</v>
      </c>
      <c r="B8110" t="str">
        <f>"1551598804406935"</f>
        <v>1551598804406935</v>
      </c>
      <c r="C8110" t="s">
        <v>40</v>
      </c>
      <c r="D8110">
        <v>4.8405889999999996</v>
      </c>
      <c r="E8110">
        <v>0.51642129999999997</v>
      </c>
      <c r="F8110" t="s">
        <v>63</v>
      </c>
      <c r="G8110">
        <v>-301.44839999999999</v>
      </c>
      <c r="H8110" s="1">
        <v>-4.3804639999999997E-6</v>
      </c>
      <c r="I8110">
        <v>-47.576619999999998</v>
      </c>
      <c r="J8110">
        <v>-301.79860000000002</v>
      </c>
      <c r="K8110">
        <v>1.120978</v>
      </c>
      <c r="L8110">
        <v>-24.817720000000001</v>
      </c>
      <c r="M8110">
        <v>2.4566480000000002E-2</v>
      </c>
      <c r="N8110">
        <v>-1.2124879999999999E-2</v>
      </c>
      <c r="O8110">
        <v>-0.99962499999999999</v>
      </c>
      <c r="P8110">
        <v>5.9917079999999998E-2</v>
      </c>
      <c r="Q8110">
        <v>-3.7799579999999999E-2</v>
      </c>
      <c r="R8110">
        <v>-0.99748780000000004</v>
      </c>
      <c r="S8110">
        <v>4.6386719999999999E-2</v>
      </c>
      <c r="T8110">
        <v>-0.14641949999999901</v>
      </c>
      <c r="U8110">
        <v>-2.9992070000000002</v>
      </c>
      <c r="V8110">
        <v>-3.5396400000000001E-2</v>
      </c>
      <c r="W8110">
        <v>-2.5682920000000001E-2</v>
      </c>
      <c r="X8110">
        <v>0.99904329999999997</v>
      </c>
      <c r="Y8110">
        <v>9.1125359999999992E-3</v>
      </c>
      <c r="Z8110">
        <v>3.6623620000000003E-2</v>
      </c>
      <c r="AA8110">
        <v>0.99928760000000005</v>
      </c>
      <c r="AB8110">
        <v>20</v>
      </c>
      <c r="AC8110">
        <v>0.35020000000002899</v>
      </c>
      <c r="AD8110">
        <v>-1.120982380464</v>
      </c>
      <c r="AE8110">
        <v>-22.758900000000001</v>
      </c>
      <c r="AF8110">
        <v>0.208546864523488</v>
      </c>
      <c r="AG8110">
        <v>-1.120982380464</v>
      </c>
      <c r="AH8110">
        <v>22.705562940627399</v>
      </c>
      <c r="AI8110">
        <v>92.826300751198602</v>
      </c>
      <c r="AJ8110">
        <v>89.473762477965394</v>
      </c>
      <c r="AK8110">
        <v>22.734174314076299</v>
      </c>
      <c r="AL8110">
        <v>91.4716847179334</v>
      </c>
      <c r="AM8110">
        <v>92.029157649972802</v>
      </c>
      <c r="AN8110">
        <v>1.0000000163937799</v>
      </c>
    </row>
    <row r="8111" spans="1:40" x14ac:dyDescent="0.25">
      <c r="A8111" t="str">
        <f>"20190303154004434"</f>
        <v>20190303154004434</v>
      </c>
      <c r="B8111" t="str">
        <f>"1551598804426455"</f>
        <v>1551598804426455</v>
      </c>
      <c r="C8111" t="s">
        <v>40</v>
      </c>
      <c r="D8111">
        <v>4.7810730000000001</v>
      </c>
      <c r="E8111">
        <v>0.51625959999999904</v>
      </c>
      <c r="F8111" t="s">
        <v>63</v>
      </c>
      <c r="G8111">
        <v>-301.41969999999998</v>
      </c>
      <c r="H8111" s="1">
        <v>-4.6571179999999999E-6</v>
      </c>
      <c r="I8111">
        <v>-48.122839999999997</v>
      </c>
      <c r="J8111">
        <v>-301.79360000000003</v>
      </c>
      <c r="K8111">
        <v>1.1209439999999999</v>
      </c>
      <c r="L8111">
        <v>-25.023990000000001</v>
      </c>
      <c r="M8111">
        <v>2.4474119999999999E-2</v>
      </c>
      <c r="N8111">
        <v>-1.187011E-2</v>
      </c>
      <c r="O8111">
        <v>-0.99963029999999997</v>
      </c>
      <c r="P8111">
        <v>5.9740550000000003E-2</v>
      </c>
      <c r="Q8111">
        <v>-3.7032700000000002E-2</v>
      </c>
      <c r="R8111">
        <v>-0.9975271</v>
      </c>
      <c r="S8111">
        <v>4.8767089999999999E-2</v>
      </c>
      <c r="T8111">
        <v>-0.1442611</v>
      </c>
      <c r="U8111">
        <v>-2.9991759999999998</v>
      </c>
      <c r="V8111">
        <v>-3.5311589999999997E-2</v>
      </c>
      <c r="W8111">
        <v>-2.5169489999999999E-2</v>
      </c>
      <c r="X8111">
        <v>0.99905940000000004</v>
      </c>
      <c r="Y8111">
        <v>8.2271749999999998E-3</v>
      </c>
      <c r="Z8111">
        <v>3.6161730000000003E-2</v>
      </c>
      <c r="AA8111">
        <v>0.99931210000000004</v>
      </c>
      <c r="AB8111">
        <v>20</v>
      </c>
      <c r="AC8111">
        <v>0.37390000000004803</v>
      </c>
      <c r="AD8111">
        <v>-1.1209486571179901</v>
      </c>
      <c r="AE8111">
        <v>-23.098849999999999</v>
      </c>
      <c r="AF8111">
        <v>0.191125712300832</v>
      </c>
      <c r="AG8111">
        <v>-1.1209486571179901</v>
      </c>
      <c r="AH8111">
        <v>23.046820582425202</v>
      </c>
      <c r="AI8111">
        <v>92.784455690398701</v>
      </c>
      <c r="AJ8111">
        <v>89.524860897577099</v>
      </c>
      <c r="AK8111">
        <v>23.0748563134918</v>
      </c>
      <c r="AL8111">
        <v>91.442257786515398</v>
      </c>
      <c r="AM8111">
        <v>92.024267230296303</v>
      </c>
      <c r="AN8111">
        <v>1.0000000481717699</v>
      </c>
    </row>
    <row r="8112" spans="1:40" x14ac:dyDescent="0.25">
      <c r="A8112" t="str">
        <f>"20190303154004455"</f>
        <v>20190303154004455</v>
      </c>
      <c r="B8112" t="str">
        <f>"1551598804446951"</f>
        <v>1551598804446951</v>
      </c>
      <c r="C8112" t="s">
        <v>40</v>
      </c>
      <c r="D8112">
        <v>4.8023999999999996</v>
      </c>
      <c r="E8112">
        <v>0.51610649999999902</v>
      </c>
      <c r="F8112" t="s">
        <v>63</v>
      </c>
      <c r="G8112">
        <v>-301.399</v>
      </c>
      <c r="H8112" s="1">
        <v>-5.0468889999999998E-6</v>
      </c>
      <c r="I8112">
        <v>-48.890160000000002</v>
      </c>
      <c r="J8112">
        <v>-301.78879999999998</v>
      </c>
      <c r="K8112">
        <v>1.120916</v>
      </c>
      <c r="L8112">
        <v>-25.225770000000001</v>
      </c>
      <c r="M8112">
        <v>2.4372029999999999E-2</v>
      </c>
      <c r="N8112">
        <v>-1.163323E-2</v>
      </c>
      <c r="O8112">
        <v>-0.9996353</v>
      </c>
      <c r="P8112">
        <v>5.908426E-2</v>
      </c>
      <c r="Q8112">
        <v>-3.607221E-2</v>
      </c>
      <c r="R8112">
        <v>-0.99760119999999997</v>
      </c>
      <c r="S8112">
        <v>4.9591059999999999E-2</v>
      </c>
      <c r="T8112">
        <v>-0.14086850000000001</v>
      </c>
      <c r="U8112">
        <v>-2.9992369999999999</v>
      </c>
      <c r="V8112">
        <v>-3.4756259999999997E-2</v>
      </c>
      <c r="W8112">
        <v>-2.444443E-2</v>
      </c>
      <c r="X8112">
        <v>0.99909680000000001</v>
      </c>
      <c r="Y8112">
        <v>7.8505780000000004E-3</v>
      </c>
      <c r="Z8112">
        <v>3.5270339999999997E-2</v>
      </c>
      <c r="AA8112">
        <v>0.99934699999999999</v>
      </c>
      <c r="AB8112">
        <v>20</v>
      </c>
      <c r="AC8112">
        <v>0.389799999999979</v>
      </c>
      <c r="AD8112">
        <v>-1.1209210468889901</v>
      </c>
      <c r="AE8112">
        <v>-23.664389999999901</v>
      </c>
      <c r="AF8112">
        <v>0.18668529139564999</v>
      </c>
      <c r="AG8112">
        <v>-1.1209210468889901</v>
      </c>
      <c r="AH8112">
        <v>23.6138931245459</v>
      </c>
      <c r="AI8112">
        <v>92.717631916519096</v>
      </c>
      <c r="AJ8112">
        <v>89.547043920103903</v>
      </c>
      <c r="AK8112">
        <v>23.641219593939301</v>
      </c>
      <c r="AL8112">
        <v>91.400702228411305</v>
      </c>
      <c r="AM8112">
        <v>91.992383799463994</v>
      </c>
      <c r="AN8112">
        <v>0.99999997176872502</v>
      </c>
    </row>
    <row r="8113" spans="1:40" x14ac:dyDescent="0.25">
      <c r="A8113" t="str">
        <f>"20190303154004478"</f>
        <v>20190303154004478</v>
      </c>
      <c r="B8113" t="str">
        <f>"1551598804466471"</f>
        <v>1551598804466471</v>
      </c>
      <c r="C8113" t="s">
        <v>40</v>
      </c>
      <c r="D8113">
        <v>4.7692019999999999</v>
      </c>
      <c r="E8113">
        <v>0.51593940000000005</v>
      </c>
      <c r="F8113" t="s">
        <v>63</v>
      </c>
      <c r="G8113">
        <v>-301.39100000000002</v>
      </c>
      <c r="H8113" s="1">
        <v>-5.4708820000000004E-6</v>
      </c>
      <c r="I8113">
        <v>-49.723190000000002</v>
      </c>
      <c r="J8113">
        <v>-301.78410000000002</v>
      </c>
      <c r="K8113">
        <v>1.1208910000000001</v>
      </c>
      <c r="L8113">
        <v>-25.42596</v>
      </c>
      <c r="M8113">
        <v>2.4256759999999999E-2</v>
      </c>
      <c r="N8113">
        <v>-1.141928E-2</v>
      </c>
      <c r="O8113">
        <v>-0.9996408</v>
      </c>
      <c r="P8113">
        <v>5.7995739999999997E-2</v>
      </c>
      <c r="Q8113">
        <v>-3.593441E-2</v>
      </c>
      <c r="R8113">
        <v>-0.9976701</v>
      </c>
      <c r="S8113">
        <v>4.8706050000000001E-2</v>
      </c>
      <c r="T8113">
        <v>-0.1372408</v>
      </c>
      <c r="U8113">
        <v>-2.9993590000000001</v>
      </c>
      <c r="V8113">
        <v>-3.3782399999999997E-2</v>
      </c>
      <c r="W8113">
        <v>-2.451942E-2</v>
      </c>
      <c r="X8113">
        <v>0.99912840000000003</v>
      </c>
      <c r="Y8113">
        <v>8.0301599999999997E-3</v>
      </c>
      <c r="Z8113">
        <v>3.4276889999999997E-2</v>
      </c>
      <c r="AA8113">
        <v>0.99938009999999999</v>
      </c>
      <c r="AB8113">
        <v>20</v>
      </c>
      <c r="AC8113">
        <v>0.39310000000006001</v>
      </c>
      <c r="AD8113">
        <v>-1.120896470882</v>
      </c>
      <c r="AE8113">
        <v>-24.297229999999999</v>
      </c>
      <c r="AF8113">
        <v>0.19600899265923999</v>
      </c>
      <c r="AG8113">
        <v>-1.120896470882</v>
      </c>
      <c r="AH8113">
        <v>24.248024103673998</v>
      </c>
      <c r="AI8113">
        <v>92.646601492276105</v>
      </c>
      <c r="AJ8113">
        <v>89.536859441570201</v>
      </c>
      <c r="AK8113">
        <v>24.274709089008599</v>
      </c>
      <c r="AL8113">
        <v>91.405000078996295</v>
      </c>
      <c r="AM8113">
        <v>91.936539719494107</v>
      </c>
      <c r="AN8113">
        <v>1.00000000609672</v>
      </c>
    </row>
    <row r="8114" spans="1:40" x14ac:dyDescent="0.25">
      <c r="A8114" t="str">
        <f>"20190303154004500"</f>
        <v>20190303154004500</v>
      </c>
      <c r="B8114" t="str">
        <f>"1551598804496728"</f>
        <v>1551598804496728</v>
      </c>
      <c r="C8114" t="s">
        <v>40</v>
      </c>
      <c r="D8114">
        <v>4.8003799999999996</v>
      </c>
      <c r="E8114">
        <v>0.5157254</v>
      </c>
      <c r="F8114" t="s">
        <v>63</v>
      </c>
      <c r="G8114">
        <v>-301.39609999999999</v>
      </c>
      <c r="H8114" s="1">
        <v>-5.6966559999999997E-6</v>
      </c>
      <c r="I8114">
        <v>-50.165700000000001</v>
      </c>
      <c r="J8114">
        <v>-301.7792</v>
      </c>
      <c r="K8114">
        <v>1.12087</v>
      </c>
      <c r="L8114">
        <v>-25.633790000000001</v>
      </c>
      <c r="M8114">
        <v>2.4119229999999998E-2</v>
      </c>
      <c r="N8114">
        <v>-1.12234E-2</v>
      </c>
      <c r="O8114">
        <v>-0.99964620000000004</v>
      </c>
      <c r="P8114">
        <v>5.7042759999999998E-2</v>
      </c>
      <c r="Q8114">
        <v>-3.5394790000000002E-2</v>
      </c>
      <c r="R8114">
        <v>-0.99774439999999998</v>
      </c>
      <c r="S8114">
        <v>4.7027590000000001E-2</v>
      </c>
      <c r="T8114">
        <v>-0.13589499999999999</v>
      </c>
      <c r="U8114">
        <v>-2.99939</v>
      </c>
      <c r="V8114">
        <v>-3.2965609999999999E-2</v>
      </c>
      <c r="W8114">
        <v>-2.4174439999999998E-2</v>
      </c>
      <c r="X8114">
        <v>0.9991641</v>
      </c>
      <c r="Y8114">
        <v>8.4516150000000009E-3</v>
      </c>
      <c r="Z8114">
        <v>3.4025180000000002E-2</v>
      </c>
      <c r="AA8114">
        <v>0.99938519999999997</v>
      </c>
      <c r="AB8114">
        <v>20</v>
      </c>
      <c r="AC8114">
        <v>0.38310000000001299</v>
      </c>
      <c r="AD8114">
        <v>-1.1208756966560001</v>
      </c>
      <c r="AE8114">
        <v>-24.53191</v>
      </c>
      <c r="AF8114">
        <v>0.208304688276339</v>
      </c>
      <c r="AG8114">
        <v>-1.1208756966560001</v>
      </c>
      <c r="AH8114">
        <v>24.482914512825001</v>
      </c>
      <c r="AI8114">
        <v>92.621187706209795</v>
      </c>
      <c r="AJ8114">
        <v>89.512529788449797</v>
      </c>
      <c r="AK8114">
        <v>24.509444224886199</v>
      </c>
      <c r="AL8114">
        <v>91.385228305138</v>
      </c>
      <c r="AM8114">
        <v>91.889685009150796</v>
      </c>
      <c r="AN8114">
        <v>1.00000001686039</v>
      </c>
    </row>
    <row r="8115" spans="1:40" x14ac:dyDescent="0.25">
      <c r="A8115" t="str">
        <f>"20190303154004524"</f>
        <v>20190303154004524</v>
      </c>
      <c r="B8115" t="str">
        <f>"1551598804516247"</f>
        <v>1551598804516247</v>
      </c>
      <c r="C8115" t="s">
        <v>40</v>
      </c>
      <c r="D8115">
        <v>4.7444579999999998</v>
      </c>
      <c r="E8115">
        <v>0.51574489999999995</v>
      </c>
      <c r="F8115" t="s">
        <v>63</v>
      </c>
      <c r="G8115">
        <v>-301.39690000000002</v>
      </c>
      <c r="H8115" s="1">
        <v>-6.0113780000000004E-6</v>
      </c>
      <c r="I8115">
        <v>-50.883580000000002</v>
      </c>
      <c r="J8115">
        <v>-301.77440000000001</v>
      </c>
      <c r="K8115">
        <v>1.120854</v>
      </c>
      <c r="L8115">
        <v>-25.840910000000001</v>
      </c>
      <c r="M8115">
        <v>2.3963439999999999E-2</v>
      </c>
      <c r="N8115">
        <v>-1.105211E-2</v>
      </c>
      <c r="O8115">
        <v>-0.99965170000000003</v>
      </c>
      <c r="P8115">
        <v>5.6182019999999999E-2</v>
      </c>
      <c r="Q8115">
        <v>-3.4547029999999999E-2</v>
      </c>
      <c r="R8115">
        <v>-0.9978226</v>
      </c>
      <c r="S8115">
        <v>4.5410159999999998E-2</v>
      </c>
      <c r="T8115">
        <v>-0.13315009999999999</v>
      </c>
      <c r="U8115">
        <v>-2.9994510000000001</v>
      </c>
      <c r="V8115">
        <v>-3.2259080000000002E-2</v>
      </c>
      <c r="W8115">
        <v>-2.3496639999999999E-2</v>
      </c>
      <c r="X8115">
        <v>0.99920330000000002</v>
      </c>
      <c r="Y8115">
        <v>8.8344310000000002E-3</v>
      </c>
      <c r="Z8115">
        <v>3.3283380000000001E-2</v>
      </c>
      <c r="AA8115">
        <v>0.99940689999999999</v>
      </c>
      <c r="AB8115">
        <v>20</v>
      </c>
      <c r="AC8115">
        <v>0.377499999999997</v>
      </c>
      <c r="AD8115">
        <v>-1.1208600113779901</v>
      </c>
      <c r="AE8115">
        <v>-25.042670000000001</v>
      </c>
      <c r="AF8115">
        <v>0.22230837291407901</v>
      </c>
      <c r="AG8115">
        <v>-1.1208600113779901</v>
      </c>
      <c r="AH8115">
        <v>24.994464989981001</v>
      </c>
      <c r="AI8115">
        <v>92.567569081779894</v>
      </c>
      <c r="AJ8115">
        <v>89.490407349716705</v>
      </c>
      <c r="AK8115">
        <v>25.020572102035601</v>
      </c>
      <c r="AL8115">
        <v>91.346382228740893</v>
      </c>
      <c r="AM8115">
        <v>91.849140577201098</v>
      </c>
      <c r="AN8115">
        <v>0.99999998753231201</v>
      </c>
    </row>
    <row r="8116" spans="1:40" x14ac:dyDescent="0.25">
      <c r="A8116" t="str">
        <f>"20190303154004548"</f>
        <v>20190303154004548</v>
      </c>
      <c r="B8116" t="str">
        <f>"1551598804536744"</f>
        <v>1551598804536744</v>
      </c>
      <c r="C8116" t="s">
        <v>40</v>
      </c>
      <c r="D8116">
        <v>4.7502069999999996</v>
      </c>
      <c r="E8116">
        <v>0.51568309999999995</v>
      </c>
      <c r="F8116" t="s">
        <v>63</v>
      </c>
      <c r="G8116">
        <v>-301.40159999999997</v>
      </c>
      <c r="H8116" s="1">
        <v>-6.3967229999999997E-6</v>
      </c>
      <c r="I8116">
        <v>-51.829009999999997</v>
      </c>
      <c r="J8116">
        <v>-301.76909999999998</v>
      </c>
      <c r="K8116">
        <v>1.1208450000000001</v>
      </c>
      <c r="L8116">
        <v>-26.070740000000001</v>
      </c>
      <c r="M8116">
        <v>2.376905E-2</v>
      </c>
      <c r="N8116">
        <v>-1.0884990000000001E-2</v>
      </c>
      <c r="O8116">
        <v>-0.99965820000000005</v>
      </c>
      <c r="P8116">
        <v>5.5883530000000001E-2</v>
      </c>
      <c r="Q8116">
        <v>-3.3436100000000003E-2</v>
      </c>
      <c r="R8116">
        <v>-0.99787740000000003</v>
      </c>
      <c r="S8116">
        <v>4.3029789999999998E-2</v>
      </c>
      <c r="T8116">
        <v>-0.1293734</v>
      </c>
      <c r="U8116">
        <v>-2.9996339999999999</v>
      </c>
      <c r="V8116">
        <v>-3.2154490000000001E-2</v>
      </c>
      <c r="W8116">
        <v>-2.255132E-2</v>
      </c>
      <c r="X8116">
        <v>0.99922849999999996</v>
      </c>
      <c r="Y8116">
        <v>9.4331950000000001E-3</v>
      </c>
      <c r="Z8116">
        <v>3.2192680000000001E-2</v>
      </c>
      <c r="AA8116">
        <v>0.99943720000000003</v>
      </c>
      <c r="AB8116">
        <v>21</v>
      </c>
      <c r="AC8116">
        <v>0.36750000000000599</v>
      </c>
      <c r="AD8116">
        <v>-1.120851396723</v>
      </c>
      <c r="AE8116">
        <v>-25.75827</v>
      </c>
      <c r="AF8116">
        <v>0.24442700552407501</v>
      </c>
      <c r="AG8116">
        <v>-1.120851396723</v>
      </c>
      <c r="AH8116">
        <v>25.711053777881101</v>
      </c>
      <c r="AI8116">
        <v>92.496067362300707</v>
      </c>
      <c r="AJ8116">
        <v>89.455323221687394</v>
      </c>
      <c r="AK8116">
        <v>25.736634177445598</v>
      </c>
      <c r="AL8116">
        <v>91.292204957720998</v>
      </c>
      <c r="AM8116">
        <v>91.843103006740407</v>
      </c>
      <c r="AN8116">
        <v>1.00000003423657</v>
      </c>
    </row>
    <row r="8117" spans="1:40" x14ac:dyDescent="0.25">
      <c r="A8117" t="str">
        <f>"20190303154004569"</f>
        <v>20190303154004569</v>
      </c>
      <c r="B8117" t="str">
        <f>"1551598804566023"</f>
        <v>1551598804566023</v>
      </c>
      <c r="C8117" t="s">
        <v>40</v>
      </c>
      <c r="D8117">
        <v>4.7538150000000003</v>
      </c>
      <c r="E8117">
        <v>0.51549540000000005</v>
      </c>
      <c r="F8117" t="s">
        <v>63</v>
      </c>
      <c r="G8117">
        <v>-301.38819999999998</v>
      </c>
      <c r="H8117" s="1">
        <v>-6.7964160000000003E-6</v>
      </c>
      <c r="I8117">
        <v>-52.812240000000003</v>
      </c>
      <c r="J8117">
        <v>-301.7647</v>
      </c>
      <c r="K8117">
        <v>1.1208370000000001</v>
      </c>
      <c r="L8117">
        <v>-26.263089999999998</v>
      </c>
      <c r="M8117">
        <v>2.358793E-2</v>
      </c>
      <c r="N8117">
        <v>-1.0767799999999999E-2</v>
      </c>
      <c r="O8117">
        <v>-0.99966390000000005</v>
      </c>
      <c r="P8117">
        <v>5.6748800000000002E-2</v>
      </c>
      <c r="Q8117">
        <v>-3.1537240000000001E-2</v>
      </c>
      <c r="R8117">
        <v>-0.99789050000000001</v>
      </c>
      <c r="S8117">
        <v>4.2724610000000003E-2</v>
      </c>
      <c r="T8117">
        <v>-0.12573399999999901</v>
      </c>
      <c r="U8117">
        <v>-2.9997859999999998</v>
      </c>
      <c r="V8117">
        <v>-3.3200170000000001E-2</v>
      </c>
      <c r="W8117">
        <v>-2.0768080000000001E-2</v>
      </c>
      <c r="X8117">
        <v>0.99923289999999998</v>
      </c>
      <c r="Y8117">
        <v>9.3539969999999993E-3</v>
      </c>
      <c r="Z8117">
        <v>3.109806E-2</v>
      </c>
      <c r="AA8117">
        <v>0.99947260000000004</v>
      </c>
      <c r="AB8117">
        <v>21</v>
      </c>
      <c r="AC8117">
        <v>0.37650000000002098</v>
      </c>
      <c r="AD8117">
        <v>-1.1208437964160001</v>
      </c>
      <c r="AE8117">
        <v>-26.549150000000001</v>
      </c>
      <c r="AF8117">
        <v>0.24943600026741</v>
      </c>
      <c r="AG8117">
        <v>-1.1208437964160001</v>
      </c>
      <c r="AH8117">
        <v>26.503415216482502</v>
      </c>
      <c r="AI8117">
        <v>92.4215194634874</v>
      </c>
      <c r="AJ8117">
        <v>89.460778619814306</v>
      </c>
      <c r="AK8117">
        <v>26.528277879867598</v>
      </c>
      <c r="AL8117">
        <v>91.190008915501593</v>
      </c>
      <c r="AM8117">
        <v>91.902989881748297</v>
      </c>
      <c r="AN8117">
        <v>0.99999997643866201</v>
      </c>
    </row>
    <row r="8118" spans="1:40" x14ac:dyDescent="0.25">
      <c r="A8118" t="str">
        <f>"20190303154004590"</f>
        <v>20190303154004590</v>
      </c>
      <c r="B8118" t="str">
        <f>"1551598804586519"</f>
        <v>1551598804586519</v>
      </c>
      <c r="C8118" t="s">
        <v>40</v>
      </c>
      <c r="D8118">
        <v>4.7000229999999998</v>
      </c>
      <c r="E8118">
        <v>0.51550079999999998</v>
      </c>
      <c r="F8118" t="s">
        <v>63</v>
      </c>
      <c r="G8118">
        <v>-301.32940000000002</v>
      </c>
      <c r="H8118" s="1">
        <v>-7.3464959999999998E-6</v>
      </c>
      <c r="I8118">
        <v>-54.17116</v>
      </c>
      <c r="J8118">
        <v>-301.7604</v>
      </c>
      <c r="K8118">
        <v>1.1208340000000001</v>
      </c>
      <c r="L8118">
        <v>-26.455290000000002</v>
      </c>
      <c r="M8118">
        <v>2.338896E-2</v>
      </c>
      <c r="N8118">
        <v>-1.0680719999999999E-2</v>
      </c>
      <c r="O8118">
        <v>-0.99966969999999999</v>
      </c>
      <c r="P8118">
        <v>5.8540120000000001E-2</v>
      </c>
      <c r="Q8118">
        <v>-2.962528E-2</v>
      </c>
      <c r="R8118">
        <v>-0.99784569999999995</v>
      </c>
      <c r="S8118">
        <v>4.6783449999999997E-2</v>
      </c>
      <c r="T8118">
        <v>-0.12048109999999999</v>
      </c>
      <c r="U8118">
        <v>-2.9998779999999998</v>
      </c>
      <c r="V8118">
        <v>-3.5190659999999999E-2</v>
      </c>
      <c r="W8118">
        <v>-1.8941639999999999E-2</v>
      </c>
      <c r="X8118">
        <v>0.99920109999999995</v>
      </c>
      <c r="Y8118">
        <v>7.8031289999999998E-3</v>
      </c>
      <c r="Z8118">
        <v>2.9437700000000001E-2</v>
      </c>
      <c r="AA8118">
        <v>0.99953619999999999</v>
      </c>
      <c r="AB8118">
        <v>21</v>
      </c>
      <c r="AC8118">
        <v>0.43099999999998301</v>
      </c>
      <c r="AD8118">
        <v>-1.1208413464960001</v>
      </c>
      <c r="AE8118">
        <v>-27.715869999999999</v>
      </c>
      <c r="AF8118">
        <v>0.21704519036443601</v>
      </c>
      <c r="AG8118">
        <v>-1.1208413464960001</v>
      </c>
      <c r="AH8118">
        <v>27.673121984837699</v>
      </c>
      <c r="AI8118">
        <v>92.319305508532693</v>
      </c>
      <c r="AJ8118">
        <v>89.550628281462707</v>
      </c>
      <c r="AK8118">
        <v>27.696661790302102</v>
      </c>
      <c r="AL8118">
        <v>91.085340932923103</v>
      </c>
      <c r="AM8118">
        <v>92.0170547025579</v>
      </c>
      <c r="AN8118">
        <v>1.0000000032591601</v>
      </c>
    </row>
    <row r="8119" spans="1:40" x14ac:dyDescent="0.25">
      <c r="A8119" t="str">
        <f>"20190303154004612"</f>
        <v>20190303154004612</v>
      </c>
      <c r="B8119" t="str">
        <f>"1551598804606039"</f>
        <v>1551598804606039</v>
      </c>
      <c r="C8119" t="s">
        <v>40</v>
      </c>
      <c r="D8119">
        <v>4.8032899999999996</v>
      </c>
      <c r="E8119">
        <v>0.51570899999999997</v>
      </c>
      <c r="F8119" t="s">
        <v>63</v>
      </c>
      <c r="G8119">
        <v>-301.2484</v>
      </c>
      <c r="H8119" s="1">
        <v>-8.0396989999999992E-6</v>
      </c>
      <c r="I8119">
        <v>-55.884639999999997</v>
      </c>
      <c r="J8119">
        <v>-301.75580000000002</v>
      </c>
      <c r="K8119">
        <v>1.120833</v>
      </c>
      <c r="L8119">
        <v>-26.662600000000001</v>
      </c>
      <c r="M8119">
        <v>2.3156099999999999E-2</v>
      </c>
      <c r="N8119">
        <v>-1.0624150000000001E-2</v>
      </c>
      <c r="O8119">
        <v>-0.99967539999999999</v>
      </c>
      <c r="P8119">
        <v>5.9880870000000003E-2</v>
      </c>
      <c r="Q8119">
        <v>-2.85702E-2</v>
      </c>
      <c r="R8119">
        <v>-0.99779649999999998</v>
      </c>
      <c r="S8119">
        <v>5.2185059999999998E-2</v>
      </c>
      <c r="T8119">
        <v>-0.11425879999999999</v>
      </c>
      <c r="U8119">
        <v>-3.0000309999999999</v>
      </c>
      <c r="V8119">
        <v>-3.6765020000000002E-2</v>
      </c>
      <c r="W8119">
        <v>-1.7941760000000001E-2</v>
      </c>
      <c r="X8119">
        <v>0.99916289999999996</v>
      </c>
      <c r="Y8119">
        <v>5.7714079999999996E-3</v>
      </c>
      <c r="Z8119">
        <v>2.7423320000000001E-2</v>
      </c>
      <c r="AA8119">
        <v>0.99960729999999998</v>
      </c>
      <c r="AB8119">
        <v>21</v>
      </c>
      <c r="AC8119">
        <v>0.50740000000001795</v>
      </c>
      <c r="AD8119">
        <v>-1.1208410396990001</v>
      </c>
      <c r="AE8119">
        <v>-29.22204</v>
      </c>
      <c r="AF8119">
        <v>0.169193906580998</v>
      </c>
      <c r="AG8119">
        <v>-1.1208410396990001</v>
      </c>
      <c r="AH8119">
        <v>29.183032961423201</v>
      </c>
      <c r="AI8119">
        <v>92.199457275965599</v>
      </c>
      <c r="AJ8119">
        <v>89.667821087506297</v>
      </c>
      <c r="AK8119">
        <v>29.2050393603879</v>
      </c>
      <c r="AL8119">
        <v>91.028042247557295</v>
      </c>
      <c r="AM8119">
        <v>92.107294590099997</v>
      </c>
      <c r="AN8119">
        <v>1.00000003709195</v>
      </c>
    </row>
    <row r="8120" spans="1:40" x14ac:dyDescent="0.25">
      <c r="A8120" t="str">
        <f>"20190303154004634"</f>
        <v>20190303154004634</v>
      </c>
      <c r="B8120" t="str">
        <f>"1551598804626535"</f>
        <v>1551598804626535</v>
      </c>
      <c r="C8120" t="s">
        <v>40</v>
      </c>
      <c r="D8120">
        <v>4.6478710000000003</v>
      </c>
      <c r="E8120">
        <v>0.54970280000000005</v>
      </c>
      <c r="F8120" t="s">
        <v>63</v>
      </c>
      <c r="G8120">
        <v>-301.20319999999998</v>
      </c>
      <c r="H8120" s="1">
        <v>-8.5302720000000004E-6</v>
      </c>
      <c r="I8120">
        <v>-57.09554</v>
      </c>
      <c r="J8120">
        <v>-301.75130000000001</v>
      </c>
      <c r="K8120">
        <v>1.1208389999999999</v>
      </c>
      <c r="L8120">
        <v>-26.867550000000001</v>
      </c>
      <c r="M8120">
        <v>2.291203E-2</v>
      </c>
      <c r="N8120">
        <v>-1.0593669999999999E-2</v>
      </c>
      <c r="O8120">
        <v>-0.99968159999999895</v>
      </c>
      <c r="P8120">
        <v>6.0758100000000002E-2</v>
      </c>
      <c r="Q8120">
        <v>-2.7971599999999999E-2</v>
      </c>
      <c r="R8120">
        <v>-0.99776089999999995</v>
      </c>
      <c r="S8120">
        <v>5.4473880000000002E-2</v>
      </c>
      <c r="T8120">
        <v>-0.11049639999999999</v>
      </c>
      <c r="U8120">
        <v>-3.0001829999999998</v>
      </c>
      <c r="V8120">
        <v>-3.788739E-2</v>
      </c>
      <c r="W8120">
        <v>-1.737261E-2</v>
      </c>
      <c r="X8120">
        <v>0.99913099999999999</v>
      </c>
      <c r="Y8120">
        <v>4.7654759999999899E-3</v>
      </c>
      <c r="Z8120">
        <v>2.6200850000000001E-2</v>
      </c>
      <c r="AA8120">
        <v>0.99964540000000002</v>
      </c>
      <c r="AB8120">
        <v>21</v>
      </c>
      <c r="AC8120">
        <v>0.54810000000003301</v>
      </c>
      <c r="AD8120">
        <v>-1.120847530272</v>
      </c>
      <c r="AE8120">
        <v>-30.227989999999998</v>
      </c>
      <c r="AF8120">
        <v>0.14446864513841401</v>
      </c>
      <c r="AG8120">
        <v>-1.120847530272</v>
      </c>
      <c r="AH8120">
        <v>30.191116147079502</v>
      </c>
      <c r="AI8120">
        <v>92.126109504905997</v>
      </c>
      <c r="AJ8120">
        <v>89.725833903548093</v>
      </c>
      <c r="AK8120">
        <v>30.2122601700367</v>
      </c>
      <c r="AL8120">
        <v>90.995427299168</v>
      </c>
      <c r="AM8120">
        <v>92.171635095069803</v>
      </c>
      <c r="AN8120">
        <v>1.00000000853011</v>
      </c>
    </row>
    <row r="8121" spans="1:40" x14ac:dyDescent="0.25">
      <c r="A8121" t="str">
        <f>"20190303154004656"</f>
        <v>20190303154004656</v>
      </c>
      <c r="B8121" t="str">
        <f>"1551598804646055"</f>
        <v>1551598804646055</v>
      </c>
      <c r="C8121" t="s">
        <v>40</v>
      </c>
      <c r="D8121">
        <v>4.7952180000000002</v>
      </c>
      <c r="E8121">
        <v>0.54886459999999904</v>
      </c>
      <c r="F8121" t="s">
        <v>63</v>
      </c>
      <c r="G8121">
        <v>-303.89479999999998</v>
      </c>
      <c r="H8121" s="1">
        <v>-8.7253699999999906E-6</v>
      </c>
      <c r="I8121">
        <v>-57.140239999999999</v>
      </c>
      <c r="J8121">
        <v>-301.74689999999998</v>
      </c>
      <c r="K8121">
        <v>1.1208480000000001</v>
      </c>
      <c r="L8121">
        <v>-27.072330000000001</v>
      </c>
      <c r="M8121">
        <v>2.2653989999999999E-2</v>
      </c>
      <c r="N8121">
        <v>-1.0609469999999999E-2</v>
      </c>
      <c r="O8121">
        <v>-0.99968710000000005</v>
      </c>
      <c r="P8121">
        <v>6.0605800000000001E-2</v>
      </c>
      <c r="Q8121">
        <v>-2.7477350000000001E-2</v>
      </c>
      <c r="R8121">
        <v>-0.99778350000000005</v>
      </c>
      <c r="S8121">
        <v>-0.21359249999999999</v>
      </c>
      <c r="T8121">
        <v>-0.11168980000000001</v>
      </c>
      <c r="U8121">
        <v>-3.0166019999999998</v>
      </c>
      <c r="V8121">
        <v>-3.7992529999999997E-2</v>
      </c>
      <c r="W8121">
        <v>-1.686174E-2</v>
      </c>
      <c r="X8121">
        <v>0.99913569999999996</v>
      </c>
      <c r="Y8121">
        <v>9.3161579999999994E-2</v>
      </c>
      <c r="Z8121">
        <v>2.6246120000000001E-2</v>
      </c>
      <c r="AA8121">
        <v>0.995305</v>
      </c>
      <c r="AB8121">
        <v>21</v>
      </c>
      <c r="AC8121">
        <v>-2.1478999999999902</v>
      </c>
      <c r="AD8121">
        <v>-1.1208567253699999</v>
      </c>
      <c r="AE8121">
        <v>-30.067910000000001</v>
      </c>
      <c r="AF8121">
        <v>2.8246399361877002</v>
      </c>
      <c r="AG8121">
        <v>-1.1208567253699999</v>
      </c>
      <c r="AH8121">
        <v>29.9700960463095</v>
      </c>
      <c r="AI8121">
        <v>92.132375389300606</v>
      </c>
      <c r="AJ8121">
        <v>84.615856843459596</v>
      </c>
      <c r="AK8121">
        <v>30.123770806340399</v>
      </c>
      <c r="AL8121">
        <v>90.966152372855007</v>
      </c>
      <c r="AM8121">
        <v>92.177645497396</v>
      </c>
      <c r="AN8121">
        <v>0.99999994881305698</v>
      </c>
    </row>
    <row r="8122" spans="1:40" x14ac:dyDescent="0.25">
      <c r="A8122" t="str">
        <f>"20190303154004679"</f>
        <v>20190303154004679</v>
      </c>
      <c r="B8122" t="str">
        <f>"1551598804676311"</f>
        <v>1551598804676311</v>
      </c>
      <c r="C8122" t="s">
        <v>40</v>
      </c>
      <c r="D8122">
        <v>4.6836320000000002</v>
      </c>
      <c r="E8122">
        <v>0.5496337</v>
      </c>
      <c r="F8122" t="s">
        <v>63</v>
      </c>
      <c r="G8122">
        <v>-303.84879999999998</v>
      </c>
      <c r="H8122" s="1">
        <v>-8.9359420000000002E-6</v>
      </c>
      <c r="I8122">
        <v>-57.6312199999999</v>
      </c>
      <c r="J8122">
        <v>-301.74259999999998</v>
      </c>
      <c r="K8122">
        <v>1.120876</v>
      </c>
      <c r="L8122">
        <v>-27.278199999999998</v>
      </c>
      <c r="M8122">
        <v>2.2383130000000001E-2</v>
      </c>
      <c r="N8122">
        <v>-1.0728629999999999E-2</v>
      </c>
      <c r="O8122">
        <v>-0.99969209999999997</v>
      </c>
      <c r="P8122">
        <v>5.9422709999999997E-2</v>
      </c>
      <c r="Q8122">
        <v>-2.7468550000000001E-2</v>
      </c>
      <c r="R8122">
        <v>-0.9978553</v>
      </c>
      <c r="S8122">
        <v>-0.20745849999999999</v>
      </c>
      <c r="T8122">
        <v>-0.110630199999999</v>
      </c>
      <c r="U8122">
        <v>-3.0162049999999998</v>
      </c>
      <c r="V8122">
        <v>-3.7078819999999998E-2</v>
      </c>
      <c r="W8122">
        <v>-1.673324E-2</v>
      </c>
      <c r="X8122">
        <v>0.99917219999999995</v>
      </c>
      <c r="Y8122">
        <v>9.0887739999999995E-2</v>
      </c>
      <c r="Z8122">
        <v>2.578946E-2</v>
      </c>
      <c r="AA8122">
        <v>0.9955271</v>
      </c>
      <c r="AB8122">
        <v>21</v>
      </c>
      <c r="AC8122">
        <v>-2.1061999999999999</v>
      </c>
      <c r="AD8122">
        <v>-1.1208849359419999</v>
      </c>
      <c r="AE8122">
        <v>-30.353019999999901</v>
      </c>
      <c r="AF8122">
        <v>2.7813321028167501</v>
      </c>
      <c r="AG8122">
        <v>-1.1208849359419999</v>
      </c>
      <c r="AH8122">
        <v>30.2572046515449</v>
      </c>
      <c r="AI8122">
        <v>92.112665917224604</v>
      </c>
      <c r="AJ8122">
        <v>84.747961564666099</v>
      </c>
      <c r="AK8122">
        <v>30.405437418844201</v>
      </c>
      <c r="AL8122">
        <v>90.958788812551305</v>
      </c>
      <c r="AM8122">
        <v>92.125244767352896</v>
      </c>
      <c r="AN8122">
        <v>0.99999996273316405</v>
      </c>
    </row>
    <row r="8123" spans="1:40" x14ac:dyDescent="0.25">
      <c r="A8123" t="str">
        <f>"20190303154004701"</f>
        <v>20190303154004701</v>
      </c>
      <c r="B8123" t="str">
        <f>"1551598804696808"</f>
        <v>1551598804696808</v>
      </c>
      <c r="C8123" t="s">
        <v>40</v>
      </c>
      <c r="D8123">
        <v>4.6564310000000004</v>
      </c>
      <c r="E8123">
        <v>0.55016279999999995</v>
      </c>
      <c r="F8123" t="s">
        <v>63</v>
      </c>
      <c r="G8123">
        <v>-303.76850000000002</v>
      </c>
      <c r="H8123" s="1">
        <v>-7.9963640000000001E-6</v>
      </c>
      <c r="I8123">
        <v>-55.419139999999999</v>
      </c>
      <c r="J8123">
        <v>-301.73820000000001</v>
      </c>
      <c r="K8123">
        <v>1.1209359999999999</v>
      </c>
      <c r="L8123">
        <v>-27.48685</v>
      </c>
      <c r="M8123">
        <v>2.2105030000000001E-2</v>
      </c>
      <c r="N8123">
        <v>-1.0963209999999999E-2</v>
      </c>
      <c r="O8123">
        <v>-0.99969569999999996</v>
      </c>
      <c r="P8123">
        <v>5.7630019999999997E-2</v>
      </c>
      <c r="Q8123">
        <v>-2.809145E-2</v>
      </c>
      <c r="R8123">
        <v>-0.99794320000000003</v>
      </c>
      <c r="S8123">
        <v>-0.21713260000000001</v>
      </c>
      <c r="T8123">
        <v>-0.1201339</v>
      </c>
      <c r="U8123">
        <v>-3.0160830000000001</v>
      </c>
      <c r="V8123">
        <v>-3.5562980000000001E-2</v>
      </c>
      <c r="W8123">
        <v>-1.7121669999999999E-2</v>
      </c>
      <c r="X8123">
        <v>0.99922069999999996</v>
      </c>
      <c r="Y8123">
        <v>9.3781870000000003E-2</v>
      </c>
      <c r="Z8123">
        <v>2.868039E-2</v>
      </c>
      <c r="AA8123">
        <v>0.99517960000000005</v>
      </c>
      <c r="AB8123">
        <v>21</v>
      </c>
      <c r="AC8123">
        <v>-2.0303000000000102</v>
      </c>
      <c r="AD8123">
        <v>-1.120943996364</v>
      </c>
      <c r="AE8123">
        <v>-27.932289999999998</v>
      </c>
      <c r="AF8123">
        <v>2.6430507606627001</v>
      </c>
      <c r="AG8123">
        <v>-1.120943996364</v>
      </c>
      <c r="AH8123">
        <v>27.835987866730701</v>
      </c>
      <c r="AI8123">
        <v>92.295717569320402</v>
      </c>
      <c r="AJ8123">
        <v>84.575978307697198</v>
      </c>
      <c r="AK8123">
        <v>27.983646175636299</v>
      </c>
      <c r="AL8123">
        <v>90.981047422486895</v>
      </c>
      <c r="AM8123">
        <v>92.038337444912699</v>
      </c>
      <c r="AN8123">
        <v>0.99999994221927702</v>
      </c>
    </row>
    <row r="8124" spans="1:40" x14ac:dyDescent="0.25">
      <c r="A8124" t="str">
        <f>"20190303154004724"</f>
        <v>20190303154004724</v>
      </c>
      <c r="B8124" t="str">
        <f>"1551598804716327"</f>
        <v>1551598804716327</v>
      </c>
      <c r="C8124" t="s">
        <v>40</v>
      </c>
      <c r="D8124">
        <v>4.6662549999999996</v>
      </c>
      <c r="E8124">
        <v>0.55070249999999998</v>
      </c>
      <c r="F8124" t="s">
        <v>63</v>
      </c>
      <c r="G8124">
        <v>-303.72340000000003</v>
      </c>
      <c r="H8124" s="1">
        <v>-7.3607690000000001E-6</v>
      </c>
      <c r="I8124">
        <v>-53.865049999999997</v>
      </c>
      <c r="J8124">
        <v>-301.73410000000001</v>
      </c>
      <c r="K8124">
        <v>1.1209929999999999</v>
      </c>
      <c r="L8124">
        <v>-27.69098</v>
      </c>
      <c r="M8124">
        <v>2.1821500000000001E-2</v>
      </c>
      <c r="N8124">
        <v>-1.122772E-2</v>
      </c>
      <c r="O8124">
        <v>-0.99969909999999995</v>
      </c>
      <c r="P8124">
        <v>5.528537E-2</v>
      </c>
      <c r="Q8124">
        <v>-2.8557550000000001E-2</v>
      </c>
      <c r="R8124">
        <v>-0.99806240000000002</v>
      </c>
      <c r="S8124">
        <v>-0.2269592</v>
      </c>
      <c r="T8124">
        <v>-0.12815180000000001</v>
      </c>
      <c r="U8124">
        <v>-3.0156860000000001</v>
      </c>
      <c r="V8124">
        <v>-3.3499689999999999E-2</v>
      </c>
      <c r="W8124">
        <v>-1.7323539999999998E-2</v>
      </c>
      <c r="X8124">
        <v>0.99928859999999997</v>
      </c>
      <c r="Y8124">
        <v>9.6725489999999997E-2</v>
      </c>
      <c r="Z8124">
        <v>3.1052880000000001E-2</v>
      </c>
      <c r="AA8124">
        <v>0.99482660000000001</v>
      </c>
      <c r="AB8124">
        <v>21</v>
      </c>
      <c r="AC8124">
        <v>-1.9893000000000101</v>
      </c>
      <c r="AD8124">
        <v>-1.121000360769</v>
      </c>
      <c r="AE8124">
        <v>-26.17407</v>
      </c>
      <c r="AF8124">
        <v>2.55535921449688</v>
      </c>
      <c r="AG8124">
        <v>-1.121000360769</v>
      </c>
      <c r="AH8124">
        <v>26.0768665540581</v>
      </c>
      <c r="AI8124">
        <v>92.449813139313207</v>
      </c>
      <c r="AJ8124">
        <v>84.403264212703306</v>
      </c>
      <c r="AK8124">
        <v>26.225740634005199</v>
      </c>
      <c r="AL8124">
        <v>90.992615360562297</v>
      </c>
      <c r="AM8124">
        <v>91.920038230139099</v>
      </c>
      <c r="AN8124">
        <v>1.00000002017909</v>
      </c>
    </row>
    <row r="8125" spans="1:40" x14ac:dyDescent="0.25">
      <c r="A8125" t="str">
        <f>"20190303154004747"</f>
        <v>20190303154004747</v>
      </c>
      <c r="B8125" t="str">
        <f>"1551598804736824"</f>
        <v>1551598804736824</v>
      </c>
      <c r="C8125" t="s">
        <v>40</v>
      </c>
      <c r="D8125">
        <v>4.6482210000000004</v>
      </c>
      <c r="E8125">
        <v>0.55105909999999902</v>
      </c>
      <c r="F8125" t="s">
        <v>63</v>
      </c>
      <c r="G8125">
        <v>-303.73700000000002</v>
      </c>
      <c r="H8125" s="1">
        <v>-7.0224199999999996E-6</v>
      </c>
      <c r="I8125">
        <v>-53.032409999999999</v>
      </c>
      <c r="J8125">
        <v>-301.72980000000001</v>
      </c>
      <c r="K8125">
        <v>1.1210169999999999</v>
      </c>
      <c r="L8125">
        <v>-27.903079999999999</v>
      </c>
      <c r="M8125">
        <v>2.1509259999999999E-2</v>
      </c>
      <c r="N8125">
        <v>-1.147455E-2</v>
      </c>
      <c r="O8125">
        <v>-0.99970309999999996</v>
      </c>
      <c r="P8125">
        <v>5.332833E-2</v>
      </c>
      <c r="Q8125">
        <v>-2.853373E-2</v>
      </c>
      <c r="R8125">
        <v>-0.99816970000000005</v>
      </c>
      <c r="S8125">
        <v>-0.23831179999999999</v>
      </c>
      <c r="T8125">
        <v>-0.1333799</v>
      </c>
      <c r="U8125">
        <v>-3.0151979999999998</v>
      </c>
      <c r="V8125">
        <v>-3.1852539999999999E-2</v>
      </c>
      <c r="W8125">
        <v>-1.7052830000000001E-2</v>
      </c>
      <c r="X8125">
        <v>0.99934710000000004</v>
      </c>
      <c r="Y8125">
        <v>0.1001431</v>
      </c>
      <c r="Z8125">
        <v>3.252178E-2</v>
      </c>
      <c r="AA8125">
        <v>0.99444140000000003</v>
      </c>
      <c r="AB8125">
        <v>21</v>
      </c>
      <c r="AC8125">
        <v>-2.0072000000000099</v>
      </c>
      <c r="AD8125">
        <v>-1.1210240224200001</v>
      </c>
      <c r="AE8125">
        <v>-25.12933</v>
      </c>
      <c r="AF8125">
        <v>2.54225709619522</v>
      </c>
      <c r="AG8125">
        <v>-1.1210240224200001</v>
      </c>
      <c r="AH8125">
        <v>25.0308420310398</v>
      </c>
      <c r="AI8125">
        <v>92.551211382817201</v>
      </c>
      <c r="AJ8125">
        <v>84.200641442815297</v>
      </c>
      <c r="AK8125">
        <v>25.184575016959599</v>
      </c>
      <c r="AL8125">
        <v>90.977102543711396</v>
      </c>
      <c r="AM8125">
        <v>91.825590395534306</v>
      </c>
      <c r="AN8125">
        <v>1.00000000479693</v>
      </c>
    </row>
    <row r="8126" spans="1:40" x14ac:dyDescent="0.25">
      <c r="A8126" t="str">
        <f>"20190303154004772"</f>
        <v>20190303154004772</v>
      </c>
      <c r="B8126" t="str">
        <f>"1551598804766518"</f>
        <v>1551598804766518</v>
      </c>
      <c r="C8126" t="s">
        <v>40</v>
      </c>
      <c r="D8126">
        <v>4.6503430000000003</v>
      </c>
      <c r="E8126">
        <v>0.55117309999999997</v>
      </c>
      <c r="F8126" t="s">
        <v>63</v>
      </c>
      <c r="G8126">
        <v>-303.76909999999998</v>
      </c>
      <c r="H8126" s="1">
        <v>-6.9282229999999996E-6</v>
      </c>
      <c r="I8126">
        <v>-52.796559999999999</v>
      </c>
      <c r="J8126">
        <v>-301.72539999999998</v>
      </c>
      <c r="K8126">
        <v>1.121035</v>
      </c>
      <c r="L8126">
        <v>-28.12866</v>
      </c>
      <c r="M8126">
        <v>2.1156500000000002E-2</v>
      </c>
      <c r="N8126">
        <v>-1.170736E-2</v>
      </c>
      <c r="O8126">
        <v>-0.99970760000000003</v>
      </c>
      <c r="P8126">
        <v>5.1788399999999998E-2</v>
      </c>
      <c r="Q8126">
        <v>-2.8795999999999999E-2</v>
      </c>
      <c r="R8126">
        <v>-0.99824299999999999</v>
      </c>
      <c r="S8126">
        <v>-0.2469788</v>
      </c>
      <c r="T8126">
        <v>-0.13576640000000001</v>
      </c>
      <c r="U8126">
        <v>-3.0148320000000002</v>
      </c>
      <c r="V8126">
        <v>-3.0664520000000001E-2</v>
      </c>
      <c r="W8126">
        <v>-1.7081720000000002E-2</v>
      </c>
      <c r="X8126">
        <v>0.99938369999999999</v>
      </c>
      <c r="Y8126">
        <v>0.1026381</v>
      </c>
      <c r="Z8126">
        <v>3.306974E-2</v>
      </c>
      <c r="AA8126">
        <v>0.99416890000000002</v>
      </c>
      <c r="AB8126">
        <v>21</v>
      </c>
      <c r="AC8126">
        <v>-2.0436999999999999</v>
      </c>
      <c r="AD8126">
        <v>-1.121041928223</v>
      </c>
      <c r="AE8126">
        <v>-24.667899999999999</v>
      </c>
      <c r="AF8126">
        <v>2.55991381609206</v>
      </c>
      <c r="AG8126">
        <v>-1.121041928223</v>
      </c>
      <c r="AH8126">
        <v>24.5687420048931</v>
      </c>
      <c r="AI8126">
        <v>92.598477410370805</v>
      </c>
      <c r="AJ8126">
        <v>84.051591571532398</v>
      </c>
      <c r="AK8126">
        <v>24.727170833996599</v>
      </c>
      <c r="AL8126">
        <v>90.978758124428197</v>
      </c>
      <c r="AM8126">
        <v>91.757479649918096</v>
      </c>
      <c r="AN8126">
        <v>0.999999938885337</v>
      </c>
    </row>
    <row r="8127" spans="1:40" x14ac:dyDescent="0.25">
      <c r="A8127" t="str">
        <f>"20190303154004790"</f>
        <v>20190303154004790</v>
      </c>
      <c r="B8127" t="str">
        <f>"1551598804786038"</f>
        <v>1551598804786038</v>
      </c>
      <c r="C8127" t="s">
        <v>40</v>
      </c>
      <c r="D8127">
        <v>4.645295</v>
      </c>
      <c r="E8127">
        <v>0.55122409999999999</v>
      </c>
      <c r="F8127" t="s">
        <v>63</v>
      </c>
      <c r="G8127">
        <v>-303.76</v>
      </c>
      <c r="H8127" s="1">
        <v>-6.7653399999999997E-6</v>
      </c>
      <c r="I8127">
        <v>-52.397950000000002</v>
      </c>
      <c r="J8127">
        <v>-301.72190000000001</v>
      </c>
      <c r="K8127">
        <v>1.1210500000000001</v>
      </c>
      <c r="L8127">
        <v>-28.309360000000002</v>
      </c>
      <c r="M8127">
        <v>2.085797E-2</v>
      </c>
      <c r="N8127">
        <v>-1.189106E-2</v>
      </c>
      <c r="O8127">
        <v>-0.99971180000000004</v>
      </c>
      <c r="P8127">
        <v>5.0537249999999999E-2</v>
      </c>
      <c r="Q8127">
        <v>-2.7792109999999998E-2</v>
      </c>
      <c r="R8127">
        <v>-0.99833539999999998</v>
      </c>
      <c r="S8127">
        <v>-0.2527161</v>
      </c>
      <c r="T8127">
        <v>-0.13923929999999901</v>
      </c>
      <c r="U8127">
        <v>-3.0143740000000001</v>
      </c>
      <c r="V8127">
        <v>-2.97101E-2</v>
      </c>
      <c r="W8127">
        <v>-1.5892969999999999E-2</v>
      </c>
      <c r="X8127">
        <v>0.99943219999999999</v>
      </c>
      <c r="Y8127">
        <v>0.104228</v>
      </c>
      <c r="Z8127">
        <v>3.4029429999999999E-2</v>
      </c>
      <c r="AA8127">
        <v>0.9939711</v>
      </c>
      <c r="AB8127">
        <v>21</v>
      </c>
      <c r="AC8127">
        <v>-2.03809999999998</v>
      </c>
      <c r="AD8127">
        <v>-1.1210567653399901</v>
      </c>
      <c r="AE8127">
        <v>-24.08859</v>
      </c>
      <c r="AF8127">
        <v>2.5346803564696998</v>
      </c>
      <c r="AG8127">
        <v>-1.1210567653399901</v>
      </c>
      <c r="AH8127">
        <v>23.9892468308296</v>
      </c>
      <c r="AI8127">
        <v>92.660789383028899</v>
      </c>
      <c r="AJ8127">
        <v>83.9685621934848</v>
      </c>
      <c r="AK8127">
        <v>24.1488164573558</v>
      </c>
      <c r="AL8127">
        <v>90.910638443986002</v>
      </c>
      <c r="AM8127">
        <v>91.702728987903399</v>
      </c>
      <c r="AN8127">
        <v>0.99999999946713503</v>
      </c>
    </row>
    <row r="8128" spans="1:40" x14ac:dyDescent="0.25">
      <c r="A8128" t="str">
        <f>"20190303154004814"</f>
        <v>20190303154004814</v>
      </c>
      <c r="B8128" t="str">
        <f>"1551598804806533"</f>
        <v>1551598804806533</v>
      </c>
      <c r="C8128" t="s">
        <v>40</v>
      </c>
      <c r="D8128">
        <v>4.6344459999999996</v>
      </c>
      <c r="E8128">
        <v>0.55122119999999997</v>
      </c>
      <c r="F8128" t="s">
        <v>63</v>
      </c>
      <c r="G8128">
        <v>-303.80680000000001</v>
      </c>
      <c r="H8128" s="1">
        <v>-6.923918E-6</v>
      </c>
      <c r="I8128">
        <v>-52.7806199999999</v>
      </c>
      <c r="J8128">
        <v>-301.71800000000002</v>
      </c>
      <c r="K8128">
        <v>1.1210530000000001</v>
      </c>
      <c r="L8128">
        <v>-28.516909999999999</v>
      </c>
      <c r="M8128">
        <v>2.0495139999999998E-2</v>
      </c>
      <c r="N8128">
        <v>-1.209672E-2</v>
      </c>
      <c r="O8128">
        <v>-0.99971699999999997</v>
      </c>
      <c r="P8128">
        <v>4.9901910000000001E-2</v>
      </c>
      <c r="Q8128">
        <v>-2.7393150000000002E-2</v>
      </c>
      <c r="R8128">
        <v>-0.99837869999999995</v>
      </c>
      <c r="S8128">
        <v>-0.25680540000000002</v>
      </c>
      <c r="T8128">
        <v>-0.13808210000000001</v>
      </c>
      <c r="U8128">
        <v>-3.01416</v>
      </c>
      <c r="V8128">
        <v>-2.9436819999999999E-2</v>
      </c>
      <c r="W8128">
        <v>-1.528702E-2</v>
      </c>
      <c r="X8128">
        <v>0.9994497</v>
      </c>
      <c r="Y8128">
        <v>0.10521270000000001</v>
      </c>
      <c r="Z8128">
        <v>3.3441470000000001E-2</v>
      </c>
      <c r="AA8128">
        <v>0.99388730000000003</v>
      </c>
      <c r="AB8128">
        <v>20</v>
      </c>
      <c r="AC8128">
        <v>-2.0887999999999902</v>
      </c>
      <c r="AD8128">
        <v>-1.1210599239179999</v>
      </c>
      <c r="AE8128">
        <v>-24.26371</v>
      </c>
      <c r="AF8128">
        <v>2.5802180434648898</v>
      </c>
      <c r="AG8128">
        <v>-1.1210599239179999</v>
      </c>
      <c r="AH8128">
        <v>24.164593922852202</v>
      </c>
      <c r="AI8128">
        <v>92.641206939124501</v>
      </c>
      <c r="AJ8128">
        <v>83.905232658330206</v>
      </c>
      <c r="AK8128">
        <v>24.327800968463698</v>
      </c>
      <c r="AL8128">
        <v>90.875915879572204</v>
      </c>
      <c r="AM8128">
        <v>91.687046484308297</v>
      </c>
      <c r="AN8128">
        <v>0.99999996109113998</v>
      </c>
    </row>
    <row r="8129" spans="1:40" x14ac:dyDescent="0.25">
      <c r="A8129" t="str">
        <f>"20190303154004835"</f>
        <v>20190303154004835</v>
      </c>
      <c r="B8129" t="str">
        <f>"1551598804826053"</f>
        <v>1551598804826053</v>
      </c>
      <c r="C8129" t="s">
        <v>40</v>
      </c>
      <c r="D8129">
        <v>4.6372239999999998</v>
      </c>
      <c r="E8129">
        <v>0.55133799999999999</v>
      </c>
      <c r="F8129" t="s">
        <v>63</v>
      </c>
      <c r="G8129">
        <v>-303.81400000000002</v>
      </c>
      <c r="H8129" s="1">
        <v>-6.9892379999999997E-6</v>
      </c>
      <c r="I8129">
        <v>-52.939959999999999</v>
      </c>
      <c r="J8129">
        <v>-301.71440000000001</v>
      </c>
      <c r="K8129">
        <v>1.1210469999999999</v>
      </c>
      <c r="L8129">
        <v>-28.717469999999999</v>
      </c>
      <c r="M8129">
        <v>2.011071E-2</v>
      </c>
      <c r="N8129">
        <v>-1.227691E-2</v>
      </c>
      <c r="O8129">
        <v>-0.99972249999999996</v>
      </c>
      <c r="P8129">
        <v>4.968289E-2</v>
      </c>
      <c r="Q8129">
        <v>-2.6742599999999998E-2</v>
      </c>
      <c r="R8129">
        <v>-0.99840720000000005</v>
      </c>
      <c r="S8129">
        <v>-0.25866699999999998</v>
      </c>
      <c r="T8129">
        <v>-0.1383481</v>
      </c>
      <c r="U8129">
        <v>-3.014008</v>
      </c>
      <c r="V8129">
        <v>-2.960161E-2</v>
      </c>
      <c r="W8129">
        <v>-1.4454949999999999E-2</v>
      </c>
      <c r="X8129">
        <v>0.99945720000000005</v>
      </c>
      <c r="Y8129">
        <v>0.10544340000000001</v>
      </c>
      <c r="Z8129">
        <v>3.3349980000000001E-2</v>
      </c>
      <c r="AA8129">
        <v>0.99386589999999997</v>
      </c>
      <c r="AB8129">
        <v>20</v>
      </c>
      <c r="AC8129">
        <v>-2.0996000000000001</v>
      </c>
      <c r="AD8129">
        <v>-1.12105398923799</v>
      </c>
      <c r="AE8129">
        <v>-24.222490000000001</v>
      </c>
      <c r="AF8129">
        <v>2.5808565210124099</v>
      </c>
      <c r="AG8129">
        <v>-1.12105398923799</v>
      </c>
      <c r="AH8129">
        <v>24.1240749144322</v>
      </c>
      <c r="AI8129">
        <v>92.645565394380498</v>
      </c>
      <c r="AJ8129">
        <v>83.893573815590798</v>
      </c>
      <c r="AK8129">
        <v>24.287621804243699</v>
      </c>
      <c r="AL8129">
        <v>90.8282365157729</v>
      </c>
      <c r="AM8129">
        <v>91.696472497526599</v>
      </c>
      <c r="AN8129">
        <v>0.99999994776296597</v>
      </c>
    </row>
    <row r="8130" spans="1:40" x14ac:dyDescent="0.25">
      <c r="A8130" t="str">
        <f>"20190303154004858"</f>
        <v>20190303154004858</v>
      </c>
      <c r="B8130" t="str">
        <f>"1551598804846549"</f>
        <v>1551598804846549</v>
      </c>
      <c r="C8130" t="s">
        <v>40</v>
      </c>
      <c r="D8130">
        <v>4.6645859999999999</v>
      </c>
      <c r="E8130">
        <v>0.55150690000000002</v>
      </c>
      <c r="F8130" t="s">
        <v>63</v>
      </c>
      <c r="G8130">
        <v>-303.83390000000003</v>
      </c>
      <c r="H8130" s="1">
        <v>-7.1155909999999996E-6</v>
      </c>
      <c r="I8130">
        <v>-53.247349999999997</v>
      </c>
      <c r="J8130">
        <v>-301.71069999999997</v>
      </c>
      <c r="K8130">
        <v>1.1210370000000001</v>
      </c>
      <c r="L8130">
        <v>-28.920719999999999</v>
      </c>
      <c r="M8130">
        <v>1.967764E-2</v>
      </c>
      <c r="N8130">
        <v>-1.243578E-2</v>
      </c>
      <c r="O8130">
        <v>-0.99972919999999998</v>
      </c>
      <c r="P8130">
        <v>4.950835E-2</v>
      </c>
      <c r="Q8130">
        <v>-2.7073320000000001E-2</v>
      </c>
      <c r="R8130">
        <v>-0.99840700000000004</v>
      </c>
      <c r="S8130">
        <v>-0.26043699999999997</v>
      </c>
      <c r="T8130">
        <v>-0.1377476</v>
      </c>
      <c r="U8130">
        <v>-3.0140690000000001</v>
      </c>
      <c r="V8130">
        <v>-2.9860790000000002E-2</v>
      </c>
      <c r="W8130">
        <v>-1.4625569999999999E-2</v>
      </c>
      <c r="X8130">
        <v>0.99944699999999997</v>
      </c>
      <c r="Y8130">
        <v>0.1055909</v>
      </c>
      <c r="Z8130">
        <v>3.2991670000000001E-2</v>
      </c>
      <c r="AA8130">
        <v>0.99386220000000003</v>
      </c>
      <c r="AB8130">
        <v>20</v>
      </c>
      <c r="AC8130">
        <v>-2.1232000000000499</v>
      </c>
      <c r="AD8130">
        <v>-1.121044115591</v>
      </c>
      <c r="AE8130">
        <v>-24.326629999999899</v>
      </c>
      <c r="AF8130">
        <v>2.5960450480530901</v>
      </c>
      <c r="AG8130">
        <v>-1.121044115591</v>
      </c>
      <c r="AH8130">
        <v>24.2290713707146</v>
      </c>
      <c r="AI8130">
        <v>92.634048419709799</v>
      </c>
      <c r="AJ8130">
        <v>83.884325495991504</v>
      </c>
      <c r="AK8130">
        <v>24.393525560849199</v>
      </c>
      <c r="AL8130">
        <v>90.838013362309894</v>
      </c>
      <c r="AM8130">
        <v>91.711334800926394</v>
      </c>
      <c r="AN8130">
        <v>0.99999993994312197</v>
      </c>
    </row>
    <row r="8131" spans="1:40" x14ac:dyDescent="0.25">
      <c r="A8131" t="str">
        <f>"20190303154004881"</f>
        <v>20190303154004881</v>
      </c>
      <c r="B8131" t="str">
        <f>"1551598804876342"</f>
        <v>1551598804876342</v>
      </c>
      <c r="C8131" t="s">
        <v>40</v>
      </c>
      <c r="D8131">
        <v>4.6713909999999998</v>
      </c>
      <c r="E8131">
        <v>0.55139719999999903</v>
      </c>
      <c r="F8131" t="s">
        <v>63</v>
      </c>
      <c r="G8131">
        <v>-303.80220000000003</v>
      </c>
      <c r="H8131" s="1">
        <v>-6.9970790000000004E-6</v>
      </c>
      <c r="I8131">
        <v>-52.960909999999998</v>
      </c>
      <c r="J8131">
        <v>-301.70729999999998</v>
      </c>
      <c r="K8131">
        <v>1.12101299999999</v>
      </c>
      <c r="L8131">
        <v>-29.122920000000001</v>
      </c>
      <c r="M8131">
        <v>1.919968E-2</v>
      </c>
      <c r="N8131">
        <v>-1.2574200000000001E-2</v>
      </c>
      <c r="O8131">
        <v>-0.99973690000000004</v>
      </c>
      <c r="P8131">
        <v>4.991843E-2</v>
      </c>
      <c r="Q8131">
        <v>-2.7153569999999998E-2</v>
      </c>
      <c r="R8131">
        <v>-0.99838470000000001</v>
      </c>
      <c r="S8131">
        <v>-0.26220700000000002</v>
      </c>
      <c r="T8131">
        <v>-0.14054800000000001</v>
      </c>
      <c r="U8131">
        <v>-3.0139770000000001</v>
      </c>
      <c r="V8131">
        <v>-3.0749619999999998E-2</v>
      </c>
      <c r="W8131">
        <v>-1.456551E-2</v>
      </c>
      <c r="X8131">
        <v>0.999421</v>
      </c>
      <c r="Y8131">
        <v>0.105694</v>
      </c>
      <c r="Z8131">
        <v>3.377604E-2</v>
      </c>
      <c r="AA8131">
        <v>0.99382490000000001</v>
      </c>
      <c r="AB8131">
        <v>20</v>
      </c>
      <c r="AC8131">
        <v>-2.0949000000000502</v>
      </c>
      <c r="AD8131">
        <v>-1.12101999707899</v>
      </c>
      <c r="AE8131">
        <v>-23.837990000000001</v>
      </c>
      <c r="AF8131">
        <v>2.5466428664256702</v>
      </c>
      <c r="AG8131">
        <v>-1.12101999707899</v>
      </c>
      <c r="AH8131">
        <v>23.741269156158399</v>
      </c>
      <c r="AI8131">
        <v>92.687998494427902</v>
      </c>
      <c r="AJ8131">
        <v>83.877492668403903</v>
      </c>
      <c r="AK8131">
        <v>23.9037640732193</v>
      </c>
      <c r="AL8131">
        <v>90.834571748990101</v>
      </c>
      <c r="AM8131">
        <v>91.762288193452704</v>
      </c>
      <c r="AN8131">
        <v>1.0000000142263501</v>
      </c>
    </row>
    <row r="8132" spans="1:40" x14ac:dyDescent="0.25">
      <c r="A8132" t="str">
        <f>"20190303154004903"</f>
        <v>20190303154004903</v>
      </c>
      <c r="B8132" t="str">
        <f>"1551598804896831"</f>
        <v>1551598804896831</v>
      </c>
      <c r="C8132" t="s">
        <v>40</v>
      </c>
      <c r="D8132">
        <v>4.5793759999999999</v>
      </c>
      <c r="E8132">
        <v>0.52603809999999995</v>
      </c>
      <c r="F8132" t="s">
        <v>63</v>
      </c>
      <c r="G8132">
        <v>-303.75779999999997</v>
      </c>
      <c r="H8132" s="1">
        <v>-6.964249E-6</v>
      </c>
      <c r="I8132">
        <v>-52.886619999999901</v>
      </c>
      <c r="J8132">
        <v>-301.70389999999998</v>
      </c>
      <c r="K8132">
        <v>1.1209849999999999</v>
      </c>
      <c r="L8132">
        <v>-29.330290000000002</v>
      </c>
      <c r="M8132">
        <v>1.8659439999999999E-2</v>
      </c>
      <c r="N8132">
        <v>-1.2700410000000001E-2</v>
      </c>
      <c r="O8132">
        <v>-0.99974529999999995</v>
      </c>
      <c r="P8132">
        <v>5.0401370000000001E-2</v>
      </c>
      <c r="Q8132">
        <v>-2.6853729999999999E-2</v>
      </c>
      <c r="R8132">
        <v>-0.99836800000000003</v>
      </c>
      <c r="S8132">
        <v>-0.26007079999999999</v>
      </c>
      <c r="T8132">
        <v>-0.14218029999999901</v>
      </c>
      <c r="U8132">
        <v>-3.0139770000000001</v>
      </c>
      <c r="V8132">
        <v>-3.1773460000000003E-2</v>
      </c>
      <c r="W8132">
        <v>-1.413673E-2</v>
      </c>
      <c r="X8132">
        <v>0.99939509999999998</v>
      </c>
      <c r="Y8132">
        <v>0.1044558</v>
      </c>
      <c r="Z8132">
        <v>3.4192800000000002E-2</v>
      </c>
      <c r="AA8132">
        <v>0.99394150000000003</v>
      </c>
      <c r="AB8132">
        <v>20</v>
      </c>
      <c r="AC8132">
        <v>-2.0538999999999898</v>
      </c>
      <c r="AD8132">
        <v>-1.1209919642490001</v>
      </c>
      <c r="AE8132">
        <v>-23.5563299999999</v>
      </c>
      <c r="AF8132">
        <v>2.4875349562028899</v>
      </c>
      <c r="AG8132">
        <v>-1.1209919642490001</v>
      </c>
      <c r="AH8132">
        <v>23.461171318408901</v>
      </c>
      <c r="AI8132">
        <v>92.720328882028397</v>
      </c>
      <c r="AJ8132">
        <v>83.947670291636598</v>
      </c>
      <c r="AK8132">
        <v>23.619293231889401</v>
      </c>
      <c r="AL8132">
        <v>90.810001959923994</v>
      </c>
      <c r="AM8132">
        <v>91.820973670118704</v>
      </c>
      <c r="AN8132">
        <v>0.99999998289973702</v>
      </c>
    </row>
    <row r="8133" spans="1:40" x14ac:dyDescent="0.25">
      <c r="A8133" t="str">
        <f>"20190303154004925"</f>
        <v>20190303154004925</v>
      </c>
      <c r="B8133" t="str">
        <f>"1551598804916351"</f>
        <v>1551598804916351</v>
      </c>
      <c r="C8133" t="s">
        <v>40</v>
      </c>
      <c r="D8133">
        <v>4.5812850000000003</v>
      </c>
      <c r="E8133">
        <v>0.52177269999999998</v>
      </c>
      <c r="F8133" t="s">
        <v>63</v>
      </c>
      <c r="G8133">
        <v>-302.1551</v>
      </c>
      <c r="H8133" s="1">
        <v>-6.979858E-6</v>
      </c>
      <c r="I8133">
        <v>-53.15334</v>
      </c>
      <c r="J8133">
        <v>-301.70089999999999</v>
      </c>
      <c r="K8133">
        <v>1.1209519999999999</v>
      </c>
      <c r="L8133">
        <v>-29.53021</v>
      </c>
      <c r="M8133">
        <v>1.8087010000000001E-2</v>
      </c>
      <c r="N8133">
        <v>-1.280834E-2</v>
      </c>
      <c r="O8133">
        <v>-0.9997547</v>
      </c>
      <c r="P8133">
        <v>5.1194070000000001E-2</v>
      </c>
      <c r="Q8133">
        <v>-2.6864220000000001E-2</v>
      </c>
      <c r="R8133">
        <v>-0.99832770000000004</v>
      </c>
      <c r="S8133">
        <v>-5.6884770000000001E-2</v>
      </c>
      <c r="T8133">
        <v>-0.14135149999999999</v>
      </c>
      <c r="U8133">
        <v>-3.0039669999999998</v>
      </c>
      <c r="V8133">
        <v>-3.3140210000000003E-2</v>
      </c>
      <c r="W8133">
        <v>-1.403595E-2</v>
      </c>
      <c r="X8133">
        <v>0.99935220000000002</v>
      </c>
      <c r="Y8133">
        <v>3.6990049999999997E-2</v>
      </c>
      <c r="Z8133">
        <v>3.4170880000000001E-2</v>
      </c>
      <c r="AA8133">
        <v>0.99873129999999999</v>
      </c>
      <c r="AB8133">
        <v>20</v>
      </c>
      <c r="AC8133">
        <v>-0.45420000000001398</v>
      </c>
      <c r="AD8133">
        <v>-1.120958979858</v>
      </c>
      <c r="AE8133">
        <v>-23.62313</v>
      </c>
      <c r="AF8133">
        <v>0.87945288412436695</v>
      </c>
      <c r="AG8133">
        <v>-1.120958979858</v>
      </c>
      <c r="AH8133">
        <v>23.558023954928402</v>
      </c>
      <c r="AI8133">
        <v>92.722350824840206</v>
      </c>
      <c r="AJ8133">
        <v>87.862063883279802</v>
      </c>
      <c r="AK8133">
        <v>23.601069447609799</v>
      </c>
      <c r="AL8133">
        <v>90.804227063806493</v>
      </c>
      <c r="AM8133">
        <v>91.899328976111505</v>
      </c>
      <c r="AN8133">
        <v>1.00000005052804</v>
      </c>
    </row>
    <row r="8134" spans="1:40" x14ac:dyDescent="0.25">
      <c r="A8134" t="str">
        <f>"20190303154004948"</f>
        <v>20190303154004948</v>
      </c>
      <c r="B8134" t="str">
        <f>"1551598804936847"</f>
        <v>1551598804936847</v>
      </c>
      <c r="C8134" t="s">
        <v>40</v>
      </c>
      <c r="D8134">
        <v>4.5625349999999996</v>
      </c>
      <c r="E8134">
        <v>0.52007829999999999</v>
      </c>
      <c r="F8134" t="s">
        <v>63</v>
      </c>
      <c r="G8134">
        <v>-301.85570000000001</v>
      </c>
      <c r="H8134" s="1">
        <v>-6.626054E-6</v>
      </c>
      <c r="I8134">
        <v>-52.327350000000003</v>
      </c>
      <c r="J8134">
        <v>-301.6979</v>
      </c>
      <c r="K8134">
        <v>1.1209180000000001</v>
      </c>
      <c r="L8134">
        <v>-29.73462</v>
      </c>
      <c r="M8134">
        <v>1.7445450000000001E-2</v>
      </c>
      <c r="N8134">
        <v>-1.290493E-2</v>
      </c>
      <c r="O8134">
        <v>-0.9997646</v>
      </c>
      <c r="P8134">
        <v>5.2325129999999997E-2</v>
      </c>
      <c r="Q8134">
        <v>-2.732002E-2</v>
      </c>
      <c r="R8134">
        <v>-0.99825629999999999</v>
      </c>
      <c r="S8134">
        <v>-2.0385739999999999E-2</v>
      </c>
      <c r="T8134">
        <v>-0.14761659999999999</v>
      </c>
      <c r="U8134">
        <v>-3.0021059999999999</v>
      </c>
      <c r="V8134">
        <v>-3.4915040000000001E-2</v>
      </c>
      <c r="W8134">
        <v>-1.439124E-2</v>
      </c>
      <c r="X8134">
        <v>0.99928669999999997</v>
      </c>
      <c r="Y8134">
        <v>2.4221639999999999E-2</v>
      </c>
      <c r="Z8134">
        <v>3.6198500000000002E-2</v>
      </c>
      <c r="AA8134">
        <v>0.99905100000000002</v>
      </c>
      <c r="AB8134">
        <v>20</v>
      </c>
      <c r="AC8134">
        <v>-0.15780000000000799</v>
      </c>
      <c r="AD8134">
        <v>-1.120924626054</v>
      </c>
      <c r="AE8134">
        <v>-22.59273</v>
      </c>
      <c r="AF8134">
        <v>0.55059385057843702</v>
      </c>
      <c r="AG8134">
        <v>-1.120924626054</v>
      </c>
      <c r="AH8134">
        <v>22.531078536319399</v>
      </c>
      <c r="AI8134">
        <v>92.847276993937697</v>
      </c>
      <c r="AJ8134">
        <v>88.600136852331801</v>
      </c>
      <c r="AK8134">
        <v>22.565662534376902</v>
      </c>
      <c r="AL8134">
        <v>90.824585747067701</v>
      </c>
      <c r="AM8134">
        <v>92.001098348289005</v>
      </c>
      <c r="AN8134">
        <v>1.0000000383019101</v>
      </c>
    </row>
    <row r="8135" spans="1:40" x14ac:dyDescent="0.25">
      <c r="A8135" t="str">
        <f>"20190303154004971"</f>
        <v>20190303154004971</v>
      </c>
      <c r="B8135" t="str">
        <f>"1551598804966633"</f>
        <v>1551598804966633</v>
      </c>
      <c r="C8135" t="s">
        <v>40</v>
      </c>
      <c r="D8135">
        <v>4.5729199999999999</v>
      </c>
      <c r="E8135">
        <v>0.51898140000000004</v>
      </c>
      <c r="F8135" t="s">
        <v>63</v>
      </c>
      <c r="G8135">
        <v>-301.72480000000002</v>
      </c>
      <c r="H8135" s="1">
        <v>-6.2475809999999998E-6</v>
      </c>
      <c r="I8135">
        <v>-51.416780000000003</v>
      </c>
      <c r="J8135">
        <v>-301.69510000000002</v>
      </c>
      <c r="K8135">
        <v>1.120881</v>
      </c>
      <c r="L8135">
        <v>-29.943210000000001</v>
      </c>
      <c r="M8135">
        <v>1.6726540000000002E-2</v>
      </c>
      <c r="N8135">
        <v>-1.298993E-2</v>
      </c>
      <c r="O8135">
        <v>-0.99977590000000005</v>
      </c>
      <c r="P8135">
        <v>5.2677799999999997E-2</v>
      </c>
      <c r="Q8135">
        <v>-2.6915970000000001E-2</v>
      </c>
      <c r="R8135">
        <v>-0.99824880000000005</v>
      </c>
      <c r="S8135">
        <v>-3.7231450000000002E-3</v>
      </c>
      <c r="T8135">
        <v>-0.1551554</v>
      </c>
      <c r="U8135">
        <v>-3.0011899999999998</v>
      </c>
      <c r="V8135">
        <v>-3.5986919999999999E-2</v>
      </c>
      <c r="W8135">
        <v>-1.3898239999999999E-2</v>
      </c>
      <c r="X8135">
        <v>0.99925560000000002</v>
      </c>
      <c r="Y8135">
        <v>1.7959849999999999E-2</v>
      </c>
      <c r="Z8135">
        <v>3.8636919999999998E-2</v>
      </c>
      <c r="AA8135">
        <v>0.99909190000000003</v>
      </c>
      <c r="AB8135">
        <v>20</v>
      </c>
      <c r="AC8135">
        <v>-2.9699999999991102E-2</v>
      </c>
      <c r="AD8135">
        <v>-1.1208872475809999</v>
      </c>
      <c r="AE8135">
        <v>-21.473569999999999</v>
      </c>
      <c r="AF8135">
        <v>0.38784785470290001</v>
      </c>
      <c r="AG8135">
        <v>-1.1208872475809999</v>
      </c>
      <c r="AH8135">
        <v>21.411728580265901</v>
      </c>
      <c r="AI8135">
        <v>92.996163267432294</v>
      </c>
      <c r="AJ8135">
        <v>88.962268966821696</v>
      </c>
      <c r="AK8135">
        <v>21.4445549027058</v>
      </c>
      <c r="AL8135">
        <v>90.796336143425705</v>
      </c>
      <c r="AM8135">
        <v>92.062543264227699</v>
      </c>
      <c r="AN8135">
        <v>0.999999986808771</v>
      </c>
    </row>
    <row r="8136" spans="1:40" x14ac:dyDescent="0.25">
      <c r="A8136" t="str">
        <f>"20190303154004992"</f>
        <v>20190303154004992</v>
      </c>
      <c r="B8136" t="str">
        <f>"1551598804986154"</f>
        <v>1551598804986154</v>
      </c>
      <c r="C8136" t="s">
        <v>40</v>
      </c>
      <c r="D8136">
        <v>4.5878589999999999</v>
      </c>
      <c r="E8136">
        <v>0.51860669999999998</v>
      </c>
      <c r="F8136" t="s">
        <v>63</v>
      </c>
      <c r="G8136">
        <v>-301.65089999999998</v>
      </c>
      <c r="H8136" s="1">
        <v>-6.0858430000000004E-6</v>
      </c>
      <c r="I8136">
        <v>-51.03022</v>
      </c>
      <c r="J8136">
        <v>-301.69260000000003</v>
      </c>
      <c r="K8136">
        <v>1.1208530000000001</v>
      </c>
      <c r="L8136">
        <v>-30.13889</v>
      </c>
      <c r="M8136">
        <v>1.5997609999999999E-2</v>
      </c>
      <c r="N8136">
        <v>-1.305889E-2</v>
      </c>
      <c r="O8136">
        <v>-0.99978690000000003</v>
      </c>
      <c r="P8136">
        <v>5.2639140000000001E-2</v>
      </c>
      <c r="Q8136">
        <v>-2.6977649999999999E-2</v>
      </c>
      <c r="R8136">
        <v>-0.99824939999999995</v>
      </c>
      <c r="S8136">
        <v>6.286621E-3</v>
      </c>
      <c r="T8136">
        <v>-0.1595</v>
      </c>
      <c r="U8136">
        <v>-3.0006409999999999</v>
      </c>
      <c r="V8136">
        <v>-3.667782E-2</v>
      </c>
      <c r="W8136">
        <v>-1.388792E-2</v>
      </c>
      <c r="X8136">
        <v>0.99923059999999997</v>
      </c>
      <c r="Y8136">
        <v>1.389978E-2</v>
      </c>
      <c r="Z8136">
        <v>4.0022790000000003E-2</v>
      </c>
      <c r="AA8136">
        <v>0.99910209999999999</v>
      </c>
      <c r="AB8136">
        <v>20</v>
      </c>
      <c r="AC8136">
        <v>4.17000000000484E-2</v>
      </c>
      <c r="AD8136">
        <v>-1.1208590858429901</v>
      </c>
      <c r="AE8136">
        <v>-20.89133</v>
      </c>
      <c r="AF8136">
        <v>0.29170545936563402</v>
      </c>
      <c r="AG8136">
        <v>-1.1208590858429901</v>
      </c>
      <c r="AH8136">
        <v>20.8293656493972</v>
      </c>
      <c r="AI8136">
        <v>93.079898724730796</v>
      </c>
      <c r="AJ8136">
        <v>89.197652034263299</v>
      </c>
      <c r="AK8136">
        <v>20.8615409431237</v>
      </c>
      <c r="AL8136">
        <v>90.795744811741599</v>
      </c>
      <c r="AM8136">
        <v>92.102158649757897</v>
      </c>
      <c r="AN8136">
        <v>0.99999996438911798</v>
      </c>
    </row>
    <row r="8137" spans="1:40" x14ac:dyDescent="0.25">
      <c r="A8137" t="str">
        <f>"20190303154005014"</f>
        <v>20190303154005014</v>
      </c>
      <c r="B8137" t="str">
        <f>"1551598805006650"</f>
        <v>1551598805006650</v>
      </c>
      <c r="C8137" t="s">
        <v>40</v>
      </c>
      <c r="D8137">
        <v>4.56067</v>
      </c>
      <c r="E8137">
        <v>0.51847089999999996</v>
      </c>
      <c r="F8137" t="s">
        <v>63</v>
      </c>
      <c r="G8137">
        <v>-301.63049999999998</v>
      </c>
      <c r="H8137" s="1">
        <v>-6.0117920000000004E-6</v>
      </c>
      <c r="I8137">
        <v>-50.851309999999998</v>
      </c>
      <c r="J8137">
        <v>-301.69040000000001</v>
      </c>
      <c r="K8137">
        <v>1.1208279999999999</v>
      </c>
      <c r="L8137">
        <v>-30.338560000000001</v>
      </c>
      <c r="M8137">
        <v>1.5214470000000001E-2</v>
      </c>
      <c r="N8137">
        <v>-1.312022E-2</v>
      </c>
      <c r="O8137">
        <v>-0.99979819999999997</v>
      </c>
      <c r="P8137">
        <v>5.18577E-2</v>
      </c>
      <c r="Q8137">
        <v>-2.6739659999999998E-2</v>
      </c>
      <c r="R8137">
        <v>-0.99829630000000003</v>
      </c>
      <c r="S8137">
        <v>9.0026859999999993E-3</v>
      </c>
      <c r="T8137">
        <v>-0.16236729999999899</v>
      </c>
      <c r="U8137">
        <v>-3.000397</v>
      </c>
      <c r="V8137">
        <v>-3.667844E-2</v>
      </c>
      <c r="W8137">
        <v>-1.358667E-2</v>
      </c>
      <c r="X8137">
        <v>0.99923470000000003</v>
      </c>
      <c r="Y8137">
        <v>1.22127E-2</v>
      </c>
      <c r="Z8137">
        <v>4.091931E-2</v>
      </c>
      <c r="AA8137">
        <v>0.99908779999999997</v>
      </c>
      <c r="AB8137">
        <v>20</v>
      </c>
      <c r="AC8137">
        <v>5.9900000000027299E-2</v>
      </c>
      <c r="AD8137">
        <v>-1.1208340117919999</v>
      </c>
      <c r="AE8137">
        <v>-20.51275</v>
      </c>
      <c r="AF8137">
        <v>0.25147361077798402</v>
      </c>
      <c r="AG8137">
        <v>-1.1208340117919999</v>
      </c>
      <c r="AH8137">
        <v>20.4502305938578</v>
      </c>
      <c r="AI8137">
        <v>93.136885466086298</v>
      </c>
      <c r="AJ8137">
        <v>89.295477363307398</v>
      </c>
      <c r="AK8137">
        <v>20.482466628823399</v>
      </c>
      <c r="AL8137">
        <v>90.778482843233405</v>
      </c>
      <c r="AM8137">
        <v>92.102185534800498</v>
      </c>
      <c r="AN8137">
        <v>0.99999994562330397</v>
      </c>
    </row>
    <row r="8138" spans="1:40" x14ac:dyDescent="0.25">
      <c r="A8138" t="str">
        <f>"20190303154005036"</f>
        <v>20190303154005036</v>
      </c>
      <c r="B8138" t="str">
        <f>"1551598805026170"</f>
        <v>1551598805026170</v>
      </c>
      <c r="C8138" t="s">
        <v>40</v>
      </c>
      <c r="D8138">
        <v>4.6043969999999996</v>
      </c>
      <c r="E8138">
        <v>0.51841899999999996</v>
      </c>
      <c r="F8138" t="s">
        <v>63</v>
      </c>
      <c r="G8138">
        <v>-301.63560000000001</v>
      </c>
      <c r="H8138" s="1">
        <v>-6.0605010000000001E-6</v>
      </c>
      <c r="I8138">
        <v>-50.970179999999999</v>
      </c>
      <c r="J8138">
        <v>-301.68819999999999</v>
      </c>
      <c r="K8138">
        <v>1.1208279999999999</v>
      </c>
      <c r="L8138">
        <v>-30.539429999999999</v>
      </c>
      <c r="M8138">
        <v>1.439795E-2</v>
      </c>
      <c r="N8138">
        <v>-1.3173590000000001E-2</v>
      </c>
      <c r="O8138">
        <v>-0.99980970000000002</v>
      </c>
      <c r="P8138">
        <v>5.1733130000000002E-2</v>
      </c>
      <c r="Q8138">
        <v>-2.6573929999999999E-2</v>
      </c>
      <c r="R8138">
        <v>-0.99830730000000001</v>
      </c>
      <c r="S8138">
        <v>7.9650880000000004E-3</v>
      </c>
      <c r="T8138">
        <v>-0.16299640000000001</v>
      </c>
      <c r="U8138">
        <v>-3.0003359999999999</v>
      </c>
      <c r="V8138">
        <v>-3.7369430000000002E-2</v>
      </c>
      <c r="W8138">
        <v>-1.3366019999999999E-2</v>
      </c>
      <c r="X8138">
        <v>0.99921210000000005</v>
      </c>
      <c r="Y8138">
        <v>1.1741720000000001E-2</v>
      </c>
      <c r="Z8138">
        <v>4.1077019999999999E-2</v>
      </c>
      <c r="AA8138">
        <v>0.99908699999999995</v>
      </c>
      <c r="AB8138">
        <v>20</v>
      </c>
      <c r="AC8138">
        <v>5.2599999999983903E-2</v>
      </c>
      <c r="AD8138">
        <v>-1.1208340605010001</v>
      </c>
      <c r="AE8138">
        <v>-20.43075</v>
      </c>
      <c r="AF8138">
        <v>0.240866940003927</v>
      </c>
      <c r="AG8138">
        <v>-1.1208340605010001</v>
      </c>
      <c r="AH8138">
        <v>20.368089129201401</v>
      </c>
      <c r="AI8138">
        <v>93.149528635922294</v>
      </c>
      <c r="AJ8138">
        <v>89.322468802792997</v>
      </c>
      <c r="AK8138">
        <v>20.4003269740722</v>
      </c>
      <c r="AL8138">
        <v>90.765839359812105</v>
      </c>
      <c r="AM8138">
        <v>92.141800742449007</v>
      </c>
      <c r="AN8138">
        <v>0.99999997278778696</v>
      </c>
    </row>
    <row r="8139" spans="1:40" x14ac:dyDescent="0.25">
      <c r="A8139" t="str">
        <f>"20190303154005059"</f>
        <v>20190303154005059</v>
      </c>
      <c r="B8139" t="str">
        <f>"1551598805056426"</f>
        <v>1551598805056426</v>
      </c>
      <c r="C8139" t="s">
        <v>40</v>
      </c>
      <c r="D8139">
        <v>4.5883640000000003</v>
      </c>
      <c r="E8139">
        <v>0.51814439999999995</v>
      </c>
      <c r="F8139" t="s">
        <v>63</v>
      </c>
      <c r="G8139">
        <v>-301.63229999999999</v>
      </c>
      <c r="H8139" s="1">
        <v>-6.129279E-6</v>
      </c>
      <c r="I8139">
        <v>-51.139510000000001</v>
      </c>
      <c r="J8139">
        <v>-301.68630000000002</v>
      </c>
      <c r="K8139">
        <v>1.12083</v>
      </c>
      <c r="L8139">
        <v>-30.742740000000001</v>
      </c>
      <c r="M8139">
        <v>1.3553880000000001E-2</v>
      </c>
      <c r="N8139">
        <v>-1.3220050000000001E-2</v>
      </c>
      <c r="O8139">
        <v>-0.99982110000000002</v>
      </c>
      <c r="P8139">
        <v>5.1674739999999997E-2</v>
      </c>
      <c r="Q8139">
        <v>-2.6591389999999999E-2</v>
      </c>
      <c r="R8139">
        <v>-0.99831029999999998</v>
      </c>
      <c r="S8139">
        <v>8.1481929999999998E-3</v>
      </c>
      <c r="T8139">
        <v>-0.16324420000000001</v>
      </c>
      <c r="U8139">
        <v>-3.000305</v>
      </c>
      <c r="V8139">
        <v>-3.8154159999999999E-2</v>
      </c>
      <c r="W8139">
        <v>-1.333618E-2</v>
      </c>
      <c r="X8139">
        <v>0.99918289999999998</v>
      </c>
      <c r="Y8139">
        <v>1.083693E-2</v>
      </c>
      <c r="Z8139">
        <v>4.1114659999999997E-2</v>
      </c>
      <c r="AA8139">
        <v>0.99909570000000003</v>
      </c>
      <c r="AB8139">
        <v>20</v>
      </c>
      <c r="AC8139">
        <v>5.4000000000030399E-2</v>
      </c>
      <c r="AD8139">
        <v>-1.1208361292789999</v>
      </c>
      <c r="AE8139">
        <v>-20.39677</v>
      </c>
      <c r="AF8139">
        <v>0.22181459206443799</v>
      </c>
      <c r="AG8139">
        <v>-1.1208361292789999</v>
      </c>
      <c r="AH8139">
        <v>20.334225541705599</v>
      </c>
      <c r="AI8139">
        <v>93.154801749491</v>
      </c>
      <c r="AJ8139">
        <v>89.375017461573506</v>
      </c>
      <c r="AK8139">
        <v>20.366300688217802</v>
      </c>
      <c r="AL8139">
        <v>90.764129457098093</v>
      </c>
      <c r="AM8139">
        <v>92.186797579850605</v>
      </c>
      <c r="AN8139">
        <v>1.00000003063735</v>
      </c>
    </row>
    <row r="8140" spans="1:40" x14ac:dyDescent="0.25">
      <c r="A8140" t="str">
        <f>"20190303154005081"</f>
        <v>20190303154005081</v>
      </c>
      <c r="B8140" t="str">
        <f>"1551598805076923"</f>
        <v>1551598805076923</v>
      </c>
      <c r="C8140" t="s">
        <v>40</v>
      </c>
      <c r="D8140">
        <v>4.5686600000000004</v>
      </c>
      <c r="E8140">
        <v>0.51808690000000002</v>
      </c>
      <c r="F8140" t="s">
        <v>63</v>
      </c>
      <c r="G8140">
        <v>-301.61680000000001</v>
      </c>
      <c r="H8140" s="1">
        <v>-6.1259619999999997E-6</v>
      </c>
      <c r="I8140">
        <v>-51.133569999999999</v>
      </c>
      <c r="J8140">
        <v>-301.68450000000001</v>
      </c>
      <c r="K8140">
        <v>1.120835</v>
      </c>
      <c r="L8140">
        <v>-30.94754</v>
      </c>
      <c r="M8140">
        <v>1.269793E-2</v>
      </c>
      <c r="N8140">
        <v>-1.326022E-2</v>
      </c>
      <c r="O8140">
        <v>-0.99983160000000004</v>
      </c>
      <c r="P8140">
        <v>5.2045309999999997E-2</v>
      </c>
      <c r="Q8140">
        <v>-2.725108E-2</v>
      </c>
      <c r="R8140">
        <v>-0.99827299999999997</v>
      </c>
      <c r="S8140">
        <v>1.0223390000000001E-2</v>
      </c>
      <c r="T8140">
        <v>-0.16491140000000001</v>
      </c>
      <c r="U8140">
        <v>-3.0001530000000001</v>
      </c>
      <c r="V8140">
        <v>-3.9381140000000002E-2</v>
      </c>
      <c r="W8140">
        <v>-1.395533E-2</v>
      </c>
      <c r="X8140">
        <v>0.99912679999999998</v>
      </c>
      <c r="Y8140">
        <v>9.2903929999999992E-3</v>
      </c>
      <c r="Z8140">
        <v>4.163207E-2</v>
      </c>
      <c r="AA8140">
        <v>0.99908980000000003</v>
      </c>
      <c r="AB8140">
        <v>20</v>
      </c>
      <c r="AC8140">
        <v>6.7700000000001995E-2</v>
      </c>
      <c r="AD8140">
        <v>-1.1208411259619999</v>
      </c>
      <c r="AE8140">
        <v>-20.186029999999899</v>
      </c>
      <c r="AF8140">
        <v>0.18806892746009499</v>
      </c>
      <c r="AG8140">
        <v>-1.1208411259619999</v>
      </c>
      <c r="AH8140">
        <v>20.123220986649802</v>
      </c>
      <c r="AI8140">
        <v>93.187878464333096</v>
      </c>
      <c r="AJ8140">
        <v>89.464536910192606</v>
      </c>
      <c r="AK8140">
        <v>20.155289073309401</v>
      </c>
      <c r="AL8140">
        <v>90.799607471072207</v>
      </c>
      <c r="AM8140">
        <v>92.257176679059</v>
      </c>
      <c r="AN8140">
        <v>0.99999999395067396</v>
      </c>
    </row>
    <row r="8141" spans="1:40" x14ac:dyDescent="0.25">
      <c r="A8141" t="str">
        <f>"20190303154005104"</f>
        <v>20190303154005104</v>
      </c>
      <c r="B8141" t="str">
        <f>"1551598805096445"</f>
        <v>1551598805096445</v>
      </c>
      <c r="C8141" t="s">
        <v>40</v>
      </c>
      <c r="D8141">
        <v>4.5865340000000003</v>
      </c>
      <c r="E8141">
        <v>0.51803359999999998</v>
      </c>
      <c r="F8141" t="s">
        <v>63</v>
      </c>
      <c r="G8141">
        <v>-301.60660000000001</v>
      </c>
      <c r="H8141" s="1">
        <v>-6.0562339999999901E-6</v>
      </c>
      <c r="I8141">
        <v>-50.963839999999998</v>
      </c>
      <c r="J8141">
        <v>-301.68299999999999</v>
      </c>
      <c r="K8141">
        <v>1.1208400000000001</v>
      </c>
      <c r="L8141">
        <v>-31.145900000000001</v>
      </c>
      <c r="M8141">
        <v>1.187298E-2</v>
      </c>
      <c r="N8141">
        <v>-1.3293620000000001E-2</v>
      </c>
      <c r="O8141">
        <v>-0.99984130000000004</v>
      </c>
      <c r="P8141">
        <v>5.248129E-2</v>
      </c>
      <c r="Q8141">
        <v>-2.7641079999999998E-2</v>
      </c>
      <c r="R8141">
        <v>-0.99823949999999995</v>
      </c>
      <c r="S8141">
        <v>1.1688230000000001E-2</v>
      </c>
      <c r="T8141">
        <v>-0.16798929999999901</v>
      </c>
      <c r="U8141">
        <v>-3</v>
      </c>
      <c r="V8141">
        <v>-4.0641980000000001E-2</v>
      </c>
      <c r="W8141">
        <v>-1.4311880000000001E-2</v>
      </c>
      <c r="X8141">
        <v>0.99907120000000005</v>
      </c>
      <c r="Y8141">
        <v>7.9780379999999998E-3</v>
      </c>
      <c r="Z8141">
        <v>4.2624370000000002E-2</v>
      </c>
      <c r="AA8141">
        <v>0.99905929999999998</v>
      </c>
      <c r="AB8141">
        <v>20</v>
      </c>
      <c r="AC8141">
        <v>7.6399999999978194E-2</v>
      </c>
      <c r="AD8141">
        <v>-1.1208460562339999</v>
      </c>
      <c r="AE8141">
        <v>-19.81794</v>
      </c>
      <c r="AF8141">
        <v>0.158417424311904</v>
      </c>
      <c r="AG8141">
        <v>-1.1208460562339999</v>
      </c>
      <c r="AH8141">
        <v>19.754262809592198</v>
      </c>
      <c r="AI8141">
        <v>93.247345043279594</v>
      </c>
      <c r="AJ8141">
        <v>89.540531816665805</v>
      </c>
      <c r="AK8141">
        <v>19.786669530584</v>
      </c>
      <c r="AL8141">
        <v>90.820038373380001</v>
      </c>
      <c r="AM8141">
        <v>92.329494336341398</v>
      </c>
      <c r="AN8141">
        <v>0.99999993155844502</v>
      </c>
    </row>
    <row r="8142" spans="1:40" x14ac:dyDescent="0.25">
      <c r="A8142" t="str">
        <f>"20190303154005126"</f>
        <v>20190303154005126</v>
      </c>
      <c r="B8142" t="str">
        <f>"1551598805116939"</f>
        <v>1551598805116939</v>
      </c>
      <c r="C8142" t="s">
        <v>40</v>
      </c>
      <c r="D8142">
        <v>4.5398540000000001</v>
      </c>
      <c r="E8142">
        <v>0.51803619999999995</v>
      </c>
      <c r="F8142" t="s">
        <v>63</v>
      </c>
      <c r="G8142">
        <v>-301.5942</v>
      </c>
      <c r="H8142" s="1">
        <v>-6.0434310000000002E-6</v>
      </c>
      <c r="I8142">
        <v>-50.934159999999999</v>
      </c>
      <c r="J8142">
        <v>-301.6816</v>
      </c>
      <c r="K8142">
        <v>1.1208480000000001</v>
      </c>
      <c r="L8142">
        <v>-31.347719999999999</v>
      </c>
      <c r="M8142">
        <v>1.104249E-2</v>
      </c>
      <c r="N8142">
        <v>-1.332275E-2</v>
      </c>
      <c r="O8142">
        <v>-0.99985029999999997</v>
      </c>
      <c r="P8142">
        <v>5.2191960000000003E-2</v>
      </c>
      <c r="Q8142">
        <v>-2.7563310000000001E-2</v>
      </c>
      <c r="R8142">
        <v>-0.9982569</v>
      </c>
      <c r="S8142">
        <v>1.345825E-2</v>
      </c>
      <c r="T8142">
        <v>-0.16991899999999999</v>
      </c>
      <c r="U8142">
        <v>-2.9998779999999998</v>
      </c>
      <c r="V8142">
        <v>-4.1181799999999998E-2</v>
      </c>
      <c r="W8142">
        <v>-1.4205550000000001E-2</v>
      </c>
      <c r="X8142">
        <v>0.99905069999999996</v>
      </c>
      <c r="Y8142">
        <v>6.5585549999999998E-3</v>
      </c>
      <c r="Z8142">
        <v>4.3239159999999999E-2</v>
      </c>
      <c r="AA8142">
        <v>0.99904320000000002</v>
      </c>
      <c r="AB8142">
        <v>20</v>
      </c>
      <c r="AC8142">
        <v>8.7400000000002295E-2</v>
      </c>
      <c r="AD8142">
        <v>-1.1208540434309999</v>
      </c>
      <c r="AE8142">
        <v>-19.58644</v>
      </c>
      <c r="AF8142">
        <v>0.12848682632990299</v>
      </c>
      <c r="AG8142">
        <v>-1.1208540434309999</v>
      </c>
      <c r="AH8142">
        <v>19.522280165857801</v>
      </c>
      <c r="AI8142">
        <v>93.285906863438299</v>
      </c>
      <c r="AJ8142">
        <v>89.622910514747502</v>
      </c>
      <c r="AK8142">
        <v>19.554852224587599</v>
      </c>
      <c r="AL8142">
        <v>90.813945421541604</v>
      </c>
      <c r="AM8142">
        <v>92.360449049922806</v>
      </c>
      <c r="AN8142">
        <v>1.00000001973626</v>
      </c>
    </row>
    <row r="8143" spans="1:40" x14ac:dyDescent="0.25">
      <c r="A8143" t="str">
        <f>"20190303154005152"</f>
        <v>20190303154005152</v>
      </c>
      <c r="B8143" t="str">
        <f>"1551598805146218"</f>
        <v>1551598805146218</v>
      </c>
      <c r="C8143" t="s">
        <v>40</v>
      </c>
      <c r="D8143">
        <v>4.5561239999999996</v>
      </c>
      <c r="E8143">
        <v>0.51802590000000004</v>
      </c>
      <c r="F8143" t="s">
        <v>63</v>
      </c>
      <c r="G8143">
        <v>-301.59870000000001</v>
      </c>
      <c r="H8143" s="1">
        <v>-6.1003090000000003E-6</v>
      </c>
      <c r="I8143">
        <v>-51.073169999999998</v>
      </c>
      <c r="J8143">
        <v>-301.68020000000001</v>
      </c>
      <c r="K8143">
        <v>1.120857</v>
      </c>
      <c r="L8143">
        <v>-31.56635</v>
      </c>
      <c r="M8143">
        <v>1.015478E-2</v>
      </c>
      <c r="N8143">
        <v>-1.3349440000000001E-2</v>
      </c>
      <c r="O8143">
        <v>-0.99985939999999995</v>
      </c>
      <c r="P8143">
        <v>5.1550190000000003E-2</v>
      </c>
      <c r="Q8143">
        <v>-2.7342310000000002E-2</v>
      </c>
      <c r="R8143">
        <v>-0.99829610000000002</v>
      </c>
      <c r="S8143">
        <v>1.260376E-2</v>
      </c>
      <c r="T8143">
        <v>-0.17046129999999901</v>
      </c>
      <c r="U8143">
        <v>-2.9998779999999998</v>
      </c>
      <c r="V8143">
        <v>-4.1425370000000003E-2</v>
      </c>
      <c r="W8143">
        <v>-1.395878E-2</v>
      </c>
      <c r="X8143">
        <v>0.99904409999999999</v>
      </c>
      <c r="Y8143">
        <v>5.9555959999999996E-3</v>
      </c>
      <c r="Z8143">
        <v>4.3393380000000002E-2</v>
      </c>
      <c r="AA8143">
        <v>0.99904029999999999</v>
      </c>
      <c r="AB8143">
        <v>20</v>
      </c>
      <c r="AC8143">
        <v>8.1500000000005401E-2</v>
      </c>
      <c r="AD8143">
        <v>-1.1208631003089999</v>
      </c>
      <c r="AE8143">
        <v>-19.506820000000001</v>
      </c>
      <c r="AF8143">
        <v>0.11622557622886399</v>
      </c>
      <c r="AG8143">
        <v>-1.1208631003089999</v>
      </c>
      <c r="AH8143">
        <v>19.442450498510301</v>
      </c>
      <c r="AI8143">
        <v>93.299407956400003</v>
      </c>
      <c r="AJ8143">
        <v>89.657494014572805</v>
      </c>
      <c r="AK8143">
        <v>19.475079559817601</v>
      </c>
      <c r="AL8143">
        <v>90.799805146906195</v>
      </c>
      <c r="AM8143">
        <v>92.374409676350098</v>
      </c>
      <c r="AN8143">
        <v>1.00000001128176</v>
      </c>
    </row>
    <row r="8144" spans="1:40" x14ac:dyDescent="0.25">
      <c r="A8144" t="str">
        <f>"20190303154005174"</f>
        <v>20190303154005174</v>
      </c>
      <c r="B8144" t="str">
        <f>"1551598805166714"</f>
        <v>1551598805166714</v>
      </c>
      <c r="C8144" t="s">
        <v>40</v>
      </c>
      <c r="D8144">
        <v>4.5596249999999996</v>
      </c>
      <c r="E8144">
        <v>0.51808350000000003</v>
      </c>
      <c r="F8144" t="s">
        <v>63</v>
      </c>
      <c r="G8144">
        <v>-301.61</v>
      </c>
      <c r="H8144" s="1">
        <v>-6.1675909999999996E-6</v>
      </c>
      <c r="I8144">
        <v>-51.236750000000001</v>
      </c>
      <c r="J8144">
        <v>-301.67919999999998</v>
      </c>
      <c r="K8144">
        <v>1.1208750000000001</v>
      </c>
      <c r="L8144">
        <v>-31.770569999999999</v>
      </c>
      <c r="M8144">
        <v>9.3381590000000004E-3</v>
      </c>
      <c r="N8144">
        <v>-1.3370079999999999E-2</v>
      </c>
      <c r="O8144">
        <v>-0.99986719999999896</v>
      </c>
      <c r="P8144">
        <v>5.0492219999999997E-2</v>
      </c>
      <c r="Q8144">
        <v>-2.69112E-2</v>
      </c>
      <c r="R8144">
        <v>-0.99836210000000003</v>
      </c>
      <c r="S8144">
        <v>1.071167E-2</v>
      </c>
      <c r="T8144">
        <v>-0.1709397</v>
      </c>
      <c r="U8144">
        <v>-2.9998779999999998</v>
      </c>
      <c r="V8144">
        <v>-4.1181719999999998E-2</v>
      </c>
      <c r="W8144">
        <v>-1.350815E-2</v>
      </c>
      <c r="X8144">
        <v>0.99906030000000001</v>
      </c>
      <c r="Y8144">
        <v>5.7690839999999998E-3</v>
      </c>
      <c r="Z8144">
        <v>4.3532269999999998E-2</v>
      </c>
      <c r="AA8144">
        <v>0.99903540000000002</v>
      </c>
      <c r="AB8144">
        <v>20</v>
      </c>
      <c r="AC8144">
        <v>6.9199999999966594E-2</v>
      </c>
      <c r="AD8144">
        <v>-1.120881167591</v>
      </c>
      <c r="AE8144">
        <v>-19.466180000000001</v>
      </c>
      <c r="AF8144">
        <v>0.112225430689636</v>
      </c>
      <c r="AG8144">
        <v>-1.120881167591</v>
      </c>
      <c r="AH8144">
        <v>19.401650710861801</v>
      </c>
      <c r="AI8144">
        <v>93.306387847095706</v>
      </c>
      <c r="AJ8144">
        <v>89.668586352943606</v>
      </c>
      <c r="AK8144">
        <v>19.434325803727798</v>
      </c>
      <c r="AL8144">
        <v>90.773983567040204</v>
      </c>
      <c r="AM8144">
        <v>92.360421813761704</v>
      </c>
      <c r="AN8144">
        <v>0.99999994360733302</v>
      </c>
    </row>
    <row r="8145" spans="1:40" x14ac:dyDescent="0.25">
      <c r="A8145" t="str">
        <f>"20190303154005195"</f>
        <v>20190303154005195</v>
      </c>
      <c r="B8145" t="str">
        <f>"1551598805186235"</f>
        <v>1551598805186235</v>
      </c>
      <c r="C8145" t="s">
        <v>40</v>
      </c>
      <c r="D8145">
        <v>4.5319390000000004</v>
      </c>
      <c r="E8145">
        <v>0.51809719999999904</v>
      </c>
      <c r="F8145" t="s">
        <v>63</v>
      </c>
      <c r="G8145">
        <v>-301.6327</v>
      </c>
      <c r="H8145" s="1">
        <v>-6.2953599999999996E-6</v>
      </c>
      <c r="I8145">
        <v>-51.54721</v>
      </c>
      <c r="J8145">
        <v>-301.67829999999998</v>
      </c>
      <c r="K8145">
        <v>1.1208880000000001</v>
      </c>
      <c r="L8145">
        <v>-31.958559999999999</v>
      </c>
      <c r="M8145">
        <v>8.5943990000000008E-3</v>
      </c>
      <c r="N8145">
        <v>-1.338628E-2</v>
      </c>
      <c r="O8145">
        <v>-0.99987360000000003</v>
      </c>
      <c r="P8145">
        <v>4.9135640000000001E-2</v>
      </c>
      <c r="Q8145">
        <v>-2.685071E-2</v>
      </c>
      <c r="R8145">
        <v>-0.99843139999999997</v>
      </c>
      <c r="S8145">
        <v>7.0495610000000002E-3</v>
      </c>
      <c r="T8145">
        <v>-0.1700294</v>
      </c>
      <c r="U8145">
        <v>-2.9999690000000001</v>
      </c>
      <c r="V8145">
        <v>-4.0567220000000001E-2</v>
      </c>
      <c r="W8145">
        <v>-1.343279E-2</v>
      </c>
      <c r="X8145">
        <v>0.99908649999999999</v>
      </c>
      <c r="Y8145">
        <v>6.2446300000000001E-3</v>
      </c>
      <c r="Z8145">
        <v>4.3212710000000001E-2</v>
      </c>
      <c r="AA8145">
        <v>0.9990464</v>
      </c>
      <c r="AB8145">
        <v>20</v>
      </c>
      <c r="AC8145">
        <v>4.55999999999789E-2</v>
      </c>
      <c r="AD8145">
        <v>-1.1208942953599901</v>
      </c>
      <c r="AE8145">
        <v>-19.588650000000001</v>
      </c>
      <c r="AF8145">
        <v>0.12236874975484099</v>
      </c>
      <c r="AG8145">
        <v>-1.1208942953599901</v>
      </c>
      <c r="AH8145">
        <v>19.5243897186357</v>
      </c>
      <c r="AI8145">
        <v>93.285676955239893</v>
      </c>
      <c r="AJ8145">
        <v>89.640904468451694</v>
      </c>
      <c r="AK8145">
        <v>19.556921332803299</v>
      </c>
      <c r="AL8145">
        <v>90.769665331785205</v>
      </c>
      <c r="AM8145">
        <v>92.325178422771899</v>
      </c>
      <c r="AN8145">
        <v>0.99999998683398095</v>
      </c>
    </row>
    <row r="8146" spans="1:40" x14ac:dyDescent="0.25">
      <c r="A8146" t="str">
        <f>"20190303154005215"</f>
        <v>20190303154005215</v>
      </c>
      <c r="B8146" t="str">
        <f>"1551598805206730"</f>
        <v>1551598805206730</v>
      </c>
      <c r="C8146" t="s">
        <v>40</v>
      </c>
      <c r="D8146">
        <v>4.5331049999999999</v>
      </c>
      <c r="E8146">
        <v>0.51812990000000003</v>
      </c>
      <c r="F8146" t="s">
        <v>63</v>
      </c>
      <c r="G8146">
        <v>-301.65960000000001</v>
      </c>
      <c r="H8146" s="1">
        <v>-6.366624E-6</v>
      </c>
      <c r="I8146">
        <v>-51.718330000000002</v>
      </c>
      <c r="J8146">
        <v>-301.67759999999998</v>
      </c>
      <c r="K8146">
        <v>1.120897</v>
      </c>
      <c r="L8146">
        <v>-32.147709999999996</v>
      </c>
      <c r="M8146">
        <v>7.8535769999999901E-3</v>
      </c>
      <c r="N8146">
        <v>-1.3400189999999999E-2</v>
      </c>
      <c r="O8146">
        <v>-0.99987950000000003</v>
      </c>
      <c r="P8146">
        <v>4.8036750000000003E-2</v>
      </c>
      <c r="Q8146">
        <v>-2.7489030000000001E-2</v>
      </c>
      <c r="R8146">
        <v>-0.99846729999999995</v>
      </c>
      <c r="S8146">
        <v>2.8381349999999999E-3</v>
      </c>
      <c r="T8146">
        <v>-0.1701782</v>
      </c>
      <c r="U8146">
        <v>-3</v>
      </c>
      <c r="V8146">
        <v>-4.0208599999999997E-2</v>
      </c>
      <c r="W8146">
        <v>-1.405854E-2</v>
      </c>
      <c r="X8146">
        <v>0.99909239999999999</v>
      </c>
      <c r="Y8146">
        <v>6.9059050000000004E-3</v>
      </c>
      <c r="Z8146">
        <v>4.324799E-2</v>
      </c>
      <c r="AA8146">
        <v>0.9990405</v>
      </c>
      <c r="AB8146">
        <v>20</v>
      </c>
      <c r="AC8146">
        <v>1.7999999999972201E-2</v>
      </c>
      <c r="AD8146">
        <v>-1.120903366624</v>
      </c>
      <c r="AE8146">
        <v>-19.570620000000002</v>
      </c>
      <c r="AF8146">
        <v>0.13526996823738599</v>
      </c>
      <c r="AG8146">
        <v>-1.120903366624</v>
      </c>
      <c r="AH8146">
        <v>19.506169674447001</v>
      </c>
      <c r="AI8146">
        <v>93.288751363825696</v>
      </c>
      <c r="AJ8146">
        <v>89.602675760142702</v>
      </c>
      <c r="AK8146">
        <v>19.538817202940798</v>
      </c>
      <c r="AL8146">
        <v>90.805521544710103</v>
      </c>
      <c r="AM8146">
        <v>92.304632182014203</v>
      </c>
      <c r="AN8146">
        <v>0.999999998899325</v>
      </c>
    </row>
    <row r="8147" spans="1:40" x14ac:dyDescent="0.25">
      <c r="A8147" t="str">
        <f>"20190303154005237"</f>
        <v>20190303154005237</v>
      </c>
      <c r="B8147" t="str">
        <f>"1551598805226250"</f>
        <v>1551598805226250</v>
      </c>
      <c r="C8147" t="s">
        <v>40</v>
      </c>
      <c r="D8147">
        <v>4.485436</v>
      </c>
      <c r="E8147">
        <v>0.51811300000000005</v>
      </c>
      <c r="F8147" t="s">
        <v>63</v>
      </c>
      <c r="G8147">
        <v>-301.68310000000002</v>
      </c>
      <c r="H8147" s="1">
        <v>-6.3363689999999901E-6</v>
      </c>
      <c r="I8147">
        <v>-51.640709999999999</v>
      </c>
      <c r="J8147">
        <v>-301.67700000000002</v>
      </c>
      <c r="K8147">
        <v>1.1209129999999901</v>
      </c>
      <c r="L8147">
        <v>-32.341369999999998</v>
      </c>
      <c r="M8147">
        <v>7.102896E-3</v>
      </c>
      <c r="N8147">
        <v>-1.3412250000000001E-2</v>
      </c>
      <c r="O8147">
        <v>-0.99988500000000002</v>
      </c>
      <c r="P8147">
        <v>4.7299340000000002E-2</v>
      </c>
      <c r="Q8147">
        <v>-2.8330999999999999E-2</v>
      </c>
      <c r="R8147">
        <v>-0.99847909999999995</v>
      </c>
      <c r="S8147">
        <v>-8.5449219999999995E-4</v>
      </c>
      <c r="T8147">
        <v>-0.1725032</v>
      </c>
      <c r="U8147">
        <v>-2.999908</v>
      </c>
      <c r="V8147">
        <v>-4.0221460000000001E-2</v>
      </c>
      <c r="W8147">
        <v>-1.4889670000000001E-2</v>
      </c>
      <c r="X8147">
        <v>0.99907979999999996</v>
      </c>
      <c r="Y8147">
        <v>7.38458E-3</v>
      </c>
      <c r="Z8147">
        <v>4.4009739999999999E-2</v>
      </c>
      <c r="AA8147">
        <v>0.9990038</v>
      </c>
      <c r="AB8147">
        <v>20</v>
      </c>
      <c r="AC8147">
        <v>-6.1000000000035401E-3</v>
      </c>
      <c r="AD8147">
        <v>-1.12091933636899</v>
      </c>
      <c r="AE8147">
        <v>-19.299340000000001</v>
      </c>
      <c r="AF8147">
        <v>0.142711938187987</v>
      </c>
      <c r="AG8147">
        <v>-1.12091933636899</v>
      </c>
      <c r="AH8147">
        <v>19.233926619071099</v>
      </c>
      <c r="AI8147">
        <v>93.335232859383893</v>
      </c>
      <c r="AJ8147">
        <v>89.574884429081393</v>
      </c>
      <c r="AK8147">
        <v>19.267090077221301</v>
      </c>
      <c r="AL8147">
        <v>90.8531468117298</v>
      </c>
      <c r="AM8147">
        <v>92.305397525169198</v>
      </c>
      <c r="AN8147">
        <v>0.99999995744263903</v>
      </c>
    </row>
    <row r="8148" spans="1:40" x14ac:dyDescent="0.25">
      <c r="A8148" t="str">
        <f>"20190303154005260"</f>
        <v>20190303154005260</v>
      </c>
      <c r="B8148" t="str">
        <f>"1551598805256506"</f>
        <v>1551598805256506</v>
      </c>
      <c r="C8148" t="s">
        <v>40</v>
      </c>
      <c r="D8148">
        <v>4.5151960000000004</v>
      </c>
      <c r="E8148">
        <v>0.51809329999999998</v>
      </c>
      <c r="F8148" t="s">
        <v>63</v>
      </c>
      <c r="G8148">
        <v>-301.69450000000001</v>
      </c>
      <c r="H8148" s="1">
        <v>-6.2729599999999997E-6</v>
      </c>
      <c r="I8148">
        <v>-51.483400000000003</v>
      </c>
      <c r="J8148">
        <v>-301.67649999999998</v>
      </c>
      <c r="K8148">
        <v>1.1209290000000001</v>
      </c>
      <c r="L8148">
        <v>-32.542759999999902</v>
      </c>
      <c r="M8148">
        <v>6.3323819999999897E-3</v>
      </c>
      <c r="N8148">
        <v>-1.3422750000000001E-2</v>
      </c>
      <c r="O8148">
        <v>-0.99989019999999995</v>
      </c>
      <c r="P8148">
        <v>4.6127899999999999E-2</v>
      </c>
      <c r="Q8148">
        <v>-2.8291859999999999E-2</v>
      </c>
      <c r="R8148">
        <v>-0.99853530000000001</v>
      </c>
      <c r="S8148">
        <v>-2.746582E-3</v>
      </c>
      <c r="T8148">
        <v>-0.17565799999999901</v>
      </c>
      <c r="U8148">
        <v>-2.9997250000000002</v>
      </c>
      <c r="V8148">
        <v>-3.9818449999999998E-2</v>
      </c>
      <c r="W8148">
        <v>-1.484126E-2</v>
      </c>
      <c r="X8148">
        <v>0.99909669999999895</v>
      </c>
      <c r="Y8148">
        <v>7.2441129999999999E-3</v>
      </c>
      <c r="Z8148">
        <v>4.5050260000000002E-2</v>
      </c>
      <c r="AA8148">
        <v>0.99895849999999997</v>
      </c>
      <c r="AB8148">
        <v>20</v>
      </c>
      <c r="AC8148">
        <v>-1.80000000000291E-2</v>
      </c>
      <c r="AD8148">
        <v>-1.12093527296</v>
      </c>
      <c r="AE8148">
        <v>-18.940639999999998</v>
      </c>
      <c r="AF8148">
        <v>0.13746829697448101</v>
      </c>
      <c r="AG8148">
        <v>-1.12093527296</v>
      </c>
      <c r="AH8148">
        <v>18.874040885404298</v>
      </c>
      <c r="AI8148">
        <v>93.398732208690802</v>
      </c>
      <c r="AJ8148">
        <v>89.582695936244207</v>
      </c>
      <c r="AK8148">
        <v>18.907797670875102</v>
      </c>
      <c r="AL8148">
        <v>90.850372785355503</v>
      </c>
      <c r="AM8148">
        <v>92.282283945359794</v>
      </c>
      <c r="AN8148">
        <v>0.99999999395483896</v>
      </c>
    </row>
    <row r="8149" spans="1:40" x14ac:dyDescent="0.25">
      <c r="A8149" t="str">
        <f>"20190303154005282"</f>
        <v>20190303154005282</v>
      </c>
      <c r="B8149" t="str">
        <f>"1551598805276026"</f>
        <v>1551598805276026</v>
      </c>
      <c r="C8149" t="s">
        <v>40</v>
      </c>
      <c r="D8149">
        <v>4.5180150000000001</v>
      </c>
      <c r="E8149">
        <v>0.51807619999999999</v>
      </c>
      <c r="F8149" t="s">
        <v>63</v>
      </c>
      <c r="G8149">
        <v>-301.71589999999998</v>
      </c>
      <c r="H8149" s="1">
        <v>-6.3296770000000001E-6</v>
      </c>
      <c r="I8149">
        <v>-51.619610000000002</v>
      </c>
      <c r="J8149">
        <v>-301.67610000000002</v>
      </c>
      <c r="K8149">
        <v>1.120949</v>
      </c>
      <c r="L8149">
        <v>-32.743650000000002</v>
      </c>
      <c r="M8149">
        <v>5.5782180000000002E-3</v>
      </c>
      <c r="N8149">
        <v>-1.343139E-2</v>
      </c>
      <c r="O8149">
        <v>-0.99989439999999996</v>
      </c>
      <c r="P8149">
        <v>4.4877569999999999E-2</v>
      </c>
      <c r="Q8149">
        <v>-2.6659970000000002E-2</v>
      </c>
      <c r="R8149">
        <v>-0.998637</v>
      </c>
      <c r="S8149">
        <v>-6.1950679999999998E-3</v>
      </c>
      <c r="T8149">
        <v>-0.17625879999999999</v>
      </c>
      <c r="U8149">
        <v>-2.999695</v>
      </c>
      <c r="V8149">
        <v>-3.9319119999999999E-2</v>
      </c>
      <c r="W8149">
        <v>-1.320171E-2</v>
      </c>
      <c r="X8149">
        <v>0.99913949999999996</v>
      </c>
      <c r="Y8149">
        <v>7.6380880000000003E-3</v>
      </c>
      <c r="Z8149">
        <v>4.5241829999999997E-2</v>
      </c>
      <c r="AA8149">
        <v>0.99894680000000002</v>
      </c>
      <c r="AB8149">
        <v>20</v>
      </c>
      <c r="AC8149">
        <v>-3.9799999999956898E-2</v>
      </c>
      <c r="AD8149">
        <v>-1.1209553296770001</v>
      </c>
      <c r="AE8149">
        <v>-18.8759599999999</v>
      </c>
      <c r="AF8149">
        <v>0.14459315938853601</v>
      </c>
      <c r="AG8149">
        <v>-1.1209553296770001</v>
      </c>
      <c r="AH8149">
        <v>18.809111962145799</v>
      </c>
      <c r="AI8149">
        <v>93.410487554564995</v>
      </c>
      <c r="AJ8149">
        <v>89.559553124760001</v>
      </c>
      <c r="AK8149">
        <v>18.843039585942801</v>
      </c>
      <c r="AL8149">
        <v>90.7564242315797</v>
      </c>
      <c r="AM8149">
        <v>92.253596981267606</v>
      </c>
      <c r="AN8149">
        <v>1.00000000940237</v>
      </c>
    </row>
    <row r="8150" spans="1:40" x14ac:dyDescent="0.25">
      <c r="A8150" t="str">
        <f>"20190303154005305"</f>
        <v>20190303154005305</v>
      </c>
      <c r="B8150" t="str">
        <f>"1551598805296523"</f>
        <v>1551598805296523</v>
      </c>
      <c r="C8150" t="s">
        <v>40</v>
      </c>
      <c r="D8150">
        <v>4.4289560000000003</v>
      </c>
      <c r="E8150">
        <v>0.51806549999999996</v>
      </c>
      <c r="F8150" t="s">
        <v>63</v>
      </c>
      <c r="G8150">
        <v>-301.73970000000003</v>
      </c>
      <c r="H8150" s="1">
        <v>-6.6155380000000002E-6</v>
      </c>
      <c r="I8150">
        <v>-52.318069999999999</v>
      </c>
      <c r="J8150">
        <v>-301.67599999999999</v>
      </c>
      <c r="K8150">
        <v>1.1209690000000001</v>
      </c>
      <c r="L8150">
        <v>-32.942749999999997</v>
      </c>
      <c r="M8150">
        <v>4.8517029999999997E-3</v>
      </c>
      <c r="N8150">
        <v>-1.343839E-2</v>
      </c>
      <c r="O8150">
        <v>-0.99989799999999995</v>
      </c>
      <c r="P8150">
        <v>4.4531660000000001E-2</v>
      </c>
      <c r="Q8150">
        <v>-2.454228E-2</v>
      </c>
      <c r="R8150">
        <v>-0.99870650000000005</v>
      </c>
      <c r="S8150">
        <v>-9.7351069999999998E-3</v>
      </c>
      <c r="T8150">
        <v>-0.17179559999999999</v>
      </c>
      <c r="U8150">
        <v>-2.9999389999999999</v>
      </c>
      <c r="V8150">
        <v>-3.9696049999999997E-2</v>
      </c>
      <c r="W8150">
        <v>-1.107781E-2</v>
      </c>
      <c r="X8150">
        <v>0.99915039999999999</v>
      </c>
      <c r="Y8150">
        <v>8.0902119999999994E-3</v>
      </c>
      <c r="Z8150">
        <v>4.3748929999999998E-2</v>
      </c>
      <c r="AA8150">
        <v>0.99900979999999995</v>
      </c>
      <c r="AB8150">
        <v>20</v>
      </c>
      <c r="AC8150">
        <v>-6.3700000000039794E-2</v>
      </c>
      <c r="AD8150">
        <v>-1.120975615538</v>
      </c>
      <c r="AE8150">
        <v>-19.375319999999999</v>
      </c>
      <c r="AF8150">
        <v>0.15718489172407701</v>
      </c>
      <c r="AG8150">
        <v>-1.120975615538</v>
      </c>
      <c r="AH8150">
        <v>19.310146693780599</v>
      </c>
      <c r="AI8150">
        <v>93.322245583544699</v>
      </c>
      <c r="AJ8150">
        <v>89.533621772171003</v>
      </c>
      <c r="AK8150">
        <v>19.3432949301856</v>
      </c>
      <c r="AL8150">
        <v>90.634724736607595</v>
      </c>
      <c r="AM8150">
        <v>92.275153541240201</v>
      </c>
      <c r="AN8150">
        <v>1.0000000080400699</v>
      </c>
    </row>
    <row r="8151" spans="1:40" x14ac:dyDescent="0.25">
      <c r="A8151" t="str">
        <f>"20190303154005326"</f>
        <v>20190303154005326</v>
      </c>
      <c r="B8151" t="str">
        <f>"1551598805316043"</f>
        <v>1551598805316043</v>
      </c>
      <c r="C8151" t="s">
        <v>40</v>
      </c>
      <c r="D8151">
        <v>4.5810069999999996</v>
      </c>
      <c r="E8151">
        <v>0.51786460000000001</v>
      </c>
      <c r="F8151" t="s">
        <v>63</v>
      </c>
      <c r="G8151">
        <v>-301.74939999999998</v>
      </c>
      <c r="H8151" s="1">
        <v>-7.0091959999999996E-6</v>
      </c>
      <c r="I8151">
        <v>-53.283180000000002</v>
      </c>
      <c r="J8151">
        <v>-301.67579999999998</v>
      </c>
      <c r="K8151">
        <v>1.120994</v>
      </c>
      <c r="L8151">
        <v>-33.134399999999999</v>
      </c>
      <c r="M8151">
        <v>4.1812619999999998E-3</v>
      </c>
      <c r="N8151">
        <v>-1.344388E-2</v>
      </c>
      <c r="O8151">
        <v>-0.99990109999999999</v>
      </c>
      <c r="P8151">
        <v>4.4688329999999998E-2</v>
      </c>
      <c r="Q8151">
        <v>-2.3754580000000001E-2</v>
      </c>
      <c r="R8151">
        <v>-0.99871860000000001</v>
      </c>
      <c r="S8151">
        <v>-1.083374E-2</v>
      </c>
      <c r="T8151">
        <v>-0.165349</v>
      </c>
      <c r="U8151">
        <v>-3.000305</v>
      </c>
      <c r="V8151">
        <v>-4.0521080000000001E-2</v>
      </c>
      <c r="W8151">
        <v>-1.0286089999999999E-2</v>
      </c>
      <c r="X8151">
        <v>0.99912570000000001</v>
      </c>
      <c r="Y8151">
        <v>7.7857229999999996E-3</v>
      </c>
      <c r="Z8151">
        <v>4.1596920000000003E-2</v>
      </c>
      <c r="AA8151">
        <v>0.99910410000000005</v>
      </c>
      <c r="AB8151">
        <v>20</v>
      </c>
      <c r="AC8151">
        <v>-7.3599999999999E-2</v>
      </c>
      <c r="AD8151">
        <v>-1.1210010091959901</v>
      </c>
      <c r="AE8151">
        <v>-20.148779999999999</v>
      </c>
      <c r="AF8151">
        <v>0.15736717560142</v>
      </c>
      <c r="AG8151">
        <v>-1.1210010091959901</v>
      </c>
      <c r="AH8151">
        <v>20.086122640873299</v>
      </c>
      <c r="AI8151">
        <v>93.194250194260505</v>
      </c>
      <c r="AJ8151">
        <v>89.551118417283902</v>
      </c>
      <c r="AK8151">
        <v>20.117995189252301</v>
      </c>
      <c r="AL8151">
        <v>90.589359959557001</v>
      </c>
      <c r="AM8151">
        <v>92.322445705451997</v>
      </c>
      <c r="AN8151">
        <v>0.999999962986171</v>
      </c>
    </row>
    <row r="8152" spans="1:40" x14ac:dyDescent="0.25">
      <c r="A8152" t="str">
        <f>"20190303154005350"</f>
        <v>20190303154005350</v>
      </c>
      <c r="B8152" t="str">
        <f>"1551598805346298"</f>
        <v>1551598805346298</v>
      </c>
      <c r="C8152" t="s">
        <v>40</v>
      </c>
      <c r="D8152">
        <v>4.3865189999999998</v>
      </c>
      <c r="E8152">
        <v>0.42017769999999999</v>
      </c>
      <c r="F8152" t="s">
        <v>63</v>
      </c>
      <c r="G8152">
        <v>-301.7353</v>
      </c>
      <c r="H8152" s="1">
        <v>-7.3050910000000001E-6</v>
      </c>
      <c r="I8152">
        <v>-54.011670000000002</v>
      </c>
      <c r="J8152">
        <v>-301.67579999999998</v>
      </c>
      <c r="K8152">
        <v>1.12103</v>
      </c>
      <c r="L8152">
        <v>-33.335419999999999</v>
      </c>
      <c r="M8152">
        <v>3.5199939999999998E-3</v>
      </c>
      <c r="N8152">
        <v>-1.3448399999999999E-2</v>
      </c>
      <c r="O8152">
        <v>-0.9999036</v>
      </c>
      <c r="P8152">
        <v>4.4866580000000003E-2</v>
      </c>
      <c r="Q8152">
        <v>-2.3671709999999999E-2</v>
      </c>
      <c r="R8152">
        <v>-0.99871270000000001</v>
      </c>
      <c r="S8152">
        <v>-8.5449219999999999E-3</v>
      </c>
      <c r="T8152">
        <v>-0.1611059</v>
      </c>
      <c r="U8152">
        <v>-3.000397</v>
      </c>
      <c r="V8152">
        <v>-4.1359600000000003E-2</v>
      </c>
      <c r="W8152">
        <v>-1.020124E-2</v>
      </c>
      <c r="X8152">
        <v>0.99909219999999999</v>
      </c>
      <c r="Y8152">
        <v>6.3630249999999996E-3</v>
      </c>
      <c r="Z8152">
        <v>4.0182500000000003E-2</v>
      </c>
      <c r="AA8152">
        <v>0.99917210000000001</v>
      </c>
      <c r="AB8152">
        <v>20</v>
      </c>
      <c r="AC8152">
        <v>-5.9500000000014097E-2</v>
      </c>
      <c r="AD8152">
        <v>-1.1210373050910001</v>
      </c>
      <c r="AE8152">
        <v>-20.67625</v>
      </c>
      <c r="AF8152">
        <v>0.13189873917327899</v>
      </c>
      <c r="AG8152">
        <v>-1.1210373050910001</v>
      </c>
      <c r="AH8152">
        <v>20.615310994503002</v>
      </c>
      <c r="AI8152">
        <v>93.112550484469196</v>
      </c>
      <c r="AJ8152">
        <v>89.633421103269995</v>
      </c>
      <c r="AK8152">
        <v>20.6461901889156</v>
      </c>
      <c r="AL8152">
        <v>90.584498163259497</v>
      </c>
      <c r="AM8152">
        <v>92.370530189835705</v>
      </c>
      <c r="AN8152">
        <v>0.999999952955267</v>
      </c>
    </row>
    <row r="8153" spans="1:40" x14ac:dyDescent="0.25">
      <c r="A8153" t="str">
        <f>"20190303154005375"</f>
        <v>20190303154005375</v>
      </c>
      <c r="B8153" t="str">
        <f>"1551598805366794"</f>
        <v>1551598805366794</v>
      </c>
      <c r="C8153" t="s">
        <v>40</v>
      </c>
      <c r="D8153">
        <v>4.3698180000000004</v>
      </c>
      <c r="E8153">
        <v>0.41052699999999998</v>
      </c>
      <c r="F8153" t="s">
        <v>63</v>
      </c>
      <c r="G8153">
        <v>-296.80180000000001</v>
      </c>
      <c r="H8153" s="1">
        <v>-8.2012580000000007E-6</v>
      </c>
      <c r="I8153">
        <v>-52.103639999999999</v>
      </c>
      <c r="J8153">
        <v>-301.67579999999998</v>
      </c>
      <c r="K8153">
        <v>1.1210739999999999</v>
      </c>
      <c r="L8153">
        <v>-33.554630000000003</v>
      </c>
      <c r="M8153">
        <v>2.8698040000000001E-3</v>
      </c>
      <c r="N8153">
        <v>-1.345205E-2</v>
      </c>
      <c r="O8153">
        <v>-0.99990540000000006</v>
      </c>
      <c r="P8153">
        <v>4.4917400000000003E-2</v>
      </c>
      <c r="Q8153">
        <v>-2.4387590000000001E-2</v>
      </c>
      <c r="R8153">
        <v>-0.99869319999999895</v>
      </c>
      <c r="S8153">
        <v>0.77001949999999997</v>
      </c>
      <c r="T8153">
        <v>-0.1771066</v>
      </c>
      <c r="U8153">
        <v>-2.9650880000000002</v>
      </c>
      <c r="V8153">
        <v>-4.2059109999999997E-2</v>
      </c>
      <c r="W8153">
        <v>-1.0917670000000001E-2</v>
      </c>
      <c r="X8153">
        <v>0.99905540000000004</v>
      </c>
      <c r="Y8153">
        <v>-0.24821480000000001</v>
      </c>
      <c r="Z8153">
        <v>4.4307850000000003E-2</v>
      </c>
      <c r="AA8153">
        <v>0.96769119999999997</v>
      </c>
      <c r="AB8153">
        <v>20</v>
      </c>
      <c r="AC8153">
        <v>4.8739999999999597</v>
      </c>
      <c r="AD8153">
        <v>-1.121082201258</v>
      </c>
      <c r="AE8153">
        <v>-18.549009999999999</v>
      </c>
      <c r="AF8153">
        <v>-4.8043269782110496</v>
      </c>
      <c r="AG8153">
        <v>-1.121082201258</v>
      </c>
      <c r="AH8153">
        <v>18.499709854864602</v>
      </c>
      <c r="AI8153">
        <v>93.356800864512493</v>
      </c>
      <c r="AJ8153">
        <v>104.557976357294</v>
      </c>
      <c r="AK8153">
        <v>19.146217582847001</v>
      </c>
      <c r="AL8153">
        <v>90.625548885517503</v>
      </c>
      <c r="AM8153">
        <v>92.410664471212897</v>
      </c>
      <c r="AN8153">
        <v>0.99999992826068795</v>
      </c>
    </row>
    <row r="8154" spans="1:40" x14ac:dyDescent="0.25">
      <c r="A8154" t="str">
        <f>"20190303154005395"</f>
        <v>20190303154005395</v>
      </c>
      <c r="B8154" t="str">
        <f>"1551598805386315"</f>
        <v>1551598805386315</v>
      </c>
      <c r="C8154" t="s">
        <v>40</v>
      </c>
      <c r="D8154">
        <v>4.3982869999999998</v>
      </c>
      <c r="E8154">
        <v>0.40643780000000002</v>
      </c>
      <c r="F8154" t="s">
        <v>63</v>
      </c>
      <c r="G8154">
        <v>-296.48939999999999</v>
      </c>
      <c r="H8154" s="1">
        <v>-8.3579089999999997E-6</v>
      </c>
      <c r="I8154">
        <v>-51.685519999999997</v>
      </c>
      <c r="J8154">
        <v>-301.67590000000001</v>
      </c>
      <c r="K8154">
        <v>1.121102</v>
      </c>
      <c r="L8154">
        <v>-33.735379999999999</v>
      </c>
      <c r="M8154">
        <v>2.3812550000000001E-3</v>
      </c>
      <c r="N8154">
        <v>-1.3441760000000001E-2</v>
      </c>
      <c r="O8154">
        <v>-0.99990699999999999</v>
      </c>
      <c r="P8154">
        <v>4.545921E-2</v>
      </c>
      <c r="Q8154">
        <v>-2.4397950000000002E-2</v>
      </c>
      <c r="R8154">
        <v>-0.99866849999999996</v>
      </c>
      <c r="S8154">
        <v>0.8471069</v>
      </c>
      <c r="T8154">
        <v>-0.1831093</v>
      </c>
      <c r="U8154">
        <v>-2.9613649999999998</v>
      </c>
      <c r="V8154">
        <v>-4.3088080000000001E-2</v>
      </c>
      <c r="W8154">
        <v>-1.094184E-2</v>
      </c>
      <c r="X8154">
        <v>0.99901130000000005</v>
      </c>
      <c r="Y8154">
        <v>-0.27231050000000001</v>
      </c>
      <c r="Z8154">
        <v>4.5944760000000001E-2</v>
      </c>
      <c r="AA8154">
        <v>0.96111190000000002</v>
      </c>
      <c r="AB8154">
        <v>20</v>
      </c>
      <c r="AC8154">
        <v>5.1865000000000201</v>
      </c>
      <c r="AD8154">
        <v>-1.121110357909</v>
      </c>
      <c r="AE8154">
        <v>-17.950140000000001</v>
      </c>
      <c r="AF8154">
        <v>-5.1252850521773698</v>
      </c>
      <c r="AG8154">
        <v>-1.121110357909</v>
      </c>
      <c r="AH8154">
        <v>17.898002546562701</v>
      </c>
      <c r="AI8154">
        <v>93.446102367038705</v>
      </c>
      <c r="AJ8154">
        <v>105.979633152224</v>
      </c>
      <c r="AK8154">
        <v>18.651110703050598</v>
      </c>
      <c r="AL8154">
        <v>90.626933798708393</v>
      </c>
      <c r="AM8154">
        <v>92.469677760358806</v>
      </c>
      <c r="AN8154">
        <v>0.99999994201417897</v>
      </c>
    </row>
    <row r="8155" spans="1:40" x14ac:dyDescent="0.25">
      <c r="A8155" t="str">
        <f>"20190303154005416"</f>
        <v>20190303154005416</v>
      </c>
      <c r="B8155" t="str">
        <f>"1551598805406811"</f>
        <v>1551598805406811</v>
      </c>
      <c r="C8155" t="s">
        <v>40</v>
      </c>
      <c r="D8155">
        <v>4.3932359999999999</v>
      </c>
      <c r="E8155">
        <v>0.40432289999999999</v>
      </c>
      <c r="F8155" t="s">
        <v>63</v>
      </c>
      <c r="G8155">
        <v>-296.48430000000002</v>
      </c>
      <c r="H8155" s="1">
        <v>-8.41735E-6</v>
      </c>
      <c r="I8155">
        <v>-51.173119999999997</v>
      </c>
      <c r="J8155">
        <v>-301.67610000000002</v>
      </c>
      <c r="K8155">
        <v>1.1211139999999999</v>
      </c>
      <c r="L8155">
        <v>-33.9238</v>
      </c>
      <c r="M8155">
        <v>1.931442E-3</v>
      </c>
      <c r="N8155">
        <v>-1.336583E-2</v>
      </c>
      <c r="O8155">
        <v>-0.9999091</v>
      </c>
      <c r="P8155">
        <v>4.5465730000000003E-2</v>
      </c>
      <c r="Q8155">
        <v>-2.4423219999999999E-2</v>
      </c>
      <c r="R8155">
        <v>-0.99866759999999999</v>
      </c>
      <c r="S8155">
        <v>0.88104249999999995</v>
      </c>
      <c r="T8155">
        <v>-0.19025729999999999</v>
      </c>
      <c r="U8155">
        <v>-2.9592589999999999</v>
      </c>
      <c r="V8155">
        <v>-4.3542949999999997E-2</v>
      </c>
      <c r="W8155">
        <v>-1.104689E-2</v>
      </c>
      <c r="X8155">
        <v>0.9989905</v>
      </c>
      <c r="Y8155">
        <v>-0.283024</v>
      </c>
      <c r="Z8155">
        <v>4.8178159999999998E-2</v>
      </c>
      <c r="AA8155">
        <v>0.95790200000000003</v>
      </c>
      <c r="AB8155">
        <v>20</v>
      </c>
      <c r="AC8155">
        <v>5.1917999999999997</v>
      </c>
      <c r="AD8155">
        <v>-1.1211224173499901</v>
      </c>
      <c r="AE8155">
        <v>-17.249320000000001</v>
      </c>
      <c r="AF8155">
        <v>-5.1385672265287399</v>
      </c>
      <c r="AG8155">
        <v>-1.1211224173499901</v>
      </c>
      <c r="AH8155">
        <v>17.1927209712576</v>
      </c>
      <c r="AI8155">
        <v>93.575092502592298</v>
      </c>
      <c r="AJ8155">
        <v>106.64037412361201</v>
      </c>
      <c r="AK8155">
        <v>17.979194726454299</v>
      </c>
      <c r="AL8155">
        <v>90.632953034707896</v>
      </c>
      <c r="AM8155">
        <v>92.495768629980006</v>
      </c>
      <c r="AN8155">
        <v>1.00000002068181</v>
      </c>
    </row>
    <row r="8156" spans="1:40" x14ac:dyDescent="0.25">
      <c r="A8156" t="str">
        <f>"20190303154005439"</f>
        <v>20190303154005439</v>
      </c>
      <c r="B8156" t="str">
        <f>"1551598805426331"</f>
        <v>1551598805426331</v>
      </c>
      <c r="C8156" t="s">
        <v>40</v>
      </c>
      <c r="D8156">
        <v>4.3421900000000004</v>
      </c>
      <c r="E8156">
        <v>0.40303220000000001</v>
      </c>
      <c r="F8156" t="s">
        <v>63</v>
      </c>
      <c r="G8156">
        <v>-296.4717</v>
      </c>
      <c r="H8156" s="1">
        <v>-8.4330119999999999E-6</v>
      </c>
      <c r="I8156">
        <v>-51.073169999999998</v>
      </c>
      <c r="J8156">
        <v>-301.67619999999999</v>
      </c>
      <c r="K8156">
        <v>1.1211150000000001</v>
      </c>
      <c r="L8156">
        <v>-34.119349999999997</v>
      </c>
      <c r="M8156">
        <v>1.54171E-3</v>
      </c>
      <c r="N8156">
        <v>-1.3198639999999999E-2</v>
      </c>
      <c r="O8156">
        <v>-0.99991189999999996</v>
      </c>
      <c r="P8156">
        <v>4.5321470000000003E-2</v>
      </c>
      <c r="Q8156">
        <v>-2.5605139999999998E-2</v>
      </c>
      <c r="R8156">
        <v>-0.99864459999999999</v>
      </c>
      <c r="S8156">
        <v>0.89779659999999994</v>
      </c>
      <c r="T8156">
        <v>-0.19340280000000001</v>
      </c>
      <c r="U8156">
        <v>-2.958405</v>
      </c>
      <c r="V8156">
        <v>-4.3787569999999998E-2</v>
      </c>
      <c r="W8156">
        <v>-1.2400639999999999E-2</v>
      </c>
      <c r="X8156">
        <v>0.99896390000000002</v>
      </c>
      <c r="Y8156">
        <v>-0.28842610000000002</v>
      </c>
      <c r="Z8156">
        <v>4.9274409999999998E-2</v>
      </c>
      <c r="AA8156">
        <v>0.95623340000000001</v>
      </c>
      <c r="AB8156">
        <v>20</v>
      </c>
      <c r="AC8156">
        <v>5.2044999999999897</v>
      </c>
      <c r="AD8156">
        <v>-1.1211234330119999</v>
      </c>
      <c r="AE8156">
        <v>-16.95382</v>
      </c>
      <c r="AF8156">
        <v>-5.1577416842139803</v>
      </c>
      <c r="AG8156">
        <v>-1.1211234330119999</v>
      </c>
      <c r="AH8156">
        <v>16.894309316941499</v>
      </c>
      <c r="AI8156">
        <v>93.631639334054498</v>
      </c>
      <c r="AJ8156">
        <v>106.97714825509399</v>
      </c>
      <c r="AK8156">
        <v>17.699630061942599</v>
      </c>
      <c r="AL8156">
        <v>90.710522546023398</v>
      </c>
      <c r="AM8156">
        <v>92.5098384772743</v>
      </c>
      <c r="AN8156">
        <v>1.0000000003310601</v>
      </c>
    </row>
    <row r="8157" spans="1:40" x14ac:dyDescent="0.25">
      <c r="A8157" t="str">
        <f>"20190303154005461"</f>
        <v>20190303154005461</v>
      </c>
      <c r="B8157" t="str">
        <f>"1551598805456586"</f>
        <v>1551598805456586</v>
      </c>
      <c r="C8157" t="s">
        <v>40</v>
      </c>
      <c r="D8157">
        <v>4.3466620000000002</v>
      </c>
      <c r="E8157">
        <v>0.40097850000000002</v>
      </c>
      <c r="F8157" t="s">
        <v>63</v>
      </c>
      <c r="G8157">
        <v>-296.45650000000001</v>
      </c>
      <c r="H8157" s="1">
        <v>-8.4323909999999995E-6</v>
      </c>
      <c r="I8157">
        <v>-51.126040000000003</v>
      </c>
      <c r="J8157">
        <v>-301.6764</v>
      </c>
      <c r="K8157">
        <v>1.1211180000000001</v>
      </c>
      <c r="L8157">
        <v>-34.319670000000002</v>
      </c>
      <c r="M8157">
        <v>1.226104E-3</v>
      </c>
      <c r="N8157">
        <v>-1.2996590000000001E-2</v>
      </c>
      <c r="O8157">
        <v>-0.99991490000000005</v>
      </c>
      <c r="P8157">
        <v>4.5828439999999998E-2</v>
      </c>
      <c r="Q8157">
        <v>-2.6087880000000001E-2</v>
      </c>
      <c r="R8157">
        <v>-0.99860890000000002</v>
      </c>
      <c r="S8157">
        <v>0.90783689999999995</v>
      </c>
      <c r="T8157">
        <v>-0.19499140000000001</v>
      </c>
      <c r="U8157">
        <v>-2.9578859999999998</v>
      </c>
      <c r="V8157">
        <v>-4.4608380000000003E-2</v>
      </c>
      <c r="W8157">
        <v>-1.309131E-2</v>
      </c>
      <c r="X8157">
        <v>0.9989188</v>
      </c>
      <c r="Y8157">
        <v>-0.29173270000000001</v>
      </c>
      <c r="Z8157">
        <v>4.9934770000000003E-2</v>
      </c>
      <c r="AA8157">
        <v>0.95519549999999998</v>
      </c>
      <c r="AB8157">
        <v>20</v>
      </c>
      <c r="AC8157">
        <v>5.2198999999999902</v>
      </c>
      <c r="AD8157">
        <v>-1.121126432391</v>
      </c>
      <c r="AE8157">
        <v>-16.806370000000001</v>
      </c>
      <c r="AF8157">
        <v>-5.1782719427411497</v>
      </c>
      <c r="AG8157">
        <v>-1.121126432391</v>
      </c>
      <c r="AH8157">
        <v>16.744799211177199</v>
      </c>
      <c r="AI8157">
        <v>93.659935055352406</v>
      </c>
      <c r="AJ8157">
        <v>107.18404489911801</v>
      </c>
      <c r="AK8157">
        <v>17.563021534264202</v>
      </c>
      <c r="AL8157">
        <v>90.750098215830505</v>
      </c>
      <c r="AM8157">
        <v>92.556939509727002</v>
      </c>
      <c r="AN8157">
        <v>1.00000002947859</v>
      </c>
    </row>
    <row r="8158" spans="1:40" x14ac:dyDescent="0.25">
      <c r="A8158" t="str">
        <f>"20190303154005483"</f>
        <v>20190303154005483</v>
      </c>
      <c r="B8158" t="str">
        <f>"1551598805476107"</f>
        <v>1551598805476107</v>
      </c>
      <c r="C8158" t="s">
        <v>40</v>
      </c>
      <c r="D8158">
        <v>4.3481269999999999</v>
      </c>
      <c r="E8158">
        <v>0.4000069</v>
      </c>
      <c r="F8158" t="s">
        <v>63</v>
      </c>
      <c r="G8158">
        <v>-296.43119999999999</v>
      </c>
      <c r="H8158" s="1">
        <v>-8.4470389999999905E-6</v>
      </c>
      <c r="I8158">
        <v>-51.07497</v>
      </c>
      <c r="J8158">
        <v>-301.6764</v>
      </c>
      <c r="K8158">
        <v>1.121146</v>
      </c>
      <c r="L8158">
        <v>-34.518219999999999</v>
      </c>
      <c r="M8158">
        <v>1.004804E-3</v>
      </c>
      <c r="N8158">
        <v>-1.282032E-2</v>
      </c>
      <c r="O8158">
        <v>-0.99991750000000001</v>
      </c>
      <c r="P8158">
        <v>4.6974349999999998E-2</v>
      </c>
      <c r="Q8158">
        <v>-2.76449E-2</v>
      </c>
      <c r="R8158">
        <v>-0.99851389999999995</v>
      </c>
      <c r="S8158">
        <v>0.9255371</v>
      </c>
      <c r="T8158">
        <v>-0.19782749999999999</v>
      </c>
      <c r="U8158">
        <v>-2.9565429999999999</v>
      </c>
      <c r="V8158">
        <v>-4.597379E-2</v>
      </c>
      <c r="W8158">
        <v>-1.483222E-2</v>
      </c>
      <c r="X8158">
        <v>0.99883250000000001</v>
      </c>
      <c r="Y8158">
        <v>-0.29726089999999999</v>
      </c>
      <c r="Z8158">
        <v>5.0939230000000002E-2</v>
      </c>
      <c r="AA8158">
        <v>0.95343650000000002</v>
      </c>
      <c r="AB8158">
        <v>20</v>
      </c>
      <c r="AC8158">
        <v>5.2452000000000103</v>
      </c>
      <c r="AD8158">
        <v>-1.121154447039</v>
      </c>
      <c r="AE8158">
        <v>-16.556750000000001</v>
      </c>
      <c r="AF8158">
        <v>-5.2068616472288802</v>
      </c>
      <c r="AG8158">
        <v>-1.121154447039</v>
      </c>
      <c r="AH8158">
        <v>16.493281611171302</v>
      </c>
      <c r="AI8158">
        <v>93.708888843793204</v>
      </c>
      <c r="AJ8158">
        <v>107.52069387304</v>
      </c>
      <c r="AK8158">
        <v>17.331957010473399</v>
      </c>
      <c r="AL8158">
        <v>90.849854791799103</v>
      </c>
      <c r="AM8158">
        <v>92.635323090089301</v>
      </c>
      <c r="AN8158">
        <v>0.99999997358667003</v>
      </c>
    </row>
    <row r="8159" spans="1:40" x14ac:dyDescent="0.25">
      <c r="A8159" t="str">
        <f>"20190303154005505"</f>
        <v>20190303154005505</v>
      </c>
      <c r="B8159" t="str">
        <f>"1551598805496603"</f>
        <v>1551598805496603</v>
      </c>
      <c r="C8159" t="s">
        <v>40</v>
      </c>
      <c r="D8159">
        <v>4.3636730000000004</v>
      </c>
      <c r="E8159">
        <v>0.39908729999999998</v>
      </c>
      <c r="F8159" t="s">
        <v>63</v>
      </c>
      <c r="G8159">
        <v>-296.4314</v>
      </c>
      <c r="H8159" s="1">
        <v>-8.4479840000000007E-6</v>
      </c>
      <c r="I8159">
        <v>-51.065840000000001</v>
      </c>
      <c r="J8159">
        <v>-301.6764</v>
      </c>
      <c r="K8159">
        <v>1.1211949999999999</v>
      </c>
      <c r="L8159">
        <v>-34.713200000000001</v>
      </c>
      <c r="M8159">
        <v>8.8477409999999999E-4</v>
      </c>
      <c r="N8159">
        <v>-1.2669700000000001E-2</v>
      </c>
      <c r="O8159">
        <v>-0.99991940000000001</v>
      </c>
      <c r="P8159">
        <v>4.8877219999999999E-2</v>
      </c>
      <c r="Q8159">
        <v>-2.707068E-2</v>
      </c>
      <c r="R8159">
        <v>-0.99843780000000004</v>
      </c>
      <c r="S8159">
        <v>0.93658450000000004</v>
      </c>
      <c r="T8159">
        <v>-0.2002015</v>
      </c>
      <c r="U8159">
        <v>-2.9548649999999999</v>
      </c>
      <c r="V8159">
        <v>-4.7993889999999997E-2</v>
      </c>
      <c r="W8159">
        <v>-1.4416709999999999E-2</v>
      </c>
      <c r="X8159">
        <v>0.99874359999999995</v>
      </c>
      <c r="Y8159">
        <v>-0.30075580000000002</v>
      </c>
      <c r="Z8159">
        <v>5.1815029999999998E-2</v>
      </c>
      <c r="AA8159">
        <v>0.95229260000000004</v>
      </c>
      <c r="AB8159">
        <v>20</v>
      </c>
      <c r="AC8159">
        <v>5.2450000000000001</v>
      </c>
      <c r="AD8159">
        <v>-1.1212034479840001</v>
      </c>
      <c r="AE8159">
        <v>-16.352640000000001</v>
      </c>
      <c r="AF8159">
        <v>-5.2083277988666197</v>
      </c>
      <c r="AG8159">
        <v>-1.1212034479840001</v>
      </c>
      <c r="AH8159">
        <v>16.287847355915499</v>
      </c>
      <c r="AI8159">
        <v>93.7513005422135</v>
      </c>
      <c r="AJ8159">
        <v>107.732598321746</v>
      </c>
      <c r="AK8159">
        <v>17.137028538279999</v>
      </c>
      <c r="AL8159">
        <v>90.826045239711107</v>
      </c>
      <c r="AM8159">
        <v>92.751190202103601</v>
      </c>
      <c r="AN8159">
        <v>1.0000000167727501</v>
      </c>
    </row>
    <row r="8160" spans="1:40" x14ac:dyDescent="0.25">
      <c r="A8160" t="str">
        <f>"20190303154005527"</f>
        <v>20190303154005527</v>
      </c>
      <c r="B8160" t="str">
        <f>"1551598805516122"</f>
        <v>1551598805516122</v>
      </c>
      <c r="C8160" t="s">
        <v>40</v>
      </c>
      <c r="D8160">
        <v>4.3379750000000001</v>
      </c>
      <c r="E8160">
        <v>0.39830179999999998</v>
      </c>
      <c r="F8160" t="s">
        <v>63</v>
      </c>
      <c r="G8160">
        <v>-296.24400000000003</v>
      </c>
      <c r="H8160" s="1">
        <v>-8.4536109999999999E-6</v>
      </c>
      <c r="I8160">
        <v>-51.600569999999998</v>
      </c>
      <c r="J8160">
        <v>-301.67619999999999</v>
      </c>
      <c r="K8160">
        <v>1.1212519999999999</v>
      </c>
      <c r="L8160">
        <v>-34.909880000000001</v>
      </c>
      <c r="M8160">
        <v>8.6382050000000001E-4</v>
      </c>
      <c r="N8160">
        <v>-1.252029E-2</v>
      </c>
      <c r="O8160">
        <v>-0.99992130000000001</v>
      </c>
      <c r="P8160">
        <v>5.3008409999999999E-2</v>
      </c>
      <c r="Q8160">
        <v>-2.508906E-2</v>
      </c>
      <c r="R8160">
        <v>-0.99827909999999997</v>
      </c>
      <c r="S8160">
        <v>0.94989009999999996</v>
      </c>
      <c r="T8160">
        <v>-0.19605059999999999</v>
      </c>
      <c r="U8160">
        <v>-2.9528810000000001</v>
      </c>
      <c r="V8160">
        <v>-5.214469E-2</v>
      </c>
      <c r="W8160">
        <v>-1.259381E-2</v>
      </c>
      <c r="X8160">
        <v>0.99856009999999995</v>
      </c>
      <c r="Y8160">
        <v>-0.3048727</v>
      </c>
      <c r="Z8160">
        <v>5.0588269999999998E-2</v>
      </c>
      <c r="AA8160">
        <v>0.95104860000000002</v>
      </c>
      <c r="AB8160">
        <v>20</v>
      </c>
      <c r="AC8160">
        <v>5.4321999999999599</v>
      </c>
      <c r="AD8160">
        <v>-1.121260453611</v>
      </c>
      <c r="AE8160">
        <v>-16.69069</v>
      </c>
      <c r="AF8160">
        <v>-5.3957604183745396</v>
      </c>
      <c r="AG8160">
        <v>-1.121260453611</v>
      </c>
      <c r="AH8160">
        <v>16.627524076052001</v>
      </c>
      <c r="AI8160">
        <v>93.669998704806702</v>
      </c>
      <c r="AJ8160">
        <v>107.978648476714</v>
      </c>
      <c r="AK8160">
        <v>17.517020648415599</v>
      </c>
      <c r="AL8160">
        <v>90.721591255858897</v>
      </c>
      <c r="AM8160">
        <v>92.989263627394706</v>
      </c>
      <c r="AN8160">
        <v>0.99999997302875998</v>
      </c>
    </row>
    <row r="8161" spans="1:40" x14ac:dyDescent="0.25">
      <c r="A8161" t="str">
        <f>"20190303154005551"</f>
        <v>20190303154005551</v>
      </c>
      <c r="B8161" t="str">
        <f>"1551598805546379"</f>
        <v>1551598805546379</v>
      </c>
      <c r="C8161" t="s">
        <v>40</v>
      </c>
      <c r="D8161">
        <v>4.3292260000000002</v>
      </c>
      <c r="E8161">
        <v>0.39748460000000002</v>
      </c>
      <c r="F8161" t="s">
        <v>63</v>
      </c>
      <c r="G8161">
        <v>-295.80700000000002</v>
      </c>
      <c r="H8161" s="1">
        <v>-8.4751919999999995E-6</v>
      </c>
      <c r="I8161">
        <v>-52.772379999999998</v>
      </c>
      <c r="J8161">
        <v>-301.67599999999999</v>
      </c>
      <c r="K8161">
        <v>1.121316</v>
      </c>
      <c r="L8161">
        <v>-35.109589999999997</v>
      </c>
      <c r="M8161">
        <v>9.5513800000000002E-4</v>
      </c>
      <c r="N8161">
        <v>-1.238068E-2</v>
      </c>
      <c r="O8161">
        <v>-0.99992300000000001</v>
      </c>
      <c r="P8161">
        <v>6.2433379999999997E-2</v>
      </c>
      <c r="Q8161">
        <v>-2.161273E-2</v>
      </c>
      <c r="R8161">
        <v>-0.99781529999999996</v>
      </c>
      <c r="S8161">
        <v>0.96899409999999997</v>
      </c>
      <c r="T8161">
        <v>-0.18511820000000001</v>
      </c>
      <c r="U8161">
        <v>-2.9490660000000002</v>
      </c>
      <c r="V8161">
        <v>-6.147801E-2</v>
      </c>
      <c r="W8161">
        <v>-9.2719699999999992E-3</v>
      </c>
      <c r="X8161">
        <v>0.99806539999999999</v>
      </c>
      <c r="Y8161">
        <v>-0.31076749999999997</v>
      </c>
      <c r="Z8161">
        <v>4.7177820000000002E-2</v>
      </c>
      <c r="AA8161">
        <v>0.9493144</v>
      </c>
      <c r="AB8161">
        <v>20</v>
      </c>
      <c r="AC8161">
        <v>5.8689999999999696</v>
      </c>
      <c r="AD8161">
        <v>-1.121324475192</v>
      </c>
      <c r="AE8161">
        <v>-17.662790000000001</v>
      </c>
      <c r="AF8161">
        <v>-5.8309614864050303</v>
      </c>
      <c r="AG8161">
        <v>-1.121324475192</v>
      </c>
      <c r="AH8161">
        <v>17.6044905606852</v>
      </c>
      <c r="AI8161">
        <v>93.460173928466105</v>
      </c>
      <c r="AJ8161">
        <v>108.325909473118</v>
      </c>
      <c r="AK8161">
        <v>18.5789011606138</v>
      </c>
      <c r="AL8161">
        <v>90.531252345509003</v>
      </c>
      <c r="AM8161">
        <v>93.524804758100004</v>
      </c>
      <c r="AN8161">
        <v>1.0000000289091999</v>
      </c>
    </row>
    <row r="8162" spans="1:40" x14ac:dyDescent="0.25">
      <c r="A8162" t="str">
        <f>"20190303154005573"</f>
        <v>20190303154005573</v>
      </c>
      <c r="B8162" t="str">
        <f>"1551598805566876"</f>
        <v>1551598805566876</v>
      </c>
      <c r="C8162" t="s">
        <v>40</v>
      </c>
      <c r="D8162">
        <v>4.2937659999999997</v>
      </c>
      <c r="E8162">
        <v>0.3972735</v>
      </c>
      <c r="F8162" t="s">
        <v>63</v>
      </c>
      <c r="G8162">
        <v>-294.98630000000003</v>
      </c>
      <c r="H8162" s="1">
        <v>-8.5468999999999994E-6</v>
      </c>
      <c r="I8162">
        <v>-54.696080000000002</v>
      </c>
      <c r="J8162">
        <v>-301.67570000000001</v>
      </c>
      <c r="K8162">
        <v>1.1213740000000001</v>
      </c>
      <c r="L8162">
        <v>-35.310789999999997</v>
      </c>
      <c r="M8162">
        <v>1.156642E-3</v>
      </c>
      <c r="N8162">
        <v>-1.2271270000000001E-2</v>
      </c>
      <c r="O8162">
        <v>-0.99992420000000004</v>
      </c>
      <c r="P8162">
        <v>7.6131619999999997E-2</v>
      </c>
      <c r="Q8162">
        <v>-2.0592510000000001E-2</v>
      </c>
      <c r="R8162">
        <v>-0.99688520000000003</v>
      </c>
      <c r="S8162">
        <v>1.004181</v>
      </c>
      <c r="T8162">
        <v>-0.1683201</v>
      </c>
      <c r="U8162">
        <v>-2.9400940000000002</v>
      </c>
      <c r="V8162">
        <v>-7.497521E-2</v>
      </c>
      <c r="W8162">
        <v>-8.3855130000000007E-3</v>
      </c>
      <c r="X8162">
        <v>0.99715010000000004</v>
      </c>
      <c r="Y8162">
        <v>-0.32170919999999997</v>
      </c>
      <c r="Z8162">
        <v>4.185374E-2</v>
      </c>
      <c r="AA8162">
        <v>0.945913</v>
      </c>
      <c r="AB8162">
        <v>20</v>
      </c>
      <c r="AC8162">
        <v>6.6893999999999698</v>
      </c>
      <c r="AD8162">
        <v>-1.1213825468999901</v>
      </c>
      <c r="AE8162">
        <v>-19.385290000000001</v>
      </c>
      <c r="AF8162">
        <v>-6.6470957358006597</v>
      </c>
      <c r="AG8162">
        <v>-1.1213825468999901</v>
      </c>
      <c r="AH8162">
        <v>19.335198400025099</v>
      </c>
      <c r="AI8162">
        <v>93.139321775449702</v>
      </c>
      <c r="AJ8162">
        <v>108.97205428523201</v>
      </c>
      <c r="AK8162">
        <v>20.476603177913201</v>
      </c>
      <c r="AL8162">
        <v>90.480460153812203</v>
      </c>
      <c r="AM8162">
        <v>94.299949568896395</v>
      </c>
      <c r="AN8162">
        <v>0.99999996043641204</v>
      </c>
    </row>
    <row r="8163" spans="1:40" x14ac:dyDescent="0.25">
      <c r="A8163" t="str">
        <f>"20190303154005596"</f>
        <v>20190303154005596</v>
      </c>
      <c r="B8163" t="str">
        <f>"1551598805586396"</f>
        <v>1551598805586396</v>
      </c>
      <c r="C8163" t="s">
        <v>40</v>
      </c>
      <c r="D8163">
        <v>4.353656</v>
      </c>
      <c r="E8163">
        <v>0.39712429999999999</v>
      </c>
      <c r="F8163" t="s">
        <v>63</v>
      </c>
      <c r="G8163">
        <v>-294.3836</v>
      </c>
      <c r="H8163" s="1">
        <v>-8.6570420000000002E-6</v>
      </c>
      <c r="I8163">
        <v>-55.696849999999998</v>
      </c>
      <c r="J8163">
        <v>-301.67509999999999</v>
      </c>
      <c r="K8163">
        <v>1.1214230000000001</v>
      </c>
      <c r="L8163">
        <v>-35.510860000000001</v>
      </c>
      <c r="M8163">
        <v>1.437921E-3</v>
      </c>
      <c r="N8163">
        <v>-1.2190970000000001E-2</v>
      </c>
      <c r="O8163">
        <v>-0.99992499999999995</v>
      </c>
      <c r="P8163">
        <v>9.3030459999999995E-2</v>
      </c>
      <c r="Q8163">
        <v>-2.178892E-2</v>
      </c>
      <c r="R8163">
        <v>-0.99542540000000002</v>
      </c>
      <c r="S8163">
        <v>1.0466610000000001</v>
      </c>
      <c r="T8163">
        <v>-0.16095789999999999</v>
      </c>
      <c r="U8163">
        <v>-2.9261170000000001</v>
      </c>
      <c r="V8163">
        <v>-9.1593740000000007E-2</v>
      </c>
      <c r="W8163">
        <v>-9.6969050000000005E-3</v>
      </c>
      <c r="X8163">
        <v>0.9957492</v>
      </c>
      <c r="Y8163">
        <v>-0.33505380000000001</v>
      </c>
      <c r="Z8163">
        <v>3.9562380000000001E-2</v>
      </c>
      <c r="AA8163">
        <v>0.94136799999999998</v>
      </c>
      <c r="AB8163">
        <v>20</v>
      </c>
      <c r="AC8163">
        <v>7.2914999999999797</v>
      </c>
      <c r="AD8163">
        <v>-1.121431657042</v>
      </c>
      <c r="AE8163">
        <v>-20.18599</v>
      </c>
      <c r="AF8163">
        <v>-7.2426909445540897</v>
      </c>
      <c r="AG8163">
        <v>-1.121431657042</v>
      </c>
      <c r="AH8163">
        <v>20.1414656229644</v>
      </c>
      <c r="AI8163">
        <v>92.999174207753597</v>
      </c>
      <c r="AJ8163">
        <v>109.778131249232</v>
      </c>
      <c r="AK8163">
        <v>21.433450924216501</v>
      </c>
      <c r="AL8163">
        <v>90.555600462568407</v>
      </c>
      <c r="AM8163">
        <v>95.255548443163605</v>
      </c>
      <c r="AN8163">
        <v>0.99999995623720195</v>
      </c>
    </row>
    <row r="8164" spans="1:40" x14ac:dyDescent="0.25">
      <c r="A8164" t="str">
        <f>"20190303154005617"</f>
        <v>20190303154005617</v>
      </c>
      <c r="B8164" t="str">
        <f>"1551598805606891"</f>
        <v>1551598805606891</v>
      </c>
      <c r="C8164" t="s">
        <v>40</v>
      </c>
      <c r="D8164">
        <v>4.3659699999999999</v>
      </c>
      <c r="E8164">
        <v>0.39699010000000001</v>
      </c>
      <c r="F8164" t="s">
        <v>63</v>
      </c>
      <c r="G8164">
        <v>-294.04640000000001</v>
      </c>
      <c r="H8164" s="1">
        <v>-8.7775080000000005E-6</v>
      </c>
      <c r="I8164">
        <v>-55.718470000000003</v>
      </c>
      <c r="J8164">
        <v>-301.67439999999999</v>
      </c>
      <c r="K8164">
        <v>1.1214789999999999</v>
      </c>
      <c r="L8164">
        <v>-35.697629999999997</v>
      </c>
      <c r="M8164">
        <v>1.7722700000000001E-3</v>
      </c>
      <c r="N8164">
        <v>-1.214553E-2</v>
      </c>
      <c r="O8164">
        <v>-0.99992460000000005</v>
      </c>
      <c r="P8164">
        <v>0.10870199999999999</v>
      </c>
      <c r="Q8164">
        <v>-2.2697209999999999E-2</v>
      </c>
      <c r="R8164">
        <v>-0.99381520000000001</v>
      </c>
      <c r="S8164">
        <v>1.0976870000000001</v>
      </c>
      <c r="T8164">
        <v>-0.1613618</v>
      </c>
      <c r="U8164">
        <v>-2.907654</v>
      </c>
      <c r="V8164">
        <v>-0.10693370000000001</v>
      </c>
      <c r="W8164">
        <v>-1.068962E-2</v>
      </c>
      <c r="X8164">
        <v>0.99420869999999995</v>
      </c>
      <c r="Y8164">
        <v>-0.35111679999999901</v>
      </c>
      <c r="Z8164">
        <v>3.973749E-2</v>
      </c>
      <c r="AA8164">
        <v>0.93548799999999999</v>
      </c>
      <c r="AB8164">
        <v>20</v>
      </c>
      <c r="AC8164">
        <v>7.6279999999999797</v>
      </c>
      <c r="AD8164">
        <v>-1.1214877775079899</v>
      </c>
      <c r="AE8164">
        <v>-20.02084</v>
      </c>
      <c r="AF8164">
        <v>-7.5717561413234504</v>
      </c>
      <c r="AG8164">
        <v>-1.1214877775079899</v>
      </c>
      <c r="AH8164">
        <v>19.979583545831801</v>
      </c>
      <c r="AI8164">
        <v>93.004631178231094</v>
      </c>
      <c r="AJ8164">
        <v>110.75543929931101</v>
      </c>
      <c r="AK8164">
        <v>21.395630034276699</v>
      </c>
      <c r="AL8164">
        <v>90.612481768341098</v>
      </c>
      <c r="AM8164">
        <v>96.1389387887818</v>
      </c>
      <c r="AN8164">
        <v>1.0000000116635599</v>
      </c>
    </row>
    <row r="8165" spans="1:40" x14ac:dyDescent="0.25">
      <c r="A8165" t="str">
        <f>"20190303154005640"</f>
        <v>20190303154005640</v>
      </c>
      <c r="B8165" t="str">
        <f>"1551598805636170"</f>
        <v>1551598805636170</v>
      </c>
      <c r="C8165" t="s">
        <v>40</v>
      </c>
      <c r="D8165">
        <v>4.3456359999999998</v>
      </c>
      <c r="E8165">
        <v>0.39746959999999998</v>
      </c>
      <c r="F8165" t="s">
        <v>63</v>
      </c>
      <c r="G8165">
        <v>-293.81650000000002</v>
      </c>
      <c r="H8165" s="1">
        <v>-8.8793259999999993E-6</v>
      </c>
      <c r="I8165">
        <v>-55.53604</v>
      </c>
      <c r="J8165">
        <v>-301.67360000000002</v>
      </c>
      <c r="K8165">
        <v>1.121545</v>
      </c>
      <c r="L8165">
        <v>-35.893459999999997</v>
      </c>
      <c r="M8165">
        <v>2.208345E-3</v>
      </c>
      <c r="N8165">
        <v>-1.214109E-2</v>
      </c>
      <c r="O8165">
        <v>-0.99992400000000004</v>
      </c>
      <c r="P8165">
        <v>0.1225475</v>
      </c>
      <c r="Q8165">
        <v>-2.2045080000000002E-2</v>
      </c>
      <c r="R8165">
        <v>-0.99221800000000004</v>
      </c>
      <c r="S8165">
        <v>1.1446229999999999</v>
      </c>
      <c r="T8165">
        <v>-0.16336020000000001</v>
      </c>
      <c r="U8165">
        <v>-2.8897400000000002</v>
      </c>
      <c r="V8165">
        <v>-0.1203486</v>
      </c>
      <c r="W8165">
        <v>-1.008445E-2</v>
      </c>
      <c r="X8165">
        <v>0.99268049999999997</v>
      </c>
      <c r="Y8165">
        <v>-0.36576890000000001</v>
      </c>
      <c r="Z8165">
        <v>4.0385440000000002E-2</v>
      </c>
      <c r="AA8165">
        <v>0.92982909999999996</v>
      </c>
      <c r="AB8165">
        <v>20</v>
      </c>
      <c r="AC8165">
        <v>7.8571</v>
      </c>
      <c r="AD8165">
        <v>-1.121553879326</v>
      </c>
      <c r="AE8165">
        <v>-19.642579999999999</v>
      </c>
      <c r="AF8165">
        <v>-7.7918011661959197</v>
      </c>
      <c r="AG8165">
        <v>-1.121553879326</v>
      </c>
      <c r="AH8165">
        <v>19.604785234631802</v>
      </c>
      <c r="AI8165">
        <v>93.043161163582695</v>
      </c>
      <c r="AJ8165">
        <v>111.67504221844401</v>
      </c>
      <c r="AK8165">
        <v>21.1262313869228</v>
      </c>
      <c r="AL8165">
        <v>90.577806201044595</v>
      </c>
      <c r="AM8165">
        <v>96.912574713529494</v>
      </c>
      <c r="AN8165">
        <v>1.0000000283670001</v>
      </c>
    </row>
    <row r="8166" spans="1:40" x14ac:dyDescent="0.25">
      <c r="A8166" t="str">
        <f>"20190303154005662"</f>
        <v>20190303154005662</v>
      </c>
      <c r="B8166" t="str">
        <f>"1551598805656667"</f>
        <v>1551598805656667</v>
      </c>
      <c r="C8166" t="s">
        <v>40</v>
      </c>
      <c r="D8166">
        <v>4.3665729999999998</v>
      </c>
      <c r="E8166">
        <v>0.397679</v>
      </c>
      <c r="F8166" t="s">
        <v>63</v>
      </c>
      <c r="G8166">
        <v>-293.49369999999999</v>
      </c>
      <c r="H8166" s="1">
        <v>-8.9704339999999994E-6</v>
      </c>
      <c r="I8166">
        <v>-55.79871</v>
      </c>
      <c r="J8166">
        <v>-301.67250000000001</v>
      </c>
      <c r="K8166">
        <v>1.1216299999999999</v>
      </c>
      <c r="L8166">
        <v>-36.092619999999997</v>
      </c>
      <c r="M8166">
        <v>2.755235E-3</v>
      </c>
      <c r="N8166">
        <v>-1.220216E-2</v>
      </c>
      <c r="O8166">
        <v>-0.99992170000000002</v>
      </c>
      <c r="P8166">
        <v>0.13390050000000001</v>
      </c>
      <c r="Q8166">
        <v>-2.0206849999999998E-2</v>
      </c>
      <c r="R8166">
        <v>-0.99078889999999997</v>
      </c>
      <c r="S8166">
        <v>1.1810609999999999</v>
      </c>
      <c r="T8166">
        <v>-0.16193759999999999</v>
      </c>
      <c r="U8166">
        <v>-2.8740540000000001</v>
      </c>
      <c r="V8166">
        <v>-0.1311628</v>
      </c>
      <c r="W8166">
        <v>-8.2285959999999995E-3</v>
      </c>
      <c r="X8166">
        <v>0.99132670000000001</v>
      </c>
      <c r="Y8166">
        <v>-0.37710189999999999</v>
      </c>
      <c r="Z8166">
        <v>3.9891160000000002E-2</v>
      </c>
      <c r="AA8166">
        <v>0.92531229999999998</v>
      </c>
      <c r="AB8166">
        <v>20</v>
      </c>
      <c r="AC8166">
        <v>8.1788000000000203</v>
      </c>
      <c r="AD8166">
        <v>-1.121638970434</v>
      </c>
      <c r="AE8166">
        <v>-19.70609</v>
      </c>
      <c r="AF8166">
        <v>-8.1020787294771299</v>
      </c>
      <c r="AG8166">
        <v>-1.121638970434</v>
      </c>
      <c r="AH8166">
        <v>19.674178944372802</v>
      </c>
      <c r="AI8166">
        <v>93.017591954551307</v>
      </c>
      <c r="AJ8166">
        <v>112.38249114963401</v>
      </c>
      <c r="AK8166">
        <v>21.3066907532315</v>
      </c>
      <c r="AL8166">
        <v>90.471469138954603</v>
      </c>
      <c r="AM8166">
        <v>97.537047829034805</v>
      </c>
      <c r="AN8166">
        <v>1.00000000801443</v>
      </c>
    </row>
    <row r="8167" spans="1:40" x14ac:dyDescent="0.25">
      <c r="A8167" t="str">
        <f>"20190303154005684"</f>
        <v>20190303154005684</v>
      </c>
      <c r="B8167" t="str">
        <f>"1551598805676187"</f>
        <v>1551598805676187</v>
      </c>
      <c r="C8167" t="s">
        <v>40</v>
      </c>
      <c r="D8167">
        <v>4.3608079999999996</v>
      </c>
      <c r="E8167">
        <v>0.40996749999999998</v>
      </c>
      <c r="F8167" t="s">
        <v>63</v>
      </c>
      <c r="G8167">
        <v>-292.96289999999999</v>
      </c>
      <c r="H8167" s="1">
        <v>-9.0793020000000001E-6</v>
      </c>
      <c r="I8167">
        <v>-56.64105</v>
      </c>
      <c r="J8167">
        <v>-301.67110000000002</v>
      </c>
      <c r="K8167">
        <v>1.121723</v>
      </c>
      <c r="L8167">
        <v>-36.293399999999998</v>
      </c>
      <c r="M8167">
        <v>3.4318310000000002E-3</v>
      </c>
      <c r="N8167">
        <v>-1.231617E-2</v>
      </c>
      <c r="O8167">
        <v>-0.99991830000000004</v>
      </c>
      <c r="P8167">
        <v>0.14340320000000001</v>
      </c>
      <c r="Q8167">
        <v>-2.00789E-2</v>
      </c>
      <c r="R8167">
        <v>-0.98946080000000003</v>
      </c>
      <c r="S8167">
        <v>1.212585</v>
      </c>
      <c r="T8167">
        <v>-0.156159299999999</v>
      </c>
      <c r="U8167">
        <v>-2.86084</v>
      </c>
      <c r="V8167">
        <v>-0.13999819999999999</v>
      </c>
      <c r="W8167">
        <v>-8.0325359999999998E-3</v>
      </c>
      <c r="X8167">
        <v>0.99011919999999998</v>
      </c>
      <c r="Y8167">
        <v>-0.38666279999999997</v>
      </c>
      <c r="Z8167">
        <v>3.7933149999999999E-2</v>
      </c>
      <c r="AA8167">
        <v>0.9214407</v>
      </c>
      <c r="AB8167">
        <v>20</v>
      </c>
      <c r="AC8167">
        <v>8.7082000000000299</v>
      </c>
      <c r="AD8167">
        <v>-1.121732079302</v>
      </c>
      <c r="AE8167">
        <v>-20.347650000000002</v>
      </c>
      <c r="AF8167">
        <v>-8.6161816789255798</v>
      </c>
      <c r="AG8167">
        <v>-1.121732079302</v>
      </c>
      <c r="AH8167">
        <v>20.325208941694399</v>
      </c>
      <c r="AI8167">
        <v>92.908819245413397</v>
      </c>
      <c r="AJ8167">
        <v>112.97286589126</v>
      </c>
      <c r="AK8167">
        <v>22.104546774487801</v>
      </c>
      <c r="AL8167">
        <v>90.460235349856404</v>
      </c>
      <c r="AM8167">
        <v>98.048003255731601</v>
      </c>
      <c r="AN8167">
        <v>1.0000000239232301</v>
      </c>
    </row>
    <row r="8168" spans="1:40" x14ac:dyDescent="0.25">
      <c r="A8168" t="str">
        <f>"20190303154005706"</f>
        <v>20190303154005706</v>
      </c>
      <c r="B8168" t="str">
        <f>"1551598805696683"</f>
        <v>1551598805696683</v>
      </c>
      <c r="C8168" t="s">
        <v>40</v>
      </c>
      <c r="D8168">
        <v>4.3745560000000001</v>
      </c>
      <c r="E8168">
        <v>0.41159659999999898</v>
      </c>
      <c r="F8168" t="s">
        <v>63</v>
      </c>
      <c r="G8168">
        <v>-294.79399999999998</v>
      </c>
      <c r="H8168" s="1">
        <v>-8.7481440000000005E-6</v>
      </c>
      <c r="I8168">
        <v>-53.506929999999997</v>
      </c>
      <c r="J8168">
        <v>-301.6696</v>
      </c>
      <c r="K8168">
        <v>1.1218170000000001</v>
      </c>
      <c r="L8168">
        <v>-36.482759999999999</v>
      </c>
      <c r="M8168">
        <v>4.2100990000000001E-3</v>
      </c>
      <c r="N8168">
        <v>-1.243035E-2</v>
      </c>
      <c r="O8168">
        <v>-0.99991419999999998</v>
      </c>
      <c r="P8168">
        <v>0.15273110000000001</v>
      </c>
      <c r="Q8168">
        <v>-2.1483260000000001E-2</v>
      </c>
      <c r="R8168">
        <v>-0.98803470000000004</v>
      </c>
      <c r="S8168">
        <v>1.1435850000000001</v>
      </c>
      <c r="T8168">
        <v>-0.186532</v>
      </c>
      <c r="U8168">
        <v>-2.8624269999999998</v>
      </c>
      <c r="V8168">
        <v>-0.14855829999999901</v>
      </c>
      <c r="W8168">
        <v>-9.3749039999999999E-3</v>
      </c>
      <c r="X8168">
        <v>0.98885919999999905</v>
      </c>
      <c r="Y8168">
        <v>-0.36650149999999998</v>
      </c>
      <c r="Z8168">
        <v>4.8051120000000003E-2</v>
      </c>
      <c r="AA8168">
        <v>0.92917590000000005</v>
      </c>
      <c r="AB8168">
        <v>20</v>
      </c>
      <c r="AC8168">
        <v>6.8755999999999604</v>
      </c>
      <c r="AD8168">
        <v>-1.1218257481439999</v>
      </c>
      <c r="AE8168">
        <v>-17.024170000000002</v>
      </c>
      <c r="AF8168">
        <v>-6.7785534923553996</v>
      </c>
      <c r="AG8168">
        <v>-1.1218257481439999</v>
      </c>
      <c r="AH8168">
        <v>16.9895406462709</v>
      </c>
      <c r="AI8168">
        <v>93.509504605809497</v>
      </c>
      <c r="AJ8168">
        <v>111.7512046594</v>
      </c>
      <c r="AK8168">
        <v>18.326259078961399</v>
      </c>
      <c r="AL8168">
        <v>90.537150307769807</v>
      </c>
      <c r="AM8168">
        <v>98.543765549843201</v>
      </c>
      <c r="AN8168">
        <v>0.99999998737426898</v>
      </c>
    </row>
    <row r="8169" spans="1:40" x14ac:dyDescent="0.25">
      <c r="A8169" t="str">
        <f>"20190303154005728"</f>
        <v>20190303154005728</v>
      </c>
      <c r="B8169" t="str">
        <f>"1551598805726942"</f>
        <v>1551598805726942</v>
      </c>
      <c r="C8169" t="s">
        <v>40</v>
      </c>
      <c r="D8169">
        <v>4.3078450000000004</v>
      </c>
      <c r="E8169">
        <v>0.367537</v>
      </c>
      <c r="F8169" t="s">
        <v>63</v>
      </c>
      <c r="G8169">
        <v>-295.10109999999997</v>
      </c>
      <c r="H8169" s="1">
        <v>-8.7342339999999998E-6</v>
      </c>
      <c r="I8169">
        <v>-52.672449999999998</v>
      </c>
      <c r="J8169">
        <v>-301.66770000000002</v>
      </c>
      <c r="K8169">
        <v>1.1219170000000001</v>
      </c>
      <c r="L8169">
        <v>-36.678220000000003</v>
      </c>
      <c r="M8169">
        <v>5.1696679999999997E-3</v>
      </c>
      <c r="N8169">
        <v>-1.2533519999999999E-2</v>
      </c>
      <c r="O8169">
        <v>-0.99990829999999997</v>
      </c>
      <c r="P8169">
        <v>0.16331199999999901</v>
      </c>
      <c r="Q8169">
        <v>-2.371906E-2</v>
      </c>
      <c r="R8169">
        <v>-0.98628970000000005</v>
      </c>
      <c r="S8169">
        <v>1.157562</v>
      </c>
      <c r="T8169">
        <v>-0.19769800000000001</v>
      </c>
      <c r="U8169">
        <v>-2.8530880000000001</v>
      </c>
      <c r="V8169">
        <v>-0.1581939</v>
      </c>
      <c r="W8169">
        <v>-1.157526E-2</v>
      </c>
      <c r="X8169">
        <v>0.9873402</v>
      </c>
      <c r="Y8169">
        <v>-0.37048890000000001</v>
      </c>
      <c r="Z8169">
        <v>5.1641149999999997E-2</v>
      </c>
      <c r="AA8169">
        <v>0.92740020000000001</v>
      </c>
      <c r="AB8169">
        <v>20</v>
      </c>
      <c r="AC8169">
        <v>6.56660000000005</v>
      </c>
      <c r="AD8169">
        <v>-1.1219257342340001</v>
      </c>
      <c r="AE8169">
        <v>-15.9942299999999</v>
      </c>
      <c r="AF8169">
        <v>-6.45663418704207</v>
      </c>
      <c r="AG8169">
        <v>-1.1219257342340001</v>
      </c>
      <c r="AH8169">
        <v>15.9607606469103</v>
      </c>
      <c r="AI8169">
        <v>93.728285476838593</v>
      </c>
      <c r="AJ8169">
        <v>112.024894683513</v>
      </c>
      <c r="AK8169">
        <v>17.253774161219798</v>
      </c>
      <c r="AL8169">
        <v>90.663228366837401</v>
      </c>
      <c r="AM8169">
        <v>99.102694414272406</v>
      </c>
      <c r="AN8169">
        <v>0.99999998358865805</v>
      </c>
    </row>
    <row r="8170" spans="1:40" x14ac:dyDescent="0.25">
      <c r="A8170" t="str">
        <f>"20190303154005752"</f>
        <v>20190303154005752</v>
      </c>
      <c r="B8170" t="str">
        <f>"1551598805746459"</f>
        <v>1551598805746459</v>
      </c>
      <c r="C8170" t="s">
        <v>40</v>
      </c>
      <c r="D8170">
        <v>4.1892509999999996</v>
      </c>
      <c r="E8170">
        <v>0.34901140000000003</v>
      </c>
      <c r="F8170" t="s">
        <v>44</v>
      </c>
      <c r="G8170">
        <v>-301.2285</v>
      </c>
      <c r="H8170">
        <v>1.0650120000000001</v>
      </c>
      <c r="I8170">
        <v>-37.474829999999997</v>
      </c>
      <c r="J8170">
        <v>-301.6653</v>
      </c>
      <c r="K8170">
        <v>1.1220399999999999</v>
      </c>
      <c r="L8170">
        <v>-36.875399999999999</v>
      </c>
      <c r="M8170">
        <v>6.3208079999999998E-3</v>
      </c>
      <c r="N8170">
        <v>-1.263104E-2</v>
      </c>
      <c r="O8170">
        <v>-0.99990029999999996</v>
      </c>
      <c r="P8170">
        <v>0.1734782</v>
      </c>
      <c r="Q8170">
        <v>-2.564174E-2</v>
      </c>
      <c r="R8170">
        <v>-0.98450420000000005</v>
      </c>
      <c r="S8170">
        <v>1.5343020000000001</v>
      </c>
      <c r="T8170">
        <v>-0.19878999999999999</v>
      </c>
      <c r="U8170">
        <v>-2.782867</v>
      </c>
      <c r="V8170">
        <v>-0.16722860000000001</v>
      </c>
      <c r="W8170">
        <v>-1.347892E-2</v>
      </c>
      <c r="X8170">
        <v>0.98582599999999998</v>
      </c>
      <c r="Y8170">
        <v>-0.47645979999999999</v>
      </c>
      <c r="Z8170">
        <v>4.9944040000000002E-2</v>
      </c>
      <c r="AA8170">
        <v>0.87777659999999902</v>
      </c>
      <c r="AB8170">
        <v>20</v>
      </c>
      <c r="AC8170">
        <v>0.43680000000000502</v>
      </c>
      <c r="AD8170">
        <v>-5.7027999999999801E-2</v>
      </c>
      <c r="AE8170">
        <v>-0.59942999999999802</v>
      </c>
      <c r="AF8170">
        <v>-0.430457273086434</v>
      </c>
      <c r="AG8170">
        <v>-5.7027999999999801E-2</v>
      </c>
      <c r="AH8170">
        <v>0.59864007873223801</v>
      </c>
      <c r="AI8170">
        <v>94.422643932378506</v>
      </c>
      <c r="AJ8170">
        <v>125.718346809651</v>
      </c>
      <c r="AK8170">
        <v>0.73953742339488704</v>
      </c>
      <c r="AL8170">
        <v>90.772308619818403</v>
      </c>
      <c r="AM8170">
        <v>99.627605918821601</v>
      </c>
      <c r="AN8170">
        <v>0.99999999410916296</v>
      </c>
    </row>
    <row r="8171" spans="1:40" x14ac:dyDescent="0.25">
      <c r="A8171" t="str">
        <f>"20190303154005775"</f>
        <v>20190303154005775</v>
      </c>
      <c r="B8171" t="str">
        <f>"1551598805766954"</f>
        <v>1551598805766954</v>
      </c>
      <c r="C8171" t="s">
        <v>40</v>
      </c>
      <c r="D8171">
        <v>4.299404</v>
      </c>
      <c r="E8171">
        <v>0.34219739999999998</v>
      </c>
      <c r="F8171" t="s">
        <v>44</v>
      </c>
      <c r="G8171">
        <v>-301.13040000000001</v>
      </c>
      <c r="H8171">
        <v>1.052875</v>
      </c>
      <c r="I8171">
        <v>-37.73319</v>
      </c>
      <c r="J8171">
        <v>-301.66239999999999</v>
      </c>
      <c r="K8171">
        <v>1.122174</v>
      </c>
      <c r="L8171">
        <v>-37.079349999999998</v>
      </c>
      <c r="M8171">
        <v>7.7024419999999899E-3</v>
      </c>
      <c r="N8171">
        <v>-1.273489E-2</v>
      </c>
      <c r="O8171">
        <v>-0.99988940000000004</v>
      </c>
      <c r="P8171">
        <v>0.18426780000000001</v>
      </c>
      <c r="Q8171">
        <v>-2.7524420000000001E-2</v>
      </c>
      <c r="R8171">
        <v>-0.9824908</v>
      </c>
      <c r="S8171">
        <v>1.7090449999999999</v>
      </c>
      <c r="T8171">
        <v>-0.22095970000000001</v>
      </c>
      <c r="U8171">
        <v>-2.740326</v>
      </c>
      <c r="V8171">
        <v>-0.17666370000000001</v>
      </c>
      <c r="W8171">
        <v>-1.5347049999999999E-2</v>
      </c>
      <c r="X8171">
        <v>0.98415160000000002</v>
      </c>
      <c r="Y8171">
        <v>-0.52156349999999996</v>
      </c>
      <c r="Z8171">
        <v>5.572444E-2</v>
      </c>
      <c r="AA8171">
        <v>0.8513908</v>
      </c>
      <c r="AB8171">
        <v>20</v>
      </c>
      <c r="AC8171">
        <v>0.53199999999998204</v>
      </c>
      <c r="AD8171">
        <v>-6.9298999999999999E-2</v>
      </c>
      <c r="AE8171">
        <v>-0.65384000000000198</v>
      </c>
      <c r="AF8171">
        <v>-0.523410008266321</v>
      </c>
      <c r="AG8171">
        <v>-6.9298999999999999E-2</v>
      </c>
      <c r="AH8171">
        <v>0.65350172961290698</v>
      </c>
      <c r="AI8171">
        <v>94.731456239314994</v>
      </c>
      <c r="AJ8171">
        <v>128.69233077663199</v>
      </c>
      <c r="AK8171">
        <v>0.84013385764496595</v>
      </c>
      <c r="AL8171">
        <v>90.879355729349399</v>
      </c>
      <c r="AM8171">
        <v>100.176701198223</v>
      </c>
      <c r="AN8171">
        <v>0.99999998331197604</v>
      </c>
    </row>
    <row r="8172" spans="1:40" x14ac:dyDescent="0.25">
      <c r="A8172" t="str">
        <f>"20190303154005798"</f>
        <v>20190303154005798</v>
      </c>
      <c r="B8172" t="str">
        <f>"1551598805786474"</f>
        <v>1551598805786474</v>
      </c>
      <c r="C8172" t="s">
        <v>40</v>
      </c>
      <c r="D8172">
        <v>4.2150840000000001</v>
      </c>
      <c r="E8172">
        <v>0.33907559999999998</v>
      </c>
      <c r="F8172" t="s">
        <v>44</v>
      </c>
      <c r="G8172">
        <v>-301.11689999999999</v>
      </c>
      <c r="H8172">
        <v>1.0514250000000001</v>
      </c>
      <c r="I8172">
        <v>-37.904429999999998</v>
      </c>
      <c r="J8172">
        <v>-301.65899999999999</v>
      </c>
      <c r="K8172">
        <v>1.1222749999999999</v>
      </c>
      <c r="L8172">
        <v>-37.282620000000001</v>
      </c>
      <c r="M8172">
        <v>9.2482350000000005E-3</v>
      </c>
      <c r="N8172">
        <v>-1.283478E-2</v>
      </c>
      <c r="O8172">
        <v>-0.99987510000000002</v>
      </c>
      <c r="P8172">
        <v>0.19594839999999999</v>
      </c>
      <c r="Q8172">
        <v>-3.0780829999999999E-2</v>
      </c>
      <c r="R8172">
        <v>-0.98013119999999998</v>
      </c>
      <c r="S8172">
        <v>1.7928470000000001</v>
      </c>
      <c r="T8172">
        <v>-0.23244020000000001</v>
      </c>
      <c r="U8172">
        <v>-2.710693</v>
      </c>
      <c r="V8172">
        <v>-0.18683369999999999</v>
      </c>
      <c r="W8172">
        <v>-1.8594860000000001E-2</v>
      </c>
      <c r="X8172">
        <v>0.98221559999999997</v>
      </c>
      <c r="Y8172">
        <v>-0.54269699999999998</v>
      </c>
      <c r="Z8172">
        <v>5.8762349999999998E-2</v>
      </c>
      <c r="AA8172">
        <v>0.83787049999999996</v>
      </c>
      <c r="AB8172">
        <v>20</v>
      </c>
      <c r="AC8172">
        <v>0.54210000000000402</v>
      </c>
      <c r="AD8172">
        <v>-7.0849999999999802E-2</v>
      </c>
      <c r="AE8172">
        <v>-0.62180999999999598</v>
      </c>
      <c r="AF8172">
        <v>-0.53239856225402604</v>
      </c>
      <c r="AG8172">
        <v>-7.0849999999999802E-2</v>
      </c>
      <c r="AH8172">
        <v>0.62220769080018801</v>
      </c>
      <c r="AI8172">
        <v>94.944855463497007</v>
      </c>
      <c r="AJ8172">
        <v>130.552298483062</v>
      </c>
      <c r="AK8172">
        <v>0.82195520685804802</v>
      </c>
      <c r="AL8172">
        <v>91.065468360240104</v>
      </c>
      <c r="AM8172">
        <v>100.769943807524</v>
      </c>
      <c r="AN8172">
        <v>1.0000000425787301</v>
      </c>
    </row>
    <row r="8173" spans="1:40" x14ac:dyDescent="0.25">
      <c r="A8173" t="str">
        <f>"20190303154005820"</f>
        <v>20190303154005820</v>
      </c>
      <c r="B8173" t="str">
        <f>"1551598805816732"</f>
        <v>1551598805816732</v>
      </c>
      <c r="C8173" t="s">
        <v>40</v>
      </c>
      <c r="D8173">
        <v>4.2155209999999999</v>
      </c>
      <c r="E8173">
        <v>0.336804299999999</v>
      </c>
      <c r="F8173" t="s">
        <v>44</v>
      </c>
      <c r="G8173">
        <v>-301.1114</v>
      </c>
      <c r="H8173">
        <v>1.0507390000000001</v>
      </c>
      <c r="I8173">
        <v>-38.077219999999997</v>
      </c>
      <c r="J8173">
        <v>-301.65539999999999</v>
      </c>
      <c r="K8173">
        <v>1.122336</v>
      </c>
      <c r="L8173">
        <v>-37.47092</v>
      </c>
      <c r="M8173">
        <v>1.082516E-2</v>
      </c>
      <c r="N8173">
        <v>-1.291691E-2</v>
      </c>
      <c r="O8173">
        <v>-0.99985829999999998</v>
      </c>
      <c r="P8173">
        <v>0.2085707</v>
      </c>
      <c r="Q8173">
        <v>-3.4735040000000002E-2</v>
      </c>
      <c r="R8173">
        <v>-0.9773906</v>
      </c>
      <c r="S8173">
        <v>1.849518</v>
      </c>
      <c r="T8173">
        <v>-0.2415929</v>
      </c>
      <c r="U8173">
        <v>-2.6834720000000001</v>
      </c>
      <c r="V8173">
        <v>-0.19792319999999999</v>
      </c>
      <c r="W8173">
        <v>-2.2556639999999999E-2</v>
      </c>
      <c r="X8173">
        <v>0.97995790000000005</v>
      </c>
      <c r="Y8173">
        <v>-0.55719669999999999</v>
      </c>
      <c r="Z8173">
        <v>6.1325560000000001E-2</v>
      </c>
      <c r="AA8173">
        <v>0.82811290000000004</v>
      </c>
      <c r="AB8173">
        <v>20</v>
      </c>
      <c r="AC8173">
        <v>0.54399999999998205</v>
      </c>
      <c r="AD8173">
        <v>-7.1597000000000105E-2</v>
      </c>
      <c r="AE8173">
        <v>-0.60630000000000395</v>
      </c>
      <c r="AF8173">
        <v>-0.533284402774855</v>
      </c>
      <c r="AG8173">
        <v>-7.1597000000000105E-2</v>
      </c>
      <c r="AH8173">
        <v>0.60746091915491596</v>
      </c>
      <c r="AI8173">
        <v>95.061691486390998</v>
      </c>
      <c r="AJ8173">
        <v>131.27960207677501</v>
      </c>
      <c r="AK8173">
        <v>0.81149685948404704</v>
      </c>
      <c r="AL8173">
        <v>91.292509970068096</v>
      </c>
      <c r="AM8173">
        <v>101.418484630365</v>
      </c>
      <c r="AN8173">
        <v>0.99999994043936802</v>
      </c>
    </row>
    <row r="8174" spans="1:40" x14ac:dyDescent="0.25">
      <c r="A8174" t="str">
        <f>"20190303154005842"</f>
        <v>20190303154005842</v>
      </c>
      <c r="B8174" t="str">
        <f>"1551598805836251"</f>
        <v>1551598805836251</v>
      </c>
      <c r="C8174" t="s">
        <v>40</v>
      </c>
      <c r="D8174">
        <v>4.2365899999999996</v>
      </c>
      <c r="E8174">
        <v>0.3369238</v>
      </c>
      <c r="F8174" t="s">
        <v>44</v>
      </c>
      <c r="G8174">
        <v>-301.09879999999998</v>
      </c>
      <c r="H8174">
        <v>1.0487610000000001</v>
      </c>
      <c r="I8174">
        <v>-38.248100000000001</v>
      </c>
      <c r="J8174">
        <v>-301.6515</v>
      </c>
      <c r="K8174">
        <v>1.1223730000000001</v>
      </c>
      <c r="L8174">
        <v>-37.654330000000002</v>
      </c>
      <c r="M8174">
        <v>1.24848999999999E-2</v>
      </c>
      <c r="N8174">
        <v>-1.298643E-2</v>
      </c>
      <c r="O8174">
        <v>-0.9998378</v>
      </c>
      <c r="P8174">
        <v>0.2223465</v>
      </c>
      <c r="Q8174">
        <v>-3.8140979999999998E-2</v>
      </c>
      <c r="R8174">
        <v>-0.97422149999999996</v>
      </c>
      <c r="S8174">
        <v>1.9022829999999999</v>
      </c>
      <c r="T8174">
        <v>-0.25131959999999998</v>
      </c>
      <c r="U8174">
        <v>-2.6545100000000001</v>
      </c>
      <c r="V8174">
        <v>-0.2100996</v>
      </c>
      <c r="W8174">
        <v>-2.5984980000000001E-2</v>
      </c>
      <c r="X8174">
        <v>0.97733460000000005</v>
      </c>
      <c r="Y8174">
        <v>-0.57080540000000002</v>
      </c>
      <c r="Z8174">
        <v>6.4126429999999998E-2</v>
      </c>
      <c r="AA8174">
        <v>0.81857740000000001</v>
      </c>
      <c r="AB8174">
        <v>20</v>
      </c>
      <c r="AC8174">
        <v>0.55270000000001496</v>
      </c>
      <c r="AD8174">
        <v>-7.3611999999999997E-2</v>
      </c>
      <c r="AE8174">
        <v>-0.59376999999999902</v>
      </c>
      <c r="AF8174">
        <v>-0.54078991899768003</v>
      </c>
      <c r="AG8174">
        <v>-7.3611999999999997E-2</v>
      </c>
      <c r="AH8174">
        <v>0.59571916404221303</v>
      </c>
      <c r="AI8174">
        <v>95.2275627927649</v>
      </c>
      <c r="AJ8174">
        <v>132.232959399545</v>
      </c>
      <c r="AK8174">
        <v>0.80793179504254597</v>
      </c>
      <c r="AL8174">
        <v>91.488997297193194</v>
      </c>
      <c r="AM8174">
        <v>102.13234823899199</v>
      </c>
      <c r="AN8174">
        <v>0.99999999073145995</v>
      </c>
    </row>
    <row r="8175" spans="1:40" x14ac:dyDescent="0.25">
      <c r="A8175" t="str">
        <f>"20190303154005863"</f>
        <v>20190303154005863</v>
      </c>
      <c r="B8175" t="str">
        <f>"1551598805856747"</f>
        <v>1551598805856747</v>
      </c>
      <c r="C8175" t="s">
        <v>40</v>
      </c>
      <c r="D8175">
        <v>4.2380139999999997</v>
      </c>
      <c r="E8175">
        <v>0.33740160000000002</v>
      </c>
      <c r="F8175" t="s">
        <v>44</v>
      </c>
      <c r="G8175">
        <v>-301.08699999999999</v>
      </c>
      <c r="H8175">
        <v>1.0477259999999999</v>
      </c>
      <c r="I8175">
        <v>-38.418939999999999</v>
      </c>
      <c r="J8175">
        <v>-301.64690000000002</v>
      </c>
      <c r="K8175">
        <v>1.122411</v>
      </c>
      <c r="L8175">
        <v>-37.847079999999998</v>
      </c>
      <c r="M8175">
        <v>1.433221E-2</v>
      </c>
      <c r="N8175">
        <v>-1.305124E-2</v>
      </c>
      <c r="O8175">
        <v>-0.99981200000000003</v>
      </c>
      <c r="P8175">
        <v>0.2360477</v>
      </c>
      <c r="Q8175">
        <v>-3.837496E-2</v>
      </c>
      <c r="R8175">
        <v>-0.97098329999999999</v>
      </c>
      <c r="S8175">
        <v>1.939362</v>
      </c>
      <c r="T8175">
        <v>-0.2564437</v>
      </c>
      <c r="U8175">
        <v>-2.626709</v>
      </c>
      <c r="V8175">
        <v>-0.2220376</v>
      </c>
      <c r="W8175">
        <v>-2.6242970000000001E-2</v>
      </c>
      <c r="X8175">
        <v>0.97468489999999997</v>
      </c>
      <c r="Y8175">
        <v>-0.58078909999999995</v>
      </c>
      <c r="Z8175">
        <v>6.5701049999999997E-2</v>
      </c>
      <c r="AA8175">
        <v>0.81139839999999996</v>
      </c>
      <c r="AB8175">
        <v>19</v>
      </c>
      <c r="AC8175">
        <v>0.55990000000002704</v>
      </c>
      <c r="AD8175">
        <v>-7.4685000000000099E-2</v>
      </c>
      <c r="AE8175">
        <v>-0.57186000000000003</v>
      </c>
      <c r="AF8175">
        <v>-0.546883273781405</v>
      </c>
      <c r="AG8175">
        <v>-7.4685000000000099E-2</v>
      </c>
      <c r="AH8175">
        <v>0.57482075906331698</v>
      </c>
      <c r="AI8175">
        <v>95.377497870606703</v>
      </c>
      <c r="AJ8175">
        <v>133.573269695634</v>
      </c>
      <c r="AK8175">
        <v>0.79691785612884503</v>
      </c>
      <c r="AL8175">
        <v>91.503784031521107</v>
      </c>
      <c r="AM8175">
        <v>102.833234234458</v>
      </c>
      <c r="AN8175">
        <v>1.00000002178809</v>
      </c>
    </row>
    <row r="8176" spans="1:40" x14ac:dyDescent="0.25">
      <c r="A8176" t="str">
        <f>"20190303154005886"</f>
        <v>20190303154005886</v>
      </c>
      <c r="B8176" t="str">
        <f>"1551598805876267"</f>
        <v>1551598805876267</v>
      </c>
      <c r="C8176" t="s">
        <v>40</v>
      </c>
      <c r="D8176">
        <v>4.286003</v>
      </c>
      <c r="E8176">
        <v>0.33861550000000001</v>
      </c>
      <c r="F8176" t="s">
        <v>44</v>
      </c>
      <c r="G8176">
        <v>-301.08249999999998</v>
      </c>
      <c r="H8176">
        <v>1.049423</v>
      </c>
      <c r="I8176">
        <v>-38.59122</v>
      </c>
      <c r="J8176">
        <v>-301.64179999999999</v>
      </c>
      <c r="K8176">
        <v>1.122444</v>
      </c>
      <c r="L8176">
        <v>-38.040439999999997</v>
      </c>
      <c r="M8176">
        <v>1.625422E-2</v>
      </c>
      <c r="N8176">
        <v>-1.310948E-2</v>
      </c>
      <c r="O8176">
        <v>-0.99978210000000001</v>
      </c>
      <c r="P8176">
        <v>0.24928059999999999</v>
      </c>
      <c r="Q8176">
        <v>-3.7246979999999999E-2</v>
      </c>
      <c r="R8176">
        <v>-0.96771510000000005</v>
      </c>
      <c r="S8176">
        <v>1.9725950000000001</v>
      </c>
      <c r="T8176">
        <v>-0.25503029999999999</v>
      </c>
      <c r="U8176">
        <v>-2.6000369999999999</v>
      </c>
      <c r="V8176">
        <v>-0.2334494</v>
      </c>
      <c r="W8176">
        <v>-2.5139129999999999E-2</v>
      </c>
      <c r="X8176">
        <v>0.97204389999999996</v>
      </c>
      <c r="Y8176">
        <v>-0.58978609999999998</v>
      </c>
      <c r="Z8176">
        <v>6.5309710000000007E-2</v>
      </c>
      <c r="AA8176">
        <v>0.80491429999999997</v>
      </c>
      <c r="AB8176">
        <v>19</v>
      </c>
      <c r="AC8176">
        <v>0.55930000000000701</v>
      </c>
      <c r="AD8176">
        <v>-7.3021000000000003E-2</v>
      </c>
      <c r="AE8176">
        <v>-0.55077999999999505</v>
      </c>
      <c r="AF8176">
        <v>-0.54555190253703101</v>
      </c>
      <c r="AG8176">
        <v>-7.3021000000000003E-2</v>
      </c>
      <c r="AH8176">
        <v>0.55499633342791499</v>
      </c>
      <c r="AI8176">
        <v>95.360319467016794</v>
      </c>
      <c r="AJ8176">
        <v>134.508324370151</v>
      </c>
      <c r="AK8176">
        <v>0.78165201651451199</v>
      </c>
      <c r="AL8176">
        <v>91.440517847521605</v>
      </c>
      <c r="AM8176">
        <v>103.504586978595</v>
      </c>
      <c r="AN8176">
        <v>0.99999997087236303</v>
      </c>
    </row>
    <row r="8177" spans="1:40" x14ac:dyDescent="0.25">
      <c r="A8177" t="str">
        <f>"20190303154005907"</f>
        <v>20190303154005907</v>
      </c>
      <c r="B8177" t="str">
        <f>"1551598805896764"</f>
        <v>1551598805896764</v>
      </c>
      <c r="C8177" t="s">
        <v>40</v>
      </c>
      <c r="D8177">
        <v>4.2638069999999999</v>
      </c>
      <c r="E8177">
        <v>0.33949669999999998</v>
      </c>
      <c r="F8177" t="s">
        <v>44</v>
      </c>
      <c r="G8177">
        <v>-301.0804</v>
      </c>
      <c r="H8177">
        <v>1.051671</v>
      </c>
      <c r="I8177">
        <v>-38.763849999999998</v>
      </c>
      <c r="J8177">
        <v>-301.63639999999998</v>
      </c>
      <c r="K8177">
        <v>1.1224609999999999</v>
      </c>
      <c r="L8177">
        <v>-38.229610000000001</v>
      </c>
      <c r="M8177">
        <v>1.8169640000000001E-2</v>
      </c>
      <c r="N8177">
        <v>-1.31596E-2</v>
      </c>
      <c r="O8177">
        <v>-0.99974830000000003</v>
      </c>
      <c r="P8177">
        <v>0.26237719999999998</v>
      </c>
      <c r="Q8177">
        <v>-3.740885E-2</v>
      </c>
      <c r="R8177">
        <v>-0.96423999999999999</v>
      </c>
      <c r="S8177">
        <v>1.9986269999999999</v>
      </c>
      <c r="T8177">
        <v>-0.25196499999999999</v>
      </c>
      <c r="U8177">
        <v>-2.5755309999999998</v>
      </c>
      <c r="V8177">
        <v>-0.24474360000000001</v>
      </c>
      <c r="W8177">
        <v>-2.532736E-2</v>
      </c>
      <c r="X8177">
        <v>0.96925700000000004</v>
      </c>
      <c r="Y8177">
        <v>-0.59702540000000004</v>
      </c>
      <c r="Z8177">
        <v>6.4471009999999995E-2</v>
      </c>
      <c r="AA8177">
        <v>0.79962749999999905</v>
      </c>
      <c r="AB8177">
        <v>19</v>
      </c>
      <c r="AC8177">
        <v>0.55599999999998295</v>
      </c>
      <c r="AD8177">
        <v>-7.0790000000000103E-2</v>
      </c>
      <c r="AE8177">
        <v>-0.53423999999999605</v>
      </c>
      <c r="AF8177">
        <v>-0.54163517092479396</v>
      </c>
      <c r="AG8177">
        <v>-7.0790000000000103E-2</v>
      </c>
      <c r="AH8177">
        <v>0.53970600793609802</v>
      </c>
      <c r="AI8177">
        <v>95.289442139082794</v>
      </c>
      <c r="AJ8177">
        <v>135.102218228749</v>
      </c>
      <c r="AK8177">
        <v>0.76789482188972402</v>
      </c>
      <c r="AL8177">
        <v>91.451305998392101</v>
      </c>
      <c r="AM8177">
        <v>104.171322514108</v>
      </c>
      <c r="AN8177">
        <v>1.0000000184772599</v>
      </c>
    </row>
    <row r="8178" spans="1:40" x14ac:dyDescent="0.25">
      <c r="A8178" t="str">
        <f>"20190303154005930"</f>
        <v>20190303154005930</v>
      </c>
      <c r="B8178" t="str">
        <f>"1551598805926043"</f>
        <v>1551598805926043</v>
      </c>
      <c r="C8178" t="s">
        <v>40</v>
      </c>
      <c r="D8178">
        <v>4.2834659999999998</v>
      </c>
      <c r="E8178">
        <v>0.3403119</v>
      </c>
      <c r="F8178" t="s">
        <v>44</v>
      </c>
      <c r="G8178">
        <v>-301.07549999999998</v>
      </c>
      <c r="H8178">
        <v>1.0520020000000001</v>
      </c>
      <c r="I8178">
        <v>-38.935639999999999</v>
      </c>
      <c r="J8178">
        <v>-301.63049999999998</v>
      </c>
      <c r="K8178">
        <v>1.1224479999999999</v>
      </c>
      <c r="L8178">
        <v>-38.423949999999998</v>
      </c>
      <c r="M8178">
        <v>2.01484E-2</v>
      </c>
      <c r="N8178">
        <v>-1.3203680000000001E-2</v>
      </c>
      <c r="O8178">
        <v>-0.99970990000000004</v>
      </c>
      <c r="P8178">
        <v>0.27467560000000002</v>
      </c>
      <c r="Q8178">
        <v>-4.015589E-2</v>
      </c>
      <c r="R8178">
        <v>-0.96069839999999995</v>
      </c>
      <c r="S8178">
        <v>2.026367</v>
      </c>
      <c r="T8178">
        <v>-0.25449260000000001</v>
      </c>
      <c r="U8178">
        <v>-2.5499879999999999</v>
      </c>
      <c r="V8178">
        <v>-0.25518590000000002</v>
      </c>
      <c r="W8178">
        <v>-2.8094319999999999E-2</v>
      </c>
      <c r="X8178">
        <v>0.9664838</v>
      </c>
      <c r="Y8178">
        <v>-0.60459399999999996</v>
      </c>
      <c r="Z8178">
        <v>6.5338930000000003E-2</v>
      </c>
      <c r="AA8178">
        <v>0.79384949999999999</v>
      </c>
      <c r="AB8178">
        <v>19</v>
      </c>
      <c r="AC8178">
        <v>0.55500000000000604</v>
      </c>
      <c r="AD8178">
        <v>-7.0445999999999703E-2</v>
      </c>
      <c r="AE8178">
        <v>-0.51169000000000098</v>
      </c>
      <c r="AF8178">
        <v>-0.53987509935291</v>
      </c>
      <c r="AG8178">
        <v>-7.0445999999999703E-2</v>
      </c>
      <c r="AH8178">
        <v>0.51825613336589604</v>
      </c>
      <c r="AI8178">
        <v>95.377568456324298</v>
      </c>
      <c r="AJ8178">
        <v>136.17046275272</v>
      </c>
      <c r="AK8178">
        <v>0.75167624785454301</v>
      </c>
      <c r="AL8178">
        <v>91.609897734868795</v>
      </c>
      <c r="AM8178">
        <v>104.79057168094999</v>
      </c>
      <c r="AN8178">
        <v>1.0000000350187499</v>
      </c>
    </row>
    <row r="8179" spans="1:40" x14ac:dyDescent="0.25">
      <c r="A8179" t="str">
        <f>"20190303154005953"</f>
        <v>20190303154005953</v>
      </c>
      <c r="B8179" t="str">
        <f>"1551598805946544"</f>
        <v>1551598805946544</v>
      </c>
      <c r="C8179" t="s">
        <v>40</v>
      </c>
      <c r="D8179">
        <v>4.2954720000000002</v>
      </c>
      <c r="E8179">
        <v>0.34098699999999998</v>
      </c>
      <c r="F8179" t="s">
        <v>63</v>
      </c>
      <c r="G8179">
        <v>-292.84280000000001</v>
      </c>
      <c r="H8179" s="1">
        <v>-6.402489E-6</v>
      </c>
      <c r="I8179">
        <v>-49.239460000000001</v>
      </c>
      <c r="J8179">
        <v>-301.62419999999997</v>
      </c>
      <c r="K8179">
        <v>1.122411</v>
      </c>
      <c r="L8179">
        <v>-38.616729999999997</v>
      </c>
      <c r="M8179">
        <v>2.2107060000000001E-2</v>
      </c>
      <c r="N8179">
        <v>-1.3240760000000001E-2</v>
      </c>
      <c r="O8179">
        <v>-0.999668</v>
      </c>
      <c r="P8179">
        <v>0.28664020000000001</v>
      </c>
      <c r="Q8179">
        <v>-4.3489739999999999E-2</v>
      </c>
      <c r="R8179">
        <v>-0.95705079999999998</v>
      </c>
      <c r="S8179">
        <v>2.0516969999999999</v>
      </c>
      <c r="T8179">
        <v>-0.26206429999999997</v>
      </c>
      <c r="U8179">
        <v>-2.5251459999999999</v>
      </c>
      <c r="V8179">
        <v>-0.26532719999999999</v>
      </c>
      <c r="W8179">
        <v>-3.1444399999999997E-2</v>
      </c>
      <c r="X8179">
        <v>0.96364550000000004</v>
      </c>
      <c r="Y8179">
        <v>-0.61150530000000003</v>
      </c>
      <c r="Z8179">
        <v>6.7778459999999999E-2</v>
      </c>
      <c r="AA8179">
        <v>0.78833199999999903</v>
      </c>
      <c r="AB8179">
        <v>19</v>
      </c>
      <c r="AC8179">
        <v>8.7813999999999606</v>
      </c>
      <c r="AD8179">
        <v>-1.1224174024889999</v>
      </c>
      <c r="AE8179">
        <v>-10.622730000000001</v>
      </c>
      <c r="AF8179">
        <v>-8.4881009019121194</v>
      </c>
      <c r="AG8179">
        <v>-1.1224174024889999</v>
      </c>
      <c r="AH8179">
        <v>10.743031524327</v>
      </c>
      <c r="AI8179">
        <v>94.686536219877595</v>
      </c>
      <c r="AJ8179">
        <v>128.312367313632</v>
      </c>
      <c r="AK8179">
        <v>13.7375545159659</v>
      </c>
      <c r="AL8179">
        <v>91.801928504806099</v>
      </c>
      <c r="AM8179">
        <v>105.394197452497</v>
      </c>
      <c r="AN8179">
        <v>0.99999996151072401</v>
      </c>
    </row>
    <row r="8180" spans="1:40" x14ac:dyDescent="0.25">
      <c r="A8180" t="str">
        <f>"20190303154005977"</f>
        <v>20190303154005977</v>
      </c>
      <c r="B8180" t="str">
        <f>"1551598805966059"</f>
        <v>1551598805966059</v>
      </c>
      <c r="C8180" t="s">
        <v>40</v>
      </c>
      <c r="D8180">
        <v>4.2734719999999999</v>
      </c>
      <c r="E8180">
        <v>0.34175080000000002</v>
      </c>
      <c r="F8180" t="s">
        <v>63</v>
      </c>
      <c r="G8180">
        <v>-293.05119999999999</v>
      </c>
      <c r="H8180" s="1">
        <v>-6.2545900000000004E-6</v>
      </c>
      <c r="I8180">
        <v>-48.93468</v>
      </c>
      <c r="J8180">
        <v>-301.61700000000002</v>
      </c>
      <c r="K8180">
        <v>1.12236</v>
      </c>
      <c r="L8180">
        <v>-38.822809999999997</v>
      </c>
      <c r="M8180">
        <v>2.4184509999999999E-2</v>
      </c>
      <c r="N8180">
        <v>-1.327475E-2</v>
      </c>
      <c r="O8180">
        <v>-0.99961940000000005</v>
      </c>
      <c r="P8180">
        <v>0.29728110000000002</v>
      </c>
      <c r="Q8180">
        <v>-4.6817999999999999E-2</v>
      </c>
      <c r="R8180">
        <v>-0.95364159999999998</v>
      </c>
      <c r="S8180">
        <v>2.0773009999999998</v>
      </c>
      <c r="T8180">
        <v>-0.27197059999999901</v>
      </c>
      <c r="U8180">
        <v>-2.5001220000000002</v>
      </c>
      <c r="V8180">
        <v>-0.27403939999999999</v>
      </c>
      <c r="W8180">
        <v>-3.4775800000000003E-2</v>
      </c>
      <c r="X8180">
        <v>0.96108950000000004</v>
      </c>
      <c r="Y8180">
        <v>-0.61832989999999999</v>
      </c>
      <c r="Z8180">
        <v>7.0940569999999994E-2</v>
      </c>
      <c r="AA8180">
        <v>0.78271040000000003</v>
      </c>
      <c r="AB8180">
        <v>19</v>
      </c>
      <c r="AC8180">
        <v>8.5658000000000207</v>
      </c>
      <c r="AD8180">
        <v>-1.1223662545899999</v>
      </c>
      <c r="AE8180">
        <v>-10.11187</v>
      </c>
      <c r="AF8180">
        <v>-8.2594784845824503</v>
      </c>
      <c r="AG8180">
        <v>-1.1223662545899999</v>
      </c>
      <c r="AH8180">
        <v>10.2426216159731</v>
      </c>
      <c r="AI8180">
        <v>94.875517316791203</v>
      </c>
      <c r="AJ8180">
        <v>128.88212291928301</v>
      </c>
      <c r="AK8180">
        <v>13.2056801572173</v>
      </c>
      <c r="AL8180">
        <v>91.992908420188201</v>
      </c>
      <c r="AM8180">
        <v>105.91465841831101</v>
      </c>
      <c r="AN8180">
        <v>0.99999998801412504</v>
      </c>
    </row>
    <row r="8181" spans="1:40" x14ac:dyDescent="0.25">
      <c r="A8181" t="str">
        <f>"20190303154006000"</f>
        <v>20190303154006000</v>
      </c>
      <c r="B8181" t="str">
        <f>"1551598805996775"</f>
        <v>1551598805996775</v>
      </c>
      <c r="C8181" t="s">
        <v>40</v>
      </c>
      <c r="D8181">
        <v>4.262702</v>
      </c>
      <c r="E8181">
        <v>0.34294819999999998</v>
      </c>
      <c r="F8181" t="s">
        <v>63</v>
      </c>
      <c r="G8181">
        <v>-293.24619999999999</v>
      </c>
      <c r="H8181" s="1">
        <v>-6.1375190000000004E-6</v>
      </c>
      <c r="I8181">
        <v>-48.705840000000002</v>
      </c>
      <c r="J8181">
        <v>-301.61009999999999</v>
      </c>
      <c r="K8181">
        <v>1.1223099999999999</v>
      </c>
      <c r="L8181">
        <v>-39.011319999999998</v>
      </c>
      <c r="M8181">
        <v>2.606294E-2</v>
      </c>
      <c r="N8181">
        <v>-1.3301459999999999E-2</v>
      </c>
      <c r="O8181">
        <v>-0.99957189999999996</v>
      </c>
      <c r="P8181">
        <v>0.30622070000000001</v>
      </c>
      <c r="Q8181">
        <v>-5.0197989999999998E-2</v>
      </c>
      <c r="R8181">
        <v>-0.9506367</v>
      </c>
      <c r="S8181">
        <v>2.0986630000000002</v>
      </c>
      <c r="T8181">
        <v>-0.2813929</v>
      </c>
      <c r="U8181">
        <v>-2.477814</v>
      </c>
      <c r="V8181">
        <v>-0.28124280000000002</v>
      </c>
      <c r="W8181">
        <v>-3.8156719999999998E-2</v>
      </c>
      <c r="X8181">
        <v>0.95887770000000005</v>
      </c>
      <c r="Y8181">
        <v>-0.62407849999999998</v>
      </c>
      <c r="Z8181">
        <v>7.3970250000000001E-2</v>
      </c>
      <c r="AA8181">
        <v>0.77785249999999995</v>
      </c>
      <c r="AB8181">
        <v>19</v>
      </c>
      <c r="AC8181">
        <v>8.3638999999999992</v>
      </c>
      <c r="AD8181">
        <v>-1.1223161375190001</v>
      </c>
      <c r="AE8181">
        <v>-9.6945200000000007</v>
      </c>
      <c r="AF8181">
        <v>-8.0465440553132392</v>
      </c>
      <c r="AG8181">
        <v>-1.1223161375190001</v>
      </c>
      <c r="AH8181">
        <v>9.8336779481236398</v>
      </c>
      <c r="AI8181">
        <v>95.047725702159795</v>
      </c>
      <c r="AJ8181">
        <v>129.29222520541001</v>
      </c>
      <c r="AK8181">
        <v>12.755692326724001</v>
      </c>
      <c r="AL8181">
        <v>92.186749981639807</v>
      </c>
      <c r="AM8181">
        <v>106.34663144647099</v>
      </c>
      <c r="AN8181">
        <v>0.99999994569514195</v>
      </c>
    </row>
    <row r="8182" spans="1:40" x14ac:dyDescent="0.25">
      <c r="A8182" t="str">
        <f>"20190303154006019"</f>
        <v>20190303154006019</v>
      </c>
      <c r="B8182" t="str">
        <f>"1551598806016296"</f>
        <v>1551598806016296</v>
      </c>
      <c r="C8182" t="s">
        <v>40</v>
      </c>
      <c r="D8182">
        <v>4.2381779999999996</v>
      </c>
      <c r="E8182">
        <v>0.35560599999999998</v>
      </c>
      <c r="F8182" t="s">
        <v>63</v>
      </c>
      <c r="G8182">
        <v>-293.41570000000002</v>
      </c>
      <c r="H8182" s="1">
        <v>-6.0550009999999999E-6</v>
      </c>
      <c r="I8182">
        <v>-48.557720000000003</v>
      </c>
      <c r="J8182">
        <v>-301.60329999999999</v>
      </c>
      <c r="K8182">
        <v>1.1222719999999999</v>
      </c>
      <c r="L8182">
        <v>-39.189329999999998</v>
      </c>
      <c r="M8182">
        <v>2.7814680000000001E-2</v>
      </c>
      <c r="N8182">
        <v>-1.3323059999999999E-2</v>
      </c>
      <c r="O8182">
        <v>-0.99952450000000004</v>
      </c>
      <c r="P8182">
        <v>0.31281750000000003</v>
      </c>
      <c r="Q8182">
        <v>-5.193176E-2</v>
      </c>
      <c r="R8182">
        <v>-0.94839300000000004</v>
      </c>
      <c r="S8182">
        <v>2.1118160000000001</v>
      </c>
      <c r="T8182">
        <v>-0.2892361</v>
      </c>
      <c r="U8182">
        <v>-2.4602360000000001</v>
      </c>
      <c r="V8182">
        <v>-0.28621750000000001</v>
      </c>
      <c r="W8182">
        <v>-3.988394E-2</v>
      </c>
      <c r="X8182">
        <v>0.95733420000000002</v>
      </c>
      <c r="Y8182">
        <v>-0.62769919999999901</v>
      </c>
      <c r="Z8182">
        <v>7.6560349999999999E-2</v>
      </c>
      <c r="AA8182">
        <v>0.77468199999999998</v>
      </c>
      <c r="AB8182">
        <v>19</v>
      </c>
      <c r="AC8182">
        <v>8.1875999999999696</v>
      </c>
      <c r="AD8182">
        <v>-1.1222780550010001</v>
      </c>
      <c r="AE8182">
        <v>-9.3683899999999998</v>
      </c>
      <c r="AF8182">
        <v>-7.85988044614676</v>
      </c>
      <c r="AG8182">
        <v>-1.1222780550010001</v>
      </c>
      <c r="AH8182">
        <v>9.5151038267614094</v>
      </c>
      <c r="AI8182">
        <v>95.1958794941973</v>
      </c>
      <c r="AJ8182">
        <v>129.55815499315699</v>
      </c>
      <c r="AK8182">
        <v>12.392515059280999</v>
      </c>
      <c r="AL8182">
        <v>92.285787766833593</v>
      </c>
      <c r="AM8182">
        <v>106.645267994246</v>
      </c>
      <c r="AN8182">
        <v>0.99999997823290598</v>
      </c>
    </row>
    <row r="8183" spans="1:40" x14ac:dyDescent="0.25">
      <c r="A8183" t="str">
        <f>"20190303154006042"</f>
        <v>20190303154006042</v>
      </c>
      <c r="B8183" t="str">
        <f>"1551598806036791"</f>
        <v>1551598806036791</v>
      </c>
      <c r="C8183" t="s">
        <v>40</v>
      </c>
      <c r="D8183">
        <v>4.2459930000000004</v>
      </c>
      <c r="E8183">
        <v>0.35652209999999901</v>
      </c>
      <c r="F8183" t="s">
        <v>44</v>
      </c>
      <c r="G8183">
        <v>-300.98230000000001</v>
      </c>
      <c r="H8183">
        <v>1.0518160000000001</v>
      </c>
      <c r="I8183">
        <v>-39.947380000000003</v>
      </c>
      <c r="J8183">
        <v>-301.59559999999999</v>
      </c>
      <c r="K8183">
        <v>1.122242</v>
      </c>
      <c r="L8183">
        <v>-39.382539999999999</v>
      </c>
      <c r="M8183">
        <v>2.9693919999999999E-2</v>
      </c>
      <c r="N8183">
        <v>-1.3343000000000001E-2</v>
      </c>
      <c r="O8183">
        <v>-0.99947010000000003</v>
      </c>
      <c r="P8183">
        <v>0.31672119999999998</v>
      </c>
      <c r="Q8183">
        <v>-5.329946E-2</v>
      </c>
      <c r="R8183">
        <v>-0.94702010000000003</v>
      </c>
      <c r="S8183">
        <v>2.03241</v>
      </c>
      <c r="T8183">
        <v>-0.23052980000000001</v>
      </c>
      <c r="U8183">
        <v>-2.4802550000000001</v>
      </c>
      <c r="V8183">
        <v>-0.28836030000000001</v>
      </c>
      <c r="W8183">
        <v>-4.1230309999999999E-2</v>
      </c>
      <c r="X8183">
        <v>0.95663390000000004</v>
      </c>
      <c r="Y8183">
        <v>-0.60915949999999996</v>
      </c>
      <c r="Z8183">
        <v>5.9230680000000001E-2</v>
      </c>
      <c r="AA8183">
        <v>0.7908328</v>
      </c>
      <c r="AB8183">
        <v>19</v>
      </c>
      <c r="AC8183">
        <v>0.61329999999998097</v>
      </c>
      <c r="AD8183">
        <v>-7.0425999999999794E-2</v>
      </c>
      <c r="AE8183">
        <v>-0.56483999999998902</v>
      </c>
      <c r="AF8183">
        <v>-0.59203181009103201</v>
      </c>
      <c r="AG8183">
        <v>-7.0425999999999794E-2</v>
      </c>
      <c r="AH8183">
        <v>0.57867518194877099</v>
      </c>
      <c r="AI8183">
        <v>94.862390365132697</v>
      </c>
      <c r="AJ8183">
        <v>135.65366075754801</v>
      </c>
      <c r="AK8183">
        <v>0.83085886397095599</v>
      </c>
      <c r="AL8183">
        <v>92.362992540783907</v>
      </c>
      <c r="AM8183">
        <v>106.774500164627</v>
      </c>
      <c r="AN8183">
        <v>1.0000000098539901</v>
      </c>
    </row>
    <row r="8184" spans="1:40" x14ac:dyDescent="0.25">
      <c r="A8184" t="str">
        <f>"20190303154006065"</f>
        <v>20190303154006065</v>
      </c>
      <c r="B8184" t="str">
        <f>"1551598806056312"</f>
        <v>1551598806056312</v>
      </c>
      <c r="C8184" t="s">
        <v>40</v>
      </c>
      <c r="D8184">
        <v>4.2408869999999999</v>
      </c>
      <c r="E8184">
        <v>0.35713709999999999</v>
      </c>
      <c r="F8184" t="s">
        <v>44</v>
      </c>
      <c r="G8184">
        <v>-300.98829999999998</v>
      </c>
      <c r="H8184">
        <v>1.053199</v>
      </c>
      <c r="I8184">
        <v>-40.120660000000001</v>
      </c>
      <c r="J8184">
        <v>-301.58769999999998</v>
      </c>
      <c r="K8184">
        <v>1.1222179999999999</v>
      </c>
      <c r="L8184">
        <v>-39.573700000000002</v>
      </c>
      <c r="M8184">
        <v>3.1537229999999999E-2</v>
      </c>
      <c r="N8184">
        <v>-1.335979E-2</v>
      </c>
      <c r="O8184">
        <v>-0.99941340000000001</v>
      </c>
      <c r="P8184">
        <v>0.31943500000000002</v>
      </c>
      <c r="Q8184">
        <v>-5.4545749999999997E-2</v>
      </c>
      <c r="R8184">
        <v>-0.94603720000000002</v>
      </c>
      <c r="S8184">
        <v>2.0354610000000002</v>
      </c>
      <c r="T8184">
        <v>-0.2314215</v>
      </c>
      <c r="U8184">
        <v>-2.4740600000000001</v>
      </c>
      <c r="V8184">
        <v>-0.28933920000000002</v>
      </c>
      <c r="W8184">
        <v>-4.2454890000000002E-2</v>
      </c>
      <c r="X8184">
        <v>0.95628469999999999</v>
      </c>
      <c r="Y8184">
        <v>-0.60923490000000002</v>
      </c>
      <c r="Z8184">
        <v>5.9607769999999997E-2</v>
      </c>
      <c r="AA8184">
        <v>0.79074630000000001</v>
      </c>
      <c r="AB8184">
        <v>19</v>
      </c>
      <c r="AC8184">
        <v>0.59940000000000204</v>
      </c>
      <c r="AD8184">
        <v>-6.90189999999999E-2</v>
      </c>
      <c r="AE8184">
        <v>-0.546959999999998</v>
      </c>
      <c r="AF8184">
        <v>-0.577671401584129</v>
      </c>
      <c r="AG8184">
        <v>-6.90189999999999E-2</v>
      </c>
      <c r="AH8184">
        <v>0.56153050646788005</v>
      </c>
      <c r="AI8184">
        <v>94.896692522247903</v>
      </c>
      <c r="AJ8184">
        <v>135.81174661314</v>
      </c>
      <c r="AK8184">
        <v>0.80856934165428695</v>
      </c>
      <c r="AL8184">
        <v>92.433217314317602</v>
      </c>
      <c r="AM8184">
        <v>106.834028412354</v>
      </c>
      <c r="AN8184">
        <v>1.00000000889782</v>
      </c>
    </row>
    <row r="8185" spans="1:40" x14ac:dyDescent="0.25">
      <c r="A8185" t="str">
        <f>"20190303154006087"</f>
        <v>20190303154006087</v>
      </c>
      <c r="B8185" t="str">
        <f>"1551598806076808"</f>
        <v>1551598806076808</v>
      </c>
      <c r="C8185" t="s">
        <v>40</v>
      </c>
      <c r="D8185">
        <v>4.2179209999999996</v>
      </c>
      <c r="E8185">
        <v>0.35803020000000002</v>
      </c>
      <c r="F8185" t="s">
        <v>44</v>
      </c>
      <c r="G8185">
        <v>-300.99369999999999</v>
      </c>
      <c r="H8185">
        <v>1.05349</v>
      </c>
      <c r="I8185">
        <v>-40.293599999999998</v>
      </c>
      <c r="J8185">
        <v>-301.57929999999999</v>
      </c>
      <c r="K8185">
        <v>1.1222019999999999</v>
      </c>
      <c r="L8185">
        <v>-39.766199999999998</v>
      </c>
      <c r="M8185">
        <v>3.338704E-2</v>
      </c>
      <c r="N8185">
        <v>-1.3374270000000001E-2</v>
      </c>
      <c r="O8185">
        <v>-0.99935320000000005</v>
      </c>
      <c r="P8185">
        <v>0.3209263</v>
      </c>
      <c r="Q8185">
        <v>-5.6009959999999998E-2</v>
      </c>
      <c r="R8185">
        <v>-0.94544669999999997</v>
      </c>
      <c r="S8185">
        <v>2.0376280000000002</v>
      </c>
      <c r="T8185">
        <v>-0.2357649</v>
      </c>
      <c r="U8185">
        <v>-2.4695130000000001</v>
      </c>
      <c r="V8185">
        <v>-0.28907820000000001</v>
      </c>
      <c r="W8185">
        <v>-4.3895009999999998E-2</v>
      </c>
      <c r="X8185">
        <v>0.9562986</v>
      </c>
      <c r="Y8185">
        <v>-0.60883559999999903</v>
      </c>
      <c r="Z8185">
        <v>6.1052990000000001E-2</v>
      </c>
      <c r="AA8185">
        <v>0.79094359999999997</v>
      </c>
      <c r="AB8185">
        <v>19</v>
      </c>
      <c r="AC8185">
        <v>0.58559999999999901</v>
      </c>
      <c r="AD8185">
        <v>-6.8712000000000106E-2</v>
      </c>
      <c r="AE8185">
        <v>-0.52739999999999998</v>
      </c>
      <c r="AF8185">
        <v>-0.56338083841474496</v>
      </c>
      <c r="AG8185">
        <v>-6.8712000000000106E-2</v>
      </c>
      <c r="AH8185">
        <v>0.54253485104061605</v>
      </c>
      <c r="AI8185">
        <v>95.020621775109504</v>
      </c>
      <c r="AJ8185">
        <v>136.079870446505</v>
      </c>
      <c r="AK8185">
        <v>0.78515181502086895</v>
      </c>
      <c r="AL8185">
        <v>92.515807166536703</v>
      </c>
      <c r="AM8185">
        <v>106.81947036316301</v>
      </c>
      <c r="AN8185">
        <v>0.99999999499004999</v>
      </c>
    </row>
    <row r="8186" spans="1:40" x14ac:dyDescent="0.25">
      <c r="A8186" t="str">
        <f>"20190303154006109"</f>
        <v>20190303154006109</v>
      </c>
      <c r="B8186" t="str">
        <f>"1551598806107063"</f>
        <v>1551598806107063</v>
      </c>
      <c r="C8186" t="s">
        <v>40</v>
      </c>
      <c r="D8186">
        <v>4.234362</v>
      </c>
      <c r="E8186">
        <v>0.3591144</v>
      </c>
      <c r="F8186" t="s">
        <v>44</v>
      </c>
      <c r="G8186">
        <v>-301.0016</v>
      </c>
      <c r="H8186">
        <v>1.055045</v>
      </c>
      <c r="I8186">
        <v>-40.467080000000003</v>
      </c>
      <c r="J8186">
        <v>-301.57089999999999</v>
      </c>
      <c r="K8186">
        <v>1.1221859999999999</v>
      </c>
      <c r="L8186">
        <v>-39.953980000000001</v>
      </c>
      <c r="M8186">
        <v>3.5191279999999998E-2</v>
      </c>
      <c r="N8186">
        <v>-1.33863E-2</v>
      </c>
      <c r="O8186">
        <v>-0.99929109999999999</v>
      </c>
      <c r="P8186">
        <v>0.32166139999999999</v>
      </c>
      <c r="Q8186">
        <v>-5.7218869999999998E-2</v>
      </c>
      <c r="R8186">
        <v>-0.94512450000000003</v>
      </c>
      <c r="S8186">
        <v>2.0346679999999999</v>
      </c>
      <c r="T8186">
        <v>-0.23652609999999999</v>
      </c>
      <c r="U8186">
        <v>-2.468445</v>
      </c>
      <c r="V8186">
        <v>-0.28809649999999998</v>
      </c>
      <c r="W8186">
        <v>-4.508036E-2</v>
      </c>
      <c r="X8186">
        <v>0.95653969999999999</v>
      </c>
      <c r="Y8186">
        <v>-0.60699409999999998</v>
      </c>
      <c r="Z8186">
        <v>6.1388209999999999E-2</v>
      </c>
      <c r="AA8186">
        <v>0.79233180000000003</v>
      </c>
      <c r="AB8186">
        <v>19</v>
      </c>
      <c r="AC8186">
        <v>0.56929999999999803</v>
      </c>
      <c r="AD8186">
        <v>-6.7141000000000103E-2</v>
      </c>
      <c r="AE8186">
        <v>-0.51309999999999401</v>
      </c>
      <c r="AF8186">
        <v>-0.54669334704757699</v>
      </c>
      <c r="AG8186">
        <v>-6.7141000000000103E-2</v>
      </c>
      <c r="AH8186">
        <v>0.52876024346274997</v>
      </c>
      <c r="AI8186">
        <v>95.044859077278005</v>
      </c>
      <c r="AJ8186">
        <v>135.95531405688101</v>
      </c>
      <c r="AK8186">
        <v>0.76352401707730799</v>
      </c>
      <c r="AL8186">
        <v>92.583789979195799</v>
      </c>
      <c r="AM8186">
        <v>106.761573233848</v>
      </c>
      <c r="AN8186">
        <v>1.0000000149230299</v>
      </c>
    </row>
    <row r="8187" spans="1:40" x14ac:dyDescent="0.25">
      <c r="A8187" t="str">
        <f>"20190303154006132"</f>
        <v>20190303154006132</v>
      </c>
      <c r="B8187" t="str">
        <f>"1551598806126583"</f>
        <v>1551598806126583</v>
      </c>
      <c r="C8187" t="s">
        <v>40</v>
      </c>
      <c r="D8187">
        <v>4.2336660000000004</v>
      </c>
      <c r="E8187">
        <v>0.3594986</v>
      </c>
      <c r="F8187" t="s">
        <v>44</v>
      </c>
      <c r="G8187">
        <v>-301.0077</v>
      </c>
      <c r="H8187">
        <v>1.056279</v>
      </c>
      <c r="I8187">
        <v>-40.639949999999999</v>
      </c>
      <c r="J8187">
        <v>-301.56200000000001</v>
      </c>
      <c r="K8187">
        <v>1.122177</v>
      </c>
      <c r="L8187">
        <v>-40.14273</v>
      </c>
      <c r="M8187">
        <v>3.7010510000000003E-2</v>
      </c>
      <c r="N8187">
        <v>-1.3396369999999999E-2</v>
      </c>
      <c r="O8187">
        <v>-0.99922540000000004</v>
      </c>
      <c r="P8187">
        <v>0.32215680000000002</v>
      </c>
      <c r="Q8187">
        <v>-5.7327400000000001E-2</v>
      </c>
      <c r="R8187">
        <v>-0.94494929999999999</v>
      </c>
      <c r="S8187">
        <v>2.0283199999999999</v>
      </c>
      <c r="T8187">
        <v>-0.23727429999999999</v>
      </c>
      <c r="U8187">
        <v>-2.4694820000000002</v>
      </c>
      <c r="V8187">
        <v>-0.28685769999999999</v>
      </c>
      <c r="W8187">
        <v>-4.5166890000000001E-2</v>
      </c>
      <c r="X8187">
        <v>0.95690779999999998</v>
      </c>
      <c r="Y8187">
        <v>-0.60415450000000004</v>
      </c>
      <c r="Z8187">
        <v>6.1731830000000001E-2</v>
      </c>
      <c r="AA8187">
        <v>0.79447250000000003</v>
      </c>
      <c r="AB8187">
        <v>19</v>
      </c>
      <c r="AC8187">
        <v>0.55430000000001201</v>
      </c>
      <c r="AD8187">
        <v>-6.5897999999999707E-2</v>
      </c>
      <c r="AE8187">
        <v>-0.497219999999998</v>
      </c>
      <c r="AF8187">
        <v>-0.53135469338938701</v>
      </c>
      <c r="AG8187">
        <v>-6.5897999999999707E-2</v>
      </c>
      <c r="AH8187">
        <v>0.51337538912205505</v>
      </c>
      <c r="AI8187">
        <v>95.096755667871903</v>
      </c>
      <c r="AJ8187">
        <v>135.985935592884</v>
      </c>
      <c r="AK8187">
        <v>0.74177803064471504</v>
      </c>
      <c r="AL8187">
        <v>92.588752972933506</v>
      </c>
      <c r="AM8187">
        <v>106.68745288467299</v>
      </c>
      <c r="AN8187">
        <v>0.99999996285119996</v>
      </c>
    </row>
    <row r="8188" spans="1:40" x14ac:dyDescent="0.25">
      <c r="A8188" t="str">
        <f>"20190303154006153"</f>
        <v>20190303154006153</v>
      </c>
      <c r="B8188" t="str">
        <f>"1551598806147079"</f>
        <v>1551598806147079</v>
      </c>
      <c r="C8188" t="s">
        <v>40</v>
      </c>
      <c r="D8188">
        <v>4.2153989999999997</v>
      </c>
      <c r="E8188">
        <v>0.35982209999999998</v>
      </c>
      <c r="F8188" t="s">
        <v>63</v>
      </c>
      <c r="G8188">
        <v>-292.00639999999999</v>
      </c>
      <c r="H8188" s="1">
        <v>-9.9200679999999992E-6</v>
      </c>
      <c r="I8188">
        <v>-51.787059999999997</v>
      </c>
      <c r="J8188">
        <v>-301.55270000000002</v>
      </c>
      <c r="K8188">
        <v>1.122187</v>
      </c>
      <c r="L8188">
        <v>-40.333500000000001</v>
      </c>
      <c r="M8188">
        <v>3.8854979999999997E-2</v>
      </c>
      <c r="N8188">
        <v>-1.3404859999999999E-2</v>
      </c>
      <c r="O8188">
        <v>-0.99915500000000002</v>
      </c>
      <c r="P8188">
        <v>0.32280969999999998</v>
      </c>
      <c r="Q8188">
        <v>-5.6011560000000002E-2</v>
      </c>
      <c r="R8188">
        <v>-0.94480520000000001</v>
      </c>
      <c r="S8188">
        <v>2.0264890000000002</v>
      </c>
      <c r="T8188">
        <v>-0.23798610000000001</v>
      </c>
      <c r="U8188">
        <v>-2.469452</v>
      </c>
      <c r="V8188">
        <v>-0.28575349999999999</v>
      </c>
      <c r="W8188">
        <v>-4.3831920000000003E-2</v>
      </c>
      <c r="X8188">
        <v>0.95730020000000005</v>
      </c>
      <c r="Y8188">
        <v>-0.60232589999999997</v>
      </c>
      <c r="Z8188">
        <v>6.2020779999999998E-2</v>
      </c>
      <c r="AA8188">
        <v>0.79583729999999997</v>
      </c>
      <c r="AB8188">
        <v>19</v>
      </c>
      <c r="AC8188">
        <v>9.5463000000000306</v>
      </c>
      <c r="AD8188">
        <v>-1.122196920068</v>
      </c>
      <c r="AE8188">
        <v>-11.4535599999999</v>
      </c>
      <c r="AF8188">
        <v>-9.04279845609984</v>
      </c>
      <c r="AG8188">
        <v>-1.122196920068</v>
      </c>
      <c r="AH8188">
        <v>11.7493091179121</v>
      </c>
      <c r="AI8188">
        <v>94.328449142019394</v>
      </c>
      <c r="AJ8188">
        <v>127.583504201628</v>
      </c>
      <c r="AK8188">
        <v>14.868685032419799</v>
      </c>
      <c r="AL8188">
        <v>92.5121889148039</v>
      </c>
      <c r="AM8188">
        <v>106.62033080974101</v>
      </c>
      <c r="AN8188">
        <v>0.99999998644658805</v>
      </c>
    </row>
    <row r="8189" spans="1:40" x14ac:dyDescent="0.25">
      <c r="A8189" t="str">
        <f>"20190303154006176"</f>
        <v>20190303154006176</v>
      </c>
      <c r="B8189" t="str">
        <f>"1551598806166599"</f>
        <v>1551598806166599</v>
      </c>
      <c r="C8189" t="s">
        <v>40</v>
      </c>
      <c r="D8189">
        <v>4.1864569999999999</v>
      </c>
      <c r="E8189">
        <v>0.36016670000000001</v>
      </c>
      <c r="F8189" t="s">
        <v>63</v>
      </c>
      <c r="G8189">
        <v>-291.8793</v>
      </c>
      <c r="H8189" s="1">
        <v>-9.9266540000000002E-6</v>
      </c>
      <c r="I8189">
        <v>-52.125120000000003</v>
      </c>
      <c r="J8189">
        <v>-301.54309999999998</v>
      </c>
      <c r="K8189">
        <v>1.1221939999999999</v>
      </c>
      <c r="L8189">
        <v>-40.523589999999999</v>
      </c>
      <c r="M8189">
        <v>4.0698819999999997E-2</v>
      </c>
      <c r="N8189">
        <v>-1.3411910000000001E-2</v>
      </c>
      <c r="O8189">
        <v>-0.99908160000000001</v>
      </c>
      <c r="P8189">
        <v>0.32374950000000002</v>
      </c>
      <c r="Q8189">
        <v>-5.5626540000000002E-2</v>
      </c>
      <c r="R8189">
        <v>-0.94450630000000002</v>
      </c>
      <c r="S8189">
        <v>2.025665</v>
      </c>
      <c r="T8189">
        <v>-0.2349948</v>
      </c>
      <c r="U8189">
        <v>-2.4692379999999998</v>
      </c>
      <c r="V8189">
        <v>-0.28493980000000002</v>
      </c>
      <c r="W8189">
        <v>-4.3432760000000001E-2</v>
      </c>
      <c r="X8189">
        <v>0.95756090000000005</v>
      </c>
      <c r="Y8189">
        <v>-0.6007673</v>
      </c>
      <c r="Z8189">
        <v>6.1134000000000001E-2</v>
      </c>
      <c r="AA8189">
        <v>0.79708299999999999</v>
      </c>
      <c r="AB8189">
        <v>19</v>
      </c>
      <c r="AC8189">
        <v>9.6637999999999806</v>
      </c>
      <c r="AD8189">
        <v>-1.122203926654</v>
      </c>
      <c r="AE8189">
        <v>-11.601529999999901</v>
      </c>
      <c r="AF8189">
        <v>-9.1331311174559406</v>
      </c>
      <c r="AG8189">
        <v>-1.122203926654</v>
      </c>
      <c r="AH8189">
        <v>11.9194160043384</v>
      </c>
      <c r="AI8189">
        <v>94.273931163024798</v>
      </c>
      <c r="AJ8189">
        <v>127.46077323421</v>
      </c>
      <c r="AK8189">
        <v>15.058084325242699</v>
      </c>
      <c r="AL8189">
        <v>92.489296931712303</v>
      </c>
      <c r="AM8189">
        <v>106.57133838297</v>
      </c>
      <c r="AN8189">
        <v>0.99999998573703297</v>
      </c>
    </row>
    <row r="8190" spans="1:40" x14ac:dyDescent="0.25">
      <c r="A8190" t="str">
        <f>"20190303154006201"</f>
        <v>20190303154006201</v>
      </c>
      <c r="B8190" t="str">
        <f>"1551598806196855"</f>
        <v>1551598806196855</v>
      </c>
      <c r="C8190" t="s">
        <v>40</v>
      </c>
      <c r="D8190">
        <v>4.2168060000000001</v>
      </c>
      <c r="E8190">
        <v>0.36040719999999998</v>
      </c>
      <c r="F8190" t="s">
        <v>44</v>
      </c>
      <c r="G8190">
        <v>-300.90699999999998</v>
      </c>
      <c r="H8190">
        <v>1.049326</v>
      </c>
      <c r="I8190">
        <v>-41.298929999999999</v>
      </c>
      <c r="J8190">
        <v>-301.53199999999998</v>
      </c>
      <c r="K8190">
        <v>1.1222019999999999</v>
      </c>
      <c r="L8190">
        <v>-40.734250000000003</v>
      </c>
      <c r="M8190">
        <v>4.2747680000000003E-2</v>
      </c>
      <c r="N8190">
        <v>-1.341825E-2</v>
      </c>
      <c r="O8190">
        <v>-0.998996</v>
      </c>
      <c r="P8190">
        <v>0.32566009999999901</v>
      </c>
      <c r="Q8190">
        <v>-5.5865579999999998E-2</v>
      </c>
      <c r="R8190">
        <v>-0.94383510000000004</v>
      </c>
      <c r="S8190">
        <v>2.025604</v>
      </c>
      <c r="T8190">
        <v>-0.23199030000000001</v>
      </c>
      <c r="U8190">
        <v>-2.4682919999999999</v>
      </c>
      <c r="V8190">
        <v>-0.284914099999999</v>
      </c>
      <c r="W8190">
        <v>-4.366432E-2</v>
      </c>
      <c r="X8190">
        <v>0.95755800000000002</v>
      </c>
      <c r="Y8190">
        <v>-0.59930490000000003</v>
      </c>
      <c r="Z8190">
        <v>6.0249249999999997E-2</v>
      </c>
      <c r="AA8190">
        <v>0.79825029999999997</v>
      </c>
      <c r="AB8190">
        <v>19</v>
      </c>
      <c r="AC8190">
        <v>0.625</v>
      </c>
      <c r="AD8190">
        <v>-7.2876000000000093E-2</v>
      </c>
      <c r="AE8190">
        <v>-0.56467999999999496</v>
      </c>
      <c r="AF8190">
        <v>-0.59582755991277303</v>
      </c>
      <c r="AG8190">
        <v>-7.2876000000000093E-2</v>
      </c>
      <c r="AH8190">
        <v>0.58649320921223103</v>
      </c>
      <c r="AI8190">
        <v>94.981693233911301</v>
      </c>
      <c r="AJ8190">
        <v>135.45233730325199</v>
      </c>
      <c r="AK8190">
        <v>0.83922325812603105</v>
      </c>
      <c r="AL8190">
        <v>92.502576979894201</v>
      </c>
      <c r="AM8190">
        <v>106.569973128786</v>
      </c>
      <c r="AN8190">
        <v>0.99999997029193499</v>
      </c>
    </row>
    <row r="8191" spans="1:40" x14ac:dyDescent="0.25">
      <c r="A8191" t="str">
        <f>"20190303154006221"</f>
        <v>20190303154006221</v>
      </c>
      <c r="B8191" t="str">
        <f>"1551598806216375"</f>
        <v>1551598806216375</v>
      </c>
      <c r="C8191" t="s">
        <v>40</v>
      </c>
      <c r="D8191">
        <v>4.1998179999999996</v>
      </c>
      <c r="E8191">
        <v>0.36041000000000001</v>
      </c>
      <c r="F8191" t="s">
        <v>44</v>
      </c>
      <c r="G8191">
        <v>-300.92419999999998</v>
      </c>
      <c r="H8191">
        <v>1.0532889999999999</v>
      </c>
      <c r="I8191">
        <v>-41.472850000000001</v>
      </c>
      <c r="J8191">
        <v>-301.52300000000002</v>
      </c>
      <c r="K8191">
        <v>1.122209</v>
      </c>
      <c r="L8191">
        <v>-40.89902</v>
      </c>
      <c r="M8191">
        <v>4.4352839999999998E-2</v>
      </c>
      <c r="N8191">
        <v>-1.342229E-2</v>
      </c>
      <c r="O8191">
        <v>-0.99892599999999998</v>
      </c>
      <c r="P8191">
        <v>0.3282987</v>
      </c>
      <c r="Q8191">
        <v>-5.604025E-2</v>
      </c>
      <c r="R8191">
        <v>-0.94291060000000004</v>
      </c>
      <c r="S8191">
        <v>2.0286870000000001</v>
      </c>
      <c r="T8191">
        <v>-0.22998679999999999</v>
      </c>
      <c r="U8191">
        <v>-2.4649350000000001</v>
      </c>
      <c r="V8191">
        <v>-0.28605269999999999</v>
      </c>
      <c r="W8191">
        <v>-4.3841749999999999E-2</v>
      </c>
      <c r="X8191">
        <v>0.95721040000000002</v>
      </c>
      <c r="Y8191">
        <v>-0.59917290000000001</v>
      </c>
      <c r="Z8191">
        <v>5.9669380000000001E-2</v>
      </c>
      <c r="AA8191">
        <v>0.79839300000000002</v>
      </c>
      <c r="AB8191">
        <v>19</v>
      </c>
      <c r="AC8191">
        <v>0.59879999999998201</v>
      </c>
      <c r="AD8191">
        <v>-6.8919999999999995E-2</v>
      </c>
      <c r="AE8191">
        <v>-0.57383000000000095</v>
      </c>
      <c r="AF8191">
        <v>-0.56882924584461803</v>
      </c>
      <c r="AG8191">
        <v>-6.8919999999999995E-2</v>
      </c>
      <c r="AH8191">
        <v>0.59571232237707195</v>
      </c>
      <c r="AI8191">
        <v>94.783014913140704</v>
      </c>
      <c r="AJ8191">
        <v>133.677579789828</v>
      </c>
      <c r="AK8191">
        <v>0.82655299186443099</v>
      </c>
      <c r="AL8191">
        <v>92.512752645103205</v>
      </c>
      <c r="AM8191">
        <v>106.638246384811</v>
      </c>
      <c r="AN8191">
        <v>0.99999999804425599</v>
      </c>
    </row>
    <row r="8192" spans="1:40" x14ac:dyDescent="0.25">
      <c r="A8192" t="str">
        <f>"20190303154006242"</f>
        <v>20190303154006242</v>
      </c>
      <c r="B8192" t="str">
        <f>"1551598806236871"</f>
        <v>1551598806236871</v>
      </c>
      <c r="C8192" t="s">
        <v>40</v>
      </c>
      <c r="D8192">
        <v>4.1966720000000004</v>
      </c>
      <c r="E8192">
        <v>0.36027769999999998</v>
      </c>
      <c r="F8192" t="s">
        <v>44</v>
      </c>
      <c r="G8192">
        <v>-300.91019999999997</v>
      </c>
      <c r="H8192">
        <v>1.0537259999999999</v>
      </c>
      <c r="I8192">
        <v>-41.63955</v>
      </c>
      <c r="J8192">
        <v>-301.51249999999999</v>
      </c>
      <c r="K8192">
        <v>1.1222160000000001</v>
      </c>
      <c r="L8192">
        <v>-41.085909999999998</v>
      </c>
      <c r="M8192">
        <v>4.6175300000000002E-2</v>
      </c>
      <c r="N8192">
        <v>-1.342603E-2</v>
      </c>
      <c r="O8192">
        <v>-0.99884309999999998</v>
      </c>
      <c r="P8192">
        <v>0.33217609999999997</v>
      </c>
      <c r="Q8192">
        <v>-5.5181590000000003E-2</v>
      </c>
      <c r="R8192">
        <v>-0.94160180000000004</v>
      </c>
      <c r="S8192">
        <v>2.035736</v>
      </c>
      <c r="T8192">
        <v>-0.22744549999999999</v>
      </c>
      <c r="U8192">
        <v>-2.45932</v>
      </c>
      <c r="V8192">
        <v>-0.28824260000000002</v>
      </c>
      <c r="W8192">
        <v>-4.2991990000000001E-2</v>
      </c>
      <c r="X8192">
        <v>0.95659179999999999</v>
      </c>
      <c r="Y8192">
        <v>-0.59999840000000004</v>
      </c>
      <c r="Z8192">
        <v>5.8909299999999998E-2</v>
      </c>
      <c r="AA8192">
        <v>0.79782940000000002</v>
      </c>
      <c r="AB8192">
        <v>19</v>
      </c>
      <c r="AC8192">
        <v>0.60230000000001305</v>
      </c>
      <c r="AD8192">
        <v>-6.8489999999999898E-2</v>
      </c>
      <c r="AE8192">
        <v>-0.55364000000000102</v>
      </c>
      <c r="AF8192">
        <v>-0.57208103155244205</v>
      </c>
      <c r="AG8192">
        <v>-6.8489999999999898E-2</v>
      </c>
      <c r="AH8192">
        <v>0.57682041538272399</v>
      </c>
      <c r="AI8192">
        <v>94.818951740558106</v>
      </c>
      <c r="AJ8192">
        <v>134.76364800355901</v>
      </c>
      <c r="AK8192">
        <v>0.81528484492501396</v>
      </c>
      <c r="AL8192">
        <v>92.464019048700095</v>
      </c>
      <c r="AM8192">
        <v>106.768734239388</v>
      </c>
      <c r="AN8192">
        <v>0.99999998974308002</v>
      </c>
    </row>
    <row r="8193" spans="1:40" x14ac:dyDescent="0.25">
      <c r="A8193" t="str">
        <f>"20190303154006266"</f>
        <v>20190303154006266</v>
      </c>
      <c r="B8193" t="str">
        <f>"1551598806256392"</f>
        <v>1551598806256392</v>
      </c>
      <c r="C8193" t="s">
        <v>40</v>
      </c>
      <c r="D8193">
        <v>4.1678550000000003</v>
      </c>
      <c r="E8193">
        <v>0.36015589999999997</v>
      </c>
      <c r="F8193" t="s">
        <v>44</v>
      </c>
      <c r="G8193">
        <v>-300.90839999999997</v>
      </c>
      <c r="H8193">
        <v>1.0561929999999999</v>
      </c>
      <c r="I8193">
        <v>-41.809260000000002</v>
      </c>
      <c r="J8193">
        <v>-301.50139999999999</v>
      </c>
      <c r="K8193">
        <v>1.1222270000000001</v>
      </c>
      <c r="L8193">
        <v>-41.279359999999997</v>
      </c>
      <c r="M8193">
        <v>4.8063839999999997E-2</v>
      </c>
      <c r="N8193">
        <v>-1.3429099999999999E-2</v>
      </c>
      <c r="O8193">
        <v>-0.99875420000000004</v>
      </c>
      <c r="P8193">
        <v>0.33633239999999998</v>
      </c>
      <c r="Q8193">
        <v>-5.3843240000000001E-2</v>
      </c>
      <c r="R8193">
        <v>-0.94020309999999996</v>
      </c>
      <c r="S8193">
        <v>2.0470579999999998</v>
      </c>
      <c r="T8193">
        <v>-0.22368959999999999</v>
      </c>
      <c r="U8193">
        <v>-2.4507750000000001</v>
      </c>
      <c r="V8193">
        <v>-0.2906569</v>
      </c>
      <c r="W8193">
        <v>-4.1664619999999999E-2</v>
      </c>
      <c r="X8193">
        <v>0.95591979999999999</v>
      </c>
      <c r="Y8193">
        <v>-0.60207189999999999</v>
      </c>
      <c r="Z8193">
        <v>5.775914E-2</v>
      </c>
      <c r="AA8193">
        <v>0.79634989999999894</v>
      </c>
      <c r="AB8193">
        <v>19</v>
      </c>
      <c r="AC8193">
        <v>0.59300000000001696</v>
      </c>
      <c r="AD8193">
        <v>-6.6034000000000107E-2</v>
      </c>
      <c r="AE8193">
        <v>-0.52989999999999704</v>
      </c>
      <c r="AF8193">
        <v>-0.56296176739748205</v>
      </c>
      <c r="AG8193">
        <v>-6.6034000000000107E-2</v>
      </c>
      <c r="AH8193">
        <v>0.55397242761996401</v>
      </c>
      <c r="AI8193">
        <v>94.779194642520395</v>
      </c>
      <c r="AJ8193">
        <v>135.46111947503701</v>
      </c>
      <c r="AK8193">
        <v>0.79257295643394998</v>
      </c>
      <c r="AL8193">
        <v>92.3878980504591</v>
      </c>
      <c r="AM8193">
        <v>106.912414597592</v>
      </c>
      <c r="AN8193">
        <v>1.00000001905469</v>
      </c>
    </row>
    <row r="8194" spans="1:40" x14ac:dyDescent="0.25">
      <c r="A8194" t="str">
        <f>"20190303154006288"</f>
        <v>20190303154006288</v>
      </c>
      <c r="B8194" t="str">
        <f>"1551598806276888"</f>
        <v>1551598806276888</v>
      </c>
      <c r="C8194" t="s">
        <v>40</v>
      </c>
      <c r="D8194">
        <v>4.1593280000000004</v>
      </c>
      <c r="E8194">
        <v>0.36018499999999998</v>
      </c>
      <c r="F8194" t="s">
        <v>44</v>
      </c>
      <c r="G8194">
        <v>-300.91070000000002</v>
      </c>
      <c r="H8194">
        <v>1.0598939999999999</v>
      </c>
      <c r="I8194">
        <v>-41.979939999999999</v>
      </c>
      <c r="J8194">
        <v>-301.49040000000002</v>
      </c>
      <c r="K8194">
        <v>1.122241</v>
      </c>
      <c r="L8194">
        <v>-41.46255</v>
      </c>
      <c r="M8194">
        <v>4.9861339999999997E-2</v>
      </c>
      <c r="N8194">
        <v>-1.34314E-2</v>
      </c>
      <c r="O8194">
        <v>-0.99866600000000005</v>
      </c>
      <c r="P8194">
        <v>0.33932489999999998</v>
      </c>
      <c r="Q8194">
        <v>-5.3158299999999999E-2</v>
      </c>
      <c r="R8194">
        <v>-0.93916630000000001</v>
      </c>
      <c r="S8194">
        <v>2.0588989999999998</v>
      </c>
      <c r="T8194">
        <v>-0.21725939999999999</v>
      </c>
      <c r="U8194">
        <v>-2.4418329999999999</v>
      </c>
      <c r="V8194">
        <v>-0.29197840000000003</v>
      </c>
      <c r="W8194">
        <v>-4.0987240000000001E-2</v>
      </c>
      <c r="X8194">
        <v>0.95554629999999996</v>
      </c>
      <c r="Y8194">
        <v>-0.6044081</v>
      </c>
      <c r="Z8194">
        <v>5.5760070000000002E-2</v>
      </c>
      <c r="AA8194">
        <v>0.79472109999999996</v>
      </c>
      <c r="AB8194">
        <v>19</v>
      </c>
      <c r="AC8194">
        <v>0.57970000000000199</v>
      </c>
      <c r="AD8194">
        <v>-6.2346999999999902E-2</v>
      </c>
      <c r="AE8194">
        <v>-0.51738999999999802</v>
      </c>
      <c r="AF8194">
        <v>-0.54963992688755203</v>
      </c>
      <c r="AG8194">
        <v>-6.2346999999999902E-2</v>
      </c>
      <c r="AH8194">
        <v>0.54216288853997097</v>
      </c>
      <c r="AI8194">
        <v>94.616973273614903</v>
      </c>
      <c r="AJ8194">
        <v>135.39237492098101</v>
      </c>
      <c r="AK8194">
        <v>0.77455264207667496</v>
      </c>
      <c r="AL8194">
        <v>92.349053812392</v>
      </c>
      <c r="AM8194">
        <v>106.991147920187</v>
      </c>
      <c r="AN8194">
        <v>1.00000003567653</v>
      </c>
    </row>
    <row r="8195" spans="1:40" x14ac:dyDescent="0.25">
      <c r="A8195" t="str">
        <f>"20190303154006313"</f>
        <v>20190303154006313</v>
      </c>
      <c r="B8195" t="str">
        <f>"1551598806306167"</f>
        <v>1551598806306167</v>
      </c>
      <c r="C8195" t="s">
        <v>40</v>
      </c>
      <c r="D8195">
        <v>4.1767130000000003</v>
      </c>
      <c r="E8195">
        <v>0.36004720000000001</v>
      </c>
      <c r="F8195" t="s">
        <v>44</v>
      </c>
      <c r="G8195">
        <v>-300.90789999999998</v>
      </c>
      <c r="H8195">
        <v>1.0619080000000001</v>
      </c>
      <c r="I8195">
        <v>-42.14911</v>
      </c>
      <c r="J8195">
        <v>-301.4776</v>
      </c>
      <c r="K8195">
        <v>1.12226</v>
      </c>
      <c r="L8195">
        <v>-41.669800000000002</v>
      </c>
      <c r="M8195">
        <v>5.1930270000000001E-2</v>
      </c>
      <c r="N8195">
        <v>-1.343368E-2</v>
      </c>
      <c r="O8195">
        <v>-0.99856040000000001</v>
      </c>
      <c r="P8195">
        <v>0.34149040000000003</v>
      </c>
      <c r="Q8195">
        <v>-5.3673159999999998E-2</v>
      </c>
      <c r="R8195">
        <v>-0.93835159999999995</v>
      </c>
      <c r="S8195">
        <v>2.066589</v>
      </c>
      <c r="T8195">
        <v>-0.21403150000000001</v>
      </c>
      <c r="U8195">
        <v>-2.4355470000000001</v>
      </c>
      <c r="V8195">
        <v>-0.29220180000000001</v>
      </c>
      <c r="W8195">
        <v>-4.1512149999999998E-2</v>
      </c>
      <c r="X8195">
        <v>0.95545530000000001</v>
      </c>
      <c r="Y8195">
        <v>-0.60526800000000003</v>
      </c>
      <c r="Z8195">
        <v>5.4786790000000002E-2</v>
      </c>
      <c r="AA8195">
        <v>0.79413409999999995</v>
      </c>
      <c r="AB8195">
        <v>19</v>
      </c>
      <c r="AC8195">
        <v>0.56970000000001098</v>
      </c>
      <c r="AD8195">
        <v>-6.0351999999999899E-2</v>
      </c>
      <c r="AE8195">
        <v>-0.47930999999999802</v>
      </c>
      <c r="AF8195">
        <v>-0.54048661049424995</v>
      </c>
      <c r="AG8195">
        <v>-6.0351999999999899E-2</v>
      </c>
      <c r="AH8195">
        <v>0.504932512082098</v>
      </c>
      <c r="AI8195">
        <v>94.6647330546311</v>
      </c>
      <c r="AJ8195">
        <v>136.94784549712901</v>
      </c>
      <c r="AK8195">
        <v>0.742108470363397</v>
      </c>
      <c r="AL8195">
        <v>92.379154666723196</v>
      </c>
      <c r="AM8195">
        <v>107.00492458850501</v>
      </c>
      <c r="AN8195">
        <v>0.99999999040947596</v>
      </c>
    </row>
    <row r="8196" spans="1:40" x14ac:dyDescent="0.25">
      <c r="A8196" t="str">
        <f>"20190303154006333"</f>
        <v>20190303154006333</v>
      </c>
      <c r="B8196" t="str">
        <f>"1551598806326663"</f>
        <v>1551598806326663</v>
      </c>
      <c r="C8196" t="s">
        <v>40</v>
      </c>
      <c r="D8196">
        <v>4.1554029999999997</v>
      </c>
      <c r="E8196">
        <v>0.35999989999999998</v>
      </c>
      <c r="F8196" t="s">
        <v>63</v>
      </c>
      <c r="G8196">
        <v>-290.64569999999998</v>
      </c>
      <c r="H8196" s="1">
        <v>-1.014885E-5</v>
      </c>
      <c r="I8196">
        <v>-54.368250000000003</v>
      </c>
      <c r="J8196">
        <v>-301.46660000000003</v>
      </c>
      <c r="K8196">
        <v>1.122277</v>
      </c>
      <c r="L8196">
        <v>-41.840670000000003</v>
      </c>
      <c r="M8196">
        <v>5.3680579999999999E-2</v>
      </c>
      <c r="N8196">
        <v>-1.343548E-2</v>
      </c>
      <c r="O8196">
        <v>-0.99846769999999996</v>
      </c>
      <c r="P8196">
        <v>0.34239730000000002</v>
      </c>
      <c r="Q8196">
        <v>-5.4791430000000002E-2</v>
      </c>
      <c r="R8196">
        <v>-0.93795649999999997</v>
      </c>
      <c r="S8196">
        <v>2.0731199999999999</v>
      </c>
      <c r="T8196">
        <v>-0.2147915</v>
      </c>
      <c r="U8196">
        <v>-2.4303590000000002</v>
      </c>
      <c r="V8196">
        <v>-0.29144920000000002</v>
      </c>
      <c r="W8196">
        <v>-4.2643159999999999E-2</v>
      </c>
      <c r="X8196">
        <v>0.95563540000000002</v>
      </c>
      <c r="Y8196">
        <v>-0.60593549999999996</v>
      </c>
      <c r="Z8196">
        <v>5.5064090000000003E-2</v>
      </c>
      <c r="AA8196">
        <v>0.79360580000000003</v>
      </c>
      <c r="AB8196">
        <v>19</v>
      </c>
      <c r="AC8196">
        <v>10.8209</v>
      </c>
      <c r="AD8196">
        <v>-1.1222871488499999</v>
      </c>
      <c r="AE8196">
        <v>-12.52758</v>
      </c>
      <c r="AF8196">
        <v>-10.086386784695</v>
      </c>
      <c r="AG8196">
        <v>-1.1222871488499999</v>
      </c>
      <c r="AH8196">
        <v>13.030546566332101</v>
      </c>
      <c r="AI8196">
        <v>93.896254120041405</v>
      </c>
      <c r="AJ8196">
        <v>127.741916129066</v>
      </c>
      <c r="AK8196">
        <v>16.5163516138491</v>
      </c>
      <c r="AL8196">
        <v>92.444014076525207</v>
      </c>
      <c r="AM8196">
        <v>106.96063092633101</v>
      </c>
      <c r="AN8196">
        <v>1.00000004650429</v>
      </c>
    </row>
    <row r="8197" spans="1:40" x14ac:dyDescent="0.25">
      <c r="A8197" t="str">
        <f>"20190303154006354"</f>
        <v>20190303154006354</v>
      </c>
      <c r="B8197" t="str">
        <f>"1551598806346183"</f>
        <v>1551598806346183</v>
      </c>
      <c r="C8197" t="s">
        <v>40</v>
      </c>
      <c r="D8197">
        <v>4.1293550000000003</v>
      </c>
      <c r="E8197">
        <v>0.3599289</v>
      </c>
      <c r="F8197" t="s">
        <v>63</v>
      </c>
      <c r="G8197">
        <v>-290.73289999999997</v>
      </c>
      <c r="H8197" s="1">
        <v>-1.011448E-5</v>
      </c>
      <c r="I8197">
        <v>-54.394939999999998</v>
      </c>
      <c r="J8197">
        <v>-301.4547</v>
      </c>
      <c r="K8197">
        <v>1.1223050000000001</v>
      </c>
      <c r="L8197">
        <v>-42.022579999999998</v>
      </c>
      <c r="M8197">
        <v>5.5596010000000001E-2</v>
      </c>
      <c r="N8197">
        <v>-1.34374E-2</v>
      </c>
      <c r="O8197">
        <v>-0.99836309999999995</v>
      </c>
      <c r="P8197">
        <v>0.34287010000000001</v>
      </c>
      <c r="Q8197">
        <v>-5.478243E-2</v>
      </c>
      <c r="R8197">
        <v>-0.93778430000000002</v>
      </c>
      <c r="S8197">
        <v>2.0758670000000001</v>
      </c>
      <c r="T8197">
        <v>-0.21704599999999999</v>
      </c>
      <c r="U8197">
        <v>-2.4279480000000002</v>
      </c>
      <c r="V8197">
        <v>-0.29009449999999998</v>
      </c>
      <c r="W8197">
        <v>-4.2650229999999997E-2</v>
      </c>
      <c r="X8197">
        <v>0.95604710000000004</v>
      </c>
      <c r="Y8197">
        <v>-0.60528959999999998</v>
      </c>
      <c r="Z8197">
        <v>5.582144E-2</v>
      </c>
      <c r="AA8197">
        <v>0.79404560000000002</v>
      </c>
      <c r="AB8197">
        <v>19</v>
      </c>
      <c r="AC8197">
        <v>10.7218</v>
      </c>
      <c r="AD8197">
        <v>-1.1223151144800001</v>
      </c>
      <c r="AE8197">
        <v>-12.37236</v>
      </c>
      <c r="AF8197">
        <v>-9.9704431445835695</v>
      </c>
      <c r="AG8197">
        <v>-1.1223151144800001</v>
      </c>
      <c r="AH8197">
        <v>12.8887941884258</v>
      </c>
      <c r="AI8197">
        <v>93.939986390844993</v>
      </c>
      <c r="AJ8197">
        <v>127.72462378709299</v>
      </c>
      <c r="AK8197">
        <v>16.333717989091198</v>
      </c>
      <c r="AL8197">
        <v>92.444419739994601</v>
      </c>
      <c r="AM8197">
        <v>106.879433247747</v>
      </c>
      <c r="AN8197">
        <v>0.99999995923385498</v>
      </c>
    </row>
    <row r="8198" spans="1:40" x14ac:dyDescent="0.25">
      <c r="A8198" t="str">
        <f>"20190303154006377"</f>
        <v>20190303154006377</v>
      </c>
      <c r="B8198" t="str">
        <f>"1551598806366680"</f>
        <v>1551598806366680</v>
      </c>
      <c r="C8198" t="s">
        <v>40</v>
      </c>
      <c r="D8198">
        <v>4.2186300000000001</v>
      </c>
      <c r="E8198">
        <v>0.37657499999999999</v>
      </c>
      <c r="F8198" t="s">
        <v>63</v>
      </c>
      <c r="G8198">
        <v>-290.6934</v>
      </c>
      <c r="H8198" s="1">
        <v>-1.010918E-5</v>
      </c>
      <c r="I8198">
        <v>-54.59158</v>
      </c>
      <c r="J8198">
        <v>-301.44159999999999</v>
      </c>
      <c r="K8198">
        <v>1.1223559999999999</v>
      </c>
      <c r="L8198">
        <v>-42.21378</v>
      </c>
      <c r="M8198">
        <v>5.7692529999999999E-2</v>
      </c>
      <c r="N8198">
        <v>-1.3439639999999999E-2</v>
      </c>
      <c r="O8198">
        <v>-0.99824420000000003</v>
      </c>
      <c r="P8198">
        <v>0.34374650000000001</v>
      </c>
      <c r="Q8198">
        <v>-5.3048829999999998E-2</v>
      </c>
      <c r="R8198">
        <v>-0.93756320000000004</v>
      </c>
      <c r="S8198">
        <v>2.0776979999999998</v>
      </c>
      <c r="T8198">
        <v>-0.21668799999999999</v>
      </c>
      <c r="U8198">
        <v>-2.4267270000000001</v>
      </c>
      <c r="V8198">
        <v>-0.28897349999999999</v>
      </c>
      <c r="W8198">
        <v>-4.0943069999999998E-2</v>
      </c>
      <c r="X8198">
        <v>0.95646120000000001</v>
      </c>
      <c r="Y8198">
        <v>-0.60416610000000004</v>
      </c>
      <c r="Z8198">
        <v>5.574751E-2</v>
      </c>
      <c r="AA8198">
        <v>0.794906</v>
      </c>
      <c r="AB8198">
        <v>19</v>
      </c>
      <c r="AC8198">
        <v>10.748199999999899</v>
      </c>
      <c r="AD8198">
        <v>-1.1223661091799999</v>
      </c>
      <c r="AE8198">
        <v>-12.377800000000001</v>
      </c>
      <c r="AF8198">
        <v>-9.9693915235264203</v>
      </c>
      <c r="AG8198">
        <v>-1.1223661091799999</v>
      </c>
      <c r="AH8198">
        <v>12.916778318560199</v>
      </c>
      <c r="AI8198">
        <v>93.934989125974795</v>
      </c>
      <c r="AJ8198">
        <v>127.661577064642</v>
      </c>
      <c r="AK8198">
        <v>16.355171511275099</v>
      </c>
      <c r="AL8198">
        <v>92.346520961750002</v>
      </c>
      <c r="AM8198">
        <v>106.811025302381</v>
      </c>
      <c r="AN8198">
        <v>1.00000002289435</v>
      </c>
    </row>
    <row r="8199" spans="1:40" x14ac:dyDescent="0.25">
      <c r="A8199" t="str">
        <f>"20190303154006404"</f>
        <v>20190303154006404</v>
      </c>
      <c r="B8199" t="str">
        <f>"1551598806396467"</f>
        <v>1551598806396467</v>
      </c>
      <c r="C8199" t="s">
        <v>40</v>
      </c>
      <c r="D8199">
        <v>4.3182939999999999</v>
      </c>
      <c r="E8199">
        <v>0.39564500000000002</v>
      </c>
      <c r="F8199" t="s">
        <v>44</v>
      </c>
      <c r="G8199">
        <v>-300.83789999999999</v>
      </c>
      <c r="H8199">
        <v>1.0561100000000001</v>
      </c>
      <c r="I8199">
        <v>-42.976779999999998</v>
      </c>
      <c r="J8199">
        <v>-301.42610000000002</v>
      </c>
      <c r="K8199">
        <v>1.1224369999999999</v>
      </c>
      <c r="L8199">
        <v>-42.429470000000002</v>
      </c>
      <c r="M8199">
        <v>6.0200999999999998E-2</v>
      </c>
      <c r="N8199">
        <v>-1.344265E-2</v>
      </c>
      <c r="O8199">
        <v>-0.99809590000000004</v>
      </c>
      <c r="P8199">
        <v>0.34551369999999998</v>
      </c>
      <c r="Q8199">
        <v>-5.171804E-2</v>
      </c>
      <c r="R8199">
        <v>-0.93698769999999998</v>
      </c>
      <c r="S8199">
        <v>1.9553830000000001</v>
      </c>
      <c r="T8199">
        <v>-0.21452860000000001</v>
      </c>
      <c r="U8199">
        <v>-2.4707340000000002</v>
      </c>
      <c r="V8199">
        <v>-0.28836539999999999</v>
      </c>
      <c r="W8199">
        <v>-3.9658930000000002E-2</v>
      </c>
      <c r="X8199">
        <v>0.95669879999999996</v>
      </c>
      <c r="Y8199">
        <v>-0.57100709999999999</v>
      </c>
      <c r="Z8199">
        <v>5.59534E-2</v>
      </c>
      <c r="AA8199">
        <v>0.81903609999999905</v>
      </c>
      <c r="AB8199">
        <v>19</v>
      </c>
      <c r="AC8199">
        <v>0.58820000000002803</v>
      </c>
      <c r="AD8199">
        <v>-6.6326999999999997E-2</v>
      </c>
      <c r="AE8199">
        <v>-0.54730999999999597</v>
      </c>
      <c r="AF8199">
        <v>-0.55043020948320698</v>
      </c>
      <c r="AG8199">
        <v>-6.6326999999999997E-2</v>
      </c>
      <c r="AH8199">
        <v>0.57779291400202304</v>
      </c>
      <c r="AI8199">
        <v>94.751253631019196</v>
      </c>
      <c r="AJ8199">
        <v>133.610682433541</v>
      </c>
      <c r="AK8199">
        <v>0.80076047474365097</v>
      </c>
      <c r="AL8199">
        <v>92.2728853529145</v>
      </c>
      <c r="AM8199">
        <v>106.773706135192</v>
      </c>
      <c r="AN8199">
        <v>1.00000001428367</v>
      </c>
    </row>
    <row r="8200" spans="1:40" x14ac:dyDescent="0.25">
      <c r="A8200" t="str">
        <f>"20190303154006421"</f>
        <v>20190303154006421</v>
      </c>
      <c r="B8200" t="str">
        <f>"1551598806416963"</f>
        <v>1551598806416963</v>
      </c>
      <c r="C8200" t="s">
        <v>40</v>
      </c>
      <c r="D8200">
        <v>4.3049200000000001</v>
      </c>
      <c r="E8200">
        <v>0.3988334</v>
      </c>
      <c r="F8200" t="s">
        <v>44</v>
      </c>
      <c r="G8200">
        <v>-300.89769999999999</v>
      </c>
      <c r="H8200">
        <v>1.062397</v>
      </c>
      <c r="I8200">
        <v>-43.162210000000002</v>
      </c>
      <c r="J8200">
        <v>-301.41480000000001</v>
      </c>
      <c r="K8200">
        <v>1.1225229999999999</v>
      </c>
      <c r="L8200">
        <v>-42.582610000000003</v>
      </c>
      <c r="M8200">
        <v>6.2102249999999998E-2</v>
      </c>
      <c r="N8200">
        <v>-1.3445449999999999E-2</v>
      </c>
      <c r="O8200">
        <v>-0.99797919999999996</v>
      </c>
      <c r="P8200">
        <v>0.34620260000000003</v>
      </c>
      <c r="Q8200">
        <v>-5.1027910000000003E-2</v>
      </c>
      <c r="R8200">
        <v>-0.93677120000000003</v>
      </c>
      <c r="S8200">
        <v>1.8174129999999999</v>
      </c>
      <c r="T8200">
        <v>-0.2064983</v>
      </c>
      <c r="U8200">
        <v>-2.5201720000000001</v>
      </c>
      <c r="V8200">
        <v>-0.28724040000000001</v>
      </c>
      <c r="W8200">
        <v>-3.9005850000000002E-2</v>
      </c>
      <c r="X8200">
        <v>0.95706400000000003</v>
      </c>
      <c r="Y8200">
        <v>-0.5323021</v>
      </c>
      <c r="Z8200">
        <v>5.4221949999999998E-2</v>
      </c>
      <c r="AA8200">
        <v>0.84481620000000002</v>
      </c>
      <c r="AB8200">
        <v>19</v>
      </c>
      <c r="AC8200">
        <v>0.51710000000002698</v>
      </c>
      <c r="AD8200">
        <v>-6.0125999999999902E-2</v>
      </c>
      <c r="AE8200">
        <v>-0.579599999999999</v>
      </c>
      <c r="AF8200">
        <v>-0.47724434895691498</v>
      </c>
      <c r="AG8200">
        <v>-6.0125999999999902E-2</v>
      </c>
      <c r="AH8200">
        <v>0.60696013034646401</v>
      </c>
      <c r="AI8200">
        <v>94.452736166477393</v>
      </c>
      <c r="AJ8200">
        <v>128.177479982938</v>
      </c>
      <c r="AK8200">
        <v>0.77445329382571904</v>
      </c>
      <c r="AL8200">
        <v>92.235437675065398</v>
      </c>
      <c r="AM8200">
        <v>106.70590068339401</v>
      </c>
      <c r="AN8200">
        <v>1.0000000019111901</v>
      </c>
    </row>
    <row r="8201" spans="1:40" x14ac:dyDescent="0.25">
      <c r="A8201" t="str">
        <f>"20190303154006444"</f>
        <v>20190303154006444</v>
      </c>
      <c r="B8201" t="str">
        <f>"1551598806436483"</f>
        <v>1551598806436483</v>
      </c>
      <c r="C8201" t="s">
        <v>40</v>
      </c>
      <c r="D8201">
        <v>4.307493</v>
      </c>
      <c r="E8201">
        <v>0.40080939999999998</v>
      </c>
      <c r="F8201" t="s">
        <v>44</v>
      </c>
      <c r="G8201">
        <v>-300.88569999999999</v>
      </c>
      <c r="H8201">
        <v>1.062961</v>
      </c>
      <c r="I8201">
        <v>-43.327579999999998</v>
      </c>
      <c r="J8201">
        <v>-301.4006</v>
      </c>
      <c r="K8201">
        <v>1.1226309999999999</v>
      </c>
      <c r="L8201">
        <v>-42.766449999999999</v>
      </c>
      <c r="M8201">
        <v>6.4528219999999997E-2</v>
      </c>
      <c r="N8201">
        <v>-1.344967E-2</v>
      </c>
      <c r="O8201">
        <v>-0.99782510000000002</v>
      </c>
      <c r="P8201">
        <v>0.34671439999999998</v>
      </c>
      <c r="Q8201">
        <v>-5.0002119999999997E-2</v>
      </c>
      <c r="R8201">
        <v>-0.93663680000000005</v>
      </c>
      <c r="S8201">
        <v>1.79568499999999</v>
      </c>
      <c r="T8201">
        <v>-0.2021172</v>
      </c>
      <c r="U8201">
        <v>-2.527863</v>
      </c>
      <c r="V8201">
        <v>-0.28542779999999901</v>
      </c>
      <c r="W8201">
        <v>-3.8028859999999998E-2</v>
      </c>
      <c r="X8201">
        <v>0.95764539999999998</v>
      </c>
      <c r="Y8201">
        <v>-0.52424159999999997</v>
      </c>
      <c r="Z8201">
        <v>5.2949589999999998E-2</v>
      </c>
      <c r="AA8201">
        <v>0.84992179999999995</v>
      </c>
      <c r="AB8201">
        <v>19</v>
      </c>
      <c r="AC8201">
        <v>0.51490000000001102</v>
      </c>
      <c r="AD8201">
        <v>-5.96699999999998E-2</v>
      </c>
      <c r="AE8201">
        <v>-0.56112999999999802</v>
      </c>
      <c r="AF8201">
        <v>-0.474700541121163</v>
      </c>
      <c r="AG8201">
        <v>-5.96699999999998E-2</v>
      </c>
      <c r="AH8201">
        <v>0.58956959370321305</v>
      </c>
      <c r="AI8201">
        <v>94.507435842770704</v>
      </c>
      <c r="AJ8201">
        <v>128.83978555952999</v>
      </c>
      <c r="AK8201">
        <v>0.759271636807339</v>
      </c>
      <c r="AL8201">
        <v>92.179418774035199</v>
      </c>
      <c r="AM8201">
        <v>106.59677496513601</v>
      </c>
      <c r="AN8201">
        <v>0.99999996767344901</v>
      </c>
    </row>
    <row r="8202" spans="1:40" x14ac:dyDescent="0.25">
      <c r="A8202" t="str">
        <f>"20190303154006466"</f>
        <v>20190303154006466</v>
      </c>
      <c r="B8202" t="str">
        <f>"1551598806456980"</f>
        <v>1551598806456980</v>
      </c>
      <c r="C8202" t="s">
        <v>40</v>
      </c>
      <c r="D8202">
        <v>4.3142909999999999</v>
      </c>
      <c r="E8202">
        <v>0.4019161</v>
      </c>
      <c r="F8202" t="s">
        <v>44</v>
      </c>
      <c r="G8202">
        <v>-300.88639999999998</v>
      </c>
      <c r="H8202">
        <v>1.0659069999999999</v>
      </c>
      <c r="I8202">
        <v>-43.497329999999998</v>
      </c>
      <c r="J8202">
        <v>-301.3854</v>
      </c>
      <c r="K8202">
        <v>1.1227529999999999</v>
      </c>
      <c r="L8202">
        <v>-42.953279999999999</v>
      </c>
      <c r="M8202">
        <v>6.7168240000000004E-2</v>
      </c>
      <c r="N8202">
        <v>-1.3454870000000001E-2</v>
      </c>
      <c r="O8202">
        <v>-0.99765099999999995</v>
      </c>
      <c r="P8202">
        <v>0.34776509999999999</v>
      </c>
      <c r="Q8202">
        <v>-4.8517770000000002E-2</v>
      </c>
      <c r="R8202">
        <v>-0.93632559999999998</v>
      </c>
      <c r="S8202">
        <v>1.7823180000000001</v>
      </c>
      <c r="T8202">
        <v>-0.19657179999999999</v>
      </c>
      <c r="U8202">
        <v>-2.532715</v>
      </c>
      <c r="V8202">
        <v>-0.28395949999999998</v>
      </c>
      <c r="W8202">
        <v>-3.6601359999999999E-2</v>
      </c>
      <c r="X8202">
        <v>0.95813749999999998</v>
      </c>
      <c r="Y8202">
        <v>-0.51827440000000002</v>
      </c>
      <c r="Z8202">
        <v>5.1243629999999998E-2</v>
      </c>
      <c r="AA8202">
        <v>0.85367769999999998</v>
      </c>
      <c r="AB8202">
        <v>19</v>
      </c>
      <c r="AC8202">
        <v>0.49900000000002298</v>
      </c>
      <c r="AD8202">
        <v>-5.6846000000000098E-2</v>
      </c>
      <c r="AE8202">
        <v>-0.54404999999999804</v>
      </c>
      <c r="AF8202">
        <v>-0.45860743585409602</v>
      </c>
      <c r="AG8202">
        <v>-5.6846000000000098E-2</v>
      </c>
      <c r="AH8202">
        <v>0.57294390446659904</v>
      </c>
      <c r="AI8202">
        <v>94.429236689168704</v>
      </c>
      <c r="AJ8202">
        <v>128.67519021755299</v>
      </c>
      <c r="AK8202">
        <v>0.73608217313157398</v>
      </c>
      <c r="AL8202">
        <v>92.097571836738894</v>
      </c>
      <c r="AM8202">
        <v>106.508039410134</v>
      </c>
      <c r="AN8202">
        <v>1.00000006305017</v>
      </c>
    </row>
    <row r="8203" spans="1:40" x14ac:dyDescent="0.25">
      <c r="A8203" t="str">
        <f>"20190303154006488"</f>
        <v>20190303154006488</v>
      </c>
      <c r="B8203" t="str">
        <f>"1551598806476877"</f>
        <v>1551598806476877</v>
      </c>
      <c r="C8203" t="s">
        <v>40</v>
      </c>
      <c r="D8203">
        <v>4.3280379999999896</v>
      </c>
      <c r="E8203">
        <v>0.40269579999999999</v>
      </c>
      <c r="F8203" t="s">
        <v>44</v>
      </c>
      <c r="G8203">
        <v>-300.87329999999997</v>
      </c>
      <c r="H8203">
        <v>1.067169</v>
      </c>
      <c r="I8203">
        <v>-43.683700000000002</v>
      </c>
      <c r="J8203">
        <v>-301.37040000000002</v>
      </c>
      <c r="K8203">
        <v>1.122871</v>
      </c>
      <c r="L8203">
        <v>-43.131740000000001</v>
      </c>
      <c r="M8203">
        <v>6.9863439999999999E-2</v>
      </c>
      <c r="N8203">
        <v>-1.3460379999999999E-2</v>
      </c>
      <c r="O8203">
        <v>-0.99746579999999996</v>
      </c>
      <c r="P8203">
        <v>0.34969909999999998</v>
      </c>
      <c r="Q8203">
        <v>-4.5742980000000003E-2</v>
      </c>
      <c r="R8203">
        <v>-0.93574489999999999</v>
      </c>
      <c r="S8203">
        <v>1.7769470000000001</v>
      </c>
      <c r="T8203">
        <v>-0.1928375</v>
      </c>
      <c r="U8203">
        <v>-2.5340579999999999</v>
      </c>
      <c r="V8203">
        <v>-0.28334189999999998</v>
      </c>
      <c r="W8203">
        <v>-3.388642E-2</v>
      </c>
      <c r="X8203">
        <v>0.9584201</v>
      </c>
      <c r="Y8203">
        <v>-0.51457449999999905</v>
      </c>
      <c r="Z8203">
        <v>5.009479E-2</v>
      </c>
      <c r="AA8203">
        <v>0.85598109999999905</v>
      </c>
      <c r="AB8203">
        <v>19</v>
      </c>
      <c r="AC8203">
        <v>0.49710000000004501</v>
      </c>
      <c r="AD8203">
        <v>-5.5701999999999897E-2</v>
      </c>
      <c r="AE8203">
        <v>-0.55196000000000101</v>
      </c>
      <c r="AF8203">
        <v>-0.454762602939141</v>
      </c>
      <c r="AG8203">
        <v>-5.5701999999999897E-2</v>
      </c>
      <c r="AH8203">
        <v>0.58207023025334703</v>
      </c>
      <c r="AI8203">
        <v>94.312500472403102</v>
      </c>
      <c r="AJ8203">
        <v>127.99996934171701</v>
      </c>
      <c r="AK8203">
        <v>0.74075467651792004</v>
      </c>
      <c r="AL8203">
        <v>91.941920608065999</v>
      </c>
      <c r="AM8203">
        <v>106.469489109958</v>
      </c>
      <c r="AN8203">
        <v>1.00000000492001</v>
      </c>
    </row>
    <row r="8204" spans="1:40" x14ac:dyDescent="0.25">
      <c r="A8204" t="str">
        <f>"20190303154006512"</f>
        <v>20190303154006512</v>
      </c>
      <c r="B8204" t="str">
        <f>"1551598806506156"</f>
        <v>1551598806506156</v>
      </c>
      <c r="C8204" t="s">
        <v>40</v>
      </c>
      <c r="D8204">
        <v>4.2910649999999997</v>
      </c>
      <c r="E8204">
        <v>0.40301310000000001</v>
      </c>
      <c r="F8204" t="s">
        <v>44</v>
      </c>
      <c r="G8204">
        <v>-300.83030000000002</v>
      </c>
      <c r="H8204">
        <v>1.0666960000000001</v>
      </c>
      <c r="I8204">
        <v>-43.902000000000001</v>
      </c>
      <c r="J8204">
        <v>-301.35379999999998</v>
      </c>
      <c r="K8204">
        <v>1.1229789999999999</v>
      </c>
      <c r="L8204">
        <v>-43.318570000000001</v>
      </c>
      <c r="M8204">
        <v>7.288232E-2</v>
      </c>
      <c r="N8204">
        <v>-1.3466580000000001E-2</v>
      </c>
      <c r="O8204">
        <v>-0.99724979999999996</v>
      </c>
      <c r="P8204">
        <v>0.35186630000000002</v>
      </c>
      <c r="Q8204">
        <v>-4.2893319999999999E-2</v>
      </c>
      <c r="R8204">
        <v>-0.93506719999999999</v>
      </c>
      <c r="S8204">
        <v>1.7764279999999999</v>
      </c>
      <c r="T8204">
        <v>-0.18474479999999999</v>
      </c>
      <c r="U8204">
        <v>-2.533112</v>
      </c>
      <c r="V8204">
        <v>-0.28265410000000002</v>
      </c>
      <c r="W8204">
        <v>-3.1096849999999999E-2</v>
      </c>
      <c r="X8204">
        <v>0.95871770000000001</v>
      </c>
      <c r="Y8204">
        <v>-0.5120924</v>
      </c>
      <c r="Z8204">
        <v>4.7506090000000001E-2</v>
      </c>
      <c r="AA8204">
        <v>0.85761559999999903</v>
      </c>
      <c r="AB8204">
        <v>19</v>
      </c>
      <c r="AC8204">
        <v>0.523499999999955</v>
      </c>
      <c r="AD8204">
        <v>-5.6283000000000298E-2</v>
      </c>
      <c r="AE8204">
        <v>-0.583429999999999</v>
      </c>
      <c r="AF8204">
        <v>-0.47712212771579798</v>
      </c>
      <c r="AG8204">
        <v>-5.6283000000000298E-2</v>
      </c>
      <c r="AH8204">
        <v>0.61685524881510201</v>
      </c>
      <c r="AI8204">
        <v>94.128003364784604</v>
      </c>
      <c r="AJ8204">
        <v>127.721056090855</v>
      </c>
      <c r="AK8204">
        <v>0.78187191971306402</v>
      </c>
      <c r="AL8204">
        <v>91.782005559446603</v>
      </c>
      <c r="AM8204">
        <v>106.42684322008201</v>
      </c>
      <c r="AN8204">
        <v>0.99999999131001105</v>
      </c>
    </row>
    <row r="8205" spans="1:40" x14ac:dyDescent="0.25">
      <c r="A8205" t="str">
        <f>"20190303154006533"</f>
        <v>20190303154006533</v>
      </c>
      <c r="B8205" t="str">
        <f>"1551598806526653"</f>
        <v>1551598806526653</v>
      </c>
      <c r="C8205" t="s">
        <v>40</v>
      </c>
      <c r="D8205">
        <v>4.3091910000000002</v>
      </c>
      <c r="E8205">
        <v>0.40292</v>
      </c>
      <c r="F8205" t="s">
        <v>44</v>
      </c>
      <c r="G8205">
        <v>-300.77800000000002</v>
      </c>
      <c r="H8205">
        <v>1.065285</v>
      </c>
      <c r="I8205">
        <v>-44.137009999999997</v>
      </c>
      <c r="J8205">
        <v>-301.33690000000001</v>
      </c>
      <c r="K8205">
        <v>1.1230819999999999</v>
      </c>
      <c r="L8205">
        <v>-43.500309999999999</v>
      </c>
      <c r="M8205">
        <v>7.6000699999999893E-2</v>
      </c>
      <c r="N8205">
        <v>-1.3472919999999999E-2</v>
      </c>
      <c r="O8205">
        <v>-0.99701700000000004</v>
      </c>
      <c r="P8205">
        <v>0.35458909999999899</v>
      </c>
      <c r="Q8205">
        <v>-4.1250340000000003E-2</v>
      </c>
      <c r="R8205">
        <v>-0.93411230000000001</v>
      </c>
      <c r="S8205">
        <v>1.78005999999999</v>
      </c>
      <c r="T8205">
        <v>-0.17837259999999999</v>
      </c>
      <c r="U8205">
        <v>-2.5303040000000001</v>
      </c>
      <c r="V8205">
        <v>-0.28244320000000001</v>
      </c>
      <c r="W8205">
        <v>-2.9510459999999999E-2</v>
      </c>
      <c r="X8205">
        <v>0.95882999999999996</v>
      </c>
      <c r="Y8205">
        <v>-0.51073950000000001</v>
      </c>
      <c r="Z8205">
        <v>4.5463709999999997E-2</v>
      </c>
      <c r="AA8205">
        <v>0.85853259999999898</v>
      </c>
      <c r="AB8205">
        <v>19</v>
      </c>
      <c r="AC8205">
        <v>0.55889999999999396</v>
      </c>
      <c r="AD8205">
        <v>-5.77969999999998E-2</v>
      </c>
      <c r="AE8205">
        <v>-0.63669999999999705</v>
      </c>
      <c r="AF8205">
        <v>-0.50653177236022495</v>
      </c>
      <c r="AG8205">
        <v>-5.77969999999998E-2</v>
      </c>
      <c r="AH8205">
        <v>0.67420103097833295</v>
      </c>
      <c r="AI8205">
        <v>93.920824308478402</v>
      </c>
      <c r="AJ8205">
        <v>126.91778449399899</v>
      </c>
      <c r="AK8205">
        <v>0.84525851654487205</v>
      </c>
      <c r="AL8205">
        <v>91.691070321926304</v>
      </c>
      <c r="AM8205">
        <v>106.41342736782801</v>
      </c>
      <c r="AN8205">
        <v>0.99999999868782496</v>
      </c>
    </row>
    <row r="8206" spans="1:40" x14ac:dyDescent="0.25">
      <c r="A8206" t="str">
        <f>"20190303154006555"</f>
        <v>20190303154006555</v>
      </c>
      <c r="B8206" t="str">
        <f>"1551598806546173"</f>
        <v>1551598806546173</v>
      </c>
      <c r="C8206" t="s">
        <v>40</v>
      </c>
      <c r="D8206">
        <v>4.3179270000000001</v>
      </c>
      <c r="E8206">
        <v>0.40286060000000001</v>
      </c>
      <c r="F8206" t="s">
        <v>44</v>
      </c>
      <c r="G8206">
        <v>-300.76889999999997</v>
      </c>
      <c r="H8206">
        <v>1.068152</v>
      </c>
      <c r="I8206">
        <v>-44.302849999999999</v>
      </c>
      <c r="J8206">
        <v>-301.31900000000002</v>
      </c>
      <c r="K8206">
        <v>1.123165</v>
      </c>
      <c r="L8206">
        <v>-43.684570000000001</v>
      </c>
      <c r="M8206">
        <v>7.9308050000000005E-2</v>
      </c>
      <c r="N8206">
        <v>-1.3479120000000001E-2</v>
      </c>
      <c r="O8206">
        <v>-0.9967589</v>
      </c>
      <c r="P8206">
        <v>0.35790640000000001</v>
      </c>
      <c r="Q8206">
        <v>-4.092668E-2</v>
      </c>
      <c r="R8206">
        <v>-0.93286009999999997</v>
      </c>
      <c r="S8206">
        <v>1.7881769999999999</v>
      </c>
      <c r="T8206">
        <v>-0.17284759999999999</v>
      </c>
      <c r="U8206">
        <v>-2.5251769999999998</v>
      </c>
      <c r="V8206">
        <v>-0.28266449999999999</v>
      </c>
      <c r="W8206">
        <v>-2.923574E-2</v>
      </c>
      <c r="X8206">
        <v>0.95877319999999999</v>
      </c>
      <c r="Y8206">
        <v>-0.51060039999999995</v>
      </c>
      <c r="Z8206">
        <v>4.3689560000000002E-2</v>
      </c>
      <c r="AA8206">
        <v>0.85870740000000001</v>
      </c>
      <c r="AB8206">
        <v>19</v>
      </c>
      <c r="AC8206">
        <v>0.550100000000043</v>
      </c>
      <c r="AD8206">
        <v>-5.5012999999999902E-2</v>
      </c>
      <c r="AE8206">
        <v>-0.61827999999999805</v>
      </c>
      <c r="AF8206">
        <v>-0.49713113045655</v>
      </c>
      <c r="AG8206">
        <v>-5.5012999999999902E-2</v>
      </c>
      <c r="AH8206">
        <v>0.65705999174886698</v>
      </c>
      <c r="AI8206">
        <v>93.819894983462504</v>
      </c>
      <c r="AJ8206">
        <v>127.11112383234401</v>
      </c>
      <c r="AK8206">
        <v>0.82576850496675402</v>
      </c>
      <c r="AL8206">
        <v>91.675323230950198</v>
      </c>
      <c r="AM8206">
        <v>106.42651538220299</v>
      </c>
      <c r="AN8206">
        <v>0.99999999854591803</v>
      </c>
    </row>
    <row r="8207" spans="1:40" x14ac:dyDescent="0.25">
      <c r="A8207" t="str">
        <f>"20190303154006578"</f>
        <v>20190303154006578</v>
      </c>
      <c r="B8207" t="str">
        <f>"1551598806566669"</f>
        <v>1551598806566669</v>
      </c>
      <c r="C8207" t="s">
        <v>40</v>
      </c>
      <c r="D8207">
        <v>4.2918050000000001</v>
      </c>
      <c r="E8207">
        <v>0.40272469999999999</v>
      </c>
      <c r="F8207" t="s">
        <v>44</v>
      </c>
      <c r="G8207">
        <v>-300.7525</v>
      </c>
      <c r="H8207">
        <v>1.0684049999999901</v>
      </c>
      <c r="I8207">
        <v>-44.478450000000002</v>
      </c>
      <c r="J8207">
        <v>-301.30040000000002</v>
      </c>
      <c r="K8207">
        <v>1.123227</v>
      </c>
      <c r="L8207">
        <v>-43.868560000000002</v>
      </c>
      <c r="M8207">
        <v>8.2744960000000006E-2</v>
      </c>
      <c r="N8207">
        <v>-1.348483E-2</v>
      </c>
      <c r="O8207">
        <v>-0.99647949999999996</v>
      </c>
      <c r="P8207">
        <v>0.36163840000000003</v>
      </c>
      <c r="Q8207">
        <v>-4.0127360000000001E-2</v>
      </c>
      <c r="R8207">
        <v>-0.93145469999999997</v>
      </c>
      <c r="S8207">
        <v>1.797668</v>
      </c>
      <c r="T8207">
        <v>-0.17373089999999999</v>
      </c>
      <c r="U8207">
        <v>-2.5186160000000002</v>
      </c>
      <c r="V8207">
        <v>-0.28319280000000002</v>
      </c>
      <c r="W8207">
        <v>-2.8477949999999998E-2</v>
      </c>
      <c r="X8207">
        <v>0.9586401</v>
      </c>
      <c r="Y8207">
        <v>-0.51082890000000003</v>
      </c>
      <c r="Z8207">
        <v>4.4025420000000003E-2</v>
      </c>
      <c r="AA8207">
        <v>0.85855439999999905</v>
      </c>
      <c r="AB8207">
        <v>19</v>
      </c>
      <c r="AC8207">
        <v>0.54790000000002603</v>
      </c>
      <c r="AD8207">
        <v>-5.48220000000001E-2</v>
      </c>
      <c r="AE8207">
        <v>-0.60989000000000704</v>
      </c>
      <c r="AF8207">
        <v>-0.49334495206519802</v>
      </c>
      <c r="AG8207">
        <v>-5.48220000000001E-2</v>
      </c>
      <c r="AH8207">
        <v>0.65023084601507697</v>
      </c>
      <c r="AI8207">
        <v>93.842614616988698</v>
      </c>
      <c r="AJ8207">
        <v>127.188418778483</v>
      </c>
      <c r="AK8207">
        <v>0.81804330357365296</v>
      </c>
      <c r="AL8207">
        <v>91.631886972381693</v>
      </c>
      <c r="AM8207">
        <v>106.457718441881</v>
      </c>
      <c r="AN8207">
        <v>0.99999999846802601</v>
      </c>
    </row>
    <row r="8208" spans="1:40" x14ac:dyDescent="0.25">
      <c r="A8208" t="str">
        <f>"20190303154006601"</f>
        <v>20190303154006601</v>
      </c>
      <c r="B8208" t="str">
        <f>"1551598806596455"</f>
        <v>1551598806596455</v>
      </c>
      <c r="C8208" t="s">
        <v>40</v>
      </c>
      <c r="D8208">
        <v>4.292287</v>
      </c>
      <c r="E8208">
        <v>0.40237410000000001</v>
      </c>
      <c r="F8208" t="s">
        <v>44</v>
      </c>
      <c r="G8208">
        <v>-300.72390000000001</v>
      </c>
      <c r="H8208">
        <v>1.0681419999999999</v>
      </c>
      <c r="I8208">
        <v>-44.669130000000003</v>
      </c>
      <c r="J8208">
        <v>-301.28059999999999</v>
      </c>
      <c r="K8208">
        <v>1.123291</v>
      </c>
      <c r="L8208">
        <v>-44.055109999999999</v>
      </c>
      <c r="M8208">
        <v>8.6363170000000003E-2</v>
      </c>
      <c r="N8208">
        <v>-1.349035E-2</v>
      </c>
      <c r="O8208">
        <v>-0.99617239999999996</v>
      </c>
      <c r="P8208">
        <v>0.36528189999999999</v>
      </c>
      <c r="Q8208">
        <v>-3.8841630000000002E-2</v>
      </c>
      <c r="R8208">
        <v>-0.93008639999999998</v>
      </c>
      <c r="S8208">
        <v>1.8087770000000001</v>
      </c>
      <c r="T8208">
        <v>-0.17278499999999999</v>
      </c>
      <c r="U8208">
        <v>-2.5110779999999999</v>
      </c>
      <c r="V8208">
        <v>-0.28346139999999997</v>
      </c>
      <c r="W8208">
        <v>-2.7227089999999999E-2</v>
      </c>
      <c r="X8208">
        <v>0.95859709999999998</v>
      </c>
      <c r="Y8208">
        <v>-0.51143899999999998</v>
      </c>
      <c r="Z8208">
        <v>4.3761540000000002E-2</v>
      </c>
      <c r="AA8208">
        <v>0.85820459999999998</v>
      </c>
      <c r="AB8208">
        <v>19</v>
      </c>
      <c r="AC8208">
        <v>0.55669999999997799</v>
      </c>
      <c r="AD8208">
        <v>-5.5149000000000101E-2</v>
      </c>
      <c r="AE8208">
        <v>-0.61401999999999601</v>
      </c>
      <c r="AF8208">
        <v>-0.499375108608336</v>
      </c>
      <c r="AG8208">
        <v>-5.5149000000000101E-2</v>
      </c>
      <c r="AH8208">
        <v>0.65689975442428195</v>
      </c>
      <c r="AI8208">
        <v>93.823627006219894</v>
      </c>
      <c r="AJ8208">
        <v>127.242092263266</v>
      </c>
      <c r="AK8208">
        <v>0.82700314307822897</v>
      </c>
      <c r="AL8208">
        <v>91.560190088867301</v>
      </c>
      <c r="AM8208">
        <v>106.473181282518</v>
      </c>
      <c r="AN8208">
        <v>1.00000003992411</v>
      </c>
    </row>
    <row r="8209" spans="1:40" x14ac:dyDescent="0.25">
      <c r="A8209" t="str">
        <f>"20190303154006623"</f>
        <v>20190303154006623</v>
      </c>
      <c r="B8209" t="str">
        <f>"1551598806616952"</f>
        <v>1551598806616952</v>
      </c>
      <c r="C8209" t="s">
        <v>40</v>
      </c>
      <c r="D8209">
        <v>4.2778269999999896</v>
      </c>
      <c r="E8209">
        <v>0.40197579999999999</v>
      </c>
      <c r="F8209" t="s">
        <v>44</v>
      </c>
      <c r="G8209">
        <v>-300.68369999999999</v>
      </c>
      <c r="H8209">
        <v>1.067688</v>
      </c>
      <c r="I8209">
        <v>-44.875489999999999</v>
      </c>
      <c r="J8209">
        <v>-301.26089999999999</v>
      </c>
      <c r="K8209">
        <v>1.123348</v>
      </c>
      <c r="L8209">
        <v>-44.234380000000002</v>
      </c>
      <c r="M8209">
        <v>8.9961429999999995E-2</v>
      </c>
      <c r="N8209">
        <v>-1.349593E-2</v>
      </c>
      <c r="O8209">
        <v>-0.99585400000000002</v>
      </c>
      <c r="P8209">
        <v>0.3688671</v>
      </c>
      <c r="Q8209">
        <v>-3.7428250000000003E-2</v>
      </c>
      <c r="R8209">
        <v>-0.92872849999999996</v>
      </c>
      <c r="S8209">
        <v>1.8212889999999999</v>
      </c>
      <c r="T8209">
        <v>-0.16964949999999901</v>
      </c>
      <c r="U8209">
        <v>-2.5031129999999999</v>
      </c>
      <c r="V8209">
        <v>-0.2836939</v>
      </c>
      <c r="W8209">
        <v>-2.5846339999999999E-2</v>
      </c>
      <c r="X8209">
        <v>0.95856649999999999</v>
      </c>
      <c r="Y8209">
        <v>-0.51246879999999995</v>
      </c>
      <c r="Z8209">
        <v>4.2769040000000001E-2</v>
      </c>
      <c r="AA8209">
        <v>0.85764010000000002</v>
      </c>
      <c r="AB8209">
        <v>18</v>
      </c>
      <c r="AC8209">
        <v>0.57720000000000404</v>
      </c>
      <c r="AD8209">
        <v>-5.5660000000000001E-2</v>
      </c>
      <c r="AE8209">
        <v>-0.64110999999999696</v>
      </c>
      <c r="AF8209">
        <v>-0.51503466385163399</v>
      </c>
      <c r="AG8209">
        <v>-5.5660000000000001E-2</v>
      </c>
      <c r="AH8209">
        <v>0.68757804918921905</v>
      </c>
      <c r="AI8209">
        <v>93.707011446592006</v>
      </c>
      <c r="AJ8209">
        <v>126.835276849634</v>
      </c>
      <c r="AK8209">
        <v>0.86088461148728701</v>
      </c>
      <c r="AL8209">
        <v>91.4810511297988</v>
      </c>
      <c r="AM8209">
        <v>106.48645734595</v>
      </c>
      <c r="AN8209">
        <v>0.99999999855542698</v>
      </c>
    </row>
    <row r="8210" spans="1:40" x14ac:dyDescent="0.25">
      <c r="A8210" t="str">
        <f>"20190303154006645"</f>
        <v>20190303154006645</v>
      </c>
      <c r="B8210" t="str">
        <f>"1551598806636472"</f>
        <v>1551598806636472</v>
      </c>
      <c r="C8210" t="s">
        <v>40</v>
      </c>
      <c r="D8210">
        <v>4.2837829999999997</v>
      </c>
      <c r="E8210">
        <v>0.4016113</v>
      </c>
      <c r="F8210" t="s">
        <v>63</v>
      </c>
      <c r="G8210">
        <v>-288.83240000000001</v>
      </c>
      <c r="H8210" s="1">
        <v>-3.965155E-6</v>
      </c>
      <c r="I8210">
        <v>-61.142719999999997</v>
      </c>
      <c r="J8210">
        <v>-301.24040000000002</v>
      </c>
      <c r="K8210">
        <v>1.1234109999999999</v>
      </c>
      <c r="L8210">
        <v>-44.413179999999997</v>
      </c>
      <c r="M8210">
        <v>9.3668860000000007E-2</v>
      </c>
      <c r="N8210">
        <v>-1.350204E-2</v>
      </c>
      <c r="O8210">
        <v>-0.99551190000000001</v>
      </c>
      <c r="P8210">
        <v>0.37288539999999998</v>
      </c>
      <c r="Q8210">
        <v>-3.6556539999999998E-2</v>
      </c>
      <c r="R8210">
        <v>-0.92715729999999996</v>
      </c>
      <c r="S8210">
        <v>1.8340449999999999</v>
      </c>
      <c r="T8210">
        <v>-0.1657699</v>
      </c>
      <c r="U8210">
        <v>-2.495117</v>
      </c>
      <c r="V8210">
        <v>-0.28427259999999999</v>
      </c>
      <c r="W8210">
        <v>-2.5013469999999999E-2</v>
      </c>
      <c r="X8210">
        <v>0.95841719999999997</v>
      </c>
      <c r="Y8210">
        <v>-0.51346650000000005</v>
      </c>
      <c r="Z8210">
        <v>4.1528349999999999E-2</v>
      </c>
      <c r="AA8210">
        <v>0.85710419999999998</v>
      </c>
      <c r="AB8210">
        <v>18</v>
      </c>
      <c r="AC8210">
        <v>12.407999999999999</v>
      </c>
      <c r="AD8210">
        <v>-1.1234149651549901</v>
      </c>
      <c r="AE8210">
        <v>-16.72954</v>
      </c>
      <c r="AF8210">
        <v>-10.754970386085001</v>
      </c>
      <c r="AG8210">
        <v>-1.1234149651549901</v>
      </c>
      <c r="AH8210">
        <v>17.7666382290322</v>
      </c>
      <c r="AI8210">
        <v>93.0962681755869</v>
      </c>
      <c r="AJ8210">
        <v>121.188464925849</v>
      </c>
      <c r="AK8210">
        <v>20.798675033540199</v>
      </c>
      <c r="AL8210">
        <v>91.433315671388698</v>
      </c>
      <c r="AM8210">
        <v>106.520689534892</v>
      </c>
      <c r="AN8210">
        <v>1.00000005702401</v>
      </c>
    </row>
    <row r="8211" spans="1:40" x14ac:dyDescent="0.25">
      <c r="A8211" t="str">
        <f>"20190303154006667"</f>
        <v>20190303154006667</v>
      </c>
      <c r="B8211" t="str">
        <f>"1551598806656969"</f>
        <v>1551598806656969</v>
      </c>
      <c r="C8211" t="s">
        <v>40</v>
      </c>
      <c r="D8211">
        <v>4.2872560000000002</v>
      </c>
      <c r="E8211">
        <v>0.40131240000000001</v>
      </c>
      <c r="F8211" t="s">
        <v>63</v>
      </c>
      <c r="G8211">
        <v>-288.4778</v>
      </c>
      <c r="H8211" s="1">
        <v>-4.064515E-6</v>
      </c>
      <c r="I8211">
        <v>-61.586840000000002</v>
      </c>
      <c r="J8211">
        <v>-301.2192</v>
      </c>
      <c r="K8211">
        <v>1.1234740000000001</v>
      </c>
      <c r="L8211">
        <v>-44.591250000000002</v>
      </c>
      <c r="M8211">
        <v>9.7488309999999995E-2</v>
      </c>
      <c r="N8211">
        <v>-1.350868E-2</v>
      </c>
      <c r="O8211">
        <v>-0.9951449</v>
      </c>
      <c r="P8211">
        <v>0.37704799999999999</v>
      </c>
      <c r="Q8211">
        <v>-3.6345509999999998E-2</v>
      </c>
      <c r="R8211">
        <v>-0.92548019999999998</v>
      </c>
      <c r="S8211">
        <v>1.847626</v>
      </c>
      <c r="T8211">
        <v>-0.16263520000000001</v>
      </c>
      <c r="U8211">
        <v>-2.4862060000000001</v>
      </c>
      <c r="V8211">
        <v>-0.28489750000000003</v>
      </c>
      <c r="W8211">
        <v>-2.4847190000000002E-2</v>
      </c>
      <c r="X8211">
        <v>0.95823590000000003</v>
      </c>
      <c r="Y8211">
        <v>-0.51468930000000002</v>
      </c>
      <c r="Z8211">
        <v>4.0536139999999998E-2</v>
      </c>
      <c r="AA8211">
        <v>0.85641800000000001</v>
      </c>
      <c r="AB8211">
        <v>18</v>
      </c>
      <c r="AC8211">
        <v>12.741400000000001</v>
      </c>
      <c r="AD8211">
        <v>-1.123478064515</v>
      </c>
      <c r="AE8211">
        <v>-16.99559</v>
      </c>
      <c r="AF8211">
        <v>-10.992922260712501</v>
      </c>
      <c r="AG8211">
        <v>-1.123478064515</v>
      </c>
      <c r="AH8211">
        <v>18.106218855193301</v>
      </c>
      <c r="AI8211">
        <v>93.036074093403599</v>
      </c>
      <c r="AJ8211">
        <v>121.26340987542</v>
      </c>
      <c r="AK8211">
        <v>21.2118293417535</v>
      </c>
      <c r="AL8211">
        <v>91.423785642883402</v>
      </c>
      <c r="AM8211">
        <v>106.55798095498901</v>
      </c>
      <c r="AN8211">
        <v>1.00000000420297</v>
      </c>
    </row>
    <row r="8212" spans="1:40" x14ac:dyDescent="0.25">
      <c r="A8212" t="str">
        <f>"20190303154006691"</f>
        <v>20190303154006691</v>
      </c>
      <c r="B8212" t="str">
        <f>"1551598806686248"</f>
        <v>1551598806686248</v>
      </c>
      <c r="C8212" t="s">
        <v>40</v>
      </c>
      <c r="D8212">
        <v>4.2585259999999998</v>
      </c>
      <c r="E8212">
        <v>0.4009798</v>
      </c>
      <c r="F8212" t="s">
        <v>63</v>
      </c>
      <c r="G8212">
        <v>-288.35129999999998</v>
      </c>
      <c r="H8212" s="1">
        <v>-4.1050730000000002E-6</v>
      </c>
      <c r="I8212">
        <v>-61.716650000000001</v>
      </c>
      <c r="J8212">
        <v>-301.19650000000001</v>
      </c>
      <c r="K8212">
        <v>1.1235550000000001</v>
      </c>
      <c r="L8212">
        <v>-44.773319999999998</v>
      </c>
      <c r="M8212">
        <v>0.1015509</v>
      </c>
      <c r="N8212">
        <v>-1.351627E-2</v>
      </c>
      <c r="O8212">
        <v>-0.99473860000000003</v>
      </c>
      <c r="P8212">
        <v>0.38217459999999998</v>
      </c>
      <c r="Q8212">
        <v>-3.6664330000000002E-2</v>
      </c>
      <c r="R8212">
        <v>-0.92336269999999998</v>
      </c>
      <c r="S8212">
        <v>1.861145</v>
      </c>
      <c r="T8212">
        <v>-0.1624941</v>
      </c>
      <c r="U8212">
        <v>-2.4769290000000002</v>
      </c>
      <c r="V8212">
        <v>-0.28629310000000002</v>
      </c>
      <c r="W8212">
        <v>-2.5227220000000002E-2</v>
      </c>
      <c r="X8212">
        <v>0.95780989999999999</v>
      </c>
      <c r="Y8212">
        <v>-0.51571849999999997</v>
      </c>
      <c r="Z8212">
        <v>4.0533760000000002E-2</v>
      </c>
      <c r="AA8212">
        <v>0.85579869999999902</v>
      </c>
      <c r="AB8212">
        <v>18</v>
      </c>
      <c r="AC8212">
        <v>12.8452</v>
      </c>
      <c r="AD8212">
        <v>-1.1235591050729901</v>
      </c>
      <c r="AE8212">
        <v>-16.94333</v>
      </c>
      <c r="AF8212">
        <v>-11.0272224833857</v>
      </c>
      <c r="AG8212">
        <v>-1.1235591050729901</v>
      </c>
      <c r="AH8212">
        <v>18.109713548182899</v>
      </c>
      <c r="AI8212">
        <v>93.033318796234795</v>
      </c>
      <c r="AJ8212">
        <v>121.33773802656199</v>
      </c>
      <c r="AK8212">
        <v>21.232610427310199</v>
      </c>
      <c r="AL8212">
        <v>91.445566623588206</v>
      </c>
      <c r="AM8212">
        <v>106.64160964089599</v>
      </c>
      <c r="AN8212">
        <v>0.99999997813727304</v>
      </c>
    </row>
    <row r="8213" spans="1:40" x14ac:dyDescent="0.25">
      <c r="A8213" t="str">
        <f>"20190303154006712"</f>
        <v>20190303154006712</v>
      </c>
      <c r="B8213" t="str">
        <f>"1551598806706744"</f>
        <v>1551598806706744</v>
      </c>
      <c r="C8213" t="s">
        <v>40</v>
      </c>
      <c r="D8213">
        <v>4.2613989999999999</v>
      </c>
      <c r="E8213">
        <v>0.40066299999999999</v>
      </c>
      <c r="F8213" t="s">
        <v>44</v>
      </c>
      <c r="G8213">
        <v>-300.57389999999998</v>
      </c>
      <c r="H8213">
        <v>1.069545</v>
      </c>
      <c r="I8213">
        <v>-45.591540000000002</v>
      </c>
      <c r="J8213">
        <v>-301.17329999999998</v>
      </c>
      <c r="K8213">
        <v>1.1236539999999999</v>
      </c>
      <c r="L8213">
        <v>-44.951929999999997</v>
      </c>
      <c r="M8213">
        <v>0.1057318</v>
      </c>
      <c r="N8213">
        <v>-1.352533E-2</v>
      </c>
      <c r="O8213">
        <v>-0.99430289999999999</v>
      </c>
      <c r="P8213">
        <v>0.38716709999999999</v>
      </c>
      <c r="Q8213">
        <v>-3.690918E-2</v>
      </c>
      <c r="R8213">
        <v>-0.92127060000000005</v>
      </c>
      <c r="S8213">
        <v>1.8773500000000001</v>
      </c>
      <c r="T8213">
        <v>-0.16276260000000001</v>
      </c>
      <c r="U8213">
        <v>-2.4655149999999999</v>
      </c>
      <c r="V8213">
        <v>-0.28744380000000003</v>
      </c>
      <c r="W8213">
        <v>-2.553948E-2</v>
      </c>
      <c r="X8213">
        <v>0.95745690000000006</v>
      </c>
      <c r="Y8213">
        <v>-0.51758389999999999</v>
      </c>
      <c r="Z8213">
        <v>4.066968E-2</v>
      </c>
      <c r="AA8213">
        <v>0.85466540000000002</v>
      </c>
      <c r="AB8213">
        <v>18</v>
      </c>
      <c r="AC8213">
        <v>0.59940000000000204</v>
      </c>
      <c r="AD8213">
        <v>-5.4109000000000101E-2</v>
      </c>
      <c r="AE8213">
        <v>-0.63961000000000401</v>
      </c>
      <c r="AF8213">
        <v>-0.52640051077766403</v>
      </c>
      <c r="AG8213">
        <v>-5.4109000000000101E-2</v>
      </c>
      <c r="AH8213">
        <v>0.69675070492096702</v>
      </c>
      <c r="AI8213">
        <v>93.545687955779698</v>
      </c>
      <c r="AJ8213">
        <v>127.07132717499699</v>
      </c>
      <c r="AK8213">
        <v>0.87492104011496497</v>
      </c>
      <c r="AL8213">
        <v>91.463463598329895</v>
      </c>
      <c r="AM8213">
        <v>106.710593155502</v>
      </c>
      <c r="AN8213">
        <v>0.99999995927735896</v>
      </c>
    </row>
    <row r="8214" spans="1:40" x14ac:dyDescent="0.25">
      <c r="A8214" t="str">
        <f>"20190303154006735"</f>
        <v>20190303154006735</v>
      </c>
      <c r="B8214" t="str">
        <f>"1551598806726265"</f>
        <v>1551598806726265</v>
      </c>
      <c r="C8214" t="s">
        <v>40</v>
      </c>
      <c r="D8214">
        <v>4.2859850000000002</v>
      </c>
      <c r="E8214">
        <v>0.40041130000000003</v>
      </c>
      <c r="F8214" t="s">
        <v>44</v>
      </c>
      <c r="G8214">
        <v>-300.54320000000001</v>
      </c>
      <c r="H8214">
        <v>1.0694889999999999</v>
      </c>
      <c r="I8214">
        <v>-45.768740000000001</v>
      </c>
      <c r="J8214">
        <v>-301.14859999999999</v>
      </c>
      <c r="K8214">
        <v>1.1237549999999901</v>
      </c>
      <c r="L8214">
        <v>-45.134549999999997</v>
      </c>
      <c r="M8214">
        <v>0.11018070000000001</v>
      </c>
      <c r="N8214">
        <v>-1.353562E-2</v>
      </c>
      <c r="O8214">
        <v>-0.99381960000000003</v>
      </c>
      <c r="P8214">
        <v>0.39273750000000002</v>
      </c>
      <c r="Q8214">
        <v>-3.6290500000000003E-2</v>
      </c>
      <c r="R8214">
        <v>-0.9189349</v>
      </c>
      <c r="S8214">
        <v>1.8930659999999999</v>
      </c>
      <c r="T8214">
        <v>-0.16274859999999999</v>
      </c>
      <c r="U8214">
        <v>-2.454285</v>
      </c>
      <c r="V8214">
        <v>-0.28894959999999997</v>
      </c>
      <c r="W8214">
        <v>-2.499059E-2</v>
      </c>
      <c r="X8214">
        <v>0.95701809999999998</v>
      </c>
      <c r="Y8214">
        <v>-0.51907749999999997</v>
      </c>
      <c r="Z8214">
        <v>4.0713949999999999E-2</v>
      </c>
      <c r="AA8214">
        <v>0.85375699999999999</v>
      </c>
      <c r="AB8214">
        <v>18</v>
      </c>
      <c r="AC8214">
        <v>0.60539999999997396</v>
      </c>
      <c r="AD8214">
        <v>-5.4265999999999898E-2</v>
      </c>
      <c r="AE8214">
        <v>-0.63419000000000303</v>
      </c>
      <c r="AF8214">
        <v>-0.52980191129036702</v>
      </c>
      <c r="AG8214">
        <v>-5.4265999999999898E-2</v>
      </c>
      <c r="AH8214">
        <v>0.69437750870692105</v>
      </c>
      <c r="AI8214">
        <v>93.555272687981002</v>
      </c>
      <c r="AJ8214">
        <v>127.343207679443</v>
      </c>
      <c r="AK8214">
        <v>0.87509713092945096</v>
      </c>
      <c r="AL8214">
        <v>91.432004383799594</v>
      </c>
      <c r="AM8214">
        <v>106.800482852418</v>
      </c>
      <c r="AN8214">
        <v>1.00000002232815</v>
      </c>
    </row>
    <row r="8215" spans="1:40" x14ac:dyDescent="0.25">
      <c r="A8215" t="str">
        <f>"20190303154006757"</f>
        <v>20190303154006757</v>
      </c>
      <c r="B8215" t="str">
        <f>"1551598806746760"</f>
        <v>1551598806746760</v>
      </c>
      <c r="C8215" t="s">
        <v>40</v>
      </c>
      <c r="D8215">
        <v>4.2728769999999896</v>
      </c>
      <c r="E8215">
        <v>0.40017849999999999</v>
      </c>
      <c r="F8215" t="s">
        <v>44</v>
      </c>
      <c r="G8215">
        <v>-300.49900000000002</v>
      </c>
      <c r="H8215">
        <v>1.0692010000000001</v>
      </c>
      <c r="I8215">
        <v>-45.965429999999998</v>
      </c>
      <c r="J8215">
        <v>-301.1234</v>
      </c>
      <c r="K8215">
        <v>1.1238539999999999</v>
      </c>
      <c r="L8215">
        <v>-45.313139999999997</v>
      </c>
      <c r="M8215">
        <v>0.11472640000000001</v>
      </c>
      <c r="N8215">
        <v>-1.3546330000000001E-2</v>
      </c>
      <c r="O8215">
        <v>-0.99330499999999999</v>
      </c>
      <c r="P8215">
        <v>0.39934269999999999</v>
      </c>
      <c r="Q8215">
        <v>-3.4596250000000002E-2</v>
      </c>
      <c r="R8215">
        <v>-0.9161492</v>
      </c>
      <c r="S8215">
        <v>1.9097900000000001</v>
      </c>
      <c r="T8215">
        <v>-0.16035079999999999</v>
      </c>
      <c r="U8215">
        <v>-2.4421080000000002</v>
      </c>
      <c r="V8215">
        <v>-0.29145569999999998</v>
      </c>
      <c r="W8215">
        <v>-2.3375389999999999E-2</v>
      </c>
      <c r="X8215">
        <v>0.95629869999999995</v>
      </c>
      <c r="Y8215">
        <v>-0.52088219999999996</v>
      </c>
      <c r="Z8215">
        <v>3.9974570000000001E-2</v>
      </c>
      <c r="AA8215">
        <v>0.85269209999999995</v>
      </c>
      <c r="AB8215">
        <v>18</v>
      </c>
      <c r="AC8215">
        <v>0.62439999999997997</v>
      </c>
      <c r="AD8215">
        <v>-5.4653E-2</v>
      </c>
      <c r="AE8215">
        <v>-0.65228999999999304</v>
      </c>
      <c r="AF8215">
        <v>-0.54344384455508499</v>
      </c>
      <c r="AG8215">
        <v>-5.4653E-2</v>
      </c>
      <c r="AH8215">
        <v>0.71699732100732105</v>
      </c>
      <c r="AI8215">
        <v>93.476300255143499</v>
      </c>
      <c r="AJ8215">
        <v>127.160090903384</v>
      </c>
      <c r="AK8215">
        <v>0.901334189369008</v>
      </c>
      <c r="AL8215">
        <v>91.339433164908201</v>
      </c>
      <c r="AM8215">
        <v>106.949897813817</v>
      </c>
      <c r="AN8215">
        <v>1.0000000187709099</v>
      </c>
    </row>
    <row r="8216" spans="1:40" x14ac:dyDescent="0.25">
      <c r="A8216" t="str">
        <f>"20190303154006780"</f>
        <v>20190303154006780</v>
      </c>
      <c r="B8216" t="str">
        <f>"1551598806777016"</f>
        <v>1551598806777016</v>
      </c>
      <c r="C8216" t="s">
        <v>40</v>
      </c>
      <c r="D8216">
        <v>4.2969229999999996</v>
      </c>
      <c r="E8216">
        <v>0.3998602</v>
      </c>
      <c r="F8216" t="s">
        <v>63</v>
      </c>
      <c r="G8216">
        <v>-287.09769999999997</v>
      </c>
      <c r="H8216" s="1">
        <v>-4.5140509999999998E-6</v>
      </c>
      <c r="I8216">
        <v>-62.962890000000002</v>
      </c>
      <c r="J8216">
        <v>-301.09679999999997</v>
      </c>
      <c r="K8216">
        <v>1.123972</v>
      </c>
      <c r="L8216">
        <v>-45.493070000000003</v>
      </c>
      <c r="M8216">
        <v>0.11954289999999899</v>
      </c>
      <c r="N8216">
        <v>-1.3558600000000001E-2</v>
      </c>
      <c r="O8216">
        <v>-0.99273650000000002</v>
      </c>
      <c r="P8216">
        <v>0.40684140000000002</v>
      </c>
      <c r="Q8216">
        <v>-3.3350860000000003E-2</v>
      </c>
      <c r="R8216">
        <v>-0.91288979999999997</v>
      </c>
      <c r="S8216">
        <v>1.92926</v>
      </c>
      <c r="T8216">
        <v>-0.15458939999999999</v>
      </c>
      <c r="U8216">
        <v>-2.427765</v>
      </c>
      <c r="V8216">
        <v>-0.29465190000000002</v>
      </c>
      <c r="W8216">
        <v>-2.2225979999999999E-2</v>
      </c>
      <c r="X8216">
        <v>0.95534620000000003</v>
      </c>
      <c r="Y8216">
        <v>-0.5234375</v>
      </c>
      <c r="Z8216">
        <v>3.812724E-2</v>
      </c>
      <c r="AA8216">
        <v>0.85121059999999904</v>
      </c>
      <c r="AB8216">
        <v>18</v>
      </c>
      <c r="AC8216">
        <v>13.9991</v>
      </c>
      <c r="AD8216">
        <v>-1.1239765140510001</v>
      </c>
      <c r="AE8216">
        <v>-17.469819999999999</v>
      </c>
      <c r="AF8216">
        <v>-11.7804141280241</v>
      </c>
      <c r="AG8216">
        <v>-1.1239765140510001</v>
      </c>
      <c r="AH8216">
        <v>18.9703486991326</v>
      </c>
      <c r="AI8216">
        <v>92.881473337509107</v>
      </c>
      <c r="AJ8216">
        <v>121.839905201091</v>
      </c>
      <c r="AK8216">
        <v>22.3587926775703</v>
      </c>
      <c r="AL8216">
        <v>91.273559656853294</v>
      </c>
      <c r="AM8216">
        <v>107.141029357677</v>
      </c>
      <c r="AN8216">
        <v>1.0000000491075001</v>
      </c>
    </row>
    <row r="8217" spans="1:40" x14ac:dyDescent="0.25">
      <c r="A8217" t="str">
        <f>"20190303154006803"</f>
        <v>20190303154006803</v>
      </c>
      <c r="B8217" t="str">
        <f>"1551598806796536"</f>
        <v>1551598806796536</v>
      </c>
      <c r="C8217" t="s">
        <v>40</v>
      </c>
      <c r="D8217">
        <v>4.3133920000000003</v>
      </c>
      <c r="E8217">
        <v>0.39981240000000001</v>
      </c>
      <c r="F8217" t="s">
        <v>63</v>
      </c>
      <c r="G8217">
        <v>-286.45499999999998</v>
      </c>
      <c r="H8217" s="1">
        <v>-4.7277669999999996E-6</v>
      </c>
      <c r="I8217">
        <v>-63.5792</v>
      </c>
      <c r="J8217">
        <v>-301.06810000000002</v>
      </c>
      <c r="K8217">
        <v>1.124117</v>
      </c>
      <c r="L8217">
        <v>-45.679989999999997</v>
      </c>
      <c r="M8217">
        <v>0.1248388</v>
      </c>
      <c r="N8217">
        <v>-1.3574930000000001E-2</v>
      </c>
      <c r="O8217">
        <v>-0.99208439999999998</v>
      </c>
      <c r="P8217">
        <v>0.41536400000000001</v>
      </c>
      <c r="Q8217">
        <v>-3.2005619999999999E-2</v>
      </c>
      <c r="R8217">
        <v>-0.90909240000000002</v>
      </c>
      <c r="S8217">
        <v>1.951813</v>
      </c>
      <c r="T8217">
        <v>-0.14983050000000001</v>
      </c>
      <c r="U8217">
        <v>-2.4109500000000001</v>
      </c>
      <c r="V8217">
        <v>-0.29848259999999899</v>
      </c>
      <c r="W8217">
        <v>-2.1004220000000001E-2</v>
      </c>
      <c r="X8217">
        <v>0.95418389999999997</v>
      </c>
      <c r="Y8217">
        <v>-0.52664369999999905</v>
      </c>
      <c r="Z8217">
        <v>3.661056E-2</v>
      </c>
      <c r="AA8217">
        <v>0.84929750000000004</v>
      </c>
      <c r="AB8217">
        <v>18</v>
      </c>
      <c r="AC8217">
        <v>14.613099999999999</v>
      </c>
      <c r="AD8217">
        <v>-1.1241217277669999</v>
      </c>
      <c r="AE8217">
        <v>-17.899209999999901</v>
      </c>
      <c r="AF8217">
        <v>-12.235082854294101</v>
      </c>
      <c r="AG8217">
        <v>-1.1241217277669999</v>
      </c>
      <c r="AH8217">
        <v>19.537369381551201</v>
      </c>
      <c r="AI8217">
        <v>92.791764870510406</v>
      </c>
      <c r="AJ8217">
        <v>122.056445922696</v>
      </c>
      <c r="AK8217">
        <v>23.0796383087226</v>
      </c>
      <c r="AL8217">
        <v>91.203541692113504</v>
      </c>
      <c r="AM8217">
        <v>107.370441738751</v>
      </c>
      <c r="AN8217">
        <v>0.999999977389888</v>
      </c>
    </row>
    <row r="8218" spans="1:40" x14ac:dyDescent="0.25">
      <c r="A8218" t="str">
        <f>"20190303154006829"</f>
        <v>20190303154006829</v>
      </c>
      <c r="B8218" t="str">
        <f>"1551598806826792"</f>
        <v>1551598806826792</v>
      </c>
      <c r="C8218" t="s">
        <v>40</v>
      </c>
      <c r="D8218">
        <v>4.3639000000000001</v>
      </c>
      <c r="E8218">
        <v>0.42615789999999998</v>
      </c>
      <c r="F8218" t="s">
        <v>63</v>
      </c>
      <c r="G8218">
        <v>-285.6968</v>
      </c>
      <c r="H8218" s="1">
        <v>-4.9804450000000004E-6</v>
      </c>
      <c r="I8218">
        <v>-64.303159999999906</v>
      </c>
      <c r="J8218">
        <v>-301.03460000000001</v>
      </c>
      <c r="K8218">
        <v>1.124322</v>
      </c>
      <c r="L8218">
        <v>-45.886899999999997</v>
      </c>
      <c r="M8218">
        <v>0.1310769</v>
      </c>
      <c r="N8218">
        <v>-1.3598549999999999E-2</v>
      </c>
      <c r="O8218">
        <v>-0.99127929999999997</v>
      </c>
      <c r="P8218">
        <v>0.42569509999999999</v>
      </c>
      <c r="Q8218">
        <v>-3.074408E-2</v>
      </c>
      <c r="R8218">
        <v>-0.9043447</v>
      </c>
      <c r="S8218">
        <v>1.974823</v>
      </c>
      <c r="T8218">
        <v>-0.14442149999999901</v>
      </c>
      <c r="U8218">
        <v>-2.3926090000000002</v>
      </c>
      <c r="V8218">
        <v>-0.3033399</v>
      </c>
      <c r="W8218">
        <v>-1.9912470000000002E-2</v>
      </c>
      <c r="X8218">
        <v>0.95267429999999997</v>
      </c>
      <c r="Y8218">
        <v>-0.52939389999999997</v>
      </c>
      <c r="Z8218">
        <v>3.488931E-2</v>
      </c>
      <c r="AA8218">
        <v>0.84765849999999898</v>
      </c>
      <c r="AB8218">
        <v>18</v>
      </c>
      <c r="AC8218">
        <v>15.3378</v>
      </c>
      <c r="AD8218">
        <v>-1.124326980445</v>
      </c>
      <c r="AE8218">
        <v>-18.416259999999902</v>
      </c>
      <c r="AF8218">
        <v>-12.76318721763</v>
      </c>
      <c r="AG8218">
        <v>-1.124326980445</v>
      </c>
      <c r="AH8218">
        <v>20.223449073231802</v>
      </c>
      <c r="AI8218">
        <v>92.691785988227906</v>
      </c>
      <c r="AJ8218">
        <v>122.256364778898</v>
      </c>
      <c r="AK8218">
        <v>23.940571244831101</v>
      </c>
      <c r="AL8218">
        <v>91.140975943649806</v>
      </c>
      <c r="AM8218">
        <v>107.66193401111801</v>
      </c>
      <c r="AN8218">
        <v>0.999999961636999</v>
      </c>
    </row>
    <row r="8219" spans="1:40" x14ac:dyDescent="0.25">
      <c r="A8219" t="str">
        <f>"20190303154006847"</f>
        <v>20190303154006847</v>
      </c>
      <c r="B8219" t="str">
        <f>"1551598806836552"</f>
        <v>1551598806836552</v>
      </c>
      <c r="C8219" t="s">
        <v>40</v>
      </c>
      <c r="D8219">
        <v>4.3649659999999999</v>
      </c>
      <c r="E8219">
        <v>0.42726449999999999</v>
      </c>
      <c r="F8219" t="s">
        <v>44</v>
      </c>
      <c r="G8219">
        <v>-300.44069999999999</v>
      </c>
      <c r="H8219">
        <v>1.0627329999999999</v>
      </c>
      <c r="I8219">
        <v>-46.69191</v>
      </c>
      <c r="J8219">
        <v>-301.01060000000001</v>
      </c>
      <c r="K8219">
        <v>1.124485</v>
      </c>
      <c r="L8219">
        <v>-46.028230000000001</v>
      </c>
      <c r="M8219">
        <v>0.13563610000000001</v>
      </c>
      <c r="N8219">
        <v>-1.3618949999999999E-2</v>
      </c>
      <c r="O8219">
        <v>-0.99066509999999997</v>
      </c>
      <c r="P8219">
        <v>0.43362689999999998</v>
      </c>
      <c r="Q8219">
        <v>-2.825921E-2</v>
      </c>
      <c r="R8219">
        <v>-0.90064940000000004</v>
      </c>
      <c r="S8219">
        <v>1.8131710000000001</v>
      </c>
      <c r="T8219">
        <v>-0.1880107</v>
      </c>
      <c r="U8219">
        <v>-2.4574579999999999</v>
      </c>
      <c r="V8219">
        <v>-0.30732599999999999</v>
      </c>
      <c r="W8219">
        <v>-1.756864E-2</v>
      </c>
      <c r="X8219">
        <v>0.95144209999999996</v>
      </c>
      <c r="Y8219">
        <v>-0.47811300000000001</v>
      </c>
      <c r="Z8219">
        <v>5.0001999999999998E-2</v>
      </c>
      <c r="AA8219">
        <v>0.87687389999999998</v>
      </c>
      <c r="AB8219">
        <v>18</v>
      </c>
      <c r="AC8219">
        <v>0.56990000000001795</v>
      </c>
      <c r="AD8219">
        <v>-6.1752000000000001E-2</v>
      </c>
      <c r="AE8219">
        <v>-0.66367999999999905</v>
      </c>
      <c r="AF8219">
        <v>-0.47225184582678098</v>
      </c>
      <c r="AG8219">
        <v>-6.1752000000000001E-2</v>
      </c>
      <c r="AH8219">
        <v>0.73120814872391404</v>
      </c>
      <c r="AI8219">
        <v>94.057903390794806</v>
      </c>
      <c r="AJ8219">
        <v>122.856454582368</v>
      </c>
      <c r="AK8219">
        <v>0.87263994416429003</v>
      </c>
      <c r="AL8219">
        <v>91.006660715302303</v>
      </c>
      <c r="AM8219">
        <v>107.90101290956</v>
      </c>
      <c r="AN8219">
        <v>0.99999999851992905</v>
      </c>
    </row>
    <row r="8220" spans="1:40" x14ac:dyDescent="0.25">
      <c r="A8220" t="str">
        <f>"20190303154006868"</f>
        <v>20190303154006868</v>
      </c>
      <c r="B8220" t="str">
        <f>"1551598806857049"</f>
        <v>1551598806857049</v>
      </c>
      <c r="C8220" t="s">
        <v>40</v>
      </c>
      <c r="D8220">
        <v>4.4168770000000004</v>
      </c>
      <c r="E8220">
        <v>0.42887419999999998</v>
      </c>
      <c r="F8220" t="s">
        <v>44</v>
      </c>
      <c r="G8220">
        <v>-300.47739999999999</v>
      </c>
      <c r="H8220">
        <v>1.0700289999999999</v>
      </c>
      <c r="I8220">
        <v>-46.742049999999999</v>
      </c>
      <c r="J8220">
        <v>-300.98090000000002</v>
      </c>
      <c r="K8220">
        <v>1.1246670000000001</v>
      </c>
      <c r="L8220">
        <v>-46.196440000000003</v>
      </c>
      <c r="M8220">
        <v>0.14129839999999999</v>
      </c>
      <c r="N8220">
        <v>-1.364449E-2</v>
      </c>
      <c r="O8220">
        <v>-0.98987309999999995</v>
      </c>
      <c r="P8220">
        <v>0.44148179999999998</v>
      </c>
      <c r="Q8220">
        <v>-2.607222E-2</v>
      </c>
      <c r="R8220">
        <v>-0.89689180000000002</v>
      </c>
      <c r="S8220">
        <v>1.826721</v>
      </c>
      <c r="T8220">
        <v>-0.18656790000000001</v>
      </c>
      <c r="U8220">
        <v>-2.4455870000000002</v>
      </c>
      <c r="V8220">
        <v>-0.3101988</v>
      </c>
      <c r="W8220">
        <v>-1.5524609999999999E-2</v>
      </c>
      <c r="X8220">
        <v>0.95054499999999997</v>
      </c>
      <c r="Y8220">
        <v>-0.4782632</v>
      </c>
      <c r="Z8220">
        <v>4.959641E-2</v>
      </c>
      <c r="AA8220">
        <v>0.87681500000000001</v>
      </c>
      <c r="AB8220">
        <v>18</v>
      </c>
      <c r="AC8220">
        <v>0.50350000000003003</v>
      </c>
      <c r="AD8220">
        <v>-5.4637999999999902E-2</v>
      </c>
      <c r="AE8220">
        <v>-0.54560999999999604</v>
      </c>
      <c r="AF8220">
        <v>-0.41907675623602098</v>
      </c>
      <c r="AG8220">
        <v>-5.4637999999999902E-2</v>
      </c>
      <c r="AH8220">
        <v>0.60799237641794002</v>
      </c>
      <c r="AI8220">
        <v>94.231720071562194</v>
      </c>
      <c r="AJ8220">
        <v>124.57770424884799</v>
      </c>
      <c r="AK8220">
        <v>0.74044943679068298</v>
      </c>
      <c r="AL8220">
        <v>90.889530318323807</v>
      </c>
      <c r="AM8220">
        <v>108.07346384483</v>
      </c>
      <c r="AN8220">
        <v>1.00000005303104</v>
      </c>
    </row>
    <row r="8221" spans="1:40" x14ac:dyDescent="0.25">
      <c r="A8221" t="str">
        <f>"20190303154006891"</f>
        <v>20190303154006891</v>
      </c>
      <c r="B8221" t="str">
        <f>"1551598806886328"</f>
        <v>1551598806886328</v>
      </c>
      <c r="C8221" t="s">
        <v>40</v>
      </c>
      <c r="D8221">
        <v>4.4323129999999997</v>
      </c>
      <c r="E8221">
        <v>0.42994520000000003</v>
      </c>
      <c r="F8221" t="s">
        <v>44</v>
      </c>
      <c r="G8221">
        <v>-300.4357</v>
      </c>
      <c r="H8221">
        <v>1.0700730000000001</v>
      </c>
      <c r="I8221">
        <v>-46.919539999999998</v>
      </c>
      <c r="J8221">
        <v>-300.94830000000002</v>
      </c>
      <c r="K8221">
        <v>1.1248549999999999</v>
      </c>
      <c r="L8221">
        <v>-46.372160000000001</v>
      </c>
      <c r="M8221">
        <v>0.1475889</v>
      </c>
      <c r="N8221">
        <v>-1.367325E-2</v>
      </c>
      <c r="O8221">
        <v>-0.98895440000000001</v>
      </c>
      <c r="P8221">
        <v>0.44973639999999998</v>
      </c>
      <c r="Q8221">
        <v>-2.504613E-2</v>
      </c>
      <c r="R8221">
        <v>-0.89281010000000005</v>
      </c>
      <c r="S8221">
        <v>1.8367610000000001</v>
      </c>
      <c r="T8221">
        <v>-0.18388260000000001</v>
      </c>
      <c r="U8221">
        <v>-2.435425</v>
      </c>
      <c r="V8221">
        <v>-0.3129189</v>
      </c>
      <c r="W8221">
        <v>-1.4649789999999999E-2</v>
      </c>
      <c r="X8221">
        <v>0.94966689999999998</v>
      </c>
      <c r="Y8221">
        <v>-0.47676879999999999</v>
      </c>
      <c r="Z8221">
        <v>4.8778820000000001E-2</v>
      </c>
      <c r="AA8221">
        <v>0.87767430000000002</v>
      </c>
      <c r="AB8221">
        <v>18</v>
      </c>
      <c r="AC8221">
        <v>0.51260000000002004</v>
      </c>
      <c r="AD8221">
        <v>-5.4781999999999803E-2</v>
      </c>
      <c r="AE8221">
        <v>-0.54738000000000397</v>
      </c>
      <c r="AF8221">
        <v>-0.42392837859595101</v>
      </c>
      <c r="AG8221">
        <v>-5.4781999999999803E-2</v>
      </c>
      <c r="AH8221">
        <v>0.61377025319425904</v>
      </c>
      <c r="AI8221">
        <v>94.200264119918899</v>
      </c>
      <c r="AJ8221">
        <v>124.632664745855</v>
      </c>
      <c r="AK8221">
        <v>0.74795070787394602</v>
      </c>
      <c r="AL8221">
        <v>90.839401132850199</v>
      </c>
      <c r="AM8221">
        <v>108.23725058517201</v>
      </c>
      <c r="AN8221">
        <v>1.0000000376399301</v>
      </c>
    </row>
    <row r="8222" spans="1:40" x14ac:dyDescent="0.25">
      <c r="A8222" t="str">
        <f>"20190303154006914"</f>
        <v>20190303154006914</v>
      </c>
      <c r="B8222" t="str">
        <f>"1551598806906824"</f>
        <v>1551598806906824</v>
      </c>
      <c r="C8222" t="s">
        <v>40</v>
      </c>
      <c r="D8222">
        <v>4.4562949999999999</v>
      </c>
      <c r="E8222">
        <v>0.43069669999999999</v>
      </c>
      <c r="F8222" t="s">
        <v>44</v>
      </c>
      <c r="G8222">
        <v>-300.3501</v>
      </c>
      <c r="H8222">
        <v>1.0677209999999999</v>
      </c>
      <c r="I8222">
        <v>-47.155239999999999</v>
      </c>
      <c r="J8222">
        <v>-300.91379999999998</v>
      </c>
      <c r="K8222">
        <v>1.125048</v>
      </c>
      <c r="L8222">
        <v>-46.549410000000002</v>
      </c>
      <c r="M8222">
        <v>0.15434879999999901</v>
      </c>
      <c r="N8222">
        <v>-1.3705810000000001E-2</v>
      </c>
      <c r="O8222">
        <v>-0.98792139999999995</v>
      </c>
      <c r="P8222">
        <v>0.45713019999999999</v>
      </c>
      <c r="Q8222">
        <v>-2.5347560000000002E-2</v>
      </c>
      <c r="R8222">
        <v>-0.88903860000000001</v>
      </c>
      <c r="S8222">
        <v>1.851288</v>
      </c>
      <c r="T8222">
        <v>-0.17677129999999999</v>
      </c>
      <c r="U8222">
        <v>-2.4226990000000002</v>
      </c>
      <c r="V8222">
        <v>-0.31429629999999997</v>
      </c>
      <c r="W8222">
        <v>-1.508701E-2</v>
      </c>
      <c r="X8222">
        <v>0.94920499999999997</v>
      </c>
      <c r="Y8222">
        <v>-0.4763771</v>
      </c>
      <c r="Z8222">
        <v>4.6466189999999997E-2</v>
      </c>
      <c r="AA8222">
        <v>0.87801240000000003</v>
      </c>
      <c r="AB8222">
        <v>18</v>
      </c>
      <c r="AC8222">
        <v>0.56369999999998299</v>
      </c>
      <c r="AD8222">
        <v>-5.73270000000001E-2</v>
      </c>
      <c r="AE8222">
        <v>-0.60583000000000398</v>
      </c>
      <c r="AF8222">
        <v>-0.46121224961214702</v>
      </c>
      <c r="AG8222">
        <v>-5.73270000000001E-2</v>
      </c>
      <c r="AH8222">
        <v>0.68230871623866796</v>
      </c>
      <c r="AI8222">
        <v>93.981834157799298</v>
      </c>
      <c r="AJ8222">
        <v>124.05705404375099</v>
      </c>
      <c r="AK8222">
        <v>0.82555939118670096</v>
      </c>
      <c r="AL8222">
        <v>90.864454831949203</v>
      </c>
      <c r="AM8222">
        <v>108.32049735439099</v>
      </c>
      <c r="AN8222">
        <v>0.99999995704471401</v>
      </c>
    </row>
    <row r="8223" spans="1:40" x14ac:dyDescent="0.25">
      <c r="A8223" t="str">
        <f>"20190303154006936"</f>
        <v>20190303154006936</v>
      </c>
      <c r="B8223" t="str">
        <f>"1551598806926344"</f>
        <v>1551598806926344</v>
      </c>
      <c r="C8223" t="s">
        <v>40</v>
      </c>
      <c r="D8223">
        <v>4.3552470000000003</v>
      </c>
      <c r="E8223">
        <v>0.43165730000000002</v>
      </c>
      <c r="F8223" t="s">
        <v>44</v>
      </c>
      <c r="G8223">
        <v>-300.32440000000003</v>
      </c>
      <c r="H8223">
        <v>1.068465</v>
      </c>
      <c r="I8223">
        <v>-47.310940000000002</v>
      </c>
      <c r="J8223">
        <v>-300.87860000000001</v>
      </c>
      <c r="K8223">
        <v>1.1252150000000001</v>
      </c>
      <c r="L8223">
        <v>-46.721620000000001</v>
      </c>
      <c r="M8223">
        <v>0.161250799999999</v>
      </c>
      <c r="N8223">
        <v>-1.374015E-2</v>
      </c>
      <c r="O8223">
        <v>-0.98681799999999997</v>
      </c>
      <c r="P8223">
        <v>0.46500409999999998</v>
      </c>
      <c r="Q8223">
        <v>-2.6525170000000001E-2</v>
      </c>
      <c r="R8223">
        <v>-0.88491109999999995</v>
      </c>
      <c r="S8223">
        <v>1.8657840000000001</v>
      </c>
      <c r="T8223">
        <v>-0.17907670000000001</v>
      </c>
      <c r="U8223">
        <v>-2.4099430000000002</v>
      </c>
      <c r="V8223">
        <v>-0.31607479999999999</v>
      </c>
      <c r="W8223">
        <v>-1.638541E-2</v>
      </c>
      <c r="X8223">
        <v>0.94859280000000001</v>
      </c>
      <c r="Y8223">
        <v>-0.47575640000000002</v>
      </c>
      <c r="Z8223">
        <v>4.730496E-2</v>
      </c>
      <c r="AA8223">
        <v>0.87830409999999903</v>
      </c>
      <c r="AB8223">
        <v>18</v>
      </c>
      <c r="AC8223">
        <v>0.55419999999998004</v>
      </c>
      <c r="AD8223">
        <v>-5.6749999999999801E-2</v>
      </c>
      <c r="AE8223">
        <v>-0.58931999999999995</v>
      </c>
      <c r="AF8223">
        <v>-0.449695778279388</v>
      </c>
      <c r="AG8223">
        <v>-5.6749999999999801E-2</v>
      </c>
      <c r="AH8223">
        <v>0.66769418204730302</v>
      </c>
      <c r="AI8223">
        <v>94.032450947491498</v>
      </c>
      <c r="AJ8223">
        <v>123.96048764049701</v>
      </c>
      <c r="AK8223">
        <v>0.80700828759196896</v>
      </c>
      <c r="AL8223">
        <v>90.938856824092596</v>
      </c>
      <c r="AM8223">
        <v>108.42827306546501</v>
      </c>
      <c r="AN8223">
        <v>1.0000000305338701</v>
      </c>
    </row>
    <row r="8224" spans="1:40" x14ac:dyDescent="0.25">
      <c r="A8224" t="str">
        <f>"20190303154006957"</f>
        <v>20190303154006957</v>
      </c>
      <c r="B8224" t="str">
        <f>"1551598806946840"</f>
        <v>1551598806946840</v>
      </c>
      <c r="C8224" t="s">
        <v>40</v>
      </c>
      <c r="D8224">
        <v>4.3923019999999999</v>
      </c>
      <c r="E8224">
        <v>0.43266349999999998</v>
      </c>
      <c r="F8224" t="s">
        <v>44</v>
      </c>
      <c r="G8224">
        <v>-300.2953</v>
      </c>
      <c r="H8224">
        <v>1.0680350000000001</v>
      </c>
      <c r="I8224">
        <v>-47.465150000000001</v>
      </c>
      <c r="J8224">
        <v>-300.84269999999998</v>
      </c>
      <c r="K8224">
        <v>1.125362</v>
      </c>
      <c r="L8224">
        <v>-46.889919999999996</v>
      </c>
      <c r="M8224">
        <v>0.16830020000000001</v>
      </c>
      <c r="N8224">
        <v>-1.3774170000000001E-2</v>
      </c>
      <c r="O8224">
        <v>-0.9856395</v>
      </c>
      <c r="P8224">
        <v>0.47271479999999999</v>
      </c>
      <c r="Q8224">
        <v>-2.6441220000000001E-2</v>
      </c>
      <c r="R8224">
        <v>-0.88081869999999995</v>
      </c>
      <c r="S8224">
        <v>1.880188</v>
      </c>
      <c r="T8224">
        <v>-0.1843137</v>
      </c>
      <c r="U8224">
        <v>-2.3966669999999999</v>
      </c>
      <c r="V8224">
        <v>-0.31757299999999999</v>
      </c>
      <c r="W8224">
        <v>-1.640318E-2</v>
      </c>
      <c r="X8224">
        <v>0.94809200000000005</v>
      </c>
      <c r="Y8224">
        <v>-0.4750395</v>
      </c>
      <c r="Z8224">
        <v>4.9135980000000003E-2</v>
      </c>
      <c r="AA8224">
        <v>0.87859159999999903</v>
      </c>
      <c r="AB8224">
        <v>18</v>
      </c>
      <c r="AC8224">
        <v>0.54739999999998101</v>
      </c>
      <c r="AD8224">
        <v>-5.7326999999999899E-2</v>
      </c>
      <c r="AE8224">
        <v>-0.57522999999999702</v>
      </c>
      <c r="AF8224">
        <v>-0.44047399207256499</v>
      </c>
      <c r="AG8224">
        <v>-5.7326999999999899E-2</v>
      </c>
      <c r="AH8224">
        <v>0.65574174561029996</v>
      </c>
      <c r="AI8224">
        <v>94.150723544001707</v>
      </c>
      <c r="AJ8224">
        <v>123.889996002855</v>
      </c>
      <c r="AK8224">
        <v>0.79202333271020897</v>
      </c>
      <c r="AL8224">
        <v>90.939875081518693</v>
      </c>
      <c r="AM8224">
        <v>108.518794503903</v>
      </c>
      <c r="AN8224">
        <v>1.0000000575535499</v>
      </c>
    </row>
    <row r="8225" spans="1:40" x14ac:dyDescent="0.25">
      <c r="A8225" t="str">
        <f>"20190303154006980"</f>
        <v>20190303154006980</v>
      </c>
      <c r="B8225" t="str">
        <f>"1551598806966360"</f>
        <v>1551598806966360</v>
      </c>
      <c r="C8225" t="s">
        <v>40</v>
      </c>
      <c r="D8225">
        <v>4.35527</v>
      </c>
      <c r="E8225">
        <v>0.43348310000000001</v>
      </c>
      <c r="F8225" t="s">
        <v>44</v>
      </c>
      <c r="G8225">
        <v>-300.26389999999998</v>
      </c>
      <c r="H8225">
        <v>1.0683769999999999</v>
      </c>
      <c r="I8225">
        <v>-47.618310000000001</v>
      </c>
      <c r="J8225">
        <v>-300.80349999999999</v>
      </c>
      <c r="K8225">
        <v>1.1255109999999999</v>
      </c>
      <c r="L8225">
        <v>-47.065060000000003</v>
      </c>
      <c r="M8225">
        <v>0.17596400000000001</v>
      </c>
      <c r="N8225">
        <v>-1.380905E-2</v>
      </c>
      <c r="O8225">
        <v>-0.98429979999999995</v>
      </c>
      <c r="P8225">
        <v>0.48140189999999999</v>
      </c>
      <c r="Q8225">
        <v>-2.7064930000000001E-2</v>
      </c>
      <c r="R8225">
        <v>-0.87608240000000004</v>
      </c>
      <c r="S8225">
        <v>1.893829</v>
      </c>
      <c r="T8225">
        <v>-0.18650050000000001</v>
      </c>
      <c r="U8225">
        <v>-2.383972</v>
      </c>
      <c r="V8225">
        <v>-0.3195616</v>
      </c>
      <c r="W8225">
        <v>-1.713454E-2</v>
      </c>
      <c r="X8225">
        <v>0.94741059999999999</v>
      </c>
      <c r="Y8225">
        <v>-0.47352689999999997</v>
      </c>
      <c r="Z8225">
        <v>4.9938929999999999E-2</v>
      </c>
      <c r="AA8225">
        <v>0.87936250000000005</v>
      </c>
      <c r="AB8225">
        <v>18</v>
      </c>
      <c r="AC8225">
        <v>0.53960000000000696</v>
      </c>
      <c r="AD8225">
        <v>-5.7133999999999997E-2</v>
      </c>
      <c r="AE8225">
        <v>-0.55325000000000502</v>
      </c>
      <c r="AF8225">
        <v>-0.43145928488270202</v>
      </c>
      <c r="AG8225">
        <v>-5.7133999999999997E-2</v>
      </c>
      <c r="AH8225">
        <v>0.63609838526769202</v>
      </c>
      <c r="AI8225">
        <v>94.251155878612707</v>
      </c>
      <c r="AJ8225">
        <v>124.148659136584</v>
      </c>
      <c r="AK8225">
        <v>0.77074156771751801</v>
      </c>
      <c r="AL8225">
        <v>90.981784844329695</v>
      </c>
      <c r="AM8225">
        <v>108.63925102042499</v>
      </c>
      <c r="AN8225">
        <v>1.0000000268239599</v>
      </c>
    </row>
    <row r="8226" spans="1:40" x14ac:dyDescent="0.25">
      <c r="A8226" t="str">
        <f>"20190303154007006"</f>
        <v>20190303154007006</v>
      </c>
      <c r="B8226" t="str">
        <f>"1551598806996616"</f>
        <v>1551598806996616</v>
      </c>
      <c r="C8226" t="s">
        <v>40</v>
      </c>
      <c r="D8226">
        <v>4.386285</v>
      </c>
      <c r="E8226">
        <v>0.43468180000000001</v>
      </c>
      <c r="F8226" t="s">
        <v>44</v>
      </c>
      <c r="G8226">
        <v>-300.23349999999999</v>
      </c>
      <c r="H8226">
        <v>1.068668</v>
      </c>
      <c r="I8226">
        <v>-47.771729999999998</v>
      </c>
      <c r="J8226">
        <v>-300.75920000000002</v>
      </c>
      <c r="K8226">
        <v>1.125672</v>
      </c>
      <c r="L8226">
        <v>-47.254550000000002</v>
      </c>
      <c r="M8226">
        <v>0.18463389999999999</v>
      </c>
      <c r="N8226">
        <v>-1.384869E-2</v>
      </c>
      <c r="O8226">
        <v>-0.98271010000000003</v>
      </c>
      <c r="P8226">
        <v>0.49133900000000003</v>
      </c>
      <c r="Q8226">
        <v>-2.7282279999999999E-2</v>
      </c>
      <c r="R8226">
        <v>-0.87054140000000002</v>
      </c>
      <c r="S8226">
        <v>1.9112549999999999</v>
      </c>
      <c r="T8226">
        <v>-0.19051190000000001</v>
      </c>
      <c r="U8226">
        <v>-2.3682249999999998</v>
      </c>
      <c r="V8226">
        <v>-0.32198100000000002</v>
      </c>
      <c r="W8226">
        <v>-1.7473659999999998E-2</v>
      </c>
      <c r="X8226">
        <v>0.94658489999999995</v>
      </c>
      <c r="Y8226">
        <v>-0.47248970000000001</v>
      </c>
      <c r="Z8226">
        <v>5.136081E-2</v>
      </c>
      <c r="AA8226">
        <v>0.87983840000000002</v>
      </c>
      <c r="AB8226">
        <v>18</v>
      </c>
      <c r="AC8226">
        <v>0.52570000000002803</v>
      </c>
      <c r="AD8226">
        <v>-5.7003999999999999E-2</v>
      </c>
      <c r="AE8226">
        <v>-0.51717999999999598</v>
      </c>
      <c r="AF8226">
        <v>-0.418660474827317</v>
      </c>
      <c r="AG8226">
        <v>-5.7003999999999999E-2</v>
      </c>
      <c r="AH8226">
        <v>0.60176234824591601</v>
      </c>
      <c r="AI8226">
        <v>94.446397507473904</v>
      </c>
      <c r="AJ8226">
        <v>124.82726019883</v>
      </c>
      <c r="AK8226">
        <v>0.73528496038275803</v>
      </c>
      <c r="AL8226">
        <v>91.001217892090196</v>
      </c>
      <c r="AM8226">
        <v>108.785744612239</v>
      </c>
      <c r="AN8226">
        <v>1.0000000330314001</v>
      </c>
    </row>
    <row r="8227" spans="1:40" x14ac:dyDescent="0.25">
      <c r="A8227" t="str">
        <f>"20190303154007029"</f>
        <v>20190303154007029</v>
      </c>
      <c r="B8227" t="str">
        <f>"1551598807017112"</f>
        <v>1551598807017112</v>
      </c>
      <c r="C8227" t="s">
        <v>40</v>
      </c>
      <c r="D8227">
        <v>4.3463849999999997</v>
      </c>
      <c r="E8227">
        <v>0.43534349999999999</v>
      </c>
      <c r="F8227" t="s">
        <v>44</v>
      </c>
      <c r="G8227">
        <v>-300.19589999999999</v>
      </c>
      <c r="H8227">
        <v>1.0698570000000001</v>
      </c>
      <c r="I8227">
        <v>-47.941130000000001</v>
      </c>
      <c r="J8227">
        <v>-300.71480000000003</v>
      </c>
      <c r="K8227">
        <v>1.1258300000000001</v>
      </c>
      <c r="L8227">
        <v>-47.435090000000002</v>
      </c>
      <c r="M8227">
        <v>0.19326109999999999</v>
      </c>
      <c r="N8227">
        <v>-1.389072E-2</v>
      </c>
      <c r="O8227">
        <v>-0.9810489</v>
      </c>
      <c r="P8227">
        <v>0.5013128</v>
      </c>
      <c r="Q8227">
        <v>-2.8564989999999998E-2</v>
      </c>
      <c r="R8227">
        <v>-0.86479430000000002</v>
      </c>
      <c r="S8227">
        <v>1.929535</v>
      </c>
      <c r="T8227">
        <v>-0.19113849999999999</v>
      </c>
      <c r="U8227">
        <v>-2.351105</v>
      </c>
      <c r="V8227">
        <v>-0.32453029999999999</v>
      </c>
      <c r="W8227">
        <v>-1.8879610000000002E-2</v>
      </c>
      <c r="X8227">
        <v>0.9456869</v>
      </c>
      <c r="Y8227">
        <v>-0.4719643</v>
      </c>
      <c r="Z8227">
        <v>5.1649630000000002E-2</v>
      </c>
      <c r="AA8227">
        <v>0.88010339999999998</v>
      </c>
      <c r="AB8227">
        <v>18</v>
      </c>
      <c r="AC8227">
        <v>0.51890000000003</v>
      </c>
      <c r="AD8227">
        <v>-5.5972999999999801E-2</v>
      </c>
      <c r="AE8227">
        <v>-0.50603999999999805</v>
      </c>
      <c r="AF8227">
        <v>-0.408869751148001</v>
      </c>
      <c r="AG8227">
        <v>-5.5972999999999801E-2</v>
      </c>
      <c r="AH8227">
        <v>0.59325279224718397</v>
      </c>
      <c r="AI8227">
        <v>94.442163480923199</v>
      </c>
      <c r="AJ8227">
        <v>124.574606621322</v>
      </c>
      <c r="AK8227">
        <v>0.72267304200579396</v>
      </c>
      <c r="AL8227">
        <v>91.081786206748404</v>
      </c>
      <c r="AM8227">
        <v>108.9406245792</v>
      </c>
      <c r="AN8227">
        <v>1.0000000340617199</v>
      </c>
    </row>
    <row r="8228" spans="1:40" x14ac:dyDescent="0.25">
      <c r="A8228" t="str">
        <f>"20190303154007047"</f>
        <v>20190303154007047</v>
      </c>
      <c r="B8228" t="str">
        <f>"1551598807036632"</f>
        <v>1551598807036632</v>
      </c>
      <c r="C8228" t="s">
        <v>40</v>
      </c>
      <c r="D8228">
        <v>4.3713249999999997</v>
      </c>
      <c r="E8228">
        <v>0.43599890000000002</v>
      </c>
      <c r="F8228" t="s">
        <v>44</v>
      </c>
      <c r="G8228">
        <v>-300.13869999999997</v>
      </c>
      <c r="H8228">
        <v>1.0681069999999999</v>
      </c>
      <c r="I8228">
        <v>-48.123489999999997</v>
      </c>
      <c r="J8228">
        <v>-300.67869999999999</v>
      </c>
      <c r="K8228">
        <v>1.125964</v>
      </c>
      <c r="L8228">
        <v>-47.575740000000003</v>
      </c>
      <c r="M8228">
        <v>0.20026289999999999</v>
      </c>
      <c r="N8228">
        <v>-1.392646E-2</v>
      </c>
      <c r="O8228">
        <v>-0.97964329999999999</v>
      </c>
      <c r="P8228">
        <v>0.50944899999999904</v>
      </c>
      <c r="Q8228">
        <v>-2.899844E-2</v>
      </c>
      <c r="R8228">
        <v>-0.86001240000000001</v>
      </c>
      <c r="S8228">
        <v>1.9517819999999999</v>
      </c>
      <c r="T8228">
        <v>-0.19548009999999999</v>
      </c>
      <c r="U8228">
        <v>-2.3311459999999999</v>
      </c>
      <c r="V8228">
        <v>-0.3266888</v>
      </c>
      <c r="W8228">
        <v>-1.9415419999999999E-2</v>
      </c>
      <c r="X8228">
        <v>0.94493249999999995</v>
      </c>
      <c r="Y8228">
        <v>-0.47425489999999998</v>
      </c>
      <c r="Z8228">
        <v>5.319248E-2</v>
      </c>
      <c r="AA8228">
        <v>0.87877919999999998</v>
      </c>
      <c r="AB8228">
        <v>18</v>
      </c>
      <c r="AC8228">
        <v>0.54000000000002002</v>
      </c>
      <c r="AD8228">
        <v>-5.7856999999999999E-2</v>
      </c>
      <c r="AE8228">
        <v>-0.54774999999999996</v>
      </c>
      <c r="AF8228">
        <v>-0.41699466235325999</v>
      </c>
      <c r="AG8228">
        <v>-5.7856999999999999E-2</v>
      </c>
      <c r="AH8228">
        <v>0.64117629610027504</v>
      </c>
      <c r="AI8228">
        <v>94.325909272636196</v>
      </c>
      <c r="AJ8228">
        <v>123.038318009036</v>
      </c>
      <c r="AK8228">
        <v>0.76703260919010297</v>
      </c>
      <c r="AL8228">
        <v>91.112491546979896</v>
      </c>
      <c r="AM8228">
        <v>109.07165609692601</v>
      </c>
      <c r="AN8228">
        <v>0.99999998006773205</v>
      </c>
    </row>
    <row r="8229" spans="1:40" x14ac:dyDescent="0.25">
      <c r="A8229" t="str">
        <f>"20190303154007069"</f>
        <v>20190303154007069</v>
      </c>
      <c r="B8229" t="str">
        <f>"1551598807066888"</f>
        <v>1551598807066888</v>
      </c>
      <c r="C8229" t="s">
        <v>40</v>
      </c>
      <c r="D8229">
        <v>4.3489120000000003</v>
      </c>
      <c r="E8229">
        <v>0.43651610000000002</v>
      </c>
      <c r="F8229" t="s">
        <v>44</v>
      </c>
      <c r="G8229">
        <v>-300.10149999999999</v>
      </c>
      <c r="H8229">
        <v>1.0674680000000001</v>
      </c>
      <c r="I8229">
        <v>-48.254379999999998</v>
      </c>
      <c r="J8229">
        <v>-300.6345</v>
      </c>
      <c r="K8229">
        <v>1.1261129999999999</v>
      </c>
      <c r="L8229">
        <v>-47.741459999999996</v>
      </c>
      <c r="M8229">
        <v>0.20879200000000001</v>
      </c>
      <c r="N8229">
        <v>-1.397002E-2</v>
      </c>
      <c r="O8229">
        <v>-0.97786030000000002</v>
      </c>
      <c r="P8229">
        <v>0.51982600000000001</v>
      </c>
      <c r="Q8229">
        <v>-2.945917E-2</v>
      </c>
      <c r="R8229">
        <v>-0.85376419999999997</v>
      </c>
      <c r="S8229">
        <v>1.969055</v>
      </c>
      <c r="T8229">
        <v>-0.19955909999999999</v>
      </c>
      <c r="U8229">
        <v>-2.3151860000000002</v>
      </c>
      <c r="V8229">
        <v>-0.32988529999999999</v>
      </c>
      <c r="W8229">
        <v>-2.0010690000000001E-2</v>
      </c>
      <c r="X8229">
        <v>0.94380889999999995</v>
      </c>
      <c r="Y8229">
        <v>-0.47332439999999998</v>
      </c>
      <c r="Z8229">
        <v>5.4620549999999997E-2</v>
      </c>
      <c r="AA8229">
        <v>0.87919319999999901</v>
      </c>
      <c r="AB8229">
        <v>18</v>
      </c>
      <c r="AC8229">
        <v>0.53300000000001502</v>
      </c>
      <c r="AD8229">
        <v>-5.8644999999999801E-2</v>
      </c>
      <c r="AE8229">
        <v>-0.51292000000000104</v>
      </c>
      <c r="AF8229">
        <v>-0.41155952770217102</v>
      </c>
      <c r="AG8229">
        <v>-5.8644999999999801E-2</v>
      </c>
      <c r="AH8229">
        <v>0.60908170345844304</v>
      </c>
      <c r="AI8229">
        <v>94.561340199786201</v>
      </c>
      <c r="AJ8229">
        <v>124.04708927370601</v>
      </c>
      <c r="AK8229">
        <v>0.73742864221243298</v>
      </c>
      <c r="AL8229">
        <v>91.146604625148498</v>
      </c>
      <c r="AM8229">
        <v>109.265823935794</v>
      </c>
      <c r="AN8229">
        <v>0.99999998929478795</v>
      </c>
    </row>
    <row r="8230" spans="1:40" x14ac:dyDescent="0.25">
      <c r="A8230" t="str">
        <f>"20190303154007093"</f>
        <v>20190303154007093</v>
      </c>
      <c r="B8230" t="str">
        <f>"1551598807086408"</f>
        <v>1551598807086408</v>
      </c>
      <c r="C8230" t="s">
        <v>40</v>
      </c>
      <c r="D8230">
        <v>4.1519279999999998</v>
      </c>
      <c r="E8230">
        <v>0.43425190000000002</v>
      </c>
      <c r="F8230" t="s">
        <v>44</v>
      </c>
      <c r="G8230">
        <v>-299.98160000000001</v>
      </c>
      <c r="H8230">
        <v>1.0595209999999999</v>
      </c>
      <c r="I8230">
        <v>-48.492350000000002</v>
      </c>
      <c r="J8230">
        <v>-300.58499999999998</v>
      </c>
      <c r="K8230">
        <v>1.12626</v>
      </c>
      <c r="L8230">
        <v>-47.917720000000003</v>
      </c>
      <c r="M8230">
        <v>0.21823899999999999</v>
      </c>
      <c r="N8230">
        <v>-1.401765E-2</v>
      </c>
      <c r="O8230">
        <v>-0.97579470000000001</v>
      </c>
      <c r="P8230">
        <v>0.53031870000000003</v>
      </c>
      <c r="Q8230">
        <v>-3.1161870000000001E-2</v>
      </c>
      <c r="R8230">
        <v>-0.84722580000000003</v>
      </c>
      <c r="S8230">
        <v>1.9932859999999999</v>
      </c>
      <c r="T8230">
        <v>-0.2033565</v>
      </c>
      <c r="U8230">
        <v>-2.2932130000000002</v>
      </c>
      <c r="V8230">
        <v>-0.33238489999999998</v>
      </c>
      <c r="W8230">
        <v>-2.1835770000000001E-2</v>
      </c>
      <c r="X8230">
        <v>0.94289100000000003</v>
      </c>
      <c r="Y8230">
        <v>-0.47421580000000002</v>
      </c>
      <c r="Z8230">
        <v>5.5969619999999998E-2</v>
      </c>
      <c r="AA8230">
        <v>0.87862779999999996</v>
      </c>
      <c r="AB8230">
        <v>18</v>
      </c>
      <c r="AC8230">
        <v>0.60339999999996496</v>
      </c>
      <c r="AD8230">
        <v>-6.6739000000000104E-2</v>
      </c>
      <c r="AE8230">
        <v>-0.57462999999999897</v>
      </c>
      <c r="AF8230">
        <v>-0.46047924890859299</v>
      </c>
      <c r="AG8230">
        <v>-6.6739000000000104E-2</v>
      </c>
      <c r="AH8230">
        <v>0.688060219576209</v>
      </c>
      <c r="AI8230">
        <v>94.608617938955504</v>
      </c>
      <c r="AJ8230">
        <v>123.792126071372</v>
      </c>
      <c r="AK8230">
        <v>0.83061549381147703</v>
      </c>
      <c r="AL8230">
        <v>91.251196930206007</v>
      </c>
      <c r="AM8230">
        <v>109.418409343466</v>
      </c>
      <c r="AN8230">
        <v>0.99999998024025105</v>
      </c>
    </row>
    <row r="8231" spans="1:40" x14ac:dyDescent="0.25">
      <c r="A8231" t="str">
        <f>"20190303154007114"</f>
        <v>20190303154007114</v>
      </c>
      <c r="B8231" t="str">
        <f>"1551598807106904"</f>
        <v>1551598807106904</v>
      </c>
      <c r="C8231" t="s">
        <v>40</v>
      </c>
      <c r="D8231">
        <v>4.1171499999999996</v>
      </c>
      <c r="E8231">
        <v>0.34504020000000002</v>
      </c>
      <c r="F8231" t="s">
        <v>44</v>
      </c>
      <c r="G8231">
        <v>-299.93599999999998</v>
      </c>
      <c r="H8231">
        <v>1.059266</v>
      </c>
      <c r="I8231">
        <v>-48.637659999999997</v>
      </c>
      <c r="J8231">
        <v>-300.53820000000002</v>
      </c>
      <c r="K8231">
        <v>1.12636</v>
      </c>
      <c r="L8231">
        <v>-48.078000000000003</v>
      </c>
      <c r="M8231">
        <v>0.2270818</v>
      </c>
      <c r="N8231">
        <v>-1.4058869999999999E-2</v>
      </c>
      <c r="O8231">
        <v>-0.97377440000000004</v>
      </c>
      <c r="P8231">
        <v>0.53958430000000002</v>
      </c>
      <c r="Q8231">
        <v>-3.314694E-2</v>
      </c>
      <c r="R8231">
        <v>-0.84127890000000005</v>
      </c>
      <c r="S8231">
        <v>2.0364689999999999</v>
      </c>
      <c r="T8231">
        <v>-0.2101778</v>
      </c>
      <c r="U8231">
        <v>-2.2585449999999998</v>
      </c>
      <c r="V8231">
        <v>-0.33416509999999999</v>
      </c>
      <c r="W8231">
        <v>-2.3901579999999999E-2</v>
      </c>
      <c r="X8231">
        <v>0.94221140000000003</v>
      </c>
      <c r="Y8231">
        <v>-0.48210049999999999</v>
      </c>
      <c r="Z8231">
        <v>5.8335779999999997E-2</v>
      </c>
      <c r="AA8231">
        <v>0.874171699999999</v>
      </c>
      <c r="AB8231">
        <v>18</v>
      </c>
      <c r="AC8231">
        <v>0.60220000000003804</v>
      </c>
      <c r="AD8231">
        <v>-6.7093999999999904E-2</v>
      </c>
      <c r="AE8231">
        <v>-0.55965999999999305</v>
      </c>
      <c r="AF8231">
        <v>-0.45632430013123898</v>
      </c>
      <c r="AG8231">
        <v>-6.7093999999999904E-2</v>
      </c>
      <c r="AH8231">
        <v>0.67728741009664095</v>
      </c>
      <c r="AI8231">
        <v>94.696619698081307</v>
      </c>
      <c r="AJ8231">
        <v>123.970230412533</v>
      </c>
      <c r="AK8231">
        <v>0.81942156891412199</v>
      </c>
      <c r="AL8231">
        <v>91.369590136817095</v>
      </c>
      <c r="AM8231">
        <v>109.527582046821</v>
      </c>
      <c r="AN8231">
        <v>0.99999996093723198</v>
      </c>
    </row>
    <row r="8232" spans="1:40" x14ac:dyDescent="0.25">
      <c r="A8232" t="str">
        <f>"20190303154007137"</f>
        <v>20190303154007137</v>
      </c>
      <c r="B8232" t="str">
        <f>"1551598807126424"</f>
        <v>1551598807126424</v>
      </c>
      <c r="C8232" t="s">
        <v>40</v>
      </c>
      <c r="D8232">
        <v>4.0510780000000004</v>
      </c>
      <c r="E8232">
        <v>0.34210970000000002</v>
      </c>
      <c r="F8232" t="s">
        <v>63</v>
      </c>
      <c r="G8232">
        <v>-286.01330000000002</v>
      </c>
      <c r="H8232" s="1">
        <v>-3.6923100000000001E-6</v>
      </c>
      <c r="I8232">
        <v>-58.188890000000001</v>
      </c>
      <c r="J8232">
        <v>-300.48719999999997</v>
      </c>
      <c r="K8232">
        <v>1.1264339999999999</v>
      </c>
      <c r="L8232">
        <v>-48.245420000000003</v>
      </c>
      <c r="M8232">
        <v>0.2365671</v>
      </c>
      <c r="N8232">
        <v>-1.4098090000000001E-2</v>
      </c>
      <c r="O8232">
        <v>-0.97151290000000001</v>
      </c>
      <c r="P8232">
        <v>0.54902700000000004</v>
      </c>
      <c r="Q8232">
        <v>-3.4955260000000002E-2</v>
      </c>
      <c r="R8232">
        <v>-0.83507350000000002</v>
      </c>
      <c r="S8232">
        <v>2.6600950000000001</v>
      </c>
      <c r="T8232">
        <v>-0.20628299999999999</v>
      </c>
      <c r="U8232">
        <v>-1.851715</v>
      </c>
      <c r="V8232">
        <v>-0.33558059999999901</v>
      </c>
      <c r="W8232">
        <v>-2.5764599999999901E-2</v>
      </c>
      <c r="X8232">
        <v>0.94165909999999997</v>
      </c>
      <c r="Y8232">
        <v>-0.66075069999999902</v>
      </c>
      <c r="Z8232">
        <v>5.4983869999999997E-2</v>
      </c>
      <c r="AA8232">
        <v>0.7485889</v>
      </c>
      <c r="AB8232">
        <v>18</v>
      </c>
      <c r="AC8232">
        <v>14.473899999999899</v>
      </c>
      <c r="AD8232">
        <v>-1.1264376923099999</v>
      </c>
      <c r="AE8232">
        <v>-9.9434699999999907</v>
      </c>
      <c r="AF8232">
        <v>-11.66245762136</v>
      </c>
      <c r="AG8232">
        <v>-1.1264376923099999</v>
      </c>
      <c r="AH8232">
        <v>13.0319343585138</v>
      </c>
      <c r="AI8232">
        <v>93.685361957794498</v>
      </c>
      <c r="AJ8232">
        <v>131.82579972089201</v>
      </c>
      <c r="AK8232">
        <v>17.524642443407799</v>
      </c>
      <c r="AL8232">
        <v>91.476366199910103</v>
      </c>
      <c r="AM8232">
        <v>109.61462570548299</v>
      </c>
      <c r="AN8232">
        <v>1.0000000071611601</v>
      </c>
    </row>
    <row r="8233" spans="1:40" x14ac:dyDescent="0.25">
      <c r="A8233" t="str">
        <f>"20190303154007158"</f>
        <v>20190303154007158</v>
      </c>
      <c r="B8233" t="str">
        <f>"1551598807156680"</f>
        <v>1551598807156680</v>
      </c>
      <c r="C8233" t="s">
        <v>40</v>
      </c>
      <c r="D8233">
        <v>4.0835410000000003</v>
      </c>
      <c r="E8233">
        <v>0.34017140000000001</v>
      </c>
      <c r="F8233" t="s">
        <v>63</v>
      </c>
      <c r="G8233">
        <v>-287.09539999999998</v>
      </c>
      <c r="H8233" s="1">
        <v>-3.2732159999999999E-6</v>
      </c>
      <c r="I8233">
        <v>-57.209829999999997</v>
      </c>
      <c r="J8233">
        <v>-300.43639999999999</v>
      </c>
      <c r="K8233">
        <v>1.1264940000000001</v>
      </c>
      <c r="L8233">
        <v>-48.406010000000002</v>
      </c>
      <c r="M8233">
        <v>0.2458988</v>
      </c>
      <c r="N8233">
        <v>-1.413298E-2</v>
      </c>
      <c r="O8233">
        <v>-0.96919270000000002</v>
      </c>
      <c r="P8233">
        <v>0.55798040000000004</v>
      </c>
      <c r="Q8233">
        <v>-3.5900719999999997E-2</v>
      </c>
      <c r="R8233">
        <v>-0.82907739999999996</v>
      </c>
      <c r="S8233">
        <v>2.7003780000000002</v>
      </c>
      <c r="T8233">
        <v>-0.22713910000000001</v>
      </c>
      <c r="U8233">
        <v>-1.807617</v>
      </c>
      <c r="V8233">
        <v>-0.3366517</v>
      </c>
      <c r="W8233">
        <v>-2.6745080000000001E-2</v>
      </c>
      <c r="X8233">
        <v>0.94124940000000001</v>
      </c>
      <c r="Y8233">
        <v>-0.66680229999999996</v>
      </c>
      <c r="Z8233">
        <v>6.1816299999999998E-2</v>
      </c>
      <c r="AA8233">
        <v>0.74266639999999995</v>
      </c>
      <c r="AB8233">
        <v>18</v>
      </c>
      <c r="AC8233">
        <v>13.340999999999999</v>
      </c>
      <c r="AD8233">
        <v>-1.1264972732159999</v>
      </c>
      <c r="AE8233">
        <v>-8.80382</v>
      </c>
      <c r="AF8233">
        <v>-10.713013211222099</v>
      </c>
      <c r="AG8233">
        <v>-1.1264972732159999</v>
      </c>
      <c r="AH8233">
        <v>11.755920545394901</v>
      </c>
      <c r="AI8233">
        <v>94.051290355092306</v>
      </c>
      <c r="AJ8233">
        <v>132.342493719993</v>
      </c>
      <c r="AK8233">
        <v>15.944883694778801</v>
      </c>
      <c r="AL8233">
        <v>91.532562874451003</v>
      </c>
      <c r="AM8233">
        <v>109.680337631444</v>
      </c>
      <c r="AN8233">
        <v>1.00000004970872</v>
      </c>
    </row>
    <row r="8234" spans="1:40" x14ac:dyDescent="0.25">
      <c r="A8234" t="str">
        <f>"20190303154007182"</f>
        <v>20190303154007182</v>
      </c>
      <c r="B8234" t="str">
        <f>"1551598807176200"</f>
        <v>1551598807176200</v>
      </c>
      <c r="C8234" t="s">
        <v>40</v>
      </c>
      <c r="D8234">
        <v>4.0915679999999996</v>
      </c>
      <c r="E8234">
        <v>0.33962320000000001</v>
      </c>
      <c r="F8234" t="s">
        <v>63</v>
      </c>
      <c r="G8234">
        <v>-286.95859999999999</v>
      </c>
      <c r="H8234" s="1">
        <v>-3.3707219999999999E-6</v>
      </c>
      <c r="I8234">
        <v>-57.135420000000003</v>
      </c>
      <c r="J8234">
        <v>-300.38119999999998</v>
      </c>
      <c r="K8234">
        <v>1.126549</v>
      </c>
      <c r="L8234">
        <v>-48.573790000000002</v>
      </c>
      <c r="M8234">
        <v>0.2558877</v>
      </c>
      <c r="N8234">
        <v>-1.416953E-2</v>
      </c>
      <c r="O8234">
        <v>-0.96660290000000004</v>
      </c>
      <c r="P8234">
        <v>0.56743009999999905</v>
      </c>
      <c r="Q8234">
        <v>-3.551928E-2</v>
      </c>
      <c r="R8234">
        <v>-0.82265540000000004</v>
      </c>
      <c r="S8234">
        <v>2.7323</v>
      </c>
      <c r="T8234">
        <v>-0.22837089999999999</v>
      </c>
      <c r="U8234">
        <v>-1.769684</v>
      </c>
      <c r="V8234">
        <v>-0.3377039</v>
      </c>
      <c r="W8234">
        <v>-2.639437E-2</v>
      </c>
      <c r="X8234">
        <v>0.94088229999999995</v>
      </c>
      <c r="Y8234">
        <v>-0.67033399999999999</v>
      </c>
      <c r="Z8234">
        <v>6.2289259999999999E-2</v>
      </c>
      <c r="AA8234">
        <v>0.7394406</v>
      </c>
      <c r="AB8234">
        <v>18</v>
      </c>
      <c r="AC8234">
        <v>13.4225999999999</v>
      </c>
      <c r="AD8234">
        <v>-1.126552370722</v>
      </c>
      <c r="AE8234">
        <v>-8.5616299999999903</v>
      </c>
      <c r="AF8234">
        <v>-10.730858781682899</v>
      </c>
      <c r="AG8234">
        <v>-1.126552370722</v>
      </c>
      <c r="AH8234">
        <v>11.6531997934753</v>
      </c>
      <c r="AI8234">
        <v>94.067722216764096</v>
      </c>
      <c r="AJ8234">
        <v>132.640447162361</v>
      </c>
      <c r="AK8234">
        <v>15.881357494340699</v>
      </c>
      <c r="AL8234">
        <v>91.512461583658606</v>
      </c>
      <c r="AM8234">
        <v>109.74420836401001</v>
      </c>
      <c r="AN8234">
        <v>1.0000000446480899</v>
      </c>
    </row>
    <row r="8235" spans="1:40" x14ac:dyDescent="0.25">
      <c r="A8235" t="str">
        <f>"20190303154007207"</f>
        <v>20190303154007207</v>
      </c>
      <c r="B8235" t="str">
        <f>"1551598807196695"</f>
        <v>1551598807196695</v>
      </c>
      <c r="C8235" t="s">
        <v>40</v>
      </c>
      <c r="D8235">
        <v>4.1177710000000003</v>
      </c>
      <c r="E8235">
        <v>0.33982499999999999</v>
      </c>
      <c r="F8235" t="s">
        <v>63</v>
      </c>
      <c r="G8235">
        <v>-286.5985</v>
      </c>
      <c r="H8235" s="1">
        <v>-3.5569460000000002E-6</v>
      </c>
      <c r="I8235">
        <v>-57.256700000000002</v>
      </c>
      <c r="J8235">
        <v>-300.3184</v>
      </c>
      <c r="K8235">
        <v>1.1266149999999999</v>
      </c>
      <c r="L8235">
        <v>-48.757390000000001</v>
      </c>
      <c r="M8235">
        <v>0.26706429999999998</v>
      </c>
      <c r="N8235">
        <v>-1.421092E-2</v>
      </c>
      <c r="O8235">
        <v>-0.96357389999999998</v>
      </c>
      <c r="P8235">
        <v>0.57800509999999905</v>
      </c>
      <c r="Q8235">
        <v>-3.5178620000000001E-2</v>
      </c>
      <c r="R8235">
        <v>-0.81527459999999996</v>
      </c>
      <c r="S8235">
        <v>2.7558590000000001</v>
      </c>
      <c r="T8235">
        <v>-0.22525390000000001</v>
      </c>
      <c r="U8235">
        <v>-1.736145</v>
      </c>
      <c r="V8235">
        <v>-0.33895219999999998</v>
      </c>
      <c r="W8235">
        <v>-2.6093129999999999E-2</v>
      </c>
      <c r="X8235">
        <v>0.94044170000000005</v>
      </c>
      <c r="Y8235">
        <v>-0.67110400000000003</v>
      </c>
      <c r="Z8235">
        <v>6.1404920000000002E-2</v>
      </c>
      <c r="AA8235">
        <v>0.73881589999999997</v>
      </c>
      <c r="AB8235">
        <v>18</v>
      </c>
      <c r="AC8235">
        <v>13.7198999999999</v>
      </c>
      <c r="AD8235">
        <v>-1.1266185569460001</v>
      </c>
      <c r="AE8235">
        <v>-8.4993099999999995</v>
      </c>
      <c r="AF8235">
        <v>-10.898274960251801</v>
      </c>
      <c r="AG8235">
        <v>-1.1266185569460001</v>
      </c>
      <c r="AH8235">
        <v>11.797517788061301</v>
      </c>
      <c r="AI8235">
        <v>94.012524923885294</v>
      </c>
      <c r="AJ8235">
        <v>132.73103837436301</v>
      </c>
      <c r="AK8235">
        <v>16.100406592435199</v>
      </c>
      <c r="AL8235">
        <v>91.495195896511007</v>
      </c>
      <c r="AM8235">
        <v>109.820079897886</v>
      </c>
      <c r="AN8235">
        <v>1.0000000182084601</v>
      </c>
    </row>
    <row r="8236" spans="1:40" x14ac:dyDescent="0.25">
      <c r="A8236" t="str">
        <f>"20190303154007226"</f>
        <v>20190303154007226</v>
      </c>
      <c r="B8236" t="str">
        <f>"1551598807216216"</f>
        <v>1551598807216216</v>
      </c>
      <c r="C8236" t="s">
        <v>40</v>
      </c>
      <c r="D8236">
        <v>4.065747</v>
      </c>
      <c r="E8236">
        <v>0.33982259999999997</v>
      </c>
      <c r="F8236" t="s">
        <v>63</v>
      </c>
      <c r="G8236">
        <v>-286.41849999999999</v>
      </c>
      <c r="H8236" s="1">
        <v>-3.6507329999999999E-6</v>
      </c>
      <c r="I8236">
        <v>-57.276910000000001</v>
      </c>
      <c r="J8236">
        <v>-300.26679999999999</v>
      </c>
      <c r="K8236">
        <v>1.126671</v>
      </c>
      <c r="L8236">
        <v>-48.902560000000001</v>
      </c>
      <c r="M8236">
        <v>0.27608840000000001</v>
      </c>
      <c r="N8236">
        <v>-1.4243479999999999E-2</v>
      </c>
      <c r="O8236">
        <v>-0.96102699999999996</v>
      </c>
      <c r="P8236">
        <v>0.5867019</v>
      </c>
      <c r="Q8236">
        <v>-3.5130750000000002E-2</v>
      </c>
      <c r="R8236">
        <v>-0.80904100000000001</v>
      </c>
      <c r="S8236">
        <v>2.776367</v>
      </c>
      <c r="T8236">
        <v>-0.22503139999999999</v>
      </c>
      <c r="U8236">
        <v>-1.7016910000000001</v>
      </c>
      <c r="V8236">
        <v>-0.34019860000000002</v>
      </c>
      <c r="W8236">
        <v>-2.6086539999999998E-2</v>
      </c>
      <c r="X8236">
        <v>0.93999169999999999</v>
      </c>
      <c r="Y8236">
        <v>-0.67324980000000001</v>
      </c>
      <c r="Z8236">
        <v>6.1510950000000002E-2</v>
      </c>
      <c r="AA8236">
        <v>0.73685210000000001</v>
      </c>
      <c r="AB8236">
        <v>18</v>
      </c>
      <c r="AC8236">
        <v>13.848299999999901</v>
      </c>
      <c r="AD8236">
        <v>-1.1266746507330001</v>
      </c>
      <c r="AE8236">
        <v>-8.3743499999999997</v>
      </c>
      <c r="AF8236">
        <v>-10.944595771708499</v>
      </c>
      <c r="AG8236">
        <v>-1.1266746507330001</v>
      </c>
      <c r="AH8236">
        <v>11.8152664609062</v>
      </c>
      <c r="AI8236">
        <v>94.001676867020507</v>
      </c>
      <c r="AJ8236">
        <v>132.80923794310499</v>
      </c>
      <c r="AK8236">
        <v>16.144785347502101</v>
      </c>
      <c r="AL8236">
        <v>91.494818222652995</v>
      </c>
      <c r="AM8236">
        <v>109.89603105153201</v>
      </c>
      <c r="AN8236">
        <v>0.99999999554000996</v>
      </c>
    </row>
    <row r="8237" spans="1:40" x14ac:dyDescent="0.25">
      <c r="A8237" t="str">
        <f>"20190303154007248"</f>
        <v>20190303154007248</v>
      </c>
      <c r="B8237" t="str">
        <f>"1551598807236712"</f>
        <v>1551598807236712</v>
      </c>
      <c r="C8237" t="s">
        <v>40</v>
      </c>
      <c r="D8237">
        <v>4.1054120000000003</v>
      </c>
      <c r="E8237">
        <v>0.34047840000000001</v>
      </c>
      <c r="F8237" t="s">
        <v>63</v>
      </c>
      <c r="G8237">
        <v>-286.20659999999998</v>
      </c>
      <c r="H8237" s="1">
        <v>-3.7505980000000001E-6</v>
      </c>
      <c r="I8237">
        <v>-57.315100000000001</v>
      </c>
      <c r="J8237">
        <v>-300.21039999999999</v>
      </c>
      <c r="K8237">
        <v>1.126725</v>
      </c>
      <c r="L8237">
        <v>-49.05585</v>
      </c>
      <c r="M8237">
        <v>0.28577999999999998</v>
      </c>
      <c r="N8237">
        <v>-1.4276219999999999E-2</v>
      </c>
      <c r="O8237">
        <v>-0.95818899999999996</v>
      </c>
      <c r="P8237">
        <v>0.59637739999999995</v>
      </c>
      <c r="Q8237">
        <v>-3.5980390000000001E-2</v>
      </c>
      <c r="R8237">
        <v>-0.80189759999999999</v>
      </c>
      <c r="S8237">
        <v>2.7943730000000002</v>
      </c>
      <c r="T8237">
        <v>-0.22391929999999999</v>
      </c>
      <c r="U8237">
        <v>-1.6719360000000001</v>
      </c>
      <c r="V8237">
        <v>-0.34199069999999998</v>
      </c>
      <c r="W8237">
        <v>-2.6992100000000002E-2</v>
      </c>
      <c r="X8237">
        <v>0.93931560000000003</v>
      </c>
      <c r="Y8237">
        <v>-0.67367829999999995</v>
      </c>
      <c r="Z8237">
        <v>6.1286069999999998E-2</v>
      </c>
      <c r="AA8237">
        <v>0.7364792</v>
      </c>
      <c r="AB8237">
        <v>18</v>
      </c>
      <c r="AC8237">
        <v>14.0038</v>
      </c>
      <c r="AD8237">
        <v>-1.1267287505979999</v>
      </c>
      <c r="AE8237">
        <v>-8.2592499999999998</v>
      </c>
      <c r="AF8237">
        <v>-11.0062226092271</v>
      </c>
      <c r="AG8237">
        <v>-1.1267287505979999</v>
      </c>
      <c r="AH8237">
        <v>11.860178299110901</v>
      </c>
      <c r="AI8237">
        <v>93.9834193943218</v>
      </c>
      <c r="AJ8237">
        <v>132.86125810613001</v>
      </c>
      <c r="AK8237">
        <v>16.219441515908901</v>
      </c>
      <c r="AL8237">
        <v>91.546721258888098</v>
      </c>
      <c r="AM8237">
        <v>110.0058050905</v>
      </c>
      <c r="AN8237">
        <v>1.0000000043761299</v>
      </c>
    </row>
    <row r="8238" spans="1:40" x14ac:dyDescent="0.25">
      <c r="A8238" t="str">
        <f>"20190303154007270"</f>
        <v>20190303154007270</v>
      </c>
      <c r="B8238" t="str">
        <f>"1551598807266968"</f>
        <v>1551598807266968</v>
      </c>
      <c r="C8238" t="s">
        <v>40</v>
      </c>
      <c r="D8238">
        <v>4.1150120000000001</v>
      </c>
      <c r="E8238">
        <v>0.34140320000000002</v>
      </c>
      <c r="F8238" t="s">
        <v>63</v>
      </c>
      <c r="G8238">
        <v>-286.04070000000002</v>
      </c>
      <c r="H8238" s="1">
        <v>-3.8310280000000002E-6</v>
      </c>
      <c r="I8238">
        <v>-57.332230000000003</v>
      </c>
      <c r="J8238">
        <v>-300.1497</v>
      </c>
      <c r="K8238">
        <v>1.1267860000000001</v>
      </c>
      <c r="L8238">
        <v>-49.21463</v>
      </c>
      <c r="M8238">
        <v>0.29599629999999999</v>
      </c>
      <c r="N8238">
        <v>-1.430795E-2</v>
      </c>
      <c r="O8238">
        <v>-0.95508210000000004</v>
      </c>
      <c r="P8238">
        <v>0.60629299999999997</v>
      </c>
      <c r="Q8238">
        <v>-3.7331299999999998E-2</v>
      </c>
      <c r="R8238">
        <v>-0.79436490000000004</v>
      </c>
      <c r="S8238">
        <v>2.8099980000000002</v>
      </c>
      <c r="T8238">
        <v>-0.22344230000000001</v>
      </c>
      <c r="U8238">
        <v>-1.6412960000000001</v>
      </c>
      <c r="V8238">
        <v>-0.34362419999999999</v>
      </c>
      <c r="W8238">
        <v>-2.8393399999999999E-2</v>
      </c>
      <c r="X8238">
        <v>0.93867789999999995</v>
      </c>
      <c r="Y8238">
        <v>-0.67356569999999905</v>
      </c>
      <c r="Z8238">
        <v>6.130969E-2</v>
      </c>
      <c r="AA8238">
        <v>0.73658020000000002</v>
      </c>
      <c r="AB8238">
        <v>18</v>
      </c>
      <c r="AC8238">
        <v>14.108999999999901</v>
      </c>
      <c r="AD8238">
        <v>-1.126789831028</v>
      </c>
      <c r="AE8238">
        <v>-8.1175999999999995</v>
      </c>
      <c r="AF8238">
        <v>-11.020794998323201</v>
      </c>
      <c r="AG8238">
        <v>-1.126789831028</v>
      </c>
      <c r="AH8238">
        <v>11.873508914159601</v>
      </c>
      <c r="AI8238">
        <v>93.978809825788801</v>
      </c>
      <c r="AJ8238">
        <v>132.866965714044</v>
      </c>
      <c r="AK8238">
        <v>16.2390822293935</v>
      </c>
      <c r="AL8238">
        <v>91.627040671569702</v>
      </c>
      <c r="AM8238">
        <v>110.106290786694</v>
      </c>
      <c r="AN8238">
        <v>0.99999998796880396</v>
      </c>
    </row>
    <row r="8239" spans="1:40" x14ac:dyDescent="0.25">
      <c r="A8239" t="str">
        <f>"20190303154007293"</f>
        <v>20190303154007293</v>
      </c>
      <c r="B8239" t="str">
        <f>"1551598807286488"</f>
        <v>1551598807286488</v>
      </c>
      <c r="C8239" t="s">
        <v>40</v>
      </c>
      <c r="D8239">
        <v>4.1110139999999999</v>
      </c>
      <c r="E8239">
        <v>0.34205600000000003</v>
      </c>
      <c r="F8239" t="s">
        <v>63</v>
      </c>
      <c r="G8239">
        <v>-286.07690000000002</v>
      </c>
      <c r="H8239" s="1">
        <v>-3.829187E-6</v>
      </c>
      <c r="I8239">
        <v>-57.240229999999997</v>
      </c>
      <c r="J8239">
        <v>-300.08690000000001</v>
      </c>
      <c r="K8239">
        <v>1.1268199999999999</v>
      </c>
      <c r="L8239">
        <v>-49.373260000000002</v>
      </c>
      <c r="M8239">
        <v>0.30637490000000001</v>
      </c>
      <c r="N8239">
        <v>-1.4337280000000001E-2</v>
      </c>
      <c r="O8239">
        <v>-0.95180310000000001</v>
      </c>
      <c r="P8239">
        <v>0.61601319999999904</v>
      </c>
      <c r="Q8239">
        <v>-3.7538330000000002E-2</v>
      </c>
      <c r="R8239">
        <v>-0.78684109999999996</v>
      </c>
      <c r="S8239">
        <v>2.8240660000000002</v>
      </c>
      <c r="T8239">
        <v>-0.22611819999999999</v>
      </c>
      <c r="U8239">
        <v>-1.610535</v>
      </c>
      <c r="V8239">
        <v>-0.34494279999999999</v>
      </c>
      <c r="W8239">
        <v>-2.8633080000000002E-2</v>
      </c>
      <c r="X8239">
        <v>0.93818690000000005</v>
      </c>
      <c r="Y8239">
        <v>-0.67309929999999996</v>
      </c>
      <c r="Z8239">
        <v>6.238047E-2</v>
      </c>
      <c r="AA8239">
        <v>0.73691649999999997</v>
      </c>
      <c r="AB8239">
        <v>17</v>
      </c>
      <c r="AC8239">
        <v>14.0099999999999</v>
      </c>
      <c r="AD8239">
        <v>-1.1268238291869901</v>
      </c>
      <c r="AE8239">
        <v>-7.8669700000000002</v>
      </c>
      <c r="AF8239">
        <v>-10.872169092489701</v>
      </c>
      <c r="AG8239">
        <v>-1.1268238291869901</v>
      </c>
      <c r="AH8239">
        <v>11.7236685665719</v>
      </c>
      <c r="AI8239">
        <v>94.031248752992099</v>
      </c>
      <c r="AJ8239">
        <v>132.84189227253</v>
      </c>
      <c r="AK8239">
        <v>16.028667985098998</v>
      </c>
      <c r="AL8239">
        <v>91.640778850932705</v>
      </c>
      <c r="AM8239">
        <v>110.18694061349299</v>
      </c>
      <c r="AN8239">
        <v>1.00000002393686</v>
      </c>
    </row>
    <row r="8240" spans="1:40" x14ac:dyDescent="0.25">
      <c r="A8240" t="str">
        <f>"20190303154007315"</f>
        <v>20190303154007315</v>
      </c>
      <c r="B8240" t="str">
        <f>"1551598807306984"</f>
        <v>1551598807306984</v>
      </c>
      <c r="C8240" t="s">
        <v>40</v>
      </c>
      <c r="D8240">
        <v>4.0964080000000003</v>
      </c>
      <c r="E8240">
        <v>0.34258300000000003</v>
      </c>
      <c r="F8240" t="s">
        <v>63</v>
      </c>
      <c r="G8240">
        <v>-285.95429999999999</v>
      </c>
      <c r="H8240" s="1">
        <v>-3.8922760000000002E-6</v>
      </c>
      <c r="I8240">
        <v>-57.232410000000002</v>
      </c>
      <c r="J8240">
        <v>-300.02229999999997</v>
      </c>
      <c r="K8240">
        <v>1.1268389999999999</v>
      </c>
      <c r="L8240">
        <v>-49.531010000000002</v>
      </c>
      <c r="M8240">
        <v>0.31682880000000002</v>
      </c>
      <c r="N8240">
        <v>-1.4363010000000001E-2</v>
      </c>
      <c r="O8240">
        <v>-0.94837419999999995</v>
      </c>
      <c r="P8240">
        <v>0.62505840000000001</v>
      </c>
      <c r="Q8240">
        <v>-3.7314800000000002E-2</v>
      </c>
      <c r="R8240">
        <v>-0.77968570000000004</v>
      </c>
      <c r="S8240">
        <v>2.8393860000000002</v>
      </c>
      <c r="T8240">
        <v>-0.2263896</v>
      </c>
      <c r="U8240">
        <v>-1.5789789999999999</v>
      </c>
      <c r="V8240">
        <v>-0.3454527</v>
      </c>
      <c r="W8240">
        <v>-2.8409460000000001E-2</v>
      </c>
      <c r="X8240">
        <v>0.93800600000000001</v>
      </c>
      <c r="Y8240">
        <v>-0.67290119999999998</v>
      </c>
      <c r="Z8240">
        <v>6.2643829999999998E-2</v>
      </c>
      <c r="AA8240">
        <v>0.73707509999999998</v>
      </c>
      <c r="AB8240">
        <v>17</v>
      </c>
      <c r="AC8240">
        <v>14.0679999999999</v>
      </c>
      <c r="AD8240">
        <v>-1.1268428922760001</v>
      </c>
      <c r="AE8240">
        <v>-7.7013999999999996</v>
      </c>
      <c r="AF8240">
        <v>-10.849267640766101</v>
      </c>
      <c r="AG8240">
        <v>-1.1268428922760001</v>
      </c>
      <c r="AH8240">
        <v>11.704388477755201</v>
      </c>
      <c r="AI8240">
        <v>94.038796364114305</v>
      </c>
      <c r="AJ8240">
        <v>132.828673208976</v>
      </c>
      <c r="AK8240">
        <v>15.999034123441801</v>
      </c>
      <c r="AL8240">
        <v>91.627961257560102</v>
      </c>
      <c r="AM8240">
        <v>110.217950347482</v>
      </c>
      <c r="AN8240">
        <v>0.99999996069538999</v>
      </c>
    </row>
    <row r="8241" spans="1:40" x14ac:dyDescent="0.25">
      <c r="A8241" t="str">
        <f>"20190303154007337"</f>
        <v>20190303154007337</v>
      </c>
      <c r="B8241" t="str">
        <f>"1551598807326504"</f>
        <v>1551598807326504</v>
      </c>
      <c r="C8241" t="s">
        <v>40</v>
      </c>
      <c r="D8241">
        <v>4.0870059999999997</v>
      </c>
      <c r="E8241">
        <v>0.34320929999999999</v>
      </c>
      <c r="F8241" t="s">
        <v>63</v>
      </c>
      <c r="G8241">
        <v>-285.64940000000001</v>
      </c>
      <c r="H8241" s="1">
        <v>-4.0281699999999901E-6</v>
      </c>
      <c r="I8241">
        <v>-57.330860000000001</v>
      </c>
      <c r="J8241">
        <v>-299.95729999999998</v>
      </c>
      <c r="K8241">
        <v>1.1268389999999999</v>
      </c>
      <c r="L8241">
        <v>-49.684660000000001</v>
      </c>
      <c r="M8241">
        <v>0.32712170000000002</v>
      </c>
      <c r="N8241">
        <v>-1.438413E-2</v>
      </c>
      <c r="O8241">
        <v>-0.94487270000000001</v>
      </c>
      <c r="P8241">
        <v>0.63330039999999999</v>
      </c>
      <c r="Q8241">
        <v>-3.6880530000000002E-2</v>
      </c>
      <c r="R8241">
        <v>-0.77302709999999997</v>
      </c>
      <c r="S8241">
        <v>2.8541560000000001</v>
      </c>
      <c r="T8241">
        <v>-0.22376750000000001</v>
      </c>
      <c r="U8241">
        <v>-1.548889</v>
      </c>
      <c r="V8241">
        <v>-0.3452112</v>
      </c>
      <c r="W8241">
        <v>-2.7949479999999999E-2</v>
      </c>
      <c r="X8241">
        <v>0.93810879999999996</v>
      </c>
      <c r="Y8241">
        <v>-0.67251359999999905</v>
      </c>
      <c r="Z8241">
        <v>6.1934830000000003E-2</v>
      </c>
      <c r="AA8241">
        <v>0.7374887</v>
      </c>
      <c r="AB8241">
        <v>17</v>
      </c>
      <c r="AC8241">
        <v>14.307899999999901</v>
      </c>
      <c r="AD8241">
        <v>-1.1268430281699999</v>
      </c>
      <c r="AE8241">
        <v>-7.6461999999999897</v>
      </c>
      <c r="AF8241">
        <v>-10.9661378559792</v>
      </c>
      <c r="AG8241">
        <v>-1.1268430281699999</v>
      </c>
      <c r="AH8241">
        <v>11.8491733218882</v>
      </c>
      <c r="AI8241">
        <v>93.992508922571403</v>
      </c>
      <c r="AJ8241">
        <v>132.78355137238</v>
      </c>
      <c r="AK8241">
        <v>16.184216480837801</v>
      </c>
      <c r="AL8241">
        <v>91.601595757031703</v>
      </c>
      <c r="AM8241">
        <v>110.20292457212901</v>
      </c>
      <c r="AN8241">
        <v>1.00000003333757</v>
      </c>
    </row>
    <row r="8242" spans="1:40" x14ac:dyDescent="0.25">
      <c r="A8242" t="str">
        <f>"20190303154007360"</f>
        <v>20190303154007360</v>
      </c>
      <c r="B8242" t="str">
        <f>"1551598807356760"</f>
        <v>1551598807356760</v>
      </c>
      <c r="C8242" t="s">
        <v>40</v>
      </c>
      <c r="D8242">
        <v>4.0602929999999997</v>
      </c>
      <c r="E8242">
        <v>0.35302790000000001</v>
      </c>
      <c r="F8242" t="s">
        <v>63</v>
      </c>
      <c r="G8242">
        <v>-285.31139999999999</v>
      </c>
      <c r="H8242" s="1">
        <v>-4.1753200000000002E-6</v>
      </c>
      <c r="I8242">
        <v>-57.45966</v>
      </c>
      <c r="J8242">
        <v>-299.88839999999999</v>
      </c>
      <c r="K8242">
        <v>1.126825</v>
      </c>
      <c r="L8242">
        <v>-49.842379999999999</v>
      </c>
      <c r="M8242">
        <v>0.33778560000000002</v>
      </c>
      <c r="N8242">
        <v>-1.4402420000000001E-2</v>
      </c>
      <c r="O8242">
        <v>-0.94111290000000003</v>
      </c>
      <c r="P8242">
        <v>0.64114209999999905</v>
      </c>
      <c r="Q8242">
        <v>-3.801649E-2</v>
      </c>
      <c r="R8242">
        <v>-0.7664803</v>
      </c>
      <c r="S8242">
        <v>2.8666689999999999</v>
      </c>
      <c r="T8242">
        <v>-0.22055949999999999</v>
      </c>
      <c r="U8242">
        <v>-1.52182</v>
      </c>
      <c r="V8242">
        <v>-0.34416429999999998</v>
      </c>
      <c r="W8242">
        <v>-2.9040679999999999E-2</v>
      </c>
      <c r="X8242">
        <v>0.93846019999999997</v>
      </c>
      <c r="Y8242">
        <v>-0.67097530000000005</v>
      </c>
      <c r="Z8242">
        <v>6.1012230000000001E-2</v>
      </c>
      <c r="AA8242">
        <v>0.73896530000000005</v>
      </c>
      <c r="AB8242">
        <v>17</v>
      </c>
      <c r="AC8242">
        <v>14.5769999999999</v>
      </c>
      <c r="AD8242">
        <v>-1.1268291753199999</v>
      </c>
      <c r="AE8242">
        <v>-7.6172800000000001</v>
      </c>
      <c r="AF8242">
        <v>-11.0946744037107</v>
      </c>
      <c r="AG8242">
        <v>-1.1268291753199999</v>
      </c>
      <c r="AH8242">
        <v>12.037373643506401</v>
      </c>
      <c r="AI8242">
        <v>93.937647114135601</v>
      </c>
      <c r="AJ8242">
        <v>132.666319213853</v>
      </c>
      <c r="AK8242">
        <v>16.409140999701702</v>
      </c>
      <c r="AL8242">
        <v>91.664142388340906</v>
      </c>
      <c r="AM8242">
        <v>110.139652240272</v>
      </c>
      <c r="AN8242">
        <v>0.99999998673669599</v>
      </c>
    </row>
    <row r="8243" spans="1:40" x14ac:dyDescent="0.25">
      <c r="A8243" t="str">
        <f>"20190303154007383"</f>
        <v>20190303154007383</v>
      </c>
      <c r="B8243" t="str">
        <f>"1551598807376280"</f>
        <v>1551598807376280</v>
      </c>
      <c r="C8243" t="s">
        <v>40</v>
      </c>
      <c r="D8243">
        <v>4.0930799999999996</v>
      </c>
      <c r="E8243">
        <v>0.35439399999999999</v>
      </c>
      <c r="F8243" t="s">
        <v>63</v>
      </c>
      <c r="G8243">
        <v>-283.97859999999997</v>
      </c>
      <c r="H8243" s="1">
        <v>-4.6163810000000001E-6</v>
      </c>
      <c r="I8243">
        <v>-58.543970000000002</v>
      </c>
      <c r="J8243">
        <v>-299.81920000000002</v>
      </c>
      <c r="K8243">
        <v>1.1268</v>
      </c>
      <c r="L8243">
        <v>-49.99588</v>
      </c>
      <c r="M8243">
        <v>0.34824889999999997</v>
      </c>
      <c r="N8243">
        <v>-1.4418169999999999E-2</v>
      </c>
      <c r="O8243">
        <v>-0.93729130000000005</v>
      </c>
      <c r="P8243">
        <v>0.64828769999999902</v>
      </c>
      <c r="Q8243">
        <v>-4.0036059999999998E-2</v>
      </c>
      <c r="R8243">
        <v>-0.76034250000000003</v>
      </c>
      <c r="S8243">
        <v>2.8220830000000001</v>
      </c>
      <c r="T8243">
        <v>-0.1998771</v>
      </c>
      <c r="U8243">
        <v>-1.543488</v>
      </c>
      <c r="V8243">
        <v>-0.34250350000000002</v>
      </c>
      <c r="W8243">
        <v>-3.1005520000000002E-2</v>
      </c>
      <c r="X8243">
        <v>0.93900479999999997</v>
      </c>
      <c r="Y8243">
        <v>-0.65370169999999905</v>
      </c>
      <c r="Z8243">
        <v>5.4569289999999999E-2</v>
      </c>
      <c r="AA8243">
        <v>0.75478230000000002</v>
      </c>
      <c r="AB8243">
        <v>17</v>
      </c>
      <c r="AC8243">
        <v>15.8406</v>
      </c>
      <c r="AD8243">
        <v>-1.1268046163809999</v>
      </c>
      <c r="AE8243">
        <v>-8.5480899999999895</v>
      </c>
      <c r="AF8243">
        <v>-11.8252850662751</v>
      </c>
      <c r="AG8243">
        <v>-1.1268046163809999</v>
      </c>
      <c r="AH8243">
        <v>13.477112316780801</v>
      </c>
      <c r="AI8243">
        <v>93.596087784236403</v>
      </c>
      <c r="AJ8243">
        <v>131.26483538912299</v>
      </c>
      <c r="AK8243">
        <v>17.964955105462799</v>
      </c>
      <c r="AL8243">
        <v>91.776770192166296</v>
      </c>
      <c r="AM8243">
        <v>110.039521881426</v>
      </c>
      <c r="AN8243">
        <v>1.0000000021028801</v>
      </c>
    </row>
    <row r="8244" spans="1:40" x14ac:dyDescent="0.25">
      <c r="A8244" t="str">
        <f>"20190303154007405"</f>
        <v>20190303154007405</v>
      </c>
      <c r="B8244" t="str">
        <f>"1551598807396776"</f>
        <v>1551598807396776</v>
      </c>
      <c r="C8244" t="s">
        <v>40</v>
      </c>
      <c r="D8244">
        <v>4.1006549999999997</v>
      </c>
      <c r="E8244">
        <v>0.3556204</v>
      </c>
      <c r="F8244" t="s">
        <v>63</v>
      </c>
      <c r="G8244">
        <v>-284.37540000000001</v>
      </c>
      <c r="H8244" s="1">
        <v>-4.4720429999999998E-6</v>
      </c>
      <c r="I8244">
        <v>-58.316429999999997</v>
      </c>
      <c r="J8244">
        <v>-299.7457</v>
      </c>
      <c r="K8244">
        <v>1.126781</v>
      </c>
      <c r="L8244">
        <v>-50.154209999999999</v>
      </c>
      <c r="M8244">
        <v>0.35909999999999997</v>
      </c>
      <c r="N8244">
        <v>-1.4432209999999999E-2</v>
      </c>
      <c r="O8244">
        <v>-0.93318760000000001</v>
      </c>
      <c r="P8244">
        <v>0.65541459999999996</v>
      </c>
      <c r="Q8244">
        <v>-4.2177239999999998E-2</v>
      </c>
      <c r="R8244">
        <v>-0.75409099999999996</v>
      </c>
      <c r="S8244">
        <v>2.8279420000000002</v>
      </c>
      <c r="T8244">
        <v>-0.20633090000000001</v>
      </c>
      <c r="U8244">
        <v>-1.52359</v>
      </c>
      <c r="V8244">
        <v>-0.34046199999999999</v>
      </c>
      <c r="W8244">
        <v>-3.3085249999999997E-2</v>
      </c>
      <c r="X8244">
        <v>0.93967599999999996</v>
      </c>
      <c r="Y8244">
        <v>-0.64956740000000002</v>
      </c>
      <c r="Z8244">
        <v>5.680818E-2</v>
      </c>
      <c r="AA8244">
        <v>0.75817880000000004</v>
      </c>
      <c r="AB8244">
        <v>17</v>
      </c>
      <c r="AC8244">
        <v>15.370299999999901</v>
      </c>
      <c r="AD8244">
        <v>-1.1267854720429999</v>
      </c>
      <c r="AE8244">
        <v>-8.1622199999999996</v>
      </c>
      <c r="AF8244">
        <v>-11.365861210607701</v>
      </c>
      <c r="AG8244">
        <v>-1.1267854720429999</v>
      </c>
      <c r="AH8244">
        <v>13.0828798025432</v>
      </c>
      <c r="AI8244">
        <v>93.720001810801804</v>
      </c>
      <c r="AJ8244">
        <v>130.982751951208</v>
      </c>
      <c r="AK8244">
        <v>17.367043228097199</v>
      </c>
      <c r="AL8244">
        <v>91.895991206549795</v>
      </c>
      <c r="AM8244">
        <v>109.91638880879199</v>
      </c>
      <c r="AN8244">
        <v>0.99999999609378099</v>
      </c>
    </row>
    <row r="8245" spans="1:40" x14ac:dyDescent="0.25">
      <c r="A8245" t="str">
        <f>"20190303154007428"</f>
        <v>20190303154007428</v>
      </c>
      <c r="B8245" t="str">
        <f>"1551598807416296"</f>
        <v>1551598807416296</v>
      </c>
      <c r="C8245" t="s">
        <v>40</v>
      </c>
      <c r="D8245">
        <v>4.0991379999999999</v>
      </c>
      <c r="E8245">
        <v>0.35613329999999999</v>
      </c>
      <c r="F8245" t="s">
        <v>63</v>
      </c>
      <c r="G8245">
        <v>-284.7321</v>
      </c>
      <c r="H8245" s="1">
        <v>-4.3420930000000003E-6</v>
      </c>
      <c r="I8245">
        <v>-58.113100000000003</v>
      </c>
      <c r="J8245">
        <v>-299.6737</v>
      </c>
      <c r="K8245">
        <v>1.1267579999999999</v>
      </c>
      <c r="L8245">
        <v>-50.30453</v>
      </c>
      <c r="M8245">
        <v>0.36944100000000002</v>
      </c>
      <c r="N8245">
        <v>-1.4442180000000001E-2</v>
      </c>
      <c r="O8245">
        <v>-0.92914209999999997</v>
      </c>
      <c r="P8245">
        <v>0.66240980000000005</v>
      </c>
      <c r="Q8245">
        <v>-4.2837550000000002E-2</v>
      </c>
      <c r="R8245">
        <v>-0.74791600000000003</v>
      </c>
      <c r="S8245">
        <v>2.8346559999999998</v>
      </c>
      <c r="T8245">
        <v>-0.21274380000000001</v>
      </c>
      <c r="U8245">
        <v>-1.502686</v>
      </c>
      <c r="V8245">
        <v>-0.33878639999999999</v>
      </c>
      <c r="W8245">
        <v>-3.3690199999999997E-2</v>
      </c>
      <c r="X8245">
        <v>0.94025990000000004</v>
      </c>
      <c r="Y8245">
        <v>-0.6461074</v>
      </c>
      <c r="Z8245">
        <v>5.902661E-2</v>
      </c>
      <c r="AA8245">
        <v>0.76096059999999999</v>
      </c>
      <c r="AB8245">
        <v>17</v>
      </c>
      <c r="AC8245">
        <v>14.9415999999999</v>
      </c>
      <c r="AD8245">
        <v>-1.126762342093</v>
      </c>
      <c r="AE8245">
        <v>-7.8085699999999996</v>
      </c>
      <c r="AF8245">
        <v>-10.950295937533699</v>
      </c>
      <c r="AG8245">
        <v>-1.126762342093</v>
      </c>
      <c r="AH8245">
        <v>12.719823923600799</v>
      </c>
      <c r="AI8245">
        <v>93.840680080206496</v>
      </c>
      <c r="AJ8245">
        <v>130.72464176386799</v>
      </c>
      <c r="AK8245">
        <v>16.821786324363199</v>
      </c>
      <c r="AL8245">
        <v>91.930671680491201</v>
      </c>
      <c r="AM8245">
        <v>109.814671782039</v>
      </c>
      <c r="AN8245">
        <v>0.999999966974504</v>
      </c>
    </row>
    <row r="8246" spans="1:40" x14ac:dyDescent="0.25">
      <c r="A8246" t="str">
        <f>"20190303154007449"</f>
        <v>20190303154007449</v>
      </c>
      <c r="B8246" t="str">
        <f>"1551598807436792"</f>
        <v>1551598807436792</v>
      </c>
      <c r="C8246" t="s">
        <v>40</v>
      </c>
      <c r="D8246">
        <v>4.129213</v>
      </c>
      <c r="E8246">
        <v>0.36269430000000003</v>
      </c>
      <c r="F8246" t="s">
        <v>44</v>
      </c>
      <c r="G8246">
        <v>-298.84989999999999</v>
      </c>
      <c r="H8246">
        <v>1.0638620000000001</v>
      </c>
      <c r="I8246">
        <v>-50.733110000000003</v>
      </c>
      <c r="J8246">
        <v>-299.60210000000001</v>
      </c>
      <c r="K8246">
        <v>1.1267309999999999</v>
      </c>
      <c r="L8246">
        <v>-50.449890000000003</v>
      </c>
      <c r="M8246">
        <v>0.37946190000000002</v>
      </c>
      <c r="N8246">
        <v>-1.444756E-2</v>
      </c>
      <c r="O8246">
        <v>-0.92509459999999999</v>
      </c>
      <c r="P8246">
        <v>0.66981480000000004</v>
      </c>
      <c r="Q8246">
        <v>-4.239793E-2</v>
      </c>
      <c r="R8246">
        <v>-0.74131689999999995</v>
      </c>
      <c r="S8246">
        <v>2.8450319999999998</v>
      </c>
      <c r="T8246">
        <v>-0.2171332</v>
      </c>
      <c r="U8246">
        <v>-1.478912</v>
      </c>
      <c r="V8246">
        <v>-0.33797300000000002</v>
      </c>
      <c r="W8246">
        <v>-3.3208109999999999E-2</v>
      </c>
      <c r="X8246">
        <v>0.94056980000000001</v>
      </c>
      <c r="Y8246">
        <v>-0.64391739999999997</v>
      </c>
      <c r="Z8246">
        <v>6.0549970000000002E-2</v>
      </c>
      <c r="AA8246">
        <v>0.76269529999999996</v>
      </c>
      <c r="AB8246">
        <v>17</v>
      </c>
      <c r="AC8246">
        <v>0.75220000000001597</v>
      </c>
      <c r="AD8246">
        <v>-6.28689999999998E-2</v>
      </c>
      <c r="AE8246">
        <v>-0.28321999999999198</v>
      </c>
      <c r="AF8246">
        <v>-0.58486797427200998</v>
      </c>
      <c r="AG8246">
        <v>-6.28689999999998E-2</v>
      </c>
      <c r="AH8246">
        <v>0.544164312448294</v>
      </c>
      <c r="AI8246">
        <v>94.499783174694997</v>
      </c>
      <c r="AJ8246">
        <v>137.064722557289</v>
      </c>
      <c r="AK8246">
        <v>0.80133504692629598</v>
      </c>
      <c r="AL8246">
        <v>91.903034356572306</v>
      </c>
      <c r="AM8246">
        <v>109.76478023734801</v>
      </c>
      <c r="AN8246">
        <v>1.0000000379853999</v>
      </c>
    </row>
    <row r="8247" spans="1:40" x14ac:dyDescent="0.25">
      <c r="A8247" t="str">
        <f>"20190303154007471"</f>
        <v>20190303154007471</v>
      </c>
      <c r="B8247" t="str">
        <f>"1551598807467048"</f>
        <v>1551598807467048</v>
      </c>
      <c r="C8247" t="s">
        <v>40</v>
      </c>
      <c r="D8247">
        <v>4.10853</v>
      </c>
      <c r="E8247">
        <v>0.36328830000000001</v>
      </c>
      <c r="F8247" t="s">
        <v>44</v>
      </c>
      <c r="G8247">
        <v>-298.79969999999997</v>
      </c>
      <c r="H8247">
        <v>1.067709</v>
      </c>
      <c r="I8247">
        <v>-50.872570000000003</v>
      </c>
      <c r="J8247">
        <v>-299.52550000000002</v>
      </c>
      <c r="K8247">
        <v>1.1266959999999999</v>
      </c>
      <c r="L8247">
        <v>-50.60089</v>
      </c>
      <c r="M8247">
        <v>0.3898837</v>
      </c>
      <c r="N8247">
        <v>-1.444867E-2</v>
      </c>
      <c r="O8247">
        <v>-0.92075099999999999</v>
      </c>
      <c r="P8247">
        <v>0.67783990000000005</v>
      </c>
      <c r="Q8247">
        <v>-4.2045350000000002E-2</v>
      </c>
      <c r="R8247">
        <v>-0.73400669999999901</v>
      </c>
      <c r="S8247">
        <v>2.8208310000000001</v>
      </c>
      <c r="T8247">
        <v>-0.20752180000000001</v>
      </c>
      <c r="U8247">
        <v>-1.486237</v>
      </c>
      <c r="V8247">
        <v>-0.33758460000000001</v>
      </c>
      <c r="W8247">
        <v>-3.2814169999999997E-2</v>
      </c>
      <c r="X8247">
        <v>0.94072310000000003</v>
      </c>
      <c r="Y8247">
        <v>-0.63114869999999901</v>
      </c>
      <c r="Z8247">
        <v>5.7555780000000001E-2</v>
      </c>
      <c r="AA8247">
        <v>0.77352359999999998</v>
      </c>
      <c r="AB8247">
        <v>17</v>
      </c>
      <c r="AC8247">
        <v>0.72580000000004896</v>
      </c>
      <c r="AD8247">
        <v>-5.8986999999999901E-2</v>
      </c>
      <c r="AE8247">
        <v>-0.27168000000000297</v>
      </c>
      <c r="AF8247">
        <v>-0.55917653954552904</v>
      </c>
      <c r="AG8247">
        <v>-5.8986999999999901E-2</v>
      </c>
      <c r="AH8247">
        <v>0.53011162721251803</v>
      </c>
      <c r="AI8247">
        <v>94.3777437458034</v>
      </c>
      <c r="AJ8247">
        <v>136.52843097240299</v>
      </c>
      <c r="AK8247">
        <v>0.77277176828156402</v>
      </c>
      <c r="AL8247">
        <v>91.880450943171994</v>
      </c>
      <c r="AM8247">
        <v>109.74085445820999</v>
      </c>
      <c r="AN8247">
        <v>1.00000004139177</v>
      </c>
    </row>
    <row r="8248" spans="1:40" x14ac:dyDescent="0.25">
      <c r="A8248" t="str">
        <f>"20190303154007494"</f>
        <v>20190303154007494</v>
      </c>
      <c r="B8248" t="str">
        <f>"1551598807486714"</f>
        <v>1551598807486714</v>
      </c>
      <c r="C8248" t="s">
        <v>40</v>
      </c>
      <c r="D8248">
        <v>4.1378830000000004</v>
      </c>
      <c r="E8248">
        <v>0.36807600000000001</v>
      </c>
      <c r="F8248" t="s">
        <v>63</v>
      </c>
      <c r="G8248">
        <v>-283.64569999999998</v>
      </c>
      <c r="H8248" s="1">
        <v>-4.7300149999999998E-6</v>
      </c>
      <c r="I8248">
        <v>-58.776910000000001</v>
      </c>
      <c r="J8248">
        <v>-299.4479</v>
      </c>
      <c r="K8248">
        <v>1.126644</v>
      </c>
      <c r="L8248">
        <v>-50.749630000000003</v>
      </c>
      <c r="M8248">
        <v>0.40015210000000001</v>
      </c>
      <c r="N8248">
        <v>-1.4446850000000001E-2</v>
      </c>
      <c r="O8248">
        <v>-0.91633500000000001</v>
      </c>
      <c r="P8248">
        <v>0.6848959</v>
      </c>
      <c r="Q8248">
        <v>-4.3006610000000001E-2</v>
      </c>
      <c r="R8248">
        <v>-0.72737099999999999</v>
      </c>
      <c r="S8248">
        <v>2.8335880000000002</v>
      </c>
      <c r="T8248">
        <v>-0.2010478</v>
      </c>
      <c r="U8248">
        <v>-1.458923</v>
      </c>
      <c r="V8248">
        <v>-0.33616639999999998</v>
      </c>
      <c r="W8248">
        <v>-3.3712029999999997E-2</v>
      </c>
      <c r="X8248">
        <v>0.94119909999999996</v>
      </c>
      <c r="Y8248">
        <v>-0.62991109999999995</v>
      </c>
      <c r="Z8248">
        <v>5.5483589999999999E-2</v>
      </c>
      <c r="AA8248">
        <v>0.77468300000000001</v>
      </c>
      <c r="AB8248">
        <v>17</v>
      </c>
      <c r="AC8248">
        <v>15.802199999999999</v>
      </c>
      <c r="AD8248">
        <v>-1.1266487300150001</v>
      </c>
      <c r="AE8248">
        <v>-8.0272799999999993</v>
      </c>
      <c r="AF8248">
        <v>-11.223799915390201</v>
      </c>
      <c r="AG8248">
        <v>-1.1266487300150001</v>
      </c>
      <c r="AH8248">
        <v>13.625332799726699</v>
      </c>
      <c r="AI8248">
        <v>93.6518044616098</v>
      </c>
      <c r="AJ8248">
        <v>129.47981988145699</v>
      </c>
      <c r="AK8248">
        <v>17.6887737224734</v>
      </c>
      <c r="AL8248">
        <v>91.931923002379094</v>
      </c>
      <c r="AM8248">
        <v>109.655112455569</v>
      </c>
      <c r="AN8248">
        <v>1.00000004764824</v>
      </c>
    </row>
    <row r="8249" spans="1:40" x14ac:dyDescent="0.25">
      <c r="A8249" t="str">
        <f>"20190303154007516"</f>
        <v>20190303154007516</v>
      </c>
      <c r="B8249" t="str">
        <f>"1551598807506234"</f>
        <v>1551598807506234</v>
      </c>
      <c r="C8249" t="s">
        <v>40</v>
      </c>
      <c r="D8249">
        <v>4.1725240000000001</v>
      </c>
      <c r="E8249">
        <v>0.37032169999999998</v>
      </c>
      <c r="F8249" t="s">
        <v>63</v>
      </c>
      <c r="G8249">
        <v>-283.69740000000002</v>
      </c>
      <c r="H8249" s="1">
        <v>-4.6858019999999997E-6</v>
      </c>
      <c r="I8249">
        <v>-58.889960000000002</v>
      </c>
      <c r="J8249">
        <v>-299.36810000000003</v>
      </c>
      <c r="K8249">
        <v>1.1265860000000001</v>
      </c>
      <c r="L8249">
        <v>-50.898589999999999</v>
      </c>
      <c r="M8249">
        <v>0.41042679999999998</v>
      </c>
      <c r="N8249">
        <v>-1.4442979999999999E-2</v>
      </c>
      <c r="O8249">
        <v>-0.91177920000000001</v>
      </c>
      <c r="P8249">
        <v>0.69247569999999903</v>
      </c>
      <c r="Q8249">
        <v>-4.3308819999999998E-2</v>
      </c>
      <c r="R8249">
        <v>-0.72014019999999901</v>
      </c>
      <c r="S8249">
        <v>2.8198240000000001</v>
      </c>
      <c r="T8249">
        <v>-0.20170460000000001</v>
      </c>
      <c r="U8249">
        <v>-1.4573670000000001</v>
      </c>
      <c r="V8249">
        <v>-0.33545219999999998</v>
      </c>
      <c r="W8249">
        <v>-3.3961770000000002E-2</v>
      </c>
      <c r="X8249">
        <v>0.94144490000000003</v>
      </c>
      <c r="Y8249">
        <v>-0.6199228</v>
      </c>
      <c r="Z8249">
        <v>5.5806649999999999E-2</v>
      </c>
      <c r="AA8249">
        <v>0.78267569999999997</v>
      </c>
      <c r="AB8249">
        <v>17</v>
      </c>
      <c r="AC8249">
        <v>15.6707</v>
      </c>
      <c r="AD8249">
        <v>-1.1265906858020001</v>
      </c>
      <c r="AE8249">
        <v>-7.9913699999999803</v>
      </c>
      <c r="AF8249">
        <v>-10.9645204865203</v>
      </c>
      <c r="AG8249">
        <v>-1.1265906858020001</v>
      </c>
      <c r="AH8249">
        <v>13.6634272102695</v>
      </c>
      <c r="AI8249">
        <v>93.679473733927097</v>
      </c>
      <c r="AJ8249">
        <v>128.746074034016</v>
      </c>
      <c r="AK8249">
        <v>17.5550323042423</v>
      </c>
      <c r="AL8249">
        <v>91.946240263070294</v>
      </c>
      <c r="AM8249">
        <v>109.61181407263599</v>
      </c>
      <c r="AN8249">
        <v>1.0000000400211899</v>
      </c>
    </row>
    <row r="8250" spans="1:40" x14ac:dyDescent="0.25">
      <c r="A8250" t="str">
        <f>"20190303154007538"</f>
        <v>20190303154007538</v>
      </c>
      <c r="B8250" t="str">
        <f>"1551598807526730"</f>
        <v>1551598807526730</v>
      </c>
      <c r="C8250" t="s">
        <v>40</v>
      </c>
      <c r="D8250">
        <v>4.1399780000000002</v>
      </c>
      <c r="E8250">
        <v>0.3721313</v>
      </c>
      <c r="F8250" t="s">
        <v>63</v>
      </c>
      <c r="G8250">
        <v>-283.59089999999998</v>
      </c>
      <c r="H8250" s="1">
        <v>-4.7249819999999996E-6</v>
      </c>
      <c r="I8250">
        <v>-58.94838</v>
      </c>
      <c r="J8250">
        <v>-299.29000000000002</v>
      </c>
      <c r="K8250">
        <v>1.126539</v>
      </c>
      <c r="L8250">
        <v>-51.040770000000002</v>
      </c>
      <c r="M8250">
        <v>0.42021399999999998</v>
      </c>
      <c r="N8250">
        <v>-1.443757E-2</v>
      </c>
      <c r="O8250">
        <v>-0.90731019999999896</v>
      </c>
      <c r="P8250">
        <v>0.69988009999999901</v>
      </c>
      <c r="Q8250">
        <v>-4.3271450000000003E-2</v>
      </c>
      <c r="R8250">
        <v>-0.71294840000000004</v>
      </c>
      <c r="S8250">
        <v>2.8222049999999999</v>
      </c>
      <c r="T8250">
        <v>-0.2015237</v>
      </c>
      <c r="U8250">
        <v>-1.4399409999999999</v>
      </c>
      <c r="V8250">
        <v>-0.33505439999999997</v>
      </c>
      <c r="W8250">
        <v>-3.3880840000000002E-2</v>
      </c>
      <c r="X8250">
        <v>0.94158940000000002</v>
      </c>
      <c r="Y8250">
        <v>-0.61557320000000004</v>
      </c>
      <c r="Z8250">
        <v>5.5818590000000001E-2</v>
      </c>
      <c r="AA8250">
        <v>0.78610040000000003</v>
      </c>
      <c r="AB8250">
        <v>17</v>
      </c>
      <c r="AC8250">
        <v>15.6991</v>
      </c>
      <c r="AD8250">
        <v>-1.1265437249820001</v>
      </c>
      <c r="AE8250">
        <v>-7.90761</v>
      </c>
      <c r="AF8250">
        <v>-10.8775267756122</v>
      </c>
      <c r="AG8250">
        <v>-1.1265437249820001</v>
      </c>
      <c r="AH8250">
        <v>13.7167342578394</v>
      </c>
      <c r="AI8250">
        <v>93.681957165074394</v>
      </c>
      <c r="AJ8250">
        <v>128.41481802519101</v>
      </c>
      <c r="AK8250">
        <v>17.542476684283798</v>
      </c>
      <c r="AL8250">
        <v>91.941600761875804</v>
      </c>
      <c r="AM8250">
        <v>109.587551206895</v>
      </c>
      <c r="AN8250">
        <v>0.99999998023541203</v>
      </c>
    </row>
    <row r="8251" spans="1:40" x14ac:dyDescent="0.25">
      <c r="A8251" t="str">
        <f>"20190303154007561"</f>
        <v>20190303154007561</v>
      </c>
      <c r="B8251" t="str">
        <f>"1551598807556985"</f>
        <v>1551598807556985</v>
      </c>
      <c r="C8251" t="s">
        <v>40</v>
      </c>
      <c r="D8251">
        <v>4.2185920000000001</v>
      </c>
      <c r="E8251">
        <v>0.37399919999999998</v>
      </c>
      <c r="F8251" t="s">
        <v>44</v>
      </c>
      <c r="G8251">
        <v>-298.41370000000001</v>
      </c>
      <c r="H8251">
        <v>1.0646599999999999</v>
      </c>
      <c r="I8251">
        <v>-51.481470000000002</v>
      </c>
      <c r="J8251">
        <v>-299.2047</v>
      </c>
      <c r="K8251">
        <v>1.12649</v>
      </c>
      <c r="L8251">
        <v>-51.19211</v>
      </c>
      <c r="M8251">
        <v>0.43061060000000001</v>
      </c>
      <c r="N8251">
        <v>-1.443003E-2</v>
      </c>
      <c r="O8251">
        <v>-0.90242250000000002</v>
      </c>
      <c r="P8251">
        <v>0.70718709999999996</v>
      </c>
      <c r="Q8251">
        <v>-4.3379769999999998E-2</v>
      </c>
      <c r="R8251">
        <v>-0.70569469999999901</v>
      </c>
      <c r="S8251">
        <v>2.826721</v>
      </c>
      <c r="T8251">
        <v>-0.19956650000000001</v>
      </c>
      <c r="U8251">
        <v>-1.420868</v>
      </c>
      <c r="V8251">
        <v>-0.33394190000000001</v>
      </c>
      <c r="W8251">
        <v>-3.3934690000000003E-2</v>
      </c>
      <c r="X8251">
        <v>0.9419826</v>
      </c>
      <c r="Y8251">
        <v>-0.61128459999999996</v>
      </c>
      <c r="Z8251">
        <v>5.521189E-2</v>
      </c>
      <c r="AA8251">
        <v>0.78948260000000003</v>
      </c>
      <c r="AB8251">
        <v>17</v>
      </c>
      <c r="AC8251">
        <v>0.79099999999999604</v>
      </c>
      <c r="AD8251">
        <v>-6.1830000000000003E-2</v>
      </c>
      <c r="AE8251">
        <v>-0.289360000000002</v>
      </c>
      <c r="AF8251">
        <v>-0.58611750878187496</v>
      </c>
      <c r="AG8251">
        <v>-6.1830000000000003E-2</v>
      </c>
      <c r="AH8251">
        <v>0.59857492529591005</v>
      </c>
      <c r="AI8251">
        <v>94.221050542416904</v>
      </c>
      <c r="AJ8251">
        <v>134.397538919016</v>
      </c>
      <c r="AK8251">
        <v>0.84002894247381499</v>
      </c>
      <c r="AL8251">
        <v>91.944687901269504</v>
      </c>
      <c r="AM8251">
        <v>109.51990670310801</v>
      </c>
      <c r="AN8251">
        <v>0.99999998723188299</v>
      </c>
    </row>
    <row r="8252" spans="1:40" x14ac:dyDescent="0.25">
      <c r="A8252" t="str">
        <f>"20190303154007583"</f>
        <v>20190303154007583</v>
      </c>
      <c r="B8252" t="str">
        <f>"1551598807576506"</f>
        <v>1551598807576506</v>
      </c>
      <c r="C8252" t="s">
        <v>40</v>
      </c>
      <c r="D8252">
        <v>4.2025459999999999</v>
      </c>
      <c r="E8252">
        <v>0.38304769999999999</v>
      </c>
      <c r="F8252" t="s">
        <v>44</v>
      </c>
      <c r="G8252">
        <v>-298.35169999999999</v>
      </c>
      <c r="H8252">
        <v>1.0662430000000001</v>
      </c>
      <c r="I8252">
        <v>-51.614579999999997</v>
      </c>
      <c r="J8252">
        <v>-299.12380000000002</v>
      </c>
      <c r="K8252">
        <v>1.126447</v>
      </c>
      <c r="L8252">
        <v>-51.332030000000003</v>
      </c>
      <c r="M8252">
        <v>0.4401969</v>
      </c>
      <c r="N8252">
        <v>-1.442157E-2</v>
      </c>
      <c r="O8252">
        <v>-0.89778539999999996</v>
      </c>
      <c r="P8252">
        <v>0.71309489999999998</v>
      </c>
      <c r="Q8252">
        <v>-4.4208440000000002E-2</v>
      </c>
      <c r="R8252">
        <v>-0.69967219999999997</v>
      </c>
      <c r="S8252">
        <v>2.8308110000000002</v>
      </c>
      <c r="T8252">
        <v>-0.19993749999999999</v>
      </c>
      <c r="U8252">
        <v>-1.402039</v>
      </c>
      <c r="V8252">
        <v>-0.33184550000000002</v>
      </c>
      <c r="W8252">
        <v>-3.4698809999999997E-2</v>
      </c>
      <c r="X8252">
        <v>0.94269539999999996</v>
      </c>
      <c r="Y8252">
        <v>-0.60751199999999905</v>
      </c>
      <c r="Z8252">
        <v>5.5377589999999997E-2</v>
      </c>
      <c r="AA8252">
        <v>0.79237780000000002</v>
      </c>
      <c r="AB8252">
        <v>17</v>
      </c>
      <c r="AC8252">
        <v>0.77210000000002299</v>
      </c>
      <c r="AD8252">
        <v>-6.0203999999999903E-2</v>
      </c>
      <c r="AE8252">
        <v>-0.28255000000000002</v>
      </c>
      <c r="AF8252">
        <v>-0.56582772587982999</v>
      </c>
      <c r="AG8252">
        <v>-6.0203999999999903E-2</v>
      </c>
      <c r="AH8252">
        <v>0.59044114285287796</v>
      </c>
      <c r="AI8252">
        <v>94.210396933823006</v>
      </c>
      <c r="AJ8252">
        <v>133.78053279972599</v>
      </c>
      <c r="AK8252">
        <v>0.82000382935920102</v>
      </c>
      <c r="AL8252">
        <v>91.988494470216395</v>
      </c>
      <c r="AM8252">
        <v>109.392972649584</v>
      </c>
      <c r="AN8252">
        <v>1.00000003023341</v>
      </c>
    </row>
    <row r="8253" spans="1:40" x14ac:dyDescent="0.25">
      <c r="A8253" t="str">
        <f>"20190303154007607"</f>
        <v>20190303154007607</v>
      </c>
      <c r="B8253" t="str">
        <f>"1551598807596406"</f>
        <v>1551598807596406</v>
      </c>
      <c r="C8253" t="s">
        <v>40</v>
      </c>
      <c r="D8253">
        <v>4.2288680000000003</v>
      </c>
      <c r="E8253">
        <v>0.38465630000000001</v>
      </c>
      <c r="F8253" t="s">
        <v>44</v>
      </c>
      <c r="G8253">
        <v>-298.29820000000001</v>
      </c>
      <c r="H8253">
        <v>1.0668569999999999</v>
      </c>
      <c r="I8253">
        <v>-51.754840000000002</v>
      </c>
      <c r="J8253">
        <v>-299.03680000000003</v>
      </c>
      <c r="K8253">
        <v>1.1264019999999999</v>
      </c>
      <c r="L8253">
        <v>-51.479059999999997</v>
      </c>
      <c r="M8253">
        <v>0.45024199999999998</v>
      </c>
      <c r="N8253">
        <v>-1.441136E-2</v>
      </c>
      <c r="O8253">
        <v>-0.89279050000000004</v>
      </c>
      <c r="P8253">
        <v>0.71887869999999998</v>
      </c>
      <c r="Q8253">
        <v>-4.4477570000000001E-2</v>
      </c>
      <c r="R8253">
        <v>-0.69371119999999997</v>
      </c>
      <c r="S8253">
        <v>2.792084</v>
      </c>
      <c r="T8253">
        <v>-0.20149610000000001</v>
      </c>
      <c r="U8253">
        <v>-1.429352</v>
      </c>
      <c r="V8253">
        <v>-0.32910339999999999</v>
      </c>
      <c r="W8253">
        <v>-3.4893790000000001E-2</v>
      </c>
      <c r="X8253">
        <v>0.94364890000000001</v>
      </c>
      <c r="Y8253">
        <v>-0.58787429999999996</v>
      </c>
      <c r="Z8253">
        <v>5.5909800000000003E-2</v>
      </c>
      <c r="AA8253">
        <v>0.80701789999999995</v>
      </c>
      <c r="AB8253">
        <v>17</v>
      </c>
      <c r="AC8253">
        <v>0.73860000000001902</v>
      </c>
      <c r="AD8253">
        <v>-5.9545000000000098E-2</v>
      </c>
      <c r="AE8253">
        <v>-0.27578000000000402</v>
      </c>
      <c r="AF8253">
        <v>-0.53226667702625297</v>
      </c>
      <c r="AG8253">
        <v>-5.9545000000000098E-2</v>
      </c>
      <c r="AH8253">
        <v>0.57553953350975395</v>
      </c>
      <c r="AI8253">
        <v>94.343651095153703</v>
      </c>
      <c r="AJ8253">
        <v>132.763063469092</v>
      </c>
      <c r="AK8253">
        <v>0.78619283711453103</v>
      </c>
      <c r="AL8253">
        <v>91.999672959849605</v>
      </c>
      <c r="AM8253">
        <v>109.22653407367901</v>
      </c>
      <c r="AN8253">
        <v>0.99999993547166499</v>
      </c>
    </row>
    <row r="8254" spans="1:40" x14ac:dyDescent="0.25">
      <c r="A8254" t="str">
        <f>"20190303154007631"</f>
        <v>20190303154007631</v>
      </c>
      <c r="B8254" t="str">
        <f>"1551598807626662"</f>
        <v>1551598807626662</v>
      </c>
      <c r="C8254" t="s">
        <v>40</v>
      </c>
      <c r="D8254">
        <v>4.2068329999999996</v>
      </c>
      <c r="E8254">
        <v>0.38582149999999998</v>
      </c>
      <c r="F8254" t="s">
        <v>44</v>
      </c>
      <c r="G8254">
        <v>-298.23270000000002</v>
      </c>
      <c r="H8254">
        <v>1.070419</v>
      </c>
      <c r="I8254">
        <v>-51.886099999999999</v>
      </c>
      <c r="J8254">
        <v>-298.94540000000001</v>
      </c>
      <c r="K8254">
        <v>1.1263620000000001</v>
      </c>
      <c r="L8254">
        <v>-51.629550000000002</v>
      </c>
      <c r="M8254">
        <v>0.46049309999999899</v>
      </c>
      <c r="N8254">
        <v>-1.439967E-2</v>
      </c>
      <c r="O8254">
        <v>-0.88754669999999902</v>
      </c>
      <c r="P8254">
        <v>0.72511049999999999</v>
      </c>
      <c r="Q8254">
        <v>-4.3868499999999998E-2</v>
      </c>
      <c r="R8254">
        <v>-0.68723400000000001</v>
      </c>
      <c r="S8254">
        <v>2.7951969999999999</v>
      </c>
      <c r="T8254">
        <v>-0.1946396</v>
      </c>
      <c r="U8254">
        <v>-1.415497</v>
      </c>
      <c r="V8254">
        <v>-0.32674769999999997</v>
      </c>
      <c r="W8254">
        <v>-3.42178E-2</v>
      </c>
      <c r="X8254">
        <v>0.944492</v>
      </c>
      <c r="Y8254">
        <v>-0.58222200000000002</v>
      </c>
      <c r="Z8254">
        <v>5.3597810000000003E-2</v>
      </c>
      <c r="AA8254">
        <v>0.81126119999999902</v>
      </c>
      <c r="AB8254">
        <v>17</v>
      </c>
      <c r="AC8254">
        <v>0.71269999999998301</v>
      </c>
      <c r="AD8254">
        <v>-5.5943E-2</v>
      </c>
      <c r="AE8254">
        <v>-0.256549999999997</v>
      </c>
      <c r="AF8254">
        <v>-0.51167728018328096</v>
      </c>
      <c r="AG8254">
        <v>-5.5943E-2</v>
      </c>
      <c r="AH8254">
        <v>0.55293503899772301</v>
      </c>
      <c r="AI8254">
        <v>94.246876647216794</v>
      </c>
      <c r="AJ8254">
        <v>132.78068216501799</v>
      </c>
      <c r="AK8254">
        <v>0.75543392540722798</v>
      </c>
      <c r="AL8254">
        <v>91.960918256376701</v>
      </c>
      <c r="AM8254">
        <v>109.083099067871</v>
      </c>
      <c r="AN8254">
        <v>1.0000000276780601</v>
      </c>
    </row>
    <row r="8255" spans="1:40" x14ac:dyDescent="0.25">
      <c r="A8255" t="str">
        <f>"20190303154007651"</f>
        <v>20190303154007651</v>
      </c>
      <c r="B8255" t="str">
        <f>"1551598807646185"</f>
        <v>1551598807646185</v>
      </c>
      <c r="C8255" t="s">
        <v>40</v>
      </c>
      <c r="D8255">
        <v>4.270435</v>
      </c>
      <c r="E8255">
        <v>0.39175670000000001</v>
      </c>
      <c r="F8255" t="s">
        <v>44</v>
      </c>
      <c r="G8255">
        <v>-298.02730000000003</v>
      </c>
      <c r="H8255">
        <v>1.0631189999999999</v>
      </c>
      <c r="I8255">
        <v>-52.087350000000001</v>
      </c>
      <c r="J8255">
        <v>-298.86630000000002</v>
      </c>
      <c r="K8255">
        <v>1.1263399999999999</v>
      </c>
      <c r="L8255">
        <v>-51.756839999999997</v>
      </c>
      <c r="M8255">
        <v>0.46913840000000001</v>
      </c>
      <c r="N8255">
        <v>-1.4388720000000001E-2</v>
      </c>
      <c r="O8255">
        <v>-0.88300749999999995</v>
      </c>
      <c r="P8255">
        <v>0.73046849999999997</v>
      </c>
      <c r="Q8255">
        <v>-4.0395529999999999E-2</v>
      </c>
      <c r="R8255">
        <v>-0.681751</v>
      </c>
      <c r="S8255">
        <v>2.8016049999999999</v>
      </c>
      <c r="T8255">
        <v>-0.1929854</v>
      </c>
      <c r="U8255">
        <v>-1.397003</v>
      </c>
      <c r="V8255">
        <v>-0.32486300000000001</v>
      </c>
      <c r="W8255">
        <v>-3.0688500000000001E-2</v>
      </c>
      <c r="X8255">
        <v>0.94526299999999996</v>
      </c>
      <c r="Y8255">
        <v>-0.57934110000000005</v>
      </c>
      <c r="Z8255">
        <v>5.3041249999999998E-2</v>
      </c>
      <c r="AA8255">
        <v>0.81335769999999996</v>
      </c>
      <c r="AB8255">
        <v>17</v>
      </c>
      <c r="AC8255">
        <v>0.83899999999999797</v>
      </c>
      <c r="AD8255">
        <v>-6.3220999999999694E-2</v>
      </c>
      <c r="AE8255">
        <v>-0.33050999999999597</v>
      </c>
      <c r="AF8255">
        <v>-0.58298344976745997</v>
      </c>
      <c r="AG8255">
        <v>-6.3220999999999694E-2</v>
      </c>
      <c r="AH8255">
        <v>0.68216781024361395</v>
      </c>
      <c r="AI8255">
        <v>94.030036493405902</v>
      </c>
      <c r="AJ8255">
        <v>130.51733798220801</v>
      </c>
      <c r="AK8255">
        <v>0.89956629487566697</v>
      </c>
      <c r="AL8255">
        <v>91.758597734829806</v>
      </c>
      <c r="AM8255">
        <v>108.966550471818</v>
      </c>
      <c r="AN8255">
        <v>0.99999994598512298</v>
      </c>
    </row>
    <row r="8256" spans="1:40" x14ac:dyDescent="0.25">
      <c r="A8256" t="str">
        <f>"20190303154007673"</f>
        <v>20190303154007673</v>
      </c>
      <c r="B8256" t="str">
        <f>"1551598807666677"</f>
        <v>1551598807666677</v>
      </c>
      <c r="C8256" t="s">
        <v>40</v>
      </c>
      <c r="D8256">
        <v>4.2004359999999998</v>
      </c>
      <c r="E8256">
        <v>0.3913991</v>
      </c>
      <c r="F8256" t="s">
        <v>44</v>
      </c>
      <c r="G8256">
        <v>-297.95979999999997</v>
      </c>
      <c r="H8256">
        <v>1.0676749999999999</v>
      </c>
      <c r="I8256">
        <v>-52.216970000000003</v>
      </c>
      <c r="J8256">
        <v>-298.77679999999998</v>
      </c>
      <c r="K8256">
        <v>1.1263110000000001</v>
      </c>
      <c r="L8256">
        <v>-51.897550000000003</v>
      </c>
      <c r="M8256">
        <v>0.47867369999999998</v>
      </c>
      <c r="N8256">
        <v>-1.43762E-2</v>
      </c>
      <c r="O8256">
        <v>-0.87787519999999997</v>
      </c>
      <c r="P8256">
        <v>0.73642529999999995</v>
      </c>
      <c r="Q8256">
        <v>-3.5371010000000001E-2</v>
      </c>
      <c r="R8256">
        <v>-0.67559340000000001</v>
      </c>
      <c r="S8256">
        <v>2.7802730000000002</v>
      </c>
      <c r="T8256">
        <v>-0.1799037</v>
      </c>
      <c r="U8256">
        <v>-1.410828</v>
      </c>
      <c r="V8256">
        <v>-0.32285269999999999</v>
      </c>
      <c r="W8256">
        <v>-2.5604539999999999E-2</v>
      </c>
      <c r="X8256">
        <v>0.94610289999999997</v>
      </c>
      <c r="Y8256">
        <v>-0.56494669999999902</v>
      </c>
      <c r="Z8256">
        <v>4.8657980000000003E-2</v>
      </c>
      <c r="AA8256">
        <v>0.82369150000000002</v>
      </c>
      <c r="AB8256">
        <v>17</v>
      </c>
      <c r="AC8256">
        <v>0.81700000000000705</v>
      </c>
      <c r="AD8256">
        <v>-5.8636000000000098E-2</v>
      </c>
      <c r="AE8256">
        <v>-0.31941999999999998</v>
      </c>
      <c r="AF8256">
        <v>-0.56187396183291505</v>
      </c>
      <c r="AG8256">
        <v>-5.8636000000000098E-2</v>
      </c>
      <c r="AH8256">
        <v>0.66856954643574895</v>
      </c>
      <c r="AI8256">
        <v>93.8411591690287</v>
      </c>
      <c r="AJ8256">
        <v>130.044101302759</v>
      </c>
      <c r="AK8256">
        <v>0.87528610631216996</v>
      </c>
      <c r="AL8256">
        <v>91.467192307260206</v>
      </c>
      <c r="AM8256">
        <v>108.841940553461</v>
      </c>
      <c r="AN8256">
        <v>1.0000000778771501</v>
      </c>
    </row>
    <row r="8257" spans="1:40" x14ac:dyDescent="0.25">
      <c r="A8257" t="str">
        <f>"20190303154007695"</f>
        <v>20190303154007695</v>
      </c>
      <c r="B8257" t="str">
        <f>"1551598807686198"</f>
        <v>1551598807686198</v>
      </c>
      <c r="C8257" t="s">
        <v>40</v>
      </c>
      <c r="D8257">
        <v>4.2252989999999997</v>
      </c>
      <c r="E8257">
        <v>0.39173629999999998</v>
      </c>
      <c r="F8257" t="s">
        <v>44</v>
      </c>
      <c r="G8257">
        <v>-297.88420000000002</v>
      </c>
      <c r="H8257">
        <v>1.071175</v>
      </c>
      <c r="I8257">
        <v>-52.33999</v>
      </c>
      <c r="J8257">
        <v>-298.68610000000001</v>
      </c>
      <c r="K8257">
        <v>1.1262859999999999</v>
      </c>
      <c r="L8257">
        <v>-52.036740000000002</v>
      </c>
      <c r="M8257">
        <v>0.48808170000000001</v>
      </c>
      <c r="N8257">
        <v>-1.436345E-2</v>
      </c>
      <c r="O8257">
        <v>-0.87267980000000001</v>
      </c>
      <c r="P8257">
        <v>0.74176580000000003</v>
      </c>
      <c r="Q8257">
        <v>-3.3818460000000002E-2</v>
      </c>
      <c r="R8257">
        <v>-0.66980589999999995</v>
      </c>
      <c r="S8257">
        <v>2.794708</v>
      </c>
      <c r="T8257">
        <v>-0.17263149999999999</v>
      </c>
      <c r="U8257">
        <v>-1.385132</v>
      </c>
      <c r="V8257">
        <v>-0.32017679999999998</v>
      </c>
      <c r="W8257">
        <v>-2.398548E-2</v>
      </c>
      <c r="X8257">
        <v>0.94705410000000001</v>
      </c>
      <c r="Y8257">
        <v>-0.5639786</v>
      </c>
      <c r="Z8257">
        <v>4.6225000000000002E-2</v>
      </c>
      <c r="AA8257">
        <v>0.82449470000000002</v>
      </c>
      <c r="AB8257">
        <v>17</v>
      </c>
      <c r="AC8257">
        <v>0.80189999999998895</v>
      </c>
      <c r="AD8257">
        <v>-5.5111000000000097E-2</v>
      </c>
      <c r="AE8257">
        <v>-0.30324999999999802</v>
      </c>
      <c r="AF8257">
        <v>-0.54957706946313001</v>
      </c>
      <c r="AG8257">
        <v>-5.5111000000000097E-2</v>
      </c>
      <c r="AH8257">
        <v>0.65340050344211797</v>
      </c>
      <c r="AI8257">
        <v>93.693217335920295</v>
      </c>
      <c r="AJ8257">
        <v>130.06728916070901</v>
      </c>
      <c r="AK8257">
        <v>0.85557255419928901</v>
      </c>
      <c r="AL8257">
        <v>91.374398608787004</v>
      </c>
      <c r="AM8257">
        <v>108.67919039652</v>
      </c>
      <c r="AN8257">
        <v>0.99999997741794</v>
      </c>
    </row>
    <row r="8258" spans="1:40" x14ac:dyDescent="0.25">
      <c r="A8258" t="str">
        <f>"20190303154007717"</f>
        <v>20190303154007717</v>
      </c>
      <c r="B8258" t="str">
        <f>"1551598807706694"</f>
        <v>1551598807706694</v>
      </c>
      <c r="C8258" t="s">
        <v>40</v>
      </c>
      <c r="D8258">
        <v>4.2291949999999998</v>
      </c>
      <c r="E8258">
        <v>0.35445860000000001</v>
      </c>
      <c r="F8258" t="s">
        <v>44</v>
      </c>
      <c r="G8258">
        <v>-297.80829999999997</v>
      </c>
      <c r="H8258">
        <v>1.0739700000000001</v>
      </c>
      <c r="I8258">
        <v>-52.464260000000003</v>
      </c>
      <c r="J8258">
        <v>-298.59629999999999</v>
      </c>
      <c r="K8258">
        <v>1.126244</v>
      </c>
      <c r="L8258">
        <v>-52.171599999999998</v>
      </c>
      <c r="M8258">
        <v>0.49715910000000002</v>
      </c>
      <c r="N8258">
        <v>-1.435057E-2</v>
      </c>
      <c r="O8258">
        <v>-0.86754069999999905</v>
      </c>
      <c r="P8258">
        <v>0.74643669999999995</v>
      </c>
      <c r="Q8258">
        <v>-3.2745719999999999E-2</v>
      </c>
      <c r="R8258">
        <v>-0.66465030000000003</v>
      </c>
      <c r="S8258">
        <v>2.803925</v>
      </c>
      <c r="T8258">
        <v>-0.1670971</v>
      </c>
      <c r="U8258">
        <v>-1.365326</v>
      </c>
      <c r="V8258">
        <v>-0.31691530000000001</v>
      </c>
      <c r="W8258">
        <v>-2.2837639999999999E-2</v>
      </c>
      <c r="X8258">
        <v>0.94817879999999999</v>
      </c>
      <c r="Y8258">
        <v>-0.56122700000000003</v>
      </c>
      <c r="Z8258">
        <v>4.4359299999999997E-2</v>
      </c>
      <c r="AA8258">
        <v>0.82647230000000005</v>
      </c>
      <c r="AB8258">
        <v>17</v>
      </c>
      <c r="AC8258">
        <v>0.78800000000001003</v>
      </c>
      <c r="AD8258">
        <v>-5.2273999999999897E-2</v>
      </c>
      <c r="AE8258">
        <v>-0.29265999999999698</v>
      </c>
      <c r="AF8258">
        <v>-0.53610566323171205</v>
      </c>
      <c r="AG8258">
        <v>-5.2273999999999897E-2</v>
      </c>
      <c r="AH8258">
        <v>0.64323478697578695</v>
      </c>
      <c r="AI8258">
        <v>93.572205922965097</v>
      </c>
      <c r="AJ8258">
        <v>129.80960149939099</v>
      </c>
      <c r="AK8258">
        <v>0.83898322057172303</v>
      </c>
      <c r="AL8258">
        <v>91.30861422001</v>
      </c>
      <c r="AM8258">
        <v>108.481473007764</v>
      </c>
      <c r="AN8258">
        <v>0.999999950972148</v>
      </c>
    </row>
    <row r="8259" spans="1:40" x14ac:dyDescent="0.25">
      <c r="A8259" t="str">
        <f>"20190303154007739"</f>
        <v>20190303154007739</v>
      </c>
      <c r="B8259" t="str">
        <f>"1551598807736950"</f>
        <v>1551598807736950</v>
      </c>
      <c r="C8259" t="s">
        <v>40</v>
      </c>
      <c r="D8259">
        <v>4.2173790000000002</v>
      </c>
      <c r="E8259">
        <v>0.34858080000000002</v>
      </c>
      <c r="F8259" t="s">
        <v>84</v>
      </c>
      <c r="G8259">
        <v>-279.52260000000001</v>
      </c>
      <c r="H8259" s="1">
        <v>-3.4827269999999998E-6</v>
      </c>
      <c r="I8259">
        <v>-59.283219999999901</v>
      </c>
      <c r="J8259">
        <v>-298.50439999999998</v>
      </c>
      <c r="K8259">
        <v>1.1262099999999999</v>
      </c>
      <c r="L8259">
        <v>-52.306730000000002</v>
      </c>
      <c r="M8259">
        <v>0.50621499999999997</v>
      </c>
      <c r="N8259">
        <v>-1.43365E-2</v>
      </c>
      <c r="O8259">
        <v>-0.86228830000000001</v>
      </c>
      <c r="P8259">
        <v>0.75145450000000003</v>
      </c>
      <c r="Q8259">
        <v>-3.1015830000000001E-2</v>
      </c>
      <c r="R8259">
        <v>-0.65905559999999996</v>
      </c>
      <c r="S8259">
        <v>3.0115050000000001</v>
      </c>
      <c r="T8259">
        <v>-0.17782000000000001</v>
      </c>
      <c r="U8259">
        <v>-1.122833</v>
      </c>
      <c r="V8259">
        <v>-0.31415700000000002</v>
      </c>
      <c r="W8259">
        <v>-2.103957E-2</v>
      </c>
      <c r="X8259">
        <v>0.94913789999999998</v>
      </c>
      <c r="Y8259">
        <v>-0.62979399999999996</v>
      </c>
      <c r="Z8259">
        <v>4.7799019999999998E-2</v>
      </c>
      <c r="AA8259">
        <v>0.77529009999999998</v>
      </c>
      <c r="AB8259">
        <v>17</v>
      </c>
      <c r="AC8259">
        <v>18.9817999999999</v>
      </c>
      <c r="AD8259">
        <v>-1.1262134827269901</v>
      </c>
      <c r="AE8259">
        <v>-6.9764899999999903</v>
      </c>
      <c r="AF8259">
        <v>-12.797808330537</v>
      </c>
      <c r="AG8259">
        <v>-1.1262134827269901</v>
      </c>
      <c r="AH8259">
        <v>15.5779101362021</v>
      </c>
      <c r="AI8259">
        <v>93.197318410558495</v>
      </c>
      <c r="AJ8259">
        <v>129.40432336860101</v>
      </c>
      <c r="AK8259">
        <v>20.192165289671902</v>
      </c>
      <c r="AL8259">
        <v>91.205567495855206</v>
      </c>
      <c r="AM8259">
        <v>108.314127654431</v>
      </c>
      <c r="AN8259">
        <v>1.00000001868559</v>
      </c>
    </row>
    <row r="8260" spans="1:40" x14ac:dyDescent="0.25">
      <c r="A8260" t="str">
        <f>"20190303154007762"</f>
        <v>20190303154007762</v>
      </c>
      <c r="B8260" t="str">
        <f>"1551598807756469"</f>
        <v>1551598807756469</v>
      </c>
      <c r="C8260" t="s">
        <v>40</v>
      </c>
      <c r="D8260">
        <v>4.1956100000000003</v>
      </c>
      <c r="E8260">
        <v>0.347408099999999</v>
      </c>
      <c r="F8260" t="s">
        <v>84</v>
      </c>
      <c r="G8260">
        <v>-278.65260000000001</v>
      </c>
      <c r="H8260" s="1">
        <v>-3.1201669999999999E-6</v>
      </c>
      <c r="I8260">
        <v>-59.235129999999998</v>
      </c>
      <c r="J8260">
        <v>-298.40969999999999</v>
      </c>
      <c r="K8260">
        <v>1.126158</v>
      </c>
      <c r="L8260">
        <v>-52.443119999999901</v>
      </c>
      <c r="M8260">
        <v>0.51530690000000001</v>
      </c>
      <c r="N8260">
        <v>-1.432075E-2</v>
      </c>
      <c r="O8260">
        <v>-0.85688629999999999</v>
      </c>
      <c r="P8260">
        <v>0.75714989999999904</v>
      </c>
      <c r="Q8260">
        <v>-2.8383459999999999E-2</v>
      </c>
      <c r="R8260">
        <v>-0.65262469999999995</v>
      </c>
      <c r="S8260">
        <v>3.0511780000000002</v>
      </c>
      <c r="T8260">
        <v>-0.17309669999999999</v>
      </c>
      <c r="U8260">
        <v>-1.0648799999999901</v>
      </c>
      <c r="V8260">
        <v>-0.31233240000000001</v>
      </c>
      <c r="W8260">
        <v>-1.8352130000000001E-2</v>
      </c>
      <c r="X8260">
        <v>0.94979559999999996</v>
      </c>
      <c r="Y8260">
        <v>-0.63798650000000001</v>
      </c>
      <c r="Z8260">
        <v>4.6193940000000003E-2</v>
      </c>
      <c r="AA8260">
        <v>0.76866069999999997</v>
      </c>
      <c r="AB8260">
        <v>17</v>
      </c>
      <c r="AC8260">
        <v>19.757099999999902</v>
      </c>
      <c r="AD8260">
        <v>-1.1261611201670001</v>
      </c>
      <c r="AE8260">
        <v>-6.7920100000000101</v>
      </c>
      <c r="AF8260">
        <v>-13.3920806075231</v>
      </c>
      <c r="AG8260">
        <v>-1.1261611201670001</v>
      </c>
      <c r="AH8260">
        <v>15.956224866449601</v>
      </c>
      <c r="AI8260">
        <v>93.094434543523107</v>
      </c>
      <c r="AJ8260">
        <v>130.006780649186</v>
      </c>
      <c r="AK8260">
        <v>20.861859309651098</v>
      </c>
      <c r="AL8260">
        <v>91.051558621773694</v>
      </c>
      <c r="AM8260">
        <v>108.20302111113099</v>
      </c>
      <c r="AN8260">
        <v>1.0000000052723199</v>
      </c>
    </row>
    <row r="8261" spans="1:40" x14ac:dyDescent="0.25">
      <c r="A8261" t="str">
        <f>"20190303154007784"</f>
        <v>20190303154007784</v>
      </c>
      <c r="B8261" t="str">
        <f>"1551598807776965"</f>
        <v>1551598807776965</v>
      </c>
      <c r="C8261" t="s">
        <v>40</v>
      </c>
      <c r="D8261">
        <v>4.2015140000000004</v>
      </c>
      <c r="E8261">
        <v>0.3472227</v>
      </c>
      <c r="F8261" t="s">
        <v>84</v>
      </c>
      <c r="G8261">
        <v>-277.53559999999999</v>
      </c>
      <c r="H8261" s="1">
        <v>-2.5900260000000001E-6</v>
      </c>
      <c r="I8261">
        <v>-59.465470000000003</v>
      </c>
      <c r="J8261">
        <v>-298.31310000000002</v>
      </c>
      <c r="K8261">
        <v>1.126099</v>
      </c>
      <c r="L8261">
        <v>-52.579099999999997</v>
      </c>
      <c r="M8261">
        <v>0.52432419999999902</v>
      </c>
      <c r="N8261">
        <v>-1.430386E-2</v>
      </c>
      <c r="O8261">
        <v>-0.85139880000000001</v>
      </c>
      <c r="P8261">
        <v>0.76337469999999996</v>
      </c>
      <c r="Q8261">
        <v>-2.9072230000000001E-2</v>
      </c>
      <c r="R8261">
        <v>-0.64530159999999903</v>
      </c>
      <c r="S8261">
        <v>3.0667719999999998</v>
      </c>
      <c r="T8261">
        <v>-0.16545299999999999</v>
      </c>
      <c r="U8261">
        <v>-1.0317080000000001</v>
      </c>
      <c r="V8261">
        <v>-0.31142619999999999</v>
      </c>
      <c r="W8261">
        <v>-1.9000340000000001E-2</v>
      </c>
      <c r="X8261">
        <v>0.95008029999999999</v>
      </c>
      <c r="Y8261">
        <v>-0.63864900000000002</v>
      </c>
      <c r="Z8261">
        <v>4.370694E-2</v>
      </c>
      <c r="AA8261">
        <v>0.76825589999999999</v>
      </c>
      <c r="AB8261">
        <v>17</v>
      </c>
      <c r="AC8261">
        <v>20.7775</v>
      </c>
      <c r="AD8261">
        <v>-1.1261015900260001</v>
      </c>
      <c r="AE8261">
        <v>-6.8863699999999897</v>
      </c>
      <c r="AF8261">
        <v>-14.0435169657523</v>
      </c>
      <c r="AG8261">
        <v>-1.1261015900260001</v>
      </c>
      <c r="AH8261">
        <v>16.714665810131599</v>
      </c>
      <c r="AI8261">
        <v>92.952828719502705</v>
      </c>
      <c r="AJ8261">
        <v>130.036685298815</v>
      </c>
      <c r="AK8261">
        <v>21.860204177976399</v>
      </c>
      <c r="AL8261">
        <v>91.088704876280502</v>
      </c>
      <c r="AM8261">
        <v>108.148592558272</v>
      </c>
      <c r="AN8261">
        <v>0.99999993370731999</v>
      </c>
    </row>
    <row r="8262" spans="1:40" x14ac:dyDescent="0.25">
      <c r="A8262" t="str">
        <f>"20190303154007807"</f>
        <v>20190303154007807</v>
      </c>
      <c r="B8262" t="str">
        <f>"1551598807796486"</f>
        <v>1551598807796486</v>
      </c>
      <c r="C8262" t="s">
        <v>40</v>
      </c>
      <c r="D8262">
        <v>4.2279400000000003</v>
      </c>
      <c r="E8262">
        <v>0.34692339999999999</v>
      </c>
      <c r="F8262" t="s">
        <v>84</v>
      </c>
      <c r="G8262">
        <v>-277.64659999999998</v>
      </c>
      <c r="H8262" s="1">
        <v>-2.6740710000000002E-6</v>
      </c>
      <c r="I8262">
        <v>-59.300769999999901</v>
      </c>
      <c r="J8262">
        <v>-298.21800000000002</v>
      </c>
      <c r="K8262">
        <v>1.126018</v>
      </c>
      <c r="L8262">
        <v>-52.710299999999997</v>
      </c>
      <c r="M8262">
        <v>0.53296840000000001</v>
      </c>
      <c r="N8262">
        <v>-1.4286780000000001E-2</v>
      </c>
      <c r="O8262">
        <v>-0.8460145</v>
      </c>
      <c r="P8262">
        <v>0.76890170000000002</v>
      </c>
      <c r="Q8262">
        <v>-3.2188550000000003E-2</v>
      </c>
      <c r="R8262">
        <v>-0.63855660000000003</v>
      </c>
      <c r="S8262">
        <v>3.077423</v>
      </c>
      <c r="T8262">
        <v>-0.16768629999999901</v>
      </c>
      <c r="U8262">
        <v>-1.0009159999999999</v>
      </c>
      <c r="V8262">
        <v>-0.30997619999999998</v>
      </c>
      <c r="W8262">
        <v>-2.2069040000000002E-2</v>
      </c>
      <c r="X8262">
        <v>0.95048820000000001</v>
      </c>
      <c r="Y8262">
        <v>-0.63851639999999998</v>
      </c>
      <c r="Z8262">
        <v>4.4428879999999997E-2</v>
      </c>
      <c r="AA8262">
        <v>0.76832469999999997</v>
      </c>
      <c r="AB8262">
        <v>17</v>
      </c>
      <c r="AC8262">
        <v>20.571400000000001</v>
      </c>
      <c r="AD8262">
        <v>-1.1260206740709999</v>
      </c>
      <c r="AE8262">
        <v>-6.5904699999999901</v>
      </c>
      <c r="AF8262">
        <v>-13.854960964731299</v>
      </c>
      <c r="AG8262">
        <v>-1.1260206740709999</v>
      </c>
      <c r="AH8262">
        <v>16.496402724930999</v>
      </c>
      <c r="AI8262">
        <v>92.992073587793001</v>
      </c>
      <c r="AJ8262">
        <v>130.02615101065601</v>
      </c>
      <c r="AK8262">
        <v>21.572185071424101</v>
      </c>
      <c r="AL8262">
        <v>91.264565446930703</v>
      </c>
      <c r="AM8262">
        <v>108.062346020267</v>
      </c>
      <c r="AN8262">
        <v>1.0000000527160899</v>
      </c>
    </row>
    <row r="8263" spans="1:40" x14ac:dyDescent="0.25">
      <c r="A8263" t="str">
        <f>"20190303154007830"</f>
        <v>20190303154007830</v>
      </c>
      <c r="B8263" t="str">
        <f>"1551598807826741"</f>
        <v>1551598807826741</v>
      </c>
      <c r="C8263" t="s">
        <v>40</v>
      </c>
      <c r="D8263">
        <v>4.1835500000000003</v>
      </c>
      <c r="E8263">
        <v>0.34732049999999998</v>
      </c>
      <c r="F8263" t="s">
        <v>44</v>
      </c>
      <c r="G8263">
        <v>-297.33260000000001</v>
      </c>
      <c r="H8263">
        <v>1.0753969999999999</v>
      </c>
      <c r="I8263">
        <v>-52.988930000000003</v>
      </c>
      <c r="J8263">
        <v>-298.1198</v>
      </c>
      <c r="K8263">
        <v>1.1259399999999999</v>
      </c>
      <c r="L8263">
        <v>-52.84308</v>
      </c>
      <c r="M8263">
        <v>0.54166049999999999</v>
      </c>
      <c r="N8263">
        <v>-1.426906E-2</v>
      </c>
      <c r="O8263">
        <v>-0.84047619999999901</v>
      </c>
      <c r="P8263">
        <v>0.77425299999999997</v>
      </c>
      <c r="Q8263">
        <v>-3.6139240000000003E-2</v>
      </c>
      <c r="R8263">
        <v>-0.6318435</v>
      </c>
      <c r="S8263">
        <v>3.0873110000000001</v>
      </c>
      <c r="T8263">
        <v>-0.17651310000000001</v>
      </c>
      <c r="U8263">
        <v>-0.97171019999999997</v>
      </c>
      <c r="V8263">
        <v>-0.30826039999999999</v>
      </c>
      <c r="W8263">
        <v>-2.5969599999999898E-2</v>
      </c>
      <c r="X8263">
        <v>0.95094749999999995</v>
      </c>
      <c r="Y8263">
        <v>-0.63776330000000003</v>
      </c>
      <c r="Z8263">
        <v>4.7229720000000003E-2</v>
      </c>
      <c r="AA8263">
        <v>0.76878299999999999</v>
      </c>
      <c r="AB8263">
        <v>17</v>
      </c>
      <c r="AC8263">
        <v>0.78719999999998402</v>
      </c>
      <c r="AD8263">
        <v>-5.0542999999999998E-2</v>
      </c>
      <c r="AE8263">
        <v>-0.14584999999999501</v>
      </c>
      <c r="AF8263">
        <v>-0.58036790348878797</v>
      </c>
      <c r="AG8263">
        <v>-5.0542999999999998E-2</v>
      </c>
      <c r="AH8263">
        <v>0.54685496493294905</v>
      </c>
      <c r="AI8263">
        <v>93.626740061331006</v>
      </c>
      <c r="AJ8263">
        <v>136.70293253337499</v>
      </c>
      <c r="AK8263">
        <v>0.79901930572470503</v>
      </c>
      <c r="AL8263">
        <v>91.488115745497893</v>
      </c>
      <c r="AM8263">
        <v>107.96068893232599</v>
      </c>
      <c r="AN8263">
        <v>1.0000000210442801</v>
      </c>
    </row>
    <row r="8264" spans="1:40" x14ac:dyDescent="0.25">
      <c r="A8264" t="str">
        <f>"20190303154007852"</f>
        <v>20190303154007852</v>
      </c>
      <c r="B8264" t="str">
        <f>"1551598807846261"</f>
        <v>1551598807846261</v>
      </c>
      <c r="C8264" t="s">
        <v>40</v>
      </c>
      <c r="D8264">
        <v>4.1969830000000004</v>
      </c>
      <c r="E8264">
        <v>0.34750940000000002</v>
      </c>
      <c r="F8264" t="s">
        <v>84</v>
      </c>
      <c r="G8264">
        <v>-279.52510000000001</v>
      </c>
      <c r="H8264" s="1">
        <v>-3.6489170000000002E-6</v>
      </c>
      <c r="I8264">
        <v>-58.536450000000002</v>
      </c>
      <c r="J8264">
        <v>-298.02269999999999</v>
      </c>
      <c r="K8264">
        <v>1.1258779999999999</v>
      </c>
      <c r="L8264">
        <v>-52.971499999999999</v>
      </c>
      <c r="M8264">
        <v>0.55002249999999997</v>
      </c>
      <c r="N8264">
        <v>-1.4251929999999999E-2</v>
      </c>
      <c r="O8264">
        <v>-0.835028199999999</v>
      </c>
      <c r="P8264">
        <v>0.77971449999999998</v>
      </c>
      <c r="Q8264">
        <v>-3.9994630000000003E-2</v>
      </c>
      <c r="R8264">
        <v>-0.62485669999999904</v>
      </c>
      <c r="S8264">
        <v>3.0931090000000001</v>
      </c>
      <c r="T8264">
        <v>-0.18729280000000001</v>
      </c>
      <c r="U8264">
        <v>-0.947052</v>
      </c>
      <c r="V8264">
        <v>-0.30712319999999999</v>
      </c>
      <c r="W8264">
        <v>-2.9790000000000001E-2</v>
      </c>
      <c r="X8264">
        <v>0.95120340000000003</v>
      </c>
      <c r="Y8264">
        <v>-0.63589410000000002</v>
      </c>
      <c r="Z8264">
        <v>5.0639589999999998E-2</v>
      </c>
      <c r="AA8264">
        <v>0.77011319999999905</v>
      </c>
      <c r="AB8264">
        <v>17</v>
      </c>
      <c r="AC8264">
        <v>18.497599999999899</v>
      </c>
      <c r="AD8264">
        <v>-1.125881648917</v>
      </c>
      <c r="AE8264">
        <v>-5.5649499999999996</v>
      </c>
      <c r="AF8264">
        <v>-12.3444910409765</v>
      </c>
      <c r="AG8264">
        <v>-1.125881648917</v>
      </c>
      <c r="AH8264">
        <v>14.7723070998961</v>
      </c>
      <c r="AI8264">
        <v>93.347062689729995</v>
      </c>
      <c r="AJ8264">
        <v>129.88384624058901</v>
      </c>
      <c r="AK8264">
        <v>19.284064032297699</v>
      </c>
      <c r="AL8264">
        <v>91.707093816476103</v>
      </c>
      <c r="AM8264">
        <v>107.894156592209</v>
      </c>
      <c r="AN8264">
        <v>1.0000000061248999</v>
      </c>
    </row>
    <row r="8265" spans="1:40" x14ac:dyDescent="0.25">
      <c r="A8265" t="str">
        <f>"20190303154007874"</f>
        <v>20190303154007874</v>
      </c>
      <c r="B8265" t="str">
        <f>"1551598807866761"</f>
        <v>1551598807866761</v>
      </c>
      <c r="C8265" t="s">
        <v>40</v>
      </c>
      <c r="D8265">
        <v>4.1582140000000001</v>
      </c>
      <c r="E8265">
        <v>0.34799590000000002</v>
      </c>
      <c r="F8265" t="s">
        <v>63</v>
      </c>
      <c r="G8265">
        <v>-280.45600000000002</v>
      </c>
      <c r="H8265" s="1">
        <v>-6.2422439999999997E-6</v>
      </c>
      <c r="I8265">
        <v>-58.186269999999901</v>
      </c>
      <c r="J8265">
        <v>-297.92079999999999</v>
      </c>
      <c r="K8265">
        <v>1.1258300000000001</v>
      </c>
      <c r="L8265">
        <v>-53.103670000000001</v>
      </c>
      <c r="M8265">
        <v>0.55859360000000002</v>
      </c>
      <c r="N8265">
        <v>-1.423541E-2</v>
      </c>
      <c r="O8265">
        <v>-0.82931949999999999</v>
      </c>
      <c r="P8265">
        <v>0.78584390000000004</v>
      </c>
      <c r="Q8265">
        <v>-4.3002529999999997E-2</v>
      </c>
      <c r="R8265">
        <v>-0.61692849999999999</v>
      </c>
      <c r="S8265">
        <v>3.0999150000000002</v>
      </c>
      <c r="T8265">
        <v>-0.19867940000000001</v>
      </c>
      <c r="U8265">
        <v>-0.92022709999999996</v>
      </c>
      <c r="V8265">
        <v>-0.30679820000000002</v>
      </c>
      <c r="W8265">
        <v>-3.2782699999999998E-2</v>
      </c>
      <c r="X8265">
        <v>0.95120979999999999</v>
      </c>
      <c r="Y8265">
        <v>-0.63432069999999996</v>
      </c>
      <c r="Z8265">
        <v>5.4213119999999997E-2</v>
      </c>
      <c r="AA8265">
        <v>0.77116680000000004</v>
      </c>
      <c r="AB8265">
        <v>17</v>
      </c>
      <c r="AC8265">
        <v>17.4648</v>
      </c>
      <c r="AD8265">
        <v>-1.12583624224399</v>
      </c>
      <c r="AE8265">
        <v>-5.0825999999999896</v>
      </c>
      <c r="AF8265">
        <v>-11.6015238597621</v>
      </c>
      <c r="AG8265">
        <v>-1.12583624224399</v>
      </c>
      <c r="AH8265">
        <v>13.9189146486134</v>
      </c>
      <c r="AI8265">
        <v>93.555360396901094</v>
      </c>
      <c r="AJ8265">
        <v>129.81146982129499</v>
      </c>
      <c r="AK8265">
        <v>18.1548629327893</v>
      </c>
      <c r="AL8265">
        <v>91.87864702313</v>
      </c>
      <c r="AM8265">
        <v>107.876313985834</v>
      </c>
      <c r="AN8265">
        <v>0.999999962279284</v>
      </c>
    </row>
    <row r="8266" spans="1:40" x14ac:dyDescent="0.25">
      <c r="A8266" t="str">
        <f>"20190303154007896"</f>
        <v>20190303154007896</v>
      </c>
      <c r="B8266" t="str">
        <f>"1551598807886277"</f>
        <v>1551598807886277</v>
      </c>
      <c r="C8266" t="s">
        <v>40</v>
      </c>
      <c r="D8266">
        <v>4.1674160000000002</v>
      </c>
      <c r="E8266">
        <v>0.3483619</v>
      </c>
      <c r="F8266" t="s">
        <v>63</v>
      </c>
      <c r="G8266">
        <v>-281.16410000000002</v>
      </c>
      <c r="H8266" s="1">
        <v>-6.0357929999999999E-6</v>
      </c>
      <c r="I8266">
        <v>-57.914520000000003</v>
      </c>
      <c r="J8266">
        <v>-297.82459999999998</v>
      </c>
      <c r="K8266">
        <v>1.125802</v>
      </c>
      <c r="L8266">
        <v>-53.22598</v>
      </c>
      <c r="M8266">
        <v>0.56650100000000003</v>
      </c>
      <c r="N8266">
        <v>-1.4221889999999999E-2</v>
      </c>
      <c r="O8266">
        <v>-0.82393839999999996</v>
      </c>
      <c r="P8266">
        <v>0.79178999999999999</v>
      </c>
      <c r="Q8266">
        <v>-4.4190569999999998E-2</v>
      </c>
      <c r="R8266">
        <v>-0.60919290000000004</v>
      </c>
      <c r="S8266">
        <v>3.1060789999999998</v>
      </c>
      <c r="T8266">
        <v>-0.2086884</v>
      </c>
      <c r="U8266">
        <v>-0.89175419999999905</v>
      </c>
      <c r="V8266">
        <v>-0.30696119999999999</v>
      </c>
      <c r="W8266">
        <v>-3.3969859999999998E-2</v>
      </c>
      <c r="X8266">
        <v>0.95111559999999995</v>
      </c>
      <c r="Y8266">
        <v>-0.63366269999999902</v>
      </c>
      <c r="Z8266">
        <v>5.7370450000000003E-2</v>
      </c>
      <c r="AA8266">
        <v>0.77147919999999903</v>
      </c>
      <c r="AB8266">
        <v>17</v>
      </c>
      <c r="AC8266">
        <v>16.6604999999999</v>
      </c>
      <c r="AD8266">
        <v>-1.125808035793</v>
      </c>
      <c r="AE8266">
        <v>-4.6885399999999802</v>
      </c>
      <c r="AF8266">
        <v>-11.025631715455299</v>
      </c>
      <c r="AG8266">
        <v>-1.125808035793</v>
      </c>
      <c r="AH8266">
        <v>13.246555141826301</v>
      </c>
      <c r="AI8266">
        <v>93.737369410183007</v>
      </c>
      <c r="AJ8266">
        <v>129.77195089399399</v>
      </c>
      <c r="AK8266">
        <v>17.2714568460149</v>
      </c>
      <c r="AL8266">
        <v>91.9467041175741</v>
      </c>
      <c r="AM8266">
        <v>107.88686516413701</v>
      </c>
      <c r="AN8266">
        <v>1.0000000071285999</v>
      </c>
    </row>
    <row r="8267" spans="1:40" x14ac:dyDescent="0.25">
      <c r="A8267" t="str">
        <f>"20190303154007918"</f>
        <v>20190303154007918</v>
      </c>
      <c r="B8267" t="str">
        <f>"1551598807906774"</f>
        <v>1551598807906774</v>
      </c>
      <c r="C8267" t="s">
        <v>40</v>
      </c>
      <c r="D8267">
        <v>4.1736839999999997</v>
      </c>
      <c r="E8267">
        <v>0.34878690000000001</v>
      </c>
      <c r="F8267" t="s">
        <v>63</v>
      </c>
      <c r="G8267">
        <v>-281.27719999999999</v>
      </c>
      <c r="H8267" s="1">
        <v>-6.0042839999999998E-6</v>
      </c>
      <c r="I8267">
        <v>-57.816459999999999</v>
      </c>
      <c r="J8267">
        <v>-297.72329999999999</v>
      </c>
      <c r="K8267">
        <v>1.1257969999999999</v>
      </c>
      <c r="L8267">
        <v>-53.352260000000001</v>
      </c>
      <c r="M8267">
        <v>0.57466070000000002</v>
      </c>
      <c r="N8267">
        <v>-1.421005E-2</v>
      </c>
      <c r="O8267">
        <v>-0.81826840000000001</v>
      </c>
      <c r="P8267">
        <v>0.79817640000000001</v>
      </c>
      <c r="Q8267">
        <v>-4.4006190000000001E-2</v>
      </c>
      <c r="R8267">
        <v>-0.60081459999999998</v>
      </c>
      <c r="S8267">
        <v>3.1126710000000002</v>
      </c>
      <c r="T8267">
        <v>-0.21177099999999999</v>
      </c>
      <c r="U8267">
        <v>-0.86349489999999995</v>
      </c>
      <c r="V8267">
        <v>-0.3075444</v>
      </c>
      <c r="W8267">
        <v>-3.3796119999999999E-2</v>
      </c>
      <c r="X8267">
        <v>0.95093340000000004</v>
      </c>
      <c r="Y8267">
        <v>-0.63284189999999996</v>
      </c>
      <c r="Z8267">
        <v>5.829616E-2</v>
      </c>
      <c r="AA8267">
        <v>0.77208330000000003</v>
      </c>
      <c r="AB8267">
        <v>17</v>
      </c>
      <c r="AC8267">
        <v>16.446100000000001</v>
      </c>
      <c r="AD8267">
        <v>-1.1258030042839999</v>
      </c>
      <c r="AE8267">
        <v>-4.4641999999999902</v>
      </c>
      <c r="AF8267">
        <v>-10.8456885870748</v>
      </c>
      <c r="AG8267">
        <v>-1.1258030042839999</v>
      </c>
      <c r="AH8267">
        <v>13.048216727479801</v>
      </c>
      <c r="AI8267">
        <v>93.796115807711402</v>
      </c>
      <c r="AJ8267">
        <v>129.73338719999299</v>
      </c>
      <c r="AK8267">
        <v>17.004480383109101</v>
      </c>
      <c r="AL8267">
        <v>91.936743778738801</v>
      </c>
      <c r="AM8267">
        <v>107.921891265764</v>
      </c>
      <c r="AN8267">
        <v>1.0000000334669801</v>
      </c>
    </row>
    <row r="8268" spans="1:40" x14ac:dyDescent="0.25">
      <c r="A8268" t="str">
        <f>"20190303154007940"</f>
        <v>20190303154007940</v>
      </c>
      <c r="B8268" t="str">
        <f>"1551598807937029"</f>
        <v>1551598807937029</v>
      </c>
      <c r="C8268" t="s">
        <v>40</v>
      </c>
      <c r="D8268">
        <v>4.175198</v>
      </c>
      <c r="E8268">
        <v>0.34928979999999998</v>
      </c>
      <c r="F8268" t="s">
        <v>63</v>
      </c>
      <c r="G8268">
        <v>-281.10109999999997</v>
      </c>
      <c r="H8268" s="1">
        <v>-6.07052299999999E-6</v>
      </c>
      <c r="I8268">
        <v>-57.793109999999999</v>
      </c>
      <c r="J8268">
        <v>-297.61930000000001</v>
      </c>
      <c r="K8268">
        <v>1.125799</v>
      </c>
      <c r="L8268">
        <v>-53.479370000000003</v>
      </c>
      <c r="M8268">
        <v>0.58287449999999996</v>
      </c>
      <c r="N8268">
        <v>-1.420012E-2</v>
      </c>
      <c r="O8268">
        <v>-0.8124382</v>
      </c>
      <c r="P8268">
        <v>0.80449419999999905</v>
      </c>
      <c r="Q8268">
        <v>-4.3677899999999999E-2</v>
      </c>
      <c r="R8268">
        <v>-0.5923524</v>
      </c>
      <c r="S8268">
        <v>3.1195680000000001</v>
      </c>
      <c r="T8268">
        <v>-0.2112851</v>
      </c>
      <c r="U8268">
        <v>-0.83343509999999998</v>
      </c>
      <c r="V8268">
        <v>-0.30802499999999999</v>
      </c>
      <c r="W8268">
        <v>-3.3480929999999999E-2</v>
      </c>
      <c r="X8268">
        <v>0.95078890000000005</v>
      </c>
      <c r="Y8268">
        <v>-0.63242959999999904</v>
      </c>
      <c r="Z8268">
        <v>5.8096340000000003E-2</v>
      </c>
      <c r="AA8268">
        <v>0.77243609999999996</v>
      </c>
      <c r="AB8268">
        <v>17</v>
      </c>
      <c r="AC8268">
        <v>16.5182</v>
      </c>
      <c r="AD8268">
        <v>-1.1258050705230001</v>
      </c>
      <c r="AE8268">
        <v>-4.3137400000000001</v>
      </c>
      <c r="AF8268">
        <v>-10.859522859266001</v>
      </c>
      <c r="AG8268">
        <v>-1.1258050705230001</v>
      </c>
      <c r="AH8268">
        <v>13.0771408390875</v>
      </c>
      <c r="AI8268">
        <v>93.789200222809697</v>
      </c>
      <c r="AJ8268">
        <v>129.70692791307101</v>
      </c>
      <c r="AK8268">
        <v>17.035500764963398</v>
      </c>
      <c r="AL8268">
        <v>91.918674651251095</v>
      </c>
      <c r="AM8268">
        <v>107.95065528644299</v>
      </c>
      <c r="AN8268">
        <v>0.99999995283093601</v>
      </c>
    </row>
    <row r="8269" spans="1:40" x14ac:dyDescent="0.25">
      <c r="A8269" t="str">
        <f>"20190303154007963"</f>
        <v>20190303154007963</v>
      </c>
      <c r="B8269" t="str">
        <f>"1551598807956549"</f>
        <v>1551598807956549</v>
      </c>
      <c r="C8269" t="s">
        <v>40</v>
      </c>
      <c r="D8269">
        <v>4.1855169999999999</v>
      </c>
      <c r="E8269">
        <v>0.34969169999999999</v>
      </c>
      <c r="F8269" t="s">
        <v>63</v>
      </c>
      <c r="G8269">
        <v>-280.8297</v>
      </c>
      <c r="H8269" s="1">
        <v>-6.1609919999999997E-6</v>
      </c>
      <c r="I8269">
        <v>-57.796590000000002</v>
      </c>
      <c r="J8269">
        <v>-297.51650000000001</v>
      </c>
      <c r="K8269">
        <v>1.1258030000000001</v>
      </c>
      <c r="L8269">
        <v>-53.602420000000002</v>
      </c>
      <c r="M8269">
        <v>0.59084060000000005</v>
      </c>
      <c r="N8269">
        <v>-1.419195E-2</v>
      </c>
      <c r="O8269">
        <v>-0.80666359999999904</v>
      </c>
      <c r="P8269">
        <v>0.81036619999999904</v>
      </c>
      <c r="Q8269">
        <v>-4.3675150000000003E-2</v>
      </c>
      <c r="R8269">
        <v>-0.58429379999999997</v>
      </c>
      <c r="S8269">
        <v>3.1258539999999999</v>
      </c>
      <c r="T8269">
        <v>-0.20960029999999999</v>
      </c>
      <c r="U8269">
        <v>-0.80377200000000004</v>
      </c>
      <c r="V8269">
        <v>-0.30815879999999901</v>
      </c>
      <c r="W8269">
        <v>-3.348802E-2</v>
      </c>
      <c r="X8269">
        <v>0.95074530000000002</v>
      </c>
      <c r="Y8269">
        <v>-0.63210010000000005</v>
      </c>
      <c r="Z8269">
        <v>5.7521750000000003E-2</v>
      </c>
      <c r="AA8269">
        <v>0.77274880000000001</v>
      </c>
      <c r="AB8269">
        <v>17</v>
      </c>
      <c r="AC8269">
        <v>16.686800000000002</v>
      </c>
      <c r="AD8269">
        <v>-1.125809160992</v>
      </c>
      <c r="AE8269">
        <v>-4.1941699999999997</v>
      </c>
      <c r="AF8269">
        <v>-10.9368292042649</v>
      </c>
      <c r="AG8269">
        <v>-1.125809160992</v>
      </c>
      <c r="AH8269">
        <v>13.187396152506301</v>
      </c>
      <c r="AI8269">
        <v>93.759615251565606</v>
      </c>
      <c r="AJ8269">
        <v>129.67026020539399</v>
      </c>
      <c r="AK8269">
        <v>17.1694233040418</v>
      </c>
      <c r="AL8269">
        <v>91.919081093494299</v>
      </c>
      <c r="AM8269">
        <v>107.958722722864</v>
      </c>
      <c r="AN8269">
        <v>0.99999995948652398</v>
      </c>
    </row>
    <row r="8270" spans="1:40" x14ac:dyDescent="0.25">
      <c r="A8270" t="str">
        <f>"20190303154007985"</f>
        <v>20190303154007985</v>
      </c>
      <c r="B8270" t="str">
        <f>"1551598807977046"</f>
        <v>1551598807977046</v>
      </c>
      <c r="C8270" t="s">
        <v>40</v>
      </c>
      <c r="D8270">
        <v>4.194788</v>
      </c>
      <c r="E8270">
        <v>0.34996379999999999</v>
      </c>
      <c r="F8270" t="s">
        <v>63</v>
      </c>
      <c r="G8270">
        <v>-280.6191</v>
      </c>
      <c r="H8270" s="1">
        <v>-6.2327079999999999E-6</v>
      </c>
      <c r="I8270">
        <v>-57.785679999999999</v>
      </c>
      <c r="J8270">
        <v>-297.41019999999997</v>
      </c>
      <c r="K8270">
        <v>1.125807</v>
      </c>
      <c r="L8270">
        <v>-53.727200000000003</v>
      </c>
      <c r="M8270">
        <v>0.59894139999999996</v>
      </c>
      <c r="N8270">
        <v>-1.4185100000000001E-2</v>
      </c>
      <c r="O8270">
        <v>-0.80066719999999902</v>
      </c>
      <c r="P8270">
        <v>0.81641549999999996</v>
      </c>
      <c r="Q8270">
        <v>-4.402702E-2</v>
      </c>
      <c r="R8270">
        <v>-0.57578399999999996</v>
      </c>
      <c r="S8270">
        <v>3.1317750000000002</v>
      </c>
      <c r="T8270">
        <v>-0.20865810000000001</v>
      </c>
      <c r="U8270">
        <v>-0.77532959999999995</v>
      </c>
      <c r="V8270">
        <v>-0.308502099999999</v>
      </c>
      <c r="W8270">
        <v>-3.3852500000000001E-2</v>
      </c>
      <c r="X8270">
        <v>0.9506211</v>
      </c>
      <c r="Y8270">
        <v>-0.63127140000000004</v>
      </c>
      <c r="Z8270">
        <v>5.7152059999999998E-2</v>
      </c>
      <c r="AA8270">
        <v>0.77345339999999996</v>
      </c>
      <c r="AB8270">
        <v>17</v>
      </c>
      <c r="AC8270">
        <v>16.791099999999901</v>
      </c>
      <c r="AD8270">
        <v>-1.1258132327079999</v>
      </c>
      <c r="AE8270">
        <v>-4.0584800000000003</v>
      </c>
      <c r="AF8270">
        <v>-10.967815691763899</v>
      </c>
      <c r="AG8270">
        <v>-1.1258132327079999</v>
      </c>
      <c r="AH8270">
        <v>13.251432606703901</v>
      </c>
      <c r="AI8270">
        <v>93.744573483460698</v>
      </c>
      <c r="AJ8270">
        <v>129.61354387470001</v>
      </c>
      <c r="AK8270">
        <v>17.2383555658148</v>
      </c>
      <c r="AL8270">
        <v>91.939976016270904</v>
      </c>
      <c r="AM8270">
        <v>107.979640157253</v>
      </c>
      <c r="AN8270">
        <v>1.00000000661293</v>
      </c>
    </row>
    <row r="8271" spans="1:40" x14ac:dyDescent="0.25">
      <c r="A8271" t="str">
        <f>"20190303154008008"</f>
        <v>20190303154008008</v>
      </c>
      <c r="B8271" t="str">
        <f>"1551598807996569"</f>
        <v>1551598807996569</v>
      </c>
      <c r="C8271" t="s">
        <v>40</v>
      </c>
      <c r="D8271">
        <v>4.2234509999999998</v>
      </c>
      <c r="E8271">
        <v>0.36166809999999999</v>
      </c>
      <c r="F8271" t="s">
        <v>44</v>
      </c>
      <c r="G8271">
        <v>-296.50130000000001</v>
      </c>
      <c r="H8271">
        <v>1.064818</v>
      </c>
      <c r="I8271">
        <v>-53.94303</v>
      </c>
      <c r="J8271">
        <v>-297.30410000000001</v>
      </c>
      <c r="K8271">
        <v>1.125799</v>
      </c>
      <c r="L8271">
        <v>-53.849179999999997</v>
      </c>
      <c r="M8271">
        <v>0.606881</v>
      </c>
      <c r="N8271">
        <v>-1.417939E-2</v>
      </c>
      <c r="O8271">
        <v>-0.79466649999999905</v>
      </c>
      <c r="P8271">
        <v>0.82266070000000002</v>
      </c>
      <c r="Q8271">
        <v>-4.4224380000000001E-2</v>
      </c>
      <c r="R8271">
        <v>-0.56681029999999999</v>
      </c>
      <c r="S8271">
        <v>3.1383359999999998</v>
      </c>
      <c r="T8271">
        <v>-0.21054220000000001</v>
      </c>
      <c r="U8271">
        <v>-0.74429319999999999</v>
      </c>
      <c r="V8271">
        <v>-0.30943850000000001</v>
      </c>
      <c r="W8271">
        <v>-3.4069339999999997E-2</v>
      </c>
      <c r="X8271">
        <v>0.95030890000000001</v>
      </c>
      <c r="Y8271">
        <v>-0.63112500000000005</v>
      </c>
      <c r="Z8271">
        <v>5.7678149999999997E-2</v>
      </c>
      <c r="AA8271">
        <v>0.77353380000000005</v>
      </c>
      <c r="AB8271">
        <v>17</v>
      </c>
      <c r="AC8271">
        <v>0.80279999999998997</v>
      </c>
      <c r="AD8271">
        <v>-6.0980999999999903E-2</v>
      </c>
      <c r="AE8271">
        <v>-9.3850000000003306E-2</v>
      </c>
      <c r="AF8271">
        <v>-0.57777198199994895</v>
      </c>
      <c r="AG8271">
        <v>-6.0980999999999903E-2</v>
      </c>
      <c r="AH8271">
        <v>0.55865987718070798</v>
      </c>
      <c r="AI8271">
        <v>94.339063435530406</v>
      </c>
      <c r="AJ8271">
        <v>135.963489112254</v>
      </c>
      <c r="AK8271">
        <v>0.80600248381547401</v>
      </c>
      <c r="AL8271">
        <v>91.952407304022998</v>
      </c>
      <c r="AM8271">
        <v>108.036226341339</v>
      </c>
      <c r="AN8271">
        <v>0.99999995531474595</v>
      </c>
    </row>
    <row r="8272" spans="1:40" x14ac:dyDescent="0.25">
      <c r="A8272" t="str">
        <f>"20190303154008031"</f>
        <v>20190303154008031</v>
      </c>
      <c r="B8272" t="str">
        <f>"1551598808026825"</f>
        <v>1551598808026825</v>
      </c>
      <c r="C8272" t="s">
        <v>40</v>
      </c>
      <c r="D8272">
        <v>4.2108889999999999</v>
      </c>
      <c r="E8272">
        <v>0.36339939999999998</v>
      </c>
      <c r="F8272" t="s">
        <v>44</v>
      </c>
      <c r="G8272">
        <v>-296.42880000000002</v>
      </c>
      <c r="H8272">
        <v>1.0708799999999901</v>
      </c>
      <c r="I8272">
        <v>-54.072139999999997</v>
      </c>
      <c r="J8272">
        <v>-297.19549999999998</v>
      </c>
      <c r="K8272">
        <v>1.1257919999999999</v>
      </c>
      <c r="L8272">
        <v>-53.971530000000001</v>
      </c>
      <c r="M8272">
        <v>0.61487000000000003</v>
      </c>
      <c r="N8272">
        <v>-1.4174340000000001E-2</v>
      </c>
      <c r="O8272">
        <v>-0.78850109999999995</v>
      </c>
      <c r="P8272">
        <v>0.8292254</v>
      </c>
      <c r="Q8272">
        <v>-4.3553269999999998E-2</v>
      </c>
      <c r="R8272">
        <v>-0.55721500000000002</v>
      </c>
      <c r="S8272">
        <v>3.0934140000000001</v>
      </c>
      <c r="T8272">
        <v>-0.1940762</v>
      </c>
      <c r="U8272">
        <v>-0.78790280000000001</v>
      </c>
      <c r="V8272">
        <v>-0.31092209999999998</v>
      </c>
      <c r="W8272">
        <v>-3.3422920000000002E-2</v>
      </c>
      <c r="X8272">
        <v>0.94984749999999996</v>
      </c>
      <c r="Y8272">
        <v>-0.6106279</v>
      </c>
      <c r="Z8272">
        <v>5.2418480000000003E-2</v>
      </c>
      <c r="AA8272">
        <v>0.79018089999999996</v>
      </c>
      <c r="AB8272">
        <v>17</v>
      </c>
      <c r="AC8272">
        <v>0.76669999999995697</v>
      </c>
      <c r="AD8272">
        <v>-5.4912000000000002E-2</v>
      </c>
      <c r="AE8272">
        <v>-0.100610000000003</v>
      </c>
      <c r="AF8272">
        <v>-0.54001308370821599</v>
      </c>
      <c r="AG8272">
        <v>-5.4912000000000002E-2</v>
      </c>
      <c r="AH8272">
        <v>0.54804360046723599</v>
      </c>
      <c r="AI8272">
        <v>94.082308007117305</v>
      </c>
      <c r="AJ8272">
        <v>134.577130153322</v>
      </c>
      <c r="AK8272">
        <v>0.77135027473460405</v>
      </c>
      <c r="AL8272">
        <v>91.915349050720096</v>
      </c>
      <c r="AM8272">
        <v>108.125288293889</v>
      </c>
      <c r="AN8272">
        <v>0.99999995855299195</v>
      </c>
    </row>
    <row r="8273" spans="1:40" x14ac:dyDescent="0.25">
      <c r="A8273" t="str">
        <f>"20190303154008053"</f>
        <v>20190303154008053</v>
      </c>
      <c r="B8273" t="str">
        <f>"1551598808046345"</f>
        <v>1551598808046345</v>
      </c>
      <c r="C8273" t="s">
        <v>40</v>
      </c>
      <c r="D8273">
        <v>4.2498310000000004</v>
      </c>
      <c r="E8273">
        <v>0.3640061</v>
      </c>
      <c r="F8273" t="s">
        <v>84</v>
      </c>
      <c r="G8273">
        <v>-278.77289999999999</v>
      </c>
      <c r="H8273" s="1">
        <v>-3.3305199999999998E-6</v>
      </c>
      <c r="I8273">
        <v>-58.517159999999997</v>
      </c>
      <c r="J8273">
        <v>-297.0883</v>
      </c>
      <c r="K8273">
        <v>1.12578</v>
      </c>
      <c r="L8273">
        <v>-54.089750000000002</v>
      </c>
      <c r="M8273">
        <v>0.62261309999999903</v>
      </c>
      <c r="N8273">
        <v>-1.416977E-2</v>
      </c>
      <c r="O8273">
        <v>-0.78240169999999998</v>
      </c>
      <c r="P8273">
        <v>0.83502679999999996</v>
      </c>
      <c r="Q8273">
        <v>-4.2234910000000001E-2</v>
      </c>
      <c r="R8273">
        <v>-0.54858640000000003</v>
      </c>
      <c r="S8273">
        <v>3.094757</v>
      </c>
      <c r="T8273">
        <v>-0.1891198</v>
      </c>
      <c r="U8273">
        <v>-0.76361080000000003</v>
      </c>
      <c r="V8273">
        <v>-0.3114749</v>
      </c>
      <c r="W8273">
        <v>-3.2112059999999998E-2</v>
      </c>
      <c r="X8273">
        <v>0.94971159999999999</v>
      </c>
      <c r="Y8273">
        <v>-0.60884059999999995</v>
      </c>
      <c r="Z8273">
        <v>5.0822689999999997E-2</v>
      </c>
      <c r="AA8273">
        <v>0.79166289999999995</v>
      </c>
      <c r="AB8273">
        <v>16</v>
      </c>
      <c r="AC8273">
        <v>18.3154</v>
      </c>
      <c r="AD8273">
        <v>-1.12578333052</v>
      </c>
      <c r="AE8273">
        <v>-4.4274099999999903</v>
      </c>
      <c r="AF8273">
        <v>-11.5334279856656</v>
      </c>
      <c r="AG8273">
        <v>-1.12578333052</v>
      </c>
      <c r="AH8273">
        <v>14.816025338989499</v>
      </c>
      <c r="AI8273">
        <v>93.431286334352393</v>
      </c>
      <c r="AJ8273">
        <v>127.89871644421</v>
      </c>
      <c r="AK8273">
        <v>18.809624027433198</v>
      </c>
      <c r="AL8273">
        <v>91.840201939301195</v>
      </c>
      <c r="AM8273">
        <v>108.157828866611</v>
      </c>
      <c r="AN8273">
        <v>0.99999996045100603</v>
      </c>
    </row>
    <row r="8274" spans="1:40" x14ac:dyDescent="0.25">
      <c r="A8274" t="str">
        <f>"20190303154008069"</f>
        <v>20190303154008069</v>
      </c>
      <c r="B8274" t="str">
        <f>"1551598808066842"</f>
        <v>1551598808066842</v>
      </c>
      <c r="C8274" t="s">
        <v>40</v>
      </c>
      <c r="D8274">
        <v>4.2355239999999998</v>
      </c>
      <c r="E8274">
        <v>0.37323220000000001</v>
      </c>
      <c r="F8274" t="s">
        <v>84</v>
      </c>
      <c r="G8274">
        <v>-278.40879999999999</v>
      </c>
      <c r="H8274" s="1">
        <v>-3.1736680000000002E-6</v>
      </c>
      <c r="I8274">
        <v>-58.52008</v>
      </c>
      <c r="J8274">
        <v>-297.00819999999999</v>
      </c>
      <c r="K8274">
        <v>1.1257740000000001</v>
      </c>
      <c r="L8274">
        <v>-54.1768199999999</v>
      </c>
      <c r="M8274">
        <v>0.62831840000000005</v>
      </c>
      <c r="N8274">
        <v>-1.416653E-2</v>
      </c>
      <c r="O8274">
        <v>-0.77782739999999995</v>
      </c>
      <c r="P8274">
        <v>0.83900140000000001</v>
      </c>
      <c r="Q8274">
        <v>-4.2084429999999999E-2</v>
      </c>
      <c r="R8274">
        <v>-0.54249950000000002</v>
      </c>
      <c r="S8274">
        <v>3.1001889999999999</v>
      </c>
      <c r="T8274">
        <v>-0.1868435</v>
      </c>
      <c r="U8274">
        <v>-0.73529049999999996</v>
      </c>
      <c r="V8274">
        <v>-0.31144379999999999</v>
      </c>
      <c r="W8274">
        <v>-3.1959559999999998E-2</v>
      </c>
      <c r="X8274">
        <v>0.94972699999999999</v>
      </c>
      <c r="Y8274">
        <v>-0.61023939999999999</v>
      </c>
      <c r="Z8274">
        <v>5.0125240000000001E-2</v>
      </c>
      <c r="AA8274">
        <v>0.79062969999999999</v>
      </c>
      <c r="AB8274">
        <v>16</v>
      </c>
      <c r="AC8274">
        <v>18.599399999999999</v>
      </c>
      <c r="AD8274">
        <v>-1.125777173668</v>
      </c>
      <c r="AE8274">
        <v>-4.3432600000000097</v>
      </c>
      <c r="AF8274">
        <v>-11.698706815386201</v>
      </c>
      <c r="AG8274">
        <v>-1.125777173668</v>
      </c>
      <c r="AH8274">
        <v>15.0140016769461</v>
      </c>
      <c r="AI8274">
        <v>93.384910813103005</v>
      </c>
      <c r="AJ8274">
        <v>127.925238828232</v>
      </c>
      <c r="AK8274">
        <v>19.066917993017501</v>
      </c>
      <c r="AL8274">
        <v>91.831459746822205</v>
      </c>
      <c r="AM8274">
        <v>108.155859724289</v>
      </c>
      <c r="AN8274">
        <v>1.0000000142814101</v>
      </c>
    </row>
    <row r="8275" spans="1:40" x14ac:dyDescent="0.25">
      <c r="A8275" t="str">
        <f>"20190303154008085"</f>
        <v>20190303154008085</v>
      </c>
      <c r="B8275" t="str">
        <f>"1551598808076602"</f>
        <v>1551598808076602</v>
      </c>
      <c r="C8275" t="s">
        <v>40</v>
      </c>
      <c r="D8275">
        <v>4.2288389999999998</v>
      </c>
      <c r="E8275">
        <v>0.37421110000000002</v>
      </c>
      <c r="F8275" t="s">
        <v>44</v>
      </c>
      <c r="G8275">
        <v>-296.0043</v>
      </c>
      <c r="H8275">
        <v>1.0644690000000001</v>
      </c>
      <c r="I8275">
        <v>-54.430329999999998</v>
      </c>
      <c r="J8275">
        <v>-296.9307</v>
      </c>
      <c r="K8275">
        <v>1.1257710000000001</v>
      </c>
      <c r="L8275">
        <v>-54.25949</v>
      </c>
      <c r="M8275">
        <v>0.63375079999999995</v>
      </c>
      <c r="N8275">
        <v>-1.416325E-2</v>
      </c>
      <c r="O8275">
        <v>-0.77340779999999998</v>
      </c>
      <c r="P8275">
        <v>0.84270750000000005</v>
      </c>
      <c r="Q8275">
        <v>-4.1894920000000002E-2</v>
      </c>
      <c r="R8275">
        <v>-0.53673939999999998</v>
      </c>
      <c r="S8275">
        <v>3.0655209999999999</v>
      </c>
      <c r="T8275">
        <v>-0.1872219</v>
      </c>
      <c r="U8275">
        <v>-0.77447509999999997</v>
      </c>
      <c r="V8275">
        <v>-0.31130809999999998</v>
      </c>
      <c r="W8275">
        <v>-3.1765729999999999E-2</v>
      </c>
      <c r="X8275">
        <v>0.94977800000000001</v>
      </c>
      <c r="Y8275">
        <v>-0.59301749999999998</v>
      </c>
      <c r="Z8275">
        <v>5.0070940000000001E-2</v>
      </c>
      <c r="AA8275">
        <v>0.80363119999999999</v>
      </c>
      <c r="AB8275">
        <v>16</v>
      </c>
      <c r="AC8275">
        <v>0.926400000000001</v>
      </c>
      <c r="AD8275">
        <v>-6.1301999999999697E-2</v>
      </c>
      <c r="AE8275">
        <v>-0.17084000000000499</v>
      </c>
      <c r="AF8275">
        <v>-0.60571088359699399</v>
      </c>
      <c r="AG8275">
        <v>-6.1301999999999697E-2</v>
      </c>
      <c r="AH8275">
        <v>0.71627452442442097</v>
      </c>
      <c r="AI8275">
        <v>93.738995192850197</v>
      </c>
      <c r="AJ8275">
        <v>130.219219914409</v>
      </c>
      <c r="AK8275">
        <v>0.94004936256096805</v>
      </c>
      <c r="AL8275">
        <v>91.820348450278701</v>
      </c>
      <c r="AM8275">
        <v>108.147557067382</v>
      </c>
      <c r="AN8275">
        <v>1.0000000220060199</v>
      </c>
    </row>
    <row r="8276" spans="1:40" x14ac:dyDescent="0.25">
      <c r="A8276" t="str">
        <f>"20190303154008098"</f>
        <v>20190303154008098</v>
      </c>
      <c r="B8276" t="str">
        <f>"1551598808086362"</f>
        <v>1551598808086362</v>
      </c>
      <c r="C8276" t="s">
        <v>40</v>
      </c>
      <c r="D8276">
        <v>4.2636229999999999</v>
      </c>
      <c r="E8276">
        <v>0.3750831</v>
      </c>
      <c r="F8276" t="s">
        <v>44</v>
      </c>
      <c r="G8276">
        <v>-296.04320000000001</v>
      </c>
      <c r="H8276">
        <v>1.0720080000000001</v>
      </c>
      <c r="I8276">
        <v>-54.479340000000001</v>
      </c>
      <c r="J8276">
        <v>-296.86919999999998</v>
      </c>
      <c r="K8276">
        <v>1.1257600000000001</v>
      </c>
      <c r="L8276">
        <v>-54.324399999999997</v>
      </c>
      <c r="M8276">
        <v>0.63802040000000004</v>
      </c>
      <c r="N8276">
        <v>-1.416063E-2</v>
      </c>
      <c r="O8276">
        <v>-0.76988939999999995</v>
      </c>
      <c r="P8276">
        <v>0.845282599999999</v>
      </c>
      <c r="Q8276">
        <v>-4.2423259999999997E-2</v>
      </c>
      <c r="R8276">
        <v>-0.53263280000000002</v>
      </c>
      <c r="S8276">
        <v>3.0666199999999999</v>
      </c>
      <c r="T8276">
        <v>-0.1857916</v>
      </c>
      <c r="U8276">
        <v>-0.7600403</v>
      </c>
      <c r="V8276">
        <v>-0.31064890000000001</v>
      </c>
      <c r="W8276">
        <v>-3.2282129999999999E-2</v>
      </c>
      <c r="X8276">
        <v>0.94997640000000005</v>
      </c>
      <c r="Y8276">
        <v>-0.592221</v>
      </c>
      <c r="Z8276">
        <v>4.9594159999999998E-2</v>
      </c>
      <c r="AA8276">
        <v>0.80424790000000002</v>
      </c>
      <c r="AB8276">
        <v>16</v>
      </c>
      <c r="AC8276">
        <v>0.82599999999996498</v>
      </c>
      <c r="AD8276">
        <v>-5.3752000000000001E-2</v>
      </c>
      <c r="AE8276">
        <v>-0.15494000000000299</v>
      </c>
      <c r="AF8276">
        <v>-0.53493921198324301</v>
      </c>
      <c r="AG8276">
        <v>-5.3752000000000001E-2</v>
      </c>
      <c r="AH8276">
        <v>0.64372288621404805</v>
      </c>
      <c r="AI8276">
        <v>93.674557668592001</v>
      </c>
      <c r="AJ8276">
        <v>129.72687062206299</v>
      </c>
      <c r="AK8276">
        <v>0.83870638024102195</v>
      </c>
      <c r="AL8276">
        <v>91.849951181496806</v>
      </c>
      <c r="AM8276">
        <v>108.10810529055</v>
      </c>
      <c r="AN8276">
        <v>1.0000000177727499</v>
      </c>
    </row>
    <row r="8277" spans="1:40" x14ac:dyDescent="0.25">
      <c r="A8277" t="str">
        <f>"20190303154008120"</f>
        <v>20190303154008120</v>
      </c>
      <c r="B8277" t="str">
        <f>"1551598808116618"</f>
        <v>1551598808116618</v>
      </c>
      <c r="C8277" t="s">
        <v>40</v>
      </c>
      <c r="D8277">
        <v>4.2855400000000001</v>
      </c>
      <c r="E8277">
        <v>0.38190879999999999</v>
      </c>
      <c r="F8277" t="s">
        <v>44</v>
      </c>
      <c r="G8277">
        <v>-295.9282</v>
      </c>
      <c r="H8277">
        <v>1.0685420000000001</v>
      </c>
      <c r="I8277">
        <v>-54.555069999999901</v>
      </c>
      <c r="J8277">
        <v>-296.76029999999997</v>
      </c>
      <c r="K8277">
        <v>1.1257360000000001</v>
      </c>
      <c r="L8277">
        <v>-54.43759</v>
      </c>
      <c r="M8277">
        <v>0.64546539999999997</v>
      </c>
      <c r="N8277">
        <v>-1.4155890000000001E-2</v>
      </c>
      <c r="O8277">
        <v>-0.76365830000000001</v>
      </c>
      <c r="P8277">
        <v>0.84983660000000005</v>
      </c>
      <c r="Q8277">
        <v>-4.4543199999999998E-2</v>
      </c>
      <c r="R8277">
        <v>-0.52516079999999998</v>
      </c>
      <c r="S8277">
        <v>3.0665589999999998</v>
      </c>
      <c r="T8277">
        <v>-0.1864247</v>
      </c>
      <c r="U8277">
        <v>-0.750946</v>
      </c>
      <c r="V8277">
        <v>-0.30969530000000001</v>
      </c>
      <c r="W8277">
        <v>-3.4384400000000002E-2</v>
      </c>
      <c r="X8277">
        <v>0.950214</v>
      </c>
      <c r="Y8277">
        <v>-0.58663199999999904</v>
      </c>
      <c r="Z8277">
        <v>4.9551959999999999E-2</v>
      </c>
      <c r="AA8277">
        <v>0.80833630000000001</v>
      </c>
      <c r="AB8277">
        <v>16</v>
      </c>
      <c r="AC8277">
        <v>0.83209999999996798</v>
      </c>
      <c r="AD8277">
        <v>-5.7193999999999898E-2</v>
      </c>
      <c r="AE8277">
        <v>-0.11747999999999301</v>
      </c>
      <c r="AF8277">
        <v>-0.55708640139104404</v>
      </c>
      <c r="AG8277">
        <v>-5.7193999999999898E-2</v>
      </c>
      <c r="AH8277">
        <v>0.62397882363056001</v>
      </c>
      <c r="AI8277">
        <v>93.911500099958005</v>
      </c>
      <c r="AJ8277">
        <v>131.75838120801299</v>
      </c>
      <c r="AK8277">
        <v>0.83843066773001595</v>
      </c>
      <c r="AL8277">
        <v>91.970469297952604</v>
      </c>
      <c r="AM8277">
        <v>108.051909669276</v>
      </c>
      <c r="AN8277">
        <v>1.00000005580072</v>
      </c>
    </row>
    <row r="8278" spans="1:40" x14ac:dyDescent="0.25">
      <c r="A8278" t="str">
        <f>"20190303154008138"</f>
        <v>20190303154008138</v>
      </c>
      <c r="B8278" t="str">
        <f>"1551598808126378"</f>
        <v>1551598808126378</v>
      </c>
      <c r="C8278" t="s">
        <v>40</v>
      </c>
      <c r="D8278">
        <v>4.301507</v>
      </c>
      <c r="E8278">
        <v>0.3826579</v>
      </c>
      <c r="F8278" t="s">
        <v>44</v>
      </c>
      <c r="G8278">
        <v>-295.8424</v>
      </c>
      <c r="H8278">
        <v>1.0638320000000001</v>
      </c>
      <c r="I8278">
        <v>-54.66986</v>
      </c>
      <c r="J8278">
        <v>-296.67140000000001</v>
      </c>
      <c r="K8278">
        <v>1.125721</v>
      </c>
      <c r="L8278">
        <v>-54.528440000000003</v>
      </c>
      <c r="M8278">
        <v>0.65144780000000002</v>
      </c>
      <c r="N8278">
        <v>-1.415194E-2</v>
      </c>
      <c r="O8278">
        <v>-0.75856169999999901</v>
      </c>
      <c r="P8278">
        <v>0.85375080000000003</v>
      </c>
      <c r="Q8278">
        <v>-4.5388280000000003E-2</v>
      </c>
      <c r="R8278">
        <v>-0.5187001</v>
      </c>
      <c r="S8278">
        <v>3.0438839999999998</v>
      </c>
      <c r="T8278">
        <v>-0.2052553</v>
      </c>
      <c r="U8278">
        <v>-0.76940920000000002</v>
      </c>
      <c r="V8278">
        <v>-0.30939220000000001</v>
      </c>
      <c r="W8278">
        <v>-3.5221099999999998E-2</v>
      </c>
      <c r="X8278">
        <v>0.95028199999999996</v>
      </c>
      <c r="Y8278">
        <v>-0.57382769999999905</v>
      </c>
      <c r="Z8278">
        <v>5.5136030000000003E-2</v>
      </c>
      <c r="AA8278">
        <v>0.81711800000000001</v>
      </c>
      <c r="AB8278">
        <v>16</v>
      </c>
      <c r="AC8278">
        <v>0.82900000000000695</v>
      </c>
      <c r="AD8278">
        <v>-6.1889E-2</v>
      </c>
      <c r="AE8278">
        <v>-0.14141999999999599</v>
      </c>
      <c r="AF8278">
        <v>-0.53388217770323998</v>
      </c>
      <c r="AG8278">
        <v>-6.1889E-2</v>
      </c>
      <c r="AH8278">
        <v>0.64390350589406298</v>
      </c>
      <c r="AI8278">
        <v>94.231628542625202</v>
      </c>
      <c r="AJ8278">
        <v>129.66327578009901</v>
      </c>
      <c r="AK8278">
        <v>0.83873246800920997</v>
      </c>
      <c r="AL8278">
        <v>92.018437909075004</v>
      </c>
      <c r="AM8278">
        <v>108.03417983387899</v>
      </c>
      <c r="AN8278">
        <v>0.999999969415024</v>
      </c>
    </row>
    <row r="8279" spans="1:40" x14ac:dyDescent="0.25">
      <c r="A8279" t="str">
        <f>"20190303154008153"</f>
        <v>20190303154008153</v>
      </c>
      <c r="B8279" t="str">
        <f>"1551598808146875"</f>
        <v>1551598808146875</v>
      </c>
      <c r="C8279" t="s">
        <v>40</v>
      </c>
      <c r="D8279">
        <v>4.3511230000000003</v>
      </c>
      <c r="E8279">
        <v>0.38379799999999997</v>
      </c>
      <c r="F8279" t="s">
        <v>44</v>
      </c>
      <c r="G8279">
        <v>-295.73700000000002</v>
      </c>
      <c r="H8279">
        <v>1.062711</v>
      </c>
      <c r="I8279">
        <v>-54.759120000000003</v>
      </c>
      <c r="J8279">
        <v>-296.59120000000001</v>
      </c>
      <c r="K8279">
        <v>1.125705</v>
      </c>
      <c r="L8279">
        <v>-54.609279999999998</v>
      </c>
      <c r="M8279">
        <v>0.65677299999999905</v>
      </c>
      <c r="N8279">
        <v>-1.414838E-2</v>
      </c>
      <c r="O8279">
        <v>-0.7539555</v>
      </c>
      <c r="P8279">
        <v>0.85690440000000001</v>
      </c>
      <c r="Q8279">
        <v>-4.6385320000000001E-2</v>
      </c>
      <c r="R8279">
        <v>-0.51338409999999901</v>
      </c>
      <c r="S8279">
        <v>3.0463260000000001</v>
      </c>
      <c r="T8279">
        <v>-0.20540169999999999</v>
      </c>
      <c r="U8279">
        <v>-0.75164790000000004</v>
      </c>
      <c r="V8279">
        <v>-0.30855700000000003</v>
      </c>
      <c r="W8279">
        <v>-3.6201520000000001E-2</v>
      </c>
      <c r="X8279">
        <v>0.95051669999999999</v>
      </c>
      <c r="Y8279">
        <v>-0.57270519999999903</v>
      </c>
      <c r="Z8279">
        <v>5.5080289999999997E-2</v>
      </c>
      <c r="AA8279">
        <v>0.81790889999999905</v>
      </c>
      <c r="AB8279">
        <v>16</v>
      </c>
      <c r="AC8279">
        <v>0.85419999999999097</v>
      </c>
      <c r="AD8279">
        <v>-6.2993999999999994E-2</v>
      </c>
      <c r="AE8279">
        <v>-0.14983999999999001</v>
      </c>
      <c r="AF8279">
        <v>-0.54280864168068499</v>
      </c>
      <c r="AG8279">
        <v>-6.2993999999999994E-2</v>
      </c>
      <c r="AH8279">
        <v>0.67051795519179302</v>
      </c>
      <c r="AI8279">
        <v>94.176346353378307</v>
      </c>
      <c r="AJ8279">
        <v>128.99142725719199</v>
      </c>
      <c r="AK8279">
        <v>0.86498774196737205</v>
      </c>
      <c r="AL8279">
        <v>92.074647663147104</v>
      </c>
      <c r="AM8279">
        <v>107.98448167974399</v>
      </c>
      <c r="AN8279">
        <v>0.9999999846391</v>
      </c>
    </row>
    <row r="8280" spans="1:40" x14ac:dyDescent="0.25">
      <c r="A8280" t="str">
        <f>"20190303154008170"</f>
        <v>20190303154008170</v>
      </c>
      <c r="B8280" t="str">
        <f>"1551598808166393"</f>
        <v>1551598808166393</v>
      </c>
      <c r="C8280" t="s">
        <v>40</v>
      </c>
      <c r="D8280">
        <v>4.3362829999999999</v>
      </c>
      <c r="E8280">
        <v>0.38485780000000003</v>
      </c>
      <c r="F8280" t="s">
        <v>44</v>
      </c>
      <c r="G8280">
        <v>-295.62810000000002</v>
      </c>
      <c r="H8280">
        <v>1.0600609999999999</v>
      </c>
      <c r="I8280">
        <v>-54.843380000000003</v>
      </c>
      <c r="J8280">
        <v>-296.5077</v>
      </c>
      <c r="K8280">
        <v>1.1256919999999999</v>
      </c>
      <c r="L8280">
        <v>-54.692230000000002</v>
      </c>
      <c r="M8280">
        <v>0.6622344</v>
      </c>
      <c r="N8280">
        <v>-1.4144510000000001E-2</v>
      </c>
      <c r="O8280">
        <v>-0.74916359999999904</v>
      </c>
      <c r="P8280">
        <v>0.86029949999999999</v>
      </c>
      <c r="Q8280">
        <v>-4.6394379999999999E-2</v>
      </c>
      <c r="R8280">
        <v>-0.50767370000000001</v>
      </c>
      <c r="S8280">
        <v>3.0461429999999998</v>
      </c>
      <c r="T8280">
        <v>-0.20762520000000001</v>
      </c>
      <c r="U8280">
        <v>-0.74041749999999995</v>
      </c>
      <c r="V8280">
        <v>-0.30797269999999999</v>
      </c>
      <c r="W8280">
        <v>-3.6196409999999998E-2</v>
      </c>
      <c r="X8280">
        <v>0.95070639999999995</v>
      </c>
      <c r="Y8280">
        <v>-0.56954199999999999</v>
      </c>
      <c r="Z8280">
        <v>5.5594949999999997E-2</v>
      </c>
      <c r="AA8280">
        <v>0.82007999999999903</v>
      </c>
      <c r="AB8280">
        <v>16</v>
      </c>
      <c r="AC8280">
        <v>0.87959999999998195</v>
      </c>
      <c r="AD8280">
        <v>-6.5630999999999703E-2</v>
      </c>
      <c r="AE8280">
        <v>-0.15115000000000101</v>
      </c>
      <c r="AF8280">
        <v>-0.55591711950835299</v>
      </c>
      <c r="AG8280">
        <v>-6.5630999999999703E-2</v>
      </c>
      <c r="AH8280">
        <v>0.69206441985647504</v>
      </c>
      <c r="AI8280">
        <v>94.228437451114303</v>
      </c>
      <c r="AJ8280">
        <v>128.773995818369</v>
      </c>
      <c r="AK8280">
        <v>0.89011484267747398</v>
      </c>
      <c r="AL8280">
        <v>92.074354633907106</v>
      </c>
      <c r="AM8280">
        <v>107.949260490036</v>
      </c>
      <c r="AN8280">
        <v>1.0000000115215599</v>
      </c>
    </row>
    <row r="8281" spans="1:40" x14ac:dyDescent="0.25">
      <c r="A8281" t="str">
        <f>"20190303154008183"</f>
        <v>20190303154008183</v>
      </c>
      <c r="B8281" t="str">
        <f>"1551598808176153"</f>
        <v>1551598808176153</v>
      </c>
      <c r="C8281" t="s">
        <v>40</v>
      </c>
      <c r="D8281">
        <v>4.3672630000000003</v>
      </c>
      <c r="E8281">
        <v>0.38544780000000001</v>
      </c>
      <c r="F8281" t="s">
        <v>44</v>
      </c>
      <c r="G8281">
        <v>-295.52</v>
      </c>
      <c r="H8281">
        <v>1.0581050000000001</v>
      </c>
      <c r="I8281">
        <v>-54.928159999999998</v>
      </c>
      <c r="J8281">
        <v>-296.43349999999998</v>
      </c>
      <c r="K8281">
        <v>1.1256889999999999</v>
      </c>
      <c r="L8281">
        <v>-54.764710000000001</v>
      </c>
      <c r="M8281">
        <v>0.66702030000000001</v>
      </c>
      <c r="N8281">
        <v>-1.414092E-2</v>
      </c>
      <c r="O8281">
        <v>-0.74490559999999995</v>
      </c>
      <c r="P8281">
        <v>0.86326130000000001</v>
      </c>
      <c r="Q8281">
        <v>-4.5760019999999998E-2</v>
      </c>
      <c r="R8281">
        <v>-0.50267919999999999</v>
      </c>
      <c r="S8281">
        <v>3.0466310000000001</v>
      </c>
      <c r="T8281">
        <v>-0.2084491</v>
      </c>
      <c r="U8281">
        <v>-0.72744750000000002</v>
      </c>
      <c r="V8281">
        <v>-0.307425</v>
      </c>
      <c r="W8281">
        <v>-3.5547769999999999E-2</v>
      </c>
      <c r="X8281">
        <v>0.95090810000000003</v>
      </c>
      <c r="Y8281">
        <v>-0.56759519999999997</v>
      </c>
      <c r="Z8281">
        <v>5.5727520000000003E-2</v>
      </c>
      <c r="AA8281">
        <v>0.82141960000000003</v>
      </c>
      <c r="AB8281">
        <v>16</v>
      </c>
      <c r="AC8281">
        <v>0.91349999999999898</v>
      </c>
      <c r="AD8281">
        <v>-6.7584000000000005E-2</v>
      </c>
      <c r="AE8281">
        <v>-0.16344999999999699</v>
      </c>
      <c r="AF8281">
        <v>-0.56848869354849596</v>
      </c>
      <c r="AG8281">
        <v>-6.7584000000000005E-2</v>
      </c>
      <c r="AH8281">
        <v>0.72729342743521097</v>
      </c>
      <c r="AI8281">
        <v>94.187339000914605</v>
      </c>
      <c r="AJ8281">
        <v>128.01295108426999</v>
      </c>
      <c r="AK8281">
        <v>0.92558236874895805</v>
      </c>
      <c r="AL8281">
        <v>92.037166398959101</v>
      </c>
      <c r="AM8281">
        <v>107.915824333367</v>
      </c>
      <c r="AN8281">
        <v>0.99999999461129097</v>
      </c>
    </row>
    <row r="8282" spans="1:40" x14ac:dyDescent="0.25">
      <c r="A8282" t="str">
        <f>"20190303154008197"</f>
        <v>20190303154008197</v>
      </c>
      <c r="B8282" t="str">
        <f>"1551598808186891"</f>
        <v>1551598808186891</v>
      </c>
      <c r="C8282" t="s">
        <v>40</v>
      </c>
      <c r="D8282">
        <v>4.3553860000000002</v>
      </c>
      <c r="E8282">
        <v>0.3863027</v>
      </c>
      <c r="F8282" t="s">
        <v>44</v>
      </c>
      <c r="G8282">
        <v>-295.55119999999999</v>
      </c>
      <c r="H8282">
        <v>1.065526</v>
      </c>
      <c r="I8282">
        <v>-54.97139</v>
      </c>
      <c r="J8282">
        <v>-296.36649999999997</v>
      </c>
      <c r="K8282">
        <v>1.125685</v>
      </c>
      <c r="L8282">
        <v>-54.829500000000003</v>
      </c>
      <c r="M8282">
        <v>0.67129399999999995</v>
      </c>
      <c r="N8282">
        <v>-1.413761E-2</v>
      </c>
      <c r="O8282">
        <v>-0.74105639999999995</v>
      </c>
      <c r="P8282">
        <v>0.86519889999999999</v>
      </c>
      <c r="Q8282">
        <v>-4.4534909999999997E-2</v>
      </c>
      <c r="R8282">
        <v>-0.49944749999999999</v>
      </c>
      <c r="S8282">
        <v>3.0484619999999998</v>
      </c>
      <c r="T8282">
        <v>-0.20786869999999999</v>
      </c>
      <c r="U8282">
        <v>-0.71389769999999997</v>
      </c>
      <c r="V8282">
        <v>-0.3055734</v>
      </c>
      <c r="W8282">
        <v>-3.4288550000000001E-2</v>
      </c>
      <c r="X8282">
        <v>0.95155100000000004</v>
      </c>
      <c r="Y8282">
        <v>-0.56644810000000001</v>
      </c>
      <c r="Z8282">
        <v>5.5445590000000003E-2</v>
      </c>
      <c r="AA8282">
        <v>0.82223009999999996</v>
      </c>
      <c r="AB8282">
        <v>16</v>
      </c>
      <c r="AC8282">
        <v>0.81529999999997904</v>
      </c>
      <c r="AD8282">
        <v>-6.0158999999999997E-2</v>
      </c>
      <c r="AE8282">
        <v>-0.14188999999999599</v>
      </c>
      <c r="AF8282">
        <v>-0.50630861008239703</v>
      </c>
      <c r="AG8282">
        <v>-6.0158999999999997E-2</v>
      </c>
      <c r="AH8282">
        <v>0.64908952946934995</v>
      </c>
      <c r="AI8282">
        <v>94.179690965267795</v>
      </c>
      <c r="AJ8282">
        <v>127.95526137112</v>
      </c>
      <c r="AK8282">
        <v>0.82539974024184803</v>
      </c>
      <c r="AL8282">
        <v>91.964974256103702</v>
      </c>
      <c r="AM8282">
        <v>107.80348234483201</v>
      </c>
      <c r="AN8282">
        <v>1.0000000565248199</v>
      </c>
    </row>
    <row r="8283" spans="1:40" x14ac:dyDescent="0.25">
      <c r="A8283" t="str">
        <f>"20190303154008213"</f>
        <v>20190303154008213</v>
      </c>
      <c r="B8283" t="str">
        <f>"1551598808206409"</f>
        <v>1551598808206409</v>
      </c>
      <c r="C8283" t="s">
        <v>40</v>
      </c>
      <c r="D8283">
        <v>4.3872549999999997</v>
      </c>
      <c r="E8283">
        <v>0.39379940000000002</v>
      </c>
      <c r="F8283" t="s">
        <v>44</v>
      </c>
      <c r="G8283">
        <v>-295.43549999999999</v>
      </c>
      <c r="H8283">
        <v>1.0634349999999999</v>
      </c>
      <c r="I8283">
        <v>-55.045909999999999</v>
      </c>
      <c r="J8283">
        <v>-296.28899999999999</v>
      </c>
      <c r="K8283">
        <v>1.1256759999999999</v>
      </c>
      <c r="L8283">
        <v>-54.903590000000001</v>
      </c>
      <c r="M8283">
        <v>0.67617959999999999</v>
      </c>
      <c r="N8283">
        <v>-1.4133669999999999E-2</v>
      </c>
      <c r="O8283">
        <v>-0.73660139999999996</v>
      </c>
      <c r="P8283">
        <v>0.86811749999999899</v>
      </c>
      <c r="Q8283">
        <v>-4.416254E-2</v>
      </c>
      <c r="R8283">
        <v>-0.49439080000000002</v>
      </c>
      <c r="S8283">
        <v>3.0479430000000001</v>
      </c>
      <c r="T8283">
        <v>-0.20379510000000001</v>
      </c>
      <c r="U8283">
        <v>-0.70846560000000003</v>
      </c>
      <c r="V8283">
        <v>-0.30485220000000002</v>
      </c>
      <c r="W8283">
        <v>-3.3898350000000001E-2</v>
      </c>
      <c r="X8283">
        <v>0.95179619999999998</v>
      </c>
      <c r="Y8283">
        <v>-0.56245109999999998</v>
      </c>
      <c r="Z8283">
        <v>5.400199E-2</v>
      </c>
      <c r="AA8283">
        <v>0.82506520000000005</v>
      </c>
      <c r="AB8283">
        <v>16</v>
      </c>
      <c r="AC8283">
        <v>0.85349999999999604</v>
      </c>
      <c r="AD8283">
        <v>-6.2240999999999901E-2</v>
      </c>
      <c r="AE8283">
        <v>-0.142319999999998</v>
      </c>
      <c r="AF8283">
        <v>-0.52976746867828195</v>
      </c>
      <c r="AG8283">
        <v>-6.2240999999999901E-2</v>
      </c>
      <c r="AH8283">
        <v>0.67850976245656702</v>
      </c>
      <c r="AI8283">
        <v>94.135485296866904</v>
      </c>
      <c r="AJ8283">
        <v>127.98203851826</v>
      </c>
      <c r="AK8283">
        <v>0.863077638859715</v>
      </c>
      <c r="AL8283">
        <v>91.9426045799908</v>
      </c>
      <c r="AM8283">
        <v>107.75981888974501</v>
      </c>
      <c r="AN8283">
        <v>0.999999984156001</v>
      </c>
    </row>
    <row r="8284" spans="1:40" x14ac:dyDescent="0.25">
      <c r="A8284" t="str">
        <f>"20190303154008232"</f>
        <v>20190303154008232</v>
      </c>
      <c r="B8284" t="str">
        <f>"1551598808226905"</f>
        <v>1551598808226905</v>
      </c>
      <c r="C8284" t="s">
        <v>40</v>
      </c>
      <c r="D8284">
        <v>4.3822239999999999</v>
      </c>
      <c r="E8284">
        <v>0.39474350000000002</v>
      </c>
      <c r="F8284" t="s">
        <v>44</v>
      </c>
      <c r="G8284">
        <v>-295.3329</v>
      </c>
      <c r="H8284">
        <v>1.0603450000000001</v>
      </c>
      <c r="I8284">
        <v>-55.138680000000001</v>
      </c>
      <c r="J8284">
        <v>-296.18860000000001</v>
      </c>
      <c r="K8284">
        <v>1.125659</v>
      </c>
      <c r="L8284">
        <v>-54.998049999999999</v>
      </c>
      <c r="M8284">
        <v>0.68240690000000004</v>
      </c>
      <c r="N8284">
        <v>-1.4128099999999999E-2</v>
      </c>
      <c r="O8284">
        <v>-0.73083619999999905</v>
      </c>
      <c r="P8284">
        <v>0.8714963</v>
      </c>
      <c r="Q8284">
        <v>-4.3549940000000002E-2</v>
      </c>
      <c r="R8284">
        <v>-0.48846509999999999</v>
      </c>
      <c r="S8284">
        <v>3.0224299999999999</v>
      </c>
      <c r="T8284">
        <v>-0.2064984</v>
      </c>
      <c r="U8284">
        <v>-0.74246219999999996</v>
      </c>
      <c r="V8284">
        <v>-0.3032899</v>
      </c>
      <c r="W8284">
        <v>-3.3251900000000001E-2</v>
      </c>
      <c r="X8284">
        <v>0.952318</v>
      </c>
      <c r="Y8284">
        <v>-0.544969699999999</v>
      </c>
      <c r="Z8284">
        <v>5.4379999999999998E-2</v>
      </c>
      <c r="AA8284">
        <v>0.83669039999999995</v>
      </c>
      <c r="AB8284">
        <v>16</v>
      </c>
      <c r="AC8284">
        <v>0.85570000000001301</v>
      </c>
      <c r="AD8284">
        <v>-6.5313999999999803E-2</v>
      </c>
      <c r="AE8284">
        <v>-0.140630000000008</v>
      </c>
      <c r="AF8284">
        <v>-0.52647583399499098</v>
      </c>
      <c r="AG8284">
        <v>-6.5313999999999803E-2</v>
      </c>
      <c r="AH8284">
        <v>0.68290753356413103</v>
      </c>
      <c r="AI8284">
        <v>94.331600423142504</v>
      </c>
      <c r="AJ8284">
        <v>127.629809243775</v>
      </c>
      <c r="AK8284">
        <v>0.86475743522410198</v>
      </c>
      <c r="AL8284">
        <v>91.905544773242497</v>
      </c>
      <c r="AM8284">
        <v>107.665399932055</v>
      </c>
      <c r="AN8284">
        <v>1.0000000127098101</v>
      </c>
    </row>
    <row r="8285" spans="1:40" x14ac:dyDescent="0.25">
      <c r="A8285" t="str">
        <f>"20190303154008254"</f>
        <v>20190303154008254</v>
      </c>
      <c r="B8285" t="str">
        <f>"1551598808246425"</f>
        <v>1551598808246425</v>
      </c>
      <c r="C8285" t="s">
        <v>40</v>
      </c>
      <c r="D8285">
        <v>4.3586220000000004</v>
      </c>
      <c r="E8285">
        <v>0.3962096</v>
      </c>
      <c r="F8285" t="s">
        <v>44</v>
      </c>
      <c r="G8285">
        <v>-295.22890000000001</v>
      </c>
      <c r="H8285">
        <v>1.0604020000000001</v>
      </c>
      <c r="I8285">
        <v>-55.229100000000003</v>
      </c>
      <c r="J8285">
        <v>-296.07229999999998</v>
      </c>
      <c r="K8285">
        <v>1.125632</v>
      </c>
      <c r="L8285">
        <v>-55.105440000000002</v>
      </c>
      <c r="M8285">
        <v>0.68948310000000002</v>
      </c>
      <c r="N8285">
        <v>-1.412092E-2</v>
      </c>
      <c r="O8285">
        <v>-0.72416440000000004</v>
      </c>
      <c r="P8285">
        <v>0.87548769999999998</v>
      </c>
      <c r="Q8285">
        <v>-4.3961109999999998E-2</v>
      </c>
      <c r="R8285">
        <v>-0.48123680000000002</v>
      </c>
      <c r="S8285">
        <v>3.0238339999999999</v>
      </c>
      <c r="T8285">
        <v>-0.205627</v>
      </c>
      <c r="U8285">
        <v>-0.72836299999999998</v>
      </c>
      <c r="V8285">
        <v>-0.30189169999999999</v>
      </c>
      <c r="W8285">
        <v>-3.3628280000000003E-2</v>
      </c>
      <c r="X8285">
        <v>0.95274899999999996</v>
      </c>
      <c r="Y8285">
        <v>-0.54061719999999902</v>
      </c>
      <c r="Z8285">
        <v>5.3828729999999998E-2</v>
      </c>
      <c r="AA8285">
        <v>0.83954479999999998</v>
      </c>
      <c r="AB8285">
        <v>16</v>
      </c>
      <c r="AC8285">
        <v>0.84339999999997395</v>
      </c>
      <c r="AD8285">
        <v>-6.5229999999999899E-2</v>
      </c>
      <c r="AE8285">
        <v>-0.12366000000000101</v>
      </c>
      <c r="AF8285">
        <v>-0.52249143044651702</v>
      </c>
      <c r="AG8285">
        <v>-6.5229999999999899E-2</v>
      </c>
      <c r="AH8285">
        <v>0.66721984732539796</v>
      </c>
      <c r="AI8285">
        <v>94.401472448707096</v>
      </c>
      <c r="AJ8285">
        <v>128.064046947885</v>
      </c>
      <c r="AK8285">
        <v>0.84996151233745598</v>
      </c>
      <c r="AL8285">
        <v>91.927121738089895</v>
      </c>
      <c r="AM8285">
        <v>107.581525418477</v>
      </c>
      <c r="AN8285">
        <v>1.0000000583728199</v>
      </c>
    </row>
    <row r="8286" spans="1:40" x14ac:dyDescent="0.25">
      <c r="A8286" t="str">
        <f>"20190303154008268"</f>
        <v>20190303154008268</v>
      </c>
      <c r="B8286" t="str">
        <f>"1551598808256186"</f>
        <v>1551598808256186</v>
      </c>
      <c r="C8286" t="s">
        <v>40</v>
      </c>
      <c r="D8286">
        <v>4.3824100000000001</v>
      </c>
      <c r="E8286">
        <v>0.39670509999999998</v>
      </c>
      <c r="F8286" t="s">
        <v>44</v>
      </c>
      <c r="G8286">
        <v>-295.13040000000001</v>
      </c>
      <c r="H8286">
        <v>1.0611999999999999</v>
      </c>
      <c r="I8286">
        <v>-55.327869999999997</v>
      </c>
      <c r="J8286">
        <v>-295.99599999999998</v>
      </c>
      <c r="K8286">
        <v>1.1256139999999999</v>
      </c>
      <c r="L8286">
        <v>-55.174990000000001</v>
      </c>
      <c r="M8286">
        <v>0.69405479999999997</v>
      </c>
      <c r="N8286">
        <v>-1.4115900000000001E-2</v>
      </c>
      <c r="O8286">
        <v>-0.71978399999999998</v>
      </c>
      <c r="P8286">
        <v>0.878138999999999</v>
      </c>
      <c r="Q8286">
        <v>-4.4068839999999998E-2</v>
      </c>
      <c r="R8286">
        <v>-0.47637170000000001</v>
      </c>
      <c r="S8286">
        <v>3.0239560000000001</v>
      </c>
      <c r="T8286">
        <v>-0.2068255</v>
      </c>
      <c r="U8286">
        <v>-0.71362300000000001</v>
      </c>
      <c r="V8286">
        <v>-0.30114200000000002</v>
      </c>
      <c r="W8286">
        <v>-3.3714519999999998E-2</v>
      </c>
      <c r="X8286">
        <v>0.95298309999999997</v>
      </c>
      <c r="Y8286">
        <v>-0.53915040000000003</v>
      </c>
      <c r="Z8286">
        <v>5.4078609999999999E-2</v>
      </c>
      <c r="AA8286">
        <v>0.84047150000000004</v>
      </c>
      <c r="AB8286">
        <v>16</v>
      </c>
      <c r="AC8286">
        <v>0.86559999999997195</v>
      </c>
      <c r="AD8286">
        <v>-6.4413999999999902E-2</v>
      </c>
      <c r="AE8286">
        <v>-0.15287999999999599</v>
      </c>
      <c r="AF8286">
        <v>-0.51422788006653697</v>
      </c>
      <c r="AG8286">
        <v>-6.4413999999999902E-2</v>
      </c>
      <c r="AH8286">
        <v>0.70708796081848102</v>
      </c>
      <c r="AI8286">
        <v>94.213641418775893</v>
      </c>
      <c r="AJ8286">
        <v>126.02642419232301</v>
      </c>
      <c r="AK8286">
        <v>0.87667146661002004</v>
      </c>
      <c r="AL8286">
        <v>91.932065878914898</v>
      </c>
      <c r="AM8286">
        <v>107.53650011571899</v>
      </c>
      <c r="AN8286">
        <v>0.99999998095421905</v>
      </c>
    </row>
    <row r="8287" spans="1:40" x14ac:dyDescent="0.25">
      <c r="A8287" t="str">
        <f>"20190303154008287"</f>
        <v>20190303154008287</v>
      </c>
      <c r="B8287" t="str">
        <f>"1551598808276681"</f>
        <v>1551598808276681</v>
      </c>
      <c r="C8287" t="s">
        <v>40</v>
      </c>
      <c r="D8287">
        <v>4.3529580000000001</v>
      </c>
      <c r="E8287">
        <v>0.39715349999999999</v>
      </c>
      <c r="F8287" t="s">
        <v>44</v>
      </c>
      <c r="G8287">
        <v>-295.15809999999999</v>
      </c>
      <c r="H8287">
        <v>1.068319</v>
      </c>
      <c r="I8287">
        <v>-55.369070000000001</v>
      </c>
      <c r="J8287">
        <v>-295.9006</v>
      </c>
      <c r="K8287">
        <v>1.125589</v>
      </c>
      <c r="L8287">
        <v>-55.2605</v>
      </c>
      <c r="M8287">
        <v>0.69967000000000001</v>
      </c>
      <c r="N8287">
        <v>-1.4108610000000001E-2</v>
      </c>
      <c r="O8287">
        <v>-0.71432709999999999</v>
      </c>
      <c r="P8287">
        <v>0.88101359999999995</v>
      </c>
      <c r="Q8287">
        <v>-4.4520879999999999E-2</v>
      </c>
      <c r="R8287">
        <v>-0.47099190000000002</v>
      </c>
      <c r="S8287">
        <v>3.0260009999999999</v>
      </c>
      <c r="T8287">
        <v>-0.20687759999999999</v>
      </c>
      <c r="U8287">
        <v>-0.70034790000000002</v>
      </c>
      <c r="V8287">
        <v>-0.29949009999999998</v>
      </c>
      <c r="W8287">
        <v>-3.4127900000000003E-2</v>
      </c>
      <c r="X8287">
        <v>0.95348880000000003</v>
      </c>
      <c r="Y8287">
        <v>-0.53618909999999997</v>
      </c>
      <c r="Z8287">
        <v>5.3857389999999998E-2</v>
      </c>
      <c r="AA8287">
        <v>0.84237799999999996</v>
      </c>
      <c r="AB8287">
        <v>16</v>
      </c>
      <c r="AC8287">
        <v>0.74250000000000604</v>
      </c>
      <c r="AD8287">
        <v>-5.7269999999999897E-2</v>
      </c>
      <c r="AE8287">
        <v>-0.10856999999999301</v>
      </c>
      <c r="AF8287">
        <v>-0.45183802852181398</v>
      </c>
      <c r="AG8287">
        <v>-5.7269999999999897E-2</v>
      </c>
      <c r="AH8287">
        <v>0.59366089284330403</v>
      </c>
      <c r="AI8287">
        <v>94.389660041364294</v>
      </c>
      <c r="AJ8287">
        <v>127.27492937298101</v>
      </c>
      <c r="AK8287">
        <v>0.74824508859730499</v>
      </c>
      <c r="AL8287">
        <v>91.955764482986595</v>
      </c>
      <c r="AM8287">
        <v>107.437463774625</v>
      </c>
      <c r="AN8287">
        <v>0.99999996264092905</v>
      </c>
    </row>
    <row r="8288" spans="1:40" x14ac:dyDescent="0.25">
      <c r="A8288" t="str">
        <f>"20190303154008309"</f>
        <v>20190303154008309</v>
      </c>
      <c r="B8288" t="str">
        <f>"1551598808306938"</f>
        <v>1551598808306938</v>
      </c>
      <c r="C8288" t="s">
        <v>40</v>
      </c>
      <c r="D8288">
        <v>4.498367</v>
      </c>
      <c r="E8288">
        <v>0.42683959999999999</v>
      </c>
      <c r="F8288" t="s">
        <v>44</v>
      </c>
      <c r="G8288">
        <v>-295.04919999999998</v>
      </c>
      <c r="H8288">
        <v>1.0668040000000001</v>
      </c>
      <c r="I8288">
        <v>-55.453049999999998</v>
      </c>
      <c r="J8288">
        <v>-295.78210000000001</v>
      </c>
      <c r="K8288">
        <v>1.1255379999999999</v>
      </c>
      <c r="L8288">
        <v>-55.365139999999997</v>
      </c>
      <c r="M8288">
        <v>0.70650939999999995</v>
      </c>
      <c r="N8288">
        <v>-1.409813E-2</v>
      </c>
      <c r="O8288">
        <v>-0.70756339999999995</v>
      </c>
      <c r="P8288">
        <v>0.88439780000000001</v>
      </c>
      <c r="Q8288">
        <v>-4.5187570000000003E-2</v>
      </c>
      <c r="R8288">
        <v>-0.4645418</v>
      </c>
      <c r="S8288">
        <v>3.0284119999999999</v>
      </c>
      <c r="T8288">
        <v>-0.2090815</v>
      </c>
      <c r="U8288">
        <v>-0.68499759999999998</v>
      </c>
      <c r="V8288">
        <v>-0.29725879999999999</v>
      </c>
      <c r="W8288">
        <v>-3.473917E-2</v>
      </c>
      <c r="X8288">
        <v>0.95416469999999998</v>
      </c>
      <c r="Y8288">
        <v>-0.53224090000000002</v>
      </c>
      <c r="Z8288">
        <v>5.4190139999999998E-2</v>
      </c>
      <c r="AA8288">
        <v>0.84485689999999902</v>
      </c>
      <c r="AB8288">
        <v>16</v>
      </c>
      <c r="AC8288">
        <v>0.73290000000002897</v>
      </c>
      <c r="AD8288">
        <v>-5.87339999999998E-2</v>
      </c>
      <c r="AE8288">
        <v>-8.7909999999993702E-2</v>
      </c>
      <c r="AF8288">
        <v>-0.45363721949044</v>
      </c>
      <c r="AG8288">
        <v>-5.87339999999998E-2</v>
      </c>
      <c r="AH8288">
        <v>0.57641084200036896</v>
      </c>
      <c r="AI8288">
        <v>94.578053468201702</v>
      </c>
      <c r="AJ8288">
        <v>128.20286139848301</v>
      </c>
      <c r="AK8288">
        <v>0.73585723373395795</v>
      </c>
      <c r="AL8288">
        <v>91.990808503665804</v>
      </c>
      <c r="AM8288">
        <v>107.30380914758901</v>
      </c>
      <c r="AN8288">
        <v>0.99999993941790699</v>
      </c>
    </row>
    <row r="8289" spans="1:40" x14ac:dyDescent="0.25">
      <c r="A8289" t="str">
        <f>"20190303154008323"</f>
        <v>20190303154008323</v>
      </c>
      <c r="B8289" t="str">
        <f>"1551598808316698"</f>
        <v>1551598808316698</v>
      </c>
      <c r="C8289" t="s">
        <v>40</v>
      </c>
      <c r="D8289">
        <v>4.434253</v>
      </c>
      <c r="E8289">
        <v>0.4311953</v>
      </c>
      <c r="F8289" t="s">
        <v>44</v>
      </c>
      <c r="G8289">
        <v>-294.8467</v>
      </c>
      <c r="H8289">
        <v>1.059849</v>
      </c>
      <c r="I8289">
        <v>-55.644419999999997</v>
      </c>
      <c r="J8289">
        <v>-295.7063</v>
      </c>
      <c r="K8289">
        <v>1.125502</v>
      </c>
      <c r="L8289">
        <v>-55.430759999999999</v>
      </c>
      <c r="M8289">
        <v>0.71077869999999999</v>
      </c>
      <c r="N8289">
        <v>-1.408994E-2</v>
      </c>
      <c r="O8289">
        <v>-0.70327450000000002</v>
      </c>
      <c r="P8289">
        <v>0.88650549999999995</v>
      </c>
      <c r="Q8289">
        <v>-4.5250239999999997E-2</v>
      </c>
      <c r="R8289">
        <v>-0.46050010000000002</v>
      </c>
      <c r="S8289">
        <v>2.9232179999999999</v>
      </c>
      <c r="T8289">
        <v>-0.20529210000000001</v>
      </c>
      <c r="U8289">
        <v>-0.87283330000000003</v>
      </c>
      <c r="V8289">
        <v>-0.29583959999999998</v>
      </c>
      <c r="W8289">
        <v>-3.4763580000000002E-2</v>
      </c>
      <c r="X8289">
        <v>0.95460489999999998</v>
      </c>
      <c r="Y8289">
        <v>-0.4686709</v>
      </c>
      <c r="Z8289">
        <v>5.1743610000000002E-2</v>
      </c>
      <c r="AA8289">
        <v>0.88185609999999903</v>
      </c>
      <c r="AB8289">
        <v>16</v>
      </c>
      <c r="AC8289">
        <v>0.85960000000000003</v>
      </c>
      <c r="AD8289">
        <v>-6.5652999999999906E-2</v>
      </c>
      <c r="AE8289">
        <v>-0.21365999999999699</v>
      </c>
      <c r="AF8289">
        <v>-0.450241159900375</v>
      </c>
      <c r="AG8289">
        <v>-6.5652999999999906E-2</v>
      </c>
      <c r="AH8289">
        <v>0.75716282616680097</v>
      </c>
      <c r="AI8289">
        <v>94.262266981257994</v>
      </c>
      <c r="AJ8289">
        <v>120.73751349600199</v>
      </c>
      <c r="AK8289">
        <v>0.88335890996034705</v>
      </c>
      <c r="AL8289">
        <v>91.992207728052506</v>
      </c>
      <c r="AM8289">
        <v>107.21862178363401</v>
      </c>
      <c r="AN8289">
        <v>1.00000004526329</v>
      </c>
    </row>
    <row r="8290" spans="1:40" x14ac:dyDescent="0.25">
      <c r="A8290" t="str">
        <f>"20190303154008336"</f>
        <v>20190303154008336</v>
      </c>
      <c r="B8290" t="str">
        <f>"1551598808326458"</f>
        <v>1551598808326458</v>
      </c>
      <c r="C8290" t="s">
        <v>40</v>
      </c>
      <c r="D8290">
        <v>4.4192519999999904</v>
      </c>
      <c r="E8290">
        <v>0.4340792</v>
      </c>
      <c r="F8290" t="s">
        <v>44</v>
      </c>
      <c r="G8290">
        <v>-294.79950000000002</v>
      </c>
      <c r="H8290">
        <v>1.061132</v>
      </c>
      <c r="I8290">
        <v>-55.708089999999999</v>
      </c>
      <c r="J8290">
        <v>-295.63869999999997</v>
      </c>
      <c r="K8290">
        <v>1.12547</v>
      </c>
      <c r="L8290">
        <v>-55.488860000000003</v>
      </c>
      <c r="M8290">
        <v>0.71454090000000003</v>
      </c>
      <c r="N8290">
        <v>-1.4082320000000001E-2</v>
      </c>
      <c r="O8290">
        <v>-0.69945199999999996</v>
      </c>
      <c r="P8290">
        <v>0.88828929999999995</v>
      </c>
      <c r="Q8290">
        <v>-4.537708E-2</v>
      </c>
      <c r="R8290">
        <v>-0.45703749999999999</v>
      </c>
      <c r="S8290">
        <v>2.9110719999999999</v>
      </c>
      <c r="T8290">
        <v>-0.20663200000000001</v>
      </c>
      <c r="U8290">
        <v>-0.89025880000000002</v>
      </c>
      <c r="V8290">
        <v>-0.29444179999999998</v>
      </c>
      <c r="W8290">
        <v>-3.485456E-2</v>
      </c>
      <c r="X8290">
        <v>0.95503360000000004</v>
      </c>
      <c r="Y8290">
        <v>-0.4580494</v>
      </c>
      <c r="Z8290">
        <v>5.1760420000000001E-2</v>
      </c>
      <c r="AA8290">
        <v>0.8874185</v>
      </c>
      <c r="AB8290">
        <v>16</v>
      </c>
      <c r="AC8290">
        <v>0.83919999999994799</v>
      </c>
      <c r="AD8290">
        <v>-6.4338000000000006E-2</v>
      </c>
      <c r="AE8290">
        <v>-0.21923000000001</v>
      </c>
      <c r="AF8290">
        <v>-0.42801893973577598</v>
      </c>
      <c r="AG8290">
        <v>-6.4338000000000006E-2</v>
      </c>
      <c r="AH8290">
        <v>0.74893744224760805</v>
      </c>
      <c r="AI8290">
        <v>94.265490431994493</v>
      </c>
      <c r="AJ8290">
        <v>119.74803506995799</v>
      </c>
      <c r="AK8290">
        <v>0.86501264928145905</v>
      </c>
      <c r="AL8290">
        <v>91.997423758162697</v>
      </c>
      <c r="AM8290">
        <v>107.13480113840799</v>
      </c>
      <c r="AN8290">
        <v>0.99999999553449603</v>
      </c>
    </row>
    <row r="8291" spans="1:40" x14ac:dyDescent="0.25">
      <c r="A8291" t="str">
        <f>"20190303154008348"</f>
        <v>20190303154008348</v>
      </c>
      <c r="B8291" t="str">
        <f>"1551598808336217"</f>
        <v>1551598808336217</v>
      </c>
      <c r="C8291" t="s">
        <v>40</v>
      </c>
      <c r="D8291">
        <v>4.4938969999999996</v>
      </c>
      <c r="E8291">
        <v>0.43600240000000001</v>
      </c>
      <c r="F8291" t="s">
        <v>44</v>
      </c>
      <c r="G8291">
        <v>-294.71960000000001</v>
      </c>
      <c r="H8291">
        <v>1.0611679999999999</v>
      </c>
      <c r="I8291">
        <v>-55.77364</v>
      </c>
      <c r="J8291">
        <v>-295.57229999999998</v>
      </c>
      <c r="K8291">
        <v>1.1254379999999999</v>
      </c>
      <c r="L8291">
        <v>-55.545409999999997</v>
      </c>
      <c r="M8291">
        <v>0.71819369999999905</v>
      </c>
      <c r="N8291">
        <v>-1.4074669999999999E-2</v>
      </c>
      <c r="O8291">
        <v>-0.69570109999999996</v>
      </c>
      <c r="P8291">
        <v>0.88992369999999898</v>
      </c>
      <c r="Q8291">
        <v>-4.5258020000000003E-2</v>
      </c>
      <c r="R8291">
        <v>-0.45385829999999999</v>
      </c>
      <c r="S8291">
        <v>2.9040530000000002</v>
      </c>
      <c r="T8291">
        <v>-0.2031521</v>
      </c>
      <c r="U8291">
        <v>-0.89959719999999999</v>
      </c>
      <c r="V8291">
        <v>-0.29286459999999997</v>
      </c>
      <c r="W8291">
        <v>-3.4697319999999997E-2</v>
      </c>
      <c r="X8291">
        <v>0.95552409999999999</v>
      </c>
      <c r="Y8291">
        <v>-0.45025670000000001</v>
      </c>
      <c r="Z8291">
        <v>5.0451419999999997E-2</v>
      </c>
      <c r="AA8291">
        <v>0.89147269999999901</v>
      </c>
      <c r="AB8291">
        <v>16</v>
      </c>
      <c r="AC8291">
        <v>0.85269999999997004</v>
      </c>
      <c r="AD8291">
        <v>-6.42699999999998E-2</v>
      </c>
      <c r="AE8291">
        <v>-0.22823000000000301</v>
      </c>
      <c r="AF8291">
        <v>-0.42708935051990099</v>
      </c>
      <c r="AG8291">
        <v>-6.42699999999998E-2</v>
      </c>
      <c r="AH8291">
        <v>0.76719285359418499</v>
      </c>
      <c r="AI8291">
        <v>94.186322810166004</v>
      </c>
      <c r="AJ8291">
        <v>119.104292510883</v>
      </c>
      <c r="AK8291">
        <v>0.880409462030878</v>
      </c>
      <c r="AL8291">
        <v>91.988409223953198</v>
      </c>
      <c r="AM8291">
        <v>107.040108272742</v>
      </c>
      <c r="AN8291">
        <v>0.99999994181457397</v>
      </c>
    </row>
    <row r="8292" spans="1:40" x14ac:dyDescent="0.25">
      <c r="A8292" t="str">
        <f>"20190303154008362"</f>
        <v>20190303154008362</v>
      </c>
      <c r="B8292" t="str">
        <f>"1551598808356715"</f>
        <v>1551598808356715</v>
      </c>
      <c r="C8292" t="s">
        <v>40</v>
      </c>
      <c r="D8292">
        <v>4.4454989999999999</v>
      </c>
      <c r="E8292">
        <v>0.43966450000000001</v>
      </c>
      <c r="F8292" t="s">
        <v>84</v>
      </c>
      <c r="G8292">
        <v>-279.59609999999998</v>
      </c>
      <c r="H8292" s="1">
        <v>-3.3010470000000001E-6</v>
      </c>
      <c r="I8292">
        <v>-60.51885</v>
      </c>
      <c r="J8292">
        <v>-295.50040000000001</v>
      </c>
      <c r="K8292">
        <v>1.1254010000000001</v>
      </c>
      <c r="L8292">
        <v>-55.605870000000003</v>
      </c>
      <c r="M8292">
        <v>0.72207869999999996</v>
      </c>
      <c r="N8292">
        <v>-1.406544E-2</v>
      </c>
      <c r="O8292">
        <v>-0.69166799999999995</v>
      </c>
      <c r="P8292">
        <v>0.89179379999999997</v>
      </c>
      <c r="Q8292">
        <v>-4.4896690000000003E-2</v>
      </c>
      <c r="R8292">
        <v>-0.45020949999999998</v>
      </c>
      <c r="S8292">
        <v>2.9002690000000002</v>
      </c>
      <c r="T8292">
        <v>-0.20430909999999999</v>
      </c>
      <c r="U8292">
        <v>-0.90286250000000001</v>
      </c>
      <c r="V8292">
        <v>-0.29144680000000001</v>
      </c>
      <c r="W8292">
        <v>-3.4298519999999999E-2</v>
      </c>
      <c r="X8292">
        <v>0.95597200000000004</v>
      </c>
      <c r="Y8292">
        <v>-0.44399480000000002</v>
      </c>
      <c r="Z8292">
        <v>5.0479410000000002E-2</v>
      </c>
      <c r="AA8292">
        <v>0.89460629999999997</v>
      </c>
      <c r="AB8292">
        <v>16</v>
      </c>
      <c r="AC8292">
        <v>15.904299999999999</v>
      </c>
      <c r="AD8292">
        <v>-1.1254043010470001</v>
      </c>
      <c r="AE8292">
        <v>-4.9129800000000001</v>
      </c>
      <c r="AF8292">
        <v>-7.4197588304200002</v>
      </c>
      <c r="AG8292">
        <v>-1.1254043010470001</v>
      </c>
      <c r="AH8292">
        <v>14.8160555716528</v>
      </c>
      <c r="AI8292">
        <v>93.885434064724905</v>
      </c>
      <c r="AJ8292">
        <v>116.601332166681</v>
      </c>
      <c r="AK8292">
        <v>16.6082768114189</v>
      </c>
      <c r="AL8292">
        <v>91.965545853372703</v>
      </c>
      <c r="AM8292">
        <v>106.954870071725</v>
      </c>
      <c r="AN8292">
        <v>1.0000000452442099</v>
      </c>
    </row>
    <row r="8293" spans="1:40" x14ac:dyDescent="0.25">
      <c r="A8293" t="str">
        <f>"20190303154008376"</f>
        <v>20190303154008376</v>
      </c>
      <c r="B8293" t="str">
        <f>"1551598808366474"</f>
        <v>1551598808366474</v>
      </c>
      <c r="C8293" t="s">
        <v>40</v>
      </c>
      <c r="D8293">
        <v>4.457624</v>
      </c>
      <c r="E8293">
        <v>0.4409226</v>
      </c>
      <c r="F8293" t="s">
        <v>84</v>
      </c>
      <c r="G8293">
        <v>-278.72239999999999</v>
      </c>
      <c r="H8293" s="1">
        <v>-3.0177660000000001E-6</v>
      </c>
      <c r="I8293">
        <v>-60.930579999999999</v>
      </c>
      <c r="J8293">
        <v>-295.4255</v>
      </c>
      <c r="K8293">
        <v>1.1253610000000001</v>
      </c>
      <c r="L8293">
        <v>-55.668210000000002</v>
      </c>
      <c r="M8293">
        <v>0.72606380000000004</v>
      </c>
      <c r="N8293">
        <v>-1.405559E-2</v>
      </c>
      <c r="O8293">
        <v>-0.68748379999999998</v>
      </c>
      <c r="P8293">
        <v>0.89377839999999997</v>
      </c>
      <c r="Q8293">
        <v>-4.442422E-2</v>
      </c>
      <c r="R8293">
        <v>-0.44630360000000002</v>
      </c>
      <c r="S8293">
        <v>2.8910520000000002</v>
      </c>
      <c r="T8293">
        <v>-0.1939206</v>
      </c>
      <c r="U8293">
        <v>-0.91751099999999997</v>
      </c>
      <c r="V8293">
        <v>-0.29012909999999997</v>
      </c>
      <c r="W8293">
        <v>-3.3788260000000001E-2</v>
      </c>
      <c r="X8293">
        <v>0.95639090000000004</v>
      </c>
      <c r="Y8293">
        <v>-0.43407059999999997</v>
      </c>
      <c r="Z8293">
        <v>4.7165329999999998E-2</v>
      </c>
      <c r="AA8293">
        <v>0.89964339999999998</v>
      </c>
      <c r="AB8293">
        <v>16</v>
      </c>
      <c r="AC8293">
        <v>16.703099999999999</v>
      </c>
      <c r="AD8293">
        <v>-1.125364017766</v>
      </c>
      <c r="AE8293">
        <v>-5.2623700000000104</v>
      </c>
      <c r="AF8293">
        <v>-7.6315365845859802</v>
      </c>
      <c r="AG8293">
        <v>-1.125364017766</v>
      </c>
      <c r="AH8293">
        <v>15.6821061036299</v>
      </c>
      <c r="AI8293">
        <v>93.691957236360807</v>
      </c>
      <c r="AJ8293">
        <v>115.94939702642</v>
      </c>
      <c r="AK8293">
        <v>17.476705829757002</v>
      </c>
      <c r="AL8293">
        <v>91.936293149606698</v>
      </c>
      <c r="AM8293">
        <v>106.875608520588</v>
      </c>
      <c r="AN8293">
        <v>1.0000000473917201</v>
      </c>
    </row>
    <row r="8294" spans="1:40" x14ac:dyDescent="0.25">
      <c r="A8294" t="str">
        <f>"20190303154008386"</f>
        <v>20190303154008386</v>
      </c>
      <c r="B8294" t="str">
        <f>"1551598808376234"</f>
        <v>1551598808376234</v>
      </c>
      <c r="C8294" t="s">
        <v>40</v>
      </c>
      <c r="D8294">
        <v>4.4589129999999999</v>
      </c>
      <c r="E8294">
        <v>0.44202059999999999</v>
      </c>
      <c r="F8294" t="s">
        <v>84</v>
      </c>
      <c r="G8294">
        <v>-278.1155</v>
      </c>
      <c r="H8294" s="1">
        <v>-2.8044460000000002E-6</v>
      </c>
      <c r="I8294">
        <v>-61.142049999999998</v>
      </c>
      <c r="J8294">
        <v>-295.36399999999998</v>
      </c>
      <c r="K8294">
        <v>1.125321</v>
      </c>
      <c r="L8294">
        <v>-55.719059999999999</v>
      </c>
      <c r="M8294">
        <v>0.72929049999999995</v>
      </c>
      <c r="N8294">
        <v>-1.404731E-2</v>
      </c>
      <c r="O8294">
        <v>-0.68405990000000005</v>
      </c>
      <c r="P8294">
        <v>0.89373619999999898</v>
      </c>
      <c r="Q8294">
        <v>-4.4162930000000003E-2</v>
      </c>
      <c r="R8294">
        <v>-0.44641350000000002</v>
      </c>
      <c r="S8294">
        <v>2.8907470000000002</v>
      </c>
      <c r="T8294">
        <v>-0.1879344</v>
      </c>
      <c r="U8294">
        <v>-0.91412349999999998</v>
      </c>
      <c r="V8294">
        <v>-0.28552539999999998</v>
      </c>
      <c r="W8294">
        <v>-3.3446579999999997E-2</v>
      </c>
      <c r="X8294">
        <v>0.95778730000000001</v>
      </c>
      <c r="Y8294">
        <v>-0.4308747</v>
      </c>
      <c r="Z8294">
        <v>4.5302700000000001E-2</v>
      </c>
      <c r="AA8294">
        <v>0.90127389999999996</v>
      </c>
      <c r="AB8294">
        <v>16</v>
      </c>
      <c r="AC8294">
        <v>17.2485</v>
      </c>
      <c r="AD8294">
        <v>-1.1253238044460001</v>
      </c>
      <c r="AE8294">
        <v>-5.4229899999999898</v>
      </c>
      <c r="AF8294">
        <v>-7.8145760048871002</v>
      </c>
      <c r="AG8294">
        <v>-1.1253238044460001</v>
      </c>
      <c r="AH8294">
        <v>16.227566290263301</v>
      </c>
      <c r="AI8294">
        <v>93.575152307582201</v>
      </c>
      <c r="AJ8294">
        <v>115.71368943550399</v>
      </c>
      <c r="AK8294">
        <v>18.046269961016801</v>
      </c>
      <c r="AL8294">
        <v>91.916705405509305</v>
      </c>
      <c r="AM8294">
        <v>106.599813474933</v>
      </c>
      <c r="AN8294">
        <v>0.99999996990007201</v>
      </c>
    </row>
    <row r="8295" spans="1:40" x14ac:dyDescent="0.25">
      <c r="A8295" t="str">
        <f>"20190303154008400"</f>
        <v>20190303154008400</v>
      </c>
      <c r="B8295" t="str">
        <f>"1551598808386970"</f>
        <v>1551598808386970</v>
      </c>
      <c r="C8295" t="s">
        <v>40</v>
      </c>
      <c r="D8295">
        <v>4.525201</v>
      </c>
      <c r="E8295">
        <v>0.44266149999999999</v>
      </c>
      <c r="F8295" t="s">
        <v>84</v>
      </c>
      <c r="G8295">
        <v>-277.59550000000002</v>
      </c>
      <c r="H8295" s="1">
        <v>-2.6380290000000001E-6</v>
      </c>
      <c r="I8295">
        <v>-61.396970000000003</v>
      </c>
      <c r="J8295">
        <v>-295.29739999999998</v>
      </c>
      <c r="K8295">
        <v>1.125278</v>
      </c>
      <c r="L8295">
        <v>-55.773350000000001</v>
      </c>
      <c r="M8295">
        <v>0.73271549999999996</v>
      </c>
      <c r="N8295">
        <v>-1.4037269999999999E-2</v>
      </c>
      <c r="O8295">
        <v>-0.68039050000000001</v>
      </c>
      <c r="P8295">
        <v>0.89515049999999996</v>
      </c>
      <c r="Q8295">
        <v>-4.5570970000000002E-2</v>
      </c>
      <c r="R8295">
        <v>-0.44342890000000001</v>
      </c>
      <c r="S8295">
        <v>2.886841</v>
      </c>
      <c r="T8295">
        <v>-0.1828303</v>
      </c>
      <c r="U8295">
        <v>-0.92248540000000001</v>
      </c>
      <c r="V8295">
        <v>-0.28385559999999999</v>
      </c>
      <c r="W8295">
        <v>-3.4814669999999999E-2</v>
      </c>
      <c r="X8295">
        <v>0.95823480000000005</v>
      </c>
      <c r="Y8295">
        <v>-0.42371259999999999</v>
      </c>
      <c r="Z8295">
        <v>4.3563930000000001E-2</v>
      </c>
      <c r="AA8295">
        <v>0.90474849999999996</v>
      </c>
      <c r="AB8295">
        <v>16</v>
      </c>
      <c r="AC8295">
        <v>17.701899999999899</v>
      </c>
      <c r="AD8295">
        <v>-1.1252806380289999</v>
      </c>
      <c r="AE8295">
        <v>-5.6236199999999901</v>
      </c>
      <c r="AF8295">
        <v>-7.8954903452521101</v>
      </c>
      <c r="AG8295">
        <v>-1.1252806380289999</v>
      </c>
      <c r="AH8295">
        <v>16.736934012430801</v>
      </c>
      <c r="AI8295">
        <v>93.479699796989095</v>
      </c>
      <c r="AJ8295">
        <v>115.25515196781799</v>
      </c>
      <c r="AK8295">
        <v>18.539956430443802</v>
      </c>
      <c r="AL8295">
        <v>91.9951368378034</v>
      </c>
      <c r="AM8295">
        <v>106.50074323898301</v>
      </c>
      <c r="AN8295">
        <v>0.99999999741480405</v>
      </c>
    </row>
    <row r="8296" spans="1:40" x14ac:dyDescent="0.25">
      <c r="A8296" t="str">
        <f>"20190303154008422"</f>
        <v>20190303154008422</v>
      </c>
      <c r="B8296" t="str">
        <f>"1551598808416249"</f>
        <v>1551598808416249</v>
      </c>
      <c r="C8296" t="s">
        <v>40</v>
      </c>
      <c r="D8296">
        <v>4.4975949999999996</v>
      </c>
      <c r="E8296">
        <v>0.44455499999999998</v>
      </c>
      <c r="F8296" t="s">
        <v>84</v>
      </c>
      <c r="G8296">
        <v>-277.87759999999997</v>
      </c>
      <c r="H8296" s="1">
        <v>-2.7393260000000001E-6</v>
      </c>
      <c r="I8296">
        <v>-61.308140000000002</v>
      </c>
      <c r="J8296">
        <v>-295.17579999999998</v>
      </c>
      <c r="K8296">
        <v>1.125181</v>
      </c>
      <c r="L8296">
        <v>-55.871459999999999</v>
      </c>
      <c r="M8296">
        <v>0.7388422</v>
      </c>
      <c r="N8296">
        <v>-1.401757E-2</v>
      </c>
      <c r="O8296">
        <v>-0.67373269999999996</v>
      </c>
      <c r="P8296">
        <v>0.89730449999999995</v>
      </c>
      <c r="Q8296">
        <v>-4.7702599999999998E-2</v>
      </c>
      <c r="R8296">
        <v>-0.43882680000000002</v>
      </c>
      <c r="S8296">
        <v>2.8874209999999998</v>
      </c>
      <c r="T8296">
        <v>-0.1865211</v>
      </c>
      <c r="U8296">
        <v>-0.9174194</v>
      </c>
      <c r="V8296">
        <v>-0.28001700000000002</v>
      </c>
      <c r="W8296">
        <v>-3.6860820000000002E-2</v>
      </c>
      <c r="X8296">
        <v>0.95928709999999995</v>
      </c>
      <c r="Y8296">
        <v>-0.41695500000000002</v>
      </c>
      <c r="Z8296">
        <v>4.4183809999999997E-2</v>
      </c>
      <c r="AA8296">
        <v>0.90785260000000001</v>
      </c>
      <c r="AB8296">
        <v>16</v>
      </c>
      <c r="AC8296">
        <v>17.298200000000001</v>
      </c>
      <c r="AD8296">
        <v>-1.125183739326</v>
      </c>
      <c r="AE8296">
        <v>-5.43668</v>
      </c>
      <c r="AF8296">
        <v>-7.6089651935750098</v>
      </c>
      <c r="AG8296">
        <v>-1.125183739326</v>
      </c>
      <c r="AH8296">
        <v>16.382043064092599</v>
      </c>
      <c r="AI8296">
        <v>93.564496969021206</v>
      </c>
      <c r="AJ8296">
        <v>114.91344779346301</v>
      </c>
      <c r="AK8296">
        <v>18.0978928253558</v>
      </c>
      <c r="AL8296">
        <v>92.112447991116696</v>
      </c>
      <c r="AM8296">
        <v>106.27258511440201</v>
      </c>
      <c r="AN8296">
        <v>0.99999999028324105</v>
      </c>
    </row>
    <row r="8297" spans="1:40" x14ac:dyDescent="0.25">
      <c r="A8297" t="str">
        <f>"20190303154008444"</f>
        <v>20190303154008444</v>
      </c>
      <c r="B8297" t="str">
        <f>"1551598808436747"</f>
        <v>1551598808436747</v>
      </c>
      <c r="C8297" t="s">
        <v>40</v>
      </c>
      <c r="D8297">
        <v>4.451981</v>
      </c>
      <c r="E8297">
        <v>0.44576009999999999</v>
      </c>
      <c r="F8297" t="s">
        <v>84</v>
      </c>
      <c r="G8297">
        <v>-277.87060000000002</v>
      </c>
      <c r="H8297" s="1">
        <v>-2.7495309999999999E-6</v>
      </c>
      <c r="I8297">
        <v>-61.367559999999997</v>
      </c>
      <c r="J8297">
        <v>-295.05450000000002</v>
      </c>
      <c r="K8297">
        <v>1.125076</v>
      </c>
      <c r="L8297">
        <v>-55.967680000000001</v>
      </c>
      <c r="M8297">
        <v>0.74476399999999998</v>
      </c>
      <c r="N8297">
        <v>-1.3995580000000001E-2</v>
      </c>
      <c r="O8297">
        <v>-0.66718109999999997</v>
      </c>
      <c r="P8297">
        <v>0.89913829999999995</v>
      </c>
      <c r="Q8297">
        <v>-4.9503239999999997E-2</v>
      </c>
      <c r="R8297">
        <v>-0.43485649999999998</v>
      </c>
      <c r="S8297">
        <v>2.8852540000000002</v>
      </c>
      <c r="T8297">
        <v>-0.18759919999999999</v>
      </c>
      <c r="U8297">
        <v>-0.91635129999999998</v>
      </c>
      <c r="V8297">
        <v>-0.2757114</v>
      </c>
      <c r="W8297">
        <v>-3.856855E-2</v>
      </c>
      <c r="X8297">
        <v>0.96046640000000005</v>
      </c>
      <c r="Y8297">
        <v>-0.40902169999999999</v>
      </c>
      <c r="Z8297">
        <v>4.4058609999999998E-2</v>
      </c>
      <c r="AA8297">
        <v>0.91146039999999995</v>
      </c>
      <c r="AB8297">
        <v>16</v>
      </c>
      <c r="AC8297">
        <v>17.183899999999898</v>
      </c>
      <c r="AD8297">
        <v>-1.125078749531</v>
      </c>
      <c r="AE8297">
        <v>-5.3998799999999898</v>
      </c>
      <c r="AF8297">
        <v>-7.41493756561316</v>
      </c>
      <c r="AG8297">
        <v>-1.125078749531</v>
      </c>
      <c r="AH8297">
        <v>16.338511510705001</v>
      </c>
      <c r="AI8297">
        <v>93.588044047287298</v>
      </c>
      <c r="AJ8297">
        <v>114.4100621825</v>
      </c>
      <c r="AK8297">
        <v>17.977598829655399</v>
      </c>
      <c r="AL8297">
        <v>92.210363349953596</v>
      </c>
      <c r="AM8297">
        <v>106.01665045899099</v>
      </c>
      <c r="AN8297">
        <v>1.0000000073340101</v>
      </c>
    </row>
    <row r="8298" spans="1:40" x14ac:dyDescent="0.25">
      <c r="A8298" t="str">
        <f>"20190303154008466"</f>
        <v>20190303154008466</v>
      </c>
      <c r="B8298" t="str">
        <f>"1551598808456266"</f>
        <v>1551598808456266</v>
      </c>
      <c r="C8298" t="s">
        <v>40</v>
      </c>
      <c r="D8298">
        <v>4.4936150000000001</v>
      </c>
      <c r="E8298">
        <v>0.4470056</v>
      </c>
      <c r="F8298" t="s">
        <v>84</v>
      </c>
      <c r="G8298">
        <v>-277.95429999999999</v>
      </c>
      <c r="H8298" s="1">
        <v>-2.787277E-6</v>
      </c>
      <c r="I8298">
        <v>-61.375779999999999</v>
      </c>
      <c r="J8298">
        <v>-294.93329999999997</v>
      </c>
      <c r="K8298">
        <v>1.1249670000000001</v>
      </c>
      <c r="L8298">
        <v>-56.062350000000002</v>
      </c>
      <c r="M8298">
        <v>0.75049619999999995</v>
      </c>
      <c r="N8298">
        <v>-1.397172E-2</v>
      </c>
      <c r="O8298">
        <v>-0.66072710000000001</v>
      </c>
      <c r="P8298">
        <v>0.90100570000000002</v>
      </c>
      <c r="Q8298">
        <v>-5.00718E-2</v>
      </c>
      <c r="R8298">
        <v>-0.43090820000000002</v>
      </c>
      <c r="S8298">
        <v>2.884827</v>
      </c>
      <c r="T8298">
        <v>-0.18980230000000001</v>
      </c>
      <c r="U8298">
        <v>-0.91235350000000004</v>
      </c>
      <c r="V8298">
        <v>-0.27161590000000002</v>
      </c>
      <c r="W8298">
        <v>-3.9045080000000003E-2</v>
      </c>
      <c r="X8298">
        <v>0.96161339999999995</v>
      </c>
      <c r="Y8298">
        <v>-0.4022231</v>
      </c>
      <c r="Z8298">
        <v>4.4254149999999999E-2</v>
      </c>
      <c r="AA8298">
        <v>0.91447149999999999</v>
      </c>
      <c r="AB8298">
        <v>16</v>
      </c>
      <c r="AC8298">
        <v>16.9789999999999</v>
      </c>
      <c r="AD8298">
        <v>-1.1249697872769999</v>
      </c>
      <c r="AE8298">
        <v>-5.3134300000000003</v>
      </c>
      <c r="AF8298">
        <v>-7.2026831398568696</v>
      </c>
      <c r="AG8298">
        <v>-1.1249697872769999</v>
      </c>
      <c r="AH8298">
        <v>16.1902538843744</v>
      </c>
      <c r="AI8298">
        <v>93.632571517122102</v>
      </c>
      <c r="AJ8298">
        <v>113.98321540005701</v>
      </c>
      <c r="AK8298">
        <v>17.755802495971999</v>
      </c>
      <c r="AL8298">
        <v>92.237687054333904</v>
      </c>
      <c r="AM8298">
        <v>105.77278507704401</v>
      </c>
      <c r="AN8298">
        <v>1.0000000232322801</v>
      </c>
    </row>
    <row r="8299" spans="1:40" x14ac:dyDescent="0.25">
      <c r="A8299" t="str">
        <f>"20190303154008488"</f>
        <v>20190303154008488</v>
      </c>
      <c r="B8299" t="str">
        <f>"1551598808476764"</f>
        <v>1551598808476764</v>
      </c>
      <c r="C8299" t="s">
        <v>40</v>
      </c>
      <c r="D8299">
        <v>4.5404350000000004</v>
      </c>
      <c r="E8299">
        <v>0.44788749999999999</v>
      </c>
      <c r="F8299" t="s">
        <v>84</v>
      </c>
      <c r="G8299">
        <v>-277.6746</v>
      </c>
      <c r="H8299" s="1">
        <v>-2.694844E-6</v>
      </c>
      <c r="I8299">
        <v>-61.499809999999997</v>
      </c>
      <c r="J8299">
        <v>-294.8098</v>
      </c>
      <c r="K8299">
        <v>1.124841</v>
      </c>
      <c r="L8299">
        <v>-56.157380000000003</v>
      </c>
      <c r="M8299">
        <v>0.75613419999999998</v>
      </c>
      <c r="N8299">
        <v>-1.394564E-2</v>
      </c>
      <c r="O8299">
        <v>-0.65426799999999996</v>
      </c>
      <c r="P8299">
        <v>0.90283690000000005</v>
      </c>
      <c r="Q8299">
        <v>-5.1457009999999997E-2</v>
      </c>
      <c r="R8299">
        <v>-0.42689329999999998</v>
      </c>
      <c r="S8299">
        <v>2.8845209999999999</v>
      </c>
      <c r="T8299">
        <v>-0.1880203</v>
      </c>
      <c r="U8299">
        <v>-0.90878300000000001</v>
      </c>
      <c r="V8299">
        <v>-0.26759820000000001</v>
      </c>
      <c r="W8299">
        <v>-4.0335679999999999E-2</v>
      </c>
      <c r="X8299">
        <v>0.96268589999999998</v>
      </c>
      <c r="Y8299">
        <v>-0.39541229999999999</v>
      </c>
      <c r="Z8299">
        <v>4.3365939999999999E-2</v>
      </c>
      <c r="AA8299">
        <v>0.9174795</v>
      </c>
      <c r="AB8299">
        <v>16</v>
      </c>
      <c r="AC8299">
        <v>17.135199999999902</v>
      </c>
      <c r="AD8299">
        <v>-1.1248436948439999</v>
      </c>
      <c r="AE8299">
        <v>-5.3424299999999896</v>
      </c>
      <c r="AF8299">
        <v>-7.1440580055373104</v>
      </c>
      <c r="AG8299">
        <v>-1.1248436948439999</v>
      </c>
      <c r="AH8299">
        <v>16.3891231100182</v>
      </c>
      <c r="AI8299">
        <v>93.600075131848399</v>
      </c>
      <c r="AJ8299">
        <v>113.55250241101101</v>
      </c>
      <c r="AK8299">
        <v>17.913854817979502</v>
      </c>
      <c r="AL8299">
        <v>92.3116914669056</v>
      </c>
      <c r="AM8299">
        <v>105.53435719757501</v>
      </c>
      <c r="AN8299">
        <v>0.99999995289155497</v>
      </c>
    </row>
    <row r="8300" spans="1:40" x14ac:dyDescent="0.25">
      <c r="A8300" t="str">
        <f>"20190303154008510"</f>
        <v>20190303154008510</v>
      </c>
      <c r="B8300" t="str">
        <f>"1551598808507017"</f>
        <v>1551598808507017</v>
      </c>
      <c r="C8300" t="s">
        <v>40</v>
      </c>
      <c r="D8300">
        <v>4.5173069999999997</v>
      </c>
      <c r="E8300">
        <v>0.44934649999999998</v>
      </c>
      <c r="F8300" t="s">
        <v>84</v>
      </c>
      <c r="G8300">
        <v>-277.96159999999998</v>
      </c>
      <c r="H8300" s="1">
        <v>-2.8016E-6</v>
      </c>
      <c r="I8300">
        <v>-61.426189999999998</v>
      </c>
      <c r="J8300">
        <v>-294.68639999999999</v>
      </c>
      <c r="K8300">
        <v>1.124711</v>
      </c>
      <c r="L8300">
        <v>-56.250889999999998</v>
      </c>
      <c r="M8300">
        <v>0.76154569999999999</v>
      </c>
      <c r="N8300">
        <v>-1.3916690000000001E-2</v>
      </c>
      <c r="O8300">
        <v>-0.64796209999999999</v>
      </c>
      <c r="P8300">
        <v>0.90414059999999896</v>
      </c>
      <c r="Q8300">
        <v>-5.3751439999999998E-2</v>
      </c>
      <c r="R8300">
        <v>-0.42384070000000001</v>
      </c>
      <c r="S8300">
        <v>2.8852540000000002</v>
      </c>
      <c r="T8300">
        <v>-0.1926292</v>
      </c>
      <c r="U8300">
        <v>-0.90228269999999999</v>
      </c>
      <c r="V8300">
        <v>-0.26275660000000001</v>
      </c>
      <c r="W8300">
        <v>-4.2521910000000003E-2</v>
      </c>
      <c r="X8300">
        <v>0.96392469999999997</v>
      </c>
      <c r="Y8300">
        <v>-0.3896599</v>
      </c>
      <c r="Z8300">
        <v>4.4212799999999997E-2</v>
      </c>
      <c r="AA8300">
        <v>0.91989699999999996</v>
      </c>
      <c r="AB8300">
        <v>16</v>
      </c>
      <c r="AC8300">
        <v>16.724799999999998</v>
      </c>
      <c r="AD8300">
        <v>-1.1247138016</v>
      </c>
      <c r="AE8300">
        <v>-5.1753</v>
      </c>
      <c r="AF8300">
        <v>-6.86812974882766</v>
      </c>
      <c r="AG8300">
        <v>-1.1247138016</v>
      </c>
      <c r="AH8300">
        <v>16.025513194635099</v>
      </c>
      <c r="AI8300">
        <v>93.6909223914938</v>
      </c>
      <c r="AJ8300">
        <v>113.198749589313</v>
      </c>
      <c r="AK8300">
        <v>17.471498519980099</v>
      </c>
      <c r="AL8300">
        <v>92.4370608053258</v>
      </c>
      <c r="AM8300">
        <v>105.24781806217599</v>
      </c>
      <c r="AN8300">
        <v>0.99999998547184898</v>
      </c>
    </row>
    <row r="8301" spans="1:40" x14ac:dyDescent="0.25">
      <c r="A8301" t="str">
        <f>"20190303154008533"</f>
        <v>20190303154008533</v>
      </c>
      <c r="B8301" t="str">
        <f>"1551598808526537"</f>
        <v>1551598808526537</v>
      </c>
      <c r="C8301" t="s">
        <v>40</v>
      </c>
      <c r="D8301">
        <v>4.5224159999999998</v>
      </c>
      <c r="E8301">
        <v>0.45019769999999998</v>
      </c>
      <c r="F8301" t="s">
        <v>84</v>
      </c>
      <c r="G8301">
        <v>-278.24959999999999</v>
      </c>
      <c r="H8301" s="1">
        <v>-2.919418E-6</v>
      </c>
      <c r="I8301">
        <v>-61.400379999999998</v>
      </c>
      <c r="J8301">
        <v>-294.56139999999999</v>
      </c>
      <c r="K8301">
        <v>1.1245689999999999</v>
      </c>
      <c r="L8301">
        <v>-56.344270000000002</v>
      </c>
      <c r="M8301">
        <v>0.76679819999999999</v>
      </c>
      <c r="N8301">
        <v>-1.388443E-2</v>
      </c>
      <c r="O8301">
        <v>-0.64173800000000003</v>
      </c>
      <c r="P8301">
        <v>0.90515420000000002</v>
      </c>
      <c r="Q8301">
        <v>-5.5368920000000002E-2</v>
      </c>
      <c r="R8301">
        <v>-0.42146210000000001</v>
      </c>
      <c r="S8301">
        <v>2.8829349999999998</v>
      </c>
      <c r="T8301">
        <v>-0.1972699</v>
      </c>
      <c r="U8301">
        <v>-0.90319819999999995</v>
      </c>
      <c r="V8301">
        <v>-0.25737769999999999</v>
      </c>
      <c r="W8301">
        <v>-4.4023729999999997E-2</v>
      </c>
      <c r="X8301">
        <v>0.96530749999999999</v>
      </c>
      <c r="Y8301">
        <v>-0.3816097</v>
      </c>
      <c r="Z8301">
        <v>4.4979430000000001E-2</v>
      </c>
      <c r="AA8301">
        <v>0.92322850000000001</v>
      </c>
      <c r="AB8301">
        <v>16</v>
      </c>
      <c r="AC8301">
        <v>16.311800000000002</v>
      </c>
      <c r="AD8301">
        <v>-1.1245719194179999</v>
      </c>
      <c r="AE8301">
        <v>-5.0561100000000101</v>
      </c>
      <c r="AF8301">
        <v>-6.5630614892205896</v>
      </c>
      <c r="AG8301">
        <v>-1.1245719194179999</v>
      </c>
      <c r="AH8301">
        <v>15.686055114811399</v>
      </c>
      <c r="AI8301">
        <v>93.783852519447095</v>
      </c>
      <c r="AJ8301">
        <v>112.704484129409</v>
      </c>
      <c r="AK8301">
        <v>17.040855705572199</v>
      </c>
      <c r="AL8301">
        <v>92.523189480182097</v>
      </c>
      <c r="AM8301">
        <v>104.92933173030799</v>
      </c>
      <c r="AN8301">
        <v>0.99999996940832503</v>
      </c>
    </row>
    <row r="8302" spans="1:40" x14ac:dyDescent="0.25">
      <c r="A8302" t="str">
        <f>"20190303154008555"</f>
        <v>20190303154008555</v>
      </c>
      <c r="B8302" t="str">
        <f>"1551598808547033"</f>
        <v>1551598808547033</v>
      </c>
      <c r="C8302" t="s">
        <v>40</v>
      </c>
      <c r="D8302">
        <v>4.5470699999999997</v>
      </c>
      <c r="E8302">
        <v>0.4507178</v>
      </c>
      <c r="F8302" t="s">
        <v>84</v>
      </c>
      <c r="G8302">
        <v>-278.28030000000001</v>
      </c>
      <c r="H8302" s="1">
        <v>-2.9411149999999999E-6</v>
      </c>
      <c r="I8302">
        <v>-61.438760000000002</v>
      </c>
      <c r="J8302">
        <v>-294.43619999999999</v>
      </c>
      <c r="K8302">
        <v>1.1244499999999999</v>
      </c>
      <c r="L8302">
        <v>-56.436520000000002</v>
      </c>
      <c r="M8302">
        <v>0.77186290000000002</v>
      </c>
      <c r="N8302">
        <v>-1.385256E-2</v>
      </c>
      <c r="O8302">
        <v>-0.63563819999999904</v>
      </c>
      <c r="P8302">
        <v>0.90611319999999995</v>
      </c>
      <c r="Q8302">
        <v>-5.5320569999999999E-2</v>
      </c>
      <c r="R8302">
        <v>-0.41940270000000002</v>
      </c>
      <c r="S8302">
        <v>2.882263</v>
      </c>
      <c r="T8302">
        <v>-0.1990846</v>
      </c>
      <c r="U8302">
        <v>-0.90188599999999997</v>
      </c>
      <c r="V8302">
        <v>-0.25193339999999997</v>
      </c>
      <c r="W8302">
        <v>-4.3869030000000003E-2</v>
      </c>
      <c r="X8302">
        <v>0.96674970000000005</v>
      </c>
      <c r="Y8302">
        <v>-0.37458130000000001</v>
      </c>
      <c r="Z8302">
        <v>4.5008470000000002E-2</v>
      </c>
      <c r="AA8302">
        <v>0.92610099999999995</v>
      </c>
      <c r="AB8302">
        <v>16</v>
      </c>
      <c r="AC8302">
        <v>16.1558999999999</v>
      </c>
      <c r="AD8302">
        <v>-1.1244529411149999</v>
      </c>
      <c r="AE8302">
        <v>-5.0022399999999996</v>
      </c>
      <c r="AF8302">
        <v>-6.3806729836000899</v>
      </c>
      <c r="AG8302">
        <v>-1.1244529411149999</v>
      </c>
      <c r="AH8302">
        <v>15.582374736092699</v>
      </c>
      <c r="AI8302">
        <v>93.8205432887424</v>
      </c>
      <c r="AJ8302">
        <v>112.268125148168</v>
      </c>
      <c r="AK8302">
        <v>16.875656566677598</v>
      </c>
      <c r="AL8302">
        <v>92.514317284655803</v>
      </c>
      <c r="AM8302">
        <v>104.60632495844</v>
      </c>
      <c r="AN8302">
        <v>0.99999995613939396</v>
      </c>
    </row>
    <row r="8303" spans="1:40" x14ac:dyDescent="0.25">
      <c r="A8303" t="str">
        <f>"20190303154008577"</f>
        <v>20190303154008577</v>
      </c>
      <c r="B8303" t="str">
        <f>"1551598808566553"</f>
        <v>1551598808566553</v>
      </c>
      <c r="C8303" t="s">
        <v>40</v>
      </c>
      <c r="D8303">
        <v>4.5488010000000001</v>
      </c>
      <c r="E8303">
        <v>0.45136039999999999</v>
      </c>
      <c r="F8303" t="s">
        <v>84</v>
      </c>
      <c r="G8303">
        <v>-278.19490000000002</v>
      </c>
      <c r="H8303" s="1">
        <v>-2.9185099999999999E-6</v>
      </c>
      <c r="I8303">
        <v>-61.501930000000002</v>
      </c>
      <c r="J8303">
        <v>-294.31099999999998</v>
      </c>
      <c r="K8303">
        <v>1.1243510000000001</v>
      </c>
      <c r="L8303">
        <v>-56.527529999999999</v>
      </c>
      <c r="M8303">
        <v>0.77673709999999996</v>
      </c>
      <c r="N8303">
        <v>-1.382223E-2</v>
      </c>
      <c r="O8303">
        <v>-0.62967329999999999</v>
      </c>
      <c r="P8303">
        <v>0.90753689999999998</v>
      </c>
      <c r="Q8303">
        <v>-5.4295040000000003E-2</v>
      </c>
      <c r="R8303">
        <v>-0.41644829999999999</v>
      </c>
      <c r="S8303">
        <v>2.8825379999999998</v>
      </c>
      <c r="T8303">
        <v>-0.19956969999999999</v>
      </c>
      <c r="U8303">
        <v>-0.89901730000000002</v>
      </c>
      <c r="V8303">
        <v>-0.24769450000000001</v>
      </c>
      <c r="W8303">
        <v>-4.2760739999999998E-2</v>
      </c>
      <c r="X8303">
        <v>0.96789409999999998</v>
      </c>
      <c r="Y8303">
        <v>-0.36830689999999999</v>
      </c>
      <c r="Z8303">
        <v>4.470615E-2</v>
      </c>
      <c r="AA8303">
        <v>0.92862869999999997</v>
      </c>
      <c r="AB8303">
        <v>16</v>
      </c>
      <c r="AC8303">
        <v>16.1160999999999</v>
      </c>
      <c r="AD8303">
        <v>-1.12435391851</v>
      </c>
      <c r="AE8303">
        <v>-4.9743999999999904</v>
      </c>
      <c r="AF8303">
        <v>-6.2568721660534301</v>
      </c>
      <c r="AG8303">
        <v>-1.12435391851</v>
      </c>
      <c r="AH8303">
        <v>15.5824675856519</v>
      </c>
      <c r="AI8303">
        <v>93.830740925550003</v>
      </c>
      <c r="AJ8303">
        <v>111.877079935349</v>
      </c>
      <c r="AK8303">
        <v>16.829317190376301</v>
      </c>
      <c r="AL8303">
        <v>92.450757135636806</v>
      </c>
      <c r="AM8303">
        <v>104.35453702831001</v>
      </c>
      <c r="AN8303">
        <v>1.0000000175152</v>
      </c>
    </row>
    <row r="8304" spans="1:40" x14ac:dyDescent="0.25">
      <c r="A8304" t="str">
        <f>"20190303154008599"</f>
        <v>20190303154008599</v>
      </c>
      <c r="B8304" t="str">
        <f>"1551598808596810"</f>
        <v>1551598808596810</v>
      </c>
      <c r="C8304" t="s">
        <v>40</v>
      </c>
      <c r="D8304">
        <v>4.5915540000000004</v>
      </c>
      <c r="E8304">
        <v>0.45203959999999999</v>
      </c>
      <c r="F8304" t="s">
        <v>84</v>
      </c>
      <c r="G8304">
        <v>-277.74930000000001</v>
      </c>
      <c r="H8304" s="1">
        <v>-2.763743E-6</v>
      </c>
      <c r="I8304">
        <v>-61.665520000000001</v>
      </c>
      <c r="J8304">
        <v>-294.18560000000002</v>
      </c>
      <c r="K8304">
        <v>1.124266</v>
      </c>
      <c r="L8304">
        <v>-56.617579999999997</v>
      </c>
      <c r="M8304">
        <v>0.78142650000000002</v>
      </c>
      <c r="N8304">
        <v>-1.379272E-2</v>
      </c>
      <c r="O8304">
        <v>-0.62384499999999998</v>
      </c>
      <c r="P8304">
        <v>0.90882450000000004</v>
      </c>
      <c r="Q8304">
        <v>-5.2203640000000003E-2</v>
      </c>
      <c r="R8304">
        <v>-0.41389979999999998</v>
      </c>
      <c r="S8304">
        <v>2.8834230000000001</v>
      </c>
      <c r="T8304">
        <v>-0.1957517</v>
      </c>
      <c r="U8304">
        <v>-0.89453130000000003</v>
      </c>
      <c r="V8304">
        <v>-0.24327080000000001</v>
      </c>
      <c r="W8304">
        <v>-4.0589750000000001E-2</v>
      </c>
      <c r="X8304">
        <v>0.96910879999999999</v>
      </c>
      <c r="Y8304">
        <v>-0.3628265</v>
      </c>
      <c r="Z8304">
        <v>4.3334249999999998E-2</v>
      </c>
      <c r="AA8304">
        <v>0.93084860000000003</v>
      </c>
      <c r="AB8304">
        <v>16</v>
      </c>
      <c r="AC8304">
        <v>16.436299999999999</v>
      </c>
      <c r="AD8304">
        <v>-1.124268763743</v>
      </c>
      <c r="AE8304">
        <v>-5.0479399999999899</v>
      </c>
      <c r="AF8304">
        <v>-6.2828467867437601</v>
      </c>
      <c r="AG8304">
        <v>-1.124268763743</v>
      </c>
      <c r="AH8304">
        <v>15.926319479897099</v>
      </c>
      <c r="AI8304">
        <v>93.757038313369307</v>
      </c>
      <c r="AJ8304">
        <v>111.52896581549</v>
      </c>
      <c r="AK8304">
        <v>17.157674556144599</v>
      </c>
      <c r="AL8304">
        <v>92.3262603393907</v>
      </c>
      <c r="AM8304">
        <v>104.091518352942</v>
      </c>
      <c r="AN8304">
        <v>1.00000003808757</v>
      </c>
    </row>
    <row r="8305" spans="1:40" x14ac:dyDescent="0.25">
      <c r="A8305" t="str">
        <f>"20190303154008623"</f>
        <v>20190303154008623</v>
      </c>
      <c r="B8305" t="str">
        <f>"1551598808616329"</f>
        <v>1551598808616329</v>
      </c>
      <c r="C8305" t="s">
        <v>40</v>
      </c>
      <c r="D8305">
        <v>4.5958310000000004</v>
      </c>
      <c r="E8305">
        <v>0.45244040000000002</v>
      </c>
      <c r="F8305" t="s">
        <v>84</v>
      </c>
      <c r="G8305">
        <v>-277.13049999999998</v>
      </c>
      <c r="H8305" s="1">
        <v>-2.5477679999999999E-6</v>
      </c>
      <c r="I8305">
        <v>-61.888080000000002</v>
      </c>
      <c r="J8305">
        <v>-294.05590000000001</v>
      </c>
      <c r="K8305">
        <v>1.12417099999999</v>
      </c>
      <c r="L8305">
        <v>-56.709530000000001</v>
      </c>
      <c r="M8305">
        <v>0.78606919999999902</v>
      </c>
      <c r="N8305">
        <v>-1.3761499999999999E-2</v>
      </c>
      <c r="O8305">
        <v>-0.61798549999999997</v>
      </c>
      <c r="P8305">
        <v>0.91025690000000004</v>
      </c>
      <c r="Q8305">
        <v>-4.9675150000000001E-2</v>
      </c>
      <c r="R8305">
        <v>-0.41105399999999997</v>
      </c>
      <c r="S8305">
        <v>2.8840940000000002</v>
      </c>
      <c r="T8305">
        <v>-0.19011900000000001</v>
      </c>
      <c r="U8305">
        <v>-0.89126589999999895</v>
      </c>
      <c r="V8305">
        <v>-0.23917340000000001</v>
      </c>
      <c r="W8305">
        <v>-3.7986489999999998E-2</v>
      </c>
      <c r="X8305">
        <v>0.97023360000000003</v>
      </c>
      <c r="Y8305">
        <v>-0.35698560000000001</v>
      </c>
      <c r="Z8305">
        <v>4.1504930000000002E-2</v>
      </c>
      <c r="AA8305">
        <v>0.9331874</v>
      </c>
      <c r="AB8305">
        <v>16</v>
      </c>
      <c r="AC8305">
        <v>16.9254</v>
      </c>
      <c r="AD8305">
        <v>-1.1241735477679899</v>
      </c>
      <c r="AE8305">
        <v>-5.1785499999999898</v>
      </c>
      <c r="AF8305">
        <v>-6.3638861262867703</v>
      </c>
      <c r="AG8305">
        <v>-1.1241735477679899</v>
      </c>
      <c r="AH8305">
        <v>16.440047997862202</v>
      </c>
      <c r="AI8305">
        <v>93.648764600096897</v>
      </c>
      <c r="AJ8305">
        <v>111.16124944707499</v>
      </c>
      <c r="AK8305">
        <v>17.664597107374401</v>
      </c>
      <c r="AL8305">
        <v>92.176989187429101</v>
      </c>
      <c r="AM8305">
        <v>103.84795177764001</v>
      </c>
      <c r="AN8305">
        <v>1.0000000636295101</v>
      </c>
    </row>
    <row r="8306" spans="1:40" x14ac:dyDescent="0.25">
      <c r="A8306" t="str">
        <f>"20190303154008645"</f>
        <v>20190303154008645</v>
      </c>
      <c r="B8306" t="str">
        <f>"1551598808636826"</f>
        <v>1551598808636826</v>
      </c>
      <c r="C8306" t="s">
        <v>40</v>
      </c>
      <c r="D8306">
        <v>4.5836980000000001</v>
      </c>
      <c r="E8306">
        <v>0.4528855</v>
      </c>
      <c r="F8306" t="s">
        <v>84</v>
      </c>
      <c r="G8306">
        <v>-276.36689999999999</v>
      </c>
      <c r="H8306" s="1">
        <v>-2.2752440000000002E-6</v>
      </c>
      <c r="I8306">
        <v>-62.135680000000001</v>
      </c>
      <c r="J8306">
        <v>-293.9271</v>
      </c>
      <c r="K8306">
        <v>1.1240760000000001</v>
      </c>
      <c r="L8306">
        <v>-56.799680000000002</v>
      </c>
      <c r="M8306">
        <v>0.79048430000000003</v>
      </c>
      <c r="N8306">
        <v>-1.372949E-2</v>
      </c>
      <c r="O8306">
        <v>-0.61232839999999999</v>
      </c>
      <c r="P8306">
        <v>0.91131510000000004</v>
      </c>
      <c r="Q8306">
        <v>-4.9702740000000002E-2</v>
      </c>
      <c r="R8306">
        <v>-0.40869840000000002</v>
      </c>
      <c r="S8306">
        <v>2.8859859999999999</v>
      </c>
      <c r="T8306">
        <v>-0.18341060000000001</v>
      </c>
      <c r="U8306">
        <v>-0.88528439999999997</v>
      </c>
      <c r="V8306">
        <v>-0.23472860000000001</v>
      </c>
      <c r="W8306">
        <v>-3.793829E-2</v>
      </c>
      <c r="X8306">
        <v>0.97132030000000003</v>
      </c>
      <c r="Y8306">
        <v>-0.35233629999999999</v>
      </c>
      <c r="Z8306">
        <v>3.9472489999999999E-2</v>
      </c>
      <c r="AA8306">
        <v>0.93504069999999995</v>
      </c>
      <c r="AB8306">
        <v>16</v>
      </c>
      <c r="AC8306">
        <v>17.560199999999998</v>
      </c>
      <c r="AD8306">
        <v>-1.1240782752439999</v>
      </c>
      <c r="AE8306">
        <v>-5.3360000000000003</v>
      </c>
      <c r="AF8306">
        <v>-6.5107772688934302</v>
      </c>
      <c r="AG8306">
        <v>-1.1240782752439999</v>
      </c>
      <c r="AH8306">
        <v>17.085969226916198</v>
      </c>
      <c r="AI8306">
        <v>93.517964085839495</v>
      </c>
      <c r="AJ8306">
        <v>110.859836176795</v>
      </c>
      <c r="AK8306">
        <v>18.318955129513899</v>
      </c>
      <c r="AL8306">
        <v>92.174225726591104</v>
      </c>
      <c r="AM8306">
        <v>103.585593322999</v>
      </c>
      <c r="AN8306">
        <v>0.99999997734908597</v>
      </c>
    </row>
    <row r="8307" spans="1:40" x14ac:dyDescent="0.25">
      <c r="A8307" t="str">
        <f>"20190303154008667"</f>
        <v>20190303154008667</v>
      </c>
      <c r="B8307" t="str">
        <f>"1551598808656348"</f>
        <v>1551598808656348</v>
      </c>
      <c r="C8307" t="s">
        <v>40</v>
      </c>
      <c r="D8307">
        <v>4.6001760000000003</v>
      </c>
      <c r="E8307">
        <v>0.45335779999999998</v>
      </c>
      <c r="F8307" t="s">
        <v>84</v>
      </c>
      <c r="G8307">
        <v>-276.2165</v>
      </c>
      <c r="H8307" s="1">
        <v>-2.2261409999999998E-6</v>
      </c>
      <c r="I8307">
        <v>-62.205019999999998</v>
      </c>
      <c r="J8307">
        <v>-293.80360000000002</v>
      </c>
      <c r="K8307">
        <v>1.123964</v>
      </c>
      <c r="L8307">
        <v>-56.885219999999997</v>
      </c>
      <c r="M8307">
        <v>0.79455259999999905</v>
      </c>
      <c r="N8307">
        <v>-1.3699340000000001E-2</v>
      </c>
      <c r="O8307">
        <v>-0.60704089999999999</v>
      </c>
      <c r="P8307">
        <v>0.91238050000000004</v>
      </c>
      <c r="Q8307">
        <v>-5.0483930000000003E-2</v>
      </c>
      <c r="R8307">
        <v>-0.40621829999999998</v>
      </c>
      <c r="S8307">
        <v>2.886841</v>
      </c>
      <c r="T8307">
        <v>-0.1832252</v>
      </c>
      <c r="U8307">
        <v>-0.881073</v>
      </c>
      <c r="V8307">
        <v>-0.23086880000000001</v>
      </c>
      <c r="W8307">
        <v>-3.8652220000000001E-2</v>
      </c>
      <c r="X8307">
        <v>0.97221679999999999</v>
      </c>
      <c r="Y8307">
        <v>-0.34742909999999999</v>
      </c>
      <c r="Z8307">
        <v>3.9093660000000002E-2</v>
      </c>
      <c r="AA8307">
        <v>0.93689100000000003</v>
      </c>
      <c r="AB8307">
        <v>16</v>
      </c>
      <c r="AC8307">
        <v>17.5871</v>
      </c>
      <c r="AD8307">
        <v>-1.1239662261409999</v>
      </c>
      <c r="AE8307">
        <v>-5.3197999999999999</v>
      </c>
      <c r="AF8307">
        <v>-6.4257879659658501</v>
      </c>
      <c r="AG8307">
        <v>-1.1239662261409999</v>
      </c>
      <c r="AH8307">
        <v>17.140686054972701</v>
      </c>
      <c r="AI8307">
        <v>93.513563285558206</v>
      </c>
      <c r="AJ8307">
        <v>110.550273823837</v>
      </c>
      <c r="AK8307">
        <v>18.3400427888321</v>
      </c>
      <c r="AL8307">
        <v>92.215160988704298</v>
      </c>
      <c r="AM8307">
        <v>103.35839477267</v>
      </c>
      <c r="AN8307">
        <v>0.99999995156330301</v>
      </c>
    </row>
    <row r="8308" spans="1:40" x14ac:dyDescent="0.25">
      <c r="A8308" t="str">
        <f>"20190303154008689"</f>
        <v>20190303154008689</v>
      </c>
      <c r="B8308" t="str">
        <f>"1551598808676846"</f>
        <v>1551598808676846</v>
      </c>
      <c r="C8308" t="s">
        <v>40</v>
      </c>
      <c r="D8308">
        <v>4.5962290000000001</v>
      </c>
      <c r="E8308">
        <v>0.45385750000000002</v>
      </c>
      <c r="F8308" t="s">
        <v>84</v>
      </c>
      <c r="G8308">
        <v>-276.28250000000003</v>
      </c>
      <c r="H8308" s="1">
        <v>-2.2543510000000001E-6</v>
      </c>
      <c r="I8308">
        <v>-62.204569999999997</v>
      </c>
      <c r="J8308">
        <v>-293.67559999999997</v>
      </c>
      <c r="K8308">
        <v>1.1238490000000001</v>
      </c>
      <c r="L8308">
        <v>-56.97278</v>
      </c>
      <c r="M8308">
        <v>0.79860039999999999</v>
      </c>
      <c r="N8308">
        <v>-1.366998E-2</v>
      </c>
      <c r="O8308">
        <v>-0.60170630000000003</v>
      </c>
      <c r="P8308">
        <v>0.91359579999999996</v>
      </c>
      <c r="Q8308">
        <v>-5.2828269999999997E-2</v>
      </c>
      <c r="R8308">
        <v>-0.40317760000000002</v>
      </c>
      <c r="S8308">
        <v>2.887543</v>
      </c>
      <c r="T8308">
        <v>-0.1852338</v>
      </c>
      <c r="U8308">
        <v>-0.87664789999999904</v>
      </c>
      <c r="V8308">
        <v>-0.22751160000000001</v>
      </c>
      <c r="W8308">
        <v>-4.0936279999999999E-2</v>
      </c>
      <c r="X8308">
        <v>0.97291450000000002</v>
      </c>
      <c r="Y8308">
        <v>-0.34250609999999998</v>
      </c>
      <c r="Z8308">
        <v>3.9252259999999997E-2</v>
      </c>
      <c r="AA8308">
        <v>0.93869530000000001</v>
      </c>
      <c r="AB8308">
        <v>16</v>
      </c>
      <c r="AC8308">
        <v>17.393099999999901</v>
      </c>
      <c r="AD8308">
        <v>-1.123851254351</v>
      </c>
      <c r="AE8308">
        <v>-5.2317899999999797</v>
      </c>
      <c r="AF8308">
        <v>-6.2640331605811701</v>
      </c>
      <c r="AG8308">
        <v>-1.123851254351</v>
      </c>
      <c r="AH8308">
        <v>16.974739852160301</v>
      </c>
      <c r="AI8308">
        <v>93.554249267827203</v>
      </c>
      <c r="AJ8308">
        <v>110.25511294944</v>
      </c>
      <c r="AK8308">
        <v>18.128511966713798</v>
      </c>
      <c r="AL8308">
        <v>92.346131731164604</v>
      </c>
      <c r="AM8308">
        <v>103.161844621226</v>
      </c>
      <c r="AN8308">
        <v>0.99999996573252303</v>
      </c>
    </row>
    <row r="8309" spans="1:40" x14ac:dyDescent="0.25">
      <c r="A8309" t="str">
        <f>"20190303154008711"</f>
        <v>20190303154008711</v>
      </c>
      <c r="B8309" t="str">
        <f>"1551598808707098"</f>
        <v>1551598808707098</v>
      </c>
      <c r="C8309" t="s">
        <v>40</v>
      </c>
      <c r="D8309">
        <v>4.5701729999999996</v>
      </c>
      <c r="E8309">
        <v>0.45453769999999999</v>
      </c>
      <c r="F8309" t="s">
        <v>84</v>
      </c>
      <c r="G8309">
        <v>-276.79160000000002</v>
      </c>
      <c r="H8309" s="1">
        <v>-2.441122E-6</v>
      </c>
      <c r="I8309">
        <v>-62.062269999999998</v>
      </c>
      <c r="J8309">
        <v>-293.54570000000001</v>
      </c>
      <c r="K8309">
        <v>1.1237469999999901</v>
      </c>
      <c r="L8309">
        <v>-57.06073</v>
      </c>
      <c r="M8309">
        <v>0.80253830000000004</v>
      </c>
      <c r="N8309">
        <v>-1.362814E-2</v>
      </c>
      <c r="O8309">
        <v>-0.59644529999999996</v>
      </c>
      <c r="P8309">
        <v>0.91534090000000001</v>
      </c>
      <c r="Q8309">
        <v>-5.4120700000000001E-2</v>
      </c>
      <c r="R8309">
        <v>-0.39902690000000002</v>
      </c>
      <c r="S8309">
        <v>2.8883670000000001</v>
      </c>
      <c r="T8309">
        <v>-0.19225880000000001</v>
      </c>
      <c r="U8309">
        <v>-0.87066650000000001</v>
      </c>
      <c r="V8309">
        <v>-0.22549050000000001</v>
      </c>
      <c r="W8309">
        <v>-4.2199929999999997E-2</v>
      </c>
      <c r="X8309">
        <v>0.97333099999999995</v>
      </c>
      <c r="Y8309">
        <v>-0.33808840000000001</v>
      </c>
      <c r="Z8309">
        <v>4.0650409999999998E-2</v>
      </c>
      <c r="AA8309">
        <v>0.94023599999999996</v>
      </c>
      <c r="AB8309">
        <v>16</v>
      </c>
      <c r="AC8309">
        <v>16.754099999999902</v>
      </c>
      <c r="AD8309">
        <v>-1.1237494411219999</v>
      </c>
      <c r="AE8309">
        <v>-5.0015399999999897</v>
      </c>
      <c r="AF8309">
        <v>-5.9549328259065302</v>
      </c>
      <c r="AG8309">
        <v>-1.1237494411219999</v>
      </c>
      <c r="AH8309">
        <v>16.362884272058601</v>
      </c>
      <c r="AI8309">
        <v>93.692512305242502</v>
      </c>
      <c r="AJ8309">
        <v>109.997928369748</v>
      </c>
      <c r="AK8309">
        <v>17.449011991177699</v>
      </c>
      <c r="AL8309">
        <v>92.418596057706395</v>
      </c>
      <c r="AM8309">
        <v>103.043546828019</v>
      </c>
      <c r="AN8309">
        <v>1.0000000176216199</v>
      </c>
    </row>
    <row r="8310" spans="1:40" x14ac:dyDescent="0.25">
      <c r="A8310" t="str">
        <f>"20190303154008734"</f>
        <v>20190303154008734</v>
      </c>
      <c r="B8310" t="str">
        <f>"1551598808726621"</f>
        <v>1551598808726621</v>
      </c>
      <c r="C8310" t="s">
        <v>40</v>
      </c>
      <c r="D8310">
        <v>4.6280650000000003</v>
      </c>
      <c r="E8310">
        <v>0.45496720000000002</v>
      </c>
      <c r="F8310" t="s">
        <v>84</v>
      </c>
      <c r="G8310">
        <v>-277.00490000000002</v>
      </c>
      <c r="H8310" s="1">
        <v>-2.5182709999999999E-6</v>
      </c>
      <c r="I8310">
        <v>-61.997770000000003</v>
      </c>
      <c r="J8310">
        <v>-293.41930000000002</v>
      </c>
      <c r="K8310">
        <v>1.1236679999999999</v>
      </c>
      <c r="L8310">
        <v>-57.145319999999998</v>
      </c>
      <c r="M8310">
        <v>0.80623719999999999</v>
      </c>
      <c r="N8310">
        <v>-1.3534269999999999E-2</v>
      </c>
      <c r="O8310">
        <v>-0.59143780000000001</v>
      </c>
      <c r="P8310">
        <v>0.91717130000000002</v>
      </c>
      <c r="Q8310">
        <v>-5.3385450000000001E-2</v>
      </c>
      <c r="R8310">
        <v>-0.3949011</v>
      </c>
      <c r="S8310">
        <v>2.8898320000000002</v>
      </c>
      <c r="T8310">
        <v>-0.1963298</v>
      </c>
      <c r="U8310">
        <v>-0.8625488</v>
      </c>
      <c r="V8310">
        <v>-0.22384899999999999</v>
      </c>
      <c r="W8310">
        <v>-4.1511689999999997E-2</v>
      </c>
      <c r="X8310">
        <v>0.97373940000000003</v>
      </c>
      <c r="Y8310">
        <v>-0.33472829999999998</v>
      </c>
      <c r="Z8310">
        <v>4.1374699999999903E-2</v>
      </c>
      <c r="AA8310">
        <v>0.94140590000000002</v>
      </c>
      <c r="AB8310">
        <v>16</v>
      </c>
      <c r="AC8310">
        <v>16.414400000000001</v>
      </c>
      <c r="AD8310">
        <v>-1.1236705182709901</v>
      </c>
      <c r="AE8310">
        <v>-4.8524499999999904</v>
      </c>
      <c r="AF8310">
        <v>-5.7715277938259399</v>
      </c>
      <c r="AG8310">
        <v>-1.1236705182709901</v>
      </c>
      <c r="AH8310">
        <v>16.036184884849501</v>
      </c>
      <c r="AI8310">
        <v>93.772098844944793</v>
      </c>
      <c r="AJ8310">
        <v>109.79413564560301</v>
      </c>
      <c r="AK8310">
        <v>17.080175472448001</v>
      </c>
      <c r="AL8310">
        <v>92.379128248051501</v>
      </c>
      <c r="AM8310">
        <v>102.946557694494</v>
      </c>
      <c r="AN8310">
        <v>1.0000000071599999</v>
      </c>
    </row>
    <row r="8311" spans="1:40" x14ac:dyDescent="0.25">
      <c r="A8311" t="str">
        <f>"20190303154008755"</f>
        <v>20190303154008755</v>
      </c>
      <c r="B8311" t="str">
        <f>"1551598808747114"</f>
        <v>1551598808747114</v>
      </c>
      <c r="C8311" t="s">
        <v>40</v>
      </c>
      <c r="D8311">
        <v>4.6521379999999999</v>
      </c>
      <c r="E8311">
        <v>0.45543650000000002</v>
      </c>
      <c r="F8311" t="s">
        <v>84</v>
      </c>
      <c r="G8311">
        <v>-276.71730000000002</v>
      </c>
      <c r="H8311" s="1">
        <v>-2.4107550000000001E-6</v>
      </c>
      <c r="I8311">
        <v>-62.069110000000002</v>
      </c>
      <c r="J8311">
        <v>-293.29180000000002</v>
      </c>
      <c r="K8311">
        <v>1.1235949999999999</v>
      </c>
      <c r="L8311">
        <v>-57.22974</v>
      </c>
      <c r="M8311">
        <v>0.80986000000000002</v>
      </c>
      <c r="N8311">
        <v>-1.328842E-2</v>
      </c>
      <c r="O8311">
        <v>-0.58647269999999996</v>
      </c>
      <c r="P8311">
        <v>0.91913860000000003</v>
      </c>
      <c r="Q8311">
        <v>-5.179127E-2</v>
      </c>
      <c r="R8311">
        <v>-0.3905151</v>
      </c>
      <c r="S8311">
        <v>2.8924259999999999</v>
      </c>
      <c r="T8311">
        <v>-0.19459509999999999</v>
      </c>
      <c r="U8311">
        <v>-0.85269169999999905</v>
      </c>
      <c r="V8311">
        <v>-0.2225789</v>
      </c>
      <c r="W8311">
        <v>-4.0136140000000001E-2</v>
      </c>
      <c r="X8311">
        <v>0.97408810000000001</v>
      </c>
      <c r="Y8311">
        <v>-0.33215</v>
      </c>
      <c r="Z8311">
        <v>4.0777920000000002E-2</v>
      </c>
      <c r="AA8311">
        <v>0.94234470000000004</v>
      </c>
      <c r="AB8311">
        <v>16</v>
      </c>
      <c r="AC8311">
        <v>16.5745</v>
      </c>
      <c r="AD8311">
        <v>-1.123597410755</v>
      </c>
      <c r="AE8311">
        <v>-4.83936999999999</v>
      </c>
      <c r="AF8311">
        <v>-5.7773271921543099</v>
      </c>
      <c r="AG8311">
        <v>-1.123597410755</v>
      </c>
      <c r="AH8311">
        <v>16.1940436123148</v>
      </c>
      <c r="AI8311">
        <v>93.738918748421995</v>
      </c>
      <c r="AJ8311">
        <v>109.634179349384</v>
      </c>
      <c r="AK8311">
        <v>17.230410010914301</v>
      </c>
      <c r="AL8311">
        <v>92.300249403986797</v>
      </c>
      <c r="AM8311">
        <v>102.87109923784099</v>
      </c>
      <c r="AN8311">
        <v>0.99999995151045795</v>
      </c>
    </row>
    <row r="8312" spans="1:40" x14ac:dyDescent="0.25">
      <c r="A8312" t="str">
        <f>"20190303154008778"</f>
        <v>20190303154008778</v>
      </c>
      <c r="B8312" t="str">
        <f>"1551598808766637"</f>
        <v>1551598808766637</v>
      </c>
      <c r="C8312" t="s">
        <v>40</v>
      </c>
      <c r="D8312">
        <v>4.6262429999999997</v>
      </c>
      <c r="E8312">
        <v>0.45588489999999998</v>
      </c>
      <c r="F8312" t="s">
        <v>84</v>
      </c>
      <c r="G8312">
        <v>-276.11919999999998</v>
      </c>
      <c r="H8312" s="1">
        <v>-2.1889319999999999E-6</v>
      </c>
      <c r="I8312">
        <v>-62.22533</v>
      </c>
      <c r="J8312">
        <v>-293.1626</v>
      </c>
      <c r="K8312">
        <v>1.1235280000000001</v>
      </c>
      <c r="L8312">
        <v>-57.314329999999998</v>
      </c>
      <c r="M8312">
        <v>0.81338080000000001</v>
      </c>
      <c r="N8312">
        <v>-1.305825E-2</v>
      </c>
      <c r="O8312">
        <v>-0.58158529999999997</v>
      </c>
      <c r="P8312">
        <v>0.92125639999999998</v>
      </c>
      <c r="Q8312">
        <v>-5.1264730000000001E-2</v>
      </c>
      <c r="R8312">
        <v>-0.3855633</v>
      </c>
      <c r="S8312">
        <v>2.8953859999999998</v>
      </c>
      <c r="T8312">
        <v>-0.18944449999999999</v>
      </c>
      <c r="U8312">
        <v>-0.84228519999999896</v>
      </c>
      <c r="V8312">
        <v>-0.22197420000000001</v>
      </c>
      <c r="W8312">
        <v>-3.9817869999999998E-2</v>
      </c>
      <c r="X8312">
        <v>0.97423919999999997</v>
      </c>
      <c r="Y8312">
        <v>-0.32993460000000002</v>
      </c>
      <c r="Z8312">
        <v>3.937624E-2</v>
      </c>
      <c r="AA8312">
        <v>0.94318219999999997</v>
      </c>
      <c r="AB8312">
        <v>16</v>
      </c>
      <c r="AC8312">
        <v>17.043399999999998</v>
      </c>
      <c r="AD8312">
        <v>-1.123530188932</v>
      </c>
      <c r="AE8312">
        <v>-4.9109999999999996</v>
      </c>
      <c r="AF8312">
        <v>-5.8945295776000401</v>
      </c>
      <c r="AG8312">
        <v>-1.123530188932</v>
      </c>
      <c r="AH8312">
        <v>16.653540158455201</v>
      </c>
      <c r="AI8312">
        <v>93.639031382174196</v>
      </c>
      <c r="AJ8312">
        <v>109.491444902056</v>
      </c>
      <c r="AK8312">
        <v>17.7016439585684</v>
      </c>
      <c r="AL8312">
        <v>92.281999144538005</v>
      </c>
      <c r="AM8312">
        <v>102.835366178795</v>
      </c>
      <c r="AN8312">
        <v>1.0000000135267999</v>
      </c>
    </row>
    <row r="8313" spans="1:40" x14ac:dyDescent="0.25">
      <c r="A8313" t="str">
        <f>"20190303154008801"</f>
        <v>20190303154008801</v>
      </c>
      <c r="B8313" t="str">
        <f>"1551598808796890"</f>
        <v>1551598808796890</v>
      </c>
      <c r="C8313" t="s">
        <v>40</v>
      </c>
      <c r="D8313">
        <v>4.672644</v>
      </c>
      <c r="E8313">
        <v>0.46796579999999899</v>
      </c>
      <c r="F8313" t="s">
        <v>84</v>
      </c>
      <c r="G8313">
        <v>-275.80680000000001</v>
      </c>
      <c r="H8313" s="1">
        <v>-2.0677999999999999E-6</v>
      </c>
      <c r="I8313">
        <v>-62.283380000000001</v>
      </c>
      <c r="J8313">
        <v>-293.02769999999998</v>
      </c>
      <c r="K8313">
        <v>1.1234580000000001</v>
      </c>
      <c r="L8313">
        <v>-57.401609999999998</v>
      </c>
      <c r="M8313">
        <v>0.81690309999999999</v>
      </c>
      <c r="N8313">
        <v>-1.294233E-2</v>
      </c>
      <c r="O8313">
        <v>-0.57662979999999997</v>
      </c>
      <c r="P8313">
        <v>0.92371349999999997</v>
      </c>
      <c r="Q8313">
        <v>-5.2868520000000002E-2</v>
      </c>
      <c r="R8313">
        <v>-0.37941849999999999</v>
      </c>
      <c r="S8313">
        <v>2.8986510000000001</v>
      </c>
      <c r="T8313">
        <v>-0.18764410000000001</v>
      </c>
      <c r="U8313">
        <v>-0.82989500000000005</v>
      </c>
      <c r="V8313">
        <v>-0.22248280000000001</v>
      </c>
      <c r="W8313">
        <v>-4.1510129999999999E-2</v>
      </c>
      <c r="X8313">
        <v>0.97405249999999999</v>
      </c>
      <c r="Y8313">
        <v>-0.32823570000000002</v>
      </c>
      <c r="Z8313">
        <v>3.8747950000000003E-2</v>
      </c>
      <c r="AA8313">
        <v>0.9438008</v>
      </c>
      <c r="AB8313">
        <v>16</v>
      </c>
      <c r="AC8313">
        <v>17.220899999999901</v>
      </c>
      <c r="AD8313">
        <v>-1.1234600678</v>
      </c>
      <c r="AE8313">
        <v>-4.8817700000000004</v>
      </c>
      <c r="AF8313">
        <v>-5.9193296293812301</v>
      </c>
      <c r="AG8313">
        <v>-1.1234600678</v>
      </c>
      <c r="AH8313">
        <v>16.8179405849929</v>
      </c>
      <c r="AI8313">
        <v>93.605568717056599</v>
      </c>
      <c r="AJ8313">
        <v>109.390293831024</v>
      </c>
      <c r="AK8313">
        <v>17.864594910200498</v>
      </c>
      <c r="AL8313">
        <v>92.379038854245096</v>
      </c>
      <c r="AM8313">
        <v>102.866181590309</v>
      </c>
      <c r="AN8313">
        <v>0.99999997997235301</v>
      </c>
    </row>
    <row r="8314" spans="1:40" x14ac:dyDescent="0.25">
      <c r="A8314" t="str">
        <f>"20190303154008824"</f>
        <v>20190303154008824</v>
      </c>
      <c r="B8314" t="str">
        <f>"1551598808816410"</f>
        <v>1551598808816410</v>
      </c>
      <c r="C8314" t="s">
        <v>40</v>
      </c>
      <c r="D8314">
        <v>4.6634710000000004</v>
      </c>
      <c r="E8314">
        <v>0.46906809999999899</v>
      </c>
      <c r="F8314" t="s">
        <v>84</v>
      </c>
      <c r="G8314">
        <v>-277.94159999999999</v>
      </c>
      <c r="H8314" s="1">
        <v>-2.9495899999999998E-6</v>
      </c>
      <c r="I8314">
        <v>-62.1303699999999</v>
      </c>
      <c r="J8314">
        <v>-292.89920000000001</v>
      </c>
      <c r="K8314">
        <v>1.123373</v>
      </c>
      <c r="L8314">
        <v>-57.48404</v>
      </c>
      <c r="M8314">
        <v>0.82015319999999903</v>
      </c>
      <c r="N8314">
        <v>-1.288337E-2</v>
      </c>
      <c r="O8314">
        <v>-0.57199909999999998</v>
      </c>
      <c r="P8314">
        <v>0.92611719999999997</v>
      </c>
      <c r="Q8314">
        <v>-5.5919580000000003E-2</v>
      </c>
      <c r="R8314">
        <v>-0.37306830000000002</v>
      </c>
      <c r="S8314">
        <v>2.8664860000000001</v>
      </c>
      <c r="T8314">
        <v>-0.21346589999999999</v>
      </c>
      <c r="U8314">
        <v>-0.89849849999999998</v>
      </c>
      <c r="V8314">
        <v>-0.22354540000000001</v>
      </c>
      <c r="W8314">
        <v>-4.4589259999999999E-2</v>
      </c>
      <c r="X8314">
        <v>0.97367300000000001</v>
      </c>
      <c r="Y8314">
        <v>-0.29888759999999998</v>
      </c>
      <c r="Z8314">
        <v>4.3743810000000001E-2</v>
      </c>
      <c r="AA8314">
        <v>0.95328520000000005</v>
      </c>
      <c r="AB8314">
        <v>16</v>
      </c>
      <c r="AC8314">
        <v>14.957599999999999</v>
      </c>
      <c r="AD8314">
        <v>-1.12337594959</v>
      </c>
      <c r="AE8314">
        <v>-4.6463299999999901</v>
      </c>
      <c r="AF8314">
        <v>-4.7211380059447201</v>
      </c>
      <c r="AG8314">
        <v>-1.12337594959</v>
      </c>
      <c r="AH8314">
        <v>14.850065051448601</v>
      </c>
      <c r="AI8314">
        <v>94.123448505547699</v>
      </c>
      <c r="AJ8314">
        <v>107.636519857343</v>
      </c>
      <c r="AK8314">
        <v>15.622917449297001</v>
      </c>
      <c r="AL8314">
        <v>92.555623916988694</v>
      </c>
      <c r="AM8314">
        <v>102.930441210054</v>
      </c>
      <c r="AN8314">
        <v>0.99999992944875105</v>
      </c>
    </row>
    <row r="8315" spans="1:40" x14ac:dyDescent="0.25">
      <c r="A8315" t="str">
        <f>"20190303154008846"</f>
        <v>20190303154008846</v>
      </c>
      <c r="B8315" t="str">
        <f>"1551598808836907"</f>
        <v>1551598808836907</v>
      </c>
      <c r="C8315" t="s">
        <v>40</v>
      </c>
      <c r="D8315">
        <v>4.655049</v>
      </c>
      <c r="E8315">
        <v>0.47036729999999999</v>
      </c>
      <c r="F8315" t="s">
        <v>84</v>
      </c>
      <c r="G8315">
        <v>-278.49790000000002</v>
      </c>
      <c r="H8315" s="1">
        <v>-3.1368070000000002E-6</v>
      </c>
      <c r="I8315">
        <v>-61.935879999999997</v>
      </c>
      <c r="J8315">
        <v>-292.76560000000001</v>
      </c>
      <c r="K8315">
        <v>1.123286</v>
      </c>
      <c r="L8315">
        <v>-57.56888</v>
      </c>
      <c r="M8315">
        <v>0.82343230000000001</v>
      </c>
      <c r="N8315">
        <v>-1.279222E-2</v>
      </c>
      <c r="O8315">
        <v>-0.56727030000000001</v>
      </c>
      <c r="P8315">
        <v>0.92858719999999995</v>
      </c>
      <c r="Q8315">
        <v>-5.9015560000000002E-2</v>
      </c>
      <c r="R8315">
        <v>-0.36639169999999999</v>
      </c>
      <c r="S8315">
        <v>2.8685610000000001</v>
      </c>
      <c r="T8315">
        <v>-0.22376219999999999</v>
      </c>
      <c r="U8315">
        <v>-0.88674929999999996</v>
      </c>
      <c r="V8315">
        <v>-0.2248327</v>
      </c>
      <c r="W8315">
        <v>-4.7746080000000003E-2</v>
      </c>
      <c r="X8315">
        <v>0.97322679999999995</v>
      </c>
      <c r="Y8315">
        <v>-0.29698580000000002</v>
      </c>
      <c r="Z8315">
        <v>4.587016E-2</v>
      </c>
      <c r="AA8315">
        <v>0.9537795</v>
      </c>
      <c r="AB8315">
        <v>16</v>
      </c>
      <c r="AC8315">
        <v>14.2676999999999</v>
      </c>
      <c r="AD8315">
        <v>-1.1232891368069999</v>
      </c>
      <c r="AE8315">
        <v>-4.3669999999999902</v>
      </c>
      <c r="AF8315">
        <v>-4.4727329153037001</v>
      </c>
      <c r="AG8315">
        <v>-1.1232891368069999</v>
      </c>
      <c r="AH8315">
        <v>14.1467433578064</v>
      </c>
      <c r="AI8315">
        <v>94.329534970489803</v>
      </c>
      <c r="AJ8315">
        <v>107.54523362338099</v>
      </c>
      <c r="AK8315">
        <v>14.8794309651999</v>
      </c>
      <c r="AL8315">
        <v>92.7366895698391</v>
      </c>
      <c r="AM8315">
        <v>103.008137127925</v>
      </c>
      <c r="AN8315">
        <v>0.99999991769144403</v>
      </c>
    </row>
    <row r="8316" spans="1:40" x14ac:dyDescent="0.25">
      <c r="A8316" t="str">
        <f>"20190303154008868"</f>
        <v>20190303154008868</v>
      </c>
      <c r="B8316" t="str">
        <f>"1551598808856426"</f>
        <v>1551598808856426</v>
      </c>
      <c r="C8316" t="s">
        <v>40</v>
      </c>
      <c r="D8316">
        <v>4.7373050000000001</v>
      </c>
      <c r="E8316">
        <v>0.47041850000000002</v>
      </c>
      <c r="F8316" t="s">
        <v>84</v>
      </c>
      <c r="G8316">
        <v>-278.66820000000001</v>
      </c>
      <c r="H8316" s="1">
        <v>-3.1859849999999999E-6</v>
      </c>
      <c r="I8316">
        <v>-61.870100000000001</v>
      </c>
      <c r="J8316">
        <v>-292.63920000000002</v>
      </c>
      <c r="K8316">
        <v>1.1232219999999999</v>
      </c>
      <c r="L8316">
        <v>-57.648380000000003</v>
      </c>
      <c r="M8316">
        <v>0.82642549999999904</v>
      </c>
      <c r="N8316">
        <v>-1.2682540000000001E-2</v>
      </c>
      <c r="O8316">
        <v>-0.56290359999999995</v>
      </c>
      <c r="P8316">
        <v>0.93104889999999996</v>
      </c>
      <c r="Q8316">
        <v>-5.980195E-2</v>
      </c>
      <c r="R8316">
        <v>-0.35996149999999999</v>
      </c>
      <c r="S8316">
        <v>2.8706360000000002</v>
      </c>
      <c r="T8316">
        <v>-0.2287343</v>
      </c>
      <c r="U8316">
        <v>-0.87585449999999998</v>
      </c>
      <c r="V8316">
        <v>-0.22638220000000001</v>
      </c>
      <c r="W8316">
        <v>-4.8624830000000001E-2</v>
      </c>
      <c r="X8316">
        <v>0.97282409999999997</v>
      </c>
      <c r="Y8316">
        <v>-0.29535329999999999</v>
      </c>
      <c r="Z8316">
        <v>4.6780679999999998E-2</v>
      </c>
      <c r="AA8316">
        <v>0.95424209999999998</v>
      </c>
      <c r="AB8316">
        <v>16</v>
      </c>
      <c r="AC8316">
        <v>13.971</v>
      </c>
      <c r="AD8316">
        <v>-1.123225185985</v>
      </c>
      <c r="AE8316">
        <v>-4.2217199999999897</v>
      </c>
      <c r="AF8316">
        <v>-4.3499759315640896</v>
      </c>
      <c r="AG8316">
        <v>-1.123225185985</v>
      </c>
      <c r="AH8316">
        <v>13.8415476798199</v>
      </c>
      <c r="AI8316">
        <v>94.426770254518203</v>
      </c>
      <c r="AJ8316">
        <v>107.446341653921</v>
      </c>
      <c r="AK8316">
        <v>14.5524007502661</v>
      </c>
      <c r="AL8316">
        <v>92.787096559273905</v>
      </c>
      <c r="AM8316">
        <v>103.09994080352099</v>
      </c>
      <c r="AN8316">
        <v>1.0000000020550801</v>
      </c>
    </row>
    <row r="8317" spans="1:40" x14ac:dyDescent="0.25">
      <c r="A8317" t="str">
        <f>"20190303154008891"</f>
        <v>20190303154008891</v>
      </c>
      <c r="B8317" t="str">
        <f>"1551598808886682"</f>
        <v>1551598808886682</v>
      </c>
      <c r="C8317" t="s">
        <v>40</v>
      </c>
      <c r="D8317">
        <v>4.7292800000000002</v>
      </c>
      <c r="E8317">
        <v>0.47121639999999998</v>
      </c>
      <c r="F8317" t="s">
        <v>84</v>
      </c>
      <c r="G8317">
        <v>-278.83370000000002</v>
      </c>
      <c r="H8317" s="1">
        <v>-3.2272050000000001E-6</v>
      </c>
      <c r="I8317">
        <v>-61.757190000000001</v>
      </c>
      <c r="J8317">
        <v>-292.50439999999998</v>
      </c>
      <c r="K8317">
        <v>1.123197</v>
      </c>
      <c r="L8317">
        <v>-57.732210000000002</v>
      </c>
      <c r="M8317">
        <v>0.82949450000000002</v>
      </c>
      <c r="N8317">
        <v>-1.258974E-2</v>
      </c>
      <c r="O8317">
        <v>-0.55837300000000001</v>
      </c>
      <c r="P8317">
        <v>0.93356740000000005</v>
      </c>
      <c r="Q8317">
        <v>-5.6930330000000001E-2</v>
      </c>
      <c r="R8317">
        <v>-0.35385139999999998</v>
      </c>
      <c r="S8317">
        <v>2.8761899999999998</v>
      </c>
      <c r="T8317">
        <v>-0.23400960000000001</v>
      </c>
      <c r="U8317">
        <v>-0.8560181</v>
      </c>
      <c r="V8317">
        <v>-0.22755130000000001</v>
      </c>
      <c r="W8317">
        <v>-4.5836340000000003E-2</v>
      </c>
      <c r="X8317">
        <v>0.97268670000000002</v>
      </c>
      <c r="Y8317">
        <v>-0.29658089999999998</v>
      </c>
      <c r="Z8317">
        <v>4.7827500000000002E-2</v>
      </c>
      <c r="AA8317">
        <v>0.95380940000000003</v>
      </c>
      <c r="AB8317">
        <v>16</v>
      </c>
      <c r="AC8317">
        <v>13.670699999999901</v>
      </c>
      <c r="AD8317">
        <v>-1.1232002272049999</v>
      </c>
      <c r="AE8317">
        <v>-4.0249800000000002</v>
      </c>
      <c r="AF8317">
        <v>-4.2684756965661599</v>
      </c>
      <c r="AG8317">
        <v>-1.1232002272049999</v>
      </c>
      <c r="AH8317">
        <v>13.5043984552868</v>
      </c>
      <c r="AI8317">
        <v>94.534387323552494</v>
      </c>
      <c r="AJ8317">
        <v>107.540724544075</v>
      </c>
      <c r="AK8317">
        <v>14.207400929153801</v>
      </c>
      <c r="AL8317">
        <v>92.627149331098707</v>
      </c>
      <c r="AM8317">
        <v>103.16703693576</v>
      </c>
      <c r="AN8317">
        <v>0.99999999027658704</v>
      </c>
    </row>
    <row r="8318" spans="1:40" x14ac:dyDescent="0.25">
      <c r="A8318" t="str">
        <f>"20190303154008914"</f>
        <v>20190303154008914</v>
      </c>
      <c r="B8318" t="str">
        <f>"1551598808907183"</f>
        <v>1551598808907183</v>
      </c>
      <c r="C8318" t="s">
        <v>40</v>
      </c>
      <c r="D8318">
        <v>4.7509399999999999</v>
      </c>
      <c r="E8318">
        <v>0.47161340000000002</v>
      </c>
      <c r="F8318" t="s">
        <v>84</v>
      </c>
      <c r="G8318">
        <v>-278.35320000000002</v>
      </c>
      <c r="H8318" s="1">
        <v>-3.0692370000000002E-6</v>
      </c>
      <c r="I8318">
        <v>-61.874319999999997</v>
      </c>
      <c r="J8318">
        <v>-292.36970000000002</v>
      </c>
      <c r="K8318">
        <v>1.123218</v>
      </c>
      <c r="L8318">
        <v>-57.815089999999998</v>
      </c>
      <c r="M8318">
        <v>0.83247289999999996</v>
      </c>
      <c r="N8318">
        <v>-1.2533249999999999E-2</v>
      </c>
      <c r="O8318">
        <v>-0.55392419999999998</v>
      </c>
      <c r="P8318">
        <v>0.93590859999999998</v>
      </c>
      <c r="Q8318">
        <v>-5.4936220000000001E-2</v>
      </c>
      <c r="R8318">
        <v>-0.34793289999999999</v>
      </c>
      <c r="S8318">
        <v>2.8800050000000001</v>
      </c>
      <c r="T8318">
        <v>-0.2285893</v>
      </c>
      <c r="U8318">
        <v>-0.84298709999999899</v>
      </c>
      <c r="V8318">
        <v>-0.22857749999999999</v>
      </c>
      <c r="W8318">
        <v>-4.3903289999999998E-2</v>
      </c>
      <c r="X8318">
        <v>0.97253529999999999</v>
      </c>
      <c r="Y8318">
        <v>-0.29589120000000002</v>
      </c>
      <c r="Z8318">
        <v>4.6352860000000003E-2</v>
      </c>
      <c r="AA8318">
        <v>0.95409630000000001</v>
      </c>
      <c r="AB8318">
        <v>16</v>
      </c>
      <c r="AC8318">
        <v>14.016500000000001</v>
      </c>
      <c r="AD8318">
        <v>-1.1232210692369999</v>
      </c>
      <c r="AE8318">
        <v>-4.0592299999999897</v>
      </c>
      <c r="AF8318">
        <v>-4.35939494544197</v>
      </c>
      <c r="AG8318">
        <v>-1.1232210692369999</v>
      </c>
      <c r="AH8318">
        <v>13.8359782386086</v>
      </c>
      <c r="AI8318">
        <v>94.427509510515506</v>
      </c>
      <c r="AJ8318">
        <v>107.488427318227</v>
      </c>
      <c r="AK8318">
        <v>14.549922463022799</v>
      </c>
      <c r="AL8318">
        <v>92.5162819173744</v>
      </c>
      <c r="AM8318">
        <v>103.226321260178</v>
      </c>
      <c r="AN8318">
        <v>1.00000004106258</v>
      </c>
    </row>
    <row r="8319" spans="1:40" x14ac:dyDescent="0.25">
      <c r="A8319" t="str">
        <f>"20190303154008923"</f>
        <v>20190303154008923</v>
      </c>
      <c r="B8319" t="str">
        <f>"1551598808916938"</f>
        <v>1551598808916938</v>
      </c>
      <c r="C8319" t="s">
        <v>40</v>
      </c>
      <c r="D8319">
        <v>4.7386249999999999</v>
      </c>
      <c r="E8319">
        <v>0.47190159999999998</v>
      </c>
      <c r="F8319" t="s">
        <v>84</v>
      </c>
      <c r="G8319">
        <v>-277.89069999999998</v>
      </c>
      <c r="H8319" s="1">
        <v>-2.8918610000000002E-6</v>
      </c>
      <c r="I8319">
        <v>-61.968989999999998</v>
      </c>
      <c r="J8319">
        <v>-292.30759999999998</v>
      </c>
      <c r="K8319">
        <v>1.123227</v>
      </c>
      <c r="L8319">
        <v>-57.853000000000002</v>
      </c>
      <c r="M8319">
        <v>0.83382710000000004</v>
      </c>
      <c r="N8319">
        <v>-1.2513099999999999E-2</v>
      </c>
      <c r="O8319">
        <v>-0.55188380000000004</v>
      </c>
      <c r="P8319">
        <v>0.93685810000000003</v>
      </c>
      <c r="Q8319">
        <v>-5.4139159999999999E-2</v>
      </c>
      <c r="R8319">
        <v>-0.34549370000000001</v>
      </c>
      <c r="S8319">
        <v>2.8846440000000002</v>
      </c>
      <c r="T8319">
        <v>-0.223778</v>
      </c>
      <c r="U8319">
        <v>-0.82757569999999903</v>
      </c>
      <c r="V8319">
        <v>-0.22875770000000001</v>
      </c>
      <c r="W8319">
        <v>-4.3130330000000001E-2</v>
      </c>
      <c r="X8319">
        <v>0.97252740000000004</v>
      </c>
      <c r="Y8319">
        <v>-0.29874800000000001</v>
      </c>
      <c r="Z8319">
        <v>4.5276209999999997E-2</v>
      </c>
      <c r="AA8319">
        <v>0.95325740000000003</v>
      </c>
      <c r="AB8319">
        <v>16</v>
      </c>
      <c r="AC8319">
        <v>14.416899999999901</v>
      </c>
      <c r="AD8319">
        <v>-1.123229891861</v>
      </c>
      <c r="AE8319">
        <v>-4.11599</v>
      </c>
      <c r="AF8319">
        <v>-4.4995299184511897</v>
      </c>
      <c r="AG8319">
        <v>-1.123229891861</v>
      </c>
      <c r="AH8319">
        <v>14.2140917563864</v>
      </c>
      <c r="AI8319">
        <v>94.308394090030404</v>
      </c>
      <c r="AJ8319">
        <v>107.56540008035699</v>
      </c>
      <c r="AK8319">
        <v>14.9515156200293</v>
      </c>
      <c r="AL8319">
        <v>92.471952860551696</v>
      </c>
      <c r="AM8319">
        <v>103.23648510673399</v>
      </c>
      <c r="AN8319">
        <v>0.99999992721297604</v>
      </c>
    </row>
    <row r="8320" spans="1:40" x14ac:dyDescent="0.25">
      <c r="A8320" t="str">
        <f>"20190303154008935"</f>
        <v>20190303154008935</v>
      </c>
      <c r="B8320" t="str">
        <f>"1551598808926698"</f>
        <v>1551598808926698</v>
      </c>
      <c r="C8320" t="s">
        <v>40</v>
      </c>
      <c r="D8320">
        <v>4.7447920000000003</v>
      </c>
      <c r="E8320">
        <v>0.47225529999999999</v>
      </c>
      <c r="F8320" t="s">
        <v>84</v>
      </c>
      <c r="G8320">
        <v>-277.66140000000001</v>
      </c>
      <c r="H8320" s="1">
        <v>-2.8060060000000001E-6</v>
      </c>
      <c r="I8320">
        <v>-62.025179999999999</v>
      </c>
      <c r="J8320">
        <v>-292.24130000000002</v>
      </c>
      <c r="K8320">
        <v>1.12324</v>
      </c>
      <c r="L8320">
        <v>-57.893250000000002</v>
      </c>
      <c r="M8320">
        <v>0.83526650000000002</v>
      </c>
      <c r="N8320">
        <v>-1.2491749999999999E-2</v>
      </c>
      <c r="O8320">
        <v>-0.54970339999999995</v>
      </c>
      <c r="P8320">
        <v>0.93772109999999997</v>
      </c>
      <c r="Q8320">
        <v>-5.4080490000000002E-2</v>
      </c>
      <c r="R8320">
        <v>-0.34315329999999999</v>
      </c>
      <c r="S8320">
        <v>2.8862000000000001</v>
      </c>
      <c r="T8320">
        <v>-0.22134470000000001</v>
      </c>
      <c r="U8320">
        <v>-0.82217410000000002</v>
      </c>
      <c r="V8320">
        <v>-0.2286454</v>
      </c>
      <c r="W8320">
        <v>-4.3097589999999998E-2</v>
      </c>
      <c r="X8320">
        <v>0.97255530000000001</v>
      </c>
      <c r="Y8320">
        <v>-0.29808770000000001</v>
      </c>
      <c r="Z8320">
        <v>4.459685E-2</v>
      </c>
      <c r="AA8320">
        <v>0.95349609999999996</v>
      </c>
      <c r="AB8320">
        <v>16</v>
      </c>
      <c r="AC8320">
        <v>14.5799</v>
      </c>
      <c r="AD8320">
        <v>-1.123242806006</v>
      </c>
      <c r="AE8320">
        <v>-4.1319299999999997</v>
      </c>
      <c r="AF8320">
        <v>-4.5387779846963197</v>
      </c>
      <c r="AG8320">
        <v>-1.123242806006</v>
      </c>
      <c r="AH8320">
        <v>14.371608077176001</v>
      </c>
      <c r="AI8320">
        <v>94.262298212805405</v>
      </c>
      <c r="AJ8320">
        <v>107.526929393122</v>
      </c>
      <c r="AK8320">
        <v>15.113083693262499</v>
      </c>
      <c r="AL8320">
        <v>92.470075153909306</v>
      </c>
      <c r="AM8320">
        <v>103.22984954194899</v>
      </c>
      <c r="AN8320">
        <v>0.99999996638152799</v>
      </c>
    </row>
    <row r="8321" spans="1:40" x14ac:dyDescent="0.25">
      <c r="A8321" t="str">
        <f>"20190303154008946"</f>
        <v>20190303154008946</v>
      </c>
      <c r="B8321" t="str">
        <f>"1551598808936458"</f>
        <v>1551598808936458</v>
      </c>
      <c r="C8321" t="s">
        <v>40</v>
      </c>
      <c r="D8321">
        <v>4.7560690000000001</v>
      </c>
      <c r="E8321">
        <v>0.4726186</v>
      </c>
      <c r="F8321" t="s">
        <v>84</v>
      </c>
      <c r="G8321">
        <v>-277.56450000000001</v>
      </c>
      <c r="H8321" s="1">
        <v>-2.7697130000000001E-6</v>
      </c>
      <c r="I8321">
        <v>-62.048830000000002</v>
      </c>
      <c r="J8321">
        <v>-292.17410000000001</v>
      </c>
      <c r="K8321">
        <v>1.1232549999999999</v>
      </c>
      <c r="L8321">
        <v>-57.933839999999996</v>
      </c>
      <c r="M8321">
        <v>0.83671739999999994</v>
      </c>
      <c r="N8321">
        <v>-1.2470230000000001E-2</v>
      </c>
      <c r="O8321">
        <v>-0.54749320000000001</v>
      </c>
      <c r="P8321">
        <v>0.9386118</v>
      </c>
      <c r="Q8321">
        <v>-5.440619E-2</v>
      </c>
      <c r="R8321">
        <v>-0.34065839999999997</v>
      </c>
      <c r="S8321">
        <v>2.8873899999999999</v>
      </c>
      <c r="T8321">
        <v>-0.2209777</v>
      </c>
      <c r="U8321">
        <v>-0.81753540000000002</v>
      </c>
      <c r="V8321">
        <v>-0.2286475</v>
      </c>
      <c r="W8321">
        <v>-4.3452629999999999E-2</v>
      </c>
      <c r="X8321">
        <v>0.97253909999999999</v>
      </c>
      <c r="Y8321">
        <v>-0.29709740000000001</v>
      </c>
      <c r="Z8321">
        <v>4.4371460000000001E-2</v>
      </c>
      <c r="AA8321">
        <v>0.95381559999999999</v>
      </c>
      <c r="AB8321">
        <v>16</v>
      </c>
      <c r="AC8321">
        <v>14.6096</v>
      </c>
      <c r="AD8321">
        <v>-1.123257769713</v>
      </c>
      <c r="AE8321">
        <v>-4.1149899999999899</v>
      </c>
      <c r="AF8321">
        <v>-4.5311104990460596</v>
      </c>
      <c r="AG8321">
        <v>-1.123257769713</v>
      </c>
      <c r="AH8321">
        <v>14.399297082024599</v>
      </c>
      <c r="AI8321">
        <v>94.255574169837203</v>
      </c>
      <c r="AJ8321">
        <v>107.46752783565501</v>
      </c>
      <c r="AK8321">
        <v>15.137120823597501</v>
      </c>
      <c r="AL8321">
        <v>92.490436300414601</v>
      </c>
      <c r="AM8321">
        <v>103.230179405405</v>
      </c>
      <c r="AN8321">
        <v>1.0000000556694799</v>
      </c>
    </row>
    <row r="8322" spans="1:40" x14ac:dyDescent="0.25">
      <c r="A8322" t="str">
        <f>"20190303154008957"</f>
        <v>20190303154008957</v>
      </c>
      <c r="B8322" t="str">
        <f>"1551598808946218"</f>
        <v>1551598808946218</v>
      </c>
      <c r="C8322" t="s">
        <v>40</v>
      </c>
      <c r="D8322">
        <v>4.7368750000000004</v>
      </c>
      <c r="E8322">
        <v>0.4726186</v>
      </c>
      <c r="F8322" t="s">
        <v>84</v>
      </c>
      <c r="G8322">
        <v>-277.56709999999998</v>
      </c>
      <c r="H8322" s="1">
        <v>-2.7696059999999999E-6</v>
      </c>
      <c r="I8322">
        <v>-62.043430000000001</v>
      </c>
      <c r="J8322">
        <v>-292.10879999999997</v>
      </c>
      <c r="K8322">
        <v>1.12327</v>
      </c>
      <c r="L8322">
        <v>-57.973019999999998</v>
      </c>
      <c r="M8322">
        <v>0.83812580000000003</v>
      </c>
      <c r="N8322">
        <v>-1.2449480000000001E-2</v>
      </c>
      <c r="O8322">
        <v>-0.54533489999999996</v>
      </c>
      <c r="P8322">
        <v>0.93939499999999998</v>
      </c>
      <c r="Q8322">
        <v>-5.5029649999999999E-2</v>
      </c>
      <c r="R8322">
        <v>-0.33839180000000002</v>
      </c>
      <c r="S8322">
        <v>2.8883670000000001</v>
      </c>
      <c r="T8322">
        <v>-0.22211049999999999</v>
      </c>
      <c r="U8322">
        <v>-0.81262209999999901</v>
      </c>
      <c r="V8322">
        <v>-0.22846330000000001</v>
      </c>
      <c r="W8322">
        <v>-4.4105220000000001E-2</v>
      </c>
      <c r="X8322">
        <v>0.972553</v>
      </c>
      <c r="Y8322">
        <v>-0.29620980000000002</v>
      </c>
      <c r="Z8322">
        <v>4.4491799999999998E-2</v>
      </c>
      <c r="AA8322">
        <v>0.95408610000000005</v>
      </c>
      <c r="AB8322">
        <v>16</v>
      </c>
      <c r="AC8322">
        <v>14.541699999999899</v>
      </c>
      <c r="AD8322">
        <v>-1.1232727696060001</v>
      </c>
      <c r="AE8322">
        <v>-4.0704100000000096</v>
      </c>
      <c r="AF8322">
        <v>-4.4940643301282801</v>
      </c>
      <c r="AG8322">
        <v>-1.1232727696060001</v>
      </c>
      <c r="AH8322">
        <v>14.3293394802572</v>
      </c>
      <c r="AI8322">
        <v>94.277608566618497</v>
      </c>
      <c r="AJ8322">
        <v>107.41282075840699</v>
      </c>
      <c r="AK8322">
        <v>15.059492881857899</v>
      </c>
      <c r="AL8322">
        <v>92.527862864606007</v>
      </c>
      <c r="AM8322">
        <v>103.219713184838</v>
      </c>
      <c r="AN8322">
        <v>1.0000000438435599</v>
      </c>
    </row>
    <row r="8323" spans="1:40" x14ac:dyDescent="0.25">
      <c r="A8323" t="str">
        <f>"20190303154008968"</f>
        <v>20190303154008968</v>
      </c>
      <c r="B8323" t="str">
        <f>"1551598808956954"</f>
        <v>1551598808956954</v>
      </c>
      <c r="C8323" t="s">
        <v>40</v>
      </c>
      <c r="D8323">
        <v>4.739833</v>
      </c>
      <c r="E8323">
        <v>0.4806338</v>
      </c>
      <c r="F8323" t="s">
        <v>84</v>
      </c>
      <c r="G8323">
        <v>-277.61279999999999</v>
      </c>
      <c r="H8323" s="1">
        <v>-2.7824950000000001E-6</v>
      </c>
      <c r="I8323">
        <v>-62.013179999999998</v>
      </c>
      <c r="J8323">
        <v>-292.03989999999999</v>
      </c>
      <c r="K8323">
        <v>1.1232869999999999</v>
      </c>
      <c r="L8323">
        <v>-58.014159999999997</v>
      </c>
      <c r="M8323">
        <v>0.83960159999999995</v>
      </c>
      <c r="N8323">
        <v>-1.242764E-2</v>
      </c>
      <c r="O8323">
        <v>-0.54306069999999995</v>
      </c>
      <c r="P8323">
        <v>0.94028400000000001</v>
      </c>
      <c r="Q8323">
        <v>-5.5287309999999999E-2</v>
      </c>
      <c r="R8323">
        <v>-0.3358719</v>
      </c>
      <c r="S8323">
        <v>2.8902589999999999</v>
      </c>
      <c r="T8323">
        <v>-0.2239623</v>
      </c>
      <c r="U8323">
        <v>-0.80554199999999998</v>
      </c>
      <c r="V8323">
        <v>-0.22842190000000001</v>
      </c>
      <c r="W8323">
        <v>-4.4395219999999999E-2</v>
      </c>
      <c r="X8323">
        <v>0.97254949999999996</v>
      </c>
      <c r="Y8323">
        <v>-0.29592289999999999</v>
      </c>
      <c r="Z8323">
        <v>4.478261E-2</v>
      </c>
      <c r="AA8323">
        <v>0.9541615</v>
      </c>
      <c r="AB8323">
        <v>16</v>
      </c>
      <c r="AC8323">
        <v>14.4270999999999</v>
      </c>
      <c r="AD8323">
        <v>-1.1232897824950001</v>
      </c>
      <c r="AE8323">
        <v>-3.9990199999999998</v>
      </c>
      <c r="AF8323">
        <v>-4.4524870380563497</v>
      </c>
      <c r="AG8323">
        <v>-1.1232897824950001</v>
      </c>
      <c r="AH8323">
        <v>14.2058553338143</v>
      </c>
      <c r="AI8323">
        <v>94.314963018608097</v>
      </c>
      <c r="AJ8323">
        <v>107.40235713953</v>
      </c>
      <c r="AK8323">
        <v>14.929592979206699</v>
      </c>
      <c r="AL8323">
        <v>92.544495005004407</v>
      </c>
      <c r="AM8323">
        <v>103.21744762396401</v>
      </c>
      <c r="AN8323">
        <v>1.00000001495435</v>
      </c>
    </row>
    <row r="8324" spans="1:40" x14ac:dyDescent="0.25">
      <c r="A8324" t="str">
        <f>"20190303154008979"</f>
        <v>20190303154008979</v>
      </c>
      <c r="B8324" t="str">
        <f>"1551598808976474"</f>
        <v>1551598808976474</v>
      </c>
      <c r="C8324" t="s">
        <v>40</v>
      </c>
      <c r="D8324">
        <v>4.7557419999999997</v>
      </c>
      <c r="E8324">
        <v>0.48066370000000003</v>
      </c>
      <c r="F8324" t="s">
        <v>84</v>
      </c>
      <c r="G8324">
        <v>-278.56869999999998</v>
      </c>
      <c r="H8324" s="1">
        <v>-3.1743860000000001E-6</v>
      </c>
      <c r="I8324">
        <v>-62.036700000000003</v>
      </c>
      <c r="J8324">
        <v>-291.97820000000002</v>
      </c>
      <c r="K8324">
        <v>1.1233040000000001</v>
      </c>
      <c r="L8324">
        <v>-58.050660000000001</v>
      </c>
      <c r="M8324">
        <v>0.84092610000000001</v>
      </c>
      <c r="N8324">
        <v>-1.2411180000000001E-2</v>
      </c>
      <c r="O8324">
        <v>-0.54100769999999998</v>
      </c>
      <c r="P8324">
        <v>0.94105930000000004</v>
      </c>
      <c r="Q8324">
        <v>-5.6297510000000002E-2</v>
      </c>
      <c r="R8324">
        <v>-0.33352409999999999</v>
      </c>
      <c r="S8324">
        <v>2.8703310000000002</v>
      </c>
      <c r="T8324">
        <v>-0.23934030000000001</v>
      </c>
      <c r="U8324">
        <v>-0.85708619999999902</v>
      </c>
      <c r="V8324">
        <v>-0.228433</v>
      </c>
      <c r="W8324">
        <v>-4.543349E-2</v>
      </c>
      <c r="X8324">
        <v>0.972499</v>
      </c>
      <c r="Y8324">
        <v>-0.27579039999999999</v>
      </c>
      <c r="Z8324">
        <v>4.7341729999999999E-2</v>
      </c>
      <c r="AA8324">
        <v>0.96005119999999999</v>
      </c>
      <c r="AB8324">
        <v>16</v>
      </c>
      <c r="AC8324">
        <v>13.4095</v>
      </c>
      <c r="AD8324">
        <v>-1.1233071743859999</v>
      </c>
      <c r="AE8324">
        <v>-3.98604</v>
      </c>
      <c r="AF8324">
        <v>-3.87797446191336</v>
      </c>
      <c r="AG8324">
        <v>-1.1233071743859999</v>
      </c>
      <c r="AH8324">
        <v>13.347849272953701</v>
      </c>
      <c r="AI8324">
        <v>94.620304230441803</v>
      </c>
      <c r="AJ8324">
        <v>106.200260337613</v>
      </c>
      <c r="AK8324">
        <v>13.945091794203799</v>
      </c>
      <c r="AL8324">
        <v>92.604043443080599</v>
      </c>
      <c r="AM8324">
        <v>103.218729659894</v>
      </c>
      <c r="AN8324">
        <v>1.00000007125178</v>
      </c>
    </row>
    <row r="8325" spans="1:40" x14ac:dyDescent="0.25">
      <c r="A8325" t="str">
        <f>"20190303154008991"</f>
        <v>20190303154008991</v>
      </c>
      <c r="B8325" t="str">
        <f>"1551598808987210"</f>
        <v>1551598808987210</v>
      </c>
      <c r="C8325" t="s">
        <v>40</v>
      </c>
      <c r="D8325">
        <v>4.7500479999999996</v>
      </c>
      <c r="E8325">
        <v>0.48082069999999999</v>
      </c>
      <c r="F8325" t="s">
        <v>84</v>
      </c>
      <c r="G8325">
        <v>-278.48869999999999</v>
      </c>
      <c r="H8325" s="1">
        <v>-3.1482409999999998E-6</v>
      </c>
      <c r="I8325">
        <v>-62.044789999999999</v>
      </c>
      <c r="J8325">
        <v>-291.9092</v>
      </c>
      <c r="K8325">
        <v>1.1233249999999999</v>
      </c>
      <c r="L8325">
        <v>-58.091369999999998</v>
      </c>
      <c r="M8325">
        <v>0.84240000000000004</v>
      </c>
      <c r="N8325">
        <v>-1.239347E-2</v>
      </c>
      <c r="O8325">
        <v>-0.53871020000000003</v>
      </c>
      <c r="P8325">
        <v>0.94192220000000004</v>
      </c>
      <c r="Q8325">
        <v>-5.6859630000000001E-2</v>
      </c>
      <c r="R8325">
        <v>-0.33098290000000002</v>
      </c>
      <c r="S8325">
        <v>2.8721920000000001</v>
      </c>
      <c r="T8325">
        <v>-0.23917540000000001</v>
      </c>
      <c r="U8325">
        <v>-0.85043329999999995</v>
      </c>
      <c r="V8325">
        <v>-0.228379</v>
      </c>
      <c r="W8325">
        <v>-4.6025440000000001E-2</v>
      </c>
      <c r="X8325">
        <v>0.97248380000000001</v>
      </c>
      <c r="Y8325">
        <v>-0.275389099999999</v>
      </c>
      <c r="Z8325">
        <v>4.7163129999999998E-2</v>
      </c>
      <c r="AA8325">
        <v>0.96017520000000001</v>
      </c>
      <c r="AB8325">
        <v>16</v>
      </c>
      <c r="AC8325">
        <v>13.420500000000001</v>
      </c>
      <c r="AD8325">
        <v>-1.12332814824099</v>
      </c>
      <c r="AE8325">
        <v>-3.9534199999999999</v>
      </c>
      <c r="AF8325">
        <v>-3.8747196405571902</v>
      </c>
      <c r="AG8325">
        <v>-1.12332814824099</v>
      </c>
      <c r="AH8325">
        <v>13.350144635558699</v>
      </c>
      <c r="AI8325">
        <v>94.619961015079298</v>
      </c>
      <c r="AJ8325">
        <v>106.184738187306</v>
      </c>
      <c r="AK8325">
        <v>13.9463859193659</v>
      </c>
      <c r="AL8325">
        <v>92.637995318158303</v>
      </c>
      <c r="AM8325">
        <v>103.215913828078</v>
      </c>
      <c r="AN8325">
        <v>1.00000002501531</v>
      </c>
    </row>
    <row r="8326" spans="1:40" x14ac:dyDescent="0.25">
      <c r="A8326" t="str">
        <f>"20190303154009002"</f>
        <v>20190303154009002</v>
      </c>
      <c r="B8326" t="str">
        <f>"1551598808996971"</f>
        <v>1551598808996971</v>
      </c>
      <c r="C8326" t="s">
        <v>40</v>
      </c>
      <c r="D8326">
        <v>4.7213310000000002</v>
      </c>
      <c r="E8326">
        <v>0.48112169999999999</v>
      </c>
      <c r="F8326" t="s">
        <v>84</v>
      </c>
      <c r="G8326">
        <v>-278.49689999999998</v>
      </c>
      <c r="H8326" s="1">
        <v>-3.1490089999999999E-6</v>
      </c>
      <c r="I8326">
        <v>-62.029679999999999</v>
      </c>
      <c r="J8326">
        <v>-291.83980000000003</v>
      </c>
      <c r="K8326">
        <v>1.1233470000000001</v>
      </c>
      <c r="L8326">
        <v>-58.131929999999997</v>
      </c>
      <c r="M8326">
        <v>0.84388430000000003</v>
      </c>
      <c r="N8326">
        <v>-1.2379619999999999E-2</v>
      </c>
      <c r="O8326">
        <v>-0.53638249999999998</v>
      </c>
      <c r="P8326">
        <v>0.94283850000000002</v>
      </c>
      <c r="Q8326">
        <v>-5.7142859999999997E-2</v>
      </c>
      <c r="R8326">
        <v>-0.3283143</v>
      </c>
      <c r="S8326">
        <v>2.873901</v>
      </c>
      <c r="T8326">
        <v>-0.24069850000000001</v>
      </c>
      <c r="U8326">
        <v>-0.84387209999999901</v>
      </c>
      <c r="V8326">
        <v>-0.22843459999999999</v>
      </c>
      <c r="W8326">
        <v>-4.633586E-2</v>
      </c>
      <c r="X8326">
        <v>0.97245599999999999</v>
      </c>
      <c r="Y8326">
        <v>-0.27488600000000002</v>
      </c>
      <c r="Z8326">
        <v>4.7345749999999999E-2</v>
      </c>
      <c r="AA8326">
        <v>0.96031040000000001</v>
      </c>
      <c r="AB8326">
        <v>16</v>
      </c>
      <c r="AC8326">
        <v>13.3429</v>
      </c>
      <c r="AD8326">
        <v>-1.1233501490090001</v>
      </c>
      <c r="AE8326">
        <v>-3.8977499999999998</v>
      </c>
      <c r="AF8326">
        <v>-3.8428472901972799</v>
      </c>
      <c r="AG8326">
        <v>-1.1233501490090001</v>
      </c>
      <c r="AH8326">
        <v>13.264940235420401</v>
      </c>
      <c r="AI8326">
        <v>94.6502640689109</v>
      </c>
      <c r="AJ8326">
        <v>106.156278945799</v>
      </c>
      <c r="AK8326">
        <v>13.8559745345583</v>
      </c>
      <c r="AL8326">
        <v>92.655800069062593</v>
      </c>
      <c r="AM8326">
        <v>103.219382982225</v>
      </c>
      <c r="AN8326">
        <v>1.0000000251675401</v>
      </c>
    </row>
    <row r="8327" spans="1:40" x14ac:dyDescent="0.25">
      <c r="A8327" t="str">
        <f>"20190303154009014"</f>
        <v>20190303154009014</v>
      </c>
      <c r="B8327" t="str">
        <f>"1551598809006730"</f>
        <v>1551598809006730</v>
      </c>
      <c r="C8327" t="s">
        <v>40</v>
      </c>
      <c r="D8327">
        <v>4.7308389999999996</v>
      </c>
      <c r="E8327">
        <v>0.48146050000000001</v>
      </c>
      <c r="F8327" t="s">
        <v>84</v>
      </c>
      <c r="G8327">
        <v>-278.69099999999997</v>
      </c>
      <c r="H8327" s="1">
        <v>-3.2062400000000002E-6</v>
      </c>
      <c r="I8327">
        <v>-61.963540000000002</v>
      </c>
      <c r="J8327">
        <v>-291.7715</v>
      </c>
      <c r="K8327">
        <v>1.1233629999999999</v>
      </c>
      <c r="L8327">
        <v>-58.17163</v>
      </c>
      <c r="M8327">
        <v>0.8453427</v>
      </c>
      <c r="N8327">
        <v>-1.2368570000000001E-2</v>
      </c>
      <c r="O8327">
        <v>-0.53408149999999999</v>
      </c>
      <c r="P8327">
        <v>0.94362060000000003</v>
      </c>
      <c r="Q8327">
        <v>-5.7649430000000002E-2</v>
      </c>
      <c r="R8327">
        <v>-0.32597100000000001</v>
      </c>
      <c r="S8327">
        <v>2.8752439999999999</v>
      </c>
      <c r="T8327">
        <v>-0.2456431</v>
      </c>
      <c r="U8327">
        <v>-0.8378601</v>
      </c>
      <c r="V8327">
        <v>-0.22817950000000001</v>
      </c>
      <c r="W8327">
        <v>-4.6863299999999997E-2</v>
      </c>
      <c r="X8327">
        <v>0.97249059999999998</v>
      </c>
      <c r="Y8327">
        <v>-0.27415390000000001</v>
      </c>
      <c r="Z8327">
        <v>4.8261070000000003E-2</v>
      </c>
      <c r="AA8327">
        <v>0.9604741</v>
      </c>
      <c r="AB8327">
        <v>16</v>
      </c>
      <c r="AC8327">
        <v>13.080500000000001</v>
      </c>
      <c r="AD8327">
        <v>-1.1233662062399901</v>
      </c>
      <c r="AE8327">
        <v>-3.7919099999999899</v>
      </c>
      <c r="AF8327">
        <v>-3.7553278308290201</v>
      </c>
      <c r="AG8327">
        <v>-1.1233662062399901</v>
      </c>
      <c r="AH8327">
        <v>12.9952759775807</v>
      </c>
      <c r="AI8327">
        <v>94.747304892527893</v>
      </c>
      <c r="AJ8327">
        <v>106.118044952212</v>
      </c>
      <c r="AK8327">
        <v>13.573563882923599</v>
      </c>
      <c r="AL8327">
        <v>92.686053060416597</v>
      </c>
      <c r="AM8327">
        <v>103.204684641265</v>
      </c>
      <c r="AN8327">
        <v>1.00000001009775</v>
      </c>
    </row>
    <row r="8328" spans="1:40" x14ac:dyDescent="0.25">
      <c r="A8328" t="str">
        <f>"20190303154009025"</f>
        <v>20190303154009025</v>
      </c>
      <c r="B8328" t="str">
        <f>"1551598809016490"</f>
        <v>1551598809016490</v>
      </c>
      <c r="C8328" t="s">
        <v>40</v>
      </c>
      <c r="D8328">
        <v>4.766381</v>
      </c>
      <c r="E8328">
        <v>0.48181170000000001</v>
      </c>
      <c r="F8328" t="s">
        <v>84</v>
      </c>
      <c r="G8328">
        <v>-278.76639999999998</v>
      </c>
      <c r="H8328" s="1">
        <v>-3.2285620000000001E-6</v>
      </c>
      <c r="I8328">
        <v>-61.938670000000002</v>
      </c>
      <c r="J8328">
        <v>-291.69990000000001</v>
      </c>
      <c r="K8328">
        <v>1.1233839999999999</v>
      </c>
      <c r="L8328">
        <v>-58.213009999999997</v>
      </c>
      <c r="M8328">
        <v>0.84687069999999998</v>
      </c>
      <c r="N8328">
        <v>-1.236078E-2</v>
      </c>
      <c r="O8328">
        <v>-0.5316554</v>
      </c>
      <c r="P8328">
        <v>0.94453889999999996</v>
      </c>
      <c r="Q8328">
        <v>-5.7746499999999999E-2</v>
      </c>
      <c r="R8328">
        <v>-0.32328289999999998</v>
      </c>
      <c r="S8328">
        <v>2.8762509999999999</v>
      </c>
      <c r="T8328">
        <v>-0.24844720000000001</v>
      </c>
      <c r="U8328">
        <v>-0.83312989999999998</v>
      </c>
      <c r="V8328">
        <v>-0.22815460000000001</v>
      </c>
      <c r="W8328">
        <v>-4.6978909999999999E-2</v>
      </c>
      <c r="X8328">
        <v>0.97249079999999999</v>
      </c>
      <c r="Y8328">
        <v>-0.27290059999999999</v>
      </c>
      <c r="Z8328">
        <v>4.8674000000000002E-2</v>
      </c>
      <c r="AA8328">
        <v>0.9608101</v>
      </c>
      <c r="AB8328">
        <v>16</v>
      </c>
      <c r="AC8328">
        <v>12.9335</v>
      </c>
      <c r="AD8328">
        <v>-1.1233872285619999</v>
      </c>
      <c r="AE8328">
        <v>-3.7256599999999902</v>
      </c>
      <c r="AF8328">
        <v>-3.6955521114275398</v>
      </c>
      <c r="AG8328">
        <v>-1.1233872285619999</v>
      </c>
      <c r="AH8328">
        <v>12.845271243616301</v>
      </c>
      <c r="AI8328">
        <v>94.804202363044993</v>
      </c>
      <c r="AJ8328">
        <v>106.050393465599</v>
      </c>
      <c r="AK8328">
        <v>13.4134297476689</v>
      </c>
      <c r="AL8328">
        <v>92.692684497024104</v>
      </c>
      <c r="AM8328">
        <v>103.203291541208</v>
      </c>
      <c r="AN8328">
        <v>0.999999947785292</v>
      </c>
    </row>
    <row r="8329" spans="1:40" x14ac:dyDescent="0.25">
      <c r="A8329" t="str">
        <f>"20190303154009037"</f>
        <v>20190303154009037</v>
      </c>
      <c r="B8329" t="str">
        <f>"1551598809027227"</f>
        <v>1551598809027227</v>
      </c>
      <c r="C8329" t="s">
        <v>40</v>
      </c>
      <c r="D8329">
        <v>4.7610349999999997</v>
      </c>
      <c r="E8329">
        <v>0.48216890000000001</v>
      </c>
      <c r="F8329" t="s">
        <v>84</v>
      </c>
      <c r="G8329">
        <v>-278.61399999999998</v>
      </c>
      <c r="H8329" s="1">
        <v>-3.1818740000000001E-6</v>
      </c>
      <c r="I8329">
        <v>-61.977339999999998</v>
      </c>
      <c r="J8329">
        <v>-291.63319999999999</v>
      </c>
      <c r="K8329">
        <v>1.1234170000000001</v>
      </c>
      <c r="L8329">
        <v>-58.251280000000001</v>
      </c>
      <c r="M8329">
        <v>0.84819319999999898</v>
      </c>
      <c r="N8329">
        <v>-1.2741830000000001E-2</v>
      </c>
      <c r="O8329">
        <v>-0.52953380000000005</v>
      </c>
      <c r="P8329">
        <v>0.94525040000000005</v>
      </c>
      <c r="Q8329">
        <v>-5.7934270000000003E-2</v>
      </c>
      <c r="R8329">
        <v>-0.32116299999999998</v>
      </c>
      <c r="S8329">
        <v>2.8777469999999998</v>
      </c>
      <c r="T8329">
        <v>-0.2470464</v>
      </c>
      <c r="U8329">
        <v>-0.82781979999999999</v>
      </c>
      <c r="V8329">
        <v>-0.227909</v>
      </c>
      <c r="W8329">
        <v>-4.6749190000000003E-2</v>
      </c>
      <c r="X8329">
        <v>0.97255950000000002</v>
      </c>
      <c r="Y8329">
        <v>-0.27230769999999999</v>
      </c>
      <c r="Z8329">
        <v>4.8059820000000003E-2</v>
      </c>
      <c r="AA8329">
        <v>0.96100929999999996</v>
      </c>
      <c r="AB8329">
        <v>16</v>
      </c>
      <c r="AC8329">
        <v>13.0191999999999</v>
      </c>
      <c r="AD8329">
        <v>-1.1234201818739999</v>
      </c>
      <c r="AE8329">
        <v>-3.7260599999999999</v>
      </c>
      <c r="AF8329">
        <v>-3.7084683315033899</v>
      </c>
      <c r="AG8329">
        <v>-1.1234201818739999</v>
      </c>
      <c r="AH8329">
        <v>12.927955325795899</v>
      </c>
      <c r="AI8329">
        <v>94.774818217778801</v>
      </c>
      <c r="AJ8329">
        <v>106.005883800532</v>
      </c>
      <c r="AK8329">
        <v>13.4961786879316</v>
      </c>
      <c r="AL8329">
        <v>92.679507919235704</v>
      </c>
      <c r="AM8329">
        <v>103.18867663711799</v>
      </c>
      <c r="AN8329">
        <v>0.99999999004345297</v>
      </c>
    </row>
    <row r="8330" spans="1:40" x14ac:dyDescent="0.25">
      <c r="A8330" t="str">
        <f>"20190303154009050"</f>
        <v>20190303154009050</v>
      </c>
      <c r="B8330" t="str">
        <f>"1551598809046746"</f>
        <v>1551598809046746</v>
      </c>
      <c r="C8330" t="s">
        <v>40</v>
      </c>
      <c r="D8330">
        <v>4.7458140000000002</v>
      </c>
      <c r="E8330">
        <v>0.48305779999999898</v>
      </c>
      <c r="F8330" t="s">
        <v>84</v>
      </c>
      <c r="G8330">
        <v>-278.64499999999998</v>
      </c>
      <c r="H8330" s="1">
        <v>-3.1913190000000001E-6</v>
      </c>
      <c r="I8330">
        <v>-61.969119999999997</v>
      </c>
      <c r="J8330">
        <v>-291.55900000000003</v>
      </c>
      <c r="K8330">
        <v>1.1234489999999999</v>
      </c>
      <c r="L8330">
        <v>-58.293759999999999</v>
      </c>
      <c r="M8330">
        <v>0.84961019999999898</v>
      </c>
      <c r="N8330">
        <v>-1.336241E-2</v>
      </c>
      <c r="O8330">
        <v>-0.52724179999999998</v>
      </c>
      <c r="P8330">
        <v>0.94592600000000004</v>
      </c>
      <c r="Q8330">
        <v>-5.8657399999999998E-2</v>
      </c>
      <c r="R8330">
        <v>-0.31903569999999998</v>
      </c>
      <c r="S8330">
        <v>2.8785400000000001</v>
      </c>
      <c r="T8330">
        <v>-0.24898039999999999</v>
      </c>
      <c r="U8330">
        <v>-0.823974599999999</v>
      </c>
      <c r="V8330">
        <v>-0.227468</v>
      </c>
      <c r="W8330">
        <v>-4.6788049999999998E-2</v>
      </c>
      <c r="X8330">
        <v>0.97266090000000005</v>
      </c>
      <c r="Y8330">
        <v>-0.27095999999999998</v>
      </c>
      <c r="Z8330">
        <v>4.802708E-2</v>
      </c>
      <c r="AA8330">
        <v>0.96139169999999996</v>
      </c>
      <c r="AB8330">
        <v>16</v>
      </c>
      <c r="AC8330">
        <v>12.914</v>
      </c>
      <c r="AD8330">
        <v>-1.1234521913190001</v>
      </c>
      <c r="AE8330">
        <v>-3.6753599999999902</v>
      </c>
      <c r="AF8330">
        <v>-3.66087652999766</v>
      </c>
      <c r="AG8330">
        <v>-1.1234521913190001</v>
      </c>
      <c r="AH8330">
        <v>12.821061741341699</v>
      </c>
      <c r="AI8330">
        <v>94.816251705073995</v>
      </c>
      <c r="AJ8330">
        <v>105.93595900404399</v>
      </c>
      <c r="AK8330">
        <v>13.380724418706301</v>
      </c>
      <c r="AL8330">
        <v>92.681736793182907</v>
      </c>
      <c r="AM8330">
        <v>103.162721673573</v>
      </c>
      <c r="AN8330">
        <v>1.0000000195178</v>
      </c>
    </row>
    <row r="8331" spans="1:40" x14ac:dyDescent="0.25">
      <c r="A8331" t="str">
        <f>"20190303154009064"</f>
        <v>20190303154009064</v>
      </c>
      <c r="B8331" t="str">
        <f>"1551598809056506"</f>
        <v>1551598809056506</v>
      </c>
      <c r="C8331" t="s">
        <v>40</v>
      </c>
      <c r="D8331">
        <v>4.7479550000000001</v>
      </c>
      <c r="E8331">
        <v>0.483462</v>
      </c>
      <c r="F8331" t="s">
        <v>84</v>
      </c>
      <c r="G8331">
        <v>-278.63130000000001</v>
      </c>
      <c r="H8331" s="1">
        <v>-3.190356E-6</v>
      </c>
      <c r="I8331">
        <v>-61.996769999999998</v>
      </c>
      <c r="J8331">
        <v>-291.48149999999998</v>
      </c>
      <c r="K8331">
        <v>1.1234569999999999</v>
      </c>
      <c r="L8331">
        <v>-58.337890000000002</v>
      </c>
      <c r="M8331">
        <v>0.85099269999999905</v>
      </c>
      <c r="N8331">
        <v>-1.4320660000000001E-2</v>
      </c>
      <c r="O8331">
        <v>-0.52498239999999996</v>
      </c>
      <c r="P8331">
        <v>0.94659519999999997</v>
      </c>
      <c r="Q8331">
        <v>-5.9096500000000003E-2</v>
      </c>
      <c r="R8331">
        <v>-0.31696249999999998</v>
      </c>
      <c r="S8331">
        <v>2.8779910000000002</v>
      </c>
      <c r="T8331">
        <v>-0.25010559999999998</v>
      </c>
      <c r="U8331">
        <v>-0.82437130000000003</v>
      </c>
      <c r="V8331">
        <v>-0.22703619999999999</v>
      </c>
      <c r="W8331">
        <v>-4.6166239999999997E-2</v>
      </c>
      <c r="X8331">
        <v>0.97279139999999997</v>
      </c>
      <c r="Y8331">
        <v>-0.268254299999999</v>
      </c>
      <c r="Z8331">
        <v>4.7627309999999999E-2</v>
      </c>
      <c r="AA8331">
        <v>0.96217010000000003</v>
      </c>
      <c r="AB8331">
        <v>15</v>
      </c>
      <c r="AC8331">
        <v>12.8501999999999</v>
      </c>
      <c r="AD8331">
        <v>-1.123460190356</v>
      </c>
      <c r="AE8331">
        <v>-3.6588799999999901</v>
      </c>
      <c r="AF8331">
        <v>-3.6073159104180101</v>
      </c>
      <c r="AG8331">
        <v>-1.123460190356</v>
      </c>
      <c r="AH8331">
        <v>12.767321991137299</v>
      </c>
      <c r="AI8331">
        <v>94.840250826822498</v>
      </c>
      <c r="AJ8331">
        <v>105.77726113102401</v>
      </c>
      <c r="AK8331">
        <v>13.314631114013199</v>
      </c>
      <c r="AL8331">
        <v>92.646071392145799</v>
      </c>
      <c r="AM8331">
        <v>103.136901153029</v>
      </c>
      <c r="AN8331">
        <v>0.99999993287006606</v>
      </c>
    </row>
    <row r="8332" spans="1:40" x14ac:dyDescent="0.25">
      <c r="A8332" t="str">
        <f>"20190303154009078"</f>
        <v>20190303154009078</v>
      </c>
      <c r="B8332" t="str">
        <f>"1551598809066266"</f>
        <v>1551598809066266</v>
      </c>
      <c r="C8332" t="s">
        <v>40</v>
      </c>
      <c r="D8332">
        <v>4.7325980000000003</v>
      </c>
      <c r="E8332">
        <v>0.48383140000000002</v>
      </c>
      <c r="F8332" t="s">
        <v>84</v>
      </c>
      <c r="G8332">
        <v>-278.56580000000002</v>
      </c>
      <c r="H8332" s="1">
        <v>-3.1715060000000002E-6</v>
      </c>
      <c r="I8332">
        <v>-62.022530000000003</v>
      </c>
      <c r="J8332">
        <v>-291.39999999999998</v>
      </c>
      <c r="K8332">
        <v>1.1234679999999999</v>
      </c>
      <c r="L8332">
        <v>-58.384160000000001</v>
      </c>
      <c r="M8332">
        <v>0.85237770000000002</v>
      </c>
      <c r="N8332">
        <v>-1.541471E-2</v>
      </c>
      <c r="O8332">
        <v>-0.52269940000000004</v>
      </c>
      <c r="P8332">
        <v>0.94733230000000002</v>
      </c>
      <c r="Q8332">
        <v>-5.9936879999999998E-2</v>
      </c>
      <c r="R8332">
        <v>-0.31459409999999999</v>
      </c>
      <c r="S8332">
        <v>2.8786320000000001</v>
      </c>
      <c r="T8332">
        <v>-0.25039549999999999</v>
      </c>
      <c r="U8332">
        <v>-0.82122799999999996</v>
      </c>
      <c r="V8332">
        <v>-0.22687109999999999</v>
      </c>
      <c r="W8332">
        <v>-4.581118E-2</v>
      </c>
      <c r="X8332">
        <v>0.97284669999999895</v>
      </c>
      <c r="Y8332">
        <v>-0.26673980000000003</v>
      </c>
      <c r="Z8332">
        <v>4.704349E-2</v>
      </c>
      <c r="AA8332">
        <v>0.96261969999999997</v>
      </c>
      <c r="AB8332">
        <v>15</v>
      </c>
      <c r="AC8332">
        <v>12.8341999999999</v>
      </c>
      <c r="AD8332">
        <v>-1.123471171506</v>
      </c>
      <c r="AE8332">
        <v>-3.6383700000000001</v>
      </c>
      <c r="AF8332">
        <v>-3.58218422160442</v>
      </c>
      <c r="AG8332">
        <v>-1.123471171506</v>
      </c>
      <c r="AH8332">
        <v>12.7524355541945</v>
      </c>
      <c r="AI8332">
        <v>94.8479873070183</v>
      </c>
      <c r="AJ8332">
        <v>105.69015701665001</v>
      </c>
      <c r="AK8332">
        <v>13.293564000470299</v>
      </c>
      <c r="AL8332">
        <v>92.625706409221394</v>
      </c>
      <c r="AM8332">
        <v>103.126958616339</v>
      </c>
      <c r="AN8332">
        <v>0.99999993096454298</v>
      </c>
    </row>
    <row r="8333" spans="1:40" x14ac:dyDescent="0.25">
      <c r="A8333" t="str">
        <f>"20190303154009093"</f>
        <v>20190303154009093</v>
      </c>
      <c r="B8333" t="str">
        <f>"1551598809086762"</f>
        <v>1551598809086762</v>
      </c>
      <c r="C8333" t="s">
        <v>40</v>
      </c>
      <c r="D8333">
        <v>4.7147189999999997</v>
      </c>
      <c r="E8333">
        <v>0.48441339999999999</v>
      </c>
      <c r="F8333" t="s">
        <v>84</v>
      </c>
      <c r="G8333">
        <v>-278.58080000000001</v>
      </c>
      <c r="H8333" s="1">
        <v>-3.17633E-6</v>
      </c>
      <c r="I8333">
        <v>-62.020479999999999</v>
      </c>
      <c r="J8333">
        <v>-291.31819999999999</v>
      </c>
      <c r="K8333">
        <v>1.123494</v>
      </c>
      <c r="L8333">
        <v>-58.430540000000001</v>
      </c>
      <c r="M8333">
        <v>0.85369649999999997</v>
      </c>
      <c r="N8333">
        <v>-1.6588189999999999E-2</v>
      </c>
      <c r="O8333">
        <v>-0.52050669999999999</v>
      </c>
      <c r="P8333">
        <v>0.9479474</v>
      </c>
      <c r="Q8333">
        <v>-6.0919510000000003E-2</v>
      </c>
      <c r="R8333">
        <v>-0.31254589999999999</v>
      </c>
      <c r="S8333">
        <v>2.8796080000000002</v>
      </c>
      <c r="T8333">
        <v>-0.25236710000000001</v>
      </c>
      <c r="U8333">
        <v>-0.81683349999999999</v>
      </c>
      <c r="V8333">
        <v>-0.22647639999999999</v>
      </c>
      <c r="W8333">
        <v>-4.5529729999999997E-2</v>
      </c>
      <c r="X8333">
        <v>0.97295189999999998</v>
      </c>
      <c r="Y8333">
        <v>-0.26571810000000001</v>
      </c>
      <c r="Z8333">
        <v>4.6813819999999999E-2</v>
      </c>
      <c r="AA8333">
        <v>0.96291349999999998</v>
      </c>
      <c r="AB8333">
        <v>15</v>
      </c>
      <c r="AC8333">
        <v>12.7373999999999</v>
      </c>
      <c r="AD8333">
        <v>-1.1234971763299999</v>
      </c>
      <c r="AE8333">
        <v>-3.5899399999999999</v>
      </c>
      <c r="AF8333">
        <v>-3.5401574955659401</v>
      </c>
      <c r="AG8333">
        <v>-1.1234971763299999</v>
      </c>
      <c r="AH8333">
        <v>12.6530175888042</v>
      </c>
      <c r="AI8333">
        <v>94.887416573789594</v>
      </c>
      <c r="AJ8333">
        <v>105.63096124749001</v>
      </c>
      <c r="AK8333">
        <v>13.1868804158233</v>
      </c>
      <c r="AL8333">
        <v>92.609563596613299</v>
      </c>
      <c r="AM8333">
        <v>103.103541718736</v>
      </c>
      <c r="AN8333">
        <v>0.99999995789221996</v>
      </c>
    </row>
    <row r="8334" spans="1:40" x14ac:dyDescent="0.25">
      <c r="A8334" t="str">
        <f>"20190303154009103"</f>
        <v>20190303154009103</v>
      </c>
      <c r="B8334" t="str">
        <f>"1551598809097030"</f>
        <v>1551598809097030</v>
      </c>
      <c r="C8334" t="s">
        <v>40</v>
      </c>
      <c r="D8334">
        <v>4.7361740000000001</v>
      </c>
      <c r="E8334">
        <v>0.48473699999999997</v>
      </c>
      <c r="F8334" t="s">
        <v>84</v>
      </c>
      <c r="G8334">
        <v>-278.63330000000002</v>
      </c>
      <c r="H8334" s="1">
        <v>-3.1942569999999999E-6</v>
      </c>
      <c r="I8334">
        <v>-62.020980000000002</v>
      </c>
      <c r="J8334">
        <v>-291.25400000000002</v>
      </c>
      <c r="K8334">
        <v>1.1235459999999999</v>
      </c>
      <c r="L8334">
        <v>-58.466830000000002</v>
      </c>
      <c r="M8334">
        <v>0.85465729999999995</v>
      </c>
      <c r="N8334">
        <v>-1.7548089999999999E-2</v>
      </c>
      <c r="O8334">
        <v>-0.51889589999999997</v>
      </c>
      <c r="P8334">
        <v>0.94850869999999998</v>
      </c>
      <c r="Q8334">
        <v>-6.1012759999999999E-2</v>
      </c>
      <c r="R8334">
        <v>-0.31081959999999997</v>
      </c>
      <c r="S8334">
        <v>2.8796080000000002</v>
      </c>
      <c r="T8334">
        <v>-0.25504450000000001</v>
      </c>
      <c r="U8334">
        <v>-0.81506350000000005</v>
      </c>
      <c r="V8334">
        <v>-0.2264361</v>
      </c>
      <c r="W8334">
        <v>-4.4621210000000001E-2</v>
      </c>
      <c r="X8334">
        <v>0.97300339999999996</v>
      </c>
      <c r="Y8334">
        <v>-0.26443820000000001</v>
      </c>
      <c r="Z8334">
        <v>4.6845970000000001E-2</v>
      </c>
      <c r="AA8334">
        <v>0.96326420000000001</v>
      </c>
      <c r="AB8334">
        <v>14</v>
      </c>
      <c r="AC8334">
        <v>12.620699999999999</v>
      </c>
      <c r="AD8334">
        <v>-1.123549194257</v>
      </c>
      <c r="AE8334">
        <v>-3.5541499999999999</v>
      </c>
      <c r="AF8334">
        <v>-3.4861909443377299</v>
      </c>
      <c r="AG8334">
        <v>-1.123549194257</v>
      </c>
      <c r="AH8334">
        <v>12.540467957210399</v>
      </c>
      <c r="AI8334">
        <v>94.933568903475006</v>
      </c>
      <c r="AJ8334">
        <v>105.535679799983</v>
      </c>
      <c r="AK8334">
        <v>13.0644259987999</v>
      </c>
      <c r="AL8334">
        <v>92.557456191033694</v>
      </c>
      <c r="AM8334">
        <v>103.100620946934</v>
      </c>
      <c r="AN8334">
        <v>0.99999998808831603</v>
      </c>
    </row>
    <row r="8335" spans="1:40" x14ac:dyDescent="0.25">
      <c r="A8335" t="str">
        <f>"20190303154009117"</f>
        <v>20190303154009117</v>
      </c>
      <c r="B8335" t="str">
        <f>"1551598809106789"</f>
        <v>1551598809106789</v>
      </c>
      <c r="C8335" t="s">
        <v>40</v>
      </c>
      <c r="D8335">
        <v>4.7397720000000003</v>
      </c>
      <c r="E8335">
        <v>0.48502990000000001</v>
      </c>
      <c r="F8335" t="s">
        <v>84</v>
      </c>
      <c r="G8335">
        <v>-278.56630000000001</v>
      </c>
      <c r="H8335" s="1">
        <v>-3.1747599999999998E-6</v>
      </c>
      <c r="I8335">
        <v>-62.0456199999999</v>
      </c>
      <c r="J8335">
        <v>-291.1859</v>
      </c>
      <c r="K8335">
        <v>1.1236139999999999</v>
      </c>
      <c r="L8335">
        <v>-58.505159999999997</v>
      </c>
      <c r="M8335">
        <v>0.85566790000000004</v>
      </c>
      <c r="N8335">
        <v>-1.856729E-2</v>
      </c>
      <c r="O8335">
        <v>-0.51719219999999999</v>
      </c>
      <c r="P8335">
        <v>0.9490693</v>
      </c>
      <c r="Q8335">
        <v>-6.1659989999999998E-2</v>
      </c>
      <c r="R8335">
        <v>-0.3089749</v>
      </c>
      <c r="S8335">
        <v>2.880188</v>
      </c>
      <c r="T8335">
        <v>-0.25505270000000002</v>
      </c>
      <c r="U8335">
        <v>-0.81240840000000003</v>
      </c>
      <c r="V8335">
        <v>-0.22638910000000001</v>
      </c>
      <c r="W8335">
        <v>-4.4224489999999998E-2</v>
      </c>
      <c r="X8335">
        <v>0.97303249999999997</v>
      </c>
      <c r="Y8335">
        <v>-0.26343040000000001</v>
      </c>
      <c r="Z8335">
        <v>4.6293910000000001E-2</v>
      </c>
      <c r="AA8335">
        <v>0.96356699999999995</v>
      </c>
      <c r="AB8335">
        <v>14</v>
      </c>
      <c r="AC8335">
        <v>12.619599999999901</v>
      </c>
      <c r="AD8335">
        <v>-1.1236171747599999</v>
      </c>
      <c r="AE8335">
        <v>-3.5404599999999902</v>
      </c>
      <c r="AF8335">
        <v>-3.4723842824184601</v>
      </c>
      <c r="AG8335">
        <v>-1.1236171747599999</v>
      </c>
      <c r="AH8335">
        <v>12.53930790265</v>
      </c>
      <c r="AI8335">
        <v>94.935680560030505</v>
      </c>
      <c r="AJ8335">
        <v>105.478470768942</v>
      </c>
      <c r="AK8335">
        <v>13.0596405324826</v>
      </c>
      <c r="AL8335">
        <v>92.534703220954398</v>
      </c>
      <c r="AM8335">
        <v>103.097617278499</v>
      </c>
      <c r="AN8335">
        <v>1.0000000380853999</v>
      </c>
    </row>
    <row r="8336" spans="1:40" x14ac:dyDescent="0.25">
      <c r="A8336" t="str">
        <f>"20190303154009130"</f>
        <v>20190303154009130</v>
      </c>
      <c r="B8336" t="str">
        <f>"1551598809126309"</f>
        <v>1551598809126309</v>
      </c>
      <c r="C8336" t="s">
        <v>40</v>
      </c>
      <c r="D8336">
        <v>4.7189230000000002</v>
      </c>
      <c r="E8336">
        <v>0.48531639999999998</v>
      </c>
      <c r="F8336" t="s">
        <v>84</v>
      </c>
      <c r="G8336">
        <v>-278.62819999999999</v>
      </c>
      <c r="H8336" s="1">
        <v>-3.1939060000000002E-6</v>
      </c>
      <c r="I8336">
        <v>-62.031260000000003</v>
      </c>
      <c r="J8336">
        <v>-291.11669999999998</v>
      </c>
      <c r="K8336">
        <v>1.1237060000000001</v>
      </c>
      <c r="L8336">
        <v>-58.544069999999998</v>
      </c>
      <c r="M8336">
        <v>0.85669850000000003</v>
      </c>
      <c r="N8336">
        <v>-1.9597420000000001E-2</v>
      </c>
      <c r="O8336">
        <v>-0.5154455</v>
      </c>
      <c r="P8336">
        <v>0.94973810000000003</v>
      </c>
      <c r="Q8336">
        <v>-6.3119399999999895E-2</v>
      </c>
      <c r="R8336">
        <v>-0.30661680000000002</v>
      </c>
      <c r="S8336">
        <v>2.88089</v>
      </c>
      <c r="T8336">
        <v>-0.25777109999999998</v>
      </c>
      <c r="U8336">
        <v>-0.80892940000000002</v>
      </c>
      <c r="V8336">
        <v>-0.22678889999999999</v>
      </c>
      <c r="W8336">
        <v>-4.4649090000000002E-2</v>
      </c>
      <c r="X8336">
        <v>0.97291989999999995</v>
      </c>
      <c r="Y8336">
        <v>-0.26259320000000003</v>
      </c>
      <c r="Z8336">
        <v>4.6314950000000001E-2</v>
      </c>
      <c r="AA8336">
        <v>0.9637945</v>
      </c>
      <c r="AB8336">
        <v>14</v>
      </c>
      <c r="AC8336">
        <v>12.488499999999901</v>
      </c>
      <c r="AD8336">
        <v>-1.12370919390599</v>
      </c>
      <c r="AE8336">
        <v>-3.4871899999999898</v>
      </c>
      <c r="AF8336">
        <v>-3.4246113224816201</v>
      </c>
      <c r="AG8336">
        <v>-1.12370919390599</v>
      </c>
      <c r="AH8336">
        <v>12.405558771954899</v>
      </c>
      <c r="AI8336">
        <v>94.990136842157796</v>
      </c>
      <c r="AJ8336">
        <v>105.432410881409</v>
      </c>
      <c r="AK8336">
        <v>12.918536043490599</v>
      </c>
      <c r="AL8336">
        <v>92.559055316446305</v>
      </c>
      <c r="AM8336">
        <v>103.121413932808</v>
      </c>
      <c r="AN8336">
        <v>0.99999993910852203</v>
      </c>
    </row>
    <row r="8337" spans="1:40" x14ac:dyDescent="0.25">
      <c r="A8337" t="str">
        <f>"20190303154009143"</f>
        <v>20190303154009143</v>
      </c>
      <c r="B8337" t="str">
        <f>"1551598809137045"</f>
        <v>1551598809137045</v>
      </c>
      <c r="C8337" t="s">
        <v>40</v>
      </c>
      <c r="D8337">
        <v>4.7131270000000001</v>
      </c>
      <c r="E8337">
        <v>0.49207119999999999</v>
      </c>
      <c r="F8337" t="s">
        <v>84</v>
      </c>
      <c r="G8337">
        <v>-278.79259999999999</v>
      </c>
      <c r="H8337" s="1">
        <v>-3.2432539999999999E-6</v>
      </c>
      <c r="I8337">
        <v>-61.981969999999997</v>
      </c>
      <c r="J8337">
        <v>-291.04430000000002</v>
      </c>
      <c r="K8337">
        <v>1.1238699999999999</v>
      </c>
      <c r="L8337">
        <v>-58.584350000000001</v>
      </c>
      <c r="M8337">
        <v>0.85796459999999997</v>
      </c>
      <c r="N8337">
        <v>-2.0485659999999999E-2</v>
      </c>
      <c r="O8337">
        <v>-0.5133006</v>
      </c>
      <c r="P8337">
        <v>0.95045570000000001</v>
      </c>
      <c r="Q8337">
        <v>-6.4077159999999994E-2</v>
      </c>
      <c r="R8337">
        <v>-0.30418489999999998</v>
      </c>
      <c r="S8337">
        <v>2.8817750000000002</v>
      </c>
      <c r="T8337">
        <v>-0.26275959999999998</v>
      </c>
      <c r="U8337">
        <v>-0.803894</v>
      </c>
      <c r="V8337">
        <v>-0.2268144</v>
      </c>
      <c r="W8337">
        <v>-4.478414E-2</v>
      </c>
      <c r="X8337">
        <v>0.97290779999999999</v>
      </c>
      <c r="Y8337">
        <v>-0.2617642</v>
      </c>
      <c r="Z8337">
        <v>4.6847159999999999E-2</v>
      </c>
      <c r="AA8337">
        <v>0.96399420000000002</v>
      </c>
      <c r="AB8337">
        <v>14</v>
      </c>
      <c r="AC8337">
        <v>12.2517</v>
      </c>
      <c r="AD8337">
        <v>-1.123873243254</v>
      </c>
      <c r="AE8337">
        <v>-3.3976199999999901</v>
      </c>
      <c r="AF8337">
        <v>-3.3483115433631401</v>
      </c>
      <c r="AG8337">
        <v>-1.123873243254</v>
      </c>
      <c r="AH8337">
        <v>12.1630549412217</v>
      </c>
      <c r="AI8337">
        <v>95.090848400110602</v>
      </c>
      <c r="AJ8337">
        <v>105.391453095779</v>
      </c>
      <c r="AK8337">
        <v>12.665472228128699</v>
      </c>
      <c r="AL8337">
        <v>92.566800730877006</v>
      </c>
      <c r="AM8337">
        <v>103.122995801165</v>
      </c>
      <c r="AN8337">
        <v>0.99999998927186895</v>
      </c>
    </row>
    <row r="8338" spans="1:40" x14ac:dyDescent="0.25">
      <c r="A8338" t="str">
        <f>"20190303154009156"</f>
        <v>20190303154009156</v>
      </c>
      <c r="B8338" t="str">
        <f>"1551598809146805"</f>
        <v>1551598809146805</v>
      </c>
      <c r="C8338" t="s">
        <v>40</v>
      </c>
      <c r="D8338">
        <v>4.7265480000000002</v>
      </c>
      <c r="E8338">
        <v>0.49207119999999999</v>
      </c>
      <c r="F8338" t="s">
        <v>84</v>
      </c>
      <c r="G8338">
        <v>-278.97710000000001</v>
      </c>
      <c r="H8338" s="1">
        <v>-3.3288510000000001E-6</v>
      </c>
      <c r="I8338">
        <v>-62.152410000000003</v>
      </c>
      <c r="J8338">
        <v>-290.97410000000002</v>
      </c>
      <c r="K8338">
        <v>1.124026</v>
      </c>
      <c r="L8338">
        <v>-58.623019999999997</v>
      </c>
      <c r="M8338">
        <v>0.85940030000000001</v>
      </c>
      <c r="N8338">
        <v>-2.0860299999999998E-2</v>
      </c>
      <c r="O8338">
        <v>-0.51087799999999906</v>
      </c>
      <c r="P8338">
        <v>0.9511849</v>
      </c>
      <c r="Q8338">
        <v>-6.5068050000000002E-2</v>
      </c>
      <c r="R8338">
        <v>-0.30168450000000002</v>
      </c>
      <c r="S8338">
        <v>2.8670650000000002</v>
      </c>
      <c r="T8338">
        <v>-0.26702500000000001</v>
      </c>
      <c r="U8338">
        <v>-0.84774780000000005</v>
      </c>
      <c r="V8338">
        <v>-0.22657350000000001</v>
      </c>
      <c r="W8338">
        <v>-4.5523300000000003E-2</v>
      </c>
      <c r="X8338">
        <v>0.97292970000000001</v>
      </c>
      <c r="Y8338">
        <v>-0.2441151</v>
      </c>
      <c r="Z8338">
        <v>4.6603440000000003E-2</v>
      </c>
      <c r="AA8338">
        <v>0.96862579999999998</v>
      </c>
      <c r="AB8338">
        <v>14</v>
      </c>
      <c r="AC8338">
        <v>11.997</v>
      </c>
      <c r="AD8338">
        <v>-1.1240293288509999</v>
      </c>
      <c r="AE8338">
        <v>-3.5293899999999998</v>
      </c>
      <c r="AF8338">
        <v>-3.0717013017349002</v>
      </c>
      <c r="AG8338">
        <v>-1.1240293288509999</v>
      </c>
      <c r="AH8338">
        <v>12.018846273910899</v>
      </c>
      <c r="AI8338">
        <v>95.177421768216803</v>
      </c>
      <c r="AJ8338">
        <v>104.33641257950801</v>
      </c>
      <c r="AK8338">
        <v>12.4559807552476</v>
      </c>
      <c r="AL8338">
        <v>92.609194531971397</v>
      </c>
      <c r="AM8338">
        <v>103.10925457004799</v>
      </c>
      <c r="AN8338">
        <v>1.00000006144361</v>
      </c>
    </row>
    <row r="8339" spans="1:40" x14ac:dyDescent="0.25">
      <c r="A8339" t="str">
        <f>"20190303154009170"</f>
        <v>20190303154009170</v>
      </c>
      <c r="B8339" t="str">
        <f>"1551598809166326"</f>
        <v>1551598809166326</v>
      </c>
      <c r="C8339" t="s">
        <v>40</v>
      </c>
      <c r="D8339">
        <v>4.6794409999999997</v>
      </c>
      <c r="E8339">
        <v>0.45572810000000002</v>
      </c>
      <c r="F8339" t="s">
        <v>84</v>
      </c>
      <c r="G8339">
        <v>-279.02820000000003</v>
      </c>
      <c r="H8339" s="1">
        <v>-3.3420380000000001E-6</v>
      </c>
      <c r="I8339">
        <v>-62.121189999999999</v>
      </c>
      <c r="J8339">
        <v>-290.90649999999999</v>
      </c>
      <c r="K8339">
        <v>1.124182</v>
      </c>
      <c r="L8339">
        <v>-58.659939999999999</v>
      </c>
      <c r="M8339">
        <v>0.86092780000000002</v>
      </c>
      <c r="N8339">
        <v>-2.085826E-2</v>
      </c>
      <c r="O8339">
        <v>-0.50829939999999996</v>
      </c>
      <c r="P8339">
        <v>0.95174579999999998</v>
      </c>
      <c r="Q8339">
        <v>-6.5350030000000003E-2</v>
      </c>
      <c r="R8339">
        <v>-0.29984909999999998</v>
      </c>
      <c r="S8339">
        <v>2.8690190000000002</v>
      </c>
      <c r="T8339">
        <v>-0.26995540000000001</v>
      </c>
      <c r="U8339">
        <v>-0.84014889999999998</v>
      </c>
      <c r="V8339">
        <v>-0.2254911</v>
      </c>
      <c r="W8339">
        <v>-4.5960510000000003E-2</v>
      </c>
      <c r="X8339">
        <v>0.97316049999999998</v>
      </c>
      <c r="Y8339">
        <v>-0.2437029</v>
      </c>
      <c r="Z8339">
        <v>4.7032780000000003E-2</v>
      </c>
      <c r="AA8339">
        <v>0.96870880000000004</v>
      </c>
      <c r="AB8339">
        <v>14</v>
      </c>
      <c r="AC8339">
        <v>11.8782999999999</v>
      </c>
      <c r="AD8339">
        <v>-1.1241853420379999</v>
      </c>
      <c r="AE8339">
        <v>-3.4612500000000002</v>
      </c>
      <c r="AF8339">
        <v>-3.0334672450323401</v>
      </c>
      <c r="AG8339">
        <v>-1.1241853420379999</v>
      </c>
      <c r="AH8339">
        <v>11.8901519927102</v>
      </c>
      <c r="AI8339">
        <v>95.234433671544295</v>
      </c>
      <c r="AJ8339">
        <v>104.312241135791</v>
      </c>
      <c r="AK8339">
        <v>12.322395490312999</v>
      </c>
      <c r="AL8339">
        <v>92.634271276408001</v>
      </c>
      <c r="AM8339">
        <v>103.045787451309</v>
      </c>
      <c r="AN8339">
        <v>0.99999998170945903</v>
      </c>
    </row>
    <row r="8340" spans="1:40" x14ac:dyDescent="0.25">
      <c r="A8340" t="str">
        <f>"20190303154009182"</f>
        <v>20190303154009182</v>
      </c>
      <c r="B8340" t="str">
        <f>"1551598809177061"</f>
        <v>1551598809177061</v>
      </c>
      <c r="C8340" t="s">
        <v>40</v>
      </c>
      <c r="D8340">
        <v>4.6575470000000001</v>
      </c>
      <c r="E8340">
        <v>0.45066780000000001</v>
      </c>
      <c r="F8340" t="s">
        <v>84</v>
      </c>
      <c r="G8340">
        <v>-278.6318</v>
      </c>
      <c r="H8340" s="1">
        <v>-2.9886870000000001E-6</v>
      </c>
      <c r="I8340">
        <v>-60.974550000000001</v>
      </c>
      <c r="J8340">
        <v>-290.83679999999998</v>
      </c>
      <c r="K8340">
        <v>1.1242920000000001</v>
      </c>
      <c r="L8340">
        <v>-58.69708</v>
      </c>
      <c r="M8340">
        <v>0.86257989999999996</v>
      </c>
      <c r="N8340">
        <v>-2.0183349999999999E-2</v>
      </c>
      <c r="O8340">
        <v>-0.50551809999999997</v>
      </c>
      <c r="P8340">
        <v>0.95247979999999999</v>
      </c>
      <c r="Q8340">
        <v>-6.4877099999999993E-2</v>
      </c>
      <c r="R8340">
        <v>-0.2976123</v>
      </c>
      <c r="S8340">
        <v>2.9577640000000001</v>
      </c>
      <c r="T8340">
        <v>-0.2708893</v>
      </c>
      <c r="U8340">
        <v>-0.55773930000000005</v>
      </c>
      <c r="V8340">
        <v>-0.2246011</v>
      </c>
      <c r="W8340">
        <v>-4.6351030000000001E-2</v>
      </c>
      <c r="X8340">
        <v>0.97334779999999999</v>
      </c>
      <c r="Y8340">
        <v>-0.33433459999999998</v>
      </c>
      <c r="Z8340">
        <v>5.15491E-2</v>
      </c>
      <c r="AA8340">
        <v>0.94104359999999998</v>
      </c>
      <c r="AB8340">
        <v>14</v>
      </c>
      <c r="AC8340">
        <v>12.204999999999901</v>
      </c>
      <c r="AD8340">
        <v>-1.124294988687</v>
      </c>
      <c r="AE8340">
        <v>-2.2774699999999899</v>
      </c>
      <c r="AF8340">
        <v>-4.1719945367924396</v>
      </c>
      <c r="AG8340">
        <v>-1.124294988687</v>
      </c>
      <c r="AH8340">
        <v>11.5864592098924</v>
      </c>
      <c r="AI8340">
        <v>95.216475153273805</v>
      </c>
      <c r="AJ8340">
        <v>109.80268146397501</v>
      </c>
      <c r="AK8340">
        <v>12.3659053311561</v>
      </c>
      <c r="AL8340">
        <v>92.656670232028006</v>
      </c>
      <c r="AM8340">
        <v>102.993631863329</v>
      </c>
      <c r="AN8340">
        <v>1.0000000059340499</v>
      </c>
    </row>
    <row r="8341" spans="1:40" x14ac:dyDescent="0.25">
      <c r="A8341" t="str">
        <f>"20190303154009193"</f>
        <v>20190303154009193</v>
      </c>
      <c r="B8341" t="str">
        <f>"1551598809186821"</f>
        <v>1551598809186821</v>
      </c>
      <c r="C8341" t="s">
        <v>40</v>
      </c>
      <c r="D8341">
        <v>4.6529790000000002</v>
      </c>
      <c r="E8341">
        <v>0.4475674</v>
      </c>
      <c r="F8341" t="s">
        <v>84</v>
      </c>
      <c r="G8341">
        <v>-278.42590000000001</v>
      </c>
      <c r="H8341" s="1">
        <v>-2.8695799999999999E-6</v>
      </c>
      <c r="I8341">
        <v>-60.83614</v>
      </c>
      <c r="J8341">
        <v>-290.77749999999997</v>
      </c>
      <c r="K8341">
        <v>1.1243529999999999</v>
      </c>
      <c r="L8341">
        <v>-58.7284199999999</v>
      </c>
      <c r="M8341">
        <v>0.86397939999999995</v>
      </c>
      <c r="N8341">
        <v>-1.9569199999999998E-2</v>
      </c>
      <c r="O8341">
        <v>-0.50314709999999996</v>
      </c>
      <c r="P8341">
        <v>0.9530284</v>
      </c>
      <c r="Q8341">
        <v>-6.4412199999999906E-2</v>
      </c>
      <c r="R8341">
        <v>-0.29595290000000002</v>
      </c>
      <c r="S8341">
        <v>2.9713129999999999</v>
      </c>
      <c r="T8341">
        <v>-0.26916889999999999</v>
      </c>
      <c r="U8341">
        <v>-0.51211549999999995</v>
      </c>
      <c r="V8341">
        <v>-0.2235983</v>
      </c>
      <c r="W8341">
        <v>-4.6635830000000003E-2</v>
      </c>
      <c r="X8341">
        <v>0.97356500000000001</v>
      </c>
      <c r="Y8341">
        <v>-0.3464739</v>
      </c>
      <c r="Z8341">
        <v>5.1782540000000002E-2</v>
      </c>
      <c r="AA8341">
        <v>0.9366293</v>
      </c>
      <c r="AB8341">
        <v>14</v>
      </c>
      <c r="AC8341">
        <v>12.3515999999999</v>
      </c>
      <c r="AD8341">
        <v>-1.12435586958</v>
      </c>
      <c r="AE8341">
        <v>-2.10772</v>
      </c>
      <c r="AF8341">
        <v>-4.3593846930056399</v>
      </c>
      <c r="AG8341">
        <v>-1.12435586958</v>
      </c>
      <c r="AH8341">
        <v>11.6405382736039</v>
      </c>
      <c r="AI8341">
        <v>95.168600231135699</v>
      </c>
      <c r="AJ8341">
        <v>110.530938556598</v>
      </c>
      <c r="AK8341">
        <v>12.480806957977901</v>
      </c>
      <c r="AL8341">
        <v>92.673005872018095</v>
      </c>
      <c r="AM8341">
        <v>102.93478468921499</v>
      </c>
      <c r="AN8341">
        <v>0.99999995481383797</v>
      </c>
    </row>
    <row r="8342" spans="1:40" x14ac:dyDescent="0.25">
      <c r="A8342" t="str">
        <f>"20190303154009205"</f>
        <v>20190303154009205</v>
      </c>
      <c r="B8342" t="str">
        <f>"1551598809196582"</f>
        <v>1551598809196582</v>
      </c>
      <c r="C8342" t="s">
        <v>40</v>
      </c>
      <c r="D8342">
        <v>4.6683120000000002</v>
      </c>
      <c r="E8342">
        <v>0.44558389999999998</v>
      </c>
      <c r="F8342" t="s">
        <v>84</v>
      </c>
      <c r="G8342">
        <v>-278.17759999999998</v>
      </c>
      <c r="H8342" s="1">
        <v>-2.7489430000000002E-6</v>
      </c>
      <c r="I8342">
        <v>-60.772759999999998</v>
      </c>
      <c r="J8342">
        <v>-290.71140000000003</v>
      </c>
      <c r="K8342">
        <v>1.1243669999999999</v>
      </c>
      <c r="L8342">
        <v>-58.76285</v>
      </c>
      <c r="M8342">
        <v>0.86553139999999995</v>
      </c>
      <c r="N8342">
        <v>-1.881642E-2</v>
      </c>
      <c r="O8342">
        <v>-0.50050119999999998</v>
      </c>
      <c r="P8342">
        <v>0.95385129999999996</v>
      </c>
      <c r="Q8342">
        <v>-6.3300129999999996E-2</v>
      </c>
      <c r="R8342">
        <v>-0.29353210000000002</v>
      </c>
      <c r="S8342">
        <v>2.9797359999999999</v>
      </c>
      <c r="T8342">
        <v>-0.26589600000000002</v>
      </c>
      <c r="U8342">
        <v>-0.48345949999999999</v>
      </c>
      <c r="V8342">
        <v>-0.2230943</v>
      </c>
      <c r="W8342">
        <v>-4.6394459999999998E-2</v>
      </c>
      <c r="X8342">
        <v>0.97369220000000001</v>
      </c>
      <c r="Y8342">
        <v>-0.3528348</v>
      </c>
      <c r="Z8342">
        <v>5.143727E-2</v>
      </c>
      <c r="AA8342">
        <v>0.93427070000000001</v>
      </c>
      <c r="AB8342">
        <v>14</v>
      </c>
      <c r="AC8342">
        <v>12.533799999999999</v>
      </c>
      <c r="AD8342">
        <v>-1.124369748943</v>
      </c>
      <c r="AE8342">
        <v>-2.0099099999999899</v>
      </c>
      <c r="AF8342">
        <v>-4.4990465380852003</v>
      </c>
      <c r="AG8342">
        <v>-1.124369748943</v>
      </c>
      <c r="AH8342">
        <v>11.7641613971373</v>
      </c>
      <c r="AI8342">
        <v>95.101289447572697</v>
      </c>
      <c r="AJ8342">
        <v>110.92868632241699</v>
      </c>
      <c r="AK8342">
        <v>12.6452014796954</v>
      </c>
      <c r="AL8342">
        <v>92.659161266117493</v>
      </c>
      <c r="AM8342">
        <v>102.90497689534899</v>
      </c>
      <c r="AN8342">
        <v>1.00000000647601</v>
      </c>
    </row>
    <row r="8343" spans="1:40" x14ac:dyDescent="0.25">
      <c r="A8343" t="str">
        <f>"20190303154009217"</f>
        <v>20190303154009217</v>
      </c>
      <c r="B8343" t="str">
        <f>"1551598809206341"</f>
        <v>1551598809206341</v>
      </c>
      <c r="C8343" t="s">
        <v>40</v>
      </c>
      <c r="D8343">
        <v>4.6767859999999999</v>
      </c>
      <c r="E8343">
        <v>0.44421680000000002</v>
      </c>
      <c r="F8343" t="s">
        <v>84</v>
      </c>
      <c r="G8343">
        <v>-278.05739999999997</v>
      </c>
      <c r="H8343" s="1">
        <v>-2.6845619999999999E-6</v>
      </c>
      <c r="I8343">
        <v>-60.715049999999998</v>
      </c>
      <c r="J8343">
        <v>-290.64760000000001</v>
      </c>
      <c r="K8343">
        <v>1.124336</v>
      </c>
      <c r="L8343">
        <v>-58.795589999999997</v>
      </c>
      <c r="M8343">
        <v>0.86700180000000004</v>
      </c>
      <c r="N8343">
        <v>-1.8184160000000001E-2</v>
      </c>
      <c r="O8343">
        <v>-0.49797340000000001</v>
      </c>
      <c r="P8343">
        <v>0.95466410000000002</v>
      </c>
      <c r="Q8343">
        <v>-6.2586970000000006E-2</v>
      </c>
      <c r="R8343">
        <v>-0.29103200000000001</v>
      </c>
      <c r="S8343">
        <v>2.985779</v>
      </c>
      <c r="T8343">
        <v>-0.26530100000000001</v>
      </c>
      <c r="U8343">
        <v>-0.46063229999999999</v>
      </c>
      <c r="V8343">
        <v>-0.22280330000000001</v>
      </c>
      <c r="W8343">
        <v>-4.6379259999999999E-2</v>
      </c>
      <c r="X8343">
        <v>0.9737595</v>
      </c>
      <c r="Y8343">
        <v>-0.35735339999999999</v>
      </c>
      <c r="Z8343">
        <v>5.1561080000000002E-2</v>
      </c>
      <c r="AA8343">
        <v>0.93254490000000001</v>
      </c>
      <c r="AB8343">
        <v>14</v>
      </c>
      <c r="AC8343">
        <v>12.590199999999999</v>
      </c>
      <c r="AD8343">
        <v>-1.124338684562</v>
      </c>
      <c r="AE8343">
        <v>-1.91945999999999</v>
      </c>
      <c r="AF8343">
        <v>-4.5705483414738302</v>
      </c>
      <c r="AG8343">
        <v>-1.124338684562</v>
      </c>
      <c r="AH8343">
        <v>11.7817031374035</v>
      </c>
      <c r="AI8343">
        <v>95.084256273031698</v>
      </c>
      <c r="AJ8343">
        <v>111.203072497177</v>
      </c>
      <c r="AK8343">
        <v>12.6871028386017</v>
      </c>
      <c r="AL8343">
        <v>92.658289568606307</v>
      </c>
      <c r="AM8343">
        <v>102.88784533881601</v>
      </c>
      <c r="AN8343">
        <v>0.99999995504464201</v>
      </c>
    </row>
    <row r="8344" spans="1:40" x14ac:dyDescent="0.25">
      <c r="A8344" t="str">
        <f>"20190303154009227"</f>
        <v>20190303154009227</v>
      </c>
      <c r="B8344" t="str">
        <f>"1551598809217078"</f>
        <v>1551598809217078</v>
      </c>
      <c r="C8344" t="s">
        <v>40</v>
      </c>
      <c r="D8344">
        <v>4.6390909999999996</v>
      </c>
      <c r="E8344">
        <v>0.44314880000000001</v>
      </c>
      <c r="F8344" t="s">
        <v>84</v>
      </c>
      <c r="G8344">
        <v>-277.95229999999998</v>
      </c>
      <c r="H8344" s="1">
        <v>-2.6302240000000001E-6</v>
      </c>
      <c r="I8344">
        <v>-60.673479999999998</v>
      </c>
      <c r="J8344">
        <v>-290.5874</v>
      </c>
      <c r="K8344">
        <v>1.1242909999999999</v>
      </c>
      <c r="L8344">
        <v>-58.826259999999998</v>
      </c>
      <c r="M8344">
        <v>0.86837319999999996</v>
      </c>
      <c r="N8344">
        <v>-1.7632040000000002E-2</v>
      </c>
      <c r="O8344">
        <v>-0.49559799999999998</v>
      </c>
      <c r="P8344">
        <v>0.95539209999999997</v>
      </c>
      <c r="Q8344">
        <v>-6.191588E-2</v>
      </c>
      <c r="R8344">
        <v>-0.28877819999999998</v>
      </c>
      <c r="S8344">
        <v>2.990265</v>
      </c>
      <c r="T8344">
        <v>-0.26482830000000002</v>
      </c>
      <c r="U8344">
        <v>-0.44232179999999999</v>
      </c>
      <c r="V8344">
        <v>-0.22244149999999999</v>
      </c>
      <c r="W8344">
        <v>-4.6297350000000001E-2</v>
      </c>
      <c r="X8344">
        <v>0.97384610000000005</v>
      </c>
      <c r="Y8344">
        <v>-0.36057820000000002</v>
      </c>
      <c r="Z8344">
        <v>5.1636540000000002E-2</v>
      </c>
      <c r="AA8344">
        <v>0.93129859999999998</v>
      </c>
      <c r="AB8344">
        <v>14</v>
      </c>
      <c r="AC8344">
        <v>12.6351</v>
      </c>
      <c r="AD8344">
        <v>-1.1242936302240001</v>
      </c>
      <c r="AE8344">
        <v>-1.8472200000000001</v>
      </c>
      <c r="AF8344">
        <v>-4.6227417004575404</v>
      </c>
      <c r="AG8344">
        <v>-1.1242936302240001</v>
      </c>
      <c r="AH8344">
        <v>11.797849648180399</v>
      </c>
      <c r="AI8344">
        <v>95.070481884650704</v>
      </c>
      <c r="AJ8344">
        <v>111.39669507914201</v>
      </c>
      <c r="AK8344">
        <v>12.7209682539177</v>
      </c>
      <c r="AL8344">
        <v>92.653591448350397</v>
      </c>
      <c r="AM8344">
        <v>102.866508354319</v>
      </c>
      <c r="AN8344">
        <v>0.99999994601223896</v>
      </c>
    </row>
    <row r="8345" spans="1:40" x14ac:dyDescent="0.25">
      <c r="A8345" t="str">
        <f>"20190303154009239"</f>
        <v>20190303154009239</v>
      </c>
      <c r="B8345" t="str">
        <f>"1551598809236597"</f>
        <v>1551598809236597</v>
      </c>
      <c r="C8345" t="s">
        <v>40</v>
      </c>
      <c r="D8345">
        <v>4.6144660000000002</v>
      </c>
      <c r="E8345">
        <v>0.44174829999999998</v>
      </c>
      <c r="F8345" t="s">
        <v>84</v>
      </c>
      <c r="G8345">
        <v>-277.88069999999999</v>
      </c>
      <c r="H8345" s="1">
        <v>-2.5917780000000001E-6</v>
      </c>
      <c r="I8345">
        <v>-60.638689999999997</v>
      </c>
      <c r="J8345">
        <v>-290.5247</v>
      </c>
      <c r="K8345">
        <v>1.1241969999999999</v>
      </c>
      <c r="L8345">
        <v>-58.857790000000001</v>
      </c>
      <c r="M8345">
        <v>0.869779999999999</v>
      </c>
      <c r="N8345">
        <v>-1.7171760000000001E-2</v>
      </c>
      <c r="O8345">
        <v>-0.49314089999999999</v>
      </c>
      <c r="P8345">
        <v>0.95627119999999999</v>
      </c>
      <c r="Q8345">
        <v>-6.1463650000000002E-2</v>
      </c>
      <c r="R8345">
        <v>-0.28595009999999998</v>
      </c>
      <c r="S8345">
        <v>2.9938660000000001</v>
      </c>
      <c r="T8345">
        <v>-0.26489879999999999</v>
      </c>
      <c r="U8345">
        <v>-0.42703249999999998</v>
      </c>
      <c r="V8345">
        <v>-0.22257950000000001</v>
      </c>
      <c r="W8345">
        <v>-4.6293649999999999E-2</v>
      </c>
      <c r="X8345">
        <v>0.97381479999999998</v>
      </c>
      <c r="Y8345">
        <v>-0.3627456</v>
      </c>
      <c r="Z8345">
        <v>5.1743570000000003E-2</v>
      </c>
      <c r="AA8345">
        <v>0.93045060000000002</v>
      </c>
      <c r="AB8345">
        <v>14</v>
      </c>
      <c r="AC8345">
        <v>12.644</v>
      </c>
      <c r="AD8345">
        <v>-1.1241995917780001</v>
      </c>
      <c r="AE8345">
        <v>-1.7808999999999999</v>
      </c>
      <c r="AF8345">
        <v>-4.6509215823784098</v>
      </c>
      <c r="AG8345">
        <v>-1.1241995917780001</v>
      </c>
      <c r="AH8345">
        <v>11.786123562173</v>
      </c>
      <c r="AI8345">
        <v>95.070299010577102</v>
      </c>
      <c r="AJ8345">
        <v>111.53468519479701</v>
      </c>
      <c r="AK8345">
        <v>12.7203618230928</v>
      </c>
      <c r="AL8345">
        <v>92.653379082325799</v>
      </c>
      <c r="AM8345">
        <v>102.87462469098701</v>
      </c>
      <c r="AN8345">
        <v>1.0000000002748</v>
      </c>
    </row>
    <row r="8346" spans="1:40" x14ac:dyDescent="0.25">
      <c r="A8346" t="str">
        <f>"20190303154009252"</f>
        <v>20190303154009252</v>
      </c>
      <c r="B8346" t="str">
        <f>"1551598809246357"</f>
        <v>1551598809246357</v>
      </c>
      <c r="C8346" t="s">
        <v>40</v>
      </c>
      <c r="D8346">
        <v>4.6171519999999999</v>
      </c>
      <c r="E8346">
        <v>0.44121969999999999</v>
      </c>
      <c r="F8346" t="s">
        <v>84</v>
      </c>
      <c r="G8346">
        <v>-277.77359999999999</v>
      </c>
      <c r="H8346" s="1">
        <v>-2.5351329999999999E-6</v>
      </c>
      <c r="I8346">
        <v>-60.590479999999999</v>
      </c>
      <c r="J8346">
        <v>-290.45690000000002</v>
      </c>
      <c r="K8346">
        <v>1.1240699999999999</v>
      </c>
      <c r="L8346">
        <v>-58.891660000000002</v>
      </c>
      <c r="M8346">
        <v>0.8712955</v>
      </c>
      <c r="N8346">
        <v>-1.6698299999999999E-2</v>
      </c>
      <c r="O8346">
        <v>-0.49047449999999998</v>
      </c>
      <c r="P8346">
        <v>0.95720119999999997</v>
      </c>
      <c r="Q8346">
        <v>-6.1381270000000002E-2</v>
      </c>
      <c r="R8346">
        <v>-0.28283900000000001</v>
      </c>
      <c r="S8346">
        <v>2.998383</v>
      </c>
      <c r="T8346">
        <v>-0.26435380000000003</v>
      </c>
      <c r="U8346">
        <v>-0.40744019999999997</v>
      </c>
      <c r="V8346">
        <v>-0.2227633</v>
      </c>
      <c r="W8346">
        <v>-4.6654870000000001E-2</v>
      </c>
      <c r="X8346">
        <v>0.9737555</v>
      </c>
      <c r="Y8346">
        <v>-0.36604429999999999</v>
      </c>
      <c r="Z8346">
        <v>5.1756219999999999E-2</v>
      </c>
      <c r="AA8346">
        <v>0.92915709999999996</v>
      </c>
      <c r="AB8346">
        <v>14</v>
      </c>
      <c r="AC8346">
        <v>12.683299999999999</v>
      </c>
      <c r="AD8346">
        <v>-1.1240725351330001</v>
      </c>
      <c r="AE8346">
        <v>-1.69882000000001</v>
      </c>
      <c r="AF8346">
        <v>-4.70501754871714</v>
      </c>
      <c r="AG8346">
        <v>-1.1240725351330001</v>
      </c>
      <c r="AH8346">
        <v>11.794777277439501</v>
      </c>
      <c r="AI8346">
        <v>95.058610852409402</v>
      </c>
      <c r="AJ8346">
        <v>111.747395691422</v>
      </c>
      <c r="AK8346">
        <v>12.7482351806977</v>
      </c>
      <c r="AL8346">
        <v>92.674097933812007</v>
      </c>
      <c r="AM8346">
        <v>102.88565998021799</v>
      </c>
      <c r="AN8346">
        <v>0.99999996925092804</v>
      </c>
    </row>
    <row r="8347" spans="1:40" x14ac:dyDescent="0.25">
      <c r="A8347" t="str">
        <f>"20190303154009264"</f>
        <v>20190303154009264</v>
      </c>
      <c r="B8347" t="str">
        <f>"1551598809257093"</f>
        <v>1551598809257093</v>
      </c>
      <c r="C8347" t="s">
        <v>40</v>
      </c>
      <c r="D8347">
        <v>4.6319299999999997</v>
      </c>
      <c r="E8347">
        <v>0.44089489999999998</v>
      </c>
      <c r="F8347" t="s">
        <v>84</v>
      </c>
      <c r="G8347">
        <v>-277.69560000000001</v>
      </c>
      <c r="H8347" s="1">
        <v>-2.4961129999999998E-6</v>
      </c>
      <c r="I8347">
        <v>-60.565539999999999</v>
      </c>
      <c r="J8347">
        <v>-290.37880000000001</v>
      </c>
      <c r="K8347">
        <v>1.12385</v>
      </c>
      <c r="L8347">
        <v>-58.93036</v>
      </c>
      <c r="M8347">
        <v>0.87306919999999899</v>
      </c>
      <c r="N8347">
        <v>-1.6182709999999999E-2</v>
      </c>
      <c r="O8347">
        <v>-0.48732809999999999</v>
      </c>
      <c r="P8347">
        <v>0.95824160000000003</v>
      </c>
      <c r="Q8347">
        <v>-6.1160390000000002E-2</v>
      </c>
      <c r="R8347">
        <v>-0.27934350000000002</v>
      </c>
      <c r="S8347">
        <v>3.0008539999999999</v>
      </c>
      <c r="T8347">
        <v>-0.26432860000000002</v>
      </c>
      <c r="U8347">
        <v>-0.39361570000000001</v>
      </c>
      <c r="V8347">
        <v>-0.22282009999999999</v>
      </c>
      <c r="W8347">
        <v>-4.6862479999999998E-2</v>
      </c>
      <c r="X8347">
        <v>0.9737325</v>
      </c>
      <c r="Y8347">
        <v>-0.3669869</v>
      </c>
      <c r="Z8347">
        <v>5.176526E-2</v>
      </c>
      <c r="AA8347">
        <v>0.92878470000000002</v>
      </c>
      <c r="AB8347">
        <v>14</v>
      </c>
      <c r="AC8347">
        <v>12.683199999999999</v>
      </c>
      <c r="AD8347">
        <v>-1.1238524961130001</v>
      </c>
      <c r="AE8347">
        <v>-1.6351800000000001</v>
      </c>
      <c r="AF8347">
        <v>-4.7174419510994996</v>
      </c>
      <c r="AG8347">
        <v>-1.1238524961130001</v>
      </c>
      <c r="AH8347">
        <v>11.7807467715412</v>
      </c>
      <c r="AI8347">
        <v>95.060963083494599</v>
      </c>
      <c r="AJ8347">
        <v>111.822970214607</v>
      </c>
      <c r="AK8347">
        <v>12.739831140568199</v>
      </c>
      <c r="AL8347">
        <v>92.686006227321897</v>
      </c>
      <c r="AM8347">
        <v>102.8891301159</v>
      </c>
      <c r="AN8347">
        <v>0.99999993527600295</v>
      </c>
    </row>
    <row r="8348" spans="1:40" x14ac:dyDescent="0.25">
      <c r="A8348" t="str">
        <f>"20190303154009278"</f>
        <v>20190303154009278</v>
      </c>
      <c r="B8348" t="str">
        <f>"1551598809266853"</f>
        <v>1551598809266853</v>
      </c>
      <c r="C8348" t="s">
        <v>40</v>
      </c>
      <c r="D8348">
        <v>4.6323230000000004</v>
      </c>
      <c r="E8348">
        <v>0.440666</v>
      </c>
      <c r="F8348" t="s">
        <v>84</v>
      </c>
      <c r="G8348">
        <v>-277.62880000000001</v>
      </c>
      <c r="H8348" s="1">
        <v>-2.4627300000000001E-6</v>
      </c>
      <c r="I8348">
        <v>-60.544280000000001</v>
      </c>
      <c r="J8348">
        <v>-290.30630000000002</v>
      </c>
      <c r="K8348">
        <v>1.1236280000000001</v>
      </c>
      <c r="L8348">
        <v>-58.966090000000001</v>
      </c>
      <c r="M8348">
        <v>0.87473979999999996</v>
      </c>
      <c r="N8348">
        <v>-1.5691799999999999E-2</v>
      </c>
      <c r="O8348">
        <v>-0.48433900000000002</v>
      </c>
      <c r="P8348">
        <v>0.95933539999999995</v>
      </c>
      <c r="Q8348">
        <v>-6.1173749999999999E-2</v>
      </c>
      <c r="R8348">
        <v>-0.27556029999999998</v>
      </c>
      <c r="S8348">
        <v>3.0029910000000002</v>
      </c>
      <c r="T8348">
        <v>-0.26469989999999999</v>
      </c>
      <c r="U8348">
        <v>-0.38012699999999999</v>
      </c>
      <c r="V8348">
        <v>-0.22334129999999999</v>
      </c>
      <c r="W8348">
        <v>-4.7274869999999997E-2</v>
      </c>
      <c r="X8348">
        <v>0.97359320000000005</v>
      </c>
      <c r="Y8348">
        <v>-0.36797760000000002</v>
      </c>
      <c r="Z8348">
        <v>5.186346E-2</v>
      </c>
      <c r="AA8348">
        <v>0.92838719999999997</v>
      </c>
      <c r="AB8348">
        <v>14</v>
      </c>
      <c r="AC8348">
        <v>12.6775</v>
      </c>
      <c r="AD8348">
        <v>-1.12363046272999</v>
      </c>
      <c r="AE8348">
        <v>-1.57819</v>
      </c>
      <c r="AF8348">
        <v>-4.7237460511120704</v>
      </c>
      <c r="AG8348">
        <v>-1.12363046272999</v>
      </c>
      <c r="AH8348">
        <v>11.7643454190176</v>
      </c>
      <c r="AI8348">
        <v>95.065081312087202</v>
      </c>
      <c r="AJ8348">
        <v>111.876976128001</v>
      </c>
      <c r="AK8348">
        <v>12.726984926137501</v>
      </c>
      <c r="AL8348">
        <v>92.709660519704002</v>
      </c>
      <c r="AM8348">
        <v>102.920055174449</v>
      </c>
      <c r="AN8348">
        <v>0.99999998435272297</v>
      </c>
    </row>
    <row r="8349" spans="1:40" x14ac:dyDescent="0.25">
      <c r="A8349" t="str">
        <f>"20190303154009292"</f>
        <v>20190303154009292</v>
      </c>
      <c r="B8349" t="str">
        <f>"1551598809286374"</f>
        <v>1551598809286374</v>
      </c>
      <c r="C8349" t="s">
        <v>40</v>
      </c>
      <c r="D8349">
        <v>4.627758</v>
      </c>
      <c r="E8349">
        <v>0.44042609999999899</v>
      </c>
      <c r="F8349" t="s">
        <v>84</v>
      </c>
      <c r="G8349">
        <v>-277.54559999999998</v>
      </c>
      <c r="H8349" s="1">
        <v>-2.42228E-6</v>
      </c>
      <c r="I8349">
        <v>-60.5229199999999</v>
      </c>
      <c r="J8349">
        <v>-290.23050000000001</v>
      </c>
      <c r="K8349">
        <v>1.123389</v>
      </c>
      <c r="L8349">
        <v>-59.003329999999998</v>
      </c>
      <c r="M8349">
        <v>0.8764921</v>
      </c>
      <c r="N8349">
        <v>-1.517717E-2</v>
      </c>
      <c r="O8349">
        <v>-0.48117710000000002</v>
      </c>
      <c r="P8349">
        <v>0.96038699999999999</v>
      </c>
      <c r="Q8349">
        <v>-6.1125159999999998E-2</v>
      </c>
      <c r="R8349">
        <v>-0.27188400000000001</v>
      </c>
      <c r="S8349">
        <v>3.0049440000000001</v>
      </c>
      <c r="T8349">
        <v>-0.26459749999999999</v>
      </c>
      <c r="U8349">
        <v>-0.36660769999999998</v>
      </c>
      <c r="V8349">
        <v>-0.22356870000000001</v>
      </c>
      <c r="W8349">
        <v>-4.7636570000000003E-2</v>
      </c>
      <c r="X8349">
        <v>0.97352340000000004</v>
      </c>
      <c r="Y8349">
        <v>-0.36880289999999999</v>
      </c>
      <c r="Z8349">
        <v>5.1847230000000001E-2</v>
      </c>
      <c r="AA8349">
        <v>0.92806049999999995</v>
      </c>
      <c r="AB8349">
        <v>14</v>
      </c>
      <c r="AC8349">
        <v>12.684900000000001</v>
      </c>
      <c r="AD8349">
        <v>-1.1233914222800001</v>
      </c>
      <c r="AE8349">
        <v>-1.51958999999998</v>
      </c>
      <c r="AF8349">
        <v>-4.7357069198571198</v>
      </c>
      <c r="AG8349">
        <v>-1.1233914222800001</v>
      </c>
      <c r="AH8349">
        <v>11.759841850435601</v>
      </c>
      <c r="AI8349">
        <v>95.063896524952099</v>
      </c>
      <c r="AJ8349">
        <v>111.934724069022</v>
      </c>
      <c r="AK8349">
        <v>12.7272467040476</v>
      </c>
      <c r="AL8349">
        <v>92.730407712979101</v>
      </c>
      <c r="AM8349">
        <v>102.93366402401099</v>
      </c>
      <c r="AN8349">
        <v>1.0000000083842999</v>
      </c>
    </row>
    <row r="8350" spans="1:40" x14ac:dyDescent="0.25">
      <c r="A8350" t="str">
        <f>"20190303154009303"</f>
        <v>20190303154009303</v>
      </c>
      <c r="B8350" t="str">
        <f>"1551598809297109"</f>
        <v>1551598809297109</v>
      </c>
      <c r="C8350" t="s">
        <v>40</v>
      </c>
      <c r="D8350">
        <v>4.6308769999999999</v>
      </c>
      <c r="E8350">
        <v>0.44039499999999998</v>
      </c>
      <c r="F8350" t="s">
        <v>84</v>
      </c>
      <c r="G8350">
        <v>-277.49239999999998</v>
      </c>
      <c r="H8350" s="1">
        <v>-2.3943309999999999E-6</v>
      </c>
      <c r="I8350">
        <v>-60.499760000000002</v>
      </c>
      <c r="J8350">
        <v>-290.16070000000002</v>
      </c>
      <c r="K8350">
        <v>1.1231960000000001</v>
      </c>
      <c r="L8350">
        <v>-59.037410000000001</v>
      </c>
      <c r="M8350">
        <v>0.8781021</v>
      </c>
      <c r="N8350">
        <v>-1.471835E-2</v>
      </c>
      <c r="O8350">
        <v>-0.47824699999999998</v>
      </c>
      <c r="P8350">
        <v>0.96150829999999998</v>
      </c>
      <c r="Q8350">
        <v>-6.1176260000000003E-2</v>
      </c>
      <c r="R8350">
        <v>-0.26787899999999998</v>
      </c>
      <c r="S8350">
        <v>3.0068969999999999</v>
      </c>
      <c r="T8350">
        <v>-0.2651829</v>
      </c>
      <c r="U8350">
        <v>-0.35324100000000003</v>
      </c>
      <c r="V8350">
        <v>-0.22438140000000001</v>
      </c>
      <c r="W8350">
        <v>-4.8067779999999997E-2</v>
      </c>
      <c r="X8350">
        <v>0.97331520000000005</v>
      </c>
      <c r="Y8350">
        <v>-0.36981799999999998</v>
      </c>
      <c r="Z8350">
        <v>5.1978290000000003E-2</v>
      </c>
      <c r="AA8350">
        <v>0.9276491</v>
      </c>
      <c r="AB8350">
        <v>14</v>
      </c>
      <c r="AC8350">
        <v>12.6683</v>
      </c>
      <c r="AD8350">
        <v>-1.12319839433099</v>
      </c>
      <c r="AE8350">
        <v>-1.46235</v>
      </c>
      <c r="AF8350">
        <v>-4.7382433981057099</v>
      </c>
      <c r="AG8350">
        <v>-1.12319839433099</v>
      </c>
      <c r="AH8350">
        <v>11.733680252169</v>
      </c>
      <c r="AI8350">
        <v>95.0723105478571</v>
      </c>
      <c r="AJ8350">
        <v>111.989625889737</v>
      </c>
      <c r="AK8350">
        <v>12.704006352047401</v>
      </c>
      <c r="AL8350">
        <v>92.755142580993606</v>
      </c>
      <c r="AM8350">
        <v>102.981772554852</v>
      </c>
      <c r="AN8350">
        <v>1.0000000013455601</v>
      </c>
    </row>
    <row r="8351" spans="1:40" x14ac:dyDescent="0.25">
      <c r="A8351" t="str">
        <f>"20190303154009315"</f>
        <v>20190303154009315</v>
      </c>
      <c r="B8351" t="str">
        <f>"1551598809306870"</f>
        <v>1551598809306870</v>
      </c>
      <c r="C8351" t="s">
        <v>40</v>
      </c>
      <c r="D8351">
        <v>4.6375590000000004</v>
      </c>
      <c r="E8351">
        <v>0.44035069999999998</v>
      </c>
      <c r="F8351" t="s">
        <v>84</v>
      </c>
      <c r="G8351">
        <v>-277.38549999999998</v>
      </c>
      <c r="H8351" s="1">
        <v>-2.3448899999999999E-6</v>
      </c>
      <c r="I8351">
        <v>-60.483800000000002</v>
      </c>
      <c r="J8351">
        <v>-290.09739999999999</v>
      </c>
      <c r="K8351">
        <v>1.123067</v>
      </c>
      <c r="L8351">
        <v>-59.068240000000003</v>
      </c>
      <c r="M8351">
        <v>0.87953649999999906</v>
      </c>
      <c r="N8351">
        <v>-1.4335530000000001E-2</v>
      </c>
      <c r="O8351">
        <v>-0.47561540000000002</v>
      </c>
      <c r="P8351">
        <v>0.96234180000000002</v>
      </c>
      <c r="Q8351">
        <v>-6.1344870000000003E-2</v>
      </c>
      <c r="R8351">
        <v>-0.26483010000000001</v>
      </c>
      <c r="S8351">
        <v>3.0084230000000001</v>
      </c>
      <c r="T8351">
        <v>-0.26450050000000003</v>
      </c>
      <c r="U8351">
        <v>-0.34060669999999998</v>
      </c>
      <c r="V8351">
        <v>-0.224552</v>
      </c>
      <c r="W8351">
        <v>-4.855926E-2</v>
      </c>
      <c r="X8351">
        <v>0.97325150000000005</v>
      </c>
      <c r="Y8351">
        <v>-0.37094280000000002</v>
      </c>
      <c r="Z8351">
        <v>5.1842779999999998E-2</v>
      </c>
      <c r="AA8351">
        <v>0.92720749999999996</v>
      </c>
      <c r="AB8351">
        <v>14</v>
      </c>
      <c r="AC8351">
        <v>12.7119</v>
      </c>
      <c r="AD8351">
        <v>-1.12306934489</v>
      </c>
      <c r="AE8351">
        <v>-1.4155599999999899</v>
      </c>
      <c r="AF8351">
        <v>-4.76469758136236</v>
      </c>
      <c r="AG8351">
        <v>-1.12306934489</v>
      </c>
      <c r="AH8351">
        <v>11.764360360796999</v>
      </c>
      <c r="AI8351">
        <v>95.056482314944802</v>
      </c>
      <c r="AJ8351">
        <v>112.04849822367601</v>
      </c>
      <c r="AK8351">
        <v>12.7422055584566</v>
      </c>
      <c r="AL8351">
        <v>92.7833351195696</v>
      </c>
      <c r="AM8351">
        <v>102.99212948937</v>
      </c>
      <c r="AN8351">
        <v>1.0000000423439901</v>
      </c>
    </row>
    <row r="8352" spans="1:40" x14ac:dyDescent="0.25">
      <c r="A8352" t="str">
        <f>"20190303154009326"</f>
        <v>20190303154009326</v>
      </c>
      <c r="B8352" t="str">
        <f>"1551598809316630"</f>
        <v>1551598809316630</v>
      </c>
      <c r="C8352" t="s">
        <v>40</v>
      </c>
      <c r="D8352">
        <v>4.6263560000000004</v>
      </c>
      <c r="E8352">
        <v>0.44042340000000002</v>
      </c>
      <c r="F8352" t="s">
        <v>84</v>
      </c>
      <c r="G8352">
        <v>-277.34120000000001</v>
      </c>
      <c r="H8352" s="1">
        <v>-2.3229459999999998E-6</v>
      </c>
      <c r="I8352">
        <v>-60.470419999999997</v>
      </c>
      <c r="J8352">
        <v>-290.03160000000003</v>
      </c>
      <c r="K8352">
        <v>1.1229709999999999</v>
      </c>
      <c r="L8352">
        <v>-59.100099999999998</v>
      </c>
      <c r="M8352">
        <v>0.88100119999999904</v>
      </c>
      <c r="N8352">
        <v>-1.3969489999999999E-2</v>
      </c>
      <c r="O8352">
        <v>-0.47290779999999899</v>
      </c>
      <c r="P8352">
        <v>0.96314820000000001</v>
      </c>
      <c r="Q8352">
        <v>-6.1194690000000003E-2</v>
      </c>
      <c r="R8352">
        <v>-0.26191809999999999</v>
      </c>
      <c r="S8352">
        <v>3.0094910000000001</v>
      </c>
      <c r="T8352">
        <v>-0.26496019999999998</v>
      </c>
      <c r="U8352">
        <v>-0.33081050000000001</v>
      </c>
      <c r="V8352">
        <v>-0.22451119999999999</v>
      </c>
      <c r="W8352">
        <v>-4.8726640000000002E-2</v>
      </c>
      <c r="X8352">
        <v>0.97325249999999996</v>
      </c>
      <c r="Y8352">
        <v>-0.37109219999999998</v>
      </c>
      <c r="Z8352">
        <v>5.188984E-2</v>
      </c>
      <c r="AA8352">
        <v>0.92714510000000006</v>
      </c>
      <c r="AB8352">
        <v>14</v>
      </c>
      <c r="AC8352">
        <v>12.6904</v>
      </c>
      <c r="AD8352">
        <v>-1.1229733229459999</v>
      </c>
      <c r="AE8352">
        <v>-1.37031999999999</v>
      </c>
      <c r="AF8352">
        <v>-4.7577770353850699</v>
      </c>
      <c r="AG8352">
        <v>-1.1229733229459999</v>
      </c>
      <c r="AH8352">
        <v>11.738587314929701</v>
      </c>
      <c r="AI8352">
        <v>95.066569775163103</v>
      </c>
      <c r="AJ8352">
        <v>112.063247481567</v>
      </c>
      <c r="AK8352">
        <v>12.715814702673001</v>
      </c>
      <c r="AL8352">
        <v>92.792936780708402</v>
      </c>
      <c r="AM8352">
        <v>102.989836058292</v>
      </c>
      <c r="AN8352">
        <v>0.99999999656368899</v>
      </c>
    </row>
    <row r="8353" spans="1:40" x14ac:dyDescent="0.25">
      <c r="A8353" t="str">
        <f>"20190303154009337"</f>
        <v>20190303154009337</v>
      </c>
      <c r="B8353" t="str">
        <f>"1551598809326390"</f>
        <v>1551598809326390</v>
      </c>
      <c r="C8353" t="s">
        <v>40</v>
      </c>
      <c r="D8353">
        <v>4.6444799999999997</v>
      </c>
      <c r="E8353">
        <v>0.44053100000000001</v>
      </c>
      <c r="F8353" t="s">
        <v>84</v>
      </c>
      <c r="G8353">
        <v>-277.2106</v>
      </c>
      <c r="H8353" s="1">
        <v>-2.2673400000000001E-6</v>
      </c>
      <c r="I8353">
        <v>-60.472450000000002</v>
      </c>
      <c r="J8353">
        <v>-289.97120000000001</v>
      </c>
      <c r="K8353">
        <v>1.1229389999999999</v>
      </c>
      <c r="L8353">
        <v>-59.129119999999901</v>
      </c>
      <c r="M8353">
        <v>0.88230659999999905</v>
      </c>
      <c r="N8353">
        <v>-1.368596E-2</v>
      </c>
      <c r="O8353">
        <v>-0.47047600000000001</v>
      </c>
      <c r="P8353">
        <v>0.9639257</v>
      </c>
      <c r="Q8353">
        <v>-6.1232540000000002E-2</v>
      </c>
      <c r="R8353">
        <v>-0.25903300000000001</v>
      </c>
      <c r="S8353">
        <v>3.010437</v>
      </c>
      <c r="T8353">
        <v>-0.26367990000000002</v>
      </c>
      <c r="U8353">
        <v>-0.322235099999999</v>
      </c>
      <c r="V8353">
        <v>-0.22473899999999999</v>
      </c>
      <c r="W8353">
        <v>-4.9029540000000003E-2</v>
      </c>
      <c r="X8353">
        <v>0.97318470000000001</v>
      </c>
      <c r="Y8353">
        <v>-0.37120049999999999</v>
      </c>
      <c r="Z8353">
        <v>5.1557699999999998E-2</v>
      </c>
      <c r="AA8353">
        <v>0.92712030000000001</v>
      </c>
      <c r="AB8353">
        <v>14</v>
      </c>
      <c r="AC8353">
        <v>12.7606</v>
      </c>
      <c r="AD8353">
        <v>-1.1229412673400001</v>
      </c>
      <c r="AE8353">
        <v>-1.3433299999999999</v>
      </c>
      <c r="AF8353">
        <v>-4.7821510301800298</v>
      </c>
      <c r="AG8353">
        <v>-1.1229412673400001</v>
      </c>
      <c r="AH8353">
        <v>11.801490029831999</v>
      </c>
      <c r="AI8353">
        <v>95.039726751186393</v>
      </c>
      <c r="AJ8353">
        <v>112.058572163169</v>
      </c>
      <c r="AK8353">
        <v>12.7830017010705</v>
      </c>
      <c r="AL8353">
        <v>92.810312467253496</v>
      </c>
      <c r="AM8353">
        <v>103.003443587337</v>
      </c>
      <c r="AN8353">
        <v>0.99999998711384996</v>
      </c>
    </row>
    <row r="8354" spans="1:40" x14ac:dyDescent="0.25">
      <c r="A8354" t="str">
        <f>"20190303154009347"</f>
        <v>20190303154009347</v>
      </c>
      <c r="B8354" t="str">
        <f>"1551598809337125"</f>
        <v>1551598809337125</v>
      </c>
      <c r="C8354" t="s">
        <v>40</v>
      </c>
      <c r="D8354">
        <v>4.6186099999999897</v>
      </c>
      <c r="E8354">
        <v>0.44060640000000001</v>
      </c>
      <c r="F8354" t="s">
        <v>84</v>
      </c>
      <c r="G8354">
        <v>-277.17380000000003</v>
      </c>
      <c r="H8354" s="1">
        <v>-2.249697E-6</v>
      </c>
      <c r="I8354">
        <v>-60.464039999999997</v>
      </c>
      <c r="J8354">
        <v>-289.90690000000001</v>
      </c>
      <c r="K8354">
        <v>1.122922</v>
      </c>
      <c r="L8354">
        <v>-59.159880000000001</v>
      </c>
      <c r="M8354">
        <v>0.88367719999999905</v>
      </c>
      <c r="N8354">
        <v>-1.3402590000000001E-2</v>
      </c>
      <c r="O8354">
        <v>-0.46790490000000001</v>
      </c>
      <c r="P8354">
        <v>0.96474360000000003</v>
      </c>
      <c r="Q8354">
        <v>-6.1015439999999997E-2</v>
      </c>
      <c r="R8354">
        <v>-0.25602150000000001</v>
      </c>
      <c r="S8354">
        <v>3.011047</v>
      </c>
      <c r="T8354">
        <v>-0.26421260000000002</v>
      </c>
      <c r="U8354">
        <v>-0.3140869</v>
      </c>
      <c r="V8354">
        <v>-0.2249495</v>
      </c>
      <c r="W8354">
        <v>-4.908382E-2</v>
      </c>
      <c r="X8354">
        <v>0.97313329999999998</v>
      </c>
      <c r="Y8354">
        <v>-0.37098720000000002</v>
      </c>
      <c r="Z8354">
        <v>5.1585779999999998E-2</v>
      </c>
      <c r="AA8354">
        <v>0.92720409999999998</v>
      </c>
      <c r="AB8354">
        <v>14</v>
      </c>
      <c r="AC8354">
        <v>12.733099999999901</v>
      </c>
      <c r="AD8354">
        <v>-1.122924249697</v>
      </c>
      <c r="AE8354">
        <v>-1.30416</v>
      </c>
      <c r="AF8354">
        <v>-4.7691486796633997</v>
      </c>
      <c r="AG8354">
        <v>-1.122924249697</v>
      </c>
      <c r="AH8354">
        <v>11.772628911826001</v>
      </c>
      <c r="AI8354">
        <v>95.0521360838748</v>
      </c>
      <c r="AJ8354">
        <v>112.05310658515199</v>
      </c>
      <c r="AK8354">
        <v>12.751491265528699</v>
      </c>
      <c r="AL8354">
        <v>92.813426309638402</v>
      </c>
      <c r="AM8354">
        <v>103.015872705193</v>
      </c>
      <c r="AN8354">
        <v>0.99999995925246499</v>
      </c>
    </row>
    <row r="8355" spans="1:40" x14ac:dyDescent="0.25">
      <c r="A8355" t="str">
        <f>"20190303154009359"</f>
        <v>20190303154009359</v>
      </c>
      <c r="B8355" t="str">
        <f>"1551598809356646"</f>
        <v>1551598809356646</v>
      </c>
      <c r="C8355" t="s">
        <v>40</v>
      </c>
      <c r="D8355">
        <v>4.6154650000000004</v>
      </c>
      <c r="E8355">
        <v>0.4408396</v>
      </c>
      <c r="F8355" t="s">
        <v>84</v>
      </c>
      <c r="G8355">
        <v>-277.07810000000001</v>
      </c>
      <c r="H8355" s="1">
        <v>-2.207767E-6</v>
      </c>
      <c r="I8355">
        <v>-60.460099999999997</v>
      </c>
      <c r="J8355">
        <v>-289.8426</v>
      </c>
      <c r="K8355">
        <v>1.122951</v>
      </c>
      <c r="L8355">
        <v>-59.190339999999999</v>
      </c>
      <c r="M8355">
        <v>0.88501299999999905</v>
      </c>
      <c r="N8355">
        <v>-1.31632999999999E-2</v>
      </c>
      <c r="O8355">
        <v>-0.46538020000000002</v>
      </c>
      <c r="P8355">
        <v>0.96555119999999905</v>
      </c>
      <c r="Q8355">
        <v>-6.0660209999999999E-2</v>
      </c>
      <c r="R8355">
        <v>-0.25304389999999999</v>
      </c>
      <c r="S8355">
        <v>3.0119630000000002</v>
      </c>
      <c r="T8355">
        <v>-0.26364280000000001</v>
      </c>
      <c r="U8355">
        <v>-0.30526730000000002</v>
      </c>
      <c r="V8355">
        <v>-0.2251794</v>
      </c>
      <c r="W8355">
        <v>-4.8978979999999998E-2</v>
      </c>
      <c r="X8355">
        <v>0.97308550000000005</v>
      </c>
      <c r="Y8355">
        <v>-0.3710656</v>
      </c>
      <c r="Z8355">
        <v>5.1380750000000003E-2</v>
      </c>
      <c r="AA8355">
        <v>0.92718409999999996</v>
      </c>
      <c r="AB8355">
        <v>14</v>
      </c>
      <c r="AC8355">
        <v>12.7644999999999</v>
      </c>
      <c r="AD8355">
        <v>-1.1229532077669999</v>
      </c>
      <c r="AE8355">
        <v>-1.26975999999999</v>
      </c>
      <c r="AF8355">
        <v>-4.7803733556995098</v>
      </c>
      <c r="AG8355">
        <v>-1.1229532077669999</v>
      </c>
      <c r="AH8355">
        <v>11.798280909242999</v>
      </c>
      <c r="AI8355">
        <v>95.041214430360696</v>
      </c>
      <c r="AJ8355">
        <v>112.0565812016</v>
      </c>
      <c r="AK8355">
        <v>12.7793750136744</v>
      </c>
      <c r="AL8355">
        <v>92.807411941201707</v>
      </c>
      <c r="AM8355">
        <v>103.029339561941</v>
      </c>
      <c r="AN8355">
        <v>1.0000000464882199</v>
      </c>
    </row>
    <row r="8356" spans="1:40" x14ac:dyDescent="0.25">
      <c r="A8356" t="str">
        <f>"20190303154009371"</f>
        <v>20190303154009371</v>
      </c>
      <c r="B8356" t="str">
        <f>"1551598809366405"</f>
        <v>1551598809366405</v>
      </c>
      <c r="C8356" t="s">
        <v>40</v>
      </c>
      <c r="D8356">
        <v>4.62906</v>
      </c>
      <c r="E8356">
        <v>0.44096380000000002</v>
      </c>
      <c r="F8356" t="s">
        <v>84</v>
      </c>
      <c r="G8356">
        <v>-276.8897</v>
      </c>
      <c r="H8356" s="1">
        <v>-2.1293629999999999E-6</v>
      </c>
      <c r="I8356">
        <v>-60.470979999999997</v>
      </c>
      <c r="J8356">
        <v>-289.77870000000001</v>
      </c>
      <c r="K8356">
        <v>1.1229880000000001</v>
      </c>
      <c r="L8356">
        <v>-59.22043</v>
      </c>
      <c r="M8356">
        <v>0.88632739999999999</v>
      </c>
      <c r="N8356">
        <v>-1.293212E-2</v>
      </c>
      <c r="O8356">
        <v>-0.46287879999999998</v>
      </c>
      <c r="P8356">
        <v>0.96640040000000005</v>
      </c>
      <c r="Q8356">
        <v>-6.0819999999999999E-2</v>
      </c>
      <c r="R8356">
        <v>-0.2497432</v>
      </c>
      <c r="S8356">
        <v>3.0125730000000002</v>
      </c>
      <c r="T8356">
        <v>-0.26117629999999997</v>
      </c>
      <c r="U8356">
        <v>-0.29785159999999899</v>
      </c>
      <c r="V8356">
        <v>-0.2257432</v>
      </c>
      <c r="W8356">
        <v>-4.9387319999999998E-2</v>
      </c>
      <c r="X8356">
        <v>0.97293419999999997</v>
      </c>
      <c r="Y8356">
        <v>-0.37077749999999998</v>
      </c>
      <c r="Z8356">
        <v>5.0763889999999999E-2</v>
      </c>
      <c r="AA8356">
        <v>0.92733330000000003</v>
      </c>
      <c r="AB8356">
        <v>14</v>
      </c>
      <c r="AC8356">
        <v>12.888999999999999</v>
      </c>
      <c r="AD8356">
        <v>-1.12299012936299</v>
      </c>
      <c r="AE8356">
        <v>-1.2505499999999901</v>
      </c>
      <c r="AF8356">
        <v>-4.8217916077764098</v>
      </c>
      <c r="AG8356">
        <v>-1.12299012936299</v>
      </c>
      <c r="AH8356">
        <v>11.914129342449501</v>
      </c>
      <c r="AI8356">
        <v>94.993408684652294</v>
      </c>
      <c r="AJ8356">
        <v>112.033772110917</v>
      </c>
      <c r="AK8356">
        <v>12.9018316191185</v>
      </c>
      <c r="AL8356">
        <v>92.830836498374197</v>
      </c>
      <c r="AM8356">
        <v>103.06280649710899</v>
      </c>
      <c r="AN8356">
        <v>1.00000002862633</v>
      </c>
    </row>
    <row r="8357" spans="1:40" x14ac:dyDescent="0.25">
      <c r="A8357" t="str">
        <f>"20190303154009382"</f>
        <v>20190303154009382</v>
      </c>
      <c r="B8357" t="str">
        <f>"1551598809376166"</f>
        <v>1551598809376166</v>
      </c>
      <c r="C8357" t="s">
        <v>40</v>
      </c>
      <c r="D8357">
        <v>4.6196859999999997</v>
      </c>
      <c r="E8357">
        <v>0.44109120000000002</v>
      </c>
      <c r="F8357" t="s">
        <v>84</v>
      </c>
      <c r="G8357">
        <v>-276.82659999999998</v>
      </c>
      <c r="H8357" s="1">
        <v>-2.1000720000000001E-6</v>
      </c>
      <c r="I8357">
        <v>-60.461080000000003</v>
      </c>
      <c r="J8357">
        <v>-289.71260000000001</v>
      </c>
      <c r="K8357">
        <v>1.1230450000000001</v>
      </c>
      <c r="L8357">
        <v>-59.251220000000004</v>
      </c>
      <c r="M8357">
        <v>0.88766999999999996</v>
      </c>
      <c r="N8357">
        <v>-1.27125E-2</v>
      </c>
      <c r="O8357">
        <v>-0.46030470000000001</v>
      </c>
      <c r="P8357">
        <v>0.96724410000000005</v>
      </c>
      <c r="Q8357">
        <v>-6.0700259999999999E-2</v>
      </c>
      <c r="R8357">
        <v>-0.2464848</v>
      </c>
      <c r="S8357">
        <v>3.0132750000000001</v>
      </c>
      <c r="T8357">
        <v>-0.26126050000000001</v>
      </c>
      <c r="U8357">
        <v>-0.28863529999999998</v>
      </c>
      <c r="V8357">
        <v>-0.2261937</v>
      </c>
      <c r="W8357">
        <v>-4.9514679999999998E-2</v>
      </c>
      <c r="X8357">
        <v>0.97282310000000005</v>
      </c>
      <c r="Y8357">
        <v>-0.37091299999999999</v>
      </c>
      <c r="Z8357">
        <v>5.0692170000000002E-2</v>
      </c>
      <c r="AA8357">
        <v>0.92728299999999997</v>
      </c>
      <c r="AB8357">
        <v>14</v>
      </c>
      <c r="AC8357">
        <v>12.885999999999999</v>
      </c>
      <c r="AD8357">
        <v>-1.1230471000719999</v>
      </c>
      <c r="AE8357">
        <v>-1.2098599999999999</v>
      </c>
      <c r="AF8357">
        <v>-4.8216194905311696</v>
      </c>
      <c r="AG8357">
        <v>-1.1230471000719999</v>
      </c>
      <c r="AH8357">
        <v>11.9067408648498</v>
      </c>
      <c r="AI8357">
        <v>94.996334503730196</v>
      </c>
      <c r="AJ8357">
        <v>112.045423382316</v>
      </c>
      <c r="AK8357">
        <v>12.8949496828462</v>
      </c>
      <c r="AL8357">
        <v>92.838142598784401</v>
      </c>
      <c r="AM8357">
        <v>103.089421696404</v>
      </c>
      <c r="AN8357">
        <v>1.0000000386743999</v>
      </c>
    </row>
    <row r="8358" spans="1:40" x14ac:dyDescent="0.25">
      <c r="A8358" t="str">
        <f>"20190303154009394"</f>
        <v>20190303154009394</v>
      </c>
      <c r="B8358" t="str">
        <f>"1551598809386901"</f>
        <v>1551598809386901</v>
      </c>
      <c r="C8358" t="s">
        <v>40</v>
      </c>
      <c r="D8358">
        <v>4.5974459999999997</v>
      </c>
      <c r="E8358">
        <v>0.44119999999999998</v>
      </c>
      <c r="F8358" t="s">
        <v>84</v>
      </c>
      <c r="G8358">
        <v>-276.71420000000001</v>
      </c>
      <c r="H8358" s="1">
        <v>-2.0508829999999999E-6</v>
      </c>
      <c r="I8358">
        <v>-60.45664</v>
      </c>
      <c r="J8358">
        <v>-289.64510000000001</v>
      </c>
      <c r="K8358">
        <v>1.123103</v>
      </c>
      <c r="L8358">
        <v>-59.282409999999999</v>
      </c>
      <c r="M8358">
        <v>0.88903310000000002</v>
      </c>
      <c r="N8358">
        <v>-1.24949E-2</v>
      </c>
      <c r="O8358">
        <v>-0.45767269999999999</v>
      </c>
      <c r="P8358">
        <v>0.96807330000000003</v>
      </c>
      <c r="Q8358">
        <v>-6.034871E-2</v>
      </c>
      <c r="R8358">
        <v>-0.24329500000000001</v>
      </c>
      <c r="S8358">
        <v>3.0140380000000002</v>
      </c>
      <c r="T8358">
        <v>-0.26040920000000001</v>
      </c>
      <c r="U8358">
        <v>-0.2795105</v>
      </c>
      <c r="V8358">
        <v>-0.226521</v>
      </c>
      <c r="W8358">
        <v>-4.9407659999999999E-2</v>
      </c>
      <c r="X8358">
        <v>0.97275230000000001</v>
      </c>
      <c r="Y8358">
        <v>-0.37098690000000001</v>
      </c>
      <c r="Z8358">
        <v>5.0416559999999999E-2</v>
      </c>
      <c r="AA8358">
        <v>0.92726850000000005</v>
      </c>
      <c r="AB8358">
        <v>14</v>
      </c>
      <c r="AC8358">
        <v>12.930899999999999</v>
      </c>
      <c r="AD8358">
        <v>-1.1231050508830001</v>
      </c>
      <c r="AE8358">
        <v>-1.1742300000000001</v>
      </c>
      <c r="AF8358">
        <v>-4.8383698376764297</v>
      </c>
      <c r="AG8358">
        <v>-1.1231050508830001</v>
      </c>
      <c r="AH8358">
        <v>11.944976810838</v>
      </c>
      <c r="AI8358">
        <v>94.980494630793999</v>
      </c>
      <c r="AJ8358">
        <v>112.05064331973701</v>
      </c>
      <c r="AK8358">
        <v>12.936524210657</v>
      </c>
      <c r="AL8358">
        <v>92.832003517055796</v>
      </c>
      <c r="AM8358">
        <v>103.108629513786</v>
      </c>
      <c r="AN8358">
        <v>0.99999995873148195</v>
      </c>
    </row>
    <row r="8359" spans="1:40" x14ac:dyDescent="0.25">
      <c r="A8359" t="str">
        <f>"20190303154009404"</f>
        <v>20190303154009404</v>
      </c>
      <c r="B8359" t="str">
        <f>"1551598809396662"</f>
        <v>1551598809396662</v>
      </c>
      <c r="C8359" t="s">
        <v>40</v>
      </c>
      <c r="D8359">
        <v>4.6098990000000004</v>
      </c>
      <c r="E8359">
        <v>0.4413494</v>
      </c>
      <c r="F8359" t="s">
        <v>84</v>
      </c>
      <c r="G8359">
        <v>-276.56139999999999</v>
      </c>
      <c r="H8359" s="1">
        <v>-1.9852710000000001E-6</v>
      </c>
      <c r="I8359">
        <v>-60.456359999999997</v>
      </c>
      <c r="J8359">
        <v>-289.58150000000001</v>
      </c>
      <c r="K8359">
        <v>1.123151</v>
      </c>
      <c r="L8359">
        <v>-59.311680000000003</v>
      </c>
      <c r="M8359">
        <v>0.8903141</v>
      </c>
      <c r="N8359">
        <v>-1.2299060000000001E-2</v>
      </c>
      <c r="O8359">
        <v>-0.45518110000000001</v>
      </c>
      <c r="P8359">
        <v>0.96877809999999998</v>
      </c>
      <c r="Q8359">
        <v>-6.0378309999999998E-2</v>
      </c>
      <c r="R8359">
        <v>-0.2404657</v>
      </c>
      <c r="S8359">
        <v>3.0148320000000002</v>
      </c>
      <c r="T8359">
        <v>-0.25879259999999998</v>
      </c>
      <c r="U8359">
        <v>-0.27050780000000002</v>
      </c>
      <c r="V8359">
        <v>-0.226629</v>
      </c>
      <c r="W8359">
        <v>-4.9657430000000002E-2</v>
      </c>
      <c r="X8359">
        <v>0.97271450000000004</v>
      </c>
      <c r="Y8359">
        <v>-0.3711911</v>
      </c>
      <c r="Z8359">
        <v>4.9991059999999997E-2</v>
      </c>
      <c r="AA8359">
        <v>0.92720979999999997</v>
      </c>
      <c r="AB8359">
        <v>15</v>
      </c>
      <c r="AC8359">
        <v>13.020099999999999</v>
      </c>
      <c r="AD8359">
        <v>-1.123152985271</v>
      </c>
      <c r="AE8359">
        <v>-1.1446799999999899</v>
      </c>
      <c r="AF8359">
        <v>-4.8717748564929897</v>
      </c>
      <c r="AG8359">
        <v>-1.123152985271</v>
      </c>
      <c r="AH8359">
        <v>12.025133396442399</v>
      </c>
      <c r="AI8359">
        <v>94.947537795181205</v>
      </c>
      <c r="AJ8359">
        <v>112.05447932926199</v>
      </c>
      <c r="AK8359">
        <v>13.0230371297526</v>
      </c>
      <c r="AL8359">
        <v>92.846331665856098</v>
      </c>
      <c r="AM8359">
        <v>103.11515545688999</v>
      </c>
      <c r="AN8359">
        <v>1.00000003125272</v>
      </c>
    </row>
    <row r="8360" spans="1:40" x14ac:dyDescent="0.25">
      <c r="A8360" t="str">
        <f>"20190303154009416"</f>
        <v>20190303154009416</v>
      </c>
      <c r="B8360" t="str">
        <f>"1551598809406421"</f>
        <v>1551598809406421</v>
      </c>
      <c r="C8360" t="s">
        <v>40</v>
      </c>
      <c r="D8360">
        <v>4.6292359999999997</v>
      </c>
      <c r="E8360">
        <v>0.44145909999999999</v>
      </c>
      <c r="F8360" t="s">
        <v>84</v>
      </c>
      <c r="G8360">
        <v>-276.47800000000001</v>
      </c>
      <c r="H8360" s="1">
        <v>-1.9489250000000001E-6</v>
      </c>
      <c r="I8360">
        <v>-60.45391</v>
      </c>
      <c r="J8360">
        <v>-289.51670000000001</v>
      </c>
      <c r="K8360">
        <v>1.1232</v>
      </c>
      <c r="L8360">
        <v>-59.341090000000001</v>
      </c>
      <c r="M8360">
        <v>0.89161049999999997</v>
      </c>
      <c r="N8360">
        <v>-1.211688E-2</v>
      </c>
      <c r="O8360">
        <v>-0.45264100000000002</v>
      </c>
      <c r="P8360">
        <v>0.96950599999999998</v>
      </c>
      <c r="Q8360">
        <v>-6.0350319999999999E-2</v>
      </c>
      <c r="R8360">
        <v>-0.2375205</v>
      </c>
      <c r="S8360">
        <v>3.0153500000000002</v>
      </c>
      <c r="T8360">
        <v>-0.25845780000000002</v>
      </c>
      <c r="U8360">
        <v>-0.26284790000000002</v>
      </c>
      <c r="V8360">
        <v>-0.2268046</v>
      </c>
      <c r="W8360">
        <v>-4.9832790000000002E-2</v>
      </c>
      <c r="X8360">
        <v>0.97266450000000004</v>
      </c>
      <c r="Y8360">
        <v>-0.37090659999999998</v>
      </c>
      <c r="Z8360">
        <v>4.9801289999999998E-2</v>
      </c>
      <c r="AA8360">
        <v>0.92733390000000004</v>
      </c>
      <c r="AB8360">
        <v>15</v>
      </c>
      <c r="AC8360">
        <v>13.0387</v>
      </c>
      <c r="AD8360">
        <v>-1.123201948925</v>
      </c>
      <c r="AE8360">
        <v>-1.1128199999999899</v>
      </c>
      <c r="AF8360">
        <v>-4.8741008529096099</v>
      </c>
      <c r="AG8360">
        <v>-1.123201948925</v>
      </c>
      <c r="AH8360">
        <v>12.041331023599501</v>
      </c>
      <c r="AI8360">
        <v>94.941731627107899</v>
      </c>
      <c r="AJ8360">
        <v>112.03716225457001</v>
      </c>
      <c r="AK8360">
        <v>13.0388686074484</v>
      </c>
      <c r="AL8360">
        <v>92.856391793106695</v>
      </c>
      <c r="AM8360">
        <v>103.12561720574899</v>
      </c>
      <c r="AN8360">
        <v>0.99999993155029399</v>
      </c>
    </row>
    <row r="8361" spans="1:40" x14ac:dyDescent="0.25">
      <c r="A8361" t="str">
        <f>"20190303154009425"</f>
        <v>20190303154009425</v>
      </c>
      <c r="B8361" t="str">
        <f>"1551598809417158"</f>
        <v>1551598809417158</v>
      </c>
      <c r="C8361" t="s">
        <v>40</v>
      </c>
      <c r="D8361">
        <v>4.6090350000000004</v>
      </c>
      <c r="E8361">
        <v>0.44164710000000001</v>
      </c>
      <c r="F8361" t="s">
        <v>84</v>
      </c>
      <c r="G8361">
        <v>-276.40300000000002</v>
      </c>
      <c r="H8361" s="1">
        <v>-1.9154369999999999E-6</v>
      </c>
      <c r="I8361">
        <v>-60.447899999999997</v>
      </c>
      <c r="J8361">
        <v>-289.45280000000002</v>
      </c>
      <c r="K8361">
        <v>1.1232420000000001</v>
      </c>
      <c r="L8361">
        <v>-59.369929999999997</v>
      </c>
      <c r="M8361">
        <v>0.89288289999999904</v>
      </c>
      <c r="N8361">
        <v>-1.19483E-2</v>
      </c>
      <c r="O8361">
        <v>-0.45013069999999999</v>
      </c>
      <c r="P8361">
        <v>0.97012589999999999</v>
      </c>
      <c r="Q8361">
        <v>-6.0231399999999997E-2</v>
      </c>
      <c r="R8361">
        <v>-0.23500760000000001</v>
      </c>
      <c r="S8361">
        <v>3.01593</v>
      </c>
      <c r="T8361">
        <v>-0.25831850000000001</v>
      </c>
      <c r="U8361">
        <v>-0.25454710000000003</v>
      </c>
      <c r="V8361">
        <v>-0.22658639999999999</v>
      </c>
      <c r="W8361">
        <v>-4.9897209999999997E-2</v>
      </c>
      <c r="X8361">
        <v>0.97271209999999997</v>
      </c>
      <c r="Y8361">
        <v>-0.3708496</v>
      </c>
      <c r="Z8361">
        <v>4.9659519999999999E-2</v>
      </c>
      <c r="AA8361">
        <v>0.92736430000000003</v>
      </c>
      <c r="AB8361">
        <v>15</v>
      </c>
      <c r="AC8361">
        <v>13.049799999999999</v>
      </c>
      <c r="AD8361">
        <v>-1.123243915437</v>
      </c>
      <c r="AE8361">
        <v>-1.0779699999999901</v>
      </c>
      <c r="AF8361">
        <v>-4.8760840856379097</v>
      </c>
      <c r="AG8361">
        <v>-1.123243915437</v>
      </c>
      <c r="AH8361">
        <v>12.0493705561305</v>
      </c>
      <c r="AI8361">
        <v>94.938814613674097</v>
      </c>
      <c r="AJ8361">
        <v>112.031969123434</v>
      </c>
      <c r="AK8361">
        <v>13.047038119922901</v>
      </c>
      <c r="AL8361">
        <v>92.860087249496402</v>
      </c>
      <c r="AM8361">
        <v>103.112806598894</v>
      </c>
      <c r="AN8361">
        <v>0.99999997885857606</v>
      </c>
    </row>
    <row r="8362" spans="1:40" x14ac:dyDescent="0.25">
      <c r="A8362" t="str">
        <f>"20190303154009438"</f>
        <v>20190303154009438</v>
      </c>
      <c r="B8362" t="str">
        <f>"1551598809426918"</f>
        <v>1551598809426918</v>
      </c>
      <c r="C8362" t="s">
        <v>40</v>
      </c>
      <c r="D8362">
        <v>4.5980179999999997</v>
      </c>
      <c r="E8362">
        <v>0.44185590000000002</v>
      </c>
      <c r="F8362" t="s">
        <v>84</v>
      </c>
      <c r="G8362">
        <v>-276.30889999999999</v>
      </c>
      <c r="H8362" s="1">
        <v>-1.875904E-6</v>
      </c>
      <c r="I8362">
        <v>-60.451650000000001</v>
      </c>
      <c r="J8362">
        <v>-289.38650000000001</v>
      </c>
      <c r="K8362">
        <v>1.1232759999999999</v>
      </c>
      <c r="L8362">
        <v>-59.399509999999999</v>
      </c>
      <c r="M8362">
        <v>0.89419439999999994</v>
      </c>
      <c r="N8362">
        <v>-1.181075E-2</v>
      </c>
      <c r="O8362">
        <v>-0.44752330000000001</v>
      </c>
      <c r="P8362">
        <v>0.97079490000000002</v>
      </c>
      <c r="Q8362">
        <v>-6.0327699999999901E-2</v>
      </c>
      <c r="R8362">
        <v>-0.2322031</v>
      </c>
      <c r="S8362">
        <v>3.016235</v>
      </c>
      <c r="T8362">
        <v>-0.25775959999999998</v>
      </c>
      <c r="U8362">
        <v>-0.24823000000000001</v>
      </c>
      <c r="V8362">
        <v>-0.22655110000000001</v>
      </c>
      <c r="W8362">
        <v>-5.0140339999999999E-2</v>
      </c>
      <c r="X8362">
        <v>0.97270780000000001</v>
      </c>
      <c r="Y8362">
        <v>-0.37009550000000002</v>
      </c>
      <c r="Z8362">
        <v>4.938443E-2</v>
      </c>
      <c r="AA8362">
        <v>0.92768019999999995</v>
      </c>
      <c r="AB8362">
        <v>15</v>
      </c>
      <c r="AC8362">
        <v>13.0776</v>
      </c>
      <c r="AD8362">
        <v>-1.1232778759040001</v>
      </c>
      <c r="AE8362">
        <v>-1.0521400000000001</v>
      </c>
      <c r="AF8362">
        <v>-4.8763107073504104</v>
      </c>
      <c r="AG8362">
        <v>-1.1232778759040001</v>
      </c>
      <c r="AH8362">
        <v>12.077093436246299</v>
      </c>
      <c r="AI8362">
        <v>94.929232608915797</v>
      </c>
      <c r="AJ8362">
        <v>111.98714458254</v>
      </c>
      <c r="AK8362">
        <v>13.072732888303801</v>
      </c>
      <c r="AL8362">
        <v>92.874035087439196</v>
      </c>
      <c r="AM8362">
        <v>103.11089027873901</v>
      </c>
      <c r="AN8362">
        <v>0.99999995939368203</v>
      </c>
    </row>
    <row r="8363" spans="1:40" x14ac:dyDescent="0.25">
      <c r="A8363" t="str">
        <f>"20190303154009451"</f>
        <v>20190303154009451</v>
      </c>
      <c r="B8363" t="str">
        <f>"1551598809446439"</f>
        <v>1551598809446439</v>
      </c>
      <c r="C8363" t="s">
        <v>40</v>
      </c>
      <c r="D8363">
        <v>4.6276270000000004</v>
      </c>
      <c r="E8363">
        <v>0.44216220000000001</v>
      </c>
      <c r="F8363" t="s">
        <v>84</v>
      </c>
      <c r="G8363">
        <v>-276.18630000000002</v>
      </c>
      <c r="H8363" s="1">
        <v>-1.824031E-6</v>
      </c>
      <c r="I8363">
        <v>-60.454859999999996</v>
      </c>
      <c r="J8363">
        <v>-289.31299999999999</v>
      </c>
      <c r="K8363">
        <v>1.123308</v>
      </c>
      <c r="L8363">
        <v>-59.432130000000001</v>
      </c>
      <c r="M8363">
        <v>0.8956383</v>
      </c>
      <c r="N8363">
        <v>-1.167751E-2</v>
      </c>
      <c r="O8363">
        <v>-0.44462960000000001</v>
      </c>
      <c r="P8363">
        <v>0.97154589999999996</v>
      </c>
      <c r="Q8363">
        <v>-6.0141029999999998E-2</v>
      </c>
      <c r="R8363">
        <v>-0.22908909999999999</v>
      </c>
      <c r="S8363">
        <v>3.016632</v>
      </c>
      <c r="T8363">
        <v>-0.2567024</v>
      </c>
      <c r="U8363">
        <v>-0.24118039999999999</v>
      </c>
      <c r="V8363">
        <v>-0.2265276</v>
      </c>
      <c r="W8363">
        <v>-5.0093550000000001E-2</v>
      </c>
      <c r="X8363">
        <v>0.97271569999999996</v>
      </c>
      <c r="Y8363">
        <v>-0.36928610000000001</v>
      </c>
      <c r="Z8363">
        <v>4.8985500000000001E-2</v>
      </c>
      <c r="AA8363">
        <v>0.92802379999999995</v>
      </c>
      <c r="AB8363">
        <v>15</v>
      </c>
      <c r="AC8363">
        <v>13.1266999999999</v>
      </c>
      <c r="AD8363">
        <v>-1.123309824031</v>
      </c>
      <c r="AE8363">
        <v>-1.0227299999999799</v>
      </c>
      <c r="AF8363">
        <v>-4.8853000935670003</v>
      </c>
      <c r="AG8363">
        <v>-1.123309824031</v>
      </c>
      <c r="AH8363">
        <v>12.1240963096344</v>
      </c>
      <c r="AI8363">
        <v>94.911752247078894</v>
      </c>
      <c r="AJ8363">
        <v>111.94654527733201</v>
      </c>
      <c r="AK8363">
        <v>13.1195157414541</v>
      </c>
      <c r="AL8363">
        <v>92.871350799332703</v>
      </c>
      <c r="AM8363">
        <v>103.10947447401099</v>
      </c>
      <c r="AN8363">
        <v>0.999999975169925</v>
      </c>
    </row>
    <row r="8364" spans="1:40" x14ac:dyDescent="0.25">
      <c r="A8364" t="str">
        <f>"20190303154009464"</f>
        <v>20190303154009464</v>
      </c>
      <c r="B8364" t="str">
        <f>"1551598809456197"</f>
        <v>1551598809456197</v>
      </c>
      <c r="C8364" t="s">
        <v>40</v>
      </c>
      <c r="D8364">
        <v>4.6341919999999996</v>
      </c>
      <c r="E8364">
        <v>0.44234469999999998</v>
      </c>
      <c r="F8364" t="s">
        <v>84</v>
      </c>
      <c r="G8364">
        <v>-276.13990000000001</v>
      </c>
      <c r="H8364" s="1">
        <v>-1.803724E-6</v>
      </c>
      <c r="I8364">
        <v>-60.453150000000001</v>
      </c>
      <c r="J8364">
        <v>-289.23070000000001</v>
      </c>
      <c r="K8364">
        <v>1.1233329999999999</v>
      </c>
      <c r="L8364">
        <v>-59.468229999999998</v>
      </c>
      <c r="M8364">
        <v>0.89723719999999996</v>
      </c>
      <c r="N8364">
        <v>-1.1600289999999999E-2</v>
      </c>
      <c r="O8364">
        <v>-0.44139669999999998</v>
      </c>
      <c r="P8364">
        <v>0.97231000000000001</v>
      </c>
      <c r="Q8364">
        <v>-5.9889129999999999E-2</v>
      </c>
      <c r="R8364">
        <v>-0.2258907</v>
      </c>
      <c r="S8364">
        <v>3.0168149999999998</v>
      </c>
      <c r="T8364">
        <v>-0.25725170000000003</v>
      </c>
      <c r="U8364">
        <v>-0.2338257</v>
      </c>
      <c r="V8364">
        <v>-0.22622809999999999</v>
      </c>
      <c r="W8364">
        <v>-4.9913470000000001E-2</v>
      </c>
      <c r="X8364">
        <v>0.97279470000000001</v>
      </c>
      <c r="Y8364">
        <v>-0.36818770000000001</v>
      </c>
      <c r="Z8364">
        <v>4.8864310000000001E-2</v>
      </c>
      <c r="AA8364">
        <v>0.92846660000000003</v>
      </c>
      <c r="AB8364">
        <v>15</v>
      </c>
      <c r="AC8364">
        <v>13.0908</v>
      </c>
      <c r="AD8364">
        <v>-1.1233348037240001</v>
      </c>
      <c r="AE8364">
        <v>-0.98491999999999502</v>
      </c>
      <c r="AF8364">
        <v>-4.8592778750950902</v>
      </c>
      <c r="AG8364">
        <v>-1.1233348037240001</v>
      </c>
      <c r="AH8364">
        <v>12.092568753123301</v>
      </c>
      <c r="AI8364">
        <v>94.9264736446017</v>
      </c>
      <c r="AJ8364">
        <v>111.892234936891</v>
      </c>
      <c r="AK8364">
        <v>13.080698819163301</v>
      </c>
      <c r="AL8364">
        <v>92.8610199290233</v>
      </c>
      <c r="AM8364">
        <v>103.09171283113</v>
      </c>
      <c r="AN8364">
        <v>1.0000000180325701</v>
      </c>
    </row>
    <row r="8365" spans="1:40" x14ac:dyDescent="0.25">
      <c r="A8365" t="str">
        <f>"20190303154009477"</f>
        <v>20190303154009477</v>
      </c>
      <c r="B8365" t="str">
        <f>"1551598809466935"</f>
        <v>1551598809466935</v>
      </c>
      <c r="C8365" t="s">
        <v>40</v>
      </c>
      <c r="D8365">
        <v>4.6412180000000003</v>
      </c>
      <c r="E8365">
        <v>0.44249699999999997</v>
      </c>
      <c r="F8365" t="s">
        <v>84</v>
      </c>
      <c r="G8365">
        <v>-276.02870000000001</v>
      </c>
      <c r="H8365" s="1">
        <v>-1.7562969999999999E-6</v>
      </c>
      <c r="I8365">
        <v>-60.454349999999998</v>
      </c>
      <c r="J8365">
        <v>-289.15730000000002</v>
      </c>
      <c r="K8365">
        <v>1.123353</v>
      </c>
      <c r="L8365">
        <v>-59.500059999999998</v>
      </c>
      <c r="M8365">
        <v>0.89864739999999999</v>
      </c>
      <c r="N8365">
        <v>-1.1578669999999999E-2</v>
      </c>
      <c r="O8365">
        <v>-0.43851899999999999</v>
      </c>
      <c r="P8365">
        <v>0.97305359999999996</v>
      </c>
      <c r="Q8365">
        <v>-5.9781059999999997E-2</v>
      </c>
      <c r="R8365">
        <v>-0.22269439999999999</v>
      </c>
      <c r="S8365">
        <v>3.017242</v>
      </c>
      <c r="T8365">
        <v>-0.2567316</v>
      </c>
      <c r="U8365">
        <v>-0.2253723</v>
      </c>
      <c r="V8365">
        <v>-0.22631180000000001</v>
      </c>
      <c r="W8365">
        <v>-4.9820370000000003E-2</v>
      </c>
      <c r="X8365">
        <v>0.97277999999999998</v>
      </c>
      <c r="Y8365">
        <v>-0.36782480000000001</v>
      </c>
      <c r="Z8365">
        <v>4.8567180000000001E-2</v>
      </c>
      <c r="AA8365">
        <v>0.9286259</v>
      </c>
      <c r="AB8365">
        <v>15</v>
      </c>
      <c r="AC8365">
        <v>13.1286</v>
      </c>
      <c r="AD8365">
        <v>-1.1233547562970001</v>
      </c>
      <c r="AE8365">
        <v>-0.95428999999999997</v>
      </c>
      <c r="AF8365">
        <v>-4.8644706773081499</v>
      </c>
      <c r="AG8365">
        <v>-1.1233547562970001</v>
      </c>
      <c r="AH8365">
        <v>12.128940059054701</v>
      </c>
      <c r="AI8365">
        <v>94.913172716656604</v>
      </c>
      <c r="AJ8365">
        <v>111.853901371841</v>
      </c>
      <c r="AK8365">
        <v>13.1162566243203</v>
      </c>
      <c r="AL8365">
        <v>92.855679058130903</v>
      </c>
      <c r="AM8365">
        <v>103.09658066550099</v>
      </c>
      <c r="AN8365">
        <v>1.00000001424308</v>
      </c>
    </row>
    <row r="8366" spans="1:40" x14ac:dyDescent="0.25">
      <c r="A8366" t="str">
        <f>"20190303154009490"</f>
        <v>20190303154009490</v>
      </c>
      <c r="B8366" t="str">
        <f>"1551598809486453"</f>
        <v>1551598809486453</v>
      </c>
      <c r="C8366" t="s">
        <v>40</v>
      </c>
      <c r="D8366">
        <v>4.6429150000000003</v>
      </c>
      <c r="E8366">
        <v>0.4428803</v>
      </c>
      <c r="F8366" t="s">
        <v>84</v>
      </c>
      <c r="G8366">
        <v>-275.97120000000001</v>
      </c>
      <c r="H8366" s="1">
        <v>-1.729817E-6</v>
      </c>
      <c r="I8366">
        <v>-60.446309999999997</v>
      </c>
      <c r="J8366">
        <v>-289.08440000000002</v>
      </c>
      <c r="K8366">
        <v>1.12337</v>
      </c>
      <c r="L8366">
        <v>-59.531590000000001</v>
      </c>
      <c r="M8366">
        <v>0.90003659999999996</v>
      </c>
      <c r="N8366">
        <v>-1.1586030000000001E-2</v>
      </c>
      <c r="O8366">
        <v>-0.43566070000000001</v>
      </c>
      <c r="P8366">
        <v>0.9737403</v>
      </c>
      <c r="Q8366">
        <v>-5.9915639999999999E-2</v>
      </c>
      <c r="R8366">
        <v>-0.21963540000000001</v>
      </c>
      <c r="S8366">
        <v>3.0177</v>
      </c>
      <c r="T8366">
        <v>-0.25708370000000003</v>
      </c>
      <c r="U8366">
        <v>-0.21655269999999999</v>
      </c>
      <c r="V8366">
        <v>-0.2262747</v>
      </c>
      <c r="W8366">
        <v>-4.9937229999999999E-2</v>
      </c>
      <c r="X8366">
        <v>0.97278260000000005</v>
      </c>
      <c r="Y8366">
        <v>-0.36758160000000001</v>
      </c>
      <c r="Z8366">
        <v>4.8443600000000003E-2</v>
      </c>
      <c r="AA8366">
        <v>0.92872869999999996</v>
      </c>
      <c r="AB8366">
        <v>15</v>
      </c>
      <c r="AC8366">
        <v>13.113200000000001</v>
      </c>
      <c r="AD8366">
        <v>-1.1233717298170001</v>
      </c>
      <c r="AE8366">
        <v>-0.91471999999999498</v>
      </c>
      <c r="AF8366">
        <v>-4.8544976925954799</v>
      </c>
      <c r="AG8366">
        <v>-1.1233717298170001</v>
      </c>
      <c r="AH8366">
        <v>12.113217319609101</v>
      </c>
      <c r="AI8366">
        <v>94.9201045404795</v>
      </c>
      <c r="AJ8366">
        <v>111.838957494545</v>
      </c>
      <c r="AK8366">
        <v>13.0980206795853</v>
      </c>
      <c r="AL8366">
        <v>92.862383094536895</v>
      </c>
      <c r="AM8366">
        <v>103.09447389802099</v>
      </c>
      <c r="AN8366">
        <v>0.99999997683146102</v>
      </c>
    </row>
    <row r="8367" spans="1:40" x14ac:dyDescent="0.25">
      <c r="A8367" t="str">
        <f>"20190303154009501"</f>
        <v>20190303154009501</v>
      </c>
      <c r="B8367" t="str">
        <f>"1551598809496214"</f>
        <v>1551598809496214</v>
      </c>
      <c r="C8367" t="s">
        <v>40</v>
      </c>
      <c r="D8367">
        <v>4.6755610000000001</v>
      </c>
      <c r="E8367">
        <v>0.44308570000000003</v>
      </c>
      <c r="F8367" t="s">
        <v>84</v>
      </c>
      <c r="G8367">
        <v>-275.9631</v>
      </c>
      <c r="H8367" s="1">
        <v>-1.726013E-6</v>
      </c>
      <c r="I8367">
        <v>-60.444800000000001</v>
      </c>
      <c r="J8367">
        <v>-289.01549999999997</v>
      </c>
      <c r="K8367">
        <v>1.1233799999999901</v>
      </c>
      <c r="L8367">
        <v>-59.560940000000002</v>
      </c>
      <c r="M8367">
        <v>0.90133509999999994</v>
      </c>
      <c r="N8367">
        <v>-1.1651190000000001E-2</v>
      </c>
      <c r="O8367">
        <v>-0.43296560000000001</v>
      </c>
      <c r="P8367">
        <v>0.97436789999999995</v>
      </c>
      <c r="Q8367">
        <v>-6.008169E-2</v>
      </c>
      <c r="R8367">
        <v>-0.21678929999999999</v>
      </c>
      <c r="S8367">
        <v>3.017639</v>
      </c>
      <c r="T8367">
        <v>-0.2583529</v>
      </c>
      <c r="U8367">
        <v>-0.21002199999999999</v>
      </c>
      <c r="V8367">
        <v>-0.22620599999999999</v>
      </c>
      <c r="W8367">
        <v>-5.0023310000000001E-2</v>
      </c>
      <c r="X8367">
        <v>0.97279420000000005</v>
      </c>
      <c r="Y8367">
        <v>-0.36678329999999998</v>
      </c>
      <c r="Z8367">
        <v>4.8475629999999999E-2</v>
      </c>
      <c r="AA8367">
        <v>0.92904260000000005</v>
      </c>
      <c r="AB8367">
        <v>15</v>
      </c>
      <c r="AC8367">
        <v>13.052399999999899</v>
      </c>
      <c r="AD8367">
        <v>-1.1233817260129999</v>
      </c>
      <c r="AE8367">
        <v>-0.88385999999999798</v>
      </c>
      <c r="AF8367">
        <v>-4.8193790948043604</v>
      </c>
      <c r="AG8367">
        <v>-1.1233817260129999</v>
      </c>
      <c r="AH8367">
        <v>12.0591712430397</v>
      </c>
      <c r="AI8367">
        <v>94.943983596021198</v>
      </c>
      <c r="AJ8367">
        <v>111.783838455954</v>
      </c>
      <c r="AK8367">
        <v>13.0350302044427</v>
      </c>
      <c r="AL8367">
        <v>92.867321160999197</v>
      </c>
      <c r="AM8367">
        <v>103.0904844567</v>
      </c>
      <c r="AN8367">
        <v>1.0000000207664901</v>
      </c>
    </row>
    <row r="8368" spans="1:40" x14ac:dyDescent="0.25">
      <c r="A8368" t="str">
        <f>"20190303154009516"</f>
        <v>20190303154009516</v>
      </c>
      <c r="B8368" t="str">
        <f>"1551598809506950"</f>
        <v>1551598809506950</v>
      </c>
      <c r="C8368" t="s">
        <v>40</v>
      </c>
      <c r="D8368">
        <v>4.6711169999999997</v>
      </c>
      <c r="E8368">
        <v>0.44329170000000001</v>
      </c>
      <c r="F8368" t="s">
        <v>84</v>
      </c>
      <c r="G8368">
        <v>-275.94549999999998</v>
      </c>
      <c r="H8368" s="1">
        <v>-1.717158E-6</v>
      </c>
      <c r="I8368">
        <v>-60.438809999999997</v>
      </c>
      <c r="J8368">
        <v>-288.92579999999998</v>
      </c>
      <c r="K8368">
        <v>1.1233930000000001</v>
      </c>
      <c r="L8368">
        <v>-59.598909999999997</v>
      </c>
      <c r="M8368">
        <v>0.90301359999999997</v>
      </c>
      <c r="N8368">
        <v>-1.175754E-2</v>
      </c>
      <c r="O8368">
        <v>-0.42945080000000002</v>
      </c>
      <c r="P8368">
        <v>0.97508989999999995</v>
      </c>
      <c r="Q8368">
        <v>-6.074454E-2</v>
      </c>
      <c r="R8368">
        <v>-0.21332960000000001</v>
      </c>
      <c r="S8368">
        <v>3.0178219999999998</v>
      </c>
      <c r="T8368">
        <v>-0.2593858</v>
      </c>
      <c r="U8368">
        <v>-0.20269780000000001</v>
      </c>
      <c r="V8368">
        <v>-0.22585340000000001</v>
      </c>
      <c r="W8368">
        <v>-5.0558619999999999E-2</v>
      </c>
      <c r="X8368">
        <v>0.97284839999999995</v>
      </c>
      <c r="Y8368">
        <v>-0.3654037</v>
      </c>
      <c r="Z8368">
        <v>4.8362719999999998E-2</v>
      </c>
      <c r="AA8368">
        <v>0.92959199999999997</v>
      </c>
      <c r="AB8368">
        <v>15</v>
      </c>
      <c r="AC8368">
        <v>12.9803</v>
      </c>
      <c r="AD8368">
        <v>-1.1233947171580001</v>
      </c>
      <c r="AE8368">
        <v>-0.83989999999999998</v>
      </c>
      <c r="AF8368">
        <v>-4.78063375193714</v>
      </c>
      <c r="AG8368">
        <v>-1.1233947171580001</v>
      </c>
      <c r="AH8368">
        <v>11.9934603648117</v>
      </c>
      <c r="AI8368">
        <v>94.972765840431094</v>
      </c>
      <c r="AJ8368">
        <v>111.732392791073</v>
      </c>
      <c r="AK8368">
        <v>12.959921538458801</v>
      </c>
      <c r="AL8368">
        <v>92.898031169191199</v>
      </c>
      <c r="AM8368">
        <v>103.070077507674</v>
      </c>
      <c r="AN8368">
        <v>0.99999997086521097</v>
      </c>
    </row>
    <row r="8369" spans="1:40" x14ac:dyDescent="0.25">
      <c r="A8369" t="str">
        <f>"20190303154009526"</f>
        <v>20190303154009526</v>
      </c>
      <c r="B8369" t="str">
        <f>"1551598809516711"</f>
        <v>1551598809516711</v>
      </c>
      <c r="C8369" t="s">
        <v>40</v>
      </c>
      <c r="D8369">
        <v>4.6992929999999999</v>
      </c>
      <c r="E8369">
        <v>0.44329170000000001</v>
      </c>
      <c r="F8369" t="s">
        <v>84</v>
      </c>
      <c r="G8369">
        <v>-275.96269999999998</v>
      </c>
      <c r="H8369" s="1">
        <v>-1.7225189999999999E-6</v>
      </c>
      <c r="I8369">
        <v>-60.429830000000003</v>
      </c>
      <c r="J8369">
        <v>-288.86320000000001</v>
      </c>
      <c r="K8369">
        <v>1.123399</v>
      </c>
      <c r="L8369">
        <v>-59.625269999999901</v>
      </c>
      <c r="M8369">
        <v>0.90417809999999998</v>
      </c>
      <c r="N8369">
        <v>-1.184868E-2</v>
      </c>
      <c r="O8369">
        <v>-0.42699160000000003</v>
      </c>
      <c r="P8369">
        <v>0.97556030000000005</v>
      </c>
      <c r="Q8369">
        <v>-6.1062709999999999E-2</v>
      </c>
      <c r="R8369">
        <v>-0.21107680000000001</v>
      </c>
      <c r="S8369">
        <v>3.018005</v>
      </c>
      <c r="T8369">
        <v>-0.26154260000000001</v>
      </c>
      <c r="U8369">
        <v>-0.19345090000000001</v>
      </c>
      <c r="V8369">
        <v>-0.22544739999999999</v>
      </c>
      <c r="W8369">
        <v>-5.0769410000000001E-2</v>
      </c>
      <c r="X8369">
        <v>0.97293160000000001</v>
      </c>
      <c r="Y8369">
        <v>-0.36567300000000003</v>
      </c>
      <c r="Z8369">
        <v>4.8624349999999997E-2</v>
      </c>
      <c r="AA8369">
        <v>0.92947239999999998</v>
      </c>
      <c r="AB8369">
        <v>15</v>
      </c>
      <c r="AC8369">
        <v>12.900499999999999</v>
      </c>
      <c r="AD8369">
        <v>-1.1234007225189999</v>
      </c>
      <c r="AE8369">
        <v>-0.80456000000000905</v>
      </c>
      <c r="AF8369">
        <v>-4.7454282138205803</v>
      </c>
      <c r="AG8369">
        <v>-1.1234007225189999</v>
      </c>
      <c r="AH8369">
        <v>11.918698924704699</v>
      </c>
      <c r="AI8369">
        <v>95.004603165518006</v>
      </c>
      <c r="AJ8369">
        <v>111.70996702920201</v>
      </c>
      <c r="AK8369">
        <v>12.8777522174344</v>
      </c>
      <c r="AL8369">
        <v>92.910124048498005</v>
      </c>
      <c r="AM8369">
        <v>103.046309367736</v>
      </c>
      <c r="AN8369">
        <v>0.99999998071853302</v>
      </c>
    </row>
    <row r="8370" spans="1:40" x14ac:dyDescent="0.25">
      <c r="A8370" t="str">
        <f>"20190303154009538"</f>
        <v>20190303154009538</v>
      </c>
      <c r="B8370" t="str">
        <f>"1551598809526470"</f>
        <v>1551598809526470</v>
      </c>
      <c r="C8370" t="s">
        <v>40</v>
      </c>
      <c r="D8370">
        <v>4.7431000000000001</v>
      </c>
      <c r="E8370">
        <v>0.45815549999999999</v>
      </c>
      <c r="F8370" t="s">
        <v>84</v>
      </c>
      <c r="G8370">
        <v>-275.93540000000002</v>
      </c>
      <c r="H8370" s="1">
        <v>-1.7095290000000001E-6</v>
      </c>
      <c r="I8370">
        <v>-60.424030000000002</v>
      </c>
      <c r="J8370">
        <v>-288.7978</v>
      </c>
      <c r="K8370">
        <v>1.1234040000000001</v>
      </c>
      <c r="L8370">
        <v>-59.652470000000001</v>
      </c>
      <c r="M8370">
        <v>0.90538600000000002</v>
      </c>
      <c r="N8370">
        <v>-1.195208E-2</v>
      </c>
      <c r="O8370">
        <v>-0.4244214</v>
      </c>
      <c r="P8370">
        <v>0.97601039999999994</v>
      </c>
      <c r="Q8370">
        <v>-6.1427580000000002E-2</v>
      </c>
      <c r="R8370">
        <v>-0.20887919999999999</v>
      </c>
      <c r="S8370">
        <v>3.0183719999999998</v>
      </c>
      <c r="T8370">
        <v>-0.26229170000000002</v>
      </c>
      <c r="U8370">
        <v>-0.18649289999999999</v>
      </c>
      <c r="V8370">
        <v>-0.22486690000000001</v>
      </c>
      <c r="W8370">
        <v>-5.1016520000000003E-2</v>
      </c>
      <c r="X8370">
        <v>0.97305299999999995</v>
      </c>
      <c r="Y8370">
        <v>-0.36516710000000002</v>
      </c>
      <c r="Z8370">
        <v>4.8552430000000001E-2</v>
      </c>
      <c r="AA8370">
        <v>0.92967500000000003</v>
      </c>
      <c r="AB8370">
        <v>15</v>
      </c>
      <c r="AC8370">
        <v>12.8623999999999</v>
      </c>
      <c r="AD8370">
        <v>-1.123405709529</v>
      </c>
      <c r="AE8370">
        <v>-0.77156000000000702</v>
      </c>
      <c r="AF8370">
        <v>-4.7249436322971397</v>
      </c>
      <c r="AG8370">
        <v>-1.123405709529</v>
      </c>
      <c r="AH8370">
        <v>11.883431945008001</v>
      </c>
      <c r="AI8370">
        <v>95.020332079404795</v>
      </c>
      <c r="AJ8370">
        <v>111.683147718049</v>
      </c>
      <c r="AK8370">
        <v>12.8375654821397</v>
      </c>
      <c r="AL8370">
        <v>92.924300798758907</v>
      </c>
      <c r="AM8370">
        <v>103.012293212849</v>
      </c>
      <c r="AN8370">
        <v>0.99999997441875899</v>
      </c>
    </row>
    <row r="8371" spans="1:40" x14ac:dyDescent="0.25">
      <c r="A8371" t="str">
        <f>"20190303154009549"</f>
        <v>20190303154009549</v>
      </c>
      <c r="B8371" t="str">
        <f>"1551598809546965"</f>
        <v>1551598809546965</v>
      </c>
      <c r="C8371" t="s">
        <v>40</v>
      </c>
      <c r="D8371">
        <v>4.7382619999999998</v>
      </c>
      <c r="E8371">
        <v>0.46623110000000001</v>
      </c>
      <c r="F8371" t="s">
        <v>84</v>
      </c>
      <c r="G8371">
        <v>-273.18759999999997</v>
      </c>
      <c r="H8371" s="1">
        <v>-7.0477590000000004E-7</v>
      </c>
      <c r="I8371">
        <v>-61.206780000000002</v>
      </c>
      <c r="J8371">
        <v>-288.72989999999999</v>
      </c>
      <c r="K8371">
        <v>1.1234150000000001</v>
      </c>
      <c r="L8371">
        <v>-59.680630000000001</v>
      </c>
      <c r="M8371">
        <v>0.90663289999999996</v>
      </c>
      <c r="N8371">
        <v>-1.2061540000000001E-2</v>
      </c>
      <c r="O8371">
        <v>-0.42174800000000001</v>
      </c>
      <c r="P8371">
        <v>0.9764737</v>
      </c>
      <c r="Q8371">
        <v>-6.1957560000000002E-2</v>
      </c>
      <c r="R8371">
        <v>-0.2065438</v>
      </c>
      <c r="S8371">
        <v>2.9962770000000001</v>
      </c>
      <c r="T8371">
        <v>-0.21563009999999999</v>
      </c>
      <c r="U8371">
        <v>-0.29833979999999999</v>
      </c>
      <c r="V8371">
        <v>-0.22431100000000001</v>
      </c>
      <c r="W8371">
        <v>-5.1423999999999997E-2</v>
      </c>
      <c r="X8371">
        <v>0.97315989999999997</v>
      </c>
      <c r="Y8371">
        <v>-0.32821440000000002</v>
      </c>
      <c r="Z8371">
        <v>3.7874169999999999E-2</v>
      </c>
      <c r="AA8371">
        <v>0.94384369999999995</v>
      </c>
      <c r="AB8371">
        <v>14</v>
      </c>
      <c r="AC8371">
        <v>15.542299999999999</v>
      </c>
      <c r="AD8371">
        <v>-1.1234157047758999</v>
      </c>
      <c r="AE8371">
        <v>-1.5261499999999899</v>
      </c>
      <c r="AF8371">
        <v>-5.1450283101290797</v>
      </c>
      <c r="AG8371">
        <v>-1.1234157047758999</v>
      </c>
      <c r="AH8371">
        <v>14.6600217971392</v>
      </c>
      <c r="AI8371">
        <v>94.135714119178004</v>
      </c>
      <c r="AJ8371">
        <v>109.33884861963099</v>
      </c>
      <c r="AK8371">
        <v>15.577214714138201</v>
      </c>
      <c r="AL8371">
        <v>92.947678230011803</v>
      </c>
      <c r="AM8371">
        <v>102.979838329879</v>
      </c>
      <c r="AN8371">
        <v>1.0000000217325</v>
      </c>
    </row>
    <row r="8372" spans="1:40" x14ac:dyDescent="0.25">
      <c r="A8372" t="str">
        <f>"20190303154009560"</f>
        <v>20190303154009560</v>
      </c>
      <c r="B8372" t="str">
        <f>"1551598809556726"</f>
        <v>1551598809556726</v>
      </c>
      <c r="C8372" t="s">
        <v>40</v>
      </c>
      <c r="D8372">
        <v>4.7323139999999997</v>
      </c>
      <c r="E8372">
        <v>0.46795239999999999</v>
      </c>
      <c r="F8372" t="s">
        <v>84</v>
      </c>
      <c r="G8372">
        <v>-272.88040000000001</v>
      </c>
      <c r="H8372" s="1">
        <v>-6.5230549999999897E-7</v>
      </c>
      <c r="I8372">
        <v>-61.563429999999997</v>
      </c>
      <c r="J8372">
        <v>-288.66500000000002</v>
      </c>
      <c r="K8372">
        <v>1.123426</v>
      </c>
      <c r="L8372">
        <v>-59.707210000000003</v>
      </c>
      <c r="M8372">
        <v>0.90781579999999995</v>
      </c>
      <c r="N8372">
        <v>-1.2163709999999999E-2</v>
      </c>
      <c r="O8372">
        <v>-0.41919289999999998</v>
      </c>
      <c r="P8372">
        <v>0.97686090000000003</v>
      </c>
      <c r="Q8372">
        <v>-6.2055390000000002E-2</v>
      </c>
      <c r="R8372">
        <v>-0.20467540000000001</v>
      </c>
      <c r="S8372">
        <v>2.9838870000000002</v>
      </c>
      <c r="T8372">
        <v>-0.21149870000000001</v>
      </c>
      <c r="U8372">
        <v>-0.35446169999999999</v>
      </c>
      <c r="V8372">
        <v>-0.2234312</v>
      </c>
      <c r="W8372">
        <v>-5.141068E-2</v>
      </c>
      <c r="X8372">
        <v>0.97336299999999998</v>
      </c>
      <c r="Y8372">
        <v>-0.30767240000000001</v>
      </c>
      <c r="Z8372">
        <v>3.6178719999999998E-2</v>
      </c>
      <c r="AA8372">
        <v>0.95080430000000005</v>
      </c>
      <c r="AB8372">
        <v>14</v>
      </c>
      <c r="AC8372">
        <v>15.784599999999999</v>
      </c>
      <c r="AD8372">
        <v>-1.1234266523055001</v>
      </c>
      <c r="AE8372">
        <v>-1.85622</v>
      </c>
      <c r="AF8372">
        <v>-4.9075308546415197</v>
      </c>
      <c r="AG8372">
        <v>-1.1234266523055001</v>
      </c>
      <c r="AH8372">
        <v>15.033625920745299</v>
      </c>
      <c r="AI8372">
        <v>94.063375559663498</v>
      </c>
      <c r="AJ8372">
        <v>108.078595374789</v>
      </c>
      <c r="AK8372">
        <v>15.854206219715801</v>
      </c>
      <c r="AL8372">
        <v>92.946913972379207</v>
      </c>
      <c r="AM8372">
        <v>102.928035267279</v>
      </c>
      <c r="AN8372">
        <v>1.0000000444602499</v>
      </c>
    </row>
    <row r="8373" spans="1:40" x14ac:dyDescent="0.25">
      <c r="A8373" t="str">
        <f>"20190303154009572"</f>
        <v>20190303154009572</v>
      </c>
      <c r="B8373" t="str">
        <f>"1551598809566486"</f>
        <v>1551598809566486</v>
      </c>
      <c r="C8373" t="s">
        <v>40</v>
      </c>
      <c r="D8373">
        <v>4.7286260000000002</v>
      </c>
      <c r="E8373">
        <v>0.46922619999999998</v>
      </c>
      <c r="F8373" t="s">
        <v>84</v>
      </c>
      <c r="G8373">
        <v>-272.9939</v>
      </c>
      <c r="H8373" s="1">
        <v>-7.1153849999999999E-7</v>
      </c>
      <c r="I8373">
        <v>-61.610799999999998</v>
      </c>
      <c r="J8373">
        <v>-288.59789999999998</v>
      </c>
      <c r="K8373">
        <v>1.12344</v>
      </c>
      <c r="L8373">
        <v>-59.734529999999999</v>
      </c>
      <c r="M8373">
        <v>0.90902930000000004</v>
      </c>
      <c r="N8373">
        <v>-1.2267689999999999E-2</v>
      </c>
      <c r="O8373">
        <v>-0.41655209999999998</v>
      </c>
      <c r="P8373">
        <v>0.97729460000000001</v>
      </c>
      <c r="Q8373">
        <v>-6.2516929999999998E-2</v>
      </c>
      <c r="R8373">
        <v>-0.20245270000000001</v>
      </c>
      <c r="S8373">
        <v>2.9816280000000002</v>
      </c>
      <c r="T8373">
        <v>-0.2137471</v>
      </c>
      <c r="U8373">
        <v>-0.36218260000000002</v>
      </c>
      <c r="V8373">
        <v>-0.22280330000000001</v>
      </c>
      <c r="W8373">
        <v>-5.1763099999999999E-2</v>
      </c>
      <c r="X8373">
        <v>0.97348820000000003</v>
      </c>
      <c r="Y8373">
        <v>-0.30237629999999999</v>
      </c>
      <c r="Z8373">
        <v>3.6231600000000003E-2</v>
      </c>
      <c r="AA8373">
        <v>0.95249980000000001</v>
      </c>
      <c r="AB8373">
        <v>14</v>
      </c>
      <c r="AC8373">
        <v>15.6039999999999</v>
      </c>
      <c r="AD8373">
        <v>-1.1234407115384999</v>
      </c>
      <c r="AE8373">
        <v>-1.8762699999999899</v>
      </c>
      <c r="AF8373">
        <v>-4.7702797359347997</v>
      </c>
      <c r="AG8373">
        <v>-1.1234407115384999</v>
      </c>
      <c r="AH8373">
        <v>14.8910917803746</v>
      </c>
      <c r="AI8373">
        <v>94.1094867148216</v>
      </c>
      <c r="AJ8373">
        <v>107.762576109073</v>
      </c>
      <c r="AK8373">
        <v>15.676807781016899</v>
      </c>
      <c r="AL8373">
        <v>92.967133197008806</v>
      </c>
      <c r="AM8373">
        <v>102.89131705542999</v>
      </c>
      <c r="AN8373">
        <v>1.0000000022758699</v>
      </c>
    </row>
    <row r="8374" spans="1:40" x14ac:dyDescent="0.25">
      <c r="A8374" t="str">
        <f>"20190303154009583"</f>
        <v>20190303154009583</v>
      </c>
      <c r="B8374" t="str">
        <f>"1551598809576246"</f>
        <v>1551598809576246</v>
      </c>
      <c r="C8374" t="s">
        <v>40</v>
      </c>
      <c r="D8374">
        <v>4.7211470000000002</v>
      </c>
      <c r="E8374">
        <v>0.47019070000000002</v>
      </c>
      <c r="F8374" t="s">
        <v>84</v>
      </c>
      <c r="G8374">
        <v>-272.98630000000003</v>
      </c>
      <c r="H8374" s="1">
        <v>-7.1663929999999999E-7</v>
      </c>
      <c r="I8374">
        <v>-61.648539999999997</v>
      </c>
      <c r="J8374">
        <v>-288.52969999999999</v>
      </c>
      <c r="K8374">
        <v>1.1234599999999999</v>
      </c>
      <c r="L8374">
        <v>-59.762050000000002</v>
      </c>
      <c r="M8374">
        <v>0.91025299999999998</v>
      </c>
      <c r="N8374">
        <v>-1.23687E-2</v>
      </c>
      <c r="O8374">
        <v>-0.41386780000000001</v>
      </c>
      <c r="P8374">
        <v>0.97782270000000004</v>
      </c>
      <c r="Q8374">
        <v>-6.2425679999999997E-2</v>
      </c>
      <c r="R8374">
        <v>-0.19991410000000001</v>
      </c>
      <c r="S8374">
        <v>2.980286</v>
      </c>
      <c r="T8374">
        <v>-0.2144663</v>
      </c>
      <c r="U8374">
        <v>-0.36538700000000002</v>
      </c>
      <c r="V8374">
        <v>-0.2224624</v>
      </c>
      <c r="W8374">
        <v>-5.1572170000000001E-2</v>
      </c>
      <c r="X8374">
        <v>0.97357629999999995</v>
      </c>
      <c r="Y8374">
        <v>-0.29850670000000001</v>
      </c>
      <c r="Z8374">
        <v>3.6048539999999997E-2</v>
      </c>
      <c r="AA8374">
        <v>0.95372650000000003</v>
      </c>
      <c r="AB8374">
        <v>14</v>
      </c>
      <c r="AC8374">
        <v>15.543399999999901</v>
      </c>
      <c r="AD8374">
        <v>-1.1234607166393</v>
      </c>
      <c r="AE8374">
        <v>-1.88649</v>
      </c>
      <c r="AF8374">
        <v>-4.6919341913014803</v>
      </c>
      <c r="AG8374">
        <v>-1.1234607166393</v>
      </c>
      <c r="AH8374">
        <v>14.8538518608903</v>
      </c>
      <c r="AI8374">
        <v>94.1251336682502</v>
      </c>
      <c r="AJ8374">
        <v>107.52993208034</v>
      </c>
      <c r="AK8374">
        <v>15.617724723614799</v>
      </c>
      <c r="AL8374">
        <v>92.956179059881805</v>
      </c>
      <c r="AM8374">
        <v>102.871124192873</v>
      </c>
      <c r="AN8374">
        <v>1.0000000100269699</v>
      </c>
    </row>
    <row r="8375" spans="1:40" x14ac:dyDescent="0.25">
      <c r="A8375" t="str">
        <f>"20190303154009595"</f>
        <v>20190303154009595</v>
      </c>
      <c r="B8375" t="str">
        <f>"1551598809586982"</f>
        <v>1551598809586982</v>
      </c>
      <c r="C8375" t="s">
        <v>40</v>
      </c>
      <c r="D8375">
        <v>4.6989869999999998</v>
      </c>
      <c r="E8375">
        <v>0.47094350000000001</v>
      </c>
      <c r="F8375" t="s">
        <v>84</v>
      </c>
      <c r="G8375">
        <v>-272.93779999999998</v>
      </c>
      <c r="H8375" s="1">
        <v>-7.0122200000000003E-7</v>
      </c>
      <c r="I8375">
        <v>-61.67259</v>
      </c>
      <c r="J8375">
        <v>-288.46429999999998</v>
      </c>
      <c r="K8375">
        <v>1.123475</v>
      </c>
      <c r="L8375">
        <v>-59.788179999999997</v>
      </c>
      <c r="M8375">
        <v>0.9114158</v>
      </c>
      <c r="N8375">
        <v>-1.246241E-2</v>
      </c>
      <c r="O8375">
        <v>-0.41129789999999999</v>
      </c>
      <c r="P8375">
        <v>0.97830159999999999</v>
      </c>
      <c r="Q8375">
        <v>-6.2203229999999998E-2</v>
      </c>
      <c r="R8375">
        <v>-0.1976279</v>
      </c>
      <c r="S8375">
        <v>2.9796749999999999</v>
      </c>
      <c r="T8375">
        <v>-0.214699</v>
      </c>
      <c r="U8375">
        <v>-0.3651123</v>
      </c>
      <c r="V8375">
        <v>-0.22199949999999999</v>
      </c>
      <c r="W8375">
        <v>-5.1257289999999997E-2</v>
      </c>
      <c r="X8375">
        <v>0.97369859999999997</v>
      </c>
      <c r="Y8375">
        <v>-0.29588560000000003</v>
      </c>
      <c r="Z8375">
        <v>3.5829880000000001E-2</v>
      </c>
      <c r="AA8375">
        <v>0.95455120000000004</v>
      </c>
      <c r="AB8375">
        <v>14</v>
      </c>
      <c r="AC8375">
        <v>15.5265</v>
      </c>
      <c r="AD8375">
        <v>-1.123475701222</v>
      </c>
      <c r="AE8375">
        <v>-1.8844099999999899</v>
      </c>
      <c r="AF8375">
        <v>-4.6449315528996404</v>
      </c>
      <c r="AG8375">
        <v>-1.123475701222</v>
      </c>
      <c r="AH8375">
        <v>14.8506842681417</v>
      </c>
      <c r="AI8375">
        <v>94.129710482688907</v>
      </c>
      <c r="AJ8375">
        <v>107.368408901053</v>
      </c>
      <c r="AK8375">
        <v>15.6006541534126</v>
      </c>
      <c r="AL8375">
        <v>92.938113825582803</v>
      </c>
      <c r="AM8375">
        <v>102.84367136506999</v>
      </c>
      <c r="AN8375">
        <v>1.00000002571017</v>
      </c>
    </row>
    <row r="8376" spans="1:40" x14ac:dyDescent="0.25">
      <c r="A8376" t="str">
        <f>"20190303154009605"</f>
        <v>20190303154009605</v>
      </c>
      <c r="B8376" t="str">
        <f>"1551598809596400"</f>
        <v>1551598809596400</v>
      </c>
      <c r="C8376" t="s">
        <v>40</v>
      </c>
      <c r="D8376">
        <v>4.7309260000000002</v>
      </c>
      <c r="E8376">
        <v>0.47153400000000001</v>
      </c>
      <c r="F8376" t="s">
        <v>84</v>
      </c>
      <c r="G8376">
        <v>-272.77760000000001</v>
      </c>
      <c r="H8376" s="1">
        <v>-6.3971219999999999E-7</v>
      </c>
      <c r="I8376">
        <v>-61.705190000000002</v>
      </c>
      <c r="J8376">
        <v>-288.40140000000002</v>
      </c>
      <c r="K8376">
        <v>1.123494</v>
      </c>
      <c r="L8376">
        <v>-59.813139999999997</v>
      </c>
      <c r="M8376">
        <v>0.91252509999999998</v>
      </c>
      <c r="N8376">
        <v>-1.2549660000000001E-2</v>
      </c>
      <c r="O8376">
        <v>-0.40882819999999997</v>
      </c>
      <c r="P8376">
        <v>0.97880789999999995</v>
      </c>
      <c r="Q8376">
        <v>-6.2134679999999998E-2</v>
      </c>
      <c r="R8376">
        <v>-0.1951273</v>
      </c>
      <c r="S8376">
        <v>2.9794309999999999</v>
      </c>
      <c r="T8376">
        <v>-0.21338579999999999</v>
      </c>
      <c r="U8376">
        <v>-0.36410520000000002</v>
      </c>
      <c r="V8376">
        <v>-0.2218531</v>
      </c>
      <c r="W8376">
        <v>-5.1106400000000003E-2</v>
      </c>
      <c r="X8376">
        <v>0.97373989999999999</v>
      </c>
      <c r="Y8376">
        <v>-0.29363830000000002</v>
      </c>
      <c r="Z8376">
        <v>3.5349360000000003E-2</v>
      </c>
      <c r="AA8376">
        <v>0.95526279999999997</v>
      </c>
      <c r="AB8376">
        <v>14</v>
      </c>
      <c r="AC8376">
        <v>15.623799999999999</v>
      </c>
      <c r="AD8376">
        <v>-1.1234946397122001</v>
      </c>
      <c r="AE8376">
        <v>-1.89204999999999</v>
      </c>
      <c r="AF8376">
        <v>-4.6376395715433603</v>
      </c>
      <c r="AG8376">
        <v>-1.1234946397122001</v>
      </c>
      <c r="AH8376">
        <v>14.9555998207009</v>
      </c>
      <c r="AI8376">
        <v>94.104020794371394</v>
      </c>
      <c r="AJ8376">
        <v>107.22834197988</v>
      </c>
      <c r="AK8376">
        <v>15.698404600403</v>
      </c>
      <c r="AL8376">
        <v>92.929457114540895</v>
      </c>
      <c r="AM8376">
        <v>102.834955729943</v>
      </c>
      <c r="AN8376">
        <v>1.0000000274762799</v>
      </c>
    </row>
    <row r="8377" spans="1:40" x14ac:dyDescent="0.25">
      <c r="A8377" t="str">
        <f>"20190303154009616"</f>
        <v>20190303154009616</v>
      </c>
      <c r="B8377" t="str">
        <f>"1551598809607136"</f>
        <v>1551598809607136</v>
      </c>
      <c r="C8377" t="s">
        <v>40</v>
      </c>
      <c r="D8377">
        <v>4.7441550000000001</v>
      </c>
      <c r="E8377">
        <v>0.47206039999999999</v>
      </c>
      <c r="F8377" t="s">
        <v>84</v>
      </c>
      <c r="G8377">
        <v>-272.72859999999997</v>
      </c>
      <c r="H8377" s="1">
        <v>-6.2036439999999995E-7</v>
      </c>
      <c r="I8377">
        <v>-61.7125699999999</v>
      </c>
      <c r="J8377">
        <v>-288.33530000000002</v>
      </c>
      <c r="K8377">
        <v>1.1235090000000001</v>
      </c>
      <c r="L8377">
        <v>-59.839080000000003</v>
      </c>
      <c r="M8377">
        <v>0.91368110000000002</v>
      </c>
      <c r="N8377">
        <v>-1.263715E-2</v>
      </c>
      <c r="O8377">
        <v>-0.40623559999999997</v>
      </c>
      <c r="P8377">
        <v>0.97936400000000001</v>
      </c>
      <c r="Q8377">
        <v>-6.199607E-2</v>
      </c>
      <c r="R8377">
        <v>-0.192361</v>
      </c>
      <c r="S8377">
        <v>2.9794010000000002</v>
      </c>
      <c r="T8377">
        <v>-0.2135774</v>
      </c>
      <c r="U8377">
        <v>-0.36108400000000002</v>
      </c>
      <c r="V8377">
        <v>-0.22184390000000001</v>
      </c>
      <c r="W8377">
        <v>-5.0885659999999999E-2</v>
      </c>
      <c r="X8377">
        <v>0.97375350000000005</v>
      </c>
      <c r="Y8377">
        <v>-0.29188509999999901</v>
      </c>
      <c r="Z8377">
        <v>3.5156779999999999E-2</v>
      </c>
      <c r="AA8377">
        <v>0.95580699999999996</v>
      </c>
      <c r="AB8377">
        <v>14</v>
      </c>
      <c r="AC8377">
        <v>15.6067</v>
      </c>
      <c r="AD8377">
        <v>-1.1235096203643999</v>
      </c>
      <c r="AE8377">
        <v>-1.8734899999999799</v>
      </c>
      <c r="AF8377">
        <v>-4.6050675420703699</v>
      </c>
      <c r="AG8377">
        <v>-1.1235096203643999</v>
      </c>
      <c r="AH8377">
        <v>14.9454698817019</v>
      </c>
      <c r="AI8377">
        <v>94.109122166348996</v>
      </c>
      <c r="AJ8377">
        <v>107.125354747082</v>
      </c>
      <c r="AK8377">
        <v>15.6791578510754</v>
      </c>
      <c r="AL8377">
        <v>92.916793327187193</v>
      </c>
      <c r="AM8377">
        <v>102.834267789012</v>
      </c>
      <c r="AN8377">
        <v>0.99999997256154705</v>
      </c>
    </row>
    <row r="8378" spans="1:40" x14ac:dyDescent="0.25">
      <c r="A8378" t="str">
        <f>"20190303154009627"</f>
        <v>20190303154009627</v>
      </c>
      <c r="B8378" t="str">
        <f>"1551598809616897"</f>
        <v>1551598809616897</v>
      </c>
      <c r="C8378" t="s">
        <v>40</v>
      </c>
      <c r="D8378">
        <v>4.7209770000000004</v>
      </c>
      <c r="E8378">
        <v>0.47245860000000001</v>
      </c>
      <c r="F8378" t="s">
        <v>84</v>
      </c>
      <c r="G8378">
        <v>-272.5016</v>
      </c>
      <c r="H8378" s="1">
        <v>-5.2799730000000002E-7</v>
      </c>
      <c r="I8378">
        <v>-61.735289999999999</v>
      </c>
      <c r="J8378">
        <v>-288.27170000000001</v>
      </c>
      <c r="K8378">
        <v>1.123521</v>
      </c>
      <c r="L8378">
        <v>-59.863919999999901</v>
      </c>
      <c r="M8378">
        <v>0.91478740000000003</v>
      </c>
      <c r="N8378">
        <v>-1.271955E-2</v>
      </c>
      <c r="O8378">
        <v>-0.40373540000000002</v>
      </c>
      <c r="P8378">
        <v>0.97993810000000003</v>
      </c>
      <c r="Q8378">
        <v>-6.1901299999999999E-2</v>
      </c>
      <c r="R8378">
        <v>-0.1894468</v>
      </c>
      <c r="S8378">
        <v>2.9797060000000002</v>
      </c>
      <c r="T8378">
        <v>-0.2114296</v>
      </c>
      <c r="U8378">
        <v>-0.35684199999999999</v>
      </c>
      <c r="V8378">
        <v>-0.22208079999999999</v>
      </c>
      <c r="W8378">
        <v>-5.0715280000000001E-2</v>
      </c>
      <c r="X8378">
        <v>0.97370840000000003</v>
      </c>
      <c r="Y8378">
        <v>-0.290663</v>
      </c>
      <c r="Z8378">
        <v>3.457023E-2</v>
      </c>
      <c r="AA8378">
        <v>0.95620079999999996</v>
      </c>
      <c r="AB8378">
        <v>14</v>
      </c>
      <c r="AC8378">
        <v>15.770099999999999</v>
      </c>
      <c r="AD8378">
        <v>-1.1235215279973001</v>
      </c>
      <c r="AE8378">
        <v>-1.87137</v>
      </c>
      <c r="AF8378">
        <v>-4.6322332012621104</v>
      </c>
      <c r="AG8378">
        <v>-1.1235215279973001</v>
      </c>
      <c r="AH8378">
        <v>15.1074393093468</v>
      </c>
      <c r="AI8378">
        <v>94.066972169853699</v>
      </c>
      <c r="AJ8378">
        <v>107.046552867245</v>
      </c>
      <c r="AK8378">
        <v>15.8415468796562</v>
      </c>
      <c r="AL8378">
        <v>92.9070186155664</v>
      </c>
      <c r="AM8378">
        <v>102.848093840701</v>
      </c>
      <c r="AN8378">
        <v>0.99999998479233898</v>
      </c>
    </row>
    <row r="8379" spans="1:40" x14ac:dyDescent="0.25">
      <c r="A8379" t="str">
        <f>"20190303154009639"</f>
        <v>20190303154009639</v>
      </c>
      <c r="B8379" t="str">
        <f>"1551598809626655"</f>
        <v>1551598809626655</v>
      </c>
      <c r="C8379" t="s">
        <v>40</v>
      </c>
      <c r="D8379">
        <v>4.7402870000000004</v>
      </c>
      <c r="E8379">
        <v>0.47287990000000002</v>
      </c>
      <c r="F8379" t="s">
        <v>84</v>
      </c>
      <c r="G8379">
        <v>-272.32240000000002</v>
      </c>
      <c r="H8379" s="1">
        <v>-4.5294809999999998E-7</v>
      </c>
      <c r="I8379">
        <v>-61.743400000000001</v>
      </c>
      <c r="J8379">
        <v>-288.20760000000001</v>
      </c>
      <c r="K8379">
        <v>1.1235299999999999</v>
      </c>
      <c r="L8379">
        <v>-59.88861</v>
      </c>
      <c r="M8379">
        <v>0.91589430000000005</v>
      </c>
      <c r="N8379">
        <v>-1.2796449999999999E-2</v>
      </c>
      <c r="O8379">
        <v>-0.4012155</v>
      </c>
      <c r="P8379">
        <v>0.98049969999999997</v>
      </c>
      <c r="Q8379">
        <v>-6.1929230000000002E-2</v>
      </c>
      <c r="R8379">
        <v>-0.1865087</v>
      </c>
      <c r="S8379">
        <v>2.9802550000000001</v>
      </c>
      <c r="T8379">
        <v>-0.20993919999999999</v>
      </c>
      <c r="U8379">
        <v>-0.35119630000000002</v>
      </c>
      <c r="V8379">
        <v>-0.22231860000000001</v>
      </c>
      <c r="W8379">
        <v>-5.067029E-2</v>
      </c>
      <c r="X8379">
        <v>0.97365650000000004</v>
      </c>
      <c r="Y8379">
        <v>-0.28986529999999999</v>
      </c>
      <c r="Z8379">
        <v>3.4121659999999998E-2</v>
      </c>
      <c r="AA8379">
        <v>0.95645899999999995</v>
      </c>
      <c r="AB8379">
        <v>14</v>
      </c>
      <c r="AC8379">
        <v>15.8851999999999</v>
      </c>
      <c r="AD8379">
        <v>-1.1235304529480901</v>
      </c>
      <c r="AE8379">
        <v>-1.8547899999999999</v>
      </c>
      <c r="AF8379">
        <v>-4.6520210771451103</v>
      </c>
      <c r="AG8379">
        <v>-1.1235304529480901</v>
      </c>
      <c r="AH8379">
        <v>15.2194760309025</v>
      </c>
      <c r="AI8379">
        <v>94.038242851443101</v>
      </c>
      <c r="AJ8379">
        <v>106.996420417191</v>
      </c>
      <c r="AK8379">
        <v>15.9541866428884</v>
      </c>
      <c r="AL8379">
        <v>92.904437489287005</v>
      </c>
      <c r="AM8379">
        <v>102.862056828211</v>
      </c>
      <c r="AN8379">
        <v>1.00000000909344</v>
      </c>
    </row>
    <row r="8380" spans="1:40" x14ac:dyDescent="0.25">
      <c r="A8380" t="str">
        <f>"20190303154009651"</f>
        <v>20190303154009651</v>
      </c>
      <c r="B8380" t="str">
        <f>"1551598809647152"</f>
        <v>1551598809647152</v>
      </c>
      <c r="C8380" t="s">
        <v>40</v>
      </c>
      <c r="D8380">
        <v>4.727779</v>
      </c>
      <c r="E8380">
        <v>0.47347640000000002</v>
      </c>
      <c r="F8380" t="s">
        <v>84</v>
      </c>
      <c r="G8380">
        <v>-272.19349999999997</v>
      </c>
      <c r="H8380" s="1">
        <v>-3.9810079999999999E-7</v>
      </c>
      <c r="I8380">
        <v>-61.745440000000002</v>
      </c>
      <c r="J8380">
        <v>-288.13560000000001</v>
      </c>
      <c r="K8380">
        <v>1.123532</v>
      </c>
      <c r="L8380">
        <v>-59.916289999999996</v>
      </c>
      <c r="M8380">
        <v>0.91713089999999997</v>
      </c>
      <c r="N8380">
        <v>-1.2880620000000001E-2</v>
      </c>
      <c r="O8380">
        <v>-0.39837810000000001</v>
      </c>
      <c r="P8380">
        <v>0.98114979999999996</v>
      </c>
      <c r="Q8380">
        <v>-6.185189E-2</v>
      </c>
      <c r="R8380">
        <v>-0.18308379999999999</v>
      </c>
      <c r="S8380">
        <v>2.9807130000000002</v>
      </c>
      <c r="T8380">
        <v>-0.2091229</v>
      </c>
      <c r="U8380">
        <v>-0.34561160000000002</v>
      </c>
      <c r="V8380">
        <v>-0.22270760000000001</v>
      </c>
      <c r="W8380">
        <v>-5.0513120000000002E-2</v>
      </c>
      <c r="X8380">
        <v>0.97357579999999999</v>
      </c>
      <c r="Y8380">
        <v>-0.28870820000000003</v>
      </c>
      <c r="Z8380">
        <v>3.3763660000000001E-2</v>
      </c>
      <c r="AA8380">
        <v>0.95682160000000005</v>
      </c>
      <c r="AB8380">
        <v>14</v>
      </c>
      <c r="AC8380">
        <v>15.9421</v>
      </c>
      <c r="AD8380">
        <v>-1.1235323981008001</v>
      </c>
      <c r="AE8380">
        <v>-1.8291499999999901</v>
      </c>
      <c r="AF8380">
        <v>-4.6510003880099102</v>
      </c>
      <c r="AG8380">
        <v>-1.1235323981008001</v>
      </c>
      <c r="AH8380">
        <v>15.2760705587096</v>
      </c>
      <c r="AI8380">
        <v>94.024680583850298</v>
      </c>
      <c r="AJ8380">
        <v>106.933559688777</v>
      </c>
      <c r="AK8380">
        <v>16.007887473790099</v>
      </c>
      <c r="AL8380">
        <v>92.895420662833601</v>
      </c>
      <c r="AM8380">
        <v>102.88484401471599</v>
      </c>
      <c r="AN8380">
        <v>1.0000000443677599</v>
      </c>
    </row>
    <row r="8381" spans="1:40" x14ac:dyDescent="0.25">
      <c r="A8381" t="str">
        <f>"20190303154009662"</f>
        <v>20190303154009662</v>
      </c>
      <c r="B8381" t="str">
        <f>"1551598809656911"</f>
        <v>1551598809656911</v>
      </c>
      <c r="C8381" t="s">
        <v>40</v>
      </c>
      <c r="D8381">
        <v>4.7387509999999997</v>
      </c>
      <c r="E8381">
        <v>0.47378670000000001</v>
      </c>
      <c r="F8381" t="s">
        <v>84</v>
      </c>
      <c r="G8381">
        <v>-271.95679999999999</v>
      </c>
      <c r="H8381" s="1">
        <v>-3.0006229999999998E-7</v>
      </c>
      <c r="I8381">
        <v>-61.761310000000002</v>
      </c>
      <c r="J8381">
        <v>-288.06439999999998</v>
      </c>
      <c r="K8381">
        <v>1.123526</v>
      </c>
      <c r="L8381">
        <v>-59.943269999999998</v>
      </c>
      <c r="M8381">
        <v>0.9183462</v>
      </c>
      <c r="N8381">
        <v>-1.295614E-2</v>
      </c>
      <c r="O8381">
        <v>-0.39556619999999998</v>
      </c>
      <c r="P8381">
        <v>0.98169360000000006</v>
      </c>
      <c r="Q8381">
        <v>-6.226632E-2</v>
      </c>
      <c r="R8381">
        <v>-0.18000189999999999</v>
      </c>
      <c r="S8381">
        <v>2.9811399999999999</v>
      </c>
      <c r="T8381">
        <v>-0.20702400000000001</v>
      </c>
      <c r="U8381">
        <v>-0.33996579999999998</v>
      </c>
      <c r="V8381">
        <v>-0.22277060000000001</v>
      </c>
      <c r="W8381">
        <v>-5.0850430000000002E-2</v>
      </c>
      <c r="X8381">
        <v>0.97354379999999996</v>
      </c>
      <c r="Y8381">
        <v>-0.28761710000000001</v>
      </c>
      <c r="Z8381">
        <v>3.318807E-2</v>
      </c>
      <c r="AA8381">
        <v>0.95717019999999997</v>
      </c>
      <c r="AB8381">
        <v>14</v>
      </c>
      <c r="AC8381">
        <v>16.107599999999898</v>
      </c>
      <c r="AD8381">
        <v>-1.1235263000622999</v>
      </c>
      <c r="AE8381">
        <v>-1.8180399999999901</v>
      </c>
      <c r="AF8381">
        <v>-4.6799435039553998</v>
      </c>
      <c r="AG8381">
        <v>-1.1235263000622999</v>
      </c>
      <c r="AH8381">
        <v>15.4386408105669</v>
      </c>
      <c r="AI8381">
        <v>93.983885990780607</v>
      </c>
      <c r="AJ8381">
        <v>106.863726656064</v>
      </c>
      <c r="AK8381">
        <v>16.1714505417679</v>
      </c>
      <c r="AL8381">
        <v>92.914772046230297</v>
      </c>
      <c r="AM8381">
        <v>102.888776695228</v>
      </c>
      <c r="AN8381">
        <v>1.0000000184869899</v>
      </c>
    </row>
    <row r="8382" spans="1:40" x14ac:dyDescent="0.25">
      <c r="A8382" t="str">
        <f>"20190303154009675"</f>
        <v>20190303154009675</v>
      </c>
      <c r="B8382" t="str">
        <f>"1551598809666672"</f>
        <v>1551598809666672</v>
      </c>
      <c r="C8382" t="s">
        <v>40</v>
      </c>
      <c r="D8382">
        <v>4.7463629999999997</v>
      </c>
      <c r="E8382">
        <v>0.47405999999999998</v>
      </c>
      <c r="F8382" t="s">
        <v>84</v>
      </c>
      <c r="G8382">
        <v>-271.89420000000001</v>
      </c>
      <c r="H8382" s="1">
        <v>-2.7062700000000001E-7</v>
      </c>
      <c r="I8382">
        <v>-61.749549999999999</v>
      </c>
      <c r="J8382">
        <v>-287.99770000000001</v>
      </c>
      <c r="K8382">
        <v>1.1235219999999999</v>
      </c>
      <c r="L8382">
        <v>-59.968350000000001</v>
      </c>
      <c r="M8382">
        <v>0.91947760000000001</v>
      </c>
      <c r="N8382">
        <v>-1.3023389999999999E-2</v>
      </c>
      <c r="O8382">
        <v>-0.39292700000000003</v>
      </c>
      <c r="P8382">
        <v>0.9822381</v>
      </c>
      <c r="Q8382">
        <v>-6.2361880000000001E-2</v>
      </c>
      <c r="R8382">
        <v>-0.17697360000000001</v>
      </c>
      <c r="S8382">
        <v>2.9816889999999998</v>
      </c>
      <c r="T8382">
        <v>-0.20717169999999999</v>
      </c>
      <c r="U8382">
        <v>-0.3330688</v>
      </c>
      <c r="V8382">
        <v>-0.22297549999999999</v>
      </c>
      <c r="W8382">
        <v>-5.087713E-2</v>
      </c>
      <c r="X8382">
        <v>0.97349549999999996</v>
      </c>
      <c r="Y8382">
        <v>-0.28707719999999998</v>
      </c>
      <c r="Z8382">
        <v>3.3043699999999898E-2</v>
      </c>
      <c r="AA8382">
        <v>0.95733729999999995</v>
      </c>
      <c r="AB8382">
        <v>14</v>
      </c>
      <c r="AC8382">
        <v>16.103499999999901</v>
      </c>
      <c r="AD8382">
        <v>-1.1235222706269901</v>
      </c>
      <c r="AE8382">
        <v>-1.7811999999999899</v>
      </c>
      <c r="AF8382">
        <v>-4.6676773318543496</v>
      </c>
      <c r="AG8382">
        <v>-1.1235222706269901</v>
      </c>
      <c r="AH8382">
        <v>15.4337832060599</v>
      </c>
      <c r="AI8382">
        <v>93.985892161887804</v>
      </c>
      <c r="AJ8382">
        <v>106.827021633855</v>
      </c>
      <c r="AK8382">
        <v>16.1632663165141</v>
      </c>
      <c r="AL8382">
        <v>92.916303815299898</v>
      </c>
      <c r="AM8382">
        <v>102.90085374386599</v>
      </c>
      <c r="AN8382">
        <v>1.0000000222387599</v>
      </c>
    </row>
    <row r="8383" spans="1:40" x14ac:dyDescent="0.25">
      <c r="A8383" t="str">
        <f>"20190303154009687"</f>
        <v>20190303154009687</v>
      </c>
      <c r="B8383" t="str">
        <f>"1551598809676433"</f>
        <v>1551598809676433</v>
      </c>
      <c r="C8383" t="s">
        <v>40</v>
      </c>
      <c r="D8383">
        <v>4.7395389999999997</v>
      </c>
      <c r="E8383">
        <v>0.47443999999999997</v>
      </c>
      <c r="F8383" t="s">
        <v>84</v>
      </c>
      <c r="G8383">
        <v>-271.84050000000002</v>
      </c>
      <c r="H8383" s="1">
        <v>-2.443147E-7</v>
      </c>
      <c r="I8383">
        <v>-61.734769999999997</v>
      </c>
      <c r="J8383">
        <v>-287.92340000000002</v>
      </c>
      <c r="K8383">
        <v>1.1235090000000001</v>
      </c>
      <c r="L8383">
        <v>-59.99606</v>
      </c>
      <c r="M8383">
        <v>0.92072790000000004</v>
      </c>
      <c r="N8383">
        <v>-1.309335E-2</v>
      </c>
      <c r="O8383">
        <v>-0.38998569999999999</v>
      </c>
      <c r="P8383">
        <v>0.98286989999999996</v>
      </c>
      <c r="Q8383">
        <v>-6.2368279999999998E-2</v>
      </c>
      <c r="R8383">
        <v>-0.1734281</v>
      </c>
      <c r="S8383">
        <v>2.9823300000000001</v>
      </c>
      <c r="T8383">
        <v>-0.2073827</v>
      </c>
      <c r="U8383">
        <v>-0.3260498</v>
      </c>
      <c r="V8383">
        <v>-0.22337860000000001</v>
      </c>
      <c r="W8383">
        <v>-5.0811580000000002E-2</v>
      </c>
      <c r="X8383">
        <v>0.97340649999999995</v>
      </c>
      <c r="Y8383">
        <v>-0.286269</v>
      </c>
      <c r="Z8383">
        <v>3.288224E-2</v>
      </c>
      <c r="AA8383">
        <v>0.95758489999999996</v>
      </c>
      <c r="AB8383">
        <v>14</v>
      </c>
      <c r="AC8383">
        <v>16.082899999999899</v>
      </c>
      <c r="AD8383">
        <v>-1.1235092443146999</v>
      </c>
      <c r="AE8383">
        <v>-1.73870999999999</v>
      </c>
      <c r="AF8383">
        <v>-4.6491961043667898</v>
      </c>
      <c r="AG8383">
        <v>-1.1235092443146999</v>
      </c>
      <c r="AH8383">
        <v>15.4130257907035</v>
      </c>
      <c r="AI8383">
        <v>93.992068618358203</v>
      </c>
      <c r="AJ8383">
        <v>106.785449266249</v>
      </c>
      <c r="AK8383">
        <v>16.138112078673</v>
      </c>
      <c r="AL8383">
        <v>92.912543234364094</v>
      </c>
      <c r="AM8383">
        <v>102.92453577232401</v>
      </c>
      <c r="AN8383">
        <v>1.0000000149211501</v>
      </c>
    </row>
    <row r="8384" spans="1:40" x14ac:dyDescent="0.25">
      <c r="A8384" t="str">
        <f>"20190303154009697"</f>
        <v>20190303154009697</v>
      </c>
      <c r="B8384" t="str">
        <f>"1551598809687168"</f>
        <v>1551598809687168</v>
      </c>
      <c r="C8384" t="s">
        <v>40</v>
      </c>
      <c r="D8384">
        <v>4.7237400000000003</v>
      </c>
      <c r="E8384">
        <v>0.47473110000000002</v>
      </c>
      <c r="F8384" t="s">
        <v>84</v>
      </c>
      <c r="G8384">
        <v>-271.7253</v>
      </c>
      <c r="H8384" s="1">
        <v>-1.9255399999999999E-7</v>
      </c>
      <c r="I8384">
        <v>-61.724299999999999</v>
      </c>
      <c r="J8384">
        <v>-287.85980000000001</v>
      </c>
      <c r="K8384">
        <v>1.123499</v>
      </c>
      <c r="L8384">
        <v>-60.019500000000001</v>
      </c>
      <c r="M8384">
        <v>0.92179109999999997</v>
      </c>
      <c r="N8384">
        <v>-1.314825E-2</v>
      </c>
      <c r="O8384">
        <v>-0.38746380000000002</v>
      </c>
      <c r="P8384">
        <v>0.98336279999999998</v>
      </c>
      <c r="Q8384">
        <v>-6.2449190000000002E-2</v>
      </c>
      <c r="R8384">
        <v>-0.1705808</v>
      </c>
      <c r="S8384">
        <v>2.9830019999999999</v>
      </c>
      <c r="T8384">
        <v>-0.20690259999999999</v>
      </c>
      <c r="U8384">
        <v>-0.31826779999999999</v>
      </c>
      <c r="V8384">
        <v>-0.2235325</v>
      </c>
      <c r="W8384">
        <v>-5.0833789999999997E-2</v>
      </c>
      <c r="X8384">
        <v>0.97336999999999996</v>
      </c>
      <c r="Y8384">
        <v>-0.28615069999999998</v>
      </c>
      <c r="Z8384">
        <v>3.2654080000000002E-2</v>
      </c>
      <c r="AA8384">
        <v>0.95762809999999998</v>
      </c>
      <c r="AB8384">
        <v>14</v>
      </c>
      <c r="AC8384">
        <v>16.134499999999999</v>
      </c>
      <c r="AD8384">
        <v>-1.1234991925540001</v>
      </c>
      <c r="AE8384">
        <v>-1.7047999999999901</v>
      </c>
      <c r="AF8384">
        <v>-4.65813303725837</v>
      </c>
      <c r="AG8384">
        <v>-1.1234991925540001</v>
      </c>
      <c r="AH8384">
        <v>15.4603936592525</v>
      </c>
      <c r="AI8384">
        <v>93.9802209794682</v>
      </c>
      <c r="AJ8384">
        <v>106.767270236025</v>
      </c>
      <c r="AK8384">
        <v>16.1859267861782</v>
      </c>
      <c r="AL8384">
        <v>92.913817449674397</v>
      </c>
      <c r="AM8384">
        <v>102.933609684122</v>
      </c>
      <c r="AN8384">
        <v>1.000000004831</v>
      </c>
    </row>
    <row r="8385" spans="1:40" x14ac:dyDescent="0.25">
      <c r="A8385" t="str">
        <f>"20190303154009708"</f>
        <v>20190303154009708</v>
      </c>
      <c r="B8385" t="str">
        <f>"1551598809696927"</f>
        <v>1551598809696927</v>
      </c>
      <c r="C8385" t="s">
        <v>40</v>
      </c>
      <c r="D8385">
        <v>4.7382980000000003</v>
      </c>
      <c r="E8385">
        <v>0.4750685</v>
      </c>
      <c r="F8385" t="s">
        <v>84</v>
      </c>
      <c r="G8385">
        <v>-271.64960000000002</v>
      </c>
      <c r="H8385" s="1">
        <v>-1.5790870000000001E-7</v>
      </c>
      <c r="I8385">
        <v>-61.714570000000002</v>
      </c>
      <c r="J8385">
        <v>-287.79860000000002</v>
      </c>
      <c r="K8385">
        <v>1.1234869999999999</v>
      </c>
      <c r="L8385">
        <v>-60.041989999999998</v>
      </c>
      <c r="M8385">
        <v>0.92280669999999998</v>
      </c>
      <c r="N8385">
        <v>-1.3199779999999999E-2</v>
      </c>
      <c r="O8385">
        <v>-0.38503749999999998</v>
      </c>
      <c r="P8385">
        <v>0.98387590000000003</v>
      </c>
      <c r="Q8385">
        <v>-6.2185070000000002E-2</v>
      </c>
      <c r="R8385">
        <v>-0.16769600000000001</v>
      </c>
      <c r="S8385">
        <v>2.9835210000000001</v>
      </c>
      <c r="T8385">
        <v>-0.2067821</v>
      </c>
      <c r="U8385">
        <v>-0.31198120000000001</v>
      </c>
      <c r="V8385">
        <v>-0.22383600000000001</v>
      </c>
      <c r="W8385">
        <v>-5.0515329999999997E-2</v>
      </c>
      <c r="X8385">
        <v>0.97331679999999998</v>
      </c>
      <c r="Y8385">
        <v>-0.28565079999999998</v>
      </c>
      <c r="Z8385">
        <v>3.247891E-2</v>
      </c>
      <c r="AA8385">
        <v>0.95778319999999995</v>
      </c>
      <c r="AB8385">
        <v>14</v>
      </c>
      <c r="AC8385">
        <v>16.149000000000001</v>
      </c>
      <c r="AD8385">
        <v>-1.1234871579087</v>
      </c>
      <c r="AE8385">
        <v>-1.67257999999998</v>
      </c>
      <c r="AF8385">
        <v>-4.65262939192431</v>
      </c>
      <c r="AG8385">
        <v>-1.1234871579087</v>
      </c>
      <c r="AH8385">
        <v>15.473665877077099</v>
      </c>
      <c r="AI8385">
        <v>93.977447419226294</v>
      </c>
      <c r="AJ8385">
        <v>106.73500728755501</v>
      </c>
      <c r="AK8385">
        <v>16.197021927749699</v>
      </c>
      <c r="AL8385">
        <v>92.8955476542843</v>
      </c>
      <c r="AM8385">
        <v>102.95126256645599</v>
      </c>
      <c r="AN8385">
        <v>0.99999997331162405</v>
      </c>
    </row>
    <row r="8386" spans="1:40" x14ac:dyDescent="0.25">
      <c r="A8386" t="str">
        <f>"20190303154009719"</f>
        <v>20190303154009719</v>
      </c>
      <c r="B8386" t="str">
        <f>"1551598809716448"</f>
        <v>1551598809716448</v>
      </c>
      <c r="C8386" t="s">
        <v>40</v>
      </c>
      <c r="D8386">
        <v>4.7416609999999997</v>
      </c>
      <c r="E8386">
        <v>0.47555180000000002</v>
      </c>
      <c r="F8386" t="s">
        <v>84</v>
      </c>
      <c r="G8386">
        <v>-271.50439999999998</v>
      </c>
      <c r="H8386" s="1">
        <v>-9.5110640000000002E-8</v>
      </c>
      <c r="I8386">
        <v>-61.712240000000001</v>
      </c>
      <c r="J8386">
        <v>-287.7346</v>
      </c>
      <c r="K8386">
        <v>1.1234770000000001</v>
      </c>
      <c r="L8386">
        <v>-60.065159999999999</v>
      </c>
      <c r="M8386">
        <v>0.92385839999999997</v>
      </c>
      <c r="N8386">
        <v>-1.324841E-2</v>
      </c>
      <c r="O8386">
        <v>-0.38250519999999999</v>
      </c>
      <c r="P8386">
        <v>0.98433499999999996</v>
      </c>
      <c r="Q8386">
        <v>-6.206039E-2</v>
      </c>
      <c r="R8386">
        <v>-0.16502429999999901</v>
      </c>
      <c r="S8386">
        <v>2.9840089999999999</v>
      </c>
      <c r="T8386">
        <v>-0.20574809999999999</v>
      </c>
      <c r="U8386">
        <v>-0.30587769999999997</v>
      </c>
      <c r="V8386">
        <v>-0.22381480000000001</v>
      </c>
      <c r="W8386">
        <v>-5.033696E-2</v>
      </c>
      <c r="X8386">
        <v>0.97333099999999995</v>
      </c>
      <c r="Y8386">
        <v>-0.28499790000000003</v>
      </c>
      <c r="Z8386">
        <v>3.2136270000000002E-2</v>
      </c>
      <c r="AA8386">
        <v>0.95798930000000004</v>
      </c>
      <c r="AB8386">
        <v>14</v>
      </c>
      <c r="AC8386">
        <v>16.2302</v>
      </c>
      <c r="AD8386">
        <v>-1.1234770951106301</v>
      </c>
      <c r="AE8386">
        <v>-1.6470800000000001</v>
      </c>
      <c r="AF8386">
        <v>-4.6647545287955303</v>
      </c>
      <c r="AG8386">
        <v>-1.1234770951106301</v>
      </c>
      <c r="AH8386">
        <v>15.5520344079321</v>
      </c>
      <c r="AI8386">
        <v>93.958232460049402</v>
      </c>
      <c r="AJ8386">
        <v>106.696351659652</v>
      </c>
      <c r="AK8386">
        <v>16.275377409530599</v>
      </c>
      <c r="AL8386">
        <v>92.885314551867197</v>
      </c>
      <c r="AM8386">
        <v>102.94989471610501</v>
      </c>
      <c r="AN8386">
        <v>1.0000000549010299</v>
      </c>
    </row>
    <row r="8387" spans="1:40" x14ac:dyDescent="0.25">
      <c r="A8387" t="str">
        <f>"20190303154009730"</f>
        <v>20190303154009730</v>
      </c>
      <c r="B8387" t="str">
        <f>"1551598809727184"</f>
        <v>1551598809727184</v>
      </c>
      <c r="C8387" t="s">
        <v>40</v>
      </c>
      <c r="D8387">
        <v>4.7653740000000004</v>
      </c>
      <c r="E8387">
        <v>0.47583150000000002</v>
      </c>
      <c r="F8387" t="s">
        <v>84</v>
      </c>
      <c r="G8387">
        <v>-271.42200000000003</v>
      </c>
      <c r="H8387" s="1">
        <v>-6.0042789999999996E-8</v>
      </c>
      <c r="I8387">
        <v>-61.713639999999998</v>
      </c>
      <c r="J8387">
        <v>-287.67329999999998</v>
      </c>
      <c r="K8387">
        <v>1.1234649999999999</v>
      </c>
      <c r="L8387">
        <v>-60.087339999999998</v>
      </c>
      <c r="M8387">
        <v>0.92486060000000003</v>
      </c>
      <c r="N8387">
        <v>-1.3294449999999999E-2</v>
      </c>
      <c r="O8387">
        <v>-0.38007380000000002</v>
      </c>
      <c r="P8387">
        <v>0.98479819999999996</v>
      </c>
      <c r="Q8387">
        <v>-6.1716489999999999E-2</v>
      </c>
      <c r="R8387">
        <v>-0.16236989999999901</v>
      </c>
      <c r="S8387">
        <v>2.9842529999999998</v>
      </c>
      <c r="T8387">
        <v>-0.20552960000000001</v>
      </c>
      <c r="U8387">
        <v>-0.30157469999999997</v>
      </c>
      <c r="V8387">
        <v>-0.2238907</v>
      </c>
      <c r="W8387">
        <v>-4.9942880000000002E-2</v>
      </c>
      <c r="X8387">
        <v>0.97333380000000003</v>
      </c>
      <c r="Y8387">
        <v>-0.28386220000000001</v>
      </c>
      <c r="Z8387">
        <v>3.1921730000000002E-2</v>
      </c>
      <c r="AA8387">
        <v>0.95833360000000001</v>
      </c>
      <c r="AB8387">
        <v>14</v>
      </c>
      <c r="AC8387">
        <v>16.251299999999901</v>
      </c>
      <c r="AD8387">
        <v>-1.12346506004279</v>
      </c>
      <c r="AE8387">
        <v>-1.6263000000000001</v>
      </c>
      <c r="AF8387">
        <v>-4.6509985741088702</v>
      </c>
      <c r="AG8387">
        <v>-1.12346506004279</v>
      </c>
      <c r="AH8387">
        <v>15.575983834043001</v>
      </c>
      <c r="AI8387">
        <v>93.953578409210493</v>
      </c>
      <c r="AJ8387">
        <v>106.62565810016601</v>
      </c>
      <c r="AK8387">
        <v>16.294331341784702</v>
      </c>
      <c r="AL8387">
        <v>92.862707120763304</v>
      </c>
      <c r="AM8387">
        <v>102.954102160215</v>
      </c>
      <c r="AN8387">
        <v>1.0000000115158101</v>
      </c>
    </row>
    <row r="8388" spans="1:40" x14ac:dyDescent="0.25">
      <c r="A8388" t="str">
        <f>"20190303154009739"</f>
        <v>20190303154009739</v>
      </c>
      <c r="B8388" t="str">
        <f>"1551598809736944"</f>
        <v>1551598809736944</v>
      </c>
      <c r="C8388" t="s">
        <v>40</v>
      </c>
      <c r="D8388">
        <v>4.7479040000000001</v>
      </c>
      <c r="E8388">
        <v>0.47583150000000002</v>
      </c>
      <c r="F8388" t="s">
        <v>84</v>
      </c>
      <c r="G8388">
        <v>-271.32499999999999</v>
      </c>
      <c r="H8388" s="1">
        <v>-1.7039439999999999E-8</v>
      </c>
      <c r="I8388">
        <v>-61.707259999999998</v>
      </c>
      <c r="J8388">
        <v>-287.61149999999998</v>
      </c>
      <c r="K8388">
        <v>1.123454</v>
      </c>
      <c r="L8388">
        <v>-60.109340000000003</v>
      </c>
      <c r="M8388">
        <v>0.9258596</v>
      </c>
      <c r="N8388">
        <v>-1.333581E-2</v>
      </c>
      <c r="O8388">
        <v>-0.37763219999999997</v>
      </c>
      <c r="P8388">
        <v>0.98521210000000004</v>
      </c>
      <c r="Q8388">
        <v>-6.197925E-2</v>
      </c>
      <c r="R8388">
        <v>-0.1597364</v>
      </c>
      <c r="S8388">
        <v>2.98468</v>
      </c>
      <c r="T8388">
        <v>-0.20510970000000001</v>
      </c>
      <c r="U8388">
        <v>-0.2957458</v>
      </c>
      <c r="V8388">
        <v>-0.22391839999999999</v>
      </c>
      <c r="W8388">
        <v>-5.0161310000000001E-2</v>
      </c>
      <c r="X8388">
        <v>0.97331619999999996</v>
      </c>
      <c r="Y8388">
        <v>-0.28321079999999998</v>
      </c>
      <c r="Z8388">
        <v>3.1693069999999997E-2</v>
      </c>
      <c r="AA8388">
        <v>0.95853390000000005</v>
      </c>
      <c r="AB8388">
        <v>14</v>
      </c>
      <c r="AC8388">
        <v>16.286499999999901</v>
      </c>
      <c r="AD8388">
        <v>-1.12345401703944</v>
      </c>
      <c r="AE8388">
        <v>-1.59791999999999</v>
      </c>
      <c r="AF8388">
        <v>-4.6493605480192004</v>
      </c>
      <c r="AG8388">
        <v>-1.12345401703944</v>
      </c>
      <c r="AH8388">
        <v>15.6102630705842</v>
      </c>
      <c r="AI8388">
        <v>93.945704626715496</v>
      </c>
      <c r="AJ8388">
        <v>106.58563589238101</v>
      </c>
      <c r="AK8388">
        <v>16.326635157518599</v>
      </c>
      <c r="AL8388">
        <v>92.875237930798306</v>
      </c>
      <c r="AM8388">
        <v>102.95587715092999</v>
      </c>
      <c r="AN8388">
        <v>1.0000000160309499</v>
      </c>
    </row>
    <row r="8389" spans="1:40" x14ac:dyDescent="0.25">
      <c r="A8389" t="str">
        <f>"20190303154009753"</f>
        <v>20190303154009753</v>
      </c>
      <c r="B8389" t="str">
        <f>"1551598809746707"</f>
        <v>1551598809746707</v>
      </c>
      <c r="C8389" t="s">
        <v>40</v>
      </c>
      <c r="D8389">
        <v>4.7247110000000001</v>
      </c>
      <c r="E8389">
        <v>0.48360120000000001</v>
      </c>
      <c r="F8389" t="s">
        <v>84</v>
      </c>
      <c r="G8389">
        <v>-271.3143</v>
      </c>
      <c r="H8389" s="1">
        <v>-6.3228070000000003E-9</v>
      </c>
      <c r="I8389">
        <v>-61.679810000000003</v>
      </c>
      <c r="J8389">
        <v>-287.5455</v>
      </c>
      <c r="K8389">
        <v>1.123445</v>
      </c>
      <c r="L8389">
        <v>-60.132809999999999</v>
      </c>
      <c r="M8389">
        <v>0.92692019999999997</v>
      </c>
      <c r="N8389">
        <v>-1.337908E-2</v>
      </c>
      <c r="O8389">
        <v>-0.37502010000000002</v>
      </c>
      <c r="P8389">
        <v>0.98557919999999999</v>
      </c>
      <c r="Q8389">
        <v>-6.212695E-2</v>
      </c>
      <c r="R8389">
        <v>-0.15739739999999999</v>
      </c>
      <c r="S8389">
        <v>2.9854430000000001</v>
      </c>
      <c r="T8389">
        <v>-0.20580200000000001</v>
      </c>
      <c r="U8389">
        <v>-0.28768919999999998</v>
      </c>
      <c r="V8389">
        <v>-0.2234815</v>
      </c>
      <c r="W8389">
        <v>-5.0258869999999997E-2</v>
      </c>
      <c r="X8389">
        <v>0.97341160000000004</v>
      </c>
      <c r="Y8389">
        <v>-0.28308870000000003</v>
      </c>
      <c r="Z8389">
        <v>3.1664089999999999E-2</v>
      </c>
      <c r="AA8389">
        <v>0.9585709</v>
      </c>
      <c r="AB8389">
        <v>14</v>
      </c>
      <c r="AC8389">
        <v>16.231200000000001</v>
      </c>
      <c r="AD8389">
        <v>-1.1234450063228001</v>
      </c>
      <c r="AE8389">
        <v>-1.5469999999999899</v>
      </c>
      <c r="AF8389">
        <v>-4.6315083006260798</v>
      </c>
      <c r="AG8389">
        <v>-1.1234450063228001</v>
      </c>
      <c r="AH8389">
        <v>15.5527424944947</v>
      </c>
      <c r="AI8389">
        <v>93.960269504008494</v>
      </c>
      <c r="AJ8389">
        <v>106.58319844747</v>
      </c>
      <c r="AK8389">
        <v>16.266554549782899</v>
      </c>
      <c r="AL8389">
        <v>92.880834700332898</v>
      </c>
      <c r="AM8389">
        <v>102.930223973387</v>
      </c>
      <c r="AN8389">
        <v>1.0000000389352399</v>
      </c>
    </row>
    <row r="8390" spans="1:40" x14ac:dyDescent="0.25">
      <c r="A8390" t="str">
        <f>"20190303154009762"</f>
        <v>20190303154009762</v>
      </c>
      <c r="B8390" t="str">
        <f>"1551598809756464"</f>
        <v>1551598809756464</v>
      </c>
      <c r="C8390" t="s">
        <v>40</v>
      </c>
      <c r="D8390">
        <v>4.7240000000000002</v>
      </c>
      <c r="E8390">
        <v>0.48415340000000001</v>
      </c>
      <c r="F8390" t="s">
        <v>84</v>
      </c>
      <c r="G8390">
        <v>-272.41239999999999</v>
      </c>
      <c r="H8390" s="1">
        <v>-5.1921929999999996E-7</v>
      </c>
      <c r="I8390">
        <v>-61.867759999999997</v>
      </c>
      <c r="J8390">
        <v>-287.47989999999999</v>
      </c>
      <c r="K8390">
        <v>1.123435</v>
      </c>
      <c r="L8390">
        <v>-60.155819999999999</v>
      </c>
      <c r="M8390">
        <v>0.92796500000000004</v>
      </c>
      <c r="N8390">
        <v>-1.341785E-2</v>
      </c>
      <c r="O8390">
        <v>-0.37242599999999998</v>
      </c>
      <c r="P8390">
        <v>0.98599610000000004</v>
      </c>
      <c r="Q8390">
        <v>-6.230045E-2</v>
      </c>
      <c r="R8390">
        <v>-0.15469479999999999</v>
      </c>
      <c r="S8390">
        <v>2.9754640000000001</v>
      </c>
      <c r="T8390">
        <v>-0.2208918</v>
      </c>
      <c r="U8390">
        <v>-0.34112550000000003</v>
      </c>
      <c r="V8390">
        <v>-0.2234237</v>
      </c>
      <c r="W8390">
        <v>-5.0390810000000001E-2</v>
      </c>
      <c r="X8390">
        <v>0.97341800000000001</v>
      </c>
      <c r="Y8390">
        <v>-0.26286670000000001</v>
      </c>
      <c r="Z8390">
        <v>3.3250920000000003E-2</v>
      </c>
      <c r="AA8390">
        <v>0.96425899999999998</v>
      </c>
      <c r="AB8390">
        <v>14</v>
      </c>
      <c r="AC8390">
        <v>15.0674999999999</v>
      </c>
      <c r="AD8390">
        <v>-1.1234355192193</v>
      </c>
      <c r="AE8390">
        <v>-1.71193999999999</v>
      </c>
      <c r="AF8390">
        <v>-4.0013094581673698</v>
      </c>
      <c r="AG8390">
        <v>-1.1234355192193</v>
      </c>
      <c r="AH8390">
        <v>14.541190886859299</v>
      </c>
      <c r="AI8390">
        <v>94.260102645413397</v>
      </c>
      <c r="AJ8390">
        <v>105.385342807401</v>
      </c>
      <c r="AK8390">
        <v>15.1234525540282</v>
      </c>
      <c r="AL8390">
        <v>92.888404028636103</v>
      </c>
      <c r="AM8390">
        <v>102.926909988056</v>
      </c>
      <c r="AN8390">
        <v>0.99999999308907295</v>
      </c>
    </row>
    <row r="8391" spans="1:40" x14ac:dyDescent="0.25">
      <c r="A8391" t="str">
        <f>"20190303154009774"</f>
        <v>20190303154009774</v>
      </c>
      <c r="B8391" t="str">
        <f>"1551598809767200"</f>
        <v>1551598809767200</v>
      </c>
      <c r="C8391" t="s">
        <v>40</v>
      </c>
      <c r="D8391">
        <v>4.7343419999999998</v>
      </c>
      <c r="E8391">
        <v>0.48444500000000001</v>
      </c>
      <c r="F8391" t="s">
        <v>84</v>
      </c>
      <c r="G8391">
        <v>-272.755</v>
      </c>
      <c r="H8391" s="1">
        <v>-6.5634039999999998E-7</v>
      </c>
      <c r="I8391">
        <v>-61.823459999999997</v>
      </c>
      <c r="J8391">
        <v>-287.4162</v>
      </c>
      <c r="K8391">
        <v>1.123424</v>
      </c>
      <c r="L8391">
        <v>-60.17801</v>
      </c>
      <c r="M8391">
        <v>0.92896999999999996</v>
      </c>
      <c r="N8391">
        <v>-1.345358E-2</v>
      </c>
      <c r="O8391">
        <v>-0.36991069999999998</v>
      </c>
      <c r="P8391">
        <v>0.98634250000000001</v>
      </c>
      <c r="Q8391">
        <v>-6.2447229999999999E-2</v>
      </c>
      <c r="R8391">
        <v>-0.15241080000000001</v>
      </c>
      <c r="S8391">
        <v>2.975403</v>
      </c>
      <c r="T8391">
        <v>-0.2270093</v>
      </c>
      <c r="U8391">
        <v>-0.33697510000000003</v>
      </c>
      <c r="V8391">
        <v>-0.22303819999999999</v>
      </c>
      <c r="W8391">
        <v>-5.0496680000000002E-2</v>
      </c>
      <c r="X8391">
        <v>0.9735009</v>
      </c>
      <c r="Y8391">
        <v>-0.26150079999999998</v>
      </c>
      <c r="Z8391">
        <v>3.4054880000000003E-2</v>
      </c>
      <c r="AA8391">
        <v>0.96460230000000002</v>
      </c>
      <c r="AB8391">
        <v>14</v>
      </c>
      <c r="AC8391">
        <v>14.661199999999999</v>
      </c>
      <c r="AD8391">
        <v>-1.12342465634039</v>
      </c>
      <c r="AE8391">
        <v>-1.6454499999999901</v>
      </c>
      <c r="AF8391">
        <v>-3.8726577757199201</v>
      </c>
      <c r="AG8391">
        <v>-1.12342465634039</v>
      </c>
      <c r="AH8391">
        <v>14.147735962955201</v>
      </c>
      <c r="AI8391">
        <v>94.379685419258095</v>
      </c>
      <c r="AJ8391">
        <v>105.308572176231</v>
      </c>
      <c r="AK8391">
        <v>14.7111520311569</v>
      </c>
      <c r="AL8391">
        <v>92.8944777093986</v>
      </c>
      <c r="AM8391">
        <v>102.90429081579801</v>
      </c>
      <c r="AN8391">
        <v>0.99999997782553596</v>
      </c>
    </row>
    <row r="8392" spans="1:40" x14ac:dyDescent="0.25">
      <c r="A8392" t="str">
        <f>"20190303154009784"</f>
        <v>20190303154009784</v>
      </c>
      <c r="B8392" t="str">
        <f>"1551598809776960"</f>
        <v>1551598809776960</v>
      </c>
      <c r="C8392" t="s">
        <v>40</v>
      </c>
      <c r="D8392">
        <v>4.7519140000000002</v>
      </c>
      <c r="E8392">
        <v>0.48442239999999998</v>
      </c>
      <c r="F8392" t="s">
        <v>84</v>
      </c>
      <c r="G8392">
        <v>-272.5992</v>
      </c>
      <c r="H8392" s="1">
        <v>-5.9179829999999997E-7</v>
      </c>
      <c r="I8392">
        <v>-61.833799999999997</v>
      </c>
      <c r="J8392">
        <v>-287.35109999999997</v>
      </c>
      <c r="K8392">
        <v>1.1234139999999999</v>
      </c>
      <c r="L8392">
        <v>-60.200470000000003</v>
      </c>
      <c r="M8392">
        <v>0.92998970000000003</v>
      </c>
      <c r="N8392">
        <v>-1.34871E-2</v>
      </c>
      <c r="O8392">
        <v>-0.36733840000000001</v>
      </c>
      <c r="P8392">
        <v>0.98663319999999999</v>
      </c>
      <c r="Q8392">
        <v>-6.2959280000000006E-2</v>
      </c>
      <c r="R8392">
        <v>-0.15030389999999999</v>
      </c>
      <c r="S8392">
        <v>2.9758610000000001</v>
      </c>
      <c r="T8392">
        <v>-0.22563</v>
      </c>
      <c r="U8392">
        <v>-0.33255000000000001</v>
      </c>
      <c r="V8392">
        <v>-0.22241040000000001</v>
      </c>
      <c r="W8392">
        <v>-5.0968729999999997E-2</v>
      </c>
      <c r="X8392">
        <v>0.97361989999999998</v>
      </c>
      <c r="Y8392">
        <v>-0.26029180000000002</v>
      </c>
      <c r="Z8392">
        <v>3.3621310000000001E-2</v>
      </c>
      <c r="AA8392">
        <v>0.96494449999999998</v>
      </c>
      <c r="AB8392">
        <v>14</v>
      </c>
      <c r="AC8392">
        <v>14.7518999999999</v>
      </c>
      <c r="AD8392">
        <v>-1.1234145917982901</v>
      </c>
      <c r="AE8392">
        <v>-1.6333299999999999</v>
      </c>
      <c r="AF8392">
        <v>-3.8780952314619799</v>
      </c>
      <c r="AG8392">
        <v>-1.1234145917982901</v>
      </c>
      <c r="AH8392">
        <v>14.238823841205599</v>
      </c>
      <c r="AI8392">
        <v>94.353245549301903</v>
      </c>
      <c r="AJ8392">
        <v>105.235564887116</v>
      </c>
      <c r="AK8392">
        <v>14.8001955172977</v>
      </c>
      <c r="AL8392">
        <v>92.921559127434406</v>
      </c>
      <c r="AM8392">
        <v>102.867658696113</v>
      </c>
      <c r="AN8392">
        <v>0.99999995357099003</v>
      </c>
    </row>
    <row r="8393" spans="1:40" x14ac:dyDescent="0.25">
      <c r="A8393" t="str">
        <f>"20190303154009795"</f>
        <v>20190303154009795</v>
      </c>
      <c r="B8393" t="str">
        <f>"1551598809786720"</f>
        <v>1551598809786720</v>
      </c>
      <c r="C8393" t="s">
        <v>40</v>
      </c>
      <c r="D8393">
        <v>4.7691189999999999</v>
      </c>
      <c r="E8393">
        <v>0.4846374</v>
      </c>
      <c r="F8393" t="s">
        <v>84</v>
      </c>
      <c r="G8393">
        <v>-272.483</v>
      </c>
      <c r="H8393" s="1">
        <v>-5.4098459999999897E-7</v>
      </c>
      <c r="I8393">
        <v>-61.829549999999998</v>
      </c>
      <c r="J8393">
        <v>-287.28660000000002</v>
      </c>
      <c r="K8393">
        <v>1.1234059999999999</v>
      </c>
      <c r="L8393">
        <v>-60.222499999999997</v>
      </c>
      <c r="M8393">
        <v>0.93099160000000003</v>
      </c>
      <c r="N8393">
        <v>-1.35178E-2</v>
      </c>
      <c r="O8393">
        <v>-0.36479030000000001</v>
      </c>
      <c r="P8393">
        <v>0.98696859999999997</v>
      </c>
      <c r="Q8393">
        <v>-6.3034709999999994E-2</v>
      </c>
      <c r="R8393">
        <v>-0.1480543</v>
      </c>
      <c r="S8393">
        <v>2.9765929999999998</v>
      </c>
      <c r="T8393">
        <v>-0.22490760000000001</v>
      </c>
      <c r="U8393">
        <v>-0.32614140000000003</v>
      </c>
      <c r="V8393">
        <v>-0.22196279999999999</v>
      </c>
      <c r="W8393">
        <v>-5.100826E-2</v>
      </c>
      <c r="X8393">
        <v>0.97372000000000003</v>
      </c>
      <c r="Y8393">
        <v>-0.25974399999999997</v>
      </c>
      <c r="Z8393">
        <v>3.3326990000000001E-2</v>
      </c>
      <c r="AA8393">
        <v>0.96510229999999997</v>
      </c>
      <c r="AB8393">
        <v>14</v>
      </c>
      <c r="AC8393">
        <v>14.803599999999999</v>
      </c>
      <c r="AD8393">
        <v>-1.1234065409845999</v>
      </c>
      <c r="AE8393">
        <v>-1.6070500000000001</v>
      </c>
      <c r="AF8393">
        <v>-3.88231882162914</v>
      </c>
      <c r="AG8393">
        <v>-1.1234065409845999</v>
      </c>
      <c r="AH8393">
        <v>14.288249937431299</v>
      </c>
      <c r="AI8393">
        <v>94.338921167434407</v>
      </c>
      <c r="AJ8393">
        <v>105.20107261742</v>
      </c>
      <c r="AK8393">
        <v>14.8488561163346</v>
      </c>
      <c r="AL8393">
        <v>92.923826894140106</v>
      </c>
      <c r="AM8393">
        <v>102.841345634408</v>
      </c>
      <c r="AN8393">
        <v>0.99999998278603297</v>
      </c>
    </row>
    <row r="8394" spans="1:40" x14ac:dyDescent="0.25">
      <c r="A8394" t="str">
        <f>"20190303154009806"</f>
        <v>20190303154009806</v>
      </c>
      <c r="B8394" t="str">
        <f>"1551598809796480"</f>
        <v>1551598809796480</v>
      </c>
      <c r="C8394" t="s">
        <v>40</v>
      </c>
      <c r="D8394">
        <v>4.757835</v>
      </c>
      <c r="E8394">
        <v>0.48481089999999999</v>
      </c>
      <c r="F8394" t="s">
        <v>84</v>
      </c>
      <c r="G8394">
        <v>-272.29899999999998</v>
      </c>
      <c r="H8394" s="1">
        <v>-4.6411700000000003E-7</v>
      </c>
      <c r="I8394">
        <v>-61.838839999999998</v>
      </c>
      <c r="J8394">
        <v>-287.22039999999998</v>
      </c>
      <c r="K8394">
        <v>1.1234010000000001</v>
      </c>
      <c r="L8394">
        <v>-60.244999999999997</v>
      </c>
      <c r="M8394">
        <v>0.9320117</v>
      </c>
      <c r="N8394">
        <v>-1.3547409999999999E-2</v>
      </c>
      <c r="O8394">
        <v>-0.36217500000000002</v>
      </c>
      <c r="P8394">
        <v>0.98727390000000004</v>
      </c>
      <c r="Q8394">
        <v>-6.3164810000000002E-2</v>
      </c>
      <c r="R8394">
        <v>-0.14594770000000001</v>
      </c>
      <c r="S8394">
        <v>2.9772029999999998</v>
      </c>
      <c r="T8394">
        <v>-0.22315840000000001</v>
      </c>
      <c r="U8394">
        <v>-0.32107540000000001</v>
      </c>
      <c r="V8394">
        <v>-0.22130469999999999</v>
      </c>
      <c r="W8394">
        <v>-5.1101960000000002E-2</v>
      </c>
      <c r="X8394">
        <v>0.97386490000000003</v>
      </c>
      <c r="Y8394">
        <v>-0.25871060000000001</v>
      </c>
      <c r="Z8394">
        <v>3.2843299999999999E-2</v>
      </c>
      <c r="AA8394">
        <v>0.96539629999999998</v>
      </c>
      <c r="AB8394">
        <v>14</v>
      </c>
      <c r="AC8394">
        <v>14.921399999999901</v>
      </c>
      <c r="AD8394">
        <v>-1.123401464117</v>
      </c>
      <c r="AE8394">
        <v>-1.5938399999999999</v>
      </c>
      <c r="AF8394">
        <v>-3.89719883681013</v>
      </c>
      <c r="AG8394">
        <v>-1.123401464117</v>
      </c>
      <c r="AH8394">
        <v>14.404768116730899</v>
      </c>
      <c r="AI8394">
        <v>94.305198932301295</v>
      </c>
      <c r="AJ8394">
        <v>105.13890112605399</v>
      </c>
      <c r="AK8394">
        <v>14.964876682418801</v>
      </c>
      <c r="AL8394">
        <v>92.929202433801507</v>
      </c>
      <c r="AM8394">
        <v>102.80268666188999</v>
      </c>
      <c r="AN8394">
        <v>1.0000000120049699</v>
      </c>
    </row>
    <row r="8395" spans="1:40" x14ac:dyDescent="0.25">
      <c r="A8395" t="str">
        <f>"20190303154009818"</f>
        <v>20190303154009818</v>
      </c>
      <c r="B8395" t="str">
        <f>"1551598809806239"</f>
        <v>1551598809806239</v>
      </c>
      <c r="C8395" t="s">
        <v>40</v>
      </c>
      <c r="D8395">
        <v>4.7619959999999999</v>
      </c>
      <c r="E8395">
        <v>0.48491479999999998</v>
      </c>
      <c r="F8395" t="s">
        <v>84</v>
      </c>
      <c r="G8395">
        <v>-272.28140000000002</v>
      </c>
      <c r="H8395" s="1">
        <v>-4.5477539999999999E-7</v>
      </c>
      <c r="I8395">
        <v>-61.830759999999998</v>
      </c>
      <c r="J8395">
        <v>-287.1515</v>
      </c>
      <c r="K8395">
        <v>1.1233900000000001</v>
      </c>
      <c r="L8395">
        <v>-60.268129999999999</v>
      </c>
      <c r="M8395">
        <v>0.93307130000000005</v>
      </c>
      <c r="N8395">
        <v>-1.353273E-2</v>
      </c>
      <c r="O8395">
        <v>-0.3594369</v>
      </c>
      <c r="P8395">
        <v>0.9875931</v>
      </c>
      <c r="Q8395">
        <v>-6.3067750000000006E-2</v>
      </c>
      <c r="R8395">
        <v>-0.14381450000000001</v>
      </c>
      <c r="S8395">
        <v>2.9775999999999998</v>
      </c>
      <c r="T8395">
        <v>-0.22391320000000001</v>
      </c>
      <c r="U8395">
        <v>-0.31607059999999998</v>
      </c>
      <c r="V8395">
        <v>-0.220552</v>
      </c>
      <c r="W8395">
        <v>-5.1014190000000001E-2</v>
      </c>
      <c r="X8395">
        <v>0.97404020000000002</v>
      </c>
      <c r="Y8395">
        <v>-0.25749060000000001</v>
      </c>
      <c r="Z8395">
        <v>3.276225E-2</v>
      </c>
      <c r="AA8395">
        <v>0.96572519999999995</v>
      </c>
      <c r="AB8395">
        <v>14</v>
      </c>
      <c r="AC8395">
        <v>14.8700999999999</v>
      </c>
      <c r="AD8395">
        <v>-1.1233904547753999</v>
      </c>
      <c r="AE8395">
        <v>-1.56262999999999</v>
      </c>
      <c r="AF8395">
        <v>-3.8653533319051201</v>
      </c>
      <c r="AG8395">
        <v>-1.1233904547753999</v>
      </c>
      <c r="AH8395">
        <v>14.356807802075201</v>
      </c>
      <c r="AI8395">
        <v>94.320907409575199</v>
      </c>
      <c r="AJ8395">
        <v>105.068707421132</v>
      </c>
      <c r="AK8395">
        <v>14.9104289931604</v>
      </c>
      <c r="AL8395">
        <v>92.924167133337804</v>
      </c>
      <c r="AM8395">
        <v>102.75834888095601</v>
      </c>
      <c r="AN8395">
        <v>0.99999997175069699</v>
      </c>
    </row>
    <row r="8396" spans="1:40" x14ac:dyDescent="0.25">
      <c r="A8396" t="str">
        <f>"20190303154009830"</f>
        <v>20190303154009830</v>
      </c>
      <c r="B8396" t="str">
        <f>"1551598809826737"</f>
        <v>1551598809826737</v>
      </c>
      <c r="C8396" t="s">
        <v>40</v>
      </c>
      <c r="D8396">
        <v>4.7754839999999996</v>
      </c>
      <c r="E8396">
        <v>0.48552380000000001</v>
      </c>
      <c r="F8396" t="s">
        <v>84</v>
      </c>
      <c r="G8396">
        <v>-272.2079</v>
      </c>
      <c r="H8396" s="1">
        <v>-4.222129E-7</v>
      </c>
      <c r="I8396">
        <v>-61.826009999999997</v>
      </c>
      <c r="J8396">
        <v>-287.08460000000002</v>
      </c>
      <c r="K8396">
        <v>1.123375</v>
      </c>
      <c r="L8396">
        <v>-60.290410000000001</v>
      </c>
      <c r="M8396">
        <v>0.93409200000000003</v>
      </c>
      <c r="N8396">
        <v>-1.3499000000000001E-2</v>
      </c>
      <c r="O8396">
        <v>-0.35677700000000001</v>
      </c>
      <c r="P8396">
        <v>0.98789800000000005</v>
      </c>
      <c r="Q8396">
        <v>-6.2734769999999995E-2</v>
      </c>
      <c r="R8396">
        <v>-0.14185220000000001</v>
      </c>
      <c r="S8396">
        <v>2.9782410000000001</v>
      </c>
      <c r="T8396">
        <v>-0.2238917</v>
      </c>
      <c r="U8396">
        <v>-0.31048579999999998</v>
      </c>
      <c r="V8396">
        <v>-0.2197202</v>
      </c>
      <c r="W8396">
        <v>-5.0709549999999999E-2</v>
      </c>
      <c r="X8396">
        <v>0.97424409999999895</v>
      </c>
      <c r="Y8396">
        <v>-0.25655830000000002</v>
      </c>
      <c r="Z8396">
        <v>3.2574850000000002E-2</v>
      </c>
      <c r="AA8396">
        <v>0.9659797</v>
      </c>
      <c r="AB8396">
        <v>14</v>
      </c>
      <c r="AC8396">
        <v>14.8767</v>
      </c>
      <c r="AD8396">
        <v>-1.1233754222129</v>
      </c>
      <c r="AE8396">
        <v>-1.5356000000000001</v>
      </c>
      <c r="AF8396">
        <v>-3.8518934139924301</v>
      </c>
      <c r="AG8396">
        <v>-1.1233754222129</v>
      </c>
      <c r="AH8396">
        <v>14.3643462544622</v>
      </c>
      <c r="AI8396">
        <v>94.319753560348602</v>
      </c>
      <c r="AJ8396">
        <v>105.011083833097</v>
      </c>
      <c r="AK8396">
        <v>14.9142045892523</v>
      </c>
      <c r="AL8396">
        <v>92.906689856424407</v>
      </c>
      <c r="AM8396">
        <v>102.709223745133</v>
      </c>
      <c r="AN8396">
        <v>0.99999999556702601</v>
      </c>
    </row>
    <row r="8397" spans="1:40" x14ac:dyDescent="0.25">
      <c r="A8397" t="str">
        <f>"20190303154009840"</f>
        <v>20190303154009840</v>
      </c>
      <c r="B8397" t="str">
        <f>"1551598809836496"</f>
        <v>1551598809836496</v>
      </c>
      <c r="C8397" t="s">
        <v>40</v>
      </c>
      <c r="D8397">
        <v>4.791696</v>
      </c>
      <c r="E8397">
        <v>0.48572569999999998</v>
      </c>
      <c r="F8397" t="s">
        <v>84</v>
      </c>
      <c r="G8397">
        <v>-272.0729</v>
      </c>
      <c r="H8397" s="1">
        <v>-3.695422E-7</v>
      </c>
      <c r="I8397">
        <v>-61.849600000000002</v>
      </c>
      <c r="J8397">
        <v>-287.02429999999998</v>
      </c>
      <c r="K8397">
        <v>1.123351</v>
      </c>
      <c r="L8397">
        <v>-60.310209999999998</v>
      </c>
      <c r="M8397">
        <v>0.93501449999999997</v>
      </c>
      <c r="N8397">
        <v>-1.336585E-2</v>
      </c>
      <c r="O8397">
        <v>-0.3543578</v>
      </c>
      <c r="P8397">
        <v>0.98819849999999998</v>
      </c>
      <c r="Q8397">
        <v>-6.2296539999999997E-2</v>
      </c>
      <c r="R8397">
        <v>-0.13994000000000001</v>
      </c>
      <c r="S8397">
        <v>2.9781490000000002</v>
      </c>
      <c r="T8397">
        <v>-0.2228656</v>
      </c>
      <c r="U8397">
        <v>-0.3093262</v>
      </c>
      <c r="V8397">
        <v>-0.21909310000000001</v>
      </c>
      <c r="W8397">
        <v>-5.0404270000000001E-2</v>
      </c>
      <c r="X8397">
        <v>0.97440119999999997</v>
      </c>
      <c r="Y8397">
        <v>-0.2544477</v>
      </c>
      <c r="Z8397">
        <v>3.221715E-2</v>
      </c>
      <c r="AA8397">
        <v>0.96654980000000001</v>
      </c>
      <c r="AB8397">
        <v>14</v>
      </c>
      <c r="AC8397">
        <v>14.9513999999999</v>
      </c>
      <c r="AD8397">
        <v>-1.1233513695421999</v>
      </c>
      <c r="AE8397">
        <v>-1.53939</v>
      </c>
      <c r="AF8397">
        <v>-3.8377008014704499</v>
      </c>
      <c r="AG8397">
        <v>-1.1233513695421999</v>
      </c>
      <c r="AH8397">
        <v>14.4458744866046</v>
      </c>
      <c r="AI8397">
        <v>94.298035994179699</v>
      </c>
      <c r="AJ8397">
        <v>104.877591424432</v>
      </c>
      <c r="AK8397">
        <v>14.9891012213472</v>
      </c>
      <c r="AL8397">
        <v>92.889176082005307</v>
      </c>
      <c r="AM8397">
        <v>102.672146466022</v>
      </c>
      <c r="AN8397">
        <v>1.00000003773164</v>
      </c>
    </row>
    <row r="8398" spans="1:40" x14ac:dyDescent="0.25">
      <c r="A8398" t="str">
        <f>"20190303154009852"</f>
        <v>20190303154009852</v>
      </c>
      <c r="B8398" t="str">
        <f>"1551598809846255"</f>
        <v>1551598809846255</v>
      </c>
      <c r="C8398" t="s">
        <v>40</v>
      </c>
      <c r="D8398">
        <v>4.7798910000000001</v>
      </c>
      <c r="E8398">
        <v>0.4858751</v>
      </c>
      <c r="F8398" t="s">
        <v>84</v>
      </c>
      <c r="G8398">
        <v>-271.8999</v>
      </c>
      <c r="H8398" s="1">
        <v>-2.9756719999999999E-7</v>
      </c>
      <c r="I8398">
        <v>-61.859760000000001</v>
      </c>
      <c r="J8398">
        <v>-286.95740000000001</v>
      </c>
      <c r="K8398">
        <v>1.1233200000000001</v>
      </c>
      <c r="L8398">
        <v>-60.332090000000001</v>
      </c>
      <c r="M8398">
        <v>0.9360328</v>
      </c>
      <c r="N8398">
        <v>-1.3188099999999999E-2</v>
      </c>
      <c r="O8398">
        <v>-0.35166599999999998</v>
      </c>
      <c r="P8398">
        <v>0.98852249999999997</v>
      </c>
      <c r="Q8398">
        <v>-6.2226440000000001E-2</v>
      </c>
      <c r="R8398">
        <v>-0.13766419999999999</v>
      </c>
      <c r="S8398">
        <v>2.9786679999999999</v>
      </c>
      <c r="T8398">
        <v>-0.22123799999999999</v>
      </c>
      <c r="U8398">
        <v>-0.3051758</v>
      </c>
      <c r="V8398">
        <v>-0.21853159999999999</v>
      </c>
      <c r="W8398">
        <v>-5.0513429999999998E-2</v>
      </c>
      <c r="X8398">
        <v>0.97452159999999999</v>
      </c>
      <c r="Y8398">
        <v>-0.25304349999999998</v>
      </c>
      <c r="Z8398">
        <v>3.1788320000000002E-2</v>
      </c>
      <c r="AA8398">
        <v>0.96693249999999997</v>
      </c>
      <c r="AB8398">
        <v>14</v>
      </c>
      <c r="AC8398">
        <v>15.057499999999999</v>
      </c>
      <c r="AD8398">
        <v>-1.1233202975671901</v>
      </c>
      <c r="AE8398">
        <v>-1.5276699999999901</v>
      </c>
      <c r="AF8398">
        <v>-3.8444191676977502</v>
      </c>
      <c r="AG8398">
        <v>-1.1233202975671901</v>
      </c>
      <c r="AH8398">
        <v>14.552646759485899</v>
      </c>
      <c r="AI8398">
        <v>94.268066233150094</v>
      </c>
      <c r="AJ8398">
        <v>104.797953922451</v>
      </c>
      <c r="AK8398">
        <v>15.093738269039401</v>
      </c>
      <c r="AL8398">
        <v>92.895438553088795</v>
      </c>
      <c r="AM8398">
        <v>102.639203168042</v>
      </c>
      <c r="AN8398">
        <v>1.00000000783774</v>
      </c>
    </row>
    <row r="8399" spans="1:40" x14ac:dyDescent="0.25">
      <c r="A8399" t="str">
        <f>"20190303154009862"</f>
        <v>20190303154009862</v>
      </c>
      <c r="B8399" t="str">
        <f>"1551598809856992"</f>
        <v>1551598809856992</v>
      </c>
      <c r="C8399" t="s">
        <v>40</v>
      </c>
      <c r="D8399">
        <v>4.7721960000000001</v>
      </c>
      <c r="E8399">
        <v>0.4857204</v>
      </c>
      <c r="F8399" t="s">
        <v>84</v>
      </c>
      <c r="G8399">
        <v>-271.82350000000002</v>
      </c>
      <c r="H8399" s="1">
        <v>-2.6337989999999997E-7</v>
      </c>
      <c r="I8399">
        <v>-61.853360000000002</v>
      </c>
      <c r="J8399">
        <v>-286.88690000000003</v>
      </c>
      <c r="K8399">
        <v>1.1232679999999999</v>
      </c>
      <c r="L8399">
        <v>-60.354860000000002</v>
      </c>
      <c r="M8399">
        <v>0.93710819999999995</v>
      </c>
      <c r="N8399">
        <v>-1.2877309999999999E-2</v>
      </c>
      <c r="O8399">
        <v>-0.34880139999999998</v>
      </c>
      <c r="P8399">
        <v>0.98891070000000003</v>
      </c>
      <c r="Q8399">
        <v>-6.1702180000000002E-2</v>
      </c>
      <c r="R8399">
        <v>-0.13508819999999999</v>
      </c>
      <c r="S8399">
        <v>2.979187</v>
      </c>
      <c r="T8399">
        <v>-0.22113189999999999</v>
      </c>
      <c r="U8399">
        <v>-0.29946899999999999</v>
      </c>
      <c r="V8399">
        <v>-0.2180975</v>
      </c>
      <c r="W8399">
        <v>-5.0303970000000003E-2</v>
      </c>
      <c r="X8399">
        <v>0.97462959999999998</v>
      </c>
      <c r="Y8399">
        <v>-0.25194</v>
      </c>
      <c r="Z8399">
        <v>3.1634580000000002E-2</v>
      </c>
      <c r="AA8399">
        <v>0.96722569999999997</v>
      </c>
      <c r="AB8399">
        <v>14</v>
      </c>
      <c r="AC8399">
        <v>15.0634</v>
      </c>
      <c r="AD8399">
        <v>-1.1232682633798901</v>
      </c>
      <c r="AE8399">
        <v>-1.4984999999999999</v>
      </c>
      <c r="AF8399">
        <v>-3.8291140833165098</v>
      </c>
      <c r="AG8399">
        <v>-1.1232682633798901</v>
      </c>
      <c r="AH8399">
        <v>14.559760769640199</v>
      </c>
      <c r="AI8399">
        <v>94.267028113139503</v>
      </c>
      <c r="AJ8399">
        <v>104.734722629879</v>
      </c>
      <c r="AK8399">
        <v>15.0967042735732</v>
      </c>
      <c r="AL8399">
        <v>92.883422318176699</v>
      </c>
      <c r="AM8399">
        <v>102.61354731494301</v>
      </c>
      <c r="AN8399">
        <v>0.99999993305008295</v>
      </c>
    </row>
    <row r="8400" spans="1:40" x14ac:dyDescent="0.25">
      <c r="A8400" t="str">
        <f>"20190303154009875"</f>
        <v>20190303154009875</v>
      </c>
      <c r="B8400" t="str">
        <f>"1551598809866752"</f>
        <v>1551598809866752</v>
      </c>
      <c r="C8400" t="s">
        <v>40</v>
      </c>
      <c r="D8400">
        <v>4.7524379999999997</v>
      </c>
      <c r="E8400">
        <v>0.4857204</v>
      </c>
      <c r="F8400" t="s">
        <v>84</v>
      </c>
      <c r="G8400">
        <v>-271.6053</v>
      </c>
      <c r="H8400" s="1">
        <v>-1.678258E-7</v>
      </c>
      <c r="I8400">
        <v>-61.844549999999998</v>
      </c>
      <c r="J8400">
        <v>-286.81599999999997</v>
      </c>
      <c r="K8400">
        <v>1.1231949999999999</v>
      </c>
      <c r="L8400">
        <v>-60.37753</v>
      </c>
      <c r="M8400">
        <v>0.93818599999999996</v>
      </c>
      <c r="N8400">
        <v>-1.250209E-2</v>
      </c>
      <c r="O8400">
        <v>-0.34590569999999998</v>
      </c>
      <c r="P8400">
        <v>0.98929920000000005</v>
      </c>
      <c r="Q8400">
        <v>-6.103161E-2</v>
      </c>
      <c r="R8400">
        <v>-0.1325229</v>
      </c>
      <c r="S8400">
        <v>2.980286</v>
      </c>
      <c r="T8400">
        <v>-0.21906600000000001</v>
      </c>
      <c r="U8400">
        <v>-0.29052729999999999</v>
      </c>
      <c r="V8400">
        <v>-0.2176266</v>
      </c>
      <c r="W8400">
        <v>-5.0011170000000001E-2</v>
      </c>
      <c r="X8400">
        <v>0.97475000000000001</v>
      </c>
      <c r="Y8400">
        <v>-0.2518879</v>
      </c>
      <c r="Z8400">
        <v>3.122981E-2</v>
      </c>
      <c r="AA8400">
        <v>0.96725240000000001</v>
      </c>
      <c r="AB8400">
        <v>14</v>
      </c>
      <c r="AC8400">
        <v>15.2106999999999</v>
      </c>
      <c r="AD8400">
        <v>-1.1231951678258001</v>
      </c>
      <c r="AE8400">
        <v>-1.46701999999999</v>
      </c>
      <c r="AF8400">
        <v>-3.8645557392972498</v>
      </c>
      <c r="AG8400">
        <v>-1.1231951678258001</v>
      </c>
      <c r="AH8400">
        <v>14.699657027169399</v>
      </c>
      <c r="AI8400">
        <v>94.226387856251904</v>
      </c>
      <c r="AJ8400">
        <v>104.729800685398</v>
      </c>
      <c r="AK8400">
        <v>15.240612689901001</v>
      </c>
      <c r="AL8400">
        <v>92.866624754242906</v>
      </c>
      <c r="AM8400">
        <v>102.58567659418</v>
      </c>
      <c r="AN8400">
        <v>1.00000000832616</v>
      </c>
    </row>
    <row r="8401" spans="1:40" x14ac:dyDescent="0.25">
      <c r="A8401" t="str">
        <f>"20190303154009886"</f>
        <v>20190303154009886</v>
      </c>
      <c r="B8401" t="str">
        <f>"1551598809876511"</f>
        <v>1551598809876511</v>
      </c>
      <c r="C8401" t="s">
        <v>40</v>
      </c>
      <c r="D8401">
        <v>4.7189259999999997</v>
      </c>
      <c r="E8401">
        <v>0.47241329999999998</v>
      </c>
      <c r="F8401" t="s">
        <v>84</v>
      </c>
      <c r="G8401">
        <v>-271.39109999999999</v>
      </c>
      <c r="H8401" s="1">
        <v>-7.5133469999999999E-8</v>
      </c>
      <c r="I8401">
        <v>-61.840940000000003</v>
      </c>
      <c r="J8401">
        <v>-286.74860000000001</v>
      </c>
      <c r="K8401">
        <v>1.1231260000000001</v>
      </c>
      <c r="L8401">
        <v>-60.39893</v>
      </c>
      <c r="M8401">
        <v>0.93920970000000004</v>
      </c>
      <c r="N8401">
        <v>-1.208564E-2</v>
      </c>
      <c r="O8401">
        <v>-0.34313189999999999</v>
      </c>
      <c r="P8401">
        <v>0.98966339999999997</v>
      </c>
      <c r="Q8401">
        <v>-6.114609E-2</v>
      </c>
      <c r="R8401">
        <v>-0.1297229</v>
      </c>
      <c r="S8401">
        <v>2.981201</v>
      </c>
      <c r="T8401">
        <v>-0.21708269999999999</v>
      </c>
      <c r="U8401">
        <v>-0.2828369</v>
      </c>
      <c r="V8401">
        <v>-0.21749389999999999</v>
      </c>
      <c r="W8401">
        <v>-5.0546599999999997E-2</v>
      </c>
      <c r="X8401">
        <v>0.97475199999999995</v>
      </c>
      <c r="Y8401">
        <v>-0.25155509999999998</v>
      </c>
      <c r="Z8401">
        <v>3.084402E-2</v>
      </c>
      <c r="AA8401">
        <v>0.96735139999999997</v>
      </c>
      <c r="AB8401">
        <v>14</v>
      </c>
      <c r="AC8401">
        <v>15.3575</v>
      </c>
      <c r="AD8401">
        <v>-1.12312607513347</v>
      </c>
      <c r="AE8401">
        <v>-1.44200999999999</v>
      </c>
      <c r="AF8401">
        <v>-3.8949342817011101</v>
      </c>
      <c r="AG8401">
        <v>-1.12312607513347</v>
      </c>
      <c r="AH8401">
        <v>14.841117988573901</v>
      </c>
      <c r="AI8401">
        <v>94.186460968344306</v>
      </c>
      <c r="AJ8401">
        <v>104.705200684171</v>
      </c>
      <c r="AK8401">
        <v>15.384755714348801</v>
      </c>
      <c r="AL8401">
        <v>92.8973414833454</v>
      </c>
      <c r="AM8401">
        <v>102.57822163929499</v>
      </c>
      <c r="AN8401">
        <v>1.00000000840638</v>
      </c>
    </row>
    <row r="8402" spans="1:40" x14ac:dyDescent="0.25">
      <c r="A8402" t="str">
        <f>"20190303154009899"</f>
        <v>20190303154009899</v>
      </c>
      <c r="B8402" t="str">
        <f>"1551598809886272"</f>
        <v>1551598809886272</v>
      </c>
      <c r="C8402" t="s">
        <v>40</v>
      </c>
      <c r="D8402">
        <v>4.7207720000000002</v>
      </c>
      <c r="E8402">
        <v>0.4721148</v>
      </c>
      <c r="F8402" t="s">
        <v>42</v>
      </c>
      <c r="G8402">
        <v>-262.17970000000003</v>
      </c>
      <c r="H8402" s="1">
        <v>-3.2181199999999899E-7</v>
      </c>
      <c r="I8402">
        <v>-61.81738</v>
      </c>
      <c r="J8402">
        <v>-286.67329999999998</v>
      </c>
      <c r="K8402">
        <v>1.1230450000000001</v>
      </c>
      <c r="L8402">
        <v>-60.422449999999998</v>
      </c>
      <c r="M8402">
        <v>0.9403494</v>
      </c>
      <c r="N8402">
        <v>-1.1570570000000001E-2</v>
      </c>
      <c r="O8402">
        <v>-0.34001360000000003</v>
      </c>
      <c r="P8402">
        <v>0.99006519999999998</v>
      </c>
      <c r="Q8402">
        <v>-6.1130530000000002E-2</v>
      </c>
      <c r="R8402">
        <v>-0.12662570000000001</v>
      </c>
      <c r="S8402">
        <v>3.0001530000000001</v>
      </c>
      <c r="T8402">
        <v>-0.13714670000000001</v>
      </c>
      <c r="U8402">
        <v>-0.17321779999999901</v>
      </c>
      <c r="V8402">
        <v>-0.2173011</v>
      </c>
      <c r="W8402">
        <v>-5.1047960000000003E-2</v>
      </c>
      <c r="X8402">
        <v>0.97476890000000005</v>
      </c>
      <c r="Y8402">
        <v>-0.28471220000000003</v>
      </c>
      <c r="Z8402">
        <v>1.9394740000000001E-2</v>
      </c>
      <c r="AA8402">
        <v>0.95841679999999996</v>
      </c>
      <c r="AB8402">
        <v>14</v>
      </c>
      <c r="AC8402">
        <v>24.493599999999901</v>
      </c>
      <c r="AD8402">
        <v>-1.123045321812</v>
      </c>
      <c r="AE8402">
        <v>-1.39493</v>
      </c>
      <c r="AF8402">
        <v>-7.0022318031112301</v>
      </c>
      <c r="AG8402">
        <v>-1.123045321812</v>
      </c>
      <c r="AH8402">
        <v>23.459251168754299</v>
      </c>
      <c r="AI8402">
        <v>92.626448537031905</v>
      </c>
      <c r="AJ8402">
        <v>106.619568949708</v>
      </c>
      <c r="AK8402">
        <v>24.5077323801702</v>
      </c>
      <c r="AL8402">
        <v>92.926104349931705</v>
      </c>
      <c r="AM8402">
        <v>102.567214917545</v>
      </c>
      <c r="AN8402">
        <v>1.0000000353442899</v>
      </c>
    </row>
    <row r="8403" spans="1:40" x14ac:dyDescent="0.25">
      <c r="A8403" t="str">
        <f>"20190303154009910"</f>
        <v>20190303154009910</v>
      </c>
      <c r="B8403" t="str">
        <f>"1551598809906301"</f>
        <v>1551598809906301</v>
      </c>
      <c r="C8403" t="s">
        <v>40</v>
      </c>
      <c r="D8403">
        <v>4.7254310000000004</v>
      </c>
      <c r="E8403">
        <v>0.47225329999999899</v>
      </c>
      <c r="F8403" t="s">
        <v>85</v>
      </c>
      <c r="G8403">
        <v>-260.637</v>
      </c>
      <c r="H8403" s="1">
        <v>3.3754009999999998E-7</v>
      </c>
      <c r="I8403">
        <v>-61.826509999999999</v>
      </c>
      <c r="J8403">
        <v>-286.60129999999998</v>
      </c>
      <c r="K8403">
        <v>1.12297</v>
      </c>
      <c r="L8403">
        <v>-60.444890000000001</v>
      </c>
      <c r="M8403">
        <v>0.94143209999999999</v>
      </c>
      <c r="N8403">
        <v>-1.106128E-2</v>
      </c>
      <c r="O8403">
        <v>-0.33702140000000003</v>
      </c>
      <c r="P8403">
        <v>0.99045050000000001</v>
      </c>
      <c r="Q8403">
        <v>-6.1005030000000002E-2</v>
      </c>
      <c r="R8403">
        <v>-0.12363639999999999</v>
      </c>
      <c r="S8403">
        <v>3.0014340000000002</v>
      </c>
      <c r="T8403">
        <v>-0.12946340000000001</v>
      </c>
      <c r="U8403">
        <v>-0.16186519999999999</v>
      </c>
      <c r="V8403">
        <v>-0.21713869999999999</v>
      </c>
      <c r="W8403">
        <v>-5.1432350000000002E-2</v>
      </c>
      <c r="X8403">
        <v>0.97478489999999995</v>
      </c>
      <c r="Y8403">
        <v>-0.28536109999999998</v>
      </c>
      <c r="Z8403">
        <v>1.820685E-2</v>
      </c>
      <c r="AA8403">
        <v>0.95824710000000002</v>
      </c>
      <c r="AB8403">
        <v>14</v>
      </c>
      <c r="AC8403">
        <v>25.964299999999898</v>
      </c>
      <c r="AD8403">
        <v>-1.1229696624598999</v>
      </c>
      <c r="AE8403">
        <v>-1.3816199999999901</v>
      </c>
      <c r="AF8403">
        <v>-7.4364071322879397</v>
      </c>
      <c r="AG8403">
        <v>-1.1229696624598999</v>
      </c>
      <c r="AH8403">
        <v>24.864402564940999</v>
      </c>
      <c r="AI8403">
        <v>92.477642075508697</v>
      </c>
      <c r="AJ8403">
        <v>106.650791063349</v>
      </c>
      <c r="AK8403">
        <v>25.976907568288301</v>
      </c>
      <c r="AL8403">
        <v>92.948157195957194</v>
      </c>
      <c r="AM8403">
        <v>102.55792124657999</v>
      </c>
      <c r="AN8403">
        <v>1.0000000514661</v>
      </c>
    </row>
    <row r="8404" spans="1:40" x14ac:dyDescent="0.25">
      <c r="A8404" t="str">
        <f>"20190303154009920"</f>
        <v>20190303154009920</v>
      </c>
      <c r="B8404" t="str">
        <f>"1551598809917037"</f>
        <v>1551598809917037</v>
      </c>
      <c r="C8404" t="s">
        <v>40</v>
      </c>
      <c r="D8404">
        <v>4.7311110000000003</v>
      </c>
      <c r="E8404">
        <v>0.47236660000000003</v>
      </c>
      <c r="F8404" t="s">
        <v>86</v>
      </c>
      <c r="G8404">
        <v>-258.9819</v>
      </c>
      <c r="H8404" s="1">
        <v>-3.2776039999999999E-6</v>
      </c>
      <c r="I8404">
        <v>-61.864370000000001</v>
      </c>
      <c r="J8404">
        <v>-286.53320000000002</v>
      </c>
      <c r="K8404">
        <v>1.122903</v>
      </c>
      <c r="L8404">
        <v>-60.465760000000003</v>
      </c>
      <c r="M8404">
        <v>0.94245060000000003</v>
      </c>
      <c r="N8404">
        <v>-1.05652E-2</v>
      </c>
      <c r="O8404">
        <v>-0.33417839999999999</v>
      </c>
      <c r="P8404">
        <v>0.99082269999999995</v>
      </c>
      <c r="Q8404">
        <v>-6.0804490000000003E-2</v>
      </c>
      <c r="R8404">
        <v>-0.1207198</v>
      </c>
      <c r="S8404">
        <v>3.0021969999999998</v>
      </c>
      <c r="T8404">
        <v>-0.12206599999999999</v>
      </c>
      <c r="U8404">
        <v>-0.15429689999999999</v>
      </c>
      <c r="V8404">
        <v>-0.21706429999999999</v>
      </c>
      <c r="W8404">
        <v>-5.1727269999999999E-2</v>
      </c>
      <c r="X8404">
        <v>0.97478580000000004</v>
      </c>
      <c r="Y8404">
        <v>-0.28494580000000003</v>
      </c>
      <c r="Z8404">
        <v>1.7049350000000001E-2</v>
      </c>
      <c r="AA8404">
        <v>0.95839200000000002</v>
      </c>
      <c r="AB8404">
        <v>15</v>
      </c>
      <c r="AC8404">
        <v>27.551300000000001</v>
      </c>
      <c r="AD8404">
        <v>-1.122906277604</v>
      </c>
      <c r="AE8404">
        <v>-1.3986099999999899</v>
      </c>
      <c r="AF8404">
        <v>-7.8763190712410598</v>
      </c>
      <c r="AG8404">
        <v>-1.122906277604</v>
      </c>
      <c r="AH8404">
        <v>26.390874486505201</v>
      </c>
      <c r="AI8404">
        <v>92.334767698693497</v>
      </c>
      <c r="AJ8404">
        <v>106.617659271815</v>
      </c>
      <c r="AK8404">
        <v>27.564026860797199</v>
      </c>
      <c r="AL8404">
        <v>92.9650775766668</v>
      </c>
      <c r="AM8404">
        <v>102.553743616228</v>
      </c>
      <c r="AN8404">
        <v>0.99999998833889103</v>
      </c>
    </row>
    <row r="8405" spans="1:40" x14ac:dyDescent="0.25">
      <c r="A8405" t="str">
        <f>"20190303154009931"</f>
        <v>20190303154009931</v>
      </c>
      <c r="B8405" t="str">
        <f>"1551598809926797"</f>
        <v>1551598809926797</v>
      </c>
      <c r="C8405" t="s">
        <v>40</v>
      </c>
      <c r="D8405">
        <v>4.7179019999999996</v>
      </c>
      <c r="E8405">
        <v>0.47251539999999997</v>
      </c>
      <c r="F8405" t="s">
        <v>86</v>
      </c>
      <c r="G8405">
        <v>-258.57249999999999</v>
      </c>
      <c r="H8405" s="1">
        <v>-3.1336170000000002E-6</v>
      </c>
      <c r="I8405">
        <v>-61.829590000000003</v>
      </c>
      <c r="J8405">
        <v>-286.47239999999999</v>
      </c>
      <c r="K8405">
        <v>1.1228450000000001</v>
      </c>
      <c r="L8405">
        <v>-60.484310000000001</v>
      </c>
      <c r="M8405">
        <v>0.94335119999999895</v>
      </c>
      <c r="N8405">
        <v>-1.0123419999999999E-2</v>
      </c>
      <c r="O8405">
        <v>-0.33164149999999998</v>
      </c>
      <c r="P8405">
        <v>0.99115790000000004</v>
      </c>
      <c r="Q8405">
        <v>-6.0607519999999998E-2</v>
      </c>
      <c r="R8405">
        <v>-0.1180379</v>
      </c>
      <c r="S8405">
        <v>3.0025330000000001</v>
      </c>
      <c r="T8405">
        <v>-0.12058199999999999</v>
      </c>
      <c r="U8405">
        <v>-0.1464539</v>
      </c>
      <c r="V8405">
        <v>-0.2170782</v>
      </c>
      <c r="W8405">
        <v>-5.1972030000000002E-2</v>
      </c>
      <c r="X8405">
        <v>0.97476969999999996</v>
      </c>
      <c r="Y8405">
        <v>-0.28487829999999997</v>
      </c>
      <c r="Z8405">
        <v>1.6833089999999998E-2</v>
      </c>
      <c r="AA8405">
        <v>0.95841589999999999</v>
      </c>
      <c r="AB8405">
        <v>15</v>
      </c>
      <c r="AC8405">
        <v>27.899899999999999</v>
      </c>
      <c r="AD8405">
        <v>-1.122848133617</v>
      </c>
      <c r="AE8405">
        <v>-1.34528</v>
      </c>
      <c r="AF8405">
        <v>-7.9712209928173001</v>
      </c>
      <c r="AG8405">
        <v>-1.122848133617</v>
      </c>
      <c r="AH8405">
        <v>26.7237414536541</v>
      </c>
      <c r="AI8405">
        <v>92.305703381889501</v>
      </c>
      <c r="AJ8405">
        <v>106.60891460798</v>
      </c>
      <c r="AK8405">
        <v>27.909846100063799</v>
      </c>
      <c r="AL8405">
        <v>92.979120138524195</v>
      </c>
      <c r="AM8405">
        <v>102.55472281275</v>
      </c>
      <c r="AN8405">
        <v>1.0000000024278199</v>
      </c>
    </row>
    <row r="8406" spans="1:40" x14ac:dyDescent="0.25">
      <c r="A8406" t="str">
        <f>"20190303154009940"</f>
        <v>20190303154009940</v>
      </c>
      <c r="B8406" t="str">
        <f>"1551598809936557"</f>
        <v>1551598809936557</v>
      </c>
      <c r="C8406" t="s">
        <v>40</v>
      </c>
      <c r="D8406">
        <v>4.7203439999999999</v>
      </c>
      <c r="E8406">
        <v>0.47270659999999998</v>
      </c>
      <c r="F8406" t="s">
        <v>86</v>
      </c>
      <c r="G8406">
        <v>-257.67660000000001</v>
      </c>
      <c r="H8406" s="1">
        <v>-2.7496989999999999E-6</v>
      </c>
      <c r="I8406">
        <v>-61.824010000000001</v>
      </c>
      <c r="J8406">
        <v>-286.41180000000003</v>
      </c>
      <c r="K8406">
        <v>1.1228020000000001</v>
      </c>
      <c r="L8406">
        <v>-60.502560000000003</v>
      </c>
      <c r="M8406">
        <v>0.94424110000000006</v>
      </c>
      <c r="N8406">
        <v>-9.6859909999999997E-3</v>
      </c>
      <c r="O8406">
        <v>-0.32911269999999998</v>
      </c>
      <c r="P8406">
        <v>0.99147399999999997</v>
      </c>
      <c r="Q8406">
        <v>-6.0509559999999997E-2</v>
      </c>
      <c r="R8406">
        <v>-0.1154044</v>
      </c>
      <c r="S8406">
        <v>3.0029599999999999</v>
      </c>
      <c r="T8406">
        <v>-0.1170958</v>
      </c>
      <c r="U8406">
        <v>-0.13970949999999999</v>
      </c>
      <c r="V8406">
        <v>-0.2170521</v>
      </c>
      <c r="W8406">
        <v>-5.2311669999999998E-2</v>
      </c>
      <c r="X8406">
        <v>0.9747574</v>
      </c>
      <c r="Y8406">
        <v>-0.28448800000000002</v>
      </c>
      <c r="Z8406">
        <v>1.6296979999999999E-2</v>
      </c>
      <c r="AA8406">
        <v>0.95854110000000003</v>
      </c>
      <c r="AB8406">
        <v>15</v>
      </c>
      <c r="AC8406">
        <v>28.735199999999999</v>
      </c>
      <c r="AD8406">
        <v>-1.1228047496989999</v>
      </c>
      <c r="AE8406">
        <v>-1.32144999999999</v>
      </c>
      <c r="AF8406">
        <v>-8.1972468972106398</v>
      </c>
      <c r="AG8406">
        <v>-1.1228047496989999</v>
      </c>
      <c r="AH8406">
        <v>27.527213117312701</v>
      </c>
      <c r="AI8406">
        <v>92.238690191024403</v>
      </c>
      <c r="AJ8406">
        <v>106.582848605745</v>
      </c>
      <c r="AK8406">
        <v>28.743747306253098</v>
      </c>
      <c r="AL8406">
        <v>92.998606421290802</v>
      </c>
      <c r="AM8406">
        <v>102.553414549241</v>
      </c>
      <c r="AN8406">
        <v>1.00000005689367</v>
      </c>
    </row>
    <row r="8407" spans="1:40" x14ac:dyDescent="0.25">
      <c r="A8407" t="str">
        <f>"20190303154009953"</f>
        <v>20190303154009953</v>
      </c>
      <c r="B8407" t="str">
        <f>"1551598809946317"</f>
        <v>1551598809946317</v>
      </c>
      <c r="C8407" t="s">
        <v>40</v>
      </c>
      <c r="D8407">
        <v>4.7192850000000002</v>
      </c>
      <c r="E8407">
        <v>0.47291810000000001</v>
      </c>
      <c r="F8407" t="s">
        <v>86</v>
      </c>
      <c r="G8407">
        <v>-256.92439999999999</v>
      </c>
      <c r="H8407" s="1">
        <v>-2.4243950000000001E-6</v>
      </c>
      <c r="I8407">
        <v>-61.812269999999998</v>
      </c>
      <c r="J8407">
        <v>-286.33850000000001</v>
      </c>
      <c r="K8407">
        <v>1.122749</v>
      </c>
      <c r="L8407">
        <v>-60.524509999999999</v>
      </c>
      <c r="M8407">
        <v>0.94530619999999999</v>
      </c>
      <c r="N8407">
        <v>-9.1609220000000002E-3</v>
      </c>
      <c r="O8407">
        <v>-0.32605590000000001</v>
      </c>
      <c r="P8407">
        <v>0.99185999999999996</v>
      </c>
      <c r="Q8407">
        <v>-6.0150530000000001E-2</v>
      </c>
      <c r="R8407">
        <v>-0.1122302</v>
      </c>
      <c r="S8407">
        <v>3.0032649999999999</v>
      </c>
      <c r="T8407">
        <v>-0.1143566</v>
      </c>
      <c r="U8407">
        <v>-0.13339229999999899</v>
      </c>
      <c r="V8407">
        <v>-0.2170195</v>
      </c>
      <c r="W8407">
        <v>-5.2478289999999997E-2</v>
      </c>
      <c r="X8407">
        <v>0.97475560000000006</v>
      </c>
      <c r="Y8407">
        <v>-0.28342060000000002</v>
      </c>
      <c r="Z8407">
        <v>1.586682E-2</v>
      </c>
      <c r="AA8407">
        <v>0.95886450000000001</v>
      </c>
      <c r="AB8407">
        <v>15</v>
      </c>
      <c r="AC8407">
        <v>29.414100000000001</v>
      </c>
      <c r="AD8407">
        <v>-1.1227514243950001</v>
      </c>
      <c r="AE8407">
        <v>-1.28775999999999</v>
      </c>
      <c r="AF8407">
        <v>-8.3615046322452002</v>
      </c>
      <c r="AG8407">
        <v>-1.1227514243950001</v>
      </c>
      <c r="AH8407">
        <v>28.1854074321671</v>
      </c>
      <c r="AI8407">
        <v>92.187031139085306</v>
      </c>
      <c r="AJ8407">
        <v>106.523556835427</v>
      </c>
      <c r="AK8407">
        <v>29.420953801556099</v>
      </c>
      <c r="AL8407">
        <v>93.008166475160806</v>
      </c>
      <c r="AM8407">
        <v>102.551611290778</v>
      </c>
      <c r="AN8407">
        <v>0.99999995701646605</v>
      </c>
    </row>
    <row r="8408" spans="1:40" x14ac:dyDescent="0.25">
      <c r="A8408" t="str">
        <f>"20190303154009962"</f>
        <v>20190303154009962</v>
      </c>
      <c r="B8408" t="str">
        <f>"1551598809957053"</f>
        <v>1551598809957053</v>
      </c>
      <c r="C8408" t="s">
        <v>40</v>
      </c>
      <c r="D8408">
        <v>4.7389390000000002</v>
      </c>
      <c r="E8408">
        <v>0.47300249999999999</v>
      </c>
      <c r="F8408" t="s">
        <v>86</v>
      </c>
      <c r="G8408">
        <v>-256.31540000000001</v>
      </c>
      <c r="H8408" s="1">
        <v>-2.1556920000000002E-6</v>
      </c>
      <c r="I8408">
        <v>-61.778849999999998</v>
      </c>
      <c r="J8408">
        <v>-286.26760000000002</v>
      </c>
      <c r="K8408">
        <v>1.122708</v>
      </c>
      <c r="L8408">
        <v>-60.545409999999997</v>
      </c>
      <c r="M8408">
        <v>0.94631829999999995</v>
      </c>
      <c r="N8408">
        <v>-8.6659779999999995E-3</v>
      </c>
      <c r="O8408">
        <v>-0.32312010000000002</v>
      </c>
      <c r="P8408">
        <v>0.99221570000000003</v>
      </c>
      <c r="Q8408">
        <v>-5.9493049999999999E-2</v>
      </c>
      <c r="R8408">
        <v>-0.1094005</v>
      </c>
      <c r="S8408">
        <v>3.0036010000000002</v>
      </c>
      <c r="T8408">
        <v>-0.11232350000000001</v>
      </c>
      <c r="U8408">
        <v>-0.1254883</v>
      </c>
      <c r="V8408">
        <v>-0.2167829</v>
      </c>
      <c r="W8408">
        <v>-5.2316620000000001E-2</v>
      </c>
      <c r="X8408">
        <v>0.97481700000000004</v>
      </c>
      <c r="Y8408">
        <v>-0.28297949999999999</v>
      </c>
      <c r="Z8408">
        <v>1.5560020000000001E-2</v>
      </c>
      <c r="AA8408">
        <v>0.95899979999999996</v>
      </c>
      <c r="AB8408">
        <v>15</v>
      </c>
      <c r="AC8408">
        <v>29.952200000000001</v>
      </c>
      <c r="AD8408">
        <v>-1.1227101556919901</v>
      </c>
      <c r="AE8408">
        <v>-1.2334400000000001</v>
      </c>
      <c r="AF8408">
        <v>-8.4993291339719104</v>
      </c>
      <c r="AG8408">
        <v>-1.1227101556919901</v>
      </c>
      <c r="AH8408">
        <v>28.703682711388002</v>
      </c>
      <c r="AI8408">
        <v>92.147824815971305</v>
      </c>
      <c r="AJ8408">
        <v>106.494331146495</v>
      </c>
      <c r="AK8408">
        <v>29.956643253497401</v>
      </c>
      <c r="AL8408">
        <v>92.998890538093306</v>
      </c>
      <c r="AM8408">
        <v>102.537595379747</v>
      </c>
      <c r="AN8408">
        <v>1.0000000189748099</v>
      </c>
    </row>
    <row r="8409" spans="1:40" x14ac:dyDescent="0.25">
      <c r="A8409" t="str">
        <f>"20190303154009974"</f>
        <v>20190303154009974</v>
      </c>
      <c r="B8409" t="str">
        <f>"1551598809966813"</f>
        <v>1551598809966813</v>
      </c>
      <c r="C8409" t="s">
        <v>40</v>
      </c>
      <c r="D8409">
        <v>4.7295170000000004</v>
      </c>
      <c r="E8409">
        <v>0.4731322</v>
      </c>
      <c r="F8409" t="s">
        <v>86</v>
      </c>
      <c r="G8409">
        <v>-255.72669999999999</v>
      </c>
      <c r="H8409" s="1">
        <v>-1.894638E-6</v>
      </c>
      <c r="I8409">
        <v>-61.740560000000002</v>
      </c>
      <c r="J8409">
        <v>-286.1952</v>
      </c>
      <c r="K8409">
        <v>1.1226750000000001</v>
      </c>
      <c r="L8409">
        <v>-60.566619999999901</v>
      </c>
      <c r="M8409">
        <v>0.9473376</v>
      </c>
      <c r="N8409">
        <v>-8.1733350000000003E-3</v>
      </c>
      <c r="O8409">
        <v>-0.32013209999999998</v>
      </c>
      <c r="P8409">
        <v>0.99260190000000004</v>
      </c>
      <c r="Q8409">
        <v>-5.870438E-2</v>
      </c>
      <c r="R8409">
        <v>-0.106278</v>
      </c>
      <c r="S8409">
        <v>3.0039669999999998</v>
      </c>
      <c r="T8409">
        <v>-0.1104285</v>
      </c>
      <c r="U8409">
        <v>-0.1175537</v>
      </c>
      <c r="V8409">
        <v>-0.21678529999999999</v>
      </c>
      <c r="W8409">
        <v>-5.202507E-2</v>
      </c>
      <c r="X8409">
        <v>0.97483209999999998</v>
      </c>
      <c r="Y8409">
        <v>-0.28249770000000002</v>
      </c>
      <c r="Z8409">
        <v>1.5272330000000001E-2</v>
      </c>
      <c r="AA8409">
        <v>0.95914639999999995</v>
      </c>
      <c r="AB8409">
        <v>15</v>
      </c>
      <c r="AC8409">
        <v>30.468499999999999</v>
      </c>
      <c r="AD8409">
        <v>-1.1226768946379999</v>
      </c>
      <c r="AE8409">
        <v>-1.17394</v>
      </c>
      <c r="AF8409">
        <v>-8.6304162703040301</v>
      </c>
      <c r="AG8409">
        <v>-1.1226768946379999</v>
      </c>
      <c r="AH8409">
        <v>29.201161834535</v>
      </c>
      <c r="AI8409">
        <v>92.111523502291305</v>
      </c>
      <c r="AJ8409">
        <v>106.465067993841</v>
      </c>
      <c r="AK8409">
        <v>30.470515927617399</v>
      </c>
      <c r="AL8409">
        <v>92.982163085360099</v>
      </c>
      <c r="AM8409">
        <v>102.53754172742499</v>
      </c>
      <c r="AN8409">
        <v>1.0000000486975</v>
      </c>
    </row>
    <row r="8410" spans="1:40" x14ac:dyDescent="0.25">
      <c r="A8410" t="str">
        <f>"20190303154009985"</f>
        <v>20190303154009985</v>
      </c>
      <c r="B8410" t="str">
        <f>"1551598809976574"</f>
        <v>1551598809976574</v>
      </c>
      <c r="C8410" t="s">
        <v>40</v>
      </c>
      <c r="D8410">
        <v>4.7428480000000004</v>
      </c>
      <c r="E8410">
        <v>0.47336279999999997</v>
      </c>
      <c r="F8410" t="s">
        <v>86</v>
      </c>
      <c r="G8410">
        <v>-254.57220000000001</v>
      </c>
      <c r="H8410" s="1">
        <v>-1.3938520000000001E-6</v>
      </c>
      <c r="I8410">
        <v>-61.71593</v>
      </c>
      <c r="J8410">
        <v>-286.12400000000002</v>
      </c>
      <c r="K8410">
        <v>1.1226529999999999</v>
      </c>
      <c r="L8410">
        <v>-60.587249999999997</v>
      </c>
      <c r="M8410">
        <v>0.94832300000000003</v>
      </c>
      <c r="N8410">
        <v>-7.7042389999999999E-3</v>
      </c>
      <c r="O8410">
        <v>-0.31721300000000002</v>
      </c>
      <c r="P8410">
        <v>0.99293350000000002</v>
      </c>
      <c r="Q8410">
        <v>-5.7991590000000003E-2</v>
      </c>
      <c r="R8410">
        <v>-0.1035377</v>
      </c>
      <c r="S8410">
        <v>3.0043950000000001</v>
      </c>
      <c r="T8410">
        <v>-0.1066616</v>
      </c>
      <c r="U8410">
        <v>-0.109191899999999</v>
      </c>
      <c r="V8410">
        <v>-0.21648300000000001</v>
      </c>
      <c r="W8410">
        <v>-5.1785369999999997E-2</v>
      </c>
      <c r="X8410">
        <v>0.974912</v>
      </c>
      <c r="Y8410">
        <v>-0.28223769999999998</v>
      </c>
      <c r="Z8410">
        <v>1.4705360000000001E-2</v>
      </c>
      <c r="AA8410">
        <v>0.95923179999999997</v>
      </c>
      <c r="AB8410">
        <v>15</v>
      </c>
      <c r="AC8410">
        <v>31.5518</v>
      </c>
      <c r="AD8410">
        <v>-1.1226543938519999</v>
      </c>
      <c r="AE8410">
        <v>-1.1286800000000099</v>
      </c>
      <c r="AF8410">
        <v>-8.9272656713961709</v>
      </c>
      <c r="AG8410">
        <v>-1.1226543938519999</v>
      </c>
      <c r="AH8410">
        <v>30.2419906157991</v>
      </c>
      <c r="AI8410">
        <v>92.039070547047402</v>
      </c>
      <c r="AJ8410">
        <v>106.446304222739</v>
      </c>
      <c r="AK8410">
        <v>31.552090606833101</v>
      </c>
      <c r="AL8410">
        <v>92.968410862340704</v>
      </c>
      <c r="AM8410">
        <v>102.51961641270999</v>
      </c>
      <c r="AN8410">
        <v>1.00000001078951</v>
      </c>
    </row>
    <row r="8411" spans="1:40" x14ac:dyDescent="0.25">
      <c r="A8411" t="str">
        <f>"20190303154009997"</f>
        <v>20190303154009997</v>
      </c>
      <c r="B8411" t="str">
        <f>"1551598809986333"</f>
        <v>1551598809986333</v>
      </c>
      <c r="C8411" t="s">
        <v>40</v>
      </c>
      <c r="D8411">
        <v>4.7359679999999997</v>
      </c>
      <c r="E8411">
        <v>0.47360570000000002</v>
      </c>
      <c r="F8411" t="s">
        <v>86</v>
      </c>
      <c r="G8411">
        <v>-253.726</v>
      </c>
      <c r="H8411" s="1">
        <v>-1.026193E-6</v>
      </c>
      <c r="I8411">
        <v>-61.69491</v>
      </c>
      <c r="J8411">
        <v>-286.05090000000001</v>
      </c>
      <c r="K8411">
        <v>1.1226419999999999</v>
      </c>
      <c r="L8411">
        <v>-60.608089999999997</v>
      </c>
      <c r="M8411">
        <v>0.94931370000000004</v>
      </c>
      <c r="N8411">
        <v>-7.2509509999999899E-3</v>
      </c>
      <c r="O8411">
        <v>-0.31424649999999998</v>
      </c>
      <c r="P8411">
        <v>0.9932938</v>
      </c>
      <c r="Q8411">
        <v>-5.7154549999999998E-2</v>
      </c>
      <c r="R8411">
        <v>-0.1005033</v>
      </c>
      <c r="S8411">
        <v>3.0045169999999999</v>
      </c>
      <c r="T8411">
        <v>-0.10411239999999999</v>
      </c>
      <c r="U8411">
        <v>-0.1027222</v>
      </c>
      <c r="V8411">
        <v>-0.21642539999999999</v>
      </c>
      <c r="W8411">
        <v>-5.1410539999999998E-2</v>
      </c>
      <c r="X8411">
        <v>0.97494460000000005</v>
      </c>
      <c r="Y8411">
        <v>-0.28131800000000001</v>
      </c>
      <c r="Z8411">
        <v>1.430855E-2</v>
      </c>
      <c r="AA8411">
        <v>0.95950789999999997</v>
      </c>
      <c r="AB8411">
        <v>15</v>
      </c>
      <c r="AC8411">
        <v>32.3249</v>
      </c>
      <c r="AD8411">
        <v>-1.1226430261929901</v>
      </c>
      <c r="AE8411">
        <v>-1.0868199999999899</v>
      </c>
      <c r="AF8411">
        <v>-9.1155113144930304</v>
      </c>
      <c r="AG8411">
        <v>-1.1226430261929901</v>
      </c>
      <c r="AH8411">
        <v>30.991477611191598</v>
      </c>
      <c r="AI8411">
        <v>91.990352413310404</v>
      </c>
      <c r="AJ8411">
        <v>106.390171341399</v>
      </c>
      <c r="AK8411">
        <v>32.323746045498801</v>
      </c>
      <c r="AL8411">
        <v>92.946906115052798</v>
      </c>
      <c r="AM8411">
        <v>102.515984947653</v>
      </c>
      <c r="AN8411">
        <v>0.99999998522870504</v>
      </c>
    </row>
    <row r="8412" spans="1:40" x14ac:dyDescent="0.25">
      <c r="A8412" t="str">
        <f>"20190303154010007"</f>
        <v>20190303154010007</v>
      </c>
      <c r="B8412" t="str">
        <f>"1551598809997069"</f>
        <v>1551598809997069</v>
      </c>
      <c r="C8412" t="s">
        <v>40</v>
      </c>
      <c r="D8412">
        <v>4.7710489999999997</v>
      </c>
      <c r="E8412">
        <v>0.47375099999999998</v>
      </c>
      <c r="F8412" t="s">
        <v>86</v>
      </c>
      <c r="G8412">
        <v>-252.70590000000001</v>
      </c>
      <c r="H8412" s="1">
        <v>-5.8259459999999898E-7</v>
      </c>
      <c r="I8412">
        <v>-61.668100000000003</v>
      </c>
      <c r="J8412">
        <v>-285.97739999999999</v>
      </c>
      <c r="K8412">
        <v>1.1226419999999999</v>
      </c>
      <c r="L8412">
        <v>-60.62894</v>
      </c>
      <c r="M8412">
        <v>0.950295</v>
      </c>
      <c r="N8412">
        <v>-6.8093119999999997E-3</v>
      </c>
      <c r="O8412">
        <v>-0.31127690000000002</v>
      </c>
      <c r="P8412">
        <v>0.9936218</v>
      </c>
      <c r="Q8412">
        <v>-5.6438790000000003E-2</v>
      </c>
      <c r="R8412">
        <v>-9.7623600000000005E-2</v>
      </c>
      <c r="S8412">
        <v>3.004791</v>
      </c>
      <c r="T8412">
        <v>-0.10116360000000001</v>
      </c>
      <c r="U8412">
        <v>-9.5520019999999997E-2</v>
      </c>
      <c r="V8412">
        <v>-0.21621119999999999</v>
      </c>
      <c r="W8412">
        <v>-5.1145599999999999E-2</v>
      </c>
      <c r="X8412">
        <v>0.97500600000000004</v>
      </c>
      <c r="Y8412">
        <v>-0.28063519999999997</v>
      </c>
      <c r="Z8412">
        <v>1.3857370000000001E-2</v>
      </c>
      <c r="AA8412">
        <v>0.95971450000000003</v>
      </c>
      <c r="AB8412">
        <v>15</v>
      </c>
      <c r="AC8412">
        <v>33.271499999999897</v>
      </c>
      <c r="AD8412">
        <v>-1.12264258259459</v>
      </c>
      <c r="AE8412">
        <v>-1.0391600000000001</v>
      </c>
      <c r="AF8412">
        <v>-9.35871217505243</v>
      </c>
      <c r="AG8412">
        <v>-1.12264258259459</v>
      </c>
      <c r="AH8412">
        <v>31.9056533146154</v>
      </c>
      <c r="AI8412">
        <v>91.933787642618199</v>
      </c>
      <c r="AJ8412">
        <v>106.347709449299</v>
      </c>
      <c r="AK8412">
        <v>33.2688523002547</v>
      </c>
      <c r="AL8412">
        <v>92.931706342880005</v>
      </c>
      <c r="AM8412">
        <v>102.50322476081099</v>
      </c>
      <c r="AN8412">
        <v>0.99999992772039703</v>
      </c>
    </row>
    <row r="8413" spans="1:40" x14ac:dyDescent="0.25">
      <c r="A8413" t="str">
        <f>"20190303154010018"</f>
        <v>20190303154010018</v>
      </c>
      <c r="B8413" t="str">
        <f>"1551598810006830"</f>
        <v>1551598810006830</v>
      </c>
      <c r="C8413" t="s">
        <v>40</v>
      </c>
      <c r="D8413">
        <v>4.76274</v>
      </c>
      <c r="E8413">
        <v>0.47393990000000003</v>
      </c>
      <c r="F8413" t="s">
        <v>86</v>
      </c>
      <c r="G8413">
        <v>-252.3485</v>
      </c>
      <c r="H8413" s="1">
        <v>-4.1686609999999898E-7</v>
      </c>
      <c r="I8413">
        <v>-61.612219999999901</v>
      </c>
      <c r="J8413">
        <v>-285.90660000000003</v>
      </c>
      <c r="K8413">
        <v>1.122649</v>
      </c>
      <c r="L8413">
        <v>-60.648679999999999</v>
      </c>
      <c r="M8413">
        <v>0.95121929999999999</v>
      </c>
      <c r="N8413">
        <v>-6.4261450000000003E-3</v>
      </c>
      <c r="O8413">
        <v>-0.30844870000000002</v>
      </c>
      <c r="P8413">
        <v>0.99394009999999999</v>
      </c>
      <c r="Q8413">
        <v>-5.5553060000000001E-2</v>
      </c>
      <c r="R8413">
        <v>-9.4853740000000006E-2</v>
      </c>
      <c r="S8413">
        <v>3.004883</v>
      </c>
      <c r="T8413">
        <v>-0.10031279999999999</v>
      </c>
      <c r="U8413">
        <v>-8.7860110000000005E-2</v>
      </c>
      <c r="V8413">
        <v>-0.21604139999999999</v>
      </c>
      <c r="W8413">
        <v>-5.0654329999999997E-2</v>
      </c>
      <c r="X8413">
        <v>0.97506930000000003</v>
      </c>
      <c r="Y8413">
        <v>-0.28022960000000002</v>
      </c>
      <c r="Z8413">
        <v>1.371958E-2</v>
      </c>
      <c r="AA8413">
        <v>0.95983490000000005</v>
      </c>
      <c r="AB8413">
        <v>15</v>
      </c>
      <c r="AC8413">
        <v>33.558100000000003</v>
      </c>
      <c r="AD8413">
        <v>-1.1226494168661001</v>
      </c>
      <c r="AE8413">
        <v>-0.96353999999998696</v>
      </c>
      <c r="AF8413">
        <v>-9.4240706428999808</v>
      </c>
      <c r="AG8413">
        <v>-1.1226494168661001</v>
      </c>
      <c r="AH8413">
        <v>32.182991095261201</v>
      </c>
      <c r="AI8413">
        <v>91.917404259056994</v>
      </c>
      <c r="AJ8413">
        <v>106.321491504256</v>
      </c>
      <c r="AK8413">
        <v>33.553216910353399</v>
      </c>
      <c r="AL8413">
        <v>92.903522062797606</v>
      </c>
      <c r="AM8413">
        <v>102.492928261702</v>
      </c>
      <c r="AN8413">
        <v>0.999999943732097</v>
      </c>
    </row>
    <row r="8414" spans="1:40" x14ac:dyDescent="0.25">
      <c r="A8414" t="str">
        <f>"20190303154010030"</f>
        <v>20190303154010030</v>
      </c>
      <c r="B8414" t="str">
        <f>"1551598810026349"</f>
        <v>1551598810026349</v>
      </c>
      <c r="C8414" t="s">
        <v>40</v>
      </c>
      <c r="D8414">
        <v>4.7758459999999996</v>
      </c>
      <c r="E8414">
        <v>0.47449219999999998</v>
      </c>
      <c r="F8414" t="s">
        <v>86</v>
      </c>
      <c r="G8414">
        <v>-251.58090000000001</v>
      </c>
      <c r="H8414" s="1">
        <v>-7.8840229999999997E-8</v>
      </c>
      <c r="I8414">
        <v>-61.573120000000003</v>
      </c>
      <c r="J8414">
        <v>-285.8306</v>
      </c>
      <c r="K8414">
        <v>1.12266</v>
      </c>
      <c r="L8414">
        <v>-60.669739999999997</v>
      </c>
      <c r="M8414">
        <v>0.9521984</v>
      </c>
      <c r="N8414">
        <v>-6.0246259999999999E-3</v>
      </c>
      <c r="O8414">
        <v>-0.30542129999999901</v>
      </c>
      <c r="P8414">
        <v>0.99425810000000003</v>
      </c>
      <c r="Q8414">
        <v>-5.5208720000000003E-2</v>
      </c>
      <c r="R8414">
        <v>-9.1667730000000003E-2</v>
      </c>
      <c r="S8414">
        <v>3.005096</v>
      </c>
      <c r="T8414">
        <v>-9.8284010000000005E-2</v>
      </c>
      <c r="U8414">
        <v>-8.0932619999999997E-2</v>
      </c>
      <c r="V8414">
        <v>-0.2160638</v>
      </c>
      <c r="W8414">
        <v>-5.072567E-2</v>
      </c>
      <c r="X8414">
        <v>0.9750607</v>
      </c>
      <c r="Y8414">
        <v>-0.27940029999999999</v>
      </c>
      <c r="Z8414">
        <v>1.339738E-2</v>
      </c>
      <c r="AA8414">
        <v>0.96008119999999997</v>
      </c>
      <c r="AB8414">
        <v>16</v>
      </c>
      <c r="AC8414">
        <v>34.249699999999898</v>
      </c>
      <c r="AD8414">
        <v>-1.1226600788402299</v>
      </c>
      <c r="AE8414">
        <v>-0.90337999999999097</v>
      </c>
      <c r="AF8414">
        <v>-9.5902668724262394</v>
      </c>
      <c r="AG8414">
        <v>-1.1226600788402299</v>
      </c>
      <c r="AH8414">
        <v>32.853738744106799</v>
      </c>
      <c r="AI8414">
        <v>91.878769393730806</v>
      </c>
      <c r="AJ8414">
        <v>106.27294350507201</v>
      </c>
      <c r="AK8414">
        <v>34.243272825520101</v>
      </c>
      <c r="AL8414">
        <v>92.907614601006102</v>
      </c>
      <c r="AM8414">
        <v>102.494289641601</v>
      </c>
      <c r="AN8414">
        <v>1.00000001397593</v>
      </c>
    </row>
    <row r="8415" spans="1:40" x14ac:dyDescent="0.25">
      <c r="A8415" t="str">
        <f>"20190303154010040"</f>
        <v>20190303154010040</v>
      </c>
      <c r="B8415" t="str">
        <f>"1551598810037085"</f>
        <v>1551598810037085</v>
      </c>
      <c r="C8415" t="s">
        <v>40</v>
      </c>
      <c r="D8415">
        <v>4.7804640000000003</v>
      </c>
      <c r="E8415">
        <v>0.47474690000000003</v>
      </c>
      <c r="F8415" t="s">
        <v>86</v>
      </c>
      <c r="G8415">
        <v>-250.5797</v>
      </c>
      <c r="H8415" s="1">
        <v>3.5405179999999999E-7</v>
      </c>
      <c r="I8415">
        <v>-61.557920000000003</v>
      </c>
      <c r="J8415">
        <v>-285.75389999999999</v>
      </c>
      <c r="K8415">
        <v>1.122676</v>
      </c>
      <c r="L8415">
        <v>-60.690489999999997</v>
      </c>
      <c r="M8415">
        <v>0.95316440000000002</v>
      </c>
      <c r="N8415">
        <v>-5.6726800000000003E-3</v>
      </c>
      <c r="O8415">
        <v>-0.30239919999999998</v>
      </c>
      <c r="P8415">
        <v>0.99456199999999995</v>
      </c>
      <c r="Q8415">
        <v>-5.4717250000000002E-2</v>
      </c>
      <c r="R8415">
        <v>-8.8613990000000004E-2</v>
      </c>
      <c r="S8415">
        <v>3.0050050000000001</v>
      </c>
      <c r="T8415">
        <v>-9.5702410000000002E-2</v>
      </c>
      <c r="U8415">
        <v>-7.5714110000000001E-2</v>
      </c>
      <c r="V8415">
        <v>-0.21596850000000001</v>
      </c>
      <c r="W8415">
        <v>-5.05998E-2</v>
      </c>
      <c r="X8415">
        <v>0.97508839999999997</v>
      </c>
      <c r="Y8415">
        <v>-0.27803480000000003</v>
      </c>
      <c r="Z8415">
        <v>1.297973E-2</v>
      </c>
      <c r="AA8415">
        <v>0.96048330000000004</v>
      </c>
      <c r="AB8415">
        <v>16</v>
      </c>
      <c r="AC8415">
        <v>35.1741999999999</v>
      </c>
      <c r="AD8415">
        <v>-1.1226756459481999</v>
      </c>
      <c r="AE8415">
        <v>-0.86742999999999104</v>
      </c>
      <c r="AF8415">
        <v>-9.8000276869107594</v>
      </c>
      <c r="AG8415">
        <v>-1.1226756459481999</v>
      </c>
      <c r="AH8415">
        <v>33.755285231222899</v>
      </c>
      <c r="AI8415">
        <v>91.829426638242794</v>
      </c>
      <c r="AJ8415">
        <v>106.18937245682</v>
      </c>
      <c r="AK8415">
        <v>35.167033203149799</v>
      </c>
      <c r="AL8415">
        <v>92.900393373720604</v>
      </c>
      <c r="AM8415">
        <v>102.488608033538</v>
      </c>
      <c r="AN8415">
        <v>1.00000006028342</v>
      </c>
    </row>
    <row r="8416" spans="1:40" x14ac:dyDescent="0.25">
      <c r="A8416" t="str">
        <f>"20190303154010052"</f>
        <v>20190303154010052</v>
      </c>
      <c r="B8416" t="str">
        <f>"1551598810046846"</f>
        <v>1551598810046846</v>
      </c>
      <c r="C8416" t="s">
        <v>40</v>
      </c>
      <c r="D8416">
        <v>4.7638959999999999</v>
      </c>
      <c r="E8416">
        <v>0.4749332</v>
      </c>
      <c r="F8416" t="s">
        <v>87</v>
      </c>
      <c r="G8416">
        <v>-249.79259999999999</v>
      </c>
      <c r="H8416" s="1">
        <v>-3.4064999999999999E-6</v>
      </c>
      <c r="I8416">
        <v>-61.511009999999999</v>
      </c>
      <c r="J8416">
        <v>-285.67349999999999</v>
      </c>
      <c r="K8416">
        <v>1.1226989999999999</v>
      </c>
      <c r="L8416">
        <v>-60.71219</v>
      </c>
      <c r="M8416">
        <v>0.95416639999999997</v>
      </c>
      <c r="N8416">
        <v>-5.3187499999999997E-3</v>
      </c>
      <c r="O8416">
        <v>-0.29923</v>
      </c>
      <c r="P8416">
        <v>0.99486739999999996</v>
      </c>
      <c r="Q8416">
        <v>-5.4429859999999997E-2</v>
      </c>
      <c r="R8416">
        <v>-8.5301909999999995E-2</v>
      </c>
      <c r="S8416">
        <v>3.0051570000000001</v>
      </c>
      <c r="T8416">
        <v>-9.3818310000000002E-2</v>
      </c>
      <c r="U8416">
        <v>-6.8572999999999995E-2</v>
      </c>
      <c r="V8416">
        <v>-0.2159732</v>
      </c>
      <c r="W8416">
        <v>-5.0680879999999998E-2</v>
      </c>
      <c r="X8416">
        <v>0.97508309999999998</v>
      </c>
      <c r="Y8416">
        <v>-0.27713529999999997</v>
      </c>
      <c r="Z8416">
        <v>1.2671379999999999E-2</v>
      </c>
      <c r="AA8416">
        <v>0.96074740000000003</v>
      </c>
      <c r="AB8416">
        <v>16</v>
      </c>
      <c r="AC8416">
        <v>35.880899999999997</v>
      </c>
      <c r="AD8416">
        <v>-1.1227024065</v>
      </c>
      <c r="AE8416">
        <v>-0.79881999999999898</v>
      </c>
      <c r="AF8416">
        <v>-9.9648224144514099</v>
      </c>
      <c r="AG8416">
        <v>-1.1227024065</v>
      </c>
      <c r="AH8416">
        <v>34.4421571123356</v>
      </c>
      <c r="AI8416">
        <v>91.793491215597996</v>
      </c>
      <c r="AJ8416">
        <v>106.136240687442</v>
      </c>
      <c r="AK8416">
        <v>35.872278056961001</v>
      </c>
      <c r="AL8416">
        <v>92.905045019915704</v>
      </c>
      <c r="AM8416">
        <v>102.48893704159499</v>
      </c>
      <c r="AN8416">
        <v>1.0000000133107101</v>
      </c>
    </row>
    <row r="8417" spans="1:40" x14ac:dyDescent="0.25">
      <c r="A8417" t="str">
        <f>"20190303154010064"</f>
        <v>20190303154010064</v>
      </c>
      <c r="B8417" t="str">
        <f>"1551598810056605"</f>
        <v>1551598810056605</v>
      </c>
      <c r="C8417" t="s">
        <v>40</v>
      </c>
      <c r="D8417">
        <v>4.7710790000000003</v>
      </c>
      <c r="E8417">
        <v>0.47519699999999998</v>
      </c>
      <c r="F8417" t="s">
        <v>87</v>
      </c>
      <c r="G8417">
        <v>-249.3441</v>
      </c>
      <c r="H8417" s="1">
        <v>-3.2408329999999998E-6</v>
      </c>
      <c r="I8417">
        <v>-61.437429999999999</v>
      </c>
      <c r="J8417">
        <v>-285.59230000000002</v>
      </c>
      <c r="K8417">
        <v>1.1227229999999999</v>
      </c>
      <c r="L8417">
        <v>-60.733699999999999</v>
      </c>
      <c r="M8417">
        <v>0.95516199999999996</v>
      </c>
      <c r="N8417">
        <v>-4.9983199999999997E-3</v>
      </c>
      <c r="O8417">
        <v>-0.29604150000000001</v>
      </c>
      <c r="P8417">
        <v>0.99516020000000005</v>
      </c>
      <c r="Q8417">
        <v>-5.4147569999999999E-2</v>
      </c>
      <c r="R8417">
        <v>-8.2002889999999995E-2</v>
      </c>
      <c r="S8417">
        <v>3.0052189999999999</v>
      </c>
      <c r="T8417">
        <v>-9.2871670000000003E-2</v>
      </c>
      <c r="U8417">
        <v>-5.9997559999999998E-2</v>
      </c>
      <c r="V8417">
        <v>-0.215948</v>
      </c>
      <c r="W8417">
        <v>-5.0732289999999999E-2</v>
      </c>
      <c r="X8417">
        <v>0.97508600000000001</v>
      </c>
      <c r="Y8417">
        <v>-0.27667199999999997</v>
      </c>
      <c r="Z8417">
        <v>1.2502009999999999E-2</v>
      </c>
      <c r="AA8417">
        <v>0.96088309999999999</v>
      </c>
      <c r="AB8417">
        <v>16</v>
      </c>
      <c r="AC8417">
        <v>36.248199999999997</v>
      </c>
      <c r="AD8417">
        <v>-1.1227262408330001</v>
      </c>
      <c r="AE8417">
        <v>-0.70373000000000696</v>
      </c>
      <c r="AF8417">
        <v>-10.0492839042273</v>
      </c>
      <c r="AG8417">
        <v>-1.1227262408330001</v>
      </c>
      <c r="AH8417">
        <v>34.7983006129259</v>
      </c>
      <c r="AI8417">
        <v>91.775437859498695</v>
      </c>
      <c r="AJ8417">
        <v>106.108010301249</v>
      </c>
      <c r="AK8417">
        <v>36.237692348536399</v>
      </c>
      <c r="AL8417">
        <v>92.907994412215402</v>
      </c>
      <c r="AM8417">
        <v>102.487489557</v>
      </c>
      <c r="AN8417">
        <v>1.0000000056743199</v>
      </c>
    </row>
    <row r="8418" spans="1:40" x14ac:dyDescent="0.25">
      <c r="A8418" t="str">
        <f>"20190303154010076"</f>
        <v>20190303154010076</v>
      </c>
      <c r="B8418" t="str">
        <f>"1551598810066365"</f>
        <v>1551598810066365</v>
      </c>
      <c r="C8418" t="s">
        <v>40</v>
      </c>
      <c r="D8418">
        <v>4.7793760000000001</v>
      </c>
      <c r="E8418">
        <v>0.47539130000000002</v>
      </c>
      <c r="F8418" t="s">
        <v>87</v>
      </c>
      <c r="G8418">
        <v>-248.9417</v>
      </c>
      <c r="H8418" s="1">
        <v>-3.0854530000000001E-6</v>
      </c>
      <c r="I8418">
        <v>-61.369689999999999</v>
      </c>
      <c r="J8418">
        <v>-285.52</v>
      </c>
      <c r="K8418">
        <v>1.122741</v>
      </c>
      <c r="L8418">
        <v>-60.752619999999901</v>
      </c>
      <c r="M8418">
        <v>0.9560398</v>
      </c>
      <c r="N8418">
        <v>-4.734818E-3</v>
      </c>
      <c r="O8418">
        <v>-0.29319909999999999</v>
      </c>
      <c r="P8418">
        <v>0.99539739999999999</v>
      </c>
      <c r="Q8418">
        <v>-5.4188239999999999E-2</v>
      </c>
      <c r="R8418">
        <v>-7.9043600000000006E-2</v>
      </c>
      <c r="S8418">
        <v>3.00528</v>
      </c>
      <c r="T8418">
        <v>-9.2061400000000002E-2</v>
      </c>
      <c r="U8418">
        <v>-5.2154539999999999E-2</v>
      </c>
      <c r="V8418">
        <v>-0.21593989999999999</v>
      </c>
      <c r="W8418">
        <v>-5.104728E-2</v>
      </c>
      <c r="X8418">
        <v>0.97507140000000003</v>
      </c>
      <c r="Y8418">
        <v>-0.27632509999999999</v>
      </c>
      <c r="Z8418">
        <v>1.2353370000000001E-2</v>
      </c>
      <c r="AA8418">
        <v>0.96098479999999997</v>
      </c>
      <c r="AB8418">
        <v>16</v>
      </c>
      <c r="AC8418">
        <v>36.578299999999899</v>
      </c>
      <c r="AD8418">
        <v>-1.122744085453</v>
      </c>
      <c r="AE8418">
        <v>-0.617070000000012</v>
      </c>
      <c r="AF8418">
        <v>-10.1253568309301</v>
      </c>
      <c r="AG8418">
        <v>-1.122744085453</v>
      </c>
      <c r="AH8418">
        <v>35.118547864699302</v>
      </c>
      <c r="AI8418">
        <v>91.759504601659302</v>
      </c>
      <c r="AJ8418">
        <v>106.083294992425</v>
      </c>
      <c r="AK8418">
        <v>36.566320697607203</v>
      </c>
      <c r="AL8418">
        <v>92.926065294571998</v>
      </c>
      <c r="AM8418">
        <v>102.487216962191</v>
      </c>
      <c r="AN8418">
        <v>1.00000005015268</v>
      </c>
    </row>
    <row r="8419" spans="1:40" x14ac:dyDescent="0.25">
      <c r="A8419" t="str">
        <f>"20190303154010087"</f>
        <v>20190303154010087</v>
      </c>
      <c r="B8419" t="str">
        <f>"1551598810077101"</f>
        <v>1551598810077101</v>
      </c>
      <c r="C8419" t="s">
        <v>40</v>
      </c>
      <c r="D8419">
        <v>4.7489239999999997</v>
      </c>
      <c r="E8419">
        <v>0.47560980000000003</v>
      </c>
      <c r="F8419" t="s">
        <v>87</v>
      </c>
      <c r="G8419">
        <v>-248.77180000000001</v>
      </c>
      <c r="H8419" s="1">
        <v>-2.993945E-6</v>
      </c>
      <c r="I8419">
        <v>-61.299610000000001</v>
      </c>
      <c r="J8419">
        <v>-285.43169999999998</v>
      </c>
      <c r="K8419">
        <v>1.1227670000000001</v>
      </c>
      <c r="L8419">
        <v>-60.775449999999999</v>
      </c>
      <c r="M8419">
        <v>0.95709940000000004</v>
      </c>
      <c r="N8419">
        <v>-4.4345890000000001E-3</v>
      </c>
      <c r="O8419">
        <v>-0.28972629999999999</v>
      </c>
      <c r="P8419">
        <v>0.99564209999999997</v>
      </c>
      <c r="Q8419">
        <v>-5.4483499999999997E-2</v>
      </c>
      <c r="R8419">
        <v>-7.568859E-2</v>
      </c>
      <c r="S8419">
        <v>3.0053100000000001</v>
      </c>
      <c r="T8419">
        <v>-9.1819520000000002E-2</v>
      </c>
      <c r="U8419">
        <v>-4.4738769999999997E-2</v>
      </c>
      <c r="V8419">
        <v>-0.21567230000000001</v>
      </c>
      <c r="W8419">
        <v>-5.1652780000000002E-2</v>
      </c>
      <c r="X8419">
        <v>0.97509869999999998</v>
      </c>
      <c r="Y8419">
        <v>-0.27520840000000002</v>
      </c>
      <c r="Z8419">
        <v>1.2261620000000001E-2</v>
      </c>
      <c r="AA8419">
        <v>0.96130640000000001</v>
      </c>
      <c r="AB8419">
        <v>16</v>
      </c>
      <c r="AC8419">
        <v>36.659899999999901</v>
      </c>
      <c r="AD8419">
        <v>-1.122769993945</v>
      </c>
      <c r="AE8419">
        <v>-0.52415999999999396</v>
      </c>
      <c r="AF8419">
        <v>-10.110280752466601</v>
      </c>
      <c r="AG8419">
        <v>-1.122769993945</v>
      </c>
      <c r="AH8419">
        <v>35.206356699909101</v>
      </c>
      <c r="AI8419">
        <v>91.755694294351699</v>
      </c>
      <c r="AJ8419">
        <v>106.02258487895099</v>
      </c>
      <c r="AK8419">
        <v>36.646499715992398</v>
      </c>
      <c r="AL8419">
        <v>92.960803828643705</v>
      </c>
      <c r="AM8419">
        <v>102.47188863913701</v>
      </c>
      <c r="AN8419">
        <v>1.0000000127053501</v>
      </c>
    </row>
    <row r="8420" spans="1:40" x14ac:dyDescent="0.25">
      <c r="A8420" t="str">
        <f>"20190303154010100"</f>
        <v>20190303154010100</v>
      </c>
      <c r="B8420" t="str">
        <f>"1551598810086861"</f>
        <v>1551598810086861</v>
      </c>
      <c r="C8420" t="s">
        <v>40</v>
      </c>
      <c r="D8420">
        <v>4.7712089999999998</v>
      </c>
      <c r="E8420">
        <v>0.47560980000000003</v>
      </c>
      <c r="F8420" t="s">
        <v>87</v>
      </c>
      <c r="G8420">
        <v>-249.12260000000001</v>
      </c>
      <c r="H8420" s="1">
        <v>-3.121871E-6</v>
      </c>
      <c r="I8420">
        <v>-61.214889999999997</v>
      </c>
      <c r="J8420">
        <v>-285.34750000000003</v>
      </c>
      <c r="K8420">
        <v>1.122789</v>
      </c>
      <c r="L8420">
        <v>-60.796810000000001</v>
      </c>
      <c r="M8420">
        <v>0.95809880000000003</v>
      </c>
      <c r="N8420">
        <v>-4.1835489999999999E-3</v>
      </c>
      <c r="O8420">
        <v>-0.286408</v>
      </c>
      <c r="P8420">
        <v>0.99589090000000002</v>
      </c>
      <c r="Q8420">
        <v>-5.4412500000000003E-2</v>
      </c>
      <c r="R8420">
        <v>-7.2396230000000006E-2</v>
      </c>
      <c r="S8420">
        <v>3.0052490000000001</v>
      </c>
      <c r="T8420">
        <v>-9.292984E-2</v>
      </c>
      <c r="U8420">
        <v>-3.6376949999999998E-2</v>
      </c>
      <c r="V8420">
        <v>-0.21551310000000001</v>
      </c>
      <c r="W8420">
        <v>-5.1841539999999998E-2</v>
      </c>
      <c r="X8420">
        <v>0.97512390000000004</v>
      </c>
      <c r="Y8420">
        <v>-0.27454509999999899</v>
      </c>
      <c r="Z8420">
        <v>1.23623E-2</v>
      </c>
      <c r="AA8420">
        <v>0.96149470000000004</v>
      </c>
      <c r="AB8420">
        <v>16</v>
      </c>
      <c r="AC8420">
        <v>36.224899999999998</v>
      </c>
      <c r="AD8420">
        <v>-1.122792121871</v>
      </c>
      <c r="AE8420">
        <v>-0.418080000000003</v>
      </c>
      <c r="AF8420">
        <v>-9.9650526559371997</v>
      </c>
      <c r="AG8420">
        <v>-1.122792121871</v>
      </c>
      <c r="AH8420">
        <v>34.793651724951303</v>
      </c>
      <c r="AI8420">
        <v>91.776902401093494</v>
      </c>
      <c r="AJ8420">
        <v>105.98194218478601</v>
      </c>
      <c r="AK8420">
        <v>36.209959085060397</v>
      </c>
      <c r="AL8420">
        <v>92.971633434991404</v>
      </c>
      <c r="AM8420">
        <v>102.462658171939</v>
      </c>
      <c r="AN8420">
        <v>1.0000000309461901</v>
      </c>
    </row>
    <row r="8421" spans="1:40" x14ac:dyDescent="0.25">
      <c r="A8421" t="str">
        <f>"20190303154010114"</f>
        <v>20190303154010114</v>
      </c>
      <c r="B8421" t="str">
        <f>"1551598810106381"</f>
        <v>1551598810106381</v>
      </c>
      <c r="C8421" t="s">
        <v>40</v>
      </c>
      <c r="D8421">
        <v>4.775163</v>
      </c>
      <c r="E8421">
        <v>0.47620000000000001</v>
      </c>
      <c r="F8421" t="s">
        <v>87</v>
      </c>
      <c r="G8421">
        <v>-248.95089999999999</v>
      </c>
      <c r="H8421" s="1">
        <v>-3.0222040000000002E-6</v>
      </c>
      <c r="I8421">
        <v>-61.117179999999998</v>
      </c>
      <c r="J8421">
        <v>-285.2561</v>
      </c>
      <c r="K8421">
        <v>1.1228119999999999</v>
      </c>
      <c r="L8421">
        <v>-60.819789999999998</v>
      </c>
      <c r="M8421">
        <v>0.95917180000000002</v>
      </c>
      <c r="N8421">
        <v>-3.9263559999999998E-3</v>
      </c>
      <c r="O8421">
        <v>-0.28279710000000002</v>
      </c>
      <c r="P8421">
        <v>0.9961392</v>
      </c>
      <c r="Q8421">
        <v>-5.4245160000000001E-2</v>
      </c>
      <c r="R8421">
        <v>-6.9025489999999995E-2</v>
      </c>
      <c r="S8421">
        <v>3.0054319999999999</v>
      </c>
      <c r="T8421">
        <v>-9.2713950000000003E-2</v>
      </c>
      <c r="U8421">
        <v>-2.6458740000000001E-2</v>
      </c>
      <c r="V8421">
        <v>-0.2151381</v>
      </c>
      <c r="W8421">
        <v>-5.1938810000000002E-2</v>
      </c>
      <c r="X8421">
        <v>0.97520150000000005</v>
      </c>
      <c r="Y8421">
        <v>-0.27409820000000001</v>
      </c>
      <c r="Z8421">
        <v>1.227106E-2</v>
      </c>
      <c r="AA8421">
        <v>0.96162340000000002</v>
      </c>
      <c r="AB8421">
        <v>16</v>
      </c>
      <c r="AC8421">
        <v>36.305199999999999</v>
      </c>
      <c r="AD8421">
        <v>-1.1228150222040001</v>
      </c>
      <c r="AE8421">
        <v>-0.29738999999999999</v>
      </c>
      <c r="AF8421">
        <v>-9.9722956022679803</v>
      </c>
      <c r="AG8421">
        <v>-1.1228150222040001</v>
      </c>
      <c r="AH8421">
        <v>34.8739371714843</v>
      </c>
      <c r="AI8421">
        <v>91.773062114100398</v>
      </c>
      <c r="AJ8421">
        <v>105.958022930336</v>
      </c>
      <c r="AK8421">
        <v>36.289101490581601</v>
      </c>
      <c r="AL8421">
        <v>92.977214194404993</v>
      </c>
      <c r="AM8421">
        <v>102.440689383573</v>
      </c>
      <c r="AN8421">
        <v>1.00000000382903</v>
      </c>
    </row>
    <row r="8422" spans="1:40" x14ac:dyDescent="0.25">
      <c r="A8422" t="str">
        <f>"20190303154010124"</f>
        <v>20190303154010124</v>
      </c>
      <c r="B8422" t="str">
        <f>"1551598810117117"</f>
        <v>1551598810117117</v>
      </c>
      <c r="C8422" t="s">
        <v>40</v>
      </c>
      <c r="D8422">
        <v>4.7964719999999996</v>
      </c>
      <c r="E8422">
        <v>0.47635539999999998</v>
      </c>
      <c r="F8422" t="s">
        <v>87</v>
      </c>
      <c r="G8422">
        <v>-249.678</v>
      </c>
      <c r="H8422" s="1">
        <v>-3.2885989999999999E-6</v>
      </c>
      <c r="I8422">
        <v>-61.066139999999997</v>
      </c>
      <c r="J8422">
        <v>-285.16539999999998</v>
      </c>
      <c r="K8422">
        <v>1.1228370000000001</v>
      </c>
      <c r="L8422">
        <v>-60.84216</v>
      </c>
      <c r="M8422">
        <v>0.96022399999999997</v>
      </c>
      <c r="N8422">
        <v>-3.69995E-3</v>
      </c>
      <c r="O8422">
        <v>-0.27920660000000003</v>
      </c>
      <c r="P8422">
        <v>0.99636749999999996</v>
      </c>
      <c r="Q8422">
        <v>-5.4185990000000003E-2</v>
      </c>
      <c r="R8422">
        <v>-6.5693280000000007E-2</v>
      </c>
      <c r="S8422">
        <v>3.0050349999999999</v>
      </c>
      <c r="T8422">
        <v>-9.4836470000000006E-2</v>
      </c>
      <c r="U8422">
        <v>-2.081299E-2</v>
      </c>
      <c r="V8422">
        <v>-0.21474689999999999</v>
      </c>
      <c r="W8422">
        <v>-5.2113069999999997E-2</v>
      </c>
      <c r="X8422">
        <v>0.97527839999999999</v>
      </c>
      <c r="Y8422">
        <v>-0.27229490000000001</v>
      </c>
      <c r="Z8422">
        <v>1.2473649999999999E-2</v>
      </c>
      <c r="AA8422">
        <v>0.96213300000000002</v>
      </c>
      <c r="AB8422">
        <v>17</v>
      </c>
      <c r="AC8422">
        <v>35.487399999999901</v>
      </c>
      <c r="AD8422">
        <v>-1.1228402885989901</v>
      </c>
      <c r="AE8422">
        <v>-0.22398000000000401</v>
      </c>
      <c r="AF8422">
        <v>-9.6836168610666196</v>
      </c>
      <c r="AG8422">
        <v>-1.1228402885989901</v>
      </c>
      <c r="AH8422">
        <v>34.104479632777</v>
      </c>
      <c r="AI8422">
        <v>91.8140413674423</v>
      </c>
      <c r="AJ8422">
        <v>105.851351090126</v>
      </c>
      <c r="AK8422">
        <v>35.470392397718598</v>
      </c>
      <c r="AL8422">
        <v>92.9872121670426</v>
      </c>
      <c r="AM8422">
        <v>102.417821304526</v>
      </c>
      <c r="AN8422">
        <v>0.99999998031549697</v>
      </c>
    </row>
    <row r="8423" spans="1:40" x14ac:dyDescent="0.25">
      <c r="A8423" t="str">
        <f>"20190303154010135"</f>
        <v>20190303154010135</v>
      </c>
      <c r="B8423" t="str">
        <f>"1551598810126878"</f>
        <v>1551598810126878</v>
      </c>
      <c r="C8423" t="s">
        <v>40</v>
      </c>
      <c r="D8423">
        <v>4.7774109999999999</v>
      </c>
      <c r="E8423">
        <v>0.47654679999999999</v>
      </c>
      <c r="F8423" t="s">
        <v>86</v>
      </c>
      <c r="G8423">
        <v>-250.15459999999999</v>
      </c>
      <c r="H8423" s="1">
        <v>6.6461789999999998E-7</v>
      </c>
      <c r="I8423">
        <v>-60.981189999999998</v>
      </c>
      <c r="J8423">
        <v>-285.09019999999998</v>
      </c>
      <c r="K8423">
        <v>1.12286</v>
      </c>
      <c r="L8423">
        <v>-60.8604699999999</v>
      </c>
      <c r="M8423">
        <v>0.96108769999999999</v>
      </c>
      <c r="N8423">
        <v>-3.5293329999999999E-3</v>
      </c>
      <c r="O8423">
        <v>-0.2762211</v>
      </c>
      <c r="P8423">
        <v>0.99653069999999999</v>
      </c>
      <c r="Q8423">
        <v>-5.4200970000000001E-2</v>
      </c>
      <c r="R8423">
        <v>-6.3158069999999997E-2</v>
      </c>
      <c r="S8423">
        <v>3.0049130000000002</v>
      </c>
      <c r="T8423">
        <v>-9.637105E-2</v>
      </c>
      <c r="U8423">
        <v>-1.1932369999999999E-2</v>
      </c>
      <c r="V8423">
        <v>-0.21419270000000001</v>
      </c>
      <c r="W8423">
        <v>-5.2303219999999997E-2</v>
      </c>
      <c r="X8423">
        <v>0.97539010000000004</v>
      </c>
      <c r="Y8423">
        <v>-0.27213959999999998</v>
      </c>
      <c r="Z8423">
        <v>1.262603E-2</v>
      </c>
      <c r="AA8423">
        <v>0.962175</v>
      </c>
      <c r="AB8423">
        <v>17</v>
      </c>
      <c r="AC8423">
        <v>34.935599999999901</v>
      </c>
      <c r="AD8423">
        <v>-1.1228593353820999</v>
      </c>
      <c r="AE8423">
        <v>-0.120720000000012</v>
      </c>
      <c r="AF8423">
        <v>-9.5241475202759194</v>
      </c>
      <c r="AG8423">
        <v>-1.1228593353820999</v>
      </c>
      <c r="AH8423">
        <v>33.575044459840299</v>
      </c>
      <c r="AI8423">
        <v>91.842789817549999</v>
      </c>
      <c r="AJ8423">
        <v>105.83691370990201</v>
      </c>
      <c r="AK8423">
        <v>34.917815074189399</v>
      </c>
      <c r="AL8423">
        <v>92.998121798921602</v>
      </c>
      <c r="AM8423">
        <v>102.385390209452</v>
      </c>
      <c r="AN8423">
        <v>0.99999999336683398</v>
      </c>
    </row>
    <row r="8424" spans="1:40" x14ac:dyDescent="0.25">
      <c r="A8424" t="str">
        <f>"20190303154010147"</f>
        <v>20190303154010147</v>
      </c>
      <c r="B8424" t="str">
        <f>"1551598810136638"</f>
        <v>1551598810136638</v>
      </c>
      <c r="C8424" t="s">
        <v>40</v>
      </c>
      <c r="D8424">
        <v>4.7813660000000002</v>
      </c>
      <c r="E8424">
        <v>0.47679189999999999</v>
      </c>
      <c r="F8424" t="s">
        <v>86</v>
      </c>
      <c r="G8424">
        <v>-250.60830000000001</v>
      </c>
      <c r="H8424" s="1">
        <v>4.8220450000000003E-7</v>
      </c>
      <c r="I8424">
        <v>-60.926319999999997</v>
      </c>
      <c r="J8424">
        <v>-285.00560000000002</v>
      </c>
      <c r="K8424">
        <v>1.1228880000000001</v>
      </c>
      <c r="L8424">
        <v>-60.880830000000003</v>
      </c>
      <c r="M8424">
        <v>0.96204840000000003</v>
      </c>
      <c r="N8424">
        <v>-3.349618E-3</v>
      </c>
      <c r="O8424">
        <v>-0.27285809999999999</v>
      </c>
      <c r="P8424">
        <v>0.99672059999999996</v>
      </c>
      <c r="Q8424">
        <v>-5.3828000000000001E-2</v>
      </c>
      <c r="R8424">
        <v>-6.0420979999999999E-2</v>
      </c>
      <c r="S8424">
        <v>3.0047299999999999</v>
      </c>
      <c r="T8424">
        <v>-9.784532E-2</v>
      </c>
      <c r="U8424">
        <v>-5.7373049999999998E-3</v>
      </c>
      <c r="V8424">
        <v>-0.2134636</v>
      </c>
      <c r="W8424">
        <v>-5.2114500000000001E-2</v>
      </c>
      <c r="X8424">
        <v>0.97555999999999998</v>
      </c>
      <c r="Y8424">
        <v>-0.27075070000000001</v>
      </c>
      <c r="Z8424">
        <v>1.2734530000000001E-2</v>
      </c>
      <c r="AA8424">
        <v>0.96256520000000001</v>
      </c>
      <c r="AB8424">
        <v>17</v>
      </c>
      <c r="AC8424">
        <v>34.397300000000001</v>
      </c>
      <c r="AD8424">
        <v>-1.12288751779549</v>
      </c>
      <c r="AE8424">
        <v>-4.5489999999993799E-2</v>
      </c>
      <c r="AF8424">
        <v>-9.3319265177688404</v>
      </c>
      <c r="AG8424">
        <v>-1.12288751779549</v>
      </c>
      <c r="AH8424">
        <v>33.069226429702503</v>
      </c>
      <c r="AI8424">
        <v>91.871725650283196</v>
      </c>
      <c r="AJ8424">
        <v>105.758730662601</v>
      </c>
      <c r="AK8424">
        <v>34.3790556235856</v>
      </c>
      <c r="AL8424">
        <v>92.987294237501501</v>
      </c>
      <c r="AM8424">
        <v>102.342441775838</v>
      </c>
      <c r="AN8424">
        <v>0.99999997161760401</v>
      </c>
    </row>
    <row r="8425" spans="1:40" x14ac:dyDescent="0.25">
      <c r="A8425" t="str">
        <f>"20190303154010159"</f>
        <v>20190303154010159</v>
      </c>
      <c r="B8425" t="str">
        <f>"1551598810146398"</f>
        <v>1551598810146398</v>
      </c>
      <c r="C8425" t="s">
        <v>40</v>
      </c>
      <c r="D8425">
        <v>4.7739969999999996</v>
      </c>
      <c r="E8425">
        <v>0.47706280000000001</v>
      </c>
      <c r="F8425" t="s">
        <v>86</v>
      </c>
      <c r="G8425">
        <v>-250.34010000000001</v>
      </c>
      <c r="H8425" s="1">
        <v>6.0896049999999998E-7</v>
      </c>
      <c r="I8425">
        <v>-60.87379</v>
      </c>
      <c r="J8425">
        <v>-284.92259999999999</v>
      </c>
      <c r="K8425">
        <v>1.122916</v>
      </c>
      <c r="L8425">
        <v>-60.900390000000002</v>
      </c>
      <c r="M8425">
        <v>0.96297909999999998</v>
      </c>
      <c r="N8425">
        <v>-3.1963920000000002E-3</v>
      </c>
      <c r="O8425">
        <v>-0.26955709999999999</v>
      </c>
      <c r="P8425">
        <v>0.99688739999999998</v>
      </c>
      <c r="Q8425">
        <v>-5.3530679999999997E-2</v>
      </c>
      <c r="R8425">
        <v>-5.7880670000000002E-2</v>
      </c>
      <c r="S8425">
        <v>3.0046689999999998</v>
      </c>
      <c r="T8425">
        <v>-9.7327469999999999E-2</v>
      </c>
      <c r="U8425">
        <v>6.1035159999999996E-4</v>
      </c>
      <c r="V8425">
        <v>-0.21260499999999999</v>
      </c>
      <c r="W8425">
        <v>-5.1975250000000001E-2</v>
      </c>
      <c r="X8425">
        <v>0.97575489999999998</v>
      </c>
      <c r="Y8425">
        <v>-0.26948680000000003</v>
      </c>
      <c r="Z8425">
        <v>1.257172E-2</v>
      </c>
      <c r="AA8425">
        <v>0.96292199999999994</v>
      </c>
      <c r="AB8425">
        <v>17</v>
      </c>
      <c r="AC8425">
        <v>34.582499999999897</v>
      </c>
      <c r="AD8425">
        <v>-1.1229153910395</v>
      </c>
      <c r="AE8425">
        <v>2.66000000000019E-2</v>
      </c>
      <c r="AF8425">
        <v>-9.3377762352778593</v>
      </c>
      <c r="AG8425">
        <v>-1.1229153910395</v>
      </c>
      <c r="AH8425">
        <v>33.260157149629599</v>
      </c>
      <c r="AI8425">
        <v>91.861735253155203</v>
      </c>
      <c r="AJ8425">
        <v>105.68206588825601</v>
      </c>
      <c r="AK8425">
        <v>34.564332159230403</v>
      </c>
      <c r="AL8425">
        <v>92.979304981030396</v>
      </c>
      <c r="AM8425">
        <v>102.291929356721</v>
      </c>
      <c r="AN8425">
        <v>0.99999996875578501</v>
      </c>
    </row>
    <row r="8426" spans="1:40" x14ac:dyDescent="0.25">
      <c r="A8426" t="str">
        <f>"20190303154010169"</f>
        <v>20190303154010169</v>
      </c>
      <c r="B8426" t="str">
        <f>"1551598810166894"</f>
        <v>1551598810166894</v>
      </c>
      <c r="C8426" t="s">
        <v>40</v>
      </c>
      <c r="D8426">
        <v>4.7980710000000002</v>
      </c>
      <c r="E8426">
        <v>0.47758220000000001</v>
      </c>
      <c r="F8426" t="s">
        <v>86</v>
      </c>
      <c r="G8426">
        <v>-250.23939999999999</v>
      </c>
      <c r="H8426" s="1">
        <v>6.6204149999999995E-7</v>
      </c>
      <c r="I8426">
        <v>-60.8292199999999</v>
      </c>
      <c r="J8426">
        <v>-284.84359999999998</v>
      </c>
      <c r="K8426">
        <v>1.122941</v>
      </c>
      <c r="L8426">
        <v>-60.918909999999997</v>
      </c>
      <c r="M8426">
        <v>0.96385480000000001</v>
      </c>
      <c r="N8426">
        <v>-3.0551659999999998E-3</v>
      </c>
      <c r="O8426">
        <v>-0.266410799999999</v>
      </c>
      <c r="P8426">
        <v>0.99703039999999998</v>
      </c>
      <c r="Q8426">
        <v>-5.3170700000000001E-2</v>
      </c>
      <c r="R8426">
        <v>-5.5706810000000002E-2</v>
      </c>
      <c r="S8426">
        <v>3.0045169999999999</v>
      </c>
      <c r="T8426">
        <v>-9.7275379999999995E-2</v>
      </c>
      <c r="U8426">
        <v>6.1645509999999999E-3</v>
      </c>
      <c r="V8426">
        <v>-0.21154919999999999</v>
      </c>
      <c r="W8426">
        <v>-5.1759390000000002E-2</v>
      </c>
      <c r="X8426">
        <v>0.97599579999999997</v>
      </c>
      <c r="Y8426">
        <v>-0.26812360000000002</v>
      </c>
      <c r="Z8426">
        <v>1.2472199999999999E-2</v>
      </c>
      <c r="AA8426">
        <v>0.96330380000000004</v>
      </c>
      <c r="AB8426">
        <v>17</v>
      </c>
      <c r="AC8426">
        <v>34.604199999999899</v>
      </c>
      <c r="AD8426">
        <v>-1.1229403379584999</v>
      </c>
      <c r="AE8426">
        <v>8.9690000000004405E-2</v>
      </c>
      <c r="AF8426">
        <v>-9.29563474023354</v>
      </c>
      <c r="AG8426">
        <v>-1.1229403379584999</v>
      </c>
      <c r="AH8426">
        <v>33.294622160769798</v>
      </c>
      <c r="AI8426">
        <v>91.860601825772804</v>
      </c>
      <c r="AJ8426">
        <v>105.599376118699</v>
      </c>
      <c r="AK8426">
        <v>34.586148745630503</v>
      </c>
      <c r="AL8426">
        <v>92.966920499437194</v>
      </c>
      <c r="AM8426">
        <v>102.229801481395</v>
      </c>
      <c r="AN8426">
        <v>0.99999995004572395</v>
      </c>
    </row>
    <row r="8427" spans="1:40" x14ac:dyDescent="0.25">
      <c r="A8427" t="str">
        <f>"20190303154010179"</f>
        <v>20190303154010179</v>
      </c>
      <c r="B8427" t="str">
        <f>"1551598810166894"</f>
        <v>1551598810166894</v>
      </c>
      <c r="C8427" t="s">
        <v>40</v>
      </c>
      <c r="D8427">
        <v>4.7980710000000002</v>
      </c>
      <c r="E8427">
        <v>0.47758220000000001</v>
      </c>
      <c r="F8427" t="s">
        <v>86</v>
      </c>
      <c r="G8427">
        <v>-250.24199999999999</v>
      </c>
      <c r="H8427" s="1">
        <v>6.6304229999999997E-7</v>
      </c>
      <c r="I8427">
        <v>-60.819789999999998</v>
      </c>
      <c r="J8427">
        <v>-284.76679999999999</v>
      </c>
      <c r="K8427">
        <v>1.122973</v>
      </c>
      <c r="L8427">
        <v>-60.936459999999997</v>
      </c>
      <c r="M8427">
        <v>0.96469570000000004</v>
      </c>
      <c r="N8427">
        <v>-2.939948E-3</v>
      </c>
      <c r="O8427">
        <v>-0.263351</v>
      </c>
      <c r="P8427">
        <v>0.99716280000000002</v>
      </c>
      <c r="Q8427">
        <v>-5.2848649999999997E-2</v>
      </c>
      <c r="R8427">
        <v>-5.3605819999999998E-2</v>
      </c>
      <c r="S8427">
        <v>3.004181</v>
      </c>
      <c r="T8427">
        <v>-9.7495910000000005E-2</v>
      </c>
      <c r="U8427">
        <v>8.6059569999999991E-3</v>
      </c>
      <c r="V8427">
        <v>-0.21051110000000001</v>
      </c>
      <c r="W8427">
        <v>-5.155713E-2</v>
      </c>
      <c r="X8427">
        <v>0.97623099999999996</v>
      </c>
      <c r="Y8427">
        <v>-0.26584989999999997</v>
      </c>
      <c r="Z8427">
        <v>1.239109E-2</v>
      </c>
      <c r="AA8427">
        <v>0.96393479999999998</v>
      </c>
      <c r="AB8427">
        <v>17</v>
      </c>
      <c r="AC8427">
        <v>34.5247999999999</v>
      </c>
      <c r="AD8427">
        <v>-1.1229723369577</v>
      </c>
      <c r="AE8427">
        <v>0.116669999999992</v>
      </c>
      <c r="AF8427">
        <v>-9.1950025953064305</v>
      </c>
      <c r="AG8427">
        <v>-1.1229723369577</v>
      </c>
      <c r="AH8427">
        <v>33.240174748530997</v>
      </c>
      <c r="AI8427">
        <v>91.864935665423104</v>
      </c>
      <c r="AJ8427">
        <v>105.46267754806</v>
      </c>
      <c r="AK8427">
        <v>34.506787113698998</v>
      </c>
      <c r="AL8427">
        <v>92.955316174300194</v>
      </c>
      <c r="AM8427">
        <v>102.16873667186999</v>
      </c>
      <c r="AN8427">
        <v>1.0000000131190201</v>
      </c>
    </row>
    <row r="8428" spans="1:40" x14ac:dyDescent="0.25">
      <c r="A8428" t="str">
        <f>"20190303154010188"</f>
        <v>20190303154010188</v>
      </c>
      <c r="B8428" t="str">
        <f>"1551598810176654"</f>
        <v>1551598810176654</v>
      </c>
      <c r="C8428" t="s">
        <v>40</v>
      </c>
      <c r="D8428">
        <v>4.7703600000000002</v>
      </c>
      <c r="E8428">
        <v>0.4778908</v>
      </c>
      <c r="F8428" t="s">
        <v>87</v>
      </c>
      <c r="G8428">
        <v>-249.8135</v>
      </c>
      <c r="H8428" s="1">
        <v>-3.2809499999999999E-6</v>
      </c>
      <c r="I8428">
        <v>-60.763129999999997</v>
      </c>
      <c r="J8428">
        <v>-284.70299999999997</v>
      </c>
      <c r="K8428">
        <v>1.1229960000000001</v>
      </c>
      <c r="L8428">
        <v>-60.9510199999999</v>
      </c>
      <c r="M8428">
        <v>0.96538599999999997</v>
      </c>
      <c r="N8428">
        <v>-2.8441719999999998E-3</v>
      </c>
      <c r="O8428">
        <v>-0.26081019999999999</v>
      </c>
      <c r="P8428">
        <v>0.99725750000000002</v>
      </c>
      <c r="Q8428">
        <v>-5.2541930000000001E-2</v>
      </c>
      <c r="R8428">
        <v>-5.2124209999999997E-2</v>
      </c>
      <c r="S8428">
        <v>3.0042110000000002</v>
      </c>
      <c r="T8428">
        <v>-9.6519110000000005E-2</v>
      </c>
      <c r="U8428">
        <v>1.4892580000000001E-2</v>
      </c>
      <c r="V8428">
        <v>-0.2093942</v>
      </c>
      <c r="W8428">
        <v>-5.1347780000000003E-2</v>
      </c>
      <c r="X8428">
        <v>0.97648219999999997</v>
      </c>
      <c r="Y8428">
        <v>-0.2653354</v>
      </c>
      <c r="Z8428">
        <v>1.2195289999999999E-2</v>
      </c>
      <c r="AA8428">
        <v>0.96407909999999997</v>
      </c>
      <c r="AB8428">
        <v>17</v>
      </c>
      <c r="AC8428">
        <v>34.889499999999899</v>
      </c>
      <c r="AD8428">
        <v>-1.12299928094999</v>
      </c>
      <c r="AE8428">
        <v>0.18788999999998801</v>
      </c>
      <c r="AF8428">
        <v>-9.2713554969196892</v>
      </c>
      <c r="AG8428">
        <v>-1.12299928094999</v>
      </c>
      <c r="AH8428">
        <v>33.5981567877242</v>
      </c>
      <c r="AI8428">
        <v>91.845442601617506</v>
      </c>
      <c r="AJ8428">
        <v>105.42675447381301</v>
      </c>
      <c r="AK8428">
        <v>34.871984452677403</v>
      </c>
      <c r="AL8428">
        <v>92.943305414409494</v>
      </c>
      <c r="AM8428">
        <v>102.103060375597</v>
      </c>
      <c r="AN8428">
        <v>1.0000000062107</v>
      </c>
    </row>
    <row r="8429" spans="1:40" x14ac:dyDescent="0.25">
      <c r="A8429" t="str">
        <f>"20190303154010198"</f>
        <v>20190303154010198</v>
      </c>
      <c r="B8429" t="str">
        <f>"1551598810186413"</f>
        <v>1551598810186413</v>
      </c>
      <c r="C8429" t="s">
        <v>40</v>
      </c>
      <c r="D8429">
        <v>4.7953510000000001</v>
      </c>
      <c r="E8429">
        <v>0.47815629999999998</v>
      </c>
      <c r="F8429" t="s">
        <v>87</v>
      </c>
      <c r="G8429">
        <v>-249.63659999999999</v>
      </c>
      <c r="H8429" s="1">
        <v>-3.218929E-6</v>
      </c>
      <c r="I8429">
        <v>-60.752879999999998</v>
      </c>
      <c r="J8429">
        <v>-284.63319999999999</v>
      </c>
      <c r="K8429">
        <v>1.1230230000000001</v>
      </c>
      <c r="L8429">
        <v>-60.96658</v>
      </c>
      <c r="M8429">
        <v>0.96613289999999996</v>
      </c>
      <c r="N8429">
        <v>-2.7550809999999999E-3</v>
      </c>
      <c r="O8429">
        <v>-0.25803029999999999</v>
      </c>
      <c r="P8429">
        <v>0.99735240000000003</v>
      </c>
      <c r="Q8429">
        <v>-5.2354449999999997E-2</v>
      </c>
      <c r="R8429">
        <v>-5.0472360000000001E-2</v>
      </c>
      <c r="S8429">
        <v>3.0040279999999999</v>
      </c>
      <c r="T8429">
        <v>-9.6203800000000006E-2</v>
      </c>
      <c r="U8429">
        <v>1.696777E-2</v>
      </c>
      <c r="V8429">
        <v>-0.2082002</v>
      </c>
      <c r="W8429">
        <v>-5.1252909999999999E-2</v>
      </c>
      <c r="X8429">
        <v>0.97674240000000001</v>
      </c>
      <c r="Y8429">
        <v>-0.26322950000000001</v>
      </c>
      <c r="Z8429">
        <v>1.20514E-2</v>
      </c>
      <c r="AA8429">
        <v>0.96465800000000002</v>
      </c>
      <c r="AB8429">
        <v>17</v>
      </c>
      <c r="AC8429">
        <v>34.996600000000001</v>
      </c>
      <c r="AD8429">
        <v>-1.1230262189289999</v>
      </c>
      <c r="AE8429">
        <v>0.213700000000002</v>
      </c>
      <c r="AF8429">
        <v>-9.2271795698604393</v>
      </c>
      <c r="AG8429">
        <v>-1.1230262189289999</v>
      </c>
      <c r="AH8429">
        <v>33.721630317391302</v>
      </c>
      <c r="AI8429">
        <v>91.839823817903707</v>
      </c>
      <c r="AJ8429">
        <v>105.303138476746</v>
      </c>
      <c r="AK8429">
        <v>34.979285040801699</v>
      </c>
      <c r="AL8429">
        <v>92.9378627623733</v>
      </c>
      <c r="AM8429">
        <v>102.03295184327401</v>
      </c>
      <c r="AN8429">
        <v>0.99999995001063202</v>
      </c>
    </row>
    <row r="8430" spans="1:40" x14ac:dyDescent="0.25">
      <c r="A8430" t="str">
        <f>"20190303154010207"</f>
        <v>20190303154010207</v>
      </c>
      <c r="B8430" t="str">
        <f>"1551598810197150"</f>
        <v>1551598810197150</v>
      </c>
      <c r="C8430" t="s">
        <v>40</v>
      </c>
      <c r="D8430">
        <v>4.7893610000000004</v>
      </c>
      <c r="E8430">
        <v>0.47841850000000002</v>
      </c>
      <c r="F8430" t="s">
        <v>87</v>
      </c>
      <c r="G8430">
        <v>-249.56610000000001</v>
      </c>
      <c r="H8430" s="1">
        <v>-3.1843670000000001E-6</v>
      </c>
      <c r="I8430">
        <v>-60.7346</v>
      </c>
      <c r="J8430">
        <v>-284.5523</v>
      </c>
      <c r="K8430">
        <v>1.1230579999999999</v>
      </c>
      <c r="L8430">
        <v>-60.984560000000002</v>
      </c>
      <c r="M8430">
        <v>0.96698790000000001</v>
      </c>
      <c r="N8430">
        <v>-2.6534449999999999E-3</v>
      </c>
      <c r="O8430">
        <v>-0.25480809999999998</v>
      </c>
      <c r="P8430">
        <v>0.99747739999999996</v>
      </c>
      <c r="Q8430">
        <v>-5.2120189999999997E-2</v>
      </c>
      <c r="R8430">
        <v>-4.81894E-2</v>
      </c>
      <c r="S8430">
        <v>3.0039370000000001</v>
      </c>
      <c r="T8430">
        <v>-9.6201540000000002E-2</v>
      </c>
      <c r="U8430">
        <v>1.986694E-2</v>
      </c>
      <c r="V8430">
        <v>-0.2071791</v>
      </c>
      <c r="W8430">
        <v>-5.112734E-2</v>
      </c>
      <c r="X8430">
        <v>0.97696609999999995</v>
      </c>
      <c r="Y8430">
        <v>-0.26094620000000002</v>
      </c>
      <c r="Z8430">
        <v>1.193346E-2</v>
      </c>
      <c r="AA8430">
        <v>0.96527960000000002</v>
      </c>
      <c r="AB8430">
        <v>17</v>
      </c>
      <c r="AC8430">
        <v>34.986199999999997</v>
      </c>
      <c r="AD8430">
        <v>-1.123061184367</v>
      </c>
      <c r="AE8430">
        <v>0.24995999999999399</v>
      </c>
      <c r="AF8430">
        <v>-9.1470837248809502</v>
      </c>
      <c r="AG8430">
        <v>-1.123061184367</v>
      </c>
      <c r="AH8430">
        <v>33.732905156082403</v>
      </c>
      <c r="AI8430">
        <v>91.840416174909805</v>
      </c>
      <c r="AJ8430">
        <v>105.17161360427301</v>
      </c>
      <c r="AK8430">
        <v>34.969119196271798</v>
      </c>
      <c r="AL8430">
        <v>92.9306586200467</v>
      </c>
      <c r="AM8430">
        <v>101.972982124328</v>
      </c>
      <c r="AN8430">
        <v>0.99999997246074701</v>
      </c>
    </row>
    <row r="8431" spans="1:40" x14ac:dyDescent="0.25">
      <c r="A8431" t="str">
        <f>"20190303154010220"</f>
        <v>20190303154010220</v>
      </c>
      <c r="B8431" t="str">
        <f>"1551598810216670"</f>
        <v>1551598810216670</v>
      </c>
      <c r="C8431" t="s">
        <v>40</v>
      </c>
      <c r="D8431">
        <v>4.8137210000000001</v>
      </c>
      <c r="E8431">
        <v>0.47890110000000002</v>
      </c>
      <c r="F8431" t="s">
        <v>87</v>
      </c>
      <c r="G8431">
        <v>-249.52350000000001</v>
      </c>
      <c r="H8431" s="1">
        <v>-3.1558439999999999E-6</v>
      </c>
      <c r="I8431">
        <v>-60.696219999999997</v>
      </c>
      <c r="J8431">
        <v>-284.46469999999999</v>
      </c>
      <c r="K8431">
        <v>1.123092</v>
      </c>
      <c r="L8431">
        <v>-61.003480000000003</v>
      </c>
      <c r="M8431">
        <v>0.96789959999999997</v>
      </c>
      <c r="N8431">
        <v>-2.560695E-3</v>
      </c>
      <c r="O8431">
        <v>-0.25132450000000001</v>
      </c>
      <c r="P8431">
        <v>0.99761339999999998</v>
      </c>
      <c r="Q8431">
        <v>-5.1704239999999999E-2</v>
      </c>
      <c r="R8431">
        <v>-4.5765729999999998E-2</v>
      </c>
      <c r="S8431">
        <v>3.0037539999999998</v>
      </c>
      <c r="T8431">
        <v>-9.630358E-2</v>
      </c>
      <c r="U8431">
        <v>2.471924E-2</v>
      </c>
      <c r="V8431">
        <v>-0.2060382</v>
      </c>
      <c r="W8431">
        <v>-5.0812049999999997E-2</v>
      </c>
      <c r="X8431">
        <v>0.97722379999999998</v>
      </c>
      <c r="Y8431">
        <v>-0.25903089999999901</v>
      </c>
      <c r="Z8431">
        <v>1.1826430000000001E-2</v>
      </c>
      <c r="AA8431">
        <v>0.96579660000000001</v>
      </c>
      <c r="AB8431">
        <v>17</v>
      </c>
      <c r="AC8431">
        <v>34.941199999999903</v>
      </c>
      <c r="AD8431">
        <v>-1.1230951558440001</v>
      </c>
      <c r="AE8431">
        <v>0.30726000000000597</v>
      </c>
      <c r="AF8431">
        <v>-9.0696358794631298</v>
      </c>
      <c r="AG8431">
        <v>-1.1230951558440001</v>
      </c>
      <c r="AH8431">
        <v>33.707636960178398</v>
      </c>
      <c r="AI8431">
        <v>91.842821227747706</v>
      </c>
      <c r="AJ8431">
        <v>105.05977534951499</v>
      </c>
      <c r="AK8431">
        <v>34.924553356547101</v>
      </c>
      <c r="AL8431">
        <v>92.912570300634201</v>
      </c>
      <c r="AM8431">
        <v>101.905885711473</v>
      </c>
      <c r="AN8431">
        <v>0.99999997978544097</v>
      </c>
    </row>
    <row r="8432" spans="1:40" x14ac:dyDescent="0.25">
      <c r="A8432" t="str">
        <f>"20190303154010231"</f>
        <v>20190303154010231</v>
      </c>
      <c r="B8432" t="str">
        <f>"1551598810226429"</f>
        <v>1551598810226429</v>
      </c>
      <c r="C8432" t="s">
        <v>40</v>
      </c>
      <c r="D8432">
        <v>4.8248959999999999</v>
      </c>
      <c r="E8432">
        <v>0.47919</v>
      </c>
      <c r="F8432" t="s">
        <v>87</v>
      </c>
      <c r="G8432">
        <v>-249.50729999999999</v>
      </c>
      <c r="H8432" s="1">
        <v>-3.1431450000000002E-6</v>
      </c>
      <c r="I8432">
        <v>-60.674500000000002</v>
      </c>
      <c r="J8432">
        <v>-284.3818</v>
      </c>
      <c r="K8432">
        <v>1.1231249999999999</v>
      </c>
      <c r="L8432">
        <v>-61.021299999999997</v>
      </c>
      <c r="M8432">
        <v>0.96874899999999997</v>
      </c>
      <c r="N8432">
        <v>-2.476186E-3</v>
      </c>
      <c r="O8432">
        <v>-0.24803030000000001</v>
      </c>
      <c r="P8432">
        <v>0.99771560000000004</v>
      </c>
      <c r="Q8432">
        <v>-5.1437879999999998E-2</v>
      </c>
      <c r="R8432">
        <v>-4.3797419999999997E-2</v>
      </c>
      <c r="S8432">
        <v>3.0035099999999999</v>
      </c>
      <c r="T8432">
        <v>-9.6495629999999999E-2</v>
      </c>
      <c r="U8432">
        <v>2.8259280000000001E-2</v>
      </c>
      <c r="V8432">
        <v>-0.20464280000000001</v>
      </c>
      <c r="W8432">
        <v>-5.0634800000000001E-2</v>
      </c>
      <c r="X8432">
        <v>0.97752620000000001</v>
      </c>
      <c r="Y8432">
        <v>-0.25688480000000002</v>
      </c>
      <c r="Z8432">
        <v>1.1730310000000001E-2</v>
      </c>
      <c r="AA8432">
        <v>0.96637079999999997</v>
      </c>
      <c r="AB8432">
        <v>17</v>
      </c>
      <c r="AC8432">
        <v>34.874499999999998</v>
      </c>
      <c r="AD8432">
        <v>-1.123128143145</v>
      </c>
      <c r="AE8432">
        <v>0.346799999999994</v>
      </c>
      <c r="AF8432">
        <v>-8.9766141619815905</v>
      </c>
      <c r="AG8432">
        <v>-1.123128143145</v>
      </c>
      <c r="AH8432">
        <v>33.663815946243602</v>
      </c>
      <c r="AI8432">
        <v>91.846384985421594</v>
      </c>
      <c r="AJ8432">
        <v>104.930776134712</v>
      </c>
      <c r="AK8432">
        <v>34.858191615480798</v>
      </c>
      <c r="AL8432">
        <v>92.902401430978102</v>
      </c>
      <c r="AM8432">
        <v>101.823975509094</v>
      </c>
      <c r="AN8432">
        <v>1.00000001512465</v>
      </c>
    </row>
    <row r="8433" spans="1:40" x14ac:dyDescent="0.25">
      <c r="A8433" t="str">
        <f>"20190303154010242"</f>
        <v>20190303154010242</v>
      </c>
      <c r="B8433" t="str">
        <f>"1551598810237166"</f>
        <v>1551598810237166</v>
      </c>
      <c r="C8433" t="s">
        <v>40</v>
      </c>
      <c r="D8433">
        <v>4.8199290000000001</v>
      </c>
      <c r="E8433">
        <v>0.4794504</v>
      </c>
      <c r="F8433" t="s">
        <v>87</v>
      </c>
      <c r="G8433">
        <v>-249.3535</v>
      </c>
      <c r="H8433" s="1">
        <v>-3.0704479999999999E-6</v>
      </c>
      <c r="I8433">
        <v>-60.649279999999997</v>
      </c>
      <c r="J8433">
        <v>-284.29390000000001</v>
      </c>
      <c r="K8433">
        <v>1.1231500000000001</v>
      </c>
      <c r="L8433">
        <v>-61.039670000000001</v>
      </c>
      <c r="M8433">
        <v>0.96963390000000005</v>
      </c>
      <c r="N8433">
        <v>-2.399642E-3</v>
      </c>
      <c r="O8433">
        <v>-0.2445495</v>
      </c>
      <c r="P8433">
        <v>0.9978108</v>
      </c>
      <c r="Q8433">
        <v>-5.1282130000000002E-2</v>
      </c>
      <c r="R8433">
        <v>-4.1759490000000003E-2</v>
      </c>
      <c r="S8433">
        <v>3.0032960000000002</v>
      </c>
      <c r="T8433">
        <v>-9.6296190000000004E-2</v>
      </c>
      <c r="U8433">
        <v>3.1890870000000002E-2</v>
      </c>
      <c r="V8433">
        <v>-0.2031261</v>
      </c>
      <c r="W8433">
        <v>-5.0559519999999997E-2</v>
      </c>
      <c r="X8433">
        <v>0.9778464</v>
      </c>
      <c r="Y8433">
        <v>-0.25458579999999997</v>
      </c>
      <c r="Z8433">
        <v>1.157583E-2</v>
      </c>
      <c r="AA8433">
        <v>0.96698090000000003</v>
      </c>
      <c r="AB8433">
        <v>18</v>
      </c>
      <c r="AC8433">
        <v>34.940399999999997</v>
      </c>
      <c r="AD8433">
        <v>-1.1231530704479999</v>
      </c>
      <c r="AE8433">
        <v>0.39038999999998902</v>
      </c>
      <c r="AF8433">
        <v>-8.9140082961772809</v>
      </c>
      <c r="AG8433">
        <v>-1.1231530704479999</v>
      </c>
      <c r="AH8433">
        <v>33.7491536412738</v>
      </c>
      <c r="AI8433">
        <v>91.842914807193395</v>
      </c>
      <c r="AJ8433">
        <v>104.795393516695</v>
      </c>
      <c r="AK8433">
        <v>34.924581432370502</v>
      </c>
      <c r="AL8433">
        <v>92.898082630547194</v>
      </c>
      <c r="AM8433">
        <v>101.73504588789299</v>
      </c>
      <c r="AN8433">
        <v>1.0000000297784</v>
      </c>
    </row>
    <row r="8434" spans="1:40" x14ac:dyDescent="0.25">
      <c r="A8434" t="str">
        <f>"20190303154010253"</f>
        <v>20190303154010253</v>
      </c>
      <c r="B8434" t="str">
        <f>"1551598810246925"</f>
        <v>1551598810246925</v>
      </c>
      <c r="C8434" t="s">
        <v>40</v>
      </c>
      <c r="D8434">
        <v>4.8270569999999999</v>
      </c>
      <c r="E8434">
        <v>0.47971560000000002</v>
      </c>
      <c r="F8434" t="s">
        <v>87</v>
      </c>
      <c r="G8434">
        <v>-249.33439999999999</v>
      </c>
      <c r="H8434" s="1">
        <v>-3.0547359999999999E-6</v>
      </c>
      <c r="I8434">
        <v>-60.621119999999998</v>
      </c>
      <c r="J8434">
        <v>-284.20740000000001</v>
      </c>
      <c r="K8434">
        <v>1.1231799999999901</v>
      </c>
      <c r="L8434">
        <v>-61.057560000000002</v>
      </c>
      <c r="M8434">
        <v>0.97049079999999999</v>
      </c>
      <c r="N8434">
        <v>-2.3291520000000001E-3</v>
      </c>
      <c r="O8434">
        <v>-0.2411277</v>
      </c>
      <c r="P8434">
        <v>0.99788030000000005</v>
      </c>
      <c r="Q8434">
        <v>-5.1705679999999997E-2</v>
      </c>
      <c r="R8434">
        <v>-3.951735E-2</v>
      </c>
      <c r="S8434">
        <v>3.0031430000000001</v>
      </c>
      <c r="T8434">
        <v>-9.648263E-2</v>
      </c>
      <c r="U8434">
        <v>3.5949710000000003E-2</v>
      </c>
      <c r="V8434">
        <v>-0.2018605</v>
      </c>
      <c r="W8434">
        <v>-5.1058649999999997E-2</v>
      </c>
      <c r="X8434">
        <v>0.97808249999999997</v>
      </c>
      <c r="Y8434">
        <v>-0.25248280000000001</v>
      </c>
      <c r="Z8434">
        <v>1.147253E-2</v>
      </c>
      <c r="AA8434">
        <v>0.96753330000000004</v>
      </c>
      <c r="AB8434">
        <v>18</v>
      </c>
      <c r="AC8434">
        <v>34.872999999999998</v>
      </c>
      <c r="AD8434">
        <v>-1.12318305473599</v>
      </c>
      <c r="AE8434">
        <v>0.436439999999997</v>
      </c>
      <c r="AF8434">
        <v>-8.8232782076663199</v>
      </c>
      <c r="AG8434">
        <v>-1.12318305473599</v>
      </c>
      <c r="AH8434">
        <v>33.703815957678103</v>
      </c>
      <c r="AI8434">
        <v>91.846501538419105</v>
      </c>
      <c r="AJ8434">
        <v>104.67017003252801</v>
      </c>
      <c r="AK8434">
        <v>34.857696260845501</v>
      </c>
      <c r="AL8434">
        <v>92.926717709940803</v>
      </c>
      <c r="AM8434">
        <v>101.66120033124299</v>
      </c>
      <c r="AN8434">
        <v>1.00000001200316</v>
      </c>
    </row>
    <row r="8435" spans="1:40" x14ac:dyDescent="0.25">
      <c r="A8435" t="str">
        <f>"20190303154010264"</f>
        <v>20190303154010264</v>
      </c>
      <c r="B8435" t="str">
        <f>"1551598810256686"</f>
        <v>1551598810256686</v>
      </c>
      <c r="C8435" t="s">
        <v>40</v>
      </c>
      <c r="D8435">
        <v>4.82043</v>
      </c>
      <c r="E8435">
        <v>0.48000090000000001</v>
      </c>
      <c r="F8435" t="s">
        <v>87</v>
      </c>
      <c r="G8435">
        <v>-249.8691</v>
      </c>
      <c r="H8435" s="1">
        <v>-3.269768E-6</v>
      </c>
      <c r="I8435">
        <v>-60.593369999999901</v>
      </c>
      <c r="J8435">
        <v>-284.11989999999997</v>
      </c>
      <c r="K8435">
        <v>1.1232059999999999</v>
      </c>
      <c r="L8435">
        <v>-61.075319999999998</v>
      </c>
      <c r="M8435">
        <v>0.9713425</v>
      </c>
      <c r="N8435">
        <v>-2.2656709999999999E-3</v>
      </c>
      <c r="O8435">
        <v>-0.23767350000000001</v>
      </c>
      <c r="P8435">
        <v>0.99793779999999999</v>
      </c>
      <c r="Q8435">
        <v>-5.1935509999999997E-2</v>
      </c>
      <c r="R8435">
        <v>-3.7719500000000003E-2</v>
      </c>
      <c r="S8435">
        <v>3.0029300000000001</v>
      </c>
      <c r="T8435">
        <v>-9.8223920000000006E-2</v>
      </c>
      <c r="U8435">
        <v>4.058838E-2</v>
      </c>
      <c r="V8435">
        <v>-0.20013339999999999</v>
      </c>
      <c r="W8435">
        <v>-5.1352170000000003E-2</v>
      </c>
      <c r="X8435">
        <v>0.97842200000000001</v>
      </c>
      <c r="Y8435">
        <v>-0.25052859999999999</v>
      </c>
      <c r="Z8435">
        <v>1.1556240000000001E-2</v>
      </c>
      <c r="AA8435">
        <v>0.96804020000000002</v>
      </c>
      <c r="AB8435">
        <v>18</v>
      </c>
      <c r="AC8435">
        <v>34.250799999999899</v>
      </c>
      <c r="AD8435">
        <v>-1.1232092697679901</v>
      </c>
      <c r="AE8435">
        <v>0.48195000000000399</v>
      </c>
      <c r="AF8435">
        <v>-8.5994215927405104</v>
      </c>
      <c r="AG8435">
        <v>-1.1232092697679901</v>
      </c>
      <c r="AH8435">
        <v>33.119184624881903</v>
      </c>
      <c r="AI8435">
        <v>91.8800975939415</v>
      </c>
      <c r="AJ8435">
        <v>104.55547186778399</v>
      </c>
      <c r="AK8435">
        <v>34.235829784166199</v>
      </c>
      <c r="AL8435">
        <v>92.943557244482705</v>
      </c>
      <c r="AM8435">
        <v>101.560222259458</v>
      </c>
      <c r="AN8435">
        <v>1.0000000166216301</v>
      </c>
    </row>
    <row r="8436" spans="1:40" x14ac:dyDescent="0.25">
      <c r="A8436" t="str">
        <f>"20190303154010277"</f>
        <v>20190303154010277</v>
      </c>
      <c r="B8436" t="str">
        <f>"1551598810266445"</f>
        <v>1551598810266445</v>
      </c>
      <c r="C8436" t="s">
        <v>40</v>
      </c>
      <c r="D8436">
        <v>4.836373</v>
      </c>
      <c r="E8436">
        <v>0.48025129999999999</v>
      </c>
      <c r="F8436" t="s">
        <v>86</v>
      </c>
      <c r="G8436">
        <v>-250.12790000000001</v>
      </c>
      <c r="H8436" s="1">
        <v>7.6546869999999998E-7</v>
      </c>
      <c r="I8436">
        <v>-60.579210000000003</v>
      </c>
      <c r="J8436">
        <v>-284.02620000000002</v>
      </c>
      <c r="K8436">
        <v>1.1232329999999999</v>
      </c>
      <c r="L8436">
        <v>-61.09393</v>
      </c>
      <c r="M8436">
        <v>0.97223599999999999</v>
      </c>
      <c r="N8436">
        <v>-2.205828E-3</v>
      </c>
      <c r="O8436">
        <v>-0.23399210000000001</v>
      </c>
      <c r="P8436">
        <v>0.99800299999999997</v>
      </c>
      <c r="Q8436">
        <v>-5.2185019999999999E-2</v>
      </c>
      <c r="R8436">
        <v>-3.55971E-2</v>
      </c>
      <c r="S8436">
        <v>3.0026549999999999</v>
      </c>
      <c r="T8436">
        <v>-9.9217529999999998E-2</v>
      </c>
      <c r="U8436">
        <v>4.3823239999999999E-2</v>
      </c>
      <c r="V8436">
        <v>-0.19849800000000001</v>
      </c>
      <c r="W8436">
        <v>-5.166167E-2</v>
      </c>
      <c r="X8436">
        <v>0.97873880000000002</v>
      </c>
      <c r="Y8436">
        <v>-0.24790209999999999</v>
      </c>
      <c r="Z8436">
        <v>1.1526750000000001E-2</v>
      </c>
      <c r="AA8436">
        <v>0.96871649999999998</v>
      </c>
      <c r="AB8436">
        <v>18</v>
      </c>
      <c r="AC8436">
        <v>33.898299999999999</v>
      </c>
      <c r="AD8436">
        <v>-1.1232322345312999</v>
      </c>
      <c r="AE8436">
        <v>0.51472000000001095</v>
      </c>
      <c r="AF8436">
        <v>-8.4231381293123597</v>
      </c>
      <c r="AG8436">
        <v>-1.1232322345312999</v>
      </c>
      <c r="AH8436">
        <v>32.8007815605351</v>
      </c>
      <c r="AI8436">
        <v>91.899684562921806</v>
      </c>
      <c r="AJ8436">
        <v>104.402177610842</v>
      </c>
      <c r="AK8436">
        <v>33.883656496607699</v>
      </c>
      <c r="AL8436">
        <v>92.961313872988896</v>
      </c>
      <c r="AM8436">
        <v>101.464656374464</v>
      </c>
      <c r="AN8436">
        <v>1.0000000113883101</v>
      </c>
    </row>
    <row r="8437" spans="1:40" x14ac:dyDescent="0.25">
      <c r="A8437" t="str">
        <f>"20190303154010289"</f>
        <v>20190303154010289</v>
      </c>
      <c r="B8437" t="str">
        <f>"1551598810286941"</f>
        <v>1551598810286941</v>
      </c>
      <c r="C8437" t="s">
        <v>40</v>
      </c>
      <c r="D8437">
        <v>4.8462120000000004</v>
      </c>
      <c r="E8437">
        <v>0.48075250000000003</v>
      </c>
      <c r="F8437" t="s">
        <v>86</v>
      </c>
      <c r="G8437">
        <v>-250.6293</v>
      </c>
      <c r="H8437" s="1">
        <v>5.5526569999999903E-7</v>
      </c>
      <c r="I8437">
        <v>-60.557250000000003</v>
      </c>
      <c r="J8437">
        <v>-283.92860000000002</v>
      </c>
      <c r="K8437">
        <v>1.1232549999999999</v>
      </c>
      <c r="L8437">
        <v>-61.113100000000003</v>
      </c>
      <c r="M8437">
        <v>0.97314990000000001</v>
      </c>
      <c r="N8437">
        <v>-2.1481579999999998E-3</v>
      </c>
      <c r="O8437">
        <v>-0.2301617</v>
      </c>
      <c r="P8437">
        <v>0.99807500000000005</v>
      </c>
      <c r="Q8437">
        <v>-5.2439409999999999E-2</v>
      </c>
      <c r="R8437">
        <v>-3.3113690000000001E-2</v>
      </c>
      <c r="S8437">
        <v>3.0024410000000001</v>
      </c>
      <c r="T8437">
        <v>-0.1009805</v>
      </c>
      <c r="U8437">
        <v>4.8248289999999999E-2</v>
      </c>
      <c r="V8437">
        <v>-0.1970701</v>
      </c>
      <c r="W8437">
        <v>-5.197508E-2</v>
      </c>
      <c r="X8437">
        <v>0.97901070000000001</v>
      </c>
      <c r="Y8437">
        <v>-0.2455089</v>
      </c>
      <c r="Z8437">
        <v>1.1582759999999999E-2</v>
      </c>
      <c r="AA8437">
        <v>0.96932510000000005</v>
      </c>
      <c r="AB8437">
        <v>18</v>
      </c>
      <c r="AC8437">
        <v>33.299300000000002</v>
      </c>
      <c r="AD8437">
        <v>-1.12325444473429</v>
      </c>
      <c r="AE8437">
        <v>0.55584999999999896</v>
      </c>
      <c r="AF8437">
        <v>-8.1958457553809296</v>
      </c>
      <c r="AG8437">
        <v>-1.12325444473429</v>
      </c>
      <c r="AH8437">
        <v>32.240678655059597</v>
      </c>
      <c r="AI8437">
        <v>91.933899729278707</v>
      </c>
      <c r="AJ8437">
        <v>104.262948293096</v>
      </c>
      <c r="AK8437">
        <v>33.285055931039402</v>
      </c>
      <c r="AL8437">
        <v>92.979295158296196</v>
      </c>
      <c r="AM8437">
        <v>101.38126687667901</v>
      </c>
      <c r="AN8437">
        <v>0.99999999198475298</v>
      </c>
    </row>
    <row r="8438" spans="1:40" x14ac:dyDescent="0.25">
      <c r="A8438" t="str">
        <f>"20190303154010302"</f>
        <v>20190303154010302</v>
      </c>
      <c r="B8438" t="str">
        <f>"1551598810296701"</f>
        <v>1551598810296701</v>
      </c>
      <c r="C8438" t="s">
        <v>40</v>
      </c>
      <c r="D8438">
        <v>4.844309</v>
      </c>
      <c r="E8438">
        <v>0.48103420000000002</v>
      </c>
      <c r="F8438" t="s">
        <v>86</v>
      </c>
      <c r="G8438">
        <v>-251.04740000000001</v>
      </c>
      <c r="H8438" s="1">
        <v>3.7848760000000003E-7</v>
      </c>
      <c r="I8438">
        <v>-60.545540000000003</v>
      </c>
      <c r="J8438">
        <v>-283.82470000000001</v>
      </c>
      <c r="K8438">
        <v>1.123273</v>
      </c>
      <c r="L8438">
        <v>-61.132840000000002</v>
      </c>
      <c r="M8438">
        <v>0.97409789999999996</v>
      </c>
      <c r="N8438">
        <v>-2.100256E-3</v>
      </c>
      <c r="O8438">
        <v>-0.22611700000000001</v>
      </c>
      <c r="P8438">
        <v>0.99814769999999997</v>
      </c>
      <c r="Q8438">
        <v>-5.2725689999999999E-2</v>
      </c>
      <c r="R8438">
        <v>-3.034997E-2</v>
      </c>
      <c r="S8438">
        <v>3.0021059999999999</v>
      </c>
      <c r="T8438">
        <v>-0.1025549</v>
      </c>
      <c r="U8438">
        <v>5.181885E-2</v>
      </c>
      <c r="V8438">
        <v>-0.19570389999999999</v>
      </c>
      <c r="W8438">
        <v>-5.2308010000000002E-2</v>
      </c>
      <c r="X8438">
        <v>0.979267</v>
      </c>
      <c r="Y8438">
        <v>-0.2426304</v>
      </c>
      <c r="Z8438">
        <v>1.159466E-2</v>
      </c>
      <c r="AA8438">
        <v>0.97004950000000001</v>
      </c>
      <c r="AB8438">
        <v>18</v>
      </c>
      <c r="AC8438">
        <v>32.777299999999997</v>
      </c>
      <c r="AD8438">
        <v>-1.12327262151239</v>
      </c>
      <c r="AE8438">
        <v>0.58729999999999905</v>
      </c>
      <c r="AF8438">
        <v>-7.9742478165689104</v>
      </c>
      <c r="AG8438">
        <v>-1.12327262151239</v>
      </c>
      <c r="AH8438">
        <v>31.758284630170099</v>
      </c>
      <c r="AI8438">
        <v>91.964736145265107</v>
      </c>
      <c r="AJ8438">
        <v>104.09510915119399</v>
      </c>
      <c r="AK8438">
        <v>32.763379133923202</v>
      </c>
      <c r="AL8438">
        <v>92.998396599486199</v>
      </c>
      <c r="AM8438">
        <v>101.301521580914</v>
      </c>
      <c r="AN8438">
        <v>1.0000000008371801</v>
      </c>
    </row>
    <row r="8439" spans="1:40" x14ac:dyDescent="0.25">
      <c r="A8439" t="str">
        <f>"20190303154010314"</f>
        <v>20190303154010314</v>
      </c>
      <c r="B8439" t="str">
        <f>"1551598810306462"</f>
        <v>1551598810306462</v>
      </c>
      <c r="C8439" t="s">
        <v>40</v>
      </c>
      <c r="D8439">
        <v>4.85703</v>
      </c>
      <c r="E8439">
        <v>0.48132190000000002</v>
      </c>
      <c r="F8439" t="s">
        <v>86</v>
      </c>
      <c r="G8439">
        <v>-251.40389999999999</v>
      </c>
      <c r="H8439" s="1">
        <v>2.3407689999999999E-7</v>
      </c>
      <c r="I8439">
        <v>-60.507260000000002</v>
      </c>
      <c r="J8439">
        <v>-283.7346</v>
      </c>
      <c r="K8439">
        <v>1.123286</v>
      </c>
      <c r="L8439">
        <v>-61.149749999999997</v>
      </c>
      <c r="M8439">
        <v>0.97490220000000005</v>
      </c>
      <c r="N8439">
        <v>-2.0632749999999998E-3</v>
      </c>
      <c r="O8439">
        <v>-0.2226245</v>
      </c>
      <c r="P8439">
        <v>0.99819820000000004</v>
      </c>
      <c r="Q8439">
        <v>-5.2869220000000001E-2</v>
      </c>
      <c r="R8439">
        <v>-2.8381449999999999E-2</v>
      </c>
      <c r="S8439">
        <v>3.0018310000000001</v>
      </c>
      <c r="T8439">
        <v>-0.1040035</v>
      </c>
      <c r="U8439">
        <v>5.7922359999999999E-2</v>
      </c>
      <c r="V8439">
        <v>-0.19411990000000001</v>
      </c>
      <c r="W8439">
        <v>-5.2482580000000001E-2</v>
      </c>
      <c r="X8439">
        <v>0.97957289999999997</v>
      </c>
      <c r="Y8439">
        <v>-0.24112159999999999</v>
      </c>
      <c r="Z8439">
        <v>1.1627719999999999E-2</v>
      </c>
      <c r="AA8439">
        <v>0.97042519999999999</v>
      </c>
      <c r="AB8439">
        <v>18</v>
      </c>
      <c r="AC8439">
        <v>32.3307</v>
      </c>
      <c r="AD8439">
        <v>-1.1232857659230999</v>
      </c>
      <c r="AE8439">
        <v>0.642490000000002</v>
      </c>
      <c r="AF8439">
        <v>-7.8145572302260398</v>
      </c>
      <c r="AG8439">
        <v>-1.1232857659230999</v>
      </c>
      <c r="AH8439">
        <v>31.338485437967499</v>
      </c>
      <c r="AI8439">
        <v>91.991868922322695</v>
      </c>
      <c r="AJ8439">
        <v>104.00171308585701</v>
      </c>
      <c r="AK8439">
        <v>32.317638298027099</v>
      </c>
      <c r="AL8439">
        <v>93.008412448903897</v>
      </c>
      <c r="AM8439">
        <v>101.208962522962</v>
      </c>
      <c r="AN8439">
        <v>1.0000000115969301</v>
      </c>
    </row>
    <row r="8440" spans="1:40" x14ac:dyDescent="0.25">
      <c r="A8440" t="str">
        <f>"20190303154010323"</f>
        <v>20190303154010323</v>
      </c>
      <c r="B8440" t="str">
        <f>"1551598810316221"</f>
        <v>1551598810316221</v>
      </c>
      <c r="C8440" t="s">
        <v>40</v>
      </c>
      <c r="D8440">
        <v>4.8500959999999997</v>
      </c>
      <c r="E8440">
        <v>0.48156339999999997</v>
      </c>
      <c r="F8440" t="s">
        <v>86</v>
      </c>
      <c r="G8440">
        <v>-251.5085</v>
      </c>
      <c r="H8440" s="1">
        <v>1.9328560000000001E-7</v>
      </c>
      <c r="I8440">
        <v>-60.488900000000001</v>
      </c>
      <c r="J8440">
        <v>-283.65769999999998</v>
      </c>
      <c r="K8440">
        <v>1.1232930000000001</v>
      </c>
      <c r="L8440">
        <v>-61.163910000000001</v>
      </c>
      <c r="M8440">
        <v>0.9755741</v>
      </c>
      <c r="N8440">
        <v>-2.0378079999999999E-3</v>
      </c>
      <c r="O8440">
        <v>-0.21966079999999999</v>
      </c>
      <c r="P8440">
        <v>0.99822379999999999</v>
      </c>
      <c r="Q8440">
        <v>-5.3007529999999997E-2</v>
      </c>
      <c r="R8440">
        <v>-2.719104E-2</v>
      </c>
      <c r="S8440">
        <v>3.0016479999999999</v>
      </c>
      <c r="T8440">
        <v>-0.1046267</v>
      </c>
      <c r="U8440">
        <v>6.1553959999999998E-2</v>
      </c>
      <c r="V8440">
        <v>-0.19230710000000001</v>
      </c>
      <c r="W8440">
        <v>-5.2635630000000003E-2</v>
      </c>
      <c r="X8440">
        <v>0.97992219999999997</v>
      </c>
      <c r="Y8440">
        <v>-0.23934630000000001</v>
      </c>
      <c r="Z8440">
        <v>1.157413E-2</v>
      </c>
      <c r="AA8440">
        <v>0.97086530000000004</v>
      </c>
      <c r="AB8440">
        <v>18</v>
      </c>
      <c r="AC8440">
        <v>32.149199999999901</v>
      </c>
      <c r="AD8440">
        <v>-1.1232928067143999</v>
      </c>
      <c r="AE8440">
        <v>0.675009999999993</v>
      </c>
      <c r="AF8440">
        <v>-7.7110483723630603</v>
      </c>
      <c r="AG8440">
        <v>-1.1232928067143999</v>
      </c>
      <c r="AH8440">
        <v>31.177675832540999</v>
      </c>
      <c r="AI8440">
        <v>92.003098824767605</v>
      </c>
      <c r="AJ8440">
        <v>103.891953801288</v>
      </c>
      <c r="AK8440">
        <v>32.136731695204297</v>
      </c>
      <c r="AL8440">
        <v>93.017193667262305</v>
      </c>
      <c r="AM8440">
        <v>101.103040746828</v>
      </c>
      <c r="AN8440">
        <v>1.0000000241543701</v>
      </c>
    </row>
    <row r="8441" spans="1:40" x14ac:dyDescent="0.25">
      <c r="A8441" t="str">
        <f>"20190303154010334"</f>
        <v>20190303154010334</v>
      </c>
      <c r="B8441" t="str">
        <f>"1551598810326957"</f>
        <v>1551598810326957</v>
      </c>
      <c r="C8441" t="s">
        <v>40</v>
      </c>
      <c r="D8441">
        <v>4.8635869999999999</v>
      </c>
      <c r="E8441">
        <v>0.48181580000000002</v>
      </c>
      <c r="F8441" t="s">
        <v>86</v>
      </c>
      <c r="G8441">
        <v>-251.77879999999999</v>
      </c>
      <c r="H8441" s="1">
        <v>7.6577070000000001E-8</v>
      </c>
      <c r="I8441">
        <v>-60.492310000000003</v>
      </c>
      <c r="J8441">
        <v>-283.57350000000002</v>
      </c>
      <c r="K8441">
        <v>1.1232979999999999</v>
      </c>
      <c r="L8441">
        <v>-61.179139999999997</v>
      </c>
      <c r="M8441">
        <v>0.97629549999999998</v>
      </c>
      <c r="N8441">
        <v>-2.0143679999999999E-3</v>
      </c>
      <c r="O8441">
        <v>-0.21643280000000001</v>
      </c>
      <c r="P8441">
        <v>0.99824489999999999</v>
      </c>
      <c r="Q8441">
        <v>-5.3407789999999997E-2</v>
      </c>
      <c r="R8441">
        <v>-2.5589029999999999E-2</v>
      </c>
      <c r="S8441">
        <v>3.0014340000000002</v>
      </c>
      <c r="T8441">
        <v>-0.1057594</v>
      </c>
      <c r="U8441">
        <v>6.3232419999999998E-2</v>
      </c>
      <c r="V8441">
        <v>-0.19062889999999999</v>
      </c>
      <c r="W8441">
        <v>-5.304884E-2</v>
      </c>
      <c r="X8441">
        <v>0.98022779999999998</v>
      </c>
      <c r="Y8441">
        <v>-0.23667550000000001</v>
      </c>
      <c r="Z8441">
        <v>1.1550039999999999E-2</v>
      </c>
      <c r="AA8441">
        <v>0.9715201</v>
      </c>
      <c r="AB8441">
        <v>18</v>
      </c>
      <c r="AC8441">
        <v>31.794699999999999</v>
      </c>
      <c r="AD8441">
        <v>-1.1232979234229299</v>
      </c>
      <c r="AE8441">
        <v>0.68683000000000705</v>
      </c>
      <c r="AF8441">
        <v>-7.5425696975249901</v>
      </c>
      <c r="AG8441">
        <v>-1.1232979234229299</v>
      </c>
      <c r="AH8441">
        <v>30.853937257483601</v>
      </c>
      <c r="AI8441">
        <v>92.025452570815105</v>
      </c>
      <c r="AJ8441">
        <v>103.73713769627599</v>
      </c>
      <c r="AK8441">
        <v>31.782347304054198</v>
      </c>
      <c r="AL8441">
        <v>93.040901905583297</v>
      </c>
      <c r="AM8441">
        <v>101.005176997766</v>
      </c>
      <c r="AN8441">
        <v>1.00000004841669</v>
      </c>
    </row>
    <row r="8442" spans="1:40" x14ac:dyDescent="0.25">
      <c r="A8442" t="str">
        <f>"20190303154010343"</f>
        <v>20190303154010343</v>
      </c>
      <c r="B8442" t="str">
        <f>"1551598810336718"</f>
        <v>1551598810336718</v>
      </c>
      <c r="C8442" t="s">
        <v>40</v>
      </c>
      <c r="D8442">
        <v>4.8864619999999999</v>
      </c>
      <c r="E8442">
        <v>0.48207050000000001</v>
      </c>
      <c r="F8442" t="s">
        <v>86</v>
      </c>
      <c r="G8442">
        <v>-252.25729999999999</v>
      </c>
      <c r="H8442" s="1">
        <v>-1.279775E-7</v>
      </c>
      <c r="I8442">
        <v>-60.489089999999997</v>
      </c>
      <c r="J8442">
        <v>-283.49310000000003</v>
      </c>
      <c r="K8442">
        <v>1.123297</v>
      </c>
      <c r="L8442">
        <v>-61.193420000000003</v>
      </c>
      <c r="M8442">
        <v>0.97696919999999998</v>
      </c>
      <c r="N8442">
        <v>-1.9977160000000001E-3</v>
      </c>
      <c r="O8442">
        <v>-0.21337110000000001</v>
      </c>
      <c r="P8442">
        <v>0.99825229999999998</v>
      </c>
      <c r="Q8442">
        <v>-5.3848809999999997E-2</v>
      </c>
      <c r="R8442">
        <v>-2.4341140000000001E-2</v>
      </c>
      <c r="S8442">
        <v>3.0012210000000001</v>
      </c>
      <c r="T8442">
        <v>-0.10765230000000001</v>
      </c>
      <c r="U8442">
        <v>6.6131590000000004E-2</v>
      </c>
      <c r="V8442">
        <v>-0.1887712</v>
      </c>
      <c r="W8442">
        <v>-5.3492419999999999E-2</v>
      </c>
      <c r="X8442">
        <v>0.98056310000000002</v>
      </c>
      <c r="Y8442">
        <v>-0.23456179999999999</v>
      </c>
      <c r="Z8442">
        <v>1.1621100000000001E-2</v>
      </c>
      <c r="AA8442">
        <v>0.97203170000000005</v>
      </c>
      <c r="AB8442">
        <v>19</v>
      </c>
      <c r="AC8442">
        <v>31.235800000000001</v>
      </c>
      <c r="AD8442">
        <v>-1.1232971279774999</v>
      </c>
      <c r="AE8442">
        <v>0.70432999999999102</v>
      </c>
      <c r="AF8442">
        <v>-7.3434481441127701</v>
      </c>
      <c r="AG8442">
        <v>-1.1232971279774999</v>
      </c>
      <c r="AH8442">
        <v>30.326990345782701</v>
      </c>
      <c r="AI8442">
        <v>92.061710920454701</v>
      </c>
      <c r="AJ8442">
        <v>103.611738131381</v>
      </c>
      <c r="AK8442">
        <v>31.223618792769599</v>
      </c>
      <c r="AL8442">
        <v>93.066353456203899</v>
      </c>
      <c r="AM8442">
        <v>100.896873520889</v>
      </c>
      <c r="AN8442">
        <v>0.99999999901425296</v>
      </c>
    </row>
    <row r="8443" spans="1:40" x14ac:dyDescent="0.25">
      <c r="A8443" t="str">
        <f>"20190303154010354"</f>
        <v>20190303154010354</v>
      </c>
      <c r="B8443" t="str">
        <f>"1551598810346478"</f>
        <v>1551598810346478</v>
      </c>
      <c r="C8443" t="s">
        <v>40</v>
      </c>
      <c r="D8443">
        <v>4.8911480000000003</v>
      </c>
      <c r="E8443">
        <v>0.48231889999999999</v>
      </c>
      <c r="F8443" t="s">
        <v>86</v>
      </c>
      <c r="G8443">
        <v>-252.7303</v>
      </c>
      <c r="H8443" s="1">
        <v>-3.3287430000000002E-7</v>
      </c>
      <c r="I8443">
        <v>-60.497999999999998</v>
      </c>
      <c r="J8443">
        <v>-283.4074</v>
      </c>
      <c r="K8443">
        <v>1.123291</v>
      </c>
      <c r="L8443">
        <v>-61.208440000000003</v>
      </c>
      <c r="M8443">
        <v>0.97767130000000002</v>
      </c>
      <c r="N8443">
        <v>-1.9846E-3</v>
      </c>
      <c r="O8443">
        <v>-0.2101314</v>
      </c>
      <c r="P8443">
        <v>0.99824950000000001</v>
      </c>
      <c r="Q8443">
        <v>-5.453297E-2</v>
      </c>
      <c r="R8443">
        <v>-2.2893110000000001E-2</v>
      </c>
      <c r="S8443">
        <v>3.001007</v>
      </c>
      <c r="T8443">
        <v>-0.1095812</v>
      </c>
      <c r="U8443">
        <v>6.7840579999999998E-2</v>
      </c>
      <c r="V8443">
        <v>-0.18692929999999999</v>
      </c>
      <c r="W8443">
        <v>-5.4174180000000002E-2</v>
      </c>
      <c r="X8443">
        <v>0.98087849999999999</v>
      </c>
      <c r="Y8443">
        <v>-0.23188700000000001</v>
      </c>
      <c r="Z8443">
        <v>1.1673589999999999E-2</v>
      </c>
      <c r="AA8443">
        <v>0.97267269999999995</v>
      </c>
      <c r="AB8443">
        <v>19</v>
      </c>
      <c r="AC8443">
        <v>30.677099999999999</v>
      </c>
      <c r="AD8443">
        <v>-1.1232913328742999</v>
      </c>
      <c r="AE8443">
        <v>0.71043999999999796</v>
      </c>
      <c r="AF8443">
        <v>-7.1312554175687497</v>
      </c>
      <c r="AG8443">
        <v>-1.1232913328742999</v>
      </c>
      <c r="AH8443">
        <v>29.8029508987578</v>
      </c>
      <c r="AI8443">
        <v>92.099285461770194</v>
      </c>
      <c r="AJ8443">
        <v>103.456730394305</v>
      </c>
      <c r="AK8443">
        <v>30.664840934250499</v>
      </c>
      <c r="AL8443">
        <v>93.105472092072702</v>
      </c>
      <c r="AM8443">
        <v>100.78966960714401</v>
      </c>
      <c r="AN8443">
        <v>1.0000000183697</v>
      </c>
    </row>
    <row r="8444" spans="1:40" x14ac:dyDescent="0.25">
      <c r="A8444" t="str">
        <f>"20190303154010365"</f>
        <v>20190303154010365</v>
      </c>
      <c r="B8444" t="str">
        <f>"1551598810356238"</f>
        <v>1551598810356238</v>
      </c>
      <c r="C8444" t="s">
        <v>40</v>
      </c>
      <c r="D8444">
        <v>4.8862800000000002</v>
      </c>
      <c r="E8444">
        <v>0.48256199999999999</v>
      </c>
      <c r="F8444" t="s">
        <v>86</v>
      </c>
      <c r="G8444">
        <v>-253.37049999999999</v>
      </c>
      <c r="H8444" s="1">
        <v>-6.0910879999999997E-7</v>
      </c>
      <c r="I8444">
        <v>-60.505229999999997</v>
      </c>
      <c r="J8444">
        <v>-283.31740000000002</v>
      </c>
      <c r="K8444">
        <v>1.123281</v>
      </c>
      <c r="L8444">
        <v>-61.223909999999997</v>
      </c>
      <c r="M8444">
        <v>0.97839120000000002</v>
      </c>
      <c r="N8444">
        <v>-1.9764349999999999E-3</v>
      </c>
      <c r="O8444">
        <v>-0.20675360000000001</v>
      </c>
      <c r="P8444">
        <v>0.99826680000000001</v>
      </c>
      <c r="Q8444">
        <v>-5.496144E-2</v>
      </c>
      <c r="R8444">
        <v>-2.1047199999999999E-2</v>
      </c>
      <c r="S8444">
        <v>3.0007320000000002</v>
      </c>
      <c r="T8444">
        <v>-0.1122184</v>
      </c>
      <c r="U8444">
        <v>7.0251460000000002E-2</v>
      </c>
      <c r="V8444">
        <v>-0.18534709999999999</v>
      </c>
      <c r="W8444">
        <v>-5.4595570000000003E-2</v>
      </c>
      <c r="X8444">
        <v>0.98115529999999995</v>
      </c>
      <c r="Y8444">
        <v>-0.2292997</v>
      </c>
      <c r="Z8444">
        <v>1.179243E-2</v>
      </c>
      <c r="AA8444">
        <v>0.97328440000000005</v>
      </c>
      <c r="AB8444">
        <v>19</v>
      </c>
      <c r="AC8444">
        <v>29.946899999999999</v>
      </c>
      <c r="AD8444">
        <v>-1.1232816091088</v>
      </c>
      <c r="AE8444">
        <v>0.71867999999999199</v>
      </c>
      <c r="AF8444">
        <v>-6.8851106951648804</v>
      </c>
      <c r="AG8444">
        <v>-1.1232816091088</v>
      </c>
      <c r="AH8444">
        <v>29.1103136489082</v>
      </c>
      <c r="AI8444">
        <v>92.150505813214593</v>
      </c>
      <c r="AJ8444">
        <v>103.30694185326099</v>
      </c>
      <c r="AK8444">
        <v>29.934543116537601</v>
      </c>
      <c r="AL8444">
        <v>93.129651886486201</v>
      </c>
      <c r="AM8444">
        <v>100.697512434366</v>
      </c>
      <c r="AN8444">
        <v>0.99999997323006196</v>
      </c>
    </row>
    <row r="8445" spans="1:40" x14ac:dyDescent="0.25">
      <c r="A8445" t="str">
        <f>"20190303154010376"</f>
        <v>20190303154010376</v>
      </c>
      <c r="B8445" t="str">
        <f>"1551598810366974"</f>
        <v>1551598810366974</v>
      </c>
      <c r="C8445" t="s">
        <v>40</v>
      </c>
      <c r="D8445">
        <v>4.8905120000000002</v>
      </c>
      <c r="E8445">
        <v>0.48280420000000002</v>
      </c>
      <c r="F8445" t="s">
        <v>86</v>
      </c>
      <c r="G8445">
        <v>-253.76390000000001</v>
      </c>
      <c r="H8445" s="1">
        <v>-7.758351E-7</v>
      </c>
      <c r="I8445">
        <v>-60.495890000000003</v>
      </c>
      <c r="J8445">
        <v>-283.22059999999999</v>
      </c>
      <c r="K8445">
        <v>1.1232610000000001</v>
      </c>
      <c r="L8445">
        <v>-61.2401699999999</v>
      </c>
      <c r="M8445">
        <v>0.97914219999999996</v>
      </c>
      <c r="N8445">
        <v>-1.974558E-3</v>
      </c>
      <c r="O8445">
        <v>-0.2031665</v>
      </c>
      <c r="P8445">
        <v>0.99828620000000001</v>
      </c>
      <c r="Q8445">
        <v>-5.5378099999999902E-2</v>
      </c>
      <c r="R8445">
        <v>-1.89141E-2</v>
      </c>
      <c r="S8445">
        <v>3.0004879999999998</v>
      </c>
      <c r="T8445">
        <v>-0.1140441</v>
      </c>
      <c r="U8445">
        <v>7.3913569999999998E-2</v>
      </c>
      <c r="V8445">
        <v>-0.18384059999999999</v>
      </c>
      <c r="W8445">
        <v>-5.4996839999999998E-2</v>
      </c>
      <c r="X8445">
        <v>0.98141630000000002</v>
      </c>
      <c r="Y8445">
        <v>-0.22691529999999999</v>
      </c>
      <c r="Z8445">
        <v>1.181372E-2</v>
      </c>
      <c r="AA8445">
        <v>0.97384289999999996</v>
      </c>
      <c r="AB8445">
        <v>19</v>
      </c>
      <c r="AC8445">
        <v>29.456699999999898</v>
      </c>
      <c r="AD8445">
        <v>-1.1232617758351</v>
      </c>
      <c r="AE8445">
        <v>0.74427999999998895</v>
      </c>
      <c r="AF8445">
        <v>-6.7036422378767098</v>
      </c>
      <c r="AG8445">
        <v>-1.1232617758351</v>
      </c>
      <c r="AH8445">
        <v>28.6495089687925</v>
      </c>
      <c r="AI8445">
        <v>92.186254587688396</v>
      </c>
      <c r="AJ8445">
        <v>103.169591809488</v>
      </c>
      <c r="AK8445">
        <v>29.444777133193298</v>
      </c>
      <c r="AL8445">
        <v>93.152677518286097</v>
      </c>
      <c r="AM8445">
        <v>100.60978778063399</v>
      </c>
      <c r="AN8445">
        <v>0.99999998626201703</v>
      </c>
    </row>
    <row r="8446" spans="1:40" x14ac:dyDescent="0.25">
      <c r="A8446" t="str">
        <f>"20190303154010387"</f>
        <v>20190303154010387</v>
      </c>
      <c r="B8446" t="str">
        <f>"1551598810376735"</f>
        <v>1551598810376735</v>
      </c>
      <c r="C8446" t="s">
        <v>40</v>
      </c>
      <c r="D8446">
        <v>4.8934059999999997</v>
      </c>
      <c r="E8446">
        <v>0.48304219999999998</v>
      </c>
      <c r="F8446" t="s">
        <v>86</v>
      </c>
      <c r="G8446">
        <v>-254.1345</v>
      </c>
      <c r="H8446" s="1">
        <v>-9.3117220000000003E-7</v>
      </c>
      <c r="I8446">
        <v>-60.479520000000001</v>
      </c>
      <c r="J8446">
        <v>-283.13249999999999</v>
      </c>
      <c r="K8446">
        <v>1.1232470000000001</v>
      </c>
      <c r="L8446">
        <v>-61.254820000000002</v>
      </c>
      <c r="M8446">
        <v>0.97981059999999998</v>
      </c>
      <c r="N8446">
        <v>-1.9762859999999998E-3</v>
      </c>
      <c r="O8446">
        <v>-0.1999187</v>
      </c>
      <c r="P8446">
        <v>0.99829760000000001</v>
      </c>
      <c r="Q8446">
        <v>-5.5784889999999997E-2</v>
      </c>
      <c r="R8446">
        <v>-1.7045020000000001E-2</v>
      </c>
      <c r="S8446">
        <v>3.0002140000000002</v>
      </c>
      <c r="T8446">
        <v>-0.1158638</v>
      </c>
      <c r="U8446">
        <v>7.846069E-2</v>
      </c>
      <c r="V8446">
        <v>-0.18241760000000001</v>
      </c>
      <c r="W8446">
        <v>-5.5384500000000003E-2</v>
      </c>
      <c r="X8446">
        <v>0.98165999999999998</v>
      </c>
      <c r="Y8446">
        <v>-0.22515660000000001</v>
      </c>
      <c r="Z8446">
        <v>1.1853270000000001E-2</v>
      </c>
      <c r="AA8446">
        <v>0.97425050000000002</v>
      </c>
      <c r="AB8446">
        <v>19</v>
      </c>
      <c r="AC8446">
        <v>28.997999999999902</v>
      </c>
      <c r="AD8446">
        <v>-1.1232479311721999</v>
      </c>
      <c r="AE8446">
        <v>0.77530000000000099</v>
      </c>
      <c r="AF8446">
        <v>-6.5470853428652296</v>
      </c>
      <c r="AG8446">
        <v>-1.1232479311721999</v>
      </c>
      <c r="AH8446">
        <v>28.215298325538999</v>
      </c>
      <c r="AI8446">
        <v>92.220793393812897</v>
      </c>
      <c r="AJ8446">
        <v>103.063740329458</v>
      </c>
      <c r="AK8446">
        <v>28.986705090451501</v>
      </c>
      <c r="AL8446">
        <v>93.174922695334004</v>
      </c>
      <c r="AM8446">
        <v>100.52695173443</v>
      </c>
      <c r="AN8446">
        <v>0.99999998961500403</v>
      </c>
    </row>
    <row r="8447" spans="1:40" x14ac:dyDescent="0.25">
      <c r="A8447" t="str">
        <f>"20190303154010399"</f>
        <v>20190303154010399</v>
      </c>
      <c r="B8447" t="str">
        <f>"1551598810386494"</f>
        <v>1551598810386494</v>
      </c>
      <c r="C8447" t="s">
        <v>40</v>
      </c>
      <c r="D8447">
        <v>4.9086650000000001</v>
      </c>
      <c r="E8447">
        <v>0.48331429999999997</v>
      </c>
      <c r="F8447" t="s">
        <v>86</v>
      </c>
      <c r="G8447">
        <v>-254.48400000000001</v>
      </c>
      <c r="H8447" s="1">
        <v>-1.0787280000000001E-6</v>
      </c>
      <c r="I8447">
        <v>-60.468820000000001</v>
      </c>
      <c r="J8447">
        <v>-283.04000000000002</v>
      </c>
      <c r="K8447">
        <v>1.123224</v>
      </c>
      <c r="L8447">
        <v>-61.269739999999999</v>
      </c>
      <c r="M8447">
        <v>0.98048829999999998</v>
      </c>
      <c r="N8447">
        <v>-1.9856159999999999E-3</v>
      </c>
      <c r="O8447">
        <v>-0.19656750000000001</v>
      </c>
      <c r="P8447">
        <v>0.99832770000000004</v>
      </c>
      <c r="Q8447">
        <v>-5.5884919999999998E-2</v>
      </c>
      <c r="R8447">
        <v>-1.478724E-2</v>
      </c>
      <c r="S8447">
        <v>2.9999389999999999</v>
      </c>
      <c r="T8447">
        <v>-0.1176214</v>
      </c>
      <c r="U8447">
        <v>8.2305909999999996E-2</v>
      </c>
      <c r="V8447">
        <v>-0.1812821</v>
      </c>
      <c r="W8447">
        <v>-5.5456940000000003E-2</v>
      </c>
      <c r="X8447">
        <v>0.98186620000000002</v>
      </c>
      <c r="Y8447">
        <v>-0.22306960000000001</v>
      </c>
      <c r="Z8447">
        <v>1.1870230000000001E-2</v>
      </c>
      <c r="AA8447">
        <v>0.97473030000000005</v>
      </c>
      <c r="AB8447">
        <v>19</v>
      </c>
      <c r="AC8447">
        <v>28.556000000000001</v>
      </c>
      <c r="AD8447">
        <v>-1.12322507872799</v>
      </c>
      <c r="AE8447">
        <v>0.80092000000001196</v>
      </c>
      <c r="AF8447">
        <v>-6.3886102182089104</v>
      </c>
      <c r="AG8447">
        <v>-1.12322507872799</v>
      </c>
      <c r="AH8447">
        <v>27.798468274901701</v>
      </c>
      <c r="AI8447">
        <v>92.255110558078599</v>
      </c>
      <c r="AJ8447">
        <v>102.942902953963</v>
      </c>
      <c r="AK8447">
        <v>28.545241521633798</v>
      </c>
      <c r="AL8447">
        <v>93.179079705860602</v>
      </c>
      <c r="AM8447">
        <v>100.460726987816</v>
      </c>
      <c r="AN8447">
        <v>0.999999953338505</v>
      </c>
    </row>
    <row r="8448" spans="1:40" x14ac:dyDescent="0.25">
      <c r="A8448" t="str">
        <f>"20190303154010409"</f>
        <v>20190303154010409</v>
      </c>
      <c r="B8448" t="str">
        <f>"1551598810406990"</f>
        <v>1551598810406990</v>
      </c>
      <c r="C8448" t="s">
        <v>40</v>
      </c>
      <c r="D8448">
        <v>4.8627820000000002</v>
      </c>
      <c r="E8448">
        <v>0.48377179999999997</v>
      </c>
      <c r="F8448" t="s">
        <v>86</v>
      </c>
      <c r="G8448">
        <v>-254.56989999999999</v>
      </c>
      <c r="H8448" s="1">
        <v>-1.110255E-6</v>
      </c>
      <c r="I8448">
        <v>-60.444859999999998</v>
      </c>
      <c r="J8448">
        <v>-282.94819999999999</v>
      </c>
      <c r="K8448">
        <v>1.123197</v>
      </c>
      <c r="L8448">
        <v>-61.284480000000002</v>
      </c>
      <c r="M8448">
        <v>0.98114630000000003</v>
      </c>
      <c r="N8448">
        <v>-1.996659E-3</v>
      </c>
      <c r="O8448">
        <v>-0.19325580000000001</v>
      </c>
      <c r="P8448">
        <v>0.99833970000000005</v>
      </c>
      <c r="Q8448">
        <v>-5.6201500000000001E-2</v>
      </c>
      <c r="R8448">
        <v>-1.262225E-2</v>
      </c>
      <c r="S8448">
        <v>2.9997250000000002</v>
      </c>
      <c r="T8448">
        <v>-0.1183478</v>
      </c>
      <c r="U8448">
        <v>8.6914060000000001E-2</v>
      </c>
      <c r="V8448">
        <v>-0.18009310000000001</v>
      </c>
      <c r="W8448">
        <v>-5.5743250000000001E-2</v>
      </c>
      <c r="X8448">
        <v>0.98206879999999996</v>
      </c>
      <c r="Y8448">
        <v>-0.221276</v>
      </c>
      <c r="Z8448">
        <v>1.1785210000000001E-2</v>
      </c>
      <c r="AA8448">
        <v>0.97514000000000001</v>
      </c>
      <c r="AB8448">
        <v>19</v>
      </c>
      <c r="AC8448">
        <v>28.378299999999999</v>
      </c>
      <c r="AD8448">
        <v>-1.1231981102549999</v>
      </c>
      <c r="AE8448">
        <v>0.83962000000000303</v>
      </c>
      <c r="AF8448">
        <v>-6.2982164191851497</v>
      </c>
      <c r="AG8448">
        <v>-1.1231981102549999</v>
      </c>
      <c r="AH8448">
        <v>27.637802118765901</v>
      </c>
      <c r="AI8448">
        <v>92.269105530099495</v>
      </c>
      <c r="AJ8448">
        <v>102.837571745717</v>
      </c>
      <c r="AK8448">
        <v>28.368595488917599</v>
      </c>
      <c r="AL8448">
        <v>93.195509386910103</v>
      </c>
      <c r="AM8448">
        <v>100.391519350884</v>
      </c>
      <c r="AN8448">
        <v>0.99999998126080603</v>
      </c>
    </row>
    <row r="8449" spans="1:40" x14ac:dyDescent="0.25">
      <c r="A8449" t="str">
        <f>"20190303154010420"</f>
        <v>20190303154010420</v>
      </c>
      <c r="B8449" t="str">
        <f>"1551598810416766"</f>
        <v>1551598810416766</v>
      </c>
      <c r="C8449" t="s">
        <v>40</v>
      </c>
      <c r="D8449">
        <v>4.8776760000000001</v>
      </c>
      <c r="E8449">
        <v>0.48400559999999998</v>
      </c>
      <c r="F8449" t="s">
        <v>86</v>
      </c>
      <c r="G8449">
        <v>-254.87960000000001</v>
      </c>
      <c r="H8449" s="1">
        <v>-1.2427679999999999E-6</v>
      </c>
      <c r="I8449">
        <v>-60.44341</v>
      </c>
      <c r="J8449">
        <v>-282.85000000000002</v>
      </c>
      <c r="K8449">
        <v>1.1231629999999999</v>
      </c>
      <c r="L8449">
        <v>-61.29974</v>
      </c>
      <c r="M8449">
        <v>0.98182150000000001</v>
      </c>
      <c r="N8449">
        <v>-2.0178470000000001E-3</v>
      </c>
      <c r="O8449">
        <v>-0.18979589999999999</v>
      </c>
      <c r="P8449">
        <v>0.99833629999999995</v>
      </c>
      <c r="Q8449">
        <v>-5.6729799999999997E-2</v>
      </c>
      <c r="R8449">
        <v>-1.030588E-2</v>
      </c>
      <c r="S8449">
        <v>2.9993289999999999</v>
      </c>
      <c r="T8449">
        <v>-0.1200213</v>
      </c>
      <c r="U8449">
        <v>8.9874270000000006E-2</v>
      </c>
      <c r="V8449">
        <v>-0.1789039</v>
      </c>
      <c r="W8449">
        <v>-5.6226789999999999E-2</v>
      </c>
      <c r="X8449">
        <v>0.98225859999999998</v>
      </c>
      <c r="Y8449">
        <v>-0.21879850000000001</v>
      </c>
      <c r="Z8449">
        <v>1.1772380000000001E-2</v>
      </c>
      <c r="AA8449">
        <v>0.97569910000000004</v>
      </c>
      <c r="AB8449">
        <v>19</v>
      </c>
      <c r="AC8449">
        <v>27.970400000000001</v>
      </c>
      <c r="AD8449">
        <v>-1.123164242768</v>
      </c>
      <c r="AE8449">
        <v>0.85632999999999904</v>
      </c>
      <c r="AF8449">
        <v>-6.1395524076942198</v>
      </c>
      <c r="AG8449">
        <v>-1.123164242768</v>
      </c>
      <c r="AH8449">
        <v>27.2555601885994</v>
      </c>
      <c r="AI8449">
        <v>92.302125794766695</v>
      </c>
      <c r="AJ8449">
        <v>102.69449160484299</v>
      </c>
      <c r="AK8449">
        <v>27.961065124158299</v>
      </c>
      <c r="AL8449">
        <v>93.223257625096593</v>
      </c>
      <c r="AM8449">
        <v>100.322429937164</v>
      </c>
      <c r="AN8449">
        <v>1.0000000073114299</v>
      </c>
    </row>
    <row r="8450" spans="1:40" x14ac:dyDescent="0.25">
      <c r="A8450" t="str">
        <f>"20190303154010433"</f>
        <v>20190303154010433</v>
      </c>
      <c r="B8450" t="str">
        <f>"1551598810426509"</f>
        <v>1551598810426509</v>
      </c>
      <c r="C8450" t="s">
        <v>40</v>
      </c>
      <c r="D8450">
        <v>4.9156370000000003</v>
      </c>
      <c r="E8450">
        <v>0.48425560000000001</v>
      </c>
      <c r="F8450" t="s">
        <v>86</v>
      </c>
      <c r="G8450">
        <v>-255.21289999999999</v>
      </c>
      <c r="H8450" s="1">
        <v>-1.3814579999999999E-6</v>
      </c>
      <c r="I8450">
        <v>-60.424010000000003</v>
      </c>
      <c r="J8450">
        <v>-282.75439999999998</v>
      </c>
      <c r="K8450">
        <v>1.123129</v>
      </c>
      <c r="L8450">
        <v>-61.314450000000001</v>
      </c>
      <c r="M8450">
        <v>0.98246230000000001</v>
      </c>
      <c r="N8450">
        <v>-2.0414410000000002E-3</v>
      </c>
      <c r="O8450">
        <v>-0.1864508</v>
      </c>
      <c r="P8450">
        <v>0.99830819999999998</v>
      </c>
      <c r="Q8450">
        <v>-5.7574430000000003E-2</v>
      </c>
      <c r="R8450">
        <v>-8.1330540000000007E-3</v>
      </c>
      <c r="S8450">
        <v>2.9990839999999999</v>
      </c>
      <c r="T8450">
        <v>-0.121882</v>
      </c>
      <c r="U8450">
        <v>9.5031740000000003E-2</v>
      </c>
      <c r="V8450">
        <v>-0.17768490000000001</v>
      </c>
      <c r="W8450">
        <v>-5.7024180000000001E-2</v>
      </c>
      <c r="X8450">
        <v>0.98243389999999997</v>
      </c>
      <c r="Y8450">
        <v>-0.21714749999999999</v>
      </c>
      <c r="Z8450">
        <v>1.179387E-2</v>
      </c>
      <c r="AA8450">
        <v>0.97606749999999998</v>
      </c>
      <c r="AB8450">
        <v>19</v>
      </c>
      <c r="AC8450">
        <v>27.5414999999999</v>
      </c>
      <c r="AD8450">
        <v>-1.123130381458</v>
      </c>
      <c r="AE8450">
        <v>0.89044000000000501</v>
      </c>
      <c r="AF8450">
        <v>-6.00000281968825</v>
      </c>
      <c r="AG8450">
        <v>-1.123130381458</v>
      </c>
      <c r="AH8450">
        <v>26.847914272134599</v>
      </c>
      <c r="AI8450">
        <v>92.337857894401694</v>
      </c>
      <c r="AJ8450">
        <v>102.597526320931</v>
      </c>
      <c r="AK8450">
        <v>27.533106552910301</v>
      </c>
      <c r="AL8450">
        <v>93.269018075104995</v>
      </c>
      <c r="AM8450">
        <v>100.251802111364</v>
      </c>
      <c r="AN8450">
        <v>1.0000000243309399</v>
      </c>
    </row>
    <row r="8451" spans="1:40" x14ac:dyDescent="0.25">
      <c r="A8451" t="str">
        <f>"20190303154010443"</f>
        <v>20190303154010443</v>
      </c>
      <c r="B8451" t="str">
        <f>"1551598810436270"</f>
        <v>1551598810436270</v>
      </c>
      <c r="C8451" t="s">
        <v>40</v>
      </c>
      <c r="D8451">
        <v>4.8997869999999999</v>
      </c>
      <c r="E8451">
        <v>0.48448269999999999</v>
      </c>
      <c r="F8451" t="s">
        <v>86</v>
      </c>
      <c r="G8451">
        <v>-255.798</v>
      </c>
      <c r="H8451" s="1">
        <v>-1.6314350000000001E-6</v>
      </c>
      <c r="I8451">
        <v>-60.4193</v>
      </c>
      <c r="J8451">
        <v>-282.66109999999998</v>
      </c>
      <c r="K8451">
        <v>1.1230979999999999</v>
      </c>
      <c r="L8451">
        <v>-61.328490000000002</v>
      </c>
      <c r="M8451">
        <v>0.98306539999999998</v>
      </c>
      <c r="N8451">
        <v>-2.0711330000000002E-3</v>
      </c>
      <c r="O8451">
        <v>-0.18324370000000001</v>
      </c>
      <c r="P8451">
        <v>0.99827350000000004</v>
      </c>
      <c r="Q8451">
        <v>-5.8386979999999998E-2</v>
      </c>
      <c r="R8451">
        <v>-6.4202360000000002E-3</v>
      </c>
      <c r="S8451">
        <v>2.998688</v>
      </c>
      <c r="T8451">
        <v>-0.12493990000000001</v>
      </c>
      <c r="U8451">
        <v>9.9578860000000005E-2</v>
      </c>
      <c r="V8451">
        <v>-0.17615410000000001</v>
      </c>
      <c r="W8451">
        <v>-5.7780310000000001E-2</v>
      </c>
      <c r="X8451">
        <v>0.98266540000000002</v>
      </c>
      <c r="Y8451">
        <v>-0.21543190000000001</v>
      </c>
      <c r="Z8451">
        <v>1.1930090000000001E-2</v>
      </c>
      <c r="AA8451">
        <v>0.97644600000000004</v>
      </c>
      <c r="AB8451">
        <v>19</v>
      </c>
      <c r="AC8451">
        <v>26.8630999999999</v>
      </c>
      <c r="AD8451">
        <v>-1.1230996314349999</v>
      </c>
      <c r="AE8451">
        <v>0.90919000000000205</v>
      </c>
      <c r="AF8451">
        <v>-5.8061620240247702</v>
      </c>
      <c r="AG8451">
        <v>-1.1230996314349999</v>
      </c>
      <c r="AH8451">
        <v>26.195899228917298</v>
      </c>
      <c r="AI8451">
        <v>92.396847120915496</v>
      </c>
      <c r="AJ8451">
        <v>102.497229310123</v>
      </c>
      <c r="AK8451">
        <v>26.855129987451999</v>
      </c>
      <c r="AL8451">
        <v>93.312412567351302</v>
      </c>
      <c r="AM8451">
        <v>100.162984923566</v>
      </c>
      <c r="AN8451">
        <v>1.0000000597638301</v>
      </c>
    </row>
    <row r="8452" spans="1:40" x14ac:dyDescent="0.25">
      <c r="A8452" t="str">
        <f>"20190303154010454"</f>
        <v>20190303154010454</v>
      </c>
      <c r="B8452" t="str">
        <f>"1551598810447005"</f>
        <v>1551598810447005</v>
      </c>
      <c r="C8452" t="s">
        <v>40</v>
      </c>
      <c r="D8452">
        <v>4.8856099999999998</v>
      </c>
      <c r="E8452">
        <v>0.48448269999999999</v>
      </c>
      <c r="F8452" t="s">
        <v>86</v>
      </c>
      <c r="G8452">
        <v>-256.31029999999998</v>
      </c>
      <c r="H8452" s="1">
        <v>-1.852261E-6</v>
      </c>
      <c r="I8452">
        <v>-60.424129999999998</v>
      </c>
      <c r="J8452">
        <v>-282.56479999999999</v>
      </c>
      <c r="K8452">
        <v>1.123062</v>
      </c>
      <c r="L8452">
        <v>-61.342739999999999</v>
      </c>
      <c r="M8452">
        <v>0.98366849999999995</v>
      </c>
      <c r="N8452">
        <v>-2.106517E-3</v>
      </c>
      <c r="O8452">
        <v>-0.1799782</v>
      </c>
      <c r="P8452">
        <v>0.99824380000000001</v>
      </c>
      <c r="Q8452">
        <v>-5.906405E-2</v>
      </c>
      <c r="R8452">
        <v>-4.6233259999999997E-3</v>
      </c>
      <c r="S8452">
        <v>2.998383</v>
      </c>
      <c r="T8452">
        <v>-0.12779450000000001</v>
      </c>
      <c r="U8452">
        <v>0.10290530000000001</v>
      </c>
      <c r="V8452">
        <v>-0.17465240000000001</v>
      </c>
      <c r="W8452">
        <v>-5.8394840000000003E-2</v>
      </c>
      <c r="X8452">
        <v>0.98289700000000002</v>
      </c>
      <c r="Y8452">
        <v>-0.21326310000000001</v>
      </c>
      <c r="Z8452">
        <v>1.2025539999999999E-2</v>
      </c>
      <c r="AA8452">
        <v>0.97692080000000003</v>
      </c>
      <c r="AB8452">
        <v>19</v>
      </c>
      <c r="AC8452">
        <v>26.2545</v>
      </c>
      <c r="AD8452">
        <v>-1.1230638522609999</v>
      </c>
      <c r="AE8452">
        <v>0.91860999999999404</v>
      </c>
      <c r="AF8452">
        <v>-5.6185887248584203</v>
      </c>
      <c r="AG8452">
        <v>-1.1230638522609999</v>
      </c>
      <c r="AH8452">
        <v>25.613637555143502</v>
      </c>
      <c r="AI8452">
        <v>92.452366124227893</v>
      </c>
      <c r="AJ8452">
        <v>102.37239725134199</v>
      </c>
      <c r="AK8452">
        <v>26.2466805611989</v>
      </c>
      <c r="AL8452">
        <v>93.347682410393602</v>
      </c>
      <c r="AM8452">
        <v>100.075803622696</v>
      </c>
      <c r="AN8452">
        <v>0.999999965386692</v>
      </c>
    </row>
    <row r="8453" spans="1:40" x14ac:dyDescent="0.25">
      <c r="A8453" t="str">
        <f>"20190303154010465"</f>
        <v>20190303154010465</v>
      </c>
      <c r="B8453" t="str">
        <f>"1551598810456766"</f>
        <v>1551598810456766</v>
      </c>
      <c r="C8453" t="s">
        <v>40</v>
      </c>
      <c r="D8453">
        <v>4.9227819999999998</v>
      </c>
      <c r="E8453">
        <v>0.49796279999999998</v>
      </c>
      <c r="F8453" t="s">
        <v>86</v>
      </c>
      <c r="G8453">
        <v>-256.63709999999998</v>
      </c>
      <c r="H8453" s="1">
        <v>-1.988326E-6</v>
      </c>
      <c r="I8453">
        <v>-60.405589999999997</v>
      </c>
      <c r="J8453">
        <v>-282.46870000000001</v>
      </c>
      <c r="K8453">
        <v>1.1230290000000001</v>
      </c>
      <c r="L8453">
        <v>-61.356720000000003</v>
      </c>
      <c r="M8453">
        <v>0.98425110000000005</v>
      </c>
      <c r="N8453">
        <v>-2.1467299999999999E-3</v>
      </c>
      <c r="O8453">
        <v>-0.17676339999999999</v>
      </c>
      <c r="P8453">
        <v>0.99821150000000003</v>
      </c>
      <c r="Q8453">
        <v>-5.9696079999999999E-2</v>
      </c>
      <c r="R8453">
        <v>-3.2244560000000001E-3</v>
      </c>
      <c r="S8453">
        <v>2.998138</v>
      </c>
      <c r="T8453">
        <v>-0.12986510000000001</v>
      </c>
      <c r="U8453">
        <v>0.1083679</v>
      </c>
      <c r="V8453">
        <v>-0.17281199999999999</v>
      </c>
      <c r="W8453">
        <v>-5.8956540000000002E-2</v>
      </c>
      <c r="X8453">
        <v>0.98318870000000003</v>
      </c>
      <c r="Y8453">
        <v>-0.21184420000000001</v>
      </c>
      <c r="Z8453">
        <v>1.20578E-2</v>
      </c>
      <c r="AA8453">
        <v>0.97722909999999996</v>
      </c>
      <c r="AB8453">
        <v>20</v>
      </c>
      <c r="AC8453">
        <v>25.831600000000002</v>
      </c>
      <c r="AD8453">
        <v>-1.1230309883259999</v>
      </c>
      <c r="AE8453">
        <v>0.95112999999999204</v>
      </c>
      <c r="AF8453">
        <v>-5.4918784446249802</v>
      </c>
      <c r="AG8453">
        <v>-1.1230309883259999</v>
      </c>
      <c r="AH8453">
        <v>25.209129387616802</v>
      </c>
      <c r="AI8453">
        <v>92.492377276701006</v>
      </c>
      <c r="AJ8453">
        <v>102.290017718795</v>
      </c>
      <c r="AK8453">
        <v>25.824835564488701</v>
      </c>
      <c r="AL8453">
        <v>93.379921079849197</v>
      </c>
      <c r="AM8453">
        <v>99.968872709838394</v>
      </c>
      <c r="AN8453">
        <v>0.99999994038022799</v>
      </c>
    </row>
    <row r="8454" spans="1:40" x14ac:dyDescent="0.25">
      <c r="A8454" t="str">
        <f>"20190303154010477"</f>
        <v>20190303154010477</v>
      </c>
      <c r="B8454" t="str">
        <f>"1551598810466526"</f>
        <v>1551598810466526</v>
      </c>
      <c r="C8454" t="s">
        <v>40</v>
      </c>
      <c r="D8454">
        <v>4.8879679999999999</v>
      </c>
      <c r="E8454">
        <v>0.498305</v>
      </c>
      <c r="F8454" t="s">
        <v>42</v>
      </c>
      <c r="G8454">
        <v>-260.67959999999999</v>
      </c>
      <c r="H8454" s="1">
        <v>4.5540039999999998E-7</v>
      </c>
      <c r="I8454">
        <v>-61.314929999999997</v>
      </c>
      <c r="J8454">
        <v>-282.37459999999999</v>
      </c>
      <c r="K8454">
        <v>1.122995</v>
      </c>
      <c r="L8454">
        <v>-61.370089999999998</v>
      </c>
      <c r="M8454">
        <v>0.98479899999999998</v>
      </c>
      <c r="N8454">
        <v>-2.1909799999999999E-3</v>
      </c>
      <c r="O8454">
        <v>-0.17368439999999999</v>
      </c>
      <c r="P8454">
        <v>0.99818560000000001</v>
      </c>
      <c r="Q8454">
        <v>-6.0187709999999998E-2</v>
      </c>
      <c r="R8454">
        <v>-1.789145E-3</v>
      </c>
      <c r="S8454">
        <v>2.9961549999999999</v>
      </c>
      <c r="T8454">
        <v>-0.15442439999999999</v>
      </c>
      <c r="U8454">
        <v>5.7373049999999998E-3</v>
      </c>
      <c r="V8454">
        <v>-0.17114779999999999</v>
      </c>
      <c r="W8454">
        <v>-5.937564E-2</v>
      </c>
      <c r="X8454">
        <v>0.98345459999999996</v>
      </c>
      <c r="Y8454">
        <v>-0.17511840000000001</v>
      </c>
      <c r="Z8454">
        <v>1.323211E-2</v>
      </c>
      <c r="AA8454">
        <v>0.98445839999999996</v>
      </c>
      <c r="AB8454">
        <v>20</v>
      </c>
      <c r="AC8454">
        <v>21.695</v>
      </c>
      <c r="AD8454">
        <v>-1.1229945445995999</v>
      </c>
      <c r="AE8454">
        <v>5.5160000000000702E-2</v>
      </c>
      <c r="AF8454">
        <v>-3.8121991712430798</v>
      </c>
      <c r="AG8454">
        <v>-1.1229945445995999</v>
      </c>
      <c r="AH8454">
        <v>21.298616680970799</v>
      </c>
      <c r="AI8454">
        <v>92.971062553540904</v>
      </c>
      <c r="AJ8454">
        <v>100.147806375353</v>
      </c>
      <c r="AK8454">
        <v>21.6662191392812</v>
      </c>
      <c r="AL8454">
        <v>93.403975703114696</v>
      </c>
      <c r="AM8454">
        <v>99.872152639448501</v>
      </c>
      <c r="AN8454">
        <v>0.99999999316570398</v>
      </c>
    </row>
    <row r="8455" spans="1:40" x14ac:dyDescent="0.25">
      <c r="A8455" t="str">
        <f>"20190303154010499"</f>
        <v>20190303154010499</v>
      </c>
      <c r="B8455" t="str">
        <f>"1551598810496782"</f>
        <v>1551598810496782</v>
      </c>
      <c r="C8455" t="s">
        <v>40</v>
      </c>
      <c r="D8455">
        <v>4.8748319999999996</v>
      </c>
      <c r="E8455">
        <v>0.49893769999999998</v>
      </c>
      <c r="F8455" t="s">
        <v>42</v>
      </c>
      <c r="G8455">
        <v>-260.26310000000001</v>
      </c>
      <c r="H8455" s="1">
        <v>6.3354219999999897E-7</v>
      </c>
      <c r="I8455">
        <v>-61.316870000000002</v>
      </c>
      <c r="J8455">
        <v>-282.1782</v>
      </c>
      <c r="K8455">
        <v>1.122932</v>
      </c>
      <c r="L8455">
        <v>-61.397280000000002</v>
      </c>
      <c r="M8455">
        <v>0.98588719999999996</v>
      </c>
      <c r="N8455">
        <v>-2.2910220000000002E-3</v>
      </c>
      <c r="O8455">
        <v>-0.16739570000000001</v>
      </c>
      <c r="P8455">
        <v>0.99824800000000002</v>
      </c>
      <c r="Q8455">
        <v>-5.915455E-2</v>
      </c>
      <c r="R8455">
        <v>1.32696299999999E-3</v>
      </c>
      <c r="S8455">
        <v>2.9963069999999998</v>
      </c>
      <c r="T8455">
        <v>-0.152175799999999</v>
      </c>
      <c r="U8455">
        <v>7.2021480000000002E-3</v>
      </c>
      <c r="V8455">
        <v>-0.167970799999999</v>
      </c>
      <c r="W8455">
        <v>-5.8186549999999997E-2</v>
      </c>
      <c r="X8455">
        <v>0.98407319999999998</v>
      </c>
      <c r="Y8455">
        <v>-0.1693421</v>
      </c>
      <c r="Z8455">
        <v>1.257337E-2</v>
      </c>
      <c r="AA8455">
        <v>0.98547709999999999</v>
      </c>
      <c r="AB8455">
        <v>20</v>
      </c>
      <c r="AC8455">
        <v>21.915099999999899</v>
      </c>
      <c r="AD8455">
        <v>-1.1229313664578</v>
      </c>
      <c r="AE8455">
        <v>8.04100000000076E-2</v>
      </c>
      <c r="AF8455">
        <v>-3.73796420543828</v>
      </c>
      <c r="AG8455">
        <v>-1.1229313664578</v>
      </c>
      <c r="AH8455">
        <v>21.535868803464901</v>
      </c>
      <c r="AI8455">
        <v>92.940942760398002</v>
      </c>
      <c r="AJ8455">
        <v>99.846685196709103</v>
      </c>
      <c r="AK8455">
        <v>21.8866853674777</v>
      </c>
      <c r="AL8455">
        <v>93.335727951236805</v>
      </c>
      <c r="AM8455">
        <v>99.686427546231201</v>
      </c>
      <c r="AN8455">
        <v>0.99999996360589005</v>
      </c>
    </row>
    <row r="8456" spans="1:40" x14ac:dyDescent="0.25">
      <c r="A8456" t="str">
        <f>"20190303154010511"</f>
        <v>20190303154010511</v>
      </c>
      <c r="B8456" t="str">
        <f>"1551598810506542"</f>
        <v>1551598810506542</v>
      </c>
      <c r="C8456" t="s">
        <v>40</v>
      </c>
      <c r="D8456">
        <v>4.8888740000000004</v>
      </c>
      <c r="E8456">
        <v>0.49918000000000001</v>
      </c>
      <c r="F8456" t="s">
        <v>86</v>
      </c>
      <c r="G8456">
        <v>-258.79349999999999</v>
      </c>
      <c r="H8456" s="1">
        <v>-3.1143189999999999E-6</v>
      </c>
      <c r="I8456">
        <v>-61.309170000000002</v>
      </c>
      <c r="J8456">
        <v>-282.07659999999998</v>
      </c>
      <c r="K8456">
        <v>1.122911</v>
      </c>
      <c r="L8456">
        <v>-61.411070000000002</v>
      </c>
      <c r="M8456">
        <v>0.98642249999999998</v>
      </c>
      <c r="N8456">
        <v>-2.3447799999999999E-3</v>
      </c>
      <c r="O8456">
        <v>-0.16421140000000001</v>
      </c>
      <c r="P8456">
        <v>0.99829789999999996</v>
      </c>
      <c r="Q8456">
        <v>-5.8247699999999999E-2</v>
      </c>
      <c r="R8456">
        <v>3.0052669999999998E-3</v>
      </c>
      <c r="S8456">
        <v>2.9967649999999999</v>
      </c>
      <c r="T8456">
        <v>-0.14390439999999999</v>
      </c>
      <c r="U8456">
        <v>1.1291499999999999E-2</v>
      </c>
      <c r="V8456">
        <v>-0.1664696</v>
      </c>
      <c r="W8456">
        <v>-5.7199140000000002E-2</v>
      </c>
      <c r="X8456">
        <v>0.98438610000000004</v>
      </c>
      <c r="Y8456">
        <v>-0.16755490000000001</v>
      </c>
      <c r="Z8456">
        <v>1.1685620000000001E-2</v>
      </c>
      <c r="AA8456">
        <v>0.98579349999999999</v>
      </c>
      <c r="AB8456">
        <v>20</v>
      </c>
      <c r="AC8456">
        <v>23.283099999999902</v>
      </c>
      <c r="AD8456">
        <v>-1.122914114319</v>
      </c>
      <c r="AE8456">
        <v>0.1019</v>
      </c>
      <c r="AF8456">
        <v>-3.91477161347076</v>
      </c>
      <c r="AG8456">
        <v>-1.122914114319</v>
      </c>
      <c r="AH8456">
        <v>22.897043295791399</v>
      </c>
      <c r="AI8456">
        <v>92.767548542349104</v>
      </c>
      <c r="AJ8456">
        <v>99.702208387459393</v>
      </c>
      <c r="AK8456">
        <v>23.256417707444101</v>
      </c>
      <c r="AL8456">
        <v>93.279059237553994</v>
      </c>
      <c r="AM8456">
        <v>99.598480876926203</v>
      </c>
      <c r="AN8456">
        <v>0.99999993160705203</v>
      </c>
    </row>
    <row r="8457" spans="1:40" x14ac:dyDescent="0.25">
      <c r="A8457" t="str">
        <f>"20190303154010521"</f>
        <v>20190303154010521</v>
      </c>
      <c r="B8457" t="str">
        <f>"1551598810516302"</f>
        <v>1551598810516302</v>
      </c>
      <c r="C8457" t="s">
        <v>40</v>
      </c>
      <c r="D8457">
        <v>4.9022880000000004</v>
      </c>
      <c r="E8457">
        <v>0.49933509999999998</v>
      </c>
      <c r="F8457" t="s">
        <v>86</v>
      </c>
      <c r="G8457">
        <v>-257.98770000000002</v>
      </c>
      <c r="H8457" s="1">
        <v>-2.7655890000000002E-6</v>
      </c>
      <c r="I8457">
        <v>-61.295299999999997</v>
      </c>
      <c r="J8457">
        <v>-281.98489999999998</v>
      </c>
      <c r="K8457">
        <v>1.122892</v>
      </c>
      <c r="L8457">
        <v>-61.42313</v>
      </c>
      <c r="M8457">
        <v>0.98688540000000002</v>
      </c>
      <c r="N8457">
        <v>-2.3934550000000001E-3</v>
      </c>
      <c r="O8457">
        <v>-0.16140499999999999</v>
      </c>
      <c r="P8457">
        <v>0.99835669999999999</v>
      </c>
      <c r="Q8457">
        <v>-5.7150550000000001E-2</v>
      </c>
      <c r="R8457">
        <v>4.1996960000000002E-3</v>
      </c>
      <c r="S8457">
        <v>2.996918</v>
      </c>
      <c r="T8457">
        <v>-0.13970260000000001</v>
      </c>
      <c r="U8457">
        <v>1.44043E-2</v>
      </c>
      <c r="V8457">
        <v>-0.1648704</v>
      </c>
      <c r="W8457">
        <v>-5.6029299999999997E-2</v>
      </c>
      <c r="X8457">
        <v>0.9847226</v>
      </c>
      <c r="Y8457">
        <v>-0.16580110000000001</v>
      </c>
      <c r="Z8457">
        <v>1.116924E-2</v>
      </c>
      <c r="AA8457">
        <v>0.98609599999999997</v>
      </c>
      <c r="AB8457">
        <v>20</v>
      </c>
      <c r="AC8457">
        <v>23.9971999999999</v>
      </c>
      <c r="AD8457">
        <v>-1.122894765589</v>
      </c>
      <c r="AE8457">
        <v>0.12783000000000999</v>
      </c>
      <c r="AF8457">
        <v>-3.99069527032785</v>
      </c>
      <c r="AG8457">
        <v>-1.122894765589</v>
      </c>
      <c r="AH8457">
        <v>23.610226012352999</v>
      </c>
      <c r="AI8457">
        <v>92.684891598165393</v>
      </c>
      <c r="AJ8457">
        <v>99.593687611494005</v>
      </c>
      <c r="AK8457">
        <v>23.971427027809501</v>
      </c>
      <c r="AL8457">
        <v>93.211924229936798</v>
      </c>
      <c r="AM8457">
        <v>99.504774168567394</v>
      </c>
      <c r="AN8457">
        <v>1.0000000651026999</v>
      </c>
    </row>
    <row r="8458" spans="1:40" x14ac:dyDescent="0.25">
      <c r="A8458" t="str">
        <f>"20190303154010533"</f>
        <v>20190303154010533</v>
      </c>
      <c r="B8458" t="str">
        <f>"1551598810527037"</f>
        <v>1551598810527037</v>
      </c>
      <c r="C8458" t="s">
        <v>40</v>
      </c>
      <c r="D8458">
        <v>4.8827410000000002</v>
      </c>
      <c r="E8458">
        <v>0.49957489999999999</v>
      </c>
      <c r="F8458" t="s">
        <v>86</v>
      </c>
      <c r="G8458">
        <v>-257.3202</v>
      </c>
      <c r="H8458" s="1">
        <v>-2.4769739999999999E-6</v>
      </c>
      <c r="I8458">
        <v>-61.285240000000002</v>
      </c>
      <c r="J8458">
        <v>-281.88029999999998</v>
      </c>
      <c r="K8458">
        <v>1.12287</v>
      </c>
      <c r="L8458">
        <v>-61.436709999999998</v>
      </c>
      <c r="M8458">
        <v>0.98739880000000002</v>
      </c>
      <c r="N8458">
        <v>-2.4485459999999998E-3</v>
      </c>
      <c r="O8458">
        <v>-0.1582327</v>
      </c>
      <c r="P8458">
        <v>0.99840010000000001</v>
      </c>
      <c r="Q8458">
        <v>-5.6277210000000001E-2</v>
      </c>
      <c r="R8458">
        <v>5.4865900000000004E-3</v>
      </c>
      <c r="S8458">
        <v>2.9970400000000001</v>
      </c>
      <c r="T8458">
        <v>-0.13644410000000001</v>
      </c>
      <c r="U8458">
        <v>1.6754149999999999E-2</v>
      </c>
      <c r="V8458">
        <v>-0.162994</v>
      </c>
      <c r="W8458">
        <v>-5.5074499999999998E-2</v>
      </c>
      <c r="X8458">
        <v>0.98508870000000004</v>
      </c>
      <c r="Y8458">
        <v>-0.1634263</v>
      </c>
      <c r="Z8458">
        <v>1.070782E-2</v>
      </c>
      <c r="AA8458">
        <v>0.98649750000000003</v>
      </c>
      <c r="AB8458">
        <v>20</v>
      </c>
      <c r="AC8458">
        <v>24.560099999999899</v>
      </c>
      <c r="AD8458">
        <v>-1.1228724769739999</v>
      </c>
      <c r="AE8458">
        <v>0.151469999999996</v>
      </c>
      <c r="AF8458">
        <v>-4.0273664554118103</v>
      </c>
      <c r="AG8458">
        <v>-1.1228724769739999</v>
      </c>
      <c r="AH8458">
        <v>24.176186084670501</v>
      </c>
      <c r="AI8458">
        <v>92.623118505770293</v>
      </c>
      <c r="AJ8458">
        <v>99.457715258506497</v>
      </c>
      <c r="AK8458">
        <v>24.5350462963968</v>
      </c>
      <c r="AL8458">
        <v>93.157133832757793</v>
      </c>
      <c r="AM8458">
        <v>99.395110008784897</v>
      </c>
      <c r="AN8458">
        <v>0.99999999572696996</v>
      </c>
    </row>
    <row r="8459" spans="1:40" x14ac:dyDescent="0.25">
      <c r="A8459" t="str">
        <f>"20190303154010543"</f>
        <v>20190303154010543</v>
      </c>
      <c r="B8459" t="str">
        <f>"1551598810536797"</f>
        <v>1551598810536797</v>
      </c>
      <c r="C8459" t="s">
        <v>40</v>
      </c>
      <c r="D8459">
        <v>4.8906090000000004</v>
      </c>
      <c r="E8459">
        <v>0.4995368</v>
      </c>
      <c r="F8459" t="s">
        <v>86</v>
      </c>
      <c r="G8459">
        <v>-256.423</v>
      </c>
      <c r="H8459" s="1">
        <v>-2.0905499999999998E-6</v>
      </c>
      <c r="I8459">
        <v>-61.278329999999997</v>
      </c>
      <c r="J8459">
        <v>-281.7869</v>
      </c>
      <c r="K8459">
        <v>1.122846</v>
      </c>
      <c r="L8459">
        <v>-61.448610000000002</v>
      </c>
      <c r="M8459">
        <v>0.98784079999999996</v>
      </c>
      <c r="N8459">
        <v>-2.4967919999999998E-3</v>
      </c>
      <c r="O8459">
        <v>-0.155449</v>
      </c>
      <c r="P8459">
        <v>0.99842660000000005</v>
      </c>
      <c r="Q8459">
        <v>-5.5690910000000003E-2</v>
      </c>
      <c r="R8459">
        <v>6.5625400000000004E-3</v>
      </c>
      <c r="S8459">
        <v>2.9972530000000002</v>
      </c>
      <c r="T8459">
        <v>-0.13220309999999999</v>
      </c>
      <c r="U8459">
        <v>1.8646240000000001E-2</v>
      </c>
      <c r="V8459">
        <v>-0.16129160000000001</v>
      </c>
      <c r="W8459">
        <v>-5.4418290000000001E-2</v>
      </c>
      <c r="X8459">
        <v>0.98540530000000004</v>
      </c>
      <c r="Y8459">
        <v>-0.16129260000000001</v>
      </c>
      <c r="Z8459">
        <v>1.020079E-2</v>
      </c>
      <c r="AA8459">
        <v>0.98685389999999995</v>
      </c>
      <c r="AB8459">
        <v>20</v>
      </c>
      <c r="AC8459">
        <v>25.363900000000001</v>
      </c>
      <c r="AD8459">
        <v>-1.12284809055</v>
      </c>
      <c r="AE8459">
        <v>0.17027999999999099</v>
      </c>
      <c r="AF8459">
        <v>-4.1029744756036797</v>
      </c>
      <c r="AG8459">
        <v>-1.12284809055</v>
      </c>
      <c r="AH8459">
        <v>24.980148843882301</v>
      </c>
      <c r="AI8459">
        <v>92.539706363260606</v>
      </c>
      <c r="AJ8459">
        <v>99.327513692189896</v>
      </c>
      <c r="AK8459">
        <v>25.339751846543798</v>
      </c>
      <c r="AL8459">
        <v>93.119479384529996</v>
      </c>
      <c r="AM8459">
        <v>99.295769637486899</v>
      </c>
      <c r="AN8459">
        <v>0.99999996789258605</v>
      </c>
    </row>
    <row r="8460" spans="1:40" x14ac:dyDescent="0.25">
      <c r="A8460" t="str">
        <f>"20190303154010555"</f>
        <v>20190303154010555</v>
      </c>
      <c r="B8460" t="str">
        <f>"1551598810546558"</f>
        <v>1551598810546558</v>
      </c>
      <c r="C8460" t="s">
        <v>40</v>
      </c>
      <c r="D8460">
        <v>4.9088019999999997</v>
      </c>
      <c r="E8460">
        <v>0.49950879999999998</v>
      </c>
      <c r="F8460" t="s">
        <v>86</v>
      </c>
      <c r="G8460">
        <v>-255.77850000000001</v>
      </c>
      <c r="H8460" s="1">
        <v>-1.8090500000000001E-6</v>
      </c>
      <c r="I8460">
        <v>-61.255830000000003</v>
      </c>
      <c r="J8460">
        <v>-281.6825</v>
      </c>
      <c r="K8460">
        <v>1.1228229999999999</v>
      </c>
      <c r="L8460">
        <v>-61.46161</v>
      </c>
      <c r="M8460">
        <v>0.98831939999999996</v>
      </c>
      <c r="N8460">
        <v>-2.5495270000000002E-3</v>
      </c>
      <c r="O8460">
        <v>-0.1523764</v>
      </c>
      <c r="P8460">
        <v>0.99841670000000005</v>
      </c>
      <c r="Q8460">
        <v>-5.5810239999999997E-2</v>
      </c>
      <c r="R8460">
        <v>7.0441999999999996E-3</v>
      </c>
      <c r="S8460">
        <v>2.9973749999999999</v>
      </c>
      <c r="T8460">
        <v>-0.12940409999999999</v>
      </c>
      <c r="U8460">
        <v>2.2216799999999998E-2</v>
      </c>
      <c r="V8460">
        <v>-0.1587045</v>
      </c>
      <c r="W8460">
        <v>-5.4457560000000002E-2</v>
      </c>
      <c r="X8460">
        <v>0.98582320000000001</v>
      </c>
      <c r="Y8460">
        <v>-0.1594159</v>
      </c>
      <c r="Z8460">
        <v>9.8103840000000001E-3</v>
      </c>
      <c r="AA8460">
        <v>0.98716280000000001</v>
      </c>
      <c r="AB8460">
        <v>20</v>
      </c>
      <c r="AC8460">
        <v>25.904</v>
      </c>
      <c r="AD8460">
        <v>-1.1228248090499999</v>
      </c>
      <c r="AE8460">
        <v>0.20577999999999699</v>
      </c>
      <c r="AF8460">
        <v>-4.1427643808519097</v>
      </c>
      <c r="AG8460">
        <v>-1.1228248090499999</v>
      </c>
      <c r="AH8460">
        <v>25.522199778882499</v>
      </c>
      <c r="AI8460">
        <v>92.486545889938697</v>
      </c>
      <c r="AJ8460">
        <v>99.219840041314299</v>
      </c>
      <c r="AK8460">
        <v>25.880608837897601</v>
      </c>
      <c r="AL8460">
        <v>93.121732434311696</v>
      </c>
      <c r="AM8460">
        <v>99.145395346536304</v>
      </c>
      <c r="AN8460">
        <v>1.00000006290982</v>
      </c>
    </row>
    <row r="8461" spans="1:40" x14ac:dyDescent="0.25">
      <c r="A8461" t="str">
        <f>"20190303154010566"</f>
        <v>20190303154010566</v>
      </c>
      <c r="B8461" t="str">
        <f>"1551598810556318"</f>
        <v>1551598810556318</v>
      </c>
      <c r="C8461" t="s">
        <v>40</v>
      </c>
      <c r="D8461">
        <v>4.9359330000000003</v>
      </c>
      <c r="E8461">
        <v>0.4997183</v>
      </c>
      <c r="F8461" t="s">
        <v>86</v>
      </c>
      <c r="G8461">
        <v>-254.95779999999999</v>
      </c>
      <c r="H8461" s="1">
        <v>-1.4556760000000001E-6</v>
      </c>
      <c r="I8461">
        <v>-61.249929999999999</v>
      </c>
      <c r="J8461">
        <v>-281.58569999999997</v>
      </c>
      <c r="K8461">
        <v>1.122806</v>
      </c>
      <c r="L8461">
        <v>-61.473509999999997</v>
      </c>
      <c r="M8461">
        <v>0.98874919999999999</v>
      </c>
      <c r="N8461">
        <v>-2.5974219999999998E-3</v>
      </c>
      <c r="O8461">
        <v>-0.1495609</v>
      </c>
      <c r="P8461">
        <v>0.99834670000000003</v>
      </c>
      <c r="Q8461">
        <v>-5.70395E-2</v>
      </c>
      <c r="R8461">
        <v>7.0942109999999996E-3</v>
      </c>
      <c r="S8461">
        <v>2.9975589999999999</v>
      </c>
      <c r="T8461">
        <v>-0.1259412</v>
      </c>
      <c r="U8461">
        <v>2.3742679999999999E-2</v>
      </c>
      <c r="V8461">
        <v>-0.15592890000000001</v>
      </c>
      <c r="W8461">
        <v>-5.5612540000000002E-2</v>
      </c>
      <c r="X8461">
        <v>0.98620149999999995</v>
      </c>
      <c r="Y8461">
        <v>-0.1571255</v>
      </c>
      <c r="Z8461">
        <v>9.3781170000000001E-3</v>
      </c>
      <c r="AA8461">
        <v>0.98753409999999997</v>
      </c>
      <c r="AB8461">
        <v>20</v>
      </c>
      <c r="AC8461">
        <v>26.627899999999901</v>
      </c>
      <c r="AD8461">
        <v>-1.1228074556759999</v>
      </c>
      <c r="AE8461">
        <v>0.22357999999999101</v>
      </c>
      <c r="AF8461">
        <v>-4.1961107713998098</v>
      </c>
      <c r="AG8461">
        <v>-1.1228074556759999</v>
      </c>
      <c r="AH8461">
        <v>26.248295485797499</v>
      </c>
      <c r="AI8461">
        <v>92.418739214023006</v>
      </c>
      <c r="AJ8461">
        <v>99.082579555913398</v>
      </c>
      <c r="AK8461">
        <v>26.605282522426201</v>
      </c>
      <c r="AL8461">
        <v>93.188008600094506</v>
      </c>
      <c r="AM8461">
        <v>98.984692799914598</v>
      </c>
      <c r="AN8461">
        <v>0.99999998753135499</v>
      </c>
    </row>
    <row r="8462" spans="1:40" x14ac:dyDescent="0.25">
      <c r="A8462" t="str">
        <f>"20190303154010577"</f>
        <v>20190303154010577</v>
      </c>
      <c r="B8462" t="str">
        <f>"1551598810567055"</f>
        <v>1551598810567055</v>
      </c>
      <c r="C8462" t="s">
        <v>40</v>
      </c>
      <c r="D8462">
        <v>4.8828909999999999</v>
      </c>
      <c r="E8462">
        <v>0.4997183</v>
      </c>
      <c r="F8462" t="s">
        <v>86</v>
      </c>
      <c r="G8462">
        <v>-255.036</v>
      </c>
      <c r="H8462" s="1">
        <v>-1.4954210000000001E-6</v>
      </c>
      <c r="I8462">
        <v>-61.277819999999998</v>
      </c>
      <c r="J8462">
        <v>-281.48680000000002</v>
      </c>
      <c r="K8462">
        <v>1.1227929999999999</v>
      </c>
      <c r="L8462">
        <v>-61.485289999999999</v>
      </c>
      <c r="M8462">
        <v>0.98917339999999998</v>
      </c>
      <c r="N8462">
        <v>-2.644324E-3</v>
      </c>
      <c r="O8462">
        <v>-0.14672829999999901</v>
      </c>
      <c r="P8462">
        <v>0.99827549999999998</v>
      </c>
      <c r="Q8462">
        <v>-5.8255580000000001E-2</v>
      </c>
      <c r="R8462">
        <v>7.2479299999999997E-3</v>
      </c>
      <c r="S8462">
        <v>2.9975890000000001</v>
      </c>
      <c r="T8462">
        <v>-0.1267703</v>
      </c>
      <c r="U8462">
        <v>2.209473E-2</v>
      </c>
      <c r="V8462">
        <v>-0.1532385</v>
      </c>
      <c r="W8462">
        <v>-5.6758299999999998E-2</v>
      </c>
      <c r="X8462">
        <v>0.98655789999999999</v>
      </c>
      <c r="Y8462">
        <v>-0.15375510000000001</v>
      </c>
      <c r="Z8462">
        <v>9.2506159999999997E-3</v>
      </c>
      <c r="AA8462">
        <v>0.98806570000000005</v>
      </c>
      <c r="AB8462">
        <v>20</v>
      </c>
      <c r="AC8462">
        <v>26.450800000000001</v>
      </c>
      <c r="AD8462">
        <v>-1.1227944954209901</v>
      </c>
      <c r="AE8462">
        <v>0.20746999999999999</v>
      </c>
      <c r="AF8462">
        <v>-4.0789692861697304</v>
      </c>
      <c r="AG8462">
        <v>-1.1227944954209901</v>
      </c>
      <c r="AH8462">
        <v>26.087072219038401</v>
      </c>
      <c r="AI8462">
        <v>92.434955107113396</v>
      </c>
      <c r="AJ8462">
        <v>98.886799961116097</v>
      </c>
      <c r="AK8462">
        <v>26.427901825112599</v>
      </c>
      <c r="AL8462">
        <v>93.253759586841596</v>
      </c>
      <c r="AM8462">
        <v>98.828995404292598</v>
      </c>
      <c r="AN8462">
        <v>1.0000000162767699</v>
      </c>
    </row>
    <row r="8463" spans="1:40" x14ac:dyDescent="0.25">
      <c r="A8463" t="str">
        <f>"20190303154010587"</f>
        <v>20190303154010587</v>
      </c>
      <c r="B8463" t="str">
        <f>"1551598810576814"</f>
        <v>1551598810576814</v>
      </c>
      <c r="C8463" t="s">
        <v>40</v>
      </c>
      <c r="D8463">
        <v>4.8846119999999997</v>
      </c>
      <c r="E8463">
        <v>0.51071049999999996</v>
      </c>
      <c r="F8463" t="s">
        <v>86</v>
      </c>
      <c r="G8463">
        <v>-255.6825</v>
      </c>
      <c r="H8463" s="1">
        <v>-1.7757359999999999E-6</v>
      </c>
      <c r="I8463">
        <v>-61.291139999999999</v>
      </c>
      <c r="J8463">
        <v>-281.3888</v>
      </c>
      <c r="K8463">
        <v>1.1227769999999999</v>
      </c>
      <c r="L8463">
        <v>-61.496859999999998</v>
      </c>
      <c r="M8463">
        <v>0.98958360000000001</v>
      </c>
      <c r="N8463">
        <v>-2.6901310000000001E-3</v>
      </c>
      <c r="O8463">
        <v>-0.1439349</v>
      </c>
      <c r="P8463">
        <v>0.998197</v>
      </c>
      <c r="Q8463">
        <v>-5.9601290000000001E-2</v>
      </c>
      <c r="R8463">
        <v>7.1200439999999999E-3</v>
      </c>
      <c r="S8463">
        <v>2.9974059999999998</v>
      </c>
      <c r="T8463">
        <v>-0.130422699999999</v>
      </c>
      <c r="U8463">
        <v>2.2552490000000001E-2</v>
      </c>
      <c r="V8463">
        <v>-0.150306299999999</v>
      </c>
      <c r="W8463">
        <v>-5.8033880000000003E-2</v>
      </c>
      <c r="X8463">
        <v>0.98693470000000005</v>
      </c>
      <c r="Y8463">
        <v>-0.15110580000000001</v>
      </c>
      <c r="Z8463">
        <v>9.3454929999999999E-3</v>
      </c>
      <c r="AA8463">
        <v>0.98847339999999995</v>
      </c>
      <c r="AB8463">
        <v>20</v>
      </c>
      <c r="AC8463">
        <v>25.706299999999999</v>
      </c>
      <c r="AD8463">
        <v>-1.1227787757359999</v>
      </c>
      <c r="AE8463">
        <v>0.20571999999999199</v>
      </c>
      <c r="AF8463">
        <v>-3.8961923291929099</v>
      </c>
      <c r="AG8463">
        <v>-1.1227787757359999</v>
      </c>
      <c r="AH8463">
        <v>25.360634797392098</v>
      </c>
      <c r="AI8463">
        <v>92.505613233857801</v>
      </c>
      <c r="AJ8463">
        <v>98.734147401315496</v>
      </c>
      <c r="AK8463">
        <v>25.682732412498499</v>
      </c>
      <c r="AL8463">
        <v>93.326965648017904</v>
      </c>
      <c r="AM8463">
        <v>98.659383688984505</v>
      </c>
      <c r="AN8463">
        <v>1.0000000085558101</v>
      </c>
    </row>
    <row r="8464" spans="1:40" x14ac:dyDescent="0.25">
      <c r="A8464" t="str">
        <f>"20190303154010600"</f>
        <v>20190303154010600</v>
      </c>
      <c r="B8464" t="str">
        <f>"1551598810596334"</f>
        <v>1551598810596334</v>
      </c>
      <c r="C8464" t="s">
        <v>40</v>
      </c>
      <c r="D8464">
        <v>4.9444780000000002</v>
      </c>
      <c r="E8464">
        <v>0.51390049999999998</v>
      </c>
      <c r="F8464" t="s">
        <v>88</v>
      </c>
      <c r="G8464">
        <v>-232.15049999999999</v>
      </c>
      <c r="H8464" s="1">
        <v>-5.0167929999999998E-7</v>
      </c>
      <c r="I8464">
        <v>-62.608559999999997</v>
      </c>
      <c r="J8464">
        <v>-281.28750000000002</v>
      </c>
      <c r="K8464">
        <v>1.1227659999999999</v>
      </c>
      <c r="L8464">
        <v>-61.508389999999999</v>
      </c>
      <c r="M8464">
        <v>0.98999199999999998</v>
      </c>
      <c r="N8464">
        <v>-2.7348060000000002E-3</v>
      </c>
      <c r="O8464">
        <v>-0.14109759999999999</v>
      </c>
      <c r="P8464">
        <v>0.99811190000000005</v>
      </c>
      <c r="Q8464">
        <v>-6.099835E-2</v>
      </c>
      <c r="R8464">
        <v>7.2040450000000001E-3</v>
      </c>
      <c r="S8464">
        <v>3.0018310000000001</v>
      </c>
      <c r="T8464">
        <v>-6.8450449999999996E-2</v>
      </c>
      <c r="U8464">
        <v>-6.7779539999999999E-2</v>
      </c>
      <c r="V8464">
        <v>-0.1475388</v>
      </c>
      <c r="W8464">
        <v>-5.9365330000000001E-2</v>
      </c>
      <c r="X8464">
        <v>0.98727299999999996</v>
      </c>
      <c r="Y8464">
        <v>-0.1186517</v>
      </c>
      <c r="Z8464">
        <v>4.3350769999999997E-3</v>
      </c>
      <c r="AA8464">
        <v>0.99292650000000005</v>
      </c>
      <c r="AB8464">
        <v>20</v>
      </c>
      <c r="AC8464">
        <v>49.137</v>
      </c>
      <c r="AD8464">
        <v>-1.1227665016793</v>
      </c>
      <c r="AE8464">
        <v>-1.1001699999999901</v>
      </c>
      <c r="AF8464">
        <v>-5.8409265487910398</v>
      </c>
      <c r="AG8464">
        <v>-1.1227665016793</v>
      </c>
      <c r="AH8464">
        <v>48.7751933159199</v>
      </c>
      <c r="AI8464">
        <v>91.3093193352329</v>
      </c>
      <c r="AJ8464">
        <v>96.8287648940954</v>
      </c>
      <c r="AK8464">
        <v>49.136508937561103</v>
      </c>
      <c r="AL8464">
        <v>93.403384058836195</v>
      </c>
      <c r="AM8464">
        <v>98.499424474838406</v>
      </c>
      <c r="AN8464">
        <v>0.99999995822022303</v>
      </c>
    </row>
    <row r="8465" spans="1:40" x14ac:dyDescent="0.25">
      <c r="A8465" t="str">
        <f>"20190303154010611"</f>
        <v>20190303154010611</v>
      </c>
      <c r="B8465" t="str">
        <f>"1551598810607069"</f>
        <v>1551598810607069</v>
      </c>
      <c r="C8465" t="s">
        <v>40</v>
      </c>
      <c r="D8465">
        <v>4.8902710000000003</v>
      </c>
      <c r="E8465">
        <v>0.51434840000000004</v>
      </c>
      <c r="F8465" t="s">
        <v>89</v>
      </c>
      <c r="G8465">
        <v>-226.27209999999999</v>
      </c>
      <c r="H8465" s="1">
        <v>-2.4392190000000002E-6</v>
      </c>
      <c r="I8465">
        <v>-63.218870000000003</v>
      </c>
      <c r="J8465">
        <v>-281.18150000000003</v>
      </c>
      <c r="K8465">
        <v>1.1227510000000001</v>
      </c>
      <c r="L8465">
        <v>-61.520359999999997</v>
      </c>
      <c r="M8465">
        <v>0.99040839999999997</v>
      </c>
      <c r="N8465">
        <v>-2.7807209999999999E-3</v>
      </c>
      <c r="O8465">
        <v>-0.1381433</v>
      </c>
      <c r="P8465">
        <v>0.99802789999999997</v>
      </c>
      <c r="Q8465">
        <v>-6.2351049999999998E-2</v>
      </c>
      <c r="R8465">
        <v>7.275508E-3</v>
      </c>
      <c r="S8465">
        <v>3.0025940000000002</v>
      </c>
      <c r="T8465">
        <v>-6.1277749999999999E-2</v>
      </c>
      <c r="U8465">
        <v>-9.3353270000000002E-2</v>
      </c>
      <c r="V8465">
        <v>-0.14464299999999999</v>
      </c>
      <c r="W8465">
        <v>-6.0650540000000003E-2</v>
      </c>
      <c r="X8465">
        <v>0.98762329999999998</v>
      </c>
      <c r="Y8465">
        <v>-0.1072526</v>
      </c>
      <c r="Z8465">
        <v>3.6680649999999999E-3</v>
      </c>
      <c r="AA8465">
        <v>0.99422500000000003</v>
      </c>
      <c r="AB8465">
        <v>21</v>
      </c>
      <c r="AC8465">
        <v>54.909399999999998</v>
      </c>
      <c r="AD8465">
        <v>-1.1227534392189999</v>
      </c>
      <c r="AE8465">
        <v>-1.69850999999999</v>
      </c>
      <c r="AF8465">
        <v>-5.90070496652553</v>
      </c>
      <c r="AG8465">
        <v>-1.1227534392189999</v>
      </c>
      <c r="AH8465">
        <v>54.594773134788603</v>
      </c>
      <c r="AI8465">
        <v>91.171314470655901</v>
      </c>
      <c r="AJ8465">
        <v>96.168688911221196</v>
      </c>
      <c r="AK8465">
        <v>54.924203663105502</v>
      </c>
      <c r="AL8465">
        <v>93.477154200921206</v>
      </c>
      <c r="AM8465">
        <v>98.3320547598221</v>
      </c>
      <c r="AN8465">
        <v>0.99999993407708798</v>
      </c>
    </row>
    <row r="8466" spans="1:40" x14ac:dyDescent="0.25">
      <c r="A8466" t="str">
        <f>"20190303154010621"</f>
        <v>20190303154010621</v>
      </c>
      <c r="B8466" t="str">
        <f>"1551598810616830"</f>
        <v>1551598810616830</v>
      </c>
      <c r="C8466" t="s">
        <v>40</v>
      </c>
      <c r="D8466">
        <v>4.884563</v>
      </c>
      <c r="E8466">
        <v>0.51473950000000002</v>
      </c>
      <c r="F8466" t="s">
        <v>89</v>
      </c>
      <c r="G8466">
        <v>-227.684</v>
      </c>
      <c r="H8466" s="1">
        <v>-3.0058710000000001E-6</v>
      </c>
      <c r="I8466">
        <v>-63.243409999999997</v>
      </c>
      <c r="J8466">
        <v>-281.07810000000001</v>
      </c>
      <c r="K8466">
        <v>1.122743</v>
      </c>
      <c r="L8466">
        <v>-61.531619999999997</v>
      </c>
      <c r="M8466">
        <v>0.99080020000000002</v>
      </c>
      <c r="N8466">
        <v>-2.8226610000000002E-3</v>
      </c>
      <c r="O8466">
        <v>-0.1353047</v>
      </c>
      <c r="P8466">
        <v>0.99795069999999997</v>
      </c>
      <c r="Q8466">
        <v>-6.3588809999999996E-2</v>
      </c>
      <c r="R8466">
        <v>7.1722280000000001E-3</v>
      </c>
      <c r="S8466">
        <v>3.0026549999999999</v>
      </c>
      <c r="T8466">
        <v>-6.301677E-2</v>
      </c>
      <c r="U8466">
        <v>-9.6710210000000005E-2</v>
      </c>
      <c r="V8466">
        <v>-0.1416917</v>
      </c>
      <c r="W8466">
        <v>-6.1824940000000002E-2</v>
      </c>
      <c r="X8466">
        <v>0.98797829999999998</v>
      </c>
      <c r="Y8466">
        <v>-0.1032917</v>
      </c>
      <c r="Z8466">
        <v>3.676945E-3</v>
      </c>
      <c r="AA8466">
        <v>0.99464430000000004</v>
      </c>
      <c r="AB8466">
        <v>21</v>
      </c>
      <c r="AC8466">
        <v>53.394099999999902</v>
      </c>
      <c r="AD8466">
        <v>-1.1227460058709999</v>
      </c>
      <c r="AE8466">
        <v>-1.7117899999999999</v>
      </c>
      <c r="AF8466">
        <v>-5.52601096551144</v>
      </c>
      <c r="AG8466">
        <v>-1.1227460058709999</v>
      </c>
      <c r="AH8466">
        <v>53.111240757772599</v>
      </c>
      <c r="AI8466">
        <v>91.204524416469994</v>
      </c>
      <c r="AJ8466">
        <v>95.940022220907295</v>
      </c>
      <c r="AK8466">
        <v>53.409748647739697</v>
      </c>
      <c r="AL8466">
        <v>93.544568693487804</v>
      </c>
      <c r="AM8466">
        <v>98.161468518270595</v>
      </c>
      <c r="AN8466">
        <v>0.99999999116289096</v>
      </c>
    </row>
    <row r="8467" spans="1:40" x14ac:dyDescent="0.25">
      <c r="A8467" t="str">
        <f>"20190303154010634"</f>
        <v>20190303154010634</v>
      </c>
      <c r="B8467" t="str">
        <f>"1551598810626590"</f>
        <v>1551598810626590</v>
      </c>
      <c r="C8467" t="s">
        <v>40</v>
      </c>
      <c r="D8467">
        <v>4.9200249999999999</v>
      </c>
      <c r="E8467">
        <v>0.51430909999999996</v>
      </c>
      <c r="F8467" t="s">
        <v>88</v>
      </c>
      <c r="G8467">
        <v>-232.57759999999999</v>
      </c>
      <c r="H8467" s="1">
        <v>-8.2808140000000004E-7</v>
      </c>
      <c r="I8467">
        <v>-63.146549999999998</v>
      </c>
      <c r="J8467">
        <v>-280.97480000000002</v>
      </c>
      <c r="K8467">
        <v>1.122736</v>
      </c>
      <c r="L8467">
        <v>-61.542659999999998</v>
      </c>
      <c r="M8467">
        <v>0.99118039999999996</v>
      </c>
      <c r="N8467">
        <v>-2.863216E-3</v>
      </c>
      <c r="O8467">
        <v>-0.1324892</v>
      </c>
      <c r="P8467">
        <v>0.9979034</v>
      </c>
      <c r="Q8467">
        <v>-6.43426E-2</v>
      </c>
      <c r="R8467">
        <v>7.013951E-3</v>
      </c>
      <c r="S8467">
        <v>3.0024109999999999</v>
      </c>
      <c r="T8467">
        <v>-6.9503190000000006E-2</v>
      </c>
      <c r="U8467">
        <v>-9.9975590000000003E-2</v>
      </c>
      <c r="V8467">
        <v>-0.13871610000000001</v>
      </c>
      <c r="W8467">
        <v>-6.2516470000000005E-2</v>
      </c>
      <c r="X8467">
        <v>0.98835700000000004</v>
      </c>
      <c r="Y8467">
        <v>-9.9372859999999993E-2</v>
      </c>
      <c r="Z8467">
        <v>3.9690769999999997E-3</v>
      </c>
      <c r="AA8467">
        <v>0.99504230000000005</v>
      </c>
      <c r="AB8467">
        <v>21</v>
      </c>
      <c r="AC8467">
        <v>48.397199999999998</v>
      </c>
      <c r="AD8467">
        <v>-1.1227368280814001</v>
      </c>
      <c r="AE8467">
        <v>-1.60388999999999</v>
      </c>
      <c r="AF8467">
        <v>-4.8197903350969398</v>
      </c>
      <c r="AG8467">
        <v>-1.1227368280814001</v>
      </c>
      <c r="AH8467">
        <v>48.157159463272798</v>
      </c>
      <c r="AI8467">
        <v>91.328915983546906</v>
      </c>
      <c r="AJ8467">
        <v>95.715392673167102</v>
      </c>
      <c r="AK8467">
        <v>48.410772813811903</v>
      </c>
      <c r="AL8467">
        <v>93.584267164327599</v>
      </c>
      <c r="AM8467">
        <v>97.989288566602596</v>
      </c>
      <c r="AN8467">
        <v>1.0000000124347299</v>
      </c>
    </row>
    <row r="8468" spans="1:40" x14ac:dyDescent="0.25">
      <c r="A8468" t="str">
        <f>"20190303154010644"</f>
        <v>20190303154010644</v>
      </c>
      <c r="B8468" t="str">
        <f>"1551598810636350"</f>
        <v>1551598810636350</v>
      </c>
      <c r="C8468" t="s">
        <v>40</v>
      </c>
      <c r="D8468">
        <v>4.8653769999999996</v>
      </c>
      <c r="E8468">
        <v>0.51477220000000001</v>
      </c>
      <c r="F8468" t="s">
        <v>87</v>
      </c>
      <c r="G8468">
        <v>-241.01660000000001</v>
      </c>
      <c r="H8468" s="1">
        <v>-7.3635870000000003E-8</v>
      </c>
      <c r="I8468">
        <v>-62.828029999999998</v>
      </c>
      <c r="J8468">
        <v>-280.87240000000003</v>
      </c>
      <c r="K8468">
        <v>1.1227320000000001</v>
      </c>
      <c r="L8468">
        <v>-61.553339999999999</v>
      </c>
      <c r="M8468">
        <v>0.99154560000000003</v>
      </c>
      <c r="N8468">
        <v>-2.9013950000000002E-3</v>
      </c>
      <c r="O8468">
        <v>-0.12972700000000001</v>
      </c>
      <c r="P8468">
        <v>0.99785939999999995</v>
      </c>
      <c r="Q8468">
        <v>-6.5088690000000005E-2</v>
      </c>
      <c r="R8468">
        <v>6.3530519999999997E-3</v>
      </c>
      <c r="S8468">
        <v>3.0015559999999999</v>
      </c>
      <c r="T8468">
        <v>-8.4336880000000003E-2</v>
      </c>
      <c r="U8468">
        <v>-9.6557619999999997E-2</v>
      </c>
      <c r="V8468">
        <v>-0.135296</v>
      </c>
      <c r="W8468">
        <v>-6.3199240000000004E-2</v>
      </c>
      <c r="X8468">
        <v>0.98878759999999999</v>
      </c>
      <c r="Y8468">
        <v>-9.7696309999999995E-2</v>
      </c>
      <c r="Z8468">
        <v>4.7702129999999997E-3</v>
      </c>
      <c r="AA8468">
        <v>0.99520489999999995</v>
      </c>
      <c r="AB8468">
        <v>21</v>
      </c>
      <c r="AC8468">
        <v>39.855800000000002</v>
      </c>
      <c r="AD8468">
        <v>-1.1227320736358699</v>
      </c>
      <c r="AE8468">
        <v>-1.2746899999999901</v>
      </c>
      <c r="AF8468">
        <v>-3.9033818510005802</v>
      </c>
      <c r="AG8468">
        <v>-1.1227320736358699</v>
      </c>
      <c r="AH8468">
        <v>39.652934044662402</v>
      </c>
      <c r="AI8468">
        <v>91.614040649531802</v>
      </c>
      <c r="AJ8468">
        <v>95.622007272943407</v>
      </c>
      <c r="AK8468">
        <v>39.8604076187667</v>
      </c>
      <c r="AL8468">
        <v>93.623464436250501</v>
      </c>
      <c r="AM8468">
        <v>97.791408206134705</v>
      </c>
      <c r="AN8468">
        <v>1.0000000347331599</v>
      </c>
    </row>
    <row r="8469" spans="1:40" x14ac:dyDescent="0.25">
      <c r="A8469" t="str">
        <f>"20190303154010655"</f>
        <v>20190303154010655</v>
      </c>
      <c r="B8469" t="str">
        <f>"1551598810647086"</f>
        <v>1551598810647086</v>
      </c>
      <c r="C8469" t="s">
        <v>40</v>
      </c>
      <c r="D8469">
        <v>4.8911179999999996</v>
      </c>
      <c r="E8469">
        <v>0.51514309999999996</v>
      </c>
      <c r="F8469" t="s">
        <v>87</v>
      </c>
      <c r="G8469">
        <v>-243.32749999999999</v>
      </c>
      <c r="H8469" s="1">
        <v>-1.06622E-6</v>
      </c>
      <c r="I8469">
        <v>-62.832599999999999</v>
      </c>
      <c r="J8469">
        <v>-280.76749999999998</v>
      </c>
      <c r="K8469">
        <v>1.1227229999999999</v>
      </c>
      <c r="L8469">
        <v>-61.564030000000002</v>
      </c>
      <c r="M8469">
        <v>0.99190750000000005</v>
      </c>
      <c r="N8469">
        <v>-2.9376319999999999E-3</v>
      </c>
      <c r="O8469">
        <v>-0.1269295</v>
      </c>
      <c r="P8469">
        <v>0.99783409999999995</v>
      </c>
      <c r="Q8469">
        <v>-6.5561590000000003E-2</v>
      </c>
      <c r="R8469">
        <v>5.3971899999999996E-3</v>
      </c>
      <c r="S8469">
        <v>3.0012210000000001</v>
      </c>
      <c r="T8469">
        <v>-8.9747670000000002E-2</v>
      </c>
      <c r="U8469">
        <v>-0.10226440000000001</v>
      </c>
      <c r="V8469">
        <v>-0.13155310000000001</v>
      </c>
      <c r="W8469">
        <v>-6.3607239999999995E-2</v>
      </c>
      <c r="X8469">
        <v>0.98926630000000004</v>
      </c>
      <c r="Y8469">
        <v>-9.2986020000000003E-2</v>
      </c>
      <c r="Z8469">
        <v>4.936569E-3</v>
      </c>
      <c r="AA8469">
        <v>0.99565519999999996</v>
      </c>
      <c r="AB8469">
        <v>21</v>
      </c>
      <c r="AC8469">
        <v>37.44</v>
      </c>
      <c r="AD8469">
        <v>-1.12272406622</v>
      </c>
      <c r="AE8469">
        <v>-1.26856999999999</v>
      </c>
      <c r="AF8469">
        <v>-3.4908156084212099</v>
      </c>
      <c r="AG8469">
        <v>-1.12272406622</v>
      </c>
      <c r="AH8469">
        <v>37.2647212535406</v>
      </c>
      <c r="AI8469">
        <v>91.718186779073704</v>
      </c>
      <c r="AJ8469">
        <v>95.351630571472</v>
      </c>
      <c r="AK8469">
        <v>37.444702603238198</v>
      </c>
      <c r="AL8469">
        <v>93.646888531148804</v>
      </c>
      <c r="AM8469">
        <v>97.574778157449799</v>
      </c>
      <c r="AN8469">
        <v>0.99999995570785705</v>
      </c>
    </row>
    <row r="8470" spans="1:40" x14ac:dyDescent="0.25">
      <c r="A8470" t="str">
        <f>"20190303154010666"</f>
        <v>20190303154010666</v>
      </c>
      <c r="B8470" t="str">
        <f>"1551598810656846"</f>
        <v>1551598810656846</v>
      </c>
      <c r="C8470" t="s">
        <v>40</v>
      </c>
      <c r="D8470">
        <v>4.8847290000000001</v>
      </c>
      <c r="E8470">
        <v>0.51509830000000001</v>
      </c>
      <c r="F8470" t="s">
        <v>87</v>
      </c>
      <c r="G8470">
        <v>-245.1216</v>
      </c>
      <c r="H8470" s="1">
        <v>-1.839971E-6</v>
      </c>
      <c r="I8470">
        <v>-62.847929999999998</v>
      </c>
      <c r="J8470">
        <v>-280.66180000000003</v>
      </c>
      <c r="K8470">
        <v>1.1227119999999999</v>
      </c>
      <c r="L8470">
        <v>-61.574579999999997</v>
      </c>
      <c r="M8470">
        <v>0.99226080000000005</v>
      </c>
      <c r="N8470">
        <v>-2.9722049999999999E-3</v>
      </c>
      <c r="O8470">
        <v>-0.12413589999999999</v>
      </c>
      <c r="P8470">
        <v>0.99777389999999999</v>
      </c>
      <c r="Q8470">
        <v>-6.6541879999999998E-2</v>
      </c>
      <c r="R8470">
        <v>4.3901039999999997E-3</v>
      </c>
      <c r="S8470">
        <v>3.0009160000000001</v>
      </c>
      <c r="T8470">
        <v>-9.4518660000000004E-2</v>
      </c>
      <c r="U8470">
        <v>-0.1080933</v>
      </c>
      <c r="V8470">
        <v>-0.12775439999999999</v>
      </c>
      <c r="W8470">
        <v>-6.4523460000000005E-2</v>
      </c>
      <c r="X8470">
        <v>0.98970480000000005</v>
      </c>
      <c r="Y8470">
        <v>-8.8239830000000005E-2</v>
      </c>
      <c r="Z8470">
        <v>5.0482249999999999E-3</v>
      </c>
      <c r="AA8470">
        <v>0.99608649999999999</v>
      </c>
      <c r="AB8470">
        <v>21</v>
      </c>
      <c r="AC8470">
        <v>35.540199999999999</v>
      </c>
      <c r="AD8470">
        <v>-1.1227138399709999</v>
      </c>
      <c r="AE8470">
        <v>-1.27335</v>
      </c>
      <c r="AF8470">
        <v>-3.1451985974648702</v>
      </c>
      <c r="AG8470">
        <v>-1.1227138399709999</v>
      </c>
      <c r="AH8470">
        <v>35.388101857676297</v>
      </c>
      <c r="AI8470">
        <v>91.810011737309395</v>
      </c>
      <c r="AJ8470">
        <v>95.078948511515094</v>
      </c>
      <c r="AK8470">
        <v>35.545330406021399</v>
      </c>
      <c r="AL8470">
        <v>93.699491872254299</v>
      </c>
      <c r="AM8470">
        <v>97.355258121439505</v>
      </c>
      <c r="AN8470">
        <v>1.0000000273763801</v>
      </c>
    </row>
    <row r="8471" spans="1:40" x14ac:dyDescent="0.25">
      <c r="A8471" t="str">
        <f>"20190303154010680"</f>
        <v>20190303154010680</v>
      </c>
      <c r="B8471" t="str">
        <f>"1551598810666606"</f>
        <v>1551598810666606</v>
      </c>
      <c r="C8471" t="s">
        <v>40</v>
      </c>
      <c r="D8471">
        <v>4.9062659999999996</v>
      </c>
      <c r="E8471">
        <v>0.51495899999999994</v>
      </c>
      <c r="F8471" t="s">
        <v>87</v>
      </c>
      <c r="G8471">
        <v>-246.30420000000001</v>
      </c>
      <c r="H8471" s="1">
        <v>-2.346242E-6</v>
      </c>
      <c r="I8471">
        <v>-62.844000000000001</v>
      </c>
      <c r="J8471">
        <v>-280.56299999999999</v>
      </c>
      <c r="K8471">
        <v>1.1227009999999999</v>
      </c>
      <c r="L8471">
        <v>-61.58408</v>
      </c>
      <c r="M8471">
        <v>0.99257790000000001</v>
      </c>
      <c r="N8471">
        <v>-3.0003540000000002E-3</v>
      </c>
      <c r="O8471">
        <v>-0.1215741</v>
      </c>
      <c r="P8471">
        <v>0.99770250000000005</v>
      </c>
      <c r="Q8471">
        <v>-6.7693169999999997E-2</v>
      </c>
      <c r="R8471">
        <v>2.7556099999999999E-3</v>
      </c>
      <c r="S8471">
        <v>3.0006409999999999</v>
      </c>
      <c r="T8471">
        <v>-9.8052739999999999E-2</v>
      </c>
      <c r="U8471">
        <v>-0.11087039999999999</v>
      </c>
      <c r="V8471">
        <v>-0.1235627</v>
      </c>
      <c r="W8471">
        <v>-6.5611950000000002E-2</v>
      </c>
      <c r="X8471">
        <v>0.99016530000000003</v>
      </c>
      <c r="Y8471">
        <v>-8.4739519999999999E-2</v>
      </c>
      <c r="Z8471">
        <v>5.1061329999999997E-3</v>
      </c>
      <c r="AA8471">
        <v>0.99639</v>
      </c>
      <c r="AB8471">
        <v>21</v>
      </c>
      <c r="AC8471">
        <v>34.258799999999901</v>
      </c>
      <c r="AD8471">
        <v>-1.122703346242</v>
      </c>
      <c r="AE8471">
        <v>-1.2599199999999799</v>
      </c>
      <c r="AF8471">
        <v>-2.91130454208405</v>
      </c>
      <c r="AG8471">
        <v>-1.122703346242</v>
      </c>
      <c r="AH8471">
        <v>34.1212573898326</v>
      </c>
      <c r="AI8471">
        <v>91.877725126956705</v>
      </c>
      <c r="AJ8471">
        <v>94.876797024547699</v>
      </c>
      <c r="AK8471">
        <v>34.263630321430099</v>
      </c>
      <c r="AL8471">
        <v>93.761990321666005</v>
      </c>
      <c r="AM8471">
        <v>97.113167455370998</v>
      </c>
      <c r="AN8471">
        <v>0.99999999506909099</v>
      </c>
    </row>
    <row r="8472" spans="1:40" x14ac:dyDescent="0.25">
      <c r="A8472" t="str">
        <f>"20190303154010693"</f>
        <v>20190303154010693</v>
      </c>
      <c r="B8472" t="str">
        <f>"1551598810687102"</f>
        <v>1551598810687102</v>
      </c>
      <c r="C8472" t="s">
        <v>40</v>
      </c>
      <c r="D8472">
        <v>4.8980379999999997</v>
      </c>
      <c r="E8472">
        <v>0.51502309999999996</v>
      </c>
      <c r="F8472" t="s">
        <v>87</v>
      </c>
      <c r="G8472">
        <v>-247.70859999999999</v>
      </c>
      <c r="H8472" s="1">
        <v>-2.9331579999999998E-6</v>
      </c>
      <c r="I8472">
        <v>-62.840530000000001</v>
      </c>
      <c r="J8472">
        <v>-280.41950000000003</v>
      </c>
      <c r="K8472">
        <v>1.1226719999999999</v>
      </c>
      <c r="L8472">
        <v>-61.597630000000002</v>
      </c>
      <c r="M8472">
        <v>0.9930215</v>
      </c>
      <c r="N8472">
        <v>-3.038303E-3</v>
      </c>
      <c r="O8472">
        <v>-0.1178946</v>
      </c>
      <c r="P8472">
        <v>0.99764909999999996</v>
      </c>
      <c r="Q8472">
        <v>-6.8477620000000003E-2</v>
      </c>
      <c r="R8472">
        <v>2.6760970000000001E-3</v>
      </c>
      <c r="S8472">
        <v>3.0002749999999998</v>
      </c>
      <c r="T8472">
        <v>-0.1025257</v>
      </c>
      <c r="U8472">
        <v>-0.1147461</v>
      </c>
      <c r="V8472">
        <v>-0.11980590000000001</v>
      </c>
      <c r="W8472">
        <v>-6.6323950000000007E-2</v>
      </c>
      <c r="X8472">
        <v>0.99057949999999995</v>
      </c>
      <c r="Y8472">
        <v>-7.9751059999999999E-2</v>
      </c>
      <c r="Z8472">
        <v>5.140922E-3</v>
      </c>
      <c r="AA8472">
        <v>0.99680159999999995</v>
      </c>
      <c r="AB8472">
        <v>21</v>
      </c>
      <c r="AC8472">
        <v>32.710900000000002</v>
      </c>
      <c r="AD8472">
        <v>-1.1226749331579999</v>
      </c>
      <c r="AE8472">
        <v>-1.2428999999999899</v>
      </c>
      <c r="AF8472">
        <v>-2.6191433184639901</v>
      </c>
      <c r="AG8472">
        <v>-1.1226749331579999</v>
      </c>
      <c r="AH8472">
        <v>32.590972831786097</v>
      </c>
      <c r="AI8472">
        <v>91.966576435777597</v>
      </c>
      <c r="AJ8472">
        <v>94.594647849135796</v>
      </c>
      <c r="AK8472">
        <v>32.715314775352802</v>
      </c>
      <c r="AL8472">
        <v>93.802873828731407</v>
      </c>
      <c r="AM8472">
        <v>96.896158286670797</v>
      </c>
      <c r="AN8472">
        <v>1.0000000329193299</v>
      </c>
    </row>
    <row r="8473" spans="1:40" x14ac:dyDescent="0.25">
      <c r="A8473" t="str">
        <f>"20190303154010706"</f>
        <v>20190303154010706</v>
      </c>
      <c r="B8473" t="str">
        <f>"1551598810696862"</f>
        <v>1551598810696862</v>
      </c>
      <c r="C8473" t="s">
        <v>40</v>
      </c>
      <c r="D8473">
        <v>4.8586790000000004</v>
      </c>
      <c r="E8473">
        <v>0.51484620000000003</v>
      </c>
      <c r="F8473" t="s">
        <v>87</v>
      </c>
      <c r="G8473">
        <v>-248.363</v>
      </c>
      <c r="H8473" s="1">
        <v>-3.1543929999999998E-6</v>
      </c>
      <c r="I8473">
        <v>-62.8324199999999</v>
      </c>
      <c r="J8473">
        <v>-280.30290000000002</v>
      </c>
      <c r="K8473">
        <v>1.122636</v>
      </c>
      <c r="L8473">
        <v>-61.608280000000001</v>
      </c>
      <c r="M8473">
        <v>0.99336480000000005</v>
      </c>
      <c r="N8473">
        <v>-3.065295E-3</v>
      </c>
      <c r="O8473">
        <v>-0.1149652</v>
      </c>
      <c r="P8473">
        <v>0.99760400000000005</v>
      </c>
      <c r="Q8473">
        <v>-6.9158910000000004E-2</v>
      </c>
      <c r="R8473">
        <v>1.8914170000000001E-3</v>
      </c>
      <c r="S8473">
        <v>3.0001530000000001</v>
      </c>
      <c r="T8473">
        <v>-0.10507039999999999</v>
      </c>
      <c r="U8473">
        <v>-0.1155701</v>
      </c>
      <c r="V8473">
        <v>-0.11609949999999999</v>
      </c>
      <c r="W8473">
        <v>-6.6943009999999997E-2</v>
      </c>
      <c r="X8473">
        <v>0.9909791</v>
      </c>
      <c r="Y8473">
        <v>-7.6533729999999994E-2</v>
      </c>
      <c r="Z8473">
        <v>5.1183210000000003E-3</v>
      </c>
      <c r="AA8473">
        <v>0.99705390000000005</v>
      </c>
      <c r="AB8473">
        <v>21</v>
      </c>
      <c r="AC8473">
        <v>31.939900000000002</v>
      </c>
      <c r="AD8473">
        <v>-1.1226391543930001</v>
      </c>
      <c r="AE8473">
        <v>-1.22413999999998</v>
      </c>
      <c r="AF8473">
        <v>-2.4529449570534099</v>
      </c>
      <c r="AG8473">
        <v>-1.1226391543930001</v>
      </c>
      <c r="AH8473">
        <v>31.829590179393701</v>
      </c>
      <c r="AI8473">
        <v>92.014035028171705</v>
      </c>
      <c r="AJ8473">
        <v>94.406784714835894</v>
      </c>
      <c r="AK8473">
        <v>31.943701548528601</v>
      </c>
      <c r="AL8473">
        <v>93.838422414490296</v>
      </c>
      <c r="AM8473">
        <v>96.682103842233502</v>
      </c>
      <c r="AN8473">
        <v>1.00000001856245</v>
      </c>
    </row>
    <row r="8474" spans="1:40" x14ac:dyDescent="0.25">
      <c r="A8474" t="str">
        <f>"20190303154010715"</f>
        <v>20190303154010715</v>
      </c>
      <c r="B8474" t="str">
        <f>"1551598810707128"</f>
        <v>1551598810707128</v>
      </c>
      <c r="C8474" t="s">
        <v>40</v>
      </c>
      <c r="D8474">
        <v>4.8919940000000004</v>
      </c>
      <c r="E8474">
        <v>0.51468999999999998</v>
      </c>
      <c r="F8474" t="s">
        <v>87</v>
      </c>
      <c r="G8474">
        <v>-248.9324</v>
      </c>
      <c r="H8474" s="1">
        <v>-3.3472529999999999E-6</v>
      </c>
      <c r="I8474">
        <v>-62.827260000000003</v>
      </c>
      <c r="J8474">
        <v>-280.2072</v>
      </c>
      <c r="K8474">
        <v>1.1226050000000001</v>
      </c>
      <c r="L8474">
        <v>-61.616759999999999</v>
      </c>
      <c r="M8474">
        <v>0.99363480000000004</v>
      </c>
      <c r="N8474">
        <v>-3.0853709999999999E-3</v>
      </c>
      <c r="O8474">
        <v>-0.1126066</v>
      </c>
      <c r="P8474">
        <v>0.99760249999999995</v>
      </c>
      <c r="Q8474">
        <v>-6.9199469999999999E-2</v>
      </c>
      <c r="R8474">
        <v>7.3820820000000003E-4</v>
      </c>
      <c r="S8474">
        <v>2.9999389999999999</v>
      </c>
      <c r="T8474">
        <v>-0.1073573</v>
      </c>
      <c r="U8474">
        <v>-0.1165771</v>
      </c>
      <c r="V8474">
        <v>-0.112605399999999</v>
      </c>
      <c r="W8474">
        <v>-6.6930530000000002E-2</v>
      </c>
      <c r="X8474">
        <v>0.99138300000000001</v>
      </c>
      <c r="Y8474">
        <v>-7.3827710000000005E-2</v>
      </c>
      <c r="Z8474">
        <v>5.1044910000000001E-3</v>
      </c>
      <c r="AA8474">
        <v>0.99725790000000003</v>
      </c>
      <c r="AB8474">
        <v>21</v>
      </c>
      <c r="AC8474">
        <v>31.274799999999999</v>
      </c>
      <c r="AD8474">
        <v>-1.122608347253</v>
      </c>
      <c r="AE8474">
        <v>-1.2104999999999899</v>
      </c>
      <c r="AF8474">
        <v>-2.3159855761239601</v>
      </c>
      <c r="AG8474">
        <v>-1.122608347253</v>
      </c>
      <c r="AH8474">
        <v>31.172086756996102</v>
      </c>
      <c r="AI8474">
        <v>92.056852011901896</v>
      </c>
      <c r="AJ8474">
        <v>94.249084892903795</v>
      </c>
      <c r="AK8474">
        <v>31.278155819610401</v>
      </c>
      <c r="AL8474">
        <v>93.837705972024494</v>
      </c>
      <c r="AM8474">
        <v>96.480120457212607</v>
      </c>
      <c r="AN8474">
        <v>0.99999996232211896</v>
      </c>
    </row>
    <row r="8475" spans="1:40" x14ac:dyDescent="0.25">
      <c r="A8475" t="str">
        <f>"20190303154010726"</f>
        <v>20190303154010726</v>
      </c>
      <c r="B8475" t="str">
        <f>"1551598810716889"</f>
        <v>1551598810716889</v>
      </c>
      <c r="C8475" t="s">
        <v>40</v>
      </c>
      <c r="D8475">
        <v>4.9254689999999997</v>
      </c>
      <c r="E8475">
        <v>0.51396739999999996</v>
      </c>
      <c r="F8475" t="s">
        <v>87</v>
      </c>
      <c r="G8475">
        <v>-248.71539999999999</v>
      </c>
      <c r="H8475" s="1">
        <v>-3.280009E-6</v>
      </c>
      <c r="I8475">
        <v>-62.864510000000003</v>
      </c>
      <c r="J8475">
        <v>-280.09660000000002</v>
      </c>
      <c r="K8475">
        <v>1.122565</v>
      </c>
      <c r="L8475">
        <v>-61.626429999999999</v>
      </c>
      <c r="M8475">
        <v>0.99393699999999996</v>
      </c>
      <c r="N8475">
        <v>-3.1073559999999999E-3</v>
      </c>
      <c r="O8475">
        <v>-0.1099086</v>
      </c>
      <c r="P8475">
        <v>0.99763049999999998</v>
      </c>
      <c r="Q8475">
        <v>-6.8798890000000001E-2</v>
      </c>
      <c r="R8475">
        <v>-2.3064E-4</v>
      </c>
      <c r="S8475">
        <v>2.999908</v>
      </c>
      <c r="T8475">
        <v>-0.1069394</v>
      </c>
      <c r="U8475">
        <v>-0.118866</v>
      </c>
      <c r="V8475">
        <v>-0.1089623</v>
      </c>
      <c r="W8475">
        <v>-6.6472600000000007E-2</v>
      </c>
      <c r="X8475">
        <v>0.99182090000000001</v>
      </c>
      <c r="Y8475">
        <v>-7.0364380000000004E-2</v>
      </c>
      <c r="Z8475">
        <v>4.9277940000000001E-3</v>
      </c>
      <c r="AA8475">
        <v>0.99750919999999998</v>
      </c>
      <c r="AB8475">
        <v>21</v>
      </c>
      <c r="AC8475">
        <v>31.3812</v>
      </c>
      <c r="AD8475">
        <v>-1.122568280009</v>
      </c>
      <c r="AE8475">
        <v>-1.2380799999999801</v>
      </c>
      <c r="AF8475">
        <v>-2.2156697530140499</v>
      </c>
      <c r="AG8475">
        <v>-1.122568280009</v>
      </c>
      <c r="AH8475">
        <v>31.2871837321368</v>
      </c>
      <c r="AI8475">
        <v>92.049733081747704</v>
      </c>
      <c r="AJ8475">
        <v>94.050762266988201</v>
      </c>
      <c r="AK8475">
        <v>31.385621196436201</v>
      </c>
      <c r="AL8475">
        <v>93.811409642529298</v>
      </c>
      <c r="AM8475">
        <v>96.269421714308294</v>
      </c>
      <c r="AN8475">
        <v>1.0000000435244201</v>
      </c>
    </row>
    <row r="8476" spans="1:40" x14ac:dyDescent="0.25">
      <c r="A8476" t="str">
        <f>"20190303154010735"</f>
        <v>20190303154010735</v>
      </c>
      <c r="B8476" t="str">
        <f>"1551598810726649"</f>
        <v>1551598810726649</v>
      </c>
      <c r="C8476" t="s">
        <v>40</v>
      </c>
      <c r="D8476">
        <v>4.948518</v>
      </c>
      <c r="E8476">
        <v>0.51334749999999996</v>
      </c>
      <c r="F8476" t="s">
        <v>87</v>
      </c>
      <c r="G8476">
        <v>-249.20570000000001</v>
      </c>
      <c r="H8476" s="1">
        <v>-3.439023E-6</v>
      </c>
      <c r="I8476">
        <v>-62.820349999999998</v>
      </c>
      <c r="J8476">
        <v>-280.02080000000001</v>
      </c>
      <c r="K8476">
        <v>1.1225369999999999</v>
      </c>
      <c r="L8476">
        <v>-61.632840000000002</v>
      </c>
      <c r="M8476">
        <v>0.99413450000000003</v>
      </c>
      <c r="N8476">
        <v>-3.1209699999999998E-3</v>
      </c>
      <c r="O8476">
        <v>-0.10810599999999999</v>
      </c>
      <c r="P8476">
        <v>0.99765809999999999</v>
      </c>
      <c r="Q8476">
        <v>-6.8373429999999999E-2</v>
      </c>
      <c r="R8476">
        <v>-1.924348E-3</v>
      </c>
      <c r="S8476">
        <v>2.9995419999999999</v>
      </c>
      <c r="T8476">
        <v>-0.1090025</v>
      </c>
      <c r="U8476">
        <v>-0.11593630000000001</v>
      </c>
      <c r="V8476">
        <v>-0.10549070000000001</v>
      </c>
      <c r="W8476">
        <v>-6.6001660000000004E-2</v>
      </c>
      <c r="X8476">
        <v>0.99222759999999999</v>
      </c>
      <c r="Y8476">
        <v>-6.9520819999999997E-2</v>
      </c>
      <c r="Z8476">
        <v>4.9509840000000003E-3</v>
      </c>
      <c r="AA8476">
        <v>0.99756820000000002</v>
      </c>
      <c r="AB8476">
        <v>21</v>
      </c>
      <c r="AC8476">
        <v>30.815100000000001</v>
      </c>
      <c r="AD8476">
        <v>-1.122540439023</v>
      </c>
      <c r="AE8476">
        <v>-1.1875099999999901</v>
      </c>
      <c r="AF8476">
        <v>-2.1479168617807098</v>
      </c>
      <c r="AG8476">
        <v>-1.122540439023</v>
      </c>
      <c r="AH8476">
        <v>30.722171592045701</v>
      </c>
      <c r="AI8476">
        <v>92.087476853458398</v>
      </c>
      <c r="AJ8476">
        <v>93.999282412645897</v>
      </c>
      <c r="AK8476">
        <v>30.8176162480725</v>
      </c>
      <c r="AL8476">
        <v>93.784367324844197</v>
      </c>
      <c r="AM8476">
        <v>96.068720567159701</v>
      </c>
      <c r="AN8476">
        <v>1.0000000585555</v>
      </c>
    </row>
    <row r="8477" spans="1:40" x14ac:dyDescent="0.25">
      <c r="A8477" t="str">
        <f>"20190303154010745"</f>
        <v>20190303154010745</v>
      </c>
      <c r="B8477" t="str">
        <f>"1551598810736409"</f>
        <v>1551598810736409</v>
      </c>
      <c r="C8477" t="s">
        <v>40</v>
      </c>
      <c r="D8477">
        <v>4.8955320000000002</v>
      </c>
      <c r="E8477">
        <v>0.51317380000000001</v>
      </c>
      <c r="F8477" t="s">
        <v>87</v>
      </c>
      <c r="G8477">
        <v>-249.6455</v>
      </c>
      <c r="H8477" s="1">
        <v>-3.5863120000000002E-6</v>
      </c>
      <c r="I8477">
        <v>-62.806950000000001</v>
      </c>
      <c r="J8477">
        <v>-279.92500000000001</v>
      </c>
      <c r="K8477">
        <v>1.1225020000000001</v>
      </c>
      <c r="L8477">
        <v>-61.640839999999997</v>
      </c>
      <c r="M8477">
        <v>0.99437779999999998</v>
      </c>
      <c r="N8477">
        <v>-3.1377419999999998E-3</v>
      </c>
      <c r="O8477">
        <v>-0.1058446</v>
      </c>
      <c r="P8477">
        <v>0.99769019999999997</v>
      </c>
      <c r="Q8477">
        <v>-6.7858199999999994E-2</v>
      </c>
      <c r="R8477">
        <v>-3.0997279999999999E-3</v>
      </c>
      <c r="S8477">
        <v>2.9992369999999999</v>
      </c>
      <c r="T8477">
        <v>-0.11083850000000001</v>
      </c>
      <c r="U8477">
        <v>-0.11593630000000001</v>
      </c>
      <c r="V8477">
        <v>-0.102077399999999</v>
      </c>
      <c r="W8477">
        <v>-6.54367E-2</v>
      </c>
      <c r="X8477">
        <v>0.99262189999999995</v>
      </c>
      <c r="Y8477">
        <v>-6.7246940000000005E-2</v>
      </c>
      <c r="Z8477">
        <v>4.9159989999999999E-3</v>
      </c>
      <c r="AA8477">
        <v>0.99772419999999995</v>
      </c>
      <c r="AB8477">
        <v>22</v>
      </c>
      <c r="AC8477">
        <v>30.279499999999999</v>
      </c>
      <c r="AD8477">
        <v>-1.1225055863119999</v>
      </c>
      <c r="AE8477">
        <v>-1.16610999999999</v>
      </c>
      <c r="AF8477">
        <v>-2.0425746604517201</v>
      </c>
      <c r="AG8477">
        <v>-1.1225055863119999</v>
      </c>
      <c r="AH8477">
        <v>30.191405427644501</v>
      </c>
      <c r="AI8477">
        <v>92.124403935593094</v>
      </c>
      <c r="AJ8477">
        <v>93.870400894400106</v>
      </c>
      <c r="AK8477">
        <v>30.281233325794801</v>
      </c>
      <c r="AL8477">
        <v>93.751927604588502</v>
      </c>
      <c r="AM8477">
        <v>95.871437234333996</v>
      </c>
      <c r="AN8477">
        <v>0.99999999682862994</v>
      </c>
    </row>
    <row r="8478" spans="1:40" x14ac:dyDescent="0.25">
      <c r="A8478" t="str">
        <f>"20190303154010756"</f>
        <v>20190303154010756</v>
      </c>
      <c r="B8478" t="str">
        <f>"1551598810747145"</f>
        <v>1551598810747145</v>
      </c>
      <c r="C8478" t="s">
        <v>40</v>
      </c>
      <c r="D8478">
        <v>4.9641699999999904</v>
      </c>
      <c r="E8478">
        <v>0.51265579999999999</v>
      </c>
      <c r="F8478" t="s">
        <v>87</v>
      </c>
      <c r="G8478">
        <v>-248.749</v>
      </c>
      <c r="H8478" s="1">
        <v>-3.292301E-6</v>
      </c>
      <c r="I8478">
        <v>-62.869370000000004</v>
      </c>
      <c r="J8478">
        <v>-279.81900000000002</v>
      </c>
      <c r="K8478">
        <v>1.12246</v>
      </c>
      <c r="L8478">
        <v>-61.649479999999997</v>
      </c>
      <c r="M8478">
        <v>0.99463460000000004</v>
      </c>
      <c r="N8478">
        <v>-3.155031E-3</v>
      </c>
      <c r="O8478">
        <v>-0.10340249999999999</v>
      </c>
      <c r="P8478">
        <v>0.99772839999999996</v>
      </c>
      <c r="Q8478">
        <v>-6.7281320000000006E-2</v>
      </c>
      <c r="R8478">
        <v>-3.346576E-3</v>
      </c>
      <c r="S8478">
        <v>2.9992369999999999</v>
      </c>
      <c r="T8478">
        <v>-0.1079885</v>
      </c>
      <c r="U8478">
        <v>-0.1181946</v>
      </c>
      <c r="V8478">
        <v>-9.9409230000000001E-2</v>
      </c>
      <c r="W8478">
        <v>-6.4813699999999905E-2</v>
      </c>
      <c r="X8478">
        <v>0.99293350000000002</v>
      </c>
      <c r="Y8478">
        <v>-6.4055780000000007E-2</v>
      </c>
      <c r="Z8478">
        <v>4.6403570000000003E-3</v>
      </c>
      <c r="AA8478">
        <v>0.99793549999999998</v>
      </c>
      <c r="AB8478">
        <v>22</v>
      </c>
      <c r="AC8478">
        <v>31.07</v>
      </c>
      <c r="AD8478">
        <v>-1.1224632923010001</v>
      </c>
      <c r="AE8478">
        <v>-1.2198899999999899</v>
      </c>
      <c r="AF8478">
        <v>-1.9967787125988601</v>
      </c>
      <c r="AG8478">
        <v>-1.1224632923010001</v>
      </c>
      <c r="AH8478">
        <v>30.9892074075258</v>
      </c>
      <c r="AI8478">
        <v>92.070120307095607</v>
      </c>
      <c r="AJ8478">
        <v>93.6867368706435</v>
      </c>
      <c r="AK8478">
        <v>31.073751379843099</v>
      </c>
      <c r="AL8478">
        <v>93.716156482994705</v>
      </c>
      <c r="AM8478">
        <v>95.717213542555498</v>
      </c>
      <c r="AN8478">
        <v>0.99999997306956601</v>
      </c>
    </row>
    <row r="8479" spans="1:40" x14ac:dyDescent="0.25">
      <c r="A8479" t="str">
        <f>"20190303154010768"</f>
        <v>20190303154010768</v>
      </c>
      <c r="B8479" t="str">
        <f>"1551598810756906"</f>
        <v>1551598810756906</v>
      </c>
      <c r="C8479" t="s">
        <v>40</v>
      </c>
      <c r="D8479">
        <v>4.9024020000000004</v>
      </c>
      <c r="E8479">
        <v>0.51232109999999997</v>
      </c>
      <c r="F8479" t="s">
        <v>87</v>
      </c>
      <c r="G8479">
        <v>-248.77619999999999</v>
      </c>
      <c r="H8479" s="1">
        <v>-3.2956799999999999E-6</v>
      </c>
      <c r="I8479">
        <v>-62.83614</v>
      </c>
      <c r="J8479">
        <v>-279.70370000000003</v>
      </c>
      <c r="K8479">
        <v>1.122411</v>
      </c>
      <c r="L8479">
        <v>-61.658720000000002</v>
      </c>
      <c r="M8479">
        <v>0.9949036</v>
      </c>
      <c r="N8479">
        <v>-3.1732169999999999E-3</v>
      </c>
      <c r="O8479">
        <v>-0.1007826</v>
      </c>
      <c r="P8479">
        <v>0.99775740000000002</v>
      </c>
      <c r="Q8479">
        <v>-6.6735020000000006E-2</v>
      </c>
      <c r="R8479">
        <v>-5.197297E-3</v>
      </c>
      <c r="S8479">
        <v>2.9991460000000001</v>
      </c>
      <c r="T8479">
        <v>-0.1084447</v>
      </c>
      <c r="U8479">
        <v>-0.11465450000000001</v>
      </c>
      <c r="V8479">
        <v>-9.4967070000000001E-2</v>
      </c>
      <c r="W8479">
        <v>-6.4207490000000006E-2</v>
      </c>
      <c r="X8479">
        <v>0.99340759999999995</v>
      </c>
      <c r="Y8479">
        <v>-6.2603950000000005E-2</v>
      </c>
      <c r="Z8479">
        <v>4.5455249999999999E-3</v>
      </c>
      <c r="AA8479">
        <v>0.99802809999999997</v>
      </c>
      <c r="AB8479">
        <v>22</v>
      </c>
      <c r="AC8479">
        <v>30.927499999999998</v>
      </c>
      <c r="AD8479">
        <v>-1.1224142956799901</v>
      </c>
      <c r="AE8479">
        <v>-1.1774199999999999</v>
      </c>
      <c r="AF8479">
        <v>-1.94298850040307</v>
      </c>
      <c r="AG8479">
        <v>-1.1224142956799901</v>
      </c>
      <c r="AH8479">
        <v>30.848123185446699</v>
      </c>
      <c r="AI8479">
        <v>92.079680071929005</v>
      </c>
      <c r="AJ8479">
        <v>93.6040498679818</v>
      </c>
      <c r="AK8479">
        <v>30.929625316649702</v>
      </c>
      <c r="AL8479">
        <v>93.681350597215598</v>
      </c>
      <c r="AM8479">
        <v>95.460726437831099</v>
      </c>
      <c r="AN8479">
        <v>1.0000000029471201</v>
      </c>
    </row>
    <row r="8480" spans="1:40" x14ac:dyDescent="0.25">
      <c r="A8480" t="str">
        <f>"20190303154010779"</f>
        <v>20190303154010779</v>
      </c>
      <c r="B8480" t="str">
        <f>"1551598810776425"</f>
        <v>1551598810776425</v>
      </c>
      <c r="C8480" t="s">
        <v>40</v>
      </c>
      <c r="D8480">
        <v>4.9099659999999998</v>
      </c>
      <c r="E8480">
        <v>0.51171339999999998</v>
      </c>
      <c r="F8480" t="s">
        <v>87</v>
      </c>
      <c r="G8480">
        <v>-248.02529999999999</v>
      </c>
      <c r="H8480" s="1">
        <v>-3.0515790000000002E-6</v>
      </c>
      <c r="I8480">
        <v>-62.9007199999999</v>
      </c>
      <c r="J8480">
        <v>-279.60120000000001</v>
      </c>
      <c r="K8480">
        <v>1.1223669999999999</v>
      </c>
      <c r="L8480">
        <v>-61.666600000000003</v>
      </c>
      <c r="M8480">
        <v>0.99512849999999997</v>
      </c>
      <c r="N8480">
        <v>-3.1880160000000001E-3</v>
      </c>
      <c r="O8480">
        <v>-9.8535109999999995E-2</v>
      </c>
      <c r="P8480">
        <v>0.9977895</v>
      </c>
      <c r="Q8480">
        <v>-6.6133529999999996E-2</v>
      </c>
      <c r="R8480">
        <v>-6.5377279999999996E-3</v>
      </c>
      <c r="S8480">
        <v>2.9989620000000001</v>
      </c>
      <c r="T8480">
        <v>-0.1062574</v>
      </c>
      <c r="U8480">
        <v>-0.1175842</v>
      </c>
      <c r="V8480">
        <v>-9.1403369999999998E-2</v>
      </c>
      <c r="W8480">
        <v>-6.3557219999999998E-2</v>
      </c>
      <c r="X8480">
        <v>0.99378370000000005</v>
      </c>
      <c r="Y8480">
        <v>-5.938098E-2</v>
      </c>
      <c r="Z8480">
        <v>4.3143720000000003E-3</v>
      </c>
      <c r="AA8480">
        <v>0.99822599999999995</v>
      </c>
      <c r="AB8480">
        <v>22</v>
      </c>
      <c r="AC8480">
        <v>31.575900000000001</v>
      </c>
      <c r="AD8480">
        <v>-1.122370051579</v>
      </c>
      <c r="AE8480">
        <v>-1.2341199999999899</v>
      </c>
      <c r="AF8480">
        <v>-1.88086353964551</v>
      </c>
      <c r="AG8480">
        <v>-1.122370051579</v>
      </c>
      <c r="AH8480">
        <v>31.504098078863201</v>
      </c>
      <c r="AI8480">
        <v>92.036742156137606</v>
      </c>
      <c r="AJ8480">
        <v>93.416627812822895</v>
      </c>
      <c r="AK8480">
        <v>31.580144995710199</v>
      </c>
      <c r="AL8480">
        <v>93.644016370871299</v>
      </c>
      <c r="AM8480">
        <v>95.255001094198207</v>
      </c>
      <c r="AN8480">
        <v>1.00000006932358</v>
      </c>
    </row>
    <row r="8481" spans="1:40" x14ac:dyDescent="0.25">
      <c r="A8481" t="str">
        <f>"20190303154010790"</f>
        <v>20190303154010790</v>
      </c>
      <c r="B8481" t="str">
        <f>"1551598810787161"</f>
        <v>1551598810787161</v>
      </c>
      <c r="C8481" t="s">
        <v>40</v>
      </c>
      <c r="D8481">
        <v>4.9609750000000004</v>
      </c>
      <c r="E8481">
        <v>0.51139749999999995</v>
      </c>
      <c r="F8481" t="s">
        <v>87</v>
      </c>
      <c r="G8481">
        <v>-247.24199999999999</v>
      </c>
      <c r="H8481" s="1">
        <v>-2.7703930000000002E-6</v>
      </c>
      <c r="I8481">
        <v>-62.926049999999996</v>
      </c>
      <c r="J8481">
        <v>-279.49990000000003</v>
      </c>
      <c r="K8481">
        <v>1.122322</v>
      </c>
      <c r="L8481">
        <v>-61.674379999999999</v>
      </c>
      <c r="M8481">
        <v>0.99534489999999998</v>
      </c>
      <c r="N8481">
        <v>-3.2026899999999998E-3</v>
      </c>
      <c r="O8481">
        <v>-9.6324839999999995E-2</v>
      </c>
      <c r="P8481">
        <v>0.99778420000000001</v>
      </c>
      <c r="Q8481">
        <v>-6.6062259999999998E-2</v>
      </c>
      <c r="R8481">
        <v>-7.9340179999999993E-3</v>
      </c>
      <c r="S8481">
        <v>2.998993</v>
      </c>
      <c r="T8481">
        <v>-0.104019</v>
      </c>
      <c r="U8481">
        <v>-0.11672970000000001</v>
      </c>
      <c r="V8481">
        <v>-8.7813859999999994E-2</v>
      </c>
      <c r="W8481">
        <v>-6.3438099999999997E-2</v>
      </c>
      <c r="X8481">
        <v>0.99411490000000002</v>
      </c>
      <c r="Y8481">
        <v>-5.7454659999999998E-2</v>
      </c>
      <c r="Z8481">
        <v>4.1122620000000002E-3</v>
      </c>
      <c r="AA8481">
        <v>0.99833970000000005</v>
      </c>
      <c r="AB8481">
        <v>22</v>
      </c>
      <c r="AC8481">
        <v>32.257899999999999</v>
      </c>
      <c r="AD8481">
        <v>-1.1223247703929999</v>
      </c>
      <c r="AE8481">
        <v>-1.2516699999999901</v>
      </c>
      <c r="AF8481">
        <v>-1.8591559380774301</v>
      </c>
      <c r="AG8481">
        <v>-1.1223247703929999</v>
      </c>
      <c r="AH8481">
        <v>32.189558301963999</v>
      </c>
      <c r="AI8481">
        <v>91.9935526069997</v>
      </c>
      <c r="AJ8481">
        <v>93.305530900770407</v>
      </c>
      <c r="AK8481">
        <v>32.2627298499037</v>
      </c>
      <c r="AL8481">
        <v>93.637177565816302</v>
      </c>
      <c r="AM8481">
        <v>95.048046429344197</v>
      </c>
      <c r="AN8481">
        <v>1.0000000504708499</v>
      </c>
    </row>
    <row r="8482" spans="1:40" x14ac:dyDescent="0.25">
      <c r="A8482" t="str">
        <f>"20190303154010800"</f>
        <v>20190303154010800</v>
      </c>
      <c r="B8482" t="str">
        <f>"1551598810796921"</f>
        <v>1551598810796921</v>
      </c>
      <c r="C8482" t="s">
        <v>40</v>
      </c>
      <c r="D8482">
        <v>4.9749889999999999</v>
      </c>
      <c r="E8482">
        <v>0.51102069999999999</v>
      </c>
      <c r="F8482" t="s">
        <v>87</v>
      </c>
      <c r="G8482">
        <v>-247.7705</v>
      </c>
      <c r="H8482" s="1">
        <v>-2.969473E-6</v>
      </c>
      <c r="I8482">
        <v>-62.926540000000003</v>
      </c>
      <c r="J8482">
        <v>-279.38389999999998</v>
      </c>
      <c r="K8482">
        <v>1.122271</v>
      </c>
      <c r="L8482">
        <v>-61.68289</v>
      </c>
      <c r="M8482">
        <v>0.99557669999999998</v>
      </c>
      <c r="N8482">
        <v>-3.2182320000000001E-3</v>
      </c>
      <c r="O8482">
        <v>-9.3897350000000004E-2</v>
      </c>
      <c r="P8482">
        <v>0.99776330000000002</v>
      </c>
      <c r="Q8482">
        <v>-6.6266749999999999E-2</v>
      </c>
      <c r="R8482">
        <v>-8.7704519999999998E-3</v>
      </c>
      <c r="S8482">
        <v>2.9987180000000002</v>
      </c>
      <c r="T8482">
        <v>-0.10606980000000001</v>
      </c>
      <c r="U8482">
        <v>-0.1183472</v>
      </c>
      <c r="V8482">
        <v>-8.4561159999999996E-2</v>
      </c>
      <c r="W8482">
        <v>-6.3595470000000001E-2</v>
      </c>
      <c r="X8482">
        <v>0.99438669999999996</v>
      </c>
      <c r="Y8482">
        <v>-5.4478470000000001E-2</v>
      </c>
      <c r="Z8482">
        <v>4.0618659999999999E-3</v>
      </c>
      <c r="AA8482">
        <v>0.99850669999999997</v>
      </c>
      <c r="AB8482">
        <v>22</v>
      </c>
      <c r="AC8482">
        <v>31.613399999999899</v>
      </c>
      <c r="AD8482">
        <v>-1.122273969473</v>
      </c>
      <c r="AE8482">
        <v>-1.2436499999999999</v>
      </c>
      <c r="AF8482">
        <v>-1.72809998545016</v>
      </c>
      <c r="AG8482">
        <v>-1.122273969473</v>
      </c>
      <c r="AH8482">
        <v>31.550802590602199</v>
      </c>
      <c r="AI8482">
        <v>92.034127328175799</v>
      </c>
      <c r="AJ8482">
        <v>93.135070857613997</v>
      </c>
      <c r="AK8482">
        <v>31.618016581269298</v>
      </c>
      <c r="AL8482">
        <v>93.646212844063697</v>
      </c>
      <c r="AM8482">
        <v>94.860653354460197</v>
      </c>
      <c r="AN8482">
        <v>0.99999994136097603</v>
      </c>
    </row>
    <row r="8483" spans="1:40" x14ac:dyDescent="0.25">
      <c r="A8483" t="str">
        <f>"20190303154010812"</f>
        <v>20190303154010812</v>
      </c>
      <c r="B8483" t="str">
        <f>"1551598810806681"</f>
        <v>1551598810806681</v>
      </c>
      <c r="C8483" t="s">
        <v>40</v>
      </c>
      <c r="D8483">
        <v>4.9748590000000004</v>
      </c>
      <c r="E8483">
        <v>0.51072450000000003</v>
      </c>
      <c r="F8483" t="s">
        <v>87</v>
      </c>
      <c r="G8483">
        <v>-248.726</v>
      </c>
      <c r="H8483" s="1">
        <v>-3.2874550000000001E-6</v>
      </c>
      <c r="I8483">
        <v>-62.886040000000001</v>
      </c>
      <c r="J8483">
        <v>-279.27820000000003</v>
      </c>
      <c r="K8483">
        <v>1.1222219999999901</v>
      </c>
      <c r="L8483">
        <v>-61.690550000000002</v>
      </c>
      <c r="M8483">
        <v>0.99578060000000002</v>
      </c>
      <c r="N8483">
        <v>-3.2323930000000001E-3</v>
      </c>
      <c r="O8483">
        <v>-9.1709280000000004E-2</v>
      </c>
      <c r="P8483">
        <v>0.99772729999999998</v>
      </c>
      <c r="Q8483">
        <v>-6.6690150000000004E-2</v>
      </c>
      <c r="R8483">
        <v>-9.6354300000000004E-3</v>
      </c>
      <c r="S8483">
        <v>2.998383</v>
      </c>
      <c r="T8483">
        <v>-0.10976</v>
      </c>
      <c r="U8483">
        <v>-0.1176758</v>
      </c>
      <c r="V8483">
        <v>-8.1516089999999999E-2</v>
      </c>
      <c r="W8483">
        <v>-6.3976350000000001E-2</v>
      </c>
      <c r="X8483">
        <v>0.99461659999999996</v>
      </c>
      <c r="Y8483">
        <v>-5.2499270000000001E-2</v>
      </c>
      <c r="Z8483">
        <v>4.0981289999999998E-3</v>
      </c>
      <c r="AA8483">
        <v>0.99861259999999996</v>
      </c>
      <c r="AB8483">
        <v>22</v>
      </c>
      <c r="AC8483">
        <v>30.552199999999999</v>
      </c>
      <c r="AD8483">
        <v>-1.1222252874549901</v>
      </c>
      <c r="AE8483">
        <v>-1.1954899999999899</v>
      </c>
      <c r="AF8483">
        <v>-1.60931493610257</v>
      </c>
      <c r="AG8483">
        <v>-1.1222252874549901</v>
      </c>
      <c r="AH8483">
        <v>30.492007608495499</v>
      </c>
      <c r="AI8483">
        <v>92.104830858325002</v>
      </c>
      <c r="AJ8483">
        <v>93.021168111425595</v>
      </c>
      <c r="AK8483">
        <v>30.555061972706099</v>
      </c>
      <c r="AL8483">
        <v>93.668079927039201</v>
      </c>
      <c r="AM8483">
        <v>94.685335588689696</v>
      </c>
      <c r="AN8483">
        <v>1.0000000136418801</v>
      </c>
    </row>
    <row r="8484" spans="1:40" x14ac:dyDescent="0.25">
      <c r="A8484" t="str">
        <f>"20190303154010824"</f>
        <v>20190303154010824</v>
      </c>
      <c r="B8484" t="str">
        <f>"1551598810816441"</f>
        <v>1551598810816441</v>
      </c>
      <c r="C8484" t="s">
        <v>40</v>
      </c>
      <c r="D8484">
        <v>4.9578680000000004</v>
      </c>
      <c r="E8484">
        <v>0.51038720000000004</v>
      </c>
      <c r="F8484" t="s">
        <v>87</v>
      </c>
      <c r="G8484">
        <v>-249.5703</v>
      </c>
      <c r="H8484" s="1">
        <v>-3.5697490000000002E-6</v>
      </c>
      <c r="I8484">
        <v>-62.857719999999901</v>
      </c>
      <c r="J8484">
        <v>-279.15839999999997</v>
      </c>
      <c r="K8484">
        <v>1.1221779999999999</v>
      </c>
      <c r="L8484">
        <v>-61.698970000000003</v>
      </c>
      <c r="M8484">
        <v>0.99599910000000003</v>
      </c>
      <c r="N8484">
        <v>-3.2479179999999998E-3</v>
      </c>
      <c r="O8484">
        <v>-8.930399E-2</v>
      </c>
      <c r="P8484">
        <v>0.99771129999999997</v>
      </c>
      <c r="Q8484">
        <v>-6.6840070000000001E-2</v>
      </c>
      <c r="R8484">
        <v>-1.0225120000000001E-2</v>
      </c>
      <c r="S8484">
        <v>2.9981080000000002</v>
      </c>
      <c r="T8484">
        <v>-0.11325449999999999</v>
      </c>
      <c r="U8484">
        <v>-0.1177979</v>
      </c>
      <c r="V8484">
        <v>-7.8532039999999997E-2</v>
      </c>
      <c r="W8484">
        <v>-6.4082739999999999E-2</v>
      </c>
      <c r="X8484">
        <v>0.99484980000000001</v>
      </c>
      <c r="Y8484">
        <v>-5.0040420000000002E-2</v>
      </c>
      <c r="Z8484">
        <v>4.1016439999999998E-3</v>
      </c>
      <c r="AA8484">
        <v>0.99873880000000004</v>
      </c>
      <c r="AB8484">
        <v>22</v>
      </c>
      <c r="AC8484">
        <v>29.588099999999901</v>
      </c>
      <c r="AD8484">
        <v>-1.1221815697490001</v>
      </c>
      <c r="AE8484">
        <v>-1.15874999999999</v>
      </c>
      <c r="AF8484">
        <v>-1.48609492312505</v>
      </c>
      <c r="AG8484">
        <v>-1.1221815697490001</v>
      </c>
      <c r="AH8484">
        <v>29.530945085746101</v>
      </c>
      <c r="AI8484">
        <v>92.173455823802797</v>
      </c>
      <c r="AJ8484">
        <v>92.880883067465305</v>
      </c>
      <c r="AK8484">
        <v>29.589600998549699</v>
      </c>
      <c r="AL8484">
        <v>93.674188202889795</v>
      </c>
      <c r="AM8484">
        <v>94.513488579477794</v>
      </c>
      <c r="AN8484">
        <v>1.00000000171625</v>
      </c>
    </row>
    <row r="8485" spans="1:40" x14ac:dyDescent="0.25">
      <c r="A8485" t="str">
        <f>"20190303154010834"</f>
        <v>20190303154010834</v>
      </c>
      <c r="B8485" t="str">
        <f>"1551598810827177"</f>
        <v>1551598810827177</v>
      </c>
      <c r="C8485" t="s">
        <v>40</v>
      </c>
      <c r="D8485">
        <v>4.9641209999999996</v>
      </c>
      <c r="E8485">
        <v>0.51038720000000004</v>
      </c>
      <c r="F8485" t="s">
        <v>86</v>
      </c>
      <c r="G8485">
        <v>-250.15260000000001</v>
      </c>
      <c r="H8485" s="1">
        <v>2.5482650000000002E-7</v>
      </c>
      <c r="I8485">
        <v>-62.828069999999997</v>
      </c>
      <c r="J8485">
        <v>-279.05650000000003</v>
      </c>
      <c r="K8485">
        <v>1.122142</v>
      </c>
      <c r="L8485">
        <v>-61.705959999999997</v>
      </c>
      <c r="M8485">
        <v>0.99617670000000003</v>
      </c>
      <c r="N8485">
        <v>-3.2610830000000001E-3</v>
      </c>
      <c r="O8485">
        <v>-8.7301690000000001E-2</v>
      </c>
      <c r="P8485">
        <v>0.99772669999999997</v>
      </c>
      <c r="Q8485">
        <v>-6.6493430000000006E-2</v>
      </c>
      <c r="R8485">
        <v>-1.0969899999999999E-2</v>
      </c>
      <c r="S8485">
        <v>2.997925</v>
      </c>
      <c r="T8485">
        <v>-0.1159838</v>
      </c>
      <c r="U8485">
        <v>-0.1166992</v>
      </c>
      <c r="V8485">
        <v>-7.5799749999999999E-2</v>
      </c>
      <c r="W8485">
        <v>-6.3698580000000005E-2</v>
      </c>
      <c r="X8485">
        <v>0.99508640000000004</v>
      </c>
      <c r="Y8485">
        <v>-4.8393730000000003E-2</v>
      </c>
      <c r="Z8485">
        <v>4.0998409999999999E-3</v>
      </c>
      <c r="AA8485">
        <v>0.99881989999999998</v>
      </c>
      <c r="AB8485">
        <v>22</v>
      </c>
      <c r="AC8485">
        <v>28.9039</v>
      </c>
      <c r="AD8485">
        <v>-1.1221417451735001</v>
      </c>
      <c r="AE8485">
        <v>-1.1221099999999899</v>
      </c>
      <c r="AF8485">
        <v>-1.4034346575171199</v>
      </c>
      <c r="AG8485">
        <v>-1.1221417451735001</v>
      </c>
      <c r="AH8485">
        <v>28.848088443389202</v>
      </c>
      <c r="AI8485">
        <v>92.224956919892605</v>
      </c>
      <c r="AJ8485">
        <v>92.785194436872899</v>
      </c>
      <c r="AK8485">
        <v>28.903996916893501</v>
      </c>
      <c r="AL8485">
        <v>93.652132300342203</v>
      </c>
      <c r="AM8485">
        <v>94.3560386446661</v>
      </c>
      <c r="AN8485">
        <v>1.00000002732951</v>
      </c>
    </row>
    <row r="8486" spans="1:40" x14ac:dyDescent="0.25">
      <c r="A8486" t="str">
        <f>"20190303154010845"</f>
        <v>20190303154010845</v>
      </c>
      <c r="B8486" t="str">
        <f>"1551598810836937"</f>
        <v>1551598810836937</v>
      </c>
      <c r="C8486" t="s">
        <v>40</v>
      </c>
      <c r="D8486">
        <v>4.9766029999999999</v>
      </c>
      <c r="E8486">
        <v>0.50057029999999902</v>
      </c>
      <c r="F8486" t="s">
        <v>87</v>
      </c>
      <c r="G8486">
        <v>-249.76509999999999</v>
      </c>
      <c r="H8486" s="1">
        <v>-3.637727E-6</v>
      </c>
      <c r="I8486">
        <v>-62.867310000000003</v>
      </c>
      <c r="J8486">
        <v>-278.94029999999998</v>
      </c>
      <c r="K8486">
        <v>1.122106</v>
      </c>
      <c r="L8486">
        <v>-61.71378</v>
      </c>
      <c r="M8486">
        <v>0.99636970000000002</v>
      </c>
      <c r="N8486">
        <v>-3.2760269999999999E-3</v>
      </c>
      <c r="O8486">
        <v>-8.5067980000000001E-2</v>
      </c>
      <c r="P8486">
        <v>0.99772459999999996</v>
      </c>
      <c r="Q8486">
        <v>-6.6474510000000001E-2</v>
      </c>
      <c r="R8486">
        <v>-1.1268149999999999E-2</v>
      </c>
      <c r="S8486">
        <v>2.9978639999999999</v>
      </c>
      <c r="T8486">
        <v>-0.1148474</v>
      </c>
      <c r="U8486">
        <v>-0.118866</v>
      </c>
      <c r="V8486">
        <v>-7.3278789999999996E-2</v>
      </c>
      <c r="W8486">
        <v>-6.3641499999999906E-2</v>
      </c>
      <c r="X8486">
        <v>0.99527880000000002</v>
      </c>
      <c r="Y8486">
        <v>-4.5438149999999997E-2</v>
      </c>
      <c r="Z8486">
        <v>3.9174680000000003E-3</v>
      </c>
      <c r="AA8486">
        <v>0.9989595</v>
      </c>
      <c r="AB8486">
        <v>22</v>
      </c>
      <c r="AC8486">
        <v>29.175199999999901</v>
      </c>
      <c r="AD8486">
        <v>-1.1221096377269999</v>
      </c>
      <c r="AE8486">
        <v>-1.15352999999998</v>
      </c>
      <c r="AF8486">
        <v>-1.3305750385358699</v>
      </c>
      <c r="AG8486">
        <v>-1.1221096377269999</v>
      </c>
      <c r="AH8486">
        <v>29.1245567266397</v>
      </c>
      <c r="AI8486">
        <v>92.204101261933502</v>
      </c>
      <c r="AJ8486">
        <v>92.615777517162599</v>
      </c>
      <c r="AK8486">
        <v>29.1765207743403</v>
      </c>
      <c r="AL8486">
        <v>93.648855470005799</v>
      </c>
      <c r="AM8486">
        <v>94.210883807577702</v>
      </c>
      <c r="AN8486">
        <v>0.999999955657776</v>
      </c>
    </row>
    <row r="8487" spans="1:40" x14ac:dyDescent="0.25">
      <c r="A8487" t="str">
        <f>"20190303154010856"</f>
        <v>20190303154010856</v>
      </c>
      <c r="B8487" t="str">
        <f>"1551598810846697"</f>
        <v>1551598810846697</v>
      </c>
      <c r="C8487" t="s">
        <v>40</v>
      </c>
      <c r="D8487">
        <v>4.9191019999999996</v>
      </c>
      <c r="E8487">
        <v>0.5022008</v>
      </c>
      <c r="F8487" t="s">
        <v>86</v>
      </c>
      <c r="G8487">
        <v>-259.39830000000001</v>
      </c>
      <c r="H8487" s="1">
        <v>-3.4334559999999999E-6</v>
      </c>
      <c r="I8487">
        <v>-61.970460000000003</v>
      </c>
      <c r="J8487">
        <v>-278.8349</v>
      </c>
      <c r="K8487">
        <v>1.122072</v>
      </c>
      <c r="L8487">
        <v>-61.720640000000003</v>
      </c>
      <c r="M8487">
        <v>0.99653579999999997</v>
      </c>
      <c r="N8487">
        <v>-3.2894109999999999E-3</v>
      </c>
      <c r="O8487">
        <v>-8.3101690000000006E-2</v>
      </c>
      <c r="P8487">
        <v>0.99773599999999996</v>
      </c>
      <c r="Q8487">
        <v>-6.6125920000000005E-2</v>
      </c>
      <c r="R8487">
        <v>-1.2267780000000001E-2</v>
      </c>
      <c r="S8487">
        <v>2.9949340000000002</v>
      </c>
      <c r="T8487">
        <v>-0.17196939999999999</v>
      </c>
      <c r="U8487">
        <v>-3.9337160000000003E-2</v>
      </c>
      <c r="V8487">
        <v>-7.0327799999999996E-2</v>
      </c>
      <c r="W8487">
        <v>-6.3255130000000007E-2</v>
      </c>
      <c r="X8487">
        <v>0.99551639999999997</v>
      </c>
      <c r="Y8487">
        <v>-6.976417E-2</v>
      </c>
      <c r="Z8487">
        <v>6.6054310000000001E-3</v>
      </c>
      <c r="AA8487">
        <v>0.99754169999999998</v>
      </c>
      <c r="AB8487">
        <v>22</v>
      </c>
      <c r="AC8487">
        <v>19.436599999999999</v>
      </c>
      <c r="AD8487">
        <v>-1.1220754334559999</v>
      </c>
      <c r="AE8487">
        <v>-0.24981999999999199</v>
      </c>
      <c r="AF8487">
        <v>-1.36172935098076</v>
      </c>
      <c r="AG8487">
        <v>-1.1220754334559999</v>
      </c>
      <c r="AH8487">
        <v>19.325732762173999</v>
      </c>
      <c r="AI8487">
        <v>93.314731612135404</v>
      </c>
      <c r="AJ8487">
        <v>94.030512396341294</v>
      </c>
      <c r="AK8487">
        <v>19.4061151933779</v>
      </c>
      <c r="AL8487">
        <v>93.6266730371904</v>
      </c>
      <c r="AM8487">
        <v>94.040920742184895</v>
      </c>
      <c r="AN8487">
        <v>1.0000000567965499</v>
      </c>
    </row>
    <row r="8488" spans="1:40" x14ac:dyDescent="0.25">
      <c r="A8488" t="str">
        <f>"20190303154010867"</f>
        <v>20190303154010867</v>
      </c>
      <c r="B8488" t="str">
        <f>"1551598810856457"</f>
        <v>1551598810856457</v>
      </c>
      <c r="C8488" t="s">
        <v>40</v>
      </c>
      <c r="D8488">
        <v>4.9249229999999997</v>
      </c>
      <c r="E8488">
        <v>0.50240309999999999</v>
      </c>
      <c r="F8488" t="s">
        <v>86</v>
      </c>
      <c r="G8488">
        <v>-256.90190000000001</v>
      </c>
      <c r="H8488" s="1">
        <v>-2.4854860000000002E-6</v>
      </c>
      <c r="I8488">
        <v>-62.130380000000002</v>
      </c>
      <c r="J8488">
        <v>-278.72640000000001</v>
      </c>
      <c r="K8488">
        <v>1.122037</v>
      </c>
      <c r="L8488">
        <v>-61.727629999999998</v>
      </c>
      <c r="M8488">
        <v>0.99670029999999998</v>
      </c>
      <c r="N8488">
        <v>-3.3032169999999998E-3</v>
      </c>
      <c r="O8488">
        <v>-8.1101549999999994E-2</v>
      </c>
      <c r="P8488">
        <v>0.997749</v>
      </c>
      <c r="Q8488">
        <v>-6.5812670000000004E-2</v>
      </c>
      <c r="R8488">
        <v>-1.2875609999999999E-2</v>
      </c>
      <c r="S8488">
        <v>2.9959720000000001</v>
      </c>
      <c r="T8488">
        <v>-0.15327170000000001</v>
      </c>
      <c r="U8488">
        <v>-5.5969240000000003E-2</v>
      </c>
      <c r="V8488">
        <v>-6.7733409999999994E-2</v>
      </c>
      <c r="W8488">
        <v>-6.290627E-2</v>
      </c>
      <c r="X8488">
        <v>0.99571829999999995</v>
      </c>
      <c r="Y8488">
        <v>-6.2291920000000001E-2</v>
      </c>
      <c r="Z8488">
        <v>5.5690219999999999E-3</v>
      </c>
      <c r="AA8488">
        <v>0.99804250000000005</v>
      </c>
      <c r="AB8488">
        <v>22</v>
      </c>
      <c r="AC8488">
        <v>21.8245</v>
      </c>
      <c r="AD8488">
        <v>-1.1220394854860001</v>
      </c>
      <c r="AE8488">
        <v>-0.402749999999997</v>
      </c>
      <c r="AF8488">
        <v>-1.36498062499843</v>
      </c>
      <c r="AG8488">
        <v>-1.1220394854860001</v>
      </c>
      <c r="AH8488">
        <v>21.727858503434302</v>
      </c>
      <c r="AI8488">
        <v>92.950356236200406</v>
      </c>
      <c r="AJ8488">
        <v>93.594693331450202</v>
      </c>
      <c r="AK8488">
        <v>21.799586690092902</v>
      </c>
      <c r="AL8488">
        <v>93.606645246786599</v>
      </c>
      <c r="AM8488">
        <v>93.891531453137006</v>
      </c>
      <c r="AN8488">
        <v>0.99999997329521495</v>
      </c>
    </row>
    <row r="8489" spans="1:40" x14ac:dyDescent="0.25">
      <c r="A8489" t="str">
        <f>"20190303154010880"</f>
        <v>20190303154010880</v>
      </c>
      <c r="B8489" t="str">
        <f>"1551598810876954"</f>
        <v>1551598810876954</v>
      </c>
      <c r="C8489" t="s">
        <v>40</v>
      </c>
      <c r="D8489">
        <v>4.9753040000000004</v>
      </c>
      <c r="E8489">
        <v>0.50154949999999998</v>
      </c>
      <c r="F8489" t="s">
        <v>86</v>
      </c>
      <c r="G8489">
        <v>-256.03050000000002</v>
      </c>
      <c r="H8489" s="1">
        <v>-2.1223380000000002E-6</v>
      </c>
      <c r="I8489">
        <v>-62.178400000000003</v>
      </c>
      <c r="J8489">
        <v>-278.61399999999998</v>
      </c>
      <c r="K8489">
        <v>1.122004</v>
      </c>
      <c r="L8489">
        <v>-61.734560000000002</v>
      </c>
      <c r="M8489">
        <v>0.99686090000000005</v>
      </c>
      <c r="N8489">
        <v>-3.3174469999999998E-3</v>
      </c>
      <c r="O8489">
        <v>-7.9103809999999997E-2</v>
      </c>
      <c r="P8489">
        <v>0.99774949999999996</v>
      </c>
      <c r="Q8489">
        <v>-6.5628069999999997E-2</v>
      </c>
      <c r="R8489">
        <v>-1.3751569999999999E-2</v>
      </c>
      <c r="S8489">
        <v>2.996216</v>
      </c>
      <c r="T8489">
        <v>-0.14812729999999999</v>
      </c>
      <c r="U8489">
        <v>-5.9509279999999998E-2</v>
      </c>
      <c r="V8489">
        <v>-6.4871499999999999E-2</v>
      </c>
      <c r="W8489">
        <v>-6.2684840000000006E-2</v>
      </c>
      <c r="X8489">
        <v>0.99592290000000006</v>
      </c>
      <c r="Y8489">
        <v>-5.9132450000000003E-2</v>
      </c>
      <c r="Z8489">
        <v>5.2004549999999997E-3</v>
      </c>
      <c r="AA8489">
        <v>0.99823660000000003</v>
      </c>
      <c r="AB8489">
        <v>22</v>
      </c>
      <c r="AC8489">
        <v>22.583500000000001</v>
      </c>
      <c r="AD8489">
        <v>-1.122006122338</v>
      </c>
      <c r="AE8489">
        <v>-0.44384000000000801</v>
      </c>
      <c r="AF8489">
        <v>-1.34069346625425</v>
      </c>
      <c r="AG8489">
        <v>-1.122006122338</v>
      </c>
      <c r="AH8489">
        <v>22.492343137445602</v>
      </c>
      <c r="AI8489">
        <v>92.850719187540804</v>
      </c>
      <c r="AJ8489">
        <v>93.411173996044297</v>
      </c>
      <c r="AK8489">
        <v>22.560182989542</v>
      </c>
      <c r="AL8489">
        <v>93.593932835344205</v>
      </c>
      <c r="AM8489">
        <v>93.726814414591402</v>
      </c>
      <c r="AN8489">
        <v>1.0000000617112399</v>
      </c>
    </row>
    <row r="8490" spans="1:40" x14ac:dyDescent="0.25">
      <c r="A8490" t="str">
        <f>"20190303154010891"</f>
        <v>20190303154010891</v>
      </c>
      <c r="B8490" t="str">
        <f>"1551598810886713"</f>
        <v>1551598810886713</v>
      </c>
      <c r="C8490" t="s">
        <v>40</v>
      </c>
      <c r="D8490">
        <v>4.9436999999999998</v>
      </c>
      <c r="E8490">
        <v>0.50188029999999995</v>
      </c>
      <c r="F8490" t="s">
        <v>86</v>
      </c>
      <c r="G8490">
        <v>-256.65710000000001</v>
      </c>
      <c r="H8490" s="1">
        <v>-2.382314E-6</v>
      </c>
      <c r="I8490">
        <v>-62.138710000000003</v>
      </c>
      <c r="J8490">
        <v>-278.48829999999998</v>
      </c>
      <c r="K8490">
        <v>1.1219669999999999</v>
      </c>
      <c r="L8490">
        <v>-61.742220000000003</v>
      </c>
      <c r="M8490">
        <v>0.99703359999999996</v>
      </c>
      <c r="N8490">
        <v>-3.333473E-3</v>
      </c>
      <c r="O8490">
        <v>-7.6897439999999997E-2</v>
      </c>
      <c r="P8490">
        <v>0.9977355</v>
      </c>
      <c r="Q8490">
        <v>-6.5726770000000004E-2</v>
      </c>
      <c r="R8490">
        <v>-1.428744E-2</v>
      </c>
      <c r="S8490">
        <v>2.9959720000000001</v>
      </c>
      <c r="T8490">
        <v>-0.1530956</v>
      </c>
      <c r="U8490">
        <v>-5.5145260000000001E-2</v>
      </c>
      <c r="V8490">
        <v>-6.2138480000000003E-2</v>
      </c>
      <c r="W8490">
        <v>-6.2745709999999996E-2</v>
      </c>
      <c r="X8490">
        <v>0.99609329999999996</v>
      </c>
      <c r="Y8490">
        <v>-5.836744E-2</v>
      </c>
      <c r="Z8490">
        <v>5.2541649999999999E-3</v>
      </c>
      <c r="AA8490">
        <v>0.99828139999999999</v>
      </c>
      <c r="AB8490">
        <v>23</v>
      </c>
      <c r="AC8490">
        <v>21.8311999999999</v>
      </c>
      <c r="AD8490">
        <v>-1.121969382314</v>
      </c>
      <c r="AE8490">
        <v>-0.39649000000000001</v>
      </c>
      <c r="AF8490">
        <v>-1.28007659427063</v>
      </c>
      <c r="AG8490">
        <v>-1.121969382314</v>
      </c>
      <c r="AH8490">
        <v>21.739645978756698</v>
      </c>
      <c r="AI8490">
        <v>92.949278526741793</v>
      </c>
      <c r="AJ8490">
        <v>93.3698064660923</v>
      </c>
      <c r="AK8490">
        <v>21.806183037471801</v>
      </c>
      <c r="AL8490">
        <v>93.597427391624294</v>
      </c>
      <c r="AM8490">
        <v>93.569610488730603</v>
      </c>
      <c r="AN8490">
        <v>1.0000000385625001</v>
      </c>
    </row>
    <row r="8491" spans="1:40" x14ac:dyDescent="0.25">
      <c r="A8491" t="str">
        <f>"20190303154010903"</f>
        <v>20190303154010903</v>
      </c>
      <c r="B8491" t="str">
        <f>"1551598810896473"</f>
        <v>1551598810896473</v>
      </c>
      <c r="C8491" t="s">
        <v>40</v>
      </c>
      <c r="D8491">
        <v>4.9876559999999897</v>
      </c>
      <c r="E8491">
        <v>0.50167819999999996</v>
      </c>
      <c r="F8491" t="s">
        <v>86</v>
      </c>
      <c r="G8491">
        <v>-256.02999999999997</v>
      </c>
      <c r="H8491" s="1">
        <v>-2.124255E-6</v>
      </c>
      <c r="I8491">
        <v>-62.18806</v>
      </c>
      <c r="J8491">
        <v>-278.36950000000002</v>
      </c>
      <c r="K8491">
        <v>1.121934</v>
      </c>
      <c r="L8491">
        <v>-61.749209999999998</v>
      </c>
      <c r="M8491">
        <v>0.99718669999999998</v>
      </c>
      <c r="N8491">
        <v>-3.3485120000000001E-3</v>
      </c>
      <c r="O8491">
        <v>-7.4883619999999998E-2</v>
      </c>
      <c r="P8491">
        <v>0.99771489999999996</v>
      </c>
      <c r="Q8491">
        <v>-6.5951090000000004E-2</v>
      </c>
      <c r="R8491">
        <v>-1.467808E-2</v>
      </c>
      <c r="S8491">
        <v>2.9960939999999998</v>
      </c>
      <c r="T8491">
        <v>-0.1496789</v>
      </c>
      <c r="U8491">
        <v>-5.9478759999999999E-2</v>
      </c>
      <c r="V8491">
        <v>-5.973991E-2</v>
      </c>
      <c r="W8491">
        <v>-6.2936290000000006E-2</v>
      </c>
      <c r="X8491">
        <v>0.996228</v>
      </c>
      <c r="Y8491">
        <v>-5.492271E-2</v>
      </c>
      <c r="Z8491">
        <v>4.9471649999999999E-3</v>
      </c>
      <c r="AA8491">
        <v>0.99847839999999999</v>
      </c>
      <c r="AB8491">
        <v>23</v>
      </c>
      <c r="AC8491">
        <v>22.339500000000001</v>
      </c>
      <c r="AD8491">
        <v>-1.1219361242549999</v>
      </c>
      <c r="AE8491">
        <v>-0.43885000000000202</v>
      </c>
      <c r="AF8491">
        <v>-1.2321475250879901</v>
      </c>
      <c r="AG8491">
        <v>-1.1219361242549999</v>
      </c>
      <c r="AH8491">
        <v>22.2535316239439</v>
      </c>
      <c r="AI8491">
        <v>92.881779186900602</v>
      </c>
      <c r="AJ8491">
        <v>93.169152831795301</v>
      </c>
      <c r="AK8491">
        <v>22.315837379053502</v>
      </c>
      <c r="AL8491">
        <v>93.608368473665195</v>
      </c>
      <c r="AM8491">
        <v>93.431695120915293</v>
      </c>
      <c r="AN8491">
        <v>1.00000003071488</v>
      </c>
    </row>
    <row r="8492" spans="1:40" x14ac:dyDescent="0.25">
      <c r="A8492" t="str">
        <f>"20190303154010914"</f>
        <v>20190303154010914</v>
      </c>
      <c r="B8492" t="str">
        <f>"1551598810907209"</f>
        <v>1551598810907209</v>
      </c>
      <c r="C8492" t="s">
        <v>40</v>
      </c>
      <c r="D8492">
        <v>4.9587009999999996</v>
      </c>
      <c r="E8492">
        <v>0.50172479999999997</v>
      </c>
      <c r="F8492" t="s">
        <v>86</v>
      </c>
      <c r="G8492">
        <v>-256.24220000000003</v>
      </c>
      <c r="H8492" s="1">
        <v>-2.2146349999999998E-6</v>
      </c>
      <c r="I8492">
        <v>-62.185110000000002</v>
      </c>
      <c r="J8492">
        <v>-278.26440000000002</v>
      </c>
      <c r="K8492">
        <v>1.1219049999999999</v>
      </c>
      <c r="L8492">
        <v>-61.755249999999997</v>
      </c>
      <c r="M8492">
        <v>0.99731689999999995</v>
      </c>
      <c r="N8492">
        <v>-3.3618770000000001E-3</v>
      </c>
      <c r="O8492">
        <v>-7.3128509999999994E-2</v>
      </c>
      <c r="P8492">
        <v>0.99768080000000003</v>
      </c>
      <c r="Q8492">
        <v>-6.6382259999999998E-2</v>
      </c>
      <c r="R8492">
        <v>-1.505431E-2</v>
      </c>
      <c r="S8492">
        <v>2.9959720000000001</v>
      </c>
      <c r="T8492">
        <v>-0.15190670000000001</v>
      </c>
      <c r="U8492">
        <v>-5.9020999999999997E-2</v>
      </c>
      <c r="V8492">
        <v>-5.7611559999999999E-2</v>
      </c>
      <c r="W8492">
        <v>-6.3338119999999998E-2</v>
      </c>
      <c r="X8492">
        <v>0.99632790000000004</v>
      </c>
      <c r="Y8492">
        <v>-5.3316500000000003E-2</v>
      </c>
      <c r="Z8492">
        <v>4.8964689999999996E-3</v>
      </c>
      <c r="AA8492">
        <v>0.9985657</v>
      </c>
      <c r="AB8492">
        <v>23</v>
      </c>
      <c r="AC8492">
        <v>22.022200000000002</v>
      </c>
      <c r="AD8492">
        <v>-1.121907214635</v>
      </c>
      <c r="AE8492">
        <v>-0.42985999999999702</v>
      </c>
      <c r="AF8492">
        <v>-1.1786927303733501</v>
      </c>
      <c r="AG8492">
        <v>-1.121907214635</v>
      </c>
      <c r="AH8492">
        <v>21.937756650023601</v>
      </c>
      <c r="AI8492">
        <v>92.923373503125504</v>
      </c>
      <c r="AJ8492">
        <v>93.075485171736204</v>
      </c>
      <c r="AK8492">
        <v>21.9980262566108</v>
      </c>
      <c r="AL8492">
        <v>93.6314376040323</v>
      </c>
      <c r="AM8492">
        <v>93.309380011156705</v>
      </c>
      <c r="AN8492">
        <v>1.00000004680458</v>
      </c>
    </row>
    <row r="8493" spans="1:40" x14ac:dyDescent="0.25">
      <c r="A8493" t="str">
        <f>"20190303154010924"</f>
        <v>20190303154010924</v>
      </c>
      <c r="B8493" t="str">
        <f>"1551598810916970"</f>
        <v>1551598810916970</v>
      </c>
      <c r="C8493" t="s">
        <v>40</v>
      </c>
      <c r="D8493">
        <v>4.9280169999999996</v>
      </c>
      <c r="E8493">
        <v>0.50174810000000003</v>
      </c>
      <c r="F8493" t="s">
        <v>86</v>
      </c>
      <c r="G8493">
        <v>-256.12369999999999</v>
      </c>
      <c r="H8493" s="1">
        <v>-2.1677049999999999E-6</v>
      </c>
      <c r="I8493">
        <v>-62.2027</v>
      </c>
      <c r="J8493">
        <v>-278.14960000000002</v>
      </c>
      <c r="K8493">
        <v>1.1218729999999999</v>
      </c>
      <c r="L8493">
        <v>-61.761690000000002</v>
      </c>
      <c r="M8493">
        <v>0.99745240000000002</v>
      </c>
      <c r="N8493">
        <v>-3.3764759999999998E-3</v>
      </c>
      <c r="O8493">
        <v>-7.1255620000000006E-2</v>
      </c>
      <c r="P8493">
        <v>0.99766779999999999</v>
      </c>
      <c r="Q8493">
        <v>-6.6635159999999999E-2</v>
      </c>
      <c r="R8493">
        <v>-1.4799909999999999E-2</v>
      </c>
      <c r="S8493">
        <v>2.9959720000000001</v>
      </c>
      <c r="T8493">
        <v>-0.1518109</v>
      </c>
      <c r="U8493">
        <v>-6.0546879999999997E-2</v>
      </c>
      <c r="V8493">
        <v>-5.5997779999999997E-2</v>
      </c>
      <c r="W8493">
        <v>-6.3563419999999995E-2</v>
      </c>
      <c r="X8493">
        <v>0.99640550000000006</v>
      </c>
      <c r="Y8493">
        <v>-5.093843E-2</v>
      </c>
      <c r="Z8493">
        <v>4.7400649999999999E-3</v>
      </c>
      <c r="AA8493">
        <v>0.99869050000000004</v>
      </c>
      <c r="AB8493">
        <v>23</v>
      </c>
      <c r="AC8493">
        <v>22.0259</v>
      </c>
      <c r="AD8493">
        <v>-1.1218751677049901</v>
      </c>
      <c r="AE8493">
        <v>-0.44100999999999801</v>
      </c>
      <c r="AF8493">
        <v>-1.12666733383774</v>
      </c>
      <c r="AG8493">
        <v>-1.1218751677049901</v>
      </c>
      <c r="AH8493">
        <v>21.944428256748601</v>
      </c>
      <c r="AI8493">
        <v>92.922767809267697</v>
      </c>
      <c r="AJ8493">
        <v>92.939090116329297</v>
      </c>
      <c r="AK8493">
        <v>22.0019525199159</v>
      </c>
      <c r="AL8493">
        <v>93.644372613606293</v>
      </c>
      <c r="AM8493">
        <v>93.216627149744298</v>
      </c>
      <c r="AN8493">
        <v>0.99999999007863705</v>
      </c>
    </row>
    <row r="8494" spans="1:40" x14ac:dyDescent="0.25">
      <c r="A8494" t="str">
        <f>"20190303154010935"</f>
        <v>20190303154010935</v>
      </c>
      <c r="B8494" t="str">
        <f>"1551598810926729"</f>
        <v>1551598810926729</v>
      </c>
      <c r="C8494" t="s">
        <v>40</v>
      </c>
      <c r="D8494">
        <v>4.9200210000000002</v>
      </c>
      <c r="E8494">
        <v>0.50168829999999998</v>
      </c>
      <c r="F8494" t="s">
        <v>86</v>
      </c>
      <c r="G8494">
        <v>-255.97890000000001</v>
      </c>
      <c r="H8494" s="1">
        <v>-2.1062930000000001E-6</v>
      </c>
      <c r="I8494">
        <v>-62.2059</v>
      </c>
      <c r="J8494">
        <v>-278.04559999999998</v>
      </c>
      <c r="K8494">
        <v>1.121839</v>
      </c>
      <c r="L8494">
        <v>-61.767400000000002</v>
      </c>
      <c r="M8494">
        <v>0.99756909999999999</v>
      </c>
      <c r="N8494">
        <v>-3.3896460000000001E-3</v>
      </c>
      <c r="O8494">
        <v>-6.9601979999999994E-2</v>
      </c>
      <c r="P8494">
        <v>0.997641</v>
      </c>
      <c r="Q8494">
        <v>-6.7041489999999995E-2</v>
      </c>
      <c r="R8494">
        <v>-1.4775409999999999E-2</v>
      </c>
      <c r="S8494">
        <v>2.9960330000000002</v>
      </c>
      <c r="T8494">
        <v>-0.15160419999999999</v>
      </c>
      <c r="U8494">
        <v>-6.0028079999999998E-2</v>
      </c>
      <c r="V8494">
        <v>-5.4371450000000002E-2</v>
      </c>
      <c r="W8494">
        <v>-6.3943769999999997E-2</v>
      </c>
      <c r="X8494">
        <v>0.9964712</v>
      </c>
      <c r="Y8494">
        <v>-4.9460320000000002E-2</v>
      </c>
      <c r="Z8494">
        <v>4.6150269999999998E-3</v>
      </c>
      <c r="AA8494">
        <v>0.99876540000000003</v>
      </c>
      <c r="AB8494">
        <v>23</v>
      </c>
      <c r="AC8494">
        <v>22.066699999999901</v>
      </c>
      <c r="AD8494">
        <v>-1.121841106293</v>
      </c>
      <c r="AE8494">
        <v>-0.438499999999997</v>
      </c>
      <c r="AF8494">
        <v>-1.0956276471016699</v>
      </c>
      <c r="AG8494">
        <v>-1.121841106293</v>
      </c>
      <c r="AH8494">
        <v>21.986900581184699</v>
      </c>
      <c r="AI8494">
        <v>92.917265224557994</v>
      </c>
      <c r="AJ8494">
        <v>92.852742157052802</v>
      </c>
      <c r="AK8494">
        <v>22.0427476639316</v>
      </c>
      <c r="AL8494">
        <v>93.666209610871604</v>
      </c>
      <c r="AM8494">
        <v>93.123189624083295</v>
      </c>
      <c r="AN8494">
        <v>0.99999995636317596</v>
      </c>
    </row>
    <row r="8495" spans="1:40" x14ac:dyDescent="0.25">
      <c r="A8495" t="str">
        <f>"20190303154010946"</f>
        <v>20190303154010946</v>
      </c>
      <c r="B8495" t="str">
        <f>"1551598810936489"</f>
        <v>1551598810936489</v>
      </c>
      <c r="C8495" t="s">
        <v>40</v>
      </c>
      <c r="D8495">
        <v>4.9458900000000003</v>
      </c>
      <c r="E8495">
        <v>0.50176100000000001</v>
      </c>
      <c r="F8495" t="s">
        <v>86</v>
      </c>
      <c r="G8495">
        <v>-255.8819</v>
      </c>
      <c r="H8495" s="1">
        <v>-2.064955E-6</v>
      </c>
      <c r="I8495">
        <v>-62.207169999999998</v>
      </c>
      <c r="J8495">
        <v>-277.92970000000003</v>
      </c>
      <c r="K8495">
        <v>1.1217980000000001</v>
      </c>
      <c r="L8495">
        <v>-61.773560000000003</v>
      </c>
      <c r="M8495">
        <v>0.99769300000000005</v>
      </c>
      <c r="N8495">
        <v>-3.4042849999999999E-3</v>
      </c>
      <c r="O8495">
        <v>-6.7802390000000004E-2</v>
      </c>
      <c r="P8495">
        <v>0.99761429999999995</v>
      </c>
      <c r="Q8495">
        <v>-6.7496500000000001E-2</v>
      </c>
      <c r="R8495">
        <v>-1.4490970000000001E-2</v>
      </c>
      <c r="S8495">
        <v>2.9960629999999999</v>
      </c>
      <c r="T8495">
        <v>-0.15164939999999999</v>
      </c>
      <c r="U8495">
        <v>-5.9448239999999999E-2</v>
      </c>
      <c r="V8495">
        <v>-5.2860369999999997E-2</v>
      </c>
      <c r="W8495">
        <v>-6.4371399999999995E-2</v>
      </c>
      <c r="X8495">
        <v>0.99652499999999999</v>
      </c>
      <c r="Y8495">
        <v>-4.785619E-2</v>
      </c>
      <c r="Z8495">
        <v>4.4877629999999996E-3</v>
      </c>
      <c r="AA8495">
        <v>0.99884410000000001</v>
      </c>
      <c r="AB8495">
        <v>23</v>
      </c>
      <c r="AC8495">
        <v>22.047799999999999</v>
      </c>
      <c r="AD8495">
        <v>-1.121800064955</v>
      </c>
      <c r="AE8495">
        <v>-0.43361000000000099</v>
      </c>
      <c r="AF8495">
        <v>-1.0595480784109099</v>
      </c>
      <c r="AG8495">
        <v>-1.121800064955</v>
      </c>
      <c r="AH8495">
        <v>21.9696091395741</v>
      </c>
      <c r="AI8495">
        <v>92.919679216239501</v>
      </c>
      <c r="AJ8495">
        <v>92.761115640978502</v>
      </c>
      <c r="AK8495">
        <v>22.0237327277157</v>
      </c>
      <c r="AL8495">
        <v>93.690761480234798</v>
      </c>
      <c r="AM8495">
        <v>93.036391715845596</v>
      </c>
      <c r="AN8495">
        <v>0.99999998573974802</v>
      </c>
    </row>
    <row r="8496" spans="1:40" x14ac:dyDescent="0.25">
      <c r="A8496" t="str">
        <f>"20190303154010956"</f>
        <v>20190303154010956</v>
      </c>
      <c r="B8496" t="str">
        <f>"1551598810947226"</f>
        <v>1551598810947226</v>
      </c>
      <c r="C8496" t="s">
        <v>40</v>
      </c>
      <c r="D8496">
        <v>4.9425109999999997</v>
      </c>
      <c r="E8496">
        <v>0.50170749999999997</v>
      </c>
      <c r="F8496" t="s">
        <v>86</v>
      </c>
      <c r="G8496">
        <v>-255.76439999999999</v>
      </c>
      <c r="H8496" s="1">
        <v>-2.0155239999999998E-6</v>
      </c>
      <c r="I8496">
        <v>-62.211559999999999</v>
      </c>
      <c r="J8496">
        <v>-277.81619999999998</v>
      </c>
      <c r="K8496">
        <v>1.121748</v>
      </c>
      <c r="L8496">
        <v>-61.779420000000002</v>
      </c>
      <c r="M8496">
        <v>0.99780610000000003</v>
      </c>
      <c r="N8496">
        <v>-3.4201040000000002E-3</v>
      </c>
      <c r="O8496">
        <v>-6.6116289999999994E-2</v>
      </c>
      <c r="P8496">
        <v>0.99757899999999999</v>
      </c>
      <c r="Q8496">
        <v>-6.8013710000000005E-2</v>
      </c>
      <c r="R8496">
        <v>-1.450245E-2</v>
      </c>
      <c r="S8496">
        <v>2.9960629999999999</v>
      </c>
      <c r="T8496">
        <v>-0.1516323</v>
      </c>
      <c r="U8496">
        <v>-5.9204100000000003E-2</v>
      </c>
      <c r="V8496">
        <v>-5.1167520000000001E-2</v>
      </c>
      <c r="W8496">
        <v>-6.4858209999999999E-2</v>
      </c>
      <c r="X8496">
        <v>0.99658179999999996</v>
      </c>
      <c r="Y8496">
        <v>-4.625365E-2</v>
      </c>
      <c r="Z8496">
        <v>4.3639630000000002E-3</v>
      </c>
      <c r="AA8496">
        <v>0.99892020000000004</v>
      </c>
      <c r="AB8496">
        <v>23</v>
      </c>
      <c r="AC8496">
        <v>22.051799999999901</v>
      </c>
      <c r="AD8496">
        <v>-1.1217500155240001</v>
      </c>
      <c r="AE8496">
        <v>-0.43214000000000402</v>
      </c>
      <c r="AF8496">
        <v>-1.0241481323136301</v>
      </c>
      <c r="AG8496">
        <v>-1.1217500155240001</v>
      </c>
      <c r="AH8496">
        <v>21.975277781561601</v>
      </c>
      <c r="AI8496">
        <v>92.919021152507199</v>
      </c>
      <c r="AJ8496">
        <v>92.668313814877806</v>
      </c>
      <c r="AK8496">
        <v>22.0277106407144</v>
      </c>
      <c r="AL8496">
        <v>93.718712020047903</v>
      </c>
      <c r="AM8496">
        <v>92.939157563916794</v>
      </c>
      <c r="AN8496">
        <v>0.99999999329929701</v>
      </c>
    </row>
    <row r="8497" spans="1:40" x14ac:dyDescent="0.25">
      <c r="A8497" t="str">
        <f>"20190303154010967"</f>
        <v>20190303154010967</v>
      </c>
      <c r="B8497" t="str">
        <f>"1551598810956985"</f>
        <v>1551598810956985</v>
      </c>
      <c r="C8497" t="s">
        <v>40</v>
      </c>
      <c r="D8497">
        <v>4.953824</v>
      </c>
      <c r="E8497">
        <v>0.50163409999999997</v>
      </c>
      <c r="F8497" t="s">
        <v>86</v>
      </c>
      <c r="G8497">
        <v>-255.67089999999999</v>
      </c>
      <c r="H8497" s="1">
        <v>-1.9761290000000002E-6</v>
      </c>
      <c r="I8497">
        <v>-62.214759999999998</v>
      </c>
      <c r="J8497">
        <v>-277.70530000000002</v>
      </c>
      <c r="K8497">
        <v>1.1216950000000001</v>
      </c>
      <c r="L8497">
        <v>-61.7851</v>
      </c>
      <c r="M8497">
        <v>0.99791189999999996</v>
      </c>
      <c r="N8497">
        <v>-3.4362250000000002E-3</v>
      </c>
      <c r="O8497">
        <v>-6.4500879999999997E-2</v>
      </c>
      <c r="P8497">
        <v>0.99754200000000004</v>
      </c>
      <c r="Q8497">
        <v>-6.8584199999999998E-2</v>
      </c>
      <c r="R8497">
        <v>-1.437276E-2</v>
      </c>
      <c r="S8497">
        <v>2.9960939999999998</v>
      </c>
      <c r="T8497">
        <v>-0.1517646</v>
      </c>
      <c r="U8497">
        <v>-5.8898930000000002E-2</v>
      </c>
      <c r="V8497">
        <v>-4.9686849999999998E-2</v>
      </c>
      <c r="W8497">
        <v>-6.5399120000000005E-2</v>
      </c>
      <c r="X8497">
        <v>0.99662139999999999</v>
      </c>
      <c r="Y8497">
        <v>-4.4742009999999999E-2</v>
      </c>
      <c r="Z8497">
        <v>4.2502540000000002E-3</v>
      </c>
      <c r="AA8497">
        <v>0.99898949999999997</v>
      </c>
      <c r="AB8497">
        <v>23</v>
      </c>
      <c r="AC8497">
        <v>22.034400000000002</v>
      </c>
      <c r="AD8497">
        <v>-1.1216969761290001</v>
      </c>
      <c r="AE8497">
        <v>-0.42965999999999799</v>
      </c>
      <c r="AF8497">
        <v>-0.98991667952894002</v>
      </c>
      <c r="AG8497">
        <v>-1.1216969761290001</v>
      </c>
      <c r="AH8497">
        <v>21.959344077133899</v>
      </c>
      <c r="AI8497">
        <v>92.921201083165897</v>
      </c>
      <c r="AJ8497">
        <v>92.581118738230103</v>
      </c>
      <c r="AK8497">
        <v>22.0102460557946</v>
      </c>
      <c r="AL8497">
        <v>93.749769714634496</v>
      </c>
      <c r="AM8497">
        <v>92.8541346328076</v>
      </c>
      <c r="AN8497">
        <v>1.0000000214488201</v>
      </c>
    </row>
    <row r="8498" spans="1:40" x14ac:dyDescent="0.25">
      <c r="A8498" t="str">
        <f>"20190303154010979"</f>
        <v>20190303154010979</v>
      </c>
      <c r="B8498" t="str">
        <f>"1551598810976505"</f>
        <v>1551598810976505</v>
      </c>
      <c r="C8498" t="s">
        <v>40</v>
      </c>
      <c r="D8498">
        <v>4.9278449999999996</v>
      </c>
      <c r="E8498">
        <v>0.50155379999999905</v>
      </c>
      <c r="F8498" t="s">
        <v>86</v>
      </c>
      <c r="G8498">
        <v>-255.63419999999999</v>
      </c>
      <c r="H8498" s="1">
        <v>-1.9598209999999998E-6</v>
      </c>
      <c r="I8498">
        <v>-62.212229999999998</v>
      </c>
      <c r="J8498">
        <v>-277.58760000000001</v>
      </c>
      <c r="K8498">
        <v>1.121623</v>
      </c>
      <c r="L8498">
        <v>-61.7909199999999</v>
      </c>
      <c r="M8498">
        <v>0.99801359999999995</v>
      </c>
      <c r="N8498">
        <v>-3.4571430000000002E-3</v>
      </c>
      <c r="O8498">
        <v>-6.2907119999999997E-2</v>
      </c>
      <c r="P8498">
        <v>0.99749569999999999</v>
      </c>
      <c r="Q8498">
        <v>-6.9257799999999994E-2</v>
      </c>
      <c r="R8498">
        <v>-1.4354820000000001E-2</v>
      </c>
      <c r="S8498">
        <v>2.996124</v>
      </c>
      <c r="T8498">
        <v>-0.15226879999999901</v>
      </c>
      <c r="U8498">
        <v>-5.7983399999999997E-2</v>
      </c>
      <c r="V8498">
        <v>-4.8119380000000003E-2</v>
      </c>
      <c r="W8498">
        <v>-6.6035679999999999E-2</v>
      </c>
      <c r="X8498">
        <v>0.99665630000000005</v>
      </c>
      <c r="Y8498">
        <v>-4.3454609999999998E-2</v>
      </c>
      <c r="Z8498">
        <v>4.1537420000000002E-3</v>
      </c>
      <c r="AA8498">
        <v>0.99904669999999896</v>
      </c>
      <c r="AB8498">
        <v>23</v>
      </c>
      <c r="AC8498">
        <v>21.953399999999998</v>
      </c>
      <c r="AD8498">
        <v>-1.121624959821</v>
      </c>
      <c r="AE8498">
        <v>-0.42131000000001201</v>
      </c>
      <c r="AF8498">
        <v>-0.95805769995381695</v>
      </c>
      <c r="AG8498">
        <v>-1.121624959821</v>
      </c>
      <c r="AH8498">
        <v>21.879331065552801</v>
      </c>
      <c r="AI8498">
        <v>92.931845032645001</v>
      </c>
      <c r="AJ8498">
        <v>92.507280453192095</v>
      </c>
      <c r="AK8498">
        <v>21.929000090815698</v>
      </c>
      <c r="AL8498">
        <v>93.786321075165105</v>
      </c>
      <c r="AM8498">
        <v>92.7641405825932</v>
      </c>
      <c r="AN8498">
        <v>0.99999998304716797</v>
      </c>
    </row>
    <row r="8499" spans="1:40" x14ac:dyDescent="0.25">
      <c r="A8499" t="str">
        <f>"20190303154010991"</f>
        <v>20190303154010991</v>
      </c>
      <c r="B8499" t="str">
        <f>"1551598810987241"</f>
        <v>1551598810987241</v>
      </c>
      <c r="C8499" t="s">
        <v>40</v>
      </c>
      <c r="D8499">
        <v>4.9275599999999997</v>
      </c>
      <c r="E8499">
        <v>0.50149069999999996</v>
      </c>
      <c r="F8499" t="s">
        <v>86</v>
      </c>
      <c r="G8499">
        <v>-255.74420000000001</v>
      </c>
      <c r="H8499" s="1">
        <v>-2.0063780000000002E-6</v>
      </c>
      <c r="I8499">
        <v>-62.209440000000001</v>
      </c>
      <c r="J8499">
        <v>-277.47129999999999</v>
      </c>
      <c r="K8499">
        <v>1.121543</v>
      </c>
      <c r="L8499">
        <v>-61.79663</v>
      </c>
      <c r="M8499">
        <v>0.99810949999999998</v>
      </c>
      <c r="N8499">
        <v>-3.4792349999999998E-3</v>
      </c>
      <c r="O8499">
        <v>-6.1365370000000002E-2</v>
      </c>
      <c r="P8499">
        <v>0.99742900000000001</v>
      </c>
      <c r="Q8499">
        <v>-7.0267189999999993E-2</v>
      </c>
      <c r="R8499">
        <v>-1.4080280000000001E-2</v>
      </c>
      <c r="S8499">
        <v>2.9960330000000002</v>
      </c>
      <c r="T8499">
        <v>-0.15384100000000001</v>
      </c>
      <c r="U8499">
        <v>-5.7403559999999999E-2</v>
      </c>
      <c r="V8499">
        <v>-4.6857370000000002E-2</v>
      </c>
      <c r="W8499">
        <v>-6.7008499999999999E-2</v>
      </c>
      <c r="X8499">
        <v>0.99665150000000002</v>
      </c>
      <c r="Y8499">
        <v>-4.2104900000000001E-2</v>
      </c>
      <c r="Z8499">
        <v>4.0867059999999998E-3</v>
      </c>
      <c r="AA8499">
        <v>0.99910489999999996</v>
      </c>
      <c r="AB8499">
        <v>23</v>
      </c>
      <c r="AC8499">
        <v>21.727099999999901</v>
      </c>
      <c r="AD8499">
        <v>-1.1215450063779999</v>
      </c>
      <c r="AE8499">
        <v>-0.41280999999999302</v>
      </c>
      <c r="AF8499">
        <v>-0.91881995315786003</v>
      </c>
      <c r="AG8499">
        <v>-1.1215450063779999</v>
      </c>
      <c r="AH8499">
        <v>21.653806728767499</v>
      </c>
      <c r="AI8499">
        <v>92.962287826625598</v>
      </c>
      <c r="AJ8499">
        <v>92.429731860870106</v>
      </c>
      <c r="AK8499">
        <v>21.702291103808999</v>
      </c>
      <c r="AL8499">
        <v>93.842183298830093</v>
      </c>
      <c r="AM8499">
        <v>92.691767441686395</v>
      </c>
      <c r="AN8499">
        <v>0.99999998232390797</v>
      </c>
    </row>
    <row r="8500" spans="1:40" x14ac:dyDescent="0.25">
      <c r="A8500" t="str">
        <f>"20190303154011001"</f>
        <v>20190303154011001</v>
      </c>
      <c r="B8500" t="str">
        <f>"1551598810997001"</f>
        <v>1551598810997001</v>
      </c>
      <c r="C8500" t="s">
        <v>40</v>
      </c>
      <c r="D8500">
        <v>4.928579</v>
      </c>
      <c r="E8500">
        <v>0.50148289999999995</v>
      </c>
      <c r="F8500" t="s">
        <v>86</v>
      </c>
      <c r="G8500">
        <v>-256.0813</v>
      </c>
      <c r="H8500" s="1">
        <v>-2.1482649999999999E-6</v>
      </c>
      <c r="I8500">
        <v>-62.197110000000002</v>
      </c>
      <c r="J8500">
        <v>-277.34649999999999</v>
      </c>
      <c r="K8500">
        <v>1.1214390000000001</v>
      </c>
      <c r="L8500">
        <v>-61.802579999999999</v>
      </c>
      <c r="M8500">
        <v>0.99820050000000005</v>
      </c>
      <c r="N8500">
        <v>-3.5091990000000002E-3</v>
      </c>
      <c r="O8500">
        <v>-5.9861379999999999E-2</v>
      </c>
      <c r="P8500">
        <v>0.99733320000000003</v>
      </c>
      <c r="Q8500">
        <v>-7.1718499999999893E-2</v>
      </c>
      <c r="R8500">
        <v>-1.352332E-2</v>
      </c>
      <c r="S8500">
        <v>2.9958800000000001</v>
      </c>
      <c r="T8500">
        <v>-0.15708320000000001</v>
      </c>
      <c r="U8500">
        <v>-5.6091309999999998E-2</v>
      </c>
      <c r="V8500">
        <v>-4.5917689999999997E-2</v>
      </c>
      <c r="W8500">
        <v>-6.8414199999999994E-2</v>
      </c>
      <c r="X8500">
        <v>0.99659969999999998</v>
      </c>
      <c r="Y8500">
        <v>-4.1033729999999997E-2</v>
      </c>
      <c r="Z8500">
        <v>4.0713889999999999E-3</v>
      </c>
      <c r="AA8500">
        <v>0.99914939999999997</v>
      </c>
      <c r="AB8500">
        <v>23</v>
      </c>
      <c r="AC8500">
        <v>21.2652</v>
      </c>
      <c r="AD8500">
        <v>-1.12144114826499</v>
      </c>
      <c r="AE8500">
        <v>-0.394529999999988</v>
      </c>
      <c r="AF8500">
        <v>-0.87671224432766404</v>
      </c>
      <c r="AG8500">
        <v>-1.12144114826499</v>
      </c>
      <c r="AH8500">
        <v>21.191766100789899</v>
      </c>
      <c r="AI8500">
        <v>93.026609699055001</v>
      </c>
      <c r="AJ8500">
        <v>92.368999502072299</v>
      </c>
      <c r="AK8500">
        <v>21.239519888146301</v>
      </c>
      <c r="AL8500">
        <v>93.922909382999094</v>
      </c>
      <c r="AM8500">
        <v>92.638000544570801</v>
      </c>
      <c r="AN8500">
        <v>0.99999994952833104</v>
      </c>
    </row>
    <row r="8501" spans="1:40" x14ac:dyDescent="0.25">
      <c r="A8501" t="str">
        <f>"20190303154011013"</f>
        <v>20190303154011013</v>
      </c>
      <c r="B8501" t="str">
        <f>"1551598811006761"</f>
        <v>1551598811006761</v>
      </c>
      <c r="C8501" t="s">
        <v>40</v>
      </c>
      <c r="D8501">
        <v>4.9291600000000004</v>
      </c>
      <c r="E8501">
        <v>0.50138689999999997</v>
      </c>
      <c r="F8501" t="s">
        <v>86</v>
      </c>
      <c r="G8501">
        <v>-256.52199999999999</v>
      </c>
      <c r="H8501" s="1">
        <v>-2.3335990000000002E-6</v>
      </c>
      <c r="I8501">
        <v>-62.180410000000002</v>
      </c>
      <c r="J8501">
        <v>-277.23480000000001</v>
      </c>
      <c r="K8501">
        <v>1.1213409999999999</v>
      </c>
      <c r="L8501">
        <v>-61.807859999999998</v>
      </c>
      <c r="M8501">
        <v>0.99827710000000003</v>
      </c>
      <c r="N8501">
        <v>-3.53937E-3</v>
      </c>
      <c r="O8501">
        <v>-5.8570240000000003E-2</v>
      </c>
      <c r="P8501">
        <v>0.9972396</v>
      </c>
      <c r="Q8501">
        <v>-7.3065160000000004E-2</v>
      </c>
      <c r="R8501">
        <v>-1.3229889999999999E-2</v>
      </c>
      <c r="S8501">
        <v>2.9956670000000001</v>
      </c>
      <c r="T8501">
        <v>-0.1613224</v>
      </c>
      <c r="U8501">
        <v>-5.435181E-2</v>
      </c>
      <c r="V8501">
        <v>-4.4927540000000002E-2</v>
      </c>
      <c r="W8501">
        <v>-6.9716020000000004E-2</v>
      </c>
      <c r="X8501">
        <v>0.99655470000000002</v>
      </c>
      <c r="Y8501">
        <v>-4.0315429999999999E-2</v>
      </c>
      <c r="Z8501">
        <v>4.098605E-3</v>
      </c>
      <c r="AA8501">
        <v>0.99917860000000003</v>
      </c>
      <c r="AB8501">
        <v>23</v>
      </c>
      <c r="AC8501">
        <v>20.712800000000001</v>
      </c>
      <c r="AD8501">
        <v>-1.121343333599</v>
      </c>
      <c r="AE8501">
        <v>-0.372549999999996</v>
      </c>
      <c r="AF8501">
        <v>-0.83879311615087004</v>
      </c>
      <c r="AG8501">
        <v>-1.121343333599</v>
      </c>
      <c r="AH8501">
        <v>20.638592275454801</v>
      </c>
      <c r="AI8501">
        <v>93.107396607005001</v>
      </c>
      <c r="AJ8501">
        <v>92.327332698843094</v>
      </c>
      <c r="AK8501">
        <v>20.686045438313499</v>
      </c>
      <c r="AL8501">
        <v>93.997676359652104</v>
      </c>
      <c r="AM8501">
        <v>92.581309974822901</v>
      </c>
      <c r="AN8501">
        <v>1.0000000386935901</v>
      </c>
    </row>
    <row r="8502" spans="1:40" x14ac:dyDescent="0.25">
      <c r="A8502" t="str">
        <f>"20190303154011023"</f>
        <v>20190303154011023</v>
      </c>
      <c r="B8502" t="str">
        <f>"1551598811016521"</f>
        <v>1551598811016521</v>
      </c>
      <c r="C8502" t="s">
        <v>40</v>
      </c>
      <c r="D8502">
        <v>4.9980339999999996</v>
      </c>
      <c r="E8502">
        <v>0.50116419999999995</v>
      </c>
      <c r="F8502" t="s">
        <v>86</v>
      </c>
      <c r="G8502">
        <v>-256.8526</v>
      </c>
      <c r="H8502" s="1">
        <v>-2.4724810000000002E-6</v>
      </c>
      <c r="I8502">
        <v>-62.167090000000002</v>
      </c>
      <c r="J8502">
        <v>-277.12130000000002</v>
      </c>
      <c r="K8502">
        <v>1.121235</v>
      </c>
      <c r="L8502">
        <v>-61.8131699999999</v>
      </c>
      <c r="M8502">
        <v>0.99834750000000005</v>
      </c>
      <c r="N8502">
        <v>-3.5757279999999998E-3</v>
      </c>
      <c r="O8502">
        <v>-5.7355429999999999E-2</v>
      </c>
      <c r="P8502">
        <v>0.99709519999999996</v>
      </c>
      <c r="Q8502">
        <v>-7.5029789999999999E-2</v>
      </c>
      <c r="R8502">
        <v>-1.3113980000000001E-2</v>
      </c>
      <c r="S8502">
        <v>2.9955440000000002</v>
      </c>
      <c r="T8502">
        <v>-0.16480239999999999</v>
      </c>
      <c r="U8502">
        <v>-5.2795410000000001E-2</v>
      </c>
      <c r="V8502">
        <v>-4.3833839999999999E-2</v>
      </c>
      <c r="W8502">
        <v>-7.1628890000000001E-2</v>
      </c>
      <c r="X8502">
        <v>0.99646769999999996</v>
      </c>
      <c r="Y8502">
        <v>-3.9614509999999999E-2</v>
      </c>
      <c r="Z8502">
        <v>4.105788E-3</v>
      </c>
      <c r="AA8502">
        <v>0.99920659999999994</v>
      </c>
      <c r="AB8502">
        <v>23</v>
      </c>
      <c r="AC8502">
        <v>20.268699999999999</v>
      </c>
      <c r="AD8502">
        <v>-1.1212374724809999</v>
      </c>
      <c r="AE8502">
        <v>-0.35392000000000901</v>
      </c>
      <c r="AF8502">
        <v>-0.80672202250372704</v>
      </c>
      <c r="AG8502">
        <v>-1.1212374724809999</v>
      </c>
      <c r="AH8502">
        <v>20.193855568735</v>
      </c>
      <c r="AI8502">
        <v>93.175482546326705</v>
      </c>
      <c r="AJ8502">
        <v>92.287686065888295</v>
      </c>
      <c r="AK8502">
        <v>20.241041885787901</v>
      </c>
      <c r="AL8502">
        <v>94.107550681300097</v>
      </c>
      <c r="AM8502">
        <v>92.518773015021907</v>
      </c>
      <c r="AN8502">
        <v>0.99999999027753295</v>
      </c>
    </row>
    <row r="8503" spans="1:40" x14ac:dyDescent="0.25">
      <c r="A8503" t="str">
        <f>"20190303154011036"</f>
        <v>20190303154011036</v>
      </c>
      <c r="B8503" t="str">
        <f>"1551598811027257"</f>
        <v>1551598811027257</v>
      </c>
      <c r="C8503" t="s">
        <v>40</v>
      </c>
      <c r="D8503">
        <v>4.9472809999999896</v>
      </c>
      <c r="E8503">
        <v>0.50111119999999998</v>
      </c>
      <c r="F8503" t="s">
        <v>86</v>
      </c>
      <c r="G8503">
        <v>-257.67939999999999</v>
      </c>
      <c r="H8503" s="1">
        <v>-2.821415E-6</v>
      </c>
      <c r="I8503">
        <v>-62.141219999999997</v>
      </c>
      <c r="J8503">
        <v>-276.99790000000002</v>
      </c>
      <c r="K8503">
        <v>1.1211139999999999</v>
      </c>
      <c r="L8503">
        <v>-61.818910000000002</v>
      </c>
      <c r="M8503">
        <v>0.99841679999999999</v>
      </c>
      <c r="N8503">
        <v>-3.6255509999999999E-3</v>
      </c>
      <c r="O8503">
        <v>-5.6133269999999999E-2</v>
      </c>
      <c r="P8503">
        <v>0.99697250000000004</v>
      </c>
      <c r="Q8503">
        <v>-7.671704E-2</v>
      </c>
      <c r="R8503">
        <v>-1.265986E-2</v>
      </c>
      <c r="S8503">
        <v>2.9951479999999999</v>
      </c>
      <c r="T8503">
        <v>-0.1727339</v>
      </c>
      <c r="U8503">
        <v>-5.0537110000000003E-2</v>
      </c>
      <c r="V8503">
        <v>-4.307656E-2</v>
      </c>
      <c r="W8503">
        <v>-7.32511E-2</v>
      </c>
      <c r="X8503">
        <v>0.99638280000000001</v>
      </c>
      <c r="Y8503">
        <v>-3.9130779999999997E-2</v>
      </c>
      <c r="Z8503">
        <v>4.2275999999999998E-3</v>
      </c>
      <c r="AA8503">
        <v>0.99922509999999998</v>
      </c>
      <c r="AB8503">
        <v>23</v>
      </c>
      <c r="AC8503">
        <v>19.3185</v>
      </c>
      <c r="AD8503">
        <v>-1.121116821415</v>
      </c>
      <c r="AE8503">
        <v>-0.32231000000000098</v>
      </c>
      <c r="AF8503">
        <v>-0.76005673776091398</v>
      </c>
      <c r="AG8503">
        <v>-1.121116821415</v>
      </c>
      <c r="AH8503">
        <v>19.241347999647498</v>
      </c>
      <c r="AI8503">
        <v>93.332034309467701</v>
      </c>
      <c r="AJ8503">
        <v>92.262077190999506</v>
      </c>
      <c r="AK8503">
        <v>19.288962180879899</v>
      </c>
      <c r="AL8503">
        <v>94.200741275793405</v>
      </c>
      <c r="AM8503">
        <v>92.4755235686726</v>
      </c>
      <c r="AN8503">
        <v>0.99999999890424096</v>
      </c>
    </row>
    <row r="8504" spans="1:40" x14ac:dyDescent="0.25">
      <c r="A8504" t="str">
        <f>"20190303154011045"</f>
        <v>20190303154011045</v>
      </c>
      <c r="B8504" t="str">
        <f>"1551598811037018"</f>
        <v>1551598811037018</v>
      </c>
      <c r="C8504" t="s">
        <v>40</v>
      </c>
      <c r="D8504">
        <v>4.9431120000000002</v>
      </c>
      <c r="E8504">
        <v>0.5010831</v>
      </c>
      <c r="F8504" t="s">
        <v>86</v>
      </c>
      <c r="G8504">
        <v>-257.99349999999998</v>
      </c>
      <c r="H8504" s="1">
        <v>-2.953478E-6</v>
      </c>
      <c r="I8504">
        <v>-62.12914</v>
      </c>
      <c r="J8504">
        <v>-276.8843</v>
      </c>
      <c r="K8504">
        <v>1.121003</v>
      </c>
      <c r="L8504">
        <v>-61.824129999999997</v>
      </c>
      <c r="M8504">
        <v>0.998475</v>
      </c>
      <c r="N8504">
        <v>-3.679309E-3</v>
      </c>
      <c r="O8504">
        <v>-5.5083550000000002E-2</v>
      </c>
      <c r="P8504">
        <v>0.99684110000000004</v>
      </c>
      <c r="Q8504">
        <v>-7.8433550000000005E-2</v>
      </c>
      <c r="R8504">
        <v>-1.249307E-2</v>
      </c>
      <c r="S8504">
        <v>2.994904</v>
      </c>
      <c r="T8504">
        <v>-0.17667720000000001</v>
      </c>
      <c r="U8504">
        <v>-4.8889160000000001E-2</v>
      </c>
      <c r="V8504">
        <v>-4.2204289999999998E-2</v>
      </c>
      <c r="W8504">
        <v>-7.4899320000000005E-2</v>
      </c>
      <c r="X8504">
        <v>0.99629760000000001</v>
      </c>
      <c r="Y8504">
        <v>-3.8624039999999998E-2</v>
      </c>
      <c r="Z8504">
        <v>4.2516230000000004E-3</v>
      </c>
      <c r="AA8504">
        <v>0.99924469999999999</v>
      </c>
      <c r="AB8504">
        <v>24</v>
      </c>
      <c r="AC8504">
        <v>18.890799999999999</v>
      </c>
      <c r="AD8504">
        <v>-1.1210059534779999</v>
      </c>
      <c r="AE8504">
        <v>-0.30500999999999501</v>
      </c>
      <c r="AF8504">
        <v>-0.73345032878636396</v>
      </c>
      <c r="AG8504">
        <v>-1.1210059534779999</v>
      </c>
      <c r="AH8504">
        <v>18.812690071204202</v>
      </c>
      <c r="AI8504">
        <v>93.4075119757332</v>
      </c>
      <c r="AJ8504">
        <v>92.232659752173603</v>
      </c>
      <c r="AK8504">
        <v>18.860326387624202</v>
      </c>
      <c r="AL8504">
        <v>94.295437456035202</v>
      </c>
      <c r="AM8504">
        <v>92.425663611339104</v>
      </c>
      <c r="AN8504">
        <v>1.0000000089983101</v>
      </c>
    </row>
    <row r="8505" spans="1:40" x14ac:dyDescent="0.25">
      <c r="A8505" t="str">
        <f>"20190303154011057"</f>
        <v>20190303154011057</v>
      </c>
      <c r="B8505" t="str">
        <f>"1551598811046778"</f>
        <v>1551598811046778</v>
      </c>
      <c r="C8505" t="s">
        <v>40</v>
      </c>
      <c r="D8505">
        <v>4.9331199999999997</v>
      </c>
      <c r="E8505">
        <v>0.50107040000000003</v>
      </c>
      <c r="F8505" t="s">
        <v>86</v>
      </c>
      <c r="G8505">
        <v>-258.387</v>
      </c>
      <c r="H8505" s="1">
        <v>-3.1094970000000002E-6</v>
      </c>
      <c r="I8505">
        <v>-62.121389999999998</v>
      </c>
      <c r="J8505">
        <v>-276.76760000000002</v>
      </c>
      <c r="K8505">
        <v>1.1208940000000001</v>
      </c>
      <c r="L8505">
        <v>-61.829469999999901</v>
      </c>
      <c r="M8505">
        <v>0.99852649999999998</v>
      </c>
      <c r="N8505">
        <v>-3.760149E-3</v>
      </c>
      <c r="O8505">
        <v>-5.4136429999999999E-2</v>
      </c>
      <c r="P8505">
        <v>0.99671750000000003</v>
      </c>
      <c r="Q8505">
        <v>-7.9961340000000006E-2</v>
      </c>
      <c r="R8505">
        <v>-1.26763E-2</v>
      </c>
      <c r="S8505">
        <v>2.9946290000000002</v>
      </c>
      <c r="T8505">
        <v>-0.18148529999999999</v>
      </c>
      <c r="U8505">
        <v>-4.8126219999999997E-2</v>
      </c>
      <c r="V8505">
        <v>-4.1088590000000001E-2</v>
      </c>
      <c r="W8505">
        <v>-7.6330800000000004E-2</v>
      </c>
      <c r="X8505">
        <v>0.9962356</v>
      </c>
      <c r="Y8505">
        <v>-3.7923489999999997E-2</v>
      </c>
      <c r="Z8505">
        <v>4.2920110000000001E-3</v>
      </c>
      <c r="AA8505">
        <v>0.99927149999999998</v>
      </c>
      <c r="AB8505">
        <v>24</v>
      </c>
      <c r="AC8505">
        <v>18.380600000000001</v>
      </c>
      <c r="AD8505">
        <v>-1.1208971094969999</v>
      </c>
      <c r="AE8505">
        <v>-0.291920000000011</v>
      </c>
      <c r="AF8505">
        <v>-0.70096899905269405</v>
      </c>
      <c r="AG8505">
        <v>-1.1208971094969999</v>
      </c>
      <c r="AH8505">
        <v>18.301405412753699</v>
      </c>
      <c r="AI8505">
        <v>93.502226748827994</v>
      </c>
      <c r="AJ8505">
        <v>92.193434992893799</v>
      </c>
      <c r="AK8505">
        <v>18.349092837240899</v>
      </c>
      <c r="AL8505">
        <v>94.377690674115897</v>
      </c>
      <c r="AM8505">
        <v>92.361759886661602</v>
      </c>
      <c r="AN8505">
        <v>1.00000001698209</v>
      </c>
    </row>
    <row r="8506" spans="1:40" x14ac:dyDescent="0.25">
      <c r="A8506" t="str">
        <f>"20190303154011068"</f>
        <v>20190303154011068</v>
      </c>
      <c r="B8506" t="str">
        <f>"1551598811056538"</f>
        <v>1551598811056538</v>
      </c>
      <c r="C8506" t="s">
        <v>40</v>
      </c>
      <c r="D8506">
        <v>4.9310580000000002</v>
      </c>
      <c r="E8506">
        <v>0.50110290000000002</v>
      </c>
      <c r="F8506" t="s">
        <v>86</v>
      </c>
      <c r="G8506">
        <v>-258.67090000000002</v>
      </c>
      <c r="H8506" s="1">
        <v>-3.2063589999999998E-6</v>
      </c>
      <c r="I8506">
        <v>-62.123269999999998</v>
      </c>
      <c r="J8506">
        <v>-276.6497</v>
      </c>
      <c r="K8506">
        <v>1.1207849999999999</v>
      </c>
      <c r="L8506">
        <v>-61.834899999999998</v>
      </c>
      <c r="M8506">
        <v>0.99857499999999999</v>
      </c>
      <c r="N8506">
        <v>-3.850914E-3</v>
      </c>
      <c r="O8506">
        <v>-5.322814E-2</v>
      </c>
      <c r="P8506">
        <v>0.99664660000000005</v>
      </c>
      <c r="Q8506">
        <v>-8.0842159999999996E-2</v>
      </c>
      <c r="R8506">
        <v>-1.2665360000000001E-2</v>
      </c>
      <c r="S8506">
        <v>2.9943849999999999</v>
      </c>
      <c r="T8506">
        <v>-0.1854701</v>
      </c>
      <c r="U8506">
        <v>-4.8614499999999998E-2</v>
      </c>
      <c r="V8506">
        <v>-4.0211619999999997E-2</v>
      </c>
      <c r="W8506">
        <v>-7.7106270000000005E-2</v>
      </c>
      <c r="X8506">
        <v>0.99621159999999997</v>
      </c>
      <c r="Y8506">
        <v>-3.6846869999999997E-2</v>
      </c>
      <c r="Z8506">
        <v>4.298133E-3</v>
      </c>
      <c r="AA8506">
        <v>0.99931170000000002</v>
      </c>
      <c r="AB8506">
        <v>24</v>
      </c>
      <c r="AC8506">
        <v>17.9787999999999</v>
      </c>
      <c r="AD8506">
        <v>-1.120788206359</v>
      </c>
      <c r="AE8506">
        <v>-0.28837000000000002</v>
      </c>
      <c r="AF8506">
        <v>-0.66643470382462999</v>
      </c>
      <c r="AG8506">
        <v>-1.120788206359</v>
      </c>
      <c r="AH8506">
        <v>17.8991202294118</v>
      </c>
      <c r="AI8506">
        <v>93.5805341477312</v>
      </c>
      <c r="AJ8506">
        <v>92.132298429377002</v>
      </c>
      <c r="AK8506">
        <v>17.946554165212699</v>
      </c>
      <c r="AL8506">
        <v>94.422253457297899</v>
      </c>
      <c r="AM8506">
        <v>92.311462805496404</v>
      </c>
      <c r="AN8506">
        <v>0.99999995161544697</v>
      </c>
    </row>
    <row r="8507" spans="1:40" x14ac:dyDescent="0.25">
      <c r="A8507" t="str">
        <f>"20190303154011080"</f>
        <v>20190303154011080</v>
      </c>
      <c r="B8507" t="str">
        <f>"1551598811077034"</f>
        <v>1551598811077034</v>
      </c>
      <c r="C8507" t="s">
        <v>40</v>
      </c>
      <c r="D8507">
        <v>4.9365420000000002</v>
      </c>
      <c r="E8507">
        <v>0.50104059999999995</v>
      </c>
      <c r="F8507" t="s">
        <v>86</v>
      </c>
      <c r="G8507">
        <v>-258.71890000000002</v>
      </c>
      <c r="H8507" s="1">
        <v>-3.2232849999999999E-6</v>
      </c>
      <c r="I8507">
        <v>-62.127659999999999</v>
      </c>
      <c r="J8507">
        <v>-276.52940000000001</v>
      </c>
      <c r="K8507">
        <v>1.12069</v>
      </c>
      <c r="L8507">
        <v>-61.840389999999999</v>
      </c>
      <c r="M8507">
        <v>0.99861449999999996</v>
      </c>
      <c r="N8507">
        <v>-3.9970220000000002E-3</v>
      </c>
      <c r="O8507">
        <v>-5.2471860000000002E-2</v>
      </c>
      <c r="P8507">
        <v>0.99664209999999998</v>
      </c>
      <c r="Q8507">
        <v>-8.0910499999999996E-2</v>
      </c>
      <c r="R8507">
        <v>-1.258192E-2</v>
      </c>
      <c r="S8507">
        <v>2.9942929999999999</v>
      </c>
      <c r="T8507">
        <v>-0.18716160000000001</v>
      </c>
      <c r="U8507">
        <v>-4.8889160000000001E-2</v>
      </c>
      <c r="V8507">
        <v>-3.95649E-2</v>
      </c>
      <c r="W8507">
        <v>-7.701471E-2</v>
      </c>
      <c r="X8507">
        <v>0.99624460000000004</v>
      </c>
      <c r="Y8507">
        <v>-3.5998189999999999E-2</v>
      </c>
      <c r="Z8507">
        <v>4.2611979999999999E-3</v>
      </c>
      <c r="AA8507">
        <v>0.99934279999999998</v>
      </c>
      <c r="AB8507">
        <v>24</v>
      </c>
      <c r="AC8507">
        <v>17.810499999999902</v>
      </c>
      <c r="AD8507">
        <v>-1.120693223285</v>
      </c>
      <c r="AE8507">
        <v>-0.28726999999999903</v>
      </c>
      <c r="AF8507">
        <v>-0.64512957274893101</v>
      </c>
      <c r="AG8507">
        <v>-1.120693223285</v>
      </c>
      <c r="AH8507">
        <v>17.730853660094699</v>
      </c>
      <c r="AI8507">
        <v>93.614230811515299</v>
      </c>
      <c r="AJ8507">
        <v>92.083763383382205</v>
      </c>
      <c r="AK8507">
        <v>17.777944678225399</v>
      </c>
      <c r="AL8507">
        <v>94.4169917062667</v>
      </c>
      <c r="AM8507">
        <v>92.274251849082802</v>
      </c>
      <c r="AN8507">
        <v>0.99999997494877602</v>
      </c>
    </row>
    <row r="8508" spans="1:40" x14ac:dyDescent="0.25">
      <c r="A8508" t="str">
        <f>"20190303154011092"</f>
        <v>20190303154011092</v>
      </c>
      <c r="B8508" t="str">
        <f>"1551598811086793"</f>
        <v>1551598811086793</v>
      </c>
      <c r="C8508" t="s">
        <v>40</v>
      </c>
      <c r="D8508">
        <v>4.9434519999999997</v>
      </c>
      <c r="E8508">
        <v>0.5010175</v>
      </c>
      <c r="F8508" t="s">
        <v>86</v>
      </c>
      <c r="G8508">
        <v>-258.41059999999999</v>
      </c>
      <c r="H8508" s="1">
        <v>-3.1190090000000002E-6</v>
      </c>
      <c r="I8508">
        <v>-62.132330000000003</v>
      </c>
      <c r="J8508">
        <v>-276.40010000000001</v>
      </c>
      <c r="K8508">
        <v>1.120593</v>
      </c>
      <c r="L8508">
        <v>-61.846369999999901</v>
      </c>
      <c r="M8508">
        <v>0.99865320000000002</v>
      </c>
      <c r="N8508">
        <v>-4.1761760000000002E-3</v>
      </c>
      <c r="O8508">
        <v>-5.1715629999999999E-2</v>
      </c>
      <c r="P8508">
        <v>0.99671200000000004</v>
      </c>
      <c r="Q8508">
        <v>-8.0092739999999996E-2</v>
      </c>
      <c r="R8508">
        <v>-1.2276209999999999E-2</v>
      </c>
      <c r="S8508">
        <v>2.9944760000000001</v>
      </c>
      <c r="T8508">
        <v>-0.18521609999999999</v>
      </c>
      <c r="U8508">
        <v>-4.8248289999999999E-2</v>
      </c>
      <c r="V8508">
        <v>-3.9148479999999999E-2</v>
      </c>
      <c r="W8508">
        <v>-7.600382E-2</v>
      </c>
      <c r="X8508">
        <v>0.99633870000000002</v>
      </c>
      <c r="Y8508">
        <v>-3.5462439999999998E-2</v>
      </c>
      <c r="Z8508">
        <v>4.1479510000000004E-3</v>
      </c>
      <c r="AA8508">
        <v>0.99936239999999998</v>
      </c>
      <c r="AB8508">
        <v>24</v>
      </c>
      <c r="AC8508">
        <v>17.9895</v>
      </c>
      <c r="AD8508">
        <v>-1.1205961190089999</v>
      </c>
      <c r="AE8508">
        <v>-0.28596000000000998</v>
      </c>
      <c r="AF8508">
        <v>-0.64227745810151604</v>
      </c>
      <c r="AG8508">
        <v>-1.1205961190089999</v>
      </c>
      <c r="AH8508">
        <v>17.910735063470501</v>
      </c>
      <c r="AI8508">
        <v>93.577785402328502</v>
      </c>
      <c r="AJ8508">
        <v>92.0537418272922</v>
      </c>
      <c r="AK8508">
        <v>17.957246072517702</v>
      </c>
      <c r="AL8508">
        <v>94.358901616451007</v>
      </c>
      <c r="AM8508">
        <v>92.250127803794697</v>
      </c>
      <c r="AN8508">
        <v>0.99999999462929601</v>
      </c>
    </row>
    <row r="8509" spans="1:40" x14ac:dyDescent="0.25">
      <c r="A8509" t="str">
        <f>"20190303154011103"</f>
        <v>20190303154011103</v>
      </c>
      <c r="B8509" t="str">
        <f>"1551598811096553"</f>
        <v>1551598811096553</v>
      </c>
      <c r="C8509" t="s">
        <v>40</v>
      </c>
      <c r="D8509">
        <v>4.9155800000000003</v>
      </c>
      <c r="E8509">
        <v>0.50098690000000001</v>
      </c>
      <c r="F8509" t="s">
        <v>86</v>
      </c>
      <c r="G8509">
        <v>-257.9572</v>
      </c>
      <c r="H8509" s="1">
        <v>-2.9395410000000001E-6</v>
      </c>
      <c r="I8509">
        <v>-62.136560000000003</v>
      </c>
      <c r="J8509">
        <v>-276.2758</v>
      </c>
      <c r="K8509">
        <v>1.1205179999999999</v>
      </c>
      <c r="L8509">
        <v>-61.852110000000003</v>
      </c>
      <c r="M8509">
        <v>0.99868230000000002</v>
      </c>
      <c r="N8509">
        <v>-4.4093789999999997E-3</v>
      </c>
      <c r="O8509">
        <v>-5.1131719999999999E-2</v>
      </c>
      <c r="P8509">
        <v>0.99679980000000001</v>
      </c>
      <c r="Q8509">
        <v>-7.9023830000000003E-2</v>
      </c>
      <c r="R8509">
        <v>-1.205584E-2</v>
      </c>
      <c r="S8509">
        <v>2.9946899999999999</v>
      </c>
      <c r="T8509">
        <v>-0.18195749999999999</v>
      </c>
      <c r="U8509">
        <v>-4.7119139999999997E-2</v>
      </c>
      <c r="V8509">
        <v>-3.8816459999999997E-2</v>
      </c>
      <c r="W8509">
        <v>-7.4689060000000002E-2</v>
      </c>
      <c r="X8509">
        <v>0.99645110000000003</v>
      </c>
      <c r="Y8509">
        <v>-3.5263450000000002E-2</v>
      </c>
      <c r="Z8509">
        <v>4.0251109999999996E-3</v>
      </c>
      <c r="AA8509">
        <v>0.99936990000000003</v>
      </c>
      <c r="AB8509">
        <v>24</v>
      </c>
      <c r="AC8509">
        <v>18.3186</v>
      </c>
      <c r="AD8509">
        <v>-1.1205209395410001</v>
      </c>
      <c r="AE8509">
        <v>-0.28444999999999898</v>
      </c>
      <c r="AF8509">
        <v>-0.65016057083310896</v>
      </c>
      <c r="AG8509">
        <v>-1.1205209395410001</v>
      </c>
      <c r="AH8509">
        <v>18.240948295639299</v>
      </c>
      <c r="AI8509">
        <v>93.512973027312498</v>
      </c>
      <c r="AJ8509">
        <v>92.041324450814599</v>
      </c>
      <c r="AK8509">
        <v>18.2868934121683</v>
      </c>
      <c r="AL8509">
        <v>94.283356714364601</v>
      </c>
      <c r="AM8509">
        <v>92.230812326409406</v>
      </c>
      <c r="AN8509">
        <v>0.99999998397091205</v>
      </c>
    </row>
    <row r="8510" spans="1:40" x14ac:dyDescent="0.25">
      <c r="A8510" t="str">
        <f>"20190303154011115"</f>
        <v>20190303154011115</v>
      </c>
      <c r="B8510" t="str">
        <f>"1551598811106313"</f>
        <v>1551598811106313</v>
      </c>
      <c r="C8510" t="s">
        <v>40</v>
      </c>
      <c r="D8510">
        <v>4.9127020000000003</v>
      </c>
      <c r="E8510">
        <v>0.50098039999999999</v>
      </c>
      <c r="F8510" t="s">
        <v>86</v>
      </c>
      <c r="G8510">
        <v>-257.3553</v>
      </c>
      <c r="H8510" s="1">
        <v>-2.6829179999999998E-6</v>
      </c>
      <c r="I8510">
        <v>-62.143599999999999</v>
      </c>
      <c r="J8510">
        <v>-276.15870000000001</v>
      </c>
      <c r="K8510">
        <v>1.120463</v>
      </c>
      <c r="L8510">
        <v>-61.857570000000003</v>
      </c>
      <c r="M8510">
        <v>0.99870519999999996</v>
      </c>
      <c r="N8510">
        <v>-4.6632030000000003E-3</v>
      </c>
      <c r="O8510">
        <v>-5.0657609999999999E-2</v>
      </c>
      <c r="P8510">
        <v>0.99694499999999997</v>
      </c>
      <c r="Q8510">
        <v>-7.7300460000000001E-2</v>
      </c>
      <c r="R8510">
        <v>-1.119932E-2</v>
      </c>
      <c r="S8510">
        <v>2.9950559999999999</v>
      </c>
      <c r="T8510">
        <v>-0.17737559999999999</v>
      </c>
      <c r="U8510">
        <v>-4.6142580000000002E-2</v>
      </c>
      <c r="V8510">
        <v>-3.9230370000000001E-2</v>
      </c>
      <c r="W8510">
        <v>-7.2701639999999998E-2</v>
      </c>
      <c r="X8510">
        <v>0.99658190000000002</v>
      </c>
      <c r="Y8510">
        <v>-3.5125900000000002E-2</v>
      </c>
      <c r="Z8510">
        <v>3.8810400000000001E-3</v>
      </c>
      <c r="AA8510">
        <v>0.99937529999999997</v>
      </c>
      <c r="AB8510">
        <v>24</v>
      </c>
      <c r="AC8510">
        <v>18.8034</v>
      </c>
      <c r="AD8510">
        <v>-1.120465682918</v>
      </c>
      <c r="AE8510">
        <v>-0.286030000000003</v>
      </c>
      <c r="AF8510">
        <v>-0.66452386588857104</v>
      </c>
      <c r="AG8510">
        <v>-1.120465682918</v>
      </c>
      <c r="AH8510">
        <v>18.7272660414434</v>
      </c>
      <c r="AI8510">
        <v>93.421817170567394</v>
      </c>
      <c r="AJ8510">
        <v>92.032247771753703</v>
      </c>
      <c r="AK8510">
        <v>18.772520574017999</v>
      </c>
      <c r="AL8510">
        <v>94.169175296073107</v>
      </c>
      <c r="AM8510">
        <v>92.254280034856194</v>
      </c>
      <c r="AN8510">
        <v>1.0000000168983101</v>
      </c>
    </row>
    <row r="8511" spans="1:40" x14ac:dyDescent="0.25">
      <c r="A8511" t="str">
        <f>"20190303154011125"</f>
        <v>20190303154011125</v>
      </c>
      <c r="B8511" t="str">
        <f>"1551598811117050"</f>
        <v>1551598811117050</v>
      </c>
      <c r="C8511" t="s">
        <v>40</v>
      </c>
      <c r="D8511">
        <v>4.9144199999999998</v>
      </c>
      <c r="E8511">
        <v>0.50094539999999999</v>
      </c>
      <c r="F8511" t="s">
        <v>86</v>
      </c>
      <c r="G8511">
        <v>-256.52210000000002</v>
      </c>
      <c r="H8511" s="1">
        <v>-2.3251640000000001E-6</v>
      </c>
      <c r="I8511">
        <v>-62.142249999999997</v>
      </c>
      <c r="J8511">
        <v>-276.03609999999998</v>
      </c>
      <c r="K8511">
        <v>1.120417</v>
      </c>
      <c r="L8511">
        <v>-61.863280000000003</v>
      </c>
      <c r="M8511">
        <v>0.99872459999999996</v>
      </c>
      <c r="N8511">
        <v>-4.9664590000000003E-3</v>
      </c>
      <c r="O8511">
        <v>-5.024584E-2</v>
      </c>
      <c r="P8511">
        <v>0.99705149999999998</v>
      </c>
      <c r="Q8511">
        <v>-7.6047149999999994E-2</v>
      </c>
      <c r="R8511">
        <v>-1.02697E-2</v>
      </c>
      <c r="S8511">
        <v>2.9954529999999999</v>
      </c>
      <c r="T8511">
        <v>-0.17092079999999901</v>
      </c>
      <c r="U8511">
        <v>-4.3426510000000001E-2</v>
      </c>
      <c r="V8511">
        <v>-3.9775190000000002E-2</v>
      </c>
      <c r="W8511">
        <v>-7.1135249999999997E-2</v>
      </c>
      <c r="X8511">
        <v>0.99667329999999998</v>
      </c>
      <c r="Y8511">
        <v>-3.5632499999999998E-2</v>
      </c>
      <c r="Z8511">
        <v>3.7182220000000002E-3</v>
      </c>
      <c r="AA8511">
        <v>0.99935810000000003</v>
      </c>
      <c r="AB8511">
        <v>24</v>
      </c>
      <c r="AC8511">
        <v>19.5139999999999</v>
      </c>
      <c r="AD8511">
        <v>-1.120419325164</v>
      </c>
      <c r="AE8511">
        <v>-0.278969999999993</v>
      </c>
      <c r="AF8511">
        <v>-0.69958593237557498</v>
      </c>
      <c r="AG8511">
        <v>-1.120419325164</v>
      </c>
      <c r="AH8511">
        <v>19.439297289698001</v>
      </c>
      <c r="AI8511">
        <v>93.296567758980501</v>
      </c>
      <c r="AJ8511">
        <v>92.061084281710706</v>
      </c>
      <c r="AK8511">
        <v>19.484122742844701</v>
      </c>
      <c r="AL8511">
        <v>94.079194906957696</v>
      </c>
      <c r="AM8511">
        <v>92.285344473841505</v>
      </c>
      <c r="AN8511">
        <v>0.99999997823249398</v>
      </c>
    </row>
    <row r="8512" spans="1:40" x14ac:dyDescent="0.25">
      <c r="A8512" t="str">
        <f>"20190303154011137"</f>
        <v>20190303154011137</v>
      </c>
      <c r="B8512" t="str">
        <f>"1551598811126809"</f>
        <v>1551598811126809</v>
      </c>
      <c r="C8512" t="s">
        <v>40</v>
      </c>
      <c r="D8512">
        <v>4.9129110000000003</v>
      </c>
      <c r="E8512">
        <v>0.50098350000000003</v>
      </c>
      <c r="F8512" t="s">
        <v>86</v>
      </c>
      <c r="G8512">
        <v>-255.833</v>
      </c>
      <c r="H8512" s="1">
        <v>-2.0279079999999999E-6</v>
      </c>
      <c r="I8512">
        <v>-62.13494</v>
      </c>
      <c r="J8512">
        <v>-275.91520000000003</v>
      </c>
      <c r="K8512">
        <v>1.1203860000000001</v>
      </c>
      <c r="L8512">
        <v>-61.868989999999997</v>
      </c>
      <c r="M8512">
        <v>0.99873749999999994</v>
      </c>
      <c r="N8512">
        <v>-5.3170759999999996E-3</v>
      </c>
      <c r="O8512">
        <v>-4.9951099999999998E-2</v>
      </c>
      <c r="P8512">
        <v>0.99711640000000001</v>
      </c>
      <c r="Q8512">
        <v>-7.5250730000000002E-2</v>
      </c>
      <c r="R8512">
        <v>-9.8165219999999994E-3</v>
      </c>
      <c r="S8512">
        <v>2.9957579999999999</v>
      </c>
      <c r="T8512">
        <v>-0.1661378</v>
      </c>
      <c r="U8512">
        <v>-4.0283199999999998E-2</v>
      </c>
      <c r="V8512">
        <v>-3.9955730000000002E-2</v>
      </c>
      <c r="W8512">
        <v>-6.9979199999999894E-2</v>
      </c>
      <c r="X8512">
        <v>0.99674790000000002</v>
      </c>
      <c r="Y8512">
        <v>-3.6394599999999999E-2</v>
      </c>
      <c r="Z8512">
        <v>3.606522E-3</v>
      </c>
      <c r="AA8512">
        <v>0.99933099999999997</v>
      </c>
      <c r="AB8512">
        <v>24</v>
      </c>
      <c r="AC8512">
        <v>20.0822</v>
      </c>
      <c r="AD8512">
        <v>-1.1203880279080001</v>
      </c>
      <c r="AE8512">
        <v>-0.26594999999999602</v>
      </c>
      <c r="AF8512">
        <v>-0.735236128582063</v>
      </c>
      <c r="AG8512">
        <v>-1.1203880279080001</v>
      </c>
      <c r="AH8512">
        <v>20.008149492896099</v>
      </c>
      <c r="AI8512">
        <v>93.202863605970293</v>
      </c>
      <c r="AJ8512">
        <v>92.104491531237002</v>
      </c>
      <c r="AK8512">
        <v>20.052977026564701</v>
      </c>
      <c r="AL8512">
        <v>94.012792686982195</v>
      </c>
      <c r="AM8512">
        <v>92.295534967839501</v>
      </c>
      <c r="AN8512">
        <v>0.99999996247344003</v>
      </c>
    </row>
    <row r="8513" spans="1:40" x14ac:dyDescent="0.25">
      <c r="A8513" t="str">
        <f>"20190303154011147"</f>
        <v>20190303154011147</v>
      </c>
      <c r="B8513" t="str">
        <f>"1551598811136570"</f>
        <v>1551598811136570</v>
      </c>
      <c r="C8513" t="s">
        <v>40</v>
      </c>
      <c r="D8513">
        <v>4.9408459999999996</v>
      </c>
      <c r="E8513">
        <v>0.50097139999999996</v>
      </c>
      <c r="F8513" t="s">
        <v>86</v>
      </c>
      <c r="G8513">
        <v>-255.29409999999999</v>
      </c>
      <c r="H8513" s="1">
        <v>-1.7974809999999901E-6</v>
      </c>
      <c r="I8513">
        <v>-62.138269999999999</v>
      </c>
      <c r="J8513">
        <v>-275.80650000000003</v>
      </c>
      <c r="K8513">
        <v>1.120358</v>
      </c>
      <c r="L8513">
        <v>-61.87415</v>
      </c>
      <c r="M8513">
        <v>0.99874700000000005</v>
      </c>
      <c r="N8513">
        <v>-5.6499590000000004E-3</v>
      </c>
      <c r="O8513">
        <v>-4.9725779999999997E-2</v>
      </c>
      <c r="P8513">
        <v>0.99711719999999904</v>
      </c>
      <c r="Q8513">
        <v>-7.5317700000000001E-2</v>
      </c>
      <c r="R8513">
        <v>-9.1998119999999999E-3</v>
      </c>
      <c r="S8513">
        <v>2.9960330000000002</v>
      </c>
      <c r="T8513">
        <v>-0.16278119999999999</v>
      </c>
      <c r="U8513">
        <v>-3.9123539999999998E-2</v>
      </c>
      <c r="V8513">
        <v>-4.0362870000000002E-2</v>
      </c>
      <c r="W8513">
        <v>-6.9705959999999997E-2</v>
      </c>
      <c r="X8513">
        <v>0.99675069999999999</v>
      </c>
      <c r="Y8513">
        <v>-3.6562820000000003E-2</v>
      </c>
      <c r="Z8513">
        <v>3.5135650000000002E-3</v>
      </c>
      <c r="AA8513">
        <v>0.99932520000000002</v>
      </c>
      <c r="AB8513">
        <v>24</v>
      </c>
      <c r="AC8513">
        <v>20.5124</v>
      </c>
      <c r="AD8513">
        <v>-1.120359797481</v>
      </c>
      <c r="AE8513">
        <v>-0.26411999999999802</v>
      </c>
      <c r="AF8513">
        <v>-0.75396918071789298</v>
      </c>
      <c r="AG8513">
        <v>-1.120359797481</v>
      </c>
      <c r="AH8513">
        <v>20.439193200270701</v>
      </c>
      <c r="AI8513">
        <v>93.1353592557669</v>
      </c>
      <c r="AJ8513">
        <v>92.112591870724202</v>
      </c>
      <c r="AK8513">
        <v>20.483756839976301</v>
      </c>
      <c r="AL8513">
        <v>93.997098633147303</v>
      </c>
      <c r="AM8513">
        <v>92.318894045180301</v>
      </c>
      <c r="AN8513">
        <v>1.00000002004232</v>
      </c>
    </row>
    <row r="8514" spans="1:40" x14ac:dyDescent="0.25">
      <c r="A8514" t="str">
        <f>"20190303154011159"</f>
        <v>20190303154011159</v>
      </c>
      <c r="B8514" t="str">
        <f>"1551598811157066"</f>
        <v>1551598811157066</v>
      </c>
      <c r="C8514" t="s">
        <v>40</v>
      </c>
      <c r="D8514">
        <v>4.9211450000000001</v>
      </c>
      <c r="E8514">
        <v>0.50104570000000004</v>
      </c>
      <c r="F8514" t="s">
        <v>86</v>
      </c>
      <c r="G8514">
        <v>-255.1003</v>
      </c>
      <c r="H8514" s="1">
        <v>-1.7126619999999999E-6</v>
      </c>
      <c r="I8514">
        <v>-62.130830000000003</v>
      </c>
      <c r="J8514">
        <v>-275.6848</v>
      </c>
      <c r="K8514">
        <v>1.120341</v>
      </c>
      <c r="L8514">
        <v>-61.88</v>
      </c>
      <c r="M8514">
        <v>0.99875119999999895</v>
      </c>
      <c r="N8514">
        <v>-6.0706789999999998E-3</v>
      </c>
      <c r="O8514">
        <v>-4.9591919999999998E-2</v>
      </c>
      <c r="P8514">
        <v>0.99704579999999998</v>
      </c>
      <c r="Q8514">
        <v>-7.6294689999999998E-2</v>
      </c>
      <c r="R8514">
        <v>-8.9002259999999903E-3</v>
      </c>
      <c r="S8514">
        <v>2.9960939999999998</v>
      </c>
      <c r="T8514">
        <v>-0.16211029999999901</v>
      </c>
      <c r="U8514">
        <v>-3.7139890000000002E-2</v>
      </c>
      <c r="V8514">
        <v>-4.0539539999999999E-2</v>
      </c>
      <c r="W8514">
        <v>-7.0255509999999993E-2</v>
      </c>
      <c r="X8514">
        <v>0.9967049</v>
      </c>
      <c r="Y8514">
        <v>-3.7091680000000002E-2</v>
      </c>
      <c r="Z8514">
        <v>3.4945919999999999E-3</v>
      </c>
      <c r="AA8514">
        <v>0.99930580000000002</v>
      </c>
      <c r="AB8514">
        <v>24</v>
      </c>
      <c r="AC8514">
        <v>20.584499999999899</v>
      </c>
      <c r="AD8514">
        <v>-1.120342712662</v>
      </c>
      <c r="AE8514">
        <v>-0.25083</v>
      </c>
      <c r="AF8514">
        <v>-0.76804743456411795</v>
      </c>
      <c r="AG8514">
        <v>-1.120342712662</v>
      </c>
      <c r="AH8514">
        <v>20.5108613251872</v>
      </c>
      <c r="AI8514">
        <v>93.124313497940193</v>
      </c>
      <c r="AJ8514">
        <v>92.144489438485095</v>
      </c>
      <c r="AK8514">
        <v>20.555789864576202</v>
      </c>
      <c r="AL8514">
        <v>94.028663097773205</v>
      </c>
      <c r="AM8514">
        <v>92.329139694723494</v>
      </c>
      <c r="AN8514">
        <v>0.99999997433638999</v>
      </c>
    </row>
    <row r="8515" spans="1:40" x14ac:dyDescent="0.25">
      <c r="A8515" t="str">
        <f>"20190303154011169"</f>
        <v>20190303154011169</v>
      </c>
      <c r="B8515" t="str">
        <f>"1551598811166826"</f>
        <v>1551598811166826</v>
      </c>
      <c r="C8515" t="s">
        <v>40</v>
      </c>
      <c r="D8515">
        <v>4.9405000000000001</v>
      </c>
      <c r="E8515">
        <v>0.51518920000000001</v>
      </c>
      <c r="F8515" t="s">
        <v>86</v>
      </c>
      <c r="G8515">
        <v>-255.2209</v>
      </c>
      <c r="H8515" s="1">
        <v>-1.764486E-6</v>
      </c>
      <c r="I8515">
        <v>-62.131189999999997</v>
      </c>
      <c r="J8515">
        <v>-275.57229999999998</v>
      </c>
      <c r="K8515">
        <v>1.1203240000000001</v>
      </c>
      <c r="L8515">
        <v>-61.88541</v>
      </c>
      <c r="M8515">
        <v>0.99875360000000002</v>
      </c>
      <c r="N8515">
        <v>-6.4681169999999998E-3</v>
      </c>
      <c r="O8515">
        <v>-4.949054E-2</v>
      </c>
      <c r="P8515">
        <v>0.99688180000000004</v>
      </c>
      <c r="Q8515">
        <v>-7.8433329999999996E-2</v>
      </c>
      <c r="R8515">
        <v>-8.6518740000000004E-3</v>
      </c>
      <c r="S8515">
        <v>2.9960330000000002</v>
      </c>
      <c r="T8515">
        <v>-0.16402410000000001</v>
      </c>
      <c r="U8515">
        <v>-3.6773680000000003E-2</v>
      </c>
      <c r="V8515">
        <v>-4.0691320000000003E-2</v>
      </c>
      <c r="W8515">
        <v>-7.1991410000000006E-2</v>
      </c>
      <c r="X8515">
        <v>0.99657490000000004</v>
      </c>
      <c r="Y8515">
        <v>-3.7109999999999997E-2</v>
      </c>
      <c r="Z8515">
        <v>3.5214420000000001E-3</v>
      </c>
      <c r="AA8515">
        <v>0.999305</v>
      </c>
      <c r="AB8515">
        <v>24</v>
      </c>
      <c r="AC8515">
        <v>20.351399999999899</v>
      </c>
      <c r="AD8515">
        <v>-1.1203257644860001</v>
      </c>
      <c r="AE8515">
        <v>-0.245780000000003</v>
      </c>
      <c r="AF8515">
        <v>-0.75944300614417704</v>
      </c>
      <c r="AG8515">
        <v>-1.1203257644860001</v>
      </c>
      <c r="AH8515">
        <v>20.277185196892301</v>
      </c>
      <c r="AI8515">
        <v>93.160197247596599</v>
      </c>
      <c r="AJ8515">
        <v>92.144900787040001</v>
      </c>
      <c r="AK8515">
        <v>20.322306045506298</v>
      </c>
      <c r="AL8515">
        <v>94.128375108780304</v>
      </c>
      <c r="AM8515">
        <v>92.338154960493895</v>
      </c>
      <c r="AN8515">
        <v>1.0000000389735599</v>
      </c>
    </row>
    <row r="8516" spans="1:40" x14ac:dyDescent="0.25">
      <c r="A8516" t="str">
        <f>"20190303154011180"</f>
        <v>20190303154011180</v>
      </c>
      <c r="B8516" t="str">
        <f>"1551598811176585"</f>
        <v>1551598811176585</v>
      </c>
      <c r="C8516" t="s">
        <v>40</v>
      </c>
      <c r="D8516">
        <v>4.9032200000000001</v>
      </c>
      <c r="E8516">
        <v>0.51659449999999996</v>
      </c>
      <c r="F8516" t="s">
        <v>90</v>
      </c>
      <c r="G8516">
        <v>-213.1867</v>
      </c>
      <c r="H8516" s="1">
        <v>-1.574336E-6</v>
      </c>
      <c r="I8516">
        <v>-65.037329999999997</v>
      </c>
      <c r="J8516">
        <v>-275.4579</v>
      </c>
      <c r="K8516">
        <v>1.1203110000000001</v>
      </c>
      <c r="L8516">
        <v>-61.890990000000002</v>
      </c>
      <c r="M8516">
        <v>0.99875029999999998</v>
      </c>
      <c r="N8516">
        <v>-6.8921969999999897E-3</v>
      </c>
      <c r="O8516">
        <v>-4.9502490000000003E-2</v>
      </c>
      <c r="P8516">
        <v>0.99668950000000001</v>
      </c>
      <c r="Q8516">
        <v>-8.0825659999999994E-2</v>
      </c>
      <c r="R8516">
        <v>-8.8219930000000002E-3</v>
      </c>
      <c r="S8516">
        <v>3.003784</v>
      </c>
      <c r="T8516">
        <v>-5.3942200000000003E-2</v>
      </c>
      <c r="U8516">
        <v>-0.15176389999999901</v>
      </c>
      <c r="V8516">
        <v>-4.0537219999999999E-2</v>
      </c>
      <c r="W8516">
        <v>-7.3955220000000002E-2</v>
      </c>
      <c r="X8516">
        <v>0.99643729999999997</v>
      </c>
      <c r="Y8516">
        <v>9.6021690000000005E-4</v>
      </c>
      <c r="Z8516">
        <v>5.346929E-4</v>
      </c>
      <c r="AA8516">
        <v>0.99999939999999998</v>
      </c>
      <c r="AB8516">
        <v>24</v>
      </c>
      <c r="AC8516">
        <v>62.271199999999901</v>
      </c>
      <c r="AD8516">
        <v>-1.1203125743359901</v>
      </c>
      <c r="AE8516">
        <v>-3.1463399999999999</v>
      </c>
      <c r="AF8516">
        <v>5.9810670167683197E-2</v>
      </c>
      <c r="AG8516">
        <v>-1.1203125743359901</v>
      </c>
      <c r="AH8516">
        <v>62.330484051414103</v>
      </c>
      <c r="AI8516">
        <v>91.029708701790994</v>
      </c>
      <c r="AJ8516">
        <v>89.945020514908506</v>
      </c>
      <c r="AK8516">
        <v>62.340580039522202</v>
      </c>
      <c r="AL8516">
        <v>94.241194241259905</v>
      </c>
      <c r="AM8516">
        <v>92.329631330795607</v>
      </c>
      <c r="AN8516">
        <v>0.99999996680093195</v>
      </c>
    </row>
    <row r="8517" spans="1:40" x14ac:dyDescent="0.25">
      <c r="A8517" t="str">
        <f>"20190303154011192"</f>
        <v>20190303154011192</v>
      </c>
      <c r="B8517" t="str">
        <f>"1551598811187325"</f>
        <v>1551598811187325</v>
      </c>
      <c r="C8517" t="s">
        <v>40</v>
      </c>
      <c r="D8517">
        <v>4.9171769999999997</v>
      </c>
      <c r="E8517">
        <v>0.51726709999999998</v>
      </c>
      <c r="F8517" t="s">
        <v>90</v>
      </c>
      <c r="G8517">
        <v>-212.77459999999999</v>
      </c>
      <c r="H8517" s="1">
        <v>-1.4685319999999901E-6</v>
      </c>
      <c r="I8517">
        <v>-65.304050000000004</v>
      </c>
      <c r="J8517">
        <v>-275.33800000000002</v>
      </c>
      <c r="K8517">
        <v>1.120296</v>
      </c>
      <c r="L8517">
        <v>-61.896909999999998</v>
      </c>
      <c r="M8517">
        <v>0.99874540000000001</v>
      </c>
      <c r="N8517">
        <v>-7.3353559999999899E-3</v>
      </c>
      <c r="O8517">
        <v>-4.9537110000000002E-2</v>
      </c>
      <c r="P8517">
        <v>0.99645159999999999</v>
      </c>
      <c r="Q8517">
        <v>-8.3671060000000005E-2</v>
      </c>
      <c r="R8517">
        <v>-9.1557740000000002E-3</v>
      </c>
      <c r="S8517">
        <v>3.0041199999999999</v>
      </c>
      <c r="T8517">
        <v>-5.3691389999999999E-2</v>
      </c>
      <c r="U8517">
        <v>-0.1635742</v>
      </c>
      <c r="V8517">
        <v>-4.0240560000000002E-2</v>
      </c>
      <c r="W8517">
        <v>-7.635343E-2</v>
      </c>
      <c r="X8517">
        <v>0.9962685</v>
      </c>
      <c r="Y8517">
        <v>4.8391559999999998E-3</v>
      </c>
      <c r="Z8517">
        <v>4.5976300000000002E-4</v>
      </c>
      <c r="AA8517">
        <v>0.99998819999999999</v>
      </c>
      <c r="AB8517">
        <v>24</v>
      </c>
      <c r="AC8517">
        <v>62.563399999999902</v>
      </c>
      <c r="AD8517">
        <v>-1.120297468532</v>
      </c>
      <c r="AE8517">
        <v>-3.4071400000000001</v>
      </c>
      <c r="AF8517">
        <v>0.30356647837182998</v>
      </c>
      <c r="AG8517">
        <v>-1.120297468532</v>
      </c>
      <c r="AH8517">
        <v>62.635345774654603</v>
      </c>
      <c r="AI8517">
        <v>91.024672552314101</v>
      </c>
      <c r="AJ8517">
        <v>89.722314268152203</v>
      </c>
      <c r="AK8517">
        <v>62.646099314604797</v>
      </c>
      <c r="AL8517">
        <v>94.378990986849402</v>
      </c>
      <c r="AM8517">
        <v>92.312992575266705</v>
      </c>
      <c r="AN8517">
        <v>1.00000003651706</v>
      </c>
    </row>
    <row r="8518" spans="1:40" x14ac:dyDescent="0.25">
      <c r="A8518" t="str">
        <f>"20190303154011202"</f>
        <v>20190303154011202</v>
      </c>
      <c r="B8518" t="str">
        <f>"1551598811197082"</f>
        <v>1551598811197082</v>
      </c>
      <c r="C8518" t="s">
        <v>40</v>
      </c>
      <c r="D8518">
        <v>4.8922470000000002</v>
      </c>
      <c r="E8518">
        <v>0.51779259999999905</v>
      </c>
      <c r="F8518" t="s">
        <v>89</v>
      </c>
      <c r="G8518">
        <v>-221.93539999999999</v>
      </c>
      <c r="H8518" s="1">
        <v>-9.557318999999999E-7</v>
      </c>
      <c r="I8518">
        <v>-64.914019999999994</v>
      </c>
      <c r="J8518">
        <v>-275.21510000000001</v>
      </c>
      <c r="K8518">
        <v>1.120285</v>
      </c>
      <c r="L8518">
        <v>-61.90305</v>
      </c>
      <c r="M8518">
        <v>0.99873610000000002</v>
      </c>
      <c r="N8518">
        <v>-7.7822990000000003E-3</v>
      </c>
      <c r="O8518">
        <v>-4.9657609999999998E-2</v>
      </c>
      <c r="P8518">
        <v>0.99625030000000003</v>
      </c>
      <c r="Q8518">
        <v>-8.5975399999999993E-2</v>
      </c>
      <c r="R8518">
        <v>-9.6819409999999995E-3</v>
      </c>
      <c r="S8518">
        <v>3.0038149999999999</v>
      </c>
      <c r="T8518">
        <v>-6.3015099999999893E-2</v>
      </c>
      <c r="U8518">
        <v>-0.16970829999999901</v>
      </c>
      <c r="V8518">
        <v>-3.9839090000000001E-2</v>
      </c>
      <c r="W8518">
        <v>-7.8207139999999994E-2</v>
      </c>
      <c r="X8518">
        <v>0.99614080000000005</v>
      </c>
      <c r="Y8518">
        <v>6.7602529999999999E-3</v>
      </c>
      <c r="Z8518">
        <v>5.5655310000000003E-4</v>
      </c>
      <c r="AA8518">
        <v>0.999977</v>
      </c>
      <c r="AB8518">
        <v>24</v>
      </c>
      <c r="AC8518">
        <v>53.279699999999998</v>
      </c>
      <c r="AD8518">
        <v>-1.12028595573189</v>
      </c>
      <c r="AE8518">
        <v>-3.0109699999999902</v>
      </c>
      <c r="AF8518">
        <v>0.361273557651764</v>
      </c>
      <c r="AG8518">
        <v>-1.12028595573189</v>
      </c>
      <c r="AH8518">
        <v>53.339979667613598</v>
      </c>
      <c r="AI8518">
        <v>91.203164125365703</v>
      </c>
      <c r="AJ8518">
        <v>89.611939604803098</v>
      </c>
      <c r="AK8518">
        <v>53.352966085752897</v>
      </c>
      <c r="AL8518">
        <v>94.485519497716695</v>
      </c>
      <c r="AM8518">
        <v>92.290234362494303</v>
      </c>
      <c r="AN8518">
        <v>1.00000000163182</v>
      </c>
    </row>
    <row r="8519" spans="1:40" x14ac:dyDescent="0.25">
      <c r="A8519" t="str">
        <f>"20190303154011214"</f>
        <v>20190303154011214</v>
      </c>
      <c r="B8519" t="str">
        <f>"1551598811206652"</f>
        <v>1551598811206652</v>
      </c>
      <c r="C8519" t="s">
        <v>40</v>
      </c>
      <c r="D8519">
        <v>4.8895439999999999</v>
      </c>
      <c r="E8519">
        <v>0.51822089999999998</v>
      </c>
      <c r="F8519" t="s">
        <v>89</v>
      </c>
      <c r="G8519">
        <v>-227.1772</v>
      </c>
      <c r="H8519" s="1">
        <v>-3.029012E-6</v>
      </c>
      <c r="I8519">
        <v>-64.706639999999993</v>
      </c>
      <c r="J8519">
        <v>-275.1003</v>
      </c>
      <c r="K8519">
        <v>1.120269</v>
      </c>
      <c r="L8519">
        <v>-61.908810000000003</v>
      </c>
      <c r="M8519">
        <v>0.99872530000000004</v>
      </c>
      <c r="N8519">
        <v>-8.188196E-3</v>
      </c>
      <c r="O8519">
        <v>-4.9810130000000001E-2</v>
      </c>
      <c r="P8519">
        <v>0.99609429999999999</v>
      </c>
      <c r="Q8519">
        <v>-8.7704279999999996E-2</v>
      </c>
      <c r="R8519">
        <v>-1.021445E-2</v>
      </c>
      <c r="S8519">
        <v>3.0035400000000001</v>
      </c>
      <c r="T8519">
        <v>-7.0045350000000006E-2</v>
      </c>
      <c r="U8519">
        <v>-0.175293</v>
      </c>
      <c r="V8519">
        <v>-3.9464930000000002E-2</v>
      </c>
      <c r="W8519">
        <v>-7.9526659999999999E-2</v>
      </c>
      <c r="X8519">
        <v>0.99605120000000003</v>
      </c>
      <c r="Y8519">
        <v>8.4660429999999995E-3</v>
      </c>
      <c r="Z8519">
        <v>6.1862029999999995E-4</v>
      </c>
      <c r="AA8519">
        <v>0.99996399999999996</v>
      </c>
      <c r="AB8519">
        <v>24</v>
      </c>
      <c r="AC8519">
        <v>47.923099999999998</v>
      </c>
      <c r="AD8519">
        <v>-1.1202720290120001</v>
      </c>
      <c r="AE8519">
        <v>-2.79783000000001</v>
      </c>
      <c r="AF8519">
        <v>0.40699969851171702</v>
      </c>
      <c r="AG8519">
        <v>-1.1202720290120001</v>
      </c>
      <c r="AH8519">
        <v>47.976845953869599</v>
      </c>
      <c r="AI8519">
        <v>91.337580406375395</v>
      </c>
      <c r="AJ8519">
        <v>89.513957094277501</v>
      </c>
      <c r="AK8519">
        <v>47.9916493345969</v>
      </c>
      <c r="AL8519">
        <v>94.561358748605002</v>
      </c>
      <c r="AM8519">
        <v>92.268951438605299</v>
      </c>
      <c r="AN8519">
        <v>0.99999998168604998</v>
      </c>
    </row>
    <row r="8520" spans="1:40" x14ac:dyDescent="0.25">
      <c r="A8520" t="str">
        <f>"20190303154011225"</f>
        <v>20190303154011225</v>
      </c>
      <c r="B8520" t="str">
        <f>"1551598811216413"</f>
        <v>1551598811216413</v>
      </c>
      <c r="C8520" t="s">
        <v>40</v>
      </c>
      <c r="D8520">
        <v>4.8760120000000002</v>
      </c>
      <c r="E8520">
        <v>0.51880669999999995</v>
      </c>
      <c r="F8520" t="s">
        <v>89</v>
      </c>
      <c r="G8520">
        <v>-229.34129999999999</v>
      </c>
      <c r="H8520" s="1">
        <v>-3.7590949999999998E-6</v>
      </c>
      <c r="I8520">
        <v>-64.658969999999997</v>
      </c>
      <c r="J8520">
        <v>-274.98160000000001</v>
      </c>
      <c r="K8520">
        <v>1.1202490000000001</v>
      </c>
      <c r="L8520">
        <v>-61.91489</v>
      </c>
      <c r="M8520">
        <v>0.99871129999999997</v>
      </c>
      <c r="N8520">
        <v>-8.5934359999999994E-3</v>
      </c>
      <c r="O8520">
        <v>-5.0018970000000003E-2</v>
      </c>
      <c r="P8520">
        <v>0.99599090000000001</v>
      </c>
      <c r="Q8520">
        <v>-8.8794890000000001E-2</v>
      </c>
      <c r="R8520">
        <v>-1.084979E-2</v>
      </c>
      <c r="S8520">
        <v>3.003479</v>
      </c>
      <c r="T8520">
        <v>-7.3531269999999996E-2</v>
      </c>
      <c r="U8520">
        <v>-0.18051149999999999</v>
      </c>
      <c r="V8520">
        <v>-3.9046730000000002E-2</v>
      </c>
      <c r="W8520">
        <v>-8.0208219999999997E-2</v>
      </c>
      <c r="X8520">
        <v>0.99601300000000004</v>
      </c>
      <c r="Y8520">
        <v>9.9889599999999999E-3</v>
      </c>
      <c r="Z8520">
        <v>6.2761350000000002E-4</v>
      </c>
      <c r="AA8520">
        <v>0.99994989999999995</v>
      </c>
      <c r="AB8520">
        <v>24</v>
      </c>
      <c r="AC8520">
        <v>45.640300000000003</v>
      </c>
      <c r="AD8520">
        <v>-1.120252759095</v>
      </c>
      <c r="AE8520">
        <v>-2.7440799999999901</v>
      </c>
      <c r="AF8520">
        <v>0.45740522578037701</v>
      </c>
      <c r="AG8520">
        <v>-1.120252759095</v>
      </c>
      <c r="AH8520">
        <v>45.692997990572202</v>
      </c>
      <c r="AI8520">
        <v>91.404365843275798</v>
      </c>
      <c r="AJ8520">
        <v>89.426465437336603</v>
      </c>
      <c r="AK8520">
        <v>45.709017175512102</v>
      </c>
      <c r="AL8520">
        <v>94.600534550308296</v>
      </c>
      <c r="AM8520">
        <v>92.245018670376695</v>
      </c>
      <c r="AN8520">
        <v>0.99999995092412897</v>
      </c>
    </row>
    <row r="8521" spans="1:40" x14ac:dyDescent="0.25">
      <c r="A8521" t="str">
        <f>"20190303154011236"</f>
        <v>20190303154011236</v>
      </c>
      <c r="B8521" t="str">
        <f>"1551598811227149"</f>
        <v>1551598811227149</v>
      </c>
      <c r="C8521" t="s">
        <v>40</v>
      </c>
      <c r="D8521">
        <v>4.8687209999999999</v>
      </c>
      <c r="E8521">
        <v>0.51927109999999999</v>
      </c>
      <c r="F8521" t="s">
        <v>89</v>
      </c>
      <c r="G8521">
        <v>-229.04660000000001</v>
      </c>
      <c r="H8521" s="1">
        <v>-3.6748509999999999E-6</v>
      </c>
      <c r="I8521">
        <v>-64.779169999999993</v>
      </c>
      <c r="J8521">
        <v>-274.86309999999997</v>
      </c>
      <c r="K8521">
        <v>1.1202240000000001</v>
      </c>
      <c r="L8521">
        <v>-61.921019999999999</v>
      </c>
      <c r="M8521">
        <v>0.99869470000000005</v>
      </c>
      <c r="N8521">
        <v>-8.9768929999999997E-3</v>
      </c>
      <c r="O8521">
        <v>-5.0285820000000002E-2</v>
      </c>
      <c r="P8521">
        <v>0.99592610000000004</v>
      </c>
      <c r="Q8521">
        <v>-8.9392109999999997E-2</v>
      </c>
      <c r="R8521">
        <v>-1.183971E-2</v>
      </c>
      <c r="S8521">
        <v>3.0035400000000001</v>
      </c>
      <c r="T8521">
        <v>-7.3249579999999995E-2</v>
      </c>
      <c r="U8521">
        <v>-0.18728639999999999</v>
      </c>
      <c r="V8521">
        <v>-3.8334140000000003E-2</v>
      </c>
      <c r="W8521">
        <v>-8.0417920000000004E-2</v>
      </c>
      <c r="X8521">
        <v>0.99602380000000001</v>
      </c>
      <c r="Y8521">
        <v>1.1966320000000001E-2</v>
      </c>
      <c r="Z8521">
        <v>5.7333349999999896E-4</v>
      </c>
      <c r="AA8521">
        <v>0.99992820000000004</v>
      </c>
      <c r="AB8521">
        <v>24</v>
      </c>
      <c r="AC8521">
        <v>45.816499999999898</v>
      </c>
      <c r="AD8521">
        <v>-1.1202276748509901</v>
      </c>
      <c r="AE8521">
        <v>-2.85814999999999</v>
      </c>
      <c r="AF8521">
        <v>0.55019342972222296</v>
      </c>
      <c r="AG8521">
        <v>-1.1202276748509901</v>
      </c>
      <c r="AH8521">
        <v>45.874943061484501</v>
      </c>
      <c r="AI8521">
        <v>91.398736383053802</v>
      </c>
      <c r="AJ8521">
        <v>89.312865629769902</v>
      </c>
      <c r="AK8521">
        <v>45.891916758270803</v>
      </c>
      <c r="AL8521">
        <v>94.612588283121795</v>
      </c>
      <c r="AM8521">
        <v>92.204064724298206</v>
      </c>
      <c r="AN8521">
        <v>0.99999997915655203</v>
      </c>
    </row>
    <row r="8522" spans="1:40" x14ac:dyDescent="0.25">
      <c r="A8522" t="str">
        <f>"20190303154011246"</f>
        <v>20190303154011246</v>
      </c>
      <c r="B8522" t="str">
        <f>"1551598811236908"</f>
        <v>1551598811236908</v>
      </c>
      <c r="C8522" t="s">
        <v>40</v>
      </c>
      <c r="D8522">
        <v>5.0102760000000002</v>
      </c>
      <c r="E8522">
        <v>0.51927109999999999</v>
      </c>
      <c r="F8522" t="s">
        <v>89</v>
      </c>
      <c r="G8522">
        <v>-229.50229999999999</v>
      </c>
      <c r="H8522" s="1">
        <v>-3.8398759999999996E-6</v>
      </c>
      <c r="I8522">
        <v>-64.853440000000006</v>
      </c>
      <c r="J8522">
        <v>-274.74970000000002</v>
      </c>
      <c r="K8522">
        <v>1.1201970000000001</v>
      </c>
      <c r="L8522">
        <v>-61.926969999999997</v>
      </c>
      <c r="M8522">
        <v>0.99867689999999998</v>
      </c>
      <c r="N8522">
        <v>-9.3330050000000001E-3</v>
      </c>
      <c r="O8522">
        <v>-5.057209E-2</v>
      </c>
      <c r="P8522">
        <v>0.99591039999999997</v>
      </c>
      <c r="Q8522">
        <v>-8.948101E-2</v>
      </c>
      <c r="R8522">
        <v>-1.248346E-2</v>
      </c>
      <c r="S8522">
        <v>3.0032960000000002</v>
      </c>
      <c r="T8522">
        <v>-7.4169280000000004E-2</v>
      </c>
      <c r="U8522">
        <v>-0.19415279999999999</v>
      </c>
      <c r="V8522">
        <v>-3.798874E-2</v>
      </c>
      <c r="W8522">
        <v>-8.0146270000000006E-2</v>
      </c>
      <c r="X8522">
        <v>0.99605889999999997</v>
      </c>
      <c r="Y8522">
        <v>1.3960510000000001E-2</v>
      </c>
      <c r="Z8522">
        <v>5.3731139999999998E-4</v>
      </c>
      <c r="AA8522">
        <v>0.99990239999999997</v>
      </c>
      <c r="AB8522">
        <v>24</v>
      </c>
      <c r="AC8522">
        <v>45.247399999999999</v>
      </c>
      <c r="AD8522">
        <v>-1.1202008398759999</v>
      </c>
      <c r="AE8522">
        <v>-2.9264700000000001</v>
      </c>
      <c r="AF8522">
        <v>0.63398300780178496</v>
      </c>
      <c r="AG8522">
        <v>-1.1202008398759999</v>
      </c>
      <c r="AH8522">
        <v>45.309845453442001</v>
      </c>
      <c r="AI8522">
        <v>91.416103486835496</v>
      </c>
      <c r="AJ8522">
        <v>89.198360091603604</v>
      </c>
      <c r="AK8522">
        <v>45.328124596001501</v>
      </c>
      <c r="AL8522">
        <v>94.596973614010807</v>
      </c>
      <c r="AM8522">
        <v>92.184147987996099</v>
      </c>
      <c r="AN8522">
        <v>0.99999995061545399</v>
      </c>
    </row>
    <row r="8523" spans="1:40" x14ac:dyDescent="0.25">
      <c r="A8523" t="str">
        <f>"20190303154011258"</f>
        <v>20190303154011258</v>
      </c>
      <c r="B8523" t="str">
        <f>"1551598811246669"</f>
        <v>1551598811246669</v>
      </c>
      <c r="C8523" t="s">
        <v>40</v>
      </c>
      <c r="D8523">
        <v>4.9864220000000001</v>
      </c>
      <c r="E8523">
        <v>0.51426269999999996</v>
      </c>
      <c r="F8523" t="s">
        <v>89</v>
      </c>
      <c r="G8523">
        <v>-229.661</v>
      </c>
      <c r="H8523" s="1">
        <v>-3.8966750000000003E-6</v>
      </c>
      <c r="I8523">
        <v>-64.874480000000005</v>
      </c>
      <c r="J8523">
        <v>-274.63249999999999</v>
      </c>
      <c r="K8523">
        <v>1.12016</v>
      </c>
      <c r="L8523">
        <v>-61.933230000000002</v>
      </c>
      <c r="M8523">
        <v>0.99865479999999995</v>
      </c>
      <c r="N8523">
        <v>-9.6744710000000005E-3</v>
      </c>
      <c r="O8523">
        <v>-5.094013E-2</v>
      </c>
      <c r="P8523">
        <v>0.99593140000000002</v>
      </c>
      <c r="Q8523">
        <v>-8.9125819999999994E-2</v>
      </c>
      <c r="R8523">
        <v>-1.330712E-2</v>
      </c>
      <c r="S8523">
        <v>3.0031430000000001</v>
      </c>
      <c r="T8523">
        <v>-7.4611189999999994E-2</v>
      </c>
      <c r="U8523">
        <v>-0.19631960000000001</v>
      </c>
      <c r="V8523">
        <v>-3.7547249999999997E-2</v>
      </c>
      <c r="W8523">
        <v>-7.9444479999999998E-2</v>
      </c>
      <c r="X8523">
        <v>0.99613189999999996</v>
      </c>
      <c r="Y8523">
        <v>1.431312E-2</v>
      </c>
      <c r="Z8523">
        <v>5.2356270000000001E-4</v>
      </c>
      <c r="AA8523">
        <v>0.99989740000000005</v>
      </c>
      <c r="AB8523">
        <v>24</v>
      </c>
      <c r="AC8523">
        <v>44.971499999999999</v>
      </c>
      <c r="AD8523">
        <v>-1.120163896675</v>
      </c>
      <c r="AE8523">
        <v>-2.9412500000000001</v>
      </c>
      <c r="AF8523">
        <v>0.64607052973971002</v>
      </c>
      <c r="AG8523">
        <v>-1.120163896675</v>
      </c>
      <c r="AH8523">
        <v>45.035121249673203</v>
      </c>
      <c r="AI8523">
        <v>91.424684377682993</v>
      </c>
      <c r="AJ8523">
        <v>89.178095351691795</v>
      </c>
      <c r="AK8523">
        <v>45.053682649230502</v>
      </c>
      <c r="AL8523">
        <v>94.556635190098802</v>
      </c>
      <c r="AM8523">
        <v>92.158630793883802</v>
      </c>
      <c r="AN8523">
        <v>0.99999999179132104</v>
      </c>
    </row>
    <row r="8524" spans="1:40" x14ac:dyDescent="0.25">
      <c r="A8524" t="str">
        <f>"20190303154011270"</f>
        <v>20190303154011270</v>
      </c>
      <c r="B8524" t="str">
        <f>"1551598811267165"</f>
        <v>1551598811267165</v>
      </c>
      <c r="C8524" t="s">
        <v>40</v>
      </c>
      <c r="D8524">
        <v>4.9758979999999999</v>
      </c>
      <c r="E8524">
        <v>0.51479140000000001</v>
      </c>
      <c r="F8524" t="s">
        <v>86</v>
      </c>
      <c r="G8524">
        <v>-255.69380000000001</v>
      </c>
      <c r="H8524" s="1">
        <v>-2.1429019999999999E-6</v>
      </c>
      <c r="I8524">
        <v>-62.920540000000003</v>
      </c>
      <c r="J8524">
        <v>-274.51029999999997</v>
      </c>
      <c r="K8524">
        <v>1.1201190000000001</v>
      </c>
      <c r="L8524">
        <v>-61.939819999999997</v>
      </c>
      <c r="M8524">
        <v>0.99863080000000004</v>
      </c>
      <c r="N8524">
        <v>-1.00225E-2</v>
      </c>
      <c r="O8524">
        <v>-5.1346540000000003E-2</v>
      </c>
      <c r="P8524">
        <v>0.99595880000000003</v>
      </c>
      <c r="Q8524">
        <v>-8.8677300000000001E-2</v>
      </c>
      <c r="R8524">
        <v>-1.4240620000000001E-2</v>
      </c>
      <c r="S8524">
        <v>2.9942929999999999</v>
      </c>
      <c r="T8524">
        <v>-0.17710279999999901</v>
      </c>
      <c r="U8524">
        <v>-0.1560974</v>
      </c>
      <c r="V8524">
        <v>-3.7035190000000003E-2</v>
      </c>
      <c r="W8524">
        <v>-7.8642550000000006E-2</v>
      </c>
      <c r="X8524">
        <v>0.99621470000000001</v>
      </c>
      <c r="Y8524">
        <v>7.7282339999999998E-4</v>
      </c>
      <c r="Z8524">
        <v>2.4893099999999998E-3</v>
      </c>
      <c r="AA8524">
        <v>0.99999660000000001</v>
      </c>
      <c r="AB8524">
        <v>24</v>
      </c>
      <c r="AC8524">
        <v>18.816499999999898</v>
      </c>
      <c r="AD8524">
        <v>-1.1201211429019999</v>
      </c>
      <c r="AE8524">
        <v>-0.98072000000000503</v>
      </c>
      <c r="AF8524">
        <v>1.3169148866019199E-2</v>
      </c>
      <c r="AG8524">
        <v>-1.1201211429019999</v>
      </c>
      <c r="AH8524">
        <v>18.775681283112899</v>
      </c>
      <c r="AI8524">
        <v>93.414108969004104</v>
      </c>
      <c r="AJ8524">
        <v>89.959813094678495</v>
      </c>
      <c r="AK8524">
        <v>18.8090683566808</v>
      </c>
      <c r="AL8524">
        <v>94.510543769627105</v>
      </c>
      <c r="AM8524">
        <v>92.129042403957101</v>
      </c>
      <c r="AN8524">
        <v>0.99999999223246405</v>
      </c>
    </row>
    <row r="8525" spans="1:40" x14ac:dyDescent="0.25">
      <c r="A8525" t="str">
        <f>"20190303154011282"</f>
        <v>20190303154011282</v>
      </c>
      <c r="B8525" t="str">
        <f>"1551598811276924"</f>
        <v>1551598811276924</v>
      </c>
      <c r="C8525" t="s">
        <v>40</v>
      </c>
      <c r="D8525">
        <v>5.0043790000000001</v>
      </c>
      <c r="E8525">
        <v>0.51505570000000001</v>
      </c>
      <c r="F8525" t="s">
        <v>86</v>
      </c>
      <c r="G8525">
        <v>-254.52930000000001</v>
      </c>
      <c r="H8525" s="1">
        <v>-1.6676980000000001E-6</v>
      </c>
      <c r="I8525">
        <v>-63.030110000000001</v>
      </c>
      <c r="J8525">
        <v>-274.38389999999998</v>
      </c>
      <c r="K8525">
        <v>1.1200669999999999</v>
      </c>
      <c r="L8525">
        <v>-61.946840000000002</v>
      </c>
      <c r="M8525">
        <v>0.99860110000000002</v>
      </c>
      <c r="N8525">
        <v>-1.035034E-2</v>
      </c>
      <c r="O8525">
        <v>-5.1854820000000003E-2</v>
      </c>
      <c r="P8525">
        <v>0.99598260000000005</v>
      </c>
      <c r="Q8525">
        <v>-8.8214529999999999E-2</v>
      </c>
      <c r="R8525">
        <v>-1.5394440000000001E-2</v>
      </c>
      <c r="S8525">
        <v>2.994904</v>
      </c>
      <c r="T8525">
        <v>-0.167892299999999</v>
      </c>
      <c r="U8525">
        <v>-0.1634216</v>
      </c>
      <c r="V8525">
        <v>-3.6404239999999997E-2</v>
      </c>
      <c r="W8525">
        <v>-7.784655E-2</v>
      </c>
      <c r="X8525">
        <v>0.99630050000000003</v>
      </c>
      <c r="Y8525">
        <v>2.6805309999999999E-3</v>
      </c>
      <c r="Z8525">
        <v>2.2752369999999998E-3</v>
      </c>
      <c r="AA8525">
        <v>0.99999380000000004</v>
      </c>
      <c r="AB8525">
        <v>24</v>
      </c>
      <c r="AC8525">
        <v>19.854599999999898</v>
      </c>
      <c r="AD8525">
        <v>-1.1200686676979901</v>
      </c>
      <c r="AE8525">
        <v>-1.08326999999999</v>
      </c>
      <c r="AF8525">
        <v>5.20355839598418E-2</v>
      </c>
      <c r="AG8525">
        <v>-1.1200686676979901</v>
      </c>
      <c r="AH8525">
        <v>19.821167767049801</v>
      </c>
      <c r="AI8525">
        <v>93.234259932800299</v>
      </c>
      <c r="AJ8525">
        <v>89.849584417467398</v>
      </c>
      <c r="AK8525">
        <v>19.852857556832799</v>
      </c>
      <c r="AL8525">
        <v>94.464795949076901</v>
      </c>
      <c r="AM8525">
        <v>92.092623436839901</v>
      </c>
      <c r="AN8525">
        <v>1.0000000201685599</v>
      </c>
    </row>
    <row r="8526" spans="1:40" x14ac:dyDescent="0.25">
      <c r="A8526" t="str">
        <f>"20190303154011292"</f>
        <v>20190303154011292</v>
      </c>
      <c r="B8526" t="str">
        <f>"1551598811286685"</f>
        <v>1551598811286685</v>
      </c>
      <c r="C8526" t="s">
        <v>40</v>
      </c>
      <c r="D8526">
        <v>5.0101259999999996</v>
      </c>
      <c r="E8526">
        <v>0.51507950000000002</v>
      </c>
      <c r="F8526" t="s">
        <v>86</v>
      </c>
      <c r="G8526">
        <v>-253.9581</v>
      </c>
      <c r="H8526" s="1">
        <v>-1.4381489999999999E-6</v>
      </c>
      <c r="I8526">
        <v>-63.099899999999998</v>
      </c>
      <c r="J8526">
        <v>-274.27640000000002</v>
      </c>
      <c r="K8526">
        <v>1.1200270000000001</v>
      </c>
      <c r="L8526">
        <v>-61.952849999999998</v>
      </c>
      <c r="M8526">
        <v>0.99857459999999998</v>
      </c>
      <c r="N8526">
        <v>-1.0621429999999999E-2</v>
      </c>
      <c r="O8526">
        <v>-5.2307729999999997E-2</v>
      </c>
      <c r="P8526">
        <v>0.99600710000000003</v>
      </c>
      <c r="Q8526">
        <v>-8.7721419999999994E-2</v>
      </c>
      <c r="R8526">
        <v>-1.6578249999999999E-2</v>
      </c>
      <c r="S8526">
        <v>2.9949340000000002</v>
      </c>
      <c r="T8526">
        <v>-0.1642296</v>
      </c>
      <c r="U8526">
        <v>-0.16906740000000001</v>
      </c>
      <c r="V8526">
        <v>-3.5685689999999999E-2</v>
      </c>
      <c r="W8526">
        <v>-7.7078229999999998E-2</v>
      </c>
      <c r="X8526">
        <v>0.9963862</v>
      </c>
      <c r="Y8526">
        <v>4.1001800000000001E-3</v>
      </c>
      <c r="Z8526">
        <v>2.1725989999999999E-3</v>
      </c>
      <c r="AA8526">
        <v>0.99998920000000002</v>
      </c>
      <c r="AB8526">
        <v>24</v>
      </c>
      <c r="AC8526">
        <v>20.318300000000001</v>
      </c>
      <c r="AD8526">
        <v>-1.120028438149</v>
      </c>
      <c r="AE8526">
        <v>-1.1470499999999999</v>
      </c>
      <c r="AF8526">
        <v>8.23660108377193E-2</v>
      </c>
      <c r="AG8526">
        <v>-1.120028438149</v>
      </c>
      <c r="AH8526">
        <v>20.2890285753661</v>
      </c>
      <c r="AI8526">
        <v>93.159703097239799</v>
      </c>
      <c r="AJ8526">
        <v>89.767401437983807</v>
      </c>
      <c r="AK8526">
        <v>20.3200868205337</v>
      </c>
      <c r="AL8526">
        <v>94.420641914590107</v>
      </c>
      <c r="AM8526">
        <v>92.051178411628399</v>
      </c>
      <c r="AN8526">
        <v>0.999999990780574</v>
      </c>
    </row>
    <row r="8527" spans="1:40" x14ac:dyDescent="0.25">
      <c r="A8527" t="str">
        <f>"20190303154011304"</f>
        <v>20190303154011304</v>
      </c>
      <c r="B8527" t="str">
        <f>"1551598811296444"</f>
        <v>1551598811296444</v>
      </c>
      <c r="C8527" t="s">
        <v>40</v>
      </c>
      <c r="D8527">
        <v>5.0145929999999996</v>
      </c>
      <c r="E8527">
        <v>0.51532479999999903</v>
      </c>
      <c r="F8527" t="s">
        <v>86</v>
      </c>
      <c r="G8527">
        <v>-253.53360000000001</v>
      </c>
      <c r="H8527" s="1">
        <v>-1.267211E-6</v>
      </c>
      <c r="I8527">
        <v>-63.150039999999997</v>
      </c>
      <c r="J8527">
        <v>-274.14780000000002</v>
      </c>
      <c r="K8527">
        <v>1.11998</v>
      </c>
      <c r="L8527">
        <v>-61.960239999999999</v>
      </c>
      <c r="M8527">
        <v>0.99853970000000003</v>
      </c>
      <c r="N8527">
        <v>-1.092134E-2</v>
      </c>
      <c r="O8527">
        <v>-5.2910249999999999E-2</v>
      </c>
      <c r="P8527">
        <v>0.99602270000000004</v>
      </c>
      <c r="Q8527">
        <v>-8.7309170000000005E-2</v>
      </c>
      <c r="R8527">
        <v>-1.7785039999999998E-2</v>
      </c>
      <c r="S8527">
        <v>2.9948730000000001</v>
      </c>
      <c r="T8527">
        <v>-0.1617112</v>
      </c>
      <c r="U8527">
        <v>-0.17285159999999999</v>
      </c>
      <c r="V8527">
        <v>-3.5094199999999902E-2</v>
      </c>
      <c r="W8527">
        <v>-7.6361529999999997E-2</v>
      </c>
      <c r="X8527">
        <v>0.99646239999999997</v>
      </c>
      <c r="Y8527">
        <v>4.7541989999999998E-3</v>
      </c>
      <c r="Z8527">
        <v>2.1187720000000001E-3</v>
      </c>
      <c r="AA8527">
        <v>0.9999865</v>
      </c>
      <c r="AB8527">
        <v>24</v>
      </c>
      <c r="AC8527">
        <v>20.6142</v>
      </c>
      <c r="AD8527">
        <v>-1.1199812672110001</v>
      </c>
      <c r="AE8527">
        <v>-1.1898</v>
      </c>
      <c r="AF8527">
        <v>9.7080240571243398E-2</v>
      </c>
      <c r="AG8527">
        <v>-1.1199812672110001</v>
      </c>
      <c r="AH8527">
        <v>20.587708778852999</v>
      </c>
      <c r="AI8527">
        <v>93.113814133551401</v>
      </c>
      <c r="AJ8527">
        <v>89.729826815965197</v>
      </c>
      <c r="AK8527">
        <v>20.6183785825868</v>
      </c>
      <c r="AL8527">
        <v>94.379456600127298</v>
      </c>
      <c r="AM8527">
        <v>92.017054341762005</v>
      </c>
      <c r="AN8527">
        <v>1.0000000003756699</v>
      </c>
    </row>
    <row r="8528" spans="1:40" x14ac:dyDescent="0.25">
      <c r="A8528" t="str">
        <f>"20190303154011316"</f>
        <v>20190303154011316</v>
      </c>
      <c r="B8528" t="str">
        <f>"1551598811307181"</f>
        <v>1551598811307181</v>
      </c>
      <c r="C8528" t="s">
        <v>40</v>
      </c>
      <c r="D8528">
        <v>4.9999929999999999</v>
      </c>
      <c r="E8528">
        <v>0.51550379999999996</v>
      </c>
      <c r="F8528" t="s">
        <v>86</v>
      </c>
      <c r="G8528">
        <v>-253.1499</v>
      </c>
      <c r="H8528" s="1">
        <v>-1.116284E-6</v>
      </c>
      <c r="I8528">
        <v>-63.211559999999999</v>
      </c>
      <c r="J8528">
        <v>-274.02589999999998</v>
      </c>
      <c r="K8528">
        <v>1.119942</v>
      </c>
      <c r="L8528">
        <v>-61.967350000000003</v>
      </c>
      <c r="M8528">
        <v>0.9985039</v>
      </c>
      <c r="N8528">
        <v>-1.118803E-2</v>
      </c>
      <c r="O8528">
        <v>-5.3525730000000001E-2</v>
      </c>
      <c r="P8528">
        <v>0.99608890000000005</v>
      </c>
      <c r="Q8528">
        <v>-8.6283040000000005E-2</v>
      </c>
      <c r="R8528">
        <v>-1.9036589999999999E-2</v>
      </c>
      <c r="S8528">
        <v>2.9947810000000001</v>
      </c>
      <c r="T8528">
        <v>-0.15973479999999901</v>
      </c>
      <c r="U8528">
        <v>-0.17846679999999901</v>
      </c>
      <c r="V8528">
        <v>-3.4470399999999998E-2</v>
      </c>
      <c r="W8528">
        <v>-7.5064629999999993E-2</v>
      </c>
      <c r="X8528">
        <v>0.99658270000000004</v>
      </c>
      <c r="Y8528">
        <v>6.004433E-3</v>
      </c>
      <c r="Z8528">
        <v>2.0562549999999999E-3</v>
      </c>
      <c r="AA8528">
        <v>0.99997990000000003</v>
      </c>
      <c r="AB8528">
        <v>24</v>
      </c>
      <c r="AC8528">
        <v>20.875999999999902</v>
      </c>
      <c r="AD8528">
        <v>-1.1199431162839999</v>
      </c>
      <c r="AE8528">
        <v>-1.24420999999999</v>
      </c>
      <c r="AF8528">
        <v>0.124595882030559</v>
      </c>
      <c r="AG8528">
        <v>-1.1199431162839999</v>
      </c>
      <c r="AH8528">
        <v>20.852868275795799</v>
      </c>
      <c r="AI8528">
        <v>93.0741709666476</v>
      </c>
      <c r="AJ8528">
        <v>89.657661807524505</v>
      </c>
      <c r="AK8528">
        <v>20.883292653344199</v>
      </c>
      <c r="AL8528">
        <v>94.304935831007896</v>
      </c>
      <c r="AM8528">
        <v>91.980991029236094</v>
      </c>
      <c r="AN8528">
        <v>0.99999999254624306</v>
      </c>
    </row>
    <row r="8529" spans="1:40" x14ac:dyDescent="0.25">
      <c r="A8529" t="str">
        <f>"20190303154011326"</f>
        <v>20190303154011326</v>
      </c>
      <c r="B8529" t="str">
        <f>"1551598811316941"</f>
        <v>1551598811316941</v>
      </c>
      <c r="C8529" t="s">
        <v>40</v>
      </c>
      <c r="D8529">
        <v>4.9685990000000002</v>
      </c>
      <c r="E8529">
        <v>0.51560209999999995</v>
      </c>
      <c r="F8529" t="s">
        <v>86</v>
      </c>
      <c r="G8529">
        <v>-252.65889999999999</v>
      </c>
      <c r="H8529" s="1">
        <v>-9.2025319999999996E-7</v>
      </c>
      <c r="I8529">
        <v>-63.277299999999997</v>
      </c>
      <c r="J8529">
        <v>-273.91000000000003</v>
      </c>
      <c r="K8529">
        <v>1.119907</v>
      </c>
      <c r="L8529">
        <v>-61.974209999999999</v>
      </c>
      <c r="M8529">
        <v>0.99846789999999996</v>
      </c>
      <c r="N8529">
        <v>-1.1429440000000001E-2</v>
      </c>
      <c r="O8529">
        <v>-5.4141599999999901E-2</v>
      </c>
      <c r="P8529">
        <v>0.99614650000000005</v>
      </c>
      <c r="Q8529">
        <v>-8.5399669999999997E-2</v>
      </c>
      <c r="R8529">
        <v>-1.9981789999999999E-2</v>
      </c>
      <c r="S8529">
        <v>2.994659</v>
      </c>
      <c r="T8529">
        <v>-0.15696350000000001</v>
      </c>
      <c r="U8529">
        <v>-0.1835938</v>
      </c>
      <c r="V8529">
        <v>-3.4151569999999999E-2</v>
      </c>
      <c r="W8529">
        <v>-7.3936039999999995E-2</v>
      </c>
      <c r="X8529">
        <v>0.99667810000000001</v>
      </c>
      <c r="Y8529">
        <v>7.0920849999999997E-3</v>
      </c>
      <c r="Z8529">
        <v>1.9864230000000002E-3</v>
      </c>
      <c r="AA8529">
        <v>0.99997290000000005</v>
      </c>
      <c r="AB8529">
        <v>23</v>
      </c>
      <c r="AC8529">
        <v>21.251100000000001</v>
      </c>
      <c r="AD8529">
        <v>-1.1199079202531901</v>
      </c>
      <c r="AE8529">
        <v>-1.3030899999999901</v>
      </c>
      <c r="AF8529">
        <v>0.15011946082843999</v>
      </c>
      <c r="AG8529">
        <v>-1.1199079202531901</v>
      </c>
      <c r="AH8529">
        <v>21.2317390551203</v>
      </c>
      <c r="AI8529">
        <v>93.019299954953993</v>
      </c>
      <c r="AJ8529">
        <v>89.594895727624703</v>
      </c>
      <c r="AK8529">
        <v>21.261784330274001</v>
      </c>
      <c r="AL8529">
        <v>94.240091932048003</v>
      </c>
      <c r="AM8529">
        <v>91.962494760663702</v>
      </c>
      <c r="AN8529">
        <v>1.00000005138197</v>
      </c>
    </row>
    <row r="8530" spans="1:40" x14ac:dyDescent="0.25">
      <c r="A8530" t="str">
        <f>"20190303154011338"</f>
        <v>20190303154011338</v>
      </c>
      <c r="B8530" t="str">
        <f>"1551598811326700"</f>
        <v>1551598811326700</v>
      </c>
      <c r="C8530" t="s">
        <v>40</v>
      </c>
      <c r="D8530">
        <v>4.971203</v>
      </c>
      <c r="E8530">
        <v>0.51563559999999997</v>
      </c>
      <c r="F8530" t="s">
        <v>86</v>
      </c>
      <c r="G8530">
        <v>-252.1942</v>
      </c>
      <c r="H8530" s="1">
        <v>-7.3290389999999996E-7</v>
      </c>
      <c r="I8530">
        <v>-63.33126</v>
      </c>
      <c r="J8530">
        <v>-273.80130000000003</v>
      </c>
      <c r="K8530">
        <v>1.119882</v>
      </c>
      <c r="L8530">
        <v>-61.980800000000002</v>
      </c>
      <c r="M8530">
        <v>0.99843139999999997</v>
      </c>
      <c r="N8530">
        <v>-1.163587E-2</v>
      </c>
      <c r="O8530">
        <v>-5.4768520000000001E-2</v>
      </c>
      <c r="P8530">
        <v>0.9961776</v>
      </c>
      <c r="Q8530">
        <v>-8.4837659999999995E-2</v>
      </c>
      <c r="R8530">
        <v>-2.0816640000000001E-2</v>
      </c>
      <c r="S8530">
        <v>2.9945680000000001</v>
      </c>
      <c r="T8530">
        <v>-0.15443299999999999</v>
      </c>
      <c r="U8530">
        <v>-0.18713379999999999</v>
      </c>
      <c r="V8530">
        <v>-3.3950090000000002E-2</v>
      </c>
      <c r="W8530">
        <v>-7.3164779999999999E-2</v>
      </c>
      <c r="X8530">
        <v>0.99674180000000001</v>
      </c>
      <c r="Y8530">
        <v>7.6411789999999997E-3</v>
      </c>
      <c r="Z8530">
        <v>1.939475E-3</v>
      </c>
      <c r="AA8530">
        <v>0.99996890000000005</v>
      </c>
      <c r="AB8530">
        <v>23</v>
      </c>
      <c r="AC8530">
        <v>21.607099999999999</v>
      </c>
      <c r="AD8530">
        <v>-1.1198827329038901</v>
      </c>
      <c r="AE8530">
        <v>-1.35045999999999</v>
      </c>
      <c r="AF8530">
        <v>0.16452368981323201</v>
      </c>
      <c r="AG8530">
        <v>-1.1198827329038901</v>
      </c>
      <c r="AH8530">
        <v>21.590859216149799</v>
      </c>
      <c r="AI8530">
        <v>92.969092021042499</v>
      </c>
      <c r="AJ8530">
        <v>89.563411047381095</v>
      </c>
      <c r="AK8530">
        <v>21.620508945710899</v>
      </c>
      <c r="AL8530">
        <v>94.195782382968304</v>
      </c>
      <c r="AM8530">
        <v>91.950801250764101</v>
      </c>
      <c r="AN8530">
        <v>0.99999995475534698</v>
      </c>
    </row>
    <row r="8531" spans="1:40" x14ac:dyDescent="0.25">
      <c r="A8531" t="str">
        <f>"20190303154011347"</f>
        <v>20190303154011347</v>
      </c>
      <c r="B8531" t="str">
        <f>"1551598811336461"</f>
        <v>1551598811336461</v>
      </c>
      <c r="C8531" t="s">
        <v>40</v>
      </c>
      <c r="D8531">
        <v>4.9878159999999996</v>
      </c>
      <c r="E8531">
        <v>0.51572779999999996</v>
      </c>
      <c r="F8531" t="s">
        <v>86</v>
      </c>
      <c r="G8531">
        <v>-251.85329999999999</v>
      </c>
      <c r="H8531" s="1">
        <v>-5.9581379999999995E-7</v>
      </c>
      <c r="I8531">
        <v>-63.372509999999998</v>
      </c>
      <c r="J8531">
        <v>-273.69159999999999</v>
      </c>
      <c r="K8531">
        <v>1.1198600000000001</v>
      </c>
      <c r="L8531">
        <v>-61.987490000000001</v>
      </c>
      <c r="M8531">
        <v>0.99839330000000004</v>
      </c>
      <c r="N8531">
        <v>-1.183879E-2</v>
      </c>
      <c r="O8531">
        <v>-5.5414980000000003E-2</v>
      </c>
      <c r="P8531">
        <v>0.9962472</v>
      </c>
      <c r="Q8531">
        <v>-8.3840670000000006E-2</v>
      </c>
      <c r="R8531">
        <v>-2.1509779999999999E-2</v>
      </c>
      <c r="S8531">
        <v>2.9945369999999998</v>
      </c>
      <c r="T8531">
        <v>-0.15279400000000001</v>
      </c>
      <c r="U8531">
        <v>-0.1898804</v>
      </c>
      <c r="V8531">
        <v>-3.391077E-2</v>
      </c>
      <c r="W8531">
        <v>-7.1961510000000006E-2</v>
      </c>
      <c r="X8531">
        <v>0.99683080000000002</v>
      </c>
      <c r="Y8531">
        <v>7.9064010000000004E-3</v>
      </c>
      <c r="Z8531">
        <v>1.916629E-3</v>
      </c>
      <c r="AA8531">
        <v>0.99996689999999999</v>
      </c>
      <c r="AB8531">
        <v>23</v>
      </c>
      <c r="AC8531">
        <v>21.8383</v>
      </c>
      <c r="AD8531">
        <v>-1.1198605958137999</v>
      </c>
      <c r="AE8531">
        <v>-1.3850199999999899</v>
      </c>
      <c r="AF8531">
        <v>0.17218684637006501</v>
      </c>
      <c r="AG8531">
        <v>-1.1198605958137999</v>
      </c>
      <c r="AH8531">
        <v>21.824335563797</v>
      </c>
      <c r="AI8531">
        <v>92.937320561963006</v>
      </c>
      <c r="AJ8531">
        <v>89.547964479247298</v>
      </c>
      <c r="AK8531">
        <v>21.853726429726599</v>
      </c>
      <c r="AL8531">
        <v>94.126657582240995</v>
      </c>
      <c r="AM8531">
        <v>91.948369794933697</v>
      </c>
      <c r="AN8531">
        <v>1.0000000215360501</v>
      </c>
    </row>
    <row r="8532" spans="1:40" x14ac:dyDescent="0.25">
      <c r="A8532" t="str">
        <f>"20190303154011358"</f>
        <v>20190303154011358</v>
      </c>
      <c r="B8532" t="str">
        <f>"1551598811356956"</f>
        <v>1551598811356956</v>
      </c>
      <c r="C8532" t="s">
        <v>40</v>
      </c>
      <c r="D8532">
        <v>4.9912299999999998</v>
      </c>
      <c r="E8532">
        <v>0.51592249999999995</v>
      </c>
      <c r="F8532" t="s">
        <v>86</v>
      </c>
      <c r="G8532">
        <v>-251.16730000000001</v>
      </c>
      <c r="H8532" s="1">
        <v>-3.1584369999999998E-7</v>
      </c>
      <c r="I8532">
        <v>-63.436819999999997</v>
      </c>
      <c r="J8532">
        <v>-273.57690000000002</v>
      </c>
      <c r="K8532">
        <v>1.1198429999999999</v>
      </c>
      <c r="L8532">
        <v>-61.994660000000003</v>
      </c>
      <c r="M8532">
        <v>0.99835059999999998</v>
      </c>
      <c r="N8532">
        <v>-1.2029710000000001E-2</v>
      </c>
      <c r="O8532">
        <v>-5.6139210000000002E-2</v>
      </c>
      <c r="P8532">
        <v>0.99631570000000003</v>
      </c>
      <c r="Q8532">
        <v>-8.2899210000000001E-2</v>
      </c>
      <c r="R8532">
        <v>-2.1978879999999999E-2</v>
      </c>
      <c r="S8532">
        <v>2.9945979999999999</v>
      </c>
      <c r="T8532">
        <v>-0.14888509999999999</v>
      </c>
      <c r="U8532">
        <v>-0.192688</v>
      </c>
      <c r="V8532">
        <v>-3.4171180000000002E-2</v>
      </c>
      <c r="W8532">
        <v>-7.0825799999999994E-2</v>
      </c>
      <c r="X8532">
        <v>0.99690319999999999</v>
      </c>
      <c r="Y8532">
        <v>8.1108880000000001E-3</v>
      </c>
      <c r="Z8532">
        <v>1.8590760000000001E-3</v>
      </c>
      <c r="AA8532">
        <v>0.9999654</v>
      </c>
      <c r="AB8532">
        <v>23</v>
      </c>
      <c r="AC8532">
        <v>22.409600000000001</v>
      </c>
      <c r="AD8532">
        <v>-1.1198433158437</v>
      </c>
      <c r="AE8532">
        <v>-1.4421600000000001</v>
      </c>
      <c r="AF8532">
        <v>0.181286355166208</v>
      </c>
      <c r="AG8532">
        <v>-1.1198433158437</v>
      </c>
      <c r="AH8532">
        <v>22.3995169543246</v>
      </c>
      <c r="AI8532">
        <v>92.861973493038505</v>
      </c>
      <c r="AJ8532">
        <v>89.536297310483803</v>
      </c>
      <c r="AK8532">
        <v>22.428224931583099</v>
      </c>
      <c r="AL8532">
        <v>94.0614198993473</v>
      </c>
      <c r="AM8532">
        <v>91.963177715802402</v>
      </c>
      <c r="AN8532">
        <v>0.99999997682923603</v>
      </c>
    </row>
    <row r="8533" spans="1:40" x14ac:dyDescent="0.25">
      <c r="A8533" t="str">
        <f>"20190303154011370"</f>
        <v>20190303154011370</v>
      </c>
      <c r="B8533" t="str">
        <f>"1551598811366717"</f>
        <v>1551598811366717</v>
      </c>
      <c r="C8533" t="s">
        <v>40</v>
      </c>
      <c r="D8533">
        <v>4.9677160000000002</v>
      </c>
      <c r="E8533">
        <v>0.51603169999999998</v>
      </c>
      <c r="F8533" t="s">
        <v>86</v>
      </c>
      <c r="G8533">
        <v>-250.70269999999999</v>
      </c>
      <c r="H8533" s="1">
        <v>-1.280796E-7</v>
      </c>
      <c r="I8533">
        <v>-63.488660000000003</v>
      </c>
      <c r="J8533">
        <v>-273.45929999999998</v>
      </c>
      <c r="K8533">
        <v>1.119828</v>
      </c>
      <c r="L8533">
        <v>-62.002040000000001</v>
      </c>
      <c r="M8533">
        <v>0.99830569999999996</v>
      </c>
      <c r="N8533">
        <v>-1.2220740000000001E-2</v>
      </c>
      <c r="O8533">
        <v>-5.6892419999999999E-2</v>
      </c>
      <c r="P8533">
        <v>0.99639029999999995</v>
      </c>
      <c r="Q8533">
        <v>-8.1921560000000004E-2</v>
      </c>
      <c r="R8533">
        <v>-2.2261590000000001E-2</v>
      </c>
      <c r="S8533">
        <v>2.9945680000000001</v>
      </c>
      <c r="T8533">
        <v>-0.14660429999999999</v>
      </c>
      <c r="U8533">
        <v>-0.19558719999999999</v>
      </c>
      <c r="V8533">
        <v>-3.4647030000000002E-2</v>
      </c>
      <c r="W8533">
        <v>-6.9653339999999994E-2</v>
      </c>
      <c r="X8533">
        <v>0.99696940000000001</v>
      </c>
      <c r="Y8533">
        <v>8.3195349999999994E-3</v>
      </c>
      <c r="Z8533">
        <v>1.8291399999999999E-3</v>
      </c>
      <c r="AA8533">
        <v>0.99996370000000001</v>
      </c>
      <c r="AB8533">
        <v>23</v>
      </c>
      <c r="AC8533">
        <v>22.756599999999899</v>
      </c>
      <c r="AD8533">
        <v>-1.1198281280796001</v>
      </c>
      <c r="AE8533">
        <v>-1.4866199999999901</v>
      </c>
      <c r="AF8533">
        <v>0.188981608635412</v>
      </c>
      <c r="AG8533">
        <v>-1.1198281280796001</v>
      </c>
      <c r="AH8533">
        <v>22.7494655001192</v>
      </c>
      <c r="AI8533">
        <v>92.817976998608898</v>
      </c>
      <c r="AJ8533">
        <v>89.524050377234303</v>
      </c>
      <c r="AK8533">
        <v>22.777794222135601</v>
      </c>
      <c r="AL8533">
        <v>93.994076485656905</v>
      </c>
      <c r="AM8533">
        <v>91.990361997622301</v>
      </c>
      <c r="AN8533">
        <v>0.99999999449866805</v>
      </c>
    </row>
    <row r="8534" spans="1:40" x14ac:dyDescent="0.25">
      <c r="A8534" t="str">
        <f>"20190303154011382"</f>
        <v>20190303154011382</v>
      </c>
      <c r="B8534" t="str">
        <f>"1551598811376476"</f>
        <v>1551598811376476</v>
      </c>
      <c r="C8534" t="s">
        <v>40</v>
      </c>
      <c r="D8534">
        <v>4.9889570000000001</v>
      </c>
      <c r="E8534">
        <v>0.51624639999999999</v>
      </c>
      <c r="F8534" t="s">
        <v>86</v>
      </c>
      <c r="G8534">
        <v>-250.0497</v>
      </c>
      <c r="H8534" s="1">
        <v>1.396958E-7</v>
      </c>
      <c r="I8534">
        <v>-63.544310000000003</v>
      </c>
      <c r="J8534">
        <v>-273.33690000000001</v>
      </c>
      <c r="K8534">
        <v>1.1198220000000001</v>
      </c>
      <c r="L8534">
        <v>-62.009979999999999</v>
      </c>
      <c r="M8534">
        <v>0.99825620000000004</v>
      </c>
      <c r="N8534">
        <v>-1.239811E-2</v>
      </c>
      <c r="O8534">
        <v>-5.7714649999999999E-2</v>
      </c>
      <c r="P8534">
        <v>0.9964324</v>
      </c>
      <c r="Q8534">
        <v>-8.1391389999999994E-2</v>
      </c>
      <c r="R8534">
        <v>-2.2313920000000001E-2</v>
      </c>
      <c r="S8534">
        <v>2.9946899999999999</v>
      </c>
      <c r="T8534">
        <v>-0.1432551</v>
      </c>
      <c r="U8534">
        <v>-0.1972961</v>
      </c>
      <c r="V8534">
        <v>-3.541938E-2</v>
      </c>
      <c r="W8534">
        <v>-6.8942429999999999E-2</v>
      </c>
      <c r="X8534">
        <v>0.99699170000000004</v>
      </c>
      <c r="Y8534">
        <v>8.0600459999999995E-3</v>
      </c>
      <c r="Z8534">
        <v>1.7961800000000001E-3</v>
      </c>
      <c r="AA8534">
        <v>0.99996589999999996</v>
      </c>
      <c r="AB8534">
        <v>23</v>
      </c>
      <c r="AC8534">
        <v>23.287199999999999</v>
      </c>
      <c r="AD8534">
        <v>-1.1198218603041901</v>
      </c>
      <c r="AE8534">
        <v>-1.53432999999998</v>
      </c>
      <c r="AF8534">
        <v>0.18722517983193501</v>
      </c>
      <c r="AG8534">
        <v>-1.1198218603041901</v>
      </c>
      <c r="AH8534">
        <v>23.283329492820101</v>
      </c>
      <c r="AI8534">
        <v>92.753454727404701</v>
      </c>
      <c r="AJ8534">
        <v>89.539284902246095</v>
      </c>
      <c r="AK8534">
        <v>23.310994971000401</v>
      </c>
      <c r="AL8534">
        <v>93.953246083435204</v>
      </c>
      <c r="AM8534">
        <v>92.034648696070803</v>
      </c>
      <c r="AN8534">
        <v>1.0000000205013799</v>
      </c>
    </row>
    <row r="8535" spans="1:40" x14ac:dyDescent="0.25">
      <c r="A8535" t="str">
        <f>"20190303154011393"</f>
        <v>20190303154011393</v>
      </c>
      <c r="B8535" t="str">
        <f>"1551598811387212"</f>
        <v>1551598811387212</v>
      </c>
      <c r="C8535" t="s">
        <v>40</v>
      </c>
      <c r="D8535">
        <v>4.8617379999999999</v>
      </c>
      <c r="E8535">
        <v>0.51680280000000001</v>
      </c>
      <c r="F8535" t="s">
        <v>87</v>
      </c>
      <c r="G8535">
        <v>-249.60329999999999</v>
      </c>
      <c r="H8535" s="1">
        <v>-3.7106359999999998E-6</v>
      </c>
      <c r="I8535">
        <v>-63.588729999999998</v>
      </c>
      <c r="J8535">
        <v>-273.22190000000001</v>
      </c>
      <c r="K8535">
        <v>1.1198170000000001</v>
      </c>
      <c r="L8535">
        <v>-62.01746</v>
      </c>
      <c r="M8535">
        <v>0.99820880000000001</v>
      </c>
      <c r="N8535">
        <v>-1.25582E-2</v>
      </c>
      <c r="O8535">
        <v>-5.8494379999999999E-2</v>
      </c>
      <c r="P8535">
        <v>0.9964594</v>
      </c>
      <c r="Q8535">
        <v>-8.1003080000000005E-2</v>
      </c>
      <c r="R8535">
        <v>-2.2527350000000002E-2</v>
      </c>
      <c r="S8535">
        <v>2.9947509999999999</v>
      </c>
      <c r="T8535">
        <v>-0.14130190000000001</v>
      </c>
      <c r="U8535">
        <v>-0.1992188</v>
      </c>
      <c r="V8535">
        <v>-3.598647E-2</v>
      </c>
      <c r="W8535">
        <v>-6.8391549999999995E-2</v>
      </c>
      <c r="X8535">
        <v>0.99700929999999999</v>
      </c>
      <c r="Y8535">
        <v>7.9159590000000002E-3</v>
      </c>
      <c r="Z8535">
        <v>1.7824449999999999E-3</v>
      </c>
      <c r="AA8535">
        <v>0.9999671</v>
      </c>
      <c r="AB8535">
        <v>23</v>
      </c>
      <c r="AC8535">
        <v>23.618600000000001</v>
      </c>
      <c r="AD8535">
        <v>-1.1198207106360001</v>
      </c>
      <c r="AE8535">
        <v>-1.5712699999999999</v>
      </c>
      <c r="AF8535">
        <v>0.18649751533890699</v>
      </c>
      <c r="AG8535">
        <v>-1.1198207106360001</v>
      </c>
      <c r="AH8535">
        <v>23.617213461814</v>
      </c>
      <c r="AI8535">
        <v>92.714587253618006</v>
      </c>
      <c r="AJ8535">
        <v>89.547563118033096</v>
      </c>
      <c r="AK8535">
        <v>23.644482473678401</v>
      </c>
      <c r="AL8535">
        <v>93.921608438771003</v>
      </c>
      <c r="AM8535">
        <v>92.067160399007307</v>
      </c>
      <c r="AN8535">
        <v>0.999999987210476</v>
      </c>
    </row>
    <row r="8536" spans="1:40" x14ac:dyDescent="0.25">
      <c r="A8536" t="str">
        <f>"20190303154011403"</f>
        <v>20190303154011403</v>
      </c>
      <c r="B8536" t="str">
        <f>"1551598811396972"</f>
        <v>1551598811396972</v>
      </c>
      <c r="C8536" t="s">
        <v>40</v>
      </c>
      <c r="D8536">
        <v>4.8762759999999998</v>
      </c>
      <c r="E8536">
        <v>0.51725710000000003</v>
      </c>
      <c r="F8536" t="s">
        <v>87</v>
      </c>
      <c r="G8536">
        <v>-248.10929999999999</v>
      </c>
      <c r="H8536" s="1">
        <v>-3.2275279999999999E-6</v>
      </c>
      <c r="I8536">
        <v>-63.731479999999998</v>
      </c>
      <c r="J8536">
        <v>-273.10849999999999</v>
      </c>
      <c r="K8536">
        <v>1.11981</v>
      </c>
      <c r="L8536">
        <v>-62.024929999999998</v>
      </c>
      <c r="M8536">
        <v>0.99816070000000001</v>
      </c>
      <c r="N8536">
        <v>-1.2703249999999999E-2</v>
      </c>
      <c r="O8536">
        <v>-5.9277940000000001E-2</v>
      </c>
      <c r="P8536">
        <v>0.99646539999999995</v>
      </c>
      <c r="Q8536">
        <v>-8.0969330000000006E-2</v>
      </c>
      <c r="R8536">
        <v>-2.237573E-2</v>
      </c>
      <c r="S8536">
        <v>2.9951479999999999</v>
      </c>
      <c r="T8536">
        <v>-0.13355919999999999</v>
      </c>
      <c r="U8536">
        <v>-0.20443729999999999</v>
      </c>
      <c r="V8536">
        <v>-3.6921570000000001E-2</v>
      </c>
      <c r="W8536">
        <v>-6.8210290000000007E-2</v>
      </c>
      <c r="X8536">
        <v>0.99698750000000003</v>
      </c>
      <c r="Y8536">
        <v>8.8514630000000004E-3</v>
      </c>
      <c r="Z8536">
        <v>1.63047E-3</v>
      </c>
      <c r="AA8536">
        <v>0.9999595</v>
      </c>
      <c r="AB8536">
        <v>23</v>
      </c>
      <c r="AC8536">
        <v>24.999199999999998</v>
      </c>
      <c r="AD8536">
        <v>-1.1198132275279999</v>
      </c>
      <c r="AE8536">
        <v>-1.70655</v>
      </c>
      <c r="AF8536">
        <v>0.221086384632286</v>
      </c>
      <c r="AG8536">
        <v>-1.1198132275279999</v>
      </c>
      <c r="AH8536">
        <v>25.006458453635801</v>
      </c>
      <c r="AI8536">
        <v>92.563946957717803</v>
      </c>
      <c r="AJ8536">
        <v>89.493451392418194</v>
      </c>
      <c r="AK8536">
        <v>25.0324953859465</v>
      </c>
      <c r="AL8536">
        <v>93.911198800779104</v>
      </c>
      <c r="AM8536">
        <v>92.120872978783694</v>
      </c>
      <c r="AN8536">
        <v>0.99999996057469798</v>
      </c>
    </row>
    <row r="8537" spans="1:40" x14ac:dyDescent="0.25">
      <c r="A8537" t="str">
        <f>"20190303154011415"</f>
        <v>20190303154011415</v>
      </c>
      <c r="B8537" t="str">
        <f>"1551598811406733"</f>
        <v>1551598811406733</v>
      </c>
      <c r="C8537" t="s">
        <v>40</v>
      </c>
      <c r="D8537">
        <v>4.8626050000000003</v>
      </c>
      <c r="E8537">
        <v>0.517675</v>
      </c>
      <c r="F8537" t="s">
        <v>87</v>
      </c>
      <c r="G8537">
        <v>-246.94229999999999</v>
      </c>
      <c r="H8537" s="1">
        <v>-2.849516E-6</v>
      </c>
      <c r="I8537">
        <v>-63.839120000000001</v>
      </c>
      <c r="J8537">
        <v>-272.99099999999999</v>
      </c>
      <c r="K8537">
        <v>1.119812</v>
      </c>
      <c r="L8537">
        <v>-62.03284</v>
      </c>
      <c r="M8537">
        <v>0.9981101</v>
      </c>
      <c r="N8537">
        <v>-1.284416E-2</v>
      </c>
      <c r="O8537">
        <v>-6.0095139999999998E-2</v>
      </c>
      <c r="P8537">
        <v>0.99644699999999997</v>
      </c>
      <c r="Q8537">
        <v>-8.1250790000000003E-2</v>
      </c>
      <c r="R8537">
        <v>-2.217682E-2</v>
      </c>
      <c r="S8537">
        <v>2.9956049999999999</v>
      </c>
      <c r="T8537">
        <v>-0.12820039999999999</v>
      </c>
      <c r="U8537">
        <v>-0.20770259999999999</v>
      </c>
      <c r="V8537">
        <v>-3.7935700000000003E-2</v>
      </c>
      <c r="W8537">
        <v>-6.8348880000000001E-2</v>
      </c>
      <c r="X8537">
        <v>0.99694000000000005</v>
      </c>
      <c r="Y8537">
        <v>9.10446E-3</v>
      </c>
      <c r="Z8537">
        <v>1.540535E-3</v>
      </c>
      <c r="AA8537">
        <v>0.9999574</v>
      </c>
      <c r="AB8537">
        <v>23</v>
      </c>
      <c r="AC8537">
        <v>26.0487</v>
      </c>
      <c r="AD8537">
        <v>-1.1198148495160001</v>
      </c>
      <c r="AE8537">
        <v>-1.8062799999999899</v>
      </c>
      <c r="AF8537">
        <v>0.237049618195775</v>
      </c>
      <c r="AG8537">
        <v>-1.1198148495160001</v>
      </c>
      <c r="AH8537">
        <v>26.062236247153699</v>
      </c>
      <c r="AI8537">
        <v>92.460210063528194</v>
      </c>
      <c r="AJ8537">
        <v>89.478879401994902</v>
      </c>
      <c r="AK8537">
        <v>26.087359698159101</v>
      </c>
      <c r="AL8537">
        <v>93.919157744613003</v>
      </c>
      <c r="AM8537">
        <v>92.179175613059599</v>
      </c>
      <c r="AN8537">
        <v>1.0000000251658701</v>
      </c>
    </row>
    <row r="8538" spans="1:40" x14ac:dyDescent="0.25">
      <c r="A8538" t="str">
        <f>"20190303154011426"</f>
        <v>20190303154011426</v>
      </c>
      <c r="B8538" t="str">
        <f>"1551598811416493"</f>
        <v>1551598811416493</v>
      </c>
      <c r="C8538" t="s">
        <v>40</v>
      </c>
      <c r="D8538">
        <v>4.8615979999999999</v>
      </c>
      <c r="E8538">
        <v>0.517675</v>
      </c>
      <c r="F8538" t="s">
        <v>87</v>
      </c>
      <c r="G8538">
        <v>-246.12450000000001</v>
      </c>
      <c r="H8538" s="1">
        <v>-2.5557829999999999E-6</v>
      </c>
      <c r="I8538">
        <v>-63.921190000000003</v>
      </c>
      <c r="J8538">
        <v>-272.87139999999999</v>
      </c>
      <c r="K8538">
        <v>1.1198170000000001</v>
      </c>
      <c r="L8538">
        <v>-62.040950000000002</v>
      </c>
      <c r="M8538">
        <v>0.99805770000000005</v>
      </c>
      <c r="N8538">
        <v>-1.297861E-2</v>
      </c>
      <c r="O8538">
        <v>-6.0931399999999997E-2</v>
      </c>
      <c r="P8538">
        <v>0.99638879999999996</v>
      </c>
      <c r="Q8538">
        <v>-8.1960720000000001E-2</v>
      </c>
      <c r="R8538">
        <v>-2.2184530000000001E-2</v>
      </c>
      <c r="S8538">
        <v>2.9957889999999998</v>
      </c>
      <c r="T8538">
        <v>-0.12486650000000001</v>
      </c>
      <c r="U8538">
        <v>-0.21057129999999999</v>
      </c>
      <c r="V8538">
        <v>-3.8760830000000003E-2</v>
      </c>
      <c r="W8538">
        <v>-6.8923579999999998E-2</v>
      </c>
      <c r="X8538">
        <v>0.99686870000000005</v>
      </c>
      <c r="Y8538">
        <v>9.2136820000000008E-3</v>
      </c>
      <c r="Z8538">
        <v>1.4908860000000001E-3</v>
      </c>
      <c r="AA8538">
        <v>0.99995639999999997</v>
      </c>
      <c r="AB8538">
        <v>23</v>
      </c>
      <c r="AC8538">
        <v>26.746899999999901</v>
      </c>
      <c r="AD8538">
        <v>-1.119819555783</v>
      </c>
      <c r="AE8538">
        <v>-1.8802399999999999</v>
      </c>
      <c r="AF8538">
        <v>0.246452834971849</v>
      </c>
      <c r="AG8538">
        <v>-1.119819555783</v>
      </c>
      <c r="AH8538">
        <v>26.765085055077101</v>
      </c>
      <c r="AI8538">
        <v>92.395689040072497</v>
      </c>
      <c r="AJ8538">
        <v>89.472435518175701</v>
      </c>
      <c r="AK8538">
        <v>26.789634429064002</v>
      </c>
      <c r="AL8538">
        <v>93.952163431640898</v>
      </c>
      <c r="AM8538">
        <v>92.226686213937398</v>
      </c>
      <c r="AN8538">
        <v>1.00000003343099</v>
      </c>
    </row>
    <row r="8539" spans="1:40" x14ac:dyDescent="0.25">
      <c r="A8539" t="str">
        <f>"20190303154011436"</f>
        <v>20190303154011436</v>
      </c>
      <c r="B8539" t="str">
        <f>"1551598811427229"</f>
        <v>1551598811427229</v>
      </c>
      <c r="C8539" t="s">
        <v>40</v>
      </c>
      <c r="D8539">
        <v>4.8920149999999998</v>
      </c>
      <c r="E8539">
        <v>0.52486449999999996</v>
      </c>
      <c r="F8539" t="s">
        <v>87</v>
      </c>
      <c r="G8539">
        <v>-246.45419999999999</v>
      </c>
      <c r="H8539" s="1">
        <v>-2.6909919999999999E-6</v>
      </c>
      <c r="I8539">
        <v>-63.897790000000001</v>
      </c>
      <c r="J8539">
        <v>-272.7611</v>
      </c>
      <c r="K8539">
        <v>1.1198250000000001</v>
      </c>
      <c r="L8539">
        <v>-62.048549999999999</v>
      </c>
      <c r="M8539">
        <v>0.99800869999999997</v>
      </c>
      <c r="N8539">
        <v>-1.3091179999999999E-2</v>
      </c>
      <c r="O8539">
        <v>-6.170436E-2</v>
      </c>
      <c r="P8539">
        <v>0.9963322</v>
      </c>
      <c r="Q8539">
        <v>-8.2723149999999995E-2</v>
      </c>
      <c r="R8539">
        <v>-2.1892990000000001E-2</v>
      </c>
      <c r="S8539">
        <v>2.9956969999999998</v>
      </c>
      <c r="T8539">
        <v>-0.12698670000000001</v>
      </c>
      <c r="U8539">
        <v>-0.21057129999999999</v>
      </c>
      <c r="V8539">
        <v>-3.9820460000000002E-2</v>
      </c>
      <c r="W8539">
        <v>-6.9572679999999998E-2</v>
      </c>
      <c r="X8539">
        <v>0.99678180000000005</v>
      </c>
      <c r="Y8539">
        <v>8.4432209999999903E-3</v>
      </c>
      <c r="Z8539">
        <v>1.567164E-3</v>
      </c>
      <c r="AA8539">
        <v>0.99996309999999999</v>
      </c>
      <c r="AB8539">
        <v>23</v>
      </c>
      <c r="AC8539">
        <v>26.306899999999999</v>
      </c>
      <c r="AD8539">
        <v>-1.119827690992</v>
      </c>
      <c r="AE8539">
        <v>-1.84924</v>
      </c>
      <c r="AF8539">
        <v>0.221926055792527</v>
      </c>
      <c r="AG8539">
        <v>-1.119827690992</v>
      </c>
      <c r="AH8539">
        <v>26.3234147481737</v>
      </c>
      <c r="AI8539">
        <v>92.435871705058105</v>
      </c>
      <c r="AJ8539">
        <v>89.516965210055304</v>
      </c>
      <c r="AK8539">
        <v>26.348157985637599</v>
      </c>
      <c r="AL8539">
        <v>93.989443780105105</v>
      </c>
      <c r="AM8539">
        <v>92.287693989793794</v>
      </c>
      <c r="AN8539">
        <v>0.99999999182411703</v>
      </c>
    </row>
    <row r="8540" spans="1:40" x14ac:dyDescent="0.25">
      <c r="A8540" t="str">
        <f>"20190303154011447"</f>
        <v>20190303154011447</v>
      </c>
      <c r="B8540" t="str">
        <f>"1551598811436989"</f>
        <v>1551598811436989</v>
      </c>
      <c r="C8540" t="s">
        <v>40</v>
      </c>
      <c r="D8540">
        <v>4.8628019999999896</v>
      </c>
      <c r="E8540">
        <v>0.52493590000000001</v>
      </c>
      <c r="F8540" t="s">
        <v>90</v>
      </c>
      <c r="G8540">
        <v>-212.15430000000001</v>
      </c>
      <c r="H8540" s="1">
        <v>-1.7816349999999999E-6</v>
      </c>
      <c r="I8540">
        <v>-67.480980000000002</v>
      </c>
      <c r="J8540">
        <v>-272.64449999999999</v>
      </c>
      <c r="K8540">
        <v>1.1198330000000001</v>
      </c>
      <c r="L8540">
        <v>-62.056640000000002</v>
      </c>
      <c r="M8540">
        <v>0.99795650000000002</v>
      </c>
      <c r="N8540">
        <v>-1.320616E-2</v>
      </c>
      <c r="O8540">
        <v>-6.2521519999999997E-2</v>
      </c>
      <c r="P8540">
        <v>0.99628110000000003</v>
      </c>
      <c r="Q8540">
        <v>-8.3297709999999997E-2</v>
      </c>
      <c r="R8540">
        <v>-2.204294E-2</v>
      </c>
      <c r="S8540">
        <v>3.0005190000000002</v>
      </c>
      <c r="T8540">
        <v>-5.544031E-2</v>
      </c>
      <c r="U8540">
        <v>-0.26895140000000001</v>
      </c>
      <c r="V8540">
        <v>-4.0483140000000001E-2</v>
      </c>
      <c r="W8540">
        <v>-7.0032399999999995E-2</v>
      </c>
      <c r="X8540">
        <v>0.99672289999999997</v>
      </c>
      <c r="Y8540">
        <v>2.6818129999999999E-2</v>
      </c>
      <c r="Z8540" s="1">
        <v>-9.830149E-5</v>
      </c>
      <c r="AA8540">
        <v>0.99964030000000004</v>
      </c>
      <c r="AB8540">
        <v>23</v>
      </c>
      <c r="AC8540">
        <v>60.490199999999902</v>
      </c>
      <c r="AD8540">
        <v>-1.1198347816350001</v>
      </c>
      <c r="AE8540">
        <v>-5.4243399999999999</v>
      </c>
      <c r="AF8540">
        <v>1.6309034777351501</v>
      </c>
      <c r="AG8540">
        <v>-1.1198347816350001</v>
      </c>
      <c r="AH8540">
        <v>60.690371006606497</v>
      </c>
      <c r="AI8540">
        <v>91.056697782005003</v>
      </c>
      <c r="AJ8540">
        <v>88.460688222846201</v>
      </c>
      <c r="AK8540">
        <v>60.722607066984402</v>
      </c>
      <c r="AL8540">
        <v>94.015848246675503</v>
      </c>
      <c r="AM8540">
        <v>92.325860919074302</v>
      </c>
      <c r="AN8540">
        <v>0.99999998052921402</v>
      </c>
    </row>
    <row r="8541" spans="1:40" x14ac:dyDescent="0.25">
      <c r="A8541" t="str">
        <f>"20190303154011459"</f>
        <v>20190303154011459</v>
      </c>
      <c r="B8541" t="str">
        <f>"1551598811456508"</f>
        <v>1551598811456508</v>
      </c>
      <c r="C8541" t="s">
        <v>40</v>
      </c>
      <c r="D8541">
        <v>4.8942670000000001</v>
      </c>
      <c r="E8541">
        <v>0.52509430000000001</v>
      </c>
      <c r="F8541" t="s">
        <v>90</v>
      </c>
      <c r="G8541">
        <v>-210.22720000000001</v>
      </c>
      <c r="H8541" s="1">
        <v>-1.0068850000000001E-6</v>
      </c>
      <c r="I8541">
        <v>-67.676349999999999</v>
      </c>
      <c r="J8541">
        <v>-272.53120000000001</v>
      </c>
      <c r="K8541">
        <v>1.1198459999999999</v>
      </c>
      <c r="L8541">
        <v>-62.0646699999999</v>
      </c>
      <c r="M8541">
        <v>0.99790520000000005</v>
      </c>
      <c r="N8541">
        <v>-1.3304969999999999E-2</v>
      </c>
      <c r="O8541">
        <v>-6.3311900000000004E-2</v>
      </c>
      <c r="P8541">
        <v>0.99623720000000004</v>
      </c>
      <c r="Q8541">
        <v>-8.3758470000000002E-2</v>
      </c>
      <c r="R8541">
        <v>-2.2275570000000001E-2</v>
      </c>
      <c r="S8541">
        <v>3.0007320000000002</v>
      </c>
      <c r="T8541">
        <v>-5.3836349999999998E-2</v>
      </c>
      <c r="U8541">
        <v>-0.27017210000000003</v>
      </c>
      <c r="V8541">
        <v>-4.1035780000000001E-2</v>
      </c>
      <c r="W8541">
        <v>-7.0395100000000002E-2</v>
      </c>
      <c r="X8541">
        <v>0.99667479999999997</v>
      </c>
      <c r="Y8541">
        <v>2.6423619999999998E-2</v>
      </c>
      <c r="Z8541">
        <v>-1.2228639999999999E-4</v>
      </c>
      <c r="AA8541">
        <v>0.99965079999999995</v>
      </c>
      <c r="AB8541">
        <v>23</v>
      </c>
      <c r="AC8541">
        <v>62.303999999999903</v>
      </c>
      <c r="AD8541">
        <v>-1.1198470068849999</v>
      </c>
      <c r="AE8541">
        <v>-5.6116799999999998</v>
      </c>
      <c r="AF8541">
        <v>1.6549560486094099</v>
      </c>
      <c r="AG8541">
        <v>-1.1198470068849999</v>
      </c>
      <c r="AH8541">
        <v>62.514267006661001</v>
      </c>
      <c r="AI8541">
        <v>91.025896709918499</v>
      </c>
      <c r="AJ8541">
        <v>88.4835484882462</v>
      </c>
      <c r="AK8541">
        <v>62.546195057907099</v>
      </c>
      <c r="AL8541">
        <v>94.036680637239897</v>
      </c>
      <c r="AM8541">
        <v>92.357689578016306</v>
      </c>
      <c r="AN8541">
        <v>1.00000003114962</v>
      </c>
    </row>
    <row r="8542" spans="1:40" x14ac:dyDescent="0.25">
      <c r="A8542" t="str">
        <f>"20190303154011471"</f>
        <v>20190303154011471</v>
      </c>
      <c r="B8542" t="str">
        <f>"1551598811467245"</f>
        <v>1551598811467245</v>
      </c>
      <c r="C8542" t="s">
        <v>40</v>
      </c>
      <c r="D8542">
        <v>4.9517790000000002</v>
      </c>
      <c r="E8542">
        <v>0.50631709999999996</v>
      </c>
      <c r="F8542" t="s">
        <v>63</v>
      </c>
      <c r="G8542">
        <v>-209.21350000000001</v>
      </c>
      <c r="H8542" s="1">
        <v>-2.2582619999999998E-6</v>
      </c>
      <c r="I8542">
        <v>-67.808520000000001</v>
      </c>
      <c r="J8542">
        <v>-272.4126</v>
      </c>
      <c r="K8542">
        <v>1.119864</v>
      </c>
      <c r="L8542">
        <v>-62.073090000000001</v>
      </c>
      <c r="M8542">
        <v>0.99785109999999999</v>
      </c>
      <c r="N8542">
        <v>-1.3405439999999999E-2</v>
      </c>
      <c r="O8542">
        <v>-6.413671E-2</v>
      </c>
      <c r="P8542">
        <v>0.99621389999999999</v>
      </c>
      <c r="Q8542">
        <v>-8.3925749999999993E-2</v>
      </c>
      <c r="R8542">
        <v>-2.2683869999999998E-2</v>
      </c>
      <c r="S8542">
        <v>3.0007929999999998</v>
      </c>
      <c r="T8542">
        <v>-5.3072569999999999E-2</v>
      </c>
      <c r="U8542">
        <v>-0.27221679999999998</v>
      </c>
      <c r="V8542">
        <v>-4.144809E-2</v>
      </c>
      <c r="W8542">
        <v>-7.0462789999999997E-2</v>
      </c>
      <c r="X8542">
        <v>0.99665289999999995</v>
      </c>
      <c r="Y8542">
        <v>2.627115E-2</v>
      </c>
      <c r="Z8542">
        <v>-1.368977E-4</v>
      </c>
      <c r="AA8542">
        <v>0.99965479999999995</v>
      </c>
      <c r="AB8542">
        <v>23</v>
      </c>
      <c r="AC8542">
        <v>63.199099999999902</v>
      </c>
      <c r="AD8542">
        <v>-1.119866258262</v>
      </c>
      <c r="AE8542">
        <v>-5.73543</v>
      </c>
      <c r="AF8542">
        <v>1.6693529286731501</v>
      </c>
      <c r="AG8542">
        <v>-1.119866258262</v>
      </c>
      <c r="AH8542">
        <v>63.417092563411202</v>
      </c>
      <c r="AI8542">
        <v>91.011316157555498</v>
      </c>
      <c r="AJ8542">
        <v>88.492129002791501</v>
      </c>
      <c r="AK8542">
        <v>63.448943796040702</v>
      </c>
      <c r="AL8542">
        <v>94.040568866306103</v>
      </c>
      <c r="AM8542">
        <v>92.381403766884702</v>
      </c>
      <c r="AN8542">
        <v>0.99999997600881996</v>
      </c>
    </row>
    <row r="8543" spans="1:40" x14ac:dyDescent="0.25">
      <c r="A8543" t="str">
        <f>"20190303154011481"</f>
        <v>20190303154011481</v>
      </c>
      <c r="B8543" t="str">
        <f>"1551598811477004"</f>
        <v>1551598811477004</v>
      </c>
      <c r="C8543" t="s">
        <v>40</v>
      </c>
      <c r="D8543">
        <v>4.8990289999999996</v>
      </c>
      <c r="E8543">
        <v>0.50206170000000006</v>
      </c>
      <c r="F8543" t="s">
        <v>88</v>
      </c>
      <c r="G8543">
        <v>-235.3809</v>
      </c>
      <c r="H8543" s="1">
        <v>-2.1482309999999998E-6</v>
      </c>
      <c r="I8543">
        <v>-63.588389999999997</v>
      </c>
      <c r="J8543">
        <v>-272.29590000000002</v>
      </c>
      <c r="K8543">
        <v>1.119882</v>
      </c>
      <c r="L8543">
        <v>-62.081539999999997</v>
      </c>
      <c r="M8543">
        <v>0.99779810000000002</v>
      </c>
      <c r="N8543">
        <v>-1.349359E-2</v>
      </c>
      <c r="O8543">
        <v>-6.4940159999999997E-2</v>
      </c>
      <c r="P8543">
        <v>0.99617</v>
      </c>
      <c r="Q8543">
        <v>-8.427548E-2</v>
      </c>
      <c r="R8543">
        <v>-2.3313339999999998E-2</v>
      </c>
      <c r="S8543">
        <v>3.001007</v>
      </c>
      <c r="T8543">
        <v>-9.0752600000000003E-2</v>
      </c>
      <c r="U8543">
        <v>-0.1228027</v>
      </c>
      <c r="V8543">
        <v>-4.1616979999999998E-2</v>
      </c>
      <c r="W8543">
        <v>-7.0726150000000002E-2</v>
      </c>
      <c r="X8543">
        <v>0.99662720000000005</v>
      </c>
      <c r="Y8543">
        <v>-2.4066859999999999E-2</v>
      </c>
      <c r="Z8543">
        <v>1.6104540000000001E-3</v>
      </c>
      <c r="AA8543">
        <v>0.99970910000000002</v>
      </c>
      <c r="AB8543">
        <v>23</v>
      </c>
      <c r="AC8543">
        <v>36.914999999999999</v>
      </c>
      <c r="AD8543">
        <v>-1.119884148231</v>
      </c>
      <c r="AE8543">
        <v>-1.50685</v>
      </c>
      <c r="AF8543">
        <v>-0.89299468162136897</v>
      </c>
      <c r="AG8543">
        <v>-1.119884148231</v>
      </c>
      <c r="AH8543">
        <v>36.901023753612002</v>
      </c>
      <c r="AI8543">
        <v>91.737788762170993</v>
      </c>
      <c r="AJ8543">
        <v>91.386271622261205</v>
      </c>
      <c r="AK8543">
        <v>36.928811706735203</v>
      </c>
      <c r="AL8543">
        <v>94.055696054286301</v>
      </c>
      <c r="AM8543">
        <v>92.391157704914207</v>
      </c>
      <c r="AN8543">
        <v>0.99999996854899098</v>
      </c>
    </row>
    <row r="8544" spans="1:40" x14ac:dyDescent="0.25">
      <c r="A8544" t="str">
        <f>"20190303154011505"</f>
        <v>20190303154011505</v>
      </c>
      <c r="B8544" t="str">
        <f>"1551598811496528"</f>
        <v>1551598811496528</v>
      </c>
      <c r="C8544" t="s">
        <v>40</v>
      </c>
      <c r="D8544">
        <v>4.926113</v>
      </c>
      <c r="E8544">
        <v>0.49952639999999998</v>
      </c>
      <c r="F8544" t="s">
        <v>89</v>
      </c>
      <c r="G8544">
        <v>-229.7929</v>
      </c>
      <c r="H8544" s="1">
        <v>-3.7406010000000001E-6</v>
      </c>
      <c r="I8544">
        <v>-63.370989999999999</v>
      </c>
      <c r="J8544">
        <v>-272.06369999999998</v>
      </c>
      <c r="K8544">
        <v>1.1199190000000001</v>
      </c>
      <c r="L8544">
        <v>-62.098509999999997</v>
      </c>
      <c r="M8544">
        <v>0.99769160000000001</v>
      </c>
      <c r="N8544">
        <v>-1.365361E-2</v>
      </c>
      <c r="O8544">
        <v>-6.6520689999999993E-2</v>
      </c>
      <c r="P8544">
        <v>0.99606930000000005</v>
      </c>
      <c r="Q8544">
        <v>-8.5020419999999999E-2</v>
      </c>
      <c r="R8544">
        <v>-2.4854029999999999E-2</v>
      </c>
      <c r="S8544">
        <v>3.0026860000000002</v>
      </c>
      <c r="T8544">
        <v>-7.9115989999999997E-2</v>
      </c>
      <c r="U8544">
        <v>-9.1094969999999997E-2</v>
      </c>
      <c r="V8544">
        <v>-4.1646589999999997E-2</v>
      </c>
      <c r="W8544">
        <v>-7.1315489999999995E-2</v>
      </c>
      <c r="X8544">
        <v>0.99658400000000003</v>
      </c>
      <c r="Y8544">
        <v>-3.6215219999999999E-2</v>
      </c>
      <c r="Z8544">
        <v>1.566139E-3</v>
      </c>
      <c r="AA8544">
        <v>0.99934279999999998</v>
      </c>
      <c r="AB8544">
        <v>23</v>
      </c>
      <c r="AC8544">
        <v>42.270799999999902</v>
      </c>
      <c r="AD8544">
        <v>-1.1199227406009999</v>
      </c>
      <c r="AE8544">
        <v>-1.2724800000000001</v>
      </c>
      <c r="AF8544">
        <v>-1.5414030142855699</v>
      </c>
      <c r="AG8544">
        <v>-1.1199227406009999</v>
      </c>
      <c r="AH8544">
        <v>42.232191479233599</v>
      </c>
      <c r="AI8544">
        <v>91.518016066569501</v>
      </c>
      <c r="AJ8544">
        <v>92.090270467116895</v>
      </c>
      <c r="AK8544">
        <v>42.2751481054297</v>
      </c>
      <c r="AL8544">
        <v>94.089548090527501</v>
      </c>
      <c r="AM8544">
        <v>92.392960614322007</v>
      </c>
      <c r="AN8544">
        <v>1.00000000331428</v>
      </c>
    </row>
    <row r="8545" spans="1:40" x14ac:dyDescent="0.25">
      <c r="A8545" t="str">
        <f>"20190303154011516"</f>
        <v>20190303154011516</v>
      </c>
      <c r="B8545" t="str">
        <f>"1551598811507261"</f>
        <v>1551598811507261</v>
      </c>
      <c r="C8545" t="s">
        <v>40</v>
      </c>
      <c r="D8545">
        <v>4.9035390000000003</v>
      </c>
      <c r="E8545">
        <v>0.49890489999999998</v>
      </c>
      <c r="F8545" t="s">
        <v>89</v>
      </c>
      <c r="G8545">
        <v>-229.3622</v>
      </c>
      <c r="H8545" s="1">
        <v>-3.5674470000000002E-6</v>
      </c>
      <c r="I8545">
        <v>-63.171999999999997</v>
      </c>
      <c r="J8545">
        <v>-271.94830000000002</v>
      </c>
      <c r="K8545">
        <v>1.119936</v>
      </c>
      <c r="L8545">
        <v>-62.107120000000002</v>
      </c>
      <c r="M8545">
        <v>0.99763880000000005</v>
      </c>
      <c r="N8545">
        <v>-1.3723900000000001E-2</v>
      </c>
      <c r="O8545">
        <v>-6.7293950000000005E-2</v>
      </c>
      <c r="P8545">
        <v>0.99600259999999996</v>
      </c>
      <c r="Q8545">
        <v>-8.5538069999999994E-2</v>
      </c>
      <c r="R8545">
        <v>-2.5731380000000002E-2</v>
      </c>
      <c r="S8545">
        <v>3.0032350000000001</v>
      </c>
      <c r="T8545">
        <v>-7.8765269999999998E-2</v>
      </c>
      <c r="U8545">
        <v>-7.5500490000000003E-2</v>
      </c>
      <c r="V8545">
        <v>-4.1536419999999998E-2</v>
      </c>
      <c r="W8545">
        <v>-7.1765460000000003E-2</v>
      </c>
      <c r="X8545">
        <v>0.99655629999999995</v>
      </c>
      <c r="Y8545">
        <v>-4.2176930000000001E-2</v>
      </c>
      <c r="Z8545">
        <v>1.681325E-3</v>
      </c>
      <c r="AA8545">
        <v>0.99910869999999996</v>
      </c>
      <c r="AB8545">
        <v>23</v>
      </c>
      <c r="AC8545">
        <v>42.586100000000002</v>
      </c>
      <c r="AD8545">
        <v>-1.1199395674470001</v>
      </c>
      <c r="AE8545">
        <v>-1.06488</v>
      </c>
      <c r="AF8545">
        <v>-1.8023454203220399</v>
      </c>
      <c r="AG8545">
        <v>-1.1199395674470001</v>
      </c>
      <c r="AH8545">
        <v>42.531817532983503</v>
      </c>
      <c r="AI8545">
        <v>91.507000927625199</v>
      </c>
      <c r="AJ8545">
        <v>92.426537218687997</v>
      </c>
      <c r="AK8545">
        <v>42.584718107648598</v>
      </c>
      <c r="AL8545">
        <v>94.115395685734498</v>
      </c>
      <c r="AM8545">
        <v>92.386703976054903</v>
      </c>
      <c r="AN8545">
        <v>1.0000000072525499</v>
      </c>
    </row>
    <row r="8546" spans="1:40" x14ac:dyDescent="0.25">
      <c r="A8546" t="str">
        <f>"20190303154011527"</f>
        <v>20190303154011527</v>
      </c>
      <c r="B8546" t="str">
        <f>"1551598811517021"</f>
        <v>1551598811517021</v>
      </c>
      <c r="C8546" t="s">
        <v>40</v>
      </c>
      <c r="D8546">
        <v>4.9588299999999998</v>
      </c>
      <c r="E8546">
        <v>0.49762580000000001</v>
      </c>
      <c r="F8546" t="s">
        <v>89</v>
      </c>
      <c r="G8546">
        <v>-229.5966</v>
      </c>
      <c r="H8546" s="1">
        <v>-3.6428730000000002E-6</v>
      </c>
      <c r="I8546">
        <v>-63.139499999999998</v>
      </c>
      <c r="J8546">
        <v>-271.83100000000002</v>
      </c>
      <c r="K8546">
        <v>1.119953</v>
      </c>
      <c r="L8546">
        <v>-62.11591</v>
      </c>
      <c r="M8546">
        <v>0.9975851</v>
      </c>
      <c r="N8546">
        <v>-1.379146E-2</v>
      </c>
      <c r="O8546">
        <v>-6.8073259999999997E-2</v>
      </c>
      <c r="P8546">
        <v>0.99590429999999996</v>
      </c>
      <c r="Q8546">
        <v>-8.6292770000000005E-2</v>
      </c>
      <c r="R8546">
        <v>-2.6988890000000001E-2</v>
      </c>
      <c r="S8546">
        <v>3.0033569999999998</v>
      </c>
      <c r="T8546">
        <v>-7.9420329999999997E-2</v>
      </c>
      <c r="U8546">
        <v>-7.3211670000000006E-2</v>
      </c>
      <c r="V8546">
        <v>-4.1051570000000003E-2</v>
      </c>
      <c r="W8546">
        <v>-7.2456199999999998E-2</v>
      </c>
      <c r="X8546">
        <v>0.99652640000000003</v>
      </c>
      <c r="Y8546">
        <v>-4.3718029999999998E-2</v>
      </c>
      <c r="Z8546">
        <v>1.73818E-3</v>
      </c>
      <c r="AA8546">
        <v>0.9990424</v>
      </c>
      <c r="AB8546">
        <v>23</v>
      </c>
      <c r="AC8546">
        <v>42.234399999999901</v>
      </c>
      <c r="AD8546">
        <v>-1.1199566428729999</v>
      </c>
      <c r="AE8546">
        <v>-1.02358999999999</v>
      </c>
      <c r="AF8546">
        <v>-1.85278921698412</v>
      </c>
      <c r="AG8546">
        <v>-1.1199566428729999</v>
      </c>
      <c r="AH8546">
        <v>42.1764565628092</v>
      </c>
      <c r="AI8546">
        <v>91.519613899888</v>
      </c>
      <c r="AJ8546">
        <v>92.515355790311403</v>
      </c>
      <c r="AK8546">
        <v>42.231985733079298</v>
      </c>
      <c r="AL8546">
        <v>94.155075508250206</v>
      </c>
      <c r="AM8546">
        <v>92.358946598890398</v>
      </c>
      <c r="AN8546">
        <v>0.99999999910743198</v>
      </c>
    </row>
    <row r="8547" spans="1:40" x14ac:dyDescent="0.25">
      <c r="A8547" t="str">
        <f>"20190303154011538"</f>
        <v>20190303154011538</v>
      </c>
      <c r="B8547" t="str">
        <f>"1551598811526780"</f>
        <v>1551598811526780</v>
      </c>
      <c r="C8547" t="s">
        <v>40</v>
      </c>
      <c r="D8547">
        <v>4.9169369999999999</v>
      </c>
      <c r="E8547">
        <v>0.4972858</v>
      </c>
      <c r="F8547" t="s">
        <v>88</v>
      </c>
      <c r="G8547">
        <v>-233.1944</v>
      </c>
      <c r="H8547" s="1">
        <v>-1.046681E-6</v>
      </c>
      <c r="I8547">
        <v>-62.973770000000002</v>
      </c>
      <c r="J8547">
        <v>-271.71949999999998</v>
      </c>
      <c r="K8547">
        <v>1.119969</v>
      </c>
      <c r="L8547">
        <v>-62.124360000000003</v>
      </c>
      <c r="M8547">
        <v>0.99753449999999999</v>
      </c>
      <c r="N8547">
        <v>-1.384875E-2</v>
      </c>
      <c r="O8547">
        <v>-6.8799810000000003E-2</v>
      </c>
      <c r="P8547">
        <v>0.9958264</v>
      </c>
      <c r="Q8547">
        <v>-8.686207E-2</v>
      </c>
      <c r="R8547">
        <v>-2.8018769999999998E-2</v>
      </c>
      <c r="S8547">
        <v>3.0029910000000002</v>
      </c>
      <c r="T8547">
        <v>-8.7047100000000002E-2</v>
      </c>
      <c r="U8547">
        <v>-6.6680909999999996E-2</v>
      </c>
      <c r="V8547">
        <v>-4.0742109999999998E-2</v>
      </c>
      <c r="W8547">
        <v>-7.2971159999999993E-2</v>
      </c>
      <c r="X8547">
        <v>0.99650150000000004</v>
      </c>
      <c r="Y8547">
        <v>-4.660595E-2</v>
      </c>
      <c r="Z8547">
        <v>2.0368230000000001E-3</v>
      </c>
      <c r="AA8547">
        <v>0.99891129999999995</v>
      </c>
      <c r="AB8547">
        <v>23</v>
      </c>
      <c r="AC8547">
        <v>38.525099999999902</v>
      </c>
      <c r="AD8547">
        <v>-1.1199700466810001</v>
      </c>
      <c r="AE8547">
        <v>-0.849409999999998</v>
      </c>
      <c r="AF8547">
        <v>-1.80185440144723</v>
      </c>
      <c r="AG8547">
        <v>-1.1199700466810001</v>
      </c>
      <c r="AH8547">
        <v>38.459753735267803</v>
      </c>
      <c r="AI8547">
        <v>91.666187938179704</v>
      </c>
      <c r="AJ8547">
        <v>92.682368110459606</v>
      </c>
      <c r="AK8547">
        <v>38.5182251611743</v>
      </c>
      <c r="AL8547">
        <v>94.1846589572786</v>
      </c>
      <c r="AM8547">
        <v>92.341242394331303</v>
      </c>
      <c r="AN8547">
        <v>0.99999997461062295</v>
      </c>
    </row>
    <row r="8548" spans="1:40" x14ac:dyDescent="0.25">
      <c r="A8548" t="str">
        <f>"20190303154011548"</f>
        <v>20190303154011548</v>
      </c>
      <c r="B8548" t="str">
        <f>"1551598811536541"</f>
        <v>1551598811536541</v>
      </c>
      <c r="C8548" t="s">
        <v>40</v>
      </c>
      <c r="D8548">
        <v>4.898739</v>
      </c>
      <c r="E8548">
        <v>0.49690220000000002</v>
      </c>
      <c r="F8548" t="s">
        <v>88</v>
      </c>
      <c r="G8548">
        <v>-232.83189999999999</v>
      </c>
      <c r="H8548" s="1">
        <v>-8.9638459999999899E-7</v>
      </c>
      <c r="I8548">
        <v>-62.993270000000003</v>
      </c>
      <c r="J8548">
        <v>-271.61290000000002</v>
      </c>
      <c r="K8548">
        <v>1.119985</v>
      </c>
      <c r="L8548">
        <v>-62.132480000000001</v>
      </c>
      <c r="M8548">
        <v>0.99748570000000003</v>
      </c>
      <c r="N8548">
        <v>-1.3902309999999999E-2</v>
      </c>
      <c r="O8548">
        <v>-6.9492600000000002E-2</v>
      </c>
      <c r="P8548">
        <v>0.99572959999999999</v>
      </c>
      <c r="Q8548">
        <v>-8.7589790000000001E-2</v>
      </c>
      <c r="R8548">
        <v>-2.917347E-2</v>
      </c>
      <c r="S8548">
        <v>3.003174</v>
      </c>
      <c r="T8548">
        <v>-8.6491819999999997E-2</v>
      </c>
      <c r="U8548">
        <v>-6.7108150000000005E-2</v>
      </c>
      <c r="V8548">
        <v>-4.027443E-2</v>
      </c>
      <c r="W8548">
        <v>-7.3648679999999994E-2</v>
      </c>
      <c r="X8548">
        <v>0.99647070000000004</v>
      </c>
      <c r="Y8548">
        <v>-4.7159189999999997E-2</v>
      </c>
      <c r="Z8548">
        <v>2.0392689999999998E-3</v>
      </c>
      <c r="AA8548">
        <v>0.99888529999999998</v>
      </c>
      <c r="AB8548">
        <v>23</v>
      </c>
      <c r="AC8548">
        <v>38.780999999999999</v>
      </c>
      <c r="AD8548">
        <v>-1.1199858963846001</v>
      </c>
      <c r="AE8548">
        <v>-0.86078999999998695</v>
      </c>
      <c r="AF8548">
        <v>-1.83501436963986</v>
      </c>
      <c r="AG8548">
        <v>-1.1199858963846001</v>
      </c>
      <c r="AH8548">
        <v>38.714778049528597</v>
      </c>
      <c r="AI8548">
        <v>91.655199243365402</v>
      </c>
      <c r="AJ8548">
        <v>92.713691134734503</v>
      </c>
      <c r="AK8548">
        <v>38.7744205059102</v>
      </c>
      <c r="AL8548">
        <v>94.223582594868901</v>
      </c>
      <c r="AM8548">
        <v>92.314468049177293</v>
      </c>
      <c r="AN8548">
        <v>1.0000000068680199</v>
      </c>
    </row>
    <row r="8549" spans="1:40" x14ac:dyDescent="0.25">
      <c r="A8549" t="str">
        <f>"20190303154011560"</f>
        <v>20190303154011560</v>
      </c>
      <c r="B8549" t="str">
        <f>"1551598811557037"</f>
        <v>1551598811557037</v>
      </c>
      <c r="C8549" t="s">
        <v>40</v>
      </c>
      <c r="D8549">
        <v>4.8993419999999999</v>
      </c>
      <c r="E8549">
        <v>0.49628949999999999</v>
      </c>
      <c r="F8549" t="s">
        <v>88</v>
      </c>
      <c r="G8549">
        <v>-232.66380000000001</v>
      </c>
      <c r="H8549" s="1">
        <v>-8.2848329999999997E-7</v>
      </c>
      <c r="I8549">
        <v>-63.009070000000001</v>
      </c>
      <c r="J8549">
        <v>-271.49520000000001</v>
      </c>
      <c r="K8549">
        <v>1.120007</v>
      </c>
      <c r="L8549">
        <v>-62.141570000000002</v>
      </c>
      <c r="M8549">
        <v>0.99743320000000002</v>
      </c>
      <c r="N8549">
        <v>-1.395398E-2</v>
      </c>
      <c r="O8549">
        <v>-7.0233569999999995E-2</v>
      </c>
      <c r="P8549">
        <v>0.99567689999999998</v>
      </c>
      <c r="Q8549">
        <v>-8.7703619999999996E-2</v>
      </c>
      <c r="R8549">
        <v>-3.0592589999999999E-2</v>
      </c>
      <c r="S8549">
        <v>3.0032960000000002</v>
      </c>
      <c r="T8549">
        <v>-8.6360220000000001E-2</v>
      </c>
      <c r="U8549">
        <v>-6.7596439999999994E-2</v>
      </c>
      <c r="V8549">
        <v>-3.9590479999999997E-2</v>
      </c>
      <c r="W8549">
        <v>-7.3714299999999996E-2</v>
      </c>
      <c r="X8549">
        <v>0.99649319999999997</v>
      </c>
      <c r="Y8549">
        <v>-4.7739549999999999E-2</v>
      </c>
      <c r="Z8549">
        <v>2.0559900000000002E-3</v>
      </c>
      <c r="AA8549">
        <v>0.99885769999999996</v>
      </c>
      <c r="AB8549">
        <v>23</v>
      </c>
      <c r="AC8549">
        <v>38.831400000000002</v>
      </c>
      <c r="AD8549">
        <v>-1.1200078284832999</v>
      </c>
      <c r="AE8549">
        <v>-0.86749999999999905</v>
      </c>
      <c r="AF8549">
        <v>-1.86062832634036</v>
      </c>
      <c r="AG8549">
        <v>-1.1200078284832999</v>
      </c>
      <c r="AH8549">
        <v>38.764191401696998</v>
      </c>
      <c r="AI8549">
        <v>91.653075655139304</v>
      </c>
      <c r="AJ8549">
        <v>92.748010228036406</v>
      </c>
      <c r="AK8549">
        <v>38.824977660419101</v>
      </c>
      <c r="AL8549">
        <v>94.227352828481202</v>
      </c>
      <c r="AM8549">
        <v>92.275153543327704</v>
      </c>
      <c r="AN8549">
        <v>0.99999995088867899</v>
      </c>
    </row>
    <row r="8550" spans="1:40" x14ac:dyDescent="0.25">
      <c r="A8550" t="str">
        <f>"20190303154011571"</f>
        <v>20190303154011571</v>
      </c>
      <c r="B8550" t="str">
        <f>"1551598811566800"</f>
        <v>1551598811566800</v>
      </c>
      <c r="C8550" t="s">
        <v>40</v>
      </c>
      <c r="D8550">
        <v>4.9244430000000001</v>
      </c>
      <c r="E8550">
        <v>0.49612800000000001</v>
      </c>
      <c r="F8550" t="s">
        <v>88</v>
      </c>
      <c r="G8550">
        <v>-230.54810000000001</v>
      </c>
      <c r="H8550" s="1">
        <v>6.6261690000000002E-8</v>
      </c>
      <c r="I8550">
        <v>-63.057589999999998</v>
      </c>
      <c r="J8550">
        <v>-271.38279999999997</v>
      </c>
      <c r="K8550">
        <v>1.1200270000000001</v>
      </c>
      <c r="L8550">
        <v>-62.1502699999999</v>
      </c>
      <c r="M8550">
        <v>0.99738280000000001</v>
      </c>
      <c r="N8550">
        <v>-1.400184E-2</v>
      </c>
      <c r="O8550">
        <v>-7.0934449999999996E-2</v>
      </c>
      <c r="P8550">
        <v>0.99558630000000004</v>
      </c>
      <c r="Q8550">
        <v>-8.8218550000000007E-2</v>
      </c>
      <c r="R8550">
        <v>-3.2030669999999997E-2</v>
      </c>
      <c r="S8550">
        <v>3.0037229999999999</v>
      </c>
      <c r="T8550">
        <v>-8.2159399999999994E-2</v>
      </c>
      <c r="U8550">
        <v>-6.7199709999999996E-2</v>
      </c>
      <c r="V8550">
        <v>-3.8846430000000001E-2</v>
      </c>
      <c r="W8550">
        <v>-7.4185340000000002E-2</v>
      </c>
      <c r="X8550">
        <v>0.99648760000000003</v>
      </c>
      <c r="Y8550">
        <v>-4.8579749999999998E-2</v>
      </c>
      <c r="Z8550">
        <v>1.948593E-3</v>
      </c>
      <c r="AA8550">
        <v>0.99881739999999997</v>
      </c>
      <c r="AB8550">
        <v>23</v>
      </c>
      <c r="AC8550">
        <v>40.834699999999899</v>
      </c>
      <c r="AD8550">
        <v>-1.12002693373831</v>
      </c>
      <c r="AE8550">
        <v>-0.90732000000001201</v>
      </c>
      <c r="AF8550">
        <v>-1.99034006898296</v>
      </c>
      <c r="AG8550">
        <v>-1.12002693373831</v>
      </c>
      <c r="AH8550">
        <v>40.765529635024102</v>
      </c>
      <c r="AI8550">
        <v>91.571925680147203</v>
      </c>
      <c r="AJ8550">
        <v>92.795194905733496</v>
      </c>
      <c r="AK8550">
        <v>40.829454078477802</v>
      </c>
      <c r="AL8550">
        <v>94.254415223767495</v>
      </c>
      <c r="AM8550">
        <v>92.232451291636494</v>
      </c>
      <c r="AN8550">
        <v>1.0000000233742099</v>
      </c>
    </row>
    <row r="8551" spans="1:40" x14ac:dyDescent="0.25">
      <c r="A8551" t="str">
        <f>"20190303154011583"</f>
        <v>20190303154011583</v>
      </c>
      <c r="B8551" t="str">
        <f>"1551598811576556"</f>
        <v>1551598811576556</v>
      </c>
      <c r="C8551" t="s">
        <v>40</v>
      </c>
      <c r="D8551">
        <v>4.9131999999999998</v>
      </c>
      <c r="E8551">
        <v>0.49600529999999998</v>
      </c>
      <c r="F8551" t="s">
        <v>88</v>
      </c>
      <c r="G8551">
        <v>-230.39439999999999</v>
      </c>
      <c r="H8551" s="1">
        <v>1.183092E-7</v>
      </c>
      <c r="I8551">
        <v>-63.109670000000001</v>
      </c>
      <c r="J8551">
        <v>-271.26260000000002</v>
      </c>
      <c r="K8551">
        <v>1.120058</v>
      </c>
      <c r="L8551">
        <v>-62.159700000000001</v>
      </c>
      <c r="M8551">
        <v>0.99733050000000001</v>
      </c>
      <c r="N8551">
        <v>-1.4047260000000001E-2</v>
      </c>
      <c r="O8551">
        <v>-7.1655679999999999E-2</v>
      </c>
      <c r="P8551">
        <v>0.99548230000000004</v>
      </c>
      <c r="Q8551">
        <v>-8.8927320000000004E-2</v>
      </c>
      <c r="R8551">
        <v>-3.3268859999999997E-2</v>
      </c>
      <c r="S8551">
        <v>3.0037539999999998</v>
      </c>
      <c r="T8551">
        <v>-8.2079050000000001E-2</v>
      </c>
      <c r="U8551">
        <v>-7.03125E-2</v>
      </c>
      <c r="V8551">
        <v>-3.832087E-2</v>
      </c>
      <c r="W8551">
        <v>-7.4853089999999997E-2</v>
      </c>
      <c r="X8551">
        <v>0.99645799999999995</v>
      </c>
      <c r="Y8551">
        <v>-4.8267959999999999E-2</v>
      </c>
      <c r="Z8551">
        <v>1.946913E-3</v>
      </c>
      <c r="AA8551">
        <v>0.99883250000000001</v>
      </c>
      <c r="AB8551">
        <v>23</v>
      </c>
      <c r="AC8551">
        <v>40.868200000000002</v>
      </c>
      <c r="AD8551">
        <v>-1.1200578816908</v>
      </c>
      <c r="AE8551">
        <v>-0.94996999999999299</v>
      </c>
      <c r="AF8551">
        <v>-1.9797138965777901</v>
      </c>
      <c r="AG8551">
        <v>-1.1200578816908</v>
      </c>
      <c r="AH8551">
        <v>40.800572426997398</v>
      </c>
      <c r="AI8551">
        <v>91.570642686392205</v>
      </c>
      <c r="AJ8551">
        <v>92.777910996211006</v>
      </c>
      <c r="AK8551">
        <v>40.863926722003796</v>
      </c>
      <c r="AL8551">
        <v>94.292781211527199</v>
      </c>
      <c r="AM8551">
        <v>92.202343373793596</v>
      </c>
      <c r="AN8551">
        <v>1.0000000099620501</v>
      </c>
    </row>
    <row r="8552" spans="1:40" x14ac:dyDescent="0.25">
      <c r="A8552" t="str">
        <f>"20190303154011594"</f>
        <v>20190303154011594</v>
      </c>
      <c r="B8552" t="str">
        <f>"1551598811587293"</f>
        <v>1551598811587293</v>
      </c>
      <c r="C8552" t="s">
        <v>40</v>
      </c>
      <c r="D8552">
        <v>4.8984040000000002</v>
      </c>
      <c r="E8552">
        <v>0.49588379999999999</v>
      </c>
      <c r="F8552" t="s">
        <v>88</v>
      </c>
      <c r="G8552">
        <v>-230.87010000000001</v>
      </c>
      <c r="H8552" s="1">
        <v>-9.4614049999999999E-8</v>
      </c>
      <c r="I8552">
        <v>-63.142919999999997</v>
      </c>
      <c r="J8552">
        <v>-271.15440000000001</v>
      </c>
      <c r="K8552">
        <v>1.1200859999999999</v>
      </c>
      <c r="L8552">
        <v>-62.168210000000002</v>
      </c>
      <c r="M8552">
        <v>0.99728419999999895</v>
      </c>
      <c r="N8552">
        <v>-1.408585E-2</v>
      </c>
      <c r="O8552">
        <v>-7.229199E-2</v>
      </c>
      <c r="P8552">
        <v>0.99540150000000005</v>
      </c>
      <c r="Q8552">
        <v>-8.9363059999999994E-2</v>
      </c>
      <c r="R8552">
        <v>-3.4503029999999997E-2</v>
      </c>
      <c r="S8552">
        <v>3.0037229999999999</v>
      </c>
      <c r="T8552">
        <v>-8.3291290000000004E-2</v>
      </c>
      <c r="U8552">
        <v>-7.3120119999999997E-2</v>
      </c>
      <c r="V8552">
        <v>-3.7714869999999998E-2</v>
      </c>
      <c r="W8552">
        <v>-7.5254299999999996E-2</v>
      </c>
      <c r="X8552">
        <v>0.99645090000000003</v>
      </c>
      <c r="Y8552">
        <v>-4.7971010000000001E-2</v>
      </c>
      <c r="Z8552">
        <v>1.986083E-3</v>
      </c>
      <c r="AA8552">
        <v>0.99884680000000003</v>
      </c>
      <c r="AB8552">
        <v>23</v>
      </c>
      <c r="AC8552">
        <v>40.284300000000002</v>
      </c>
      <c r="AD8552">
        <v>-1.1200860946140501</v>
      </c>
      <c r="AE8552">
        <v>-0.97471000000000096</v>
      </c>
      <c r="AF8552">
        <v>-1.93886348253298</v>
      </c>
      <c r="AG8552">
        <v>-1.1200860946140501</v>
      </c>
      <c r="AH8552">
        <v>40.218272138458701</v>
      </c>
      <c r="AI8552">
        <v>91.593435781196106</v>
      </c>
      <c r="AJ8552">
        <v>92.760008063803397</v>
      </c>
      <c r="AK8552">
        <v>40.280556081891099</v>
      </c>
      <c r="AL8552">
        <v>94.315833877215695</v>
      </c>
      <c r="AM8552">
        <v>92.167564790339199</v>
      </c>
      <c r="AN8552">
        <v>1.0000000085992</v>
      </c>
    </row>
    <row r="8553" spans="1:40" x14ac:dyDescent="0.25">
      <c r="A8553" t="str">
        <f>"20190303154011604"</f>
        <v>20190303154011604</v>
      </c>
      <c r="B8553" t="str">
        <f>"1551598811597053"</f>
        <v>1551598811597053</v>
      </c>
      <c r="C8553" t="s">
        <v>40</v>
      </c>
      <c r="D8553">
        <v>4.9121980000000001</v>
      </c>
      <c r="E8553">
        <v>0.4956778</v>
      </c>
      <c r="F8553" t="s">
        <v>88</v>
      </c>
      <c r="G8553">
        <v>-231.16839999999999</v>
      </c>
      <c r="H8553" s="1">
        <v>-2.3181410000000001E-7</v>
      </c>
      <c r="I8553">
        <v>-63.177700000000002</v>
      </c>
      <c r="J8553">
        <v>-271.03359999999998</v>
      </c>
      <c r="K8553">
        <v>1.1201239999999999</v>
      </c>
      <c r="L8553">
        <v>-62.177799999999998</v>
      </c>
      <c r="M8553">
        <v>0.99723340000000005</v>
      </c>
      <c r="N8553">
        <v>-1.4125230000000001E-2</v>
      </c>
      <c r="O8553">
        <v>-7.2981099999999993E-2</v>
      </c>
      <c r="P8553">
        <v>0.99532419999999999</v>
      </c>
      <c r="Q8553">
        <v>-8.9781540000000007E-2</v>
      </c>
      <c r="R8553">
        <v>-3.5628029999999998E-2</v>
      </c>
      <c r="S8553">
        <v>3.0037229999999999</v>
      </c>
      <c r="T8553">
        <v>-8.4140179999999995E-2</v>
      </c>
      <c r="U8553">
        <v>-7.5836180000000003E-2</v>
      </c>
      <c r="V8553">
        <v>-3.726952E-2</v>
      </c>
      <c r="W8553">
        <v>-7.5637739999999995E-2</v>
      </c>
      <c r="X8553">
        <v>0.99643859999999995</v>
      </c>
      <c r="Y8553">
        <v>-4.7757960000000002E-2</v>
      </c>
      <c r="Z8553">
        <v>2.0163210000000002E-3</v>
      </c>
      <c r="AA8553">
        <v>0.99885690000000005</v>
      </c>
      <c r="AB8553">
        <v>23</v>
      </c>
      <c r="AC8553">
        <v>39.865199999999902</v>
      </c>
      <c r="AD8553">
        <v>-1.12012423181409</v>
      </c>
      <c r="AE8553">
        <v>-0.99990000000000301</v>
      </c>
      <c r="AF8553">
        <v>-1.9109553380867099</v>
      </c>
      <c r="AG8553">
        <v>-1.12012423181409</v>
      </c>
      <c r="AH8553">
        <v>39.8004501333875</v>
      </c>
      <c r="AI8553">
        <v>91.610224651777997</v>
      </c>
      <c r="AJ8553">
        <v>92.748854760771195</v>
      </c>
      <c r="AK8553">
        <v>39.862040331863703</v>
      </c>
      <c r="AL8553">
        <v>94.337866271396607</v>
      </c>
      <c r="AM8553">
        <v>92.142019848885397</v>
      </c>
      <c r="AN8553">
        <v>0.99999998420164804</v>
      </c>
    </row>
    <row r="8554" spans="1:40" x14ac:dyDescent="0.25">
      <c r="A8554" t="str">
        <f>"20190303154011616"</f>
        <v>20190303154011616</v>
      </c>
      <c r="B8554" t="str">
        <f>"1551598811606813"</f>
        <v>1551598811606813</v>
      </c>
      <c r="C8554" t="s">
        <v>40</v>
      </c>
      <c r="D8554">
        <v>4.9231579999999999</v>
      </c>
      <c r="E8554">
        <v>0.49554019999999999</v>
      </c>
      <c r="F8554" t="s">
        <v>88</v>
      </c>
      <c r="G8554">
        <v>-231.7226</v>
      </c>
      <c r="H8554" s="1">
        <v>-4.73878E-7</v>
      </c>
      <c r="I8554">
        <v>-63.193840000000002</v>
      </c>
      <c r="J8554">
        <v>-270.92160000000001</v>
      </c>
      <c r="K8554">
        <v>1.1201650000000001</v>
      </c>
      <c r="L8554">
        <v>-62.186709999999998</v>
      </c>
      <c r="M8554">
        <v>0.99718799999999996</v>
      </c>
      <c r="N8554">
        <v>-1.4158469999999999E-2</v>
      </c>
      <c r="O8554">
        <v>-7.3590859999999994E-2</v>
      </c>
      <c r="P8554">
        <v>0.99528309999999998</v>
      </c>
      <c r="Q8554">
        <v>-8.9818759999999997E-2</v>
      </c>
      <c r="R8554">
        <v>-3.6660930000000001E-2</v>
      </c>
      <c r="S8554">
        <v>3.0036010000000002</v>
      </c>
      <c r="T8554">
        <v>-8.5584519999999997E-2</v>
      </c>
      <c r="U8554">
        <v>-7.7636720000000006E-2</v>
      </c>
      <c r="V8554">
        <v>-3.6838530000000001E-2</v>
      </c>
      <c r="W8554">
        <v>-7.5645669999999998E-2</v>
      </c>
      <c r="X8554">
        <v>0.99645410000000001</v>
      </c>
      <c r="Y8554">
        <v>-4.7767990000000003E-2</v>
      </c>
      <c r="Z8554">
        <v>2.0701729999999998E-3</v>
      </c>
      <c r="AA8554">
        <v>0.99885630000000003</v>
      </c>
      <c r="AB8554">
        <v>23</v>
      </c>
      <c r="AC8554">
        <v>39.198999999999998</v>
      </c>
      <c r="AD8554">
        <v>-1.12016547387799</v>
      </c>
      <c r="AE8554">
        <v>-1.0071300000000001</v>
      </c>
      <c r="AF8554">
        <v>-1.8790452536353699</v>
      </c>
      <c r="AG8554">
        <v>-1.12016547387799</v>
      </c>
      <c r="AH8554">
        <v>39.134877385775297</v>
      </c>
      <c r="AI8554">
        <v>91.6376553669499</v>
      </c>
      <c r="AJ8554">
        <v>92.748922438850002</v>
      </c>
      <c r="AK8554">
        <v>39.195971856222002</v>
      </c>
      <c r="AL8554">
        <v>94.338321607061104</v>
      </c>
      <c r="AM8554">
        <v>92.117238999794296</v>
      </c>
      <c r="AN8554">
        <v>1.0000000590445499</v>
      </c>
    </row>
    <row r="8555" spans="1:40" x14ac:dyDescent="0.25">
      <c r="A8555" t="str">
        <f>"20190303154011627"</f>
        <v>20190303154011627</v>
      </c>
      <c r="B8555" t="str">
        <f>"1551598811616573"</f>
        <v>1551598811616573</v>
      </c>
      <c r="C8555" t="s">
        <v>40</v>
      </c>
      <c r="D8555">
        <v>4.9164640000000004</v>
      </c>
      <c r="E8555">
        <v>0.49539129999999998</v>
      </c>
      <c r="F8555" t="s">
        <v>88</v>
      </c>
      <c r="G8555">
        <v>-231.23509999999999</v>
      </c>
      <c r="H8555" s="1">
        <v>-2.7707690000000002E-7</v>
      </c>
      <c r="I8555">
        <v>-63.240279999999998</v>
      </c>
      <c r="J8555">
        <v>-270.81020000000001</v>
      </c>
      <c r="K8555">
        <v>1.1202110000000001</v>
      </c>
      <c r="L8555">
        <v>-62.195619999999998</v>
      </c>
      <c r="M8555">
        <v>0.99714369999999997</v>
      </c>
      <c r="N8555">
        <v>-1.418991E-2</v>
      </c>
      <c r="O8555">
        <v>-7.4183040000000006E-2</v>
      </c>
      <c r="P8555">
        <v>0.99524000000000001</v>
      </c>
      <c r="Q8555">
        <v>-9.0004230000000005E-2</v>
      </c>
      <c r="R8555">
        <v>-3.737244E-2</v>
      </c>
      <c r="S8555">
        <v>3.0036010000000002</v>
      </c>
      <c r="T8555">
        <v>-8.4777710000000006E-2</v>
      </c>
      <c r="U8555">
        <v>-7.9742430000000003E-2</v>
      </c>
      <c r="V8555">
        <v>-3.6710760000000002E-2</v>
      </c>
      <c r="W8555">
        <v>-7.5803529999999994E-2</v>
      </c>
      <c r="X8555">
        <v>0.99644679999999997</v>
      </c>
      <c r="Y8555">
        <v>-4.7662179999999998E-2</v>
      </c>
      <c r="Z8555">
        <v>2.0484269999999998E-3</v>
      </c>
      <c r="AA8555">
        <v>0.99886140000000001</v>
      </c>
      <c r="AB8555">
        <v>23</v>
      </c>
      <c r="AC8555">
        <v>39.575099999999999</v>
      </c>
      <c r="AD8555">
        <v>-1.1202112770768999</v>
      </c>
      <c r="AE8555">
        <v>-1.0446599999999999</v>
      </c>
      <c r="AF8555">
        <v>-1.8928002707109901</v>
      </c>
      <c r="AG8555">
        <v>-1.1202112770768999</v>
      </c>
      <c r="AH8555">
        <v>39.511902334008496</v>
      </c>
      <c r="AI8555">
        <v>91.622111974232496</v>
      </c>
      <c r="AJ8555">
        <v>92.742632379266595</v>
      </c>
      <c r="AK8555">
        <v>39.5730715540546</v>
      </c>
      <c r="AL8555">
        <v>94.347392444828998</v>
      </c>
      <c r="AM8555">
        <v>92.109917703276693</v>
      </c>
      <c r="AN8555">
        <v>1.00000004014523</v>
      </c>
    </row>
    <row r="8556" spans="1:40" x14ac:dyDescent="0.25">
      <c r="A8556" t="str">
        <f>"20190303154011638"</f>
        <v>20190303154011638</v>
      </c>
      <c r="B8556" t="str">
        <f>"1551598811626333"</f>
        <v>1551598811626333</v>
      </c>
      <c r="C8556" t="s">
        <v>40</v>
      </c>
      <c r="D8556">
        <v>4.906561</v>
      </c>
      <c r="E8556">
        <v>0.49519069999999998</v>
      </c>
      <c r="F8556" t="s">
        <v>88</v>
      </c>
      <c r="G8556">
        <v>-230.78710000000001</v>
      </c>
      <c r="H8556" s="1">
        <v>-9.3421249999999994E-8</v>
      </c>
      <c r="I8556">
        <v>-63.272309999999997</v>
      </c>
      <c r="J8556">
        <v>-270.70249999999999</v>
      </c>
      <c r="K8556">
        <v>1.1202529999999999</v>
      </c>
      <c r="L8556">
        <v>-62.204279999999997</v>
      </c>
      <c r="M8556">
        <v>0.99710390000000004</v>
      </c>
      <c r="N8556">
        <v>-1.421674E-2</v>
      </c>
      <c r="O8556">
        <v>-7.4712399999999901E-2</v>
      </c>
      <c r="P8556">
        <v>0.99524990000000002</v>
      </c>
      <c r="Q8556">
        <v>-8.9649129999999994E-2</v>
      </c>
      <c r="R8556">
        <v>-3.7958690000000003E-2</v>
      </c>
      <c r="S8556">
        <v>3.0037229999999999</v>
      </c>
      <c r="T8556">
        <v>-8.4071640000000003E-2</v>
      </c>
      <c r="U8556">
        <v>-8.0810549999999995E-2</v>
      </c>
      <c r="V8556">
        <v>-3.6646720000000001E-2</v>
      </c>
      <c r="W8556">
        <v>-7.5425069999999997E-2</v>
      </c>
      <c r="X8556">
        <v>0.99647779999999997</v>
      </c>
      <c r="Y8556">
        <v>-4.7839119999999999E-2</v>
      </c>
      <c r="Z8556">
        <v>2.0348969999999999E-3</v>
      </c>
      <c r="AA8556">
        <v>0.99885299999999999</v>
      </c>
      <c r="AB8556">
        <v>23</v>
      </c>
      <c r="AC8556">
        <v>39.915399999999899</v>
      </c>
      <c r="AD8556">
        <v>-1.12025309342125</v>
      </c>
      <c r="AE8556">
        <v>-1.06802999999999</v>
      </c>
      <c r="AF8556">
        <v>-1.9159239377823101</v>
      </c>
      <c r="AG8556">
        <v>-1.12025309342125</v>
      </c>
      <c r="AH8556">
        <v>39.852253475025897</v>
      </c>
      <c r="AI8556">
        <v>91.608312753375202</v>
      </c>
      <c r="AJ8556">
        <v>92.752413986347605</v>
      </c>
      <c r="AK8556">
        <v>39.914005543999203</v>
      </c>
      <c r="AL8556">
        <v>94.325646355410697</v>
      </c>
      <c r="AM8556">
        <v>92.106174914918697</v>
      </c>
      <c r="AN8556">
        <v>0.99999996458205098</v>
      </c>
    </row>
    <row r="8557" spans="1:40" x14ac:dyDescent="0.25">
      <c r="A8557" t="str">
        <f>"20190303154011649"</f>
        <v>20190303154011649</v>
      </c>
      <c r="B8557" t="str">
        <f>"1551598811646828"</f>
        <v>1551598811646828</v>
      </c>
      <c r="C8557" t="s">
        <v>40</v>
      </c>
      <c r="D8557">
        <v>4.9373430000000003</v>
      </c>
      <c r="E8557">
        <v>0.4947261</v>
      </c>
      <c r="F8557" t="s">
        <v>88</v>
      </c>
      <c r="G8557">
        <v>-230.02500000000001</v>
      </c>
      <c r="H8557" s="1">
        <v>2.2577029999999999E-7</v>
      </c>
      <c r="I8557">
        <v>-63.301459999999999</v>
      </c>
      <c r="J8557">
        <v>-270.58819999999997</v>
      </c>
      <c r="K8557">
        <v>1.1203080000000001</v>
      </c>
      <c r="L8557">
        <v>-62.213500000000003</v>
      </c>
      <c r="M8557">
        <v>0.997062</v>
      </c>
      <c r="N8557">
        <v>-1.4244450000000001E-2</v>
      </c>
      <c r="O8557">
        <v>-7.5263750000000004E-2</v>
      </c>
      <c r="P8557">
        <v>0.99531150000000002</v>
      </c>
      <c r="Q8557">
        <v>-8.8779239999999995E-2</v>
      </c>
      <c r="R8557">
        <v>-3.8390349999999997E-2</v>
      </c>
      <c r="S8557">
        <v>3.003784</v>
      </c>
      <c r="T8557">
        <v>-8.2723859999999996E-2</v>
      </c>
      <c r="U8557">
        <v>-8.1024170000000006E-2</v>
      </c>
      <c r="V8557">
        <v>-3.6761330000000002E-2</v>
      </c>
      <c r="W8557">
        <v>-7.4530449999999998E-2</v>
      </c>
      <c r="X8557">
        <v>0.99654089999999995</v>
      </c>
      <c r="Y8557">
        <v>-4.8321910000000003E-2</v>
      </c>
      <c r="Z8557">
        <v>2.0065830000000002E-3</v>
      </c>
      <c r="AA8557">
        <v>0.99882979999999999</v>
      </c>
      <c r="AB8557">
        <v>23</v>
      </c>
      <c r="AC8557">
        <v>40.563199999999902</v>
      </c>
      <c r="AD8557">
        <v>-1.1203077742297001</v>
      </c>
      <c r="AE8557">
        <v>-1.08795999999999</v>
      </c>
      <c r="AF8557">
        <v>-1.9668752583557001</v>
      </c>
      <c r="AG8557">
        <v>-1.1203077742297001</v>
      </c>
      <c r="AH8557">
        <v>40.499147411605499</v>
      </c>
      <c r="AI8557">
        <v>91.582676133640305</v>
      </c>
      <c r="AJ8557">
        <v>92.780433224176306</v>
      </c>
      <c r="AK8557">
        <v>40.562354823874401</v>
      </c>
      <c r="AL8557">
        <v>94.274243671833105</v>
      </c>
      <c r="AM8557">
        <v>92.112622210107602</v>
      </c>
      <c r="AN8557">
        <v>0.99999997436668997</v>
      </c>
    </row>
    <row r="8558" spans="1:40" x14ac:dyDescent="0.25">
      <c r="A8558" t="str">
        <f>"20190303154011660"</f>
        <v>20190303154011660</v>
      </c>
      <c r="B8558" t="str">
        <f>"1551598811656588"</f>
        <v>1551598811656588</v>
      </c>
      <c r="C8558" t="s">
        <v>40</v>
      </c>
      <c r="D8558">
        <v>4.893408</v>
      </c>
      <c r="E8558">
        <v>0.49461870000000002</v>
      </c>
      <c r="F8558" t="s">
        <v>89</v>
      </c>
      <c r="G8558">
        <v>-227.5968</v>
      </c>
      <c r="H8558" s="1">
        <v>-2.9890929999999999E-6</v>
      </c>
      <c r="I8558">
        <v>-63.339840000000002</v>
      </c>
      <c r="J8558">
        <v>-270.47179999999997</v>
      </c>
      <c r="K8558">
        <v>1.1203719999999999</v>
      </c>
      <c r="L8558">
        <v>-62.222900000000003</v>
      </c>
      <c r="M8558">
        <v>0.99702389999999996</v>
      </c>
      <c r="N8558">
        <v>-1.426877E-2</v>
      </c>
      <c r="O8558">
        <v>-7.5761659999999995E-2</v>
      </c>
      <c r="P8558">
        <v>0.99537909999999996</v>
      </c>
      <c r="Q8558">
        <v>-8.7934979999999996E-2</v>
      </c>
      <c r="R8558">
        <v>-3.8574079999999997E-2</v>
      </c>
      <c r="S8558">
        <v>3.0041199999999999</v>
      </c>
      <c r="T8558">
        <v>-7.8284259999999994E-2</v>
      </c>
      <c r="U8558">
        <v>-7.8704830000000003E-2</v>
      </c>
      <c r="V8558">
        <v>-3.7069739999999997E-2</v>
      </c>
      <c r="W8558">
        <v>-7.3665339999999996E-2</v>
      </c>
      <c r="X8558">
        <v>0.99659379999999997</v>
      </c>
      <c r="Y8558">
        <v>-4.959744E-2</v>
      </c>
      <c r="Z8558">
        <v>1.8898560000000001E-3</v>
      </c>
      <c r="AA8558">
        <v>0.99876750000000003</v>
      </c>
      <c r="AB8558">
        <v>23</v>
      </c>
      <c r="AC8558">
        <v>42.874999999999901</v>
      </c>
      <c r="AD8558">
        <v>-1.1203749890929999</v>
      </c>
      <c r="AE8558">
        <v>-1.1169399999999901</v>
      </c>
      <c r="AF8558">
        <v>-2.1334267478579201</v>
      </c>
      <c r="AG8558">
        <v>-1.1203749890929999</v>
      </c>
      <c r="AH8558">
        <v>42.807169461959802</v>
      </c>
      <c r="AI8558">
        <v>91.497379721022995</v>
      </c>
      <c r="AJ8558">
        <v>92.853150435812196</v>
      </c>
      <c r="AK8558">
        <v>42.874940316571902</v>
      </c>
      <c r="AL8558">
        <v>94.224539877090393</v>
      </c>
      <c r="AM8558">
        <v>92.130216863393898</v>
      </c>
      <c r="AN8558">
        <v>0.99999997506971094</v>
      </c>
    </row>
    <row r="8559" spans="1:40" x14ac:dyDescent="0.25">
      <c r="A8559" t="str">
        <f>"20190303154011672"</f>
        <v>20190303154011672</v>
      </c>
      <c r="B8559" t="str">
        <f>"1551598811666349"</f>
        <v>1551598811666349</v>
      </c>
      <c r="C8559" t="s">
        <v>40</v>
      </c>
      <c r="D8559">
        <v>4.9184419999999998</v>
      </c>
      <c r="E8559">
        <v>0.49448520000000001</v>
      </c>
      <c r="F8559" t="s">
        <v>89</v>
      </c>
      <c r="G8559">
        <v>-225.30879999999999</v>
      </c>
      <c r="H8559" s="1">
        <v>-2.0670610000000001E-6</v>
      </c>
      <c r="I8559">
        <v>-63.403739999999999</v>
      </c>
      <c r="J8559">
        <v>-270.35700000000003</v>
      </c>
      <c r="K8559">
        <v>1.1204369999999999</v>
      </c>
      <c r="L8559">
        <v>-62.23218</v>
      </c>
      <c r="M8559">
        <v>0.99698750000000003</v>
      </c>
      <c r="N8559">
        <v>-1.429192E-2</v>
      </c>
      <c r="O8559">
        <v>-7.6236810000000002E-2</v>
      </c>
      <c r="P8559">
        <v>0.99543950000000003</v>
      </c>
      <c r="Q8559">
        <v>-8.7124119999999999E-2</v>
      </c>
      <c r="R8559">
        <v>-3.8859169999999998E-2</v>
      </c>
      <c r="S8559">
        <v>3.0043329999999999</v>
      </c>
      <c r="T8559">
        <v>-7.4529529999999997E-2</v>
      </c>
      <c r="U8559">
        <v>-7.8552250000000004E-2</v>
      </c>
      <c r="V8559">
        <v>-3.725403E-2</v>
      </c>
      <c r="W8559">
        <v>-7.2834949999999996E-2</v>
      </c>
      <c r="X8559">
        <v>0.99664799999999998</v>
      </c>
      <c r="Y8559">
        <v>-5.0128789999999999E-2</v>
      </c>
      <c r="Z8559">
        <v>1.7783E-3</v>
      </c>
      <c r="AA8559">
        <v>0.99874110000000005</v>
      </c>
      <c r="AB8559">
        <v>23</v>
      </c>
      <c r="AC8559">
        <v>45.048200000000001</v>
      </c>
      <c r="AD8559">
        <v>-1.120439067061</v>
      </c>
      <c r="AE8559">
        <v>-1.1715599999999899</v>
      </c>
      <c r="AF8559">
        <v>-2.2651311428027698</v>
      </c>
      <c r="AG8559">
        <v>-1.120439067061</v>
      </c>
      <c r="AH8559">
        <v>44.978590639158199</v>
      </c>
      <c r="AI8559">
        <v>91.425165930013094</v>
      </c>
      <c r="AJ8559">
        <v>92.882991738762996</v>
      </c>
      <c r="AK8559">
        <v>45.049526286988403</v>
      </c>
      <c r="AL8559">
        <v>94.176833710592504</v>
      </c>
      <c r="AM8559">
        <v>92.140680966888098</v>
      </c>
      <c r="AN8559">
        <v>1.00000001429837</v>
      </c>
    </row>
    <row r="8560" spans="1:40" x14ac:dyDescent="0.25">
      <c r="A8560" t="str">
        <f>"20190303154011682"</f>
        <v>20190303154011682</v>
      </c>
      <c r="B8560" t="str">
        <f>"1551598811677085"</f>
        <v>1551598811677085</v>
      </c>
      <c r="C8560" t="s">
        <v>40</v>
      </c>
      <c r="D8560">
        <v>4.9365269999999999</v>
      </c>
      <c r="E8560">
        <v>0.49434</v>
      </c>
      <c r="F8560" t="s">
        <v>89</v>
      </c>
      <c r="G8560">
        <v>-222.61580000000001</v>
      </c>
      <c r="H8560" s="1">
        <v>-9.2856709999999997E-7</v>
      </c>
      <c r="I8560">
        <v>-63.479379999999999</v>
      </c>
      <c r="J8560">
        <v>-270.24610000000001</v>
      </c>
      <c r="K8560">
        <v>1.120498</v>
      </c>
      <c r="L8560">
        <v>-62.241149999999998</v>
      </c>
      <c r="M8560">
        <v>0.99695520000000004</v>
      </c>
      <c r="N8560">
        <v>-1.4311849999999999E-2</v>
      </c>
      <c r="O8560">
        <v>-7.6651659999999996E-2</v>
      </c>
      <c r="P8560">
        <v>0.99554940000000003</v>
      </c>
      <c r="Q8560">
        <v>-8.594222E-2</v>
      </c>
      <c r="R8560">
        <v>-3.8672980000000003E-2</v>
      </c>
      <c r="S8560">
        <v>3.0045470000000001</v>
      </c>
      <c r="T8560">
        <v>-7.0513610000000004E-2</v>
      </c>
      <c r="U8560">
        <v>-7.8491210000000006E-2</v>
      </c>
      <c r="V8560">
        <v>-3.7851839999999998E-2</v>
      </c>
      <c r="W8560">
        <v>-7.1635889999999994E-2</v>
      </c>
      <c r="X8560">
        <v>0.99671240000000005</v>
      </c>
      <c r="Y8560">
        <v>-5.0569419999999997E-2</v>
      </c>
      <c r="Z8560">
        <v>1.65394E-3</v>
      </c>
      <c r="AA8560">
        <v>0.99871920000000003</v>
      </c>
      <c r="AB8560">
        <v>23</v>
      </c>
      <c r="AC8560">
        <v>47.630299999999998</v>
      </c>
      <c r="AD8560">
        <v>-1.1204989285671001</v>
      </c>
      <c r="AE8560">
        <v>-1.2382299999999999</v>
      </c>
      <c r="AF8560">
        <v>-2.4153934442677598</v>
      </c>
      <c r="AG8560">
        <v>-1.1204989285671001</v>
      </c>
      <c r="AH8560">
        <v>47.558759571549601</v>
      </c>
      <c r="AI8560">
        <v>91.347919774322804</v>
      </c>
      <c r="AJ8560">
        <v>92.907414891608397</v>
      </c>
      <c r="AK8560">
        <v>47.633236876407999</v>
      </c>
      <c r="AL8560">
        <v>94.107952598959699</v>
      </c>
      <c r="AM8560">
        <v>92.174859034835194</v>
      </c>
      <c r="AN8560">
        <v>1.00000003542061</v>
      </c>
    </row>
    <row r="8561" spans="1:40" x14ac:dyDescent="0.25">
      <c r="A8561" t="str">
        <f>"20190303154011694"</f>
        <v>20190303154011694</v>
      </c>
      <c r="B8561" t="str">
        <f>"1551598811686845"</f>
        <v>1551598811686845</v>
      </c>
      <c r="C8561" t="s">
        <v>40</v>
      </c>
      <c r="D8561">
        <v>4.9546549999999998</v>
      </c>
      <c r="E8561">
        <v>0.49417250000000001</v>
      </c>
      <c r="F8561" t="s">
        <v>90</v>
      </c>
      <c r="G8561">
        <v>-219.26730000000001</v>
      </c>
      <c r="H8561" s="1">
        <v>-3.574221E-6</v>
      </c>
      <c r="I8561">
        <v>-63.545349999999999</v>
      </c>
      <c r="J8561">
        <v>-270.13290000000001</v>
      </c>
      <c r="K8561">
        <v>1.120557</v>
      </c>
      <c r="L8561">
        <v>-62.250340000000001</v>
      </c>
      <c r="M8561">
        <v>0.9969247</v>
      </c>
      <c r="N8561">
        <v>-1.433092E-2</v>
      </c>
      <c r="O8561">
        <v>-7.7046359999999994E-2</v>
      </c>
      <c r="P8561">
        <v>0.99565979999999998</v>
      </c>
      <c r="Q8561">
        <v>-8.476504E-2</v>
      </c>
      <c r="R8561">
        <v>-3.8432550000000003E-2</v>
      </c>
      <c r="S8561">
        <v>3.0047299999999999</v>
      </c>
      <c r="T8561">
        <v>-6.604314E-2</v>
      </c>
      <c r="U8561">
        <v>-7.6873780000000003E-2</v>
      </c>
      <c r="V8561">
        <v>-3.848389E-2</v>
      </c>
      <c r="W8561">
        <v>-7.0442619999999997E-2</v>
      </c>
      <c r="X8561">
        <v>0.99677320000000003</v>
      </c>
      <c r="Y8561">
        <v>-5.1506450000000002E-2</v>
      </c>
      <c r="Z8561">
        <v>1.5213379999999999E-3</v>
      </c>
      <c r="AA8561">
        <v>0.99867150000000005</v>
      </c>
      <c r="AB8561">
        <v>23</v>
      </c>
      <c r="AC8561">
        <v>50.865600000000001</v>
      </c>
      <c r="AD8561">
        <v>-1.1205605742209901</v>
      </c>
      <c r="AE8561">
        <v>-1.29500999999999</v>
      </c>
      <c r="AF8561">
        <v>-2.62697720272311</v>
      </c>
      <c r="AG8561">
        <v>-1.1205605742209901</v>
      </c>
      <c r="AH8561">
        <v>50.789524695854297</v>
      </c>
      <c r="AI8561">
        <v>91.262215213613501</v>
      </c>
      <c r="AJ8561">
        <v>92.960860552602895</v>
      </c>
      <c r="AK8561">
        <v>50.869760015700102</v>
      </c>
      <c r="AL8561">
        <v>94.039410265387005</v>
      </c>
      <c r="AM8561">
        <v>92.211004340154105</v>
      </c>
      <c r="AN8561">
        <v>0.99999999237011805</v>
      </c>
    </row>
    <row r="8562" spans="1:40" x14ac:dyDescent="0.25">
      <c r="A8562" t="str">
        <f>"20190303154011705"</f>
        <v>20190303154011705</v>
      </c>
      <c r="B8562" t="str">
        <f>"1551598811696605"</f>
        <v>1551598811696605</v>
      </c>
      <c r="C8562" t="s">
        <v>40</v>
      </c>
      <c r="D8562">
        <v>4.9613779999999998</v>
      </c>
      <c r="E8562">
        <v>0.49402269999999998</v>
      </c>
      <c r="F8562" t="s">
        <v>90</v>
      </c>
      <c r="G8562">
        <v>-216.03389999999999</v>
      </c>
      <c r="H8562" s="1">
        <v>-2.4129790000000001E-6</v>
      </c>
      <c r="I8562">
        <v>-63.598590000000002</v>
      </c>
      <c r="J8562">
        <v>-270.02050000000003</v>
      </c>
      <c r="K8562">
        <v>1.1206119999999999</v>
      </c>
      <c r="L8562">
        <v>-62.25949</v>
      </c>
      <c r="M8562">
        <v>0.99689669999999997</v>
      </c>
      <c r="N8562">
        <v>-1.4348359999999999E-2</v>
      </c>
      <c r="O8562">
        <v>-7.7403520000000003E-2</v>
      </c>
      <c r="P8562">
        <v>0.99574580000000001</v>
      </c>
      <c r="Q8562">
        <v>-8.3909709999999998E-2</v>
      </c>
      <c r="R8562">
        <v>-3.8073099999999999E-2</v>
      </c>
      <c r="S8562">
        <v>3.0048520000000001</v>
      </c>
      <c r="T8562">
        <v>-6.2239889999999999E-2</v>
      </c>
      <c r="U8562">
        <v>-7.4890139999999994E-2</v>
      </c>
      <c r="V8562">
        <v>-3.9196370000000001E-2</v>
      </c>
      <c r="W8562">
        <v>-6.9573280000000001E-2</v>
      </c>
      <c r="X8562">
        <v>0.99680650000000004</v>
      </c>
      <c r="Y8562">
        <v>-5.252631E-2</v>
      </c>
      <c r="Z8562">
        <v>1.4105229999999999E-3</v>
      </c>
      <c r="AA8562">
        <v>0.99861849999999996</v>
      </c>
      <c r="AB8562">
        <v>23</v>
      </c>
      <c r="AC8562">
        <v>53.986600000000003</v>
      </c>
      <c r="AD8562">
        <v>-1.1206144129790001</v>
      </c>
      <c r="AE8562">
        <v>-1.3391</v>
      </c>
      <c r="AF8562">
        <v>-2.8428768415551402</v>
      </c>
      <c r="AG8562">
        <v>-1.1206144129790001</v>
      </c>
      <c r="AH8562">
        <v>53.905048813515101</v>
      </c>
      <c r="AI8562">
        <v>91.189279379087196</v>
      </c>
      <c r="AJ8562">
        <v>93.018902421870905</v>
      </c>
      <c r="AK8562">
        <v>53.991592058266598</v>
      </c>
      <c r="AL8562">
        <v>93.989478218089701</v>
      </c>
      <c r="AM8562">
        <v>92.251821347483499</v>
      </c>
      <c r="AN8562">
        <v>0.999999997576692</v>
      </c>
    </row>
    <row r="8563" spans="1:40" x14ac:dyDescent="0.25">
      <c r="A8563" t="str">
        <f>"20190303154011718"</f>
        <v>20190303154011718</v>
      </c>
      <c r="B8563" t="str">
        <f>"1551598811706365"</f>
        <v>1551598811706365</v>
      </c>
      <c r="C8563" t="s">
        <v>40</v>
      </c>
      <c r="D8563">
        <v>4.9319889999999997</v>
      </c>
      <c r="E8563">
        <v>0.49384850000000002</v>
      </c>
      <c r="F8563" t="s">
        <v>90</v>
      </c>
      <c r="G8563">
        <v>-213.57339999999999</v>
      </c>
      <c r="H8563" s="1">
        <v>-1.3639589999999999E-6</v>
      </c>
      <c r="I8563">
        <v>-63.62321</v>
      </c>
      <c r="J8563">
        <v>-269.90289999999999</v>
      </c>
      <c r="K8563">
        <v>1.1206719999999999</v>
      </c>
      <c r="L8563">
        <v>-62.269010000000002</v>
      </c>
      <c r="M8563">
        <v>0.99687110000000001</v>
      </c>
      <c r="N8563">
        <v>-1.436466E-2</v>
      </c>
      <c r="O8563">
        <v>-7.7729660000000006E-2</v>
      </c>
      <c r="P8563">
        <v>0.99580869999999999</v>
      </c>
      <c r="Q8563">
        <v>-8.3486199999999997E-2</v>
      </c>
      <c r="R8563">
        <v>-3.7357000000000001E-2</v>
      </c>
      <c r="S8563">
        <v>3.0049739999999998</v>
      </c>
      <c r="T8563">
        <v>-5.9656019999999997E-2</v>
      </c>
      <c r="U8563">
        <v>-7.2601319999999997E-2</v>
      </c>
      <c r="V8563">
        <v>-4.0231860000000001E-2</v>
      </c>
      <c r="W8563">
        <v>-6.9137530000000003E-2</v>
      </c>
      <c r="X8563">
        <v>0.9967956</v>
      </c>
      <c r="Y8563">
        <v>-5.3615419999999997E-2</v>
      </c>
      <c r="Z8563">
        <v>1.3409749999999999E-3</v>
      </c>
      <c r="AA8563">
        <v>0.99856080000000003</v>
      </c>
      <c r="AB8563">
        <v>23</v>
      </c>
      <c r="AC8563">
        <v>56.329500000000003</v>
      </c>
      <c r="AD8563">
        <v>-1.1206733639590001</v>
      </c>
      <c r="AE8563">
        <v>-1.3542000000000001</v>
      </c>
      <c r="AF8563">
        <v>-3.0276245200113499</v>
      </c>
      <c r="AG8563">
        <v>-1.1206733639590001</v>
      </c>
      <c r="AH8563">
        <v>56.242062459813098</v>
      </c>
      <c r="AI8563">
        <v>91.139868583034797</v>
      </c>
      <c r="AJ8563">
        <v>93.081374055074804</v>
      </c>
      <c r="AK8563">
        <v>56.3346430605216</v>
      </c>
      <c r="AL8563">
        <v>93.964451171292495</v>
      </c>
      <c r="AM8563">
        <v>92.311271542704802</v>
      </c>
      <c r="AN8563">
        <v>1.0000000343964499</v>
      </c>
    </row>
    <row r="8564" spans="1:40" x14ac:dyDescent="0.25">
      <c r="A8564" t="str">
        <f>"20190303154011729"</f>
        <v>20190303154011729</v>
      </c>
      <c r="B8564" t="str">
        <f>"1551598811726861"</f>
        <v>1551598811726861</v>
      </c>
      <c r="C8564" t="s">
        <v>40</v>
      </c>
      <c r="D8564">
        <v>4.912579</v>
      </c>
      <c r="E8564">
        <v>0.4937069</v>
      </c>
      <c r="F8564" t="s">
        <v>90</v>
      </c>
      <c r="G8564">
        <v>-212.25659999999999</v>
      </c>
      <c r="H8564" s="1">
        <v>-7.9090919999999898E-7</v>
      </c>
      <c r="I8564">
        <v>-63.592519999999901</v>
      </c>
      <c r="J8564">
        <v>-269.78219999999999</v>
      </c>
      <c r="K8564">
        <v>1.1207320000000001</v>
      </c>
      <c r="L8564">
        <v>-62.27881</v>
      </c>
      <c r="M8564">
        <v>0.99684640000000002</v>
      </c>
      <c r="N8564">
        <v>-1.4380489999999999E-2</v>
      </c>
      <c r="O8564">
        <v>-7.8041479999999996E-2</v>
      </c>
      <c r="P8564">
        <v>0.99587119999999996</v>
      </c>
      <c r="Q8564">
        <v>-8.2951810000000001E-2</v>
      </c>
      <c r="R8564">
        <v>-3.6870390000000003E-2</v>
      </c>
      <c r="S8564">
        <v>3.0052189999999999</v>
      </c>
      <c r="T8564">
        <v>-5.8422920000000003E-2</v>
      </c>
      <c r="U8564">
        <v>-6.9000240000000004E-2</v>
      </c>
      <c r="V8564">
        <v>-4.1024310000000001E-2</v>
      </c>
      <c r="W8564">
        <v>-6.8591650000000004E-2</v>
      </c>
      <c r="X8564">
        <v>0.99680100000000005</v>
      </c>
      <c r="Y8564">
        <v>-5.5125840000000002E-2</v>
      </c>
      <c r="Z8564">
        <v>1.324279E-3</v>
      </c>
      <c r="AA8564">
        <v>0.99847850000000005</v>
      </c>
      <c r="AB8564">
        <v>23</v>
      </c>
      <c r="AC8564">
        <v>57.525599999999997</v>
      </c>
      <c r="AD8564">
        <v>-1.1207327909092</v>
      </c>
      <c r="AE8564">
        <v>-1.3137099999999899</v>
      </c>
      <c r="AF8564">
        <v>-3.1789387204728001</v>
      </c>
      <c r="AG8564">
        <v>-1.1207327909092</v>
      </c>
      <c r="AH8564">
        <v>57.430864373824498</v>
      </c>
      <c r="AI8564">
        <v>91.116246496143404</v>
      </c>
      <c r="AJ8564">
        <v>93.168228378360794</v>
      </c>
      <c r="AK8564">
        <v>57.5296956023736</v>
      </c>
      <c r="AL8564">
        <v>93.933100177632696</v>
      </c>
      <c r="AM8564">
        <v>92.356733242958995</v>
      </c>
      <c r="AN8564">
        <v>1.00000002103084</v>
      </c>
    </row>
    <row r="8565" spans="1:40" x14ac:dyDescent="0.25">
      <c r="A8565" t="str">
        <f>"20190303154011739"</f>
        <v>20190303154011739</v>
      </c>
      <c r="B8565" t="str">
        <f>"1551598811736621"</f>
        <v>1551598811736621</v>
      </c>
      <c r="C8565" t="s">
        <v>40</v>
      </c>
      <c r="D8565">
        <v>4.943092</v>
      </c>
      <c r="E8565">
        <v>0.49354379999999998</v>
      </c>
      <c r="F8565" t="s">
        <v>90</v>
      </c>
      <c r="G8565">
        <v>-210.47190000000001</v>
      </c>
      <c r="H8565" s="1">
        <v>-2.4407199999999999E-8</v>
      </c>
      <c r="I8565">
        <v>-63.589309999999998</v>
      </c>
      <c r="J8565">
        <v>-269.6771</v>
      </c>
      <c r="K8565">
        <v>1.120787</v>
      </c>
      <c r="L8565">
        <v>-62.287320000000001</v>
      </c>
      <c r="M8565">
        <v>0.99682999999999999</v>
      </c>
      <c r="N8565">
        <v>-1.439227E-2</v>
      </c>
      <c r="O8565">
        <v>-7.8248750000000006E-2</v>
      </c>
      <c r="P8565">
        <v>0.99594260000000001</v>
      </c>
      <c r="Q8565">
        <v>-8.2332020000000006E-2</v>
      </c>
      <c r="R8565">
        <v>-3.6330170000000002E-2</v>
      </c>
      <c r="S8565">
        <v>3.0052490000000001</v>
      </c>
      <c r="T8565">
        <v>-5.6787369999999997E-2</v>
      </c>
      <c r="U8565">
        <v>-6.640625E-2</v>
      </c>
      <c r="V8565">
        <v>-4.176759E-2</v>
      </c>
      <c r="W8565">
        <v>-6.796381E-2</v>
      </c>
      <c r="X8565">
        <v>0.99681310000000001</v>
      </c>
      <c r="Y8565">
        <v>-5.6195719999999998E-2</v>
      </c>
      <c r="Z8565">
        <v>1.284997E-3</v>
      </c>
      <c r="AA8565">
        <v>0.9984189</v>
      </c>
      <c r="AB8565">
        <v>23</v>
      </c>
      <c r="AC8565">
        <v>59.205199999999898</v>
      </c>
      <c r="AD8565">
        <v>-1.1207870244072</v>
      </c>
      <c r="AE8565">
        <v>-1.30199</v>
      </c>
      <c r="AF8565">
        <v>-3.33402133345855</v>
      </c>
      <c r="AG8565">
        <v>-1.1207870244072</v>
      </c>
      <c r="AH8565">
        <v>59.104350168500602</v>
      </c>
      <c r="AI8565">
        <v>91.084637299807298</v>
      </c>
      <c r="AJ8565">
        <v>93.228580019567005</v>
      </c>
      <c r="AK8565">
        <v>59.208918843758397</v>
      </c>
      <c r="AL8565">
        <v>93.897043597657799</v>
      </c>
      <c r="AM8565">
        <v>92.399354073270899</v>
      </c>
      <c r="AN8565">
        <v>0.99999998368786602</v>
      </c>
    </row>
    <row r="8566" spans="1:40" x14ac:dyDescent="0.25">
      <c r="A8566" t="str">
        <f>"20190303154011751"</f>
        <v>20190303154011751</v>
      </c>
      <c r="B8566" t="str">
        <f>"1551598811746381"</f>
        <v>1551598811746381</v>
      </c>
      <c r="C8566" t="s">
        <v>40</v>
      </c>
      <c r="D8566">
        <v>4.9332159999999998</v>
      </c>
      <c r="E8566">
        <v>0.4934578</v>
      </c>
      <c r="F8566" t="s">
        <v>63</v>
      </c>
      <c r="G8566">
        <v>-208.464</v>
      </c>
      <c r="H8566" s="1">
        <v>-1.4188249999999999E-6</v>
      </c>
      <c r="I8566">
        <v>-63.5777199999999</v>
      </c>
      <c r="J8566">
        <v>-269.56849999999997</v>
      </c>
      <c r="K8566">
        <v>1.1208389999999999</v>
      </c>
      <c r="L8566">
        <v>-62.296109999999999</v>
      </c>
      <c r="M8566">
        <v>0.99681359999999997</v>
      </c>
      <c r="N8566">
        <v>-1.4404230000000001E-2</v>
      </c>
      <c r="O8566">
        <v>-7.8455659999999997E-2</v>
      </c>
      <c r="P8566">
        <v>0.99598589999999998</v>
      </c>
      <c r="Q8566">
        <v>-8.1986459999999997E-2</v>
      </c>
      <c r="R8566">
        <v>-3.5922259999999998E-2</v>
      </c>
      <c r="S8566">
        <v>3.005341</v>
      </c>
      <c r="T8566">
        <v>-5.5026650000000003E-2</v>
      </c>
      <c r="U8566">
        <v>-6.3354489999999999E-2</v>
      </c>
      <c r="V8566">
        <v>-4.2376520000000001E-2</v>
      </c>
      <c r="W8566">
        <v>-6.7610580000000003E-2</v>
      </c>
      <c r="X8566">
        <v>0.99681140000000001</v>
      </c>
      <c r="Y8566">
        <v>-5.7417629999999997E-2</v>
      </c>
      <c r="Z8566">
        <v>1.242899E-3</v>
      </c>
      <c r="AA8566">
        <v>0.9983495</v>
      </c>
      <c r="AB8566">
        <v>23</v>
      </c>
      <c r="AC8566">
        <v>61.104499999999902</v>
      </c>
      <c r="AD8566">
        <v>-1.1208404188250001</v>
      </c>
      <c r="AE8566">
        <v>-1.2816099999999899</v>
      </c>
      <c r="AF8566">
        <v>-3.5156498595981098</v>
      </c>
      <c r="AG8566">
        <v>-1.1208404188250001</v>
      </c>
      <c r="AH8566">
        <v>60.996158493645098</v>
      </c>
      <c r="AI8566">
        <v>91.050981425630496</v>
      </c>
      <c r="AJ8566">
        <v>93.298720641683602</v>
      </c>
      <c r="AK8566">
        <v>61.107670780039001</v>
      </c>
      <c r="AL8566">
        <v>93.876758427047307</v>
      </c>
      <c r="AM8566">
        <v>92.434296642268393</v>
      </c>
      <c r="AN8566">
        <v>0.99999996357260201</v>
      </c>
    </row>
    <row r="8567" spans="1:40" x14ac:dyDescent="0.25">
      <c r="A8567" t="str">
        <f>"20190303154011761"</f>
        <v>20190303154011761</v>
      </c>
      <c r="B8567" t="str">
        <f>"1551598811757117"</f>
        <v>1551598811757117</v>
      </c>
      <c r="C8567" t="s">
        <v>40</v>
      </c>
      <c r="D8567">
        <v>4.9377079999999998</v>
      </c>
      <c r="E8567">
        <v>0.4933942</v>
      </c>
      <c r="F8567" t="s">
        <v>63</v>
      </c>
      <c r="G8567">
        <v>-206.9923</v>
      </c>
      <c r="H8567" s="1">
        <v>-2.3279900000000001E-6</v>
      </c>
      <c r="I8567">
        <v>-63.577100000000002</v>
      </c>
      <c r="J8567">
        <v>-269.46179999999998</v>
      </c>
      <c r="K8567">
        <v>1.1208849999999999</v>
      </c>
      <c r="L8567">
        <v>-62.304720000000003</v>
      </c>
      <c r="M8567">
        <v>0.99680139999999995</v>
      </c>
      <c r="N8567">
        <v>-1.4414410000000001E-2</v>
      </c>
      <c r="O8567">
        <v>-7.8607540000000004E-2</v>
      </c>
      <c r="P8567">
        <v>0.9960291</v>
      </c>
      <c r="Q8567">
        <v>-8.1603869999999995E-2</v>
      </c>
      <c r="R8567">
        <v>-3.5595639999999998E-2</v>
      </c>
      <c r="S8567">
        <v>3.0054319999999999</v>
      </c>
      <c r="T8567">
        <v>-5.3832169999999999E-2</v>
      </c>
      <c r="U8567">
        <v>-6.1523439999999999E-2</v>
      </c>
      <c r="V8567">
        <v>-4.2850109999999997E-2</v>
      </c>
      <c r="W8567">
        <v>-6.7221870000000003E-2</v>
      </c>
      <c r="X8567">
        <v>0.99681750000000002</v>
      </c>
      <c r="Y8567">
        <v>-5.8178849999999997E-2</v>
      </c>
      <c r="Z8567">
        <v>1.21262E-3</v>
      </c>
      <c r="AA8567">
        <v>0.99830540000000001</v>
      </c>
      <c r="AB8567">
        <v>22</v>
      </c>
      <c r="AC8567">
        <v>62.469499999999897</v>
      </c>
      <c r="AD8567">
        <v>-1.12088732799</v>
      </c>
      <c r="AE8567">
        <v>-1.2723800000000001</v>
      </c>
      <c r="AF8567">
        <v>-3.6414702042573199</v>
      </c>
      <c r="AG8567">
        <v>-1.12088732799</v>
      </c>
      <c r="AH8567">
        <v>62.356118477014498</v>
      </c>
      <c r="AI8567">
        <v>91.0280627533444</v>
      </c>
      <c r="AJ8567">
        <v>93.342160891897294</v>
      </c>
      <c r="AK8567">
        <v>62.472411552380599</v>
      </c>
      <c r="AL8567">
        <v>93.854435981289697</v>
      </c>
      <c r="AM8567">
        <v>92.461453446723894</v>
      </c>
      <c r="AN8567">
        <v>1.0000000200197701</v>
      </c>
    </row>
    <row r="8568" spans="1:40" x14ac:dyDescent="0.25">
      <c r="A8568" t="str">
        <f>"20190303154011772"</f>
        <v>20190303154011772</v>
      </c>
      <c r="B8568" t="str">
        <f>"1551598811766878"</f>
        <v>1551598811766878</v>
      </c>
      <c r="C8568" t="s">
        <v>40</v>
      </c>
      <c r="D8568">
        <v>4.9182860000000002</v>
      </c>
      <c r="E8568">
        <v>0.49334230000000001</v>
      </c>
      <c r="F8568" t="s">
        <v>63</v>
      </c>
      <c r="G8568">
        <v>-205.30779999999999</v>
      </c>
      <c r="H8568" s="1">
        <v>-3.3999529999999998E-6</v>
      </c>
      <c r="I8568">
        <v>-63.586030000000001</v>
      </c>
      <c r="J8568">
        <v>-269.34890000000001</v>
      </c>
      <c r="K8568">
        <v>1.120938</v>
      </c>
      <c r="L8568">
        <v>-62.313839999999999</v>
      </c>
      <c r="M8568">
        <v>0.99678990000000001</v>
      </c>
      <c r="N8568">
        <v>-1.442472E-2</v>
      </c>
      <c r="O8568">
        <v>-7.8751639999999998E-2</v>
      </c>
      <c r="P8568">
        <v>0.99605940000000004</v>
      </c>
      <c r="Q8568">
        <v>-8.1276399999999902E-2</v>
      </c>
      <c r="R8568">
        <v>-3.5494489999999997E-2</v>
      </c>
      <c r="S8568">
        <v>3.0055239999999999</v>
      </c>
      <c r="T8568">
        <v>-5.2512049999999998E-2</v>
      </c>
      <c r="U8568">
        <v>-6.0028079999999998E-2</v>
      </c>
      <c r="V8568">
        <v>-4.3090160000000002E-2</v>
      </c>
      <c r="W8568">
        <v>-6.6888450000000002E-2</v>
      </c>
      <c r="X8568">
        <v>0.99682959999999998</v>
      </c>
      <c r="Y8568">
        <v>-5.8820839999999999E-2</v>
      </c>
      <c r="Z8568">
        <v>1.175471E-3</v>
      </c>
      <c r="AA8568">
        <v>0.99826789999999999</v>
      </c>
      <c r="AB8568">
        <v>22</v>
      </c>
      <c r="AC8568">
        <v>64.0411</v>
      </c>
      <c r="AD8568">
        <v>-1.120941399953</v>
      </c>
      <c r="AE8568">
        <v>-1.2721899999999999</v>
      </c>
      <c r="AF8568">
        <v>-3.7744724015473201</v>
      </c>
      <c r="AG8568">
        <v>-1.120941399953</v>
      </c>
      <c r="AH8568">
        <v>63.922785056667699</v>
      </c>
      <c r="AI8568">
        <v>91.002881709179306</v>
      </c>
      <c r="AJ8568">
        <v>93.379241446322595</v>
      </c>
      <c r="AK8568">
        <v>64.043934926994595</v>
      </c>
      <c r="AL8568">
        <v>93.8352892557959</v>
      </c>
      <c r="AM8568">
        <v>92.475195609775099</v>
      </c>
      <c r="AN8568">
        <v>1.0000000390341901</v>
      </c>
    </row>
    <row r="8569" spans="1:40" x14ac:dyDescent="0.25">
      <c r="A8569" t="str">
        <f>"20190303154011784"</f>
        <v>20190303154011784</v>
      </c>
      <c r="B8569" t="str">
        <f>"1551598811776637"</f>
        <v>1551598811776637</v>
      </c>
      <c r="C8569" t="s">
        <v>40</v>
      </c>
      <c r="D8569">
        <v>4.9175190000000004</v>
      </c>
      <c r="E8569">
        <v>0.493288</v>
      </c>
      <c r="F8569" t="s">
        <v>63</v>
      </c>
      <c r="G8569">
        <v>-204.20339999999999</v>
      </c>
      <c r="H8569" s="1">
        <v>-3.8865089999999996E-6</v>
      </c>
      <c r="I8569">
        <v>-63.601719999999901</v>
      </c>
      <c r="J8569">
        <v>-269.23169999999999</v>
      </c>
      <c r="K8569">
        <v>1.120989</v>
      </c>
      <c r="L8569">
        <v>-62.323270000000001</v>
      </c>
      <c r="M8569">
        <v>0.99678140000000004</v>
      </c>
      <c r="N8569">
        <v>-1.4434229999999999E-2</v>
      </c>
      <c r="O8569">
        <v>-7.8858189999999995E-2</v>
      </c>
      <c r="P8569">
        <v>0.99609119999999995</v>
      </c>
      <c r="Q8569">
        <v>-8.0934010000000001E-2</v>
      </c>
      <c r="R8569">
        <v>-3.5383520000000002E-2</v>
      </c>
      <c r="S8569">
        <v>3.0055239999999999</v>
      </c>
      <c r="T8569">
        <v>-5.1715249999999997E-2</v>
      </c>
      <c r="U8569">
        <v>-5.941772E-2</v>
      </c>
      <c r="V8569">
        <v>-4.3302220000000002E-2</v>
      </c>
      <c r="W8569">
        <v>-6.6540929999999998E-2</v>
      </c>
      <c r="X8569">
        <v>0.99684360000000005</v>
      </c>
      <c r="Y8569">
        <v>-5.9130559999999999E-2</v>
      </c>
      <c r="Z8569">
        <v>1.1515449999999999E-3</v>
      </c>
      <c r="AA8569">
        <v>0.99824959999999996</v>
      </c>
      <c r="AB8569">
        <v>22</v>
      </c>
      <c r="AC8569">
        <v>65.028300000000002</v>
      </c>
      <c r="AD8569">
        <v>-1.120992886509</v>
      </c>
      <c r="AE8569">
        <v>-1.2784499999999901</v>
      </c>
      <c r="AF8569">
        <v>-3.8529356137939801</v>
      </c>
      <c r="AG8569">
        <v>-1.120992886509</v>
      </c>
      <c r="AH8569">
        <v>64.9072953661789</v>
      </c>
      <c r="AI8569">
        <v>90.987700198502907</v>
      </c>
      <c r="AJ8569">
        <v>93.397125125794005</v>
      </c>
      <c r="AK8569">
        <v>65.031213502809806</v>
      </c>
      <c r="AL8569">
        <v>93.815333630175701</v>
      </c>
      <c r="AM8569">
        <v>92.487326661421704</v>
      </c>
      <c r="AN8569">
        <v>0.99999997024157605</v>
      </c>
    </row>
    <row r="8570" spans="1:40" x14ac:dyDescent="0.25">
      <c r="A8570" t="str">
        <f>"20190303154011795"</f>
        <v>20190303154011795</v>
      </c>
      <c r="B8570" t="str">
        <f>"1551598811786397"</f>
        <v>1551598811786397</v>
      </c>
      <c r="C8570" t="s">
        <v>40</v>
      </c>
      <c r="D8570">
        <v>4.9331440000000004</v>
      </c>
      <c r="E8570">
        <v>0.4932494</v>
      </c>
      <c r="F8570" t="s">
        <v>63</v>
      </c>
      <c r="G8570">
        <v>-203.2551</v>
      </c>
      <c r="H8570" s="1">
        <v>-4.2314590000000004E-6</v>
      </c>
      <c r="I8570">
        <v>-63.611499999999999</v>
      </c>
      <c r="J8570">
        <v>-269.12740000000002</v>
      </c>
      <c r="K8570">
        <v>1.1210329999999999</v>
      </c>
      <c r="L8570">
        <v>-62.331629999999997</v>
      </c>
      <c r="M8570">
        <v>0.99677570000000004</v>
      </c>
      <c r="N8570">
        <v>-1.444199E-2</v>
      </c>
      <c r="O8570">
        <v>-7.8927789999999998E-2</v>
      </c>
      <c r="P8570">
        <v>0.99611179999999999</v>
      </c>
      <c r="Q8570">
        <v>-8.0683399999999905E-2</v>
      </c>
      <c r="R8570">
        <v>-3.5373559999999998E-2</v>
      </c>
      <c r="S8570">
        <v>3.0055540000000001</v>
      </c>
      <c r="T8570">
        <v>-5.1066760000000003E-2</v>
      </c>
      <c r="U8570">
        <v>-5.8685300000000003E-2</v>
      </c>
      <c r="V8570">
        <v>-4.3377110000000003E-2</v>
      </c>
      <c r="W8570">
        <v>-6.6286310000000001E-2</v>
      </c>
      <c r="X8570">
        <v>0.99685729999999995</v>
      </c>
      <c r="Y8570">
        <v>-5.9443910000000003E-2</v>
      </c>
      <c r="Z8570">
        <v>1.132873E-3</v>
      </c>
      <c r="AA8570">
        <v>0.99823099999999998</v>
      </c>
      <c r="AB8570">
        <v>22</v>
      </c>
      <c r="AC8570">
        <v>65.872299999999996</v>
      </c>
      <c r="AD8570">
        <v>-1.121037231459</v>
      </c>
      <c r="AE8570">
        <v>-1.2798699999999901</v>
      </c>
      <c r="AF8570">
        <v>-3.9226853625893701</v>
      </c>
      <c r="AG8570">
        <v>-1.121037231459</v>
      </c>
      <c r="AH8570">
        <v>65.7487502254113</v>
      </c>
      <c r="AI8570">
        <v>90.975083186372402</v>
      </c>
      <c r="AJ8570">
        <v>93.414319075806304</v>
      </c>
      <c r="AK8570">
        <v>65.875202778676197</v>
      </c>
      <c r="AL8570">
        <v>93.800712727130303</v>
      </c>
      <c r="AM8570">
        <v>92.491588808145295</v>
      </c>
      <c r="AN8570">
        <v>0.99999996256432799</v>
      </c>
    </row>
    <row r="8571" spans="1:40" x14ac:dyDescent="0.25">
      <c r="A8571" t="str">
        <f>"20190303154011805"</f>
        <v>20190303154011805</v>
      </c>
      <c r="B8571" t="str">
        <f>"1551598811797133"</f>
        <v>1551598811797133</v>
      </c>
      <c r="C8571" t="s">
        <v>40</v>
      </c>
      <c r="D8571">
        <v>4.9271409999999998</v>
      </c>
      <c r="E8571">
        <v>0.49322709999999997</v>
      </c>
      <c r="F8571" t="s">
        <v>63</v>
      </c>
      <c r="G8571">
        <v>-202.70599999999999</v>
      </c>
      <c r="H8571" s="1">
        <v>-4.5118359999999999E-6</v>
      </c>
      <c r="I8571">
        <v>-63.6211699999999</v>
      </c>
      <c r="J8571">
        <v>-269.01369999999997</v>
      </c>
      <c r="K8571">
        <v>1.121078</v>
      </c>
      <c r="L8571">
        <v>-62.340730000000001</v>
      </c>
      <c r="M8571">
        <v>0.99677159999999998</v>
      </c>
      <c r="N8571">
        <v>-1.4449770000000001E-2</v>
      </c>
      <c r="O8571">
        <v>-7.8978290000000007E-2</v>
      </c>
      <c r="P8571">
        <v>0.99614369999999997</v>
      </c>
      <c r="Q8571">
        <v>-8.0407399999999907E-2</v>
      </c>
      <c r="R8571">
        <v>-3.5105699999999997E-2</v>
      </c>
      <c r="S8571">
        <v>3.0055239999999999</v>
      </c>
      <c r="T8571">
        <v>-5.0726180000000003E-2</v>
      </c>
      <c r="U8571">
        <v>-5.8349610000000003E-2</v>
      </c>
      <c r="V8571">
        <v>-4.369116E-2</v>
      </c>
      <c r="W8571">
        <v>-6.6006579999999995E-2</v>
      </c>
      <c r="X8571">
        <v>0.99686220000000003</v>
      </c>
      <c r="Y8571">
        <v>-5.9605890000000002E-2</v>
      </c>
      <c r="Z8571">
        <v>1.1228659999999999E-3</v>
      </c>
      <c r="AA8571">
        <v>0.99822129999999998</v>
      </c>
      <c r="AB8571">
        <v>22</v>
      </c>
      <c r="AC8571">
        <v>66.307699999999897</v>
      </c>
      <c r="AD8571">
        <v>-1.1210825118359999</v>
      </c>
      <c r="AE8571">
        <v>-1.28043999999998</v>
      </c>
      <c r="AF8571">
        <v>-3.9598445708011401</v>
      </c>
      <c r="AG8571">
        <v>-1.1210825118359999</v>
      </c>
      <c r="AH8571">
        <v>66.182759551588902</v>
      </c>
      <c r="AI8571">
        <v>90.968719371294597</v>
      </c>
      <c r="AJ8571">
        <v>93.424037120510405</v>
      </c>
      <c r="AK8571">
        <v>66.310593851108607</v>
      </c>
      <c r="AL8571">
        <v>93.784649997689399</v>
      </c>
      <c r="AM8571">
        <v>92.509592594626</v>
      </c>
      <c r="AN8571">
        <v>1.0000000159271401</v>
      </c>
    </row>
    <row r="8572" spans="1:40" x14ac:dyDescent="0.25">
      <c r="A8572" t="str">
        <f>"20190303154011818"</f>
        <v>20190303154011818</v>
      </c>
      <c r="B8572" t="str">
        <f>"1551598811806893"</f>
        <v>1551598811806893</v>
      </c>
      <c r="C8572" t="s">
        <v>40</v>
      </c>
      <c r="D8572">
        <v>4.9485400000000004</v>
      </c>
      <c r="E8572">
        <v>0.49317109999999897</v>
      </c>
      <c r="F8572" t="s">
        <v>63</v>
      </c>
      <c r="G8572">
        <v>-201.71270000000001</v>
      </c>
      <c r="H8572" s="1">
        <v>-5.0181599999999901E-6</v>
      </c>
      <c r="I8572">
        <v>-63.624769999999998</v>
      </c>
      <c r="J8572">
        <v>-268.89640000000003</v>
      </c>
      <c r="K8572">
        <v>1.121122</v>
      </c>
      <c r="L8572">
        <v>-62.350099999999998</v>
      </c>
      <c r="M8572">
        <v>0.99677020000000005</v>
      </c>
      <c r="N8572">
        <v>-1.445684E-2</v>
      </c>
      <c r="O8572">
        <v>-7.8994850000000005E-2</v>
      </c>
      <c r="P8572">
        <v>0.99613059999999998</v>
      </c>
      <c r="Q8572">
        <v>-8.0587809999999996E-2</v>
      </c>
      <c r="R8572">
        <v>-3.5066670000000001E-2</v>
      </c>
      <c r="S8572">
        <v>3.0055540000000001</v>
      </c>
      <c r="T8572">
        <v>-5.0065760000000001E-2</v>
      </c>
      <c r="U8572">
        <v>-5.7342530000000003E-2</v>
      </c>
      <c r="V8572">
        <v>-4.3739140000000003E-2</v>
      </c>
      <c r="W8572">
        <v>-6.6184110000000004E-2</v>
      </c>
      <c r="X8572">
        <v>0.99684830000000002</v>
      </c>
      <c r="Y8572">
        <v>-5.9957280000000002E-2</v>
      </c>
      <c r="Z8572">
        <v>1.1041289999999999E-3</v>
      </c>
      <c r="AA8572">
        <v>0.99820039999999999</v>
      </c>
      <c r="AB8572">
        <v>22</v>
      </c>
      <c r="AC8572">
        <v>67.183700000000002</v>
      </c>
      <c r="AD8572">
        <v>-1.1211270181599999</v>
      </c>
      <c r="AE8572">
        <v>-1.27467</v>
      </c>
      <c r="AF8572">
        <v>-4.0359116044709804</v>
      </c>
      <c r="AG8572">
        <v>-1.1211270181599999</v>
      </c>
      <c r="AH8572">
        <v>67.0557450523618</v>
      </c>
      <c r="AI8572">
        <v>90.956127794082207</v>
      </c>
      <c r="AJ8572">
        <v>93.444329513568803</v>
      </c>
      <c r="AK8572">
        <v>67.186445454401706</v>
      </c>
      <c r="AL8572">
        <v>93.794844103137606</v>
      </c>
      <c r="AM8572">
        <v>92.512379993307107</v>
      </c>
      <c r="AN8572">
        <v>0.99999999099865999</v>
      </c>
    </row>
    <row r="8573" spans="1:40" x14ac:dyDescent="0.25">
      <c r="A8573" t="str">
        <f>"20190303154011828"</f>
        <v>20190303154011828</v>
      </c>
      <c r="B8573" t="str">
        <f>"1551598811816653"</f>
        <v>1551598811816653</v>
      </c>
      <c r="C8573" t="s">
        <v>40</v>
      </c>
      <c r="D8573">
        <v>4.9365750000000004</v>
      </c>
      <c r="E8573">
        <v>0.49312869999999998</v>
      </c>
      <c r="F8573" t="s">
        <v>63</v>
      </c>
      <c r="G8573">
        <v>-202.9246</v>
      </c>
      <c r="H8573" s="1">
        <v>-4.3989469999999997E-6</v>
      </c>
      <c r="I8573">
        <v>-63.595390000000002</v>
      </c>
      <c r="J8573">
        <v>-268.79379999999998</v>
      </c>
      <c r="K8573">
        <v>1.1211549999999999</v>
      </c>
      <c r="L8573">
        <v>-62.358280000000001</v>
      </c>
      <c r="M8573">
        <v>0.99676989999999999</v>
      </c>
      <c r="N8573">
        <v>-1.446272E-2</v>
      </c>
      <c r="O8573">
        <v>-7.8997919999999999E-2</v>
      </c>
      <c r="P8573">
        <v>0.99615319999999996</v>
      </c>
      <c r="Q8573">
        <v>-8.032011E-2</v>
      </c>
      <c r="R8573">
        <v>-3.5038069999999998E-2</v>
      </c>
      <c r="S8573">
        <v>3.0055540000000001</v>
      </c>
      <c r="T8573">
        <v>-5.1076410000000003E-2</v>
      </c>
      <c r="U8573">
        <v>-5.673218E-2</v>
      </c>
      <c r="V8573">
        <v>-4.3767960000000002E-2</v>
      </c>
      <c r="W8573">
        <v>-6.5913630000000001E-2</v>
      </c>
      <c r="X8573">
        <v>0.996865</v>
      </c>
      <c r="Y8573">
        <v>-6.0162380000000001E-2</v>
      </c>
      <c r="Z8573">
        <v>1.1436899999999999E-3</v>
      </c>
      <c r="AA8573">
        <v>0.99818799999999996</v>
      </c>
      <c r="AB8573">
        <v>22</v>
      </c>
      <c r="AC8573">
        <v>65.869199999999907</v>
      </c>
      <c r="AD8573">
        <v>-1.1211593989469999</v>
      </c>
      <c r="AE8573">
        <v>-1.2371099999999899</v>
      </c>
      <c r="AF8573">
        <v>-3.9696812754654598</v>
      </c>
      <c r="AG8573">
        <v>-1.1211593989469999</v>
      </c>
      <c r="AH8573">
        <v>65.742000846278501</v>
      </c>
      <c r="AI8573">
        <v>90.975247480934001</v>
      </c>
      <c r="AJ8573">
        <v>93.455479831101897</v>
      </c>
      <c r="AK8573">
        <v>65.871283903524301</v>
      </c>
      <c r="AL8573">
        <v>93.779312661283797</v>
      </c>
      <c r="AM8573">
        <v>92.513991230982896</v>
      </c>
      <c r="AN8573">
        <v>1.0000000345836599</v>
      </c>
    </row>
    <row r="8574" spans="1:40" x14ac:dyDescent="0.25">
      <c r="A8574" t="str">
        <f>"20190303154011840"</f>
        <v>20190303154011840</v>
      </c>
      <c r="B8574" t="str">
        <f>"1551598811837149"</f>
        <v>1551598811837149</v>
      </c>
      <c r="C8574" t="s">
        <v>40</v>
      </c>
      <c r="D8574">
        <v>4.916995</v>
      </c>
      <c r="E8574">
        <v>0.49307060000000003</v>
      </c>
      <c r="F8574" t="s">
        <v>63</v>
      </c>
      <c r="G8574">
        <v>-202.77430000000001</v>
      </c>
      <c r="H8574" s="1">
        <v>-4.4754399999999998E-6</v>
      </c>
      <c r="I8574">
        <v>-63.593739999999997</v>
      </c>
      <c r="J8574">
        <v>-268.68270000000001</v>
      </c>
      <c r="K8574">
        <v>1.121192</v>
      </c>
      <c r="L8574">
        <v>-62.367069999999998</v>
      </c>
      <c r="M8574">
        <v>0.99677289999999996</v>
      </c>
      <c r="N8574">
        <v>-1.4468089999999999E-2</v>
      </c>
      <c r="O8574">
        <v>-7.8959500000000002E-2</v>
      </c>
      <c r="P8574">
        <v>0.99616870000000002</v>
      </c>
      <c r="Q8574">
        <v>-8.0265569999999994E-2</v>
      </c>
      <c r="R8574">
        <v>-3.4719720000000003E-2</v>
      </c>
      <c r="S8574">
        <v>3.0055239999999999</v>
      </c>
      <c r="T8574">
        <v>-5.1040530000000001E-2</v>
      </c>
      <c r="U8574">
        <v>-5.6243899999999999E-2</v>
      </c>
      <c r="V8574">
        <v>-4.404288E-2</v>
      </c>
      <c r="W8574">
        <v>-6.5857200000000005E-2</v>
      </c>
      <c r="X8574">
        <v>0.99685659999999998</v>
      </c>
      <c r="Y8574">
        <v>-6.0285819999999997E-2</v>
      </c>
      <c r="Z8574">
        <v>1.1439969999999999E-3</v>
      </c>
      <c r="AA8574">
        <v>0.99818050000000003</v>
      </c>
      <c r="AB8574">
        <v>22</v>
      </c>
      <c r="AC8574">
        <v>65.9084</v>
      </c>
      <c r="AD8574">
        <v>-1.1211964754399999</v>
      </c>
      <c r="AE8574">
        <v>-1.2266699999999999</v>
      </c>
      <c r="AF8574">
        <v>-3.98064782456869</v>
      </c>
      <c r="AG8574">
        <v>-1.1211964754399999</v>
      </c>
      <c r="AH8574">
        <v>65.780417148498202</v>
      </c>
      <c r="AI8574">
        <v>90.974702549184201</v>
      </c>
      <c r="AJ8574">
        <v>93.462983969109004</v>
      </c>
      <c r="AK8574">
        <v>65.910286897192407</v>
      </c>
      <c r="AL8574">
        <v>93.776072499811704</v>
      </c>
      <c r="AM8574">
        <v>92.529783220483793</v>
      </c>
      <c r="AN8574">
        <v>1.0000000135170399</v>
      </c>
    </row>
    <row r="8575" spans="1:40" x14ac:dyDescent="0.25">
      <c r="A8575" t="str">
        <f>"20190303154011850"</f>
        <v>20190303154011850</v>
      </c>
      <c r="B8575" t="str">
        <f>"1551598811846909"</f>
        <v>1551598811846909</v>
      </c>
      <c r="C8575" t="s">
        <v>40</v>
      </c>
      <c r="D8575">
        <v>4.939533</v>
      </c>
      <c r="E8575">
        <v>0.49302099999999999</v>
      </c>
      <c r="F8575" t="s">
        <v>63</v>
      </c>
      <c r="G8575">
        <v>-203.97120000000001</v>
      </c>
      <c r="H8575" s="1">
        <v>-3.9595139999999999E-6</v>
      </c>
      <c r="I8575">
        <v>-63.547199999999997</v>
      </c>
      <c r="J8575">
        <v>-268.57069999999999</v>
      </c>
      <c r="K8575">
        <v>1.121224</v>
      </c>
      <c r="L8575">
        <v>-62.375920000000001</v>
      </c>
      <c r="M8575">
        <v>0.99677680000000002</v>
      </c>
      <c r="N8575">
        <v>-1.447326E-2</v>
      </c>
      <c r="O8575">
        <v>-7.8910369999999994E-2</v>
      </c>
      <c r="P8575">
        <v>0.99617429999999996</v>
      </c>
      <c r="Q8575">
        <v>-8.0114630000000006E-2</v>
      </c>
      <c r="R8575">
        <v>-3.4908340000000003E-2</v>
      </c>
      <c r="S8575">
        <v>3.0054020000000001</v>
      </c>
      <c r="T8575">
        <v>-5.2071810000000003E-2</v>
      </c>
      <c r="U8575">
        <v>-5.4809570000000002E-2</v>
      </c>
      <c r="V8575">
        <v>-4.3801369999999999E-2</v>
      </c>
      <c r="W8575">
        <v>-6.5704059999999995E-2</v>
      </c>
      <c r="X8575">
        <v>0.99687729999999997</v>
      </c>
      <c r="Y8575">
        <v>-6.0711370000000001E-2</v>
      </c>
      <c r="Z8575">
        <v>1.187867E-3</v>
      </c>
      <c r="AA8575">
        <v>0.9981546</v>
      </c>
      <c r="AB8575">
        <v>22</v>
      </c>
      <c r="AC8575">
        <v>64.599499999999907</v>
      </c>
      <c r="AD8575">
        <v>-1.121227959514</v>
      </c>
      <c r="AE8575">
        <v>-1.1712800000000001</v>
      </c>
      <c r="AF8575">
        <v>-3.92929347871419</v>
      </c>
      <c r="AG8575">
        <v>-1.121227959514</v>
      </c>
      <c r="AH8575">
        <v>64.4710383110165</v>
      </c>
      <c r="AI8575">
        <v>90.994496301284002</v>
      </c>
      <c r="AJ8575">
        <v>93.487671486711093</v>
      </c>
      <c r="AK8575">
        <v>64.600396904969699</v>
      </c>
      <c r="AL8575">
        <v>93.767279352914997</v>
      </c>
      <c r="AM8575">
        <v>92.515876802908096</v>
      </c>
      <c r="AN8575">
        <v>0.999999967384824</v>
      </c>
    </row>
    <row r="8576" spans="1:40" x14ac:dyDescent="0.25">
      <c r="A8576" t="str">
        <f>"20190303154011861"</f>
        <v>20190303154011861</v>
      </c>
      <c r="B8576" t="str">
        <f>"1551598811856669"</f>
        <v>1551598811856669</v>
      </c>
      <c r="C8576" t="s">
        <v>40</v>
      </c>
      <c r="D8576">
        <v>4.9428660000000004</v>
      </c>
      <c r="E8576">
        <v>0.49299559999999998</v>
      </c>
      <c r="F8576" t="s">
        <v>63</v>
      </c>
      <c r="G8576">
        <v>-204.08629999999999</v>
      </c>
      <c r="H8576" s="1">
        <v>-3.9207579999999999E-6</v>
      </c>
      <c r="I8576">
        <v>-63.55585</v>
      </c>
      <c r="J8576">
        <v>-268.45800000000003</v>
      </c>
      <c r="K8576">
        <v>1.1212569999999999</v>
      </c>
      <c r="L8576">
        <v>-62.384740000000001</v>
      </c>
      <c r="M8576">
        <v>0.99678389999999994</v>
      </c>
      <c r="N8576">
        <v>-1.447761E-2</v>
      </c>
      <c r="O8576">
        <v>-7.8818680000000002E-2</v>
      </c>
      <c r="P8576">
        <v>0.99615929999999997</v>
      </c>
      <c r="Q8576">
        <v>-8.0242160000000007E-2</v>
      </c>
      <c r="R8576">
        <v>-3.5043900000000003E-2</v>
      </c>
      <c r="S8576">
        <v>3.0054020000000001</v>
      </c>
      <c r="T8576">
        <v>-5.2256700000000003E-2</v>
      </c>
      <c r="U8576">
        <v>-5.4992680000000002E-2</v>
      </c>
      <c r="V8576">
        <v>-4.3568559999999999E-2</v>
      </c>
      <c r="W8576">
        <v>-6.5830429999999995E-2</v>
      </c>
      <c r="X8576">
        <v>0.99687919999999997</v>
      </c>
      <c r="Y8576">
        <v>-6.0558710000000002E-2</v>
      </c>
      <c r="Z8576">
        <v>1.1916780000000001E-3</v>
      </c>
      <c r="AA8576">
        <v>0.99816389999999999</v>
      </c>
      <c r="AB8576">
        <v>22</v>
      </c>
      <c r="AC8576">
        <v>64.371699999999905</v>
      </c>
      <c r="AD8576">
        <v>-1.121260920758</v>
      </c>
      <c r="AE8576">
        <v>-1.1711099999999901</v>
      </c>
      <c r="AF8576">
        <v>-3.9055734503204098</v>
      </c>
      <c r="AG8576">
        <v>-1.121260920758</v>
      </c>
      <c r="AH8576">
        <v>64.244225008541605</v>
      </c>
      <c r="AI8576">
        <v>90.998045301921806</v>
      </c>
      <c r="AJ8576">
        <v>93.478877924383497</v>
      </c>
      <c r="AK8576">
        <v>64.372596475335598</v>
      </c>
      <c r="AL8576">
        <v>93.774535399039294</v>
      </c>
      <c r="AM8576">
        <v>92.502516871264902</v>
      </c>
      <c r="AN8576">
        <v>1.00000000216354</v>
      </c>
    </row>
    <row r="8577" spans="1:40" x14ac:dyDescent="0.25">
      <c r="A8577" t="str">
        <f>"20190303154011874"</f>
        <v>20190303154011874</v>
      </c>
      <c r="B8577" t="str">
        <f>"1551598811866428"</f>
        <v>1551598811866428</v>
      </c>
      <c r="C8577" t="s">
        <v>40</v>
      </c>
      <c r="D8577">
        <v>4.9588859999999997</v>
      </c>
      <c r="E8577">
        <v>0.49297370000000001</v>
      </c>
      <c r="F8577" t="s">
        <v>63</v>
      </c>
      <c r="G8577">
        <v>-204.98869999999999</v>
      </c>
      <c r="H8577" s="1">
        <v>-3.5976539999999999E-6</v>
      </c>
      <c r="I8577">
        <v>-63.549370000000003</v>
      </c>
      <c r="J8577">
        <v>-268.346</v>
      </c>
      <c r="K8577">
        <v>1.1212869999999999</v>
      </c>
      <c r="L8577">
        <v>-62.393520000000002</v>
      </c>
      <c r="M8577">
        <v>0.99679229999999996</v>
      </c>
      <c r="N8577">
        <v>-1.448168E-2</v>
      </c>
      <c r="O8577">
        <v>-7.8711500000000004E-2</v>
      </c>
      <c r="P8577">
        <v>0.9961721</v>
      </c>
      <c r="Q8577">
        <v>-8.0026199999999895E-2</v>
      </c>
      <c r="R8577">
        <v>-3.5179340000000003E-2</v>
      </c>
      <c r="S8577">
        <v>3.0053100000000001</v>
      </c>
      <c r="T8577">
        <v>-5.3092359999999998E-2</v>
      </c>
      <c r="U8577">
        <v>-5.5145260000000001E-2</v>
      </c>
      <c r="V8577">
        <v>-4.3322949999999999E-2</v>
      </c>
      <c r="W8577">
        <v>-6.5613130000000006E-2</v>
      </c>
      <c r="X8577">
        <v>0.99690429999999997</v>
      </c>
      <c r="Y8577">
        <v>-6.039974E-2</v>
      </c>
      <c r="Z8577">
        <v>1.218958E-3</v>
      </c>
      <c r="AA8577">
        <v>0.99817350000000005</v>
      </c>
      <c r="AB8577">
        <v>22</v>
      </c>
      <c r="AC8577">
        <v>63.357300000000002</v>
      </c>
      <c r="AD8577">
        <v>-1.121290597654</v>
      </c>
      <c r="AE8577">
        <v>-1.15585</v>
      </c>
      <c r="AF8577">
        <v>-3.8340072394457598</v>
      </c>
      <c r="AG8577">
        <v>-1.121290597654</v>
      </c>
      <c r="AH8577">
        <v>63.231878323482597</v>
      </c>
      <c r="AI8577">
        <v>91.0140573192906</v>
      </c>
      <c r="AJ8577">
        <v>93.469829198932899</v>
      </c>
      <c r="AK8577">
        <v>63.357930367336103</v>
      </c>
      <c r="AL8577">
        <v>93.762057786505395</v>
      </c>
      <c r="AM8577">
        <v>92.488364587098104</v>
      </c>
      <c r="AN8577">
        <v>1.0000000720917901</v>
      </c>
    </row>
    <row r="8578" spans="1:40" x14ac:dyDescent="0.25">
      <c r="A8578" t="str">
        <f>"20190303154011883"</f>
        <v>20190303154011883</v>
      </c>
      <c r="B8578" t="str">
        <f>"1551598811877165"</f>
        <v>1551598811877165</v>
      </c>
      <c r="C8578" t="s">
        <v>40</v>
      </c>
      <c r="D8578">
        <v>4.9309209999999997</v>
      </c>
      <c r="E8578">
        <v>0.49297600000000003</v>
      </c>
      <c r="F8578" t="s">
        <v>63</v>
      </c>
      <c r="G8578">
        <v>-204.4992</v>
      </c>
      <c r="H8578" s="1">
        <v>-3.7792620000000002E-6</v>
      </c>
      <c r="I8578">
        <v>-63.568950000000001</v>
      </c>
      <c r="J8578">
        <v>-268.23590000000002</v>
      </c>
      <c r="K8578">
        <v>1.1213200000000001</v>
      </c>
      <c r="L8578">
        <v>-62.40213</v>
      </c>
      <c r="M8578">
        <v>0.99680259999999998</v>
      </c>
      <c r="N8578">
        <v>-1.448524E-2</v>
      </c>
      <c r="O8578">
        <v>-7.8578839999999997E-2</v>
      </c>
      <c r="P8578">
        <v>0.99619400000000002</v>
      </c>
      <c r="Q8578">
        <v>-7.9797880000000002E-2</v>
      </c>
      <c r="R8578">
        <v>-3.5070070000000002E-2</v>
      </c>
      <c r="S8578">
        <v>3.005341</v>
      </c>
      <c r="T8578">
        <v>-5.2780390000000003E-2</v>
      </c>
      <c r="U8578">
        <v>-5.5328370000000002E-2</v>
      </c>
      <c r="V8578">
        <v>-4.3296040000000001E-2</v>
      </c>
      <c r="W8578">
        <v>-6.5384049999999999E-2</v>
      </c>
      <c r="X8578">
        <v>0.99692049999999999</v>
      </c>
      <c r="Y8578">
        <v>-6.0206530000000001E-2</v>
      </c>
      <c r="Z8578">
        <v>1.203976E-3</v>
      </c>
      <c r="AA8578">
        <v>0.99818519999999999</v>
      </c>
      <c r="AB8578">
        <v>22</v>
      </c>
      <c r="AC8578">
        <v>63.736699999999999</v>
      </c>
      <c r="AD8578">
        <v>-1.1213237792620001</v>
      </c>
      <c r="AE8578">
        <v>-1.16681999999999</v>
      </c>
      <c r="AF8578">
        <v>-3.8444809186115401</v>
      </c>
      <c r="AG8578">
        <v>-1.1213237792620001</v>
      </c>
      <c r="AH8578">
        <v>63.611593242785602</v>
      </c>
      <c r="AI8578">
        <v>91.008047203536805</v>
      </c>
      <c r="AJ8578">
        <v>93.458566535564003</v>
      </c>
      <c r="AK8578">
        <v>63.737525802600103</v>
      </c>
      <c r="AL8578">
        <v>93.748904299800699</v>
      </c>
      <c r="AM8578">
        <v>92.486780523151197</v>
      </c>
      <c r="AN8578">
        <v>1.0000000521971599</v>
      </c>
    </row>
    <row r="8579" spans="1:40" x14ac:dyDescent="0.25">
      <c r="A8579" t="str">
        <f>"20190303154011895"</f>
        <v>20190303154011895</v>
      </c>
      <c r="B8579" t="str">
        <f>"1551598811886925"</f>
        <v>1551598811886925</v>
      </c>
      <c r="C8579" t="s">
        <v>40</v>
      </c>
      <c r="D8579">
        <v>4.9466199999999896</v>
      </c>
      <c r="E8579">
        <v>0.49296220000000002</v>
      </c>
      <c r="F8579" t="s">
        <v>63</v>
      </c>
      <c r="G8579">
        <v>-203.99289999999999</v>
      </c>
      <c r="H8579" s="1">
        <v>-3.9559519999999901E-6</v>
      </c>
      <c r="I8579">
        <v>-63.57573</v>
      </c>
      <c r="J8579">
        <v>-268.12920000000003</v>
      </c>
      <c r="K8579">
        <v>1.121351</v>
      </c>
      <c r="L8579">
        <v>-62.410369999999901</v>
      </c>
      <c r="M8579">
        <v>0.99681450000000005</v>
      </c>
      <c r="N8579">
        <v>-1.4488289999999999E-2</v>
      </c>
      <c r="O8579">
        <v>-7.8428189999999995E-2</v>
      </c>
      <c r="P8579">
        <v>0.99622860000000002</v>
      </c>
      <c r="Q8579">
        <v>-7.9316689999999995E-2</v>
      </c>
      <c r="R8579">
        <v>-3.5182489999999997E-2</v>
      </c>
      <c r="S8579">
        <v>3.005341</v>
      </c>
      <c r="T8579">
        <v>-5.2456500000000003E-2</v>
      </c>
      <c r="U8579">
        <v>-5.4901119999999998E-2</v>
      </c>
      <c r="V8579">
        <v>-4.3032599999999997E-2</v>
      </c>
      <c r="W8579">
        <v>-6.490195E-2</v>
      </c>
      <c r="X8579">
        <v>0.99696340000000006</v>
      </c>
      <c r="Y8579">
        <v>-6.01977E-2</v>
      </c>
      <c r="Z8579">
        <v>1.191555E-3</v>
      </c>
      <c r="AA8579">
        <v>0.99818580000000001</v>
      </c>
      <c r="AB8579">
        <v>22</v>
      </c>
      <c r="AC8579">
        <v>64.136300000000006</v>
      </c>
      <c r="AD8579">
        <v>-1.121354955952</v>
      </c>
      <c r="AE8579">
        <v>-1.1653600000000099</v>
      </c>
      <c r="AF8579">
        <v>-3.8676702687523301</v>
      </c>
      <c r="AG8579">
        <v>-1.121354955952</v>
      </c>
      <c r="AH8579">
        <v>64.010549495668499</v>
      </c>
      <c r="AI8579">
        <v>91.0017943840718</v>
      </c>
      <c r="AJ8579">
        <v>93.457744000397597</v>
      </c>
      <c r="AK8579">
        <v>64.137093455990495</v>
      </c>
      <c r="AL8579">
        <v>93.721223238559702</v>
      </c>
      <c r="AM8579">
        <v>92.471562002709305</v>
      </c>
      <c r="AN8579">
        <v>1.0000000443580599</v>
      </c>
    </row>
    <row r="8580" spans="1:40" x14ac:dyDescent="0.25">
      <c r="A8580" t="str">
        <f>"20190303154011906"</f>
        <v>20190303154011906</v>
      </c>
      <c r="B8580" t="str">
        <f>"1551598811896685"</f>
        <v>1551598811896685</v>
      </c>
      <c r="C8580" t="s">
        <v>40</v>
      </c>
      <c r="D8580">
        <v>4.9516960000000001</v>
      </c>
      <c r="E8580">
        <v>0.49296020000000002</v>
      </c>
      <c r="F8580" t="s">
        <v>63</v>
      </c>
      <c r="G8580">
        <v>-202.94159999999999</v>
      </c>
      <c r="H8580" s="1">
        <v>-4.3908329999999998E-6</v>
      </c>
      <c r="I8580">
        <v>-63.60521</v>
      </c>
      <c r="J8580">
        <v>-268.01510000000002</v>
      </c>
      <c r="K8580">
        <v>1.121383</v>
      </c>
      <c r="L8580">
        <v>-62.41919</v>
      </c>
      <c r="M8580">
        <v>0.99682870000000001</v>
      </c>
      <c r="N8580">
        <v>-1.4491230000000001E-2</v>
      </c>
      <c r="O8580">
        <v>-7.8248070000000003E-2</v>
      </c>
      <c r="P8580">
        <v>0.99625050000000004</v>
      </c>
      <c r="Q8580">
        <v>-7.9102199999999998E-2</v>
      </c>
      <c r="R8580">
        <v>-3.5047139999999997E-2</v>
      </c>
      <c r="S8580">
        <v>3.0053100000000001</v>
      </c>
      <c r="T8580">
        <v>-5.169725E-2</v>
      </c>
      <c r="U8580">
        <v>-5.5084229999999998E-2</v>
      </c>
      <c r="V8580">
        <v>-4.2984229999999998E-2</v>
      </c>
      <c r="W8580">
        <v>-6.4687339999999996E-2</v>
      </c>
      <c r="X8580">
        <v>0.99697939999999996</v>
      </c>
      <c r="Y8580">
        <v>-5.9956849999999999E-2</v>
      </c>
      <c r="Z8580">
        <v>1.159747E-3</v>
      </c>
      <c r="AA8580">
        <v>0.99820030000000004</v>
      </c>
      <c r="AB8580">
        <v>22</v>
      </c>
      <c r="AC8580">
        <v>65.073499999999996</v>
      </c>
      <c r="AD8580">
        <v>-1.1213873908329901</v>
      </c>
      <c r="AE8580">
        <v>-1.1860199999999901</v>
      </c>
      <c r="AF8580">
        <v>-3.9088667522145202</v>
      </c>
      <c r="AG8580">
        <v>-1.1213873908329901</v>
      </c>
      <c r="AH8580">
        <v>64.947470362834693</v>
      </c>
      <c r="AI8580">
        <v>90.987388185807305</v>
      </c>
      <c r="AJ8580">
        <v>93.444194797994001</v>
      </c>
      <c r="AK8580">
        <v>65.074654478515498</v>
      </c>
      <c r="AL8580">
        <v>93.708901225923498</v>
      </c>
      <c r="AM8580">
        <v>92.468747757038301</v>
      </c>
      <c r="AN8580">
        <v>1.00000001000466</v>
      </c>
    </row>
    <row r="8581" spans="1:40" x14ac:dyDescent="0.25">
      <c r="A8581" t="str">
        <f>"20190303154011919"</f>
        <v>20190303154011919</v>
      </c>
      <c r="B8581" t="str">
        <f>"1551598811906446"</f>
        <v>1551598811906446</v>
      </c>
      <c r="C8581" t="s">
        <v>40</v>
      </c>
      <c r="D8581">
        <v>4.914307</v>
      </c>
      <c r="E8581">
        <v>0.4929364</v>
      </c>
      <c r="F8581" t="s">
        <v>63</v>
      </c>
      <c r="G8581">
        <v>-202.90199999999999</v>
      </c>
      <c r="H8581" s="1">
        <v>-4.4107820000000001E-6</v>
      </c>
      <c r="I8581">
        <v>-63.600769999999997</v>
      </c>
      <c r="J8581">
        <v>-267.90300000000002</v>
      </c>
      <c r="K8581">
        <v>1.1214170000000001</v>
      </c>
      <c r="L8581">
        <v>-62.427799999999998</v>
      </c>
      <c r="M8581">
        <v>0.99684519999999999</v>
      </c>
      <c r="N8581">
        <v>-1.4493570000000001E-2</v>
      </c>
      <c r="O8581">
        <v>-7.8037079999999995E-2</v>
      </c>
      <c r="P8581">
        <v>0.99627160000000003</v>
      </c>
      <c r="Q8581">
        <v>-7.8961229999999993E-2</v>
      </c>
      <c r="R8581">
        <v>-3.4763599999999999E-2</v>
      </c>
      <c r="S8581">
        <v>3.0052490000000001</v>
      </c>
      <c r="T8581">
        <v>-5.1756860000000002E-2</v>
      </c>
      <c r="U8581">
        <v>-5.4534909999999999E-2</v>
      </c>
      <c r="V8581">
        <v>-4.3053090000000002E-2</v>
      </c>
      <c r="W8581">
        <v>-6.4547110000000005E-2</v>
      </c>
      <c r="X8581">
        <v>0.99698549999999997</v>
      </c>
      <c r="Y8581">
        <v>-5.9927569999999999E-2</v>
      </c>
      <c r="Z8581">
        <v>1.1607999999999901E-3</v>
      </c>
      <c r="AA8581">
        <v>0.99820200000000003</v>
      </c>
      <c r="AB8581">
        <v>22</v>
      </c>
      <c r="AC8581">
        <v>65.001000000000005</v>
      </c>
      <c r="AD8581">
        <v>-1.121421410782</v>
      </c>
      <c r="AE8581">
        <v>-1.1729699999999901</v>
      </c>
      <c r="AF8581">
        <v>-3.9024671856452899</v>
      </c>
      <c r="AG8581">
        <v>-1.121421410782</v>
      </c>
      <c r="AH8581">
        <v>64.874976374978303</v>
      </c>
      <c r="AI8581">
        <v>90.988523157786503</v>
      </c>
      <c r="AJ8581">
        <v>93.442402694879902</v>
      </c>
      <c r="AK8581">
        <v>65.001918400687202</v>
      </c>
      <c r="AL8581">
        <v>93.700849876917303</v>
      </c>
      <c r="AM8581">
        <v>92.472682633446396</v>
      </c>
      <c r="AN8581">
        <v>0.99999999258907502</v>
      </c>
    </row>
    <row r="8582" spans="1:40" x14ac:dyDescent="0.25">
      <c r="A8582" t="str">
        <f>"20190303154011930"</f>
        <v>20190303154011930</v>
      </c>
      <c r="B8582" t="str">
        <f>"1551598811926941"</f>
        <v>1551598811926941</v>
      </c>
      <c r="C8582" t="s">
        <v>40</v>
      </c>
      <c r="D8582">
        <v>4.9783809999999997</v>
      </c>
      <c r="E8582">
        <v>0.4929403</v>
      </c>
      <c r="F8582" t="s">
        <v>63</v>
      </c>
      <c r="G8582">
        <v>-203.17310000000001</v>
      </c>
      <c r="H8582" s="1">
        <v>-4.271328E-6</v>
      </c>
      <c r="I8582">
        <v>-63.578769999999999</v>
      </c>
      <c r="J8582">
        <v>-267.78280000000001</v>
      </c>
      <c r="K8582">
        <v>1.121453</v>
      </c>
      <c r="L8582">
        <v>-62.436950000000003</v>
      </c>
      <c r="M8582">
        <v>0.99686399999999997</v>
      </c>
      <c r="N8582">
        <v>-1.4495859999999999E-2</v>
      </c>
      <c r="O8582">
        <v>-7.7796359999999995E-2</v>
      </c>
      <c r="P8582">
        <v>0.99630359999999996</v>
      </c>
      <c r="Q8582">
        <v>-7.8659149999999997E-2</v>
      </c>
      <c r="R8582">
        <v>-3.4530419999999999E-2</v>
      </c>
      <c r="S8582">
        <v>3.0052490000000001</v>
      </c>
      <c r="T8582">
        <v>-5.2064899999999997E-2</v>
      </c>
      <c r="U8582">
        <v>-5.3436280000000003E-2</v>
      </c>
      <c r="V8582">
        <v>-4.304347E-2</v>
      </c>
      <c r="W8582">
        <v>-6.4245759999999999E-2</v>
      </c>
      <c r="X8582">
        <v>0.99700540000000004</v>
      </c>
      <c r="Y8582">
        <v>-6.0051119999999999E-2</v>
      </c>
      <c r="Z8582">
        <v>1.173065E-3</v>
      </c>
      <c r="AA8582">
        <v>0.99819460000000004</v>
      </c>
      <c r="AB8582">
        <v>22</v>
      </c>
      <c r="AC8582">
        <v>64.609700000000004</v>
      </c>
      <c r="AD8582">
        <v>-1.121457271328</v>
      </c>
      <c r="AE8582">
        <v>-1.1418199999999901</v>
      </c>
      <c r="AF8582">
        <v>-3.8873975104088898</v>
      </c>
      <c r="AG8582">
        <v>-1.121457271328</v>
      </c>
      <c r="AH8582">
        <v>64.483261631938205</v>
      </c>
      <c r="AI8582">
        <v>90.994550848324195</v>
      </c>
      <c r="AJ8582">
        <v>93.449922128437294</v>
      </c>
      <c r="AK8582">
        <v>64.6100654426874</v>
      </c>
      <c r="AL8582">
        <v>93.683547806885102</v>
      </c>
      <c r="AM8582">
        <v>92.472081528331103</v>
      </c>
      <c r="AN8582">
        <v>1.0000000128083799</v>
      </c>
    </row>
    <row r="8583" spans="1:40" x14ac:dyDescent="0.25">
      <c r="A8583" t="str">
        <f>"20190303154011942"</f>
        <v>20190303154011942</v>
      </c>
      <c r="B8583" t="str">
        <f>"1551598811936703"</f>
        <v>1551598811936703</v>
      </c>
      <c r="C8583" t="s">
        <v>40</v>
      </c>
      <c r="D8583">
        <v>4.9805979999999996</v>
      </c>
      <c r="E8583">
        <v>0.49284040000000001</v>
      </c>
      <c r="F8583" t="s">
        <v>63</v>
      </c>
      <c r="G8583">
        <v>-203.0624</v>
      </c>
      <c r="H8583" s="1">
        <v>-4.3272480000000003E-6</v>
      </c>
      <c r="I8583">
        <v>-63.570030000000003</v>
      </c>
      <c r="J8583">
        <v>-267.66989999999998</v>
      </c>
      <c r="K8583">
        <v>1.12148799999999</v>
      </c>
      <c r="L8583">
        <v>-62.445469999999901</v>
      </c>
      <c r="M8583">
        <v>0.99688469999999996</v>
      </c>
      <c r="N8583">
        <v>-1.4497609999999999E-2</v>
      </c>
      <c r="O8583">
        <v>-7.752945E-2</v>
      </c>
      <c r="P8583">
        <v>0.99633090000000002</v>
      </c>
      <c r="Q8583">
        <v>-7.8492480000000003E-2</v>
      </c>
      <c r="R8583">
        <v>-3.4118889999999999E-2</v>
      </c>
      <c r="S8583">
        <v>3.005188</v>
      </c>
      <c r="T8583">
        <v>-5.2073120000000001E-2</v>
      </c>
      <c r="U8583">
        <v>-5.2612300000000001E-2</v>
      </c>
      <c r="V8583">
        <v>-4.3184170000000001E-2</v>
      </c>
      <c r="W8583">
        <v>-6.4080590000000007E-2</v>
      </c>
      <c r="X8583">
        <v>0.9970099</v>
      </c>
      <c r="Y8583">
        <v>-6.0057109999999997E-2</v>
      </c>
      <c r="Z8583">
        <v>1.172684E-3</v>
      </c>
      <c r="AA8583">
        <v>0.99819429999999998</v>
      </c>
      <c r="AB8583">
        <v>22</v>
      </c>
      <c r="AC8583">
        <v>64.607499999999902</v>
      </c>
      <c r="AD8583">
        <v>-1.12149232724799</v>
      </c>
      <c r="AE8583">
        <v>-1.12456</v>
      </c>
      <c r="AF8583">
        <v>-3.88716481103625</v>
      </c>
      <c r="AG8583">
        <v>-1.12149232724799</v>
      </c>
      <c r="AH8583">
        <v>64.480766800981897</v>
      </c>
      <c r="AI8583">
        <v>90.994620480960606</v>
      </c>
      <c r="AJ8583">
        <v>93.449849265964204</v>
      </c>
      <c r="AK8583">
        <v>64.607562115830106</v>
      </c>
      <c r="AL8583">
        <v>93.674064888676298</v>
      </c>
      <c r="AM8583">
        <v>92.480140985876304</v>
      </c>
      <c r="AN8583">
        <v>0.999999967625673</v>
      </c>
    </row>
    <row r="8584" spans="1:40" x14ac:dyDescent="0.25">
      <c r="A8584" t="str">
        <f>"20190303154011953"</f>
        <v>20190303154011953</v>
      </c>
      <c r="B8584" t="str">
        <f>"1551598811946461"</f>
        <v>1551598811946461</v>
      </c>
      <c r="C8584" t="s">
        <v>40</v>
      </c>
      <c r="D8584">
        <v>4.9253679999999997</v>
      </c>
      <c r="E8584">
        <v>0.4928167</v>
      </c>
      <c r="F8584" t="s">
        <v>63</v>
      </c>
      <c r="G8584">
        <v>-202.38399999999999</v>
      </c>
      <c r="H8584" s="1">
        <v>-4.6713499999999998E-6</v>
      </c>
      <c r="I8584">
        <v>-63.54269</v>
      </c>
      <c r="J8584">
        <v>-267.56610000000001</v>
      </c>
      <c r="K8584">
        <v>1.1215200000000001</v>
      </c>
      <c r="L8584">
        <v>-62.453279999999999</v>
      </c>
      <c r="M8584">
        <v>0.99690460000000003</v>
      </c>
      <c r="N8584">
        <v>-1.4499049999999999E-2</v>
      </c>
      <c r="O8584">
        <v>-7.7271770000000004E-2</v>
      </c>
      <c r="P8584">
        <v>0.99637089999999995</v>
      </c>
      <c r="Q8584">
        <v>-7.8182619999999994E-2</v>
      </c>
      <c r="R8584">
        <v>-3.3656650000000003E-2</v>
      </c>
      <c r="S8584">
        <v>3.0052490000000001</v>
      </c>
      <c r="T8584">
        <v>-5.1624660000000003E-2</v>
      </c>
      <c r="U8584">
        <v>-5.0506589999999997E-2</v>
      </c>
      <c r="V8584">
        <v>-4.3386609999999999E-2</v>
      </c>
      <c r="W8584">
        <v>-6.3772200000000001E-2</v>
      </c>
      <c r="X8584">
        <v>0.99702089999999999</v>
      </c>
      <c r="Y8584">
        <v>-6.049877E-2</v>
      </c>
      <c r="Z8584">
        <v>1.1628859999999999E-3</v>
      </c>
      <c r="AA8584">
        <v>0.99816760000000004</v>
      </c>
      <c r="AB8584">
        <v>22</v>
      </c>
      <c r="AC8584">
        <v>65.182099999999906</v>
      </c>
      <c r="AD8584">
        <v>-1.12152467135</v>
      </c>
      <c r="AE8584">
        <v>-1.08940999999999</v>
      </c>
      <c r="AF8584">
        <v>-3.9499448212378199</v>
      </c>
      <c r="AG8584">
        <v>-1.12152467135</v>
      </c>
      <c r="AH8584">
        <v>65.052105205427495</v>
      </c>
      <c r="AI8584">
        <v>90.985889222490201</v>
      </c>
      <c r="AJ8584">
        <v>93.474716890310603</v>
      </c>
      <c r="AK8584">
        <v>65.181563906807895</v>
      </c>
      <c r="AL8584">
        <v>93.656359170587905</v>
      </c>
      <c r="AM8584">
        <v>92.491725386009904</v>
      </c>
      <c r="AN8584">
        <v>0.99999998322846995</v>
      </c>
    </row>
    <row r="8585" spans="1:40" x14ac:dyDescent="0.25">
      <c r="A8585" t="str">
        <f>"20190303154011963"</f>
        <v>20190303154011963</v>
      </c>
      <c r="B8585" t="str">
        <f>"1551598811957197"</f>
        <v>1551598811957197</v>
      </c>
      <c r="C8585" t="s">
        <v>40</v>
      </c>
      <c r="D8585">
        <v>4.9117709999999999</v>
      </c>
      <c r="E8585">
        <v>0.49279539999999999</v>
      </c>
      <c r="F8585" t="s">
        <v>63</v>
      </c>
      <c r="G8585">
        <v>-201.9778</v>
      </c>
      <c r="H8585" s="1">
        <v>-4.8769580000000002E-6</v>
      </c>
      <c r="I8585">
        <v>-63.519629999999999</v>
      </c>
      <c r="J8585">
        <v>-267.46089999999998</v>
      </c>
      <c r="K8585">
        <v>1.12155</v>
      </c>
      <c r="L8585">
        <v>-62.461120000000001</v>
      </c>
      <c r="M8585">
        <v>0.99692689999999995</v>
      </c>
      <c r="N8585">
        <v>-1.450016E-2</v>
      </c>
      <c r="O8585">
        <v>-7.698381E-2</v>
      </c>
      <c r="P8585">
        <v>0.99641290000000005</v>
      </c>
      <c r="Q8585">
        <v>-7.786237E-2</v>
      </c>
      <c r="R8585">
        <v>-3.3146439999999999E-2</v>
      </c>
      <c r="S8585">
        <v>3.0052490000000001</v>
      </c>
      <c r="T8585">
        <v>-5.1388139999999999E-2</v>
      </c>
      <c r="U8585">
        <v>-4.8858640000000002E-2</v>
      </c>
      <c r="V8585">
        <v>-4.3607130000000001E-2</v>
      </c>
      <c r="W8585">
        <v>-6.3453709999999997E-2</v>
      </c>
      <c r="X8585">
        <v>0.99703160000000002</v>
      </c>
      <c r="Y8585">
        <v>-6.0757720000000001E-2</v>
      </c>
      <c r="Z8585">
        <v>1.1577600000000001E-3</v>
      </c>
      <c r="AA8585">
        <v>0.99815189999999998</v>
      </c>
      <c r="AB8585">
        <v>22</v>
      </c>
      <c r="AC8585">
        <v>65.483099999999894</v>
      </c>
      <c r="AD8585">
        <v>-1.1215548769579999</v>
      </c>
      <c r="AE8585">
        <v>-1.0585100000000101</v>
      </c>
      <c r="AF8585">
        <v>-3.9851317920643599</v>
      </c>
      <c r="AG8585">
        <v>-1.1215548769579999</v>
      </c>
      <c r="AH8585">
        <v>65.351058822464594</v>
      </c>
      <c r="AI8585">
        <v>90.9813909980208</v>
      </c>
      <c r="AJ8585">
        <v>93.489596676761195</v>
      </c>
      <c r="AK8585">
        <v>65.482058992974302</v>
      </c>
      <c r="AL8585">
        <v>93.638074003354305</v>
      </c>
      <c r="AM8585">
        <v>92.504347087903597</v>
      </c>
      <c r="AN8585">
        <v>0.99999998324908002</v>
      </c>
    </row>
    <row r="8586" spans="1:40" x14ac:dyDescent="0.25">
      <c r="A8586" t="str">
        <f>"20190303154011973"</f>
        <v>20190303154011973</v>
      </c>
      <c r="B8586" t="str">
        <f>"1551598811966958"</f>
        <v>1551598811966958</v>
      </c>
      <c r="C8586" t="s">
        <v>40</v>
      </c>
      <c r="D8586">
        <v>4.9296259999999998</v>
      </c>
      <c r="E8586">
        <v>0.4927705</v>
      </c>
      <c r="F8586" t="s">
        <v>63</v>
      </c>
      <c r="G8586">
        <v>-201.14359999999999</v>
      </c>
      <c r="H8586" s="1">
        <v>-5.3009280000000003E-6</v>
      </c>
      <c r="I8586">
        <v>-63.500909999999998</v>
      </c>
      <c r="J8586">
        <v>-267.35739999999998</v>
      </c>
      <c r="K8586">
        <v>1.121575</v>
      </c>
      <c r="L8586">
        <v>-62.468780000000002</v>
      </c>
      <c r="M8586">
        <v>0.99695</v>
      </c>
      <c r="N8586">
        <v>-1.4501099999999999E-2</v>
      </c>
      <c r="O8586">
        <v>-7.668432E-2</v>
      </c>
      <c r="P8586">
        <v>0.99644820000000001</v>
      </c>
      <c r="Q8586">
        <v>-7.7605880000000002E-2</v>
      </c>
      <c r="R8586">
        <v>-3.2686920000000001E-2</v>
      </c>
      <c r="S8586">
        <v>3.0052490000000001</v>
      </c>
      <c r="T8586">
        <v>-5.0824639999999997E-2</v>
      </c>
      <c r="U8586">
        <v>-4.7119139999999997E-2</v>
      </c>
      <c r="V8586">
        <v>-4.3764730000000002E-2</v>
      </c>
      <c r="W8586">
        <v>-6.3199039999999998E-2</v>
      </c>
      <c r="X8586">
        <v>0.99704090000000001</v>
      </c>
      <c r="Y8586">
        <v>-6.1035699999999998E-2</v>
      </c>
      <c r="Z8586">
        <v>1.1412849999999999E-3</v>
      </c>
      <c r="AA8586">
        <v>0.99813490000000005</v>
      </c>
      <c r="AB8586">
        <v>22</v>
      </c>
      <c r="AC8586">
        <v>66.213799999999907</v>
      </c>
      <c r="AD8586">
        <v>-1.1215803009280001</v>
      </c>
      <c r="AE8586">
        <v>-1.03212999999999</v>
      </c>
      <c r="AF8586">
        <v>-4.0478426895833497</v>
      </c>
      <c r="AG8586">
        <v>-1.1215803009280001</v>
      </c>
      <c r="AH8586">
        <v>66.078988867197396</v>
      </c>
      <c r="AI8586">
        <v>90.970587630279795</v>
      </c>
      <c r="AJ8586">
        <v>93.505423722891805</v>
      </c>
      <c r="AK8586">
        <v>66.212353398155599</v>
      </c>
      <c r="AL8586">
        <v>93.623453032049397</v>
      </c>
      <c r="AM8586">
        <v>92.513363018730701</v>
      </c>
      <c r="AN8586">
        <v>1.00000001326085</v>
      </c>
    </row>
    <row r="8587" spans="1:40" x14ac:dyDescent="0.25">
      <c r="A8587" t="str">
        <f>"20190303154011984"</f>
        <v>20190303154011984</v>
      </c>
      <c r="B8587" t="str">
        <f>"1551598811976717"</f>
        <v>1551598811976717</v>
      </c>
      <c r="C8587" t="s">
        <v>40</v>
      </c>
      <c r="D8587">
        <v>4.9522209999999998</v>
      </c>
      <c r="E8587">
        <v>0.49277549999999998</v>
      </c>
      <c r="F8587" t="s">
        <v>63</v>
      </c>
      <c r="G8587">
        <v>-200.9306</v>
      </c>
      <c r="H8587" s="1">
        <v>-5.4079060000000001E-6</v>
      </c>
      <c r="I8587">
        <v>-63.474559999999997</v>
      </c>
      <c r="J8587">
        <v>-267.25119999999998</v>
      </c>
      <c r="K8587">
        <v>1.121607</v>
      </c>
      <c r="L8587">
        <v>-62.476619999999997</v>
      </c>
      <c r="M8587">
        <v>0.99697519999999995</v>
      </c>
      <c r="N8587">
        <v>-1.450188E-2</v>
      </c>
      <c r="O8587">
        <v>-7.6354909999999998E-2</v>
      </c>
      <c r="P8587">
        <v>0.99649670000000001</v>
      </c>
      <c r="Q8587">
        <v>-7.7212059999999999E-2</v>
      </c>
      <c r="R8587">
        <v>-3.2134309999999999E-2</v>
      </c>
      <c r="S8587">
        <v>3.0052189999999999</v>
      </c>
      <c r="T8587">
        <v>-5.0741550000000003E-2</v>
      </c>
      <c r="U8587">
        <v>-4.5501710000000001E-2</v>
      </c>
      <c r="V8587">
        <v>-4.3986890000000001E-2</v>
      </c>
      <c r="W8587">
        <v>-6.2807119999999994E-2</v>
      </c>
      <c r="X8587">
        <v>0.99705589999999999</v>
      </c>
      <c r="Y8587">
        <v>-6.1242810000000002E-2</v>
      </c>
      <c r="Z8587">
        <v>1.140811E-3</v>
      </c>
      <c r="AA8587">
        <v>0.99812230000000002</v>
      </c>
      <c r="AB8587">
        <v>22</v>
      </c>
      <c r="AC8587">
        <v>66.320599999999899</v>
      </c>
      <c r="AD8587">
        <v>-1.1216124079059999</v>
      </c>
      <c r="AE8587">
        <v>-0.99793999999999905</v>
      </c>
      <c r="AF8587">
        <v>-4.0682467774146902</v>
      </c>
      <c r="AG8587">
        <v>-1.1216124079059999</v>
      </c>
      <c r="AH8587">
        <v>66.184229894677898</v>
      </c>
      <c r="AI8587">
        <v>90.969059815949294</v>
      </c>
      <c r="AJ8587">
        <v>93.517461225527995</v>
      </c>
      <c r="AK8587">
        <v>66.318631869084101</v>
      </c>
      <c r="AL8587">
        <v>93.600952930459997</v>
      </c>
      <c r="AM8587">
        <v>92.526066997350597</v>
      </c>
      <c r="AN8587">
        <v>1.00000002426968</v>
      </c>
    </row>
    <row r="8588" spans="1:40" x14ac:dyDescent="0.25">
      <c r="A8588" t="str">
        <f>"20190303154011996"</f>
        <v>20190303154011996</v>
      </c>
      <c r="B8588" t="str">
        <f>"1551598811986477"</f>
        <v>1551598811986477</v>
      </c>
      <c r="C8588" t="s">
        <v>40</v>
      </c>
      <c r="D8588">
        <v>4.9051739999999997</v>
      </c>
      <c r="E8588">
        <v>0.49276360000000002</v>
      </c>
      <c r="F8588" t="s">
        <v>63</v>
      </c>
      <c r="G8588">
        <v>-200.27670000000001</v>
      </c>
      <c r="H8588" s="1">
        <v>-5.7399749999999899E-6</v>
      </c>
      <c r="I8588">
        <v>-63.454639999999998</v>
      </c>
      <c r="J8588">
        <v>-267.13810000000001</v>
      </c>
      <c r="K8588">
        <v>1.1216360000000001</v>
      </c>
      <c r="L8588">
        <v>-62.484859999999998</v>
      </c>
      <c r="M8588">
        <v>0.99700420000000001</v>
      </c>
      <c r="N8588">
        <v>-1.4495950000000001E-2</v>
      </c>
      <c r="O8588">
        <v>-7.5978119999999996E-2</v>
      </c>
      <c r="P8588">
        <v>0.99656369999999905</v>
      </c>
      <c r="Q8588">
        <v>-7.6583419999999999E-2</v>
      </c>
      <c r="R8588">
        <v>-3.1561890000000002E-2</v>
      </c>
      <c r="S8588">
        <v>3.0052490000000001</v>
      </c>
      <c r="T8588">
        <v>-5.0328489999999997E-2</v>
      </c>
      <c r="U8588">
        <v>-4.3884279999999998E-2</v>
      </c>
      <c r="V8588">
        <v>-4.4183060000000003E-2</v>
      </c>
      <c r="W8588">
        <v>-6.2186930000000001E-2</v>
      </c>
      <c r="X8588">
        <v>0.99708600000000003</v>
      </c>
      <c r="Y8588">
        <v>-6.1402999999999999E-2</v>
      </c>
      <c r="Z8588">
        <v>1.1280699999999999E-3</v>
      </c>
      <c r="AA8588">
        <v>0.99811240000000001</v>
      </c>
      <c r="AB8588">
        <v>22</v>
      </c>
      <c r="AC8588">
        <v>66.861400000000003</v>
      </c>
      <c r="AD8588">
        <v>-1.1216417399750001</v>
      </c>
      <c r="AE8588">
        <v>-0.96978000000000697</v>
      </c>
      <c r="AF8588">
        <v>-4.1124035084739603</v>
      </c>
      <c r="AG8588">
        <v>-1.1216417399750001</v>
      </c>
      <c r="AH8588">
        <v>66.723011935442997</v>
      </c>
      <c r="AI8588">
        <v>90.9612516068931</v>
      </c>
      <c r="AJ8588">
        <v>93.526904412014702</v>
      </c>
      <c r="AK8588">
        <v>66.859032782015504</v>
      </c>
      <c r="AL8588">
        <v>93.565349418190294</v>
      </c>
      <c r="AM8588">
        <v>92.537241407270002</v>
      </c>
      <c r="AN8588">
        <v>0.99999992422489103</v>
      </c>
    </row>
    <row r="8589" spans="1:40" x14ac:dyDescent="0.25">
      <c r="A8589" t="str">
        <f>"20190303154012006"</f>
        <v>20190303154012006</v>
      </c>
      <c r="B8589" t="str">
        <f>"1551598811997214"</f>
        <v>1551598811997214</v>
      </c>
      <c r="C8589" t="s">
        <v>40</v>
      </c>
      <c r="D8589">
        <v>4.9212069999999999</v>
      </c>
      <c r="E8589">
        <v>0.49277759999999998</v>
      </c>
      <c r="F8589" t="s">
        <v>63</v>
      </c>
      <c r="G8589">
        <v>-198.73410000000001</v>
      </c>
      <c r="H8589" s="1">
        <v>-6.4000609999999897E-6</v>
      </c>
      <c r="I8589">
        <v>-63.44068</v>
      </c>
      <c r="J8589">
        <v>-267.03050000000002</v>
      </c>
      <c r="K8589">
        <v>1.121667</v>
      </c>
      <c r="L8589">
        <v>-62.49268</v>
      </c>
      <c r="M8589">
        <v>0.99703280000000005</v>
      </c>
      <c r="N8589">
        <v>-1.448607E-2</v>
      </c>
      <c r="O8589">
        <v>-7.5603130000000004E-2</v>
      </c>
      <c r="P8589">
        <v>0.99663170000000001</v>
      </c>
      <c r="Q8589">
        <v>-7.5948509999999997E-2</v>
      </c>
      <c r="R8589">
        <v>-3.094216E-2</v>
      </c>
      <c r="S8589">
        <v>3.0052189999999999</v>
      </c>
      <c r="T8589">
        <v>-4.9277540000000002E-2</v>
      </c>
      <c r="U8589">
        <v>-4.1992189999999999E-2</v>
      </c>
      <c r="V8589">
        <v>-4.4429160000000002E-2</v>
      </c>
      <c r="W8589">
        <v>-6.156433E-2</v>
      </c>
      <c r="X8589">
        <v>0.99711380000000005</v>
      </c>
      <c r="Y8589">
        <v>-6.1656219999999998E-2</v>
      </c>
      <c r="Z8589">
        <v>1.0944959999999999E-3</v>
      </c>
      <c r="AA8589">
        <v>0.99809680000000001</v>
      </c>
      <c r="AB8589">
        <v>22</v>
      </c>
      <c r="AC8589">
        <v>68.296400000000006</v>
      </c>
      <c r="AD8589">
        <v>-1.121673400061</v>
      </c>
      <c r="AE8589">
        <v>-0.94799999999999995</v>
      </c>
      <c r="AF8589">
        <v>-4.2175395978916503</v>
      </c>
      <c r="AG8589">
        <v>-1.121673400061</v>
      </c>
      <c r="AH8589">
        <v>68.154193061083504</v>
      </c>
      <c r="AI8589">
        <v>90.941081976324199</v>
      </c>
      <c r="AJ8589">
        <v>93.541080284068897</v>
      </c>
      <c r="AK8589">
        <v>68.293775875138394</v>
      </c>
      <c r="AL8589">
        <v>93.529608227291106</v>
      </c>
      <c r="AM8589">
        <v>92.551284200389006</v>
      </c>
      <c r="AN8589">
        <v>1.00000002356854</v>
      </c>
    </row>
    <row r="8590" spans="1:40" x14ac:dyDescent="0.25">
      <c r="A8590" t="str">
        <f>"20190303154012018"</f>
        <v>20190303154012018</v>
      </c>
      <c r="B8590" t="str">
        <f>"1551598812006974"</f>
        <v>1551598812006974</v>
      </c>
      <c r="C8590" t="s">
        <v>40</v>
      </c>
      <c r="D8590">
        <v>4.9157409999999997</v>
      </c>
      <c r="E8590">
        <v>0.492753</v>
      </c>
      <c r="F8590" t="s">
        <v>63</v>
      </c>
      <c r="G8590">
        <v>-196.68369999999999</v>
      </c>
      <c r="H8590" s="1">
        <v>-7.2347450000000001E-6</v>
      </c>
      <c r="I8590">
        <v>-63.432769999999998</v>
      </c>
      <c r="J8590">
        <v>-266.91860000000003</v>
      </c>
      <c r="K8590">
        <v>1.121691</v>
      </c>
      <c r="L8590">
        <v>-62.500700000000002</v>
      </c>
      <c r="M8590">
        <v>0.99706539999999999</v>
      </c>
      <c r="N8590">
        <v>-1.445229E-2</v>
      </c>
      <c r="O8590">
        <v>-7.5177560000000004E-2</v>
      </c>
      <c r="P8590">
        <v>0.99670239999999999</v>
      </c>
      <c r="Q8590">
        <v>-7.5393890000000005E-2</v>
      </c>
      <c r="R8590">
        <v>-3.0004900000000001E-2</v>
      </c>
      <c r="S8590">
        <v>3.0052490000000001</v>
      </c>
      <c r="T8590">
        <v>-4.791844E-2</v>
      </c>
      <c r="U8590">
        <v>-4.0161130000000003E-2</v>
      </c>
      <c r="V8590">
        <v>-4.4940269999999997E-2</v>
      </c>
      <c r="W8590">
        <v>-6.1046599999999999E-2</v>
      </c>
      <c r="X8590">
        <v>0.99712270000000003</v>
      </c>
      <c r="Y8590">
        <v>-6.183901E-2</v>
      </c>
      <c r="Z8590">
        <v>1.0500850000000001E-3</v>
      </c>
      <c r="AA8590">
        <v>0.99808560000000002</v>
      </c>
      <c r="AB8590">
        <v>22</v>
      </c>
      <c r="AC8590">
        <v>70.234899999999996</v>
      </c>
      <c r="AD8590">
        <v>-1.121698234745</v>
      </c>
      <c r="AE8590">
        <v>-0.93206999999999596</v>
      </c>
      <c r="AF8590">
        <v>-4.3500988675607202</v>
      </c>
      <c r="AG8590">
        <v>-1.121698234745</v>
      </c>
      <c r="AH8590">
        <v>70.088309444187104</v>
      </c>
      <c r="AI8590">
        <v>90.915126786217897</v>
      </c>
      <c r="AJ8590">
        <v>93.551562347341999</v>
      </c>
      <c r="AK8590">
        <v>70.2321342964281</v>
      </c>
      <c r="AL8590">
        <v>93.4998886755303</v>
      </c>
      <c r="AM8590">
        <v>92.580571544646901</v>
      </c>
      <c r="AN8590">
        <v>0.99999999704726095</v>
      </c>
    </row>
    <row r="8591" spans="1:40" x14ac:dyDescent="0.25">
      <c r="A8591" t="str">
        <f>"20190303154012030"</f>
        <v>20190303154012030</v>
      </c>
      <c r="B8591" t="str">
        <f>"1551598812026493"</f>
        <v>1551598812026493</v>
      </c>
      <c r="C8591" t="s">
        <v>40</v>
      </c>
      <c r="D8591">
        <v>4.8983759999999998</v>
      </c>
      <c r="E8591">
        <v>0.49278880000000003</v>
      </c>
      <c r="F8591" t="s">
        <v>63</v>
      </c>
      <c r="G8591">
        <v>-195.24930000000001</v>
      </c>
      <c r="H8591" s="1">
        <v>-7.8162050000000002E-6</v>
      </c>
      <c r="I8591">
        <v>-63.384970000000003</v>
      </c>
      <c r="J8591">
        <v>-266.80590000000001</v>
      </c>
      <c r="K8591">
        <v>1.1217109999999999</v>
      </c>
      <c r="L8591">
        <v>-62.508699999999997</v>
      </c>
      <c r="M8591">
        <v>0.99709919999999996</v>
      </c>
      <c r="N8591">
        <v>-1.4410020000000001E-2</v>
      </c>
      <c r="O8591">
        <v>-7.4738230000000003E-2</v>
      </c>
      <c r="P8591">
        <v>0.99675179999999997</v>
      </c>
      <c r="Q8591">
        <v>-7.4911690000000003E-2</v>
      </c>
      <c r="R8591">
        <v>-2.9564E-2</v>
      </c>
      <c r="S8591">
        <v>3.0052189999999999</v>
      </c>
      <c r="T8591">
        <v>-4.7034739999999998E-2</v>
      </c>
      <c r="U8591">
        <v>-3.7078859999999998E-2</v>
      </c>
      <c r="V8591">
        <v>-4.4941010000000003E-2</v>
      </c>
      <c r="W8591">
        <v>-6.0608929999999998E-2</v>
      </c>
      <c r="X8591">
        <v>0.99714930000000002</v>
      </c>
      <c r="Y8591">
        <v>-6.2422859999999997E-2</v>
      </c>
      <c r="Z8591">
        <v>1.0290849999999999E-3</v>
      </c>
      <c r="AA8591">
        <v>0.99804930000000003</v>
      </c>
      <c r="AB8591">
        <v>22</v>
      </c>
      <c r="AC8591">
        <v>71.556600000000003</v>
      </c>
      <c r="AD8591">
        <v>-1.121718816205</v>
      </c>
      <c r="AE8591">
        <v>-0.87626999999999799</v>
      </c>
      <c r="AF8591">
        <v>-4.4736503572121302</v>
      </c>
      <c r="AG8591">
        <v>-1.121718816205</v>
      </c>
      <c r="AH8591">
        <v>71.404381700986093</v>
      </c>
      <c r="AI8591">
        <v>90.8982464092106</v>
      </c>
      <c r="AJ8591">
        <v>93.585027775538606</v>
      </c>
      <c r="AK8591">
        <v>71.553179710767097</v>
      </c>
      <c r="AL8591">
        <v>93.4747657378703</v>
      </c>
      <c r="AM8591">
        <v>92.580545232154094</v>
      </c>
      <c r="AN8591">
        <v>0.99999993163302503</v>
      </c>
    </row>
    <row r="8592" spans="1:40" x14ac:dyDescent="0.25">
      <c r="A8592" t="str">
        <f>"20190303154012041"</f>
        <v>20190303154012041</v>
      </c>
      <c r="B8592" t="str">
        <f>"1551598812036253"</f>
        <v>1551598812036253</v>
      </c>
      <c r="C8592" t="s">
        <v>40</v>
      </c>
      <c r="D8592">
        <v>4.9102050000000004</v>
      </c>
      <c r="E8592">
        <v>0.49279790000000001</v>
      </c>
      <c r="F8592" t="s">
        <v>63</v>
      </c>
      <c r="G8592">
        <v>-194.59979999999999</v>
      </c>
      <c r="H8592" s="1">
        <v>-8.0801059999999904E-6</v>
      </c>
      <c r="I8592">
        <v>-63.373930000000001</v>
      </c>
      <c r="J8592">
        <v>-266.69729999999998</v>
      </c>
      <c r="K8592">
        <v>1.1217269999999999</v>
      </c>
      <c r="L8592">
        <v>-62.516359999999999</v>
      </c>
      <c r="M8592">
        <v>0.99713470000000004</v>
      </c>
      <c r="N8592">
        <v>-1.433682E-2</v>
      </c>
      <c r="O8592">
        <v>-7.4278079999999996E-2</v>
      </c>
      <c r="P8592">
        <v>0.99681920000000002</v>
      </c>
      <c r="Q8592">
        <v>-7.4344690000000005E-2</v>
      </c>
      <c r="R8592">
        <v>-2.8717090000000001E-2</v>
      </c>
      <c r="S8592">
        <v>3.005188</v>
      </c>
      <c r="T8592">
        <v>-4.6685459999999998E-2</v>
      </c>
      <c r="U8592">
        <v>-3.6010739999999999E-2</v>
      </c>
      <c r="V8592">
        <v>-4.532796E-2</v>
      </c>
      <c r="W8592">
        <v>-6.0118119999999997E-2</v>
      </c>
      <c r="X8592">
        <v>0.99716159999999998</v>
      </c>
      <c r="Y8592">
        <v>-6.2316990000000003E-2</v>
      </c>
      <c r="Z8592">
        <v>1.017895E-3</v>
      </c>
      <c r="AA8592">
        <v>0.9980559</v>
      </c>
      <c r="AB8592">
        <v>22</v>
      </c>
      <c r="AC8592">
        <v>72.097499999999997</v>
      </c>
      <c r="AD8592">
        <v>-1.121735080106</v>
      </c>
      <c r="AE8592">
        <v>-0.85757000000000205</v>
      </c>
      <c r="AF8592">
        <v>-4.4995237139792401</v>
      </c>
      <c r="AG8592">
        <v>-1.121735080106</v>
      </c>
      <c r="AH8592">
        <v>71.944586683635706</v>
      </c>
      <c r="AI8592">
        <v>90.891521987990899</v>
      </c>
      <c r="AJ8592">
        <v>93.578703959369705</v>
      </c>
      <c r="AK8592">
        <v>72.093880158594402</v>
      </c>
      <c r="AL8592">
        <v>93.446592665360896</v>
      </c>
      <c r="AM8592">
        <v>92.602701696036505</v>
      </c>
      <c r="AN8592">
        <v>1.0000000344123201</v>
      </c>
    </row>
    <row r="8593" spans="1:40" x14ac:dyDescent="0.25">
      <c r="A8593" t="str">
        <f>"20190303154012052"</f>
        <v>20190303154012052</v>
      </c>
      <c r="B8593" t="str">
        <f>"1551598812046989"</f>
        <v>1551598812046989</v>
      </c>
      <c r="C8593" t="s">
        <v>40</v>
      </c>
      <c r="D8593">
        <v>4.9261119999999998</v>
      </c>
      <c r="E8593">
        <v>0.49282049999999999</v>
      </c>
      <c r="F8593" t="s">
        <v>63</v>
      </c>
      <c r="G8593">
        <v>-192.77209999999999</v>
      </c>
      <c r="H8593" s="1">
        <v>-8.8267109999999998E-6</v>
      </c>
      <c r="I8593">
        <v>-63.339129999999997</v>
      </c>
      <c r="J8593">
        <v>-266.58359999999999</v>
      </c>
      <c r="K8593">
        <v>1.121739</v>
      </c>
      <c r="L8593">
        <v>-62.524259999999998</v>
      </c>
      <c r="M8593">
        <v>0.99717230000000001</v>
      </c>
      <c r="N8593">
        <v>-1.42509E-2</v>
      </c>
      <c r="O8593">
        <v>-7.3785909999999996E-2</v>
      </c>
      <c r="P8593">
        <v>0.99689479999999997</v>
      </c>
      <c r="Q8593">
        <v>-7.3559940000000004E-2</v>
      </c>
      <c r="R8593">
        <v>-2.8103659999999999E-2</v>
      </c>
      <c r="S8593">
        <v>3.005188</v>
      </c>
      <c r="T8593">
        <v>-4.560053E-2</v>
      </c>
      <c r="U8593">
        <v>-3.3447270000000001E-2</v>
      </c>
      <c r="V8593">
        <v>-4.5450150000000002E-2</v>
      </c>
      <c r="W8593">
        <v>-5.942161E-2</v>
      </c>
      <c r="X8593">
        <v>0.99719769999999996</v>
      </c>
      <c r="Y8593">
        <v>-6.2676019999999999E-2</v>
      </c>
      <c r="Z8593">
        <v>9.8844629999999991E-4</v>
      </c>
      <c r="AA8593">
        <v>0.99803350000000002</v>
      </c>
      <c r="AB8593">
        <v>22</v>
      </c>
      <c r="AC8593">
        <v>73.811499999999995</v>
      </c>
      <c r="AD8593">
        <v>-1.1217478267109999</v>
      </c>
      <c r="AE8593">
        <v>-0.81487000000000598</v>
      </c>
      <c r="AF8593">
        <v>-4.6330834548887303</v>
      </c>
      <c r="AG8593">
        <v>-1.1217478267109999</v>
      </c>
      <c r="AH8593">
        <v>73.653379543600707</v>
      </c>
      <c r="AI8593">
        <v>90.870831665835496</v>
      </c>
      <c r="AJ8593">
        <v>93.599384454795498</v>
      </c>
      <c r="AK8593">
        <v>73.807479964298906</v>
      </c>
      <c r="AL8593">
        <v>93.406614401639899</v>
      </c>
      <c r="AM8593">
        <v>92.609613734238593</v>
      </c>
      <c r="AN8593">
        <v>0.99999994837765005</v>
      </c>
    </row>
    <row r="8594" spans="1:40" x14ac:dyDescent="0.25">
      <c r="A8594" t="str">
        <f>"20190303154012063"</f>
        <v>20190303154012063</v>
      </c>
      <c r="B8594" t="str">
        <f>"1551598812056749"</f>
        <v>1551598812056749</v>
      </c>
      <c r="C8594" t="s">
        <v>40</v>
      </c>
      <c r="D8594">
        <v>4.9209110000000003</v>
      </c>
      <c r="E8594">
        <v>0.49284919999999999</v>
      </c>
      <c r="F8594" t="s">
        <v>63</v>
      </c>
      <c r="G8594">
        <v>-189.6711</v>
      </c>
      <c r="H8594" s="1">
        <v>-1.016509E-5</v>
      </c>
      <c r="I8594">
        <v>-63.337319999999998</v>
      </c>
      <c r="J8594">
        <v>-266.47829999999999</v>
      </c>
      <c r="K8594">
        <v>1.121745</v>
      </c>
      <c r="L8594">
        <v>-62.531519999999901</v>
      </c>
      <c r="M8594">
        <v>0.99720880000000001</v>
      </c>
      <c r="N8594">
        <v>-1.415335E-2</v>
      </c>
      <c r="O8594">
        <v>-7.3308269999999995E-2</v>
      </c>
      <c r="P8594">
        <v>0.9969538</v>
      </c>
      <c r="Q8594">
        <v>-7.3071410000000003E-2</v>
      </c>
      <c r="R8594">
        <v>-2.7271070000000001E-2</v>
      </c>
      <c r="S8594">
        <v>3.005188</v>
      </c>
      <c r="T8594">
        <v>-4.3829920000000001E-2</v>
      </c>
      <c r="U8594">
        <v>-3.17688E-2</v>
      </c>
      <c r="V8594">
        <v>-4.580451E-2</v>
      </c>
      <c r="W8594">
        <v>-5.9033410000000001E-2</v>
      </c>
      <c r="X8594">
        <v>0.9972046</v>
      </c>
      <c r="Y8594">
        <v>-6.2756110000000004E-2</v>
      </c>
      <c r="Z8594">
        <v>9.3168359999999998E-4</v>
      </c>
      <c r="AA8594">
        <v>0.99802849999999999</v>
      </c>
      <c r="AB8594">
        <v>22</v>
      </c>
      <c r="AC8594">
        <v>76.807199999999995</v>
      </c>
      <c r="AD8594">
        <v>-1.12175516509</v>
      </c>
      <c r="AE8594">
        <v>-0.80580000000000496</v>
      </c>
      <c r="AF8594">
        <v>-4.8265067215760604</v>
      </c>
      <c r="AG8594">
        <v>-1.12175516509</v>
      </c>
      <c r="AH8594">
        <v>76.643227058489998</v>
      </c>
      <c r="AI8594">
        <v>90.836867318233502</v>
      </c>
      <c r="AJ8594">
        <v>93.603368334411201</v>
      </c>
      <c r="AK8594">
        <v>76.803240528789402</v>
      </c>
      <c r="AL8594">
        <v>93.384332870711106</v>
      </c>
      <c r="AM8594">
        <v>92.629913413670593</v>
      </c>
      <c r="AN8594">
        <v>1.0000000054468601</v>
      </c>
    </row>
    <row r="8595" spans="1:40" x14ac:dyDescent="0.25">
      <c r="A8595" t="str">
        <f>"20190303154012075"</f>
        <v>20190303154012075</v>
      </c>
      <c r="B8595" t="str">
        <f>"1551598812066509"</f>
        <v>1551598812066509</v>
      </c>
      <c r="C8595" t="s">
        <v>40</v>
      </c>
      <c r="D8595">
        <v>4.875896</v>
      </c>
      <c r="E8595">
        <v>0.49284919999999999</v>
      </c>
      <c r="F8595" t="s">
        <v>63</v>
      </c>
      <c r="G8595">
        <v>-187.9753</v>
      </c>
      <c r="H8595" s="1">
        <v>-9.9874450000000001E-6</v>
      </c>
      <c r="I8595">
        <v>-63.30001</v>
      </c>
      <c r="J8595">
        <v>-266.3698</v>
      </c>
      <c r="K8595">
        <v>1.1217469999999901</v>
      </c>
      <c r="L8595">
        <v>-62.538939999999997</v>
      </c>
      <c r="M8595">
        <v>0.99724780000000002</v>
      </c>
      <c r="N8595">
        <v>-1.4045149999999999E-2</v>
      </c>
      <c r="O8595">
        <v>-7.2799970000000006E-2</v>
      </c>
      <c r="P8595">
        <v>0.99697460000000004</v>
      </c>
      <c r="Q8595">
        <v>-7.3075319999999999E-2</v>
      </c>
      <c r="R8595">
        <v>-2.6493289999999999E-2</v>
      </c>
      <c r="S8595">
        <v>3.005188</v>
      </c>
      <c r="T8595">
        <v>-4.2942170000000002E-2</v>
      </c>
      <c r="U8595">
        <v>-2.9418949999999999E-2</v>
      </c>
      <c r="V8595">
        <v>-4.6070960000000001E-2</v>
      </c>
      <c r="W8595">
        <v>-5.9148369999999999E-2</v>
      </c>
      <c r="X8595">
        <v>0.99718549999999995</v>
      </c>
      <c r="Y8595">
        <v>-6.3027979999999997E-2</v>
      </c>
      <c r="Z8595">
        <v>9.0909669999999999E-4</v>
      </c>
      <c r="AA8595">
        <v>0.99801139999999999</v>
      </c>
      <c r="AB8595">
        <v>22</v>
      </c>
      <c r="AC8595">
        <v>78.394499999999994</v>
      </c>
      <c r="AD8595">
        <v>-1.12175698744499</v>
      </c>
      <c r="AE8595">
        <v>-0.76106999999999603</v>
      </c>
      <c r="AF8595">
        <v>-4.9476163689439598</v>
      </c>
      <c r="AG8595">
        <v>-1.12175698744499</v>
      </c>
      <c r="AH8595">
        <v>78.225840009795206</v>
      </c>
      <c r="AI8595">
        <v>90.819925915932401</v>
      </c>
      <c r="AJ8595">
        <v>93.619014429277499</v>
      </c>
      <c r="AK8595">
        <v>78.390173438456003</v>
      </c>
      <c r="AL8595">
        <v>93.390931168139204</v>
      </c>
      <c r="AM8595">
        <v>92.645240843963293</v>
      </c>
      <c r="AN8595">
        <v>0.999999992219614</v>
      </c>
    </row>
    <row r="8596" spans="1:40" x14ac:dyDescent="0.25">
      <c r="A8596" t="str">
        <f>"20190303154012086"</f>
        <v>20190303154012086</v>
      </c>
      <c r="B8596" t="str">
        <f>"1551598812077245"</f>
        <v>1551598812077245</v>
      </c>
      <c r="C8596" t="s">
        <v>40</v>
      </c>
      <c r="D8596">
        <v>4.8805199999999997</v>
      </c>
      <c r="E8596">
        <v>0.49247210000000002</v>
      </c>
      <c r="F8596" t="s">
        <v>63</v>
      </c>
      <c r="G8596">
        <v>-187.9126</v>
      </c>
      <c r="H8596" s="1">
        <v>-1.0000319999999999E-5</v>
      </c>
      <c r="I8596">
        <v>-63.243229999999997</v>
      </c>
      <c r="J8596">
        <v>-266.25729999999999</v>
      </c>
      <c r="K8596">
        <v>1.121748</v>
      </c>
      <c r="L8596">
        <v>-62.54654</v>
      </c>
      <c r="M8596">
        <v>0.99728899999999998</v>
      </c>
      <c r="N8596">
        <v>-1.392524E-2</v>
      </c>
      <c r="O8596">
        <v>-7.2255760000000002E-2</v>
      </c>
      <c r="P8596">
        <v>0.99701640000000002</v>
      </c>
      <c r="Q8596">
        <v>-7.2750990000000001E-2</v>
      </c>
      <c r="R8596">
        <v>-2.579967E-2</v>
      </c>
      <c r="S8596">
        <v>3.0052490000000001</v>
      </c>
      <c r="T8596">
        <v>-4.2968149999999997E-2</v>
      </c>
      <c r="U8596">
        <v>-2.6977540000000001E-2</v>
      </c>
      <c r="V8596">
        <v>-4.6218910000000002E-2</v>
      </c>
      <c r="W8596">
        <v>-5.894605E-2</v>
      </c>
      <c r="X8596">
        <v>0.99719069999999999</v>
      </c>
      <c r="Y8596">
        <v>-6.3294130000000004E-2</v>
      </c>
      <c r="Z8596">
        <v>9.1852779999999998E-4</v>
      </c>
      <c r="AA8596">
        <v>0.99799450000000001</v>
      </c>
      <c r="AB8596">
        <v>22</v>
      </c>
      <c r="AC8596">
        <v>78.344699999999904</v>
      </c>
      <c r="AD8596">
        <v>-1.1217580003200001</v>
      </c>
      <c r="AE8596">
        <v>-0.69669000000000303</v>
      </c>
      <c r="AF8596">
        <v>-4.9655178276549199</v>
      </c>
      <c r="AG8596">
        <v>-1.1217580003200001</v>
      </c>
      <c r="AH8596">
        <v>78.174197273645305</v>
      </c>
      <c r="AI8596">
        <v>90.820454211665094</v>
      </c>
      <c r="AJ8596">
        <v>93.634466712513301</v>
      </c>
      <c r="AK8596">
        <v>78.339771685184601</v>
      </c>
      <c r="AL8596">
        <v>93.379318601002197</v>
      </c>
      <c r="AM8596">
        <v>92.653709696949605</v>
      </c>
      <c r="AN8596">
        <v>1.00000005830933</v>
      </c>
    </row>
    <row r="8597" spans="1:40" x14ac:dyDescent="0.25">
      <c r="A8597" t="str">
        <f>"20190303154012097"</f>
        <v>20190303154012097</v>
      </c>
      <c r="B8597" t="str">
        <f>"1551598812087005"</f>
        <v>1551598812087005</v>
      </c>
      <c r="C8597" t="s">
        <v>40</v>
      </c>
      <c r="D8597">
        <v>4.9412820000000002</v>
      </c>
      <c r="E8597">
        <v>0.49247210000000002</v>
      </c>
      <c r="F8597" t="s">
        <v>63</v>
      </c>
      <c r="G8597">
        <v>-191.14619999999999</v>
      </c>
      <c r="H8597" s="1">
        <v>-9.5155959999999999E-6</v>
      </c>
      <c r="I8597">
        <v>-63.091160000000002</v>
      </c>
      <c r="J8597">
        <v>-266.14780000000002</v>
      </c>
      <c r="K8597">
        <v>1.121748</v>
      </c>
      <c r="L8597">
        <v>-62.553829999999998</v>
      </c>
      <c r="M8597">
        <v>0.99733079999999996</v>
      </c>
      <c r="N8597">
        <v>-1.3804220000000001E-2</v>
      </c>
      <c r="O8597">
        <v>-7.1700410000000006E-2</v>
      </c>
      <c r="P8597">
        <v>0.99705169999999999</v>
      </c>
      <c r="Q8597">
        <v>-7.2582079999999993E-2</v>
      </c>
      <c r="R8597">
        <v>-2.490142E-2</v>
      </c>
      <c r="S8597">
        <v>3.0051269999999999</v>
      </c>
      <c r="T8597">
        <v>-4.4880509999999998E-2</v>
      </c>
      <c r="U8597">
        <v>-2.1789550000000001E-2</v>
      </c>
      <c r="V8597">
        <v>-4.6559969999999999E-2</v>
      </c>
      <c r="W8597">
        <v>-5.8900429999999997E-2</v>
      </c>
      <c r="X8597">
        <v>0.99717750000000005</v>
      </c>
      <c r="Y8597">
        <v>-6.4459550000000004E-2</v>
      </c>
      <c r="Z8597">
        <v>1.0057759999999999E-3</v>
      </c>
      <c r="AA8597">
        <v>0.99791980000000002</v>
      </c>
      <c r="AB8597">
        <v>22</v>
      </c>
      <c r="AC8597">
        <v>75.001599999999996</v>
      </c>
      <c r="AD8597">
        <v>-1.121757515596</v>
      </c>
      <c r="AE8597">
        <v>-0.53732999999998998</v>
      </c>
      <c r="AF8597">
        <v>-4.8411276524266</v>
      </c>
      <c r="AG8597">
        <v>-1.121757515596</v>
      </c>
      <c r="AH8597">
        <v>74.830317208023402</v>
      </c>
      <c r="AI8597">
        <v>90.857047096345198</v>
      </c>
      <c r="AJ8597">
        <v>93.701576903840603</v>
      </c>
      <c r="AK8597">
        <v>74.995141378120493</v>
      </c>
      <c r="AL8597">
        <v>93.376700317436303</v>
      </c>
      <c r="AM8597">
        <v>92.673299065654405</v>
      </c>
      <c r="AN8597">
        <v>1.0000000289834099</v>
      </c>
    </row>
    <row r="8598" spans="1:40" x14ac:dyDescent="0.25">
      <c r="A8598" t="str">
        <f>"20190303154012108"</f>
        <v>20190303154012108</v>
      </c>
      <c r="B8598" t="str">
        <f>"1551598812096765"</f>
        <v>1551598812096765</v>
      </c>
      <c r="C8598" t="s">
        <v>40</v>
      </c>
      <c r="D8598">
        <v>4.9541440000000003</v>
      </c>
      <c r="E8598">
        <v>0.46696280000000001</v>
      </c>
      <c r="F8598" t="s">
        <v>63</v>
      </c>
      <c r="G8598">
        <v>-190.13749999999999</v>
      </c>
      <c r="H8598" s="1">
        <v>-9.951895E-6</v>
      </c>
      <c r="I8598">
        <v>-63.038580000000003</v>
      </c>
      <c r="J8598">
        <v>-266.0419</v>
      </c>
      <c r="K8598">
        <v>1.1217429999999999</v>
      </c>
      <c r="L8598">
        <v>-62.560879999999997</v>
      </c>
      <c r="M8598">
        <v>0.99737149999999997</v>
      </c>
      <c r="N8598">
        <v>-1.368573E-2</v>
      </c>
      <c r="O8598">
        <v>-7.1154399999999896E-2</v>
      </c>
      <c r="P8598">
        <v>0.99707420000000002</v>
      </c>
      <c r="Q8598">
        <v>-7.251842E-2</v>
      </c>
      <c r="R8598">
        <v>-2.4173589999999998E-2</v>
      </c>
      <c r="S8598">
        <v>3.0051570000000001</v>
      </c>
      <c r="T8598">
        <v>-4.4350029999999999E-2</v>
      </c>
      <c r="U8598">
        <v>-1.9165040000000001E-2</v>
      </c>
      <c r="V8598">
        <v>-4.6739540000000003E-2</v>
      </c>
      <c r="W8598">
        <v>-5.8957139999999998E-2</v>
      </c>
      <c r="X8598">
        <v>0.99716570000000004</v>
      </c>
      <c r="Y8598">
        <v>-6.4784910000000001E-2</v>
      </c>
      <c r="Z8598">
        <v>9.9619820000000007E-4</v>
      </c>
      <c r="AA8598">
        <v>0.99789879999999997</v>
      </c>
      <c r="AB8598">
        <v>22</v>
      </c>
      <c r="AC8598">
        <v>75.904399999999995</v>
      </c>
      <c r="AD8598">
        <v>-1.121752951895</v>
      </c>
      <c r="AE8598">
        <v>-0.47769999999999802</v>
      </c>
      <c r="AF8598">
        <v>-4.9238731777054401</v>
      </c>
      <c r="AG8598">
        <v>-1.121752951895</v>
      </c>
      <c r="AH8598">
        <v>75.729424759532193</v>
      </c>
      <c r="AI8598">
        <v>90.846851989373505</v>
      </c>
      <c r="AJ8598">
        <v>93.720094367337694</v>
      </c>
      <c r="AK8598">
        <v>75.897619403805194</v>
      </c>
      <c r="AL8598">
        <v>93.379955379408898</v>
      </c>
      <c r="AM8598">
        <v>92.683625969120996</v>
      </c>
      <c r="AN8598">
        <v>0.99999998110643995</v>
      </c>
    </row>
    <row r="8599" spans="1:40" x14ac:dyDescent="0.25">
      <c r="A8599" t="str">
        <f>"20190303154012120"</f>
        <v>20190303154012120</v>
      </c>
      <c r="B8599" t="str">
        <f>"1551598812117261"</f>
        <v>1551598812117261</v>
      </c>
      <c r="C8599" t="s">
        <v>40</v>
      </c>
      <c r="D8599">
        <v>4.9079579999999998</v>
      </c>
      <c r="E8599">
        <v>0.467196</v>
      </c>
      <c r="F8599" t="s">
        <v>86</v>
      </c>
      <c r="G8599">
        <v>-252.16659999999999</v>
      </c>
      <c r="H8599" s="1">
        <v>-3.5243360000000002E-7</v>
      </c>
      <c r="I8599">
        <v>-61.67353</v>
      </c>
      <c r="J8599">
        <v>-265.93150000000003</v>
      </c>
      <c r="K8599">
        <v>1.121742</v>
      </c>
      <c r="L8599">
        <v>-62.568080000000002</v>
      </c>
      <c r="M8599">
        <v>0.99741570000000002</v>
      </c>
      <c r="N8599">
        <v>-1.3561409999999999E-2</v>
      </c>
      <c r="O8599">
        <v>-7.0555580000000007E-2</v>
      </c>
      <c r="P8599">
        <v>0.99709550000000002</v>
      </c>
      <c r="Q8599">
        <v>-7.2505189999999997E-2</v>
      </c>
      <c r="R8599">
        <v>-2.3317060000000001E-2</v>
      </c>
      <c r="S8599">
        <v>2.995819</v>
      </c>
      <c r="T8599">
        <v>-0.24219570000000001</v>
      </c>
      <c r="U8599">
        <v>0.19158939999999999</v>
      </c>
      <c r="V8599">
        <v>-4.6994559999999998E-2</v>
      </c>
      <c r="W8599">
        <v>-5.9070259999999999E-2</v>
      </c>
      <c r="X8599">
        <v>0.99714700000000001</v>
      </c>
      <c r="Y8599">
        <v>-0.13341510000000001</v>
      </c>
      <c r="Z8599">
        <v>1.101997E-2</v>
      </c>
      <c r="AA8599">
        <v>0.99099899999999996</v>
      </c>
      <c r="AB8599">
        <v>22</v>
      </c>
      <c r="AC8599">
        <v>13.764900000000001</v>
      </c>
      <c r="AD8599">
        <v>-1.1217423524336001</v>
      </c>
      <c r="AE8599">
        <v>0.89454999999999496</v>
      </c>
      <c r="AF8599">
        <v>-1.8513566807867801</v>
      </c>
      <c r="AG8599">
        <v>-1.1217423524336001</v>
      </c>
      <c r="AH8599">
        <v>13.577676686465001</v>
      </c>
      <c r="AI8599">
        <v>94.679752382140805</v>
      </c>
      <c r="AJ8599">
        <v>97.764566612007002</v>
      </c>
      <c r="AK8599">
        <v>13.749150216173801</v>
      </c>
      <c r="AL8599">
        <v>93.386448058574203</v>
      </c>
      <c r="AM8599">
        <v>92.698297299098698</v>
      </c>
      <c r="AN8599">
        <v>0.99999996194752905</v>
      </c>
    </row>
    <row r="8600" spans="1:40" x14ac:dyDescent="0.25">
      <c r="A8600" t="str">
        <f>"20190303154012131"</f>
        <v>20190303154012131</v>
      </c>
      <c r="B8600" t="str">
        <f>"1551598812127022"</f>
        <v>1551598812127022</v>
      </c>
      <c r="C8600" t="s">
        <v>40</v>
      </c>
      <c r="D8600">
        <v>4.9030500000000004</v>
      </c>
      <c r="E8600">
        <v>0.46734910000000002</v>
      </c>
      <c r="F8600" t="s">
        <v>86</v>
      </c>
      <c r="G8600">
        <v>-251.9579</v>
      </c>
      <c r="H8600" s="1">
        <v>-2.623854E-7</v>
      </c>
      <c r="I8600">
        <v>-61.671149999999997</v>
      </c>
      <c r="J8600">
        <v>-265.81849999999997</v>
      </c>
      <c r="K8600">
        <v>1.1217410000000001</v>
      </c>
      <c r="L8600">
        <v>-62.575409999999998</v>
      </c>
      <c r="M8600">
        <v>0.99746109999999999</v>
      </c>
      <c r="N8600">
        <v>-1.3433870000000001E-2</v>
      </c>
      <c r="O8600">
        <v>-6.9935170000000005E-2</v>
      </c>
      <c r="P8600">
        <v>0.99712710000000004</v>
      </c>
      <c r="Q8600">
        <v>-7.2315110000000002E-2</v>
      </c>
      <c r="R8600">
        <v>-2.25442E-2</v>
      </c>
      <c r="S8600">
        <v>2.9957579999999999</v>
      </c>
      <c r="T8600">
        <v>-0.24048649999999999</v>
      </c>
      <c r="U8600">
        <v>0.1922913</v>
      </c>
      <c r="V8600">
        <v>-4.714641E-2</v>
      </c>
      <c r="W8600">
        <v>-5.9009329999999999E-2</v>
      </c>
      <c r="X8600">
        <v>0.99714349999999996</v>
      </c>
      <c r="Y8600">
        <v>-0.1330433</v>
      </c>
      <c r="Z8600">
        <v>1.088398E-2</v>
      </c>
      <c r="AA8600">
        <v>0.99105049999999995</v>
      </c>
      <c r="AB8600">
        <v>22</v>
      </c>
      <c r="AC8600">
        <v>13.8605999999999</v>
      </c>
      <c r="AD8600">
        <v>-1.1217412623854</v>
      </c>
      <c r="AE8600">
        <v>0.90425999999999995</v>
      </c>
      <c r="AF8600">
        <v>-1.85934986226584</v>
      </c>
      <c r="AG8600">
        <v>-1.1217412623854</v>
      </c>
      <c r="AH8600">
        <v>13.674228938324401</v>
      </c>
      <c r="AI8600">
        <v>94.647083818996805</v>
      </c>
      <c r="AJ8600">
        <v>97.743290099612096</v>
      </c>
      <c r="AK8600">
        <v>13.845577720982099</v>
      </c>
      <c r="AL8600">
        <v>93.382950721902802</v>
      </c>
      <c r="AM8600">
        <v>92.707012644379006</v>
      </c>
      <c r="AN8600">
        <v>1.00000002229759</v>
      </c>
    </row>
    <row r="8601" spans="1:40" x14ac:dyDescent="0.25">
      <c r="A8601" t="str">
        <f>"20190303154012143"</f>
        <v>20190303154012143</v>
      </c>
      <c r="B8601" t="str">
        <f>"1551598812136781"</f>
        <v>1551598812136781</v>
      </c>
      <c r="C8601" t="s">
        <v>40</v>
      </c>
      <c r="D8601">
        <v>4.9056680000000004</v>
      </c>
      <c r="E8601">
        <v>0.46738449999999998</v>
      </c>
      <c r="F8601" t="s">
        <v>86</v>
      </c>
      <c r="G8601">
        <v>-251.85499999999999</v>
      </c>
      <c r="H8601" s="1">
        <v>-2.1886180000000001E-7</v>
      </c>
      <c r="I8601">
        <v>-61.673940000000002</v>
      </c>
      <c r="J8601">
        <v>-265.70069999999998</v>
      </c>
      <c r="K8601">
        <v>1.1217379999999999</v>
      </c>
      <c r="L8601">
        <v>-62.582920000000001</v>
      </c>
      <c r="M8601">
        <v>0.99750970000000005</v>
      </c>
      <c r="N8601">
        <v>-1.329986E-2</v>
      </c>
      <c r="O8601">
        <v>-6.9264179999999995E-2</v>
      </c>
      <c r="P8601">
        <v>0.99715860000000001</v>
      </c>
      <c r="Q8601">
        <v>-7.2071720000000006E-2</v>
      </c>
      <c r="R8601">
        <v>-2.1921619999999999E-2</v>
      </c>
      <c r="S8601">
        <v>2.9955750000000001</v>
      </c>
      <c r="T8601">
        <v>-0.2406451</v>
      </c>
      <c r="U8601">
        <v>0.1933899</v>
      </c>
      <c r="V8601">
        <v>-4.7097260000000002E-2</v>
      </c>
      <c r="W8601">
        <v>-5.8901090000000003E-2</v>
      </c>
      <c r="X8601">
        <v>0.99715220000000004</v>
      </c>
      <c r="Y8601">
        <v>-0.1327441</v>
      </c>
      <c r="Z8601">
        <v>1.083336E-2</v>
      </c>
      <c r="AA8601">
        <v>0.9910911</v>
      </c>
      <c r="AB8601">
        <v>22</v>
      </c>
      <c r="AC8601">
        <v>13.8456999999999</v>
      </c>
      <c r="AD8601">
        <v>-1.1217382188617999</v>
      </c>
      <c r="AE8601">
        <v>0.90897999999999202</v>
      </c>
      <c r="AF8601">
        <v>-1.8537769006021201</v>
      </c>
      <c r="AG8601">
        <v>-1.1217382188617999</v>
      </c>
      <c r="AH8601">
        <v>13.660198717142499</v>
      </c>
      <c r="AI8601">
        <v>94.651989027617304</v>
      </c>
      <c r="AJ8601">
        <v>97.728195446617704</v>
      </c>
      <c r="AK8601">
        <v>13.8309730106266</v>
      </c>
      <c r="AL8601">
        <v>93.376738295947703</v>
      </c>
      <c r="AM8601">
        <v>92.704171223825497</v>
      </c>
      <c r="AN8601">
        <v>1.0000000001337599</v>
      </c>
    </row>
    <row r="8602" spans="1:40" x14ac:dyDescent="0.25">
      <c r="A8602" t="str">
        <f>"20190303154012155"</f>
        <v>20190303154012155</v>
      </c>
      <c r="B8602" t="str">
        <f>"1551598812146541"</f>
        <v>1551598812146541</v>
      </c>
      <c r="C8602" t="s">
        <v>40</v>
      </c>
      <c r="D8602">
        <v>4.8908069999999997</v>
      </c>
      <c r="E8602">
        <v>0.46763650000000001</v>
      </c>
      <c r="F8602" t="s">
        <v>86</v>
      </c>
      <c r="G8602">
        <v>-251.73320000000001</v>
      </c>
      <c r="H8602" s="1">
        <v>-1.6657539999999999E-7</v>
      </c>
      <c r="I8602">
        <v>-61.673760000000001</v>
      </c>
      <c r="J8602">
        <v>-265.59379999999999</v>
      </c>
      <c r="K8602">
        <v>1.121737</v>
      </c>
      <c r="L8602">
        <v>-62.589689999999997</v>
      </c>
      <c r="M8602">
        <v>0.99755400000000005</v>
      </c>
      <c r="N8602">
        <v>-1.317813E-2</v>
      </c>
      <c r="O8602">
        <v>-6.8645399999999995E-2</v>
      </c>
      <c r="P8602">
        <v>0.99718209999999996</v>
      </c>
      <c r="Q8602">
        <v>-7.196661E-2</v>
      </c>
      <c r="R8602">
        <v>-2.1178249999999999E-2</v>
      </c>
      <c r="S8602">
        <v>2.9954830000000001</v>
      </c>
      <c r="T8602">
        <v>-0.24056830000000001</v>
      </c>
      <c r="U8602">
        <v>0.19497680000000001</v>
      </c>
      <c r="V8602">
        <v>-4.7219879999999999E-2</v>
      </c>
      <c r="W8602">
        <v>-5.8919239999999998E-2</v>
      </c>
      <c r="X8602">
        <v>0.99714539999999996</v>
      </c>
      <c r="Y8602">
        <v>-0.13265629999999901</v>
      </c>
      <c r="Z8602">
        <v>1.078493E-2</v>
      </c>
      <c r="AA8602">
        <v>0.99110339999999997</v>
      </c>
      <c r="AB8602">
        <v>22</v>
      </c>
      <c r="AC8602">
        <v>13.8605999999999</v>
      </c>
      <c r="AD8602">
        <v>-1.1217371665753999</v>
      </c>
      <c r="AE8602">
        <v>0.91593000000001001</v>
      </c>
      <c r="AF8602">
        <v>-1.8532329386473001</v>
      </c>
      <c r="AG8602">
        <v>-1.1217371665753999</v>
      </c>
      <c r="AH8602">
        <v>13.6758364870138</v>
      </c>
      <c r="AI8602">
        <v>94.646808731605802</v>
      </c>
      <c r="AJ8602">
        <v>97.717227320606995</v>
      </c>
      <c r="AK8602">
        <v>13.846345012865401</v>
      </c>
      <c r="AL8602">
        <v>93.377779782778106</v>
      </c>
      <c r="AM8602">
        <v>92.711219634779397</v>
      </c>
      <c r="AN8602">
        <v>1.0000000713252699</v>
      </c>
    </row>
    <row r="8603" spans="1:40" x14ac:dyDescent="0.25">
      <c r="A8603" t="str">
        <f>"20190303154012167"</f>
        <v>20190303154012167</v>
      </c>
      <c r="B8603" t="str">
        <f>"1551598812157277"</f>
        <v>1551598812157277</v>
      </c>
      <c r="C8603" t="s">
        <v>40</v>
      </c>
      <c r="D8603">
        <v>4.878336</v>
      </c>
      <c r="E8603">
        <v>0.46770060000000002</v>
      </c>
      <c r="F8603" t="s">
        <v>86</v>
      </c>
      <c r="G8603">
        <v>-251.64670000000001</v>
      </c>
      <c r="H8603" s="1">
        <v>-1.309803E-7</v>
      </c>
      <c r="I8603">
        <v>-61.680660000000003</v>
      </c>
      <c r="J8603">
        <v>-265.46719999999999</v>
      </c>
      <c r="K8603">
        <v>1.121734</v>
      </c>
      <c r="L8603">
        <v>-62.5976</v>
      </c>
      <c r="M8603">
        <v>0.99760709999999997</v>
      </c>
      <c r="N8603">
        <v>-1.303385E-2</v>
      </c>
      <c r="O8603">
        <v>-6.7899989999999993E-2</v>
      </c>
      <c r="P8603">
        <v>0.99722960000000005</v>
      </c>
      <c r="Q8603">
        <v>-7.1511340000000007E-2</v>
      </c>
      <c r="R8603">
        <v>-2.0478570000000001E-2</v>
      </c>
      <c r="S8603">
        <v>2.9952390000000002</v>
      </c>
      <c r="T8603">
        <v>-0.2409</v>
      </c>
      <c r="U8603">
        <v>0.1952209</v>
      </c>
      <c r="V8603">
        <v>-4.7175090000000003E-2</v>
      </c>
      <c r="W8603">
        <v>-5.860928E-2</v>
      </c>
      <c r="X8603">
        <v>0.99716570000000004</v>
      </c>
      <c r="Y8603">
        <v>-0.1320036</v>
      </c>
      <c r="Z8603">
        <v>1.0720439999999999E-2</v>
      </c>
      <c r="AA8603">
        <v>0.9911913</v>
      </c>
      <c r="AB8603">
        <v>22</v>
      </c>
      <c r="AC8603">
        <v>13.8204999999999</v>
      </c>
      <c r="AD8603">
        <v>-1.1217341309802999</v>
      </c>
      <c r="AE8603">
        <v>0.91694000000000397</v>
      </c>
      <c r="AF8603">
        <v>-1.84123856585428</v>
      </c>
      <c r="AG8603">
        <v>-1.1217341309802999</v>
      </c>
      <c r="AH8603">
        <v>13.6368914594067</v>
      </c>
      <c r="AI8603">
        <v>94.660312001445305</v>
      </c>
      <c r="AJ8603">
        <v>97.689513262210696</v>
      </c>
      <c r="AK8603">
        <v>13.8062759494599</v>
      </c>
      <c r="AL8603">
        <v>93.3599899310545</v>
      </c>
      <c r="AM8603">
        <v>92.708596703341797</v>
      </c>
      <c r="AN8603">
        <v>0.99999998503755805</v>
      </c>
    </row>
    <row r="8604" spans="1:40" x14ac:dyDescent="0.25">
      <c r="A8604" t="str">
        <f>"20190303154012177"</f>
        <v>20190303154012177</v>
      </c>
      <c r="B8604" t="str">
        <f>"1551598812167038"</f>
        <v>1551598812167038</v>
      </c>
      <c r="C8604" t="s">
        <v>40</v>
      </c>
      <c r="D8604">
        <v>4.9008690000000001</v>
      </c>
      <c r="E8604">
        <v>0.4678233</v>
      </c>
      <c r="F8604" t="s">
        <v>86</v>
      </c>
      <c r="G8604">
        <v>-251.48650000000001</v>
      </c>
      <c r="H8604" s="1">
        <v>-6.1904189999999997E-8</v>
      </c>
      <c r="I8604">
        <v>-61.678939999999997</v>
      </c>
      <c r="J8604">
        <v>-265.3648</v>
      </c>
      <c r="K8604">
        <v>1.1217330000000001</v>
      </c>
      <c r="L8604">
        <v>-62.603850000000001</v>
      </c>
      <c r="M8604">
        <v>0.99765029999999999</v>
      </c>
      <c r="N8604">
        <v>-1.2917329999999999E-2</v>
      </c>
      <c r="O8604">
        <v>-6.7283889999999999E-2</v>
      </c>
      <c r="P8604">
        <v>0.99724400000000002</v>
      </c>
      <c r="Q8604">
        <v>-7.1466849999999998E-2</v>
      </c>
      <c r="R8604">
        <v>-1.9923159999999999E-2</v>
      </c>
      <c r="S8604">
        <v>2.9951479999999999</v>
      </c>
      <c r="T8604">
        <v>-0.2403151</v>
      </c>
      <c r="U8604">
        <v>0.19680790000000001</v>
      </c>
      <c r="V8604">
        <v>-4.7112609999999999E-2</v>
      </c>
      <c r="W8604">
        <v>-5.8682270000000002E-2</v>
      </c>
      <c r="X8604">
        <v>0.99716439999999995</v>
      </c>
      <c r="Y8604">
        <v>-0.13192110000000001</v>
      </c>
      <c r="Z8604">
        <v>1.064966E-2</v>
      </c>
      <c r="AA8604">
        <v>0.99120299999999995</v>
      </c>
      <c r="AB8604">
        <v>22</v>
      </c>
      <c r="AC8604">
        <v>13.8782999999999</v>
      </c>
      <c r="AD8604">
        <v>-1.1217330619041801</v>
      </c>
      <c r="AE8604">
        <v>0.92490999999999701</v>
      </c>
      <c r="AF8604">
        <v>-1.8446797292883499</v>
      </c>
      <c r="AG8604">
        <v>-1.1217330619041801</v>
      </c>
      <c r="AH8604">
        <v>13.6955319906847</v>
      </c>
      <c r="AI8604">
        <v>94.640640759931998</v>
      </c>
      <c r="AJ8604">
        <v>97.671120485633296</v>
      </c>
      <c r="AK8604">
        <v>13.8646574019585</v>
      </c>
      <c r="AL8604">
        <v>93.364179030015094</v>
      </c>
      <c r="AM8604">
        <v>92.705018215627902</v>
      </c>
      <c r="AN8604">
        <v>1.0000000237303599</v>
      </c>
    </row>
    <row r="8605" spans="1:40" x14ac:dyDescent="0.25">
      <c r="A8605" t="str">
        <f>"20190303154012187"</f>
        <v>20190303154012187</v>
      </c>
      <c r="B8605" t="str">
        <f>"1551598812176798"</f>
        <v>1551598812176798</v>
      </c>
      <c r="C8605" t="s">
        <v>40</v>
      </c>
      <c r="D8605">
        <v>4.882765</v>
      </c>
      <c r="E8605">
        <v>0.46775080000000002</v>
      </c>
      <c r="F8605" t="s">
        <v>86</v>
      </c>
      <c r="G8605">
        <v>-251.40199999999999</v>
      </c>
      <c r="H8605" s="1">
        <v>-2.65664E-8</v>
      </c>
      <c r="I8605">
        <v>-61.683050000000001</v>
      </c>
      <c r="J8605">
        <v>-265.26490000000001</v>
      </c>
      <c r="K8605">
        <v>1.121732</v>
      </c>
      <c r="L8605">
        <v>-62.609990000000003</v>
      </c>
      <c r="M8605">
        <v>0.99769240000000003</v>
      </c>
      <c r="N8605">
        <v>-1.280356E-2</v>
      </c>
      <c r="O8605">
        <v>-6.6679269999999999E-2</v>
      </c>
      <c r="P8605">
        <v>0.99726610000000004</v>
      </c>
      <c r="Q8605">
        <v>-7.1305930000000003E-2</v>
      </c>
      <c r="R8605">
        <v>-1.9391450000000001E-2</v>
      </c>
      <c r="S8605">
        <v>2.9949949999999999</v>
      </c>
      <c r="T8605">
        <v>-0.2406093</v>
      </c>
      <c r="U8605">
        <v>0.19750980000000001</v>
      </c>
      <c r="V8605">
        <v>-4.7039039999999997E-2</v>
      </c>
      <c r="W8605">
        <v>-5.8635890000000003E-2</v>
      </c>
      <c r="X8605">
        <v>0.99717060000000002</v>
      </c>
      <c r="Y8605">
        <v>-0.13155620000000001</v>
      </c>
      <c r="Z8605">
        <v>1.060562E-2</v>
      </c>
      <c r="AA8605">
        <v>0.99125200000000002</v>
      </c>
      <c r="AB8605">
        <v>22</v>
      </c>
      <c r="AC8605">
        <v>13.8628999999999</v>
      </c>
      <c r="AD8605">
        <v>-1.1217320265663999</v>
      </c>
      <c r="AE8605">
        <v>0.92694000000000198</v>
      </c>
      <c r="AF8605">
        <v>-1.8373441496238201</v>
      </c>
      <c r="AG8605">
        <v>-1.1217320265663999</v>
      </c>
      <c r="AH8605">
        <v>13.6810529036361</v>
      </c>
      <c r="AI8605">
        <v>94.645766865107106</v>
      </c>
      <c r="AJ8605">
        <v>97.648967502698696</v>
      </c>
      <c r="AK8605">
        <v>13.8493799433646</v>
      </c>
      <c r="AL8605">
        <v>93.361517073298202</v>
      </c>
      <c r="AM8605">
        <v>92.700783611290902</v>
      </c>
      <c r="AN8605">
        <v>1.00000002219228</v>
      </c>
    </row>
    <row r="8606" spans="1:40" x14ac:dyDescent="0.25">
      <c r="A8606" t="str">
        <f>"20190303154012198"</f>
        <v>20190303154012198</v>
      </c>
      <c r="B8606" t="str">
        <f>"1551598812186557"</f>
        <v>1551598812186557</v>
      </c>
      <c r="C8606" t="s">
        <v>40</v>
      </c>
      <c r="D8606">
        <v>4.8932200000000003</v>
      </c>
      <c r="E8606">
        <v>0.46781640000000002</v>
      </c>
      <c r="F8606" t="s">
        <v>86</v>
      </c>
      <c r="G8606">
        <v>-251.34350000000001</v>
      </c>
      <c r="H8606" s="1">
        <v>-1.1666539999999999E-9</v>
      </c>
      <c r="I8606">
        <v>-61.681789999999999</v>
      </c>
      <c r="J8606">
        <v>-265.17189999999999</v>
      </c>
      <c r="K8606">
        <v>1.1217299999999999</v>
      </c>
      <c r="L8606">
        <v>-62.615540000000003</v>
      </c>
      <c r="M8606">
        <v>0.99773199999999995</v>
      </c>
      <c r="N8606">
        <v>-1.2697379999999999E-2</v>
      </c>
      <c r="O8606">
        <v>-6.6103090000000003E-2</v>
      </c>
      <c r="P8606">
        <v>0.99729599999999996</v>
      </c>
      <c r="Q8606">
        <v>-7.1083469999999996E-2</v>
      </c>
      <c r="R8606">
        <v>-1.8638660000000001E-2</v>
      </c>
      <c r="S8606">
        <v>2.9948429999999999</v>
      </c>
      <c r="T8606">
        <v>-0.24131169999999999</v>
      </c>
      <c r="U8606">
        <v>0.19967650000000001</v>
      </c>
      <c r="V8606">
        <v>-4.7215760000000002E-2</v>
      </c>
      <c r="W8606">
        <v>-5.8520799999999998E-2</v>
      </c>
      <c r="X8606">
        <v>0.99716899999999997</v>
      </c>
      <c r="Y8606">
        <v>-0.13169810000000001</v>
      </c>
      <c r="Z8606">
        <v>1.0604570000000001E-2</v>
      </c>
      <c r="AA8606">
        <v>0.99123320000000004</v>
      </c>
      <c r="AB8606">
        <v>22</v>
      </c>
      <c r="AC8606">
        <v>13.828399999999901</v>
      </c>
      <c r="AD8606">
        <v>-1.12173000116665</v>
      </c>
      <c r="AE8606">
        <v>0.93375000000000297</v>
      </c>
      <c r="AF8606">
        <v>-1.83386876505513</v>
      </c>
      <c r="AG8606">
        <v>-1.12173000116665</v>
      </c>
      <c r="AH8606">
        <v>13.647029583677099</v>
      </c>
      <c r="AI8606">
        <v>94.657240891526399</v>
      </c>
      <c r="AJ8606">
        <v>97.653478703462298</v>
      </c>
      <c r="AK8606">
        <v>13.815309236521699</v>
      </c>
      <c r="AL8606">
        <v>93.354911589173994</v>
      </c>
      <c r="AM8606">
        <v>92.710919364895304</v>
      </c>
      <c r="AN8606">
        <v>1.000000013293</v>
      </c>
    </row>
    <row r="8607" spans="1:40" x14ac:dyDescent="0.25">
      <c r="A8607" t="str">
        <f>"20190303154012208"</f>
        <v>20190303154012208</v>
      </c>
      <c r="B8607" t="str">
        <f>"1551598812196317"</f>
        <v>1551598812196317</v>
      </c>
      <c r="C8607" t="s">
        <v>40</v>
      </c>
      <c r="D8607">
        <v>4.8556489999999997</v>
      </c>
      <c r="E8607">
        <v>0.46791189999999999</v>
      </c>
      <c r="F8607" t="s">
        <v>86</v>
      </c>
      <c r="G8607">
        <v>-251.22059999999999</v>
      </c>
      <c r="H8607" s="1">
        <v>5.2547589999999997E-8</v>
      </c>
      <c r="I8607">
        <v>-61.677230000000002</v>
      </c>
      <c r="J8607">
        <v>-265.06630000000001</v>
      </c>
      <c r="K8607">
        <v>1.1217280000000001</v>
      </c>
      <c r="L8607">
        <v>-62.621830000000003</v>
      </c>
      <c r="M8607">
        <v>0.99777680000000002</v>
      </c>
      <c r="N8607">
        <v>-1.2576779999999999E-2</v>
      </c>
      <c r="O8607">
        <v>-6.5446969999999993E-2</v>
      </c>
      <c r="P8607">
        <v>0.99729449999999997</v>
      </c>
      <c r="Q8607">
        <v>-7.1249220000000002E-2</v>
      </c>
      <c r="R8607">
        <v>-1.8094059999999999E-2</v>
      </c>
      <c r="S8607">
        <v>2.9947509999999999</v>
      </c>
      <c r="T8607">
        <v>-0.2407881</v>
      </c>
      <c r="U8607">
        <v>0.20141600000000001</v>
      </c>
      <c r="V8607">
        <v>-4.7101320000000002E-2</v>
      </c>
      <c r="W8607">
        <v>-5.8807970000000001E-2</v>
      </c>
      <c r="X8607">
        <v>0.99715750000000003</v>
      </c>
      <c r="Y8607">
        <v>-0.13162599999999999</v>
      </c>
      <c r="Z8607">
        <v>1.0534099999999999E-2</v>
      </c>
      <c r="AA8607">
        <v>0.99124350000000006</v>
      </c>
      <c r="AB8607">
        <v>22</v>
      </c>
      <c r="AC8607">
        <v>13.845700000000001</v>
      </c>
      <c r="AD8607">
        <v>-1.1217279474524</v>
      </c>
      <c r="AE8607">
        <v>0.94460000000000099</v>
      </c>
      <c r="AF8607">
        <v>-1.8368049932774899</v>
      </c>
      <c r="AG8607">
        <v>-1.1217279474524</v>
      </c>
      <c r="AH8607">
        <v>13.664908583988201</v>
      </c>
      <c r="AI8607">
        <v>94.651141813675807</v>
      </c>
      <c r="AJ8607">
        <v>97.655676647636696</v>
      </c>
      <c r="AK8607">
        <v>13.8333601406231</v>
      </c>
      <c r="AL8607">
        <v>93.371393663201999</v>
      </c>
      <c r="AM8607">
        <v>92.704389636871895</v>
      </c>
      <c r="AN8607">
        <v>0.99999999574375598</v>
      </c>
    </row>
    <row r="8608" spans="1:40" x14ac:dyDescent="0.25">
      <c r="A8608" t="str">
        <f>"20190303154012219"</f>
        <v>20190303154012219</v>
      </c>
      <c r="B8608" t="str">
        <f>"1551598812207054"</f>
        <v>1551598812207054</v>
      </c>
      <c r="C8608" t="s">
        <v>40</v>
      </c>
      <c r="D8608">
        <v>4.8386740000000001</v>
      </c>
      <c r="E8608">
        <v>0.46804970000000001</v>
      </c>
      <c r="F8608" t="s">
        <v>86</v>
      </c>
      <c r="G8608">
        <v>-251.1507</v>
      </c>
      <c r="H8608" s="1">
        <v>8.1511020000000001E-8</v>
      </c>
      <c r="I8608">
        <v>-61.681890000000003</v>
      </c>
      <c r="J8608">
        <v>-264.9581</v>
      </c>
      <c r="K8608">
        <v>1.1217239999999999</v>
      </c>
      <c r="L8608">
        <v>-62.628140000000002</v>
      </c>
      <c r="M8608">
        <v>0.99782320000000002</v>
      </c>
      <c r="N8608">
        <v>-1.2452019999999999E-2</v>
      </c>
      <c r="O8608">
        <v>-6.4759140000000007E-2</v>
      </c>
      <c r="P8608">
        <v>0.99730580000000002</v>
      </c>
      <c r="Q8608">
        <v>-7.1326109999999998E-2</v>
      </c>
      <c r="R8608">
        <v>-1.7149009999999999E-2</v>
      </c>
      <c r="S8608">
        <v>2.9945680000000001</v>
      </c>
      <c r="T8608">
        <v>-0.24139050000000001</v>
      </c>
      <c r="U8608">
        <v>0.20227049999999999</v>
      </c>
      <c r="V8608">
        <v>-4.7356559999999999E-2</v>
      </c>
      <c r="W8608">
        <v>-5.9011180000000003E-2</v>
      </c>
      <c r="X8608">
        <v>0.99713339999999995</v>
      </c>
      <c r="Y8608">
        <v>-0.13122819999999999</v>
      </c>
      <c r="Z8608">
        <v>1.049565E-2</v>
      </c>
      <c r="AA8608">
        <v>0.99129659999999997</v>
      </c>
      <c r="AB8608">
        <v>22</v>
      </c>
      <c r="AC8608">
        <v>13.807399999999999</v>
      </c>
      <c r="AD8608">
        <v>-1.12172391848898</v>
      </c>
      <c r="AE8608">
        <v>0.94624999999999904</v>
      </c>
      <c r="AF8608">
        <v>-1.8264895522175899</v>
      </c>
      <c r="AG8608">
        <v>-1.12172391848898</v>
      </c>
      <c r="AH8608">
        <v>13.6276070028761</v>
      </c>
      <c r="AI8608">
        <v>94.664038354347696</v>
      </c>
      <c r="AJ8608">
        <v>97.633781738379199</v>
      </c>
      <c r="AK8608">
        <v>13.7951441188016</v>
      </c>
      <c r="AL8608">
        <v>93.383057012612895</v>
      </c>
      <c r="AM8608">
        <v>92.719088291070705</v>
      </c>
      <c r="AN8608">
        <v>0.99999999026779296</v>
      </c>
    </row>
    <row r="8609" spans="1:40" x14ac:dyDescent="0.25">
      <c r="A8609" t="str">
        <f>"20190303154012231"</f>
        <v>20190303154012231</v>
      </c>
      <c r="B8609" t="str">
        <f>"1551598812226573"</f>
        <v>1551598812226573</v>
      </c>
      <c r="C8609" t="s">
        <v>40</v>
      </c>
      <c r="D8609">
        <v>4.8886940000000001</v>
      </c>
      <c r="E8609">
        <v>0.46827049999999998</v>
      </c>
      <c r="F8609" t="s">
        <v>86</v>
      </c>
      <c r="G8609">
        <v>-251.0779</v>
      </c>
      <c r="H8609" s="1">
        <v>1.126049E-7</v>
      </c>
      <c r="I8609">
        <v>-61.682589999999998</v>
      </c>
      <c r="J8609">
        <v>-264.84699999999998</v>
      </c>
      <c r="K8609">
        <v>1.1217189999999999</v>
      </c>
      <c r="L8609">
        <v>-62.634610000000002</v>
      </c>
      <c r="M8609">
        <v>0.9978707</v>
      </c>
      <c r="N8609">
        <v>-1.232332E-2</v>
      </c>
      <c r="O8609">
        <v>-6.404936E-2</v>
      </c>
      <c r="P8609">
        <v>0.99732270000000001</v>
      </c>
      <c r="Q8609">
        <v>-7.1313899999999902E-2</v>
      </c>
      <c r="R8609">
        <v>-1.6190980000000001E-2</v>
      </c>
      <c r="S8609">
        <v>2.9942929999999999</v>
      </c>
      <c r="T8609">
        <v>-0.24198259999999999</v>
      </c>
      <c r="U8609">
        <v>0.20397950000000001</v>
      </c>
      <c r="V8609">
        <v>-4.7602999999999999E-2</v>
      </c>
      <c r="W8609">
        <v>-5.9129139999999997E-2</v>
      </c>
      <c r="X8609">
        <v>0.99711470000000002</v>
      </c>
      <c r="Y8609">
        <v>-0.1310914</v>
      </c>
      <c r="Z8609">
        <v>1.046714E-2</v>
      </c>
      <c r="AA8609">
        <v>0.99131499999999995</v>
      </c>
      <c r="AB8609">
        <v>22</v>
      </c>
      <c r="AC8609">
        <v>13.7690999999999</v>
      </c>
      <c r="AD8609">
        <v>-1.1217188873951001</v>
      </c>
      <c r="AE8609">
        <v>0.95201999999998999</v>
      </c>
      <c r="AF8609">
        <v>-1.8200123745581001</v>
      </c>
      <c r="AG8609">
        <v>-1.1217188873951001</v>
      </c>
      <c r="AH8609">
        <v>13.590078019146899</v>
      </c>
      <c r="AI8609">
        <v>94.676905408831004</v>
      </c>
      <c r="AJ8609">
        <v>97.627787847743207</v>
      </c>
      <c r="AK8609">
        <v>13.757213339640501</v>
      </c>
      <c r="AL8609">
        <v>93.389827368391494</v>
      </c>
      <c r="AM8609">
        <v>92.733268003141404</v>
      </c>
      <c r="AN8609">
        <v>1.00000001288111</v>
      </c>
    </row>
    <row r="8610" spans="1:40" x14ac:dyDescent="0.25">
      <c r="A8610" t="str">
        <f>"20190303154012242"</f>
        <v>20190303154012242</v>
      </c>
      <c r="B8610" t="str">
        <f>"1551598812237327"</f>
        <v>1551598812237327</v>
      </c>
      <c r="C8610" t="s">
        <v>40</v>
      </c>
      <c r="D8610">
        <v>4.9027070000000004</v>
      </c>
      <c r="E8610">
        <v>0.468329</v>
      </c>
      <c r="F8610" t="s">
        <v>86</v>
      </c>
      <c r="G8610">
        <v>-250.61590000000001</v>
      </c>
      <c r="H8610" s="1">
        <v>3.1570110000000002E-7</v>
      </c>
      <c r="I8610">
        <v>-61.660429999999998</v>
      </c>
      <c r="J8610">
        <v>-264.73289999999997</v>
      </c>
      <c r="K8610">
        <v>1.1217010000000001</v>
      </c>
      <c r="L8610">
        <v>-62.64105</v>
      </c>
      <c r="M8610">
        <v>0.99791969999999997</v>
      </c>
      <c r="N8610">
        <v>-1.218821E-2</v>
      </c>
      <c r="O8610">
        <v>-6.3306210000000002E-2</v>
      </c>
      <c r="P8610">
        <v>0.99734250000000002</v>
      </c>
      <c r="Q8610">
        <v>-7.1297559999999996E-2</v>
      </c>
      <c r="R8610">
        <v>-1.499584E-2</v>
      </c>
      <c r="S8610">
        <v>2.9944760000000001</v>
      </c>
      <c r="T8610">
        <v>-0.23602999999999999</v>
      </c>
      <c r="U8610">
        <v>0.20498659999999999</v>
      </c>
      <c r="V8610">
        <v>-4.8053390000000001E-2</v>
      </c>
      <c r="W8610">
        <v>-5.9249740000000002E-2</v>
      </c>
      <c r="X8610">
        <v>0.99708589999999997</v>
      </c>
      <c r="Y8610">
        <v>-0.13071479999999999</v>
      </c>
      <c r="Z8610">
        <v>1.014349E-2</v>
      </c>
      <c r="AA8610">
        <v>0.99136809999999997</v>
      </c>
      <c r="AB8610">
        <v>22</v>
      </c>
      <c r="AC8610">
        <v>14.1169999999999</v>
      </c>
      <c r="AD8610">
        <v>-1.1217006842988999</v>
      </c>
      <c r="AE8610">
        <v>0.98061999999999405</v>
      </c>
      <c r="AF8610">
        <v>-1.8607216792155801</v>
      </c>
      <c r="AG8610">
        <v>-1.1217006842988999</v>
      </c>
      <c r="AH8610">
        <v>13.9390141008841</v>
      </c>
      <c r="AI8610">
        <v>94.5605122859928</v>
      </c>
      <c r="AJ8610">
        <v>97.603473585350699</v>
      </c>
      <c r="AK8610">
        <v>14.107324753379199</v>
      </c>
      <c r="AL8610">
        <v>93.396749500690206</v>
      </c>
      <c r="AM8610">
        <v>92.759168283451601</v>
      </c>
      <c r="AN8610">
        <v>0.99999997597968404</v>
      </c>
    </row>
    <row r="8611" spans="1:40" x14ac:dyDescent="0.25">
      <c r="A8611" t="str">
        <f>"20190303154012253"</f>
        <v>20190303154012253</v>
      </c>
      <c r="B8611" t="str">
        <f>"1551598812247070"</f>
        <v>1551598812247070</v>
      </c>
      <c r="C8611" t="s">
        <v>40</v>
      </c>
      <c r="D8611">
        <v>4.8757409999999997</v>
      </c>
      <c r="E8611">
        <v>0.46847660000000002</v>
      </c>
      <c r="F8611" t="s">
        <v>86</v>
      </c>
      <c r="G8611">
        <v>-250.35550000000001</v>
      </c>
      <c r="H8611" s="1">
        <v>4.314975E-7</v>
      </c>
      <c r="I8611">
        <v>-61.642029999999998</v>
      </c>
      <c r="J8611">
        <v>-264.62040000000002</v>
      </c>
      <c r="K8611">
        <v>1.121691</v>
      </c>
      <c r="L8611">
        <v>-62.647399999999998</v>
      </c>
      <c r="M8611">
        <v>0.99796799999999997</v>
      </c>
      <c r="N8611">
        <v>-1.2053380000000001E-2</v>
      </c>
      <c r="O8611">
        <v>-6.2568689999999996E-2</v>
      </c>
      <c r="P8611">
        <v>0.99735830000000003</v>
      </c>
      <c r="Q8611">
        <v>-7.1327630000000003E-2</v>
      </c>
      <c r="R8611">
        <v>-1.374826E-2</v>
      </c>
      <c r="S8611">
        <v>2.994415</v>
      </c>
      <c r="T8611">
        <v>-0.23361989999999999</v>
      </c>
      <c r="U8611">
        <v>0.2080688</v>
      </c>
      <c r="V8611">
        <v>-4.8561630000000001E-2</v>
      </c>
      <c r="W8611">
        <v>-5.9416599999999903E-2</v>
      </c>
      <c r="X8611">
        <v>0.99705140000000003</v>
      </c>
      <c r="Y8611">
        <v>-0.13101189999999999</v>
      </c>
      <c r="Z8611">
        <v>1.000497E-2</v>
      </c>
      <c r="AA8611">
        <v>0.9913303</v>
      </c>
      <c r="AB8611">
        <v>22</v>
      </c>
      <c r="AC8611">
        <v>14.264900000000001</v>
      </c>
      <c r="AD8611">
        <v>-1.1216905685025</v>
      </c>
      <c r="AE8611">
        <v>1.0053699999999901</v>
      </c>
      <c r="AF8611">
        <v>-1.88440673768611</v>
      </c>
      <c r="AG8611">
        <v>-1.1216905685025</v>
      </c>
      <c r="AH8611">
        <v>14.0873633759791</v>
      </c>
      <c r="AI8611">
        <v>94.512483379537002</v>
      </c>
      <c r="AJ8611">
        <v>97.618984916422505</v>
      </c>
      <c r="AK8611">
        <v>14.2570328389669</v>
      </c>
      <c r="AL8611">
        <v>93.406326565874394</v>
      </c>
      <c r="AM8611">
        <v>92.788401333243002</v>
      </c>
      <c r="AN8611">
        <v>1.0000000292528799</v>
      </c>
    </row>
    <row r="8612" spans="1:40" x14ac:dyDescent="0.25">
      <c r="A8612" t="str">
        <f>"20190303154012264"</f>
        <v>20190303154012264</v>
      </c>
      <c r="B8612" t="str">
        <f>"1551598812256829"</f>
        <v>1551598812256829</v>
      </c>
      <c r="C8612" t="s">
        <v>40</v>
      </c>
      <c r="D8612">
        <v>4.80002</v>
      </c>
      <c r="E8612">
        <v>0.4685725</v>
      </c>
      <c r="F8612" t="s">
        <v>86</v>
      </c>
      <c r="G8612">
        <v>-250.1069</v>
      </c>
      <c r="H8612" s="1">
        <v>5.4150639999999995E-7</v>
      </c>
      <c r="I8612">
        <v>-61.626899999999999</v>
      </c>
      <c r="J8612">
        <v>-264.51859999999999</v>
      </c>
      <c r="K8612">
        <v>1.121683</v>
      </c>
      <c r="L8612">
        <v>-62.653080000000003</v>
      </c>
      <c r="M8612">
        <v>0.99801150000000005</v>
      </c>
      <c r="N8612">
        <v>-1.1929159999999999E-2</v>
      </c>
      <c r="O8612">
        <v>-6.1894650000000002E-2</v>
      </c>
      <c r="P8612">
        <v>0.99738570000000004</v>
      </c>
      <c r="Q8612">
        <v>-7.1127910000000003E-2</v>
      </c>
      <c r="R8612">
        <v>-1.2748020000000001E-2</v>
      </c>
      <c r="S8612">
        <v>2.9942929999999999</v>
      </c>
      <c r="T8612">
        <v>-0.23141809999999999</v>
      </c>
      <c r="U8612">
        <v>0.2105408</v>
      </c>
      <c r="V8612">
        <v>-4.8887989999999999E-2</v>
      </c>
      <c r="W8612">
        <v>-5.9342199999999998E-2</v>
      </c>
      <c r="X8612">
        <v>0.99703989999999998</v>
      </c>
      <c r="Y8612">
        <v>-0.1311715</v>
      </c>
      <c r="Z8612">
        <v>9.8742710000000004E-3</v>
      </c>
      <c r="AA8612">
        <v>0.99131049999999998</v>
      </c>
      <c r="AB8612">
        <v>22</v>
      </c>
      <c r="AC8612">
        <v>14.4116999999999</v>
      </c>
      <c r="AD8612">
        <v>-1.1216824584936</v>
      </c>
      <c r="AE8612">
        <v>1.0261800000000001</v>
      </c>
      <c r="AF8612">
        <v>-1.9048021666189601</v>
      </c>
      <c r="AG8612">
        <v>-1.1216824584936</v>
      </c>
      <c r="AH8612">
        <v>14.234749596732801</v>
      </c>
      <c r="AI8612">
        <v>94.465891144707598</v>
      </c>
      <c r="AJ8612">
        <v>97.6216746220625</v>
      </c>
      <c r="AK8612">
        <v>14.405364935097399</v>
      </c>
      <c r="AL8612">
        <v>93.402056163699697</v>
      </c>
      <c r="AM8612">
        <v>92.807143326720293</v>
      </c>
      <c r="AN8612">
        <v>1.0000000472295401</v>
      </c>
    </row>
    <row r="8613" spans="1:40" x14ac:dyDescent="0.25">
      <c r="A8613" t="str">
        <f>"20190303154012276"</f>
        <v>20190303154012276</v>
      </c>
      <c r="B8613" t="str">
        <f>"1551598812266589"</f>
        <v>1551598812266589</v>
      </c>
      <c r="C8613" t="s">
        <v>40</v>
      </c>
      <c r="D8613">
        <v>4.8068390000000001</v>
      </c>
      <c r="E8613">
        <v>0.46872190000000002</v>
      </c>
      <c r="F8613" t="s">
        <v>87</v>
      </c>
      <c r="G8613">
        <v>-249.97579999999999</v>
      </c>
      <c r="H8613" s="1">
        <v>-3.488089E-6</v>
      </c>
      <c r="I8613">
        <v>-61.619430000000001</v>
      </c>
      <c r="J8613">
        <v>-264.4015</v>
      </c>
      <c r="K8613">
        <v>1.1216710000000001</v>
      </c>
      <c r="L8613">
        <v>-62.659480000000002</v>
      </c>
      <c r="M8613">
        <v>0.99806139999999999</v>
      </c>
      <c r="N8613">
        <v>-1.178129E-2</v>
      </c>
      <c r="O8613">
        <v>-6.1113359999999999E-2</v>
      </c>
      <c r="P8613">
        <v>0.99743680000000001</v>
      </c>
      <c r="Q8613">
        <v>-7.0600289999999996E-2</v>
      </c>
      <c r="R8613">
        <v>-1.165019E-2</v>
      </c>
      <c r="S8613">
        <v>2.9941409999999999</v>
      </c>
      <c r="T8613">
        <v>-0.23093859999999999</v>
      </c>
      <c r="U8613">
        <v>0.21279909999999999</v>
      </c>
      <c r="V8613">
        <v>-4.9206680000000003E-2</v>
      </c>
      <c r="W8613">
        <v>-5.8963229999999998E-2</v>
      </c>
      <c r="X8613">
        <v>0.99704660000000001</v>
      </c>
      <c r="Y8613">
        <v>-0.13114709999999999</v>
      </c>
      <c r="Z8613">
        <v>9.8017E-3</v>
      </c>
      <c r="AA8613">
        <v>0.99131449999999999</v>
      </c>
      <c r="AB8613">
        <v>22</v>
      </c>
      <c r="AC8613">
        <v>14.425700000000001</v>
      </c>
      <c r="AD8613">
        <v>-1.1216744880889999</v>
      </c>
      <c r="AE8613">
        <v>1.0400499999999999</v>
      </c>
      <c r="AF8613">
        <v>-1.90829214568325</v>
      </c>
      <c r="AG8613">
        <v>-1.1216744880889999</v>
      </c>
      <c r="AH8613">
        <v>14.2494617273316</v>
      </c>
      <c r="AI8613">
        <v>94.461204916377497</v>
      </c>
      <c r="AJ8613">
        <v>97.627683928402902</v>
      </c>
      <c r="AK8613">
        <v>14.4203637987811</v>
      </c>
      <c r="AL8613">
        <v>93.380305053812606</v>
      </c>
      <c r="AM8613">
        <v>92.825393962218698</v>
      </c>
      <c r="AN8613">
        <v>0.99999994121010505</v>
      </c>
    </row>
    <row r="8614" spans="1:40" x14ac:dyDescent="0.25">
      <c r="A8614" t="str">
        <f>"20190303154012286"</f>
        <v>20190303154012286</v>
      </c>
      <c r="B8614" t="str">
        <f>"1551598812276349"</f>
        <v>1551598812276349</v>
      </c>
      <c r="C8614" t="s">
        <v>40</v>
      </c>
      <c r="D8614">
        <v>4.8489740000000001</v>
      </c>
      <c r="E8614">
        <v>0.4689586</v>
      </c>
      <c r="F8614" t="s">
        <v>87</v>
      </c>
      <c r="G8614">
        <v>-249.76929999999999</v>
      </c>
      <c r="H8614" s="1">
        <v>-3.4159720000000001E-6</v>
      </c>
      <c r="I8614">
        <v>-61.609000000000002</v>
      </c>
      <c r="J8614">
        <v>-264.29399999999998</v>
      </c>
      <c r="K8614">
        <v>1.121661</v>
      </c>
      <c r="L8614">
        <v>-62.665280000000003</v>
      </c>
      <c r="M8614">
        <v>0.99810699999999997</v>
      </c>
      <c r="N8614">
        <v>-1.1642120000000001E-2</v>
      </c>
      <c r="O8614">
        <v>-6.0392920000000003E-2</v>
      </c>
      <c r="P8614">
        <v>0.99749259999999995</v>
      </c>
      <c r="Q8614">
        <v>-6.9992230000000002E-2</v>
      </c>
      <c r="R8614">
        <v>-1.048821E-2</v>
      </c>
      <c r="S8614">
        <v>2.9939879999999999</v>
      </c>
      <c r="T8614">
        <v>-0.2295142</v>
      </c>
      <c r="U8614">
        <v>0.2149353</v>
      </c>
      <c r="V8614">
        <v>-4.9650659999999999E-2</v>
      </c>
      <c r="W8614">
        <v>-5.8495320000000003E-2</v>
      </c>
      <c r="X8614">
        <v>0.99705220000000006</v>
      </c>
      <c r="Y8614">
        <v>-0.1311474</v>
      </c>
      <c r="Z8614">
        <v>9.694711E-3</v>
      </c>
      <c r="AA8614">
        <v>0.99131550000000002</v>
      </c>
      <c r="AB8614">
        <v>22</v>
      </c>
      <c r="AC8614">
        <v>14.524699999999999</v>
      </c>
      <c r="AD8614">
        <v>-1.121664415972</v>
      </c>
      <c r="AE8614">
        <v>1.0562800000000001</v>
      </c>
      <c r="AF8614">
        <v>-1.9202088089999401</v>
      </c>
      <c r="AG8614">
        <v>-1.121664415972</v>
      </c>
      <c r="AH8614">
        <v>14.3492643869556</v>
      </c>
      <c r="AI8614">
        <v>94.430319075693404</v>
      </c>
      <c r="AJ8614">
        <v>97.622000258884597</v>
      </c>
      <c r="AK8614">
        <v>14.5205620200793</v>
      </c>
      <c r="AL8614">
        <v>93.353449265703006</v>
      </c>
      <c r="AM8614">
        <v>92.850828957540699</v>
      </c>
      <c r="AN8614">
        <v>0.99999999001258899</v>
      </c>
    </row>
    <row r="8615" spans="1:40" x14ac:dyDescent="0.25">
      <c r="A8615" t="str">
        <f>"20190303154012297"</f>
        <v>20190303154012297</v>
      </c>
      <c r="B8615" t="str">
        <f>"1551598812287086"</f>
        <v>1551598812287086</v>
      </c>
      <c r="C8615" t="s">
        <v>40</v>
      </c>
      <c r="D8615">
        <v>4.7777229999999999</v>
      </c>
      <c r="E8615">
        <v>0.46923280000000001</v>
      </c>
      <c r="F8615" t="s">
        <v>87</v>
      </c>
      <c r="G8615">
        <v>-249.33080000000001</v>
      </c>
      <c r="H8615" s="1">
        <v>-3.2622389999999999E-6</v>
      </c>
      <c r="I8615">
        <v>-61.583590000000001</v>
      </c>
      <c r="J8615">
        <v>-264.18729999999999</v>
      </c>
      <c r="K8615">
        <v>1.1216489999999999</v>
      </c>
      <c r="L8615">
        <v>-62.670929999999998</v>
      </c>
      <c r="M8615">
        <v>0.99815189999999998</v>
      </c>
      <c r="N8615">
        <v>-1.149241E-2</v>
      </c>
      <c r="O8615">
        <v>-5.9672339999999997E-2</v>
      </c>
      <c r="P8615">
        <v>0.99753179999999997</v>
      </c>
      <c r="Q8615">
        <v>-6.9580499999999906E-2</v>
      </c>
      <c r="R8615">
        <v>-9.4147320000000003E-3</v>
      </c>
      <c r="S8615">
        <v>2.9940799999999999</v>
      </c>
      <c r="T8615">
        <v>-0.22444120000000001</v>
      </c>
      <c r="U8615">
        <v>0.2164307</v>
      </c>
      <c r="V8615">
        <v>-5.0005149999999998E-2</v>
      </c>
      <c r="W8615">
        <v>-5.8234040000000001E-2</v>
      </c>
      <c r="X8615">
        <v>0.99704979999999999</v>
      </c>
      <c r="Y8615">
        <v>-0.13094890000000001</v>
      </c>
      <c r="Z8615">
        <v>9.426963E-3</v>
      </c>
      <c r="AA8615">
        <v>0.99134429999999996</v>
      </c>
      <c r="AB8615">
        <v>22</v>
      </c>
      <c r="AC8615">
        <v>14.856499999999899</v>
      </c>
      <c r="AD8615">
        <v>-1.1216522622389999</v>
      </c>
      <c r="AE8615">
        <v>1.08734</v>
      </c>
      <c r="AF8615">
        <v>-1.9608651586155601</v>
      </c>
      <c r="AG8615">
        <v>-1.1216522622389999</v>
      </c>
      <c r="AH8615">
        <v>14.6818915504244</v>
      </c>
      <c r="AI8615">
        <v>94.330435741007506</v>
      </c>
      <c r="AJ8615">
        <v>97.607218087217205</v>
      </c>
      <c r="AK8615">
        <v>14.8546637614616</v>
      </c>
      <c r="AL8615">
        <v>93.338453390979893</v>
      </c>
      <c r="AM8615">
        <v>92.871155937060905</v>
      </c>
      <c r="AN8615">
        <v>1.00000001106064</v>
      </c>
    </row>
    <row r="8616" spans="1:40" x14ac:dyDescent="0.25">
      <c r="A8616" t="str">
        <f>"20190303154012308"</f>
        <v>20190303154012308</v>
      </c>
      <c r="B8616" t="str">
        <f>"1551598812296845"</f>
        <v>1551598812296845</v>
      </c>
      <c r="C8616" t="s">
        <v>40</v>
      </c>
      <c r="D8616">
        <v>4.6885589999999997</v>
      </c>
      <c r="E8616">
        <v>0.4695973</v>
      </c>
      <c r="F8616" t="s">
        <v>87</v>
      </c>
      <c r="G8616">
        <v>-248.94120000000001</v>
      </c>
      <c r="H8616" s="1">
        <v>-3.1261379999999998E-6</v>
      </c>
      <c r="I8616">
        <v>-61.5638199999999</v>
      </c>
      <c r="J8616">
        <v>-264.07830000000001</v>
      </c>
      <c r="K8616">
        <v>1.1216390000000001</v>
      </c>
      <c r="L8616">
        <v>-62.676699999999997</v>
      </c>
      <c r="M8616">
        <v>0.99819760000000002</v>
      </c>
      <c r="N8616">
        <v>-1.133579E-2</v>
      </c>
      <c r="O8616">
        <v>-5.8933979999999997E-2</v>
      </c>
      <c r="P8616">
        <v>0.99756529999999999</v>
      </c>
      <c r="Q8616">
        <v>-6.925829E-2</v>
      </c>
      <c r="R8616">
        <v>-8.1864659999999999E-3</v>
      </c>
      <c r="S8616">
        <v>2.99411</v>
      </c>
      <c r="T8616">
        <v>-0.22027530000000001</v>
      </c>
      <c r="U8616">
        <v>0.21740719999999999</v>
      </c>
      <c r="V8616">
        <v>-5.0496279999999998E-2</v>
      </c>
      <c r="W8616">
        <v>-5.8069610000000001E-2</v>
      </c>
      <c r="X8616">
        <v>0.99703459999999999</v>
      </c>
      <c r="Y8616">
        <v>-0.13055890000000001</v>
      </c>
      <c r="Z8616">
        <v>9.1902240000000003E-3</v>
      </c>
      <c r="AA8616">
        <v>0.991398</v>
      </c>
      <c r="AB8616">
        <v>22</v>
      </c>
      <c r="AC8616">
        <v>15.1371</v>
      </c>
      <c r="AD8616">
        <v>-1.1216421261380001</v>
      </c>
      <c r="AE8616">
        <v>1.1128800000000001</v>
      </c>
      <c r="AF8616">
        <v>-1.9922125115465401</v>
      </c>
      <c r="AG8616">
        <v>-1.1216421261380001</v>
      </c>
      <c r="AH8616">
        <v>14.9634784740774</v>
      </c>
      <c r="AI8616">
        <v>94.249439536635094</v>
      </c>
      <c r="AJ8616">
        <v>97.583665291202607</v>
      </c>
      <c r="AK8616">
        <v>15.137129179420601</v>
      </c>
      <c r="AL8616">
        <v>93.329016400451493</v>
      </c>
      <c r="AM8616">
        <v>92.899351493686495</v>
      </c>
      <c r="AN8616">
        <v>0.99999997374827398</v>
      </c>
    </row>
    <row r="8617" spans="1:40" x14ac:dyDescent="0.25">
      <c r="A8617" t="str">
        <f>"20190303154012320"</f>
        <v>20190303154012320</v>
      </c>
      <c r="B8617" t="str">
        <f>"1551598812316365"</f>
        <v>1551598812316365</v>
      </c>
      <c r="C8617" t="s">
        <v>40</v>
      </c>
      <c r="D8617">
        <v>4.6948030000000003</v>
      </c>
      <c r="E8617">
        <v>0.47016540000000001</v>
      </c>
      <c r="F8617" t="s">
        <v>87</v>
      </c>
      <c r="G8617">
        <v>-248.51410000000001</v>
      </c>
      <c r="H8617" s="1">
        <v>-2.9480910000000002E-6</v>
      </c>
      <c r="I8617">
        <v>-61.542869999999901</v>
      </c>
      <c r="J8617">
        <v>-263.96440000000001</v>
      </c>
      <c r="K8617">
        <v>1.121615</v>
      </c>
      <c r="L8617">
        <v>-62.682499999999997</v>
      </c>
      <c r="M8617">
        <v>0.99824520000000005</v>
      </c>
      <c r="N8617">
        <v>-1.1147570000000001E-2</v>
      </c>
      <c r="O8617">
        <v>-5.8158910000000001E-2</v>
      </c>
      <c r="P8617">
        <v>0.99763159999999895</v>
      </c>
      <c r="Q8617">
        <v>-6.8423289999999998E-2</v>
      </c>
      <c r="R8617">
        <v>-7.0506939999999997E-3</v>
      </c>
      <c r="S8617">
        <v>2.9941710000000001</v>
      </c>
      <c r="T8617">
        <v>-0.215776</v>
      </c>
      <c r="U8617">
        <v>0.2181091</v>
      </c>
      <c r="V8617">
        <v>-5.0861389999999999E-2</v>
      </c>
      <c r="W8617">
        <v>-5.7423040000000002E-2</v>
      </c>
      <c r="X8617">
        <v>0.99705350000000004</v>
      </c>
      <c r="Y8617">
        <v>-0.13004260000000001</v>
      </c>
      <c r="Z8617">
        <v>8.9344530000000002E-3</v>
      </c>
      <c r="AA8617">
        <v>0.99146809999999996</v>
      </c>
      <c r="AB8617">
        <v>22</v>
      </c>
      <c r="AC8617">
        <v>15.4503</v>
      </c>
      <c r="AD8617">
        <v>-1.121617948091</v>
      </c>
      <c r="AE8617">
        <v>1.1396299999999999</v>
      </c>
      <c r="AF8617">
        <v>-2.0257112400005401</v>
      </c>
      <c r="AG8617">
        <v>-1.121617948091</v>
      </c>
      <c r="AH8617">
        <v>15.2777816331706</v>
      </c>
      <c r="AI8617">
        <v>94.162534587809901</v>
      </c>
      <c r="AJ8617">
        <v>97.552904568472698</v>
      </c>
      <c r="AK8617">
        <v>15.4522537022983</v>
      </c>
      <c r="AL8617">
        <v>93.291908710289107</v>
      </c>
      <c r="AM8617">
        <v>92.920223644438593</v>
      </c>
      <c r="AN8617">
        <v>0.99999998418891101</v>
      </c>
    </row>
    <row r="8618" spans="1:40" x14ac:dyDescent="0.25">
      <c r="A8618" t="str">
        <f>"20190303154012331"</f>
        <v>20190303154012331</v>
      </c>
      <c r="B8618" t="str">
        <f>"1551598812327102"</f>
        <v>1551598812327102</v>
      </c>
      <c r="C8618" t="s">
        <v>40</v>
      </c>
      <c r="D8618">
        <v>4.7058249999999999</v>
      </c>
      <c r="E8618">
        <v>0.47016540000000001</v>
      </c>
      <c r="F8618" t="s">
        <v>87</v>
      </c>
      <c r="G8618">
        <v>-247.69890000000001</v>
      </c>
      <c r="H8618" s="1">
        <v>-2.5882009999999999E-6</v>
      </c>
      <c r="I8618">
        <v>-61.504669999999997</v>
      </c>
      <c r="J8618">
        <v>-263.84809999999999</v>
      </c>
      <c r="K8618">
        <v>1.1215900000000001</v>
      </c>
      <c r="L8618">
        <v>-62.688450000000003</v>
      </c>
      <c r="M8618">
        <v>0.99829330000000005</v>
      </c>
      <c r="N8618">
        <v>-1.094708E-2</v>
      </c>
      <c r="O8618">
        <v>-5.7366050000000002E-2</v>
      </c>
      <c r="P8618">
        <v>0.99766339999999998</v>
      </c>
      <c r="Q8618">
        <v>-6.8082169999999997E-2</v>
      </c>
      <c r="R8618">
        <v>-5.7483589999999998E-3</v>
      </c>
      <c r="S8618">
        <v>2.994507</v>
      </c>
      <c r="T8618">
        <v>-0.20649049999999999</v>
      </c>
      <c r="U8618">
        <v>0.2168274</v>
      </c>
      <c r="V8618">
        <v>-5.1371939999999998E-2</v>
      </c>
      <c r="W8618">
        <v>-5.7283309999999997E-2</v>
      </c>
      <c r="X8618">
        <v>0.99703540000000002</v>
      </c>
      <c r="Y8618">
        <v>-0.12887080000000001</v>
      </c>
      <c r="Z8618">
        <v>8.4593099999999994E-3</v>
      </c>
      <c r="AA8618">
        <v>0.99162530000000004</v>
      </c>
      <c r="AB8618">
        <v>22</v>
      </c>
      <c r="AC8618">
        <v>16.149199999999901</v>
      </c>
      <c r="AD8618">
        <v>-1.1215925882009901</v>
      </c>
      <c r="AE8618">
        <v>1.1837800000000001</v>
      </c>
      <c r="AF8618">
        <v>-2.0982346808301799</v>
      </c>
      <c r="AG8618">
        <v>-1.1215925882009901</v>
      </c>
      <c r="AH8618">
        <v>15.978030490655099</v>
      </c>
      <c r="AI8618">
        <v>93.981273243015593</v>
      </c>
      <c r="AJ8618">
        <v>97.481272056672594</v>
      </c>
      <c r="AK8618">
        <v>16.154195030085798</v>
      </c>
      <c r="AL8618">
        <v>93.283889448866304</v>
      </c>
      <c r="AM8618">
        <v>92.949538989339601</v>
      </c>
      <c r="AN8618">
        <v>1.0000000213385301</v>
      </c>
    </row>
    <row r="8619" spans="1:40" x14ac:dyDescent="0.25">
      <c r="A8619" t="str">
        <f>"20190303154012342"</f>
        <v>20190303154012342</v>
      </c>
      <c r="B8619" t="str">
        <f>"1551598812336862"</f>
        <v>1551598812336862</v>
      </c>
      <c r="C8619" t="s">
        <v>40</v>
      </c>
      <c r="D8619">
        <v>4.698029</v>
      </c>
      <c r="E8619">
        <v>0.47721170000000002</v>
      </c>
      <c r="F8619" t="s">
        <v>87</v>
      </c>
      <c r="G8619">
        <v>-247.50790000000001</v>
      </c>
      <c r="H8619" s="1">
        <v>-2.5007130000000002E-6</v>
      </c>
      <c r="I8619">
        <v>-61.483800000000002</v>
      </c>
      <c r="J8619">
        <v>-263.73579999999998</v>
      </c>
      <c r="K8619">
        <v>1.1215580000000001</v>
      </c>
      <c r="L8619">
        <v>-62.694090000000003</v>
      </c>
      <c r="M8619">
        <v>0.99833939999999999</v>
      </c>
      <c r="N8619">
        <v>-1.073025E-2</v>
      </c>
      <c r="O8619">
        <v>-5.6598910000000002E-2</v>
      </c>
      <c r="P8619">
        <v>0.99770130000000001</v>
      </c>
      <c r="Q8619">
        <v>-6.7622210000000002E-2</v>
      </c>
      <c r="R8619">
        <v>-4.4299329999999996E-3</v>
      </c>
      <c r="S8619">
        <v>2.9942630000000001</v>
      </c>
      <c r="T8619">
        <v>-0.20552609999999999</v>
      </c>
      <c r="U8619">
        <v>0.2207336</v>
      </c>
      <c r="V8619">
        <v>-5.1924619999999998E-2</v>
      </c>
      <c r="W8619">
        <v>-5.704099E-2</v>
      </c>
      <c r="X8619">
        <v>0.99702069999999998</v>
      </c>
      <c r="Y8619">
        <v>-0.129405399999999</v>
      </c>
      <c r="Z8619">
        <v>8.3959229999999996E-3</v>
      </c>
      <c r="AA8619">
        <v>0.9915562</v>
      </c>
      <c r="AB8619">
        <v>22</v>
      </c>
      <c r="AC8619">
        <v>16.227899999999899</v>
      </c>
      <c r="AD8619">
        <v>-1.1215605007130001</v>
      </c>
      <c r="AE8619">
        <v>1.2102900000000001</v>
      </c>
      <c r="AF8619">
        <v>-2.11682859290904</v>
      </c>
      <c r="AG8619">
        <v>-1.1215605007130001</v>
      </c>
      <c r="AH8619">
        <v>16.057104160476399</v>
      </c>
      <c r="AI8619">
        <v>93.961355817546206</v>
      </c>
      <c r="AJ8619">
        <v>97.510068719797303</v>
      </c>
      <c r="AK8619">
        <v>16.2348223048146</v>
      </c>
      <c r="AL8619">
        <v>93.269982675639994</v>
      </c>
      <c r="AM8619">
        <v>92.981258253572307</v>
      </c>
      <c r="AN8619">
        <v>1.0000000584654001</v>
      </c>
    </row>
    <row r="8620" spans="1:40" x14ac:dyDescent="0.25">
      <c r="A8620" t="str">
        <f>"20190303154012355"</f>
        <v>20190303154012355</v>
      </c>
      <c r="B8620" t="str">
        <f>"1551598812346621"</f>
        <v>1551598812346621</v>
      </c>
      <c r="C8620" t="s">
        <v>40</v>
      </c>
      <c r="D8620">
        <v>4.6978689999999999</v>
      </c>
      <c r="E8620">
        <v>0.47738720000000001</v>
      </c>
      <c r="F8620" t="s">
        <v>88</v>
      </c>
      <c r="G8620">
        <v>-238.08539999999999</v>
      </c>
      <c r="H8620" s="1">
        <v>-2.690104E-6</v>
      </c>
      <c r="I8620">
        <v>-61.264330000000001</v>
      </c>
      <c r="J8620">
        <v>-263.62090000000001</v>
      </c>
      <c r="K8620">
        <v>1.121524</v>
      </c>
      <c r="L8620">
        <v>-62.699770000000001</v>
      </c>
      <c r="M8620">
        <v>0.99838610000000005</v>
      </c>
      <c r="N8620">
        <v>-1.049893E-2</v>
      </c>
      <c r="O8620">
        <v>-5.5814210000000003E-2</v>
      </c>
      <c r="P8620">
        <v>0.99772950000000005</v>
      </c>
      <c r="Q8620">
        <v>-6.7264350000000001E-2</v>
      </c>
      <c r="R8620">
        <v>-3.404823E-3</v>
      </c>
      <c r="S8620">
        <v>2.9987490000000001</v>
      </c>
      <c r="T8620">
        <v>-0.13112009999999999</v>
      </c>
      <c r="U8620">
        <v>0.16714479999999901</v>
      </c>
      <c r="V8620">
        <v>-5.2166509999999999E-2</v>
      </c>
      <c r="W8620">
        <v>-5.6914359999999997E-2</v>
      </c>
      <c r="X8620">
        <v>0.99701519999999999</v>
      </c>
      <c r="Y8620">
        <v>-0.1111337</v>
      </c>
      <c r="Z8620">
        <v>4.8628949999999999E-3</v>
      </c>
      <c r="AA8620">
        <v>0.9937935</v>
      </c>
      <c r="AB8620">
        <v>22</v>
      </c>
      <c r="AC8620">
        <v>25.535499999999999</v>
      </c>
      <c r="AD8620">
        <v>-1.121526690104</v>
      </c>
      <c r="AE8620">
        <v>1.4354399999999801</v>
      </c>
      <c r="AF8620">
        <v>-2.8530381295230698</v>
      </c>
      <c r="AG8620">
        <v>-1.121526690104</v>
      </c>
      <c r="AH8620">
        <v>25.366789606519902</v>
      </c>
      <c r="AI8620">
        <v>92.515694420681896</v>
      </c>
      <c r="AJ8620">
        <v>96.417168075191796</v>
      </c>
      <c r="AK8620">
        <v>25.5513534597793</v>
      </c>
      <c r="AL8620">
        <v>93.262715862901601</v>
      </c>
      <c r="AM8620">
        <v>92.995137660539001</v>
      </c>
      <c r="AN8620">
        <v>0.99999994908541301</v>
      </c>
    </row>
    <row r="8621" spans="1:40" x14ac:dyDescent="0.25">
      <c r="A8621" t="str">
        <f>"20190303154012366"</f>
        <v>20190303154012366</v>
      </c>
      <c r="B8621" t="str">
        <f>"1551598812356381"</f>
        <v>1551598812356381</v>
      </c>
      <c r="C8621" t="s">
        <v>40</v>
      </c>
      <c r="D8621">
        <v>4.650887</v>
      </c>
      <c r="E8621">
        <v>0.47723080000000001</v>
      </c>
      <c r="F8621" t="s">
        <v>88</v>
      </c>
      <c r="G8621">
        <v>-239.04849999999999</v>
      </c>
      <c r="H8621" s="1">
        <v>-3.116756E-6</v>
      </c>
      <c r="I8621">
        <v>-61.315060000000003</v>
      </c>
      <c r="J8621">
        <v>-263.5068</v>
      </c>
      <c r="K8621">
        <v>1.12148799999999</v>
      </c>
      <c r="L8621">
        <v>-62.705289999999998</v>
      </c>
      <c r="M8621">
        <v>0.99843190000000004</v>
      </c>
      <c r="N8621">
        <v>-1.0257850000000001E-2</v>
      </c>
      <c r="O8621">
        <v>-5.5034630000000001E-2</v>
      </c>
      <c r="P8621">
        <v>0.99778169999999999</v>
      </c>
      <c r="Q8621">
        <v>-6.6535499999999997E-2</v>
      </c>
      <c r="R8621">
        <v>-2.2057520000000001E-3</v>
      </c>
      <c r="S8621">
        <v>2.9981689999999999</v>
      </c>
      <c r="T8621">
        <v>-0.1368415</v>
      </c>
      <c r="U8621">
        <v>0.16894529999999999</v>
      </c>
      <c r="V8621">
        <v>-5.2589179999999999E-2</v>
      </c>
      <c r="W8621">
        <v>-5.6426669999999998E-2</v>
      </c>
      <c r="X8621">
        <v>0.99702080000000004</v>
      </c>
      <c r="Y8621">
        <v>-0.1109498</v>
      </c>
      <c r="Z8621">
        <v>5.0432569999999998E-3</v>
      </c>
      <c r="AA8621">
        <v>0.99381319999999995</v>
      </c>
      <c r="AB8621">
        <v>22</v>
      </c>
      <c r="AC8621">
        <v>24.458300000000001</v>
      </c>
      <c r="AD8621">
        <v>-1.12149111675599</v>
      </c>
      <c r="AE8621">
        <v>1.3902300000000001</v>
      </c>
      <c r="AF8621">
        <v>-2.7285286303252798</v>
      </c>
      <c r="AG8621">
        <v>-1.12149111675599</v>
      </c>
      <c r="AH8621">
        <v>24.2937998445197</v>
      </c>
      <c r="AI8621">
        <v>92.626616022451699</v>
      </c>
      <c r="AJ8621">
        <v>96.408250566253201</v>
      </c>
      <c r="AK8621">
        <v>24.472256162786799</v>
      </c>
      <c r="AL8621">
        <v>93.234728032001399</v>
      </c>
      <c r="AM8621">
        <v>93.019343587260096</v>
      </c>
      <c r="AN8621">
        <v>1.0000000332865</v>
      </c>
    </row>
    <row r="8622" spans="1:40" x14ac:dyDescent="0.25">
      <c r="A8622" t="str">
        <f>"20190303154012375"</f>
        <v>20190303154012375</v>
      </c>
      <c r="B8622" t="str">
        <f>"1551598812367118"</f>
        <v>1551598812367118</v>
      </c>
      <c r="C8622" t="s">
        <v>40</v>
      </c>
      <c r="D8622">
        <v>4.6921530000000002</v>
      </c>
      <c r="E8622">
        <v>0.477186</v>
      </c>
      <c r="F8622" t="s">
        <v>88</v>
      </c>
      <c r="G8622">
        <v>-238.14850000000001</v>
      </c>
      <c r="H8622" s="1">
        <v>-2.7093629999999999E-6</v>
      </c>
      <c r="I8622">
        <v>-61.235019999999999</v>
      </c>
      <c r="J8622">
        <v>-263.40359999999998</v>
      </c>
      <c r="K8622">
        <v>1.1214630000000001</v>
      </c>
      <c r="L8622">
        <v>-62.710239999999999</v>
      </c>
      <c r="M8622">
        <v>0.99847269999999999</v>
      </c>
      <c r="N8622">
        <v>-1.003221E-2</v>
      </c>
      <c r="O8622">
        <v>-5.4329519999999999E-2</v>
      </c>
      <c r="P8622">
        <v>0.99781189999999997</v>
      </c>
      <c r="Q8622">
        <v>-6.6107630000000001E-2</v>
      </c>
      <c r="R8622">
        <v>-1.249769E-3</v>
      </c>
      <c r="S8622">
        <v>2.9981990000000001</v>
      </c>
      <c r="T8622">
        <v>-0.13259770000000001</v>
      </c>
      <c r="U8622">
        <v>0.17382810000000001</v>
      </c>
      <c r="V8622">
        <v>-5.2842229999999997E-2</v>
      </c>
      <c r="W8622">
        <v>-5.6224280000000001E-2</v>
      </c>
      <c r="X8622">
        <v>0.99701879999999998</v>
      </c>
      <c r="Y8622">
        <v>-0.1118705</v>
      </c>
      <c r="Z8622">
        <v>4.8877269999999997E-3</v>
      </c>
      <c r="AA8622">
        <v>0.99371080000000001</v>
      </c>
      <c r="AB8622">
        <v>22</v>
      </c>
      <c r="AC8622">
        <v>25.255099999999899</v>
      </c>
      <c r="AD8622">
        <v>-1.1214657093629901</v>
      </c>
      <c r="AE8622">
        <v>1.47522</v>
      </c>
      <c r="AF8622">
        <v>-2.83962715495031</v>
      </c>
      <c r="AG8622">
        <v>-1.1214657093629901</v>
      </c>
      <c r="AH8622">
        <v>25.088341759173399</v>
      </c>
      <c r="AI8622">
        <v>92.543238781713796</v>
      </c>
      <c r="AJ8622">
        <v>96.4575480643893</v>
      </c>
      <c r="AK8622">
        <v>25.2734259636776</v>
      </c>
      <c r="AL8622">
        <v>93.223113675395595</v>
      </c>
      <c r="AM8622">
        <v>93.033851142222204</v>
      </c>
      <c r="AN8622">
        <v>0.99999997924316497</v>
      </c>
    </row>
    <row r="8623" spans="1:40" x14ac:dyDescent="0.25">
      <c r="A8623" t="str">
        <f>"20190303154012386"</f>
        <v>20190303154012386</v>
      </c>
      <c r="B8623" t="str">
        <f>"1551598812376878"</f>
        <v>1551598812376878</v>
      </c>
      <c r="C8623" t="s">
        <v>40</v>
      </c>
      <c r="D8623">
        <v>4.7095560000000001</v>
      </c>
      <c r="E8623">
        <v>0.4771995</v>
      </c>
      <c r="F8623" t="s">
        <v>88</v>
      </c>
      <c r="G8623">
        <v>-237.2201</v>
      </c>
      <c r="H8623" s="1">
        <v>-2.292236E-6</v>
      </c>
      <c r="I8623">
        <v>-61.164169999999999</v>
      </c>
      <c r="J8623">
        <v>-263.29169999999999</v>
      </c>
      <c r="K8623">
        <v>1.121429</v>
      </c>
      <c r="L8623">
        <v>-62.71555</v>
      </c>
      <c r="M8623">
        <v>0.99851639999999997</v>
      </c>
      <c r="N8623">
        <v>-9.7837040000000007E-3</v>
      </c>
      <c r="O8623">
        <v>-5.3565700000000001E-2</v>
      </c>
      <c r="P8623">
        <v>0.99785820000000003</v>
      </c>
      <c r="Q8623">
        <v>-6.5415349999999997E-2</v>
      </c>
      <c r="R8623">
        <v>-3.0194489999999999E-4</v>
      </c>
      <c r="S8623">
        <v>2.9982600000000001</v>
      </c>
      <c r="T8623">
        <v>-0.1284188</v>
      </c>
      <c r="U8623">
        <v>0.17703250000000001</v>
      </c>
      <c r="V8623">
        <v>-5.302991E-2</v>
      </c>
      <c r="W8623">
        <v>-5.5779929999999998E-2</v>
      </c>
      <c r="X8623">
        <v>0.99703379999999997</v>
      </c>
      <c r="Y8623">
        <v>-0.11217770000000001</v>
      </c>
      <c r="Z8623">
        <v>4.7166079999999997E-3</v>
      </c>
      <c r="AA8623">
        <v>0.99367700000000003</v>
      </c>
      <c r="AB8623">
        <v>23</v>
      </c>
      <c r="AC8623">
        <v>26.071599999999901</v>
      </c>
      <c r="AD8623">
        <v>-1.1214312922359999</v>
      </c>
      <c r="AE8623">
        <v>1.55138</v>
      </c>
      <c r="AF8623">
        <v>-2.9403419392992398</v>
      </c>
      <c r="AG8623">
        <v>-1.1214312922359999</v>
      </c>
      <c r="AH8623">
        <v>25.9033051580296</v>
      </c>
      <c r="AI8623">
        <v>92.4631586287001</v>
      </c>
      <c r="AJ8623">
        <v>96.476051948029195</v>
      </c>
      <c r="AK8623">
        <v>26.093762415052598</v>
      </c>
      <c r="AL8623">
        <v>93.197614258676396</v>
      </c>
      <c r="AM8623">
        <v>93.044560530056302</v>
      </c>
      <c r="AN8623">
        <v>0.99999998514392596</v>
      </c>
    </row>
    <row r="8624" spans="1:40" x14ac:dyDescent="0.25">
      <c r="A8624" t="str">
        <f>"20190303154012398"</f>
        <v>20190303154012398</v>
      </c>
      <c r="B8624" t="str">
        <f>"1551598812386638"</f>
        <v>1551598812386638</v>
      </c>
      <c r="C8624" t="s">
        <v>40</v>
      </c>
      <c r="D8624">
        <v>4.7326639999999998</v>
      </c>
      <c r="E8624">
        <v>0.4768346</v>
      </c>
      <c r="F8624" t="s">
        <v>88</v>
      </c>
      <c r="G8624">
        <v>-237.26949999999999</v>
      </c>
      <c r="H8624" s="1">
        <v>-2.3107740000000001E-6</v>
      </c>
      <c r="I8624">
        <v>-61.154240000000001</v>
      </c>
      <c r="J8624">
        <v>-263.17959999999999</v>
      </c>
      <c r="K8624">
        <v>1.121397</v>
      </c>
      <c r="L8624">
        <v>-62.720730000000003</v>
      </c>
      <c r="M8624">
        <v>0.99855959999999999</v>
      </c>
      <c r="N8624">
        <v>-9.5289629999999997E-3</v>
      </c>
      <c r="O8624">
        <v>-5.2802599999999998E-2</v>
      </c>
      <c r="P8624">
        <v>0.99790670000000004</v>
      </c>
      <c r="Q8624">
        <v>-6.4668550000000005E-2</v>
      </c>
      <c r="R8624">
        <v>4.586619E-4</v>
      </c>
      <c r="S8624">
        <v>2.9980159999999998</v>
      </c>
      <c r="T8624">
        <v>-0.12920019999999999</v>
      </c>
      <c r="U8624">
        <v>0.17987059999999999</v>
      </c>
      <c r="V8624">
        <v>-5.3030889999999997E-2</v>
      </c>
      <c r="W8624">
        <v>-5.528682E-2</v>
      </c>
      <c r="X8624">
        <v>0.99706130000000004</v>
      </c>
      <c r="Y8624">
        <v>-0.1123589</v>
      </c>
      <c r="Z8624">
        <v>4.7239409999999997E-3</v>
      </c>
      <c r="AA8624">
        <v>0.99365650000000005</v>
      </c>
      <c r="AB8624">
        <v>23</v>
      </c>
      <c r="AC8624">
        <v>25.9101</v>
      </c>
      <c r="AD8624">
        <v>-1.1213993107739999</v>
      </c>
      <c r="AE8624">
        <v>1.5664899999999999</v>
      </c>
      <c r="AF8624">
        <v>-2.9270242231241599</v>
      </c>
      <c r="AG8624">
        <v>-1.1213993107739999</v>
      </c>
      <c r="AH8624">
        <v>25.743186533607702</v>
      </c>
      <c r="AI8624">
        <v>92.478337066449996</v>
      </c>
      <c r="AJ8624">
        <v>96.486725825533895</v>
      </c>
      <c r="AK8624">
        <v>25.9333117846734</v>
      </c>
      <c r="AL8624">
        <v>93.169317194306899</v>
      </c>
      <c r="AM8624">
        <v>93.044532872347403</v>
      </c>
      <c r="AN8624">
        <v>1.00000007185879</v>
      </c>
    </row>
    <row r="8625" spans="1:40" x14ac:dyDescent="0.25">
      <c r="A8625" t="str">
        <f>"20190303154012410"</f>
        <v>20190303154012410</v>
      </c>
      <c r="B8625" t="str">
        <f>"1551598812407133"</f>
        <v>1551598812407133</v>
      </c>
      <c r="C8625" t="s">
        <v>40</v>
      </c>
      <c r="D8625">
        <v>4.6891889999999998</v>
      </c>
      <c r="E8625">
        <v>0.4769042</v>
      </c>
      <c r="F8625" t="s">
        <v>88</v>
      </c>
      <c r="G8625">
        <v>-238.3638</v>
      </c>
      <c r="H8625" s="1">
        <v>-2.7889600000000001E-6</v>
      </c>
      <c r="I8625">
        <v>-61.187060000000002</v>
      </c>
      <c r="J8625">
        <v>-263.06330000000003</v>
      </c>
      <c r="K8625">
        <v>1.1213630000000001</v>
      </c>
      <c r="L8625">
        <v>-62.726069999999901</v>
      </c>
      <c r="M8625">
        <v>0.99860369999999998</v>
      </c>
      <c r="N8625">
        <v>-9.2632440000000003E-3</v>
      </c>
      <c r="O8625">
        <v>-5.2011120000000001E-2</v>
      </c>
      <c r="P8625">
        <v>0.99796770000000001</v>
      </c>
      <c r="Q8625">
        <v>-6.3716049999999996E-2</v>
      </c>
      <c r="R8625">
        <v>1.079775E-3</v>
      </c>
      <c r="S8625">
        <v>2.9974370000000001</v>
      </c>
      <c r="T8625">
        <v>-0.13545119999999999</v>
      </c>
      <c r="U8625">
        <v>0.18524170000000001</v>
      </c>
      <c r="V8625">
        <v>-5.286602E-2</v>
      </c>
      <c r="W8625">
        <v>-5.459841E-2</v>
      </c>
      <c r="X8625">
        <v>0.99710790000000005</v>
      </c>
      <c r="Y8625">
        <v>-0.1133407</v>
      </c>
      <c r="Z8625">
        <v>4.9488470000000001E-3</v>
      </c>
      <c r="AA8625">
        <v>0.99354390000000004</v>
      </c>
      <c r="AB8625">
        <v>23</v>
      </c>
      <c r="AC8625">
        <v>24.6995</v>
      </c>
      <c r="AD8625">
        <v>-1.1213657889599999</v>
      </c>
      <c r="AE8625">
        <v>1.53900999999999</v>
      </c>
      <c r="AF8625">
        <v>-2.8158488010737801</v>
      </c>
      <c r="AG8625">
        <v>-1.1213657889599999</v>
      </c>
      <c r="AH8625">
        <v>24.5356403926334</v>
      </c>
      <c r="AI8625">
        <v>92.599758093802095</v>
      </c>
      <c r="AJ8625">
        <v>96.546944232065002</v>
      </c>
      <c r="AK8625">
        <v>24.722138159548098</v>
      </c>
      <c r="AL8625">
        <v>93.129814817882803</v>
      </c>
      <c r="AM8625">
        <v>93.034943738300598</v>
      </c>
      <c r="AN8625">
        <v>0.99999998334378903</v>
      </c>
    </row>
    <row r="8626" spans="1:40" x14ac:dyDescent="0.25">
      <c r="A8626" t="str">
        <f>"20190303154012420"</f>
        <v>20190303154012420</v>
      </c>
      <c r="B8626" t="str">
        <f>"1551598812416893"</f>
        <v>1551598812416893</v>
      </c>
      <c r="C8626" t="s">
        <v>40</v>
      </c>
      <c r="D8626">
        <v>4.730003</v>
      </c>
      <c r="E8626">
        <v>0.4769042</v>
      </c>
      <c r="F8626" t="s">
        <v>88</v>
      </c>
      <c r="G8626">
        <v>-238.69730000000001</v>
      </c>
      <c r="H8626" s="1">
        <v>-2.9378940000000001E-6</v>
      </c>
      <c r="I8626">
        <v>-61.20908</v>
      </c>
      <c r="J8626">
        <v>-262.95370000000003</v>
      </c>
      <c r="K8626">
        <v>1.1213329999999999</v>
      </c>
      <c r="L8626">
        <v>-62.730989999999998</v>
      </c>
      <c r="M8626">
        <v>0.99864439999999999</v>
      </c>
      <c r="N8626">
        <v>-9.0130200000000001E-3</v>
      </c>
      <c r="O8626">
        <v>-5.1268349999999997E-2</v>
      </c>
      <c r="P8626">
        <v>0.99800509999999998</v>
      </c>
      <c r="Q8626">
        <v>-6.3111310000000004E-2</v>
      </c>
      <c r="R8626">
        <v>1.7442670000000001E-3</v>
      </c>
      <c r="S8626">
        <v>2.9970400000000001</v>
      </c>
      <c r="T8626">
        <v>-0.13792929999999901</v>
      </c>
      <c r="U8626">
        <v>0.18658449999999999</v>
      </c>
      <c r="V8626">
        <v>-5.2790499999999997E-2</v>
      </c>
      <c r="W8626">
        <v>-5.424288E-2</v>
      </c>
      <c r="X8626">
        <v>0.99713130000000005</v>
      </c>
      <c r="Y8626">
        <v>-0.11304790000000001</v>
      </c>
      <c r="Z8626">
        <v>5.0024129999999998E-3</v>
      </c>
      <c r="AA8626">
        <v>0.99357689999999999</v>
      </c>
      <c r="AB8626">
        <v>23</v>
      </c>
      <c r="AC8626">
        <v>24.256399999999999</v>
      </c>
      <c r="AD8626">
        <v>-1.121335937894</v>
      </c>
      <c r="AE8626">
        <v>1.5219099999999901</v>
      </c>
      <c r="AF8626">
        <v>-2.7576740829633701</v>
      </c>
      <c r="AG8626">
        <v>-1.121335937894</v>
      </c>
      <c r="AH8626">
        <v>24.095178006565099</v>
      </c>
      <c r="AI8626">
        <v>92.647239203407196</v>
      </c>
      <c r="AJ8626">
        <v>96.529048409355198</v>
      </c>
      <c r="AK8626">
        <v>24.278380584411298</v>
      </c>
      <c r="AL8626">
        <v>93.109414233337901</v>
      </c>
      <c r="AM8626">
        <v>93.030545369936704</v>
      </c>
      <c r="AN8626">
        <v>0.99999997818031705</v>
      </c>
    </row>
    <row r="8627" spans="1:40" x14ac:dyDescent="0.25">
      <c r="A8627" t="str">
        <f>"20190303154012432"</f>
        <v>20190303154012432</v>
      </c>
      <c r="B8627" t="str">
        <f>"1551598812426653"</f>
        <v>1551598812426653</v>
      </c>
      <c r="C8627" t="s">
        <v>40</v>
      </c>
      <c r="D8627">
        <v>4.6840780000000004</v>
      </c>
      <c r="E8627">
        <v>0.48889189999999999</v>
      </c>
      <c r="F8627" t="s">
        <v>88</v>
      </c>
      <c r="G8627">
        <v>-238.2551</v>
      </c>
      <c r="H8627" s="1">
        <v>-2.7394809999999999E-6</v>
      </c>
      <c r="I8627">
        <v>-61.176439999999999</v>
      </c>
      <c r="J8627">
        <v>-262.83519999999999</v>
      </c>
      <c r="K8627">
        <v>1.1213</v>
      </c>
      <c r="L8627">
        <v>-62.736240000000002</v>
      </c>
      <c r="M8627">
        <v>0.99868760000000001</v>
      </c>
      <c r="N8627">
        <v>-8.7446639999999992E-3</v>
      </c>
      <c r="O8627">
        <v>-5.0465709999999997E-2</v>
      </c>
      <c r="P8627">
        <v>0.99804459999999995</v>
      </c>
      <c r="Q8627">
        <v>-6.2464890000000002E-2</v>
      </c>
      <c r="R8627">
        <v>2.318559E-3</v>
      </c>
      <c r="S8627">
        <v>2.9970699999999999</v>
      </c>
      <c r="T8627">
        <v>-0.1360691</v>
      </c>
      <c r="U8627">
        <v>0.1886292</v>
      </c>
      <c r="V8627">
        <v>-5.2565250000000001E-2</v>
      </c>
      <c r="W8627">
        <v>-5.386341E-2</v>
      </c>
      <c r="X8627">
        <v>0.99716380000000004</v>
      </c>
      <c r="Y8627">
        <v>-0.1129294</v>
      </c>
      <c r="Z8627">
        <v>4.9015079999999997E-3</v>
      </c>
      <c r="AA8627">
        <v>0.993591</v>
      </c>
      <c r="AB8627">
        <v>23</v>
      </c>
      <c r="AC8627">
        <v>24.580099999999899</v>
      </c>
      <c r="AD8627">
        <v>-1.121302739481</v>
      </c>
      <c r="AE8627">
        <v>1.5598000000000001</v>
      </c>
      <c r="AF8627">
        <v>-2.7925238401753401</v>
      </c>
      <c r="AG8627">
        <v>-1.121302739481</v>
      </c>
      <c r="AH8627">
        <v>24.419444291702799</v>
      </c>
      <c r="AI8627">
        <v>92.612085538142495</v>
      </c>
      <c r="AJ8627">
        <v>96.523808994989693</v>
      </c>
      <c r="AK8627">
        <v>24.604161614391401</v>
      </c>
      <c r="AL8627">
        <v>93.0876402783055</v>
      </c>
      <c r="AM8627">
        <v>93.017540218352707</v>
      </c>
      <c r="AN8627">
        <v>1.0000000082374101</v>
      </c>
    </row>
    <row r="8628" spans="1:40" x14ac:dyDescent="0.25">
      <c r="A8628" t="str">
        <f>"20190303154012443"</f>
        <v>20190303154012443</v>
      </c>
      <c r="B8628" t="str">
        <f>"1551598812436414"</f>
        <v>1551598812436414</v>
      </c>
      <c r="C8628" t="s">
        <v>40</v>
      </c>
      <c r="D8628">
        <v>4.6745890000000001</v>
      </c>
      <c r="E8628">
        <v>0.4913032</v>
      </c>
      <c r="F8628" t="s">
        <v>88</v>
      </c>
      <c r="G8628">
        <v>-231.28489999999999</v>
      </c>
      <c r="H8628" s="1">
        <v>9.964339E-8</v>
      </c>
      <c r="I8628">
        <v>-61.744109999999999</v>
      </c>
      <c r="J8628">
        <v>-262.72089999999997</v>
      </c>
      <c r="K8628">
        <v>1.1212759999999999</v>
      </c>
      <c r="L8628">
        <v>-62.741210000000002</v>
      </c>
      <c r="M8628">
        <v>0.99872830000000001</v>
      </c>
      <c r="N8628">
        <v>-8.4928729999999997E-3</v>
      </c>
      <c r="O8628">
        <v>-4.9694500000000003E-2</v>
      </c>
      <c r="P8628">
        <v>0.99807210000000002</v>
      </c>
      <c r="Q8628">
        <v>-6.1996910000000002E-2</v>
      </c>
      <c r="R8628">
        <v>2.8925000000000001E-3</v>
      </c>
      <c r="S8628">
        <v>2.9989620000000001</v>
      </c>
      <c r="T8628">
        <v>-0.106583399999999</v>
      </c>
      <c r="U8628">
        <v>9.4299320000000006E-2</v>
      </c>
      <c r="V8628">
        <v>-5.2370439999999997E-2</v>
      </c>
      <c r="W8628">
        <v>-5.364617E-2</v>
      </c>
      <c r="X8628">
        <v>0.99718580000000001</v>
      </c>
      <c r="Y8628">
        <v>-8.0979910000000002E-2</v>
      </c>
      <c r="Z8628">
        <v>3.125362E-3</v>
      </c>
      <c r="AA8628">
        <v>0.99671080000000001</v>
      </c>
      <c r="AB8628">
        <v>23</v>
      </c>
      <c r="AC8628">
        <v>31.4359999999999</v>
      </c>
      <c r="AD8628">
        <v>-1.12127590035661</v>
      </c>
      <c r="AE8628">
        <v>0.99709999999999599</v>
      </c>
      <c r="AF8628">
        <v>-2.5548735344819402</v>
      </c>
      <c r="AG8628">
        <v>-1.12127590035661</v>
      </c>
      <c r="AH8628">
        <v>31.3078135939401</v>
      </c>
      <c r="AI8628">
        <v>92.044357071755201</v>
      </c>
      <c r="AJ8628">
        <v>94.665283373003703</v>
      </c>
      <c r="AK8628">
        <v>31.431891932475502</v>
      </c>
      <c r="AL8628">
        <v>93.075175201262496</v>
      </c>
      <c r="AM8628">
        <v>93.006311379560898</v>
      </c>
      <c r="AN8628">
        <v>1.00000004713155</v>
      </c>
    </row>
    <row r="8629" spans="1:40" x14ac:dyDescent="0.25">
      <c r="A8629" t="str">
        <f>"20190303154012454"</f>
        <v>20190303154012454</v>
      </c>
      <c r="B8629" t="str">
        <f>"1551598812447150"</f>
        <v>1551598812447150</v>
      </c>
      <c r="C8629" t="s">
        <v>40</v>
      </c>
      <c r="D8629">
        <v>4.6692339999999897</v>
      </c>
      <c r="E8629">
        <v>0.496307</v>
      </c>
      <c r="F8629" t="s">
        <v>88</v>
      </c>
      <c r="G8629">
        <v>-230.24010000000001</v>
      </c>
      <c r="H8629" s="1">
        <v>5.0374250000000005E-7</v>
      </c>
      <c r="I8629">
        <v>-61.9099199999999</v>
      </c>
      <c r="J8629">
        <v>-262.6071</v>
      </c>
      <c r="K8629">
        <v>1.1212519999999999</v>
      </c>
      <c r="L8629">
        <v>-62.74606</v>
      </c>
      <c r="M8629">
        <v>0.99876830000000005</v>
      </c>
      <c r="N8629">
        <v>-8.2496900000000005E-3</v>
      </c>
      <c r="O8629">
        <v>-4.8928100000000002E-2</v>
      </c>
      <c r="P8629">
        <v>0.99809270000000005</v>
      </c>
      <c r="Q8629">
        <v>-6.1626680000000003E-2</v>
      </c>
      <c r="R8629">
        <v>3.6493290000000002E-3</v>
      </c>
      <c r="S8629">
        <v>2.9991460000000001</v>
      </c>
      <c r="T8629">
        <v>-0.103534</v>
      </c>
      <c r="U8629">
        <v>7.6751710000000001E-2</v>
      </c>
      <c r="V8629">
        <v>-5.2362239999999997E-2</v>
      </c>
      <c r="W8629">
        <v>-5.3518690000000001E-2</v>
      </c>
      <c r="X8629">
        <v>0.997193</v>
      </c>
      <c r="Y8629">
        <v>-7.4394199999999994E-2</v>
      </c>
      <c r="Z8629">
        <v>2.875013E-3</v>
      </c>
      <c r="AA8629">
        <v>0.99722469999999996</v>
      </c>
      <c r="AB8629">
        <v>23</v>
      </c>
      <c r="AC8629">
        <v>32.366999999999898</v>
      </c>
      <c r="AD8629">
        <v>-1.1212514962575</v>
      </c>
      <c r="AE8629">
        <v>0.83614000000000699</v>
      </c>
      <c r="AF8629">
        <v>-2.4159507489059502</v>
      </c>
      <c r="AG8629">
        <v>-1.1212514962575</v>
      </c>
      <c r="AH8629">
        <v>32.248645043597598</v>
      </c>
      <c r="AI8629">
        <v>91.985751673339394</v>
      </c>
      <c r="AJ8629">
        <v>94.284387262429206</v>
      </c>
      <c r="AK8629">
        <v>32.358447584625402</v>
      </c>
      <c r="AL8629">
        <v>93.067860874404005</v>
      </c>
      <c r="AM8629">
        <v>93.005819860810902</v>
      </c>
      <c r="AN8629">
        <v>0.99999996680306602</v>
      </c>
    </row>
    <row r="8630" spans="1:40" x14ac:dyDescent="0.25">
      <c r="A8630" t="str">
        <f>"20190303154012476"</f>
        <v>20190303154012476</v>
      </c>
      <c r="B8630" t="str">
        <f>"1551598812466670"</f>
        <v>1551598812466670</v>
      </c>
      <c r="C8630" t="s">
        <v>40</v>
      </c>
      <c r="D8630">
        <v>4.4845620000000004</v>
      </c>
      <c r="E8630">
        <v>0.496307</v>
      </c>
      <c r="F8630" t="s">
        <v>89</v>
      </c>
      <c r="G8630">
        <v>-222.86519999999999</v>
      </c>
      <c r="H8630" s="1">
        <v>-7.5808440000000005E-7</v>
      </c>
      <c r="I8630">
        <v>-62.231479999999998</v>
      </c>
      <c r="J8630">
        <v>-262.38139999999999</v>
      </c>
      <c r="K8630">
        <v>1.12121</v>
      </c>
      <c r="L8630">
        <v>-62.755490000000002</v>
      </c>
      <c r="M8630">
        <v>0.99884499999999998</v>
      </c>
      <c r="N8630">
        <v>-7.7979540000000002E-3</v>
      </c>
      <c r="O8630">
        <v>-4.7414320000000003E-2</v>
      </c>
      <c r="P8630">
        <v>0.99814020000000003</v>
      </c>
      <c r="Q8630">
        <v>-6.076368E-2</v>
      </c>
      <c r="R8630">
        <v>4.9208589999999997E-3</v>
      </c>
      <c r="S8630">
        <v>3.0003359999999999</v>
      </c>
      <c r="T8630">
        <v>-8.4649559999999999E-2</v>
      </c>
      <c r="U8630">
        <v>3.8848880000000002E-2</v>
      </c>
      <c r="V8630">
        <v>-5.2123740000000002E-2</v>
      </c>
      <c r="W8630">
        <v>-5.3106260000000002E-2</v>
      </c>
      <c r="X8630">
        <v>0.99722750000000004</v>
      </c>
      <c r="Y8630">
        <v>-6.0303820000000001E-2</v>
      </c>
      <c r="Z8630">
        <v>2.053053E-3</v>
      </c>
      <c r="AA8630">
        <v>0.99817789999999995</v>
      </c>
      <c r="AB8630">
        <v>23</v>
      </c>
      <c r="AC8630">
        <v>39.516199999999998</v>
      </c>
      <c r="AD8630">
        <v>-1.12121075808439</v>
      </c>
      <c r="AE8630">
        <v>0.52400999999999698</v>
      </c>
      <c r="AF8630">
        <v>-2.39518318293571</v>
      </c>
      <c r="AG8630">
        <v>-1.12121075808439</v>
      </c>
      <c r="AH8630">
        <v>39.4151817406796</v>
      </c>
      <c r="AI8630">
        <v>91.6264072105363</v>
      </c>
      <c r="AJ8630">
        <v>93.477475711388806</v>
      </c>
      <c r="AK8630">
        <v>39.503804471147603</v>
      </c>
      <c r="AL8630">
        <v>93.044196855465103</v>
      </c>
      <c r="AM8630">
        <v>92.992050532805607</v>
      </c>
      <c r="AN8630">
        <v>0.99999992293950901</v>
      </c>
    </row>
    <row r="8631" spans="1:40" x14ac:dyDescent="0.25">
      <c r="A8631" t="str">
        <f>"20190303154012487"</f>
        <v>20190303154012487</v>
      </c>
      <c r="B8631" t="str">
        <f>"1551598812476430"</f>
        <v>1551598812476430</v>
      </c>
      <c r="C8631" t="s">
        <v>40</v>
      </c>
      <c r="D8631">
        <v>4.1533660000000001</v>
      </c>
      <c r="E8631">
        <v>0.496307</v>
      </c>
      <c r="F8631" t="s">
        <v>89</v>
      </c>
      <c r="G8631">
        <v>-221.38929999999999</v>
      </c>
      <c r="H8631" s="1">
        <v>-1.1156499999999999E-7</v>
      </c>
      <c r="I8631">
        <v>-62.17136</v>
      </c>
      <c r="J8631">
        <v>-262.26870000000002</v>
      </c>
      <c r="K8631">
        <v>1.121197</v>
      </c>
      <c r="L8631">
        <v>-62.760069999999899</v>
      </c>
      <c r="M8631">
        <v>0.99888209999999999</v>
      </c>
      <c r="N8631">
        <v>-7.58596599999999E-3</v>
      </c>
      <c r="O8631">
        <v>-4.6659760000000002E-2</v>
      </c>
      <c r="P8631">
        <v>0.99815189999999998</v>
      </c>
      <c r="Q8631">
        <v>-6.0485419999999998E-2</v>
      </c>
      <c r="R8631">
        <v>5.8698830000000002E-3</v>
      </c>
      <c r="S8631">
        <v>3.0003660000000001</v>
      </c>
      <c r="T8631">
        <v>-8.2065579999999999E-2</v>
      </c>
      <c r="U8631">
        <v>4.2755130000000002E-2</v>
      </c>
      <c r="V8631">
        <v>-5.2318400000000001E-2</v>
      </c>
      <c r="W8631">
        <v>-5.3040440000000001E-2</v>
      </c>
      <c r="X8631">
        <v>0.99722089999999997</v>
      </c>
      <c r="Y8631">
        <v>-6.0851200000000001E-2</v>
      </c>
      <c r="Z8631">
        <v>1.9845959999999999E-3</v>
      </c>
      <c r="AA8631">
        <v>0.9981449</v>
      </c>
      <c r="AB8631">
        <v>23</v>
      </c>
      <c r="AC8631">
        <v>40.879399999999997</v>
      </c>
      <c r="AD8631">
        <v>-1.1211971115649999</v>
      </c>
      <c r="AE8631">
        <v>0.58870999999999096</v>
      </c>
      <c r="AF8631">
        <v>-2.4936710749201501</v>
      </c>
      <c r="AG8631">
        <v>-1.1211971115649999</v>
      </c>
      <c r="AH8631">
        <v>40.776735964431303</v>
      </c>
      <c r="AI8631">
        <v>91.572072455773096</v>
      </c>
      <c r="AJ8631">
        <v>93.499522730144506</v>
      </c>
      <c r="AK8631">
        <v>40.868296689559003</v>
      </c>
      <c r="AL8631">
        <v>93.040420049315799</v>
      </c>
      <c r="AM8631">
        <v>93.003223991688301</v>
      </c>
      <c r="AN8631">
        <v>1.0000000133253799</v>
      </c>
    </row>
    <row r="8632" spans="1:40" x14ac:dyDescent="0.25">
      <c r="A8632" t="str">
        <f>"20190303154012599"</f>
        <v>20190303154012599</v>
      </c>
      <c r="B8632" t="str">
        <f>"1551598812596478"</f>
        <v>1551598812596478</v>
      </c>
      <c r="C8632" t="s">
        <v>40</v>
      </c>
      <c r="D8632">
        <v>4.6541050000000004</v>
      </c>
      <c r="E8632">
        <v>0.49785869999999999</v>
      </c>
      <c r="F8632" t="s">
        <v>89</v>
      </c>
      <c r="G8632">
        <v>-220.8587</v>
      </c>
      <c r="H8632" s="1">
        <v>1.251802E-7</v>
      </c>
      <c r="I8632">
        <v>-62.130389999999998</v>
      </c>
      <c r="J8632">
        <v>-261.08980000000003</v>
      </c>
      <c r="K8632">
        <v>1.1211450000000001</v>
      </c>
      <c r="L8632">
        <v>-62.80283</v>
      </c>
      <c r="M8632">
        <v>0.99922860000000002</v>
      </c>
      <c r="N8632">
        <v>-6.0445169999999897E-3</v>
      </c>
      <c r="O8632">
        <v>-3.8805289999999999E-2</v>
      </c>
      <c r="P8632">
        <v>0.99827080000000001</v>
      </c>
      <c r="Q8632">
        <v>-5.6948779999999997E-2</v>
      </c>
      <c r="R8632">
        <v>1.4580020000000001E-2</v>
      </c>
      <c r="S8632">
        <v>3.0003660000000001</v>
      </c>
      <c r="T8632">
        <v>-8.1236359999999994E-2</v>
      </c>
      <c r="U8632">
        <v>4.5623780000000003E-2</v>
      </c>
      <c r="V8632">
        <v>-5.3185530000000002E-2</v>
      </c>
      <c r="W8632">
        <v>-5.1049629999999999E-2</v>
      </c>
      <c r="X8632">
        <v>0.99727889999999997</v>
      </c>
      <c r="Y8632">
        <v>-5.3961599999999998E-2</v>
      </c>
      <c r="Z8632">
        <v>1.7092330000000001E-3</v>
      </c>
      <c r="AA8632">
        <v>0.99854149999999997</v>
      </c>
      <c r="AB8632">
        <v>24</v>
      </c>
      <c r="AC8632">
        <v>40.231099999999998</v>
      </c>
      <c r="AD8632">
        <v>-1.1211448748198001</v>
      </c>
      <c r="AE8632">
        <v>0.67244000000000104</v>
      </c>
      <c r="AF8632">
        <v>-2.2314089376918602</v>
      </c>
      <c r="AG8632">
        <v>-1.1211448748198001</v>
      </c>
      <c r="AH8632">
        <v>40.143534845655701</v>
      </c>
      <c r="AI8632">
        <v>91.597299384413802</v>
      </c>
      <c r="AJ8632">
        <v>93.1815554421879</v>
      </c>
      <c r="AK8632">
        <v>40.221133022105597</v>
      </c>
      <c r="AL8632">
        <v>92.926200306670296</v>
      </c>
      <c r="AM8632">
        <v>93.052729094409003</v>
      </c>
      <c r="AN8632">
        <v>0.99999998485486297</v>
      </c>
    </row>
    <row r="8633" spans="1:40" x14ac:dyDescent="0.25">
      <c r="A8633" t="str">
        <f>"20190303154012610"</f>
        <v>20190303154012610</v>
      </c>
      <c r="B8633" t="str">
        <f>"1551598812607214"</f>
        <v>1551598812607214</v>
      </c>
      <c r="C8633" t="s">
        <v>40</v>
      </c>
      <c r="D8633">
        <v>4.0236929999999997</v>
      </c>
      <c r="E8633">
        <v>0.49785869999999999</v>
      </c>
      <c r="F8633" t="s">
        <v>63</v>
      </c>
      <c r="G8633">
        <v>-207.85669999999999</v>
      </c>
      <c r="H8633" s="1">
        <v>-1.5241970000000001E-6</v>
      </c>
      <c r="I8633">
        <v>-61.750369999999997</v>
      </c>
      <c r="J8633">
        <v>-260.97089999999997</v>
      </c>
      <c r="K8633">
        <v>1.1211450000000001</v>
      </c>
      <c r="L8633">
        <v>-62.806640000000002</v>
      </c>
      <c r="M8633">
        <v>0.99925969999999997</v>
      </c>
      <c r="N8633">
        <v>-5.9410299999999999E-3</v>
      </c>
      <c r="O8633">
        <v>-3.8012949999999997E-2</v>
      </c>
      <c r="P8633">
        <v>0.99829270000000003</v>
      </c>
      <c r="Q8633">
        <v>-5.6352159999999998E-2</v>
      </c>
      <c r="R8633">
        <v>1.53706E-2</v>
      </c>
      <c r="S8633">
        <v>3.0007320000000002</v>
      </c>
      <c r="T8633">
        <v>-6.3198690000000002E-2</v>
      </c>
      <c r="U8633">
        <v>5.9326169999999998E-2</v>
      </c>
      <c r="V8633">
        <v>-5.3185919999999998E-2</v>
      </c>
      <c r="W8633">
        <v>-5.0556780000000003E-2</v>
      </c>
      <c r="X8633">
        <v>0.99730399999999997</v>
      </c>
      <c r="Y8633">
        <v>-5.773785E-2</v>
      </c>
      <c r="Z8633">
        <v>1.3539779999999901E-3</v>
      </c>
      <c r="AA8633">
        <v>0.99833079999999996</v>
      </c>
      <c r="AB8633">
        <v>24</v>
      </c>
      <c r="AC8633">
        <v>53.114199999999897</v>
      </c>
      <c r="AD8633">
        <v>-1.121146524197</v>
      </c>
      <c r="AE8633">
        <v>1.05627</v>
      </c>
      <c r="AF8633">
        <v>-3.0732006362114102</v>
      </c>
      <c r="AG8633">
        <v>-1.121146524197</v>
      </c>
      <c r="AH8633">
        <v>53.012046982167099</v>
      </c>
      <c r="AI8633">
        <v>91.209532004691098</v>
      </c>
      <c r="AJ8633">
        <v>93.317822631747205</v>
      </c>
      <c r="AK8633">
        <v>53.112885978062003</v>
      </c>
      <c r="AL8633">
        <v>92.897925527622306</v>
      </c>
      <c r="AM8633">
        <v>93.052674751306597</v>
      </c>
      <c r="AN8633">
        <v>0.99999999925310701</v>
      </c>
    </row>
    <row r="8634" spans="1:40" x14ac:dyDescent="0.25">
      <c r="A8634" t="str">
        <f>"20190303154012620"</f>
        <v>20190303154012620</v>
      </c>
      <c r="B8634" t="str">
        <f>"1551598812616973"</f>
        <v>1551598812616973</v>
      </c>
      <c r="C8634" t="s">
        <v>40</v>
      </c>
      <c r="D8634">
        <v>3.9044639999999999</v>
      </c>
      <c r="E8634">
        <v>0.44728380000000001</v>
      </c>
      <c r="F8634" t="s">
        <v>63</v>
      </c>
      <c r="G8634">
        <v>-206.179</v>
      </c>
      <c r="H8634" s="1">
        <v>-2.580855E-6</v>
      </c>
      <c r="I8634">
        <v>-61.68045</v>
      </c>
      <c r="J8634">
        <v>-260.84550000000002</v>
      </c>
      <c r="K8634">
        <v>1.1211500000000001</v>
      </c>
      <c r="L8634">
        <v>-62.810549999999999</v>
      </c>
      <c r="M8634">
        <v>0.9992917</v>
      </c>
      <c r="N8634">
        <v>-5.846174E-3</v>
      </c>
      <c r="O8634">
        <v>-3.717819E-2</v>
      </c>
      <c r="P8634">
        <v>0.99828779999999995</v>
      </c>
      <c r="Q8634">
        <v>-5.6226270000000002E-2</v>
      </c>
      <c r="R8634">
        <v>1.614558E-2</v>
      </c>
      <c r="S8634">
        <v>3.0006710000000001</v>
      </c>
      <c r="T8634">
        <v>-6.1399580000000002E-2</v>
      </c>
      <c r="U8634">
        <v>6.167603E-2</v>
      </c>
      <c r="V8634">
        <v>-5.312704E-2</v>
      </c>
      <c r="W8634">
        <v>-5.0526010000000003E-2</v>
      </c>
      <c r="X8634">
        <v>0.99730870000000005</v>
      </c>
      <c r="Y8634">
        <v>-5.7687019999999999E-2</v>
      </c>
      <c r="Z8634">
        <v>1.3019259999999999E-3</v>
      </c>
      <c r="AA8634">
        <v>0.9983339</v>
      </c>
      <c r="AB8634">
        <v>24</v>
      </c>
      <c r="AC8634">
        <v>54.666499999999999</v>
      </c>
      <c r="AD8634">
        <v>-1.121152580855</v>
      </c>
      <c r="AE8634">
        <v>1.1300999999999899</v>
      </c>
      <c r="AF8634">
        <v>-3.1604258739269602</v>
      </c>
      <c r="AG8634">
        <v>-1.121152580855</v>
      </c>
      <c r="AH8634">
        <v>54.563748724736001</v>
      </c>
      <c r="AI8634">
        <v>91.175154465283697</v>
      </c>
      <c r="AJ8634">
        <v>93.314965937903395</v>
      </c>
      <c r="AK8634">
        <v>54.666698727015401</v>
      </c>
      <c r="AL8634">
        <v>92.896160273694406</v>
      </c>
      <c r="AM8634">
        <v>93.049287295495702</v>
      </c>
      <c r="AN8634">
        <v>1.00000000158068</v>
      </c>
    </row>
    <row r="8635" spans="1:40" x14ac:dyDescent="0.25">
      <c r="A8635" t="str">
        <f>"20190303154012633"</f>
        <v>20190303154012633</v>
      </c>
      <c r="B8635" t="str">
        <f>"1551598812626734"</f>
        <v>1551598812626734</v>
      </c>
      <c r="C8635" t="s">
        <v>40</v>
      </c>
      <c r="D8635">
        <v>4.6418780000000002</v>
      </c>
      <c r="E8635">
        <v>0.46661160000000002</v>
      </c>
      <c r="F8635" t="s">
        <v>86</v>
      </c>
      <c r="G8635">
        <v>-252.40090000000001</v>
      </c>
      <c r="H8635" s="1">
        <v>-4.0794149999999997E-7</v>
      </c>
      <c r="I8635">
        <v>-61.471020000000003</v>
      </c>
      <c r="J8635">
        <v>-260.72390000000001</v>
      </c>
      <c r="K8635">
        <v>1.121151</v>
      </c>
      <c r="L8635">
        <v>-62.814269999999901</v>
      </c>
      <c r="M8635">
        <v>0.99932189999999999</v>
      </c>
      <c r="N8635">
        <v>-5.7583819999999898E-3</v>
      </c>
      <c r="O8635">
        <v>-3.6368369999999997E-2</v>
      </c>
      <c r="P8635">
        <v>0.99830839999999998</v>
      </c>
      <c r="Q8635">
        <v>-5.5638420000000001E-2</v>
      </c>
      <c r="R8635">
        <v>1.6880340000000001E-2</v>
      </c>
      <c r="S8635">
        <v>2.9752809999999998</v>
      </c>
      <c r="T8635">
        <v>-0.39501439999999999</v>
      </c>
      <c r="U8635">
        <v>0.47195429999999999</v>
      </c>
      <c r="V8635">
        <v>-5.3054669999999998E-2</v>
      </c>
      <c r="W8635">
        <v>-5.0026090000000002E-2</v>
      </c>
      <c r="X8635">
        <v>0.99733780000000005</v>
      </c>
      <c r="Y8635">
        <v>-0.19049160000000001</v>
      </c>
      <c r="Z8635">
        <v>1.7640570000000001E-2</v>
      </c>
      <c r="AA8635">
        <v>0.98153029999999997</v>
      </c>
      <c r="AB8635">
        <v>24</v>
      </c>
      <c r="AC8635">
        <v>8.3230000000000004</v>
      </c>
      <c r="AD8635">
        <v>-1.1211514079414999</v>
      </c>
      <c r="AE8635">
        <v>1.3432499999999901</v>
      </c>
      <c r="AF8635">
        <v>-1.61647319720437</v>
      </c>
      <c r="AG8635">
        <v>-1.1211514079414999</v>
      </c>
      <c r="AH8635">
        <v>8.1249524987331299</v>
      </c>
      <c r="AI8635">
        <v>97.707367222883505</v>
      </c>
      <c r="AJ8635">
        <v>101.25216838222801</v>
      </c>
      <c r="AK8635">
        <v>8.3597140611075407</v>
      </c>
      <c r="AL8635">
        <v>92.867480566217907</v>
      </c>
      <c r="AM8635">
        <v>93.045052676471599</v>
      </c>
      <c r="AN8635">
        <v>1.0000000474991599</v>
      </c>
    </row>
    <row r="8636" spans="1:40" x14ac:dyDescent="0.25">
      <c r="A8636" t="str">
        <f>"20190303154012643"</f>
        <v>20190303154012643</v>
      </c>
      <c r="B8636" t="str">
        <f>"1551598812636493"</f>
        <v>1551598812636493</v>
      </c>
      <c r="C8636" t="s">
        <v>40</v>
      </c>
      <c r="D8636">
        <v>4.6396559999999996</v>
      </c>
      <c r="E8636">
        <v>0.47567730000000003</v>
      </c>
      <c r="F8636" t="s">
        <v>87</v>
      </c>
      <c r="G8636">
        <v>-249.2852</v>
      </c>
      <c r="H8636" s="1">
        <v>-3.248327E-6</v>
      </c>
      <c r="I8636">
        <v>-61.592640000000003</v>
      </c>
      <c r="J8636">
        <v>-260.60669999999999</v>
      </c>
      <c r="K8636">
        <v>1.1211519999999999</v>
      </c>
      <c r="L8636">
        <v>-62.817720000000001</v>
      </c>
      <c r="M8636">
        <v>0.99935050000000003</v>
      </c>
      <c r="N8636">
        <v>-5.6822169999999998E-3</v>
      </c>
      <c r="O8636">
        <v>-3.5587649999999998E-2</v>
      </c>
      <c r="P8636">
        <v>0.9982917</v>
      </c>
      <c r="Q8636">
        <v>-5.5761640000000001E-2</v>
      </c>
      <c r="R8636">
        <v>1.7452700000000002E-2</v>
      </c>
      <c r="S8636">
        <v>2.983368</v>
      </c>
      <c r="T8636">
        <v>-0.29241289999999998</v>
      </c>
      <c r="U8636">
        <v>0.31860349999999998</v>
      </c>
      <c r="V8636">
        <v>-5.2845830000000003E-2</v>
      </c>
      <c r="W8636">
        <v>-5.0225409999999998E-2</v>
      </c>
      <c r="X8636">
        <v>0.99733879999999997</v>
      </c>
      <c r="Y8636">
        <v>-0.14065329999999901</v>
      </c>
      <c r="Z8636">
        <v>1.0528859999999999E-2</v>
      </c>
      <c r="AA8636">
        <v>0.99000290000000002</v>
      </c>
      <c r="AB8636">
        <v>24</v>
      </c>
      <c r="AC8636">
        <v>11.321499999999901</v>
      </c>
      <c r="AD8636">
        <v>-1.121155248327</v>
      </c>
      <c r="AE8636">
        <v>1.22507999999999</v>
      </c>
      <c r="AF8636">
        <v>-1.6115944697781399</v>
      </c>
      <c r="AG8636">
        <v>-1.121155248327</v>
      </c>
      <c r="AH8636">
        <v>11.1625290316916</v>
      </c>
      <c r="AI8636">
        <v>95.677034818499493</v>
      </c>
      <c r="AJ8636">
        <v>98.215333482319807</v>
      </c>
      <c r="AK8636">
        <v>11.333855487398299</v>
      </c>
      <c r="AL8636">
        <v>92.878915335604802</v>
      </c>
      <c r="AM8636">
        <v>93.033085773189299</v>
      </c>
      <c r="AN8636">
        <v>0.99999997777174798</v>
      </c>
    </row>
    <row r="8637" spans="1:40" x14ac:dyDescent="0.25">
      <c r="A8637" t="str">
        <f>"20190303154012655"</f>
        <v>20190303154012655</v>
      </c>
      <c r="B8637" t="str">
        <f>"1551598812647230"</f>
        <v>1551598812647230</v>
      </c>
      <c r="C8637" t="s">
        <v>40</v>
      </c>
      <c r="D8637">
        <v>4.7255419999999999</v>
      </c>
      <c r="E8637">
        <v>0.48132140000000001</v>
      </c>
      <c r="F8637" t="s">
        <v>87</v>
      </c>
      <c r="G8637">
        <v>-246.13149999999999</v>
      </c>
      <c r="H8637" s="1">
        <v>-1.946509E-6</v>
      </c>
      <c r="I8637">
        <v>-61.620109999999997</v>
      </c>
      <c r="J8637">
        <v>-260.4819</v>
      </c>
      <c r="K8637">
        <v>1.121157</v>
      </c>
      <c r="L8637">
        <v>-62.821319999999901</v>
      </c>
      <c r="M8637">
        <v>0.99938009999999999</v>
      </c>
      <c r="N8637">
        <v>-5.6073929999999996E-3</v>
      </c>
      <c r="O8637">
        <v>-3.47564E-2</v>
      </c>
      <c r="P8637">
        <v>0.998278</v>
      </c>
      <c r="Q8637">
        <v>-5.5718379999999998E-2</v>
      </c>
      <c r="R8637">
        <v>1.8343209999999999E-2</v>
      </c>
      <c r="S8637">
        <v>2.9879150000000001</v>
      </c>
      <c r="T8637">
        <v>-0.2314242</v>
      </c>
      <c r="U8637">
        <v>0.24719240000000001</v>
      </c>
      <c r="V8637">
        <v>-5.2905189999999998E-2</v>
      </c>
      <c r="W8637">
        <v>-5.0257679999999999E-2</v>
      </c>
      <c r="X8637">
        <v>0.9973341</v>
      </c>
      <c r="Y8637">
        <v>-0.1165765</v>
      </c>
      <c r="Z8637">
        <v>7.3178640000000003E-3</v>
      </c>
      <c r="AA8637">
        <v>0.9931548</v>
      </c>
      <c r="AB8637">
        <v>24</v>
      </c>
      <c r="AC8637">
        <v>14.3504</v>
      </c>
      <c r="AD8637">
        <v>-1.1211589465089999</v>
      </c>
      <c r="AE8637">
        <v>1.2012099999999899</v>
      </c>
      <c r="AF8637">
        <v>-1.6890224321462199</v>
      </c>
      <c r="AG8637">
        <v>-1.1211589465089999</v>
      </c>
      <c r="AH8637">
        <v>14.213823141128699</v>
      </c>
      <c r="AI8637">
        <v>94.478662549030503</v>
      </c>
      <c r="AJ8637">
        <v>96.776655316409901</v>
      </c>
      <c r="AK8637">
        <v>14.357665633622901</v>
      </c>
      <c r="AL8637">
        <v>92.880766399388506</v>
      </c>
      <c r="AM8637">
        <v>93.036500650359997</v>
      </c>
      <c r="AN8637">
        <v>1.0000000502753601</v>
      </c>
    </row>
    <row r="8638" spans="1:40" x14ac:dyDescent="0.25">
      <c r="A8638" t="str">
        <f>"20190303154012665"</f>
        <v>20190303154012665</v>
      </c>
      <c r="B8638" t="str">
        <f>"1551598812656990"</f>
        <v>1551598812656990</v>
      </c>
      <c r="C8638" t="s">
        <v>40</v>
      </c>
      <c r="D8638">
        <v>4.6616070000000001</v>
      </c>
      <c r="E8638">
        <v>0.48515039999999998</v>
      </c>
      <c r="F8638" t="s">
        <v>87</v>
      </c>
      <c r="G8638">
        <v>-243.97819999999999</v>
      </c>
      <c r="H8638" s="1">
        <v>-1.0421069999999999E-6</v>
      </c>
      <c r="I8638">
        <v>-61.692709999999998</v>
      </c>
      <c r="J8638">
        <v>-260.36059999999998</v>
      </c>
      <c r="K8638">
        <v>1.1211580000000001</v>
      </c>
      <c r="L8638">
        <v>-62.824739999999998</v>
      </c>
      <c r="M8638">
        <v>0.99940819999999997</v>
      </c>
      <c r="N8638">
        <v>-5.5402350000000001E-3</v>
      </c>
      <c r="O8638">
        <v>-3.3949479999999997E-2</v>
      </c>
      <c r="P8638">
        <v>0.99828760000000005</v>
      </c>
      <c r="Q8638">
        <v>-5.5206850000000002E-2</v>
      </c>
      <c r="R8638">
        <v>1.9343610000000001E-2</v>
      </c>
      <c r="S8638">
        <v>2.9900820000000001</v>
      </c>
      <c r="T8638">
        <v>-0.20312820000000001</v>
      </c>
      <c r="U8638">
        <v>0.20446780000000001</v>
      </c>
      <c r="V8638">
        <v>-5.3100880000000003E-2</v>
      </c>
      <c r="W8638">
        <v>-4.9814219999999999E-2</v>
      </c>
      <c r="X8638">
        <v>0.99734590000000001</v>
      </c>
      <c r="Y8638">
        <v>-0.1017359</v>
      </c>
      <c r="Z8638">
        <v>5.8438550000000002E-3</v>
      </c>
      <c r="AA8638">
        <v>0.99479430000000002</v>
      </c>
      <c r="AB8638">
        <v>24</v>
      </c>
      <c r="AC8638">
        <v>16.382399999999901</v>
      </c>
      <c r="AD8638">
        <v>-1.1211590421069999</v>
      </c>
      <c r="AE8638">
        <v>1.1320300000000001</v>
      </c>
      <c r="AF8638">
        <v>-1.67973012476309</v>
      </c>
      <c r="AG8638">
        <v>-1.1211590421069999</v>
      </c>
      <c r="AH8638">
        <v>16.258736188632302</v>
      </c>
      <c r="AI8638">
        <v>93.923899912393395</v>
      </c>
      <c r="AJ8638">
        <v>95.898442048273594</v>
      </c>
      <c r="AK8638">
        <v>16.383680701883701</v>
      </c>
      <c r="AL8638">
        <v>92.855326285703995</v>
      </c>
      <c r="AM8638">
        <v>93.047675178684102</v>
      </c>
      <c r="AN8638">
        <v>1.00000000210889</v>
      </c>
    </row>
    <row r="8639" spans="1:40" x14ac:dyDescent="0.25">
      <c r="A8639" t="str">
        <f>"20190303154012677"</f>
        <v>20190303154012677</v>
      </c>
      <c r="B8639" t="str">
        <f>"1551598812666750"</f>
        <v>1551598812666750</v>
      </c>
      <c r="C8639" t="s">
        <v>40</v>
      </c>
      <c r="D8639">
        <v>4.6895129999999998</v>
      </c>
      <c r="E8639">
        <v>0.48675950000000001</v>
      </c>
      <c r="F8639" t="s">
        <v>87</v>
      </c>
      <c r="G8639">
        <v>-242.2071</v>
      </c>
      <c r="H8639" s="1">
        <v>-2.9812630000000001E-7</v>
      </c>
      <c r="I8639">
        <v>-61.75224</v>
      </c>
      <c r="J8639">
        <v>-260.24369999999999</v>
      </c>
      <c r="K8639">
        <v>1.121159</v>
      </c>
      <c r="L8639">
        <v>-62.82788</v>
      </c>
      <c r="M8639">
        <v>0.9994345</v>
      </c>
      <c r="N8639">
        <v>-5.4827219999999998E-3</v>
      </c>
      <c r="O8639">
        <v>-3.317465E-2</v>
      </c>
      <c r="P8639">
        <v>0.99828240000000001</v>
      </c>
      <c r="Q8639">
        <v>-5.5037410000000002E-2</v>
      </c>
      <c r="R8639">
        <v>2.0072610000000001E-2</v>
      </c>
      <c r="S8639">
        <v>2.9915159999999998</v>
      </c>
      <c r="T8639">
        <v>-0.18475520000000001</v>
      </c>
      <c r="U8639">
        <v>0.1767273</v>
      </c>
      <c r="V8639">
        <v>-5.3055989999999997E-2</v>
      </c>
      <c r="W8639">
        <v>-4.9702499999999997E-2</v>
      </c>
      <c r="X8639">
        <v>0.99735390000000002</v>
      </c>
      <c r="Y8639">
        <v>-9.1816030000000007E-2</v>
      </c>
      <c r="Z8639">
        <v>4.9460839999999999E-3</v>
      </c>
      <c r="AA8639">
        <v>0.99576370000000003</v>
      </c>
      <c r="AB8639">
        <v>24</v>
      </c>
      <c r="AC8639">
        <v>18.0366</v>
      </c>
      <c r="AD8639">
        <v>-1.1211592981262899</v>
      </c>
      <c r="AE8639">
        <v>1.0756399999999999</v>
      </c>
      <c r="AF8639">
        <v>-1.6669965492491601</v>
      </c>
      <c r="AG8639">
        <v>-1.1211592981262899</v>
      </c>
      <c r="AH8639">
        <v>17.921984043112701</v>
      </c>
      <c r="AI8639">
        <v>93.564285984594207</v>
      </c>
      <c r="AJ8639">
        <v>95.314023467267702</v>
      </c>
      <c r="AK8639">
        <v>18.034228226030901</v>
      </c>
      <c r="AL8639">
        <v>92.848917156483196</v>
      </c>
      <c r="AM8639">
        <v>93.045079230661599</v>
      </c>
      <c r="AN8639">
        <v>1.0000000392131601</v>
      </c>
    </row>
    <row r="8640" spans="1:40" x14ac:dyDescent="0.25">
      <c r="A8640" t="str">
        <f>"20190303154012688"</f>
        <v>20190303154012688</v>
      </c>
      <c r="B8640" t="str">
        <f>"1551598812676510"</f>
        <v>1551598812676510</v>
      </c>
      <c r="C8640" t="s">
        <v>40</v>
      </c>
      <c r="D8640">
        <v>4.6862830000000004</v>
      </c>
      <c r="E8640">
        <v>0.48811330000000003</v>
      </c>
      <c r="F8640" t="s">
        <v>87</v>
      </c>
      <c r="G8640">
        <v>-241.43440000000001</v>
      </c>
      <c r="H8640" s="1">
        <v>2.4747119999999998E-8</v>
      </c>
      <c r="I8640">
        <v>-61.784550000000003</v>
      </c>
      <c r="J8640">
        <v>-260.12209999999999</v>
      </c>
      <c r="K8640">
        <v>1.1211599999999999</v>
      </c>
      <c r="L8640">
        <v>-62.831150000000001</v>
      </c>
      <c r="M8640">
        <v>0.9994613</v>
      </c>
      <c r="N8640">
        <v>-5.425549E-3</v>
      </c>
      <c r="O8640">
        <v>-3.2369299999999997E-2</v>
      </c>
      <c r="P8640">
        <v>0.99829480000000004</v>
      </c>
      <c r="Q8640">
        <v>-5.4377559999999998E-2</v>
      </c>
      <c r="R8640">
        <v>2.122959E-2</v>
      </c>
      <c r="S8640">
        <v>2.9920040000000001</v>
      </c>
      <c r="T8640">
        <v>-0.17834330000000001</v>
      </c>
      <c r="U8640">
        <v>0.16595460000000001</v>
      </c>
      <c r="V8640">
        <v>-5.341046E-2</v>
      </c>
      <c r="W8640">
        <v>-4.9100959999999999E-2</v>
      </c>
      <c r="X8640">
        <v>0.99736480000000005</v>
      </c>
      <c r="Y8640">
        <v>-8.7455679999999994E-2</v>
      </c>
      <c r="Z8640">
        <v>4.5909109999999996E-3</v>
      </c>
      <c r="AA8640">
        <v>0.99615779999999998</v>
      </c>
      <c r="AB8640">
        <v>24</v>
      </c>
      <c r="AC8640">
        <v>18.6876999999999</v>
      </c>
      <c r="AD8640">
        <v>-1.12115997525287</v>
      </c>
      <c r="AE8640">
        <v>1.04659999999999</v>
      </c>
      <c r="AF8640">
        <v>-1.64506553818954</v>
      </c>
      <c r="AG8640">
        <v>-1.12115997525287</v>
      </c>
      <c r="AH8640">
        <v>18.577371425696899</v>
      </c>
      <c r="AI8640">
        <v>93.440230118224605</v>
      </c>
      <c r="AJ8640">
        <v>95.060462856821701</v>
      </c>
      <c r="AK8640">
        <v>18.683735424249299</v>
      </c>
      <c r="AL8640">
        <v>92.814409252957006</v>
      </c>
      <c r="AM8640">
        <v>93.0653514647707</v>
      </c>
      <c r="AN8640">
        <v>1.0000000628946799</v>
      </c>
    </row>
    <row r="8641" spans="1:40" x14ac:dyDescent="0.25">
      <c r="A8641" t="str">
        <f>"20190303154012699"</f>
        <v>20190303154012699</v>
      </c>
      <c r="B8641" t="str">
        <f>"1551598812697006"</f>
        <v>1551598812697006</v>
      </c>
      <c r="C8641" t="s">
        <v>40</v>
      </c>
      <c r="D8641">
        <v>4.698232</v>
      </c>
      <c r="E8641">
        <v>0.48975109999999999</v>
      </c>
      <c r="F8641" t="s">
        <v>87</v>
      </c>
      <c r="G8641">
        <v>-240.46969999999999</v>
      </c>
      <c r="H8641" s="1">
        <v>4.3722050000000001E-7</v>
      </c>
      <c r="I8641">
        <v>-61.789729999999999</v>
      </c>
      <c r="J8641">
        <v>-259.99889999999999</v>
      </c>
      <c r="K8641">
        <v>1.121154</v>
      </c>
      <c r="L8641">
        <v>-62.834290000000003</v>
      </c>
      <c r="M8641">
        <v>0.99948720000000002</v>
      </c>
      <c r="N8641">
        <v>-5.375978E-3</v>
      </c>
      <c r="O8641">
        <v>-3.1567320000000003E-2</v>
      </c>
      <c r="P8641">
        <v>0.99833620000000001</v>
      </c>
      <c r="Q8641">
        <v>-5.3324629999999998E-2</v>
      </c>
      <c r="R8641">
        <v>2.194074E-2</v>
      </c>
      <c r="S8641">
        <v>2.9924930000000001</v>
      </c>
      <c r="T8641">
        <v>-0.1707206</v>
      </c>
      <c r="U8641">
        <v>0.1585693</v>
      </c>
      <c r="V8641">
        <v>-5.3324620000000003E-2</v>
      </c>
      <c r="W8641">
        <v>-4.8096779999999999E-2</v>
      </c>
      <c r="X8641">
        <v>0.99741829999999998</v>
      </c>
      <c r="Y8641">
        <v>-8.4220470000000006E-2</v>
      </c>
      <c r="Z8641">
        <v>4.2543729999999997E-3</v>
      </c>
      <c r="AA8641">
        <v>0.99643809999999999</v>
      </c>
      <c r="AB8641">
        <v>24</v>
      </c>
      <c r="AC8641">
        <v>19.529199999999999</v>
      </c>
      <c r="AD8641">
        <v>-1.1211535627795</v>
      </c>
      <c r="AE8641">
        <v>1.0445599999999899</v>
      </c>
      <c r="AF8641">
        <v>-1.65509349990054</v>
      </c>
      <c r="AG8641">
        <v>-1.1211535627795</v>
      </c>
      <c r="AH8641">
        <v>19.422661813221001</v>
      </c>
      <c r="AI8641">
        <v>93.291771352566798</v>
      </c>
      <c r="AJ8641">
        <v>94.870667661858704</v>
      </c>
      <c r="AK8641">
        <v>19.5252685440047</v>
      </c>
      <c r="AL8641">
        <v>92.756805975277899</v>
      </c>
      <c r="AM8641">
        <v>93.060270433902801</v>
      </c>
      <c r="AN8641">
        <v>1.0000000402597</v>
      </c>
    </row>
    <row r="8642" spans="1:40" x14ac:dyDescent="0.25">
      <c r="A8642" t="str">
        <f>"20190303154012711"</f>
        <v>20190303154012711</v>
      </c>
      <c r="B8642" t="str">
        <f>"1551598812706765"</f>
        <v>1551598812706765</v>
      </c>
      <c r="C8642" t="s">
        <v>40</v>
      </c>
      <c r="D8642">
        <v>4.6605689999999997</v>
      </c>
      <c r="E8642">
        <v>0.4903962</v>
      </c>
      <c r="F8642" t="s">
        <v>88</v>
      </c>
      <c r="G8642">
        <v>-238.821</v>
      </c>
      <c r="H8642" s="1">
        <v>-3.1254140000000001E-6</v>
      </c>
      <c r="I8642">
        <v>-61.790280000000003</v>
      </c>
      <c r="J8642">
        <v>-259.87450000000001</v>
      </c>
      <c r="K8642">
        <v>1.121149</v>
      </c>
      <c r="L8642">
        <v>-62.837400000000002</v>
      </c>
      <c r="M8642">
        <v>0.99951259999999997</v>
      </c>
      <c r="N8642">
        <v>-5.3277919999999996E-3</v>
      </c>
      <c r="O8642">
        <v>-3.0761050000000002E-2</v>
      </c>
      <c r="P8642">
        <v>0.99837310000000001</v>
      </c>
      <c r="Q8642">
        <v>-5.2342489999999998E-2</v>
      </c>
      <c r="R8642">
        <v>2.261583E-2</v>
      </c>
      <c r="S8642">
        <v>2.9932859999999999</v>
      </c>
      <c r="T8642">
        <v>-0.15846470000000001</v>
      </c>
      <c r="U8642">
        <v>0.1475525</v>
      </c>
      <c r="V8642">
        <v>-5.3199049999999998E-2</v>
      </c>
      <c r="W8642">
        <v>-4.7161759999999997E-2</v>
      </c>
      <c r="X8642">
        <v>0.99746959999999996</v>
      </c>
      <c r="Y8642">
        <v>-7.9778080000000001E-2</v>
      </c>
      <c r="Z8642">
        <v>3.7845919999999998E-3</v>
      </c>
      <c r="AA8642">
        <v>0.99680550000000001</v>
      </c>
      <c r="AB8642">
        <v>25</v>
      </c>
      <c r="AC8642">
        <v>21.0535</v>
      </c>
      <c r="AD8642">
        <v>-1.121152125414</v>
      </c>
      <c r="AE8642">
        <v>1.0471199999999901</v>
      </c>
      <c r="AF8642">
        <v>-1.68948212613129</v>
      </c>
      <c r="AG8642">
        <v>-1.121152125414</v>
      </c>
      <c r="AH8642">
        <v>20.952055646210699</v>
      </c>
      <c r="AI8642">
        <v>93.053105878809802</v>
      </c>
      <c r="AJ8642">
        <v>94.610106524997803</v>
      </c>
      <c r="AK8642">
        <v>21.0499398513332</v>
      </c>
      <c r="AL8642">
        <v>92.703172550842098</v>
      </c>
      <c r="AM8642">
        <v>93.052920967558507</v>
      </c>
      <c r="AN8642">
        <v>0.99999998672567902</v>
      </c>
    </row>
    <row r="8643" spans="1:40" x14ac:dyDescent="0.25">
      <c r="A8643" t="str">
        <f>"20190303154012722"</f>
        <v>20190303154012722</v>
      </c>
      <c r="B8643" t="str">
        <f>"1551598812716525"</f>
        <v>1551598812716525</v>
      </c>
      <c r="C8643" t="s">
        <v>40</v>
      </c>
      <c r="D8643">
        <v>4.6920599999999997</v>
      </c>
      <c r="E8643">
        <v>0.49092740000000001</v>
      </c>
      <c r="F8643" t="s">
        <v>88</v>
      </c>
      <c r="G8643">
        <v>-237.79900000000001</v>
      </c>
      <c r="H8643" s="1">
        <v>-2.702433E-6</v>
      </c>
      <c r="I8643">
        <v>-61.772460000000002</v>
      </c>
      <c r="J8643">
        <v>-259.74369999999999</v>
      </c>
      <c r="K8643">
        <v>1.12114</v>
      </c>
      <c r="L8643">
        <v>-62.84055</v>
      </c>
      <c r="M8643">
        <v>0.99953789999999998</v>
      </c>
      <c r="N8643">
        <v>-5.2843780000000002E-3</v>
      </c>
      <c r="O8643">
        <v>-2.9934789999999999E-2</v>
      </c>
      <c r="P8643">
        <v>0.9984286</v>
      </c>
      <c r="Q8643">
        <v>-5.1124349999999999E-2</v>
      </c>
      <c r="R8643">
        <v>2.2946479999999998E-2</v>
      </c>
      <c r="S8643">
        <v>2.993652</v>
      </c>
      <c r="T8643">
        <v>-0.1520396</v>
      </c>
      <c r="U8643">
        <v>0.14440919999999999</v>
      </c>
      <c r="V8643">
        <v>-5.271108E-2</v>
      </c>
      <c r="W8643">
        <v>-4.5983999999999997E-2</v>
      </c>
      <c r="X8643">
        <v>0.99755050000000001</v>
      </c>
      <c r="Y8643">
        <v>-7.7919710000000003E-2</v>
      </c>
      <c r="Z8643">
        <v>3.54295E-3</v>
      </c>
      <c r="AA8643">
        <v>0.99695339999999999</v>
      </c>
      <c r="AB8643">
        <v>25</v>
      </c>
      <c r="AC8643">
        <v>21.944699999999902</v>
      </c>
      <c r="AD8643">
        <v>-1.1211427024330001</v>
      </c>
      <c r="AE8643">
        <v>1.06809</v>
      </c>
      <c r="AF8643">
        <v>-1.7200515232964899</v>
      </c>
      <c r="AG8643">
        <v>-1.1211427024330001</v>
      </c>
      <c r="AH8643">
        <v>21.846005594542799</v>
      </c>
      <c r="AI8643">
        <v>92.928808617404698</v>
      </c>
      <c r="AJ8643">
        <v>94.501912161307601</v>
      </c>
      <c r="AK8643">
        <v>21.942276514500701</v>
      </c>
      <c r="AL8643">
        <v>92.635618548650697</v>
      </c>
      <c r="AM8643">
        <v>93.024725333981706</v>
      </c>
      <c r="AN8643">
        <v>0.99999999313050802</v>
      </c>
    </row>
    <row r="8644" spans="1:40" x14ac:dyDescent="0.25">
      <c r="A8644" t="str">
        <f>"20190303154012735"</f>
        <v>20190303154012735</v>
      </c>
      <c r="B8644" t="str">
        <f>"1551598812727262"</f>
        <v>1551598812727262</v>
      </c>
      <c r="C8644" t="s">
        <v>40</v>
      </c>
      <c r="D8644">
        <v>4.7059509999999998</v>
      </c>
      <c r="E8644">
        <v>0.49120350000000002</v>
      </c>
      <c r="F8644" t="s">
        <v>88</v>
      </c>
      <c r="G8644">
        <v>-236.72579999999999</v>
      </c>
      <c r="H8644" s="1">
        <v>-2.2375850000000002E-6</v>
      </c>
      <c r="I8644">
        <v>-61.755830000000003</v>
      </c>
      <c r="J8644">
        <v>-259.61619999999999</v>
      </c>
      <c r="K8644">
        <v>1.121124</v>
      </c>
      <c r="L8644">
        <v>-62.8435699999999</v>
      </c>
      <c r="M8644">
        <v>0.9995617</v>
      </c>
      <c r="N8644">
        <v>-5.245174E-3</v>
      </c>
      <c r="O8644">
        <v>-2.9141090000000001E-2</v>
      </c>
      <c r="P8644">
        <v>0.99850669999999997</v>
      </c>
      <c r="Q8644">
        <v>-4.9653450000000002E-2</v>
      </c>
      <c r="R8644">
        <v>2.278608E-2</v>
      </c>
      <c r="S8644">
        <v>2.9939879999999999</v>
      </c>
      <c r="T8644">
        <v>-0.14582909999999999</v>
      </c>
      <c r="U8644">
        <v>0.14108280000000001</v>
      </c>
      <c r="V8644">
        <v>-5.176596E-2</v>
      </c>
      <c r="W8644">
        <v>-4.4547709999999997E-2</v>
      </c>
      <c r="X8644">
        <v>0.99766520000000003</v>
      </c>
      <c r="Y8644">
        <v>-7.6031860000000007E-2</v>
      </c>
      <c r="Z8644">
        <v>3.3143489999999999E-3</v>
      </c>
      <c r="AA8644">
        <v>0.99709990000000004</v>
      </c>
      <c r="AB8644">
        <v>25</v>
      </c>
      <c r="AC8644">
        <v>22.8904</v>
      </c>
      <c r="AD8644">
        <v>-1.121126237585</v>
      </c>
      <c r="AE8644">
        <v>1.0877399999999799</v>
      </c>
      <c r="AF8644">
        <v>-1.75014943433996</v>
      </c>
      <c r="AG8644">
        <v>-1.121126237585</v>
      </c>
      <c r="AH8644">
        <v>22.794422908866601</v>
      </c>
      <c r="AI8644">
        <v>92.807530035556596</v>
      </c>
      <c r="AJ8644">
        <v>94.390539899595495</v>
      </c>
      <c r="AK8644">
        <v>22.888985622595602</v>
      </c>
      <c r="AL8644">
        <v>92.553240646774796</v>
      </c>
      <c r="AM8644">
        <v>92.970248524753899</v>
      </c>
      <c r="AN8644">
        <v>1.0000000321860001</v>
      </c>
    </row>
    <row r="8645" spans="1:40" x14ac:dyDescent="0.25">
      <c r="A8645" t="str">
        <f>"20190303154012744"</f>
        <v>20190303154012744</v>
      </c>
      <c r="B8645" t="str">
        <f>"1551598812737022"</f>
        <v>1551598812737022</v>
      </c>
      <c r="C8645" t="s">
        <v>40</v>
      </c>
      <c r="D8645">
        <v>4.7483829999999996</v>
      </c>
      <c r="E8645">
        <v>0.49156159999999999</v>
      </c>
      <c r="F8645" t="s">
        <v>88</v>
      </c>
      <c r="G8645">
        <v>-235.56979999999999</v>
      </c>
      <c r="H8645" s="1">
        <v>-1.7354440000000001E-6</v>
      </c>
      <c r="I8645">
        <v>-61.732340000000001</v>
      </c>
      <c r="J8645">
        <v>-259.4966</v>
      </c>
      <c r="K8645">
        <v>1.1211009999999999</v>
      </c>
      <c r="L8645">
        <v>-62.846310000000003</v>
      </c>
      <c r="M8645">
        <v>0.99958279999999999</v>
      </c>
      <c r="N8645">
        <v>-5.212286E-3</v>
      </c>
      <c r="O8645">
        <v>-2.8411180000000001E-2</v>
      </c>
      <c r="P8645">
        <v>0.99855919999999998</v>
      </c>
      <c r="Q8645">
        <v>-4.8779210000000003E-2</v>
      </c>
      <c r="R8645">
        <v>2.236513E-2</v>
      </c>
      <c r="S8645">
        <v>2.994354</v>
      </c>
      <c r="T8645">
        <v>-0.13960719999999999</v>
      </c>
      <c r="U8645">
        <v>0.13836670000000001</v>
      </c>
      <c r="V8645">
        <v>-5.0621800000000002E-2</v>
      </c>
      <c r="W8645">
        <v>-4.3701139999999999E-2</v>
      </c>
      <c r="X8645">
        <v>0.99776129999999996</v>
      </c>
      <c r="Y8645">
        <v>-7.4408569999999993E-2</v>
      </c>
      <c r="Z8645">
        <v>3.1022279999999998E-3</v>
      </c>
      <c r="AA8645">
        <v>0.99722299999999997</v>
      </c>
      <c r="AB8645">
        <v>25</v>
      </c>
      <c r="AC8645">
        <v>23.9268</v>
      </c>
      <c r="AD8645">
        <v>-1.121102735444</v>
      </c>
      <c r="AE8645">
        <v>1.1139699999999899</v>
      </c>
      <c r="AF8645">
        <v>-1.78939809165337</v>
      </c>
      <c r="AG8645">
        <v>-1.121102735444</v>
      </c>
      <c r="AH8645">
        <v>23.833279996136501</v>
      </c>
      <c r="AI8645">
        <v>92.685625114946603</v>
      </c>
      <c r="AJ8645">
        <v>94.293700399194805</v>
      </c>
      <c r="AK8645">
        <v>23.92663896681</v>
      </c>
      <c r="AL8645">
        <v>92.504688591803202</v>
      </c>
      <c r="AM8645">
        <v>92.904432848896207</v>
      </c>
      <c r="AN8645">
        <v>0.99999998402511403</v>
      </c>
    </row>
    <row r="8646" spans="1:40" x14ac:dyDescent="0.25">
      <c r="A8646" t="str">
        <f>"20190303154012756"</f>
        <v>20190303154012756</v>
      </c>
      <c r="B8646" t="str">
        <f>"1551598812746781"</f>
        <v>1551598812746781</v>
      </c>
      <c r="C8646" t="s">
        <v>40</v>
      </c>
      <c r="D8646">
        <v>4.6927890000000003</v>
      </c>
      <c r="E8646">
        <v>0.49171759999999898</v>
      </c>
      <c r="F8646" t="s">
        <v>88</v>
      </c>
      <c r="G8646">
        <v>-234.8912</v>
      </c>
      <c r="H8646" s="1">
        <v>-1.447221E-6</v>
      </c>
      <c r="I8646">
        <v>-61.743220000000001</v>
      </c>
      <c r="J8646">
        <v>-259.37049999999999</v>
      </c>
      <c r="K8646">
        <v>1.121076</v>
      </c>
      <c r="L8646">
        <v>-62.849089999999997</v>
      </c>
      <c r="M8646">
        <v>0.99960400000000005</v>
      </c>
      <c r="N8646">
        <v>-5.1814529999999999E-3</v>
      </c>
      <c r="O8646">
        <v>-2.7663529999999999E-2</v>
      </c>
      <c r="P8646">
        <v>0.99859419999999999</v>
      </c>
      <c r="Q8646">
        <v>-4.8232070000000002E-2</v>
      </c>
      <c r="R8646">
        <v>2.1990900000000001E-2</v>
      </c>
      <c r="S8646">
        <v>2.994659</v>
      </c>
      <c r="T8646">
        <v>-0.1364466</v>
      </c>
      <c r="U8646">
        <v>0.134246799999999</v>
      </c>
      <c r="V8646">
        <v>-4.9505779999999999E-2</v>
      </c>
      <c r="W8646">
        <v>-4.3179250000000002E-2</v>
      </c>
      <c r="X8646">
        <v>0.99783999999999995</v>
      </c>
      <c r="Y8646">
        <v>-7.2296869999999999E-2</v>
      </c>
      <c r="Z8646">
        <v>2.9489080000000001E-3</v>
      </c>
      <c r="AA8646">
        <v>0.99737880000000001</v>
      </c>
      <c r="AB8646">
        <v>25</v>
      </c>
      <c r="AC8646">
        <v>24.479299999999899</v>
      </c>
      <c r="AD8646">
        <v>-1.1210774472209999</v>
      </c>
      <c r="AE8646">
        <v>1.1058700000000099</v>
      </c>
      <c r="AF8646">
        <v>-1.77891617904209</v>
      </c>
      <c r="AG8646">
        <v>-1.1210774472209999</v>
      </c>
      <c r="AH8646">
        <v>24.388291756483799</v>
      </c>
      <c r="AI8646">
        <v>92.624947427127594</v>
      </c>
      <c r="AJ8646">
        <v>94.171846224323701</v>
      </c>
      <c r="AK8646">
        <v>24.4787690093702</v>
      </c>
      <c r="AL8646">
        <v>92.474758283559098</v>
      </c>
      <c r="AM8646">
        <v>92.840283426008</v>
      </c>
      <c r="AN8646">
        <v>0.99999996774198396</v>
      </c>
    </row>
    <row r="8647" spans="1:40" x14ac:dyDescent="0.25">
      <c r="A8647" t="str">
        <f>"20190303154012768"</f>
        <v>20190303154012768</v>
      </c>
      <c r="B8647" t="str">
        <f>"1551598812756542"</f>
        <v>1551598812756542</v>
      </c>
      <c r="C8647" t="s">
        <v>40</v>
      </c>
      <c r="D8647">
        <v>4.7000580000000003</v>
      </c>
      <c r="E8647">
        <v>0.49202689999999999</v>
      </c>
      <c r="F8647" t="s">
        <v>88</v>
      </c>
      <c r="G8647">
        <v>-234.39449999999999</v>
      </c>
      <c r="H8647" s="1">
        <v>-1.2356850000000001E-6</v>
      </c>
      <c r="I8647">
        <v>-61.749040000000001</v>
      </c>
      <c r="J8647">
        <v>-259.24079999999998</v>
      </c>
      <c r="K8647">
        <v>1.1210450000000001</v>
      </c>
      <c r="L8647">
        <v>-62.851930000000003</v>
      </c>
      <c r="M8647">
        <v>0.99962470000000003</v>
      </c>
      <c r="N8647">
        <v>-5.1521470000000002E-3</v>
      </c>
      <c r="O8647">
        <v>-2.6908140000000001E-2</v>
      </c>
      <c r="P8647">
        <v>0.99861739999999999</v>
      </c>
      <c r="Q8647">
        <v>-4.8117890000000003E-2</v>
      </c>
      <c r="R8647">
        <v>2.1174490000000001E-2</v>
      </c>
      <c r="S8647">
        <v>2.994812</v>
      </c>
      <c r="T8647">
        <v>-0.13442589999999999</v>
      </c>
      <c r="U8647">
        <v>0.13189699999999999</v>
      </c>
      <c r="V8647">
        <v>-4.7939080000000002E-2</v>
      </c>
      <c r="W8647">
        <v>-4.3087519999999997E-2</v>
      </c>
      <c r="X8647">
        <v>0.99792049999999999</v>
      </c>
      <c r="Y8647">
        <v>-7.0765170000000002E-2</v>
      </c>
      <c r="Z8647">
        <v>2.8372969999999999E-3</v>
      </c>
      <c r="AA8647">
        <v>0.99748899999999996</v>
      </c>
      <c r="AB8647">
        <v>25</v>
      </c>
      <c r="AC8647">
        <v>24.8462999999999</v>
      </c>
      <c r="AD8647">
        <v>-1.1210462356849999</v>
      </c>
      <c r="AE8647">
        <v>1.1028899999999999</v>
      </c>
      <c r="AF8647">
        <v>-1.76747613542599</v>
      </c>
      <c r="AG8647">
        <v>-1.1210462356849999</v>
      </c>
      <c r="AH8647">
        <v>24.757325547701502</v>
      </c>
      <c r="AI8647">
        <v>92.586088712382903</v>
      </c>
      <c r="AJ8647">
        <v>94.083534670309902</v>
      </c>
      <c r="AK8647">
        <v>24.845641163526398</v>
      </c>
      <c r="AL8647">
        <v>92.469497548454697</v>
      </c>
      <c r="AM8647">
        <v>92.750316263003199</v>
      </c>
      <c r="AN8647">
        <v>1.0000000070456201</v>
      </c>
    </row>
    <row r="8648" spans="1:40" x14ac:dyDescent="0.25">
      <c r="A8648" t="str">
        <f>"20190303154012778"</f>
        <v>20190303154012778</v>
      </c>
      <c r="B8648" t="str">
        <f>"1551598812767278"</f>
        <v>1551598812767278</v>
      </c>
      <c r="C8648" t="s">
        <v>40</v>
      </c>
      <c r="D8648">
        <v>4.6788530000000002</v>
      </c>
      <c r="E8648">
        <v>0.49212889999999998</v>
      </c>
      <c r="F8648" t="s">
        <v>88</v>
      </c>
      <c r="G8648">
        <v>-233.9863</v>
      </c>
      <c r="H8648" s="1">
        <v>-1.069167E-6</v>
      </c>
      <c r="I8648">
        <v>-61.781399999999998</v>
      </c>
      <c r="J8648">
        <v>-259.13010000000003</v>
      </c>
      <c r="K8648">
        <v>1.121016</v>
      </c>
      <c r="L8648">
        <v>-62.854280000000003</v>
      </c>
      <c r="M8648">
        <v>0.99964109999999995</v>
      </c>
      <c r="N8648">
        <v>-5.1313790000000001E-3</v>
      </c>
      <c r="O8648">
        <v>-2.6298209999999999E-2</v>
      </c>
      <c r="P8648">
        <v>0.99861469999999997</v>
      </c>
      <c r="Q8648">
        <v>-4.8526609999999998E-2</v>
      </c>
      <c r="R8648">
        <v>2.0351080000000001E-2</v>
      </c>
      <c r="S8648">
        <v>2.9950869999999998</v>
      </c>
      <c r="T8648">
        <v>-0.1329515</v>
      </c>
      <c r="U8648">
        <v>0.12695310000000001</v>
      </c>
      <c r="V8648">
        <v>-4.6508729999999998E-2</v>
      </c>
      <c r="W8648">
        <v>-4.3510559999999997E-2</v>
      </c>
      <c r="X8648">
        <v>0.99796980000000002</v>
      </c>
      <c r="Y8648">
        <v>-6.8514030000000004E-2</v>
      </c>
      <c r="Z8648">
        <v>2.7267139999999999E-3</v>
      </c>
      <c r="AA8648">
        <v>0.99764649999999999</v>
      </c>
      <c r="AB8648">
        <v>25</v>
      </c>
      <c r="AC8648">
        <v>25.143799999999999</v>
      </c>
      <c r="AD8648">
        <v>-1.1210170691670001</v>
      </c>
      <c r="AE8648">
        <v>1.0728800000000001</v>
      </c>
      <c r="AF8648">
        <v>-1.73032127814984</v>
      </c>
      <c r="AG8648">
        <v>-1.1210170691670001</v>
      </c>
      <c r="AH8648">
        <v>25.057171432902098</v>
      </c>
      <c r="AI8648">
        <v>92.555534001352598</v>
      </c>
      <c r="AJ8648">
        <v>93.950285054607093</v>
      </c>
      <c r="AK8648">
        <v>25.141848205985799</v>
      </c>
      <c r="AL8648">
        <v>92.493758785027893</v>
      </c>
      <c r="AM8648">
        <v>92.668244351371499</v>
      </c>
      <c r="AN8648">
        <v>0.99999997625488302</v>
      </c>
    </row>
    <row r="8649" spans="1:40" x14ac:dyDescent="0.25">
      <c r="A8649" t="str">
        <f>"20190303154012788"</f>
        <v>20190303154012788</v>
      </c>
      <c r="B8649" t="str">
        <f>"1551598812777038"</f>
        <v>1551598812777038</v>
      </c>
      <c r="C8649" t="s">
        <v>40</v>
      </c>
      <c r="D8649">
        <v>4.7141650000000004</v>
      </c>
      <c r="E8649">
        <v>0.49215350000000002</v>
      </c>
      <c r="F8649" t="s">
        <v>88</v>
      </c>
      <c r="G8649">
        <v>-234.22</v>
      </c>
      <c r="H8649" s="1">
        <v>-1.1811710000000001E-6</v>
      </c>
      <c r="I8649">
        <v>-61.825510000000001</v>
      </c>
      <c r="J8649">
        <v>-259.00869999999998</v>
      </c>
      <c r="K8649">
        <v>1.1209789999999999</v>
      </c>
      <c r="L8649">
        <v>-62.856780000000001</v>
      </c>
      <c r="M8649">
        <v>0.9996583</v>
      </c>
      <c r="N8649">
        <v>-5.1093270000000003E-3</v>
      </c>
      <c r="O8649">
        <v>-2.563464E-2</v>
      </c>
      <c r="P8649">
        <v>0.99859019999999998</v>
      </c>
      <c r="Q8649">
        <v>-4.9275329999999999E-2</v>
      </c>
      <c r="R8649">
        <v>1.974163E-2</v>
      </c>
      <c r="S8649">
        <v>2.9950869999999998</v>
      </c>
      <c r="T8649">
        <v>-0.1347865</v>
      </c>
      <c r="U8649">
        <v>0.1236877</v>
      </c>
      <c r="V8649">
        <v>-4.5238510000000003E-2</v>
      </c>
      <c r="W8649">
        <v>-4.4275179999999997E-2</v>
      </c>
      <c r="X8649">
        <v>0.99799459999999995</v>
      </c>
      <c r="Y8649">
        <v>-6.6765790000000005E-2</v>
      </c>
      <c r="Z8649">
        <v>2.6934020000000001E-3</v>
      </c>
      <c r="AA8649">
        <v>0.99776509999999996</v>
      </c>
      <c r="AB8649">
        <v>25</v>
      </c>
      <c r="AC8649">
        <v>24.788699999999899</v>
      </c>
      <c r="AD8649">
        <v>-1.1209801811710001</v>
      </c>
      <c r="AE8649">
        <v>1.0312700000000099</v>
      </c>
      <c r="AF8649">
        <v>-1.6629938945109799</v>
      </c>
      <c r="AG8649">
        <v>-1.1209801811710001</v>
      </c>
      <c r="AH8649">
        <v>24.703685931353899</v>
      </c>
      <c r="AI8649">
        <v>92.592271708389603</v>
      </c>
      <c r="AJ8649">
        <v>93.851206348486798</v>
      </c>
      <c r="AK8649">
        <v>24.784960033349499</v>
      </c>
      <c r="AL8649">
        <v>92.537610442518996</v>
      </c>
      <c r="AM8649">
        <v>92.595407417653604</v>
      </c>
      <c r="AN8649">
        <v>1.0000000179901001</v>
      </c>
    </row>
    <row r="8650" spans="1:40" x14ac:dyDescent="0.25">
      <c r="A8650" t="str">
        <f>"20190303154012800"</f>
        <v>20190303154012800</v>
      </c>
      <c r="B8650" t="str">
        <f>"1551598812796558"</f>
        <v>1551598812796558</v>
      </c>
      <c r="C8650" t="s">
        <v>40</v>
      </c>
      <c r="D8650">
        <v>4.7096589999999896</v>
      </c>
      <c r="E8650">
        <v>0.4923052</v>
      </c>
      <c r="F8650" t="s">
        <v>88</v>
      </c>
      <c r="G8650">
        <v>-234.40950000000001</v>
      </c>
      <c r="H8650" s="1">
        <v>-1.2709800000000001E-6</v>
      </c>
      <c r="I8650">
        <v>-61.857640000000004</v>
      </c>
      <c r="J8650">
        <v>-258.88279999999997</v>
      </c>
      <c r="K8650">
        <v>1.1209359999999999</v>
      </c>
      <c r="L8650">
        <v>-62.859310000000001</v>
      </c>
      <c r="M8650">
        <v>0.99967470000000003</v>
      </c>
      <c r="N8650">
        <v>-5.0923419999999997E-3</v>
      </c>
      <c r="O8650">
        <v>-2.4997220000000001E-2</v>
      </c>
      <c r="P8650">
        <v>0.99856160000000005</v>
      </c>
      <c r="Q8650">
        <v>-5.0058749999999999E-2</v>
      </c>
      <c r="R8650">
        <v>1.9209509999999999E-2</v>
      </c>
      <c r="S8650">
        <v>2.9950869999999998</v>
      </c>
      <c r="T8650">
        <v>-0.136485</v>
      </c>
      <c r="U8650">
        <v>0.1216431</v>
      </c>
      <c r="V8650">
        <v>-4.4070999999999999E-2</v>
      </c>
      <c r="W8650">
        <v>-4.5069140000000001E-2</v>
      </c>
      <c r="X8650">
        <v>0.99801130000000005</v>
      </c>
      <c r="Y8650">
        <v>-6.5449160000000006E-2</v>
      </c>
      <c r="Z8650">
        <v>2.6676030000000002E-3</v>
      </c>
      <c r="AA8650">
        <v>0.99785230000000003</v>
      </c>
      <c r="AB8650">
        <v>25</v>
      </c>
      <c r="AC8650">
        <v>24.473299999999899</v>
      </c>
      <c r="AD8650">
        <v>-1.1209372709799901</v>
      </c>
      <c r="AE8650">
        <v>1.0016699999999901</v>
      </c>
      <c r="AF8650">
        <v>-1.60975788882578</v>
      </c>
      <c r="AG8650">
        <v>-1.1209372709799901</v>
      </c>
      <c r="AH8650">
        <v>24.3895327380162</v>
      </c>
      <c r="AI8650">
        <v>92.625744003924197</v>
      </c>
      <c r="AJ8650">
        <v>93.776158960273605</v>
      </c>
      <c r="AK8650">
        <v>24.4682882115785</v>
      </c>
      <c r="AL8650">
        <v>92.5831464593916</v>
      </c>
      <c r="AM8650">
        <v>92.528471282859996</v>
      </c>
      <c r="AN8650">
        <v>1.0000000176745101</v>
      </c>
    </row>
    <row r="8651" spans="1:40" x14ac:dyDescent="0.25">
      <c r="A8651" t="str">
        <f>"20190303154012813"</f>
        <v>20190303154012813</v>
      </c>
      <c r="B8651" t="str">
        <f>"1551598812807294"</f>
        <v>1551598812807294</v>
      </c>
      <c r="C8651" t="s">
        <v>40</v>
      </c>
      <c r="D8651">
        <v>4.707249</v>
      </c>
      <c r="E8651">
        <v>0.49238759999999998</v>
      </c>
      <c r="F8651" t="s">
        <v>88</v>
      </c>
      <c r="G8651">
        <v>-234.2945</v>
      </c>
      <c r="H8651" s="1">
        <v>-1.2285359999999999E-6</v>
      </c>
      <c r="I8651">
        <v>-61.883459999999999</v>
      </c>
      <c r="J8651">
        <v>-258.74599999999998</v>
      </c>
      <c r="K8651">
        <v>1.1208910000000001</v>
      </c>
      <c r="L8651">
        <v>-62.862029999999997</v>
      </c>
      <c r="M8651">
        <v>0.99969140000000001</v>
      </c>
      <c r="N8651">
        <v>-5.0757770000000001E-3</v>
      </c>
      <c r="O8651">
        <v>-2.432202E-2</v>
      </c>
      <c r="P8651">
        <v>0.99849840000000001</v>
      </c>
      <c r="Q8651">
        <v>-5.1488140000000002E-2</v>
      </c>
      <c r="R8651">
        <v>1.8709739999999999E-2</v>
      </c>
      <c r="S8651">
        <v>2.9952239999999999</v>
      </c>
      <c r="T8651">
        <v>-0.13654720000000001</v>
      </c>
      <c r="U8651">
        <v>0.118866</v>
      </c>
      <c r="V8651">
        <v>-4.2897459999999998E-2</v>
      </c>
      <c r="W8651">
        <v>-4.6508550000000003E-2</v>
      </c>
      <c r="X8651">
        <v>0.99799640000000001</v>
      </c>
      <c r="Y8651">
        <v>-6.3851900000000003E-2</v>
      </c>
      <c r="Z8651">
        <v>2.6008279999999999E-3</v>
      </c>
      <c r="AA8651">
        <v>0.99795599999999995</v>
      </c>
      <c r="AB8651">
        <v>25</v>
      </c>
      <c r="AC8651">
        <v>24.4514999999999</v>
      </c>
      <c r="AD8651">
        <v>-1.1208922285359999</v>
      </c>
      <c r="AE8651">
        <v>0.97857000000000405</v>
      </c>
      <c r="AF8651">
        <v>-1.56970461290125</v>
      </c>
      <c r="AG8651">
        <v>-1.1208922285359999</v>
      </c>
      <c r="AH8651">
        <v>24.369336596531401</v>
      </c>
      <c r="AI8651">
        <v>92.628082339539205</v>
      </c>
      <c r="AJ8651">
        <v>93.685507516703098</v>
      </c>
      <c r="AK8651">
        <v>24.445550476820902</v>
      </c>
      <c r="AL8651">
        <v>92.6657051537466</v>
      </c>
      <c r="AM8651">
        <v>92.461262777477799</v>
      </c>
      <c r="AN8651">
        <v>1.0000000258552499</v>
      </c>
    </row>
    <row r="8652" spans="1:40" x14ac:dyDescent="0.25">
      <c r="A8652" t="str">
        <f>"20190303154012823"</f>
        <v>20190303154012823</v>
      </c>
      <c r="B8652" t="str">
        <f>"1551598812817054"</f>
        <v>1551598812817054</v>
      </c>
      <c r="C8652" t="s">
        <v>40</v>
      </c>
      <c r="D8652">
        <v>4.7170839999999998</v>
      </c>
      <c r="E8652">
        <v>0.49246109999999998</v>
      </c>
      <c r="F8652" t="s">
        <v>88</v>
      </c>
      <c r="G8652">
        <v>-234.6069</v>
      </c>
      <c r="H8652" s="1">
        <v>-1.372717E-6</v>
      </c>
      <c r="I8652">
        <v>-61.921680000000002</v>
      </c>
      <c r="J8652">
        <v>-258.6146</v>
      </c>
      <c r="K8652">
        <v>1.120846</v>
      </c>
      <c r="L8652">
        <v>-62.86459</v>
      </c>
      <c r="M8652">
        <v>0.99970590000000004</v>
      </c>
      <c r="N8652">
        <v>-5.0646349999999996E-3</v>
      </c>
      <c r="O8652">
        <v>-2.371813E-2</v>
      </c>
      <c r="P8652">
        <v>0.99848029999999999</v>
      </c>
      <c r="Q8652">
        <v>-5.1934769999999998E-2</v>
      </c>
      <c r="R8652">
        <v>1.843852E-2</v>
      </c>
      <c r="S8652">
        <v>2.995117</v>
      </c>
      <c r="T8652">
        <v>-0.13907720000000001</v>
      </c>
      <c r="U8652">
        <v>0.1166687</v>
      </c>
      <c r="V8652">
        <v>-4.2027109999999999E-2</v>
      </c>
      <c r="W8652">
        <v>-4.696028E-2</v>
      </c>
      <c r="X8652">
        <v>0.99801220000000002</v>
      </c>
      <c r="Y8652">
        <v>-6.2518080000000004E-2</v>
      </c>
      <c r="Z8652">
        <v>2.5890100000000001E-3</v>
      </c>
      <c r="AA8652">
        <v>0.9980405</v>
      </c>
      <c r="AB8652">
        <v>25</v>
      </c>
      <c r="AC8652">
        <v>24.0077</v>
      </c>
      <c r="AD8652">
        <v>-1.1208473727169901</v>
      </c>
      <c r="AE8652">
        <v>0.94290999999999703</v>
      </c>
      <c r="AF8652">
        <v>-1.50878616788148</v>
      </c>
      <c r="AG8652">
        <v>-1.1208473727169901</v>
      </c>
      <c r="AH8652">
        <v>23.926510062568902</v>
      </c>
      <c r="AI8652">
        <v>92.676774958693002</v>
      </c>
      <c r="AJ8652">
        <v>93.608247401129205</v>
      </c>
      <c r="AK8652">
        <v>24.0002212137207</v>
      </c>
      <c r="AL8652">
        <v>92.691615894979705</v>
      </c>
      <c r="AM8652">
        <v>92.411347445653206</v>
      </c>
      <c r="AN8652">
        <v>0.99999994861073405</v>
      </c>
    </row>
    <row r="8653" spans="1:40" x14ac:dyDescent="0.25">
      <c r="A8653" t="str">
        <f>"20190303154012834"</f>
        <v>20190303154012834</v>
      </c>
      <c r="B8653" t="str">
        <f>"1551598812826815"</f>
        <v>1551598812826815</v>
      </c>
      <c r="C8653" t="s">
        <v>40</v>
      </c>
      <c r="D8653">
        <v>4.7372959999999997</v>
      </c>
      <c r="E8653">
        <v>0.49255330000000003</v>
      </c>
      <c r="F8653" t="s">
        <v>88</v>
      </c>
      <c r="G8653">
        <v>-234.5497</v>
      </c>
      <c r="H8653" s="1">
        <v>-1.3526969999999999E-6</v>
      </c>
      <c r="I8653">
        <v>-61.938670000000002</v>
      </c>
      <c r="J8653">
        <v>-258.49930000000001</v>
      </c>
      <c r="K8653">
        <v>1.1208089999999999</v>
      </c>
      <c r="L8653">
        <v>-62.866790000000002</v>
      </c>
      <c r="M8653">
        <v>0.99971779999999999</v>
      </c>
      <c r="N8653">
        <v>-5.056998E-3</v>
      </c>
      <c r="O8653">
        <v>-2.320935E-2</v>
      </c>
      <c r="P8653">
        <v>0.99846769999999996</v>
      </c>
      <c r="Q8653">
        <v>-5.2332209999999997E-2</v>
      </c>
      <c r="R8653">
        <v>1.798228E-2</v>
      </c>
      <c r="S8653">
        <v>2.9951479999999999</v>
      </c>
      <c r="T8653">
        <v>-0.13950179999999901</v>
      </c>
      <c r="U8653">
        <v>0.1152344</v>
      </c>
      <c r="V8653">
        <v>-4.1066449999999997E-2</v>
      </c>
      <c r="W8653">
        <v>-4.735988E-2</v>
      </c>
      <c r="X8653">
        <v>0.99803330000000001</v>
      </c>
      <c r="Y8653">
        <v>-6.1533539999999998E-2</v>
      </c>
      <c r="Z8653">
        <v>2.5502210000000001E-3</v>
      </c>
      <c r="AA8653">
        <v>0.99810180000000004</v>
      </c>
      <c r="AB8653">
        <v>25</v>
      </c>
      <c r="AC8653">
        <v>23.9496</v>
      </c>
      <c r="AD8653">
        <v>-1.1208103526969999</v>
      </c>
      <c r="AE8653">
        <v>0.92812000000000605</v>
      </c>
      <c r="AF8653">
        <v>-1.4804941632609201</v>
      </c>
      <c r="AG8653">
        <v>-1.1208103526969999</v>
      </c>
      <c r="AH8653">
        <v>23.869408657925302</v>
      </c>
      <c r="AI8653">
        <v>92.6832532729441</v>
      </c>
      <c r="AJ8653">
        <v>93.549209847997702</v>
      </c>
      <c r="AK8653">
        <v>23.941527697563501</v>
      </c>
      <c r="AL8653">
        <v>92.714536816998603</v>
      </c>
      <c r="AM8653">
        <v>92.356241709802902</v>
      </c>
      <c r="AN8653">
        <v>0.99999993972905099</v>
      </c>
    </row>
    <row r="8654" spans="1:40" x14ac:dyDescent="0.25">
      <c r="A8654" t="str">
        <f>"20190303154012844"</f>
        <v>20190303154012844</v>
      </c>
      <c r="B8654" t="str">
        <f>"1551598812836574"</f>
        <v>1551598812836574</v>
      </c>
      <c r="C8654" t="s">
        <v>40</v>
      </c>
      <c r="D8654">
        <v>4.7179580000000003</v>
      </c>
      <c r="E8654">
        <v>0.49256680000000003</v>
      </c>
      <c r="F8654" t="s">
        <v>88</v>
      </c>
      <c r="G8654">
        <v>-234.5052</v>
      </c>
      <c r="H8654" s="1">
        <v>-1.3393409999999999E-6</v>
      </c>
      <c r="I8654">
        <v>-61.960239999999999</v>
      </c>
      <c r="J8654">
        <v>-258.3777</v>
      </c>
      <c r="K8654">
        <v>1.120771</v>
      </c>
      <c r="L8654">
        <v>-62.869079999999997</v>
      </c>
      <c r="M8654">
        <v>0.9997296</v>
      </c>
      <c r="N8654">
        <v>-5.0516340000000002E-3</v>
      </c>
      <c r="O8654">
        <v>-2.269999E-2</v>
      </c>
      <c r="P8654">
        <v>0.99847410000000003</v>
      </c>
      <c r="Q8654">
        <v>-5.2290860000000002E-2</v>
      </c>
      <c r="R8654">
        <v>1.7751369999999999E-2</v>
      </c>
      <c r="S8654">
        <v>2.9952390000000002</v>
      </c>
      <c r="T8654">
        <v>-0.13991300000000001</v>
      </c>
      <c r="U8654">
        <v>0.1131592</v>
      </c>
      <c r="V8654">
        <v>-4.0331249999999999E-2</v>
      </c>
      <c r="W8654">
        <v>-4.7318789999999999E-2</v>
      </c>
      <c r="X8654">
        <v>0.99806530000000004</v>
      </c>
      <c r="Y8654">
        <v>-6.0334619999999999E-2</v>
      </c>
      <c r="Z8654">
        <v>2.5053160000000001E-3</v>
      </c>
      <c r="AA8654">
        <v>0.99817509999999998</v>
      </c>
      <c r="AB8654">
        <v>25</v>
      </c>
      <c r="AC8654">
        <v>23.872499999999999</v>
      </c>
      <c r="AD8654">
        <v>-1.1207723393410001</v>
      </c>
      <c r="AE8654">
        <v>0.90884000000000498</v>
      </c>
      <c r="AF8654">
        <v>-1.44733270404883</v>
      </c>
      <c r="AG8654">
        <v>-1.1207723393410001</v>
      </c>
      <c r="AH8654">
        <v>23.793349552599</v>
      </c>
      <c r="AI8654">
        <v>92.691923584862494</v>
      </c>
      <c r="AJ8654">
        <v>93.480972727328194</v>
      </c>
      <c r="AK8654">
        <v>23.863662449946801</v>
      </c>
      <c r="AL8654">
        <v>92.712179699194394</v>
      </c>
      <c r="AM8654">
        <v>92.314030802686403</v>
      </c>
      <c r="AN8654">
        <v>1.00000001033885</v>
      </c>
    </row>
    <row r="8655" spans="1:40" x14ac:dyDescent="0.25">
      <c r="A8655" t="str">
        <f>"20190303154012856"</f>
        <v>20190303154012856</v>
      </c>
      <c r="B8655" t="str">
        <f>"1551598812847310"</f>
        <v>1551598812847310</v>
      </c>
      <c r="C8655" t="s">
        <v>40</v>
      </c>
      <c r="D8655">
        <v>4.7213500000000002</v>
      </c>
      <c r="E8655">
        <v>0.49264760000000002</v>
      </c>
      <c r="F8655" t="s">
        <v>88</v>
      </c>
      <c r="G8655">
        <v>-234.23089999999999</v>
      </c>
      <c r="H8655" s="1">
        <v>-1.2225210000000001E-6</v>
      </c>
      <c r="I8655">
        <v>-61.9634199999999</v>
      </c>
      <c r="J8655">
        <v>-258.24560000000002</v>
      </c>
      <c r="K8655">
        <v>1.120735</v>
      </c>
      <c r="L8655">
        <v>-62.871549999999999</v>
      </c>
      <c r="M8655">
        <v>0.9997414</v>
      </c>
      <c r="N8655">
        <v>-5.0482920000000002E-3</v>
      </c>
      <c r="O8655">
        <v>-2.2178010000000001E-2</v>
      </c>
      <c r="P8655">
        <v>0.99848000000000003</v>
      </c>
      <c r="Q8655">
        <v>-5.2090299999999999E-2</v>
      </c>
      <c r="R8655">
        <v>1.8016310000000001E-2</v>
      </c>
      <c r="S8655">
        <v>2.9952999999999999</v>
      </c>
      <c r="T8655">
        <v>-0.13902629999999999</v>
      </c>
      <c r="U8655">
        <v>0.112335199999999</v>
      </c>
      <c r="V8655">
        <v>-4.0080350000000001E-2</v>
      </c>
      <c r="W8655">
        <v>-4.7117289999999999E-2</v>
      </c>
      <c r="X8655">
        <v>0.99808490000000005</v>
      </c>
      <c r="Y8655">
        <v>-5.954102E-2</v>
      </c>
      <c r="Z8655">
        <v>2.4476509999999999E-3</v>
      </c>
      <c r="AA8655">
        <v>0.99822290000000002</v>
      </c>
      <c r="AB8655">
        <v>25</v>
      </c>
      <c r="AC8655">
        <v>24.014700000000001</v>
      </c>
      <c r="AD8655">
        <v>-1.120736222521</v>
      </c>
      <c r="AE8655">
        <v>0.90813000000000699</v>
      </c>
      <c r="AF8655">
        <v>-1.43738549822565</v>
      </c>
      <c r="AG8655">
        <v>-1.120736222521</v>
      </c>
      <c r="AH8655">
        <v>23.9365935601278</v>
      </c>
      <c r="AI8655">
        <v>92.675877096027193</v>
      </c>
      <c r="AJ8655">
        <v>93.436468302346697</v>
      </c>
      <c r="AK8655">
        <v>24.005887569797</v>
      </c>
      <c r="AL8655">
        <v>92.700621815571793</v>
      </c>
      <c r="AM8655">
        <v>92.299605649946301</v>
      </c>
      <c r="AN8655">
        <v>0.99999997054053702</v>
      </c>
    </row>
    <row r="8656" spans="1:40" x14ac:dyDescent="0.25">
      <c r="A8656" t="str">
        <f>"20190303154012866"</f>
        <v>20190303154012866</v>
      </c>
      <c r="B8656" t="str">
        <f>"1551598812857070"</f>
        <v>1551598812857070</v>
      </c>
      <c r="C8656" t="s">
        <v>40</v>
      </c>
      <c r="D8656">
        <v>4.7009639999999999</v>
      </c>
      <c r="E8656">
        <v>0.49270239999999998</v>
      </c>
      <c r="F8656" t="s">
        <v>88</v>
      </c>
      <c r="G8656">
        <v>-234.07849999999999</v>
      </c>
      <c r="H8656" s="1">
        <v>-1.157257E-6</v>
      </c>
      <c r="I8656">
        <v>-61.963889999999999</v>
      </c>
      <c r="J8656">
        <v>-258.12200000000001</v>
      </c>
      <c r="K8656">
        <v>1.1207020000000001</v>
      </c>
      <c r="L8656">
        <v>-62.873809999999999</v>
      </c>
      <c r="M8656">
        <v>0.99975159999999996</v>
      </c>
      <c r="N8656">
        <v>-5.0467430000000002E-3</v>
      </c>
      <c r="O8656">
        <v>-2.1709659999999999E-2</v>
      </c>
      <c r="P8656">
        <v>0.99851570000000001</v>
      </c>
      <c r="Q8656">
        <v>-5.1356430000000002E-2</v>
      </c>
      <c r="R8656">
        <v>1.814079E-2</v>
      </c>
      <c r="S8656">
        <v>2.995285</v>
      </c>
      <c r="T8656">
        <v>-0.13890429999999901</v>
      </c>
      <c r="U8656">
        <v>0.1124878</v>
      </c>
      <c r="V8656">
        <v>-3.9742859999999998E-2</v>
      </c>
      <c r="W8656">
        <v>-4.638076E-2</v>
      </c>
      <c r="X8656">
        <v>0.99813289999999999</v>
      </c>
      <c r="Y8656">
        <v>-5.9125410000000003E-2</v>
      </c>
      <c r="Z8656">
        <v>2.4155209999999999E-3</v>
      </c>
      <c r="AA8656">
        <v>0.99824760000000001</v>
      </c>
      <c r="AB8656">
        <v>25</v>
      </c>
      <c r="AC8656">
        <v>24.043500000000002</v>
      </c>
      <c r="AD8656">
        <v>-1.1207031572570001</v>
      </c>
      <c r="AE8656">
        <v>0.90991999999999895</v>
      </c>
      <c r="AF8656">
        <v>-1.4285890326486399</v>
      </c>
      <c r="AG8656">
        <v>-1.1207031572570001</v>
      </c>
      <c r="AH8656">
        <v>23.966083950442499</v>
      </c>
      <c r="AI8656">
        <v>92.672580606614403</v>
      </c>
      <c r="AJ8656">
        <v>93.411295008417</v>
      </c>
      <c r="AK8656">
        <v>24.0347669452098</v>
      </c>
      <c r="AL8656">
        <v>92.6583755439556</v>
      </c>
      <c r="AM8656">
        <v>92.280153183425597</v>
      </c>
      <c r="AN8656">
        <v>0.99999997794078299</v>
      </c>
    </row>
    <row r="8657" spans="1:40" x14ac:dyDescent="0.25">
      <c r="A8657" t="str">
        <f>"20190303154012878"</f>
        <v>20190303154012878</v>
      </c>
      <c r="B8657" t="str">
        <f>"1551598812866830"</f>
        <v>1551598812866830</v>
      </c>
      <c r="C8657" t="s">
        <v>40</v>
      </c>
      <c r="D8657">
        <v>4.733784</v>
      </c>
      <c r="E8657">
        <v>0.49272539999999998</v>
      </c>
      <c r="F8657" t="s">
        <v>88</v>
      </c>
      <c r="G8657">
        <v>-233.6678</v>
      </c>
      <c r="H8657" s="1">
        <v>-9.7890819999999995E-7</v>
      </c>
      <c r="I8657">
        <v>-61.955640000000002</v>
      </c>
      <c r="J8657">
        <v>-257.99380000000002</v>
      </c>
      <c r="K8657">
        <v>1.120668</v>
      </c>
      <c r="L8657">
        <v>-62.876100000000001</v>
      </c>
      <c r="M8657">
        <v>0.99976120000000002</v>
      </c>
      <c r="N8657">
        <v>-5.0474839999999997E-3</v>
      </c>
      <c r="O8657">
        <v>-2.1263009999999999E-2</v>
      </c>
      <c r="P8657">
        <v>0.99854639999999995</v>
      </c>
      <c r="Q8657">
        <v>-5.0644479999999999E-2</v>
      </c>
      <c r="R8657">
        <v>1.845225E-2</v>
      </c>
      <c r="S8657">
        <v>2.9953609999999999</v>
      </c>
      <c r="T8657">
        <v>-0.1372736</v>
      </c>
      <c r="U8657">
        <v>0.1124573</v>
      </c>
      <c r="V8657">
        <v>-3.9613759999999998E-2</v>
      </c>
      <c r="W8657">
        <v>-4.5664429999999999E-2</v>
      </c>
      <c r="X8657">
        <v>0.99817109999999998</v>
      </c>
      <c r="Y8657">
        <v>-5.8671269999999998E-2</v>
      </c>
      <c r="Z8657">
        <v>2.3578589999999999E-3</v>
      </c>
      <c r="AA8657">
        <v>0.99827460000000001</v>
      </c>
      <c r="AB8657">
        <v>25</v>
      </c>
      <c r="AC8657">
        <v>24.326000000000001</v>
      </c>
      <c r="AD8657">
        <v>-1.1206689789082001</v>
      </c>
      <c r="AE8657">
        <v>0.92045999999999795</v>
      </c>
      <c r="AF8657">
        <v>-1.43446239882872</v>
      </c>
      <c r="AG8657">
        <v>-1.1206689789082001</v>
      </c>
      <c r="AH8657">
        <v>24.2495361746303</v>
      </c>
      <c r="AI8657">
        <v>92.641375887336693</v>
      </c>
      <c r="AJ8657">
        <v>93.385342139155298</v>
      </c>
      <c r="AK8657">
        <v>24.317762767546</v>
      </c>
      <c r="AL8657">
        <v>92.617289217781007</v>
      </c>
      <c r="AM8657">
        <v>92.2726672670818</v>
      </c>
      <c r="AN8657">
        <v>1.0000000175118799</v>
      </c>
    </row>
    <row r="8658" spans="1:40" x14ac:dyDescent="0.25">
      <c r="A8658" t="str">
        <f>"20190303154012889"</f>
        <v>20190303154012889</v>
      </c>
      <c r="B8658" t="str">
        <f>"1551598812876589"</f>
        <v>1551598812876589</v>
      </c>
      <c r="C8658" t="s">
        <v>40</v>
      </c>
      <c r="D8658">
        <v>4.7369339999999998</v>
      </c>
      <c r="E8658">
        <v>0.4927551</v>
      </c>
      <c r="F8658" t="s">
        <v>88</v>
      </c>
      <c r="G8658">
        <v>-233.1936</v>
      </c>
      <c r="H8658" s="1">
        <v>-7.710211E-7</v>
      </c>
      <c r="I8658">
        <v>-61.938899999999997</v>
      </c>
      <c r="J8658">
        <v>-257.86869999999999</v>
      </c>
      <c r="K8658">
        <v>1.120636</v>
      </c>
      <c r="L8658">
        <v>-62.878360000000001</v>
      </c>
      <c r="M8658">
        <v>0.99977020000000005</v>
      </c>
      <c r="N8658">
        <v>-5.0488059999999899E-3</v>
      </c>
      <c r="O8658">
        <v>-2.083627E-2</v>
      </c>
      <c r="P8658">
        <v>0.99855490000000002</v>
      </c>
      <c r="Q8658">
        <v>-5.0234729999999998E-2</v>
      </c>
      <c r="R8658">
        <v>1.9092399999999999E-2</v>
      </c>
      <c r="S8658">
        <v>2.995438</v>
      </c>
      <c r="T8658">
        <v>-0.13535749999999999</v>
      </c>
      <c r="U8658">
        <v>0.1131897</v>
      </c>
      <c r="V8658">
        <v>-3.98325E-2</v>
      </c>
      <c r="W8658">
        <v>-4.5250520000000002E-2</v>
      </c>
      <c r="X8658">
        <v>0.99818119999999999</v>
      </c>
      <c r="Y8658">
        <v>-5.8490859999999999E-2</v>
      </c>
      <c r="Z8658">
        <v>2.3038500000000001E-3</v>
      </c>
      <c r="AA8658">
        <v>0.99828530000000004</v>
      </c>
      <c r="AB8658">
        <v>26</v>
      </c>
      <c r="AC8658">
        <v>24.675099999999901</v>
      </c>
      <c r="AD8658">
        <v>-1.1206367710211</v>
      </c>
      <c r="AE8658">
        <v>0.93946000000000396</v>
      </c>
      <c r="AF8658">
        <v>-1.45041234534437</v>
      </c>
      <c r="AG8658">
        <v>-1.1206367710211</v>
      </c>
      <c r="AH8658">
        <v>24.599502715140702</v>
      </c>
      <c r="AI8658">
        <v>92.603805090214394</v>
      </c>
      <c r="AJ8658">
        <v>93.374312398049696</v>
      </c>
      <c r="AK8658">
        <v>24.6676925669246</v>
      </c>
      <c r="AL8658">
        <v>92.593549497435504</v>
      </c>
      <c r="AM8658">
        <v>92.285180157698406</v>
      </c>
      <c r="AN8658">
        <v>0.99999997282497899</v>
      </c>
    </row>
    <row r="8659" spans="1:40" x14ac:dyDescent="0.25">
      <c r="A8659" t="str">
        <f>"20190303154012900"</f>
        <v>20190303154012900</v>
      </c>
      <c r="B8659" t="str">
        <f>"1551598812897086"</f>
        <v>1551598812897086</v>
      </c>
      <c r="C8659" t="s">
        <v>40</v>
      </c>
      <c r="D8659">
        <v>4.7524139999999999</v>
      </c>
      <c r="E8659">
        <v>0.4927665</v>
      </c>
      <c r="F8659" t="s">
        <v>88</v>
      </c>
      <c r="G8659">
        <v>-232.89279999999999</v>
      </c>
      <c r="H8659" s="1">
        <v>-6.3694280000000003E-7</v>
      </c>
      <c r="I8659">
        <v>-61.92</v>
      </c>
      <c r="J8659">
        <v>-257.73660000000001</v>
      </c>
      <c r="K8659">
        <v>1.120603</v>
      </c>
      <c r="L8659">
        <v>-62.880650000000003</v>
      </c>
      <c r="M8659">
        <v>0.99977850000000001</v>
      </c>
      <c r="N8659">
        <v>-5.0541539999999999E-3</v>
      </c>
      <c r="O8659">
        <v>-2.0430980000000001E-2</v>
      </c>
      <c r="P8659">
        <v>0.99855919999999998</v>
      </c>
      <c r="Q8659">
        <v>-4.97832E-2</v>
      </c>
      <c r="R8659">
        <v>2.0033220000000001E-2</v>
      </c>
      <c r="S8659">
        <v>2.995377</v>
      </c>
      <c r="T8659">
        <v>-0.13439889999999999</v>
      </c>
      <c r="U8659">
        <v>0.1149292</v>
      </c>
      <c r="V8659">
        <v>-4.0372600000000002E-2</v>
      </c>
      <c r="W8659">
        <v>-4.4791449999999997E-2</v>
      </c>
      <c r="X8659">
        <v>0.99818019999999996</v>
      </c>
      <c r="Y8659">
        <v>-5.8667099999999903E-2</v>
      </c>
      <c r="Z8659">
        <v>2.2761959999999999E-3</v>
      </c>
      <c r="AA8659">
        <v>0.99827500000000002</v>
      </c>
      <c r="AB8659">
        <v>26</v>
      </c>
      <c r="AC8659">
        <v>24.843800000000002</v>
      </c>
      <c r="AD8659">
        <v>-1.1206036369428001</v>
      </c>
      <c r="AE8659">
        <v>0.960650000000001</v>
      </c>
      <c r="AF8659">
        <v>-1.4650628426169201</v>
      </c>
      <c r="AG8659">
        <v>-1.1206036369428001</v>
      </c>
      <c r="AH8659">
        <v>24.768669024682598</v>
      </c>
      <c r="AI8659">
        <v>92.585940664198006</v>
      </c>
      <c r="AJ8659">
        <v>93.385092131771103</v>
      </c>
      <c r="AK8659">
        <v>24.837252804974501</v>
      </c>
      <c r="AL8659">
        <v>92.5672200428873</v>
      </c>
      <c r="AM8659">
        <v>92.316134352608302</v>
      </c>
      <c r="AN8659">
        <v>0.99999996624794996</v>
      </c>
    </row>
    <row r="8660" spans="1:40" x14ac:dyDescent="0.25">
      <c r="A8660" t="str">
        <f>"20190303154012911"</f>
        <v>20190303154012911</v>
      </c>
      <c r="B8660" t="str">
        <f>"1551598812906846"</f>
        <v>1551598812906846</v>
      </c>
      <c r="C8660" t="s">
        <v>40</v>
      </c>
      <c r="D8660">
        <v>4.79453</v>
      </c>
      <c r="E8660">
        <v>0.49291099999999999</v>
      </c>
      <c r="F8660" t="s">
        <v>88</v>
      </c>
      <c r="G8660">
        <v>-232.73990000000001</v>
      </c>
      <c r="H8660" s="1">
        <v>-5.65683E-7</v>
      </c>
      <c r="I8660">
        <v>-61.898780000000002</v>
      </c>
      <c r="J8660">
        <v>-257.60660000000001</v>
      </c>
      <c r="K8660">
        <v>1.1205689999999999</v>
      </c>
      <c r="L8660">
        <v>-62.882899999999999</v>
      </c>
      <c r="M8660">
        <v>0.99978639999999996</v>
      </c>
      <c r="N8660">
        <v>-5.0607459999999996E-3</v>
      </c>
      <c r="O8660">
        <v>-2.004239E-2</v>
      </c>
      <c r="P8660">
        <v>0.99853599999999998</v>
      </c>
      <c r="Q8660">
        <v>-4.9953209999999998E-2</v>
      </c>
      <c r="R8660">
        <v>2.0754870000000002E-2</v>
      </c>
      <c r="S8660">
        <v>2.9952700000000001</v>
      </c>
      <c r="T8660">
        <v>-0.13427790000000001</v>
      </c>
      <c r="U8660">
        <v>0.11764529999999999</v>
      </c>
      <c r="V8660">
        <v>-4.070882E-2</v>
      </c>
      <c r="W8660">
        <v>-4.4952590000000001E-2</v>
      </c>
      <c r="X8660">
        <v>0.99815929999999997</v>
      </c>
      <c r="Y8660">
        <v>-5.9184180000000003E-2</v>
      </c>
      <c r="Z8660">
        <v>2.2717430000000001E-3</v>
      </c>
      <c r="AA8660">
        <v>0.99824449999999998</v>
      </c>
      <c r="AB8660">
        <v>26</v>
      </c>
      <c r="AC8660">
        <v>24.866700000000002</v>
      </c>
      <c r="AD8660">
        <v>-1.1205695656829999</v>
      </c>
      <c r="AE8660">
        <v>0.984119999999997</v>
      </c>
      <c r="AF8660">
        <v>-1.4793174375678499</v>
      </c>
      <c r="AG8660">
        <v>-1.1205695656829999</v>
      </c>
      <c r="AH8660">
        <v>24.791715264366001</v>
      </c>
      <c r="AI8660">
        <v>92.583382182546003</v>
      </c>
      <c r="AJ8660">
        <v>93.414780507066993</v>
      </c>
      <c r="AK8660">
        <v>24.861078053496101</v>
      </c>
      <c r="AL8660">
        <v>92.576461995353995</v>
      </c>
      <c r="AM8660">
        <v>92.335450523324695</v>
      </c>
      <c r="AN8660">
        <v>0.99999996577499395</v>
      </c>
    </row>
    <row r="8661" spans="1:40" x14ac:dyDescent="0.25">
      <c r="A8661" t="str">
        <f>"20190303154012923"</f>
        <v>20190303154012923</v>
      </c>
      <c r="B8661" t="str">
        <f>"1551598812916698"</f>
        <v>1551598812916698</v>
      </c>
      <c r="C8661" t="s">
        <v>40</v>
      </c>
      <c r="D8661">
        <v>4.7786569999999999</v>
      </c>
      <c r="E8661">
        <v>0.49291099999999999</v>
      </c>
      <c r="F8661" t="s">
        <v>88</v>
      </c>
      <c r="G8661">
        <v>-232.4332</v>
      </c>
      <c r="H8661" s="1">
        <v>-4.306231E-7</v>
      </c>
      <c r="I8661">
        <v>-61.885640000000002</v>
      </c>
      <c r="J8661">
        <v>-257.47570000000002</v>
      </c>
      <c r="K8661">
        <v>1.12053799999999</v>
      </c>
      <c r="L8661">
        <v>-62.885129999999997</v>
      </c>
      <c r="M8661">
        <v>0.9997935</v>
      </c>
      <c r="N8661">
        <v>-5.0715600000000001E-3</v>
      </c>
      <c r="O8661">
        <v>-1.9682519999999998E-2</v>
      </c>
      <c r="P8661">
        <v>0.99851389999999995</v>
      </c>
      <c r="Q8661">
        <v>-5.0005229999999998E-2</v>
      </c>
      <c r="R8661">
        <v>2.1671800000000001E-2</v>
      </c>
      <c r="S8661">
        <v>2.9952390000000002</v>
      </c>
      <c r="T8661">
        <v>-0.13333029999999901</v>
      </c>
      <c r="U8661">
        <v>0.1186523</v>
      </c>
      <c r="V8661">
        <v>-4.1268470000000002E-2</v>
      </c>
      <c r="W8661">
        <v>-4.4991980000000001E-2</v>
      </c>
      <c r="X8661">
        <v>0.99813459999999998</v>
      </c>
      <c r="Y8661">
        <v>-5.9161810000000002E-2</v>
      </c>
      <c r="Z8661">
        <v>2.2414459999999998E-3</v>
      </c>
      <c r="AA8661">
        <v>0.99824590000000002</v>
      </c>
      <c r="AB8661">
        <v>26</v>
      </c>
      <c r="AC8661">
        <v>25.0425</v>
      </c>
      <c r="AD8661">
        <v>-1.1205384306231001</v>
      </c>
      <c r="AE8661">
        <v>0.99949000000000099</v>
      </c>
      <c r="AF8661">
        <v>-1.4892252589055699</v>
      </c>
      <c r="AG8661">
        <v>-1.1205384306231001</v>
      </c>
      <c r="AH8661">
        <v>24.9680654364596</v>
      </c>
      <c r="AI8661">
        <v>92.565092710777094</v>
      </c>
      <c r="AJ8661">
        <v>93.413374316638496</v>
      </c>
      <c r="AK8661">
        <v>25.037525634247402</v>
      </c>
      <c r="AL8661">
        <v>92.578721016074695</v>
      </c>
      <c r="AM8661">
        <v>92.3675796780647</v>
      </c>
      <c r="AN8661">
        <v>1.0000000222988099</v>
      </c>
    </row>
    <row r="8662" spans="1:40" x14ac:dyDescent="0.25">
      <c r="A8662" t="str">
        <f>"20190303154012934"</f>
        <v>20190303154012934</v>
      </c>
      <c r="B8662" t="str">
        <f>"1551598812926458"</f>
        <v>1551598812926458</v>
      </c>
      <c r="C8662" t="s">
        <v>40</v>
      </c>
      <c r="D8662">
        <v>4.8322529999999997</v>
      </c>
      <c r="E8662">
        <v>0.51943059999999996</v>
      </c>
      <c r="F8662" t="s">
        <v>88</v>
      </c>
      <c r="G8662">
        <v>-232.33240000000001</v>
      </c>
      <c r="H8662" s="1">
        <v>-3.821638E-7</v>
      </c>
      <c r="I8662">
        <v>-61.865969999999997</v>
      </c>
      <c r="J8662">
        <v>-257.35039999999998</v>
      </c>
      <c r="K8662">
        <v>1.1205099999999999</v>
      </c>
      <c r="L8662">
        <v>-62.887270000000001</v>
      </c>
      <c r="M8662">
        <v>0.99979989999999996</v>
      </c>
      <c r="N8662">
        <v>-5.083817E-3</v>
      </c>
      <c r="O8662">
        <v>-1.9352210000000002E-2</v>
      </c>
      <c r="P8662">
        <v>0.99847330000000001</v>
      </c>
      <c r="Q8662">
        <v>-5.039975E-2</v>
      </c>
      <c r="R8662">
        <v>2.2605190000000001E-2</v>
      </c>
      <c r="S8662">
        <v>2.9951479999999999</v>
      </c>
      <c r="T8662">
        <v>-0.13348209999999999</v>
      </c>
      <c r="U8662">
        <v>0.1213989</v>
      </c>
      <c r="V8662">
        <v>-4.187362E-2</v>
      </c>
      <c r="W8662">
        <v>-4.5372790000000003E-2</v>
      </c>
      <c r="X8662">
        <v>0.99809210000000004</v>
      </c>
      <c r="Y8662">
        <v>-5.9746569999999999E-2</v>
      </c>
      <c r="Z8662">
        <v>2.2455690000000002E-3</v>
      </c>
      <c r="AA8662">
        <v>0.99821099999999996</v>
      </c>
      <c r="AB8662">
        <v>26</v>
      </c>
      <c r="AC8662">
        <v>25.017999999999901</v>
      </c>
      <c r="AD8662">
        <v>-1.1205103821638001</v>
      </c>
      <c r="AE8662">
        <v>1.0212999999999901</v>
      </c>
      <c r="AF8662">
        <v>-1.50226004433145</v>
      </c>
      <c r="AG8662">
        <v>-1.1205103821638001</v>
      </c>
      <c r="AH8662">
        <v>24.943596944695301</v>
      </c>
      <c r="AI8662">
        <v>92.567452415593294</v>
      </c>
      <c r="AJ8662">
        <v>93.446548548615894</v>
      </c>
      <c r="AK8662">
        <v>25.013903279910998</v>
      </c>
      <c r="AL8662">
        <v>92.600562275493402</v>
      </c>
      <c r="AM8662">
        <v>92.402359036602903</v>
      </c>
      <c r="AN8662">
        <v>0.99999996510334799</v>
      </c>
    </row>
    <row r="8663" spans="1:40" x14ac:dyDescent="0.25">
      <c r="A8663" t="str">
        <f>"20190303154012945"</f>
        <v>20190303154012945</v>
      </c>
      <c r="B8663" t="str">
        <f>"1551598812937194"</f>
        <v>1551598812937194</v>
      </c>
      <c r="C8663" t="s">
        <v>40</v>
      </c>
      <c r="D8663">
        <v>4.8197340000000004</v>
      </c>
      <c r="E8663">
        <v>0.52372169999999996</v>
      </c>
      <c r="F8663" t="s">
        <v>63</v>
      </c>
      <c r="G8663">
        <v>-192.91329999999999</v>
      </c>
      <c r="H8663" s="1">
        <v>-8.8911019999999906E-6</v>
      </c>
      <c r="I8663">
        <v>-64.774569999999997</v>
      </c>
      <c r="J8663">
        <v>-257.20859999999999</v>
      </c>
      <c r="K8663">
        <v>1.1204860000000001</v>
      </c>
      <c r="L8663">
        <v>-62.889650000000003</v>
      </c>
      <c r="M8663">
        <v>0.99980659999999999</v>
      </c>
      <c r="N8663">
        <v>-5.1004329999999997E-3</v>
      </c>
      <c r="O8663">
        <v>-1.8998310000000001E-2</v>
      </c>
      <c r="P8663">
        <v>0.99842620000000004</v>
      </c>
      <c r="Q8663">
        <v>-5.0831000000000001E-2</v>
      </c>
      <c r="R8663">
        <v>2.369943E-2</v>
      </c>
      <c r="S8663">
        <v>3.0039370000000001</v>
      </c>
      <c r="T8663">
        <v>-5.2236440000000002E-2</v>
      </c>
      <c r="U8663">
        <v>-8.7982179999999993E-2</v>
      </c>
      <c r="V8663">
        <v>-4.2615729999999998E-2</v>
      </c>
      <c r="W8663">
        <v>-4.5786010000000002E-2</v>
      </c>
      <c r="X8663">
        <v>0.99804190000000004</v>
      </c>
      <c r="Y8663">
        <v>1.028013E-2</v>
      </c>
      <c r="Z8663">
        <v>1.1776749999999999E-4</v>
      </c>
      <c r="AA8663">
        <v>0.99994709999999998</v>
      </c>
      <c r="AB8663">
        <v>26</v>
      </c>
      <c r="AC8663">
        <v>64.295299999999997</v>
      </c>
      <c r="AD8663">
        <v>-1.1204948911020001</v>
      </c>
      <c r="AE8663">
        <v>-1.8849199999999899</v>
      </c>
      <c r="AF8663">
        <v>0.66286083236023297</v>
      </c>
      <c r="AG8663">
        <v>-1.1204948911020001</v>
      </c>
      <c r="AH8663">
        <v>64.299994291635201</v>
      </c>
      <c r="AI8663">
        <v>90.998285017611394</v>
      </c>
      <c r="AJ8663">
        <v>89.409365689407394</v>
      </c>
      <c r="AK8663">
        <v>64.313172516898803</v>
      </c>
      <c r="AL8663">
        <v>92.624262455705093</v>
      </c>
      <c r="AM8663">
        <v>92.445006728042898</v>
      </c>
      <c r="AN8663">
        <v>1.00000004665538</v>
      </c>
    </row>
    <row r="8664" spans="1:40" x14ac:dyDescent="0.25">
      <c r="A8664" t="str">
        <f>"20190303154012957"</f>
        <v>20190303154012957</v>
      </c>
      <c r="B8664" t="str">
        <f>"1551598812946954"</f>
        <v>1551598812946954</v>
      </c>
      <c r="C8664" t="s">
        <v>40</v>
      </c>
      <c r="D8664">
        <v>4.8188579999999996</v>
      </c>
      <c r="E8664">
        <v>0.52519389999999999</v>
      </c>
      <c r="F8664" t="s">
        <v>63</v>
      </c>
      <c r="G8664">
        <v>-179.95769999999999</v>
      </c>
      <c r="H8664">
        <v>1.313253E-2</v>
      </c>
      <c r="I8664">
        <v>-65.947419999999994</v>
      </c>
      <c r="J8664">
        <v>-257.08049999999997</v>
      </c>
      <c r="K8664">
        <v>1.1204609999999999</v>
      </c>
      <c r="L8664">
        <v>-62.891750000000002</v>
      </c>
      <c r="M8664">
        <v>0.99981200000000003</v>
      </c>
      <c r="N8664">
        <v>-5.119686E-3</v>
      </c>
      <c r="O8664">
        <v>-1.8700310000000001E-2</v>
      </c>
      <c r="P8664">
        <v>0.99839279999999997</v>
      </c>
      <c r="Q8664">
        <v>-5.0989979999999997E-2</v>
      </c>
      <c r="R8664">
        <v>2.4737700000000001E-2</v>
      </c>
      <c r="S8664">
        <v>3.005325</v>
      </c>
      <c r="T8664">
        <v>-4.3079850000000003E-2</v>
      </c>
      <c r="U8664">
        <v>-0.11895749999999999</v>
      </c>
      <c r="V8664">
        <v>-4.335833E-2</v>
      </c>
      <c r="W8664">
        <v>-4.5924569999999998E-2</v>
      </c>
      <c r="X8664">
        <v>0.99800350000000004</v>
      </c>
      <c r="Y8664">
        <v>2.0856320000000001E-2</v>
      </c>
      <c r="Z8664" s="1">
        <v>-3.0638390000000001E-5</v>
      </c>
      <c r="AA8664">
        <v>0.99978250000000002</v>
      </c>
      <c r="AB8664">
        <v>26</v>
      </c>
      <c r="AC8664">
        <v>77.122799999999899</v>
      </c>
      <c r="AD8664">
        <v>-1.1073284699999999</v>
      </c>
      <c r="AE8664">
        <v>-3.0556699999999899</v>
      </c>
      <c r="AF8664">
        <v>1.61256453369756</v>
      </c>
      <c r="AG8664">
        <v>-1.1073284699999999</v>
      </c>
      <c r="AH8664">
        <v>77.1505764001285</v>
      </c>
      <c r="AI8664">
        <v>90.822120110171994</v>
      </c>
      <c r="AJ8664">
        <v>88.802605306407202</v>
      </c>
      <c r="AK8664">
        <v>77.175371586976297</v>
      </c>
      <c r="AL8664">
        <v>92.632209845277998</v>
      </c>
      <c r="AM8664">
        <v>92.487654700737394</v>
      </c>
      <c r="AN8664">
        <v>0.99999999846116105</v>
      </c>
    </row>
    <row r="8665" spans="1:40" x14ac:dyDescent="0.25">
      <c r="A8665" t="str">
        <f>"20190303154012968"</f>
        <v>20190303154012968</v>
      </c>
      <c r="B8665" t="str">
        <f>"1551598812956715"</f>
        <v>1551598812956715</v>
      </c>
      <c r="C8665" t="s">
        <v>40</v>
      </c>
      <c r="D8665">
        <v>4.6560959999999998</v>
      </c>
      <c r="E8665">
        <v>0.52768990000000005</v>
      </c>
      <c r="F8665" t="s">
        <v>63</v>
      </c>
      <c r="G8665">
        <v>-199.90870000000001</v>
      </c>
      <c r="H8665" s="1">
        <v>-6.0305110000000002E-6</v>
      </c>
      <c r="I8665">
        <v>-65.31644</v>
      </c>
      <c r="J8665">
        <v>-256.9502</v>
      </c>
      <c r="K8665">
        <v>1.120439</v>
      </c>
      <c r="L8665">
        <v>-62.893859999999997</v>
      </c>
      <c r="M8665">
        <v>0.99981739999999997</v>
      </c>
      <c r="N8665">
        <v>-5.140922E-3</v>
      </c>
      <c r="O8665">
        <v>-1.8405410000000001E-2</v>
      </c>
      <c r="P8665">
        <v>0.99834869999999998</v>
      </c>
      <c r="Q8665">
        <v>-5.127951E-2</v>
      </c>
      <c r="R8665">
        <v>2.5890719999999999E-2</v>
      </c>
      <c r="S8665">
        <v>3.0049440000000001</v>
      </c>
      <c r="T8665">
        <v>-5.8891649999999997E-2</v>
      </c>
      <c r="U8665">
        <v>-0.12744140000000001</v>
      </c>
      <c r="V8665">
        <v>-4.4217680000000002E-2</v>
      </c>
      <c r="W8665">
        <v>-4.6191879999999998E-2</v>
      </c>
      <c r="X8665">
        <v>0.99795350000000005</v>
      </c>
      <c r="Y8665">
        <v>2.397231E-2</v>
      </c>
      <c r="Z8665" s="1">
        <v>-3.0553570000000003E-5</v>
      </c>
      <c r="AA8665">
        <v>0.99971259999999995</v>
      </c>
      <c r="AB8665">
        <v>26</v>
      </c>
      <c r="AC8665">
        <v>57.0414999999999</v>
      </c>
      <c r="AD8665">
        <v>-1.1204450305110001</v>
      </c>
      <c r="AE8665">
        <v>-2.42258</v>
      </c>
      <c r="AF8665">
        <v>1.3717552464804399</v>
      </c>
      <c r="AG8665">
        <v>-1.1204450305110001</v>
      </c>
      <c r="AH8665">
        <v>57.054452580643698</v>
      </c>
      <c r="AI8665">
        <v>91.124714691196701</v>
      </c>
      <c r="AJ8665">
        <v>88.622707896744203</v>
      </c>
      <c r="AK8665">
        <v>57.081938201146997</v>
      </c>
      <c r="AL8665">
        <v>92.647541739558505</v>
      </c>
      <c r="AM8665">
        <v>92.537022471273204</v>
      </c>
      <c r="AN8665">
        <v>1.0000000405823799</v>
      </c>
    </row>
    <row r="8666" spans="1:40" x14ac:dyDescent="0.25">
      <c r="A8666" t="str">
        <f>"20190303154012979"</f>
        <v>20190303154012979</v>
      </c>
      <c r="B8666" t="str">
        <f>"1551598812977210"</f>
        <v>1551598812977210</v>
      </c>
      <c r="C8666" t="s">
        <v>40</v>
      </c>
      <c r="D8666">
        <v>4.7846070000000003</v>
      </c>
      <c r="E8666">
        <v>0.52694339999999995</v>
      </c>
      <c r="F8666" t="s">
        <v>63</v>
      </c>
      <c r="G8666">
        <v>-183.65209999999999</v>
      </c>
      <c r="H8666" s="1">
        <v>-8.4153849999999997E-6</v>
      </c>
      <c r="I8666">
        <v>-66.403559999999999</v>
      </c>
      <c r="J8666">
        <v>-256.82709999999997</v>
      </c>
      <c r="K8666">
        <v>1.1204240000000001</v>
      </c>
      <c r="L8666">
        <v>-62.895870000000002</v>
      </c>
      <c r="M8666">
        <v>0.99982199999999999</v>
      </c>
      <c r="N8666">
        <v>-5.1681460000000002E-3</v>
      </c>
      <c r="O8666">
        <v>-1.8152370000000001E-2</v>
      </c>
      <c r="P8666">
        <v>0.99831630000000005</v>
      </c>
      <c r="Q8666">
        <v>-5.1280520000000003E-2</v>
      </c>
      <c r="R8666">
        <v>2.7116680000000001E-2</v>
      </c>
      <c r="S8666">
        <v>3.006332</v>
      </c>
      <c r="T8666">
        <v>-4.5955299999999998E-2</v>
      </c>
      <c r="U8666">
        <v>-0.14395139999999901</v>
      </c>
      <c r="V8666">
        <v>-4.5192759999999998E-2</v>
      </c>
      <c r="W8666">
        <v>-4.616485E-2</v>
      </c>
      <c r="X8666">
        <v>0.99791099999999999</v>
      </c>
      <c r="Y8666">
        <v>2.9684519999999999E-2</v>
      </c>
      <c r="Z8666">
        <v>-1.200034E-4</v>
      </c>
      <c r="AA8666">
        <v>0.99955930000000004</v>
      </c>
      <c r="AB8666">
        <v>26</v>
      </c>
      <c r="AC8666">
        <v>73.174999999999898</v>
      </c>
      <c r="AD8666">
        <v>-1.120432415385</v>
      </c>
      <c r="AE8666">
        <v>-3.5076900000000002</v>
      </c>
      <c r="AF8666">
        <v>2.1782852587891801</v>
      </c>
      <c r="AG8666">
        <v>-1.120432415385</v>
      </c>
      <c r="AH8666">
        <v>73.209492079431996</v>
      </c>
      <c r="AI8666">
        <v>90.876425231353593</v>
      </c>
      <c r="AJ8666">
        <v>88.295716345822299</v>
      </c>
      <c r="AK8666">
        <v>73.250460926840006</v>
      </c>
      <c r="AL8666">
        <v>92.645991563910599</v>
      </c>
      <c r="AM8666">
        <v>92.593003163107099</v>
      </c>
      <c r="AN8666">
        <v>0.99999997142646901</v>
      </c>
    </row>
    <row r="8667" spans="1:40" x14ac:dyDescent="0.25">
      <c r="A8667" t="str">
        <f>"20190303154012989"</f>
        <v>20190303154012989</v>
      </c>
      <c r="B8667" t="str">
        <f>"1551598812986970"</f>
        <v>1551598812986970</v>
      </c>
      <c r="C8667" t="s">
        <v>40</v>
      </c>
      <c r="D8667">
        <v>4.7009189999999998</v>
      </c>
      <c r="E8667">
        <v>0.52755339999999995</v>
      </c>
      <c r="F8667" t="s">
        <v>63</v>
      </c>
      <c r="G8667">
        <v>-205.61179999999999</v>
      </c>
      <c r="H8667" s="1">
        <v>-3.4289470000000001E-6</v>
      </c>
      <c r="I8667">
        <v>-65.182059999999893</v>
      </c>
      <c r="J8667">
        <v>-256.70229999999998</v>
      </c>
      <c r="K8667">
        <v>1.120404</v>
      </c>
      <c r="L8667">
        <v>-62.897889999999997</v>
      </c>
      <c r="M8667">
        <v>0.9998264</v>
      </c>
      <c r="N8667">
        <v>-5.1967350000000001E-3</v>
      </c>
      <c r="O8667">
        <v>-1.789837E-2</v>
      </c>
      <c r="P8667">
        <v>0.99827929999999998</v>
      </c>
      <c r="Q8667">
        <v>-5.1450790000000003E-2</v>
      </c>
      <c r="R8667">
        <v>2.8135899999999998E-2</v>
      </c>
      <c r="S8667">
        <v>3.0053559999999999</v>
      </c>
      <c r="T8667">
        <v>-6.57475E-2</v>
      </c>
      <c r="U8667">
        <v>-0.13415529999999901</v>
      </c>
      <c r="V8667">
        <v>-4.5959029999999998E-2</v>
      </c>
      <c r="W8667">
        <v>-4.6305449999999998E-2</v>
      </c>
      <c r="X8667">
        <v>0.99786949999999996</v>
      </c>
      <c r="Y8667">
        <v>2.6700970000000001E-2</v>
      </c>
      <c r="Z8667" s="1">
        <v>-6.3019269999999898E-5</v>
      </c>
      <c r="AA8667">
        <v>0.99964339999999996</v>
      </c>
      <c r="AB8667">
        <v>26</v>
      </c>
      <c r="AC8667">
        <v>51.090499999999899</v>
      </c>
      <c r="AD8667">
        <v>-1.1204074289470001</v>
      </c>
      <c r="AE8667">
        <v>-2.28416999999998</v>
      </c>
      <c r="AF8667">
        <v>1.36869823806766</v>
      </c>
      <c r="AG8667">
        <v>-1.1204074289470001</v>
      </c>
      <c r="AH8667">
        <v>51.098673844822997</v>
      </c>
      <c r="AI8667">
        <v>91.255635863596893</v>
      </c>
      <c r="AJ8667">
        <v>88.465676696694899</v>
      </c>
      <c r="AK8667">
        <v>51.129278465213297</v>
      </c>
      <c r="AL8667">
        <v>92.654055943998202</v>
      </c>
      <c r="AM8667">
        <v>92.637017037268507</v>
      </c>
      <c r="AN8667">
        <v>0.99999998308424598</v>
      </c>
    </row>
    <row r="8668" spans="1:40" x14ac:dyDescent="0.25">
      <c r="A8668" t="str">
        <f>"20190303154013001"</f>
        <v>20190303154013001</v>
      </c>
      <c r="B8668" t="str">
        <f>"1551598812996730"</f>
        <v>1551598812996730</v>
      </c>
      <c r="C8668" t="s">
        <v>40</v>
      </c>
      <c r="D8668">
        <v>4.7906649999999997</v>
      </c>
      <c r="E8668">
        <v>0.52691080000000001</v>
      </c>
      <c r="F8668" t="s">
        <v>63</v>
      </c>
      <c r="G8668">
        <v>-200.64519999999999</v>
      </c>
      <c r="H8668" s="1">
        <v>-5.6670920000000001E-6</v>
      </c>
      <c r="I8668">
        <v>-65.433890000000005</v>
      </c>
      <c r="J8668">
        <v>-256.55759999999998</v>
      </c>
      <c r="K8668">
        <v>1.120387</v>
      </c>
      <c r="L8668">
        <v>-62.900179999999999</v>
      </c>
      <c r="M8668">
        <v>0.99983069999999996</v>
      </c>
      <c r="N8668">
        <v>-5.2421109999999998E-3</v>
      </c>
      <c r="O8668">
        <v>-1.7633099999999999E-2</v>
      </c>
      <c r="P8668">
        <v>0.99823919999999999</v>
      </c>
      <c r="Q8668">
        <v>-5.1873700000000002E-2</v>
      </c>
      <c r="R8668">
        <v>2.8765700000000002E-2</v>
      </c>
      <c r="S8668">
        <v>3.0059049999999998</v>
      </c>
      <c r="T8668">
        <v>-6.0078739999999999E-2</v>
      </c>
      <c r="U8668">
        <v>-0.13598629999999901</v>
      </c>
      <c r="V8668">
        <v>-4.632555E-2</v>
      </c>
      <c r="W8668">
        <v>-4.6681260000000002E-2</v>
      </c>
      <c r="X8668">
        <v>0.99783500000000003</v>
      </c>
      <c r="Y8668">
        <v>2.7566130000000001E-2</v>
      </c>
      <c r="Z8668" s="1">
        <v>-8.7838480000000001E-5</v>
      </c>
      <c r="AA8668">
        <v>0.99961999999999995</v>
      </c>
      <c r="AB8668">
        <v>26</v>
      </c>
      <c r="AC8668">
        <v>55.912399999999899</v>
      </c>
      <c r="AD8668">
        <v>-1.1203926670919999</v>
      </c>
      <c r="AE8668">
        <v>-2.5337099999999899</v>
      </c>
      <c r="AF8668">
        <v>1.5467736793679301</v>
      </c>
      <c r="AG8668">
        <v>-1.1203926670919999</v>
      </c>
      <c r="AH8668">
        <v>55.925974288039797</v>
      </c>
      <c r="AI8668">
        <v>91.147242547369501</v>
      </c>
      <c r="AJ8668">
        <v>88.415744777166495</v>
      </c>
      <c r="AK8668">
        <v>55.958577435547298</v>
      </c>
      <c r="AL8668">
        <v>92.675611691888093</v>
      </c>
      <c r="AM8668">
        <v>92.658108788598398</v>
      </c>
      <c r="AN8668">
        <v>0.999999941921493</v>
      </c>
    </row>
    <row r="8669" spans="1:40" x14ac:dyDescent="0.25">
      <c r="A8669" t="str">
        <f>"20190303154013012"</f>
        <v>20190303154013012</v>
      </c>
      <c r="B8669" t="str">
        <f>"1551598813006490"</f>
        <v>1551598813006490</v>
      </c>
      <c r="C8669" t="s">
        <v>40</v>
      </c>
      <c r="D8669">
        <v>4.7409059999999998</v>
      </c>
      <c r="E8669">
        <v>0.52660229999999997</v>
      </c>
      <c r="F8669" t="s">
        <v>63</v>
      </c>
      <c r="G8669">
        <v>-207.87790000000001</v>
      </c>
      <c r="H8669" s="1">
        <v>-2.0180980000000002E-6</v>
      </c>
      <c r="I8669">
        <v>-64.988630000000001</v>
      </c>
      <c r="J8669">
        <v>-256.43020000000001</v>
      </c>
      <c r="K8669">
        <v>1.1203689999999999</v>
      </c>
      <c r="L8669">
        <v>-62.902189999999997</v>
      </c>
      <c r="M8669">
        <v>0.99983449999999996</v>
      </c>
      <c r="N8669">
        <v>-5.2859269999999898E-3</v>
      </c>
      <c r="O8669">
        <v>-1.74068E-2</v>
      </c>
      <c r="P8669">
        <v>0.99821219999999999</v>
      </c>
      <c r="Q8669">
        <v>-5.2102679999999998E-2</v>
      </c>
      <c r="R8669">
        <v>2.928561E-2</v>
      </c>
      <c r="S8669">
        <v>3.0053860000000001</v>
      </c>
      <c r="T8669">
        <v>-6.9170480000000006E-2</v>
      </c>
      <c r="U8669">
        <v>-0.12893679999999999</v>
      </c>
      <c r="V8669">
        <v>-4.6621099999999999E-2</v>
      </c>
      <c r="W8669">
        <v>-4.6864870000000003E-2</v>
      </c>
      <c r="X8669">
        <v>0.9978127</v>
      </c>
      <c r="Y8669">
        <v>2.5459389999999998E-2</v>
      </c>
      <c r="Z8669" s="1">
        <v>-5.1773020000000002E-5</v>
      </c>
      <c r="AA8669">
        <v>0.99967589999999995</v>
      </c>
      <c r="AB8669">
        <v>26</v>
      </c>
      <c r="AC8669">
        <v>48.552300000000002</v>
      </c>
      <c r="AD8669">
        <v>-1.120371018098</v>
      </c>
      <c r="AE8669">
        <v>-2.0864399999999899</v>
      </c>
      <c r="AF8669">
        <v>1.2403126517875001</v>
      </c>
      <c r="AG8669">
        <v>-1.120371018098</v>
      </c>
      <c r="AH8669">
        <v>48.555455196093597</v>
      </c>
      <c r="AI8669">
        <v>91.321380269322702</v>
      </c>
      <c r="AJ8669">
        <v>88.536740532811507</v>
      </c>
      <c r="AK8669">
        <v>48.584213855862998</v>
      </c>
      <c r="AL8669">
        <v>92.6861431042025</v>
      </c>
      <c r="AM8669">
        <v>92.675102262695205</v>
      </c>
      <c r="AN8669">
        <v>1.0000000136433</v>
      </c>
    </row>
    <row r="8670" spans="1:40" x14ac:dyDescent="0.25">
      <c r="A8670" t="str">
        <f>"20190303154013023"</f>
        <v>20190303154013023</v>
      </c>
      <c r="B8670" t="str">
        <f>"1551598813016796"</f>
        <v>1551598813016796</v>
      </c>
      <c r="C8670" t="s">
        <v>40</v>
      </c>
      <c r="D8670">
        <v>4.7072849999999997</v>
      </c>
      <c r="E8670">
        <v>0.52673179999999997</v>
      </c>
      <c r="F8670" t="s">
        <v>90</v>
      </c>
      <c r="G8670">
        <v>-212.24619999999999</v>
      </c>
      <c r="H8670" s="1">
        <v>-1.0910550000000001E-6</v>
      </c>
      <c r="I8670">
        <v>-64.73733</v>
      </c>
      <c r="J8670">
        <v>-256.30329999999998</v>
      </c>
      <c r="K8670">
        <v>1.120357</v>
      </c>
      <c r="L8670">
        <v>-62.904169999999901</v>
      </c>
      <c r="M8670">
        <v>0.99983809999999995</v>
      </c>
      <c r="N8670">
        <v>-5.3378100000000001E-3</v>
      </c>
      <c r="O8670">
        <v>-1.7196240000000002E-2</v>
      </c>
      <c r="P8670">
        <v>0.99818859999999998</v>
      </c>
      <c r="Q8670">
        <v>-5.232672E-2</v>
      </c>
      <c r="R8670">
        <v>2.9697370000000001E-2</v>
      </c>
      <c r="S8670">
        <v>3.0050810000000001</v>
      </c>
      <c r="T8670">
        <v>-7.6199530000000001E-2</v>
      </c>
      <c r="U8670">
        <v>-0.124816899999999</v>
      </c>
      <c r="V8670">
        <v>-4.682389E-2</v>
      </c>
      <c r="W8670">
        <v>-4.7035470000000003E-2</v>
      </c>
      <c r="X8670">
        <v>0.99779519999999999</v>
      </c>
      <c r="Y8670">
        <v>2.4305690000000001E-2</v>
      </c>
      <c r="Z8670" s="1">
        <v>-2.8907610000000002E-5</v>
      </c>
      <c r="AA8670">
        <v>0.99970460000000005</v>
      </c>
      <c r="AB8670">
        <v>26</v>
      </c>
      <c r="AC8670">
        <v>44.057099999999899</v>
      </c>
      <c r="AD8670">
        <v>-1.1203580910549999</v>
      </c>
      <c r="AE8670">
        <v>-1.8331599999999999</v>
      </c>
      <c r="AF8670">
        <v>1.0745681450978399</v>
      </c>
      <c r="AG8670">
        <v>-1.1203580910549999</v>
      </c>
      <c r="AH8670">
        <v>44.053670262463399</v>
      </c>
      <c r="AI8670">
        <v>91.4563799207925</v>
      </c>
      <c r="AJ8670">
        <v>88.602704091492996</v>
      </c>
      <c r="AK8670">
        <v>44.0810136288233</v>
      </c>
      <c r="AL8670">
        <v>92.695928493130097</v>
      </c>
      <c r="AM8670">
        <v>92.686768320710598</v>
      </c>
      <c r="AN8670">
        <v>1.00000003662794</v>
      </c>
    </row>
    <row r="8671" spans="1:40" x14ac:dyDescent="0.25">
      <c r="A8671" t="str">
        <f>"20190303154013035"</f>
        <v>20190303154013035</v>
      </c>
      <c r="B8671" t="str">
        <f>"1551598813026556"</f>
        <v>1551598813026556</v>
      </c>
      <c r="C8671" t="s">
        <v>40</v>
      </c>
      <c r="D8671">
        <v>4.7163649999999997</v>
      </c>
      <c r="E8671">
        <v>0.52706649999999999</v>
      </c>
      <c r="F8671" t="s">
        <v>90</v>
      </c>
      <c r="G8671">
        <v>-210.1052</v>
      </c>
      <c r="H8671" s="1">
        <v>-1.946732E-7</v>
      </c>
      <c r="I8671">
        <v>-64.820459999999997</v>
      </c>
      <c r="J8671">
        <v>-256.16950000000003</v>
      </c>
      <c r="K8671">
        <v>1.120349</v>
      </c>
      <c r="L8671">
        <v>-62.90625</v>
      </c>
      <c r="M8671">
        <v>0.99984130000000004</v>
      </c>
      <c r="N8671">
        <v>-5.4021649999999996E-3</v>
      </c>
      <c r="O8671">
        <v>-1.6983459999999999E-2</v>
      </c>
      <c r="P8671">
        <v>0.99813620000000003</v>
      </c>
      <c r="Q8671">
        <v>-5.3177040000000002E-2</v>
      </c>
      <c r="R8671">
        <v>2.9943580000000001E-2</v>
      </c>
      <c r="S8671">
        <v>3.005341</v>
      </c>
      <c r="T8671">
        <v>-7.2882890000000006E-2</v>
      </c>
      <c r="U8671">
        <v>-0.12466430000000001</v>
      </c>
      <c r="V8671">
        <v>-4.6858299999999999E-2</v>
      </c>
      <c r="W8671">
        <v>-4.781999E-2</v>
      </c>
      <c r="X8671">
        <v>0.99775619999999998</v>
      </c>
      <c r="Y8671">
        <v>2.4464420000000001E-2</v>
      </c>
      <c r="Z8671" s="1">
        <v>-4.2725149999999999E-5</v>
      </c>
      <c r="AA8671">
        <v>0.9997007</v>
      </c>
      <c r="AB8671">
        <v>26</v>
      </c>
      <c r="AC8671">
        <v>46.064300000000003</v>
      </c>
      <c r="AD8671">
        <v>-1.1203491946732</v>
      </c>
      <c r="AE8671">
        <v>-1.91420999999999</v>
      </c>
      <c r="AF8671">
        <v>1.1309235672170199</v>
      </c>
      <c r="AG8671">
        <v>-1.1203491946732</v>
      </c>
      <c r="AH8671">
        <v>46.062965639584199</v>
      </c>
      <c r="AI8671">
        <v>91.392860829444402</v>
      </c>
      <c r="AJ8671">
        <v>88.593574435136404</v>
      </c>
      <c r="AK8671">
        <v>46.090465108809802</v>
      </c>
      <c r="AL8671">
        <v>92.740929074039002</v>
      </c>
      <c r="AM8671">
        <v>92.688844822479595</v>
      </c>
      <c r="AN8671">
        <v>0.99999994318046304</v>
      </c>
    </row>
    <row r="8672" spans="1:40" x14ac:dyDescent="0.25">
      <c r="A8672" t="str">
        <f>"20190303154013046"</f>
        <v>20190303154013046</v>
      </c>
      <c r="B8672" t="str">
        <f>"1551598813036316"</f>
        <v>1551598813036316</v>
      </c>
      <c r="C8672" t="s">
        <v>40</v>
      </c>
      <c r="D8672">
        <v>4.7012049999999999</v>
      </c>
      <c r="E8672">
        <v>0.52728640000000004</v>
      </c>
      <c r="F8672" t="s">
        <v>63</v>
      </c>
      <c r="G8672">
        <v>-209.2088</v>
      </c>
      <c r="H8672" s="1">
        <v>-1.4821740000000001E-6</v>
      </c>
      <c r="I8672">
        <v>-64.885050000000007</v>
      </c>
      <c r="J8672">
        <v>-256.03719999999998</v>
      </c>
      <c r="K8672">
        <v>1.1203430000000001</v>
      </c>
      <c r="L8672">
        <v>-62.908329999999999</v>
      </c>
      <c r="M8672">
        <v>0.99984430000000002</v>
      </c>
      <c r="N8672">
        <v>-5.4756930000000002E-3</v>
      </c>
      <c r="O8672">
        <v>-1.6782490000000001E-2</v>
      </c>
      <c r="P8672">
        <v>0.99810929999999998</v>
      </c>
      <c r="Q8672">
        <v>-5.3626220000000002E-2</v>
      </c>
      <c r="R8672">
        <v>3.003842E-2</v>
      </c>
      <c r="S8672">
        <v>3.005585</v>
      </c>
      <c r="T8672">
        <v>-7.1704859999999995E-2</v>
      </c>
      <c r="U8672">
        <v>-0.12664790000000001</v>
      </c>
      <c r="V8672">
        <v>-4.6753740000000002E-2</v>
      </c>
      <c r="W8672">
        <v>-4.8194130000000002E-2</v>
      </c>
      <c r="X8672">
        <v>0.99774320000000005</v>
      </c>
      <c r="Y8672">
        <v>2.532038E-2</v>
      </c>
      <c r="Z8672" s="1">
        <v>-6.2984019999999993E-5</v>
      </c>
      <c r="AA8672">
        <v>0.9996794</v>
      </c>
      <c r="AB8672">
        <v>26</v>
      </c>
      <c r="AC8672">
        <v>46.828399999999903</v>
      </c>
      <c r="AD8672">
        <v>-1.1203444821740001</v>
      </c>
      <c r="AE8672">
        <v>-1.97672</v>
      </c>
      <c r="AF8672">
        <v>1.18985292692301</v>
      </c>
      <c r="AG8672">
        <v>-1.1203444821740001</v>
      </c>
      <c r="AH8672">
        <v>46.828223592698102</v>
      </c>
      <c r="AI8672">
        <v>91.370072640984901</v>
      </c>
      <c r="AJ8672">
        <v>88.544491330275804</v>
      </c>
      <c r="AK8672">
        <v>46.8567332044625</v>
      </c>
      <c r="AL8672">
        <v>92.762390196399807</v>
      </c>
      <c r="AM8672">
        <v>92.682888592699996</v>
      </c>
      <c r="AN8672">
        <v>1.00000003975834</v>
      </c>
    </row>
    <row r="8673" spans="1:40" x14ac:dyDescent="0.25">
      <c r="A8673" t="str">
        <f>"20190303154013056"</f>
        <v>20190303154013056</v>
      </c>
      <c r="B8673" t="str">
        <f>"1551598813047052"</f>
        <v>1551598813047052</v>
      </c>
      <c r="C8673" t="s">
        <v>40</v>
      </c>
      <c r="D8673">
        <v>4.7148120000000002</v>
      </c>
      <c r="E8673">
        <v>0.52752330000000003</v>
      </c>
      <c r="F8673" t="s">
        <v>63</v>
      </c>
      <c r="G8673">
        <v>-207.57419999999999</v>
      </c>
      <c r="H8673" s="1">
        <v>-2.152494E-6</v>
      </c>
      <c r="I8673">
        <v>-64.972930000000005</v>
      </c>
      <c r="J8673">
        <v>-255.9085</v>
      </c>
      <c r="K8673">
        <v>1.1203449999999999</v>
      </c>
      <c r="L8673">
        <v>-62.91028</v>
      </c>
      <c r="M8673">
        <v>0.99984680000000004</v>
      </c>
      <c r="N8673">
        <v>-5.5674870000000003E-3</v>
      </c>
      <c r="O8673">
        <v>-1.659658E-2</v>
      </c>
      <c r="P8673">
        <v>0.99807880000000004</v>
      </c>
      <c r="Q8673">
        <v>-5.4096159999999997E-2</v>
      </c>
      <c r="R8673">
        <v>3.0206790000000001E-2</v>
      </c>
      <c r="S8673">
        <v>3.005798</v>
      </c>
      <c r="T8673">
        <v>-6.9486619999999999E-2</v>
      </c>
      <c r="U8673">
        <v>-0.12805179999999999</v>
      </c>
      <c r="V8673">
        <v>-4.6737649999999999E-2</v>
      </c>
      <c r="W8673">
        <v>-4.8571250000000003E-2</v>
      </c>
      <c r="X8673">
        <v>0.99772559999999999</v>
      </c>
      <c r="Y8673">
        <v>2.5969269999999999E-2</v>
      </c>
      <c r="Z8673" s="1">
        <v>-8.1296010000000003E-5</v>
      </c>
      <c r="AA8673">
        <v>0.99966279999999996</v>
      </c>
      <c r="AB8673">
        <v>26</v>
      </c>
      <c r="AC8673">
        <v>48.334299999999999</v>
      </c>
      <c r="AD8673">
        <v>-1.1203471524940001</v>
      </c>
      <c r="AE8673">
        <v>-2.0626499999999899</v>
      </c>
      <c r="AF8673">
        <v>1.25949395305948</v>
      </c>
      <c r="AG8673">
        <v>-1.1203471524940001</v>
      </c>
      <c r="AH8673">
        <v>48.335953688802697</v>
      </c>
      <c r="AI8673">
        <v>91.327332922470703</v>
      </c>
      <c r="AJ8673">
        <v>88.507376877609204</v>
      </c>
      <c r="AK8673">
        <v>48.365338019763499</v>
      </c>
      <c r="AL8673">
        <v>92.784023099124497</v>
      </c>
      <c r="AM8673">
        <v>92.682013883252196</v>
      </c>
      <c r="AN8673">
        <v>0.99999997357472203</v>
      </c>
    </row>
    <row r="8674" spans="1:40" x14ac:dyDescent="0.25">
      <c r="A8674" t="str">
        <f>"20190303154013067"</f>
        <v>20190303154013067</v>
      </c>
      <c r="B8674" t="str">
        <f>"1551598813056812"</f>
        <v>1551598813056812</v>
      </c>
      <c r="C8674" t="s">
        <v>40</v>
      </c>
      <c r="D8674">
        <v>4.6815730000000002</v>
      </c>
      <c r="E8674">
        <v>0.52783990000000003</v>
      </c>
      <c r="F8674" t="s">
        <v>63</v>
      </c>
      <c r="G8674">
        <v>-206.06</v>
      </c>
      <c r="H8674" s="1">
        <v>-3.1268319999999999E-6</v>
      </c>
      <c r="I8674">
        <v>-65.05856</v>
      </c>
      <c r="J8674">
        <v>-255.77680000000001</v>
      </c>
      <c r="K8674">
        <v>1.1203510000000001</v>
      </c>
      <c r="L8674">
        <v>-62.912289999999999</v>
      </c>
      <c r="M8674">
        <v>0.9998494</v>
      </c>
      <c r="N8674">
        <v>-5.6703860000000003E-3</v>
      </c>
      <c r="O8674">
        <v>-1.6410460000000002E-2</v>
      </c>
      <c r="P8674">
        <v>0.99806609999999996</v>
      </c>
      <c r="Q8674">
        <v>-5.4523799999999997E-2</v>
      </c>
      <c r="R8674">
        <v>2.9858369999999999E-2</v>
      </c>
      <c r="S8674">
        <v>3.0059969999999998</v>
      </c>
      <c r="T8674">
        <v>-6.7559960000000002E-2</v>
      </c>
      <c r="U8674">
        <v>-0.1295471</v>
      </c>
      <c r="V8674">
        <v>-4.6203599999999997E-2</v>
      </c>
      <c r="W8674">
        <v>-4.8894630000000001E-2</v>
      </c>
      <c r="X8674">
        <v>0.99773469999999997</v>
      </c>
      <c r="Y8674">
        <v>2.664886E-2</v>
      </c>
      <c r="Z8674" s="1">
        <v>-9.934338E-5</v>
      </c>
      <c r="AA8674">
        <v>0.99964489999999995</v>
      </c>
      <c r="AB8674">
        <v>26</v>
      </c>
      <c r="AC8674">
        <v>49.716799999999999</v>
      </c>
      <c r="AD8674">
        <v>-1.1203541268320001</v>
      </c>
      <c r="AE8674">
        <v>-2.1462699999999901</v>
      </c>
      <c r="AF8674">
        <v>1.3294185709520601</v>
      </c>
      <c r="AG8674">
        <v>-1.1203541268320001</v>
      </c>
      <c r="AH8674">
        <v>49.720125141069502</v>
      </c>
      <c r="AI8674">
        <v>91.290378488681299</v>
      </c>
      <c r="AJ8674">
        <v>88.468388223388303</v>
      </c>
      <c r="AK8674">
        <v>49.750511466214199</v>
      </c>
      <c r="AL8674">
        <v>92.802573390774597</v>
      </c>
      <c r="AM8674">
        <v>92.651387559846896</v>
      </c>
      <c r="AN8674">
        <v>0.99999999453994304</v>
      </c>
    </row>
    <row r="8675" spans="1:40" x14ac:dyDescent="0.25">
      <c r="A8675" t="str">
        <f>"20190303154013079"</f>
        <v>20190303154013079</v>
      </c>
      <c r="B8675" t="str">
        <f>"1551598813066572"</f>
        <v>1551598813066572</v>
      </c>
      <c r="C8675" t="s">
        <v>40</v>
      </c>
      <c r="D8675">
        <v>4.662439</v>
      </c>
      <c r="E8675">
        <v>0.52792450000000002</v>
      </c>
      <c r="F8675" t="s">
        <v>63</v>
      </c>
      <c r="G8675">
        <v>-203.92779999999999</v>
      </c>
      <c r="H8675" s="1">
        <v>-4.2060650000000004E-6</v>
      </c>
      <c r="I8675">
        <v>-65.20975</v>
      </c>
      <c r="J8675">
        <v>-255.64609999999999</v>
      </c>
      <c r="K8675">
        <v>1.120363</v>
      </c>
      <c r="L8675">
        <v>-62.914250000000003</v>
      </c>
      <c r="M8675">
        <v>0.9998515</v>
      </c>
      <c r="N8675">
        <v>-5.8064010000000001E-3</v>
      </c>
      <c r="O8675">
        <v>-1.62343E-2</v>
      </c>
      <c r="P8675">
        <v>0.99805560000000004</v>
      </c>
      <c r="Q8675">
        <v>-5.4857320000000001E-2</v>
      </c>
      <c r="R8675">
        <v>2.959585E-2</v>
      </c>
      <c r="S8675">
        <v>3.0062709999999999</v>
      </c>
      <c r="T8675">
        <v>-6.4959649999999994E-2</v>
      </c>
      <c r="U8675">
        <v>-0.1332092</v>
      </c>
      <c r="V8675">
        <v>-4.576641E-2</v>
      </c>
      <c r="W8675">
        <v>-4.90914E-2</v>
      </c>
      <c r="X8675">
        <v>0.9977452</v>
      </c>
      <c r="Y8675">
        <v>2.803626E-2</v>
      </c>
      <c r="Z8675">
        <v>-1.278536E-4</v>
      </c>
      <c r="AA8675">
        <v>0.99960689999999996</v>
      </c>
      <c r="AB8675">
        <v>26</v>
      </c>
      <c r="AC8675">
        <v>51.718299999999999</v>
      </c>
      <c r="AD8675">
        <v>-1.1203672060650001</v>
      </c>
      <c r="AE8675">
        <v>-2.2954999999999899</v>
      </c>
      <c r="AF8675">
        <v>1.4548916377938299</v>
      </c>
      <c r="AG8675">
        <v>-1.1203672060650001</v>
      </c>
      <c r="AH8675">
        <v>51.724524963386003</v>
      </c>
      <c r="AI8675">
        <v>91.240357641422705</v>
      </c>
      <c r="AJ8675">
        <v>88.388826628992604</v>
      </c>
      <c r="AK8675">
        <v>51.757109801862903</v>
      </c>
      <c r="AL8675">
        <v>92.813861001449496</v>
      </c>
      <c r="AM8675">
        <v>92.626307163605105</v>
      </c>
      <c r="AN8675">
        <v>1.0000000069806401</v>
      </c>
    </row>
    <row r="8676" spans="1:40" x14ac:dyDescent="0.25">
      <c r="A8676" t="str">
        <f>"20190303154013090"</f>
        <v>20190303154013090</v>
      </c>
      <c r="B8676" t="str">
        <f>"1551598813087068"</f>
        <v>1551598813087068</v>
      </c>
      <c r="C8676" t="s">
        <v>40</v>
      </c>
      <c r="D8676">
        <v>4.6479889999999999</v>
      </c>
      <c r="E8676">
        <v>0.52805089999999999</v>
      </c>
      <c r="F8676" t="s">
        <v>63</v>
      </c>
      <c r="G8676">
        <v>-207.10130000000001</v>
      </c>
      <c r="H8676" s="1">
        <v>-2.469131E-6</v>
      </c>
      <c r="I8676">
        <v>-65.088619999999906</v>
      </c>
      <c r="J8676">
        <v>-255.50729999999999</v>
      </c>
      <c r="K8676">
        <v>1.1203890000000001</v>
      </c>
      <c r="L8676">
        <v>-62.916319999999899</v>
      </c>
      <c r="M8676">
        <v>0.99985360000000001</v>
      </c>
      <c r="N8676">
        <v>-5.9613259999999899E-3</v>
      </c>
      <c r="O8676">
        <v>-1.6049130000000002E-2</v>
      </c>
      <c r="P8676">
        <v>0.99806189999999995</v>
      </c>
      <c r="Q8676">
        <v>-5.4898469999999998E-2</v>
      </c>
      <c r="R8676">
        <v>2.9302410000000001E-2</v>
      </c>
      <c r="S8676">
        <v>3.0060419999999999</v>
      </c>
      <c r="T8676">
        <v>-6.9376469999999996E-2</v>
      </c>
      <c r="U8676">
        <v>-0.1346436</v>
      </c>
      <c r="V8676">
        <v>-4.5288990000000001E-2</v>
      </c>
      <c r="W8676">
        <v>-4.8976890000000002E-2</v>
      </c>
      <c r="X8676">
        <v>0.99777260000000001</v>
      </c>
      <c r="Y8676">
        <v>2.869975E-2</v>
      </c>
      <c r="Z8676">
        <v>-1.420844E-4</v>
      </c>
      <c r="AA8676">
        <v>0.99958809999999998</v>
      </c>
      <c r="AB8676">
        <v>27</v>
      </c>
      <c r="AC8676">
        <v>48.405999999999899</v>
      </c>
      <c r="AD8676">
        <v>-1.120391469131</v>
      </c>
      <c r="AE8676">
        <v>-2.1722999999999999</v>
      </c>
      <c r="AF8676">
        <v>1.39438684056328</v>
      </c>
      <c r="AG8676">
        <v>-1.120391469131</v>
      </c>
      <c r="AH8676">
        <v>48.408747830305202</v>
      </c>
      <c r="AI8676">
        <v>91.325290309166704</v>
      </c>
      <c r="AJ8676">
        <v>88.350083403055294</v>
      </c>
      <c r="AK8676">
        <v>48.441784217794002</v>
      </c>
      <c r="AL8676">
        <v>92.807292194248703</v>
      </c>
      <c r="AM8676">
        <v>92.598876888808206</v>
      </c>
      <c r="AN8676">
        <v>0.999999994840026</v>
      </c>
    </row>
    <row r="8677" spans="1:40" x14ac:dyDescent="0.25">
      <c r="A8677" t="str">
        <f>"20190303154013101"</f>
        <v>20190303154013101</v>
      </c>
      <c r="B8677" t="str">
        <f>"1551598813096829"</f>
        <v>1551598813096829</v>
      </c>
      <c r="C8677" t="s">
        <v>40</v>
      </c>
      <c r="D8677">
        <v>4.6600169999999999</v>
      </c>
      <c r="E8677">
        <v>0.52813239999999995</v>
      </c>
      <c r="F8677" t="s">
        <v>90</v>
      </c>
      <c r="G8677">
        <v>-210.4102</v>
      </c>
      <c r="H8677" s="1">
        <v>-3.6380350000000001E-7</v>
      </c>
      <c r="I8677">
        <v>-64.964359999999999</v>
      </c>
      <c r="J8677">
        <v>-255.3732</v>
      </c>
      <c r="K8677">
        <v>1.1204259999999999</v>
      </c>
      <c r="L8677">
        <v>-62.918300000000002</v>
      </c>
      <c r="M8677">
        <v>0.99985500000000005</v>
      </c>
      <c r="N8677">
        <v>-6.1502730000000004E-3</v>
      </c>
      <c r="O8677">
        <v>-1.587597E-2</v>
      </c>
      <c r="P8677">
        <v>0.99809239999999999</v>
      </c>
      <c r="Q8677">
        <v>-5.4617060000000002E-2</v>
      </c>
      <c r="R8677">
        <v>2.8788359999999999E-2</v>
      </c>
      <c r="S8677">
        <v>3.0057070000000001</v>
      </c>
      <c r="T8677">
        <v>-7.4673530000000002E-2</v>
      </c>
      <c r="U8677">
        <v>-0.13650509999999999</v>
      </c>
      <c r="V8677">
        <v>-4.4603459999999998E-2</v>
      </c>
      <c r="W8677">
        <v>-4.8506029999999999E-2</v>
      </c>
      <c r="X8677">
        <v>0.99782649999999995</v>
      </c>
      <c r="Y8677">
        <v>2.9494340000000001E-2</v>
      </c>
      <c r="Z8677">
        <v>-1.6037970000000001E-4</v>
      </c>
      <c r="AA8677">
        <v>0.99956489999999998</v>
      </c>
      <c r="AB8677">
        <v>27</v>
      </c>
      <c r="AC8677">
        <v>44.963000000000001</v>
      </c>
      <c r="AD8677">
        <v>-1.1204263638034999</v>
      </c>
      <c r="AE8677">
        <v>-2.04605999999999</v>
      </c>
      <c r="AF8677">
        <v>1.3311324871034</v>
      </c>
      <c r="AG8677">
        <v>-1.1204263638034999</v>
      </c>
      <c r="AH8677">
        <v>44.9619554526749</v>
      </c>
      <c r="AI8677">
        <v>91.426857891326705</v>
      </c>
      <c r="AJ8677">
        <v>88.304210718445503</v>
      </c>
      <c r="AK8677">
        <v>44.995607641893798</v>
      </c>
      <c r="AL8677">
        <v>92.780281746451195</v>
      </c>
      <c r="AM8677">
        <v>92.559452871683504</v>
      </c>
      <c r="AN8677">
        <v>1.0000000138462899</v>
      </c>
    </row>
    <row r="8678" spans="1:40" x14ac:dyDescent="0.25">
      <c r="A8678" t="str">
        <f>"20190303154013114"</f>
        <v>20190303154013114</v>
      </c>
      <c r="B8678" t="str">
        <f>"1551598813106589"</f>
        <v>1551598813106589</v>
      </c>
      <c r="C8678" t="s">
        <v>40</v>
      </c>
      <c r="D8678">
        <v>4.6168899999999997</v>
      </c>
      <c r="E8678">
        <v>0.52825</v>
      </c>
      <c r="F8678" t="s">
        <v>90</v>
      </c>
      <c r="G8678">
        <v>-210.57900000000001</v>
      </c>
      <c r="H8678" s="1">
        <v>-4.416979E-7</v>
      </c>
      <c r="I8678">
        <v>-64.984919999999903</v>
      </c>
      <c r="J8678">
        <v>-255.23599999999999</v>
      </c>
      <c r="K8678">
        <v>1.1204639999999999</v>
      </c>
      <c r="L8678">
        <v>-62.920319999999997</v>
      </c>
      <c r="M8678">
        <v>0.99985650000000004</v>
      </c>
      <c r="N8678">
        <v>-6.3572139999999999E-3</v>
      </c>
      <c r="O8678">
        <v>-1.570061E-2</v>
      </c>
      <c r="P8678">
        <v>0.998116</v>
      </c>
      <c r="Q8678">
        <v>-5.438482E-2</v>
      </c>
      <c r="R8678">
        <v>2.8403189999999998E-2</v>
      </c>
      <c r="S8678">
        <v>3.00563</v>
      </c>
      <c r="T8678">
        <v>-7.5179099999999999E-2</v>
      </c>
      <c r="U8678">
        <v>-0.13867189999999999</v>
      </c>
      <c r="V8678">
        <v>-4.4044380000000001E-2</v>
      </c>
      <c r="W8678">
        <v>-4.8066610000000003E-2</v>
      </c>
      <c r="X8678">
        <v>0.9978726</v>
      </c>
      <c r="Y8678">
        <v>3.0389240000000001E-2</v>
      </c>
      <c r="Z8678">
        <v>-1.8382739999999999E-4</v>
      </c>
      <c r="AA8678">
        <v>0.99953809999999998</v>
      </c>
      <c r="AB8678">
        <v>27</v>
      </c>
      <c r="AC8678">
        <v>44.656999999999897</v>
      </c>
      <c r="AD8678">
        <v>-1.1204644416978999</v>
      </c>
      <c r="AE8678">
        <v>-2.0645999999999902</v>
      </c>
      <c r="AF8678">
        <v>1.36233337194828</v>
      </c>
      <c r="AG8678">
        <v>-1.1204644416978999</v>
      </c>
      <c r="AH8678">
        <v>44.655859109328702</v>
      </c>
      <c r="AI8678">
        <v>91.436644213721706</v>
      </c>
      <c r="AJ8678">
        <v>88.252597710490804</v>
      </c>
      <c r="AK8678">
        <v>44.690682983969303</v>
      </c>
      <c r="AL8678">
        <v>92.755075426622994</v>
      </c>
      <c r="AM8678">
        <v>92.5272967817222</v>
      </c>
      <c r="AN8678">
        <v>1.00000001611861</v>
      </c>
    </row>
    <row r="8679" spans="1:40" x14ac:dyDescent="0.25">
      <c r="A8679" t="str">
        <f>"20190303154013124"</f>
        <v>20190303154013124</v>
      </c>
      <c r="B8679" t="str">
        <f>"1551598813117386"</f>
        <v>1551598813117386</v>
      </c>
      <c r="C8679" t="s">
        <v>40</v>
      </c>
      <c r="D8679">
        <v>4.5637860000000003</v>
      </c>
      <c r="E8679">
        <v>0.52829440000000005</v>
      </c>
      <c r="F8679" t="s">
        <v>90</v>
      </c>
      <c r="G8679">
        <v>-210.7602</v>
      </c>
      <c r="H8679" s="1">
        <v>-5.2438789999999995E-7</v>
      </c>
      <c r="I8679">
        <v>-65.003469999999993</v>
      </c>
      <c r="J8679">
        <v>-255.1019</v>
      </c>
      <c r="K8679">
        <v>1.1205080000000001</v>
      </c>
      <c r="L8679">
        <v>-62.922240000000002</v>
      </c>
      <c r="M8679">
        <v>0.99985780000000002</v>
      </c>
      <c r="N8679">
        <v>-6.5824639999999997E-3</v>
      </c>
      <c r="O8679">
        <v>-1.553186E-2</v>
      </c>
      <c r="P8679">
        <v>0.99815030000000005</v>
      </c>
      <c r="Q8679">
        <v>-5.4028439999999997E-2</v>
      </c>
      <c r="R8679">
        <v>2.7878630000000001E-2</v>
      </c>
      <c r="S8679">
        <v>3.0055390000000002</v>
      </c>
      <c r="T8679">
        <v>-7.5717690000000004E-2</v>
      </c>
      <c r="U8679">
        <v>-0.1407776</v>
      </c>
      <c r="V8679">
        <v>-4.3352309999999998E-2</v>
      </c>
      <c r="W8679">
        <v>-4.748484E-2</v>
      </c>
      <c r="X8679">
        <v>0.99793080000000001</v>
      </c>
      <c r="Y8679">
        <v>3.1257449999999999E-2</v>
      </c>
      <c r="Z8679">
        <v>-2.0762290000000001E-4</v>
      </c>
      <c r="AA8679">
        <v>0.99951140000000005</v>
      </c>
      <c r="AB8679">
        <v>27</v>
      </c>
      <c r="AC8679">
        <v>44.341700000000003</v>
      </c>
      <c r="AD8679">
        <v>-1.1205085243878901</v>
      </c>
      <c r="AE8679">
        <v>-2.0812299999999899</v>
      </c>
      <c r="AF8679">
        <v>1.39136847727266</v>
      </c>
      <c r="AG8679">
        <v>-1.1205085243878901</v>
      </c>
      <c r="AH8679">
        <v>44.340425011111499</v>
      </c>
      <c r="AI8679">
        <v>91.446877971903902</v>
      </c>
      <c r="AJ8679">
        <v>88.202692205226001</v>
      </c>
      <c r="AK8679">
        <v>44.376398409050502</v>
      </c>
      <c r="AL8679">
        <v>92.7217042423175</v>
      </c>
      <c r="AM8679">
        <v>92.487490715907896</v>
      </c>
      <c r="AN8679">
        <v>1.00000005720039</v>
      </c>
    </row>
    <row r="8680" spans="1:40" x14ac:dyDescent="0.25">
      <c r="A8680" t="str">
        <f>"20190303154013135"</f>
        <v>20190303154013135</v>
      </c>
      <c r="B8680" t="str">
        <f>"1551598813127145"</f>
        <v>1551598813127145</v>
      </c>
      <c r="C8680" t="s">
        <v>40</v>
      </c>
      <c r="D8680">
        <v>4.5809600000000001</v>
      </c>
      <c r="E8680">
        <v>0.52838890000000005</v>
      </c>
      <c r="F8680" t="s">
        <v>90</v>
      </c>
      <c r="G8680">
        <v>-210.7818</v>
      </c>
      <c r="H8680" s="1">
        <v>-5.3955150000000003E-7</v>
      </c>
      <c r="I8680">
        <v>-65.025630000000007</v>
      </c>
      <c r="J8680">
        <v>-254.97309999999999</v>
      </c>
      <c r="K8680">
        <v>1.1205540000000001</v>
      </c>
      <c r="L8680">
        <v>-62.924069999999901</v>
      </c>
      <c r="M8680">
        <v>0.99985869999999999</v>
      </c>
      <c r="N8680">
        <v>-6.8155859999999898E-3</v>
      </c>
      <c r="O8680">
        <v>-1.536911E-2</v>
      </c>
      <c r="P8680">
        <v>0.9981584</v>
      </c>
      <c r="Q8680">
        <v>-5.4040879999999999E-2</v>
      </c>
      <c r="R8680">
        <v>2.7560109999999999E-2</v>
      </c>
      <c r="S8680">
        <v>3.0054319999999999</v>
      </c>
      <c r="T8680">
        <v>-7.5983880000000004E-2</v>
      </c>
      <c r="U8680">
        <v>-0.14263919999999999</v>
      </c>
      <c r="V8680">
        <v>-4.2871180000000002E-2</v>
      </c>
      <c r="W8680">
        <v>-4.7264590000000002E-2</v>
      </c>
      <c r="X8680">
        <v>0.99796200000000002</v>
      </c>
      <c r="Y8680">
        <v>3.2038949999999997E-2</v>
      </c>
      <c r="Z8680">
        <v>-2.3043679999999999E-4</v>
      </c>
      <c r="AA8680">
        <v>0.9994866</v>
      </c>
      <c r="AB8680">
        <v>27</v>
      </c>
      <c r="AC8680">
        <v>44.191299999999899</v>
      </c>
      <c r="AD8680">
        <v>-1.1205545395515</v>
      </c>
      <c r="AE8680">
        <v>-2.1015600000000099</v>
      </c>
      <c r="AF8680">
        <v>1.42120333848862</v>
      </c>
      <c r="AG8680">
        <v>-1.1205545395515</v>
      </c>
      <c r="AH8680">
        <v>44.190031237174097</v>
      </c>
      <c r="AI8680">
        <v>91.451823667075303</v>
      </c>
      <c r="AJ8680">
        <v>88.157935327262905</v>
      </c>
      <c r="AK8680">
        <v>44.2270767985842</v>
      </c>
      <c r="AL8680">
        <v>92.709070772801098</v>
      </c>
      <c r="AM8680">
        <v>92.459841486452603</v>
      </c>
      <c r="AN8680">
        <v>1.0000000164932299</v>
      </c>
    </row>
    <row r="8681" spans="1:40" x14ac:dyDescent="0.25">
      <c r="A8681" t="str">
        <f>"20190303154013147"</f>
        <v>20190303154013147</v>
      </c>
      <c r="B8681" t="str">
        <f>"1551598813136905"</f>
        <v>1551598813136905</v>
      </c>
      <c r="C8681" t="s">
        <v>40</v>
      </c>
      <c r="D8681">
        <v>4.5246940000000002</v>
      </c>
      <c r="E8681">
        <v>0.52840559999999903</v>
      </c>
      <c r="F8681" t="s">
        <v>90</v>
      </c>
      <c r="G8681">
        <v>-210.90219999999999</v>
      </c>
      <c r="H8681" s="1">
        <v>-5.9543420000000002E-7</v>
      </c>
      <c r="I8681">
        <v>-65.041619999999995</v>
      </c>
      <c r="J8681">
        <v>-254.83099999999999</v>
      </c>
      <c r="K8681">
        <v>1.120608</v>
      </c>
      <c r="L8681">
        <v>-62.92606</v>
      </c>
      <c r="M8681">
        <v>0.99985959999999996</v>
      </c>
      <c r="N8681">
        <v>-7.0857109999999997E-3</v>
      </c>
      <c r="O8681">
        <v>-1.518943E-2</v>
      </c>
      <c r="P8681">
        <v>0.99816800000000006</v>
      </c>
      <c r="Q8681">
        <v>-5.3986979999999997E-2</v>
      </c>
      <c r="R8681">
        <v>2.7322929999999999E-2</v>
      </c>
      <c r="S8681">
        <v>3.0053860000000001</v>
      </c>
      <c r="T8681">
        <v>-7.6415540000000004E-2</v>
      </c>
      <c r="U8681">
        <v>-0.14440919999999999</v>
      </c>
      <c r="V8681">
        <v>-4.2454499999999999E-2</v>
      </c>
      <c r="W8681">
        <v>-4.6941299999999998E-2</v>
      </c>
      <c r="X8681">
        <v>0.99799510000000002</v>
      </c>
      <c r="Y8681">
        <v>3.2805920000000002E-2</v>
      </c>
      <c r="Z8681">
        <v>-2.5476580000000001E-4</v>
      </c>
      <c r="AA8681">
        <v>0.99946170000000001</v>
      </c>
      <c r="AB8681">
        <v>27</v>
      </c>
      <c r="AC8681">
        <v>43.928800000000003</v>
      </c>
      <c r="AD8681">
        <v>-1.1206085954342</v>
      </c>
      <c r="AE8681">
        <v>-2.1155599999999901</v>
      </c>
      <c r="AF8681">
        <v>1.4471062742546901</v>
      </c>
      <c r="AG8681">
        <v>-1.1206085954342</v>
      </c>
      <c r="AH8681">
        <v>43.927347558038001</v>
      </c>
      <c r="AI8681">
        <v>91.460535062460295</v>
      </c>
      <c r="AJ8681">
        <v>88.113177501910897</v>
      </c>
      <c r="AK8681">
        <v>43.965460803656001</v>
      </c>
      <c r="AL8681">
        <v>92.690526961128896</v>
      </c>
      <c r="AM8681">
        <v>92.435881672298393</v>
      </c>
      <c r="AN8681">
        <v>1.00000004491997</v>
      </c>
    </row>
    <row r="8682" spans="1:40" x14ac:dyDescent="0.25">
      <c r="A8682" t="str">
        <f>"20190303154013160"</f>
        <v>20190303154013160</v>
      </c>
      <c r="B8682" t="str">
        <f>"1551598813146665"</f>
        <v>1551598813146665</v>
      </c>
      <c r="C8682" t="s">
        <v>40</v>
      </c>
      <c r="D8682">
        <v>4.5902570000000003</v>
      </c>
      <c r="E8682">
        <v>0.52841539999999998</v>
      </c>
      <c r="F8682" t="s">
        <v>90</v>
      </c>
      <c r="G8682">
        <v>-210.91229999999999</v>
      </c>
      <c r="H8682" s="1">
        <v>-6.0145189999999999E-7</v>
      </c>
      <c r="I8682">
        <v>-65.047899999999998</v>
      </c>
      <c r="J8682">
        <v>-254.69030000000001</v>
      </c>
      <c r="K8682">
        <v>1.120662</v>
      </c>
      <c r="L8682">
        <v>-62.92801</v>
      </c>
      <c r="M8682">
        <v>0.99985999999999997</v>
      </c>
      <c r="N8682">
        <v>-7.3807019999999899E-3</v>
      </c>
      <c r="O8682">
        <v>-1.5016430000000001E-2</v>
      </c>
      <c r="P8682">
        <v>0.99818209999999996</v>
      </c>
      <c r="Q8682">
        <v>-5.388917E-2</v>
      </c>
      <c r="R8682">
        <v>2.6990710000000001E-2</v>
      </c>
      <c r="S8682">
        <v>3.0053709999999998</v>
      </c>
      <c r="T8682">
        <v>-7.6683639999999997E-2</v>
      </c>
      <c r="U8682">
        <v>-0.14520259999999999</v>
      </c>
      <c r="V8682">
        <v>-4.1949880000000002E-2</v>
      </c>
      <c r="W8682">
        <v>-4.6549069999999998E-2</v>
      </c>
      <c r="X8682">
        <v>0.9980348</v>
      </c>
      <c r="Y8682">
        <v>3.3241850000000003E-2</v>
      </c>
      <c r="Z8682">
        <v>-2.7449640000000002E-4</v>
      </c>
      <c r="AA8682">
        <v>0.99944730000000004</v>
      </c>
      <c r="AB8682">
        <v>27</v>
      </c>
      <c r="AC8682">
        <v>43.777999999999999</v>
      </c>
      <c r="AD8682">
        <v>-1.1206626014518899</v>
      </c>
      <c r="AE8682">
        <v>-2.1198899999999901</v>
      </c>
      <c r="AF8682">
        <v>1.46128844296134</v>
      </c>
      <c r="AG8682">
        <v>-1.1206626014518899</v>
      </c>
      <c r="AH8682">
        <v>43.776278340852798</v>
      </c>
      <c r="AI8682">
        <v>91.4656224452293</v>
      </c>
      <c r="AJ8682">
        <v>88.088129314676905</v>
      </c>
      <c r="AK8682">
        <v>43.8149950810867</v>
      </c>
      <c r="AL8682">
        <v>92.668029270940394</v>
      </c>
      <c r="AM8682">
        <v>92.406867073906497</v>
      </c>
      <c r="AN8682">
        <v>1.0000000351804501</v>
      </c>
    </row>
    <row r="8683" spans="1:40" x14ac:dyDescent="0.25">
      <c r="A8683" t="str">
        <f>"20190303154013174"</f>
        <v>20190303154013174</v>
      </c>
      <c r="B8683" t="str">
        <f>"1551598813167161"</f>
        <v>1551598813167161</v>
      </c>
      <c r="C8683" t="s">
        <v>40</v>
      </c>
      <c r="D8683">
        <v>4.5479890000000003</v>
      </c>
      <c r="E8683">
        <v>0.52874030000000005</v>
      </c>
      <c r="F8683" t="s">
        <v>90</v>
      </c>
      <c r="G8683">
        <v>-211.23349999999999</v>
      </c>
      <c r="H8683" s="1">
        <v>-7.3808140000000005E-7</v>
      </c>
      <c r="I8683">
        <v>-65.043499999999995</v>
      </c>
      <c r="J8683">
        <v>-254.51929999999999</v>
      </c>
      <c r="K8683">
        <v>1.120727</v>
      </c>
      <c r="L8683">
        <v>-62.930300000000003</v>
      </c>
      <c r="M8683">
        <v>0.99986030000000004</v>
      </c>
      <c r="N8683">
        <v>-7.7584709999999899E-3</v>
      </c>
      <c r="O8683">
        <v>-1.4806349999999999E-2</v>
      </c>
      <c r="P8683">
        <v>0.9981662</v>
      </c>
      <c r="Q8683">
        <v>-5.4187480000000003E-2</v>
      </c>
      <c r="R8683">
        <v>2.698536E-2</v>
      </c>
      <c r="S8683">
        <v>3.0052490000000001</v>
      </c>
      <c r="T8683">
        <v>-7.7499269999999995E-2</v>
      </c>
      <c r="U8683">
        <v>-0.1463013</v>
      </c>
      <c r="V8683">
        <v>-4.1733970000000002E-2</v>
      </c>
      <c r="W8683">
        <v>-4.6470579999999997E-2</v>
      </c>
      <c r="X8683">
        <v>0.99804749999999998</v>
      </c>
      <c r="Y8683">
        <v>3.3817529999999998E-2</v>
      </c>
      <c r="Z8683">
        <v>-3.0032350000000003E-4</v>
      </c>
      <c r="AA8683">
        <v>0.99942799999999998</v>
      </c>
      <c r="AB8683">
        <v>27</v>
      </c>
      <c r="AC8683">
        <v>43.285800000000002</v>
      </c>
      <c r="AD8683">
        <v>-1.1207277380814</v>
      </c>
      <c r="AE8683">
        <v>-2.1131999999999902</v>
      </c>
      <c r="AF8683">
        <v>1.4710605571076001</v>
      </c>
      <c r="AG8683">
        <v>-1.1207277380814</v>
      </c>
      <c r="AH8683">
        <v>43.283397892560899</v>
      </c>
      <c r="AI8683">
        <v>91.482360416278397</v>
      </c>
      <c r="AJ8683">
        <v>88.053453858917706</v>
      </c>
      <c r="AK8683">
        <v>43.322887518623801</v>
      </c>
      <c r="AL8683">
        <v>92.6635272788116</v>
      </c>
      <c r="AM8683">
        <v>92.394463297252997</v>
      </c>
      <c r="AN8683">
        <v>1.00000002565687</v>
      </c>
    </row>
    <row r="8684" spans="1:40" x14ac:dyDescent="0.25">
      <c r="A8684" t="str">
        <f>"20190303154013186"</f>
        <v>20190303154013186</v>
      </c>
      <c r="B8684" t="str">
        <f>"1551598813176921"</f>
        <v>1551598813176921</v>
      </c>
      <c r="C8684" t="s">
        <v>40</v>
      </c>
      <c r="D8684">
        <v>4.5197320000000003</v>
      </c>
      <c r="E8684">
        <v>0.52886250000000001</v>
      </c>
      <c r="F8684" t="s">
        <v>63</v>
      </c>
      <c r="G8684">
        <v>-207.60740000000001</v>
      </c>
      <c r="H8684" s="1">
        <v>-2.1923190000000001E-6</v>
      </c>
      <c r="I8684">
        <v>-65.255200000000002</v>
      </c>
      <c r="J8684">
        <v>-254.36240000000001</v>
      </c>
      <c r="K8684">
        <v>1.1207879999999999</v>
      </c>
      <c r="L8684">
        <v>-62.932400000000001</v>
      </c>
      <c r="M8684">
        <v>0.99986030000000004</v>
      </c>
      <c r="N8684">
        <v>-8.1327129999999997E-3</v>
      </c>
      <c r="O8684">
        <v>-1.46109E-2</v>
      </c>
      <c r="P8684">
        <v>0.99815209999999999</v>
      </c>
      <c r="Q8684">
        <v>-5.4435549999999999E-2</v>
      </c>
      <c r="R8684">
        <v>2.7013269999999999E-2</v>
      </c>
      <c r="S8684">
        <v>3.005646</v>
      </c>
      <c r="T8684">
        <v>-7.180512E-2</v>
      </c>
      <c r="U8684">
        <v>-0.14895630000000001</v>
      </c>
      <c r="V8684">
        <v>-4.1567170000000001E-2</v>
      </c>
      <c r="W8684">
        <v>-4.6344940000000001E-2</v>
      </c>
      <c r="X8684">
        <v>0.99806030000000001</v>
      </c>
      <c r="Y8684">
        <v>3.4887830000000002E-2</v>
      </c>
      <c r="Z8684">
        <v>-3.2841160000000001E-4</v>
      </c>
      <c r="AA8684">
        <v>0.99939120000000004</v>
      </c>
      <c r="AB8684">
        <v>27</v>
      </c>
      <c r="AC8684">
        <v>46.755000000000003</v>
      </c>
      <c r="AD8684">
        <v>-1.12079019231899</v>
      </c>
      <c r="AE8684">
        <v>-2.3228</v>
      </c>
      <c r="AF8684">
        <v>1.63845769801951</v>
      </c>
      <c r="AG8684">
        <v>-1.12079019231899</v>
      </c>
      <c r="AH8684">
        <v>46.757145961243602</v>
      </c>
      <c r="AI8684">
        <v>91.372301142515596</v>
      </c>
      <c r="AJ8684">
        <v>87.993070094213607</v>
      </c>
      <c r="AK8684">
        <v>46.799267224225197</v>
      </c>
      <c r="AL8684">
        <v>92.6563208806229</v>
      </c>
      <c r="AM8684">
        <v>92.384873761628199</v>
      </c>
      <c r="AN8684">
        <v>1.00000002276075</v>
      </c>
    </row>
    <row r="8685" spans="1:40" x14ac:dyDescent="0.25">
      <c r="A8685" t="str">
        <f>"20190303154013198"</f>
        <v>20190303154013198</v>
      </c>
      <c r="B8685" t="str">
        <f>"1551598813186682"</f>
        <v>1551598813186682</v>
      </c>
      <c r="C8685" t="s">
        <v>40</v>
      </c>
      <c r="D8685">
        <v>4.4760960000000001</v>
      </c>
      <c r="E8685">
        <v>0.52901039999999999</v>
      </c>
      <c r="F8685" t="s">
        <v>63</v>
      </c>
      <c r="G8685">
        <v>-205.8244</v>
      </c>
      <c r="H8685" s="1">
        <v>-3.3176939999999999E-6</v>
      </c>
      <c r="I8685">
        <v>-65.35351</v>
      </c>
      <c r="J8685">
        <v>-254.2285</v>
      </c>
      <c r="K8685">
        <v>1.120835</v>
      </c>
      <c r="L8685">
        <v>-62.934170000000002</v>
      </c>
      <c r="M8685">
        <v>0.99985990000000002</v>
      </c>
      <c r="N8685">
        <v>-8.4710289999999997E-3</v>
      </c>
      <c r="O8685">
        <v>-1.4438650000000001E-2</v>
      </c>
      <c r="P8685">
        <v>0.99813940000000001</v>
      </c>
      <c r="Q8685">
        <v>-5.4582489999999997E-2</v>
      </c>
      <c r="R8685">
        <v>2.71787E-2</v>
      </c>
      <c r="S8685">
        <v>3.0058440000000002</v>
      </c>
      <c r="T8685">
        <v>-6.9407940000000001E-2</v>
      </c>
      <c r="U8685">
        <v>-0.14993290000000001</v>
      </c>
      <c r="V8685">
        <v>-4.1560880000000001E-2</v>
      </c>
      <c r="W8685">
        <v>-4.6153909999999999E-2</v>
      </c>
      <c r="X8685">
        <v>0.9980694</v>
      </c>
      <c r="Y8685">
        <v>3.5380759999999997E-2</v>
      </c>
      <c r="Z8685">
        <v>-3.472867E-4</v>
      </c>
      <c r="AA8685">
        <v>0.99937390000000004</v>
      </c>
      <c r="AB8685">
        <v>27</v>
      </c>
      <c r="AC8685">
        <v>48.4041</v>
      </c>
      <c r="AD8685">
        <v>-1.120838317694</v>
      </c>
      <c r="AE8685">
        <v>-2.41934</v>
      </c>
      <c r="AF8685">
        <v>1.71925331084959</v>
      </c>
      <c r="AG8685">
        <v>-1.120838317694</v>
      </c>
      <c r="AH8685">
        <v>48.408095688459397</v>
      </c>
      <c r="AI8685">
        <v>91.325550808683403</v>
      </c>
      <c r="AJ8685">
        <v>87.965948237847996</v>
      </c>
      <c r="AK8685">
        <v>48.451582416514697</v>
      </c>
      <c r="AL8685">
        <v>92.645363980587305</v>
      </c>
      <c r="AM8685">
        <v>92.384491579969804</v>
      </c>
      <c r="AN8685">
        <v>1.0000000086855101</v>
      </c>
    </row>
    <row r="8686" spans="1:40" x14ac:dyDescent="0.25">
      <c r="A8686" t="str">
        <f>"20190303154013210"</f>
        <v>20190303154013210</v>
      </c>
      <c r="B8686" t="str">
        <f>"1551598813197417"</f>
        <v>1551598813197417</v>
      </c>
      <c r="C8686" t="s">
        <v>40</v>
      </c>
      <c r="D8686">
        <v>4.4733830000000001</v>
      </c>
      <c r="E8686">
        <v>0.52911850000000005</v>
      </c>
      <c r="F8686" t="s">
        <v>63</v>
      </c>
      <c r="G8686">
        <v>-204.01509999999999</v>
      </c>
      <c r="H8686" s="1">
        <v>-4.2091909999999998E-6</v>
      </c>
      <c r="I8686">
        <v>-65.449929999999995</v>
      </c>
      <c r="J8686">
        <v>-254.0966</v>
      </c>
      <c r="K8686">
        <v>1.1208819999999999</v>
      </c>
      <c r="L8686">
        <v>-62.935879999999997</v>
      </c>
      <c r="M8686">
        <v>0.99985950000000001</v>
      </c>
      <c r="N8686">
        <v>-8.8089899999999992E-3</v>
      </c>
      <c r="O8686">
        <v>-1.4267780000000001E-2</v>
      </c>
      <c r="P8686">
        <v>0.99812449999999997</v>
      </c>
      <c r="Q8686">
        <v>-5.4765250000000001E-2</v>
      </c>
      <c r="R8686">
        <v>2.735636E-2</v>
      </c>
      <c r="S8686">
        <v>3.0059969999999998</v>
      </c>
      <c r="T8686">
        <v>-6.7098500000000005E-2</v>
      </c>
      <c r="U8686">
        <v>-0.15060419999999999</v>
      </c>
      <c r="V8686">
        <v>-4.156878E-2</v>
      </c>
      <c r="W8686">
        <v>-4.5999020000000002E-2</v>
      </c>
      <c r="X8686">
        <v>0.99807619999999997</v>
      </c>
      <c r="Y8686">
        <v>3.5771850000000001E-2</v>
      </c>
      <c r="Z8686">
        <v>-3.6403809999999999E-4</v>
      </c>
      <c r="AA8686">
        <v>0.99935989999999997</v>
      </c>
      <c r="AB8686">
        <v>27</v>
      </c>
      <c r="AC8686">
        <v>50.081499999999998</v>
      </c>
      <c r="AD8686">
        <v>-1.1208862091909999</v>
      </c>
      <c r="AE8686">
        <v>-2.5140500000000001</v>
      </c>
      <c r="AF8686">
        <v>1.7983160442764301</v>
      </c>
      <c r="AG8686">
        <v>-1.1208862091909999</v>
      </c>
      <c r="AH8686">
        <v>50.087246473691501</v>
      </c>
      <c r="AI8686">
        <v>91.281164430414904</v>
      </c>
      <c r="AJ8686">
        <v>87.943754400541906</v>
      </c>
      <c r="AK8686">
        <v>50.132051482114498</v>
      </c>
      <c r="AL8686">
        <v>92.636480058626404</v>
      </c>
      <c r="AM8686">
        <v>92.384928076884194</v>
      </c>
      <c r="AN8686">
        <v>0.99999998715904403</v>
      </c>
    </row>
    <row r="8687" spans="1:40" x14ac:dyDescent="0.25">
      <c r="A8687" t="str">
        <f>"20190303154013219"</f>
        <v>20190303154013219</v>
      </c>
      <c r="B8687" t="str">
        <f>"1551598813207176"</f>
        <v>1551598813207176</v>
      </c>
      <c r="C8687" t="s">
        <v>40</v>
      </c>
      <c r="D8687">
        <v>4.5167970000000004</v>
      </c>
      <c r="E8687">
        <v>0.52929689999999996</v>
      </c>
      <c r="F8687" t="s">
        <v>63</v>
      </c>
      <c r="G8687">
        <v>-202.46250000000001</v>
      </c>
      <c r="H8687" s="1">
        <v>-4.7591750000000001E-6</v>
      </c>
      <c r="I8687">
        <v>-65.528930000000003</v>
      </c>
      <c r="J8687">
        <v>-253.9725</v>
      </c>
      <c r="K8687">
        <v>1.120927</v>
      </c>
      <c r="L8687">
        <v>-62.937469999999998</v>
      </c>
      <c r="M8687">
        <v>0.99985889999999999</v>
      </c>
      <c r="N8687">
        <v>-9.1304309999999996E-3</v>
      </c>
      <c r="O8687">
        <v>-1.410166E-2</v>
      </c>
      <c r="P8687">
        <v>0.99810670000000001</v>
      </c>
      <c r="Q8687">
        <v>-5.4937590000000001E-2</v>
      </c>
      <c r="R8687">
        <v>2.7659030000000001E-2</v>
      </c>
      <c r="S8687">
        <v>3.006195</v>
      </c>
      <c r="T8687">
        <v>-6.5259339999999999E-2</v>
      </c>
      <c r="U8687">
        <v>-0.15097049999999901</v>
      </c>
      <c r="V8687">
        <v>-4.1705649999999997E-2</v>
      </c>
      <c r="W8687">
        <v>-4.5850340000000003E-2</v>
      </c>
      <c r="X8687">
        <v>0.99807729999999995</v>
      </c>
      <c r="Y8687">
        <v>3.6056150000000002E-2</v>
      </c>
      <c r="Z8687">
        <v>-3.7862719999999999E-4</v>
      </c>
      <c r="AA8687">
        <v>0.99934970000000001</v>
      </c>
      <c r="AB8687">
        <v>26</v>
      </c>
      <c r="AC8687">
        <v>51.509999999999899</v>
      </c>
      <c r="AD8687">
        <v>-1.1209317591750001</v>
      </c>
      <c r="AE8687">
        <v>-2.5914600000000001</v>
      </c>
      <c r="AF8687">
        <v>1.8639150828248801</v>
      </c>
      <c r="AG8687">
        <v>-1.1209317591750001</v>
      </c>
      <c r="AH8687">
        <v>51.517088319498399</v>
      </c>
      <c r="AI8687">
        <v>91.245655639335496</v>
      </c>
      <c r="AJ8687">
        <v>87.927912686693702</v>
      </c>
      <c r="AK8687">
        <v>51.562981453400397</v>
      </c>
      <c r="AL8687">
        <v>92.627952406786093</v>
      </c>
      <c r="AM8687">
        <v>92.392768981338307</v>
      </c>
      <c r="AN8687">
        <v>0.99999995584766299</v>
      </c>
    </row>
    <row r="8688" spans="1:40" x14ac:dyDescent="0.25">
      <c r="A8688" t="str">
        <f>"20190303154013228"</f>
        <v>20190303154013228</v>
      </c>
      <c r="B8688" t="str">
        <f>"1551598813216938"</f>
        <v>1551598813216938</v>
      </c>
      <c r="C8688" t="s">
        <v>40</v>
      </c>
      <c r="D8688">
        <v>4.4871860000000003</v>
      </c>
      <c r="E8688">
        <v>0.52945209999999998</v>
      </c>
      <c r="F8688" t="s">
        <v>63</v>
      </c>
      <c r="G8688">
        <v>-200.9178</v>
      </c>
      <c r="H8688" s="1">
        <v>-5.5384269999999999E-6</v>
      </c>
      <c r="I8688">
        <v>-65.610849999999999</v>
      </c>
      <c r="J8688">
        <v>-253.86490000000001</v>
      </c>
      <c r="K8688">
        <v>1.120962</v>
      </c>
      <c r="L8688">
        <v>-62.938870000000001</v>
      </c>
      <c r="M8688">
        <v>0.99985849999999998</v>
      </c>
      <c r="N8688">
        <v>-9.4091599999999997E-3</v>
      </c>
      <c r="O8688">
        <v>-1.395769E-2</v>
      </c>
      <c r="P8688">
        <v>0.99809829999999999</v>
      </c>
      <c r="Q8688">
        <v>-5.4977730000000002E-2</v>
      </c>
      <c r="R8688">
        <v>2.7888E-2</v>
      </c>
      <c r="S8688">
        <v>3.0063780000000002</v>
      </c>
      <c r="T8688">
        <v>-6.3518400000000003E-2</v>
      </c>
      <c r="U8688">
        <v>-0.15148929999999999</v>
      </c>
      <c r="V8688">
        <v>-4.1791780000000001E-2</v>
      </c>
      <c r="W8688">
        <v>-4.5612050000000001E-2</v>
      </c>
      <c r="X8688">
        <v>0.99808470000000005</v>
      </c>
      <c r="Y8688">
        <v>3.6369159999999998E-2</v>
      </c>
      <c r="Z8688">
        <v>-3.9176960000000002E-4</v>
      </c>
      <c r="AA8688">
        <v>0.99933830000000001</v>
      </c>
      <c r="AB8688">
        <v>26</v>
      </c>
      <c r="AC8688">
        <v>52.947099999999999</v>
      </c>
      <c r="AD8688">
        <v>-1.1209675384269999</v>
      </c>
      <c r="AE8688">
        <v>-2.67198</v>
      </c>
      <c r="AF8688">
        <v>1.9318042086864</v>
      </c>
      <c r="AG8688">
        <v>-1.1209675384269999</v>
      </c>
      <c r="AH8688">
        <v>52.955562087345399</v>
      </c>
      <c r="AI8688">
        <v>91.211854659446104</v>
      </c>
      <c r="AJ8688">
        <v>87.910792287228503</v>
      </c>
      <c r="AK8688">
        <v>53.002641365403598</v>
      </c>
      <c r="AL8688">
        <v>92.614284875242106</v>
      </c>
      <c r="AM8688">
        <v>92.3976869811124</v>
      </c>
      <c r="AN8688">
        <v>1.0000000401774201</v>
      </c>
    </row>
    <row r="8689" spans="1:40" x14ac:dyDescent="0.25">
      <c r="A8689" t="str">
        <f>"20190303154013238"</f>
        <v>20190303154013238</v>
      </c>
      <c r="B8689" t="str">
        <f>"1551598813226697"</f>
        <v>1551598813226697</v>
      </c>
      <c r="C8689" t="s">
        <v>40</v>
      </c>
      <c r="D8689">
        <v>4.4826309999999996</v>
      </c>
      <c r="E8689">
        <v>0.52965099999999998</v>
      </c>
      <c r="F8689" t="s">
        <v>63</v>
      </c>
      <c r="G8689">
        <v>-198.83109999999999</v>
      </c>
      <c r="H8689" s="1">
        <v>-6.4930460000000003E-6</v>
      </c>
      <c r="I8689">
        <v>-65.723529999999997</v>
      </c>
      <c r="J8689">
        <v>-253.75880000000001</v>
      </c>
      <c r="K8689">
        <v>1.1209929999999999</v>
      </c>
      <c r="L8689">
        <v>-62.940190000000001</v>
      </c>
      <c r="M8689">
        <v>0.99985780000000002</v>
      </c>
      <c r="N8689">
        <v>-9.6739270000000006E-3</v>
      </c>
      <c r="O8689">
        <v>-1.381392E-2</v>
      </c>
      <c r="P8689">
        <v>0.99808520000000001</v>
      </c>
      <c r="Q8689">
        <v>-5.5034020000000003E-2</v>
      </c>
      <c r="R8689">
        <v>2.8237749999999999E-2</v>
      </c>
      <c r="S8689">
        <v>3.0065919999999999</v>
      </c>
      <c r="T8689">
        <v>-6.1240429999999998E-2</v>
      </c>
      <c r="U8689">
        <v>-0.15213009999999999</v>
      </c>
      <c r="V8689">
        <v>-4.1997779999999998E-2</v>
      </c>
      <c r="W8689">
        <v>-4.5404159999999999E-2</v>
      </c>
      <c r="X8689">
        <v>0.99808549999999996</v>
      </c>
      <c r="Y8689">
        <v>3.6722039999999997E-2</v>
      </c>
      <c r="Z8689">
        <v>-4.039092E-4</v>
      </c>
      <c r="AA8689">
        <v>0.99932549999999998</v>
      </c>
      <c r="AB8689">
        <v>26</v>
      </c>
      <c r="AC8689">
        <v>54.927700000000002</v>
      </c>
      <c r="AD8689">
        <v>-1.1209994930460001</v>
      </c>
      <c r="AE8689">
        <v>-2.7833399999999999</v>
      </c>
      <c r="AF8689">
        <v>2.02343142255708</v>
      </c>
      <c r="AG8689">
        <v>-1.1209994930460001</v>
      </c>
      <c r="AH8689">
        <v>54.9380853300041</v>
      </c>
      <c r="AI8689">
        <v>91.168153677320703</v>
      </c>
      <c r="AJ8689">
        <v>87.8906854902921</v>
      </c>
      <c r="AK8689">
        <v>54.986763264553097</v>
      </c>
      <c r="AL8689">
        <v>92.602361385951696</v>
      </c>
      <c r="AM8689">
        <v>92.409489833144804</v>
      </c>
      <c r="AN8689">
        <v>1.0000000082902401</v>
      </c>
    </row>
    <row r="8690" spans="1:40" x14ac:dyDescent="0.25">
      <c r="A8690" t="str">
        <f>"20190303154013246"</f>
        <v>20190303154013246</v>
      </c>
      <c r="B8690" t="str">
        <f>"1551598813237433"</f>
        <v>1551598813237433</v>
      </c>
      <c r="C8690" t="s">
        <v>40</v>
      </c>
      <c r="D8690">
        <v>4.4601100000000002</v>
      </c>
      <c r="E8690">
        <v>0.5298062</v>
      </c>
      <c r="F8690" t="s">
        <v>63</v>
      </c>
      <c r="G8690">
        <v>-196.52600000000001</v>
      </c>
      <c r="H8690" s="1">
        <v>-7.4390920000000003E-6</v>
      </c>
      <c r="I8690">
        <v>-65.846900000000005</v>
      </c>
      <c r="J8690">
        <v>-253.65440000000001</v>
      </c>
      <c r="K8690">
        <v>1.1210260000000001</v>
      </c>
      <c r="L8690">
        <v>-62.941499999999998</v>
      </c>
      <c r="M8690">
        <v>0.9998572</v>
      </c>
      <c r="N8690">
        <v>-9.9342010000000001E-3</v>
      </c>
      <c r="O8690">
        <v>-1.367256E-2</v>
      </c>
      <c r="P8690">
        <v>0.99806910000000004</v>
      </c>
      <c r="Q8690">
        <v>-5.5163200000000003E-2</v>
      </c>
      <c r="R8690">
        <v>2.8553490000000001E-2</v>
      </c>
      <c r="S8690">
        <v>3.0068359999999998</v>
      </c>
      <c r="T8690">
        <v>-5.8893920000000002E-2</v>
      </c>
      <c r="U8690">
        <v>-0.15270999999999901</v>
      </c>
      <c r="V8690">
        <v>-4.2172689999999999E-2</v>
      </c>
      <c r="W8690">
        <v>-4.5273639999999997E-2</v>
      </c>
      <c r="X8690">
        <v>0.99808410000000003</v>
      </c>
      <c r="Y8690">
        <v>3.7051800000000003E-2</v>
      </c>
      <c r="Z8690">
        <v>-4.1496000000000003E-4</v>
      </c>
      <c r="AA8690">
        <v>0.99931320000000001</v>
      </c>
      <c r="AB8690">
        <v>26</v>
      </c>
      <c r="AC8690">
        <v>57.128399999999999</v>
      </c>
      <c r="AD8690">
        <v>-1.121033439092</v>
      </c>
      <c r="AE8690">
        <v>-2.9054000000000002</v>
      </c>
      <c r="AF8690">
        <v>2.1231829387662402</v>
      </c>
      <c r="AG8690">
        <v>-1.121033439092</v>
      </c>
      <c r="AH8690">
        <v>57.140839556726696</v>
      </c>
      <c r="AI8690">
        <v>91.123154116103805</v>
      </c>
      <c r="AJ8690">
        <v>87.872038913556693</v>
      </c>
      <c r="AK8690">
        <v>57.191259533346603</v>
      </c>
      <c r="AL8690">
        <v>92.594875322892307</v>
      </c>
      <c r="AM8690">
        <v>92.4195162302764</v>
      </c>
      <c r="AN8690">
        <v>1.00000005446674</v>
      </c>
    </row>
    <row r="8691" spans="1:40" x14ac:dyDescent="0.25">
      <c r="A8691" t="str">
        <f>"20190303154013257"</f>
        <v>20190303154013257</v>
      </c>
      <c r="B8691" t="str">
        <f>"1551598813247193"</f>
        <v>1551598813247193</v>
      </c>
      <c r="C8691" t="s">
        <v>40</v>
      </c>
      <c r="D8691">
        <v>4.4558010000000001</v>
      </c>
      <c r="E8691">
        <v>0.52992669999999997</v>
      </c>
      <c r="F8691" t="s">
        <v>63</v>
      </c>
      <c r="G8691">
        <v>-194.8879</v>
      </c>
      <c r="H8691" s="1">
        <v>-8.1297499999999995E-6</v>
      </c>
      <c r="I8691">
        <v>-65.933099999999996</v>
      </c>
      <c r="J8691">
        <v>-253.5275</v>
      </c>
      <c r="K8691">
        <v>1.1210599999999999</v>
      </c>
      <c r="L8691">
        <v>-62.943049999999999</v>
      </c>
      <c r="M8691">
        <v>0.99985650000000004</v>
      </c>
      <c r="N8691">
        <v>-1.023399E-2</v>
      </c>
      <c r="O8691">
        <v>-1.3500989999999999E-2</v>
      </c>
      <c r="P8691">
        <v>0.99803430000000004</v>
      </c>
      <c r="Q8691">
        <v>-5.5637199999999998E-2</v>
      </c>
      <c r="R8691">
        <v>2.884631E-2</v>
      </c>
      <c r="S8691">
        <v>3.0070039999999998</v>
      </c>
      <c r="T8691">
        <v>-5.7361839999999997E-2</v>
      </c>
      <c r="U8691">
        <v>-0.1530762</v>
      </c>
      <c r="V8691">
        <v>-4.2293709999999998E-2</v>
      </c>
      <c r="W8691">
        <v>-4.5448839999999997E-2</v>
      </c>
      <c r="X8691">
        <v>0.99807100000000004</v>
      </c>
      <c r="Y8691">
        <v>3.7341949999999999E-2</v>
      </c>
      <c r="Z8691">
        <v>-4.2790450000000001E-4</v>
      </c>
      <c r="AA8691">
        <v>0.99930240000000004</v>
      </c>
      <c r="AB8691">
        <v>26</v>
      </c>
      <c r="AC8691">
        <v>58.639600000000002</v>
      </c>
      <c r="AD8691">
        <v>-1.12106812975</v>
      </c>
      <c r="AE8691">
        <v>-2.9900499999999899</v>
      </c>
      <c r="AF8691">
        <v>2.1972423485963599</v>
      </c>
      <c r="AG8691">
        <v>-1.12106812975</v>
      </c>
      <c r="AH8691">
        <v>58.653243725618601</v>
      </c>
      <c r="AI8691">
        <v>91.0942215806961</v>
      </c>
      <c r="AJ8691">
        <v>87.854613600534606</v>
      </c>
      <c r="AK8691">
        <v>58.705090641500803</v>
      </c>
      <c r="AL8691">
        <v>92.604923929344395</v>
      </c>
      <c r="AM8691">
        <v>92.426482868816507</v>
      </c>
      <c r="AN8691">
        <v>1.00000003800195</v>
      </c>
    </row>
    <row r="8692" spans="1:40" x14ac:dyDescent="0.25">
      <c r="A8692" t="str">
        <f>"20190303154013268"</f>
        <v>20190303154013268</v>
      </c>
      <c r="B8692" t="str">
        <f>"1551598813256953"</f>
        <v>1551598813256953</v>
      </c>
      <c r="C8692" t="s">
        <v>40</v>
      </c>
      <c r="D8692">
        <v>4.4932109999999996</v>
      </c>
      <c r="E8692">
        <v>0.53004399999999996</v>
      </c>
      <c r="F8692" t="s">
        <v>63</v>
      </c>
      <c r="G8692">
        <v>-194.52709999999999</v>
      </c>
      <c r="H8692" s="1">
        <v>-8.2887829999999995E-6</v>
      </c>
      <c r="I8692">
        <v>-65.948219999999907</v>
      </c>
      <c r="J8692">
        <v>-253.3964</v>
      </c>
      <c r="K8692">
        <v>1.121094</v>
      </c>
      <c r="L8692">
        <v>-62.94464</v>
      </c>
      <c r="M8692">
        <v>0.99985579999999996</v>
      </c>
      <c r="N8692">
        <v>-1.053871E-2</v>
      </c>
      <c r="O8692">
        <v>-1.332412E-2</v>
      </c>
      <c r="P8692">
        <v>0.99800489999999997</v>
      </c>
      <c r="Q8692">
        <v>-5.598678E-2</v>
      </c>
      <c r="R8692">
        <v>2.9190310000000001E-2</v>
      </c>
      <c r="S8692">
        <v>3.0071409999999998</v>
      </c>
      <c r="T8692">
        <v>-5.7138799999999997E-2</v>
      </c>
      <c r="U8692">
        <v>-0.15316769999999999</v>
      </c>
      <c r="V8692">
        <v>-4.2460669999999999E-2</v>
      </c>
      <c r="W8692">
        <v>-4.549475E-2</v>
      </c>
      <c r="X8692">
        <v>0.9980618</v>
      </c>
      <c r="Y8692">
        <v>3.754656E-2</v>
      </c>
      <c r="Z8692">
        <v>-4.4183930000000002E-4</v>
      </c>
      <c r="AA8692">
        <v>0.99929480000000004</v>
      </c>
      <c r="AB8692">
        <v>26</v>
      </c>
      <c r="AC8692">
        <v>58.869300000000003</v>
      </c>
      <c r="AD8692">
        <v>-1.121102288783</v>
      </c>
      <c r="AE8692">
        <v>-3.0035799999999901</v>
      </c>
      <c r="AF8692">
        <v>2.2180859016245398</v>
      </c>
      <c r="AG8692">
        <v>-1.121102288783</v>
      </c>
      <c r="AH8692">
        <v>58.882796238277102</v>
      </c>
      <c r="AI8692">
        <v>91.089981530165105</v>
      </c>
      <c r="AJ8692">
        <v>87.842716239383407</v>
      </c>
      <c r="AK8692">
        <v>58.935222645268396</v>
      </c>
      <c r="AL8692">
        <v>92.607557152549404</v>
      </c>
      <c r="AM8692">
        <v>92.436072641186897</v>
      </c>
      <c r="AN8692">
        <v>1.0000000186968201</v>
      </c>
    </row>
    <row r="8693" spans="1:40" x14ac:dyDescent="0.25">
      <c r="A8693" t="str">
        <f>"20190303154013281"</f>
        <v>20190303154013281</v>
      </c>
      <c r="B8693" t="str">
        <f>"1551598813277450"</f>
        <v>1551598813277450</v>
      </c>
      <c r="C8693" t="s">
        <v>40</v>
      </c>
      <c r="D8693">
        <v>4.4796829999999996</v>
      </c>
      <c r="E8693">
        <v>0.52949349999999995</v>
      </c>
      <c r="F8693" t="s">
        <v>63</v>
      </c>
      <c r="G8693">
        <v>-193.8776</v>
      </c>
      <c r="H8693" s="1">
        <v>-8.5750619999999997E-6</v>
      </c>
      <c r="I8693">
        <v>-65.975449999999995</v>
      </c>
      <c r="J8693">
        <v>-253.2621</v>
      </c>
      <c r="K8693">
        <v>1.1211199999999999</v>
      </c>
      <c r="L8693">
        <v>-62.94623</v>
      </c>
      <c r="M8693">
        <v>0.99985500000000005</v>
      </c>
      <c r="N8693">
        <v>-1.0825950000000001E-2</v>
      </c>
      <c r="O8693">
        <v>-1.314324E-2</v>
      </c>
      <c r="P8693">
        <v>0.99797389999999997</v>
      </c>
      <c r="Q8693">
        <v>-5.6309369999999997E-2</v>
      </c>
      <c r="R8693">
        <v>2.96241E-2</v>
      </c>
      <c r="S8693">
        <v>3.0072939999999999</v>
      </c>
      <c r="T8693">
        <v>-5.6645750000000002E-2</v>
      </c>
      <c r="U8693">
        <v>-0.1531372</v>
      </c>
      <c r="V8693">
        <v>-4.271283E-2</v>
      </c>
      <c r="W8693">
        <v>-4.5531439999999999E-2</v>
      </c>
      <c r="X8693">
        <v>0.99804930000000003</v>
      </c>
      <c r="Y8693">
        <v>3.7714539999999998E-2</v>
      </c>
      <c r="Z8693">
        <v>-4.5410140000000002E-4</v>
      </c>
      <c r="AA8693">
        <v>0.99928839999999997</v>
      </c>
      <c r="AB8693">
        <v>26</v>
      </c>
      <c r="AC8693">
        <v>59.384500000000003</v>
      </c>
      <c r="AD8693">
        <v>-1.1211285750619999</v>
      </c>
      <c r="AE8693">
        <v>-3.02921999999998</v>
      </c>
      <c r="AF8693">
        <v>2.2476088079624201</v>
      </c>
      <c r="AG8693">
        <v>-1.1211285750619999</v>
      </c>
      <c r="AH8693">
        <v>59.398070254934296</v>
      </c>
      <c r="AI8693">
        <v>91.080546664624805</v>
      </c>
      <c r="AJ8693">
        <v>87.832975260567395</v>
      </c>
      <c r="AK8693">
        <v>59.4511515838471</v>
      </c>
      <c r="AL8693">
        <v>92.609661690667394</v>
      </c>
      <c r="AM8693">
        <v>92.450552747912397</v>
      </c>
      <c r="AN8693">
        <v>0.99999995155278498</v>
      </c>
    </row>
    <row r="8694" spans="1:40" x14ac:dyDescent="0.25">
      <c r="A8694" t="str">
        <f>"20190303154013292"</f>
        <v>20190303154013292</v>
      </c>
      <c r="B8694" t="str">
        <f>"1551598813287209"</f>
        <v>1551598813287209</v>
      </c>
      <c r="C8694" t="s">
        <v>40</v>
      </c>
      <c r="D8694">
        <v>4.4737169999999997</v>
      </c>
      <c r="E8694">
        <v>0.52949349999999995</v>
      </c>
      <c r="F8694" t="s">
        <v>63</v>
      </c>
      <c r="G8694">
        <v>-196.7876</v>
      </c>
      <c r="H8694" s="1">
        <v>-7.324918E-6</v>
      </c>
      <c r="I8694">
        <v>-65.715609999999998</v>
      </c>
      <c r="J8694">
        <v>-253.13059999999999</v>
      </c>
      <c r="K8694">
        <v>1.121146</v>
      </c>
      <c r="L8694">
        <v>-62.947780000000002</v>
      </c>
      <c r="M8694">
        <v>0.99985440000000003</v>
      </c>
      <c r="N8694">
        <v>-1.110158E-2</v>
      </c>
      <c r="O8694">
        <v>-1.29658E-2</v>
      </c>
      <c r="P8694">
        <v>0.99794510000000003</v>
      </c>
      <c r="Q8694">
        <v>-5.6618420000000003E-2</v>
      </c>
      <c r="R8694">
        <v>3.0002170000000002E-2</v>
      </c>
      <c r="S8694">
        <v>3.0070950000000001</v>
      </c>
      <c r="T8694">
        <v>-5.9696560000000003E-2</v>
      </c>
      <c r="U8694">
        <v>-0.14746090000000001</v>
      </c>
      <c r="V8694">
        <v>-4.2913590000000001E-2</v>
      </c>
      <c r="W8694">
        <v>-4.5566179999999998E-2</v>
      </c>
      <c r="X8694">
        <v>0.99803909999999996</v>
      </c>
      <c r="Y8694">
        <v>3.6013120000000003E-2</v>
      </c>
      <c r="Z8694">
        <v>-4.439496E-4</v>
      </c>
      <c r="AA8694">
        <v>0.9993512</v>
      </c>
      <c r="AB8694">
        <v>26</v>
      </c>
      <c r="AC8694">
        <v>56.342999999999897</v>
      </c>
      <c r="AD8694">
        <v>-1.1211533249179999</v>
      </c>
      <c r="AE8694">
        <v>-2.7678299999999898</v>
      </c>
      <c r="AF8694">
        <v>2.03621596643936</v>
      </c>
      <c r="AG8694">
        <v>-1.1211533249179999</v>
      </c>
      <c r="AH8694">
        <v>56.351893274805398</v>
      </c>
      <c r="AI8694">
        <v>91.139038951046004</v>
      </c>
      <c r="AJ8694">
        <v>87.930578045857104</v>
      </c>
      <c r="AK8694">
        <v>56.399814147699203</v>
      </c>
      <c r="AL8694">
        <v>92.611654220703002</v>
      </c>
      <c r="AM8694">
        <v>92.462081893067605</v>
      </c>
      <c r="AN8694">
        <v>0.999999949047643</v>
      </c>
    </row>
    <row r="8695" spans="1:40" x14ac:dyDescent="0.25">
      <c r="A8695" t="str">
        <f>"20190303154013302"</f>
        <v>20190303154013302</v>
      </c>
      <c r="B8695" t="str">
        <f>"1551598813296968"</f>
        <v>1551598813296968</v>
      </c>
      <c r="C8695" t="s">
        <v>40</v>
      </c>
      <c r="D8695">
        <v>4.4737819999999999</v>
      </c>
      <c r="E8695">
        <v>0.49668289999999998</v>
      </c>
      <c r="F8695" t="s">
        <v>63</v>
      </c>
      <c r="G8695">
        <v>-197.5309</v>
      </c>
      <c r="H8695" s="1">
        <v>-7.0185090000000003E-6</v>
      </c>
      <c r="I8695">
        <v>-65.652769999999904</v>
      </c>
      <c r="J8695">
        <v>-252.9958</v>
      </c>
      <c r="K8695">
        <v>1.1211719999999901</v>
      </c>
      <c r="L8695">
        <v>-62.949339999999999</v>
      </c>
      <c r="M8695">
        <v>0.99985380000000001</v>
      </c>
      <c r="N8695">
        <v>-1.136266E-2</v>
      </c>
      <c r="O8695">
        <v>-1.2782460000000001E-2</v>
      </c>
      <c r="P8695">
        <v>0.997919</v>
      </c>
      <c r="Q8695">
        <v>-5.6763750000000002E-2</v>
      </c>
      <c r="R8695">
        <v>3.058787E-2</v>
      </c>
      <c r="S8695">
        <v>3.0071560000000002</v>
      </c>
      <c r="T8695">
        <v>-6.0638549999999999E-2</v>
      </c>
      <c r="U8695">
        <v>-0.1463013</v>
      </c>
      <c r="V8695">
        <v>-4.3315480000000003E-2</v>
      </c>
      <c r="W8695">
        <v>-4.545188E-2</v>
      </c>
      <c r="X8695">
        <v>0.998027</v>
      </c>
      <c r="Y8695">
        <v>3.5810540000000002E-2</v>
      </c>
      <c r="Z8695">
        <v>-4.5203369999999998E-4</v>
      </c>
      <c r="AA8695">
        <v>0.99935850000000004</v>
      </c>
      <c r="AB8695">
        <v>26</v>
      </c>
      <c r="AC8695">
        <v>55.4649</v>
      </c>
      <c r="AD8695">
        <v>-1.12117901850899</v>
      </c>
      <c r="AE8695">
        <v>-2.7034299999999898</v>
      </c>
      <c r="AF8695">
        <v>1.9933729193704799</v>
      </c>
      <c r="AG8695">
        <v>-1.12117901850899</v>
      </c>
      <c r="AH8695">
        <v>55.472313651451103</v>
      </c>
      <c r="AI8695">
        <v>91.157129709359694</v>
      </c>
      <c r="AJ8695">
        <v>87.941987173077294</v>
      </c>
      <c r="AK8695">
        <v>55.519439476927197</v>
      </c>
      <c r="AL8695">
        <v>92.605098391756599</v>
      </c>
      <c r="AM8695">
        <v>92.485140850786806</v>
      </c>
      <c r="AN8695">
        <v>0.99999999846608201</v>
      </c>
    </row>
    <row r="8696" spans="1:40" x14ac:dyDescent="0.25">
      <c r="A8696" t="str">
        <f>"20190303154013313"</f>
        <v>20190303154013313</v>
      </c>
      <c r="B8696" t="str">
        <f>"1551598813306729"</f>
        <v>1551598813306729</v>
      </c>
      <c r="C8696" t="s">
        <v>40</v>
      </c>
      <c r="D8696">
        <v>4.4461009999999996</v>
      </c>
      <c r="E8696">
        <v>0.49543490000000001</v>
      </c>
      <c r="F8696" t="s">
        <v>63</v>
      </c>
      <c r="G8696">
        <v>-192.58690000000001</v>
      </c>
      <c r="H8696" s="1">
        <v>-8.7386389999999997E-6</v>
      </c>
      <c r="I8696">
        <v>-60.594790000000003</v>
      </c>
      <c r="J8696">
        <v>-252.86859999999999</v>
      </c>
      <c r="K8696">
        <v>1.1211930000000001</v>
      </c>
      <c r="L8696">
        <v>-62.950780000000002</v>
      </c>
      <c r="M8696">
        <v>0.99985329999999994</v>
      </c>
      <c r="N8696">
        <v>-1.159897E-2</v>
      </c>
      <c r="O8696">
        <v>-1.260785E-2</v>
      </c>
      <c r="P8696">
        <v>0.99789260000000002</v>
      </c>
      <c r="Q8696">
        <v>-5.7042019999999999E-2</v>
      </c>
      <c r="R8696">
        <v>3.0929950000000001E-2</v>
      </c>
      <c r="S8696">
        <v>2.9995419999999999</v>
      </c>
      <c r="T8696">
        <v>-5.5671100000000001E-2</v>
      </c>
      <c r="U8696">
        <v>0.1169128</v>
      </c>
      <c r="V8696">
        <v>-4.3482430000000002E-2</v>
      </c>
      <c r="W8696">
        <v>-4.5495029999999999E-2</v>
      </c>
      <c r="X8696">
        <v>0.99801779999999995</v>
      </c>
      <c r="Y8696">
        <v>-5.1528650000000002E-2</v>
      </c>
      <c r="Z8696">
        <v>8.6468880000000001E-4</v>
      </c>
      <c r="AA8696">
        <v>0.99867110000000003</v>
      </c>
      <c r="AB8696">
        <v>26</v>
      </c>
      <c r="AC8696">
        <v>60.281699999999901</v>
      </c>
      <c r="AD8696">
        <v>-1.1212017386390001</v>
      </c>
      <c r="AE8696">
        <v>2.35598999999999</v>
      </c>
      <c r="AF8696">
        <v>-3.1148005534359</v>
      </c>
      <c r="AG8696">
        <v>-1.1212017386390001</v>
      </c>
      <c r="AH8696">
        <v>60.226399333177902</v>
      </c>
      <c r="AI8696">
        <v>91.065097637914604</v>
      </c>
      <c r="AJ8696">
        <v>92.960596432024204</v>
      </c>
      <c r="AK8696">
        <v>60.3173130408329</v>
      </c>
      <c r="AL8696">
        <v>92.607573197387794</v>
      </c>
      <c r="AM8696">
        <v>92.494730169853199</v>
      </c>
      <c r="AN8696">
        <v>1.0000000242951199</v>
      </c>
    </row>
    <row r="8697" spans="1:40" x14ac:dyDescent="0.25">
      <c r="A8697" t="str">
        <f>"20190303154013324"</f>
        <v>20190303154013324</v>
      </c>
      <c r="B8697" t="str">
        <f>"1551598813317465"</f>
        <v>1551598813317465</v>
      </c>
      <c r="C8697" t="s">
        <v>40</v>
      </c>
      <c r="D8697">
        <v>4.4441059999999997</v>
      </c>
      <c r="E8697">
        <v>0.49448550000000002</v>
      </c>
      <c r="F8697" t="s">
        <v>63</v>
      </c>
      <c r="G8697">
        <v>-191.27330000000001</v>
      </c>
      <c r="H8697" s="1">
        <v>-6.3305389999999998E-6</v>
      </c>
      <c r="I8697">
        <v>-60.3253699999999</v>
      </c>
      <c r="J8697">
        <v>-252.74</v>
      </c>
      <c r="K8697">
        <v>1.12121</v>
      </c>
      <c r="L8697">
        <v>-62.952210000000001</v>
      </c>
      <c r="M8697">
        <v>0.99985290000000004</v>
      </c>
      <c r="N8697">
        <v>-1.1823439999999999E-2</v>
      </c>
      <c r="O8697">
        <v>-1.2429040000000001E-2</v>
      </c>
      <c r="P8697">
        <v>0.99787789999999998</v>
      </c>
      <c r="Q8697">
        <v>-5.7065570000000003E-2</v>
      </c>
      <c r="R8697">
        <v>3.1364209999999997E-2</v>
      </c>
      <c r="S8697">
        <v>2.9992519999999998</v>
      </c>
      <c r="T8697">
        <v>-5.4594400000000001E-2</v>
      </c>
      <c r="U8697">
        <v>0.12783810000000001</v>
      </c>
      <c r="V8697">
        <v>-4.3737909999999998E-2</v>
      </c>
      <c r="W8697">
        <v>-4.5295219999999997E-2</v>
      </c>
      <c r="X8697">
        <v>0.99801569999999995</v>
      </c>
      <c r="Y8697">
        <v>-5.4984749999999999E-2</v>
      </c>
      <c r="Z8697">
        <v>9.0467330000000004E-4</v>
      </c>
      <c r="AA8697">
        <v>0.99848680000000001</v>
      </c>
      <c r="AB8697">
        <v>26</v>
      </c>
      <c r="AC8697">
        <v>61.466700000000003</v>
      </c>
      <c r="AD8697">
        <v>-1.1212163305389999</v>
      </c>
      <c r="AE8697">
        <v>2.6268400000000001</v>
      </c>
      <c r="AF8697">
        <v>-3.38953674344075</v>
      </c>
      <c r="AG8697">
        <v>-1.1212163305389999</v>
      </c>
      <c r="AH8697">
        <v>61.408904385680799</v>
      </c>
      <c r="AI8697">
        <v>91.044412433673898</v>
      </c>
      <c r="AJ8697">
        <v>93.159302182668696</v>
      </c>
      <c r="AK8697">
        <v>61.512597272792</v>
      </c>
      <c r="AL8697">
        <v>92.596113178047602</v>
      </c>
      <c r="AM8697">
        <v>92.509374489923104</v>
      </c>
      <c r="AN8697">
        <v>0.99999999958625296</v>
      </c>
    </row>
    <row r="8698" spans="1:40" x14ac:dyDescent="0.25">
      <c r="A8698" t="str">
        <f>"20190303154013336"</f>
        <v>20190303154013336</v>
      </c>
      <c r="B8698" t="str">
        <f>"1551598813327225"</f>
        <v>1551598813327225</v>
      </c>
      <c r="C8698" t="s">
        <v>40</v>
      </c>
      <c r="D8698">
        <v>4.4259130000000004</v>
      </c>
      <c r="E8698">
        <v>0.49395250000000002</v>
      </c>
      <c r="F8698" t="s">
        <v>63</v>
      </c>
      <c r="G8698">
        <v>-192.01679999999999</v>
      </c>
      <c r="H8698" s="1">
        <v>-6.4633950000000003E-6</v>
      </c>
      <c r="I8698">
        <v>-60.185130000000001</v>
      </c>
      <c r="J8698">
        <v>-252.60489999999999</v>
      </c>
      <c r="K8698">
        <v>1.1212249999999999</v>
      </c>
      <c r="L8698">
        <v>-62.953670000000002</v>
      </c>
      <c r="M8698">
        <v>0.99985259999999998</v>
      </c>
      <c r="N8698">
        <v>-1.204407E-2</v>
      </c>
      <c r="O8698">
        <v>-1.2237710000000001E-2</v>
      </c>
      <c r="P8698">
        <v>0.9978532</v>
      </c>
      <c r="Q8698">
        <v>-5.7285570000000001E-2</v>
      </c>
      <c r="R8698">
        <v>3.1742319999999997E-2</v>
      </c>
      <c r="S8698">
        <v>2.9989319999999999</v>
      </c>
      <c r="T8698">
        <v>-5.5373430000000001E-2</v>
      </c>
      <c r="U8698">
        <v>0.13665769999999999</v>
      </c>
      <c r="V8698">
        <v>-4.3924459999999999E-2</v>
      </c>
      <c r="W8698">
        <v>-4.5295700000000001E-2</v>
      </c>
      <c r="X8698">
        <v>0.99800750000000005</v>
      </c>
      <c r="Y8698">
        <v>-5.7727559999999997E-2</v>
      </c>
      <c r="Z8698">
        <v>9.5903739999999996E-4</v>
      </c>
      <c r="AA8698">
        <v>0.99833190000000005</v>
      </c>
      <c r="AB8698">
        <v>26</v>
      </c>
      <c r="AC8698">
        <v>60.588099999999997</v>
      </c>
      <c r="AD8698">
        <v>-1.121231463395</v>
      </c>
      <c r="AE8698">
        <v>2.7685399999999798</v>
      </c>
      <c r="AF8698">
        <v>-3.5086469326204801</v>
      </c>
      <c r="AG8698">
        <v>-1.121231463395</v>
      </c>
      <c r="AH8698">
        <v>60.528993386438302</v>
      </c>
      <c r="AI8698">
        <v>91.059440432379503</v>
      </c>
      <c r="AJ8698">
        <v>93.317516804707907</v>
      </c>
      <c r="AK8698">
        <v>60.640966381380998</v>
      </c>
      <c r="AL8698">
        <v>92.596140669947502</v>
      </c>
      <c r="AM8698">
        <v>92.520084330591601</v>
      </c>
      <c r="AN8698">
        <v>1.0000000143405099</v>
      </c>
    </row>
    <row r="8699" spans="1:40" x14ac:dyDescent="0.25">
      <c r="A8699" t="str">
        <f>"20190303154013346"</f>
        <v>20190303154013346</v>
      </c>
      <c r="B8699" t="str">
        <f>"1551598813336985"</f>
        <v>1551598813336985</v>
      </c>
      <c r="C8699" t="s">
        <v>40</v>
      </c>
      <c r="D8699">
        <v>4.4350350000000001</v>
      </c>
      <c r="E8699">
        <v>0.49355880000000002</v>
      </c>
      <c r="F8699" t="s">
        <v>63</v>
      </c>
      <c r="G8699">
        <v>-194.49690000000001</v>
      </c>
      <c r="H8699" s="1">
        <v>-6.7366539999999901E-6</v>
      </c>
      <c r="I8699">
        <v>-60.201369999999997</v>
      </c>
      <c r="J8699">
        <v>-252.4761</v>
      </c>
      <c r="K8699">
        <v>1.121238</v>
      </c>
      <c r="L8699">
        <v>-62.95505</v>
      </c>
      <c r="M8699">
        <v>0.99985239999999997</v>
      </c>
      <c r="N8699">
        <v>-1.224513E-2</v>
      </c>
      <c r="O8699">
        <v>-1.205358E-2</v>
      </c>
      <c r="P8699">
        <v>0.99783460000000002</v>
      </c>
      <c r="Q8699">
        <v>-5.7509150000000002E-2</v>
      </c>
      <c r="R8699">
        <v>3.1920879999999999E-2</v>
      </c>
      <c r="S8699">
        <v>2.9985810000000002</v>
      </c>
      <c r="T8699">
        <v>-5.7859540000000001E-2</v>
      </c>
      <c r="U8699">
        <v>0.14202879999999901</v>
      </c>
      <c r="V8699">
        <v>-4.391917E-2</v>
      </c>
      <c r="W8699">
        <v>-4.5318999999999998E-2</v>
      </c>
      <c r="X8699">
        <v>0.99800659999999997</v>
      </c>
      <c r="Y8699">
        <v>-5.9331519999999999E-2</v>
      </c>
      <c r="Z8699">
        <v>1.0205139999999999E-3</v>
      </c>
      <c r="AA8699">
        <v>0.99823779999999995</v>
      </c>
      <c r="AB8699">
        <v>26</v>
      </c>
      <c r="AC8699">
        <v>57.979199999999899</v>
      </c>
      <c r="AD8699">
        <v>-1.1212447366539999</v>
      </c>
      <c r="AE8699">
        <v>2.7536800000000001</v>
      </c>
      <c r="AF8699">
        <v>-3.4511014684302501</v>
      </c>
      <c r="AG8699">
        <v>-1.1212447366539999</v>
      </c>
      <c r="AH8699">
        <v>57.920180524245197</v>
      </c>
      <c r="AI8699">
        <v>91.107055865347107</v>
      </c>
      <c r="AJ8699">
        <v>93.409865867324001</v>
      </c>
      <c r="AK8699">
        <v>58.033736766350202</v>
      </c>
      <c r="AL8699">
        <v>92.597477228572501</v>
      </c>
      <c r="AM8699">
        <v>92.519783487279796</v>
      </c>
      <c r="AN8699">
        <v>0.99999993944902199</v>
      </c>
    </row>
    <row r="8700" spans="1:40" x14ac:dyDescent="0.25">
      <c r="A8700" t="str">
        <f>"20190303154013359"</f>
        <v>20190303154013359</v>
      </c>
      <c r="B8700" t="str">
        <f>"1551598813346745"</f>
        <v>1551598813346745</v>
      </c>
      <c r="C8700" t="s">
        <v>40</v>
      </c>
      <c r="D8700">
        <v>4.4319419999999896</v>
      </c>
      <c r="E8700">
        <v>0.4932803</v>
      </c>
      <c r="F8700" t="s">
        <v>63</v>
      </c>
      <c r="G8700">
        <v>-196.19739999999999</v>
      </c>
      <c r="H8700" s="1">
        <v>-6.9210149999999997E-6</v>
      </c>
      <c r="I8700">
        <v>-60.221069999999997</v>
      </c>
      <c r="J8700">
        <v>-252.34190000000001</v>
      </c>
      <c r="K8700">
        <v>1.1212489999999999</v>
      </c>
      <c r="L8700">
        <v>-62.956449999999997</v>
      </c>
      <c r="M8700">
        <v>0.99985239999999997</v>
      </c>
      <c r="N8700">
        <v>-1.243532E-2</v>
      </c>
      <c r="O8700">
        <v>-1.185725E-2</v>
      </c>
      <c r="P8700">
        <v>0.99782439999999994</v>
      </c>
      <c r="Q8700">
        <v>-5.7564850000000001E-2</v>
      </c>
      <c r="R8700">
        <v>3.2137440000000003E-2</v>
      </c>
      <c r="S8700">
        <v>2.9984130000000002</v>
      </c>
      <c r="T8700">
        <v>-5.9737560000000002E-2</v>
      </c>
      <c r="U8700">
        <v>0.1456604</v>
      </c>
      <c r="V8700">
        <v>-4.3939430000000002E-2</v>
      </c>
      <c r="W8700">
        <v>-4.5185129999999997E-2</v>
      </c>
      <c r="X8700">
        <v>0.9980118</v>
      </c>
      <c r="Y8700">
        <v>-6.0342970000000003E-2</v>
      </c>
      <c r="Z8700">
        <v>1.064911E-3</v>
      </c>
      <c r="AA8700">
        <v>0.99817710000000004</v>
      </c>
      <c r="AB8700">
        <v>26</v>
      </c>
      <c r="AC8700">
        <v>56.144500000000001</v>
      </c>
      <c r="AD8700">
        <v>-1.1212559210149999</v>
      </c>
      <c r="AE8700">
        <v>2.7353800000000001</v>
      </c>
      <c r="AF8700">
        <v>-3.3996058307085399</v>
      </c>
      <c r="AG8700">
        <v>-1.1212559210149999</v>
      </c>
      <c r="AH8700">
        <v>56.085799757349498</v>
      </c>
      <c r="AI8700">
        <v>91.143195401516707</v>
      </c>
      <c r="AJ8700">
        <v>93.4687040293732</v>
      </c>
      <c r="AK8700">
        <v>56.199924101960399</v>
      </c>
      <c r="AL8700">
        <v>92.589799120309905</v>
      </c>
      <c r="AM8700">
        <v>92.520931251068902</v>
      </c>
      <c r="AN8700">
        <v>0.99999996121054002</v>
      </c>
    </row>
    <row r="8701" spans="1:40" x14ac:dyDescent="0.25">
      <c r="A8701" t="str">
        <f>"20190303154013370"</f>
        <v>20190303154013370</v>
      </c>
      <c r="B8701" t="str">
        <f>"1551598813367242"</f>
        <v>1551598813367242</v>
      </c>
      <c r="C8701" t="s">
        <v>40</v>
      </c>
      <c r="D8701">
        <v>4.4371769999999904</v>
      </c>
      <c r="E8701">
        <v>0.49323620000000001</v>
      </c>
      <c r="F8701" t="s">
        <v>63</v>
      </c>
      <c r="G8701">
        <v>-197.03630000000001</v>
      </c>
      <c r="H8701" s="1">
        <v>-7.0171199999999998E-6</v>
      </c>
      <c r="I8701">
        <v>-60.216119999999997</v>
      </c>
      <c r="J8701">
        <v>-252.21639999999999</v>
      </c>
      <c r="K8701">
        <v>1.1212580000000001</v>
      </c>
      <c r="L8701">
        <v>-62.95776</v>
      </c>
      <c r="M8701">
        <v>0.99985250000000003</v>
      </c>
      <c r="N8701">
        <v>-1.260881E-2</v>
      </c>
      <c r="O8701">
        <v>-1.167288E-2</v>
      </c>
      <c r="P8701">
        <v>0.99781880000000001</v>
      </c>
      <c r="Q8701">
        <v>-5.7559880000000001E-2</v>
      </c>
      <c r="R8701">
        <v>3.2325039999999999E-2</v>
      </c>
      <c r="S8701">
        <v>2.99823</v>
      </c>
      <c r="T8701">
        <v>-6.0785649999999997E-2</v>
      </c>
      <c r="U8701">
        <v>0.14855960000000001</v>
      </c>
      <c r="V8701">
        <v>-4.3943110000000001E-2</v>
      </c>
      <c r="W8701">
        <v>-4.5007159999999997E-2</v>
      </c>
      <c r="X8701">
        <v>0.99801969999999995</v>
      </c>
      <c r="Y8701">
        <v>-6.1123839999999999E-2</v>
      </c>
      <c r="Z8701">
        <v>1.0942440000000001E-3</v>
      </c>
      <c r="AA8701">
        <v>0.99812959999999995</v>
      </c>
      <c r="AB8701">
        <v>26</v>
      </c>
      <c r="AC8701">
        <v>55.180099999999896</v>
      </c>
      <c r="AD8701">
        <v>-1.12126501712</v>
      </c>
      <c r="AE8701">
        <v>2.7416399999999999</v>
      </c>
      <c r="AF8701">
        <v>-3.38422106510132</v>
      </c>
      <c r="AG8701">
        <v>-1.12126501712</v>
      </c>
      <c r="AH8701">
        <v>55.121630562587399</v>
      </c>
      <c r="AI8701">
        <v>91.163140573289496</v>
      </c>
      <c r="AJ8701">
        <v>93.513294146456005</v>
      </c>
      <c r="AK8701">
        <v>55.236802435825901</v>
      </c>
      <c r="AL8701">
        <v>92.579591753305294</v>
      </c>
      <c r="AM8701">
        <v>92.521122180029394</v>
      </c>
      <c r="AN8701">
        <v>0.99999998147791302</v>
      </c>
    </row>
    <row r="8702" spans="1:40" x14ac:dyDescent="0.25">
      <c r="A8702" t="str">
        <f>"20190303154013380"</f>
        <v>20190303154013380</v>
      </c>
      <c r="B8702" t="str">
        <f>"1551598813377002"</f>
        <v>1551598813377002</v>
      </c>
      <c r="C8702" t="s">
        <v>40</v>
      </c>
      <c r="D8702">
        <v>4.417961</v>
      </c>
      <c r="E8702">
        <v>0.49315199999999998</v>
      </c>
      <c r="F8702" t="s">
        <v>63</v>
      </c>
      <c r="G8702">
        <v>-197.99529999999999</v>
      </c>
      <c r="H8702" s="1">
        <v>-7.111891E-6</v>
      </c>
      <c r="I8702">
        <v>-60.253419999999998</v>
      </c>
      <c r="J8702">
        <v>-252.08269999999999</v>
      </c>
      <c r="K8702">
        <v>1.1212660000000001</v>
      </c>
      <c r="L8702">
        <v>-62.959110000000003</v>
      </c>
      <c r="M8702">
        <v>0.99985250000000003</v>
      </c>
      <c r="N8702">
        <v>-1.27733E-2</v>
      </c>
      <c r="O8702">
        <v>-1.1472619999999999E-2</v>
      </c>
      <c r="P8702">
        <v>0.99783679999999997</v>
      </c>
      <c r="Q8702">
        <v>-5.7266369999999997E-2</v>
      </c>
      <c r="R8702">
        <v>3.2287709999999997E-2</v>
      </c>
      <c r="S8702">
        <v>2.998138</v>
      </c>
      <c r="T8702">
        <v>-6.2000039999999999E-2</v>
      </c>
      <c r="U8702">
        <v>0.14953610000000001</v>
      </c>
      <c r="V8702">
        <v>-4.3706540000000002E-2</v>
      </c>
      <c r="W8702">
        <v>-4.4549140000000001E-2</v>
      </c>
      <c r="X8702">
        <v>0.99805060000000001</v>
      </c>
      <c r="Y8702">
        <v>-6.124893E-2</v>
      </c>
      <c r="Z8702">
        <v>1.114985E-3</v>
      </c>
      <c r="AA8702">
        <v>0.99812190000000001</v>
      </c>
      <c r="AB8702">
        <v>26</v>
      </c>
      <c r="AC8702">
        <v>54.087400000000002</v>
      </c>
      <c r="AD8702">
        <v>-1.121273111891</v>
      </c>
      <c r="AE8702">
        <v>2.7056899999999899</v>
      </c>
      <c r="AF8702">
        <v>-3.3246615238765198</v>
      </c>
      <c r="AG8702">
        <v>-1.121273111891</v>
      </c>
      <c r="AH8702">
        <v>54.029633832775097</v>
      </c>
      <c r="AI8702">
        <v>91.186640735966506</v>
      </c>
      <c r="AJ8702">
        <v>93.521200864454897</v>
      </c>
      <c r="AK8702">
        <v>54.143438750633003</v>
      </c>
      <c r="AL8702">
        <v>92.553322886891706</v>
      </c>
      <c r="AM8702">
        <v>92.507489424082905</v>
      </c>
      <c r="AN8702">
        <v>0.99999994383693402</v>
      </c>
    </row>
    <row r="8703" spans="1:40" x14ac:dyDescent="0.25">
      <c r="A8703" t="str">
        <f>"20190303154013392"</f>
        <v>20190303154013392</v>
      </c>
      <c r="B8703" t="str">
        <f>"1551598813386761"</f>
        <v>1551598813386761</v>
      </c>
      <c r="C8703" t="s">
        <v>40</v>
      </c>
      <c r="D8703">
        <v>4.4311660000000002</v>
      </c>
      <c r="E8703">
        <v>0.49315720000000002</v>
      </c>
      <c r="F8703" t="s">
        <v>63</v>
      </c>
      <c r="G8703">
        <v>-198.09889999999999</v>
      </c>
      <c r="H8703" s="1">
        <v>-7.1224109999999999E-6</v>
      </c>
      <c r="I8703">
        <v>-60.25665</v>
      </c>
      <c r="J8703">
        <v>-251.95</v>
      </c>
      <c r="K8703">
        <v>1.1212759999999999</v>
      </c>
      <c r="L8703">
        <v>-62.9604199999999</v>
      </c>
      <c r="M8703">
        <v>0.99985290000000004</v>
      </c>
      <c r="N8703">
        <v>-1.2931140000000001E-2</v>
      </c>
      <c r="O8703">
        <v>-1.1273299999999899E-2</v>
      </c>
      <c r="P8703">
        <v>0.9978361</v>
      </c>
      <c r="Q8703">
        <v>-5.7422189999999998E-2</v>
      </c>
      <c r="R8703">
        <v>3.2034899999999998E-2</v>
      </c>
      <c r="S8703">
        <v>2.9980769999999999</v>
      </c>
      <c r="T8703">
        <v>-6.2271710000000001E-2</v>
      </c>
      <c r="U8703">
        <v>0.15008540000000001</v>
      </c>
      <c r="V8703">
        <v>-4.3254430000000003E-2</v>
      </c>
      <c r="W8703">
        <v>-4.4547110000000001E-2</v>
      </c>
      <c r="X8703">
        <v>0.99807040000000002</v>
      </c>
      <c r="Y8703">
        <v>-6.1233170000000003E-2</v>
      </c>
      <c r="Z8703">
        <v>1.1200139999999999E-3</v>
      </c>
      <c r="AA8703">
        <v>0.99812290000000004</v>
      </c>
      <c r="AB8703">
        <v>26</v>
      </c>
      <c r="AC8703">
        <v>53.851100000000002</v>
      </c>
      <c r="AD8703">
        <v>-1.121283122411</v>
      </c>
      <c r="AE8703">
        <v>2.7037699999999898</v>
      </c>
      <c r="AF8703">
        <v>-3.3092973437256599</v>
      </c>
      <c r="AG8703">
        <v>-1.121283122411</v>
      </c>
      <c r="AH8703">
        <v>53.793930634084198</v>
      </c>
      <c r="AI8703">
        <v>91.191850423774696</v>
      </c>
      <c r="AJ8703">
        <v>93.520287899242703</v>
      </c>
      <c r="AK8703">
        <v>53.9072879842277</v>
      </c>
      <c r="AL8703">
        <v>92.553206427136899</v>
      </c>
      <c r="AM8703">
        <v>92.481534832022902</v>
      </c>
      <c r="AN8703">
        <v>0.99999995704006694</v>
      </c>
    </row>
    <row r="8704" spans="1:40" x14ac:dyDescent="0.25">
      <c r="A8704" t="str">
        <f>"20190303154013403"</f>
        <v>20190303154013403</v>
      </c>
      <c r="B8704" t="str">
        <f>"1551598813396521"</f>
        <v>1551598813396521</v>
      </c>
      <c r="C8704" t="s">
        <v>40</v>
      </c>
      <c r="D8704">
        <v>4.4184060000000001</v>
      </c>
      <c r="E8704">
        <v>0.49319550000000001</v>
      </c>
      <c r="F8704" t="s">
        <v>63</v>
      </c>
      <c r="G8704">
        <v>-197.78659999999999</v>
      </c>
      <c r="H8704" s="1">
        <v>-7.0851189999999996E-6</v>
      </c>
      <c r="I8704">
        <v>-60.262799999999999</v>
      </c>
      <c r="J8704">
        <v>-251.822</v>
      </c>
      <c r="K8704">
        <v>1.121283</v>
      </c>
      <c r="L8704">
        <v>-62.961640000000003</v>
      </c>
      <c r="M8704">
        <v>0.99985329999999994</v>
      </c>
      <c r="N8704">
        <v>-1.3070150000000001E-2</v>
      </c>
      <c r="O8704">
        <v>-1.107971E-2</v>
      </c>
      <c r="P8704">
        <v>0.9978532</v>
      </c>
      <c r="Q8704">
        <v>-5.7287320000000003E-2</v>
      </c>
      <c r="R8704">
        <v>3.174134E-2</v>
      </c>
      <c r="S8704">
        <v>2.998138</v>
      </c>
      <c r="T8704">
        <v>-6.2067030000000002E-2</v>
      </c>
      <c r="U8704">
        <v>0.1493225</v>
      </c>
      <c r="V8704">
        <v>-4.276808E-2</v>
      </c>
      <c r="W8704">
        <v>-4.4272890000000002E-2</v>
      </c>
      <c r="X8704">
        <v>0.99810359999999998</v>
      </c>
      <c r="Y8704">
        <v>-6.0785770000000003E-2</v>
      </c>
      <c r="Z8704">
        <v>1.110804E-3</v>
      </c>
      <c r="AA8704">
        <v>0.99815019999999999</v>
      </c>
      <c r="AB8704">
        <v>26</v>
      </c>
      <c r="AC8704">
        <v>54.035400000000003</v>
      </c>
      <c r="AD8704">
        <v>-1.121290085119</v>
      </c>
      <c r="AE8704">
        <v>2.6988400000000001</v>
      </c>
      <c r="AF8704">
        <v>-3.2960062089425501</v>
      </c>
      <c r="AG8704">
        <v>-1.121290085119</v>
      </c>
      <c r="AH8704">
        <v>53.978991930989302</v>
      </c>
      <c r="AI8704">
        <v>91.187805980957293</v>
      </c>
      <c r="AJ8704">
        <v>93.494193952160103</v>
      </c>
      <c r="AK8704">
        <v>54.091150091952997</v>
      </c>
      <c r="AL8704">
        <v>92.537479159966196</v>
      </c>
      <c r="AM8704">
        <v>92.453585393924797</v>
      </c>
      <c r="AN8704">
        <v>0.999999996894399</v>
      </c>
    </row>
    <row r="8705" spans="1:40" x14ac:dyDescent="0.25">
      <c r="A8705" t="str">
        <f>"20190303154013414"</f>
        <v>20190303154013414</v>
      </c>
      <c r="B8705" t="str">
        <f>"1551598813407257"</f>
        <v>1551598813407257</v>
      </c>
      <c r="C8705" t="s">
        <v>40</v>
      </c>
      <c r="D8705">
        <v>4.4058159999999997</v>
      </c>
      <c r="E8705">
        <v>0.4932396</v>
      </c>
      <c r="F8705" t="s">
        <v>63</v>
      </c>
      <c r="G8705">
        <v>-196.70750000000001</v>
      </c>
      <c r="H8705" s="1">
        <v>-6.9718319999999999E-6</v>
      </c>
      <c r="I8705">
        <v>-60.239750000000001</v>
      </c>
      <c r="J8705">
        <v>-251.6978</v>
      </c>
      <c r="K8705">
        <v>1.121289</v>
      </c>
      <c r="L8705">
        <v>-62.962800000000001</v>
      </c>
      <c r="M8705">
        <v>0.99985369999999996</v>
      </c>
      <c r="N8705">
        <v>-1.319768E-2</v>
      </c>
      <c r="O8705">
        <v>-1.089131E-2</v>
      </c>
      <c r="P8705">
        <v>0.99785460000000004</v>
      </c>
      <c r="Q8705">
        <v>-5.7337220000000001E-2</v>
      </c>
      <c r="R8705">
        <v>3.1605849999999998E-2</v>
      </c>
      <c r="S8705">
        <v>2.9982449999999998</v>
      </c>
      <c r="T8705">
        <v>-6.0998440000000001E-2</v>
      </c>
      <c r="U8705">
        <v>0.14807129999999999</v>
      </c>
      <c r="V8705">
        <v>-4.2445070000000001E-2</v>
      </c>
      <c r="W8705">
        <v>-4.4195230000000002E-2</v>
      </c>
      <c r="X8705">
        <v>0.99812080000000003</v>
      </c>
      <c r="Y8705">
        <v>-6.0181169999999999E-2</v>
      </c>
      <c r="Z8705">
        <v>1.086989E-3</v>
      </c>
      <c r="AA8705">
        <v>0.99818689999999999</v>
      </c>
      <c r="AB8705">
        <v>26</v>
      </c>
      <c r="AC8705">
        <v>54.990299999999898</v>
      </c>
      <c r="AD8705">
        <v>-1.1212959718319999</v>
      </c>
      <c r="AE8705">
        <v>2.7230500000000002</v>
      </c>
      <c r="AF8705">
        <v>-3.3204797393157</v>
      </c>
      <c r="AG8705">
        <v>-1.1212959718319999</v>
      </c>
      <c r="AH8705">
        <v>54.934592598680197</v>
      </c>
      <c r="AI8705">
        <v>91.167199251781497</v>
      </c>
      <c r="AJ8705">
        <v>93.458991503481499</v>
      </c>
      <c r="AK8705">
        <v>55.046274663582999</v>
      </c>
      <c r="AL8705">
        <v>92.533025286299804</v>
      </c>
      <c r="AM8705">
        <v>92.4350349358469</v>
      </c>
      <c r="AN8705">
        <v>0.99999996685734804</v>
      </c>
    </row>
    <row r="8706" spans="1:40" x14ac:dyDescent="0.25">
      <c r="A8706" t="str">
        <f>"20190303154013425"</f>
        <v>20190303154013425</v>
      </c>
      <c r="B8706" t="str">
        <f>"1551598813417016"</f>
        <v>1551598813417016</v>
      </c>
      <c r="C8706" t="s">
        <v>40</v>
      </c>
      <c r="D8706">
        <v>4.4345689999999998</v>
      </c>
      <c r="E8706">
        <v>0.49324639999999997</v>
      </c>
      <c r="F8706" t="s">
        <v>63</v>
      </c>
      <c r="G8706">
        <v>-195.79060000000001</v>
      </c>
      <c r="H8706" s="1">
        <v>-6.87682199999999E-6</v>
      </c>
      <c r="I8706">
        <v>-60.216630000000002</v>
      </c>
      <c r="J8706">
        <v>-251.56200000000001</v>
      </c>
      <c r="K8706">
        <v>1.1212930000000001</v>
      </c>
      <c r="L8706">
        <v>-62.964080000000003</v>
      </c>
      <c r="M8706">
        <v>0.99985409999999997</v>
      </c>
      <c r="N8706">
        <v>-1.3327729999999999E-2</v>
      </c>
      <c r="O8706">
        <v>-1.06847E-2</v>
      </c>
      <c r="P8706">
        <v>0.99787680000000001</v>
      </c>
      <c r="Q8706">
        <v>-5.7062559999999998E-2</v>
      </c>
      <c r="R8706">
        <v>3.1401239999999997E-2</v>
      </c>
      <c r="S8706">
        <v>2.9983059999999999</v>
      </c>
      <c r="T8706">
        <v>-6.0135250000000001E-2</v>
      </c>
      <c r="U8706">
        <v>0.14727779999999999</v>
      </c>
      <c r="V8706">
        <v>-4.2034599999999998E-2</v>
      </c>
      <c r="W8706">
        <v>-4.3790129999999997E-2</v>
      </c>
      <c r="X8706">
        <v>0.99815609999999999</v>
      </c>
      <c r="Y8706">
        <v>-5.9710979999999997E-2</v>
      </c>
      <c r="Z8706">
        <v>1.068449E-3</v>
      </c>
      <c r="AA8706">
        <v>0.99821510000000002</v>
      </c>
      <c r="AB8706">
        <v>26</v>
      </c>
      <c r="AC8706">
        <v>55.7714</v>
      </c>
      <c r="AD8706">
        <v>-1.1212998768219999</v>
      </c>
      <c r="AE8706">
        <v>2.7474500000000002</v>
      </c>
      <c r="AF8706">
        <v>-3.3418991443334498</v>
      </c>
      <c r="AG8706">
        <v>-1.1212998768219999</v>
      </c>
      <c r="AH8706">
        <v>55.716390254022201</v>
      </c>
      <c r="AI8706">
        <v>91.150861870745203</v>
      </c>
      <c r="AJ8706">
        <v>93.432519354111406</v>
      </c>
      <c r="AK8706">
        <v>55.827786506749199</v>
      </c>
      <c r="AL8706">
        <v>92.509792084604697</v>
      </c>
      <c r="AM8706">
        <v>92.411429399178601</v>
      </c>
      <c r="AN8706">
        <v>1.00000004152489</v>
      </c>
    </row>
    <row r="8707" spans="1:40" x14ac:dyDescent="0.25">
      <c r="A8707" t="str">
        <f>"20190303154013437"</f>
        <v>20190303154013437</v>
      </c>
      <c r="B8707" t="str">
        <f>"1551598813426777"</f>
        <v>1551598813426777</v>
      </c>
      <c r="C8707" t="s">
        <v>40</v>
      </c>
      <c r="D8707">
        <v>4.4215910000000003</v>
      </c>
      <c r="E8707">
        <v>0.49324059999999997</v>
      </c>
      <c r="F8707" t="s">
        <v>63</v>
      </c>
      <c r="G8707">
        <v>-193.71860000000001</v>
      </c>
      <c r="H8707" s="1">
        <v>-6.6719030000000003E-6</v>
      </c>
      <c r="I8707">
        <v>-60.13644</v>
      </c>
      <c r="J8707">
        <v>-251.43620000000001</v>
      </c>
      <c r="K8707">
        <v>1.1213</v>
      </c>
      <c r="L8707">
        <v>-62.965179999999997</v>
      </c>
      <c r="M8707">
        <v>0.99985469999999999</v>
      </c>
      <c r="N8707">
        <v>-1.3437940000000001E-2</v>
      </c>
      <c r="O8707">
        <v>-1.049287E-2</v>
      </c>
      <c r="P8707">
        <v>0.99786819999999998</v>
      </c>
      <c r="Q8707">
        <v>-5.7298370000000001E-2</v>
      </c>
      <c r="R8707">
        <v>3.1243099999999999E-2</v>
      </c>
      <c r="S8707">
        <v>2.9984280000000001</v>
      </c>
      <c r="T8707">
        <v>-5.8124780000000001E-2</v>
      </c>
      <c r="U8707">
        <v>0.14657590000000001</v>
      </c>
      <c r="V8707">
        <v>-4.1684539999999999E-2</v>
      </c>
      <c r="W8707">
        <v>-4.3915709999999997E-2</v>
      </c>
      <c r="X8707">
        <v>0.99816519999999997</v>
      </c>
      <c r="Y8707">
        <v>-5.9285549999999999E-2</v>
      </c>
      <c r="Z8707">
        <v>1.035249E-3</v>
      </c>
      <c r="AA8707">
        <v>0.99824049999999998</v>
      </c>
      <c r="AB8707">
        <v>26</v>
      </c>
      <c r="AC8707">
        <v>57.717599999999997</v>
      </c>
      <c r="AD8707">
        <v>-1.121306671903</v>
      </c>
      <c r="AE8707">
        <v>2.8287399999999998</v>
      </c>
      <c r="AF8707">
        <v>-3.4329695883233899</v>
      </c>
      <c r="AG8707">
        <v>-1.121306671903</v>
      </c>
      <c r="AH8707">
        <v>57.6630262973719</v>
      </c>
      <c r="AI8707">
        <v>91.1120562822708</v>
      </c>
      <c r="AJ8707">
        <v>93.407083962631503</v>
      </c>
      <c r="AK8707">
        <v>57.776008953701599</v>
      </c>
      <c r="AL8707">
        <v>92.516994375564394</v>
      </c>
      <c r="AM8707">
        <v>92.391348888656694</v>
      </c>
      <c r="AN8707">
        <v>0.99999997847542699</v>
      </c>
    </row>
    <row r="8708" spans="1:40" x14ac:dyDescent="0.25">
      <c r="A8708" t="str">
        <f>"20190303154013447"</f>
        <v>20190303154013447</v>
      </c>
      <c r="B8708" t="str">
        <f>"1551598813436537"</f>
        <v>1551598813436537</v>
      </c>
      <c r="C8708" t="s">
        <v>40</v>
      </c>
      <c r="D8708">
        <v>4.4039020000000004</v>
      </c>
      <c r="E8708">
        <v>0.49314599999999997</v>
      </c>
      <c r="F8708" t="s">
        <v>63</v>
      </c>
      <c r="G8708">
        <v>-194.02629999999999</v>
      </c>
      <c r="H8708" s="1">
        <v>-6.6960080000000001E-6</v>
      </c>
      <c r="I8708">
        <v>-60.166369999999901</v>
      </c>
      <c r="J8708">
        <v>-251.3141</v>
      </c>
      <c r="K8708">
        <v>1.1213070000000001</v>
      </c>
      <c r="L8708">
        <v>-62.966279999999998</v>
      </c>
      <c r="M8708">
        <v>0.99985520000000006</v>
      </c>
      <c r="N8708">
        <v>-1.3540770000000001E-2</v>
      </c>
      <c r="O8708">
        <v>-1.0306610000000001E-2</v>
      </c>
      <c r="P8708">
        <v>0.99787939999999997</v>
      </c>
      <c r="Q8708">
        <v>-5.7096170000000002E-2</v>
      </c>
      <c r="R8708">
        <v>3.1256890000000002E-2</v>
      </c>
      <c r="S8708">
        <v>2.9984739999999999</v>
      </c>
      <c r="T8708">
        <v>-5.8564900000000003E-2</v>
      </c>
      <c r="U8708">
        <v>0.14617920000000001</v>
      </c>
      <c r="V8708">
        <v>-4.1513260000000003E-2</v>
      </c>
      <c r="W8708">
        <v>-4.3610540000000003E-2</v>
      </c>
      <c r="X8708">
        <v>0.99818580000000001</v>
      </c>
      <c r="Y8708">
        <v>-5.8966909999999997E-2</v>
      </c>
      <c r="Z8708">
        <v>1.0367130000000001E-3</v>
      </c>
      <c r="AA8708">
        <v>0.99825940000000002</v>
      </c>
      <c r="AB8708">
        <v>26</v>
      </c>
      <c r="AC8708">
        <v>57.287799999999997</v>
      </c>
      <c r="AD8708">
        <v>-1.1213136960079999</v>
      </c>
      <c r="AE8708">
        <v>2.7999100000000099</v>
      </c>
      <c r="AF8708">
        <v>-3.3889631353649898</v>
      </c>
      <c r="AG8708">
        <v>-1.1213136960079999</v>
      </c>
      <c r="AH8708">
        <v>57.234021402070098</v>
      </c>
      <c r="AI8708">
        <v>91.120418123129099</v>
      </c>
      <c r="AJ8708">
        <v>93.388663337881596</v>
      </c>
      <c r="AK8708">
        <v>57.3452318976071</v>
      </c>
      <c r="AL8708">
        <v>92.499492448811296</v>
      </c>
      <c r="AM8708">
        <v>92.381485182627799</v>
      </c>
      <c r="AN8708">
        <v>1.00000006063827</v>
      </c>
    </row>
    <row r="8709" spans="1:40" x14ac:dyDescent="0.25">
      <c r="A8709" t="str">
        <f>"20190303154013458"</f>
        <v>20190303154013458</v>
      </c>
      <c r="B8709" t="str">
        <f>"1551598813447273"</f>
        <v>1551598813447273</v>
      </c>
      <c r="C8709" t="s">
        <v>40</v>
      </c>
      <c r="D8709">
        <v>4.4481229999999998</v>
      </c>
      <c r="E8709">
        <v>0.49314639999999998</v>
      </c>
      <c r="F8709" t="s">
        <v>63</v>
      </c>
      <c r="G8709">
        <v>-193.47300000000001</v>
      </c>
      <c r="H8709" s="1">
        <v>-6.6459430000000003E-6</v>
      </c>
      <c r="I8709">
        <v>-60.131709999999998</v>
      </c>
      <c r="J8709">
        <v>-251.18530000000001</v>
      </c>
      <c r="K8709">
        <v>1.1213150000000001</v>
      </c>
      <c r="L8709">
        <v>-62.967379999999999</v>
      </c>
      <c r="M8709">
        <v>0.99985590000000002</v>
      </c>
      <c r="N8709">
        <v>-1.3638000000000001E-2</v>
      </c>
      <c r="O8709">
        <v>-1.0110070000000001E-2</v>
      </c>
      <c r="P8709">
        <v>0.99787530000000002</v>
      </c>
      <c r="Q8709">
        <v>-5.7226480000000003E-2</v>
      </c>
      <c r="R8709">
        <v>3.1145409999999998E-2</v>
      </c>
      <c r="S8709">
        <v>2.9984440000000001</v>
      </c>
      <c r="T8709">
        <v>-5.8128119999999998E-2</v>
      </c>
      <c r="U8709">
        <v>0.14694209999999999</v>
      </c>
      <c r="V8709">
        <v>-4.1205249999999999E-2</v>
      </c>
      <c r="W8709">
        <v>-4.3643500000000002E-2</v>
      </c>
      <c r="X8709">
        <v>0.99819709999999995</v>
      </c>
      <c r="Y8709">
        <v>-5.9024760000000003E-2</v>
      </c>
      <c r="Z8709">
        <v>1.032622E-3</v>
      </c>
      <c r="AA8709">
        <v>0.99825600000000003</v>
      </c>
      <c r="AB8709">
        <v>26</v>
      </c>
      <c r="AC8709">
        <v>57.712299999999999</v>
      </c>
      <c r="AD8709">
        <v>-1.121321645943</v>
      </c>
      <c r="AE8709">
        <v>2.8356699999999999</v>
      </c>
      <c r="AF8709">
        <v>-3.41776758131543</v>
      </c>
      <c r="AG8709">
        <v>-1.121321645943</v>
      </c>
      <c r="AH8709">
        <v>57.658964227376401</v>
      </c>
      <c r="AI8709">
        <v>91.112166532130502</v>
      </c>
      <c r="AJ8709">
        <v>93.392270300144403</v>
      </c>
      <c r="AK8709">
        <v>57.7710537661156</v>
      </c>
      <c r="AL8709">
        <v>92.501382771285705</v>
      </c>
      <c r="AM8709">
        <v>92.363809006661597</v>
      </c>
      <c r="AN8709">
        <v>1.0000000390841099</v>
      </c>
    </row>
    <row r="8710" spans="1:40" x14ac:dyDescent="0.25">
      <c r="A8710" t="str">
        <f>"20190303154013470"</f>
        <v>20190303154013470</v>
      </c>
      <c r="B8710" t="str">
        <f>"1551598813466794"</f>
        <v>1551598813466794</v>
      </c>
      <c r="C8710" t="s">
        <v>40</v>
      </c>
      <c r="D8710">
        <v>4.4226779999999897</v>
      </c>
      <c r="E8710">
        <v>0.49310589999999999</v>
      </c>
      <c r="F8710" t="s">
        <v>63</v>
      </c>
      <c r="G8710">
        <v>-193.86189999999999</v>
      </c>
      <c r="H8710" s="1">
        <v>-6.6783489999999898E-6</v>
      </c>
      <c r="I8710">
        <v>-60.164009999999998</v>
      </c>
      <c r="J8710">
        <v>-251.05459999999999</v>
      </c>
      <c r="K8710">
        <v>1.121316</v>
      </c>
      <c r="L8710">
        <v>-62.968510000000002</v>
      </c>
      <c r="M8710">
        <v>0.99985670000000004</v>
      </c>
      <c r="N8710">
        <v>-1.3733850000000001E-2</v>
      </c>
      <c r="O8710">
        <v>-9.91007E-3</v>
      </c>
      <c r="P8710">
        <v>0.99786759999999997</v>
      </c>
      <c r="Q8710">
        <v>-5.7181030000000001E-2</v>
      </c>
      <c r="R8710">
        <v>3.1475000000000003E-2</v>
      </c>
      <c r="S8710">
        <v>2.9984440000000001</v>
      </c>
      <c r="T8710">
        <v>-5.8653469999999999E-2</v>
      </c>
      <c r="U8710">
        <v>0.14663699999999999</v>
      </c>
      <c r="V8710">
        <v>-4.1335450000000003E-2</v>
      </c>
      <c r="W8710">
        <v>-4.3502470000000001E-2</v>
      </c>
      <c r="X8710">
        <v>0.99819789999999997</v>
      </c>
      <c r="Y8710">
        <v>-5.8723499999999998E-2</v>
      </c>
      <c r="Z8710">
        <v>1.0352429999999999E-3</v>
      </c>
      <c r="AA8710">
        <v>0.99827370000000004</v>
      </c>
      <c r="AB8710">
        <v>26</v>
      </c>
      <c r="AC8710">
        <v>57.192700000000002</v>
      </c>
      <c r="AD8710">
        <v>-1.121322678349</v>
      </c>
      <c r="AE8710">
        <v>2.8044999999999898</v>
      </c>
      <c r="AF8710">
        <v>-3.3699070320512998</v>
      </c>
      <c r="AG8710">
        <v>-1.121322678349</v>
      </c>
      <c r="AH8710">
        <v>57.140183730904504</v>
      </c>
      <c r="AI8710">
        <v>91.122282241622401</v>
      </c>
      <c r="AJ8710">
        <v>93.375173933542499</v>
      </c>
      <c r="AK8710">
        <v>57.250451830139902</v>
      </c>
      <c r="AL8710">
        <v>92.493294599093304</v>
      </c>
      <c r="AM8710">
        <v>92.371267739434401</v>
      </c>
      <c r="AN8710">
        <v>1.0000000659435999</v>
      </c>
    </row>
    <row r="8711" spans="1:40" x14ac:dyDescent="0.25">
      <c r="A8711" t="str">
        <f>"20190303154013481"</f>
        <v>20190303154013481</v>
      </c>
      <c r="B8711" t="str">
        <f>"1551598813476557"</f>
        <v>1551598813476557</v>
      </c>
      <c r="C8711" t="s">
        <v>40</v>
      </c>
      <c r="D8711">
        <v>4.4194050000000002</v>
      </c>
      <c r="E8711">
        <v>0.49311260000000001</v>
      </c>
      <c r="F8711" t="s">
        <v>63</v>
      </c>
      <c r="G8711">
        <v>-193.85499999999999</v>
      </c>
      <c r="H8711" s="1">
        <v>-6.6840519999999996E-6</v>
      </c>
      <c r="I8711">
        <v>-60.14555</v>
      </c>
      <c r="J8711">
        <v>-250.92570000000001</v>
      </c>
      <c r="K8711">
        <v>1.1213219999999999</v>
      </c>
      <c r="L8711">
        <v>-62.969569999999997</v>
      </c>
      <c r="M8711">
        <v>0.99985749999999995</v>
      </c>
      <c r="N8711">
        <v>-1.381723E-2</v>
      </c>
      <c r="O8711">
        <v>-9.7129810000000007E-3</v>
      </c>
      <c r="P8711">
        <v>0.99786909999999895</v>
      </c>
      <c r="Q8711">
        <v>-5.6910710000000003E-2</v>
      </c>
      <c r="R8711">
        <v>3.1915840000000001E-2</v>
      </c>
      <c r="S8711">
        <v>2.9983979999999999</v>
      </c>
      <c r="T8711">
        <v>-5.8779720000000001E-2</v>
      </c>
      <c r="U8711">
        <v>0.14797969999999999</v>
      </c>
      <c r="V8711">
        <v>-4.1579779999999997E-2</v>
      </c>
      <c r="W8711">
        <v>-4.314896E-2</v>
      </c>
      <c r="X8711">
        <v>0.99820299999999995</v>
      </c>
      <c r="Y8711">
        <v>-5.897326E-2</v>
      </c>
      <c r="Z8711">
        <v>1.041562E-3</v>
      </c>
      <c r="AA8711">
        <v>0.99825900000000001</v>
      </c>
      <c r="AB8711">
        <v>26</v>
      </c>
      <c r="AC8711">
        <v>57.070700000000002</v>
      </c>
      <c r="AD8711">
        <v>-1.121328684052</v>
      </c>
      <c r="AE8711">
        <v>2.8240199999999902</v>
      </c>
      <c r="AF8711">
        <v>-3.3769657486473998</v>
      </c>
      <c r="AG8711">
        <v>-1.121328684052</v>
      </c>
      <c r="AH8711">
        <v>57.018617009391598</v>
      </c>
      <c r="AI8711">
        <v>91.124663890648193</v>
      </c>
      <c r="AJ8711">
        <v>93.389421581550707</v>
      </c>
      <c r="AK8711">
        <v>57.129536680677603</v>
      </c>
      <c r="AL8711">
        <v>92.473021169683705</v>
      </c>
      <c r="AM8711">
        <v>92.385255768184706</v>
      </c>
      <c r="AN8711">
        <v>0.99999997003146401</v>
      </c>
    </row>
    <row r="8712" spans="1:40" x14ac:dyDescent="0.25">
      <c r="A8712" t="str">
        <f>"20190303154013493"</f>
        <v>20190303154013493</v>
      </c>
      <c r="B8712" t="str">
        <f>"1551598813487289"</f>
        <v>1551598813487289</v>
      </c>
      <c r="C8712" t="s">
        <v>40</v>
      </c>
      <c r="D8712">
        <v>4.4179079999999997</v>
      </c>
      <c r="E8712">
        <v>0.49310609999999999</v>
      </c>
      <c r="F8712" t="s">
        <v>63</v>
      </c>
      <c r="G8712">
        <v>-193.17840000000001</v>
      </c>
      <c r="H8712" s="1">
        <v>-6.6257629999999998E-6</v>
      </c>
      <c r="I8712">
        <v>-60.094799999999999</v>
      </c>
      <c r="J8712">
        <v>-250.79329999999999</v>
      </c>
      <c r="K8712">
        <v>1.121326</v>
      </c>
      <c r="L8712">
        <v>-62.970640000000003</v>
      </c>
      <c r="M8712">
        <v>0.99985829999999998</v>
      </c>
      <c r="N8712">
        <v>-1.389981E-2</v>
      </c>
      <c r="O8712">
        <v>-9.5101709999999996E-3</v>
      </c>
      <c r="P8712">
        <v>0.99789910000000004</v>
      </c>
      <c r="Q8712">
        <v>-5.6209299999999997E-2</v>
      </c>
      <c r="R8712">
        <v>3.2220779999999997E-2</v>
      </c>
      <c r="S8712">
        <v>2.998291</v>
      </c>
      <c r="T8712">
        <v>-5.8220389999999997E-2</v>
      </c>
      <c r="U8712">
        <v>0.14926149999999999</v>
      </c>
      <c r="V8712">
        <v>-4.1683999999999999E-2</v>
      </c>
      <c r="W8712">
        <v>-4.2364690000000003E-2</v>
      </c>
      <c r="X8712">
        <v>0.99823229999999996</v>
      </c>
      <c r="Y8712">
        <v>-5.9198430000000003E-2</v>
      </c>
      <c r="Z8712">
        <v>1.038548E-3</v>
      </c>
      <c r="AA8712">
        <v>0.99824570000000001</v>
      </c>
      <c r="AB8712">
        <v>26</v>
      </c>
      <c r="AC8712">
        <v>57.614899999999899</v>
      </c>
      <c r="AD8712">
        <v>-1.1213326257629901</v>
      </c>
      <c r="AE8712">
        <v>2.8758400000000002</v>
      </c>
      <c r="AF8712">
        <v>-3.42239718778205</v>
      </c>
      <c r="AG8712">
        <v>-1.1213326257629901</v>
      </c>
      <c r="AH8712">
        <v>57.5631914167367</v>
      </c>
      <c r="AI8712">
        <v>91.114015581812197</v>
      </c>
      <c r="AJ8712">
        <v>93.402492987289307</v>
      </c>
      <c r="AK8712">
        <v>57.675741828332001</v>
      </c>
      <c r="AL8712">
        <v>92.428044544964195</v>
      </c>
      <c r="AM8712">
        <v>92.391157391031896</v>
      </c>
      <c r="AN8712">
        <v>1.0000000237890401</v>
      </c>
    </row>
    <row r="8713" spans="1:40" x14ac:dyDescent="0.25">
      <c r="A8713" t="str">
        <f>"20190303154013504"</f>
        <v>20190303154013504</v>
      </c>
      <c r="B8713" t="str">
        <f>"1551598813497049"</f>
        <v>1551598813497049</v>
      </c>
      <c r="C8713" t="s">
        <v>40</v>
      </c>
      <c r="D8713">
        <v>4.4304389999999998</v>
      </c>
      <c r="E8713">
        <v>0.49309370000000002</v>
      </c>
      <c r="F8713" t="s">
        <v>63</v>
      </c>
      <c r="G8713">
        <v>-191.45269999999999</v>
      </c>
      <c r="H8713" s="1">
        <v>-6.4663459999999901E-6</v>
      </c>
      <c r="I8713">
        <v>-59.995980000000003</v>
      </c>
      <c r="J8713">
        <v>-250.65469999999999</v>
      </c>
      <c r="K8713">
        <v>1.1213329999999999</v>
      </c>
      <c r="L8713">
        <v>-62.971710000000002</v>
      </c>
      <c r="M8713">
        <v>0.9998591</v>
      </c>
      <c r="N8713">
        <v>-1.3978310000000001E-2</v>
      </c>
      <c r="O8713">
        <v>-9.2978020000000008E-3</v>
      </c>
      <c r="P8713">
        <v>0.99788960000000004</v>
      </c>
      <c r="Q8713">
        <v>-5.6170640000000001E-2</v>
      </c>
      <c r="R8713">
        <v>3.257256E-2</v>
      </c>
      <c r="S8713">
        <v>2.9982600000000001</v>
      </c>
      <c r="T8713">
        <v>-5.665684E-2</v>
      </c>
      <c r="U8713">
        <v>0.15029909999999999</v>
      </c>
      <c r="V8713">
        <v>-4.1823199999999998E-2</v>
      </c>
      <c r="W8713">
        <v>-4.2247739999999999E-2</v>
      </c>
      <c r="X8713">
        <v>0.99823139999999999</v>
      </c>
      <c r="Y8713">
        <v>-5.9332269999999999E-2</v>
      </c>
      <c r="Z8713">
        <v>1.0209100000000001E-3</v>
      </c>
      <c r="AA8713">
        <v>0.99823779999999995</v>
      </c>
      <c r="AB8713">
        <v>26</v>
      </c>
      <c r="AC8713">
        <v>59.201999999999998</v>
      </c>
      <c r="AD8713">
        <v>-1.1213394663459999</v>
      </c>
      <c r="AE8713">
        <v>2.9757299999999902</v>
      </c>
      <c r="AF8713">
        <v>-3.5248422110690001</v>
      </c>
      <c r="AG8713">
        <v>-1.1213394663459999</v>
      </c>
      <c r="AH8713">
        <v>59.150602746522999</v>
      </c>
      <c r="AI8713">
        <v>91.084124077087694</v>
      </c>
      <c r="AJ8713">
        <v>93.410278568659194</v>
      </c>
      <c r="AK8713">
        <v>59.266143118045903</v>
      </c>
      <c r="AL8713">
        <v>92.421337881519605</v>
      </c>
      <c r="AM8713">
        <v>92.399135293527195</v>
      </c>
      <c r="AN8713">
        <v>0.99999998976965299</v>
      </c>
    </row>
    <row r="8714" spans="1:40" x14ac:dyDescent="0.25">
      <c r="A8714" t="str">
        <f>"20190303154013515"</f>
        <v>20190303154013515</v>
      </c>
      <c r="B8714" t="str">
        <f>"1551598813506809"</f>
        <v>1551598813506809</v>
      </c>
      <c r="C8714" t="s">
        <v>40</v>
      </c>
      <c r="D8714">
        <v>4.4155199999999999</v>
      </c>
      <c r="E8714">
        <v>0.49314760000000002</v>
      </c>
      <c r="F8714" t="s">
        <v>63</v>
      </c>
      <c r="G8714">
        <v>-191.96789999999999</v>
      </c>
      <c r="H8714" s="1">
        <v>-6.5204030000000002E-6</v>
      </c>
      <c r="I8714">
        <v>-60.00705</v>
      </c>
      <c r="J8714">
        <v>-250.53479999999999</v>
      </c>
      <c r="K8714">
        <v>1.1213379999999999</v>
      </c>
      <c r="L8714">
        <v>-62.972630000000002</v>
      </c>
      <c r="M8714">
        <v>0.99985990000000002</v>
      </c>
      <c r="N8714">
        <v>-1.4041359999999999E-2</v>
      </c>
      <c r="O8714">
        <v>-9.1146579999999994E-3</v>
      </c>
      <c r="P8714">
        <v>0.99788169999999998</v>
      </c>
      <c r="Q8714">
        <v>-5.6130319999999997E-2</v>
      </c>
      <c r="R8714">
        <v>3.2890219999999998E-2</v>
      </c>
      <c r="S8714">
        <v>2.9981840000000002</v>
      </c>
      <c r="T8714">
        <v>-5.7286860000000002E-2</v>
      </c>
      <c r="U8714">
        <v>0.1514587</v>
      </c>
      <c r="V8714">
        <v>-4.1958559999999999E-2</v>
      </c>
      <c r="W8714">
        <v>-4.2144529999999999E-2</v>
      </c>
      <c r="X8714">
        <v>0.99823010000000001</v>
      </c>
      <c r="Y8714">
        <v>-5.9535400000000002E-2</v>
      </c>
      <c r="Z8714">
        <v>1.0328339999999901E-3</v>
      </c>
      <c r="AA8714">
        <v>0.99822569999999999</v>
      </c>
      <c r="AB8714">
        <v>26</v>
      </c>
      <c r="AC8714">
        <v>58.566899999999997</v>
      </c>
      <c r="AD8714">
        <v>-1.1213445204029999</v>
      </c>
      <c r="AE8714">
        <v>2.9655800000000001</v>
      </c>
      <c r="AF8714">
        <v>-3.4980476181426199</v>
      </c>
      <c r="AG8714">
        <v>-1.1213445204029999</v>
      </c>
      <c r="AH8714">
        <v>58.5160375860805</v>
      </c>
      <c r="AI8714">
        <v>91.095870453697501</v>
      </c>
      <c r="AJ8714">
        <v>93.421030233277506</v>
      </c>
      <c r="AK8714">
        <v>58.631223809910502</v>
      </c>
      <c r="AL8714">
        <v>92.415419069976394</v>
      </c>
      <c r="AM8714">
        <v>92.406894063609201</v>
      </c>
      <c r="AN8714">
        <v>1.0000000073561</v>
      </c>
    </row>
    <row r="8715" spans="1:40" x14ac:dyDescent="0.25">
      <c r="A8715" t="str">
        <f>"20190303154013526"</f>
        <v>20190303154013526</v>
      </c>
      <c r="B8715" t="str">
        <f>"1551598813516569"</f>
        <v>1551598813516569</v>
      </c>
      <c r="C8715" t="s">
        <v>40</v>
      </c>
      <c r="D8715">
        <v>4.4308800000000002</v>
      </c>
      <c r="E8715">
        <v>0.49315290000000001</v>
      </c>
      <c r="F8715" t="s">
        <v>63</v>
      </c>
      <c r="G8715">
        <v>-192.1832</v>
      </c>
      <c r="H8715" s="1">
        <v>-6.542346E-6</v>
      </c>
      <c r="I8715">
        <v>-60.013539999999999</v>
      </c>
      <c r="J8715">
        <v>-250.40530000000001</v>
      </c>
      <c r="K8715">
        <v>1.121345</v>
      </c>
      <c r="L8715">
        <v>-62.973570000000002</v>
      </c>
      <c r="M8715">
        <v>0.99986079999999999</v>
      </c>
      <c r="N8715">
        <v>-1.410552E-2</v>
      </c>
      <c r="O8715">
        <v>-8.9165059999999994E-3</v>
      </c>
      <c r="P8715">
        <v>0.99787559999999997</v>
      </c>
      <c r="Q8715">
        <v>-5.6057860000000001E-2</v>
      </c>
      <c r="R8715">
        <v>3.3197070000000002E-2</v>
      </c>
      <c r="S8715">
        <v>2.9981230000000001</v>
      </c>
      <c r="T8715">
        <v>-5.7615039999999999E-2</v>
      </c>
      <c r="U8715">
        <v>0.1520386</v>
      </c>
      <c r="V8715">
        <v>-4.2067800000000002E-2</v>
      </c>
      <c r="W8715">
        <v>-4.200802E-2</v>
      </c>
      <c r="X8715">
        <v>0.99823119999999999</v>
      </c>
      <c r="Y8715">
        <v>-5.9530949999999999E-2</v>
      </c>
      <c r="Z8715">
        <v>1.0373419999999999E-3</v>
      </c>
      <c r="AA8715">
        <v>0.9982259</v>
      </c>
      <c r="AB8715">
        <v>26</v>
      </c>
      <c r="AC8715">
        <v>58.222099999999998</v>
      </c>
      <c r="AD8715">
        <v>-1.1213515423459901</v>
      </c>
      <c r="AE8715">
        <v>2.9600299999999899</v>
      </c>
      <c r="AF8715">
        <v>-3.47781489372439</v>
      </c>
      <c r="AG8715">
        <v>-1.1213515423459901</v>
      </c>
      <c r="AH8715">
        <v>58.171866447820101</v>
      </c>
      <c r="AI8715">
        <v>91.102359040805993</v>
      </c>
      <c r="AJ8715">
        <v>93.421365475219602</v>
      </c>
      <c r="AK8715">
        <v>58.286522213454703</v>
      </c>
      <c r="AL8715">
        <v>92.407590825892498</v>
      </c>
      <c r="AM8715">
        <v>92.413150408938094</v>
      </c>
      <c r="AN8715">
        <v>0.999999951097299</v>
      </c>
    </row>
    <row r="8716" spans="1:40" x14ac:dyDescent="0.25">
      <c r="A8716" t="str">
        <f>"20190303154013537"</f>
        <v>20190303154013537</v>
      </c>
      <c r="B8716" t="str">
        <f>"1551598813527305"</f>
        <v>1551598813527305</v>
      </c>
      <c r="C8716" t="s">
        <v>40</v>
      </c>
      <c r="D8716">
        <v>4.4120660000000003</v>
      </c>
      <c r="E8716">
        <v>0.49312729999999999</v>
      </c>
      <c r="F8716" t="s">
        <v>63</v>
      </c>
      <c r="G8716">
        <v>-192.01259999999999</v>
      </c>
      <c r="H8716" s="1">
        <v>-6.5289899999999998E-6</v>
      </c>
      <c r="I8716">
        <v>-59.996899999999997</v>
      </c>
      <c r="J8716">
        <v>-250.28450000000001</v>
      </c>
      <c r="K8716">
        <v>1.121353</v>
      </c>
      <c r="L8716">
        <v>-62.974460000000001</v>
      </c>
      <c r="M8716">
        <v>0.99986160000000002</v>
      </c>
      <c r="N8716">
        <v>-1.415977E-2</v>
      </c>
      <c r="O8716">
        <v>-8.7316389999999994E-3</v>
      </c>
      <c r="P8716">
        <v>0.99788169999999998</v>
      </c>
      <c r="Q8716">
        <v>-5.5756229999999997E-2</v>
      </c>
      <c r="R8716">
        <v>3.3518970000000002E-2</v>
      </c>
      <c r="S8716">
        <v>2.998062</v>
      </c>
      <c r="T8716">
        <v>-5.7573680000000002E-2</v>
      </c>
      <c r="U8716">
        <v>0.152832</v>
      </c>
      <c r="V8716">
        <v>-4.2205520000000003E-2</v>
      </c>
      <c r="W8716">
        <v>-4.1652120000000001E-2</v>
      </c>
      <c r="X8716">
        <v>0.99824040000000003</v>
      </c>
      <c r="Y8716">
        <v>-5.9610910000000003E-2</v>
      </c>
      <c r="Z8716">
        <v>1.038357E-3</v>
      </c>
      <c r="AA8716">
        <v>0.99822120000000003</v>
      </c>
      <c r="AB8716">
        <v>26</v>
      </c>
      <c r="AC8716">
        <v>58.271900000000002</v>
      </c>
      <c r="AD8716">
        <v>-1.12135952898999</v>
      </c>
      <c r="AE8716">
        <v>2.97756</v>
      </c>
      <c r="AF8716">
        <v>-3.4850194942223101</v>
      </c>
      <c r="AG8716">
        <v>-1.12135952898999</v>
      </c>
      <c r="AH8716">
        <v>58.222172155744801</v>
      </c>
      <c r="AI8716">
        <v>91.101409915268803</v>
      </c>
      <c r="AJ8716">
        <v>93.425481031682395</v>
      </c>
      <c r="AK8716">
        <v>58.337159157792001</v>
      </c>
      <c r="AL8716">
        <v>92.3871811556061</v>
      </c>
      <c r="AM8716">
        <v>92.4210188197127</v>
      </c>
      <c r="AN8716">
        <v>1.00000005060556</v>
      </c>
    </row>
    <row r="8717" spans="1:40" x14ac:dyDescent="0.25">
      <c r="A8717" t="str">
        <f>"20190303154013547"</f>
        <v>20190303154013547</v>
      </c>
      <c r="B8717" t="str">
        <f>"1551598813537065"</f>
        <v>1551598813537065</v>
      </c>
      <c r="C8717" t="s">
        <v>40</v>
      </c>
      <c r="D8717">
        <v>4.4191909999999996</v>
      </c>
      <c r="E8717">
        <v>0.4931296</v>
      </c>
      <c r="F8717" t="s">
        <v>63</v>
      </c>
      <c r="G8717">
        <v>-191.1514</v>
      </c>
      <c r="H8717" s="1">
        <v>-6.4528999999999997E-6</v>
      </c>
      <c r="I8717">
        <v>-59.937710000000003</v>
      </c>
      <c r="J8717">
        <v>-250.15870000000001</v>
      </c>
      <c r="K8717">
        <v>1.121359</v>
      </c>
      <c r="L8717">
        <v>-62.975369999999998</v>
      </c>
      <c r="M8717">
        <v>0.99986269999999999</v>
      </c>
      <c r="N8717">
        <v>-1.421415E-2</v>
      </c>
      <c r="O8717">
        <v>-8.5395030000000004E-3</v>
      </c>
      <c r="P8717">
        <v>0.9978553</v>
      </c>
      <c r="Q8717">
        <v>-5.598446E-2</v>
      </c>
      <c r="R8717">
        <v>3.3925410000000003E-2</v>
      </c>
      <c r="S8717">
        <v>2.9980159999999998</v>
      </c>
      <c r="T8717">
        <v>-5.6852340000000001E-2</v>
      </c>
      <c r="U8717">
        <v>0.15396119999999999</v>
      </c>
      <c r="V8717">
        <v>-4.241988E-2</v>
      </c>
      <c r="W8717">
        <v>-4.18264E-2</v>
      </c>
      <c r="X8717">
        <v>0.998224</v>
      </c>
      <c r="Y8717">
        <v>-5.9795149999999998E-2</v>
      </c>
      <c r="Z8717">
        <v>1.0323939999999901E-3</v>
      </c>
      <c r="AA8717">
        <v>0.99821009999999999</v>
      </c>
      <c r="AB8717">
        <v>26</v>
      </c>
      <c r="AC8717">
        <v>59.007300000000001</v>
      </c>
      <c r="AD8717">
        <v>-1.1213654528999999</v>
      </c>
      <c r="AE8717">
        <v>3.0376599999999998</v>
      </c>
      <c r="AF8717">
        <v>-3.5402178915782798</v>
      </c>
      <c r="AG8717">
        <v>-1.1213654528999999</v>
      </c>
      <c r="AH8717">
        <v>58.957969147649997</v>
      </c>
      <c r="AI8717">
        <v>91.087661067312396</v>
      </c>
      <c r="AJ8717">
        <v>93.436283306182801</v>
      </c>
      <c r="AK8717">
        <v>59.074806213935702</v>
      </c>
      <c r="AL8717">
        <v>92.397175436810301</v>
      </c>
      <c r="AM8717">
        <v>92.433340255439703</v>
      </c>
      <c r="AN8717">
        <v>1.00000002406608</v>
      </c>
    </row>
    <row r="8718" spans="1:40" x14ac:dyDescent="0.25">
      <c r="A8718" t="str">
        <f>"20190303154013560"</f>
        <v>20190303154013560</v>
      </c>
      <c r="B8718" t="str">
        <f>"1551598813556585"</f>
        <v>1551598813556585</v>
      </c>
      <c r="C8718" t="s">
        <v>40</v>
      </c>
      <c r="D8718">
        <v>4.4278259999999996</v>
      </c>
      <c r="E8718">
        <v>0.49312630000000002</v>
      </c>
      <c r="F8718" t="s">
        <v>63</v>
      </c>
      <c r="G8718">
        <v>-192.1026</v>
      </c>
      <c r="H8718" s="1">
        <v>-6.5478779999999901E-6</v>
      </c>
      <c r="I8718">
        <v>-59.97195</v>
      </c>
      <c r="J8718">
        <v>-250.0249</v>
      </c>
      <c r="K8718">
        <v>1.121362</v>
      </c>
      <c r="L8718">
        <v>-62.976289999999999</v>
      </c>
      <c r="M8718">
        <v>0.99986379999999997</v>
      </c>
      <c r="N8718">
        <v>-1.4252290000000001E-2</v>
      </c>
      <c r="O8718">
        <v>-8.3346219999999999E-3</v>
      </c>
      <c r="P8718">
        <v>0.99783619999999995</v>
      </c>
      <c r="Q8718">
        <v>-5.6115980000000003E-2</v>
      </c>
      <c r="R8718">
        <v>3.426742E-2</v>
      </c>
      <c r="S8718">
        <v>2.9978940000000001</v>
      </c>
      <c r="T8718">
        <v>-5.7904959999999998E-2</v>
      </c>
      <c r="U8718">
        <v>0.15509029999999999</v>
      </c>
      <c r="V8718">
        <v>-4.255776E-2</v>
      </c>
      <c r="W8718">
        <v>-4.1920020000000002E-2</v>
      </c>
      <c r="X8718">
        <v>0.99821420000000005</v>
      </c>
      <c r="Y8718">
        <v>-5.9967029999999998E-2</v>
      </c>
      <c r="Z8718">
        <v>1.0485710000000001E-3</v>
      </c>
      <c r="AA8718">
        <v>0.99819979999999997</v>
      </c>
      <c r="AB8718">
        <v>26</v>
      </c>
      <c r="AC8718">
        <v>57.9223</v>
      </c>
      <c r="AD8718">
        <v>-1.121368547878</v>
      </c>
      <c r="AE8718">
        <v>3.00434</v>
      </c>
      <c r="AF8718">
        <v>-3.48574212304597</v>
      </c>
      <c r="AG8718">
        <v>-1.121368547878</v>
      </c>
      <c r="AH8718">
        <v>57.873612057268197</v>
      </c>
      <c r="AI8718">
        <v>91.108026006560806</v>
      </c>
      <c r="AJ8718">
        <v>93.446775212823795</v>
      </c>
      <c r="AK8718">
        <v>57.989333830660001</v>
      </c>
      <c r="AL8718">
        <v>92.402544185968694</v>
      </c>
      <c r="AM8718">
        <v>92.441263878629101</v>
      </c>
      <c r="AN8718">
        <v>1.00000002004732</v>
      </c>
    </row>
    <row r="8719" spans="1:40" x14ac:dyDescent="0.25">
      <c r="A8719" t="str">
        <f>"20190303154013571"</f>
        <v>20190303154013571</v>
      </c>
      <c r="B8719" t="str">
        <f>"1551598813567320"</f>
        <v>1551598813567320</v>
      </c>
      <c r="C8719" t="s">
        <v>40</v>
      </c>
      <c r="D8719">
        <v>4.4165979999999996</v>
      </c>
      <c r="E8719">
        <v>0.49310330000000002</v>
      </c>
      <c r="F8719" t="s">
        <v>63</v>
      </c>
      <c r="G8719">
        <v>-192.70169999999999</v>
      </c>
      <c r="H8719" s="1">
        <v>-6.6088089999999998E-6</v>
      </c>
      <c r="I8719">
        <v>-59.99033</v>
      </c>
      <c r="J8719">
        <v>-249.89510000000001</v>
      </c>
      <c r="K8719">
        <v>1.1213610000000001</v>
      </c>
      <c r="L8719">
        <v>-62.977170000000001</v>
      </c>
      <c r="M8719">
        <v>0.99986509999999995</v>
      </c>
      <c r="N8719">
        <v>-1.427899E-2</v>
      </c>
      <c r="O8719">
        <v>-8.1356209999999905E-3</v>
      </c>
      <c r="P8719">
        <v>0.99781880000000001</v>
      </c>
      <c r="Q8719">
        <v>-5.6247409999999998E-2</v>
      </c>
      <c r="R8719">
        <v>3.4558560000000002E-2</v>
      </c>
      <c r="S8719">
        <v>2.9978639999999999</v>
      </c>
      <c r="T8719">
        <v>-5.8644889999999998E-2</v>
      </c>
      <c r="U8719">
        <v>0.156158399999999</v>
      </c>
      <c r="V8719">
        <v>-4.2649909999999999E-2</v>
      </c>
      <c r="W8719">
        <v>-4.202496E-2</v>
      </c>
      <c r="X8719">
        <v>0.99820580000000003</v>
      </c>
      <c r="Y8719">
        <v>-6.0123120000000002E-2</v>
      </c>
      <c r="Z8719">
        <v>1.060196E-3</v>
      </c>
      <c r="AA8719">
        <v>0.99819040000000003</v>
      </c>
      <c r="AB8719">
        <v>26</v>
      </c>
      <c r="AC8719">
        <v>57.193399999999997</v>
      </c>
      <c r="AD8719">
        <v>-1.1213676088089899</v>
      </c>
      <c r="AE8719">
        <v>2.98683999999998</v>
      </c>
      <c r="AF8719">
        <v>-3.4507693997254401</v>
      </c>
      <c r="AG8719">
        <v>-1.1213676088089899</v>
      </c>
      <c r="AH8719">
        <v>57.145296588280999</v>
      </c>
      <c r="AI8719">
        <v>91.122132752739304</v>
      </c>
      <c r="AJ8719">
        <v>93.4556602175943</v>
      </c>
      <c r="AK8719">
        <v>57.260371959381899</v>
      </c>
      <c r="AL8719">
        <v>92.408562239315202</v>
      </c>
      <c r="AM8719">
        <v>92.446564075827894</v>
      </c>
      <c r="AN8719">
        <v>0.99999996561982396</v>
      </c>
    </row>
    <row r="8720" spans="1:40" x14ac:dyDescent="0.25">
      <c r="A8720" t="str">
        <f>"20190303154013582"</f>
        <v>20190303154013582</v>
      </c>
      <c r="B8720" t="str">
        <f>"1551598813577081"</f>
        <v>1551598813577081</v>
      </c>
      <c r="C8720" t="s">
        <v>40</v>
      </c>
      <c r="D8720">
        <v>4.428134</v>
      </c>
      <c r="E8720">
        <v>0.49307810000000002</v>
      </c>
      <c r="F8720" t="s">
        <v>63</v>
      </c>
      <c r="G8720">
        <v>-192.9213</v>
      </c>
      <c r="H8720" s="1">
        <v>-6.633751E-6</v>
      </c>
      <c r="I8720">
        <v>-59.989640000000001</v>
      </c>
      <c r="J8720">
        <v>-249.76509999999999</v>
      </c>
      <c r="K8720">
        <v>1.121351</v>
      </c>
      <c r="L8720">
        <v>-62.9779699999999</v>
      </c>
      <c r="M8720">
        <v>0.9998669</v>
      </c>
      <c r="N8720">
        <v>-1.426322E-2</v>
      </c>
      <c r="O8720">
        <v>-7.9351290000000008E-3</v>
      </c>
      <c r="P8720">
        <v>0.99780400000000002</v>
      </c>
      <c r="Q8720">
        <v>-5.6333979999999999E-2</v>
      </c>
      <c r="R8720">
        <v>3.4844010000000002E-2</v>
      </c>
      <c r="S8720">
        <v>2.9978180000000001</v>
      </c>
      <c r="T8720">
        <v>-5.9003590000000002E-2</v>
      </c>
      <c r="U8720">
        <v>0.157196</v>
      </c>
      <c r="V8720">
        <v>-4.27354E-2</v>
      </c>
      <c r="W8720">
        <v>-4.2127480000000002E-2</v>
      </c>
      <c r="X8720">
        <v>0.99819789999999997</v>
      </c>
      <c r="Y8720">
        <v>-6.0268059999999998E-2</v>
      </c>
      <c r="Z8720">
        <v>1.0658009999999999E-3</v>
      </c>
      <c r="AA8720">
        <v>0.9981816</v>
      </c>
      <c r="AB8720">
        <v>26</v>
      </c>
      <c r="AC8720">
        <v>56.843799999999902</v>
      </c>
      <c r="AD8720">
        <v>-1.1213576337510001</v>
      </c>
      <c r="AE8720">
        <v>2.9883299999999902</v>
      </c>
      <c r="AF8720">
        <v>-3.4380103919499398</v>
      </c>
      <c r="AG8720">
        <v>-1.1213576337510001</v>
      </c>
      <c r="AH8720">
        <v>56.796253190715703</v>
      </c>
      <c r="AI8720">
        <v>91.1290070812652</v>
      </c>
      <c r="AJ8720">
        <v>93.464021103061498</v>
      </c>
      <c r="AK8720">
        <v>56.911261933837103</v>
      </c>
      <c r="AL8720">
        <v>92.4144412218036</v>
      </c>
      <c r="AM8720">
        <v>92.451481514400996</v>
      </c>
      <c r="AN8720">
        <v>1.0000000432743501</v>
      </c>
    </row>
    <row r="8721" spans="1:40" x14ac:dyDescent="0.25">
      <c r="A8721" t="str">
        <f>"20190303154013593"</f>
        <v>20190303154013593</v>
      </c>
      <c r="B8721" t="str">
        <f>"1551598813586841"</f>
        <v>1551598813586841</v>
      </c>
      <c r="C8721" t="s">
        <v>40</v>
      </c>
      <c r="D8721">
        <v>4.4039409999999997</v>
      </c>
      <c r="E8721">
        <v>0.49311110000000002</v>
      </c>
      <c r="F8721" t="s">
        <v>63</v>
      </c>
      <c r="G8721">
        <v>-193.10599999999999</v>
      </c>
      <c r="H8721" s="1">
        <v>-6.6559790000000004E-6</v>
      </c>
      <c r="I8721">
        <v>-59.985520000000001</v>
      </c>
      <c r="J8721">
        <v>-249.63890000000001</v>
      </c>
      <c r="K8721">
        <v>1.12134</v>
      </c>
      <c r="L8721">
        <v>-62.978760000000001</v>
      </c>
      <c r="M8721">
        <v>0.9998688</v>
      </c>
      <c r="N8721">
        <v>-1.422704E-2</v>
      </c>
      <c r="O8721">
        <v>-7.7409219999999999E-3</v>
      </c>
      <c r="P8721">
        <v>0.99779600000000002</v>
      </c>
      <c r="Q8721">
        <v>-5.6338140000000002E-2</v>
      </c>
      <c r="R8721">
        <v>3.5059979999999998E-2</v>
      </c>
      <c r="S8721">
        <v>2.9977260000000001</v>
      </c>
      <c r="T8721">
        <v>-5.9329029999999998E-2</v>
      </c>
      <c r="U8721">
        <v>0.1583252</v>
      </c>
      <c r="V8721">
        <v>-4.2757219999999999E-2</v>
      </c>
      <c r="W8721">
        <v>-4.2167929999999999E-2</v>
      </c>
      <c r="X8721">
        <v>0.99819519999999995</v>
      </c>
      <c r="Y8721">
        <v>-6.0450490000000003E-2</v>
      </c>
      <c r="Z8721">
        <v>1.0711690000000001E-3</v>
      </c>
      <c r="AA8721">
        <v>0.99817060000000002</v>
      </c>
      <c r="AB8721">
        <v>26</v>
      </c>
      <c r="AC8721">
        <v>56.532899999999998</v>
      </c>
      <c r="AD8721">
        <v>-1.121346655979</v>
      </c>
      <c r="AE8721">
        <v>2.9932400000000001</v>
      </c>
      <c r="AF8721">
        <v>-3.4294658632520498</v>
      </c>
      <c r="AG8721">
        <v>-1.121346655979</v>
      </c>
      <c r="AH8721">
        <v>56.4858714598926</v>
      </c>
      <c r="AI8721">
        <v>91.135185651958807</v>
      </c>
      <c r="AJ8721">
        <v>93.474373536875405</v>
      </c>
      <c r="AK8721">
        <v>56.6009922970754</v>
      </c>
      <c r="AL8721">
        <v>92.416761036392302</v>
      </c>
      <c r="AM8721">
        <v>92.452738298995101</v>
      </c>
      <c r="AN8721">
        <v>0.999999985742826</v>
      </c>
    </row>
    <row r="8722" spans="1:40" x14ac:dyDescent="0.25">
      <c r="A8722" t="str">
        <f>"20190303154013604"</f>
        <v>20190303154013604</v>
      </c>
      <c r="B8722" t="str">
        <f>"1551598813596601"</f>
        <v>1551598813596601</v>
      </c>
      <c r="C8722" t="s">
        <v>40</v>
      </c>
      <c r="D8722">
        <v>4.4302299999999999</v>
      </c>
      <c r="E8722">
        <v>0.49314829999999998</v>
      </c>
      <c r="F8722" t="s">
        <v>63</v>
      </c>
      <c r="G8722">
        <v>-193.29589999999999</v>
      </c>
      <c r="H8722" s="1">
        <v>-6.6742409999999899E-6</v>
      </c>
      <c r="I8722">
        <v>-59.994349999999997</v>
      </c>
      <c r="J8722">
        <v>-249.51679999999999</v>
      </c>
      <c r="K8722">
        <v>1.121316</v>
      </c>
      <c r="L8722">
        <v>-62.979489999999998</v>
      </c>
      <c r="M8722">
        <v>0.99987119999999996</v>
      </c>
      <c r="N8722">
        <v>-1.415927E-2</v>
      </c>
      <c r="O8722">
        <v>-7.5537540000000002E-3</v>
      </c>
      <c r="P8722">
        <v>0.99776699999999996</v>
      </c>
      <c r="Q8722">
        <v>-5.655524E-2</v>
      </c>
      <c r="R8722">
        <v>3.5533830000000002E-2</v>
      </c>
      <c r="S8722">
        <v>2.997681</v>
      </c>
      <c r="T8722">
        <v>-5.9660320000000003E-2</v>
      </c>
      <c r="U8722">
        <v>0.15878299999999901</v>
      </c>
      <c r="V8722">
        <v>-4.3043709999999999E-2</v>
      </c>
      <c r="W8722">
        <v>-4.2453419999999999E-2</v>
      </c>
      <c r="X8722">
        <v>0.99817080000000002</v>
      </c>
      <c r="Y8722">
        <v>-6.0416310000000001E-2</v>
      </c>
      <c r="Z8722">
        <v>1.07219E-3</v>
      </c>
      <c r="AA8722">
        <v>0.99817270000000002</v>
      </c>
      <c r="AB8722">
        <v>26</v>
      </c>
      <c r="AC8722">
        <v>56.2209</v>
      </c>
      <c r="AD8722">
        <v>-1.1213226742410001</v>
      </c>
      <c r="AE8722">
        <v>2.9851399999999999</v>
      </c>
      <c r="AF8722">
        <v>-3.4084241887442701</v>
      </c>
      <c r="AG8722">
        <v>-1.1213226742410001</v>
      </c>
      <c r="AH8722">
        <v>56.1744609999229</v>
      </c>
      <c r="AI8722">
        <v>91.141455258100393</v>
      </c>
      <c r="AJ8722">
        <v>93.472204119839105</v>
      </c>
      <c r="AK8722">
        <v>56.288940198071202</v>
      </c>
      <c r="AL8722">
        <v>92.433133035408503</v>
      </c>
      <c r="AM8722">
        <v>92.469212609996205</v>
      </c>
      <c r="AN8722">
        <v>0.99999999990645005</v>
      </c>
    </row>
    <row r="8723" spans="1:40" x14ac:dyDescent="0.25">
      <c r="A8723" t="str">
        <f>"20190303154013616"</f>
        <v>20190303154013616</v>
      </c>
      <c r="B8723" t="str">
        <f>"1551598813607337"</f>
        <v>1551598813607337</v>
      </c>
      <c r="C8723" t="s">
        <v>40</v>
      </c>
      <c r="D8723">
        <v>4.4225989999999999</v>
      </c>
      <c r="E8723">
        <v>0.4931991</v>
      </c>
      <c r="F8723" t="s">
        <v>63</v>
      </c>
      <c r="G8723">
        <v>-194.1695</v>
      </c>
      <c r="H8723" s="1">
        <v>-6.7608770000000004E-6</v>
      </c>
      <c r="I8723">
        <v>-60.027450000000002</v>
      </c>
      <c r="J8723">
        <v>-249.38220000000001</v>
      </c>
      <c r="K8723">
        <v>1.121291</v>
      </c>
      <c r="L8723">
        <v>-62.980289999999997</v>
      </c>
      <c r="M8723">
        <v>0.99987420000000005</v>
      </c>
      <c r="N8723">
        <v>-1.405728E-2</v>
      </c>
      <c r="O8723">
        <v>-7.3476619999999996E-3</v>
      </c>
      <c r="P8723">
        <v>0.99776279999999995</v>
      </c>
      <c r="Q8723">
        <v>-5.6422670000000001E-2</v>
      </c>
      <c r="R8723">
        <v>3.5861179999999999E-2</v>
      </c>
      <c r="S8723">
        <v>2.9975890000000001</v>
      </c>
      <c r="T8723">
        <v>-6.073046E-2</v>
      </c>
      <c r="U8723">
        <v>0.15988160000000001</v>
      </c>
      <c r="V8723">
        <v>-4.3165139999999998E-2</v>
      </c>
      <c r="W8723">
        <v>-4.2422880000000003E-2</v>
      </c>
      <c r="X8723">
        <v>0.99816689999999997</v>
      </c>
      <c r="Y8723">
        <v>-6.0576379999999999E-2</v>
      </c>
      <c r="Z8723">
        <v>1.0848349999999999E-3</v>
      </c>
      <c r="AA8723">
        <v>0.99816300000000002</v>
      </c>
      <c r="AB8723">
        <v>26</v>
      </c>
      <c r="AC8723">
        <v>55.212699999999998</v>
      </c>
      <c r="AD8723">
        <v>-1.1212977608769901</v>
      </c>
      <c r="AE8723">
        <v>2.9528400000000001</v>
      </c>
      <c r="AF8723">
        <v>-3.3571039534505198</v>
      </c>
      <c r="AG8723">
        <v>-1.1212977608769901</v>
      </c>
      <c r="AH8723">
        <v>55.166822379773798</v>
      </c>
      <c r="AI8723">
        <v>91.162260276717404</v>
      </c>
      <c r="AJ8723">
        <v>93.482364462689304</v>
      </c>
      <c r="AK8723">
        <v>55.280247350245602</v>
      </c>
      <c r="AL8723">
        <v>92.4313815343789</v>
      </c>
      <c r="AM8723">
        <v>92.476179475252593</v>
      </c>
      <c r="AN8723">
        <v>1.00000004515716</v>
      </c>
    </row>
    <row r="8724" spans="1:40" x14ac:dyDescent="0.25">
      <c r="A8724" t="str">
        <f>"20190303154013625"</f>
        <v>20190303154013625</v>
      </c>
      <c r="B8724" t="str">
        <f>"1551598813617097"</f>
        <v>1551598813617097</v>
      </c>
      <c r="C8724" t="s">
        <v>40</v>
      </c>
      <c r="D8724">
        <v>4.4114420000000001</v>
      </c>
      <c r="E8724">
        <v>0.4932146</v>
      </c>
      <c r="F8724" t="s">
        <v>63</v>
      </c>
      <c r="G8724">
        <v>-193.9051</v>
      </c>
      <c r="H8724" s="1">
        <v>-6.7370790000000003E-6</v>
      </c>
      <c r="I8724">
        <v>-60.010530000000003</v>
      </c>
      <c r="J8724">
        <v>-249.26</v>
      </c>
      <c r="K8724">
        <v>1.121265</v>
      </c>
      <c r="L8724">
        <v>-62.980960000000003</v>
      </c>
      <c r="M8724">
        <v>0.99987720000000002</v>
      </c>
      <c r="N8724">
        <v>-1.394565E-2</v>
      </c>
      <c r="O8724">
        <v>-7.1605999999999996E-3</v>
      </c>
      <c r="P8724">
        <v>0.99776969999999998</v>
      </c>
      <c r="Q8724">
        <v>-5.6263279999999999E-2</v>
      </c>
      <c r="R8724">
        <v>3.5921460000000002E-2</v>
      </c>
      <c r="S8724">
        <v>2.997528</v>
      </c>
      <c r="T8724">
        <v>-6.0585739999999999E-2</v>
      </c>
      <c r="U8724">
        <v>0.1604614</v>
      </c>
      <c r="V8724">
        <v>-4.3039099999999997E-2</v>
      </c>
      <c r="W8724">
        <v>-4.2374700000000001E-2</v>
      </c>
      <c r="X8724">
        <v>0.99817440000000002</v>
      </c>
      <c r="Y8724">
        <v>-6.0583390000000001E-2</v>
      </c>
      <c r="Z8724">
        <v>1.0794170000000001E-3</v>
      </c>
      <c r="AA8724">
        <v>0.99816260000000001</v>
      </c>
      <c r="AB8724">
        <v>26</v>
      </c>
      <c r="AC8724">
        <v>55.354900000000001</v>
      </c>
      <c r="AD8724">
        <v>-1.121271737079</v>
      </c>
      <c r="AE8724">
        <v>2.9704299999999901</v>
      </c>
      <c r="AF8724">
        <v>-3.3653897631279799</v>
      </c>
      <c r="AG8724">
        <v>-1.121271737079</v>
      </c>
      <c r="AH8724">
        <v>55.309579656816297</v>
      </c>
      <c r="AI8724">
        <v>91.159234846789502</v>
      </c>
      <c r="AJ8724">
        <v>93.481950083628107</v>
      </c>
      <c r="AK8724">
        <v>55.423214453691301</v>
      </c>
      <c r="AL8724">
        <v>92.428618512745999</v>
      </c>
      <c r="AM8724">
        <v>92.468939590068203</v>
      </c>
      <c r="AN8724">
        <v>1.0000000560721201</v>
      </c>
    </row>
    <row r="8725" spans="1:40" x14ac:dyDescent="0.25">
      <c r="A8725" t="str">
        <f>"20190303154013637"</f>
        <v>20190303154013637</v>
      </c>
      <c r="B8725" t="str">
        <f>"1551598813626857"</f>
        <v>1551598813626857</v>
      </c>
      <c r="C8725" t="s">
        <v>40</v>
      </c>
      <c r="D8725">
        <v>4.4022680000000003</v>
      </c>
      <c r="E8725">
        <v>0.49326199999999998</v>
      </c>
      <c r="F8725" t="s">
        <v>63</v>
      </c>
      <c r="G8725">
        <v>-193.50579999999999</v>
      </c>
      <c r="H8725" s="1">
        <v>-6.6979279999999998E-6</v>
      </c>
      <c r="I8725">
        <v>-59.994109999999999</v>
      </c>
      <c r="J8725">
        <v>-249.13669999999999</v>
      </c>
      <c r="K8725">
        <v>1.1212359999999999</v>
      </c>
      <c r="L8725">
        <v>-62.981630000000003</v>
      </c>
      <c r="M8725">
        <v>0.9998804</v>
      </c>
      <c r="N8725">
        <v>-1.381251E-2</v>
      </c>
      <c r="O8725">
        <v>-6.9703279999999996E-3</v>
      </c>
      <c r="P8725">
        <v>0.99778809999999996</v>
      </c>
      <c r="Q8725">
        <v>-5.5834389999999998E-2</v>
      </c>
      <c r="R8725">
        <v>3.6075219999999998E-2</v>
      </c>
      <c r="S8725">
        <v>2.9975429999999998</v>
      </c>
      <c r="T8725">
        <v>-6.0283539999999997E-2</v>
      </c>
      <c r="U8725">
        <v>0.16058349999999999</v>
      </c>
      <c r="V8725">
        <v>-4.300346E-2</v>
      </c>
      <c r="W8725">
        <v>-4.2078280000000003E-2</v>
      </c>
      <c r="X8725">
        <v>0.99818839999999998</v>
      </c>
      <c r="Y8725">
        <v>-6.043399E-2</v>
      </c>
      <c r="Z8725">
        <v>1.0688239999999999E-3</v>
      </c>
      <c r="AA8725">
        <v>0.99817160000000005</v>
      </c>
      <c r="AB8725">
        <v>26</v>
      </c>
      <c r="AC8725">
        <v>55.630899999999997</v>
      </c>
      <c r="AD8725">
        <v>-1.1212426979279999</v>
      </c>
      <c r="AE8725">
        <v>2.98752</v>
      </c>
      <c r="AF8725">
        <v>-3.3738833736911098</v>
      </c>
      <c r="AG8725">
        <v>-1.1212426979279999</v>
      </c>
      <c r="AH8725">
        <v>55.586206724663597</v>
      </c>
      <c r="AI8725">
        <v>91.153448037224393</v>
      </c>
      <c r="AJ8725">
        <v>93.473387109860795</v>
      </c>
      <c r="AK8725">
        <v>55.699790414722102</v>
      </c>
      <c r="AL8725">
        <v>92.411619919074894</v>
      </c>
      <c r="AM8725">
        <v>92.466863070414504</v>
      </c>
      <c r="AN8725">
        <v>0.99999998055714401</v>
      </c>
    </row>
    <row r="8726" spans="1:40" x14ac:dyDescent="0.25">
      <c r="A8726" t="str">
        <f>"20190303154013648"</f>
        <v>20190303154013648</v>
      </c>
      <c r="B8726" t="str">
        <f>"1551598813636617"</f>
        <v>1551598813636617</v>
      </c>
      <c r="C8726" t="s">
        <v>40</v>
      </c>
      <c r="D8726">
        <v>4.3931879999999897</v>
      </c>
      <c r="E8726">
        <v>0.49329790000000001</v>
      </c>
      <c r="F8726" t="s">
        <v>63</v>
      </c>
      <c r="G8726">
        <v>-192.61080000000001</v>
      </c>
      <c r="H8726" s="1">
        <v>-6.6117459999999997E-6</v>
      </c>
      <c r="I8726">
        <v>-59.952829999999999</v>
      </c>
      <c r="J8726">
        <v>-249.01060000000001</v>
      </c>
      <c r="K8726">
        <v>1.121205</v>
      </c>
      <c r="L8726">
        <v>-62.982300000000002</v>
      </c>
      <c r="M8726">
        <v>0.99988359999999998</v>
      </c>
      <c r="N8726">
        <v>-1.366962E-2</v>
      </c>
      <c r="O8726">
        <v>-6.7753609999999997E-3</v>
      </c>
      <c r="P8726">
        <v>0.99779180000000001</v>
      </c>
      <c r="Q8726">
        <v>-5.5584069999999999E-2</v>
      </c>
      <c r="R8726">
        <v>3.6361820000000003E-2</v>
      </c>
      <c r="S8726">
        <v>2.9974980000000002</v>
      </c>
      <c r="T8726">
        <v>-5.945814E-2</v>
      </c>
      <c r="U8726">
        <v>0.16061400000000001</v>
      </c>
      <c r="V8726">
        <v>-4.3095519999999998E-2</v>
      </c>
      <c r="W8726">
        <v>-4.1970359999999998E-2</v>
      </c>
      <c r="X8726">
        <v>0.99818899999999999</v>
      </c>
      <c r="Y8726">
        <v>-6.0250890000000001E-2</v>
      </c>
      <c r="Z8726">
        <v>1.051008E-3</v>
      </c>
      <c r="AA8726">
        <v>0.99818269999999998</v>
      </c>
      <c r="AB8726">
        <v>26</v>
      </c>
      <c r="AC8726">
        <v>56.399799999999999</v>
      </c>
      <c r="AD8726">
        <v>-1.121211611746</v>
      </c>
      <c r="AE8726">
        <v>3.0294699999999901</v>
      </c>
      <c r="AF8726">
        <v>-3.4102213163440398</v>
      </c>
      <c r="AG8726">
        <v>-1.121211611746</v>
      </c>
      <c r="AH8726">
        <v>56.355769655965503</v>
      </c>
      <c r="AI8726">
        <v>91.137682468573601</v>
      </c>
      <c r="AJ8726">
        <v>93.462880930650101</v>
      </c>
      <c r="AK8726">
        <v>56.469987590055297</v>
      </c>
      <c r="AL8726">
        <v>92.405431026675402</v>
      </c>
      <c r="AM8726">
        <v>92.472135998278006</v>
      </c>
      <c r="AN8726">
        <v>1.0000000073417901</v>
      </c>
    </row>
    <row r="8727" spans="1:40" x14ac:dyDescent="0.25">
      <c r="A8727" t="str">
        <f>"20190303154013661"</f>
        <v>20190303154013661</v>
      </c>
      <c r="B8727" t="str">
        <f>"1551598813657113"</f>
        <v>1551598813657113</v>
      </c>
      <c r="C8727" t="s">
        <v>40</v>
      </c>
      <c r="D8727">
        <v>4.4615269999999896</v>
      </c>
      <c r="E8727">
        <v>0.49318260000000003</v>
      </c>
      <c r="F8727" t="s">
        <v>63</v>
      </c>
      <c r="G8727">
        <v>-191.9778</v>
      </c>
      <c r="H8727" s="1">
        <v>-6.553946E-6</v>
      </c>
      <c r="I8727">
        <v>-59.914670000000001</v>
      </c>
      <c r="J8727">
        <v>-248.87090000000001</v>
      </c>
      <c r="K8727">
        <v>1.1211719999999901</v>
      </c>
      <c r="L8727">
        <v>-62.983029999999999</v>
      </c>
      <c r="M8727">
        <v>0.99988739999999998</v>
      </c>
      <c r="N8727">
        <v>-1.350019E-2</v>
      </c>
      <c r="O8727">
        <v>-6.5571249999999996E-3</v>
      </c>
      <c r="P8727">
        <v>0.9977779</v>
      </c>
      <c r="Q8727">
        <v>-5.5688700000000001E-2</v>
      </c>
      <c r="R8727">
        <v>3.6578060000000003E-2</v>
      </c>
      <c r="S8727">
        <v>2.997452</v>
      </c>
      <c r="T8727">
        <v>-5.8927180000000003E-2</v>
      </c>
      <c r="U8727">
        <v>0.16122439999999999</v>
      </c>
      <c r="V8727">
        <v>-4.3094069999999998E-2</v>
      </c>
      <c r="W8727">
        <v>-4.2243919999999997E-2</v>
      </c>
      <c r="X8727">
        <v>0.99817750000000005</v>
      </c>
      <c r="Y8727">
        <v>-6.023688E-2</v>
      </c>
      <c r="Z8727">
        <v>1.0389500000000001E-3</v>
      </c>
      <c r="AA8727">
        <v>0.9981835</v>
      </c>
      <c r="AB8727">
        <v>26</v>
      </c>
      <c r="AC8727">
        <v>56.893099999999997</v>
      </c>
      <c r="AD8727">
        <v>-1.12117855394599</v>
      </c>
      <c r="AE8727">
        <v>3.06836000000001</v>
      </c>
      <c r="AF8727">
        <v>-3.4400510896009702</v>
      </c>
      <c r="AG8727">
        <v>-1.12117855394599</v>
      </c>
      <c r="AH8727">
        <v>56.849741301430797</v>
      </c>
      <c r="AI8727">
        <v>91.127766455323496</v>
      </c>
      <c r="AJ8727">
        <v>93.462819050872596</v>
      </c>
      <c r="AK8727">
        <v>56.964761729410398</v>
      </c>
      <c r="AL8727">
        <v>92.421118828649597</v>
      </c>
      <c r="AM8727">
        <v>92.472081368694404</v>
      </c>
      <c r="AN8727">
        <v>0.99999998457618999</v>
      </c>
    </row>
    <row r="8728" spans="1:40" x14ac:dyDescent="0.25">
      <c r="A8728" t="str">
        <f>"20190303154013671"</f>
        <v>20190303154013671</v>
      </c>
      <c r="B8728" t="str">
        <f>"1551598813666873"</f>
        <v>1551598813666873</v>
      </c>
      <c r="C8728" t="s">
        <v>40</v>
      </c>
      <c r="D8728">
        <v>4.4718159999999996</v>
      </c>
      <c r="E8728">
        <v>0.49312220000000001</v>
      </c>
      <c r="F8728" t="s">
        <v>63</v>
      </c>
      <c r="G8728">
        <v>-194.0145</v>
      </c>
      <c r="H8728" s="1">
        <v>-6.7521330000000004E-6</v>
      </c>
      <c r="I8728">
        <v>-60.00271</v>
      </c>
      <c r="J8728">
        <v>-248.7413</v>
      </c>
      <c r="K8728">
        <v>1.1211439999999999</v>
      </c>
      <c r="L8728">
        <v>-62.983669999999996</v>
      </c>
      <c r="M8728">
        <v>0.99989079999999997</v>
      </c>
      <c r="N8728">
        <v>-1.334226E-2</v>
      </c>
      <c r="O8728">
        <v>-6.3545850000000003E-3</v>
      </c>
      <c r="P8728">
        <v>0.99777629999999995</v>
      </c>
      <c r="Q8728">
        <v>-5.5590029999999999E-2</v>
      </c>
      <c r="R8728">
        <v>3.6772260000000001E-2</v>
      </c>
      <c r="S8728">
        <v>2.9972989999999999</v>
      </c>
      <c r="T8728">
        <v>-6.1260099999999998E-2</v>
      </c>
      <c r="U8728">
        <v>0.16284179999999901</v>
      </c>
      <c r="V8728">
        <v>-4.3086350000000002E-2</v>
      </c>
      <c r="W8728">
        <v>-4.2302569999999998E-2</v>
      </c>
      <c r="X8728">
        <v>0.99817540000000005</v>
      </c>
      <c r="Y8728">
        <v>-6.0573160000000001E-2</v>
      </c>
      <c r="Z8728">
        <v>1.0680209999999999E-3</v>
      </c>
      <c r="AA8728">
        <v>0.99816320000000003</v>
      </c>
      <c r="AB8728">
        <v>26</v>
      </c>
      <c r="AC8728">
        <v>54.726799999999997</v>
      </c>
      <c r="AD8728">
        <v>-1.121150752133</v>
      </c>
      <c r="AE8728">
        <v>2.9809599999999898</v>
      </c>
      <c r="AF8728">
        <v>-3.3273045576748599</v>
      </c>
      <c r="AG8728">
        <v>-1.121150752133</v>
      </c>
      <c r="AH8728">
        <v>54.683868043367497</v>
      </c>
      <c r="AI8728">
        <v>91.172369068518407</v>
      </c>
      <c r="AJ8728">
        <v>93.481936621999793</v>
      </c>
      <c r="AK8728">
        <v>54.796472138386498</v>
      </c>
      <c r="AL8728">
        <v>92.424482110254999</v>
      </c>
      <c r="AM8728">
        <v>92.471644255413395</v>
      </c>
      <c r="AN8728">
        <v>1.00000003507504</v>
      </c>
    </row>
    <row r="8729" spans="1:40" x14ac:dyDescent="0.25">
      <c r="A8729" t="str">
        <f>"20190303154013683"</f>
        <v>20190303154013683</v>
      </c>
      <c r="B8729" t="str">
        <f>"1551598813676633"</f>
        <v>1551598813676633</v>
      </c>
      <c r="C8729" t="s">
        <v>40</v>
      </c>
      <c r="D8729">
        <v>4.4565530000000004</v>
      </c>
      <c r="E8729">
        <v>0.49307509999999999</v>
      </c>
      <c r="F8729" t="s">
        <v>63</v>
      </c>
      <c r="G8729">
        <v>-194.40880000000001</v>
      </c>
      <c r="H8729" s="1">
        <v>-6.7934839999999998E-6</v>
      </c>
      <c r="I8729">
        <v>-60.011240000000001</v>
      </c>
      <c r="J8729">
        <v>-248.61109999999999</v>
      </c>
      <c r="K8729">
        <v>1.1211180000000001</v>
      </c>
      <c r="L8729">
        <v>-62.984250000000003</v>
      </c>
      <c r="M8729">
        <v>0.99989419999999996</v>
      </c>
      <c r="N8729">
        <v>-1.318357E-2</v>
      </c>
      <c r="O8729">
        <v>-6.1500180000000002E-3</v>
      </c>
      <c r="P8729">
        <v>0.9977665</v>
      </c>
      <c r="Q8729">
        <v>-5.5482330000000003E-2</v>
      </c>
      <c r="R8729">
        <v>3.7199389999999999E-2</v>
      </c>
      <c r="S8729">
        <v>2.9971920000000001</v>
      </c>
      <c r="T8729">
        <v>-6.1846970000000001E-2</v>
      </c>
      <c r="U8729">
        <v>0.163970899999999</v>
      </c>
      <c r="V8729">
        <v>-4.3309479999999997E-2</v>
      </c>
      <c r="W8729">
        <v>-4.235328E-2</v>
      </c>
      <c r="X8729">
        <v>0.99816360000000004</v>
      </c>
      <c r="Y8729">
        <v>-6.0745500000000001E-2</v>
      </c>
      <c r="Z8729">
        <v>1.0728000000000001E-3</v>
      </c>
      <c r="AA8729">
        <v>0.9981527</v>
      </c>
      <c r="AB8729">
        <v>26</v>
      </c>
      <c r="AC8729">
        <v>54.202299999999902</v>
      </c>
      <c r="AD8729">
        <v>-1.1211247934840001</v>
      </c>
      <c r="AE8729">
        <v>2.9730099999999999</v>
      </c>
      <c r="AF8729">
        <v>-3.3049181464642698</v>
      </c>
      <c r="AG8729">
        <v>-1.1211247934840001</v>
      </c>
      <c r="AH8729">
        <v>54.159887330817099</v>
      </c>
      <c r="AI8729">
        <v>91.183668182269201</v>
      </c>
      <c r="AJ8729">
        <v>93.491945089238001</v>
      </c>
      <c r="AK8729">
        <v>54.272210204156899</v>
      </c>
      <c r="AL8729">
        <v>92.427390168915807</v>
      </c>
      <c r="AM8729">
        <v>92.484457422406507</v>
      </c>
      <c r="AN8729">
        <v>1.0000000418747901</v>
      </c>
    </row>
    <row r="8730" spans="1:40" x14ac:dyDescent="0.25">
      <c r="A8730" t="str">
        <f>"20190303154013693"</f>
        <v>20190303154013693</v>
      </c>
      <c r="B8730" t="str">
        <f>"1551598813686393"</f>
        <v>1551598813686393</v>
      </c>
      <c r="C8730" t="s">
        <v>40</v>
      </c>
      <c r="D8730">
        <v>4.414053</v>
      </c>
      <c r="E8730">
        <v>0.49313770000000001</v>
      </c>
      <c r="F8730" t="s">
        <v>63</v>
      </c>
      <c r="G8730">
        <v>-194.72929999999999</v>
      </c>
      <c r="H8730" s="1">
        <v>-6.8313210000000001E-6</v>
      </c>
      <c r="I8730">
        <v>-60.006149999999998</v>
      </c>
      <c r="J8730">
        <v>-248.49090000000001</v>
      </c>
      <c r="K8730">
        <v>1.1211</v>
      </c>
      <c r="L8730">
        <v>-62.9848</v>
      </c>
      <c r="M8730">
        <v>0.99989720000000004</v>
      </c>
      <c r="N8730">
        <v>-1.303958E-2</v>
      </c>
      <c r="O8730">
        <v>-5.9616360000000002E-3</v>
      </c>
      <c r="P8730">
        <v>0.99776180000000003</v>
      </c>
      <c r="Q8730">
        <v>-5.5503490000000003E-2</v>
      </c>
      <c r="R8730">
        <v>3.7294109999999998E-2</v>
      </c>
      <c r="S8730">
        <v>2.9970400000000001</v>
      </c>
      <c r="T8730">
        <v>-6.2359690000000002E-2</v>
      </c>
      <c r="U8730">
        <v>0.1656494</v>
      </c>
      <c r="V8730">
        <v>-4.3216369999999997E-2</v>
      </c>
      <c r="W8730">
        <v>-4.2517949999999999E-2</v>
      </c>
      <c r="X8730">
        <v>0.99816059999999995</v>
      </c>
      <c r="Y8730">
        <v>-6.1117190000000002E-2</v>
      </c>
      <c r="Z8730">
        <v>1.08041E-3</v>
      </c>
      <c r="AA8730">
        <v>0.99812999999999996</v>
      </c>
      <c r="AB8730">
        <v>26</v>
      </c>
      <c r="AC8730">
        <v>53.761600000000001</v>
      </c>
      <c r="AD8730">
        <v>-1.121106831321</v>
      </c>
      <c r="AE8730">
        <v>2.97865</v>
      </c>
      <c r="AF8730">
        <v>-3.2977017520271001</v>
      </c>
      <c r="AG8730">
        <v>-1.121106831321</v>
      </c>
      <c r="AH8730">
        <v>53.719596296157697</v>
      </c>
      <c r="AI8730">
        <v>91.193321123692499</v>
      </c>
      <c r="AJ8730">
        <v>93.512825880865606</v>
      </c>
      <c r="AK8730">
        <v>53.832394927169197</v>
      </c>
      <c r="AL8730">
        <v>92.4368336560389</v>
      </c>
      <c r="AM8730">
        <v>92.479130260735403</v>
      </c>
      <c r="AN8730">
        <v>1.0000000070502599</v>
      </c>
    </row>
    <row r="8731" spans="1:40" x14ac:dyDescent="0.25">
      <c r="A8731" t="str">
        <f>"20190303154013705"</f>
        <v>20190303154013705</v>
      </c>
      <c r="B8731" t="str">
        <f>"1551598813696862"</f>
        <v>1551598813696862</v>
      </c>
      <c r="C8731" t="s">
        <v>40</v>
      </c>
      <c r="D8731">
        <v>4.4328560000000001</v>
      </c>
      <c r="E8731">
        <v>0.49309829999999999</v>
      </c>
      <c r="F8731" t="s">
        <v>63</v>
      </c>
      <c r="G8731">
        <v>-194.5453</v>
      </c>
      <c r="H8731" s="1">
        <v>-6.8100970000000004E-6</v>
      </c>
      <c r="I8731">
        <v>-60.007649999999998</v>
      </c>
      <c r="J8731">
        <v>-248.3586</v>
      </c>
      <c r="K8731">
        <v>1.1210830000000001</v>
      </c>
      <c r="L8731">
        <v>-62.985379999999999</v>
      </c>
      <c r="M8731">
        <v>0.99990060000000003</v>
      </c>
      <c r="N8731">
        <v>-1.288473E-2</v>
      </c>
      <c r="O8731">
        <v>-5.7545909999999999E-3</v>
      </c>
      <c r="P8731">
        <v>0.99775550000000002</v>
      </c>
      <c r="Q8731">
        <v>-5.5352430000000001E-2</v>
      </c>
      <c r="R8731">
        <v>3.7689439999999998E-2</v>
      </c>
      <c r="S8731">
        <v>2.9971160000000001</v>
      </c>
      <c r="T8731">
        <v>-6.2286500000000002E-2</v>
      </c>
      <c r="U8731">
        <v>0.16540529999999901</v>
      </c>
      <c r="V8731">
        <v>-4.340484E-2</v>
      </c>
      <c r="W8731">
        <v>-4.2521499999999997E-2</v>
      </c>
      <c r="X8731">
        <v>0.99815229999999999</v>
      </c>
      <c r="Y8731">
        <v>-6.0828279999999998E-2</v>
      </c>
      <c r="Z8731">
        <v>1.0691889999999999E-3</v>
      </c>
      <c r="AA8731">
        <v>0.99814769999999997</v>
      </c>
      <c r="AB8731">
        <v>26</v>
      </c>
      <c r="AC8731">
        <v>53.813299999999998</v>
      </c>
      <c r="AD8731">
        <v>-1.1210898100969999</v>
      </c>
      <c r="AE8731">
        <v>2.9777300000000002</v>
      </c>
      <c r="AF8731">
        <v>-3.2859580835129099</v>
      </c>
      <c r="AG8731">
        <v>-1.1210898100969999</v>
      </c>
      <c r="AH8731">
        <v>53.772005338363101</v>
      </c>
      <c r="AI8731">
        <v>91.192160524535296</v>
      </c>
      <c r="AJ8731">
        <v>93.496944124643804</v>
      </c>
      <c r="AK8731">
        <v>53.883976477222397</v>
      </c>
      <c r="AL8731">
        <v>92.437037169463196</v>
      </c>
      <c r="AM8731">
        <v>92.489949044402707</v>
      </c>
      <c r="AN8731">
        <v>1.00000003604648</v>
      </c>
    </row>
    <row r="8732" spans="1:40" x14ac:dyDescent="0.25">
      <c r="A8732" t="str">
        <f>"20190303154013717"</f>
        <v>20190303154013717</v>
      </c>
      <c r="B8732" t="str">
        <f>"1551598813707055"</f>
        <v>1551598813707055</v>
      </c>
      <c r="C8732" t="s">
        <v>40</v>
      </c>
      <c r="D8732">
        <v>4.45153</v>
      </c>
      <c r="E8732">
        <v>0.49305320000000002</v>
      </c>
      <c r="F8732" t="s">
        <v>63</v>
      </c>
      <c r="G8732">
        <v>-194.84440000000001</v>
      </c>
      <c r="H8732" s="1">
        <v>-6.8448019999999997E-6</v>
      </c>
      <c r="I8732">
        <v>-60.004640000000002</v>
      </c>
      <c r="J8732">
        <v>-248.22499999999999</v>
      </c>
      <c r="K8732">
        <v>1.1210709999999999</v>
      </c>
      <c r="L8732">
        <v>-62.985930000000003</v>
      </c>
      <c r="M8732">
        <v>0.9999036</v>
      </c>
      <c r="N8732">
        <v>-1.273497E-2</v>
      </c>
      <c r="O8732">
        <v>-5.5467420000000003E-3</v>
      </c>
      <c r="P8732">
        <v>0.99774510000000005</v>
      </c>
      <c r="Q8732">
        <v>-5.5284079999999999E-2</v>
      </c>
      <c r="R8732">
        <v>3.8058399999999999E-2</v>
      </c>
      <c r="S8732">
        <v>2.9969640000000002</v>
      </c>
      <c r="T8732">
        <v>-6.2784670000000001E-2</v>
      </c>
      <c r="U8732">
        <v>0.1669312</v>
      </c>
      <c r="V8732">
        <v>-4.3566519999999997E-2</v>
      </c>
      <c r="W8732">
        <v>-4.2602809999999998E-2</v>
      </c>
      <c r="X8732">
        <v>0.99814179999999997</v>
      </c>
      <c r="Y8732">
        <v>-6.1129929999999999E-2</v>
      </c>
      <c r="Z8732">
        <v>1.074904E-3</v>
      </c>
      <c r="AA8732">
        <v>0.99812920000000005</v>
      </c>
      <c r="AB8732">
        <v>26</v>
      </c>
      <c r="AC8732">
        <v>53.380599999999902</v>
      </c>
      <c r="AD8732">
        <v>-1.121077844802</v>
      </c>
      <c r="AE8732">
        <v>2.98129</v>
      </c>
      <c r="AF8732">
        <v>-3.2759161303589401</v>
      </c>
      <c r="AG8732">
        <v>-1.121077844802</v>
      </c>
      <c r="AH8732">
        <v>53.3397876424348</v>
      </c>
      <c r="AI8732">
        <v>91.201782571767495</v>
      </c>
      <c r="AJ8732">
        <v>93.514462980149204</v>
      </c>
      <c r="AK8732">
        <v>53.452047554488502</v>
      </c>
      <c r="AL8732">
        <v>92.441700087840204</v>
      </c>
      <c r="AM8732">
        <v>92.499238449699504</v>
      </c>
      <c r="AN8732">
        <v>1.00000004699602</v>
      </c>
    </row>
    <row r="8733" spans="1:40" x14ac:dyDescent="0.25">
      <c r="A8733" t="str">
        <f>"20190303154013728"</f>
        <v>20190303154013728</v>
      </c>
      <c r="B8733" t="str">
        <f>"1551598813717295"</f>
        <v>1551598813717295</v>
      </c>
      <c r="C8733" t="s">
        <v>40</v>
      </c>
      <c r="D8733">
        <v>4.4684749999999998</v>
      </c>
      <c r="E8733">
        <v>0.49303259999999999</v>
      </c>
      <c r="F8733" t="s">
        <v>63</v>
      </c>
      <c r="G8733">
        <v>-195.1499</v>
      </c>
      <c r="H8733" s="1">
        <v>-6.8797240000000002E-6</v>
      </c>
      <c r="I8733">
        <v>-60.003039999999999</v>
      </c>
      <c r="J8733">
        <v>-248.09800000000001</v>
      </c>
      <c r="K8733">
        <v>1.121059</v>
      </c>
      <c r="L8733">
        <v>-62.986449999999998</v>
      </c>
      <c r="M8733">
        <v>0.99990639999999997</v>
      </c>
      <c r="N8733">
        <v>-1.2595769999999999E-2</v>
      </c>
      <c r="O8733">
        <v>-5.3500459999999998E-3</v>
      </c>
      <c r="P8733">
        <v>0.99777320000000003</v>
      </c>
      <c r="Q8733">
        <v>-5.4663639999999999E-2</v>
      </c>
      <c r="R8733">
        <v>3.8220549999999999E-2</v>
      </c>
      <c r="S8733">
        <v>2.9968409999999999</v>
      </c>
      <c r="T8733">
        <v>-6.3300729999999999E-2</v>
      </c>
      <c r="U8733">
        <v>0.16842650000000001</v>
      </c>
      <c r="V8733">
        <v>-4.3532660000000001E-2</v>
      </c>
      <c r="W8733">
        <v>-4.2120949999999997E-2</v>
      </c>
      <c r="X8733">
        <v>0.99816369999999999</v>
      </c>
      <c r="Y8733">
        <v>-6.1432019999999997E-2</v>
      </c>
      <c r="Z8733">
        <v>1.081072E-3</v>
      </c>
      <c r="AA8733">
        <v>0.99811070000000002</v>
      </c>
      <c r="AB8733">
        <v>26</v>
      </c>
      <c r="AC8733">
        <v>52.948099999999897</v>
      </c>
      <c r="AD8733">
        <v>-1.1210658797239901</v>
      </c>
      <c r="AE8733">
        <v>2.9834099999999899</v>
      </c>
      <c r="AF8733">
        <v>-3.2652053936832202</v>
      </c>
      <c r="AG8733">
        <v>-1.1210658797239901</v>
      </c>
      <c r="AH8733">
        <v>52.907736381706798</v>
      </c>
      <c r="AI8733">
        <v>91.2115584208359</v>
      </c>
      <c r="AJ8733">
        <v>93.531534809173607</v>
      </c>
      <c r="AK8733">
        <v>53.0202501314903</v>
      </c>
      <c r="AL8733">
        <v>92.414066805521301</v>
      </c>
      <c r="AM8733">
        <v>92.497243773798601</v>
      </c>
      <c r="AN8733">
        <v>1.0000000194566301</v>
      </c>
    </row>
    <row r="8734" spans="1:40" x14ac:dyDescent="0.25">
      <c r="A8734" t="str">
        <f>"20190303154013738"</f>
        <v>20190303154013738</v>
      </c>
      <c r="B8734" t="str">
        <f>"1551598813727055"</f>
        <v>1551598813727055</v>
      </c>
      <c r="C8734" t="s">
        <v>40</v>
      </c>
      <c r="D8734">
        <v>4.4227270000000001</v>
      </c>
      <c r="E8734">
        <v>0.49308190000000002</v>
      </c>
      <c r="F8734" t="s">
        <v>63</v>
      </c>
      <c r="G8734">
        <v>-194.1003</v>
      </c>
      <c r="H8734" s="1">
        <v>-6.7839340000000001E-6</v>
      </c>
      <c r="I8734">
        <v>-59.939579999999999</v>
      </c>
      <c r="J8734">
        <v>-247.97810000000001</v>
      </c>
      <c r="K8734">
        <v>1.121054</v>
      </c>
      <c r="L8734">
        <v>-62.986849999999997</v>
      </c>
      <c r="M8734">
        <v>0.99990880000000004</v>
      </c>
      <c r="N8734">
        <v>-1.247356E-2</v>
      </c>
      <c r="O8734">
        <v>-5.1653719999999997E-3</v>
      </c>
      <c r="P8734">
        <v>0.9977762</v>
      </c>
      <c r="Q8734">
        <v>-5.4214819999999997E-2</v>
      </c>
      <c r="R8734">
        <v>3.8775539999999997E-2</v>
      </c>
      <c r="S8734">
        <v>2.9968110000000001</v>
      </c>
      <c r="T8734">
        <v>-6.2217830000000002E-2</v>
      </c>
      <c r="U8734">
        <v>0.1690979</v>
      </c>
      <c r="V8734">
        <v>-4.3904029999999997E-2</v>
      </c>
      <c r="W8734">
        <v>-4.1794449999999997E-2</v>
      </c>
      <c r="X8734">
        <v>0.99816110000000002</v>
      </c>
      <c r="Y8734">
        <v>-6.1471810000000002E-2</v>
      </c>
      <c r="Z8734">
        <v>1.064085E-3</v>
      </c>
      <c r="AA8734">
        <v>0.99810829999999995</v>
      </c>
      <c r="AB8734">
        <v>26</v>
      </c>
      <c r="AC8734">
        <v>53.877800000000001</v>
      </c>
      <c r="AD8734">
        <v>-1.1210607839339899</v>
      </c>
      <c r="AE8734">
        <v>3.0472699999999899</v>
      </c>
      <c r="AF8734">
        <v>-3.3241153008282698</v>
      </c>
      <c r="AG8734">
        <v>-1.1210607839339899</v>
      </c>
      <c r="AH8734">
        <v>53.838104688265403</v>
      </c>
      <c r="AI8734">
        <v>91.190620300053098</v>
      </c>
      <c r="AJ8734">
        <v>93.533116761304996</v>
      </c>
      <c r="AK8734">
        <v>53.9522755427341</v>
      </c>
      <c r="AL8734">
        <v>92.395343386358405</v>
      </c>
      <c r="AM8734">
        <v>92.518526588565607</v>
      </c>
      <c r="AN8734">
        <v>0.99999996072712605</v>
      </c>
    </row>
    <row r="8735" spans="1:40" x14ac:dyDescent="0.25">
      <c r="A8735" t="str">
        <f>"20190303154013750"</f>
        <v>20190303154013750</v>
      </c>
      <c r="B8735" t="str">
        <f>"1551598813746575"</f>
        <v>1551598813746575</v>
      </c>
      <c r="C8735" t="s">
        <v>40</v>
      </c>
      <c r="D8735">
        <v>4.4579589999999998</v>
      </c>
      <c r="E8735">
        <v>0.4929965</v>
      </c>
      <c r="F8735" t="s">
        <v>63</v>
      </c>
      <c r="G8735">
        <v>-192.7064</v>
      </c>
      <c r="H8735" s="1">
        <v>-6.6607579999999999E-6</v>
      </c>
      <c r="I8735">
        <v>-59.843829999999997</v>
      </c>
      <c r="J8735">
        <v>-247.84710000000001</v>
      </c>
      <c r="K8735">
        <v>1.121051</v>
      </c>
      <c r="L8735">
        <v>-62.987340000000003</v>
      </c>
      <c r="M8735">
        <v>0.99991149999999995</v>
      </c>
      <c r="N8735">
        <v>-1.234204E-2</v>
      </c>
      <c r="O8735">
        <v>-4.9640769999999999E-3</v>
      </c>
      <c r="P8735">
        <v>0.99776940000000003</v>
      </c>
      <c r="Q8735">
        <v>-5.4193379999999999E-2</v>
      </c>
      <c r="R8735">
        <v>3.8981839999999997E-2</v>
      </c>
      <c r="S8735">
        <v>2.9967649999999999</v>
      </c>
      <c r="T8735">
        <v>-6.0782549999999998E-2</v>
      </c>
      <c r="U8735">
        <v>0.17041020000000001</v>
      </c>
      <c r="V8735">
        <v>-4.3909070000000001E-2</v>
      </c>
      <c r="W8735">
        <v>-4.1904429999999999E-2</v>
      </c>
      <c r="X8735">
        <v>0.9981563</v>
      </c>
      <c r="Y8735">
        <v>-6.1708199999999998E-2</v>
      </c>
      <c r="Z8735">
        <v>1.045804E-3</v>
      </c>
      <c r="AA8735">
        <v>0.99809369999999997</v>
      </c>
      <c r="AB8735">
        <v>26</v>
      </c>
      <c r="AC8735">
        <v>55.140700000000002</v>
      </c>
      <c r="AD8735">
        <v>-1.1210576607580001</v>
      </c>
      <c r="AE8735">
        <v>3.1435099999999898</v>
      </c>
      <c r="AF8735">
        <v>-3.4158074676812502</v>
      </c>
      <c r="AG8735">
        <v>-1.1210576607580001</v>
      </c>
      <c r="AH8735">
        <v>55.101712522654402</v>
      </c>
      <c r="AI8735">
        <v>91.163303228139</v>
      </c>
      <c r="AJ8735">
        <v>93.547280488564098</v>
      </c>
      <c r="AK8735">
        <v>55.218866647770597</v>
      </c>
      <c r="AL8735">
        <v>92.401650223100702</v>
      </c>
      <c r="AM8735">
        <v>92.518827429649306</v>
      </c>
      <c r="AN8735">
        <v>0.99999999345578905</v>
      </c>
    </row>
    <row r="8736" spans="1:40" x14ac:dyDescent="0.25">
      <c r="A8736" t="str">
        <f>"20190303154013760"</f>
        <v>20190303154013760</v>
      </c>
      <c r="B8736" t="str">
        <f>"1551598813757311"</f>
        <v>1551598813757311</v>
      </c>
      <c r="C8736" t="s">
        <v>40</v>
      </c>
      <c r="D8736">
        <v>4.4282309999999896</v>
      </c>
      <c r="E8736">
        <v>0.49303540000000001</v>
      </c>
      <c r="F8736" t="s">
        <v>63</v>
      </c>
      <c r="G8736">
        <v>-194.0067</v>
      </c>
      <c r="H8736" s="1">
        <v>-6.7867910000000004E-6</v>
      </c>
      <c r="I8736">
        <v>-59.901449999999997</v>
      </c>
      <c r="J8736">
        <v>-247.7201</v>
      </c>
      <c r="K8736">
        <v>1.1210469999999999</v>
      </c>
      <c r="L8736">
        <v>-62.987760000000002</v>
      </c>
      <c r="M8736">
        <v>0.99991390000000002</v>
      </c>
      <c r="N8736">
        <v>-1.222605E-2</v>
      </c>
      <c r="O8736">
        <v>-4.769555E-3</v>
      </c>
      <c r="P8736">
        <v>0.99779680000000004</v>
      </c>
      <c r="Q8736">
        <v>-5.3511799999999998E-2</v>
      </c>
      <c r="R8736">
        <v>3.921198E-2</v>
      </c>
      <c r="S8736">
        <v>2.9966279999999998</v>
      </c>
      <c r="T8736">
        <v>-6.2395329999999999E-2</v>
      </c>
      <c r="U8736">
        <v>0.17175289999999999</v>
      </c>
      <c r="V8736">
        <v>-4.3945329999999998E-2</v>
      </c>
      <c r="W8736">
        <v>-4.1338449999999999E-2</v>
      </c>
      <c r="X8736">
        <v>0.99817829999999996</v>
      </c>
      <c r="Y8736">
        <v>-6.1961490000000001E-2</v>
      </c>
      <c r="Z8736">
        <v>1.0645989999999901E-3</v>
      </c>
      <c r="AA8736">
        <v>0.99807800000000002</v>
      </c>
      <c r="AB8736">
        <v>26</v>
      </c>
      <c r="AC8736">
        <v>53.7134</v>
      </c>
      <c r="AD8736">
        <v>-1.121053786791</v>
      </c>
      <c r="AE8736">
        <v>3.0863099999999899</v>
      </c>
      <c r="AF8736">
        <v>-3.3410324866609402</v>
      </c>
      <c r="AG8736">
        <v>-1.121053786791</v>
      </c>
      <c r="AH8736">
        <v>53.674763750733398</v>
      </c>
      <c r="AI8736">
        <v>91.194197958127802</v>
      </c>
      <c r="AJ8736">
        <v>93.561830352874196</v>
      </c>
      <c r="AK8736">
        <v>53.7903292736422</v>
      </c>
      <c r="AL8736">
        <v>92.369193842638097</v>
      </c>
      <c r="AM8736">
        <v>92.520849299320702</v>
      </c>
      <c r="AN8736">
        <v>0.99999998903404996</v>
      </c>
    </row>
    <row r="8737" spans="1:40" x14ac:dyDescent="0.25">
      <c r="A8737" t="str">
        <f>"20190303154013773"</f>
        <v>20190303154013773</v>
      </c>
      <c r="B8737" t="str">
        <f>"1551598813767070"</f>
        <v>1551598813767070</v>
      </c>
      <c r="C8737" t="s">
        <v>40</v>
      </c>
      <c r="D8737">
        <v>4.4608049999999997</v>
      </c>
      <c r="E8737">
        <v>0.49299470000000001</v>
      </c>
      <c r="F8737" t="s">
        <v>63</v>
      </c>
      <c r="G8737">
        <v>-191.99199999999999</v>
      </c>
      <c r="H8737" s="1">
        <v>-6.6007920000000002E-6</v>
      </c>
      <c r="I8737">
        <v>-59.785739999999997</v>
      </c>
      <c r="J8737">
        <v>-247.58009999999999</v>
      </c>
      <c r="K8737">
        <v>1.121046</v>
      </c>
      <c r="L8737">
        <v>-62.988190000000003</v>
      </c>
      <c r="M8737">
        <v>0.99991649999999999</v>
      </c>
      <c r="N8737">
        <v>-1.210206E-2</v>
      </c>
      <c r="O8737">
        <v>-4.5553249999999998E-3</v>
      </c>
      <c r="P8737">
        <v>0.99782029999999999</v>
      </c>
      <c r="Q8737">
        <v>-5.2995340000000002E-2</v>
      </c>
      <c r="R8737">
        <v>3.9326050000000001E-2</v>
      </c>
      <c r="S8737">
        <v>2.9966279999999998</v>
      </c>
      <c r="T8737">
        <v>-6.0281630000000003E-2</v>
      </c>
      <c r="U8737">
        <v>0.17218020000000001</v>
      </c>
      <c r="V8737">
        <v>-4.3846080000000003E-2</v>
      </c>
      <c r="W8737">
        <v>-4.0945509999999997E-2</v>
      </c>
      <c r="X8737">
        <v>0.9981989</v>
      </c>
      <c r="Y8737">
        <v>-6.1890769999999998E-2</v>
      </c>
      <c r="Z8737">
        <v>1.033296E-3</v>
      </c>
      <c r="AA8737">
        <v>0.99808240000000004</v>
      </c>
      <c r="AB8737">
        <v>26</v>
      </c>
      <c r="AC8737">
        <v>55.588099999999898</v>
      </c>
      <c r="AD8737">
        <v>-1.1210526007920001</v>
      </c>
      <c r="AE8737">
        <v>3.20244999999999</v>
      </c>
      <c r="AF8737">
        <v>-3.4542569027705499</v>
      </c>
      <c r="AG8737">
        <v>-1.1210526007920001</v>
      </c>
      <c r="AH8737">
        <v>55.5504155386622</v>
      </c>
      <c r="AI8737">
        <v>91.153890447008493</v>
      </c>
      <c r="AJ8737">
        <v>93.558206392699205</v>
      </c>
      <c r="AK8737">
        <v>55.668997801308798</v>
      </c>
      <c r="AL8737">
        <v>92.346660867053103</v>
      </c>
      <c r="AM8737">
        <v>92.515111471791101</v>
      </c>
      <c r="AN8737">
        <v>1.0000000287408599</v>
      </c>
    </row>
    <row r="8738" spans="1:40" x14ac:dyDescent="0.25">
      <c r="A8738" t="str">
        <f>"20190303154013783"</f>
        <v>20190303154013783</v>
      </c>
      <c r="B8738" t="str">
        <f>"1551598813776831"</f>
        <v>1551598813776831</v>
      </c>
      <c r="C8738" t="s">
        <v>40</v>
      </c>
      <c r="D8738">
        <v>4.4091969999999998</v>
      </c>
      <c r="E8738">
        <v>0.49299470000000001</v>
      </c>
      <c r="F8738" t="s">
        <v>63</v>
      </c>
      <c r="G8738">
        <v>-190.99549999999999</v>
      </c>
      <c r="H8738" s="1">
        <v>-6.510073E-6</v>
      </c>
      <c r="I8738">
        <v>-59.72486</v>
      </c>
      <c r="J8738">
        <v>-247.45310000000001</v>
      </c>
      <c r="K8738">
        <v>1.121046</v>
      </c>
      <c r="L8738">
        <v>-62.988590000000002</v>
      </c>
      <c r="M8738">
        <v>0.99991850000000004</v>
      </c>
      <c r="N8738">
        <v>-1.1997900000000001E-2</v>
      </c>
      <c r="O8738">
        <v>-4.3607689999999996E-3</v>
      </c>
      <c r="P8738">
        <v>0.99784459999999997</v>
      </c>
      <c r="Q8738">
        <v>-5.2360329999999997E-2</v>
      </c>
      <c r="R8738">
        <v>3.9553039999999998E-2</v>
      </c>
      <c r="S8738">
        <v>2.9966279999999998</v>
      </c>
      <c r="T8738">
        <v>-5.9369089999999999E-2</v>
      </c>
      <c r="U8738">
        <v>0.172821</v>
      </c>
      <c r="V8738">
        <v>-4.3878920000000002E-2</v>
      </c>
      <c r="W8738">
        <v>-4.0414289999999999E-2</v>
      </c>
      <c r="X8738">
        <v>0.99821910000000003</v>
      </c>
      <c r="Y8738">
        <v>-6.1909869999999999E-2</v>
      </c>
      <c r="Z8738">
        <v>1.0185260000000001E-3</v>
      </c>
      <c r="AA8738">
        <v>0.9980812</v>
      </c>
      <c r="AB8738">
        <v>26</v>
      </c>
      <c r="AC8738">
        <v>56.457599999999999</v>
      </c>
      <c r="AD8738">
        <v>-1.121052510073</v>
      </c>
      <c r="AE8738">
        <v>3.2637299999999998</v>
      </c>
      <c r="AF8738">
        <v>-3.5085364949278399</v>
      </c>
      <c r="AG8738">
        <v>-1.121052510073</v>
      </c>
      <c r="AH8738">
        <v>56.420658151968603</v>
      </c>
      <c r="AI8738">
        <v>91.136097030975293</v>
      </c>
      <c r="AJ8738">
        <v>93.558374153807094</v>
      </c>
      <c r="AK8738">
        <v>56.540757453078797</v>
      </c>
      <c r="AL8738">
        <v>92.316199001387901</v>
      </c>
      <c r="AM8738">
        <v>92.5169419591316</v>
      </c>
      <c r="AN8738">
        <v>1.00000002303069</v>
      </c>
    </row>
    <row r="8739" spans="1:40" x14ac:dyDescent="0.25">
      <c r="A8739" t="str">
        <f>"20190303154013796"</f>
        <v>20190303154013796</v>
      </c>
      <c r="B8739" t="str">
        <f>"1551598813786591"</f>
        <v>1551598813786591</v>
      </c>
      <c r="C8739" t="s">
        <v>40</v>
      </c>
      <c r="D8739">
        <v>4.4247870000000002</v>
      </c>
      <c r="E8739">
        <v>0.49348160000000002</v>
      </c>
      <c r="F8739" t="s">
        <v>63</v>
      </c>
      <c r="G8739">
        <v>-188.97839999999999</v>
      </c>
      <c r="H8739" s="1">
        <v>-1.2850659999999999E-5</v>
      </c>
      <c r="I8739">
        <v>-59.603659999999998</v>
      </c>
      <c r="J8739">
        <v>-247.32040000000001</v>
      </c>
      <c r="K8739">
        <v>1.1210500000000001</v>
      </c>
      <c r="L8739">
        <v>-62.988919999999901</v>
      </c>
      <c r="M8739">
        <v>0.9999207</v>
      </c>
      <c r="N8739">
        <v>-1.1895319999999999E-2</v>
      </c>
      <c r="O8739">
        <v>-4.1570519999999996E-3</v>
      </c>
      <c r="P8739">
        <v>0.99785849999999998</v>
      </c>
      <c r="Q8739">
        <v>-5.2207919999999998E-2</v>
      </c>
      <c r="R8739">
        <v>3.9411700000000001E-2</v>
      </c>
      <c r="S8739">
        <v>2.9965670000000002</v>
      </c>
      <c r="T8739">
        <v>-5.7449220000000002E-2</v>
      </c>
      <c r="U8739">
        <v>0.1734619</v>
      </c>
      <c r="V8739">
        <v>-4.3534389999999999E-2</v>
      </c>
      <c r="W8739">
        <v>-4.0363889999999999E-2</v>
      </c>
      <c r="X8739">
        <v>0.99823620000000002</v>
      </c>
      <c r="Y8739">
        <v>-6.1921539999999997E-2</v>
      </c>
      <c r="Z8739">
        <v>9.919022999999999E-4</v>
      </c>
      <c r="AA8739">
        <v>0.99808059999999998</v>
      </c>
      <c r="AB8739">
        <v>26</v>
      </c>
      <c r="AC8739">
        <v>58.341999999999999</v>
      </c>
      <c r="AD8739">
        <v>-1.12106285066</v>
      </c>
      <c r="AE8739">
        <v>3.3852599999999899</v>
      </c>
      <c r="AF8739">
        <v>-3.6264441112925101</v>
      </c>
      <c r="AG8739">
        <v>-1.12106285066</v>
      </c>
      <c r="AH8739">
        <v>58.305966035381097</v>
      </c>
      <c r="AI8739">
        <v>91.099380159082202</v>
      </c>
      <c r="AJ8739">
        <v>93.559029175533396</v>
      </c>
      <c r="AK8739">
        <v>58.429389472477503</v>
      </c>
      <c r="AL8739">
        <v>92.313308991899504</v>
      </c>
      <c r="AM8739">
        <v>92.497161741653997</v>
      </c>
      <c r="AN8739">
        <v>0.99999999885952195</v>
      </c>
    </row>
    <row r="8740" spans="1:40" x14ac:dyDescent="0.25">
      <c r="A8740" t="str">
        <f>"20190303154013806"</f>
        <v>20190303154013806</v>
      </c>
      <c r="B8740" t="str">
        <f>"1551598813797327"</f>
        <v>1551598813797327</v>
      </c>
      <c r="C8740" t="s">
        <v>40</v>
      </c>
      <c r="D8740">
        <v>4.3970330000000004</v>
      </c>
      <c r="E8740">
        <v>0.49348160000000002</v>
      </c>
      <c r="F8740" t="s">
        <v>63</v>
      </c>
      <c r="G8740">
        <v>-187.83189999999999</v>
      </c>
      <c r="H8740" s="1">
        <v>-1.31127399999999E-5</v>
      </c>
      <c r="I8740">
        <v>-59.631599999999999</v>
      </c>
      <c r="J8740">
        <v>-247.19409999999999</v>
      </c>
      <c r="K8740">
        <v>1.121048</v>
      </c>
      <c r="L8740">
        <v>-62.989260000000002</v>
      </c>
      <c r="M8740">
        <v>0.99992259999999999</v>
      </c>
      <c r="N8740">
        <v>-1.180291E-2</v>
      </c>
      <c r="O8740">
        <v>-3.9628160000000001E-3</v>
      </c>
      <c r="P8740">
        <v>0.99787879999999995</v>
      </c>
      <c r="Q8740">
        <v>-5.1677590000000002E-2</v>
      </c>
      <c r="R8740">
        <v>3.9591069999999999E-2</v>
      </c>
      <c r="S8740">
        <v>2.9967959999999998</v>
      </c>
      <c r="T8740">
        <v>-5.6474690000000001E-2</v>
      </c>
      <c r="U8740">
        <v>0.16912839999999901</v>
      </c>
      <c r="V8740">
        <v>-4.3520400000000001E-2</v>
      </c>
      <c r="W8740">
        <v>-3.9925629999999997E-2</v>
      </c>
      <c r="X8740">
        <v>0.99825439999999999</v>
      </c>
      <c r="Y8740">
        <v>-6.0285640000000001E-2</v>
      </c>
      <c r="Z8740">
        <v>9.5154050000000002E-4</v>
      </c>
      <c r="AA8740">
        <v>0.99818070000000003</v>
      </c>
      <c r="AB8740">
        <v>26</v>
      </c>
      <c r="AC8740">
        <v>59.362200000000001</v>
      </c>
      <c r="AD8740">
        <v>-1.1210611127399901</v>
      </c>
      <c r="AE8740">
        <v>3.3576599999999899</v>
      </c>
      <c r="AF8740">
        <v>-3.5916146159457201</v>
      </c>
      <c r="AG8740">
        <v>-1.1210611127399901</v>
      </c>
      <c r="AH8740">
        <v>59.327335669859302</v>
      </c>
      <c r="AI8740">
        <v>91.080565753678201</v>
      </c>
      <c r="AJ8740">
        <v>93.464398168723704</v>
      </c>
      <c r="AK8740">
        <v>59.446524130954302</v>
      </c>
      <c r="AL8740">
        <v>92.288178364330193</v>
      </c>
      <c r="AM8740">
        <v>92.496314825610696</v>
      </c>
      <c r="AN8740">
        <v>0.99999996413320702</v>
      </c>
    </row>
    <row r="8741" spans="1:40" x14ac:dyDescent="0.25">
      <c r="A8741" t="str">
        <f>"20190303154013818"</f>
        <v>20190303154013818</v>
      </c>
      <c r="B8741" t="str">
        <f>"1551598813807087"</f>
        <v>1551598813807087</v>
      </c>
      <c r="C8741" t="s">
        <v>40</v>
      </c>
      <c r="D8741">
        <v>4.3804030000000003</v>
      </c>
      <c r="E8741">
        <v>0.52244380000000001</v>
      </c>
      <c r="F8741" t="s">
        <v>63</v>
      </c>
      <c r="G8741">
        <v>-185.99959999999999</v>
      </c>
      <c r="H8741" s="1">
        <v>-1.3484329999999999E-5</v>
      </c>
      <c r="I8741">
        <v>-59.522590000000001</v>
      </c>
      <c r="J8741">
        <v>-247.05119999999999</v>
      </c>
      <c r="K8741">
        <v>1.1210500000000001</v>
      </c>
      <c r="L8741">
        <v>-62.98959</v>
      </c>
      <c r="M8741">
        <v>0.99992449999999999</v>
      </c>
      <c r="N8741">
        <v>-1.170882E-2</v>
      </c>
      <c r="O8741">
        <v>-3.7424720000000002E-3</v>
      </c>
      <c r="P8741">
        <v>0.99790780000000001</v>
      </c>
      <c r="Q8741">
        <v>-5.1247300000000003E-2</v>
      </c>
      <c r="R8741">
        <v>3.9417189999999998E-2</v>
      </c>
      <c r="S8741">
        <v>2.9968110000000001</v>
      </c>
      <c r="T8741">
        <v>-5.4900530000000003E-2</v>
      </c>
      <c r="U8741">
        <v>0.16976930000000001</v>
      </c>
      <c r="V8741">
        <v>-4.3126850000000001E-2</v>
      </c>
      <c r="W8741">
        <v>-3.9588650000000003E-2</v>
      </c>
      <c r="X8741">
        <v>0.99828490000000003</v>
      </c>
      <c r="Y8741">
        <v>-6.0279020000000003E-2</v>
      </c>
      <c r="Z8741">
        <v>9.2961599999999997E-4</v>
      </c>
      <c r="AA8741">
        <v>0.99818110000000004</v>
      </c>
      <c r="AB8741">
        <v>26</v>
      </c>
      <c r="AC8741">
        <v>61.051600000000001</v>
      </c>
      <c r="AD8741">
        <v>-1.12106348433</v>
      </c>
      <c r="AE8741">
        <v>3.4669999999999899</v>
      </c>
      <c r="AF8741">
        <v>-3.6942336414663699</v>
      </c>
      <c r="AG8741">
        <v>-1.12106348433</v>
      </c>
      <c r="AH8741">
        <v>61.017688331630602</v>
      </c>
      <c r="AI8741">
        <v>91.050639930784797</v>
      </c>
      <c r="AJ8741">
        <v>93.464666538046203</v>
      </c>
      <c r="AK8741">
        <v>61.139696064583497</v>
      </c>
      <c r="AL8741">
        <v>92.268855554955906</v>
      </c>
      <c r="AM8741">
        <v>92.473693621248003</v>
      </c>
      <c r="AN8741">
        <v>0.99999996398387603</v>
      </c>
    </row>
    <row r="8742" spans="1:40" x14ac:dyDescent="0.25">
      <c r="A8742" t="str">
        <f>"20190303154013828"</f>
        <v>20190303154013828</v>
      </c>
      <c r="B8742" t="str">
        <f>"1551598813816846"</f>
        <v>1551598813816846</v>
      </c>
      <c r="C8742" t="s">
        <v>40</v>
      </c>
      <c r="D8742">
        <v>4.3999220000000001</v>
      </c>
      <c r="E8742">
        <v>0.52240600000000004</v>
      </c>
      <c r="F8742" t="s">
        <v>43</v>
      </c>
      <c r="G8742">
        <v>-160.54249999999999</v>
      </c>
      <c r="H8742">
        <v>-0.05</v>
      </c>
      <c r="I8742">
        <v>-64.762410000000003</v>
      </c>
      <c r="J8742">
        <v>-246.93180000000001</v>
      </c>
      <c r="K8742">
        <v>1.1210530000000001</v>
      </c>
      <c r="L8742">
        <v>-62.989840000000001</v>
      </c>
      <c r="M8742">
        <v>0.99992599999999998</v>
      </c>
      <c r="N8742">
        <v>-1.163293E-2</v>
      </c>
      <c r="O8742">
        <v>-3.558472E-3</v>
      </c>
      <c r="P8742">
        <v>0.99791589999999997</v>
      </c>
      <c r="Q8742">
        <v>-5.0978040000000002E-2</v>
      </c>
      <c r="R8742">
        <v>3.9559270000000001E-2</v>
      </c>
      <c r="S8742">
        <v>3.006653</v>
      </c>
      <c r="T8742">
        <v>-4.0700439999999997E-2</v>
      </c>
      <c r="U8742">
        <v>-6.1614990000000001E-2</v>
      </c>
      <c r="V8742">
        <v>-4.3085289999999998E-2</v>
      </c>
      <c r="W8742">
        <v>-3.9395029999999998E-2</v>
      </c>
      <c r="X8742">
        <v>0.99829440000000003</v>
      </c>
      <c r="Y8742">
        <v>1.6927609999999999E-2</v>
      </c>
      <c r="Z8742">
        <v>-2.0626659999999999E-4</v>
      </c>
      <c r="AA8742">
        <v>0.99985670000000004</v>
      </c>
      <c r="AB8742">
        <v>26</v>
      </c>
      <c r="AC8742">
        <v>86.389300000000006</v>
      </c>
      <c r="AD8742">
        <v>-1.1710529999999999</v>
      </c>
      <c r="AE8742">
        <v>-1.77257</v>
      </c>
      <c r="AF8742">
        <v>1.4648550095084101</v>
      </c>
      <c r="AG8742">
        <v>-1.1710529999999999</v>
      </c>
      <c r="AH8742">
        <v>86.379195318724996</v>
      </c>
      <c r="AI8742">
        <v>90.776606447999001</v>
      </c>
      <c r="AJ8742">
        <v>89.028447012462607</v>
      </c>
      <c r="AK8742">
        <v>86.399551788409994</v>
      </c>
      <c r="AL8742">
        <v>92.257753181171196</v>
      </c>
      <c r="AM8742">
        <v>92.471289268369503</v>
      </c>
      <c r="AN8742">
        <v>1.0000000098372199</v>
      </c>
    </row>
    <row r="8743" spans="1:40" x14ac:dyDescent="0.25">
      <c r="A8743" t="str">
        <f>"20190303154013840"</f>
        <v>20190303154013840</v>
      </c>
      <c r="B8743" t="str">
        <f>"1551598813837343"</f>
        <v>1551598813837343</v>
      </c>
      <c r="C8743" t="s">
        <v>40</v>
      </c>
      <c r="D8743">
        <v>4.3650570000000002</v>
      </c>
      <c r="E8743">
        <v>0.52242189999999999</v>
      </c>
      <c r="F8743" t="s">
        <v>43</v>
      </c>
      <c r="G8743">
        <v>-154.84610000000001</v>
      </c>
      <c r="H8743">
        <v>-0.05</v>
      </c>
      <c r="I8743">
        <v>-64.851640000000003</v>
      </c>
      <c r="J8743">
        <v>-246.80860000000001</v>
      </c>
      <c r="K8743">
        <v>1.1210519999999999</v>
      </c>
      <c r="L8743">
        <v>-62.990049999999997</v>
      </c>
      <c r="M8743">
        <v>0.99992749999999997</v>
      </c>
      <c r="N8743">
        <v>-1.1567239999999999E-2</v>
      </c>
      <c r="O8743">
        <v>-3.3682159999999998E-3</v>
      </c>
      <c r="P8743">
        <v>0.99794749999999999</v>
      </c>
      <c r="Q8743">
        <v>-5.0382490000000002E-2</v>
      </c>
      <c r="R8743">
        <v>3.9527119999999999E-2</v>
      </c>
      <c r="S8743">
        <v>3.006729</v>
      </c>
      <c r="T8743">
        <v>-3.82365E-2</v>
      </c>
      <c r="U8743">
        <v>-6.0791020000000001E-2</v>
      </c>
      <c r="V8743">
        <v>-4.2863869999999998E-2</v>
      </c>
      <c r="W8743">
        <v>-3.886452E-2</v>
      </c>
      <c r="X8743">
        <v>0.99832469999999995</v>
      </c>
      <c r="Y8743">
        <v>1.6843730000000001E-2</v>
      </c>
      <c r="Z8743">
        <v>-2.006554E-4</v>
      </c>
      <c r="AA8743">
        <v>0.99985809999999997</v>
      </c>
      <c r="AB8743">
        <v>26</v>
      </c>
      <c r="AC8743">
        <v>91.962500000000006</v>
      </c>
      <c r="AD8743">
        <v>-1.171052</v>
      </c>
      <c r="AE8743">
        <v>-1.8615900000000001</v>
      </c>
      <c r="AF8743">
        <v>1.5515576837748599</v>
      </c>
      <c r="AG8743">
        <v>-1.171052</v>
      </c>
      <c r="AH8743">
        <v>91.953344329947996</v>
      </c>
      <c r="AI8743">
        <v>90.729534774049995</v>
      </c>
      <c r="AJ8743">
        <v>89.033322035335104</v>
      </c>
      <c r="AK8743">
        <v>91.973888835336098</v>
      </c>
      <c r="AL8743">
        <v>92.2273339567016</v>
      </c>
      <c r="AM8743">
        <v>92.458530139024404</v>
      </c>
      <c r="AN8743">
        <v>0.99999998444814797</v>
      </c>
    </row>
    <row r="8744" spans="1:40" x14ac:dyDescent="0.25">
      <c r="A8744" t="str">
        <f>"20190303154013851"</f>
        <v>20190303154013851</v>
      </c>
      <c r="B8744" t="str">
        <f>"1551598813847102"</f>
        <v>1551598813847102</v>
      </c>
      <c r="C8744" t="s">
        <v>40</v>
      </c>
      <c r="D8744">
        <v>4.6711549999999997</v>
      </c>
      <c r="E8744">
        <v>0.52270890000000003</v>
      </c>
      <c r="F8744" t="s">
        <v>91</v>
      </c>
      <c r="G8744">
        <v>-157.3501</v>
      </c>
      <c r="H8744">
        <v>4.7159189999999997E-2</v>
      </c>
      <c r="I8744">
        <v>-64.805070000000001</v>
      </c>
      <c r="J8744">
        <v>-246.6789</v>
      </c>
      <c r="K8744">
        <v>1.121057</v>
      </c>
      <c r="L8744">
        <v>-62.990299999999998</v>
      </c>
      <c r="M8744">
        <v>0.99992879999999995</v>
      </c>
      <c r="N8744">
        <v>-1.1501040000000001E-2</v>
      </c>
      <c r="O8744">
        <v>-3.1679450000000001E-3</v>
      </c>
      <c r="P8744">
        <v>0.99795610000000001</v>
      </c>
      <c r="Q8744">
        <v>-5.0036440000000001E-2</v>
      </c>
      <c r="R8744">
        <v>3.9753370000000003E-2</v>
      </c>
      <c r="S8744">
        <v>3.0067900000000001</v>
      </c>
      <c r="T8744">
        <v>-3.6095259999999997E-2</v>
      </c>
      <c r="U8744">
        <v>-6.1004639999999999E-2</v>
      </c>
      <c r="V8744">
        <v>-4.2890520000000001E-2</v>
      </c>
      <c r="W8744">
        <v>-3.8584439999999998E-2</v>
      </c>
      <c r="X8744">
        <v>0.99833439999999996</v>
      </c>
      <c r="Y8744">
        <v>1.7114770000000001E-2</v>
      </c>
      <c r="Z8744">
        <v>-1.995609E-4</v>
      </c>
      <c r="AA8744">
        <v>0.99985349999999995</v>
      </c>
      <c r="AB8744">
        <v>26</v>
      </c>
      <c r="AC8744">
        <v>89.328800000000001</v>
      </c>
      <c r="AD8744">
        <v>-1.0738978100000001</v>
      </c>
      <c r="AE8744">
        <v>-1.81477</v>
      </c>
      <c r="AF8744">
        <v>1.53153218379394</v>
      </c>
      <c r="AG8744">
        <v>-1.0738978100000001</v>
      </c>
      <c r="AH8744">
        <v>89.321197346827006</v>
      </c>
      <c r="AI8744">
        <v>90.688725722756601</v>
      </c>
      <c r="AJ8744">
        <v>89.0176829801607</v>
      </c>
      <c r="AK8744">
        <v>89.340780961479993</v>
      </c>
      <c r="AL8744">
        <v>92.2112745517924</v>
      </c>
      <c r="AM8744">
        <v>92.460032944756804</v>
      </c>
      <c r="AN8744">
        <v>0.99999996496967103</v>
      </c>
    </row>
    <row r="8745" spans="1:40" x14ac:dyDescent="0.25">
      <c r="A8745" t="str">
        <f>"20190303154013862"</f>
        <v>20190303154013862</v>
      </c>
      <c r="B8745" t="str">
        <f>"1551598813856863"</f>
        <v>1551598813856863</v>
      </c>
      <c r="C8745" t="s">
        <v>40</v>
      </c>
      <c r="D8745">
        <v>4.3530360000000003</v>
      </c>
      <c r="E8745">
        <v>0.52253039999999995</v>
      </c>
      <c r="F8745" t="s">
        <v>91</v>
      </c>
      <c r="G8745">
        <v>-157.3501</v>
      </c>
      <c r="H8745">
        <v>8.1284519999999999E-2</v>
      </c>
      <c r="I8745">
        <v>-64.848879999999994</v>
      </c>
      <c r="J8745">
        <v>-246.54470000000001</v>
      </c>
      <c r="K8745">
        <v>1.1210639999999901</v>
      </c>
      <c r="L8745">
        <v>-62.99051</v>
      </c>
      <c r="M8745">
        <v>0.99993010000000004</v>
      </c>
      <c r="N8745">
        <v>-1.144805E-2</v>
      </c>
      <c r="O8745">
        <v>-2.960594E-3</v>
      </c>
      <c r="P8745">
        <v>0.99796580000000001</v>
      </c>
      <c r="Q8745">
        <v>-4.976328E-2</v>
      </c>
      <c r="R8745">
        <v>3.9846810000000003E-2</v>
      </c>
      <c r="S8745">
        <v>3.006866</v>
      </c>
      <c r="T8745">
        <v>-3.5000089999999998E-2</v>
      </c>
      <c r="U8745">
        <v>-6.2561039999999998E-2</v>
      </c>
      <c r="V8745">
        <v>-4.277711E-2</v>
      </c>
      <c r="W8745">
        <v>-3.8363969999999997E-2</v>
      </c>
      <c r="X8745">
        <v>0.99834780000000001</v>
      </c>
      <c r="Y8745">
        <v>1.7838920000000001E-2</v>
      </c>
      <c r="Z8745">
        <v>-2.053744E-4</v>
      </c>
      <c r="AA8745">
        <v>0.99984090000000003</v>
      </c>
      <c r="AB8745">
        <v>26</v>
      </c>
      <c r="AC8745">
        <v>89.194599999999994</v>
      </c>
      <c r="AD8745">
        <v>-1.03977947999999</v>
      </c>
      <c r="AE8745">
        <v>-1.8583700000000001</v>
      </c>
      <c r="AF8745">
        <v>1.5940590231329499</v>
      </c>
      <c r="AG8745">
        <v>-1.03977947999999</v>
      </c>
      <c r="AH8745">
        <v>89.187596345061394</v>
      </c>
      <c r="AI8745">
        <v>90.667836867810294</v>
      </c>
      <c r="AJ8745">
        <v>88.976055700937096</v>
      </c>
      <c r="AK8745">
        <v>89.207900476055698</v>
      </c>
      <c r="AL8745">
        <v>92.198633108406</v>
      </c>
      <c r="AM8745">
        <v>92.453503257585396</v>
      </c>
      <c r="AN8745">
        <v>1.00000000254947</v>
      </c>
    </row>
    <row r="8746" spans="1:40" x14ac:dyDescent="0.25">
      <c r="A8746" t="str">
        <f>"20190303154013874"</f>
        <v>20190303154013874</v>
      </c>
      <c r="B8746" t="str">
        <f>"1551598813866623"</f>
        <v>1551598813866623</v>
      </c>
      <c r="C8746" t="s">
        <v>40</v>
      </c>
      <c r="D8746">
        <v>4.3583740000000004</v>
      </c>
      <c r="E8746">
        <v>0.52251259999999999</v>
      </c>
      <c r="F8746" t="s">
        <v>91</v>
      </c>
      <c r="G8746">
        <v>-157.3501</v>
      </c>
      <c r="H8746">
        <v>5.4505350000000001E-2</v>
      </c>
      <c r="I8746">
        <v>-64.797489999999996</v>
      </c>
      <c r="J8746">
        <v>-246.4211</v>
      </c>
      <c r="K8746">
        <v>1.12107</v>
      </c>
      <c r="L8746">
        <v>-62.990659999999998</v>
      </c>
      <c r="M8746">
        <v>0.99993120000000002</v>
      </c>
      <c r="N8746">
        <v>-1.1406049999999999E-2</v>
      </c>
      <c r="O8746">
        <v>-2.7696330000000001E-3</v>
      </c>
      <c r="P8746">
        <v>0.99797720000000001</v>
      </c>
      <c r="Q8746">
        <v>-4.9388809999999998E-2</v>
      </c>
      <c r="R8746">
        <v>4.0028859999999999E-2</v>
      </c>
      <c r="S8746">
        <v>3.0067439999999999</v>
      </c>
      <c r="T8746">
        <v>-3.5954239999999998E-2</v>
      </c>
      <c r="U8746">
        <v>-6.0913090000000003E-2</v>
      </c>
      <c r="V8746">
        <v>-4.2768609999999999E-2</v>
      </c>
      <c r="W8746">
        <v>-3.8031269999999999E-2</v>
      </c>
      <c r="X8746">
        <v>0.9983609</v>
      </c>
      <c r="Y8746">
        <v>1.7482899999999999E-2</v>
      </c>
      <c r="Z8746">
        <v>-2.0271500000000001E-4</v>
      </c>
      <c r="AA8746">
        <v>0.99984709999999999</v>
      </c>
      <c r="AB8746">
        <v>26</v>
      </c>
      <c r="AC8746">
        <v>89.070999999999998</v>
      </c>
      <c r="AD8746">
        <v>-1.0665646499999999</v>
      </c>
      <c r="AE8746">
        <v>-1.8068299999999899</v>
      </c>
      <c r="AF8746">
        <v>1.5598894890983599</v>
      </c>
      <c r="AG8746">
        <v>-1.0665646499999999</v>
      </c>
      <c r="AH8746">
        <v>89.062897938230293</v>
      </c>
      <c r="AI8746">
        <v>90.686002409950106</v>
      </c>
      <c r="AJ8746">
        <v>88.996597357806195</v>
      </c>
      <c r="AK8746">
        <v>89.082942275872696</v>
      </c>
      <c r="AL8746">
        <v>92.179556866552005</v>
      </c>
      <c r="AM8746">
        <v>92.452984183319401</v>
      </c>
      <c r="AN8746">
        <v>1.00000000907397</v>
      </c>
    </row>
    <row r="8747" spans="1:40" x14ac:dyDescent="0.25">
      <c r="A8747" t="str">
        <f>"20190303154013884"</f>
        <v>20190303154013884</v>
      </c>
      <c r="B8747" t="str">
        <f>"1551598813877359"</f>
        <v>1551598813877359</v>
      </c>
      <c r="C8747" t="s">
        <v>40</v>
      </c>
      <c r="D8747">
        <v>4.3621999999999996</v>
      </c>
      <c r="E8747">
        <v>0.52258779999999905</v>
      </c>
      <c r="F8747" t="s">
        <v>91</v>
      </c>
      <c r="G8747">
        <v>-157.3501</v>
      </c>
      <c r="H8747">
        <v>8.5153580000000006E-2</v>
      </c>
      <c r="I8747">
        <v>-64.77252</v>
      </c>
      <c r="J8747">
        <v>-246.2938</v>
      </c>
      <c r="K8747">
        <v>1.121078</v>
      </c>
      <c r="L8747">
        <v>-62.990780000000001</v>
      </c>
      <c r="M8747">
        <v>0.99993200000000004</v>
      </c>
      <c r="N8747">
        <v>-1.137491E-2</v>
      </c>
      <c r="O8747">
        <v>-2.5728880000000002E-3</v>
      </c>
      <c r="P8747">
        <v>0.99797250000000004</v>
      </c>
      <c r="Q8747">
        <v>-4.9290760000000003E-2</v>
      </c>
      <c r="R8747">
        <v>4.0268159999999997E-2</v>
      </c>
      <c r="S8747">
        <v>3.0067599999999999</v>
      </c>
      <c r="T8747">
        <v>-3.4969930000000003E-2</v>
      </c>
      <c r="U8747">
        <v>-6.0150149999999999E-2</v>
      </c>
      <c r="V8747">
        <v>-4.281157E-2</v>
      </c>
      <c r="W8747">
        <v>-3.7964400000000002E-2</v>
      </c>
      <c r="X8747">
        <v>0.99836159999999996</v>
      </c>
      <c r="Y8747">
        <v>1.742604E-2</v>
      </c>
      <c r="Z8747">
        <v>-1.9979709999999999E-4</v>
      </c>
      <c r="AA8747">
        <v>0.99984810000000002</v>
      </c>
      <c r="AB8747">
        <v>26</v>
      </c>
      <c r="AC8747">
        <v>88.943700000000007</v>
      </c>
      <c r="AD8747">
        <v>-1.03592442</v>
      </c>
      <c r="AE8747">
        <v>-1.7817399999999901</v>
      </c>
      <c r="AF8747">
        <v>1.5526665811207101</v>
      </c>
      <c r="AG8747">
        <v>-1.03592442</v>
      </c>
      <c r="AH8747">
        <v>88.935930597613606</v>
      </c>
      <c r="AI8747">
        <v>90.667248553890701</v>
      </c>
      <c r="AJ8747">
        <v>88.999817003616201</v>
      </c>
      <c r="AK8747">
        <v>88.955515085797899</v>
      </c>
      <c r="AL8747">
        <v>92.175722737150096</v>
      </c>
      <c r="AM8747">
        <v>92.455443410848304</v>
      </c>
      <c r="AN8747">
        <v>1.00000000527389</v>
      </c>
    </row>
    <row r="8748" spans="1:40" x14ac:dyDescent="0.25">
      <c r="A8748" t="str">
        <f>"20190303154013894"</f>
        <v>20190303154013894</v>
      </c>
      <c r="B8748" t="str">
        <f>"1551598813887119"</f>
        <v>1551598813887119</v>
      </c>
      <c r="C8748" t="s">
        <v>40</v>
      </c>
      <c r="D8748">
        <v>4.4121759999999997</v>
      </c>
      <c r="E8748">
        <v>0.52194010000000002</v>
      </c>
      <c r="F8748" t="s">
        <v>91</v>
      </c>
      <c r="G8748">
        <v>-157.3501</v>
      </c>
      <c r="H8748">
        <v>0.1039896</v>
      </c>
      <c r="I8748">
        <v>-64.764650000000003</v>
      </c>
      <c r="J8748">
        <v>-246.16749999999999</v>
      </c>
      <c r="K8748">
        <v>1.121086</v>
      </c>
      <c r="L8748">
        <v>-62.99091</v>
      </c>
      <c r="M8748">
        <v>0.99993270000000001</v>
      </c>
      <c r="N8748">
        <v>-1.135571E-2</v>
      </c>
      <c r="O8748">
        <v>-2.3777519999999999E-3</v>
      </c>
      <c r="P8748">
        <v>0.99797670000000005</v>
      </c>
      <c r="Q8748">
        <v>-4.8916679999999997E-2</v>
      </c>
      <c r="R8748">
        <v>4.0618910000000001E-2</v>
      </c>
      <c r="S8748">
        <v>3.006821</v>
      </c>
      <c r="T8748">
        <v>-3.4384249999999998E-2</v>
      </c>
      <c r="U8748">
        <v>-5.9967039999999999E-2</v>
      </c>
      <c r="V8748">
        <v>-4.2967810000000002E-2</v>
      </c>
      <c r="W8748">
        <v>-3.7609570000000002E-2</v>
      </c>
      <c r="X8748">
        <v>0.99836829999999999</v>
      </c>
      <c r="Y8748">
        <v>1.7559930000000001E-2</v>
      </c>
      <c r="Z8748">
        <v>-1.999243E-4</v>
      </c>
      <c r="AA8748">
        <v>0.99984580000000001</v>
      </c>
      <c r="AB8748">
        <v>26</v>
      </c>
      <c r="AC8748">
        <v>88.817399999999907</v>
      </c>
      <c r="AD8748">
        <v>-1.0170964</v>
      </c>
      <c r="AE8748">
        <v>-1.7737400000000001</v>
      </c>
      <c r="AF8748">
        <v>1.56233081905645</v>
      </c>
      <c r="AG8748">
        <v>-1.0170964</v>
      </c>
      <c r="AH8748">
        <v>88.809725004262901</v>
      </c>
      <c r="AI8748">
        <v>90.656051681008805</v>
      </c>
      <c r="AJ8748">
        <v>88.992162968142694</v>
      </c>
      <c r="AK8748">
        <v>88.829289190040598</v>
      </c>
      <c r="AL8748">
        <v>92.155377984237504</v>
      </c>
      <c r="AM8748">
        <v>92.464376958283907</v>
      </c>
      <c r="AN8748">
        <v>0.99999998744833496</v>
      </c>
    </row>
    <row r="8749" spans="1:40" x14ac:dyDescent="0.25">
      <c r="A8749" t="str">
        <f>"20190303154013906"</f>
        <v>20190303154013906</v>
      </c>
      <c r="B8749" t="str">
        <f>"1551598813896879"</f>
        <v>1551598813896879</v>
      </c>
      <c r="C8749" t="s">
        <v>40</v>
      </c>
      <c r="D8749">
        <v>4.3437400000000004</v>
      </c>
      <c r="E8749">
        <v>0.52201719999999996</v>
      </c>
      <c r="F8749" t="s">
        <v>43</v>
      </c>
      <c r="G8749">
        <v>-161.5061</v>
      </c>
      <c r="H8749">
        <v>-0.05</v>
      </c>
      <c r="I8749">
        <v>-64.503509999999906</v>
      </c>
      <c r="J8749">
        <v>-246.035</v>
      </c>
      <c r="K8749">
        <v>1.1210960000000001</v>
      </c>
      <c r="L8749">
        <v>-62.991</v>
      </c>
      <c r="M8749">
        <v>0.99993339999999997</v>
      </c>
      <c r="N8749">
        <v>-1.134627E-2</v>
      </c>
      <c r="O8749">
        <v>-2.1728889999999999E-3</v>
      </c>
      <c r="P8749">
        <v>0.99797340000000001</v>
      </c>
      <c r="Q8749">
        <v>-4.8789220000000001E-2</v>
      </c>
      <c r="R8749">
        <v>4.0851310000000002E-2</v>
      </c>
      <c r="S8749">
        <v>3.0062259999999998</v>
      </c>
      <c r="T8749">
        <v>-4.15839E-2</v>
      </c>
      <c r="U8749">
        <v>-5.3710939999999999E-2</v>
      </c>
      <c r="V8749">
        <v>-4.2996090000000001E-2</v>
      </c>
      <c r="W8749">
        <v>-3.7491629999999998E-2</v>
      </c>
      <c r="X8749">
        <v>0.99837149999999997</v>
      </c>
      <c r="Y8749">
        <v>1.5688270000000001E-2</v>
      </c>
      <c r="Z8749">
        <v>-1.9211059999999999E-4</v>
      </c>
      <c r="AA8749">
        <v>0.99987689999999996</v>
      </c>
      <c r="AB8749">
        <v>26</v>
      </c>
      <c r="AC8749">
        <v>84.528899999999993</v>
      </c>
      <c r="AD8749">
        <v>-1.1710959999999999</v>
      </c>
      <c r="AE8749">
        <v>-1.51250999999998</v>
      </c>
      <c r="AF8749">
        <v>1.32856778324221</v>
      </c>
      <c r="AG8749">
        <v>-1.1710959999999999</v>
      </c>
      <c r="AH8749">
        <v>84.515770048862706</v>
      </c>
      <c r="AI8749">
        <v>90.793772297749499</v>
      </c>
      <c r="AJ8749">
        <v>89.099398165272305</v>
      </c>
      <c r="AK8749">
        <v>84.534324065128303</v>
      </c>
      <c r="AL8749">
        <v>92.148615790258404</v>
      </c>
      <c r="AM8749">
        <v>92.465989034227206</v>
      </c>
      <c r="AN8749">
        <v>0.99999996904379695</v>
      </c>
    </row>
    <row r="8750" spans="1:40" x14ac:dyDescent="0.25">
      <c r="A8750" t="str">
        <f>"20190303154013918"</f>
        <v>20190303154013918</v>
      </c>
      <c r="B8750" t="str">
        <f>"1551598813906640"</f>
        <v>1551598813906640</v>
      </c>
      <c r="C8750" t="s">
        <v>40</v>
      </c>
      <c r="D8750">
        <v>4.3376010000000003</v>
      </c>
      <c r="E8750">
        <v>0.52213039999999999</v>
      </c>
      <c r="F8750" t="s">
        <v>43</v>
      </c>
      <c r="G8750">
        <v>-160.15299999999999</v>
      </c>
      <c r="H8750">
        <v>-0.05</v>
      </c>
      <c r="I8750">
        <v>-64.522769999999994</v>
      </c>
      <c r="J8750">
        <v>-245.90559999999999</v>
      </c>
      <c r="K8750">
        <v>1.1211139999999999</v>
      </c>
      <c r="L8750">
        <v>-62.991059999999997</v>
      </c>
      <c r="M8750">
        <v>0.99993359999999998</v>
      </c>
      <c r="N8750">
        <v>-1.136295E-2</v>
      </c>
      <c r="O8750">
        <v>-1.9736440000000001E-3</v>
      </c>
      <c r="P8750">
        <v>0.99796019999999996</v>
      </c>
      <c r="Q8750">
        <v>-4.8724919999999998E-2</v>
      </c>
      <c r="R8750">
        <v>4.1252650000000002E-2</v>
      </c>
      <c r="S8750">
        <v>3.0062869999999999</v>
      </c>
      <c r="T8750">
        <v>-4.0994049999999997E-2</v>
      </c>
      <c r="U8750">
        <v>-5.3619380000000001E-2</v>
      </c>
      <c r="V8750">
        <v>-4.3198069999999998E-2</v>
      </c>
      <c r="W8750">
        <v>-3.7411079999999999E-2</v>
      </c>
      <c r="X8750">
        <v>0.99836579999999997</v>
      </c>
      <c r="Y8750">
        <v>1.5856729999999999E-2</v>
      </c>
      <c r="Z8750">
        <v>-1.9372169999999999E-4</v>
      </c>
      <c r="AA8750">
        <v>0.99987420000000005</v>
      </c>
      <c r="AB8750">
        <v>26</v>
      </c>
      <c r="AC8750">
        <v>85.752600000000001</v>
      </c>
      <c r="AD8750">
        <v>-1.171114</v>
      </c>
      <c r="AE8750">
        <v>-1.5317099999999899</v>
      </c>
      <c r="AF8750">
        <v>1.3621970197104001</v>
      </c>
      <c r="AG8750">
        <v>-1.171114</v>
      </c>
      <c r="AH8750">
        <v>85.739469980452498</v>
      </c>
      <c r="AI8750">
        <v>90.782454705279804</v>
      </c>
      <c r="AJ8750">
        <v>89.089782404538596</v>
      </c>
      <c r="AK8750">
        <v>85.758287070407505</v>
      </c>
      <c r="AL8750">
        <v>92.143997380739094</v>
      </c>
      <c r="AM8750">
        <v>92.477573080385298</v>
      </c>
      <c r="AN8750">
        <v>0.99999996638406496</v>
      </c>
    </row>
    <row r="8751" spans="1:40" x14ac:dyDescent="0.25">
      <c r="A8751" t="str">
        <f>"20190303154013928"</f>
        <v>20190303154013928</v>
      </c>
      <c r="B8751" t="str">
        <f>"1551598813917374"</f>
        <v>1551598813917374</v>
      </c>
      <c r="C8751" t="s">
        <v>40</v>
      </c>
      <c r="D8751">
        <v>4.3427040000000003</v>
      </c>
      <c r="E8751">
        <v>0.52226279999999903</v>
      </c>
      <c r="F8751" t="s">
        <v>43</v>
      </c>
      <c r="G8751">
        <v>-159.785</v>
      </c>
      <c r="H8751">
        <v>-0.05</v>
      </c>
      <c r="I8751">
        <v>-64.519169999999903</v>
      </c>
      <c r="J8751">
        <v>-245.78270000000001</v>
      </c>
      <c r="K8751">
        <v>1.1211279999999999</v>
      </c>
      <c r="L8751">
        <v>-62.991120000000002</v>
      </c>
      <c r="M8751">
        <v>0.99993350000000003</v>
      </c>
      <c r="N8751">
        <v>-1.1386749999999999E-2</v>
      </c>
      <c r="O8751">
        <v>-1.7843309999999999E-3</v>
      </c>
      <c r="P8751">
        <v>0.99796180000000001</v>
      </c>
      <c r="Q8751">
        <v>-4.843476E-2</v>
      </c>
      <c r="R8751">
        <v>4.1551659999999997E-2</v>
      </c>
      <c r="S8751">
        <v>3.0063629999999999</v>
      </c>
      <c r="T8751">
        <v>-4.0882109999999999E-2</v>
      </c>
      <c r="U8751">
        <v>-5.334473E-2</v>
      </c>
      <c r="V8751">
        <v>-4.3308069999999997E-2</v>
      </c>
      <c r="W8751">
        <v>-3.7097310000000001E-2</v>
      </c>
      <c r="X8751">
        <v>0.99837279999999995</v>
      </c>
      <c r="Y8751">
        <v>1.595425E-2</v>
      </c>
      <c r="Z8751">
        <v>-1.953705E-4</v>
      </c>
      <c r="AA8751">
        <v>0.99987269999999995</v>
      </c>
      <c r="AB8751">
        <v>26</v>
      </c>
      <c r="AC8751">
        <v>85.997699999999995</v>
      </c>
      <c r="AD8751">
        <v>-1.1711279999999999</v>
      </c>
      <c r="AE8751">
        <v>-1.5280499999999899</v>
      </c>
      <c r="AF8751">
        <v>1.37433444973976</v>
      </c>
      <c r="AG8751">
        <v>-1.1711279999999999</v>
      </c>
      <c r="AH8751">
        <v>85.984348738417395</v>
      </c>
      <c r="AI8751">
        <v>90.780234726562597</v>
      </c>
      <c r="AJ8751">
        <v>89.0842884762382</v>
      </c>
      <c r="AK8751">
        <v>86.003305540786599</v>
      </c>
      <c r="AL8751">
        <v>92.126007073314099</v>
      </c>
      <c r="AM8751">
        <v>92.483856712184803</v>
      </c>
      <c r="AN8751">
        <v>1.0000000235580999</v>
      </c>
    </row>
    <row r="8752" spans="1:40" x14ac:dyDescent="0.25">
      <c r="A8752" t="str">
        <f>"20190303154013939"</f>
        <v>20190303154013939</v>
      </c>
      <c r="B8752" t="str">
        <f>"1551598813936896"</f>
        <v>1551598813936896</v>
      </c>
      <c r="C8752" t="s">
        <v>40</v>
      </c>
      <c r="D8752">
        <v>4.4122029999999999</v>
      </c>
      <c r="E8752">
        <v>0.5219916</v>
      </c>
      <c r="F8752" t="s">
        <v>43</v>
      </c>
      <c r="G8752">
        <v>-156.86670000000001</v>
      </c>
      <c r="H8752">
        <v>-0.05</v>
      </c>
      <c r="I8752">
        <v>-64.574219999999997</v>
      </c>
      <c r="J8752">
        <v>-245.65029999999999</v>
      </c>
      <c r="K8752">
        <v>1.1211599999999999</v>
      </c>
      <c r="L8752">
        <v>-62.991120000000002</v>
      </c>
      <c r="M8752">
        <v>0.99993310000000002</v>
      </c>
      <c r="N8752">
        <v>-1.146279E-2</v>
      </c>
      <c r="O8752">
        <v>-1.5877879999999999E-3</v>
      </c>
      <c r="P8752">
        <v>0.997946</v>
      </c>
      <c r="Q8752">
        <v>-4.8718589999999999E-2</v>
      </c>
      <c r="R8752">
        <v>4.1596300000000003E-2</v>
      </c>
      <c r="S8752">
        <v>3.0064389999999999</v>
      </c>
      <c r="T8752">
        <v>-3.9598349999999997E-2</v>
      </c>
      <c r="U8752">
        <v>-5.3527829999999998E-2</v>
      </c>
      <c r="V8752">
        <v>-4.3156340000000001E-2</v>
      </c>
      <c r="W8752">
        <v>-3.7305379999999999E-2</v>
      </c>
      <c r="X8752">
        <v>0.99837160000000003</v>
      </c>
      <c r="Y8752">
        <v>1.6211280000000002E-2</v>
      </c>
      <c r="Z8752">
        <v>-1.969683E-4</v>
      </c>
      <c r="AA8752">
        <v>0.9998686</v>
      </c>
      <c r="AB8752">
        <v>26</v>
      </c>
      <c r="AC8752">
        <v>88.783599999999893</v>
      </c>
      <c r="AD8752">
        <v>-1.17116</v>
      </c>
      <c r="AE8752">
        <v>-1.5831</v>
      </c>
      <c r="AF8752">
        <v>1.4418684001575801</v>
      </c>
      <c r="AG8752">
        <v>-1.17116</v>
      </c>
      <c r="AH8752">
        <v>88.770560064778607</v>
      </c>
      <c r="AI8752">
        <v>90.755766145058601</v>
      </c>
      <c r="AJ8752">
        <v>89.069447010889405</v>
      </c>
      <c r="AK8752">
        <v>88.789993436442202</v>
      </c>
      <c r="AL8752">
        <v>92.137936900571503</v>
      </c>
      <c r="AM8752">
        <v>92.475168323170294</v>
      </c>
      <c r="AN8752">
        <v>1.00000000637285</v>
      </c>
    </row>
    <row r="8753" spans="1:40" x14ac:dyDescent="0.25">
      <c r="A8753" t="str">
        <f>"20190303154013951"</f>
        <v>20190303154013951</v>
      </c>
      <c r="B8753" t="str">
        <f>"1551598813946655"</f>
        <v>1551598813946655</v>
      </c>
      <c r="C8753" t="s">
        <v>40</v>
      </c>
      <c r="D8753">
        <v>4.3444779999999996</v>
      </c>
      <c r="E8753">
        <v>0.52208120000000002</v>
      </c>
      <c r="F8753" t="s">
        <v>63</v>
      </c>
      <c r="G8753">
        <v>-178.58930000000001</v>
      </c>
      <c r="H8753">
        <v>7.9986189999999999E-2</v>
      </c>
      <c r="I8753">
        <v>-64.131479999999996</v>
      </c>
      <c r="J8753">
        <v>-245.5205</v>
      </c>
      <c r="K8753">
        <v>1.1211899999999999</v>
      </c>
      <c r="L8753">
        <v>-62.991120000000002</v>
      </c>
      <c r="M8753">
        <v>0.9999323</v>
      </c>
      <c r="N8753">
        <v>-1.15491E-2</v>
      </c>
      <c r="O8753">
        <v>-1.3951279999999901E-3</v>
      </c>
      <c r="P8753">
        <v>0.9979481</v>
      </c>
      <c r="Q8753">
        <v>-4.8724860000000002E-2</v>
      </c>
      <c r="R8753">
        <v>4.154323E-2</v>
      </c>
      <c r="S8753">
        <v>3.0060419999999999</v>
      </c>
      <c r="T8753">
        <v>-4.6671150000000002E-2</v>
      </c>
      <c r="U8753">
        <v>-5.111694E-2</v>
      </c>
      <c r="V8753">
        <v>-4.2911299999999999E-2</v>
      </c>
      <c r="W8753">
        <v>-3.7225319999999999E-2</v>
      </c>
      <c r="X8753">
        <v>0.99838510000000003</v>
      </c>
      <c r="Y8753">
        <v>1.560397E-2</v>
      </c>
      <c r="Z8753">
        <v>-2.0569490000000001E-4</v>
      </c>
      <c r="AA8753">
        <v>0.99987820000000005</v>
      </c>
      <c r="AB8753">
        <v>26</v>
      </c>
      <c r="AC8753">
        <v>66.931199999999905</v>
      </c>
      <c r="AD8753">
        <v>-1.0412038099999901</v>
      </c>
      <c r="AE8753">
        <v>-1.14036000000001</v>
      </c>
      <c r="AF8753">
        <v>1.0467218351338201</v>
      </c>
      <c r="AG8753">
        <v>-1.0412038099999901</v>
      </c>
      <c r="AH8753">
        <v>66.916536847014996</v>
      </c>
      <c r="AI8753">
        <v>90.891326386667899</v>
      </c>
      <c r="AJ8753">
        <v>89.103841058194703</v>
      </c>
      <c r="AK8753">
        <v>66.932821810917403</v>
      </c>
      <c r="AL8753">
        <v>92.133346719595494</v>
      </c>
      <c r="AM8753">
        <v>92.461098507036596</v>
      </c>
      <c r="AN8753">
        <v>0.99999995600939995</v>
      </c>
    </row>
    <row r="8754" spans="1:40" x14ac:dyDescent="0.25">
      <c r="A8754" t="str">
        <f>"20190303154013962"</f>
        <v>20190303154013962</v>
      </c>
      <c r="B8754" t="str">
        <f>"1551598813957394"</f>
        <v>1551598813957394</v>
      </c>
      <c r="C8754" t="s">
        <v>40</v>
      </c>
      <c r="D8754">
        <v>4.4085570000000001</v>
      </c>
      <c r="E8754">
        <v>0.52184520000000001</v>
      </c>
      <c r="F8754" t="s">
        <v>63</v>
      </c>
      <c r="G8754">
        <v>-178.15690000000001</v>
      </c>
      <c r="H8754">
        <v>7.9986210000000002E-2</v>
      </c>
      <c r="I8754">
        <v>-64.155749999999998</v>
      </c>
      <c r="J8754">
        <v>-245.38820000000001</v>
      </c>
      <c r="K8754">
        <v>1.1212219999999999</v>
      </c>
      <c r="L8754">
        <v>-62.991059999999997</v>
      </c>
      <c r="M8754">
        <v>0.99993120000000002</v>
      </c>
      <c r="N8754">
        <v>-1.167762E-2</v>
      </c>
      <c r="O8754">
        <v>-1.1971499999999999E-3</v>
      </c>
      <c r="P8754">
        <v>0.99794930000000004</v>
      </c>
      <c r="Q8754">
        <v>-4.8915840000000002E-2</v>
      </c>
      <c r="R8754">
        <v>4.1290519999999997E-2</v>
      </c>
      <c r="S8754">
        <v>3.0060730000000002</v>
      </c>
      <c r="T8754">
        <v>-4.6463249999999998E-2</v>
      </c>
      <c r="U8754">
        <v>-5.1971440000000001E-2</v>
      </c>
      <c r="V8754">
        <v>-4.2461310000000002E-2</v>
      </c>
      <c r="W8754">
        <v>-3.7287269999999997E-2</v>
      </c>
      <c r="X8754">
        <v>0.99840209999999996</v>
      </c>
      <c r="Y8754">
        <v>1.6085809999999999E-2</v>
      </c>
      <c r="Z8754">
        <v>-2.1371810000000001E-4</v>
      </c>
      <c r="AA8754">
        <v>0.99987060000000005</v>
      </c>
      <c r="AB8754">
        <v>26</v>
      </c>
      <c r="AC8754">
        <v>67.231300000000005</v>
      </c>
      <c r="AD8754">
        <v>-1.04123579</v>
      </c>
      <c r="AE8754">
        <v>-1.16469</v>
      </c>
      <c r="AF8754">
        <v>1.0839378206413901</v>
      </c>
      <c r="AG8754">
        <v>-1.04123579</v>
      </c>
      <c r="AH8754">
        <v>67.216528599791999</v>
      </c>
      <c r="AI8754">
        <v>90.887369409134905</v>
      </c>
      <c r="AJ8754">
        <v>89.076124860351698</v>
      </c>
      <c r="AK8754">
        <v>67.233331095343303</v>
      </c>
      <c r="AL8754">
        <v>92.136898504664202</v>
      </c>
      <c r="AM8754">
        <v>92.435279980368406</v>
      </c>
      <c r="AN8754">
        <v>1.00000002831768</v>
      </c>
    </row>
    <row r="8755" spans="1:40" x14ac:dyDescent="0.25">
      <c r="A8755" t="str">
        <f>"20190303154013974"</f>
        <v>20190303154013974</v>
      </c>
      <c r="B8755" t="str">
        <f>"1551598813967150"</f>
        <v>1551598813967150</v>
      </c>
      <c r="C8755" t="s">
        <v>40</v>
      </c>
      <c r="D8755">
        <v>4.441065</v>
      </c>
      <c r="E8755">
        <v>0.52160150000000005</v>
      </c>
      <c r="F8755" t="s">
        <v>63</v>
      </c>
      <c r="G8755">
        <v>-180.52070000000001</v>
      </c>
      <c r="H8755" s="1">
        <v>-8.9441290000000006E-6</v>
      </c>
      <c r="I8755">
        <v>-64.088969999999904</v>
      </c>
      <c r="J8755">
        <v>-245.25319999999999</v>
      </c>
      <c r="K8755">
        <v>1.121256</v>
      </c>
      <c r="L8755">
        <v>-62.990969999999997</v>
      </c>
      <c r="M8755">
        <v>0.99992979999999998</v>
      </c>
      <c r="N8755">
        <v>-1.18195E-2</v>
      </c>
      <c r="O8755">
        <v>-9.9283110000000004E-4</v>
      </c>
      <c r="P8755">
        <v>0.99793390000000004</v>
      </c>
      <c r="Q8755">
        <v>-4.9311939999999999E-2</v>
      </c>
      <c r="R8755">
        <v>4.1187920000000003E-2</v>
      </c>
      <c r="S8755">
        <v>3.005722</v>
      </c>
      <c r="T8755">
        <v>-5.195367E-2</v>
      </c>
      <c r="U8755">
        <v>-5.0872800000000003E-2</v>
      </c>
      <c r="V8755">
        <v>-4.2154320000000002E-2</v>
      </c>
      <c r="W8755">
        <v>-3.754122E-2</v>
      </c>
      <c r="X8755">
        <v>0.9984056</v>
      </c>
      <c r="Y8755">
        <v>1.5926139999999998E-2</v>
      </c>
      <c r="Z8755">
        <v>-2.2633789999999999E-4</v>
      </c>
      <c r="AA8755">
        <v>0.99987320000000002</v>
      </c>
      <c r="AB8755">
        <v>26</v>
      </c>
      <c r="AC8755">
        <v>64.732499999999902</v>
      </c>
      <c r="AD8755">
        <v>-1.1212649441289999</v>
      </c>
      <c r="AE8755">
        <v>-1.0979999999999901</v>
      </c>
      <c r="AF8755">
        <v>1.0334165674869</v>
      </c>
      <c r="AG8755">
        <v>-1.1212649441289999</v>
      </c>
      <c r="AH8755">
        <v>64.714147380333102</v>
      </c>
      <c r="AI8755">
        <v>90.992505297865193</v>
      </c>
      <c r="AJ8755">
        <v>89.085124691639294</v>
      </c>
      <c r="AK8755">
        <v>64.732109930392099</v>
      </c>
      <c r="AL8755">
        <v>92.151458945577204</v>
      </c>
      <c r="AM8755">
        <v>92.417685711520804</v>
      </c>
      <c r="AN8755">
        <v>1.0000000360025501</v>
      </c>
    </row>
    <row r="8756" spans="1:40" x14ac:dyDescent="0.25">
      <c r="A8756" t="str">
        <f>"20190303154013985"</f>
        <v>20190303154013985</v>
      </c>
      <c r="B8756" t="str">
        <f>"1551598813976911"</f>
        <v>1551598813976911</v>
      </c>
      <c r="C8756" t="s">
        <v>40</v>
      </c>
      <c r="D8756">
        <v>4.3425459999999996</v>
      </c>
      <c r="E8756">
        <v>0.52167359999999996</v>
      </c>
      <c r="F8756" t="s">
        <v>63</v>
      </c>
      <c r="G8756">
        <v>-181.67449999999999</v>
      </c>
      <c r="H8756" s="1">
        <v>-9.0800199999999992E-6</v>
      </c>
      <c r="I8756">
        <v>-64.032240000000002</v>
      </c>
      <c r="J8756">
        <v>-245.1241</v>
      </c>
      <c r="K8756">
        <v>1.1212850000000001</v>
      </c>
      <c r="L8756">
        <v>-62.990879999999997</v>
      </c>
      <c r="M8756">
        <v>0.99992820000000004</v>
      </c>
      <c r="N8756">
        <v>-1.196931E-2</v>
      </c>
      <c r="O8756">
        <v>-7.9466070000000001E-4</v>
      </c>
      <c r="P8756">
        <v>0.99793310000000002</v>
      </c>
      <c r="Q8756">
        <v>-4.9496400000000003E-2</v>
      </c>
      <c r="R8756">
        <v>4.0988070000000001E-2</v>
      </c>
      <c r="S8756">
        <v>3.00563</v>
      </c>
      <c r="T8756">
        <v>-5.3006890000000001E-2</v>
      </c>
      <c r="U8756">
        <v>-4.9224850000000001E-2</v>
      </c>
      <c r="V8756">
        <v>-4.1757219999999998E-2</v>
      </c>
      <c r="W8756">
        <v>-3.7575280000000003E-2</v>
      </c>
      <c r="X8756">
        <v>0.998421</v>
      </c>
      <c r="Y8756">
        <v>1.5576680000000001E-2</v>
      </c>
      <c r="Z8756">
        <v>-2.2607559999999999E-4</v>
      </c>
      <c r="AA8756">
        <v>0.99987859999999995</v>
      </c>
      <c r="AB8756">
        <v>26</v>
      </c>
      <c r="AC8756">
        <v>63.449599999999997</v>
      </c>
      <c r="AD8756">
        <v>-1.12129408002</v>
      </c>
      <c r="AE8756">
        <v>-1.0413599999999901</v>
      </c>
      <c r="AF8756">
        <v>0.990625867275581</v>
      </c>
      <c r="AG8756">
        <v>-1.12129408002</v>
      </c>
      <c r="AH8756">
        <v>63.430603083650297</v>
      </c>
      <c r="AI8756">
        <v>91.012616834549206</v>
      </c>
      <c r="AJ8756">
        <v>89.105257326872405</v>
      </c>
      <c r="AK8756">
        <v>63.448247001618498</v>
      </c>
      <c r="AL8756">
        <v>92.153411830201904</v>
      </c>
      <c r="AM8756">
        <v>92.394900498009903</v>
      </c>
      <c r="AN8756">
        <v>1.0000000301651</v>
      </c>
    </row>
    <row r="8757" spans="1:40" x14ac:dyDescent="0.25">
      <c r="A8757" t="str">
        <f>"20190303154013996"</f>
        <v>20190303154013996</v>
      </c>
      <c r="B8757" t="str">
        <f>"1551598813986671"</f>
        <v>1551598813986671</v>
      </c>
      <c r="C8757" t="s">
        <v>40</v>
      </c>
      <c r="D8757">
        <v>4.4246980000000002</v>
      </c>
      <c r="E8757">
        <v>0.52149120000000004</v>
      </c>
      <c r="F8757" t="s">
        <v>63</v>
      </c>
      <c r="G8757">
        <v>-180.43610000000001</v>
      </c>
      <c r="H8757" s="1">
        <v>-8.940202E-6</v>
      </c>
      <c r="I8757">
        <v>-64.076549999999997</v>
      </c>
      <c r="J8757">
        <v>-244.99959999999999</v>
      </c>
      <c r="K8757">
        <v>1.1213120000000001</v>
      </c>
      <c r="L8757">
        <v>-62.990780000000001</v>
      </c>
      <c r="M8757">
        <v>0.99992650000000005</v>
      </c>
      <c r="N8757">
        <v>-1.2116780000000001E-2</v>
      </c>
      <c r="O8757">
        <v>-6.0220390000000003E-4</v>
      </c>
      <c r="P8757">
        <v>0.99794260000000001</v>
      </c>
      <c r="Q8757">
        <v>-4.9618450000000001E-2</v>
      </c>
      <c r="R8757">
        <v>4.0604700000000001E-2</v>
      </c>
      <c r="S8757">
        <v>3.005722</v>
      </c>
      <c r="T8757">
        <v>-5.2100899999999999E-2</v>
      </c>
      <c r="U8757">
        <v>-5.044556E-2</v>
      </c>
      <c r="V8757">
        <v>-4.1182610000000001E-2</v>
      </c>
      <c r="W8757">
        <v>-3.7549109999999997E-2</v>
      </c>
      <c r="X8757">
        <v>0.99844580000000005</v>
      </c>
      <c r="Y8757">
        <v>1.6174529999999999E-2</v>
      </c>
      <c r="Z8757">
        <v>-2.350373E-4</v>
      </c>
      <c r="AA8757">
        <v>0.99986920000000001</v>
      </c>
      <c r="AB8757">
        <v>26</v>
      </c>
      <c r="AC8757">
        <v>64.563499999999905</v>
      </c>
      <c r="AD8757">
        <v>-1.1213209402019999</v>
      </c>
      <c r="AE8757">
        <v>-1.0857699999999799</v>
      </c>
      <c r="AF8757">
        <v>1.0465709646432599</v>
      </c>
      <c r="AG8757">
        <v>-1.1213209402019999</v>
      </c>
      <c r="AH8757">
        <v>64.544678585306599</v>
      </c>
      <c r="AI8757">
        <v>90.995156453481798</v>
      </c>
      <c r="AJ8757">
        <v>89.071048981715904</v>
      </c>
      <c r="AK8757">
        <v>64.562901151632801</v>
      </c>
      <c r="AL8757">
        <v>92.151911450335007</v>
      </c>
      <c r="AM8757">
        <v>92.361923892006601</v>
      </c>
      <c r="AN8757">
        <v>0.99999997928292195</v>
      </c>
    </row>
    <row r="8758" spans="1:40" x14ac:dyDescent="0.25">
      <c r="A8758" t="str">
        <f>"20190303154014007"</f>
        <v>20190303154014007</v>
      </c>
      <c r="B8758" t="str">
        <f>"1551598813997407"</f>
        <v>1551598813997407</v>
      </c>
      <c r="C8758" t="s">
        <v>40</v>
      </c>
      <c r="D8758">
        <v>4.3302350000000001</v>
      </c>
      <c r="E8758">
        <v>0.52155039999999997</v>
      </c>
      <c r="F8758" t="s">
        <v>63</v>
      </c>
      <c r="G8758">
        <v>-180.77770000000001</v>
      </c>
      <c r="H8758" s="1">
        <v>-8.9797880000000005E-6</v>
      </c>
      <c r="I8758">
        <v>-64.061509999999998</v>
      </c>
      <c r="J8758">
        <v>-244.87119999999999</v>
      </c>
      <c r="K8758">
        <v>1.1213439999999999</v>
      </c>
      <c r="L8758">
        <v>-62.990659999999998</v>
      </c>
      <c r="M8758">
        <v>0.9999247</v>
      </c>
      <c r="N8758">
        <v>-1.227074E-2</v>
      </c>
      <c r="O8758">
        <v>-4.0240509999999997E-4</v>
      </c>
      <c r="P8758">
        <v>0.99793339999999997</v>
      </c>
      <c r="Q8758">
        <v>-4.9838279999999999E-2</v>
      </c>
      <c r="R8758">
        <v>4.056328E-2</v>
      </c>
      <c r="S8758">
        <v>3.0056150000000001</v>
      </c>
      <c r="T8758">
        <v>-5.247831E-2</v>
      </c>
      <c r="U8758">
        <v>-5.0109859999999999E-2</v>
      </c>
      <c r="V8758">
        <v>-4.0942079999999999E-2</v>
      </c>
      <c r="W8758">
        <v>-3.7614689999999999E-2</v>
      </c>
      <c r="X8758">
        <v>0.99845329999999999</v>
      </c>
      <c r="Y8758">
        <v>1.626317E-2</v>
      </c>
      <c r="Z8758">
        <v>-2.396744E-4</v>
      </c>
      <c r="AA8758">
        <v>0.99986770000000003</v>
      </c>
      <c r="AB8758">
        <v>26</v>
      </c>
      <c r="AC8758">
        <v>64.093499999999906</v>
      </c>
      <c r="AD8758">
        <v>-1.121352979788</v>
      </c>
      <c r="AE8758">
        <v>-1.0708500000000001</v>
      </c>
      <c r="AF8758">
        <v>1.04473672205598</v>
      </c>
      <c r="AG8758">
        <v>-1.121352979788</v>
      </c>
      <c r="AH8758">
        <v>64.0743183813385</v>
      </c>
      <c r="AI8758">
        <v>91.002487430807193</v>
      </c>
      <c r="AJ8758">
        <v>89.065870654297001</v>
      </c>
      <c r="AK8758">
        <v>64.092645314082802</v>
      </c>
      <c r="AL8758">
        <v>92.155671399479402</v>
      </c>
      <c r="AM8758">
        <v>92.3481267735107</v>
      </c>
      <c r="AN8758">
        <v>1.0000000555497</v>
      </c>
    </row>
    <row r="8759" spans="1:40" x14ac:dyDescent="0.25">
      <c r="A8759" t="str">
        <f>"20190303154014017"</f>
        <v>20190303154014017</v>
      </c>
      <c r="B8759" t="str">
        <f>"1551598814007167"</f>
        <v>1551598814007167</v>
      </c>
      <c r="C8759" t="s">
        <v>40</v>
      </c>
      <c r="D8759">
        <v>4.4389570000000003</v>
      </c>
      <c r="E8759">
        <v>0.52131549999999904</v>
      </c>
      <c r="F8759" t="s">
        <v>63</v>
      </c>
      <c r="G8759">
        <v>-179.95769999999999</v>
      </c>
      <c r="H8759">
        <v>3.521635E-3</v>
      </c>
      <c r="I8759">
        <v>-64.084739999999996</v>
      </c>
      <c r="J8759">
        <v>-244.75299999999999</v>
      </c>
      <c r="K8759">
        <v>1.1213660000000001</v>
      </c>
      <c r="L8759">
        <v>-62.99051</v>
      </c>
      <c r="M8759">
        <v>0.99992309999999995</v>
      </c>
      <c r="N8759">
        <v>-1.240865E-2</v>
      </c>
      <c r="O8759">
        <v>-2.1930579999999999E-4</v>
      </c>
      <c r="P8759">
        <v>0.99794720000000003</v>
      </c>
      <c r="Q8759">
        <v>-4.9753579999999999E-2</v>
      </c>
      <c r="R8759">
        <v>4.0326809999999998E-2</v>
      </c>
      <c r="S8759">
        <v>3.0057070000000001</v>
      </c>
      <c r="T8759">
        <v>-5.1758890000000002E-2</v>
      </c>
      <c r="U8759">
        <v>-5.0659179999999998E-2</v>
      </c>
      <c r="V8759">
        <v>-4.0522500000000003E-2</v>
      </c>
      <c r="W8759">
        <v>-3.7391590000000002E-2</v>
      </c>
      <c r="X8759">
        <v>0.9984788</v>
      </c>
      <c r="Y8759">
        <v>1.662841E-2</v>
      </c>
      <c r="Z8759">
        <v>-2.452892E-4</v>
      </c>
      <c r="AA8759">
        <v>0.99986169999999996</v>
      </c>
      <c r="AB8759">
        <v>26</v>
      </c>
      <c r="AC8759">
        <v>64.795299999999997</v>
      </c>
      <c r="AD8759">
        <v>-1.1178443650000001</v>
      </c>
      <c r="AE8759">
        <v>-1.09422999999999</v>
      </c>
      <c r="AF8759">
        <v>1.0796976380628001</v>
      </c>
      <c r="AG8759">
        <v>-1.1178443650000001</v>
      </c>
      <c r="AH8759">
        <v>64.776264613787106</v>
      </c>
      <c r="AI8759">
        <v>90.9885181760325</v>
      </c>
      <c r="AJ8759">
        <v>89.045076307322205</v>
      </c>
      <c r="AK8759">
        <v>64.794905512157101</v>
      </c>
      <c r="AL8759">
        <v>92.142879705468602</v>
      </c>
      <c r="AM8759">
        <v>92.324030085257107</v>
      </c>
      <c r="AN8759">
        <v>1.0000000590292</v>
      </c>
    </row>
    <row r="8760" spans="1:40" x14ac:dyDescent="0.25">
      <c r="A8760" t="str">
        <f>"20190303154014028"</f>
        <v>20190303154014028</v>
      </c>
      <c r="B8760" t="str">
        <f>"1551598814016928"</f>
        <v>1551598814016928</v>
      </c>
      <c r="C8760" t="s">
        <v>40</v>
      </c>
      <c r="D8760">
        <v>4.3616460000000004</v>
      </c>
      <c r="E8760">
        <v>0.52132959999999995</v>
      </c>
      <c r="F8760" t="s">
        <v>63</v>
      </c>
      <c r="G8760">
        <v>-179.95769999999999</v>
      </c>
      <c r="H8760">
        <v>3.9516519999999999E-3</v>
      </c>
      <c r="I8760">
        <v>-64.056969999999893</v>
      </c>
      <c r="J8760">
        <v>-244.62209999999999</v>
      </c>
      <c r="K8760">
        <v>1.1213869999999999</v>
      </c>
      <c r="L8760">
        <v>-62.99033</v>
      </c>
      <c r="M8760">
        <v>0.99992110000000001</v>
      </c>
      <c r="N8760">
        <v>-1.256053E-2</v>
      </c>
      <c r="O8760" s="1">
        <v>-1.662871E-5</v>
      </c>
      <c r="P8760">
        <v>0.99794229999999995</v>
      </c>
      <c r="Q8760">
        <v>-4.9725220000000001E-2</v>
      </c>
      <c r="R8760">
        <v>4.0479469999999997E-2</v>
      </c>
      <c r="S8760">
        <v>3.005585</v>
      </c>
      <c r="T8760">
        <v>-5.1832200000000002E-2</v>
      </c>
      <c r="U8760">
        <v>-4.9468989999999997E-2</v>
      </c>
      <c r="V8760">
        <v>-4.0473259999999997E-2</v>
      </c>
      <c r="W8760">
        <v>-3.7211349999999997E-2</v>
      </c>
      <c r="X8760">
        <v>0.99848749999999997</v>
      </c>
      <c r="Y8760">
        <v>1.6435950000000001E-2</v>
      </c>
      <c r="Z8760">
        <v>-2.4486979999999999E-4</v>
      </c>
      <c r="AA8760">
        <v>0.99986489999999995</v>
      </c>
      <c r="AB8760">
        <v>26</v>
      </c>
      <c r="AC8760">
        <v>64.664400000000001</v>
      </c>
      <c r="AD8760">
        <v>-1.1174353479999899</v>
      </c>
      <c r="AE8760">
        <v>-1.06663999999998</v>
      </c>
      <c r="AF8760">
        <v>1.06524661539195</v>
      </c>
      <c r="AG8760">
        <v>-1.1174353479999899</v>
      </c>
      <c r="AH8760">
        <v>64.645118858651102</v>
      </c>
      <c r="AI8760">
        <v>90.990163940560805</v>
      </c>
      <c r="AJ8760">
        <v>89.055944008766005</v>
      </c>
      <c r="AK8760">
        <v>64.663550817734205</v>
      </c>
      <c r="AL8760">
        <v>92.132545587908695</v>
      </c>
      <c r="AM8760">
        <v>92.321188980479107</v>
      </c>
      <c r="AN8760">
        <v>1.0000000285000401</v>
      </c>
    </row>
    <row r="8761" spans="1:40" x14ac:dyDescent="0.25">
      <c r="A8761" t="str">
        <f>"20190303154014040"</f>
        <v>20190303154014040</v>
      </c>
      <c r="B8761" t="str">
        <f>"1551598814037425"</f>
        <v>1551598814037425</v>
      </c>
      <c r="C8761" t="s">
        <v>40</v>
      </c>
      <c r="D8761">
        <v>4.4399439999999997</v>
      </c>
      <c r="E8761">
        <v>0.52100159999999995</v>
      </c>
      <c r="F8761" t="s">
        <v>63</v>
      </c>
      <c r="G8761">
        <v>-179.95769999999999</v>
      </c>
      <c r="H8761">
        <v>3.9526970000000002E-2</v>
      </c>
      <c r="I8761">
        <v>-64.046710000000004</v>
      </c>
      <c r="J8761">
        <v>-244.49459999999999</v>
      </c>
      <c r="K8761">
        <v>1.121408</v>
      </c>
      <c r="L8761">
        <v>-62.990110000000001</v>
      </c>
      <c r="M8761">
        <v>0.99991940000000001</v>
      </c>
      <c r="N8761">
        <v>-1.26999E-2</v>
      </c>
      <c r="O8761">
        <v>1.7743810000000001E-4</v>
      </c>
      <c r="P8761">
        <v>0.99792890000000001</v>
      </c>
      <c r="Q8761">
        <v>-4.9934850000000003E-2</v>
      </c>
      <c r="R8761">
        <v>4.055388E-2</v>
      </c>
      <c r="S8761">
        <v>3.0056919999999998</v>
      </c>
      <c r="T8761">
        <v>-5.0286409999999997E-2</v>
      </c>
      <c r="U8761">
        <v>-4.9102779999999999E-2</v>
      </c>
      <c r="V8761">
        <v>-4.035412E-2</v>
      </c>
      <c r="W8761">
        <v>-3.7281809999999999E-2</v>
      </c>
      <c r="X8761">
        <v>0.99848970000000004</v>
      </c>
      <c r="Y8761">
        <v>1.6507790000000001E-2</v>
      </c>
      <c r="Z8761">
        <v>-2.4363459999999999E-4</v>
      </c>
      <c r="AA8761">
        <v>0.99986370000000002</v>
      </c>
      <c r="AB8761">
        <v>26</v>
      </c>
      <c r="AC8761">
        <v>64.536900000000003</v>
      </c>
      <c r="AD8761">
        <v>-1.0818810299999999</v>
      </c>
      <c r="AE8761">
        <v>-1.05660000000001</v>
      </c>
      <c r="AF8761">
        <v>1.0677522279704801</v>
      </c>
      <c r="AG8761">
        <v>-1.0818810299999999</v>
      </c>
      <c r="AH8761">
        <v>64.518585100541998</v>
      </c>
      <c r="AI8761">
        <v>90.960543745670293</v>
      </c>
      <c r="AJ8761">
        <v>89.051868360199506</v>
      </c>
      <c r="AK8761">
        <v>64.536488785486995</v>
      </c>
      <c r="AL8761">
        <v>92.136585438444101</v>
      </c>
      <c r="AM8761">
        <v>92.314358508721796</v>
      </c>
      <c r="AN8761">
        <v>1.00000003468196</v>
      </c>
    </row>
    <row r="8762" spans="1:40" x14ac:dyDescent="0.25">
      <c r="A8762" t="str">
        <f>"20190303154014052"</f>
        <v>20190303154014052</v>
      </c>
      <c r="B8762" t="str">
        <f>"1551598814047183"</f>
        <v>1551598814047183</v>
      </c>
      <c r="C8762" t="s">
        <v>40</v>
      </c>
      <c r="D8762">
        <v>4.4145320000000003</v>
      </c>
      <c r="E8762">
        <v>0.52092079999999996</v>
      </c>
      <c r="F8762" t="s">
        <v>63</v>
      </c>
      <c r="G8762">
        <v>-179.95769999999999</v>
      </c>
      <c r="H8762">
        <v>2.7194030000000001E-2</v>
      </c>
      <c r="I8762">
        <v>-63.983550000000001</v>
      </c>
      <c r="J8762">
        <v>-244.36019999999999</v>
      </c>
      <c r="K8762">
        <v>1.121427</v>
      </c>
      <c r="L8762">
        <v>-62.989870000000003</v>
      </c>
      <c r="M8762">
        <v>0.99991750000000001</v>
      </c>
      <c r="N8762">
        <v>-1.284442E-2</v>
      </c>
      <c r="O8762">
        <v>3.8136019999999998E-4</v>
      </c>
      <c r="P8762">
        <v>0.99790460000000003</v>
      </c>
      <c r="Q8762">
        <v>-5.0028330000000003E-2</v>
      </c>
      <c r="R8762">
        <v>4.1032239999999998E-2</v>
      </c>
      <c r="S8762">
        <v>3.0055540000000001</v>
      </c>
      <c r="T8762">
        <v>-5.0958749999999997E-2</v>
      </c>
      <c r="U8762">
        <v>-4.6264649999999997E-2</v>
      </c>
      <c r="V8762">
        <v>-4.0628919999999999E-2</v>
      </c>
      <c r="W8762">
        <v>-3.7231399999999998E-2</v>
      </c>
      <c r="X8762">
        <v>0.99848040000000005</v>
      </c>
      <c r="Y8762">
        <v>1.5768589999999999E-2</v>
      </c>
      <c r="Z8762">
        <v>-2.365186E-4</v>
      </c>
      <c r="AA8762">
        <v>0.99987570000000003</v>
      </c>
      <c r="AB8762">
        <v>26</v>
      </c>
      <c r="AC8762">
        <v>64.402500000000003</v>
      </c>
      <c r="AD8762">
        <v>-1.09423297</v>
      </c>
      <c r="AE8762">
        <v>-0.993680000000004</v>
      </c>
      <c r="AF8762">
        <v>1.0179487128718501</v>
      </c>
      <c r="AG8762">
        <v>-1.09423297</v>
      </c>
      <c r="AH8762">
        <v>64.383534628993104</v>
      </c>
      <c r="AI8762">
        <v>90.973557346552099</v>
      </c>
      <c r="AJ8762">
        <v>89.094189125377795</v>
      </c>
      <c r="AK8762">
        <v>64.400878073962801</v>
      </c>
      <c r="AL8762">
        <v>92.133695230533803</v>
      </c>
      <c r="AM8762">
        <v>92.330122993826393</v>
      </c>
      <c r="AN8762">
        <v>0.99999999773524295</v>
      </c>
    </row>
    <row r="8763" spans="1:40" x14ac:dyDescent="0.25">
      <c r="A8763" t="str">
        <f>"20190303154014062"</f>
        <v>20190303154014062</v>
      </c>
      <c r="B8763" t="str">
        <f>"1551598814056943"</f>
        <v>1551598814056943</v>
      </c>
      <c r="C8763" t="s">
        <v>40</v>
      </c>
      <c r="D8763">
        <v>4.3237120000000004</v>
      </c>
      <c r="E8763">
        <v>0.52098859999999902</v>
      </c>
      <c r="F8763" t="s">
        <v>63</v>
      </c>
      <c r="G8763">
        <v>-179.95769999999999</v>
      </c>
      <c r="H8763">
        <v>2.1405150000000001E-2</v>
      </c>
      <c r="I8763">
        <v>-63.936100000000003</v>
      </c>
      <c r="J8763">
        <v>-244.23220000000001</v>
      </c>
      <c r="K8763">
        <v>1.12144</v>
      </c>
      <c r="L8763">
        <v>-62.989620000000002</v>
      </c>
      <c r="M8763">
        <v>0.99991569999999996</v>
      </c>
      <c r="N8763">
        <v>-1.2974360000000001E-2</v>
      </c>
      <c r="O8763">
        <v>5.7267229999999998E-4</v>
      </c>
      <c r="P8763">
        <v>0.99788869999999996</v>
      </c>
      <c r="Q8763">
        <v>-4.9918400000000002E-2</v>
      </c>
      <c r="R8763">
        <v>4.1550759999999999E-2</v>
      </c>
      <c r="S8763">
        <v>3.0055540000000001</v>
      </c>
      <c r="T8763">
        <v>-5.133617E-2</v>
      </c>
      <c r="U8763">
        <v>-4.4158940000000001E-2</v>
      </c>
      <c r="V8763">
        <v>-4.0956840000000001E-2</v>
      </c>
      <c r="W8763">
        <v>-3.69921E-2</v>
      </c>
      <c r="X8763">
        <v>0.99847589999999997</v>
      </c>
      <c r="Y8763">
        <v>1.52596E-2</v>
      </c>
      <c r="Z8763">
        <v>-2.3166810000000001E-4</v>
      </c>
      <c r="AA8763">
        <v>0.99988350000000004</v>
      </c>
      <c r="AB8763">
        <v>26</v>
      </c>
      <c r="AC8763">
        <v>64.274500000000003</v>
      </c>
      <c r="AD8763">
        <v>-1.1000348499999999</v>
      </c>
      <c r="AE8763">
        <v>-0.94648000000000798</v>
      </c>
      <c r="AF8763">
        <v>0.983003297758127</v>
      </c>
      <c r="AG8763">
        <v>-1.1000348499999999</v>
      </c>
      <c r="AH8763">
        <v>64.255130444991593</v>
      </c>
      <c r="AI8763">
        <v>90.980681624654295</v>
      </c>
      <c r="AJ8763">
        <v>89.123532291808004</v>
      </c>
      <c r="AK8763">
        <v>64.272063609763606</v>
      </c>
      <c r="AL8763">
        <v>92.119974892838897</v>
      </c>
      <c r="AM8763">
        <v>92.348919238706898</v>
      </c>
      <c r="AN8763">
        <v>1.0000000005430001</v>
      </c>
    </row>
    <row r="8764" spans="1:40" x14ac:dyDescent="0.25">
      <c r="A8764" t="str">
        <f>"20190303154014074"</f>
        <v>20190303154014074</v>
      </c>
      <c r="B8764" t="str">
        <f>"1551598814066703"</f>
        <v>1551598814066703</v>
      </c>
      <c r="C8764" t="s">
        <v>40</v>
      </c>
      <c r="D8764">
        <v>4.3395289999999997</v>
      </c>
      <c r="E8764">
        <v>0.52106079999999999</v>
      </c>
      <c r="F8764" t="s">
        <v>63</v>
      </c>
      <c r="G8764">
        <v>-179.95699999999999</v>
      </c>
      <c r="H8764">
        <v>5.0735620000000002E-2</v>
      </c>
      <c r="I8764">
        <v>-63.911110000000001</v>
      </c>
      <c r="J8764">
        <v>-244.1112</v>
      </c>
      <c r="K8764">
        <v>1.1214470000000001</v>
      </c>
      <c r="L8764">
        <v>-62.989350000000002</v>
      </c>
      <c r="M8764">
        <v>0.99991410000000003</v>
      </c>
      <c r="N8764">
        <v>-1.309283E-2</v>
      </c>
      <c r="O8764">
        <v>7.5295759999999897E-4</v>
      </c>
      <c r="P8764">
        <v>0.99785119999999905</v>
      </c>
      <c r="Q8764">
        <v>-5.0024720000000002E-2</v>
      </c>
      <c r="R8764">
        <v>4.2314369999999997E-2</v>
      </c>
      <c r="S8764">
        <v>3.005646</v>
      </c>
      <c r="T8764">
        <v>-5.0068380000000003E-2</v>
      </c>
      <c r="U8764">
        <v>-4.3090820000000002E-2</v>
      </c>
      <c r="V8764">
        <v>-4.1540090000000002E-2</v>
      </c>
      <c r="W8764">
        <v>-3.6980939999999997E-2</v>
      </c>
      <c r="X8764">
        <v>0.99845220000000001</v>
      </c>
      <c r="Y8764">
        <v>1.508435E-2</v>
      </c>
      <c r="Z8764">
        <v>-2.2707639999999999E-4</v>
      </c>
      <c r="AA8764">
        <v>0.99988619999999995</v>
      </c>
      <c r="AB8764">
        <v>26</v>
      </c>
      <c r="AC8764">
        <v>64.154200000000003</v>
      </c>
      <c r="AD8764">
        <v>-1.0707113800000001</v>
      </c>
      <c r="AE8764">
        <v>-0.92175999999999803</v>
      </c>
      <c r="AF8764">
        <v>0.96979919070051701</v>
      </c>
      <c r="AG8764">
        <v>-1.0707113800000001</v>
      </c>
      <c r="AH8764">
        <v>64.135626763796594</v>
      </c>
      <c r="AI8764">
        <v>90.956325487915194</v>
      </c>
      <c r="AJ8764">
        <v>89.1336926286031</v>
      </c>
      <c r="AK8764">
        <v>64.151894389133801</v>
      </c>
      <c r="AL8764">
        <v>92.119335072716098</v>
      </c>
      <c r="AM8764">
        <v>92.382387472904199</v>
      </c>
      <c r="AN8764">
        <v>0.99999998234266496</v>
      </c>
    </row>
    <row r="8765" spans="1:40" x14ac:dyDescent="0.25">
      <c r="A8765" t="str">
        <f>"20190303154014085"</f>
        <v>20190303154014085</v>
      </c>
      <c r="B8765" t="str">
        <f>"1551598814076464"</f>
        <v>1551598814076464</v>
      </c>
      <c r="C8765" t="s">
        <v>40</v>
      </c>
      <c r="D8765">
        <v>4.3191410000000001</v>
      </c>
      <c r="E8765">
        <v>0.52112130000000001</v>
      </c>
      <c r="F8765" t="s">
        <v>63</v>
      </c>
      <c r="G8765">
        <v>-179.94319999999999</v>
      </c>
      <c r="H8765">
        <v>6.4495720000000006E-2</v>
      </c>
      <c r="I8765">
        <v>-63.872779999999999</v>
      </c>
      <c r="J8765">
        <v>-243.97929999999999</v>
      </c>
      <c r="K8765">
        <v>1.121456</v>
      </c>
      <c r="L8765">
        <v>-62.98901</v>
      </c>
      <c r="M8765">
        <v>0.99991229999999998</v>
      </c>
      <c r="N8765">
        <v>-1.321548E-2</v>
      </c>
      <c r="O8765">
        <v>9.4852279999999998E-4</v>
      </c>
      <c r="P8765">
        <v>0.99782309999999996</v>
      </c>
      <c r="Q8765">
        <v>-4.9991559999999997E-2</v>
      </c>
      <c r="R8765">
        <v>4.3012429999999997E-2</v>
      </c>
      <c r="S8765">
        <v>3.0057680000000002</v>
      </c>
      <c r="T8765">
        <v>-4.9509879999999999E-2</v>
      </c>
      <c r="U8765">
        <v>-4.1381840000000003E-2</v>
      </c>
      <c r="V8765">
        <v>-4.2043560000000001E-2</v>
      </c>
      <c r="W8765">
        <v>-3.6825910000000003E-2</v>
      </c>
      <c r="X8765">
        <v>0.99843689999999996</v>
      </c>
      <c r="Y8765">
        <v>1.471108E-2</v>
      </c>
      <c r="Z8765">
        <v>-2.2145849999999999E-4</v>
      </c>
      <c r="AA8765">
        <v>0.9998918</v>
      </c>
      <c r="AB8765">
        <v>26</v>
      </c>
      <c r="AC8765">
        <v>64.036100000000005</v>
      </c>
      <c r="AD8765">
        <v>-1.05696028</v>
      </c>
      <c r="AE8765">
        <v>-0.88377000000000505</v>
      </c>
      <c r="AF8765">
        <v>0.944257400699545</v>
      </c>
      <c r="AG8765">
        <v>-1.05696028</v>
      </c>
      <c r="AH8765">
        <v>64.017795284485004</v>
      </c>
      <c r="AI8765">
        <v>90.945788218781999</v>
      </c>
      <c r="AJ8765">
        <v>89.154953077836197</v>
      </c>
      <c r="AK8765">
        <v>64.033482648990002</v>
      </c>
      <c r="AL8765">
        <v>92.110446361212993</v>
      </c>
      <c r="AM8765">
        <v>92.411265273941297</v>
      </c>
      <c r="AN8765">
        <v>1.0000000259332</v>
      </c>
    </row>
    <row r="8766" spans="1:40" x14ac:dyDescent="0.25">
      <c r="A8766" t="str">
        <f>"20190303154014096"</f>
        <v>20190303154014096</v>
      </c>
      <c r="B8766" t="str">
        <f>"1551598814087200"</f>
        <v>1551598814087200</v>
      </c>
      <c r="C8766" t="s">
        <v>40</v>
      </c>
      <c r="D8766">
        <v>4.3332090000000001</v>
      </c>
      <c r="E8766">
        <v>0.52117179999999996</v>
      </c>
      <c r="F8766" t="s">
        <v>63</v>
      </c>
      <c r="G8766">
        <v>-179.32599999999999</v>
      </c>
      <c r="H8766">
        <v>7.9986210000000002E-2</v>
      </c>
      <c r="I8766">
        <v>-63.844320000000003</v>
      </c>
      <c r="J8766">
        <v>-243.8502</v>
      </c>
      <c r="K8766">
        <v>1.1214649999999999</v>
      </c>
      <c r="L8766">
        <v>-62.988680000000002</v>
      </c>
      <c r="M8766">
        <v>0.99991059999999998</v>
      </c>
      <c r="N8766">
        <v>-1.332794E-2</v>
      </c>
      <c r="O8766">
        <v>1.140379E-3</v>
      </c>
      <c r="P8766">
        <v>0.99778440000000002</v>
      </c>
      <c r="Q8766">
        <v>-4.9930639999999998E-2</v>
      </c>
      <c r="R8766">
        <v>4.3971749999999997E-2</v>
      </c>
      <c r="S8766">
        <v>3.0058289999999999</v>
      </c>
      <c r="T8766">
        <v>-4.8419480000000001E-2</v>
      </c>
      <c r="U8766">
        <v>-3.9764399999999998E-2</v>
      </c>
      <c r="V8766">
        <v>-4.281128E-2</v>
      </c>
      <c r="W8766">
        <v>-3.6653529999999997E-2</v>
      </c>
      <c r="X8766">
        <v>0.99841060000000004</v>
      </c>
      <c r="Y8766">
        <v>1.43649E-2</v>
      </c>
      <c r="Z8766">
        <v>-2.1460239999999999E-4</v>
      </c>
      <c r="AA8766">
        <v>0.99989680000000003</v>
      </c>
      <c r="AB8766">
        <v>26</v>
      </c>
      <c r="AC8766">
        <v>64.524199999999993</v>
      </c>
      <c r="AD8766">
        <v>-1.04147879</v>
      </c>
      <c r="AE8766">
        <v>-0.85563999999999396</v>
      </c>
      <c r="AF8766">
        <v>0.92898603218534503</v>
      </c>
      <c r="AG8766">
        <v>-1.04147879</v>
      </c>
      <c r="AH8766">
        <v>64.506379386752002</v>
      </c>
      <c r="AI8766">
        <v>90.924884794440999</v>
      </c>
      <c r="AJ8766">
        <v>89.174914170662007</v>
      </c>
      <c r="AK8766">
        <v>64.521474523646702</v>
      </c>
      <c r="AL8766">
        <v>92.100563083128094</v>
      </c>
      <c r="AM8766">
        <v>92.4553064383866</v>
      </c>
      <c r="AN8766">
        <v>1.00000000657452</v>
      </c>
    </row>
    <row r="8767" spans="1:40" x14ac:dyDescent="0.25">
      <c r="A8767" t="str">
        <f>"20190303154014107"</f>
        <v>20190303154014107</v>
      </c>
      <c r="B8767" t="str">
        <f>"1551598814096960"</f>
        <v>1551598814096960</v>
      </c>
      <c r="C8767" t="s">
        <v>40</v>
      </c>
      <c r="D8767">
        <v>4.3315299999999999</v>
      </c>
      <c r="E8767">
        <v>0.52123019999999998</v>
      </c>
      <c r="F8767" t="s">
        <v>63</v>
      </c>
      <c r="G8767">
        <v>-177.2439</v>
      </c>
      <c r="H8767">
        <v>7.9986329999999994E-2</v>
      </c>
      <c r="I8767">
        <v>-63.813659999999999</v>
      </c>
      <c r="J8767">
        <v>-243.7277</v>
      </c>
      <c r="K8767">
        <v>1.1214729999999999</v>
      </c>
      <c r="L8767">
        <v>-62.988340000000001</v>
      </c>
      <c r="M8767">
        <v>0.9999091</v>
      </c>
      <c r="N8767">
        <v>-1.343083E-2</v>
      </c>
      <c r="O8767">
        <v>1.322511E-3</v>
      </c>
      <c r="P8767">
        <v>0.99775150000000001</v>
      </c>
      <c r="Q8767">
        <v>-4.981029E-2</v>
      </c>
      <c r="R8767">
        <v>4.4847150000000002E-2</v>
      </c>
      <c r="S8767">
        <v>3.0059659999999999</v>
      </c>
      <c r="T8767">
        <v>-4.700232E-2</v>
      </c>
      <c r="U8767">
        <v>-3.7231449999999999E-2</v>
      </c>
      <c r="V8767">
        <v>-4.3505269999999999E-2</v>
      </c>
      <c r="W8767">
        <v>-3.6431140000000001E-2</v>
      </c>
      <c r="X8767">
        <v>0.99838870000000002</v>
      </c>
      <c r="Y8767">
        <v>1.3704300000000001E-2</v>
      </c>
      <c r="Z8767">
        <v>-2.0209500000000001E-4</v>
      </c>
      <c r="AA8767">
        <v>0.99990610000000002</v>
      </c>
      <c r="AB8767">
        <v>26</v>
      </c>
      <c r="AC8767">
        <v>66.483800000000002</v>
      </c>
      <c r="AD8767">
        <v>-1.0414866699999901</v>
      </c>
      <c r="AE8767">
        <v>-0.82531999999999694</v>
      </c>
      <c r="AF8767">
        <v>0.91302872783258304</v>
      </c>
      <c r="AG8767">
        <v>-1.0414866699999901</v>
      </c>
      <c r="AH8767">
        <v>66.466341882844006</v>
      </c>
      <c r="AI8767">
        <v>90.897631462221398</v>
      </c>
      <c r="AJ8767">
        <v>89.212994108730996</v>
      </c>
      <c r="AK8767">
        <v>66.480771048693001</v>
      </c>
      <c r="AL8767">
        <v>92.087812642727101</v>
      </c>
      <c r="AM8767">
        <v>92.495112816118393</v>
      </c>
      <c r="AN8767">
        <v>0.99999996638358002</v>
      </c>
    </row>
    <row r="8768" spans="1:40" x14ac:dyDescent="0.25">
      <c r="A8768" t="str">
        <f>"20190303154014118"</f>
        <v>20190303154014118</v>
      </c>
      <c r="B8768" t="str">
        <f>"1551598814106720"</f>
        <v>1551598814106720</v>
      </c>
      <c r="C8768" t="s">
        <v>40</v>
      </c>
      <c r="D8768">
        <v>4.3356309999999896</v>
      </c>
      <c r="E8768">
        <v>0.52131649999999996</v>
      </c>
      <c r="F8768" t="s">
        <v>63</v>
      </c>
      <c r="G8768">
        <v>-175.1431</v>
      </c>
      <c r="H8768">
        <v>7.9986589999999996E-2</v>
      </c>
      <c r="I8768">
        <v>-63.789059999999999</v>
      </c>
      <c r="J8768">
        <v>-243.6028</v>
      </c>
      <c r="K8768">
        <v>1.1214770000000001</v>
      </c>
      <c r="L8768">
        <v>-62.987949999999998</v>
      </c>
      <c r="M8768">
        <v>0.99990749999999995</v>
      </c>
      <c r="N8768">
        <v>-1.352649E-2</v>
      </c>
      <c r="O8768">
        <v>1.509502E-3</v>
      </c>
      <c r="P8768">
        <v>0.99771710000000002</v>
      </c>
      <c r="Q8768">
        <v>-4.9630399999999998E-2</v>
      </c>
      <c r="R8768">
        <v>4.580302E-2</v>
      </c>
      <c r="S8768">
        <v>3.0060579999999999</v>
      </c>
      <c r="T8768">
        <v>-4.5648220000000003E-2</v>
      </c>
      <c r="U8768">
        <v>-3.5095210000000002E-2</v>
      </c>
      <c r="V8768">
        <v>-4.4274550000000003E-2</v>
      </c>
      <c r="W8768">
        <v>-3.6156420000000002E-2</v>
      </c>
      <c r="X8768">
        <v>0.9983649</v>
      </c>
      <c r="Y8768">
        <v>1.318069E-2</v>
      </c>
      <c r="Z8768">
        <v>-1.9173089999999999E-4</v>
      </c>
      <c r="AA8768">
        <v>0.9999131</v>
      </c>
      <c r="AB8768">
        <v>26</v>
      </c>
      <c r="AC8768">
        <v>68.459699999999998</v>
      </c>
      <c r="AD8768">
        <v>-1.04149041</v>
      </c>
      <c r="AE8768">
        <v>-0.80111000000000099</v>
      </c>
      <c r="AF8768">
        <v>0.90424933142479402</v>
      </c>
      <c r="AG8768">
        <v>-1.04149041</v>
      </c>
      <c r="AH8768">
        <v>68.442574343162207</v>
      </c>
      <c r="AI8768">
        <v>90.871726320754306</v>
      </c>
      <c r="AJ8768">
        <v>89.243063887574806</v>
      </c>
      <c r="AK8768">
        <v>68.456470489259004</v>
      </c>
      <c r="AL8768">
        <v>92.072061902906299</v>
      </c>
      <c r="AM8768">
        <v>92.539235745609901</v>
      </c>
      <c r="AN8768">
        <v>0.99999999801846395</v>
      </c>
    </row>
    <row r="8769" spans="1:40" x14ac:dyDescent="0.25">
      <c r="A8769" t="str">
        <f>"20190303154014130"</f>
        <v>20190303154014130</v>
      </c>
      <c r="B8769" t="str">
        <f>"1551598814127420"</f>
        <v>1551598814127420</v>
      </c>
      <c r="C8769" t="s">
        <v>40</v>
      </c>
      <c r="D8769">
        <v>4.4171589999999998</v>
      </c>
      <c r="E8769">
        <v>0.52109229999999995</v>
      </c>
      <c r="F8769" t="s">
        <v>43</v>
      </c>
      <c r="G8769">
        <v>-163.89230000000001</v>
      </c>
      <c r="H8769">
        <v>-0.05</v>
      </c>
      <c r="I8769">
        <v>-63.858629999999998</v>
      </c>
      <c r="J8769">
        <v>-243.47030000000001</v>
      </c>
      <c r="K8769">
        <v>1.1214789999999999</v>
      </c>
      <c r="L8769">
        <v>-62.987549999999999</v>
      </c>
      <c r="M8769">
        <v>0.99990570000000001</v>
      </c>
      <c r="N8769">
        <v>-1.3625119999999999E-2</v>
      </c>
      <c r="O8769">
        <v>1.7077889999999999E-3</v>
      </c>
      <c r="P8769">
        <v>0.99769969999999997</v>
      </c>
      <c r="Q8769">
        <v>-4.93573E-2</v>
      </c>
      <c r="R8769">
        <v>4.6465670000000001E-2</v>
      </c>
      <c r="S8769">
        <v>3.0061800000000001</v>
      </c>
      <c r="T8769">
        <v>-4.4180749999999998E-2</v>
      </c>
      <c r="U8769">
        <v>-3.2836909999999997E-2</v>
      </c>
      <c r="V8769">
        <v>-4.473978E-2</v>
      </c>
      <c r="W8769">
        <v>-3.5785089999999999E-2</v>
      </c>
      <c r="X8769">
        <v>0.99835750000000001</v>
      </c>
      <c r="Y8769">
        <v>1.262769E-2</v>
      </c>
      <c r="Z8769">
        <v>-1.806546E-4</v>
      </c>
      <c r="AA8769">
        <v>0.99992020000000004</v>
      </c>
      <c r="AB8769">
        <v>25</v>
      </c>
      <c r="AC8769">
        <v>79.578000000000003</v>
      </c>
      <c r="AD8769">
        <v>-1.1714789999999999</v>
      </c>
      <c r="AE8769">
        <v>-0.87108000000000596</v>
      </c>
      <c r="AF8769">
        <v>1.0067756268755601</v>
      </c>
      <c r="AG8769">
        <v>-1.1714789999999999</v>
      </c>
      <c r="AH8769">
        <v>79.559156814075905</v>
      </c>
      <c r="AI8769">
        <v>90.843530556530993</v>
      </c>
      <c r="AJ8769">
        <v>89.2749933775644</v>
      </c>
      <c r="AK8769">
        <v>79.574150282469503</v>
      </c>
      <c r="AL8769">
        <v>92.050772562992606</v>
      </c>
      <c r="AM8769">
        <v>92.565901153531897</v>
      </c>
      <c r="AN8769">
        <v>0.99999995919350204</v>
      </c>
    </row>
    <row r="8770" spans="1:40" x14ac:dyDescent="0.25">
      <c r="A8770" t="str">
        <f>"20190303154014141"</f>
        <v>20190303154014141</v>
      </c>
      <c r="B8770" t="str">
        <f>"1551598814137180"</f>
        <v>1551598814137180</v>
      </c>
      <c r="C8770" t="s">
        <v>40</v>
      </c>
      <c r="D8770">
        <v>4.4103620000000001</v>
      </c>
      <c r="E8770">
        <v>0.52096949999999997</v>
      </c>
      <c r="F8770" t="s">
        <v>43</v>
      </c>
      <c r="G8770">
        <v>-164.88650000000001</v>
      </c>
      <c r="H8770">
        <v>-0.05</v>
      </c>
      <c r="I8770">
        <v>-63.746220000000001</v>
      </c>
      <c r="J8770">
        <v>-243.34479999999999</v>
      </c>
      <c r="K8770">
        <v>1.1214850000000001</v>
      </c>
      <c r="L8770">
        <v>-62.987090000000002</v>
      </c>
      <c r="M8770">
        <v>0.99990440000000003</v>
      </c>
      <c r="N8770">
        <v>-1.3708969999999999E-2</v>
      </c>
      <c r="O8770">
        <v>1.896334E-3</v>
      </c>
      <c r="P8770">
        <v>0.99766469999999896</v>
      </c>
      <c r="Q8770">
        <v>-4.9426150000000002E-2</v>
      </c>
      <c r="R8770">
        <v>4.7140649999999999E-2</v>
      </c>
      <c r="S8770">
        <v>3.0060730000000002</v>
      </c>
      <c r="T8770">
        <v>-4.4812680000000001E-2</v>
      </c>
      <c r="U8770">
        <v>-2.9022220000000001E-2</v>
      </c>
      <c r="V8770">
        <v>-4.5226799999999998E-2</v>
      </c>
      <c r="W8770">
        <v>-3.5770700000000002E-2</v>
      </c>
      <c r="X8770">
        <v>0.99833609999999995</v>
      </c>
      <c r="Y8770">
        <v>1.1548020000000001E-2</v>
      </c>
      <c r="Z8770">
        <v>-1.6750829999999999E-4</v>
      </c>
      <c r="AA8770">
        <v>0.99993330000000002</v>
      </c>
      <c r="AB8770">
        <v>25</v>
      </c>
      <c r="AC8770">
        <v>78.458299999999895</v>
      </c>
      <c r="AD8770">
        <v>-1.1714850000000001</v>
      </c>
      <c r="AE8770">
        <v>-0.75912999999999098</v>
      </c>
      <c r="AF8770">
        <v>0.90772338161606403</v>
      </c>
      <c r="AG8770">
        <v>-1.1714850000000001</v>
      </c>
      <c r="AH8770">
        <v>78.439233288130396</v>
      </c>
      <c r="AI8770">
        <v>90.855587958752494</v>
      </c>
      <c r="AJ8770">
        <v>89.336984885033601</v>
      </c>
      <c r="AK8770">
        <v>78.453232295887602</v>
      </c>
      <c r="AL8770">
        <v>92.049947490458493</v>
      </c>
      <c r="AM8770">
        <v>92.593850147134603</v>
      </c>
      <c r="AN8770">
        <v>0.99999998748996899</v>
      </c>
    </row>
    <row r="8771" spans="1:40" x14ac:dyDescent="0.25">
      <c r="A8771" t="str">
        <f>"20190303154014152"</f>
        <v>20190303154014152</v>
      </c>
      <c r="B8771" t="str">
        <f>"1551598814146939"</f>
        <v>1551598814146939</v>
      </c>
      <c r="C8771" t="s">
        <v>40</v>
      </c>
      <c r="D8771">
        <v>4.3981640000000004</v>
      </c>
      <c r="E8771">
        <v>0.52086189999999999</v>
      </c>
      <c r="F8771" t="s">
        <v>43</v>
      </c>
      <c r="G8771">
        <v>-166.16730000000001</v>
      </c>
      <c r="H8771">
        <v>-0.05</v>
      </c>
      <c r="I8771">
        <v>-63.65466</v>
      </c>
      <c r="J8771">
        <v>-243.21360000000001</v>
      </c>
      <c r="K8771">
        <v>1.1214850000000001</v>
      </c>
      <c r="L8771">
        <v>-62.986629999999998</v>
      </c>
      <c r="M8771">
        <v>0.99990270000000003</v>
      </c>
      <c r="N8771">
        <v>-1.379356E-2</v>
      </c>
      <c r="O8771">
        <v>2.093452E-3</v>
      </c>
      <c r="P8771">
        <v>0.99764850000000005</v>
      </c>
      <c r="Q8771">
        <v>-4.9272200000000002E-2</v>
      </c>
      <c r="R8771">
        <v>4.764695E-2</v>
      </c>
      <c r="S8771">
        <v>3.0059969999999998</v>
      </c>
      <c r="T8771">
        <v>-4.5628309999999998E-2</v>
      </c>
      <c r="U8771">
        <v>-2.600098E-2</v>
      </c>
      <c r="V8771">
        <v>-4.5537090000000002E-2</v>
      </c>
      <c r="W8771">
        <v>-3.553241E-2</v>
      </c>
      <c r="X8771">
        <v>0.99833050000000001</v>
      </c>
      <c r="Y8771">
        <v>1.074057E-2</v>
      </c>
      <c r="Z8771">
        <v>-1.5849580000000001E-4</v>
      </c>
      <c r="AA8771">
        <v>0.99994229999999995</v>
      </c>
      <c r="AB8771">
        <v>25</v>
      </c>
      <c r="AC8771">
        <v>77.046300000000002</v>
      </c>
      <c r="AD8771">
        <v>-1.1714850000000001</v>
      </c>
      <c r="AE8771">
        <v>-0.66802999999999402</v>
      </c>
      <c r="AF8771">
        <v>0.82914493250482701</v>
      </c>
      <c r="AG8771">
        <v>-1.1714850000000001</v>
      </c>
      <c r="AH8771">
        <v>77.0269259656515</v>
      </c>
      <c r="AI8771">
        <v>90.8712808343153</v>
      </c>
      <c r="AJ8771">
        <v>89.383271889803595</v>
      </c>
      <c r="AK8771">
        <v>77.040295833688702</v>
      </c>
      <c r="AL8771">
        <v>92.036285803149298</v>
      </c>
      <c r="AM8771">
        <v>92.611635992006697</v>
      </c>
      <c r="AN8771">
        <v>0.99999998297816295</v>
      </c>
    </row>
    <row r="8772" spans="1:40" x14ac:dyDescent="0.25">
      <c r="A8772" t="str">
        <f>"20190303154014163"</f>
        <v>20190303154014163</v>
      </c>
      <c r="B8772" t="str">
        <f>"1551598814156699"</f>
        <v>1551598814156699</v>
      </c>
      <c r="C8772" t="s">
        <v>40</v>
      </c>
      <c r="D8772">
        <v>4.4110630000000004</v>
      </c>
      <c r="E8772">
        <v>0.52076149999999999</v>
      </c>
      <c r="F8772" t="s">
        <v>63</v>
      </c>
      <c r="G8772">
        <v>-175.11340000000001</v>
      </c>
      <c r="H8772">
        <v>7.9986570000000007E-2</v>
      </c>
      <c r="I8772">
        <v>-63.521769999999997</v>
      </c>
      <c r="J8772">
        <v>-243.08930000000001</v>
      </c>
      <c r="K8772">
        <v>1.121486</v>
      </c>
      <c r="L8772">
        <v>-62.986179999999997</v>
      </c>
      <c r="M8772">
        <v>0.99990129999999999</v>
      </c>
      <c r="N8772">
        <v>-1.386722E-2</v>
      </c>
      <c r="O8772">
        <v>2.2803929999999999E-3</v>
      </c>
      <c r="P8772">
        <v>0.99763539999999995</v>
      </c>
      <c r="Q8772">
        <v>-4.935879E-2</v>
      </c>
      <c r="R8772">
        <v>4.7826069999999998E-2</v>
      </c>
      <c r="S8772">
        <v>3.0059200000000001</v>
      </c>
      <c r="T8772">
        <v>-4.5971390000000001E-2</v>
      </c>
      <c r="U8772">
        <v>-2.362061E-2</v>
      </c>
      <c r="V8772">
        <v>-4.5529449999999999E-2</v>
      </c>
      <c r="W8772">
        <v>-3.5545380000000001E-2</v>
      </c>
      <c r="X8772">
        <v>0.99833039999999995</v>
      </c>
      <c r="Y8772">
        <v>1.0136050000000001E-2</v>
      </c>
      <c r="Z8772">
        <v>-1.5104370000000001E-4</v>
      </c>
      <c r="AA8772">
        <v>0.99994859999999997</v>
      </c>
      <c r="AB8772">
        <v>25</v>
      </c>
      <c r="AC8772">
        <v>67.975899999999996</v>
      </c>
      <c r="AD8772">
        <v>-1.04149943</v>
      </c>
      <c r="AE8772">
        <v>-0.53558999999999202</v>
      </c>
      <c r="AF8772">
        <v>0.69045319690791196</v>
      </c>
      <c r="AG8772">
        <v>-1.04149943</v>
      </c>
      <c r="AH8772">
        <v>67.958549376428294</v>
      </c>
      <c r="AI8772">
        <v>90.877973001771096</v>
      </c>
      <c r="AJ8772">
        <v>89.417899684435397</v>
      </c>
      <c r="AK8772">
        <v>67.970036634007002</v>
      </c>
      <c r="AL8772">
        <v>92.037029372190602</v>
      </c>
      <c r="AM8772">
        <v>92.611198691640894</v>
      </c>
      <c r="AN8772">
        <v>0.99999999621040303</v>
      </c>
    </row>
    <row r="8773" spans="1:40" x14ac:dyDescent="0.25">
      <c r="A8773" t="str">
        <f>"20190303154014175"</f>
        <v>20190303154014175</v>
      </c>
      <c r="B8773" t="str">
        <f>"1551598814166459"</f>
        <v>1551598814166459</v>
      </c>
      <c r="C8773" t="s">
        <v>40</v>
      </c>
      <c r="D8773">
        <v>4.2919179999999999</v>
      </c>
      <c r="E8773">
        <v>0.52098069999999996</v>
      </c>
      <c r="F8773" t="s">
        <v>63</v>
      </c>
      <c r="G8773">
        <v>-178.49969999999999</v>
      </c>
      <c r="H8773">
        <v>7.998624E-2</v>
      </c>
      <c r="I8773">
        <v>-63.464239999999997</v>
      </c>
      <c r="J8773">
        <v>-242.96279999999999</v>
      </c>
      <c r="K8773">
        <v>1.121489</v>
      </c>
      <c r="L8773">
        <v>-62.985689999999998</v>
      </c>
      <c r="M8773">
        <v>0.99989989999999995</v>
      </c>
      <c r="N8773">
        <v>-1.3937690000000001E-2</v>
      </c>
      <c r="O8773">
        <v>2.4701549999999999E-3</v>
      </c>
      <c r="P8773">
        <v>0.99763489999999999</v>
      </c>
      <c r="Q8773">
        <v>-4.9302499999999999E-2</v>
      </c>
      <c r="R8773">
        <v>4.7897500000000003E-2</v>
      </c>
      <c r="S8773">
        <v>3.0057680000000002</v>
      </c>
      <c r="T8773">
        <v>-4.8467639999999999E-2</v>
      </c>
      <c r="U8773">
        <v>-2.2247309999999999E-2</v>
      </c>
      <c r="V8773">
        <v>-4.5411600000000003E-2</v>
      </c>
      <c r="W8773">
        <v>-3.5418430000000001E-2</v>
      </c>
      <c r="X8773">
        <v>0.99834029999999996</v>
      </c>
      <c r="Y8773">
        <v>9.8692459999999999E-3</v>
      </c>
      <c r="Z8773">
        <v>-1.5375250000000001E-4</v>
      </c>
      <c r="AA8773">
        <v>0.99995129999999999</v>
      </c>
      <c r="AB8773">
        <v>25</v>
      </c>
      <c r="AC8773">
        <v>64.463099999999997</v>
      </c>
      <c r="AD8773">
        <v>-1.04150276</v>
      </c>
      <c r="AE8773">
        <v>-0.47854999999999798</v>
      </c>
      <c r="AF8773">
        <v>0.63763140864233103</v>
      </c>
      <c r="AG8773">
        <v>-1.04150276</v>
      </c>
      <c r="AH8773">
        <v>64.444899650896303</v>
      </c>
      <c r="AI8773">
        <v>90.925838948980697</v>
      </c>
      <c r="AJ8773">
        <v>89.433121989306997</v>
      </c>
      <c r="AK8773">
        <v>64.456468975786095</v>
      </c>
      <c r="AL8773">
        <v>92.029751048546999</v>
      </c>
      <c r="AM8773">
        <v>92.604423302150806</v>
      </c>
      <c r="AN8773">
        <v>1.00000001660115</v>
      </c>
    </row>
    <row r="8774" spans="1:40" x14ac:dyDescent="0.25">
      <c r="A8774" t="str">
        <f>"20190303154014185"</f>
        <v>20190303154014185</v>
      </c>
      <c r="B8774" t="str">
        <f>"1551598814177196"</f>
        <v>1551598814177196</v>
      </c>
      <c r="C8774" t="s">
        <v>40</v>
      </c>
      <c r="D8774">
        <v>4.2632510000000003</v>
      </c>
      <c r="E8774">
        <v>0.52118989999999998</v>
      </c>
      <c r="F8774" t="s">
        <v>63</v>
      </c>
      <c r="G8774">
        <v>-177.1327</v>
      </c>
      <c r="H8774">
        <v>7.9986329999999994E-2</v>
      </c>
      <c r="I8774">
        <v>-63.506990000000002</v>
      </c>
      <c r="J8774">
        <v>-242.83600000000001</v>
      </c>
      <c r="K8774">
        <v>1.121489</v>
      </c>
      <c r="L8774">
        <v>-62.985140000000001</v>
      </c>
      <c r="M8774">
        <v>0.99989850000000002</v>
      </c>
      <c r="N8774">
        <v>-1.400408E-2</v>
      </c>
      <c r="O8774">
        <v>2.6599459999999998E-3</v>
      </c>
      <c r="P8774">
        <v>0.9976429</v>
      </c>
      <c r="Q8774">
        <v>-4.930967E-2</v>
      </c>
      <c r="R8774">
        <v>4.7724599999999999E-2</v>
      </c>
      <c r="S8774">
        <v>3.0059200000000001</v>
      </c>
      <c r="T8774">
        <v>-4.7556880000000003E-2</v>
      </c>
      <c r="U8774">
        <v>-2.3803709999999999E-2</v>
      </c>
      <c r="V8774">
        <v>-4.5049899999999997E-2</v>
      </c>
      <c r="W8774">
        <v>-3.5358779999999999E-2</v>
      </c>
      <c r="X8774">
        <v>0.99835879999999999</v>
      </c>
      <c r="Y8774">
        <v>1.057629E-2</v>
      </c>
      <c r="Z8774">
        <v>-1.6255570000000001E-4</v>
      </c>
      <c r="AA8774">
        <v>0.99994400000000006</v>
      </c>
      <c r="AB8774">
        <v>25</v>
      </c>
      <c r="AC8774">
        <v>65.703299999999899</v>
      </c>
      <c r="AD8774">
        <v>-1.0415026700000001</v>
      </c>
      <c r="AE8774">
        <v>-0.52185000000000004</v>
      </c>
      <c r="AF8774">
        <v>0.69645751558805902</v>
      </c>
      <c r="AG8774">
        <v>-1.0415026700000001</v>
      </c>
      <c r="AH8774">
        <v>65.685175397363196</v>
      </c>
      <c r="AI8774">
        <v>90.908353424073894</v>
      </c>
      <c r="AJ8774">
        <v>89.392517706828301</v>
      </c>
      <c r="AK8774">
        <v>65.697123588974605</v>
      </c>
      <c r="AL8774">
        <v>92.026331216153906</v>
      </c>
      <c r="AM8774">
        <v>92.583659675899597</v>
      </c>
      <c r="AN8774">
        <v>1.0000000151752599</v>
      </c>
    </row>
    <row r="8775" spans="1:40" x14ac:dyDescent="0.25">
      <c r="A8775" t="str">
        <f>"20190303154014197"</f>
        <v>20190303154014197</v>
      </c>
      <c r="B8775" t="str">
        <f>"1551598814186956"</f>
        <v>1551598814186956</v>
      </c>
      <c r="C8775" t="s">
        <v>40</v>
      </c>
      <c r="D8775">
        <v>4.2863790000000002</v>
      </c>
      <c r="E8775">
        <v>0.52143249999999997</v>
      </c>
      <c r="F8775" t="s">
        <v>63</v>
      </c>
      <c r="G8775">
        <v>-175.82669999999999</v>
      </c>
      <c r="H8775">
        <v>7.9986479999999999E-2</v>
      </c>
      <c r="I8775">
        <v>-63.564749999999997</v>
      </c>
      <c r="J8775">
        <v>-242.7107</v>
      </c>
      <c r="K8775">
        <v>1.1214930000000001</v>
      </c>
      <c r="L8775">
        <v>-62.9846199999999</v>
      </c>
      <c r="M8775">
        <v>0.99989709999999998</v>
      </c>
      <c r="N8775">
        <v>-1.4063890000000001E-2</v>
      </c>
      <c r="O8775">
        <v>2.8471E-3</v>
      </c>
      <c r="P8775">
        <v>0.99765990000000004</v>
      </c>
      <c r="Q8775">
        <v>-4.9334749999999997E-2</v>
      </c>
      <c r="R8775">
        <v>4.7335139999999998E-2</v>
      </c>
      <c r="S8775">
        <v>3.0059969999999998</v>
      </c>
      <c r="T8775">
        <v>-4.6721220000000001E-2</v>
      </c>
      <c r="U8775">
        <v>-2.600098E-2</v>
      </c>
      <c r="V8775">
        <v>-4.4473440000000003E-2</v>
      </c>
      <c r="W8775">
        <v>-3.532341E-2</v>
      </c>
      <c r="X8775">
        <v>0.99838590000000005</v>
      </c>
      <c r="Y8775">
        <v>1.1493969999999999E-2</v>
      </c>
      <c r="Z8775">
        <v>-1.743622E-4</v>
      </c>
      <c r="AA8775">
        <v>0.99993390000000004</v>
      </c>
      <c r="AB8775">
        <v>25</v>
      </c>
      <c r="AC8775">
        <v>66.884</v>
      </c>
      <c r="AD8775">
        <v>-1.04150652</v>
      </c>
      <c r="AE8775">
        <v>-0.58013000000000403</v>
      </c>
      <c r="AF8775">
        <v>0.77038511896428197</v>
      </c>
      <c r="AG8775">
        <v>-1.04150652</v>
      </c>
      <c r="AH8775">
        <v>66.865864465326098</v>
      </c>
      <c r="AI8775">
        <v>90.892310956567897</v>
      </c>
      <c r="AJ8775">
        <v>89.339904398717195</v>
      </c>
      <c r="AK8775">
        <v>66.878412509255</v>
      </c>
      <c r="AL8775">
        <v>92.024303392509793</v>
      </c>
      <c r="AM8775">
        <v>92.550573883220196</v>
      </c>
      <c r="AN8775">
        <v>1.0000000177391299</v>
      </c>
    </row>
    <row r="8776" spans="1:40" x14ac:dyDescent="0.25">
      <c r="A8776" t="str">
        <f>"20190303154014208"</f>
        <v>20190303154014208</v>
      </c>
      <c r="B8776" t="str">
        <f>"1551598814196715"</f>
        <v>1551598814196715</v>
      </c>
      <c r="C8776" t="s">
        <v>40</v>
      </c>
      <c r="D8776">
        <v>4.3233079999999999</v>
      </c>
      <c r="E8776">
        <v>0.52165660000000003</v>
      </c>
      <c r="F8776" t="s">
        <v>43</v>
      </c>
      <c r="G8776">
        <v>-165.87029999999999</v>
      </c>
      <c r="H8776">
        <v>-0.05</v>
      </c>
      <c r="I8776">
        <v>-63.729570000000002</v>
      </c>
      <c r="J8776">
        <v>-242.5873</v>
      </c>
      <c r="K8776">
        <v>1.121494</v>
      </c>
      <c r="L8776">
        <v>-62.984070000000003</v>
      </c>
      <c r="M8776">
        <v>0.9998958</v>
      </c>
      <c r="N8776">
        <v>-1.412075E-2</v>
      </c>
      <c r="O8776">
        <v>3.0313549999999999E-3</v>
      </c>
      <c r="P8776">
        <v>0.99766619999999995</v>
      </c>
      <c r="Q8776">
        <v>-4.9197190000000002E-2</v>
      </c>
      <c r="R8776">
        <v>4.734584E-2</v>
      </c>
      <c r="S8776">
        <v>3.0061339999999999</v>
      </c>
      <c r="T8776">
        <v>-4.5830849999999999E-2</v>
      </c>
      <c r="U8776">
        <v>-2.914429E-2</v>
      </c>
      <c r="V8776">
        <v>-4.4300449999999998E-2</v>
      </c>
      <c r="W8776">
        <v>-3.5128739999999999E-2</v>
      </c>
      <c r="X8776">
        <v>0.99840039999999997</v>
      </c>
      <c r="Y8776">
        <v>1.2723109999999999E-2</v>
      </c>
      <c r="Z8776">
        <v>-1.9023130000000001E-4</v>
      </c>
      <c r="AA8776">
        <v>0.99991909999999895</v>
      </c>
      <c r="AB8776">
        <v>25</v>
      </c>
      <c r="AC8776">
        <v>76.716999999999999</v>
      </c>
      <c r="AD8776">
        <v>-1.171494</v>
      </c>
      <c r="AE8776">
        <v>-0.74549999999999905</v>
      </c>
      <c r="AF8776">
        <v>0.97784820562729502</v>
      </c>
      <c r="AG8776">
        <v>-1.171494</v>
      </c>
      <c r="AH8776">
        <v>76.696504714514305</v>
      </c>
      <c r="AI8776">
        <v>90.875020178172704</v>
      </c>
      <c r="AJ8776">
        <v>89.269542465441702</v>
      </c>
      <c r="AK8776">
        <v>76.711683730242797</v>
      </c>
      <c r="AL8776">
        <v>92.013142815962993</v>
      </c>
      <c r="AM8776">
        <v>92.540628995838404</v>
      </c>
      <c r="AN8776">
        <v>0.99999995848217405</v>
      </c>
    </row>
    <row r="8777" spans="1:40" x14ac:dyDescent="0.25">
      <c r="A8777" t="str">
        <f>"20190303154014219"</f>
        <v>20190303154014219</v>
      </c>
      <c r="B8777" t="str">
        <f>"1551598814206475"</f>
        <v>1551598814206475</v>
      </c>
      <c r="C8777" t="s">
        <v>40</v>
      </c>
      <c r="D8777">
        <v>4.3934350000000002</v>
      </c>
      <c r="E8777">
        <v>0.52160280000000003</v>
      </c>
      <c r="F8777" t="s">
        <v>43</v>
      </c>
      <c r="G8777">
        <v>-163.2749</v>
      </c>
      <c r="H8777">
        <v>-0.05</v>
      </c>
      <c r="I8777">
        <v>-63.797240000000002</v>
      </c>
      <c r="J8777">
        <v>-242.46979999999999</v>
      </c>
      <c r="K8777">
        <v>1.121494</v>
      </c>
      <c r="L8777">
        <v>-62.983519999999999</v>
      </c>
      <c r="M8777">
        <v>0.99989459999999997</v>
      </c>
      <c r="N8777">
        <v>-1.416893E-2</v>
      </c>
      <c r="O8777">
        <v>3.2061889999999999E-3</v>
      </c>
      <c r="P8777">
        <v>0.99769909999999995</v>
      </c>
      <c r="Q8777">
        <v>-4.9000750000000003E-2</v>
      </c>
      <c r="R8777">
        <v>4.6859350000000001E-2</v>
      </c>
      <c r="S8777">
        <v>3.0062869999999999</v>
      </c>
      <c r="T8777">
        <v>-4.440475E-2</v>
      </c>
      <c r="U8777">
        <v>-3.0822749999999999E-2</v>
      </c>
      <c r="V8777">
        <v>-4.3639560000000001E-2</v>
      </c>
      <c r="W8777">
        <v>-3.4883209999999998E-2</v>
      </c>
      <c r="X8777">
        <v>0.99843820000000005</v>
      </c>
      <c r="Y8777">
        <v>1.345564E-2</v>
      </c>
      <c r="Z8777">
        <v>-1.9663419999999999E-4</v>
      </c>
      <c r="AA8777">
        <v>0.99990950000000001</v>
      </c>
      <c r="AB8777">
        <v>25</v>
      </c>
      <c r="AC8777">
        <v>79.194899999999905</v>
      </c>
      <c r="AD8777">
        <v>-1.171494</v>
      </c>
      <c r="AE8777">
        <v>-0.813720000000003</v>
      </c>
      <c r="AF8777">
        <v>1.06742154604759</v>
      </c>
      <c r="AG8777">
        <v>-1.171494</v>
      </c>
      <c r="AH8777">
        <v>79.174560571381406</v>
      </c>
      <c r="AI8777">
        <v>90.847629160760505</v>
      </c>
      <c r="AJ8777">
        <v>89.227592245688101</v>
      </c>
      <c r="AK8777">
        <v>79.190421318618704</v>
      </c>
      <c r="AL8777">
        <v>91.999066183397503</v>
      </c>
      <c r="AM8777">
        <v>92.502680908336501</v>
      </c>
      <c r="AN8777">
        <v>1.0000000443780599</v>
      </c>
    </row>
    <row r="8778" spans="1:40" x14ac:dyDescent="0.25">
      <c r="A8778" t="str">
        <f>"20190303154014230"</f>
        <v>20190303154014230</v>
      </c>
      <c r="B8778" t="str">
        <f>"1551598814226970"</f>
        <v>1551598814226970</v>
      </c>
      <c r="C8778" t="s">
        <v>40</v>
      </c>
      <c r="D8778">
        <v>4.3336139999999999</v>
      </c>
      <c r="E8778">
        <v>0.52199819999999997</v>
      </c>
      <c r="F8778" t="s">
        <v>43</v>
      </c>
      <c r="G8778">
        <v>-164.46960000000001</v>
      </c>
      <c r="H8778">
        <v>-0.05</v>
      </c>
      <c r="I8778">
        <v>-63.809370000000001</v>
      </c>
      <c r="J8778">
        <v>-242.34020000000001</v>
      </c>
      <c r="K8778">
        <v>1.1214930000000001</v>
      </c>
      <c r="L8778">
        <v>-62.982880000000002</v>
      </c>
      <c r="M8778">
        <v>0.99989320000000004</v>
      </c>
      <c r="N8778">
        <v>-1.4220790000000001E-2</v>
      </c>
      <c r="O8778">
        <v>3.398875E-3</v>
      </c>
      <c r="P8778">
        <v>0.99771880000000002</v>
      </c>
      <c r="Q8778">
        <v>-4.8738400000000001E-2</v>
      </c>
      <c r="R8778">
        <v>4.6714119999999998E-2</v>
      </c>
      <c r="S8778">
        <v>3.0061800000000001</v>
      </c>
      <c r="T8778">
        <v>-4.5150160000000002E-2</v>
      </c>
      <c r="U8778">
        <v>-3.1829830000000003E-2</v>
      </c>
      <c r="V8778">
        <v>-4.3302E-2</v>
      </c>
      <c r="W8778">
        <v>-3.4568460000000002E-2</v>
      </c>
      <c r="X8778">
        <v>0.99846380000000001</v>
      </c>
      <c r="Y8778">
        <v>1.398344E-2</v>
      </c>
      <c r="Z8778">
        <v>-2.071555E-4</v>
      </c>
      <c r="AA8778">
        <v>0.99990219999999996</v>
      </c>
      <c r="AB8778">
        <v>25</v>
      </c>
      <c r="AC8778">
        <v>77.870599999999996</v>
      </c>
      <c r="AD8778">
        <v>-1.1714929999999999</v>
      </c>
      <c r="AE8778">
        <v>-0.82648999999999195</v>
      </c>
      <c r="AF8778">
        <v>1.09093752288471</v>
      </c>
      <c r="AG8778">
        <v>-1.1714929999999999</v>
      </c>
      <c r="AH8778">
        <v>77.8497233465813</v>
      </c>
      <c r="AI8778">
        <v>90.862044820727604</v>
      </c>
      <c r="AJ8778">
        <v>89.197145191680704</v>
      </c>
      <c r="AK8778">
        <v>77.866179857927605</v>
      </c>
      <c r="AL8778">
        <v>91.9810215407404</v>
      </c>
      <c r="AM8778">
        <v>92.483282950469899</v>
      </c>
      <c r="AN8778">
        <v>1.0000000007706</v>
      </c>
    </row>
    <row r="8779" spans="1:40" x14ac:dyDescent="0.25">
      <c r="A8779" t="str">
        <f>"20190303154014241"</f>
        <v>20190303154014241</v>
      </c>
      <c r="B8779" t="str">
        <f>"1551598814236731"</f>
        <v>1551598814236731</v>
      </c>
      <c r="C8779" t="s">
        <v>40</v>
      </c>
      <c r="D8779">
        <v>4.3105089999999997</v>
      </c>
      <c r="E8779">
        <v>0.52213120000000002</v>
      </c>
      <c r="F8779" t="s">
        <v>43</v>
      </c>
      <c r="G8779">
        <v>-158.4579</v>
      </c>
      <c r="H8779">
        <v>-0.05</v>
      </c>
      <c r="I8779">
        <v>-63.968899999999998</v>
      </c>
      <c r="J8779">
        <v>-242.21299999999999</v>
      </c>
      <c r="K8779">
        <v>1.1214930000000001</v>
      </c>
      <c r="L8779">
        <v>-62.982239999999997</v>
      </c>
      <c r="M8779">
        <v>0.99989189999999994</v>
      </c>
      <c r="N8779">
        <v>-1.426579E-2</v>
      </c>
      <c r="O8779">
        <v>3.5867109999999998E-3</v>
      </c>
      <c r="P8779">
        <v>0.99770099999999995</v>
      </c>
      <c r="Q8779">
        <v>-4.9106789999999997E-2</v>
      </c>
      <c r="R8779">
        <v>4.6707430000000001E-2</v>
      </c>
      <c r="S8779">
        <v>3.0064540000000002</v>
      </c>
      <c r="T8779">
        <v>-4.1987900000000002E-2</v>
      </c>
      <c r="U8779">
        <v>-3.533936E-2</v>
      </c>
      <c r="V8779">
        <v>-4.3107739999999999E-2</v>
      </c>
      <c r="W8779">
        <v>-3.4891779999999997E-2</v>
      </c>
      <c r="X8779">
        <v>0.99846089999999998</v>
      </c>
      <c r="Y8779">
        <v>1.5337409999999999E-2</v>
      </c>
      <c r="Z8779">
        <v>-2.1543159999999999E-4</v>
      </c>
      <c r="AA8779">
        <v>0.9998823</v>
      </c>
      <c r="AB8779">
        <v>25</v>
      </c>
      <c r="AC8779">
        <v>83.755099999999999</v>
      </c>
      <c r="AD8779">
        <v>-1.1714929999999999</v>
      </c>
      <c r="AE8779">
        <v>-0.98665999999999299</v>
      </c>
      <c r="AF8779">
        <v>1.28683781359731</v>
      </c>
      <c r="AG8779">
        <v>-1.1714929999999999</v>
      </c>
      <c r="AH8779">
        <v>83.734642388155805</v>
      </c>
      <c r="AI8779">
        <v>90.801452069837495</v>
      </c>
      <c r="AJ8779">
        <v>89.119545150156398</v>
      </c>
      <c r="AK8779">
        <v>83.752723437986702</v>
      </c>
      <c r="AL8779">
        <v>91.999557713707503</v>
      </c>
      <c r="AM8779">
        <v>92.472163552623002</v>
      </c>
      <c r="AN8779">
        <v>0.99999994119414104</v>
      </c>
    </row>
    <row r="8780" spans="1:40" x14ac:dyDescent="0.25">
      <c r="A8780" t="str">
        <f>"20190303154014253"</f>
        <v>20190303154014253</v>
      </c>
      <c r="B8780" t="str">
        <f>"1551598814246491"</f>
        <v>1551598814246491</v>
      </c>
      <c r="C8780" t="s">
        <v>40</v>
      </c>
      <c r="D8780">
        <v>4.3841340000000004</v>
      </c>
      <c r="E8780">
        <v>0.52213120000000002</v>
      </c>
      <c r="F8780" t="s">
        <v>43</v>
      </c>
      <c r="G8780">
        <v>-159.70050000000001</v>
      </c>
      <c r="H8780">
        <v>-0.05</v>
      </c>
      <c r="I8780">
        <v>-63.980580000000003</v>
      </c>
      <c r="J8780">
        <v>-242.0855</v>
      </c>
      <c r="K8780">
        <v>1.121491</v>
      </c>
      <c r="L8780">
        <v>-62.9816</v>
      </c>
      <c r="M8780">
        <v>0.99989059999999996</v>
      </c>
      <c r="N8780">
        <v>-1.430903E-2</v>
      </c>
      <c r="O8780">
        <v>3.7743120000000002E-3</v>
      </c>
      <c r="P8780">
        <v>0.99771310000000002</v>
      </c>
      <c r="Q8780">
        <v>-4.9179019999999997E-2</v>
      </c>
      <c r="R8780">
        <v>4.6369420000000001E-2</v>
      </c>
      <c r="S8780">
        <v>3.006516</v>
      </c>
      <c r="T8780">
        <v>-4.2685750000000001E-2</v>
      </c>
      <c r="U8780">
        <v>-3.6376949999999998E-2</v>
      </c>
      <c r="V8780">
        <v>-4.2583030000000001E-2</v>
      </c>
      <c r="W8780">
        <v>-3.4920090000000001E-2</v>
      </c>
      <c r="X8780">
        <v>0.99848250000000005</v>
      </c>
      <c r="Y8780">
        <v>1.5869620000000001E-2</v>
      </c>
      <c r="Z8780">
        <v>-2.257824E-4</v>
      </c>
      <c r="AA8780">
        <v>0.99987409999999999</v>
      </c>
      <c r="AB8780">
        <v>25</v>
      </c>
      <c r="AC8780">
        <v>82.384999999999906</v>
      </c>
      <c r="AD8780">
        <v>-1.1714910000000001</v>
      </c>
      <c r="AE8780">
        <v>-0.99898000000000298</v>
      </c>
      <c r="AF8780">
        <v>1.30968660300475</v>
      </c>
      <c r="AG8780">
        <v>-1.1714910000000001</v>
      </c>
      <c r="AH8780">
        <v>82.363990656492703</v>
      </c>
      <c r="AI8780">
        <v>90.814779387185496</v>
      </c>
      <c r="AJ8780">
        <v>89.089004907839495</v>
      </c>
      <c r="AK8780">
        <v>82.382732578034705</v>
      </c>
      <c r="AL8780">
        <v>92.001180598698895</v>
      </c>
      <c r="AM8780">
        <v>92.442056119150706</v>
      </c>
      <c r="AN8780">
        <v>1.00000001496791</v>
      </c>
    </row>
    <row r="8781" spans="1:40" x14ac:dyDescent="0.25">
      <c r="A8781" t="str">
        <f>"20190303154014264"</f>
        <v>20190303154014264</v>
      </c>
      <c r="B8781" t="str">
        <f>"1551598814257227"</f>
        <v>1551598814257227</v>
      </c>
      <c r="C8781" t="s">
        <v>40</v>
      </c>
      <c r="D8781">
        <v>4.4100720000000004</v>
      </c>
      <c r="E8781">
        <v>0.50849029999999995</v>
      </c>
      <c r="F8781" t="s">
        <v>43</v>
      </c>
      <c r="G8781">
        <v>-159.91229999999999</v>
      </c>
      <c r="H8781">
        <v>-0.05</v>
      </c>
      <c r="I8781">
        <v>-64.003369999999904</v>
      </c>
      <c r="J8781">
        <v>-241.9649</v>
      </c>
      <c r="K8781">
        <v>1.121491</v>
      </c>
      <c r="L8781">
        <v>-62.980960000000003</v>
      </c>
      <c r="M8781">
        <v>0.99988929999999998</v>
      </c>
      <c r="N8781">
        <v>-1.434626E-2</v>
      </c>
      <c r="O8781">
        <v>3.9506790000000003E-3</v>
      </c>
      <c r="P8781">
        <v>0.99771520000000002</v>
      </c>
      <c r="Q8781">
        <v>-4.9333889999999998E-2</v>
      </c>
      <c r="R8781">
        <v>4.6160100000000003E-2</v>
      </c>
      <c r="S8781">
        <v>3.0065309999999998</v>
      </c>
      <c r="T8781">
        <v>-4.286218E-2</v>
      </c>
      <c r="U8781">
        <v>-3.7384029999999999E-2</v>
      </c>
      <c r="V8781">
        <v>-4.219767E-2</v>
      </c>
      <c r="W8781">
        <v>-3.5037199999999998E-2</v>
      </c>
      <c r="X8781">
        <v>0.99849469999999996</v>
      </c>
      <c r="Y8781">
        <v>1.6380659999999998E-2</v>
      </c>
      <c r="Z8781">
        <v>-2.3391650000000001E-4</v>
      </c>
      <c r="AA8781">
        <v>0.99986580000000003</v>
      </c>
      <c r="AB8781">
        <v>25</v>
      </c>
      <c r="AC8781">
        <v>82.052599999999998</v>
      </c>
      <c r="AD8781">
        <v>-1.1714910000000001</v>
      </c>
      <c r="AE8781">
        <v>-1.02240999999999</v>
      </c>
      <c r="AF8781">
        <v>1.34632446695096</v>
      </c>
      <c r="AG8781">
        <v>-1.1714910000000001</v>
      </c>
      <c r="AH8781">
        <v>82.031201112536294</v>
      </c>
      <c r="AI8781">
        <v>90.818077635819606</v>
      </c>
      <c r="AJ8781">
        <v>89.059726253843905</v>
      </c>
      <c r="AK8781">
        <v>82.050612043413594</v>
      </c>
      <c r="AL8781">
        <v>92.007894731689802</v>
      </c>
      <c r="AM8781">
        <v>92.419953313158103</v>
      </c>
      <c r="AN8781">
        <v>0.99999995733267799</v>
      </c>
    </row>
    <row r="8782" spans="1:40" x14ac:dyDescent="0.25">
      <c r="A8782" t="str">
        <f>"20190303154014274"</f>
        <v>20190303154014274</v>
      </c>
      <c r="B8782" t="str">
        <f>"1551598814266987"</f>
        <v>1551598814266987</v>
      </c>
      <c r="C8782" t="s">
        <v>40</v>
      </c>
      <c r="D8782">
        <v>4.353262</v>
      </c>
      <c r="E8782">
        <v>0.50910959999999905</v>
      </c>
      <c r="F8782" t="s">
        <v>89</v>
      </c>
      <c r="G8782">
        <v>-224.28819999999999</v>
      </c>
      <c r="H8782" s="1">
        <v>-1.44208E-6</v>
      </c>
      <c r="I8782">
        <v>-62.562069999999999</v>
      </c>
      <c r="J8782">
        <v>-241.8408</v>
      </c>
      <c r="K8782">
        <v>1.121491</v>
      </c>
      <c r="L8782">
        <v>-62.980220000000003</v>
      </c>
      <c r="M8782">
        <v>0.99988809999999995</v>
      </c>
      <c r="N8782">
        <v>-1.438207E-2</v>
      </c>
      <c r="O8782">
        <v>4.130262E-3</v>
      </c>
      <c r="P8782">
        <v>0.9977355</v>
      </c>
      <c r="Q8782">
        <v>-4.9195349999999999E-2</v>
      </c>
      <c r="R8782">
        <v>4.586817E-2</v>
      </c>
      <c r="S8782">
        <v>2.994186</v>
      </c>
      <c r="T8782">
        <v>-0.18996550000000001</v>
      </c>
      <c r="U8782">
        <v>7.0953370000000002E-2</v>
      </c>
      <c r="V8782">
        <v>-4.1726560000000003E-2</v>
      </c>
      <c r="W8782">
        <v>-3.4861980000000001E-2</v>
      </c>
      <c r="X8782">
        <v>0.99852070000000004</v>
      </c>
      <c r="Y8782">
        <v>-1.9517489999999998E-2</v>
      </c>
      <c r="Z8782">
        <v>5.565953E-4</v>
      </c>
      <c r="AA8782">
        <v>0.99980939999999996</v>
      </c>
      <c r="AB8782">
        <v>25</v>
      </c>
      <c r="AC8782">
        <v>17.552600000000002</v>
      </c>
      <c r="AD8782">
        <v>-1.1214924420799901</v>
      </c>
      <c r="AE8782">
        <v>0.41814999999999702</v>
      </c>
      <c r="AF8782">
        <v>-0.34423760125519798</v>
      </c>
      <c r="AG8782">
        <v>-1.1214924420799901</v>
      </c>
      <c r="AH8782">
        <v>17.482846955057902</v>
      </c>
      <c r="AI8782">
        <v>93.669680390095394</v>
      </c>
      <c r="AJ8782">
        <v>91.128009268160795</v>
      </c>
      <c r="AK8782">
        <v>17.522162608472101</v>
      </c>
      <c r="AL8782">
        <v>91.997849090696803</v>
      </c>
      <c r="AM8782">
        <v>92.392905429048099</v>
      </c>
      <c r="AN8782">
        <v>1.0000000258937201</v>
      </c>
    </row>
    <row r="8783" spans="1:40" x14ac:dyDescent="0.25">
      <c r="A8783" t="str">
        <f>"20190303154014286"</f>
        <v>20190303154014286</v>
      </c>
      <c r="B8783" t="str">
        <f>"1551598814276748"</f>
        <v>1551598814276748</v>
      </c>
      <c r="C8783" t="s">
        <v>40</v>
      </c>
      <c r="D8783">
        <v>4.3764570000000003</v>
      </c>
      <c r="E8783">
        <v>0.50917209999999902</v>
      </c>
      <c r="F8783" t="s">
        <v>89</v>
      </c>
      <c r="G8783">
        <v>-223.541</v>
      </c>
      <c r="H8783" s="1">
        <v>-1.1260309999999999E-6</v>
      </c>
      <c r="I8783">
        <v>-62.582279999999997</v>
      </c>
      <c r="J8783">
        <v>-241.70599999999999</v>
      </c>
      <c r="K8783">
        <v>1.121491</v>
      </c>
      <c r="L8783">
        <v>-62.979489999999998</v>
      </c>
      <c r="M8783">
        <v>0.99988679999999996</v>
      </c>
      <c r="N8783">
        <v>-1.441827E-2</v>
      </c>
      <c r="O8783">
        <v>4.3233560000000004E-3</v>
      </c>
      <c r="P8783">
        <v>0.99774030000000002</v>
      </c>
      <c r="Q8783">
        <v>-4.9022059999999999E-2</v>
      </c>
      <c r="R8783">
        <v>4.5950940000000003E-2</v>
      </c>
      <c r="S8783">
        <v>2.9947970000000002</v>
      </c>
      <c r="T8783">
        <v>-0.1835349</v>
      </c>
      <c r="U8783">
        <v>6.5124509999999997E-2</v>
      </c>
      <c r="V8783">
        <v>-4.1616880000000002E-2</v>
      </c>
      <c r="W8783">
        <v>-3.4651929999999997E-2</v>
      </c>
      <c r="X8783">
        <v>0.99853250000000005</v>
      </c>
      <c r="Y8783">
        <v>-1.738222E-2</v>
      </c>
      <c r="Z8783">
        <v>4.5516179999999999E-4</v>
      </c>
      <c r="AA8783">
        <v>0.99984879999999998</v>
      </c>
      <c r="AB8783">
        <v>25</v>
      </c>
      <c r="AC8783">
        <v>18.1649999999999</v>
      </c>
      <c r="AD8783">
        <v>-1.121492126031</v>
      </c>
      <c r="AE8783">
        <v>0.39721000000000101</v>
      </c>
      <c r="AF8783">
        <v>-0.31745489572480601</v>
      </c>
      <c r="AG8783">
        <v>-1.121492126031</v>
      </c>
      <c r="AH8783">
        <v>18.0975975470283</v>
      </c>
      <c r="AI8783">
        <v>93.545490299596594</v>
      </c>
      <c r="AJ8783">
        <v>91.004937835719602</v>
      </c>
      <c r="AK8783">
        <v>18.1350919262565</v>
      </c>
      <c r="AL8783">
        <v>91.985807012593696</v>
      </c>
      <c r="AM8783">
        <v>92.386594689273096</v>
      </c>
      <c r="AN8783">
        <v>0.99999993725495195</v>
      </c>
    </row>
    <row r="8784" spans="1:40" x14ac:dyDescent="0.25">
      <c r="A8784" t="str">
        <f>"20190303154014297"</f>
        <v>20190303154014297</v>
      </c>
      <c r="B8784" t="str">
        <f>"1551598814286508"</f>
        <v>1551598814286508</v>
      </c>
      <c r="C8784" t="s">
        <v>40</v>
      </c>
      <c r="D8784">
        <v>4.4414049999999996</v>
      </c>
      <c r="E8784">
        <v>0.50856270000000003</v>
      </c>
      <c r="F8784" t="s">
        <v>89</v>
      </c>
      <c r="G8784">
        <v>-223.14599999999999</v>
      </c>
      <c r="H8784" s="1">
        <v>-9.5545059999999995E-7</v>
      </c>
      <c r="I8784">
        <v>-62.57723</v>
      </c>
      <c r="J8784">
        <v>-241.59299999999999</v>
      </c>
      <c r="K8784">
        <v>1.1214930000000001</v>
      </c>
      <c r="L8784">
        <v>-62.978789999999996</v>
      </c>
      <c r="M8784">
        <v>0.99988560000000004</v>
      </c>
      <c r="N8784">
        <v>-1.444552E-2</v>
      </c>
      <c r="O8784">
        <v>4.4818770000000004E-3</v>
      </c>
      <c r="P8784">
        <v>0.99776050000000005</v>
      </c>
      <c r="Q8784">
        <v>-4.8521910000000001E-2</v>
      </c>
      <c r="R8784">
        <v>4.6038330000000002E-2</v>
      </c>
      <c r="S8784">
        <v>2.9949340000000002</v>
      </c>
      <c r="T8784">
        <v>-0.18096979999999999</v>
      </c>
      <c r="U8784">
        <v>6.4910889999999999E-2</v>
      </c>
      <c r="V8784">
        <v>-4.1547170000000001E-2</v>
      </c>
      <c r="W8784">
        <v>-3.4123800000000003E-2</v>
      </c>
      <c r="X8784">
        <v>0.99855360000000004</v>
      </c>
      <c r="Y8784">
        <v>-1.715293E-2</v>
      </c>
      <c r="Z8784">
        <v>4.359136E-4</v>
      </c>
      <c r="AA8784">
        <v>0.99985279999999999</v>
      </c>
      <c r="AB8784">
        <v>25</v>
      </c>
      <c r="AC8784">
        <v>18.446999999999999</v>
      </c>
      <c r="AD8784">
        <v>-1.1214939554506</v>
      </c>
      <c r="AE8784">
        <v>0.40155999999999598</v>
      </c>
      <c r="AF8784">
        <v>-0.31769647413129298</v>
      </c>
      <c r="AG8784">
        <v>-1.1214939554506</v>
      </c>
      <c r="AH8784">
        <v>18.380710059686201</v>
      </c>
      <c r="AI8784">
        <v>93.491037557498501</v>
      </c>
      <c r="AJ8784">
        <v>90.990214999828098</v>
      </c>
      <c r="AK8784">
        <v>18.417632367924998</v>
      </c>
      <c r="AL8784">
        <v>91.955529464820501</v>
      </c>
      <c r="AM8784">
        <v>92.382551367372201</v>
      </c>
      <c r="AN8784">
        <v>0.99999994656720304</v>
      </c>
    </row>
    <row r="8785" spans="1:40" x14ac:dyDescent="0.25">
      <c r="A8785" t="str">
        <f>"20190303154014307"</f>
        <v>20190303154014307</v>
      </c>
      <c r="B8785" t="str">
        <f>"1551598814297244"</f>
        <v>1551598814297244</v>
      </c>
      <c r="C8785" t="s">
        <v>40</v>
      </c>
      <c r="D8785">
        <v>4.4107450000000004</v>
      </c>
      <c r="E8785">
        <v>0.50877209999999995</v>
      </c>
      <c r="F8785" t="s">
        <v>89</v>
      </c>
      <c r="G8785">
        <v>-223.52340000000001</v>
      </c>
      <c r="H8785" s="1">
        <v>-1.1126970000000001E-6</v>
      </c>
      <c r="I8785">
        <v>-62.556350000000002</v>
      </c>
      <c r="J8785">
        <v>-241.4699</v>
      </c>
      <c r="K8785">
        <v>1.12148799999999</v>
      </c>
      <c r="L8785">
        <v>-62.978059999999999</v>
      </c>
      <c r="M8785">
        <v>0.99988440000000001</v>
      </c>
      <c r="N8785">
        <v>-1.447417E-2</v>
      </c>
      <c r="O8785">
        <v>4.6530119999999998E-3</v>
      </c>
      <c r="P8785">
        <v>0.9977608</v>
      </c>
      <c r="Q8785">
        <v>-4.7877110000000001E-2</v>
      </c>
      <c r="R8785">
        <v>4.6704620000000002E-2</v>
      </c>
      <c r="S8785">
        <v>2.9944760000000001</v>
      </c>
      <c r="T8785">
        <v>-0.18585280000000001</v>
      </c>
      <c r="U8785">
        <v>7.0007319999999998E-2</v>
      </c>
      <c r="V8785">
        <v>-4.204331E-2</v>
      </c>
      <c r="W8785">
        <v>-3.345008E-2</v>
      </c>
      <c r="X8785">
        <v>0.99855570000000005</v>
      </c>
      <c r="Y8785">
        <v>-1.8680889999999999E-2</v>
      </c>
      <c r="Z8785">
        <v>4.9328719999999998E-4</v>
      </c>
      <c r="AA8785">
        <v>0.99982539999999998</v>
      </c>
      <c r="AB8785">
        <v>25</v>
      </c>
      <c r="AC8785">
        <v>17.946499999999901</v>
      </c>
      <c r="AD8785">
        <v>-1.1214891126969999</v>
      </c>
      <c r="AE8785">
        <v>0.42170999999999698</v>
      </c>
      <c r="AF8785">
        <v>-0.33687659789810398</v>
      </c>
      <c r="AG8785">
        <v>-1.1214891126969999</v>
      </c>
      <c r="AH8785">
        <v>17.8784896006316</v>
      </c>
      <c r="AI8785">
        <v>93.588734480885194</v>
      </c>
      <c r="AJ8785">
        <v>91.079471694676002</v>
      </c>
      <c r="AK8785">
        <v>17.916796981380401</v>
      </c>
      <c r="AL8785">
        <v>91.9169059629168</v>
      </c>
      <c r="AM8785">
        <v>92.410964420559594</v>
      </c>
      <c r="AN8785">
        <v>1.00000001688512</v>
      </c>
    </row>
    <row r="8786" spans="1:40" x14ac:dyDescent="0.25">
      <c r="A8786" t="str">
        <f>"20190303154014319"</f>
        <v>20190303154014319</v>
      </c>
      <c r="B8786" t="str">
        <f>"1551598814307003"</f>
        <v>1551598814307003</v>
      </c>
      <c r="C8786" t="s">
        <v>40</v>
      </c>
      <c r="D8786">
        <v>4.3623949999999896</v>
      </c>
      <c r="E8786">
        <v>0.50899629999999996</v>
      </c>
      <c r="F8786" t="s">
        <v>89</v>
      </c>
      <c r="G8786">
        <v>-223.0684</v>
      </c>
      <c r="H8786" s="1">
        <v>-9.1525479999999999E-7</v>
      </c>
      <c r="I8786">
        <v>-62.546190000000003</v>
      </c>
      <c r="J8786">
        <v>-241.34399999999999</v>
      </c>
      <c r="K8786">
        <v>1.121486</v>
      </c>
      <c r="L8786">
        <v>-62.977290000000004</v>
      </c>
      <c r="M8786">
        <v>0.99988319999999997</v>
      </c>
      <c r="N8786">
        <v>-1.4499949999999999E-2</v>
      </c>
      <c r="O8786">
        <v>4.8210390000000001E-3</v>
      </c>
      <c r="P8786">
        <v>0.99774779999999996</v>
      </c>
      <c r="Q8786">
        <v>-4.713966E-2</v>
      </c>
      <c r="R8786">
        <v>4.7721769999999997E-2</v>
      </c>
      <c r="S8786">
        <v>2.9946899999999999</v>
      </c>
      <c r="T8786">
        <v>-0.1825126</v>
      </c>
      <c r="U8786">
        <v>7.0281979999999994E-2</v>
      </c>
      <c r="V8786">
        <v>-4.289337E-2</v>
      </c>
      <c r="W8786">
        <v>-3.2686769999999997E-2</v>
      </c>
      <c r="X8786">
        <v>0.99854480000000001</v>
      </c>
      <c r="Y8786">
        <v>-1.860438E-2</v>
      </c>
      <c r="Z8786">
        <v>4.7773249999999998E-4</v>
      </c>
      <c r="AA8786">
        <v>0.99982680000000002</v>
      </c>
      <c r="AB8786">
        <v>25</v>
      </c>
      <c r="AC8786">
        <v>18.275600000000001</v>
      </c>
      <c r="AD8786">
        <v>-1.1214869152547999</v>
      </c>
      <c r="AE8786">
        <v>0.43109999999999998</v>
      </c>
      <c r="AF8786">
        <v>-0.34169234720588298</v>
      </c>
      <c r="AG8786">
        <v>-1.1214869152547999</v>
      </c>
      <c r="AH8786">
        <v>18.2089349769081</v>
      </c>
      <c r="AI8786">
        <v>93.523772013818004</v>
      </c>
      <c r="AJ8786">
        <v>91.075034424605903</v>
      </c>
      <c r="AK8786">
        <v>18.246638034292701</v>
      </c>
      <c r="AL8786">
        <v>91.873147636123903</v>
      </c>
      <c r="AM8786">
        <v>92.459678465899202</v>
      </c>
      <c r="AN8786">
        <v>0.99999999186501498</v>
      </c>
    </row>
    <row r="8787" spans="1:40" x14ac:dyDescent="0.25">
      <c r="A8787" t="str">
        <f>"20190303154014331"</f>
        <v>20190303154014331</v>
      </c>
      <c r="B8787" t="str">
        <f>"1551598814326523"</f>
        <v>1551598814326523</v>
      </c>
      <c r="C8787" t="s">
        <v>40</v>
      </c>
      <c r="D8787">
        <v>4.4190849999999999</v>
      </c>
      <c r="E8787">
        <v>0.50890360000000001</v>
      </c>
      <c r="F8787" t="s">
        <v>89</v>
      </c>
      <c r="G8787">
        <v>-222.53809999999999</v>
      </c>
      <c r="H8787" s="1">
        <v>-6.8376130000000003E-7</v>
      </c>
      <c r="I8787">
        <v>-62.528309999999998</v>
      </c>
      <c r="J8787">
        <v>-241.21789999999999</v>
      </c>
      <c r="K8787">
        <v>1.1214839999999999</v>
      </c>
      <c r="L8787">
        <v>-62.9764699999999</v>
      </c>
      <c r="M8787">
        <v>0.99988220000000005</v>
      </c>
      <c r="N8787">
        <v>-1.452488E-2</v>
      </c>
      <c r="O8787">
        <v>4.9870970000000002E-3</v>
      </c>
      <c r="P8787">
        <v>0.99772119999999997</v>
      </c>
      <c r="Q8787">
        <v>-4.6092229999999998E-2</v>
      </c>
      <c r="R8787">
        <v>4.92767E-2</v>
      </c>
      <c r="S8787">
        <v>2.9949189999999999</v>
      </c>
      <c r="T8787">
        <v>-0.1786015</v>
      </c>
      <c r="U8787">
        <v>7.1502689999999994E-2</v>
      </c>
      <c r="V8787">
        <v>-4.4283759999999998E-2</v>
      </c>
      <c r="W8787">
        <v>-3.1614740000000002E-2</v>
      </c>
      <c r="X8787">
        <v>0.99851860000000003</v>
      </c>
      <c r="Y8787">
        <v>-1.8844799999999998E-2</v>
      </c>
      <c r="Z8787">
        <v>4.7365169999999998E-4</v>
      </c>
      <c r="AA8787">
        <v>0.99982230000000005</v>
      </c>
      <c r="AB8787">
        <v>25</v>
      </c>
      <c r="AC8787">
        <v>18.6798</v>
      </c>
      <c r="AD8787">
        <v>-1.1214846837612999</v>
      </c>
      <c r="AE8787">
        <v>0.44815999999999401</v>
      </c>
      <c r="AF8787">
        <v>-0.35371241986850999</v>
      </c>
      <c r="AG8787">
        <v>-1.1214846837612999</v>
      </c>
      <c r="AH8787">
        <v>18.614745088033999</v>
      </c>
      <c r="AI8787">
        <v>93.447117237844694</v>
      </c>
      <c r="AJ8787">
        <v>91.088588111438497</v>
      </c>
      <c r="AK8787">
        <v>18.651851786467901</v>
      </c>
      <c r="AL8787">
        <v>91.811693109724899</v>
      </c>
      <c r="AM8787">
        <v>92.539372837348594</v>
      </c>
      <c r="AN8787">
        <v>0.99999996886548204</v>
      </c>
    </row>
    <row r="8788" spans="1:40" x14ac:dyDescent="0.25">
      <c r="A8788" t="str">
        <f>"20190303154014342"</f>
        <v>20190303154014342</v>
      </c>
      <c r="B8788" t="str">
        <f>"1551598814337259"</f>
        <v>1551598814337259</v>
      </c>
      <c r="C8788" t="s">
        <v>40</v>
      </c>
      <c r="D8788">
        <v>4.3593209999999996</v>
      </c>
      <c r="E8788">
        <v>0.50895809999999997</v>
      </c>
      <c r="F8788" t="s">
        <v>89</v>
      </c>
      <c r="G8788">
        <v>-222.16239999999999</v>
      </c>
      <c r="H8788" s="1">
        <v>-5.1344469999999997E-7</v>
      </c>
      <c r="I8788">
        <v>-62.48715</v>
      </c>
      <c r="J8788">
        <v>-241.0907</v>
      </c>
      <c r="K8788">
        <v>1.121481</v>
      </c>
      <c r="L8788">
        <v>-62.975650000000002</v>
      </c>
      <c r="M8788">
        <v>0.99988089999999996</v>
      </c>
      <c r="N8788">
        <v>-1.454693E-2</v>
      </c>
      <c r="O8788">
        <v>5.1463589999999997E-3</v>
      </c>
      <c r="P8788">
        <v>0.99768349999999995</v>
      </c>
      <c r="Q8788">
        <v>-4.4988769999999997E-2</v>
      </c>
      <c r="R8788">
        <v>5.1024649999999998E-2</v>
      </c>
      <c r="S8788">
        <v>2.994888</v>
      </c>
      <c r="T8788">
        <v>-0.17625959999999999</v>
      </c>
      <c r="U8788">
        <v>7.6904299999999995E-2</v>
      </c>
      <c r="V8788">
        <v>-4.587368E-2</v>
      </c>
      <c r="W8788">
        <v>-3.0489619999999999E-2</v>
      </c>
      <c r="X8788">
        <v>0.99848190000000003</v>
      </c>
      <c r="Y8788">
        <v>-2.0485349999999999E-2</v>
      </c>
      <c r="Z8788">
        <v>5.2363419999999999E-4</v>
      </c>
      <c r="AA8788">
        <v>0.99978999999999996</v>
      </c>
      <c r="AB8788">
        <v>25</v>
      </c>
      <c r="AC8788">
        <v>18.9283</v>
      </c>
      <c r="AD8788">
        <v>-1.1214815134447</v>
      </c>
      <c r="AE8788">
        <v>0.48850000000000099</v>
      </c>
      <c r="AF8788">
        <v>-0.38970426865505398</v>
      </c>
      <c r="AG8788">
        <v>-1.1214815134447</v>
      </c>
      <c r="AH8788">
        <v>18.864385416358299</v>
      </c>
      <c r="AI8788">
        <v>93.401486900325494</v>
      </c>
      <c r="AJ8788">
        <v>91.183459406297501</v>
      </c>
      <c r="AK8788">
        <v>18.901709640636199</v>
      </c>
      <c r="AL8788">
        <v>91.747197218895195</v>
      </c>
      <c r="AM8788">
        <v>92.630514659081996</v>
      </c>
      <c r="AN8788">
        <v>1.00000005803604</v>
      </c>
    </row>
    <row r="8789" spans="1:40" x14ac:dyDescent="0.25">
      <c r="A8789" t="str">
        <f>"20190303154014353"</f>
        <v>20190303154014353</v>
      </c>
      <c r="B8789" t="str">
        <f>"1551598814347020"</f>
        <v>1551598814347020</v>
      </c>
      <c r="C8789" t="s">
        <v>40</v>
      </c>
      <c r="D8789">
        <v>4.3971869999999997</v>
      </c>
      <c r="E8789">
        <v>0.50908640000000005</v>
      </c>
      <c r="F8789" t="s">
        <v>89</v>
      </c>
      <c r="G8789">
        <v>-221.66149999999999</v>
      </c>
      <c r="H8789" s="1">
        <v>-2.8927320000000001E-7</v>
      </c>
      <c r="I8789">
        <v>-62.445469999999901</v>
      </c>
      <c r="J8789">
        <v>-240.96440000000001</v>
      </c>
      <c r="K8789">
        <v>1.121478</v>
      </c>
      <c r="L8789">
        <v>-62.974820000000001</v>
      </c>
      <c r="M8789">
        <v>0.99987990000000004</v>
      </c>
      <c r="N8789">
        <v>-1.4567689999999999E-2</v>
      </c>
      <c r="O8789">
        <v>5.3007369999999998E-3</v>
      </c>
      <c r="P8789">
        <v>0.99764629999999999</v>
      </c>
      <c r="Q8789">
        <v>-4.3844590000000003E-2</v>
      </c>
      <c r="R8789">
        <v>5.2721900000000002E-2</v>
      </c>
      <c r="S8789">
        <v>2.9949949999999999</v>
      </c>
      <c r="T8789">
        <v>-0.1728749</v>
      </c>
      <c r="U8789">
        <v>8.1726069999999998E-2</v>
      </c>
      <c r="V8789">
        <v>-4.7418830000000002E-2</v>
      </c>
      <c r="W8789">
        <v>-2.9324949999999999E-2</v>
      </c>
      <c r="X8789">
        <v>0.99844460000000002</v>
      </c>
      <c r="Y8789">
        <v>-2.1936890000000001E-2</v>
      </c>
      <c r="Z8789">
        <v>5.6397369999999997E-4</v>
      </c>
      <c r="AA8789">
        <v>0.99975919999999896</v>
      </c>
      <c r="AB8789">
        <v>25</v>
      </c>
      <c r="AC8789">
        <v>19.302900000000001</v>
      </c>
      <c r="AD8789">
        <v>-1.12147828927319</v>
      </c>
      <c r="AE8789">
        <v>0.52934999999999999</v>
      </c>
      <c r="AF8789">
        <v>-0.42557666367582703</v>
      </c>
      <c r="AG8789">
        <v>-1.12147828927319</v>
      </c>
      <c r="AH8789">
        <v>19.240537592700001</v>
      </c>
      <c r="AI8789">
        <v>93.335026024261794</v>
      </c>
      <c r="AJ8789">
        <v>91.267104478903207</v>
      </c>
      <c r="AK8789">
        <v>19.2778918947607</v>
      </c>
      <c r="AL8789">
        <v>91.680436678826894</v>
      </c>
      <c r="AM8789">
        <v>92.719088151845895</v>
      </c>
      <c r="AN8789">
        <v>1.0000000587001101</v>
      </c>
    </row>
    <row r="8790" spans="1:40" x14ac:dyDescent="0.25">
      <c r="A8790" t="str">
        <f>"20190303154014364"</f>
        <v>20190303154014364</v>
      </c>
      <c r="B8790" t="str">
        <f>"1551598814356779"</f>
        <v>1551598814356779</v>
      </c>
      <c r="C8790" t="s">
        <v>40</v>
      </c>
      <c r="D8790">
        <v>4.3982349999999997</v>
      </c>
      <c r="E8790">
        <v>0.50912029999999997</v>
      </c>
      <c r="F8790" t="s">
        <v>89</v>
      </c>
      <c r="G8790">
        <v>-221.12559999999999</v>
      </c>
      <c r="H8790" s="1">
        <v>-5.0721210000000002E-8</v>
      </c>
      <c r="I8790">
        <v>-62.406410000000001</v>
      </c>
      <c r="J8790">
        <v>-240.83860000000001</v>
      </c>
      <c r="K8790">
        <v>1.121475</v>
      </c>
      <c r="L8790">
        <v>-62.973970000000001</v>
      </c>
      <c r="M8790">
        <v>0.99987890000000001</v>
      </c>
      <c r="N8790">
        <v>-1.4586419999999999E-2</v>
      </c>
      <c r="O8790">
        <v>5.4484490000000002E-3</v>
      </c>
      <c r="P8790">
        <v>0.9976199</v>
      </c>
      <c r="Q8790">
        <v>-4.2865670000000002E-2</v>
      </c>
      <c r="R8790">
        <v>5.4010910000000002E-2</v>
      </c>
      <c r="S8790">
        <v>2.9951020000000002</v>
      </c>
      <c r="T8790">
        <v>-0.16931209999999999</v>
      </c>
      <c r="U8790">
        <v>8.5815429999999998E-2</v>
      </c>
      <c r="V8790">
        <v>-4.8561390000000003E-2</v>
      </c>
      <c r="W8790">
        <v>-2.8327149999999999E-2</v>
      </c>
      <c r="X8790">
        <v>0.99841849999999999</v>
      </c>
      <c r="Y8790">
        <v>-2.3151250000000002E-2</v>
      </c>
      <c r="Z8790">
        <v>5.9450349999999998E-4</v>
      </c>
      <c r="AA8790">
        <v>0.99973179999999995</v>
      </c>
      <c r="AB8790">
        <v>25</v>
      </c>
      <c r="AC8790">
        <v>19.713000000000001</v>
      </c>
      <c r="AD8790">
        <v>-1.1214750507212099</v>
      </c>
      <c r="AE8790">
        <v>0.56755999999999296</v>
      </c>
      <c r="AF8790">
        <v>-0.458651694697079</v>
      </c>
      <c r="AG8790">
        <v>-1.1214750507212099</v>
      </c>
      <c r="AH8790">
        <v>19.652248434555901</v>
      </c>
      <c r="AI8790">
        <v>93.265210983832006</v>
      </c>
      <c r="AJ8790">
        <v>91.336948127731802</v>
      </c>
      <c r="AK8790">
        <v>19.689564144488902</v>
      </c>
      <c r="AL8790">
        <v>91.623243167806805</v>
      </c>
      <c r="AM8790">
        <v>92.784575544657102</v>
      </c>
      <c r="AN8790">
        <v>1.00000006858404</v>
      </c>
    </row>
    <row r="8791" spans="1:40" x14ac:dyDescent="0.25">
      <c r="A8791" t="str">
        <f>"20190303154014377"</f>
        <v>20190303154014377</v>
      </c>
      <c r="B8791" t="str">
        <f>"1551598814366540"</f>
        <v>1551598814366540</v>
      </c>
      <c r="C8791" t="s">
        <v>40</v>
      </c>
      <c r="D8791">
        <v>4.4161199999999896</v>
      </c>
      <c r="E8791">
        <v>0.50913679999999994</v>
      </c>
      <c r="F8791" t="s">
        <v>89</v>
      </c>
      <c r="G8791">
        <v>-220.71080000000001</v>
      </c>
      <c r="H8791" s="1">
        <v>1.345818E-7</v>
      </c>
      <c r="I8791">
        <v>-62.373280000000001</v>
      </c>
      <c r="J8791">
        <v>-240.7028</v>
      </c>
      <c r="K8791">
        <v>1.121469</v>
      </c>
      <c r="L8791">
        <v>-62.973050000000001</v>
      </c>
      <c r="M8791">
        <v>0.99987780000000004</v>
      </c>
      <c r="N8791">
        <v>-1.4604850000000001E-2</v>
      </c>
      <c r="O8791">
        <v>5.6007969999999898E-3</v>
      </c>
      <c r="P8791">
        <v>0.99760349999999998</v>
      </c>
      <c r="Q8791">
        <v>-4.22569E-2</v>
      </c>
      <c r="R8791">
        <v>5.478922E-2</v>
      </c>
      <c r="S8791">
        <v>2.9951319999999999</v>
      </c>
      <c r="T8791">
        <v>-0.16688239999999999</v>
      </c>
      <c r="U8791">
        <v>8.9385989999999999E-2</v>
      </c>
      <c r="V8791">
        <v>-4.9188790000000003E-2</v>
      </c>
      <c r="W8791">
        <v>-2.769926E-2</v>
      </c>
      <c r="X8791">
        <v>0.99840530000000005</v>
      </c>
      <c r="Y8791">
        <v>-2.418849E-2</v>
      </c>
      <c r="Z8791">
        <v>6.2004469999999996E-4</v>
      </c>
      <c r="AA8791">
        <v>0.99970720000000002</v>
      </c>
      <c r="AB8791">
        <v>25</v>
      </c>
      <c r="AC8791">
        <v>19.991999999999901</v>
      </c>
      <c r="AD8791">
        <v>-1.1214688654181999</v>
      </c>
      <c r="AE8791">
        <v>0.59976999999999903</v>
      </c>
      <c r="AF8791">
        <v>-0.48624880297527301</v>
      </c>
      <c r="AG8791">
        <v>-1.1214688654181999</v>
      </c>
      <c r="AH8791">
        <v>19.932380139822602</v>
      </c>
      <c r="AI8791">
        <v>93.219319908868002</v>
      </c>
      <c r="AJ8791">
        <v>91.3974487428261</v>
      </c>
      <c r="AK8791">
        <v>19.9698249454744</v>
      </c>
      <c r="AL8791">
        <v>91.587253763835804</v>
      </c>
      <c r="AM8791">
        <v>92.820531013539906</v>
      </c>
      <c r="AN8791">
        <v>0.99999996456715001</v>
      </c>
    </row>
    <row r="8792" spans="1:40" x14ac:dyDescent="0.25">
      <c r="A8792" t="str">
        <f>"20190303154014389"</f>
        <v>20190303154014389</v>
      </c>
      <c r="B8792" t="str">
        <f>"1551598814387035"</f>
        <v>1551598814387035</v>
      </c>
      <c r="C8792" t="s">
        <v>40</v>
      </c>
      <c r="D8792">
        <v>4.4379749999999998</v>
      </c>
      <c r="E8792">
        <v>0.50948300000000002</v>
      </c>
      <c r="F8792" t="s">
        <v>89</v>
      </c>
      <c r="G8792">
        <v>-220.26560000000001</v>
      </c>
      <c r="H8792" s="1">
        <v>3.3119650000000001E-7</v>
      </c>
      <c r="I8792">
        <v>-62.348149999999997</v>
      </c>
      <c r="J8792">
        <v>-240.56700000000001</v>
      </c>
      <c r="K8792">
        <v>1.121464</v>
      </c>
      <c r="L8792">
        <v>-62.972140000000003</v>
      </c>
      <c r="M8792">
        <v>0.9998766</v>
      </c>
      <c r="N8792">
        <v>-1.462224E-2</v>
      </c>
      <c r="O8792">
        <v>5.7490969999999999E-3</v>
      </c>
      <c r="P8792">
        <v>0.99759629999999999</v>
      </c>
      <c r="Q8792">
        <v>-4.1514879999999997E-2</v>
      </c>
      <c r="R8792">
        <v>5.5481500000000003E-2</v>
      </c>
      <c r="S8792">
        <v>2.995209</v>
      </c>
      <c r="T8792">
        <v>-0.16435829999999901</v>
      </c>
      <c r="U8792">
        <v>9.1583250000000005E-2</v>
      </c>
      <c r="V8792">
        <v>-4.9733960000000001E-2</v>
      </c>
      <c r="W8792">
        <v>-2.6939009999999999E-2</v>
      </c>
      <c r="X8792">
        <v>0.99839909999999998</v>
      </c>
      <c r="Y8792">
        <v>-2.4772249999999999E-2</v>
      </c>
      <c r="Z8792">
        <v>6.2919080000000001E-4</v>
      </c>
      <c r="AA8792">
        <v>0.9996929</v>
      </c>
      <c r="AB8792">
        <v>25</v>
      </c>
      <c r="AC8792">
        <v>20.301400000000001</v>
      </c>
      <c r="AD8792">
        <v>-1.1214636688035</v>
      </c>
      <c r="AE8792">
        <v>0.62399000000000604</v>
      </c>
      <c r="AF8792">
        <v>-0.50571075504547203</v>
      </c>
      <c r="AG8792">
        <v>-1.1214636688035</v>
      </c>
      <c r="AH8792">
        <v>20.242938440797602</v>
      </c>
      <c r="AI8792">
        <v>93.169971533680297</v>
      </c>
      <c r="AJ8792">
        <v>91.431070218959107</v>
      </c>
      <c r="AK8792">
        <v>20.280285521809901</v>
      </c>
      <c r="AL8792">
        <v>91.543678372584196</v>
      </c>
      <c r="AM8792">
        <v>92.851757929078303</v>
      </c>
      <c r="AN8792">
        <v>0.99999996995893503</v>
      </c>
    </row>
    <row r="8793" spans="1:40" x14ac:dyDescent="0.25">
      <c r="A8793" t="str">
        <f>"20190303154014401"</f>
        <v>20190303154014401</v>
      </c>
      <c r="B8793" t="str">
        <f>"1551598814396795"</f>
        <v>1551598814396795</v>
      </c>
      <c r="C8793" t="s">
        <v>40</v>
      </c>
      <c r="D8793">
        <v>4.4101239999999997</v>
      </c>
      <c r="E8793">
        <v>0.50956489999999999</v>
      </c>
      <c r="F8793" t="s">
        <v>90</v>
      </c>
      <c r="G8793">
        <v>-219.89060000000001</v>
      </c>
      <c r="H8793" s="1">
        <v>-3.5733810000000001E-6</v>
      </c>
      <c r="I8793">
        <v>-62.344749999999998</v>
      </c>
      <c r="J8793">
        <v>-240.435</v>
      </c>
      <c r="K8793">
        <v>1.1214580000000001</v>
      </c>
      <c r="L8793">
        <v>-62.971220000000002</v>
      </c>
      <c r="M8793">
        <v>0.99987570000000003</v>
      </c>
      <c r="N8793">
        <v>-1.463675E-2</v>
      </c>
      <c r="O8793">
        <v>5.8819249999999997E-3</v>
      </c>
      <c r="P8793">
        <v>0.99760020000000005</v>
      </c>
      <c r="Q8793">
        <v>-4.1012300000000002E-2</v>
      </c>
      <c r="R8793">
        <v>5.578698E-2</v>
      </c>
      <c r="S8793">
        <v>2.9953919999999998</v>
      </c>
      <c r="T8793">
        <v>-0.162467</v>
      </c>
      <c r="U8793">
        <v>9.088135E-2</v>
      </c>
      <c r="V8793">
        <v>-4.9907939999999998E-2</v>
      </c>
      <c r="W8793">
        <v>-2.642077E-2</v>
      </c>
      <c r="X8793">
        <v>0.99840430000000002</v>
      </c>
      <c r="Y8793">
        <v>-2.4405130000000001E-2</v>
      </c>
      <c r="Z8793">
        <v>6.0735970000000005E-4</v>
      </c>
      <c r="AA8793">
        <v>0.99970199999999998</v>
      </c>
      <c r="AB8793">
        <v>25</v>
      </c>
      <c r="AC8793">
        <v>20.5444</v>
      </c>
      <c r="AD8793">
        <v>-1.1214615733810001</v>
      </c>
      <c r="AE8793">
        <v>0.62646999999999697</v>
      </c>
      <c r="AF8793">
        <v>-0.50410489118005997</v>
      </c>
      <c r="AG8793">
        <v>-1.1214615733810001</v>
      </c>
      <c r="AH8793">
        <v>20.4867408347043</v>
      </c>
      <c r="AI8793">
        <v>93.132346128885601</v>
      </c>
      <c r="AJ8793">
        <v>91.409558295290594</v>
      </c>
      <c r="AK8793">
        <v>20.5236046500175</v>
      </c>
      <c r="AL8793">
        <v>91.513974783066899</v>
      </c>
      <c r="AM8793">
        <v>92.861702552611504</v>
      </c>
      <c r="AN8793">
        <v>1.0000000029104601</v>
      </c>
    </row>
    <row r="8794" spans="1:40" x14ac:dyDescent="0.25">
      <c r="A8794" t="str">
        <f>"20190303154014412"</f>
        <v>20190303154014412</v>
      </c>
      <c r="B8794" t="str">
        <f>"1551598814406555"</f>
        <v>1551598814406555</v>
      </c>
      <c r="C8794" t="s">
        <v>40</v>
      </c>
      <c r="D8794">
        <v>4.4371999999999998</v>
      </c>
      <c r="E8794">
        <v>0.50940540000000001</v>
      </c>
      <c r="F8794" t="s">
        <v>90</v>
      </c>
      <c r="G8794">
        <v>-219.65989999999999</v>
      </c>
      <c r="H8794" s="1">
        <v>-3.4938529999999999E-6</v>
      </c>
      <c r="I8794">
        <v>-62.338949999999997</v>
      </c>
      <c r="J8794">
        <v>-240.3152</v>
      </c>
      <c r="K8794">
        <v>1.1214580000000001</v>
      </c>
      <c r="L8794">
        <v>-62.970399999999998</v>
      </c>
      <c r="M8794">
        <v>0.99987479999999995</v>
      </c>
      <c r="N8794">
        <v>-1.464941E-2</v>
      </c>
      <c r="O8794">
        <v>6.0000640000000003E-3</v>
      </c>
      <c r="P8794">
        <v>0.99758089999999999</v>
      </c>
      <c r="Q8794">
        <v>-4.0873270000000003E-2</v>
      </c>
      <c r="R8794">
        <v>5.6230910000000002E-2</v>
      </c>
      <c r="S8794">
        <v>2.9954830000000001</v>
      </c>
      <c r="T8794">
        <v>-0.16169979999999901</v>
      </c>
      <c r="U8794">
        <v>9.1156009999999996E-2</v>
      </c>
      <c r="V8794">
        <v>-5.0234729999999998E-2</v>
      </c>
      <c r="W8794">
        <v>-2.6268420000000001E-2</v>
      </c>
      <c r="X8794">
        <v>0.9983919</v>
      </c>
      <c r="Y8794">
        <v>-2.437812E-2</v>
      </c>
      <c r="Z8794">
        <v>6.003944E-4</v>
      </c>
      <c r="AA8794">
        <v>0.9997026</v>
      </c>
      <c r="AB8794">
        <v>25</v>
      </c>
      <c r="AC8794">
        <v>20.6553</v>
      </c>
      <c r="AD8794">
        <v>-1.1214614938529901</v>
      </c>
      <c r="AE8794">
        <v>0.63145000000000095</v>
      </c>
      <c r="AF8794">
        <v>-0.50600199601761697</v>
      </c>
      <c r="AG8794">
        <v>-1.1214614938529901</v>
      </c>
      <c r="AH8794">
        <v>20.598053934220601</v>
      </c>
      <c r="AI8794">
        <v>93.115455083587804</v>
      </c>
      <c r="AJ8794">
        <v>91.407217844904295</v>
      </c>
      <c r="AK8794">
        <v>20.634765319218701</v>
      </c>
      <c r="AL8794">
        <v>91.505242786924399</v>
      </c>
      <c r="AM8794">
        <v>92.880444829747603</v>
      </c>
      <c r="AN8794">
        <v>0.999999971986539</v>
      </c>
    </row>
    <row r="8795" spans="1:40" x14ac:dyDescent="0.25">
      <c r="A8795" t="str">
        <f>"20190303154014422"</f>
        <v>20190303154014422</v>
      </c>
      <c r="B8795" t="str">
        <f>"1551598814417291"</f>
        <v>1551598814417291</v>
      </c>
      <c r="C8795" t="s">
        <v>40</v>
      </c>
      <c r="D8795">
        <v>4.4444480000000004</v>
      </c>
      <c r="E8795">
        <v>0.50926210000000005</v>
      </c>
      <c r="F8795" t="s">
        <v>90</v>
      </c>
      <c r="G8795">
        <v>-219.9057</v>
      </c>
      <c r="H8795" s="1">
        <v>-3.5762219999999999E-6</v>
      </c>
      <c r="I8795">
        <v>-62.331740000000003</v>
      </c>
      <c r="J8795">
        <v>-240.1953</v>
      </c>
      <c r="K8795">
        <v>1.121451</v>
      </c>
      <c r="L8795">
        <v>-62.969540000000002</v>
      </c>
      <c r="M8795">
        <v>0.99987389999999998</v>
      </c>
      <c r="N8795">
        <v>-1.4660660000000001E-2</v>
      </c>
      <c r="O8795">
        <v>6.1119059999999899E-3</v>
      </c>
      <c r="P8795">
        <v>0.9975716</v>
      </c>
      <c r="Q8795">
        <v>-4.0794089999999998E-2</v>
      </c>
      <c r="R8795">
        <v>5.6450899999999998E-2</v>
      </c>
      <c r="S8795">
        <v>2.9952390000000002</v>
      </c>
      <c r="T8795">
        <v>-0.1645826</v>
      </c>
      <c r="U8795">
        <v>9.3719479999999994E-2</v>
      </c>
      <c r="V8795">
        <v>-5.0343400000000003E-2</v>
      </c>
      <c r="W8795">
        <v>-2.6177189999999999E-2</v>
      </c>
      <c r="X8795">
        <v>0.99838879999999997</v>
      </c>
      <c r="Y8795">
        <v>-2.5120989999999999E-2</v>
      </c>
      <c r="Z8795">
        <v>6.2790989999999896E-4</v>
      </c>
      <c r="AA8795">
        <v>0.99968420000000002</v>
      </c>
      <c r="AB8795">
        <v>25</v>
      </c>
      <c r="AC8795">
        <v>20.2896</v>
      </c>
      <c r="AD8795">
        <v>-1.1214545762220001</v>
      </c>
      <c r="AE8795">
        <v>0.63779999999999804</v>
      </c>
      <c r="AF8795">
        <v>-0.51220337902188295</v>
      </c>
      <c r="AG8795">
        <v>-1.1214545762220001</v>
      </c>
      <c r="AH8795">
        <v>20.2313729761544</v>
      </c>
      <c r="AI8795">
        <v>93.171727649939498</v>
      </c>
      <c r="AJ8795">
        <v>91.4502636160381</v>
      </c>
      <c r="AK8795">
        <v>20.268903896567299</v>
      </c>
      <c r="AL8795">
        <v>91.500013928329807</v>
      </c>
      <c r="AM8795">
        <v>92.886674356237506</v>
      </c>
      <c r="AN8795">
        <v>0.99999994958264604</v>
      </c>
    </row>
    <row r="8796" spans="1:40" x14ac:dyDescent="0.25">
      <c r="A8796" t="str">
        <f>"20190303154014431"</f>
        <v>20190303154014431</v>
      </c>
      <c r="B8796" t="str">
        <f>"1551598814427052"</f>
        <v>1551598814427052</v>
      </c>
      <c r="C8796" t="s">
        <v>40</v>
      </c>
      <c r="D8796">
        <v>4.4519449999999896</v>
      </c>
      <c r="E8796">
        <v>0.50936539999999997</v>
      </c>
      <c r="F8796" t="s">
        <v>89</v>
      </c>
      <c r="G8796">
        <v>-220.17509999999999</v>
      </c>
      <c r="H8796" s="1">
        <v>3.7365439999999999E-7</v>
      </c>
      <c r="I8796">
        <v>-62.331659999999999</v>
      </c>
      <c r="J8796">
        <v>-240.10589999999999</v>
      </c>
      <c r="K8796">
        <v>1.1214470000000001</v>
      </c>
      <c r="L8796">
        <v>-62.968899999999998</v>
      </c>
      <c r="M8796">
        <v>0.99987329999999996</v>
      </c>
      <c r="N8796">
        <v>-1.4668749999999999E-2</v>
      </c>
      <c r="O8796">
        <v>6.1941260000000003E-3</v>
      </c>
      <c r="P8796">
        <v>0.99755660000000002</v>
      </c>
      <c r="Q8796">
        <v>-4.0980540000000003E-2</v>
      </c>
      <c r="R8796">
        <v>5.6583399999999999E-2</v>
      </c>
      <c r="S8796">
        <v>2.9950410000000001</v>
      </c>
      <c r="T8796">
        <v>-0.16777039999999999</v>
      </c>
      <c r="U8796">
        <v>9.5428470000000001E-2</v>
      </c>
      <c r="V8796">
        <v>-5.0394099999999997E-2</v>
      </c>
      <c r="W8796">
        <v>-2.6355070000000001E-2</v>
      </c>
      <c r="X8796">
        <v>0.99838159999999998</v>
      </c>
      <c r="Y8796">
        <v>-2.5608390000000002E-2</v>
      </c>
      <c r="Z8796">
        <v>6.4875359999999995E-4</v>
      </c>
      <c r="AA8796">
        <v>0.9996718</v>
      </c>
      <c r="AB8796">
        <v>25</v>
      </c>
      <c r="AC8796">
        <v>19.930800000000001</v>
      </c>
      <c r="AD8796">
        <v>-1.12144662634559</v>
      </c>
      <c r="AE8796">
        <v>0.63723999999999803</v>
      </c>
      <c r="AF8796">
        <v>-0.51214084143341698</v>
      </c>
      <c r="AG8796">
        <v>-1.12144662634559</v>
      </c>
      <c r="AH8796">
        <v>19.871516621184899</v>
      </c>
      <c r="AI8796">
        <v>93.228984193298302</v>
      </c>
      <c r="AJ8796">
        <v>91.476334944975505</v>
      </c>
      <c r="AK8796">
        <v>19.909723845479</v>
      </c>
      <c r="AL8796">
        <v>91.510209162930195</v>
      </c>
      <c r="AM8796">
        <v>92.889597356849194</v>
      </c>
      <c r="AN8796">
        <v>0.99999998712403704</v>
      </c>
    </row>
    <row r="8797" spans="1:40" x14ac:dyDescent="0.25">
      <c r="A8797" t="str">
        <f>"20190303154014442"</f>
        <v>20190303154014442</v>
      </c>
      <c r="B8797" t="str">
        <f>"1551598814436811"</f>
        <v>1551598814436811</v>
      </c>
      <c r="C8797" t="s">
        <v>40</v>
      </c>
      <c r="D8797">
        <v>4.4421369999999998</v>
      </c>
      <c r="E8797">
        <v>0.50947739999999997</v>
      </c>
      <c r="F8797" t="s">
        <v>90</v>
      </c>
      <c r="G8797">
        <v>-220.03870000000001</v>
      </c>
      <c r="H8797" s="1">
        <v>-3.621555E-6</v>
      </c>
      <c r="I8797">
        <v>-62.332329999999999</v>
      </c>
      <c r="J8797">
        <v>-239.9753</v>
      </c>
      <c r="K8797">
        <v>1.12144</v>
      </c>
      <c r="L8797">
        <v>-62.96799</v>
      </c>
      <c r="M8797">
        <v>0.99987239999999999</v>
      </c>
      <c r="N8797">
        <v>-1.4679070000000001E-2</v>
      </c>
      <c r="O8797">
        <v>6.3090350000000002E-3</v>
      </c>
      <c r="P8797">
        <v>0.99754860000000001</v>
      </c>
      <c r="Q8797">
        <v>-4.1253499999999999E-2</v>
      </c>
      <c r="R8797">
        <v>5.6524430000000001E-2</v>
      </c>
      <c r="S8797">
        <v>2.9951020000000002</v>
      </c>
      <c r="T8797">
        <v>-0.16738029999999901</v>
      </c>
      <c r="U8797">
        <v>9.5001219999999997E-2</v>
      </c>
      <c r="V8797">
        <v>-5.0220939999999999E-2</v>
      </c>
      <c r="W8797">
        <v>-2.6616919999999999E-2</v>
      </c>
      <c r="X8797">
        <v>0.99838340000000003</v>
      </c>
      <c r="Y8797">
        <v>-2.5351169999999999E-2</v>
      </c>
      <c r="Z8797">
        <v>6.342845E-4</v>
      </c>
      <c r="AA8797">
        <v>0.99967839999999997</v>
      </c>
      <c r="AB8797">
        <v>25</v>
      </c>
      <c r="AC8797">
        <v>19.936599999999999</v>
      </c>
      <c r="AD8797">
        <v>-1.1214436215549899</v>
      </c>
      <c r="AE8797">
        <v>0.63565999999999401</v>
      </c>
      <c r="AF8797">
        <v>-0.50824657253237804</v>
      </c>
      <c r="AG8797">
        <v>-1.1214436215549899</v>
      </c>
      <c r="AH8797">
        <v>19.877383448577501</v>
      </c>
      <c r="AI8797">
        <v>93.228041358959203</v>
      </c>
      <c r="AJ8797">
        <v>91.464681708748103</v>
      </c>
      <c r="AK8797">
        <v>19.915479485480699</v>
      </c>
      <c r="AL8797">
        <v>91.525217295792601</v>
      </c>
      <c r="AM8797">
        <v>92.879679921671794</v>
      </c>
      <c r="AN8797">
        <v>1.0000000083201599</v>
      </c>
    </row>
    <row r="8798" spans="1:40" x14ac:dyDescent="0.25">
      <c r="A8798" t="str">
        <f>"20190303154014454"</f>
        <v>20190303154014454</v>
      </c>
      <c r="B8798" t="str">
        <f>"1551598814446571"</f>
        <v>1551598814446571</v>
      </c>
      <c r="C8798" t="s">
        <v>40</v>
      </c>
      <c r="D8798">
        <v>4.4681930000000003</v>
      </c>
      <c r="E8798">
        <v>0.50942520000000002</v>
      </c>
      <c r="F8798" t="s">
        <v>90</v>
      </c>
      <c r="G8798">
        <v>-219.91</v>
      </c>
      <c r="H8798" s="1">
        <v>-3.57891E-6</v>
      </c>
      <c r="I8798">
        <v>-62.338650000000001</v>
      </c>
      <c r="J8798">
        <v>-239.85720000000001</v>
      </c>
      <c r="K8798">
        <v>1.121434</v>
      </c>
      <c r="L8798">
        <v>-62.9670699999999</v>
      </c>
      <c r="M8798">
        <v>0.99987170000000003</v>
      </c>
      <c r="N8798">
        <v>-1.4687779999999999E-2</v>
      </c>
      <c r="O8798">
        <v>6.4109269999999899E-3</v>
      </c>
      <c r="P8798">
        <v>0.9975562</v>
      </c>
      <c r="Q8798">
        <v>-4.1529040000000003E-2</v>
      </c>
      <c r="R8798">
        <v>5.6189290000000003E-2</v>
      </c>
      <c r="S8798">
        <v>2.9951319999999999</v>
      </c>
      <c r="T8798">
        <v>-0.1673975</v>
      </c>
      <c r="U8798">
        <v>9.393311E-2</v>
      </c>
      <c r="V8798">
        <v>-4.978403E-2</v>
      </c>
      <c r="W8798">
        <v>-2.688287E-2</v>
      </c>
      <c r="X8798">
        <v>0.99839809999999996</v>
      </c>
      <c r="Y8798">
        <v>-2.4893800000000001E-2</v>
      </c>
      <c r="Z8798">
        <v>6.1415989999999995E-4</v>
      </c>
      <c r="AA8798">
        <v>0.99968990000000002</v>
      </c>
      <c r="AB8798">
        <v>25</v>
      </c>
      <c r="AC8798">
        <v>19.947199999999999</v>
      </c>
      <c r="AD8798">
        <v>-1.12143757891</v>
      </c>
      <c r="AE8798">
        <v>0.62841999999999099</v>
      </c>
      <c r="AF8798">
        <v>-0.49893781955849598</v>
      </c>
      <c r="AG8798">
        <v>-1.12143757891</v>
      </c>
      <c r="AH8798">
        <v>19.888021000161999</v>
      </c>
      <c r="AI8798">
        <v>93.226340327456697</v>
      </c>
      <c r="AJ8798">
        <v>91.4370980521212</v>
      </c>
      <c r="AK8798">
        <v>19.925861097931499</v>
      </c>
      <c r="AL8798">
        <v>91.540460649412296</v>
      </c>
      <c r="AM8798">
        <v>92.8546270636934</v>
      </c>
      <c r="AN8798">
        <v>0.99999995221304205</v>
      </c>
    </row>
    <row r="8799" spans="1:40" x14ac:dyDescent="0.25">
      <c r="A8799" t="str">
        <f>"20190303154014465"</f>
        <v>20190303154014465</v>
      </c>
      <c r="B8799" t="str">
        <f>"1551598814457308"</f>
        <v>1551598814457308</v>
      </c>
      <c r="C8799" t="s">
        <v>40</v>
      </c>
      <c r="D8799">
        <v>4.4849990000000002</v>
      </c>
      <c r="E8799">
        <v>0.50942779999999999</v>
      </c>
      <c r="F8799" t="s">
        <v>90</v>
      </c>
      <c r="G8799">
        <v>-219.87039999999999</v>
      </c>
      <c r="H8799" s="1">
        <v>-3.5663660000000002E-6</v>
      </c>
      <c r="I8799">
        <v>-62.344059999999999</v>
      </c>
      <c r="J8799">
        <v>-239.733</v>
      </c>
      <c r="K8799">
        <v>1.1214309999999901</v>
      </c>
      <c r="L8799">
        <v>-62.966189999999997</v>
      </c>
      <c r="M8799">
        <v>0.99987079999999995</v>
      </c>
      <c r="N8799">
        <v>-1.4695990000000001E-2</v>
      </c>
      <c r="O8799">
        <v>6.5154619999999996E-3</v>
      </c>
      <c r="P8799">
        <v>0.99757240000000003</v>
      </c>
      <c r="Q8799">
        <v>-4.1487969999999999E-2</v>
      </c>
      <c r="R8799">
        <v>5.5931429999999997E-2</v>
      </c>
      <c r="S8799">
        <v>2.995117</v>
      </c>
      <c r="T8799">
        <v>-0.1680526</v>
      </c>
      <c r="U8799">
        <v>9.3353270000000002E-2</v>
      </c>
      <c r="V8799">
        <v>-4.9422279999999999E-2</v>
      </c>
      <c r="W8799">
        <v>-2.6832760000000001E-2</v>
      </c>
      <c r="X8799">
        <v>0.99841749999999996</v>
      </c>
      <c r="Y8799">
        <v>-2.459648E-2</v>
      </c>
      <c r="Z8799">
        <v>6.0079070000000005E-4</v>
      </c>
      <c r="AA8799">
        <v>0.99969730000000001</v>
      </c>
      <c r="AB8799">
        <v>25</v>
      </c>
      <c r="AC8799">
        <v>19.8626</v>
      </c>
      <c r="AD8799">
        <v>-1.1214345663659999</v>
      </c>
      <c r="AE8799">
        <v>0.62213000000000496</v>
      </c>
      <c r="AF8799">
        <v>-0.491124784052269</v>
      </c>
      <c r="AG8799">
        <v>-1.1214345663659999</v>
      </c>
      <c r="AH8799">
        <v>19.803167777481299</v>
      </c>
      <c r="AI8799">
        <v>93.240149707241699</v>
      </c>
      <c r="AJ8799">
        <v>91.420662122893503</v>
      </c>
      <c r="AK8799">
        <v>19.840974599631501</v>
      </c>
      <c r="AL8799">
        <v>91.537588399684495</v>
      </c>
      <c r="AM8799">
        <v>92.833863202130502</v>
      </c>
      <c r="AN8799">
        <v>1.00000003153793</v>
      </c>
    </row>
    <row r="8800" spans="1:40" x14ac:dyDescent="0.25">
      <c r="A8800" t="str">
        <f>"20190303154014475"</f>
        <v>20190303154014475</v>
      </c>
      <c r="B8800" t="str">
        <f>"1551598814467069"</f>
        <v>1551598814467069</v>
      </c>
      <c r="C8800" t="s">
        <v>40</v>
      </c>
      <c r="D8800">
        <v>4.4785830000000004</v>
      </c>
      <c r="E8800">
        <v>0.50935039999999998</v>
      </c>
      <c r="F8800" t="s">
        <v>90</v>
      </c>
      <c r="G8800">
        <v>-219.77340000000001</v>
      </c>
      <c r="H8800" s="1">
        <v>-3.5342840000000002E-6</v>
      </c>
      <c r="I8800">
        <v>-62.349299999999999</v>
      </c>
      <c r="J8800">
        <v>-239.6123</v>
      </c>
      <c r="K8800">
        <v>1.1214309999999901</v>
      </c>
      <c r="L8800">
        <v>-62.965269999999997</v>
      </c>
      <c r="M8800">
        <v>0.99987009999999998</v>
      </c>
      <c r="N8800">
        <v>-1.470316E-2</v>
      </c>
      <c r="O8800">
        <v>6.6151980000000001E-3</v>
      </c>
      <c r="P8800">
        <v>0.99760490000000002</v>
      </c>
      <c r="Q8800">
        <v>-4.1504810000000003E-2</v>
      </c>
      <c r="R8800">
        <v>5.5335679999999998E-2</v>
      </c>
      <c r="S8800">
        <v>2.995117</v>
      </c>
      <c r="T8800">
        <v>-0.16828070000000001</v>
      </c>
      <c r="U8800">
        <v>9.2559810000000006E-2</v>
      </c>
      <c r="V8800">
        <v>-4.8726699999999998E-2</v>
      </c>
      <c r="W8800">
        <v>-2.6841440000000001E-2</v>
      </c>
      <c r="X8800">
        <v>0.99845139999999999</v>
      </c>
      <c r="Y8800">
        <v>-2.4232879999999998E-2</v>
      </c>
      <c r="Z8800">
        <v>5.8435360000000001E-4</v>
      </c>
      <c r="AA8800">
        <v>0.99970610000000004</v>
      </c>
      <c r="AB8800">
        <v>25</v>
      </c>
      <c r="AC8800">
        <v>19.838899999999899</v>
      </c>
      <c r="AD8800">
        <v>-1.12143453428399</v>
      </c>
      <c r="AE8800">
        <v>0.61596999999999702</v>
      </c>
      <c r="AF8800">
        <v>-0.48316172667866403</v>
      </c>
      <c r="AG8800">
        <v>-1.12143453428399</v>
      </c>
      <c r="AH8800">
        <v>19.779400620419299</v>
      </c>
      <c r="AI8800">
        <v>93.244064391123899</v>
      </c>
      <c r="AJ8800">
        <v>91.399315583597598</v>
      </c>
      <c r="AK8800">
        <v>19.817057036095299</v>
      </c>
      <c r="AL8800">
        <v>91.538085991395505</v>
      </c>
      <c r="AM8800">
        <v>92.793947726988193</v>
      </c>
      <c r="AN8800">
        <v>0.99999997617806102</v>
      </c>
    </row>
    <row r="8801" spans="1:40" x14ac:dyDescent="0.25">
      <c r="A8801" t="str">
        <f>"20190303154014486"</f>
        <v>20190303154014486</v>
      </c>
      <c r="B8801" t="str">
        <f>"1551598814476828"</f>
        <v>1551598814476828</v>
      </c>
      <c r="C8801" t="s">
        <v>40</v>
      </c>
      <c r="D8801">
        <v>4.4870199999999896</v>
      </c>
      <c r="E8801">
        <v>0.50929740000000001</v>
      </c>
      <c r="F8801" t="s">
        <v>90</v>
      </c>
      <c r="G8801">
        <v>-219.64410000000001</v>
      </c>
      <c r="H8801" s="1">
        <v>-3.4914620000000002E-6</v>
      </c>
      <c r="I8801">
        <v>-62.35586</v>
      </c>
      <c r="J8801">
        <v>-239.48689999999999</v>
      </c>
      <c r="K8801">
        <v>1.1214329999999999</v>
      </c>
      <c r="L8801">
        <v>-62.964320000000001</v>
      </c>
      <c r="M8801">
        <v>0.99986929999999996</v>
      </c>
      <c r="N8801">
        <v>-1.471006E-2</v>
      </c>
      <c r="O8801">
        <v>6.7177469999999996E-3</v>
      </c>
      <c r="P8801">
        <v>0.99762470000000003</v>
      </c>
      <c r="Q8801">
        <v>-4.1283420000000001E-2</v>
      </c>
      <c r="R8801">
        <v>5.5144720000000001E-2</v>
      </c>
      <c r="S8801">
        <v>2.995117</v>
      </c>
      <c r="T8801">
        <v>-0.16820869999999999</v>
      </c>
      <c r="U8801">
        <v>9.1400149999999999E-2</v>
      </c>
      <c r="V8801">
        <v>-4.8433240000000002E-2</v>
      </c>
      <c r="W8801">
        <v>-2.6612520000000001E-2</v>
      </c>
      <c r="X8801">
        <v>0.99847189999999997</v>
      </c>
      <c r="Y8801">
        <v>-2.374472E-2</v>
      </c>
      <c r="Z8801">
        <v>5.6281799999999998E-4</v>
      </c>
      <c r="AA8801">
        <v>0.99971790000000005</v>
      </c>
      <c r="AB8801">
        <v>25</v>
      </c>
      <c r="AC8801">
        <v>19.842799999999901</v>
      </c>
      <c r="AD8801">
        <v>-1.1214364914620001</v>
      </c>
      <c r="AE8801">
        <v>0.60845999999999301</v>
      </c>
      <c r="AF8801">
        <v>-0.47362158576056801</v>
      </c>
      <c r="AG8801">
        <v>-1.1214364914620001</v>
      </c>
      <c r="AH8801">
        <v>19.7833103095704</v>
      </c>
      <c r="AI8801">
        <v>93.243468399089494</v>
      </c>
      <c r="AJ8801">
        <v>91.371425454838203</v>
      </c>
      <c r="AK8801">
        <v>19.8207291494444</v>
      </c>
      <c r="AL8801">
        <v>91.524965010912396</v>
      </c>
      <c r="AM8801">
        <v>92.777090471767394</v>
      </c>
      <c r="AN8801">
        <v>1.00000007002362</v>
      </c>
    </row>
    <row r="8802" spans="1:40" x14ac:dyDescent="0.25">
      <c r="A8802" t="str">
        <f>"20190303154014498"</f>
        <v>20190303154014498</v>
      </c>
      <c r="B8802" t="str">
        <f>"1551598814486589"</f>
        <v>1551598814486589</v>
      </c>
      <c r="C8802" t="s">
        <v>40</v>
      </c>
      <c r="D8802">
        <v>4.4386580000000002</v>
      </c>
      <c r="E8802">
        <v>0.50936700000000001</v>
      </c>
      <c r="F8802" t="s">
        <v>90</v>
      </c>
      <c r="G8802">
        <v>-219.5291</v>
      </c>
      <c r="H8802" s="1">
        <v>-3.452438E-6</v>
      </c>
      <c r="I8802">
        <v>-62.356450000000002</v>
      </c>
      <c r="J8802">
        <v>-239.37200000000001</v>
      </c>
      <c r="K8802">
        <v>1.1214360000000001</v>
      </c>
      <c r="L8802">
        <v>-62.963470000000001</v>
      </c>
      <c r="M8802">
        <v>0.99986850000000005</v>
      </c>
      <c r="N8802">
        <v>-1.471547E-2</v>
      </c>
      <c r="O8802">
        <v>6.8109090000000004E-3</v>
      </c>
      <c r="P8802">
        <v>0.99766889999999997</v>
      </c>
      <c r="Q8802">
        <v>-4.1024570000000003E-2</v>
      </c>
      <c r="R8802">
        <v>5.453305E-2</v>
      </c>
      <c r="S8802">
        <v>2.995117</v>
      </c>
      <c r="T8802">
        <v>-0.16829710000000001</v>
      </c>
      <c r="U8802">
        <v>9.1217039999999999E-2</v>
      </c>
      <c r="V8802">
        <v>-4.7728439999999997E-2</v>
      </c>
      <c r="W8802">
        <v>-2.634734E-2</v>
      </c>
      <c r="X8802">
        <v>0.99851279999999998</v>
      </c>
      <c r="Y8802">
        <v>-2.359085E-2</v>
      </c>
      <c r="Z8802">
        <v>5.5375919999999998E-4</v>
      </c>
      <c r="AA8802">
        <v>0.99972150000000004</v>
      </c>
      <c r="AB8802">
        <v>25</v>
      </c>
      <c r="AC8802">
        <v>19.8429</v>
      </c>
      <c r="AD8802">
        <v>-1.121439452438</v>
      </c>
      <c r="AE8802">
        <v>0.60701999999999101</v>
      </c>
      <c r="AF8802">
        <v>-0.470342201914911</v>
      </c>
      <c r="AG8802">
        <v>-1.121439452438</v>
      </c>
      <c r="AH8802">
        <v>19.783444277478601</v>
      </c>
      <c r="AI8802">
        <v>93.243467832464802</v>
      </c>
      <c r="AJ8802">
        <v>91.361923993765501</v>
      </c>
      <c r="AK8802">
        <v>19.820784941885801</v>
      </c>
      <c r="AL8802">
        <v>91.509766094708397</v>
      </c>
      <c r="AM8802">
        <v>92.736628243017705</v>
      </c>
      <c r="AN8802">
        <v>0.99999999903687398</v>
      </c>
    </row>
    <row r="8803" spans="1:40" x14ac:dyDescent="0.25">
      <c r="A8803" t="str">
        <f>"20190303154014509"</f>
        <v>20190303154014509</v>
      </c>
      <c r="B8803" t="str">
        <f>"1551598814497324"</f>
        <v>1551598814497324</v>
      </c>
      <c r="C8803" t="s">
        <v>40</v>
      </c>
      <c r="D8803">
        <v>4.48339</v>
      </c>
      <c r="E8803">
        <v>0.50934040000000003</v>
      </c>
      <c r="F8803" t="s">
        <v>90</v>
      </c>
      <c r="G8803">
        <v>-219.24350000000001</v>
      </c>
      <c r="H8803" s="1">
        <v>-3.3569629999999998E-6</v>
      </c>
      <c r="I8803">
        <v>-62.366219999999998</v>
      </c>
      <c r="J8803">
        <v>-239.24930000000001</v>
      </c>
      <c r="K8803">
        <v>1.1214329999999999</v>
      </c>
      <c r="L8803">
        <v>-62.962519999999998</v>
      </c>
      <c r="M8803">
        <v>0.99986790000000003</v>
      </c>
      <c r="N8803">
        <v>-1.472102E-2</v>
      </c>
      <c r="O8803">
        <v>6.909854E-3</v>
      </c>
      <c r="P8803">
        <v>0.99768179999999995</v>
      </c>
      <c r="Q8803">
        <v>-4.084699E-2</v>
      </c>
      <c r="R8803">
        <v>5.4433570000000001E-2</v>
      </c>
      <c r="S8803">
        <v>2.995285</v>
      </c>
      <c r="T8803">
        <v>-0.1668791</v>
      </c>
      <c r="U8803">
        <v>8.8867189999999999E-2</v>
      </c>
      <c r="V8803">
        <v>-4.7530599999999999E-2</v>
      </c>
      <c r="W8803">
        <v>-2.6163840000000001E-2</v>
      </c>
      <c r="X8803">
        <v>0.9985271</v>
      </c>
      <c r="Y8803">
        <v>-2.2709E-2</v>
      </c>
      <c r="Z8803">
        <v>5.1640239999999895E-4</v>
      </c>
      <c r="AA8803">
        <v>0.99974200000000002</v>
      </c>
      <c r="AB8803">
        <v>25</v>
      </c>
      <c r="AC8803">
        <v>20.005799999999901</v>
      </c>
      <c r="AD8803">
        <v>-1.1214363569629999</v>
      </c>
      <c r="AE8803">
        <v>0.59629999999999905</v>
      </c>
      <c r="AF8803">
        <v>-0.45660017446983803</v>
      </c>
      <c r="AG8803">
        <v>-1.1214363569629999</v>
      </c>
      <c r="AH8803">
        <v>19.946821297376001</v>
      </c>
      <c r="AI8803">
        <v>93.2170151078694</v>
      </c>
      <c r="AJ8803">
        <v>91.311321465026197</v>
      </c>
      <c r="AK8803">
        <v>19.9835378021886</v>
      </c>
      <c r="AL8803">
        <v>91.499248636551101</v>
      </c>
      <c r="AM8803">
        <v>92.7252627640529</v>
      </c>
      <c r="AN8803">
        <v>1.00000003694715</v>
      </c>
    </row>
    <row r="8804" spans="1:40" x14ac:dyDescent="0.25">
      <c r="A8804" t="str">
        <f>"20190303154014520"</f>
        <v>20190303154014520</v>
      </c>
      <c r="B8804" t="str">
        <f>"1551598814516843"</f>
        <v>1551598814516843</v>
      </c>
      <c r="C8804" t="s">
        <v>40</v>
      </c>
      <c r="D8804">
        <v>4.5056830000000003</v>
      </c>
      <c r="E8804">
        <v>0.50928519999999999</v>
      </c>
      <c r="F8804" t="s">
        <v>90</v>
      </c>
      <c r="G8804">
        <v>-219.0668</v>
      </c>
      <c r="H8804" s="1">
        <v>-3.2964450000000001E-6</v>
      </c>
      <c r="I8804">
        <v>-62.364089999999997</v>
      </c>
      <c r="J8804">
        <v>-239.12559999999999</v>
      </c>
      <c r="K8804">
        <v>1.121435</v>
      </c>
      <c r="L8804">
        <v>-62.961550000000003</v>
      </c>
      <c r="M8804">
        <v>0.99986710000000001</v>
      </c>
      <c r="N8804">
        <v>-1.47256E-2</v>
      </c>
      <c r="O8804">
        <v>7.0098950000000004E-3</v>
      </c>
      <c r="P8804">
        <v>0.99770579999999998</v>
      </c>
      <c r="Q8804">
        <v>-4.0513569999999999E-2</v>
      </c>
      <c r="R8804">
        <v>5.4238870000000002E-2</v>
      </c>
      <c r="S8804">
        <v>2.9952999999999999</v>
      </c>
      <c r="T8804">
        <v>-0.16643250000000001</v>
      </c>
      <c r="U8804">
        <v>8.880615E-2</v>
      </c>
      <c r="V8804">
        <v>-4.7235810000000003E-2</v>
      </c>
      <c r="W8804">
        <v>-2.582543E-2</v>
      </c>
      <c r="X8804">
        <v>0.99854989999999999</v>
      </c>
      <c r="Y8804">
        <v>-2.258895E-2</v>
      </c>
      <c r="Z8804">
        <v>5.0752589999999997E-4</v>
      </c>
      <c r="AA8804">
        <v>0.99974470000000004</v>
      </c>
      <c r="AB8804">
        <v>25</v>
      </c>
      <c r="AC8804">
        <v>20.058799999999898</v>
      </c>
      <c r="AD8804">
        <v>-1.121438296445</v>
      </c>
      <c r="AE8804">
        <v>0.59745999999999799</v>
      </c>
      <c r="AF8804">
        <v>-0.45539784770575498</v>
      </c>
      <c r="AG8804">
        <v>-1.121438296445</v>
      </c>
      <c r="AH8804">
        <v>20.000037858843399</v>
      </c>
      <c r="AI8804">
        <v>93.208487486798305</v>
      </c>
      <c r="AJ8804">
        <v>91.304390867785102</v>
      </c>
      <c r="AK8804">
        <v>20.036629592014702</v>
      </c>
      <c r="AL8804">
        <v>91.479852615600706</v>
      </c>
      <c r="AM8804">
        <v>92.708323882106001</v>
      </c>
      <c r="AN8804">
        <v>1.0000000386855199</v>
      </c>
    </row>
    <row r="8805" spans="1:40" x14ac:dyDescent="0.25">
      <c r="A8805" t="str">
        <f>"20190303154014532"</f>
        <v>20190303154014532</v>
      </c>
      <c r="B8805" t="str">
        <f>"1551598814526655"</f>
        <v>1551598814526655</v>
      </c>
      <c r="C8805" t="s">
        <v>40</v>
      </c>
      <c r="D8805">
        <v>4.5158160000000001</v>
      </c>
      <c r="E8805">
        <v>0.50924219999999998</v>
      </c>
      <c r="F8805" t="s">
        <v>90</v>
      </c>
      <c r="G8805">
        <v>-219.00020000000001</v>
      </c>
      <c r="H8805" s="1">
        <v>-3.2741379999999999E-6</v>
      </c>
      <c r="I8805">
        <v>-62.366039999999998</v>
      </c>
      <c r="J8805">
        <v>-238.99590000000001</v>
      </c>
      <c r="K8805">
        <v>1.121437</v>
      </c>
      <c r="L8805">
        <v>-62.960509999999999</v>
      </c>
      <c r="M8805">
        <v>0.99986620000000004</v>
      </c>
      <c r="N8805">
        <v>-1.4730129999999999E-2</v>
      </c>
      <c r="O8805">
        <v>7.1150619999999897E-3</v>
      </c>
      <c r="P8805">
        <v>0.99771140000000003</v>
      </c>
      <c r="Q8805">
        <v>-4.0706369999999999E-2</v>
      </c>
      <c r="R8805">
        <v>5.3990980000000001E-2</v>
      </c>
      <c r="S8805">
        <v>2.9953310000000002</v>
      </c>
      <c r="T8805">
        <v>-0.16690669999999999</v>
      </c>
      <c r="U8805">
        <v>8.8623049999999995E-2</v>
      </c>
      <c r="V8805">
        <v>-4.6882760000000002E-2</v>
      </c>
      <c r="W8805">
        <v>-2.6013479999999999E-2</v>
      </c>
      <c r="X8805">
        <v>0.99856160000000005</v>
      </c>
      <c r="Y8805">
        <v>-2.2422660000000001E-2</v>
      </c>
      <c r="Z8805">
        <v>4.9812320000000002E-4</v>
      </c>
      <c r="AA8805">
        <v>0.99974850000000004</v>
      </c>
      <c r="AB8805">
        <v>25</v>
      </c>
      <c r="AC8805">
        <v>19.995699999999999</v>
      </c>
      <c r="AD8805">
        <v>-1.1214402741380001</v>
      </c>
      <c r="AE8805">
        <v>0.59446999999999395</v>
      </c>
      <c r="AF8805">
        <v>-0.45075231346840899</v>
      </c>
      <c r="AG8805">
        <v>-1.1214402741380001</v>
      </c>
      <c r="AH8805">
        <v>19.93676970317</v>
      </c>
      <c r="AI8805">
        <v>93.218665431052898</v>
      </c>
      <c r="AJ8805">
        <v>91.295185045722704</v>
      </c>
      <c r="AK8805">
        <v>19.973372077187999</v>
      </c>
      <c r="AL8805">
        <v>91.490630792626206</v>
      </c>
      <c r="AM8805">
        <v>92.688079674529305</v>
      </c>
      <c r="AN8805">
        <v>0.999999981660743</v>
      </c>
    </row>
    <row r="8806" spans="1:40" x14ac:dyDescent="0.25">
      <c r="A8806" t="str">
        <f>"20190303154014542"</f>
        <v>20190303154014542</v>
      </c>
      <c r="B8806" t="str">
        <f>"1551598814536415"</f>
        <v>1551598814536415</v>
      </c>
      <c r="C8806" t="s">
        <v>40</v>
      </c>
      <c r="D8806">
        <v>4.5359689999999997</v>
      </c>
      <c r="E8806">
        <v>0.50927199999999995</v>
      </c>
      <c r="F8806" t="s">
        <v>90</v>
      </c>
      <c r="G8806">
        <v>-218.9418</v>
      </c>
      <c r="H8806" s="1">
        <v>-3.2548780000000002E-6</v>
      </c>
      <c r="I8806">
        <v>-62.369549999999997</v>
      </c>
      <c r="J8806">
        <v>-238.8785</v>
      </c>
      <c r="K8806">
        <v>1.1214409999999999</v>
      </c>
      <c r="L8806">
        <v>-62.959560000000003</v>
      </c>
      <c r="M8806">
        <v>0.99986569999999997</v>
      </c>
      <c r="N8806">
        <v>-1.473355E-2</v>
      </c>
      <c r="O8806">
        <v>7.2105859999999997E-3</v>
      </c>
      <c r="P8806">
        <v>0.99772269999999996</v>
      </c>
      <c r="Q8806">
        <v>-4.0958899999999999E-2</v>
      </c>
      <c r="R8806">
        <v>5.3593580000000002E-2</v>
      </c>
      <c r="S8806">
        <v>2.9952700000000001</v>
      </c>
      <c r="T8806">
        <v>-0.16749700000000001</v>
      </c>
      <c r="U8806">
        <v>8.8256840000000003E-2</v>
      </c>
      <c r="V8806">
        <v>-4.6390109999999998E-2</v>
      </c>
      <c r="W8806">
        <v>-2.6262290000000001E-2</v>
      </c>
      <c r="X8806">
        <v>0.99857810000000002</v>
      </c>
      <c r="Y8806">
        <v>-2.2205909999999999E-2</v>
      </c>
      <c r="Z8806">
        <v>4.874139E-4</v>
      </c>
      <c r="AA8806">
        <v>0.99975329999999996</v>
      </c>
      <c r="AB8806">
        <v>24</v>
      </c>
      <c r="AC8806">
        <v>19.936699999999998</v>
      </c>
      <c r="AD8806">
        <v>-1.1214442548779999</v>
      </c>
      <c r="AE8806">
        <v>0.59000999999999904</v>
      </c>
      <c r="AF8806">
        <v>-0.44481758672913901</v>
      </c>
      <c r="AG8806">
        <v>-1.1214442548779999</v>
      </c>
      <c r="AH8806">
        <v>19.877596909080101</v>
      </c>
      <c r="AI8806">
        <v>93.228254891232595</v>
      </c>
      <c r="AJ8806">
        <v>91.281941552179106</v>
      </c>
      <c r="AK8806">
        <v>19.914174820517498</v>
      </c>
      <c r="AL8806">
        <v>91.504891421494804</v>
      </c>
      <c r="AM8806">
        <v>92.659829885649998</v>
      </c>
      <c r="AN8806">
        <v>0.99999998599073303</v>
      </c>
    </row>
    <row r="8807" spans="1:40" x14ac:dyDescent="0.25">
      <c r="A8807" t="str">
        <f>"20190303154014553"</f>
        <v>20190303154014553</v>
      </c>
      <c r="B8807" t="str">
        <f>"1551598814547150"</f>
        <v>1551598814547150</v>
      </c>
      <c r="C8807" t="s">
        <v>40</v>
      </c>
      <c r="D8807">
        <v>4.4694399999999996</v>
      </c>
      <c r="E8807">
        <v>0.50934449999999998</v>
      </c>
      <c r="F8807" t="s">
        <v>90</v>
      </c>
      <c r="G8807">
        <v>-218.92359999999999</v>
      </c>
      <c r="H8807" s="1">
        <v>-3.2507590000000002E-6</v>
      </c>
      <c r="I8807">
        <v>-62.381079999999997</v>
      </c>
      <c r="J8807">
        <v>-238.76089999999999</v>
      </c>
      <c r="K8807">
        <v>1.121443</v>
      </c>
      <c r="L8807">
        <v>-62.958620000000003</v>
      </c>
      <c r="M8807">
        <v>0.99986489999999995</v>
      </c>
      <c r="N8807">
        <v>-1.4736610000000001E-2</v>
      </c>
      <c r="O8807">
        <v>7.3068269999999897E-3</v>
      </c>
      <c r="P8807">
        <v>0.99770610000000004</v>
      </c>
      <c r="Q8807">
        <v>-4.1348650000000001E-2</v>
      </c>
      <c r="R8807">
        <v>5.3601120000000002E-2</v>
      </c>
      <c r="S8807">
        <v>2.9952700000000001</v>
      </c>
      <c r="T8807">
        <v>-0.16833100000000001</v>
      </c>
      <c r="U8807">
        <v>8.6822510000000006E-2</v>
      </c>
      <c r="V8807">
        <v>-4.6301059999999998E-2</v>
      </c>
      <c r="W8807">
        <v>-2.6649140000000002E-2</v>
      </c>
      <c r="X8807">
        <v>0.99857200000000002</v>
      </c>
      <c r="Y8807">
        <v>-2.1632249999999999E-2</v>
      </c>
      <c r="Z8807">
        <v>4.6423150000000002E-4</v>
      </c>
      <c r="AA8807">
        <v>0.99976589999999999</v>
      </c>
      <c r="AB8807">
        <v>24</v>
      </c>
      <c r="AC8807">
        <v>19.837299999999999</v>
      </c>
      <c r="AD8807">
        <v>-1.121446250759</v>
      </c>
      <c r="AE8807">
        <v>0.57753999999999195</v>
      </c>
      <c r="AF8807">
        <v>-0.43118429506661599</v>
      </c>
      <c r="AG8807">
        <v>-1.121446250759</v>
      </c>
      <c r="AH8807">
        <v>19.777836509842</v>
      </c>
      <c r="AI8807">
        <v>93.244550637707405</v>
      </c>
      <c r="AJ8807">
        <v>91.248929694453807</v>
      </c>
      <c r="AK8807">
        <v>19.814297327932</v>
      </c>
      <c r="AL8807">
        <v>91.527064030518005</v>
      </c>
      <c r="AM8807">
        <v>92.654747607458702</v>
      </c>
      <c r="AN8807">
        <v>1.00000000200193</v>
      </c>
    </row>
    <row r="8808" spans="1:40" x14ac:dyDescent="0.25">
      <c r="A8808" t="str">
        <f>"20190303154014565"</f>
        <v>20190303154014565</v>
      </c>
      <c r="B8808" t="str">
        <f>"1551598814556911"</f>
        <v>1551598814556911</v>
      </c>
      <c r="C8808" t="s">
        <v>40</v>
      </c>
      <c r="D8808">
        <v>4.4769170000000003</v>
      </c>
      <c r="E8808">
        <v>0.50941919999999996</v>
      </c>
      <c r="F8808" t="s">
        <v>90</v>
      </c>
      <c r="G8808">
        <v>-218.94460000000001</v>
      </c>
      <c r="H8808" s="1">
        <v>-3.2591650000000002E-6</v>
      </c>
      <c r="I8808">
        <v>-62.388190000000002</v>
      </c>
      <c r="J8808">
        <v>-238.62780000000001</v>
      </c>
      <c r="K8808">
        <v>1.121445</v>
      </c>
      <c r="L8808">
        <v>-62.957520000000002</v>
      </c>
      <c r="M8808">
        <v>0.99986390000000003</v>
      </c>
      <c r="N8808">
        <v>-1.4739510000000001E-2</v>
      </c>
      <c r="O8808">
        <v>7.4170190000000004E-3</v>
      </c>
      <c r="P8808">
        <v>0.99769280000000005</v>
      </c>
      <c r="Q8808">
        <v>-4.1830529999999998E-2</v>
      </c>
      <c r="R8808">
        <v>5.3473670000000001E-2</v>
      </c>
      <c r="S8808">
        <v>2.9952239999999999</v>
      </c>
      <c r="T8808">
        <v>-0.1695063</v>
      </c>
      <c r="U8808">
        <v>8.6212159999999996E-2</v>
      </c>
      <c r="V8808">
        <v>-4.6063819999999998E-2</v>
      </c>
      <c r="W8808">
        <v>-2.7128179999999998E-2</v>
      </c>
      <c r="X8808">
        <v>0.99857010000000002</v>
      </c>
      <c r="Y8808">
        <v>-2.131926E-2</v>
      </c>
      <c r="Z8808">
        <v>4.4989850000000002E-4</v>
      </c>
      <c r="AA8808">
        <v>0.99977260000000001</v>
      </c>
      <c r="AB8808">
        <v>24</v>
      </c>
      <c r="AC8808">
        <v>19.683199999999999</v>
      </c>
      <c r="AD8808">
        <v>-1.1214482591649999</v>
      </c>
      <c r="AE8808">
        <v>0.56932999999999301</v>
      </c>
      <c r="AF8808">
        <v>-0.421939284556343</v>
      </c>
      <c r="AG8808">
        <v>-1.1214482591649999</v>
      </c>
      <c r="AH8808">
        <v>19.623235163190099</v>
      </c>
      <c r="AI8808">
        <v>93.270084504089894</v>
      </c>
      <c r="AJ8808">
        <v>91.231785448700805</v>
      </c>
      <c r="AK8808">
        <v>19.659782227372101</v>
      </c>
      <c r="AL8808">
        <v>91.554520886213197</v>
      </c>
      <c r="AM8808">
        <v>92.641169390207097</v>
      </c>
      <c r="AN8808">
        <v>1.00000002913855</v>
      </c>
    </row>
    <row r="8809" spans="1:40" x14ac:dyDescent="0.25">
      <c r="A8809" t="str">
        <f>"20190303154014576"</f>
        <v>20190303154014576</v>
      </c>
      <c r="B8809" t="str">
        <f>"1551598814566671"</f>
        <v>1551598814566671</v>
      </c>
      <c r="C8809" t="s">
        <v>40</v>
      </c>
      <c r="D8809">
        <v>4.477373</v>
      </c>
      <c r="E8809">
        <v>0.50947310000000001</v>
      </c>
      <c r="F8809" t="s">
        <v>90</v>
      </c>
      <c r="G8809">
        <v>-218.9665</v>
      </c>
      <c r="H8809" s="1">
        <v>-3.2683219999999999E-6</v>
      </c>
      <c r="I8809">
        <v>-62.397950000000002</v>
      </c>
      <c r="J8809">
        <v>-238.51320000000001</v>
      </c>
      <c r="K8809">
        <v>1.1214489999999999</v>
      </c>
      <c r="L8809">
        <v>-62.9565699999999</v>
      </c>
      <c r="M8809">
        <v>0.9998631</v>
      </c>
      <c r="N8809">
        <v>-1.4741560000000001E-2</v>
      </c>
      <c r="O8809">
        <v>7.5125519999999996E-3</v>
      </c>
      <c r="P8809">
        <v>0.99768869999999998</v>
      </c>
      <c r="Q8809">
        <v>-4.19946E-2</v>
      </c>
      <c r="R8809">
        <v>5.3421000000000003E-2</v>
      </c>
      <c r="S8809">
        <v>2.9951780000000001</v>
      </c>
      <c r="T8809">
        <v>-0.17083950000000001</v>
      </c>
      <c r="U8809">
        <v>8.5235599999999995E-2</v>
      </c>
      <c r="V8809">
        <v>-4.5916020000000002E-2</v>
      </c>
      <c r="W8809">
        <v>-2.7290200000000001E-2</v>
      </c>
      <c r="X8809">
        <v>0.99857249999999997</v>
      </c>
      <c r="Y8809">
        <v>-2.089893E-2</v>
      </c>
      <c r="Z8809">
        <v>4.3226670000000002E-4</v>
      </c>
      <c r="AA8809">
        <v>0.99978149999999999</v>
      </c>
      <c r="AB8809">
        <v>24</v>
      </c>
      <c r="AC8809">
        <v>19.546700000000001</v>
      </c>
      <c r="AD8809">
        <v>-1.1214522683219901</v>
      </c>
      <c r="AE8809">
        <v>0.55861999999999001</v>
      </c>
      <c r="AF8809">
        <v>-0.41039290121566102</v>
      </c>
      <c r="AG8809">
        <v>-1.1214522683219901</v>
      </c>
      <c r="AH8809">
        <v>19.486255655269002</v>
      </c>
      <c r="AI8809">
        <v>93.293063894566501</v>
      </c>
      <c r="AJ8809">
        <v>91.206507089285694</v>
      </c>
      <c r="AK8809">
        <v>19.522813244663201</v>
      </c>
      <c r="AL8809">
        <v>91.5638073743349</v>
      </c>
      <c r="AM8809">
        <v>92.632700579283096</v>
      </c>
      <c r="AN8809">
        <v>1.00000003683246</v>
      </c>
    </row>
    <row r="8810" spans="1:40" x14ac:dyDescent="0.25">
      <c r="A8810" t="str">
        <f>"20190303154014588"</f>
        <v>20190303154014588</v>
      </c>
      <c r="B8810" t="str">
        <f>"1551598814577408"</f>
        <v>1551598814577408</v>
      </c>
      <c r="C8810" t="s">
        <v>40</v>
      </c>
      <c r="D8810">
        <v>4.4639670000000002</v>
      </c>
      <c r="E8810">
        <v>0.50953700000000002</v>
      </c>
      <c r="F8810" t="s">
        <v>90</v>
      </c>
      <c r="G8810">
        <v>-218.91220000000001</v>
      </c>
      <c r="H8810" s="1">
        <v>-3.250721E-6</v>
      </c>
      <c r="I8810">
        <v>-62.402720000000002</v>
      </c>
      <c r="J8810">
        <v>-238.3887</v>
      </c>
      <c r="K8810">
        <v>1.121453</v>
      </c>
      <c r="L8810">
        <v>-62.955509999999997</v>
      </c>
      <c r="M8810">
        <v>0.99986229999999998</v>
      </c>
      <c r="N8810">
        <v>-1.4743549999999999E-2</v>
      </c>
      <c r="O8810">
        <v>7.6166690000000004E-3</v>
      </c>
      <c r="P8810">
        <v>0.99769399999999997</v>
      </c>
      <c r="Q8810">
        <v>-4.1883249999999997E-2</v>
      </c>
      <c r="R8810">
        <v>5.3406149999999999E-2</v>
      </c>
      <c r="S8810">
        <v>2.9952239999999999</v>
      </c>
      <c r="T8810">
        <v>-0.17136940000000001</v>
      </c>
      <c r="U8810">
        <v>8.4625240000000004E-2</v>
      </c>
      <c r="V8810">
        <v>-4.5797110000000002E-2</v>
      </c>
      <c r="W8810">
        <v>-2.717675E-2</v>
      </c>
      <c r="X8810">
        <v>0.99858100000000005</v>
      </c>
      <c r="Y8810">
        <v>-2.0591370000000001E-2</v>
      </c>
      <c r="Z8810">
        <v>4.1734239999999999E-4</v>
      </c>
      <c r="AA8810">
        <v>0.99978789999999995</v>
      </c>
      <c r="AB8810">
        <v>24</v>
      </c>
      <c r="AC8810">
        <v>19.476499999999898</v>
      </c>
      <c r="AD8810">
        <v>-1.121456250721</v>
      </c>
      <c r="AE8810">
        <v>0.552790000000001</v>
      </c>
      <c r="AF8810">
        <v>-0.403076477054994</v>
      </c>
      <c r="AG8810">
        <v>-1.121456250721</v>
      </c>
      <c r="AH8810">
        <v>19.415825356415802</v>
      </c>
      <c r="AI8810">
        <v>93.305015366307003</v>
      </c>
      <c r="AJ8810">
        <v>91.189301179637297</v>
      </c>
      <c r="AK8810">
        <v>19.452362556755801</v>
      </c>
      <c r="AL8810">
        <v>91.557304841520804</v>
      </c>
      <c r="AM8810">
        <v>92.625869835995701</v>
      </c>
      <c r="AN8810">
        <v>0.99999998229295695</v>
      </c>
    </row>
    <row r="8811" spans="1:40" x14ac:dyDescent="0.25">
      <c r="A8811" t="str">
        <f>"20190303154014600"</f>
        <v>20190303154014600</v>
      </c>
      <c r="B8811" t="str">
        <f>"1551598814596927"</f>
        <v>1551598814596927</v>
      </c>
      <c r="C8811" t="s">
        <v>40</v>
      </c>
      <c r="D8811">
        <v>4.4752780000000003</v>
      </c>
      <c r="E8811">
        <v>0.50958539999999997</v>
      </c>
      <c r="F8811" t="s">
        <v>90</v>
      </c>
      <c r="G8811">
        <v>-218.74340000000001</v>
      </c>
      <c r="H8811" s="1">
        <v>-3.1935009999999998E-6</v>
      </c>
      <c r="I8811">
        <v>-62.404000000000003</v>
      </c>
      <c r="J8811">
        <v>-238.26320000000001</v>
      </c>
      <c r="K8811">
        <v>1.121456</v>
      </c>
      <c r="L8811">
        <v>-62.954439999999998</v>
      </c>
      <c r="M8811">
        <v>0.99986149999999996</v>
      </c>
      <c r="N8811">
        <v>-1.4745029999999999E-2</v>
      </c>
      <c r="O8811">
        <v>7.7237779999999997E-3</v>
      </c>
      <c r="P8811">
        <v>0.99771149999999997</v>
      </c>
      <c r="Q8811">
        <v>-4.1282109999999997E-2</v>
      </c>
      <c r="R8811">
        <v>5.355207E-2</v>
      </c>
      <c r="S8811">
        <v>2.9952390000000002</v>
      </c>
      <c r="T8811">
        <v>-0.17098379999999999</v>
      </c>
      <c r="U8811">
        <v>8.4075929999999993E-2</v>
      </c>
      <c r="V8811">
        <v>-4.583595E-2</v>
      </c>
      <c r="W8811">
        <v>-2.6573960000000001E-2</v>
      </c>
      <c r="X8811">
        <v>0.99859549999999997</v>
      </c>
      <c r="Y8811">
        <v>-2.030173E-2</v>
      </c>
      <c r="Z8811">
        <v>4.0209780000000002E-4</v>
      </c>
      <c r="AA8811">
        <v>0.99979379999999995</v>
      </c>
      <c r="AB8811">
        <v>24</v>
      </c>
      <c r="AC8811">
        <v>19.5198</v>
      </c>
      <c r="AD8811">
        <v>-1.1214591935009901</v>
      </c>
      <c r="AE8811">
        <v>0.55044000000000803</v>
      </c>
      <c r="AF8811">
        <v>-0.39832684683289699</v>
      </c>
      <c r="AG8811">
        <v>-1.1214591935009901</v>
      </c>
      <c r="AH8811">
        <v>19.459289812086599</v>
      </c>
      <c r="AI8811">
        <v>93.297677889681395</v>
      </c>
      <c r="AJ8811">
        <v>91.172666659201795</v>
      </c>
      <c r="AK8811">
        <v>19.495648103881301</v>
      </c>
      <c r="AL8811">
        <v>91.522754948167602</v>
      </c>
      <c r="AM8811">
        <v>92.628055577424306</v>
      </c>
      <c r="AN8811">
        <v>1.0000000411413601</v>
      </c>
    </row>
    <row r="8812" spans="1:40" x14ac:dyDescent="0.25">
      <c r="A8812" t="str">
        <f>"20190303154014610"</f>
        <v>20190303154014610</v>
      </c>
      <c r="B8812" t="str">
        <f>"1551598814606687"</f>
        <v>1551598814606687</v>
      </c>
      <c r="C8812" t="s">
        <v>40</v>
      </c>
      <c r="D8812">
        <v>4.52447</v>
      </c>
      <c r="E8812">
        <v>0.5095459</v>
      </c>
      <c r="F8812" t="s">
        <v>90</v>
      </c>
      <c r="G8812">
        <v>-218.41550000000001</v>
      </c>
      <c r="H8812" s="1">
        <v>-3.080645E-6</v>
      </c>
      <c r="I8812">
        <v>-62.3968699999999</v>
      </c>
      <c r="J8812">
        <v>-238.14500000000001</v>
      </c>
      <c r="K8812">
        <v>1.121464</v>
      </c>
      <c r="L8812">
        <v>-62.95346</v>
      </c>
      <c r="M8812">
        <v>0.99986059999999999</v>
      </c>
      <c r="N8812">
        <v>-1.474631E-2</v>
      </c>
      <c r="O8812">
        <v>7.825406E-3</v>
      </c>
      <c r="P8812">
        <v>0.99771540000000003</v>
      </c>
      <c r="Q8812">
        <v>-4.0879800000000001E-2</v>
      </c>
      <c r="R8812">
        <v>5.3784499999999999E-2</v>
      </c>
      <c r="S8812">
        <v>2.9953460000000001</v>
      </c>
      <c r="T8812">
        <v>-0.16924690000000001</v>
      </c>
      <c r="U8812">
        <v>8.4136959999999997E-2</v>
      </c>
      <c r="V8812">
        <v>-4.5966899999999998E-2</v>
      </c>
      <c r="W8812">
        <v>-2.617042E-2</v>
      </c>
      <c r="X8812">
        <v>0.99860009999999999</v>
      </c>
      <c r="Y8812">
        <v>-2.022028E-2</v>
      </c>
      <c r="Z8812">
        <v>3.9357230000000001E-4</v>
      </c>
      <c r="AA8812">
        <v>0.99979549999999995</v>
      </c>
      <c r="AB8812">
        <v>24</v>
      </c>
      <c r="AC8812">
        <v>19.729500000000002</v>
      </c>
      <c r="AD8812">
        <v>-1.121467080645</v>
      </c>
      <c r="AE8812">
        <v>0.55659000000000702</v>
      </c>
      <c r="AF8812">
        <v>-0.40087061552731101</v>
      </c>
      <c r="AG8812">
        <v>-1.121467080645</v>
      </c>
      <c r="AH8812">
        <v>19.669748792680601</v>
      </c>
      <c r="AI8812">
        <v>93.262499449822599</v>
      </c>
      <c r="AJ8812">
        <v>91.167529667671602</v>
      </c>
      <c r="AK8812">
        <v>19.7057708103622</v>
      </c>
      <c r="AL8812">
        <v>91.49962582245</v>
      </c>
      <c r="AM8812">
        <v>92.635541047485205</v>
      </c>
      <c r="AN8812">
        <v>1.0000000032492899</v>
      </c>
    </row>
    <row r="8813" spans="1:40" x14ac:dyDescent="0.25">
      <c r="A8813" t="str">
        <f>"20190303154014621"</f>
        <v>20190303154014621</v>
      </c>
      <c r="B8813" t="str">
        <f>"1551598814617423"</f>
        <v>1551598814617423</v>
      </c>
      <c r="C8813" t="s">
        <v>40</v>
      </c>
      <c r="D8813">
        <v>4.4849819999999996</v>
      </c>
      <c r="E8813">
        <v>0.50958309999999996</v>
      </c>
      <c r="F8813" t="s">
        <v>90</v>
      </c>
      <c r="G8813">
        <v>-218.16820000000001</v>
      </c>
      <c r="H8813" s="1">
        <v>-2.994444E-6</v>
      </c>
      <c r="I8813">
        <v>-62.385359999999999</v>
      </c>
      <c r="J8813">
        <v>-238.0213</v>
      </c>
      <c r="K8813">
        <v>1.12147</v>
      </c>
      <c r="L8813">
        <v>-62.952359999999999</v>
      </c>
      <c r="M8813">
        <v>0.99985979999999997</v>
      </c>
      <c r="N8813">
        <v>-1.474717E-2</v>
      </c>
      <c r="O8813">
        <v>7.9345630000000004E-3</v>
      </c>
      <c r="P8813">
        <v>0.99773750000000005</v>
      </c>
      <c r="Q8813">
        <v>-4.0456819999999998E-2</v>
      </c>
      <c r="R8813">
        <v>5.3695560000000003E-2</v>
      </c>
      <c r="S8813">
        <v>2.9954070000000002</v>
      </c>
      <c r="T8813">
        <v>-0.1681579</v>
      </c>
      <c r="U8813">
        <v>8.5174559999999996E-2</v>
      </c>
      <c r="V8813">
        <v>-4.576885E-2</v>
      </c>
      <c r="W8813">
        <v>-2.5746379999999999E-2</v>
      </c>
      <c r="X8813">
        <v>0.99862019999999996</v>
      </c>
      <c r="Y8813">
        <v>-2.0456579999999999E-2</v>
      </c>
      <c r="Z8813">
        <v>3.9661360000000002E-4</v>
      </c>
      <c r="AA8813">
        <v>0.99979070000000003</v>
      </c>
      <c r="AB8813">
        <v>24</v>
      </c>
      <c r="AC8813">
        <v>19.853099999999898</v>
      </c>
      <c r="AD8813">
        <v>-1.1214729944440001</v>
      </c>
      <c r="AE8813">
        <v>0.56699999999999995</v>
      </c>
      <c r="AF8813">
        <v>-0.40813805743644199</v>
      </c>
      <c r="AG8813">
        <v>-1.1214729944440001</v>
      </c>
      <c r="AH8813">
        <v>19.793864393988599</v>
      </c>
      <c r="AI8813">
        <v>93.242087216513895</v>
      </c>
      <c r="AJ8813">
        <v>91.1812385121505</v>
      </c>
      <c r="AK8813">
        <v>19.829809530068701</v>
      </c>
      <c r="AL8813">
        <v>91.475321958901006</v>
      </c>
      <c r="AM8813">
        <v>92.624148888849405</v>
      </c>
      <c r="AN8813">
        <v>0.99999998378073296</v>
      </c>
    </row>
    <row r="8814" spans="1:40" x14ac:dyDescent="0.25">
      <c r="A8814" t="str">
        <f>"20190303154014632"</f>
        <v>20190303154014632</v>
      </c>
      <c r="B8814" t="str">
        <f>"1551598814626699"</f>
        <v>1551598814626699</v>
      </c>
      <c r="C8814" t="s">
        <v>40</v>
      </c>
      <c r="D8814">
        <v>4.5579229999999997</v>
      </c>
      <c r="E8814">
        <v>0.50954440000000001</v>
      </c>
      <c r="F8814" t="s">
        <v>90</v>
      </c>
      <c r="G8814">
        <v>-217.80340000000001</v>
      </c>
      <c r="H8814" s="1">
        <v>-2.8480929999999999E-6</v>
      </c>
      <c r="I8814">
        <v>-62.380920000000003</v>
      </c>
      <c r="J8814">
        <v>-237.90790000000001</v>
      </c>
      <c r="K8814">
        <v>1.1214740000000001</v>
      </c>
      <c r="L8814">
        <v>-62.951349999999998</v>
      </c>
      <c r="M8814">
        <v>0.99985900000000005</v>
      </c>
      <c r="N8814">
        <v>-1.474784E-2</v>
      </c>
      <c r="O8814">
        <v>8.0356769999999998E-3</v>
      </c>
      <c r="P8814">
        <v>0.99774719999999995</v>
      </c>
      <c r="Q8814">
        <v>-3.9664079999999997E-2</v>
      </c>
      <c r="R8814">
        <v>5.4105550000000002E-2</v>
      </c>
      <c r="S8814">
        <v>2.9954990000000001</v>
      </c>
      <c r="T8814">
        <v>-0.16615829999999901</v>
      </c>
      <c r="U8814">
        <v>8.4655759999999997E-2</v>
      </c>
      <c r="V8814">
        <v>-4.6078340000000002E-2</v>
      </c>
      <c r="W8814">
        <v>-2.4953119999999999E-2</v>
      </c>
      <c r="X8814">
        <v>0.99862609999999996</v>
      </c>
      <c r="Y8814">
        <v>-2.0182840000000001E-2</v>
      </c>
      <c r="Z8814">
        <v>3.8137510000000002E-4</v>
      </c>
      <c r="AA8814">
        <v>0.99979620000000002</v>
      </c>
      <c r="AB8814">
        <v>24</v>
      </c>
      <c r="AC8814">
        <v>20.104500000000002</v>
      </c>
      <c r="AD8814">
        <v>-1.121476848093</v>
      </c>
      <c r="AE8814">
        <v>0.57043000000000099</v>
      </c>
      <c r="AF8814">
        <v>-0.40757353042720901</v>
      </c>
      <c r="AG8814">
        <v>-1.121476848093</v>
      </c>
      <c r="AH8814">
        <v>20.046108267562101</v>
      </c>
      <c r="AI8814">
        <v>93.2014066146684</v>
      </c>
      <c r="AJ8814">
        <v>91.164766039382997</v>
      </c>
      <c r="AK8814">
        <v>20.0815906535896</v>
      </c>
      <c r="AL8814">
        <v>91.429856902384202</v>
      </c>
      <c r="AM8814">
        <v>92.641852800878397</v>
      </c>
      <c r="AN8814">
        <v>0.99999997960804898</v>
      </c>
    </row>
    <row r="8815" spans="1:40" x14ac:dyDescent="0.25">
      <c r="A8815" t="str">
        <f>"20190303154014643"</f>
        <v>20190303154014643</v>
      </c>
      <c r="B8815" t="str">
        <f>"1551598814636459"</f>
        <v>1551598814636459</v>
      </c>
      <c r="C8815" t="s">
        <v>40</v>
      </c>
      <c r="D8815">
        <v>4.4979779999999998</v>
      </c>
      <c r="E8815">
        <v>0.50957889999999995</v>
      </c>
      <c r="F8815" t="s">
        <v>90</v>
      </c>
      <c r="G8815">
        <v>-217.43119999999999</v>
      </c>
      <c r="H8815" s="1">
        <v>-2.6833900000000002E-6</v>
      </c>
      <c r="I8815">
        <v>-62.361980000000003</v>
      </c>
      <c r="J8815">
        <v>-237.78710000000001</v>
      </c>
      <c r="K8815">
        <v>1.121481</v>
      </c>
      <c r="L8815">
        <v>-62.95026</v>
      </c>
      <c r="M8815">
        <v>0.99985809999999997</v>
      </c>
      <c r="N8815">
        <v>-1.4748209999999999E-2</v>
      </c>
      <c r="O8815">
        <v>8.1458669999999993E-3</v>
      </c>
      <c r="P8815">
        <v>0.9977509</v>
      </c>
      <c r="Q8815">
        <v>-3.9433900000000001E-2</v>
      </c>
      <c r="R8815">
        <v>5.4205870000000003E-2</v>
      </c>
      <c r="S8815">
        <v>2.9955750000000001</v>
      </c>
      <c r="T8815">
        <v>-0.164063299999999</v>
      </c>
      <c r="U8815">
        <v>8.6212159999999996E-2</v>
      </c>
      <c r="V8815">
        <v>-4.6068119999999997E-2</v>
      </c>
      <c r="W8815">
        <v>-2.472276E-2</v>
      </c>
      <c r="X8815">
        <v>0.99863230000000003</v>
      </c>
      <c r="Y8815">
        <v>-2.059095E-2</v>
      </c>
      <c r="Z8815">
        <v>3.8971639999999999E-4</v>
      </c>
      <c r="AA8815">
        <v>0.99978789999999995</v>
      </c>
      <c r="AB8815">
        <v>24</v>
      </c>
      <c r="AC8815">
        <v>20.355899999999998</v>
      </c>
      <c r="AD8815">
        <v>-1.1214836833899999</v>
      </c>
      <c r="AE8815">
        <v>0.58827999999999703</v>
      </c>
      <c r="AF8815">
        <v>-0.42114873758930299</v>
      </c>
      <c r="AG8815">
        <v>-1.1214836833899999</v>
      </c>
      <c r="AH8815">
        <v>20.298456043997302</v>
      </c>
      <c r="AI8815">
        <v>93.161680674443005</v>
      </c>
      <c r="AJ8815">
        <v>91.188592059212695</v>
      </c>
      <c r="AK8815">
        <v>20.3337750966557</v>
      </c>
      <c r="AL8815">
        <v>91.416654174620106</v>
      </c>
      <c r="AM8815">
        <v>92.641251302819995</v>
      </c>
      <c r="AN8815">
        <v>0.99999997857281997</v>
      </c>
    </row>
    <row r="8816" spans="1:40" x14ac:dyDescent="0.25">
      <c r="A8816" t="str">
        <f>"20190303154014655"</f>
        <v>20190303154014655</v>
      </c>
      <c r="B8816" t="str">
        <f>"1551598814647195"</f>
        <v>1551598814647195</v>
      </c>
      <c r="C8816" t="s">
        <v>40</v>
      </c>
      <c r="D8816">
        <v>4.4740229999999999</v>
      </c>
      <c r="E8816">
        <v>0.50961270000000003</v>
      </c>
      <c r="F8816" t="s">
        <v>90</v>
      </c>
      <c r="G8816">
        <v>-217.16550000000001</v>
      </c>
      <c r="H8816" s="1">
        <v>-2.5679419999999999E-6</v>
      </c>
      <c r="I8816">
        <v>-62.35651</v>
      </c>
      <c r="J8816">
        <v>-237.66550000000001</v>
      </c>
      <c r="K8816">
        <v>1.1214869999999999</v>
      </c>
      <c r="L8816">
        <v>-62.949129999999997</v>
      </c>
      <c r="M8816">
        <v>0.9998572</v>
      </c>
      <c r="N8816">
        <v>-1.474838E-2</v>
      </c>
      <c r="O8816">
        <v>8.2594060000000004E-3</v>
      </c>
      <c r="P8816">
        <v>0.99775130000000001</v>
      </c>
      <c r="Q8816">
        <v>-3.9245679999999998E-2</v>
      </c>
      <c r="R8816">
        <v>5.4335170000000002E-2</v>
      </c>
      <c r="S8816">
        <v>2.9956209999999999</v>
      </c>
      <c r="T8816">
        <v>-0.16291329999999901</v>
      </c>
      <c r="U8816">
        <v>8.6242680000000002E-2</v>
      </c>
      <c r="V8816">
        <v>-4.608404E-2</v>
      </c>
      <c r="W8816">
        <v>-2.4534670000000001E-2</v>
      </c>
      <c r="X8816">
        <v>0.99863619999999997</v>
      </c>
      <c r="Y8816">
        <v>-2.0487809999999999E-2</v>
      </c>
      <c r="Z8816">
        <v>3.8083540000000002E-4</v>
      </c>
      <c r="AA8816">
        <v>0.99978999999999996</v>
      </c>
      <c r="AB8816">
        <v>24</v>
      </c>
      <c r="AC8816">
        <v>20.5</v>
      </c>
      <c r="AD8816">
        <v>-1.1214895679420001</v>
      </c>
      <c r="AE8816">
        <v>0.59262000000000303</v>
      </c>
      <c r="AF8816">
        <v>-0.42200162742837199</v>
      </c>
      <c r="AG8816">
        <v>-1.1214895679420001</v>
      </c>
      <c r="AH8816">
        <v>20.443064196784601</v>
      </c>
      <c r="AI8816">
        <v>93.139384028078794</v>
      </c>
      <c r="AJ8816">
        <v>91.182576077506397</v>
      </c>
      <c r="AK8816">
        <v>20.4781517227119</v>
      </c>
      <c r="AL8816">
        <v>91.405874147187006</v>
      </c>
      <c r="AM8816">
        <v>92.642152456665997</v>
      </c>
      <c r="AN8816">
        <v>0.99999997436258403</v>
      </c>
    </row>
    <row r="8817" spans="1:40" x14ac:dyDescent="0.25">
      <c r="A8817" t="str">
        <f>"20190303154014665"</f>
        <v>20190303154014665</v>
      </c>
      <c r="B8817" t="str">
        <f>"1551598814656955"</f>
        <v>1551598814656955</v>
      </c>
      <c r="C8817" t="s">
        <v>40</v>
      </c>
      <c r="D8817">
        <v>4.4947629999999998</v>
      </c>
      <c r="E8817">
        <v>0.50962510000000005</v>
      </c>
      <c r="F8817" t="s">
        <v>90</v>
      </c>
      <c r="G8817">
        <v>-216.94730000000001</v>
      </c>
      <c r="H8817" s="1">
        <v>-2.473121E-6</v>
      </c>
      <c r="I8817">
        <v>-62.351979999999998</v>
      </c>
      <c r="J8817">
        <v>-237.5403</v>
      </c>
      <c r="K8817">
        <v>1.121491</v>
      </c>
      <c r="L8817">
        <v>-62.948</v>
      </c>
      <c r="M8817">
        <v>0.99985619999999997</v>
      </c>
      <c r="N8817">
        <v>-1.4748310000000001E-2</v>
      </c>
      <c r="O8817">
        <v>8.3791590000000006E-3</v>
      </c>
      <c r="P8817">
        <v>0.99774359999999995</v>
      </c>
      <c r="Q8817">
        <v>-3.897776E-2</v>
      </c>
      <c r="R8817">
        <v>5.466795E-2</v>
      </c>
      <c r="S8817">
        <v>2.9956670000000001</v>
      </c>
      <c r="T8817">
        <v>-0.16215689999999999</v>
      </c>
      <c r="U8817">
        <v>8.6334229999999998E-2</v>
      </c>
      <c r="V8817">
        <v>-4.6297209999999998E-2</v>
      </c>
      <c r="W8817">
        <v>-2.4267380000000002E-2</v>
      </c>
      <c r="X8817">
        <v>0.99863290000000005</v>
      </c>
      <c r="Y8817">
        <v>-2.0398639999999999E-2</v>
      </c>
      <c r="Z8817">
        <v>3.725523E-4</v>
      </c>
      <c r="AA8817">
        <v>0.99979189999999996</v>
      </c>
      <c r="AB8817">
        <v>24</v>
      </c>
      <c r="AC8817">
        <v>20.5929999999999</v>
      </c>
      <c r="AD8817">
        <v>-1.121493473121</v>
      </c>
      <c r="AE8817">
        <v>0.596019999999995</v>
      </c>
      <c r="AF8817">
        <v>-0.42217721271896802</v>
      </c>
      <c r="AG8817">
        <v>-1.121493473121</v>
      </c>
      <c r="AH8817">
        <v>20.5364139430311</v>
      </c>
      <c r="AI8817">
        <v>93.125158420824206</v>
      </c>
      <c r="AJ8817">
        <v>91.177691778179195</v>
      </c>
      <c r="AK8817">
        <v>20.571346063121801</v>
      </c>
      <c r="AL8817">
        <v>91.390554956503493</v>
      </c>
      <c r="AM8817">
        <v>92.654365526643105</v>
      </c>
      <c r="AN8817">
        <v>1.0000000031741201</v>
      </c>
    </row>
    <row r="8818" spans="1:40" x14ac:dyDescent="0.25">
      <c r="A8818" t="str">
        <f>"20190303154014677"</f>
        <v>20190303154014677</v>
      </c>
      <c r="B8818" t="str">
        <f>"1551598814666715"</f>
        <v>1551598814666715</v>
      </c>
      <c r="C8818" t="s">
        <v>40</v>
      </c>
      <c r="D8818">
        <v>4.4890759999999998</v>
      </c>
      <c r="E8818">
        <v>0.50963809999999998</v>
      </c>
      <c r="F8818" t="s">
        <v>90</v>
      </c>
      <c r="G8818">
        <v>-216.71019999999999</v>
      </c>
      <c r="H8818" s="1">
        <v>-2.3684870000000001E-6</v>
      </c>
      <c r="I8818">
        <v>-62.341050000000003</v>
      </c>
      <c r="J8818">
        <v>-237.4263</v>
      </c>
      <c r="K8818">
        <v>1.1214949999999999</v>
      </c>
      <c r="L8818">
        <v>-62.946899999999999</v>
      </c>
      <c r="M8818">
        <v>0.9998553</v>
      </c>
      <c r="N8818">
        <v>-1.4748010000000001E-2</v>
      </c>
      <c r="O8818">
        <v>8.4930839999999997E-3</v>
      </c>
      <c r="P8818">
        <v>0.9977393</v>
      </c>
      <c r="Q8818">
        <v>-3.8996080000000002E-2</v>
      </c>
      <c r="R8818">
        <v>5.4735899999999997E-2</v>
      </c>
      <c r="S8818">
        <v>2.995682</v>
      </c>
      <c r="T8818">
        <v>-0.16128729999999999</v>
      </c>
      <c r="U8818">
        <v>8.7280269999999993E-2</v>
      </c>
      <c r="V8818">
        <v>-4.6251470000000003E-2</v>
      </c>
      <c r="W8818">
        <v>-2.4286490000000001E-2</v>
      </c>
      <c r="X8818">
        <v>0.99863460000000004</v>
      </c>
      <c r="Y8818">
        <v>-2.0600029999999998E-2</v>
      </c>
      <c r="Z8818">
        <v>3.7447320000000002E-4</v>
      </c>
      <c r="AA8818">
        <v>0.99978769999999995</v>
      </c>
      <c r="AB8818">
        <v>24</v>
      </c>
      <c r="AC8818">
        <v>20.716100000000001</v>
      </c>
      <c r="AD8818">
        <v>-1.121497368487</v>
      </c>
      <c r="AE8818">
        <v>0.605849999999996</v>
      </c>
      <c r="AF8818">
        <v>-0.42861037055518197</v>
      </c>
      <c r="AG8818">
        <v>-1.121497368487</v>
      </c>
      <c r="AH8818">
        <v>20.6600009682498</v>
      </c>
      <c r="AI8818">
        <v>93.106499325463702</v>
      </c>
      <c r="AJ8818">
        <v>91.188482183767704</v>
      </c>
      <c r="AK8818">
        <v>20.694856926428699</v>
      </c>
      <c r="AL8818">
        <v>91.391650138979998</v>
      </c>
      <c r="AM8818">
        <v>92.651742345090497</v>
      </c>
      <c r="AN8818">
        <v>1.0000000481954101</v>
      </c>
    </row>
    <row r="8819" spans="1:40" x14ac:dyDescent="0.25">
      <c r="A8819" t="str">
        <f>"20190303154014687"</f>
        <v>20190303154014687</v>
      </c>
      <c r="B8819" t="str">
        <f>"1551598814676475"</f>
        <v>1551598814676475</v>
      </c>
      <c r="C8819" t="s">
        <v>40</v>
      </c>
      <c r="D8819">
        <v>4.4701490000000002</v>
      </c>
      <c r="E8819">
        <v>0.50964750000000003</v>
      </c>
      <c r="F8819" t="s">
        <v>90</v>
      </c>
      <c r="G8819">
        <v>-216.63900000000001</v>
      </c>
      <c r="H8819" s="1">
        <v>-2.337841E-6</v>
      </c>
      <c r="I8819">
        <v>-62.3405699999999</v>
      </c>
      <c r="J8819">
        <v>-237.3098</v>
      </c>
      <c r="K8819">
        <v>1.1215029999999999</v>
      </c>
      <c r="L8819">
        <v>-62.945770000000003</v>
      </c>
      <c r="M8819">
        <v>0.99985409999999997</v>
      </c>
      <c r="N8819">
        <v>-1.474759E-2</v>
      </c>
      <c r="O8819">
        <v>8.6113070000000003E-3</v>
      </c>
      <c r="P8819">
        <v>0.9977239</v>
      </c>
      <c r="Q8819">
        <v>-3.9167720000000003E-2</v>
      </c>
      <c r="R8819">
        <v>5.4891780000000001E-2</v>
      </c>
      <c r="S8819">
        <v>2.9956969999999998</v>
      </c>
      <c r="T8819">
        <v>-0.1616216</v>
      </c>
      <c r="U8819">
        <v>8.7371829999999998E-2</v>
      </c>
      <c r="V8819">
        <v>-4.6288900000000001E-2</v>
      </c>
      <c r="W8819">
        <v>-2.445926E-2</v>
      </c>
      <c r="X8819">
        <v>0.99862859999999998</v>
      </c>
      <c r="Y8819">
        <v>-2.0512349999999999E-2</v>
      </c>
      <c r="Z8819">
        <v>3.670263E-4</v>
      </c>
      <c r="AA8819">
        <v>0.9997895</v>
      </c>
      <c r="AB8819">
        <v>24</v>
      </c>
      <c r="AC8819">
        <v>20.6707999999999</v>
      </c>
      <c r="AD8819">
        <v>-1.121505337841</v>
      </c>
      <c r="AE8819">
        <v>0.60520000000000296</v>
      </c>
      <c r="AF8819">
        <v>-0.42590293774681498</v>
      </c>
      <c r="AG8819">
        <v>-1.121505337841</v>
      </c>
      <c r="AH8819">
        <v>20.614615020389099</v>
      </c>
      <c r="AI8819">
        <v>93.113352864565698</v>
      </c>
      <c r="AJ8819">
        <v>91.183576295509397</v>
      </c>
      <c r="AK8819">
        <v>20.649492002808199</v>
      </c>
      <c r="AL8819">
        <v>91.401552140518504</v>
      </c>
      <c r="AM8819">
        <v>92.653901180333307</v>
      </c>
      <c r="AN8819">
        <v>0.99999999920045801</v>
      </c>
    </row>
    <row r="8820" spans="1:40" x14ac:dyDescent="0.25">
      <c r="A8820" t="str">
        <f>"20190303154014698"</f>
        <v>20190303154014698</v>
      </c>
      <c r="B8820" t="str">
        <f>"1551598814687211"</f>
        <v>1551598814687211</v>
      </c>
      <c r="C8820" t="s">
        <v>40</v>
      </c>
      <c r="D8820">
        <v>4.4859819999999999</v>
      </c>
      <c r="E8820">
        <v>0.50964500000000001</v>
      </c>
      <c r="F8820" t="s">
        <v>90</v>
      </c>
      <c r="G8820">
        <v>-216.59299999999999</v>
      </c>
      <c r="H8820" s="1">
        <v>-2.317552E-6</v>
      </c>
      <c r="I8820">
        <v>-62.338520000000003</v>
      </c>
      <c r="J8820">
        <v>-237.1909</v>
      </c>
      <c r="K8820">
        <v>1.12151</v>
      </c>
      <c r="L8820">
        <v>-62.94464</v>
      </c>
      <c r="M8820">
        <v>0.9998532</v>
      </c>
      <c r="N8820">
        <v>-1.474691E-2</v>
      </c>
      <c r="O8820">
        <v>8.7407100000000005E-3</v>
      </c>
      <c r="P8820">
        <v>0.99773829999999997</v>
      </c>
      <c r="Q8820">
        <v>-3.8693119999999998E-2</v>
      </c>
      <c r="R8820">
        <v>5.4966260000000003E-2</v>
      </c>
      <c r="S8820">
        <v>2.9956510000000001</v>
      </c>
      <c r="T8820">
        <v>-0.16216949999999999</v>
      </c>
      <c r="U8820">
        <v>8.7799070000000007E-2</v>
      </c>
      <c r="V8820">
        <v>-4.6233719999999999E-2</v>
      </c>
      <c r="W8820">
        <v>-2.398583E-2</v>
      </c>
      <c r="X8820">
        <v>0.99864260000000005</v>
      </c>
      <c r="Y8820">
        <v>-2.052578E-2</v>
      </c>
      <c r="Z8820">
        <v>3.6268699999999999E-4</v>
      </c>
      <c r="AA8820">
        <v>0.99978920000000004</v>
      </c>
      <c r="AB8820">
        <v>24</v>
      </c>
      <c r="AC8820">
        <v>20.597899999999999</v>
      </c>
      <c r="AD8820">
        <v>-1.1215123175520001</v>
      </c>
      <c r="AE8820">
        <v>0.60612000000000399</v>
      </c>
      <c r="AF8820">
        <v>-0.42477881811992402</v>
      </c>
      <c r="AG8820">
        <v>-1.1215123175520001</v>
      </c>
      <c r="AH8820">
        <v>20.541567170943502</v>
      </c>
      <c r="AI8820">
        <v>93.124420558140002</v>
      </c>
      <c r="AJ8820">
        <v>91.184649887930405</v>
      </c>
      <c r="AK8820">
        <v>20.576545112363501</v>
      </c>
      <c r="AL8820">
        <v>91.374418692409904</v>
      </c>
      <c r="AM8820">
        <v>92.650704929137504</v>
      </c>
      <c r="AN8820">
        <v>0.99999995972029199</v>
      </c>
    </row>
    <row r="8821" spans="1:40" x14ac:dyDescent="0.25">
      <c r="A8821" t="str">
        <f>"20190303154014710"</f>
        <v>20190303154014710</v>
      </c>
      <c r="B8821" t="str">
        <f>"1551598814706730"</f>
        <v>1551598814706730</v>
      </c>
      <c r="C8821" t="s">
        <v>40</v>
      </c>
      <c r="D8821">
        <v>4.5228010000000003</v>
      </c>
      <c r="E8821">
        <v>0.50960490000000003</v>
      </c>
      <c r="F8821" t="s">
        <v>90</v>
      </c>
      <c r="G8821">
        <v>-216.28469999999999</v>
      </c>
      <c r="H8821" s="1">
        <v>-2.1830990000000001E-6</v>
      </c>
      <c r="I8821">
        <v>-62.330370000000002</v>
      </c>
      <c r="J8821">
        <v>-237.06909999999999</v>
      </c>
      <c r="K8821">
        <v>1.121523</v>
      </c>
      <c r="L8821">
        <v>-62.943449999999999</v>
      </c>
      <c r="M8821">
        <v>0.99985190000000002</v>
      </c>
      <c r="N8821">
        <v>-1.474615E-2</v>
      </c>
      <c r="O8821">
        <v>8.8762649999999995E-3</v>
      </c>
      <c r="P8821">
        <v>0.9977319</v>
      </c>
      <c r="Q8821">
        <v>-3.8835790000000002E-2</v>
      </c>
      <c r="R8821">
        <v>5.4980899999999999E-2</v>
      </c>
      <c r="S8821">
        <v>2.9957120000000002</v>
      </c>
      <c r="T8821">
        <v>-0.16070400000000001</v>
      </c>
      <c r="U8821">
        <v>8.8012699999999999E-2</v>
      </c>
      <c r="V8821">
        <v>-4.6112130000000001E-2</v>
      </c>
      <c r="W8821">
        <v>-2.413009E-2</v>
      </c>
      <c r="X8821">
        <v>0.9986448</v>
      </c>
      <c r="Y8821">
        <v>-2.046154E-2</v>
      </c>
      <c r="Z8821">
        <v>3.5446449999999998E-4</v>
      </c>
      <c r="AA8821">
        <v>0.99979050000000003</v>
      </c>
      <c r="AB8821">
        <v>24</v>
      </c>
      <c r="AC8821">
        <v>20.784400000000002</v>
      </c>
      <c r="AD8821">
        <v>-1.1215251830990001</v>
      </c>
      <c r="AE8821">
        <v>0.61308000000000296</v>
      </c>
      <c r="AF8821">
        <v>-0.427304852356516</v>
      </c>
      <c r="AG8821">
        <v>-1.1215251830990001</v>
      </c>
      <c r="AH8821">
        <v>20.728720622416098</v>
      </c>
      <c r="AI8821">
        <v>93.096305817694898</v>
      </c>
      <c r="AJ8821">
        <v>91.180936248264402</v>
      </c>
      <c r="AK8821">
        <v>20.763435814319202</v>
      </c>
      <c r="AL8821">
        <v>91.382686500993103</v>
      </c>
      <c r="AM8821">
        <v>92.643737931328303</v>
      </c>
      <c r="AN8821">
        <v>1.0000000131717901</v>
      </c>
    </row>
    <row r="8822" spans="1:40" x14ac:dyDescent="0.25">
      <c r="A8822" t="str">
        <f>"20190303154014721"</f>
        <v>20190303154014721</v>
      </c>
      <c r="B8822" t="str">
        <f>"1551598814716490"</f>
        <v>1551598814716490</v>
      </c>
      <c r="C8822" t="s">
        <v>40</v>
      </c>
      <c r="D8822">
        <v>4.4938840000000004</v>
      </c>
      <c r="E8822">
        <v>0.50960280000000002</v>
      </c>
      <c r="F8822" t="s">
        <v>90</v>
      </c>
      <c r="G8822">
        <v>-216.3032</v>
      </c>
      <c r="H8822" s="1">
        <v>-2.1911699999999999E-6</v>
      </c>
      <c r="I8822">
        <v>-62.330750000000002</v>
      </c>
      <c r="J8822">
        <v>-236.94220000000001</v>
      </c>
      <c r="K8822">
        <v>1.1215349999999999</v>
      </c>
      <c r="L8822">
        <v>-62.942140000000002</v>
      </c>
      <c r="M8822">
        <v>0.99985060000000003</v>
      </c>
      <c r="N8822">
        <v>-1.474512E-2</v>
      </c>
      <c r="O8822">
        <v>9.0308249999999993E-3</v>
      </c>
      <c r="P8822">
        <v>0.99773290000000003</v>
      </c>
      <c r="Q8822">
        <v>-3.8594290000000003E-2</v>
      </c>
      <c r="R8822">
        <v>5.5136619999999997E-2</v>
      </c>
      <c r="S8822">
        <v>2.9956510000000001</v>
      </c>
      <c r="T8822">
        <v>-0.16178970000000001</v>
      </c>
      <c r="U8822">
        <v>8.8378910000000005E-2</v>
      </c>
      <c r="V8822">
        <v>-4.6113349999999997E-2</v>
      </c>
      <c r="W8822">
        <v>-2.3890680000000001E-2</v>
      </c>
      <c r="X8822">
        <v>0.9986505</v>
      </c>
      <c r="Y8822">
        <v>-2.0429550000000001E-2</v>
      </c>
      <c r="Z8822">
        <v>3.4777659999999999E-4</v>
      </c>
      <c r="AA8822">
        <v>0.99979119999999999</v>
      </c>
      <c r="AB8822">
        <v>24</v>
      </c>
      <c r="AC8822">
        <v>20.638999999999999</v>
      </c>
      <c r="AD8822">
        <v>-1.1215371911700001</v>
      </c>
      <c r="AE8822">
        <v>0.61138999999999999</v>
      </c>
      <c r="AF8822">
        <v>-0.42370754587382198</v>
      </c>
      <c r="AG8822">
        <v>-1.1215371911700001</v>
      </c>
      <c r="AH8822">
        <v>20.5829538408071</v>
      </c>
      <c r="AI8822">
        <v>93.118225644657102</v>
      </c>
      <c r="AJ8822">
        <v>91.179287776226701</v>
      </c>
      <c r="AK8822">
        <v>20.6178408803735</v>
      </c>
      <c r="AL8822">
        <v>91.368965362584106</v>
      </c>
      <c r="AM8822">
        <v>92.643792709455099</v>
      </c>
      <c r="AN8822">
        <v>1.00000001339466</v>
      </c>
    </row>
    <row r="8823" spans="1:40" x14ac:dyDescent="0.25">
      <c r="A8823" t="str">
        <f>"20190303154014734"</f>
        <v>20190303154014734</v>
      </c>
      <c r="B8823" t="str">
        <f>"1551598814726759"</f>
        <v>1551598814726759</v>
      </c>
      <c r="C8823" t="s">
        <v>40</v>
      </c>
      <c r="D8823">
        <v>4.5097649999999998</v>
      </c>
      <c r="E8823">
        <v>0.50954219999999995</v>
      </c>
      <c r="F8823" t="s">
        <v>90</v>
      </c>
      <c r="G8823">
        <v>-216.10220000000001</v>
      </c>
      <c r="H8823" s="1">
        <v>-2.1030949999999999E-6</v>
      </c>
      <c r="I8823">
        <v>-62.323860000000003</v>
      </c>
      <c r="J8823">
        <v>-236.81379999999999</v>
      </c>
      <c r="K8823">
        <v>1.121548</v>
      </c>
      <c r="L8823">
        <v>-62.940829999999998</v>
      </c>
      <c r="M8823">
        <v>0.99984910000000005</v>
      </c>
      <c r="N8823">
        <v>-1.474398E-2</v>
      </c>
      <c r="O8823">
        <v>9.194341E-3</v>
      </c>
      <c r="P8823">
        <v>0.99772959999999999</v>
      </c>
      <c r="Q8823">
        <v>-3.857302E-2</v>
      </c>
      <c r="R8823">
        <v>5.520829E-2</v>
      </c>
      <c r="S8823">
        <v>2.9956670000000001</v>
      </c>
      <c r="T8823">
        <v>-0.16121629999999901</v>
      </c>
      <c r="U8823">
        <v>8.8867189999999999E-2</v>
      </c>
      <c r="V8823">
        <v>-4.6020989999999998E-2</v>
      </c>
      <c r="W8823">
        <v>-2.3871739999999999E-2</v>
      </c>
      <c r="X8823">
        <v>0.99865519999999997</v>
      </c>
      <c r="Y8823">
        <v>-2.0429010000000001E-2</v>
      </c>
      <c r="Z8823">
        <v>3.4112809999999998E-4</v>
      </c>
      <c r="AA8823">
        <v>0.99979130000000005</v>
      </c>
      <c r="AB8823">
        <v>24</v>
      </c>
      <c r="AC8823">
        <v>20.711599999999901</v>
      </c>
      <c r="AD8823">
        <v>-1.1215501030949999</v>
      </c>
      <c r="AE8823">
        <v>0.61697000000000901</v>
      </c>
      <c r="AF8823">
        <v>-0.425247861173982</v>
      </c>
      <c r="AG8823">
        <v>-1.1215501030949999</v>
      </c>
      <c r="AH8823">
        <v>20.655881828923199</v>
      </c>
      <c r="AI8823">
        <v>93.107273580358594</v>
      </c>
      <c r="AJ8823">
        <v>91.179396093361007</v>
      </c>
      <c r="AK8823">
        <v>20.6906782031819</v>
      </c>
      <c r="AL8823">
        <v>91.367879889296603</v>
      </c>
      <c r="AM8823">
        <v>92.638492572053195</v>
      </c>
      <c r="AN8823">
        <v>0.99999999998912303</v>
      </c>
    </row>
    <row r="8824" spans="1:40" x14ac:dyDescent="0.25">
      <c r="A8824" t="str">
        <f>"20190303154014744"</f>
        <v>20190303154014744</v>
      </c>
      <c r="B8824" t="str">
        <f>"1551598814736518"</f>
        <v>1551598814736518</v>
      </c>
      <c r="C8824" t="s">
        <v>40</v>
      </c>
      <c r="D8824">
        <v>4.4664260000000002</v>
      </c>
      <c r="E8824">
        <v>0.50955139999999999</v>
      </c>
      <c r="F8824" t="s">
        <v>90</v>
      </c>
      <c r="G8824">
        <v>-216.06620000000001</v>
      </c>
      <c r="H8824" s="1">
        <v>-2.0866660000000002E-6</v>
      </c>
      <c r="I8824">
        <v>-62.3202</v>
      </c>
      <c r="J8824">
        <v>-236.7071</v>
      </c>
      <c r="K8824">
        <v>1.1215580000000001</v>
      </c>
      <c r="L8824">
        <v>-62.939700000000002</v>
      </c>
      <c r="M8824">
        <v>0.99984779999999995</v>
      </c>
      <c r="N8824">
        <v>-1.474292E-2</v>
      </c>
      <c r="O8824">
        <v>9.3382929999999992E-3</v>
      </c>
      <c r="P8824">
        <v>0.99774580000000002</v>
      </c>
      <c r="Q8824">
        <v>-3.872664E-2</v>
      </c>
      <c r="R8824">
        <v>5.4805920000000001E-2</v>
      </c>
      <c r="S8824">
        <v>2.99559</v>
      </c>
      <c r="T8824">
        <v>-0.1619322</v>
      </c>
      <c r="U8824">
        <v>8.9599609999999996E-2</v>
      </c>
      <c r="V8824">
        <v>-4.5474140000000003E-2</v>
      </c>
      <c r="W8824">
        <v>-2.4027059999999999E-2</v>
      </c>
      <c r="X8824">
        <v>0.99867649999999997</v>
      </c>
      <c r="Y8824">
        <v>-2.0529769999999999E-2</v>
      </c>
      <c r="Z8824">
        <v>3.391647E-4</v>
      </c>
      <c r="AA8824">
        <v>0.99978920000000004</v>
      </c>
      <c r="AB8824">
        <v>24</v>
      </c>
      <c r="AC8824">
        <v>20.640899999999899</v>
      </c>
      <c r="AD8824">
        <v>-1.121560086666</v>
      </c>
      <c r="AE8824">
        <v>0.61950000000000205</v>
      </c>
      <c r="AF8824">
        <v>-0.42544628299685799</v>
      </c>
      <c r="AG8824">
        <v>-1.121560086666</v>
      </c>
      <c r="AH8824">
        <v>20.5850630940283</v>
      </c>
      <c r="AI8824">
        <v>93.117965006058895</v>
      </c>
      <c r="AJ8824">
        <v>91.184004459472504</v>
      </c>
      <c r="AK8824">
        <v>20.6199836118471</v>
      </c>
      <c r="AL8824">
        <v>91.376781658370902</v>
      </c>
      <c r="AM8824">
        <v>92.607128354291604</v>
      </c>
      <c r="AN8824">
        <v>0.99999997433661603</v>
      </c>
    </row>
    <row r="8825" spans="1:40" x14ac:dyDescent="0.25">
      <c r="A8825" t="str">
        <f>"20190303154014756"</f>
        <v>20190303154014756</v>
      </c>
      <c r="B8825" t="str">
        <f>"1551598814747254"</f>
        <v>1551598814747254</v>
      </c>
      <c r="C8825" t="s">
        <v>40</v>
      </c>
      <c r="D8825">
        <v>4.4540749999999996</v>
      </c>
      <c r="E8825">
        <v>0.50959370000000004</v>
      </c>
      <c r="F8825" t="s">
        <v>90</v>
      </c>
      <c r="G8825">
        <v>-216.03370000000001</v>
      </c>
      <c r="H8825" s="1">
        <v>-2.0754430000000002E-6</v>
      </c>
      <c r="I8825">
        <v>-62.330350000000003</v>
      </c>
      <c r="J8825">
        <v>-236.58420000000001</v>
      </c>
      <c r="K8825">
        <v>1.1215710000000001</v>
      </c>
      <c r="L8825">
        <v>-62.93835</v>
      </c>
      <c r="M8825">
        <v>0.99984609999999996</v>
      </c>
      <c r="N8825">
        <v>-1.4741600000000001E-2</v>
      </c>
      <c r="O8825">
        <v>9.5149009999999992E-3</v>
      </c>
      <c r="P8825">
        <v>0.9977684</v>
      </c>
      <c r="Q8825">
        <v>-3.8958270000000003E-2</v>
      </c>
      <c r="R8825">
        <v>5.4228680000000001E-2</v>
      </c>
      <c r="S8825">
        <v>2.9956360000000002</v>
      </c>
      <c r="T8825">
        <v>-0.1625172</v>
      </c>
      <c r="U8825">
        <v>8.8287350000000001E-2</v>
      </c>
      <c r="V8825">
        <v>-4.4719549999999997E-2</v>
      </c>
      <c r="W8825">
        <v>-2.4260750000000001E-2</v>
      </c>
      <c r="X8825">
        <v>0.99870499999999995</v>
      </c>
      <c r="Y8825">
        <v>-1.9916240000000002E-2</v>
      </c>
      <c r="Z8825">
        <v>3.1119539999999998E-4</v>
      </c>
      <c r="AA8825">
        <v>0.99980159999999996</v>
      </c>
      <c r="AB8825">
        <v>24</v>
      </c>
      <c r="AC8825">
        <v>20.5505</v>
      </c>
      <c r="AD8825">
        <v>-1.12157307544299</v>
      </c>
      <c r="AE8825">
        <v>0.60799999999999699</v>
      </c>
      <c r="AF8825">
        <v>-0.41119155647286598</v>
      </c>
      <c r="AG8825">
        <v>-1.12157307544299</v>
      </c>
      <c r="AH8825">
        <v>20.4943643406652</v>
      </c>
      <c r="AI8825">
        <v>93.131810929545594</v>
      </c>
      <c r="AJ8825">
        <v>91.149407702233802</v>
      </c>
      <c r="AK8825">
        <v>20.529149382953001</v>
      </c>
      <c r="AL8825">
        <v>91.390174909083299</v>
      </c>
      <c r="AM8825">
        <v>92.563851266139693</v>
      </c>
      <c r="AN8825">
        <v>1.0000000495838799</v>
      </c>
    </row>
    <row r="8826" spans="1:40" x14ac:dyDescent="0.25">
      <c r="A8826" t="str">
        <f>"20190303154014765"</f>
        <v>20190303154014765</v>
      </c>
      <c r="B8826" t="str">
        <f>"1551598814757014"</f>
        <v>1551598814757014</v>
      </c>
      <c r="C8826" t="s">
        <v>40</v>
      </c>
      <c r="D8826">
        <v>4.43825</v>
      </c>
      <c r="E8826">
        <v>0.5096252</v>
      </c>
      <c r="F8826" t="s">
        <v>90</v>
      </c>
      <c r="G8826">
        <v>-216.12629999999999</v>
      </c>
      <c r="H8826" s="1">
        <v>-2.1201580000000002E-6</v>
      </c>
      <c r="I8826">
        <v>-62.349110000000003</v>
      </c>
      <c r="J8826">
        <v>-236.46770000000001</v>
      </c>
      <c r="K8826">
        <v>1.121583</v>
      </c>
      <c r="L8826">
        <v>-62.937069999999999</v>
      </c>
      <c r="M8826">
        <v>0.99984450000000002</v>
      </c>
      <c r="N8826">
        <v>-1.474026E-2</v>
      </c>
      <c r="O8826">
        <v>9.6909779999999994E-3</v>
      </c>
      <c r="P8826">
        <v>0.99777450000000001</v>
      </c>
      <c r="Q8826">
        <v>-3.9482080000000003E-2</v>
      </c>
      <c r="R8826">
        <v>5.3734379999999998E-2</v>
      </c>
      <c r="S8826">
        <v>2.99559</v>
      </c>
      <c r="T8826">
        <v>-0.16422870000000001</v>
      </c>
      <c r="U8826">
        <v>8.627319E-2</v>
      </c>
      <c r="V8826">
        <v>-4.4047990000000002E-2</v>
      </c>
      <c r="W8826">
        <v>-2.4786860000000001E-2</v>
      </c>
      <c r="X8826">
        <v>0.99872190000000005</v>
      </c>
      <c r="Y8826">
        <v>-1.9070210000000001E-2</v>
      </c>
      <c r="Z8826">
        <v>2.7496209999999999E-4</v>
      </c>
      <c r="AA8826">
        <v>0.99981810000000004</v>
      </c>
      <c r="AB8826">
        <v>24</v>
      </c>
      <c r="AC8826">
        <v>20.3414</v>
      </c>
      <c r="AD8826">
        <v>-1.121585120158</v>
      </c>
      <c r="AE8826">
        <v>0.58796000000000204</v>
      </c>
      <c r="AF8826">
        <v>-0.38959945320433498</v>
      </c>
      <c r="AG8826">
        <v>-1.121585120158</v>
      </c>
      <c r="AH8826">
        <v>20.284525488565901</v>
      </c>
      <c r="AI8826">
        <v>93.164230336212398</v>
      </c>
      <c r="AJ8826">
        <v>91.100329415552295</v>
      </c>
      <c r="AK8826">
        <v>20.319244946896401</v>
      </c>
      <c r="AL8826">
        <v>91.420327895885407</v>
      </c>
      <c r="AM8826">
        <v>92.525357085205499</v>
      </c>
      <c r="AN8826">
        <v>1.0000000236956501</v>
      </c>
    </row>
    <row r="8827" spans="1:40" x14ac:dyDescent="0.25">
      <c r="A8827" t="str">
        <f>"20190303154014777"</f>
        <v>20190303154014777</v>
      </c>
      <c r="B8827" t="str">
        <f>"1551598814766775"</f>
        <v>1551598814766775</v>
      </c>
      <c r="C8827" t="s">
        <v>40</v>
      </c>
      <c r="D8827">
        <v>4.4449920000000001</v>
      </c>
      <c r="E8827">
        <v>0.5097486</v>
      </c>
      <c r="F8827" t="s">
        <v>90</v>
      </c>
      <c r="G8827">
        <v>-216.29339999999999</v>
      </c>
      <c r="H8827" s="1">
        <v>-2.196728E-6</v>
      </c>
      <c r="I8827">
        <v>-62.367489999999997</v>
      </c>
      <c r="J8827">
        <v>-236.35140000000001</v>
      </c>
      <c r="K8827">
        <v>1.1215900000000001</v>
      </c>
      <c r="L8827">
        <v>-62.935760000000002</v>
      </c>
      <c r="M8827">
        <v>0.99984260000000003</v>
      </c>
      <c r="N8827">
        <v>-1.473879E-2</v>
      </c>
      <c r="O8827">
        <v>9.8844970000000008E-3</v>
      </c>
      <c r="P8827">
        <v>0.99776390000000004</v>
      </c>
      <c r="Q8827">
        <v>-4.0148870000000003E-2</v>
      </c>
      <c r="R8827">
        <v>5.3438180000000002E-2</v>
      </c>
      <c r="S8827">
        <v>2.9955440000000002</v>
      </c>
      <c r="T8827">
        <v>-0.1665362</v>
      </c>
      <c r="U8827">
        <v>8.4564210000000001E-2</v>
      </c>
      <c r="V8827">
        <v>-4.3557209999999999E-2</v>
      </c>
      <c r="W8827">
        <v>-2.5456579999999999E-2</v>
      </c>
      <c r="X8827">
        <v>0.99872649999999996</v>
      </c>
      <c r="Y8827">
        <v>-1.830822E-2</v>
      </c>
      <c r="Z8827">
        <v>2.401348E-4</v>
      </c>
      <c r="AA8827">
        <v>0.99983230000000001</v>
      </c>
      <c r="AB8827">
        <v>24</v>
      </c>
      <c r="AC8827">
        <v>20.058</v>
      </c>
      <c r="AD8827">
        <v>-1.12159219672799</v>
      </c>
      <c r="AE8827">
        <v>0.56826999999999095</v>
      </c>
      <c r="AF8827">
        <v>-0.36880522835999902</v>
      </c>
      <c r="AG8827">
        <v>-1.12159219672799</v>
      </c>
      <c r="AH8827">
        <v>20.0001520269814</v>
      </c>
      <c r="AI8827">
        <v>93.209194174477602</v>
      </c>
      <c r="AJ8827">
        <v>91.056421390923006</v>
      </c>
      <c r="AK8827">
        <v>20.034971111898201</v>
      </c>
      <c r="AL8827">
        <v>91.458712254182601</v>
      </c>
      <c r="AM8827">
        <v>92.497244045583102</v>
      </c>
      <c r="AN8827">
        <v>0.99999994490526301</v>
      </c>
    </row>
    <row r="8828" spans="1:40" x14ac:dyDescent="0.25">
      <c r="A8828" t="str">
        <f>"20190303154014788"</f>
        <v>20190303154014788</v>
      </c>
      <c r="B8828" t="str">
        <f>"1551598814776534"</f>
        <v>1551598814776534</v>
      </c>
      <c r="C8828" t="s">
        <v>40</v>
      </c>
      <c r="D8828">
        <v>4.4315490000000004</v>
      </c>
      <c r="E8828">
        <v>0.5097486</v>
      </c>
      <c r="F8828" t="s">
        <v>90</v>
      </c>
      <c r="G8828">
        <v>-216.34989999999999</v>
      </c>
      <c r="H8828" s="1">
        <v>-2.225289E-6</v>
      </c>
      <c r="I8828">
        <v>-62.383699999999997</v>
      </c>
      <c r="J8828">
        <v>-236.22929999999999</v>
      </c>
      <c r="K8828">
        <v>1.1216090000000001</v>
      </c>
      <c r="L8828">
        <v>-62.934359999999998</v>
      </c>
      <c r="M8828">
        <v>0.99984039999999996</v>
      </c>
      <c r="N8828">
        <v>-1.4737190000000001E-2</v>
      </c>
      <c r="O8828">
        <v>1.0094489999999999E-2</v>
      </c>
      <c r="P8828">
        <v>0.99777479999999996</v>
      </c>
      <c r="Q8828">
        <v>-4.0677909999999998E-2</v>
      </c>
      <c r="R8828">
        <v>5.2827289999999999E-2</v>
      </c>
      <c r="S8828">
        <v>2.9955440000000002</v>
      </c>
      <c r="T8828">
        <v>-0.16797670000000001</v>
      </c>
      <c r="U8828">
        <v>8.2672120000000002E-2</v>
      </c>
      <c r="V8828">
        <v>-4.2735589999999997E-2</v>
      </c>
      <c r="W8828">
        <v>-2.5988359999999999E-2</v>
      </c>
      <c r="X8828">
        <v>0.99874839999999998</v>
      </c>
      <c r="Y8828">
        <v>-1.7468669999999999E-2</v>
      </c>
      <c r="Z8828">
        <v>2.0137350000000001E-4</v>
      </c>
      <c r="AA8828">
        <v>0.99984740000000005</v>
      </c>
      <c r="AB8828">
        <v>24</v>
      </c>
      <c r="AC8828">
        <v>19.8794</v>
      </c>
      <c r="AD8828">
        <v>-1.121611225289</v>
      </c>
      <c r="AE8828">
        <v>0.55066000000000004</v>
      </c>
      <c r="AF8828">
        <v>-0.348828153944583</v>
      </c>
      <c r="AG8828">
        <v>-1.121611225289</v>
      </c>
      <c r="AH8828">
        <v>19.820898572276</v>
      </c>
      <c r="AI8828">
        <v>93.2382593276688</v>
      </c>
      <c r="AJ8828">
        <v>91.008244801768797</v>
      </c>
      <c r="AK8828">
        <v>19.855672062011202</v>
      </c>
      <c r="AL8828">
        <v>91.489190940020904</v>
      </c>
      <c r="AM8828">
        <v>92.450142809695095</v>
      </c>
      <c r="AN8828">
        <v>1.00000004600534</v>
      </c>
    </row>
    <row r="8829" spans="1:40" x14ac:dyDescent="0.25">
      <c r="A8829" t="str">
        <f>"20190303154014801"</f>
        <v>20190303154014801</v>
      </c>
      <c r="B8829" t="str">
        <f>"1551598814797031"</f>
        <v>1551598814797031</v>
      </c>
      <c r="C8829" t="s">
        <v>40</v>
      </c>
      <c r="D8829">
        <v>4.3991020000000001</v>
      </c>
      <c r="E8829">
        <v>0.53068939999999998</v>
      </c>
      <c r="F8829" t="s">
        <v>90</v>
      </c>
      <c r="G8829">
        <v>-216.417</v>
      </c>
      <c r="H8829" s="1">
        <v>-2.2582249999999999E-6</v>
      </c>
      <c r="I8829">
        <v>-62.3994199999999</v>
      </c>
      <c r="J8829">
        <v>-236.10120000000001</v>
      </c>
      <c r="K8829">
        <v>1.121632</v>
      </c>
      <c r="L8829">
        <v>-62.932769999999998</v>
      </c>
      <c r="M8829">
        <v>0.99983809999999995</v>
      </c>
      <c r="N8829">
        <v>-1.4735460000000001E-2</v>
      </c>
      <c r="O8829">
        <v>1.0346299999999999E-2</v>
      </c>
      <c r="P8829">
        <v>0.99777450000000001</v>
      </c>
      <c r="Q8829">
        <v>-4.0877570000000002E-2</v>
      </c>
      <c r="R8829">
        <v>5.2682699999999999E-2</v>
      </c>
      <c r="S8829">
        <v>2.9954990000000001</v>
      </c>
      <c r="T8829">
        <v>-0.16958019999999999</v>
      </c>
      <c r="U8829">
        <v>8.0871579999999998E-2</v>
      </c>
      <c r="V8829">
        <v>-4.2337699999999902E-2</v>
      </c>
      <c r="W8829">
        <v>-2.619173E-2</v>
      </c>
      <c r="X8829">
        <v>0.99875999999999998</v>
      </c>
      <c r="Y8829">
        <v>-1.6618299999999999E-2</v>
      </c>
      <c r="Z8829">
        <v>1.597615E-4</v>
      </c>
      <c r="AA8829">
        <v>0.99986189999999997</v>
      </c>
      <c r="AB8829">
        <v>24</v>
      </c>
      <c r="AC8829">
        <v>19.684200000000001</v>
      </c>
      <c r="AD8829">
        <v>-1.1216342582250001</v>
      </c>
      <c r="AE8829">
        <v>0.53335000000000499</v>
      </c>
      <c r="AF8829">
        <v>-0.328574673543091</v>
      </c>
      <c r="AG8829">
        <v>-1.1216342582250001</v>
      </c>
      <c r="AH8829">
        <v>19.624991626557598</v>
      </c>
      <c r="AI8829">
        <v>93.270630490819102</v>
      </c>
      <c r="AJ8829">
        <v>90.959194461156002</v>
      </c>
      <c r="AK8829">
        <v>19.6597640135322</v>
      </c>
      <c r="AL8829">
        <v>91.500847200171506</v>
      </c>
      <c r="AM8829">
        <v>92.427329993865001</v>
      </c>
      <c r="AN8829">
        <v>1.0000000125808399</v>
      </c>
    </row>
    <row r="8830" spans="1:40" x14ac:dyDescent="0.25">
      <c r="A8830" t="str">
        <f>"20190303154014813"</f>
        <v>20190303154014813</v>
      </c>
      <c r="B8830" t="str">
        <f>"1551598814806790"</f>
        <v>1551598814806790</v>
      </c>
      <c r="C8830" t="s">
        <v>40</v>
      </c>
      <c r="D8830">
        <v>4.3725829999999997</v>
      </c>
      <c r="E8830">
        <v>0.53080380000000005</v>
      </c>
      <c r="F8830" t="s">
        <v>43</v>
      </c>
      <c r="G8830">
        <v>-157.12139999999999</v>
      </c>
      <c r="H8830">
        <v>-0.05</v>
      </c>
      <c r="I8830">
        <v>-65.202550000000002</v>
      </c>
      <c r="J8830">
        <v>-235.97489999999999</v>
      </c>
      <c r="K8830">
        <v>1.1216600000000001</v>
      </c>
      <c r="L8830">
        <v>-62.93121</v>
      </c>
      <c r="M8830">
        <v>0.99983529999999998</v>
      </c>
      <c r="N8830">
        <v>-1.4733710000000001E-2</v>
      </c>
      <c r="O8830">
        <v>1.0607790000000001E-2</v>
      </c>
      <c r="P8830">
        <v>0.99779600000000002</v>
      </c>
      <c r="Q8830">
        <v>-4.0940459999999998E-2</v>
      </c>
      <c r="R8830">
        <v>5.2221480000000001E-2</v>
      </c>
      <c r="S8830">
        <v>3.00943</v>
      </c>
      <c r="T8830">
        <v>-4.4643639999999998E-2</v>
      </c>
      <c r="U8830">
        <v>-8.6486820000000006E-2</v>
      </c>
      <c r="V8830">
        <v>-4.1613730000000002E-2</v>
      </c>
      <c r="W8830">
        <v>-2.6257949999999999E-2</v>
      </c>
      <c r="X8830">
        <v>0.99878869999999997</v>
      </c>
      <c r="Y8830">
        <v>3.932107E-2</v>
      </c>
      <c r="Z8830">
        <v>-5.8241969999999995E-4</v>
      </c>
      <c r="AA8830">
        <v>0.99922650000000002</v>
      </c>
      <c r="AB8830">
        <v>24</v>
      </c>
      <c r="AC8830">
        <v>78.853499999999997</v>
      </c>
      <c r="AD8830">
        <v>-1.1716599999999999</v>
      </c>
      <c r="AE8830">
        <v>-2.2713399999999999</v>
      </c>
      <c r="AF8830">
        <v>3.1070788384568799</v>
      </c>
      <c r="AG8830">
        <v>-1.1716599999999999</v>
      </c>
      <c r="AH8830">
        <v>78.807581124280901</v>
      </c>
      <c r="AI8830">
        <v>90.851112592921197</v>
      </c>
      <c r="AJ8830">
        <v>87.742217857277694</v>
      </c>
      <c r="AK8830">
        <v>78.877509904434106</v>
      </c>
      <c r="AL8830">
        <v>91.504642613534799</v>
      </c>
      <c r="AM8830">
        <v>92.385802822341901</v>
      </c>
      <c r="AN8830">
        <v>1.0000000248551999</v>
      </c>
    </row>
    <row r="8831" spans="1:40" x14ac:dyDescent="0.25">
      <c r="A8831" t="str">
        <f>"20190303154014826"</f>
        <v>20190303154014826</v>
      </c>
      <c r="B8831" t="str">
        <f>"1551598814816551"</f>
        <v>1551598814816551</v>
      </c>
      <c r="C8831" t="s">
        <v>40</v>
      </c>
      <c r="D8831">
        <v>4.3336600000000001</v>
      </c>
      <c r="E8831">
        <v>0.53073479999999995</v>
      </c>
      <c r="F8831" t="s">
        <v>91</v>
      </c>
      <c r="G8831">
        <v>-157.3501</v>
      </c>
      <c r="H8831">
        <v>8.8901519999999998E-2</v>
      </c>
      <c r="I8831">
        <v>-65.251180000000005</v>
      </c>
      <c r="J8831">
        <v>-235.83</v>
      </c>
      <c r="K8831">
        <v>1.121694</v>
      </c>
      <c r="L8831">
        <v>-62.929319999999997</v>
      </c>
      <c r="M8831">
        <v>0.99983169999999999</v>
      </c>
      <c r="N8831">
        <v>-1.4731650000000001E-2</v>
      </c>
      <c r="O8831">
        <v>1.094034E-2</v>
      </c>
      <c r="P8831">
        <v>0.99779200000000001</v>
      </c>
      <c r="Q8831">
        <v>-4.105806E-2</v>
      </c>
      <c r="R8831">
        <v>5.2207030000000001E-2</v>
      </c>
      <c r="S8831">
        <v>3.009674</v>
      </c>
      <c r="T8831">
        <v>-3.9533619999999998E-2</v>
      </c>
      <c r="U8831">
        <v>-8.880615E-2</v>
      </c>
      <c r="V8831">
        <v>-4.1264969999999998E-2</v>
      </c>
      <c r="W8831">
        <v>-2.6380480000000001E-2</v>
      </c>
      <c r="X8831">
        <v>0.99879989999999996</v>
      </c>
      <c r="Y8831">
        <v>4.0421650000000003E-2</v>
      </c>
      <c r="Z8831">
        <v>-5.4579080000000005E-4</v>
      </c>
      <c r="AA8831">
        <v>0.99918260000000003</v>
      </c>
      <c r="AB8831">
        <v>24</v>
      </c>
      <c r="AC8831">
        <v>78.479900000000001</v>
      </c>
      <c r="AD8831">
        <v>-1.0327924799999999</v>
      </c>
      <c r="AE8831">
        <v>-2.32186</v>
      </c>
      <c r="AF8831">
        <v>3.1798607023279999</v>
      </c>
      <c r="AG8831">
        <v>-1.0327924799999999</v>
      </c>
      <c r="AH8831">
        <v>78.436225411125704</v>
      </c>
      <c r="AI8831">
        <v>90.753767413553604</v>
      </c>
      <c r="AJ8831">
        <v>87.678459399958996</v>
      </c>
      <c r="AK8831">
        <v>78.507449526384903</v>
      </c>
      <c r="AL8831">
        <v>91.511665560019395</v>
      </c>
      <c r="AM8831">
        <v>92.365803993474799</v>
      </c>
      <c r="AN8831">
        <v>0.99999998385707001</v>
      </c>
    </row>
    <row r="8832" spans="1:40" x14ac:dyDescent="0.25">
      <c r="A8832" t="str">
        <f>"20190303154014837"</f>
        <v>20190303154014837</v>
      </c>
      <c r="B8832" t="str">
        <f>"1551598814826818"</f>
        <v>1551598814826818</v>
      </c>
      <c r="C8832" t="s">
        <v>40</v>
      </c>
      <c r="D8832">
        <v>4.3777910000000002</v>
      </c>
      <c r="E8832">
        <v>0.53082850000000004</v>
      </c>
      <c r="F8832" t="s">
        <v>91</v>
      </c>
      <c r="G8832">
        <v>-157.3501</v>
      </c>
      <c r="H8832">
        <v>0.1142225</v>
      </c>
      <c r="I8832">
        <v>-65.233090000000004</v>
      </c>
      <c r="J8832">
        <v>-235.71250000000001</v>
      </c>
      <c r="K8832">
        <v>1.1217220000000001</v>
      </c>
      <c r="L8832">
        <v>-62.927729999999997</v>
      </c>
      <c r="M8832">
        <v>0.99982850000000001</v>
      </c>
      <c r="N8832">
        <v>-1.472999E-2</v>
      </c>
      <c r="O8832">
        <v>1.123825E-2</v>
      </c>
      <c r="P8832">
        <v>0.99780389999999997</v>
      </c>
      <c r="Q8832">
        <v>-4.1148490000000003E-2</v>
      </c>
      <c r="R8832">
        <v>5.1908759999999998E-2</v>
      </c>
      <c r="S8832">
        <v>3.009674</v>
      </c>
      <c r="T8832">
        <v>-3.8636799999999999E-2</v>
      </c>
      <c r="U8832">
        <v>-8.8348389999999999E-2</v>
      </c>
      <c r="V8832">
        <v>-4.0667139999999997E-2</v>
      </c>
      <c r="W8832">
        <v>-2.6474620000000001E-2</v>
      </c>
      <c r="X8832">
        <v>0.99882199999999999</v>
      </c>
      <c r="Y8832">
        <v>4.0567739999999998E-2</v>
      </c>
      <c r="Z8832">
        <v>-5.3794499999999996E-4</v>
      </c>
      <c r="AA8832">
        <v>0.99917659999999997</v>
      </c>
      <c r="AB8832">
        <v>24</v>
      </c>
      <c r="AC8832">
        <v>78.362399999999994</v>
      </c>
      <c r="AD8832">
        <v>-1.0074995</v>
      </c>
      <c r="AE8832">
        <v>-2.3053599999999999</v>
      </c>
      <c r="AF8832">
        <v>3.1854399470456398</v>
      </c>
      <c r="AG8832">
        <v>-1.0074995</v>
      </c>
      <c r="AH8832">
        <v>78.318604323429</v>
      </c>
      <c r="AI8832">
        <v>90.736410024005494</v>
      </c>
      <c r="AJ8832">
        <v>87.670901772409493</v>
      </c>
      <c r="AK8832">
        <v>78.3898326702422</v>
      </c>
      <c r="AL8832">
        <v>91.517061161797599</v>
      </c>
      <c r="AM8832">
        <v>92.331515765351597</v>
      </c>
      <c r="AN8832">
        <v>1.0000000547319601</v>
      </c>
    </row>
    <row r="8833" spans="1:40" x14ac:dyDescent="0.25">
      <c r="A8833" t="str">
        <f>"20190303154014846"</f>
        <v>20190303154014846</v>
      </c>
      <c r="B8833" t="str">
        <f>"1551598814836578"</f>
        <v>1551598814836578</v>
      </c>
      <c r="C8833" t="s">
        <v>40</v>
      </c>
      <c r="D8833">
        <v>4.345758</v>
      </c>
      <c r="E8833">
        <v>0.53076350000000005</v>
      </c>
      <c r="F8833" t="s">
        <v>91</v>
      </c>
      <c r="G8833">
        <v>-157.3501</v>
      </c>
      <c r="H8833">
        <v>0.1128445</v>
      </c>
      <c r="I8833">
        <v>-65.270150000000001</v>
      </c>
      <c r="J8833">
        <v>-235.61009999999999</v>
      </c>
      <c r="K8833">
        <v>1.1217509999999999</v>
      </c>
      <c r="L8833">
        <v>-62.92633</v>
      </c>
      <c r="M8833">
        <v>0.99982539999999998</v>
      </c>
      <c r="N8833">
        <v>-1.472854E-2</v>
      </c>
      <c r="O8833">
        <v>1.15072E-2</v>
      </c>
      <c r="P8833">
        <v>0.99780990000000003</v>
      </c>
      <c r="Q8833">
        <v>-4.1390910000000003E-2</v>
      </c>
      <c r="R8833">
        <v>5.1598440000000002E-2</v>
      </c>
      <c r="S8833">
        <v>3.0096889999999998</v>
      </c>
      <c r="T8833">
        <v>-3.8748980000000002E-2</v>
      </c>
      <c r="U8833">
        <v>-8.9965820000000002E-2</v>
      </c>
      <c r="V8833">
        <v>-4.0086299999999998E-2</v>
      </c>
      <c r="W8833">
        <v>-2.6720299999999999E-2</v>
      </c>
      <c r="X8833">
        <v>0.99883889999999997</v>
      </c>
      <c r="Y8833">
        <v>4.1372680000000002E-2</v>
      </c>
      <c r="Z8833">
        <v>-5.4971689999999999E-4</v>
      </c>
      <c r="AA8833">
        <v>0.99914369999999997</v>
      </c>
      <c r="AB8833">
        <v>24</v>
      </c>
      <c r="AC8833">
        <v>78.259999999999906</v>
      </c>
      <c r="AD8833">
        <v>-1.0089064999999999</v>
      </c>
      <c r="AE8833">
        <v>-2.3438199999999898</v>
      </c>
      <c r="AF8833">
        <v>3.24377724742715</v>
      </c>
      <c r="AG8833">
        <v>-1.0089064999999999</v>
      </c>
      <c r="AH8833">
        <v>78.214856156958405</v>
      </c>
      <c r="AI8833">
        <v>90.738392180967907</v>
      </c>
      <c r="AJ8833">
        <v>87.625153207514501</v>
      </c>
      <c r="AK8833">
        <v>78.288592443665493</v>
      </c>
      <c r="AL8833">
        <v>91.5311426275847</v>
      </c>
      <c r="AM8833">
        <v>92.298212350653401</v>
      </c>
      <c r="AN8833">
        <v>1.00000001701649</v>
      </c>
    </row>
    <row r="8834" spans="1:40" x14ac:dyDescent="0.25">
      <c r="A8834" t="str">
        <f>"20190303154014856"</f>
        <v>20190303154014856</v>
      </c>
      <c r="B8834" t="str">
        <f>"1551598814847314"</f>
        <v>1551598814847314</v>
      </c>
      <c r="C8834" t="s">
        <v>40</v>
      </c>
      <c r="D8834">
        <v>4.3424670000000001</v>
      </c>
      <c r="E8834">
        <v>0.53054389999999996</v>
      </c>
      <c r="F8834" t="s">
        <v>91</v>
      </c>
      <c r="G8834">
        <v>-157.3501</v>
      </c>
      <c r="H8834">
        <v>0.1277809</v>
      </c>
      <c r="I8834">
        <v>-65.279179999999997</v>
      </c>
      <c r="J8834">
        <v>-235.51060000000001</v>
      </c>
      <c r="K8834">
        <v>1.1217779999999999</v>
      </c>
      <c r="L8834">
        <v>-62.924900000000001</v>
      </c>
      <c r="M8834">
        <v>0.99982210000000005</v>
      </c>
      <c r="N8834">
        <v>-1.472712E-2</v>
      </c>
      <c r="O8834">
        <v>1.1795770000000001E-2</v>
      </c>
      <c r="P8834">
        <v>0.997803</v>
      </c>
      <c r="Q8834">
        <v>-4.1881670000000003E-2</v>
      </c>
      <c r="R8834">
        <v>5.1337010000000002E-2</v>
      </c>
      <c r="S8834">
        <v>3.009674</v>
      </c>
      <c r="T8834">
        <v>-3.8226250000000003E-2</v>
      </c>
      <c r="U8834">
        <v>-9.0484620000000002E-2</v>
      </c>
      <c r="V8834">
        <v>-3.9534699999999999E-2</v>
      </c>
      <c r="W8834">
        <v>-2.7214490000000001E-2</v>
      </c>
      <c r="X8834">
        <v>0.9988475</v>
      </c>
      <c r="Y8834">
        <v>4.1833339999999997E-2</v>
      </c>
      <c r="Z8834">
        <v>-5.498492E-4</v>
      </c>
      <c r="AA8834">
        <v>0.99912449999999997</v>
      </c>
      <c r="AB8834">
        <v>24</v>
      </c>
      <c r="AC8834">
        <v>78.160499999999999</v>
      </c>
      <c r="AD8834">
        <v>-0.99399709999999997</v>
      </c>
      <c r="AE8834">
        <v>-2.3542800000000099</v>
      </c>
      <c r="AF8834">
        <v>3.2756500334992502</v>
      </c>
      <c r="AG8834">
        <v>-0.99399709999999997</v>
      </c>
      <c r="AH8834">
        <v>78.1146652672019</v>
      </c>
      <c r="AI8834">
        <v>90.728400556297899</v>
      </c>
      <c r="AJ8834">
        <v>87.598773185091005</v>
      </c>
      <c r="AK8834">
        <v>78.1896338601465</v>
      </c>
      <c r="AL8834">
        <v>91.559467996337503</v>
      </c>
      <c r="AM8834">
        <v>92.266601950055104</v>
      </c>
      <c r="AN8834">
        <v>0.99999997461314905</v>
      </c>
    </row>
    <row r="8835" spans="1:40" x14ac:dyDescent="0.25">
      <c r="A8835" t="str">
        <f>"20190303154014866"</f>
        <v>20190303154014866</v>
      </c>
      <c r="B8835" t="str">
        <f>"1551598814857074"</f>
        <v>1551598814857074</v>
      </c>
      <c r="C8835" t="s">
        <v>40</v>
      </c>
      <c r="D8835">
        <v>4.3716059999999999</v>
      </c>
      <c r="E8835">
        <v>0.53042409999999995</v>
      </c>
      <c r="F8835" t="s">
        <v>43</v>
      </c>
      <c r="G8835">
        <v>-151.42169999999999</v>
      </c>
      <c r="H8835">
        <v>-0.05</v>
      </c>
      <c r="I8835">
        <v>-65.426769999999905</v>
      </c>
      <c r="J8835">
        <v>-235.39609999999999</v>
      </c>
      <c r="K8835">
        <v>1.1218090000000001</v>
      </c>
      <c r="L8835">
        <v>-62.923189999999998</v>
      </c>
      <c r="M8835">
        <v>0.99981799999999998</v>
      </c>
      <c r="N8835">
        <v>-1.4725439999999999E-2</v>
      </c>
      <c r="O8835">
        <v>1.2137770000000001E-2</v>
      </c>
      <c r="P8835">
        <v>0.99780389999999997</v>
      </c>
      <c r="Q8835">
        <v>-4.2156079999999999E-2</v>
      </c>
      <c r="R8835">
        <v>5.109619E-2</v>
      </c>
      <c r="S8835">
        <v>3.0094449999999999</v>
      </c>
      <c r="T8835">
        <v>-4.1936639999999997E-2</v>
      </c>
      <c r="U8835">
        <v>-8.9538569999999998E-2</v>
      </c>
      <c r="V8835">
        <v>-3.8950470000000001E-2</v>
      </c>
      <c r="W8835">
        <v>-2.749277E-2</v>
      </c>
      <c r="X8835">
        <v>0.9988629</v>
      </c>
      <c r="Y8835">
        <v>4.1862530000000002E-2</v>
      </c>
      <c r="Z8835">
        <v>-5.9033519999999995E-4</v>
      </c>
      <c r="AA8835">
        <v>0.99912319999999999</v>
      </c>
      <c r="AB8835">
        <v>24</v>
      </c>
      <c r="AC8835">
        <v>83.974400000000003</v>
      </c>
      <c r="AD8835">
        <v>-1.1718090000000001</v>
      </c>
      <c r="AE8835">
        <v>-2.5035799999999799</v>
      </c>
      <c r="AF8835">
        <v>3.5220826853809002</v>
      </c>
      <c r="AG8835">
        <v>-1.1718090000000001</v>
      </c>
      <c r="AH8835">
        <v>83.921494447471702</v>
      </c>
      <c r="AI8835">
        <v>90.799274463857898</v>
      </c>
      <c r="AJ8835">
        <v>87.596776403708603</v>
      </c>
      <c r="AK8835">
        <v>84.003544169708505</v>
      </c>
      <c r="AL8835">
        <v>91.575418127993302</v>
      </c>
      <c r="AM8835">
        <v>92.233106667968002</v>
      </c>
      <c r="AN8835">
        <v>1.0000000422559501</v>
      </c>
    </row>
    <row r="8836" spans="1:40" x14ac:dyDescent="0.25">
      <c r="A8836" t="str">
        <f>"20190303154014878"</f>
        <v>20190303154014878</v>
      </c>
      <c r="B8836" t="str">
        <f>"1551598814866834"</f>
        <v>1551598814866834</v>
      </c>
      <c r="C8836" t="s">
        <v>40</v>
      </c>
      <c r="D8836">
        <v>4.3458500000000004</v>
      </c>
      <c r="E8836">
        <v>0.53030630000000001</v>
      </c>
      <c r="F8836" t="s">
        <v>43</v>
      </c>
      <c r="G8836">
        <v>-151.9633</v>
      </c>
      <c r="H8836">
        <v>-0.05</v>
      </c>
      <c r="I8836">
        <v>-65.399630000000002</v>
      </c>
      <c r="J8836">
        <v>-235.28210000000001</v>
      </c>
      <c r="K8836">
        <v>1.121837</v>
      </c>
      <c r="L8836">
        <v>-62.921419999999998</v>
      </c>
      <c r="M8836">
        <v>0.99981330000000002</v>
      </c>
      <c r="N8836">
        <v>-1.4723750000000001E-2</v>
      </c>
      <c r="O8836">
        <v>1.2516330000000001E-2</v>
      </c>
      <c r="P8836">
        <v>0.99780389999999997</v>
      </c>
      <c r="Q8836">
        <v>-4.248217E-2</v>
      </c>
      <c r="R8836">
        <v>5.0821900000000003E-2</v>
      </c>
      <c r="S8836">
        <v>3.0094150000000002</v>
      </c>
      <c r="T8836">
        <v>-4.2267079999999999E-2</v>
      </c>
      <c r="U8836">
        <v>-8.932495E-2</v>
      </c>
      <c r="V8836">
        <v>-3.8295679999999999E-2</v>
      </c>
      <c r="W8836">
        <v>-2.782277E-2</v>
      </c>
      <c r="X8836">
        <v>0.99887899999999996</v>
      </c>
      <c r="Y8836">
        <v>4.2170100000000002E-2</v>
      </c>
      <c r="Z8836">
        <v>-5.981227E-4</v>
      </c>
      <c r="AA8836">
        <v>0.99911030000000001</v>
      </c>
      <c r="AB8836">
        <v>24</v>
      </c>
      <c r="AC8836">
        <v>83.318799999999996</v>
      </c>
      <c r="AD8836">
        <v>-1.171837</v>
      </c>
      <c r="AE8836">
        <v>-2.4782099999999998</v>
      </c>
      <c r="AF8836">
        <v>3.5202787130356801</v>
      </c>
      <c r="AG8836">
        <v>-1.171837</v>
      </c>
      <c r="AH8836">
        <v>83.264794517744704</v>
      </c>
      <c r="AI8836">
        <v>90.805586192136303</v>
      </c>
      <c r="AJ8836">
        <v>87.579084064534399</v>
      </c>
      <c r="AK8836">
        <v>83.3474148984495</v>
      </c>
      <c r="AL8836">
        <v>91.594333099739401</v>
      </c>
      <c r="AM8836">
        <v>92.195567975527197</v>
      </c>
      <c r="AN8836">
        <v>0.99999996113906597</v>
      </c>
    </row>
    <row r="8837" spans="1:40" x14ac:dyDescent="0.25">
      <c r="A8837" t="str">
        <f>"20190303154014888"</f>
        <v>20190303154014888</v>
      </c>
      <c r="B8837" t="str">
        <f>"1551598814876594"</f>
        <v>1551598814876594</v>
      </c>
      <c r="C8837" t="s">
        <v>40</v>
      </c>
      <c r="D8837">
        <v>4.3402050000000001</v>
      </c>
      <c r="E8837">
        <v>0.53009019999999996</v>
      </c>
      <c r="F8837" t="s">
        <v>43</v>
      </c>
      <c r="G8837">
        <v>-150.99520000000001</v>
      </c>
      <c r="H8837">
        <v>-0.05</v>
      </c>
      <c r="I8837">
        <v>-65.421589999999995</v>
      </c>
      <c r="J8837">
        <v>-235.16540000000001</v>
      </c>
      <c r="K8837">
        <v>1.121872</v>
      </c>
      <c r="L8837">
        <v>-62.919559999999997</v>
      </c>
      <c r="M8837">
        <v>0.99980840000000004</v>
      </c>
      <c r="N8837">
        <v>-1.4722000000000001E-2</v>
      </c>
      <c r="O8837">
        <v>1.2912669999999999E-2</v>
      </c>
      <c r="P8837">
        <v>0.99781189999999997</v>
      </c>
      <c r="Q8837">
        <v>-4.2478540000000002E-2</v>
      </c>
      <c r="R8837">
        <v>5.0668030000000003E-2</v>
      </c>
      <c r="S8837">
        <v>3.0093540000000001</v>
      </c>
      <c r="T8837">
        <v>-4.1838880000000002E-2</v>
      </c>
      <c r="U8837">
        <v>-8.9263919999999997E-2</v>
      </c>
      <c r="V8837">
        <v>-3.7743169999999999E-2</v>
      </c>
      <c r="W8837">
        <v>-2.782314E-2</v>
      </c>
      <c r="X8837">
        <v>0.99890009999999996</v>
      </c>
      <c r="Y8837">
        <v>4.2546569999999999E-2</v>
      </c>
      <c r="Z8837">
        <v>-5.9840100000000003E-4</v>
      </c>
      <c r="AA8837">
        <v>0.99909429999999999</v>
      </c>
      <c r="AB8837">
        <v>24</v>
      </c>
      <c r="AC8837">
        <v>84.170199999999994</v>
      </c>
      <c r="AD8837">
        <v>-1.171872</v>
      </c>
      <c r="AE8837">
        <v>-2.5020300000000102</v>
      </c>
      <c r="AF8837">
        <v>3.5881060990315299</v>
      </c>
      <c r="AG8837">
        <v>-1.171872</v>
      </c>
      <c r="AH8837">
        <v>84.114579274319297</v>
      </c>
      <c r="AI8837">
        <v>90.797459644929802</v>
      </c>
      <c r="AJ8837">
        <v>87.557394008906996</v>
      </c>
      <c r="AK8837">
        <v>84.199229425559693</v>
      </c>
      <c r="AL8837">
        <v>91.594354178609095</v>
      </c>
      <c r="AM8837">
        <v>92.163876139397004</v>
      </c>
      <c r="AN8837">
        <v>1.0000000418905499</v>
      </c>
    </row>
    <row r="8838" spans="1:40" x14ac:dyDescent="0.25">
      <c r="A8838" t="str">
        <f>"20190303154014900"</f>
        <v>20190303154014900</v>
      </c>
      <c r="B8838" t="str">
        <f>"1551598814897089"</f>
        <v>1551598814897089</v>
      </c>
      <c r="C8838" t="s">
        <v>40</v>
      </c>
      <c r="D8838">
        <v>4.3355249999999996</v>
      </c>
      <c r="E8838">
        <v>0.53014220000000001</v>
      </c>
      <c r="F8838" t="s">
        <v>43</v>
      </c>
      <c r="G8838">
        <v>-151.2347</v>
      </c>
      <c r="H8838">
        <v>-0.05</v>
      </c>
      <c r="I8838">
        <v>-65.37433</v>
      </c>
      <c r="J8838">
        <v>-235.04429999999999</v>
      </c>
      <c r="K8838">
        <v>1.12191</v>
      </c>
      <c r="L8838">
        <v>-62.917479999999998</v>
      </c>
      <c r="M8838">
        <v>0.99980219999999997</v>
      </c>
      <c r="N8838">
        <v>-1.4720270000000001E-2</v>
      </c>
      <c r="O8838">
        <v>1.337634E-2</v>
      </c>
      <c r="P8838">
        <v>0.9978089</v>
      </c>
      <c r="Q8838">
        <v>-4.2547399999999999E-2</v>
      </c>
      <c r="R8838">
        <v>5.067091E-2</v>
      </c>
      <c r="S8838">
        <v>3.0092620000000001</v>
      </c>
      <c r="T8838">
        <v>-4.2016390000000001E-2</v>
      </c>
      <c r="U8838">
        <v>-8.8012699999999999E-2</v>
      </c>
      <c r="V8838">
        <v>-3.7280109999999998E-2</v>
      </c>
      <c r="W8838">
        <v>-2.7896379999999998E-2</v>
      </c>
      <c r="X8838">
        <v>0.99891540000000001</v>
      </c>
      <c r="Y8838">
        <v>4.25957E-2</v>
      </c>
      <c r="Z8838">
        <v>-6.0076949999999997E-4</v>
      </c>
      <c r="AA8838">
        <v>0.99909219999999999</v>
      </c>
      <c r="AB8838">
        <v>24</v>
      </c>
      <c r="AC8838">
        <v>83.809599999999904</v>
      </c>
      <c r="AD8838">
        <v>-1.17191</v>
      </c>
      <c r="AE8838">
        <v>-2.45684999999999</v>
      </c>
      <c r="AF8838">
        <v>3.5771184866255101</v>
      </c>
      <c r="AG8838">
        <v>-1.17191</v>
      </c>
      <c r="AH8838">
        <v>83.752871270192898</v>
      </c>
      <c r="AI8838">
        <v>90.800927386614205</v>
      </c>
      <c r="AJ8838">
        <v>87.554360810016902</v>
      </c>
      <c r="AK8838">
        <v>83.837417635068903</v>
      </c>
      <c r="AL8838">
        <v>91.598552225000304</v>
      </c>
      <c r="AM8838">
        <v>92.1373202391961</v>
      </c>
      <c r="AN8838">
        <v>0.99999999548793805</v>
      </c>
    </row>
    <row r="8839" spans="1:40" x14ac:dyDescent="0.25">
      <c r="A8839" t="str">
        <f>"20190303154014912"</f>
        <v>20190303154014912</v>
      </c>
      <c r="B8839" t="str">
        <f>"1551598814906849"</f>
        <v>1551598814906849</v>
      </c>
      <c r="C8839" t="s">
        <v>40</v>
      </c>
      <c r="D8839">
        <v>4.3089750000000002</v>
      </c>
      <c r="E8839">
        <v>0.5301922</v>
      </c>
      <c r="F8839" t="s">
        <v>91</v>
      </c>
      <c r="G8839">
        <v>-157.3501</v>
      </c>
      <c r="H8839">
        <v>6.9052699999999995E-2</v>
      </c>
      <c r="I8839">
        <v>-65.201580000000007</v>
      </c>
      <c r="J8839">
        <v>-234.92099999999999</v>
      </c>
      <c r="K8839">
        <v>1.1219460000000001</v>
      </c>
      <c r="L8839">
        <v>-62.91534</v>
      </c>
      <c r="M8839">
        <v>0.99979560000000001</v>
      </c>
      <c r="N8839">
        <v>-1.4718510000000001E-2</v>
      </c>
      <c r="O8839">
        <v>1.386339E-2</v>
      </c>
      <c r="P8839">
        <v>0.99781580000000003</v>
      </c>
      <c r="Q8839">
        <v>-4.2582120000000001E-2</v>
      </c>
      <c r="R8839">
        <v>5.0502449999999997E-2</v>
      </c>
      <c r="S8839">
        <v>3.0093380000000001</v>
      </c>
      <c r="T8839">
        <v>-4.078114E-2</v>
      </c>
      <c r="U8839">
        <v>-8.8470460000000001E-2</v>
      </c>
      <c r="V8839">
        <v>-3.6622740000000001E-2</v>
      </c>
      <c r="W8839">
        <v>-2.7935100000000001E-2</v>
      </c>
      <c r="X8839">
        <v>0.99893860000000001</v>
      </c>
      <c r="Y8839">
        <v>4.323374E-2</v>
      </c>
      <c r="Z8839">
        <v>-5.949649E-4</v>
      </c>
      <c r="AA8839">
        <v>0.99906479999999998</v>
      </c>
      <c r="AB8839">
        <v>24</v>
      </c>
      <c r="AC8839">
        <v>77.570899999999995</v>
      </c>
      <c r="AD8839">
        <v>-1.05289329999999</v>
      </c>
      <c r="AE8839">
        <v>-2.2862399999999998</v>
      </c>
      <c r="AF8839">
        <v>3.3609136871218301</v>
      </c>
      <c r="AG8839">
        <v>-1.05289329999999</v>
      </c>
      <c r="AH8839">
        <v>77.517476240971106</v>
      </c>
      <c r="AI8839">
        <v>90.777450774743102</v>
      </c>
      <c r="AJ8839">
        <v>87.517390247980998</v>
      </c>
      <c r="AK8839">
        <v>77.597444854086405</v>
      </c>
      <c r="AL8839">
        <v>91.600771638170002</v>
      </c>
      <c r="AM8839">
        <v>92.099617622926004</v>
      </c>
      <c r="AN8839">
        <v>0.99999996073353803</v>
      </c>
    </row>
    <row r="8840" spans="1:40" x14ac:dyDescent="0.25">
      <c r="A8840" t="str">
        <f>"20190303154014923"</f>
        <v>20190303154014923</v>
      </c>
      <c r="B8840" t="str">
        <f>"1551598814916610"</f>
        <v>1551598814916610</v>
      </c>
      <c r="C8840" t="s">
        <v>40</v>
      </c>
      <c r="D8840">
        <v>4.3163400000000003</v>
      </c>
      <c r="E8840">
        <v>0.5302019</v>
      </c>
      <c r="F8840" t="s">
        <v>91</v>
      </c>
      <c r="G8840">
        <v>-157.3501</v>
      </c>
      <c r="H8840">
        <v>8.5436819999999997E-2</v>
      </c>
      <c r="I8840">
        <v>-65.220179999999999</v>
      </c>
      <c r="J8840">
        <v>-234.79669999999999</v>
      </c>
      <c r="K8840">
        <v>1.1219859999999999</v>
      </c>
      <c r="L8840">
        <v>-62.913060000000002</v>
      </c>
      <c r="M8840">
        <v>0.99978800000000001</v>
      </c>
      <c r="N8840">
        <v>-1.47168E-2</v>
      </c>
      <c r="O8840">
        <v>1.439528E-2</v>
      </c>
      <c r="P8840">
        <v>0.99781200000000003</v>
      </c>
      <c r="Q8840">
        <v>-4.2554990000000001E-2</v>
      </c>
      <c r="R8840">
        <v>5.0597160000000002E-2</v>
      </c>
      <c r="S8840">
        <v>3.009369</v>
      </c>
      <c r="T8840">
        <v>-4.0212150000000002E-2</v>
      </c>
      <c r="U8840">
        <v>-8.9416499999999996E-2</v>
      </c>
      <c r="V8840">
        <v>-3.618358E-2</v>
      </c>
      <c r="W8840">
        <v>-2.7912300000000001E-2</v>
      </c>
      <c r="X8840">
        <v>0.99895529999999999</v>
      </c>
      <c r="Y8840">
        <v>4.4078730000000003E-2</v>
      </c>
      <c r="Z8840">
        <v>-5.9938370000000001E-4</v>
      </c>
      <c r="AA8840">
        <v>0.99902789999999997</v>
      </c>
      <c r="AB8840">
        <v>24</v>
      </c>
      <c r="AC8840">
        <v>77.446599999999904</v>
      </c>
      <c r="AD8840">
        <v>-1.03654918</v>
      </c>
      <c r="AE8840">
        <v>-2.3071199999999998</v>
      </c>
      <c r="AF8840">
        <v>3.4212548994246501</v>
      </c>
      <c r="AG8840">
        <v>-1.03654918</v>
      </c>
      <c r="AH8840">
        <v>77.391507140719696</v>
      </c>
      <c r="AI8840">
        <v>90.766600987230902</v>
      </c>
      <c r="AJ8840">
        <v>87.468767194689207</v>
      </c>
      <c r="AK8840">
        <v>77.474026594733502</v>
      </c>
      <c r="AL8840">
        <v>91.599464690447903</v>
      </c>
      <c r="AM8840">
        <v>92.074427630495805</v>
      </c>
      <c r="AN8840">
        <v>1.0000000196754899</v>
      </c>
    </row>
    <row r="8841" spans="1:40" x14ac:dyDescent="0.25">
      <c r="A8841" t="str">
        <f>"20190303154014934"</f>
        <v>20190303154014934</v>
      </c>
      <c r="B8841" t="str">
        <f>"1551598814926877"</f>
        <v>1551598814926877</v>
      </c>
      <c r="C8841" t="s">
        <v>40</v>
      </c>
      <c r="D8841">
        <v>4.3226459999999998</v>
      </c>
      <c r="E8841">
        <v>0.53018050000000005</v>
      </c>
      <c r="F8841" t="s">
        <v>91</v>
      </c>
      <c r="G8841">
        <v>-157.3501</v>
      </c>
      <c r="H8841">
        <v>8.8891029999999996E-2</v>
      </c>
      <c r="I8841">
        <v>-65.209469999999996</v>
      </c>
      <c r="J8841">
        <v>-234.69049999999999</v>
      </c>
      <c r="K8841">
        <v>1.122018</v>
      </c>
      <c r="L8841">
        <v>-62.91104</v>
      </c>
      <c r="M8841">
        <v>0.99978109999999998</v>
      </c>
      <c r="N8841">
        <v>-1.471534E-2</v>
      </c>
      <c r="O8841">
        <v>1.487054E-2</v>
      </c>
      <c r="P8841">
        <v>0.99780829999999998</v>
      </c>
      <c r="Q8841">
        <v>-4.272741E-2</v>
      </c>
      <c r="R8841">
        <v>5.0526519999999998E-2</v>
      </c>
      <c r="S8841">
        <v>3.0093990000000002</v>
      </c>
      <c r="T8841">
        <v>-4.0144440000000003E-2</v>
      </c>
      <c r="U8841">
        <v>-8.9233399999999893E-2</v>
      </c>
      <c r="V8841">
        <v>-3.5636090000000002E-2</v>
      </c>
      <c r="W8841">
        <v>-2.8087999999999998E-2</v>
      </c>
      <c r="X8841">
        <v>0.99897000000000002</v>
      </c>
      <c r="Y8841">
        <v>4.4492539999999997E-2</v>
      </c>
      <c r="Z8841">
        <v>-6.0369920000000004E-4</v>
      </c>
      <c r="AA8841">
        <v>0.99900949999999999</v>
      </c>
      <c r="AB8841">
        <v>24</v>
      </c>
      <c r="AC8841">
        <v>77.340399999999903</v>
      </c>
      <c r="AD8841">
        <v>-1.0331269700000001</v>
      </c>
      <c r="AE8841">
        <v>-2.29842999999999</v>
      </c>
      <c r="AF8841">
        <v>3.44777921756357</v>
      </c>
      <c r="AG8841">
        <v>-1.0331269700000001</v>
      </c>
      <c r="AH8841">
        <v>77.283885378242402</v>
      </c>
      <c r="AI8841">
        <v>90.765120478660293</v>
      </c>
      <c r="AJ8841">
        <v>87.445621403279006</v>
      </c>
      <c r="AK8841">
        <v>77.367651328100393</v>
      </c>
      <c r="AL8841">
        <v>91.609535597293601</v>
      </c>
      <c r="AM8841">
        <v>92.043036446395107</v>
      </c>
      <c r="AN8841">
        <v>0.99999996377724298</v>
      </c>
    </row>
    <row r="8842" spans="1:40" x14ac:dyDescent="0.25">
      <c r="A8842" t="str">
        <f>"20190303154014945"</f>
        <v>20190303154014945</v>
      </c>
      <c r="B8842" t="str">
        <f>"1551598814936638"</f>
        <v>1551598814936638</v>
      </c>
      <c r="C8842" t="s">
        <v>40</v>
      </c>
      <c r="D8842">
        <v>4.3152229999999996</v>
      </c>
      <c r="E8842">
        <v>0.53025319999999898</v>
      </c>
      <c r="F8842" t="s">
        <v>91</v>
      </c>
      <c r="G8842">
        <v>-157.3501</v>
      </c>
      <c r="H8842">
        <v>7.4110029999999993E-2</v>
      </c>
      <c r="I8842">
        <v>-65.205889999999997</v>
      </c>
      <c r="J8842">
        <v>-234.5718</v>
      </c>
      <c r="K8842">
        <v>1.1220600000000001</v>
      </c>
      <c r="L8842">
        <v>-62.90869</v>
      </c>
      <c r="M8842">
        <v>0.99977280000000002</v>
      </c>
      <c r="N8842">
        <v>-1.47137E-2</v>
      </c>
      <c r="O8842">
        <v>1.5425350000000001E-2</v>
      </c>
      <c r="P8842">
        <v>0.99779269999999998</v>
      </c>
      <c r="Q8842">
        <v>-4.3130420000000003E-2</v>
      </c>
      <c r="R8842">
        <v>5.0497090000000001E-2</v>
      </c>
      <c r="S8842">
        <v>3.0093839999999998</v>
      </c>
      <c r="T8842">
        <v>-4.0775779999999998E-2</v>
      </c>
      <c r="U8842">
        <v>-8.9294429999999994E-2</v>
      </c>
      <c r="V8842">
        <v>-3.5049780000000003E-2</v>
      </c>
      <c r="W8842">
        <v>-2.8494640000000002E-2</v>
      </c>
      <c r="X8842">
        <v>0.99897930000000001</v>
      </c>
      <c r="Y8842">
        <v>4.5067019999999999E-2</v>
      </c>
      <c r="Z8842">
        <v>-6.1894710000000004E-4</v>
      </c>
      <c r="AA8842">
        <v>0.99898379999999998</v>
      </c>
      <c r="AB8842">
        <v>24</v>
      </c>
      <c r="AC8842">
        <v>77.221699999999998</v>
      </c>
      <c r="AD8842">
        <v>-1.0479499699999999</v>
      </c>
      <c r="AE8842">
        <v>-2.2971999999999899</v>
      </c>
      <c r="AF8842">
        <v>3.4875855686675998</v>
      </c>
      <c r="AG8842">
        <v>-1.0479499699999999</v>
      </c>
      <c r="AH8842">
        <v>77.162873413382997</v>
      </c>
      <c r="AI8842">
        <v>90.777293440436196</v>
      </c>
      <c r="AJ8842">
        <v>87.412122922936305</v>
      </c>
      <c r="AK8842">
        <v>77.248757178663794</v>
      </c>
      <c r="AL8842">
        <v>91.632843564713696</v>
      </c>
      <c r="AM8842">
        <v>92.0094320698703</v>
      </c>
      <c r="AN8842">
        <v>1.00000003670763</v>
      </c>
    </row>
    <row r="8843" spans="1:40" x14ac:dyDescent="0.25">
      <c r="A8843" t="str">
        <f>"20190303154014957"</f>
        <v>20190303154014957</v>
      </c>
      <c r="B8843" t="str">
        <f>"1551598814947373"</f>
        <v>1551598814947373</v>
      </c>
      <c r="C8843" t="s">
        <v>40</v>
      </c>
      <c r="D8843">
        <v>4.2877960000000002</v>
      </c>
      <c r="E8843">
        <v>0.53023989999999999</v>
      </c>
      <c r="F8843" t="s">
        <v>91</v>
      </c>
      <c r="G8843">
        <v>-157.3501</v>
      </c>
      <c r="H8843">
        <v>4.6894070000000003E-2</v>
      </c>
      <c r="I8843">
        <v>-65.218779999999995</v>
      </c>
      <c r="J8843">
        <v>-234.45310000000001</v>
      </c>
      <c r="K8843">
        <v>1.122096</v>
      </c>
      <c r="L8843">
        <v>-62.906219999999998</v>
      </c>
      <c r="M8843">
        <v>0.99976370000000003</v>
      </c>
      <c r="N8843">
        <v>-1.4712070000000001E-2</v>
      </c>
      <c r="O8843">
        <v>1.6010759999999999E-2</v>
      </c>
      <c r="P8843">
        <v>0.99778040000000001</v>
      </c>
      <c r="Q8843">
        <v>-4.3496609999999998E-2</v>
      </c>
      <c r="R8843">
        <v>5.042485E-2</v>
      </c>
      <c r="S8843">
        <v>3.0094150000000002</v>
      </c>
      <c r="T8843">
        <v>-4.1901109999999998E-2</v>
      </c>
      <c r="U8843">
        <v>-9.002686E-2</v>
      </c>
      <c r="V8843">
        <v>-3.4390129999999998E-2</v>
      </c>
      <c r="W8843">
        <v>-2.8864009999999999E-2</v>
      </c>
      <c r="X8843">
        <v>0.99899159999999998</v>
      </c>
      <c r="Y8843">
        <v>4.5894049999999999E-2</v>
      </c>
      <c r="Z8843">
        <v>-6.4450130000000001E-4</v>
      </c>
      <c r="AA8843">
        <v>0.99894609999999995</v>
      </c>
      <c r="AB8843">
        <v>24</v>
      </c>
      <c r="AC8843">
        <v>77.102999999999994</v>
      </c>
      <c r="AD8843">
        <v>-1.07520193</v>
      </c>
      <c r="AE8843">
        <v>-2.3125600000000102</v>
      </c>
      <c r="AF8843">
        <v>3.5461856247914998</v>
      </c>
      <c r="AG8843">
        <v>-1.07520193</v>
      </c>
      <c r="AH8843">
        <v>77.041116720488503</v>
      </c>
      <c r="AI8843">
        <v>90.798734368022394</v>
      </c>
      <c r="AJ8843">
        <v>87.364548124695403</v>
      </c>
      <c r="AK8843">
        <v>77.130183178932498</v>
      </c>
      <c r="AL8843">
        <v>91.654015651725601</v>
      </c>
      <c r="AM8843">
        <v>91.971619682594195</v>
      </c>
      <c r="AN8843">
        <v>1.00000001449262</v>
      </c>
    </row>
    <row r="8844" spans="1:40" x14ac:dyDescent="0.25">
      <c r="A8844" t="str">
        <f>"20190303154014966"</f>
        <v>20190303154014966</v>
      </c>
      <c r="B8844" t="str">
        <f>"1551598814957133"</f>
        <v>1551598814957133</v>
      </c>
      <c r="C8844" t="s">
        <v>40</v>
      </c>
      <c r="D8844">
        <v>4.3143779999999996</v>
      </c>
      <c r="E8844">
        <v>0.53031530000000004</v>
      </c>
      <c r="F8844" t="s">
        <v>43</v>
      </c>
      <c r="G8844">
        <v>-152.8878</v>
      </c>
      <c r="H8844">
        <v>-0.05</v>
      </c>
      <c r="I8844">
        <v>-65.350430000000003</v>
      </c>
      <c r="J8844">
        <v>-234.34350000000001</v>
      </c>
      <c r="K8844">
        <v>1.122126</v>
      </c>
      <c r="L8844">
        <v>-62.9039</v>
      </c>
      <c r="M8844">
        <v>0.99975460000000005</v>
      </c>
      <c r="N8844">
        <v>-1.4710549999999999E-2</v>
      </c>
      <c r="O8844">
        <v>1.6565179999999999E-2</v>
      </c>
      <c r="P8844">
        <v>0.99779739999999995</v>
      </c>
      <c r="Q8844">
        <v>-4.307805E-2</v>
      </c>
      <c r="R8844">
        <v>5.0445959999999998E-2</v>
      </c>
      <c r="S8844">
        <v>3.009369</v>
      </c>
      <c r="T8844">
        <v>-4.324472E-2</v>
      </c>
      <c r="U8844">
        <v>-9.017944E-2</v>
      </c>
      <c r="V8844">
        <v>-3.3855580000000003E-2</v>
      </c>
      <c r="W8844">
        <v>-2.8448009999999999E-2</v>
      </c>
      <c r="X8844">
        <v>0.99902179999999996</v>
      </c>
      <c r="Y8844">
        <v>4.649851E-2</v>
      </c>
      <c r="Z8844">
        <v>-6.7048849999999996E-4</v>
      </c>
      <c r="AA8844">
        <v>0.99891810000000003</v>
      </c>
      <c r="AB8844">
        <v>24</v>
      </c>
      <c r="AC8844">
        <v>81.455699999999993</v>
      </c>
      <c r="AD8844">
        <v>-1.172126</v>
      </c>
      <c r="AE8844">
        <v>-2.4465300000000001</v>
      </c>
      <c r="AF8844">
        <v>3.79488346606461</v>
      </c>
      <c r="AG8844">
        <v>-1.172126</v>
      </c>
      <c r="AH8844">
        <v>81.387152086374797</v>
      </c>
      <c r="AI8844">
        <v>90.824213129135998</v>
      </c>
      <c r="AJ8844">
        <v>87.330371786567696</v>
      </c>
      <c r="AK8844">
        <v>81.484007907144502</v>
      </c>
      <c r="AL8844">
        <v>91.630170801080098</v>
      </c>
      <c r="AM8844">
        <v>91.940938405937402</v>
      </c>
      <c r="AN8844">
        <v>1.00000002322266</v>
      </c>
    </row>
    <row r="8845" spans="1:40" x14ac:dyDescent="0.25">
      <c r="A8845" t="str">
        <f>"20190303154014978"</f>
        <v>20190303154014978</v>
      </c>
      <c r="B8845" t="str">
        <f>"1551598814966893"</f>
        <v>1551598814966893</v>
      </c>
      <c r="C8845" t="s">
        <v>40</v>
      </c>
      <c r="D8845">
        <v>4.2923799999999996</v>
      </c>
      <c r="E8845">
        <v>0.53031859999999997</v>
      </c>
      <c r="F8845" t="s">
        <v>91</v>
      </c>
      <c r="G8845">
        <v>-157.3501</v>
      </c>
      <c r="H8845">
        <v>6.7729949999999997E-2</v>
      </c>
      <c r="I8845">
        <v>-65.224329999999995</v>
      </c>
      <c r="J8845">
        <v>-234.2261</v>
      </c>
      <c r="K8845">
        <v>1.1221559999999999</v>
      </c>
      <c r="L8845">
        <v>-62.90128</v>
      </c>
      <c r="M8845">
        <v>0.99974410000000002</v>
      </c>
      <c r="N8845">
        <v>-1.4708860000000001E-2</v>
      </c>
      <c r="O8845">
        <v>1.719408E-2</v>
      </c>
      <c r="P8845">
        <v>0.99779890000000004</v>
      </c>
      <c r="Q8845">
        <v>-4.2938530000000003E-2</v>
      </c>
      <c r="R8845">
        <v>5.0535730000000001E-2</v>
      </c>
      <c r="S8845">
        <v>3.00943</v>
      </c>
      <c r="T8845">
        <v>-4.121375E-2</v>
      </c>
      <c r="U8845">
        <v>-9.0698239999999999E-2</v>
      </c>
      <c r="V8845">
        <v>-3.3315980000000002E-2</v>
      </c>
      <c r="W8845">
        <v>-2.8311200000000002E-2</v>
      </c>
      <c r="X8845">
        <v>0.99904380000000004</v>
      </c>
      <c r="Y8845">
        <v>4.729883E-2</v>
      </c>
      <c r="Z8845">
        <v>-6.5433159999999995E-4</v>
      </c>
      <c r="AA8845">
        <v>0.99888060000000001</v>
      </c>
      <c r="AB8845">
        <v>24</v>
      </c>
      <c r="AC8845">
        <v>76.876000000000005</v>
      </c>
      <c r="AD8845">
        <v>-1.05442605</v>
      </c>
      <c r="AE8845">
        <v>-2.3230499999999998</v>
      </c>
      <c r="AF8845">
        <v>3.64397654483904</v>
      </c>
      <c r="AG8845">
        <v>-1.05442605</v>
      </c>
      <c r="AH8845">
        <v>76.810249123473298</v>
      </c>
      <c r="AI8845">
        <v>90.785604910676497</v>
      </c>
      <c r="AJ8845">
        <v>87.283851375457402</v>
      </c>
      <c r="AK8845">
        <v>76.903866936352998</v>
      </c>
      <c r="AL8845">
        <v>91.622329050582707</v>
      </c>
      <c r="AM8845">
        <v>91.909984239339906</v>
      </c>
      <c r="AN8845">
        <v>0.99999999644362003</v>
      </c>
    </row>
    <row r="8846" spans="1:40" x14ac:dyDescent="0.25">
      <c r="A8846" t="str">
        <f>"20190303154014990"</f>
        <v>20190303154014990</v>
      </c>
      <c r="B8846" t="str">
        <f>"1551598814987389"</f>
        <v>1551598814987389</v>
      </c>
      <c r="C8846" t="s">
        <v>40</v>
      </c>
      <c r="D8846">
        <v>4.2864389999999997</v>
      </c>
      <c r="E8846">
        <v>0.53022990000000003</v>
      </c>
      <c r="F8846" t="s">
        <v>91</v>
      </c>
      <c r="G8846">
        <v>-157.3501</v>
      </c>
      <c r="H8846">
        <v>7.4821470000000001E-2</v>
      </c>
      <c r="I8846">
        <v>-65.212719999999905</v>
      </c>
      <c r="J8846">
        <v>-234.10849999999999</v>
      </c>
      <c r="K8846">
        <v>1.122185</v>
      </c>
      <c r="L8846">
        <v>-62.898560000000003</v>
      </c>
      <c r="M8846">
        <v>0.99973279999999998</v>
      </c>
      <c r="N8846">
        <v>-1.4707110000000001E-2</v>
      </c>
      <c r="O8846">
        <v>1.783388E-2</v>
      </c>
      <c r="P8846">
        <v>0.99776069999999994</v>
      </c>
      <c r="Q8846">
        <v>-4.3199330000000001E-2</v>
      </c>
      <c r="R8846">
        <v>5.1064419999999999E-2</v>
      </c>
      <c r="S8846">
        <v>3.0094150000000002</v>
      </c>
      <c r="T8846">
        <v>-4.1000010000000003E-2</v>
      </c>
      <c r="U8846">
        <v>-9.0484620000000002E-2</v>
      </c>
      <c r="V8846">
        <v>-3.3203299999999998E-2</v>
      </c>
      <c r="W8846">
        <v>-2.8575929999999999E-2</v>
      </c>
      <c r="X8846">
        <v>0.99904000000000004</v>
      </c>
      <c r="Y8846">
        <v>4.7867340000000001E-2</v>
      </c>
      <c r="Z8846">
        <v>-6.5878319999999998E-4</v>
      </c>
      <c r="AA8846">
        <v>0.99885349999999995</v>
      </c>
      <c r="AB8846">
        <v>23</v>
      </c>
      <c r="AC8846">
        <v>76.758399999999995</v>
      </c>
      <c r="AD8846">
        <v>-1.0473635299999999</v>
      </c>
      <c r="AE8846">
        <v>-2.31415999999999</v>
      </c>
      <c r="AF8846">
        <v>3.6821551004223299</v>
      </c>
      <c r="AG8846">
        <v>-1.0473635299999999</v>
      </c>
      <c r="AH8846">
        <v>76.690649444126294</v>
      </c>
      <c r="AI8846">
        <v>90.781539124139798</v>
      </c>
      <c r="AJ8846">
        <v>87.2511635080307</v>
      </c>
      <c r="AK8846">
        <v>76.786137737936798</v>
      </c>
      <c r="AL8846">
        <v>91.637503125056796</v>
      </c>
      <c r="AM8846">
        <v>91.903536361071005</v>
      </c>
      <c r="AN8846">
        <v>0.99999998225312703</v>
      </c>
    </row>
    <row r="8847" spans="1:40" x14ac:dyDescent="0.25">
      <c r="A8847" t="str">
        <f>"20190303154015002"</f>
        <v>20190303154015002</v>
      </c>
      <c r="B8847" t="str">
        <f>"1551598814997148"</f>
        <v>1551598814997148</v>
      </c>
      <c r="C8847" t="s">
        <v>40</v>
      </c>
      <c r="D8847">
        <v>4.4105030000000003</v>
      </c>
      <c r="E8847">
        <v>0.52970109999999904</v>
      </c>
      <c r="F8847" t="s">
        <v>91</v>
      </c>
      <c r="G8847">
        <v>-157.3501</v>
      </c>
      <c r="H8847">
        <v>6.9984439999999995E-2</v>
      </c>
      <c r="I8847">
        <v>-65.148069999999905</v>
      </c>
      <c r="J8847">
        <v>-233.98060000000001</v>
      </c>
      <c r="K8847">
        <v>1.1222129999999999</v>
      </c>
      <c r="L8847">
        <v>-62.895479999999999</v>
      </c>
      <c r="M8847">
        <v>0.99971949999999998</v>
      </c>
      <c r="N8847">
        <v>-1.470518E-2</v>
      </c>
      <c r="O8847">
        <v>1.8566860000000001E-2</v>
      </c>
      <c r="P8847">
        <v>0.99772669999999997</v>
      </c>
      <c r="Q8847">
        <v>-4.3555030000000002E-2</v>
      </c>
      <c r="R8847">
        <v>5.142422E-2</v>
      </c>
      <c r="S8847">
        <v>3.0094449999999999</v>
      </c>
      <c r="T8847">
        <v>-4.1254039999999999E-2</v>
      </c>
      <c r="U8847">
        <v>-8.8195800000000005E-2</v>
      </c>
      <c r="V8847">
        <v>-3.2829009999999999E-2</v>
      </c>
      <c r="W8847">
        <v>-2.8934930000000001E-2</v>
      </c>
      <c r="X8847">
        <v>0.99904199999999999</v>
      </c>
      <c r="Y8847">
        <v>4.7840290000000001E-2</v>
      </c>
      <c r="Z8847">
        <v>-6.6117330000000003E-4</v>
      </c>
      <c r="AA8847">
        <v>0.99885480000000004</v>
      </c>
      <c r="AB8847">
        <v>23</v>
      </c>
      <c r="AC8847">
        <v>76.630499999999998</v>
      </c>
      <c r="AD8847">
        <v>-1.0522285600000001</v>
      </c>
      <c r="AE8847">
        <v>-2.2525899999999801</v>
      </c>
      <c r="AF8847">
        <v>3.6744510012230598</v>
      </c>
      <c r="AG8847">
        <v>-1.0522285600000001</v>
      </c>
      <c r="AH8847">
        <v>76.561036810378496</v>
      </c>
      <c r="AI8847">
        <v>90.7864987390397</v>
      </c>
      <c r="AJ8847">
        <v>87.252269289039802</v>
      </c>
      <c r="AK8847">
        <v>76.656383508374603</v>
      </c>
      <c r="AL8847">
        <v>91.658080879989299</v>
      </c>
      <c r="AM8847">
        <v>91.882090170320296</v>
      </c>
      <c r="AN8847">
        <v>0.99999994591784103</v>
      </c>
    </row>
    <row r="8848" spans="1:40" x14ac:dyDescent="0.25">
      <c r="A8848" t="str">
        <f>"20190303154015013"</f>
        <v>20190303154015013</v>
      </c>
      <c r="B8848" t="str">
        <f>"1551598815006909"</f>
        <v>1551598815006909</v>
      </c>
      <c r="C8848" t="s">
        <v>40</v>
      </c>
      <c r="D8848">
        <v>4.3257199999999996</v>
      </c>
      <c r="E8848">
        <v>0.52966029999999997</v>
      </c>
      <c r="F8848" t="s">
        <v>43</v>
      </c>
      <c r="G8848">
        <v>-159.4238</v>
      </c>
      <c r="H8848">
        <v>-0.05</v>
      </c>
      <c r="I8848">
        <v>-64.949200000000005</v>
      </c>
      <c r="J8848">
        <v>-233.86799999999999</v>
      </c>
      <c r="K8848">
        <v>1.122239</v>
      </c>
      <c r="L8848">
        <v>-62.892670000000003</v>
      </c>
      <c r="M8848">
        <v>0.99970720000000002</v>
      </c>
      <c r="N8848">
        <v>-1.470342E-2</v>
      </c>
      <c r="O8848">
        <v>1.922109E-2</v>
      </c>
      <c r="P8848">
        <v>0.99770579999999998</v>
      </c>
      <c r="Q8848">
        <v>-4.3596910000000003E-2</v>
      </c>
      <c r="R8848">
        <v>5.1795019999999997E-2</v>
      </c>
      <c r="S8848">
        <v>3.0090330000000001</v>
      </c>
      <c r="T8848">
        <v>-4.7309280000000002E-2</v>
      </c>
      <c r="U8848">
        <v>-8.2885739999999999E-2</v>
      </c>
      <c r="V8848">
        <v>-3.2545039999999997E-2</v>
      </c>
      <c r="W8848">
        <v>-2.897953E-2</v>
      </c>
      <c r="X8848">
        <v>0.99905010000000005</v>
      </c>
      <c r="Y8848">
        <v>4.6734810000000002E-2</v>
      </c>
      <c r="Z8848">
        <v>-7.3056670000000001E-4</v>
      </c>
      <c r="AA8848">
        <v>0.99890710000000005</v>
      </c>
      <c r="AB8848">
        <v>23</v>
      </c>
      <c r="AC8848">
        <v>74.444199999999995</v>
      </c>
      <c r="AD8848">
        <v>-1.172239</v>
      </c>
      <c r="AE8848">
        <v>-2.05653</v>
      </c>
      <c r="AF8848">
        <v>3.4863394744510199</v>
      </c>
      <c r="AG8848">
        <v>-1.172239</v>
      </c>
      <c r="AH8848">
        <v>74.372484151460398</v>
      </c>
      <c r="AI8848">
        <v>90.902015472436801</v>
      </c>
      <c r="AJ8848">
        <v>87.316125463060104</v>
      </c>
      <c r="AK8848">
        <v>74.463380973895298</v>
      </c>
      <c r="AL8848">
        <v>91.660637175123995</v>
      </c>
      <c r="AM8848">
        <v>91.8658065844715</v>
      </c>
      <c r="AN8848">
        <v>1.00000004754881</v>
      </c>
    </row>
    <row r="8849" spans="1:40" x14ac:dyDescent="0.25">
      <c r="A8849" t="str">
        <f>"20190303154015024"</f>
        <v>20190303154015024</v>
      </c>
      <c r="B8849" t="str">
        <f>"1551598815016669"</f>
        <v>1551598815016669</v>
      </c>
      <c r="C8849" t="s">
        <v>40</v>
      </c>
      <c r="D8849">
        <v>4.3037239999999999</v>
      </c>
      <c r="E8849">
        <v>0.52963389999999999</v>
      </c>
      <c r="F8849" t="s">
        <v>43</v>
      </c>
      <c r="G8849">
        <v>-158.08750000000001</v>
      </c>
      <c r="H8849">
        <v>-0.05</v>
      </c>
      <c r="I8849">
        <v>-64.943179999999998</v>
      </c>
      <c r="J8849">
        <v>-233.74889999999999</v>
      </c>
      <c r="K8849">
        <v>1.1222559999999999</v>
      </c>
      <c r="L8849">
        <v>-62.889620000000001</v>
      </c>
      <c r="M8849">
        <v>0.99969339999999995</v>
      </c>
      <c r="N8849">
        <v>-1.4701519999999999E-2</v>
      </c>
      <c r="O8849">
        <v>1.9930759999999999E-2</v>
      </c>
      <c r="P8849">
        <v>0.99770080000000005</v>
      </c>
      <c r="Q8849">
        <v>-4.3392859999999998E-2</v>
      </c>
      <c r="R8849">
        <v>5.2059260000000003E-2</v>
      </c>
      <c r="S8849">
        <v>3.009064</v>
      </c>
      <c r="T8849">
        <v>-4.6546820000000003E-2</v>
      </c>
      <c r="U8849">
        <v>-8.1420899999999893E-2</v>
      </c>
      <c r="V8849">
        <v>-3.2099320000000001E-2</v>
      </c>
      <c r="W8849">
        <v>-2.8777549999999999E-2</v>
      </c>
      <c r="X8849">
        <v>0.99907029999999997</v>
      </c>
      <c r="Y8849">
        <v>4.6957939999999997E-2</v>
      </c>
      <c r="Z8849">
        <v>-7.2367199999999997E-4</v>
      </c>
      <c r="AA8849">
        <v>0.99889660000000002</v>
      </c>
      <c r="AB8849">
        <v>23</v>
      </c>
      <c r="AC8849">
        <v>75.661399999999901</v>
      </c>
      <c r="AD8849">
        <v>-1.172256</v>
      </c>
      <c r="AE8849">
        <v>-2.0535600000000001</v>
      </c>
      <c r="AF8849">
        <v>3.5604499486984</v>
      </c>
      <c r="AG8849">
        <v>-1.172256</v>
      </c>
      <c r="AH8849">
        <v>75.587303001885203</v>
      </c>
      <c r="AI8849">
        <v>90.887524280834</v>
      </c>
      <c r="AJ8849">
        <v>87.303143883902706</v>
      </c>
      <c r="AK8849">
        <v>75.680191351935093</v>
      </c>
      <c r="AL8849">
        <v>91.649059842006096</v>
      </c>
      <c r="AM8849">
        <v>91.840233974281304</v>
      </c>
      <c r="AN8849">
        <v>0.99999998903527698</v>
      </c>
    </row>
    <row r="8850" spans="1:40" x14ac:dyDescent="0.25">
      <c r="A8850" t="str">
        <f>"20190303154015036"</f>
        <v>20190303154015036</v>
      </c>
      <c r="B8850" t="str">
        <f>"1551598815026429"</f>
        <v>1551598815026429</v>
      </c>
      <c r="C8850" t="s">
        <v>40</v>
      </c>
      <c r="D8850">
        <v>4.3294759999999997</v>
      </c>
      <c r="E8850">
        <v>0.52958590000000005</v>
      </c>
      <c r="F8850" t="s">
        <v>43</v>
      </c>
      <c r="G8850">
        <v>-155.93510000000001</v>
      </c>
      <c r="H8850">
        <v>-0.05</v>
      </c>
      <c r="I8850">
        <v>-64.970640000000003</v>
      </c>
      <c r="J8850">
        <v>-233.63130000000001</v>
      </c>
      <c r="K8850">
        <v>1.122271</v>
      </c>
      <c r="L8850">
        <v>-62.886470000000003</v>
      </c>
      <c r="M8850">
        <v>0.99967890000000004</v>
      </c>
      <c r="N8850">
        <v>-1.4699530000000001E-2</v>
      </c>
      <c r="O8850">
        <v>2.0642150000000001E-2</v>
      </c>
      <c r="P8850">
        <v>0.99766719999999998</v>
      </c>
      <c r="Q8850">
        <v>-4.3549989999999997E-2</v>
      </c>
      <c r="R8850">
        <v>5.2571319999999998E-2</v>
      </c>
      <c r="S8850">
        <v>3.0091399999999999</v>
      </c>
      <c r="T8850">
        <v>-4.5332310000000001E-2</v>
      </c>
      <c r="U8850">
        <v>-8.0474850000000001E-2</v>
      </c>
      <c r="V8850">
        <v>-3.1900520000000002E-2</v>
      </c>
      <c r="W8850">
        <v>-2.8937310000000001E-2</v>
      </c>
      <c r="X8850">
        <v>0.99907210000000002</v>
      </c>
      <c r="Y8850">
        <v>4.7354599999999997E-2</v>
      </c>
      <c r="Z8850">
        <v>-7.1229300000000002E-4</v>
      </c>
      <c r="AA8850">
        <v>0.99887789999999999</v>
      </c>
      <c r="AB8850">
        <v>23</v>
      </c>
      <c r="AC8850">
        <v>77.696200000000005</v>
      </c>
      <c r="AD8850">
        <v>-1.1722709999999901</v>
      </c>
      <c r="AE8850">
        <v>-2.0841699999999999</v>
      </c>
      <c r="AF8850">
        <v>3.6868769874779601</v>
      </c>
      <c r="AG8850">
        <v>-1.1722709999999901</v>
      </c>
      <c r="AH8850">
        <v>77.618958354598902</v>
      </c>
      <c r="AI8850">
        <v>90.864292054179103</v>
      </c>
      <c r="AJ8850">
        <v>87.280511871919501</v>
      </c>
      <c r="AK8850">
        <v>77.715313659993598</v>
      </c>
      <c r="AL8850">
        <v>91.658217151588801</v>
      </c>
      <c r="AM8850">
        <v>91.828841365418299</v>
      </c>
      <c r="AN8850">
        <v>1.00000003604235</v>
      </c>
    </row>
    <row r="8851" spans="1:40" x14ac:dyDescent="0.25">
      <c r="A8851" t="str">
        <f>"20190303154015045"</f>
        <v>20190303154015045</v>
      </c>
      <c r="B8851" t="str">
        <f>"1551598815037165"</f>
        <v>1551598815037165</v>
      </c>
      <c r="C8851" t="s">
        <v>40</v>
      </c>
      <c r="D8851">
        <v>4.2914839999999996</v>
      </c>
      <c r="E8851">
        <v>0.52956300000000001</v>
      </c>
      <c r="F8851" t="s">
        <v>43</v>
      </c>
      <c r="G8851">
        <v>-156.38679999999999</v>
      </c>
      <c r="H8851">
        <v>-0.05</v>
      </c>
      <c r="I8851">
        <v>-64.904449999999997</v>
      </c>
      <c r="J8851">
        <v>-233.5231</v>
      </c>
      <c r="K8851">
        <v>1.1222829999999999</v>
      </c>
      <c r="L8851">
        <v>-62.883540000000004</v>
      </c>
      <c r="M8851">
        <v>0.99966509999999997</v>
      </c>
      <c r="N8851">
        <v>-1.469762E-2</v>
      </c>
      <c r="O8851">
        <v>2.1302519999999998E-2</v>
      </c>
      <c r="P8851">
        <v>0.99765190000000004</v>
      </c>
      <c r="Q8851">
        <v>-4.3420630000000002E-2</v>
      </c>
      <c r="R8851">
        <v>5.2968939999999999E-2</v>
      </c>
      <c r="S8851">
        <v>3.0091549999999998</v>
      </c>
      <c r="T8851">
        <v>-4.5667289999999999E-2</v>
      </c>
      <c r="U8851">
        <v>-7.8613279999999994E-2</v>
      </c>
      <c r="V8851">
        <v>-3.1638619999999999E-2</v>
      </c>
      <c r="W8851">
        <v>-2.880986E-2</v>
      </c>
      <c r="X8851">
        <v>0.99908410000000003</v>
      </c>
      <c r="Y8851">
        <v>4.7396670000000002E-2</v>
      </c>
      <c r="Z8851">
        <v>-7.1815810000000002E-4</v>
      </c>
      <c r="AA8851">
        <v>0.99887590000000004</v>
      </c>
      <c r="AB8851">
        <v>23</v>
      </c>
      <c r="AC8851">
        <v>77.136300000000006</v>
      </c>
      <c r="AD8851">
        <v>-1.172283</v>
      </c>
      <c r="AE8851">
        <v>-2.02090999999999</v>
      </c>
      <c r="AF8851">
        <v>3.6629808423694801</v>
      </c>
      <c r="AG8851">
        <v>-1.172283</v>
      </c>
      <c r="AH8851">
        <v>77.057951456473006</v>
      </c>
      <c r="AI8851">
        <v>90.870590852721506</v>
      </c>
      <c r="AJ8851">
        <v>87.278470617396806</v>
      </c>
      <c r="AK8851">
        <v>77.153869369927307</v>
      </c>
      <c r="AL8851">
        <v>91.650911777830004</v>
      </c>
      <c r="AM8851">
        <v>91.813815064923801</v>
      </c>
      <c r="AN8851">
        <v>1.0000000245907601</v>
      </c>
    </row>
    <row r="8852" spans="1:40" x14ac:dyDescent="0.25">
      <c r="A8852" t="str">
        <f>"20190303154015056"</f>
        <v>20190303154015056</v>
      </c>
      <c r="B8852" t="str">
        <f>"1551598815046925"</f>
        <v>1551598815046925</v>
      </c>
      <c r="C8852" t="s">
        <v>40</v>
      </c>
      <c r="D8852">
        <v>4.3025460000000004</v>
      </c>
      <c r="E8852">
        <v>0.52959149999999999</v>
      </c>
      <c r="F8852" t="s">
        <v>43</v>
      </c>
      <c r="G8852">
        <v>-155.2396</v>
      </c>
      <c r="H8852">
        <v>-0.05</v>
      </c>
      <c r="I8852">
        <v>-64.89134</v>
      </c>
      <c r="J8852">
        <v>-233.41139999999999</v>
      </c>
      <c r="K8852">
        <v>1.122288</v>
      </c>
      <c r="L8852">
        <v>-62.880400000000002</v>
      </c>
      <c r="M8852">
        <v>0.99965029999999999</v>
      </c>
      <c r="N8852">
        <v>-1.469554E-2</v>
      </c>
      <c r="O8852">
        <v>2.1990590000000001E-2</v>
      </c>
      <c r="P8852">
        <v>0.99763139999999995</v>
      </c>
      <c r="Q8852">
        <v>-4.3387769999999999E-2</v>
      </c>
      <c r="R8852">
        <v>5.3380459999999998E-2</v>
      </c>
      <c r="S8852">
        <v>3.009201</v>
      </c>
      <c r="T8852">
        <v>-4.50623E-2</v>
      </c>
      <c r="U8852">
        <v>-7.7178960000000005E-2</v>
      </c>
      <c r="V8852">
        <v>-3.1362340000000002E-2</v>
      </c>
      <c r="W8852">
        <v>-2.8778709999999999E-2</v>
      </c>
      <c r="X8852">
        <v>0.99909369999999997</v>
      </c>
      <c r="Y8852">
        <v>4.7608190000000002E-2</v>
      </c>
      <c r="Z8852">
        <v>-7.1242509999999996E-4</v>
      </c>
      <c r="AA8852">
        <v>0.99886580000000003</v>
      </c>
      <c r="AB8852">
        <v>23</v>
      </c>
      <c r="AC8852">
        <v>78.171799999999905</v>
      </c>
      <c r="AD8852">
        <v>-1.172288</v>
      </c>
      <c r="AE8852">
        <v>-2.01093999999999</v>
      </c>
      <c r="AF8852">
        <v>3.7288450080533901</v>
      </c>
      <c r="AG8852">
        <v>-1.172288</v>
      </c>
      <c r="AH8852">
        <v>78.091115485672404</v>
      </c>
      <c r="AI8852">
        <v>90.859069371115297</v>
      </c>
      <c r="AJ8852">
        <v>87.266207222999597</v>
      </c>
      <c r="AK8852">
        <v>78.188879401393507</v>
      </c>
      <c r="AL8852">
        <v>91.649126288252504</v>
      </c>
      <c r="AM8852">
        <v>91.797969345450596</v>
      </c>
      <c r="AN8852">
        <v>1.0000000159496101</v>
      </c>
    </row>
    <row r="8853" spans="1:40" x14ac:dyDescent="0.25">
      <c r="A8853" t="str">
        <f>"20190303154015067"</f>
        <v>20190303154015067</v>
      </c>
      <c r="B8853" t="str">
        <f>"1551598815056685"</f>
        <v>1551598815056685</v>
      </c>
      <c r="C8853" t="s">
        <v>40</v>
      </c>
      <c r="D8853">
        <v>4.2733829999999999</v>
      </c>
      <c r="E8853">
        <v>0.52955730000000001</v>
      </c>
      <c r="F8853" t="s">
        <v>43</v>
      </c>
      <c r="G8853">
        <v>-154.25</v>
      </c>
      <c r="H8853">
        <v>-0.05</v>
      </c>
      <c r="I8853">
        <v>-64.885760000000005</v>
      </c>
      <c r="J8853">
        <v>-233.29480000000001</v>
      </c>
      <c r="K8853">
        <v>1.1222890000000001</v>
      </c>
      <c r="L8853">
        <v>-62.877079999999999</v>
      </c>
      <c r="M8853">
        <v>0.99963400000000002</v>
      </c>
      <c r="N8853">
        <v>-1.4693329999999999E-2</v>
      </c>
      <c r="O8853">
        <v>2.2711530000000001E-2</v>
      </c>
      <c r="P8853">
        <v>0.99760570000000004</v>
      </c>
      <c r="Q8853">
        <v>-4.3556850000000001E-2</v>
      </c>
      <c r="R8853">
        <v>5.3716559999999997E-2</v>
      </c>
      <c r="S8853">
        <v>3.0092620000000001</v>
      </c>
      <c r="T8853">
        <v>-4.4563650000000003E-2</v>
      </c>
      <c r="U8853">
        <v>-7.6232910000000001E-2</v>
      </c>
      <c r="V8853">
        <v>-3.0978200000000001E-2</v>
      </c>
      <c r="W8853">
        <v>-2.8949320000000001E-2</v>
      </c>
      <c r="X8853">
        <v>0.99910069999999995</v>
      </c>
      <c r="Y8853">
        <v>4.8014330000000001E-2</v>
      </c>
      <c r="Z8853">
        <v>-7.108924E-4</v>
      </c>
      <c r="AA8853">
        <v>0.99884640000000002</v>
      </c>
      <c r="AB8853">
        <v>23</v>
      </c>
      <c r="AC8853">
        <v>79.044799999999995</v>
      </c>
      <c r="AD8853">
        <v>-1.1722889999999999</v>
      </c>
      <c r="AE8853">
        <v>-2.0086799999999898</v>
      </c>
      <c r="AF8853">
        <v>3.8027482063012799</v>
      </c>
      <c r="AG8853">
        <v>-1.1722889999999999</v>
      </c>
      <c r="AH8853">
        <v>78.961425338047505</v>
      </c>
      <c r="AI8853">
        <v>90.849586212217901</v>
      </c>
      <c r="AJ8853">
        <v>87.242790279742493</v>
      </c>
      <c r="AK8853">
        <v>79.061633216346493</v>
      </c>
      <c r="AL8853">
        <v>91.658905687847394</v>
      </c>
      <c r="AM8853">
        <v>91.775948766242806</v>
      </c>
      <c r="AN8853">
        <v>0.99999996037209504</v>
      </c>
    </row>
    <row r="8854" spans="1:40" x14ac:dyDescent="0.25">
      <c r="A8854" t="str">
        <f>"20190303154015079"</f>
        <v>20190303154015079</v>
      </c>
      <c r="B8854" t="str">
        <f>"1551598815077181"</f>
        <v>1551598815077181</v>
      </c>
      <c r="C8854" t="s">
        <v>40</v>
      </c>
      <c r="D8854">
        <v>4.3176180000000004</v>
      </c>
      <c r="E8854">
        <v>0.52960769999999902</v>
      </c>
      <c r="F8854" t="s">
        <v>43</v>
      </c>
      <c r="G8854">
        <v>-154.4188</v>
      </c>
      <c r="H8854">
        <v>-0.05</v>
      </c>
      <c r="I8854">
        <v>-64.840029999999999</v>
      </c>
      <c r="J8854">
        <v>-233.1814</v>
      </c>
      <c r="K8854">
        <v>1.1222840000000001</v>
      </c>
      <c r="L8854">
        <v>-62.873690000000003</v>
      </c>
      <c r="M8854">
        <v>0.99961800000000001</v>
      </c>
      <c r="N8854">
        <v>-1.4690969999999999E-2</v>
      </c>
      <c r="O8854">
        <v>2.340942E-2</v>
      </c>
      <c r="P8854">
        <v>0.99755700000000003</v>
      </c>
      <c r="Q8854">
        <v>-4.3992530000000002E-2</v>
      </c>
      <c r="R8854">
        <v>5.4264159999999999E-2</v>
      </c>
      <c r="S8854">
        <v>3.0092620000000001</v>
      </c>
      <c r="T8854">
        <v>-4.4724939999999998E-2</v>
      </c>
      <c r="U8854">
        <v>-7.4890139999999994E-2</v>
      </c>
      <c r="V8854">
        <v>-3.0829160000000001E-2</v>
      </c>
      <c r="W8854">
        <v>-2.9386880000000001E-2</v>
      </c>
      <c r="X8854">
        <v>0.9990926</v>
      </c>
      <c r="Y8854">
        <v>4.8266129999999997E-2</v>
      </c>
      <c r="Z8854">
        <v>-7.1723030000000001E-4</v>
      </c>
      <c r="AA8854">
        <v>0.99883429999999995</v>
      </c>
      <c r="AB8854">
        <v>23</v>
      </c>
      <c r="AC8854">
        <v>78.762599999999907</v>
      </c>
      <c r="AD8854">
        <v>-1.1722840000000001</v>
      </c>
      <c r="AE8854">
        <v>-1.96633999999999</v>
      </c>
      <c r="AF8854">
        <v>3.8089435850408999</v>
      </c>
      <c r="AG8854">
        <v>-1.1722840000000001</v>
      </c>
      <c r="AH8854">
        <v>78.677557241109398</v>
      </c>
      <c r="AI8854">
        <v>90.852637055684099</v>
      </c>
      <c r="AJ8854">
        <v>87.228356558145194</v>
      </c>
      <c r="AK8854">
        <v>78.778425437671302</v>
      </c>
      <c r="AL8854">
        <v>91.683986593596799</v>
      </c>
      <c r="AM8854">
        <v>91.767424206489594</v>
      </c>
      <c r="AN8854">
        <v>1.0000000245985901</v>
      </c>
    </row>
    <row r="8855" spans="1:40" x14ac:dyDescent="0.25">
      <c r="A8855" t="str">
        <f>"20190303154015090"</f>
        <v>20190303154015090</v>
      </c>
      <c r="B8855" t="str">
        <f>"1551598815086941"</f>
        <v>1551598815086941</v>
      </c>
      <c r="C8855" t="s">
        <v>40</v>
      </c>
      <c r="D8855">
        <v>4.318473</v>
      </c>
      <c r="E8855">
        <v>0.52962569999999998</v>
      </c>
      <c r="F8855" t="s">
        <v>43</v>
      </c>
      <c r="G8855">
        <v>-156.03829999999999</v>
      </c>
      <c r="H8855">
        <v>-0.05</v>
      </c>
      <c r="I8855">
        <v>-64.759059999999906</v>
      </c>
      <c r="J8855">
        <v>-233.06309999999999</v>
      </c>
      <c r="K8855">
        <v>1.1222760000000001</v>
      </c>
      <c r="L8855">
        <v>-62.870119999999901</v>
      </c>
      <c r="M8855">
        <v>0.99960079999999996</v>
      </c>
      <c r="N8855">
        <v>-1.468846E-2</v>
      </c>
      <c r="O8855">
        <v>2.41357E-2</v>
      </c>
      <c r="P8855">
        <v>0.99751679999999998</v>
      </c>
      <c r="Q8855">
        <v>-4.4604989999999997E-2</v>
      </c>
      <c r="R8855">
        <v>5.4505209999999998E-2</v>
      </c>
      <c r="S8855">
        <v>3.0093380000000001</v>
      </c>
      <c r="T8855">
        <v>-4.5730590000000002E-2</v>
      </c>
      <c r="U8855">
        <v>-7.3547360000000006E-2</v>
      </c>
      <c r="V8855">
        <v>-3.0344579999999999E-2</v>
      </c>
      <c r="W8855">
        <v>-3.0000389999999998E-2</v>
      </c>
      <c r="X8855">
        <v>0.99908920000000001</v>
      </c>
      <c r="Y8855">
        <v>4.8545379999999999E-2</v>
      </c>
      <c r="Z8855">
        <v>-7.3763289999999998E-4</v>
      </c>
      <c r="AA8855">
        <v>0.99882070000000001</v>
      </c>
      <c r="AB8855">
        <v>23</v>
      </c>
      <c r="AC8855">
        <v>77.024799999999999</v>
      </c>
      <c r="AD8855">
        <v>-1.1722760000000001</v>
      </c>
      <c r="AE8855">
        <v>-1.8889399999999901</v>
      </c>
      <c r="AF8855">
        <v>3.74677027087409</v>
      </c>
      <c r="AG8855">
        <v>-1.1722760000000001</v>
      </c>
      <c r="AH8855">
        <v>76.938950564325907</v>
      </c>
      <c r="AI8855">
        <v>90.871883322450103</v>
      </c>
      <c r="AJ8855">
        <v>87.212014675192293</v>
      </c>
      <c r="AK8855">
        <v>77.039046154678303</v>
      </c>
      <c r="AL8855">
        <v>91.719153636318495</v>
      </c>
      <c r="AM8855">
        <v>91.739666540114399</v>
      </c>
      <c r="AN8855">
        <v>1.0000000232460799</v>
      </c>
    </row>
    <row r="8856" spans="1:40" x14ac:dyDescent="0.25">
      <c r="A8856" t="str">
        <f>"20190303154015101"</f>
        <v>20190303154015101</v>
      </c>
      <c r="B8856" t="str">
        <f>"1551598815096701"</f>
        <v>1551598815096701</v>
      </c>
      <c r="C8856" t="s">
        <v>40</v>
      </c>
      <c r="D8856">
        <v>4.3233249999999996</v>
      </c>
      <c r="E8856">
        <v>0.52966279999999999</v>
      </c>
      <c r="F8856" t="s">
        <v>43</v>
      </c>
      <c r="G8856">
        <v>-158.47540000000001</v>
      </c>
      <c r="H8856">
        <v>-0.05</v>
      </c>
      <c r="I8856">
        <v>-64.680149999999998</v>
      </c>
      <c r="J8856">
        <v>-232.94540000000001</v>
      </c>
      <c r="K8856">
        <v>1.1222570000000001</v>
      </c>
      <c r="L8856">
        <v>-62.866459999999996</v>
      </c>
      <c r="M8856">
        <v>0.99958360000000002</v>
      </c>
      <c r="N8856">
        <v>-1.4685749999999999E-2</v>
      </c>
      <c r="O8856">
        <v>2.4842650000000001E-2</v>
      </c>
      <c r="P8856">
        <v>0.99747419999999998</v>
      </c>
      <c r="Q8856">
        <v>-4.5348039999999999E-2</v>
      </c>
      <c r="R8856">
        <v>5.4674899999999999E-2</v>
      </c>
      <c r="S8856">
        <v>3.0093380000000001</v>
      </c>
      <c r="T8856">
        <v>-4.7296999999999999E-2</v>
      </c>
      <c r="U8856">
        <v>-7.3028560000000006E-2</v>
      </c>
      <c r="V8856">
        <v>-2.9808899999999999E-2</v>
      </c>
      <c r="W8856">
        <v>-3.074402E-2</v>
      </c>
      <c r="X8856">
        <v>0.99908269999999999</v>
      </c>
      <c r="Y8856">
        <v>4.9078959999999998E-2</v>
      </c>
      <c r="Z8856">
        <v>-7.7166159999999997E-4</v>
      </c>
      <c r="AA8856">
        <v>0.99879459999999998</v>
      </c>
      <c r="AB8856">
        <v>23</v>
      </c>
      <c r="AC8856">
        <v>74.47</v>
      </c>
      <c r="AD8856">
        <v>-1.1722569999999899</v>
      </c>
      <c r="AE8856">
        <v>-1.81369</v>
      </c>
      <c r="AF8856">
        <v>3.6624546373629401</v>
      </c>
      <c r="AG8856">
        <v>-1.1722569999999899</v>
      </c>
      <c r="AH8856">
        <v>74.383529393823395</v>
      </c>
      <c r="AI8856">
        <v>90.901793340061403</v>
      </c>
      <c r="AJ8856">
        <v>87.181178881249394</v>
      </c>
      <c r="AK8856">
        <v>74.482865180701694</v>
      </c>
      <c r="AL8856">
        <v>91.761780197273794</v>
      </c>
      <c r="AM8856">
        <v>91.708985284948696</v>
      </c>
      <c r="AN8856">
        <v>1.0000000033621299</v>
      </c>
    </row>
    <row r="8857" spans="1:40" x14ac:dyDescent="0.25">
      <c r="A8857" t="str">
        <f>"20190303154015114"</f>
        <v>20190303154015114</v>
      </c>
      <c r="B8857" t="str">
        <f>"1551598815106461"</f>
        <v>1551598815106461</v>
      </c>
      <c r="C8857" t="s">
        <v>40</v>
      </c>
      <c r="D8857">
        <v>4.2778119999999999</v>
      </c>
      <c r="E8857">
        <v>0.52968159999999997</v>
      </c>
      <c r="F8857" t="s">
        <v>43</v>
      </c>
      <c r="G8857">
        <v>-161.41299999999899</v>
      </c>
      <c r="H8857">
        <v>-0.05</v>
      </c>
      <c r="I8857">
        <v>-64.597239999999999</v>
      </c>
      <c r="J8857">
        <v>-232.82859999999999</v>
      </c>
      <c r="K8857">
        <v>1.122236</v>
      </c>
      <c r="L8857">
        <v>-62.862760000000002</v>
      </c>
      <c r="M8857">
        <v>0.99956610000000001</v>
      </c>
      <c r="N8857">
        <v>-1.468297E-2</v>
      </c>
      <c r="O8857">
        <v>2.5534899999999999E-2</v>
      </c>
      <c r="P8857">
        <v>0.99744949999999999</v>
      </c>
      <c r="Q8857">
        <v>-4.5806989999999999E-2</v>
      </c>
      <c r="R8857">
        <v>5.4740360000000002E-2</v>
      </c>
      <c r="S8857">
        <v>3.0093540000000001</v>
      </c>
      <c r="T8857">
        <v>-4.9316640000000002E-2</v>
      </c>
      <c r="U8857">
        <v>-7.2814939999999995E-2</v>
      </c>
      <c r="V8857">
        <v>-2.9183919999999999E-2</v>
      </c>
      <c r="W8857">
        <v>-3.1203069999999999E-2</v>
      </c>
      <c r="X8857">
        <v>0.9990869</v>
      </c>
      <c r="Y8857">
        <v>4.9698730000000003E-2</v>
      </c>
      <c r="Z8857">
        <v>-8.1559809999999999E-4</v>
      </c>
      <c r="AA8857">
        <v>0.99876390000000004</v>
      </c>
      <c r="AB8857">
        <v>23</v>
      </c>
      <c r="AC8857">
        <v>71.415599999999998</v>
      </c>
      <c r="AD8857">
        <v>-1.1722360000000001</v>
      </c>
      <c r="AE8857">
        <v>-1.73448</v>
      </c>
      <c r="AF8857">
        <v>3.5567433959443902</v>
      </c>
      <c r="AG8857">
        <v>-1.1722360000000001</v>
      </c>
      <c r="AH8857">
        <v>71.328807334831097</v>
      </c>
      <c r="AI8857">
        <v>90.940360714967795</v>
      </c>
      <c r="AJ8857">
        <v>87.145364618231795</v>
      </c>
      <c r="AK8857">
        <v>71.4270489144956</v>
      </c>
      <c r="AL8857">
        <v>91.788094486418899</v>
      </c>
      <c r="AM8857">
        <v>91.673167876215402</v>
      </c>
      <c r="AN8857">
        <v>0.99999998325780004</v>
      </c>
    </row>
    <row r="8858" spans="1:40" x14ac:dyDescent="0.25">
      <c r="A8858" t="str">
        <f>"20190303154015124"</f>
        <v>20190303154015124</v>
      </c>
      <c r="B8858" t="str">
        <f>"1551598815117197"</f>
        <v>1551598815117197</v>
      </c>
      <c r="C8858" t="s">
        <v>40</v>
      </c>
      <c r="D8858">
        <v>4.2930799999999998</v>
      </c>
      <c r="E8858">
        <v>0.52949550000000001</v>
      </c>
      <c r="F8858" t="s">
        <v>43</v>
      </c>
      <c r="G8858">
        <v>-162.8571</v>
      </c>
      <c r="H8858">
        <v>-0.05</v>
      </c>
      <c r="I8858">
        <v>-64.555099999999996</v>
      </c>
      <c r="J8858">
        <v>-232.7157</v>
      </c>
      <c r="K8858">
        <v>1.1222080000000001</v>
      </c>
      <c r="L8858">
        <v>-62.859160000000003</v>
      </c>
      <c r="M8858">
        <v>0.99954940000000003</v>
      </c>
      <c r="N8858">
        <v>-1.4680149999999999E-2</v>
      </c>
      <c r="O8858">
        <v>2.6187140000000001E-2</v>
      </c>
      <c r="P8858">
        <v>0.99741329999999995</v>
      </c>
      <c r="Q8858">
        <v>-4.6320769999999997E-2</v>
      </c>
      <c r="R8858">
        <v>5.4967050000000003E-2</v>
      </c>
      <c r="S8858">
        <v>3.0093540000000001</v>
      </c>
      <c r="T8858">
        <v>-5.0415870000000002E-2</v>
      </c>
      <c r="U8858">
        <v>-7.2784420000000002E-2</v>
      </c>
      <c r="V8858">
        <v>-2.876041E-2</v>
      </c>
      <c r="W8858">
        <v>-3.1717250000000002E-2</v>
      </c>
      <c r="X8858">
        <v>0.99908300000000005</v>
      </c>
      <c r="Y8858">
        <v>5.0339700000000001E-2</v>
      </c>
      <c r="Z8858">
        <v>-8.454224E-4</v>
      </c>
      <c r="AA8858">
        <v>0.99873179999999995</v>
      </c>
      <c r="AB8858">
        <v>23</v>
      </c>
      <c r="AC8858">
        <v>69.858599999999996</v>
      </c>
      <c r="AD8858">
        <v>-1.1722079999999999</v>
      </c>
      <c r="AE8858">
        <v>-1.69594</v>
      </c>
      <c r="AF8858">
        <v>3.5239604883259301</v>
      </c>
      <c r="AG8858">
        <v>-1.1722079999999999</v>
      </c>
      <c r="AH8858">
        <v>69.770587823654395</v>
      </c>
      <c r="AI8858">
        <v>90.961304403419007</v>
      </c>
      <c r="AJ8858">
        <v>87.108571965597804</v>
      </c>
      <c r="AK8858">
        <v>69.869358766034395</v>
      </c>
      <c r="AL8858">
        <v>91.817569403313698</v>
      </c>
      <c r="AM8858">
        <v>91.648907203856993</v>
      </c>
      <c r="AN8858">
        <v>0.999999993009965</v>
      </c>
    </row>
    <row r="8859" spans="1:40" x14ac:dyDescent="0.25">
      <c r="A8859" t="str">
        <f>"20190303154015135"</f>
        <v>20190303154015135</v>
      </c>
      <c r="B8859" t="str">
        <f>"1551598815126958"</f>
        <v>1551598815126958</v>
      </c>
      <c r="C8859" t="s">
        <v>40</v>
      </c>
      <c r="D8859">
        <v>4.3948809999999998</v>
      </c>
      <c r="E8859">
        <v>0.52949550000000001</v>
      </c>
      <c r="F8859" t="s">
        <v>43</v>
      </c>
      <c r="G8859">
        <v>-166.1788</v>
      </c>
      <c r="H8859">
        <v>-0.05</v>
      </c>
      <c r="I8859">
        <v>-64.419889999999995</v>
      </c>
      <c r="J8859">
        <v>-232.59899999999999</v>
      </c>
      <c r="K8859">
        <v>1.1221749999999999</v>
      </c>
      <c r="L8859">
        <v>-62.855350000000001</v>
      </c>
      <c r="M8859">
        <v>0.99953199999999998</v>
      </c>
      <c r="N8859">
        <v>-1.467711E-2</v>
      </c>
      <c r="O8859">
        <v>2.684019E-2</v>
      </c>
      <c r="P8859">
        <v>0.99736990000000003</v>
      </c>
      <c r="Q8859">
        <v>-4.6704559999999999E-2</v>
      </c>
      <c r="R8859">
        <v>5.542822E-2</v>
      </c>
      <c r="S8859">
        <v>3.0092469999999998</v>
      </c>
      <c r="T8859">
        <v>-5.3015109999999997E-2</v>
      </c>
      <c r="U8859">
        <v>-7.0587159999999996E-2</v>
      </c>
      <c r="V8859">
        <v>-2.85714E-2</v>
      </c>
      <c r="W8859">
        <v>-3.2101820000000003E-2</v>
      </c>
      <c r="X8859">
        <v>0.99907610000000002</v>
      </c>
      <c r="Y8859">
        <v>5.0263139999999998E-2</v>
      </c>
      <c r="Z8859">
        <v>-8.9048410000000001E-4</v>
      </c>
      <c r="AA8859">
        <v>0.99873559999999995</v>
      </c>
      <c r="AB8859">
        <v>23</v>
      </c>
      <c r="AC8859">
        <v>66.420199999999994</v>
      </c>
      <c r="AD8859">
        <v>-1.172175</v>
      </c>
      <c r="AE8859">
        <v>-1.56454</v>
      </c>
      <c r="AF8859">
        <v>3.3458575583537402</v>
      </c>
      <c r="AG8859">
        <v>-1.172175</v>
      </c>
      <c r="AH8859">
        <v>66.333621073522494</v>
      </c>
      <c r="AI8859">
        <v>91.011077714801601</v>
      </c>
      <c r="AJ8859">
        <v>87.112456916791501</v>
      </c>
      <c r="AK8859">
        <v>66.428292479613503</v>
      </c>
      <c r="AL8859">
        <v>91.839614942177903</v>
      </c>
      <c r="AM8859">
        <v>91.638088012012503</v>
      </c>
      <c r="AN8859">
        <v>0.99999995266824004</v>
      </c>
    </row>
    <row r="8860" spans="1:40" x14ac:dyDescent="0.25">
      <c r="A8860" t="str">
        <f>"20190303154015146"</f>
        <v>20190303154015146</v>
      </c>
      <c r="B8860" t="str">
        <f>"1551598815136719"</f>
        <v>1551598815136719</v>
      </c>
      <c r="C8860" t="s">
        <v>40</v>
      </c>
      <c r="D8860">
        <v>4.4030449999999997</v>
      </c>
      <c r="E8860">
        <v>0.50530889999999995</v>
      </c>
      <c r="F8860" t="s">
        <v>43</v>
      </c>
      <c r="G8860">
        <v>-167.34099999999901</v>
      </c>
      <c r="H8860">
        <v>-0.05</v>
      </c>
      <c r="I8860">
        <v>-64.355000000000004</v>
      </c>
      <c r="J8860">
        <v>-232.48429999999999</v>
      </c>
      <c r="K8860">
        <v>1.122142</v>
      </c>
      <c r="L8860">
        <v>-62.851529999999997</v>
      </c>
      <c r="M8860">
        <v>0.99951509999999999</v>
      </c>
      <c r="N8860">
        <v>-1.4674059999999999E-2</v>
      </c>
      <c r="O8860">
        <v>2.746523E-2</v>
      </c>
      <c r="P8860">
        <v>0.99735980000000002</v>
      </c>
      <c r="Q8860">
        <v>-4.6854060000000003E-2</v>
      </c>
      <c r="R8860">
        <v>5.5482530000000002E-2</v>
      </c>
      <c r="S8860">
        <v>3.0092159999999999</v>
      </c>
      <c r="T8860">
        <v>-5.4052000000000003E-2</v>
      </c>
      <c r="U8860">
        <v>-6.9152829999999998E-2</v>
      </c>
      <c r="V8860">
        <v>-2.800339E-2</v>
      </c>
      <c r="W8860">
        <v>-3.2250899999999999E-2</v>
      </c>
      <c r="X8860">
        <v>0.99908750000000002</v>
      </c>
      <c r="Y8860">
        <v>5.0411629999999999E-2</v>
      </c>
      <c r="Z8860">
        <v>-9.1287580000000001E-4</v>
      </c>
      <c r="AA8860">
        <v>0.99872810000000001</v>
      </c>
      <c r="AB8860">
        <v>23</v>
      </c>
      <c r="AC8860">
        <v>65.143299999999996</v>
      </c>
      <c r="AD8860">
        <v>-1.172142</v>
      </c>
      <c r="AE8860">
        <v>-1.5034700000000001</v>
      </c>
      <c r="AF8860">
        <v>3.2912060070314499</v>
      </c>
      <c r="AG8860">
        <v>-1.172142</v>
      </c>
      <c r="AH8860">
        <v>65.056371089842401</v>
      </c>
      <c r="AI8860">
        <v>91.030887115239096</v>
      </c>
      <c r="AJ8860">
        <v>87.103871876715402</v>
      </c>
      <c r="AK8860">
        <v>65.1501141459335</v>
      </c>
      <c r="AL8860">
        <v>91.848160802751494</v>
      </c>
      <c r="AM8860">
        <v>91.605521123954503</v>
      </c>
      <c r="AN8860">
        <v>1.0000000715292701</v>
      </c>
    </row>
    <row r="8861" spans="1:40" x14ac:dyDescent="0.25">
      <c r="A8861" t="str">
        <f>"20190303154015158"</f>
        <v>20190303154015158</v>
      </c>
      <c r="B8861" t="str">
        <f>"1551598815146478"</f>
        <v>1551598815146478</v>
      </c>
      <c r="C8861" t="s">
        <v>40</v>
      </c>
      <c r="D8861">
        <v>4.4095009999999997</v>
      </c>
      <c r="E8861">
        <v>0.50207139999999995</v>
      </c>
      <c r="F8861" t="s">
        <v>63</v>
      </c>
      <c r="G8861">
        <v>-194.1318</v>
      </c>
      <c r="H8861" s="1">
        <v>-8.1483989999999902E-6</v>
      </c>
      <c r="I8861">
        <v>-61.2667199999999</v>
      </c>
      <c r="J8861">
        <v>-232.3724</v>
      </c>
      <c r="K8861">
        <v>1.122104</v>
      </c>
      <c r="L8861">
        <v>-62.847810000000003</v>
      </c>
      <c r="M8861">
        <v>0.99949929999999998</v>
      </c>
      <c r="N8861">
        <v>-1.467093E-2</v>
      </c>
      <c r="O8861">
        <v>2.8035930000000001E-2</v>
      </c>
      <c r="P8861">
        <v>0.99734140000000004</v>
      </c>
      <c r="Q8861">
        <v>-4.6688189999999997E-2</v>
      </c>
      <c r="R8861">
        <v>5.595203E-2</v>
      </c>
      <c r="S8861">
        <v>2.9969329999999998</v>
      </c>
      <c r="T8861">
        <v>-8.7686780000000006E-2</v>
      </c>
      <c r="U8861">
        <v>0.1238403</v>
      </c>
      <c r="V8861">
        <v>-2.7906839999999999E-2</v>
      </c>
      <c r="W8861">
        <v>-3.2085219999999998E-2</v>
      </c>
      <c r="X8861">
        <v>0.99909539999999997</v>
      </c>
      <c r="Y8861">
        <v>-1.3250319999999999E-2</v>
      </c>
      <c r="Z8861">
        <v>-1.173627E-4</v>
      </c>
      <c r="AA8861">
        <v>0.99991220000000003</v>
      </c>
      <c r="AB8861">
        <v>23</v>
      </c>
      <c r="AC8861">
        <v>38.240600000000001</v>
      </c>
      <c r="AD8861">
        <v>-1.122112148399</v>
      </c>
      <c r="AE8861">
        <v>1.5810900000000001</v>
      </c>
      <c r="AF8861">
        <v>-0.50780574232039299</v>
      </c>
      <c r="AG8861">
        <v>-1.122112148399</v>
      </c>
      <c r="AH8861">
        <v>38.237029685347999</v>
      </c>
      <c r="AI8861">
        <v>91.680783787438102</v>
      </c>
      <c r="AJ8861">
        <v>90.760870176285493</v>
      </c>
      <c r="AK8861">
        <v>38.256861365037501</v>
      </c>
      <c r="AL8861">
        <v>91.838663373239598</v>
      </c>
      <c r="AM8861">
        <v>91.599975850779998</v>
      </c>
      <c r="AN8861">
        <v>0.99999993568119405</v>
      </c>
    </row>
    <row r="8862" spans="1:40" x14ac:dyDescent="0.25">
      <c r="A8862" t="str">
        <f>"20190303154015167"</f>
        <v>20190303154015167</v>
      </c>
      <c r="B8862" t="str">
        <f>"1551598815157213"</f>
        <v>1551598815157213</v>
      </c>
      <c r="C8862" t="s">
        <v>40</v>
      </c>
      <c r="D8862">
        <v>4.4442940000000002</v>
      </c>
      <c r="E8862">
        <v>0.500865</v>
      </c>
      <c r="F8862" t="s">
        <v>63</v>
      </c>
      <c r="G8862">
        <v>-190.4573</v>
      </c>
      <c r="H8862" s="1">
        <v>-9.6141130000000006E-6</v>
      </c>
      <c r="I8862">
        <v>-60.733820000000001</v>
      </c>
      <c r="J8862">
        <v>-232.261</v>
      </c>
      <c r="K8862">
        <v>1.122061</v>
      </c>
      <c r="L8862">
        <v>-62.844059999999999</v>
      </c>
      <c r="M8862">
        <v>0.99948360000000003</v>
      </c>
      <c r="N8862">
        <v>-1.466783E-2</v>
      </c>
      <c r="O8862">
        <v>2.8592469999999998E-2</v>
      </c>
      <c r="P8862">
        <v>0.99732880000000002</v>
      </c>
      <c r="Q8862">
        <v>-4.6422440000000002E-2</v>
      </c>
      <c r="R8862">
        <v>5.6397269999999999E-2</v>
      </c>
      <c r="S8862">
        <v>2.9957889999999998</v>
      </c>
      <c r="T8862">
        <v>-8.0200549999999995E-2</v>
      </c>
      <c r="U8862">
        <v>0.15109249999999999</v>
      </c>
      <c r="V8862">
        <v>-2.7799399999999998E-2</v>
      </c>
      <c r="W8862">
        <v>-3.1819470000000002E-2</v>
      </c>
      <c r="X8862">
        <v>0.99910690000000002</v>
      </c>
      <c r="Y8862">
        <v>-2.1781140000000001E-2</v>
      </c>
      <c r="Z8862">
        <v>1.058276E-4</v>
      </c>
      <c r="AA8862">
        <v>0.99976279999999995</v>
      </c>
      <c r="AB8862">
        <v>23</v>
      </c>
      <c r="AC8862">
        <v>41.8036999999999</v>
      </c>
      <c r="AD8862">
        <v>-1.1220706141129999</v>
      </c>
      <c r="AE8862">
        <v>2.1102400000000001</v>
      </c>
      <c r="AF8862">
        <v>-0.91332115313809403</v>
      </c>
      <c r="AG8862">
        <v>-1.1220706141129999</v>
      </c>
      <c r="AH8862">
        <v>41.816897515876498</v>
      </c>
      <c r="AI8862">
        <v>91.536679517999701</v>
      </c>
      <c r="AJ8862">
        <v>91.251195857222797</v>
      </c>
      <c r="AK8862">
        <v>41.841918166417003</v>
      </c>
      <c r="AL8862">
        <v>91.823429229602596</v>
      </c>
      <c r="AM8862">
        <v>91.593800867717803</v>
      </c>
      <c r="AN8862">
        <v>0.99999994146952298</v>
      </c>
    </row>
    <row r="8863" spans="1:40" x14ac:dyDescent="0.25">
      <c r="A8863" t="str">
        <f>"20190303154015179"</f>
        <v>20190303154015179</v>
      </c>
      <c r="B8863" t="str">
        <f>"1551598815166973"</f>
        <v>1551598815166973</v>
      </c>
      <c r="C8863" t="s">
        <v>40</v>
      </c>
      <c r="D8863">
        <v>4.4146150000000004</v>
      </c>
      <c r="E8863">
        <v>0.49987019999999999</v>
      </c>
      <c r="F8863" t="s">
        <v>63</v>
      </c>
      <c r="G8863">
        <v>-186.16210000000001</v>
      </c>
      <c r="H8863" s="1">
        <v>-1.370314E-5</v>
      </c>
      <c r="I8863">
        <v>-60.351170000000003</v>
      </c>
      <c r="J8863">
        <v>-232.1456</v>
      </c>
      <c r="K8863">
        <v>1.1220139999999901</v>
      </c>
      <c r="L8863">
        <v>-62.840119999999999</v>
      </c>
      <c r="M8863">
        <v>0.99946880000000005</v>
      </c>
      <c r="N8863">
        <v>-1.4664440000000001E-2</v>
      </c>
      <c r="O8863">
        <v>2.9105209999999999E-2</v>
      </c>
      <c r="P8863">
        <v>0.99731219999999998</v>
      </c>
      <c r="Q8863">
        <v>-4.6148250000000002E-2</v>
      </c>
      <c r="R8863">
        <v>5.691264E-2</v>
      </c>
      <c r="S8863">
        <v>2.9954990000000001</v>
      </c>
      <c r="T8863">
        <v>-7.291222E-2</v>
      </c>
      <c r="U8863">
        <v>0.161987299999999</v>
      </c>
      <c r="V8863">
        <v>-2.7807749999999999E-2</v>
      </c>
      <c r="W8863">
        <v>-3.1545070000000001E-2</v>
      </c>
      <c r="X8863">
        <v>0.99911539999999999</v>
      </c>
      <c r="Y8863">
        <v>-2.4898819999999999E-2</v>
      </c>
      <c r="Z8863">
        <v>2.0453499999999999E-4</v>
      </c>
      <c r="AA8863">
        <v>0.99968990000000002</v>
      </c>
      <c r="AB8863">
        <v>23</v>
      </c>
      <c r="AC8863">
        <v>45.9834999999999</v>
      </c>
      <c r="AD8863">
        <v>-1.1220277031400001</v>
      </c>
      <c r="AE8863">
        <v>2.48895</v>
      </c>
      <c r="AF8863">
        <v>-1.14871007955334</v>
      </c>
      <c r="AG8863">
        <v>-1.1220277031400001</v>
      </c>
      <c r="AH8863">
        <v>46.0091508020977</v>
      </c>
      <c r="AI8863">
        <v>91.3965634061081</v>
      </c>
      <c r="AJ8863">
        <v>91.430206119339999</v>
      </c>
      <c r="AK8863">
        <v>46.037163667450798</v>
      </c>
      <c r="AL8863">
        <v>91.807699314161894</v>
      </c>
      <c r="AM8863">
        <v>91.594265788219801</v>
      </c>
      <c r="AN8863">
        <v>0.99999997245926298</v>
      </c>
    </row>
    <row r="8864" spans="1:40" x14ac:dyDescent="0.25">
      <c r="A8864" t="str">
        <f>"20190303154015191"</f>
        <v>20190303154015191</v>
      </c>
      <c r="B8864" t="str">
        <f>"1551598815187469"</f>
        <v>1551598815187469</v>
      </c>
      <c r="C8864" t="s">
        <v>40</v>
      </c>
      <c r="D8864">
        <v>4.3951560000000001</v>
      </c>
      <c r="E8864">
        <v>0.4991718</v>
      </c>
      <c r="F8864" t="s">
        <v>63</v>
      </c>
      <c r="G8864">
        <v>-184.2337</v>
      </c>
      <c r="H8864" s="1">
        <v>-1.4051209999999999E-5</v>
      </c>
      <c r="I8864">
        <v>-60.096490000000003</v>
      </c>
      <c r="J8864">
        <v>-232.0291</v>
      </c>
      <c r="K8864">
        <v>1.1219629999999901</v>
      </c>
      <c r="L8864">
        <v>-62.836150000000004</v>
      </c>
      <c r="M8864">
        <v>0.99945419999999996</v>
      </c>
      <c r="N8864">
        <v>-1.466104E-2</v>
      </c>
      <c r="O8864">
        <v>2.960527E-2</v>
      </c>
      <c r="P8864">
        <v>0.99729659999999998</v>
      </c>
      <c r="Q8864">
        <v>-4.586718E-2</v>
      </c>
      <c r="R8864">
        <v>5.7409950000000001E-2</v>
      </c>
      <c r="S8864">
        <v>2.9950559999999999</v>
      </c>
      <c r="T8864">
        <v>-7.0139880000000002E-2</v>
      </c>
      <c r="U8864">
        <v>0.17150879999999999</v>
      </c>
      <c r="V8864">
        <v>-2.7810370000000001E-2</v>
      </c>
      <c r="W8864">
        <v>-3.1263600000000002E-2</v>
      </c>
      <c r="X8864">
        <v>0.99912420000000002</v>
      </c>
      <c r="Y8864">
        <v>-2.7574080000000001E-2</v>
      </c>
      <c r="Z8864">
        <v>2.6631970000000002E-4</v>
      </c>
      <c r="AA8864">
        <v>0.9996197</v>
      </c>
      <c r="AB8864">
        <v>23</v>
      </c>
      <c r="AC8864">
        <v>47.795400000000001</v>
      </c>
      <c r="AD8864">
        <v>-1.12197705120999</v>
      </c>
      <c r="AE8864">
        <v>2.7396600000000002</v>
      </c>
      <c r="AF8864">
        <v>-1.3225846915228601</v>
      </c>
      <c r="AG8864">
        <v>-1.12197705120999</v>
      </c>
      <c r="AH8864">
        <v>47.829292024144401</v>
      </c>
      <c r="AI8864">
        <v>91.343281694556296</v>
      </c>
      <c r="AJ8864">
        <v>91.583950169485703</v>
      </c>
      <c r="AK8864">
        <v>47.860727515370797</v>
      </c>
      <c r="AL8864">
        <v>91.791564266089495</v>
      </c>
      <c r="AM8864">
        <v>91.594401883852001</v>
      </c>
      <c r="AN8864">
        <v>0.99999999819506802</v>
      </c>
    </row>
    <row r="8865" spans="1:40" x14ac:dyDescent="0.25">
      <c r="A8865" t="str">
        <f>"20190303154015203"</f>
        <v>20190303154015203</v>
      </c>
      <c r="B8865" t="str">
        <f>"1551598815197229"</f>
        <v>1551598815197229</v>
      </c>
      <c r="C8865" t="s">
        <v>40</v>
      </c>
      <c r="D8865">
        <v>4.3949749999999996</v>
      </c>
      <c r="E8865">
        <v>0.4988514</v>
      </c>
      <c r="F8865" t="s">
        <v>63</v>
      </c>
      <c r="G8865">
        <v>-184.1302</v>
      </c>
      <c r="H8865" s="1">
        <v>-1.4038180000000001E-5</v>
      </c>
      <c r="I8865">
        <v>-59.979669999999999</v>
      </c>
      <c r="J8865">
        <v>-231.90770000000001</v>
      </c>
      <c r="K8865">
        <v>1.121902</v>
      </c>
      <c r="L8865">
        <v>-62.831969999999998</v>
      </c>
      <c r="M8865">
        <v>0.99944069999999996</v>
      </c>
      <c r="N8865">
        <v>-1.4657409999999999E-2</v>
      </c>
      <c r="O8865">
        <v>3.0058069999999999E-2</v>
      </c>
      <c r="P8865">
        <v>0.99727929999999998</v>
      </c>
      <c r="Q8865">
        <v>-4.5383039999999999E-2</v>
      </c>
      <c r="R8865">
        <v>5.8086760000000001E-2</v>
      </c>
      <c r="S8865">
        <v>2.994659</v>
      </c>
      <c r="T8865">
        <v>-7.0146440000000004E-2</v>
      </c>
      <c r="U8865">
        <v>0.17858889999999999</v>
      </c>
      <c r="V8865">
        <v>-2.8039950000000001E-2</v>
      </c>
      <c r="W8865">
        <v>-3.0778880000000002E-2</v>
      </c>
      <c r="X8865">
        <v>0.99913280000000004</v>
      </c>
      <c r="Y8865">
        <v>-2.948317E-2</v>
      </c>
      <c r="Z8865">
        <v>2.9849040000000002E-4</v>
      </c>
      <c r="AA8865">
        <v>0.99956520000000004</v>
      </c>
      <c r="AB8865">
        <v>23</v>
      </c>
      <c r="AC8865">
        <v>47.777500000000003</v>
      </c>
      <c r="AD8865">
        <v>-1.12191603818</v>
      </c>
      <c r="AE8865">
        <v>2.8523000000000001</v>
      </c>
      <c r="AF8865">
        <v>-1.4139803094449099</v>
      </c>
      <c r="AG8865">
        <v>-1.12191603818</v>
      </c>
      <c r="AH8865">
        <v>47.815378941150897</v>
      </c>
      <c r="AI8865">
        <v>91.343525669962602</v>
      </c>
      <c r="AJ8865">
        <v>91.693837898403402</v>
      </c>
      <c r="AK8865">
        <v>47.849435724970498</v>
      </c>
      <c r="AL8865">
        <v>91.763778541247603</v>
      </c>
      <c r="AM8865">
        <v>91.607543272841994</v>
      </c>
      <c r="AN8865">
        <v>0.99999996514294798</v>
      </c>
    </row>
    <row r="8866" spans="1:40" x14ac:dyDescent="0.25">
      <c r="A8866" t="str">
        <f>"20190303154015214"</f>
        <v>20190303154015214</v>
      </c>
      <c r="B8866" t="str">
        <f>"1551598815206989"</f>
        <v>1551598815206989</v>
      </c>
      <c r="C8866" t="s">
        <v>40</v>
      </c>
      <c r="D8866">
        <v>4.4352660000000004</v>
      </c>
      <c r="E8866">
        <v>0.49868459999999998</v>
      </c>
      <c r="F8866" t="s">
        <v>63</v>
      </c>
      <c r="G8866">
        <v>-184.8717</v>
      </c>
      <c r="H8866" s="1">
        <v>-1.386625E-5</v>
      </c>
      <c r="I8866">
        <v>-59.953699999999998</v>
      </c>
      <c r="J8866">
        <v>-231.7937</v>
      </c>
      <c r="K8866">
        <v>1.1218440000000001</v>
      </c>
      <c r="L8866">
        <v>-62.828060000000001</v>
      </c>
      <c r="M8866">
        <v>0.99942889999999995</v>
      </c>
      <c r="N8866">
        <v>-1.465401E-2</v>
      </c>
      <c r="O8866">
        <v>3.044848E-2</v>
      </c>
      <c r="P8866">
        <v>0.99726150000000002</v>
      </c>
      <c r="Q8866">
        <v>-4.4885630000000003E-2</v>
      </c>
      <c r="R8866">
        <v>5.8778869999999997E-2</v>
      </c>
      <c r="S8866">
        <v>2.9942630000000001</v>
      </c>
      <c r="T8866">
        <v>-7.1419949999999996E-2</v>
      </c>
      <c r="U8866">
        <v>0.18322749999999999</v>
      </c>
      <c r="V8866">
        <v>-2.834768E-2</v>
      </c>
      <c r="W8866">
        <v>-3.0280850000000002E-2</v>
      </c>
      <c r="X8866">
        <v>0.99913940000000001</v>
      </c>
      <c r="Y8866">
        <v>-3.064265E-2</v>
      </c>
      <c r="Z8866">
        <v>3.1054709999999997E-4</v>
      </c>
      <c r="AA8866">
        <v>0.99953040000000004</v>
      </c>
      <c r="AB8866">
        <v>23</v>
      </c>
      <c r="AC8866">
        <v>46.921999999999997</v>
      </c>
      <c r="AD8866">
        <v>-1.1218578662500001</v>
      </c>
      <c r="AE8866">
        <v>2.8743599999999998</v>
      </c>
      <c r="AF8866">
        <v>-1.4433479696490901</v>
      </c>
      <c r="AG8866">
        <v>-1.1218578662500001</v>
      </c>
      <c r="AH8866">
        <v>46.961024206696003</v>
      </c>
      <c r="AI8866">
        <v>91.367840198357598</v>
      </c>
      <c r="AJ8866">
        <v>91.760432683706796</v>
      </c>
      <c r="AK8866">
        <v>46.996591503804197</v>
      </c>
      <c r="AL8866">
        <v>91.735230101373901</v>
      </c>
      <c r="AM8866">
        <v>91.625165436136101</v>
      </c>
      <c r="AN8866">
        <v>1.0000000307352299</v>
      </c>
    </row>
    <row r="8867" spans="1:40" x14ac:dyDescent="0.25">
      <c r="A8867" t="str">
        <f>"20190303154015225"</f>
        <v>20190303154015225</v>
      </c>
      <c r="B8867" t="str">
        <f>"1551598815216749"</f>
        <v>1551598815216749</v>
      </c>
      <c r="C8867" t="s">
        <v>40</v>
      </c>
      <c r="D8867">
        <v>4.4506389999999998</v>
      </c>
      <c r="E8867">
        <v>0.49853789999999998</v>
      </c>
      <c r="F8867" t="s">
        <v>63</v>
      </c>
      <c r="G8867">
        <v>-183.54679999999999</v>
      </c>
      <c r="H8867" s="1">
        <v>-1.41176E-5</v>
      </c>
      <c r="I8867">
        <v>-59.8185</v>
      </c>
      <c r="J8867">
        <v>-231.67679999999999</v>
      </c>
      <c r="K8867">
        <v>1.1217820000000001</v>
      </c>
      <c r="L8867">
        <v>-62.824039999999997</v>
      </c>
      <c r="M8867">
        <v>0.99941809999999998</v>
      </c>
      <c r="N8867">
        <v>-1.465054E-2</v>
      </c>
      <c r="O8867">
        <v>3.0804979999999999E-2</v>
      </c>
      <c r="P8867">
        <v>0.99722869999999997</v>
      </c>
      <c r="Q8867">
        <v>-4.490997E-2</v>
      </c>
      <c r="R8867">
        <v>5.9313600000000001E-2</v>
      </c>
      <c r="S8867">
        <v>2.9940950000000002</v>
      </c>
      <c r="T8867">
        <v>-6.9620130000000002E-2</v>
      </c>
      <c r="U8867">
        <v>0.18676760000000001</v>
      </c>
      <c r="V8867">
        <v>-2.8531560000000001E-2</v>
      </c>
      <c r="W8867">
        <v>-3.0304419999999999E-2</v>
      </c>
      <c r="X8867">
        <v>0.99913339999999995</v>
      </c>
      <c r="Y8867">
        <v>-3.1466880000000003E-2</v>
      </c>
      <c r="Z8867">
        <v>3.3201870000000003E-4</v>
      </c>
      <c r="AA8867">
        <v>0.99950470000000002</v>
      </c>
      <c r="AB8867">
        <v>23</v>
      </c>
      <c r="AC8867">
        <v>48.13</v>
      </c>
      <c r="AD8867">
        <v>-1.1217961176</v>
      </c>
      <c r="AE8867">
        <v>3.0055399999999999</v>
      </c>
      <c r="AF8867">
        <v>-1.52048777963753</v>
      </c>
      <c r="AG8867">
        <v>-1.1217961176</v>
      </c>
      <c r="AH8867">
        <v>48.173680324517299</v>
      </c>
      <c r="AI8867">
        <v>91.333313021782004</v>
      </c>
      <c r="AJ8867">
        <v>91.8078050184169</v>
      </c>
      <c r="AK8867">
        <v>48.210722724579398</v>
      </c>
      <c r="AL8867">
        <v>91.736581272093304</v>
      </c>
      <c r="AM8867">
        <v>91.635711339731401</v>
      </c>
      <c r="AN8867">
        <v>0.99999997939156404</v>
      </c>
    </row>
    <row r="8868" spans="1:40" x14ac:dyDescent="0.25">
      <c r="A8868" t="str">
        <f>"20190303154015236"</f>
        <v>20190303154015236</v>
      </c>
      <c r="B8868" t="str">
        <f>"1551598815226509"</f>
        <v>1551598815226509</v>
      </c>
      <c r="C8868" t="s">
        <v>40</v>
      </c>
      <c r="D8868">
        <v>4.4621079999999997</v>
      </c>
      <c r="E8868">
        <v>0.49853180000000002</v>
      </c>
      <c r="F8868" t="s">
        <v>63</v>
      </c>
      <c r="G8868">
        <v>-183.10419999999999</v>
      </c>
      <c r="H8868" s="1">
        <v>-1.4193790000000001E-5</v>
      </c>
      <c r="I8868">
        <v>-59.747929999999997</v>
      </c>
      <c r="J8868">
        <v>-231.56790000000001</v>
      </c>
      <c r="K8868">
        <v>1.1217200000000001</v>
      </c>
      <c r="L8868">
        <v>-62.820340000000002</v>
      </c>
      <c r="M8868">
        <v>0.99940960000000001</v>
      </c>
      <c r="N8868">
        <v>-1.464733E-2</v>
      </c>
      <c r="O8868">
        <v>3.1082229999999999E-2</v>
      </c>
      <c r="P8868">
        <v>0.99720830000000005</v>
      </c>
      <c r="Q8868">
        <v>-4.4623900000000001E-2</v>
      </c>
      <c r="R8868">
        <v>5.9872549999999997E-2</v>
      </c>
      <c r="S8868">
        <v>2.9939269999999998</v>
      </c>
      <c r="T8868">
        <v>-6.9145440000000002E-2</v>
      </c>
      <c r="U8868">
        <v>0.18960569999999999</v>
      </c>
      <c r="V8868">
        <v>-2.8819089999999999E-2</v>
      </c>
      <c r="W8868">
        <v>-3.001742E-2</v>
      </c>
      <c r="X8868">
        <v>0.99913379999999996</v>
      </c>
      <c r="Y8868">
        <v>-3.2136669999999999E-2</v>
      </c>
      <c r="Z8868">
        <v>3.4454940000000001E-4</v>
      </c>
      <c r="AA8868">
        <v>0.99948340000000002</v>
      </c>
      <c r="AB8868">
        <v>23</v>
      </c>
      <c r="AC8868">
        <v>48.463700000000003</v>
      </c>
      <c r="AD8868">
        <v>-1.1217341937899901</v>
      </c>
      <c r="AE8868">
        <v>3.0724099999999899</v>
      </c>
      <c r="AF8868">
        <v>-1.5635695506596901</v>
      </c>
      <c r="AG8868">
        <v>-1.1217341937899901</v>
      </c>
      <c r="AH8868">
        <v>48.509902172020901</v>
      </c>
      <c r="AI8868">
        <v>91.323973845977406</v>
      </c>
      <c r="AJ8868">
        <v>91.846116523472901</v>
      </c>
      <c r="AK8868">
        <v>48.548055018510297</v>
      </c>
      <c r="AL8868">
        <v>91.720129918335203</v>
      </c>
      <c r="AM8868">
        <v>91.652185652536104</v>
      </c>
      <c r="AN8868">
        <v>0.99999996787716094</v>
      </c>
    </row>
    <row r="8869" spans="1:40" x14ac:dyDescent="0.25">
      <c r="A8869" t="str">
        <f>"20190303154015246"</f>
        <v>20190303154015246</v>
      </c>
      <c r="B8869" t="str">
        <f>"1551598815237245"</f>
        <v>1551598815237245</v>
      </c>
      <c r="C8869" t="s">
        <v>40</v>
      </c>
      <c r="D8869">
        <v>4.4481219999999997</v>
      </c>
      <c r="E8869">
        <v>0.4985</v>
      </c>
      <c r="F8869" t="s">
        <v>63</v>
      </c>
      <c r="G8869">
        <v>-181.5377</v>
      </c>
      <c r="H8869" s="1">
        <v>-1.450152E-5</v>
      </c>
      <c r="I8869">
        <v>-59.622329999999998</v>
      </c>
      <c r="J8869">
        <v>-231.46610000000001</v>
      </c>
      <c r="K8869">
        <v>1.121658</v>
      </c>
      <c r="L8869">
        <v>-62.816830000000003</v>
      </c>
      <c r="M8869">
        <v>0.99940220000000002</v>
      </c>
      <c r="N8869">
        <v>-1.464435E-2</v>
      </c>
      <c r="O8869">
        <v>3.131668E-2</v>
      </c>
      <c r="P8869">
        <v>0.99718030000000002</v>
      </c>
      <c r="Q8869">
        <v>-4.4580740000000001E-2</v>
      </c>
      <c r="R8869">
        <v>6.0366389999999999E-2</v>
      </c>
      <c r="S8869">
        <v>2.9939119999999999</v>
      </c>
      <c r="T8869">
        <v>-6.7126870000000005E-2</v>
      </c>
      <c r="U8869">
        <v>0.19137570000000001</v>
      </c>
      <c r="V8869">
        <v>-2.9083540000000001E-2</v>
      </c>
      <c r="W8869">
        <v>-2.9973340000000001E-2</v>
      </c>
      <c r="X8869">
        <v>0.99912749999999995</v>
      </c>
      <c r="Y8869">
        <v>-3.249138E-2</v>
      </c>
      <c r="Z8869">
        <v>3.5927240000000003E-4</v>
      </c>
      <c r="AA8869">
        <v>0.99947200000000003</v>
      </c>
      <c r="AB8869">
        <v>23</v>
      </c>
      <c r="AC8869">
        <v>49.928400000000003</v>
      </c>
      <c r="AD8869">
        <v>-1.12167250152</v>
      </c>
      <c r="AE8869">
        <v>3.1944999999999899</v>
      </c>
      <c r="AF8869">
        <v>-1.6283548602650499</v>
      </c>
      <c r="AG8869">
        <v>-1.12167250152</v>
      </c>
      <c r="AH8869">
        <v>49.9788356687082</v>
      </c>
      <c r="AI8869">
        <v>91.284988868722095</v>
      </c>
      <c r="AJ8869">
        <v>91.866087284099095</v>
      </c>
      <c r="AK8869">
        <v>50.017933819294797</v>
      </c>
      <c r="AL8869">
        <v>91.717603115566703</v>
      </c>
      <c r="AM8869">
        <v>91.667348442384693</v>
      </c>
      <c r="AN8869">
        <v>1.00000000733296</v>
      </c>
    </row>
    <row r="8870" spans="1:40" x14ac:dyDescent="0.25">
      <c r="A8870" t="str">
        <f>"20190303154015257"</f>
        <v>20190303154015257</v>
      </c>
      <c r="B8870" t="str">
        <f>"1551598815247005"</f>
        <v>1551598815247005</v>
      </c>
      <c r="C8870" t="s">
        <v>40</v>
      </c>
      <c r="D8870">
        <v>4.4620009999999999</v>
      </c>
      <c r="E8870">
        <v>0.49849379999999999</v>
      </c>
      <c r="F8870" t="s">
        <v>63</v>
      </c>
      <c r="G8870">
        <v>-180.6534</v>
      </c>
      <c r="H8870" s="1">
        <v>-1.466646E-5</v>
      </c>
      <c r="I8870">
        <v>-59.539209999999997</v>
      </c>
      <c r="J8870">
        <v>-231.3492</v>
      </c>
      <c r="K8870">
        <v>1.1215930000000001</v>
      </c>
      <c r="L8870">
        <v>-62.812899999999999</v>
      </c>
      <c r="M8870">
        <v>0.99939610000000001</v>
      </c>
      <c r="N8870">
        <v>-1.464096E-2</v>
      </c>
      <c r="O8870">
        <v>3.1513799999999897E-2</v>
      </c>
      <c r="P8870">
        <v>0.9971778</v>
      </c>
      <c r="Q8870">
        <v>-4.4176840000000002E-2</v>
      </c>
      <c r="R8870">
        <v>6.0702279999999997E-2</v>
      </c>
      <c r="S8870">
        <v>2.9938349999999998</v>
      </c>
      <c r="T8870">
        <v>-6.6087839999999995E-2</v>
      </c>
      <c r="U8870">
        <v>0.19311519999999999</v>
      </c>
      <c r="V8870">
        <v>-2.922777E-2</v>
      </c>
      <c r="W8870">
        <v>-2.9567800000000002E-2</v>
      </c>
      <c r="X8870">
        <v>0.99913540000000001</v>
      </c>
      <c r="Y8870">
        <v>-3.2874300000000002E-2</v>
      </c>
      <c r="Z8870">
        <v>3.698978E-4</v>
      </c>
      <c r="AA8870">
        <v>0.9994594</v>
      </c>
      <c r="AB8870">
        <v>23</v>
      </c>
      <c r="AC8870">
        <v>50.695799999999899</v>
      </c>
      <c r="AD8870">
        <v>-1.1216076664599901</v>
      </c>
      <c r="AE8870">
        <v>3.2736900000000002</v>
      </c>
      <c r="AF8870">
        <v>-1.67345940885296</v>
      </c>
      <c r="AG8870">
        <v>-1.1216076664599901</v>
      </c>
      <c r="AH8870">
        <v>50.749054655213499</v>
      </c>
      <c r="AI8870">
        <v>91.265403512697702</v>
      </c>
      <c r="AJ8870">
        <v>91.888654512360802</v>
      </c>
      <c r="AK8870">
        <v>50.789024587487297</v>
      </c>
      <c r="AL8870">
        <v>91.694357038999797</v>
      </c>
      <c r="AM8870">
        <v>91.675599150782404</v>
      </c>
      <c r="AN8870">
        <v>1.0000000324345799</v>
      </c>
    </row>
    <row r="8871" spans="1:40" x14ac:dyDescent="0.25">
      <c r="A8871" t="str">
        <f>"20190303154015268"</f>
        <v>20190303154015268</v>
      </c>
      <c r="B8871" t="str">
        <f>"1551598815256765"</f>
        <v>1551598815256765</v>
      </c>
      <c r="C8871" t="s">
        <v>40</v>
      </c>
      <c r="D8871">
        <v>4.4241699999999904</v>
      </c>
      <c r="E8871">
        <v>0.49840640000000003</v>
      </c>
      <c r="F8871" t="s">
        <v>63</v>
      </c>
      <c r="G8871">
        <v>-180.07650000000001</v>
      </c>
      <c r="H8871" s="1">
        <v>-1.47567899999999E-5</v>
      </c>
      <c r="I8871">
        <v>-59.487229999999997</v>
      </c>
      <c r="J8871">
        <v>-231.2354</v>
      </c>
      <c r="K8871">
        <v>1.1215280000000001</v>
      </c>
      <c r="L8871">
        <v>-62.809049999999999</v>
      </c>
      <c r="M8871">
        <v>0.99939089999999997</v>
      </c>
      <c r="N8871">
        <v>-1.463771E-2</v>
      </c>
      <c r="O8871">
        <v>3.1682509999999997E-2</v>
      </c>
      <c r="P8871">
        <v>0.99718200000000001</v>
      </c>
      <c r="Q8871">
        <v>-4.3804679999999999E-2</v>
      </c>
      <c r="R8871">
        <v>6.0905899999999999E-2</v>
      </c>
      <c r="S8871">
        <v>2.9937740000000002</v>
      </c>
      <c r="T8871">
        <v>-6.5489770000000003E-2</v>
      </c>
      <c r="U8871">
        <v>0.1941833</v>
      </c>
      <c r="V8871">
        <v>-2.9267640000000001E-2</v>
      </c>
      <c r="W8871">
        <v>-2.919383E-2</v>
      </c>
      <c r="X8871">
        <v>0.99914519999999996</v>
      </c>
      <c r="Y8871">
        <v>-3.3062080000000001E-2</v>
      </c>
      <c r="Z8871">
        <v>3.7495710000000002E-4</v>
      </c>
      <c r="AA8871">
        <v>0.99945320000000004</v>
      </c>
      <c r="AB8871">
        <v>23</v>
      </c>
      <c r="AC8871">
        <v>51.158899999999903</v>
      </c>
      <c r="AD8871">
        <v>-1.12154275678999</v>
      </c>
      <c r="AE8871">
        <v>3.32181999999999</v>
      </c>
      <c r="AF8871">
        <v>-1.6983233785659799</v>
      </c>
      <c r="AG8871">
        <v>-1.12154275678999</v>
      </c>
      <c r="AH8871">
        <v>51.213956335656498</v>
      </c>
      <c r="AI8871">
        <v>91.253840072528405</v>
      </c>
      <c r="AJ8871">
        <v>91.899308776946697</v>
      </c>
      <c r="AK8871">
        <v>51.254380144569303</v>
      </c>
      <c r="AL8871">
        <v>91.672920932688598</v>
      </c>
      <c r="AM8871">
        <v>91.677867104853107</v>
      </c>
      <c r="AN8871">
        <v>1.0000000025721301</v>
      </c>
    </row>
    <row r="8872" spans="1:40" x14ac:dyDescent="0.25">
      <c r="A8872" t="str">
        <f>"20190303154015281"</f>
        <v>20190303154015281</v>
      </c>
      <c r="B8872" t="str">
        <f>"1551598815266526"</f>
        <v>1551598815266526</v>
      </c>
      <c r="C8872" t="s">
        <v>40</v>
      </c>
      <c r="D8872">
        <v>4.4770459999999996</v>
      </c>
      <c r="E8872">
        <v>0.49846960000000001</v>
      </c>
      <c r="F8872" t="s">
        <v>63</v>
      </c>
      <c r="G8872">
        <v>-179.95769999999999</v>
      </c>
      <c r="H8872">
        <v>2.0352930000000002E-2</v>
      </c>
      <c r="I8872">
        <v>-59.459989999999998</v>
      </c>
      <c r="J8872">
        <v>-231.12029999999999</v>
      </c>
      <c r="K8872">
        <v>1.1214710000000001</v>
      </c>
      <c r="L8872">
        <v>-62.805269999999901</v>
      </c>
      <c r="M8872">
        <v>0.99938830000000001</v>
      </c>
      <c r="N8872">
        <v>-1.4634400000000001E-2</v>
      </c>
      <c r="O8872">
        <v>3.1767139999999999E-2</v>
      </c>
      <c r="P8872">
        <v>0.99718649999999998</v>
      </c>
      <c r="Q8872">
        <v>-4.3271619999999997E-2</v>
      </c>
      <c r="R8872">
        <v>6.1212219999999998E-2</v>
      </c>
      <c r="S8872">
        <v>2.9937130000000001</v>
      </c>
      <c r="T8872">
        <v>-6.4289209999999999E-2</v>
      </c>
      <c r="U8872">
        <v>0.19552610000000001</v>
      </c>
      <c r="V8872">
        <v>-2.9493439999999999E-2</v>
      </c>
      <c r="W8872">
        <v>-2.8659210000000001E-2</v>
      </c>
      <c r="X8872">
        <v>0.99915399999999999</v>
      </c>
      <c r="Y8872">
        <v>-3.3425299999999998E-2</v>
      </c>
      <c r="Z8872">
        <v>3.8683819999999999E-4</v>
      </c>
      <c r="AA8872">
        <v>0.99944109999999997</v>
      </c>
      <c r="AB8872">
        <v>23</v>
      </c>
      <c r="AC8872">
        <v>51.162599999999998</v>
      </c>
      <c r="AD8872">
        <v>-1.1011180699999901</v>
      </c>
      <c r="AE8872">
        <v>3.3452799999999798</v>
      </c>
      <c r="AF8872">
        <v>-1.7173358843578701</v>
      </c>
      <c r="AG8872">
        <v>-1.1011180699999901</v>
      </c>
      <c r="AH8872">
        <v>51.219430386326401</v>
      </c>
      <c r="AI8872">
        <v>91.230866586897307</v>
      </c>
      <c r="AJ8872">
        <v>91.920350347714603</v>
      </c>
      <c r="AK8872">
        <v>51.260040505675697</v>
      </c>
      <c r="AL8872">
        <v>91.642276701879396</v>
      </c>
      <c r="AM8872">
        <v>91.690789490343406</v>
      </c>
      <c r="AN8872">
        <v>0.99999996451842799</v>
      </c>
    </row>
    <row r="8873" spans="1:40" x14ac:dyDescent="0.25">
      <c r="A8873" t="str">
        <f>"20190303154015292"</f>
        <v>20190303154015292</v>
      </c>
      <c r="B8873" t="str">
        <f>"1551598815287021"</f>
        <v>1551598815287021</v>
      </c>
      <c r="C8873" t="s">
        <v>40</v>
      </c>
      <c r="D8873">
        <v>4.496518</v>
      </c>
      <c r="E8873">
        <v>0.49847409999999998</v>
      </c>
      <c r="F8873" t="s">
        <v>63</v>
      </c>
      <c r="G8873">
        <v>-179.95240000000001</v>
      </c>
      <c r="H8873">
        <v>5.5354449999999999E-2</v>
      </c>
      <c r="I8873">
        <v>-59.455570000000002</v>
      </c>
      <c r="J8873">
        <v>-230.9975</v>
      </c>
      <c r="K8873">
        <v>1.121402</v>
      </c>
      <c r="L8873">
        <v>-62.801209999999998</v>
      </c>
      <c r="M8873">
        <v>0.99938629999999995</v>
      </c>
      <c r="N8873">
        <v>-1.463094E-2</v>
      </c>
      <c r="O8873">
        <v>3.1831440000000003E-2</v>
      </c>
      <c r="P8873">
        <v>0.99720580000000003</v>
      </c>
      <c r="Q8873">
        <v>-4.2600579999999999E-2</v>
      </c>
      <c r="R8873">
        <v>6.1368810000000003E-2</v>
      </c>
      <c r="S8873">
        <v>2.9937290000000001</v>
      </c>
      <c r="T8873">
        <v>-6.2376260000000003E-2</v>
      </c>
      <c r="U8873">
        <v>0.19598389999999999</v>
      </c>
      <c r="V8873">
        <v>-2.9590729999999999E-2</v>
      </c>
      <c r="W8873">
        <v>-2.7986299999999999E-2</v>
      </c>
      <c r="X8873">
        <v>0.99917020000000001</v>
      </c>
      <c r="Y8873">
        <v>-3.3513290000000001E-2</v>
      </c>
      <c r="Z8873">
        <v>3.9743550000000003E-4</v>
      </c>
      <c r="AA8873">
        <v>0.99943820000000005</v>
      </c>
      <c r="AB8873">
        <v>23</v>
      </c>
      <c r="AC8873">
        <v>51.045099999999898</v>
      </c>
      <c r="AD8873">
        <v>-1.06604755</v>
      </c>
      <c r="AE8873">
        <v>3.3456399999999999</v>
      </c>
      <c r="AF8873">
        <v>-1.71818529484174</v>
      </c>
      <c r="AG8873">
        <v>-1.06604755</v>
      </c>
      <c r="AH8873">
        <v>51.103541417066197</v>
      </c>
      <c r="AI8873">
        <v>91.194372981412499</v>
      </c>
      <c r="AJ8873">
        <v>91.925653168811607</v>
      </c>
      <c r="AK8873">
        <v>51.143529047691601</v>
      </c>
      <c r="AL8873">
        <v>91.603706320456993</v>
      </c>
      <c r="AM8873">
        <v>91.696336155740894</v>
      </c>
      <c r="AN8873">
        <v>0.99999996642883004</v>
      </c>
    </row>
    <row r="8874" spans="1:40" x14ac:dyDescent="0.25">
      <c r="A8874" t="str">
        <f>"20190303154015303"</f>
        <v>20190303154015303</v>
      </c>
      <c r="B8874" t="str">
        <f>"1551598815296781"</f>
        <v>1551598815296781</v>
      </c>
      <c r="C8874" t="s">
        <v>40</v>
      </c>
      <c r="D8874">
        <v>4.4890299999999996</v>
      </c>
      <c r="E8874">
        <v>0.49849909999999997</v>
      </c>
      <c r="F8874" t="s">
        <v>63</v>
      </c>
      <c r="G8874">
        <v>-179.94329999999999</v>
      </c>
      <c r="H8874">
        <v>6.4430329999999994E-2</v>
      </c>
      <c r="I8874">
        <v>-59.4505699999999</v>
      </c>
      <c r="J8874">
        <v>-230.8887</v>
      </c>
      <c r="K8874">
        <v>1.121345</v>
      </c>
      <c r="L8874">
        <v>-62.797699999999999</v>
      </c>
      <c r="M8874">
        <v>0.99938629999999995</v>
      </c>
      <c r="N8874">
        <v>-1.462802E-2</v>
      </c>
      <c r="O8874">
        <v>3.18289E-2</v>
      </c>
      <c r="P8874">
        <v>0.99719290000000005</v>
      </c>
      <c r="Q8874">
        <v>-4.2476130000000001E-2</v>
      </c>
      <c r="R8874">
        <v>6.1661889999999997E-2</v>
      </c>
      <c r="S8874">
        <v>2.9936829999999999</v>
      </c>
      <c r="T8874">
        <v>-6.1977980000000002E-2</v>
      </c>
      <c r="U8874">
        <v>0.19647220000000001</v>
      </c>
      <c r="V8874">
        <v>-2.9890030000000001E-2</v>
      </c>
      <c r="W8874">
        <v>-2.78605E-2</v>
      </c>
      <c r="X8874">
        <v>0.99916479999999996</v>
      </c>
      <c r="Y8874">
        <v>-3.3679180000000003E-2</v>
      </c>
      <c r="Z8874">
        <v>4.022362E-4</v>
      </c>
      <c r="AA8874">
        <v>0.9994326</v>
      </c>
      <c r="AB8874">
        <v>23</v>
      </c>
      <c r="AC8874">
        <v>50.945399999999999</v>
      </c>
      <c r="AD8874">
        <v>-1.0569146700000001</v>
      </c>
      <c r="AE8874">
        <v>3.3471299999999999</v>
      </c>
      <c r="AF8874">
        <v>-1.72298584295839</v>
      </c>
      <c r="AG8874">
        <v>-1.0569146700000001</v>
      </c>
      <c r="AH8874">
        <v>51.004271176778097</v>
      </c>
      <c r="AI8874">
        <v>91.186441341716403</v>
      </c>
      <c r="AJ8874">
        <v>91.934784839525605</v>
      </c>
      <c r="AK8874">
        <v>51.044308469299601</v>
      </c>
      <c r="AL8874">
        <v>91.596495710614306</v>
      </c>
      <c r="AM8874">
        <v>91.713493087042195</v>
      </c>
      <c r="AN8874">
        <v>0.99999995945634401</v>
      </c>
    </row>
    <row r="8875" spans="1:40" x14ac:dyDescent="0.25">
      <c r="A8875" t="str">
        <f>"20190303154015314"</f>
        <v>20190303154015314</v>
      </c>
      <c r="B8875" t="str">
        <f>"1551598815306541"</f>
        <v>1551598815306541</v>
      </c>
      <c r="C8875" t="s">
        <v>40</v>
      </c>
      <c r="D8875">
        <v>4.4847700000000001</v>
      </c>
      <c r="E8875">
        <v>0.49849329999999997</v>
      </c>
      <c r="F8875" t="s">
        <v>63</v>
      </c>
      <c r="G8875">
        <v>-179.94229999999999</v>
      </c>
      <c r="H8875">
        <v>6.5460900000000002E-2</v>
      </c>
      <c r="I8875">
        <v>-59.441589999999998</v>
      </c>
      <c r="J8875">
        <v>-230.7784</v>
      </c>
      <c r="K8875">
        <v>1.121294</v>
      </c>
      <c r="L8875">
        <v>-62.794159999999998</v>
      </c>
      <c r="M8875">
        <v>0.99938749999999998</v>
      </c>
      <c r="N8875">
        <v>-1.462514E-2</v>
      </c>
      <c r="O8875">
        <v>3.1793200000000001E-2</v>
      </c>
      <c r="P8875">
        <v>0.99718850000000003</v>
      </c>
      <c r="Q8875">
        <v>-4.2269029999999999E-2</v>
      </c>
      <c r="R8875">
        <v>6.1873850000000001E-2</v>
      </c>
      <c r="S8875">
        <v>2.9936069999999999</v>
      </c>
      <c r="T8875">
        <v>-6.2043670000000002E-2</v>
      </c>
      <c r="U8875">
        <v>0.19720460000000001</v>
      </c>
      <c r="V8875">
        <v>-3.0141769999999998E-2</v>
      </c>
      <c r="W8875">
        <v>-2.7652039999999999E-2</v>
      </c>
      <c r="X8875">
        <v>0.99916309999999997</v>
      </c>
      <c r="Y8875">
        <v>-3.3959900000000001E-2</v>
      </c>
      <c r="Z8875">
        <v>4.069392E-4</v>
      </c>
      <c r="AA8875">
        <v>0.99942310000000001</v>
      </c>
      <c r="AB8875">
        <v>23</v>
      </c>
      <c r="AC8875">
        <v>50.836100000000002</v>
      </c>
      <c r="AD8875">
        <v>-1.0558331000000001</v>
      </c>
      <c r="AE8875">
        <v>3.3525699999999898</v>
      </c>
      <c r="AF8875">
        <v>-1.7337150674906801</v>
      </c>
      <c r="AG8875">
        <v>-1.0558331000000001</v>
      </c>
      <c r="AH8875">
        <v>50.895136205535202</v>
      </c>
      <c r="AI8875">
        <v>91.187756942222293</v>
      </c>
      <c r="AJ8875">
        <v>91.950995089087698</v>
      </c>
      <c r="AK8875">
        <v>50.935600917730198</v>
      </c>
      <c r="AL8875">
        <v>91.584547114999395</v>
      </c>
      <c r="AM8875">
        <v>91.727918705421501</v>
      </c>
      <c r="AN8875">
        <v>1.00000003100825</v>
      </c>
    </row>
    <row r="8876" spans="1:40" x14ac:dyDescent="0.25">
      <c r="A8876" t="str">
        <f>"20190303154015325"</f>
        <v>20190303154015325</v>
      </c>
      <c r="B8876" t="str">
        <f>"1551598815317277"</f>
        <v>1551598815317277</v>
      </c>
      <c r="C8876" t="s">
        <v>40</v>
      </c>
      <c r="D8876">
        <v>4.4771700000000001</v>
      </c>
      <c r="E8876">
        <v>0.49853170000000002</v>
      </c>
      <c r="F8876" t="s">
        <v>63</v>
      </c>
      <c r="G8876">
        <v>-179.94589999999999</v>
      </c>
      <c r="H8876">
        <v>6.1775289999999997E-2</v>
      </c>
      <c r="I8876">
        <v>-59.43356</v>
      </c>
      <c r="J8876">
        <v>-230.66409999999999</v>
      </c>
      <c r="K8876">
        <v>1.121238</v>
      </c>
      <c r="L8876">
        <v>-62.790590000000002</v>
      </c>
      <c r="M8876">
        <v>0.99939009999999995</v>
      </c>
      <c r="N8876">
        <v>-1.462225E-2</v>
      </c>
      <c r="O8876">
        <v>3.1713940000000003E-2</v>
      </c>
      <c r="P8876">
        <v>0.99717829999999996</v>
      </c>
      <c r="Q8876">
        <v>-4.2225329999999998E-2</v>
      </c>
      <c r="R8876">
        <v>6.2069649999999997E-2</v>
      </c>
      <c r="S8876">
        <v>2.9935299999999998</v>
      </c>
      <c r="T8876">
        <v>-6.2395220000000001E-2</v>
      </c>
      <c r="U8876">
        <v>0.19790650000000001</v>
      </c>
      <c r="V8876">
        <v>-3.0421E-2</v>
      </c>
      <c r="W8876">
        <v>-2.7607079999999999E-2</v>
      </c>
      <c r="X8876">
        <v>0.99915589999999999</v>
      </c>
      <c r="Y8876">
        <v>-3.4273940000000003E-2</v>
      </c>
      <c r="Z8876">
        <v>4.1111419999999998E-4</v>
      </c>
      <c r="AA8876">
        <v>0.99941239999999998</v>
      </c>
      <c r="AB8876">
        <v>23</v>
      </c>
      <c r="AC8876">
        <v>50.718200000000003</v>
      </c>
      <c r="AD8876">
        <v>-1.05946271</v>
      </c>
      <c r="AE8876">
        <v>3.35703</v>
      </c>
      <c r="AF8876">
        <v>-1.7459366683594699</v>
      </c>
      <c r="AG8876">
        <v>-1.05946271</v>
      </c>
      <c r="AH8876">
        <v>50.777098247872502</v>
      </c>
      <c r="AI8876">
        <v>91.194595610950799</v>
      </c>
      <c r="AJ8876">
        <v>91.969301331873496</v>
      </c>
      <c r="AK8876">
        <v>50.818150916359599</v>
      </c>
      <c r="AL8876">
        <v>91.581970082476104</v>
      </c>
      <c r="AM8876">
        <v>91.743928671799196</v>
      </c>
      <c r="AN8876">
        <v>1.0000000503059601</v>
      </c>
    </row>
    <row r="8877" spans="1:40" x14ac:dyDescent="0.25">
      <c r="A8877" t="str">
        <f>"20190303154015336"</f>
        <v>20190303154015336</v>
      </c>
      <c r="B8877" t="str">
        <f>"1551598815327038"</f>
        <v>1551598815327038</v>
      </c>
      <c r="C8877" t="s">
        <v>40</v>
      </c>
      <c r="D8877">
        <v>4.507638</v>
      </c>
      <c r="E8877">
        <v>0.49859170000000003</v>
      </c>
      <c r="F8877" t="s">
        <v>63</v>
      </c>
      <c r="G8877">
        <v>-179.95769999999999</v>
      </c>
      <c r="H8877">
        <v>4.7645760000000002E-2</v>
      </c>
      <c r="I8877">
        <v>-59.433619999999998</v>
      </c>
      <c r="J8877">
        <v>-230.5515</v>
      </c>
      <c r="K8877">
        <v>1.121186</v>
      </c>
      <c r="L8877">
        <v>-62.787109999999998</v>
      </c>
      <c r="M8877">
        <v>0.999394</v>
      </c>
      <c r="N8877">
        <v>-1.4619480000000001E-2</v>
      </c>
      <c r="O8877">
        <v>3.158909E-2</v>
      </c>
      <c r="P8877">
        <v>0.99717339999999999</v>
      </c>
      <c r="Q8877">
        <v>-4.227011E-2</v>
      </c>
      <c r="R8877">
        <v>6.2115959999999998E-2</v>
      </c>
      <c r="S8877">
        <v>2.993484</v>
      </c>
      <c r="T8877">
        <v>-6.3380240000000004E-2</v>
      </c>
      <c r="U8877">
        <v>0.1981812</v>
      </c>
      <c r="V8877">
        <v>-3.059533E-2</v>
      </c>
      <c r="W8877">
        <v>-2.7650750000000002E-2</v>
      </c>
      <c r="X8877">
        <v>0.99914930000000002</v>
      </c>
      <c r="Y8877">
        <v>-3.4490760000000002E-2</v>
      </c>
      <c r="Z8877">
        <v>4.1088179999999999E-4</v>
      </c>
      <c r="AA8877">
        <v>0.99940490000000004</v>
      </c>
      <c r="AB8877">
        <v>23</v>
      </c>
      <c r="AC8877">
        <v>50.593800000000002</v>
      </c>
      <c r="AD8877">
        <v>-1.07354024</v>
      </c>
      <c r="AE8877">
        <v>3.3534899999999999</v>
      </c>
      <c r="AF8877">
        <v>-1.75264744563154</v>
      </c>
      <c r="AG8877">
        <v>-1.07354024</v>
      </c>
      <c r="AH8877">
        <v>50.651784689236997</v>
      </c>
      <c r="AI8877">
        <v>91.213448743479205</v>
      </c>
      <c r="AJ8877">
        <v>91.981751560330494</v>
      </c>
      <c r="AK8877">
        <v>50.693466580225198</v>
      </c>
      <c r="AL8877">
        <v>91.584473254522507</v>
      </c>
      <c r="AM8877">
        <v>91.753927750231298</v>
      </c>
      <c r="AN8877">
        <v>0.99999998094192999</v>
      </c>
    </row>
    <row r="8878" spans="1:40" x14ac:dyDescent="0.25">
      <c r="A8878" t="str">
        <f>"20190303154015346"</f>
        <v>20190303154015346</v>
      </c>
      <c r="B8878" t="str">
        <f>"1551598815336798"</f>
        <v>1551598815336798</v>
      </c>
      <c r="C8878" t="s">
        <v>40</v>
      </c>
      <c r="D8878">
        <v>4.4816349999999998</v>
      </c>
      <c r="E8878">
        <v>0.4986601</v>
      </c>
      <c r="F8878" t="s">
        <v>63</v>
      </c>
      <c r="G8878">
        <v>-179.95769999999999</v>
      </c>
      <c r="H8878">
        <v>3.2554159999999999E-2</v>
      </c>
      <c r="I8878">
        <v>-59.442709999999998</v>
      </c>
      <c r="J8878">
        <v>-230.44370000000001</v>
      </c>
      <c r="K8878">
        <v>1.1211359999999999</v>
      </c>
      <c r="L8878">
        <v>-62.78378</v>
      </c>
      <c r="M8878">
        <v>0.99939869999999997</v>
      </c>
      <c r="N8878">
        <v>-1.4616870000000001E-2</v>
      </c>
      <c r="O8878">
        <v>3.1445170000000001E-2</v>
      </c>
      <c r="P8878">
        <v>0.99717829999999996</v>
      </c>
      <c r="Q8878">
        <v>-4.2291040000000002E-2</v>
      </c>
      <c r="R8878">
        <v>6.2024759999999998E-2</v>
      </c>
      <c r="S8878">
        <v>2.9934690000000002</v>
      </c>
      <c r="T8878">
        <v>-6.4410809999999999E-2</v>
      </c>
      <c r="U8878">
        <v>0.197876</v>
      </c>
      <c r="V8878">
        <v>-3.0651540000000001E-2</v>
      </c>
      <c r="W8878">
        <v>-2.767068E-2</v>
      </c>
      <c r="X8878">
        <v>0.99914709999999995</v>
      </c>
      <c r="Y8878">
        <v>-3.4533300000000003E-2</v>
      </c>
      <c r="Z8878">
        <v>4.0758059999999999E-4</v>
      </c>
      <c r="AA8878">
        <v>0.9994035</v>
      </c>
      <c r="AB8878">
        <v>23</v>
      </c>
      <c r="AC8878">
        <v>50.485999999999997</v>
      </c>
      <c r="AD8878">
        <v>-1.08858184</v>
      </c>
      <c r="AE8878">
        <v>3.3410700000000002</v>
      </c>
      <c r="AF8878">
        <v>-1.7508966328058899</v>
      </c>
      <c r="AG8878">
        <v>-1.08858184</v>
      </c>
      <c r="AH8878">
        <v>50.542704018207203</v>
      </c>
      <c r="AI8878">
        <v>91.233098447556202</v>
      </c>
      <c r="AJ8878">
        <v>91.984042772101006</v>
      </c>
      <c r="AK8878">
        <v>50.584736619985001</v>
      </c>
      <c r="AL8878">
        <v>91.585615478374095</v>
      </c>
      <c r="AM8878">
        <v>91.757151929553302</v>
      </c>
      <c r="AN8878">
        <v>1.0000000554372199</v>
      </c>
    </row>
    <row r="8879" spans="1:40" x14ac:dyDescent="0.25">
      <c r="A8879" t="str">
        <f>"20190303154015359"</f>
        <v>20190303154015359</v>
      </c>
      <c r="B8879" t="str">
        <f>"1551598815346557"</f>
        <v>1551598815346557</v>
      </c>
      <c r="C8879" t="s">
        <v>40</v>
      </c>
      <c r="D8879">
        <v>4.4962519999999904</v>
      </c>
      <c r="E8879">
        <v>0.49876779999999998</v>
      </c>
      <c r="F8879" t="s">
        <v>63</v>
      </c>
      <c r="G8879">
        <v>-179.95769999999999</v>
      </c>
      <c r="H8879">
        <v>1.962419E-2</v>
      </c>
      <c r="I8879">
        <v>-59.459899999999998</v>
      </c>
      <c r="J8879">
        <v>-230.32839999999999</v>
      </c>
      <c r="K8879">
        <v>1.1210880000000001</v>
      </c>
      <c r="L8879">
        <v>-62.780329999999999</v>
      </c>
      <c r="M8879">
        <v>0.9994054</v>
      </c>
      <c r="N8879">
        <v>-1.4614159999999999E-2</v>
      </c>
      <c r="O8879">
        <v>3.1234250000000002E-2</v>
      </c>
      <c r="P8879">
        <v>0.99715909999999996</v>
      </c>
      <c r="Q8879">
        <v>-4.252943E-2</v>
      </c>
      <c r="R8879">
        <v>6.217048E-2</v>
      </c>
      <c r="S8879">
        <v>2.9934690000000002</v>
      </c>
      <c r="T8879">
        <v>-6.5312029999999993E-2</v>
      </c>
      <c r="U8879">
        <v>0.19708249999999999</v>
      </c>
      <c r="V8879">
        <v>-3.101199E-2</v>
      </c>
      <c r="W8879">
        <v>-2.7908160000000001E-2</v>
      </c>
      <c r="X8879">
        <v>0.9991293</v>
      </c>
      <c r="Y8879">
        <v>-3.4480249999999997E-2</v>
      </c>
      <c r="Z8879">
        <v>4.037318E-4</v>
      </c>
      <c r="AA8879">
        <v>0.99940530000000005</v>
      </c>
      <c r="AB8879">
        <v>23</v>
      </c>
      <c r="AC8879">
        <v>50.370699999999999</v>
      </c>
      <c r="AD8879">
        <v>-1.1014638099999901</v>
      </c>
      <c r="AE8879">
        <v>3.32043</v>
      </c>
      <c r="AF8879">
        <v>-1.7445201873843701</v>
      </c>
      <c r="AG8879">
        <v>-1.1014638099999901</v>
      </c>
      <c r="AH8879">
        <v>50.425832763578299</v>
      </c>
      <c r="AI8879">
        <v>91.250578823387798</v>
      </c>
      <c r="AJ8879">
        <v>91.981401001845995</v>
      </c>
      <c r="AK8879">
        <v>50.4680213908699</v>
      </c>
      <c r="AL8879">
        <v>91.5992274513209</v>
      </c>
      <c r="AM8879">
        <v>91.777833810948707</v>
      </c>
      <c r="AN8879">
        <v>0.99999998351841701</v>
      </c>
    </row>
    <row r="8880" spans="1:40" x14ac:dyDescent="0.25">
      <c r="A8880" t="str">
        <f>"20190303154015369"</f>
        <v>20190303154015369</v>
      </c>
      <c r="B8880" t="str">
        <f>"1551598815357293"</f>
        <v>1551598815357293</v>
      </c>
      <c r="C8880" t="s">
        <v>40</v>
      </c>
      <c r="D8880">
        <v>4.5071389999999996</v>
      </c>
      <c r="E8880">
        <v>0.49887090000000001</v>
      </c>
      <c r="F8880" t="s">
        <v>63</v>
      </c>
      <c r="G8880">
        <v>-179.95769999999999</v>
      </c>
      <c r="H8880">
        <v>2.1178780000000001E-3</v>
      </c>
      <c r="I8880">
        <v>-59.471249999999998</v>
      </c>
      <c r="J8880">
        <v>-230.21680000000001</v>
      </c>
      <c r="K8880">
        <v>1.1210389999999999</v>
      </c>
      <c r="L8880">
        <v>-62.77704</v>
      </c>
      <c r="M8880">
        <v>0.99941210000000003</v>
      </c>
      <c r="N8880">
        <v>-1.4611539999999999E-2</v>
      </c>
      <c r="O8880">
        <v>3.101574E-2</v>
      </c>
      <c r="P8880">
        <v>0.99716130000000003</v>
      </c>
      <c r="Q8880">
        <v>-4.2597139999999999E-2</v>
      </c>
      <c r="R8880">
        <v>6.208909E-2</v>
      </c>
      <c r="S8880">
        <v>2.9934690000000002</v>
      </c>
      <c r="T8880">
        <v>-6.649911E-2</v>
      </c>
      <c r="U8880">
        <v>0.19665530000000001</v>
      </c>
      <c r="V8880">
        <v>-3.1151999999999999E-2</v>
      </c>
      <c r="W8880">
        <v>-2.797494E-2</v>
      </c>
      <c r="X8880">
        <v>0.99912310000000004</v>
      </c>
      <c r="Y8880">
        <v>-3.4556400000000001E-2</v>
      </c>
      <c r="Z8880">
        <v>4.0112079999999998E-4</v>
      </c>
      <c r="AA8880">
        <v>0.99940260000000003</v>
      </c>
      <c r="AB8880">
        <v>23</v>
      </c>
      <c r="AC8880">
        <v>50.259099999999997</v>
      </c>
      <c r="AD8880">
        <v>-1.1189211219999999</v>
      </c>
      <c r="AE8880">
        <v>3.30579</v>
      </c>
      <c r="AF8880">
        <v>-1.74434878888534</v>
      </c>
      <c r="AG8880">
        <v>-1.1189211219999999</v>
      </c>
      <c r="AH8880">
        <v>50.312627749487199</v>
      </c>
      <c r="AI8880">
        <v>91.273247250627406</v>
      </c>
      <c r="AJ8880">
        <v>91.985660698182699</v>
      </c>
      <c r="AK8880">
        <v>50.355290171272102</v>
      </c>
      <c r="AL8880">
        <v>91.603055120924097</v>
      </c>
      <c r="AM8880">
        <v>91.785866095968302</v>
      </c>
      <c r="AN8880">
        <v>1.0000000066628001</v>
      </c>
    </row>
    <row r="8881" spans="1:40" x14ac:dyDescent="0.25">
      <c r="A8881" t="str">
        <f>"20190303154015380"</f>
        <v>20190303154015380</v>
      </c>
      <c r="B8881" t="str">
        <f>"1551598815376813"</f>
        <v>1551598815376813</v>
      </c>
      <c r="C8881" t="s">
        <v>40</v>
      </c>
      <c r="D8881">
        <v>4.4640919999999999</v>
      </c>
      <c r="E8881">
        <v>0.49897979999999997</v>
      </c>
      <c r="F8881" t="s">
        <v>63</v>
      </c>
      <c r="G8881">
        <v>-180.4256</v>
      </c>
      <c r="H8881" s="1">
        <v>-1.470404E-5</v>
      </c>
      <c r="I8881">
        <v>-59.524290000000001</v>
      </c>
      <c r="J8881">
        <v>-230.1001</v>
      </c>
      <c r="K8881">
        <v>1.1209929999999999</v>
      </c>
      <c r="L8881">
        <v>-62.773710000000001</v>
      </c>
      <c r="M8881">
        <v>0.99942120000000001</v>
      </c>
      <c r="N8881">
        <v>-1.4608929999999999E-2</v>
      </c>
      <c r="O8881">
        <v>3.0725490000000001E-2</v>
      </c>
      <c r="P8881">
        <v>0.99715299999999996</v>
      </c>
      <c r="Q8881">
        <v>-4.285957E-2</v>
      </c>
      <c r="R8881">
        <v>6.2042090000000001E-2</v>
      </c>
      <c r="S8881">
        <v>2.9934690000000002</v>
      </c>
      <c r="T8881">
        <v>-6.7398189999999997E-2</v>
      </c>
      <c r="U8881">
        <v>0.1955566</v>
      </c>
      <c r="V8881">
        <v>-3.1398549999999997E-2</v>
      </c>
      <c r="W8881">
        <v>-2.8236609999999999E-2</v>
      </c>
      <c r="X8881">
        <v>0.999108</v>
      </c>
      <c r="Y8881">
        <v>-3.4481199999999997E-2</v>
      </c>
      <c r="Z8881">
        <v>3.9776189999999998E-4</v>
      </c>
      <c r="AA8881">
        <v>0.99940530000000005</v>
      </c>
      <c r="AB8881">
        <v>23</v>
      </c>
      <c r="AC8881">
        <v>49.674500000000002</v>
      </c>
      <c r="AD8881">
        <v>-1.1210077040399999</v>
      </c>
      <c r="AE8881">
        <v>3.24941999999999</v>
      </c>
      <c r="AF8881">
        <v>-1.72057689802279</v>
      </c>
      <c r="AG8881">
        <v>-1.1210077040399999</v>
      </c>
      <c r="AH8881">
        <v>49.725676361929999</v>
      </c>
      <c r="AI8881">
        <v>91.290676006078598</v>
      </c>
      <c r="AJ8881">
        <v>91.981722271181198</v>
      </c>
      <c r="AK8881">
        <v>49.768061372590402</v>
      </c>
      <c r="AL8881">
        <v>91.618053667037799</v>
      </c>
      <c r="AM8881">
        <v>91.800018114404807</v>
      </c>
      <c r="AN8881">
        <v>0.99999998537519696</v>
      </c>
    </row>
    <row r="8882" spans="1:40" x14ac:dyDescent="0.25">
      <c r="A8882" t="str">
        <f>"20190303154015392"</f>
        <v>20190303154015392</v>
      </c>
      <c r="B8882" t="str">
        <f>"1551598815387549"</f>
        <v>1551598815387549</v>
      </c>
      <c r="C8882" t="s">
        <v>40</v>
      </c>
      <c r="D8882">
        <v>4.46685</v>
      </c>
      <c r="E8882">
        <v>0.49904939999999998</v>
      </c>
      <c r="F8882" t="s">
        <v>63</v>
      </c>
      <c r="G8882">
        <v>-183.1601</v>
      </c>
      <c r="H8882" s="1">
        <v>-1.4173740000000001E-5</v>
      </c>
      <c r="I8882">
        <v>-59.722969999999997</v>
      </c>
      <c r="J8882">
        <v>-229.98869999999999</v>
      </c>
      <c r="K8882">
        <v>1.1209499999999999</v>
      </c>
      <c r="L8882">
        <v>-62.7705699999999</v>
      </c>
      <c r="M8882">
        <v>0.99942989999999998</v>
      </c>
      <c r="N8882">
        <v>-1.460645E-2</v>
      </c>
      <c r="O8882">
        <v>3.043591E-2</v>
      </c>
      <c r="P8882">
        <v>0.99715209999999999</v>
      </c>
      <c r="Q8882">
        <v>-4.2800310000000001E-2</v>
      </c>
      <c r="R8882">
        <v>6.2096539999999999E-2</v>
      </c>
      <c r="S8882">
        <v>2.9934080000000001</v>
      </c>
      <c r="T8882">
        <v>-7.1487780000000001E-2</v>
      </c>
      <c r="U8882">
        <v>0.19454959999999999</v>
      </c>
      <c r="V8882">
        <v>-3.1744960000000003E-2</v>
      </c>
      <c r="W8882">
        <v>-2.817648E-2</v>
      </c>
      <c r="X8882">
        <v>0.99909879999999995</v>
      </c>
      <c r="Y8882">
        <v>-3.4436219999999997E-2</v>
      </c>
      <c r="Z8882">
        <v>3.8106130000000002E-4</v>
      </c>
      <c r="AA8882">
        <v>0.99940680000000004</v>
      </c>
      <c r="AB8882">
        <v>23</v>
      </c>
      <c r="AC8882">
        <v>46.828600000000002</v>
      </c>
      <c r="AD8882">
        <v>-1.12096417373999</v>
      </c>
      <c r="AE8882">
        <v>3.0475999999999899</v>
      </c>
      <c r="AF8882">
        <v>-1.6198402909471401</v>
      </c>
      <c r="AG8882">
        <v>-1.12096417373999</v>
      </c>
      <c r="AH8882">
        <v>46.872921704422801</v>
      </c>
      <c r="AI8882">
        <v>91.369148289581801</v>
      </c>
      <c r="AJ8882">
        <v>91.979247051014696</v>
      </c>
      <c r="AK8882">
        <v>46.914296673358898</v>
      </c>
      <c r="AL8882">
        <v>91.614607021358495</v>
      </c>
      <c r="AM8882">
        <v>91.819880594756896</v>
      </c>
      <c r="AN8882">
        <v>1.00000003433601</v>
      </c>
    </row>
    <row r="8883" spans="1:40" x14ac:dyDescent="0.25">
      <c r="A8883" t="str">
        <f>"20190303154015404"</f>
        <v>20190303154015404</v>
      </c>
      <c r="B8883" t="str">
        <f>"1551598815397309"</f>
        <v>1551598815397309</v>
      </c>
      <c r="C8883" t="s">
        <v>40</v>
      </c>
      <c r="D8883">
        <v>4.4664970000000004</v>
      </c>
      <c r="E8883">
        <v>0.499116</v>
      </c>
      <c r="F8883" t="s">
        <v>63</v>
      </c>
      <c r="G8883">
        <v>-183.9281</v>
      </c>
      <c r="H8883" s="1">
        <v>-1.402241E-5</v>
      </c>
      <c r="I8883">
        <v>-59.783009999999997</v>
      </c>
      <c r="J8883">
        <v>-229.86840000000001</v>
      </c>
      <c r="K8883">
        <v>1.1209129999999901</v>
      </c>
      <c r="L8883">
        <v>-62.767240000000001</v>
      </c>
      <c r="M8883">
        <v>0.99944069999999996</v>
      </c>
      <c r="N8883">
        <v>-1.46039E-2</v>
      </c>
      <c r="O8883">
        <v>3.008574E-2</v>
      </c>
      <c r="P8883">
        <v>0.9971428</v>
      </c>
      <c r="Q8883">
        <v>-4.3079800000000001E-2</v>
      </c>
      <c r="R8883">
        <v>6.2052049999999997E-2</v>
      </c>
      <c r="S8883">
        <v>2.993347</v>
      </c>
      <c r="T8883">
        <v>-7.2848200000000002E-2</v>
      </c>
      <c r="U8883">
        <v>0.19415279999999999</v>
      </c>
      <c r="V8883">
        <v>-3.2053890000000002E-2</v>
      </c>
      <c r="W8883">
        <v>-2.8455439999999999E-2</v>
      </c>
      <c r="X8883">
        <v>0.999081</v>
      </c>
      <c r="Y8883">
        <v>-3.4655320000000003E-2</v>
      </c>
      <c r="Z8883">
        <v>3.8259589999999999E-4</v>
      </c>
      <c r="AA8883">
        <v>0.99939920000000004</v>
      </c>
      <c r="AB8883">
        <v>23</v>
      </c>
      <c r="AC8883">
        <v>45.940300000000001</v>
      </c>
      <c r="AD8883">
        <v>-1.1209270224100001</v>
      </c>
      <c r="AE8883">
        <v>2.9842300000000002</v>
      </c>
      <c r="AF8883">
        <v>-1.59963524893928</v>
      </c>
      <c r="AG8883">
        <v>-1.1209270224100001</v>
      </c>
      <c r="AH8883">
        <v>45.982031686119903</v>
      </c>
      <c r="AI8883">
        <v>91.395607436389895</v>
      </c>
      <c r="AJ8883">
        <v>91.992417444620202</v>
      </c>
      <c r="AK8883">
        <v>46.0234999571149</v>
      </c>
      <c r="AL8883">
        <v>91.630596712074706</v>
      </c>
      <c r="AM8883">
        <v>91.837611620471407</v>
      </c>
      <c r="AN8883">
        <v>1.0000000042453601</v>
      </c>
    </row>
    <row r="8884" spans="1:40" x14ac:dyDescent="0.25">
      <c r="A8884" t="str">
        <f>"20190303154015415"</f>
        <v>20190303154015415</v>
      </c>
      <c r="B8884" t="str">
        <f>"1551598815407069"</f>
        <v>1551598815407069</v>
      </c>
      <c r="C8884" t="s">
        <v>40</v>
      </c>
      <c r="D8884">
        <v>4.4756679999999998</v>
      </c>
      <c r="E8884">
        <v>0.49922060000000001</v>
      </c>
      <c r="F8884" t="s">
        <v>63</v>
      </c>
      <c r="G8884">
        <v>-185.26929999999999</v>
      </c>
      <c r="H8884" s="1">
        <v>-1.37569E-5</v>
      </c>
      <c r="I8884">
        <v>-59.883980000000001</v>
      </c>
      <c r="J8884">
        <v>-229.75659999999999</v>
      </c>
      <c r="K8884">
        <v>1.1208800000000001</v>
      </c>
      <c r="L8884">
        <v>-62.764249999999997</v>
      </c>
      <c r="M8884">
        <v>0.99945099999999998</v>
      </c>
      <c r="N8884">
        <v>-1.460153E-2</v>
      </c>
      <c r="O8884">
        <v>2.9739649999999999E-2</v>
      </c>
      <c r="P8884">
        <v>0.9971238</v>
      </c>
      <c r="Q8884">
        <v>-4.3322779999999998E-2</v>
      </c>
      <c r="R8884">
        <v>6.218858E-2</v>
      </c>
      <c r="S8884">
        <v>2.9933010000000002</v>
      </c>
      <c r="T8884">
        <v>-7.5231909999999999E-2</v>
      </c>
      <c r="U8884">
        <v>0.19351199999999999</v>
      </c>
      <c r="V8884">
        <v>-3.2539110000000003E-2</v>
      </c>
      <c r="W8884">
        <v>-2.8698089999999999E-2</v>
      </c>
      <c r="X8884">
        <v>0.99905840000000001</v>
      </c>
      <c r="Y8884">
        <v>-3.478858E-2</v>
      </c>
      <c r="Z8884">
        <v>3.7861630000000002E-4</v>
      </c>
      <c r="AA8884">
        <v>0.99939460000000002</v>
      </c>
      <c r="AB8884">
        <v>23</v>
      </c>
      <c r="AC8884">
        <v>44.487299999999998</v>
      </c>
      <c r="AD8884">
        <v>-1.1208937568999999</v>
      </c>
      <c r="AE8884">
        <v>2.8802699999999799</v>
      </c>
      <c r="AF8884">
        <v>-1.5548349654415099</v>
      </c>
      <c r="AG8884">
        <v>-1.1208937568999999</v>
      </c>
      <c r="AH8884">
        <v>44.525137618795299</v>
      </c>
      <c r="AI8884">
        <v>91.441204365710703</v>
      </c>
      <c r="AJ8884">
        <v>91.999978019716906</v>
      </c>
      <c r="AK8884">
        <v>44.566375156127201</v>
      </c>
      <c r="AL8884">
        <v>91.6445051702607</v>
      </c>
      <c r="AM8884">
        <v>91.865451370882994</v>
      </c>
      <c r="AN8884">
        <v>1.0000000303298899</v>
      </c>
    </row>
    <row r="8885" spans="1:40" x14ac:dyDescent="0.25">
      <c r="A8885" t="str">
        <f>"20190303154015426"</f>
        <v>20190303154015426</v>
      </c>
      <c r="B8885" t="str">
        <f>"1551598815416830"</f>
        <v>1551598815416830</v>
      </c>
      <c r="C8885" t="s">
        <v>40</v>
      </c>
      <c r="D8885">
        <v>4.470097</v>
      </c>
      <c r="E8885">
        <v>0.49932280000000001</v>
      </c>
      <c r="F8885" t="s">
        <v>63</v>
      </c>
      <c r="G8885">
        <v>-186.38130000000001</v>
      </c>
      <c r="H8885" s="1">
        <v>-1.3536610000000001E-5</v>
      </c>
      <c r="I8885">
        <v>-59.967120000000001</v>
      </c>
      <c r="J8885">
        <v>-229.64449999999999</v>
      </c>
      <c r="K8885">
        <v>1.120852</v>
      </c>
      <c r="L8885">
        <v>-62.76126</v>
      </c>
      <c r="M8885">
        <v>0.99946190000000001</v>
      </c>
      <c r="N8885">
        <v>-1.459915E-2</v>
      </c>
      <c r="O8885">
        <v>2.9375620000000002E-2</v>
      </c>
      <c r="P8885">
        <v>0.99712730000000005</v>
      </c>
      <c r="Q8885">
        <v>-4.3723600000000001E-2</v>
      </c>
      <c r="R8885">
        <v>6.185239E-2</v>
      </c>
      <c r="S8885">
        <v>2.9932400000000001</v>
      </c>
      <c r="T8885">
        <v>-7.7350619999999995E-2</v>
      </c>
      <c r="U8885">
        <v>0.19302369999999999</v>
      </c>
      <c r="V8885">
        <v>-3.2569210000000001E-2</v>
      </c>
      <c r="W8885">
        <v>-2.909927E-2</v>
      </c>
      <c r="X8885">
        <v>0.99904579999999998</v>
      </c>
      <c r="Y8885">
        <v>-3.4990849999999997E-2</v>
      </c>
      <c r="Z8885">
        <v>3.779427E-4</v>
      </c>
      <c r="AA8885">
        <v>0.99938760000000004</v>
      </c>
      <c r="AB8885">
        <v>22</v>
      </c>
      <c r="AC8885">
        <v>43.263199999999898</v>
      </c>
      <c r="AD8885">
        <v>-1.12086553661</v>
      </c>
      <c r="AE8885">
        <v>2.7941400000000001</v>
      </c>
      <c r="AF8885">
        <v>-1.5208986015970301</v>
      </c>
      <c r="AG8885">
        <v>-1.12086553661</v>
      </c>
      <c r="AH8885">
        <v>43.2976719701851</v>
      </c>
      <c r="AI8885">
        <v>91.4819957809664</v>
      </c>
      <c r="AJ8885">
        <v>92.011776917034098</v>
      </c>
      <c r="AK8885">
        <v>43.338872506622202</v>
      </c>
      <c r="AL8885">
        <v>91.667500719075804</v>
      </c>
      <c r="AM8885">
        <v>91.867199300561595</v>
      </c>
      <c r="AN8885">
        <v>1.00000001572609</v>
      </c>
    </row>
    <row r="8886" spans="1:40" x14ac:dyDescent="0.25">
      <c r="A8886" t="str">
        <f>"20190303154015438"</f>
        <v>20190303154015438</v>
      </c>
      <c r="B8886" t="str">
        <f>"1551598815426590"</f>
        <v>1551598815426590</v>
      </c>
      <c r="C8886" t="s">
        <v>40</v>
      </c>
      <c r="D8886">
        <v>4.4729169999999998</v>
      </c>
      <c r="E8886">
        <v>0.49939689999999998</v>
      </c>
      <c r="F8886" t="s">
        <v>63</v>
      </c>
      <c r="G8886">
        <v>-187.65549999999999</v>
      </c>
      <c r="H8886" s="1">
        <v>-1.328937E-5</v>
      </c>
      <c r="I8886">
        <v>-60.079270000000001</v>
      </c>
      <c r="J8886">
        <v>-229.53440000000001</v>
      </c>
      <c r="K8886">
        <v>1.120827</v>
      </c>
      <c r="L8886">
        <v>-62.758450000000003</v>
      </c>
      <c r="M8886">
        <v>0.99947299999999994</v>
      </c>
      <c r="N8886">
        <v>-1.459675E-2</v>
      </c>
      <c r="O8886">
        <v>2.899726E-2</v>
      </c>
      <c r="P8886">
        <v>0.99712420000000002</v>
      </c>
      <c r="Q8886">
        <v>-4.4199500000000003E-2</v>
      </c>
      <c r="R8886">
        <v>6.1562560000000002E-2</v>
      </c>
      <c r="S8886">
        <v>2.9933010000000002</v>
      </c>
      <c r="T8886">
        <v>-7.9903840000000004E-2</v>
      </c>
      <c r="U8886">
        <v>0.19119259999999999</v>
      </c>
      <c r="V8886">
        <v>-3.2659750000000001E-2</v>
      </c>
      <c r="W8886">
        <v>-2.9576149999999999E-2</v>
      </c>
      <c r="X8886">
        <v>0.99902880000000005</v>
      </c>
      <c r="Y8886">
        <v>-3.4758440000000002E-2</v>
      </c>
      <c r="Z8886">
        <v>3.6748389999999997E-4</v>
      </c>
      <c r="AA8886">
        <v>0.9993957</v>
      </c>
      <c r="AB8886">
        <v>22</v>
      </c>
      <c r="AC8886">
        <v>41.878900000000002</v>
      </c>
      <c r="AD8886">
        <v>-1.12084028937</v>
      </c>
      <c r="AE8886">
        <v>2.6791800000000001</v>
      </c>
      <c r="AF8886">
        <v>-1.4625071811836601</v>
      </c>
      <c r="AG8886">
        <v>-1.12084028937</v>
      </c>
      <c r="AH8886">
        <v>41.909085692707002</v>
      </c>
      <c r="AI8886">
        <v>91.531053999449099</v>
      </c>
      <c r="AJ8886">
        <v>91.998647710115904</v>
      </c>
      <c r="AK8886">
        <v>41.949572987194301</v>
      </c>
      <c r="AL8886">
        <v>91.694835764467101</v>
      </c>
      <c r="AM8886">
        <v>91.872418125999104</v>
      </c>
      <c r="AN8886">
        <v>0.99999997557416198</v>
      </c>
    </row>
    <row r="8887" spans="1:40" x14ac:dyDescent="0.25">
      <c r="A8887" t="str">
        <f>"20190303154015448"</f>
        <v>20190303154015448</v>
      </c>
      <c r="B8887" t="str">
        <f>"1551598815437327"</f>
        <v>1551598815437327</v>
      </c>
      <c r="C8887" t="s">
        <v>40</v>
      </c>
      <c r="D8887">
        <v>4.4923330000000004</v>
      </c>
      <c r="E8887">
        <v>0.49949440000000001</v>
      </c>
      <c r="F8887" t="s">
        <v>63</v>
      </c>
      <c r="G8887">
        <v>-188.9203</v>
      </c>
      <c r="H8887" s="1">
        <v>-1.3042089999999899E-5</v>
      </c>
      <c r="I8887">
        <v>-60.184530000000002</v>
      </c>
      <c r="J8887">
        <v>-229.42660000000001</v>
      </c>
      <c r="K8887">
        <v>1.120808</v>
      </c>
      <c r="L8887">
        <v>-62.755740000000003</v>
      </c>
      <c r="M8887">
        <v>0.99948389999999998</v>
      </c>
      <c r="N8887">
        <v>-1.459439E-2</v>
      </c>
      <c r="O8887">
        <v>2.8620619999999999E-2</v>
      </c>
      <c r="P8887">
        <v>0.99715140000000002</v>
      </c>
      <c r="Q8887">
        <v>-4.4223199999999997E-2</v>
      </c>
      <c r="R8887">
        <v>6.1102330000000003E-2</v>
      </c>
      <c r="S8887">
        <v>2.9932560000000001</v>
      </c>
      <c r="T8887">
        <v>-8.260584E-2</v>
      </c>
      <c r="U8887">
        <v>0.18969730000000001</v>
      </c>
      <c r="V8887">
        <v>-3.2576359999999999E-2</v>
      </c>
      <c r="W8887">
        <v>-2.9600959999999999E-2</v>
      </c>
      <c r="X8887">
        <v>0.9990308</v>
      </c>
      <c r="Y8887">
        <v>-3.4638040000000002E-2</v>
      </c>
      <c r="Z8887">
        <v>3.5924200000000001E-4</v>
      </c>
      <c r="AA8887">
        <v>0.99939979999999995</v>
      </c>
      <c r="AB8887">
        <v>22</v>
      </c>
      <c r="AC8887">
        <v>40.506300000000003</v>
      </c>
      <c r="AD8887">
        <v>-1.12082104209</v>
      </c>
      <c r="AE8887">
        <v>2.5712100000000002</v>
      </c>
      <c r="AF8887">
        <v>-1.4096427280856001</v>
      </c>
      <c r="AG8887">
        <v>-1.12082104209</v>
      </c>
      <c r="AH8887">
        <v>40.532391482838896</v>
      </c>
      <c r="AI8887">
        <v>91.5830100366652</v>
      </c>
      <c r="AJ8887">
        <v>91.991840022811999</v>
      </c>
      <c r="AK8887">
        <v>40.572380898184299</v>
      </c>
      <c r="AL8887">
        <v>91.696257874868294</v>
      </c>
      <c r="AM8887">
        <v>91.867636942680903</v>
      </c>
      <c r="AN8887">
        <v>0.99999998770620502</v>
      </c>
    </row>
    <row r="8888" spans="1:40" x14ac:dyDescent="0.25">
      <c r="A8888" t="str">
        <f>"20190303154015459"</f>
        <v>20190303154015459</v>
      </c>
      <c r="B8888" t="str">
        <f>"1551598815447084"</f>
        <v>1551598815447084</v>
      </c>
      <c r="C8888" t="s">
        <v>40</v>
      </c>
      <c r="D8888">
        <v>4.4971560000000004</v>
      </c>
      <c r="E8888">
        <v>0.49959619999999999</v>
      </c>
      <c r="F8888" t="s">
        <v>63</v>
      </c>
      <c r="G8888">
        <v>-189.32060000000001</v>
      </c>
      <c r="H8888" s="1">
        <v>-1.2971590000000001E-5</v>
      </c>
      <c r="I8888">
        <v>-60.243130000000001</v>
      </c>
      <c r="J8888">
        <v>-229.3169</v>
      </c>
      <c r="K8888">
        <v>1.1208</v>
      </c>
      <c r="L8888">
        <v>-62.753050000000002</v>
      </c>
      <c r="M8888">
        <v>0.99949529999999998</v>
      </c>
      <c r="N8888">
        <v>-1.4591929999999999E-2</v>
      </c>
      <c r="O8888">
        <v>2.8220729999999999E-2</v>
      </c>
      <c r="P8888">
        <v>0.99717659999999997</v>
      </c>
      <c r="Q8888">
        <v>-4.442107E-2</v>
      </c>
      <c r="R8888">
        <v>6.0545790000000002E-2</v>
      </c>
      <c r="S8888">
        <v>2.993347</v>
      </c>
      <c r="T8888">
        <v>-8.3653450000000004E-2</v>
      </c>
      <c r="U8888">
        <v>0.18753049999999999</v>
      </c>
      <c r="V8888">
        <v>-3.2419919999999998E-2</v>
      </c>
      <c r="W8888">
        <v>-2.9800859999999998E-2</v>
      </c>
      <c r="X8888">
        <v>0.99902990000000003</v>
      </c>
      <c r="Y8888">
        <v>-3.4315270000000002E-2</v>
      </c>
      <c r="Z8888">
        <v>3.5364379999999897E-4</v>
      </c>
      <c r="AA8888">
        <v>0.99941100000000005</v>
      </c>
      <c r="AB8888">
        <v>22</v>
      </c>
      <c r="AC8888">
        <v>39.996299999999898</v>
      </c>
      <c r="AD8888">
        <v>-1.1208129715899999</v>
      </c>
      <c r="AE8888">
        <v>2.5099199999999899</v>
      </c>
      <c r="AF8888">
        <v>-1.37899660754055</v>
      </c>
      <c r="AG8888">
        <v>-1.1208129715899999</v>
      </c>
      <c r="AH8888">
        <v>40.019902321342997</v>
      </c>
      <c r="AI8888">
        <v>91.603277538174297</v>
      </c>
      <c r="AJ8888">
        <v>91.973503993195393</v>
      </c>
      <c r="AK8888">
        <v>40.059336429485803</v>
      </c>
      <c r="AL8888">
        <v>91.707716434933005</v>
      </c>
      <c r="AM8888">
        <v>91.858676052499504</v>
      </c>
      <c r="AN8888">
        <v>0.99999994178177598</v>
      </c>
    </row>
    <row r="8889" spans="1:40" x14ac:dyDescent="0.25">
      <c r="A8889" t="str">
        <f>"20190303154015470"</f>
        <v>20190303154015470</v>
      </c>
      <c r="B8889" t="str">
        <f>"1551598815466606"</f>
        <v>1551598815466606</v>
      </c>
      <c r="C8889" t="s">
        <v>40</v>
      </c>
      <c r="D8889">
        <v>4.5095539999999996</v>
      </c>
      <c r="E8889">
        <v>0.499809</v>
      </c>
      <c r="F8889" t="s">
        <v>63</v>
      </c>
      <c r="G8889">
        <v>-189.88159999999999</v>
      </c>
      <c r="H8889" s="1">
        <v>-1.286995E-5</v>
      </c>
      <c r="I8889">
        <v>-60.315930000000002</v>
      </c>
      <c r="J8889">
        <v>-229.20689999999999</v>
      </c>
      <c r="K8889">
        <v>1.1207929999999999</v>
      </c>
      <c r="L8889">
        <v>-62.750369999999997</v>
      </c>
      <c r="M8889">
        <v>0.99950660000000002</v>
      </c>
      <c r="N8889">
        <v>-1.458943E-2</v>
      </c>
      <c r="O8889">
        <v>2.781778E-2</v>
      </c>
      <c r="P8889">
        <v>0.99721689999999996</v>
      </c>
      <c r="Q8889">
        <v>-4.4513490000000003E-2</v>
      </c>
      <c r="R8889">
        <v>5.9807619999999999E-2</v>
      </c>
      <c r="S8889">
        <v>2.9934690000000002</v>
      </c>
      <c r="T8889">
        <v>-8.507895E-2</v>
      </c>
      <c r="U8889">
        <v>0.18499760000000001</v>
      </c>
      <c r="V8889">
        <v>-3.2083979999999998E-2</v>
      </c>
      <c r="W8889">
        <v>-2.989561E-2</v>
      </c>
      <c r="X8889">
        <v>0.99903799999999998</v>
      </c>
      <c r="Y8889">
        <v>-3.387308E-2</v>
      </c>
      <c r="Z8889">
        <v>3.4432709999999999E-4</v>
      </c>
      <c r="AA8889">
        <v>0.99942609999999998</v>
      </c>
      <c r="AB8889">
        <v>22</v>
      </c>
      <c r="AC8889">
        <v>39.325299999999999</v>
      </c>
      <c r="AD8889">
        <v>-1.1208058699500001</v>
      </c>
      <c r="AE8889">
        <v>2.4344399999999902</v>
      </c>
      <c r="AF8889">
        <v>-1.3383557821790999</v>
      </c>
      <c r="AG8889">
        <v>-1.1208058699500001</v>
      </c>
      <c r="AH8889">
        <v>39.345967476778597</v>
      </c>
      <c r="AI8889">
        <v>91.630738816951904</v>
      </c>
      <c r="AJ8889">
        <v>91.948168741418101</v>
      </c>
      <c r="AK8889">
        <v>39.384674159900399</v>
      </c>
      <c r="AL8889">
        <v>91.713147483625207</v>
      </c>
      <c r="AM8889">
        <v>91.839414573429394</v>
      </c>
      <c r="AN8889">
        <v>1.00000002735695</v>
      </c>
    </row>
    <row r="8890" spans="1:40" x14ac:dyDescent="0.25">
      <c r="A8890" t="str">
        <f>"20190303154015481"</f>
        <v>20190303154015481</v>
      </c>
      <c r="B8890" t="str">
        <f>"1551598815477341"</f>
        <v>1551598815477341</v>
      </c>
      <c r="C8890" t="s">
        <v>40</v>
      </c>
      <c r="D8890">
        <v>4.5017490000000002</v>
      </c>
      <c r="E8890">
        <v>0.49989689999999998</v>
      </c>
      <c r="F8890" t="s">
        <v>63</v>
      </c>
      <c r="G8890">
        <v>-190.4923</v>
      </c>
      <c r="H8890" s="1">
        <v>-9.5809569999999993E-6</v>
      </c>
      <c r="I8890">
        <v>-60.408439999999999</v>
      </c>
      <c r="J8890">
        <v>-229.0934</v>
      </c>
      <c r="K8890">
        <v>1.1207940000000001</v>
      </c>
      <c r="L8890">
        <v>-62.747709999999998</v>
      </c>
      <c r="M8890">
        <v>0.99951849999999998</v>
      </c>
      <c r="N8890">
        <v>-1.4586719999999999E-2</v>
      </c>
      <c r="O8890">
        <v>2.7394780000000001E-2</v>
      </c>
      <c r="P8890">
        <v>0.99726090000000001</v>
      </c>
      <c r="Q8890">
        <v>-4.470959E-2</v>
      </c>
      <c r="R8890">
        <v>5.8926220000000001E-2</v>
      </c>
      <c r="S8890">
        <v>2.9936370000000001</v>
      </c>
      <c r="T8890">
        <v>-8.6666939999999998E-2</v>
      </c>
      <c r="U8890">
        <v>0.18109130000000001</v>
      </c>
      <c r="V8890">
        <v>-3.1624090000000001E-2</v>
      </c>
      <c r="W8890">
        <v>-3.00951E-2</v>
      </c>
      <c r="X8890">
        <v>0.99904660000000001</v>
      </c>
      <c r="Y8890">
        <v>-3.2993410000000001E-2</v>
      </c>
      <c r="Z8890">
        <v>3.2536480000000003E-4</v>
      </c>
      <c r="AA8890">
        <v>0.99945550000000005</v>
      </c>
      <c r="AB8890">
        <v>22</v>
      </c>
      <c r="AC8890">
        <v>38.601100000000002</v>
      </c>
      <c r="AD8890">
        <v>-1.1208035809570001</v>
      </c>
      <c r="AE8890">
        <v>2.3392699999999902</v>
      </c>
      <c r="AF8890">
        <v>-1.2797360114030401</v>
      </c>
      <c r="AG8890">
        <v>-1.1208035809570001</v>
      </c>
      <c r="AH8890">
        <v>38.6182617649864</v>
      </c>
      <c r="AI8890">
        <v>91.661496134275694</v>
      </c>
      <c r="AJ8890">
        <v>91.897979013002498</v>
      </c>
      <c r="AK8890">
        <v>38.655711954056301</v>
      </c>
      <c r="AL8890">
        <v>91.724582691075099</v>
      </c>
      <c r="AM8890">
        <v>91.813050634781803</v>
      </c>
      <c r="AN8890">
        <v>0.99999995354194804</v>
      </c>
    </row>
    <row r="8891" spans="1:40" x14ac:dyDescent="0.25">
      <c r="A8891" t="str">
        <f>"20190303154015492"</f>
        <v>20190303154015492</v>
      </c>
      <c r="B8891" t="str">
        <f>"1551598815487101"</f>
        <v>1551598815487101</v>
      </c>
      <c r="C8891" t="s">
        <v>40</v>
      </c>
      <c r="D8891">
        <v>4.5024629999999997</v>
      </c>
      <c r="E8891">
        <v>0.49997219999999998</v>
      </c>
      <c r="F8891" t="s">
        <v>63</v>
      </c>
      <c r="G8891">
        <v>-190.87299999999999</v>
      </c>
      <c r="H8891" s="1">
        <v>-9.4299909999999999E-6</v>
      </c>
      <c r="I8891">
        <v>-60.479039999999998</v>
      </c>
      <c r="J8891">
        <v>-228.97890000000001</v>
      </c>
      <c r="K8891">
        <v>1.120795</v>
      </c>
      <c r="L8891">
        <v>-62.74503</v>
      </c>
      <c r="M8891">
        <v>0.99953000000000003</v>
      </c>
      <c r="N8891">
        <v>-1.458398E-2</v>
      </c>
      <c r="O8891">
        <v>2.696873E-2</v>
      </c>
      <c r="P8891">
        <v>0.99731429999999999</v>
      </c>
      <c r="Q8891">
        <v>-4.4596040000000003E-2</v>
      </c>
      <c r="R8891">
        <v>5.8102059999999997E-2</v>
      </c>
      <c r="S8891">
        <v>2.9937900000000002</v>
      </c>
      <c r="T8891">
        <v>-8.7792159999999994E-2</v>
      </c>
      <c r="U8891">
        <v>0.1777039</v>
      </c>
      <c r="V8891">
        <v>-3.1224020000000002E-2</v>
      </c>
      <c r="W8891">
        <v>-2.9984920000000002E-2</v>
      </c>
      <c r="X8891">
        <v>0.99906249999999996</v>
      </c>
      <c r="Y8891">
        <v>-3.2289619999999998E-2</v>
      </c>
      <c r="Z8891">
        <v>3.1197739999999999E-4</v>
      </c>
      <c r="AA8891">
        <v>0.99947850000000005</v>
      </c>
      <c r="AB8891">
        <v>22</v>
      </c>
      <c r="AC8891">
        <v>38.105899999999998</v>
      </c>
      <c r="AD8891">
        <v>-1.1208044299910001</v>
      </c>
      <c r="AE8891">
        <v>2.2659899999999999</v>
      </c>
      <c r="AF8891">
        <v>-1.23632291902616</v>
      </c>
      <c r="AG8891">
        <v>-1.1208044299910001</v>
      </c>
      <c r="AH8891">
        <v>38.120292116671799</v>
      </c>
      <c r="AI8891">
        <v>91.6832282074229</v>
      </c>
      <c r="AJ8891">
        <v>91.857574035555501</v>
      </c>
      <c r="AK8891">
        <v>38.156799760865503</v>
      </c>
      <c r="AL8891">
        <v>91.718266985761701</v>
      </c>
      <c r="AM8891">
        <v>91.790100643915693</v>
      </c>
      <c r="AN8891">
        <v>0.99999995687930698</v>
      </c>
    </row>
    <row r="8892" spans="1:40" x14ac:dyDescent="0.25">
      <c r="A8892" t="str">
        <f>"20190303154015503"</f>
        <v>20190303154015503</v>
      </c>
      <c r="B8892" t="str">
        <f>"1551598815496861"</f>
        <v>1551598815496861</v>
      </c>
      <c r="C8892" t="s">
        <v>40</v>
      </c>
      <c r="D8892">
        <v>4.4923279999999997</v>
      </c>
      <c r="E8892">
        <v>0.50005049999999995</v>
      </c>
      <c r="F8892" t="s">
        <v>63</v>
      </c>
      <c r="G8892">
        <v>-190.84880000000001</v>
      </c>
      <c r="H8892" s="1">
        <v>-9.4423079999999996E-6</v>
      </c>
      <c r="I8892">
        <v>-60.52111</v>
      </c>
      <c r="J8892">
        <v>-228.8717</v>
      </c>
      <c r="K8892">
        <v>1.120806</v>
      </c>
      <c r="L8892">
        <v>-62.742579999999997</v>
      </c>
      <c r="M8892">
        <v>0.99954050000000005</v>
      </c>
      <c r="N8892">
        <v>-1.4581449999999999E-2</v>
      </c>
      <c r="O8892">
        <v>2.6571620000000001E-2</v>
      </c>
      <c r="P8892">
        <v>0.99734940000000005</v>
      </c>
      <c r="Q8892">
        <v>-4.4688529999999997E-2</v>
      </c>
      <c r="R8892">
        <v>5.7419199999999997E-2</v>
      </c>
      <c r="S8892">
        <v>2.993973</v>
      </c>
      <c r="T8892">
        <v>-8.8005539999999993E-2</v>
      </c>
      <c r="U8892">
        <v>0.17462159999999999</v>
      </c>
      <c r="V8892">
        <v>-3.0936669999999999E-2</v>
      </c>
      <c r="W8892">
        <v>-3.0080929999999999E-2</v>
      </c>
      <c r="X8892">
        <v>0.99906859999999997</v>
      </c>
      <c r="Y8892">
        <v>-3.1657989999999997E-2</v>
      </c>
      <c r="Z8892">
        <v>3.0308869999999999E-4</v>
      </c>
      <c r="AA8892">
        <v>0.99949869999999996</v>
      </c>
      <c r="AB8892">
        <v>22</v>
      </c>
      <c r="AC8892">
        <v>38.0228999999999</v>
      </c>
      <c r="AD8892">
        <v>-1.1208154423079999</v>
      </c>
      <c r="AE8892">
        <v>2.2214700000000001</v>
      </c>
      <c r="AF8892">
        <v>-1.2092008045438001</v>
      </c>
      <c r="AG8892">
        <v>-1.1208154423079999</v>
      </c>
      <c r="AH8892">
        <v>38.0355687749949</v>
      </c>
      <c r="AI8892">
        <v>91.687026620209593</v>
      </c>
      <c r="AJ8892">
        <v>91.820894972785695</v>
      </c>
      <c r="AK8892">
        <v>38.071286895491099</v>
      </c>
      <c r="AL8892">
        <v>91.723770355606007</v>
      </c>
      <c r="AM8892">
        <v>91.773626363361103</v>
      </c>
      <c r="AN8892">
        <v>1.00000000370315</v>
      </c>
    </row>
    <row r="8893" spans="1:40" x14ac:dyDescent="0.25">
      <c r="A8893" t="str">
        <f>"20190303154015515"</f>
        <v>20190303154015515</v>
      </c>
      <c r="B8893" t="str">
        <f>"1551598815506622"</f>
        <v>1551598815506622</v>
      </c>
      <c r="C8893" t="s">
        <v>40</v>
      </c>
      <c r="D8893">
        <v>4.499212</v>
      </c>
      <c r="E8893">
        <v>0.50012579999999995</v>
      </c>
      <c r="F8893" t="s">
        <v>63</v>
      </c>
      <c r="G8893">
        <v>-191.05930000000001</v>
      </c>
      <c r="H8893" s="1">
        <v>-9.3594640000000006E-6</v>
      </c>
      <c r="I8893">
        <v>-60.571219999999997</v>
      </c>
      <c r="J8893">
        <v>-228.7567</v>
      </c>
      <c r="K8893">
        <v>1.1208180000000001</v>
      </c>
      <c r="L8893">
        <v>-62.740020000000001</v>
      </c>
      <c r="M8893">
        <v>0.99955179999999999</v>
      </c>
      <c r="N8893">
        <v>-1.4578610000000001E-2</v>
      </c>
      <c r="O8893">
        <v>2.615253E-2</v>
      </c>
      <c r="P8893">
        <v>0.99740779999999996</v>
      </c>
      <c r="Q8893">
        <v>-4.4665829999999997E-2</v>
      </c>
      <c r="R8893">
        <v>5.6418919999999997E-2</v>
      </c>
      <c r="S8893">
        <v>2.99411</v>
      </c>
      <c r="T8893">
        <v>-8.8749889999999998E-2</v>
      </c>
      <c r="U8893">
        <v>0.17193599999999901</v>
      </c>
      <c r="V8893">
        <v>-3.0353100000000001E-2</v>
      </c>
      <c r="W8893">
        <v>-3.0062519999999999E-2</v>
      </c>
      <c r="X8893">
        <v>0.99908699999999995</v>
      </c>
      <c r="Y8893">
        <v>-3.1180980000000001E-2</v>
      </c>
      <c r="Z8893">
        <v>2.9606020000000002E-4</v>
      </c>
      <c r="AA8893">
        <v>0.99951369999999895</v>
      </c>
      <c r="AB8893">
        <v>22</v>
      </c>
      <c r="AC8893">
        <v>37.697399999999902</v>
      </c>
      <c r="AD8893">
        <v>-1.1208273594639999</v>
      </c>
      <c r="AE8893">
        <v>2.1687999999999898</v>
      </c>
      <c r="AF8893">
        <v>-1.18103041762794</v>
      </c>
      <c r="AG8893">
        <v>-1.1208273594639999</v>
      </c>
      <c r="AH8893">
        <v>37.7080049343555</v>
      </c>
      <c r="AI8893">
        <v>91.701716319972903</v>
      </c>
      <c r="AJ8893">
        <v>91.793941227980994</v>
      </c>
      <c r="AK8893">
        <v>37.743141402729897</v>
      </c>
      <c r="AL8893">
        <v>91.722715156142897</v>
      </c>
      <c r="AM8893">
        <v>91.740158524224199</v>
      </c>
      <c r="AN8893">
        <v>0.999999949678678</v>
      </c>
    </row>
    <row r="8894" spans="1:40" x14ac:dyDescent="0.25">
      <c r="A8894" t="str">
        <f>"20190303154015526"</f>
        <v>20190303154015526</v>
      </c>
      <c r="B8894" t="str">
        <f>"1551598815517358"</f>
        <v>1551598815517358</v>
      </c>
      <c r="C8894" t="s">
        <v>40</v>
      </c>
      <c r="D8894">
        <v>4.53024</v>
      </c>
      <c r="E8894">
        <v>0.50016530000000003</v>
      </c>
      <c r="F8894" t="s">
        <v>63</v>
      </c>
      <c r="G8894">
        <v>-191.21850000000001</v>
      </c>
      <c r="H8894" s="1">
        <v>-9.2980160000000002E-6</v>
      </c>
      <c r="I8894">
        <v>-60.629649999999998</v>
      </c>
      <c r="J8894">
        <v>-228.64840000000001</v>
      </c>
      <c r="K8894">
        <v>1.1208340000000001</v>
      </c>
      <c r="L8894">
        <v>-62.737580000000001</v>
      </c>
      <c r="M8894">
        <v>0.99956199999999995</v>
      </c>
      <c r="N8894">
        <v>-1.457586E-2</v>
      </c>
      <c r="O8894">
        <v>2.5763520000000002E-2</v>
      </c>
      <c r="P8894">
        <v>0.9974461</v>
      </c>
      <c r="Q8894">
        <v>-4.4583659999999997E-2</v>
      </c>
      <c r="R8894">
        <v>5.5803779999999997E-2</v>
      </c>
      <c r="S8894">
        <v>2.9942630000000001</v>
      </c>
      <c r="T8894">
        <v>-8.9403629999999998E-2</v>
      </c>
      <c r="U8894">
        <v>0.16833499999999901</v>
      </c>
      <c r="V8894">
        <v>-3.0124499999999999E-2</v>
      </c>
      <c r="W8894">
        <v>-2.9984340000000002E-2</v>
      </c>
      <c r="X8894">
        <v>0.99909630000000005</v>
      </c>
      <c r="Y8894">
        <v>-3.0369179999999999E-2</v>
      </c>
      <c r="Z8894">
        <v>2.8154679999999998E-4</v>
      </c>
      <c r="AA8894">
        <v>0.9995387</v>
      </c>
      <c r="AB8894">
        <v>22</v>
      </c>
      <c r="AC8894">
        <v>37.429900000000004</v>
      </c>
      <c r="AD8894">
        <v>-1.1208432980159999</v>
      </c>
      <c r="AE8894">
        <v>2.1079300000000001</v>
      </c>
      <c r="AF8894">
        <v>-1.1417813101085399</v>
      </c>
      <c r="AG8894">
        <v>-1.1208432980159999</v>
      </c>
      <c r="AH8894">
        <v>37.438321327592597</v>
      </c>
      <c r="AI8894">
        <v>91.714035075409697</v>
      </c>
      <c r="AJ8894">
        <v>91.746845928920607</v>
      </c>
      <c r="AK8894">
        <v>37.472494687262298</v>
      </c>
      <c r="AL8894">
        <v>91.718233697097801</v>
      </c>
      <c r="AM8894">
        <v>91.727044671712605</v>
      </c>
      <c r="AN8894">
        <v>0.99999998140958701</v>
      </c>
    </row>
    <row r="8895" spans="1:40" x14ac:dyDescent="0.25">
      <c r="A8895" t="str">
        <f>"20190303154015536"</f>
        <v>20190303154015536</v>
      </c>
      <c r="B8895" t="str">
        <f>"1551598815527117"</f>
        <v>1551598815527117</v>
      </c>
      <c r="C8895" t="s">
        <v>40</v>
      </c>
      <c r="D8895">
        <v>4.5405439999999997</v>
      </c>
      <c r="E8895">
        <v>0.50020529999999996</v>
      </c>
      <c r="F8895" t="s">
        <v>63</v>
      </c>
      <c r="G8895">
        <v>-191.27</v>
      </c>
      <c r="H8895" s="1">
        <v>-9.2790039999999997E-6</v>
      </c>
      <c r="I8895">
        <v>-60.662930000000003</v>
      </c>
      <c r="J8895">
        <v>-228.53829999999999</v>
      </c>
      <c r="K8895">
        <v>1.1208530000000001</v>
      </c>
      <c r="L8895">
        <v>-62.735199999999999</v>
      </c>
      <c r="M8895">
        <v>0.9995716</v>
      </c>
      <c r="N8895">
        <v>-1.4572999999999999E-2</v>
      </c>
      <c r="O8895">
        <v>2.5385189999999998E-2</v>
      </c>
      <c r="P8895">
        <v>0.99748049999999999</v>
      </c>
      <c r="Q8895">
        <v>-4.4433390000000003E-2</v>
      </c>
      <c r="R8895">
        <v>5.5305890000000003E-2</v>
      </c>
      <c r="S8895">
        <v>2.99437</v>
      </c>
      <c r="T8895">
        <v>-8.9790229999999999E-2</v>
      </c>
      <c r="U8895">
        <v>0.1661987</v>
      </c>
      <c r="V8895">
        <v>-3.0002190000000001E-2</v>
      </c>
      <c r="W8895">
        <v>-2.983831E-2</v>
      </c>
      <c r="X8895">
        <v>0.9991044</v>
      </c>
      <c r="Y8895">
        <v>-3.0034700000000001E-2</v>
      </c>
      <c r="Z8895">
        <v>2.7843680000000002E-4</v>
      </c>
      <c r="AA8895">
        <v>0.99954880000000002</v>
      </c>
      <c r="AB8895">
        <v>22</v>
      </c>
      <c r="AC8895">
        <v>37.268299999999897</v>
      </c>
      <c r="AD8895">
        <v>-1.1208622790039999</v>
      </c>
      <c r="AE8895">
        <v>2.0722699999999898</v>
      </c>
      <c r="AF8895">
        <v>-1.1244248366815399</v>
      </c>
      <c r="AG8895">
        <v>-1.1208622790039999</v>
      </c>
      <c r="AH8895">
        <v>37.275285199873899</v>
      </c>
      <c r="AI8895">
        <v>91.721573946985401</v>
      </c>
      <c r="AJ8895">
        <v>91.727827611814206</v>
      </c>
      <c r="AK8895">
        <v>37.309081336770802</v>
      </c>
      <c r="AL8895">
        <v>91.709862967248597</v>
      </c>
      <c r="AM8895">
        <v>91.720022894981099</v>
      </c>
      <c r="AN8895">
        <v>1.0000000291239</v>
      </c>
    </row>
    <row r="8896" spans="1:40" x14ac:dyDescent="0.25">
      <c r="A8896" t="str">
        <f>"20190303154015547"</f>
        <v>20190303154015547</v>
      </c>
      <c r="B8896" t="str">
        <f>"1551598815536877"</f>
        <v>1551598815536877</v>
      </c>
      <c r="C8896" t="s">
        <v>40</v>
      </c>
      <c r="D8896">
        <v>4.5355790000000002</v>
      </c>
      <c r="E8896">
        <v>0.50022789999999995</v>
      </c>
      <c r="F8896" t="s">
        <v>63</v>
      </c>
      <c r="G8896">
        <v>-190.8373</v>
      </c>
      <c r="H8896" s="1">
        <v>-9.4553820000000001E-6</v>
      </c>
      <c r="I8896">
        <v>-60.665390000000002</v>
      </c>
      <c r="J8896">
        <v>-228.4299</v>
      </c>
      <c r="K8896">
        <v>1.1208739999999999</v>
      </c>
      <c r="L8896">
        <v>-62.732849999999999</v>
      </c>
      <c r="M8896">
        <v>0.99958089999999999</v>
      </c>
      <c r="N8896">
        <v>-1.457018E-2</v>
      </c>
      <c r="O8896">
        <v>2.501863E-2</v>
      </c>
      <c r="P8896">
        <v>0.99750450000000002</v>
      </c>
      <c r="Q8896">
        <v>-4.4251480000000003E-2</v>
      </c>
      <c r="R8896">
        <v>5.501731E-2</v>
      </c>
      <c r="S8896">
        <v>2.9944760000000001</v>
      </c>
      <c r="T8896">
        <v>-8.9026569999999999E-2</v>
      </c>
      <c r="U8896">
        <v>0.16439819999999999</v>
      </c>
      <c r="V8896">
        <v>-3.00781E-2</v>
      </c>
      <c r="W8896">
        <v>-2.9660510000000001E-2</v>
      </c>
      <c r="X8896">
        <v>0.99910739999999998</v>
      </c>
      <c r="Y8896">
        <v>-2.9800400000000001E-2</v>
      </c>
      <c r="Z8896">
        <v>2.813205E-4</v>
      </c>
      <c r="AA8896">
        <v>0.99955579999999999</v>
      </c>
      <c r="AB8896">
        <v>22</v>
      </c>
      <c r="AC8896">
        <v>37.592599999999997</v>
      </c>
      <c r="AD8896">
        <v>-1.120883455382</v>
      </c>
      <c r="AE8896">
        <v>2.0674599999999899</v>
      </c>
      <c r="AF8896">
        <v>-1.1252002929554701</v>
      </c>
      <c r="AG8896">
        <v>-1.120883455382</v>
      </c>
      <c r="AH8896">
        <v>37.599234929703002</v>
      </c>
      <c r="AI8896">
        <v>91.706794397341199</v>
      </c>
      <c r="AJ8896">
        <v>91.714130425417196</v>
      </c>
      <c r="AK8896">
        <v>37.632763952688997</v>
      </c>
      <c r="AL8896">
        <v>91.6996712869974</v>
      </c>
      <c r="AM8896">
        <v>91.724367009851406</v>
      </c>
      <c r="AN8896">
        <v>1.0000000173439101</v>
      </c>
    </row>
    <row r="8897" spans="1:40" x14ac:dyDescent="0.25">
      <c r="A8897" t="str">
        <f>"20190303154015559"</f>
        <v>20190303154015559</v>
      </c>
      <c r="B8897" t="str">
        <f>"1551598815546637"</f>
        <v>1551598815546637</v>
      </c>
      <c r="C8897" t="s">
        <v>40</v>
      </c>
      <c r="D8897">
        <v>4.5166849999999998</v>
      </c>
      <c r="E8897">
        <v>0.50024859999999904</v>
      </c>
      <c r="F8897" t="s">
        <v>63</v>
      </c>
      <c r="G8897">
        <v>-190.31219999999999</v>
      </c>
      <c r="H8897" s="1">
        <v>-9.6685780000000007E-6</v>
      </c>
      <c r="I8897">
        <v>-60.653849999999998</v>
      </c>
      <c r="J8897">
        <v>-228.31979999999999</v>
      </c>
      <c r="K8897">
        <v>1.1208979999999999</v>
      </c>
      <c r="L8897">
        <v>-62.730530000000002</v>
      </c>
      <c r="M8897">
        <v>0.99958939999999996</v>
      </c>
      <c r="N8897">
        <v>-1.456729E-2</v>
      </c>
      <c r="O8897">
        <v>2.4674519999999998E-2</v>
      </c>
      <c r="P8897">
        <v>0.99753510000000001</v>
      </c>
      <c r="Q8897">
        <v>-4.3846309999999999E-2</v>
      </c>
      <c r="R8897">
        <v>5.4785279999999999E-2</v>
      </c>
      <c r="S8897">
        <v>2.9945979999999999</v>
      </c>
      <c r="T8897">
        <v>-8.8058709999999998E-2</v>
      </c>
      <c r="U8897">
        <v>0.16333010000000001</v>
      </c>
      <c r="V8897">
        <v>-3.0186600000000001E-2</v>
      </c>
      <c r="W8897">
        <v>-2.9259770000000001E-2</v>
      </c>
      <c r="X8897">
        <v>0.99911589999999995</v>
      </c>
      <c r="Y8897">
        <v>-2.9787020000000001E-2</v>
      </c>
      <c r="Z8897">
        <v>2.8927610000000002E-4</v>
      </c>
      <c r="AA8897">
        <v>0.99955620000000001</v>
      </c>
      <c r="AB8897">
        <v>22</v>
      </c>
      <c r="AC8897">
        <v>38.007599999999996</v>
      </c>
      <c r="AD8897">
        <v>-1.1209076685779999</v>
      </c>
      <c r="AE8897">
        <v>2.0766800000000001</v>
      </c>
      <c r="AF8897">
        <v>-1.1371426945076999</v>
      </c>
      <c r="AG8897">
        <v>-1.1209076685779999</v>
      </c>
      <c r="AH8897">
        <v>38.014307318716</v>
      </c>
      <c r="AI8897">
        <v>91.688206096823194</v>
      </c>
      <c r="AJ8897">
        <v>91.713408939211803</v>
      </c>
      <c r="AK8897">
        <v>38.047826329909199</v>
      </c>
      <c r="AL8897">
        <v>91.676700680146297</v>
      </c>
      <c r="AM8897">
        <v>91.730568787380193</v>
      </c>
      <c r="AN8897">
        <v>0.99999997329641099</v>
      </c>
    </row>
    <row r="8898" spans="1:40" x14ac:dyDescent="0.25">
      <c r="A8898" t="str">
        <f>"20190303154015571"</f>
        <v>20190303154015571</v>
      </c>
      <c r="B8898" t="str">
        <f>"1551598815567133"</f>
        <v>1551598815567133</v>
      </c>
      <c r="C8898" t="s">
        <v>40</v>
      </c>
      <c r="D8898">
        <v>4.5321170000000004</v>
      </c>
      <c r="E8898">
        <v>0.50026170000000003</v>
      </c>
      <c r="F8898" t="s">
        <v>63</v>
      </c>
      <c r="G8898">
        <v>-189.92609999999999</v>
      </c>
      <c r="H8898" s="1">
        <v>-1.113779E-5</v>
      </c>
      <c r="I8898">
        <v>-60.647869999999998</v>
      </c>
      <c r="J8898">
        <v>-228.2072</v>
      </c>
      <c r="K8898">
        <v>1.1209309999999999</v>
      </c>
      <c r="L8898">
        <v>-62.728119999999997</v>
      </c>
      <c r="M8898">
        <v>0.99959799999999999</v>
      </c>
      <c r="N8898">
        <v>-1.456434E-2</v>
      </c>
      <c r="O8898">
        <v>2.4330549999999999E-2</v>
      </c>
      <c r="P8898">
        <v>0.99754520000000002</v>
      </c>
      <c r="Q8898">
        <v>-4.3704E-2</v>
      </c>
      <c r="R8898">
        <v>5.4715890000000003E-2</v>
      </c>
      <c r="S8898">
        <v>2.994659</v>
      </c>
      <c r="T8898">
        <v>-8.7429640000000003E-2</v>
      </c>
      <c r="U8898">
        <v>0.16244510000000001</v>
      </c>
      <c r="V8898">
        <v>-3.045875E-2</v>
      </c>
      <c r="W8898">
        <v>-2.912213E-2</v>
      </c>
      <c r="X8898">
        <v>0.99911170000000005</v>
      </c>
      <c r="Y8898">
        <v>-2.9835420000000001E-2</v>
      </c>
      <c r="Z8898">
        <v>2.9729080000000002E-4</v>
      </c>
      <c r="AA8898">
        <v>0.99955479999999997</v>
      </c>
      <c r="AB8898">
        <v>22</v>
      </c>
      <c r="AC8898">
        <v>38.281100000000002</v>
      </c>
      <c r="AD8898">
        <v>-1.12094213779</v>
      </c>
      <c r="AE8898">
        <v>2.0802499999999902</v>
      </c>
      <c r="AF8898">
        <v>-1.1471544457384899</v>
      </c>
      <c r="AG8898">
        <v>-1.12094213779</v>
      </c>
      <c r="AH8898">
        <v>38.287651930029398</v>
      </c>
      <c r="AI8898">
        <v>91.676209606829403</v>
      </c>
      <c r="AJ8898">
        <v>91.716152543840906</v>
      </c>
      <c r="AK8898">
        <v>38.321231255189701</v>
      </c>
      <c r="AL8898">
        <v>91.6688110629715</v>
      </c>
      <c r="AM8898">
        <v>91.746168605423705</v>
      </c>
      <c r="AN8898">
        <v>1.0000000114920899</v>
      </c>
    </row>
    <row r="8899" spans="1:40" x14ac:dyDescent="0.25">
      <c r="A8899" t="str">
        <f>"20190303154015581"</f>
        <v>20190303154015581</v>
      </c>
      <c r="B8899" t="str">
        <f>"1551598815576893"</f>
        <v>1551598815576893</v>
      </c>
      <c r="C8899" t="s">
        <v>40</v>
      </c>
      <c r="D8899">
        <v>4.5512560000000004</v>
      </c>
      <c r="E8899">
        <v>0.50026170000000003</v>
      </c>
      <c r="F8899" t="s">
        <v>63</v>
      </c>
      <c r="G8899">
        <v>-189.83009999999999</v>
      </c>
      <c r="H8899" s="1">
        <v>-1.1126139999999999E-5</v>
      </c>
      <c r="I8899">
        <v>-60.650280000000002</v>
      </c>
      <c r="J8899">
        <v>-228.09309999999999</v>
      </c>
      <c r="K8899">
        <v>1.1209639999999901</v>
      </c>
      <c r="L8899">
        <v>-62.725740000000002</v>
      </c>
      <c r="M8899">
        <v>0.99960559999999998</v>
      </c>
      <c r="N8899">
        <v>-1.4561269999999999E-2</v>
      </c>
      <c r="O8899">
        <v>2.4015999999999999E-2</v>
      </c>
      <c r="P8899">
        <v>0.99755559999999999</v>
      </c>
      <c r="Q8899">
        <v>-4.3429189999999999E-2</v>
      </c>
      <c r="R8899">
        <v>5.4744330000000001E-2</v>
      </c>
      <c r="S8899">
        <v>2.994675</v>
      </c>
      <c r="T8899">
        <v>-8.7470290000000006E-2</v>
      </c>
      <c r="U8899">
        <v>0.162139899999999</v>
      </c>
      <c r="V8899">
        <v>-3.0798200000000001E-2</v>
      </c>
      <c r="W8899">
        <v>-2.885238E-2</v>
      </c>
      <c r="X8899">
        <v>0.99910909999999997</v>
      </c>
      <c r="Y8899">
        <v>-3.004795E-2</v>
      </c>
      <c r="Z8899">
        <v>3.0628790000000001E-4</v>
      </c>
      <c r="AA8899">
        <v>0.9995484</v>
      </c>
      <c r="AB8899">
        <v>22</v>
      </c>
      <c r="AC8899">
        <v>38.262999999999998</v>
      </c>
      <c r="AD8899">
        <v>-1.1209751261399901</v>
      </c>
      <c r="AE8899">
        <v>2.0754600000000001</v>
      </c>
      <c r="AF8899">
        <v>-1.1548513951603601</v>
      </c>
      <c r="AG8899">
        <v>-1.1209751261399901</v>
      </c>
      <c r="AH8899">
        <v>38.269061569023499</v>
      </c>
      <c r="AI8899">
        <v>91.677061876496794</v>
      </c>
      <c r="AJ8899">
        <v>91.728499043287798</v>
      </c>
      <c r="AK8899">
        <v>38.302889451737698</v>
      </c>
      <c r="AL8899">
        <v>91.653349062487905</v>
      </c>
      <c r="AM8899">
        <v>91.765621264579394</v>
      </c>
      <c r="AN8899">
        <v>0.99999999132885697</v>
      </c>
    </row>
    <row r="8900" spans="1:40" x14ac:dyDescent="0.25">
      <c r="A8900" t="str">
        <f>"20190303154015593"</f>
        <v>20190303154015593</v>
      </c>
      <c r="B8900" t="str">
        <f>"1551598815586653"</f>
        <v>1551598815586653</v>
      </c>
      <c r="C8900" t="s">
        <v>40</v>
      </c>
      <c r="D8900">
        <v>4.4962559999999998</v>
      </c>
      <c r="E8900">
        <v>0.5009344</v>
      </c>
      <c r="F8900" t="s">
        <v>63</v>
      </c>
      <c r="G8900">
        <v>-189.34989999999999</v>
      </c>
      <c r="H8900" s="1">
        <v>-1.108478E-5</v>
      </c>
      <c r="I8900">
        <v>-60.627279999999999</v>
      </c>
      <c r="J8900">
        <v>-227.9845</v>
      </c>
      <c r="K8900">
        <v>1.120997</v>
      </c>
      <c r="L8900">
        <v>-62.723480000000002</v>
      </c>
      <c r="M8900">
        <v>0.99961239999999996</v>
      </c>
      <c r="N8900">
        <v>-1.4558349999999999E-2</v>
      </c>
      <c r="O8900">
        <v>2.3730290000000001E-2</v>
      </c>
      <c r="P8900">
        <v>0.99755780000000005</v>
      </c>
      <c r="Q8900">
        <v>-4.3112789999999998E-2</v>
      </c>
      <c r="R8900">
        <v>5.4951390000000003E-2</v>
      </c>
      <c r="S8900">
        <v>2.994659</v>
      </c>
      <c r="T8900">
        <v>-8.6645719999999996E-2</v>
      </c>
      <c r="U8900">
        <v>0.16220090000000001</v>
      </c>
      <c r="V8900">
        <v>-3.128823E-2</v>
      </c>
      <c r="W8900">
        <v>-2.854081E-2</v>
      </c>
      <c r="X8900">
        <v>0.99910279999999996</v>
      </c>
      <c r="Y8900">
        <v>-3.0354200000000001E-2</v>
      </c>
      <c r="Z8900">
        <v>3.1939799999999998E-4</v>
      </c>
      <c r="AA8900">
        <v>0.99953910000000001</v>
      </c>
      <c r="AB8900">
        <v>22</v>
      </c>
      <c r="AC8900">
        <v>38.634599999999999</v>
      </c>
      <c r="AD8900">
        <v>-1.1210080847799999</v>
      </c>
      <c r="AE8900">
        <v>2.0961999999999898</v>
      </c>
      <c r="AF8900">
        <v>-1.1777135384106701</v>
      </c>
      <c r="AG8900">
        <v>-1.1210080847799999</v>
      </c>
      <c r="AH8900">
        <v>38.641030075411102</v>
      </c>
      <c r="AI8900">
        <v>91.660960792324701</v>
      </c>
      <c r="AJ8900">
        <v>91.745738471906407</v>
      </c>
      <c r="AK8900">
        <v>38.675222993455698</v>
      </c>
      <c r="AL8900">
        <v>91.635490099378103</v>
      </c>
      <c r="AM8900">
        <v>91.793707150470595</v>
      </c>
      <c r="AN8900">
        <v>0.99999996806991398</v>
      </c>
    </row>
    <row r="8901" spans="1:40" x14ac:dyDescent="0.25">
      <c r="A8901" t="str">
        <f>"20190303154015605"</f>
        <v>20190303154015605</v>
      </c>
      <c r="B8901" t="str">
        <f>"1551598815597390"</f>
        <v>1551598815597390</v>
      </c>
      <c r="C8901" t="s">
        <v>40</v>
      </c>
      <c r="D8901">
        <v>4.6627980000000004</v>
      </c>
      <c r="E8901">
        <v>0.5009344</v>
      </c>
      <c r="F8901" t="s">
        <v>63</v>
      </c>
      <c r="G8901">
        <v>-188.63589999999999</v>
      </c>
      <c r="H8901" s="1">
        <v>-1.100352E-5</v>
      </c>
      <c r="I8901">
        <v>-60.654600000000002</v>
      </c>
      <c r="J8901">
        <v>-227.86779999999999</v>
      </c>
      <c r="K8901">
        <v>1.121032</v>
      </c>
      <c r="L8901">
        <v>-62.721069999999997</v>
      </c>
      <c r="M8901">
        <v>0.99961920000000004</v>
      </c>
      <c r="N8901">
        <v>-1.4555210000000001E-2</v>
      </c>
      <c r="O8901">
        <v>2.3449299999999999E-2</v>
      </c>
      <c r="P8901">
        <v>0.9975811</v>
      </c>
      <c r="Q8901">
        <v>-4.2655999999999999E-2</v>
      </c>
      <c r="R8901">
        <v>5.4888930000000002E-2</v>
      </c>
      <c r="S8901">
        <v>2.99498</v>
      </c>
      <c r="T8901">
        <v>-8.5324410000000003E-2</v>
      </c>
      <c r="U8901">
        <v>0.15747069999999999</v>
      </c>
      <c r="V8901">
        <v>-3.150302E-2</v>
      </c>
      <c r="W8901">
        <v>-2.8089510000000002E-2</v>
      </c>
      <c r="X8901">
        <v>0.99910889999999997</v>
      </c>
      <c r="Y8901">
        <v>-2.9056309999999998E-2</v>
      </c>
      <c r="Z8901">
        <v>2.990364E-4</v>
      </c>
      <c r="AA8901">
        <v>0.99957779999999996</v>
      </c>
      <c r="AB8901">
        <v>22</v>
      </c>
      <c r="AC8901">
        <v>39.231900000000003</v>
      </c>
      <c r="AD8901">
        <v>-1.1210430035200001</v>
      </c>
      <c r="AE8901">
        <v>2.06646999999999</v>
      </c>
      <c r="AF8901">
        <v>-1.14491146929587</v>
      </c>
      <c r="AG8901">
        <v>-1.1210430035200001</v>
      </c>
      <c r="AH8901">
        <v>39.237622830222101</v>
      </c>
      <c r="AI8901">
        <v>91.635834592328806</v>
      </c>
      <c r="AJ8901">
        <v>91.671354755832198</v>
      </c>
      <c r="AK8901">
        <v>39.270327284796501</v>
      </c>
      <c r="AL8901">
        <v>91.609622045557501</v>
      </c>
      <c r="AM8901">
        <v>91.806001591960396</v>
      </c>
      <c r="AN8901">
        <v>1.0000000274501799</v>
      </c>
    </row>
    <row r="8902" spans="1:40" x14ac:dyDescent="0.25">
      <c r="A8902" t="str">
        <f>"20190303154015617"</f>
        <v>20190303154015617</v>
      </c>
      <c r="B8902" t="str">
        <f>"1551598815607149"</f>
        <v>1551598815607149</v>
      </c>
      <c r="C8902" t="s">
        <v>40</v>
      </c>
      <c r="D8902">
        <v>4.6073060000000003</v>
      </c>
      <c r="E8902">
        <v>0.54207890000000003</v>
      </c>
      <c r="F8902" t="s">
        <v>63</v>
      </c>
      <c r="G8902">
        <v>-187.8758</v>
      </c>
      <c r="H8902" s="1">
        <v>-1.093987E-5</v>
      </c>
      <c r="I8902">
        <v>-60.620829999999998</v>
      </c>
      <c r="J8902">
        <v>-227.74940000000001</v>
      </c>
      <c r="K8902">
        <v>1.1210719999999901</v>
      </c>
      <c r="L8902">
        <v>-62.718629999999997</v>
      </c>
      <c r="M8902">
        <v>0.99962510000000004</v>
      </c>
      <c r="N8902">
        <v>-1.4552000000000001E-2</v>
      </c>
      <c r="O8902">
        <v>2.3194630000000001E-2</v>
      </c>
      <c r="P8902">
        <v>0.99759200000000003</v>
      </c>
      <c r="Q8902">
        <v>-4.234591E-2</v>
      </c>
      <c r="R8902">
        <v>5.4926709999999997E-2</v>
      </c>
      <c r="S8902">
        <v>2.9950260000000002</v>
      </c>
      <c r="T8902">
        <v>-8.3955650000000007E-2</v>
      </c>
      <c r="U8902">
        <v>0.1572876</v>
      </c>
      <c r="V8902">
        <v>-3.1792470000000003E-2</v>
      </c>
      <c r="W8902">
        <v>-2.7785250000000001E-2</v>
      </c>
      <c r="X8902">
        <v>0.9991082</v>
      </c>
      <c r="Y8902">
        <v>-2.924941E-2</v>
      </c>
      <c r="Z8902">
        <v>3.1052139999999999E-4</v>
      </c>
      <c r="AA8902">
        <v>0.99957209999999996</v>
      </c>
      <c r="AB8902">
        <v>22</v>
      </c>
      <c r="AC8902">
        <v>39.873600000000003</v>
      </c>
      <c r="AD8902">
        <v>-1.12108293986999</v>
      </c>
      <c r="AE8902">
        <v>2.0977999999999901</v>
      </c>
      <c r="AF8902">
        <v>-1.1713607998926601</v>
      </c>
      <c r="AG8902">
        <v>-1.12108293986999</v>
      </c>
      <c r="AH8902">
        <v>39.880094922099197</v>
      </c>
      <c r="AI8902">
        <v>91.609543336053505</v>
      </c>
      <c r="AJ8902">
        <v>91.682411741222893</v>
      </c>
      <c r="AK8902">
        <v>39.913041528769</v>
      </c>
      <c r="AL8902">
        <v>91.592182487349703</v>
      </c>
      <c r="AM8902">
        <v>91.822585284476801</v>
      </c>
      <c r="AN8902">
        <v>0.99999998828675096</v>
      </c>
    </row>
    <row r="8903" spans="1:40" x14ac:dyDescent="0.25">
      <c r="A8903" t="str">
        <f>"20190303154015629"</f>
        <v>20190303154015629</v>
      </c>
      <c r="B8903" t="str">
        <f>"1551598815626671"</f>
        <v>1551598815626671</v>
      </c>
      <c r="C8903" t="s">
        <v>40</v>
      </c>
      <c r="D8903">
        <v>4.5799779999999997</v>
      </c>
      <c r="E8903">
        <v>0.54334720000000003</v>
      </c>
      <c r="F8903" t="s">
        <v>63</v>
      </c>
      <c r="G8903">
        <v>-202.80539999999999</v>
      </c>
      <c r="H8903" s="1">
        <v>-4.4906660000000004E-6</v>
      </c>
      <c r="I8903">
        <v>-64.129140000000007</v>
      </c>
      <c r="J8903">
        <v>-227.62870000000001</v>
      </c>
      <c r="K8903">
        <v>1.121113</v>
      </c>
      <c r="L8903">
        <v>-62.716090000000001</v>
      </c>
      <c r="M8903">
        <v>0.99963069999999998</v>
      </c>
      <c r="N8903">
        <v>-1.4548719999999999E-2</v>
      </c>
      <c r="O8903">
        <v>2.295179E-2</v>
      </c>
      <c r="P8903">
        <v>0.99762360000000005</v>
      </c>
      <c r="Q8903">
        <v>-4.1830060000000002E-2</v>
      </c>
      <c r="R8903">
        <v>5.4747949999999997E-2</v>
      </c>
      <c r="S8903">
        <v>3.0108799999999998</v>
      </c>
      <c r="T8903">
        <v>-0.13531989999999999</v>
      </c>
      <c r="U8903">
        <v>-0.17025760000000001</v>
      </c>
      <c r="V8903">
        <v>-3.1852470000000001E-2</v>
      </c>
      <c r="W8903">
        <v>-2.7275420000000002E-2</v>
      </c>
      <c r="X8903">
        <v>0.99912040000000002</v>
      </c>
      <c r="Y8903">
        <v>7.9243759999999996E-2</v>
      </c>
      <c r="Z8903">
        <v>-3.0525270000000002E-3</v>
      </c>
      <c r="AA8903">
        <v>0.99685060000000003</v>
      </c>
      <c r="AB8903">
        <v>22</v>
      </c>
      <c r="AC8903">
        <v>24.8233</v>
      </c>
      <c r="AD8903">
        <v>-1.121117490666</v>
      </c>
      <c r="AE8903">
        <v>-1.4130499999999999</v>
      </c>
      <c r="AF8903">
        <v>1.97845458834614</v>
      </c>
      <c r="AG8903">
        <v>-1.121117490666</v>
      </c>
      <c r="AH8903">
        <v>24.734035005005399</v>
      </c>
      <c r="AI8903">
        <v>92.587012803694904</v>
      </c>
      <c r="AJ8903">
        <v>85.426696096137107</v>
      </c>
      <c r="AK8903">
        <v>24.838350883560199</v>
      </c>
      <c r="AL8903">
        <v>91.562960205189299</v>
      </c>
      <c r="AM8903">
        <v>91.826000330677502</v>
      </c>
      <c r="AN8903">
        <v>1.0000000510387099</v>
      </c>
    </row>
    <row r="8904" spans="1:40" x14ac:dyDescent="0.25">
      <c r="A8904" t="str">
        <f>"20190303154015642"</f>
        <v>20190303154015642</v>
      </c>
      <c r="B8904" t="str">
        <f>"1551598815637405"</f>
        <v>1551598815637405</v>
      </c>
      <c r="C8904" t="s">
        <v>40</v>
      </c>
      <c r="D8904">
        <v>4.5459199999999997</v>
      </c>
      <c r="E8904">
        <v>0.5431359</v>
      </c>
      <c r="F8904" t="s">
        <v>63</v>
      </c>
      <c r="G8904">
        <v>-203.69329999999999</v>
      </c>
      <c r="H8904" s="1">
        <v>-4.140516E-6</v>
      </c>
      <c r="I8904">
        <v>-64.154349999999994</v>
      </c>
      <c r="J8904">
        <v>-227.5076</v>
      </c>
      <c r="K8904">
        <v>1.121154</v>
      </c>
      <c r="L8904">
        <v>-62.713619999999999</v>
      </c>
      <c r="M8904">
        <v>0.9996351</v>
      </c>
      <c r="N8904">
        <v>-1.454537E-2</v>
      </c>
      <c r="O8904">
        <v>2.27633E-2</v>
      </c>
      <c r="P8904">
        <v>0.99765340000000002</v>
      </c>
      <c r="Q8904">
        <v>-4.1454459999999999E-2</v>
      </c>
      <c r="R8904">
        <v>5.4490469999999999E-2</v>
      </c>
      <c r="S8904">
        <v>3.0111690000000002</v>
      </c>
      <c r="T8904">
        <v>-0.141041</v>
      </c>
      <c r="U8904">
        <v>-0.18093870000000001</v>
      </c>
      <c r="V8904">
        <v>-3.1779889999999998E-2</v>
      </c>
      <c r="W8904">
        <v>-2.6906269999999999E-2</v>
      </c>
      <c r="X8904">
        <v>0.99913269999999998</v>
      </c>
      <c r="Y8904">
        <v>8.2559999999999995E-2</v>
      </c>
      <c r="Z8904">
        <v>-3.2662899999999998E-3</v>
      </c>
      <c r="AA8904">
        <v>0.99658069999999999</v>
      </c>
      <c r="AB8904">
        <v>22</v>
      </c>
      <c r="AC8904">
        <v>23.814299999999999</v>
      </c>
      <c r="AD8904">
        <v>-1.121158140516</v>
      </c>
      <c r="AE8904">
        <v>-1.4407299999999901</v>
      </c>
      <c r="AF8904">
        <v>1.9781375371389101</v>
      </c>
      <c r="AG8904">
        <v>-1.121158140516</v>
      </c>
      <c r="AH8904">
        <v>23.7229397720496</v>
      </c>
      <c r="AI8904">
        <v>92.696469972784598</v>
      </c>
      <c r="AJ8904">
        <v>85.233417965751599</v>
      </c>
      <c r="AK8904">
        <v>23.831657414459801</v>
      </c>
      <c r="AL8904">
        <v>91.5418017351451</v>
      </c>
      <c r="AM8904">
        <v>91.821819945344203</v>
      </c>
      <c r="AN8904">
        <v>1.0000000304915</v>
      </c>
    </row>
    <row r="8905" spans="1:40" x14ac:dyDescent="0.25">
      <c r="A8905" t="str">
        <f>"20190303154015653"</f>
        <v>20190303154015653</v>
      </c>
      <c r="B8905" t="str">
        <f>"1551598815647165"</f>
        <v>1551598815647165</v>
      </c>
      <c r="C8905" t="s">
        <v>40</v>
      </c>
      <c r="D8905">
        <v>4.5972900000000001</v>
      </c>
      <c r="E8905">
        <v>0.54347519999999905</v>
      </c>
      <c r="F8905" t="s">
        <v>63</v>
      </c>
      <c r="G8905">
        <v>-204.7972</v>
      </c>
      <c r="H8905" s="1">
        <v>-3.745794E-6</v>
      </c>
      <c r="I8905">
        <v>-64.071569999999994</v>
      </c>
      <c r="J8905">
        <v>-227.3956</v>
      </c>
      <c r="K8905">
        <v>1.1211960000000001</v>
      </c>
      <c r="L8905">
        <v>-62.711269999999899</v>
      </c>
      <c r="M8905">
        <v>0.99963869999999999</v>
      </c>
      <c r="N8905">
        <v>-1.4542299999999999E-2</v>
      </c>
      <c r="O8905">
        <v>2.2606040000000001E-2</v>
      </c>
      <c r="P8905">
        <v>0.99769859999999999</v>
      </c>
      <c r="Q8905">
        <v>-4.106779E-2</v>
      </c>
      <c r="R8905">
        <v>5.3956919999999998E-2</v>
      </c>
      <c r="S8905">
        <v>3.0107119999999998</v>
      </c>
      <c r="T8905">
        <v>-0.14863119999999999</v>
      </c>
      <c r="U8905">
        <v>-0.18002319999999999</v>
      </c>
      <c r="V8905">
        <v>-3.1399539999999997E-2</v>
      </c>
      <c r="W8905">
        <v>-2.6525529999999999E-2</v>
      </c>
      <c r="X8905">
        <v>0.99915489999999996</v>
      </c>
      <c r="Y8905">
        <v>8.2097719999999999E-2</v>
      </c>
      <c r="Z8905">
        <v>-3.407574E-3</v>
      </c>
      <c r="AA8905">
        <v>0.99661840000000002</v>
      </c>
      <c r="AB8905">
        <v>22</v>
      </c>
      <c r="AC8905">
        <v>22.598400000000002</v>
      </c>
      <c r="AD8905">
        <v>-1.1211997457939999</v>
      </c>
      <c r="AE8905">
        <v>-1.3603000000000001</v>
      </c>
      <c r="AF8905">
        <v>1.8662892539387901</v>
      </c>
      <c r="AG8905">
        <v>-1.1211997457939999</v>
      </c>
      <c r="AH8905">
        <v>22.506668008883601</v>
      </c>
      <c r="AI8905">
        <v>92.842169670599802</v>
      </c>
      <c r="AJ8905">
        <v>85.259786155560903</v>
      </c>
      <c r="AK8905">
        <v>22.611727694084799</v>
      </c>
      <c r="AL8905">
        <v>91.5199791604513</v>
      </c>
      <c r="AM8905">
        <v>91.799990392519803</v>
      </c>
      <c r="AN8905">
        <v>1.0000000245239999</v>
      </c>
    </row>
    <row r="8906" spans="1:40" x14ac:dyDescent="0.25">
      <c r="A8906" t="str">
        <f>"20190303154015664"</f>
        <v>20190303154015664</v>
      </c>
      <c r="B8906" t="str">
        <f>"1551598815656926"</f>
        <v>1551598815656926</v>
      </c>
      <c r="C8906" t="s">
        <v>40</v>
      </c>
      <c r="D8906">
        <v>4.5875919999999999</v>
      </c>
      <c r="E8906">
        <v>0.54372049999999905</v>
      </c>
      <c r="F8906" t="s">
        <v>63</v>
      </c>
      <c r="G8906">
        <v>-204.38570000000001</v>
      </c>
      <c r="H8906" s="1">
        <v>-3.8953370000000002E-6</v>
      </c>
      <c r="I8906">
        <v>-64.119709999999998</v>
      </c>
      <c r="J8906">
        <v>-227.2801</v>
      </c>
      <c r="K8906">
        <v>1.1212409999999999</v>
      </c>
      <c r="L8906">
        <v>-62.708829999999999</v>
      </c>
      <c r="M8906">
        <v>0.99964160000000002</v>
      </c>
      <c r="N8906">
        <v>-1.4539180000000001E-2</v>
      </c>
      <c r="O8906">
        <v>2.247969E-2</v>
      </c>
      <c r="P8906">
        <v>0.99774910000000006</v>
      </c>
      <c r="Q8906">
        <v>-4.0702210000000003E-2</v>
      </c>
      <c r="R8906">
        <v>5.3294300000000003E-2</v>
      </c>
      <c r="S8906">
        <v>3.0108640000000002</v>
      </c>
      <c r="T8906">
        <v>-0.1467099</v>
      </c>
      <c r="U8906">
        <v>-0.18429570000000001</v>
      </c>
      <c r="V8906">
        <v>-3.0859560000000001E-2</v>
      </c>
      <c r="W8906">
        <v>-2.616603E-2</v>
      </c>
      <c r="X8906">
        <v>0.99918119999999999</v>
      </c>
      <c r="Y8906">
        <v>8.3379300000000003E-2</v>
      </c>
      <c r="Z8906">
        <v>-3.4029389999999998E-3</v>
      </c>
      <c r="AA8906">
        <v>0.99651210000000001</v>
      </c>
      <c r="AB8906">
        <v>22</v>
      </c>
      <c r="AC8906">
        <v>22.894399999999901</v>
      </c>
      <c r="AD8906">
        <v>-1.121244895337</v>
      </c>
      <c r="AE8906">
        <v>-1.4108799999999899</v>
      </c>
      <c r="AF8906">
        <v>1.9206475280981901</v>
      </c>
      <c r="AG8906">
        <v>-1.121244895337</v>
      </c>
      <c r="AH8906">
        <v>22.8024088616482</v>
      </c>
      <c r="AI8906">
        <v>92.805175434859706</v>
      </c>
      <c r="AJ8906">
        <v>85.185339633721199</v>
      </c>
      <c r="AK8906">
        <v>22.910607301777901</v>
      </c>
      <c r="AL8906">
        <v>91.499374179691301</v>
      </c>
      <c r="AM8906">
        <v>91.769009143221894</v>
      </c>
      <c r="AN8906">
        <v>1.00000002200139</v>
      </c>
    </row>
    <row r="8907" spans="1:40" x14ac:dyDescent="0.25">
      <c r="A8907" t="str">
        <f>"20190303154015675"</f>
        <v>20190303154015675</v>
      </c>
      <c r="B8907" t="str">
        <f>"1551598815666686"</f>
        <v>1551598815666686</v>
      </c>
      <c r="C8907" t="s">
        <v>40</v>
      </c>
      <c r="D8907">
        <v>4.5629220000000004</v>
      </c>
      <c r="E8907">
        <v>0.54394580000000003</v>
      </c>
      <c r="F8907" t="s">
        <v>63</v>
      </c>
      <c r="G8907">
        <v>-204.01070000000001</v>
      </c>
      <c r="H8907" s="1">
        <v>-4.031612E-6</v>
      </c>
      <c r="I8907">
        <v>-64.163560000000004</v>
      </c>
      <c r="J8907">
        <v>-227.17760000000001</v>
      </c>
      <c r="K8907">
        <v>1.1212839999999999</v>
      </c>
      <c r="L8907">
        <v>-62.706670000000003</v>
      </c>
      <c r="M8907">
        <v>0.99964370000000002</v>
      </c>
      <c r="N8907">
        <v>-1.4536429999999999E-2</v>
      </c>
      <c r="O8907">
        <v>2.2394850000000001E-2</v>
      </c>
      <c r="P8907">
        <v>0.99777170000000004</v>
      </c>
      <c r="Q8907">
        <v>-4.0367199999999999E-2</v>
      </c>
      <c r="R8907">
        <v>5.3125819999999997E-2</v>
      </c>
      <c r="S8907">
        <v>3.01091</v>
      </c>
      <c r="T8907">
        <v>-0.14508219999999999</v>
      </c>
      <c r="U8907">
        <v>-0.18823239999999999</v>
      </c>
      <c r="V8907">
        <v>-3.0772629999999999E-2</v>
      </c>
      <c r="W8907">
        <v>-2.5836339999999999E-2</v>
      </c>
      <c r="X8907">
        <v>0.99919239999999998</v>
      </c>
      <c r="Y8907">
        <v>8.4592840000000002E-2</v>
      </c>
      <c r="Z8907">
        <v>-3.4033230000000002E-3</v>
      </c>
      <c r="AA8907">
        <v>0.99640980000000001</v>
      </c>
      <c r="AB8907">
        <v>22</v>
      </c>
      <c r="AC8907">
        <v>23.166899999999998</v>
      </c>
      <c r="AD8907">
        <v>-1.121288031612</v>
      </c>
      <c r="AE8907">
        <v>-1.45689</v>
      </c>
      <c r="AF8907">
        <v>1.9707999068694999</v>
      </c>
      <c r="AG8907">
        <v>-1.121288031612</v>
      </c>
      <c r="AH8907">
        <v>23.074616615869701</v>
      </c>
      <c r="AI8907">
        <v>92.771966611352497</v>
      </c>
      <c r="AJ8907">
        <v>85.118222764099798</v>
      </c>
      <c r="AK8907">
        <v>23.185755780050101</v>
      </c>
      <c r="AL8907">
        <v>91.480478035150099</v>
      </c>
      <c r="AM8907">
        <v>91.764009315936505</v>
      </c>
      <c r="AN8907">
        <v>0.99999996171973504</v>
      </c>
    </row>
    <row r="8908" spans="1:40" x14ac:dyDescent="0.25">
      <c r="A8908" t="str">
        <f>"20190303154015686"</f>
        <v>20190303154015686</v>
      </c>
      <c r="B8908" t="str">
        <f>"1551598815677421"</f>
        <v>1551598815677421</v>
      </c>
      <c r="C8908" t="s">
        <v>40</v>
      </c>
      <c r="D8908">
        <v>4.5609599999999997</v>
      </c>
      <c r="E8908">
        <v>0.54410609999999904</v>
      </c>
      <c r="F8908" t="s">
        <v>63</v>
      </c>
      <c r="G8908">
        <v>-204.0042</v>
      </c>
      <c r="H8908" s="1">
        <v>-4.0351679999999999E-6</v>
      </c>
      <c r="I8908">
        <v>-64.172740000000005</v>
      </c>
      <c r="J8908">
        <v>-227.0746</v>
      </c>
      <c r="K8908">
        <v>1.1213229999999901</v>
      </c>
      <c r="L8908">
        <v>-62.704469999999901</v>
      </c>
      <c r="M8908">
        <v>0.99964509999999995</v>
      </c>
      <c r="N8908">
        <v>-1.453369E-2</v>
      </c>
      <c r="O8908">
        <v>2.2329729999999999E-2</v>
      </c>
      <c r="P8908">
        <v>0.99780919999999895</v>
      </c>
      <c r="Q8908">
        <v>-4.0174439999999999E-2</v>
      </c>
      <c r="R8908">
        <v>5.2564550000000002E-2</v>
      </c>
      <c r="S8908">
        <v>3.0109710000000001</v>
      </c>
      <c r="T8908">
        <v>-0.1456914</v>
      </c>
      <c r="U8908">
        <v>-0.19049070000000001</v>
      </c>
      <c r="V8908">
        <v>-3.027345E-2</v>
      </c>
      <c r="W8908">
        <v>-2.5648859999999999E-2</v>
      </c>
      <c r="X8908">
        <v>0.99921249999999995</v>
      </c>
      <c r="Y8908">
        <v>8.5268990000000003E-2</v>
      </c>
      <c r="Z8908">
        <v>-3.435268E-3</v>
      </c>
      <c r="AA8908">
        <v>0.99635200000000002</v>
      </c>
      <c r="AB8908">
        <v>22</v>
      </c>
      <c r="AC8908">
        <v>23.070399999999999</v>
      </c>
      <c r="AD8908">
        <v>-1.12132703516799</v>
      </c>
      <c r="AE8908">
        <v>-1.46827000000001</v>
      </c>
      <c r="AF8908">
        <v>1.97845893419289</v>
      </c>
      <c r="AG8908">
        <v>-1.12132703516799</v>
      </c>
      <c r="AH8908">
        <v>22.977793021309498</v>
      </c>
      <c r="AI8908">
        <v>92.783561422362894</v>
      </c>
      <c r="AJ8908">
        <v>85.078794021859096</v>
      </c>
      <c r="AK8908">
        <v>23.090055136448299</v>
      </c>
      <c r="AL8908">
        <v>91.469732629762902</v>
      </c>
      <c r="AM8908">
        <v>91.735377090590106</v>
      </c>
      <c r="AN8908">
        <v>0.99999998297522497</v>
      </c>
    </row>
    <row r="8909" spans="1:40" x14ac:dyDescent="0.25">
      <c r="A8909" t="str">
        <f>"20190303154015695"</f>
        <v>20190303154015695</v>
      </c>
      <c r="B8909" t="str">
        <f>"1551598815687182"</f>
        <v>1551598815687182</v>
      </c>
      <c r="C8909" t="s">
        <v>40</v>
      </c>
      <c r="D8909">
        <v>4.5801939999999997</v>
      </c>
      <c r="E8909">
        <v>0.54420959999999996</v>
      </c>
      <c r="F8909" t="s">
        <v>63</v>
      </c>
      <c r="G8909">
        <v>-203.88380000000001</v>
      </c>
      <c r="H8909" s="1">
        <v>-4.0800269999999996E-6</v>
      </c>
      <c r="I8909">
        <v>-64.194699999999997</v>
      </c>
      <c r="J8909">
        <v>-226.97280000000001</v>
      </c>
      <c r="K8909">
        <v>1.1213580000000001</v>
      </c>
      <c r="L8909">
        <v>-62.702269999999999</v>
      </c>
      <c r="M8909">
        <v>0.99964589999999998</v>
      </c>
      <c r="N8909">
        <v>-1.453101E-2</v>
      </c>
      <c r="O8909">
        <v>2.22972E-2</v>
      </c>
      <c r="P8909">
        <v>0.99783339999999998</v>
      </c>
      <c r="Q8909">
        <v>-4.0055340000000002E-2</v>
      </c>
      <c r="R8909">
        <v>5.2191899999999999E-2</v>
      </c>
      <c r="S8909">
        <v>3.0109249999999999</v>
      </c>
      <c r="T8909">
        <v>-0.14558479999999999</v>
      </c>
      <c r="U8909">
        <v>-0.1934814</v>
      </c>
      <c r="V8909">
        <v>-2.9930479999999999E-2</v>
      </c>
      <c r="W8909">
        <v>-2.5534939999999999E-2</v>
      </c>
      <c r="X8909">
        <v>0.99922580000000005</v>
      </c>
      <c r="Y8909">
        <v>8.6221909999999999E-2</v>
      </c>
      <c r="Z8909">
        <v>-3.46174E-3</v>
      </c>
      <c r="AA8909">
        <v>0.99626990000000004</v>
      </c>
      <c r="AB8909">
        <v>22</v>
      </c>
      <c r="AC8909">
        <v>23.088999999999999</v>
      </c>
      <c r="AD8909">
        <v>-1.1213620800270001</v>
      </c>
      <c r="AE8909">
        <v>-1.4924299999999899</v>
      </c>
      <c r="AF8909">
        <v>2.00223012746957</v>
      </c>
      <c r="AG8909">
        <v>-1.1213620800270001</v>
      </c>
      <c r="AH8909">
        <v>22.995962044282901</v>
      </c>
      <c r="AI8909">
        <v>92.781221918431598</v>
      </c>
      <c r="AJ8909">
        <v>85.023876254107606</v>
      </c>
      <c r="AK8909">
        <v>23.110184956853299</v>
      </c>
      <c r="AL8909">
        <v>91.463203282593398</v>
      </c>
      <c r="AM8909">
        <v>91.715705878946295</v>
      </c>
      <c r="AN8909">
        <v>1.0000000330897301</v>
      </c>
    </row>
    <row r="8910" spans="1:40" x14ac:dyDescent="0.25">
      <c r="A8910" t="str">
        <f>"20190303154015704"</f>
        <v>20190303154015704</v>
      </c>
      <c r="B8910" t="str">
        <f>"1551598815696941"</f>
        <v>1551598815696941</v>
      </c>
      <c r="C8910" t="s">
        <v>40</v>
      </c>
      <c r="D8910">
        <v>4.534656</v>
      </c>
      <c r="E8910">
        <v>0.54423940000000004</v>
      </c>
      <c r="F8910" t="s">
        <v>63</v>
      </c>
      <c r="G8910">
        <v>-203.64769999999999</v>
      </c>
      <c r="H8910" s="1">
        <v>-4.1649940000000002E-6</v>
      </c>
      <c r="I8910">
        <v>-64.216269999999994</v>
      </c>
      <c r="J8910">
        <v>-226.88589999999999</v>
      </c>
      <c r="K8910">
        <v>1.1213850000000001</v>
      </c>
      <c r="L8910">
        <v>-62.700380000000003</v>
      </c>
      <c r="M8910">
        <v>0.99964620000000004</v>
      </c>
      <c r="N8910">
        <v>-1.452874E-2</v>
      </c>
      <c r="O8910">
        <v>2.228256E-2</v>
      </c>
      <c r="P8910">
        <v>0.99786160000000002</v>
      </c>
      <c r="Q8910">
        <v>-3.9943579999999999E-2</v>
      </c>
      <c r="R8910">
        <v>5.1738310000000003E-2</v>
      </c>
      <c r="S8910">
        <v>3.0109249999999999</v>
      </c>
      <c r="T8910">
        <v>-0.14475099999999999</v>
      </c>
      <c r="U8910">
        <v>-0.19543460000000001</v>
      </c>
      <c r="V8910">
        <v>-2.9489359999999999E-2</v>
      </c>
      <c r="W8910">
        <v>-2.5427439999999999E-2</v>
      </c>
      <c r="X8910">
        <v>0.99924170000000001</v>
      </c>
      <c r="Y8910">
        <v>8.6851479999999995E-2</v>
      </c>
      <c r="Z8910">
        <v>-3.4627770000000002E-3</v>
      </c>
      <c r="AA8910">
        <v>0.99621519999999997</v>
      </c>
      <c r="AB8910">
        <v>22</v>
      </c>
      <c r="AC8910">
        <v>23.238199999999999</v>
      </c>
      <c r="AD8910">
        <v>-1.121389164994</v>
      </c>
      <c r="AE8910">
        <v>-1.51588999999999</v>
      </c>
      <c r="AF8910">
        <v>2.0286706730000899</v>
      </c>
      <c r="AG8910">
        <v>-1.121389164994</v>
      </c>
      <c r="AH8910">
        <v>23.144978948372898</v>
      </c>
      <c r="AI8910">
        <v>92.763270582746799</v>
      </c>
      <c r="AJ8910">
        <v>84.990793852159996</v>
      </c>
      <c r="AK8910">
        <v>23.260762431173301</v>
      </c>
      <c r="AL8910">
        <v>91.457041923342899</v>
      </c>
      <c r="AM8910">
        <v>91.690407441124705</v>
      </c>
      <c r="AN8910">
        <v>1.0000000760385199</v>
      </c>
    </row>
    <row r="8911" spans="1:40" x14ac:dyDescent="0.25">
      <c r="A8911" t="str">
        <f>"20190303154015715"</f>
        <v>20190303154015715</v>
      </c>
      <c r="B8911" t="str">
        <f>"1551598815706701"</f>
        <v>1551598815706701</v>
      </c>
      <c r="C8911" t="s">
        <v>40</v>
      </c>
      <c r="D8911">
        <v>4.5634860000000002</v>
      </c>
      <c r="E8911">
        <v>0.54426929999999996</v>
      </c>
      <c r="F8911" t="s">
        <v>63</v>
      </c>
      <c r="G8911">
        <v>-203.5865</v>
      </c>
      <c r="H8911" s="1">
        <v>-4.1874290000000001E-6</v>
      </c>
      <c r="I8911">
        <v>-64.225020000000001</v>
      </c>
      <c r="J8911">
        <v>-226.79060000000001</v>
      </c>
      <c r="K8911">
        <v>1.1214189999999999</v>
      </c>
      <c r="L8911">
        <v>-62.698270000000001</v>
      </c>
      <c r="M8911">
        <v>0.99964589999999998</v>
      </c>
      <c r="N8911">
        <v>-1.4526280000000001E-2</v>
      </c>
      <c r="O8911">
        <v>2.2293360000000002E-2</v>
      </c>
      <c r="P8911">
        <v>0.9978764</v>
      </c>
      <c r="Q8911">
        <v>-4.0072429999999999E-2</v>
      </c>
      <c r="R8911">
        <v>5.135141E-2</v>
      </c>
      <c r="S8911">
        <v>3.0108489999999999</v>
      </c>
      <c r="T8911">
        <v>-0.14491109999999999</v>
      </c>
      <c r="U8911">
        <v>-0.19702149999999999</v>
      </c>
      <c r="V8911">
        <v>-2.9089489999999999E-2</v>
      </c>
      <c r="W8911">
        <v>-2.5561009999999999E-2</v>
      </c>
      <c r="X8911">
        <v>0.99924990000000002</v>
      </c>
      <c r="Y8911">
        <v>8.7385589999999999E-2</v>
      </c>
      <c r="Z8911">
        <v>-3.4833360000000001E-3</v>
      </c>
      <c r="AA8911">
        <v>0.99616850000000001</v>
      </c>
      <c r="AB8911">
        <v>22</v>
      </c>
      <c r="AC8911">
        <v>23.2041</v>
      </c>
      <c r="AD8911">
        <v>-1.1214231874289999</v>
      </c>
      <c r="AE8911">
        <v>-1.5267500000000001</v>
      </c>
      <c r="AF8911">
        <v>2.03898060223043</v>
      </c>
      <c r="AG8911">
        <v>-1.1214231874289999</v>
      </c>
      <c r="AH8911">
        <v>23.110546236336301</v>
      </c>
      <c r="AI8911">
        <v>92.767325997295899</v>
      </c>
      <c r="AJ8911">
        <v>84.958004636521395</v>
      </c>
      <c r="AK8911">
        <v>23.2274057785929</v>
      </c>
      <c r="AL8911">
        <v>91.464697573678293</v>
      </c>
      <c r="AM8911">
        <v>91.667485197975097</v>
      </c>
      <c r="AN8911">
        <v>0.99999996315534401</v>
      </c>
    </row>
    <row r="8912" spans="1:40" x14ac:dyDescent="0.25">
      <c r="A8912" t="str">
        <f>"20190303154015726"</f>
        <v>20190303154015726</v>
      </c>
      <c r="B8912" t="str">
        <f>"1551598815717439"</f>
        <v>1551598815717439</v>
      </c>
      <c r="C8912" t="s">
        <v>40</v>
      </c>
      <c r="D8912">
        <v>4.5248889999999999</v>
      </c>
      <c r="E8912">
        <v>0.54452709999999904</v>
      </c>
      <c r="F8912" t="s">
        <v>63</v>
      </c>
      <c r="G8912">
        <v>-203.43559999999999</v>
      </c>
      <c r="H8912" s="1">
        <v>-4.2415659999999997E-6</v>
      </c>
      <c r="I8912">
        <v>-64.237480000000005</v>
      </c>
      <c r="J8912">
        <v>-226.6763</v>
      </c>
      <c r="K8912">
        <v>1.1214599999999999</v>
      </c>
      <c r="L8912">
        <v>-62.695709999999998</v>
      </c>
      <c r="M8912">
        <v>0.99964520000000001</v>
      </c>
      <c r="N8912">
        <v>-1.4523339999999999E-2</v>
      </c>
      <c r="O8912">
        <v>2.232924E-2</v>
      </c>
      <c r="P8912">
        <v>0.99789830000000002</v>
      </c>
      <c r="Q8912">
        <v>-3.9957960000000001E-2</v>
      </c>
      <c r="R8912">
        <v>5.101261E-2</v>
      </c>
      <c r="S8912">
        <v>3.0107879999999998</v>
      </c>
      <c r="T8912">
        <v>-0.1445671</v>
      </c>
      <c r="U8912">
        <v>-0.1984253</v>
      </c>
      <c r="V8912">
        <v>-2.871172E-2</v>
      </c>
      <c r="W8912">
        <v>-2.5452010000000001E-2</v>
      </c>
      <c r="X8912">
        <v>0.99926360000000003</v>
      </c>
      <c r="Y8912">
        <v>8.788501E-2</v>
      </c>
      <c r="Z8912">
        <v>-3.4925889999999999E-3</v>
      </c>
      <c r="AA8912">
        <v>0.99612449999999997</v>
      </c>
      <c r="AB8912">
        <v>22</v>
      </c>
      <c r="AC8912">
        <v>23.2407</v>
      </c>
      <c r="AD8912">
        <v>-1.1214642415659899</v>
      </c>
      <c r="AE8912">
        <v>-1.5417700000000001</v>
      </c>
      <c r="AF8912">
        <v>2.0556219045409598</v>
      </c>
      <c r="AG8912">
        <v>-1.1214642415659899</v>
      </c>
      <c r="AH8912">
        <v>23.1468132952674</v>
      </c>
      <c r="AI8912">
        <v>92.762957088080697</v>
      </c>
      <c r="AJ8912">
        <v>84.924991146453294</v>
      </c>
      <c r="AK8912">
        <v>23.2649571068916</v>
      </c>
      <c r="AL8912">
        <v>91.458450312888999</v>
      </c>
      <c r="AM8912">
        <v>91.645819875700496</v>
      </c>
      <c r="AN8912">
        <v>0.99999995498167804</v>
      </c>
    </row>
    <row r="8913" spans="1:40" x14ac:dyDescent="0.25">
      <c r="A8913" t="str">
        <f>"20190303154015736"</f>
        <v>20190303154015736</v>
      </c>
      <c r="B8913" t="str">
        <f>"1551598815727197"</f>
        <v>1551598815727197</v>
      </c>
      <c r="C8913" t="s">
        <v>40</v>
      </c>
      <c r="D8913">
        <v>4.5356310000000004</v>
      </c>
      <c r="E8913">
        <v>0.54478349999999998</v>
      </c>
      <c r="F8913" t="s">
        <v>63</v>
      </c>
      <c r="G8913">
        <v>-202.05619999999999</v>
      </c>
      <c r="H8913" s="1">
        <v>-4.884852E-6</v>
      </c>
      <c r="I8913">
        <v>-64.343559999999997</v>
      </c>
      <c r="J8913">
        <v>-226.5744</v>
      </c>
      <c r="K8913">
        <v>1.1214980000000001</v>
      </c>
      <c r="L8913">
        <v>-62.693390000000001</v>
      </c>
      <c r="M8913">
        <v>0.99964370000000002</v>
      </c>
      <c r="N8913">
        <v>-1.452078E-2</v>
      </c>
      <c r="O8913">
        <v>2.2399550000000001E-2</v>
      </c>
      <c r="P8913">
        <v>0.99793730000000003</v>
      </c>
      <c r="Q8913">
        <v>-3.9519579999999999E-2</v>
      </c>
      <c r="R8913">
        <v>5.059143E-2</v>
      </c>
      <c r="S8913">
        <v>3.0111240000000001</v>
      </c>
      <c r="T8913">
        <v>-0.1371588</v>
      </c>
      <c r="U8913">
        <v>-0.2015381</v>
      </c>
      <c r="V8913">
        <v>-2.8217430000000002E-2</v>
      </c>
      <c r="W8913">
        <v>-2.5018149999999999E-2</v>
      </c>
      <c r="X8913">
        <v>0.99928870000000003</v>
      </c>
      <c r="Y8913">
        <v>8.8984859999999999E-2</v>
      </c>
      <c r="Z8913">
        <v>-3.3646290000000001E-3</v>
      </c>
      <c r="AA8913">
        <v>0.99602729999999995</v>
      </c>
      <c r="AB8913">
        <v>22</v>
      </c>
      <c r="AC8913">
        <v>24.5182</v>
      </c>
      <c r="AD8913">
        <v>-1.1215028848519999</v>
      </c>
      <c r="AE8913">
        <v>-1.6501699999999899</v>
      </c>
      <c r="AF8913">
        <v>2.1944396875512902</v>
      </c>
      <c r="AG8913">
        <v>-1.1215028848519999</v>
      </c>
      <c r="AH8913">
        <v>24.424207802849899</v>
      </c>
      <c r="AI8913">
        <v>92.618509510924895</v>
      </c>
      <c r="AJ8913">
        <v>84.865936291217594</v>
      </c>
      <c r="AK8913">
        <v>24.548223175208101</v>
      </c>
      <c r="AL8913">
        <v>91.433583954705597</v>
      </c>
      <c r="AM8913">
        <v>91.617460646552203</v>
      </c>
      <c r="AN8913">
        <v>1.0000000185664499</v>
      </c>
    </row>
    <row r="8914" spans="1:40" x14ac:dyDescent="0.25">
      <c r="A8914" t="str">
        <f>"20190303154015748"</f>
        <v>20190303154015748</v>
      </c>
      <c r="B8914" t="str">
        <f>"1551598815736958"</f>
        <v>1551598815736958</v>
      </c>
      <c r="C8914" t="s">
        <v>40</v>
      </c>
      <c r="D8914">
        <v>4.529541</v>
      </c>
      <c r="E8914">
        <v>0.54502919999999999</v>
      </c>
      <c r="F8914" t="s">
        <v>63</v>
      </c>
      <c r="G8914">
        <v>-200.44839999999999</v>
      </c>
      <c r="H8914" s="1">
        <v>-5.711442E-6</v>
      </c>
      <c r="I8914">
        <v>-64.470939999999999</v>
      </c>
      <c r="J8914">
        <v>-226.4657</v>
      </c>
      <c r="K8914">
        <v>1.1215379999999999</v>
      </c>
      <c r="L8914">
        <v>-62.690919999999998</v>
      </c>
      <c r="M8914">
        <v>0.99964169999999997</v>
      </c>
      <c r="N8914">
        <v>-1.4518039999999999E-2</v>
      </c>
      <c r="O8914">
        <v>2.2487900000000002E-2</v>
      </c>
      <c r="P8914">
        <v>0.99796649999999998</v>
      </c>
      <c r="Q8914">
        <v>-3.9349290000000002E-2</v>
      </c>
      <c r="R8914">
        <v>5.0144510000000003E-2</v>
      </c>
      <c r="S8914">
        <v>3.0114749999999999</v>
      </c>
      <c r="T8914">
        <v>-0.1292732</v>
      </c>
      <c r="U8914">
        <v>-0.20489499999999999</v>
      </c>
      <c r="V8914">
        <v>-2.7679570000000001E-2</v>
      </c>
      <c r="W8914">
        <v>-2.4852719999999998E-2</v>
      </c>
      <c r="X8914">
        <v>0.99930790000000003</v>
      </c>
      <c r="Y8914">
        <v>9.0182570000000004E-2</v>
      </c>
      <c r="Z8914">
        <v>-3.2262580000000001E-3</v>
      </c>
      <c r="AA8914">
        <v>0.99592000000000003</v>
      </c>
      <c r="AB8914">
        <v>22</v>
      </c>
      <c r="AC8914">
        <v>26.017299999999999</v>
      </c>
      <c r="AD8914">
        <v>-1.1215437114419999</v>
      </c>
      <c r="AE8914">
        <v>-1.7800199999999999</v>
      </c>
      <c r="AF8914">
        <v>2.36034016696799</v>
      </c>
      <c r="AG8914">
        <v>-1.1215437114419999</v>
      </c>
      <c r="AH8914">
        <v>25.9227391814165</v>
      </c>
      <c r="AI8914">
        <v>92.467155640589198</v>
      </c>
      <c r="AJ8914">
        <v>84.797399984381101</v>
      </c>
      <c r="AK8914">
        <v>26.054125828133699</v>
      </c>
      <c r="AL8914">
        <v>91.424102524539293</v>
      </c>
      <c r="AM8914">
        <v>91.586615238801201</v>
      </c>
      <c r="AN8914">
        <v>1.0000000476445901</v>
      </c>
    </row>
    <row r="8915" spans="1:40" x14ac:dyDescent="0.25">
      <c r="A8915" t="str">
        <f>"20190303154015759"</f>
        <v>20190303154015759</v>
      </c>
      <c r="B8915" t="str">
        <f>"1551598815746718"</f>
        <v>1551598815746718</v>
      </c>
      <c r="C8915" t="s">
        <v>40</v>
      </c>
      <c r="D8915">
        <v>4.5959320000000004</v>
      </c>
      <c r="E8915">
        <v>0.54512209999999905</v>
      </c>
      <c r="F8915" t="s">
        <v>63</v>
      </c>
      <c r="G8915">
        <v>-199.3031</v>
      </c>
      <c r="H8915" s="1">
        <v>-6.2337839999999999E-6</v>
      </c>
      <c r="I8915">
        <v>-64.568889999999996</v>
      </c>
      <c r="J8915">
        <v>-226.35749999999999</v>
      </c>
      <c r="K8915">
        <v>1.121578</v>
      </c>
      <c r="L8915">
        <v>-62.688319999999997</v>
      </c>
      <c r="M8915">
        <v>0.99963869999999999</v>
      </c>
      <c r="N8915">
        <v>-1.4515409999999999E-2</v>
      </c>
      <c r="O8915">
        <v>2.2623919999999999E-2</v>
      </c>
      <c r="P8915">
        <v>0.99798140000000002</v>
      </c>
      <c r="Q8915">
        <v>-3.9168920000000003E-2</v>
      </c>
      <c r="R8915">
        <v>4.9991069999999999E-2</v>
      </c>
      <c r="S8915">
        <v>3.011673</v>
      </c>
      <c r="T8915">
        <v>-0.1243523</v>
      </c>
      <c r="U8915">
        <v>-0.2082214</v>
      </c>
      <c r="V8915">
        <v>-2.738807E-2</v>
      </c>
      <c r="W8915">
        <v>-2.4677190000000002E-2</v>
      </c>
      <c r="X8915">
        <v>0.99932019999999999</v>
      </c>
      <c r="Y8915">
        <v>9.141523E-2</v>
      </c>
      <c r="Z8915">
        <v>-3.153763E-3</v>
      </c>
      <c r="AA8915">
        <v>0.99580789999999997</v>
      </c>
      <c r="AB8915">
        <v>22</v>
      </c>
      <c r="AC8915">
        <v>27.054399999999902</v>
      </c>
      <c r="AD8915">
        <v>-1.1215842337840001</v>
      </c>
      <c r="AE8915">
        <v>-1.8805699999999901</v>
      </c>
      <c r="AF8915">
        <v>2.4879742102581601</v>
      </c>
      <c r="AG8915">
        <v>-1.1215842337840001</v>
      </c>
      <c r="AH8915">
        <v>26.958813491918701</v>
      </c>
      <c r="AI8915">
        <v>92.372268598598396</v>
      </c>
      <c r="AJ8915">
        <v>84.727224419367502</v>
      </c>
      <c r="AK8915">
        <v>27.096597420274801</v>
      </c>
      <c r="AL8915">
        <v>91.414042426697307</v>
      </c>
      <c r="AM8915">
        <v>91.569895316971795</v>
      </c>
      <c r="AN8915">
        <v>0.99999996610632902</v>
      </c>
    </row>
    <row r="8916" spans="1:40" x14ac:dyDescent="0.25">
      <c r="A8916" t="str">
        <f>"20190303154015771"</f>
        <v>20190303154015771</v>
      </c>
      <c r="B8916" t="str">
        <f>"1551598815767227"</f>
        <v>1551598815767227</v>
      </c>
      <c r="C8916" t="s">
        <v>40</v>
      </c>
      <c r="D8916">
        <v>4.5593579999999996</v>
      </c>
      <c r="E8916">
        <v>0.54509739999999995</v>
      </c>
      <c r="F8916" t="s">
        <v>63</v>
      </c>
      <c r="G8916">
        <v>-199.6525</v>
      </c>
      <c r="H8916" s="1">
        <v>-6.0900619999999997E-6</v>
      </c>
      <c r="I8916">
        <v>-64.544709999999995</v>
      </c>
      <c r="J8916">
        <v>-226.2467</v>
      </c>
      <c r="K8916">
        <v>1.121615</v>
      </c>
      <c r="L8916">
        <v>-62.68573</v>
      </c>
      <c r="M8916">
        <v>0.9996353</v>
      </c>
      <c r="N8916">
        <v>-1.451272E-2</v>
      </c>
      <c r="O8916">
        <v>2.2775380000000001E-2</v>
      </c>
      <c r="P8916">
        <v>0.99797899999999995</v>
      </c>
      <c r="Q8916">
        <v>-3.9303980000000002E-2</v>
      </c>
      <c r="R8916">
        <v>4.9933270000000002E-2</v>
      </c>
      <c r="S8916">
        <v>3.011612</v>
      </c>
      <c r="T8916">
        <v>-0.12648480000000001</v>
      </c>
      <c r="U8916">
        <v>-0.2093506</v>
      </c>
      <c r="V8916">
        <v>-2.7175930000000001E-2</v>
      </c>
      <c r="W8916">
        <v>-2.4817349999999998E-2</v>
      </c>
      <c r="X8916">
        <v>0.9993225</v>
      </c>
      <c r="Y8916">
        <v>9.193482E-2</v>
      </c>
      <c r="Z8916">
        <v>-3.2208440000000001E-3</v>
      </c>
      <c r="AA8916">
        <v>0.99575979999999997</v>
      </c>
      <c r="AB8916">
        <v>22</v>
      </c>
      <c r="AC8916">
        <v>26.594200000000001</v>
      </c>
      <c r="AD8916">
        <v>-1.1216210900620001</v>
      </c>
      <c r="AE8916">
        <v>-1.8589799999999801</v>
      </c>
      <c r="AF8916">
        <v>2.4599001706148398</v>
      </c>
      <c r="AG8916">
        <v>-1.1216210900620001</v>
      </c>
      <c r="AH8916">
        <v>26.4980521652904</v>
      </c>
      <c r="AI8916">
        <v>92.413429006677902</v>
      </c>
      <c r="AJ8916">
        <v>84.696247933660501</v>
      </c>
      <c r="AK8916">
        <v>26.6356135892064</v>
      </c>
      <c r="AL8916">
        <v>91.422075492917699</v>
      </c>
      <c r="AM8916">
        <v>91.557737797057897</v>
      </c>
      <c r="AN8916">
        <v>0.99999994551931704</v>
      </c>
    </row>
    <row r="8917" spans="1:40" x14ac:dyDescent="0.25">
      <c r="A8917" t="str">
        <f>"20190303154015782"</f>
        <v>20190303154015782</v>
      </c>
      <c r="B8917" t="str">
        <f>"1551598815776973"</f>
        <v>1551598815776973</v>
      </c>
      <c r="C8917" t="s">
        <v>40</v>
      </c>
      <c r="D8917">
        <v>4.5725550000000004</v>
      </c>
      <c r="E8917">
        <v>0.54506840000000001</v>
      </c>
      <c r="F8917" t="s">
        <v>63</v>
      </c>
      <c r="G8917">
        <v>-200.64670000000001</v>
      </c>
      <c r="H8917" s="1">
        <v>-5.6100870000000001E-6</v>
      </c>
      <c r="I8917">
        <v>-64.465459999999993</v>
      </c>
      <c r="J8917">
        <v>-226.1317</v>
      </c>
      <c r="K8917">
        <v>1.1216549999999901</v>
      </c>
      <c r="L8917">
        <v>-62.68289</v>
      </c>
      <c r="M8917">
        <v>0.99963080000000004</v>
      </c>
      <c r="N8917">
        <v>-1.451003E-2</v>
      </c>
      <c r="O8917">
        <v>2.2978169999999999E-2</v>
      </c>
      <c r="P8917">
        <v>0.997973</v>
      </c>
      <c r="Q8917">
        <v>-3.9312560000000003E-2</v>
      </c>
      <c r="R8917">
        <v>5.0047800000000003E-2</v>
      </c>
      <c r="S8917">
        <v>3.0113530000000002</v>
      </c>
      <c r="T8917">
        <v>-0.13193740000000001</v>
      </c>
      <c r="U8917">
        <v>-0.2093506</v>
      </c>
      <c r="V8917">
        <v>-2.7085379999999999E-2</v>
      </c>
      <c r="W8917">
        <v>-2.483109E-2</v>
      </c>
      <c r="X8917">
        <v>0.99932469999999995</v>
      </c>
      <c r="Y8917">
        <v>9.2132930000000002E-2</v>
      </c>
      <c r="Z8917">
        <v>-3.3569329999999999E-3</v>
      </c>
      <c r="AA8917">
        <v>0.99574110000000005</v>
      </c>
      <c r="AB8917">
        <v>22</v>
      </c>
      <c r="AC8917">
        <v>25.4849999999999</v>
      </c>
      <c r="AD8917">
        <v>-1.1216606100869999</v>
      </c>
      <c r="AE8917">
        <v>-1.78256999999999</v>
      </c>
      <c r="AF8917">
        <v>2.3632039898603598</v>
      </c>
      <c r="AG8917">
        <v>-1.1216606100869999</v>
      </c>
      <c r="AH8917">
        <v>25.388364653162199</v>
      </c>
      <c r="AI8917">
        <v>92.518814292675998</v>
      </c>
      <c r="AJ8917">
        <v>84.6821079627816</v>
      </c>
      <c r="AK8917">
        <v>25.522772486229801</v>
      </c>
      <c r="AL8917">
        <v>91.422862861647403</v>
      </c>
      <c r="AM8917">
        <v>91.552546554433803</v>
      </c>
      <c r="AN8917">
        <v>1.00000002843521</v>
      </c>
    </row>
    <row r="8918" spans="1:40" x14ac:dyDescent="0.25">
      <c r="A8918" t="str">
        <f>"20190303154015793"</f>
        <v>20190303154015793</v>
      </c>
      <c r="B8918" t="str">
        <f>"1551598815786734"</f>
        <v>1551598815786734</v>
      </c>
      <c r="C8918" t="s">
        <v>40</v>
      </c>
      <c r="D8918">
        <v>4.5619459999999998</v>
      </c>
      <c r="E8918">
        <v>0.54504350000000001</v>
      </c>
      <c r="F8918" t="s">
        <v>63</v>
      </c>
      <c r="G8918">
        <v>-200.91579999999999</v>
      </c>
      <c r="H8918" s="1">
        <v>-5.4710139999999998E-6</v>
      </c>
      <c r="I8918">
        <v>-64.431100000000001</v>
      </c>
      <c r="J8918">
        <v>-226.03110000000001</v>
      </c>
      <c r="K8918">
        <v>1.121688</v>
      </c>
      <c r="L8918">
        <v>-62.68036</v>
      </c>
      <c r="M8918">
        <v>0.99962629999999997</v>
      </c>
      <c r="N8918">
        <v>-1.450768E-2</v>
      </c>
      <c r="O8918">
        <v>2.3171000000000001E-2</v>
      </c>
      <c r="P8918">
        <v>0.99796629999999997</v>
      </c>
      <c r="Q8918">
        <v>-3.8981769999999999E-2</v>
      </c>
      <c r="R8918">
        <v>5.0438040000000003E-2</v>
      </c>
      <c r="S8918">
        <v>3.0112760000000001</v>
      </c>
      <c r="T8918">
        <v>-0.13394819999999999</v>
      </c>
      <c r="U8918">
        <v>-0.20877080000000001</v>
      </c>
      <c r="V8918">
        <v>-2.7281449999999999E-2</v>
      </c>
      <c r="W8918">
        <v>-2.4504829999999998E-2</v>
      </c>
      <c r="X8918">
        <v>0.99932739999999998</v>
      </c>
      <c r="Y8918">
        <v>9.2132240000000004E-2</v>
      </c>
      <c r="Z8918">
        <v>-3.4087200000000001E-3</v>
      </c>
      <c r="AA8918">
        <v>0.99574099999999999</v>
      </c>
      <c r="AB8918">
        <v>22</v>
      </c>
      <c r="AC8918">
        <v>25.115300000000001</v>
      </c>
      <c r="AD8918">
        <v>-1.1216934710140001</v>
      </c>
      <c r="AE8918">
        <v>-1.75074</v>
      </c>
      <c r="AF8918">
        <v>2.3276572301007499</v>
      </c>
      <c r="AG8918">
        <v>-1.1216934710140001</v>
      </c>
      <c r="AH8918">
        <v>25.018322822479</v>
      </c>
      <c r="AI8918">
        <v>92.556105765816397</v>
      </c>
      <c r="AJ8918">
        <v>84.684611096998694</v>
      </c>
      <c r="AK8918">
        <v>25.151394817654399</v>
      </c>
      <c r="AL8918">
        <v>91.404163879235398</v>
      </c>
      <c r="AM8918">
        <v>91.563775594465397</v>
      </c>
      <c r="AN8918">
        <v>1.0000000082990901</v>
      </c>
    </row>
    <row r="8919" spans="1:40" x14ac:dyDescent="0.25">
      <c r="A8919" t="str">
        <f>"20190303154015804"</f>
        <v>20190303154015804</v>
      </c>
      <c r="B8919" t="str">
        <f>"1551598815796493"</f>
        <v>1551598815796493</v>
      </c>
      <c r="C8919" t="s">
        <v>40</v>
      </c>
      <c r="D8919">
        <v>4.5479820000000002</v>
      </c>
      <c r="E8919">
        <v>0.54519869999999904</v>
      </c>
      <c r="F8919" t="s">
        <v>63</v>
      </c>
      <c r="G8919">
        <v>-200.93049999999999</v>
      </c>
      <c r="H8919" s="1">
        <v>-5.4622269999999997E-6</v>
      </c>
      <c r="I8919">
        <v>-64.40934</v>
      </c>
      <c r="J8919">
        <v>-225.9213</v>
      </c>
      <c r="K8919">
        <v>1.1217269999999999</v>
      </c>
      <c r="L8919">
        <v>-62.677610000000001</v>
      </c>
      <c r="M8919">
        <v>0.99962079999999998</v>
      </c>
      <c r="N8919">
        <v>-1.450517E-2</v>
      </c>
      <c r="O8919">
        <v>2.3408479999999999E-2</v>
      </c>
      <c r="P8919">
        <v>0.99794159999999998</v>
      </c>
      <c r="Q8919">
        <v>-3.8769930000000001E-2</v>
      </c>
      <c r="R8919">
        <v>5.1084320000000003E-2</v>
      </c>
      <c r="S8919">
        <v>3.0113370000000002</v>
      </c>
      <c r="T8919">
        <v>-0.13457069999999999</v>
      </c>
      <c r="U8919">
        <v>-0.207428</v>
      </c>
      <c r="V8919">
        <v>-2.7689490000000001E-2</v>
      </c>
      <c r="W8919">
        <v>-2.4298030000000002E-2</v>
      </c>
      <c r="X8919">
        <v>0.99932120000000002</v>
      </c>
      <c r="Y8919">
        <v>9.1924549999999994E-2</v>
      </c>
      <c r="Z8919">
        <v>-3.4239259999999999E-3</v>
      </c>
      <c r="AA8919">
        <v>0.99576010000000004</v>
      </c>
      <c r="AB8919">
        <v>22</v>
      </c>
      <c r="AC8919">
        <v>24.9908</v>
      </c>
      <c r="AD8919">
        <v>-1.121732462227</v>
      </c>
      <c r="AE8919">
        <v>-1.73173</v>
      </c>
      <c r="AF8919">
        <v>2.3116783763853999</v>
      </c>
      <c r="AG8919">
        <v>-1.121732462227</v>
      </c>
      <c r="AH8919">
        <v>24.893495091781499</v>
      </c>
      <c r="AI8919">
        <v>92.5690367945856</v>
      </c>
      <c r="AJ8919">
        <v>84.694571954500802</v>
      </c>
      <c r="AK8919">
        <v>25.0257515075415</v>
      </c>
      <c r="AL8919">
        <v>91.392311620377001</v>
      </c>
      <c r="AM8919">
        <v>91.587162457310797</v>
      </c>
      <c r="AN8919">
        <v>0.99999998144389002</v>
      </c>
    </row>
    <row r="8920" spans="1:40" x14ac:dyDescent="0.25">
      <c r="A8920" t="str">
        <f>"20190303154015816"</f>
        <v>20190303154015816</v>
      </c>
      <c r="B8920" t="str">
        <f>"1551598815807229"</f>
        <v>1551598815807229</v>
      </c>
      <c r="C8920" t="s">
        <v>40</v>
      </c>
      <c r="D8920">
        <v>4.5445390000000003</v>
      </c>
      <c r="E8920">
        <v>0.54521030000000004</v>
      </c>
      <c r="F8920" t="s">
        <v>63</v>
      </c>
      <c r="G8920">
        <v>-200.0615</v>
      </c>
      <c r="H8920" s="1">
        <v>-5.9075410000000003E-6</v>
      </c>
      <c r="I8920">
        <v>-64.452669999999998</v>
      </c>
      <c r="J8920">
        <v>-225.80500000000001</v>
      </c>
      <c r="K8920">
        <v>1.1217600000000001</v>
      </c>
      <c r="L8920">
        <v>-62.67456</v>
      </c>
      <c r="M8920">
        <v>0.99961429999999996</v>
      </c>
      <c r="N8920">
        <v>-1.4502549999999999E-2</v>
      </c>
      <c r="O8920">
        <v>2.368491E-2</v>
      </c>
      <c r="P8920">
        <v>0.99791629999999998</v>
      </c>
      <c r="Q8920">
        <v>-3.840064E-2</v>
      </c>
      <c r="R8920">
        <v>5.1849729999999997E-2</v>
      </c>
      <c r="S8920">
        <v>3.011673</v>
      </c>
      <c r="T8920">
        <v>-0.1306388</v>
      </c>
      <c r="U8920">
        <v>-0.2067261</v>
      </c>
      <c r="V8920">
        <v>-2.8177199999999999E-2</v>
      </c>
      <c r="W8920">
        <v>-2.3933880000000001E-2</v>
      </c>
      <c r="X8920">
        <v>0.99931639999999999</v>
      </c>
      <c r="Y8920">
        <v>9.1968190000000005E-2</v>
      </c>
      <c r="Z8920">
        <v>-3.3424069999999999E-3</v>
      </c>
      <c r="AA8920">
        <v>0.99575630000000004</v>
      </c>
      <c r="AB8920">
        <v>22</v>
      </c>
      <c r="AC8920">
        <v>25.743500000000001</v>
      </c>
      <c r="AD8920">
        <v>-1.121765907541</v>
      </c>
      <c r="AE8920">
        <v>-1.7781099999999901</v>
      </c>
      <c r="AF8920">
        <v>2.38290461136627</v>
      </c>
      <c r="AG8920">
        <v>-1.121765907541</v>
      </c>
      <c r="AH8920">
        <v>25.645694210081601</v>
      </c>
      <c r="AI8920">
        <v>92.493844376444599</v>
      </c>
      <c r="AJ8920">
        <v>84.691526401360406</v>
      </c>
      <c r="AK8920">
        <v>25.780578439111999</v>
      </c>
      <c r="AL8920">
        <v>91.371441230531602</v>
      </c>
      <c r="AM8920">
        <v>91.615111085056199</v>
      </c>
      <c r="AN8920">
        <v>1.0000000262603199</v>
      </c>
    </row>
    <row r="8921" spans="1:40" x14ac:dyDescent="0.25">
      <c r="A8921" t="str">
        <f>"20190303154015828"</f>
        <v>20190303154015828</v>
      </c>
      <c r="B8921" t="str">
        <f>"1551598815816990"</f>
        <v>1551598815816990</v>
      </c>
      <c r="C8921" t="s">
        <v>40</v>
      </c>
      <c r="D8921">
        <v>4.542586</v>
      </c>
      <c r="E8921">
        <v>0.54514180000000001</v>
      </c>
      <c r="F8921" t="s">
        <v>63</v>
      </c>
      <c r="G8921">
        <v>-200.00640000000001</v>
      </c>
      <c r="H8921" s="1">
        <v>-5.934066E-6</v>
      </c>
      <c r="I8921">
        <v>-64.426220000000001</v>
      </c>
      <c r="J8921">
        <v>-225.685</v>
      </c>
      <c r="K8921">
        <v>1.1217919999999999</v>
      </c>
      <c r="L8921">
        <v>-62.671419999999998</v>
      </c>
      <c r="M8921">
        <v>0.99960709999999997</v>
      </c>
      <c r="N8921">
        <v>-1.449986E-2</v>
      </c>
      <c r="O8921">
        <v>2.3986170000000001E-2</v>
      </c>
      <c r="P8921">
        <v>0.99787539999999997</v>
      </c>
      <c r="Q8921">
        <v>-3.7972600000000002E-2</v>
      </c>
      <c r="R8921">
        <v>5.2945190000000003E-2</v>
      </c>
      <c r="S8921">
        <v>3.0118710000000002</v>
      </c>
      <c r="T8921">
        <v>-0.1309613</v>
      </c>
      <c r="U8921">
        <v>-0.20449829999999999</v>
      </c>
      <c r="V8921">
        <v>-2.897135E-2</v>
      </c>
      <c r="W8921">
        <v>-2.3511379999999998E-2</v>
      </c>
      <c r="X8921">
        <v>0.99930370000000002</v>
      </c>
      <c r="Y8921">
        <v>9.1530570000000006E-2</v>
      </c>
      <c r="Z8921">
        <v>-3.3456810000000001E-3</v>
      </c>
      <c r="AA8921">
        <v>0.99579660000000003</v>
      </c>
      <c r="AB8921">
        <v>22</v>
      </c>
      <c r="AC8921">
        <v>25.6785999999999</v>
      </c>
      <c r="AD8921">
        <v>-1.12179793406599</v>
      </c>
      <c r="AE8921">
        <v>-1.7547999999999999</v>
      </c>
      <c r="AF8921">
        <v>2.3657969858215</v>
      </c>
      <c r="AG8921">
        <v>-1.12179793406599</v>
      </c>
      <c r="AH8921">
        <v>25.5805222357174</v>
      </c>
      <c r="AI8921">
        <v>92.500360389589801</v>
      </c>
      <c r="AJ8921">
        <v>84.716070169905706</v>
      </c>
      <c r="AK8921">
        <v>25.714170098119599</v>
      </c>
      <c r="AL8921">
        <v>91.347226979090493</v>
      </c>
      <c r="AM8921">
        <v>91.660627547298105</v>
      </c>
      <c r="AN8921">
        <v>1.0000000044720001</v>
      </c>
    </row>
    <row r="8922" spans="1:40" x14ac:dyDescent="0.25">
      <c r="A8922" t="str">
        <f>"20190303154015840"</f>
        <v>20190303154015840</v>
      </c>
      <c r="B8922" t="str">
        <f>"1551598815826749"</f>
        <v>1551598815826749</v>
      </c>
      <c r="C8922" t="s">
        <v>40</v>
      </c>
      <c r="D8922">
        <v>4.5030010000000003</v>
      </c>
      <c r="E8922">
        <v>0.54514180000000001</v>
      </c>
      <c r="F8922" t="s">
        <v>63</v>
      </c>
      <c r="G8922">
        <v>-199.03380000000001</v>
      </c>
      <c r="H8922" s="1">
        <v>-6.3363760000000002E-6</v>
      </c>
      <c r="I8922">
        <v>-64.446730000000002</v>
      </c>
      <c r="J8922">
        <v>-225.583</v>
      </c>
      <c r="K8922">
        <v>1.1218159999999999</v>
      </c>
      <c r="L8922">
        <v>-62.668669999999999</v>
      </c>
      <c r="M8922">
        <v>0.99960039999999994</v>
      </c>
      <c r="N8922">
        <v>-1.449752E-2</v>
      </c>
      <c r="O8922">
        <v>2.4271259999999999E-2</v>
      </c>
      <c r="P8922">
        <v>0.99783900000000003</v>
      </c>
      <c r="Q8922">
        <v>-3.7593939999999999E-2</v>
      </c>
      <c r="R8922">
        <v>5.3888180000000001E-2</v>
      </c>
      <c r="S8922">
        <v>3.012222</v>
      </c>
      <c r="T8922">
        <v>-0.12678989999999901</v>
      </c>
      <c r="U8922">
        <v>-0.2006531</v>
      </c>
      <c r="V8922">
        <v>-2.9629180000000001E-2</v>
      </c>
      <c r="W8922">
        <v>-2.3137100000000001E-2</v>
      </c>
      <c r="X8922">
        <v>0.99929310000000005</v>
      </c>
      <c r="Y8922">
        <v>9.0549569999999996E-2</v>
      </c>
      <c r="Z8922">
        <v>-3.2290880000000002E-3</v>
      </c>
      <c r="AA8922">
        <v>0.99588670000000001</v>
      </c>
      <c r="AB8922">
        <v>22</v>
      </c>
      <c r="AC8922">
        <v>26.5491999999999</v>
      </c>
      <c r="AD8922">
        <v>-1.12182233637599</v>
      </c>
      <c r="AE8922">
        <v>-1.77806</v>
      </c>
      <c r="AF8922">
        <v>2.4176889161672301</v>
      </c>
      <c r="AG8922">
        <v>-1.12182233637599</v>
      </c>
      <c r="AH8922">
        <v>26.451200775798402</v>
      </c>
      <c r="AI8922">
        <v>92.418447783921494</v>
      </c>
      <c r="AJ8922">
        <v>84.777570245235495</v>
      </c>
      <c r="AK8922">
        <v>26.585141104221101</v>
      </c>
      <c r="AL8922">
        <v>91.325776542497394</v>
      </c>
      <c r="AM8922">
        <v>91.698330297657805</v>
      </c>
      <c r="AN8922">
        <v>0.99999995670574504</v>
      </c>
    </row>
    <row r="8923" spans="1:40" x14ac:dyDescent="0.25">
      <c r="A8923" t="str">
        <f>"20190303154015852"</f>
        <v>20190303154015852</v>
      </c>
      <c r="B8923" t="str">
        <f>"1551598815847245"</f>
        <v>1551598815847245</v>
      </c>
      <c r="C8923" t="s">
        <v>40</v>
      </c>
      <c r="D8923">
        <v>4.5289020000000004</v>
      </c>
      <c r="E8923">
        <v>0.50974370000000002</v>
      </c>
      <c r="F8923" t="s">
        <v>63</v>
      </c>
      <c r="G8923">
        <v>-198.6763</v>
      </c>
      <c r="H8923" s="1">
        <v>-6.4813129999999998E-6</v>
      </c>
      <c r="I8923">
        <v>-64.43526</v>
      </c>
      <c r="J8923">
        <v>-225.46879999999999</v>
      </c>
      <c r="K8923">
        <v>1.1218360000000001</v>
      </c>
      <c r="L8923">
        <v>-62.665529999999997</v>
      </c>
      <c r="M8923">
        <v>0.99959240000000005</v>
      </c>
      <c r="N8923">
        <v>-1.4494899999999899E-2</v>
      </c>
      <c r="O8923">
        <v>2.4595769999999999E-2</v>
      </c>
      <c r="P8923">
        <v>0.99777969999999905</v>
      </c>
      <c r="Q8923">
        <v>-3.7570439999999997E-2</v>
      </c>
      <c r="R8923">
        <v>5.4992300000000001E-2</v>
      </c>
      <c r="S8923">
        <v>3.0124360000000001</v>
      </c>
      <c r="T8923">
        <v>-0.1255976</v>
      </c>
      <c r="U8923">
        <v>-0.1977844</v>
      </c>
      <c r="V8923">
        <v>-3.0409209999999999E-2</v>
      </c>
      <c r="W8923">
        <v>-2.3118690000000001E-2</v>
      </c>
      <c r="X8923">
        <v>0.99927010000000005</v>
      </c>
      <c r="Y8923">
        <v>8.9926560000000003E-2</v>
      </c>
      <c r="Z8923">
        <v>-3.1927349999999999E-3</v>
      </c>
      <c r="AA8923">
        <v>0.99594329999999998</v>
      </c>
      <c r="AB8923">
        <v>22</v>
      </c>
      <c r="AC8923">
        <v>26.792499999999901</v>
      </c>
      <c r="AD8923">
        <v>-1.1218424813129999</v>
      </c>
      <c r="AE8923">
        <v>-1.76972999999999</v>
      </c>
      <c r="AF8923">
        <v>2.4240145268598199</v>
      </c>
      <c r="AG8923">
        <v>-1.1218424813129999</v>
      </c>
      <c r="AH8923">
        <v>26.6942628365174</v>
      </c>
      <c r="AI8923">
        <v>92.396624366105598</v>
      </c>
      <c r="AJ8923">
        <v>84.811396843534197</v>
      </c>
      <c r="AK8923">
        <v>26.827561301101898</v>
      </c>
      <c r="AL8923">
        <v>91.324721436167806</v>
      </c>
      <c r="AM8923">
        <v>91.743054107759804</v>
      </c>
      <c r="AN8923">
        <v>0.99999996331707397</v>
      </c>
    </row>
    <row r="8924" spans="1:40" x14ac:dyDescent="0.25">
      <c r="A8924" t="str">
        <f>"20190303154015862"</f>
        <v>20190303154015862</v>
      </c>
      <c r="B8924" t="str">
        <f>"1551598815857005"</f>
        <v>1551598815857005</v>
      </c>
      <c r="C8924" t="s">
        <v>40</v>
      </c>
      <c r="D8924">
        <v>4.5366770000000001</v>
      </c>
      <c r="E8924">
        <v>0.50581129999999996</v>
      </c>
      <c r="F8924" t="s">
        <v>63</v>
      </c>
      <c r="G8924">
        <v>-193.97819999999999</v>
      </c>
      <c r="H8924" s="1">
        <v>-8.238886E-6</v>
      </c>
      <c r="I8924">
        <v>-61.747410000000002</v>
      </c>
      <c r="J8924">
        <v>-225.36009999999999</v>
      </c>
      <c r="K8924">
        <v>1.1218490000000001</v>
      </c>
      <c r="L8924">
        <v>-62.66245</v>
      </c>
      <c r="M8924">
        <v>0.99958449999999999</v>
      </c>
      <c r="N8924">
        <v>-1.4492410000000001E-2</v>
      </c>
      <c r="O8924">
        <v>2.492277E-2</v>
      </c>
      <c r="P8924">
        <v>0.99775020000000003</v>
      </c>
      <c r="Q8924">
        <v>-3.7309559999999999E-2</v>
      </c>
      <c r="R8924">
        <v>5.5702990000000001E-2</v>
      </c>
      <c r="S8924">
        <v>2.997833</v>
      </c>
      <c r="T8924">
        <v>-0.106796699999999</v>
      </c>
      <c r="U8924">
        <v>8.7402339999999995E-2</v>
      </c>
      <c r="V8924">
        <v>-3.0792969999999999E-2</v>
      </c>
      <c r="W8924">
        <v>-2.2861579999999999E-2</v>
      </c>
      <c r="X8924">
        <v>0.99926429999999999</v>
      </c>
      <c r="Y8924">
        <v>-4.2207310000000001E-3</v>
      </c>
      <c r="Z8924">
        <v>-4.2037189999999999E-4</v>
      </c>
      <c r="AA8924">
        <v>0.99999099999999996</v>
      </c>
      <c r="AB8924">
        <v>22</v>
      </c>
      <c r="AC8924">
        <v>31.381900000000002</v>
      </c>
      <c r="AD8924">
        <v>-1.121857238886</v>
      </c>
      <c r="AE8924">
        <v>0.91504000000000396</v>
      </c>
      <c r="AF8924">
        <v>-0.13238078903036499</v>
      </c>
      <c r="AG8924">
        <v>-1.121857238886</v>
      </c>
      <c r="AH8924">
        <v>31.354921570493499</v>
      </c>
      <c r="AI8924">
        <v>92.049110702437403</v>
      </c>
      <c r="AJ8924">
        <v>90.241901910544996</v>
      </c>
      <c r="AK8924">
        <v>31.375264063104598</v>
      </c>
      <c r="AL8924">
        <v>91.309986174954602</v>
      </c>
      <c r="AM8924">
        <v>91.765047618940898</v>
      </c>
      <c r="AN8924">
        <v>1.000000000048</v>
      </c>
    </row>
    <row r="8925" spans="1:40" x14ac:dyDescent="0.25">
      <c r="A8925" t="str">
        <f>"20190303154015872"</f>
        <v>20190303154015872</v>
      </c>
      <c r="B8925" t="str">
        <f>"1551598815866766"</f>
        <v>1551598815866766</v>
      </c>
      <c r="C8925" t="s">
        <v>40</v>
      </c>
      <c r="D8925">
        <v>4.5336040000000004</v>
      </c>
      <c r="E8925">
        <v>0.50371750000000004</v>
      </c>
      <c r="F8925" t="s">
        <v>63</v>
      </c>
      <c r="G8925">
        <v>-196.69229999999999</v>
      </c>
      <c r="H8925" s="1">
        <v>-7.1194019999999996E-6</v>
      </c>
      <c r="I8925">
        <v>-61.506210000000003</v>
      </c>
      <c r="J8925">
        <v>-225.2697</v>
      </c>
      <c r="K8925">
        <v>1.1218570000000001</v>
      </c>
      <c r="L8925">
        <v>-62.659910000000004</v>
      </c>
      <c r="M8925">
        <v>0.99957750000000001</v>
      </c>
      <c r="N8925">
        <v>-1.4490309999999999E-2</v>
      </c>
      <c r="O8925">
        <v>2.51982E-2</v>
      </c>
      <c r="P8925">
        <v>0.99769580000000002</v>
      </c>
      <c r="Q8925">
        <v>-3.7080670000000003E-2</v>
      </c>
      <c r="R8925">
        <v>5.6817680000000002E-2</v>
      </c>
      <c r="S8925">
        <v>2.9956049999999999</v>
      </c>
      <c r="T8925">
        <v>-0.1172272</v>
      </c>
      <c r="U8925">
        <v>0.1208191</v>
      </c>
      <c r="V8925">
        <v>-3.1633639999999998E-2</v>
      </c>
      <c r="W8925">
        <v>-2.2636509999999999E-2</v>
      </c>
      <c r="X8925">
        <v>0.99924310000000005</v>
      </c>
      <c r="Y8925">
        <v>-1.509799E-2</v>
      </c>
      <c r="Z8925">
        <v>-2.154368E-4</v>
      </c>
      <c r="AA8925">
        <v>0.99988600000000005</v>
      </c>
      <c r="AB8925">
        <v>22</v>
      </c>
      <c r="AC8925">
        <v>28.577400000000001</v>
      </c>
      <c r="AD8925">
        <v>-1.12186411940199</v>
      </c>
      <c r="AE8925">
        <v>1.1536999999999999</v>
      </c>
      <c r="AF8925">
        <v>-0.43249353967184101</v>
      </c>
      <c r="AG8925">
        <v>-1.12186411940199</v>
      </c>
      <c r="AH8925">
        <v>28.553465692733599</v>
      </c>
      <c r="AI8925">
        <v>92.249732984587297</v>
      </c>
      <c r="AJ8925">
        <v>90.867781163903103</v>
      </c>
      <c r="AK8925">
        <v>28.5787689173339</v>
      </c>
      <c r="AL8925">
        <v>91.297087358997004</v>
      </c>
      <c r="AM8925">
        <v>91.813241379441095</v>
      </c>
      <c r="AN8925">
        <v>0.99999993583111702</v>
      </c>
    </row>
    <row r="8926" spans="1:40" x14ac:dyDescent="0.25">
      <c r="A8926" t="str">
        <f>"20190303154015882"</f>
        <v>20190303154015882</v>
      </c>
      <c r="B8926" t="str">
        <f>"1551598815877502"</f>
        <v>1551598815877502</v>
      </c>
      <c r="C8926" t="s">
        <v>40</v>
      </c>
      <c r="D8926">
        <v>4.4897600000000004</v>
      </c>
      <c r="E8926">
        <v>0.50252909999999995</v>
      </c>
      <c r="F8926" t="s">
        <v>63</v>
      </c>
      <c r="G8926">
        <v>-198.34039999999999</v>
      </c>
      <c r="H8926" s="1">
        <v>-6.4415540000000003E-6</v>
      </c>
      <c r="I8926">
        <v>-61.392980000000001</v>
      </c>
      <c r="J8926">
        <v>-225.1661</v>
      </c>
      <c r="K8926">
        <v>1.1218629999999901</v>
      </c>
      <c r="L8926">
        <v>-62.656950000000002</v>
      </c>
      <c r="M8926">
        <v>0.99956929999999999</v>
      </c>
      <c r="N8926">
        <v>-1.448784E-2</v>
      </c>
      <c r="O8926">
        <v>2.5522329999999999E-2</v>
      </c>
      <c r="P8926">
        <v>0.99765959999999998</v>
      </c>
      <c r="Q8926">
        <v>-3.6635729999999998E-2</v>
      </c>
      <c r="R8926">
        <v>5.7732480000000003E-2</v>
      </c>
      <c r="S8926">
        <v>2.9942470000000001</v>
      </c>
      <c r="T8926">
        <v>-0.1247393</v>
      </c>
      <c r="U8926">
        <v>0.1408691</v>
      </c>
      <c r="V8926">
        <v>-3.2225259999999999E-2</v>
      </c>
      <c r="W8926">
        <v>-2.2195010000000001E-2</v>
      </c>
      <c r="X8926">
        <v>0.99923410000000001</v>
      </c>
      <c r="Y8926">
        <v>-2.1466829999999999E-2</v>
      </c>
      <c r="Z8926" s="1">
        <v>-8.9999639999999994E-5</v>
      </c>
      <c r="AA8926">
        <v>0.99976960000000004</v>
      </c>
      <c r="AB8926">
        <v>22</v>
      </c>
      <c r="AC8926">
        <v>26.825700000000001</v>
      </c>
      <c r="AD8926">
        <v>-1.12186944155399</v>
      </c>
      <c r="AE8926">
        <v>1.26397</v>
      </c>
      <c r="AF8926">
        <v>-0.57782361232090695</v>
      </c>
      <c r="AG8926">
        <v>-1.12186944155399</v>
      </c>
      <c r="AH8926">
        <v>26.802449742997201</v>
      </c>
      <c r="AI8926">
        <v>92.396272704327799</v>
      </c>
      <c r="AJ8926">
        <v>91.2350261625581</v>
      </c>
      <c r="AK8926">
        <v>26.832140864954098</v>
      </c>
      <c r="AL8926">
        <v>91.271784912396797</v>
      </c>
      <c r="AM8926">
        <v>91.847146407998494</v>
      </c>
      <c r="AN8926">
        <v>0.99999993622688599</v>
      </c>
    </row>
    <row r="8927" spans="1:40" x14ac:dyDescent="0.25">
      <c r="A8927" t="str">
        <f>"20190303154015895"</f>
        <v>20190303154015895</v>
      </c>
      <c r="B8927" t="str">
        <f>"1551598815887262"</f>
        <v>1551598815887262</v>
      </c>
      <c r="C8927" t="s">
        <v>40</v>
      </c>
      <c r="D8927">
        <v>4.5176780000000001</v>
      </c>
      <c r="E8927">
        <v>0.5016564</v>
      </c>
      <c r="F8927" t="s">
        <v>63</v>
      </c>
      <c r="G8927">
        <v>-198.7029</v>
      </c>
      <c r="H8927" s="1">
        <v>-6.2888029999999997E-6</v>
      </c>
      <c r="I8927">
        <v>-61.304540000000003</v>
      </c>
      <c r="J8927">
        <v>-225.05879999999999</v>
      </c>
      <c r="K8927">
        <v>1.121864</v>
      </c>
      <c r="L8927">
        <v>-62.65381</v>
      </c>
      <c r="M8927">
        <v>0.99956069999999997</v>
      </c>
      <c r="N8927">
        <v>-1.448526E-2</v>
      </c>
      <c r="O8927">
        <v>2.5860299999999999E-2</v>
      </c>
      <c r="P8927">
        <v>0.997618</v>
      </c>
      <c r="Q8927">
        <v>-3.6161489999999998E-2</v>
      </c>
      <c r="R8927">
        <v>5.874414E-2</v>
      </c>
      <c r="S8927">
        <v>2.9935149999999999</v>
      </c>
      <c r="T8927">
        <v>-0.12690560000000001</v>
      </c>
      <c r="U8927">
        <v>0.1529846</v>
      </c>
      <c r="V8927">
        <v>-3.2900279999999997E-2</v>
      </c>
      <c r="W8927">
        <v>-2.1724250000000001E-2</v>
      </c>
      <c r="X8927">
        <v>0.99922250000000001</v>
      </c>
      <c r="Y8927">
        <v>-2.5172119999999999E-2</v>
      </c>
      <c r="Z8927" s="1">
        <v>-4.9484080000000001E-6</v>
      </c>
      <c r="AA8927">
        <v>0.99968310000000005</v>
      </c>
      <c r="AB8927">
        <v>22</v>
      </c>
      <c r="AC8927">
        <v>26.355899999999899</v>
      </c>
      <c r="AD8927">
        <v>-1.1218702888030001</v>
      </c>
      <c r="AE8927">
        <v>1.34926999999999</v>
      </c>
      <c r="AF8927">
        <v>-0.66597221794112604</v>
      </c>
      <c r="AG8927">
        <v>-1.1218702888030001</v>
      </c>
      <c r="AH8927">
        <v>26.334389995433899</v>
      </c>
      <c r="AI8927">
        <v>92.438601493570602</v>
      </c>
      <c r="AJ8927">
        <v>91.448648179481793</v>
      </c>
      <c r="AK8927">
        <v>26.366687474379098</v>
      </c>
      <c r="AL8927">
        <v>91.244805779044896</v>
      </c>
      <c r="AM8927">
        <v>91.885832664709795</v>
      </c>
      <c r="AN8927">
        <v>0.99999998798419498</v>
      </c>
    </row>
    <row r="8928" spans="1:40" x14ac:dyDescent="0.25">
      <c r="A8928" t="str">
        <f>"20190303154015905"</f>
        <v>20190303154015905</v>
      </c>
      <c r="B8928" t="str">
        <f>"1551598815897022"</f>
        <v>1551598815897022</v>
      </c>
      <c r="C8928" t="s">
        <v>40</v>
      </c>
      <c r="D8928">
        <v>4.5092559999999997</v>
      </c>
      <c r="E8928">
        <v>0.50118370000000001</v>
      </c>
      <c r="F8928" t="s">
        <v>63</v>
      </c>
      <c r="G8928">
        <v>-199.2603</v>
      </c>
      <c r="H8928" s="1">
        <v>-6.058558E-6</v>
      </c>
      <c r="I8928">
        <v>-61.249049999999997</v>
      </c>
      <c r="J8928">
        <v>-224.94990000000001</v>
      </c>
      <c r="K8928">
        <v>1.1218669999999999</v>
      </c>
      <c r="L8928">
        <v>-62.650599999999997</v>
      </c>
      <c r="M8928">
        <v>0.99955170000000004</v>
      </c>
      <c r="N8928">
        <v>-1.448262E-2</v>
      </c>
      <c r="O8928">
        <v>2.6206150000000001E-2</v>
      </c>
      <c r="P8928">
        <v>0.99755199999999999</v>
      </c>
      <c r="Q8928">
        <v>-3.600801E-2</v>
      </c>
      <c r="R8928">
        <v>5.9945909999999998E-2</v>
      </c>
      <c r="S8928">
        <v>2.9928439999999998</v>
      </c>
      <c r="T8928">
        <v>-0.13014609999999999</v>
      </c>
      <c r="U8928">
        <v>0.16296389999999999</v>
      </c>
      <c r="V8928">
        <v>-3.3758490000000002E-2</v>
      </c>
      <c r="W8928">
        <v>-2.1574449999999998E-2</v>
      </c>
      <c r="X8928">
        <v>0.99919709999999995</v>
      </c>
      <c r="Y8928">
        <v>-2.8157419999999999E-2</v>
      </c>
      <c r="Z8928" s="1">
        <v>5.7008149999999997E-5</v>
      </c>
      <c r="AA8928">
        <v>0.99960349999999998</v>
      </c>
      <c r="AB8928">
        <v>21</v>
      </c>
      <c r="AC8928">
        <v>25.689599999999999</v>
      </c>
      <c r="AD8928">
        <v>-1.1218730585579999</v>
      </c>
      <c r="AE8928">
        <v>1.4015500000000001</v>
      </c>
      <c r="AF8928">
        <v>-0.72639127455983898</v>
      </c>
      <c r="AG8928">
        <v>-1.1218730585579999</v>
      </c>
      <c r="AH8928">
        <v>25.6687009652474</v>
      </c>
      <c r="AI8928">
        <v>92.501569390018503</v>
      </c>
      <c r="AJ8928">
        <v>91.620964376770999</v>
      </c>
      <c r="AK8928">
        <v>25.703471607675301</v>
      </c>
      <c r="AL8928">
        <v>91.236220883049199</v>
      </c>
      <c r="AM8928">
        <v>91.935037195104996</v>
      </c>
      <c r="AN8928">
        <v>0.99999996859414497</v>
      </c>
    </row>
    <row r="8929" spans="1:40" x14ac:dyDescent="0.25">
      <c r="A8929" t="str">
        <f>"20190303154015916"</f>
        <v>20190303154015916</v>
      </c>
      <c r="B8929" t="str">
        <f>"1551598815906783"</f>
        <v>1551598815906783</v>
      </c>
      <c r="C8929" t="s">
        <v>40</v>
      </c>
      <c r="D8929">
        <v>4.5038280000000004</v>
      </c>
      <c r="E8929">
        <v>0.50090089999999998</v>
      </c>
      <c r="F8929" t="s">
        <v>63</v>
      </c>
      <c r="G8929">
        <v>-199.81530000000001</v>
      </c>
      <c r="H8929" s="1">
        <v>-5.8308059999999999E-6</v>
      </c>
      <c r="I8929">
        <v>-61.219970000000004</v>
      </c>
      <c r="J8929">
        <v>-224.84780000000001</v>
      </c>
      <c r="K8929">
        <v>1.1218629999999901</v>
      </c>
      <c r="L8929">
        <v>-62.647550000000003</v>
      </c>
      <c r="M8929">
        <v>0.99954319999999997</v>
      </c>
      <c r="N8929">
        <v>-1.4480099999999999E-2</v>
      </c>
      <c r="O8929">
        <v>2.6529299999999999E-2</v>
      </c>
      <c r="P8929">
        <v>0.9975309</v>
      </c>
      <c r="Q8929">
        <v>-3.5502079999999998E-2</v>
      </c>
      <c r="R8929">
        <v>6.0595540000000003E-2</v>
      </c>
      <c r="S8929">
        <v>2.9923099999999998</v>
      </c>
      <c r="T8929">
        <v>-0.1335604</v>
      </c>
      <c r="U8929">
        <v>0.17031859999999999</v>
      </c>
      <c r="V8929">
        <v>-3.4086180000000001E-2</v>
      </c>
      <c r="W8929">
        <v>-2.107092E-2</v>
      </c>
      <c r="X8929">
        <v>0.9991968</v>
      </c>
      <c r="Y8929">
        <v>-3.0289750000000001E-2</v>
      </c>
      <c r="Z8929" s="1">
        <v>9.6317439999999996E-5</v>
      </c>
      <c r="AA8929">
        <v>0.99954120000000002</v>
      </c>
      <c r="AB8929">
        <v>21</v>
      </c>
      <c r="AC8929">
        <v>25.032499999999999</v>
      </c>
      <c r="AD8929">
        <v>-1.1218688308060001</v>
      </c>
      <c r="AE8929">
        <v>1.4275800000000001</v>
      </c>
      <c r="AF8929">
        <v>-0.76138882635807903</v>
      </c>
      <c r="AG8929">
        <v>-1.1218688308060001</v>
      </c>
      <c r="AH8929">
        <v>25.0114911111297</v>
      </c>
      <c r="AI8929">
        <v>92.567043731640794</v>
      </c>
      <c r="AJ8929">
        <v>91.743634484294205</v>
      </c>
      <c r="AK8929">
        <v>25.048213313938302</v>
      </c>
      <c r="AL8929">
        <v>91.207364081115301</v>
      </c>
      <c r="AM8929">
        <v>91.953806489507599</v>
      </c>
      <c r="AN8929">
        <v>1.0000000482334299</v>
      </c>
    </row>
    <row r="8930" spans="1:40" x14ac:dyDescent="0.25">
      <c r="A8930" t="str">
        <f>"20190303154015927"</f>
        <v>20190303154015927</v>
      </c>
      <c r="B8930" t="str">
        <f>"1551598815917518"</f>
        <v>1551598815917518</v>
      </c>
      <c r="C8930" t="s">
        <v>40</v>
      </c>
      <c r="D8930">
        <v>4.4845430000000004</v>
      </c>
      <c r="E8930">
        <v>0.50072170000000005</v>
      </c>
      <c r="F8930" t="s">
        <v>63</v>
      </c>
      <c r="G8930">
        <v>-199.8458</v>
      </c>
      <c r="H8930" s="1">
        <v>-5.8165890000000003E-6</v>
      </c>
      <c r="I8930">
        <v>-61.189160000000001</v>
      </c>
      <c r="J8930">
        <v>-224.74369999999999</v>
      </c>
      <c r="K8930">
        <v>1.121856</v>
      </c>
      <c r="L8930">
        <v>-62.644440000000003</v>
      </c>
      <c r="M8930">
        <v>0.99953440000000005</v>
      </c>
      <c r="N8930">
        <v>-1.4477510000000001E-2</v>
      </c>
      <c r="O8930">
        <v>2.685798E-2</v>
      </c>
      <c r="P8930">
        <v>0.99748499999999996</v>
      </c>
      <c r="Q8930">
        <v>-3.507818E-2</v>
      </c>
      <c r="R8930">
        <v>6.1590440000000003E-2</v>
      </c>
      <c r="S8930">
        <v>2.9920499999999999</v>
      </c>
      <c r="T8930">
        <v>-0.13425670000000001</v>
      </c>
      <c r="U8930">
        <v>0.17452999999999999</v>
      </c>
      <c r="V8930">
        <v>-3.4754470000000003E-2</v>
      </c>
      <c r="W8930">
        <v>-2.0649899999999999E-2</v>
      </c>
      <c r="X8930">
        <v>0.99918249999999997</v>
      </c>
      <c r="Y8930">
        <v>-3.136676E-2</v>
      </c>
      <c r="Z8930">
        <v>1.155217E-4</v>
      </c>
      <c r="AA8930">
        <v>0.99950799999999995</v>
      </c>
      <c r="AB8930">
        <v>21</v>
      </c>
      <c r="AC8930">
        <v>24.8979</v>
      </c>
      <c r="AD8930">
        <v>-1.121861816589</v>
      </c>
      <c r="AE8930">
        <v>1.4552799999999999</v>
      </c>
      <c r="AF8930">
        <v>-0.78439040845394603</v>
      </c>
      <c r="AG8930">
        <v>-1.121861816589</v>
      </c>
      <c r="AH8930">
        <v>24.877670051115501</v>
      </c>
      <c r="AI8930">
        <v>92.580730715055395</v>
      </c>
      <c r="AJ8930">
        <v>91.805931817412798</v>
      </c>
      <c r="AK8930">
        <v>24.915302715812299</v>
      </c>
      <c r="AL8930">
        <v>91.183236243556195</v>
      </c>
      <c r="AM8930">
        <v>91.992110530862902</v>
      </c>
      <c r="AN8930">
        <v>0.99999997993061995</v>
      </c>
    </row>
    <row r="8931" spans="1:40" x14ac:dyDescent="0.25">
      <c r="A8931" t="str">
        <f>"20190303154015938"</f>
        <v>20190303154015938</v>
      </c>
      <c r="B8931" t="str">
        <f>"1551598815927278"</f>
        <v>1551598815927278</v>
      </c>
      <c r="C8931" t="s">
        <v>40</v>
      </c>
      <c r="D8931">
        <v>4.4905039999999996</v>
      </c>
      <c r="E8931">
        <v>0.50038830000000001</v>
      </c>
      <c r="F8931" t="s">
        <v>63</v>
      </c>
      <c r="G8931">
        <v>-199.87610000000001</v>
      </c>
      <c r="H8931" s="1">
        <v>-5.8024050000000001E-6</v>
      </c>
      <c r="I8931">
        <v>-61.157719999999998</v>
      </c>
      <c r="J8931">
        <v>-224.63980000000001</v>
      </c>
      <c r="K8931">
        <v>1.12185</v>
      </c>
      <c r="L8931">
        <v>-62.641269999999999</v>
      </c>
      <c r="M8931">
        <v>0.99952580000000002</v>
      </c>
      <c r="N8931">
        <v>-1.447496E-2</v>
      </c>
      <c r="O8931">
        <v>2.7179450000000001E-2</v>
      </c>
      <c r="P8931">
        <v>0.99746670000000004</v>
      </c>
      <c r="Q8931">
        <v>-3.4587800000000002E-2</v>
      </c>
      <c r="R8931">
        <v>6.2159680000000002E-2</v>
      </c>
      <c r="S8931">
        <v>2.9917600000000002</v>
      </c>
      <c r="T8931">
        <v>-0.13496839999999999</v>
      </c>
      <c r="U8931">
        <v>0.17886350000000001</v>
      </c>
      <c r="V8931">
        <v>-3.5003039999999999E-2</v>
      </c>
      <c r="W8931">
        <v>-2.0161459999999999E-2</v>
      </c>
      <c r="X8931">
        <v>0.99918379999999996</v>
      </c>
      <c r="Y8931">
        <v>-3.249208E-2</v>
      </c>
      <c r="Z8931">
        <v>1.3642060000000001E-4</v>
      </c>
      <c r="AA8931">
        <v>0.99947200000000003</v>
      </c>
      <c r="AB8931">
        <v>21</v>
      </c>
      <c r="AC8931">
        <v>24.7637</v>
      </c>
      <c r="AD8931">
        <v>-1.121855802405</v>
      </c>
      <c r="AE8931">
        <v>1.4835499999999999</v>
      </c>
      <c r="AF8931">
        <v>-0.80821479783059702</v>
      </c>
      <c r="AG8931">
        <v>-1.121855802405</v>
      </c>
      <c r="AH8931">
        <v>24.744274618776</v>
      </c>
      <c r="AI8931">
        <v>92.594516373623804</v>
      </c>
      <c r="AJ8931">
        <v>91.870769720506203</v>
      </c>
      <c r="AK8931">
        <v>24.782875095723401</v>
      </c>
      <c r="AL8931">
        <v>91.155244861793705</v>
      </c>
      <c r="AM8931">
        <v>92.006344239602896</v>
      </c>
      <c r="AN8931">
        <v>0.99999998173050597</v>
      </c>
    </row>
    <row r="8932" spans="1:40" x14ac:dyDescent="0.25">
      <c r="A8932" t="str">
        <f>"20190303154015949"</f>
        <v>20190303154015949</v>
      </c>
      <c r="B8932" t="str">
        <f>"1551598815946798"</f>
        <v>1551598815946798</v>
      </c>
      <c r="C8932" t="s">
        <v>40</v>
      </c>
      <c r="D8932">
        <v>4.4893830000000001</v>
      </c>
      <c r="E8932">
        <v>0.50012709999999905</v>
      </c>
      <c r="F8932" t="s">
        <v>63</v>
      </c>
      <c r="G8932">
        <v>-199.97049999999999</v>
      </c>
      <c r="H8932" s="1">
        <v>-5.7610880000000003E-6</v>
      </c>
      <c r="I8932">
        <v>-61.130299999999998</v>
      </c>
      <c r="J8932">
        <v>-224.53270000000001</v>
      </c>
      <c r="K8932">
        <v>1.1218429999999999</v>
      </c>
      <c r="L8932">
        <v>-62.637970000000003</v>
      </c>
      <c r="M8932">
        <v>0.99951690000000004</v>
      </c>
      <c r="N8932">
        <v>-1.447234E-2</v>
      </c>
      <c r="O8932">
        <v>2.7508479999999998E-2</v>
      </c>
      <c r="P8932">
        <v>0.99743950000000003</v>
      </c>
      <c r="Q8932">
        <v>-3.438915E-2</v>
      </c>
      <c r="R8932">
        <v>6.2707390000000002E-2</v>
      </c>
      <c r="S8932">
        <v>2.991501</v>
      </c>
      <c r="T8932">
        <v>-0.13604079999999999</v>
      </c>
      <c r="U8932">
        <v>0.18322749999999999</v>
      </c>
      <c r="V8932">
        <v>-3.5223780000000003E-2</v>
      </c>
      <c r="W8932">
        <v>-1.996479E-2</v>
      </c>
      <c r="X8932">
        <v>0.99917999999999996</v>
      </c>
      <c r="Y8932">
        <v>-3.3619250000000003E-2</v>
      </c>
      <c r="Z8932">
        <v>1.5597030000000001E-4</v>
      </c>
      <c r="AA8932">
        <v>0.99943470000000001</v>
      </c>
      <c r="AB8932">
        <v>21</v>
      </c>
      <c r="AC8932">
        <v>24.562200000000001</v>
      </c>
      <c r="AD8932">
        <v>-1.1218487610879999</v>
      </c>
      <c r="AE8932">
        <v>1.5076699999999901</v>
      </c>
      <c r="AF8932">
        <v>-0.82963564027752501</v>
      </c>
      <c r="AG8932">
        <v>-1.1218487610879999</v>
      </c>
      <c r="AH8932">
        <v>24.5433734064319</v>
      </c>
      <c r="AI8932">
        <v>92.615609306410903</v>
      </c>
      <c r="AJ8932">
        <v>91.936022708902897</v>
      </c>
      <c r="AK8932">
        <v>24.583002625918599</v>
      </c>
      <c r="AL8932">
        <v>91.143974222592902</v>
      </c>
      <c r="AM8932">
        <v>92.018994100626799</v>
      </c>
      <c r="AN8932">
        <v>0.99999998995861605</v>
      </c>
    </row>
    <row r="8933" spans="1:40" x14ac:dyDescent="0.25">
      <c r="A8933" t="str">
        <f>"20190303154015960"</f>
        <v>20190303154015960</v>
      </c>
      <c r="B8933" t="str">
        <f>"1551598815957534"</f>
        <v>1551598815957534</v>
      </c>
      <c r="C8933" t="s">
        <v>40</v>
      </c>
      <c r="D8933">
        <v>4.5525510000000002</v>
      </c>
      <c r="E8933">
        <v>0.50014479999999994</v>
      </c>
      <c r="F8933" t="s">
        <v>63</v>
      </c>
      <c r="G8933">
        <v>-200.59989999999999</v>
      </c>
      <c r="H8933" s="1">
        <v>-5.4410899999999996E-6</v>
      </c>
      <c r="I8933">
        <v>-61.142859999999999</v>
      </c>
      <c r="J8933">
        <v>-224.42529999999999</v>
      </c>
      <c r="K8933">
        <v>1.121834</v>
      </c>
      <c r="L8933">
        <v>-62.6346699999999</v>
      </c>
      <c r="M8933">
        <v>0.99950830000000002</v>
      </c>
      <c r="N8933">
        <v>-1.4469559999999999E-2</v>
      </c>
      <c r="O8933">
        <v>2.7823090000000002E-2</v>
      </c>
      <c r="P8933">
        <v>0.99742229999999998</v>
      </c>
      <c r="Q8933">
        <v>-3.3959959999999997E-2</v>
      </c>
      <c r="R8933">
        <v>6.3209890000000005E-2</v>
      </c>
      <c r="S8933">
        <v>2.9911189999999999</v>
      </c>
      <c r="T8933">
        <v>-0.14020869999999999</v>
      </c>
      <c r="U8933">
        <v>0.1868591</v>
      </c>
      <c r="V8933">
        <v>-3.541275E-2</v>
      </c>
      <c r="W8933">
        <v>-1.9537329999999999E-2</v>
      </c>
      <c r="X8933">
        <v>0.99918180000000001</v>
      </c>
      <c r="Y8933">
        <v>-3.451883E-2</v>
      </c>
      <c r="Z8933">
        <v>1.58352E-4</v>
      </c>
      <c r="AA8933">
        <v>0.99940399999999996</v>
      </c>
      <c r="AB8933">
        <v>21</v>
      </c>
      <c r="AC8933">
        <v>23.825399999999998</v>
      </c>
      <c r="AD8933">
        <v>-1.1218394410899999</v>
      </c>
      <c r="AE8933">
        <v>1.4918099999999901</v>
      </c>
      <c r="AF8933">
        <v>-0.82644167069094898</v>
      </c>
      <c r="AG8933">
        <v>-1.1218394410899999</v>
      </c>
      <c r="AH8933">
        <v>23.805113788856499</v>
      </c>
      <c r="AI8933">
        <v>92.696501742122294</v>
      </c>
      <c r="AJ8933">
        <v>91.988337888265704</v>
      </c>
      <c r="AK8933">
        <v>23.845858593622602</v>
      </c>
      <c r="AL8933">
        <v>91.119477756302203</v>
      </c>
      <c r="AM8933">
        <v>92.029812994028902</v>
      </c>
      <c r="AN8933">
        <v>1.00000001978866</v>
      </c>
    </row>
    <row r="8934" spans="1:40" x14ac:dyDescent="0.25">
      <c r="A8934" t="str">
        <f>"20190303154015972"</f>
        <v>20190303154015972</v>
      </c>
      <c r="B8934" t="str">
        <f>"1551598815967293"</f>
        <v>1551598815967293</v>
      </c>
      <c r="C8934" t="s">
        <v>40</v>
      </c>
      <c r="D8934">
        <v>4.4948439999999996</v>
      </c>
      <c r="E8934">
        <v>0.50010810000000006</v>
      </c>
      <c r="F8934" t="s">
        <v>63</v>
      </c>
      <c r="G8934">
        <v>-200.67490000000001</v>
      </c>
      <c r="H8934" s="1">
        <v>-5.4027349999999999E-6</v>
      </c>
      <c r="I8934">
        <v>-61.1400199999999</v>
      </c>
      <c r="J8934">
        <v>-224.31829999999999</v>
      </c>
      <c r="K8934">
        <v>1.121823</v>
      </c>
      <c r="L8934">
        <v>-62.631320000000002</v>
      </c>
      <c r="M8934">
        <v>0.99949949999999999</v>
      </c>
      <c r="N8934">
        <v>-1.446681E-2</v>
      </c>
      <c r="O8934">
        <v>2.8132210000000001E-2</v>
      </c>
      <c r="P8934">
        <v>0.99742260000000005</v>
      </c>
      <c r="Q8934">
        <v>-3.3264729999999999E-2</v>
      </c>
      <c r="R8934">
        <v>6.3574770000000003E-2</v>
      </c>
      <c r="S8934">
        <v>2.9910429999999999</v>
      </c>
      <c r="T8934">
        <v>-0.1412805</v>
      </c>
      <c r="U8934">
        <v>0.18823239999999999</v>
      </c>
      <c r="V8934">
        <v>-3.5470399999999999E-2</v>
      </c>
      <c r="W8934">
        <v>-1.8843439999999999E-2</v>
      </c>
      <c r="X8934">
        <v>0.99919309999999995</v>
      </c>
      <c r="Y8934">
        <v>-3.4667999999999997E-2</v>
      </c>
      <c r="Z8934">
        <v>1.489501E-4</v>
      </c>
      <c r="AA8934">
        <v>0.99939889999999998</v>
      </c>
      <c r="AB8934">
        <v>21</v>
      </c>
      <c r="AC8934">
        <v>23.6433999999999</v>
      </c>
      <c r="AD8934">
        <v>-1.1218284027350001</v>
      </c>
      <c r="AE8934">
        <v>1.4913000000000001</v>
      </c>
      <c r="AF8934">
        <v>-0.82365197684781499</v>
      </c>
      <c r="AG8934">
        <v>-1.1218284027350001</v>
      </c>
      <c r="AH8934">
        <v>23.6230264696663</v>
      </c>
      <c r="AI8934">
        <v>92.717214670811202</v>
      </c>
      <c r="AJ8934">
        <v>91.996893700948107</v>
      </c>
      <c r="AK8934">
        <v>23.6639870083362</v>
      </c>
      <c r="AL8934">
        <v>91.079713445708194</v>
      </c>
      <c r="AM8934">
        <v>92.033091673057399</v>
      </c>
      <c r="AN8934">
        <v>1.0000000377974001</v>
      </c>
    </row>
    <row r="8935" spans="1:40" x14ac:dyDescent="0.25">
      <c r="A8935" t="str">
        <f>"20190303154015982"</f>
        <v>20190303154015982</v>
      </c>
      <c r="B8935" t="str">
        <f>"1551598815977053"</f>
        <v>1551598815977053</v>
      </c>
      <c r="C8935" t="s">
        <v>40</v>
      </c>
      <c r="D8935">
        <v>4.5348940000000004</v>
      </c>
      <c r="E8935">
        <v>0.50019029999999998</v>
      </c>
      <c r="F8935" t="s">
        <v>63</v>
      </c>
      <c r="G8935">
        <v>-200.6275</v>
      </c>
      <c r="H8935" s="1">
        <v>-5.4262889999999999E-6</v>
      </c>
      <c r="I8935">
        <v>-61.129730000000002</v>
      </c>
      <c r="J8935">
        <v>-224.21090000000001</v>
      </c>
      <c r="K8935">
        <v>1.121812</v>
      </c>
      <c r="L8935">
        <v>-62.627899999999997</v>
      </c>
      <c r="M8935">
        <v>0.99949120000000002</v>
      </c>
      <c r="N8935">
        <v>-1.4464080000000001E-2</v>
      </c>
      <c r="O8935">
        <v>2.842836E-2</v>
      </c>
      <c r="P8935">
        <v>0.99742640000000005</v>
      </c>
      <c r="Q8935">
        <v>-3.2670970000000001E-2</v>
      </c>
      <c r="R8935">
        <v>6.3822139999999999E-2</v>
      </c>
      <c r="S8935">
        <v>2.9909520000000001</v>
      </c>
      <c r="T8935">
        <v>-0.14163039999999999</v>
      </c>
      <c r="U8935">
        <v>0.1895752</v>
      </c>
      <c r="V8935">
        <v>-3.5422179999999998E-2</v>
      </c>
      <c r="W8935">
        <v>-1.8250740000000001E-2</v>
      </c>
      <c r="X8935">
        <v>0.99920580000000003</v>
      </c>
      <c r="Y8935">
        <v>-3.4820520000000001E-2</v>
      </c>
      <c r="Z8935">
        <v>1.425594E-4</v>
      </c>
      <c r="AA8935">
        <v>0.99939359999999999</v>
      </c>
      <c r="AB8935">
        <v>21</v>
      </c>
      <c r="AC8935">
        <v>23.583400000000001</v>
      </c>
      <c r="AD8935">
        <v>-1.1218174262889999</v>
      </c>
      <c r="AE8935">
        <v>1.49816999999999</v>
      </c>
      <c r="AF8935">
        <v>-0.82519715971638996</v>
      </c>
      <c r="AG8935">
        <v>-1.1218174262889999</v>
      </c>
      <c r="AH8935">
        <v>23.563358266357</v>
      </c>
      <c r="AI8935">
        <v>92.724043753978506</v>
      </c>
      <c r="AJ8935">
        <v>92.005698831384805</v>
      </c>
      <c r="AK8935">
        <v>23.604475793353799</v>
      </c>
      <c r="AL8935">
        <v>91.045748408387595</v>
      </c>
      <c r="AM8935">
        <v>92.030304330711004</v>
      </c>
      <c r="AN8935">
        <v>1.0000000255500601</v>
      </c>
    </row>
    <row r="8936" spans="1:40" x14ac:dyDescent="0.25">
      <c r="A8936" t="str">
        <f>"20190303154015994"</f>
        <v>20190303154015994</v>
      </c>
      <c r="B8936" t="str">
        <f>"1551598815986813"</f>
        <v>1551598815986813</v>
      </c>
      <c r="C8936" t="s">
        <v>40</v>
      </c>
      <c r="D8936">
        <v>4.5115790000000002</v>
      </c>
      <c r="E8936">
        <v>0.50024109999999999</v>
      </c>
      <c r="F8936" t="s">
        <v>63</v>
      </c>
      <c r="G8936">
        <v>-200.4709</v>
      </c>
      <c r="H8936" s="1">
        <v>-5.5056629999999899E-6</v>
      </c>
      <c r="I8936">
        <v>-61.1224699999999</v>
      </c>
      <c r="J8936">
        <v>-224.10730000000001</v>
      </c>
      <c r="K8936">
        <v>1.121799</v>
      </c>
      <c r="L8936">
        <v>-62.624630000000003</v>
      </c>
      <c r="M8936">
        <v>0.99948349999999997</v>
      </c>
      <c r="N8936">
        <v>-1.4461399999999999E-2</v>
      </c>
      <c r="O8936">
        <v>2.8703280000000001E-2</v>
      </c>
      <c r="P8936">
        <v>0.997444</v>
      </c>
      <c r="Q8936">
        <v>-3.2025720000000001E-2</v>
      </c>
      <c r="R8936">
        <v>6.3876520000000006E-2</v>
      </c>
      <c r="S8936">
        <v>2.9909520000000001</v>
      </c>
      <c r="T8936">
        <v>-0.1413355</v>
      </c>
      <c r="U8936">
        <v>0.18966669999999999</v>
      </c>
      <c r="V8936">
        <v>-3.5202949999999997E-2</v>
      </c>
      <c r="W8936">
        <v>-1.7606190000000001E-2</v>
      </c>
      <c r="X8936">
        <v>0.99922509999999998</v>
      </c>
      <c r="Y8936">
        <v>-3.4576700000000002E-2</v>
      </c>
      <c r="Z8936">
        <v>1.2701389999999999E-4</v>
      </c>
      <c r="AA8936">
        <v>0.99940200000000001</v>
      </c>
      <c r="AB8936">
        <v>21</v>
      </c>
      <c r="AC8936">
        <v>23.636399999999998</v>
      </c>
      <c r="AD8936">
        <v>-1.1218045056629999</v>
      </c>
      <c r="AE8936">
        <v>1.5021600000000099</v>
      </c>
      <c r="AF8936">
        <v>-0.82118556931547704</v>
      </c>
      <c r="AG8936">
        <v>-1.1218045056629999</v>
      </c>
      <c r="AH8936">
        <v>23.6167969418692</v>
      </c>
      <c r="AI8936">
        <v>92.717881508327096</v>
      </c>
      <c r="AJ8936">
        <v>91.9914435989932</v>
      </c>
      <c r="AK8936">
        <v>23.657681392766701</v>
      </c>
      <c r="AL8936">
        <v>91.008812489992707</v>
      </c>
      <c r="AM8936">
        <v>92.017710133653296</v>
      </c>
      <c r="AN8936">
        <v>1.00000001304251</v>
      </c>
    </row>
    <row r="8937" spans="1:40" x14ac:dyDescent="0.25">
      <c r="A8937" t="str">
        <f>"20190303154016005"</f>
        <v>20190303154016005</v>
      </c>
      <c r="B8937" t="str">
        <f>"1551598815997551"</f>
        <v>1551598815997551</v>
      </c>
      <c r="C8937" t="s">
        <v>40</v>
      </c>
      <c r="D8937">
        <v>4.5162019999999998</v>
      </c>
      <c r="E8937">
        <v>0.50019690000000006</v>
      </c>
      <c r="F8937" t="s">
        <v>63</v>
      </c>
      <c r="G8937">
        <v>-200.2543</v>
      </c>
      <c r="H8937" s="1">
        <v>-5.6155379999999996E-6</v>
      </c>
      <c r="I8937">
        <v>-61.114280000000001</v>
      </c>
      <c r="J8937">
        <v>-223.99979999999999</v>
      </c>
      <c r="K8937">
        <v>1.1217779999999999</v>
      </c>
      <c r="L8937">
        <v>-62.621220000000001</v>
      </c>
      <c r="M8937">
        <v>0.99947549999999996</v>
      </c>
      <c r="N8937">
        <v>-1.4458550000000001E-2</v>
      </c>
      <c r="O8937">
        <v>2.8975899999999999E-2</v>
      </c>
      <c r="P8937">
        <v>0.9974343</v>
      </c>
      <c r="Q8937">
        <v>-3.1696479999999999E-2</v>
      </c>
      <c r="R8937">
        <v>6.4188839999999997E-2</v>
      </c>
      <c r="S8937">
        <v>2.9910580000000002</v>
      </c>
      <c r="T8937">
        <v>-0.1406695</v>
      </c>
      <c r="U8937">
        <v>0.18939210000000001</v>
      </c>
      <c r="V8937">
        <v>-3.5244129999999999E-2</v>
      </c>
      <c r="W8937">
        <v>-1.7278080000000001E-2</v>
      </c>
      <c r="X8937">
        <v>0.99922940000000005</v>
      </c>
      <c r="Y8937">
        <v>-3.4211329999999998E-2</v>
      </c>
      <c r="Z8937">
        <v>1.093574E-4</v>
      </c>
      <c r="AA8937">
        <v>0.99941460000000004</v>
      </c>
      <c r="AB8937">
        <v>21</v>
      </c>
      <c r="AC8937">
        <v>23.7455</v>
      </c>
      <c r="AD8937">
        <v>-1.1217836155380001</v>
      </c>
      <c r="AE8937">
        <v>1.50693999999998</v>
      </c>
      <c r="AF8937">
        <v>-0.81637325710040298</v>
      </c>
      <c r="AG8937">
        <v>-1.1217836155380001</v>
      </c>
      <c r="AH8937">
        <v>23.726456605351299</v>
      </c>
      <c r="AI8937">
        <v>92.7053222482606</v>
      </c>
      <c r="AJ8937">
        <v>91.970639665391701</v>
      </c>
      <c r="AK8937">
        <v>23.766985648597</v>
      </c>
      <c r="AL8937">
        <v>90.9900102876408</v>
      </c>
      <c r="AM8937">
        <v>92.020059787283699</v>
      </c>
      <c r="AN8937">
        <v>1.0000000372861499</v>
      </c>
    </row>
    <row r="8938" spans="1:40" x14ac:dyDescent="0.25">
      <c r="A8938" t="str">
        <f>"20190303154016019"</f>
        <v>20190303154016019</v>
      </c>
      <c r="B8938" t="str">
        <f>"1551598816007309"</f>
        <v>1551598816007309</v>
      </c>
      <c r="C8938" t="s">
        <v>40</v>
      </c>
      <c r="D8938">
        <v>4.5116560000000003</v>
      </c>
      <c r="E8938">
        <v>0.50016859999999996</v>
      </c>
      <c r="F8938" t="s">
        <v>63</v>
      </c>
      <c r="G8938">
        <v>-200.27070000000001</v>
      </c>
      <c r="H8938" s="1">
        <v>-5.6068859999999997E-6</v>
      </c>
      <c r="I8938">
        <v>-61.108719999999998</v>
      </c>
      <c r="J8938">
        <v>-223.88499999999999</v>
      </c>
      <c r="K8938">
        <v>1.1217549999999901</v>
      </c>
      <c r="L8938">
        <v>-62.617550000000001</v>
      </c>
      <c r="M8938">
        <v>0.99946780000000002</v>
      </c>
      <c r="N8938">
        <v>-1.4455559999999999E-2</v>
      </c>
      <c r="O8938">
        <v>2.9243959999999999E-2</v>
      </c>
      <c r="P8938">
        <v>0.99743700000000002</v>
      </c>
      <c r="Q8938">
        <v>-3.1255159999999997E-2</v>
      </c>
      <c r="R8938">
        <v>6.4363770000000001E-2</v>
      </c>
      <c r="S8938">
        <v>2.990936</v>
      </c>
      <c r="T8938">
        <v>-0.14139489999999999</v>
      </c>
      <c r="U8938">
        <v>0.19064329999999999</v>
      </c>
      <c r="V8938">
        <v>-3.5152429999999998E-2</v>
      </c>
      <c r="W8938">
        <v>-1.6837410000000001E-2</v>
      </c>
      <c r="X8938">
        <v>0.99924009999999996</v>
      </c>
      <c r="Y8938">
        <v>-3.436198E-2</v>
      </c>
      <c r="Z8938">
        <v>1.0221129999999999E-4</v>
      </c>
      <c r="AA8938">
        <v>0.9994094</v>
      </c>
      <c r="AB8938">
        <v>21</v>
      </c>
      <c r="AC8938">
        <v>23.614299999999901</v>
      </c>
      <c r="AD8938">
        <v>-1.12176060688599</v>
      </c>
      <c r="AE8938">
        <v>1.5088299999999999</v>
      </c>
      <c r="AF8938">
        <v>-0.815703541380292</v>
      </c>
      <c r="AG8938">
        <v>-1.12176060688599</v>
      </c>
      <c r="AH8938">
        <v>23.595298793534301</v>
      </c>
      <c r="AI8938">
        <v>92.720266685970998</v>
      </c>
      <c r="AJ8938">
        <v>91.979960727965505</v>
      </c>
      <c r="AK8938">
        <v>23.636028521787299</v>
      </c>
      <c r="AL8938">
        <v>90.964758134032095</v>
      </c>
      <c r="AM8938">
        <v>92.0147866716664</v>
      </c>
      <c r="AN8938">
        <v>0.99999998457921102</v>
      </c>
    </row>
    <row r="8939" spans="1:40" x14ac:dyDescent="0.25">
      <c r="A8939" t="str">
        <f>"20190303154016030"</f>
        <v>20190303154016030</v>
      </c>
      <c r="B8939" t="str">
        <f>"1551598816026829"</f>
        <v>1551598816026829</v>
      </c>
      <c r="C8939" t="s">
        <v>40</v>
      </c>
      <c r="D8939">
        <v>4.572368</v>
      </c>
      <c r="E8939">
        <v>0.50007999999999997</v>
      </c>
      <c r="F8939" t="s">
        <v>63</v>
      </c>
      <c r="G8939">
        <v>-200.3279</v>
      </c>
      <c r="H8939" s="1">
        <v>-5.577838E-6</v>
      </c>
      <c r="I8939">
        <v>-61.1104699999999</v>
      </c>
      <c r="J8939">
        <v>-223.77209999999999</v>
      </c>
      <c r="K8939">
        <v>1.121731</v>
      </c>
      <c r="L8939">
        <v>-62.613919999999901</v>
      </c>
      <c r="M8939">
        <v>0.99946040000000003</v>
      </c>
      <c r="N8939">
        <v>-1.4452619999999999E-2</v>
      </c>
      <c r="O8939">
        <v>2.9496499999999998E-2</v>
      </c>
      <c r="P8939">
        <v>0.99742980000000003</v>
      </c>
      <c r="Q8939">
        <v>-3.10741E-2</v>
      </c>
      <c r="R8939">
        <v>6.4560859999999998E-2</v>
      </c>
      <c r="S8939">
        <v>2.9909059999999998</v>
      </c>
      <c r="T8939">
        <v>-0.14242289999999999</v>
      </c>
      <c r="U8939">
        <v>0.19134519999999999</v>
      </c>
      <c r="V8939">
        <v>-3.5098219999999999E-2</v>
      </c>
      <c r="W8939">
        <v>-1.665699E-2</v>
      </c>
      <c r="X8939">
        <v>0.99924500000000005</v>
      </c>
      <c r="Y8939">
        <v>-3.4343539999999999E-2</v>
      </c>
      <c r="Z8939" s="1">
        <v>8.9020409999999905E-5</v>
      </c>
      <c r="AA8939">
        <v>0.99941009999999997</v>
      </c>
      <c r="AB8939">
        <v>21</v>
      </c>
      <c r="AC8939">
        <v>23.444199999999899</v>
      </c>
      <c r="AD8939">
        <v>-1.121736577838</v>
      </c>
      <c r="AE8939">
        <v>1.50345</v>
      </c>
      <c r="AF8939">
        <v>-0.80935630782259904</v>
      </c>
      <c r="AG8939">
        <v>-1.121736577838</v>
      </c>
      <c r="AH8939">
        <v>23.424939968312</v>
      </c>
      <c r="AI8939">
        <v>92.739963137142496</v>
      </c>
      <c r="AJ8939">
        <v>91.978842249745099</v>
      </c>
      <c r="AK8939">
        <v>23.465744460853902</v>
      </c>
      <c r="AL8939">
        <v>90.954419407417006</v>
      </c>
      <c r="AM8939">
        <v>92.011672284988293</v>
      </c>
      <c r="AN8939">
        <v>0.99999995519401297</v>
      </c>
    </row>
    <row r="8940" spans="1:40" x14ac:dyDescent="0.25">
      <c r="A8940" t="str">
        <f>"20190303154016040"</f>
        <v>20190303154016040</v>
      </c>
      <c r="B8940" t="str">
        <f>"1551598816037573"</f>
        <v>1551598816037573</v>
      </c>
      <c r="C8940" t="s">
        <v>40</v>
      </c>
      <c r="D8940">
        <v>4.5337639999999997</v>
      </c>
      <c r="E8940">
        <v>0.50007290000000004</v>
      </c>
      <c r="F8940" t="s">
        <v>63</v>
      </c>
      <c r="G8940">
        <v>-199.89420000000001</v>
      </c>
      <c r="H8940" s="1">
        <v>-5.7903259999999997E-6</v>
      </c>
      <c r="I8940">
        <v>-61.076309999999999</v>
      </c>
      <c r="J8940">
        <v>-223.6687</v>
      </c>
      <c r="K8940">
        <v>1.12169599999999</v>
      </c>
      <c r="L8940">
        <v>-62.61063</v>
      </c>
      <c r="M8940">
        <v>0.99945470000000003</v>
      </c>
      <c r="N8940">
        <v>-1.444982E-2</v>
      </c>
      <c r="O8940">
        <v>2.9692489999999998E-2</v>
      </c>
      <c r="P8940">
        <v>0.99741740000000001</v>
      </c>
      <c r="Q8940">
        <v>-3.1002080000000001E-2</v>
      </c>
      <c r="R8940">
        <v>6.4786109999999994E-2</v>
      </c>
      <c r="S8940">
        <v>2.990875</v>
      </c>
      <c r="T8940">
        <v>-0.1405053</v>
      </c>
      <c r="U8940">
        <v>0.1925964</v>
      </c>
      <c r="V8940">
        <v>-3.5128760000000002E-2</v>
      </c>
      <c r="W8940">
        <v>-1.6585349999999999E-2</v>
      </c>
      <c r="X8940">
        <v>0.99924519999999994</v>
      </c>
      <c r="Y8940">
        <v>-3.456497E-2</v>
      </c>
      <c r="Z8940" s="1">
        <v>9.7208019999999996E-5</v>
      </c>
      <c r="AA8940">
        <v>0.99940249999999997</v>
      </c>
      <c r="AB8940">
        <v>21</v>
      </c>
      <c r="AC8940">
        <v>23.7744999999999</v>
      </c>
      <c r="AD8940">
        <v>-1.12170179032599</v>
      </c>
      <c r="AE8940">
        <v>1.5343199999999999</v>
      </c>
      <c r="AF8940">
        <v>-0.82581491552267905</v>
      </c>
      <c r="AG8940">
        <v>-1.12170179032599</v>
      </c>
      <c r="AH8940">
        <v>23.756913330696001</v>
      </c>
      <c r="AI8940">
        <v>92.701629415569997</v>
      </c>
      <c r="AJ8940">
        <v>91.990859031529695</v>
      </c>
      <c r="AK8940">
        <v>23.797712414921801</v>
      </c>
      <c r="AL8940">
        <v>90.950314093052199</v>
      </c>
      <c r="AM8940">
        <v>92.013420857873001</v>
      </c>
      <c r="AN8940">
        <v>1.0000000366683901</v>
      </c>
    </row>
    <row r="8941" spans="1:40" x14ac:dyDescent="0.25">
      <c r="A8941" t="str">
        <f>"20190303154016051"</f>
        <v>20190303154016051</v>
      </c>
      <c r="B8941" t="str">
        <f>"1551598816047325"</f>
        <v>1551598816047325</v>
      </c>
      <c r="C8941" t="s">
        <v>40</v>
      </c>
      <c r="D8941">
        <v>4.5617130000000001</v>
      </c>
      <c r="E8941">
        <v>0.50006070000000002</v>
      </c>
      <c r="F8941" t="s">
        <v>63</v>
      </c>
      <c r="G8941">
        <v>-199.79349999999999</v>
      </c>
      <c r="H8941" s="1">
        <v>-5.8308549999999998E-6</v>
      </c>
      <c r="I8941">
        <v>-61.067810000000001</v>
      </c>
      <c r="J8941">
        <v>-223.57509999999999</v>
      </c>
      <c r="K8941">
        <v>1.1216699999999999</v>
      </c>
      <c r="L8941">
        <v>-62.607640000000004</v>
      </c>
      <c r="M8941">
        <v>0.99944960000000005</v>
      </c>
      <c r="N8941">
        <v>-1.444729E-2</v>
      </c>
      <c r="O8941">
        <v>2.986509E-2</v>
      </c>
      <c r="P8941">
        <v>0.99738870000000002</v>
      </c>
      <c r="Q8941">
        <v>-3.0904520000000001E-2</v>
      </c>
      <c r="R8941">
        <v>6.5275680000000003E-2</v>
      </c>
      <c r="S8941">
        <v>2.9908290000000002</v>
      </c>
      <c r="T8941">
        <v>-0.14051469999999999</v>
      </c>
      <c r="U8941">
        <v>0.19326779999999999</v>
      </c>
      <c r="V8941">
        <v>-3.5447569999999998E-2</v>
      </c>
      <c r="W8941">
        <v>-1.6488360000000001E-2</v>
      </c>
      <c r="X8941">
        <v>0.99923550000000005</v>
      </c>
      <c r="Y8941">
        <v>-3.4616809999999998E-2</v>
      </c>
      <c r="Z8941" s="1">
        <v>9.3039210000000003E-5</v>
      </c>
      <c r="AA8941">
        <v>0.99940070000000003</v>
      </c>
      <c r="AB8941">
        <v>21</v>
      </c>
      <c r="AC8941">
        <v>23.781600000000001</v>
      </c>
      <c r="AD8941">
        <v>-1.1216758308549999</v>
      </c>
      <c r="AE8941">
        <v>1.53983</v>
      </c>
      <c r="AF8941">
        <v>-0.82699723356530097</v>
      </c>
      <c r="AG8941">
        <v>-1.1216758308549999</v>
      </c>
      <c r="AH8941">
        <v>23.764336183421001</v>
      </c>
      <c r="AI8941">
        <v>92.700720749003594</v>
      </c>
      <c r="AJ8941">
        <v>91.993084805683594</v>
      </c>
      <c r="AK8941">
        <v>23.805162367278701</v>
      </c>
      <c r="AL8941">
        <v>90.944756259363302</v>
      </c>
      <c r="AM8941">
        <v>92.031698059369006</v>
      </c>
      <c r="AN8941">
        <v>0.99999999034732201</v>
      </c>
    </row>
    <row r="8942" spans="1:40" x14ac:dyDescent="0.25">
      <c r="A8942" t="str">
        <f>"20190303154016061"</f>
        <v>20190303154016061</v>
      </c>
      <c r="B8942" t="str">
        <f>"1551598816057086"</f>
        <v>1551598816057086</v>
      </c>
      <c r="C8942" t="s">
        <v>40</v>
      </c>
      <c r="D8942">
        <v>4.5744069999999999</v>
      </c>
      <c r="E8942">
        <v>0.50001030000000002</v>
      </c>
      <c r="F8942" t="s">
        <v>63</v>
      </c>
      <c r="G8942">
        <v>-199.5814</v>
      </c>
      <c r="H8942" s="1">
        <v>-5.9158930000000004E-6</v>
      </c>
      <c r="I8942">
        <v>-61.044899999999998</v>
      </c>
      <c r="J8942">
        <v>-223.47139999999999</v>
      </c>
      <c r="K8942">
        <v>1.1216390000000001</v>
      </c>
      <c r="L8942">
        <v>-62.604309999999998</v>
      </c>
      <c r="M8942">
        <v>0.99944500000000003</v>
      </c>
      <c r="N8942">
        <v>-1.4444530000000001E-2</v>
      </c>
      <c r="O8942">
        <v>3.0023459999999998E-2</v>
      </c>
      <c r="P8942">
        <v>0.99734310000000004</v>
      </c>
      <c r="Q8942">
        <v>-3.0752580000000002E-2</v>
      </c>
      <c r="R8942">
        <v>6.6041600000000006E-2</v>
      </c>
      <c r="S8942">
        <v>2.990799</v>
      </c>
      <c r="T8942">
        <v>-0.1398162</v>
      </c>
      <c r="U8942">
        <v>0.19479369999999999</v>
      </c>
      <c r="V8942">
        <v>-3.6058020000000003E-2</v>
      </c>
      <c r="W8942">
        <v>-1.6336960000000001E-2</v>
      </c>
      <c r="X8942">
        <v>0.99921610000000005</v>
      </c>
      <c r="Y8942">
        <v>-3.4966629999999999E-2</v>
      </c>
      <c r="Z8942">
        <v>1.014316E-4</v>
      </c>
      <c r="AA8942">
        <v>0.99938850000000001</v>
      </c>
      <c r="AB8942">
        <v>21</v>
      </c>
      <c r="AC8942">
        <v>23.889999999999901</v>
      </c>
      <c r="AD8942">
        <v>-1.121644915893</v>
      </c>
      <c r="AE8942">
        <v>1.55940999999999</v>
      </c>
      <c r="AF8942">
        <v>-0.83952893942039497</v>
      </c>
      <c r="AG8942">
        <v>-1.121644915893</v>
      </c>
      <c r="AH8942">
        <v>23.873649414165399</v>
      </c>
      <c r="AI8942">
        <v>92.688264534390299</v>
      </c>
      <c r="AJ8942">
        <v>92.014005116853895</v>
      </c>
      <c r="AK8942">
        <v>23.914724177960998</v>
      </c>
      <c r="AL8942">
        <v>90.936080551376307</v>
      </c>
      <c r="AM8942">
        <v>92.066696362280595</v>
      </c>
      <c r="AN8942">
        <v>0.99999994578378404</v>
      </c>
    </row>
    <row r="8943" spans="1:40" x14ac:dyDescent="0.25">
      <c r="A8943" t="str">
        <f>"20190303154016072"</f>
        <v>20190303154016072</v>
      </c>
      <c r="B8943" t="str">
        <f>"1551598816066846"</f>
        <v>1551598816066846</v>
      </c>
      <c r="C8943" t="s">
        <v>40</v>
      </c>
      <c r="D8943">
        <v>4.5434340000000004</v>
      </c>
      <c r="E8943">
        <v>0.49998350000000003</v>
      </c>
      <c r="F8943" t="s">
        <v>63</v>
      </c>
      <c r="G8943">
        <v>-199.4102</v>
      </c>
      <c r="H8943" s="1">
        <v>-5.9839569999999997E-6</v>
      </c>
      <c r="I8943">
        <v>-61.015979999999999</v>
      </c>
      <c r="J8943">
        <v>-223.3672</v>
      </c>
      <c r="K8943">
        <v>1.121615</v>
      </c>
      <c r="L8943">
        <v>-62.600949999999997</v>
      </c>
      <c r="M8943">
        <v>0.99944060000000001</v>
      </c>
      <c r="N8943">
        <v>-1.444175E-2</v>
      </c>
      <c r="O8943">
        <v>3.016864E-2</v>
      </c>
      <c r="P8943">
        <v>0.99731130000000001</v>
      </c>
      <c r="Q8943">
        <v>-3.0569909999999999E-2</v>
      </c>
      <c r="R8943">
        <v>6.6602610000000007E-2</v>
      </c>
      <c r="S8943">
        <v>2.990631</v>
      </c>
      <c r="T8943">
        <v>-0.13941229999999999</v>
      </c>
      <c r="U8943">
        <v>0.19741819999999999</v>
      </c>
      <c r="V8943">
        <v>-3.6476460000000002E-2</v>
      </c>
      <c r="W8943">
        <v>-1.6154470000000001E-2</v>
      </c>
      <c r="X8943">
        <v>0.99920390000000003</v>
      </c>
      <c r="Y8943">
        <v>-3.5697529999999998E-2</v>
      </c>
      <c r="Z8943">
        <v>1.206123E-4</v>
      </c>
      <c r="AA8943">
        <v>0.99936259999999999</v>
      </c>
      <c r="AB8943">
        <v>21</v>
      </c>
      <c r="AC8943">
        <v>23.956999999999901</v>
      </c>
      <c r="AD8943">
        <v>-1.1216209839569999</v>
      </c>
      <c r="AE8943">
        <v>1.58496999999999</v>
      </c>
      <c r="AF8943">
        <v>-0.859547138941401</v>
      </c>
      <c r="AG8943">
        <v>-1.1216209839569999</v>
      </c>
      <c r="AH8943">
        <v>23.9416645824558</v>
      </c>
      <c r="AI8943">
        <v>92.6805116322966</v>
      </c>
      <c r="AJ8943">
        <v>92.056134409910598</v>
      </c>
      <c r="AK8943">
        <v>23.983330834029999</v>
      </c>
      <c r="AL8943">
        <v>90.9256232448503</v>
      </c>
      <c r="AM8943">
        <v>92.090683953131006</v>
      </c>
      <c r="AN8943">
        <v>0.99999996640515998</v>
      </c>
    </row>
    <row r="8944" spans="1:40" x14ac:dyDescent="0.25">
      <c r="A8944" t="str">
        <f>"20190303154016084"</f>
        <v>20190303154016084</v>
      </c>
      <c r="B8944" t="str">
        <f>"1551598816076606"</f>
        <v>1551598816076606</v>
      </c>
      <c r="C8944" t="s">
        <v>40</v>
      </c>
      <c r="D8944">
        <v>4.5475099999999999</v>
      </c>
      <c r="E8944">
        <v>0.49997930000000002</v>
      </c>
      <c r="F8944" t="s">
        <v>63</v>
      </c>
      <c r="G8944">
        <v>-199.3175</v>
      </c>
      <c r="H8944" s="1">
        <v>-6.0207060000000004E-6</v>
      </c>
      <c r="I8944">
        <v>-60.998350000000002</v>
      </c>
      <c r="J8944">
        <v>-223.2527</v>
      </c>
      <c r="K8944">
        <v>1.1215759999999999</v>
      </c>
      <c r="L8944">
        <v>-62.597320000000003</v>
      </c>
      <c r="M8944">
        <v>0.99943669999999996</v>
      </c>
      <c r="N8944">
        <v>-1.4438670000000001E-2</v>
      </c>
      <c r="O8944">
        <v>3.0295010000000001E-2</v>
      </c>
      <c r="P8944">
        <v>0.99727390000000005</v>
      </c>
      <c r="Q8944">
        <v>-3.037687E-2</v>
      </c>
      <c r="R8944">
        <v>6.7245540000000006E-2</v>
      </c>
      <c r="S8944">
        <v>2.9905240000000002</v>
      </c>
      <c r="T8944">
        <v>-0.13947079999999901</v>
      </c>
      <c r="U8944">
        <v>0.19927980000000001</v>
      </c>
      <c r="V8944">
        <v>-3.6994480000000003E-2</v>
      </c>
      <c r="W8944">
        <v>-1.5961400000000001E-2</v>
      </c>
      <c r="X8944">
        <v>0.99918799999999997</v>
      </c>
      <c r="Y8944">
        <v>-3.6192250000000002E-2</v>
      </c>
      <c r="Z8944">
        <v>1.3125619999999999E-4</v>
      </c>
      <c r="AA8944">
        <v>0.99934480000000003</v>
      </c>
      <c r="AB8944">
        <v>21</v>
      </c>
      <c r="AC8944">
        <v>23.935199999999998</v>
      </c>
      <c r="AD8944">
        <v>-1.1215820207060001</v>
      </c>
      <c r="AE8944">
        <v>1.59896999999999</v>
      </c>
      <c r="AF8944">
        <v>-0.87113886732603496</v>
      </c>
      <c r="AG8944">
        <v>-1.1215820207060001</v>
      </c>
      <c r="AH8944">
        <v>23.920366937464198</v>
      </c>
      <c r="AI8944">
        <v>92.682751720828406</v>
      </c>
      <c r="AJ8944">
        <v>92.085692578404206</v>
      </c>
      <c r="AK8944">
        <v>23.962487007367699</v>
      </c>
      <c r="AL8944">
        <v>90.914559683228006</v>
      </c>
      <c r="AM8944">
        <v>92.1203815745572</v>
      </c>
      <c r="AN8944">
        <v>1.0000000085922101</v>
      </c>
    </row>
    <row r="8945" spans="1:40" x14ac:dyDescent="0.25">
      <c r="A8945" t="str">
        <f>"20190303154016103"</f>
        <v>20190303154016103</v>
      </c>
      <c r="B8945" t="str">
        <f>"1551598816097102"</f>
        <v>1551598816097102</v>
      </c>
      <c r="C8945" t="s">
        <v>40</v>
      </c>
      <c r="D8945">
        <v>4.5390860000000002</v>
      </c>
      <c r="E8945">
        <v>0.50004280000000001</v>
      </c>
      <c r="F8945" t="s">
        <v>63</v>
      </c>
      <c r="G8945">
        <v>-199.20240000000001</v>
      </c>
      <c r="H8945" s="1">
        <v>-6.0664470000000003E-6</v>
      </c>
      <c r="I8945">
        <v>-60.979149999999997</v>
      </c>
      <c r="J8945">
        <v>-223.07640000000001</v>
      </c>
      <c r="K8945">
        <v>1.121516</v>
      </c>
      <c r="L8945">
        <v>-62.591769999999997</v>
      </c>
      <c r="M8945">
        <v>0.99943289999999996</v>
      </c>
      <c r="N8945">
        <v>-1.443403E-2</v>
      </c>
      <c r="O8945">
        <v>3.0428799999999999E-2</v>
      </c>
      <c r="P8945">
        <v>0.99719630000000004</v>
      </c>
      <c r="Q8945">
        <v>-3.0472200000000001E-2</v>
      </c>
      <c r="R8945">
        <v>6.8345710000000004E-2</v>
      </c>
      <c r="S8945">
        <v>2.9903870000000001</v>
      </c>
      <c r="T8945">
        <v>-0.13945650000000001</v>
      </c>
      <c r="U8945">
        <v>0.2012024</v>
      </c>
      <c r="V8945">
        <v>-3.796588E-2</v>
      </c>
      <c r="W8945">
        <v>-1.6056520000000001E-2</v>
      </c>
      <c r="X8945">
        <v>0.99914999999999998</v>
      </c>
      <c r="Y8945">
        <v>-3.6700499999999997E-2</v>
      </c>
      <c r="Z8945">
        <v>1.4228959999999999E-4</v>
      </c>
      <c r="AA8945">
        <v>0.9993263</v>
      </c>
      <c r="AB8945">
        <v>21</v>
      </c>
      <c r="AC8945">
        <v>23.873999999999899</v>
      </c>
      <c r="AD8945">
        <v>-1.121522066447</v>
      </c>
      <c r="AE8945">
        <v>1.61261999999999</v>
      </c>
      <c r="AF8945">
        <v>-0.88339973494741997</v>
      </c>
      <c r="AG8945">
        <v>-1.121522066447</v>
      </c>
      <c r="AH8945">
        <v>23.859603221915702</v>
      </c>
      <c r="AI8945">
        <v>92.689370615929803</v>
      </c>
      <c r="AJ8945">
        <v>92.120402695237999</v>
      </c>
      <c r="AK8945">
        <v>23.902277563957799</v>
      </c>
      <c r="AL8945">
        <v>90.920010390657097</v>
      </c>
      <c r="AM8945">
        <v>92.176088333976097</v>
      </c>
      <c r="AN8945">
        <v>0.99999997118934203</v>
      </c>
    </row>
    <row r="8946" spans="1:40" x14ac:dyDescent="0.25">
      <c r="A8946" t="str">
        <f>"20190303154016115"</f>
        <v>20190303154016115</v>
      </c>
      <c r="B8946" t="str">
        <f>"1551598816106862"</f>
        <v>1551598816106862</v>
      </c>
      <c r="C8946" t="s">
        <v>40</v>
      </c>
      <c r="D8946">
        <v>4.5803770000000004</v>
      </c>
      <c r="E8946">
        <v>0.50006119999999998</v>
      </c>
      <c r="F8946" t="s">
        <v>63</v>
      </c>
      <c r="G8946">
        <v>-199.2543</v>
      </c>
      <c r="H8946" s="1">
        <v>-6.0446069999999997E-6</v>
      </c>
      <c r="I8946">
        <v>-60.967190000000002</v>
      </c>
      <c r="J8946">
        <v>-222.96879999999999</v>
      </c>
      <c r="K8946">
        <v>1.1214770000000001</v>
      </c>
      <c r="L8946">
        <v>-62.588380000000001</v>
      </c>
      <c r="M8946">
        <v>0.99943139999999997</v>
      </c>
      <c r="N8946">
        <v>-1.443124E-2</v>
      </c>
      <c r="O8946">
        <v>3.047712E-2</v>
      </c>
      <c r="P8946">
        <v>0.99715500000000001</v>
      </c>
      <c r="Q8946">
        <v>-3.02581E-2</v>
      </c>
      <c r="R8946">
        <v>6.903919E-2</v>
      </c>
      <c r="S8946">
        <v>2.990173</v>
      </c>
      <c r="T8946">
        <v>-0.1407746</v>
      </c>
      <c r="U8946">
        <v>0.2039185</v>
      </c>
      <c r="V8946">
        <v>-3.8613000000000001E-2</v>
      </c>
      <c r="W8946">
        <v>-1.5842180000000001E-2</v>
      </c>
      <c r="X8946">
        <v>0.99912860000000003</v>
      </c>
      <c r="Y8946">
        <v>-3.7558889999999998E-2</v>
      </c>
      <c r="Z8946">
        <v>1.6163169999999999E-4</v>
      </c>
      <c r="AA8946">
        <v>0.99929440000000003</v>
      </c>
      <c r="AB8946">
        <v>21</v>
      </c>
      <c r="AC8946">
        <v>23.714499999999902</v>
      </c>
      <c r="AD8946">
        <v>-1.1214830446070001</v>
      </c>
      <c r="AE8946">
        <v>1.6211899999999999</v>
      </c>
      <c r="AF8946">
        <v>-0.89561821538543496</v>
      </c>
      <c r="AG8946">
        <v>-1.1214830446070001</v>
      </c>
      <c r="AH8946">
        <v>23.700138421635199</v>
      </c>
      <c r="AI8946">
        <v>92.707267753737497</v>
      </c>
      <c r="AJ8946">
        <v>92.164153512181798</v>
      </c>
      <c r="AK8946">
        <v>23.7435552816283</v>
      </c>
      <c r="AL8946">
        <v>90.907728070843902</v>
      </c>
      <c r="AM8946">
        <v>92.213190058234801</v>
      </c>
      <c r="AN8946">
        <v>0.99999994888705501</v>
      </c>
    </row>
    <row r="8947" spans="1:40" x14ac:dyDescent="0.25">
      <c r="A8947" t="str">
        <f>"20190303154016128"</f>
        <v>20190303154016128</v>
      </c>
      <c r="B8947" t="str">
        <f>"1551598816116622"</f>
        <v>1551598816116622</v>
      </c>
      <c r="C8947" t="s">
        <v>40</v>
      </c>
      <c r="D8947">
        <v>4.5628780000000004</v>
      </c>
      <c r="E8947">
        <v>0.50006499999999998</v>
      </c>
      <c r="F8947" t="s">
        <v>63</v>
      </c>
      <c r="G8947">
        <v>-199.1677</v>
      </c>
      <c r="H8947" s="1">
        <v>-6.0789079999999997E-6</v>
      </c>
      <c r="I8947">
        <v>-60.949840000000002</v>
      </c>
      <c r="J8947">
        <v>-222.8432</v>
      </c>
      <c r="K8947">
        <v>1.1214360000000001</v>
      </c>
      <c r="L8947">
        <v>-62.584470000000003</v>
      </c>
      <c r="M8947">
        <v>0.9994305</v>
      </c>
      <c r="N8947">
        <v>-1.442801E-2</v>
      </c>
      <c r="O8947">
        <v>3.0508500000000001E-2</v>
      </c>
      <c r="P8947">
        <v>0.99702740000000001</v>
      </c>
      <c r="Q8947">
        <v>-3.041816E-2</v>
      </c>
      <c r="R8947">
        <v>7.0790859999999997E-2</v>
      </c>
      <c r="S8947">
        <v>2.990021</v>
      </c>
      <c r="T8947">
        <v>-0.14088639999999999</v>
      </c>
      <c r="U8947">
        <v>0.2058411</v>
      </c>
      <c r="V8947">
        <v>-4.0338440000000003E-2</v>
      </c>
      <c r="W8947">
        <v>-1.6002579999999999E-2</v>
      </c>
      <c r="X8947">
        <v>0.99905790000000005</v>
      </c>
      <c r="Y8947">
        <v>-3.816961E-2</v>
      </c>
      <c r="Z8947">
        <v>1.7877759999999999E-4</v>
      </c>
      <c r="AA8947">
        <v>0.99927129999999997</v>
      </c>
      <c r="AB8947">
        <v>21</v>
      </c>
      <c r="AC8947">
        <v>23.6755</v>
      </c>
      <c r="AD8947">
        <v>-1.121442078908</v>
      </c>
      <c r="AE8947">
        <v>1.63462999999999</v>
      </c>
      <c r="AF8947">
        <v>-0.909459015877504</v>
      </c>
      <c r="AG8947">
        <v>-1.121442078908</v>
      </c>
      <c r="AH8947">
        <v>23.661515906702199</v>
      </c>
      <c r="AI8947">
        <v>92.711514681439795</v>
      </c>
      <c r="AJ8947">
        <v>92.201149142156098</v>
      </c>
      <c r="AK8947">
        <v>23.705528533256199</v>
      </c>
      <c r="AL8947">
        <v>90.916919451077703</v>
      </c>
      <c r="AM8947">
        <v>92.312145899413196</v>
      </c>
      <c r="AN8947">
        <v>0.99999997993034995</v>
      </c>
    </row>
    <row r="8948" spans="1:40" x14ac:dyDescent="0.25">
      <c r="A8948" t="str">
        <f>"20190303154016140"</f>
        <v>20190303154016140</v>
      </c>
      <c r="B8948" t="str">
        <f>"1551598816137118"</f>
        <v>1551598816137118</v>
      </c>
      <c r="C8948" t="s">
        <v>40</v>
      </c>
      <c r="D8948">
        <v>4.5699009999999998</v>
      </c>
      <c r="E8948">
        <v>0.5000791</v>
      </c>
      <c r="F8948" t="s">
        <v>63</v>
      </c>
      <c r="G8948">
        <v>-199.28129999999999</v>
      </c>
      <c r="H8948" s="1">
        <v>-6.0309829999999997E-6</v>
      </c>
      <c r="I8948">
        <v>-60.921309999999998</v>
      </c>
      <c r="J8948">
        <v>-222.7379</v>
      </c>
      <c r="K8948">
        <v>1.1214120000000001</v>
      </c>
      <c r="L8948">
        <v>-62.581240000000001</v>
      </c>
      <c r="M8948">
        <v>0.99943079999999995</v>
      </c>
      <c r="N8948">
        <v>-1.442537E-2</v>
      </c>
      <c r="O8948">
        <v>3.0496849999999999E-2</v>
      </c>
      <c r="P8948">
        <v>0.99698419999999999</v>
      </c>
      <c r="Q8948">
        <v>-3.0270439999999999E-2</v>
      </c>
      <c r="R8948">
        <v>7.1459709999999996E-2</v>
      </c>
      <c r="S8948">
        <v>2.9896389999999999</v>
      </c>
      <c r="T8948">
        <v>-0.14229310000000001</v>
      </c>
      <c r="U8948">
        <v>0.2110291</v>
      </c>
      <c r="V8948">
        <v>-4.1021189999999999E-2</v>
      </c>
      <c r="W8948">
        <v>-1.5854859999999998E-2</v>
      </c>
      <c r="X8948">
        <v>0.99903249999999999</v>
      </c>
      <c r="Y8948">
        <v>-3.9912549999999998E-2</v>
      </c>
      <c r="Z8948">
        <v>2.2764270000000001E-4</v>
      </c>
      <c r="AA8948">
        <v>0.99920310000000001</v>
      </c>
      <c r="AB8948">
        <v>21</v>
      </c>
      <c r="AC8948">
        <v>23.456600000000002</v>
      </c>
      <c r="AD8948">
        <v>-1.121418030983</v>
      </c>
      <c r="AE8948">
        <v>1.6599299999999999</v>
      </c>
      <c r="AF8948">
        <v>-0.941589521176454</v>
      </c>
      <c r="AG8948">
        <v>-1.121418030983</v>
      </c>
      <c r="AH8948">
        <v>23.443000185214199</v>
      </c>
      <c r="AI8948">
        <v>92.736506902411904</v>
      </c>
      <c r="AJ8948">
        <v>92.300052143929506</v>
      </c>
      <c r="AK8948">
        <v>23.488687211305699</v>
      </c>
      <c r="AL8948">
        <v>90.908454603167598</v>
      </c>
      <c r="AM8948">
        <v>92.351296380677496</v>
      </c>
      <c r="AN8948">
        <v>1.00000002533544</v>
      </c>
    </row>
    <row r="8949" spans="1:40" x14ac:dyDescent="0.25">
      <c r="A8949" t="str">
        <f>"20190303154016151"</f>
        <v>20190303154016151</v>
      </c>
      <c r="B8949" t="str">
        <f>"1551598816146878"</f>
        <v>1551598816146878</v>
      </c>
      <c r="C8949" t="s">
        <v>40</v>
      </c>
      <c r="D8949">
        <v>4.5348240000000004</v>
      </c>
      <c r="E8949">
        <v>0.50009759999999903</v>
      </c>
      <c r="F8949" t="s">
        <v>63</v>
      </c>
      <c r="G8949">
        <v>-199.36160000000001</v>
      </c>
      <c r="H8949" s="1">
        <v>-5.9980179999999899E-6</v>
      </c>
      <c r="I8949">
        <v>-60.917009999999998</v>
      </c>
      <c r="J8949">
        <v>-222.6301</v>
      </c>
      <c r="K8949">
        <v>1.121383</v>
      </c>
      <c r="L8949">
        <v>-62.577969999999901</v>
      </c>
      <c r="M8949">
        <v>0.99943159999999998</v>
      </c>
      <c r="N8949">
        <v>-1.442266E-2</v>
      </c>
      <c r="O8949">
        <v>3.0475260000000001E-2</v>
      </c>
      <c r="P8949">
        <v>0.9969382</v>
      </c>
      <c r="Q8949">
        <v>-3.0100620000000002E-2</v>
      </c>
      <c r="R8949">
        <v>7.2170189999999995E-2</v>
      </c>
      <c r="S8949">
        <v>2.989471</v>
      </c>
      <c r="T8949">
        <v>-0.14341219999999999</v>
      </c>
      <c r="U8949">
        <v>0.21282960000000001</v>
      </c>
      <c r="V8949">
        <v>-4.1754909999999999E-2</v>
      </c>
      <c r="W8949">
        <v>-1.5685040000000001E-2</v>
      </c>
      <c r="X8949">
        <v>0.99900480000000003</v>
      </c>
      <c r="Y8949">
        <v>-4.0535500000000002E-2</v>
      </c>
      <c r="Z8949">
        <v>2.4369800000000001E-4</v>
      </c>
      <c r="AA8949">
        <v>0.99917809999999996</v>
      </c>
      <c r="AB8949">
        <v>21</v>
      </c>
      <c r="AC8949">
        <v>23.2684999999999</v>
      </c>
      <c r="AD8949">
        <v>-1.1213889980180001</v>
      </c>
      <c r="AE8949">
        <v>1.66095999999999</v>
      </c>
      <c r="AF8949">
        <v>-0.94880856860950502</v>
      </c>
      <c r="AG8949">
        <v>-1.1213889980180001</v>
      </c>
      <c r="AH8949">
        <v>23.254576044890499</v>
      </c>
      <c r="AI8949">
        <v>92.758503703702502</v>
      </c>
      <c r="AJ8949">
        <v>92.336425757979896</v>
      </c>
      <c r="AK8949">
        <v>23.3009239733607</v>
      </c>
      <c r="AL8949">
        <v>90.898723409306598</v>
      </c>
      <c r="AM8949">
        <v>92.393370336370097</v>
      </c>
      <c r="AN8949">
        <v>1.00000004170597</v>
      </c>
    </row>
    <row r="8950" spans="1:40" x14ac:dyDescent="0.25">
      <c r="A8950" t="str">
        <f>"20190303154016162"</f>
        <v>20190303154016162</v>
      </c>
      <c r="B8950" t="str">
        <f>"1551598816156637"</f>
        <v>1551598816156637</v>
      </c>
      <c r="C8950" t="s">
        <v>40</v>
      </c>
      <c r="D8950">
        <v>4.5347809999999997</v>
      </c>
      <c r="E8950">
        <v>0.5001795</v>
      </c>
      <c r="F8950" t="s">
        <v>63</v>
      </c>
      <c r="G8950">
        <v>-199.3252</v>
      </c>
      <c r="H8950" s="1">
        <v>-6.012038E-6</v>
      </c>
      <c r="I8950">
        <v>-60.903530000000003</v>
      </c>
      <c r="J8950">
        <v>-222.52430000000001</v>
      </c>
      <c r="K8950">
        <v>1.1213580000000001</v>
      </c>
      <c r="L8950">
        <v>-62.574739999999998</v>
      </c>
      <c r="M8950">
        <v>0.99943320000000002</v>
      </c>
      <c r="N8950">
        <v>-1.442003E-2</v>
      </c>
      <c r="O8950">
        <v>3.0422080000000001E-2</v>
      </c>
      <c r="P8950">
        <v>0.9969055</v>
      </c>
      <c r="Q8950">
        <v>-2.9912480000000002E-2</v>
      </c>
      <c r="R8950">
        <v>7.2698239999999997E-2</v>
      </c>
      <c r="S8950">
        <v>2.9893339999999999</v>
      </c>
      <c r="T8950">
        <v>-0.14384169999999999</v>
      </c>
      <c r="U8950">
        <v>0.21478269999999999</v>
      </c>
      <c r="V8950">
        <v>-4.2337619999999999E-2</v>
      </c>
      <c r="W8950">
        <v>-1.549714E-2</v>
      </c>
      <c r="X8950">
        <v>0.99898310000000001</v>
      </c>
      <c r="Y8950">
        <v>-4.1240150000000003E-2</v>
      </c>
      <c r="Z8950">
        <v>2.6589199999999999E-4</v>
      </c>
      <c r="AA8950">
        <v>0.99914919999999996</v>
      </c>
      <c r="AB8950">
        <v>21</v>
      </c>
      <c r="AC8950">
        <v>23.199100000000001</v>
      </c>
      <c r="AD8950">
        <v>-1.121364012038</v>
      </c>
      <c r="AE8950">
        <v>1.6712100000000001</v>
      </c>
      <c r="AF8950">
        <v>-0.96236122519129896</v>
      </c>
      <c r="AG8950">
        <v>-1.121364012038</v>
      </c>
      <c r="AH8950">
        <v>23.185315855053702</v>
      </c>
      <c r="AI8950">
        <v>92.766589520482896</v>
      </c>
      <c r="AJ8950">
        <v>92.376832123590702</v>
      </c>
      <c r="AK8950">
        <v>23.232358203029001</v>
      </c>
      <c r="AL8950">
        <v>90.887956319014194</v>
      </c>
      <c r="AM8950">
        <v>92.426783973363698</v>
      </c>
      <c r="AN8950">
        <v>0.99999993475052396</v>
      </c>
    </row>
    <row r="8951" spans="1:40" x14ac:dyDescent="0.25">
      <c r="A8951" t="str">
        <f>"20190303154016174"</f>
        <v>20190303154016174</v>
      </c>
      <c r="B8951" t="str">
        <f>"1551598816167375"</f>
        <v>1551598816167375</v>
      </c>
      <c r="C8951" t="s">
        <v>40</v>
      </c>
      <c r="D8951">
        <v>4.5736100000000004</v>
      </c>
      <c r="E8951">
        <v>0.50021590000000005</v>
      </c>
      <c r="F8951" t="s">
        <v>63</v>
      </c>
      <c r="G8951">
        <v>-199.2818</v>
      </c>
      <c r="H8951" s="1">
        <v>-6.0293570000000001E-6</v>
      </c>
      <c r="I8951">
        <v>-60.897379999999998</v>
      </c>
      <c r="J8951">
        <v>-222.4238</v>
      </c>
      <c r="K8951">
        <v>1.1213360000000001</v>
      </c>
      <c r="L8951">
        <v>-62.571750000000002</v>
      </c>
      <c r="M8951">
        <v>0.99943499999999996</v>
      </c>
      <c r="N8951">
        <v>-1.441753E-2</v>
      </c>
      <c r="O8951">
        <v>3.035943E-2</v>
      </c>
      <c r="P8951">
        <v>0.99688319999999997</v>
      </c>
      <c r="Q8951">
        <v>-2.9876179999999999E-2</v>
      </c>
      <c r="R8951">
        <v>7.3016280000000003E-2</v>
      </c>
      <c r="S8951">
        <v>2.989258</v>
      </c>
      <c r="T8951">
        <v>-0.14422109999999999</v>
      </c>
      <c r="U8951">
        <v>0.2157288</v>
      </c>
      <c r="V8951">
        <v>-4.2719670000000001E-2</v>
      </c>
      <c r="W8951">
        <v>-1.546119E-2</v>
      </c>
      <c r="X8951">
        <v>0.99896750000000001</v>
      </c>
      <c r="Y8951">
        <v>-4.1618429999999998E-2</v>
      </c>
      <c r="Z8951">
        <v>2.7847240000000001E-4</v>
      </c>
      <c r="AA8951">
        <v>0.99913350000000001</v>
      </c>
      <c r="AB8951">
        <v>21</v>
      </c>
      <c r="AC8951">
        <v>23.141999999999999</v>
      </c>
      <c r="AD8951">
        <v>-1.121342029357</v>
      </c>
      <c r="AE8951">
        <v>1.6743699999999899</v>
      </c>
      <c r="AF8951">
        <v>-0.96868452520807702</v>
      </c>
      <c r="AG8951">
        <v>-1.121342029357</v>
      </c>
      <c r="AH8951">
        <v>23.128149439872701</v>
      </c>
      <c r="AI8951">
        <v>92.773319484972006</v>
      </c>
      <c r="AJ8951">
        <v>92.398337806884101</v>
      </c>
      <c r="AK8951">
        <v>23.175570201599498</v>
      </c>
      <c r="AL8951">
        <v>90.885896193484399</v>
      </c>
      <c r="AM8951">
        <v>92.448694659042999</v>
      </c>
      <c r="AN8951">
        <v>1.0000000423286799</v>
      </c>
    </row>
    <row r="8952" spans="1:40" x14ac:dyDescent="0.25">
      <c r="A8952" t="str">
        <f>"20190303154016183"</f>
        <v>20190303154016183</v>
      </c>
      <c r="B8952" t="str">
        <f>"1551598816177134"</f>
        <v>1551598816177134</v>
      </c>
      <c r="C8952" t="s">
        <v>40</v>
      </c>
      <c r="D8952">
        <v>4.5730890000000004</v>
      </c>
      <c r="E8952">
        <v>0.50030600000000003</v>
      </c>
      <c r="F8952" t="s">
        <v>63</v>
      </c>
      <c r="G8952">
        <v>-199.33459999999999</v>
      </c>
      <c r="H8952" s="1">
        <v>-6.0080599999999999E-6</v>
      </c>
      <c r="I8952">
        <v>-60.900680000000001</v>
      </c>
      <c r="J8952">
        <v>-222.32259999999999</v>
      </c>
      <c r="K8952">
        <v>1.121316</v>
      </c>
      <c r="L8952">
        <v>-62.568730000000002</v>
      </c>
      <c r="M8952">
        <v>0.99943769999999998</v>
      </c>
      <c r="N8952">
        <v>-1.4415030000000001E-2</v>
      </c>
      <c r="O8952">
        <v>3.027697E-2</v>
      </c>
      <c r="P8952">
        <v>0.99688290000000002</v>
      </c>
      <c r="Q8952">
        <v>-2.9634669999999998E-2</v>
      </c>
      <c r="R8952">
        <v>7.3121800000000001E-2</v>
      </c>
      <c r="S8952">
        <v>2.989182</v>
      </c>
      <c r="T8952">
        <v>-0.1451713</v>
      </c>
      <c r="U8952">
        <v>0.21633910000000001</v>
      </c>
      <c r="V8952">
        <v>-4.2908460000000002E-2</v>
      </c>
      <c r="W8952">
        <v>-1.522014E-2</v>
      </c>
      <c r="X8952">
        <v>0.99896309999999999</v>
      </c>
      <c r="Y8952">
        <v>-4.1904759999999999E-2</v>
      </c>
      <c r="Z8952">
        <v>2.8712699999999998E-4</v>
      </c>
      <c r="AA8952">
        <v>0.9991215</v>
      </c>
      <c r="AB8952">
        <v>21</v>
      </c>
      <c r="AC8952">
        <v>22.988</v>
      </c>
      <c r="AD8952">
        <v>-1.1213220080599999</v>
      </c>
      <c r="AE8952">
        <v>1.66805</v>
      </c>
      <c r="AF8952">
        <v>-0.96891257283991805</v>
      </c>
      <c r="AG8952">
        <v>-1.1213220080599999</v>
      </c>
      <c r="AH8952">
        <v>22.973591733903699</v>
      </c>
      <c r="AI8952">
        <v>92.791864030442795</v>
      </c>
      <c r="AJ8952">
        <v>92.415021630165896</v>
      </c>
      <c r="AK8952">
        <v>23.021339486998901</v>
      </c>
      <c r="AL8952">
        <v>90.872083430078703</v>
      </c>
      <c r="AM8952">
        <v>92.4595136760515</v>
      </c>
      <c r="AN8952">
        <v>1.0000000318814</v>
      </c>
    </row>
    <row r="8953" spans="1:40" x14ac:dyDescent="0.25">
      <c r="A8953" t="str">
        <f>"20190303154016195"</f>
        <v>20190303154016195</v>
      </c>
      <c r="B8953" t="str">
        <f>"1551598816186894"</f>
        <v>1551598816186894</v>
      </c>
      <c r="C8953" t="s">
        <v>40</v>
      </c>
      <c r="D8953">
        <v>4.5351100000000004</v>
      </c>
      <c r="E8953">
        <v>0.50036159999999996</v>
      </c>
      <c r="F8953" t="s">
        <v>63</v>
      </c>
      <c r="G8953">
        <v>-199.24270000000001</v>
      </c>
      <c r="H8953" s="1">
        <v>-6.0455259999999901E-6</v>
      </c>
      <c r="I8953">
        <v>-60.90119</v>
      </c>
      <c r="J8953">
        <v>-222.21690000000001</v>
      </c>
      <c r="K8953">
        <v>1.121299</v>
      </c>
      <c r="L8953">
        <v>-62.565640000000002</v>
      </c>
      <c r="M8953">
        <v>0.99944080000000002</v>
      </c>
      <c r="N8953">
        <v>-1.441243E-2</v>
      </c>
      <c r="O8953">
        <v>3.0176069999999999E-2</v>
      </c>
      <c r="P8953">
        <v>0.9968861</v>
      </c>
      <c r="Q8953">
        <v>-2.9539200000000002E-2</v>
      </c>
      <c r="R8953">
        <v>7.3113860000000003E-2</v>
      </c>
      <c r="S8953">
        <v>2.9892270000000001</v>
      </c>
      <c r="T8953">
        <v>-0.14522959999999999</v>
      </c>
      <c r="U8953">
        <v>0.2159729</v>
      </c>
      <c r="V8953">
        <v>-4.3001419999999999E-2</v>
      </c>
      <c r="W8953">
        <v>-1.512545E-2</v>
      </c>
      <c r="X8953">
        <v>0.99896050000000003</v>
      </c>
      <c r="Y8953">
        <v>-4.1882709999999997E-2</v>
      </c>
      <c r="Z8953">
        <v>2.8955970000000002E-4</v>
      </c>
      <c r="AA8953">
        <v>0.99912250000000002</v>
      </c>
      <c r="AB8953">
        <v>21</v>
      </c>
      <c r="AC8953">
        <v>22.9742</v>
      </c>
      <c r="AD8953">
        <v>-1.1213050455259901</v>
      </c>
      <c r="AE8953">
        <v>1.66445</v>
      </c>
      <c r="AF8953">
        <v>-0.96805484860997204</v>
      </c>
      <c r="AG8953">
        <v>-1.1213050455259901</v>
      </c>
      <c r="AH8953">
        <v>22.959559872292601</v>
      </c>
      <c r="AI8953">
        <v>92.793526759274201</v>
      </c>
      <c r="AJ8953">
        <v>92.414359178442695</v>
      </c>
      <c r="AK8953">
        <v>23.007299813850999</v>
      </c>
      <c r="AL8953">
        <v>90.8666575037538</v>
      </c>
      <c r="AM8953">
        <v>92.464841987541803</v>
      </c>
      <c r="AN8953">
        <v>0.99999999095998404</v>
      </c>
    </row>
    <row r="8954" spans="1:40" x14ac:dyDescent="0.25">
      <c r="A8954" t="str">
        <f>"20190303154016206"</f>
        <v>20190303154016206</v>
      </c>
      <c r="B8954" t="str">
        <f>"1551598816196654"</f>
        <v>1551598816196654</v>
      </c>
      <c r="C8954" t="s">
        <v>40</v>
      </c>
      <c r="D8954">
        <v>4.5703430000000003</v>
      </c>
      <c r="E8954">
        <v>0.5004113</v>
      </c>
      <c r="F8954" t="s">
        <v>63</v>
      </c>
      <c r="G8954">
        <v>-199.2586</v>
      </c>
      <c r="H8954" s="1">
        <v>-6.0395569999999996E-6</v>
      </c>
      <c r="I8954">
        <v>-60.910179999999997</v>
      </c>
      <c r="J8954">
        <v>-222.1147</v>
      </c>
      <c r="K8954">
        <v>1.121286</v>
      </c>
      <c r="L8954">
        <v>-62.562620000000003</v>
      </c>
      <c r="M8954">
        <v>0.999444</v>
      </c>
      <c r="N8954">
        <v>-1.440993E-2</v>
      </c>
      <c r="O8954">
        <v>3.0067699999999999E-2</v>
      </c>
      <c r="P8954">
        <v>0.9969017</v>
      </c>
      <c r="Q8954">
        <v>-2.967467E-2</v>
      </c>
      <c r="R8954">
        <v>7.2846590000000003E-2</v>
      </c>
      <c r="S8954">
        <v>2.9892430000000001</v>
      </c>
      <c r="T8954">
        <v>-0.1459973</v>
      </c>
      <c r="U8954">
        <v>0.21554570000000001</v>
      </c>
      <c r="V8954">
        <v>-4.2842699999999997E-2</v>
      </c>
      <c r="W8954">
        <v>-1.526187E-2</v>
      </c>
      <c r="X8954">
        <v>0.99896529999999994</v>
      </c>
      <c r="Y8954">
        <v>-4.184827E-2</v>
      </c>
      <c r="Z8954">
        <v>2.8969910000000001E-4</v>
      </c>
      <c r="AA8954">
        <v>0.99912389999999995</v>
      </c>
      <c r="AB8954">
        <v>21</v>
      </c>
      <c r="AC8954">
        <v>22.856100000000001</v>
      </c>
      <c r="AD8954">
        <v>-1.1212920395569901</v>
      </c>
      <c r="AE8954">
        <v>1.6524399999999899</v>
      </c>
      <c r="AF8954">
        <v>-0.96208753008332604</v>
      </c>
      <c r="AG8954">
        <v>-1.1212920395569901</v>
      </c>
      <c r="AH8954">
        <v>22.8407675694645</v>
      </c>
      <c r="AI8954">
        <v>92.808004820731995</v>
      </c>
      <c r="AJ8954">
        <v>92.411958749958799</v>
      </c>
      <c r="AK8954">
        <v>22.8885030400814</v>
      </c>
      <c r="AL8954">
        <v>90.874474648180296</v>
      </c>
      <c r="AM8954">
        <v>92.455743528278603</v>
      </c>
      <c r="AN8954">
        <v>1.0000000461116301</v>
      </c>
    </row>
    <row r="8955" spans="1:40" x14ac:dyDescent="0.25">
      <c r="A8955" t="str">
        <f>"20190303154016218"</f>
        <v>20190303154016218</v>
      </c>
      <c r="B8955" t="str">
        <f>"1551598816207390"</f>
        <v>1551598816207390</v>
      </c>
      <c r="C8955" t="s">
        <v>40</v>
      </c>
      <c r="D8955">
        <v>4.5382290000000003</v>
      </c>
      <c r="E8955">
        <v>0.50047219999999903</v>
      </c>
      <c r="F8955" t="s">
        <v>63</v>
      </c>
      <c r="G8955">
        <v>-199.36699999999999</v>
      </c>
      <c r="H8955" s="1">
        <v>-5.9966429999999996E-6</v>
      </c>
      <c r="I8955">
        <v>-60.931449999999998</v>
      </c>
      <c r="J8955">
        <v>-222.01419999999999</v>
      </c>
      <c r="K8955">
        <v>1.1212740000000001</v>
      </c>
      <c r="L8955">
        <v>-62.559750000000001</v>
      </c>
      <c r="M8955">
        <v>0.99944759999999999</v>
      </c>
      <c r="N8955">
        <v>-1.440747E-2</v>
      </c>
      <c r="O8955">
        <v>2.9947660000000001E-2</v>
      </c>
      <c r="P8955">
        <v>0.99693580000000004</v>
      </c>
      <c r="Q8955">
        <v>-2.954391E-2</v>
      </c>
      <c r="R8955">
        <v>7.2430610000000006E-2</v>
      </c>
      <c r="S8955">
        <v>2.9893040000000002</v>
      </c>
      <c r="T8955">
        <v>-0.1473507</v>
      </c>
      <c r="U8955">
        <v>0.2143555</v>
      </c>
      <c r="V8955">
        <v>-4.2546500000000001E-2</v>
      </c>
      <c r="W8955">
        <v>-1.513229E-2</v>
      </c>
      <c r="X8955">
        <v>0.99897990000000003</v>
      </c>
      <c r="Y8955">
        <v>-4.1570839999999998E-2</v>
      </c>
      <c r="Z8955">
        <v>2.8079910000000001E-4</v>
      </c>
      <c r="AA8955">
        <v>0.99913549999999995</v>
      </c>
      <c r="AB8955">
        <v>21</v>
      </c>
      <c r="AC8955">
        <v>22.647199999999899</v>
      </c>
      <c r="AD8955">
        <v>-1.1212799966429901</v>
      </c>
      <c r="AE8955">
        <v>1.6283000000000001</v>
      </c>
      <c r="AF8955">
        <v>-0.94695907915062605</v>
      </c>
      <c r="AG8955">
        <v>-1.1212799966429901</v>
      </c>
      <c r="AH8955">
        <v>22.630619259933201</v>
      </c>
      <c r="AI8955">
        <v>92.834040185077797</v>
      </c>
      <c r="AJ8955">
        <v>92.396095509321498</v>
      </c>
      <c r="AK8955">
        <v>22.678159722881301</v>
      </c>
      <c r="AL8955">
        <v>90.867049430265396</v>
      </c>
      <c r="AM8955">
        <v>92.438750315711701</v>
      </c>
      <c r="AN8955">
        <v>1.0000000157334501</v>
      </c>
    </row>
    <row r="8956" spans="1:40" x14ac:dyDescent="0.25">
      <c r="A8956" t="str">
        <f>"20190303154016228"</f>
        <v>20190303154016228</v>
      </c>
      <c r="B8956" t="str">
        <f>"1551598816217150"</f>
        <v>1551598816217150</v>
      </c>
      <c r="C8956" t="s">
        <v>40</v>
      </c>
      <c r="D8956">
        <v>4.548349</v>
      </c>
      <c r="E8956">
        <v>0.50054220000000005</v>
      </c>
      <c r="F8956" t="s">
        <v>63</v>
      </c>
      <c r="G8956">
        <v>-199.28270000000001</v>
      </c>
      <c r="H8956" s="1">
        <v>-6.0316510000000003E-6</v>
      </c>
      <c r="I8956">
        <v>-60.943010000000001</v>
      </c>
      <c r="J8956">
        <v>-221.90790000000001</v>
      </c>
      <c r="K8956">
        <v>1.121264</v>
      </c>
      <c r="L8956">
        <v>-62.556669999999997</v>
      </c>
      <c r="M8956">
        <v>0.99945170000000005</v>
      </c>
      <c r="N8956">
        <v>-1.440489E-2</v>
      </c>
      <c r="O8956">
        <v>2.9815990000000001E-2</v>
      </c>
      <c r="P8956">
        <v>0.99697170000000002</v>
      </c>
      <c r="Q8956">
        <v>-2.9361450000000001E-2</v>
      </c>
      <c r="R8956">
        <v>7.2012690000000004E-2</v>
      </c>
      <c r="S8956">
        <v>2.989395</v>
      </c>
      <c r="T8956">
        <v>-0.14745839999999999</v>
      </c>
      <c r="U8956">
        <v>0.212616</v>
      </c>
      <c r="V8956">
        <v>-4.2259850000000002E-2</v>
      </c>
      <c r="W8956">
        <v>-1.495115E-2</v>
      </c>
      <c r="X8956">
        <v>0.99899479999999996</v>
      </c>
      <c r="Y8956">
        <v>-4.1122430000000001E-2</v>
      </c>
      <c r="Z8956">
        <v>2.7064809999999999E-4</v>
      </c>
      <c r="AA8956">
        <v>0.99915410000000004</v>
      </c>
      <c r="AB8956">
        <v>21</v>
      </c>
      <c r="AC8956">
        <v>22.6252</v>
      </c>
      <c r="AD8956">
        <v>-1.121270031651</v>
      </c>
      <c r="AE8956">
        <v>1.6136599999999901</v>
      </c>
      <c r="AF8956">
        <v>-0.93599255237659196</v>
      </c>
      <c r="AG8956">
        <v>-1.121270031651</v>
      </c>
      <c r="AH8956">
        <v>22.608011529879501</v>
      </c>
      <c r="AI8956">
        <v>92.836896551926699</v>
      </c>
      <c r="AJ8956">
        <v>92.3707442802489</v>
      </c>
      <c r="AK8956">
        <v>22.6551432102546</v>
      </c>
      <c r="AL8956">
        <v>90.856669694009796</v>
      </c>
      <c r="AM8956">
        <v>92.422303191247195</v>
      </c>
      <c r="AN8956">
        <v>1.00000002111769</v>
      </c>
    </row>
    <row r="8957" spans="1:40" x14ac:dyDescent="0.25">
      <c r="A8957" t="str">
        <f>"20190303154016240"</f>
        <v>20190303154016240</v>
      </c>
      <c r="B8957" t="str">
        <f>"1551598816236670"</f>
        <v>1551598816236670</v>
      </c>
      <c r="C8957" t="s">
        <v>40</v>
      </c>
      <c r="D8957">
        <v>4.5511809999999997</v>
      </c>
      <c r="E8957">
        <v>0.50065700000000002</v>
      </c>
      <c r="F8957" t="s">
        <v>63</v>
      </c>
      <c r="G8957">
        <v>-199.17850000000001</v>
      </c>
      <c r="H8957" s="1">
        <v>-6.0747359999999998E-6</v>
      </c>
      <c r="I8957">
        <v>-60.954070000000002</v>
      </c>
      <c r="J8957">
        <v>-221.80420000000001</v>
      </c>
      <c r="K8957">
        <v>1.1212549999999999</v>
      </c>
      <c r="L8957">
        <v>-62.553739999999998</v>
      </c>
      <c r="M8957">
        <v>0.99945600000000001</v>
      </c>
      <c r="N8957">
        <v>-1.4402359999999999E-2</v>
      </c>
      <c r="O8957">
        <v>2.9675759999999999E-2</v>
      </c>
      <c r="P8957">
        <v>0.99700409999999995</v>
      </c>
      <c r="Q8957">
        <v>-2.9399450000000001E-2</v>
      </c>
      <c r="R8957">
        <v>7.1544910000000003E-2</v>
      </c>
      <c r="S8957">
        <v>2.9895320000000001</v>
      </c>
      <c r="T8957">
        <v>-0.14747729999999901</v>
      </c>
      <c r="U8957">
        <v>0.2107849</v>
      </c>
      <c r="V8957">
        <v>-4.1931129999999997E-2</v>
      </c>
      <c r="W8957">
        <v>-1.4990959999999999E-2</v>
      </c>
      <c r="X8957">
        <v>0.99900809999999995</v>
      </c>
      <c r="Y8957">
        <v>-4.0651100000000003E-2</v>
      </c>
      <c r="Z8957">
        <v>2.6034799999999998E-4</v>
      </c>
      <c r="AA8957">
        <v>0.99917330000000004</v>
      </c>
      <c r="AB8957">
        <v>21</v>
      </c>
      <c r="AC8957">
        <v>22.625699999999899</v>
      </c>
      <c r="AD8957">
        <v>-1.1212610747359999</v>
      </c>
      <c r="AE8957">
        <v>1.5996700000000099</v>
      </c>
      <c r="AF8957">
        <v>-0.92520006753096895</v>
      </c>
      <c r="AG8957">
        <v>-1.1212610747359999</v>
      </c>
      <c r="AH8957">
        <v>22.607962833220402</v>
      </c>
      <c r="AI8957">
        <v>92.836935577073803</v>
      </c>
      <c r="AJ8957">
        <v>92.343444051346694</v>
      </c>
      <c r="AK8957">
        <v>22.654650847694601</v>
      </c>
      <c r="AL8957">
        <v>90.858950855873204</v>
      </c>
      <c r="AM8957">
        <v>92.403451427381498</v>
      </c>
      <c r="AN8957">
        <v>1.0000000662052</v>
      </c>
    </row>
    <row r="8958" spans="1:40" x14ac:dyDescent="0.25">
      <c r="A8958" t="str">
        <f>"20190303154016252"</f>
        <v>20190303154016252</v>
      </c>
      <c r="B8958" t="str">
        <f>"1551598816247406"</f>
        <v>1551598816247406</v>
      </c>
      <c r="C8958" t="s">
        <v>40</v>
      </c>
      <c r="D8958">
        <v>4.5209070000000002</v>
      </c>
      <c r="E8958">
        <v>0.50074629999999998</v>
      </c>
      <c r="F8958" t="s">
        <v>63</v>
      </c>
      <c r="G8958">
        <v>-199.30670000000001</v>
      </c>
      <c r="H8958" s="1">
        <v>-6.0243260000000004E-6</v>
      </c>
      <c r="I8958">
        <v>-60.985250000000001</v>
      </c>
      <c r="J8958">
        <v>-221.69560000000001</v>
      </c>
      <c r="K8958">
        <v>1.121248</v>
      </c>
      <c r="L8958">
        <v>-62.550660000000001</v>
      </c>
      <c r="M8958">
        <v>0.99946029999999997</v>
      </c>
      <c r="N8958">
        <v>-1.439971E-2</v>
      </c>
      <c r="O8958">
        <v>2.9527500000000002E-2</v>
      </c>
      <c r="P8958">
        <v>0.99703319999999995</v>
      </c>
      <c r="Q8958">
        <v>-2.911971E-2</v>
      </c>
      <c r="R8958">
        <v>7.1253810000000001E-2</v>
      </c>
      <c r="S8958">
        <v>2.9896699999999998</v>
      </c>
      <c r="T8958">
        <v>-0.14900329999999901</v>
      </c>
      <c r="U8958">
        <v>0.20843510000000001</v>
      </c>
      <c r="V8958">
        <v>-4.1787440000000002E-2</v>
      </c>
      <c r="W8958">
        <v>-1.471311E-2</v>
      </c>
      <c r="X8958">
        <v>0.99901819999999997</v>
      </c>
      <c r="Y8958">
        <v>-4.0014870000000001E-2</v>
      </c>
      <c r="Z8958">
        <v>2.4028990000000001E-4</v>
      </c>
      <c r="AA8958">
        <v>0.99919899999999995</v>
      </c>
      <c r="AB8958">
        <v>21</v>
      </c>
      <c r="AC8958">
        <v>22.3889</v>
      </c>
      <c r="AD8958">
        <v>-1.1212540243260001</v>
      </c>
      <c r="AE8958">
        <v>1.56541</v>
      </c>
      <c r="AF8958">
        <v>-0.90132094085970205</v>
      </c>
      <c r="AG8958">
        <v>-1.1212540243260001</v>
      </c>
      <c r="AH8958">
        <v>22.3695313628861</v>
      </c>
      <c r="AI8958">
        <v>92.867178863148595</v>
      </c>
      <c r="AJ8958">
        <v>92.307333392178194</v>
      </c>
      <c r="AK8958">
        <v>22.4157427586204</v>
      </c>
      <c r="AL8958">
        <v>90.843029511754295</v>
      </c>
      <c r="AM8958">
        <v>92.395200678458806</v>
      </c>
      <c r="AN8958">
        <v>1.0000000148394299</v>
      </c>
    </row>
    <row r="8959" spans="1:40" x14ac:dyDescent="0.25">
      <c r="A8959" t="str">
        <f>"20190303154016263"</f>
        <v>20190303154016263</v>
      </c>
      <c r="B8959" t="str">
        <f>"1551598816257166"</f>
        <v>1551598816257166</v>
      </c>
      <c r="C8959" t="s">
        <v>40</v>
      </c>
      <c r="D8959">
        <v>4.5341990000000001</v>
      </c>
      <c r="E8959">
        <v>0.50074629999999998</v>
      </c>
      <c r="F8959" t="s">
        <v>63</v>
      </c>
      <c r="G8959">
        <v>-199.1764</v>
      </c>
      <c r="H8959" s="1">
        <v>-6.0778280000000004E-6</v>
      </c>
      <c r="I8959">
        <v>-60.992669999999997</v>
      </c>
      <c r="J8959">
        <v>-221.59190000000001</v>
      </c>
      <c r="K8959">
        <v>1.121245</v>
      </c>
      <c r="L8959">
        <v>-62.547759999999997</v>
      </c>
      <c r="M8959">
        <v>0.99946480000000004</v>
      </c>
      <c r="N8959">
        <v>-1.4397170000000001E-2</v>
      </c>
      <c r="O8959">
        <v>2.938019E-2</v>
      </c>
      <c r="P8959">
        <v>0.9970736</v>
      </c>
      <c r="Q8959">
        <v>-2.8724670000000001E-2</v>
      </c>
      <c r="R8959">
        <v>7.0849410000000002E-2</v>
      </c>
      <c r="S8959">
        <v>2.989792</v>
      </c>
      <c r="T8959">
        <v>-0.14886450000000001</v>
      </c>
      <c r="U8959">
        <v>0.20684810000000001</v>
      </c>
      <c r="V8959">
        <v>-4.1529490000000002E-2</v>
      </c>
      <c r="W8959">
        <v>-1.432019E-2</v>
      </c>
      <c r="X8959">
        <v>0.99903459999999999</v>
      </c>
      <c r="Y8959">
        <v>-3.9632090000000002E-2</v>
      </c>
      <c r="Z8959">
        <v>2.3353609999999999E-4</v>
      </c>
      <c r="AA8959">
        <v>0.9992143</v>
      </c>
      <c r="AB8959">
        <v>21</v>
      </c>
      <c r="AC8959">
        <v>22.415500000000002</v>
      </c>
      <c r="AD8959">
        <v>-1.121251077828</v>
      </c>
      <c r="AE8959">
        <v>1.5550900000000001</v>
      </c>
      <c r="AF8959">
        <v>-0.89355367490041404</v>
      </c>
      <c r="AG8959">
        <v>-1.121251077828</v>
      </c>
      <c r="AH8959">
        <v>22.395746466292898</v>
      </c>
      <c r="AI8959">
        <v>92.863865886400802</v>
      </c>
      <c r="AJ8959">
        <v>92.284796085118899</v>
      </c>
      <c r="AK8959">
        <v>22.441593123749701</v>
      </c>
      <c r="AL8959">
        <v>90.820514535671506</v>
      </c>
      <c r="AM8959">
        <v>92.380393355330398</v>
      </c>
      <c r="AN8959">
        <v>0.99999994918922597</v>
      </c>
    </row>
    <row r="8960" spans="1:40" x14ac:dyDescent="0.25">
      <c r="A8960" t="str">
        <f>"20190303154016273"</f>
        <v>20190303154016273</v>
      </c>
      <c r="B8960" t="str">
        <f>"1551598816266926"</f>
        <v>1551598816266926</v>
      </c>
      <c r="C8960" t="s">
        <v>40</v>
      </c>
      <c r="D8960">
        <v>4.5785489999999998</v>
      </c>
      <c r="E8960">
        <v>0.50979620000000003</v>
      </c>
      <c r="F8960" t="s">
        <v>63</v>
      </c>
      <c r="G8960">
        <v>-198.89109999999999</v>
      </c>
      <c r="H8960" s="1">
        <v>-6.1936969999999998E-6</v>
      </c>
      <c r="I8960">
        <v>-60.986550000000001</v>
      </c>
      <c r="J8960">
        <v>-221.49680000000001</v>
      </c>
      <c r="K8960">
        <v>1.1212359999999999</v>
      </c>
      <c r="L8960">
        <v>-62.545099999999998</v>
      </c>
      <c r="M8960">
        <v>0.99946860000000004</v>
      </c>
      <c r="N8960">
        <v>-1.4394840000000001E-2</v>
      </c>
      <c r="O8960">
        <v>2.9244829999999999E-2</v>
      </c>
      <c r="P8960">
        <v>0.99710980000000005</v>
      </c>
      <c r="Q8960">
        <v>-2.832293E-2</v>
      </c>
      <c r="R8960">
        <v>7.0498980000000003E-2</v>
      </c>
      <c r="S8960">
        <v>2.9899290000000001</v>
      </c>
      <c r="T8960">
        <v>-0.14768029999999999</v>
      </c>
      <c r="U8960">
        <v>0.20562739999999999</v>
      </c>
      <c r="V8960">
        <v>-4.131344E-2</v>
      </c>
      <c r="W8960">
        <v>-1.392052E-2</v>
      </c>
      <c r="X8960">
        <v>0.99904919999999997</v>
      </c>
      <c r="Y8960">
        <v>-3.9359070000000003E-2</v>
      </c>
      <c r="Z8960">
        <v>2.3322990000000001E-4</v>
      </c>
      <c r="AA8960">
        <v>0.99922509999999998</v>
      </c>
      <c r="AB8960">
        <v>21</v>
      </c>
      <c r="AC8960">
        <v>22.605699999999999</v>
      </c>
      <c r="AD8960">
        <v>-1.1212421936970001</v>
      </c>
      <c r="AE8960">
        <v>1.5585499999999901</v>
      </c>
      <c r="AF8960">
        <v>-0.89452460290047697</v>
      </c>
      <c r="AG8960">
        <v>-1.1212421936970001</v>
      </c>
      <c r="AH8960">
        <v>22.586310297912899</v>
      </c>
      <c r="AI8960">
        <v>92.839753348743699</v>
      </c>
      <c r="AJ8960">
        <v>92.267998262675903</v>
      </c>
      <c r="AK8960">
        <v>22.631808836143101</v>
      </c>
      <c r="AL8960">
        <v>90.797612852170502</v>
      </c>
      <c r="AM8960">
        <v>92.367989337330599</v>
      </c>
      <c r="AN8960">
        <v>0.99999994261116998</v>
      </c>
    </row>
    <row r="8961" spans="1:40" x14ac:dyDescent="0.25">
      <c r="A8961" t="str">
        <f>"20190303154016284"</f>
        <v>20190303154016284</v>
      </c>
      <c r="B8961" t="str">
        <f>"1551598816276686"</f>
        <v>1551598816276686</v>
      </c>
      <c r="C8961" t="s">
        <v>40</v>
      </c>
      <c r="D8961">
        <v>4.5580850000000002</v>
      </c>
      <c r="E8961">
        <v>0.51060439999999996</v>
      </c>
      <c r="F8961" t="s">
        <v>63</v>
      </c>
      <c r="G8961">
        <v>-201.36269999999999</v>
      </c>
      <c r="H8961" s="1">
        <v>-5.0822390000000002E-6</v>
      </c>
      <c r="I8961">
        <v>-61.65625</v>
      </c>
      <c r="J8961">
        <v>-221.3905</v>
      </c>
      <c r="K8961">
        <v>1.121237</v>
      </c>
      <c r="L8961">
        <v>-62.542180000000002</v>
      </c>
      <c r="M8961">
        <v>0.99947319999999995</v>
      </c>
      <c r="N8961">
        <v>-1.4392230000000001E-2</v>
      </c>
      <c r="O8961">
        <v>2.909169E-2</v>
      </c>
      <c r="P8961">
        <v>0.99713669999999999</v>
      </c>
      <c r="Q8961">
        <v>-2.804396E-2</v>
      </c>
      <c r="R8961">
        <v>7.0230070000000006E-2</v>
      </c>
      <c r="S8961">
        <v>2.9945979999999999</v>
      </c>
      <c r="T8961">
        <v>-0.16676529999999901</v>
      </c>
      <c r="U8961">
        <v>0.13220209999999999</v>
      </c>
      <c r="V8961">
        <v>-4.1196410000000003E-2</v>
      </c>
      <c r="W8961">
        <v>-1.3644170000000001E-2</v>
      </c>
      <c r="X8961">
        <v>0.99905790000000005</v>
      </c>
      <c r="Y8961">
        <v>-1.5014329999999999E-2</v>
      </c>
      <c r="Z8961">
        <v>-6.7347789999999902E-4</v>
      </c>
      <c r="AA8961">
        <v>0.99988699999999997</v>
      </c>
      <c r="AB8961">
        <v>21</v>
      </c>
      <c r="AC8961">
        <v>20.027799999999999</v>
      </c>
      <c r="AD8961">
        <v>-1.1212420822389999</v>
      </c>
      <c r="AE8961">
        <v>0.88593000000000099</v>
      </c>
      <c r="AF8961">
        <v>-0.30190768602978801</v>
      </c>
      <c r="AG8961">
        <v>-1.1212420822389999</v>
      </c>
      <c r="AH8961">
        <v>19.982589366444799</v>
      </c>
      <c r="AI8961">
        <v>93.211187294845899</v>
      </c>
      <c r="AJ8961">
        <v>90.865589532955099</v>
      </c>
      <c r="AK8961">
        <v>20.016298605032301</v>
      </c>
      <c r="AL8961">
        <v>90.781777615537706</v>
      </c>
      <c r="AM8961">
        <v>92.3612685168452</v>
      </c>
      <c r="AN8961">
        <v>0.99999999756214297</v>
      </c>
    </row>
    <row r="8962" spans="1:40" x14ac:dyDescent="0.25">
      <c r="A8962" t="str">
        <f>"20190303154016296"</f>
        <v>20190303154016296</v>
      </c>
      <c r="B8962" t="str">
        <f>"1551598816287423"</f>
        <v>1551598816287423</v>
      </c>
      <c r="C8962" t="s">
        <v>40</v>
      </c>
      <c r="D8962">
        <v>4.535717</v>
      </c>
      <c r="E8962">
        <v>0.51062189999999996</v>
      </c>
      <c r="F8962" t="s">
        <v>63</v>
      </c>
      <c r="G8962">
        <v>-201.60120000000001</v>
      </c>
      <c r="H8962" s="1">
        <v>-4.9642169999999997E-6</v>
      </c>
      <c r="I8962">
        <v>-61.716859999999997</v>
      </c>
      <c r="J8962">
        <v>-221.286</v>
      </c>
      <c r="K8962">
        <v>1.1212409999999999</v>
      </c>
      <c r="L8962">
        <v>-62.539279999999998</v>
      </c>
      <c r="M8962">
        <v>0.99947759999999997</v>
      </c>
      <c r="N8962">
        <v>-1.4389610000000001E-2</v>
      </c>
      <c r="O8962">
        <v>2.8941930000000001E-2</v>
      </c>
      <c r="P8962">
        <v>0.99717270000000002</v>
      </c>
      <c r="Q8962">
        <v>-2.789724E-2</v>
      </c>
      <c r="R8962">
        <v>6.9774840000000005E-2</v>
      </c>
      <c r="S8962">
        <v>2.9950410000000001</v>
      </c>
      <c r="T8962">
        <v>-0.16969619999999999</v>
      </c>
      <c r="U8962">
        <v>0.1249084</v>
      </c>
      <c r="V8962">
        <v>-4.0890170000000003E-2</v>
      </c>
      <c r="W8962">
        <v>-1.350029E-2</v>
      </c>
      <c r="X8962">
        <v>0.99907239999999997</v>
      </c>
      <c r="Y8962">
        <v>-1.273182E-2</v>
      </c>
      <c r="Z8962">
        <v>-7.6923750000000004E-4</v>
      </c>
      <c r="AA8962">
        <v>0.99991859999999999</v>
      </c>
      <c r="AB8962">
        <v>21</v>
      </c>
      <c r="AC8962">
        <v>19.6847999999999</v>
      </c>
      <c r="AD8962">
        <v>-1.1212459642169901</v>
      </c>
      <c r="AE8962">
        <v>0.82242000000000803</v>
      </c>
      <c r="AF8962">
        <v>-0.25148585584041999</v>
      </c>
      <c r="AG8962">
        <v>-1.1212459642169901</v>
      </c>
      <c r="AH8962">
        <v>19.636757836618699</v>
      </c>
      <c r="AI8962">
        <v>93.2677354451951</v>
      </c>
      <c r="AJ8962">
        <v>90.733740802261195</v>
      </c>
      <c r="AK8962">
        <v>19.670350682739901</v>
      </c>
      <c r="AL8962">
        <v>90.773533166784503</v>
      </c>
      <c r="AM8962">
        <v>92.343701325095907</v>
      </c>
      <c r="AN8962">
        <v>0.99999996213723497</v>
      </c>
    </row>
    <row r="8963" spans="1:40" x14ac:dyDescent="0.25">
      <c r="A8963" t="str">
        <f>"20190303154016306"</f>
        <v>20190303154016306</v>
      </c>
      <c r="B8963" t="str">
        <f>"1551598816297183"</f>
        <v>1551598816297183</v>
      </c>
      <c r="C8963" t="s">
        <v>40</v>
      </c>
      <c r="D8963">
        <v>4.548521</v>
      </c>
      <c r="E8963">
        <v>0.51091469999999894</v>
      </c>
      <c r="F8963" t="s">
        <v>63</v>
      </c>
      <c r="G8963">
        <v>-202.05799999999999</v>
      </c>
      <c r="H8963" s="1">
        <v>-4.7332160000000003E-6</v>
      </c>
      <c r="I8963">
        <v>-61.747349999999997</v>
      </c>
      <c r="J8963">
        <v>-221.18690000000001</v>
      </c>
      <c r="K8963">
        <v>1.1212489999999999</v>
      </c>
      <c r="L8963">
        <v>-62.536589999999997</v>
      </c>
      <c r="M8963">
        <v>0.99948179999999998</v>
      </c>
      <c r="N8963">
        <v>-1.438709E-2</v>
      </c>
      <c r="O8963">
        <v>2.8799689999999999E-2</v>
      </c>
      <c r="P8963">
        <v>0.9971814</v>
      </c>
      <c r="Q8963">
        <v>-2.7627889999999999E-2</v>
      </c>
      <c r="R8963">
        <v>6.9760429999999998E-2</v>
      </c>
      <c r="S8963">
        <v>2.9949949999999999</v>
      </c>
      <c r="T8963">
        <v>-0.17464769999999999</v>
      </c>
      <c r="U8963">
        <v>0.12335210000000001</v>
      </c>
      <c r="V8963">
        <v>-4.101751E-2</v>
      </c>
      <c r="W8963">
        <v>-1.3233770000000001E-2</v>
      </c>
      <c r="X8963">
        <v>0.99907080000000004</v>
      </c>
      <c r="Y8963">
        <v>-1.2357389999999999E-2</v>
      </c>
      <c r="Z8963">
        <v>-8.1394399999999895E-4</v>
      </c>
      <c r="AA8963">
        <v>0.99992329999999996</v>
      </c>
      <c r="AB8963">
        <v>21</v>
      </c>
      <c r="AC8963">
        <v>19.128900000000002</v>
      </c>
      <c r="AD8963">
        <v>-1.121253733216</v>
      </c>
      <c r="AE8963">
        <v>0.78924000000000605</v>
      </c>
      <c r="AF8963">
        <v>-0.237135853580039</v>
      </c>
      <c r="AG8963">
        <v>-1.121253733216</v>
      </c>
      <c r="AH8963">
        <v>19.078258288899999</v>
      </c>
      <c r="AI8963">
        <v>93.363218330924497</v>
      </c>
      <c r="AJ8963">
        <v>90.7121291542704</v>
      </c>
      <c r="AK8963">
        <v>19.112649808053401</v>
      </c>
      <c r="AL8963">
        <v>90.758261289654399</v>
      </c>
      <c r="AM8963">
        <v>92.350995654023194</v>
      </c>
      <c r="AN8963">
        <v>1.0000000161038201</v>
      </c>
    </row>
    <row r="8964" spans="1:40" x14ac:dyDescent="0.25">
      <c r="A8964" t="str">
        <f>"20190303154016318"</f>
        <v>20190303154016318</v>
      </c>
      <c r="B8964" t="str">
        <f>"1551598816306942"</f>
        <v>1551598816306942</v>
      </c>
      <c r="C8964" t="s">
        <v>40</v>
      </c>
      <c r="D8964">
        <v>4.5317210000000001</v>
      </c>
      <c r="E8964">
        <v>0.51083429999999996</v>
      </c>
      <c r="F8964" t="s">
        <v>63</v>
      </c>
      <c r="G8964">
        <v>-202.17949999999999</v>
      </c>
      <c r="H8964" s="1">
        <v>-4.6725709999999998E-6</v>
      </c>
      <c r="I8964">
        <v>-61.769089999999998</v>
      </c>
      <c r="J8964">
        <v>-221.0838</v>
      </c>
      <c r="K8964">
        <v>1.121254</v>
      </c>
      <c r="L8964">
        <v>-62.53378</v>
      </c>
      <c r="M8964">
        <v>0.99948590000000004</v>
      </c>
      <c r="N8964">
        <v>-1.438452E-2</v>
      </c>
      <c r="O8964">
        <v>2.865444E-2</v>
      </c>
      <c r="P8964">
        <v>0.99718419999999997</v>
      </c>
      <c r="Q8964">
        <v>-2.7710140000000001E-2</v>
      </c>
      <c r="R8964">
        <v>6.9686390000000001E-2</v>
      </c>
      <c r="S8964">
        <v>2.9951319999999999</v>
      </c>
      <c r="T8964">
        <v>-0.17668449999999999</v>
      </c>
      <c r="U8964">
        <v>0.1209412</v>
      </c>
      <c r="V8964">
        <v>-4.1087970000000001E-2</v>
      </c>
      <c r="W8964">
        <v>-1.331916E-2</v>
      </c>
      <c r="X8964">
        <v>0.99906680000000003</v>
      </c>
      <c r="Y8964">
        <v>-1.169886E-2</v>
      </c>
      <c r="Z8964">
        <v>-8.4701190000000003E-4</v>
      </c>
      <c r="AA8964">
        <v>0.99993120000000002</v>
      </c>
      <c r="AB8964">
        <v>21</v>
      </c>
      <c r="AC8964">
        <v>18.904299999999999</v>
      </c>
      <c r="AD8964">
        <v>-1.1212586725710001</v>
      </c>
      <c r="AE8964">
        <v>0.76469000000000098</v>
      </c>
      <c r="AF8964">
        <v>-0.22184859152439501</v>
      </c>
      <c r="AG8964">
        <v>-1.1212586725710001</v>
      </c>
      <c r="AH8964">
        <v>18.852236885153101</v>
      </c>
      <c r="AI8964">
        <v>93.403488220068496</v>
      </c>
      <c r="AJ8964">
        <v>90.674211838708501</v>
      </c>
      <c r="AK8964">
        <v>18.886854512657798</v>
      </c>
      <c r="AL8964">
        <v>90.763154184553301</v>
      </c>
      <c r="AM8964">
        <v>92.355039076403003</v>
      </c>
      <c r="AN8964">
        <v>1.00000004608203</v>
      </c>
    </row>
    <row r="8965" spans="1:40" x14ac:dyDescent="0.25">
      <c r="A8965" t="str">
        <f>"20190303154016328"</f>
        <v>20190303154016328</v>
      </c>
      <c r="B8965" t="str">
        <f>"1551598816316702"</f>
        <v>1551598816316702</v>
      </c>
      <c r="C8965" t="s">
        <v>40</v>
      </c>
      <c r="D8965">
        <v>4.5491219999999997</v>
      </c>
      <c r="E8965">
        <v>0.51088370000000005</v>
      </c>
      <c r="F8965" t="s">
        <v>63</v>
      </c>
      <c r="G8965">
        <v>-202.3921</v>
      </c>
      <c r="H8965" s="1">
        <v>-4.5647179999999998E-6</v>
      </c>
      <c r="I8965">
        <v>-61.776710000000001</v>
      </c>
      <c r="J8965">
        <v>-220.98349999999999</v>
      </c>
      <c r="K8965">
        <v>1.1212610000000001</v>
      </c>
      <c r="L8965">
        <v>-62.531039999999997</v>
      </c>
      <c r="M8965">
        <v>0.99949010000000005</v>
      </c>
      <c r="N8965">
        <v>-1.438204E-2</v>
      </c>
      <c r="O8965">
        <v>2.8513299999999998E-2</v>
      </c>
      <c r="P8965">
        <v>0.99717460000000002</v>
      </c>
      <c r="Q8965">
        <v>-2.781144E-2</v>
      </c>
      <c r="R8965">
        <v>6.9782739999999996E-2</v>
      </c>
      <c r="S8965">
        <v>2.9950100000000002</v>
      </c>
      <c r="T8965">
        <v>-0.1796615</v>
      </c>
      <c r="U8965">
        <v>0.121307399999999</v>
      </c>
      <c r="V8965">
        <v>-4.132516E-2</v>
      </c>
      <c r="W8965">
        <v>-1.3423559999999999E-2</v>
      </c>
      <c r="X8965">
        <v>0.99905560000000004</v>
      </c>
      <c r="Y8965">
        <v>-1.196355E-2</v>
      </c>
      <c r="Z8965">
        <v>-8.534921E-4</v>
      </c>
      <c r="AA8965">
        <v>0.99992809999999999</v>
      </c>
      <c r="AB8965">
        <v>21</v>
      </c>
      <c r="AC8965">
        <v>18.5914</v>
      </c>
      <c r="AD8965">
        <v>-1.1212655647180001</v>
      </c>
      <c r="AE8965">
        <v>0.75433000000001005</v>
      </c>
      <c r="AF8965">
        <v>-0.22305630573649099</v>
      </c>
      <c r="AG8965">
        <v>-1.1212655647180001</v>
      </c>
      <c r="AH8965">
        <v>18.538030406791801</v>
      </c>
      <c r="AI8965">
        <v>93.461046222141803</v>
      </c>
      <c r="AJ8965">
        <v>90.689370333496697</v>
      </c>
      <c r="AK8965">
        <v>18.5732485566012</v>
      </c>
      <c r="AL8965">
        <v>90.769136413651395</v>
      </c>
      <c r="AM8965">
        <v>92.368645178703105</v>
      </c>
      <c r="AN8965">
        <v>1.0000000263517199</v>
      </c>
    </row>
    <row r="8966" spans="1:40" x14ac:dyDescent="0.25">
      <c r="A8966" t="str">
        <f>"20190303154016340"</f>
        <v>20190303154016340</v>
      </c>
      <c r="B8966" t="str">
        <f>"1551598816336520"</f>
        <v>1551598816336520</v>
      </c>
      <c r="C8966" t="s">
        <v>40</v>
      </c>
      <c r="D8966">
        <v>4.5331489999999999</v>
      </c>
      <c r="E8966">
        <v>0.51139799999999902</v>
      </c>
      <c r="F8966" t="s">
        <v>63</v>
      </c>
      <c r="G8966">
        <v>-202.43680000000001</v>
      </c>
      <c r="H8966" s="1">
        <v>-4.5421449999999999E-6</v>
      </c>
      <c r="I8966">
        <v>-61.780769999999997</v>
      </c>
      <c r="J8966">
        <v>-220.87989999999999</v>
      </c>
      <c r="K8966">
        <v>1.1212719999999901</v>
      </c>
      <c r="L8966">
        <v>-62.528260000000003</v>
      </c>
      <c r="M8966">
        <v>0.99949410000000005</v>
      </c>
      <c r="N8966">
        <v>-1.437947E-2</v>
      </c>
      <c r="O8966">
        <v>2.8371710000000001E-2</v>
      </c>
      <c r="P8966">
        <v>0.99715480000000001</v>
      </c>
      <c r="Q8966">
        <v>-2.8032680000000001E-2</v>
      </c>
      <c r="R8966">
        <v>6.9973949999999993E-2</v>
      </c>
      <c r="S8966">
        <v>2.9949650000000001</v>
      </c>
      <c r="T8966">
        <v>-0.18106510000000001</v>
      </c>
      <c r="U8966">
        <v>0.12115480000000001</v>
      </c>
      <c r="V8966">
        <v>-4.1658500000000001E-2</v>
      </c>
      <c r="W8966">
        <v>-1.364812E-2</v>
      </c>
      <c r="X8966">
        <v>0.99903869999999895</v>
      </c>
      <c r="Y8966">
        <v>-1.2054850000000001E-2</v>
      </c>
      <c r="Z8966">
        <v>-8.5420729999999897E-4</v>
      </c>
      <c r="AA8966">
        <v>0.99992700000000001</v>
      </c>
      <c r="AB8966">
        <v>21</v>
      </c>
      <c r="AC8966">
        <v>18.443099999999902</v>
      </c>
      <c r="AD8966">
        <v>-1.12127654214499</v>
      </c>
      <c r="AE8966">
        <v>0.74748999999999899</v>
      </c>
      <c r="AF8966">
        <v>-0.22304959824475401</v>
      </c>
      <c r="AG8966">
        <v>-1.12127654214499</v>
      </c>
      <c r="AH8966">
        <v>18.3890254207064</v>
      </c>
      <c r="AI8966">
        <v>93.489051826689206</v>
      </c>
      <c r="AJ8966">
        <v>90.6949348115633</v>
      </c>
      <c r="AK8966">
        <v>18.4245289798851</v>
      </c>
      <c r="AL8966">
        <v>90.782003942908503</v>
      </c>
      <c r="AM8966">
        <v>92.387769635679305</v>
      </c>
      <c r="AN8966">
        <v>1.00000001294973</v>
      </c>
    </row>
    <row r="8967" spans="1:40" x14ac:dyDescent="0.25">
      <c r="A8967" t="str">
        <f>"20190303154016352"</f>
        <v>20190303154016352</v>
      </c>
      <c r="B8967" t="str">
        <f>"1551598816347256"</f>
        <v>1551598816347256</v>
      </c>
      <c r="C8967" t="s">
        <v>40</v>
      </c>
      <c r="D8967">
        <v>4.529039</v>
      </c>
      <c r="E8967">
        <v>0.51131549999999903</v>
      </c>
      <c r="F8967" t="s">
        <v>63</v>
      </c>
      <c r="G8967">
        <v>-202.08690000000001</v>
      </c>
      <c r="H8967" s="1">
        <v>-4.7209650000000003E-6</v>
      </c>
      <c r="I8967">
        <v>-61.789940000000001</v>
      </c>
      <c r="J8967">
        <v>-220.77600000000001</v>
      </c>
      <c r="K8967">
        <v>1.121278</v>
      </c>
      <c r="L8967">
        <v>-62.525480000000002</v>
      </c>
      <c r="M8967">
        <v>0.99949809999999994</v>
      </c>
      <c r="N8967">
        <v>-1.437691E-2</v>
      </c>
      <c r="O8967">
        <v>2.8230580000000002E-2</v>
      </c>
      <c r="P8967">
        <v>0.99713249999999998</v>
      </c>
      <c r="Q8967">
        <v>-2.821951E-2</v>
      </c>
      <c r="R8967">
        <v>7.0217920000000003E-2</v>
      </c>
      <c r="S8967">
        <v>2.9952700000000001</v>
      </c>
      <c r="T8967">
        <v>-0.17871210000000001</v>
      </c>
      <c r="U8967">
        <v>0.1176758</v>
      </c>
      <c r="V8967">
        <v>-4.2043770000000001E-2</v>
      </c>
      <c r="W8967">
        <v>-1.383823E-2</v>
      </c>
      <c r="X8967">
        <v>0.99901989999999996</v>
      </c>
      <c r="Y8967">
        <v>-1.103407E-2</v>
      </c>
      <c r="Z8967">
        <v>-8.6807729999999997E-4</v>
      </c>
      <c r="AA8967">
        <v>0.99993869999999896</v>
      </c>
      <c r="AB8967">
        <v>21</v>
      </c>
      <c r="AC8967">
        <v>18.6890999999999</v>
      </c>
      <c r="AD8967">
        <v>-1.121282720965</v>
      </c>
      <c r="AE8967">
        <v>0.73553999999999997</v>
      </c>
      <c r="AF8967">
        <v>-0.206844737415873</v>
      </c>
      <c r="AG8967">
        <v>-1.121282720965</v>
      </c>
      <c r="AH8967">
        <v>18.635440285768102</v>
      </c>
      <c r="AI8967">
        <v>93.443088123086596</v>
      </c>
      <c r="AJ8967">
        <v>90.6359304437796</v>
      </c>
      <c r="AK8967">
        <v>18.6702890799837</v>
      </c>
      <c r="AL8967">
        <v>90.792897507954194</v>
      </c>
      <c r="AM8967">
        <v>92.409871809197696</v>
      </c>
      <c r="AN8967">
        <v>0.99999996790067702</v>
      </c>
    </row>
    <row r="8968" spans="1:40" x14ac:dyDescent="0.25">
      <c r="A8968" t="str">
        <f>"20190303154016362"</f>
        <v>20190303154016362</v>
      </c>
      <c r="B8968" t="str">
        <f>"1551598816357016"</f>
        <v>1551598816357016</v>
      </c>
      <c r="C8968" t="s">
        <v>40</v>
      </c>
      <c r="D8968">
        <v>4.5194470000000004</v>
      </c>
      <c r="E8968">
        <v>0.51123739999999995</v>
      </c>
      <c r="F8968" t="s">
        <v>63</v>
      </c>
      <c r="G8968">
        <v>-202.1352</v>
      </c>
      <c r="H8968" s="1">
        <v>-4.6960600000000004E-6</v>
      </c>
      <c r="I8968">
        <v>-61.784739999999999</v>
      </c>
      <c r="J8968">
        <v>-220.67310000000001</v>
      </c>
      <c r="K8968">
        <v>1.1212819999999999</v>
      </c>
      <c r="L8968">
        <v>-62.522739999999999</v>
      </c>
      <c r="M8968">
        <v>0.99950190000000005</v>
      </c>
      <c r="N8968">
        <v>-1.437445E-2</v>
      </c>
      <c r="O8968">
        <v>2.8094279999999999E-2</v>
      </c>
      <c r="P8968">
        <v>0.99710370000000004</v>
      </c>
      <c r="Q8968">
        <v>-2.8292479999999998E-2</v>
      </c>
      <c r="R8968">
        <v>7.0597859999999998E-2</v>
      </c>
      <c r="S8968">
        <v>2.9951319999999999</v>
      </c>
      <c r="T8968">
        <v>-0.18016370000000001</v>
      </c>
      <c r="U8968">
        <v>0.1190186</v>
      </c>
      <c r="V8968">
        <v>-4.2560590000000002E-2</v>
      </c>
      <c r="W8968">
        <v>-1.3914350000000001E-2</v>
      </c>
      <c r="X8968">
        <v>0.99899700000000002</v>
      </c>
      <c r="Y8968">
        <v>-1.161864E-2</v>
      </c>
      <c r="Z8968">
        <v>-8.5119239999999999E-4</v>
      </c>
      <c r="AA8968">
        <v>0.99993209999999999</v>
      </c>
      <c r="AB8968">
        <v>21</v>
      </c>
      <c r="AC8968">
        <v>18.5379</v>
      </c>
      <c r="AD8968">
        <v>-1.1212866960600001</v>
      </c>
      <c r="AE8968">
        <v>0.73799999999999899</v>
      </c>
      <c r="AF8968">
        <v>-0.21605664796937399</v>
      </c>
      <c r="AG8968">
        <v>-1.1212866960600001</v>
      </c>
      <c r="AH8968">
        <v>18.483799479625699</v>
      </c>
      <c r="AI8968">
        <v>93.471255396574904</v>
      </c>
      <c r="AJ8968">
        <v>90.669698366318997</v>
      </c>
      <c r="AK8968">
        <v>18.519039055331799</v>
      </c>
      <c r="AL8968">
        <v>90.797259249630898</v>
      </c>
      <c r="AM8968">
        <v>92.439515266067403</v>
      </c>
      <c r="AN8968">
        <v>1.0000000094830299</v>
      </c>
    </row>
    <row r="8969" spans="1:40" x14ac:dyDescent="0.25">
      <c r="A8969" t="str">
        <f>"20190303154016373"</f>
        <v>20190303154016373</v>
      </c>
      <c r="B8969" t="str">
        <f>"1551598816366776"</f>
        <v>1551598816366776</v>
      </c>
      <c r="C8969" t="s">
        <v>40</v>
      </c>
      <c r="D8969">
        <v>4.4758100000000001</v>
      </c>
      <c r="E8969">
        <v>0.51138249999999996</v>
      </c>
      <c r="F8969" t="s">
        <v>63</v>
      </c>
      <c r="G8969">
        <v>-202.26689999999999</v>
      </c>
      <c r="H8969" s="1">
        <v>-4.6287259999999997E-6</v>
      </c>
      <c r="I8969">
        <v>-61.780589999999997</v>
      </c>
      <c r="J8969">
        <v>-220.57390000000001</v>
      </c>
      <c r="K8969">
        <v>1.1212879999999901</v>
      </c>
      <c r="L8969">
        <v>-62.52008</v>
      </c>
      <c r="M8969">
        <v>0.99950559999999999</v>
      </c>
      <c r="N8969">
        <v>-1.437211E-2</v>
      </c>
      <c r="O8969">
        <v>2.796475E-2</v>
      </c>
      <c r="P8969">
        <v>0.99707179999999995</v>
      </c>
      <c r="Q8969">
        <v>-2.8395529999999999E-2</v>
      </c>
      <c r="R8969">
        <v>7.1005170000000006E-2</v>
      </c>
      <c r="S8969">
        <v>2.99498</v>
      </c>
      <c r="T8969">
        <v>-0.1824511</v>
      </c>
      <c r="U8969">
        <v>0.12075809999999999</v>
      </c>
      <c r="V8969">
        <v>-4.309785E-2</v>
      </c>
      <c r="W8969">
        <v>-1.4020390000000001E-2</v>
      </c>
      <c r="X8969">
        <v>0.99897250000000004</v>
      </c>
      <c r="Y8969">
        <v>-1.232871E-2</v>
      </c>
      <c r="Z8969">
        <v>-8.3556630000000004E-4</v>
      </c>
      <c r="AA8969">
        <v>0.99992360000000002</v>
      </c>
      <c r="AB8969">
        <v>21</v>
      </c>
      <c r="AC8969">
        <v>18.306999999999999</v>
      </c>
      <c r="AD8969">
        <v>-1.1212926287260001</v>
      </c>
      <c r="AE8969">
        <v>0.73949000000000298</v>
      </c>
      <c r="AF8969">
        <v>-0.22634941655757701</v>
      </c>
      <c r="AG8969">
        <v>-1.1212926287260001</v>
      </c>
      <c r="AH8969">
        <v>18.252159407000399</v>
      </c>
      <c r="AI8969">
        <v>93.515188162488997</v>
      </c>
      <c r="AJ8969">
        <v>90.710502314030293</v>
      </c>
      <c r="AK8969">
        <v>18.287970205470199</v>
      </c>
      <c r="AL8969">
        <v>90.803335473587495</v>
      </c>
      <c r="AM8969">
        <v>92.470332878384397</v>
      </c>
      <c r="AN8969">
        <v>1.0000000258833099</v>
      </c>
    </row>
    <row r="8970" spans="1:40" x14ac:dyDescent="0.25">
      <c r="A8970" t="str">
        <f>"20190303154016385"</f>
        <v>20190303154016385</v>
      </c>
      <c r="B8970" t="str">
        <f>"1551598816377512"</f>
        <v>1551598816377512</v>
      </c>
      <c r="C8970" t="s">
        <v>40</v>
      </c>
      <c r="D8970">
        <v>4.5224710000000004</v>
      </c>
      <c r="E8970">
        <v>0.51126229999999995</v>
      </c>
      <c r="F8970" t="s">
        <v>63</v>
      </c>
      <c r="G8970">
        <v>-202.02850000000001</v>
      </c>
      <c r="H8970" s="1">
        <v>-4.7496789999999997E-6</v>
      </c>
      <c r="I8970">
        <v>-61.77178</v>
      </c>
      <c r="J8970">
        <v>-220.46549999999999</v>
      </c>
      <c r="K8970">
        <v>1.121292</v>
      </c>
      <c r="L8970">
        <v>-62.517209999999999</v>
      </c>
      <c r="M8970">
        <v>0.9995096</v>
      </c>
      <c r="N8970">
        <v>-1.436959E-2</v>
      </c>
      <c r="O8970">
        <v>2.7825929999999999E-2</v>
      </c>
      <c r="P8970">
        <v>0.99705200000000005</v>
      </c>
      <c r="Q8970">
        <v>-2.8263509999999999E-2</v>
      </c>
      <c r="R8970">
        <v>7.1334640000000005E-2</v>
      </c>
      <c r="S8970">
        <v>2.9950559999999999</v>
      </c>
      <c r="T8970">
        <v>-0.1810879</v>
      </c>
      <c r="U8970">
        <v>0.1208496</v>
      </c>
      <c r="V8970">
        <v>-4.3566180000000003E-2</v>
      </c>
      <c r="W8970">
        <v>-1.389147E-2</v>
      </c>
      <c r="X8970">
        <v>0.99895389999999995</v>
      </c>
      <c r="Y8970">
        <v>-1.249635E-2</v>
      </c>
      <c r="Z8970">
        <v>-8.1307419999999996E-4</v>
      </c>
      <c r="AA8970">
        <v>0.99992159999999997</v>
      </c>
      <c r="AB8970">
        <v>20</v>
      </c>
      <c r="AC8970">
        <v>18.436999999999902</v>
      </c>
      <c r="AD8970">
        <v>-1.1212967496789901</v>
      </c>
      <c r="AE8970">
        <v>0.74542999999999104</v>
      </c>
      <c r="AF8970">
        <v>-0.23120790979130901</v>
      </c>
      <c r="AG8970">
        <v>-1.1212967496789901</v>
      </c>
      <c r="AH8970">
        <v>18.3827208409948</v>
      </c>
      <c r="AI8970">
        <v>93.490288963351205</v>
      </c>
      <c r="AJ8970">
        <v>90.7205972970077</v>
      </c>
      <c r="AK8970">
        <v>18.418338389125601</v>
      </c>
      <c r="AL8970">
        <v>90.795948251080105</v>
      </c>
      <c r="AM8970">
        <v>92.497189801887401</v>
      </c>
      <c r="AN8970">
        <v>0.99999993965187906</v>
      </c>
    </row>
    <row r="8971" spans="1:40" x14ac:dyDescent="0.25">
      <c r="A8971" t="str">
        <f>"20190303154016397"</f>
        <v>20190303154016397</v>
      </c>
      <c r="B8971" t="str">
        <f>"1551598816387272"</f>
        <v>1551598816387272</v>
      </c>
      <c r="C8971" t="s">
        <v>40</v>
      </c>
      <c r="D8971">
        <v>4.495323</v>
      </c>
      <c r="E8971">
        <v>0.51148260000000001</v>
      </c>
      <c r="F8971" t="s">
        <v>63</v>
      </c>
      <c r="G8971">
        <v>-202.0883</v>
      </c>
      <c r="H8971" s="1">
        <v>-4.718731E-6</v>
      </c>
      <c r="I8971">
        <v>-61.763489999999997</v>
      </c>
      <c r="J8971">
        <v>-220.3656</v>
      </c>
      <c r="K8971">
        <v>1.1212959999999901</v>
      </c>
      <c r="L8971">
        <v>-62.514589999999998</v>
      </c>
      <c r="M8971">
        <v>0.99951310000000004</v>
      </c>
      <c r="N8971">
        <v>-1.436723E-2</v>
      </c>
      <c r="O8971">
        <v>2.7700389999999998E-2</v>
      </c>
      <c r="P8971">
        <v>0.9970407</v>
      </c>
      <c r="Q8971">
        <v>-2.8320359999999999E-2</v>
      </c>
      <c r="R8971">
        <v>7.1469980000000002E-2</v>
      </c>
      <c r="S8971">
        <v>2.994904</v>
      </c>
      <c r="T8971">
        <v>-0.18273600000000001</v>
      </c>
      <c r="U8971">
        <v>0.12283330000000001</v>
      </c>
      <c r="V8971">
        <v>-4.3827640000000001E-2</v>
      </c>
      <c r="W8971">
        <v>-1.395119E-2</v>
      </c>
      <c r="X8971">
        <v>0.99894170000000004</v>
      </c>
      <c r="Y8971">
        <v>-1.32835E-2</v>
      </c>
      <c r="Z8971">
        <v>-7.8955210000000004E-4</v>
      </c>
      <c r="AA8971">
        <v>0.99991149999999995</v>
      </c>
      <c r="AB8971">
        <v>20</v>
      </c>
      <c r="AC8971">
        <v>18.2773</v>
      </c>
      <c r="AD8971">
        <v>-1.12130071873099</v>
      </c>
      <c r="AE8971">
        <v>0.75110000000000099</v>
      </c>
      <c r="AF8971">
        <v>-0.24355602664572201</v>
      </c>
      <c r="AG8971">
        <v>-1.12130071873099</v>
      </c>
      <c r="AH8971">
        <v>18.2226232577144</v>
      </c>
      <c r="AI8971">
        <v>93.520853148648996</v>
      </c>
      <c r="AJ8971">
        <v>90.765746036722206</v>
      </c>
      <c r="AK8971">
        <v>18.258713898644</v>
      </c>
      <c r="AL8971">
        <v>90.799370231526595</v>
      </c>
      <c r="AM8971">
        <v>92.512188046039299</v>
      </c>
      <c r="AN8971">
        <v>1.0000000088646299</v>
      </c>
    </row>
    <row r="8972" spans="1:40" x14ac:dyDescent="0.25">
      <c r="A8972" t="str">
        <f>"20190303154016407"</f>
        <v>20190303154016407</v>
      </c>
      <c r="B8972" t="str">
        <f>"1551598816397032"</f>
        <v>1551598816397032</v>
      </c>
      <c r="C8972" t="s">
        <v>40</v>
      </c>
      <c r="D8972">
        <v>4.4612569999999998</v>
      </c>
      <c r="E8972">
        <v>0.51159900000000003</v>
      </c>
      <c r="F8972" t="s">
        <v>63</v>
      </c>
      <c r="G8972">
        <v>-201.85890000000001</v>
      </c>
      <c r="H8972" s="1">
        <v>-4.8356459999999999E-6</v>
      </c>
      <c r="I8972">
        <v>-61.76388</v>
      </c>
      <c r="J8972">
        <v>-220.26519999999999</v>
      </c>
      <c r="K8972">
        <v>1.1212959999999901</v>
      </c>
      <c r="L8972">
        <v>-62.511960000000002</v>
      </c>
      <c r="M8972">
        <v>0.99951670000000004</v>
      </c>
      <c r="N8972">
        <v>-1.436485E-2</v>
      </c>
      <c r="O8972">
        <v>2.7575430000000001E-2</v>
      </c>
      <c r="P8972">
        <v>0.9970291</v>
      </c>
      <c r="Q8972">
        <v>-2.810058E-2</v>
      </c>
      <c r="R8972">
        <v>7.1720930000000002E-2</v>
      </c>
      <c r="S8972">
        <v>2.9950260000000002</v>
      </c>
      <c r="T8972">
        <v>-0.1814653</v>
      </c>
      <c r="U8972">
        <v>0.1214905</v>
      </c>
      <c r="V8972">
        <v>-4.420313E-2</v>
      </c>
      <c r="W8972">
        <v>-1.37342E-2</v>
      </c>
      <c r="X8972">
        <v>0.99892809999999999</v>
      </c>
      <c r="Y8972">
        <v>-1.2959729999999999E-2</v>
      </c>
      <c r="Z8972">
        <v>-7.8704909999999999E-4</v>
      </c>
      <c r="AA8972">
        <v>0.99991569999999996</v>
      </c>
      <c r="AB8972">
        <v>20</v>
      </c>
      <c r="AC8972">
        <v>18.406299999999899</v>
      </c>
      <c r="AD8972">
        <v>-1.1213008356459999</v>
      </c>
      <c r="AE8972">
        <v>0.74807999999998698</v>
      </c>
      <c r="AF8972">
        <v>-0.23929495049039201</v>
      </c>
      <c r="AG8972">
        <v>-1.1213008356459999</v>
      </c>
      <c r="AH8972">
        <v>18.3519349584674</v>
      </c>
      <c r="AI8972">
        <v>93.4961215950986</v>
      </c>
      <c r="AJ8972">
        <v>90.747050041389699</v>
      </c>
      <c r="AK8972">
        <v>18.387715854808299</v>
      </c>
      <c r="AL8972">
        <v>90.786936477792594</v>
      </c>
      <c r="AM8972">
        <v>92.533717548717107</v>
      </c>
      <c r="AN8972">
        <v>0.99999994696052197</v>
      </c>
    </row>
    <row r="8973" spans="1:40" x14ac:dyDescent="0.25">
      <c r="A8973" t="str">
        <f>"20190303154016418"</f>
        <v>20190303154016418</v>
      </c>
      <c r="B8973" t="str">
        <f>"1551598816406792"</f>
        <v>1551598816406792</v>
      </c>
      <c r="C8973" t="s">
        <v>40</v>
      </c>
      <c r="D8973">
        <v>4.4856179999999997</v>
      </c>
      <c r="E8973">
        <v>0.51179870000000005</v>
      </c>
      <c r="F8973" t="s">
        <v>63</v>
      </c>
      <c r="G8973">
        <v>-201.51609999999999</v>
      </c>
      <c r="H8973" s="1">
        <v>-5.0096530000000003E-6</v>
      </c>
      <c r="I8973">
        <v>-61.752409999999998</v>
      </c>
      <c r="J8973">
        <v>-220.1678</v>
      </c>
      <c r="K8973">
        <v>1.121299</v>
      </c>
      <c r="L8973">
        <v>-62.509399999999999</v>
      </c>
      <c r="M8973">
        <v>0.99951979999999996</v>
      </c>
      <c r="N8973">
        <v>-1.436256E-2</v>
      </c>
      <c r="O8973">
        <v>2.7456000000000001E-2</v>
      </c>
      <c r="P8973">
        <v>0.99703589999999997</v>
      </c>
      <c r="Q8973">
        <v>-2.7878170000000001E-2</v>
      </c>
      <c r="R8973">
        <v>7.1710189999999993E-2</v>
      </c>
      <c r="S8973">
        <v>2.9951629999999998</v>
      </c>
      <c r="T8973">
        <v>-0.17912719999999999</v>
      </c>
      <c r="U8973">
        <v>0.121337899999999</v>
      </c>
      <c r="V8973">
        <v>-4.4311389999999999E-2</v>
      </c>
      <c r="W8973">
        <v>-1.3514379999999999E-2</v>
      </c>
      <c r="X8973">
        <v>0.99892630000000004</v>
      </c>
      <c r="Y8973">
        <v>-1.302591E-2</v>
      </c>
      <c r="Z8973">
        <v>-7.6278589999999996E-4</v>
      </c>
      <c r="AA8973">
        <v>0.99991490000000005</v>
      </c>
      <c r="AB8973">
        <v>20</v>
      </c>
      <c r="AC8973">
        <v>18.651700000000002</v>
      </c>
      <c r="AD8973">
        <v>-1.121304009653</v>
      </c>
      <c r="AE8973">
        <v>0.75699000000000105</v>
      </c>
      <c r="AF8973">
        <v>-0.24367142508114101</v>
      </c>
      <c r="AG8973">
        <v>-1.121304009653</v>
      </c>
      <c r="AH8973">
        <v>18.598345910198599</v>
      </c>
      <c r="AI8973">
        <v>93.449920756925295</v>
      </c>
      <c r="AJ8973">
        <v>90.750633714544193</v>
      </c>
      <c r="AK8973">
        <v>18.633710554821501</v>
      </c>
      <c r="AL8973">
        <v>90.774340551048894</v>
      </c>
      <c r="AM8973">
        <v>92.539919451717395</v>
      </c>
      <c r="AN8973">
        <v>0.99999994529110103</v>
      </c>
    </row>
    <row r="8974" spans="1:40" x14ac:dyDescent="0.25">
      <c r="A8974" t="str">
        <f>"20190303154016431"</f>
        <v>20190303154016431</v>
      </c>
      <c r="B8974" t="str">
        <f>"1551598816427288"</f>
        <v>1551598816427288</v>
      </c>
      <c r="C8974" t="s">
        <v>40</v>
      </c>
      <c r="D8974">
        <v>4.5537020000000004</v>
      </c>
      <c r="E8974">
        <v>0.51189209999999996</v>
      </c>
      <c r="F8974" t="s">
        <v>63</v>
      </c>
      <c r="G8974">
        <v>-201.1705</v>
      </c>
      <c r="H8974" s="1">
        <v>-5.1855970000000001E-6</v>
      </c>
      <c r="I8974">
        <v>-61.750109999999999</v>
      </c>
      <c r="J8974">
        <v>-220.05690000000001</v>
      </c>
      <c r="K8974">
        <v>1.121302</v>
      </c>
      <c r="L8974">
        <v>-62.506500000000003</v>
      </c>
      <c r="M8974">
        <v>0.99952370000000001</v>
      </c>
      <c r="N8974">
        <v>-1.435996E-2</v>
      </c>
      <c r="O8974">
        <v>2.7320250000000001E-2</v>
      </c>
      <c r="P8974">
        <v>0.99704029999999999</v>
      </c>
      <c r="Q8974">
        <v>-2.7814990000000001E-2</v>
      </c>
      <c r="R8974">
        <v>7.1676470000000006E-2</v>
      </c>
      <c r="S8974">
        <v>2.9953609999999999</v>
      </c>
      <c r="T8974">
        <v>-0.17680000000000001</v>
      </c>
      <c r="U8974">
        <v>0.11972049999999999</v>
      </c>
      <c r="V8974">
        <v>-4.4412880000000002E-2</v>
      </c>
      <c r="W8974">
        <v>-1.345415E-2</v>
      </c>
      <c r="X8974">
        <v>0.99892259999999999</v>
      </c>
      <c r="Y8974">
        <v>-1.262044E-2</v>
      </c>
      <c r="Z8974">
        <v>-7.5539999999999895E-4</v>
      </c>
      <c r="AA8974">
        <v>0.99992009999999998</v>
      </c>
      <c r="AB8974">
        <v>20</v>
      </c>
      <c r="AC8974">
        <v>18.886399999999998</v>
      </c>
      <c r="AD8974">
        <v>-1.121307185597</v>
      </c>
      <c r="AE8974">
        <v>0.756390000000003</v>
      </c>
      <c r="AF8974">
        <v>-0.23923136384080501</v>
      </c>
      <c r="AG8974">
        <v>-1.121307185597</v>
      </c>
      <c r="AH8974">
        <v>18.8337344209177</v>
      </c>
      <c r="AI8974">
        <v>93.406932169462095</v>
      </c>
      <c r="AJ8974">
        <v>90.727747882841001</v>
      </c>
      <c r="AK8974">
        <v>18.868601264735499</v>
      </c>
      <c r="AL8974">
        <v>90.770889316805096</v>
      </c>
      <c r="AM8974">
        <v>92.545738609392401</v>
      </c>
      <c r="AN8974">
        <v>0.99999993942643595</v>
      </c>
    </row>
    <row r="8975" spans="1:40" x14ac:dyDescent="0.25">
      <c r="A8975" t="str">
        <f>"20190303154016441"</f>
        <v>20190303154016441</v>
      </c>
      <c r="B8975" t="str">
        <f>"1551598816436579"</f>
        <v>1551598816436579</v>
      </c>
      <c r="C8975" t="s">
        <v>40</v>
      </c>
      <c r="D8975">
        <v>4.4919820000000001</v>
      </c>
      <c r="E8975">
        <v>0.51209229999999994</v>
      </c>
      <c r="F8975" t="s">
        <v>63</v>
      </c>
      <c r="G8975">
        <v>-201.03219999999999</v>
      </c>
      <c r="H8975" s="1">
        <v>-5.2561789999999998E-6</v>
      </c>
      <c r="I8975">
        <v>-61.751550000000002</v>
      </c>
      <c r="J8975">
        <v>-219.95939999999999</v>
      </c>
      <c r="K8975">
        <v>1.121302</v>
      </c>
      <c r="L8975">
        <v>-62.503999999999998</v>
      </c>
      <c r="M8975">
        <v>0.99952700000000005</v>
      </c>
      <c r="N8975">
        <v>-1.435763E-2</v>
      </c>
      <c r="O8975">
        <v>2.7201940000000001E-2</v>
      </c>
      <c r="P8975">
        <v>0.99700979999999995</v>
      </c>
      <c r="Q8975">
        <v>-2.8174620000000001E-2</v>
      </c>
      <c r="R8975">
        <v>7.1957099999999996E-2</v>
      </c>
      <c r="S8975">
        <v>2.995422</v>
      </c>
      <c r="T8975">
        <v>-0.17654819999999999</v>
      </c>
      <c r="U8975">
        <v>0.118866</v>
      </c>
      <c r="V8975">
        <v>-4.4812289999999998E-2</v>
      </c>
      <c r="W8975">
        <v>-1.381658E-2</v>
      </c>
      <c r="X8975">
        <v>0.99889989999999995</v>
      </c>
      <c r="Y8975">
        <v>-1.245341E-2</v>
      </c>
      <c r="Z8975">
        <v>-7.5455409999999998E-4</v>
      </c>
      <c r="AA8975">
        <v>0.99992219999999998</v>
      </c>
      <c r="AB8975">
        <v>20</v>
      </c>
      <c r="AC8975">
        <v>18.927199999999999</v>
      </c>
      <c r="AD8975">
        <v>-1.1213072561790001</v>
      </c>
      <c r="AE8975">
        <v>0.75244999999999596</v>
      </c>
      <c r="AF8975">
        <v>-0.23643343805993799</v>
      </c>
      <c r="AG8975">
        <v>-1.1213072561790001</v>
      </c>
      <c r="AH8975">
        <v>18.874524537580101</v>
      </c>
      <c r="AI8975">
        <v>93.399594395364403</v>
      </c>
      <c r="AJ8975">
        <v>90.717683225202094</v>
      </c>
      <c r="AK8975">
        <v>18.909280981917501</v>
      </c>
      <c r="AL8975">
        <v>90.791656890701802</v>
      </c>
      <c r="AM8975">
        <v>92.568660488836599</v>
      </c>
      <c r="AN8975">
        <v>1.00000002471897</v>
      </c>
    </row>
    <row r="8976" spans="1:40" x14ac:dyDescent="0.25">
      <c r="A8976" t="str">
        <f>"20190303154016453"</f>
        <v>20190303154016453</v>
      </c>
      <c r="B8976" t="str">
        <f>"1551598816447316"</f>
        <v>1551598816447316</v>
      </c>
      <c r="C8976" t="s">
        <v>40</v>
      </c>
      <c r="D8976">
        <v>4.4871129999999999</v>
      </c>
      <c r="E8976">
        <v>0.51218889999999995</v>
      </c>
      <c r="F8976" t="s">
        <v>63</v>
      </c>
      <c r="G8976">
        <v>-200.9237</v>
      </c>
      <c r="H8976" s="1">
        <v>-5.3115769999999997E-6</v>
      </c>
      <c r="I8976">
        <v>-61.7536699999999</v>
      </c>
      <c r="J8976">
        <v>-219.85390000000001</v>
      </c>
      <c r="K8976">
        <v>1.1213040000000001</v>
      </c>
      <c r="L8976">
        <v>-62.501280000000001</v>
      </c>
      <c r="M8976">
        <v>0.99953029999999998</v>
      </c>
      <c r="N8976">
        <v>-1.4355100000000001E-2</v>
      </c>
      <c r="O8976">
        <v>2.7074150000000002E-2</v>
      </c>
      <c r="P8976">
        <v>0.99701050000000002</v>
      </c>
      <c r="Q8976">
        <v>-2.8500359999999999E-2</v>
      </c>
      <c r="R8976">
        <v>7.18163E-2</v>
      </c>
      <c r="S8976">
        <v>2.9954679999999998</v>
      </c>
      <c r="T8976">
        <v>-0.1764493</v>
      </c>
      <c r="U8976">
        <v>0.1180725</v>
      </c>
      <c r="V8976">
        <v>-4.4799220000000001E-2</v>
      </c>
      <c r="W8976">
        <v>-1.414519E-2</v>
      </c>
      <c r="X8976">
        <v>0.99889589999999995</v>
      </c>
      <c r="Y8976">
        <v>-1.231635E-2</v>
      </c>
      <c r="Z8976">
        <v>-7.5327309999999998E-4</v>
      </c>
      <c r="AA8976">
        <v>0.99992389999999998</v>
      </c>
      <c r="AB8976">
        <v>20</v>
      </c>
      <c r="AC8976">
        <v>18.930199999999999</v>
      </c>
      <c r="AD8976">
        <v>-1.1213093115770001</v>
      </c>
      <c r="AE8976">
        <v>0.74761000000000799</v>
      </c>
      <c r="AF8976">
        <v>-0.23394442350425601</v>
      </c>
      <c r="AG8976">
        <v>-1.1213093115770001</v>
      </c>
      <c r="AH8976">
        <v>18.8773712736985</v>
      </c>
      <c r="AI8976">
        <v>93.3990947995418</v>
      </c>
      <c r="AJ8976">
        <v>90.710021632104898</v>
      </c>
      <c r="AK8976">
        <v>18.912091655091299</v>
      </c>
      <c r="AL8976">
        <v>90.810486686219903</v>
      </c>
      <c r="AM8976">
        <v>92.567922582826299</v>
      </c>
      <c r="AN8976">
        <v>1.00000003777477</v>
      </c>
    </row>
    <row r="8977" spans="1:40" x14ac:dyDescent="0.25">
      <c r="A8977" t="str">
        <f>"20190303154016463"</f>
        <v>20190303154016463</v>
      </c>
      <c r="B8977" t="str">
        <f>"1551598816457075"</f>
        <v>1551598816457075</v>
      </c>
      <c r="C8977" t="s">
        <v>40</v>
      </c>
      <c r="D8977">
        <v>4.4757740000000004</v>
      </c>
      <c r="E8977">
        <v>0.51224939999999997</v>
      </c>
      <c r="F8977" t="s">
        <v>63</v>
      </c>
      <c r="G8977">
        <v>-200.86580000000001</v>
      </c>
      <c r="H8977" s="1">
        <v>-5.3414419999999899E-6</v>
      </c>
      <c r="I8977">
        <v>-61.760379999999998</v>
      </c>
      <c r="J8977">
        <v>-219.74979999999999</v>
      </c>
      <c r="K8977">
        <v>1.1213059999999999</v>
      </c>
      <c r="L8977">
        <v>-62.498629999999999</v>
      </c>
      <c r="M8977">
        <v>0.99953380000000003</v>
      </c>
      <c r="N8977">
        <v>-1.43526E-2</v>
      </c>
      <c r="O8977">
        <v>2.6947789999999999E-2</v>
      </c>
      <c r="P8977">
        <v>0.99700409999999995</v>
      </c>
      <c r="Q8977">
        <v>-2.8829090000000002E-2</v>
      </c>
      <c r="R8977">
        <v>7.1775599999999995E-2</v>
      </c>
      <c r="S8977">
        <v>2.995514</v>
      </c>
      <c r="T8977">
        <v>-0.17689479999999999</v>
      </c>
      <c r="U8977">
        <v>0.11688229999999999</v>
      </c>
      <c r="V8977">
        <v>-4.4885220000000003E-2</v>
      </c>
      <c r="W8977">
        <v>-1.447671E-2</v>
      </c>
      <c r="X8977">
        <v>0.99888719999999998</v>
      </c>
      <c r="Y8977">
        <v>-1.2045999999999999E-2</v>
      </c>
      <c r="Z8977">
        <v>-7.6072819999999997E-4</v>
      </c>
      <c r="AA8977">
        <v>0.99992720000000002</v>
      </c>
      <c r="AB8977">
        <v>20</v>
      </c>
      <c r="AC8977">
        <v>18.883999999999901</v>
      </c>
      <c r="AD8977">
        <v>-1.121311341442</v>
      </c>
      <c r="AE8977">
        <v>0.73824999999999996</v>
      </c>
      <c r="AF8977">
        <v>-0.22824382791974601</v>
      </c>
      <c r="AG8977">
        <v>-1.121311341442</v>
      </c>
      <c r="AH8977">
        <v>18.8307438196228</v>
      </c>
      <c r="AI8977">
        <v>93.407509095245899</v>
      </c>
      <c r="AJ8977">
        <v>90.694437129164001</v>
      </c>
      <c r="AK8977">
        <v>18.8654803058308</v>
      </c>
      <c r="AL8977">
        <v>90.8294834020937</v>
      </c>
      <c r="AM8977">
        <v>92.572867923728893</v>
      </c>
      <c r="AN8977">
        <v>0.99999994821535398</v>
      </c>
    </row>
    <row r="8978" spans="1:40" x14ac:dyDescent="0.25">
      <c r="A8978" t="str">
        <f>"20190303154016475"</f>
        <v>20190303154016475</v>
      </c>
      <c r="B8978" t="str">
        <f>"1551598816466836"</f>
        <v>1551598816466836</v>
      </c>
      <c r="C8978" t="s">
        <v>40</v>
      </c>
      <c r="D8978">
        <v>4.5034780000000003</v>
      </c>
      <c r="E8978">
        <v>0.51217669999999904</v>
      </c>
      <c r="F8978" t="s">
        <v>63</v>
      </c>
      <c r="G8978">
        <v>-200.56030000000001</v>
      </c>
      <c r="H8978" s="1">
        <v>-5.4966869999999997E-6</v>
      </c>
      <c r="I8978">
        <v>-61.753210000000003</v>
      </c>
      <c r="J8978">
        <v>-219.65199999999999</v>
      </c>
      <c r="K8978">
        <v>1.1213169999999999</v>
      </c>
      <c r="L8978">
        <v>-62.496119999999998</v>
      </c>
      <c r="M8978">
        <v>0.99953709999999996</v>
      </c>
      <c r="N8978">
        <v>-1.435025E-2</v>
      </c>
      <c r="O8978">
        <v>2.6828620000000001E-2</v>
      </c>
      <c r="P8978">
        <v>0.99701580000000001</v>
      </c>
      <c r="Q8978">
        <v>-2.8708549999999999E-2</v>
      </c>
      <c r="R8978">
        <v>7.1662500000000004E-2</v>
      </c>
      <c r="S8978">
        <v>2.9955750000000001</v>
      </c>
      <c r="T8978">
        <v>-0.17504220000000001</v>
      </c>
      <c r="U8978">
        <v>0.11636349999999999</v>
      </c>
      <c r="V8978">
        <v>-4.4891010000000002E-2</v>
      </c>
      <c r="W8978">
        <v>-1.4358630000000001E-2</v>
      </c>
      <c r="X8978">
        <v>0.99888869999999996</v>
      </c>
      <c r="Y8978">
        <v>-1.199126E-2</v>
      </c>
      <c r="Z8978">
        <v>-7.4463000000000003E-4</v>
      </c>
      <c r="AA8978">
        <v>0.99992780000000003</v>
      </c>
      <c r="AB8978">
        <v>20</v>
      </c>
      <c r="AC8978">
        <v>19.091699999999999</v>
      </c>
      <c r="AD8978">
        <v>-1.1213224966869999</v>
      </c>
      <c r="AE8978">
        <v>0.74291000000000196</v>
      </c>
      <c r="AF8978">
        <v>-0.229595032412443</v>
      </c>
      <c r="AG8978">
        <v>-1.1213224966869999</v>
      </c>
      <c r="AH8978">
        <v>19.039181054156899</v>
      </c>
      <c r="AI8978">
        <v>93.370326778969201</v>
      </c>
      <c r="AJ8978">
        <v>90.690900974575001</v>
      </c>
      <c r="AK8978">
        <v>19.073554813758602</v>
      </c>
      <c r="AL8978">
        <v>90.822717166909499</v>
      </c>
      <c r="AM8978">
        <v>92.573195507639994</v>
      </c>
      <c r="AN8978">
        <v>1.00000000401099</v>
      </c>
    </row>
    <row r="8979" spans="1:40" x14ac:dyDescent="0.25">
      <c r="A8979" t="str">
        <f>"20190303154016485"</f>
        <v>20190303154016485</v>
      </c>
      <c r="B8979" t="str">
        <f>"1551598816476595"</f>
        <v>1551598816476595</v>
      </c>
      <c r="C8979" t="s">
        <v>40</v>
      </c>
      <c r="D8979">
        <v>4.4591379999999896</v>
      </c>
      <c r="E8979">
        <v>0.51230959999999903</v>
      </c>
      <c r="F8979" t="s">
        <v>63</v>
      </c>
      <c r="G8979">
        <v>-200.64940000000001</v>
      </c>
      <c r="H8979" s="1">
        <v>-5.4515009999999996E-6</v>
      </c>
      <c r="I8979">
        <v>-61.756399999999999</v>
      </c>
      <c r="J8979">
        <v>-219.55420000000001</v>
      </c>
      <c r="K8979">
        <v>1.121319</v>
      </c>
      <c r="L8979">
        <v>-62.4936199999999</v>
      </c>
      <c r="M8979">
        <v>0.99954030000000005</v>
      </c>
      <c r="N8979">
        <v>-1.434791E-2</v>
      </c>
      <c r="O8979">
        <v>2.6709759999999999E-2</v>
      </c>
      <c r="P8979">
        <v>0.99703529999999996</v>
      </c>
      <c r="Q8979">
        <v>-2.8754760000000001E-2</v>
      </c>
      <c r="R8979">
        <v>7.1372859999999996E-2</v>
      </c>
      <c r="S8979">
        <v>2.9954990000000001</v>
      </c>
      <c r="T8979">
        <v>-0.176761</v>
      </c>
      <c r="U8979">
        <v>0.11660769999999999</v>
      </c>
      <c r="V8979">
        <v>-4.4719509999999997E-2</v>
      </c>
      <c r="W8979">
        <v>-1.440726E-2</v>
      </c>
      <c r="X8979">
        <v>0.99889570000000005</v>
      </c>
      <c r="Y8979">
        <v>-1.219222E-2</v>
      </c>
      <c r="Z8979">
        <v>-7.4399289999999897E-4</v>
      </c>
      <c r="AA8979">
        <v>0.99992539999999996</v>
      </c>
      <c r="AB8979">
        <v>20</v>
      </c>
      <c r="AC8979">
        <v>18.904799999999899</v>
      </c>
      <c r="AD8979">
        <v>-1.1213244515009999</v>
      </c>
      <c r="AE8979">
        <v>0.73721999999999299</v>
      </c>
      <c r="AF8979">
        <v>-0.231150302426814</v>
      </c>
      <c r="AG8979">
        <v>-1.1213244515009999</v>
      </c>
      <c r="AH8979">
        <v>18.851524550255402</v>
      </c>
      <c r="AI8979">
        <v>93.403795582026802</v>
      </c>
      <c r="AJ8979">
        <v>90.702504089588203</v>
      </c>
      <c r="AK8979">
        <v>18.886258942859101</v>
      </c>
      <c r="AL8979">
        <v>90.825503742637494</v>
      </c>
      <c r="AM8979">
        <v>92.563360162351103</v>
      </c>
      <c r="AN8979">
        <v>1.0000000115969101</v>
      </c>
    </row>
    <row r="8980" spans="1:40" x14ac:dyDescent="0.25">
      <c r="A8980" t="str">
        <f>"20190303154016497"</f>
        <v>20190303154016497</v>
      </c>
      <c r="B8980" t="str">
        <f>"1551598816487332"</f>
        <v>1551598816487332</v>
      </c>
      <c r="C8980" t="s">
        <v>40</v>
      </c>
      <c r="D8980">
        <v>4.4564380000000003</v>
      </c>
      <c r="E8980">
        <v>0.51235509999999995</v>
      </c>
      <c r="F8980" t="s">
        <v>63</v>
      </c>
      <c r="G8980">
        <v>-200.49789999999999</v>
      </c>
      <c r="H8980" s="1">
        <v>-5.5290729999999996E-6</v>
      </c>
      <c r="I8980">
        <v>-61.763100000000001</v>
      </c>
      <c r="J8980">
        <v>-219.45509999999999</v>
      </c>
      <c r="K8980">
        <v>1.1213219999999999</v>
      </c>
      <c r="L8980">
        <v>-62.491120000000002</v>
      </c>
      <c r="M8980">
        <v>0.99954350000000003</v>
      </c>
      <c r="N8980">
        <v>-1.434553E-2</v>
      </c>
      <c r="O8980">
        <v>2.658868E-2</v>
      </c>
      <c r="P8980">
        <v>0.99706419999999996</v>
      </c>
      <c r="Q8980">
        <v>-2.8781230000000001E-2</v>
      </c>
      <c r="R8980">
        <v>7.0956110000000003E-2</v>
      </c>
      <c r="S8980">
        <v>2.9956049999999999</v>
      </c>
      <c r="T8980">
        <v>-0.17627010000000001</v>
      </c>
      <c r="U8980">
        <v>0.1148376</v>
      </c>
      <c r="V8980">
        <v>-4.4423219999999999E-2</v>
      </c>
      <c r="W8980">
        <v>-1.443614E-2</v>
      </c>
      <c r="X8980">
        <v>0.99890849999999998</v>
      </c>
      <c r="Y8980">
        <v>-1.172284E-2</v>
      </c>
      <c r="Z8980">
        <v>-7.5246250000000003E-4</v>
      </c>
      <c r="AA8980">
        <v>0.99993100000000001</v>
      </c>
      <c r="AB8980">
        <v>20</v>
      </c>
      <c r="AC8980">
        <v>18.9572</v>
      </c>
      <c r="AD8980">
        <v>-1.121327529073</v>
      </c>
      <c r="AE8980">
        <v>0.72801999999999301</v>
      </c>
      <c r="AF8980">
        <v>-0.222885076975849</v>
      </c>
      <c r="AG8980">
        <v>-1.121327529073</v>
      </c>
      <c r="AH8980">
        <v>18.903812674442101</v>
      </c>
      <c r="AI8980">
        <v>93.394431175315901</v>
      </c>
      <c r="AJ8980">
        <v>90.675513598051495</v>
      </c>
      <c r="AK8980">
        <v>18.9383522729775</v>
      </c>
      <c r="AL8980">
        <v>90.827158619815904</v>
      </c>
      <c r="AM8980">
        <v>92.546366411585893</v>
      </c>
      <c r="AN8980">
        <v>1.00000000799275</v>
      </c>
    </row>
    <row r="8981" spans="1:40" x14ac:dyDescent="0.25">
      <c r="A8981" t="str">
        <f>"20190303154016507"</f>
        <v>20190303154016507</v>
      </c>
      <c r="B8981" t="str">
        <f>"1551598816497092"</f>
        <v>1551598816497092</v>
      </c>
      <c r="C8981" t="s">
        <v>40</v>
      </c>
      <c r="D8981">
        <v>4.6646919999999996</v>
      </c>
      <c r="E8981">
        <v>0.51248739999999904</v>
      </c>
      <c r="F8981" t="s">
        <v>63</v>
      </c>
      <c r="G8981">
        <v>-200.13650000000001</v>
      </c>
      <c r="H8981" s="1">
        <v>-5.7130920000000002E-6</v>
      </c>
      <c r="I8981">
        <v>-61.761009999999999</v>
      </c>
      <c r="J8981">
        <v>-219.35599999999999</v>
      </c>
      <c r="K8981">
        <v>1.121327</v>
      </c>
      <c r="L8981">
        <v>-62.488619999999997</v>
      </c>
      <c r="M8981">
        <v>0.99954679999999996</v>
      </c>
      <c r="N8981">
        <v>-1.4343150000000001E-2</v>
      </c>
      <c r="O8981">
        <v>2.6467480000000002E-2</v>
      </c>
      <c r="P8981">
        <v>0.9970966</v>
      </c>
      <c r="Q8981">
        <v>-2.848442E-2</v>
      </c>
      <c r="R8981">
        <v>7.061858E-2</v>
      </c>
      <c r="S8981">
        <v>2.9957579999999999</v>
      </c>
      <c r="T8981">
        <v>-0.17388589999999901</v>
      </c>
      <c r="U8981">
        <v>0.11322019999999999</v>
      </c>
      <c r="V8981">
        <v>-4.420574E-2</v>
      </c>
      <c r="W8981">
        <v>-1.414165E-2</v>
      </c>
      <c r="X8981">
        <v>0.99892230000000004</v>
      </c>
      <c r="Y8981">
        <v>-1.1303489999999999E-2</v>
      </c>
      <c r="Z8981">
        <v>-7.4592449999999998E-4</v>
      </c>
      <c r="AA8981">
        <v>0.99993580000000004</v>
      </c>
      <c r="AB8981">
        <v>20</v>
      </c>
      <c r="AC8981">
        <v>19.219499999999901</v>
      </c>
      <c r="AD8981">
        <v>-1.1213327130920001</v>
      </c>
      <c r="AE8981">
        <v>0.72760999999999798</v>
      </c>
      <c r="AF8981">
        <v>-0.21787043550593399</v>
      </c>
      <c r="AG8981">
        <v>-1.1213327130920001</v>
      </c>
      <c r="AH8981">
        <v>19.166875566555099</v>
      </c>
      <c r="AI8981">
        <v>93.347981573096405</v>
      </c>
      <c r="AJ8981">
        <v>90.651254754117105</v>
      </c>
      <c r="AK8981">
        <v>19.2008847078442</v>
      </c>
      <c r="AL8981">
        <v>90.8102839119706</v>
      </c>
      <c r="AM8981">
        <v>92.533881651697499</v>
      </c>
      <c r="AN8981">
        <v>0.99999994757547805</v>
      </c>
    </row>
    <row r="8982" spans="1:40" x14ac:dyDescent="0.25">
      <c r="A8982" t="str">
        <f>"20190303154016519"</f>
        <v>20190303154016519</v>
      </c>
      <c r="B8982" t="str">
        <f>"1551598816506852"</f>
        <v>1551598816506852</v>
      </c>
      <c r="C8982" t="s">
        <v>40</v>
      </c>
      <c r="D8982">
        <v>4.474831</v>
      </c>
      <c r="E8982">
        <v>0.51259549999999998</v>
      </c>
      <c r="F8982" t="s">
        <v>63</v>
      </c>
      <c r="G8982">
        <v>-199.68129999999999</v>
      </c>
      <c r="H8982" s="1">
        <v>-5.9166329999999997E-6</v>
      </c>
      <c r="I8982">
        <v>-61.758719999999997</v>
      </c>
      <c r="J8982">
        <v>-219.25479999999999</v>
      </c>
      <c r="K8982">
        <v>1.121329</v>
      </c>
      <c r="L8982">
        <v>-62.486080000000001</v>
      </c>
      <c r="M8982">
        <v>0.9995501</v>
      </c>
      <c r="N8982">
        <v>-1.43407E-2</v>
      </c>
      <c r="O8982">
        <v>2.6343120000000001E-2</v>
      </c>
      <c r="P8982">
        <v>0.99710489999999996</v>
      </c>
      <c r="Q8982">
        <v>-2.848651E-2</v>
      </c>
      <c r="R8982">
        <v>7.0501090000000002E-2</v>
      </c>
      <c r="S8982">
        <v>2.995987</v>
      </c>
      <c r="T8982">
        <v>-0.1707524</v>
      </c>
      <c r="U8982">
        <v>0.11114499999999999</v>
      </c>
      <c r="V8982">
        <v>-4.4212399999999999E-2</v>
      </c>
      <c r="W8982">
        <v>-1.4146229999999999E-2</v>
      </c>
      <c r="X8982">
        <v>0.99892199999999998</v>
      </c>
      <c r="Y8982">
        <v>-1.0733990000000001E-2</v>
      </c>
      <c r="Z8982">
        <v>-7.3922159999999996E-4</v>
      </c>
      <c r="AA8982">
        <v>0.99994209999999994</v>
      </c>
      <c r="AB8982">
        <v>20</v>
      </c>
      <c r="AC8982">
        <v>19.573499999999999</v>
      </c>
      <c r="AD8982">
        <v>-1.121334916633</v>
      </c>
      <c r="AE8982">
        <v>0.727360000000004</v>
      </c>
      <c r="AF8982">
        <v>-0.21073676469324301</v>
      </c>
      <c r="AG8982">
        <v>-1.121334916633</v>
      </c>
      <c r="AH8982">
        <v>19.521886950566302</v>
      </c>
      <c r="AI8982">
        <v>93.287259510027695</v>
      </c>
      <c r="AJ8982">
        <v>90.618478032486493</v>
      </c>
      <c r="AK8982">
        <v>19.555200640493101</v>
      </c>
      <c r="AL8982">
        <v>90.810546304647502</v>
      </c>
      <c r="AM8982">
        <v>92.534263666630196</v>
      </c>
      <c r="AN8982">
        <v>1.00000000711048</v>
      </c>
    </row>
    <row r="8983" spans="1:40" x14ac:dyDescent="0.25">
      <c r="A8983" t="str">
        <f>"20190303154016530"</f>
        <v>20190303154016530</v>
      </c>
      <c r="B8983" t="str">
        <f>"1551598816527348"</f>
        <v>1551598816527348</v>
      </c>
      <c r="C8983" t="s">
        <v>40</v>
      </c>
      <c r="D8983">
        <v>4.5026419999999998</v>
      </c>
      <c r="E8983">
        <v>0.51270830000000001</v>
      </c>
      <c r="F8983" t="s">
        <v>63</v>
      </c>
      <c r="G8983">
        <v>-199.3459</v>
      </c>
      <c r="H8983" s="1">
        <v>-6.053094E-6</v>
      </c>
      <c r="I8983">
        <v>-61.756050000000002</v>
      </c>
      <c r="J8983">
        <v>-219.15539999999999</v>
      </c>
      <c r="K8983">
        <v>1.1213299999999999</v>
      </c>
      <c r="L8983">
        <v>-62.483580000000003</v>
      </c>
      <c r="M8983">
        <v>0.99955340000000004</v>
      </c>
      <c r="N8983">
        <v>-1.4338299999999899E-2</v>
      </c>
      <c r="O8983">
        <v>2.6220719999999999E-2</v>
      </c>
      <c r="P8983">
        <v>0.9971236</v>
      </c>
      <c r="Q8983">
        <v>-2.838392E-2</v>
      </c>
      <c r="R8983">
        <v>7.0277870000000006E-2</v>
      </c>
      <c r="S8983">
        <v>2.9960939999999998</v>
      </c>
      <c r="T8983">
        <v>-0.16874990000000001</v>
      </c>
      <c r="U8983">
        <v>0.1098633</v>
      </c>
      <c r="V8983">
        <v>-4.4110999999999997E-2</v>
      </c>
      <c r="W8983">
        <v>-1.4046009999999999E-2</v>
      </c>
      <c r="X8983">
        <v>0.99892789999999998</v>
      </c>
      <c r="Y8983">
        <v>-1.0428140000000001E-2</v>
      </c>
      <c r="Z8983">
        <v>-7.3095379999999995E-4</v>
      </c>
      <c r="AA8983">
        <v>0.99994530000000004</v>
      </c>
      <c r="AB8983">
        <v>20</v>
      </c>
      <c r="AC8983">
        <v>19.8094999999999</v>
      </c>
      <c r="AD8983">
        <v>-1.121336053094</v>
      </c>
      <c r="AE8983">
        <v>0.72753000000000101</v>
      </c>
      <c r="AF8983">
        <v>-0.20714423783813701</v>
      </c>
      <c r="AG8983">
        <v>-1.121336053094</v>
      </c>
      <c r="AH8983">
        <v>19.758540222377501</v>
      </c>
      <c r="AI8983">
        <v>93.247985947241006</v>
      </c>
      <c r="AJ8983">
        <v>90.600654484235804</v>
      </c>
      <c r="AK8983">
        <v>19.7914177106782</v>
      </c>
      <c r="AL8983">
        <v>90.804803548718098</v>
      </c>
      <c r="AM8983">
        <v>92.528444035469306</v>
      </c>
      <c r="AN8983">
        <v>1.0000000100581601</v>
      </c>
    </row>
    <row r="8984" spans="1:40" x14ac:dyDescent="0.25">
      <c r="A8984" t="str">
        <f>"20190303154016541"</f>
        <v>20190303154016541</v>
      </c>
      <c r="B8984" t="str">
        <f>"1551598816537615"</f>
        <v>1551598816537615</v>
      </c>
      <c r="C8984" t="s">
        <v>40</v>
      </c>
      <c r="D8984">
        <v>4.5101610000000001</v>
      </c>
      <c r="E8984">
        <v>0.51262929999999995</v>
      </c>
      <c r="F8984" t="s">
        <v>63</v>
      </c>
      <c r="G8984">
        <v>-199.08860000000001</v>
      </c>
      <c r="H8984" s="1">
        <v>-6.1580390000000002E-6</v>
      </c>
      <c r="I8984">
        <v>-61.758220000000001</v>
      </c>
      <c r="J8984">
        <v>-219.05160000000001</v>
      </c>
      <c r="K8984">
        <v>1.1213299999999999</v>
      </c>
      <c r="L8984">
        <v>-62.481020000000001</v>
      </c>
      <c r="M8984">
        <v>0.99955669999999996</v>
      </c>
      <c r="N8984">
        <v>-1.4335779999999999E-2</v>
      </c>
      <c r="O8984">
        <v>2.6091280000000001E-2</v>
      </c>
      <c r="P8984">
        <v>0.99712650000000003</v>
      </c>
      <c r="Q8984">
        <v>-2.8595039999999999E-2</v>
      </c>
      <c r="R8984">
        <v>7.0148269999999999E-2</v>
      </c>
      <c r="S8984">
        <v>2.9962770000000001</v>
      </c>
      <c r="T8984">
        <v>-0.1674321</v>
      </c>
      <c r="U8984">
        <v>0.1083069</v>
      </c>
      <c r="V8984">
        <v>-4.4110870000000003E-2</v>
      </c>
      <c r="W8984">
        <v>-1.425968E-2</v>
      </c>
      <c r="X8984">
        <v>0.9989249</v>
      </c>
      <c r="Y8984">
        <v>-1.003712E-2</v>
      </c>
      <c r="Z8984">
        <v>-7.3010969999999997E-4</v>
      </c>
      <c r="AA8984">
        <v>0.99994930000000004</v>
      </c>
      <c r="AB8984">
        <v>20</v>
      </c>
      <c r="AC8984">
        <v>19.962999999999901</v>
      </c>
      <c r="AD8984">
        <v>-1.121336158039</v>
      </c>
      <c r="AE8984">
        <v>0.722799999999999</v>
      </c>
      <c r="AF8984">
        <v>-0.201006718618957</v>
      </c>
      <c r="AG8984">
        <v>-1.121336158039</v>
      </c>
      <c r="AH8984">
        <v>19.9123191031095</v>
      </c>
      <c r="AI8984">
        <v>93.222968660758895</v>
      </c>
      <c r="AJ8984">
        <v>90.578357819770702</v>
      </c>
      <c r="AK8984">
        <v>19.944880309099801</v>
      </c>
      <c r="AL8984">
        <v>90.817047146516799</v>
      </c>
      <c r="AM8984">
        <v>92.528444177154199</v>
      </c>
      <c r="AN8984">
        <v>1.00000003158293</v>
      </c>
    </row>
    <row r="8985" spans="1:40" x14ac:dyDescent="0.25">
      <c r="A8985" t="str">
        <f>"20190303154016553"</f>
        <v>20190303154016553</v>
      </c>
      <c r="B8985" t="str">
        <f>"1551598816547376"</f>
        <v>1551598816547376</v>
      </c>
      <c r="C8985" t="s">
        <v>40</v>
      </c>
      <c r="D8985">
        <v>4.8681769999999904</v>
      </c>
      <c r="E8985">
        <v>0.51260130000000004</v>
      </c>
      <c r="F8985" t="s">
        <v>63</v>
      </c>
      <c r="G8985">
        <v>-198.91550000000001</v>
      </c>
      <c r="H8985" s="1">
        <v>-6.2281450000000003E-6</v>
      </c>
      <c r="I8985">
        <v>-61.751710000000003</v>
      </c>
      <c r="J8985">
        <v>-218.9494</v>
      </c>
      <c r="K8985">
        <v>1.1213280000000001</v>
      </c>
      <c r="L8985">
        <v>-62.478490000000001</v>
      </c>
      <c r="M8985">
        <v>0.99956020000000001</v>
      </c>
      <c r="N8985">
        <v>-1.433331E-2</v>
      </c>
      <c r="O8985">
        <v>2.5962840000000001E-2</v>
      </c>
      <c r="P8985">
        <v>0.99714360000000002</v>
      </c>
      <c r="Q8985">
        <v>-2.8823959999999999E-2</v>
      </c>
      <c r="R8985">
        <v>6.9815479999999999E-2</v>
      </c>
      <c r="S8985">
        <v>2.9962309999999999</v>
      </c>
      <c r="T8985">
        <v>-0.166854</v>
      </c>
      <c r="U8985">
        <v>0.10852050000000001</v>
      </c>
      <c r="V8985">
        <v>-4.3905909999999999E-2</v>
      </c>
      <c r="W8985">
        <v>-1.449102E-2</v>
      </c>
      <c r="X8985">
        <v>0.9989306</v>
      </c>
      <c r="Y8985">
        <v>-1.0236779999999999E-2</v>
      </c>
      <c r="Z8985">
        <v>-7.1386140000000002E-4</v>
      </c>
      <c r="AA8985">
        <v>0.99994740000000004</v>
      </c>
      <c r="AB8985">
        <v>20</v>
      </c>
      <c r="AC8985">
        <v>20.0338999999999</v>
      </c>
      <c r="AD8985">
        <v>-1.1213342281450001</v>
      </c>
      <c r="AE8985">
        <v>0.72678000000000498</v>
      </c>
      <c r="AF8985">
        <v>-0.205701025310181</v>
      </c>
      <c r="AG8985">
        <v>-1.1213342281450001</v>
      </c>
      <c r="AH8985">
        <v>19.983493629105599</v>
      </c>
      <c r="AI8985">
        <v>93.211501579553101</v>
      </c>
      <c r="AJ8985">
        <v>90.589755954283305</v>
      </c>
      <c r="AK8985">
        <v>20.015986635375398</v>
      </c>
      <c r="AL8985">
        <v>90.830303321926806</v>
      </c>
      <c r="AM8985">
        <v>92.516696626320595</v>
      </c>
      <c r="AN8985">
        <v>1.0000000311049599</v>
      </c>
    </row>
    <row r="8986" spans="1:40" x14ac:dyDescent="0.25">
      <c r="A8986" t="str">
        <f>"20190303154016564"</f>
        <v>20190303154016564</v>
      </c>
      <c r="B8986" t="str">
        <f>"1551598816557136"</f>
        <v>1551598816557136</v>
      </c>
      <c r="C8986" t="s">
        <v>40</v>
      </c>
      <c r="D8986">
        <v>4.5084949999999999</v>
      </c>
      <c r="E8986">
        <v>0.51254979999999895</v>
      </c>
      <c r="F8986" t="s">
        <v>63</v>
      </c>
      <c r="G8986">
        <v>-198.79150000000001</v>
      </c>
      <c r="H8986" s="1">
        <v>-6.2787450000000003E-6</v>
      </c>
      <c r="I8986">
        <v>-61.753309999999999</v>
      </c>
      <c r="J8986">
        <v>-218.8451</v>
      </c>
      <c r="K8986">
        <v>1.121324</v>
      </c>
      <c r="L8986">
        <v>-62.475920000000002</v>
      </c>
      <c r="M8986">
        <v>0.9995638</v>
      </c>
      <c r="N8986">
        <v>-1.433077E-2</v>
      </c>
      <c r="O8986">
        <v>2.5829749999999999E-2</v>
      </c>
      <c r="P8986">
        <v>0.99716760000000004</v>
      </c>
      <c r="Q8986">
        <v>-2.8944999999999999E-2</v>
      </c>
      <c r="R8986">
        <v>6.9424330000000006E-2</v>
      </c>
      <c r="S8986">
        <v>2.9962309999999999</v>
      </c>
      <c r="T8986">
        <v>-0.16667279999999901</v>
      </c>
      <c r="U8986">
        <v>0.1077881</v>
      </c>
      <c r="V8986">
        <v>-4.3647650000000003E-2</v>
      </c>
      <c r="W8986">
        <v>-1.4614429999999999E-2</v>
      </c>
      <c r="X8986">
        <v>0.9989401</v>
      </c>
      <c r="Y8986">
        <v>-1.01259E-2</v>
      </c>
      <c r="Z8986">
        <v>-7.1107919999999995E-4</v>
      </c>
      <c r="AA8986">
        <v>0.99994850000000002</v>
      </c>
      <c r="AB8986">
        <v>20</v>
      </c>
      <c r="AC8986">
        <v>20.0535999999999</v>
      </c>
      <c r="AD8986">
        <v>-1.1213302787449999</v>
      </c>
      <c r="AE8986">
        <v>0.72260999999999598</v>
      </c>
      <c r="AF8986">
        <v>-0.203700194011184</v>
      </c>
      <c r="AG8986">
        <v>-1.1213302787449999</v>
      </c>
      <c r="AH8986">
        <v>20.003112541085901</v>
      </c>
      <c r="AI8986">
        <v>93.208350677888802</v>
      </c>
      <c r="AJ8986">
        <v>90.583447099169405</v>
      </c>
      <c r="AK8986">
        <v>20.035553066846401</v>
      </c>
      <c r="AL8986">
        <v>90.837374959430704</v>
      </c>
      <c r="AM8986">
        <v>92.501888208267104</v>
      </c>
      <c r="AN8986">
        <v>1.00000001115137</v>
      </c>
    </row>
    <row r="8987" spans="1:40" x14ac:dyDescent="0.25">
      <c r="A8987" t="str">
        <f>"20190303154016574"</f>
        <v>20190303154016574</v>
      </c>
      <c r="B8987" t="str">
        <f>"1551598816566896"</f>
        <v>1551598816566896</v>
      </c>
      <c r="C8987" t="s">
        <v>40</v>
      </c>
      <c r="D8987">
        <v>4.4930820000000002</v>
      </c>
      <c r="E8987">
        <v>0.51250680000000004</v>
      </c>
      <c r="F8987" t="s">
        <v>63</v>
      </c>
      <c r="G8987">
        <v>-198.6208</v>
      </c>
      <c r="H8987" s="1">
        <v>-6.3482840000000003E-6</v>
      </c>
      <c r="I8987">
        <v>-61.753520000000002</v>
      </c>
      <c r="J8987">
        <v>-218.7518</v>
      </c>
      <c r="K8987">
        <v>1.121318</v>
      </c>
      <c r="L8987">
        <v>-62.473660000000002</v>
      </c>
      <c r="M8987">
        <v>0.99956679999999998</v>
      </c>
      <c r="N8987">
        <v>-1.4328479999999999E-2</v>
      </c>
      <c r="O8987">
        <v>2.5709470000000002E-2</v>
      </c>
      <c r="P8987">
        <v>0.99718640000000003</v>
      </c>
      <c r="Q8987">
        <v>-2.925092E-2</v>
      </c>
      <c r="R8987">
        <v>6.9018650000000001E-2</v>
      </c>
      <c r="S8987">
        <v>2.9962620000000002</v>
      </c>
      <c r="T8987">
        <v>-0.16612729999999901</v>
      </c>
      <c r="U8987">
        <v>0.1070251</v>
      </c>
      <c r="V8987">
        <v>-4.3361650000000002E-2</v>
      </c>
      <c r="W8987">
        <v>-1.492251E-2</v>
      </c>
      <c r="X8987">
        <v>0.99894799999999995</v>
      </c>
      <c r="Y8987">
        <v>-9.9916510000000007E-3</v>
      </c>
      <c r="Z8987">
        <v>-7.0711709999999998E-4</v>
      </c>
      <c r="AA8987">
        <v>0.9999498</v>
      </c>
      <c r="AB8987">
        <v>20</v>
      </c>
      <c r="AC8987">
        <v>20.131</v>
      </c>
      <c r="AD8987">
        <v>-1.1213243482840001</v>
      </c>
      <c r="AE8987">
        <v>0.72014</v>
      </c>
      <c r="AF8987">
        <v>-0.20166655488999599</v>
      </c>
      <c r="AG8987">
        <v>-1.1213243482840001</v>
      </c>
      <c r="AH8987">
        <v>20.0806373669671</v>
      </c>
      <c r="AI8987">
        <v>93.195977670023396</v>
      </c>
      <c r="AJ8987">
        <v>90.575392793313995</v>
      </c>
      <c r="AK8987">
        <v>20.1129320278534</v>
      </c>
      <c r="AL8987">
        <v>90.855028569040698</v>
      </c>
      <c r="AM8987">
        <v>92.485495651346497</v>
      </c>
      <c r="AN8987">
        <v>1.00000001034971</v>
      </c>
    </row>
    <row r="8988" spans="1:40" x14ac:dyDescent="0.25">
      <c r="A8988" t="str">
        <f>"20190303154016586"</f>
        <v>20190303154016586</v>
      </c>
      <c r="B8988" t="str">
        <f>"1551598816576656"</f>
        <v>1551598816576656</v>
      </c>
      <c r="C8988" t="s">
        <v>40</v>
      </c>
      <c r="D8988">
        <v>4.4923590000000004</v>
      </c>
      <c r="E8988">
        <v>0.51246480000000005</v>
      </c>
      <c r="F8988" t="s">
        <v>63</v>
      </c>
      <c r="G8988">
        <v>-198.77279999999999</v>
      </c>
      <c r="H8988" s="1">
        <v>-6.2870979999999999E-6</v>
      </c>
      <c r="I8988">
        <v>-61.766109999999998</v>
      </c>
      <c r="J8988">
        <v>-218.64930000000001</v>
      </c>
      <c r="K8988">
        <v>1.121316</v>
      </c>
      <c r="L8988">
        <v>-62.471159999999998</v>
      </c>
      <c r="M8988">
        <v>0.99957039999999997</v>
      </c>
      <c r="N8988">
        <v>-1.4325940000000001E-2</v>
      </c>
      <c r="O8988">
        <v>2.5575279999999999E-2</v>
      </c>
      <c r="P8988">
        <v>0.99717659999999997</v>
      </c>
      <c r="Q8988">
        <v>-2.9692880000000001E-2</v>
      </c>
      <c r="R8988">
        <v>6.8973129999999994E-2</v>
      </c>
      <c r="S8988">
        <v>2.9961850000000001</v>
      </c>
      <c r="T8988">
        <v>-0.16816130000000001</v>
      </c>
      <c r="U8988">
        <v>0.1061096</v>
      </c>
      <c r="V8988">
        <v>-4.3450910000000002E-2</v>
      </c>
      <c r="W8988">
        <v>-1.5366930000000001E-2</v>
      </c>
      <c r="X8988">
        <v>0.99893739999999998</v>
      </c>
      <c r="Y8988">
        <v>-9.8221530000000001E-3</v>
      </c>
      <c r="Z8988">
        <v>-7.2162530000000004E-4</v>
      </c>
      <c r="AA8988">
        <v>0.99995149999999999</v>
      </c>
      <c r="AB8988">
        <v>20</v>
      </c>
      <c r="AC8988">
        <v>19.8765</v>
      </c>
      <c r="AD8988">
        <v>-1.121322287098</v>
      </c>
      <c r="AE8988">
        <v>0.70504999999999995</v>
      </c>
      <c r="AF8988">
        <v>-0.19579782221772901</v>
      </c>
      <c r="AG8988">
        <v>-1.121322287098</v>
      </c>
      <c r="AH8988">
        <v>19.825015080757399</v>
      </c>
      <c r="AI8988">
        <v>93.237098709475902</v>
      </c>
      <c r="AJ8988">
        <v>90.565851984192605</v>
      </c>
      <c r="AK8988">
        <v>19.857666615465799</v>
      </c>
      <c r="AL8988">
        <v>90.880494865669107</v>
      </c>
      <c r="AM8988">
        <v>92.490632005682201</v>
      </c>
      <c r="AN8988">
        <v>1.0000000266180999</v>
      </c>
    </row>
    <row r="8989" spans="1:40" x14ac:dyDescent="0.25">
      <c r="A8989" t="str">
        <f>"20190303154016597"</f>
        <v>20190303154016597</v>
      </c>
      <c r="B8989" t="str">
        <f>"1551598816587391"</f>
        <v>1551598816587391</v>
      </c>
      <c r="C8989" t="s">
        <v>40</v>
      </c>
      <c r="D8989">
        <v>4.4603960000000002</v>
      </c>
      <c r="E8989">
        <v>0.51245030000000003</v>
      </c>
      <c r="F8989" t="s">
        <v>63</v>
      </c>
      <c r="G8989">
        <v>-198.7627</v>
      </c>
      <c r="H8989" s="1">
        <v>-6.291214E-6</v>
      </c>
      <c r="I8989">
        <v>-61.76585</v>
      </c>
      <c r="J8989">
        <v>-218.55369999999999</v>
      </c>
      <c r="K8989">
        <v>1.1213120000000001</v>
      </c>
      <c r="L8989">
        <v>-62.46884</v>
      </c>
      <c r="M8989">
        <v>0.99957359999999995</v>
      </c>
      <c r="N8989">
        <v>-1.4323560000000001E-2</v>
      </c>
      <c r="O8989">
        <v>2.544795E-2</v>
      </c>
      <c r="P8989">
        <v>0.99717579999999995</v>
      </c>
      <c r="Q8989">
        <v>-2.957721E-2</v>
      </c>
      <c r="R8989">
        <v>6.9033869999999997E-2</v>
      </c>
      <c r="S8989">
        <v>2.9961090000000001</v>
      </c>
      <c r="T8989">
        <v>-0.168938</v>
      </c>
      <c r="U8989">
        <v>0.1062622</v>
      </c>
      <c r="V8989">
        <v>-4.3638660000000003E-2</v>
      </c>
      <c r="W8989">
        <v>-1.525341E-2</v>
      </c>
      <c r="X8989">
        <v>0.99893089999999995</v>
      </c>
      <c r="Y8989">
        <v>-1.000095E-2</v>
      </c>
      <c r="Z8989">
        <v>-7.1540699999999896E-4</v>
      </c>
      <c r="AA8989">
        <v>0.9999498</v>
      </c>
      <c r="AB8989">
        <v>20</v>
      </c>
      <c r="AC8989">
        <v>19.791</v>
      </c>
      <c r="AD8989">
        <v>-1.1213182912140001</v>
      </c>
      <c r="AE8989">
        <v>0.702989999999999</v>
      </c>
      <c r="AF8989">
        <v>-0.198434078287302</v>
      </c>
      <c r="AG8989">
        <v>-1.1213182912140001</v>
      </c>
      <c r="AH8989">
        <v>19.7391953355508</v>
      </c>
      <c r="AI8989">
        <v>93.251125194502904</v>
      </c>
      <c r="AJ8989">
        <v>90.575963307217506</v>
      </c>
      <c r="AK8989">
        <v>19.772014649212299</v>
      </c>
      <c r="AL8989">
        <v>90.873989935069005</v>
      </c>
      <c r="AM8989">
        <v>92.501396563045901</v>
      </c>
      <c r="AN8989">
        <v>0.99999997106901595</v>
      </c>
    </row>
    <row r="8990" spans="1:40" x14ac:dyDescent="0.25">
      <c r="A8990" t="str">
        <f>"20190303154016608"</f>
        <v>20190303154016608</v>
      </c>
      <c r="B8990" t="str">
        <f>"1551598816597152"</f>
        <v>1551598816597152</v>
      </c>
      <c r="C8990" t="s">
        <v>40</v>
      </c>
      <c r="D8990">
        <v>4.5021329999999997</v>
      </c>
      <c r="E8990">
        <v>0.51245249999999998</v>
      </c>
      <c r="F8990" t="s">
        <v>63</v>
      </c>
      <c r="G8990">
        <v>-198.52119999999999</v>
      </c>
      <c r="H8990" s="1">
        <v>-6.3890329999999996E-6</v>
      </c>
      <c r="I8990">
        <v>-61.756740000000001</v>
      </c>
      <c r="J8990">
        <v>-218.4495</v>
      </c>
      <c r="K8990">
        <v>1.1213059999999999</v>
      </c>
      <c r="L8990">
        <v>-62.466369999999998</v>
      </c>
      <c r="M8990">
        <v>0.99957720000000005</v>
      </c>
      <c r="N8990">
        <v>-1.4320970000000001E-2</v>
      </c>
      <c r="O8990">
        <v>2.5308520000000001E-2</v>
      </c>
      <c r="P8990">
        <v>0.99716059999999995</v>
      </c>
      <c r="Q8990">
        <v>-2.9227349999999999E-2</v>
      </c>
      <c r="R8990">
        <v>6.9401820000000003E-2</v>
      </c>
      <c r="S8990">
        <v>2.9961549999999999</v>
      </c>
      <c r="T8990">
        <v>-0.1677101</v>
      </c>
      <c r="U8990">
        <v>0.1065063</v>
      </c>
      <c r="V8990">
        <v>-4.4146650000000003E-2</v>
      </c>
      <c r="W8990">
        <v>-1.490586E-2</v>
      </c>
      <c r="X8990">
        <v>0.99891379999999996</v>
      </c>
      <c r="Y8990">
        <v>-1.022054E-2</v>
      </c>
      <c r="Z8990">
        <v>-6.9359759999999999E-4</v>
      </c>
      <c r="AA8990">
        <v>0.99994749999999999</v>
      </c>
      <c r="AB8990">
        <v>20</v>
      </c>
      <c r="AC8990">
        <v>19.9283</v>
      </c>
      <c r="AD8990">
        <v>-1.1213123890329999</v>
      </c>
      <c r="AE8990">
        <v>0.70962999999999699</v>
      </c>
      <c r="AF8990">
        <v>-0.20434903970871601</v>
      </c>
      <c r="AG8990">
        <v>-1.1213123890329999</v>
      </c>
      <c r="AH8990">
        <v>19.877025713573602</v>
      </c>
      <c r="AI8990">
        <v>93.228604825527398</v>
      </c>
      <c r="AJ8990">
        <v>90.589017955951604</v>
      </c>
      <c r="AK8990">
        <v>19.909677325911002</v>
      </c>
      <c r="AL8990">
        <v>90.854074543511899</v>
      </c>
      <c r="AM8990">
        <v>92.530520511726294</v>
      </c>
      <c r="AN8990">
        <v>0.99999994559949901</v>
      </c>
    </row>
    <row r="8991" spans="1:40" x14ac:dyDescent="0.25">
      <c r="A8991" t="str">
        <f>"20190303154016620"</f>
        <v>20190303154016620</v>
      </c>
      <c r="B8991" t="str">
        <f>"1551598816606912"</f>
        <v>1551598816606912</v>
      </c>
      <c r="C8991" t="s">
        <v>40</v>
      </c>
      <c r="D8991">
        <v>4.5020879999999996</v>
      </c>
      <c r="E8991">
        <v>0.51240980000000003</v>
      </c>
      <c r="F8991" t="s">
        <v>63</v>
      </c>
      <c r="G8991">
        <v>-198.19399999999999</v>
      </c>
      <c r="H8991" s="1">
        <v>-6.5213209999999997E-6</v>
      </c>
      <c r="I8991">
        <v>-61.739539999999998</v>
      </c>
      <c r="J8991">
        <v>-218.34630000000001</v>
      </c>
      <c r="K8991">
        <v>1.1213059999999999</v>
      </c>
      <c r="L8991">
        <v>-62.463900000000002</v>
      </c>
      <c r="M8991">
        <v>0.99958089999999999</v>
      </c>
      <c r="N8991">
        <v>-1.431843E-2</v>
      </c>
      <c r="O8991">
        <v>2.5167470000000001E-2</v>
      </c>
      <c r="P8991">
        <v>0.99713890000000005</v>
      </c>
      <c r="Q8991">
        <v>-2.8698850000000001E-2</v>
      </c>
      <c r="R8991">
        <v>6.9932339999999996E-2</v>
      </c>
      <c r="S8991">
        <v>2.996216</v>
      </c>
      <c r="T8991">
        <v>-0.16586529999999899</v>
      </c>
      <c r="U8991">
        <v>0.1075134</v>
      </c>
      <c r="V8991">
        <v>-4.4818129999999998E-2</v>
      </c>
      <c r="W8991">
        <v>-1.4379629999999999E-2</v>
      </c>
      <c r="X8991">
        <v>0.99889170000000005</v>
      </c>
      <c r="Y8991">
        <v>-1.069531E-2</v>
      </c>
      <c r="Z8991">
        <v>-6.5893339999999905E-4</v>
      </c>
      <c r="AA8991">
        <v>0.99994260000000001</v>
      </c>
      <c r="AB8991">
        <v>20</v>
      </c>
      <c r="AC8991">
        <v>20.1523</v>
      </c>
      <c r="AD8991">
        <v>-1.121312521321</v>
      </c>
      <c r="AE8991">
        <v>0.72435999999999701</v>
      </c>
      <c r="AF8991">
        <v>-0.216227625348967</v>
      </c>
      <c r="AG8991">
        <v>-1.121312521321</v>
      </c>
      <c r="AH8991">
        <v>20.1019916943638</v>
      </c>
      <c r="AI8991">
        <v>93.192532365118893</v>
      </c>
      <c r="AJ8991">
        <v>90.616279857066104</v>
      </c>
      <c r="AK8991">
        <v>20.134402554749599</v>
      </c>
      <c r="AL8991">
        <v>90.823920478265904</v>
      </c>
      <c r="AM8991">
        <v>92.569015852677495</v>
      </c>
      <c r="AN8991">
        <v>1.0000000334322601</v>
      </c>
    </row>
    <row r="8992" spans="1:40" x14ac:dyDescent="0.25">
      <c r="A8992" t="str">
        <f>"20190303154016632"</f>
        <v>20190303154016632</v>
      </c>
      <c r="B8992" t="str">
        <f>"1551598816627407"</f>
        <v>1551598816627407</v>
      </c>
      <c r="C8992" t="s">
        <v>40</v>
      </c>
      <c r="D8992">
        <v>4.4924710000000001</v>
      </c>
      <c r="E8992">
        <v>0.51236179999999998</v>
      </c>
      <c r="F8992" t="s">
        <v>63</v>
      </c>
      <c r="G8992">
        <v>-197.82820000000001</v>
      </c>
      <c r="H8992" s="1">
        <v>-6.6688660000000001E-6</v>
      </c>
      <c r="I8992">
        <v>-61.714489999999998</v>
      </c>
      <c r="J8992">
        <v>-218.24029999999999</v>
      </c>
      <c r="K8992">
        <v>1.1213059999999999</v>
      </c>
      <c r="L8992">
        <v>-62.461359999999999</v>
      </c>
      <c r="M8992">
        <v>0.99958429999999998</v>
      </c>
      <c r="N8992">
        <v>-1.431583E-2</v>
      </c>
      <c r="O8992">
        <v>2.50225E-2</v>
      </c>
      <c r="P8992">
        <v>0.99709420000000004</v>
      </c>
      <c r="Q8992">
        <v>-2.8223370000000001E-2</v>
      </c>
      <c r="R8992">
        <v>7.0755830000000006E-2</v>
      </c>
      <c r="S8992">
        <v>2.9962309999999999</v>
      </c>
      <c r="T8992">
        <v>-0.1637439</v>
      </c>
      <c r="U8992">
        <v>0.10943600000000001</v>
      </c>
      <c r="V8992">
        <v>-4.5787219999999997E-2</v>
      </c>
      <c r="W8992">
        <v>-1.390658E-2</v>
      </c>
      <c r="X8992">
        <v>0.99885440000000003</v>
      </c>
      <c r="Y8992">
        <v>-1.1479100000000001E-2</v>
      </c>
      <c r="Z8992">
        <v>-6.1214910000000002E-4</v>
      </c>
      <c r="AA8992">
        <v>0.99993390000000004</v>
      </c>
      <c r="AB8992">
        <v>20</v>
      </c>
      <c r="AC8992">
        <v>20.412099999999899</v>
      </c>
      <c r="AD8992">
        <v>-1.121312668866</v>
      </c>
      <c r="AE8992">
        <v>0.74686999999999404</v>
      </c>
      <c r="AF8992">
        <v>-0.23511338252766301</v>
      </c>
      <c r="AG8992">
        <v>-1.121312668866</v>
      </c>
      <c r="AH8992">
        <v>20.3630302477962</v>
      </c>
      <c r="AI8992">
        <v>93.151662293109297</v>
      </c>
      <c r="AJ8992">
        <v>90.661512839367802</v>
      </c>
      <c r="AK8992">
        <v>20.395235259164501</v>
      </c>
      <c r="AL8992">
        <v>90.796814035914394</v>
      </c>
      <c r="AM8992">
        <v>92.624585990043997</v>
      </c>
      <c r="AN8992">
        <v>0.99999998744099206</v>
      </c>
    </row>
    <row r="8993" spans="1:40" x14ac:dyDescent="0.25">
      <c r="A8993" t="str">
        <f>"20190303154016644"</f>
        <v>20190303154016644</v>
      </c>
      <c r="B8993" t="str">
        <f>"1551598816636699"</f>
        <v>1551598816636699</v>
      </c>
      <c r="C8993" t="s">
        <v>40</v>
      </c>
      <c r="D8993">
        <v>4.4683029999999997</v>
      </c>
      <c r="E8993">
        <v>0.51240609999999998</v>
      </c>
      <c r="F8993" t="s">
        <v>63</v>
      </c>
      <c r="G8993">
        <v>-197.36330000000001</v>
      </c>
      <c r="H8993" s="1">
        <v>-6.8561670000000003E-6</v>
      </c>
      <c r="I8993">
        <v>-61.679490000000001</v>
      </c>
      <c r="J8993">
        <v>-218.1379</v>
      </c>
      <c r="K8993">
        <v>1.1213089999999999</v>
      </c>
      <c r="L8993">
        <v>-62.458950000000002</v>
      </c>
      <c r="M8993">
        <v>0.99958800000000003</v>
      </c>
      <c r="N8993">
        <v>-1.4313319999999999E-2</v>
      </c>
      <c r="O8993">
        <v>2.4880699999999999E-2</v>
      </c>
      <c r="P8993">
        <v>0.997054</v>
      </c>
      <c r="Q8993">
        <v>-2.7479010000000002E-2</v>
      </c>
      <c r="R8993">
        <v>7.1612439999999999E-2</v>
      </c>
      <c r="S8993">
        <v>2.996216</v>
      </c>
      <c r="T8993">
        <v>-0.1609285</v>
      </c>
      <c r="U8993">
        <v>0.1122131</v>
      </c>
      <c r="V8993">
        <v>-4.6785970000000003E-2</v>
      </c>
      <c r="W8993">
        <v>-1.316456E-2</v>
      </c>
      <c r="X8993">
        <v>0.99881819999999999</v>
      </c>
      <c r="Y8993">
        <v>-1.2544359999999999E-2</v>
      </c>
      <c r="Z8993">
        <v>-5.52353E-4</v>
      </c>
      <c r="AA8993">
        <v>0.99992110000000001</v>
      </c>
      <c r="AB8993">
        <v>20</v>
      </c>
      <c r="AC8993">
        <v>20.7745999999999</v>
      </c>
      <c r="AD8993">
        <v>-1.121315856167</v>
      </c>
      <c r="AE8993">
        <v>0.77946000000000004</v>
      </c>
      <c r="AF8993">
        <v>-0.26151830884316002</v>
      </c>
      <c r="AG8993">
        <v>-1.121315856167</v>
      </c>
      <c r="AH8993">
        <v>20.727262339940498</v>
      </c>
      <c r="AI8993">
        <v>93.096356893832095</v>
      </c>
      <c r="AJ8993">
        <v>90.722869238039806</v>
      </c>
      <c r="AK8993">
        <v>20.759218318228399</v>
      </c>
      <c r="AL8993">
        <v>90.754295504450894</v>
      </c>
      <c r="AM8993">
        <v>92.681850070183401</v>
      </c>
      <c r="AN8993">
        <v>1.0000000146400301</v>
      </c>
    </row>
    <row r="8994" spans="1:40" x14ac:dyDescent="0.25">
      <c r="A8994" t="str">
        <f>"20190303154016655"</f>
        <v>20190303154016655</v>
      </c>
      <c r="B8994" t="str">
        <f>"1551598816647435"</f>
        <v>1551598816647435</v>
      </c>
      <c r="C8994" t="s">
        <v>40</v>
      </c>
      <c r="D8994">
        <v>4.4693709999999998</v>
      </c>
      <c r="E8994">
        <v>0.51235390000000003</v>
      </c>
      <c r="F8994" t="s">
        <v>63</v>
      </c>
      <c r="G8994">
        <v>-196.81960000000001</v>
      </c>
      <c r="H8994" s="1">
        <v>-7.0755890000000004E-6</v>
      </c>
      <c r="I8994">
        <v>-61.6447199999999</v>
      </c>
      <c r="J8994">
        <v>-218.03909999999999</v>
      </c>
      <c r="K8994">
        <v>1.121308</v>
      </c>
      <c r="L8994">
        <v>-62.456629999999997</v>
      </c>
      <c r="M8994">
        <v>0.99959140000000002</v>
      </c>
      <c r="N8994">
        <v>-1.4309489999999999E-2</v>
      </c>
      <c r="O8994">
        <v>2.4742670000000001E-2</v>
      </c>
      <c r="P8994">
        <v>0.99699800000000005</v>
      </c>
      <c r="Q8994">
        <v>-2.6888120000000001E-2</v>
      </c>
      <c r="R8994">
        <v>7.2608909999999999E-2</v>
      </c>
      <c r="S8994">
        <v>2.9963069999999998</v>
      </c>
      <c r="T8994">
        <v>-0.15760209999999999</v>
      </c>
      <c r="U8994">
        <v>0.114440899999999</v>
      </c>
      <c r="V8994">
        <v>-4.7921270000000002E-2</v>
      </c>
      <c r="W8994">
        <v>-1.257749E-2</v>
      </c>
      <c r="X8994">
        <v>0.99877190000000005</v>
      </c>
      <c r="Y8994">
        <v>-1.3421799999999999E-2</v>
      </c>
      <c r="Z8994">
        <v>-4.9720669999999995E-4</v>
      </c>
      <c r="AA8994">
        <v>0.99990979999999996</v>
      </c>
      <c r="AB8994">
        <v>20</v>
      </c>
      <c r="AC8994">
        <v>21.219499999999901</v>
      </c>
      <c r="AD8994">
        <v>-1.121315075589</v>
      </c>
      <c r="AE8994">
        <v>0.81191000000001101</v>
      </c>
      <c r="AF8994">
        <v>-0.28578365039773401</v>
      </c>
      <c r="AG8994">
        <v>-1.121315075589</v>
      </c>
      <c r="AH8994">
        <v>21.1740522732633</v>
      </c>
      <c r="AI8994">
        <v>93.031107507997305</v>
      </c>
      <c r="AJ8994">
        <v>90.773267329569094</v>
      </c>
      <c r="AK8994">
        <v>21.205648055753102</v>
      </c>
      <c r="AL8994">
        <v>90.720656113369003</v>
      </c>
      <c r="AM8994">
        <v>92.746956014598496</v>
      </c>
      <c r="AN8994">
        <v>0.99999997480136105</v>
      </c>
    </row>
    <row r="8995" spans="1:40" x14ac:dyDescent="0.25">
      <c r="A8995" t="str">
        <f>"20190303154016666"</f>
        <v>20190303154016666</v>
      </c>
      <c r="B8995" t="str">
        <f>"1551598816657195"</f>
        <v>1551598816657195</v>
      </c>
      <c r="C8995" t="s">
        <v>40</v>
      </c>
      <c r="D8995">
        <v>4.4730080000000001</v>
      </c>
      <c r="E8995">
        <v>0.51235390000000003</v>
      </c>
      <c r="F8995" t="s">
        <v>63</v>
      </c>
      <c r="G8995">
        <v>-196.39</v>
      </c>
      <c r="H8995" s="1">
        <v>-7.2483160000000001E-6</v>
      </c>
      <c r="I8995">
        <v>-61.605730000000001</v>
      </c>
      <c r="J8995">
        <v>-217.93369999999999</v>
      </c>
      <c r="K8995">
        <v>1.121305</v>
      </c>
      <c r="L8995">
        <v>-62.4542199999999</v>
      </c>
      <c r="M8995">
        <v>0.99959520000000002</v>
      </c>
      <c r="N8995">
        <v>-1.4303980000000001E-2</v>
      </c>
      <c r="O8995">
        <v>2.4594700000000001E-2</v>
      </c>
      <c r="P8995">
        <v>0.99692139999999996</v>
      </c>
      <c r="Q8995">
        <v>-2.667361E-2</v>
      </c>
      <c r="R8995">
        <v>7.3731409999999997E-2</v>
      </c>
      <c r="S8995">
        <v>2.996292</v>
      </c>
      <c r="T8995">
        <v>-0.1551931</v>
      </c>
      <c r="U8995">
        <v>0.11776730000000001</v>
      </c>
      <c r="V8995">
        <v>-4.9192470000000002E-2</v>
      </c>
      <c r="W8995">
        <v>-1.236869E-2</v>
      </c>
      <c r="X8995">
        <v>0.99871270000000001</v>
      </c>
      <c r="Y8995">
        <v>-1.4676059999999999E-2</v>
      </c>
      <c r="Z8995">
        <v>-4.3593579999999998E-4</v>
      </c>
      <c r="AA8995">
        <v>0.99989220000000001</v>
      </c>
      <c r="AB8995">
        <v>20</v>
      </c>
      <c r="AC8995">
        <v>21.543700000000001</v>
      </c>
      <c r="AD8995">
        <v>-1.1213122483159901</v>
      </c>
      <c r="AE8995">
        <v>0.84848999999999097</v>
      </c>
      <c r="AF8995">
        <v>-0.31745957535705499</v>
      </c>
      <c r="AG8995">
        <v>-1.1213122483159901</v>
      </c>
      <c r="AH8995">
        <v>21.499898792075399</v>
      </c>
      <c r="AI8995">
        <v>92.985191684226294</v>
      </c>
      <c r="AJ8995">
        <v>90.845946871529904</v>
      </c>
      <c r="AK8995">
        <v>21.5314600018135</v>
      </c>
      <c r="AL8995">
        <v>90.708691826698498</v>
      </c>
      <c r="AM8995">
        <v>92.819874875280206</v>
      </c>
      <c r="AN8995">
        <v>0.999999970369153</v>
      </c>
    </row>
    <row r="8996" spans="1:40" x14ac:dyDescent="0.25">
      <c r="A8996" t="str">
        <f>"20190303154016676"</f>
        <v>20190303154016676</v>
      </c>
      <c r="B8996" t="str">
        <f>"1551598816666955"</f>
        <v>1551598816666955</v>
      </c>
      <c r="C8996" t="s">
        <v>40</v>
      </c>
      <c r="D8996">
        <v>4.5624219999999998</v>
      </c>
      <c r="E8996">
        <v>0.48669689999999999</v>
      </c>
      <c r="F8996" t="s">
        <v>63</v>
      </c>
      <c r="G8996">
        <v>-196.18199999999999</v>
      </c>
      <c r="H8996" s="1">
        <v>-7.3312819999999902E-6</v>
      </c>
      <c r="I8996">
        <v>-61.575330000000001</v>
      </c>
      <c r="J8996">
        <v>-217.84229999999999</v>
      </c>
      <c r="K8996">
        <v>1.12131</v>
      </c>
      <c r="L8996">
        <v>-62.452089999999998</v>
      </c>
      <c r="M8996">
        <v>0.99959869999999995</v>
      </c>
      <c r="N8996">
        <v>-1.429237E-2</v>
      </c>
      <c r="O8996">
        <v>2.44651E-2</v>
      </c>
      <c r="P8996">
        <v>0.9968323</v>
      </c>
      <c r="Q8996">
        <v>-2.690963E-2</v>
      </c>
      <c r="R8996">
        <v>7.4846220000000005E-2</v>
      </c>
      <c r="S8996">
        <v>2.9961850000000001</v>
      </c>
      <c r="T8996">
        <v>-0.15445529999999999</v>
      </c>
      <c r="U8996">
        <v>0.1210632</v>
      </c>
      <c r="V8996">
        <v>-5.043951E-2</v>
      </c>
      <c r="W8996">
        <v>-1.26167E-2</v>
      </c>
      <c r="X8996">
        <v>0.99864750000000002</v>
      </c>
      <c r="Y8996">
        <v>-1.5903110000000002E-2</v>
      </c>
      <c r="Z8996">
        <v>-3.8688630000000002E-4</v>
      </c>
      <c r="AA8996">
        <v>0.99987349999999997</v>
      </c>
      <c r="AB8996">
        <v>20</v>
      </c>
      <c r="AC8996">
        <v>21.6602999999999</v>
      </c>
      <c r="AD8996">
        <v>-1.121317331282</v>
      </c>
      <c r="AE8996">
        <v>0.87675999999999699</v>
      </c>
      <c r="AF8996">
        <v>-0.34559740820909601</v>
      </c>
      <c r="AG8996">
        <v>-1.121317331282</v>
      </c>
      <c r="AH8996">
        <v>21.617428571497499</v>
      </c>
      <c r="AI8996">
        <v>92.968948681726204</v>
      </c>
      <c r="AJ8996">
        <v>90.915908482563793</v>
      </c>
      <c r="AK8996">
        <v>21.649249598306799</v>
      </c>
      <c r="AL8996">
        <v>90.722902785131694</v>
      </c>
      <c r="AM8996">
        <v>92.891427977373397</v>
      </c>
      <c r="AN8996">
        <v>1.0000000772720801</v>
      </c>
    </row>
    <row r="8997" spans="1:40" x14ac:dyDescent="0.25">
      <c r="A8997" t="str">
        <f>"20190303154016687"</f>
        <v>20190303154016687</v>
      </c>
      <c r="B8997" t="str">
        <f>"1551598816676715"</f>
        <v>1551598816676715</v>
      </c>
      <c r="C8997" t="s">
        <v>40</v>
      </c>
      <c r="D8997">
        <v>4.5759600000000002</v>
      </c>
      <c r="E8997">
        <v>0.47870560000000001</v>
      </c>
      <c r="F8997" t="s">
        <v>63</v>
      </c>
      <c r="G8997">
        <v>-194.01519999999999</v>
      </c>
      <c r="H8997" s="1">
        <v>-6.814908E-6</v>
      </c>
      <c r="I8997">
        <v>-59.824069999999899</v>
      </c>
      <c r="J8997">
        <v>-217.74889999999999</v>
      </c>
      <c r="K8997">
        <v>1.1213059999999999</v>
      </c>
      <c r="L8997">
        <v>-62.449919999999999</v>
      </c>
      <c r="M8997">
        <v>0.99960199999999999</v>
      </c>
      <c r="N8997">
        <v>-1.427834E-2</v>
      </c>
      <c r="O8997">
        <v>2.4332650000000001E-2</v>
      </c>
      <c r="P8997">
        <v>0.99674819999999997</v>
      </c>
      <c r="Q8997">
        <v>-2.7403690000000001E-2</v>
      </c>
      <c r="R8997">
        <v>7.5777629999999999E-2</v>
      </c>
      <c r="S8997">
        <v>2.9810490000000001</v>
      </c>
      <c r="T8997">
        <v>-0.14028979999999999</v>
      </c>
      <c r="U8997">
        <v>0.32879639999999999</v>
      </c>
      <c r="V8997">
        <v>-5.150486E-2</v>
      </c>
      <c r="W8997">
        <v>-1.312525E-2</v>
      </c>
      <c r="X8997">
        <v>0.99858650000000004</v>
      </c>
      <c r="Y8997">
        <v>-8.5300890000000004E-2</v>
      </c>
      <c r="Z8997">
        <v>1.817127E-3</v>
      </c>
      <c r="AA8997">
        <v>0.99635359999999995</v>
      </c>
      <c r="AB8997">
        <v>20</v>
      </c>
      <c r="AC8997">
        <v>23.733699999999999</v>
      </c>
      <c r="AD8997">
        <v>-1.1213128149079901</v>
      </c>
      <c r="AE8997">
        <v>2.6258499999999998</v>
      </c>
      <c r="AF8997">
        <v>-2.0430045722461201</v>
      </c>
      <c r="AG8997">
        <v>-1.1213128149079901</v>
      </c>
      <c r="AH8997">
        <v>23.738225394561301</v>
      </c>
      <c r="AI8997">
        <v>92.694501045548904</v>
      </c>
      <c r="AJ8997">
        <v>94.918977944615094</v>
      </c>
      <c r="AK8997">
        <v>23.852349045619999</v>
      </c>
      <c r="AL8997">
        <v>90.752043015979197</v>
      </c>
      <c r="AM8997">
        <v>92.952571907055798</v>
      </c>
      <c r="AN8997">
        <v>1.0000000103867099</v>
      </c>
    </row>
    <row r="8998" spans="1:40" x14ac:dyDescent="0.25">
      <c r="A8998" t="str">
        <f>"20190303154016699"</f>
        <v>20190303154016699</v>
      </c>
      <c r="B8998" t="str">
        <f>"1551598816687451"</f>
        <v>1551598816687451</v>
      </c>
      <c r="C8998" t="s">
        <v>40</v>
      </c>
      <c r="D8998">
        <v>4.5469080000000002</v>
      </c>
      <c r="E8998">
        <v>0.47295480000000001</v>
      </c>
      <c r="F8998" t="s">
        <v>63</v>
      </c>
      <c r="G8998">
        <v>-195.3133</v>
      </c>
      <c r="H8998" s="1">
        <v>-7.0843099999999999E-6</v>
      </c>
      <c r="I8998">
        <v>-59.472549999999998</v>
      </c>
      <c r="J8998">
        <v>-217.6508</v>
      </c>
      <c r="K8998">
        <v>1.121299</v>
      </c>
      <c r="L8998">
        <v>-62.447719999999997</v>
      </c>
      <c r="M8998">
        <v>0.99960570000000004</v>
      </c>
      <c r="N8998">
        <v>-1.425328E-2</v>
      </c>
      <c r="O8998">
        <v>2.4192950000000001E-2</v>
      </c>
      <c r="P8998">
        <v>0.99665060000000005</v>
      </c>
      <c r="Q8998">
        <v>-2.81893E-2</v>
      </c>
      <c r="R8998">
        <v>7.6766559999999998E-2</v>
      </c>
      <c r="S8998">
        <v>2.9756930000000001</v>
      </c>
      <c r="T8998">
        <v>-0.1487231</v>
      </c>
      <c r="U8998">
        <v>0.39489750000000001</v>
      </c>
      <c r="V8998">
        <v>-5.2635609999999999E-2</v>
      </c>
      <c r="W8998">
        <v>-1.3936509999999999E-2</v>
      </c>
      <c r="X8998">
        <v>0.99851659999999998</v>
      </c>
      <c r="Y8998">
        <v>-0.1073761</v>
      </c>
      <c r="Z8998">
        <v>2.579947E-3</v>
      </c>
      <c r="AA8998">
        <v>0.99421510000000002</v>
      </c>
      <c r="AB8998">
        <v>20</v>
      </c>
      <c r="AC8998">
        <v>22.337499999999999</v>
      </c>
      <c r="AD8998">
        <v>-1.12130608431</v>
      </c>
      <c r="AE8998">
        <v>2.9751699999999901</v>
      </c>
      <c r="AF8998">
        <v>-2.4278229188150799</v>
      </c>
      <c r="AG8998">
        <v>-1.12130608431</v>
      </c>
      <c r="AH8998">
        <v>22.347614469953001</v>
      </c>
      <c r="AI8998">
        <v>92.855669610764707</v>
      </c>
      <c r="AJ8998">
        <v>96.200240944384305</v>
      </c>
      <c r="AK8998">
        <v>22.5070549818826</v>
      </c>
      <c r="AL8998">
        <v>90.798529001194495</v>
      </c>
      <c r="AM8998">
        <v>93.017485712969204</v>
      </c>
      <c r="AN8998">
        <v>1.0000000671133</v>
      </c>
    </row>
    <row r="8999" spans="1:40" x14ac:dyDescent="0.25">
      <c r="A8999" t="str">
        <f>"20190303154016709"</f>
        <v>20190303154016709</v>
      </c>
      <c r="B8999" t="str">
        <f>"1551598816706971"</f>
        <v>1551598816706971</v>
      </c>
      <c r="C8999" t="s">
        <v>40</v>
      </c>
      <c r="D8999">
        <v>4.5415749999999999</v>
      </c>
      <c r="E8999">
        <v>0.46790080000000001</v>
      </c>
      <c r="F8999" t="s">
        <v>63</v>
      </c>
      <c r="G8999">
        <v>-196.143</v>
      </c>
      <c r="H8999" s="1">
        <v>-7.2600820000000001E-6</v>
      </c>
      <c r="I8999">
        <v>-59.237650000000002</v>
      </c>
      <c r="J8999">
        <v>-217.5523</v>
      </c>
      <c r="K8999">
        <v>1.121294</v>
      </c>
      <c r="L8999">
        <v>-62.445469999999901</v>
      </c>
      <c r="M8999">
        <v>0.99960950000000004</v>
      </c>
      <c r="N8999">
        <v>-1.4225990000000001E-2</v>
      </c>
      <c r="O8999">
        <v>2.405262E-2</v>
      </c>
      <c r="P8999">
        <v>0.99652810000000003</v>
      </c>
      <c r="Q8999">
        <v>-2.8956119999999998E-2</v>
      </c>
      <c r="R8999">
        <v>7.8059600000000007E-2</v>
      </c>
      <c r="S8999">
        <v>2.9715729999999998</v>
      </c>
      <c r="T8999">
        <v>-0.15492259999999999</v>
      </c>
      <c r="U8999">
        <v>0.44351200000000002</v>
      </c>
      <c r="V8999">
        <v>-5.4071420000000002E-2</v>
      </c>
      <c r="W8999">
        <v>-1.4731370000000001E-2</v>
      </c>
      <c r="X8999">
        <v>0.99842839999999999</v>
      </c>
      <c r="Y8999">
        <v>-0.1235894</v>
      </c>
      <c r="Z8999">
        <v>3.181222E-3</v>
      </c>
      <c r="AA8999">
        <v>0.99232830000000005</v>
      </c>
      <c r="AB8999">
        <v>20</v>
      </c>
      <c r="AC8999">
        <v>21.409300000000002</v>
      </c>
      <c r="AD8999">
        <v>-1.121301260082</v>
      </c>
      <c r="AE8999">
        <v>3.2078199999999901</v>
      </c>
      <c r="AF8999">
        <v>-2.6846872790391698</v>
      </c>
      <c r="AG8999">
        <v>-1.121301260082</v>
      </c>
      <c r="AH8999">
        <v>21.422794877185499</v>
      </c>
      <c r="AI8999">
        <v>92.973000792696297</v>
      </c>
      <c r="AJ8999">
        <v>97.143022464002399</v>
      </c>
      <c r="AK8999">
        <v>21.619458888974599</v>
      </c>
      <c r="AL8999">
        <v>90.844075857902695</v>
      </c>
      <c r="AM8999">
        <v>93.099912497805406</v>
      </c>
      <c r="AN8999">
        <v>1.0000000008247201</v>
      </c>
    </row>
    <row r="9000" spans="1:40" x14ac:dyDescent="0.25">
      <c r="A9000" t="str">
        <f>"20190303154016720"</f>
        <v>20190303154016720</v>
      </c>
      <c r="B9000" t="str">
        <f>"1551598816716731"</f>
        <v>1551598816716731</v>
      </c>
      <c r="C9000" t="s">
        <v>40</v>
      </c>
      <c r="D9000">
        <v>4.5414949999999896</v>
      </c>
      <c r="E9000">
        <v>0.46650459999999999</v>
      </c>
      <c r="F9000" t="s">
        <v>63</v>
      </c>
      <c r="G9000">
        <v>-196.6036</v>
      </c>
      <c r="H9000" s="1">
        <v>-7.3938089999999999E-6</v>
      </c>
      <c r="I9000">
        <v>-59.004280000000001</v>
      </c>
      <c r="J9000">
        <v>-217.459</v>
      </c>
      <c r="K9000">
        <v>1.121283</v>
      </c>
      <c r="L9000">
        <v>-62.443359999999998</v>
      </c>
      <c r="M9000">
        <v>0.99961319999999998</v>
      </c>
      <c r="N9000">
        <v>-1.419316E-2</v>
      </c>
      <c r="O9000">
        <v>2.3919840000000001E-2</v>
      </c>
      <c r="P9000">
        <v>0.99646000000000001</v>
      </c>
      <c r="Q9000">
        <v>-2.936718E-2</v>
      </c>
      <c r="R9000">
        <v>7.8776089999999993E-2</v>
      </c>
      <c r="S9000">
        <v>2.967651</v>
      </c>
      <c r="T9000">
        <v>-0.15884690000000001</v>
      </c>
      <c r="U9000">
        <v>0.48748780000000003</v>
      </c>
      <c r="V9000">
        <v>-5.4922749999999999E-2</v>
      </c>
      <c r="W9000">
        <v>-1.517568E-2</v>
      </c>
      <c r="X9000">
        <v>0.99837529999999997</v>
      </c>
      <c r="Y9000">
        <v>-0.1382158</v>
      </c>
      <c r="Z9000">
        <v>3.727246E-3</v>
      </c>
      <c r="AA9000">
        <v>0.99039509999999997</v>
      </c>
      <c r="AB9000">
        <v>20</v>
      </c>
      <c r="AC9000">
        <v>20.855399999999999</v>
      </c>
      <c r="AD9000">
        <v>-1.121290393809</v>
      </c>
      <c r="AE9000">
        <v>3.4390799999999899</v>
      </c>
      <c r="AF9000">
        <v>-2.9309396585255798</v>
      </c>
      <c r="AG9000">
        <v>-1.121290393809</v>
      </c>
      <c r="AH9000">
        <v>20.8729625058428</v>
      </c>
      <c r="AI9000">
        <v>93.045142220451595</v>
      </c>
      <c r="AJ9000">
        <v>97.993098316769803</v>
      </c>
      <c r="AK9000">
        <v>21.107540434628699</v>
      </c>
      <c r="AL9000">
        <v>90.869535771813503</v>
      </c>
      <c r="AM9000">
        <v>93.148788898326302</v>
      </c>
      <c r="AN9000">
        <v>1.00000002469055</v>
      </c>
    </row>
    <row r="9001" spans="1:40" x14ac:dyDescent="0.25">
      <c r="A9001" t="str">
        <f>"20190303154016733"</f>
        <v>20190303154016733</v>
      </c>
      <c r="B9001" t="str">
        <f>"1551598816727467"</f>
        <v>1551598816727467</v>
      </c>
      <c r="C9001" t="s">
        <v>40</v>
      </c>
      <c r="D9001">
        <v>4.5298970000000001</v>
      </c>
      <c r="E9001">
        <v>0.465557</v>
      </c>
      <c r="F9001" t="s">
        <v>63</v>
      </c>
      <c r="G9001">
        <v>-196.98670000000001</v>
      </c>
      <c r="H9001" s="1">
        <v>-7.44256999999999E-6</v>
      </c>
      <c r="I9001">
        <v>-58.988120000000002</v>
      </c>
      <c r="J9001">
        <v>-217.3501</v>
      </c>
      <c r="K9001">
        <v>1.1212709999999999</v>
      </c>
      <c r="L9001">
        <v>-62.440950000000001</v>
      </c>
      <c r="M9001">
        <v>0.99961739999999999</v>
      </c>
      <c r="N9001">
        <v>-1.4153829999999999E-2</v>
      </c>
      <c r="O9001">
        <v>2.3765720000000001E-2</v>
      </c>
      <c r="P9001">
        <v>0.99634880000000003</v>
      </c>
      <c r="Q9001">
        <v>-3.0210359999999999E-2</v>
      </c>
      <c r="R9001">
        <v>7.9853919999999995E-2</v>
      </c>
      <c r="S9001">
        <v>2.9662929999999998</v>
      </c>
      <c r="T9001">
        <v>-0.16246739999999901</v>
      </c>
      <c r="U9001">
        <v>0.50064090000000006</v>
      </c>
      <c r="V9001">
        <v>-5.6156850000000001E-2</v>
      </c>
      <c r="W9001">
        <v>-1.6058920000000001E-2</v>
      </c>
      <c r="X9001">
        <v>0.99829279999999998</v>
      </c>
      <c r="Y9001">
        <v>-0.1426954</v>
      </c>
      <c r="Z9001">
        <v>3.9386170000000002E-3</v>
      </c>
      <c r="AA9001">
        <v>0.98975880000000005</v>
      </c>
      <c r="AB9001">
        <v>20</v>
      </c>
      <c r="AC9001">
        <v>20.363399999999899</v>
      </c>
      <c r="AD9001">
        <v>-1.12127844257</v>
      </c>
      <c r="AE9001">
        <v>3.4528300000000001</v>
      </c>
      <c r="AF9001">
        <v>-2.9591339558022098</v>
      </c>
      <c r="AG9001">
        <v>-1.12127844257</v>
      </c>
      <c r="AH9001">
        <v>20.379650708270098</v>
      </c>
      <c r="AI9001">
        <v>93.116593678789201</v>
      </c>
      <c r="AJ9001">
        <v>98.261633978252306</v>
      </c>
      <c r="AK9001">
        <v>20.623867292659899</v>
      </c>
      <c r="AL9001">
        <v>90.920147893939102</v>
      </c>
      <c r="AM9001">
        <v>93.219659669509994</v>
      </c>
      <c r="AN9001">
        <v>0.99999999762266401</v>
      </c>
    </row>
    <row r="9002" spans="1:40" x14ac:dyDescent="0.25">
      <c r="A9002" t="str">
        <f>"20190303154016743"</f>
        <v>20190303154016743</v>
      </c>
      <c r="B9002" t="str">
        <f>"1551598816737227"</f>
        <v>1551598816737227</v>
      </c>
      <c r="C9002" t="s">
        <v>40</v>
      </c>
      <c r="D9002">
        <v>4.5977160000000001</v>
      </c>
      <c r="E9002">
        <v>0.46436250000000001</v>
      </c>
      <c r="F9002" t="s">
        <v>63</v>
      </c>
      <c r="G9002">
        <v>-197.3828</v>
      </c>
      <c r="H9002" s="1">
        <v>-7.4837519999999998E-6</v>
      </c>
      <c r="I9002">
        <v>-58.997709999999998</v>
      </c>
      <c r="J9002">
        <v>-217.25309999999999</v>
      </c>
      <c r="K9002">
        <v>1.121259</v>
      </c>
      <c r="L9002">
        <v>-62.438780000000001</v>
      </c>
      <c r="M9002">
        <v>0.99962119999999999</v>
      </c>
      <c r="N9002">
        <v>-1.4116389999999999E-2</v>
      </c>
      <c r="O9002">
        <v>2.3629460000000001E-2</v>
      </c>
      <c r="P9002">
        <v>0.99624040000000003</v>
      </c>
      <c r="Q9002">
        <v>-3.083023E-2</v>
      </c>
      <c r="R9002">
        <v>8.0960829999999998E-2</v>
      </c>
      <c r="S9002">
        <v>2.9649809999999999</v>
      </c>
      <c r="T9002">
        <v>-0.1665006</v>
      </c>
      <c r="U9002">
        <v>0.51129150000000001</v>
      </c>
      <c r="V9002">
        <v>-5.7401939999999999E-2</v>
      </c>
      <c r="W9002">
        <v>-1.6716910000000001E-2</v>
      </c>
      <c r="X9002">
        <v>0.99821119999999997</v>
      </c>
      <c r="Y9002">
        <v>-0.14633860000000001</v>
      </c>
      <c r="Z9002">
        <v>4.132831E-3</v>
      </c>
      <c r="AA9002">
        <v>0.98922589999999999</v>
      </c>
      <c r="AB9002">
        <v>20</v>
      </c>
      <c r="AC9002">
        <v>19.870299999999901</v>
      </c>
      <c r="AD9002">
        <v>-1.1212664837520001</v>
      </c>
      <c r="AE9002">
        <v>3.4410699999999999</v>
      </c>
      <c r="AF9002">
        <v>-2.9613825513274801</v>
      </c>
      <c r="AG9002">
        <v>-1.1212664837520001</v>
      </c>
      <c r="AH9002">
        <v>19.884595387343101</v>
      </c>
      <c r="AI9002">
        <v>93.192282945089602</v>
      </c>
      <c r="AJ9002">
        <v>98.4707135348186</v>
      </c>
      <c r="AK9002">
        <v>20.135147351366498</v>
      </c>
      <c r="AL9002">
        <v>90.957852987837796</v>
      </c>
      <c r="AM9002">
        <v>93.291158061821406</v>
      </c>
      <c r="AN9002">
        <v>1.00000001880057</v>
      </c>
    </row>
    <row r="9003" spans="1:40" x14ac:dyDescent="0.25">
      <c r="A9003" t="str">
        <f>"20190303154016754"</f>
        <v>20190303154016754</v>
      </c>
      <c r="B9003" t="str">
        <f>"1551598816746987"</f>
        <v>1551598816746987</v>
      </c>
      <c r="C9003" t="s">
        <v>40</v>
      </c>
      <c r="D9003">
        <v>4.5558709999999998</v>
      </c>
      <c r="E9003">
        <v>0.46379920000000002</v>
      </c>
      <c r="F9003" t="s">
        <v>63</v>
      </c>
      <c r="G9003">
        <v>-198.10390000000001</v>
      </c>
      <c r="H9003" s="1">
        <v>-7.5453999999999998E-6</v>
      </c>
      <c r="I9003">
        <v>-59.053179999999998</v>
      </c>
      <c r="J9003">
        <v>-217.15459999999999</v>
      </c>
      <c r="K9003">
        <v>1.1212489999999999</v>
      </c>
      <c r="L9003">
        <v>-62.436610000000002</v>
      </c>
      <c r="M9003">
        <v>0.99962499999999999</v>
      </c>
      <c r="N9003">
        <v>-1.407714E-2</v>
      </c>
      <c r="O9003">
        <v>2.349178E-2</v>
      </c>
      <c r="P9003">
        <v>0.99616309999999997</v>
      </c>
      <c r="Q9003">
        <v>-3.126926E-2</v>
      </c>
      <c r="R9003">
        <v>8.1739370000000006E-2</v>
      </c>
      <c r="S9003">
        <v>2.9633639999999999</v>
      </c>
      <c r="T9003">
        <v>-0.17351759999999999</v>
      </c>
      <c r="U9003">
        <v>0.5239258</v>
      </c>
      <c r="V9003">
        <v>-5.8320089999999998E-2</v>
      </c>
      <c r="W9003">
        <v>-1.7195699999999901E-2</v>
      </c>
      <c r="X9003">
        <v>0.99814979999999998</v>
      </c>
      <c r="Y9003">
        <v>-0.15062829999999999</v>
      </c>
      <c r="Z9003">
        <v>4.4070230000000004E-3</v>
      </c>
      <c r="AA9003">
        <v>0.98858060000000003</v>
      </c>
      <c r="AB9003">
        <v>20</v>
      </c>
      <c r="AC9003">
        <v>19.0506999999999</v>
      </c>
      <c r="AD9003">
        <v>-1.1212565454000001</v>
      </c>
      <c r="AE9003">
        <v>3.3834299999999899</v>
      </c>
      <c r="AF9003">
        <v>-2.9250939982571</v>
      </c>
      <c r="AG9003">
        <v>-1.1212565454000001</v>
      </c>
      <c r="AH9003">
        <v>19.060922616490199</v>
      </c>
      <c r="AI9003">
        <v>93.327671640704494</v>
      </c>
      <c r="AJ9003">
        <v>98.724561720135995</v>
      </c>
      <c r="AK9003">
        <v>19.316629160675799</v>
      </c>
      <c r="AL9003">
        <v>90.985289622403599</v>
      </c>
      <c r="AM9003">
        <v>93.343887189052793</v>
      </c>
      <c r="AN9003">
        <v>0.99999997411806796</v>
      </c>
    </row>
    <row r="9004" spans="1:40" x14ac:dyDescent="0.25">
      <c r="A9004" t="str">
        <f>"20190303154016765"</f>
        <v>20190303154016765</v>
      </c>
      <c r="B9004" t="str">
        <f>"1551598816756747"</f>
        <v>1551598816756747</v>
      </c>
      <c r="C9004" t="s">
        <v>40</v>
      </c>
      <c r="D9004">
        <v>4.5481239999999996</v>
      </c>
      <c r="E9004">
        <v>0.46348450000000002</v>
      </c>
      <c r="F9004" t="s">
        <v>63</v>
      </c>
      <c r="G9004">
        <v>-198.27379999999999</v>
      </c>
      <c r="H9004" s="1">
        <v>-7.5640400000000002E-6</v>
      </c>
      <c r="I9004">
        <v>-59.054499999999997</v>
      </c>
      <c r="J9004">
        <v>-217.05359999999999</v>
      </c>
      <c r="K9004">
        <v>1.12124</v>
      </c>
      <c r="L9004">
        <v>-62.434420000000003</v>
      </c>
      <c r="M9004">
        <v>0.99962879999999998</v>
      </c>
      <c r="N9004">
        <v>-1.403567E-2</v>
      </c>
      <c r="O9004">
        <v>2.3351380000000001E-2</v>
      </c>
      <c r="P9004">
        <v>0.99610940000000003</v>
      </c>
      <c r="Q9004">
        <v>-3.1308040000000002E-2</v>
      </c>
      <c r="R9004">
        <v>8.237804E-2</v>
      </c>
      <c r="S9004">
        <v>2.962494</v>
      </c>
      <c r="T9004">
        <v>-0.1759309</v>
      </c>
      <c r="U9004">
        <v>0.53067019999999998</v>
      </c>
      <c r="V9004">
        <v>-5.9100069999999998E-2</v>
      </c>
      <c r="W9004">
        <v>-1.7276280000000001E-2</v>
      </c>
      <c r="X9004">
        <v>0.9981025</v>
      </c>
      <c r="Y9004">
        <v>-0.15298599999999901</v>
      </c>
      <c r="Z9004">
        <v>4.5375320000000004E-3</v>
      </c>
      <c r="AA9004">
        <v>0.98821789999999998</v>
      </c>
      <c r="AB9004">
        <v>20</v>
      </c>
      <c r="AC9004">
        <v>18.779799999999899</v>
      </c>
      <c r="AD9004">
        <v>-1.1212475640399999</v>
      </c>
      <c r="AE9004">
        <v>3.37991999999999</v>
      </c>
      <c r="AF9004">
        <v>-2.9303028646176501</v>
      </c>
      <c r="AG9004">
        <v>-1.1212475640399999</v>
      </c>
      <c r="AH9004">
        <v>18.7887371361156</v>
      </c>
      <c r="AI9004">
        <v>93.374468592480994</v>
      </c>
      <c r="AJ9004">
        <v>98.864472648903003</v>
      </c>
      <c r="AK9004">
        <v>19.0488979772663</v>
      </c>
      <c r="AL9004">
        <v>90.989907231887102</v>
      </c>
      <c r="AM9004">
        <v>93.388665430216804</v>
      </c>
      <c r="AN9004">
        <v>0.99999994431544503</v>
      </c>
    </row>
    <row r="9005" spans="1:40" x14ac:dyDescent="0.25">
      <c r="A9005" t="str">
        <f>"20190303154016777"</f>
        <v>20190303154016777</v>
      </c>
      <c r="B9005" t="str">
        <f>"1551598816767483"</f>
        <v>1551598816767483</v>
      </c>
      <c r="C9005" t="s">
        <v>40</v>
      </c>
      <c r="D9005">
        <v>4.5458369999999997</v>
      </c>
      <c r="E9005">
        <v>0.46314109999999997</v>
      </c>
      <c r="F9005" t="s">
        <v>63</v>
      </c>
      <c r="G9005">
        <v>-198.16120000000001</v>
      </c>
      <c r="H9005" s="1">
        <v>-7.5627989999999996E-6</v>
      </c>
      <c r="I9005">
        <v>-59.02196</v>
      </c>
      <c r="J9005">
        <v>-216.9599</v>
      </c>
      <c r="K9005">
        <v>1.1212299999999999</v>
      </c>
      <c r="L9005">
        <v>-62.432369999999999</v>
      </c>
      <c r="M9005">
        <v>0.99963250000000003</v>
      </c>
      <c r="N9005">
        <v>-1.3996099999999999E-2</v>
      </c>
      <c r="O9005">
        <v>2.3221390000000001E-2</v>
      </c>
      <c r="P9005">
        <v>0.99606910000000004</v>
      </c>
      <c r="Q9005">
        <v>-3.1269650000000003E-2</v>
      </c>
      <c r="R9005">
        <v>8.2878289999999993E-2</v>
      </c>
      <c r="S9005">
        <v>2.9619450000000001</v>
      </c>
      <c r="T9005">
        <v>-0.1757888</v>
      </c>
      <c r="U9005">
        <v>0.53500369999999997</v>
      </c>
      <c r="V9005">
        <v>-5.973067E-2</v>
      </c>
      <c r="W9005">
        <v>-1.727778E-2</v>
      </c>
      <c r="X9005">
        <v>0.99806499999999998</v>
      </c>
      <c r="Y9005">
        <v>-0.15454379999999901</v>
      </c>
      <c r="Z9005">
        <v>4.5939559999999997E-3</v>
      </c>
      <c r="AA9005">
        <v>0.98797520000000005</v>
      </c>
      <c r="AB9005">
        <v>20</v>
      </c>
      <c r="AC9005">
        <v>18.7987</v>
      </c>
      <c r="AD9005">
        <v>-1.1212375627990001</v>
      </c>
      <c r="AE9005">
        <v>3.4104099999999899</v>
      </c>
      <c r="AF9005">
        <v>-2.9627116569554399</v>
      </c>
      <c r="AG9005">
        <v>-1.1212375627990001</v>
      </c>
      <c r="AH9005">
        <v>18.808055201611701</v>
      </c>
      <c r="AI9005">
        <v>93.370176554920604</v>
      </c>
      <c r="AJ9005">
        <v>98.951875403916503</v>
      </c>
      <c r="AK9005">
        <v>19.072959248668401</v>
      </c>
      <c r="AL9005">
        <v>90.989993123928798</v>
      </c>
      <c r="AM9005">
        <v>93.424865382275797</v>
      </c>
      <c r="AN9005">
        <v>1.00000000942268</v>
      </c>
    </row>
    <row r="9006" spans="1:40" x14ac:dyDescent="0.25">
      <c r="A9006" t="str">
        <f>"20190303154016787"</f>
        <v>20190303154016787</v>
      </c>
      <c r="B9006" t="str">
        <f>"1551598816777243"</f>
        <v>1551598816777243</v>
      </c>
      <c r="C9006" t="s">
        <v>40</v>
      </c>
      <c r="D9006">
        <v>4.5354749999999999</v>
      </c>
      <c r="E9006">
        <v>0.46283390000000002</v>
      </c>
      <c r="F9006" t="s">
        <v>63</v>
      </c>
      <c r="G9006">
        <v>-198.03960000000001</v>
      </c>
      <c r="H9006" s="1">
        <v>-7.5612419999999996E-6</v>
      </c>
      <c r="I9006">
        <v>-58.987430000000003</v>
      </c>
      <c r="J9006">
        <v>-216.8604</v>
      </c>
      <c r="K9006">
        <v>1.121224</v>
      </c>
      <c r="L9006">
        <v>-62.430210000000002</v>
      </c>
      <c r="M9006">
        <v>0.99963619999999997</v>
      </c>
      <c r="N9006">
        <v>-1.395363E-2</v>
      </c>
      <c r="O9006">
        <v>2.3083449999999998E-2</v>
      </c>
      <c r="P9006">
        <v>0.99605949999999999</v>
      </c>
      <c r="Q9006">
        <v>-3.0933240000000001E-2</v>
      </c>
      <c r="R9006">
        <v>8.3119100000000001E-2</v>
      </c>
      <c r="S9006">
        <v>2.9614720000000001</v>
      </c>
      <c r="T9006">
        <v>-0.1755003</v>
      </c>
      <c r="U9006">
        <v>0.53921509999999995</v>
      </c>
      <c r="V9006">
        <v>-6.0108849999999998E-2</v>
      </c>
      <c r="W9006">
        <v>-1.6983950000000001E-2</v>
      </c>
      <c r="X9006">
        <v>0.99804740000000003</v>
      </c>
      <c r="Y9006">
        <v>-0.1560655</v>
      </c>
      <c r="Z9006">
        <v>4.6462350000000003E-3</v>
      </c>
      <c r="AA9006">
        <v>0.98773569999999999</v>
      </c>
      <c r="AB9006">
        <v>20</v>
      </c>
      <c r="AC9006">
        <v>18.820799999999899</v>
      </c>
      <c r="AD9006">
        <v>-1.1212315612420001</v>
      </c>
      <c r="AE9006">
        <v>3.4427799999999902</v>
      </c>
      <c r="AF9006">
        <v>-2.9970787436394799</v>
      </c>
      <c r="AG9006">
        <v>-1.1212315612420001</v>
      </c>
      <c r="AH9006">
        <v>18.830595799222699</v>
      </c>
      <c r="AI9006">
        <v>93.365284832558601</v>
      </c>
      <c r="AJ9006">
        <v>99.043346972885303</v>
      </c>
      <c r="AK9006">
        <v>19.1005491900941</v>
      </c>
      <c r="AL9006">
        <v>90.973155374832899</v>
      </c>
      <c r="AM9006">
        <v>93.446558170472898</v>
      </c>
      <c r="AN9006">
        <v>1.0000000705263401</v>
      </c>
    </row>
    <row r="9007" spans="1:40" x14ac:dyDescent="0.25">
      <c r="A9007" t="str">
        <f>"20190303154016799"</f>
        <v>20190303154016799</v>
      </c>
      <c r="B9007" t="str">
        <f>"1551598816787002"</f>
        <v>1551598816787002</v>
      </c>
      <c r="C9007" t="s">
        <v>40</v>
      </c>
      <c r="D9007">
        <v>4.5555469999999998</v>
      </c>
      <c r="E9007">
        <v>0.46259060000000002</v>
      </c>
      <c r="F9007" t="s">
        <v>63</v>
      </c>
      <c r="G9007">
        <v>-197.79929999999999</v>
      </c>
      <c r="H9007" s="1">
        <v>-7.5511289999999997E-6</v>
      </c>
      <c r="I9007">
        <v>-58.939259999999997</v>
      </c>
      <c r="J9007">
        <v>-216.76480000000001</v>
      </c>
      <c r="K9007">
        <v>1.121219</v>
      </c>
      <c r="L9007">
        <v>-62.428159999999998</v>
      </c>
      <c r="M9007">
        <v>0.99963990000000003</v>
      </c>
      <c r="N9007">
        <v>-1.3913200000000001E-2</v>
      </c>
      <c r="O9007">
        <v>2.295061E-2</v>
      </c>
      <c r="P9007">
        <v>0.99603620000000004</v>
      </c>
      <c r="Q9007">
        <v>-3.068777E-2</v>
      </c>
      <c r="R9007">
        <v>8.3489369999999993E-2</v>
      </c>
      <c r="S9007">
        <v>2.961182</v>
      </c>
      <c r="T9007">
        <v>-0.17418620000000001</v>
      </c>
      <c r="U9007">
        <v>0.54232789999999997</v>
      </c>
      <c r="V9007">
        <v>-6.0612560000000003E-2</v>
      </c>
      <c r="W9007">
        <v>-1.677915E-2</v>
      </c>
      <c r="X9007">
        <v>0.99802040000000003</v>
      </c>
      <c r="Y9007">
        <v>-0.1572202</v>
      </c>
      <c r="Z9007">
        <v>4.6657299999999999E-3</v>
      </c>
      <c r="AA9007">
        <v>0.98755250000000006</v>
      </c>
      <c r="AB9007">
        <v>20</v>
      </c>
      <c r="AC9007">
        <v>18.965499999999999</v>
      </c>
      <c r="AD9007">
        <v>-1.121226551129</v>
      </c>
      <c r="AE9007">
        <v>3.4889000000000001</v>
      </c>
      <c r="AF9007">
        <v>-3.0423836392282499</v>
      </c>
      <c r="AG9007">
        <v>-1.121226551129</v>
      </c>
      <c r="AH9007">
        <v>18.976430384136101</v>
      </c>
      <c r="AI9007">
        <v>93.338862151772403</v>
      </c>
      <c r="AJ9007">
        <v>99.108395347644006</v>
      </c>
      <c r="AK9007">
        <v>19.251445590167101</v>
      </c>
      <c r="AL9007">
        <v>90.961419527563706</v>
      </c>
      <c r="AM9007">
        <v>93.4754634972806</v>
      </c>
      <c r="AN9007">
        <v>1.00000007056031</v>
      </c>
    </row>
    <row r="9008" spans="1:40" x14ac:dyDescent="0.25">
      <c r="A9008" t="str">
        <f>"20190303154016811"</f>
        <v>20190303154016811</v>
      </c>
      <c r="B9008" t="str">
        <f>"1551598816807499"</f>
        <v>1551598816807499</v>
      </c>
      <c r="C9008" t="s">
        <v>40</v>
      </c>
      <c r="D9008">
        <v>4.5415910000000004</v>
      </c>
      <c r="E9008">
        <v>0.46223959999999997</v>
      </c>
      <c r="F9008" t="s">
        <v>63</v>
      </c>
      <c r="G9008">
        <v>-197.59379999999999</v>
      </c>
      <c r="H9008" s="1">
        <v>-7.54291399999999E-6</v>
      </c>
      <c r="I9008">
        <v>-58.896799999999999</v>
      </c>
      <c r="J9008">
        <v>-216.66390000000001</v>
      </c>
      <c r="K9008">
        <v>1.1212169999999999</v>
      </c>
      <c r="L9008">
        <v>-62.425989999999999</v>
      </c>
      <c r="M9008">
        <v>0.99964370000000002</v>
      </c>
      <c r="N9008">
        <v>-1.3870789999999999E-2</v>
      </c>
      <c r="O9008">
        <v>2.281029E-2</v>
      </c>
      <c r="P9008">
        <v>0.99601850000000003</v>
      </c>
      <c r="Q9008">
        <v>-3.0679290000000001E-2</v>
      </c>
      <c r="R9008">
        <v>8.3704799999999996E-2</v>
      </c>
      <c r="S9008">
        <v>2.9609070000000002</v>
      </c>
      <c r="T9008">
        <v>-0.1731704</v>
      </c>
      <c r="U9008">
        <v>0.54541019999999996</v>
      </c>
      <c r="V9008">
        <v>-6.0968010000000003E-2</v>
      </c>
      <c r="W9008">
        <v>-1.6813350000000001E-2</v>
      </c>
      <c r="X9008">
        <v>0.9979981</v>
      </c>
      <c r="Y9008">
        <v>-0.15837029999999999</v>
      </c>
      <c r="Z9008">
        <v>4.690133E-3</v>
      </c>
      <c r="AA9008">
        <v>0.98736860000000004</v>
      </c>
      <c r="AB9008">
        <v>20</v>
      </c>
      <c r="AC9008">
        <v>19.0701</v>
      </c>
      <c r="AD9008">
        <v>-1.121224542914</v>
      </c>
      <c r="AE9008">
        <v>3.5291899999999998</v>
      </c>
      <c r="AF9008">
        <v>-3.0829309665307201</v>
      </c>
      <c r="AG9008">
        <v>-1.121224542914</v>
      </c>
      <c r="AH9008">
        <v>19.081868182812801</v>
      </c>
      <c r="AI9008">
        <v>93.319804643749606</v>
      </c>
      <c r="AJ9008">
        <v>99.177594299041701</v>
      </c>
      <c r="AK9008">
        <v>19.361800049744101</v>
      </c>
      <c r="AL9008">
        <v>90.963379390138002</v>
      </c>
      <c r="AM9008">
        <v>93.4958721670437</v>
      </c>
      <c r="AN9008">
        <v>0.99999999729259603</v>
      </c>
    </row>
    <row r="9009" spans="1:40" x14ac:dyDescent="0.25">
      <c r="A9009" t="str">
        <f>"20190303154016822"</f>
        <v>20190303154016822</v>
      </c>
      <c r="B9009" t="str">
        <f>"1551598816817258"</f>
        <v>1551598816817258</v>
      </c>
      <c r="C9009" t="s">
        <v>40</v>
      </c>
      <c r="D9009">
        <v>4.540781</v>
      </c>
      <c r="E9009">
        <v>0.46215800000000001</v>
      </c>
      <c r="F9009" t="s">
        <v>63</v>
      </c>
      <c r="G9009">
        <v>-197.44909999999999</v>
      </c>
      <c r="H9009" s="1">
        <v>-7.5382309999999999E-6</v>
      </c>
      <c r="I9009">
        <v>-58.863759999999999</v>
      </c>
      <c r="J9009">
        <v>-216.5575</v>
      </c>
      <c r="K9009">
        <v>1.1212139999999999</v>
      </c>
      <c r="L9009">
        <v>-62.423769999999998</v>
      </c>
      <c r="M9009">
        <v>0.99964759999999997</v>
      </c>
      <c r="N9009">
        <v>-1.382822E-2</v>
      </c>
      <c r="O9009">
        <v>2.266263E-2</v>
      </c>
      <c r="P9009">
        <v>0.99599990000000005</v>
      </c>
      <c r="Q9009">
        <v>-3.0548249999999999E-2</v>
      </c>
      <c r="R9009">
        <v>8.3973690000000004E-2</v>
      </c>
      <c r="S9009">
        <v>2.960556</v>
      </c>
      <c r="T9009">
        <v>-0.17275479999999999</v>
      </c>
      <c r="U9009">
        <v>0.54885859999999997</v>
      </c>
      <c r="V9009">
        <v>-6.1384979999999999E-2</v>
      </c>
      <c r="W9009">
        <v>-1.6725130000000001E-2</v>
      </c>
      <c r="X9009">
        <v>0.99797400000000003</v>
      </c>
      <c r="Y9009">
        <v>-0.15964779999999901</v>
      </c>
      <c r="Z9009">
        <v>4.7303999999999896E-3</v>
      </c>
      <c r="AA9009">
        <v>0.98716269999999995</v>
      </c>
      <c r="AB9009">
        <v>20</v>
      </c>
      <c r="AC9009">
        <v>19.1084</v>
      </c>
      <c r="AD9009">
        <v>-1.121221538231</v>
      </c>
      <c r="AE9009">
        <v>3.5600099999999899</v>
      </c>
      <c r="AF9009">
        <v>-3.1156402938121799</v>
      </c>
      <c r="AG9009">
        <v>-1.121221538231</v>
      </c>
      <c r="AH9009">
        <v>19.120555057428501</v>
      </c>
      <c r="AI9009">
        <v>93.312370650258998</v>
      </c>
      <c r="AJ9009">
        <v>99.2548461596148</v>
      </c>
      <c r="AK9009">
        <v>19.405153384664899</v>
      </c>
      <c r="AL9009">
        <v>90.958324066768498</v>
      </c>
      <c r="AM9009">
        <v>93.519805879683403</v>
      </c>
      <c r="AN9009">
        <v>0.99999997520955797</v>
      </c>
    </row>
    <row r="9010" spans="1:40" x14ac:dyDescent="0.25">
      <c r="A9010" t="str">
        <f>"20190303154016834"</f>
        <v>20190303154016834</v>
      </c>
      <c r="B9010" t="str">
        <f>"1551598816827019"</f>
        <v>1551598816827019</v>
      </c>
      <c r="C9010" t="s">
        <v>40</v>
      </c>
      <c r="D9010">
        <v>4.5566630000000004</v>
      </c>
      <c r="E9010">
        <v>0.46205550000000001</v>
      </c>
      <c r="F9010" t="s">
        <v>63</v>
      </c>
      <c r="G9010">
        <v>-197.24459999999999</v>
      </c>
      <c r="H9010" s="1">
        <v>-7.5257459999999998E-6</v>
      </c>
      <c r="I9010">
        <v>-58.83379</v>
      </c>
      <c r="J9010">
        <v>-216.45760000000001</v>
      </c>
      <c r="K9010">
        <v>1.121211</v>
      </c>
      <c r="L9010">
        <v>-62.42163</v>
      </c>
      <c r="M9010">
        <v>0.99965130000000002</v>
      </c>
      <c r="N9010">
        <v>-1.3789630000000001E-2</v>
      </c>
      <c r="O9010">
        <v>2.2523640000000001E-2</v>
      </c>
      <c r="P9010">
        <v>0.99594380000000005</v>
      </c>
      <c r="Q9010">
        <v>-3.0745749999999999E-2</v>
      </c>
      <c r="R9010">
        <v>8.4563559999999996E-2</v>
      </c>
      <c r="S9010">
        <v>2.9604029999999999</v>
      </c>
      <c r="T9010">
        <v>-0.1718674</v>
      </c>
      <c r="U9010">
        <v>0.55029300000000003</v>
      </c>
      <c r="V9010">
        <v>-6.211469E-2</v>
      </c>
      <c r="W9010">
        <v>-1.6961730000000001E-2</v>
      </c>
      <c r="X9010">
        <v>0.9979249</v>
      </c>
      <c r="Y9010">
        <v>-0.16025799999999901</v>
      </c>
      <c r="Z9010">
        <v>4.7374009999999996E-3</v>
      </c>
      <c r="AA9010">
        <v>0.98706380000000005</v>
      </c>
      <c r="AB9010">
        <v>20</v>
      </c>
      <c r="AC9010">
        <v>19.213000000000001</v>
      </c>
      <c r="AD9010">
        <v>-1.1212185257459999</v>
      </c>
      <c r="AE9010">
        <v>3.5878399999999999</v>
      </c>
      <c r="AF9010">
        <v>-3.1437961719877898</v>
      </c>
      <c r="AG9010">
        <v>-1.1212185257459999</v>
      </c>
      <c r="AH9010">
        <v>19.225675677482901</v>
      </c>
      <c r="AI9010">
        <v>93.293990961948097</v>
      </c>
      <c r="AJ9010">
        <v>99.286854925397904</v>
      </c>
      <c r="AK9010">
        <v>19.5132567914543</v>
      </c>
      <c r="AL9010">
        <v>90.971882127890595</v>
      </c>
      <c r="AM9010">
        <v>93.5617150611113</v>
      </c>
      <c r="AN9010">
        <v>1.0000000205191899</v>
      </c>
    </row>
    <row r="9011" spans="1:40" x14ac:dyDescent="0.25">
      <c r="A9011" t="str">
        <f>"20190303154016845"</f>
        <v>20190303154016845</v>
      </c>
      <c r="B9011" t="str">
        <f>"1551598816836779"</f>
        <v>1551598816836779</v>
      </c>
      <c r="C9011" t="s">
        <v>40</v>
      </c>
      <c r="D9011">
        <v>4.5332420000000004</v>
      </c>
      <c r="E9011">
        <v>0.46193489999999998</v>
      </c>
      <c r="F9011" t="s">
        <v>63</v>
      </c>
      <c r="G9011">
        <v>-197.11689999999999</v>
      </c>
      <c r="H9011" s="1">
        <v>-7.5201490000000001E-6</v>
      </c>
      <c r="I9011">
        <v>-58.808810000000001</v>
      </c>
      <c r="J9011">
        <v>-216.3561</v>
      </c>
      <c r="K9011">
        <v>1.1212089999999999</v>
      </c>
      <c r="L9011">
        <v>-62.419530000000002</v>
      </c>
      <c r="M9011">
        <v>0.99965490000000001</v>
      </c>
      <c r="N9011">
        <v>-1.3752469999999999E-2</v>
      </c>
      <c r="O9011">
        <v>2.238273E-2</v>
      </c>
      <c r="P9011">
        <v>0.99589830000000001</v>
      </c>
      <c r="Q9011">
        <v>-3.1323249999999997E-2</v>
      </c>
      <c r="R9011">
        <v>8.4885820000000001E-2</v>
      </c>
      <c r="S9011">
        <v>2.9599760000000002</v>
      </c>
      <c r="T9011">
        <v>-0.17159469999999999</v>
      </c>
      <c r="U9011">
        <v>0.55291749999999995</v>
      </c>
      <c r="V9011">
        <v>-6.2578439999999999E-2</v>
      </c>
      <c r="W9011">
        <v>-1.7576870000000001E-2</v>
      </c>
      <c r="X9011">
        <v>0.99788529999999998</v>
      </c>
      <c r="Y9011">
        <v>-0.16126740000000001</v>
      </c>
      <c r="Z9011">
        <v>4.7707359999999898E-3</v>
      </c>
      <c r="AA9011">
        <v>0.98689919999999998</v>
      </c>
      <c r="AB9011">
        <v>20</v>
      </c>
      <c r="AC9011">
        <v>19.2392</v>
      </c>
      <c r="AD9011">
        <v>-1.1212165201490001</v>
      </c>
      <c r="AE9011">
        <v>3.6107200000000002</v>
      </c>
      <c r="AF9011">
        <v>-3.1687528689153099</v>
      </c>
      <c r="AG9011">
        <v>-1.1212165201490001</v>
      </c>
      <c r="AH9011">
        <v>19.2520437057469</v>
      </c>
      <c r="AI9011">
        <v>93.288921226073796</v>
      </c>
      <c r="AJ9011">
        <v>99.346685866002701</v>
      </c>
      <c r="AK9011">
        <v>19.543267589564</v>
      </c>
      <c r="AL9011">
        <v>91.007132290879795</v>
      </c>
      <c r="AM9011">
        <v>93.588379728417806</v>
      </c>
      <c r="AN9011">
        <v>1.0000000397339499</v>
      </c>
    </row>
    <row r="9012" spans="1:40" x14ac:dyDescent="0.25">
      <c r="A9012" t="str">
        <f>"20190303154016857"</f>
        <v>20190303154016857</v>
      </c>
      <c r="B9012" t="str">
        <f>"1551598816847516"</f>
        <v>1551598816847516</v>
      </c>
      <c r="C9012" t="s">
        <v>40</v>
      </c>
      <c r="D9012">
        <v>4.5363749999999996</v>
      </c>
      <c r="E9012">
        <v>0.46184049999999999</v>
      </c>
      <c r="F9012" t="s">
        <v>63</v>
      </c>
      <c r="G9012">
        <v>-197.25059999999999</v>
      </c>
      <c r="H9012" s="1">
        <v>-7.5249440000000001E-6</v>
      </c>
      <c r="I9012">
        <v>-58.838019999999901</v>
      </c>
      <c r="J9012">
        <v>-216.25630000000001</v>
      </c>
      <c r="K9012">
        <v>1.1212070000000001</v>
      </c>
      <c r="L9012">
        <v>-62.4174199999999</v>
      </c>
      <c r="M9012">
        <v>0.99965850000000001</v>
      </c>
      <c r="N9012">
        <v>-1.371822E-2</v>
      </c>
      <c r="O9012">
        <v>2.2244469999999999E-2</v>
      </c>
      <c r="P9012">
        <v>0.9958477</v>
      </c>
      <c r="Q9012">
        <v>-3.1562180000000002E-2</v>
      </c>
      <c r="R9012">
        <v>8.5390999999999995E-2</v>
      </c>
      <c r="S9012">
        <v>2.959625</v>
      </c>
      <c r="T9012">
        <v>-0.17368729999999999</v>
      </c>
      <c r="U9012">
        <v>0.55480959999999901</v>
      </c>
      <c r="V9012">
        <v>-6.3222879999999995E-2</v>
      </c>
      <c r="W9012">
        <v>-1.7850479999999998E-2</v>
      </c>
      <c r="X9012">
        <v>0.99783980000000005</v>
      </c>
      <c r="Y9012">
        <v>-0.16202649999999999</v>
      </c>
      <c r="Z9012">
        <v>4.8416570000000001E-3</v>
      </c>
      <c r="AA9012">
        <v>0.9867745</v>
      </c>
      <c r="AB9012">
        <v>20</v>
      </c>
      <c r="AC9012">
        <v>19.005700000000001</v>
      </c>
      <c r="AD9012">
        <v>-1.121214524944</v>
      </c>
      <c r="AE9012">
        <v>3.5794000000000001</v>
      </c>
      <c r="AF9012">
        <v>-3.1451317830288699</v>
      </c>
      <c r="AG9012">
        <v>-1.121214524944</v>
      </c>
      <c r="AH9012">
        <v>19.016709967951499</v>
      </c>
      <c r="AI9012">
        <v>93.329101016972899</v>
      </c>
      <c r="AJ9012">
        <v>99.391014040789003</v>
      </c>
      <c r="AK9012">
        <v>19.307621136451498</v>
      </c>
      <c r="AL9012">
        <v>91.022811469463306</v>
      </c>
      <c r="AM9012">
        <v>93.625400094518895</v>
      </c>
      <c r="AN9012">
        <v>1.00000001932788</v>
      </c>
    </row>
    <row r="9013" spans="1:40" x14ac:dyDescent="0.25">
      <c r="A9013" t="str">
        <f>"20190303154016868"</f>
        <v>20190303154016868</v>
      </c>
      <c r="B9013" t="str">
        <f>"1551598816857275"</f>
        <v>1551598816857275</v>
      </c>
      <c r="C9013" t="s">
        <v>40</v>
      </c>
      <c r="D9013">
        <v>4.5332739999999996</v>
      </c>
      <c r="E9013">
        <v>0.4617405</v>
      </c>
      <c r="F9013" t="s">
        <v>63</v>
      </c>
      <c r="G9013">
        <v>-197.1925</v>
      </c>
      <c r="H9013" s="1">
        <v>-7.5216719999999902E-6</v>
      </c>
      <c r="I9013">
        <v>-58.828710000000001</v>
      </c>
      <c r="J9013">
        <v>-216.15430000000001</v>
      </c>
      <c r="K9013">
        <v>1.1212040000000001</v>
      </c>
      <c r="L9013">
        <v>-62.415309999999998</v>
      </c>
      <c r="M9013">
        <v>0.99966200000000005</v>
      </c>
      <c r="N9013">
        <v>-1.3684429999999999E-2</v>
      </c>
      <c r="O9013">
        <v>2.210353E-2</v>
      </c>
      <c r="P9013">
        <v>0.99578449999999996</v>
      </c>
      <c r="Q9013">
        <v>-3.1923710000000001E-2</v>
      </c>
      <c r="R9013">
        <v>8.5990839999999999E-2</v>
      </c>
      <c r="S9013">
        <v>2.9592290000000001</v>
      </c>
      <c r="T9013">
        <v>-0.17404339999999999</v>
      </c>
      <c r="U9013">
        <v>0.55706789999999995</v>
      </c>
      <c r="V9013">
        <v>-6.3964660000000007E-2</v>
      </c>
      <c r="W9013">
        <v>-1.8246310000000002E-2</v>
      </c>
      <c r="X9013">
        <v>0.99778529999999999</v>
      </c>
      <c r="Y9013">
        <v>-0.1629139</v>
      </c>
      <c r="Z9013">
        <v>4.8836820000000003E-3</v>
      </c>
      <c r="AA9013">
        <v>0.98662819999999996</v>
      </c>
      <c r="AB9013">
        <v>20</v>
      </c>
      <c r="AC9013">
        <v>18.9618</v>
      </c>
      <c r="AD9013">
        <v>-1.121211521672</v>
      </c>
      <c r="AE9013">
        <v>3.58659999999999</v>
      </c>
      <c r="AF9013">
        <v>-3.1559085560542099</v>
      </c>
      <c r="AG9013">
        <v>-1.121211521672</v>
      </c>
      <c r="AH9013">
        <v>18.9724074089659</v>
      </c>
      <c r="AI9013">
        <v>93.336335565058903</v>
      </c>
      <c r="AJ9013">
        <v>99.444223049720804</v>
      </c>
      <c r="AK9013">
        <v>19.2657498422016</v>
      </c>
      <c r="AL9013">
        <v>91.045494619348801</v>
      </c>
      <c r="AM9013">
        <v>93.668020458545797</v>
      </c>
      <c r="AN9013">
        <v>0.99999995522680896</v>
      </c>
    </row>
    <row r="9014" spans="1:40" x14ac:dyDescent="0.25">
      <c r="A9014" t="str">
        <f>"20190303154016878"</f>
        <v>20190303154016878</v>
      </c>
      <c r="B9014" t="str">
        <f>"1551598816867035"</f>
        <v>1551598816867035</v>
      </c>
      <c r="C9014" t="s">
        <v>40</v>
      </c>
      <c r="D9014">
        <v>4.5449149999999996</v>
      </c>
      <c r="E9014">
        <v>0.4616866</v>
      </c>
      <c r="F9014" t="s">
        <v>63</v>
      </c>
      <c r="G9014">
        <v>-197.23699999999999</v>
      </c>
      <c r="H9014" s="1">
        <v>-7.523836E-6</v>
      </c>
      <c r="I9014">
        <v>-58.83681</v>
      </c>
      <c r="J9014">
        <v>-216.0667</v>
      </c>
      <c r="K9014">
        <v>1.1211990000000001</v>
      </c>
      <c r="L9014">
        <v>-62.413539999999998</v>
      </c>
      <c r="M9014">
        <v>0.99966509999999997</v>
      </c>
      <c r="N9014">
        <v>-1.365792E-2</v>
      </c>
      <c r="O9014">
        <v>2.1982379999999999E-2</v>
      </c>
      <c r="P9014">
        <v>0.99571279999999995</v>
      </c>
      <c r="Q9014">
        <v>-3.2305439999999998E-2</v>
      </c>
      <c r="R9014">
        <v>8.6675440000000006E-2</v>
      </c>
      <c r="S9014">
        <v>2.9587400000000001</v>
      </c>
      <c r="T9014">
        <v>-0.17536199999999999</v>
      </c>
      <c r="U9014">
        <v>0.55969239999999998</v>
      </c>
      <c r="V9014">
        <v>-6.4771549999999997E-2</v>
      </c>
      <c r="W9014">
        <v>-1.8655069999999999E-2</v>
      </c>
      <c r="X9014">
        <v>0.99772570000000005</v>
      </c>
      <c r="Y9014">
        <v>-0.16390189999999999</v>
      </c>
      <c r="Z9014">
        <v>4.9487089999999999E-3</v>
      </c>
      <c r="AA9014">
        <v>0.98646429999999996</v>
      </c>
      <c r="AB9014">
        <v>20</v>
      </c>
      <c r="AC9014">
        <v>18.829699999999999</v>
      </c>
      <c r="AD9014">
        <v>-1.1212065238360001</v>
      </c>
      <c r="AE9014">
        <v>3.57673</v>
      </c>
      <c r="AF9014">
        <v>-3.1511219357342499</v>
      </c>
      <c r="AG9014">
        <v>-1.1212065238360001</v>
      </c>
      <c r="AH9014">
        <v>18.839311799991801</v>
      </c>
      <c r="AI9014">
        <v>93.359336246988306</v>
      </c>
      <c r="AJ9014">
        <v>99.495569220422993</v>
      </c>
      <c r="AK9014">
        <v>19.1339055767574</v>
      </c>
      <c r="AL9014">
        <v>91.068918816263107</v>
      </c>
      <c r="AM9014">
        <v>93.714383683608204</v>
      </c>
      <c r="AN9014">
        <v>0.99999996888329801</v>
      </c>
    </row>
    <row r="9015" spans="1:40" x14ac:dyDescent="0.25">
      <c r="A9015" t="str">
        <f>"20190303154016887"</f>
        <v>20190303154016887</v>
      </c>
      <c r="B9015" t="str">
        <f>"1551598816876795"</f>
        <v>1551598816876795</v>
      </c>
      <c r="C9015" t="s">
        <v>40</v>
      </c>
      <c r="D9015">
        <v>4.5387789999999999</v>
      </c>
      <c r="E9015">
        <v>0.46162039999999999</v>
      </c>
      <c r="F9015" t="s">
        <v>63</v>
      </c>
      <c r="G9015">
        <v>-197.2946</v>
      </c>
      <c r="H9015" s="1">
        <v>-7.5269970000000002E-6</v>
      </c>
      <c r="I9015">
        <v>-58.846260000000001</v>
      </c>
      <c r="J9015">
        <v>-215.9796</v>
      </c>
      <c r="K9015">
        <v>1.1212</v>
      </c>
      <c r="L9015">
        <v>-62.411740000000002</v>
      </c>
      <c r="M9015">
        <v>0.99966809999999995</v>
      </c>
      <c r="N9015">
        <v>-1.3631829999999999E-2</v>
      </c>
      <c r="O9015">
        <v>2.1862349999999999E-2</v>
      </c>
      <c r="P9015">
        <v>0.99562669999999998</v>
      </c>
      <c r="Q9015">
        <v>-3.2936600000000003E-2</v>
      </c>
      <c r="R9015">
        <v>8.7422990000000006E-2</v>
      </c>
      <c r="S9015">
        <v>2.9582670000000002</v>
      </c>
      <c r="T9015">
        <v>-0.17668970000000001</v>
      </c>
      <c r="U9015">
        <v>0.56216429999999995</v>
      </c>
      <c r="V9015">
        <v>-6.5641329999999998E-2</v>
      </c>
      <c r="W9015">
        <v>-1.9312960000000001E-2</v>
      </c>
      <c r="X9015">
        <v>0.99765630000000005</v>
      </c>
      <c r="Y9015">
        <v>-0.1648384</v>
      </c>
      <c r="Z9015">
        <v>5.01257E-3</v>
      </c>
      <c r="AA9015">
        <v>0.98630790000000002</v>
      </c>
      <c r="AB9015">
        <v>20</v>
      </c>
      <c r="AC9015">
        <v>18.684999999999999</v>
      </c>
      <c r="AD9015">
        <v>-1.1212075269970001</v>
      </c>
      <c r="AE9015">
        <v>3.56548</v>
      </c>
      <c r="AF9015">
        <v>-3.1451648169298698</v>
      </c>
      <c r="AG9015">
        <v>-1.1212075269970001</v>
      </c>
      <c r="AH9015">
        <v>18.6935454129022</v>
      </c>
      <c r="AI9015">
        <v>93.384930503484398</v>
      </c>
      <c r="AJ9015">
        <v>99.550493824600494</v>
      </c>
      <c r="AK9015">
        <v>18.989413054343899</v>
      </c>
      <c r="AL9015">
        <v>91.106619971571305</v>
      </c>
      <c r="AM9015">
        <v>93.764380655644999</v>
      </c>
      <c r="AN9015">
        <v>0.99999993377890795</v>
      </c>
    </row>
    <row r="9016" spans="1:40" x14ac:dyDescent="0.25">
      <c r="A9016" t="str">
        <f>"20190303154016899"</f>
        <v>20190303154016899</v>
      </c>
      <c r="B9016" t="str">
        <f>"1551598816897291"</f>
        <v>1551598816897291</v>
      </c>
      <c r="C9016" t="s">
        <v>40</v>
      </c>
      <c r="D9016">
        <v>4.567418</v>
      </c>
      <c r="E9016">
        <v>0.46149099999999998</v>
      </c>
      <c r="F9016" t="s">
        <v>63</v>
      </c>
      <c r="G9016">
        <v>-197.42</v>
      </c>
      <c r="H9016" s="1">
        <v>-7.53386899999999E-6</v>
      </c>
      <c r="I9016">
        <v>-58.866860000000003</v>
      </c>
      <c r="J9016">
        <v>-215.8818</v>
      </c>
      <c r="K9016">
        <v>1.121197</v>
      </c>
      <c r="L9016">
        <v>-62.409759999999999</v>
      </c>
      <c r="M9016">
        <v>0.99967139999999999</v>
      </c>
      <c r="N9016">
        <v>-1.360507E-2</v>
      </c>
      <c r="O9016">
        <v>2.1727659999999999E-2</v>
      </c>
      <c r="P9016">
        <v>0.99556230000000001</v>
      </c>
      <c r="Q9016">
        <v>-3.3257780000000001E-2</v>
      </c>
      <c r="R9016">
        <v>8.8035080000000002E-2</v>
      </c>
      <c r="S9016">
        <v>2.9576419999999999</v>
      </c>
      <c r="T9016">
        <v>-0.17867479999999999</v>
      </c>
      <c r="U9016">
        <v>0.56491089999999999</v>
      </c>
      <c r="V9016">
        <v>-6.6389190000000001E-2</v>
      </c>
      <c r="W9016">
        <v>-1.9661330000000001E-2</v>
      </c>
      <c r="X9016">
        <v>0.99760009999999999</v>
      </c>
      <c r="Y9016">
        <v>-0.16588449999999999</v>
      </c>
      <c r="Z9016">
        <v>5.0951820000000002E-3</v>
      </c>
      <c r="AA9016">
        <v>0.98613200000000001</v>
      </c>
      <c r="AB9016">
        <v>20</v>
      </c>
      <c r="AC9016">
        <v>18.4618</v>
      </c>
      <c r="AD9016">
        <v>-1.121204533869</v>
      </c>
      <c r="AE9016">
        <v>3.5428999999999999</v>
      </c>
      <c r="AF9016">
        <v>-3.1297612733131301</v>
      </c>
      <c r="AG9016">
        <v>-1.121204533869</v>
      </c>
      <c r="AH9016">
        <v>18.468728893402801</v>
      </c>
      <c r="AI9016">
        <v>93.425346814528694</v>
      </c>
      <c r="AJ9016">
        <v>99.618124175434104</v>
      </c>
      <c r="AK9016">
        <v>18.765565596930799</v>
      </c>
      <c r="AL9016">
        <v>91.126583790812504</v>
      </c>
      <c r="AM9016">
        <v>93.807357145504497</v>
      </c>
      <c r="AN9016">
        <v>1.0000000259831101</v>
      </c>
    </row>
    <row r="9017" spans="1:40" x14ac:dyDescent="0.25">
      <c r="A9017" t="str">
        <f>"20190303154016910"</f>
        <v>20190303154016910</v>
      </c>
      <c r="B9017" t="str">
        <f>"1551598816907051"</f>
        <v>1551598816907051</v>
      </c>
      <c r="C9017" t="s">
        <v>40</v>
      </c>
      <c r="D9017">
        <v>4.5699959999999997</v>
      </c>
      <c r="E9017">
        <v>0.46143000000000001</v>
      </c>
      <c r="F9017" t="s">
        <v>63</v>
      </c>
      <c r="G9017">
        <v>-197.4288</v>
      </c>
      <c r="H9017" s="1">
        <v>-7.5348269999999999E-6</v>
      </c>
      <c r="I9017">
        <v>-58.866950000000003</v>
      </c>
      <c r="J9017">
        <v>-215.7791</v>
      </c>
      <c r="K9017">
        <v>1.121189</v>
      </c>
      <c r="L9017">
        <v>-62.407679999999999</v>
      </c>
      <c r="M9017">
        <v>0.99967490000000003</v>
      </c>
      <c r="N9017">
        <v>-1.357765E-2</v>
      </c>
      <c r="O9017">
        <v>2.1586480000000002E-2</v>
      </c>
      <c r="P9017">
        <v>0.99547890000000006</v>
      </c>
      <c r="Q9017">
        <v>-3.3798309999999998E-2</v>
      </c>
      <c r="R9017">
        <v>8.8767100000000002E-2</v>
      </c>
      <c r="S9017">
        <v>2.9571689999999999</v>
      </c>
      <c r="T9017">
        <v>-0.17967720000000001</v>
      </c>
      <c r="U9017">
        <v>0.56774899999999995</v>
      </c>
      <c r="V9017">
        <v>-6.7263199999999995E-2</v>
      </c>
      <c r="W9017">
        <v>-2.022987E-2</v>
      </c>
      <c r="X9017">
        <v>0.99753020000000003</v>
      </c>
      <c r="Y9017">
        <v>-0.16696</v>
      </c>
      <c r="Z9017">
        <v>5.159449E-3</v>
      </c>
      <c r="AA9017">
        <v>0.9859502</v>
      </c>
      <c r="AB9017">
        <v>20</v>
      </c>
      <c r="AC9017">
        <v>18.350300000000001</v>
      </c>
      <c r="AD9017">
        <v>-1.1211965348270001</v>
      </c>
      <c r="AE9017">
        <v>3.5407299999999999</v>
      </c>
      <c r="AF9017">
        <v>-3.1324756493686099</v>
      </c>
      <c r="AG9017">
        <v>-1.1211965348270001</v>
      </c>
      <c r="AH9017">
        <v>18.356394539255501</v>
      </c>
      <c r="AI9017">
        <v>93.445560563314402</v>
      </c>
      <c r="AJ9017">
        <v>99.684106954471204</v>
      </c>
      <c r="AK9017">
        <v>18.655473884209002</v>
      </c>
      <c r="AL9017">
        <v>91.159165194907104</v>
      </c>
      <c r="AM9017">
        <v>93.857599931785899</v>
      </c>
      <c r="AN9017">
        <v>1.0000000428132401</v>
      </c>
    </row>
    <row r="9018" spans="1:40" x14ac:dyDescent="0.25">
      <c r="A9018" t="str">
        <f>"20190303154016921"</f>
        <v>20190303154016921</v>
      </c>
      <c r="B9018" t="str">
        <f>"1551598816916811"</f>
        <v>1551598816916811</v>
      </c>
      <c r="C9018" t="s">
        <v>40</v>
      </c>
      <c r="D9018">
        <v>4.5362400000000003</v>
      </c>
      <c r="E9018">
        <v>0.46138279999999898</v>
      </c>
      <c r="F9018" t="s">
        <v>63</v>
      </c>
      <c r="G9018">
        <v>-197.47389999999999</v>
      </c>
      <c r="H9018" s="1">
        <v>-7.5367390000000002E-6</v>
      </c>
      <c r="I9018">
        <v>-58.875970000000002</v>
      </c>
      <c r="J9018">
        <v>-215.6798</v>
      </c>
      <c r="K9018">
        <v>1.1211869999999999</v>
      </c>
      <c r="L9018">
        <v>-62.405700000000003</v>
      </c>
      <c r="M9018">
        <v>0.99967810000000001</v>
      </c>
      <c r="N9018">
        <v>-1.3553340000000001E-2</v>
      </c>
      <c r="O9018">
        <v>2.1449570000000001E-2</v>
      </c>
      <c r="P9018">
        <v>0.99540200000000001</v>
      </c>
      <c r="Q9018">
        <v>-3.4410259999999998E-2</v>
      </c>
      <c r="R9018">
        <v>8.9392299999999994E-2</v>
      </c>
      <c r="S9018">
        <v>2.9566189999999999</v>
      </c>
      <c r="T9018">
        <v>-0.18109330000000001</v>
      </c>
      <c r="U9018">
        <v>0.57043459999999901</v>
      </c>
      <c r="V9018">
        <v>-6.802714E-2</v>
      </c>
      <c r="W9018">
        <v>-2.086669E-2</v>
      </c>
      <c r="X9018">
        <v>0.9974653</v>
      </c>
      <c r="Y9018">
        <v>-0.16798540000000001</v>
      </c>
      <c r="Z9018">
        <v>5.2311900000000001E-3</v>
      </c>
      <c r="AA9018">
        <v>0.98577559999999997</v>
      </c>
      <c r="AB9018">
        <v>20</v>
      </c>
      <c r="AC9018">
        <v>18.2059</v>
      </c>
      <c r="AD9018">
        <v>-1.1211945367389999</v>
      </c>
      <c r="AE9018">
        <v>3.5297299999999998</v>
      </c>
      <c r="AF9018">
        <v>-3.12694355270248</v>
      </c>
      <c r="AG9018">
        <v>-1.1211945367389999</v>
      </c>
      <c r="AH9018">
        <v>18.2108642324127</v>
      </c>
      <c r="AI9018">
        <v>93.472411467735697</v>
      </c>
      <c r="AJ9018">
        <v>99.743107846022298</v>
      </c>
      <c r="AK9018">
        <v>18.511359465538199</v>
      </c>
      <c r="AL9018">
        <v>91.195659968058095</v>
      </c>
      <c r="AM9018">
        <v>93.901531036077898</v>
      </c>
      <c r="AN9018">
        <v>1.00000006761611</v>
      </c>
    </row>
    <row r="9019" spans="1:40" x14ac:dyDescent="0.25">
      <c r="A9019" t="str">
        <f>"20190303154016934"</f>
        <v>20190303154016934</v>
      </c>
      <c r="B9019" t="str">
        <f>"1551598816926572"</f>
        <v>1551598816926572</v>
      </c>
      <c r="C9019" t="s">
        <v>40</v>
      </c>
      <c r="D9019">
        <v>4.529693</v>
      </c>
      <c r="E9019">
        <v>0.46130890000000002</v>
      </c>
      <c r="F9019" t="s">
        <v>63</v>
      </c>
      <c r="G9019">
        <v>-197.51419999999999</v>
      </c>
      <c r="H9019" s="1">
        <v>-7.5375219999999996E-6</v>
      </c>
      <c r="I9019">
        <v>-58.886629999999997</v>
      </c>
      <c r="J9019">
        <v>-215.57929999999999</v>
      </c>
      <c r="K9019">
        <v>1.121183</v>
      </c>
      <c r="L9019">
        <v>-62.403689999999997</v>
      </c>
      <c r="M9019">
        <v>0.99968140000000005</v>
      </c>
      <c r="N9019">
        <v>-1.352975E-2</v>
      </c>
      <c r="O9019">
        <v>2.1310800000000001E-2</v>
      </c>
      <c r="P9019">
        <v>0.99531360000000002</v>
      </c>
      <c r="Q9019">
        <v>-3.5291759999999998E-2</v>
      </c>
      <c r="R9019">
        <v>9.003092E-2</v>
      </c>
      <c r="S9019">
        <v>2.9561160000000002</v>
      </c>
      <c r="T9019">
        <v>-0.18245339999999999</v>
      </c>
      <c r="U9019">
        <v>0.57266240000000002</v>
      </c>
      <c r="V9019">
        <v>-6.8806279999999997E-2</v>
      </c>
      <c r="W9019">
        <v>-2.177246E-2</v>
      </c>
      <c r="X9019">
        <v>0.99739239999999996</v>
      </c>
      <c r="Y9019">
        <v>-0.16886279999999901</v>
      </c>
      <c r="Z9019">
        <v>5.2969760000000001E-3</v>
      </c>
      <c r="AA9019">
        <v>0.98562530000000004</v>
      </c>
      <c r="AB9019">
        <v>20</v>
      </c>
      <c r="AC9019">
        <v>18.065100000000001</v>
      </c>
      <c r="AD9019">
        <v>-1.1211905375219999</v>
      </c>
      <c r="AE9019">
        <v>3.5170599999999999</v>
      </c>
      <c r="AF9019">
        <v>-3.1196662860676301</v>
      </c>
      <c r="AG9019">
        <v>-1.1211905375219999</v>
      </c>
      <c r="AH9019">
        <v>18.0688965310875</v>
      </c>
      <c r="AI9019">
        <v>93.499061877360205</v>
      </c>
      <c r="AJ9019">
        <v>99.795769020677</v>
      </c>
      <c r="AK9019">
        <v>18.370476526454102</v>
      </c>
      <c r="AL9019">
        <v>91.247568682189794</v>
      </c>
      <c r="AM9019">
        <v>93.946363846691</v>
      </c>
      <c r="AN9019">
        <v>0.99999997187982403</v>
      </c>
    </row>
    <row r="9020" spans="1:40" x14ac:dyDescent="0.25">
      <c r="A9020" t="str">
        <f>"20190303154016944"</f>
        <v>20190303154016944</v>
      </c>
      <c r="B9020" t="str">
        <f>"1551598816937307"</f>
        <v>1551598816937307</v>
      </c>
      <c r="C9020" t="s">
        <v>40</v>
      </c>
      <c r="D9020">
        <v>4.5334680000000001</v>
      </c>
      <c r="E9020">
        <v>0.46124850000000001</v>
      </c>
      <c r="F9020" t="s">
        <v>63</v>
      </c>
      <c r="G9020">
        <v>-197.62459999999999</v>
      </c>
      <c r="H9020" s="1">
        <v>-7.5420099999999998E-6</v>
      </c>
      <c r="I9020">
        <v>-58.909239999999997</v>
      </c>
      <c r="J9020">
        <v>-215.48689999999999</v>
      </c>
      <c r="K9020">
        <v>1.121183</v>
      </c>
      <c r="L9020">
        <v>-62.401859999999999</v>
      </c>
      <c r="M9020">
        <v>0.99968440000000003</v>
      </c>
      <c r="N9020">
        <v>-1.3509409999999999E-2</v>
      </c>
      <c r="O9020">
        <v>2.1183400000000002E-2</v>
      </c>
      <c r="P9020">
        <v>0.99521269999999995</v>
      </c>
      <c r="Q9020">
        <v>-3.6245850000000003E-2</v>
      </c>
      <c r="R9020">
        <v>9.0763140000000006E-2</v>
      </c>
      <c r="S9020">
        <v>2.9555509999999998</v>
      </c>
      <c r="T9020">
        <v>-0.18456130000000001</v>
      </c>
      <c r="U9020">
        <v>0.57522580000000001</v>
      </c>
      <c r="V9020">
        <v>-6.9667950000000006E-2</v>
      </c>
      <c r="W9020">
        <v>-2.2747650000000001E-2</v>
      </c>
      <c r="X9020">
        <v>0.99731080000000005</v>
      </c>
      <c r="Y9020">
        <v>-0.16983770000000001</v>
      </c>
      <c r="Z9020">
        <v>5.3827390000000001E-3</v>
      </c>
      <c r="AA9020">
        <v>0.98545740000000004</v>
      </c>
      <c r="AB9020">
        <v>20</v>
      </c>
      <c r="AC9020">
        <v>17.862300000000001</v>
      </c>
      <c r="AD9020">
        <v>-1.1211905420099999</v>
      </c>
      <c r="AE9020">
        <v>3.4926199999999898</v>
      </c>
      <c r="AF9020">
        <v>-3.10164723236963</v>
      </c>
      <c r="AG9020">
        <v>-1.1211905420099999</v>
      </c>
      <c r="AH9020">
        <v>17.864491111192301</v>
      </c>
      <c r="AI9020">
        <v>93.538423288289096</v>
      </c>
      <c r="AJ9020">
        <v>99.849553381577493</v>
      </c>
      <c r="AK9020">
        <v>18.166379013095298</v>
      </c>
      <c r="AL9020">
        <v>91.303456827074996</v>
      </c>
      <c r="AM9020">
        <v>93.995951448875104</v>
      </c>
      <c r="AN9020">
        <v>0.999999955317181</v>
      </c>
    </row>
    <row r="9021" spans="1:40" x14ac:dyDescent="0.25">
      <c r="A9021" t="str">
        <f>"20190303154016955"</f>
        <v>20190303154016955</v>
      </c>
      <c r="B9021" t="str">
        <f>"1551598816947067"</f>
        <v>1551598816947067</v>
      </c>
      <c r="C9021" t="s">
        <v>40</v>
      </c>
      <c r="D9021">
        <v>4.526745</v>
      </c>
      <c r="E9021">
        <v>0.4612076</v>
      </c>
      <c r="F9021" t="s">
        <v>63</v>
      </c>
      <c r="G9021">
        <v>-197.74799999999999</v>
      </c>
      <c r="H9021" s="1">
        <v>-7.5477739999999997E-6</v>
      </c>
      <c r="I9021">
        <v>-58.932360000000003</v>
      </c>
      <c r="J9021">
        <v>-215.38820000000001</v>
      </c>
      <c r="K9021">
        <v>1.1211789999999999</v>
      </c>
      <c r="L9021">
        <v>-62.399929999999998</v>
      </c>
      <c r="M9021">
        <v>0.99968760000000001</v>
      </c>
      <c r="N9021">
        <v>-1.3489070000000001E-2</v>
      </c>
      <c r="O9021">
        <v>2.1047110000000001E-2</v>
      </c>
      <c r="P9021">
        <v>0.99511620000000001</v>
      </c>
      <c r="Q9021">
        <v>-3.709407E-2</v>
      </c>
      <c r="R9021">
        <v>9.1477130000000004E-2</v>
      </c>
      <c r="S9021">
        <v>2.9549099999999999</v>
      </c>
      <c r="T9021">
        <v>-0.18676590000000001</v>
      </c>
      <c r="U9021">
        <v>0.57794190000000001</v>
      </c>
      <c r="V9021">
        <v>-7.0520120000000006E-2</v>
      </c>
      <c r="W9021">
        <v>-2.3616990000000001E-2</v>
      </c>
      <c r="X9021">
        <v>0.99723079999999997</v>
      </c>
      <c r="Y9021">
        <v>-0.17087430000000001</v>
      </c>
      <c r="Z9021">
        <v>5.4743229999999997E-3</v>
      </c>
      <c r="AA9021">
        <v>0.98527770000000003</v>
      </c>
      <c r="AB9021">
        <v>20</v>
      </c>
      <c r="AC9021">
        <v>17.6402</v>
      </c>
      <c r="AD9021">
        <v>-1.121186547774</v>
      </c>
      <c r="AE9021">
        <v>3.4675699999999998</v>
      </c>
      <c r="AF9021">
        <v>-3.0834997852516399</v>
      </c>
      <c r="AG9021">
        <v>-1.121186547774</v>
      </c>
      <c r="AH9021">
        <v>17.640668927818101</v>
      </c>
      <c r="AI9021">
        <v>93.582479892750598</v>
      </c>
      <c r="AJ9021">
        <v>99.914845534070196</v>
      </c>
      <c r="AK9021">
        <v>17.943194543376201</v>
      </c>
      <c r="AL9021">
        <v>91.353279593202203</v>
      </c>
      <c r="AM9021">
        <v>94.044991595182097</v>
      </c>
      <c r="AN9021">
        <v>1.00000005900505</v>
      </c>
    </row>
    <row r="9022" spans="1:40" x14ac:dyDescent="0.25">
      <c r="A9022" t="str">
        <f>"20190303154016966"</f>
        <v>20190303154016966</v>
      </c>
      <c r="B9022" t="str">
        <f>"1551598816956828"</f>
        <v>1551598816956828</v>
      </c>
      <c r="C9022" t="s">
        <v>40</v>
      </c>
      <c r="D9022">
        <v>4.5291090000000001</v>
      </c>
      <c r="E9022">
        <v>0.4611731</v>
      </c>
      <c r="F9022" t="s">
        <v>63</v>
      </c>
      <c r="G9022">
        <v>-197.8536</v>
      </c>
      <c r="H9022" s="1">
        <v>-7.5516269999999902E-6</v>
      </c>
      <c r="I9022">
        <v>-58.955219999999997</v>
      </c>
      <c r="J9022">
        <v>-215.2921</v>
      </c>
      <c r="K9022">
        <v>1.121175</v>
      </c>
      <c r="L9022">
        <v>-62.398069999999997</v>
      </c>
      <c r="M9022">
        <v>0.99969070000000004</v>
      </c>
      <c r="N9022">
        <v>-1.34702E-2</v>
      </c>
      <c r="O9022">
        <v>2.0914160000000001E-2</v>
      </c>
      <c r="P9022">
        <v>0.99501819999999996</v>
      </c>
      <c r="Q9022">
        <v>-3.7850590000000003E-2</v>
      </c>
      <c r="R9022">
        <v>9.2229530000000004E-2</v>
      </c>
      <c r="S9022">
        <v>2.9543300000000001</v>
      </c>
      <c r="T9022">
        <v>-0.18890319999999999</v>
      </c>
      <c r="U9022">
        <v>0.58038330000000005</v>
      </c>
      <c r="V9022">
        <v>-7.1407499999999999E-2</v>
      </c>
      <c r="W9022">
        <v>-2.4393149999999999E-2</v>
      </c>
      <c r="X9022">
        <v>0.9971489</v>
      </c>
      <c r="Y9022">
        <v>-0.17181579999999999</v>
      </c>
      <c r="Z9022">
        <v>5.5616930000000004E-3</v>
      </c>
      <c r="AA9022">
        <v>0.98511340000000003</v>
      </c>
      <c r="AB9022">
        <v>20</v>
      </c>
      <c r="AC9022">
        <v>17.438500000000001</v>
      </c>
      <c r="AD9022">
        <v>-1.121182551627</v>
      </c>
      <c r="AE9022">
        <v>3.44285</v>
      </c>
      <c r="AF9022">
        <v>-3.0651572437038301</v>
      </c>
      <c r="AG9022">
        <v>-1.121182551627</v>
      </c>
      <c r="AH9022">
        <v>17.437320133675101</v>
      </c>
      <c r="AI9022">
        <v>93.623527773736001</v>
      </c>
      <c r="AJ9022">
        <v>99.969682516340299</v>
      </c>
      <c r="AK9022">
        <v>17.740134517161199</v>
      </c>
      <c r="AL9022">
        <v>91.397763194994596</v>
      </c>
      <c r="AM9022">
        <v>94.096054282939605</v>
      </c>
      <c r="AN9022">
        <v>0.99999999279719098</v>
      </c>
    </row>
    <row r="9023" spans="1:40" x14ac:dyDescent="0.25">
      <c r="A9023" t="str">
        <f>"20190303154016977"</f>
        <v>20190303154016977</v>
      </c>
      <c r="B9023" t="str">
        <f>"1551598816966587"</f>
        <v>1551598816966587</v>
      </c>
      <c r="C9023" t="s">
        <v>40</v>
      </c>
      <c r="D9023">
        <v>4.534491</v>
      </c>
      <c r="E9023">
        <v>0.46121230000000002</v>
      </c>
      <c r="F9023" t="s">
        <v>63</v>
      </c>
      <c r="G9023">
        <v>-197.89670000000001</v>
      </c>
      <c r="H9023" s="1">
        <v>-7.5530560000000002E-6</v>
      </c>
      <c r="I9023">
        <v>-58.964970000000001</v>
      </c>
      <c r="J9023">
        <v>-215.1977</v>
      </c>
      <c r="K9023">
        <v>1.1211660000000001</v>
      </c>
      <c r="L9023">
        <v>-62.396210000000004</v>
      </c>
      <c r="M9023">
        <v>0.99969359999999996</v>
      </c>
      <c r="N9023">
        <v>-1.345319E-2</v>
      </c>
      <c r="O9023">
        <v>2.0783630000000001E-2</v>
      </c>
      <c r="P9023">
        <v>0.99492199999999997</v>
      </c>
      <c r="Q9023">
        <v>-3.8031780000000001E-2</v>
      </c>
      <c r="R9023">
        <v>9.3186560000000002E-2</v>
      </c>
      <c r="S9023">
        <v>2.9537659999999999</v>
      </c>
      <c r="T9023">
        <v>-0.19037889999999999</v>
      </c>
      <c r="U9023">
        <v>0.58294679999999999</v>
      </c>
      <c r="V9023">
        <v>-7.2496420000000006E-2</v>
      </c>
      <c r="W9023">
        <v>-2.4592019999999999E-2</v>
      </c>
      <c r="X9023">
        <v>0.99706539999999999</v>
      </c>
      <c r="Y9023">
        <v>-0.17279510000000001</v>
      </c>
      <c r="Z9023">
        <v>5.6369159999999996E-3</v>
      </c>
      <c r="AA9023">
        <v>0.98494170000000003</v>
      </c>
      <c r="AB9023">
        <v>20</v>
      </c>
      <c r="AC9023">
        <v>17.300999999999899</v>
      </c>
      <c r="AD9023">
        <v>-1.1211735530560001</v>
      </c>
      <c r="AE9023">
        <v>3.4312399999999998</v>
      </c>
      <c r="AF9023">
        <v>-3.0585302534023602</v>
      </c>
      <c r="AG9023">
        <v>-1.1211735530560001</v>
      </c>
      <c r="AH9023">
        <v>17.298684841162</v>
      </c>
      <c r="AI9023">
        <v>93.651821219511703</v>
      </c>
      <c r="AJ9023">
        <v>100.026676973196</v>
      </c>
      <c r="AK9023">
        <v>17.602730887021401</v>
      </c>
      <c r="AL9023">
        <v>91.4091610790895</v>
      </c>
      <c r="AM9023">
        <v>94.158646113473793</v>
      </c>
      <c r="AN9023">
        <v>0.999999955118827</v>
      </c>
    </row>
    <row r="9024" spans="1:40" x14ac:dyDescent="0.25">
      <c r="A9024" t="str">
        <f>"20190303154016989"</f>
        <v>20190303154016989</v>
      </c>
      <c r="B9024" t="str">
        <f>"1551598816977323"</f>
        <v>1551598816977323</v>
      </c>
      <c r="C9024" t="s">
        <v>40</v>
      </c>
      <c r="D9024">
        <v>4.5546410000000002</v>
      </c>
      <c r="E9024">
        <v>0.46121230000000002</v>
      </c>
      <c r="F9024" t="s">
        <v>63</v>
      </c>
      <c r="G9024">
        <v>-197.8409</v>
      </c>
      <c r="H9024" s="1">
        <v>-7.5502250000000002E-6</v>
      </c>
      <c r="I9024">
        <v>-58.95514</v>
      </c>
      <c r="J9024">
        <v>-215.1003</v>
      </c>
      <c r="K9024">
        <v>1.121164</v>
      </c>
      <c r="L9024">
        <v>-62.394350000000003</v>
      </c>
      <c r="M9024">
        <v>0.99969660000000005</v>
      </c>
      <c r="N9024">
        <v>-1.3436089999999999E-2</v>
      </c>
      <c r="O9024">
        <v>2.064881E-2</v>
      </c>
      <c r="P9024">
        <v>0.99482360000000003</v>
      </c>
      <c r="Q9024">
        <v>-3.7922570000000003E-2</v>
      </c>
      <c r="R9024">
        <v>9.4277050000000001E-2</v>
      </c>
      <c r="S9024">
        <v>2.9531710000000002</v>
      </c>
      <c r="T9024">
        <v>-0.19076170000000001</v>
      </c>
      <c r="U9024">
        <v>0.58547969999999905</v>
      </c>
      <c r="V9024">
        <v>-7.3723170000000005E-2</v>
      </c>
      <c r="W9024">
        <v>-2.4500549999999999E-2</v>
      </c>
      <c r="X9024">
        <v>0.99697769999999997</v>
      </c>
      <c r="Y9024">
        <v>-0.1737746</v>
      </c>
      <c r="Z9024">
        <v>5.6887969999999998E-3</v>
      </c>
      <c r="AA9024">
        <v>0.98476900000000001</v>
      </c>
      <c r="AB9024">
        <v>20</v>
      </c>
      <c r="AC9024">
        <v>17.259399999999999</v>
      </c>
      <c r="AD9024">
        <v>-1.1211715502249999</v>
      </c>
      <c r="AE9024">
        <v>3.4392100000000001</v>
      </c>
      <c r="AF9024">
        <v>-3.0695999475856999</v>
      </c>
      <c r="AG9024">
        <v>-1.1211715502249999</v>
      </c>
      <c r="AH9024">
        <v>17.256702516326499</v>
      </c>
      <c r="AI9024">
        <v>93.660002190812605</v>
      </c>
      <c r="AJ9024">
        <v>100.086203596581</v>
      </c>
      <c r="AK9024">
        <v>17.5634065949702</v>
      </c>
      <c r="AL9024">
        <v>91.4039186495515</v>
      </c>
      <c r="AM9024">
        <v>94.229134222417002</v>
      </c>
      <c r="AN9024">
        <v>0.99999995852121903</v>
      </c>
    </row>
    <row r="9025" spans="1:40" x14ac:dyDescent="0.25">
      <c r="A9025" t="str">
        <f>"20190303154017000"</f>
        <v>20190303154017000</v>
      </c>
      <c r="B9025" t="str">
        <f>"1551598816996842"</f>
        <v>1551598816996842</v>
      </c>
      <c r="C9025" t="s">
        <v>40</v>
      </c>
      <c r="D9025">
        <v>4.53268</v>
      </c>
      <c r="E9025">
        <v>0.47911510000000002</v>
      </c>
      <c r="F9025" t="s">
        <v>63</v>
      </c>
      <c r="G9025">
        <v>-197.73</v>
      </c>
      <c r="H9025" s="1">
        <v>-7.5462209999999998E-6</v>
      </c>
      <c r="I9025">
        <v>-58.931019999999997</v>
      </c>
      <c r="J9025">
        <v>-215.00059999999999</v>
      </c>
      <c r="K9025">
        <v>1.1211629999999999</v>
      </c>
      <c r="L9025">
        <v>-62.39246</v>
      </c>
      <c r="M9025">
        <v>0.99969960000000002</v>
      </c>
      <c r="N9025">
        <v>-1.3420410000000001E-2</v>
      </c>
      <c r="O9025">
        <v>2.0510589999999999E-2</v>
      </c>
      <c r="P9025">
        <v>0.99475860000000005</v>
      </c>
      <c r="Q9025">
        <v>-3.7446899999999998E-2</v>
      </c>
      <c r="R9025">
        <v>9.5148259999999998E-2</v>
      </c>
      <c r="S9025">
        <v>2.9525450000000002</v>
      </c>
      <c r="T9025">
        <v>-0.19057289999999999</v>
      </c>
      <c r="U9025">
        <v>0.58868409999999904</v>
      </c>
      <c r="V9025">
        <v>-7.4732759999999995E-2</v>
      </c>
      <c r="W9025">
        <v>-2.4040949999999998E-2</v>
      </c>
      <c r="X9025">
        <v>0.99691379999999996</v>
      </c>
      <c r="Y9025">
        <v>-0.1749762</v>
      </c>
      <c r="Z9025">
        <v>5.7369400000000003E-3</v>
      </c>
      <c r="AA9025">
        <v>0.98455599999999999</v>
      </c>
      <c r="AB9025">
        <v>20</v>
      </c>
      <c r="AC9025">
        <v>17.270600000000002</v>
      </c>
      <c r="AD9025">
        <v>-1.121170546221</v>
      </c>
      <c r="AE9025">
        <v>3.4614400000000001</v>
      </c>
      <c r="AF9025">
        <v>-3.0939143820616399</v>
      </c>
      <c r="AG9025">
        <v>-1.121170546221</v>
      </c>
      <c r="AH9025">
        <v>17.268006106944501</v>
      </c>
      <c r="AI9025">
        <v>93.656794566120496</v>
      </c>
      <c r="AJ9025">
        <v>100.157922424958</v>
      </c>
      <c r="AK9025">
        <v>17.5787759672485</v>
      </c>
      <c r="AL9025">
        <v>91.377577638089207</v>
      </c>
      <c r="AM9025">
        <v>94.287108722175105</v>
      </c>
      <c r="AN9025">
        <v>1.0000000386622701</v>
      </c>
    </row>
    <row r="9026" spans="1:40" x14ac:dyDescent="0.25">
      <c r="A9026" t="str">
        <f>"20190303154017011"</f>
        <v>20190303154017011</v>
      </c>
      <c r="B9026" t="str">
        <f>"1551598817006603"</f>
        <v>1551598817006603</v>
      </c>
      <c r="C9026" t="s">
        <v>40</v>
      </c>
      <c r="D9026">
        <v>4.5287179999999996</v>
      </c>
      <c r="E9026">
        <v>0.48036210000000001</v>
      </c>
      <c r="F9026" t="s">
        <v>63</v>
      </c>
      <c r="G9026">
        <v>-195.1944</v>
      </c>
      <c r="H9026" s="1">
        <v>-7.0999439999999999E-6</v>
      </c>
      <c r="I9026">
        <v>-59.389899999999997</v>
      </c>
      <c r="J9026">
        <v>-214.90389999999999</v>
      </c>
      <c r="K9026">
        <v>1.121165</v>
      </c>
      <c r="L9026">
        <v>-62.390630000000002</v>
      </c>
      <c r="M9026">
        <v>0.99970250000000005</v>
      </c>
      <c r="N9026">
        <v>-1.340482E-2</v>
      </c>
      <c r="O9026">
        <v>2.0376410000000001E-2</v>
      </c>
      <c r="P9026">
        <v>0.99466619999999994</v>
      </c>
      <c r="Q9026">
        <v>-3.714634E-2</v>
      </c>
      <c r="R9026">
        <v>9.6226919999999994E-2</v>
      </c>
      <c r="S9026">
        <v>2.9664760000000001</v>
      </c>
      <c r="T9026">
        <v>-0.16792319999999999</v>
      </c>
      <c r="U9026">
        <v>0.44970700000000002</v>
      </c>
      <c r="V9026">
        <v>-7.5946830000000007E-2</v>
      </c>
      <c r="W9026">
        <v>-2.3756570000000001E-2</v>
      </c>
      <c r="X9026">
        <v>0.99682879999999996</v>
      </c>
      <c r="Y9026">
        <v>-0.1294718</v>
      </c>
      <c r="Z9026">
        <v>3.6404739999999999E-3</v>
      </c>
      <c r="AA9026">
        <v>0.99157640000000002</v>
      </c>
      <c r="AB9026">
        <v>20</v>
      </c>
      <c r="AC9026">
        <v>19.709499999999899</v>
      </c>
      <c r="AD9026">
        <v>-1.121172099944</v>
      </c>
      <c r="AE9026">
        <v>3.0007299999999999</v>
      </c>
      <c r="AF9026">
        <v>-2.5902699929695698</v>
      </c>
      <c r="AG9026">
        <v>-1.121172099944</v>
      </c>
      <c r="AH9026">
        <v>19.704240524401399</v>
      </c>
      <c r="AI9026">
        <v>93.228900302369198</v>
      </c>
      <c r="AJ9026">
        <v>97.489016943574597</v>
      </c>
      <c r="AK9026">
        <v>19.905366617011399</v>
      </c>
      <c r="AL9026">
        <v>91.361279295030997</v>
      </c>
      <c r="AM9026">
        <v>94.3568589443733</v>
      </c>
      <c r="AN9026">
        <v>0.99999997605732605</v>
      </c>
    </row>
    <row r="9027" spans="1:40" x14ac:dyDescent="0.25">
      <c r="A9027" t="str">
        <f>"20190303154017022"</f>
        <v>20190303154017022</v>
      </c>
      <c r="B9027" t="str">
        <f>"1551598817017339"</f>
        <v>1551598817017339</v>
      </c>
      <c r="C9027" t="s">
        <v>40</v>
      </c>
      <c r="D9027">
        <v>4.5226790000000001</v>
      </c>
      <c r="E9027">
        <v>0.48143560000000002</v>
      </c>
      <c r="F9027" t="s">
        <v>63</v>
      </c>
      <c r="G9027">
        <v>-196.2834</v>
      </c>
      <c r="H9027" s="1">
        <v>-7.1442759999999997E-6</v>
      </c>
      <c r="I9027">
        <v>-59.612569999999998</v>
      </c>
      <c r="J9027">
        <v>-214.8038</v>
      </c>
      <c r="K9027">
        <v>1.1211629999999999</v>
      </c>
      <c r="L9027">
        <v>-62.388730000000002</v>
      </c>
      <c r="M9027">
        <v>0.99970570000000003</v>
      </c>
      <c r="N9027">
        <v>-1.33867E-2</v>
      </c>
      <c r="O9027">
        <v>2.0237370000000001E-2</v>
      </c>
      <c r="P9027">
        <v>0.99457989999999996</v>
      </c>
      <c r="Q9027">
        <v>-3.6829939999999999E-2</v>
      </c>
      <c r="R9027">
        <v>9.7235530000000001E-2</v>
      </c>
      <c r="S9027">
        <v>2.966599</v>
      </c>
      <c r="T9027">
        <v>-0.178624</v>
      </c>
      <c r="U9027">
        <v>0.4425964</v>
      </c>
      <c r="V9027">
        <v>-7.7095700000000003E-2</v>
      </c>
      <c r="W9027">
        <v>-2.345885E-2</v>
      </c>
      <c r="X9027">
        <v>0.99674770000000001</v>
      </c>
      <c r="Y9027">
        <v>-0.12725739999999999</v>
      </c>
      <c r="Z9027">
        <v>3.7232849999999998E-3</v>
      </c>
      <c r="AA9027">
        <v>0.99186269999999999</v>
      </c>
      <c r="AB9027">
        <v>19</v>
      </c>
      <c r="AC9027">
        <v>18.520399999999899</v>
      </c>
      <c r="AD9027">
        <v>-1.12117014427599</v>
      </c>
      <c r="AE9027">
        <v>2.77616</v>
      </c>
      <c r="AF9027">
        <v>-2.3921795736353202</v>
      </c>
      <c r="AG9027">
        <v>-1.12117014427599</v>
      </c>
      <c r="AH9027">
        <v>18.5064627727239</v>
      </c>
      <c r="AI9027">
        <v>93.438354954756406</v>
      </c>
      <c r="AJ9027">
        <v>97.365318076464206</v>
      </c>
      <c r="AK9027">
        <v>18.694082217727299</v>
      </c>
      <c r="AL9027">
        <v>91.344216379188595</v>
      </c>
      <c r="AM9027">
        <v>94.422865305445299</v>
      </c>
      <c r="AN9027">
        <v>1.00000002102855</v>
      </c>
    </row>
    <row r="9028" spans="1:40" x14ac:dyDescent="0.25">
      <c r="A9028" t="str">
        <f>"20190303154017034"</f>
        <v>20190303154017034</v>
      </c>
      <c r="B9028" t="str">
        <f>"1551598817027099"</f>
        <v>1551598817027099</v>
      </c>
      <c r="C9028" t="s">
        <v>40</v>
      </c>
      <c r="D9028">
        <v>4.5188769999999998</v>
      </c>
      <c r="E9028">
        <v>0.4822303</v>
      </c>
      <c r="F9028" t="s">
        <v>63</v>
      </c>
      <c r="G9028">
        <v>-196.75290000000001</v>
      </c>
      <c r="H9028" s="1">
        <v>-7.155534E-6</v>
      </c>
      <c r="I9028">
        <v>-59.7309699999999</v>
      </c>
      <c r="J9028">
        <v>-214.70480000000001</v>
      </c>
      <c r="K9028">
        <v>1.1211580000000001</v>
      </c>
      <c r="L9028">
        <v>-62.386899999999997</v>
      </c>
      <c r="M9028">
        <v>0.99970870000000001</v>
      </c>
      <c r="N9028">
        <v>-1.3365299999999899E-2</v>
      </c>
      <c r="O9028">
        <v>2.0099840000000001E-2</v>
      </c>
      <c r="P9028">
        <v>0.9945022</v>
      </c>
      <c r="Q9028">
        <v>-3.6787359999999998E-2</v>
      </c>
      <c r="R9028">
        <v>9.8041710000000004E-2</v>
      </c>
      <c r="S9028">
        <v>2.9668269999999999</v>
      </c>
      <c r="T9028">
        <v>-0.18427479999999999</v>
      </c>
      <c r="U9028">
        <v>0.43682860000000001</v>
      </c>
      <c r="V9028">
        <v>-7.8040100000000001E-2</v>
      </c>
      <c r="W9028">
        <v>-2.3438170000000001E-2</v>
      </c>
      <c r="X9028">
        <v>0.99667470000000002</v>
      </c>
      <c r="Y9028">
        <v>-0.1254854</v>
      </c>
      <c r="Z9028">
        <v>3.7436420000000002E-3</v>
      </c>
      <c r="AA9028">
        <v>0.99208839999999998</v>
      </c>
      <c r="AB9028">
        <v>19</v>
      </c>
      <c r="AC9028">
        <v>17.951899999999899</v>
      </c>
      <c r="AD9028">
        <v>-1.1211651555339901</v>
      </c>
      <c r="AE9028">
        <v>2.6559300000000001</v>
      </c>
      <c r="AF9028">
        <v>-2.2858060432082699</v>
      </c>
      <c r="AG9028">
        <v>-1.1211651555339901</v>
      </c>
      <c r="AH9028">
        <v>17.933211279249299</v>
      </c>
      <c r="AI9028">
        <v>93.548777302585194</v>
      </c>
      <c r="AJ9028">
        <v>97.263875667432998</v>
      </c>
      <c r="AK9028">
        <v>18.1130336321486</v>
      </c>
      <c r="AL9028">
        <v>91.343031162791902</v>
      </c>
      <c r="AM9028">
        <v>94.477151770830105</v>
      </c>
      <c r="AN9028">
        <v>1.00000003132052</v>
      </c>
    </row>
    <row r="9029" spans="1:40" x14ac:dyDescent="0.25">
      <c r="A9029" t="str">
        <f>"20190303154017045"</f>
        <v>20190303154017045</v>
      </c>
      <c r="B9029" t="str">
        <f>"1551598817036860"</f>
        <v>1551598817036860</v>
      </c>
      <c r="C9029" t="s">
        <v>40</v>
      </c>
      <c r="D9029">
        <v>4.4181470000000003</v>
      </c>
      <c r="E9029">
        <v>0.48376989999999997</v>
      </c>
      <c r="F9029" t="s">
        <v>63</v>
      </c>
      <c r="G9029">
        <v>-196.8295</v>
      </c>
      <c r="H9029" s="1">
        <v>-7.1474600000000003E-6</v>
      </c>
      <c r="I9029">
        <v>-59.778509999999997</v>
      </c>
      <c r="J9029">
        <v>-214.60929999999999</v>
      </c>
      <c r="K9029">
        <v>1.121154</v>
      </c>
      <c r="L9029">
        <v>-62.385100000000001</v>
      </c>
      <c r="M9029">
        <v>0.99971169999999998</v>
      </c>
      <c r="N9029">
        <v>-1.334023E-2</v>
      </c>
      <c r="O9029">
        <v>1.9967039999999998E-2</v>
      </c>
      <c r="P9029">
        <v>0.99439820000000001</v>
      </c>
      <c r="Q9029">
        <v>-3.7047700000000003E-2</v>
      </c>
      <c r="R9029">
        <v>9.8995509999999995E-2</v>
      </c>
      <c r="S9029">
        <v>2.9670260000000002</v>
      </c>
      <c r="T9029">
        <v>-0.18609609999999999</v>
      </c>
      <c r="U9029">
        <v>0.43295289999999997</v>
      </c>
      <c r="V9029">
        <v>-7.9128320000000002E-2</v>
      </c>
      <c r="W9029">
        <v>-2.3724289999999999E-2</v>
      </c>
      <c r="X9029">
        <v>0.99658210000000003</v>
      </c>
      <c r="Y9029">
        <v>-0.1243368</v>
      </c>
      <c r="Z9029">
        <v>3.7305569999999998E-3</v>
      </c>
      <c r="AA9029">
        <v>0.99223300000000003</v>
      </c>
      <c r="AB9029">
        <v>19</v>
      </c>
      <c r="AC9029">
        <v>17.779799999999899</v>
      </c>
      <c r="AD9029">
        <v>-1.1211611474600001</v>
      </c>
      <c r="AE9029">
        <v>2.6065900000000002</v>
      </c>
      <c r="AF9029">
        <v>-2.2423001822501001</v>
      </c>
      <c r="AG9029">
        <v>-1.1211611474600001</v>
      </c>
      <c r="AH9029">
        <v>17.759174760432</v>
      </c>
      <c r="AI9029">
        <v>93.583987502229107</v>
      </c>
      <c r="AJ9029">
        <v>97.196172350575793</v>
      </c>
      <c r="AK9029">
        <v>17.935250223998999</v>
      </c>
      <c r="AL9029">
        <v>91.359429223050995</v>
      </c>
      <c r="AM9029">
        <v>94.539743715967504</v>
      </c>
      <c r="AN9029">
        <v>1.0000000075012101</v>
      </c>
    </row>
    <row r="9030" spans="1:40" x14ac:dyDescent="0.25">
      <c r="A9030" t="str">
        <f>"20190303154017057"</f>
        <v>20190303154017057</v>
      </c>
      <c r="B9030" t="str">
        <f>"1551598817047595"</f>
        <v>1551598817047595</v>
      </c>
      <c r="C9030" t="s">
        <v>40</v>
      </c>
      <c r="D9030">
        <v>4.3795080000000004</v>
      </c>
      <c r="E9030">
        <v>0.48498360000000001</v>
      </c>
      <c r="F9030" t="s">
        <v>63</v>
      </c>
      <c r="G9030">
        <v>-195.79259999999999</v>
      </c>
      <c r="H9030" s="1">
        <v>-7.0589399999999904E-6</v>
      </c>
      <c r="I9030">
        <v>-59.698410000000003</v>
      </c>
      <c r="J9030">
        <v>-214.5094</v>
      </c>
      <c r="K9030">
        <v>1.1211450000000001</v>
      </c>
      <c r="L9030">
        <v>-62.383270000000003</v>
      </c>
      <c r="M9030">
        <v>0.99971489999999996</v>
      </c>
      <c r="N9030">
        <v>-1.3305279999999999E-2</v>
      </c>
      <c r="O9030">
        <v>1.9828390000000001E-2</v>
      </c>
      <c r="P9030">
        <v>0.99429670000000003</v>
      </c>
      <c r="Q9030">
        <v>-3.7436469999999999E-2</v>
      </c>
      <c r="R9030">
        <v>9.9862259999999994E-2</v>
      </c>
      <c r="S9030">
        <v>2.96814</v>
      </c>
      <c r="T9030">
        <v>-0.1768517</v>
      </c>
      <c r="U9030">
        <v>0.4237976</v>
      </c>
      <c r="V9030">
        <v>-8.0134899999999995E-2</v>
      </c>
      <c r="W9030">
        <v>-2.4148530000000001E-2</v>
      </c>
      <c r="X9030">
        <v>0.99649149999999997</v>
      </c>
      <c r="Y9030">
        <v>-0.1214517</v>
      </c>
      <c r="Z9030">
        <v>3.4982479999999998E-3</v>
      </c>
      <c r="AA9030">
        <v>0.99259120000000001</v>
      </c>
      <c r="AB9030">
        <v>19</v>
      </c>
      <c r="AC9030">
        <v>18.716799999999999</v>
      </c>
      <c r="AD9030">
        <v>-1.1211520589399999</v>
      </c>
      <c r="AE9030">
        <v>2.68486</v>
      </c>
      <c r="AF9030">
        <v>-2.3050711146829501</v>
      </c>
      <c r="AG9030">
        <v>-1.1211520589399999</v>
      </c>
      <c r="AH9030">
        <v>18.700613750044401</v>
      </c>
      <c r="AI9030">
        <v>93.405219593680201</v>
      </c>
      <c r="AJ9030">
        <v>97.026935520189696</v>
      </c>
      <c r="AK9030">
        <v>18.875467925626602</v>
      </c>
      <c r="AL9030">
        <v>91.383743317558199</v>
      </c>
      <c r="AM9030">
        <v>94.597663332161602</v>
      </c>
      <c r="AN9030">
        <v>1.0000000316357101</v>
      </c>
    </row>
    <row r="9031" spans="1:40" x14ac:dyDescent="0.25">
      <c r="A9031" t="str">
        <f>"20190303154017068"</f>
        <v>20190303154017068</v>
      </c>
      <c r="B9031" t="str">
        <f>"1551598817057355"</f>
        <v>1551598817057355</v>
      </c>
      <c r="C9031" t="s">
        <v>40</v>
      </c>
      <c r="D9031">
        <v>4.4593689999999997</v>
      </c>
      <c r="E9031">
        <v>0.48564010000000002</v>
      </c>
      <c r="F9031" t="s">
        <v>63</v>
      </c>
      <c r="G9031">
        <v>-194.85560000000001</v>
      </c>
      <c r="H9031" s="1">
        <v>-6.9802760000000001E-6</v>
      </c>
      <c r="I9031">
        <v>-59.622259999999997</v>
      </c>
      <c r="J9031">
        <v>-214.4092</v>
      </c>
      <c r="K9031">
        <v>1.1211329999999999</v>
      </c>
      <c r="L9031">
        <v>-62.381439999999998</v>
      </c>
      <c r="M9031">
        <v>0.9997182</v>
      </c>
      <c r="N9031">
        <v>-1.326535E-2</v>
      </c>
      <c r="O9031">
        <v>1.9689120000000001E-2</v>
      </c>
      <c r="P9031">
        <v>0.99419270000000004</v>
      </c>
      <c r="Q9031">
        <v>-3.7814790000000001E-2</v>
      </c>
      <c r="R9031">
        <v>0.1007522</v>
      </c>
      <c r="S9031">
        <v>2.9689480000000001</v>
      </c>
      <c r="T9031">
        <v>-0.1693636</v>
      </c>
      <c r="U9031">
        <v>0.4170837</v>
      </c>
      <c r="V9031">
        <v>-8.1166089999999996E-2</v>
      </c>
      <c r="W9031">
        <v>-2.4567200000000001E-2</v>
      </c>
      <c r="X9031">
        <v>0.9963978</v>
      </c>
      <c r="Y9031">
        <v>-0.1193728</v>
      </c>
      <c r="Z9031">
        <v>3.3254249999999999E-3</v>
      </c>
      <c r="AA9031">
        <v>0.9928439</v>
      </c>
      <c r="AB9031">
        <v>19</v>
      </c>
      <c r="AC9031">
        <v>19.5535999999999</v>
      </c>
      <c r="AD9031">
        <v>-1.121139980276</v>
      </c>
      <c r="AE9031">
        <v>2.7591800000000002</v>
      </c>
      <c r="AF9031">
        <v>-2.3659916537921601</v>
      </c>
      <c r="AG9031">
        <v>-1.121139980276</v>
      </c>
      <c r="AH9031">
        <v>19.541152056569899</v>
      </c>
      <c r="AI9031">
        <v>93.259891289046294</v>
      </c>
      <c r="AJ9031">
        <v>96.903619142206296</v>
      </c>
      <c r="AK9031">
        <v>19.715767676131001</v>
      </c>
      <c r="AL9031">
        <v>91.407738464450802</v>
      </c>
      <c r="AM9031">
        <v>94.657004305259605</v>
      </c>
      <c r="AN9031">
        <v>1.00000002866328</v>
      </c>
    </row>
    <row r="9032" spans="1:40" x14ac:dyDescent="0.25">
      <c r="A9032" t="str">
        <f>"20190303154017078"</f>
        <v>20190303154017078</v>
      </c>
      <c r="B9032" t="str">
        <f>"1551598817067116"</f>
        <v>1551598817067116</v>
      </c>
      <c r="C9032" t="s">
        <v>40</v>
      </c>
      <c r="D9032">
        <v>4.5044599999999999</v>
      </c>
      <c r="E9032">
        <v>0.48588989999999999</v>
      </c>
      <c r="F9032" t="s">
        <v>63</v>
      </c>
      <c r="G9032">
        <v>-194.8201</v>
      </c>
      <c r="H9032" s="1">
        <v>-6.9677710000000003E-6</v>
      </c>
      <c r="I9032">
        <v>-59.646529999999998</v>
      </c>
      <c r="J9032">
        <v>-214.31729999999999</v>
      </c>
      <c r="K9032">
        <v>1.121122</v>
      </c>
      <c r="L9032">
        <v>-62.379759999999997</v>
      </c>
      <c r="M9032">
        <v>0.99972130000000003</v>
      </c>
      <c r="N9032">
        <v>-1.3213269999999999E-2</v>
      </c>
      <c r="O9032">
        <v>1.956244E-2</v>
      </c>
      <c r="P9032">
        <v>0.99408549999999996</v>
      </c>
      <c r="Q9032">
        <v>-3.8141590000000003E-2</v>
      </c>
      <c r="R9032">
        <v>0.1016833</v>
      </c>
      <c r="S9032">
        <v>2.9690400000000001</v>
      </c>
      <c r="T9032">
        <v>-0.16992689999999999</v>
      </c>
      <c r="U9032">
        <v>0.41452030000000001</v>
      </c>
      <c r="V9032">
        <v>-8.2225270000000003E-2</v>
      </c>
      <c r="W9032">
        <v>-2.4946389999999999E-2</v>
      </c>
      <c r="X9032">
        <v>0.99630149999999995</v>
      </c>
      <c r="Y9032">
        <v>-0.11865390000000001</v>
      </c>
      <c r="Z9032">
        <v>3.3091489999999999E-3</v>
      </c>
      <c r="AA9032">
        <v>0.99293019999999999</v>
      </c>
      <c r="AB9032">
        <v>19</v>
      </c>
      <c r="AC9032">
        <v>19.4971999999999</v>
      </c>
      <c r="AD9032">
        <v>-1.1211289677709999</v>
      </c>
      <c r="AE9032">
        <v>2.7332299999999901</v>
      </c>
      <c r="AF9032">
        <v>-2.3436608297900201</v>
      </c>
      <c r="AG9032">
        <v>-1.1211289677709999</v>
      </c>
      <c r="AH9032">
        <v>19.483760488467301</v>
      </c>
      <c r="AI9032">
        <v>93.269747189859501</v>
      </c>
      <c r="AJ9032">
        <v>96.859034720395201</v>
      </c>
      <c r="AK9032">
        <v>19.656210189643001</v>
      </c>
      <c r="AL9032">
        <v>91.429471155195102</v>
      </c>
      <c r="AM9032">
        <v>94.717957454788404</v>
      </c>
      <c r="AN9032">
        <v>0.99999999815142704</v>
      </c>
    </row>
    <row r="9033" spans="1:40" x14ac:dyDescent="0.25">
      <c r="A9033" t="str">
        <f>"20190303154017089"</f>
        <v>20190303154017089</v>
      </c>
      <c r="B9033" t="str">
        <f>"1551598817076878"</f>
        <v>1551598817076878</v>
      </c>
      <c r="C9033" t="s">
        <v>40</v>
      </c>
      <c r="D9033">
        <v>4.4594069999999997</v>
      </c>
      <c r="E9033">
        <v>0.4864889</v>
      </c>
      <c r="F9033" t="s">
        <v>63</v>
      </c>
      <c r="G9033">
        <v>-195.2166</v>
      </c>
      <c r="H9033" s="1">
        <v>-6.9908619999999996E-6</v>
      </c>
      <c r="I9033">
        <v>-59.70778</v>
      </c>
      <c r="J9033">
        <v>-214.2226</v>
      </c>
      <c r="K9033">
        <v>1.1211139999999999</v>
      </c>
      <c r="L9033">
        <v>-62.378079999999997</v>
      </c>
      <c r="M9033">
        <v>0.99972470000000002</v>
      </c>
      <c r="N9033">
        <v>-1.315702E-2</v>
      </c>
      <c r="O9033">
        <v>1.9432089999999999E-2</v>
      </c>
      <c r="P9033">
        <v>0.99396379999999995</v>
      </c>
      <c r="Q9033">
        <v>-3.8272050000000002E-2</v>
      </c>
      <c r="R9033">
        <v>0.102816</v>
      </c>
      <c r="S9033">
        <v>2.968658</v>
      </c>
      <c r="T9033">
        <v>-0.17424709999999999</v>
      </c>
      <c r="U9033">
        <v>0.41528320000000002</v>
      </c>
      <c r="V9033">
        <v>-8.3490400000000006E-2</v>
      </c>
      <c r="W9033">
        <v>-2.513344E-2</v>
      </c>
      <c r="X9033">
        <v>0.99619159999999995</v>
      </c>
      <c r="Y9033">
        <v>-0.1190407</v>
      </c>
      <c r="Z9033">
        <v>3.3821810000000002E-3</v>
      </c>
      <c r="AA9033">
        <v>0.99288359999999998</v>
      </c>
      <c r="AB9033">
        <v>19</v>
      </c>
      <c r="AC9033">
        <v>19.006</v>
      </c>
      <c r="AD9033">
        <v>-1.1211209908619999</v>
      </c>
      <c r="AE9033">
        <v>2.6702999999999899</v>
      </c>
      <c r="AF9033">
        <v>-2.2926146110452499</v>
      </c>
      <c r="AG9033">
        <v>-1.1211209908619999</v>
      </c>
      <c r="AH9033">
        <v>18.989508682294399</v>
      </c>
      <c r="AI9033">
        <v>93.354459232037698</v>
      </c>
      <c r="AJ9033">
        <v>96.884035411170302</v>
      </c>
      <c r="AK9033">
        <v>19.160230531647201</v>
      </c>
      <c r="AL9033">
        <v>91.440191660278202</v>
      </c>
      <c r="AM9033">
        <v>94.790739382116499</v>
      </c>
      <c r="AN9033">
        <v>1.0000000203044701</v>
      </c>
    </row>
    <row r="9034" spans="1:40" x14ac:dyDescent="0.25">
      <c r="A9034" t="str">
        <f>"20190303154017101"</f>
        <v>20190303154017101</v>
      </c>
      <c r="B9034" t="str">
        <f>"1551598817097372"</f>
        <v>1551598817097372</v>
      </c>
      <c r="C9034" t="s">
        <v>40</v>
      </c>
      <c r="D9034">
        <v>4.4622080000000004</v>
      </c>
      <c r="E9034">
        <v>0.48774469999999998</v>
      </c>
      <c r="F9034" t="s">
        <v>63</v>
      </c>
      <c r="G9034">
        <v>-195.12819999999999</v>
      </c>
      <c r="H9034" s="1">
        <v>-6.9780890000000001E-6</v>
      </c>
      <c r="I9034">
        <v>-59.71584</v>
      </c>
      <c r="J9034">
        <v>-214.11940000000001</v>
      </c>
      <c r="K9034">
        <v>1.1211040000000001</v>
      </c>
      <c r="L9034">
        <v>-62.376220000000004</v>
      </c>
      <c r="M9034">
        <v>0.99972859999999997</v>
      </c>
      <c r="N9034">
        <v>-1.3073889999999999E-2</v>
      </c>
      <c r="O9034">
        <v>1.928815E-2</v>
      </c>
      <c r="P9034">
        <v>0.9938688</v>
      </c>
      <c r="Q9034">
        <v>-3.7418809999999997E-2</v>
      </c>
      <c r="R9034">
        <v>0.1040417</v>
      </c>
      <c r="S9034">
        <v>2.9686889999999999</v>
      </c>
      <c r="T9034">
        <v>-0.1743056</v>
      </c>
      <c r="U9034">
        <v>0.4139099</v>
      </c>
      <c r="V9034">
        <v>-8.4860469999999993E-2</v>
      </c>
      <c r="W9034">
        <v>-2.4363860000000001E-2</v>
      </c>
      <c r="X9034">
        <v>0.99609490000000001</v>
      </c>
      <c r="Y9034">
        <v>-0.1187325</v>
      </c>
      <c r="Z9034">
        <v>3.3719100000000001E-3</v>
      </c>
      <c r="AA9034">
        <v>0.99292060000000004</v>
      </c>
      <c r="AB9034">
        <v>19</v>
      </c>
      <c r="AC9034">
        <v>18.991199999999999</v>
      </c>
      <c r="AD9034">
        <v>-1.1211109780890001</v>
      </c>
      <c r="AE9034">
        <v>2.6603799999999902</v>
      </c>
      <c r="AF9034">
        <v>-2.2857363201149798</v>
      </c>
      <c r="AG9034">
        <v>-1.1211109780890001</v>
      </c>
      <c r="AH9034">
        <v>18.974133922123801</v>
      </c>
      <c r="AI9034">
        <v>93.357246608775895</v>
      </c>
      <c r="AJ9034">
        <v>96.869087722495493</v>
      </c>
      <c r="AK9034">
        <v>19.144169829088298</v>
      </c>
      <c r="AL9034">
        <v>91.396084529744797</v>
      </c>
      <c r="AM9034">
        <v>94.8694504801216</v>
      </c>
      <c r="AN9034">
        <v>0.99999997342436397</v>
      </c>
    </row>
    <row r="9035" spans="1:40" x14ac:dyDescent="0.25">
      <c r="A9035" t="str">
        <f>"20190303154017112"</f>
        <v>20190303154017112</v>
      </c>
      <c r="B9035" t="str">
        <f>"1551598817107131"</f>
        <v>1551598817107131</v>
      </c>
      <c r="C9035" t="s">
        <v>40</v>
      </c>
      <c r="D9035">
        <v>4.4273550000000004</v>
      </c>
      <c r="E9035">
        <v>0.48819370000000001</v>
      </c>
      <c r="F9035" t="s">
        <v>63</v>
      </c>
      <c r="G9035">
        <v>-194.10329999999999</v>
      </c>
      <c r="H9035" s="1">
        <v>-6.8940689999999898E-6</v>
      </c>
      <c r="I9035">
        <v>-59.626800000000003</v>
      </c>
      <c r="J9035">
        <v>-214.02180000000001</v>
      </c>
      <c r="K9035">
        <v>1.121097</v>
      </c>
      <c r="L9035">
        <v>-62.374510000000001</v>
      </c>
      <c r="M9035">
        <v>0.99973219999999996</v>
      </c>
      <c r="N9035">
        <v>-1.298964E-2</v>
      </c>
      <c r="O9035">
        <v>1.9151189999999998E-2</v>
      </c>
      <c r="P9035">
        <v>0.99375809999999998</v>
      </c>
      <c r="Q9035">
        <v>-3.662456E-2</v>
      </c>
      <c r="R9035">
        <v>0.10537340000000001</v>
      </c>
      <c r="S9035">
        <v>2.9695429999999998</v>
      </c>
      <c r="T9035">
        <v>-0.16632559999999999</v>
      </c>
      <c r="U9035">
        <v>0.40789789999999998</v>
      </c>
      <c r="V9035">
        <v>-8.6330470000000006E-2</v>
      </c>
      <c r="W9035">
        <v>-2.3654629999999999E-2</v>
      </c>
      <c r="X9035">
        <v>0.99598569999999997</v>
      </c>
      <c r="Y9035">
        <v>-0.11687839999999999</v>
      </c>
      <c r="Z9035">
        <v>3.1999300000000001E-3</v>
      </c>
      <c r="AA9035">
        <v>0.9931411</v>
      </c>
      <c r="AB9035">
        <v>19</v>
      </c>
      <c r="AC9035">
        <v>19.918500000000002</v>
      </c>
      <c r="AD9035">
        <v>-1.1211038940689999</v>
      </c>
      <c r="AE9035">
        <v>2.7477099999999899</v>
      </c>
      <c r="AF9035">
        <v>-2.3583791021935498</v>
      </c>
      <c r="AG9035">
        <v>-1.1211038940689999</v>
      </c>
      <c r="AH9035">
        <v>19.905590327863599</v>
      </c>
      <c r="AI9035">
        <v>93.201210832319603</v>
      </c>
      <c r="AJ9035">
        <v>96.756804710011195</v>
      </c>
      <c r="AK9035">
        <v>20.076138877575399</v>
      </c>
      <c r="AL9035">
        <v>91.355436884672599</v>
      </c>
      <c r="AM9035">
        <v>94.953926054815895</v>
      </c>
      <c r="AN9035">
        <v>1.0000000030876699</v>
      </c>
    </row>
    <row r="9036" spans="1:40" x14ac:dyDescent="0.25">
      <c r="A9036" t="str">
        <f>"20190303154017123"</f>
        <v>20190303154017123</v>
      </c>
      <c r="B9036" t="str">
        <f>"1551598817116892"</f>
        <v>1551598817116892</v>
      </c>
      <c r="C9036" t="s">
        <v>40</v>
      </c>
      <c r="D9036">
        <v>4.4660630000000001</v>
      </c>
      <c r="E9036">
        <v>0.48860120000000001</v>
      </c>
      <c r="F9036" t="s">
        <v>63</v>
      </c>
      <c r="G9036">
        <v>-193.6276</v>
      </c>
      <c r="H9036" s="1">
        <v>-6.860494E-6</v>
      </c>
      <c r="I9036">
        <v>-59.569989999999997</v>
      </c>
      <c r="J9036">
        <v>-213.92660000000001</v>
      </c>
      <c r="K9036">
        <v>1.1210880000000001</v>
      </c>
      <c r="L9036">
        <v>-62.37283</v>
      </c>
      <c r="M9036">
        <v>0.99973610000000002</v>
      </c>
      <c r="N9036">
        <v>-1.289525E-2</v>
      </c>
      <c r="O9036">
        <v>1.9015919999999999E-2</v>
      </c>
      <c r="P9036">
        <v>0.99363820000000003</v>
      </c>
      <c r="Q9036">
        <v>-3.5542280000000002E-2</v>
      </c>
      <c r="R9036">
        <v>0.1068645</v>
      </c>
      <c r="S9036">
        <v>2.9695279999999999</v>
      </c>
      <c r="T9036">
        <v>-0.16323950000000001</v>
      </c>
      <c r="U9036">
        <v>0.40835569999999999</v>
      </c>
      <c r="V9036">
        <v>-8.7957549999999995E-2</v>
      </c>
      <c r="W9036">
        <v>-2.2667710000000001E-2</v>
      </c>
      <c r="X9036">
        <v>0.99586629999999998</v>
      </c>
      <c r="Y9036">
        <v>-0.11717</v>
      </c>
      <c r="Z9036">
        <v>3.1675200000000001E-3</v>
      </c>
      <c r="AA9036">
        <v>0.99310679999999996</v>
      </c>
      <c r="AB9036">
        <v>19</v>
      </c>
      <c r="AC9036">
        <v>20.298999999999999</v>
      </c>
      <c r="AD9036">
        <v>-1.1210948604940001</v>
      </c>
      <c r="AE9036">
        <v>2.8028400000000002</v>
      </c>
      <c r="AF9036">
        <v>-2.4090860458294401</v>
      </c>
      <c r="AG9036">
        <v>-1.1210948604940001</v>
      </c>
      <c r="AH9036">
        <v>20.287906526424401</v>
      </c>
      <c r="AI9036">
        <v>93.140884402421193</v>
      </c>
      <c r="AJ9036">
        <v>96.771873531060905</v>
      </c>
      <c r="AK9036">
        <v>20.461175442465901</v>
      </c>
      <c r="AL9036">
        <v>91.298875334849001</v>
      </c>
      <c r="AM9036">
        <v>95.047417450583893</v>
      </c>
      <c r="AN9036">
        <v>1.0000000215771601</v>
      </c>
    </row>
    <row r="9037" spans="1:40" x14ac:dyDescent="0.25">
      <c r="A9037" t="str">
        <f>"20190303154017135"</f>
        <v>20190303154017135</v>
      </c>
      <c r="B9037" t="str">
        <f>"1551598817126652"</f>
        <v>1551598817126652</v>
      </c>
      <c r="C9037" t="s">
        <v>40</v>
      </c>
      <c r="D9037">
        <v>4.4789300000000001</v>
      </c>
      <c r="E9037">
        <v>0.4889598</v>
      </c>
      <c r="F9037" t="s">
        <v>63</v>
      </c>
      <c r="G9037">
        <v>-193.0376</v>
      </c>
      <c r="H9037" s="1">
        <v>-6.8217310000000001E-6</v>
      </c>
      <c r="I9037">
        <v>-59.491370000000003</v>
      </c>
      <c r="J9037">
        <v>-213.82980000000001</v>
      </c>
      <c r="K9037">
        <v>1.1210789999999999</v>
      </c>
      <c r="L9037">
        <v>-62.371119999999998</v>
      </c>
      <c r="M9037">
        <v>0.99973999999999996</v>
      </c>
      <c r="N9037">
        <v>-1.279072E-2</v>
      </c>
      <c r="O9037">
        <v>1.8877910000000001E-2</v>
      </c>
      <c r="P9037">
        <v>0.99354129999999996</v>
      </c>
      <c r="Q9037">
        <v>-3.4231709999999999E-2</v>
      </c>
      <c r="R9037">
        <v>0.1081857</v>
      </c>
      <c r="S9037">
        <v>2.9694210000000001</v>
      </c>
      <c r="T9037">
        <v>-0.1593667</v>
      </c>
      <c r="U9037">
        <v>0.4096069</v>
      </c>
      <c r="V9037">
        <v>-8.9417200000000002E-2</v>
      </c>
      <c r="W9037">
        <v>-2.1462450000000001E-2</v>
      </c>
      <c r="X9037">
        <v>0.99576299999999995</v>
      </c>
      <c r="Y9037">
        <v>-0.11773</v>
      </c>
      <c r="Z9037">
        <v>3.1322820000000001E-3</v>
      </c>
      <c r="AA9037">
        <v>0.9930407</v>
      </c>
      <c r="AB9037">
        <v>19</v>
      </c>
      <c r="AC9037">
        <v>20.792200000000001</v>
      </c>
      <c r="AD9037">
        <v>-1.121085821731</v>
      </c>
      <c r="AE9037">
        <v>2.87975</v>
      </c>
      <c r="AF9037">
        <v>-2.4796182534773599</v>
      </c>
      <c r="AG9037">
        <v>-1.121085821731</v>
      </c>
      <c r="AH9037">
        <v>20.783577217374201</v>
      </c>
      <c r="AI9037">
        <v>93.065895240526999</v>
      </c>
      <c r="AJ9037">
        <v>96.803606156550899</v>
      </c>
      <c r="AK9037">
        <v>20.960973785900801</v>
      </c>
      <c r="AL9037">
        <v>91.229802215568895</v>
      </c>
      <c r="AM9037">
        <v>95.131264996969506</v>
      </c>
      <c r="AN9037">
        <v>1.00000001229242</v>
      </c>
    </row>
    <row r="9038" spans="1:40" x14ac:dyDescent="0.25">
      <c r="A9038" t="str">
        <f>"20190303154017145"</f>
        <v>20190303154017145</v>
      </c>
      <c r="B9038" t="str">
        <f>"1551598817137388"</f>
        <v>1551598817137388</v>
      </c>
      <c r="C9038" t="s">
        <v>40</v>
      </c>
      <c r="D9038">
        <v>4.4599159999999998</v>
      </c>
      <c r="E9038">
        <v>0.48924600000000001</v>
      </c>
      <c r="F9038" t="s">
        <v>63</v>
      </c>
      <c r="G9038">
        <v>-192.3015</v>
      </c>
      <c r="H9038" s="1">
        <v>-6.7735149999999998E-6</v>
      </c>
      <c r="I9038">
        <v>-59.392870000000002</v>
      </c>
      <c r="J9038">
        <v>-213.73580000000001</v>
      </c>
      <c r="K9038">
        <v>1.121068</v>
      </c>
      <c r="L9038">
        <v>-62.369509999999998</v>
      </c>
      <c r="M9038">
        <v>0.99974390000000002</v>
      </c>
      <c r="N9038">
        <v>-1.268058E-2</v>
      </c>
      <c r="O9038">
        <v>1.8743269999999999E-2</v>
      </c>
      <c r="P9038">
        <v>0.99340740000000005</v>
      </c>
      <c r="Q9038">
        <v>-3.288804E-2</v>
      </c>
      <c r="R9038">
        <v>0.10981929999999999</v>
      </c>
      <c r="S9038">
        <v>2.9694370000000001</v>
      </c>
      <c r="T9038">
        <v>-0.15463360000000001</v>
      </c>
      <c r="U9038">
        <v>0.41079710000000003</v>
      </c>
      <c r="V9038">
        <v>-9.1186680000000006E-2</v>
      </c>
      <c r="W9038">
        <v>-2.022991E-2</v>
      </c>
      <c r="X9038">
        <v>0.99562830000000002</v>
      </c>
      <c r="Y9038">
        <v>-0.1182628</v>
      </c>
      <c r="Z9038">
        <v>3.0827580000000001E-3</v>
      </c>
      <c r="AA9038">
        <v>0.99297760000000002</v>
      </c>
      <c r="AB9038">
        <v>19</v>
      </c>
      <c r="AC9038">
        <v>21.4343</v>
      </c>
      <c r="AD9038">
        <v>-1.121074773515</v>
      </c>
      <c r="AE9038">
        <v>2.9766400000000002</v>
      </c>
      <c r="AF9038">
        <v>-2.5674452455654602</v>
      </c>
      <c r="AG9038">
        <v>-1.121074773515</v>
      </c>
      <c r="AH9038">
        <v>21.428819213367401</v>
      </c>
      <c r="AI9038">
        <v>92.973540166137994</v>
      </c>
      <c r="AJ9038">
        <v>96.832195489063196</v>
      </c>
      <c r="AK9038">
        <v>21.611174808787599</v>
      </c>
      <c r="AL9038">
        <v>91.159167553287404</v>
      </c>
      <c r="AM9038">
        <v>95.232953551162097</v>
      </c>
      <c r="AN9038">
        <v>0.99999998581446004</v>
      </c>
    </row>
    <row r="9039" spans="1:40" x14ac:dyDescent="0.25">
      <c r="A9039" t="str">
        <f>"20190303154017156"</f>
        <v>20190303154017156</v>
      </c>
      <c r="B9039" t="str">
        <f>"1551598817147148"</f>
        <v>1551598817147148</v>
      </c>
      <c r="C9039" t="s">
        <v>40</v>
      </c>
      <c r="D9039">
        <v>4.4606519999999996</v>
      </c>
      <c r="E9039">
        <v>0.48953219999999997</v>
      </c>
      <c r="F9039" t="s">
        <v>63</v>
      </c>
      <c r="G9039">
        <v>-191.60239999999999</v>
      </c>
      <c r="H9039" s="1">
        <v>-6.7318569999999997E-6</v>
      </c>
      <c r="I9039">
        <v>-59.287509999999997</v>
      </c>
      <c r="J9039">
        <v>-213.6397</v>
      </c>
      <c r="K9039">
        <v>1.121054</v>
      </c>
      <c r="L9039">
        <v>-62.367829999999998</v>
      </c>
      <c r="M9039">
        <v>0.99974810000000003</v>
      </c>
      <c r="N9039">
        <v>-1.2554829999999999E-2</v>
      </c>
      <c r="O9039">
        <v>1.860585E-2</v>
      </c>
      <c r="P9039">
        <v>0.99323070000000002</v>
      </c>
      <c r="Q9039">
        <v>-3.1310230000000001E-2</v>
      </c>
      <c r="R9039">
        <v>0.1118603</v>
      </c>
      <c r="S9039">
        <v>2.9692080000000001</v>
      </c>
      <c r="T9039">
        <v>-0.1503931</v>
      </c>
      <c r="U9039">
        <v>0.41345209999999999</v>
      </c>
      <c r="V9039">
        <v>-9.3366790000000005E-2</v>
      </c>
      <c r="W9039">
        <v>-1.8778909999999999E-2</v>
      </c>
      <c r="X9039">
        <v>0.99545470000000003</v>
      </c>
      <c r="Y9039">
        <v>-0.11928809999999999</v>
      </c>
      <c r="Z9039">
        <v>3.0531709999999999E-3</v>
      </c>
      <c r="AA9039">
        <v>0.99285500000000004</v>
      </c>
      <c r="AB9039">
        <v>19</v>
      </c>
      <c r="AC9039">
        <v>22.037299999999998</v>
      </c>
      <c r="AD9039">
        <v>-1.1210607318570001</v>
      </c>
      <c r="AE9039">
        <v>3.0803199999999999</v>
      </c>
      <c r="AF9039">
        <v>-2.6629723487376502</v>
      </c>
      <c r="AG9039">
        <v>-1.1210607318570001</v>
      </c>
      <c r="AH9039">
        <v>22.034870645741702</v>
      </c>
      <c r="AI9039">
        <v>92.891503874022405</v>
      </c>
      <c r="AJ9039">
        <v>96.890927877039701</v>
      </c>
      <c r="AK9039">
        <v>22.2234948482281</v>
      </c>
      <c r="AL9039">
        <v>91.076015500727195</v>
      </c>
      <c r="AM9039">
        <v>95.358273409853993</v>
      </c>
      <c r="AN9039">
        <v>1.00000003234389</v>
      </c>
    </row>
    <row r="9040" spans="1:40" x14ac:dyDescent="0.25">
      <c r="A9040" t="str">
        <f>"20190303154017167"</f>
        <v>20190303154017167</v>
      </c>
      <c r="B9040" t="str">
        <f>"1551598817156908"</f>
        <v>1551598817156908</v>
      </c>
      <c r="C9040" t="s">
        <v>40</v>
      </c>
      <c r="D9040">
        <v>4.4368840000000001</v>
      </c>
      <c r="E9040">
        <v>0.48977999999999999</v>
      </c>
      <c r="F9040" t="s">
        <v>63</v>
      </c>
      <c r="G9040">
        <v>-190.66560000000001</v>
      </c>
      <c r="H9040" s="1">
        <v>-6.6857509999999997E-6</v>
      </c>
      <c r="I9040">
        <v>-59.137929999999997</v>
      </c>
      <c r="J9040">
        <v>-213.54239999999999</v>
      </c>
      <c r="K9040">
        <v>1.12104</v>
      </c>
      <c r="L9040">
        <v>-62.366149999999998</v>
      </c>
      <c r="M9040">
        <v>0.99975239999999999</v>
      </c>
      <c r="N9040">
        <v>-1.242063E-2</v>
      </c>
      <c r="O9040">
        <v>1.8466630000000001E-2</v>
      </c>
      <c r="P9040">
        <v>0.99302100000000004</v>
      </c>
      <c r="Q9040">
        <v>-2.9530830000000001E-2</v>
      </c>
      <c r="R9040">
        <v>0.11418200000000001</v>
      </c>
      <c r="S9040">
        <v>2.9688720000000002</v>
      </c>
      <c r="T9040">
        <v>-0.1448709</v>
      </c>
      <c r="U9040">
        <v>0.41738890000000001</v>
      </c>
      <c r="V9040">
        <v>-9.5830020000000002E-2</v>
      </c>
      <c r="W9040">
        <v>-1.713485E-2</v>
      </c>
      <c r="X9040">
        <v>0.99525019999999997</v>
      </c>
      <c r="Y9040">
        <v>-0.120742</v>
      </c>
      <c r="Z9040">
        <v>3.0162549999999998E-3</v>
      </c>
      <c r="AA9040">
        <v>0.99267939999999999</v>
      </c>
      <c r="AB9040">
        <v>20</v>
      </c>
      <c r="AC9040">
        <v>22.8767999999999</v>
      </c>
      <c r="AD9040">
        <v>-1.121046685751</v>
      </c>
      <c r="AE9040">
        <v>3.2282199999999901</v>
      </c>
      <c r="AF9040">
        <v>-2.7985902645947598</v>
      </c>
      <c r="AG9040">
        <v>-1.121046685751</v>
      </c>
      <c r="AH9040">
        <v>22.878650155380601</v>
      </c>
      <c r="AI9040">
        <v>92.784509690631495</v>
      </c>
      <c r="AJ9040">
        <v>96.973958514057699</v>
      </c>
      <c r="AK9040">
        <v>23.076427064712899</v>
      </c>
      <c r="AL9040">
        <v>90.981802656363897</v>
      </c>
      <c r="AM9040">
        <v>95.499904487235</v>
      </c>
      <c r="AN9040">
        <v>0.99999997820888098</v>
      </c>
    </row>
    <row r="9041" spans="1:40" x14ac:dyDescent="0.25">
      <c r="A9041" t="str">
        <f>"20190303154017178"</f>
        <v>20190303154017178</v>
      </c>
      <c r="B9041" t="str">
        <f>"1551598817166667"</f>
        <v>1551598817166667</v>
      </c>
      <c r="C9041" t="s">
        <v>40</v>
      </c>
      <c r="D9041">
        <v>4.5085949999999997</v>
      </c>
      <c r="E9041">
        <v>0.48946309999999899</v>
      </c>
      <c r="F9041" t="s">
        <v>63</v>
      </c>
      <c r="G9041">
        <v>-189.7089</v>
      </c>
      <c r="H9041" s="1">
        <v>-1.249587E-5</v>
      </c>
      <c r="I9041">
        <v>-58.974960000000003</v>
      </c>
      <c r="J9041">
        <v>-213.45050000000001</v>
      </c>
      <c r="K9041">
        <v>1.121022</v>
      </c>
      <c r="L9041">
        <v>-62.36459</v>
      </c>
      <c r="M9041">
        <v>0.99975650000000005</v>
      </c>
      <c r="N9041">
        <v>-1.227436E-2</v>
      </c>
      <c r="O9041">
        <v>1.833663E-2</v>
      </c>
      <c r="P9041">
        <v>0.99277749999999998</v>
      </c>
      <c r="Q9041">
        <v>-2.772985E-2</v>
      </c>
      <c r="R9041">
        <v>0.11672200000000001</v>
      </c>
      <c r="S9041">
        <v>2.9683989999999998</v>
      </c>
      <c r="T9041">
        <v>-0.1396241</v>
      </c>
      <c r="U9041">
        <v>0.4223633</v>
      </c>
      <c r="V9041">
        <v>-9.8502740000000005E-2</v>
      </c>
      <c r="W9041">
        <v>-1.548121E-2</v>
      </c>
      <c r="X9041">
        <v>0.99501629999999996</v>
      </c>
      <c r="Y9041">
        <v>-0.1225318</v>
      </c>
      <c r="Z9041">
        <v>2.9886159999999999E-3</v>
      </c>
      <c r="AA9041">
        <v>0.99246009999999996</v>
      </c>
      <c r="AB9041">
        <v>20</v>
      </c>
      <c r="AC9041">
        <v>23.741599999999998</v>
      </c>
      <c r="AD9041">
        <v>-1.12103449587</v>
      </c>
      <c r="AE9041">
        <v>3.3896299999999999</v>
      </c>
      <c r="AF9041">
        <v>-2.9472464937179801</v>
      </c>
      <c r="AG9041">
        <v>-1.12103449587</v>
      </c>
      <c r="AH9041">
        <v>23.747877324753901</v>
      </c>
      <c r="AI9041">
        <v>92.682133327038898</v>
      </c>
      <c r="AJ9041">
        <v>97.074558436643201</v>
      </c>
      <c r="AK9041">
        <v>23.956307262748599</v>
      </c>
      <c r="AL9041">
        <v>90.887043476406603</v>
      </c>
      <c r="AM9041">
        <v>95.653638150810295</v>
      </c>
      <c r="AN9041">
        <v>0.99999994745812903</v>
      </c>
    </row>
    <row r="9042" spans="1:40" x14ac:dyDescent="0.25">
      <c r="A9042" t="str">
        <f>"20190303154017190"</f>
        <v>20190303154017190</v>
      </c>
      <c r="B9042" t="str">
        <f>"1551598817187164"</f>
        <v>1551598817187164</v>
      </c>
      <c r="C9042" t="s">
        <v>40</v>
      </c>
      <c r="D9042">
        <v>4.5462889999999998</v>
      </c>
      <c r="E9042">
        <v>0.4451348</v>
      </c>
      <c r="F9042" t="s">
        <v>63</v>
      </c>
      <c r="G9042">
        <v>-188.68819999999999</v>
      </c>
      <c r="H9042" s="1">
        <v>-1.2654090000000001E-5</v>
      </c>
      <c r="I9042">
        <v>-58.755560000000003</v>
      </c>
      <c r="J9042">
        <v>-213.35239999999999</v>
      </c>
      <c r="K9042">
        <v>1.1210020000000001</v>
      </c>
      <c r="L9042">
        <v>-62.362920000000003</v>
      </c>
      <c r="M9042">
        <v>0.99976120000000002</v>
      </c>
      <c r="N9042">
        <v>-1.2114369999999999E-2</v>
      </c>
      <c r="O9042">
        <v>1.8198059999999999E-2</v>
      </c>
      <c r="P9042">
        <v>0.99247470000000004</v>
      </c>
      <c r="Q9042">
        <v>-2.6199E-2</v>
      </c>
      <c r="R9042">
        <v>0.119615899999999</v>
      </c>
      <c r="S9042">
        <v>2.9672239999999999</v>
      </c>
      <c r="T9042">
        <v>-0.1343317</v>
      </c>
      <c r="U9042">
        <v>0.43246459999999998</v>
      </c>
      <c r="V9042">
        <v>-0.101539</v>
      </c>
      <c r="W9042">
        <v>-1.4111719999999999E-2</v>
      </c>
      <c r="X9042">
        <v>0.99473149999999999</v>
      </c>
      <c r="Y9042">
        <v>-0.1260394</v>
      </c>
      <c r="Z9042">
        <v>3.0050620000000002E-3</v>
      </c>
      <c r="AA9042">
        <v>0.99202069999999998</v>
      </c>
      <c r="AB9042">
        <v>20</v>
      </c>
      <c r="AC9042">
        <v>24.664199999999902</v>
      </c>
      <c r="AD9042">
        <v>-1.1210146540899999</v>
      </c>
      <c r="AE9042">
        <v>3.6073599999999999</v>
      </c>
      <c r="AF9042">
        <v>-3.1515150435214698</v>
      </c>
      <c r="AG9042">
        <v>-1.1210146540899999</v>
      </c>
      <c r="AH9042">
        <v>24.675859002744001</v>
      </c>
      <c r="AI9042">
        <v>92.580206711514506</v>
      </c>
      <c r="AJ9042">
        <v>97.278215818819803</v>
      </c>
      <c r="AK9042">
        <v>24.901540885004099</v>
      </c>
      <c r="AL9042">
        <v>90.808568808883294</v>
      </c>
      <c r="AM9042">
        <v>95.828382011094504</v>
      </c>
      <c r="AN9042">
        <v>1.0000000331273</v>
      </c>
    </row>
    <row r="9043" spans="1:40" x14ac:dyDescent="0.25">
      <c r="A9043" t="str">
        <f>"20190303154017200"</f>
        <v>20190303154017200</v>
      </c>
      <c r="B9043" t="str">
        <f>"1551598817196924"</f>
        <v>1551598817196924</v>
      </c>
      <c r="C9043" t="s">
        <v>40</v>
      </c>
      <c r="D9043">
        <v>4.4223059999999998</v>
      </c>
      <c r="E9043">
        <v>0.4451348</v>
      </c>
      <c r="F9043" t="s">
        <v>63</v>
      </c>
      <c r="G9043">
        <v>-190.99100000000001</v>
      </c>
      <c r="H9043" s="1">
        <v>-7.7477989999999995E-6</v>
      </c>
      <c r="I9043">
        <v>-56.3063199999999</v>
      </c>
      <c r="J9043">
        <v>-213.25040000000001</v>
      </c>
      <c r="K9043">
        <v>1.120976</v>
      </c>
      <c r="L9043">
        <v>-62.36121</v>
      </c>
      <c r="M9043">
        <v>0.99976609999999999</v>
      </c>
      <c r="N9043">
        <v>-1.191706E-2</v>
      </c>
      <c r="O9043">
        <v>1.8055290000000002E-2</v>
      </c>
      <c r="P9043">
        <v>0.99211930000000004</v>
      </c>
      <c r="Q9043">
        <v>-2.4191589999999999E-2</v>
      </c>
      <c r="R9043">
        <v>0.1229402</v>
      </c>
      <c r="S9043">
        <v>2.9234309999999999</v>
      </c>
      <c r="T9043">
        <v>-0.1465553</v>
      </c>
      <c r="U9043">
        <v>0.79180909999999904</v>
      </c>
      <c r="V9043">
        <v>-0.1050106</v>
      </c>
      <c r="W9043">
        <v>-1.2302820000000001E-2</v>
      </c>
      <c r="X9043">
        <v>0.99439500000000003</v>
      </c>
      <c r="Y9043">
        <v>-0.24361430000000001</v>
      </c>
      <c r="Z9043">
        <v>6.796496E-3</v>
      </c>
      <c r="AA9043">
        <v>0.96984840000000005</v>
      </c>
      <c r="AB9043">
        <v>20</v>
      </c>
      <c r="AC9043">
        <v>22.259399999999999</v>
      </c>
      <c r="AD9043">
        <v>-1.1209837477989999</v>
      </c>
      <c r="AE9043">
        <v>6.0548900000000003</v>
      </c>
      <c r="AF9043">
        <v>-5.63865927939041</v>
      </c>
      <c r="AG9043">
        <v>-1.1209837477989999</v>
      </c>
      <c r="AH9043">
        <v>22.312412863497901</v>
      </c>
      <c r="AI9043">
        <v>92.788618902404707</v>
      </c>
      <c r="AJ9043">
        <v>104.182503815491</v>
      </c>
      <c r="AK9043">
        <v>23.0411555878404</v>
      </c>
      <c r="AL9043">
        <v>90.704917444981504</v>
      </c>
      <c r="AM9043">
        <v>96.028235190000203</v>
      </c>
      <c r="AN9043">
        <v>1.00000000075865</v>
      </c>
    </row>
    <row r="9044" spans="1:40" x14ac:dyDescent="0.25">
      <c r="A9044" t="str">
        <f>"20190303154017212"</f>
        <v>20190303154017212</v>
      </c>
      <c r="B9044" t="str">
        <f>"1551598817206683"</f>
        <v>1551598817206683</v>
      </c>
      <c r="C9044" t="s">
        <v>40</v>
      </c>
      <c r="D9044">
        <v>4.2459020000000001</v>
      </c>
      <c r="E9044">
        <v>0.3847448</v>
      </c>
      <c r="F9044" t="s">
        <v>63</v>
      </c>
      <c r="G9044">
        <v>-189.95269999999999</v>
      </c>
      <c r="H9044" s="1">
        <v>-1.1517470000000001E-5</v>
      </c>
      <c r="I9044">
        <v>-55.967750000000002</v>
      </c>
      <c r="J9044">
        <v>-213.15039999999999</v>
      </c>
      <c r="K9044">
        <v>1.1209480000000001</v>
      </c>
      <c r="L9044">
        <v>-62.359529999999999</v>
      </c>
      <c r="M9044">
        <v>0.99977090000000002</v>
      </c>
      <c r="N9044">
        <v>-1.171752E-2</v>
      </c>
      <c r="O9044">
        <v>1.7915489999999999E-2</v>
      </c>
      <c r="P9044">
        <v>0.99180999999999997</v>
      </c>
      <c r="Q9044">
        <v>-2.2678960000000001E-2</v>
      </c>
      <c r="R9044">
        <v>0.12569430000000001</v>
      </c>
      <c r="S9044">
        <v>2.9210509999999998</v>
      </c>
      <c r="T9044">
        <v>-0.14054829999999999</v>
      </c>
      <c r="U9044">
        <v>0.80160520000000002</v>
      </c>
      <c r="V9044">
        <v>-0.1079084</v>
      </c>
      <c r="W9044">
        <v>-1.099052E-2</v>
      </c>
      <c r="X9044">
        <v>0.99410010000000004</v>
      </c>
      <c r="Y9044">
        <v>-0.2469961</v>
      </c>
      <c r="Z9044">
        <v>6.6663460000000001E-3</v>
      </c>
      <c r="AA9044">
        <v>0.96899349999999995</v>
      </c>
      <c r="AB9044">
        <v>20</v>
      </c>
      <c r="AC9044">
        <v>23.197700000000001</v>
      </c>
      <c r="AD9044">
        <v>-1.12095951747</v>
      </c>
      <c r="AE9044">
        <v>6.3917799999999998</v>
      </c>
      <c r="AF9044">
        <v>-5.9621878860442603</v>
      </c>
      <c r="AG9044">
        <v>-1.12095951747</v>
      </c>
      <c r="AH9044">
        <v>23.258020325760501</v>
      </c>
      <c r="AI9044">
        <v>92.673030978583597</v>
      </c>
      <c r="AJ9044">
        <v>104.378142086727</v>
      </c>
      <c r="AK9044">
        <v>24.036217341790401</v>
      </c>
      <c r="AL9044">
        <v>90.629723081337502</v>
      </c>
      <c r="AM9044">
        <v>96.195133551133196</v>
      </c>
      <c r="AN9044">
        <v>1.0000000115702199</v>
      </c>
    </row>
    <row r="9045" spans="1:40" x14ac:dyDescent="0.25">
      <c r="A9045" t="str">
        <f>"20190303154017223"</f>
        <v>20190303154017223</v>
      </c>
      <c r="B9045" t="str">
        <f>"1551598817217419"</f>
        <v>1551598817217419</v>
      </c>
      <c r="C9045" t="s">
        <v>40</v>
      </c>
      <c r="D9045">
        <v>4.1752339999999997</v>
      </c>
      <c r="E9045">
        <v>0.37307570000000001</v>
      </c>
      <c r="F9045" t="s">
        <v>63</v>
      </c>
      <c r="G9045">
        <v>-193.81569999999999</v>
      </c>
      <c r="H9045" s="1">
        <v>-8.9947829999999992E-6</v>
      </c>
      <c r="I9045">
        <v>-53.65278</v>
      </c>
      <c r="J9045">
        <v>-213.05199999999999</v>
      </c>
      <c r="K9045">
        <v>1.1209199999999999</v>
      </c>
      <c r="L9045">
        <v>-62.357909999999997</v>
      </c>
      <c r="M9045">
        <v>0.99977579999999999</v>
      </c>
      <c r="N9045">
        <v>-1.150488E-2</v>
      </c>
      <c r="O9045">
        <v>1.777896E-2</v>
      </c>
      <c r="P9045">
        <v>0.99131539999999996</v>
      </c>
      <c r="Q9045">
        <v>-2.0475520000000001E-2</v>
      </c>
      <c r="R9045">
        <v>0.12990350000000001</v>
      </c>
      <c r="S9045">
        <v>2.8578950000000001</v>
      </c>
      <c r="T9045">
        <v>-0.16569029999999901</v>
      </c>
      <c r="U9045">
        <v>1.2869569999999999</v>
      </c>
      <c r="V9045">
        <v>-0.1122607</v>
      </c>
      <c r="W9045">
        <v>-9.0015210000000002E-3</v>
      </c>
      <c r="X9045">
        <v>0.99363800000000002</v>
      </c>
      <c r="Y9045">
        <v>-0.39366830000000003</v>
      </c>
      <c r="Z9045">
        <v>1.246213E-2</v>
      </c>
      <c r="AA9045">
        <v>0.91916810000000004</v>
      </c>
      <c r="AB9045">
        <v>20</v>
      </c>
      <c r="AC9045">
        <v>19.2363</v>
      </c>
      <c r="AD9045">
        <v>-1.1209289947829999</v>
      </c>
      <c r="AE9045">
        <v>8.7051299999999898</v>
      </c>
      <c r="AF9045">
        <v>-8.3382294427614401</v>
      </c>
      <c r="AG9045">
        <v>-1.1209289947829999</v>
      </c>
      <c r="AH9045">
        <v>19.333547945240198</v>
      </c>
      <c r="AI9045">
        <v>93.047446678877094</v>
      </c>
      <c r="AJ9045">
        <v>113.329712525879</v>
      </c>
      <c r="AK9045">
        <v>21.084796138506601</v>
      </c>
      <c r="AL9045">
        <v>90.515756136181096</v>
      </c>
      <c r="AM9045">
        <v>96.445913855342496</v>
      </c>
      <c r="AN9045">
        <v>0.99999998359440101</v>
      </c>
    </row>
    <row r="9046" spans="1:40" x14ac:dyDescent="0.25">
      <c r="A9046" t="str">
        <f>"20190303154017234"</f>
        <v>20190303154017234</v>
      </c>
      <c r="B9046" t="str">
        <f>"1551598817227179"</f>
        <v>1551598817227179</v>
      </c>
      <c r="C9046" t="s">
        <v>40</v>
      </c>
      <c r="D9046">
        <v>4.1377090000000001</v>
      </c>
      <c r="E9046">
        <v>0.36375750000000001</v>
      </c>
      <c r="F9046" t="s">
        <v>63</v>
      </c>
      <c r="G9046">
        <v>-194.15710000000001</v>
      </c>
      <c r="H9046" s="1">
        <v>-9.2287140000000002E-6</v>
      </c>
      <c r="I9046">
        <v>-53.103200000000001</v>
      </c>
      <c r="J9046">
        <v>-212.95259999999999</v>
      </c>
      <c r="K9046">
        <v>1.1208880000000001</v>
      </c>
      <c r="L9046">
        <v>-62.356259999999999</v>
      </c>
      <c r="M9046">
        <v>0.99978069999999997</v>
      </c>
      <c r="N9046">
        <v>-1.128235E-2</v>
      </c>
      <c r="O9046">
        <v>1.7640739999999999E-2</v>
      </c>
      <c r="P9046">
        <v>0.99084369999999999</v>
      </c>
      <c r="Q9046">
        <v>-1.9185440000000002E-2</v>
      </c>
      <c r="R9046">
        <v>0.13364489999999901</v>
      </c>
      <c r="S9046">
        <v>2.8404850000000001</v>
      </c>
      <c r="T9046">
        <v>-0.16850999999999999</v>
      </c>
      <c r="U9046">
        <v>1.3912659999999999</v>
      </c>
      <c r="V9046">
        <v>-0.116147</v>
      </c>
      <c r="W9046">
        <v>-7.9354609999999996E-3</v>
      </c>
      <c r="X9046">
        <v>0.99320039999999998</v>
      </c>
      <c r="Y9046">
        <v>-0.42323939999999999</v>
      </c>
      <c r="Z9046">
        <v>1.3588980000000001E-2</v>
      </c>
      <c r="AA9046">
        <v>0.90591600000000005</v>
      </c>
      <c r="AB9046">
        <v>20</v>
      </c>
      <c r="AC9046">
        <v>18.795499999999901</v>
      </c>
      <c r="AD9046">
        <v>-1.120897228714</v>
      </c>
      <c r="AE9046">
        <v>9.2530599999999907</v>
      </c>
      <c r="AF9046">
        <v>-8.8945698116244998</v>
      </c>
      <c r="AG9046">
        <v>-1.120897228714</v>
      </c>
      <c r="AH9046">
        <v>18.901706151284699</v>
      </c>
      <c r="AI9046">
        <v>93.071396029403502</v>
      </c>
      <c r="AJ9046">
        <v>115.20025324127801</v>
      </c>
      <c r="AK9046">
        <v>20.919949286762499</v>
      </c>
      <c r="AL9046">
        <v>90.454673165844497</v>
      </c>
      <c r="AM9046">
        <v>96.669997191076305</v>
      </c>
      <c r="AN9046">
        <v>1.00000006585521</v>
      </c>
    </row>
    <row r="9047" spans="1:40" x14ac:dyDescent="0.25">
      <c r="A9047" t="str">
        <f>"20190303154017245"</f>
        <v>20190303154017245</v>
      </c>
      <c r="B9047" t="str">
        <f>"1551598817236939"</f>
        <v>1551598817236939</v>
      </c>
      <c r="C9047" t="s">
        <v>40</v>
      </c>
      <c r="D9047">
        <v>4.1547029999999996</v>
      </c>
      <c r="E9047">
        <v>0.35656690000000002</v>
      </c>
      <c r="F9047" t="s">
        <v>44</v>
      </c>
      <c r="G9047">
        <v>-212.1009</v>
      </c>
      <c r="H9047">
        <v>1.065377</v>
      </c>
      <c r="I9047">
        <v>-61.911499999999997</v>
      </c>
      <c r="J9047">
        <v>-212.85560000000001</v>
      </c>
      <c r="K9047">
        <v>1.120854</v>
      </c>
      <c r="L9047">
        <v>-62.354680000000002</v>
      </c>
      <c r="M9047">
        <v>0.9997857</v>
      </c>
      <c r="N9047">
        <v>-1.105722E-2</v>
      </c>
      <c r="O9047">
        <v>1.750585E-2</v>
      </c>
      <c r="P9047">
        <v>0.99038289999999995</v>
      </c>
      <c r="Q9047">
        <v>-1.7961910000000001E-2</v>
      </c>
      <c r="R9047">
        <v>0.137183</v>
      </c>
      <c r="S9047">
        <v>2.8251949999999999</v>
      </c>
      <c r="T9047">
        <v>-0.18412049999999999</v>
      </c>
      <c r="U9047">
        <v>1.47522</v>
      </c>
      <c r="V9047">
        <v>-0.119826</v>
      </c>
      <c r="W9047">
        <v>-6.9383530000000004E-3</v>
      </c>
      <c r="X9047">
        <v>0.99277070000000001</v>
      </c>
      <c r="Y9047">
        <v>-0.44639810000000002</v>
      </c>
      <c r="Z9047">
        <v>1.5389359999999999E-2</v>
      </c>
      <c r="AA9047">
        <v>0.89470209999999994</v>
      </c>
      <c r="AB9047">
        <v>20</v>
      </c>
      <c r="AC9047">
        <v>0.75470000000001303</v>
      </c>
      <c r="AD9047">
        <v>-5.5476999999999999E-2</v>
      </c>
      <c r="AE9047">
        <v>0.44318000000000501</v>
      </c>
      <c r="AF9047">
        <v>-0.42817919056819598</v>
      </c>
      <c r="AG9047">
        <v>-5.5476999999999999E-2</v>
      </c>
      <c r="AH9047">
        <v>0.75929222883353698</v>
      </c>
      <c r="AI9047">
        <v>93.6415215679732</v>
      </c>
      <c r="AJ9047">
        <v>119.419470114182</v>
      </c>
      <c r="AK9047">
        <v>0.87346425544016204</v>
      </c>
      <c r="AL9047">
        <v>90.397541518703903</v>
      </c>
      <c r="AM9047">
        <v>96.882226861120301</v>
      </c>
      <c r="AN9047">
        <v>1.0000000368984201</v>
      </c>
    </row>
    <row r="9048" spans="1:40" x14ac:dyDescent="0.25">
      <c r="A9048" t="str">
        <f>"20190303154017257"</f>
        <v>20190303154017257</v>
      </c>
      <c r="B9048" t="str">
        <f>"1551598817246699"</f>
        <v>1551598817246699</v>
      </c>
      <c r="C9048" t="s">
        <v>40</v>
      </c>
      <c r="D9048">
        <v>4.2591640000000002</v>
      </c>
      <c r="E9048">
        <v>0.35288120000000001</v>
      </c>
      <c r="F9048" t="s">
        <v>44</v>
      </c>
      <c r="G9048">
        <v>-212.0376</v>
      </c>
      <c r="H9048">
        <v>1.0642</v>
      </c>
      <c r="I9048">
        <v>-61.906219999999998</v>
      </c>
      <c r="J9048">
        <v>-212.751</v>
      </c>
      <c r="K9048">
        <v>1.120816</v>
      </c>
      <c r="L9048">
        <v>-62.353000000000002</v>
      </c>
      <c r="M9048">
        <v>0.99979110000000004</v>
      </c>
      <c r="N9048">
        <v>-1.0806400000000001E-2</v>
      </c>
      <c r="O9048">
        <v>1.7360049999999998E-2</v>
      </c>
      <c r="P9048">
        <v>0.98986819999999998</v>
      </c>
      <c r="Q9048">
        <v>-1.7066169999999999E-2</v>
      </c>
      <c r="R9048">
        <v>0.1409609</v>
      </c>
      <c r="S9048">
        <v>2.8120270000000001</v>
      </c>
      <c r="T9048">
        <v>-0.19476589999999999</v>
      </c>
      <c r="U9048">
        <v>1.5417179999999999</v>
      </c>
      <c r="V9048">
        <v>-0.12375700000000001</v>
      </c>
      <c r="W9048">
        <v>-6.294745E-3</v>
      </c>
      <c r="X9048">
        <v>0.99229259999999997</v>
      </c>
      <c r="Y9048">
        <v>-0.4644548</v>
      </c>
      <c r="Z9048">
        <v>1.6745759999999998E-2</v>
      </c>
      <c r="AA9048">
        <v>0.88543850000000002</v>
      </c>
      <c r="AB9048">
        <v>20</v>
      </c>
      <c r="AC9048">
        <v>0.71339999999997805</v>
      </c>
      <c r="AD9048">
        <v>-5.6616E-2</v>
      </c>
      <c r="AE9048">
        <v>0.44678000000000401</v>
      </c>
      <c r="AF9048">
        <v>-0.43237130720662298</v>
      </c>
      <c r="AG9048">
        <v>-5.6616E-2</v>
      </c>
      <c r="AH9048">
        <v>0.71780183824135801</v>
      </c>
      <c r="AI9048">
        <v>93.865242011921694</v>
      </c>
      <c r="AJ9048">
        <v>121.062855011495</v>
      </c>
      <c r="AK9048">
        <v>0.83987487028380403</v>
      </c>
      <c r="AL9048">
        <v>90.360664699330599</v>
      </c>
      <c r="AM9048">
        <v>97.109121262988594</v>
      </c>
      <c r="AN9048">
        <v>1.00000001143918</v>
      </c>
    </row>
    <row r="9049" spans="1:40" x14ac:dyDescent="0.25">
      <c r="A9049" t="str">
        <f>"20190303154017269"</f>
        <v>20190303154017269</v>
      </c>
      <c r="B9049" t="str">
        <f>"1551598817257436"</f>
        <v>1551598817257436</v>
      </c>
      <c r="C9049" t="s">
        <v>40</v>
      </c>
      <c r="D9049">
        <v>4.2569239999999997</v>
      </c>
      <c r="E9049">
        <v>0.35001939999999998</v>
      </c>
      <c r="F9049" t="s">
        <v>44</v>
      </c>
      <c r="G9049">
        <v>-211.929</v>
      </c>
      <c r="H9049">
        <v>1.061809</v>
      </c>
      <c r="I9049">
        <v>-61.889169999999901</v>
      </c>
      <c r="J9049">
        <v>-212.64859999999999</v>
      </c>
      <c r="K9049">
        <v>1.1207780000000001</v>
      </c>
      <c r="L9049">
        <v>-62.351349999999996</v>
      </c>
      <c r="M9049">
        <v>0.99979600000000002</v>
      </c>
      <c r="N9049">
        <v>-1.055728E-2</v>
      </c>
      <c r="O9049">
        <v>1.7217260000000002E-2</v>
      </c>
      <c r="P9049">
        <v>0.98940189999999995</v>
      </c>
      <c r="Q9049">
        <v>-1.6372390000000001E-2</v>
      </c>
      <c r="R9049">
        <v>0.14427670000000001</v>
      </c>
      <c r="S9049">
        <v>2.802063</v>
      </c>
      <c r="T9049">
        <v>-0.20113909999999999</v>
      </c>
      <c r="U9049">
        <v>1.581329</v>
      </c>
      <c r="V9049">
        <v>-0.12722159999999999</v>
      </c>
      <c r="W9049">
        <v>-5.8509199999999999E-3</v>
      </c>
      <c r="X9049">
        <v>0.99185710000000005</v>
      </c>
      <c r="Y9049">
        <v>-0.47534219999999999</v>
      </c>
      <c r="Z9049">
        <v>1.7573249999999999E-2</v>
      </c>
      <c r="AA9049">
        <v>0.8796254</v>
      </c>
      <c r="AB9049">
        <v>20</v>
      </c>
      <c r="AC9049">
        <v>0.71959999999998503</v>
      </c>
      <c r="AD9049">
        <v>-5.8969000000000001E-2</v>
      </c>
      <c r="AE9049">
        <v>0.46218000000000298</v>
      </c>
      <c r="AF9049">
        <v>-0.447593331213477</v>
      </c>
      <c r="AG9049">
        <v>-5.8969000000000001E-2</v>
      </c>
      <c r="AH9049">
        <v>0.72400919824934196</v>
      </c>
      <c r="AI9049">
        <v>93.963009605336794</v>
      </c>
      <c r="AJ9049">
        <v>121.724977585818</v>
      </c>
      <c r="AK9049">
        <v>0.85323294138085903</v>
      </c>
      <c r="AL9049">
        <v>90.335234922314299</v>
      </c>
      <c r="AM9049">
        <v>97.309194056568501</v>
      </c>
      <c r="AN9049">
        <v>1.0000000377959</v>
      </c>
    </row>
    <row r="9050" spans="1:40" x14ac:dyDescent="0.25">
      <c r="A9050" t="str">
        <f>"20190303154017279"</f>
        <v>20190303154017279</v>
      </c>
      <c r="B9050" t="str">
        <f>"1551598817276955"</f>
        <v>1551598817276955</v>
      </c>
      <c r="C9050" t="s">
        <v>40</v>
      </c>
      <c r="D9050">
        <v>4.2194890000000003</v>
      </c>
      <c r="E9050">
        <v>0.34638940000000001</v>
      </c>
      <c r="F9050" t="s">
        <v>44</v>
      </c>
      <c r="G9050">
        <v>-211.88220000000001</v>
      </c>
      <c r="H9050">
        <v>1.0639149999999999</v>
      </c>
      <c r="I9050">
        <v>-61.908869999999901</v>
      </c>
      <c r="J9050">
        <v>-212.55350000000001</v>
      </c>
      <c r="K9050">
        <v>1.1207400000000001</v>
      </c>
      <c r="L9050">
        <v>-62.349850000000004</v>
      </c>
      <c r="M9050">
        <v>0.99980069999999999</v>
      </c>
      <c r="N9050">
        <v>-1.03231E-2</v>
      </c>
      <c r="O9050">
        <v>1.7084129999999999E-2</v>
      </c>
      <c r="P9050">
        <v>0.98890529999999999</v>
      </c>
      <c r="Q9050">
        <v>-1.5839039999999999E-2</v>
      </c>
      <c r="R9050">
        <v>0.1477002</v>
      </c>
      <c r="S9050">
        <v>2.7935029999999998</v>
      </c>
      <c r="T9050">
        <v>-0.2072599</v>
      </c>
      <c r="U9050">
        <v>1.6130370000000001</v>
      </c>
      <c r="V9050">
        <v>-0.1307856</v>
      </c>
      <c r="W9050">
        <v>-5.5528419999999997E-3</v>
      </c>
      <c r="X9050">
        <v>0.99139509999999997</v>
      </c>
      <c r="Y9050">
        <v>-0.48403600000000002</v>
      </c>
      <c r="Z9050">
        <v>1.8319140000000001E-2</v>
      </c>
      <c r="AA9050">
        <v>0.87485639999999998</v>
      </c>
      <c r="AB9050">
        <v>20</v>
      </c>
      <c r="AC9050">
        <v>0.67130000000000201</v>
      </c>
      <c r="AD9050">
        <v>-5.6825000000000098E-2</v>
      </c>
      <c r="AE9050">
        <v>0.44098000000000998</v>
      </c>
      <c r="AF9050">
        <v>-0.42730756005310799</v>
      </c>
      <c r="AG9050">
        <v>-5.6825000000000098E-2</v>
      </c>
      <c r="AH9050">
        <v>0.67535568859256201</v>
      </c>
      <c r="AI9050">
        <v>94.067095083189002</v>
      </c>
      <c r="AJ9050">
        <v>122.322143929579</v>
      </c>
      <c r="AK9050">
        <v>0.80120293160838796</v>
      </c>
      <c r="AL9050">
        <v>90.318156053635306</v>
      </c>
      <c r="AM9050">
        <v>97.515108195060094</v>
      </c>
      <c r="AN9050">
        <v>0.99999997576282296</v>
      </c>
    </row>
    <row r="9051" spans="1:40" x14ac:dyDescent="0.25">
      <c r="A9051" t="str">
        <f>"20190303154017292"</f>
        <v>20190303154017292</v>
      </c>
      <c r="B9051" t="str">
        <f>"1551598817286716"</f>
        <v>1551598817286716</v>
      </c>
      <c r="C9051" t="s">
        <v>40</v>
      </c>
      <c r="D9051">
        <v>4.0894529999999998</v>
      </c>
      <c r="E9051">
        <v>0.34444639999999999</v>
      </c>
      <c r="F9051" t="s">
        <v>44</v>
      </c>
      <c r="G9051">
        <v>-211.7525</v>
      </c>
      <c r="H9051">
        <v>1.0583830000000001</v>
      </c>
      <c r="I9051">
        <v>-61.874740000000003</v>
      </c>
      <c r="J9051">
        <v>-212.44319999999999</v>
      </c>
      <c r="K9051">
        <v>1.1206989999999999</v>
      </c>
      <c r="L9051">
        <v>-62.348109999999998</v>
      </c>
      <c r="M9051">
        <v>0.99980619999999998</v>
      </c>
      <c r="N9051">
        <v>-1.0052770000000001E-2</v>
      </c>
      <c r="O9051">
        <v>1.6929469999999999E-2</v>
      </c>
      <c r="P9051">
        <v>0.98841420000000002</v>
      </c>
      <c r="Q9051">
        <v>-1.5174669999999999E-2</v>
      </c>
      <c r="R9051">
        <v>0.1510204</v>
      </c>
      <c r="S9051">
        <v>2.783585</v>
      </c>
      <c r="T9051">
        <v>-0.21669379999999999</v>
      </c>
      <c r="U9051">
        <v>1.6511229999999999</v>
      </c>
      <c r="V9051">
        <v>-0.13426629999999901</v>
      </c>
      <c r="W9051">
        <v>-5.1593560000000004E-3</v>
      </c>
      <c r="X9051">
        <v>0.99093189999999998</v>
      </c>
      <c r="Y9051">
        <v>-0.49427569999999998</v>
      </c>
      <c r="Z9051">
        <v>1.9386529999999999E-2</v>
      </c>
      <c r="AA9051">
        <v>0.869088999999999</v>
      </c>
      <c r="AB9051">
        <v>20</v>
      </c>
      <c r="AC9051">
        <v>0.69069999999999199</v>
      </c>
      <c r="AD9051">
        <v>-6.2315999999999802E-2</v>
      </c>
      <c r="AE9051">
        <v>0.47336999999999502</v>
      </c>
      <c r="AF9051">
        <v>-0.45906584870401401</v>
      </c>
      <c r="AG9051">
        <v>-6.2315999999999802E-2</v>
      </c>
      <c r="AH9051">
        <v>0.69476735318930904</v>
      </c>
      <c r="AI9051">
        <v>94.279648036509002</v>
      </c>
      <c r="AJ9051">
        <v>123.454637440461</v>
      </c>
      <c r="AK9051">
        <v>0.83506072375607299</v>
      </c>
      <c r="AL9051">
        <v>90.295610622178103</v>
      </c>
      <c r="AM9051">
        <v>97.716298705507</v>
      </c>
      <c r="AN9051">
        <v>1.00000004435381</v>
      </c>
    </row>
    <row r="9052" spans="1:40" x14ac:dyDescent="0.25">
      <c r="A9052" t="str">
        <f>"20190303154017301"</f>
        <v>20190303154017301</v>
      </c>
      <c r="B9052" t="str">
        <f>"1551598817297451"</f>
        <v>1551598817297451</v>
      </c>
      <c r="C9052" t="s">
        <v>40</v>
      </c>
      <c r="D9052">
        <v>4.0858699999999999</v>
      </c>
      <c r="E9052">
        <v>0.3432711</v>
      </c>
      <c r="F9052" t="s">
        <v>44</v>
      </c>
      <c r="G9052">
        <v>-211.58240000000001</v>
      </c>
      <c r="H9052">
        <v>1.052834</v>
      </c>
      <c r="I9052">
        <v>-61.828580000000002</v>
      </c>
      <c r="J9052">
        <v>-212.3545</v>
      </c>
      <c r="K9052">
        <v>1.1206700000000001</v>
      </c>
      <c r="L9052">
        <v>-62.346739999999997</v>
      </c>
      <c r="M9052">
        <v>0.99981050000000005</v>
      </c>
      <c r="N9052">
        <v>-9.8392140000000006E-3</v>
      </c>
      <c r="O9052">
        <v>1.6804880000000001E-2</v>
      </c>
      <c r="P9052">
        <v>0.98803450000000004</v>
      </c>
      <c r="Q9052">
        <v>-1.491167E-2</v>
      </c>
      <c r="R9052">
        <v>0.1535108</v>
      </c>
      <c r="S9052">
        <v>2.7757869999999998</v>
      </c>
      <c r="T9052">
        <v>-0.21883759999999999</v>
      </c>
      <c r="U9052">
        <v>1.675659</v>
      </c>
      <c r="V9052">
        <v>-0.13688639999999999</v>
      </c>
      <c r="W9052">
        <v>-5.110191E-3</v>
      </c>
      <c r="X9052">
        <v>0.99057360000000005</v>
      </c>
      <c r="Y9052">
        <v>-0.50105459999999902</v>
      </c>
      <c r="Z9052">
        <v>1.9790370000000002E-2</v>
      </c>
      <c r="AA9052">
        <v>0.8651894</v>
      </c>
      <c r="AB9052">
        <v>20</v>
      </c>
      <c r="AC9052">
        <v>0.77209999999999401</v>
      </c>
      <c r="AD9052">
        <v>-6.7835999999999994E-2</v>
      </c>
      <c r="AE9052">
        <v>0.51816000000000095</v>
      </c>
      <c r="AF9052">
        <v>-0.50243707834100904</v>
      </c>
      <c r="AG9052">
        <v>-6.7835999999999994E-2</v>
      </c>
      <c r="AH9052">
        <v>0.77656595857736099</v>
      </c>
      <c r="AI9052">
        <v>94.194658006675894</v>
      </c>
      <c r="AJ9052">
        <v>122.90281013363099</v>
      </c>
      <c r="AK9052">
        <v>0.92741545631341804</v>
      </c>
      <c r="AL9052">
        <v>90.292793642724504</v>
      </c>
      <c r="AM9052">
        <v>97.867818592034297</v>
      </c>
      <c r="AN9052">
        <v>1.0000000287869799</v>
      </c>
    </row>
    <row r="9053" spans="1:40" x14ac:dyDescent="0.25">
      <c r="A9053" t="str">
        <f>"20190303154017313"</f>
        <v>20190303154017313</v>
      </c>
      <c r="B9053" t="str">
        <f>"1551598817307211"</f>
        <v>1551598817307211</v>
      </c>
      <c r="C9053" t="s">
        <v>40</v>
      </c>
      <c r="D9053">
        <v>4.1095290000000002</v>
      </c>
      <c r="E9053">
        <v>0.34227970000000002</v>
      </c>
      <c r="F9053" t="s">
        <v>44</v>
      </c>
      <c r="G9053">
        <v>-211.5728</v>
      </c>
      <c r="H9053">
        <v>1.058171</v>
      </c>
      <c r="I9053">
        <v>-61.869579999999999</v>
      </c>
      <c r="J9053">
        <v>-212.2534</v>
      </c>
      <c r="K9053">
        <v>1.1206339999999999</v>
      </c>
      <c r="L9053">
        <v>-62.345179999999999</v>
      </c>
      <c r="M9053">
        <v>0.99981509999999996</v>
      </c>
      <c r="N9053">
        <v>-9.6002050000000005E-3</v>
      </c>
      <c r="O9053">
        <v>1.666335E-2</v>
      </c>
      <c r="P9053">
        <v>0.98765199999999997</v>
      </c>
      <c r="Q9053">
        <v>-1.4421399999999999E-2</v>
      </c>
      <c r="R9053">
        <v>0.15599869999999999</v>
      </c>
      <c r="S9053">
        <v>2.7701570000000002</v>
      </c>
      <c r="T9053">
        <v>-0.22151390000000001</v>
      </c>
      <c r="U9053">
        <v>1.691589</v>
      </c>
      <c r="V9053">
        <v>-0.139520899999999</v>
      </c>
      <c r="W9053">
        <v>-4.8588290000000003E-3</v>
      </c>
      <c r="X9053">
        <v>0.99020719999999995</v>
      </c>
      <c r="Y9053">
        <v>-0.50554359999999998</v>
      </c>
      <c r="Z9053">
        <v>2.0136419999999999E-2</v>
      </c>
      <c r="AA9053">
        <v>0.86256599999999894</v>
      </c>
      <c r="AB9053">
        <v>20</v>
      </c>
      <c r="AC9053">
        <v>0.68059999999999798</v>
      </c>
      <c r="AD9053">
        <v>-6.2462999999999901E-2</v>
      </c>
      <c r="AE9053">
        <v>0.47560000000000002</v>
      </c>
      <c r="AF9053">
        <v>-0.46158011556408202</v>
      </c>
      <c r="AG9053">
        <v>-6.2462999999999901E-2</v>
      </c>
      <c r="AH9053">
        <v>0.68455679816804005</v>
      </c>
      <c r="AI9053">
        <v>94.326438268237098</v>
      </c>
      <c r="AJ9053">
        <v>123.99083660939201</v>
      </c>
      <c r="AK9053">
        <v>0.82799507206941103</v>
      </c>
      <c r="AL9053">
        <v>90.2783914920456</v>
      </c>
      <c r="AM9053">
        <v>98.020219093308199</v>
      </c>
      <c r="AN9053">
        <v>0.99999999434395004</v>
      </c>
    </row>
    <row r="9054" spans="1:40" x14ac:dyDescent="0.25">
      <c r="A9054" t="str">
        <f>"20190303154017322"</f>
        <v>20190303154017322</v>
      </c>
      <c r="B9054" t="str">
        <f>"1551598817316971"</f>
        <v>1551598817316971</v>
      </c>
      <c r="C9054" t="s">
        <v>40</v>
      </c>
      <c r="D9054">
        <v>4.1121290000000004</v>
      </c>
      <c r="E9054">
        <v>0.34161839999999999</v>
      </c>
      <c r="F9054" t="s">
        <v>44</v>
      </c>
      <c r="G9054">
        <v>-211.40260000000001</v>
      </c>
      <c r="H9054">
        <v>1.051806</v>
      </c>
      <c r="I9054">
        <v>-61.820059999999998</v>
      </c>
      <c r="J9054">
        <v>-212.15710000000001</v>
      </c>
      <c r="K9054">
        <v>1.1206050000000001</v>
      </c>
      <c r="L9054">
        <v>-62.343719999999998</v>
      </c>
      <c r="M9054">
        <v>0.99981949999999997</v>
      </c>
      <c r="N9054">
        <v>-9.3814910000000005E-3</v>
      </c>
      <c r="O9054">
        <v>1.6528190000000002E-2</v>
      </c>
      <c r="P9054">
        <v>0.98734420000000001</v>
      </c>
      <c r="Q9054">
        <v>-1.445744E-2</v>
      </c>
      <c r="R9054">
        <v>0.1579325</v>
      </c>
      <c r="S9054">
        <v>2.7647710000000001</v>
      </c>
      <c r="T9054">
        <v>-0.22365399999999999</v>
      </c>
      <c r="U9054">
        <v>1.7060850000000001</v>
      </c>
      <c r="V9054">
        <v>-0.14159369999999999</v>
      </c>
      <c r="W9054">
        <v>-5.1131229999999998E-3</v>
      </c>
      <c r="X9054">
        <v>0.98991169999999995</v>
      </c>
      <c r="Y9054">
        <v>-0.50965300000000002</v>
      </c>
      <c r="Z9054">
        <v>2.0433239999999998E-2</v>
      </c>
      <c r="AA9054">
        <v>0.86013729999999999</v>
      </c>
      <c r="AB9054">
        <v>20</v>
      </c>
      <c r="AC9054">
        <v>0.75450000000000705</v>
      </c>
      <c r="AD9054">
        <v>-6.8798999999999805E-2</v>
      </c>
      <c r="AE9054">
        <v>0.52365999999999902</v>
      </c>
      <c r="AF9054">
        <v>-0.50826522978163602</v>
      </c>
      <c r="AG9054">
        <v>-6.8798999999999805E-2</v>
      </c>
      <c r="AH9054">
        <v>0.75879443112200495</v>
      </c>
      <c r="AI9054">
        <v>94.3079985735002</v>
      </c>
      <c r="AJ9054">
        <v>123.815464104287</v>
      </c>
      <c r="AK9054">
        <v>0.91587981466333601</v>
      </c>
      <c r="AL9054">
        <v>90.292961630847699</v>
      </c>
      <c r="AM9054">
        <v>98.140184047569605</v>
      </c>
      <c r="AN9054">
        <v>1.0000000468516901</v>
      </c>
    </row>
    <row r="9055" spans="1:40" x14ac:dyDescent="0.25">
      <c r="A9055" t="str">
        <f>"20190303154017334"</f>
        <v>20190303154017334</v>
      </c>
      <c r="B9055" t="str">
        <f>"1551598817326732"</f>
        <v>1551598817326732</v>
      </c>
      <c r="C9055" t="s">
        <v>40</v>
      </c>
      <c r="D9055">
        <v>4.1261000000000001</v>
      </c>
      <c r="E9055">
        <v>0.34113259999999901</v>
      </c>
      <c r="F9055" t="s">
        <v>44</v>
      </c>
      <c r="G9055">
        <v>-211.39160000000001</v>
      </c>
      <c r="H9055">
        <v>1.0576239999999999</v>
      </c>
      <c r="I9055">
        <v>-61.867600000000003</v>
      </c>
      <c r="J9055">
        <v>-212.0547</v>
      </c>
      <c r="K9055">
        <v>1.1205780000000001</v>
      </c>
      <c r="L9055">
        <v>-62.34216</v>
      </c>
      <c r="M9055">
        <v>0.99982380000000004</v>
      </c>
      <c r="N9055">
        <v>-9.158022E-3</v>
      </c>
      <c r="O9055">
        <v>1.6384799999999901E-2</v>
      </c>
      <c r="P9055">
        <v>0.98708720000000005</v>
      </c>
      <c r="Q9055">
        <v>-1.458593E-2</v>
      </c>
      <c r="R9055">
        <v>0.15951940000000001</v>
      </c>
      <c r="S9055">
        <v>2.7605740000000001</v>
      </c>
      <c r="T9055">
        <v>-0.2270992</v>
      </c>
      <c r="U9055">
        <v>1.716461</v>
      </c>
      <c r="V9055">
        <v>-0.1433265</v>
      </c>
      <c r="W9055">
        <v>-5.4641769999999997E-3</v>
      </c>
      <c r="X9055">
        <v>0.9896604</v>
      </c>
      <c r="Y9055">
        <v>-0.51264920000000003</v>
      </c>
      <c r="Z9055">
        <v>2.078696E-2</v>
      </c>
      <c r="AA9055">
        <v>0.85834650000000001</v>
      </c>
      <c r="AB9055">
        <v>20</v>
      </c>
      <c r="AC9055">
        <v>0.66309999999998503</v>
      </c>
      <c r="AD9055">
        <v>-6.2954000000000093E-2</v>
      </c>
      <c r="AE9055">
        <v>0.47455999999999599</v>
      </c>
      <c r="AF9055">
        <v>-0.46088396229370299</v>
      </c>
      <c r="AG9055">
        <v>-6.2954000000000093E-2</v>
      </c>
      <c r="AH9055">
        <v>0.66681232291814097</v>
      </c>
      <c r="AI9055">
        <v>94.440940373843603</v>
      </c>
      <c r="AJ9055">
        <v>124.65125627633201</v>
      </c>
      <c r="AK9055">
        <v>0.81302884746546999</v>
      </c>
      <c r="AL9055">
        <v>90.313075830702999</v>
      </c>
      <c r="AM9055">
        <v>98.240506166448895</v>
      </c>
      <c r="AN9055">
        <v>1.00000002508034</v>
      </c>
    </row>
    <row r="9056" spans="1:40" x14ac:dyDescent="0.25">
      <c r="A9056" t="str">
        <f>"20190303154017345"</f>
        <v>20190303154017345</v>
      </c>
      <c r="B9056" t="str">
        <f>"1551598817337468"</f>
        <v>1551598817337468</v>
      </c>
      <c r="C9056" t="s">
        <v>40</v>
      </c>
      <c r="D9056">
        <v>4.1378180000000002</v>
      </c>
      <c r="E9056">
        <v>0.3407057</v>
      </c>
      <c r="F9056" t="s">
        <v>44</v>
      </c>
      <c r="G9056">
        <v>-211.2199</v>
      </c>
      <c r="H9056">
        <v>1.0509059999999999</v>
      </c>
      <c r="I9056">
        <v>-61.820140000000002</v>
      </c>
      <c r="J9056">
        <v>-211.95230000000001</v>
      </c>
      <c r="K9056">
        <v>1.1205560000000001</v>
      </c>
      <c r="L9056">
        <v>-62.34064</v>
      </c>
      <c r="M9056">
        <v>0.9998283</v>
      </c>
      <c r="N9056">
        <v>-8.9439930000000008E-3</v>
      </c>
      <c r="O9056">
        <v>1.62414E-2</v>
      </c>
      <c r="P9056">
        <v>0.98686119999999999</v>
      </c>
      <c r="Q9056">
        <v>-1.4455829999999999E-2</v>
      </c>
      <c r="R9056">
        <v>0.1609237</v>
      </c>
      <c r="S9056">
        <v>2.7571409999999998</v>
      </c>
      <c r="T9056">
        <v>-0.23012579999999999</v>
      </c>
      <c r="U9056">
        <v>1.724548</v>
      </c>
      <c r="V9056">
        <v>-0.144876</v>
      </c>
      <c r="W9056">
        <v>-5.5470340000000002E-3</v>
      </c>
      <c r="X9056">
        <v>0.98943429999999999</v>
      </c>
      <c r="Y9056">
        <v>-0.51502340000000002</v>
      </c>
      <c r="Z9056">
        <v>2.1085219999999998E-2</v>
      </c>
      <c r="AA9056">
        <v>0.85691679999999903</v>
      </c>
      <c r="AB9056">
        <v>20</v>
      </c>
      <c r="AC9056">
        <v>0.73240000000001204</v>
      </c>
      <c r="AD9056">
        <v>-6.9649999999999906E-2</v>
      </c>
      <c r="AE9056">
        <v>0.52049999999999796</v>
      </c>
      <c r="AF9056">
        <v>-0.50549820435648896</v>
      </c>
      <c r="AG9056">
        <v>-6.9649999999999906E-2</v>
      </c>
      <c r="AH9056">
        <v>0.73633286219779304</v>
      </c>
      <c r="AI9056">
        <v>94.459046090043998</v>
      </c>
      <c r="AJ9056">
        <v>124.469899568185</v>
      </c>
      <c r="AK9056">
        <v>0.89586027987629302</v>
      </c>
      <c r="AL9056">
        <v>90.317823257539004</v>
      </c>
      <c r="AM9056">
        <v>98.330227514609206</v>
      </c>
      <c r="AN9056">
        <v>1.0000000294893401</v>
      </c>
    </row>
    <row r="9057" spans="1:40" x14ac:dyDescent="0.25">
      <c r="A9057" t="str">
        <f>"20190303154017356"</f>
        <v>20190303154017356</v>
      </c>
      <c r="B9057" t="str">
        <f>"1551598817347227"</f>
        <v>1551598817347227</v>
      </c>
      <c r="C9057" t="s">
        <v>40</v>
      </c>
      <c r="D9057">
        <v>4.1774069999999996</v>
      </c>
      <c r="E9057">
        <v>0.34061839999999999</v>
      </c>
      <c r="F9057" t="s">
        <v>44</v>
      </c>
      <c r="G9057">
        <v>-211.20779999999999</v>
      </c>
      <c r="H9057">
        <v>1.057626</v>
      </c>
      <c r="I9057">
        <v>-61.872680000000003</v>
      </c>
      <c r="J9057">
        <v>-211.85319999999999</v>
      </c>
      <c r="K9057">
        <v>1.1205369999999999</v>
      </c>
      <c r="L9057">
        <v>-62.339170000000003</v>
      </c>
      <c r="M9057">
        <v>0.99983219999999995</v>
      </c>
      <c r="N9057">
        <v>-8.751076E-3</v>
      </c>
      <c r="O9057">
        <v>1.6103010000000001E-2</v>
      </c>
      <c r="P9057">
        <v>0.98671160000000002</v>
      </c>
      <c r="Q9057">
        <v>-1.458308E-2</v>
      </c>
      <c r="R9057">
        <v>0.1618269</v>
      </c>
      <c r="S9057">
        <v>2.754181</v>
      </c>
      <c r="T9057">
        <v>-0.23282149999999999</v>
      </c>
      <c r="U9057">
        <v>1.7316279999999999</v>
      </c>
      <c r="V9057">
        <v>-0.14591879999999999</v>
      </c>
      <c r="W9057">
        <v>-5.8658490000000002E-3</v>
      </c>
      <c r="X9057">
        <v>0.98927920000000003</v>
      </c>
      <c r="Y9057">
        <v>-0.51710080000000003</v>
      </c>
      <c r="Z9057">
        <v>2.1350830000000001E-2</v>
      </c>
      <c r="AA9057">
        <v>0.85565820000000004</v>
      </c>
      <c r="AB9057">
        <v>20</v>
      </c>
      <c r="AC9057">
        <v>0.64539999999999498</v>
      </c>
      <c r="AD9057">
        <v>-6.2911000000000106E-2</v>
      </c>
      <c r="AE9057">
        <v>0.46648999999999302</v>
      </c>
      <c r="AF9057">
        <v>-0.45320773359497002</v>
      </c>
      <c r="AG9057">
        <v>-6.2911000000000106E-2</v>
      </c>
      <c r="AH9057">
        <v>0.64877941790551696</v>
      </c>
      <c r="AI9057">
        <v>94.545080265656495</v>
      </c>
      <c r="AJ9057">
        <v>124.936394980296</v>
      </c>
      <c r="AK9057">
        <v>0.79389531854591</v>
      </c>
      <c r="AL9057">
        <v>90.336090311645805</v>
      </c>
      <c r="AM9057">
        <v>98.390633701902203</v>
      </c>
      <c r="AN9057">
        <v>1.0000000199652801</v>
      </c>
    </row>
    <row r="9058" spans="1:40" x14ac:dyDescent="0.25">
      <c r="A9058" t="str">
        <f>"20190303154017367"</f>
        <v>20190303154017367</v>
      </c>
      <c r="B9058" t="str">
        <f>"1551598817356988"</f>
        <v>1551598817356988</v>
      </c>
      <c r="C9058" t="s">
        <v>40</v>
      </c>
      <c r="D9058">
        <v>4.1404880000000004</v>
      </c>
      <c r="E9058">
        <v>0.34039979999999997</v>
      </c>
      <c r="F9058" t="s">
        <v>44</v>
      </c>
      <c r="G9058">
        <v>-211.03550000000001</v>
      </c>
      <c r="H9058">
        <v>1.0505009999999999</v>
      </c>
      <c r="I9058">
        <v>-61.823970000000003</v>
      </c>
      <c r="J9058">
        <v>-211.7518</v>
      </c>
      <c r="K9058">
        <v>1.12052</v>
      </c>
      <c r="L9058">
        <v>-62.337679999999999</v>
      </c>
      <c r="M9058">
        <v>0.99983599999999995</v>
      </c>
      <c r="N9058">
        <v>-8.5597550000000005E-3</v>
      </c>
      <c r="O9058">
        <v>1.5961550000000001E-2</v>
      </c>
      <c r="P9058">
        <v>0.98659799999999997</v>
      </c>
      <c r="Q9058">
        <v>-1.414265E-2</v>
      </c>
      <c r="R9058">
        <v>0.16255600000000001</v>
      </c>
      <c r="S9058">
        <v>2.7524259999999998</v>
      </c>
      <c r="T9058">
        <v>-0.23576</v>
      </c>
      <c r="U9058">
        <v>1.73465</v>
      </c>
      <c r="V9058">
        <v>-0.14678929999999901</v>
      </c>
      <c r="W9058">
        <v>-5.6151380000000004E-3</v>
      </c>
      <c r="X9058">
        <v>0.98915180000000003</v>
      </c>
      <c r="Y9058">
        <v>-0.51810519999999904</v>
      </c>
      <c r="Z9058">
        <v>2.1590450000000001E-2</v>
      </c>
      <c r="AA9058">
        <v>0.85504439999999904</v>
      </c>
      <c r="AB9058">
        <v>20</v>
      </c>
      <c r="AC9058">
        <v>0.71629999999998895</v>
      </c>
      <c r="AD9058">
        <v>-7.0018999999999998E-2</v>
      </c>
      <c r="AE9058">
        <v>0.51371000000000999</v>
      </c>
      <c r="AF9058">
        <v>-0.49906186310522399</v>
      </c>
      <c r="AG9058">
        <v>-7.0018999999999998E-2</v>
      </c>
      <c r="AH9058">
        <v>0.71986639096662997</v>
      </c>
      <c r="AI9058">
        <v>94.570270082447806</v>
      </c>
      <c r="AJ9058">
        <v>124.732413649108</v>
      </c>
      <c r="AK9058">
        <v>0.87873376196114095</v>
      </c>
      <c r="AL9058">
        <v>90.321725413639697</v>
      </c>
      <c r="AM9058">
        <v>98.441041768924904</v>
      </c>
      <c r="AN9058">
        <v>0.99999995590624302</v>
      </c>
    </row>
    <row r="9059" spans="1:40" x14ac:dyDescent="0.25">
      <c r="A9059" t="str">
        <f>"20190303154017391"</f>
        <v>20190303154017391</v>
      </c>
      <c r="B9059" t="str">
        <f>"1551598817387244"</f>
        <v>1551598817387244</v>
      </c>
      <c r="C9059" t="s">
        <v>40</v>
      </c>
      <c r="D9059">
        <v>4.1367440000000002</v>
      </c>
      <c r="E9059">
        <v>0.33988069999999998</v>
      </c>
      <c r="F9059" t="s">
        <v>44</v>
      </c>
      <c r="G9059">
        <v>-211.0231</v>
      </c>
      <c r="H9059">
        <v>1.0578939999999999</v>
      </c>
      <c r="I9059">
        <v>-61.877400000000002</v>
      </c>
      <c r="J9059">
        <v>-211.5419</v>
      </c>
      <c r="K9059">
        <v>1.1205039999999999</v>
      </c>
      <c r="L9059">
        <v>-62.33466</v>
      </c>
      <c r="M9059">
        <v>0.9998437</v>
      </c>
      <c r="N9059">
        <v>-8.2065239999999998E-3</v>
      </c>
      <c r="O9059">
        <v>1.5668789999999998E-2</v>
      </c>
      <c r="P9059">
        <v>0.98638740000000003</v>
      </c>
      <c r="Q9059">
        <v>-1.237713E-2</v>
      </c>
      <c r="R9059">
        <v>0.16397220000000001</v>
      </c>
      <c r="S9059">
        <v>2.7509459999999999</v>
      </c>
      <c r="T9059">
        <v>-0.23646139999999999</v>
      </c>
      <c r="U9059">
        <v>1.738281</v>
      </c>
      <c r="V9059">
        <v>-0.1484975</v>
      </c>
      <c r="W9059">
        <v>-4.1997270000000003E-3</v>
      </c>
      <c r="X9059">
        <v>0.98890389999999995</v>
      </c>
      <c r="Y9059">
        <v>-0.51936419999999905</v>
      </c>
      <c r="Z9059">
        <v>2.1621700000000001E-2</v>
      </c>
      <c r="AA9059">
        <v>0.85427940000000002</v>
      </c>
      <c r="AB9059">
        <v>20</v>
      </c>
      <c r="AC9059">
        <v>0.51879999999999804</v>
      </c>
      <c r="AD9059">
        <v>-6.2609999999999999E-2</v>
      </c>
      <c r="AE9059">
        <v>0.457259999999998</v>
      </c>
      <c r="AF9059">
        <v>-0.44542359752781702</v>
      </c>
      <c r="AG9059">
        <v>-6.2609999999999999E-2</v>
      </c>
      <c r="AH9059">
        <v>0.52162562568645898</v>
      </c>
      <c r="AI9059">
        <v>95.215390251862402</v>
      </c>
      <c r="AJ9059">
        <v>130.49448834390401</v>
      </c>
      <c r="AK9059">
        <v>0.68877825655824299</v>
      </c>
      <c r="AL9059">
        <v>90.240627331303699</v>
      </c>
      <c r="AM9059">
        <v>98.539940098756205</v>
      </c>
      <c r="AN9059">
        <v>1.00000003432416</v>
      </c>
    </row>
    <row r="9060" spans="1:40" x14ac:dyDescent="0.25">
      <c r="A9060" t="str">
        <f>"20190303154017401"</f>
        <v>20190303154017401</v>
      </c>
      <c r="B9060" t="str">
        <f>"1551598817397072"</f>
        <v>1551598817397072</v>
      </c>
      <c r="C9060" t="s">
        <v>40</v>
      </c>
      <c r="D9060">
        <v>4.1593059999999999</v>
      </c>
      <c r="E9060">
        <v>0.33977350000000001</v>
      </c>
      <c r="F9060" t="s">
        <v>44</v>
      </c>
      <c r="G9060">
        <v>-210.67490000000001</v>
      </c>
      <c r="H9060">
        <v>1.0464370000000001</v>
      </c>
      <c r="I9060">
        <v>-61.783810000000003</v>
      </c>
      <c r="J9060">
        <v>-211.43790000000001</v>
      </c>
      <c r="K9060">
        <v>1.120498</v>
      </c>
      <c r="L9060">
        <v>-62.333159999999999</v>
      </c>
      <c r="M9060">
        <v>0.99984720000000005</v>
      </c>
      <c r="N9060">
        <v>-8.05148199999999E-3</v>
      </c>
      <c r="O9060">
        <v>1.55239E-2</v>
      </c>
      <c r="P9060">
        <v>0.98629120000000003</v>
      </c>
      <c r="Q9060">
        <v>-1.0782679999999999E-2</v>
      </c>
      <c r="R9060">
        <v>0.16466210000000001</v>
      </c>
      <c r="S9060">
        <v>2.7481990000000001</v>
      </c>
      <c r="T9060">
        <v>-0.23477709999999999</v>
      </c>
      <c r="U9060">
        <v>1.7460629999999999</v>
      </c>
      <c r="V9060">
        <v>-0.14933189999999999</v>
      </c>
      <c r="W9060">
        <v>-2.7588650000000001E-3</v>
      </c>
      <c r="X9060">
        <v>0.98878330000000003</v>
      </c>
      <c r="Y9060">
        <v>-0.52161349999999995</v>
      </c>
      <c r="Z9060">
        <v>2.1551710000000002E-2</v>
      </c>
      <c r="AA9060">
        <v>0.85290959999999905</v>
      </c>
      <c r="AB9060">
        <v>21</v>
      </c>
      <c r="AC9060">
        <v>0.76300000000000501</v>
      </c>
      <c r="AD9060">
        <v>-7.4060999999999905E-2</v>
      </c>
      <c r="AE9060">
        <v>0.549350000000004</v>
      </c>
      <c r="AF9060">
        <v>-0.53412438028887699</v>
      </c>
      <c r="AG9060">
        <v>-7.4060999999999905E-2</v>
      </c>
      <c r="AH9060">
        <v>0.76667905462435404</v>
      </c>
      <c r="AI9060">
        <v>94.531863157885198</v>
      </c>
      <c r="AJ9060">
        <v>124.863874291215</v>
      </c>
      <c r="AK9060">
        <v>0.93732100058606904</v>
      </c>
      <c r="AL9060">
        <v>90.1580715179457</v>
      </c>
      <c r="AM9060">
        <v>98.588243930720793</v>
      </c>
      <c r="AN9060">
        <v>1.00000002102629</v>
      </c>
    </row>
    <row r="9061" spans="1:40" x14ac:dyDescent="0.25">
      <c r="A9061" t="str">
        <f>"20190303154017414"</f>
        <v>20190303154017414</v>
      </c>
      <c r="B9061" t="str">
        <f>"1551598817406708"</f>
        <v>1551598817406708</v>
      </c>
      <c r="C9061" t="s">
        <v>40</v>
      </c>
      <c r="D9061">
        <v>4.1059340000000004</v>
      </c>
      <c r="E9061">
        <v>0.3396053</v>
      </c>
      <c r="F9061" t="s">
        <v>44</v>
      </c>
      <c r="G9061">
        <v>-210.66210000000001</v>
      </c>
      <c r="H9061">
        <v>1.0551269999999999</v>
      </c>
      <c r="I9061">
        <v>-61.839309999999998</v>
      </c>
      <c r="J9061">
        <v>-211.33090000000001</v>
      </c>
      <c r="K9061">
        <v>1.12049</v>
      </c>
      <c r="L9061">
        <v>-62.331670000000003</v>
      </c>
      <c r="M9061">
        <v>0.99985259999999998</v>
      </c>
      <c r="N9061">
        <v>-7.8570310000000004E-3</v>
      </c>
      <c r="O9061">
        <v>1.5273190000000001E-2</v>
      </c>
      <c r="P9061">
        <v>0.98614809999999997</v>
      </c>
      <c r="Q9061">
        <v>-9.74007E-3</v>
      </c>
      <c r="R9061">
        <v>0.16558149999999999</v>
      </c>
      <c r="S9061">
        <v>2.7471920000000001</v>
      </c>
      <c r="T9061">
        <v>-0.23149110000000001</v>
      </c>
      <c r="U9061">
        <v>1.74884</v>
      </c>
      <c r="V9061">
        <v>-0.15050089999999999</v>
      </c>
      <c r="W9061">
        <v>-1.911266E-3</v>
      </c>
      <c r="X9061">
        <v>0.98860800000000004</v>
      </c>
      <c r="Y9061">
        <v>-0.52262180000000003</v>
      </c>
      <c r="Z9061">
        <v>2.1288669999999999E-2</v>
      </c>
      <c r="AA9061">
        <v>0.85229889999999997</v>
      </c>
      <c r="AB9061">
        <v>21</v>
      </c>
      <c r="AC9061">
        <v>0.66880000000000395</v>
      </c>
      <c r="AD9061">
        <v>-6.5362999999999796E-2</v>
      </c>
      <c r="AE9061">
        <v>0.49235999999999702</v>
      </c>
      <c r="AF9061">
        <v>-0.47911970409295401</v>
      </c>
      <c r="AG9061">
        <v>-6.5362999999999796E-2</v>
      </c>
      <c r="AH9061">
        <v>0.67207902616006399</v>
      </c>
      <c r="AI9061">
        <v>94.527904360138905</v>
      </c>
      <c r="AJ9061">
        <v>125.484763443456</v>
      </c>
      <c r="AK9061">
        <v>0.82796028287797696</v>
      </c>
      <c r="AL9061">
        <v>90.109507544652999</v>
      </c>
      <c r="AM9061">
        <v>98.655971695846404</v>
      </c>
      <c r="AN9061">
        <v>0.99999997575126598</v>
      </c>
    </row>
    <row r="9062" spans="1:40" x14ac:dyDescent="0.25">
      <c r="A9062" t="str">
        <f>"20190303154017423"</f>
        <v>20190303154017423</v>
      </c>
      <c r="B9062" t="str">
        <f>"1551598817417294"</f>
        <v>1551598817417294</v>
      </c>
      <c r="C9062" t="s">
        <v>40</v>
      </c>
      <c r="D9062">
        <v>4.1527479999999999</v>
      </c>
      <c r="E9062">
        <v>0.33945839999999999</v>
      </c>
      <c r="F9062" t="s">
        <v>44</v>
      </c>
      <c r="G9062">
        <v>-210.4855</v>
      </c>
      <c r="H9062">
        <v>1.0497860000000001</v>
      </c>
      <c r="I9062">
        <v>-61.79224</v>
      </c>
      <c r="J9062">
        <v>-211.23519999999999</v>
      </c>
      <c r="K9062">
        <v>1.1204750000000001</v>
      </c>
      <c r="L9062">
        <v>-62.330260000000003</v>
      </c>
      <c r="M9062">
        <v>0.99985999999999997</v>
      </c>
      <c r="N9062">
        <v>-7.6322439999999998E-3</v>
      </c>
      <c r="O9062">
        <v>1.490149E-2</v>
      </c>
      <c r="P9062">
        <v>0.98602330000000005</v>
      </c>
      <c r="Q9062">
        <v>-8.8380409999999996E-3</v>
      </c>
      <c r="R9062">
        <v>0.16637469999999999</v>
      </c>
      <c r="S9062">
        <v>2.7456049999999999</v>
      </c>
      <c r="T9062">
        <v>-0.22966490000000001</v>
      </c>
      <c r="U9062">
        <v>1.752686</v>
      </c>
      <c r="V9062">
        <v>-0.1516634</v>
      </c>
      <c r="W9062">
        <v>-1.23723E-3</v>
      </c>
      <c r="X9062">
        <v>0.98843139999999996</v>
      </c>
      <c r="Y9062">
        <v>-0.52403040000000001</v>
      </c>
      <c r="Z9062">
        <v>2.116144E-2</v>
      </c>
      <c r="AA9062">
        <v>0.85143659999999999</v>
      </c>
      <c r="AB9062">
        <v>21</v>
      </c>
      <c r="AC9062">
        <v>0.74969999999999004</v>
      </c>
      <c r="AD9062">
        <v>-7.0689000000000002E-2</v>
      </c>
      <c r="AE9062">
        <v>0.53801999999999595</v>
      </c>
      <c r="AF9062">
        <v>-0.52371497993615101</v>
      </c>
      <c r="AG9062">
        <v>-7.0689000000000002E-2</v>
      </c>
      <c r="AH9062">
        <v>0.75321421105363096</v>
      </c>
      <c r="AI9062">
        <v>94.406177214697294</v>
      </c>
      <c r="AJ9062">
        <v>124.811152717973</v>
      </c>
      <c r="AK9062">
        <v>0.92011192942145203</v>
      </c>
      <c r="AL9062">
        <v>90.070888077139202</v>
      </c>
      <c r="AM9062">
        <v>98.723342287037397</v>
      </c>
      <c r="AN9062">
        <v>0.99999997507179605</v>
      </c>
    </row>
    <row r="9063" spans="1:40" x14ac:dyDescent="0.25">
      <c r="A9063" t="str">
        <f>"20190303154017436"</f>
        <v>20190303154017436</v>
      </c>
      <c r="B9063" t="str">
        <f>"1551598817427427"</f>
        <v>1551598817427427</v>
      </c>
      <c r="C9063" t="s">
        <v>40</v>
      </c>
      <c r="D9063">
        <v>4.1798010000000003</v>
      </c>
      <c r="E9063">
        <v>0.33943299999999998</v>
      </c>
      <c r="F9063" t="s">
        <v>44</v>
      </c>
      <c r="G9063">
        <v>-210.47380000000001</v>
      </c>
      <c r="H9063">
        <v>1.0571280000000001</v>
      </c>
      <c r="I9063">
        <v>-61.843330000000002</v>
      </c>
      <c r="J9063">
        <v>-211.12209999999999</v>
      </c>
      <c r="K9063">
        <v>1.120425</v>
      </c>
      <c r="L9063">
        <v>-62.32864</v>
      </c>
      <c r="M9063">
        <v>0.99986620000000004</v>
      </c>
      <c r="N9063">
        <v>-7.4667049999999997E-3</v>
      </c>
      <c r="O9063">
        <v>1.456446E-2</v>
      </c>
      <c r="P9063">
        <v>0.98588100000000001</v>
      </c>
      <c r="Q9063">
        <v>-7.5581069999999997E-3</v>
      </c>
      <c r="R9063">
        <v>0.16727779999999901</v>
      </c>
      <c r="S9063">
        <v>2.744202</v>
      </c>
      <c r="T9063">
        <v>-0.22834989999999999</v>
      </c>
      <c r="U9063">
        <v>1.755798</v>
      </c>
      <c r="V9063">
        <v>-0.15290109999999901</v>
      </c>
      <c r="W9063">
        <v>-1.133592E-4</v>
      </c>
      <c r="X9063">
        <v>0.98824149999999999</v>
      </c>
      <c r="Y9063">
        <v>-0.52521450000000003</v>
      </c>
      <c r="Z9063">
        <v>2.1080669999999999E-2</v>
      </c>
      <c r="AA9063">
        <v>0.85070879999999904</v>
      </c>
      <c r="AB9063">
        <v>21</v>
      </c>
      <c r="AC9063">
        <v>0.64829999999997701</v>
      </c>
      <c r="AD9063">
        <v>-6.3296999999999895E-2</v>
      </c>
      <c r="AE9063">
        <v>0.48530999999999802</v>
      </c>
      <c r="AF9063">
        <v>-0.47292692763049798</v>
      </c>
      <c r="AG9063">
        <v>-6.3296999999999895E-2</v>
      </c>
      <c r="AH9063">
        <v>0.65132067571482199</v>
      </c>
      <c r="AI9063">
        <v>94.496412354269594</v>
      </c>
      <c r="AJ9063">
        <v>125.983573389702</v>
      </c>
      <c r="AK9063">
        <v>0.80739396313115597</v>
      </c>
      <c r="AL9063">
        <v>90.006495003672896</v>
      </c>
      <c r="AM9063">
        <v>98.795087130217496</v>
      </c>
      <c r="AN9063">
        <v>1.0000000107768801</v>
      </c>
    </row>
    <row r="9064" spans="1:40" x14ac:dyDescent="0.25">
      <c r="A9064" t="str">
        <f>"20190303154017445"</f>
        <v>20190303154017445</v>
      </c>
      <c r="B9064" t="str">
        <f>"1551598817437194"</f>
        <v>1551598817437194</v>
      </c>
      <c r="C9064" t="s">
        <v>40</v>
      </c>
      <c r="D9064">
        <v>4.1604150000000004</v>
      </c>
      <c r="E9064">
        <v>0.33935920000000003</v>
      </c>
      <c r="F9064" t="s">
        <v>44</v>
      </c>
      <c r="G9064">
        <v>-210.29640000000001</v>
      </c>
      <c r="H9064">
        <v>1.0523049999999901</v>
      </c>
      <c r="I9064">
        <v>-61.799149999999997</v>
      </c>
      <c r="J9064">
        <v>-211.02449999999999</v>
      </c>
      <c r="K9064">
        <v>1.120363</v>
      </c>
      <c r="L9064">
        <v>-62.327240000000003</v>
      </c>
      <c r="M9064">
        <v>0.99986989999999998</v>
      </c>
      <c r="N9064">
        <v>-7.3922750000000002E-3</v>
      </c>
      <c r="O9064">
        <v>1.434354E-2</v>
      </c>
      <c r="P9064">
        <v>0.98568060000000002</v>
      </c>
      <c r="Q9064">
        <v>-6.9539830000000004E-3</v>
      </c>
      <c r="R9064">
        <v>0.1684802</v>
      </c>
      <c r="S9064">
        <v>2.7428590000000002</v>
      </c>
      <c r="T9064">
        <v>-0.22627649999999999</v>
      </c>
      <c r="U9064">
        <v>1.7585139999999999</v>
      </c>
      <c r="V9064">
        <v>-0.15432409999999999</v>
      </c>
      <c r="W9064">
        <v>4.3374670000000001E-4</v>
      </c>
      <c r="X9064">
        <v>0.98802020000000002</v>
      </c>
      <c r="Y9064">
        <v>-0.52621030000000002</v>
      </c>
      <c r="Z9064">
        <v>2.0947960000000002E-2</v>
      </c>
      <c r="AA9064">
        <v>0.85009639999999997</v>
      </c>
      <c r="AB9064">
        <v>21</v>
      </c>
      <c r="AC9064">
        <v>0.72809999999998298</v>
      </c>
      <c r="AD9064">
        <v>-6.8058000000000105E-2</v>
      </c>
      <c r="AE9064">
        <v>0.52809000000000506</v>
      </c>
      <c r="AF9064">
        <v>-0.51464530867484004</v>
      </c>
      <c r="AG9064">
        <v>-6.8058000000000105E-2</v>
      </c>
      <c r="AH9064">
        <v>0.73141235755745404</v>
      </c>
      <c r="AI9064">
        <v>94.3517945919059</v>
      </c>
      <c r="AJ9064">
        <v>125.131454129045</v>
      </c>
      <c r="AK9064">
        <v>0.89691455662887698</v>
      </c>
      <c r="AL9064">
        <v>89.975148144325402</v>
      </c>
      <c r="AM9064">
        <v>98.877599084366807</v>
      </c>
      <c r="AN9064">
        <v>1.00000001579252</v>
      </c>
    </row>
    <row r="9065" spans="1:40" x14ac:dyDescent="0.25">
      <c r="A9065" t="str">
        <f>"20190303154017458"</f>
        <v>20190303154017458</v>
      </c>
      <c r="B9065" t="str">
        <f>"1551598817446954"</f>
        <v>1551598817446954</v>
      </c>
      <c r="C9065" t="s">
        <v>40</v>
      </c>
      <c r="D9065">
        <v>4.1677030000000004</v>
      </c>
      <c r="E9065">
        <v>0.33931119999999998</v>
      </c>
      <c r="F9065" t="s">
        <v>44</v>
      </c>
      <c r="G9065">
        <v>-210.28440000000001</v>
      </c>
      <c r="H9065">
        <v>1.059466</v>
      </c>
      <c r="I9065">
        <v>-61.851260000000003</v>
      </c>
      <c r="J9065">
        <v>-210.917</v>
      </c>
      <c r="K9065">
        <v>1.1202749999999999</v>
      </c>
      <c r="L9065">
        <v>-62.325780000000002</v>
      </c>
      <c r="M9065">
        <v>0.99987040000000005</v>
      </c>
      <c r="N9065">
        <v>-7.3963029999999999E-3</v>
      </c>
      <c r="O9065">
        <v>1.4313909999999999E-2</v>
      </c>
      <c r="P9065">
        <v>0.98548179999999996</v>
      </c>
      <c r="Q9065">
        <v>-6.3100989999999996E-3</v>
      </c>
      <c r="R9065">
        <v>0.16966489999999901</v>
      </c>
      <c r="S9065">
        <v>2.7407680000000001</v>
      </c>
      <c r="T9065">
        <v>-0.2255199</v>
      </c>
      <c r="U9065">
        <v>1.762329</v>
      </c>
      <c r="V9065">
        <v>-0.15554079999999901</v>
      </c>
      <c r="W9065">
        <v>1.1127629999999999E-3</v>
      </c>
      <c r="X9065">
        <v>0.98782890000000001</v>
      </c>
      <c r="Y9065">
        <v>-0.52737210000000001</v>
      </c>
      <c r="Z9065">
        <v>2.094333E-2</v>
      </c>
      <c r="AA9065">
        <v>0.84937629999999997</v>
      </c>
      <c r="AB9065">
        <v>21</v>
      </c>
      <c r="AC9065">
        <v>0.63259999999999605</v>
      </c>
      <c r="AD9065">
        <v>-6.0808999999999801E-2</v>
      </c>
      <c r="AE9065">
        <v>0.47452000000000499</v>
      </c>
      <c r="AF9065">
        <v>-0.462680308342235</v>
      </c>
      <c r="AG9065">
        <v>-6.0808999999999801E-2</v>
      </c>
      <c r="AH9065">
        <v>0.63556945723145997</v>
      </c>
      <c r="AI9065">
        <v>94.423079541036202</v>
      </c>
      <c r="AJ9065">
        <v>126.053778143887</v>
      </c>
      <c r="AK9065">
        <v>0.78849181173564398</v>
      </c>
      <c r="AL9065">
        <v>89.936243366990198</v>
      </c>
      <c r="AM9065">
        <v>98.948167286679507</v>
      </c>
      <c r="AN9065">
        <v>1.00000005719067</v>
      </c>
    </row>
    <row r="9066" spans="1:40" x14ac:dyDescent="0.25">
      <c r="A9066" t="str">
        <f>"20190303154017475"</f>
        <v>20190303154017475</v>
      </c>
      <c r="B9066" t="str">
        <f>"1551598817467448"</f>
        <v>1551598817467448</v>
      </c>
      <c r="C9066" t="s">
        <v>40</v>
      </c>
      <c r="D9066">
        <v>4.1251709999999999</v>
      </c>
      <c r="E9066">
        <v>0.33905940000000001</v>
      </c>
      <c r="F9066" t="s">
        <v>44</v>
      </c>
      <c r="G9066">
        <v>-210.10769999999999</v>
      </c>
      <c r="H9066">
        <v>1.054019</v>
      </c>
      <c r="I9066">
        <v>-61.804099999999998</v>
      </c>
      <c r="J9066">
        <v>-210.76519999999999</v>
      </c>
      <c r="K9066">
        <v>1.1201490000000001</v>
      </c>
      <c r="L9066">
        <v>-62.32376</v>
      </c>
      <c r="M9066">
        <v>0.9998686</v>
      </c>
      <c r="N9066">
        <v>-7.4337730000000003E-3</v>
      </c>
      <c r="O9066">
        <v>1.4413459999999999E-2</v>
      </c>
      <c r="P9066">
        <v>0.98526729999999996</v>
      </c>
      <c r="Q9066">
        <v>-6.2264299999999998E-3</v>
      </c>
      <c r="R9066">
        <v>0.17090810000000001</v>
      </c>
      <c r="S9066">
        <v>2.7387079999999999</v>
      </c>
      <c r="T9066">
        <v>-0.2242249</v>
      </c>
      <c r="U9066">
        <v>1.7658689999999999</v>
      </c>
      <c r="V9066">
        <v>-0.15668760000000001</v>
      </c>
      <c r="W9066">
        <v>1.277748E-3</v>
      </c>
      <c r="X9066">
        <v>0.98764739999999995</v>
      </c>
      <c r="Y9066">
        <v>-0.52836470000000002</v>
      </c>
      <c r="Z9066">
        <v>2.0888190000000001E-2</v>
      </c>
      <c r="AA9066">
        <v>0.84876049999999903</v>
      </c>
      <c r="AB9066">
        <v>21</v>
      </c>
      <c r="AC9066">
        <v>0.65749999999999797</v>
      </c>
      <c r="AD9066">
        <v>-6.6129999999999994E-2</v>
      </c>
      <c r="AE9066">
        <v>0.51966000000000101</v>
      </c>
      <c r="AF9066">
        <v>-0.506972257912641</v>
      </c>
      <c r="AG9066">
        <v>-6.6129999999999994E-2</v>
      </c>
      <c r="AH9066">
        <v>0.66080750367173102</v>
      </c>
      <c r="AI9066">
        <v>94.539720277294094</v>
      </c>
      <c r="AJ9066">
        <v>127.49546066301301</v>
      </c>
      <c r="AK9066">
        <v>0.835500211910151</v>
      </c>
      <c r="AL9066">
        <v>89.926790413253002</v>
      </c>
      <c r="AM9066">
        <v>99.014691965845699</v>
      </c>
      <c r="AN9066">
        <v>1.0000000116802299</v>
      </c>
    </row>
    <row r="9067" spans="1:40" x14ac:dyDescent="0.25">
      <c r="A9067" t="str">
        <f>"20190303154017485"</f>
        <v>20190303154017485</v>
      </c>
      <c r="B9067" t="str">
        <f>"1551598817477209"</f>
        <v>1551598817477209</v>
      </c>
      <c r="C9067" t="s">
        <v>40</v>
      </c>
      <c r="D9067">
        <v>4.1239229999999996</v>
      </c>
      <c r="E9067">
        <v>0.33895409999999998</v>
      </c>
      <c r="F9067" t="s">
        <v>44</v>
      </c>
      <c r="G9067">
        <v>-209.92519999999999</v>
      </c>
      <c r="H9067">
        <v>1.0511090000000001</v>
      </c>
      <c r="I9067">
        <v>-61.780059999999999</v>
      </c>
      <c r="J9067">
        <v>-210.6574</v>
      </c>
      <c r="K9067">
        <v>1.1200760000000001</v>
      </c>
      <c r="L9067">
        <v>-62.322389999999999</v>
      </c>
      <c r="M9067">
        <v>0.99986640000000004</v>
      </c>
      <c r="N9067">
        <v>-7.4487619999999899E-3</v>
      </c>
      <c r="O9067">
        <v>1.4556360000000001E-2</v>
      </c>
      <c r="P9067">
        <v>0.98504910000000001</v>
      </c>
      <c r="Q9067">
        <v>-6.2743529999999999E-3</v>
      </c>
      <c r="R9067">
        <v>0.17215949999999999</v>
      </c>
      <c r="S9067">
        <v>2.7361909999999998</v>
      </c>
      <c r="T9067">
        <v>-0.22488520000000001</v>
      </c>
      <c r="U9067">
        <v>1.7713319999999999</v>
      </c>
      <c r="V9067">
        <v>-0.15780079999999999</v>
      </c>
      <c r="W9067">
        <v>1.2677350000000001E-3</v>
      </c>
      <c r="X9067">
        <v>0.98747010000000002</v>
      </c>
      <c r="Y9067">
        <v>-0.52978179999999997</v>
      </c>
      <c r="Z9067">
        <v>2.100291E-2</v>
      </c>
      <c r="AA9067">
        <v>0.84787389999999996</v>
      </c>
      <c r="AB9067">
        <v>21</v>
      </c>
      <c r="AC9067">
        <v>0.73220000000000596</v>
      </c>
      <c r="AD9067">
        <v>-6.8967000000000001E-2</v>
      </c>
      <c r="AE9067">
        <v>0.54233000000000597</v>
      </c>
      <c r="AF9067">
        <v>-0.52858580153205403</v>
      </c>
      <c r="AG9067">
        <v>-6.8967000000000001E-2</v>
      </c>
      <c r="AH9067">
        <v>0.73580157267398705</v>
      </c>
      <c r="AI9067">
        <v>94.353180516151795</v>
      </c>
      <c r="AJ9067">
        <v>125.692744994872</v>
      </c>
      <c r="AK9067">
        <v>0.90860516783683198</v>
      </c>
      <c r="AL9067">
        <v>89.927364111799307</v>
      </c>
      <c r="AM9067">
        <v>99.079277596602594</v>
      </c>
      <c r="AN9067">
        <v>0.999999949013338</v>
      </c>
    </row>
    <row r="9068" spans="1:40" x14ac:dyDescent="0.25">
      <c r="A9068" t="str">
        <f>"20190303154017495"</f>
        <v>20190303154017495</v>
      </c>
      <c r="B9068" t="str">
        <f>"1551598817486970"</f>
        <v>1551598817486970</v>
      </c>
      <c r="C9068" t="s">
        <v>40</v>
      </c>
      <c r="D9068">
        <v>4.1703390000000002</v>
      </c>
      <c r="E9068">
        <v>0.33890879999999901</v>
      </c>
      <c r="F9068" t="s">
        <v>44</v>
      </c>
      <c r="G9068">
        <v>-209.9118</v>
      </c>
      <c r="H9068">
        <v>1.0584499999999999</v>
      </c>
      <c r="I9068">
        <v>-61.838270000000001</v>
      </c>
      <c r="J9068">
        <v>-210.56209999999999</v>
      </c>
      <c r="K9068">
        <v>1.1200380000000001</v>
      </c>
      <c r="L9068">
        <v>-62.32123</v>
      </c>
      <c r="M9068">
        <v>0.99986560000000002</v>
      </c>
      <c r="N9068">
        <v>-7.4236479999999997E-3</v>
      </c>
      <c r="O9068">
        <v>1.462424E-2</v>
      </c>
      <c r="P9068">
        <v>0.98486779999999996</v>
      </c>
      <c r="Q9068">
        <v>-6.3667690000000004E-3</v>
      </c>
      <c r="R9068">
        <v>0.1731906</v>
      </c>
      <c r="S9068">
        <v>2.733765</v>
      </c>
      <c r="T9068">
        <v>-0.22597590000000001</v>
      </c>
      <c r="U9068">
        <v>1.7755430000000001</v>
      </c>
      <c r="V9068">
        <v>-0.1587674</v>
      </c>
      <c r="W9068">
        <v>1.1575859999999999E-3</v>
      </c>
      <c r="X9068">
        <v>0.98731539999999995</v>
      </c>
      <c r="Y9068">
        <v>-0.53097019999999995</v>
      </c>
      <c r="Z9068">
        <v>2.1138710000000002E-2</v>
      </c>
      <c r="AA9068">
        <v>0.84712679999999996</v>
      </c>
      <c r="AB9068">
        <v>21</v>
      </c>
      <c r="AC9068">
        <v>0.650299999999987</v>
      </c>
      <c r="AD9068">
        <v>-6.15879999999999E-2</v>
      </c>
      <c r="AE9068">
        <v>0.48296000000001199</v>
      </c>
      <c r="AF9068">
        <v>-0.47067700876636398</v>
      </c>
      <c r="AG9068">
        <v>-6.15879999999999E-2</v>
      </c>
      <c r="AH9068">
        <v>0.653515661937068</v>
      </c>
      <c r="AI9068">
        <v>94.372997948744995</v>
      </c>
      <c r="AJ9068">
        <v>125.762301011152</v>
      </c>
      <c r="AK9068">
        <v>0.80772065017696304</v>
      </c>
      <c r="AL9068">
        <v>89.933675197155196</v>
      </c>
      <c r="AM9068">
        <v>99.135364548000496</v>
      </c>
      <c r="AN9068">
        <v>1.00000006319263</v>
      </c>
    </row>
    <row r="9069" spans="1:40" x14ac:dyDescent="0.25">
      <c r="A9069" t="str">
        <f>"20190303154017504"</f>
        <v>20190303154017504</v>
      </c>
      <c r="B9069" t="str">
        <f>"1551598817496729"</f>
        <v>1551598817496729</v>
      </c>
      <c r="C9069" t="s">
        <v>40</v>
      </c>
      <c r="D9069">
        <v>4.1687909999999997</v>
      </c>
      <c r="E9069">
        <v>0.33882810000000002</v>
      </c>
      <c r="F9069" t="s">
        <v>44</v>
      </c>
      <c r="G9069">
        <v>-209.7353</v>
      </c>
      <c r="H9069">
        <v>1.0514349999999999</v>
      </c>
      <c r="I9069">
        <v>-61.78284</v>
      </c>
      <c r="J9069">
        <v>-210.4821</v>
      </c>
      <c r="K9069">
        <v>1.120017</v>
      </c>
      <c r="L9069">
        <v>-62.3202199999999</v>
      </c>
      <c r="M9069">
        <v>0.99986540000000002</v>
      </c>
      <c r="N9069">
        <v>-7.3850209999999899E-3</v>
      </c>
      <c r="O9069">
        <v>1.465489E-2</v>
      </c>
      <c r="P9069">
        <v>0.98466670000000001</v>
      </c>
      <c r="Q9069">
        <v>-6.7707039999999998E-3</v>
      </c>
      <c r="R9069">
        <v>0.1743152</v>
      </c>
      <c r="S9069">
        <v>2.7318120000000001</v>
      </c>
      <c r="T9069">
        <v>-0.22666130000000001</v>
      </c>
      <c r="U9069">
        <v>1.7788999999999999</v>
      </c>
      <c r="V9069">
        <v>-0.15986529999999999</v>
      </c>
      <c r="W9069">
        <v>7.1412739999999998E-4</v>
      </c>
      <c r="X9069">
        <v>0.98713859999999998</v>
      </c>
      <c r="Y9069">
        <v>-0.53194160000000001</v>
      </c>
      <c r="Z9069">
        <v>2.122897E-2</v>
      </c>
      <c r="AA9069">
        <v>0.84651489999999996</v>
      </c>
      <c r="AB9069">
        <v>21</v>
      </c>
      <c r="AC9069">
        <v>0.74680000000000701</v>
      </c>
      <c r="AD9069">
        <v>-6.8581999999999907E-2</v>
      </c>
      <c r="AE9069">
        <v>0.53737999999999098</v>
      </c>
      <c r="AF9069">
        <v>-0.52346907336627901</v>
      </c>
      <c r="AG9069">
        <v>-6.8581999999999907E-2</v>
      </c>
      <c r="AH9069">
        <v>0.75042553252897903</v>
      </c>
      <c r="AI9069">
        <v>94.2866457839052</v>
      </c>
      <c r="AJ9069">
        <v>124.898200948531</v>
      </c>
      <c r="AK9069">
        <v>0.91753029452239498</v>
      </c>
      <c r="AL9069">
        <v>89.959083511280397</v>
      </c>
      <c r="AM9069">
        <v>99.199080022784202</v>
      </c>
      <c r="AN9069">
        <v>1.00000001986599</v>
      </c>
    </row>
    <row r="9070" spans="1:40" x14ac:dyDescent="0.25">
      <c r="A9070" t="str">
        <f>"20190303154017514"</f>
        <v>20190303154017514</v>
      </c>
      <c r="B9070" t="str">
        <f>"1551598817507465"</f>
        <v>1551598817507465</v>
      </c>
      <c r="C9070" t="s">
        <v>40</v>
      </c>
      <c r="D9070">
        <v>4.1109619999999998</v>
      </c>
      <c r="E9070">
        <v>0.33867609999999998</v>
      </c>
      <c r="F9070" t="s">
        <v>44</v>
      </c>
      <c r="G9070">
        <v>-209.72540000000001</v>
      </c>
      <c r="H9070">
        <v>1.056711</v>
      </c>
      <c r="I9070">
        <v>-61.826090000000001</v>
      </c>
      <c r="J9070">
        <v>-210.39259999999999</v>
      </c>
      <c r="K9070">
        <v>1.1200019999999999</v>
      </c>
      <c r="L9070">
        <v>-62.319090000000003</v>
      </c>
      <c r="M9070">
        <v>0.99986629999999999</v>
      </c>
      <c r="N9070">
        <v>-7.3283940000000002E-3</v>
      </c>
      <c r="O9070">
        <v>1.4625050000000001E-2</v>
      </c>
      <c r="P9070">
        <v>0.98453860000000004</v>
      </c>
      <c r="Q9070">
        <v>-6.9412429999999997E-3</v>
      </c>
      <c r="R9070">
        <v>0.17503160000000001</v>
      </c>
      <c r="S9070">
        <v>2.729584</v>
      </c>
      <c r="T9070">
        <v>-0.2283578</v>
      </c>
      <c r="U9070">
        <v>1.782562</v>
      </c>
      <c r="V9070">
        <v>-0.16061320000000001</v>
      </c>
      <c r="W9070">
        <v>4.804772E-4</v>
      </c>
      <c r="X9070">
        <v>0.98701729999999999</v>
      </c>
      <c r="Y9070">
        <v>-0.53305639999999999</v>
      </c>
      <c r="Z9070">
        <v>2.141003E-2</v>
      </c>
      <c r="AA9070">
        <v>0.84580880000000003</v>
      </c>
      <c r="AB9070">
        <v>21</v>
      </c>
      <c r="AC9070">
        <v>0.66719999999997903</v>
      </c>
      <c r="AD9070">
        <v>-6.3290999999999903E-2</v>
      </c>
      <c r="AE9070">
        <v>0.49300000000000199</v>
      </c>
      <c r="AF9070">
        <v>-0.48039301012072</v>
      </c>
      <c r="AG9070">
        <v>-6.3290999999999903E-2</v>
      </c>
      <c r="AH9070">
        <v>0.67043665092785998</v>
      </c>
      <c r="AI9070">
        <v>94.388094385448795</v>
      </c>
      <c r="AJ9070">
        <v>125.62301802813199</v>
      </c>
      <c r="AK9070">
        <v>0.82720523315632599</v>
      </c>
      <c r="AL9070">
        <v>89.972470682972101</v>
      </c>
      <c r="AM9070">
        <v>99.242491485928895</v>
      </c>
      <c r="AN9070">
        <v>0.99999999068593404</v>
      </c>
    </row>
    <row r="9071" spans="1:40" x14ac:dyDescent="0.25">
      <c r="A9071" t="str">
        <f>"20190303154017524"</f>
        <v>20190303154017524</v>
      </c>
      <c r="B9071" t="str">
        <f>"1551598817517225"</f>
        <v>1551598817517225</v>
      </c>
      <c r="C9071" t="s">
        <v>40</v>
      </c>
      <c r="D9071">
        <v>4.1265739999999997</v>
      </c>
      <c r="E9071">
        <v>0.33859050000000002</v>
      </c>
      <c r="F9071" t="s">
        <v>44</v>
      </c>
      <c r="G9071">
        <v>-209.54849999999999</v>
      </c>
      <c r="H9071">
        <v>1.0492269999999999</v>
      </c>
      <c r="I9071">
        <v>-61.766440000000003</v>
      </c>
      <c r="J9071">
        <v>-210.28819999999999</v>
      </c>
      <c r="K9071">
        <v>1.120015</v>
      </c>
      <c r="L9071">
        <v>-62.317810000000001</v>
      </c>
      <c r="M9071">
        <v>0.9998686</v>
      </c>
      <c r="N9071">
        <v>-7.2449259999999996E-3</v>
      </c>
      <c r="O9071">
        <v>1.4507900000000001E-2</v>
      </c>
      <c r="P9071">
        <v>0.98443130000000001</v>
      </c>
      <c r="Q9071">
        <v>-7.0374399999999998E-3</v>
      </c>
      <c r="R9071">
        <v>0.17562900000000001</v>
      </c>
      <c r="S9071">
        <v>2.7279969999999998</v>
      </c>
      <c r="T9071">
        <v>-0.2287236</v>
      </c>
      <c r="U9071">
        <v>1.785828</v>
      </c>
      <c r="V9071">
        <v>-0.1613281</v>
      </c>
      <c r="W9071">
        <v>2.8497350000000001E-4</v>
      </c>
      <c r="X9071">
        <v>0.98690080000000002</v>
      </c>
      <c r="Y9071">
        <v>-0.53408330000000004</v>
      </c>
      <c r="Z9071">
        <v>2.1470969999999999E-2</v>
      </c>
      <c r="AA9071">
        <v>0.845159199999999</v>
      </c>
      <c r="AB9071">
        <v>21</v>
      </c>
      <c r="AC9071">
        <v>0.73969999999999902</v>
      </c>
      <c r="AD9071">
        <v>-7.0787999999999796E-2</v>
      </c>
      <c r="AE9071">
        <v>0.55136999999999103</v>
      </c>
      <c r="AF9071">
        <v>-0.53741633984334403</v>
      </c>
      <c r="AG9071">
        <v>-7.0787999999999796E-2</v>
      </c>
      <c r="AH9071">
        <v>0.74324597115755897</v>
      </c>
      <c r="AI9071">
        <v>94.413311355760499</v>
      </c>
      <c r="AJ9071">
        <v>125.86943524470099</v>
      </c>
      <c r="AK9071">
        <v>0.91991403778644398</v>
      </c>
      <c r="AL9071">
        <v>89.983672221169002</v>
      </c>
      <c r="AM9071">
        <v>99.283992553901797</v>
      </c>
      <c r="AN9071">
        <v>1.0000000130500699</v>
      </c>
    </row>
    <row r="9072" spans="1:40" x14ac:dyDescent="0.25">
      <c r="A9072" t="str">
        <f>"20190303154017535"</f>
        <v>20190303154017535</v>
      </c>
      <c r="B9072" t="str">
        <f>"1551598817526986"</f>
        <v>1551598817526986</v>
      </c>
      <c r="C9072" t="s">
        <v>40</v>
      </c>
      <c r="D9072">
        <v>4.1156860000000002</v>
      </c>
      <c r="E9072">
        <v>0.33848489999999998</v>
      </c>
      <c r="F9072" t="s">
        <v>44</v>
      </c>
      <c r="G9072">
        <v>-209.53530000000001</v>
      </c>
      <c r="H9072">
        <v>1.056735</v>
      </c>
      <c r="I9072">
        <v>-61.824010000000001</v>
      </c>
      <c r="J9072">
        <v>-210.1798</v>
      </c>
      <c r="K9072">
        <v>1.1200399999999999</v>
      </c>
      <c r="L9072">
        <v>-62.316409999999998</v>
      </c>
      <c r="M9072">
        <v>0.99987190000000004</v>
      </c>
      <c r="N9072">
        <v>-7.1613709999999997E-3</v>
      </c>
      <c r="O9072">
        <v>1.4318610000000001E-2</v>
      </c>
      <c r="P9072">
        <v>0.98432540000000002</v>
      </c>
      <c r="Q9072">
        <v>-7.0655469999999897E-3</v>
      </c>
      <c r="R9072">
        <v>0.17622090000000001</v>
      </c>
      <c r="S9072">
        <v>2.726807</v>
      </c>
      <c r="T9072">
        <v>-0.22918430000000001</v>
      </c>
      <c r="U9072">
        <v>1.7882389999999999</v>
      </c>
      <c r="V9072">
        <v>-0.16210829999999901</v>
      </c>
      <c r="W9072">
        <v>1.543204E-4</v>
      </c>
      <c r="X9072">
        <v>0.98677300000000001</v>
      </c>
      <c r="Y9072">
        <v>-0.53492830000000002</v>
      </c>
      <c r="Z9072">
        <v>2.1536300000000001E-2</v>
      </c>
      <c r="AA9072">
        <v>0.84462299999999901</v>
      </c>
      <c r="AB9072">
        <v>21</v>
      </c>
      <c r="AC9072">
        <v>0.64449999999999297</v>
      </c>
      <c r="AD9072">
        <v>-6.3304999999999903E-2</v>
      </c>
      <c r="AE9072">
        <v>0.492400000000003</v>
      </c>
      <c r="AF9072">
        <v>-0.48019560549435297</v>
      </c>
      <c r="AG9072">
        <v>-6.3304999999999903E-2</v>
      </c>
      <c r="AH9072">
        <v>0.647539801877834</v>
      </c>
      <c r="AI9072">
        <v>94.490022728158195</v>
      </c>
      <c r="AJ9072">
        <v>126.559494868592</v>
      </c>
      <c r="AK9072">
        <v>0.808642775010742</v>
      </c>
      <c r="AL9072">
        <v>89.9911580926981</v>
      </c>
      <c r="AM9072">
        <v>99.329290472163095</v>
      </c>
      <c r="AN9072">
        <v>1.00000003913633</v>
      </c>
    </row>
    <row r="9073" spans="1:40" x14ac:dyDescent="0.25">
      <c r="A9073" t="str">
        <f>"20190303154017546"</f>
        <v>20190303154017546</v>
      </c>
      <c r="B9073" t="str">
        <f>"1551598817536746"</f>
        <v>1551598817536746</v>
      </c>
      <c r="C9073" t="s">
        <v>40</v>
      </c>
      <c r="D9073">
        <v>4.1075629999999999</v>
      </c>
      <c r="E9073">
        <v>0.33845239999999999</v>
      </c>
      <c r="F9073" t="s">
        <v>44</v>
      </c>
      <c r="G9073">
        <v>-209.35499999999999</v>
      </c>
      <c r="H9073">
        <v>1.0506310000000001</v>
      </c>
      <c r="I9073">
        <v>-61.774569999999997</v>
      </c>
      <c r="J9073">
        <v>-210.07259999999999</v>
      </c>
      <c r="K9073">
        <v>1.120069</v>
      </c>
      <c r="L9073">
        <v>-62.315089999999998</v>
      </c>
      <c r="M9073">
        <v>0.99987570000000003</v>
      </c>
      <c r="N9073">
        <v>-7.0808349999999997E-3</v>
      </c>
      <c r="O9073">
        <v>1.4087590000000001E-2</v>
      </c>
      <c r="P9073">
        <v>0.98423110000000003</v>
      </c>
      <c r="Q9073">
        <v>-6.699534E-3</v>
      </c>
      <c r="R9073">
        <v>0.1767609</v>
      </c>
      <c r="S9073">
        <v>2.7255400000000001</v>
      </c>
      <c r="T9073">
        <v>-0.22936989999999999</v>
      </c>
      <c r="U9073">
        <v>1.790802</v>
      </c>
      <c r="V9073">
        <v>-0.1628771</v>
      </c>
      <c r="W9073">
        <v>4.199187E-4</v>
      </c>
      <c r="X9073">
        <v>0.98664629999999998</v>
      </c>
      <c r="Y9073">
        <v>-0.53585399999999905</v>
      </c>
      <c r="Z9073">
        <v>2.1586020000000001E-2</v>
      </c>
      <c r="AA9073">
        <v>0.84403470000000003</v>
      </c>
      <c r="AB9073">
        <v>21</v>
      </c>
      <c r="AC9073">
        <v>0.71760000000000401</v>
      </c>
      <c r="AD9073">
        <v>-6.9438000000000097E-2</v>
      </c>
      <c r="AE9073">
        <v>0.54052000000000699</v>
      </c>
      <c r="AF9073">
        <v>-0.52720734618908205</v>
      </c>
      <c r="AG9073">
        <v>-6.9438000000000097E-2</v>
      </c>
      <c r="AH9073">
        <v>0.72083736176829705</v>
      </c>
      <c r="AI9073">
        <v>94.445973477795306</v>
      </c>
      <c r="AJ9073">
        <v>126.18105920855299</v>
      </c>
      <c r="AK9073">
        <v>0.89575427648480399</v>
      </c>
      <c r="AL9073">
        <v>89.975940430613704</v>
      </c>
      <c r="AM9073">
        <v>99.373933642556096</v>
      </c>
      <c r="AN9073">
        <v>1.0000000236699</v>
      </c>
    </row>
    <row r="9074" spans="1:40" x14ac:dyDescent="0.25">
      <c r="A9074" t="str">
        <f>"20190303154017558"</f>
        <v>20190303154017558</v>
      </c>
      <c r="B9074" t="str">
        <f>"1551598817547482"</f>
        <v>1551598817547482</v>
      </c>
      <c r="C9074" t="s">
        <v>40</v>
      </c>
      <c r="D9074">
        <v>4.0862129999999999</v>
      </c>
      <c r="E9074">
        <v>0.33840500000000001</v>
      </c>
      <c r="F9074" t="s">
        <v>44</v>
      </c>
      <c r="G9074">
        <v>-209.34139999999999</v>
      </c>
      <c r="H9074">
        <v>1.0587789999999999</v>
      </c>
      <c r="I9074">
        <v>-61.834069999999997</v>
      </c>
      <c r="J9074">
        <v>-209.97110000000001</v>
      </c>
      <c r="K9074">
        <v>1.1200939999999999</v>
      </c>
      <c r="L9074">
        <v>-62.313749999999999</v>
      </c>
      <c r="M9074">
        <v>0.99987969999999904</v>
      </c>
      <c r="N9074">
        <v>-7.0164169999999996E-3</v>
      </c>
      <c r="O9074">
        <v>1.384734E-2</v>
      </c>
      <c r="P9074">
        <v>0.98412540000000004</v>
      </c>
      <c r="Q9074">
        <v>-6.5046330000000001E-3</v>
      </c>
      <c r="R9074">
        <v>0.17735619999999999</v>
      </c>
      <c r="S9074">
        <v>2.7245940000000002</v>
      </c>
      <c r="T9074">
        <v>-0.2283741</v>
      </c>
      <c r="U9074">
        <v>1.7926029999999999</v>
      </c>
      <c r="V9074">
        <v>-0.1637112</v>
      </c>
      <c r="W9074">
        <v>5.357901E-4</v>
      </c>
      <c r="X9074">
        <v>0.98650819999999995</v>
      </c>
      <c r="Y9074">
        <v>-0.53659080000000003</v>
      </c>
      <c r="Z9074">
        <v>2.1532630000000001E-2</v>
      </c>
      <c r="AA9074">
        <v>0.84356779999999998</v>
      </c>
      <c r="AB9074">
        <v>21</v>
      </c>
      <c r="AC9074">
        <v>0.62970000000001303</v>
      </c>
      <c r="AD9074">
        <v>-6.1315000000000001E-2</v>
      </c>
      <c r="AE9074">
        <v>0.47968000000000099</v>
      </c>
      <c r="AF9074">
        <v>-0.46810560999605</v>
      </c>
      <c r="AG9074">
        <v>-6.1315000000000001E-2</v>
      </c>
      <c r="AH9074">
        <v>0.63248731463809804</v>
      </c>
      <c r="AI9074">
        <v>94.455640503202005</v>
      </c>
      <c r="AJ9074">
        <v>126.505245511615</v>
      </c>
      <c r="AK9074">
        <v>0.78925445485780199</v>
      </c>
      <c r="AL9074">
        <v>89.969301488212807</v>
      </c>
      <c r="AM9074">
        <v>99.422374660273803</v>
      </c>
      <c r="AN9074">
        <v>1.00000003637185</v>
      </c>
    </row>
    <row r="9075" spans="1:40" x14ac:dyDescent="0.25">
      <c r="A9075" t="str">
        <f>"20190303154017569"</f>
        <v>20190303154017569</v>
      </c>
      <c r="B9075" t="str">
        <f>"1551598817567001"</f>
        <v>1551598817567001</v>
      </c>
      <c r="C9075" t="s">
        <v>40</v>
      </c>
      <c r="D9075">
        <v>4.0883580000000004</v>
      </c>
      <c r="E9075">
        <v>0.33822180000000002</v>
      </c>
      <c r="F9075" t="s">
        <v>44</v>
      </c>
      <c r="G9075">
        <v>-209.16120000000001</v>
      </c>
      <c r="H9075">
        <v>1.0523129999999901</v>
      </c>
      <c r="I9075">
        <v>-61.78004</v>
      </c>
      <c r="J9075">
        <v>-209.8614</v>
      </c>
      <c r="K9075">
        <v>1.1201190000000001</v>
      </c>
      <c r="L9075">
        <v>-62.312379999999997</v>
      </c>
      <c r="M9075">
        <v>0.99988370000000004</v>
      </c>
      <c r="N9075">
        <v>-6.9497269999999898E-3</v>
      </c>
      <c r="O9075">
        <v>1.3583069999999999E-2</v>
      </c>
      <c r="P9075">
        <v>0.98405050000000005</v>
      </c>
      <c r="Q9075">
        <v>-6.4624690000000002E-3</v>
      </c>
      <c r="R9075">
        <v>0.17777290000000001</v>
      </c>
      <c r="S9075">
        <v>2.7234340000000001</v>
      </c>
      <c r="T9075">
        <v>-0.22791810000000001</v>
      </c>
      <c r="U9075">
        <v>1.794708</v>
      </c>
      <c r="V9075">
        <v>-0.16438989999999901</v>
      </c>
      <c r="W9075">
        <v>4.9668900000000003E-4</v>
      </c>
      <c r="X9075">
        <v>0.98639529999999997</v>
      </c>
      <c r="Y9075">
        <v>-0.53743660000000004</v>
      </c>
      <c r="Z9075">
        <v>2.1530959999999998E-2</v>
      </c>
      <c r="AA9075">
        <v>0.84302929999999998</v>
      </c>
      <c r="AB9075">
        <v>21</v>
      </c>
      <c r="AC9075">
        <v>0.70019999999999505</v>
      </c>
      <c r="AD9075">
        <v>-6.7806000000000199E-2</v>
      </c>
      <c r="AE9075">
        <v>0.53234000000000403</v>
      </c>
      <c r="AF9075">
        <v>-0.51969142976378901</v>
      </c>
      <c r="AG9075">
        <v>-6.7806000000000199E-2</v>
      </c>
      <c r="AH9075">
        <v>0.70318756296637597</v>
      </c>
      <c r="AI9075">
        <v>94.434237761001896</v>
      </c>
      <c r="AJ9075">
        <v>126.466288765751</v>
      </c>
      <c r="AK9075">
        <v>0.87701173567776303</v>
      </c>
      <c r="AL9075">
        <v>89.9715418150262</v>
      </c>
      <c r="AM9075">
        <v>99.461795665275304</v>
      </c>
      <c r="AN9075">
        <v>0.99999998689203096</v>
      </c>
    </row>
    <row r="9076" spans="1:40" x14ac:dyDescent="0.25">
      <c r="A9076" t="str">
        <f>"20190303154017580"</f>
        <v>20190303154017580</v>
      </c>
      <c r="B9076" t="str">
        <f>"1551598817576761"</f>
        <v>1551598817576761</v>
      </c>
      <c r="C9076" t="s">
        <v>40</v>
      </c>
      <c r="D9076">
        <v>4.0451699999999997</v>
      </c>
      <c r="E9076">
        <v>0.33803509999999998</v>
      </c>
      <c r="F9076" t="s">
        <v>44</v>
      </c>
      <c r="G9076">
        <v>-208.97919999999999</v>
      </c>
      <c r="H9076">
        <v>1.0459240000000001</v>
      </c>
      <c r="I9076">
        <v>-61.730029999999999</v>
      </c>
      <c r="J9076">
        <v>-209.7542</v>
      </c>
      <c r="K9076">
        <v>1.120128</v>
      </c>
      <c r="L9076">
        <v>-62.311</v>
      </c>
      <c r="M9076">
        <v>0.99988710000000003</v>
      </c>
      <c r="N9076">
        <v>-6.8931790000000001E-3</v>
      </c>
      <c r="O9076">
        <v>1.335807E-2</v>
      </c>
      <c r="P9076">
        <v>0.98395569999999999</v>
      </c>
      <c r="Q9076">
        <v>-6.527288E-3</v>
      </c>
      <c r="R9076">
        <v>0.1782937</v>
      </c>
      <c r="S9076">
        <v>2.7224430000000002</v>
      </c>
      <c r="T9076">
        <v>-0.22897680000000001</v>
      </c>
      <c r="U9076">
        <v>1.7972410000000001</v>
      </c>
      <c r="V9076">
        <v>-0.165134</v>
      </c>
      <c r="W9076">
        <v>3.6985119999999999E-4</v>
      </c>
      <c r="X9076">
        <v>0.98627109999999996</v>
      </c>
      <c r="Y9076">
        <v>-0.53829930000000004</v>
      </c>
      <c r="Z9076">
        <v>2.165742E-2</v>
      </c>
      <c r="AA9076">
        <v>0.84247539999999999</v>
      </c>
      <c r="AB9076">
        <v>21</v>
      </c>
      <c r="AC9076">
        <v>0.77500000000000502</v>
      </c>
      <c r="AD9076">
        <v>-7.4203999999999895E-2</v>
      </c>
      <c r="AE9076">
        <v>0.58096999999999999</v>
      </c>
      <c r="AF9076">
        <v>-0.56723616746129901</v>
      </c>
      <c r="AG9076">
        <v>-7.4203999999999895E-2</v>
      </c>
      <c r="AH9076">
        <v>0.77812467061157697</v>
      </c>
      <c r="AI9076">
        <v>94.406538942192199</v>
      </c>
      <c r="AJ9076">
        <v>126.09124516661301</v>
      </c>
      <c r="AK9076">
        <v>0.96578522783616805</v>
      </c>
      <c r="AL9076">
        <v>89.9788090873176</v>
      </c>
      <c r="AM9076">
        <v>99.505019267462501</v>
      </c>
      <c r="AN9076">
        <v>1.0000000287205499</v>
      </c>
    </row>
    <row r="9077" spans="1:40" x14ac:dyDescent="0.25">
      <c r="A9077" t="str">
        <f>"20190303154017592"</f>
        <v>20190303154017592</v>
      </c>
      <c r="B9077" t="str">
        <f>"1551598817587501"</f>
        <v>1551598817587501</v>
      </c>
      <c r="C9077" t="s">
        <v>40</v>
      </c>
      <c r="D9077">
        <v>4.0934990000000004</v>
      </c>
      <c r="E9077">
        <v>0.33805859999999999</v>
      </c>
      <c r="F9077" t="s">
        <v>44</v>
      </c>
      <c r="G9077">
        <v>-208.9657</v>
      </c>
      <c r="H9077">
        <v>1.053625</v>
      </c>
      <c r="I9077">
        <v>-61.789400000000001</v>
      </c>
      <c r="J9077">
        <v>-209.6464</v>
      </c>
      <c r="K9077">
        <v>1.120136</v>
      </c>
      <c r="L9077">
        <v>-62.309660000000001</v>
      </c>
      <c r="M9077">
        <v>0.99989030000000001</v>
      </c>
      <c r="N9077">
        <v>-6.8369829999999996E-3</v>
      </c>
      <c r="O9077">
        <v>1.314303E-2</v>
      </c>
      <c r="P9077">
        <v>0.98391059999999997</v>
      </c>
      <c r="Q9077">
        <v>-6.779261E-3</v>
      </c>
      <c r="R9077">
        <v>0.17853369999999999</v>
      </c>
      <c r="S9077">
        <v>2.7212070000000002</v>
      </c>
      <c r="T9077">
        <v>-0.22950519999999999</v>
      </c>
      <c r="U9077">
        <v>1.8001100000000001</v>
      </c>
      <c r="V9077">
        <v>-0.16558639999999999</v>
      </c>
      <c r="W9077" s="1">
        <v>5.7259809999999998E-5</v>
      </c>
      <c r="X9077">
        <v>0.9861953</v>
      </c>
      <c r="Y9077">
        <v>-0.53926569999999996</v>
      </c>
      <c r="Z9077">
        <v>2.1743720000000001E-2</v>
      </c>
      <c r="AA9077">
        <v>0.84185499999999902</v>
      </c>
      <c r="AB9077">
        <v>21</v>
      </c>
      <c r="AC9077">
        <v>0.68070000000000097</v>
      </c>
      <c r="AD9077">
        <v>-6.6510999999999904E-2</v>
      </c>
      <c r="AE9077">
        <v>0.52025999999999994</v>
      </c>
      <c r="AF9077">
        <v>-0.50820560533477799</v>
      </c>
      <c r="AG9077">
        <v>-6.6510999999999904E-2</v>
      </c>
      <c r="AH9077">
        <v>0.68336076631613996</v>
      </c>
      <c r="AI9077">
        <v>94.465705813698705</v>
      </c>
      <c r="AJ9077">
        <v>126.63765273774</v>
      </c>
      <c r="AK9077">
        <v>0.85421226129977301</v>
      </c>
      <c r="AL9077">
        <v>89.996719254596798</v>
      </c>
      <c r="AM9077">
        <v>99.531301198549599</v>
      </c>
      <c r="AN9077">
        <v>1.00000001444286</v>
      </c>
    </row>
    <row r="9078" spans="1:40" x14ac:dyDescent="0.25">
      <c r="A9078" t="str">
        <f>"20190303154017603"</f>
        <v>20190303154017603</v>
      </c>
      <c r="B9078" t="str">
        <f>"1551598817597257"</f>
        <v>1551598817597257</v>
      </c>
      <c r="C9078" t="s">
        <v>40</v>
      </c>
      <c r="D9078">
        <v>4.30138</v>
      </c>
      <c r="E9078">
        <v>0.33805859999999999</v>
      </c>
      <c r="F9078" t="s">
        <v>44</v>
      </c>
      <c r="G9078">
        <v>-208.78309999999999</v>
      </c>
      <c r="H9078">
        <v>1.0469710000000001</v>
      </c>
      <c r="I9078">
        <v>-61.738399999999999</v>
      </c>
      <c r="J9078">
        <v>-209.5342</v>
      </c>
      <c r="K9078">
        <v>1.120133</v>
      </c>
      <c r="L9078">
        <v>-62.30829</v>
      </c>
      <c r="M9078">
        <v>0.99989309999999998</v>
      </c>
      <c r="N9078">
        <v>-6.7811649999999996E-3</v>
      </c>
      <c r="O9078">
        <v>1.2961790000000001E-2</v>
      </c>
      <c r="P9078">
        <v>0.98383339999999997</v>
      </c>
      <c r="Q9078">
        <v>-7.0262650000000003E-3</v>
      </c>
      <c r="R9078">
        <v>0.1789499</v>
      </c>
      <c r="S9078">
        <v>2.7207490000000001</v>
      </c>
      <c r="T9078">
        <v>-0.23059640000000001</v>
      </c>
      <c r="U9078">
        <v>1.8005979999999999</v>
      </c>
      <c r="V9078">
        <v>-0.16618260000000001</v>
      </c>
      <c r="W9078">
        <v>-2.443662E-4</v>
      </c>
      <c r="X9078">
        <v>0.98609500000000005</v>
      </c>
      <c r="Y9078">
        <v>-0.53957489999999997</v>
      </c>
      <c r="Z9078">
        <v>2.1847660000000001E-2</v>
      </c>
      <c r="AA9078">
        <v>0.84165409999999996</v>
      </c>
      <c r="AB9078">
        <v>22</v>
      </c>
      <c r="AC9078">
        <v>0.75110000000000798</v>
      </c>
      <c r="AD9078">
        <v>-7.3162000000000102E-2</v>
      </c>
      <c r="AE9078">
        <v>0.56989000000000001</v>
      </c>
      <c r="AF9078">
        <v>-0.55675379928387703</v>
      </c>
      <c r="AG9078">
        <v>-7.3162000000000102E-2</v>
      </c>
      <c r="AH9078">
        <v>0.75388433843375502</v>
      </c>
      <c r="AI9078">
        <v>94.463780150443895</v>
      </c>
      <c r="AJ9078">
        <v>126.44637014269701</v>
      </c>
      <c r="AK9078">
        <v>0.94003673704634105</v>
      </c>
      <c r="AL9078">
        <v>90.014001151597995</v>
      </c>
      <c r="AM9078">
        <v>99.565940965258093</v>
      </c>
      <c r="AN9078">
        <v>1.0000000326412899</v>
      </c>
    </row>
    <row r="9079" spans="1:40" x14ac:dyDescent="0.25">
      <c r="A9079" t="str">
        <f>"20190303154017614"</f>
        <v>20190303154017614</v>
      </c>
      <c r="B9079" t="str">
        <f>"1551598817607017"</f>
        <v>1551598817607017</v>
      </c>
      <c r="C9079" t="s">
        <v>40</v>
      </c>
      <c r="D9079">
        <v>4.3448699999999896</v>
      </c>
      <c r="E9079">
        <v>0.38026539999999998</v>
      </c>
      <c r="F9079" t="s">
        <v>44</v>
      </c>
      <c r="G9079">
        <v>-208.7688</v>
      </c>
      <c r="H9079">
        <v>1.055158</v>
      </c>
      <c r="I9079">
        <v>-61.801290000000002</v>
      </c>
      <c r="J9079">
        <v>-209.4306</v>
      </c>
      <c r="K9079">
        <v>1.1201319999999999</v>
      </c>
      <c r="L9079">
        <v>-62.307040000000001</v>
      </c>
      <c r="M9079">
        <v>0.99989530000000004</v>
      </c>
      <c r="N9079">
        <v>-6.7314649999999998E-3</v>
      </c>
      <c r="O9079">
        <v>1.2812749999999999E-2</v>
      </c>
      <c r="P9079">
        <v>0.98380319999999999</v>
      </c>
      <c r="Q9079">
        <v>-7.3742349999999998E-3</v>
      </c>
      <c r="R9079">
        <v>0.17909949999999999</v>
      </c>
      <c r="S9079">
        <v>2.71991</v>
      </c>
      <c r="T9079">
        <v>-0.23090089999999999</v>
      </c>
      <c r="U9079">
        <v>1.8018799999999999</v>
      </c>
      <c r="V9079">
        <v>-0.1664793</v>
      </c>
      <c r="W9079">
        <v>-6.3994219999999997E-4</v>
      </c>
      <c r="X9079">
        <v>0.98604480000000005</v>
      </c>
      <c r="Y9079">
        <v>-0.54009090000000004</v>
      </c>
      <c r="Z9079">
        <v>2.1893820000000001E-2</v>
      </c>
      <c r="AA9079">
        <v>0.84132189999999996</v>
      </c>
      <c r="AB9079">
        <v>22</v>
      </c>
      <c r="AC9079">
        <v>0.66179999999999894</v>
      </c>
      <c r="AD9079">
        <v>-6.4973999999999796E-2</v>
      </c>
      <c r="AE9079">
        <v>0.50574999999999803</v>
      </c>
      <c r="AF9079">
        <v>-0.49422142086535398</v>
      </c>
      <c r="AG9079">
        <v>-6.4973999999999796E-2</v>
      </c>
      <c r="AH9079">
        <v>0.66418423260218495</v>
      </c>
      <c r="AI9079">
        <v>94.487477841761404</v>
      </c>
      <c r="AJ9079">
        <v>126.653042726157</v>
      </c>
      <c r="AK9079">
        <v>0.83043189266521</v>
      </c>
      <c r="AL9079">
        <v>90.036665987596507</v>
      </c>
      <c r="AM9079">
        <v>99.583182227946807</v>
      </c>
      <c r="AN9079">
        <v>1.0000000572307699</v>
      </c>
    </row>
    <row r="9080" spans="1:40" x14ac:dyDescent="0.25">
      <c r="A9080" t="str">
        <f>"20190303154017625"</f>
        <v>20190303154017625</v>
      </c>
      <c r="B9080" t="str">
        <f>"1551598817616778"</f>
        <v>1551598817616778</v>
      </c>
      <c r="C9080" t="s">
        <v>40</v>
      </c>
      <c r="D9080">
        <v>4.3387060000000002</v>
      </c>
      <c r="E9080">
        <v>0.39599960000000001</v>
      </c>
      <c r="F9080" t="s">
        <v>44</v>
      </c>
      <c r="G9080">
        <v>-208.5633</v>
      </c>
      <c r="H9080">
        <v>1.0615589999999999</v>
      </c>
      <c r="I9080">
        <v>-61.847830000000002</v>
      </c>
      <c r="J9080">
        <v>-209.31950000000001</v>
      </c>
      <c r="K9080">
        <v>1.120123</v>
      </c>
      <c r="L9080">
        <v>-62.305729999999997</v>
      </c>
      <c r="M9080">
        <v>0.99989740000000005</v>
      </c>
      <c r="N9080">
        <v>-6.6807000000000004E-3</v>
      </c>
      <c r="O9080">
        <v>1.2676979999999999E-2</v>
      </c>
      <c r="P9080">
        <v>0.98374649999999997</v>
      </c>
      <c r="Q9080">
        <v>-7.7080539999999998E-3</v>
      </c>
      <c r="R9080">
        <v>0.1793979</v>
      </c>
      <c r="S9080">
        <v>2.7799529999999999</v>
      </c>
      <c r="T9080">
        <v>-0.18775430000000001</v>
      </c>
      <c r="U9080">
        <v>1.4722599999999999</v>
      </c>
      <c r="V9080">
        <v>-0.1669127</v>
      </c>
      <c r="W9080">
        <v>-1.0211809999999999E-3</v>
      </c>
      <c r="X9080">
        <v>0.98597120000000005</v>
      </c>
      <c r="Y9080">
        <v>-0.45588719999999999</v>
      </c>
      <c r="Z9080">
        <v>1.5326950000000001E-2</v>
      </c>
      <c r="AA9080">
        <v>0.88990559999999996</v>
      </c>
      <c r="AB9080">
        <v>22</v>
      </c>
      <c r="AC9080">
        <v>0.75620000000000598</v>
      </c>
      <c r="AD9080">
        <v>-5.8563999999999998E-2</v>
      </c>
      <c r="AE9080">
        <v>0.45790000000000203</v>
      </c>
      <c r="AF9080">
        <v>-0.44631794480921699</v>
      </c>
      <c r="AG9080">
        <v>-5.8563999999999998E-2</v>
      </c>
      <c r="AH9080">
        <v>0.75861488946072597</v>
      </c>
      <c r="AI9080">
        <v>93.806693909583402</v>
      </c>
      <c r="AJ9080">
        <v>120.469690921721</v>
      </c>
      <c r="AK9080">
        <v>0.88211450530315705</v>
      </c>
      <c r="AL9080">
        <v>90.058509368678202</v>
      </c>
      <c r="AM9080">
        <v>99.608369737905903</v>
      </c>
      <c r="AN9080">
        <v>1.00000004973068</v>
      </c>
    </row>
    <row r="9081" spans="1:40" x14ac:dyDescent="0.25">
      <c r="A9081" t="str">
        <f>"20190303154017637"</f>
        <v>20190303154017637</v>
      </c>
      <c r="B9081" t="str">
        <f>"1551598817626538"</f>
        <v>1551598817626538</v>
      </c>
      <c r="C9081" t="s">
        <v>40</v>
      </c>
      <c r="D9081">
        <v>4.3749699999999896</v>
      </c>
      <c r="E9081">
        <v>0.39599960000000001</v>
      </c>
      <c r="F9081" t="s">
        <v>63</v>
      </c>
      <c r="G9081">
        <v>-192.87960000000001</v>
      </c>
      <c r="H9081" s="1">
        <v>-8.6345339999999998E-6</v>
      </c>
      <c r="I9081">
        <v>-54.386409999999998</v>
      </c>
      <c r="J9081">
        <v>-209.21010000000001</v>
      </c>
      <c r="K9081">
        <v>1.1201219999999901</v>
      </c>
      <c r="L9081">
        <v>-62.304470000000002</v>
      </c>
      <c r="M9081">
        <v>0.99989910000000004</v>
      </c>
      <c r="N9081">
        <v>-6.6355040000000004E-3</v>
      </c>
      <c r="O9081">
        <v>1.256023E-2</v>
      </c>
      <c r="P9081">
        <v>0.98368080000000002</v>
      </c>
      <c r="Q9081">
        <v>-8.367958E-3</v>
      </c>
      <c r="R9081">
        <v>0.1797282</v>
      </c>
      <c r="S9081">
        <v>2.8019409999999998</v>
      </c>
      <c r="T9081">
        <v>-0.1909101</v>
      </c>
      <c r="U9081">
        <v>1.349731</v>
      </c>
      <c r="V9081">
        <v>-0.1673597</v>
      </c>
      <c r="W9081">
        <v>-1.724499E-3</v>
      </c>
      <c r="X9081">
        <v>0.98589439999999995</v>
      </c>
      <c r="Y9081">
        <v>-0.42177039999999999</v>
      </c>
      <c r="Z9081">
        <v>1.4349209999999999E-2</v>
      </c>
      <c r="AA9081">
        <v>0.90658919999999998</v>
      </c>
      <c r="AB9081">
        <v>22</v>
      </c>
      <c r="AC9081">
        <v>16.330500000000001</v>
      </c>
      <c r="AD9081">
        <v>-1.1201306345340001</v>
      </c>
      <c r="AE9081">
        <v>7.9180599999999899</v>
      </c>
      <c r="AF9081">
        <v>-7.6830494026641798</v>
      </c>
      <c r="AG9081">
        <v>-1.1201306345340001</v>
      </c>
      <c r="AH9081">
        <v>16.366323253250201</v>
      </c>
      <c r="AI9081">
        <v>93.545182182249803</v>
      </c>
      <c r="AJ9081">
        <v>115.14736079143</v>
      </c>
      <c r="AK9081">
        <v>18.114648149828302</v>
      </c>
      <c r="AL9081">
        <v>90.098806562902894</v>
      </c>
      <c r="AM9081">
        <v>99.634356177004506</v>
      </c>
      <c r="AN9081">
        <v>1.00000000551612</v>
      </c>
    </row>
    <row r="9082" spans="1:40" x14ac:dyDescent="0.25">
      <c r="A9082" t="str">
        <f>"20190303154017650"</f>
        <v>20190303154017650</v>
      </c>
      <c r="B9082" t="str">
        <f>"1551598817647033"</f>
        <v>1551598817647033</v>
      </c>
      <c r="C9082" t="s">
        <v>40</v>
      </c>
      <c r="D9082">
        <v>4.2836509999999999</v>
      </c>
      <c r="E9082">
        <v>0.4816262</v>
      </c>
      <c r="F9082" t="s">
        <v>44</v>
      </c>
      <c r="G9082">
        <v>-208.27610000000001</v>
      </c>
      <c r="H9082">
        <v>1.0559289999999999</v>
      </c>
      <c r="I9082">
        <v>-61.85425</v>
      </c>
      <c r="J9082">
        <v>-209.06870000000001</v>
      </c>
      <c r="K9082">
        <v>1.1201190000000001</v>
      </c>
      <c r="L9082">
        <v>-62.302860000000003</v>
      </c>
      <c r="M9082">
        <v>0.99990120000000005</v>
      </c>
      <c r="N9082">
        <v>-6.5817269999999999E-3</v>
      </c>
      <c r="O9082">
        <v>1.242351E-2</v>
      </c>
      <c r="P9082">
        <v>0.9835777</v>
      </c>
      <c r="Q9082">
        <v>-8.8847879999999994E-3</v>
      </c>
      <c r="R9082">
        <v>0.18026710000000001</v>
      </c>
      <c r="S9082">
        <v>2.8013460000000001</v>
      </c>
      <c r="T9082">
        <v>-0.19254260000000001</v>
      </c>
      <c r="U9082">
        <v>1.3505860000000001</v>
      </c>
      <c r="V9082">
        <v>-0.16803499999999999</v>
      </c>
      <c r="W9082">
        <v>-2.2946220000000001E-3</v>
      </c>
      <c r="X9082">
        <v>0.9857783</v>
      </c>
      <c r="Y9082">
        <v>-0.42217949999999999</v>
      </c>
      <c r="Z9082">
        <v>1.447038E-2</v>
      </c>
      <c r="AA9082">
        <v>0.9063968</v>
      </c>
      <c r="AB9082">
        <v>22</v>
      </c>
      <c r="AC9082">
        <v>0.79259999999999298</v>
      </c>
      <c r="AD9082">
        <v>-6.41899999999999E-2</v>
      </c>
      <c r="AE9082">
        <v>0.44860999999999501</v>
      </c>
      <c r="AF9082">
        <v>-0.43655968767203701</v>
      </c>
      <c r="AG9082">
        <v>-6.41899999999999E-2</v>
      </c>
      <c r="AH9082">
        <v>0.794167248256752</v>
      </c>
      <c r="AI9082">
        <v>94.051521043921596</v>
      </c>
      <c r="AJ9082">
        <v>118.79792507305299</v>
      </c>
      <c r="AK9082">
        <v>0.90851875886192202</v>
      </c>
      <c r="AL9082">
        <v>90.131472279224894</v>
      </c>
      <c r="AM9082">
        <v>99.673615695592105</v>
      </c>
      <c r="AN9082">
        <v>0.99999994163300399</v>
      </c>
    </row>
    <row r="9083" spans="1:40" x14ac:dyDescent="0.25">
      <c r="A9083" t="str">
        <f>"20190303154017661"</f>
        <v>20190303154017661</v>
      </c>
      <c r="B9083" t="str">
        <f>"1551598817656794"</f>
        <v>1551598817656794</v>
      </c>
      <c r="C9083" t="s">
        <v>40</v>
      </c>
      <c r="D9083">
        <v>4.2826610000000001</v>
      </c>
      <c r="E9083">
        <v>0.4887358</v>
      </c>
      <c r="F9083" t="s">
        <v>63</v>
      </c>
      <c r="G9083">
        <v>-187.80950000000001</v>
      </c>
      <c r="H9083" s="1">
        <v>-1.241576E-5</v>
      </c>
      <c r="I9083">
        <v>-57.348350000000003</v>
      </c>
      <c r="J9083">
        <v>-208.96549999999999</v>
      </c>
      <c r="K9083">
        <v>1.120133</v>
      </c>
      <c r="L9083">
        <v>-62.301699999999997</v>
      </c>
      <c r="M9083">
        <v>0.99990250000000003</v>
      </c>
      <c r="N9083">
        <v>-6.549343E-3</v>
      </c>
      <c r="O9083">
        <v>1.233711E-2</v>
      </c>
      <c r="P9083">
        <v>0.98343219999999998</v>
      </c>
      <c r="Q9083">
        <v>-9.3137010000000006E-3</v>
      </c>
      <c r="R9083">
        <v>0.18103720000000001</v>
      </c>
      <c r="S9083">
        <v>2.9237980000000001</v>
      </c>
      <c r="T9083">
        <v>-0.15405260000000001</v>
      </c>
      <c r="U9083">
        <v>0.68139649999999996</v>
      </c>
      <c r="V9083">
        <v>-0.16889209999999999</v>
      </c>
      <c r="W9083">
        <v>-2.759624E-3</v>
      </c>
      <c r="X9083">
        <v>0.98563069999999997</v>
      </c>
      <c r="Y9083">
        <v>-0.2146306</v>
      </c>
      <c r="Z9083">
        <v>5.7274960000000003E-3</v>
      </c>
      <c r="AA9083">
        <v>0.9766785</v>
      </c>
      <c r="AB9083">
        <v>22</v>
      </c>
      <c r="AC9083">
        <v>21.155999999999899</v>
      </c>
      <c r="AD9083">
        <v>-1.1201454157599999</v>
      </c>
      <c r="AE9083">
        <v>4.9533499999999897</v>
      </c>
      <c r="AF9083">
        <v>-4.6795268104199899</v>
      </c>
      <c r="AG9083">
        <v>-1.1201454157599999</v>
      </c>
      <c r="AH9083">
        <v>21.159266485842</v>
      </c>
      <c r="AI9083">
        <v>92.958972032392694</v>
      </c>
      <c r="AJ9083">
        <v>102.47065184210901</v>
      </c>
      <c r="AK9083">
        <v>21.6994759185738</v>
      </c>
      <c r="AL9083">
        <v>90.158115006263401</v>
      </c>
      <c r="AM9083">
        <v>99.723446883203593</v>
      </c>
      <c r="AN9083">
        <v>1.00000001687476</v>
      </c>
    </row>
    <row r="9084" spans="1:40" x14ac:dyDescent="0.25">
      <c r="A9084" t="str">
        <f>"20190303154017673"</f>
        <v>20190303154017673</v>
      </c>
      <c r="B9084" t="str">
        <f>"1551598817666554"</f>
        <v>1551598817666554</v>
      </c>
      <c r="C9084" t="s">
        <v>40</v>
      </c>
      <c r="D9084">
        <v>4.3220080000000003</v>
      </c>
      <c r="E9084">
        <v>0.49262529999999999</v>
      </c>
      <c r="F9084" t="s">
        <v>63</v>
      </c>
      <c r="G9084">
        <v>-189.84360000000001</v>
      </c>
      <c r="H9084" s="1">
        <v>-1.2231610000000001E-5</v>
      </c>
      <c r="I9084">
        <v>-58.212260000000001</v>
      </c>
      <c r="J9084">
        <v>-208.85830000000001</v>
      </c>
      <c r="K9084">
        <v>1.120136</v>
      </c>
      <c r="L9084">
        <v>-62.300510000000003</v>
      </c>
      <c r="M9084">
        <v>0.99990310000000004</v>
      </c>
      <c r="N9084">
        <v>-6.485953E-3</v>
      </c>
      <c r="O9084">
        <v>1.2328220000000001E-2</v>
      </c>
      <c r="P9084">
        <v>0.98321959999999997</v>
      </c>
      <c r="Q9084">
        <v>-9.6457269999999998E-3</v>
      </c>
      <c r="R9084">
        <v>0.18217169999999999</v>
      </c>
      <c r="S9084">
        <v>2.9334410000000002</v>
      </c>
      <c r="T9084">
        <v>-0.17183850000000001</v>
      </c>
      <c r="U9084">
        <v>0.62734990000000002</v>
      </c>
      <c r="V9084">
        <v>-0.17003859999999901</v>
      </c>
      <c r="W9084">
        <v>-3.1581679999999998E-3</v>
      </c>
      <c r="X9084">
        <v>0.98543230000000004</v>
      </c>
      <c r="Y9084">
        <v>-0.19671730000000001</v>
      </c>
      <c r="Z9084">
        <v>5.7040739999999999E-3</v>
      </c>
      <c r="AA9084">
        <v>0.98044370000000003</v>
      </c>
      <c r="AB9084">
        <v>22</v>
      </c>
      <c r="AC9084">
        <v>19.014700000000001</v>
      </c>
      <c r="AD9084">
        <v>-1.12014823161</v>
      </c>
      <c r="AE9084">
        <v>4.0882499999999897</v>
      </c>
      <c r="AF9084">
        <v>-3.84077711757346</v>
      </c>
      <c r="AG9084">
        <v>-1.12014823161</v>
      </c>
      <c r="AH9084">
        <v>19.000631621823199</v>
      </c>
      <c r="AI9084">
        <v>93.307129337001001</v>
      </c>
      <c r="AJ9084">
        <v>101.42775030455</v>
      </c>
      <c r="AK9084">
        <v>19.417268164082301</v>
      </c>
      <c r="AL9084">
        <v>90.180950005667498</v>
      </c>
      <c r="AM9084">
        <v>99.790113061687194</v>
      </c>
      <c r="AN9084">
        <v>0.99999995869918201</v>
      </c>
    </row>
    <row r="9085" spans="1:40" x14ac:dyDescent="0.25">
      <c r="A9085" t="str">
        <f>"20190303154017685"</f>
        <v>20190303154017685</v>
      </c>
      <c r="B9085" t="str">
        <f>"1551598817677290"</f>
        <v>1551598817677290</v>
      </c>
      <c r="C9085" t="s">
        <v>40</v>
      </c>
      <c r="D9085">
        <v>4.3240819999999998</v>
      </c>
      <c r="E9085">
        <v>0.49477599999999999</v>
      </c>
      <c r="F9085" t="s">
        <v>63</v>
      </c>
      <c r="G9085">
        <v>-190.99799999999999</v>
      </c>
      <c r="H9085" s="1">
        <v>-6.8947420000000001E-6</v>
      </c>
      <c r="I9085">
        <v>-58.65448</v>
      </c>
      <c r="J9085">
        <v>-208.7353</v>
      </c>
      <c r="K9085">
        <v>1.12012</v>
      </c>
      <c r="L9085">
        <v>-62.299190000000003</v>
      </c>
      <c r="M9085">
        <v>0.9999015</v>
      </c>
      <c r="N9085">
        <v>-6.3339969999999897E-3</v>
      </c>
      <c r="O9085">
        <v>1.2533020000000001E-2</v>
      </c>
      <c r="P9085">
        <v>0.98297970000000001</v>
      </c>
      <c r="Q9085">
        <v>-1.004324E-2</v>
      </c>
      <c r="R9085">
        <v>0.18344079999999999</v>
      </c>
      <c r="S9085">
        <v>2.9382630000000001</v>
      </c>
      <c r="T9085">
        <v>-0.1842792</v>
      </c>
      <c r="U9085">
        <v>0.599823</v>
      </c>
      <c r="V9085">
        <v>-0.1711085</v>
      </c>
      <c r="W9085">
        <v>-3.708692E-3</v>
      </c>
      <c r="X9085">
        <v>0.98524520000000004</v>
      </c>
      <c r="Y9085">
        <v>-0.18735019999999999</v>
      </c>
      <c r="Z9085">
        <v>5.7110669999999898E-3</v>
      </c>
      <c r="AA9085">
        <v>0.98227660000000006</v>
      </c>
      <c r="AB9085">
        <v>22</v>
      </c>
      <c r="AC9085">
        <v>17.737300000000001</v>
      </c>
      <c r="AD9085">
        <v>-1.120126894742</v>
      </c>
      <c r="AE9085">
        <v>3.6447099999999901</v>
      </c>
      <c r="AF9085">
        <v>-3.40907263004729</v>
      </c>
      <c r="AG9085">
        <v>-1.120126894742</v>
      </c>
      <c r="AH9085">
        <v>17.713805561493601</v>
      </c>
      <c r="AI9085">
        <v>93.553230416800801</v>
      </c>
      <c r="AJ9085">
        <v>100.89354798036</v>
      </c>
      <c r="AK9085">
        <v>18.0736097093985</v>
      </c>
      <c r="AL9085">
        <v>90.212492888647006</v>
      </c>
      <c r="AM9085">
        <v>99.852344379677405</v>
      </c>
      <c r="AN9085">
        <v>0.99999998864581996</v>
      </c>
    </row>
    <row r="9086" spans="1:40" x14ac:dyDescent="0.25">
      <c r="A9086" t="str">
        <f>"20190303154017696"</f>
        <v>20190303154017696</v>
      </c>
      <c r="B9086" t="str">
        <f>"1551598817687050"</f>
        <v>1551598817687050</v>
      </c>
      <c r="C9086" t="s">
        <v>40</v>
      </c>
      <c r="D9086">
        <v>4.287814</v>
      </c>
      <c r="E9086">
        <v>0.49707309999999999</v>
      </c>
      <c r="F9086" t="s">
        <v>63</v>
      </c>
      <c r="G9086">
        <v>-192.0429</v>
      </c>
      <c r="H9086" s="1">
        <v>-6.8924670000000002E-6</v>
      </c>
      <c r="I9086">
        <v>-58.971089999999997</v>
      </c>
      <c r="J9086">
        <v>-208.62610000000001</v>
      </c>
      <c r="K9086">
        <v>1.1201460000000001</v>
      </c>
      <c r="L9086">
        <v>-62.298000000000002</v>
      </c>
      <c r="M9086">
        <v>0.99990120000000005</v>
      </c>
      <c r="N9086">
        <v>-6.2639310000000004E-3</v>
      </c>
      <c r="O9086">
        <v>1.2598979999999999E-2</v>
      </c>
      <c r="P9086">
        <v>0.98273469999999996</v>
      </c>
      <c r="Q9086">
        <v>-1.0756689999999999E-2</v>
      </c>
      <c r="R9086">
        <v>0.18470800000000001</v>
      </c>
      <c r="S9086">
        <v>2.9405060000000001</v>
      </c>
      <c r="T9086">
        <v>-0.19732</v>
      </c>
      <c r="U9086">
        <v>0.58627320000000005</v>
      </c>
      <c r="V9086">
        <v>-0.17231389999999999</v>
      </c>
      <c r="W9086">
        <v>-4.5119139999999997E-3</v>
      </c>
      <c r="X9086">
        <v>0.98503180000000001</v>
      </c>
      <c r="Y9086">
        <v>-0.18274760000000001</v>
      </c>
      <c r="Z9086">
        <v>5.8858840000000001E-3</v>
      </c>
      <c r="AA9086">
        <v>0.98314230000000002</v>
      </c>
      <c r="AB9086">
        <v>22</v>
      </c>
      <c r="AC9086">
        <v>16.583200000000001</v>
      </c>
      <c r="AD9086">
        <v>-1.1201528924669999</v>
      </c>
      <c r="AE9086">
        <v>3.32690999999999</v>
      </c>
      <c r="AF9086">
        <v>-3.1040955167457902</v>
      </c>
      <c r="AG9086">
        <v>-1.1201528924669999</v>
      </c>
      <c r="AH9086">
        <v>16.551204570948698</v>
      </c>
      <c r="AI9086">
        <v>93.805612129137202</v>
      </c>
      <c r="AJ9086">
        <v>100.62214551741501</v>
      </c>
      <c r="AK9086">
        <v>16.876982082972599</v>
      </c>
      <c r="AL9086">
        <v>90.258514495919599</v>
      </c>
      <c r="AM9086">
        <v>99.922483023343403</v>
      </c>
      <c r="AN9086">
        <v>1.0000000422561901</v>
      </c>
    </row>
    <row r="9087" spans="1:40" x14ac:dyDescent="0.25">
      <c r="A9087" t="str">
        <f>"20190303154017706"</f>
        <v>20190303154017706</v>
      </c>
      <c r="B9087" t="str">
        <f>"1551598817696809"</f>
        <v>1551598817696809</v>
      </c>
      <c r="C9087" t="s">
        <v>40</v>
      </c>
      <c r="D9087">
        <v>4.3108820000000003</v>
      </c>
      <c r="E9087">
        <v>0.49892259999999999</v>
      </c>
      <c r="F9087" t="s">
        <v>63</v>
      </c>
      <c r="G9087">
        <v>-192.11199999999999</v>
      </c>
      <c r="H9087" s="1">
        <v>-6.8591190000000004E-6</v>
      </c>
      <c r="I9087">
        <v>-59.088230000000003</v>
      </c>
      <c r="J9087">
        <v>-208.52019999999999</v>
      </c>
      <c r="K9087">
        <v>1.1201970000000001</v>
      </c>
      <c r="L9087">
        <v>-62.296880000000002</v>
      </c>
      <c r="M9087">
        <v>0.99990129999999999</v>
      </c>
      <c r="N9087">
        <v>-6.2355219999999899E-3</v>
      </c>
      <c r="O9087">
        <v>1.259214E-2</v>
      </c>
      <c r="P9087">
        <v>0.98247300000000004</v>
      </c>
      <c r="Q9087">
        <v>-1.13101E-2</v>
      </c>
      <c r="R9087">
        <v>0.18606159999999999</v>
      </c>
      <c r="S9087">
        <v>2.9430239999999999</v>
      </c>
      <c r="T9087">
        <v>-0.19962489999999999</v>
      </c>
      <c r="U9087">
        <v>0.57202149999999996</v>
      </c>
      <c r="V9087">
        <v>-0.17367669999999999</v>
      </c>
      <c r="W9087">
        <v>-5.1246970000000001E-3</v>
      </c>
      <c r="X9087">
        <v>0.98478940000000004</v>
      </c>
      <c r="Y9087">
        <v>-0.17801020000000001</v>
      </c>
      <c r="Z9087">
        <v>5.7681310000000001E-3</v>
      </c>
      <c r="AA9087">
        <v>0.98401170000000004</v>
      </c>
      <c r="AB9087">
        <v>22</v>
      </c>
      <c r="AC9087">
        <v>16.408199999999901</v>
      </c>
      <c r="AD9087">
        <v>-1.12020385911899</v>
      </c>
      <c r="AE9087">
        <v>3.2086499999999898</v>
      </c>
      <c r="AF9087">
        <v>-2.9883617133678402</v>
      </c>
      <c r="AG9087">
        <v>-1.12020385911899</v>
      </c>
      <c r="AH9087">
        <v>16.373797436236401</v>
      </c>
      <c r="AI9087">
        <v>93.850353745508002</v>
      </c>
      <c r="AJ9087">
        <v>100.343143708539</v>
      </c>
      <c r="AK9087">
        <v>16.6819185017434</v>
      </c>
      <c r="AL9087">
        <v>90.293624791531698</v>
      </c>
      <c r="AM9087">
        <v>100.001792005273</v>
      </c>
      <c r="AN9087">
        <v>1.0000000104972899</v>
      </c>
    </row>
    <row r="9088" spans="1:40" x14ac:dyDescent="0.25">
      <c r="A9088" t="str">
        <f>"20190303154017715"</f>
        <v>20190303154017715</v>
      </c>
      <c r="B9088" t="str">
        <f>"1551598817707546"</f>
        <v>1551598817707546</v>
      </c>
      <c r="C9088" t="s">
        <v>40</v>
      </c>
      <c r="D9088">
        <v>4.2250079999999999</v>
      </c>
      <c r="E9088">
        <v>0.5002877</v>
      </c>
      <c r="F9088" t="s">
        <v>63</v>
      </c>
      <c r="G9088">
        <v>-192.36680000000001</v>
      </c>
      <c r="H9088" s="1">
        <v>-6.8426369999999999E-6</v>
      </c>
      <c r="I9088">
        <v>-59.216859999999997</v>
      </c>
      <c r="J9088">
        <v>-208.43680000000001</v>
      </c>
      <c r="K9088">
        <v>1.120266</v>
      </c>
      <c r="L9088">
        <v>-62.295929999999998</v>
      </c>
      <c r="M9088">
        <v>0.99990270000000003</v>
      </c>
      <c r="N9088">
        <v>-6.2539190000000001E-3</v>
      </c>
      <c r="O9088">
        <v>1.247474E-2</v>
      </c>
      <c r="P9088">
        <v>0.98231440000000003</v>
      </c>
      <c r="Q9088">
        <v>-1.2037000000000001E-2</v>
      </c>
      <c r="R9088">
        <v>0.18685180000000001</v>
      </c>
      <c r="S9088">
        <v>2.9447939999999999</v>
      </c>
      <c r="T9088">
        <v>-0.20421529999999999</v>
      </c>
      <c r="U9088">
        <v>0.56149289999999996</v>
      </c>
      <c r="V9088">
        <v>-0.17458360000000001</v>
      </c>
      <c r="W9088">
        <v>-5.8678899999999997E-3</v>
      </c>
      <c r="X9088">
        <v>0.98462490000000003</v>
      </c>
      <c r="Y9088">
        <v>-0.17461189999999999</v>
      </c>
      <c r="Z9088">
        <v>5.7661589999999999E-3</v>
      </c>
      <c r="AA9088">
        <v>0.98462050000000001</v>
      </c>
      <c r="AB9088">
        <v>22</v>
      </c>
      <c r="AC9088">
        <v>16.069999999999901</v>
      </c>
      <c r="AD9088">
        <v>-1.1202728426370001</v>
      </c>
      <c r="AE9088">
        <v>3.0790700000000002</v>
      </c>
      <c r="AF9088">
        <v>-2.8649275644665999</v>
      </c>
      <c r="AG9088">
        <v>-1.1202728426370001</v>
      </c>
      <c r="AH9088">
        <v>16.032007959932699</v>
      </c>
      <c r="AI9088">
        <v>93.935038638723597</v>
      </c>
      <c r="AJ9088">
        <v>100.131837264014</v>
      </c>
      <c r="AK9088">
        <v>16.3244632505615</v>
      </c>
      <c r="AL9088">
        <v>90.336207251099097</v>
      </c>
      <c r="AM9088">
        <v>100.05460171941399</v>
      </c>
      <c r="AN9088">
        <v>1.0000000296110101</v>
      </c>
    </row>
    <row r="9089" spans="1:40" x14ac:dyDescent="0.25">
      <c r="A9089" t="str">
        <f>"20190303154017726"</f>
        <v>20190303154017726</v>
      </c>
      <c r="B9089" t="str">
        <f>"1551598817717306"</f>
        <v>1551598817717306</v>
      </c>
      <c r="C9089" t="s">
        <v>40</v>
      </c>
      <c r="D9089">
        <v>4.2383930000000003</v>
      </c>
      <c r="E9089">
        <v>0.50138689999999997</v>
      </c>
      <c r="F9089" t="s">
        <v>63</v>
      </c>
      <c r="G9089">
        <v>-192.60929999999999</v>
      </c>
      <c r="H9089" s="1">
        <v>-6.8320960000000001E-6</v>
      </c>
      <c r="I9089">
        <v>-59.32461</v>
      </c>
      <c r="J9089">
        <v>-208.32640000000001</v>
      </c>
      <c r="K9089">
        <v>1.120376</v>
      </c>
      <c r="L9089">
        <v>-62.29468</v>
      </c>
      <c r="M9089">
        <v>0.99990500000000004</v>
      </c>
      <c r="N9089">
        <v>-6.301414E-3</v>
      </c>
      <c r="O9089">
        <v>1.2256019999999999E-2</v>
      </c>
      <c r="P9089">
        <v>0.98216879999999995</v>
      </c>
      <c r="Q9089">
        <v>-1.276067E-2</v>
      </c>
      <c r="R9089">
        <v>0.18756709999999999</v>
      </c>
      <c r="S9089">
        <v>2.9462280000000001</v>
      </c>
      <c r="T9089">
        <v>-0.20853459999999999</v>
      </c>
      <c r="U9089">
        <v>0.55310059999999905</v>
      </c>
      <c r="V9089">
        <v>-0.1755138</v>
      </c>
      <c r="W9089">
        <v>-6.5959869999999898E-3</v>
      </c>
      <c r="X9089">
        <v>0.98445490000000002</v>
      </c>
      <c r="Y9089">
        <v>-0.172019799999999</v>
      </c>
      <c r="Z9089">
        <v>5.7929729999999999E-3</v>
      </c>
      <c r="AA9089">
        <v>0.98507639999999996</v>
      </c>
      <c r="AB9089">
        <v>22</v>
      </c>
      <c r="AC9089">
        <v>15.7171</v>
      </c>
      <c r="AD9089">
        <v>-1.1203828320960001</v>
      </c>
      <c r="AE9089">
        <v>2.9700700000000002</v>
      </c>
      <c r="AF9089">
        <v>-2.7636548025761898</v>
      </c>
      <c r="AG9089">
        <v>-1.1203828320960001</v>
      </c>
      <c r="AH9089">
        <v>15.6754138916786</v>
      </c>
      <c r="AI9089">
        <v>94.026312170337604</v>
      </c>
      <c r="AJ9089">
        <v>99.998781959596002</v>
      </c>
      <c r="AK9089">
        <v>15.956554961322</v>
      </c>
      <c r="AL9089">
        <v>90.377924947587402</v>
      </c>
      <c r="AM9089">
        <v>100.10878142400701</v>
      </c>
      <c r="AN9089">
        <v>1.0000000255844701</v>
      </c>
    </row>
    <row r="9090" spans="1:40" x14ac:dyDescent="0.25">
      <c r="A9090" t="str">
        <f>"20190303154017736"</f>
        <v>20190303154017736</v>
      </c>
      <c r="B9090" t="str">
        <f>"1551598817727066"</f>
        <v>1551598817727066</v>
      </c>
      <c r="C9090" t="s">
        <v>40</v>
      </c>
      <c r="D9090">
        <v>4.2009019999999904</v>
      </c>
      <c r="E9090">
        <v>0.50225070000000005</v>
      </c>
      <c r="F9090" t="s">
        <v>63</v>
      </c>
      <c r="G9090">
        <v>-192.72489999999999</v>
      </c>
      <c r="H9090" s="1">
        <v>-6.8181309999999998E-6</v>
      </c>
      <c r="I9090">
        <v>-59.401440000000001</v>
      </c>
      <c r="J9090">
        <v>-208.21770000000001</v>
      </c>
      <c r="K9090">
        <v>1.12046</v>
      </c>
      <c r="L9090">
        <v>-62.293329999999997</v>
      </c>
      <c r="M9090">
        <v>0.99990769999999995</v>
      </c>
      <c r="N9090">
        <v>-6.3338530000000004E-3</v>
      </c>
      <c r="O9090">
        <v>1.2021830000000001E-2</v>
      </c>
      <c r="P9090">
        <v>0.98202679999999998</v>
      </c>
      <c r="Q9090">
        <v>-1.3423829999999999E-2</v>
      </c>
      <c r="R9090">
        <v>0.18826370000000001</v>
      </c>
      <c r="S9090">
        <v>2.947311</v>
      </c>
      <c r="T9090">
        <v>-0.21165439999999999</v>
      </c>
      <c r="U9090">
        <v>0.54656979999999999</v>
      </c>
      <c r="V9090">
        <v>-0.17644089999999901</v>
      </c>
      <c r="W9090">
        <v>-7.2690630000000001E-3</v>
      </c>
      <c r="X9090">
        <v>0.98428439999999995</v>
      </c>
      <c r="Y9090">
        <v>-0.17006760000000001</v>
      </c>
      <c r="Z9090">
        <v>5.8119199999999999E-3</v>
      </c>
      <c r="AA9090">
        <v>0.98541529999999999</v>
      </c>
      <c r="AB9090">
        <v>22</v>
      </c>
      <c r="AC9090">
        <v>15.492800000000001</v>
      </c>
      <c r="AD9090">
        <v>-1.120466818131</v>
      </c>
      <c r="AE9090">
        <v>2.8918900000000001</v>
      </c>
      <c r="AF9090">
        <v>-2.6918201074692401</v>
      </c>
      <c r="AG9090">
        <v>-1.120466818131</v>
      </c>
      <c r="AH9090">
        <v>15.4483656479711</v>
      </c>
      <c r="AI9090">
        <v>94.087019878833203</v>
      </c>
      <c r="AJ9090">
        <v>99.884337916957406</v>
      </c>
      <c r="AK9090">
        <v>15.721111365769399</v>
      </c>
      <c r="AL9090">
        <v>90.416490296612906</v>
      </c>
      <c r="AM9090">
        <v>100.16279179259401</v>
      </c>
      <c r="AN9090">
        <v>1.0000000052765301</v>
      </c>
    </row>
    <row r="9091" spans="1:40" x14ac:dyDescent="0.25">
      <c r="A9091" t="str">
        <f>"20190303154017747"</f>
        <v>20190303154017747</v>
      </c>
      <c r="B9091" t="str">
        <f>"1551598817736826"</f>
        <v>1551598817736826</v>
      </c>
      <c r="C9091" t="s">
        <v>40</v>
      </c>
      <c r="D9091">
        <v>4.2238350000000002</v>
      </c>
      <c r="E9091">
        <v>0.50309399999999904</v>
      </c>
      <c r="F9091" t="s">
        <v>63</v>
      </c>
      <c r="G9091">
        <v>-192.8381</v>
      </c>
      <c r="H9091" s="1">
        <v>-6.8080709999999999E-6</v>
      </c>
      <c r="I9091">
        <v>-59.466369999999998</v>
      </c>
      <c r="J9091">
        <v>-208.11080000000001</v>
      </c>
      <c r="K9091">
        <v>1.120533</v>
      </c>
      <c r="L9091">
        <v>-62.292020000000001</v>
      </c>
      <c r="M9091">
        <v>0.99991030000000003</v>
      </c>
      <c r="N9091">
        <v>-6.360531E-3</v>
      </c>
      <c r="O9091">
        <v>1.1784889999999999E-2</v>
      </c>
      <c r="P9091">
        <v>0.98184649999999996</v>
      </c>
      <c r="Q9091">
        <v>-1.3544499999999999E-2</v>
      </c>
      <c r="R9091">
        <v>0.1891929</v>
      </c>
      <c r="S9091">
        <v>2.948105</v>
      </c>
      <c r="T9091">
        <v>-0.214782</v>
      </c>
      <c r="U9091">
        <v>0.54190059999999995</v>
      </c>
      <c r="V9091">
        <v>-0.1776037</v>
      </c>
      <c r="W9091">
        <v>-7.4021039999999996E-3</v>
      </c>
      <c r="X9091">
        <v>0.98407420000000001</v>
      </c>
      <c r="Y9091">
        <v>-0.16873489999999999</v>
      </c>
      <c r="Z9091">
        <v>5.8535999999999996E-3</v>
      </c>
      <c r="AA9091">
        <v>0.98564410000000002</v>
      </c>
      <c r="AB9091">
        <v>22</v>
      </c>
      <c r="AC9091">
        <v>15.2727</v>
      </c>
      <c r="AD9091">
        <v>-1.1205398080710001</v>
      </c>
      <c r="AE9091">
        <v>2.8256499999999898</v>
      </c>
      <c r="AF9091">
        <v>-2.6317651631380401</v>
      </c>
      <c r="AG9091">
        <v>-1.1205398080710001</v>
      </c>
      <c r="AH9091">
        <v>15.2256929861075</v>
      </c>
      <c r="AI9091">
        <v>94.147825900608893</v>
      </c>
      <c r="AJ9091">
        <v>99.806691662901599</v>
      </c>
      <c r="AK9091">
        <v>15.492047128852301</v>
      </c>
      <c r="AL9091">
        <v>90.424113213665706</v>
      </c>
      <c r="AM9091">
        <v>100.230496937529</v>
      </c>
      <c r="AN9091">
        <v>0.99999994825147698</v>
      </c>
    </row>
    <row r="9092" spans="1:40" x14ac:dyDescent="0.25">
      <c r="A9092" t="str">
        <f>"20190303154017759"</f>
        <v>20190303154017759</v>
      </c>
      <c r="B9092" t="str">
        <f>"1551598817747562"</f>
        <v>1551598817747562</v>
      </c>
      <c r="C9092" t="s">
        <v>40</v>
      </c>
      <c r="D9092">
        <v>4.224755</v>
      </c>
      <c r="E9092">
        <v>0.50379090000000004</v>
      </c>
      <c r="F9092" t="s">
        <v>63</v>
      </c>
      <c r="G9092">
        <v>-192.7859</v>
      </c>
      <c r="H9092" s="1">
        <v>-6.7918199999999996E-6</v>
      </c>
      <c r="I9092">
        <v>-59.495930000000001</v>
      </c>
      <c r="J9092">
        <v>-208.00040000000001</v>
      </c>
      <c r="K9092">
        <v>1.1205540000000001</v>
      </c>
      <c r="L9092">
        <v>-62.290649999999999</v>
      </c>
      <c r="M9092">
        <v>0.99991160000000001</v>
      </c>
      <c r="N9092">
        <v>-6.336497E-3</v>
      </c>
      <c r="O9092">
        <v>1.169978E-2</v>
      </c>
      <c r="P9092">
        <v>0.98165270000000004</v>
      </c>
      <c r="Q9092">
        <v>-1.321201E-2</v>
      </c>
      <c r="R9092">
        <v>0.19022040000000001</v>
      </c>
      <c r="S9092">
        <v>2.9488219999999998</v>
      </c>
      <c r="T9092">
        <v>-0.21561469999999999</v>
      </c>
      <c r="U9092">
        <v>0.53802490000000003</v>
      </c>
      <c r="V9092">
        <v>-0.17871689999999901</v>
      </c>
      <c r="W9092">
        <v>-7.1138740000000001E-3</v>
      </c>
      <c r="X9092">
        <v>0.98387480000000005</v>
      </c>
      <c r="Y9092">
        <v>-0.167522799999999</v>
      </c>
      <c r="Z9092">
        <v>5.8286869999999999E-3</v>
      </c>
      <c r="AA9092">
        <v>0.98585100000000003</v>
      </c>
      <c r="AB9092">
        <v>22</v>
      </c>
      <c r="AC9092">
        <v>15.214499999999999</v>
      </c>
      <c r="AD9092">
        <v>-1.12056079182</v>
      </c>
      <c r="AE9092">
        <v>2.7947199999999901</v>
      </c>
      <c r="AF9092">
        <v>-2.60286061989243</v>
      </c>
      <c r="AG9092">
        <v>-1.12056079182</v>
      </c>
      <c r="AH9092">
        <v>15.1665718974019</v>
      </c>
      <c r="AI9092">
        <v>94.164870753167406</v>
      </c>
      <c r="AJ9092">
        <v>99.738136076538197</v>
      </c>
      <c r="AK9092">
        <v>15.4290454343039</v>
      </c>
      <c r="AL9092">
        <v>90.407598402368293</v>
      </c>
      <c r="AM9092">
        <v>100.295295341512</v>
      </c>
      <c r="AN9092">
        <v>0.99999997981196798</v>
      </c>
    </row>
    <row r="9093" spans="1:40" x14ac:dyDescent="0.25">
      <c r="A9093" t="str">
        <f>"20190303154017770"</f>
        <v>20190303154017770</v>
      </c>
      <c r="B9093" t="str">
        <f>"1551598817767082"</f>
        <v>1551598817767082</v>
      </c>
      <c r="C9093" t="s">
        <v>40</v>
      </c>
      <c r="D9093">
        <v>4.2215420000000003</v>
      </c>
      <c r="E9093">
        <v>0.50498489999999996</v>
      </c>
      <c r="F9093" t="s">
        <v>63</v>
      </c>
      <c r="G9093">
        <v>-192.59190000000001</v>
      </c>
      <c r="H9093" s="1">
        <v>-6.7713389999999999E-6</v>
      </c>
      <c r="I9093">
        <v>-59.492109999999997</v>
      </c>
      <c r="J9093">
        <v>-207.88720000000001</v>
      </c>
      <c r="K9093">
        <v>1.1205639999999999</v>
      </c>
      <c r="L9093">
        <v>-62.289180000000002</v>
      </c>
      <c r="M9093">
        <v>0.99991229999999998</v>
      </c>
      <c r="N9093">
        <v>-6.3025030000000001E-3</v>
      </c>
      <c r="O9093">
        <v>1.165773E-2</v>
      </c>
      <c r="P9093">
        <v>0.98147130000000005</v>
      </c>
      <c r="Q9093">
        <v>-1.298503E-2</v>
      </c>
      <c r="R9093">
        <v>0.1911698</v>
      </c>
      <c r="S9093">
        <v>2.9493870000000002</v>
      </c>
      <c r="T9093">
        <v>-0.21448919999999999</v>
      </c>
      <c r="U9093">
        <v>0.53567500000000001</v>
      </c>
      <c r="V9093">
        <v>-0.17970929999999999</v>
      </c>
      <c r="W9093">
        <v>-6.9376289999999998E-3</v>
      </c>
      <c r="X9093">
        <v>0.98369530000000005</v>
      </c>
      <c r="Y9093">
        <v>-0.16677739999999999</v>
      </c>
      <c r="Z9093">
        <v>5.7711359999999996E-3</v>
      </c>
      <c r="AA9093">
        <v>0.98597769999999996</v>
      </c>
      <c r="AB9093">
        <v>22</v>
      </c>
      <c r="AC9093">
        <v>15.2952999999999</v>
      </c>
      <c r="AD9093">
        <v>-1.1205707713389901</v>
      </c>
      <c r="AE9093">
        <v>2.7970700000000002</v>
      </c>
      <c r="AF9093">
        <v>-2.6050381467895098</v>
      </c>
      <c r="AG9093">
        <v>-1.1205707713389901</v>
      </c>
      <c r="AH9093">
        <v>15.2476769198847</v>
      </c>
      <c r="AI9093">
        <v>94.143360088000406</v>
      </c>
      <c r="AJ9093">
        <v>99.695271893018898</v>
      </c>
      <c r="AK9093">
        <v>15.509144207627701</v>
      </c>
      <c r="AL9093">
        <v>90.397500048949098</v>
      </c>
      <c r="AM9093">
        <v>100.353079682885</v>
      </c>
      <c r="AN9093">
        <v>1.0000000032223599</v>
      </c>
    </row>
    <row r="9094" spans="1:40" x14ac:dyDescent="0.25">
      <c r="A9094" t="str">
        <f>"20190303154017781"</f>
        <v>20190303154017781</v>
      </c>
      <c r="B9094" t="str">
        <f>"1551598817776841"</f>
        <v>1551598817776841</v>
      </c>
      <c r="C9094" t="s">
        <v>40</v>
      </c>
      <c r="D9094">
        <v>4.2164419999999998</v>
      </c>
      <c r="E9094">
        <v>0.50551550000000001</v>
      </c>
      <c r="F9094" t="s">
        <v>63</v>
      </c>
      <c r="G9094">
        <v>-192.52459999999999</v>
      </c>
      <c r="H9094" s="1">
        <v>-6.7487950000000002E-6</v>
      </c>
      <c r="I9094">
        <v>-59.534779999999998</v>
      </c>
      <c r="J9094">
        <v>-207.77109999999999</v>
      </c>
      <c r="K9094">
        <v>1.1205499999999999</v>
      </c>
      <c r="L9094">
        <v>-62.287660000000002</v>
      </c>
      <c r="M9094">
        <v>0.99991039999999998</v>
      </c>
      <c r="N9094">
        <v>-6.2450919999999998E-3</v>
      </c>
      <c r="O9094">
        <v>1.18475E-2</v>
      </c>
      <c r="P9094">
        <v>0.98121570000000002</v>
      </c>
      <c r="Q9094">
        <v>-1.2588159999999999E-2</v>
      </c>
      <c r="R9094">
        <v>0.19250329999999999</v>
      </c>
      <c r="S9094">
        <v>2.9507750000000001</v>
      </c>
      <c r="T9094">
        <v>-0.21523400000000001</v>
      </c>
      <c r="U9094">
        <v>0.52905269999999904</v>
      </c>
      <c r="V9094">
        <v>-0.18085879999999999</v>
      </c>
      <c r="W9094">
        <v>-6.6043029999999997E-3</v>
      </c>
      <c r="X9094">
        <v>0.98348690000000005</v>
      </c>
      <c r="Y9094">
        <v>-0.16436990000000001</v>
      </c>
      <c r="Z9094">
        <v>5.6749590000000003E-3</v>
      </c>
      <c r="AA9094">
        <v>0.98638239999999999</v>
      </c>
      <c r="AB9094">
        <v>22</v>
      </c>
      <c r="AC9094">
        <v>15.2464999999999</v>
      </c>
      <c r="AD9094">
        <v>-1.1205567487949999</v>
      </c>
      <c r="AE9094">
        <v>2.75287999999999</v>
      </c>
      <c r="AF9094">
        <v>-2.5586656791502</v>
      </c>
      <c r="AG9094">
        <v>-1.1205567487949999</v>
      </c>
      <c r="AH9094">
        <v>15.198539877703</v>
      </c>
      <c r="AI9094">
        <v>94.158363531382705</v>
      </c>
      <c r="AJ9094">
        <v>99.556106516403105</v>
      </c>
      <c r="AK9094">
        <v>15.453091337951101</v>
      </c>
      <c r="AL9094">
        <v>90.378401438424007</v>
      </c>
      <c r="AM9094">
        <v>100.420016223134</v>
      </c>
      <c r="AN9094">
        <v>1.00000000241358</v>
      </c>
    </row>
    <row r="9095" spans="1:40" x14ac:dyDescent="0.25">
      <c r="A9095" t="str">
        <f>"20190303154017793"</f>
        <v>20190303154017793</v>
      </c>
      <c r="B9095" t="str">
        <f>"1551598817787577"</f>
        <v>1551598817787577</v>
      </c>
      <c r="C9095" t="s">
        <v>40</v>
      </c>
      <c r="D9095">
        <v>4.2094880000000003</v>
      </c>
      <c r="E9095">
        <v>0.50591399999999997</v>
      </c>
      <c r="F9095" t="s">
        <v>63</v>
      </c>
      <c r="G9095">
        <v>-192.34649999999999</v>
      </c>
      <c r="H9095" s="1">
        <v>-6.7326969999999899E-6</v>
      </c>
      <c r="I9095">
        <v>-59.52355</v>
      </c>
      <c r="J9095">
        <v>-207.65940000000001</v>
      </c>
      <c r="K9095">
        <v>1.120541</v>
      </c>
      <c r="L9095">
        <v>-62.286160000000002</v>
      </c>
      <c r="M9095">
        <v>0.99990780000000001</v>
      </c>
      <c r="N9095">
        <v>-6.1960699999999997E-3</v>
      </c>
      <c r="O9095">
        <v>1.2086009999999999E-2</v>
      </c>
      <c r="P9095">
        <v>0.981016</v>
      </c>
      <c r="Q9095">
        <v>-1.245537E-2</v>
      </c>
      <c r="R9095">
        <v>0.193526</v>
      </c>
      <c r="S9095">
        <v>2.9509280000000002</v>
      </c>
      <c r="T9095">
        <v>-0.21437639999999999</v>
      </c>
      <c r="U9095">
        <v>0.52880859999999996</v>
      </c>
      <c r="V9095">
        <v>-0.18164949999999999</v>
      </c>
      <c r="W9095">
        <v>-6.5270440000000001E-3</v>
      </c>
      <c r="X9095">
        <v>0.98334169999999999</v>
      </c>
      <c r="Y9095">
        <v>-0.164051799999999</v>
      </c>
      <c r="Z9095">
        <v>5.6217469999999999E-3</v>
      </c>
      <c r="AA9095">
        <v>0.98643570000000003</v>
      </c>
      <c r="AB9095">
        <v>22</v>
      </c>
      <c r="AC9095">
        <v>15.312900000000001</v>
      </c>
      <c r="AD9095">
        <v>-1.1205477326969999</v>
      </c>
      <c r="AE9095">
        <v>2.7626099999999898</v>
      </c>
      <c r="AF9095">
        <v>-2.56403562411889</v>
      </c>
      <c r="AG9095">
        <v>-1.1205477326969999</v>
      </c>
      <c r="AH9095">
        <v>15.2660010570605</v>
      </c>
      <c r="AI9095">
        <v>94.140282968823698</v>
      </c>
      <c r="AJ9095">
        <v>99.5342538298421</v>
      </c>
      <c r="AK9095">
        <v>15.520331638762601</v>
      </c>
      <c r="AL9095">
        <v>90.373974721417696</v>
      </c>
      <c r="AM9095">
        <v>100.466078507018</v>
      </c>
      <c r="AN9095">
        <v>1.0000000210562501</v>
      </c>
    </row>
    <row r="9096" spans="1:40" x14ac:dyDescent="0.25">
      <c r="A9096" t="str">
        <f>"20190303154017804"</f>
        <v>20190303154017804</v>
      </c>
      <c r="B9096" t="str">
        <f>"1551598817797337"</f>
        <v>1551598817797337</v>
      </c>
      <c r="C9096" t="s">
        <v>40</v>
      </c>
      <c r="D9096">
        <v>4.1958039999999999</v>
      </c>
      <c r="E9096">
        <v>0.50652029999999904</v>
      </c>
      <c r="F9096" t="s">
        <v>63</v>
      </c>
      <c r="G9096">
        <v>-192.26519999999999</v>
      </c>
      <c r="H9096" s="1">
        <v>-6.7216119999999996E-6</v>
      </c>
      <c r="I9096">
        <v>-59.529089999999997</v>
      </c>
      <c r="J9096">
        <v>-207.5445</v>
      </c>
      <c r="K9096">
        <v>1.120544</v>
      </c>
      <c r="L9096">
        <v>-62.284610000000001</v>
      </c>
      <c r="M9096">
        <v>0.99990369999999995</v>
      </c>
      <c r="N9096">
        <v>-6.1585119999999997E-3</v>
      </c>
      <c r="O9096">
        <v>1.244547E-2</v>
      </c>
      <c r="P9096">
        <v>0.98077329999999996</v>
      </c>
      <c r="Q9096">
        <v>-1.223192E-2</v>
      </c>
      <c r="R9096">
        <v>0.1947672</v>
      </c>
      <c r="S9096">
        <v>2.9510800000000001</v>
      </c>
      <c r="T9096">
        <v>-0.21481</v>
      </c>
      <c r="U9096">
        <v>0.5285339</v>
      </c>
      <c r="V9096">
        <v>-0.1825396</v>
      </c>
      <c r="W9096">
        <v>-6.3504909999999998E-3</v>
      </c>
      <c r="X9096">
        <v>0.983178</v>
      </c>
      <c r="Y9096">
        <v>-0.1636</v>
      </c>
      <c r="Z9096">
        <v>5.5867180000000001E-3</v>
      </c>
      <c r="AA9096">
        <v>0.98651089999999997</v>
      </c>
      <c r="AB9096">
        <v>23</v>
      </c>
      <c r="AC9096">
        <v>15.279299999999999</v>
      </c>
      <c r="AD9096">
        <v>-1.1205507216120001</v>
      </c>
      <c r="AE9096">
        <v>2.75551999999999</v>
      </c>
      <c r="AF9096">
        <v>-2.5518522769761298</v>
      </c>
      <c r="AG9096">
        <v>-1.1205507216120001</v>
      </c>
      <c r="AH9096">
        <v>15.2330616603394</v>
      </c>
      <c r="AI9096">
        <v>94.149510092387004</v>
      </c>
      <c r="AJ9096">
        <v>99.509922406663307</v>
      </c>
      <c r="AK9096">
        <v>15.4859210740244</v>
      </c>
      <c r="AL9096">
        <v>90.363858775279596</v>
      </c>
      <c r="AM9096">
        <v>100.517933828623</v>
      </c>
      <c r="AN9096">
        <v>1.00000000699405</v>
      </c>
    </row>
    <row r="9097" spans="1:40" x14ac:dyDescent="0.25">
      <c r="A9097" t="str">
        <f>"20190303154017816"</f>
        <v>20190303154017816</v>
      </c>
      <c r="B9097" t="str">
        <f>"1551598817807098"</f>
        <v>1551598817807098</v>
      </c>
      <c r="C9097" t="s">
        <v>40</v>
      </c>
      <c r="D9097">
        <v>4.1822220000000003</v>
      </c>
      <c r="E9097">
        <v>0.50682680000000002</v>
      </c>
      <c r="F9097" t="s">
        <v>63</v>
      </c>
      <c r="G9097">
        <v>-191.9803</v>
      </c>
      <c r="H9097" s="1">
        <v>-6.6988879999999899E-6</v>
      </c>
      <c r="I9097">
        <v>-59.502519999999997</v>
      </c>
      <c r="J9097">
        <v>-207.42509999999999</v>
      </c>
      <c r="K9097">
        <v>1.120576</v>
      </c>
      <c r="L9097">
        <v>-62.282870000000003</v>
      </c>
      <c r="M9097">
        <v>0.99989850000000002</v>
      </c>
      <c r="N9097">
        <v>-6.1372819999999896E-3</v>
      </c>
      <c r="O9097">
        <v>1.286752E-2</v>
      </c>
      <c r="P9097">
        <v>0.98051049999999995</v>
      </c>
      <c r="Q9097">
        <v>-1.259716E-2</v>
      </c>
      <c r="R9097">
        <v>0.19606280000000001</v>
      </c>
      <c r="S9097">
        <v>2.9513850000000001</v>
      </c>
      <c r="T9097">
        <v>-0.21248610000000001</v>
      </c>
      <c r="U9097">
        <v>0.52755739999999995</v>
      </c>
      <c r="V9097">
        <v>-0.1834228</v>
      </c>
      <c r="W9097">
        <v>-6.7552549999999999E-3</v>
      </c>
      <c r="X9097">
        <v>0.98301090000000002</v>
      </c>
      <c r="Y9097">
        <v>-0.16286149999999999</v>
      </c>
      <c r="Z9097">
        <v>5.4741879999999996E-3</v>
      </c>
      <c r="AA9097">
        <v>0.98663380000000001</v>
      </c>
      <c r="AB9097">
        <v>23</v>
      </c>
      <c r="AC9097">
        <v>15.444799999999899</v>
      </c>
      <c r="AD9097">
        <v>-1.1205826988879899</v>
      </c>
      <c r="AE9097">
        <v>2.7803499999999901</v>
      </c>
      <c r="AF9097">
        <v>-2.5682845114201398</v>
      </c>
      <c r="AG9097">
        <v>-1.1205826988879899</v>
      </c>
      <c r="AH9097">
        <v>15.4007718922088</v>
      </c>
      <c r="AI9097">
        <v>94.1050987784554</v>
      </c>
      <c r="AJ9097">
        <v>99.467712669987407</v>
      </c>
      <c r="AK9097">
        <v>15.6536119088374</v>
      </c>
      <c r="AL9097">
        <v>90.387050547419094</v>
      </c>
      <c r="AM9097">
        <v>100.569436084232</v>
      </c>
      <c r="AN9097">
        <v>0.99999999327438205</v>
      </c>
    </row>
    <row r="9098" spans="1:40" x14ac:dyDescent="0.25">
      <c r="A9098" t="str">
        <f>"20190303154017827"</f>
        <v>20190303154017827</v>
      </c>
      <c r="B9098" t="str">
        <f>"1551598817816859"</f>
        <v>1551598817816859</v>
      </c>
      <c r="C9098" t="s">
        <v>40</v>
      </c>
      <c r="D9098">
        <v>4.1952639999999999</v>
      </c>
      <c r="E9098">
        <v>0.50713909999999995</v>
      </c>
      <c r="F9098" t="s">
        <v>63</v>
      </c>
      <c r="G9098">
        <v>-191.99850000000001</v>
      </c>
      <c r="H9098" s="1">
        <v>-6.6954710000000004E-6</v>
      </c>
      <c r="I9098">
        <v>-59.518090000000001</v>
      </c>
      <c r="J9098">
        <v>-207.30619999999999</v>
      </c>
      <c r="K9098">
        <v>1.120627</v>
      </c>
      <c r="L9098">
        <v>-62.281100000000002</v>
      </c>
      <c r="M9098">
        <v>0.99989249999999996</v>
      </c>
      <c r="N9098">
        <v>-6.1286569999999896E-3</v>
      </c>
      <c r="O9098">
        <v>1.3322570000000001E-2</v>
      </c>
      <c r="P9098">
        <v>0.98035340000000004</v>
      </c>
      <c r="Q9098">
        <v>-1.262076E-2</v>
      </c>
      <c r="R9098">
        <v>0.1968452</v>
      </c>
      <c r="S9098">
        <v>2.951111</v>
      </c>
      <c r="T9098">
        <v>-0.21436720000000001</v>
      </c>
      <c r="U9098">
        <v>0.52890009999999998</v>
      </c>
      <c r="V9098">
        <v>-0.1837588</v>
      </c>
      <c r="W9098">
        <v>-6.8106939999999999E-3</v>
      </c>
      <c r="X9098">
        <v>0.98294780000000004</v>
      </c>
      <c r="Y9098">
        <v>-0.16285740000000001</v>
      </c>
      <c r="Z9098">
        <v>5.486716E-3</v>
      </c>
      <c r="AA9098">
        <v>0.98663440000000002</v>
      </c>
      <c r="AB9098">
        <v>23</v>
      </c>
      <c r="AC9098">
        <v>15.307699999999899</v>
      </c>
      <c r="AD9098">
        <v>-1.1206336954709999</v>
      </c>
      <c r="AE9098">
        <v>2.76301</v>
      </c>
      <c r="AF9098">
        <v>-2.5456108219581401</v>
      </c>
      <c r="AG9098">
        <v>-1.1206336954709999</v>
      </c>
      <c r="AH9098">
        <v>15.2639296628212</v>
      </c>
      <c r="AI9098">
        <v>94.141955177640796</v>
      </c>
      <c r="AJ9098">
        <v>99.468247998177503</v>
      </c>
      <c r="AK9098">
        <v>15.515266774627101</v>
      </c>
      <c r="AL9098">
        <v>90.390227026971104</v>
      </c>
      <c r="AM9098">
        <v>100.589024443806</v>
      </c>
      <c r="AN9098">
        <v>1.00000002982752</v>
      </c>
    </row>
    <row r="9099" spans="1:40" x14ac:dyDescent="0.25">
      <c r="A9099" t="str">
        <f>"20190303154017837"</f>
        <v>20190303154017837</v>
      </c>
      <c r="B9099" t="str">
        <f>"1551598817827594"</f>
        <v>1551598817827594</v>
      </c>
      <c r="C9099" t="s">
        <v>40</v>
      </c>
      <c r="D9099">
        <v>4.2185779999999999</v>
      </c>
      <c r="E9099">
        <v>0.50762569999999996</v>
      </c>
      <c r="F9099" t="s">
        <v>63</v>
      </c>
      <c r="G9099">
        <v>-191.92150000000001</v>
      </c>
      <c r="H9099" s="1">
        <v>-6.6845430000000002E-6</v>
      </c>
      <c r="I9099">
        <v>-59.524540000000002</v>
      </c>
      <c r="J9099">
        <v>-207.20959999999999</v>
      </c>
      <c r="K9099">
        <v>1.1206969999999901</v>
      </c>
      <c r="L9099">
        <v>-62.279510000000002</v>
      </c>
      <c r="M9099">
        <v>0.99988699999999997</v>
      </c>
      <c r="N9099">
        <v>-6.1328590000000001E-3</v>
      </c>
      <c r="O9099">
        <v>1.3726830000000001E-2</v>
      </c>
      <c r="P9099">
        <v>0.9801571</v>
      </c>
      <c r="Q9099">
        <v>-1.2885399999999899E-2</v>
      </c>
      <c r="R9099">
        <v>0.1978039</v>
      </c>
      <c r="S9099">
        <v>2.951187</v>
      </c>
      <c r="T9099">
        <v>-0.2149665</v>
      </c>
      <c r="U9099">
        <v>0.52877810000000003</v>
      </c>
      <c r="V9099">
        <v>-0.18432180000000001</v>
      </c>
      <c r="W9099">
        <v>-7.1020329999999998E-3</v>
      </c>
      <c r="X9099">
        <v>0.9828403</v>
      </c>
      <c r="Y9099">
        <v>-0.16241439999999999</v>
      </c>
      <c r="Z9099">
        <v>5.4566270000000004E-3</v>
      </c>
      <c r="AA9099">
        <v>0.98670760000000002</v>
      </c>
      <c r="AB9099">
        <v>23</v>
      </c>
      <c r="AC9099">
        <v>15.288099999999901</v>
      </c>
      <c r="AD9099">
        <v>-1.1207036845429901</v>
      </c>
      <c r="AE9099">
        <v>2.7549699999999899</v>
      </c>
      <c r="AF9099">
        <v>-2.53167273515011</v>
      </c>
      <c r="AG9099">
        <v>-1.1207036845429901</v>
      </c>
      <c r="AH9099">
        <v>15.2451309181501</v>
      </c>
      <c r="AI9099">
        <v>94.147777172492496</v>
      </c>
      <c r="AJ9099">
        <v>99.428741358787505</v>
      </c>
      <c r="AK9099">
        <v>15.49449451573</v>
      </c>
      <c r="AL9099">
        <v>90.406919933579204</v>
      </c>
      <c r="AM9099">
        <v>100.62186532120801</v>
      </c>
      <c r="AN9099">
        <v>1.00000001006603</v>
      </c>
    </row>
    <row r="9100" spans="1:40" x14ac:dyDescent="0.25">
      <c r="A9100" t="str">
        <f>"20190303154017848"</f>
        <v>20190303154017848</v>
      </c>
      <c r="B9100" t="str">
        <f>"1551598817837354"</f>
        <v>1551598817837354</v>
      </c>
      <c r="C9100" t="s">
        <v>40</v>
      </c>
      <c r="D9100">
        <v>4.2057440000000001</v>
      </c>
      <c r="E9100">
        <v>0.5080595</v>
      </c>
      <c r="F9100" t="s">
        <v>63</v>
      </c>
      <c r="G9100">
        <v>-191.79150000000001</v>
      </c>
      <c r="H9100" s="1">
        <v>-6.6708959999999998E-6</v>
      </c>
      <c r="I9100">
        <v>-59.52178</v>
      </c>
      <c r="J9100">
        <v>-207.09790000000001</v>
      </c>
      <c r="K9100">
        <v>1.120787</v>
      </c>
      <c r="L9100">
        <v>-62.277650000000001</v>
      </c>
      <c r="M9100">
        <v>0.9998804</v>
      </c>
      <c r="N9100">
        <v>-6.1397839999999997E-3</v>
      </c>
      <c r="O9100">
        <v>1.4200529999999999E-2</v>
      </c>
      <c r="P9100">
        <v>0.97998609999999997</v>
      </c>
      <c r="Q9100">
        <v>-1.3329479999999999E-2</v>
      </c>
      <c r="R9100">
        <v>0.19861960000000001</v>
      </c>
      <c r="S9100">
        <v>2.9513699999999998</v>
      </c>
      <c r="T9100">
        <v>-0.21452869999999999</v>
      </c>
      <c r="U9100">
        <v>0.5278931</v>
      </c>
      <c r="V9100">
        <v>-0.18467169999999999</v>
      </c>
      <c r="W9100">
        <v>-7.5765040000000004E-3</v>
      </c>
      <c r="X9100">
        <v>0.98277110000000001</v>
      </c>
      <c r="Y9100">
        <v>-0.1616543</v>
      </c>
      <c r="Z9100">
        <v>5.3862729999999996E-3</v>
      </c>
      <c r="AA9100">
        <v>0.98683270000000001</v>
      </c>
      <c r="AB9100">
        <v>23</v>
      </c>
      <c r="AC9100">
        <v>15.306399999999901</v>
      </c>
      <c r="AD9100">
        <v>-1.120793670896</v>
      </c>
      <c r="AE9100">
        <v>2.75586999999999</v>
      </c>
      <c r="AF9100">
        <v>-2.52511515351694</v>
      </c>
      <c r="AG9100">
        <v>-1.120793670896</v>
      </c>
      <c r="AH9100">
        <v>15.264716628939199</v>
      </c>
      <c r="AI9100">
        <v>94.143233286618297</v>
      </c>
      <c r="AJ9100">
        <v>99.3929039574668</v>
      </c>
      <c r="AK9100">
        <v>15.512703141395299</v>
      </c>
      <c r="AL9100">
        <v>90.434105839604101</v>
      </c>
      <c r="AM9100">
        <v>100.642301013313</v>
      </c>
      <c r="AN9100">
        <v>1.00000003759448</v>
      </c>
    </row>
    <row r="9101" spans="1:40" x14ac:dyDescent="0.25">
      <c r="A9101" t="str">
        <f>"20190303154017859"</f>
        <v>20190303154017859</v>
      </c>
      <c r="B9101" t="str">
        <f>"1551598817856874"</f>
        <v>1551598817856874</v>
      </c>
      <c r="C9101" t="s">
        <v>40</v>
      </c>
      <c r="D9101">
        <v>4.1936239999999998</v>
      </c>
      <c r="E9101">
        <v>0.50874079999999999</v>
      </c>
      <c r="F9101" t="s">
        <v>63</v>
      </c>
      <c r="G9101">
        <v>-191.71770000000001</v>
      </c>
      <c r="H9101" s="1">
        <v>-6.659148E-6</v>
      </c>
      <c r="I9101">
        <v>-59.531599999999997</v>
      </c>
      <c r="J9101">
        <v>-206.98339999999999</v>
      </c>
      <c r="K9101">
        <v>1.1209070000000001</v>
      </c>
      <c r="L9101">
        <v>-62.275509999999997</v>
      </c>
      <c r="M9101">
        <v>0.99987230000000005</v>
      </c>
      <c r="N9101">
        <v>-6.1491929999999998E-3</v>
      </c>
      <c r="O9101">
        <v>1.475804E-2</v>
      </c>
      <c r="P9101">
        <v>0.97981969999999996</v>
      </c>
      <c r="Q9101">
        <v>-1.36761E-2</v>
      </c>
      <c r="R9101">
        <v>0.19941590000000001</v>
      </c>
      <c r="S9101">
        <v>2.9515229999999999</v>
      </c>
      <c r="T9101">
        <v>-0.215085</v>
      </c>
      <c r="U9101">
        <v>0.52697749999999999</v>
      </c>
      <c r="V9101">
        <v>-0.18492</v>
      </c>
      <c r="W9101">
        <v>-7.9627729999999994E-3</v>
      </c>
      <c r="X9101">
        <v>0.98272130000000002</v>
      </c>
      <c r="Y9101">
        <v>-0.1608</v>
      </c>
      <c r="Z9101">
        <v>5.3291440000000001E-3</v>
      </c>
      <c r="AA9101">
        <v>0.98697259999999998</v>
      </c>
      <c r="AB9101">
        <v>23</v>
      </c>
      <c r="AC9101">
        <v>15.265699999999899</v>
      </c>
      <c r="AD9101">
        <v>-1.12091365914799</v>
      </c>
      <c r="AE9101">
        <v>2.7439100000000001</v>
      </c>
      <c r="AF9101">
        <v>-2.5052308473783498</v>
      </c>
      <c r="AG9101">
        <v>-1.12091365914799</v>
      </c>
      <c r="AH9101">
        <v>15.225016005242001</v>
      </c>
      <c r="AI9101">
        <v>94.155024161079993</v>
      </c>
      <c r="AJ9101">
        <v>99.344116676344001</v>
      </c>
      <c r="AK9101">
        <v>15.470415036119601</v>
      </c>
      <c r="AL9101">
        <v>90.456238115402002</v>
      </c>
      <c r="AM9101">
        <v>100.656810253248</v>
      </c>
      <c r="AN9101">
        <v>0.99999998281376901</v>
      </c>
    </row>
    <row r="9102" spans="1:40" x14ac:dyDescent="0.25">
      <c r="A9102" t="str">
        <f>"20190303154017871"</f>
        <v>20190303154017871</v>
      </c>
      <c r="B9102" t="str">
        <f>"1551598817867610"</f>
        <v>1551598817867610</v>
      </c>
      <c r="C9102" t="s">
        <v>40</v>
      </c>
      <c r="D9102">
        <v>4.1980579999999996</v>
      </c>
      <c r="E9102">
        <v>0.50904359999999904</v>
      </c>
      <c r="F9102" t="s">
        <v>63</v>
      </c>
      <c r="G9102">
        <v>-191.61959999999999</v>
      </c>
      <c r="H9102" s="1">
        <v>-6.6424579999999996E-6</v>
      </c>
      <c r="I9102">
        <v>-59.547719999999998</v>
      </c>
      <c r="J9102">
        <v>-206.8629</v>
      </c>
      <c r="K9102">
        <v>1.121035</v>
      </c>
      <c r="L9102">
        <v>-62.27319</v>
      </c>
      <c r="M9102">
        <v>0.99986280000000005</v>
      </c>
      <c r="N9102">
        <v>-6.1589840000000002E-3</v>
      </c>
      <c r="O9102">
        <v>1.5375170000000001E-2</v>
      </c>
      <c r="P9102">
        <v>0.97960999999999998</v>
      </c>
      <c r="Q9102">
        <v>-1.364813E-2</v>
      </c>
      <c r="R9102">
        <v>0.2004446</v>
      </c>
      <c r="S9102">
        <v>2.952118</v>
      </c>
      <c r="T9102">
        <v>-0.2153815</v>
      </c>
      <c r="U9102">
        <v>0.52413940000000003</v>
      </c>
      <c r="V9102">
        <v>-0.1853426</v>
      </c>
      <c r="W9102">
        <v>-7.9791540000000005E-3</v>
      </c>
      <c r="X9102">
        <v>0.9826416</v>
      </c>
      <c r="Y9102">
        <v>-0.1592412</v>
      </c>
      <c r="Z9102">
        <v>5.2340080000000001E-3</v>
      </c>
      <c r="AA9102">
        <v>0.98722580000000004</v>
      </c>
      <c r="AB9102">
        <v>23</v>
      </c>
      <c r="AC9102">
        <v>15.2433</v>
      </c>
      <c r="AD9102">
        <v>-1.1210416424580001</v>
      </c>
      <c r="AE9102">
        <v>2.7254700000000001</v>
      </c>
      <c r="AF9102">
        <v>-2.47778880838074</v>
      </c>
      <c r="AG9102">
        <v>-1.1210416424580001</v>
      </c>
      <c r="AH9102">
        <v>15.2037198794524</v>
      </c>
      <c r="AI9102">
        <v>94.162338522025095</v>
      </c>
      <c r="AJ9102">
        <v>99.256262133264698</v>
      </c>
      <c r="AK9102">
        <v>15.445040301531</v>
      </c>
      <c r="AL9102">
        <v>90.457176685753197</v>
      </c>
      <c r="AM9102">
        <v>100.68145107544299</v>
      </c>
      <c r="AN9102">
        <v>1.0000000301619301</v>
      </c>
    </row>
    <row r="9103" spans="1:40" x14ac:dyDescent="0.25">
      <c r="A9103" t="str">
        <f>"20190303154017888"</f>
        <v>20190303154017888</v>
      </c>
      <c r="B9103" t="str">
        <f>"1551598817877370"</f>
        <v>1551598817877370</v>
      </c>
      <c r="C9103" t="s">
        <v>40</v>
      </c>
      <c r="D9103">
        <v>4.1669349999999996</v>
      </c>
      <c r="E9103">
        <v>0.5093337</v>
      </c>
      <c r="F9103" t="s">
        <v>63</v>
      </c>
      <c r="G9103">
        <v>-191.46549999999999</v>
      </c>
      <c r="H9103" s="1">
        <v>-6.6297430000000004E-6</v>
      </c>
      <c r="I9103">
        <v>-59.534550000000003</v>
      </c>
      <c r="J9103">
        <v>-206.69210000000001</v>
      </c>
      <c r="K9103">
        <v>1.1212310000000001</v>
      </c>
      <c r="L9103">
        <v>-62.269530000000003</v>
      </c>
      <c r="M9103">
        <v>0.99984649999999997</v>
      </c>
      <c r="N9103">
        <v>-6.1715850000000003E-3</v>
      </c>
      <c r="O9103">
        <v>1.6401010000000001E-2</v>
      </c>
      <c r="P9103">
        <v>0.97931270000000004</v>
      </c>
      <c r="Q9103">
        <v>-1.3638249999999999E-2</v>
      </c>
      <c r="R9103">
        <v>0.2018934</v>
      </c>
      <c r="S9103">
        <v>2.9520110000000002</v>
      </c>
      <c r="T9103">
        <v>-0.2149267</v>
      </c>
      <c r="U9103">
        <v>0.52505489999999999</v>
      </c>
      <c r="V9103">
        <v>-0.1857848</v>
      </c>
      <c r="W9103">
        <v>-8.0392309999999904E-3</v>
      </c>
      <c r="X9103">
        <v>0.98255760000000003</v>
      </c>
      <c r="Y9103">
        <v>-0.15853699999999901</v>
      </c>
      <c r="Z9103">
        <v>5.1302120000000003E-3</v>
      </c>
      <c r="AA9103">
        <v>0.98733970000000004</v>
      </c>
      <c r="AB9103">
        <v>23</v>
      </c>
      <c r="AC9103">
        <v>15.226599999999999</v>
      </c>
      <c r="AD9103">
        <v>-1.12123762974299</v>
      </c>
      <c r="AE9103">
        <v>2.73497999999999</v>
      </c>
      <c r="AF9103">
        <v>-2.47189115611843</v>
      </c>
      <c r="AG9103">
        <v>-1.12123762974299</v>
      </c>
      <c r="AH9103">
        <v>15.189619587180101</v>
      </c>
      <c r="AI9103">
        <v>94.167070664679102</v>
      </c>
      <c r="AJ9103">
        <v>99.243034777530795</v>
      </c>
      <c r="AK9103">
        <v>15.430228867819601</v>
      </c>
      <c r="AL9103">
        <v>90.460618955031705</v>
      </c>
      <c r="AM9103">
        <v>100.707241152376</v>
      </c>
      <c r="AN9103">
        <v>1.00000002923193</v>
      </c>
    </row>
    <row r="9104" spans="1:40" x14ac:dyDescent="0.25">
      <c r="A9104" t="str">
        <f>"20190303154017899"</f>
        <v>20190303154017899</v>
      </c>
      <c r="B9104" t="str">
        <f>"1551598817887130"</f>
        <v>1551598817887130</v>
      </c>
      <c r="C9104" t="s">
        <v>40</v>
      </c>
      <c r="D9104">
        <v>4.1963780000000002</v>
      </c>
      <c r="E9104">
        <v>0.50960909999999904</v>
      </c>
      <c r="F9104" t="s">
        <v>63</v>
      </c>
      <c r="G9104">
        <v>-191.24709999999999</v>
      </c>
      <c r="H9104" s="1">
        <v>-6.6134000000000001E-6</v>
      </c>
      <c r="I9104">
        <v>-59.511139999999997</v>
      </c>
      <c r="J9104">
        <v>-206.57980000000001</v>
      </c>
      <c r="K9104">
        <v>1.1213519999999999</v>
      </c>
      <c r="L9104">
        <v>-62.266849999999998</v>
      </c>
      <c r="M9104">
        <v>0.99983310000000003</v>
      </c>
      <c r="N9104">
        <v>-6.1805940000000002E-3</v>
      </c>
      <c r="O9104">
        <v>1.7202559999999999E-2</v>
      </c>
      <c r="P9104">
        <v>0.97912220000000005</v>
      </c>
      <c r="Q9104">
        <v>-1.3517609999999999E-2</v>
      </c>
      <c r="R9104">
        <v>0.2028229</v>
      </c>
      <c r="S9104">
        <v>2.9517060000000002</v>
      </c>
      <c r="T9104">
        <v>-0.21428130000000001</v>
      </c>
      <c r="U9104">
        <v>0.52716059999999998</v>
      </c>
      <c r="V9104">
        <v>-0.1859278</v>
      </c>
      <c r="W9104">
        <v>-7.9606799999999995E-3</v>
      </c>
      <c r="X9104">
        <v>0.98253120000000005</v>
      </c>
      <c r="Y9104">
        <v>-0.15845000000000001</v>
      </c>
      <c r="Z9104">
        <v>5.0615979999999996E-3</v>
      </c>
      <c r="AA9104">
        <v>0.98735399999999995</v>
      </c>
      <c r="AB9104">
        <v>23</v>
      </c>
      <c r="AC9104">
        <v>15.332700000000001</v>
      </c>
      <c r="AD9104">
        <v>-1.1213586134</v>
      </c>
      <c r="AE9104">
        <v>2.7557099999999899</v>
      </c>
      <c r="AF9104">
        <v>-2.4786924913781401</v>
      </c>
      <c r="AG9104">
        <v>-1.1213586134</v>
      </c>
      <c r="AH9104">
        <v>15.2985696019893</v>
      </c>
      <c r="AI9104">
        <v>94.138408910736402</v>
      </c>
      <c r="AJ9104">
        <v>99.203156356544994</v>
      </c>
      <c r="AK9104">
        <v>15.538584024085701</v>
      </c>
      <c r="AL9104">
        <v>90.456118165855898</v>
      </c>
      <c r="AM9104">
        <v>100.715573090486</v>
      </c>
      <c r="AN9104">
        <v>1.0000000391061701</v>
      </c>
    </row>
    <row r="9105" spans="1:40" x14ac:dyDescent="0.25">
      <c r="A9105" t="str">
        <f>"20190303154017910"</f>
        <v>20190303154017910</v>
      </c>
      <c r="B9105" t="str">
        <f>"1551598817907626"</f>
        <v>1551598817907626</v>
      </c>
      <c r="C9105" t="s">
        <v>40</v>
      </c>
      <c r="D9105">
        <v>4.2043999999999997</v>
      </c>
      <c r="E9105">
        <v>0.51006049999999903</v>
      </c>
      <c r="F9105" t="s">
        <v>63</v>
      </c>
      <c r="G9105">
        <v>-191.09229999999999</v>
      </c>
      <c r="H9105" s="1">
        <v>-6.6008390000000004E-6</v>
      </c>
      <c r="I9105">
        <v>-59.497320000000002</v>
      </c>
      <c r="J9105">
        <v>-206.46770000000001</v>
      </c>
      <c r="K9105">
        <v>1.1214740000000001</v>
      </c>
      <c r="L9105">
        <v>-62.264069999999997</v>
      </c>
      <c r="M9105">
        <v>0.9998184</v>
      </c>
      <c r="N9105">
        <v>-6.1896879999999996E-3</v>
      </c>
      <c r="O9105">
        <v>1.8028929999999999E-2</v>
      </c>
      <c r="P9105">
        <v>0.97886470000000003</v>
      </c>
      <c r="Q9105">
        <v>-1.3758970000000001E-2</v>
      </c>
      <c r="R9105">
        <v>0.20404549999999999</v>
      </c>
      <c r="S9105">
        <v>2.9516909999999998</v>
      </c>
      <c r="T9105">
        <v>-0.21371470000000001</v>
      </c>
      <c r="U9105">
        <v>0.52783199999999997</v>
      </c>
      <c r="V9105">
        <v>-0.18633959999999999</v>
      </c>
      <c r="W9105">
        <v>-8.2446900000000007E-3</v>
      </c>
      <c r="X9105">
        <v>0.98245079999999996</v>
      </c>
      <c r="Y9105">
        <v>-0.15785779999999999</v>
      </c>
      <c r="Z9105">
        <v>4.9733999999999898E-3</v>
      </c>
      <c r="AA9105">
        <v>0.98744929999999997</v>
      </c>
      <c r="AB9105">
        <v>23</v>
      </c>
      <c r="AC9105">
        <v>15.375400000000001</v>
      </c>
      <c r="AD9105">
        <v>-1.1214806008389999</v>
      </c>
      <c r="AE9105">
        <v>2.76675</v>
      </c>
      <c r="AF9105">
        <v>-2.4763315594091901</v>
      </c>
      <c r="AG9105">
        <v>-1.1214806008389999</v>
      </c>
      <c r="AH9105">
        <v>15.343711641898301</v>
      </c>
      <c r="AI9105">
        <v>94.127131582711399</v>
      </c>
      <c r="AJ9105">
        <v>99.167949415500502</v>
      </c>
      <c r="AK9105">
        <v>15.5826642035279</v>
      </c>
      <c r="AL9105">
        <v>90.472391293266995</v>
      </c>
      <c r="AM9105">
        <v>100.739613396639</v>
      </c>
      <c r="AN9105">
        <v>0.99999999793099803</v>
      </c>
    </row>
    <row r="9106" spans="1:40" x14ac:dyDescent="0.25">
      <c r="A9106" t="str">
        <f>"20190303154017920"</f>
        <v>20190303154017920</v>
      </c>
      <c r="B9106" t="str">
        <f>"1551598817917385"</f>
        <v>1551598817917385</v>
      </c>
      <c r="C9106" t="s">
        <v>40</v>
      </c>
      <c r="D9106">
        <v>4.1494689999999999</v>
      </c>
      <c r="E9106">
        <v>0.51029899999999995</v>
      </c>
      <c r="F9106" t="s">
        <v>63</v>
      </c>
      <c r="G9106">
        <v>-191.0232</v>
      </c>
      <c r="H9106" s="1">
        <v>-6.5916809999999996E-6</v>
      </c>
      <c r="I9106">
        <v>-59.501260000000002</v>
      </c>
      <c r="J9106">
        <v>-206.3578</v>
      </c>
      <c r="K9106">
        <v>1.1215850000000001</v>
      </c>
      <c r="L9106">
        <v>-62.26108</v>
      </c>
      <c r="M9106">
        <v>0.99980049999999998</v>
      </c>
      <c r="N9106">
        <v>-6.2011180000000003E-3</v>
      </c>
      <c r="O9106">
        <v>1.8984440000000002E-2</v>
      </c>
      <c r="P9106">
        <v>0.97859090000000004</v>
      </c>
      <c r="Q9106">
        <v>-1.4491459999999999E-2</v>
      </c>
      <c r="R9106">
        <v>0.2053045</v>
      </c>
      <c r="S9106">
        <v>2.9516749999999998</v>
      </c>
      <c r="T9106">
        <v>-0.21433189999999999</v>
      </c>
      <c r="U9106">
        <v>0.52801509999999996</v>
      </c>
      <c r="V9106">
        <v>-0.1866602</v>
      </c>
      <c r="W9106">
        <v>-9.0128929999999993E-3</v>
      </c>
      <c r="X9106">
        <v>0.98238320000000001</v>
      </c>
      <c r="Y9106">
        <v>-0.15697659999999999</v>
      </c>
      <c r="Z9106">
        <v>4.8898409999999998E-3</v>
      </c>
      <c r="AA9106">
        <v>0.98759030000000003</v>
      </c>
      <c r="AB9106">
        <v>23</v>
      </c>
      <c r="AC9106">
        <v>15.334599999999901</v>
      </c>
      <c r="AD9106">
        <v>-1.121591591681</v>
      </c>
      <c r="AE9106">
        <v>2.7598200000000102</v>
      </c>
      <c r="AF9106">
        <v>-2.4554744222471698</v>
      </c>
      <c r="AG9106">
        <v>-1.121591591681</v>
      </c>
      <c r="AH9106">
        <v>15.3049238784638</v>
      </c>
      <c r="AI9106">
        <v>94.138579819250893</v>
      </c>
      <c r="AJ9106">
        <v>99.114682508760893</v>
      </c>
      <c r="AK9106">
        <v>15.5411716824186</v>
      </c>
      <c r="AL9106">
        <v>90.516407718103807</v>
      </c>
      <c r="AM9106">
        <v>100.75838319191099</v>
      </c>
      <c r="AN9106">
        <v>1.00000000707325</v>
      </c>
    </row>
    <row r="9107" spans="1:40" x14ac:dyDescent="0.25">
      <c r="A9107" t="str">
        <f>"20190303154017929"</f>
        <v>20190303154017929</v>
      </c>
      <c r="B9107" t="str">
        <f>"1551598817927145"</f>
        <v>1551598817927145</v>
      </c>
      <c r="C9107" t="s">
        <v>40</v>
      </c>
      <c r="D9107">
        <v>4.1853769999999999</v>
      </c>
      <c r="E9107">
        <v>0.51047349999999903</v>
      </c>
      <c r="F9107" t="s">
        <v>63</v>
      </c>
      <c r="G9107">
        <v>-191.0575</v>
      </c>
      <c r="H9107" s="1">
        <v>-6.5913979999999996E-6</v>
      </c>
      <c r="I9107">
        <v>-59.513060000000003</v>
      </c>
      <c r="J9107">
        <v>-206.26689999999999</v>
      </c>
      <c r="K9107">
        <v>1.1216790000000001</v>
      </c>
      <c r="L9107">
        <v>-62.258580000000002</v>
      </c>
      <c r="M9107">
        <v>0.99978509999999998</v>
      </c>
      <c r="N9107">
        <v>-6.2104309999999998E-3</v>
      </c>
      <c r="O9107">
        <v>1.977638E-2</v>
      </c>
      <c r="P9107">
        <v>0.97841259999999997</v>
      </c>
      <c r="Q9107">
        <v>-1.529756E-2</v>
      </c>
      <c r="R9107">
        <v>0.20609430000000001</v>
      </c>
      <c r="S9107">
        <v>2.9512330000000002</v>
      </c>
      <c r="T9107">
        <v>-0.2163416</v>
      </c>
      <c r="U9107">
        <v>0.53005979999999997</v>
      </c>
      <c r="V9107">
        <v>-0.1866709</v>
      </c>
      <c r="W9107">
        <v>-9.8474849999999996E-3</v>
      </c>
      <c r="X9107">
        <v>0.9823731</v>
      </c>
      <c r="Y9107">
        <v>-0.15687779999999901</v>
      </c>
      <c r="Z9107">
        <v>4.874733E-3</v>
      </c>
      <c r="AA9107">
        <v>0.98760599999999998</v>
      </c>
      <c r="AB9107">
        <v>23</v>
      </c>
      <c r="AC9107">
        <v>15.209399999999899</v>
      </c>
      <c r="AD9107">
        <v>-1.1216855913979999</v>
      </c>
      <c r="AE9107">
        <v>2.74552</v>
      </c>
      <c r="AF9107">
        <v>-2.4313834021479499</v>
      </c>
      <c r="AG9107">
        <v>-1.1216855913979999</v>
      </c>
      <c r="AH9107">
        <v>15.180760492391</v>
      </c>
      <c r="AI9107">
        <v>94.172837164113901</v>
      </c>
      <c r="AJ9107">
        <v>99.099335901832404</v>
      </c>
      <c r="AK9107">
        <v>15.4150995112432</v>
      </c>
      <c r="AL9107">
        <v>90.564228475388205</v>
      </c>
      <c r="AM9107">
        <v>100.759093537734</v>
      </c>
      <c r="AN9107">
        <v>0.99999995273562103</v>
      </c>
    </row>
    <row r="9108" spans="1:40" x14ac:dyDescent="0.25">
      <c r="A9108" t="str">
        <f>"20190303154017938"</f>
        <v>20190303154017938</v>
      </c>
      <c r="B9108" t="str">
        <f>"1551598817927145"</f>
        <v>1551598817927145</v>
      </c>
      <c r="C9108" t="s">
        <v>40</v>
      </c>
      <c r="D9108">
        <v>4.1853769999999999</v>
      </c>
      <c r="E9108">
        <v>0.51047349999999903</v>
      </c>
      <c r="F9108" t="s">
        <v>63</v>
      </c>
      <c r="G9108">
        <v>-191.14699999999999</v>
      </c>
      <c r="H9108" s="1">
        <v>-6.5928940000000003E-6</v>
      </c>
      <c r="I9108">
        <v>-59.5374699999999</v>
      </c>
      <c r="J9108">
        <v>-206.16550000000001</v>
      </c>
      <c r="K9108">
        <v>1.121767</v>
      </c>
      <c r="L9108">
        <v>-62.255490000000002</v>
      </c>
      <c r="M9108">
        <v>0.9997646</v>
      </c>
      <c r="N9108">
        <v>-6.2228379999999996E-3</v>
      </c>
      <c r="O9108">
        <v>2.0790200000000002E-2</v>
      </c>
      <c r="P9108">
        <v>0.97815229999999997</v>
      </c>
      <c r="Q9108">
        <v>-1.5994499999999998E-2</v>
      </c>
      <c r="R9108">
        <v>0.2072744</v>
      </c>
      <c r="S9108">
        <v>2.9508969999999999</v>
      </c>
      <c r="T9108">
        <v>-0.2189149</v>
      </c>
      <c r="U9108">
        <v>0.53106690000000001</v>
      </c>
      <c r="V9108">
        <v>-0.18685599999999999</v>
      </c>
      <c r="W9108">
        <v>-1.0570120000000001E-2</v>
      </c>
      <c r="X9108">
        <v>0.98233040000000005</v>
      </c>
      <c r="Y9108">
        <v>-0.15621740000000001</v>
      </c>
      <c r="Z9108">
        <v>4.8323669999999997E-3</v>
      </c>
      <c r="AA9108">
        <v>0.98771089999999995</v>
      </c>
      <c r="AB9108">
        <v>23</v>
      </c>
      <c r="AC9108">
        <v>15.0184999999999</v>
      </c>
      <c r="AD9108">
        <v>-1.121773592894</v>
      </c>
      <c r="AE9108">
        <v>2.7180200000000001</v>
      </c>
      <c r="AF9108">
        <v>-2.3922656699151301</v>
      </c>
      <c r="AG9108">
        <v>-1.121773592894</v>
      </c>
      <c r="AH9108">
        <v>14.990781686651401</v>
      </c>
      <c r="AI9108">
        <v>94.226240189452994</v>
      </c>
      <c r="AJ9108">
        <v>99.066948716536501</v>
      </c>
      <c r="AK9108">
        <v>15.2218542433572</v>
      </c>
      <c r="AL9108">
        <v>90.605634571151796</v>
      </c>
      <c r="AM9108">
        <v>100.769969877287</v>
      </c>
      <c r="AN9108">
        <v>0.99999995346848602</v>
      </c>
    </row>
    <row r="9109" spans="1:40" x14ac:dyDescent="0.25">
      <c r="A9109" t="str">
        <f>"20190303154017948"</f>
        <v>20190303154017948</v>
      </c>
      <c r="B9109" t="str">
        <f>"1551598817936905"</f>
        <v>1551598817936905</v>
      </c>
      <c r="C9109" t="s">
        <v>40</v>
      </c>
      <c r="D9109">
        <v>4.1777179999999996</v>
      </c>
      <c r="E9109">
        <v>0.51063479999999895</v>
      </c>
      <c r="F9109" t="s">
        <v>63</v>
      </c>
      <c r="G9109">
        <v>-191.19710000000001</v>
      </c>
      <c r="H9109" s="1">
        <v>-6.5969309999999899E-6</v>
      </c>
      <c r="I9109">
        <v>-59.542020000000001</v>
      </c>
      <c r="J9109">
        <v>-206.06559999999999</v>
      </c>
      <c r="K9109">
        <v>1.121856</v>
      </c>
      <c r="L9109">
        <v>-62.252470000000002</v>
      </c>
      <c r="M9109">
        <v>0.9997433</v>
      </c>
      <c r="N9109">
        <v>-6.2348610000000004E-3</v>
      </c>
      <c r="O9109">
        <v>2.1788800000000001E-2</v>
      </c>
      <c r="P9109">
        <v>0.97787979999999997</v>
      </c>
      <c r="Q9109">
        <v>-1.6505909999999999E-2</v>
      </c>
      <c r="R9109">
        <v>0.2085167</v>
      </c>
      <c r="S9109">
        <v>2.9500730000000002</v>
      </c>
      <c r="T9109">
        <v>-0.22108639999999999</v>
      </c>
      <c r="U9109">
        <v>0.53478999999999999</v>
      </c>
      <c r="V9109">
        <v>-0.1871186</v>
      </c>
      <c r="W9109">
        <v>-1.1107519999999999E-2</v>
      </c>
      <c r="X9109">
        <v>0.98227450000000005</v>
      </c>
      <c r="Y9109">
        <v>-0.156479799999999</v>
      </c>
      <c r="Z9109">
        <v>4.8186899999999996E-3</v>
      </c>
      <c r="AA9109">
        <v>0.98766940000000003</v>
      </c>
      <c r="AB9109">
        <v>23</v>
      </c>
      <c r="AC9109">
        <v>14.8684999999999</v>
      </c>
      <c r="AD9109">
        <v>-1.1218625969310001</v>
      </c>
      <c r="AE9109">
        <v>2.7104499999999998</v>
      </c>
      <c r="AF9109">
        <v>-2.3727597000839</v>
      </c>
      <c r="AG9109">
        <v>-1.1218625969310001</v>
      </c>
      <c r="AH9109">
        <v>14.8422486082339</v>
      </c>
      <c r="AI9109">
        <v>94.268528635443801</v>
      </c>
      <c r="AJ9109">
        <v>99.082748553299197</v>
      </c>
      <c r="AK9109">
        <v>15.072521621459201</v>
      </c>
      <c r="AL9109">
        <v>90.636427122892798</v>
      </c>
      <c r="AM9109">
        <v>100.78535017256</v>
      </c>
      <c r="AN9109">
        <v>0.99999997040837896</v>
      </c>
    </row>
    <row r="9110" spans="1:40" x14ac:dyDescent="0.25">
      <c r="A9110" t="str">
        <f>"20190303154017960"</f>
        <v>20190303154017960</v>
      </c>
      <c r="B9110" t="str">
        <f>"1551598817957401"</f>
        <v>1551598817957401</v>
      </c>
      <c r="C9110" t="s">
        <v>40</v>
      </c>
      <c r="D9110">
        <v>4.1603389999999996</v>
      </c>
      <c r="E9110">
        <v>0.51083959999999995</v>
      </c>
      <c r="F9110" t="s">
        <v>63</v>
      </c>
      <c r="G9110">
        <v>-191.2062</v>
      </c>
      <c r="H9110" s="1">
        <v>-6.5968969999999996E-6</v>
      </c>
      <c r="I9110">
        <v>-59.54504</v>
      </c>
      <c r="J9110">
        <v>-205.94800000000001</v>
      </c>
      <c r="K9110">
        <v>1.121953</v>
      </c>
      <c r="L9110">
        <v>-62.2485</v>
      </c>
      <c r="M9110">
        <v>0.99971379999999999</v>
      </c>
      <c r="N9110">
        <v>-6.2499950000000004E-3</v>
      </c>
      <c r="O9110">
        <v>2.3093639999999999E-2</v>
      </c>
      <c r="P9110">
        <v>0.97749770000000002</v>
      </c>
      <c r="Q9110">
        <v>-1.7377650000000001E-2</v>
      </c>
      <c r="R9110">
        <v>0.21022969999999999</v>
      </c>
      <c r="S9110">
        <v>2.9495239999999998</v>
      </c>
      <c r="T9110">
        <v>-0.2226853</v>
      </c>
      <c r="U9110">
        <v>0.53741459999999996</v>
      </c>
      <c r="V9110">
        <v>-0.18755179999999999</v>
      </c>
      <c r="W9110">
        <v>-1.20047E-2</v>
      </c>
      <c r="X9110">
        <v>0.98218139999999998</v>
      </c>
      <c r="Y9110">
        <v>-0.15607219999999999</v>
      </c>
      <c r="Z9110">
        <v>4.7450299999999999E-3</v>
      </c>
      <c r="AA9110">
        <v>0.98773429999999995</v>
      </c>
      <c r="AB9110">
        <v>23</v>
      </c>
      <c r="AC9110">
        <v>14.7417999999999</v>
      </c>
      <c r="AD9110">
        <v>-1.121959596897</v>
      </c>
      <c r="AE9110">
        <v>2.7034600000000002</v>
      </c>
      <c r="AF9110">
        <v>-2.3491263207315001</v>
      </c>
      <c r="AG9110">
        <v>-1.121959596897</v>
      </c>
      <c r="AH9110">
        <v>14.7178254977216</v>
      </c>
      <c r="AI9110">
        <v>94.305019958922003</v>
      </c>
      <c r="AJ9110">
        <v>99.068541884708907</v>
      </c>
      <c r="AK9110">
        <v>14.94628967969</v>
      </c>
      <c r="AL9110">
        <v>90.687835133983398</v>
      </c>
      <c r="AM9110">
        <v>100.810732278014</v>
      </c>
      <c r="AN9110">
        <v>1.00000004650564</v>
      </c>
    </row>
    <row r="9111" spans="1:40" x14ac:dyDescent="0.25">
      <c r="A9111" t="str">
        <f>"20190303154017972"</f>
        <v>20190303154017972</v>
      </c>
      <c r="B9111" t="str">
        <f>"1551598817967161"</f>
        <v>1551598817967161</v>
      </c>
      <c r="C9111" t="s">
        <v>40</v>
      </c>
      <c r="D9111">
        <v>4.1567280000000002</v>
      </c>
      <c r="E9111">
        <v>0.51097049999999999</v>
      </c>
      <c r="F9111" t="s">
        <v>63</v>
      </c>
      <c r="G9111">
        <v>-191.322</v>
      </c>
      <c r="H9111" s="1">
        <v>-6.6029150000000001E-6</v>
      </c>
      <c r="I9111">
        <v>-59.565010000000001</v>
      </c>
      <c r="J9111">
        <v>-205.8254</v>
      </c>
      <c r="K9111">
        <v>1.122058</v>
      </c>
      <c r="L9111">
        <v>-62.244289999999999</v>
      </c>
      <c r="M9111">
        <v>0.99968049999999997</v>
      </c>
      <c r="N9111">
        <v>-6.2656609999999996E-3</v>
      </c>
      <c r="O9111">
        <v>2.4488349999999999E-2</v>
      </c>
      <c r="P9111">
        <v>0.9771225</v>
      </c>
      <c r="Q9111">
        <v>-1.8115450000000002E-2</v>
      </c>
      <c r="R9111">
        <v>0.2119046</v>
      </c>
      <c r="S9111">
        <v>2.948715</v>
      </c>
      <c r="T9111">
        <v>-0.22619690000000001</v>
      </c>
      <c r="U9111">
        <v>0.54101560000000004</v>
      </c>
      <c r="V9111">
        <v>-0.18785959999999999</v>
      </c>
      <c r="W9111">
        <v>-1.2767819999999999E-2</v>
      </c>
      <c r="X9111">
        <v>0.98211289999999996</v>
      </c>
      <c r="Y9111">
        <v>-0.1559006</v>
      </c>
      <c r="Z9111">
        <v>4.7077639999999997E-3</v>
      </c>
      <c r="AA9111">
        <v>0.98776160000000002</v>
      </c>
      <c r="AB9111">
        <v>23</v>
      </c>
      <c r="AC9111">
        <v>14.503399999999999</v>
      </c>
      <c r="AD9111">
        <v>-1.1220646029150001</v>
      </c>
      <c r="AE9111">
        <v>2.6792799999999901</v>
      </c>
      <c r="AF9111">
        <v>-2.3099354801028</v>
      </c>
      <c r="AG9111">
        <v>-1.1220646029150001</v>
      </c>
      <c r="AH9111">
        <v>14.4808489728892</v>
      </c>
      <c r="AI9111">
        <v>94.375671389940905</v>
      </c>
      <c r="AJ9111">
        <v>99.063268237213606</v>
      </c>
      <c r="AK9111">
        <v>14.706794955767201</v>
      </c>
      <c r="AL9111">
        <v>90.731562078574996</v>
      </c>
      <c r="AM9111">
        <v>100.828792545418</v>
      </c>
      <c r="AN9111">
        <v>0.99999999744306101</v>
      </c>
    </row>
    <row r="9112" spans="1:40" x14ac:dyDescent="0.25">
      <c r="A9112" t="str">
        <f>"20190303154017982"</f>
        <v>20190303154017982</v>
      </c>
      <c r="B9112" t="str">
        <f>"1551598817976921"</f>
        <v>1551598817976921</v>
      </c>
      <c r="C9112" t="s">
        <v>40</v>
      </c>
      <c r="D9112">
        <v>4.1860439999999999</v>
      </c>
      <c r="E9112">
        <v>0.51109259999999901</v>
      </c>
      <c r="F9112" t="s">
        <v>63</v>
      </c>
      <c r="G9112">
        <v>-191.35650000000001</v>
      </c>
      <c r="H9112" s="1">
        <v>-6.6053409999999997E-6</v>
      </c>
      <c r="I9112">
        <v>-59.56915</v>
      </c>
      <c r="J9112">
        <v>-205.7097</v>
      </c>
      <c r="K9112">
        <v>1.122144</v>
      </c>
      <c r="L9112">
        <v>-62.239989999999999</v>
      </c>
      <c r="M9112">
        <v>0.99964489999999995</v>
      </c>
      <c r="N9112">
        <v>-6.2805990000000004E-3</v>
      </c>
      <c r="O9112">
        <v>2.5899539999999999E-2</v>
      </c>
      <c r="P9112">
        <v>0.9767188</v>
      </c>
      <c r="Q9112">
        <v>-1.8550460000000001E-2</v>
      </c>
      <c r="R9112">
        <v>0.21372070000000001</v>
      </c>
      <c r="S9112">
        <v>2.947784</v>
      </c>
      <c r="T9112">
        <v>-0.22860040000000001</v>
      </c>
      <c r="U9112">
        <v>0.54501339999999998</v>
      </c>
      <c r="V9112">
        <v>-0.18829489999999999</v>
      </c>
      <c r="W9112">
        <v>-1.322599E-2</v>
      </c>
      <c r="X9112">
        <v>0.98202350000000005</v>
      </c>
      <c r="Y9112">
        <v>-0.1558522</v>
      </c>
      <c r="Z9112">
        <v>4.6517499999999996E-3</v>
      </c>
      <c r="AA9112">
        <v>0.98776940000000002</v>
      </c>
      <c r="AB9112">
        <v>23</v>
      </c>
      <c r="AC9112">
        <v>14.3531999999999</v>
      </c>
      <c r="AD9112">
        <v>-1.122150605341</v>
      </c>
      <c r="AE9112">
        <v>2.6708399999999899</v>
      </c>
      <c r="AF9112">
        <v>-2.2846980449159799</v>
      </c>
      <c r="AG9112">
        <v>-1.122150605341</v>
      </c>
      <c r="AH9112">
        <v>14.3328849294147</v>
      </c>
      <c r="AI9112">
        <v>94.421080616663502</v>
      </c>
      <c r="AJ9112">
        <v>99.056895488895407</v>
      </c>
      <c r="AK9112">
        <v>14.557151422491801</v>
      </c>
      <c r="AL9112">
        <v>90.757815482462505</v>
      </c>
      <c r="AM9112">
        <v>100.854253843679</v>
      </c>
      <c r="AN9112">
        <v>1.00000002536486</v>
      </c>
    </row>
    <row r="9113" spans="1:40" x14ac:dyDescent="0.25">
      <c r="A9113" t="str">
        <f>"20190303154017994"</f>
        <v>20190303154017994</v>
      </c>
      <c r="B9113" t="str">
        <f>"1551598817986681"</f>
        <v>1551598817986681</v>
      </c>
      <c r="C9113" t="s">
        <v>40</v>
      </c>
      <c r="D9113">
        <v>4.2130409999999996</v>
      </c>
      <c r="E9113">
        <v>0.51111070000000003</v>
      </c>
      <c r="F9113" t="s">
        <v>63</v>
      </c>
      <c r="G9113">
        <v>-191.33459999999999</v>
      </c>
      <c r="H9113" s="1">
        <v>-6.6061549999999998E-6</v>
      </c>
      <c r="I9113">
        <v>-59.559800000000003</v>
      </c>
      <c r="J9113">
        <v>-205.601</v>
      </c>
      <c r="K9113">
        <v>1.1222219999999901</v>
      </c>
      <c r="L9113">
        <v>-62.235810000000001</v>
      </c>
      <c r="M9113">
        <v>0.99960850000000001</v>
      </c>
      <c r="N9113">
        <v>-6.2944560000000004E-3</v>
      </c>
      <c r="O9113">
        <v>2.7264920000000002E-2</v>
      </c>
      <c r="P9113">
        <v>0.97629929999999998</v>
      </c>
      <c r="Q9113">
        <v>-1.8794689999999999E-2</v>
      </c>
      <c r="R9113">
        <v>0.21560699999999999</v>
      </c>
      <c r="S9113">
        <v>2.9468990000000002</v>
      </c>
      <c r="T9113">
        <v>-0.2300413</v>
      </c>
      <c r="U9113">
        <v>0.54943850000000005</v>
      </c>
      <c r="V9113">
        <v>-0.18884719999999999</v>
      </c>
      <c r="W9113">
        <v>-1.3491970000000001E-2</v>
      </c>
      <c r="X9113">
        <v>0.98191379999999995</v>
      </c>
      <c r="Y9113">
        <v>-0.1559875</v>
      </c>
      <c r="Z9113">
        <v>4.5878359999999997E-3</v>
      </c>
      <c r="AA9113">
        <v>0.98774839999999997</v>
      </c>
      <c r="AB9113">
        <v>23</v>
      </c>
      <c r="AC9113">
        <v>14.266400000000001</v>
      </c>
      <c r="AD9113">
        <v>-1.12222860615499</v>
      </c>
      <c r="AE9113">
        <v>2.67600999999999</v>
      </c>
      <c r="AF9113">
        <v>-2.27245172702031</v>
      </c>
      <c r="AG9113">
        <v>-1.12222860615499</v>
      </c>
      <c r="AH9113">
        <v>14.2488867230891</v>
      </c>
      <c r="AI9113">
        <v>94.447291579015896</v>
      </c>
      <c r="AJ9113">
        <v>99.061378444553498</v>
      </c>
      <c r="AK9113">
        <v>14.472532837880699</v>
      </c>
      <c r="AL9113">
        <v>90.773056389774396</v>
      </c>
      <c r="AM9113">
        <v>100.886518704251</v>
      </c>
      <c r="AN9113">
        <v>1.0000000044163799</v>
      </c>
    </row>
    <row r="9114" spans="1:40" x14ac:dyDescent="0.25">
      <c r="A9114" t="str">
        <f>"20190303154018004"</f>
        <v>20190303154018004</v>
      </c>
      <c r="B9114" t="str">
        <f>"1551598817997418"</f>
        <v>1551598817997418</v>
      </c>
      <c r="C9114" t="s">
        <v>40</v>
      </c>
      <c r="D9114">
        <v>4.1455539999999997</v>
      </c>
      <c r="E9114">
        <v>0.51114420000000005</v>
      </c>
      <c r="F9114" t="s">
        <v>63</v>
      </c>
      <c r="G9114">
        <v>-191.32159999999999</v>
      </c>
      <c r="H9114" s="1">
        <v>-6.6094830000000002E-6</v>
      </c>
      <c r="I9114">
        <v>-59.546169999999996</v>
      </c>
      <c r="J9114">
        <v>-205.4829</v>
      </c>
      <c r="K9114">
        <v>1.1223019999999999</v>
      </c>
      <c r="L9114">
        <v>-62.231020000000001</v>
      </c>
      <c r="M9114">
        <v>0.99956509999999998</v>
      </c>
      <c r="N9114">
        <v>-6.30935E-3</v>
      </c>
      <c r="O9114">
        <v>2.8807920000000001E-2</v>
      </c>
      <c r="P9114">
        <v>0.97584510000000002</v>
      </c>
      <c r="Q9114">
        <v>-1.9648639999999998E-2</v>
      </c>
      <c r="R9114">
        <v>0.2175782</v>
      </c>
      <c r="S9114">
        <v>2.9458160000000002</v>
      </c>
      <c r="T9114">
        <v>-0.23151459999999999</v>
      </c>
      <c r="U9114">
        <v>0.55487059999999999</v>
      </c>
      <c r="V9114">
        <v>-0.189308</v>
      </c>
      <c r="W9114">
        <v>-1.4367390000000001E-2</v>
      </c>
      <c r="X9114">
        <v>0.98181269999999998</v>
      </c>
      <c r="Y9114">
        <v>-0.15628549999999999</v>
      </c>
      <c r="Z9114">
        <v>4.5176490000000003E-3</v>
      </c>
      <c r="AA9114">
        <v>0.98770159999999996</v>
      </c>
      <c r="AB9114">
        <v>23</v>
      </c>
      <c r="AC9114">
        <v>14.161300000000001</v>
      </c>
      <c r="AD9114">
        <v>-1.1223086094829999</v>
      </c>
      <c r="AE9114">
        <v>2.6848499999999902</v>
      </c>
      <c r="AF9114">
        <v>-2.2620552930564402</v>
      </c>
      <c r="AG9114">
        <v>-1.1223086094829999</v>
      </c>
      <c r="AH9114">
        <v>14.1469967187133</v>
      </c>
      <c r="AI9114">
        <v>94.479222737451494</v>
      </c>
      <c r="AJ9114">
        <v>99.084494863094804</v>
      </c>
      <c r="AK9114">
        <v>14.3705945222544</v>
      </c>
      <c r="AL9114">
        <v>90.823219084180295</v>
      </c>
      <c r="AM9114">
        <v>100.91354225440899</v>
      </c>
      <c r="AN9114">
        <v>1.00000005932034</v>
      </c>
    </row>
    <row r="9115" spans="1:40" x14ac:dyDescent="0.25">
      <c r="A9115" t="str">
        <f>"20190303154018016"</f>
        <v>20190303154018016</v>
      </c>
      <c r="B9115" t="str">
        <f>"1551598818007178"</f>
        <v>1551598818007178</v>
      </c>
      <c r="C9115" t="s">
        <v>40</v>
      </c>
      <c r="D9115">
        <v>4.1615729999999997</v>
      </c>
      <c r="E9115">
        <v>0.51114300000000001</v>
      </c>
      <c r="F9115" t="s">
        <v>63</v>
      </c>
      <c r="G9115">
        <v>-191.41759999999999</v>
      </c>
      <c r="H9115" s="1">
        <v>-6.6174079999999997E-6</v>
      </c>
      <c r="I9115">
        <v>-59.554360000000003</v>
      </c>
      <c r="J9115">
        <v>-205.35990000000001</v>
      </c>
      <c r="K9115">
        <v>1.122382</v>
      </c>
      <c r="L9115">
        <v>-62.225769999999997</v>
      </c>
      <c r="M9115">
        <v>0.9995155</v>
      </c>
      <c r="N9115">
        <v>-6.3248920000000004E-3</v>
      </c>
      <c r="O9115">
        <v>3.0477199999999999E-2</v>
      </c>
      <c r="P9115">
        <v>0.97531239999999997</v>
      </c>
      <c r="Q9115">
        <v>-2.0390769999999999E-2</v>
      </c>
      <c r="R9115">
        <v>0.219886</v>
      </c>
      <c r="S9115">
        <v>2.9445950000000001</v>
      </c>
      <c r="T9115">
        <v>-0.23495750000000001</v>
      </c>
      <c r="U9115">
        <v>0.56036379999999997</v>
      </c>
      <c r="V9115">
        <v>-0.18998509999999999</v>
      </c>
      <c r="W9115">
        <v>-1.513193E-2</v>
      </c>
      <c r="X9115">
        <v>0.98167040000000005</v>
      </c>
      <c r="Y9115">
        <v>-0.1564807</v>
      </c>
      <c r="Z9115">
        <v>4.4644580000000001E-3</v>
      </c>
      <c r="AA9115">
        <v>0.98767099999999997</v>
      </c>
      <c r="AB9115">
        <v>23</v>
      </c>
      <c r="AC9115">
        <v>13.942299999999999</v>
      </c>
      <c r="AD9115">
        <v>-1.122388617408</v>
      </c>
      <c r="AE9115">
        <v>2.6714099999999998</v>
      </c>
      <c r="AF9115">
        <v>-2.2312901233548299</v>
      </c>
      <c r="AG9115">
        <v>-1.122388617408</v>
      </c>
      <c r="AH9115">
        <v>13.9301623110027</v>
      </c>
      <c r="AI9115">
        <v>94.548779872611107</v>
      </c>
      <c r="AJ9115">
        <v>99.100158906700102</v>
      </c>
      <c r="AK9115">
        <v>14.1523084277423</v>
      </c>
      <c r="AL9115">
        <v>90.867028777015804</v>
      </c>
      <c r="AM9115">
        <v>100.953183743872</v>
      </c>
      <c r="AN9115">
        <v>1.0000000438818399</v>
      </c>
    </row>
    <row r="9116" spans="1:40" x14ac:dyDescent="0.25">
      <c r="A9116" t="str">
        <f>"20190303154018026"</f>
        <v>20190303154018026</v>
      </c>
      <c r="B9116" t="str">
        <f>"1551598818016938"</f>
        <v>1551598818016938</v>
      </c>
      <c r="C9116" t="s">
        <v>40</v>
      </c>
      <c r="D9116">
        <v>4.1516169999999999</v>
      </c>
      <c r="E9116">
        <v>0.51123459999999998</v>
      </c>
      <c r="F9116" t="s">
        <v>63</v>
      </c>
      <c r="G9116">
        <v>-191.46129999999999</v>
      </c>
      <c r="H9116" s="1">
        <v>-6.6248929999999999E-6</v>
      </c>
      <c r="I9116">
        <v>-59.547029999999999</v>
      </c>
      <c r="J9116">
        <v>-205.25059999999999</v>
      </c>
      <c r="K9116">
        <v>1.1224499999999999</v>
      </c>
      <c r="L9116">
        <v>-62.2209199999999</v>
      </c>
      <c r="M9116">
        <v>0.99946809999999997</v>
      </c>
      <c r="N9116">
        <v>-6.3386120000000004E-3</v>
      </c>
      <c r="O9116">
        <v>3.1992140000000002E-2</v>
      </c>
      <c r="P9116">
        <v>0.97479890000000002</v>
      </c>
      <c r="Q9116">
        <v>-2.0894949999999999E-2</v>
      </c>
      <c r="R9116">
        <v>0.22210550000000001</v>
      </c>
      <c r="S9116">
        <v>2.9430689999999999</v>
      </c>
      <c r="T9116">
        <v>-0.2376685</v>
      </c>
      <c r="U9116">
        <v>0.56723020000000002</v>
      </c>
      <c r="V9116">
        <v>-0.19072729999999999</v>
      </c>
      <c r="W9116">
        <v>-1.5656489999999999E-2</v>
      </c>
      <c r="X9116">
        <v>0.98151820000000001</v>
      </c>
      <c r="Y9116">
        <v>-0.15729189999999901</v>
      </c>
      <c r="Z9116">
        <v>4.4342899999999996E-3</v>
      </c>
      <c r="AA9116">
        <v>0.98754219999999904</v>
      </c>
      <c r="AB9116">
        <v>23</v>
      </c>
      <c r="AC9116">
        <v>13.7892999999999</v>
      </c>
      <c r="AD9116">
        <v>-1.1224566248929999</v>
      </c>
      <c r="AE9116">
        <v>2.6738899999999801</v>
      </c>
      <c r="AF9116">
        <v>-2.21720427920607</v>
      </c>
      <c r="AG9116">
        <v>-1.1224566248929999</v>
      </c>
      <c r="AH9116">
        <v>13.7797896515138</v>
      </c>
      <c r="AI9116">
        <v>94.597964330524704</v>
      </c>
      <c r="AJ9116">
        <v>99.140695319833299</v>
      </c>
      <c r="AK9116">
        <v>14.0020893630366</v>
      </c>
      <c r="AL9116">
        <v>90.897087448895107</v>
      </c>
      <c r="AM9116">
        <v>100.99659624901599</v>
      </c>
      <c r="AN9116">
        <v>1.00000000278782</v>
      </c>
    </row>
    <row r="9117" spans="1:40" x14ac:dyDescent="0.25">
      <c r="A9117" t="str">
        <f>"20190303154018038"</f>
        <v>20190303154018038</v>
      </c>
      <c r="B9117" t="str">
        <f>"1551598818027674"</f>
        <v>1551598818027674</v>
      </c>
      <c r="C9117" t="s">
        <v>40</v>
      </c>
      <c r="D9117">
        <v>4.1641309999999896</v>
      </c>
      <c r="E9117">
        <v>0.51120540000000003</v>
      </c>
      <c r="F9117" t="s">
        <v>63</v>
      </c>
      <c r="G9117">
        <v>-191.42679999999999</v>
      </c>
      <c r="H9117" s="1">
        <v>-6.6278110000000004E-6</v>
      </c>
      <c r="I9117">
        <v>-59.527650000000001</v>
      </c>
      <c r="J9117">
        <v>-205.13200000000001</v>
      </c>
      <c r="K9117">
        <v>1.122519</v>
      </c>
      <c r="L9117">
        <v>-62.215299999999999</v>
      </c>
      <c r="M9117">
        <v>0.99941150000000001</v>
      </c>
      <c r="N9117">
        <v>-6.3536979999999996E-3</v>
      </c>
      <c r="O9117">
        <v>3.3708009999999997E-2</v>
      </c>
      <c r="P9117">
        <v>0.97420309999999999</v>
      </c>
      <c r="Q9117">
        <v>-2.1507160000000001E-2</v>
      </c>
      <c r="R9117">
        <v>0.22464609999999999</v>
      </c>
      <c r="S9117">
        <v>2.9418329999999999</v>
      </c>
      <c r="T9117">
        <v>-0.23886840000000001</v>
      </c>
      <c r="U9117">
        <v>0.57315059999999995</v>
      </c>
      <c r="V9117">
        <v>-0.1915953</v>
      </c>
      <c r="W9117">
        <v>-1.6290229999999999E-2</v>
      </c>
      <c r="X9117">
        <v>0.98133879999999996</v>
      </c>
      <c r="Y9117">
        <v>-0.15758820000000001</v>
      </c>
      <c r="Z9117">
        <v>4.3417819999999998E-3</v>
      </c>
      <c r="AA9117">
        <v>0.98749540000000002</v>
      </c>
      <c r="AB9117">
        <v>23</v>
      </c>
      <c r="AC9117">
        <v>13.7052</v>
      </c>
      <c r="AD9117">
        <v>-1.1225256278110001</v>
      </c>
      <c r="AE9117">
        <v>2.6876499999999899</v>
      </c>
      <c r="AF9117">
        <v>-2.2098625167302099</v>
      </c>
      <c r="AG9117">
        <v>-1.1225256278110001</v>
      </c>
      <c r="AH9117">
        <v>13.6995095195209</v>
      </c>
      <c r="AI9117">
        <v>94.624780976120505</v>
      </c>
      <c r="AJ9117">
        <v>99.163424024891398</v>
      </c>
      <c r="AK9117">
        <v>13.921929363539601</v>
      </c>
      <c r="AL9117">
        <v>90.933402726049707</v>
      </c>
      <c r="AM9117">
        <v>101.047383265463</v>
      </c>
      <c r="AN9117">
        <v>0.99999998548049096</v>
      </c>
    </row>
    <row r="9118" spans="1:40" x14ac:dyDescent="0.25">
      <c r="A9118" t="str">
        <f>"20190303154018050"</f>
        <v>20190303154018050</v>
      </c>
      <c r="B9118" t="str">
        <f>"1551598818037433"</f>
        <v>1551598818037433</v>
      </c>
      <c r="C9118" t="s">
        <v>40</v>
      </c>
      <c r="D9118">
        <v>4.2831440000000001</v>
      </c>
      <c r="E9118">
        <v>0.51120540000000003</v>
      </c>
      <c r="F9118" t="s">
        <v>63</v>
      </c>
      <c r="G9118">
        <v>-191.43559999999999</v>
      </c>
      <c r="H9118" s="1">
        <v>-6.6354250000000001E-6</v>
      </c>
      <c r="I9118">
        <v>-59.508789999999998</v>
      </c>
      <c r="J9118">
        <v>-205.0137</v>
      </c>
      <c r="K9118">
        <v>1.1225909999999999</v>
      </c>
      <c r="L9118">
        <v>-62.20966</v>
      </c>
      <c r="M9118">
        <v>0.99935160000000001</v>
      </c>
      <c r="N9118">
        <v>-6.3686119999999896E-3</v>
      </c>
      <c r="O9118">
        <v>3.5439310000000002E-2</v>
      </c>
      <c r="P9118">
        <v>0.97355829999999999</v>
      </c>
      <c r="Q9118">
        <v>-2.2393690000000001E-2</v>
      </c>
      <c r="R9118">
        <v>0.2273385</v>
      </c>
      <c r="S9118">
        <v>2.94014</v>
      </c>
      <c r="T9118">
        <v>-0.2409674</v>
      </c>
      <c r="U9118">
        <v>0.58099369999999995</v>
      </c>
      <c r="V9118">
        <v>-0.1926012</v>
      </c>
      <c r="W9118">
        <v>-1.71994E-2</v>
      </c>
      <c r="X9118">
        <v>0.98112639999999995</v>
      </c>
      <c r="Y9118">
        <v>-0.15851460000000001</v>
      </c>
      <c r="Z9118">
        <v>4.2878999999999999E-3</v>
      </c>
      <c r="AA9118">
        <v>0.98734730000000004</v>
      </c>
      <c r="AB9118">
        <v>24</v>
      </c>
      <c r="AC9118">
        <v>13.578099999999999</v>
      </c>
      <c r="AD9118">
        <v>-1.12259763542499</v>
      </c>
      <c r="AE9118">
        <v>2.7008699999999899</v>
      </c>
      <c r="AF9118">
        <v>-2.2034765061243098</v>
      </c>
      <c r="AG9118">
        <v>-1.12259763542499</v>
      </c>
      <c r="AH9118">
        <v>13.576022311408799</v>
      </c>
      <c r="AI9118">
        <v>94.666230660965894</v>
      </c>
      <c r="AJ9118">
        <v>99.219083752395207</v>
      </c>
      <c r="AK9118">
        <v>13.799417232766499</v>
      </c>
      <c r="AL9118">
        <v>90.985501595842507</v>
      </c>
      <c r="AM9118">
        <v>101.10628975495599</v>
      </c>
      <c r="AN9118">
        <v>1.0000000271893701</v>
      </c>
    </row>
    <row r="9119" spans="1:40" x14ac:dyDescent="0.25">
      <c r="A9119" t="str">
        <f>"20190303154018060"</f>
        <v>20190303154018060</v>
      </c>
      <c r="B9119" t="str">
        <f>"1551598818056883"</f>
        <v>1551598818056883</v>
      </c>
      <c r="C9119" t="s">
        <v>40</v>
      </c>
      <c r="D9119">
        <v>4.2756919999999896</v>
      </c>
      <c r="E9119">
        <v>0.472941</v>
      </c>
      <c r="F9119" t="s">
        <v>63</v>
      </c>
      <c r="G9119">
        <v>-191.47239999999999</v>
      </c>
      <c r="H9119" s="1">
        <v>-6.644388E-6</v>
      </c>
      <c r="I9119">
        <v>-59.495049999999999</v>
      </c>
      <c r="J9119">
        <v>-204.89179999999999</v>
      </c>
      <c r="K9119">
        <v>1.122662</v>
      </c>
      <c r="L9119">
        <v>-62.203339999999997</v>
      </c>
      <c r="M9119">
        <v>0.99928340000000004</v>
      </c>
      <c r="N9119">
        <v>-6.3843709999999998E-3</v>
      </c>
      <c r="O9119">
        <v>3.7309109999999999E-2</v>
      </c>
      <c r="P9119">
        <v>0.97280129999999998</v>
      </c>
      <c r="Q9119">
        <v>-2.3062740000000002E-2</v>
      </c>
      <c r="R9119">
        <v>0.23049120000000001</v>
      </c>
      <c r="S9119">
        <v>2.9383539999999999</v>
      </c>
      <c r="T9119">
        <v>-0.2435956</v>
      </c>
      <c r="U9119">
        <v>0.58905030000000003</v>
      </c>
      <c r="V9119">
        <v>-0.1939381</v>
      </c>
      <c r="W9119">
        <v>-1.789344E-2</v>
      </c>
      <c r="X9119">
        <v>0.98085060000000002</v>
      </c>
      <c r="Y9119">
        <v>-0.15937789999999999</v>
      </c>
      <c r="Z9119">
        <v>4.2267759999999998E-3</v>
      </c>
      <c r="AA9119">
        <v>0.98720859999999999</v>
      </c>
      <c r="AB9119">
        <v>24</v>
      </c>
      <c r="AC9119">
        <v>13.4193999999999</v>
      </c>
      <c r="AD9119">
        <v>-1.1226686443880001</v>
      </c>
      <c r="AE9119">
        <v>2.7082899999999999</v>
      </c>
      <c r="AF9119">
        <v>-2.1909936301066399</v>
      </c>
      <c r="AG9119">
        <v>-1.1226686443880001</v>
      </c>
      <c r="AH9119">
        <v>13.420846126293</v>
      </c>
      <c r="AI9119">
        <v>94.719532721318501</v>
      </c>
      <c r="AJ9119">
        <v>99.271915980946005</v>
      </c>
      <c r="AK9119">
        <v>13.644777342188201</v>
      </c>
      <c r="AL9119">
        <v>91.025273277662706</v>
      </c>
      <c r="AM9119">
        <v>101.184510418421</v>
      </c>
      <c r="AN9119">
        <v>1.0000000306735</v>
      </c>
    </row>
    <row r="9120" spans="1:40" x14ac:dyDescent="0.25">
      <c r="A9120" t="str">
        <f>"20190303154018073"</f>
        <v>20190303154018073</v>
      </c>
      <c r="B9120" t="str">
        <f>"1551598818067619"</f>
        <v>1551598818067619</v>
      </c>
      <c r="C9120" t="s">
        <v>40</v>
      </c>
      <c r="D9120">
        <v>4.0867180000000003</v>
      </c>
      <c r="E9120">
        <v>0.41183690000000001</v>
      </c>
      <c r="F9120" t="s">
        <v>63</v>
      </c>
      <c r="G9120">
        <v>-189.54810000000001</v>
      </c>
      <c r="H9120" s="1">
        <v>-1.2047980000000001E-5</v>
      </c>
      <c r="I9120">
        <v>-57.402410000000003</v>
      </c>
      <c r="J9120">
        <v>-204.7687</v>
      </c>
      <c r="K9120">
        <v>1.122736</v>
      </c>
      <c r="L9120">
        <v>-62.196809999999999</v>
      </c>
      <c r="M9120">
        <v>0.99921009999999999</v>
      </c>
      <c r="N9120">
        <v>-6.4001680000000003E-3</v>
      </c>
      <c r="O9120">
        <v>3.922051E-2</v>
      </c>
      <c r="P9120">
        <v>0.97198720000000005</v>
      </c>
      <c r="Q9120">
        <v>-2.366209E-2</v>
      </c>
      <c r="R9120">
        <v>0.23383960000000001</v>
      </c>
      <c r="S9120">
        <v>2.866409</v>
      </c>
      <c r="T9120">
        <v>-0.20973130000000001</v>
      </c>
      <c r="U9120">
        <v>0.89688109999999999</v>
      </c>
      <c r="V9120">
        <v>-0.1954332</v>
      </c>
      <c r="W9120">
        <v>-1.8519069999999999E-2</v>
      </c>
      <c r="X9120">
        <v>0.98054209999999997</v>
      </c>
      <c r="Y9120">
        <v>-0.2603432</v>
      </c>
      <c r="Z9120">
        <v>7.5950369999999998E-3</v>
      </c>
      <c r="AA9120">
        <v>0.96548630000000002</v>
      </c>
      <c r="AB9120">
        <v>24</v>
      </c>
      <c r="AC9120">
        <v>15.2205999999999</v>
      </c>
      <c r="AD9120">
        <v>-1.1227480479799901</v>
      </c>
      <c r="AE9120">
        <v>4.7944000000000004</v>
      </c>
      <c r="AF9120">
        <v>-4.1730817646027196</v>
      </c>
      <c r="AG9120">
        <v>-1.1227480479799901</v>
      </c>
      <c r="AH9120">
        <v>15.321089875700901</v>
      </c>
      <c r="AI9120">
        <v>94.0443892947401</v>
      </c>
      <c r="AJ9120">
        <v>105.236330304674</v>
      </c>
      <c r="AK9120">
        <v>15.918887196428299</v>
      </c>
      <c r="AL9120">
        <v>91.061125262876104</v>
      </c>
      <c r="AM9120">
        <v>101.271989986652</v>
      </c>
      <c r="AN9120">
        <v>0.99999995074415604</v>
      </c>
    </row>
    <row r="9121" spans="1:40" x14ac:dyDescent="0.25">
      <c r="A9121" t="str">
        <f>"20190303154018085"</f>
        <v>20190303154018085</v>
      </c>
      <c r="B9121" t="str">
        <f>"1551598818077379"</f>
        <v>1551598818077379</v>
      </c>
      <c r="C9121" t="s">
        <v>40</v>
      </c>
      <c r="D9121">
        <v>4.0195220000000003</v>
      </c>
      <c r="E9121">
        <v>0.40029189999999998</v>
      </c>
      <c r="F9121" t="s">
        <v>44</v>
      </c>
      <c r="G9121">
        <v>-203.8184</v>
      </c>
      <c r="H9121">
        <v>1.0531280000000001</v>
      </c>
      <c r="I9121">
        <v>-61.719450000000002</v>
      </c>
      <c r="J9121">
        <v>-204.6448</v>
      </c>
      <c r="K9121">
        <v>1.1228049999999901</v>
      </c>
      <c r="L9121">
        <v>-62.189880000000002</v>
      </c>
      <c r="M9121">
        <v>0.99913050000000003</v>
      </c>
      <c r="N9121">
        <v>-6.4162150000000003E-3</v>
      </c>
      <c r="O9121">
        <v>4.1198899999999997E-2</v>
      </c>
      <c r="P9121">
        <v>0.97109809999999996</v>
      </c>
      <c r="Q9121">
        <v>-2.4305790000000001E-2</v>
      </c>
      <c r="R9121">
        <v>0.23744019999999999</v>
      </c>
      <c r="S9121">
        <v>2.7493129999999999</v>
      </c>
      <c r="T9121">
        <v>-0.20138220000000001</v>
      </c>
      <c r="U9121">
        <v>1.3810420000000001</v>
      </c>
      <c r="V9121">
        <v>-0.19711919999999999</v>
      </c>
      <c r="W9121">
        <v>-1.918972E-2</v>
      </c>
      <c r="X9121">
        <v>0.9801917</v>
      </c>
      <c r="Y9121">
        <v>-0.41078310000000001</v>
      </c>
      <c r="Z9121">
        <v>1.298913E-2</v>
      </c>
      <c r="AA9121">
        <v>0.91164060000000002</v>
      </c>
      <c r="AB9121">
        <v>24</v>
      </c>
      <c r="AC9121">
        <v>0.82640000000000602</v>
      </c>
      <c r="AD9121">
        <v>-6.9676999999999698E-2</v>
      </c>
      <c r="AE9121">
        <v>0.47043000000000001</v>
      </c>
      <c r="AF9121">
        <v>-0.43365480625271102</v>
      </c>
      <c r="AG9121">
        <v>-6.9676999999999698E-2</v>
      </c>
      <c r="AH9121">
        <v>0.84056690811571</v>
      </c>
      <c r="AI9121">
        <v>94.213195581004598</v>
      </c>
      <c r="AJ9121">
        <v>117.289550265033</v>
      </c>
      <c r="AK9121">
        <v>0.94840081312400804</v>
      </c>
      <c r="AL9121">
        <v>91.099557461355403</v>
      </c>
      <c r="AM9121">
        <v>101.370669772166</v>
      </c>
      <c r="AN9121">
        <v>0.99999999655560401</v>
      </c>
    </row>
    <row r="9122" spans="1:40" x14ac:dyDescent="0.25">
      <c r="A9122" t="str">
        <f>"20190303154018097"</f>
        <v>20190303154018097</v>
      </c>
      <c r="B9122" t="str">
        <f>"1551598818087138"</f>
        <v>1551598818087138</v>
      </c>
      <c r="C9122" t="s">
        <v>40</v>
      </c>
      <c r="D9122">
        <v>4.0711750000000002</v>
      </c>
      <c r="E9122">
        <v>0.394098</v>
      </c>
      <c r="F9122" t="s">
        <v>63</v>
      </c>
      <c r="G9122">
        <v>-189.4958</v>
      </c>
      <c r="H9122" s="1">
        <v>-1.0998100000000001E-5</v>
      </c>
      <c r="I9122">
        <v>-53.9497199999999</v>
      </c>
      <c r="J9122">
        <v>-204.5137</v>
      </c>
      <c r="K9122">
        <v>1.1228769999999999</v>
      </c>
      <c r="L9122">
        <v>-62.182250000000003</v>
      </c>
      <c r="M9122">
        <v>0.99903940000000002</v>
      </c>
      <c r="N9122">
        <v>-6.4345169999999998E-3</v>
      </c>
      <c r="O9122">
        <v>4.334673E-2</v>
      </c>
      <c r="P9122">
        <v>0.97001890000000002</v>
      </c>
      <c r="Q9122">
        <v>-2.474525E-2</v>
      </c>
      <c r="R9122">
        <v>0.24176690000000001</v>
      </c>
      <c r="S9122">
        <v>2.7221980000000001</v>
      </c>
      <c r="T9122">
        <v>-0.2017639</v>
      </c>
      <c r="U9122">
        <v>1.4807129999999999</v>
      </c>
      <c r="V9122">
        <v>-0.19937530000000001</v>
      </c>
      <c r="W9122">
        <v>-1.9660609999999999E-2</v>
      </c>
      <c r="X9122">
        <v>0.97972599999999999</v>
      </c>
      <c r="Y9122">
        <v>-0.4383533</v>
      </c>
      <c r="Z9122">
        <v>1.3948820000000001E-2</v>
      </c>
      <c r="AA9122">
        <v>0.89869449999999995</v>
      </c>
      <c r="AB9122">
        <v>24</v>
      </c>
      <c r="AC9122">
        <v>15.0178999999999</v>
      </c>
      <c r="AD9122">
        <v>-1.1228879981</v>
      </c>
      <c r="AE9122">
        <v>8.2325300000000095</v>
      </c>
      <c r="AF9122">
        <v>-7.5413829223474602</v>
      </c>
      <c r="AG9122">
        <v>-1.1228879981</v>
      </c>
      <c r="AH9122">
        <v>15.294895463671301</v>
      </c>
      <c r="AI9122">
        <v>93.767304151866895</v>
      </c>
      <c r="AJ9122">
        <v>116.246309180241</v>
      </c>
      <c r="AK9122">
        <v>17.089972530182202</v>
      </c>
      <c r="AL9122">
        <v>91.126542511317197</v>
      </c>
      <c r="AM9122">
        <v>101.50268385454299</v>
      </c>
      <c r="AN9122">
        <v>1.00000004245583</v>
      </c>
    </row>
    <row r="9123" spans="1:40" x14ac:dyDescent="0.25">
      <c r="A9123" t="str">
        <f>"20190303154018111"</f>
        <v>20190303154018111</v>
      </c>
      <c r="B9123" t="str">
        <f>"1551598818107635"</f>
        <v>1551598818107635</v>
      </c>
      <c r="C9123" t="s">
        <v>40</v>
      </c>
      <c r="D9123">
        <v>4.0278049999999999</v>
      </c>
      <c r="E9123">
        <v>0.38749210000000001</v>
      </c>
      <c r="F9123" t="s">
        <v>44</v>
      </c>
      <c r="G9123">
        <v>-203.6771</v>
      </c>
      <c r="H9123">
        <v>1.0614870000000001</v>
      </c>
      <c r="I9123">
        <v>-61.705480000000001</v>
      </c>
      <c r="J9123">
        <v>-204.3681</v>
      </c>
      <c r="K9123">
        <v>1.1229640000000001</v>
      </c>
      <c r="L9123">
        <v>-62.173459999999999</v>
      </c>
      <c r="M9123">
        <v>0.99893089999999995</v>
      </c>
      <c r="N9123">
        <v>-6.4561250000000001E-3</v>
      </c>
      <c r="O9123">
        <v>4.5778220000000001E-2</v>
      </c>
      <c r="P9123">
        <v>0.96887829999999997</v>
      </c>
      <c r="Q9123">
        <v>-2.5239250000000001E-2</v>
      </c>
      <c r="R9123">
        <v>0.24624799999999999</v>
      </c>
      <c r="S9123">
        <v>2.7035979999999999</v>
      </c>
      <c r="T9123">
        <v>-0.1983935</v>
      </c>
      <c r="U9123">
        <v>1.540924</v>
      </c>
      <c r="V9123">
        <v>-0.20151240000000001</v>
      </c>
      <c r="W9123">
        <v>-2.0186719999999998E-2</v>
      </c>
      <c r="X9123">
        <v>0.97927790000000003</v>
      </c>
      <c r="Y9123">
        <v>-0.45394089999999998</v>
      </c>
      <c r="Z9123">
        <v>1.420488E-2</v>
      </c>
      <c r="AA9123">
        <v>0.8909186</v>
      </c>
      <c r="AB9123">
        <v>24</v>
      </c>
      <c r="AC9123">
        <v>0.69100000000000195</v>
      </c>
      <c r="AD9123">
        <v>-6.1476999999999699E-2</v>
      </c>
      <c r="AE9123">
        <v>0.46797999999999701</v>
      </c>
      <c r="AF9123">
        <v>-0.43350358831582497</v>
      </c>
      <c r="AG9123">
        <v>-6.1476999999999699E-2</v>
      </c>
      <c r="AH9123">
        <v>0.70785814977295503</v>
      </c>
      <c r="AI9123">
        <v>94.235815981136398</v>
      </c>
      <c r="AJ9123">
        <v>121.483965357155</v>
      </c>
      <c r="AK9123">
        <v>0.83232682451768103</v>
      </c>
      <c r="AL9123">
        <v>91.156692451877404</v>
      </c>
      <c r="AM9123">
        <v>101.627816764697</v>
      </c>
      <c r="AN9123">
        <v>0.99999997822326303</v>
      </c>
    </row>
    <row r="9124" spans="1:40" x14ac:dyDescent="0.25">
      <c r="A9124" t="str">
        <f>"20190303154018126"</f>
        <v>20190303154018126</v>
      </c>
      <c r="B9124" t="str">
        <f>"1551598818117395"</f>
        <v>1551598818117395</v>
      </c>
      <c r="C9124" t="s">
        <v>40</v>
      </c>
      <c r="D9124">
        <v>4.0312109999999999</v>
      </c>
      <c r="E9124">
        <v>0.38532080000000002</v>
      </c>
      <c r="F9124" t="s">
        <v>44</v>
      </c>
      <c r="G9124">
        <v>-203.4785</v>
      </c>
      <c r="H9124">
        <v>1.058451</v>
      </c>
      <c r="I9124">
        <v>-61.641629999999999</v>
      </c>
      <c r="J9124">
        <v>-204.20439999999999</v>
      </c>
      <c r="K9124">
        <v>1.1230639999999901</v>
      </c>
      <c r="L9124">
        <v>-62.162959999999998</v>
      </c>
      <c r="M9124">
        <v>0.99879640000000003</v>
      </c>
      <c r="N9124">
        <v>-6.4856979999999998E-3</v>
      </c>
      <c r="O9124">
        <v>4.8618599999999998E-2</v>
      </c>
      <c r="P9124">
        <v>0.96767550000000002</v>
      </c>
      <c r="Q9124">
        <v>-2.5513899999999999E-2</v>
      </c>
      <c r="R9124">
        <v>0.25090499999999999</v>
      </c>
      <c r="S9124">
        <v>2.6835019999999998</v>
      </c>
      <c r="T9124">
        <v>-0.1946145</v>
      </c>
      <c r="U9124">
        <v>1.604492</v>
      </c>
      <c r="V9124">
        <v>-0.20343130000000001</v>
      </c>
      <c r="W9124">
        <v>-2.049233E-2</v>
      </c>
      <c r="X9124">
        <v>0.97887469999999999</v>
      </c>
      <c r="Y9124">
        <v>-0.46991129999999998</v>
      </c>
      <c r="Z9124">
        <v>1.4415839999999999E-2</v>
      </c>
      <c r="AA9124">
        <v>0.88259589999999999</v>
      </c>
      <c r="AB9124">
        <v>24</v>
      </c>
      <c r="AC9124">
        <v>0.72589999999999499</v>
      </c>
      <c r="AD9124">
        <v>-6.4612999999999796E-2</v>
      </c>
      <c r="AE9124">
        <v>0.52132999999999097</v>
      </c>
      <c r="AF9124">
        <v>-0.48289640457874899</v>
      </c>
      <c r="AG9124">
        <v>-6.4612999999999796E-2</v>
      </c>
      <c r="AH9124">
        <v>0.74648655275465603</v>
      </c>
      <c r="AI9124">
        <v>94.156690241683506</v>
      </c>
      <c r="AJ9124">
        <v>122.89851718723401</v>
      </c>
      <c r="AK9124">
        <v>0.89140672578100599</v>
      </c>
      <c r="AL9124">
        <v>91.174206267191295</v>
      </c>
      <c r="AM9124">
        <v>101.740185186655</v>
      </c>
      <c r="AN9124">
        <v>0.99999995385430296</v>
      </c>
    </row>
    <row r="9125" spans="1:40" x14ac:dyDescent="0.25">
      <c r="A9125" t="str">
        <f>"20190303154018139"</f>
        <v>20190303154018139</v>
      </c>
      <c r="B9125" t="str">
        <f>"1551598818127155"</f>
        <v>1551598818127155</v>
      </c>
      <c r="C9125" t="s">
        <v>40</v>
      </c>
      <c r="D9125">
        <v>4.0484080000000002</v>
      </c>
      <c r="E9125">
        <v>0.38379219999999997</v>
      </c>
      <c r="F9125" t="s">
        <v>44</v>
      </c>
      <c r="G9125">
        <v>-203.45070000000001</v>
      </c>
      <c r="H9125">
        <v>1.068136</v>
      </c>
      <c r="I9125">
        <v>-61.70196</v>
      </c>
      <c r="J9125">
        <v>-204.06440000000001</v>
      </c>
      <c r="K9125">
        <v>1.1231439999999999</v>
      </c>
      <c r="L9125">
        <v>-62.153440000000003</v>
      </c>
      <c r="M9125">
        <v>0.99867090000000003</v>
      </c>
      <c r="N9125">
        <v>-6.5146700000000002E-3</v>
      </c>
      <c r="O9125">
        <v>5.1127249999999999E-2</v>
      </c>
      <c r="P9125">
        <v>0.96596130000000002</v>
      </c>
      <c r="Q9125">
        <v>-2.579677E-2</v>
      </c>
      <c r="R9125">
        <v>0.2573973</v>
      </c>
      <c r="S9125">
        <v>2.6713559999999998</v>
      </c>
      <c r="T9125">
        <v>-0.19469259999999999</v>
      </c>
      <c r="U9125">
        <v>1.6342159999999999</v>
      </c>
      <c r="V9125">
        <v>-0.20753750000000001</v>
      </c>
      <c r="W9125">
        <v>-2.0820809999999999E-2</v>
      </c>
      <c r="X9125">
        <v>0.97800549999999997</v>
      </c>
      <c r="Y9125">
        <v>-0.47661609999999999</v>
      </c>
      <c r="Z9125">
        <v>1.454547E-2</v>
      </c>
      <c r="AA9125">
        <v>0.87899119999999997</v>
      </c>
      <c r="AB9125">
        <v>24</v>
      </c>
      <c r="AC9125">
        <v>0.61369999999999403</v>
      </c>
      <c r="AD9125">
        <v>-5.5008000000000098E-2</v>
      </c>
      <c r="AE9125">
        <v>0.45148000000000299</v>
      </c>
      <c r="AF9125">
        <v>-0.41733651969636298</v>
      </c>
      <c r="AG9125">
        <v>-5.5008000000000098E-2</v>
      </c>
      <c r="AH9125">
        <v>0.63268265623924802</v>
      </c>
      <c r="AI9125">
        <v>94.151058805789702</v>
      </c>
      <c r="AJ9125">
        <v>123.41004545037799</v>
      </c>
      <c r="AK9125">
        <v>0.75992301862900802</v>
      </c>
      <c r="AL9125">
        <v>91.193030700749603</v>
      </c>
      <c r="AM9125">
        <v>101.980717541168</v>
      </c>
      <c r="AN9125">
        <v>1.0000000390327699</v>
      </c>
    </row>
    <row r="9126" spans="1:40" x14ac:dyDescent="0.25">
      <c r="A9126" t="str">
        <f>"20190303154018151"</f>
        <v>20190303154018151</v>
      </c>
      <c r="B9126" t="str">
        <f>"1551598818147183"</f>
        <v>1551598818147183</v>
      </c>
      <c r="C9126" t="s">
        <v>40</v>
      </c>
      <c r="D9126">
        <v>4.0067440000000003</v>
      </c>
      <c r="E9126">
        <v>0.38192150000000002</v>
      </c>
      <c r="F9126" t="s">
        <v>44</v>
      </c>
      <c r="G9126">
        <v>-203.26009999999999</v>
      </c>
      <c r="H9126">
        <v>1.0639430000000001</v>
      </c>
      <c r="I9126">
        <v>-61.649830000000001</v>
      </c>
      <c r="J9126">
        <v>-203.9443</v>
      </c>
      <c r="K9126">
        <v>1.1232219999999999</v>
      </c>
      <c r="L9126">
        <v>-62.145169999999901</v>
      </c>
      <c r="M9126">
        <v>0.99855660000000002</v>
      </c>
      <c r="N9126">
        <v>-6.5410069999999997E-3</v>
      </c>
      <c r="O9126">
        <v>5.3311110000000002E-2</v>
      </c>
      <c r="P9126">
        <v>0.96487339999999999</v>
      </c>
      <c r="Q9126">
        <v>-2.6345360000000002E-2</v>
      </c>
      <c r="R9126">
        <v>0.26139109999999999</v>
      </c>
      <c r="S9126">
        <v>2.6571349999999998</v>
      </c>
      <c r="T9126">
        <v>-0.19559979999999999</v>
      </c>
      <c r="U9126">
        <v>1.66390999999999</v>
      </c>
      <c r="V9126">
        <v>-0.20943719999999999</v>
      </c>
      <c r="W9126">
        <v>-2.1396310000000002E-2</v>
      </c>
      <c r="X9126">
        <v>0.97758800000000001</v>
      </c>
      <c r="Y9126">
        <v>-0.4838384</v>
      </c>
      <c r="Z9126">
        <v>1.4775750000000001E-2</v>
      </c>
      <c r="AA9126">
        <v>0.87503259999999905</v>
      </c>
      <c r="AB9126">
        <v>24</v>
      </c>
      <c r="AC9126">
        <v>0.68420000000000403</v>
      </c>
      <c r="AD9126">
        <v>-5.9278999999999797E-2</v>
      </c>
      <c r="AE9126">
        <v>0.49533999999999101</v>
      </c>
      <c r="AF9126">
        <v>-0.45591392217829302</v>
      </c>
      <c r="AG9126">
        <v>-5.9278999999999797E-2</v>
      </c>
      <c r="AH9126">
        <v>0.70615680466875197</v>
      </c>
      <c r="AI9126">
        <v>94.034078602663996</v>
      </c>
      <c r="AJ9126">
        <v>122.84738006862401</v>
      </c>
      <c r="AK9126">
        <v>0.84263214812691301</v>
      </c>
      <c r="AL9126">
        <v>91.226011792544099</v>
      </c>
      <c r="AM9126">
        <v>102.09218258729101</v>
      </c>
      <c r="AN9126">
        <v>1.0000000202847199</v>
      </c>
    </row>
    <row r="9127" spans="1:40" x14ac:dyDescent="0.25">
      <c r="A9127" t="str">
        <f>"20190303154018162"</f>
        <v>20190303154018162</v>
      </c>
      <c r="B9127" t="str">
        <f>"1551598818156942"</f>
        <v>1551598818156942</v>
      </c>
      <c r="C9127" t="s">
        <v>40</v>
      </c>
      <c r="D9127">
        <v>4.0464529999999996</v>
      </c>
      <c r="E9127">
        <v>0.38135770000000002</v>
      </c>
      <c r="F9127" t="s">
        <v>44</v>
      </c>
      <c r="G9127">
        <v>-203.0617</v>
      </c>
      <c r="H9127">
        <v>1.0576369999999999</v>
      </c>
      <c r="I9127">
        <v>-61.581699999999998</v>
      </c>
      <c r="J9127">
        <v>-203.809</v>
      </c>
      <c r="K9127">
        <v>1.123321</v>
      </c>
      <c r="L9127">
        <v>-62.135190000000001</v>
      </c>
      <c r="M9127">
        <v>0.99841570000000002</v>
      </c>
      <c r="N9127">
        <v>-6.5773489999999997E-3</v>
      </c>
      <c r="O9127">
        <v>5.5880539999999999E-2</v>
      </c>
      <c r="P9127">
        <v>0.96379090000000001</v>
      </c>
      <c r="Q9127">
        <v>-2.7215929999999999E-2</v>
      </c>
      <c r="R9127">
        <v>0.26526670000000002</v>
      </c>
      <c r="S9127">
        <v>2.64621</v>
      </c>
      <c r="T9127">
        <v>-0.19664480000000001</v>
      </c>
      <c r="U9127">
        <v>1.6893009999999999</v>
      </c>
      <c r="V9127">
        <v>-0.21084059999999999</v>
      </c>
      <c r="W9127">
        <v>-2.2291499999999999E-2</v>
      </c>
      <c r="X9127">
        <v>0.97726630000000003</v>
      </c>
      <c r="Y9127">
        <v>-0.48917430000000001</v>
      </c>
      <c r="Z9127">
        <v>1.491615E-2</v>
      </c>
      <c r="AA9127">
        <v>0.87205849999999996</v>
      </c>
      <c r="AB9127">
        <v>24</v>
      </c>
      <c r="AC9127">
        <v>0.74730000000002395</v>
      </c>
      <c r="AD9127">
        <v>-6.5683999999999798E-2</v>
      </c>
      <c r="AE9127">
        <v>0.55349000000000304</v>
      </c>
      <c r="AF9127">
        <v>-0.50832870954631204</v>
      </c>
      <c r="AG9127">
        <v>-6.5683999999999798E-2</v>
      </c>
      <c r="AH9127">
        <v>0.77320486412784795</v>
      </c>
      <c r="AI9127">
        <v>94.0602768868184</v>
      </c>
      <c r="AJ9127">
        <v>123.322152390573</v>
      </c>
      <c r="AK9127">
        <v>0.92766277639882799</v>
      </c>
      <c r="AL9127">
        <v>91.277314611258902</v>
      </c>
      <c r="AM9127">
        <v>102.17468912561399</v>
      </c>
      <c r="AN9127">
        <v>1.0000000453481399</v>
      </c>
    </row>
    <row r="9128" spans="1:40" x14ac:dyDescent="0.25">
      <c r="A9128" t="str">
        <f>"20190303154018176"</f>
        <v>20190303154018176</v>
      </c>
      <c r="B9128" t="str">
        <f>"1551598818167679"</f>
        <v>1551598818167679</v>
      </c>
      <c r="C9128" t="s">
        <v>40</v>
      </c>
      <c r="D9128">
        <v>4.0767340000000001</v>
      </c>
      <c r="E9128">
        <v>0.3809381</v>
      </c>
      <c r="F9128" t="s">
        <v>44</v>
      </c>
      <c r="G9128">
        <v>-203.04519999999999</v>
      </c>
      <c r="H9128">
        <v>1.0657620000000001</v>
      </c>
      <c r="I9128">
        <v>-61.641759999999998</v>
      </c>
      <c r="J9128">
        <v>-203.6652</v>
      </c>
      <c r="K9128">
        <v>1.123435</v>
      </c>
      <c r="L9128">
        <v>-62.124270000000003</v>
      </c>
      <c r="M9128">
        <v>0.9982548</v>
      </c>
      <c r="N9128">
        <v>-6.620735E-3</v>
      </c>
      <c r="O9128">
        <v>5.8683539999999999E-2</v>
      </c>
      <c r="P9128">
        <v>0.96261870000000005</v>
      </c>
      <c r="Q9128">
        <v>-2.802609E-2</v>
      </c>
      <c r="R9128">
        <v>0.2694066</v>
      </c>
      <c r="S9128">
        <v>2.6380919999999999</v>
      </c>
      <c r="T9128">
        <v>-0.19881280000000001</v>
      </c>
      <c r="U9128">
        <v>1.704132</v>
      </c>
      <c r="V9128">
        <v>-0.21228610000000001</v>
      </c>
      <c r="W9128">
        <v>-2.3126939999999999E-2</v>
      </c>
      <c r="X9128">
        <v>0.97693379999999996</v>
      </c>
      <c r="Y9128">
        <v>-0.49138710000000002</v>
      </c>
      <c r="Z9128">
        <v>1.499928E-2</v>
      </c>
      <c r="AA9128">
        <v>0.87081209999999898</v>
      </c>
      <c r="AB9128">
        <v>24</v>
      </c>
      <c r="AC9128">
        <v>0.62000000000000399</v>
      </c>
      <c r="AD9128">
        <v>-5.7672999999999801E-2</v>
      </c>
      <c r="AE9128">
        <v>0.482509999999997</v>
      </c>
      <c r="AF9128">
        <v>-0.44290701069649202</v>
      </c>
      <c r="AG9128">
        <v>-5.7672999999999801E-2</v>
      </c>
      <c r="AH9128">
        <v>0.64377816098651497</v>
      </c>
      <c r="AI9128">
        <v>94.2210844176725</v>
      </c>
      <c r="AJ9128">
        <v>124.52722478219</v>
      </c>
      <c r="AK9128">
        <v>0.78354522244493496</v>
      </c>
      <c r="AL9128">
        <v>91.325194274946497</v>
      </c>
      <c r="AM9128">
        <v>102.25968791926699</v>
      </c>
      <c r="AN9128">
        <v>0.99999994659470504</v>
      </c>
    </row>
    <row r="9129" spans="1:40" x14ac:dyDescent="0.25">
      <c r="A9129" t="str">
        <f>"20190303154018185"</f>
        <v>20190303154018185</v>
      </c>
      <c r="B9129" t="str">
        <f>"1551598818177439"</f>
        <v>1551598818177439</v>
      </c>
      <c r="C9129" t="s">
        <v>40</v>
      </c>
      <c r="D9129">
        <v>4.0738450000000004</v>
      </c>
      <c r="E9129">
        <v>0.38071149999999998</v>
      </c>
      <c r="F9129" t="s">
        <v>44</v>
      </c>
      <c r="G9129">
        <v>-202.8426</v>
      </c>
      <c r="H9129">
        <v>1.060694</v>
      </c>
      <c r="I9129">
        <v>-61.586750000000002</v>
      </c>
      <c r="J9129">
        <v>-203.5643</v>
      </c>
      <c r="K9129">
        <v>1.123516</v>
      </c>
      <c r="L9129">
        <v>-62.116329999999998</v>
      </c>
      <c r="M9129">
        <v>0.99813410000000002</v>
      </c>
      <c r="N9129">
        <v>-6.6540080000000003E-3</v>
      </c>
      <c r="O9129">
        <v>6.0696239999999999E-2</v>
      </c>
      <c r="P9129">
        <v>0.96156719999999896</v>
      </c>
      <c r="Q9129">
        <v>-2.9200460000000001E-2</v>
      </c>
      <c r="R9129">
        <v>0.27301219999999998</v>
      </c>
      <c r="S9129">
        <v>2.6296080000000002</v>
      </c>
      <c r="T9129">
        <v>-0.2005663</v>
      </c>
      <c r="U9129">
        <v>1.7188110000000001</v>
      </c>
      <c r="V9129">
        <v>-0.21396609999999999</v>
      </c>
      <c r="W9129">
        <v>-2.4325010000000001E-2</v>
      </c>
      <c r="X9129">
        <v>0.97653820000000002</v>
      </c>
      <c r="Y9129">
        <v>-0.4943015</v>
      </c>
      <c r="Z9129">
        <v>1.512847E-2</v>
      </c>
      <c r="AA9129">
        <v>0.86915889999999996</v>
      </c>
      <c r="AB9129">
        <v>24</v>
      </c>
      <c r="AC9129">
        <v>0.72169999999999801</v>
      </c>
      <c r="AD9129">
        <v>-6.2821999999999906E-2</v>
      </c>
      <c r="AE9129">
        <v>0.52958000000000205</v>
      </c>
      <c r="AF9129">
        <v>-0.48242208251499702</v>
      </c>
      <c r="AG9129">
        <v>-6.2821999999999906E-2</v>
      </c>
      <c r="AH9129">
        <v>0.74882543115869105</v>
      </c>
      <c r="AI9129">
        <v>94.034135504725896</v>
      </c>
      <c r="AJ9129">
        <v>122.79118839778501</v>
      </c>
      <c r="AK9129">
        <v>0.89298219228163001</v>
      </c>
      <c r="AL9129">
        <v>91.3938578539791</v>
      </c>
      <c r="AM9129">
        <v>102.358592031641</v>
      </c>
      <c r="AN9129">
        <v>1.00000002705997</v>
      </c>
    </row>
    <row r="9130" spans="1:40" x14ac:dyDescent="0.25">
      <c r="A9130" t="str">
        <f>"20190303154018195"</f>
        <v>20190303154018195</v>
      </c>
      <c r="B9130" t="str">
        <f>"1551598818187199"</f>
        <v>1551598818187199</v>
      </c>
      <c r="C9130" t="s">
        <v>40</v>
      </c>
      <c r="D9130">
        <v>4.0612959999999996</v>
      </c>
      <c r="E9130">
        <v>0.38041170000000002</v>
      </c>
      <c r="F9130" t="s">
        <v>44</v>
      </c>
      <c r="G9130">
        <v>-202.82990000000001</v>
      </c>
      <c r="H9130">
        <v>1.0666709999999999</v>
      </c>
      <c r="I9130">
        <v>-61.63194</v>
      </c>
      <c r="J9130">
        <v>-203.46010000000001</v>
      </c>
      <c r="K9130">
        <v>1.1236079999999999</v>
      </c>
      <c r="L9130">
        <v>-62.107759999999999</v>
      </c>
      <c r="M9130">
        <v>0.99800049999999996</v>
      </c>
      <c r="N9130">
        <v>-6.6948579999999997E-3</v>
      </c>
      <c r="O9130">
        <v>6.2850069999999994E-2</v>
      </c>
      <c r="P9130">
        <v>0.96051180000000003</v>
      </c>
      <c r="Q9130">
        <v>-3.034891E-2</v>
      </c>
      <c r="R9130">
        <v>0.27657929999999997</v>
      </c>
      <c r="S9130">
        <v>2.6224370000000001</v>
      </c>
      <c r="T9130">
        <v>-0.20301259999999999</v>
      </c>
      <c r="U9130">
        <v>1.73046899999999</v>
      </c>
      <c r="V9130">
        <v>-0.215471</v>
      </c>
      <c r="W9130">
        <v>-2.5494429999999998E-2</v>
      </c>
      <c r="X9130">
        <v>0.97617739999999997</v>
      </c>
      <c r="Y9130">
        <v>-0.49618449999999997</v>
      </c>
      <c r="Z9130">
        <v>1.5253360000000001E-2</v>
      </c>
      <c r="AA9130">
        <v>0.8680831</v>
      </c>
      <c r="AB9130">
        <v>24</v>
      </c>
      <c r="AC9130">
        <v>0.63020000000000198</v>
      </c>
      <c r="AD9130">
        <v>-5.6937000000000001E-2</v>
      </c>
      <c r="AE9130">
        <v>0.47581999999999802</v>
      </c>
      <c r="AF9130">
        <v>-0.43301901776304502</v>
      </c>
      <c r="AG9130">
        <v>-5.6937000000000001E-2</v>
      </c>
      <c r="AH9130">
        <v>0.65545237234926301</v>
      </c>
      <c r="AI9130">
        <v>94.145457871501705</v>
      </c>
      <c r="AJ9130">
        <v>123.450405078079</v>
      </c>
      <c r="AK9130">
        <v>0.78763259463518198</v>
      </c>
      <c r="AL9130">
        <v>91.460881498228602</v>
      </c>
      <c r="AM9130">
        <v>102.44727173232999</v>
      </c>
      <c r="AN9130">
        <v>1.0000000170363901</v>
      </c>
    </row>
    <row r="9131" spans="1:40" x14ac:dyDescent="0.25">
      <c r="A9131" t="str">
        <f>"20190303154018206"</f>
        <v>20190303154018206</v>
      </c>
      <c r="B9131" t="str">
        <f>"1551598818196958"</f>
        <v>1551598818196958</v>
      </c>
      <c r="C9131" t="s">
        <v>40</v>
      </c>
      <c r="D9131">
        <v>4.0650719999999998</v>
      </c>
      <c r="E9131">
        <v>0.380216</v>
      </c>
      <c r="F9131" t="s">
        <v>44</v>
      </c>
      <c r="G9131">
        <v>-202.6326</v>
      </c>
      <c r="H9131">
        <v>1.0584750000000001</v>
      </c>
      <c r="I9131">
        <v>-61.556399999999996</v>
      </c>
      <c r="J9131">
        <v>-203.34190000000001</v>
      </c>
      <c r="K9131">
        <v>1.123721</v>
      </c>
      <c r="L9131">
        <v>-62.097810000000003</v>
      </c>
      <c r="M9131">
        <v>0.99784030000000001</v>
      </c>
      <c r="N9131">
        <v>-6.7448040000000001E-3</v>
      </c>
      <c r="O9131">
        <v>6.5339809999999998E-2</v>
      </c>
      <c r="P9131">
        <v>0.95935510000000002</v>
      </c>
      <c r="Q9131">
        <v>-3.1508120000000001E-2</v>
      </c>
      <c r="R9131">
        <v>0.28043750000000001</v>
      </c>
      <c r="S9131">
        <v>2.6150820000000001</v>
      </c>
      <c r="T9131">
        <v>-0.2058362</v>
      </c>
      <c r="U9131">
        <v>1.742523</v>
      </c>
      <c r="V9131">
        <v>-0.21694479999999999</v>
      </c>
      <c r="W9131">
        <v>-2.6675129999999998E-2</v>
      </c>
      <c r="X9131">
        <v>0.97581929999999995</v>
      </c>
      <c r="Y9131">
        <v>-0.4978882</v>
      </c>
      <c r="Z9131">
        <v>1.5375379999999999E-2</v>
      </c>
      <c r="AA9131">
        <v>0.86710489999999996</v>
      </c>
      <c r="AB9131">
        <v>24</v>
      </c>
      <c r="AC9131">
        <v>0.70930000000001303</v>
      </c>
      <c r="AD9131">
        <v>-6.5245999999999901E-2</v>
      </c>
      <c r="AE9131">
        <v>0.54140999999999895</v>
      </c>
      <c r="AF9131">
        <v>-0.49127979126117299</v>
      </c>
      <c r="AG9131">
        <v>-6.5245999999999901E-2</v>
      </c>
      <c r="AH9131">
        <v>0.73920846916863003</v>
      </c>
      <c r="AI9131">
        <v>94.204285658302197</v>
      </c>
      <c r="AJ9131">
        <v>123.608111341784</v>
      </c>
      <c r="AK9131">
        <v>0.88996743463356698</v>
      </c>
      <c r="AL9131">
        <v>91.528553745384798</v>
      </c>
      <c r="AM9131">
        <v>102.534182765094</v>
      </c>
      <c r="AN9131">
        <v>0.99999995753002202</v>
      </c>
    </row>
    <row r="9132" spans="1:40" x14ac:dyDescent="0.25">
      <c r="A9132" t="str">
        <f>"20190303154018217"</f>
        <v>20190303154018217</v>
      </c>
      <c r="B9132" t="str">
        <f>"1551598818207695"</f>
        <v>1551598818207695</v>
      </c>
      <c r="C9132" t="s">
        <v>40</v>
      </c>
      <c r="D9132">
        <v>4.0690460000000002</v>
      </c>
      <c r="E9132">
        <v>0.38005060000000002</v>
      </c>
      <c r="F9132" t="s">
        <v>44</v>
      </c>
      <c r="G9132">
        <v>-202.6173</v>
      </c>
      <c r="H9132">
        <v>1.065593</v>
      </c>
      <c r="I9132">
        <v>-61.610309999999998</v>
      </c>
      <c r="J9132">
        <v>-203.22540000000001</v>
      </c>
      <c r="K9132">
        <v>1.1238429999999999</v>
      </c>
      <c r="L9132">
        <v>-62.087490000000003</v>
      </c>
      <c r="M9132">
        <v>0.99766860000000002</v>
      </c>
      <c r="N9132">
        <v>-6.8051479999999996E-3</v>
      </c>
      <c r="O9132">
        <v>6.7905049999999995E-2</v>
      </c>
      <c r="P9132">
        <v>0.95812770000000003</v>
      </c>
      <c r="Q9132">
        <v>-3.2492159999999999E-2</v>
      </c>
      <c r="R9132">
        <v>0.28449180000000002</v>
      </c>
      <c r="S9132">
        <v>2.607361</v>
      </c>
      <c r="T9132">
        <v>-0.20917440000000001</v>
      </c>
      <c r="U9132">
        <v>1.7544249999999999</v>
      </c>
      <c r="V9132">
        <v>-0.21854889999999999</v>
      </c>
      <c r="W9132">
        <v>-2.7678009999999999E-2</v>
      </c>
      <c r="X9132">
        <v>0.97543340000000001</v>
      </c>
      <c r="Y9132">
        <v>-0.4995386</v>
      </c>
      <c r="Z9132">
        <v>1.552543E-2</v>
      </c>
      <c r="AA9132">
        <v>0.86615249999999999</v>
      </c>
      <c r="AB9132">
        <v>24</v>
      </c>
      <c r="AC9132">
        <v>0.60810000000000697</v>
      </c>
      <c r="AD9132">
        <v>-5.8249999999999899E-2</v>
      </c>
      <c r="AE9132">
        <v>0.47718000000000399</v>
      </c>
      <c r="AF9132">
        <v>-0.43232934712798698</v>
      </c>
      <c r="AG9132">
        <v>-5.8249999999999899E-2</v>
      </c>
      <c r="AH9132">
        <v>0.63549110531543496</v>
      </c>
      <c r="AI9132">
        <v>94.333955961458202</v>
      </c>
      <c r="AJ9132">
        <v>124.227746929075</v>
      </c>
      <c r="AK9132">
        <v>0.77081169673477701</v>
      </c>
      <c r="AL9132">
        <v>91.586035695947402</v>
      </c>
      <c r="AM9132">
        <v>102.628735169978</v>
      </c>
      <c r="AN9132">
        <v>1.0000000058821601</v>
      </c>
    </row>
    <row r="9133" spans="1:40" x14ac:dyDescent="0.25">
      <c r="A9133" t="str">
        <f>"20190303154018229"</f>
        <v>20190303154018229</v>
      </c>
      <c r="B9133" t="str">
        <f>"1551598818217455"</f>
        <v>1551598818217455</v>
      </c>
      <c r="C9133" t="s">
        <v>40</v>
      </c>
      <c r="D9133">
        <v>4.0746250000000002</v>
      </c>
      <c r="E9133">
        <v>0.38003920000000002</v>
      </c>
      <c r="F9133" t="s">
        <v>44</v>
      </c>
      <c r="G9133">
        <v>-202.41829999999999</v>
      </c>
      <c r="H9133">
        <v>1.058176</v>
      </c>
      <c r="I9133">
        <v>-61.539079999999998</v>
      </c>
      <c r="J9133">
        <v>-203.09819999999999</v>
      </c>
      <c r="K9133">
        <v>1.123985</v>
      </c>
      <c r="L9133">
        <v>-62.076050000000002</v>
      </c>
      <c r="M9133">
        <v>0.99747070000000004</v>
      </c>
      <c r="N9133">
        <v>-6.8744359999999899E-3</v>
      </c>
      <c r="O9133">
        <v>7.0746340000000005E-2</v>
      </c>
      <c r="P9133">
        <v>0.95674199999999998</v>
      </c>
      <c r="Q9133">
        <v>-3.4129989999999999E-2</v>
      </c>
      <c r="R9133">
        <v>0.2889294</v>
      </c>
      <c r="S9133">
        <v>2.5993499999999998</v>
      </c>
      <c r="T9133">
        <v>-0.21150269999999999</v>
      </c>
      <c r="U9133">
        <v>1.7666930000000001</v>
      </c>
      <c r="V9133">
        <v>-0.2202721</v>
      </c>
      <c r="W9133">
        <v>-2.933639E-2</v>
      </c>
      <c r="X9133">
        <v>0.97499720000000001</v>
      </c>
      <c r="Y9133">
        <v>-0.501085</v>
      </c>
      <c r="Z9133">
        <v>1.559022E-2</v>
      </c>
      <c r="AA9133">
        <v>0.86525759999999996</v>
      </c>
      <c r="AB9133">
        <v>24</v>
      </c>
      <c r="AC9133">
        <v>0.67990000000000295</v>
      </c>
      <c r="AD9133">
        <v>-6.5809000000000006E-2</v>
      </c>
      <c r="AE9133">
        <v>0.53696999999999595</v>
      </c>
      <c r="AF9133">
        <v>-0.48472612268216497</v>
      </c>
      <c r="AG9133">
        <v>-6.5809000000000006E-2</v>
      </c>
      <c r="AH9133">
        <v>0.71207732688639402</v>
      </c>
      <c r="AI9133">
        <v>94.368770269073806</v>
      </c>
      <c r="AJ9133">
        <v>124.24394821746699</v>
      </c>
      <c r="AK9133">
        <v>0.86391223973107201</v>
      </c>
      <c r="AL9133">
        <v>91.681092555438099</v>
      </c>
      <c r="AM9133">
        <v>102.730586707028</v>
      </c>
      <c r="AN9133">
        <v>0.99999998091224096</v>
      </c>
    </row>
    <row r="9134" spans="1:40" x14ac:dyDescent="0.25">
      <c r="A9134" t="str">
        <f>"20190303154018239"</f>
        <v>20190303154018239</v>
      </c>
      <c r="B9134" t="str">
        <f>"1551598818236974"</f>
        <v>1551598818236974</v>
      </c>
      <c r="C9134" t="s">
        <v>40</v>
      </c>
      <c r="D9134">
        <v>4.1001240000000001</v>
      </c>
      <c r="E9134">
        <v>0.38007200000000002</v>
      </c>
      <c r="F9134" t="s">
        <v>44</v>
      </c>
      <c r="G9134">
        <v>-202.4014</v>
      </c>
      <c r="H9134">
        <v>1.0659320000000001</v>
      </c>
      <c r="I9134">
        <v>-61.597720000000002</v>
      </c>
      <c r="J9134">
        <v>-202.98679999999999</v>
      </c>
      <c r="K9134">
        <v>1.1241129999999999</v>
      </c>
      <c r="L9134">
        <v>-62.065339999999999</v>
      </c>
      <c r="M9134">
        <v>0.99727880000000002</v>
      </c>
      <c r="N9134">
        <v>-6.9484459999999996E-3</v>
      </c>
      <c r="O9134">
        <v>7.3393959999999994E-2</v>
      </c>
      <c r="P9134">
        <v>0.95540749999999997</v>
      </c>
      <c r="Q9134">
        <v>-3.5298959999999997E-2</v>
      </c>
      <c r="R9134">
        <v>0.29317310000000002</v>
      </c>
      <c r="S9134">
        <v>2.5907589999999998</v>
      </c>
      <c r="T9134">
        <v>-0.2158397</v>
      </c>
      <c r="U9134">
        <v>1.7788389999999901</v>
      </c>
      <c r="V9134">
        <v>-0.22199479999999999</v>
      </c>
      <c r="W9134">
        <v>-3.0520780000000001E-2</v>
      </c>
      <c r="X9134">
        <v>0.97457000000000005</v>
      </c>
      <c r="Y9134">
        <v>-0.50283770000000005</v>
      </c>
      <c r="Z9134">
        <v>1.58026E-2</v>
      </c>
      <c r="AA9134">
        <v>0.86423639999999902</v>
      </c>
      <c r="AB9134">
        <v>24</v>
      </c>
      <c r="AC9134">
        <v>0.58539999999999204</v>
      </c>
      <c r="AD9134">
        <v>-5.8180999999999997E-2</v>
      </c>
      <c r="AE9134">
        <v>0.46762000000000298</v>
      </c>
      <c r="AF9134">
        <v>-0.420855147769574</v>
      </c>
      <c r="AG9134">
        <v>-5.8180999999999997E-2</v>
      </c>
      <c r="AH9134">
        <v>0.61443735101394703</v>
      </c>
      <c r="AI9134">
        <v>94.466961724868995</v>
      </c>
      <c r="AJ9134">
        <v>124.40895762689701</v>
      </c>
      <c r="AK9134">
        <v>0.74701897063340195</v>
      </c>
      <c r="AL9134">
        <v>91.748983580688204</v>
      </c>
      <c r="AM9134">
        <v>102.83230503831901</v>
      </c>
      <c r="AN9134">
        <v>0.99999994706942197</v>
      </c>
    </row>
    <row r="9135" spans="1:40" x14ac:dyDescent="0.25">
      <c r="A9135" t="str">
        <f>"20190303154018251"</f>
        <v>20190303154018251</v>
      </c>
      <c r="B9135" t="str">
        <f>"1551598818247241"</f>
        <v>1551598818247241</v>
      </c>
      <c r="C9135" t="s">
        <v>40</v>
      </c>
      <c r="D9135">
        <v>4.1105929999999997</v>
      </c>
      <c r="E9135">
        <v>0.38013649999999999</v>
      </c>
      <c r="F9135" t="s">
        <v>44</v>
      </c>
      <c r="G9135">
        <v>-202.20330000000001</v>
      </c>
      <c r="H9135">
        <v>1.057658</v>
      </c>
      <c r="I9135">
        <v>-61.522219999999997</v>
      </c>
      <c r="J9135">
        <v>-202.86150000000001</v>
      </c>
      <c r="K9135">
        <v>1.124269</v>
      </c>
      <c r="L9135">
        <v>-62.053069999999998</v>
      </c>
      <c r="M9135">
        <v>0.99705180000000004</v>
      </c>
      <c r="N9135">
        <v>-7.033213E-3</v>
      </c>
      <c r="O9135">
        <v>7.640769E-2</v>
      </c>
      <c r="P9135">
        <v>0.95403950000000004</v>
      </c>
      <c r="Q9135">
        <v>-3.6535379999999999E-2</v>
      </c>
      <c r="R9135">
        <v>0.29744540000000003</v>
      </c>
      <c r="S9135">
        <v>2.582687</v>
      </c>
      <c r="T9135">
        <v>-0.21904409999999999</v>
      </c>
      <c r="U9135">
        <v>1.7899480000000001</v>
      </c>
      <c r="V9135">
        <v>-0.22339110000000001</v>
      </c>
      <c r="W9135">
        <v>-3.1770119999999999E-2</v>
      </c>
      <c r="X9135">
        <v>0.97421100000000005</v>
      </c>
      <c r="Y9135">
        <v>-0.50396879999999999</v>
      </c>
      <c r="Z9135">
        <v>1.5892389999999999E-2</v>
      </c>
      <c r="AA9135">
        <v>0.863575599999999</v>
      </c>
      <c r="AB9135">
        <v>24</v>
      </c>
      <c r="AC9135">
        <v>0.65819999999999301</v>
      </c>
      <c r="AD9135">
        <v>-6.6610999999999906E-2</v>
      </c>
      <c r="AE9135">
        <v>0.53085000000000004</v>
      </c>
      <c r="AF9135">
        <v>-0.47605120161804898</v>
      </c>
      <c r="AG9135">
        <v>-6.6610999999999906E-2</v>
      </c>
      <c r="AH9135">
        <v>0.69254031463934396</v>
      </c>
      <c r="AI9135">
        <v>94.531963112805101</v>
      </c>
      <c r="AJ9135">
        <v>124.504575380465</v>
      </c>
      <c r="AK9135">
        <v>0.84301474440471702</v>
      </c>
      <c r="AL9135">
        <v>91.820600148931902</v>
      </c>
      <c r="AM9135">
        <v>102.91491913831899</v>
      </c>
      <c r="AN9135">
        <v>0.99999999830251196</v>
      </c>
    </row>
    <row r="9136" spans="1:40" x14ac:dyDescent="0.25">
      <c r="A9136" t="str">
        <f>"20190303154018261"</f>
        <v>20190303154018261</v>
      </c>
      <c r="B9136" t="str">
        <f>"1551598818257001"</f>
        <v>1551598818257001</v>
      </c>
      <c r="C9136" t="s">
        <v>40</v>
      </c>
      <c r="D9136">
        <v>4.1087249999999997</v>
      </c>
      <c r="E9136">
        <v>0.38011460000000002</v>
      </c>
      <c r="F9136" t="s">
        <v>44</v>
      </c>
      <c r="G9136">
        <v>-202.0034</v>
      </c>
      <c r="H9136">
        <v>1.0500590000000001</v>
      </c>
      <c r="I9136">
        <v>-61.453069999999997</v>
      </c>
      <c r="J9136">
        <v>-202.7397</v>
      </c>
      <c r="K9136">
        <v>1.1244350000000001</v>
      </c>
      <c r="L9136">
        <v>-62.040500000000002</v>
      </c>
      <c r="M9136">
        <v>0.99680939999999996</v>
      </c>
      <c r="N9136">
        <v>-7.12622E-3</v>
      </c>
      <c r="O9136">
        <v>7.9501370000000002E-2</v>
      </c>
      <c r="P9136">
        <v>0.95271240000000001</v>
      </c>
      <c r="Q9136">
        <v>-3.7789839999999998E-2</v>
      </c>
      <c r="R9136">
        <v>0.30151499999999998</v>
      </c>
      <c r="S9136">
        <v>2.5745089999999999</v>
      </c>
      <c r="T9136">
        <v>-0.22267989999999999</v>
      </c>
      <c r="U9136">
        <v>1.800964</v>
      </c>
      <c r="V9136">
        <v>-0.22450690000000001</v>
      </c>
      <c r="W9136">
        <v>-3.3032300000000001E-2</v>
      </c>
      <c r="X9136">
        <v>0.97391249999999996</v>
      </c>
      <c r="Y9136">
        <v>-0.50502170000000002</v>
      </c>
      <c r="Z9136">
        <v>1.5998149999999999E-2</v>
      </c>
      <c r="AA9136">
        <v>0.86295840000000001</v>
      </c>
      <c r="AB9136">
        <v>24</v>
      </c>
      <c r="AC9136">
        <v>0.73629999999999995</v>
      </c>
      <c r="AD9136">
        <v>-7.4375999999999998E-2</v>
      </c>
      <c r="AE9136">
        <v>0.587430000000004</v>
      </c>
      <c r="AF9136">
        <v>-0.52376650997993901</v>
      </c>
      <c r="AG9136">
        <v>-7.4375999999999998E-2</v>
      </c>
      <c r="AH9136">
        <v>0.77583463328072499</v>
      </c>
      <c r="AI9136">
        <v>94.542865090496704</v>
      </c>
      <c r="AJ9136">
        <v>124.023313824101</v>
      </c>
      <c r="AK9136">
        <v>0.93903276010499404</v>
      </c>
      <c r="AL9136">
        <v>91.892955691863406</v>
      </c>
      <c r="AM9136">
        <v>102.98109118306699</v>
      </c>
      <c r="AN9136">
        <v>1.0000000193235701</v>
      </c>
    </row>
    <row r="9137" spans="1:40" x14ac:dyDescent="0.25">
      <c r="A9137" t="str">
        <f>"20190303154018274"</f>
        <v>20190303154018274</v>
      </c>
      <c r="B9137" t="str">
        <f>"1551598818266761"</f>
        <v>1551598818266761</v>
      </c>
      <c r="C9137" t="s">
        <v>40</v>
      </c>
      <c r="D9137">
        <v>4.1331959999999999</v>
      </c>
      <c r="E9137">
        <v>0.3801158</v>
      </c>
      <c r="F9137" t="s">
        <v>44</v>
      </c>
      <c r="G9137">
        <v>-201.98660000000001</v>
      </c>
      <c r="H9137">
        <v>1.058357</v>
      </c>
      <c r="I9137">
        <v>-61.508969999999998</v>
      </c>
      <c r="J9137">
        <v>-202.61869999999999</v>
      </c>
      <c r="K9137">
        <v>1.1246020000000001</v>
      </c>
      <c r="L9137">
        <v>-62.027619999999999</v>
      </c>
      <c r="M9137">
        <v>0.99655229999999995</v>
      </c>
      <c r="N9137">
        <v>-7.221603E-3</v>
      </c>
      <c r="O9137">
        <v>8.2650689999999999E-2</v>
      </c>
      <c r="P9137">
        <v>0.95132439999999996</v>
      </c>
      <c r="Q9137">
        <v>-3.8730849999999997E-2</v>
      </c>
      <c r="R9137">
        <v>0.30574780000000001</v>
      </c>
      <c r="S9137">
        <v>2.566452</v>
      </c>
      <c r="T9137">
        <v>-0.2252092</v>
      </c>
      <c r="U9137">
        <v>1.812195</v>
      </c>
      <c r="V9137">
        <v>-0.22574089999999999</v>
      </c>
      <c r="W9137">
        <v>-3.3981190000000001E-2</v>
      </c>
      <c r="X9137">
        <v>0.97359450000000003</v>
      </c>
      <c r="Y9137">
        <v>-0.50606579999999901</v>
      </c>
      <c r="Z9137">
        <v>1.6028029999999999E-2</v>
      </c>
      <c r="AA9137">
        <v>0.8623459</v>
      </c>
      <c r="AB9137">
        <v>24</v>
      </c>
      <c r="AC9137">
        <v>0.63209999999997901</v>
      </c>
      <c r="AD9137">
        <v>-6.6245000000000095E-2</v>
      </c>
      <c r="AE9137">
        <v>0.51865000000000006</v>
      </c>
      <c r="AF9137">
        <v>-0.46160053728324202</v>
      </c>
      <c r="AG9137">
        <v>-6.6245000000000095E-2</v>
      </c>
      <c r="AH9137">
        <v>0.66841756679530095</v>
      </c>
      <c r="AI9137">
        <v>94.662198822191897</v>
      </c>
      <c r="AJ9137">
        <v>124.628457283117</v>
      </c>
      <c r="AK9137">
        <v>0.81501257637273805</v>
      </c>
      <c r="AL9137">
        <v>91.947353740072003</v>
      </c>
      <c r="AM9137">
        <v>103.054122269076</v>
      </c>
      <c r="AN9137">
        <v>0.99999996281843695</v>
      </c>
    </row>
    <row r="9138" spans="1:40" x14ac:dyDescent="0.25">
      <c r="A9138" t="str">
        <f>"20190303154018285"</f>
        <v>20190303154018285</v>
      </c>
      <c r="B9138" t="str">
        <f>"1551598818277498"</f>
        <v>1551598818277498</v>
      </c>
      <c r="C9138" t="s">
        <v>40</v>
      </c>
      <c r="D9138">
        <v>4.0697239999999999</v>
      </c>
      <c r="E9138">
        <v>0.38001439999999997</v>
      </c>
      <c r="F9138" t="s">
        <v>44</v>
      </c>
      <c r="G9138">
        <v>-201.78790000000001</v>
      </c>
      <c r="H9138">
        <v>1.050991</v>
      </c>
      <c r="I9138">
        <v>-61.435339999999997</v>
      </c>
      <c r="J9138">
        <v>-202.49279999999999</v>
      </c>
      <c r="K9138">
        <v>1.124781</v>
      </c>
      <c r="L9138">
        <v>-62.013669999999998</v>
      </c>
      <c r="M9138">
        <v>0.99626400000000004</v>
      </c>
      <c r="N9138">
        <v>-7.3262269999999899E-3</v>
      </c>
      <c r="O9138">
        <v>8.6049490000000006E-2</v>
      </c>
      <c r="P9138">
        <v>0.9499476</v>
      </c>
      <c r="Q9138">
        <v>-3.9875920000000002E-2</v>
      </c>
      <c r="R9138">
        <v>0.30985420000000002</v>
      </c>
      <c r="S9138">
        <v>2.558182</v>
      </c>
      <c r="T9138">
        <v>-0.22665379999999999</v>
      </c>
      <c r="U9138">
        <v>1.8235779999999999</v>
      </c>
      <c r="V9138">
        <v>-0.22660369999999999</v>
      </c>
      <c r="W9138">
        <v>-3.5126539999999998E-2</v>
      </c>
      <c r="X9138">
        <v>0.97335340000000004</v>
      </c>
      <c r="Y9138">
        <v>-0.5069728</v>
      </c>
      <c r="Z9138">
        <v>1.5970410000000001E-2</v>
      </c>
      <c r="AA9138">
        <v>0.86181409999999903</v>
      </c>
      <c r="AB9138">
        <v>24</v>
      </c>
      <c r="AC9138">
        <v>0.70489999999997999</v>
      </c>
      <c r="AD9138">
        <v>-7.3789999999999994E-2</v>
      </c>
      <c r="AE9138">
        <v>0.57832999999999402</v>
      </c>
      <c r="AF9138">
        <v>-0.51217237371101798</v>
      </c>
      <c r="AG9138">
        <v>-7.3789999999999994E-2</v>
      </c>
      <c r="AH9138">
        <v>0.74715807549422597</v>
      </c>
      <c r="AI9138">
        <v>94.656993174383999</v>
      </c>
      <c r="AJ9138">
        <v>124.430403390344</v>
      </c>
      <c r="AK9138">
        <v>0.90885130481779897</v>
      </c>
      <c r="AL9138">
        <v>92.013016652165007</v>
      </c>
      <c r="AM9138">
        <v>103.105431393058</v>
      </c>
      <c r="AN9138">
        <v>0.99999997597880996</v>
      </c>
    </row>
    <row r="9139" spans="1:40" x14ac:dyDescent="0.25">
      <c r="A9139" t="str">
        <f>"20190303154018297"</f>
        <v>20190303154018297</v>
      </c>
      <c r="B9139" t="str">
        <f>"1551598818287258"</f>
        <v>1551598818287258</v>
      </c>
      <c r="C9139" t="s">
        <v>40</v>
      </c>
      <c r="D9139">
        <v>4.1541959999999998</v>
      </c>
      <c r="E9139">
        <v>0.38006309999999999</v>
      </c>
      <c r="F9139" t="s">
        <v>44</v>
      </c>
      <c r="G9139">
        <v>-201.77</v>
      </c>
      <c r="H9139">
        <v>1.0597110000000001</v>
      </c>
      <c r="I9139">
        <v>-61.493389999999998</v>
      </c>
      <c r="J9139">
        <v>-202.3681</v>
      </c>
      <c r="K9139">
        <v>1.124959</v>
      </c>
      <c r="L9139">
        <v>-61.999209999999998</v>
      </c>
      <c r="M9139">
        <v>0.99595460000000002</v>
      </c>
      <c r="N9139">
        <v>-7.4347290000000002E-3</v>
      </c>
      <c r="O9139">
        <v>8.9550119999999997E-2</v>
      </c>
      <c r="P9139">
        <v>0.94844209999999995</v>
      </c>
      <c r="Q9139">
        <v>-4.0841769999999999E-2</v>
      </c>
      <c r="R9139">
        <v>0.31430819999999998</v>
      </c>
      <c r="S9139">
        <v>2.549744</v>
      </c>
      <c r="T9139">
        <v>-0.2295671</v>
      </c>
      <c r="U9139">
        <v>1.8354490000000001</v>
      </c>
      <c r="V9139">
        <v>-0.22772999999999999</v>
      </c>
      <c r="W9139">
        <v>-3.6092859999999997E-2</v>
      </c>
      <c r="X9139">
        <v>0.97305520000000001</v>
      </c>
      <c r="Y9139">
        <v>-0.50791120000000001</v>
      </c>
      <c r="Z9139">
        <v>1.5990870000000001E-2</v>
      </c>
      <c r="AA9139">
        <v>0.86126100000000005</v>
      </c>
      <c r="AB9139">
        <v>24</v>
      </c>
      <c r="AC9139">
        <v>0.59809999999998797</v>
      </c>
      <c r="AD9139">
        <v>-6.5247999999999903E-2</v>
      </c>
      <c r="AE9139">
        <v>0.50581999999999205</v>
      </c>
      <c r="AF9139">
        <v>-0.44712389297267602</v>
      </c>
      <c r="AG9139">
        <v>-6.5247999999999903E-2</v>
      </c>
      <c r="AH9139">
        <v>0.63657749621167303</v>
      </c>
      <c r="AI9139">
        <v>94.794493421874193</v>
      </c>
      <c r="AJ9139">
        <v>125.083714055966</v>
      </c>
      <c r="AK9139">
        <v>0.780645877369607</v>
      </c>
      <c r="AL9139">
        <v>92.068417728415398</v>
      </c>
      <c r="AM9139">
        <v>103.172200421849</v>
      </c>
      <c r="AN9139">
        <v>1.000000034845</v>
      </c>
    </row>
    <row r="9140" spans="1:40" x14ac:dyDescent="0.25">
      <c r="A9140" t="str">
        <f>"20190303154018308"</f>
        <v>20190303154018308</v>
      </c>
      <c r="B9140" t="str">
        <f>"1551598818297017"</f>
        <v>1551598818297017</v>
      </c>
      <c r="C9140" t="s">
        <v>40</v>
      </c>
      <c r="D9140">
        <v>4.1536809999999997</v>
      </c>
      <c r="E9140">
        <v>0.3801928</v>
      </c>
      <c r="F9140" t="s">
        <v>44</v>
      </c>
      <c r="G9140">
        <v>-201.571</v>
      </c>
      <c r="H9140">
        <v>1.052233</v>
      </c>
      <c r="I9140">
        <v>-61.419800000000002</v>
      </c>
      <c r="J9140">
        <v>-202.23609999999999</v>
      </c>
      <c r="K9140">
        <v>1.1251420000000001</v>
      </c>
      <c r="L9140">
        <v>-61.983580000000003</v>
      </c>
      <c r="M9140">
        <v>0.9956064</v>
      </c>
      <c r="N9140">
        <v>-7.5515779999999998E-3</v>
      </c>
      <c r="O9140">
        <v>9.3333180000000002E-2</v>
      </c>
      <c r="P9140">
        <v>0.94689000000000001</v>
      </c>
      <c r="Q9140">
        <v>-4.1513309999999998E-2</v>
      </c>
      <c r="R9140">
        <v>0.3188667</v>
      </c>
      <c r="S9140">
        <v>2.5409389999999998</v>
      </c>
      <c r="T9140">
        <v>-0.23183870000000001</v>
      </c>
      <c r="U9140">
        <v>1.8471679999999999</v>
      </c>
      <c r="V9140">
        <v>-0.22869410000000001</v>
      </c>
      <c r="W9140">
        <v>-3.6761500000000003E-2</v>
      </c>
      <c r="X9140">
        <v>0.972804</v>
      </c>
      <c r="Y9140">
        <v>-0.50863630000000004</v>
      </c>
      <c r="Z9140">
        <v>1.594421E-2</v>
      </c>
      <c r="AA9140">
        <v>0.86083390000000004</v>
      </c>
      <c r="AB9140">
        <v>25</v>
      </c>
      <c r="AC9140">
        <v>0.66509999999999503</v>
      </c>
      <c r="AD9140">
        <v>-7.2909000000000099E-2</v>
      </c>
      <c r="AE9140">
        <v>0.56378000000000095</v>
      </c>
      <c r="AF9140">
        <v>-0.49577456799185399</v>
      </c>
      <c r="AG9140">
        <v>-7.2909000000000099E-2</v>
      </c>
      <c r="AH9140">
        <v>0.70985386604317002</v>
      </c>
      <c r="AI9140">
        <v>94.813279178145095</v>
      </c>
      <c r="AJ9140">
        <v>124.931133363174</v>
      </c>
      <c r="AK9140">
        <v>0.86890773715334402</v>
      </c>
      <c r="AL9140">
        <v>92.106753471426799</v>
      </c>
      <c r="AM9140">
        <v>103.22930431898899</v>
      </c>
      <c r="AN9140">
        <v>1.0000000108365299</v>
      </c>
    </row>
    <row r="9141" spans="1:40" x14ac:dyDescent="0.25">
      <c r="A9141" t="str">
        <f>"20190303154018321"</f>
        <v>20190303154018321</v>
      </c>
      <c r="B9141" t="str">
        <f>"1551598818317514"</f>
        <v>1551598818317514</v>
      </c>
      <c r="C9141" t="s">
        <v>40</v>
      </c>
      <c r="D9141">
        <v>4.1107339999999999</v>
      </c>
      <c r="E9141">
        <v>0.38046180000000002</v>
      </c>
      <c r="F9141" t="s">
        <v>44</v>
      </c>
      <c r="G9141">
        <v>-201.55170000000001</v>
      </c>
      <c r="H9141">
        <v>1.061971</v>
      </c>
      <c r="I9141">
        <v>-61.481369999999998</v>
      </c>
      <c r="J9141">
        <v>-202.10980000000001</v>
      </c>
      <c r="K9141">
        <v>1.125327</v>
      </c>
      <c r="L9141">
        <v>-61.967559999999999</v>
      </c>
      <c r="M9141">
        <v>0.99523729999999999</v>
      </c>
      <c r="N9141">
        <v>-7.672173E-3</v>
      </c>
      <c r="O9141">
        <v>9.7180240000000001E-2</v>
      </c>
      <c r="P9141">
        <v>0.94531799999999999</v>
      </c>
      <c r="Q9141">
        <v>-4.1842520000000001E-2</v>
      </c>
      <c r="R9141">
        <v>0.32345459999999998</v>
      </c>
      <c r="S9141">
        <v>2.532181</v>
      </c>
      <c r="T9141">
        <v>-0.23373759999999999</v>
      </c>
      <c r="U9141">
        <v>1.858398</v>
      </c>
      <c r="V9141">
        <v>-0.22963430000000001</v>
      </c>
      <c r="W9141">
        <v>-3.7083339999999999E-2</v>
      </c>
      <c r="X9141">
        <v>0.9725703</v>
      </c>
      <c r="Y9141">
        <v>-0.50919429999999999</v>
      </c>
      <c r="Z9141">
        <v>1.586168E-2</v>
      </c>
      <c r="AA9141">
        <v>0.86050550000000003</v>
      </c>
      <c r="AB9141">
        <v>25</v>
      </c>
      <c r="AC9141">
        <v>0.55809999999999504</v>
      </c>
      <c r="AD9141">
        <v>-6.3355999999999899E-2</v>
      </c>
      <c r="AE9141">
        <v>0.48619000000000001</v>
      </c>
      <c r="AF9141">
        <v>-0.42652571625042701</v>
      </c>
      <c r="AG9141">
        <v>-6.3355999999999899E-2</v>
      </c>
      <c r="AH9141">
        <v>0.59832394884585904</v>
      </c>
      <c r="AI9141">
        <v>94.9280441902864</v>
      </c>
      <c r="AJ9141">
        <v>125.483837106168</v>
      </c>
      <c r="AK9141">
        <v>0.73751590974123604</v>
      </c>
      <c r="AL9141">
        <v>92.125206071275301</v>
      </c>
      <c r="AM9141">
        <v>103.284846722083</v>
      </c>
      <c r="AN9141">
        <v>1.0000000371420601</v>
      </c>
    </row>
    <row r="9142" spans="1:40" x14ac:dyDescent="0.25">
      <c r="A9142" t="str">
        <f>"20190303154018330"</f>
        <v>20190303154018330</v>
      </c>
      <c r="B9142" t="str">
        <f>"1551598818327274"</f>
        <v>1551598818327274</v>
      </c>
      <c r="C9142" t="s">
        <v>40</v>
      </c>
      <c r="D9142">
        <v>4.1172490000000002</v>
      </c>
      <c r="E9142">
        <v>0.38059609999999999</v>
      </c>
      <c r="F9142" t="s">
        <v>44</v>
      </c>
      <c r="G9142">
        <v>-201.3527</v>
      </c>
      <c r="H9142">
        <v>1.054289</v>
      </c>
      <c r="I9142">
        <v>-61.407089999999997</v>
      </c>
      <c r="J9142">
        <v>-202.01070000000001</v>
      </c>
      <c r="K9142">
        <v>1.1254690000000001</v>
      </c>
      <c r="L9142">
        <v>-61.954929999999997</v>
      </c>
      <c r="M9142">
        <v>0.99493549999999997</v>
      </c>
      <c r="N9142">
        <v>-7.7662879999999997E-3</v>
      </c>
      <c r="O9142">
        <v>0.100216</v>
      </c>
      <c r="P9142">
        <v>0.94392350000000003</v>
      </c>
      <c r="Q9142">
        <v>-4.1939450000000003E-2</v>
      </c>
      <c r="R9142">
        <v>0.3274899</v>
      </c>
      <c r="S9142">
        <v>2.5237579999999999</v>
      </c>
      <c r="T9142">
        <v>-0.23681720000000001</v>
      </c>
      <c r="U9142">
        <v>1.868439</v>
      </c>
      <c r="V9142">
        <v>-0.2308093</v>
      </c>
      <c r="W9142">
        <v>-3.7181980000000003E-2</v>
      </c>
      <c r="X9142">
        <v>0.97228829999999999</v>
      </c>
      <c r="Y9142">
        <v>-0.51012120000000005</v>
      </c>
      <c r="Z9142">
        <v>1.590714E-2</v>
      </c>
      <c r="AA9142">
        <v>0.85995549999999998</v>
      </c>
      <c r="AB9142">
        <v>25</v>
      </c>
      <c r="AC9142">
        <v>0.65800000000001502</v>
      </c>
      <c r="AD9142">
        <v>-7.1179999999999993E-2</v>
      </c>
      <c r="AE9142">
        <v>0.54783999999999999</v>
      </c>
      <c r="AF9142">
        <v>-0.47584902037603199</v>
      </c>
      <c r="AG9142">
        <v>-7.1179999999999993E-2</v>
      </c>
      <c r="AH9142">
        <v>0.70472071095363698</v>
      </c>
      <c r="AI9142">
        <v>94.784990258027605</v>
      </c>
      <c r="AJ9142">
        <v>124.02842759281199</v>
      </c>
      <c r="AK9142">
        <v>0.85330543361672595</v>
      </c>
      <c r="AL9142">
        <v>92.130861737319194</v>
      </c>
      <c r="AM9142">
        <v>103.35412846492</v>
      </c>
      <c r="AN9142">
        <v>0.99999998546004998</v>
      </c>
    </row>
    <row r="9143" spans="1:40" x14ac:dyDescent="0.25">
      <c r="A9143" t="str">
        <f>"20190303154018339"</f>
        <v>20190303154018339</v>
      </c>
      <c r="B9143" t="str">
        <f>"1551598818327274"</f>
        <v>1551598818327274</v>
      </c>
      <c r="C9143" t="s">
        <v>40</v>
      </c>
      <c r="D9143">
        <v>4.1172490000000002</v>
      </c>
      <c r="E9143">
        <v>0.38059609999999999</v>
      </c>
      <c r="F9143" t="s">
        <v>44</v>
      </c>
      <c r="G9143">
        <v>-201.15860000000001</v>
      </c>
      <c r="H9143">
        <v>1.044575</v>
      </c>
      <c r="I9143">
        <v>-61.318950000000001</v>
      </c>
      <c r="J9143">
        <v>-201.905</v>
      </c>
      <c r="K9143">
        <v>1.1256330000000001</v>
      </c>
      <c r="L9143">
        <v>-61.94061</v>
      </c>
      <c r="M9143">
        <v>0.99458349999999995</v>
      </c>
      <c r="N9143">
        <v>-7.8719419999999998E-3</v>
      </c>
      <c r="O9143">
        <v>0.103642899999999</v>
      </c>
      <c r="P9143">
        <v>0.94233650000000002</v>
      </c>
      <c r="Q9143">
        <v>-4.2481629999999999E-2</v>
      </c>
      <c r="R9143">
        <v>0.33195980000000003</v>
      </c>
      <c r="S9143">
        <v>2.5160369999999999</v>
      </c>
      <c r="T9143">
        <v>-0.2388651</v>
      </c>
      <c r="U9143">
        <v>1.878082</v>
      </c>
      <c r="V9143">
        <v>-0.23205020000000001</v>
      </c>
      <c r="W9143">
        <v>-3.7725210000000002E-2</v>
      </c>
      <c r="X9143">
        <v>0.97197199999999995</v>
      </c>
      <c r="Y9143">
        <v>-0.51052209999999998</v>
      </c>
      <c r="Z9143">
        <v>1.584006E-2</v>
      </c>
      <c r="AA9143">
        <v>0.85971869999999995</v>
      </c>
      <c r="AB9143">
        <v>25</v>
      </c>
      <c r="AC9143">
        <v>0.74639999999999396</v>
      </c>
      <c r="AD9143">
        <v>-8.1057999999999797E-2</v>
      </c>
      <c r="AE9143">
        <v>0.62165999999999799</v>
      </c>
      <c r="AF9143">
        <v>-0.53720967890613902</v>
      </c>
      <c r="AG9143">
        <v>-8.1057999999999797E-2</v>
      </c>
      <c r="AH9143">
        <v>0.80123346760882197</v>
      </c>
      <c r="AI9143">
        <v>94.803138809088594</v>
      </c>
      <c r="AJ9143">
        <v>123.840996352292</v>
      </c>
      <c r="AK9143">
        <v>0.96805976473092503</v>
      </c>
      <c r="AL9143">
        <v>92.162008286388698</v>
      </c>
      <c r="AM9143">
        <v>103.42754242693</v>
      </c>
      <c r="AN9143">
        <v>1.00000002778679</v>
      </c>
    </row>
    <row r="9144" spans="1:40" x14ac:dyDescent="0.25">
      <c r="A9144" t="str">
        <f>"20190303154018352"</f>
        <v>20190303154018352</v>
      </c>
      <c r="B9144" t="str">
        <f>"1551598818347304"</f>
        <v>1551598818347304</v>
      </c>
      <c r="C9144" t="s">
        <v>40</v>
      </c>
      <c r="D9144">
        <v>4.1106669999999896</v>
      </c>
      <c r="E9144">
        <v>0.38084889999999999</v>
      </c>
      <c r="F9144" t="s">
        <v>44</v>
      </c>
      <c r="G9144">
        <v>-201.143</v>
      </c>
      <c r="H9144">
        <v>1.0521940000000001</v>
      </c>
      <c r="I9144">
        <v>-61.366280000000003</v>
      </c>
      <c r="J9144">
        <v>-201.77449999999999</v>
      </c>
      <c r="K9144">
        <v>1.125831</v>
      </c>
      <c r="L9144">
        <v>-61.922669999999997</v>
      </c>
      <c r="M9144">
        <v>0.99412659999999997</v>
      </c>
      <c r="N9144">
        <v>-8.0015739999999991E-3</v>
      </c>
      <c r="O9144">
        <v>0.1079276</v>
      </c>
      <c r="P9144">
        <v>0.94063620000000003</v>
      </c>
      <c r="Q9144">
        <v>-4.3052319999999998E-2</v>
      </c>
      <c r="R9144">
        <v>0.3366749</v>
      </c>
      <c r="S9144">
        <v>2.5070039999999998</v>
      </c>
      <c r="T9144">
        <v>-0.2416143</v>
      </c>
      <c r="U9144">
        <v>1.88974</v>
      </c>
      <c r="V9144">
        <v>-0.23270879999999999</v>
      </c>
      <c r="W9144">
        <v>-3.8286460000000001E-2</v>
      </c>
      <c r="X9144">
        <v>0.97179249999999995</v>
      </c>
      <c r="Y9144">
        <v>-0.51083239999999996</v>
      </c>
      <c r="Z9144">
        <v>1.5748359999999999E-2</v>
      </c>
      <c r="AA9144">
        <v>0.85953609999999903</v>
      </c>
      <c r="AB9144">
        <v>25</v>
      </c>
      <c r="AC9144">
        <v>0.63149999999998796</v>
      </c>
      <c r="AD9144">
        <v>-7.3636999999999897E-2</v>
      </c>
      <c r="AE9144">
        <v>0.55638999999999295</v>
      </c>
      <c r="AF9144">
        <v>-0.48129706539151801</v>
      </c>
      <c r="AG9144">
        <v>-7.3636999999999897E-2</v>
      </c>
      <c r="AH9144">
        <v>0.68263728708749405</v>
      </c>
      <c r="AI9144">
        <v>95.038270204027896</v>
      </c>
      <c r="AJ9144">
        <v>125.18595464661099</v>
      </c>
      <c r="AK9144">
        <v>0.838488484503908</v>
      </c>
      <c r="AL9144">
        <v>92.194188960955998</v>
      </c>
      <c r="AM9144">
        <v>103.466662846652</v>
      </c>
      <c r="AN9144">
        <v>0.99999995083650906</v>
      </c>
    </row>
    <row r="9145" spans="1:40" x14ac:dyDescent="0.25">
      <c r="A9145" t="str">
        <f>"20190303154018362"</f>
        <v>20190303154018362</v>
      </c>
      <c r="B9145" t="str">
        <f>"1551598818357060"</f>
        <v>1551598818357060</v>
      </c>
      <c r="C9145" t="s">
        <v>40</v>
      </c>
      <c r="D9145">
        <v>4.1753080000000002</v>
      </c>
      <c r="E9145">
        <v>0.38091999999999998</v>
      </c>
      <c r="F9145" t="s">
        <v>44</v>
      </c>
      <c r="G9145">
        <v>-200.94450000000001</v>
      </c>
      <c r="H9145">
        <v>1.0446200000000001</v>
      </c>
      <c r="I9145">
        <v>-61.291339999999998</v>
      </c>
      <c r="J9145">
        <v>-201.6568</v>
      </c>
      <c r="K9145">
        <v>1.12601</v>
      </c>
      <c r="L9145">
        <v>-61.905610000000003</v>
      </c>
      <c r="M9145">
        <v>0.99367899999999998</v>
      </c>
      <c r="N9145">
        <v>-8.1196389999999997E-3</v>
      </c>
      <c r="O9145">
        <v>0.1119643</v>
      </c>
      <c r="P9145">
        <v>0.93895879999999998</v>
      </c>
      <c r="Q9145">
        <v>-4.4296809999999999E-2</v>
      </c>
      <c r="R9145">
        <v>0.34116580000000002</v>
      </c>
      <c r="S9145">
        <v>2.4980009999999999</v>
      </c>
      <c r="T9145">
        <v>-0.24441750000000001</v>
      </c>
      <c r="U9145">
        <v>1.9002079999999999</v>
      </c>
      <c r="V9145">
        <v>-0.23338110000000001</v>
      </c>
      <c r="W9145">
        <v>-3.9523139999999998E-2</v>
      </c>
      <c r="X9145">
        <v>0.97158180000000005</v>
      </c>
      <c r="Y9145">
        <v>-0.5110905</v>
      </c>
      <c r="Z9145">
        <v>1.5665889999999998E-2</v>
      </c>
      <c r="AA9145">
        <v>0.85938419999999904</v>
      </c>
      <c r="AB9145">
        <v>25</v>
      </c>
      <c r="AC9145">
        <v>0.71229999999999805</v>
      </c>
      <c r="AD9145">
        <v>-8.1389999999999796E-2</v>
      </c>
      <c r="AE9145">
        <v>0.61426999999998999</v>
      </c>
      <c r="AF9145">
        <v>-0.52670873072680402</v>
      </c>
      <c r="AG9145">
        <v>-8.1389999999999796E-2</v>
      </c>
      <c r="AH9145">
        <v>0.77082780326357403</v>
      </c>
      <c r="AI9145">
        <v>94.982405073987593</v>
      </c>
      <c r="AJ9145">
        <v>124.344901492931</v>
      </c>
      <c r="AK9145">
        <v>0.93713495367955901</v>
      </c>
      <c r="AL9145">
        <v>92.2650990748553</v>
      </c>
      <c r="AM9145">
        <v>103.506966583273</v>
      </c>
      <c r="AN9145">
        <v>1.00000000526195</v>
      </c>
    </row>
    <row r="9146" spans="1:40" x14ac:dyDescent="0.25">
      <c r="A9146" t="str">
        <f>"20190303154018374"</f>
        <v>20190303154018374</v>
      </c>
      <c r="B9146" t="str">
        <f>"1551598818366821"</f>
        <v>1551598818366821</v>
      </c>
      <c r="C9146" t="s">
        <v>40</v>
      </c>
      <c r="D9146">
        <v>4.1595690000000003</v>
      </c>
      <c r="E9146">
        <v>0.3810441</v>
      </c>
      <c r="F9146" t="s">
        <v>44</v>
      </c>
      <c r="G9146">
        <v>-200.9265</v>
      </c>
      <c r="H9146">
        <v>1.0528979999999999</v>
      </c>
      <c r="I9146">
        <v>-61.344749999999998</v>
      </c>
      <c r="J9146">
        <v>-201.53800000000001</v>
      </c>
      <c r="K9146">
        <v>1.12619</v>
      </c>
      <c r="L9146">
        <v>-61.88794</v>
      </c>
      <c r="M9146">
        <v>0.99320050000000004</v>
      </c>
      <c r="N9146">
        <v>-8.2369060000000004E-3</v>
      </c>
      <c r="O9146">
        <v>0.11612509999999999</v>
      </c>
      <c r="P9146">
        <v>0.93727159999999998</v>
      </c>
      <c r="Q9146">
        <v>-4.5352299999999998E-2</v>
      </c>
      <c r="R9146">
        <v>0.34563729999999998</v>
      </c>
      <c r="S9146">
        <v>2.4887700000000001</v>
      </c>
      <c r="T9146">
        <v>-0.2491585</v>
      </c>
      <c r="U9146">
        <v>1.9114690000000001</v>
      </c>
      <c r="V9146">
        <v>-0.23391919999999999</v>
      </c>
      <c r="W9146">
        <v>-4.0569880000000003E-2</v>
      </c>
      <c r="X9146">
        <v>0.97140919999999997</v>
      </c>
      <c r="Y9146">
        <v>-0.51143149999999904</v>
      </c>
      <c r="Z9146">
        <v>1.5667110000000001E-2</v>
      </c>
      <c r="AA9146">
        <v>0.85918119999999998</v>
      </c>
      <c r="AB9146">
        <v>25</v>
      </c>
      <c r="AC9146">
        <v>0.61149999999997795</v>
      </c>
      <c r="AD9146">
        <v>-7.3292000000000093E-2</v>
      </c>
      <c r="AE9146">
        <v>0.54319000000000195</v>
      </c>
      <c r="AF9146">
        <v>-0.464770019324452</v>
      </c>
      <c r="AG9146">
        <v>-7.3292000000000093E-2</v>
      </c>
      <c r="AH9146">
        <v>0.66510228362616997</v>
      </c>
      <c r="AI9146">
        <v>95.161387471579602</v>
      </c>
      <c r="AJ9146">
        <v>124.94564986242101</v>
      </c>
      <c r="AK9146">
        <v>0.81470481513956905</v>
      </c>
      <c r="AL9146">
        <v>92.325121090843695</v>
      </c>
      <c r="AM9146">
        <v>103.53928108399499</v>
      </c>
      <c r="AN9146">
        <v>0.99999997056824597</v>
      </c>
    </row>
    <row r="9147" spans="1:40" x14ac:dyDescent="0.25">
      <c r="A9147" t="str">
        <f>"20190303154018386"</f>
        <v>20190303154018386</v>
      </c>
      <c r="B9147" t="str">
        <f>"1551598818377557"</f>
        <v>1551598818377557</v>
      </c>
      <c r="C9147" t="s">
        <v>40</v>
      </c>
      <c r="D9147">
        <v>4.1997960000000001</v>
      </c>
      <c r="E9147">
        <v>0.38116810000000001</v>
      </c>
      <c r="F9147" t="s">
        <v>44</v>
      </c>
      <c r="G9147">
        <v>-200.73050000000001</v>
      </c>
      <c r="H9147">
        <v>1.0438270000000001</v>
      </c>
      <c r="I9147">
        <v>-61.262059999999998</v>
      </c>
      <c r="J9147">
        <v>-201.3973</v>
      </c>
      <c r="K9147">
        <v>1.1263939999999999</v>
      </c>
      <c r="L9147">
        <v>-61.866239999999998</v>
      </c>
      <c r="M9147">
        <v>0.99259310000000001</v>
      </c>
      <c r="N9147">
        <v>-8.3731469999999992E-3</v>
      </c>
      <c r="O9147">
        <v>0.1211981</v>
      </c>
      <c r="P9147">
        <v>0.93530080000000004</v>
      </c>
      <c r="Q9147">
        <v>-4.6492319999999997E-2</v>
      </c>
      <c r="R9147">
        <v>0.3507866</v>
      </c>
      <c r="S9147">
        <v>2.4797060000000002</v>
      </c>
      <c r="T9147">
        <v>-0.25293599999999999</v>
      </c>
      <c r="U9147">
        <v>1.92218</v>
      </c>
      <c r="V9147">
        <v>-0.23427100000000001</v>
      </c>
      <c r="W9147">
        <v>-4.1696179999999999E-2</v>
      </c>
      <c r="X9147">
        <v>0.97127680000000005</v>
      </c>
      <c r="Y9147">
        <v>-0.51085150000000001</v>
      </c>
      <c r="Z9147">
        <v>1.549826E-2</v>
      </c>
      <c r="AA9147">
        <v>0.85952929999999905</v>
      </c>
      <c r="AB9147">
        <v>25</v>
      </c>
      <c r="AC9147">
        <v>0.66679999999999495</v>
      </c>
      <c r="AD9147">
        <v>-8.2567000000000002E-2</v>
      </c>
      <c r="AE9147">
        <v>0.60418000000000605</v>
      </c>
      <c r="AF9147">
        <v>-0.51457542695717196</v>
      </c>
      <c r="AG9147">
        <v>-8.2567000000000002E-2</v>
      </c>
      <c r="AH9147">
        <v>0.72897429014491799</v>
      </c>
      <c r="AI9147">
        <v>95.286709428087093</v>
      </c>
      <c r="AJ9147">
        <v>125.217873087819</v>
      </c>
      <c r="AK9147">
        <v>0.89610752435711905</v>
      </c>
      <c r="AL9147">
        <v>92.389707809857995</v>
      </c>
      <c r="AM9147">
        <v>103.56067214531799</v>
      </c>
      <c r="AN9147">
        <v>1.0000000475429101</v>
      </c>
    </row>
    <row r="9148" spans="1:40" x14ac:dyDescent="0.25">
      <c r="A9148" t="str">
        <f>"20190303154018396"</f>
        <v>20190303154018396</v>
      </c>
      <c r="B9148" t="str">
        <f>"1551598818387317"</f>
        <v>1551598818387317</v>
      </c>
      <c r="C9148" t="s">
        <v>40</v>
      </c>
      <c r="D9148">
        <v>4.1683000000000003</v>
      </c>
      <c r="E9148">
        <v>0.38132630000000001</v>
      </c>
      <c r="F9148" t="s">
        <v>44</v>
      </c>
      <c r="G9148">
        <v>-200.70830000000001</v>
      </c>
      <c r="H9148">
        <v>1.0547580000000001</v>
      </c>
      <c r="I9148">
        <v>-61.326369999999997</v>
      </c>
      <c r="J9148">
        <v>-201.29689999999999</v>
      </c>
      <c r="K9148">
        <v>1.1265339999999999</v>
      </c>
      <c r="L9148">
        <v>-61.850009999999997</v>
      </c>
      <c r="M9148">
        <v>0.99212679999999998</v>
      </c>
      <c r="N9148">
        <v>-8.4673319999999993E-3</v>
      </c>
      <c r="O9148">
        <v>0.1249513</v>
      </c>
      <c r="P9148">
        <v>0.9337645</v>
      </c>
      <c r="Q9148">
        <v>-4.7491930000000002E-2</v>
      </c>
      <c r="R9148">
        <v>0.35472290000000001</v>
      </c>
      <c r="S9148">
        <v>2.469131</v>
      </c>
      <c r="T9148">
        <v>-0.25671319999999997</v>
      </c>
      <c r="U9148">
        <v>1.9347840000000001</v>
      </c>
      <c r="V9148">
        <v>-0.23466690000000001</v>
      </c>
      <c r="W9148">
        <v>-4.2690720000000001E-2</v>
      </c>
      <c r="X9148">
        <v>0.97113799999999995</v>
      </c>
      <c r="Y9148">
        <v>-0.51206589999999996</v>
      </c>
      <c r="Z9148">
        <v>1.5500969999999999E-2</v>
      </c>
      <c r="AA9148">
        <v>0.85880630000000002</v>
      </c>
      <c r="AB9148">
        <v>25</v>
      </c>
      <c r="AC9148">
        <v>0.58859999999998502</v>
      </c>
      <c r="AD9148">
        <v>-7.1775999999999798E-2</v>
      </c>
      <c r="AE9148">
        <v>0.52363999999999999</v>
      </c>
      <c r="AF9148">
        <v>-0.44231539641127299</v>
      </c>
      <c r="AG9148">
        <v>-7.1775999999999798E-2</v>
      </c>
      <c r="AH9148">
        <v>0.64407235303167798</v>
      </c>
      <c r="AI9148">
        <v>95.248699890629396</v>
      </c>
      <c r="AJ9148">
        <v>124.479254853906</v>
      </c>
      <c r="AK9148">
        <v>0.78461704035677404</v>
      </c>
      <c r="AL9148">
        <v>92.446741579798797</v>
      </c>
      <c r="AM9148">
        <v>103.58460970129499</v>
      </c>
      <c r="AN9148">
        <v>1.0000000332868599</v>
      </c>
    </row>
    <row r="9149" spans="1:40" x14ac:dyDescent="0.25">
      <c r="A9149" t="str">
        <f>"20190303154018406"</f>
        <v>20190303154018406</v>
      </c>
      <c r="B9149" t="str">
        <f>"1551598818397077"</f>
        <v>1551598818397077</v>
      </c>
      <c r="C9149" t="s">
        <v>40</v>
      </c>
      <c r="D9149">
        <v>4.1800480000000002</v>
      </c>
      <c r="E9149">
        <v>0.3814593</v>
      </c>
      <c r="F9149" t="s">
        <v>44</v>
      </c>
      <c r="G9149">
        <v>-200.51589999999999</v>
      </c>
      <c r="H9149">
        <v>1.0441049999999901</v>
      </c>
      <c r="I9149">
        <v>-61.233139999999999</v>
      </c>
      <c r="J9149">
        <v>-201.1772</v>
      </c>
      <c r="K9149">
        <v>1.1267020000000001</v>
      </c>
      <c r="L9149">
        <v>-61.830350000000003</v>
      </c>
      <c r="M9149">
        <v>0.9915448</v>
      </c>
      <c r="N9149">
        <v>-8.5773240000000008E-3</v>
      </c>
      <c r="O9149">
        <v>0.1294814</v>
      </c>
      <c r="P9149">
        <v>0.9318438</v>
      </c>
      <c r="Q9149">
        <v>-4.8109440000000003E-2</v>
      </c>
      <c r="R9149">
        <v>0.35965659999999999</v>
      </c>
      <c r="S9149">
        <v>2.4611360000000002</v>
      </c>
      <c r="T9149">
        <v>-0.25973010000000002</v>
      </c>
      <c r="U9149">
        <v>1.943848</v>
      </c>
      <c r="V9149">
        <v>-0.23534630000000001</v>
      </c>
      <c r="W9149">
        <v>-4.3307720000000001E-2</v>
      </c>
      <c r="X9149">
        <v>0.97094619999999998</v>
      </c>
      <c r="Y9149">
        <v>-0.51142710000000002</v>
      </c>
      <c r="Z9149">
        <v>1.5302899999999999E-2</v>
      </c>
      <c r="AA9149">
        <v>0.85919040000000002</v>
      </c>
      <c r="AB9149">
        <v>25</v>
      </c>
      <c r="AC9149">
        <v>0.66130000000001099</v>
      </c>
      <c r="AD9149">
        <v>-8.2597000000000198E-2</v>
      </c>
      <c r="AE9149">
        <v>0.59721000000000402</v>
      </c>
      <c r="AF9149">
        <v>-0.50223754612416105</v>
      </c>
      <c r="AG9149">
        <v>-8.2597000000000198E-2</v>
      </c>
      <c r="AH9149">
        <v>0.72681790046183403</v>
      </c>
      <c r="AI9149">
        <v>95.341189194711404</v>
      </c>
      <c r="AJ9149">
        <v>124.644813297268</v>
      </c>
      <c r="AK9149">
        <v>0.887315658363791</v>
      </c>
      <c r="AL9149">
        <v>92.482125930638603</v>
      </c>
      <c r="AM9149">
        <v>103.625066590787</v>
      </c>
      <c r="AN9149">
        <v>0.99999998141486302</v>
      </c>
    </row>
    <row r="9150" spans="1:40" x14ac:dyDescent="0.25">
      <c r="A9150" t="str">
        <f>"20190303154018418"</f>
        <v>20190303154018418</v>
      </c>
      <c r="B9150" t="str">
        <f>"1551598818407813"</f>
        <v>1551598818407813</v>
      </c>
      <c r="C9150" t="s">
        <v>40</v>
      </c>
      <c r="D9150">
        <v>4.1632230000000003</v>
      </c>
      <c r="E9150">
        <v>0.38158619999999999</v>
      </c>
      <c r="F9150" t="s">
        <v>44</v>
      </c>
      <c r="G9150">
        <v>-200.4966</v>
      </c>
      <c r="H9150">
        <v>1.0541100000000001</v>
      </c>
      <c r="I9150">
        <v>-61.287300000000002</v>
      </c>
      <c r="J9150">
        <v>-201.06020000000001</v>
      </c>
      <c r="K9150">
        <v>1.1268689999999999</v>
      </c>
      <c r="L9150">
        <v>-61.810090000000002</v>
      </c>
      <c r="M9150">
        <v>0.99093089999999995</v>
      </c>
      <c r="N9150">
        <v>-8.6818099999999999E-3</v>
      </c>
      <c r="O9150">
        <v>0.13409270000000001</v>
      </c>
      <c r="P9150">
        <v>0.92986970000000002</v>
      </c>
      <c r="Q9150">
        <v>-4.8558690000000002E-2</v>
      </c>
      <c r="R9150">
        <v>0.36467060000000001</v>
      </c>
      <c r="S9150">
        <v>2.45105</v>
      </c>
      <c r="T9150">
        <v>-0.26141180000000003</v>
      </c>
      <c r="U9150">
        <v>1.9557800000000001</v>
      </c>
      <c r="V9150">
        <v>-0.23603979999999999</v>
      </c>
      <c r="W9150">
        <v>-4.3760939999999998E-2</v>
      </c>
      <c r="X9150">
        <v>0.97075750000000005</v>
      </c>
      <c r="Y9150">
        <v>-0.51169960000000003</v>
      </c>
      <c r="Z9150">
        <v>1.507941E-2</v>
      </c>
      <c r="AA9150">
        <v>0.85903220000000002</v>
      </c>
      <c r="AB9150">
        <v>25</v>
      </c>
      <c r="AC9150">
        <v>0.56360000000000798</v>
      </c>
      <c r="AD9150">
        <v>-7.2759000000000004E-2</v>
      </c>
      <c r="AE9150">
        <v>0.52278999999999998</v>
      </c>
      <c r="AF9150">
        <v>-0.438562020095839</v>
      </c>
      <c r="AG9150">
        <v>-7.2759000000000004E-2</v>
      </c>
      <c r="AH9150">
        <v>0.62303334122034004</v>
      </c>
      <c r="AI9150">
        <v>95.454947476765</v>
      </c>
      <c r="AJ9150">
        <v>125.14225869620201</v>
      </c>
      <c r="AK9150">
        <v>0.76537641838753101</v>
      </c>
      <c r="AL9150">
        <v>92.508118207071504</v>
      </c>
      <c r="AM9150">
        <v>103.66626936579701</v>
      </c>
      <c r="AN9150">
        <v>0.99999996542998604</v>
      </c>
    </row>
    <row r="9151" spans="1:40" x14ac:dyDescent="0.25">
      <c r="A9151" t="str">
        <f>"20190303154018430"</f>
        <v>20190303154018430</v>
      </c>
      <c r="B9151" t="str">
        <f>"1551598818427333"</f>
        <v>1551598818427333</v>
      </c>
      <c r="C9151" t="s">
        <v>40</v>
      </c>
      <c r="D9151">
        <v>4.2156969999999996</v>
      </c>
      <c r="E9151">
        <v>0.38196960000000002</v>
      </c>
      <c r="F9151" t="s">
        <v>44</v>
      </c>
      <c r="G9151">
        <v>-200.30250000000001</v>
      </c>
      <c r="H9151">
        <v>1.045361</v>
      </c>
      <c r="I9151">
        <v>-61.199089999999998</v>
      </c>
      <c r="J9151">
        <v>-200.93530000000001</v>
      </c>
      <c r="K9151">
        <v>1.127049</v>
      </c>
      <c r="L9151">
        <v>-61.788209999999999</v>
      </c>
      <c r="M9151">
        <v>0.99024440000000002</v>
      </c>
      <c r="N9151">
        <v>-8.7909340000000002E-3</v>
      </c>
      <c r="O9151">
        <v>0.13906389999999999</v>
      </c>
      <c r="P9151">
        <v>0.92763390000000001</v>
      </c>
      <c r="Q9151">
        <v>-4.8899570000000003E-2</v>
      </c>
      <c r="R9151">
        <v>0.37027559999999998</v>
      </c>
      <c r="S9151">
        <v>2.4407350000000001</v>
      </c>
      <c r="T9151">
        <v>-0.26252999999999999</v>
      </c>
      <c r="U9151">
        <v>1.968048</v>
      </c>
      <c r="V9151">
        <v>-0.23700579999999999</v>
      </c>
      <c r="W9151">
        <v>-4.4113279999999998E-2</v>
      </c>
      <c r="X9151">
        <v>0.97050619999999999</v>
      </c>
      <c r="Y9151">
        <v>-0.51177759999999894</v>
      </c>
      <c r="Z9151">
        <v>1.4789409999999999E-2</v>
      </c>
      <c r="AA9151">
        <v>0.858990699999999</v>
      </c>
      <c r="AB9151">
        <v>25</v>
      </c>
      <c r="AC9151">
        <v>0.63280000000000303</v>
      </c>
      <c r="AD9151">
        <v>-8.16879999999999E-2</v>
      </c>
      <c r="AE9151">
        <v>0.58911999999999398</v>
      </c>
      <c r="AF9151">
        <v>-0.49100903631327197</v>
      </c>
      <c r="AG9151">
        <v>-8.16879999999999E-2</v>
      </c>
      <c r="AH9151">
        <v>0.70230982223767002</v>
      </c>
      <c r="AI9151">
        <v>95.445342797112005</v>
      </c>
      <c r="AJ9151">
        <v>124.958725664833</v>
      </c>
      <c r="AK9151">
        <v>0.86081466617199098</v>
      </c>
      <c r="AL9151">
        <v>92.528325210492397</v>
      </c>
      <c r="AM9151">
        <v>103.723507695103</v>
      </c>
      <c r="AN9151">
        <v>1.00000000747221</v>
      </c>
    </row>
    <row r="9152" spans="1:40" x14ac:dyDescent="0.25">
      <c r="A9152" t="str">
        <f>"20190303154018440"</f>
        <v>20190303154018440</v>
      </c>
      <c r="B9152" t="str">
        <f>"1551598818437092"</f>
        <v>1551598818437092</v>
      </c>
      <c r="C9152" t="s">
        <v>40</v>
      </c>
      <c r="D9152">
        <v>4.2065669999999997</v>
      </c>
      <c r="E9152">
        <v>0.38217089999999998</v>
      </c>
      <c r="F9152" t="s">
        <v>44</v>
      </c>
      <c r="G9152">
        <v>-200.10769999999999</v>
      </c>
      <c r="H9152">
        <v>1.037752</v>
      </c>
      <c r="I9152">
        <v>-61.113810000000001</v>
      </c>
      <c r="J9152">
        <v>-200.81700000000001</v>
      </c>
      <c r="K9152">
        <v>1.127219</v>
      </c>
      <c r="L9152">
        <v>-61.766269999999999</v>
      </c>
      <c r="M9152">
        <v>0.98953930000000001</v>
      </c>
      <c r="N9152">
        <v>-8.8918469999999996E-3</v>
      </c>
      <c r="O9152">
        <v>0.1439898</v>
      </c>
      <c r="P9152">
        <v>0.92533770000000004</v>
      </c>
      <c r="Q9152">
        <v>-4.8695019999999999E-2</v>
      </c>
      <c r="R9152">
        <v>0.37600420000000001</v>
      </c>
      <c r="S9152">
        <v>2.429916</v>
      </c>
      <c r="T9152">
        <v>-0.26217479999999999</v>
      </c>
      <c r="U9152">
        <v>1.979889</v>
      </c>
      <c r="V9152">
        <v>-0.23816129999999999</v>
      </c>
      <c r="W9152">
        <v>-4.3927880000000002E-2</v>
      </c>
      <c r="X9152">
        <v>0.97023170000000003</v>
      </c>
      <c r="Y9152">
        <v>-0.51190440000000004</v>
      </c>
      <c r="Z9152">
        <v>1.444085E-2</v>
      </c>
      <c r="AA9152">
        <v>0.85892109999999899</v>
      </c>
      <c r="AB9152">
        <v>25</v>
      </c>
      <c r="AC9152">
        <v>0.70930000000001303</v>
      </c>
      <c r="AD9152">
        <v>-8.9466999999999894E-2</v>
      </c>
      <c r="AE9152">
        <v>0.65245999999999704</v>
      </c>
      <c r="AF9152">
        <v>-0.53888030579531199</v>
      </c>
      <c r="AG9152">
        <v>-8.9466999999999894E-2</v>
      </c>
      <c r="AH9152">
        <v>0.78905922307384502</v>
      </c>
      <c r="AI9152">
        <v>95.349143224950595</v>
      </c>
      <c r="AJ9152">
        <v>124.330741711356</v>
      </c>
      <c r="AK9152">
        <v>0.95969306842393598</v>
      </c>
      <c r="AL9152">
        <v>92.517692265466707</v>
      </c>
      <c r="AM9152">
        <v>103.791619881494</v>
      </c>
      <c r="AN9152">
        <v>1.00000000757193</v>
      </c>
    </row>
    <row r="9153" spans="1:40" x14ac:dyDescent="0.25">
      <c r="A9153" t="str">
        <f>"20190303154018452"</f>
        <v>20190303154018452</v>
      </c>
      <c r="B9153" t="str">
        <f>"1551598818447359"</f>
        <v>1551598818447359</v>
      </c>
      <c r="C9153" t="s">
        <v>40</v>
      </c>
      <c r="D9153">
        <v>4.2342979999999999</v>
      </c>
      <c r="E9153">
        <v>0.38236019999999998</v>
      </c>
      <c r="F9153" t="s">
        <v>44</v>
      </c>
      <c r="G9153">
        <v>-200.0883</v>
      </c>
      <c r="H9153">
        <v>1.048387</v>
      </c>
      <c r="I9153">
        <v>-61.16554</v>
      </c>
      <c r="J9153">
        <v>-200.697</v>
      </c>
      <c r="K9153">
        <v>1.127391</v>
      </c>
      <c r="L9153">
        <v>-61.743650000000002</v>
      </c>
      <c r="M9153">
        <v>0.98879159999999999</v>
      </c>
      <c r="N9153">
        <v>-8.9918849999999998E-3</v>
      </c>
      <c r="O9153">
        <v>0.14903139999999901</v>
      </c>
      <c r="P9153">
        <v>0.92278709999999997</v>
      </c>
      <c r="Q9153">
        <v>-4.8182030000000001E-2</v>
      </c>
      <c r="R9153">
        <v>0.38228580000000001</v>
      </c>
      <c r="S9153">
        <v>2.4183349999999999</v>
      </c>
      <c r="T9153">
        <v>-0.26160229999999901</v>
      </c>
      <c r="U9153">
        <v>1.993317</v>
      </c>
      <c r="V9153">
        <v>-0.23979909999999999</v>
      </c>
      <c r="W9153">
        <v>-4.3445539999999998E-2</v>
      </c>
      <c r="X9153">
        <v>0.96984990000000004</v>
      </c>
      <c r="Y9153">
        <v>-0.51239999999999997</v>
      </c>
      <c r="Z9153">
        <v>1.4094999999999899E-2</v>
      </c>
      <c r="AA9153">
        <v>0.85863129999999999</v>
      </c>
      <c r="AB9153">
        <v>25</v>
      </c>
      <c r="AC9153">
        <v>0.60869999999999802</v>
      </c>
      <c r="AD9153">
        <v>-7.9003999999999797E-2</v>
      </c>
      <c r="AE9153">
        <v>0.57811000000000201</v>
      </c>
      <c r="AF9153">
        <v>-0.47671218280893801</v>
      </c>
      <c r="AG9153">
        <v>-7.9003999999999797E-2</v>
      </c>
      <c r="AH9153">
        <v>0.68202125969878902</v>
      </c>
      <c r="AI9153">
        <v>95.423640968004804</v>
      </c>
      <c r="AJ9153">
        <v>124.952381629043</v>
      </c>
      <c r="AK9153">
        <v>0.83585234098827899</v>
      </c>
      <c r="AL9153">
        <v>92.490029888082105</v>
      </c>
      <c r="AM9153">
        <v>103.888059495625</v>
      </c>
      <c r="AN9153">
        <v>0.99999997591835499</v>
      </c>
    </row>
    <row r="9154" spans="1:40" x14ac:dyDescent="0.25">
      <c r="A9154" t="str">
        <f>"20190303154018462"</f>
        <v>20190303154018462</v>
      </c>
      <c r="B9154" t="str">
        <f>"1551598818457119"</f>
        <v>1551598818457119</v>
      </c>
      <c r="C9154" t="s">
        <v>40</v>
      </c>
      <c r="D9154">
        <v>4.2177049999999996</v>
      </c>
      <c r="E9154">
        <v>0.38253619999999999</v>
      </c>
      <c r="F9154" t="s">
        <v>44</v>
      </c>
      <c r="G9154">
        <v>-199.8956</v>
      </c>
      <c r="H9154">
        <v>1.0406010000000001</v>
      </c>
      <c r="I9154">
        <v>-61.074680000000001</v>
      </c>
      <c r="J9154">
        <v>-200.57470000000001</v>
      </c>
      <c r="K9154">
        <v>1.127561</v>
      </c>
      <c r="L9154">
        <v>-61.719540000000002</v>
      </c>
      <c r="M9154">
        <v>0.98797659999999998</v>
      </c>
      <c r="N9154">
        <v>-9.0909860000000006E-3</v>
      </c>
      <c r="O9154">
        <v>0.15433659999999999</v>
      </c>
      <c r="P9154">
        <v>0.92000329999999997</v>
      </c>
      <c r="Q9154">
        <v>-4.757364E-2</v>
      </c>
      <c r="R9154">
        <v>0.38901249999999998</v>
      </c>
      <c r="S9154">
        <v>2.4053960000000001</v>
      </c>
      <c r="T9154">
        <v>-0.26050030000000002</v>
      </c>
      <c r="U9154">
        <v>2.0083920000000002</v>
      </c>
      <c r="V9154">
        <v>-0.24166190000000001</v>
      </c>
      <c r="W9154">
        <v>-4.2873990000000001E-2</v>
      </c>
      <c r="X9154">
        <v>0.96941290000000002</v>
      </c>
      <c r="Y9154">
        <v>-0.51325399999999999</v>
      </c>
      <c r="Z9154">
        <v>1.3730350000000001E-2</v>
      </c>
      <c r="AA9154">
        <v>0.85812690000000003</v>
      </c>
      <c r="AB9154">
        <v>25</v>
      </c>
      <c r="AC9154">
        <v>0.67910000000000503</v>
      </c>
      <c r="AD9154">
        <v>-8.6959999999999898E-2</v>
      </c>
      <c r="AE9154">
        <v>0.64485999999999399</v>
      </c>
      <c r="AF9154">
        <v>-0.52776791660869105</v>
      </c>
      <c r="AG9154">
        <v>-8.6959999999999898E-2</v>
      </c>
      <c r="AH9154">
        <v>0.76390546336217302</v>
      </c>
      <c r="AI9154">
        <v>95.350577837894704</v>
      </c>
      <c r="AJ9154">
        <v>124.639865478639</v>
      </c>
      <c r="AK9154">
        <v>0.93255164594571005</v>
      </c>
      <c r="AL9154">
        <v>92.457251852775897</v>
      </c>
      <c r="AM9154">
        <v>103.997780749493</v>
      </c>
      <c r="AN9154">
        <v>1.0000000118082699</v>
      </c>
    </row>
    <row r="9155" spans="1:40" x14ac:dyDescent="0.25">
      <c r="A9155" t="str">
        <f>"20190303154018475"</f>
        <v>20190303154018475</v>
      </c>
      <c r="B9155" t="str">
        <f>"1551598818466879"</f>
        <v>1551598818466879</v>
      </c>
      <c r="C9155" t="s">
        <v>40</v>
      </c>
      <c r="D9155">
        <v>4.220758</v>
      </c>
      <c r="E9155">
        <v>0.38267099999999998</v>
      </c>
      <c r="F9155" t="s">
        <v>44</v>
      </c>
      <c r="G9155">
        <v>-199.8751</v>
      </c>
      <c r="H9155">
        <v>1.0517609999999999</v>
      </c>
      <c r="I9155">
        <v>-61.127580000000002</v>
      </c>
      <c r="J9155">
        <v>-200.44649999999999</v>
      </c>
      <c r="K9155">
        <v>1.1277360000000001</v>
      </c>
      <c r="L9155">
        <v>-61.693539999999999</v>
      </c>
      <c r="M9155">
        <v>0.98707330000000004</v>
      </c>
      <c r="N9155">
        <v>-9.1917990000000005E-3</v>
      </c>
      <c r="O9155">
        <v>0.16000549999999999</v>
      </c>
      <c r="P9155">
        <v>0.91704839999999999</v>
      </c>
      <c r="Q9155">
        <v>-4.7223920000000003E-2</v>
      </c>
      <c r="R9155">
        <v>0.39596999999999999</v>
      </c>
      <c r="S9155">
        <v>2.3914490000000002</v>
      </c>
      <c r="T9155">
        <v>-0.25915480000000002</v>
      </c>
      <c r="U9155">
        <v>2.0244140000000002</v>
      </c>
      <c r="V9155">
        <v>-0.243425</v>
      </c>
      <c r="W9155">
        <v>-4.2563139999999999E-2</v>
      </c>
      <c r="X9155">
        <v>0.9689854</v>
      </c>
      <c r="Y9155">
        <v>-0.51416709999999999</v>
      </c>
      <c r="Z9155">
        <v>1.333664E-2</v>
      </c>
      <c r="AA9155">
        <v>0.85758639999999997</v>
      </c>
      <c r="AB9155">
        <v>25</v>
      </c>
      <c r="AC9155">
        <v>0.57139999999998203</v>
      </c>
      <c r="AD9155">
        <v>-7.5974999999999904E-2</v>
      </c>
      <c r="AE9155">
        <v>0.56596000000000402</v>
      </c>
      <c r="AF9155">
        <v>-0.46310381706320602</v>
      </c>
      <c r="AG9155">
        <v>-7.5974999999999904E-2</v>
      </c>
      <c r="AH9155">
        <v>0.64880802397154103</v>
      </c>
      <c r="AI9155">
        <v>95.444450015217996</v>
      </c>
      <c r="AJ9155">
        <v>125.518347955679</v>
      </c>
      <c r="AK9155">
        <v>0.80074290379207702</v>
      </c>
      <c r="AL9155">
        <v>92.439425146048407</v>
      </c>
      <c r="AM9155">
        <v>104.101818249289</v>
      </c>
      <c r="AN9155">
        <v>1.0000000284624</v>
      </c>
    </row>
    <row r="9156" spans="1:40" x14ac:dyDescent="0.25">
      <c r="A9156" t="str">
        <f>"20190303154018486"</f>
        <v>20190303154018486</v>
      </c>
      <c r="B9156" t="str">
        <f>"1551598818477615"</f>
        <v>1551598818477615</v>
      </c>
      <c r="C9156" t="s">
        <v>40</v>
      </c>
      <c r="D9156">
        <v>4.2658129999999996</v>
      </c>
      <c r="E9156">
        <v>0.38283309999999998</v>
      </c>
      <c r="F9156" t="s">
        <v>44</v>
      </c>
      <c r="G9156">
        <v>-199.68219999999999</v>
      </c>
      <c r="H9156">
        <v>1.044643</v>
      </c>
      <c r="I9156">
        <v>-61.03716</v>
      </c>
      <c r="J9156">
        <v>-200.32730000000001</v>
      </c>
      <c r="K9156">
        <v>1.1278980000000001</v>
      </c>
      <c r="L9156">
        <v>-61.668700000000001</v>
      </c>
      <c r="M9156">
        <v>0.98618740000000005</v>
      </c>
      <c r="N9156">
        <v>-9.2826430000000001E-3</v>
      </c>
      <c r="O9156">
        <v>0.1653731</v>
      </c>
      <c r="P9156">
        <v>0.91411129999999996</v>
      </c>
      <c r="Q9156">
        <v>-4.7186100000000002E-2</v>
      </c>
      <c r="R9156">
        <v>0.40270840000000002</v>
      </c>
      <c r="S9156">
        <v>2.3766780000000001</v>
      </c>
      <c r="T9156">
        <v>-0.25840200000000002</v>
      </c>
      <c r="U9156">
        <v>2.0412599999999999</v>
      </c>
      <c r="V9156">
        <v>-0.2452685</v>
      </c>
      <c r="W9156">
        <v>-4.2569070000000001E-2</v>
      </c>
      <c r="X9156">
        <v>0.96852009999999999</v>
      </c>
      <c r="Y9156">
        <v>-0.51564589999999999</v>
      </c>
      <c r="Z9156">
        <v>1.301896E-2</v>
      </c>
      <c r="AA9156">
        <v>0.85670279999999999</v>
      </c>
      <c r="AB9156">
        <v>25</v>
      </c>
      <c r="AC9156">
        <v>0.645100000000013</v>
      </c>
      <c r="AD9156">
        <v>-8.3254999999999996E-2</v>
      </c>
      <c r="AE9156">
        <v>0.63154000000000099</v>
      </c>
      <c r="AF9156">
        <v>-0.51180404015928405</v>
      </c>
      <c r="AG9156">
        <v>-8.3254999999999996E-2</v>
      </c>
      <c r="AH9156">
        <v>0.73441506135111601</v>
      </c>
      <c r="AI9156">
        <v>95.313558004563404</v>
      </c>
      <c r="AJ9156">
        <v>124.872125058778</v>
      </c>
      <c r="AK9156">
        <v>0.89902183115190804</v>
      </c>
      <c r="AL9156">
        <v>92.439765352512694</v>
      </c>
      <c r="AM9156">
        <v>104.210854377831</v>
      </c>
      <c r="AN9156">
        <v>0.99999997345846203</v>
      </c>
    </row>
    <row r="9157" spans="1:40" x14ac:dyDescent="0.25">
      <c r="A9157" t="str">
        <f>"20190303154018498"</f>
        <v>20190303154018498</v>
      </c>
      <c r="B9157" t="str">
        <f>"1551598818487375"</f>
        <v>1551598818487375</v>
      </c>
      <c r="C9157" t="s">
        <v>40</v>
      </c>
      <c r="D9157">
        <v>4.2915530000000004</v>
      </c>
      <c r="E9157">
        <v>0.38298660000000001</v>
      </c>
      <c r="F9157" t="s">
        <v>44</v>
      </c>
      <c r="G9157">
        <v>-199.66159999999999</v>
      </c>
      <c r="H9157">
        <v>1.054983</v>
      </c>
      <c r="I9157">
        <v>-61.088869999999901</v>
      </c>
      <c r="J9157">
        <v>-200.20830000000001</v>
      </c>
      <c r="K9157">
        <v>1.128061</v>
      </c>
      <c r="L9157">
        <v>-61.642789999999998</v>
      </c>
      <c r="M9157">
        <v>0.98524429999999996</v>
      </c>
      <c r="N9157">
        <v>-9.3709020000000004E-3</v>
      </c>
      <c r="O9157">
        <v>0.17089679999999999</v>
      </c>
      <c r="P9157">
        <v>0.91100479999999995</v>
      </c>
      <c r="Q9157">
        <v>-4.7498819999999997E-2</v>
      </c>
      <c r="R9157">
        <v>0.4096513</v>
      </c>
      <c r="S9157">
        <v>2.3621219999999998</v>
      </c>
      <c r="T9157">
        <v>-0.25872450000000002</v>
      </c>
      <c r="U9157">
        <v>2.0574650000000001</v>
      </c>
      <c r="V9157">
        <v>-0.24718999999999999</v>
      </c>
      <c r="W9157">
        <v>-4.293135E-2</v>
      </c>
      <c r="X9157">
        <v>0.96801550000000003</v>
      </c>
      <c r="Y9157">
        <v>-0.51680519999999996</v>
      </c>
      <c r="Z9157">
        <v>1.270806E-2</v>
      </c>
      <c r="AA9157">
        <v>0.85600869999999996</v>
      </c>
      <c r="AB9157">
        <v>25</v>
      </c>
      <c r="AC9157">
        <v>0.54670000000001495</v>
      </c>
      <c r="AD9157">
        <v>-7.3077999999999907E-2</v>
      </c>
      <c r="AE9157">
        <v>0.55392000000001196</v>
      </c>
      <c r="AF9157">
        <v>-0.44838383486974098</v>
      </c>
      <c r="AG9157">
        <v>-7.3077999999999907E-2</v>
      </c>
      <c r="AH9157">
        <v>0.62778899129565502</v>
      </c>
      <c r="AI9157">
        <v>95.4112287395441</v>
      </c>
      <c r="AJ9157">
        <v>125.535449376457</v>
      </c>
      <c r="AK9157">
        <v>0.77492417374121902</v>
      </c>
      <c r="AL9157">
        <v>92.460541390178406</v>
      </c>
      <c r="AM9157">
        <v>104.324781836155</v>
      </c>
      <c r="AN9157">
        <v>1.0000000025765301</v>
      </c>
    </row>
    <row r="9158" spans="1:40" x14ac:dyDescent="0.25">
      <c r="A9158" t="str">
        <f>"20190303154018509"</f>
        <v>20190303154018509</v>
      </c>
      <c r="B9158" t="str">
        <f>"1551598818506895"</f>
        <v>1551598818506895</v>
      </c>
      <c r="C9158" t="s">
        <v>40</v>
      </c>
      <c r="D9158">
        <v>4.280068</v>
      </c>
      <c r="E9158">
        <v>0.38315329999999997</v>
      </c>
      <c r="F9158" t="s">
        <v>44</v>
      </c>
      <c r="G9158">
        <v>-199.47139999999999</v>
      </c>
      <c r="H9158">
        <v>1.046613</v>
      </c>
      <c r="I9158">
        <v>-60.991599999999998</v>
      </c>
      <c r="J9158">
        <v>-200.07759999999999</v>
      </c>
      <c r="K9158">
        <v>1.1282270000000001</v>
      </c>
      <c r="L9158">
        <v>-61.613889999999998</v>
      </c>
      <c r="M9158">
        <v>0.98416130000000002</v>
      </c>
      <c r="N9158">
        <v>-9.4650949999999998E-3</v>
      </c>
      <c r="O9158">
        <v>0.17702219999999999</v>
      </c>
      <c r="P9158">
        <v>0.90753640000000002</v>
      </c>
      <c r="Q9158">
        <v>-4.7590319999999998E-2</v>
      </c>
      <c r="R9158">
        <v>0.41726819999999998</v>
      </c>
      <c r="S9158">
        <v>2.3468170000000002</v>
      </c>
      <c r="T9158">
        <v>-0.25940259999999998</v>
      </c>
      <c r="U9158">
        <v>2.0742799999999999</v>
      </c>
      <c r="V9158">
        <v>-0.2492576</v>
      </c>
      <c r="W9158">
        <v>-4.3080720000000003E-2</v>
      </c>
      <c r="X9158">
        <v>0.96747850000000002</v>
      </c>
      <c r="Y9158">
        <v>-0.51769639999999995</v>
      </c>
      <c r="Z9158">
        <v>1.2347830000000001E-2</v>
      </c>
      <c r="AA9158">
        <v>0.85547530000000005</v>
      </c>
      <c r="AB9158">
        <v>25</v>
      </c>
      <c r="AC9158">
        <v>0.60620000000000096</v>
      </c>
      <c r="AD9158">
        <v>-8.1614000000000006E-2</v>
      </c>
      <c r="AE9158">
        <v>0.62229000000000601</v>
      </c>
      <c r="AF9158">
        <v>-0.50072634468784805</v>
      </c>
      <c r="AG9158">
        <v>-8.1614000000000006E-2</v>
      </c>
      <c r="AH9158">
        <v>0.70060618468429603</v>
      </c>
      <c r="AI9158">
        <v>95.413950072852899</v>
      </c>
      <c r="AJ9158">
        <v>125.553560386139</v>
      </c>
      <c r="AK9158">
        <v>0.86500678799552799</v>
      </c>
      <c r="AL9158">
        <v>92.469107657238794</v>
      </c>
      <c r="AM9158">
        <v>104.447289732191</v>
      </c>
      <c r="AN9158">
        <v>0.99999997377786298</v>
      </c>
    </row>
    <row r="9159" spans="1:40" x14ac:dyDescent="0.25">
      <c r="A9159" t="str">
        <f>"20190303154018520"</f>
        <v>20190303154018520</v>
      </c>
      <c r="B9159" t="str">
        <f>"1551598818517631"</f>
        <v>1551598818517631</v>
      </c>
      <c r="C9159" t="s">
        <v>40</v>
      </c>
      <c r="D9159">
        <v>4.2632810000000001</v>
      </c>
      <c r="E9159">
        <v>0.39088990000000001</v>
      </c>
      <c r="F9159" t="s">
        <v>44</v>
      </c>
      <c r="G9159">
        <v>-199.28030000000001</v>
      </c>
      <c r="H9159">
        <v>1.0392699999999999</v>
      </c>
      <c r="I9159">
        <v>-60.897849999999998</v>
      </c>
      <c r="J9159">
        <v>-199.95869999999999</v>
      </c>
      <c r="K9159">
        <v>1.1283909999999999</v>
      </c>
      <c r="L9159">
        <v>-61.586120000000001</v>
      </c>
      <c r="M9159">
        <v>0.98310189999999997</v>
      </c>
      <c r="N9159">
        <v>-9.5494410000000005E-3</v>
      </c>
      <c r="O9159">
        <v>0.18280969999999999</v>
      </c>
      <c r="P9159">
        <v>0.90415559999999995</v>
      </c>
      <c r="Q9159">
        <v>-4.7785639999999997E-2</v>
      </c>
      <c r="R9159">
        <v>0.42452230000000002</v>
      </c>
      <c r="S9159">
        <v>2.3299409999999998</v>
      </c>
      <c r="T9159">
        <v>-0.25995669999999999</v>
      </c>
      <c r="U9159">
        <v>2.0924680000000002</v>
      </c>
      <c r="V9159">
        <v>-0.25129430000000003</v>
      </c>
      <c r="W9159">
        <v>-4.333588E-2</v>
      </c>
      <c r="X9159">
        <v>0.96694009999999997</v>
      </c>
      <c r="Y9159">
        <v>-0.51943830000000002</v>
      </c>
      <c r="Z9159">
        <v>1.205237E-2</v>
      </c>
      <c r="AA9159">
        <v>0.85442299999999904</v>
      </c>
      <c r="AB9159">
        <v>25</v>
      </c>
      <c r="AC9159">
        <v>0.67839999999998202</v>
      </c>
      <c r="AD9159">
        <v>-8.91209999999997E-2</v>
      </c>
      <c r="AE9159">
        <v>0.68826999999999505</v>
      </c>
      <c r="AF9159">
        <v>-0.54798640677480603</v>
      </c>
      <c r="AG9159">
        <v>-8.91209999999997E-2</v>
      </c>
      <c r="AH9159">
        <v>0.78610960452442002</v>
      </c>
      <c r="AI9159">
        <v>95.313405656245607</v>
      </c>
      <c r="AJ9159">
        <v>124.879833069114</v>
      </c>
      <c r="AK9159">
        <v>0.96239283298271905</v>
      </c>
      <c r="AL9159">
        <v>92.483740873796194</v>
      </c>
      <c r="AM9159">
        <v>104.56810373275501</v>
      </c>
      <c r="AN9159">
        <v>0.99999999034793696</v>
      </c>
    </row>
    <row r="9160" spans="1:40" x14ac:dyDescent="0.25">
      <c r="A9160" t="str">
        <f>"20190303154018531"</f>
        <v>20190303154018531</v>
      </c>
      <c r="B9160" t="str">
        <f>"1551598818527391"</f>
        <v>1551598818527391</v>
      </c>
      <c r="C9160" t="s">
        <v>40</v>
      </c>
      <c r="D9160">
        <v>4.2186649999999997</v>
      </c>
      <c r="E9160">
        <v>0.39088990000000001</v>
      </c>
      <c r="F9160" t="s">
        <v>44</v>
      </c>
      <c r="G9160">
        <v>-199.25190000000001</v>
      </c>
      <c r="H9160">
        <v>1.0577650000000001</v>
      </c>
      <c r="I9160">
        <v>-60.964979999999997</v>
      </c>
      <c r="J9160">
        <v>-199.85130000000001</v>
      </c>
      <c r="K9160">
        <v>1.1285369999999999</v>
      </c>
      <c r="L9160">
        <v>-61.560850000000002</v>
      </c>
      <c r="M9160">
        <v>0.98211059999999994</v>
      </c>
      <c r="N9160">
        <v>-9.6239870000000005E-3</v>
      </c>
      <c r="O9160">
        <v>0.18805859999999999</v>
      </c>
      <c r="P9160">
        <v>0.90062059999999999</v>
      </c>
      <c r="Q9160">
        <v>-4.7884500000000003E-2</v>
      </c>
      <c r="R9160">
        <v>0.43196050000000003</v>
      </c>
      <c r="S9160">
        <v>2.3400120000000002</v>
      </c>
      <c r="T9160">
        <v>-0.23385010000000001</v>
      </c>
      <c r="U9160">
        <v>2.0566710000000001</v>
      </c>
      <c r="V9160">
        <v>-0.25408120000000001</v>
      </c>
      <c r="W9160">
        <v>-4.3512200000000001E-2</v>
      </c>
      <c r="X9160">
        <v>0.96620360000000005</v>
      </c>
      <c r="Y9160">
        <v>-0.50595779999999901</v>
      </c>
      <c r="Z9160">
        <v>1.0284160000000001E-2</v>
      </c>
      <c r="AA9160">
        <v>0.86249690000000001</v>
      </c>
      <c r="AB9160">
        <v>25</v>
      </c>
      <c r="AC9160">
        <v>0.59940000000000204</v>
      </c>
      <c r="AD9160">
        <v>-7.0772000000000002E-2</v>
      </c>
      <c r="AE9160">
        <v>0.59586999999999701</v>
      </c>
      <c r="AF9160">
        <v>-0.469219845683023</v>
      </c>
      <c r="AG9160">
        <v>-7.0772000000000002E-2</v>
      </c>
      <c r="AH9160">
        <v>0.69588877088546797</v>
      </c>
      <c r="AI9160">
        <v>94.819916334900995</v>
      </c>
      <c r="AJ9160">
        <v>123.990771778764</v>
      </c>
      <c r="AK9160">
        <v>0.84228090386241505</v>
      </c>
      <c r="AL9160">
        <v>92.493852824354605</v>
      </c>
      <c r="AM9160">
        <v>104.733418577896</v>
      </c>
      <c r="AN9160">
        <v>0.99999998219761999</v>
      </c>
    </row>
    <row r="9161" spans="1:40" x14ac:dyDescent="0.25">
      <c r="A9161" t="str">
        <f>"20190303154018541"</f>
        <v>20190303154018541</v>
      </c>
      <c r="B9161" t="str">
        <f>"1551598818537151"</f>
        <v>1551598818537151</v>
      </c>
      <c r="C9161" t="s">
        <v>40</v>
      </c>
      <c r="D9161">
        <v>4.183319</v>
      </c>
      <c r="E9161">
        <v>0.36533729999999998</v>
      </c>
      <c r="F9161" t="s">
        <v>44</v>
      </c>
      <c r="G9161">
        <v>-199.0658</v>
      </c>
      <c r="H9161">
        <v>1.049088</v>
      </c>
      <c r="I9161">
        <v>-60.859050000000003</v>
      </c>
      <c r="J9161">
        <v>-199.73939999999999</v>
      </c>
      <c r="K9161">
        <v>1.128692</v>
      </c>
      <c r="L9161">
        <v>-61.533259999999999</v>
      </c>
      <c r="M9161">
        <v>0.98101559999999999</v>
      </c>
      <c r="N9161">
        <v>-9.7017230000000006E-3</v>
      </c>
      <c r="O9161">
        <v>0.19368640000000001</v>
      </c>
      <c r="P9161">
        <v>0.89710230000000002</v>
      </c>
      <c r="Q9161">
        <v>-4.763709E-2</v>
      </c>
      <c r="R9161">
        <v>0.43924750000000001</v>
      </c>
      <c r="S9161">
        <v>2.3229519999999999</v>
      </c>
      <c r="T9161">
        <v>-0.23496249999999999</v>
      </c>
      <c r="U9161">
        <v>2.075745</v>
      </c>
      <c r="V9161">
        <v>-0.25635989999999997</v>
      </c>
      <c r="W9161">
        <v>-4.3331630000000003E-2</v>
      </c>
      <c r="X9161">
        <v>0.96560970000000002</v>
      </c>
      <c r="Y9161">
        <v>-0.5080886</v>
      </c>
      <c r="Z9161">
        <v>1.0063839999999999E-2</v>
      </c>
      <c r="AA9161">
        <v>0.86124599999999996</v>
      </c>
      <c r="AB9161">
        <v>25</v>
      </c>
      <c r="AC9161">
        <v>0.67359999999999298</v>
      </c>
      <c r="AD9161">
        <v>-7.9603999999999994E-2</v>
      </c>
      <c r="AE9161">
        <v>0.67420999999999498</v>
      </c>
      <c r="AF9161">
        <v>-0.52728964069490603</v>
      </c>
      <c r="AG9161">
        <v>-7.9603999999999994E-2</v>
      </c>
      <c r="AH9161">
        <v>0.78595135325059995</v>
      </c>
      <c r="AI9161">
        <v>94.807753498060194</v>
      </c>
      <c r="AJ9161">
        <v>123.857402799678</v>
      </c>
      <c r="AK9161">
        <v>0.94978455013577301</v>
      </c>
      <c r="AL9161">
        <v>92.4834969631722</v>
      </c>
      <c r="AM9161">
        <v>104.868466630299</v>
      </c>
      <c r="AN9161">
        <v>1.0000000606102699</v>
      </c>
    </row>
    <row r="9162" spans="1:40" x14ac:dyDescent="0.25">
      <c r="A9162" t="str">
        <f>"20190303154018553"</f>
        <v>20190303154018553</v>
      </c>
      <c r="B9162" t="str">
        <f>"1551598818547419"</f>
        <v>1551598818547419</v>
      </c>
      <c r="C9162" t="s">
        <v>40</v>
      </c>
      <c r="D9162">
        <v>4.150372</v>
      </c>
      <c r="E9162">
        <v>0.35680539999999999</v>
      </c>
      <c r="F9162" t="s">
        <v>44</v>
      </c>
      <c r="G9162">
        <v>-199.0711</v>
      </c>
      <c r="H9162">
        <v>1.047005</v>
      </c>
      <c r="I9162">
        <v>-60.846919999999997</v>
      </c>
      <c r="J9162">
        <v>-199.6146</v>
      </c>
      <c r="K9162">
        <v>1.1288590000000001</v>
      </c>
      <c r="L9162">
        <v>-61.501980000000003</v>
      </c>
      <c r="M9162">
        <v>0.97974059999999996</v>
      </c>
      <c r="N9162">
        <v>-9.7876869999999998E-3</v>
      </c>
      <c r="O9162">
        <v>0.20003190000000001</v>
      </c>
      <c r="P9162">
        <v>0.89296759999999997</v>
      </c>
      <c r="Q9162">
        <v>-4.7610420000000001E-2</v>
      </c>
      <c r="R9162">
        <v>0.4475961</v>
      </c>
      <c r="S9162">
        <v>2.2155610000000001</v>
      </c>
      <c r="T9162">
        <v>-0.27079189999999997</v>
      </c>
      <c r="U9162">
        <v>2.2755429999999999</v>
      </c>
      <c r="V9162">
        <v>-0.25909880000000002</v>
      </c>
      <c r="W9162">
        <v>-4.3386550000000003E-2</v>
      </c>
      <c r="X9162">
        <v>0.96487590000000001</v>
      </c>
      <c r="Y9162">
        <v>-0.5608147</v>
      </c>
      <c r="Z9162">
        <v>1.3467639999999999E-2</v>
      </c>
      <c r="AA9162">
        <v>0.82783169999999995</v>
      </c>
      <c r="AB9162">
        <v>25</v>
      </c>
      <c r="AC9162">
        <v>0.54349999999999399</v>
      </c>
      <c r="AD9162">
        <v>-8.1854000000000093E-2</v>
      </c>
      <c r="AE9162">
        <v>0.65506000000000597</v>
      </c>
      <c r="AF9162">
        <v>-0.52821215922735798</v>
      </c>
      <c r="AG9162">
        <v>-8.1854000000000093E-2</v>
      </c>
      <c r="AH9162">
        <v>0.65747337073065004</v>
      </c>
      <c r="AI9162">
        <v>95.543503602476406</v>
      </c>
      <c r="AJ9162">
        <v>128.77829223028101</v>
      </c>
      <c r="AK9162">
        <v>0.84733664838218303</v>
      </c>
      <c r="AL9162">
        <v>92.486646656467499</v>
      </c>
      <c r="AM9162">
        <v>105.03108148326</v>
      </c>
      <c r="AN9162">
        <v>1.00000004164157</v>
      </c>
    </row>
    <row r="9163" spans="1:40" x14ac:dyDescent="0.25">
      <c r="A9163" t="str">
        <f>"20190303154018564"</f>
        <v>20190303154018564</v>
      </c>
      <c r="B9163" t="str">
        <f>"1551598818557178"</f>
        <v>1551598818557178</v>
      </c>
      <c r="C9163" t="s">
        <v>40</v>
      </c>
      <c r="D9163">
        <v>4.1867049999999999</v>
      </c>
      <c r="E9163">
        <v>0.3480647</v>
      </c>
      <c r="F9163" t="s">
        <v>63</v>
      </c>
      <c r="G9163">
        <v>-191.39519999999999</v>
      </c>
      <c r="H9163" s="1">
        <v>-9.1531700000000003E-6</v>
      </c>
      <c r="I9163">
        <v>-52.552120000000002</v>
      </c>
      <c r="J9163">
        <v>-199.4983</v>
      </c>
      <c r="K9163">
        <v>1.1290119999999999</v>
      </c>
      <c r="L9163">
        <v>-61.4717699999999</v>
      </c>
      <c r="M9163">
        <v>0.97848590000000002</v>
      </c>
      <c r="N9163">
        <v>-9.8686199999999998E-3</v>
      </c>
      <c r="O9163">
        <v>0.20607739999999999</v>
      </c>
      <c r="P9163">
        <v>0.88897250000000005</v>
      </c>
      <c r="Q9163">
        <v>-4.7531589999999999E-2</v>
      </c>
      <c r="R9163">
        <v>0.45548749999999999</v>
      </c>
      <c r="S9163">
        <v>2.1631320000000001</v>
      </c>
      <c r="T9163">
        <v>-0.2970855</v>
      </c>
      <c r="U9163">
        <v>2.3553470000000001</v>
      </c>
      <c r="V9163">
        <v>-0.26167020000000002</v>
      </c>
      <c r="W9163">
        <v>-4.3384600000000002E-2</v>
      </c>
      <c r="X9163">
        <v>0.96418179999999998</v>
      </c>
      <c r="Y9163">
        <v>-0.57933690000000004</v>
      </c>
      <c r="Z9163">
        <v>1.4976629999999999E-2</v>
      </c>
      <c r="AA9163">
        <v>0.81495059999999997</v>
      </c>
      <c r="AB9163">
        <v>25</v>
      </c>
      <c r="AC9163">
        <v>8.1031000000000102</v>
      </c>
      <c r="AD9163">
        <v>-1.1290211531700001</v>
      </c>
      <c r="AE9163">
        <v>8.9196499999999901</v>
      </c>
      <c r="AF9163">
        <v>-6.9968145436076297</v>
      </c>
      <c r="AG9163">
        <v>-1.1290211531700001</v>
      </c>
      <c r="AH9163">
        <v>9.6823949545122794</v>
      </c>
      <c r="AI9163">
        <v>95.399061046308503</v>
      </c>
      <c r="AJ9163">
        <v>125.853103830622</v>
      </c>
      <c r="AK9163">
        <v>11.9991197417606</v>
      </c>
      <c r="AL9163">
        <v>92.486534852699293</v>
      </c>
      <c r="AM9163">
        <v>105.18382879157301</v>
      </c>
      <c r="AN9163">
        <v>1.0000000302682099</v>
      </c>
    </row>
    <row r="9164" spans="1:40" x14ac:dyDescent="0.25">
      <c r="A9164" t="str">
        <f>"20190303154018575"</f>
        <v>20190303154018575</v>
      </c>
      <c r="B9164" t="str">
        <f>"1551598818566940"</f>
        <v>1551598818566940</v>
      </c>
      <c r="C9164" t="s">
        <v>40</v>
      </c>
      <c r="D9164">
        <v>4.175592</v>
      </c>
      <c r="E9164">
        <v>0.33972010000000002</v>
      </c>
      <c r="F9164" t="s">
        <v>44</v>
      </c>
      <c r="G9164">
        <v>-198.87889999999999</v>
      </c>
      <c r="H9164">
        <v>1.0366040000000001</v>
      </c>
      <c r="I9164">
        <v>-60.756900000000002</v>
      </c>
      <c r="J9164">
        <v>-199.38220000000001</v>
      </c>
      <c r="K9164">
        <v>1.129167</v>
      </c>
      <c r="L9164">
        <v>-61.440769999999901</v>
      </c>
      <c r="M9164">
        <v>0.97717390000000004</v>
      </c>
      <c r="N9164">
        <v>-9.9517349999999997E-3</v>
      </c>
      <c r="O9164">
        <v>0.21220800000000001</v>
      </c>
      <c r="P9164">
        <v>0.88480419999999904</v>
      </c>
      <c r="Q9164">
        <v>-4.7640380000000003E-2</v>
      </c>
      <c r="R9164">
        <v>0.46352120000000002</v>
      </c>
      <c r="S9164">
        <v>2.1100310000000002</v>
      </c>
      <c r="T9164">
        <v>-0.31479659999999998</v>
      </c>
      <c r="U9164">
        <v>2.4353639999999999</v>
      </c>
      <c r="V9164">
        <v>-0.26434099999999999</v>
      </c>
      <c r="W9164">
        <v>-4.3571690000000003E-2</v>
      </c>
      <c r="X9164">
        <v>0.96344450000000004</v>
      </c>
      <c r="Y9164">
        <v>-0.59738069999999999</v>
      </c>
      <c r="Z9164">
        <v>1.6242300000000001E-2</v>
      </c>
      <c r="AA9164">
        <v>0.80179330000000004</v>
      </c>
      <c r="AB9164">
        <v>25</v>
      </c>
      <c r="AC9164">
        <v>0.50330000000002395</v>
      </c>
      <c r="AD9164">
        <v>-9.2562999999999895E-2</v>
      </c>
      <c r="AE9164">
        <v>0.68386999999999099</v>
      </c>
      <c r="AF9164">
        <v>-0.55488934932840495</v>
      </c>
      <c r="AG9164">
        <v>-9.2562999999999895E-2</v>
      </c>
      <c r="AH9164">
        <v>0.62948529891368699</v>
      </c>
      <c r="AI9164">
        <v>96.294685246712902</v>
      </c>
      <c r="AJ9164">
        <v>131.39607709225999</v>
      </c>
      <c r="AK9164">
        <v>0.84422854756016996</v>
      </c>
      <c r="AL9164">
        <v>92.497264590258396</v>
      </c>
      <c r="AM9164">
        <v>105.3427278794</v>
      </c>
      <c r="AN9164">
        <v>0.99999998051535199</v>
      </c>
    </row>
    <row r="9165" spans="1:40" x14ac:dyDescent="0.25">
      <c r="A9165" t="str">
        <f>"20190303154018590"</f>
        <v>20190303154018590</v>
      </c>
      <c r="B9165" t="str">
        <f>"1551598818587435"</f>
        <v>1551598818587435</v>
      </c>
      <c r="C9165" t="s">
        <v>40</v>
      </c>
      <c r="D9165">
        <v>4.2902559999999896</v>
      </c>
      <c r="E9165">
        <v>0.33091690000000001</v>
      </c>
      <c r="F9165" t="s">
        <v>63</v>
      </c>
      <c r="G9165">
        <v>-192.286</v>
      </c>
      <c r="H9165" s="1">
        <v>-9.1626029999999992E-6</v>
      </c>
      <c r="I9165">
        <v>-52.77093</v>
      </c>
      <c r="J9165">
        <v>-199.2252</v>
      </c>
      <c r="K9165">
        <v>1.129375</v>
      </c>
      <c r="L9165">
        <v>-61.397739999999999</v>
      </c>
      <c r="M9165">
        <v>0.97530539999999999</v>
      </c>
      <c r="N9165">
        <v>-1.0067120000000001E-2</v>
      </c>
      <c r="O9165">
        <v>0.22063150000000001</v>
      </c>
      <c r="P9165">
        <v>0.87955740000000004</v>
      </c>
      <c r="Q9165">
        <v>-4.7840290000000001E-2</v>
      </c>
      <c r="R9165">
        <v>0.47338170000000002</v>
      </c>
      <c r="S9165">
        <v>2.0566409999999999</v>
      </c>
      <c r="T9165">
        <v>-0.3272583</v>
      </c>
      <c r="U9165">
        <v>2.5126949999999999</v>
      </c>
      <c r="V9165">
        <v>-0.26677269999999997</v>
      </c>
      <c r="W9165">
        <v>-4.3848650000000003E-2</v>
      </c>
      <c r="X9165">
        <v>0.96276150000000005</v>
      </c>
      <c r="Y9165">
        <v>-0.61261869999999996</v>
      </c>
      <c r="Z9165">
        <v>1.6968380000000002E-2</v>
      </c>
      <c r="AA9165">
        <v>0.79019640000000002</v>
      </c>
      <c r="AB9165">
        <v>25</v>
      </c>
      <c r="AC9165">
        <v>6.93920000000002</v>
      </c>
      <c r="AD9165">
        <v>-1.1293841626029999</v>
      </c>
      <c r="AE9165">
        <v>8.6268099999999901</v>
      </c>
      <c r="AF9165">
        <v>-6.8122282419784597</v>
      </c>
      <c r="AG9165">
        <v>-1.1293841626029999</v>
      </c>
      <c r="AH9165">
        <v>8.5823161251117703</v>
      </c>
      <c r="AI9165">
        <v>95.884770681643005</v>
      </c>
      <c r="AJ9165">
        <v>128.44084944456799</v>
      </c>
      <c r="AK9165">
        <v>11.0153580186438</v>
      </c>
      <c r="AL9165">
        <v>92.513148256681205</v>
      </c>
      <c r="AM9165">
        <v>105.48758225974299</v>
      </c>
      <c r="AN9165">
        <v>1.0000000417271799</v>
      </c>
    </row>
    <row r="9166" spans="1:40" x14ac:dyDescent="0.25">
      <c r="A9166" t="str">
        <f>"20190303154018600"</f>
        <v>20190303154018600</v>
      </c>
      <c r="B9166" t="str">
        <f>"1551598818597195"</f>
        <v>1551598818597195</v>
      </c>
      <c r="C9166" t="s">
        <v>40</v>
      </c>
      <c r="D9166">
        <v>4.1831230000000001</v>
      </c>
      <c r="E9166">
        <v>0.32762400000000003</v>
      </c>
      <c r="F9166" t="s">
        <v>63</v>
      </c>
      <c r="G9166">
        <v>-192.5932</v>
      </c>
      <c r="H9166" s="1">
        <v>-9.1956049999999992E-6</v>
      </c>
      <c r="I9166">
        <v>-52.764580000000002</v>
      </c>
      <c r="J9166">
        <v>-199.11510000000001</v>
      </c>
      <c r="K9166">
        <v>1.129521</v>
      </c>
      <c r="L9166">
        <v>-61.366</v>
      </c>
      <c r="M9166">
        <v>0.97390790000000005</v>
      </c>
      <c r="N9166">
        <v>-1.0160870000000001E-2</v>
      </c>
      <c r="O9166">
        <v>0.22671559999999999</v>
      </c>
      <c r="P9166">
        <v>0.87531499999999995</v>
      </c>
      <c r="Q9166">
        <v>-4.8136949999999998E-2</v>
      </c>
      <c r="R9166">
        <v>0.4811513</v>
      </c>
      <c r="S9166">
        <v>1.994766</v>
      </c>
      <c r="T9166">
        <v>-0.339696</v>
      </c>
      <c r="U9166">
        <v>2.5966800000000001</v>
      </c>
      <c r="V9166">
        <v>-0.26926909999999998</v>
      </c>
      <c r="W9166">
        <v>-4.4206469999999998E-2</v>
      </c>
      <c r="X9166">
        <v>0.96204990000000001</v>
      </c>
      <c r="Y9166">
        <v>-0.63164770000000003</v>
      </c>
      <c r="Z9166">
        <v>1.8242540000000002E-2</v>
      </c>
      <c r="AA9166">
        <v>0.77504090000000003</v>
      </c>
      <c r="AB9166">
        <v>25</v>
      </c>
      <c r="AC9166">
        <v>6.5219000000000102</v>
      </c>
      <c r="AD9166">
        <v>-1.1295301956049999</v>
      </c>
      <c r="AE9166">
        <v>8.6014199999999992</v>
      </c>
      <c r="AF9166">
        <v>-6.8240113017471504</v>
      </c>
      <c r="AG9166">
        <v>-1.1295301956049999</v>
      </c>
      <c r="AH9166">
        <v>8.2123141973213603</v>
      </c>
      <c r="AI9166">
        <v>96.038627648626601</v>
      </c>
      <c r="AJ9166">
        <v>129.724840628165</v>
      </c>
      <c r="AK9166">
        <v>10.7370886735968</v>
      </c>
      <c r="AL9166">
        <v>92.533669747769906</v>
      </c>
      <c r="AM9166">
        <v>105.63645461134401</v>
      </c>
      <c r="AN9166">
        <v>1.0000000351473399</v>
      </c>
    </row>
    <row r="9167" spans="1:40" x14ac:dyDescent="0.25">
      <c r="A9167" t="str">
        <f>"20190303154018610"</f>
        <v>20190303154018610</v>
      </c>
      <c r="B9167" t="str">
        <f>"1551598818606955"</f>
        <v>1551598818606955</v>
      </c>
      <c r="C9167" t="s">
        <v>40</v>
      </c>
      <c r="D9167">
        <v>4.1881700000000004</v>
      </c>
      <c r="E9167">
        <v>0.32550559999999901</v>
      </c>
      <c r="F9167" t="s">
        <v>63</v>
      </c>
      <c r="G9167">
        <v>-192.7098</v>
      </c>
      <c r="H9167" s="1">
        <v>-9.2145779999999996E-6</v>
      </c>
      <c r="I9167">
        <v>-52.744430000000001</v>
      </c>
      <c r="J9167">
        <v>-199.01249999999999</v>
      </c>
      <c r="K9167">
        <v>1.12965</v>
      </c>
      <c r="L9167">
        <v>-61.336329999999997</v>
      </c>
      <c r="M9167">
        <v>0.9725705</v>
      </c>
      <c r="N9167">
        <v>-1.0247569999999999E-2</v>
      </c>
      <c r="O9167">
        <v>0.2323827</v>
      </c>
      <c r="P9167">
        <v>0.87145879999999998</v>
      </c>
      <c r="Q9167">
        <v>-4.812864E-2</v>
      </c>
      <c r="R9167">
        <v>0.48810179999999997</v>
      </c>
      <c r="S9167">
        <v>1.958923</v>
      </c>
      <c r="T9167">
        <v>-0.34544629999999998</v>
      </c>
      <c r="U9167">
        <v>2.636749</v>
      </c>
      <c r="V9167">
        <v>-0.27130929999999998</v>
      </c>
      <c r="W9167">
        <v>-4.4249829999999997E-2</v>
      </c>
      <c r="X9167">
        <v>0.96147450000000001</v>
      </c>
      <c r="Y9167">
        <v>-0.63946599999999998</v>
      </c>
      <c r="Z9167">
        <v>1.8511489999999999E-2</v>
      </c>
      <c r="AA9167">
        <v>0.76859650000000002</v>
      </c>
      <c r="AB9167">
        <v>25</v>
      </c>
      <c r="AC9167">
        <v>6.3026999999999802</v>
      </c>
      <c r="AD9167">
        <v>-1.129659214578</v>
      </c>
      <c r="AE9167">
        <v>8.5919000000000008</v>
      </c>
      <c r="AF9167">
        <v>-6.81535376400244</v>
      </c>
      <c r="AG9167">
        <v>-1.129659214578</v>
      </c>
      <c r="AH9167">
        <v>8.0365326808313693</v>
      </c>
      <c r="AI9167">
        <v>96.119060661384097</v>
      </c>
      <c r="AJ9167">
        <v>130.29949579247699</v>
      </c>
      <c r="AK9167">
        <v>10.5976900501785</v>
      </c>
      <c r="AL9167">
        <v>92.536156618000703</v>
      </c>
      <c r="AM9167">
        <v>105.758028452001</v>
      </c>
      <c r="AN9167">
        <v>0.99999999893588398</v>
      </c>
    </row>
    <row r="9168" spans="1:40" x14ac:dyDescent="0.25">
      <c r="A9168" t="str">
        <f>"20190303154018620"</f>
        <v>20190303154018620</v>
      </c>
      <c r="B9168" t="str">
        <f>"1551598818617691"</f>
        <v>1551598818617691</v>
      </c>
      <c r="C9168" t="s">
        <v>40</v>
      </c>
      <c r="D9168">
        <v>4.176139</v>
      </c>
      <c r="E9168">
        <v>0.32394220000000001</v>
      </c>
      <c r="F9168" t="s">
        <v>63</v>
      </c>
      <c r="G9168">
        <v>-192.761</v>
      </c>
      <c r="H9168" s="1">
        <v>-9.2371559999999999E-6</v>
      </c>
      <c r="I9168">
        <v>-52.696390000000001</v>
      </c>
      <c r="J9168">
        <v>-198.89510000000001</v>
      </c>
      <c r="K9168">
        <v>1.129802</v>
      </c>
      <c r="L9168">
        <v>-61.300809999999998</v>
      </c>
      <c r="M9168">
        <v>0.97095319999999996</v>
      </c>
      <c r="N9168">
        <v>-1.0363249999999999E-2</v>
      </c>
      <c r="O9168">
        <v>0.23904529999999999</v>
      </c>
      <c r="P9168">
        <v>0.8670601</v>
      </c>
      <c r="Q9168">
        <v>-4.8456249999999999E-2</v>
      </c>
      <c r="R9168">
        <v>0.49584139999999999</v>
      </c>
      <c r="S9168">
        <v>1.929581</v>
      </c>
      <c r="T9168">
        <v>-0.34867700000000001</v>
      </c>
      <c r="U9168">
        <v>2.666779</v>
      </c>
      <c r="V9168">
        <v>-0.2732598</v>
      </c>
      <c r="W9168">
        <v>-4.460857E-2</v>
      </c>
      <c r="X9168">
        <v>0.96090540000000002</v>
      </c>
      <c r="Y9168">
        <v>-0.64382530000000004</v>
      </c>
      <c r="Z9168">
        <v>1.8329020000000001E-2</v>
      </c>
      <c r="AA9168">
        <v>0.76495299999999999</v>
      </c>
      <c r="AB9168">
        <v>25</v>
      </c>
      <c r="AC9168">
        <v>6.1341000000000099</v>
      </c>
      <c r="AD9168">
        <v>-1.1298112371560001</v>
      </c>
      <c r="AE9168">
        <v>8.6044199999999904</v>
      </c>
      <c r="AF9168">
        <v>-6.81067475057203</v>
      </c>
      <c r="AG9168">
        <v>-1.1298112371560001</v>
      </c>
      <c r="AH9168">
        <v>7.9226325774149897</v>
      </c>
      <c r="AI9168">
        <v>96.171993880455503</v>
      </c>
      <c r="AJ9168">
        <v>130.683933409725</v>
      </c>
      <c r="AK9168">
        <v>10.5085617924814</v>
      </c>
      <c r="AL9168">
        <v>92.556731180948404</v>
      </c>
      <c r="AM9168">
        <v>105.874555127116</v>
      </c>
      <c r="AN9168">
        <v>1.00000001528132</v>
      </c>
    </row>
    <row r="9169" spans="1:40" x14ac:dyDescent="0.25">
      <c r="A9169" t="str">
        <f>"20190303154018631"</f>
        <v>20190303154018631</v>
      </c>
      <c r="B9169" t="str">
        <f>"1551598818627451"</f>
        <v>1551598818627451</v>
      </c>
      <c r="C9169" t="s">
        <v>40</v>
      </c>
      <c r="D9169">
        <v>4.1835239999999896</v>
      </c>
      <c r="E9169">
        <v>0.32294580000000001</v>
      </c>
      <c r="F9169" t="s">
        <v>63</v>
      </c>
      <c r="G9169">
        <v>-192.80609999999999</v>
      </c>
      <c r="H9169" s="1">
        <v>-9.2535959999999997E-6</v>
      </c>
      <c r="I9169">
        <v>-52.663569999999901</v>
      </c>
      <c r="J9169">
        <v>-198.79519999999999</v>
      </c>
      <c r="K9169">
        <v>1.1299300000000001</v>
      </c>
      <c r="L9169">
        <v>-61.270319999999998</v>
      </c>
      <c r="M9169">
        <v>0.96953420000000001</v>
      </c>
      <c r="N9169">
        <v>-1.0463210000000001E-2</v>
      </c>
      <c r="O9169">
        <v>0.2447327</v>
      </c>
      <c r="P9169">
        <v>0.86330059999999997</v>
      </c>
      <c r="Q9169">
        <v>-4.9132809999999999E-2</v>
      </c>
      <c r="R9169">
        <v>0.50229290000000004</v>
      </c>
      <c r="S9169">
        <v>1.8994450000000001</v>
      </c>
      <c r="T9169">
        <v>-0.35244199999999998</v>
      </c>
      <c r="U9169">
        <v>2.694366</v>
      </c>
      <c r="V9169">
        <v>-0.27477380000000001</v>
      </c>
      <c r="W9169">
        <v>-4.5307510000000002E-2</v>
      </c>
      <c r="X9169">
        <v>0.96044079999999998</v>
      </c>
      <c r="Y9169">
        <v>-0.64868510000000001</v>
      </c>
      <c r="Z9169">
        <v>1.8303690000000001E-2</v>
      </c>
      <c r="AA9169">
        <v>0.76083679999999998</v>
      </c>
      <c r="AB9169">
        <v>25</v>
      </c>
      <c r="AC9169">
        <v>5.9890999999999996</v>
      </c>
      <c r="AD9169">
        <v>-1.12993925359599</v>
      </c>
      <c r="AE9169">
        <v>8.6067499999999999</v>
      </c>
      <c r="AF9169">
        <v>-6.8002171385382102</v>
      </c>
      <c r="AG9169">
        <v>-1.12993925359599</v>
      </c>
      <c r="AH9169">
        <v>7.8225818571133203</v>
      </c>
      <c r="AI9169">
        <v>96.221451986020696</v>
      </c>
      <c r="AJ9169">
        <v>131.000627756905</v>
      </c>
      <c r="AK9169">
        <v>10.426528797223099</v>
      </c>
      <c r="AL9169">
        <v>92.596818141211401</v>
      </c>
      <c r="AM9169">
        <v>105.96536731859</v>
      </c>
      <c r="AN9169">
        <v>0.99999997096673898</v>
      </c>
    </row>
    <row r="9170" spans="1:40" x14ac:dyDescent="0.25">
      <c r="A9170" t="str">
        <f>"20190303154018641"</f>
        <v>20190303154018641</v>
      </c>
      <c r="B9170" t="str">
        <f>"1551598818637214"</f>
        <v>1551598818637214</v>
      </c>
      <c r="C9170" t="s">
        <v>40</v>
      </c>
      <c r="D9170">
        <v>4.1496469999999999</v>
      </c>
      <c r="E9170">
        <v>0.3220364</v>
      </c>
      <c r="F9170" t="s">
        <v>63</v>
      </c>
      <c r="G9170">
        <v>-192.85319999999999</v>
      </c>
      <c r="H9170" s="1">
        <v>-9.2576070000000001E-6</v>
      </c>
      <c r="I9170">
        <v>-52.665480000000002</v>
      </c>
      <c r="J9170">
        <v>-198.6765</v>
      </c>
      <c r="K9170">
        <v>1.1300749999999999</v>
      </c>
      <c r="L9170">
        <v>-61.232570000000003</v>
      </c>
      <c r="M9170">
        <v>0.96776269999999998</v>
      </c>
      <c r="N9170">
        <v>-1.0602210000000001E-2</v>
      </c>
      <c r="O9170">
        <v>0.25164049999999999</v>
      </c>
      <c r="P9170">
        <v>0.8591105</v>
      </c>
      <c r="Q9170">
        <v>-4.9351680000000002E-2</v>
      </c>
      <c r="R9170">
        <v>0.509405</v>
      </c>
      <c r="S9170">
        <v>1.874954</v>
      </c>
      <c r="T9170">
        <v>-0.35654590000000003</v>
      </c>
      <c r="U9170">
        <v>2.7152099999999999</v>
      </c>
      <c r="V9170">
        <v>-0.2758409</v>
      </c>
      <c r="W9170">
        <v>-4.5511379999999997E-2</v>
      </c>
      <c r="X9170">
        <v>0.96012529999999996</v>
      </c>
      <c r="Y9170">
        <v>-0.65060229999999997</v>
      </c>
      <c r="Z9170">
        <v>1.7930410000000001E-2</v>
      </c>
      <c r="AA9170">
        <v>0.75920699999999997</v>
      </c>
      <c r="AB9170">
        <v>25</v>
      </c>
      <c r="AC9170">
        <v>5.8233000000000104</v>
      </c>
      <c r="AD9170">
        <v>-1.130084257607</v>
      </c>
      <c r="AE9170">
        <v>8.5670899999999897</v>
      </c>
      <c r="AF9170">
        <v>-6.7456331924217103</v>
      </c>
      <c r="AG9170">
        <v>-1.130084257607</v>
      </c>
      <c r="AH9170">
        <v>7.7001941852734603</v>
      </c>
      <c r="AI9170">
        <v>96.299484869651096</v>
      </c>
      <c r="AJ9170">
        <v>131.21946739450601</v>
      </c>
      <c r="AK9170">
        <v>10.299206187222</v>
      </c>
      <c r="AL9170">
        <v>92.608510914324498</v>
      </c>
      <c r="AM9170">
        <v>106.02918763036899</v>
      </c>
      <c r="AN9170">
        <v>1.0000000397612001</v>
      </c>
    </row>
    <row r="9171" spans="1:40" x14ac:dyDescent="0.25">
      <c r="A9171" t="str">
        <f>"20190303154018654"</f>
        <v>20190303154018654</v>
      </c>
      <c r="B9171" t="str">
        <f>"1551598818647414"</f>
        <v>1551598818647414</v>
      </c>
      <c r="C9171" t="s">
        <v>40</v>
      </c>
      <c r="D9171">
        <v>4.178941</v>
      </c>
      <c r="E9171">
        <v>0.32140279999999999</v>
      </c>
      <c r="F9171" t="s">
        <v>63</v>
      </c>
      <c r="G9171">
        <v>-192.85300000000001</v>
      </c>
      <c r="H9171" s="1">
        <v>-9.2769400000000003E-6</v>
      </c>
      <c r="I9171">
        <v>-52.612259999999999</v>
      </c>
      <c r="J9171">
        <v>-198.5564</v>
      </c>
      <c r="K9171">
        <v>1.130226</v>
      </c>
      <c r="L9171">
        <v>-61.193730000000002</v>
      </c>
      <c r="M9171">
        <v>0.9659008</v>
      </c>
      <c r="N9171">
        <v>-1.0752360000000001E-2</v>
      </c>
      <c r="O9171">
        <v>0.25868920000000001</v>
      </c>
      <c r="P9171">
        <v>0.85530509999999904</v>
      </c>
      <c r="Q9171">
        <v>-4.9464750000000002E-2</v>
      </c>
      <c r="R9171">
        <v>0.5157583</v>
      </c>
      <c r="S9171">
        <v>1.848724</v>
      </c>
      <c r="T9171">
        <v>-0.35876039999999998</v>
      </c>
      <c r="U9171">
        <v>2.7366329999999999</v>
      </c>
      <c r="V9171">
        <v>-0.27594449999999998</v>
      </c>
      <c r="W9171">
        <v>-4.5573490000000001E-2</v>
      </c>
      <c r="X9171">
        <v>0.96009250000000002</v>
      </c>
      <c r="Y9171">
        <v>-0.65280899999999997</v>
      </c>
      <c r="Z9171">
        <v>1.75027E-2</v>
      </c>
      <c r="AA9171">
        <v>0.757320199999999</v>
      </c>
      <c r="AB9171">
        <v>25</v>
      </c>
      <c r="AC9171">
        <v>5.70340000000001</v>
      </c>
      <c r="AD9171">
        <v>-1.1302352769399999</v>
      </c>
      <c r="AE9171">
        <v>8.5814699999999995</v>
      </c>
      <c r="AF9171">
        <v>-6.73282571377612</v>
      </c>
      <c r="AG9171">
        <v>-1.1302352769399999</v>
      </c>
      <c r="AH9171">
        <v>7.6374062557368898</v>
      </c>
      <c r="AI9171">
        <v>96.334458007053797</v>
      </c>
      <c r="AJ9171">
        <v>131.398085079298</v>
      </c>
      <c r="AK9171">
        <v>10.243942023874</v>
      </c>
      <c r="AL9171">
        <v>92.612073461592502</v>
      </c>
      <c r="AM9171">
        <v>106.03541809412501</v>
      </c>
      <c r="AN9171">
        <v>0.99999995931363905</v>
      </c>
    </row>
    <row r="9172" spans="1:40" x14ac:dyDescent="0.25">
      <c r="A9172" t="str">
        <f>"20190303154018664"</f>
        <v>20190303154018664</v>
      </c>
      <c r="B9172" t="str">
        <f>"1551598818657174"</f>
        <v>1551598818657174</v>
      </c>
      <c r="C9172" t="s">
        <v>40</v>
      </c>
      <c r="D9172">
        <v>4.1788540000000003</v>
      </c>
      <c r="E9172">
        <v>0.32097779999999998</v>
      </c>
      <c r="F9172" t="s">
        <v>63</v>
      </c>
      <c r="G9172">
        <v>-192.8236</v>
      </c>
      <c r="H9172" s="1">
        <v>-9.2986559999999992E-6</v>
      </c>
      <c r="I9172">
        <v>-52.544460000000001</v>
      </c>
      <c r="J9172">
        <v>-198.4426</v>
      </c>
      <c r="K9172">
        <v>1.1303669999999999</v>
      </c>
      <c r="L9172">
        <v>-61.155790000000003</v>
      </c>
      <c r="M9172">
        <v>0.96405549999999995</v>
      </c>
      <c r="N9172">
        <v>-1.0911590000000001E-2</v>
      </c>
      <c r="O9172">
        <v>0.2654765</v>
      </c>
      <c r="P9172">
        <v>0.85165970000000002</v>
      </c>
      <c r="Q9172">
        <v>-4.9747079999999999E-2</v>
      </c>
      <c r="R9172">
        <v>0.521729</v>
      </c>
      <c r="S9172">
        <v>1.825699</v>
      </c>
      <c r="T9172">
        <v>-0.35994419999999999</v>
      </c>
      <c r="U9172">
        <v>2.7545169999999999</v>
      </c>
      <c r="V9172">
        <v>-0.27589509999999901</v>
      </c>
      <c r="W9172">
        <v>-4.5784850000000002E-2</v>
      </c>
      <c r="X9172">
        <v>0.96009670000000003</v>
      </c>
      <c r="Y9172">
        <v>-0.65415109999999999</v>
      </c>
      <c r="Z9172">
        <v>1.7000399999999999E-2</v>
      </c>
      <c r="AA9172">
        <v>0.75617290000000004</v>
      </c>
      <c r="AB9172">
        <v>25</v>
      </c>
      <c r="AC9172">
        <v>5.6189999999999998</v>
      </c>
      <c r="AD9172">
        <v>-1.130376298656</v>
      </c>
      <c r="AE9172">
        <v>8.6113300000000006</v>
      </c>
      <c r="AF9172">
        <v>-6.7291699297131196</v>
      </c>
      <c r="AG9172">
        <v>-1.130376298656</v>
      </c>
      <c r="AH9172">
        <v>7.6116047381210397</v>
      </c>
      <c r="AI9172">
        <v>96.348701383028498</v>
      </c>
      <c r="AJ9172">
        <v>131.47884276012601</v>
      </c>
      <c r="AK9172">
        <v>10.2223287566437</v>
      </c>
      <c r="AL9172">
        <v>92.624196003274506</v>
      </c>
      <c r="AM9172">
        <v>106.03262841233899</v>
      </c>
      <c r="AN9172">
        <v>1.00000001602221</v>
      </c>
    </row>
    <row r="9173" spans="1:40" x14ac:dyDescent="0.25">
      <c r="A9173" t="str">
        <f>"20190303154018675"</f>
        <v>20190303154018675</v>
      </c>
      <c r="B9173" t="str">
        <f>"1551598818666934"</f>
        <v>1551598818666934</v>
      </c>
      <c r="C9173" t="s">
        <v>40</v>
      </c>
      <c r="D9173">
        <v>4.2132560000000003</v>
      </c>
      <c r="E9173">
        <v>0.32064510000000002</v>
      </c>
      <c r="F9173" t="s">
        <v>63</v>
      </c>
      <c r="G9173">
        <v>-192.79939999999999</v>
      </c>
      <c r="H9173" s="1">
        <v>-9.3145950000000002E-6</v>
      </c>
      <c r="I9173">
        <v>-52.493949999999998</v>
      </c>
      <c r="J9173">
        <v>-198.3272</v>
      </c>
      <c r="K9173">
        <v>1.1305069999999999</v>
      </c>
      <c r="L9173">
        <v>-61.116269999999901</v>
      </c>
      <c r="M9173">
        <v>0.96210469999999904</v>
      </c>
      <c r="N9173">
        <v>-1.108921E-2</v>
      </c>
      <c r="O9173">
        <v>0.27245469999999999</v>
      </c>
      <c r="P9173">
        <v>0.84809579999999996</v>
      </c>
      <c r="Q9173">
        <v>-5.016433E-2</v>
      </c>
      <c r="R9173">
        <v>0.52746309999999996</v>
      </c>
      <c r="S9173">
        <v>1.804581</v>
      </c>
      <c r="T9173">
        <v>-0.3614695</v>
      </c>
      <c r="U9173">
        <v>2.7698670000000001</v>
      </c>
      <c r="V9173">
        <v>-0.27540310000000001</v>
      </c>
      <c r="W9173">
        <v>-4.6099960000000002E-2</v>
      </c>
      <c r="X9173">
        <v>0.96022280000000004</v>
      </c>
      <c r="Y9173">
        <v>-0.65464259999999996</v>
      </c>
      <c r="Z9173">
        <v>1.642159E-2</v>
      </c>
      <c r="AA9173">
        <v>0.75576019999999999</v>
      </c>
      <c r="AB9173">
        <v>25</v>
      </c>
      <c r="AC9173">
        <v>5.5278000000000098</v>
      </c>
      <c r="AD9173">
        <v>-1.1305163145949999</v>
      </c>
      <c r="AE9173">
        <v>8.6223199999999895</v>
      </c>
      <c r="AF9173">
        <v>-6.7081874478108698</v>
      </c>
      <c r="AG9173">
        <v>-1.1305163145949999</v>
      </c>
      <c r="AH9173">
        <v>7.5756866790020796</v>
      </c>
      <c r="AI9173">
        <v>96.374875276385694</v>
      </c>
      <c r="AJ9173">
        <v>131.52453749513401</v>
      </c>
      <c r="AK9173">
        <v>10.181791327214601</v>
      </c>
      <c r="AL9173">
        <v>92.642269735498104</v>
      </c>
      <c r="AM9173">
        <v>106.003508936758</v>
      </c>
      <c r="AN9173">
        <v>0.99999994972072404</v>
      </c>
    </row>
    <row r="9174" spans="1:40" x14ac:dyDescent="0.25">
      <c r="A9174" t="str">
        <f>"20190303154018687"</f>
        <v>20190303154018687</v>
      </c>
      <c r="B9174" t="str">
        <f>"1551598818676693"</f>
        <v>1551598818676693</v>
      </c>
      <c r="C9174" t="s">
        <v>40</v>
      </c>
      <c r="D9174">
        <v>4.1622649999999997</v>
      </c>
      <c r="E9174">
        <v>0.32044400000000001</v>
      </c>
      <c r="F9174" t="s">
        <v>63</v>
      </c>
      <c r="G9174">
        <v>-192.7758</v>
      </c>
      <c r="H9174" s="1">
        <v>-9.3269890000000006E-6</v>
      </c>
      <c r="I9174">
        <v>-52.453400000000002</v>
      </c>
      <c r="J9174">
        <v>-198.2056</v>
      </c>
      <c r="K9174">
        <v>1.130657</v>
      </c>
      <c r="L9174">
        <v>-61.073729999999998</v>
      </c>
      <c r="M9174">
        <v>0.95996859999999995</v>
      </c>
      <c r="N9174">
        <v>-1.1288619999999999E-2</v>
      </c>
      <c r="O9174">
        <v>0.27988030000000003</v>
      </c>
      <c r="P9174">
        <v>0.84426190000000001</v>
      </c>
      <c r="Q9174">
        <v>-5.1189819999999997E-2</v>
      </c>
      <c r="R9174">
        <v>0.53348059999999997</v>
      </c>
      <c r="S9174">
        <v>1.7842100000000001</v>
      </c>
      <c r="T9174">
        <v>-0.36334719999999998</v>
      </c>
      <c r="U9174">
        <v>2.7842410000000002</v>
      </c>
      <c r="V9174">
        <v>-0.27479480000000001</v>
      </c>
      <c r="W9174">
        <v>-4.7001750000000002E-2</v>
      </c>
      <c r="X9174">
        <v>0.96035340000000002</v>
      </c>
      <c r="Y9174">
        <v>-0.65450319999999995</v>
      </c>
      <c r="Z9174">
        <v>1.5753980000000001E-2</v>
      </c>
      <c r="AA9174">
        <v>0.75589510000000004</v>
      </c>
      <c r="AB9174">
        <v>25</v>
      </c>
      <c r="AC9174">
        <v>5.4298000000000002</v>
      </c>
      <c r="AD9174">
        <v>-1.130666326989</v>
      </c>
      <c r="AE9174">
        <v>8.6203299999999992</v>
      </c>
      <c r="AF9174">
        <v>-6.6737817757230102</v>
      </c>
      <c r="AG9174">
        <v>-1.130666326989</v>
      </c>
      <c r="AH9174">
        <v>7.5328026328420599</v>
      </c>
      <c r="AI9174">
        <v>96.410215045585701</v>
      </c>
      <c r="AJ9174">
        <v>131.539744123514</v>
      </c>
      <c r="AK9174">
        <v>10.127234816982901</v>
      </c>
      <c r="AL9174">
        <v>92.693994439789094</v>
      </c>
      <c r="AM9174">
        <v>105.96790430953899</v>
      </c>
      <c r="AN9174">
        <v>0.99999999975083098</v>
      </c>
    </row>
    <row r="9175" spans="1:40" x14ac:dyDescent="0.25">
      <c r="A9175" t="str">
        <f>"20190303154018701"</f>
        <v>20190303154018701</v>
      </c>
      <c r="B9175" t="str">
        <f>"1551598818697189"</f>
        <v>1551598818697189</v>
      </c>
      <c r="C9175" t="s">
        <v>40</v>
      </c>
      <c r="D9175">
        <v>4.1926629999999996</v>
      </c>
      <c r="E9175">
        <v>0.32049670000000002</v>
      </c>
      <c r="F9175" t="s">
        <v>63</v>
      </c>
      <c r="G9175">
        <v>-192.78370000000001</v>
      </c>
      <c r="H9175" s="1">
        <v>-9.3217999999999994E-6</v>
      </c>
      <c r="I9175">
        <v>-52.469839999999998</v>
      </c>
      <c r="J9175">
        <v>-198.07919999999999</v>
      </c>
      <c r="K9175">
        <v>1.1308049999999901</v>
      </c>
      <c r="L9175">
        <v>-61.027769999999997</v>
      </c>
      <c r="M9175">
        <v>0.95763399999999999</v>
      </c>
      <c r="N9175">
        <v>-1.152336E-2</v>
      </c>
      <c r="O9175">
        <v>0.2877574</v>
      </c>
      <c r="P9175">
        <v>0.84027830000000003</v>
      </c>
      <c r="Q9175">
        <v>-5.2032290000000002E-2</v>
      </c>
      <c r="R9175">
        <v>0.53965280000000004</v>
      </c>
      <c r="S9175">
        <v>1.7631380000000001</v>
      </c>
      <c r="T9175">
        <v>-0.36768289999999998</v>
      </c>
      <c r="U9175">
        <v>2.7979129999999999</v>
      </c>
      <c r="V9175">
        <v>-0.2739278</v>
      </c>
      <c r="W9175">
        <v>-4.767735E-2</v>
      </c>
      <c r="X9175">
        <v>0.96056779999999997</v>
      </c>
      <c r="Y9175">
        <v>-0.65401039999999999</v>
      </c>
      <c r="Z9175">
        <v>1.5071080000000001E-2</v>
      </c>
      <c r="AA9175">
        <v>0.75633539999999999</v>
      </c>
      <c r="AB9175">
        <v>25</v>
      </c>
      <c r="AC9175">
        <v>5.2954999999999703</v>
      </c>
      <c r="AD9175">
        <v>-1.13081432179999</v>
      </c>
      <c r="AE9175">
        <v>8.55792999999999</v>
      </c>
      <c r="AF9175">
        <v>-6.5887999912483899</v>
      </c>
      <c r="AG9175">
        <v>-1.13081432179999</v>
      </c>
      <c r="AH9175">
        <v>7.4403192946335599</v>
      </c>
      <c r="AI9175">
        <v>96.491367998941399</v>
      </c>
      <c r="AJ9175">
        <v>131.526604418967</v>
      </c>
      <c r="AK9175">
        <v>10.002468573365199</v>
      </c>
      <c r="AL9175">
        <v>92.732746823052594</v>
      </c>
      <c r="AM9175">
        <v>105.916707948916</v>
      </c>
      <c r="AN9175">
        <v>1.0000000338563499</v>
      </c>
    </row>
    <row r="9176" spans="1:40" x14ac:dyDescent="0.25">
      <c r="A9176" t="str">
        <f>"20190303154018712"</f>
        <v>20190303154018712</v>
      </c>
      <c r="B9176" t="str">
        <f>"1551598818706950"</f>
        <v>1551598818706950</v>
      </c>
      <c r="C9176" t="s">
        <v>40</v>
      </c>
      <c r="D9176">
        <v>4.2184200000000001</v>
      </c>
      <c r="E9176">
        <v>0.32067659999999998</v>
      </c>
      <c r="F9176" t="s">
        <v>63</v>
      </c>
      <c r="G9176">
        <v>-192.7877</v>
      </c>
      <c r="H9176" s="1">
        <v>-9.313129E-6</v>
      </c>
      <c r="I9176">
        <v>-52.494770000000003</v>
      </c>
      <c r="J9176">
        <v>-197.9502</v>
      </c>
      <c r="K9176">
        <v>1.130959</v>
      </c>
      <c r="L9176">
        <v>-60.980069999999998</v>
      </c>
      <c r="M9176">
        <v>0.95515919999999999</v>
      </c>
      <c r="N9176">
        <v>-1.177404E-2</v>
      </c>
      <c r="O9176">
        <v>0.29585840000000002</v>
      </c>
      <c r="P9176">
        <v>0.83605149999999995</v>
      </c>
      <c r="Q9176">
        <v>-5.3025570000000001E-2</v>
      </c>
      <c r="R9176">
        <v>0.54608259999999997</v>
      </c>
      <c r="S9176">
        <v>1.742523</v>
      </c>
      <c r="T9176">
        <v>-0.37238379999999999</v>
      </c>
      <c r="U9176">
        <v>2.8099669999999999</v>
      </c>
      <c r="V9176">
        <v>-0.27314569999999999</v>
      </c>
      <c r="W9176">
        <v>-4.8490110000000003E-2</v>
      </c>
      <c r="X9176">
        <v>0.96074979999999999</v>
      </c>
      <c r="Y9176">
        <v>-0.65303859999999903</v>
      </c>
      <c r="Z9176">
        <v>1.4315029999999999E-2</v>
      </c>
      <c r="AA9176">
        <v>0.75718940000000001</v>
      </c>
      <c r="AB9176">
        <v>25</v>
      </c>
      <c r="AC9176">
        <v>5.1624999999999899</v>
      </c>
      <c r="AD9176">
        <v>-1.130968313129</v>
      </c>
      <c r="AE9176">
        <v>8.4853000000000005</v>
      </c>
      <c r="AF9176">
        <v>-6.4937041301747502</v>
      </c>
      <c r="AG9176">
        <v>-1.130968313129</v>
      </c>
      <c r="AH9176">
        <v>7.3467174213397897</v>
      </c>
      <c r="AI9176">
        <v>96.579615633355203</v>
      </c>
      <c r="AJ9176">
        <v>131.47320574009501</v>
      </c>
      <c r="AK9176">
        <v>9.8702350288414191</v>
      </c>
      <c r="AL9176">
        <v>92.779368502592703</v>
      </c>
      <c r="AM9176">
        <v>105.870701064155</v>
      </c>
      <c r="AN9176">
        <v>1.0000000211981701</v>
      </c>
    </row>
    <row r="9177" spans="1:40" x14ac:dyDescent="0.25">
      <c r="A9177" t="str">
        <f>"20190303154018723"</f>
        <v>20190303154018723</v>
      </c>
      <c r="B9177" t="str">
        <f>"1551598818716711"</f>
        <v>1551598818716711</v>
      </c>
      <c r="C9177" t="s">
        <v>40</v>
      </c>
      <c r="D9177">
        <v>4.2465929999999998</v>
      </c>
      <c r="E9177">
        <v>0.3209591</v>
      </c>
      <c r="F9177" t="s">
        <v>63</v>
      </c>
      <c r="G9177">
        <v>-192.7851</v>
      </c>
      <c r="H9177" s="1">
        <v>-9.3058479999999995E-6</v>
      </c>
      <c r="I9177">
        <v>-52.51408</v>
      </c>
      <c r="J9177">
        <v>-197.83930000000001</v>
      </c>
      <c r="K9177">
        <v>1.1310880000000001</v>
      </c>
      <c r="L9177">
        <v>-60.93759</v>
      </c>
      <c r="M9177">
        <v>0.95293229999999995</v>
      </c>
      <c r="N9177">
        <v>-1.2009769999999999E-2</v>
      </c>
      <c r="O9177">
        <v>0.30294529999999997</v>
      </c>
      <c r="P9177">
        <v>0.83211610000000003</v>
      </c>
      <c r="Q9177">
        <v>-5.4072460000000003E-2</v>
      </c>
      <c r="R9177">
        <v>0.55195930000000004</v>
      </c>
      <c r="S9177">
        <v>1.721436</v>
      </c>
      <c r="T9177">
        <v>-0.37693169999999998</v>
      </c>
      <c r="U9177">
        <v>2.821564</v>
      </c>
      <c r="V9177">
        <v>-0.2727656</v>
      </c>
      <c r="W9177">
        <v>-4.9366939999999998E-2</v>
      </c>
      <c r="X9177">
        <v>0.96081309999999998</v>
      </c>
      <c r="Y9177">
        <v>-0.6528851</v>
      </c>
      <c r="Z9177">
        <v>1.3712230000000001E-2</v>
      </c>
      <c r="AA9177">
        <v>0.75733280000000003</v>
      </c>
      <c r="AB9177">
        <v>25</v>
      </c>
      <c r="AC9177">
        <v>5.0541999999999998</v>
      </c>
      <c r="AD9177">
        <v>-1.1310973058479901</v>
      </c>
      <c r="AE9177">
        <v>8.4235099999999896</v>
      </c>
      <c r="AF9177">
        <v>-6.4113566447574302</v>
      </c>
      <c r="AG9177">
        <v>-1.1310973058479901</v>
      </c>
      <c r="AH9177">
        <v>7.2722900456208404</v>
      </c>
      <c r="AI9177">
        <v>96.654553117319594</v>
      </c>
      <c r="AJ9177">
        <v>131.399869364328</v>
      </c>
      <c r="AK9177">
        <v>9.7606904289198599</v>
      </c>
      <c r="AL9177">
        <v>92.829667493108104</v>
      </c>
      <c r="AM9177">
        <v>105.84873449057299</v>
      </c>
      <c r="AN9177">
        <v>0.999999990219966</v>
      </c>
    </row>
    <row r="9178" spans="1:40" x14ac:dyDescent="0.25">
      <c r="A9178" t="str">
        <f>"20190303154018736"</f>
        <v>20190303154018736</v>
      </c>
      <c r="B9178" t="str">
        <f>"1551598818727446"</f>
        <v>1551598818727446</v>
      </c>
      <c r="C9178" t="s">
        <v>40</v>
      </c>
      <c r="D9178">
        <v>4.2415909999999997</v>
      </c>
      <c r="E9178">
        <v>0.32121850000000002</v>
      </c>
      <c r="F9178" t="s">
        <v>63</v>
      </c>
      <c r="G9178">
        <v>-192.79069999999999</v>
      </c>
      <c r="H9178" s="1">
        <v>-9.2965169999999997E-6</v>
      </c>
      <c r="I9178">
        <v>-52.5413</v>
      </c>
      <c r="J9178">
        <v>-197.71369999999999</v>
      </c>
      <c r="K9178">
        <v>1.1312260000000001</v>
      </c>
      <c r="L9178">
        <v>-60.888370000000002</v>
      </c>
      <c r="M9178">
        <v>0.95031169999999998</v>
      </c>
      <c r="N9178">
        <v>-1.228684E-2</v>
      </c>
      <c r="O9178">
        <v>0.31105719999999998</v>
      </c>
      <c r="P9178">
        <v>0.8275844</v>
      </c>
      <c r="Q9178">
        <v>-5.5232080000000003E-2</v>
      </c>
      <c r="R9178">
        <v>0.55861740000000004</v>
      </c>
      <c r="S9178">
        <v>1.702423</v>
      </c>
      <c r="T9178">
        <v>-0.381415</v>
      </c>
      <c r="U9178">
        <v>2.831299</v>
      </c>
      <c r="V9178">
        <v>-0.2722716</v>
      </c>
      <c r="W9178">
        <v>-5.0319049999999997E-2</v>
      </c>
      <c r="X9178">
        <v>0.96090379999999997</v>
      </c>
      <c r="Y9178">
        <v>-0.65129419999999905</v>
      </c>
      <c r="Z9178">
        <v>1.286202E-2</v>
      </c>
      <c r="AA9178">
        <v>0.75871630000000001</v>
      </c>
      <c r="AB9178">
        <v>25</v>
      </c>
      <c r="AC9178">
        <v>4.923</v>
      </c>
      <c r="AD9178">
        <v>-1.1312352965170001</v>
      </c>
      <c r="AE9178">
        <v>8.3470699999999898</v>
      </c>
      <c r="AF9178">
        <v>-6.3154080186603201</v>
      </c>
      <c r="AG9178">
        <v>-1.1312352965170001</v>
      </c>
      <c r="AH9178">
        <v>7.1775428689771097</v>
      </c>
      <c r="AI9178">
        <v>96.748143172873597</v>
      </c>
      <c r="AJ9178">
        <v>131.34404433600599</v>
      </c>
      <c r="AK9178">
        <v>9.6271072173446406</v>
      </c>
      <c r="AL9178">
        <v>92.884287322025898</v>
      </c>
      <c r="AM9178">
        <v>105.820050769131</v>
      </c>
      <c r="AN9178">
        <v>0.99999997190695</v>
      </c>
    </row>
    <row r="9179" spans="1:40" x14ac:dyDescent="0.25">
      <c r="A9179" t="str">
        <f>"20190303154018745"</f>
        <v>20190303154018745</v>
      </c>
      <c r="B9179" t="str">
        <f>"1551598818737206"</f>
        <v>1551598818737206</v>
      </c>
      <c r="C9179" t="s">
        <v>40</v>
      </c>
      <c r="D9179">
        <v>4.2208449999999997</v>
      </c>
      <c r="E9179">
        <v>0.32131310000000002</v>
      </c>
      <c r="F9179" t="s">
        <v>63</v>
      </c>
      <c r="G9179">
        <v>-192.78309999999999</v>
      </c>
      <c r="H9179" s="1">
        <v>-9.2940650000000006E-6</v>
      </c>
      <c r="I9179">
        <v>-52.545960000000001</v>
      </c>
      <c r="J9179">
        <v>-197.60050000000001</v>
      </c>
      <c r="K9179">
        <v>1.1313489999999999</v>
      </c>
      <c r="L9179">
        <v>-60.84308</v>
      </c>
      <c r="M9179">
        <v>0.94786280000000001</v>
      </c>
      <c r="N9179">
        <v>-1.2544929999999999E-2</v>
      </c>
      <c r="O9179">
        <v>0.31843179999999999</v>
      </c>
      <c r="P9179">
        <v>0.82313579999999997</v>
      </c>
      <c r="Q9179">
        <v>-5.6467799999999999E-2</v>
      </c>
      <c r="R9179">
        <v>0.56503000000000003</v>
      </c>
      <c r="S9179">
        <v>1.68026699999999</v>
      </c>
      <c r="T9179">
        <v>-0.38551059999999998</v>
      </c>
      <c r="U9179">
        <v>2.8429869999999999</v>
      </c>
      <c r="V9179">
        <v>-0.27225919999999998</v>
      </c>
      <c r="W9179">
        <v>-5.136959E-2</v>
      </c>
      <c r="X9179">
        <v>0.96085169999999998</v>
      </c>
      <c r="Y9179">
        <v>-0.65111819999999998</v>
      </c>
      <c r="Z9179">
        <v>1.2185700000000001E-2</v>
      </c>
      <c r="AA9179">
        <v>0.75887850000000001</v>
      </c>
      <c r="AB9179">
        <v>25</v>
      </c>
      <c r="AC9179">
        <v>4.8174000000000197</v>
      </c>
      <c r="AD9179">
        <v>-1.131358294065</v>
      </c>
      <c r="AE9179">
        <v>8.2971199999999996</v>
      </c>
      <c r="AF9179">
        <v>-6.24418901175261</v>
      </c>
      <c r="AG9179">
        <v>-1.131358294065</v>
      </c>
      <c r="AH9179">
        <v>7.1100017852819501</v>
      </c>
      <c r="AI9179">
        <v>96.817932455213594</v>
      </c>
      <c r="AJ9179">
        <v>131.290446589807</v>
      </c>
      <c r="AK9179">
        <v>9.5300573655542191</v>
      </c>
      <c r="AL9179">
        <v>92.944556858020604</v>
      </c>
      <c r="AM9179">
        <v>105.820181175925</v>
      </c>
      <c r="AN9179">
        <v>0.99999994807714698</v>
      </c>
    </row>
    <row r="9180" spans="1:40" x14ac:dyDescent="0.25">
      <c r="A9180" t="str">
        <f>"20190303154018756"</f>
        <v>20190303154018756</v>
      </c>
      <c r="B9180" t="str">
        <f>"1551598818746966"</f>
        <v>1551598818746966</v>
      </c>
      <c r="C9180" t="s">
        <v>40</v>
      </c>
      <c r="D9180">
        <v>4.2374179999999999</v>
      </c>
      <c r="E9180">
        <v>0.3214803</v>
      </c>
      <c r="F9180" t="s">
        <v>63</v>
      </c>
      <c r="G9180">
        <v>-192.78530000000001</v>
      </c>
      <c r="H9180" s="1">
        <v>-9.2920289999999995E-6</v>
      </c>
      <c r="I9180">
        <v>-52.552149999999997</v>
      </c>
      <c r="J9180">
        <v>-197.50749999999999</v>
      </c>
      <c r="K9180">
        <v>1.1314439999999999</v>
      </c>
      <c r="L9180">
        <v>-60.804569999999998</v>
      </c>
      <c r="M9180">
        <v>0.94576680000000002</v>
      </c>
      <c r="N9180">
        <v>-1.2761420000000001E-2</v>
      </c>
      <c r="O9180">
        <v>0.32459559999999998</v>
      </c>
      <c r="P9180">
        <v>0.8192893</v>
      </c>
      <c r="Q9180">
        <v>-5.7647909999999997E-2</v>
      </c>
      <c r="R9180">
        <v>0.57047510000000001</v>
      </c>
      <c r="S9180">
        <v>1.6581269999999999</v>
      </c>
      <c r="T9180">
        <v>-0.38958290000000001</v>
      </c>
      <c r="U9180">
        <v>2.8549799999999999</v>
      </c>
      <c r="V9180">
        <v>-0.27236660000000001</v>
      </c>
      <c r="W9180">
        <v>-5.2394589999999998E-2</v>
      </c>
      <c r="X9180">
        <v>0.96076600000000001</v>
      </c>
      <c r="Y9180">
        <v>-0.65192220000000001</v>
      </c>
      <c r="Z9180">
        <v>1.169751E-2</v>
      </c>
      <c r="AA9180">
        <v>0.75819559999999997</v>
      </c>
      <c r="AB9180">
        <v>25</v>
      </c>
      <c r="AC9180">
        <v>4.7221999999999804</v>
      </c>
      <c r="AD9180">
        <v>-1.1314532920289999</v>
      </c>
      <c r="AE9180">
        <v>8.2524199999999901</v>
      </c>
      <c r="AF9180">
        <v>-6.1849840975291404</v>
      </c>
      <c r="AG9180">
        <v>-1.1314532920289999</v>
      </c>
      <c r="AH9180">
        <v>7.0456074858263404</v>
      </c>
      <c r="AI9180">
        <v>96.881495359623699</v>
      </c>
      <c r="AJ9180">
        <v>131.27826798224299</v>
      </c>
      <c r="AK9180">
        <v>9.4432409522930101</v>
      </c>
      <c r="AL9180">
        <v>93.003363985227907</v>
      </c>
      <c r="AM9180">
        <v>105.827450269918</v>
      </c>
      <c r="AN9180">
        <v>1.00000003230641</v>
      </c>
    </row>
    <row r="9181" spans="1:40" x14ac:dyDescent="0.25">
      <c r="A9181" t="str">
        <f>"20190303154018768"</f>
        <v>20190303154018768</v>
      </c>
      <c r="B9181" t="str">
        <f>"1551598818756727"</f>
        <v>1551598818756727</v>
      </c>
      <c r="C9181" t="s">
        <v>40</v>
      </c>
      <c r="D9181">
        <v>4.2351609999999997</v>
      </c>
      <c r="E9181">
        <v>0.3216369</v>
      </c>
      <c r="F9181" t="s">
        <v>63</v>
      </c>
      <c r="G9181">
        <v>-192.7911</v>
      </c>
      <c r="H9181" s="1">
        <v>-9.2884359999999992E-6</v>
      </c>
      <c r="I9181">
        <v>-52.563630000000003</v>
      </c>
      <c r="J9181">
        <v>-197.3767</v>
      </c>
      <c r="K9181">
        <v>1.1315770000000001</v>
      </c>
      <c r="L9181">
        <v>-60.749940000000002</v>
      </c>
      <c r="M9181">
        <v>0.94273569999999995</v>
      </c>
      <c r="N9181">
        <v>-1.306626E-2</v>
      </c>
      <c r="O9181">
        <v>0.33328469999999999</v>
      </c>
      <c r="P9181">
        <v>0.81373819999999997</v>
      </c>
      <c r="Q9181">
        <v>-5.8639299999999998E-2</v>
      </c>
      <c r="R9181">
        <v>0.57826610000000001</v>
      </c>
      <c r="S9181">
        <v>1.6394200000000001</v>
      </c>
      <c r="T9181">
        <v>-0.3932947</v>
      </c>
      <c r="U9181">
        <v>2.864563</v>
      </c>
      <c r="V9181">
        <v>-0.27268340000000002</v>
      </c>
      <c r="W9181">
        <v>-5.317098E-2</v>
      </c>
      <c r="X9181">
        <v>0.96063350000000003</v>
      </c>
      <c r="Y9181">
        <v>-0.64976859999999903</v>
      </c>
      <c r="Z9181">
        <v>1.066492E-2</v>
      </c>
      <c r="AA9181">
        <v>0.76005730000000005</v>
      </c>
      <c r="AB9181">
        <v>25</v>
      </c>
      <c r="AC9181">
        <v>4.5856000000000003</v>
      </c>
      <c r="AD9181">
        <v>-1.131586288436</v>
      </c>
      <c r="AE9181">
        <v>8.18630999999999</v>
      </c>
      <c r="AF9181">
        <v>-6.1010126692632802</v>
      </c>
      <c r="AG9181">
        <v>-1.131586288436</v>
      </c>
      <c r="AH9181">
        <v>6.9508901319710699</v>
      </c>
      <c r="AI9181">
        <v>96.9755672306744</v>
      </c>
      <c r="AJ9181">
        <v>131.27443249126401</v>
      </c>
      <c r="AK9181">
        <v>9.3176025213259894</v>
      </c>
      <c r="AL9181">
        <v>93.047909880614597</v>
      </c>
      <c r="AM9181">
        <v>105.847011647717</v>
      </c>
      <c r="AN9181">
        <v>1.00000005553598</v>
      </c>
    </row>
    <row r="9182" spans="1:40" x14ac:dyDescent="0.25">
      <c r="A9182" t="str">
        <f>"20190303154018779"</f>
        <v>20190303154018779</v>
      </c>
      <c r="B9182" t="str">
        <f>"1551598818767462"</f>
        <v>1551598818767462</v>
      </c>
      <c r="C9182" t="s">
        <v>40</v>
      </c>
      <c r="D9182">
        <v>4.272824</v>
      </c>
      <c r="E9182">
        <v>0.32184059999999998</v>
      </c>
      <c r="F9182" t="s">
        <v>44</v>
      </c>
      <c r="G9182">
        <v>-196.92760000000001</v>
      </c>
      <c r="H9182">
        <v>1.0211429999999999</v>
      </c>
      <c r="I9182">
        <v>-59.948030000000003</v>
      </c>
      <c r="J9182">
        <v>-197.28479999999999</v>
      </c>
      <c r="K9182">
        <v>1.1316630000000001</v>
      </c>
      <c r="L9182">
        <v>-60.709809999999997</v>
      </c>
      <c r="M9182">
        <v>0.94050140000000004</v>
      </c>
      <c r="N9182">
        <v>-1.327798E-2</v>
      </c>
      <c r="O9182">
        <v>0.33953060000000002</v>
      </c>
      <c r="P9182">
        <v>0.80922629999999995</v>
      </c>
      <c r="Q9182">
        <v>-5.9156309999999997E-2</v>
      </c>
      <c r="R9182">
        <v>0.58451119999999901</v>
      </c>
      <c r="S9182">
        <v>1.6122590000000001</v>
      </c>
      <c r="T9182">
        <v>-0.39646209999999998</v>
      </c>
      <c r="U9182">
        <v>2.8789370000000001</v>
      </c>
      <c r="V9182">
        <v>-0.2736982</v>
      </c>
      <c r="W9182">
        <v>-5.3560980000000001E-2</v>
      </c>
      <c r="X9182">
        <v>0.96032320000000004</v>
      </c>
      <c r="Y9182">
        <v>-0.65176190000000001</v>
      </c>
      <c r="Z9182">
        <v>1.023514E-2</v>
      </c>
      <c r="AA9182">
        <v>0.75835459999999999</v>
      </c>
      <c r="AB9182">
        <v>25</v>
      </c>
      <c r="AC9182">
        <v>0.35719999999997698</v>
      </c>
      <c r="AD9182">
        <v>-0.11051999999999899</v>
      </c>
      <c r="AE9182">
        <v>0.76177999999999402</v>
      </c>
      <c r="AF9182">
        <v>-0.58513092836125202</v>
      </c>
      <c r="AG9182">
        <v>-0.11051999999999899</v>
      </c>
      <c r="AH9182">
        <v>0.58456061233408296</v>
      </c>
      <c r="AI9182">
        <v>97.611005910718305</v>
      </c>
      <c r="AJ9182">
        <v>135.02793616745799</v>
      </c>
      <c r="AK9182">
        <v>0.83444831069233905</v>
      </c>
      <c r="AL9182">
        <v>93.070287088896706</v>
      </c>
      <c r="AM9182">
        <v>105.907887871556</v>
      </c>
      <c r="AN9182">
        <v>1.0000000658600099</v>
      </c>
    </row>
    <row r="9183" spans="1:40" x14ac:dyDescent="0.25">
      <c r="A9183" t="str">
        <f>"20190303154018788"</f>
        <v>20190303154018788</v>
      </c>
      <c r="B9183" t="str">
        <f>"1551598818777221"</f>
        <v>1551598818777221</v>
      </c>
      <c r="C9183" t="s">
        <v>40</v>
      </c>
      <c r="D9183">
        <v>4.2043889999999999</v>
      </c>
      <c r="E9183">
        <v>0.32207780000000003</v>
      </c>
      <c r="F9183" t="s">
        <v>63</v>
      </c>
      <c r="G9183">
        <v>-192.7723</v>
      </c>
      <c r="H9183" s="1">
        <v>-9.3047950000000008E-6</v>
      </c>
      <c r="I9183">
        <v>-52.513460000000002</v>
      </c>
      <c r="J9183">
        <v>-197.18029999999999</v>
      </c>
      <c r="K9183">
        <v>1.131766</v>
      </c>
      <c r="L9183">
        <v>-60.664180000000002</v>
      </c>
      <c r="M9183">
        <v>0.93791259999999999</v>
      </c>
      <c r="N9183">
        <v>-1.351716E-2</v>
      </c>
      <c r="O9183">
        <v>0.34660829999999998</v>
      </c>
      <c r="P9183">
        <v>0.80409989999999998</v>
      </c>
      <c r="Q9183">
        <v>-5.932656E-2</v>
      </c>
      <c r="R9183">
        <v>0.59152660000000001</v>
      </c>
      <c r="S9183">
        <v>1.590881</v>
      </c>
      <c r="T9183">
        <v>-0.3989704</v>
      </c>
      <c r="U9183">
        <v>2.889618</v>
      </c>
      <c r="V9183">
        <v>-0.27480579999999999</v>
      </c>
      <c r="W9183">
        <v>-5.3587450000000002E-2</v>
      </c>
      <c r="X9183">
        <v>0.96000529999999995</v>
      </c>
      <c r="Y9183">
        <v>-0.65153149999999904</v>
      </c>
      <c r="Z9183">
        <v>9.4980819999999997E-3</v>
      </c>
      <c r="AA9183">
        <v>0.75856219999999996</v>
      </c>
      <c r="AB9183">
        <v>25</v>
      </c>
      <c r="AC9183">
        <v>4.4079999999999799</v>
      </c>
      <c r="AD9183">
        <v>-1.1317753047949899</v>
      </c>
      <c r="AE9183">
        <v>8.1507199999999997</v>
      </c>
      <c r="AF9183">
        <v>-6.0274556853044601</v>
      </c>
      <c r="AG9183">
        <v>-1.1317753047949899</v>
      </c>
      <c r="AH9183">
        <v>6.8577586648478999</v>
      </c>
      <c r="AI9183">
        <v>97.066373414772698</v>
      </c>
      <c r="AJ9183">
        <v>131.31304742415301</v>
      </c>
      <c r="AK9183">
        <v>9.1999995263124603</v>
      </c>
      <c r="AL9183">
        <v>93.071806063275801</v>
      </c>
      <c r="AM9183">
        <v>105.974005765158</v>
      </c>
      <c r="AN9183">
        <v>1.00000000926961</v>
      </c>
    </row>
    <row r="9184" spans="1:40" x14ac:dyDescent="0.25">
      <c r="A9184" t="str">
        <f>"20190303154018799"</f>
        <v>20190303154018799</v>
      </c>
      <c r="B9184" t="str">
        <f>"1551598818797719"</f>
        <v>1551598818797719</v>
      </c>
      <c r="C9184" t="s">
        <v>40</v>
      </c>
      <c r="D9184">
        <v>4.5412800000000004</v>
      </c>
      <c r="E9184">
        <v>0.32161840000000003</v>
      </c>
      <c r="F9184" t="s">
        <v>63</v>
      </c>
      <c r="G9184">
        <v>-192.75110000000001</v>
      </c>
      <c r="H9184" s="1">
        <v>-9.3213709999999992E-6</v>
      </c>
      <c r="I9184">
        <v>-52.462049999999998</v>
      </c>
      <c r="J9184">
        <v>-197.08240000000001</v>
      </c>
      <c r="K9184">
        <v>1.1318549999999901</v>
      </c>
      <c r="L9184">
        <v>-60.619630000000001</v>
      </c>
      <c r="M9184">
        <v>0.93538100000000002</v>
      </c>
      <c r="N9184">
        <v>-1.373245E-2</v>
      </c>
      <c r="O9184">
        <v>0.35337499999999999</v>
      </c>
      <c r="P9184">
        <v>0.79892549999999996</v>
      </c>
      <c r="Q9184">
        <v>-5.9444700000000003E-2</v>
      </c>
      <c r="R9184">
        <v>0.59848509999999999</v>
      </c>
      <c r="S9184">
        <v>1.5668489999999999</v>
      </c>
      <c r="T9184">
        <v>-0.4003718</v>
      </c>
      <c r="U9184">
        <v>2.9015499999999999</v>
      </c>
      <c r="V9184">
        <v>-0.2761979</v>
      </c>
      <c r="W9184">
        <v>-5.35881E-2</v>
      </c>
      <c r="X9184">
        <v>0.95960570000000001</v>
      </c>
      <c r="Y9184">
        <v>-0.65221890000000005</v>
      </c>
      <c r="Z9184">
        <v>8.8598319999999998E-3</v>
      </c>
      <c r="AA9184">
        <v>0.75797899999999996</v>
      </c>
      <c r="AB9184">
        <v>25</v>
      </c>
      <c r="AC9184">
        <v>4.3312999999999899</v>
      </c>
      <c r="AD9184">
        <v>-1.13186432137099</v>
      </c>
      <c r="AE9184">
        <v>8.15758000000001</v>
      </c>
      <c r="AF9184">
        <v>-6.0101870848850796</v>
      </c>
      <c r="AG9184">
        <v>-1.13186432137099</v>
      </c>
      <c r="AH9184">
        <v>6.83214996119173</v>
      </c>
      <c r="AI9184">
        <v>97.090473426758805</v>
      </c>
      <c r="AJ9184">
        <v>131.33782757410299</v>
      </c>
      <c r="AK9184">
        <v>9.1696095189230498</v>
      </c>
      <c r="AL9184">
        <v>93.071843289385797</v>
      </c>
      <c r="AM9184">
        <v>106.05710763637801</v>
      </c>
      <c r="AN9184">
        <v>1.0000000319492499</v>
      </c>
    </row>
    <row r="9185" spans="1:40" x14ac:dyDescent="0.25">
      <c r="A9185" t="str">
        <f>"20190303154018810"</f>
        <v>20190303154018810</v>
      </c>
      <c r="B9185" t="str">
        <f>"1551598818807478"</f>
        <v>1551598818807478</v>
      </c>
      <c r="C9185" t="s">
        <v>40</v>
      </c>
      <c r="D9185">
        <v>4.2356210000000001</v>
      </c>
      <c r="E9185">
        <v>0.32161840000000003</v>
      </c>
      <c r="F9185" t="s">
        <v>63</v>
      </c>
      <c r="G9185">
        <v>-192.7621</v>
      </c>
      <c r="H9185" s="1">
        <v>-9.3343880000000005E-6</v>
      </c>
      <c r="I9185">
        <v>-52.429279999999999</v>
      </c>
      <c r="J9185">
        <v>-196.9735</v>
      </c>
      <c r="K9185">
        <v>1.1319549999999901</v>
      </c>
      <c r="L9185">
        <v>-60.569920000000003</v>
      </c>
      <c r="M9185">
        <v>0.93250230000000001</v>
      </c>
      <c r="N9185">
        <v>-1.3969179999999999E-2</v>
      </c>
      <c r="O9185">
        <v>0.36089379999999999</v>
      </c>
      <c r="P9185">
        <v>0.7929138</v>
      </c>
      <c r="Q9185">
        <v>-5.936309E-2</v>
      </c>
      <c r="R9185">
        <v>0.60643530000000001</v>
      </c>
      <c r="S9185">
        <v>1.539169</v>
      </c>
      <c r="T9185">
        <v>-0.40324399999999999</v>
      </c>
      <c r="U9185">
        <v>2.9179379999999999</v>
      </c>
      <c r="V9185">
        <v>-0.27804990000000002</v>
      </c>
      <c r="W9185">
        <v>-5.3388310000000001E-2</v>
      </c>
      <c r="X9185">
        <v>0.95908179999999998</v>
      </c>
      <c r="Y9185">
        <v>-0.65348479999999998</v>
      </c>
      <c r="Z9185">
        <v>8.1842169999999902E-3</v>
      </c>
      <c r="AA9185">
        <v>0.7568954</v>
      </c>
      <c r="AB9185">
        <v>25</v>
      </c>
      <c r="AC9185">
        <v>4.2113999999999896</v>
      </c>
      <c r="AD9185">
        <v>-1.1319643343879999</v>
      </c>
      <c r="AE9185">
        <v>8.1406399999999906</v>
      </c>
      <c r="AF9185">
        <v>-5.98066660649482</v>
      </c>
      <c r="AG9185">
        <v>-1.1319643343879999</v>
      </c>
      <c r="AH9185">
        <v>6.7625670366957804</v>
      </c>
      <c r="AI9185">
        <v>97.146841125878396</v>
      </c>
      <c r="AJ9185">
        <v>131.48884248428701</v>
      </c>
      <c r="AK9185">
        <v>9.0984630151566304</v>
      </c>
      <c r="AL9185">
        <v>93.060379918454103</v>
      </c>
      <c r="AM9185">
        <v>106.16753982595699</v>
      </c>
      <c r="AN9185">
        <v>0.999999978812952</v>
      </c>
    </row>
    <row r="9186" spans="1:40" x14ac:dyDescent="0.25">
      <c r="A9186" t="str">
        <f>"20190303154018823"</f>
        <v>20190303154018823</v>
      </c>
      <c r="B9186" t="str">
        <f>"1551598818817239"</f>
        <v>1551598818817239</v>
      </c>
      <c r="C9186" t="s">
        <v>40</v>
      </c>
      <c r="D9186">
        <v>4.2077650000000002</v>
      </c>
      <c r="E9186">
        <v>0.26622050000000003</v>
      </c>
      <c r="F9186" t="s">
        <v>63</v>
      </c>
      <c r="G9186">
        <v>-192.74440000000001</v>
      </c>
      <c r="H9186" s="1">
        <v>-9.3589880000000002E-6</v>
      </c>
      <c r="I9186">
        <v>-52.356749999999998</v>
      </c>
      <c r="J9186">
        <v>-196.8468</v>
      </c>
      <c r="K9186">
        <v>1.1320589999999999</v>
      </c>
      <c r="L9186">
        <v>-60.509770000000003</v>
      </c>
      <c r="M9186">
        <v>0.92900249999999995</v>
      </c>
      <c r="N9186">
        <v>-1.422997E-2</v>
      </c>
      <c r="O9186">
        <v>0.36980010000000002</v>
      </c>
      <c r="P9186">
        <v>0.78597050000000002</v>
      </c>
      <c r="Q9186">
        <v>-5.9589110000000001E-2</v>
      </c>
      <c r="R9186">
        <v>0.61538570000000004</v>
      </c>
      <c r="S9186">
        <v>1.510178</v>
      </c>
      <c r="T9186">
        <v>-0.40421200000000002</v>
      </c>
      <c r="U9186">
        <v>2.9328310000000002</v>
      </c>
      <c r="V9186">
        <v>-0.27973799999999999</v>
      </c>
      <c r="W9186">
        <v>-5.34735E-2</v>
      </c>
      <c r="X9186">
        <v>0.95858600000000005</v>
      </c>
      <c r="Y9186">
        <v>-0.65374259999999995</v>
      </c>
      <c r="Z9186">
        <v>7.24967199999999E-3</v>
      </c>
      <c r="AA9186">
        <v>0.75668230000000003</v>
      </c>
      <c r="AB9186">
        <v>25</v>
      </c>
      <c r="AC9186">
        <v>4.1023999999999798</v>
      </c>
      <c r="AD9186">
        <v>-1.1320683589879901</v>
      </c>
      <c r="AE9186">
        <v>8.1530199999999908</v>
      </c>
      <c r="AF9186">
        <v>-5.9659356761043796</v>
      </c>
      <c r="AG9186">
        <v>-1.1320683589879901</v>
      </c>
      <c r="AH9186">
        <v>6.7233797332952596</v>
      </c>
      <c r="AI9186">
        <v>97.178259342101796</v>
      </c>
      <c r="AJ9186">
        <v>131.58398326627901</v>
      </c>
      <c r="AK9186">
        <v>9.0596800329218095</v>
      </c>
      <c r="AL9186">
        <v>93.065268042410594</v>
      </c>
      <c r="AM9186">
        <v>106.26849007351601</v>
      </c>
      <c r="AN9186">
        <v>0.99999994162112305</v>
      </c>
    </row>
    <row r="9187" spans="1:40" x14ac:dyDescent="0.25">
      <c r="A9187" t="str">
        <f>"20190303154018833"</f>
        <v>20190303154018833</v>
      </c>
      <c r="B9187" t="str">
        <f>"1551598818826998"</f>
        <v>1551598818826998</v>
      </c>
      <c r="C9187" t="s">
        <v>40</v>
      </c>
      <c r="D9187">
        <v>4.2028730000000003</v>
      </c>
      <c r="E9187">
        <v>0.26541009999999998</v>
      </c>
      <c r="F9187" t="s">
        <v>63</v>
      </c>
      <c r="G9187">
        <v>-194.119</v>
      </c>
      <c r="H9187" s="1">
        <v>-9.2450879999999995E-6</v>
      </c>
      <c r="I9187">
        <v>-53.047710000000002</v>
      </c>
      <c r="J9187">
        <v>-196.7491</v>
      </c>
      <c r="K9187">
        <v>1.132131</v>
      </c>
      <c r="L9187">
        <v>-60.462620000000001</v>
      </c>
      <c r="M9187">
        <v>0.9262224</v>
      </c>
      <c r="N9187">
        <v>-1.442441E-2</v>
      </c>
      <c r="O9187">
        <v>0.37670169999999997</v>
      </c>
      <c r="P9187">
        <v>0.78011090000000005</v>
      </c>
      <c r="Q9187">
        <v>-5.9584159999999997E-2</v>
      </c>
      <c r="R9187">
        <v>0.62279759999999995</v>
      </c>
      <c r="S9187">
        <v>1.20282</v>
      </c>
      <c r="T9187">
        <v>-0.49919160000000001</v>
      </c>
      <c r="U9187">
        <v>3.2904360000000001</v>
      </c>
      <c r="V9187">
        <v>-0.28167229999999999</v>
      </c>
      <c r="W9187">
        <v>-5.3384109999999999E-2</v>
      </c>
      <c r="X9187">
        <v>0.9580244</v>
      </c>
      <c r="Y9187">
        <v>-0.73617980000000005</v>
      </c>
      <c r="Z9187">
        <v>1.5578369999999999E-2</v>
      </c>
      <c r="AA9187">
        <v>0.67660669999999901</v>
      </c>
      <c r="AB9187">
        <v>25</v>
      </c>
      <c r="AC9187">
        <v>2.6300999999999699</v>
      </c>
      <c r="AD9187">
        <v>-1.132140245088</v>
      </c>
      <c r="AE9187">
        <v>7.4149099999999901</v>
      </c>
      <c r="AF9187">
        <v>-5.7584619097002703</v>
      </c>
      <c r="AG9187">
        <v>-1.132140245088</v>
      </c>
      <c r="AH9187">
        <v>5.1237125896008902</v>
      </c>
      <c r="AI9187">
        <v>98.355844216585496</v>
      </c>
      <c r="AJ9187">
        <v>138.338238655407</v>
      </c>
      <c r="AK9187">
        <v>7.7906389854010998</v>
      </c>
      <c r="AL9187">
        <v>93.060139022633706</v>
      </c>
      <c r="AM9187">
        <v>106.384058714872</v>
      </c>
      <c r="AN9187">
        <v>0.999999949391569</v>
      </c>
    </row>
    <row r="9188" spans="1:40" x14ac:dyDescent="0.25">
      <c r="A9188" t="str">
        <f>"20190303154018843"</f>
        <v>20190303154018843</v>
      </c>
      <c r="B9188" t="str">
        <f>"1551598818836758"</f>
        <v>1551598818836758</v>
      </c>
      <c r="C9188" t="s">
        <v>40</v>
      </c>
      <c r="D9188">
        <v>4.1805890000000003</v>
      </c>
      <c r="E9188">
        <v>0.26540219999999998</v>
      </c>
      <c r="F9188" t="s">
        <v>63</v>
      </c>
      <c r="G9188">
        <v>-194.12430000000001</v>
      </c>
      <c r="H9188" s="1">
        <v>-9.2519509999999998E-6</v>
      </c>
      <c r="I9188">
        <v>-53.030270000000002</v>
      </c>
      <c r="J9188">
        <v>-196.64670000000001</v>
      </c>
      <c r="K9188">
        <v>1.132198</v>
      </c>
      <c r="L9188">
        <v>-60.412019999999998</v>
      </c>
      <c r="M9188">
        <v>0.92321489999999995</v>
      </c>
      <c r="N9188">
        <v>-1.4619119999999999E-2</v>
      </c>
      <c r="O9188">
        <v>0.38400590000000001</v>
      </c>
      <c r="P9188">
        <v>0.77419819999999995</v>
      </c>
      <c r="Q9188">
        <v>-5.9950969999999999E-2</v>
      </c>
      <c r="R9188">
        <v>0.63009769999999998</v>
      </c>
      <c r="S9188">
        <v>1.1676329999999999</v>
      </c>
      <c r="T9188">
        <v>-0.50362750000000001</v>
      </c>
      <c r="U9188">
        <v>3.306244</v>
      </c>
      <c r="V9188">
        <v>-0.28309970000000001</v>
      </c>
      <c r="W9188">
        <v>-5.3649639999999998E-2</v>
      </c>
      <c r="X9188">
        <v>0.95758880000000002</v>
      </c>
      <c r="Y9188">
        <v>-0.73821380000000003</v>
      </c>
      <c r="Z9188">
        <v>1.487875E-2</v>
      </c>
      <c r="AA9188">
        <v>0.67440269999999902</v>
      </c>
      <c r="AB9188">
        <v>25</v>
      </c>
      <c r="AC9188">
        <v>2.5224000000000002</v>
      </c>
      <c r="AD9188">
        <v>-1.132207251951</v>
      </c>
      <c r="AE9188">
        <v>7.3817500000000003</v>
      </c>
      <c r="AF9188">
        <v>-5.72632210019614</v>
      </c>
      <c r="AG9188">
        <v>-1.132207251951</v>
      </c>
      <c r="AH9188">
        <v>5.0573686557292596</v>
      </c>
      <c r="AI9188">
        <v>98.429709269282696</v>
      </c>
      <c r="AJ9188">
        <v>138.54972692920299</v>
      </c>
      <c r="AK9188">
        <v>7.7233176664253502</v>
      </c>
      <c r="AL9188">
        <v>93.075374397245994</v>
      </c>
      <c r="AM9188">
        <v>106.469685041999</v>
      </c>
      <c r="AN9188">
        <v>1.0000000169488199</v>
      </c>
    </row>
    <row r="9189" spans="1:40" x14ac:dyDescent="0.25">
      <c r="A9189" t="str">
        <f>"20190303154018855"</f>
        <v>20190303154018855</v>
      </c>
      <c r="B9189" t="str">
        <f>"1551598818847495"</f>
        <v>1551598818847495</v>
      </c>
      <c r="C9189" t="s">
        <v>40</v>
      </c>
      <c r="D9189">
        <v>4.4308319999999997</v>
      </c>
      <c r="E9189">
        <v>0.26910689999999998</v>
      </c>
      <c r="F9189" t="s">
        <v>63</v>
      </c>
      <c r="G9189">
        <v>-194.09970000000001</v>
      </c>
      <c r="H9189" s="1">
        <v>-9.2691719999999994E-6</v>
      </c>
      <c r="I9189">
        <v>-52.976140000000001</v>
      </c>
      <c r="J9189">
        <v>-196.5427</v>
      </c>
      <c r="K9189">
        <v>1.132263</v>
      </c>
      <c r="L9189">
        <v>-60.359560000000002</v>
      </c>
      <c r="M9189">
        <v>0.92006949999999998</v>
      </c>
      <c r="N9189">
        <v>-1.4807809999999999E-2</v>
      </c>
      <c r="O9189">
        <v>0.39147510000000002</v>
      </c>
      <c r="P9189">
        <v>0.76803739999999998</v>
      </c>
      <c r="Q9189">
        <v>-6.0764739999999998E-2</v>
      </c>
      <c r="R9189">
        <v>0.63751569999999902</v>
      </c>
      <c r="S9189">
        <v>1.1362000000000001</v>
      </c>
      <c r="T9189">
        <v>-0.50506779999999996</v>
      </c>
      <c r="U9189">
        <v>3.317078</v>
      </c>
      <c r="V9189">
        <v>-0.28454760000000001</v>
      </c>
      <c r="W9189">
        <v>-5.4366659999999997E-2</v>
      </c>
      <c r="X9189">
        <v>0.9571191</v>
      </c>
      <c r="Y9189">
        <v>-0.73915799999999998</v>
      </c>
      <c r="Z9189">
        <v>1.397699E-2</v>
      </c>
      <c r="AA9189">
        <v>0.67338710000000002</v>
      </c>
      <c r="AB9189">
        <v>25</v>
      </c>
      <c r="AC9189">
        <v>2.4429999999999801</v>
      </c>
      <c r="AD9189">
        <v>-1.132272269172</v>
      </c>
      <c r="AE9189">
        <v>7.3834199999999903</v>
      </c>
      <c r="AF9189">
        <v>-5.7163584757028598</v>
      </c>
      <c r="AG9189">
        <v>-1.132272269172</v>
      </c>
      <c r="AH9189">
        <v>5.0320557503124101</v>
      </c>
      <c r="AI9189">
        <v>98.456603580625099</v>
      </c>
      <c r="AJ9189">
        <v>138.64284557367401</v>
      </c>
      <c r="AK9189">
        <v>7.69937528560129</v>
      </c>
      <c r="AL9189">
        <v>93.116516652026704</v>
      </c>
      <c r="AM9189">
        <v>106.556998684555</v>
      </c>
      <c r="AN9189">
        <v>1.0000000209850599</v>
      </c>
    </row>
    <row r="9190" spans="1:40" x14ac:dyDescent="0.25">
      <c r="A9190" t="str">
        <f>"20190303154018867"</f>
        <v>20190303154018867</v>
      </c>
      <c r="B9190" t="str">
        <f>"1551598818857255"</f>
        <v>1551598818857255</v>
      </c>
      <c r="C9190" t="s">
        <v>40</v>
      </c>
      <c r="D9190">
        <v>4.4593600000000002</v>
      </c>
      <c r="E9190">
        <v>0.27218969999999998</v>
      </c>
      <c r="F9190" t="s">
        <v>63</v>
      </c>
      <c r="G9190">
        <v>-193.97319999999999</v>
      </c>
      <c r="H9190" s="1">
        <v>-9.3233680000000003E-6</v>
      </c>
      <c r="I9190">
        <v>-52.79233</v>
      </c>
      <c r="J9190">
        <v>-196.42910000000001</v>
      </c>
      <c r="K9190">
        <v>1.1323270000000001</v>
      </c>
      <c r="L9190">
        <v>-60.30115</v>
      </c>
      <c r="M9190">
        <v>0.91652599999999995</v>
      </c>
      <c r="N9190">
        <v>-1.500521E-2</v>
      </c>
      <c r="O9190">
        <v>0.39969359999999998</v>
      </c>
      <c r="P9190">
        <v>0.76133640000000002</v>
      </c>
      <c r="Q9190">
        <v>-6.1753269999999999E-2</v>
      </c>
      <c r="R9190">
        <v>0.64540949999999997</v>
      </c>
      <c r="S9190">
        <v>1.1226499999999999</v>
      </c>
      <c r="T9190">
        <v>-0.49469459999999998</v>
      </c>
      <c r="U9190">
        <v>3.3061519999999902</v>
      </c>
      <c r="V9190">
        <v>-0.28586109999999998</v>
      </c>
      <c r="W9190">
        <v>-5.5246469999999999E-2</v>
      </c>
      <c r="X9190">
        <v>0.95667720000000001</v>
      </c>
      <c r="Y9190">
        <v>-0.73514780000000002</v>
      </c>
      <c r="Z9190">
        <v>1.230793E-2</v>
      </c>
      <c r="AA9190">
        <v>0.67779509999999998</v>
      </c>
      <c r="AB9190">
        <v>25</v>
      </c>
      <c r="AC9190">
        <v>2.45590000000001</v>
      </c>
      <c r="AD9190">
        <v>-1.1323363233679999</v>
      </c>
      <c r="AE9190">
        <v>7.5088199999999903</v>
      </c>
      <c r="AF9190">
        <v>-5.7822980503854504</v>
      </c>
      <c r="AG9190">
        <v>-1.1323363233679999</v>
      </c>
      <c r="AH9190">
        <v>5.1469788695116696</v>
      </c>
      <c r="AI9190">
        <v>98.321853569021897</v>
      </c>
      <c r="AJ9190">
        <v>138.326861411311</v>
      </c>
      <c r="AK9190">
        <v>7.8235891875730301</v>
      </c>
      <c r="AL9190">
        <v>93.167001989341401</v>
      </c>
      <c r="AM9190">
        <v>106.636472782054</v>
      </c>
      <c r="AN9190">
        <v>1.00000000297025</v>
      </c>
    </row>
    <row r="9191" spans="1:40" x14ac:dyDescent="0.25">
      <c r="A9191" t="str">
        <f>"20190303154018877"</f>
        <v>20190303154018877</v>
      </c>
      <c r="B9191" t="str">
        <f>"1551598818867014"</f>
        <v>1551598818867014</v>
      </c>
      <c r="C9191" t="s">
        <v>40</v>
      </c>
      <c r="D9191">
        <v>4.4763140000000003</v>
      </c>
      <c r="E9191">
        <v>0.27218969999999998</v>
      </c>
      <c r="F9191" t="s">
        <v>63</v>
      </c>
      <c r="G9191">
        <v>-193.86490000000001</v>
      </c>
      <c r="H9191" s="1">
        <v>-9.3686590000000001E-6</v>
      </c>
      <c r="I9191">
        <v>-52.638010000000001</v>
      </c>
      <c r="J9191">
        <v>-196.32730000000001</v>
      </c>
      <c r="K9191">
        <v>1.1323700000000001</v>
      </c>
      <c r="L9191">
        <v>-60.247129999999999</v>
      </c>
      <c r="M9191">
        <v>0.91323410000000005</v>
      </c>
      <c r="N9191">
        <v>-1.5169739999999999E-2</v>
      </c>
      <c r="O9191">
        <v>0.40715299999999999</v>
      </c>
      <c r="P9191">
        <v>0.75540249999999998</v>
      </c>
      <c r="Q9191">
        <v>-6.2286319999999999E-2</v>
      </c>
      <c r="R9191">
        <v>0.65229409999999999</v>
      </c>
      <c r="S9191">
        <v>1.1039890000000001</v>
      </c>
      <c r="T9191">
        <v>-0.4875119</v>
      </c>
      <c r="U9191">
        <v>3.299255</v>
      </c>
      <c r="V9191">
        <v>-0.28674500000000003</v>
      </c>
      <c r="W9191">
        <v>-5.5679190000000003E-2</v>
      </c>
      <c r="X9191">
        <v>0.95638749999999995</v>
      </c>
      <c r="Y9191">
        <v>-0.73279039999999995</v>
      </c>
      <c r="Z9191">
        <v>1.0990629999999999E-2</v>
      </c>
      <c r="AA9191">
        <v>0.68036569999999996</v>
      </c>
      <c r="AB9191">
        <v>25</v>
      </c>
      <c r="AC9191">
        <v>2.4624000000000001</v>
      </c>
      <c r="AD9191">
        <v>-1.132379368659</v>
      </c>
      <c r="AE9191">
        <v>7.6091200000000097</v>
      </c>
      <c r="AF9191">
        <v>-5.8301380826739901</v>
      </c>
      <c r="AG9191">
        <v>-1.132379368659</v>
      </c>
      <c r="AH9191">
        <v>5.2423423849411197</v>
      </c>
      <c r="AI9191">
        <v>98.218277619901102</v>
      </c>
      <c r="AJ9191">
        <v>138.03876168602801</v>
      </c>
      <c r="AK9191">
        <v>7.9218019906180599</v>
      </c>
      <c r="AL9191">
        <v>93.191833382094202</v>
      </c>
      <c r="AM9191">
        <v>106.689831533865</v>
      </c>
      <c r="AN9191">
        <v>0.99999995869015201</v>
      </c>
    </row>
    <row r="9192" spans="1:40" x14ac:dyDescent="0.25">
      <c r="A9192" t="str">
        <f>"20190303154018888"</f>
        <v>20190303154018888</v>
      </c>
      <c r="B9192" t="str">
        <f>"1551598818876774"</f>
        <v>1551598818876774</v>
      </c>
      <c r="C9192" t="s">
        <v>40</v>
      </c>
      <c r="D9192">
        <v>4.4949510000000004</v>
      </c>
      <c r="E9192">
        <v>0.30261290000000002</v>
      </c>
      <c r="F9192" t="s">
        <v>63</v>
      </c>
      <c r="G9192">
        <v>-193.8372</v>
      </c>
      <c r="H9192" s="1">
        <v>-9.3901759999999997E-6</v>
      </c>
      <c r="I9192">
        <v>-52.57123</v>
      </c>
      <c r="J9192">
        <v>-196.2253</v>
      </c>
      <c r="K9192">
        <v>1.1324160000000001</v>
      </c>
      <c r="L9192">
        <v>-60.192659999999997</v>
      </c>
      <c r="M9192">
        <v>0.90986279999999997</v>
      </c>
      <c r="N9192">
        <v>-1.533053E-2</v>
      </c>
      <c r="O9192">
        <v>0.41462589999999999</v>
      </c>
      <c r="P9192">
        <v>0.74926470000000001</v>
      </c>
      <c r="Q9192">
        <v>-6.320858E-2</v>
      </c>
      <c r="R9192">
        <v>0.65924729999999998</v>
      </c>
      <c r="S9192">
        <v>1.0735319999999999</v>
      </c>
      <c r="T9192">
        <v>-0.48820019999999997</v>
      </c>
      <c r="U9192">
        <v>3.3092959999999998</v>
      </c>
      <c r="V9192">
        <v>-0.2877461</v>
      </c>
      <c r="W9192">
        <v>-5.650819E-2</v>
      </c>
      <c r="X9192">
        <v>0.95603819999999995</v>
      </c>
      <c r="Y9192">
        <v>-0.73351330000000003</v>
      </c>
      <c r="Z9192">
        <v>1.0048029999999999E-2</v>
      </c>
      <c r="AA9192">
        <v>0.6796008</v>
      </c>
      <c r="AB9192">
        <v>24</v>
      </c>
      <c r="AC9192">
        <v>2.3881000000000001</v>
      </c>
      <c r="AD9192">
        <v>-1.132425390176</v>
      </c>
      <c r="AE9192">
        <v>7.6214299999999797</v>
      </c>
      <c r="AF9192">
        <v>-5.8278264709438004</v>
      </c>
      <c r="AG9192">
        <v>-1.132425390176</v>
      </c>
      <c r="AH9192">
        <v>5.2284032139429399</v>
      </c>
      <c r="AI9192">
        <v>98.230031051270501</v>
      </c>
      <c r="AJ9192">
        <v>138.103303091339</v>
      </c>
      <c r="AK9192">
        <v>7.9108879910739098</v>
      </c>
      <c r="AL9192">
        <v>93.239406301846898</v>
      </c>
      <c r="AM9192">
        <v>106.75061881544499</v>
      </c>
      <c r="AN9192">
        <v>1.0000000167307601</v>
      </c>
    </row>
    <row r="9193" spans="1:40" x14ac:dyDescent="0.25">
      <c r="A9193" t="str">
        <f>"20190303154018900"</f>
        <v>20190303154018900</v>
      </c>
      <c r="B9193" t="str">
        <f>"1551598818897270"</f>
        <v>1551598818897270</v>
      </c>
      <c r="C9193" t="s">
        <v>40</v>
      </c>
      <c r="D9193">
        <v>4.4549810000000001</v>
      </c>
      <c r="E9193">
        <v>0.30379810000000002</v>
      </c>
      <c r="F9193" t="s">
        <v>63</v>
      </c>
      <c r="G9193">
        <v>-193.17400000000001</v>
      </c>
      <c r="H9193" s="1">
        <v>-9.4476879999999999E-6</v>
      </c>
      <c r="I9193">
        <v>-52.230820000000001</v>
      </c>
      <c r="J9193">
        <v>-196.1199</v>
      </c>
      <c r="K9193">
        <v>1.1324540000000001</v>
      </c>
      <c r="L9193">
        <v>-60.134250000000002</v>
      </c>
      <c r="M9193">
        <v>0.90624389999999999</v>
      </c>
      <c r="N9193">
        <v>-1.5482630000000001E-2</v>
      </c>
      <c r="O9193">
        <v>0.42247170000000001</v>
      </c>
      <c r="P9193">
        <v>0.74301809999999902</v>
      </c>
      <c r="Q9193">
        <v>-6.39739E-2</v>
      </c>
      <c r="R9193">
        <v>0.66620679999999999</v>
      </c>
      <c r="S9193">
        <v>1.2034149999999999</v>
      </c>
      <c r="T9193">
        <v>-0.44661810000000002</v>
      </c>
      <c r="U9193">
        <v>3.1400760000000001</v>
      </c>
      <c r="V9193">
        <v>-0.28840660000000001</v>
      </c>
      <c r="W9193">
        <v>-5.7173429999999997E-2</v>
      </c>
      <c r="X9193">
        <v>0.95579959999999997</v>
      </c>
      <c r="Y9193">
        <v>-0.69173090000000004</v>
      </c>
      <c r="Z9193">
        <v>4.4479669999999997E-3</v>
      </c>
      <c r="AA9193">
        <v>0.7221417</v>
      </c>
      <c r="AB9193">
        <v>24</v>
      </c>
      <c r="AC9193">
        <v>2.9458999999999902</v>
      </c>
      <c r="AD9193">
        <v>-1.132463447688</v>
      </c>
      <c r="AE9193">
        <v>7.9034300000000002</v>
      </c>
      <c r="AF9193">
        <v>-5.8137811293286799</v>
      </c>
      <c r="AG9193">
        <v>-1.132463447688</v>
      </c>
      <c r="AH9193">
        <v>5.9029874730183902</v>
      </c>
      <c r="AI9193">
        <v>97.783204606292401</v>
      </c>
      <c r="AJ9193">
        <v>134.563783461296</v>
      </c>
      <c r="AK9193">
        <v>8.3622835150872294</v>
      </c>
      <c r="AL9193">
        <v>93.2775834527813</v>
      </c>
      <c r="AM9193">
        <v>106.790862734531</v>
      </c>
      <c r="AN9193">
        <v>1.00000002169084</v>
      </c>
    </row>
    <row r="9194" spans="1:40" x14ac:dyDescent="0.25">
      <c r="A9194" t="str">
        <f>"20190303154018912"</f>
        <v>20190303154018912</v>
      </c>
      <c r="B9194" t="str">
        <f>"1551598818907030"</f>
        <v>1551598818907030</v>
      </c>
      <c r="C9194" t="s">
        <v>40</v>
      </c>
      <c r="D9194">
        <v>4.5237280000000002</v>
      </c>
      <c r="E9194">
        <v>0.3052919</v>
      </c>
      <c r="F9194" t="s">
        <v>63</v>
      </c>
      <c r="G9194">
        <v>-193.10910000000001</v>
      </c>
      <c r="H9194" s="1">
        <v>-9.4854579999999993E-6</v>
      </c>
      <c r="I9194">
        <v>-52.109119999999997</v>
      </c>
      <c r="J9194">
        <v>-196.00749999999999</v>
      </c>
      <c r="K9194">
        <v>1.1324909999999999</v>
      </c>
      <c r="L9194">
        <v>-60.07123</v>
      </c>
      <c r="M9194">
        <v>0.90228520000000001</v>
      </c>
      <c r="N9194">
        <v>-1.5640109999999999E-2</v>
      </c>
      <c r="O9194">
        <v>0.43085610000000002</v>
      </c>
      <c r="P9194">
        <v>0.73630369999999901</v>
      </c>
      <c r="Q9194">
        <v>-6.5219550000000001E-2</v>
      </c>
      <c r="R9194">
        <v>0.67350080000000001</v>
      </c>
      <c r="S9194">
        <v>1.17981</v>
      </c>
      <c r="T9194">
        <v>-0.44376100000000002</v>
      </c>
      <c r="U9194">
        <v>3.1446839999999998</v>
      </c>
      <c r="V9194">
        <v>-0.28897909999999999</v>
      </c>
      <c r="W9194">
        <v>-5.8312450000000002E-2</v>
      </c>
      <c r="X9194">
        <v>0.95555780000000001</v>
      </c>
      <c r="Y9194">
        <v>-0.69022039999999996</v>
      </c>
      <c r="Z9194">
        <v>3.2425750000000001E-3</v>
      </c>
      <c r="AA9194">
        <v>0.72359189999999995</v>
      </c>
      <c r="AB9194">
        <v>24</v>
      </c>
      <c r="AC9194">
        <v>2.8983999999999801</v>
      </c>
      <c r="AD9194">
        <v>-1.1325004854580001</v>
      </c>
      <c r="AE9194">
        <v>7.96211</v>
      </c>
      <c r="AF9194">
        <v>-5.8318465302070503</v>
      </c>
      <c r="AG9194">
        <v>-1.1325004854580001</v>
      </c>
      <c r="AH9194">
        <v>5.9403285044777299</v>
      </c>
      <c r="AI9194">
        <v>97.747165537861093</v>
      </c>
      <c r="AJ9194">
        <v>134.47202761331801</v>
      </c>
      <c r="AK9194">
        <v>8.4012197949203404</v>
      </c>
      <c r="AL9194">
        <v>93.342953685547002</v>
      </c>
      <c r="AM9194">
        <v>106.826328599161</v>
      </c>
      <c r="AN9194">
        <v>0.99999998560132597</v>
      </c>
    </row>
    <row r="9195" spans="1:40" x14ac:dyDescent="0.25">
      <c r="A9195" t="str">
        <f>"20190303154018925"</f>
        <v>20190303154018925</v>
      </c>
      <c r="B9195" t="str">
        <f>"1551598818916790"</f>
        <v>1551598818916790</v>
      </c>
      <c r="C9195" t="s">
        <v>40</v>
      </c>
      <c r="D9195">
        <v>4.5004939999999998</v>
      </c>
      <c r="E9195">
        <v>0.30606220000000001</v>
      </c>
      <c r="F9195" t="s">
        <v>63</v>
      </c>
      <c r="G9195">
        <v>-193.06739999999999</v>
      </c>
      <c r="H9195" s="1">
        <v>-9.4963790000000003E-6</v>
      </c>
      <c r="I9195">
        <v>-52.067610000000002</v>
      </c>
      <c r="J9195">
        <v>-195.88220000000001</v>
      </c>
      <c r="K9195">
        <v>1.132528</v>
      </c>
      <c r="L9195">
        <v>-59.998989999999999</v>
      </c>
      <c r="M9195">
        <v>0.89771119999999904</v>
      </c>
      <c r="N9195">
        <v>-1.5803149999999998E-2</v>
      </c>
      <c r="O9195">
        <v>0.4403009</v>
      </c>
      <c r="P9195">
        <v>0.72897419999999902</v>
      </c>
      <c r="Q9195">
        <v>-6.5868499999999996E-2</v>
      </c>
      <c r="R9195">
        <v>0.68136479999999999</v>
      </c>
      <c r="S9195">
        <v>1.156158</v>
      </c>
      <c r="T9195">
        <v>-0.44533539999999999</v>
      </c>
      <c r="U9195">
        <v>3.147278</v>
      </c>
      <c r="V9195">
        <v>-0.28921350000000001</v>
      </c>
      <c r="W9195">
        <v>-5.8836939999999997E-2</v>
      </c>
      <c r="X9195">
        <v>0.95545480000000005</v>
      </c>
      <c r="Y9195">
        <v>-0.68765339999999997</v>
      </c>
      <c r="Z9195">
        <v>1.6774940000000001E-3</v>
      </c>
      <c r="AA9195">
        <v>0.72603719999999905</v>
      </c>
      <c r="AB9195">
        <v>24</v>
      </c>
      <c r="AC9195">
        <v>2.8148000000000102</v>
      </c>
      <c r="AD9195">
        <v>-1.132537496379</v>
      </c>
      <c r="AE9195">
        <v>7.9313799999999999</v>
      </c>
      <c r="AF9195">
        <v>-5.7768524722314201</v>
      </c>
      <c r="AG9195">
        <v>-1.132537496379</v>
      </c>
      <c r="AH9195">
        <v>5.9127503608249397</v>
      </c>
      <c r="AI9195">
        <v>97.801276200238803</v>
      </c>
      <c r="AJ9195">
        <v>134.33393590726601</v>
      </c>
      <c r="AK9195">
        <v>8.3435773200747807</v>
      </c>
      <c r="AL9195">
        <v>93.373056202732599</v>
      </c>
      <c r="AM9195">
        <v>106.84091731986101</v>
      </c>
      <c r="AN9195">
        <v>1.0000000544669201</v>
      </c>
    </row>
    <row r="9196" spans="1:40" x14ac:dyDescent="0.25">
      <c r="A9196" t="str">
        <f>"20190303154018938"</f>
        <v>20190303154018938</v>
      </c>
      <c r="B9196" t="str">
        <f>"1551598818927526"</f>
        <v>1551598818927526</v>
      </c>
      <c r="C9196" t="s">
        <v>40</v>
      </c>
      <c r="D9196">
        <v>4.4978439999999997</v>
      </c>
      <c r="E9196">
        <v>0.30713780000000002</v>
      </c>
      <c r="F9196" t="s">
        <v>63</v>
      </c>
      <c r="G9196">
        <v>-193.0164</v>
      </c>
      <c r="H9196" s="1">
        <v>-9.5265040000000003E-6</v>
      </c>
      <c r="I9196">
        <v>-51.970750000000002</v>
      </c>
      <c r="J9196">
        <v>-195.77379999999999</v>
      </c>
      <c r="K9196">
        <v>1.132557</v>
      </c>
      <c r="L9196">
        <v>-59.934840000000001</v>
      </c>
      <c r="M9196">
        <v>0.89361869999999999</v>
      </c>
      <c r="N9196">
        <v>-1.5934839999999999E-2</v>
      </c>
      <c r="O9196">
        <v>0.4485441</v>
      </c>
      <c r="P9196">
        <v>0.72256730000000002</v>
      </c>
      <c r="Q9196">
        <v>-6.6268240000000006E-2</v>
      </c>
      <c r="R9196">
        <v>0.68811699999999998</v>
      </c>
      <c r="S9196">
        <v>1.1262209999999999</v>
      </c>
      <c r="T9196">
        <v>-0.4450691</v>
      </c>
      <c r="U9196">
        <v>3.1549680000000002</v>
      </c>
      <c r="V9196">
        <v>-0.28931319999999999</v>
      </c>
      <c r="W9196">
        <v>-5.9131969999999999E-2</v>
      </c>
      <c r="X9196">
        <v>0.95540639999999999</v>
      </c>
      <c r="Y9196">
        <v>-0.68768169999999995</v>
      </c>
      <c r="Z9196">
        <v>5.8009100000000003E-4</v>
      </c>
      <c r="AA9196">
        <v>0.72601210000000005</v>
      </c>
      <c r="AB9196">
        <v>24</v>
      </c>
      <c r="AC9196">
        <v>2.7573999999999899</v>
      </c>
      <c r="AD9196">
        <v>-1.1325665265039999</v>
      </c>
      <c r="AE9196">
        <v>7.9640899999999899</v>
      </c>
      <c r="AF9196">
        <v>-5.7764751487909098</v>
      </c>
      <c r="AG9196">
        <v>-1.1325665265039999</v>
      </c>
      <c r="AH9196">
        <v>5.9299882743617003</v>
      </c>
      <c r="AI9196">
        <v>97.790233863477795</v>
      </c>
      <c r="AJ9196">
        <v>134.24869281625499</v>
      </c>
      <c r="AK9196">
        <v>8.3555450459933205</v>
      </c>
      <c r="AL9196">
        <v>93.3899896622558</v>
      </c>
      <c r="AM9196">
        <v>106.847199126986</v>
      </c>
      <c r="AN9196">
        <v>1.0000000533656299</v>
      </c>
    </row>
    <row r="9197" spans="1:40" x14ac:dyDescent="0.25">
      <c r="A9197" t="str">
        <f>"20190303154018956"</f>
        <v>20190303154018956</v>
      </c>
      <c r="B9197" t="str">
        <f>"1551598818947046"</f>
        <v>1551598818947046</v>
      </c>
      <c r="C9197" t="s">
        <v>40</v>
      </c>
      <c r="D9197">
        <v>4.4748150000000004</v>
      </c>
      <c r="E9197">
        <v>0.31633169999999999</v>
      </c>
      <c r="F9197" t="s">
        <v>63</v>
      </c>
      <c r="G9197">
        <v>-192.96420000000001</v>
      </c>
      <c r="H9197" s="1">
        <v>-9.5529160000000001E-6</v>
      </c>
      <c r="I9197">
        <v>-51.883780000000002</v>
      </c>
      <c r="J9197">
        <v>-195.60849999999999</v>
      </c>
      <c r="K9197">
        <v>1.132598</v>
      </c>
      <c r="L9197">
        <v>-59.834530000000001</v>
      </c>
      <c r="M9197">
        <v>0.88714340000000003</v>
      </c>
      <c r="N9197">
        <v>-1.6122899999999999E-2</v>
      </c>
      <c r="O9197">
        <v>0.46121220000000002</v>
      </c>
      <c r="P9197">
        <v>0.71293619999999902</v>
      </c>
      <c r="Q9197">
        <v>-6.5718670000000007E-2</v>
      </c>
      <c r="R9197">
        <v>0.6981425</v>
      </c>
      <c r="S9197">
        <v>1.1024929999999999</v>
      </c>
      <c r="T9197">
        <v>-0.44441510000000001</v>
      </c>
      <c r="U9197">
        <v>3.1592099999999999</v>
      </c>
      <c r="V9197">
        <v>-0.28905609999999998</v>
      </c>
      <c r="W9197">
        <v>-5.841727E-2</v>
      </c>
      <c r="X9197">
        <v>0.95552809999999999</v>
      </c>
      <c r="Y9197">
        <v>-0.68262389999999995</v>
      </c>
      <c r="Z9197">
        <v>-1.650091E-3</v>
      </c>
      <c r="AA9197">
        <v>0.73076799999999997</v>
      </c>
      <c r="AB9197">
        <v>24</v>
      </c>
      <c r="AC9197">
        <v>2.6442999999999799</v>
      </c>
      <c r="AD9197">
        <v>-1.132607552916</v>
      </c>
      <c r="AE9197">
        <v>7.9507500000000002</v>
      </c>
      <c r="AF9197">
        <v>-5.7299343059221899</v>
      </c>
      <c r="AG9197">
        <v>-1.132607552916</v>
      </c>
      <c r="AH9197">
        <v>5.9057297047581798</v>
      </c>
      <c r="AI9197">
        <v>97.83711029122</v>
      </c>
      <c r="AJ9197">
        <v>134.13442257086101</v>
      </c>
      <c r="AK9197">
        <v>8.3061778433145506</v>
      </c>
      <c r="AL9197">
        <v>93.348969709638098</v>
      </c>
      <c r="AM9197">
        <v>106.83105214724699</v>
      </c>
      <c r="AN9197">
        <v>0.99999997813553598</v>
      </c>
    </row>
    <row r="9198" spans="1:40" x14ac:dyDescent="0.25">
      <c r="A9198" t="str">
        <f>"20190303154018967"</f>
        <v>20190303154018967</v>
      </c>
      <c r="B9198" t="str">
        <f>"1551598818957782"</f>
        <v>1551598818957782</v>
      </c>
      <c r="C9198" t="s">
        <v>40</v>
      </c>
      <c r="D9198">
        <v>4.5235209999999997</v>
      </c>
      <c r="E9198">
        <v>0.31890970000000002</v>
      </c>
      <c r="F9198" t="s">
        <v>63</v>
      </c>
      <c r="G9198">
        <v>-192.7209</v>
      </c>
      <c r="H9198" s="1">
        <v>-9.5909300000000003E-6</v>
      </c>
      <c r="I9198">
        <v>-51.71237</v>
      </c>
      <c r="J9198">
        <v>-195.50749999999999</v>
      </c>
      <c r="K9198">
        <v>1.1326210000000001</v>
      </c>
      <c r="L9198">
        <v>-59.771880000000003</v>
      </c>
      <c r="M9198">
        <v>0.88305219999999995</v>
      </c>
      <c r="N9198">
        <v>-1.6230419999999999E-2</v>
      </c>
      <c r="O9198">
        <v>0.46899410000000002</v>
      </c>
      <c r="P9198">
        <v>0.70706359999999902</v>
      </c>
      <c r="Q9198">
        <v>-6.5138559999999998E-2</v>
      </c>
      <c r="R9198">
        <v>0.70414350000000003</v>
      </c>
      <c r="S9198">
        <v>1.110107</v>
      </c>
      <c r="T9198">
        <v>-0.43542150000000002</v>
      </c>
      <c r="U9198">
        <v>3.1224980000000002</v>
      </c>
      <c r="V9198">
        <v>-0.288722599999999</v>
      </c>
      <c r="W9198">
        <v>-5.7735950000000001E-2</v>
      </c>
      <c r="X9198">
        <v>0.95567040000000003</v>
      </c>
      <c r="Y9198">
        <v>-0.67208489999999999</v>
      </c>
      <c r="Z9198">
        <v>-3.6083389999999999E-3</v>
      </c>
      <c r="AA9198">
        <v>0.74046529999999999</v>
      </c>
      <c r="AB9198">
        <v>24</v>
      </c>
      <c r="AC9198">
        <v>2.7865999999999902</v>
      </c>
      <c r="AD9198">
        <v>-1.1326305909299901</v>
      </c>
      <c r="AE9198">
        <v>8.0595099999999995</v>
      </c>
      <c r="AF9198">
        <v>-5.7101036007343797</v>
      </c>
      <c r="AG9198">
        <v>-1.1326305909299901</v>
      </c>
      <c r="AH9198">
        <v>6.1332033129737296</v>
      </c>
      <c r="AI9198">
        <v>97.697541146510503</v>
      </c>
      <c r="AJ9198">
        <v>132.95399013765501</v>
      </c>
      <c r="AK9198">
        <v>8.4560225913192895</v>
      </c>
      <c r="AL9198">
        <v>93.309866720398304</v>
      </c>
      <c r="AM9198">
        <v>106.810367280856</v>
      </c>
      <c r="AN9198">
        <v>1.0000000465546599</v>
      </c>
    </row>
    <row r="9199" spans="1:40" x14ac:dyDescent="0.25">
      <c r="A9199" t="str">
        <f>"20190303154018979"</f>
        <v>20190303154018979</v>
      </c>
      <c r="B9199" t="str">
        <f>"1551598818967543"</f>
        <v>1551598818967543</v>
      </c>
      <c r="C9199" t="s">
        <v>40</v>
      </c>
      <c r="D9199">
        <v>4.5168039999999996</v>
      </c>
      <c r="E9199">
        <v>0.32012839999999998</v>
      </c>
      <c r="F9199" t="s">
        <v>63</v>
      </c>
      <c r="G9199">
        <v>-192.6233</v>
      </c>
      <c r="H9199" s="1">
        <v>-9.6265039999999993E-6</v>
      </c>
      <c r="I9199">
        <v>-51.587719999999997</v>
      </c>
      <c r="J9199">
        <v>-195.40860000000001</v>
      </c>
      <c r="K9199">
        <v>1.1326320000000001</v>
      </c>
      <c r="L9199">
        <v>-59.708649999999999</v>
      </c>
      <c r="M9199">
        <v>0.87891859999999999</v>
      </c>
      <c r="N9199">
        <v>-1.6326960000000001E-2</v>
      </c>
      <c r="O9199">
        <v>0.47669230000000001</v>
      </c>
      <c r="P9199">
        <v>0.70134750000000001</v>
      </c>
      <c r="Q9199">
        <v>-6.4631980000000006E-2</v>
      </c>
      <c r="R9199">
        <v>0.70988329999999999</v>
      </c>
      <c r="S9199">
        <v>1.0986180000000001</v>
      </c>
      <c r="T9199">
        <v>-0.4314307</v>
      </c>
      <c r="U9199">
        <v>3.117432</v>
      </c>
      <c r="V9199">
        <v>-0.28815390000000002</v>
      </c>
      <c r="W9199">
        <v>-5.7129050000000001E-2</v>
      </c>
      <c r="X9199">
        <v>0.95587840000000002</v>
      </c>
      <c r="Y9199">
        <v>-0.66776469999999999</v>
      </c>
      <c r="Z9199">
        <v>-4.9594449999999998E-3</v>
      </c>
      <c r="AA9199">
        <v>0.74435589999999996</v>
      </c>
      <c r="AB9199">
        <v>24</v>
      </c>
      <c r="AC9199">
        <v>2.7852999999999999</v>
      </c>
      <c r="AD9199">
        <v>-1.13264162650399</v>
      </c>
      <c r="AE9199">
        <v>8.1209299999999907</v>
      </c>
      <c r="AF9199">
        <v>-5.7112750965391097</v>
      </c>
      <c r="AG9199">
        <v>-1.13264162650399</v>
      </c>
      <c r="AH9199">
        <v>6.2119599846613101</v>
      </c>
      <c r="AI9199">
        <v>97.6447890727123</v>
      </c>
      <c r="AJ9199">
        <v>132.59542719121501</v>
      </c>
      <c r="AK9199">
        <v>8.5141051868925608</v>
      </c>
      <c r="AL9199">
        <v>93.275036715288294</v>
      </c>
      <c r="AM9199">
        <v>106.775672307324</v>
      </c>
      <c r="AN9199">
        <v>0.99999995701283495</v>
      </c>
    </row>
    <row r="9200" spans="1:40" x14ac:dyDescent="0.25">
      <c r="A9200" t="str">
        <f>"20190303154018989"</f>
        <v>20190303154018989</v>
      </c>
      <c r="B9200" t="str">
        <f>"1551598818987062"</f>
        <v>1551598818987062</v>
      </c>
      <c r="C9200" t="s">
        <v>40</v>
      </c>
      <c r="D9200">
        <v>4.4813619999999998</v>
      </c>
      <c r="E9200">
        <v>0.32139649999999997</v>
      </c>
      <c r="F9200" t="s">
        <v>63</v>
      </c>
      <c r="G9200">
        <v>-192.56</v>
      </c>
      <c r="H9200" s="1">
        <v>-9.6578809999999992E-6</v>
      </c>
      <c r="I9200">
        <v>-51.484020000000001</v>
      </c>
      <c r="J9200">
        <v>-195.3125</v>
      </c>
      <c r="K9200">
        <v>1.1326510000000001</v>
      </c>
      <c r="L9200">
        <v>-59.646850000000001</v>
      </c>
      <c r="M9200">
        <v>0.87482179999999998</v>
      </c>
      <c r="N9200">
        <v>-1.6418700000000001E-2</v>
      </c>
      <c r="O9200">
        <v>0.4841666</v>
      </c>
      <c r="P9200">
        <v>0.69581759999999904</v>
      </c>
      <c r="Q9200">
        <v>-6.4527630000000002E-2</v>
      </c>
      <c r="R9200">
        <v>0.71531400000000001</v>
      </c>
      <c r="S9200">
        <v>1.08046</v>
      </c>
      <c r="T9200">
        <v>-0.42959429999999998</v>
      </c>
      <c r="U9200">
        <v>3.1194760000000001</v>
      </c>
      <c r="V9200">
        <v>-0.28743570000000002</v>
      </c>
      <c r="W9200">
        <v>-5.6924049999999997E-2</v>
      </c>
      <c r="X9200">
        <v>0.95610689999999998</v>
      </c>
      <c r="Y9200">
        <v>-0.66550699999999996</v>
      </c>
      <c r="Z9200">
        <v>-6.1271900000000002E-3</v>
      </c>
      <c r="AA9200">
        <v>0.74636650000000004</v>
      </c>
      <c r="AB9200">
        <v>24</v>
      </c>
      <c r="AC9200">
        <v>2.7524999999999902</v>
      </c>
      <c r="AD9200">
        <v>-1.1326606578809999</v>
      </c>
      <c r="AE9200">
        <v>8.1628299999999996</v>
      </c>
      <c r="AF9200">
        <v>-5.7104134588987403</v>
      </c>
      <c r="AG9200">
        <v>-1.1326606578809999</v>
      </c>
      <c r="AH9200">
        <v>6.2528732860185299</v>
      </c>
      <c r="AI9200">
        <v>97.618523106505293</v>
      </c>
      <c r="AJ9200">
        <v>132.40377503284799</v>
      </c>
      <c r="AK9200">
        <v>8.5434282561795793</v>
      </c>
      <c r="AL9200">
        <v>93.263271739815593</v>
      </c>
      <c r="AM9200">
        <v>106.732424891766</v>
      </c>
      <c r="AN9200">
        <v>1.0000000166652501</v>
      </c>
    </row>
    <row r="9201" spans="1:40" x14ac:dyDescent="0.25">
      <c r="A9201" t="str">
        <f>"20190303154019000"</f>
        <v>20190303154019000</v>
      </c>
      <c r="B9201" t="str">
        <f>"1551598818996822"</f>
        <v>1551598818996822</v>
      </c>
      <c r="C9201" t="s">
        <v>40</v>
      </c>
      <c r="D9201">
        <v>4.3435600000000001</v>
      </c>
      <c r="E9201">
        <v>0.32009599999999999</v>
      </c>
      <c r="F9201" t="s">
        <v>63</v>
      </c>
      <c r="G9201">
        <v>-192.48490000000001</v>
      </c>
      <c r="H9201" s="1">
        <v>-9.6996760000000007E-6</v>
      </c>
      <c r="I9201">
        <v>-51.34843</v>
      </c>
      <c r="J9201">
        <v>-195.2149</v>
      </c>
      <c r="K9201">
        <v>1.132666</v>
      </c>
      <c r="L9201">
        <v>-59.58173</v>
      </c>
      <c r="M9201">
        <v>0.87051350000000005</v>
      </c>
      <c r="N9201">
        <v>-1.6502760000000002E-2</v>
      </c>
      <c r="O9201">
        <v>0.49186780000000002</v>
      </c>
      <c r="P9201">
        <v>0.69036589999999998</v>
      </c>
      <c r="Q9201">
        <v>-6.4682190000000001E-2</v>
      </c>
      <c r="R9201">
        <v>0.72056309999999901</v>
      </c>
      <c r="S9201">
        <v>1.0634920000000001</v>
      </c>
      <c r="T9201">
        <v>-0.42599359999999997</v>
      </c>
      <c r="U9201">
        <v>3.1210330000000002</v>
      </c>
      <c r="V9201">
        <v>-0.28624300000000003</v>
      </c>
      <c r="W9201">
        <v>-5.696905E-2</v>
      </c>
      <c r="X9201">
        <v>0.95646200000000003</v>
      </c>
      <c r="Y9201">
        <v>-0.66275790000000001</v>
      </c>
      <c r="Z9201">
        <v>-7.2879569999999899E-3</v>
      </c>
      <c r="AA9201">
        <v>0.74879819999999997</v>
      </c>
      <c r="AB9201">
        <v>24</v>
      </c>
      <c r="AC9201">
        <v>2.72999999999998</v>
      </c>
      <c r="AD9201">
        <v>-1.1326756996759999</v>
      </c>
      <c r="AE9201">
        <v>8.2332999999999998</v>
      </c>
      <c r="AF9201">
        <v>-5.7275301336719098</v>
      </c>
      <c r="AG9201">
        <v>-1.1326756996759999</v>
      </c>
      <c r="AH9201">
        <v>6.3193185385797603</v>
      </c>
      <c r="AI9201">
        <v>97.565059269542402</v>
      </c>
      <c r="AJ9201">
        <v>132.18766758037799</v>
      </c>
      <c r="AK9201">
        <v>8.60356568318009</v>
      </c>
      <c r="AL9201">
        <v>93.265854155948801</v>
      </c>
      <c r="AM9201">
        <v>106.661008021896</v>
      </c>
      <c r="AN9201">
        <v>1.0000000425754501</v>
      </c>
    </row>
    <row r="9202" spans="1:40" x14ac:dyDescent="0.25">
      <c r="A9202" t="str">
        <f>"20190303154019012"</f>
        <v>20190303154019012</v>
      </c>
      <c r="B9202" t="str">
        <f>"1551598819007558"</f>
        <v>1551598819007558</v>
      </c>
      <c r="C9202" t="s">
        <v>40</v>
      </c>
      <c r="D9202">
        <v>4.3172220000000001</v>
      </c>
      <c r="E9202">
        <v>0.31931500000000002</v>
      </c>
      <c r="F9202" t="s">
        <v>63</v>
      </c>
      <c r="G9202">
        <v>-192.42859999999999</v>
      </c>
      <c r="H9202" s="1">
        <v>-9.7795830000000005E-6</v>
      </c>
      <c r="I9202">
        <v>-51.113219999999998</v>
      </c>
      <c r="J9202">
        <v>-195.1174</v>
      </c>
      <c r="K9202">
        <v>1.132681</v>
      </c>
      <c r="L9202">
        <v>-59.516240000000003</v>
      </c>
      <c r="M9202">
        <v>0.86612670000000003</v>
      </c>
      <c r="N9202">
        <v>-1.6584439999999999E-2</v>
      </c>
      <c r="O9202">
        <v>0.49954939999999998</v>
      </c>
      <c r="P9202">
        <v>0.68465169999999997</v>
      </c>
      <c r="Q9202">
        <v>-6.5123899999999998E-2</v>
      </c>
      <c r="R9202">
        <v>0.72595520000000002</v>
      </c>
      <c r="S9202">
        <v>1.032089</v>
      </c>
      <c r="T9202">
        <v>-0.41956539999999998</v>
      </c>
      <c r="U9202">
        <v>3.1369020000000001</v>
      </c>
      <c r="V9202">
        <v>-0.2852923</v>
      </c>
      <c r="W9202">
        <v>-5.7311519999999998E-2</v>
      </c>
      <c r="X9202">
        <v>0.95672550000000001</v>
      </c>
      <c r="Y9202">
        <v>-0.66412490000000002</v>
      </c>
      <c r="Z9202">
        <v>-7.8306790000000001E-3</v>
      </c>
      <c r="AA9202">
        <v>0.74758059999999904</v>
      </c>
      <c r="AB9202">
        <v>24</v>
      </c>
      <c r="AC9202">
        <v>2.6888000000000098</v>
      </c>
      <c r="AD9202">
        <v>-1.1326907795829999</v>
      </c>
      <c r="AE9202">
        <v>8.4030199999999997</v>
      </c>
      <c r="AF9202">
        <v>-5.8394598739243397</v>
      </c>
      <c r="AG9202">
        <v>-1.1326907795829999</v>
      </c>
      <c r="AH9202">
        <v>6.4216194150519996</v>
      </c>
      <c r="AI9202">
        <v>97.4350511269094</v>
      </c>
      <c r="AJ9202">
        <v>132.28162157348601</v>
      </c>
      <c r="AK9202">
        <v>8.7532551621152699</v>
      </c>
      <c r="AL9202">
        <v>93.285508510583895</v>
      </c>
      <c r="AM9202">
        <v>106.604402123347</v>
      </c>
      <c r="AN9202">
        <v>0.99999999455712496</v>
      </c>
    </row>
    <row r="9203" spans="1:40" x14ac:dyDescent="0.25">
      <c r="A9203" t="str">
        <f>"20190303154019045"</f>
        <v>20190303154019045</v>
      </c>
      <c r="B9203" t="str">
        <f>"1551598819036839"</f>
        <v>1551598819036839</v>
      </c>
      <c r="C9203" t="s">
        <v>40</v>
      </c>
      <c r="D9203">
        <v>4.2717150000000004</v>
      </c>
      <c r="E9203">
        <v>0.31957760000000002</v>
      </c>
      <c r="F9203" t="s">
        <v>63</v>
      </c>
      <c r="G9203">
        <v>-192.3843</v>
      </c>
      <c r="H9203" s="1">
        <v>-9.841172E-6</v>
      </c>
      <c r="I9203">
        <v>-50.931640000000002</v>
      </c>
      <c r="J9203">
        <v>-194.8252</v>
      </c>
      <c r="K9203">
        <v>1.132709</v>
      </c>
      <c r="L9203">
        <v>-59.311</v>
      </c>
      <c r="M9203">
        <v>0.85225640000000003</v>
      </c>
      <c r="N9203">
        <v>-1.6797599999999999E-2</v>
      </c>
      <c r="O9203">
        <v>0.52285459999999995</v>
      </c>
      <c r="P9203">
        <v>0.66638960000000003</v>
      </c>
      <c r="Q9203">
        <v>-6.7918610000000004E-2</v>
      </c>
      <c r="R9203">
        <v>0.74250389999999999</v>
      </c>
      <c r="S9203">
        <v>1.002731</v>
      </c>
      <c r="T9203">
        <v>-0.4155644</v>
      </c>
      <c r="U9203">
        <v>3.1495359999999999</v>
      </c>
      <c r="V9203">
        <v>-0.28284369999999998</v>
      </c>
      <c r="W9203">
        <v>-5.9847539999999998E-2</v>
      </c>
      <c r="X9203">
        <v>0.95729710000000001</v>
      </c>
      <c r="Y9203">
        <v>-0.65121929999999995</v>
      </c>
      <c r="Z9203">
        <v>-1.1889510000000001E-2</v>
      </c>
      <c r="AA9203">
        <v>0.75879649999999998</v>
      </c>
      <c r="AB9203">
        <v>24</v>
      </c>
      <c r="AC9203">
        <v>2.4408999999999899</v>
      </c>
      <c r="AD9203">
        <v>-1.1327188411719999</v>
      </c>
      <c r="AE9203">
        <v>8.3793600000000001</v>
      </c>
      <c r="AF9203">
        <v>-5.7687841898424796</v>
      </c>
      <c r="AG9203">
        <v>-1.1327188411719999</v>
      </c>
      <c r="AH9203">
        <v>6.3553207439960797</v>
      </c>
      <c r="AI9203">
        <v>97.517959610695002</v>
      </c>
      <c r="AJ9203">
        <v>132.23032019574799</v>
      </c>
      <c r="AK9203">
        <v>8.6574837430508396</v>
      </c>
      <c r="AL9203">
        <v>93.431061685149203</v>
      </c>
      <c r="AM9203">
        <v>106.460340711366</v>
      </c>
      <c r="AN9203">
        <v>1.0000000121710699</v>
      </c>
    </row>
    <row r="9204" spans="1:40" x14ac:dyDescent="0.25">
      <c r="A9204" t="str">
        <f>"20190303154019056"</f>
        <v>20190303154019056</v>
      </c>
      <c r="B9204" t="str">
        <f>"1551598819047575"</f>
        <v>1551598819047575</v>
      </c>
      <c r="C9204" t="s">
        <v>40</v>
      </c>
      <c r="D9204">
        <v>4.260033</v>
      </c>
      <c r="E9204">
        <v>0.3198394</v>
      </c>
      <c r="F9204" t="s">
        <v>63</v>
      </c>
      <c r="G9204">
        <v>-192.32749999999999</v>
      </c>
      <c r="H9204" s="1">
        <v>-9.9008100000000008E-6</v>
      </c>
      <c r="I9204">
        <v>-50.752000000000002</v>
      </c>
      <c r="J9204">
        <v>-194.73750000000001</v>
      </c>
      <c r="K9204">
        <v>1.132714</v>
      </c>
      <c r="L9204">
        <v>-59.246729999999999</v>
      </c>
      <c r="M9204">
        <v>0.84787459999999903</v>
      </c>
      <c r="N9204">
        <v>-1.6853369999999999E-2</v>
      </c>
      <c r="O9204">
        <v>0.52992890000000004</v>
      </c>
      <c r="P9204">
        <v>0.66050359999999997</v>
      </c>
      <c r="Q9204">
        <v>-6.8585320000000005E-2</v>
      </c>
      <c r="R9204">
        <v>0.74768380000000001</v>
      </c>
      <c r="S9204">
        <v>0.92550659999999896</v>
      </c>
      <c r="T9204">
        <v>-0.41970859999999899</v>
      </c>
      <c r="U9204">
        <v>3.1713870000000002</v>
      </c>
      <c r="V9204">
        <v>-0.28236899999999998</v>
      </c>
      <c r="W9204">
        <v>-6.0450549999999999E-2</v>
      </c>
      <c r="X9204">
        <v>0.95739929999999995</v>
      </c>
      <c r="Y9204">
        <v>-0.66313610000000001</v>
      </c>
      <c r="Z9204">
        <v>-1.2026E-2</v>
      </c>
      <c r="AA9204">
        <v>0.74840220000000002</v>
      </c>
      <c r="AB9204">
        <v>24</v>
      </c>
      <c r="AC9204">
        <v>2.4100000000000201</v>
      </c>
      <c r="AD9204">
        <v>-1.1327239008100001</v>
      </c>
      <c r="AE9204">
        <v>8.4947300000000094</v>
      </c>
      <c r="AF9204">
        <v>-5.8302354588902299</v>
      </c>
      <c r="AG9204">
        <v>-1.1327239008100001</v>
      </c>
      <c r="AH9204">
        <v>6.4399337352968997</v>
      </c>
      <c r="AI9204">
        <v>97.429032864804299</v>
      </c>
      <c r="AJ9204">
        <v>132.155342400438</v>
      </c>
      <c r="AK9204">
        <v>8.7605625080003993</v>
      </c>
      <c r="AL9204">
        <v>93.465674427533997</v>
      </c>
      <c r="AM9204">
        <v>106.43254706475599</v>
      </c>
      <c r="AN9204">
        <v>0.99999997039839505</v>
      </c>
    </row>
    <row r="9205" spans="1:40" x14ac:dyDescent="0.25">
      <c r="A9205" t="str">
        <f>"20190303154019068"</f>
        <v>20190303154019068</v>
      </c>
      <c r="B9205" t="str">
        <f>"1551598819057335"</f>
        <v>1551598819057335</v>
      </c>
      <c r="C9205" t="s">
        <v>40</v>
      </c>
      <c r="D9205">
        <v>4.340338</v>
      </c>
      <c r="E9205">
        <v>0.3206869</v>
      </c>
      <c r="F9205" t="s">
        <v>63</v>
      </c>
      <c r="G9205">
        <v>-192.30330000000001</v>
      </c>
      <c r="H9205" s="1">
        <v>-9.9277690000000003E-6</v>
      </c>
      <c r="I9205">
        <v>-50.671210000000002</v>
      </c>
      <c r="J9205">
        <v>-194.64019999999999</v>
      </c>
      <c r="K9205">
        <v>1.1327199999999999</v>
      </c>
      <c r="L9205">
        <v>-59.174709999999997</v>
      </c>
      <c r="M9205">
        <v>0.84291769999999999</v>
      </c>
      <c r="N9205">
        <v>-1.6912989999999999E-2</v>
      </c>
      <c r="O9205">
        <v>0.53777659999999905</v>
      </c>
      <c r="P9205">
        <v>0.65367129999999996</v>
      </c>
      <c r="Q9205">
        <v>-6.9106929999999997E-2</v>
      </c>
      <c r="R9205">
        <v>0.75361679999999998</v>
      </c>
      <c r="S9205">
        <v>0.90187070000000003</v>
      </c>
      <c r="T9205">
        <v>-0.41966809999999899</v>
      </c>
      <c r="U9205">
        <v>3.1771850000000001</v>
      </c>
      <c r="V9205">
        <v>-0.28214109999999998</v>
      </c>
      <c r="W9205">
        <v>-6.0912609999999999E-2</v>
      </c>
      <c r="X9205">
        <v>0.95743719999999999</v>
      </c>
      <c r="Y9205">
        <v>-0.66174599999999995</v>
      </c>
      <c r="Z9205">
        <v>-1.3238730000000001E-2</v>
      </c>
      <c r="AA9205">
        <v>0.74961129999999998</v>
      </c>
      <c r="AB9205">
        <v>24</v>
      </c>
      <c r="AC9205">
        <v>2.33689999999998</v>
      </c>
      <c r="AD9205">
        <v>-1.1327299277689999</v>
      </c>
      <c r="AE9205">
        <v>8.5035000000000007</v>
      </c>
      <c r="AF9205">
        <v>-5.8159139604649503</v>
      </c>
      <c r="AG9205">
        <v>-1.1327299277689999</v>
      </c>
      <c r="AH9205">
        <v>6.4375260192964596</v>
      </c>
      <c r="AI9205">
        <v>97.438717916887796</v>
      </c>
      <c r="AJ9205">
        <v>132.09589777775801</v>
      </c>
      <c r="AK9205">
        <v>8.7492670283809293</v>
      </c>
      <c r="AL9205">
        <v>93.4921973979759</v>
      </c>
      <c r="AM9205">
        <v>106.419383985572</v>
      </c>
      <c r="AN9205">
        <v>0.99999996915502998</v>
      </c>
    </row>
    <row r="9206" spans="1:40" x14ac:dyDescent="0.25">
      <c r="A9206" t="str">
        <f>"20190303154019079"</f>
        <v>20190303154019079</v>
      </c>
      <c r="B9206" t="str">
        <f>"1551598819076855"</f>
        <v>1551598819076855</v>
      </c>
      <c r="C9206" t="s">
        <v>40</v>
      </c>
      <c r="D9206">
        <v>4.3509949999999904</v>
      </c>
      <c r="E9206">
        <v>0.32239279999999998</v>
      </c>
      <c r="F9206" t="s">
        <v>63</v>
      </c>
      <c r="G9206">
        <v>-192.27090000000001</v>
      </c>
      <c r="H9206" s="1">
        <v>-9.9537779999999993E-6</v>
      </c>
      <c r="I9206">
        <v>-50.590769999999999</v>
      </c>
      <c r="J9206">
        <v>-194.5497</v>
      </c>
      <c r="K9206">
        <v>1.1327179999999999</v>
      </c>
      <c r="L9206">
        <v>-59.105589999999999</v>
      </c>
      <c r="M9206">
        <v>0.83816630000000003</v>
      </c>
      <c r="N9206">
        <v>-1.696282E-2</v>
      </c>
      <c r="O9206">
        <v>0.54515089999999999</v>
      </c>
      <c r="P9206">
        <v>0.64727959999999995</v>
      </c>
      <c r="Q9206">
        <v>-6.9649610000000001E-2</v>
      </c>
      <c r="R9206">
        <v>0.75906399999999996</v>
      </c>
      <c r="S9206">
        <v>0.87794490000000003</v>
      </c>
      <c r="T9206">
        <v>-0.41973359999999899</v>
      </c>
      <c r="U9206">
        <v>3.1807859999999999</v>
      </c>
      <c r="V9206">
        <v>-0.28177609999999997</v>
      </c>
      <c r="W9206">
        <v>-6.139828E-2</v>
      </c>
      <c r="X9206">
        <v>0.95751370000000002</v>
      </c>
      <c r="Y9206">
        <v>-0.66066139999999995</v>
      </c>
      <c r="Z9206">
        <v>-1.439175E-2</v>
      </c>
      <c r="AA9206">
        <v>0.75054600000000005</v>
      </c>
      <c r="AB9206">
        <v>24</v>
      </c>
      <c r="AC9206">
        <v>2.27879999999998</v>
      </c>
      <c r="AD9206">
        <v>-1.132727953778</v>
      </c>
      <c r="AE9206">
        <v>8.5148200000000003</v>
      </c>
      <c r="AF9206">
        <v>-5.7996174923957797</v>
      </c>
      <c r="AG9206">
        <v>-1.132727953778</v>
      </c>
      <c r="AH9206">
        <v>6.4463614706535202</v>
      </c>
      <c r="AI9206">
        <v>97.442394852550606</v>
      </c>
      <c r="AJ9206">
        <v>131.97686021982301</v>
      </c>
      <c r="AK9206">
        <v>8.7449535096362592</v>
      </c>
      <c r="AL9206">
        <v>93.520076305267693</v>
      </c>
      <c r="AM9206">
        <v>106.39804466869001</v>
      </c>
      <c r="AN9206">
        <v>1.0000000025029201</v>
      </c>
    </row>
    <row r="9207" spans="1:40" x14ac:dyDescent="0.25">
      <c r="A9207" t="str">
        <f>"20190303154019090"</f>
        <v>20190303154019090</v>
      </c>
      <c r="B9207" t="str">
        <f>"1551598819087590"</f>
        <v>1551598819087590</v>
      </c>
      <c r="C9207" t="s">
        <v>40</v>
      </c>
      <c r="D9207">
        <v>4.3228309999999999</v>
      </c>
      <c r="E9207">
        <v>0.32319049999999999</v>
      </c>
      <c r="F9207" t="s">
        <v>63</v>
      </c>
      <c r="G9207">
        <v>-192.22130000000001</v>
      </c>
      <c r="H9207" s="1">
        <v>-9.9779029999999997E-6</v>
      </c>
      <c r="I9207">
        <v>-50.510809999999999</v>
      </c>
      <c r="J9207">
        <v>-194.45910000000001</v>
      </c>
      <c r="K9207">
        <v>1.132719</v>
      </c>
      <c r="L9207">
        <v>-59.03604</v>
      </c>
      <c r="M9207">
        <v>0.83333469999999998</v>
      </c>
      <c r="N9207">
        <v>-1.7011499999999999E-2</v>
      </c>
      <c r="O9207">
        <v>0.55250699999999997</v>
      </c>
      <c r="P9207">
        <v>0.64087289999999997</v>
      </c>
      <c r="Q9207">
        <v>-7.013395E-2</v>
      </c>
      <c r="R9207">
        <v>0.76443649999999996</v>
      </c>
      <c r="S9207">
        <v>0.86128229999999995</v>
      </c>
      <c r="T9207">
        <v>-0.41901500000000003</v>
      </c>
      <c r="U9207">
        <v>3.1793520000000002</v>
      </c>
      <c r="V9207">
        <v>-0.28135139999999997</v>
      </c>
      <c r="W9207">
        <v>-6.1824270000000001E-2</v>
      </c>
      <c r="X9207">
        <v>0.95761110000000005</v>
      </c>
      <c r="Y9207">
        <v>-0.65768269999999995</v>
      </c>
      <c r="Z9207">
        <v>-1.5689990000000001E-2</v>
      </c>
      <c r="AA9207">
        <v>0.75313169999999996</v>
      </c>
      <c r="AB9207">
        <v>24</v>
      </c>
      <c r="AC9207">
        <v>2.2377999999999898</v>
      </c>
      <c r="AD9207">
        <v>-1.1327289779029901</v>
      </c>
      <c r="AE9207">
        <v>8.5252300000000005</v>
      </c>
      <c r="AF9207">
        <v>-5.7734648655972904</v>
      </c>
      <c r="AG9207">
        <v>-1.1327289779029901</v>
      </c>
      <c r="AH9207">
        <v>6.4691924319546503</v>
      </c>
      <c r="AI9207">
        <v>97.442782837027494</v>
      </c>
      <c r="AJ9207">
        <v>131.74748509815899</v>
      </c>
      <c r="AK9207">
        <v>8.7445081172886407</v>
      </c>
      <c r="AL9207">
        <v>93.544530431976199</v>
      </c>
      <c r="AM9207">
        <v>106.373077733325</v>
      </c>
      <c r="AN9207">
        <v>0.99999993474309901</v>
      </c>
    </row>
    <row r="9208" spans="1:40" x14ac:dyDescent="0.25">
      <c r="A9208" t="str">
        <f>"20190303154019106"</f>
        <v>20190303154019106</v>
      </c>
      <c r="B9208" t="str">
        <f>"1551598819097351"</f>
        <v>1551598819097351</v>
      </c>
      <c r="C9208" t="s">
        <v>40</v>
      </c>
      <c r="D9208">
        <v>4.373157</v>
      </c>
      <c r="E9208">
        <v>0.32399729999999999</v>
      </c>
      <c r="F9208" t="s">
        <v>63</v>
      </c>
      <c r="G9208">
        <v>-192.18770000000001</v>
      </c>
      <c r="H9208" s="1">
        <v>-1.000604E-5</v>
      </c>
      <c r="I9208">
        <v>-50.424169999999997</v>
      </c>
      <c r="J9208">
        <v>-194.33269999999999</v>
      </c>
      <c r="K9208">
        <v>1.132719</v>
      </c>
      <c r="L9208">
        <v>-58.935879999999997</v>
      </c>
      <c r="M9208">
        <v>0.82636679999999996</v>
      </c>
      <c r="N9208">
        <v>-1.7072270000000001E-2</v>
      </c>
      <c r="O9208">
        <v>0.56287339999999997</v>
      </c>
      <c r="P9208">
        <v>0.63162359999999995</v>
      </c>
      <c r="Q9208">
        <v>-7.0541660000000006E-2</v>
      </c>
      <c r="R9208">
        <v>0.7720593</v>
      </c>
      <c r="S9208">
        <v>0.83937070000000003</v>
      </c>
      <c r="T9208">
        <v>-0.41857699999999998</v>
      </c>
      <c r="U9208">
        <v>3.1823429999999999</v>
      </c>
      <c r="V9208">
        <v>-0.28087790000000001</v>
      </c>
      <c r="W9208">
        <v>-6.2158030000000003E-2</v>
      </c>
      <c r="X9208">
        <v>0.95772860000000004</v>
      </c>
      <c r="Y9208">
        <v>-0.65336729999999998</v>
      </c>
      <c r="Z9208">
        <v>-1.7528700000000001E-2</v>
      </c>
      <c r="AA9208">
        <v>0.75683809999999996</v>
      </c>
      <c r="AB9208">
        <v>24</v>
      </c>
      <c r="AC9208">
        <v>2.14499999999998</v>
      </c>
      <c r="AD9208">
        <v>-1.1327290060399999</v>
      </c>
      <c r="AE9208">
        <v>8.5117100000000008</v>
      </c>
      <c r="AF9208">
        <v>-5.7318313227179001</v>
      </c>
      <c r="AG9208">
        <v>-1.1327290060399999</v>
      </c>
      <c r="AH9208">
        <v>6.45700369107107</v>
      </c>
      <c r="AI9208">
        <v>97.474134935476101</v>
      </c>
      <c r="AJ9208">
        <v>131.595212189167</v>
      </c>
      <c r="AK9208">
        <v>8.7080343350103906</v>
      </c>
      <c r="AL9208">
        <v>93.563689935454903</v>
      </c>
      <c r="AM9208">
        <v>106.345096512848</v>
      </c>
      <c r="AN9208">
        <v>1.0000000433299201</v>
      </c>
    </row>
    <row r="9209" spans="1:40" x14ac:dyDescent="0.25">
      <c r="A9209" t="str">
        <f>"20190303154019119"</f>
        <v>20190303154019119</v>
      </c>
      <c r="B9209" t="str">
        <f>"1551598819116870"</f>
        <v>1551598819116870</v>
      </c>
      <c r="C9209" t="s">
        <v>40</v>
      </c>
      <c r="D9209">
        <v>4.3479970000000003</v>
      </c>
      <c r="E9209">
        <v>0.3248607</v>
      </c>
      <c r="F9209" t="s">
        <v>63</v>
      </c>
      <c r="G9209">
        <v>-192.1463</v>
      </c>
      <c r="H9209" s="1">
        <v>-1.417562E-6</v>
      </c>
      <c r="I9209">
        <v>-50.286029999999997</v>
      </c>
      <c r="J9209">
        <v>-194.22130000000001</v>
      </c>
      <c r="K9209">
        <v>1.1327160000000001</v>
      </c>
      <c r="L9209">
        <v>-58.84534</v>
      </c>
      <c r="M9209">
        <v>0.82003919999999997</v>
      </c>
      <c r="N9209">
        <v>-1.712085E-2</v>
      </c>
      <c r="O9209">
        <v>0.57205130000000004</v>
      </c>
      <c r="P9209">
        <v>0.62346190000000001</v>
      </c>
      <c r="Q9209">
        <v>-7.1342589999999997E-2</v>
      </c>
      <c r="R9209">
        <v>0.77859209999999901</v>
      </c>
      <c r="S9209">
        <v>0.80587769999999903</v>
      </c>
      <c r="T9209">
        <v>-0.41751129999999997</v>
      </c>
      <c r="U9209">
        <v>3.1882630000000001</v>
      </c>
      <c r="V9209">
        <v>-0.28020149999999999</v>
      </c>
      <c r="W9209">
        <v>-6.2888260000000001E-2</v>
      </c>
      <c r="X9209">
        <v>0.95787900000000004</v>
      </c>
      <c r="Y9209">
        <v>-0.65278049999999999</v>
      </c>
      <c r="Z9209">
        <v>-1.8822680000000001E-2</v>
      </c>
      <c r="AA9209">
        <v>0.75731319999999902</v>
      </c>
      <c r="AB9209">
        <v>24</v>
      </c>
      <c r="AC9209">
        <v>2.0750000000000099</v>
      </c>
      <c r="AD9209">
        <v>-1.1327174175620001</v>
      </c>
      <c r="AE9209">
        <v>8.55931</v>
      </c>
      <c r="AF9209">
        <v>-5.7379067359548896</v>
      </c>
      <c r="AG9209">
        <v>-1.1327174175620001</v>
      </c>
      <c r="AH9209">
        <v>6.4915356246664002</v>
      </c>
      <c r="AI9209">
        <v>97.448574930715296</v>
      </c>
      <c r="AJ9209">
        <v>131.473656058795</v>
      </c>
      <c r="AK9209">
        <v>8.73765742203698</v>
      </c>
      <c r="AL9209">
        <v>93.605611219711705</v>
      </c>
      <c r="AM9209">
        <v>106.305404295511</v>
      </c>
      <c r="AN9209">
        <v>0.99999999624453795</v>
      </c>
    </row>
    <row r="9210" spans="1:40" x14ac:dyDescent="0.25">
      <c r="A9210" t="str">
        <f>"20190303154019138"</f>
        <v>20190303154019138</v>
      </c>
      <c r="B9210" t="str">
        <f>"1551598819127606"</f>
        <v>1551598819127606</v>
      </c>
      <c r="C9210" t="s">
        <v>40</v>
      </c>
      <c r="D9210">
        <v>4.3209039999999996</v>
      </c>
      <c r="E9210">
        <v>0.33933560000000001</v>
      </c>
      <c r="F9210" t="s">
        <v>63</v>
      </c>
      <c r="G9210">
        <v>-192.1123</v>
      </c>
      <c r="H9210" s="1">
        <v>-1.4682449999999999E-6</v>
      </c>
      <c r="I9210">
        <v>-50.187640000000002</v>
      </c>
      <c r="J9210">
        <v>-194.08279999999999</v>
      </c>
      <c r="K9210">
        <v>1.1327100000000001</v>
      </c>
      <c r="L9210">
        <v>-58.730130000000003</v>
      </c>
      <c r="M9210">
        <v>0.81192880000000001</v>
      </c>
      <c r="N9210">
        <v>-1.7175849999999999E-2</v>
      </c>
      <c r="O9210">
        <v>0.58350380000000002</v>
      </c>
      <c r="P9210">
        <v>0.61384030000000001</v>
      </c>
      <c r="Q9210">
        <v>-7.2353470000000003E-2</v>
      </c>
      <c r="R9210">
        <v>0.78610760000000002</v>
      </c>
      <c r="S9210">
        <v>0.77760309999999999</v>
      </c>
      <c r="T9210">
        <v>-0.41764689999999999</v>
      </c>
      <c r="U9210">
        <v>3.1922000000000001</v>
      </c>
      <c r="V9210">
        <v>-0.27843800000000002</v>
      </c>
      <c r="W9210">
        <v>-6.3783039999999999E-2</v>
      </c>
      <c r="X9210">
        <v>0.95833400000000002</v>
      </c>
      <c r="Y9210">
        <v>-0.648761699999999</v>
      </c>
      <c r="Z9210">
        <v>-2.0851640000000001E-2</v>
      </c>
      <c r="AA9210">
        <v>0.76070590000000005</v>
      </c>
      <c r="AB9210">
        <v>24</v>
      </c>
      <c r="AC9210">
        <v>1.9704999999999799</v>
      </c>
      <c r="AD9210">
        <v>-1.1327114682449999</v>
      </c>
      <c r="AE9210">
        <v>8.5424899999999901</v>
      </c>
      <c r="AF9210">
        <v>-5.69193290519617</v>
      </c>
      <c r="AG9210">
        <v>-1.1327114682449999</v>
      </c>
      <c r="AH9210">
        <v>6.4773212150720196</v>
      </c>
      <c r="AI9210">
        <v>97.483604416413002</v>
      </c>
      <c r="AJ9210">
        <v>131.30732395579599</v>
      </c>
      <c r="AK9210">
        <v>8.6969434625488304</v>
      </c>
      <c r="AL9210">
        <v>93.656981367995698</v>
      </c>
      <c r="AM9210">
        <v>106.200895100319</v>
      </c>
      <c r="AN9210">
        <v>1.0000000257958199</v>
      </c>
    </row>
    <row r="9211" spans="1:40" x14ac:dyDescent="0.25">
      <c r="A9211" t="str">
        <f>"20190303154019159"</f>
        <v>20190303154019159</v>
      </c>
      <c r="B9211" t="str">
        <f>"1551598819147127"</f>
        <v>1551598819147127</v>
      </c>
      <c r="C9211" t="s">
        <v>40</v>
      </c>
      <c r="D9211">
        <v>4.3687050000000003</v>
      </c>
      <c r="E9211">
        <v>0.33800340000000001</v>
      </c>
      <c r="F9211" t="s">
        <v>63</v>
      </c>
      <c r="G9211">
        <v>-191.70359999999999</v>
      </c>
      <c r="H9211" s="1">
        <v>-1.641328E-6</v>
      </c>
      <c r="I9211">
        <v>-49.741669999999999</v>
      </c>
      <c r="J9211">
        <v>-193.9128</v>
      </c>
      <c r="K9211">
        <v>1.1327</v>
      </c>
      <c r="L9211">
        <v>-58.584009999999999</v>
      </c>
      <c r="M9211">
        <v>0.80158869999999904</v>
      </c>
      <c r="N9211">
        <v>-1.7234309999999999E-2</v>
      </c>
      <c r="O9211">
        <v>0.59762749999999998</v>
      </c>
      <c r="P9211">
        <v>0.60142890000000004</v>
      </c>
      <c r="Q9211">
        <v>-7.2616639999999996E-2</v>
      </c>
      <c r="R9211">
        <v>0.79561939999999998</v>
      </c>
      <c r="S9211">
        <v>0.82914730000000003</v>
      </c>
      <c r="T9211">
        <v>-0.39474959999999998</v>
      </c>
      <c r="U9211">
        <v>3.1324770000000002</v>
      </c>
      <c r="V9211">
        <v>-0.27667989999999998</v>
      </c>
      <c r="W9211">
        <v>-6.3919359999999995E-2</v>
      </c>
      <c r="X9211">
        <v>0.95883390000000002</v>
      </c>
      <c r="Y9211">
        <v>-0.62031499999999995</v>
      </c>
      <c r="Z9211">
        <v>-2.3612620000000001E-2</v>
      </c>
      <c r="AA9211">
        <v>0.78399730000000001</v>
      </c>
      <c r="AB9211">
        <v>24</v>
      </c>
      <c r="AC9211">
        <v>2.2092000000000098</v>
      </c>
      <c r="AD9211">
        <v>-1.132701641328</v>
      </c>
      <c r="AE9211">
        <v>8.8423400000000001</v>
      </c>
      <c r="AF9211">
        <v>-5.6807559702173203</v>
      </c>
      <c r="AG9211">
        <v>-1.132701641328</v>
      </c>
      <c r="AH9211">
        <v>6.9490125793079596</v>
      </c>
      <c r="AI9211">
        <v>97.192655661360305</v>
      </c>
      <c r="AJ9211">
        <v>129.26569303993</v>
      </c>
      <c r="AK9211">
        <v>9.0466997976503691</v>
      </c>
      <c r="AL9211">
        <v>93.664808178237294</v>
      </c>
      <c r="AM9211">
        <v>106.095957522541</v>
      </c>
      <c r="AN9211">
        <v>0.99999994971801298</v>
      </c>
    </row>
    <row r="9212" spans="1:40" x14ac:dyDescent="0.25">
      <c r="A9212" t="str">
        <f>"20190303154019173"</f>
        <v>20190303154019173</v>
      </c>
      <c r="B9212" t="str">
        <f>"1551598819167622"</f>
        <v>1551598819167622</v>
      </c>
      <c r="C9212" t="s">
        <v>40</v>
      </c>
      <c r="D9212">
        <v>4.3016329999999998</v>
      </c>
      <c r="E9212">
        <v>0.3385862</v>
      </c>
      <c r="F9212" t="s">
        <v>63</v>
      </c>
      <c r="G9212">
        <v>-191.56290000000001</v>
      </c>
      <c r="H9212" s="1">
        <v>-2.0622529999999999E-6</v>
      </c>
      <c r="I9212">
        <v>-48.977679999999999</v>
      </c>
      <c r="J9212">
        <v>-193.8058</v>
      </c>
      <c r="K9212">
        <v>1.1326879999999999</v>
      </c>
      <c r="L9212">
        <v>-58.489409999999999</v>
      </c>
      <c r="M9212">
        <v>0.7948518</v>
      </c>
      <c r="N9212">
        <v>-1.7266719999999999E-2</v>
      </c>
      <c r="O9212">
        <v>0.60655800000000004</v>
      </c>
      <c r="P9212">
        <v>0.59287230000000002</v>
      </c>
      <c r="Q9212">
        <v>-7.2368000000000002E-2</v>
      </c>
      <c r="R9212">
        <v>0.80203829999999998</v>
      </c>
      <c r="S9212">
        <v>0.77143859999999997</v>
      </c>
      <c r="T9212">
        <v>-0.3718398</v>
      </c>
      <c r="U9212">
        <v>3.1535340000000001</v>
      </c>
      <c r="V9212">
        <v>-0.27625100000000002</v>
      </c>
      <c r="W9212">
        <v>-6.3614199999999996E-2</v>
      </c>
      <c r="X9212">
        <v>0.95897790000000005</v>
      </c>
      <c r="Y9212">
        <v>-0.62642430000000004</v>
      </c>
      <c r="Z9212">
        <v>-2.1999500000000002E-2</v>
      </c>
      <c r="AA9212">
        <v>0.77917169999999902</v>
      </c>
      <c r="AB9212">
        <v>24</v>
      </c>
      <c r="AC9212">
        <v>2.2428999999999899</v>
      </c>
      <c r="AD9212">
        <v>-1.1326900622529901</v>
      </c>
      <c r="AE9212">
        <v>9.51173</v>
      </c>
      <c r="AF9212">
        <v>-6.1186928392046402</v>
      </c>
      <c r="AG9212">
        <v>-1.1326900622529901</v>
      </c>
      <c r="AH9212">
        <v>7.4531891237549299</v>
      </c>
      <c r="AI9212">
        <v>96.699366643711699</v>
      </c>
      <c r="AJ9212">
        <v>129.38427137383201</v>
      </c>
      <c r="AK9212">
        <v>9.7093468859712502</v>
      </c>
      <c r="AL9212">
        <v>93.647287967994998</v>
      </c>
      <c r="AM9212">
        <v>106.070006687774</v>
      </c>
      <c r="AN9212">
        <v>0.999999997065525</v>
      </c>
    </row>
    <row r="9213" spans="1:40" x14ac:dyDescent="0.25">
      <c r="A9213" t="str">
        <f>"20190303154019186"</f>
        <v>20190303154019186</v>
      </c>
      <c r="B9213" t="str">
        <f>"1551598819177383"</f>
        <v>1551598819177383</v>
      </c>
      <c r="C9213" t="s">
        <v>40</v>
      </c>
      <c r="D9213">
        <v>4.3162330000000004</v>
      </c>
      <c r="E9213">
        <v>0.33909339999999999</v>
      </c>
      <c r="F9213" t="s">
        <v>63</v>
      </c>
      <c r="G9213">
        <v>-191.4982</v>
      </c>
      <c r="H9213" s="1">
        <v>-2.2382649999999999E-6</v>
      </c>
      <c r="I9213">
        <v>-48.656030000000001</v>
      </c>
      <c r="J9213">
        <v>-193.70840000000001</v>
      </c>
      <c r="K9213">
        <v>1.132679</v>
      </c>
      <c r="L9213">
        <v>-58.401310000000002</v>
      </c>
      <c r="M9213">
        <v>0.78856319999999902</v>
      </c>
      <c r="N9213">
        <v>-1.729267E-2</v>
      </c>
      <c r="O9213">
        <v>0.6147106</v>
      </c>
      <c r="P9213">
        <v>0.58494869999999899</v>
      </c>
      <c r="Q9213">
        <v>-7.1765220000000005E-2</v>
      </c>
      <c r="R9213">
        <v>0.80788919999999997</v>
      </c>
      <c r="S9213">
        <v>0.74143979999999998</v>
      </c>
      <c r="T9213">
        <v>-0.3639464</v>
      </c>
      <c r="U9213">
        <v>3.1595759999999999</v>
      </c>
      <c r="V9213">
        <v>-0.27587919999999999</v>
      </c>
      <c r="W9213">
        <v>-6.296127E-2</v>
      </c>
      <c r="X9213">
        <v>0.95912799999999998</v>
      </c>
      <c r="Y9213">
        <v>-0.62581339999999996</v>
      </c>
      <c r="Z9213">
        <v>-2.2302369999999998E-2</v>
      </c>
      <c r="AA9213">
        <v>0.77965399999999996</v>
      </c>
      <c r="AB9213">
        <v>24</v>
      </c>
      <c r="AC9213">
        <v>2.2102000000000102</v>
      </c>
      <c r="AD9213">
        <v>-1.132681238265</v>
      </c>
      <c r="AE9213">
        <v>9.7452799999999904</v>
      </c>
      <c r="AF9213">
        <v>-6.2468210071873704</v>
      </c>
      <c r="AG9213">
        <v>-1.132681238265</v>
      </c>
      <c r="AH9213">
        <v>7.63645060742199</v>
      </c>
      <c r="AI9213">
        <v>96.549249418998897</v>
      </c>
      <c r="AJ9213">
        <v>129.28408501139299</v>
      </c>
      <c r="AK9213">
        <v>9.9308165506644297</v>
      </c>
      <c r="AL9213">
        <v>93.609802722735495</v>
      </c>
      <c r="AM9213">
        <v>106.04711049749299</v>
      </c>
      <c r="AN9213">
        <v>0.99999998744832597</v>
      </c>
    </row>
    <row r="9214" spans="1:40" x14ac:dyDescent="0.25">
      <c r="A9214" t="str">
        <f>"20190303154019203"</f>
        <v>20190303154019203</v>
      </c>
      <c r="B9214" t="str">
        <f>"1551598819196903"</f>
        <v>1551598819196903</v>
      </c>
      <c r="C9214" t="s">
        <v>40</v>
      </c>
      <c r="D9214">
        <v>4.2969030000000004</v>
      </c>
      <c r="E9214">
        <v>0.34094370000000002</v>
      </c>
      <c r="F9214" t="s">
        <v>44</v>
      </c>
      <c r="G9214">
        <v>-193.50190000000001</v>
      </c>
      <c r="H9214">
        <v>1.0285959999999901</v>
      </c>
      <c r="I9214">
        <v>-57.486179999999997</v>
      </c>
      <c r="J9214">
        <v>-193.58240000000001</v>
      </c>
      <c r="K9214">
        <v>1.1326579999999999</v>
      </c>
      <c r="L9214">
        <v>-58.284239999999997</v>
      </c>
      <c r="M9214">
        <v>0.78018790000000005</v>
      </c>
      <c r="N9214">
        <v>-1.7321509999999998E-2</v>
      </c>
      <c r="O9214">
        <v>0.62530540000000001</v>
      </c>
      <c r="P9214">
        <v>0.5743682</v>
      </c>
      <c r="Q9214">
        <v>-7.1044319999999994E-2</v>
      </c>
      <c r="R9214">
        <v>0.81550829999999996</v>
      </c>
      <c r="S9214">
        <v>0.71356200000000003</v>
      </c>
      <c r="T9214">
        <v>-0.35989729999999998</v>
      </c>
      <c r="U9214">
        <v>3.1647639999999999</v>
      </c>
      <c r="V9214">
        <v>-0.27550160000000001</v>
      </c>
      <c r="W9214">
        <v>-6.2180569999999998E-2</v>
      </c>
      <c r="X9214">
        <v>0.95928749999999996</v>
      </c>
      <c r="Y9214">
        <v>-0.62215589999999998</v>
      </c>
      <c r="Z9214">
        <v>-2.3498620000000001E-2</v>
      </c>
      <c r="AA9214">
        <v>0.78254060000000003</v>
      </c>
      <c r="AB9214">
        <v>24</v>
      </c>
      <c r="AC9214">
        <v>8.0500000000000599E-2</v>
      </c>
      <c r="AD9214">
        <v>-0.104062</v>
      </c>
      <c r="AE9214">
        <v>0.79805999999999899</v>
      </c>
      <c r="AF9214">
        <v>-0.56291102930463299</v>
      </c>
      <c r="AG9214">
        <v>-0.104062</v>
      </c>
      <c r="AH9214">
        <v>0.55261936392010202</v>
      </c>
      <c r="AI9214">
        <v>97.515007543144407</v>
      </c>
      <c r="AJ9214">
        <v>135.52858466711899</v>
      </c>
      <c r="AK9214">
        <v>0.79566694548426498</v>
      </c>
      <c r="AL9214">
        <v>93.564983928303306</v>
      </c>
      <c r="AM9214">
        <v>106.023747227569</v>
      </c>
      <c r="AN9214">
        <v>1.00000003127216</v>
      </c>
    </row>
    <row r="9215" spans="1:40" x14ac:dyDescent="0.25">
      <c r="A9215" t="str">
        <f>"20190303154019214"</f>
        <v>20190303154019214</v>
      </c>
      <c r="B9215" t="str">
        <f>"1551598819207638"</f>
        <v>1551598819207638</v>
      </c>
      <c r="C9215" t="s">
        <v>40</v>
      </c>
      <c r="D9215">
        <v>4.3534220000000001</v>
      </c>
      <c r="E9215">
        <v>0.34182030000000002</v>
      </c>
      <c r="F9215" t="s">
        <v>44</v>
      </c>
      <c r="G9215">
        <v>-193.37710000000001</v>
      </c>
      <c r="H9215">
        <v>1.027058</v>
      </c>
      <c r="I9215">
        <v>-57.334499999999998</v>
      </c>
      <c r="J9215">
        <v>-193.49459999999999</v>
      </c>
      <c r="K9215">
        <v>1.1326419999999999</v>
      </c>
      <c r="L9215">
        <v>-58.20093</v>
      </c>
      <c r="M9215">
        <v>0.77420279999999997</v>
      </c>
      <c r="N9215">
        <v>-1.7339210000000001E-2</v>
      </c>
      <c r="O9215">
        <v>0.63270009999999999</v>
      </c>
      <c r="P9215">
        <v>0.56670050000000005</v>
      </c>
      <c r="Q9215">
        <v>-7.1216139999999997E-2</v>
      </c>
      <c r="R9215">
        <v>0.82084029999999997</v>
      </c>
      <c r="S9215">
        <v>0.68443299999999996</v>
      </c>
      <c r="T9215">
        <v>-0.35202549999999999</v>
      </c>
      <c r="U9215">
        <v>3.165985</v>
      </c>
      <c r="V9215">
        <v>-0.27535199999999999</v>
      </c>
      <c r="W9215">
        <v>-6.2316440000000001E-2</v>
      </c>
      <c r="X9215">
        <v>0.9593216</v>
      </c>
      <c r="Y9215">
        <v>-0.62170019999999904</v>
      </c>
      <c r="Z9215">
        <v>-2.3660259999999999E-2</v>
      </c>
      <c r="AA9215">
        <v>0.78289790000000004</v>
      </c>
      <c r="AB9215">
        <v>24</v>
      </c>
      <c r="AC9215">
        <v>0.117499999999978</v>
      </c>
      <c r="AD9215">
        <v>-0.105583999999999</v>
      </c>
      <c r="AE9215">
        <v>0.86643000000000803</v>
      </c>
      <c r="AF9215">
        <v>-0.58796626360062698</v>
      </c>
      <c r="AG9215">
        <v>-0.105583999999999</v>
      </c>
      <c r="AH9215">
        <v>0.63006767148714904</v>
      </c>
      <c r="AI9215">
        <v>96.984866614223506</v>
      </c>
      <c r="AJ9215">
        <v>133.02035646464901</v>
      </c>
      <c r="AK9215">
        <v>0.86823820397499196</v>
      </c>
      <c r="AL9215">
        <v>93.572783953257101</v>
      </c>
      <c r="AM9215">
        <v>106.01495239414901</v>
      </c>
      <c r="AN9215">
        <v>0.99999999741241596</v>
      </c>
    </row>
    <row r="9216" spans="1:40" x14ac:dyDescent="0.25">
      <c r="A9216" t="str">
        <f>"20190303154019226"</f>
        <v>20190303154019226</v>
      </c>
      <c r="B9216" t="str">
        <f>"1551598819217400"</f>
        <v>1551598819217400</v>
      </c>
      <c r="C9216" t="s">
        <v>40</v>
      </c>
      <c r="D9216">
        <v>4.3467549999999999</v>
      </c>
      <c r="E9216">
        <v>0.34250190000000003</v>
      </c>
      <c r="F9216" t="s">
        <v>63</v>
      </c>
      <c r="G9216">
        <v>-191.3612</v>
      </c>
      <c r="H9216" s="1">
        <v>-2.6170909999999999E-6</v>
      </c>
      <c r="I9216">
        <v>-47.964570000000002</v>
      </c>
      <c r="J9216">
        <v>-193.4091</v>
      </c>
      <c r="K9216">
        <v>1.1326210000000001</v>
      </c>
      <c r="L9216">
        <v>-58.118380000000002</v>
      </c>
      <c r="M9216">
        <v>0.76825449999999995</v>
      </c>
      <c r="N9216">
        <v>-1.735451E-2</v>
      </c>
      <c r="O9216">
        <v>0.63990919999999996</v>
      </c>
      <c r="P9216">
        <v>0.55916359999999998</v>
      </c>
      <c r="Q9216">
        <v>-7.1574020000000002E-2</v>
      </c>
      <c r="R9216">
        <v>0.82596190000000003</v>
      </c>
      <c r="S9216">
        <v>0.66033940000000002</v>
      </c>
      <c r="T9216">
        <v>-0.35059059999999997</v>
      </c>
      <c r="U9216">
        <v>3.168488</v>
      </c>
      <c r="V9216">
        <v>-0.27513559999999998</v>
      </c>
      <c r="W9216">
        <v>-6.2637970000000001E-2</v>
      </c>
      <c r="X9216">
        <v>0.95936270000000001</v>
      </c>
      <c r="Y9216">
        <v>-0.62023739999999905</v>
      </c>
      <c r="Z9216">
        <v>-2.4530980000000001E-2</v>
      </c>
      <c r="AA9216">
        <v>0.78403049999999996</v>
      </c>
      <c r="AB9216">
        <v>24</v>
      </c>
      <c r="AC9216">
        <v>2.0478999999999901</v>
      </c>
      <c r="AD9216">
        <v>-1.13262361709099</v>
      </c>
      <c r="AE9216">
        <v>10.15381</v>
      </c>
      <c r="AF9216">
        <v>-6.4145239801800704</v>
      </c>
      <c r="AG9216">
        <v>-1.13262361709099</v>
      </c>
      <c r="AH9216">
        <v>7.9766692741070901</v>
      </c>
      <c r="AI9216">
        <v>96.314218899778894</v>
      </c>
      <c r="AJ9216">
        <v>128.80487375292799</v>
      </c>
      <c r="AK9216">
        <v>10.2983594255969</v>
      </c>
      <c r="AL9216">
        <v>93.591242489429405</v>
      </c>
      <c r="AM9216">
        <v>106.002360383888</v>
      </c>
      <c r="AN9216">
        <v>0.99999995191218405</v>
      </c>
    </row>
    <row r="9217" spans="1:40" x14ac:dyDescent="0.25">
      <c r="A9217" t="str">
        <f>"20190303154019237"</f>
        <v>20190303154019237</v>
      </c>
      <c r="B9217" t="str">
        <f>"1551598819227159"</f>
        <v>1551598819227159</v>
      </c>
      <c r="C9217" t="s">
        <v>40</v>
      </c>
      <c r="D9217">
        <v>4.3360500000000002</v>
      </c>
      <c r="E9217">
        <v>0.34315420000000002</v>
      </c>
      <c r="F9217" t="s">
        <v>44</v>
      </c>
      <c r="G9217">
        <v>-193.22620000000001</v>
      </c>
      <c r="H9217">
        <v>1.0321070000000001</v>
      </c>
      <c r="I9217">
        <v>-57.206490000000002</v>
      </c>
      <c r="J9217">
        <v>-193.3271</v>
      </c>
      <c r="K9217">
        <v>1.1325970000000001</v>
      </c>
      <c r="L9217">
        <v>-58.037289999999999</v>
      </c>
      <c r="M9217">
        <v>0.76241429999999999</v>
      </c>
      <c r="N9217">
        <v>-1.7366679999999999E-2</v>
      </c>
      <c r="O9217">
        <v>0.64685609999999905</v>
      </c>
      <c r="P9217">
        <v>0.55181329999999995</v>
      </c>
      <c r="Q9217">
        <v>-7.2209700000000002E-2</v>
      </c>
      <c r="R9217">
        <v>0.83083560000000001</v>
      </c>
      <c r="S9217">
        <v>0.63580319999999901</v>
      </c>
      <c r="T9217">
        <v>-0.34954619999999997</v>
      </c>
      <c r="U9217">
        <v>3.1714169999999999</v>
      </c>
      <c r="V9217">
        <v>-0.27488400000000002</v>
      </c>
      <c r="W9217">
        <v>-6.3239009999999998E-2</v>
      </c>
      <c r="X9217">
        <v>0.95939540000000001</v>
      </c>
      <c r="Y9217">
        <v>-0.61911459999999996</v>
      </c>
      <c r="Z9217">
        <v>-2.538311E-2</v>
      </c>
      <c r="AA9217">
        <v>0.78489030000000004</v>
      </c>
      <c r="AB9217">
        <v>24</v>
      </c>
      <c r="AC9217">
        <v>0.10089999999999499</v>
      </c>
      <c r="AD9217">
        <v>-0.100489999999999</v>
      </c>
      <c r="AE9217">
        <v>0.83080000000000298</v>
      </c>
      <c r="AF9217">
        <v>-0.560155608784623</v>
      </c>
      <c r="AG9217">
        <v>-0.100489999999999</v>
      </c>
      <c r="AH9217">
        <v>0.60569562816658395</v>
      </c>
      <c r="AI9217">
        <v>96.944678855618804</v>
      </c>
      <c r="AJ9217">
        <v>132.76307219334299</v>
      </c>
      <c r="AK9217">
        <v>0.83110753824820005</v>
      </c>
      <c r="AL9217">
        <v>93.625747928961403</v>
      </c>
      <c r="AM9217">
        <v>105.987958037125</v>
      </c>
      <c r="AN9217">
        <v>0.99999995969146904</v>
      </c>
    </row>
    <row r="9218" spans="1:40" x14ac:dyDescent="0.25">
      <c r="A9218" t="str">
        <f>"20190303154019249"</f>
        <v>20190303154019249</v>
      </c>
      <c r="B9218" t="str">
        <f>"1551598819247655"</f>
        <v>1551598819247655</v>
      </c>
      <c r="C9218" t="s">
        <v>40</v>
      </c>
      <c r="D9218">
        <v>4.4927419999999998</v>
      </c>
      <c r="E9218">
        <v>0.35955769999999998</v>
      </c>
      <c r="F9218" t="s">
        <v>63</v>
      </c>
      <c r="G9218">
        <v>-191.3458</v>
      </c>
      <c r="H9218" s="1">
        <v>-2.736992E-6</v>
      </c>
      <c r="I9218">
        <v>-47.756210000000003</v>
      </c>
      <c r="J9218">
        <v>-193.2371</v>
      </c>
      <c r="K9218">
        <v>1.1325620000000001</v>
      </c>
      <c r="L9218">
        <v>-57.947330000000001</v>
      </c>
      <c r="M9218">
        <v>0.75589419999999996</v>
      </c>
      <c r="N9218">
        <v>-1.7379149999999999E-2</v>
      </c>
      <c r="O9218">
        <v>0.65446309999999996</v>
      </c>
      <c r="P9218">
        <v>0.54371329999999995</v>
      </c>
      <c r="Q9218">
        <v>-7.3127429999999993E-2</v>
      </c>
      <c r="R9218">
        <v>0.83607909999999996</v>
      </c>
      <c r="S9218">
        <v>0.61170959999999996</v>
      </c>
      <c r="T9218">
        <v>-0.34967359999999997</v>
      </c>
      <c r="U9218">
        <v>3.1741329999999999</v>
      </c>
      <c r="V9218">
        <v>-0.2745127</v>
      </c>
      <c r="W9218">
        <v>-6.4116220000000002E-2</v>
      </c>
      <c r="X9218">
        <v>0.9594435</v>
      </c>
      <c r="Y9218">
        <v>-0.61714029999999998</v>
      </c>
      <c r="Z9218">
        <v>-2.651483E-2</v>
      </c>
      <c r="AA9218">
        <v>0.7864063</v>
      </c>
      <c r="AB9218">
        <v>23</v>
      </c>
      <c r="AC9218">
        <v>1.8913</v>
      </c>
      <c r="AD9218">
        <v>-1.132564736992</v>
      </c>
      <c r="AE9218">
        <v>10.19112</v>
      </c>
      <c r="AF9218">
        <v>-6.3903036659175099</v>
      </c>
      <c r="AG9218">
        <v>-1.132564736992</v>
      </c>
      <c r="AH9218">
        <v>8.0049846154144397</v>
      </c>
      <c r="AI9218">
        <v>96.309641898284397</v>
      </c>
      <c r="AJ9218">
        <v>128.600036730498</v>
      </c>
      <c r="AK9218">
        <v>10.305263825790099</v>
      </c>
      <c r="AL9218">
        <v>93.6761105319965</v>
      </c>
      <c r="AM9218">
        <v>105.966704186068</v>
      </c>
      <c r="AN9218">
        <v>0.99999997091031301</v>
      </c>
    </row>
    <row r="9219" spans="1:40" x14ac:dyDescent="0.25">
      <c r="A9219" t="str">
        <f>"20190303154019261"</f>
        <v>20190303154019261</v>
      </c>
      <c r="B9219" t="str">
        <f>"1551598819257415"</f>
        <v>1551598819257415</v>
      </c>
      <c r="C9219" t="s">
        <v>40</v>
      </c>
      <c r="D9219">
        <v>4.5278210000000003</v>
      </c>
      <c r="E9219">
        <v>0.36211969999999999</v>
      </c>
      <c r="F9219" t="s">
        <v>63</v>
      </c>
      <c r="G9219">
        <v>-191.0565</v>
      </c>
      <c r="H9219" s="1">
        <v>-2.4481100000000002E-6</v>
      </c>
      <c r="I9219">
        <v>-48.135579999999997</v>
      </c>
      <c r="J9219">
        <v>-193.1549</v>
      </c>
      <c r="K9219">
        <v>1.1325369999999999</v>
      </c>
      <c r="L9219">
        <v>-57.862549999999999</v>
      </c>
      <c r="M9219">
        <v>0.74976880000000001</v>
      </c>
      <c r="N9219">
        <v>-1.7387659999999999E-2</v>
      </c>
      <c r="O9219">
        <v>0.66147140000000004</v>
      </c>
      <c r="P9219">
        <v>0.53588279999999999</v>
      </c>
      <c r="Q9219">
        <v>-7.4155410000000005E-2</v>
      </c>
      <c r="R9219">
        <v>0.84102949999999999</v>
      </c>
      <c r="S9219">
        <v>0.69065859999999901</v>
      </c>
      <c r="T9219">
        <v>-0.35871639999999999</v>
      </c>
      <c r="U9219">
        <v>3.107666</v>
      </c>
      <c r="V9219">
        <v>-0.27444819999999998</v>
      </c>
      <c r="W9219">
        <v>-6.5118140000000005E-2</v>
      </c>
      <c r="X9219">
        <v>0.95939450000000004</v>
      </c>
      <c r="Y9219">
        <v>-0.58724589999999999</v>
      </c>
      <c r="Z9219">
        <v>-3.122169E-2</v>
      </c>
      <c r="AA9219">
        <v>0.80880620000000003</v>
      </c>
      <c r="AB9219">
        <v>23</v>
      </c>
      <c r="AC9219">
        <v>2.0983999999999901</v>
      </c>
      <c r="AD9219">
        <v>-1.13253944811</v>
      </c>
      <c r="AE9219">
        <v>9.7269699999999997</v>
      </c>
      <c r="AF9219">
        <v>-5.8303153556503204</v>
      </c>
      <c r="AG9219">
        <v>-1.13253944811</v>
      </c>
      <c r="AH9219">
        <v>7.9062227178391096</v>
      </c>
      <c r="AI9219">
        <v>96.5765337993071</v>
      </c>
      <c r="AJ9219">
        <v>126.40631536818699</v>
      </c>
      <c r="AK9219">
        <v>9.8885580552440704</v>
      </c>
      <c r="AL9219">
        <v>93.733636449447403</v>
      </c>
      <c r="AM9219">
        <v>105.96391754444301</v>
      </c>
      <c r="AN9219">
        <v>0.99999999663527395</v>
      </c>
    </row>
    <row r="9220" spans="1:40" x14ac:dyDescent="0.25">
      <c r="A9220" t="str">
        <f>"20190303154019274"</f>
        <v>20190303154019274</v>
      </c>
      <c r="B9220" t="str">
        <f>"1551598819267175"</f>
        <v>1551598819267175</v>
      </c>
      <c r="C9220" t="s">
        <v>40</v>
      </c>
      <c r="D9220">
        <v>4.4904950000000001</v>
      </c>
      <c r="E9220">
        <v>0.36273650000000002</v>
      </c>
      <c r="F9220" t="s">
        <v>44</v>
      </c>
      <c r="G9220">
        <v>-192.9502</v>
      </c>
      <c r="H9220">
        <v>1.0274620000000001</v>
      </c>
      <c r="I9220">
        <v>-56.92689</v>
      </c>
      <c r="J9220">
        <v>-193.07239999999999</v>
      </c>
      <c r="K9220">
        <v>1.1325099999999999</v>
      </c>
      <c r="L9220">
        <v>-57.77655</v>
      </c>
      <c r="M9220">
        <v>0.74352099999999999</v>
      </c>
      <c r="N9220">
        <v>-1.7395529999999999E-2</v>
      </c>
      <c r="O9220">
        <v>0.66848640000000004</v>
      </c>
      <c r="P9220">
        <v>0.52808909999999998</v>
      </c>
      <c r="Q9220">
        <v>-7.4850860000000005E-2</v>
      </c>
      <c r="R9220">
        <v>0.84588369999999902</v>
      </c>
      <c r="S9220">
        <v>0.67883300000000002</v>
      </c>
      <c r="T9220">
        <v>-0.34853590000000001</v>
      </c>
      <c r="U9220">
        <v>3.10379</v>
      </c>
      <c r="V9220">
        <v>-0.2742386</v>
      </c>
      <c r="W9220">
        <v>-6.5782460000000001E-2</v>
      </c>
      <c r="X9220">
        <v>0.95940910000000001</v>
      </c>
      <c r="Y9220">
        <v>-0.58243849999999997</v>
      </c>
      <c r="Z9220">
        <v>-3.1190530000000001E-2</v>
      </c>
      <c r="AA9220">
        <v>0.8122762</v>
      </c>
      <c r="AB9220">
        <v>23</v>
      </c>
      <c r="AC9220">
        <v>0.122199999999992</v>
      </c>
      <c r="AD9220">
        <v>-0.105048</v>
      </c>
      <c r="AE9220">
        <v>0.84965999999999997</v>
      </c>
      <c r="AF9220">
        <v>-0.542017012181503</v>
      </c>
      <c r="AG9220">
        <v>-0.105048</v>
      </c>
      <c r="AH9220">
        <v>0.64922139014741997</v>
      </c>
      <c r="AI9220">
        <v>97.080379556792806</v>
      </c>
      <c r="AJ9220">
        <v>129.85757315378899</v>
      </c>
      <c r="AK9220">
        <v>0.85223584600925595</v>
      </c>
      <c r="AL9220">
        <v>93.771781028147601</v>
      </c>
      <c r="AM9220">
        <v>105.952115850412</v>
      </c>
      <c r="AN9220">
        <v>0.99999998146821001</v>
      </c>
    </row>
    <row r="9221" spans="1:40" x14ac:dyDescent="0.25">
      <c r="A9221" t="str">
        <f>"20190303154019286"</f>
        <v>20190303154019286</v>
      </c>
      <c r="B9221" t="str">
        <f>"1551598819276934"</f>
        <v>1551598819276934</v>
      </c>
      <c r="C9221" t="s">
        <v>40</v>
      </c>
      <c r="D9221">
        <v>4.509849</v>
      </c>
      <c r="E9221">
        <v>0.36334870000000002</v>
      </c>
      <c r="F9221" t="s">
        <v>44</v>
      </c>
      <c r="G9221">
        <v>-192.85730000000001</v>
      </c>
      <c r="H9221">
        <v>1.021102</v>
      </c>
      <c r="I9221">
        <v>-56.75479</v>
      </c>
      <c r="J9221">
        <v>-192.9803</v>
      </c>
      <c r="K9221">
        <v>1.1324860000000001</v>
      </c>
      <c r="L9221">
        <v>-57.678559999999997</v>
      </c>
      <c r="M9221">
        <v>0.73639119999999902</v>
      </c>
      <c r="N9221">
        <v>-1.7402480000000001E-2</v>
      </c>
      <c r="O9221">
        <v>0.67633219999999905</v>
      </c>
      <c r="P9221">
        <v>0.51902389999999998</v>
      </c>
      <c r="Q9221">
        <v>-7.5301569999999998E-2</v>
      </c>
      <c r="R9221">
        <v>0.85143630000000003</v>
      </c>
      <c r="S9221">
        <v>0.65428160000000002</v>
      </c>
      <c r="T9221">
        <v>-0.3389143</v>
      </c>
      <c r="U9221">
        <v>3.1081240000000001</v>
      </c>
      <c r="V9221">
        <v>-0.2742771</v>
      </c>
      <c r="W9221">
        <v>-6.6207840000000004E-2</v>
      </c>
      <c r="X9221">
        <v>0.95936880000000002</v>
      </c>
      <c r="Y9221">
        <v>-0.58025569999999904</v>
      </c>
      <c r="Z9221">
        <v>-3.1024360000000001E-2</v>
      </c>
      <c r="AA9221">
        <v>0.81384319999999999</v>
      </c>
      <c r="AB9221">
        <v>23</v>
      </c>
      <c r="AC9221">
        <v>0.12299999999999001</v>
      </c>
      <c r="AD9221">
        <v>-0.111384</v>
      </c>
      <c r="AE9221">
        <v>0.92376999999999698</v>
      </c>
      <c r="AF9221">
        <v>-0.58874727922592995</v>
      </c>
      <c r="AG9221">
        <v>-0.111384</v>
      </c>
      <c r="AH9221">
        <v>0.70538329787926302</v>
      </c>
      <c r="AI9221">
        <v>96.912124311107803</v>
      </c>
      <c r="AJ9221">
        <v>129.850021285531</v>
      </c>
      <c r="AK9221">
        <v>0.92552436552419304</v>
      </c>
      <c r="AL9221">
        <v>93.796206876431597</v>
      </c>
      <c r="AM9221">
        <v>105.95487744942599</v>
      </c>
      <c r="AN9221">
        <v>0.99999995003765596</v>
      </c>
    </row>
    <row r="9222" spans="1:40" x14ac:dyDescent="0.25">
      <c r="A9222" t="str">
        <f>"20190303154019306"</f>
        <v>20190303154019306</v>
      </c>
      <c r="B9222" t="str">
        <f>"1551598819297430"</f>
        <v>1551598819297430</v>
      </c>
      <c r="C9222" t="s">
        <v>40</v>
      </c>
      <c r="D9222">
        <v>4.5421500000000004</v>
      </c>
      <c r="E9222">
        <v>0.36376140000000001</v>
      </c>
      <c r="F9222" t="s">
        <v>44</v>
      </c>
      <c r="G9222">
        <v>-192.80260000000001</v>
      </c>
      <c r="H9222">
        <v>1.0379130000000001</v>
      </c>
      <c r="I9222">
        <v>-56.793320000000001</v>
      </c>
      <c r="J9222">
        <v>-192.85059999999999</v>
      </c>
      <c r="K9222">
        <v>1.13245</v>
      </c>
      <c r="L9222">
        <v>-57.536589999999997</v>
      </c>
      <c r="M9222">
        <v>0.72604769999999996</v>
      </c>
      <c r="N9222">
        <v>-1.7409150000000002E-2</v>
      </c>
      <c r="O9222">
        <v>0.68742389999999998</v>
      </c>
      <c r="P9222">
        <v>0.50690179999999996</v>
      </c>
      <c r="Q9222">
        <v>-7.610662E-2</v>
      </c>
      <c r="R9222">
        <v>0.85863750000000005</v>
      </c>
      <c r="S9222">
        <v>0.62516780000000005</v>
      </c>
      <c r="T9222">
        <v>-0.33259490000000003</v>
      </c>
      <c r="U9222">
        <v>3.112946</v>
      </c>
      <c r="V9222">
        <v>-0.27326030000000001</v>
      </c>
      <c r="W9222">
        <v>-6.6944829999999997E-2</v>
      </c>
      <c r="X9222">
        <v>0.95960780000000001</v>
      </c>
      <c r="Y9222">
        <v>-0.57552139999999996</v>
      </c>
      <c r="Z9222">
        <v>-3.1814780000000001E-2</v>
      </c>
      <c r="AA9222">
        <v>0.81716759999999999</v>
      </c>
      <c r="AB9222">
        <v>23</v>
      </c>
      <c r="AC9222">
        <v>4.7999999999973397E-2</v>
      </c>
      <c r="AD9222">
        <v>-9.4537000000000093E-2</v>
      </c>
      <c r="AE9222">
        <v>0.74327000000000898</v>
      </c>
      <c r="AF9222">
        <v>-0.49869580563580801</v>
      </c>
      <c r="AG9222">
        <v>-9.4537000000000093E-2</v>
      </c>
      <c r="AH9222">
        <v>0.53721983114914795</v>
      </c>
      <c r="AI9222">
        <v>97.348931277169399</v>
      </c>
      <c r="AJ9222">
        <v>132.870244153024</v>
      </c>
      <c r="AK9222">
        <v>0.73908044075571799</v>
      </c>
      <c r="AL9222">
        <v>93.838527130011997</v>
      </c>
      <c r="AM9222">
        <v>105.894964759866</v>
      </c>
      <c r="AN9222">
        <v>0.99999996582032802</v>
      </c>
    </row>
    <row r="9223" spans="1:40" x14ac:dyDescent="0.25">
      <c r="A9223" t="str">
        <f>"20190303154019321"</f>
        <v>20190303154019321</v>
      </c>
      <c r="B9223" t="str">
        <f>"1551598819316951"</f>
        <v>1551598819316951</v>
      </c>
      <c r="C9223" t="s">
        <v>40</v>
      </c>
      <c r="D9223">
        <v>4.4633570000000002</v>
      </c>
      <c r="E9223">
        <v>0.36443239999999999</v>
      </c>
      <c r="F9223" t="s">
        <v>44</v>
      </c>
      <c r="G9223">
        <v>-192.68260000000001</v>
      </c>
      <c r="H9223">
        <v>1.035239</v>
      </c>
      <c r="I9223">
        <v>-56.640099999999997</v>
      </c>
      <c r="J9223">
        <v>-192.74979999999999</v>
      </c>
      <c r="K9223">
        <v>1.13242</v>
      </c>
      <c r="L9223">
        <v>-57.423000000000002</v>
      </c>
      <c r="M9223">
        <v>0.71775959999999905</v>
      </c>
      <c r="N9223">
        <v>-1.741206E-2</v>
      </c>
      <c r="O9223">
        <v>0.69607330000000001</v>
      </c>
      <c r="P9223">
        <v>0.4973572</v>
      </c>
      <c r="Q9223">
        <v>-7.5897430000000002E-2</v>
      </c>
      <c r="R9223">
        <v>0.86421959999999998</v>
      </c>
      <c r="S9223">
        <v>0.58366390000000001</v>
      </c>
      <c r="T9223">
        <v>-0.33820029999999901</v>
      </c>
      <c r="U9223">
        <v>3.1193849999999999</v>
      </c>
      <c r="V9223">
        <v>-0.272422099999999</v>
      </c>
      <c r="W9223">
        <v>-6.6681539999999997E-2</v>
      </c>
      <c r="X9223">
        <v>0.95986439999999995</v>
      </c>
      <c r="Y9223">
        <v>-0.57652499999999995</v>
      </c>
      <c r="Z9223">
        <v>-3.3667030000000001E-2</v>
      </c>
      <c r="AA9223">
        <v>0.81638559999999905</v>
      </c>
      <c r="AB9223">
        <v>23</v>
      </c>
      <c r="AC9223">
        <v>6.7199999999985494E-2</v>
      </c>
      <c r="AD9223">
        <v>-9.7180999999999906E-2</v>
      </c>
      <c r="AE9223">
        <v>0.78290000000000504</v>
      </c>
      <c r="AF9223">
        <v>-0.50747391929722796</v>
      </c>
      <c r="AG9223">
        <v>-9.7180999999999906E-2</v>
      </c>
      <c r="AH9223">
        <v>0.58434139260181395</v>
      </c>
      <c r="AI9223">
        <v>97.156968436159403</v>
      </c>
      <c r="AJ9223">
        <v>130.972829214369</v>
      </c>
      <c r="AK9223">
        <v>0.78001845403536196</v>
      </c>
      <c r="AL9223">
        <v>93.823408010533996</v>
      </c>
      <c r="AM9223">
        <v>105.844637112065</v>
      </c>
      <c r="AN9223">
        <v>0.99999994736626896</v>
      </c>
    </row>
    <row r="9224" spans="1:40" x14ac:dyDescent="0.25">
      <c r="A9224" t="str">
        <f>"20190303154019339"</f>
        <v>20190303154019339</v>
      </c>
      <c r="B9224" t="str">
        <f>"1551598819326710"</f>
        <v>1551598819326710</v>
      </c>
      <c r="C9224" t="s">
        <v>40</v>
      </c>
      <c r="D9224">
        <v>4.4421749999999998</v>
      </c>
      <c r="E9224">
        <v>0.36477229999999999</v>
      </c>
      <c r="F9224" t="s">
        <v>44</v>
      </c>
      <c r="G9224">
        <v>-192.58179999999999</v>
      </c>
      <c r="H9224">
        <v>1.0315510000000001</v>
      </c>
      <c r="I9224">
        <v>-56.474559999999997</v>
      </c>
      <c r="J9224">
        <v>-192.6301</v>
      </c>
      <c r="K9224">
        <v>1.132385</v>
      </c>
      <c r="L9224">
        <v>-57.284730000000003</v>
      </c>
      <c r="M9224">
        <v>0.70763830000000005</v>
      </c>
      <c r="N9224">
        <v>-1.7413640000000001E-2</v>
      </c>
      <c r="O9224">
        <v>0.70636030000000005</v>
      </c>
      <c r="P9224">
        <v>0.48771130000000001</v>
      </c>
      <c r="Q9224">
        <v>-7.6219830000000002E-2</v>
      </c>
      <c r="R9224">
        <v>0.86967129999999904</v>
      </c>
      <c r="S9224">
        <v>0.55354309999999995</v>
      </c>
      <c r="T9224">
        <v>-0.3322176</v>
      </c>
      <c r="U9224">
        <v>3.123596</v>
      </c>
      <c r="V9224">
        <v>-0.26922970000000002</v>
      </c>
      <c r="W9224">
        <v>-6.6871490000000006E-2</v>
      </c>
      <c r="X9224">
        <v>0.96075149999999998</v>
      </c>
      <c r="Y9224">
        <v>-0.5726057</v>
      </c>
      <c r="Z9224">
        <v>-3.432143E-2</v>
      </c>
      <c r="AA9224">
        <v>0.81911219999999996</v>
      </c>
      <c r="AB9224">
        <v>23</v>
      </c>
      <c r="AC9224">
        <v>4.8300000000011702E-2</v>
      </c>
      <c r="AD9224">
        <v>-0.10083399999999899</v>
      </c>
      <c r="AE9224">
        <v>0.81017000000000605</v>
      </c>
      <c r="AF9224">
        <v>-0.53107446626030996</v>
      </c>
      <c r="AG9224">
        <v>-0.10083399999999899</v>
      </c>
      <c r="AH9224">
        <v>0.59732282234850498</v>
      </c>
      <c r="AI9224">
        <v>97.190301530455898</v>
      </c>
      <c r="AJ9224">
        <v>131.64001405089499</v>
      </c>
      <c r="AK9224">
        <v>0.80560668962469295</v>
      </c>
      <c r="AL9224">
        <v>93.834315733942205</v>
      </c>
      <c r="AM9224">
        <v>105.654372105362</v>
      </c>
      <c r="AN9224">
        <v>0.99999993614457805</v>
      </c>
    </row>
    <row r="9225" spans="1:40" x14ac:dyDescent="0.25">
      <c r="A9225" t="str">
        <f>"20190303154019352"</f>
        <v>20190303154019352</v>
      </c>
      <c r="B9225" t="str">
        <f>"1551598819347207"</f>
        <v>1551598819347207</v>
      </c>
      <c r="C9225" t="s">
        <v>40</v>
      </c>
      <c r="D9225">
        <v>4.5202460000000002</v>
      </c>
      <c r="E9225">
        <v>0.36575200000000002</v>
      </c>
      <c r="F9225" t="s">
        <v>44</v>
      </c>
      <c r="G9225">
        <v>-192.46889999999999</v>
      </c>
      <c r="H9225">
        <v>1.030648</v>
      </c>
      <c r="I9225">
        <v>-56.317709999999998</v>
      </c>
      <c r="J9225">
        <v>-192.54910000000001</v>
      </c>
      <c r="K9225">
        <v>1.1323639999999999</v>
      </c>
      <c r="L9225">
        <v>-57.18918</v>
      </c>
      <c r="M9225">
        <v>0.70061809999999902</v>
      </c>
      <c r="N9225">
        <v>-1.741382E-2</v>
      </c>
      <c r="O9225">
        <v>0.71332399999999996</v>
      </c>
      <c r="P9225">
        <v>0.48078559999999998</v>
      </c>
      <c r="Q9225">
        <v>-7.6412030000000006E-2</v>
      </c>
      <c r="R9225">
        <v>0.87350239999999901</v>
      </c>
      <c r="S9225">
        <v>0.52113339999999997</v>
      </c>
      <c r="T9225">
        <v>-0.32911750000000001</v>
      </c>
      <c r="U9225">
        <v>3.128479</v>
      </c>
      <c r="V9225">
        <v>-0.26735209999999998</v>
      </c>
      <c r="W9225">
        <v>-6.698424E-2</v>
      </c>
      <c r="X9225">
        <v>0.96126789999999995</v>
      </c>
      <c r="Y9225">
        <v>-0.57298450000000001</v>
      </c>
      <c r="Z9225">
        <v>-3.4707210000000002E-2</v>
      </c>
      <c r="AA9225">
        <v>0.81883099999999998</v>
      </c>
      <c r="AB9225">
        <v>23</v>
      </c>
      <c r="AC9225">
        <v>8.0200000000019103E-2</v>
      </c>
      <c r="AD9225">
        <v>-0.101715999999999</v>
      </c>
      <c r="AE9225">
        <v>0.87147000000000896</v>
      </c>
      <c r="AF9225">
        <v>-0.54606636155979404</v>
      </c>
      <c r="AG9225">
        <v>-0.101715999999999</v>
      </c>
      <c r="AH9225">
        <v>0.66889692801494305</v>
      </c>
      <c r="AI9225">
        <v>96.718290803237593</v>
      </c>
      <c r="AJ9225">
        <v>129.227116070108</v>
      </c>
      <c r="AK9225">
        <v>0.86945828893109101</v>
      </c>
      <c r="AL9225">
        <v>93.840790087165502</v>
      </c>
      <c r="AM9225">
        <v>105.54254903090499</v>
      </c>
      <c r="AN9225">
        <v>1.00000000467659</v>
      </c>
    </row>
    <row r="9226" spans="1:40" x14ac:dyDescent="0.25">
      <c r="A9226" t="str">
        <f>"20190303154019364"</f>
        <v>20190303154019364</v>
      </c>
      <c r="B9226" t="str">
        <f>"1551598819356966"</f>
        <v>1551598819356966</v>
      </c>
      <c r="C9226" t="s">
        <v>40</v>
      </c>
      <c r="D9226">
        <v>4.5331239999999999</v>
      </c>
      <c r="E9226">
        <v>0.36636770000000002</v>
      </c>
      <c r="F9226" t="s">
        <v>44</v>
      </c>
      <c r="G9226">
        <v>-192.38130000000001</v>
      </c>
      <c r="H9226">
        <v>1.023107</v>
      </c>
      <c r="I9226">
        <v>-56.14573</v>
      </c>
      <c r="J9226">
        <v>-192.4659</v>
      </c>
      <c r="K9226">
        <v>1.132339</v>
      </c>
      <c r="L9226">
        <v>-57.088349999999998</v>
      </c>
      <c r="M9226">
        <v>0.69321699999999997</v>
      </c>
      <c r="N9226">
        <v>-1.7412540000000001E-2</v>
      </c>
      <c r="O9226">
        <v>0.72051849999999995</v>
      </c>
      <c r="P9226">
        <v>0.47338249999999998</v>
      </c>
      <c r="Q9226">
        <v>-7.6359179999999999E-2</v>
      </c>
      <c r="R9226">
        <v>0.87754109999999996</v>
      </c>
      <c r="S9226">
        <v>0.50294490000000003</v>
      </c>
      <c r="T9226">
        <v>-0.32761240000000003</v>
      </c>
      <c r="U9226">
        <v>3.1289669999999998</v>
      </c>
      <c r="V9226">
        <v>-0.2655691</v>
      </c>
      <c r="W9226">
        <v>-6.6855440000000002E-2</v>
      </c>
      <c r="X9226">
        <v>0.96177100000000004</v>
      </c>
      <c r="Y9226">
        <v>-0.56920979999999999</v>
      </c>
      <c r="Z9226">
        <v>-3.5622019999999997E-2</v>
      </c>
      <c r="AA9226">
        <v>0.82142029999999999</v>
      </c>
      <c r="AB9226">
        <v>23</v>
      </c>
      <c r="AC9226">
        <v>8.4599999999994596E-2</v>
      </c>
      <c r="AD9226">
        <v>-0.109232</v>
      </c>
      <c r="AE9226">
        <v>0.94261999999999002</v>
      </c>
      <c r="AF9226">
        <v>-0.58478420162275202</v>
      </c>
      <c r="AG9226">
        <v>-0.109232</v>
      </c>
      <c r="AH9226">
        <v>0.728232312867794</v>
      </c>
      <c r="AI9226">
        <v>96.670714340746798</v>
      </c>
      <c r="AJ9226">
        <v>128.76511747393499</v>
      </c>
      <c r="AK9226">
        <v>0.94033318233290897</v>
      </c>
      <c r="AL9226">
        <v>93.833393726852705</v>
      </c>
      <c r="AM9226">
        <v>105.436164428268</v>
      </c>
      <c r="AN9226">
        <v>1.0000000265867</v>
      </c>
    </row>
    <row r="9227" spans="1:40" x14ac:dyDescent="0.25">
      <c r="A9227" t="str">
        <f>"20190303154019377"</f>
        <v>20190303154019377</v>
      </c>
      <c r="B9227" t="str">
        <f>"1551598819366726"</f>
        <v>1551598819366726</v>
      </c>
      <c r="C9227" t="s">
        <v>40</v>
      </c>
      <c r="D9227">
        <v>4.5916860000000002</v>
      </c>
      <c r="E9227">
        <v>0.36693369999999997</v>
      </c>
      <c r="F9227" t="s">
        <v>44</v>
      </c>
      <c r="G9227">
        <v>-192.3263</v>
      </c>
      <c r="H9227">
        <v>1.0376479999999999</v>
      </c>
      <c r="I9227">
        <v>-56.179499999999997</v>
      </c>
      <c r="J9227">
        <v>-192.38640000000001</v>
      </c>
      <c r="K9227">
        <v>1.132315</v>
      </c>
      <c r="L9227">
        <v>-56.990139999999997</v>
      </c>
      <c r="M9227">
        <v>0.6859944</v>
      </c>
      <c r="N9227">
        <v>-1.741055E-2</v>
      </c>
      <c r="O9227">
        <v>0.72739860000000001</v>
      </c>
      <c r="P9227">
        <v>0.4664085</v>
      </c>
      <c r="Q9227">
        <v>-7.6488710000000001E-2</v>
      </c>
      <c r="R9227">
        <v>0.88125629999999999</v>
      </c>
      <c r="S9227">
        <v>0.48085020000000001</v>
      </c>
      <c r="T9227">
        <v>-0.32618079999999999</v>
      </c>
      <c r="U9227">
        <v>3.1308590000000001</v>
      </c>
      <c r="V9227">
        <v>-0.26359749999999998</v>
      </c>
      <c r="W9227">
        <v>-6.6905039999999999E-2</v>
      </c>
      <c r="X9227">
        <v>0.96230979999999999</v>
      </c>
      <c r="Y9227">
        <v>-0.56676850000000001</v>
      </c>
      <c r="Z9227">
        <v>-3.6413620000000001E-2</v>
      </c>
      <c r="AA9227">
        <v>0.82307199999999903</v>
      </c>
      <c r="AB9227">
        <v>23</v>
      </c>
      <c r="AC9227">
        <v>6.0100000000005503E-2</v>
      </c>
      <c r="AD9227">
        <v>-9.4667000000000001E-2</v>
      </c>
      <c r="AE9227">
        <v>0.81064000000000602</v>
      </c>
      <c r="AF9227">
        <v>-0.50559797589119804</v>
      </c>
      <c r="AG9227">
        <v>-9.4667000000000001E-2</v>
      </c>
      <c r="AH9227">
        <v>0.62253866750738795</v>
      </c>
      <c r="AI9227">
        <v>96.732071442906204</v>
      </c>
      <c r="AJ9227">
        <v>129.08195481812501</v>
      </c>
      <c r="AK9227">
        <v>0.80755529015427197</v>
      </c>
      <c r="AL9227">
        <v>93.836241927792798</v>
      </c>
      <c r="AM9227">
        <v>105.318795146212</v>
      </c>
      <c r="AN9227">
        <v>1.00000003877984</v>
      </c>
    </row>
    <row r="9228" spans="1:40" x14ac:dyDescent="0.25">
      <c r="A9228" t="str">
        <f>"20190303154019394"</f>
        <v>20190303154019394</v>
      </c>
      <c r="B9228" t="str">
        <f>"1551598819387223"</f>
        <v>1551598819387223</v>
      </c>
      <c r="C9228" t="s">
        <v>40</v>
      </c>
      <c r="D9228">
        <v>4.5738960000000004</v>
      </c>
      <c r="E9228">
        <v>0.36863170000000001</v>
      </c>
      <c r="F9228" t="s">
        <v>44</v>
      </c>
      <c r="G9228">
        <v>-192.24180000000001</v>
      </c>
      <c r="H9228">
        <v>1.0302789999999999</v>
      </c>
      <c r="I9228">
        <v>-56.005780000000001</v>
      </c>
      <c r="J9228">
        <v>-192.2826</v>
      </c>
      <c r="K9228">
        <v>1.1322840000000001</v>
      </c>
      <c r="L9228">
        <v>-56.859009999999998</v>
      </c>
      <c r="M9228">
        <v>0.67632530000000002</v>
      </c>
      <c r="N9228">
        <v>-1.740703E-2</v>
      </c>
      <c r="O9228">
        <v>0.73639739999999998</v>
      </c>
      <c r="P9228">
        <v>0.45828989999999997</v>
      </c>
      <c r="Q9228">
        <v>-7.7549460000000001E-2</v>
      </c>
      <c r="R9228">
        <v>0.88541320000000001</v>
      </c>
      <c r="S9228">
        <v>0.45994570000000001</v>
      </c>
      <c r="T9228">
        <v>-0.32469219999999999</v>
      </c>
      <c r="U9228">
        <v>3.13266</v>
      </c>
      <c r="V9228">
        <v>-0.25964759999999998</v>
      </c>
      <c r="W9228">
        <v>-6.7820530000000004E-2</v>
      </c>
      <c r="X9228">
        <v>0.96331900000000004</v>
      </c>
      <c r="Y9228">
        <v>-0.56135869999999999</v>
      </c>
      <c r="Z9228">
        <v>-3.7610329999999997E-2</v>
      </c>
      <c r="AA9228">
        <v>0.82671759999999905</v>
      </c>
      <c r="AB9228">
        <v>23</v>
      </c>
      <c r="AC9228">
        <v>4.0799999999990101E-2</v>
      </c>
      <c r="AD9228">
        <v>-0.102004999999999</v>
      </c>
      <c r="AE9228">
        <v>0.85322999999999605</v>
      </c>
      <c r="AF9228">
        <v>-0.539406972045399</v>
      </c>
      <c r="AG9228">
        <v>-0.102004999999999</v>
      </c>
      <c r="AH9228">
        <v>0.64678664360298599</v>
      </c>
      <c r="AI9228">
        <v>96.905912085790504</v>
      </c>
      <c r="AJ9228">
        <v>129.82742246989901</v>
      </c>
      <c r="AK9228">
        <v>0.84835008331431305</v>
      </c>
      <c r="AL9228">
        <v>93.8888152165202</v>
      </c>
      <c r="AM9228">
        <v>105.084707422295</v>
      </c>
      <c r="AN9228">
        <v>0.99999999811812001</v>
      </c>
    </row>
    <row r="9229" spans="1:40" x14ac:dyDescent="0.25">
      <c r="A9229" t="str">
        <f>"20190303154019406"</f>
        <v>20190303154019406</v>
      </c>
      <c r="B9229" t="str">
        <f>"1551598819396982"</f>
        <v>1551598819396982</v>
      </c>
      <c r="C9229" t="s">
        <v>40</v>
      </c>
      <c r="D9229">
        <v>4.589086</v>
      </c>
      <c r="E9229">
        <v>0.3695638</v>
      </c>
      <c r="F9229" t="s">
        <v>44</v>
      </c>
      <c r="G9229">
        <v>-192.13900000000001</v>
      </c>
      <c r="H9229">
        <v>1.0272589999999999</v>
      </c>
      <c r="I9229">
        <v>-55.843859999999999</v>
      </c>
      <c r="J9229">
        <v>-192.20429999999999</v>
      </c>
      <c r="K9229">
        <v>1.1322589999999999</v>
      </c>
      <c r="L9229">
        <v>-56.757809999999999</v>
      </c>
      <c r="M9229">
        <v>0.66884769999999905</v>
      </c>
      <c r="N9229">
        <v>-1.740359E-2</v>
      </c>
      <c r="O9229">
        <v>0.74319569999999902</v>
      </c>
      <c r="P9229">
        <v>0.4513992</v>
      </c>
      <c r="Q9229">
        <v>-7.826176E-2</v>
      </c>
      <c r="R9229">
        <v>0.88888349999999905</v>
      </c>
      <c r="S9229">
        <v>0.44294739999999999</v>
      </c>
      <c r="T9229">
        <v>-0.3238876</v>
      </c>
      <c r="U9229">
        <v>3.1306150000000001</v>
      </c>
      <c r="V9229">
        <v>-0.25734059999999997</v>
      </c>
      <c r="W9229">
        <v>-6.8445549999999994E-2</v>
      </c>
      <c r="X9229">
        <v>0.96389369999999996</v>
      </c>
      <c r="Y9229">
        <v>-0.55733730000000004</v>
      </c>
      <c r="Z9229">
        <v>-3.8616570000000003E-2</v>
      </c>
      <c r="AA9229">
        <v>0.82938769999999995</v>
      </c>
      <c r="AB9229">
        <v>23</v>
      </c>
      <c r="AC9229">
        <v>6.5299999999979194E-2</v>
      </c>
      <c r="AD9229">
        <v>-0.104999999999999</v>
      </c>
      <c r="AE9229">
        <v>0.91394999999999904</v>
      </c>
      <c r="AF9229">
        <v>-0.55555255441719997</v>
      </c>
      <c r="AG9229">
        <v>-0.104999999999999</v>
      </c>
      <c r="AH9229">
        <v>0.71365741244560699</v>
      </c>
      <c r="AI9229">
        <v>96.622314021753098</v>
      </c>
      <c r="AJ9229">
        <v>127.899270981344</v>
      </c>
      <c r="AK9229">
        <v>0.91047819471859603</v>
      </c>
      <c r="AL9229">
        <v>93.924709543975695</v>
      </c>
      <c r="AM9229">
        <v>104.94819109402501</v>
      </c>
      <c r="AN9229">
        <v>1.00000002131142</v>
      </c>
    </row>
    <row r="9230" spans="1:40" x14ac:dyDescent="0.25">
      <c r="A9230" t="str">
        <f>"20190303154019418"</f>
        <v>20190303154019418</v>
      </c>
      <c r="B9230" t="str">
        <f>"1551598819406743"</f>
        <v>1551598819406743</v>
      </c>
      <c r="C9230" t="s">
        <v>40</v>
      </c>
      <c r="D9230">
        <v>4.6016190000000003</v>
      </c>
      <c r="E9230">
        <v>0.37042890000000001</v>
      </c>
      <c r="F9230" t="s">
        <v>44</v>
      </c>
      <c r="G9230">
        <v>-192.08439999999999</v>
      </c>
      <c r="H9230">
        <v>1.0405279999999999</v>
      </c>
      <c r="I9230">
        <v>-55.874989999999997</v>
      </c>
      <c r="J9230">
        <v>-192.1337</v>
      </c>
      <c r="K9230">
        <v>1.1322380000000001</v>
      </c>
      <c r="L9230">
        <v>-56.664029999999997</v>
      </c>
      <c r="M9230">
        <v>0.66192530000000005</v>
      </c>
      <c r="N9230">
        <v>-1.7399620000000001E-2</v>
      </c>
      <c r="O9230">
        <v>0.74936789999999998</v>
      </c>
      <c r="P9230">
        <v>0.44499119999999998</v>
      </c>
      <c r="Q9230">
        <v>-7.8749349999999996E-2</v>
      </c>
      <c r="R9230">
        <v>0.89206580000000002</v>
      </c>
      <c r="S9230">
        <v>0.42524719999999999</v>
      </c>
      <c r="T9230">
        <v>-0.32527329999999999</v>
      </c>
      <c r="U9230">
        <v>3.1304319999999999</v>
      </c>
      <c r="V9230">
        <v>-0.25530160000000002</v>
      </c>
      <c r="W9230">
        <v>-6.8856360000000005E-2</v>
      </c>
      <c r="X9230">
        <v>0.96440650000000006</v>
      </c>
      <c r="Y9230">
        <v>-0.55424569999999995</v>
      </c>
      <c r="Z9230">
        <v>-3.9838600000000002E-2</v>
      </c>
      <c r="AA9230">
        <v>0.8313992</v>
      </c>
      <c r="AB9230">
        <v>23</v>
      </c>
      <c r="AC9230">
        <v>4.9300000000016497E-2</v>
      </c>
      <c r="AD9230">
        <v>-9.1709999999999695E-2</v>
      </c>
      <c r="AE9230">
        <v>0.78903999999999996</v>
      </c>
      <c r="AF9230">
        <v>-0.478969740623922</v>
      </c>
      <c r="AG9230">
        <v>-9.1709999999999695E-2</v>
      </c>
      <c r="AH9230">
        <v>0.61572291247114497</v>
      </c>
      <c r="AI9230">
        <v>96.705181271487007</v>
      </c>
      <c r="AJ9230">
        <v>127.879282163106</v>
      </c>
      <c r="AK9230">
        <v>0.78545365329553196</v>
      </c>
      <c r="AL9230">
        <v>93.948302964946294</v>
      </c>
      <c r="AM9230">
        <v>104.82745303827301</v>
      </c>
      <c r="AN9230">
        <v>1.0000000012586201</v>
      </c>
    </row>
    <row r="9231" spans="1:40" x14ac:dyDescent="0.25">
      <c r="A9231" t="str">
        <f>"20190303154019432"</f>
        <v>20190303154019432</v>
      </c>
      <c r="B9231" t="str">
        <f>"1551598819427238"</f>
        <v>1551598819427238</v>
      </c>
      <c r="C9231" t="s">
        <v>40</v>
      </c>
      <c r="D9231">
        <v>4.6944670000000004</v>
      </c>
      <c r="E9231">
        <v>0.37245539999999999</v>
      </c>
      <c r="F9231" t="s">
        <v>44</v>
      </c>
      <c r="G9231">
        <v>-192.00749999999999</v>
      </c>
      <c r="H9231">
        <v>1.0316780000000001</v>
      </c>
      <c r="I9231">
        <v>-55.698120000000003</v>
      </c>
      <c r="J9231">
        <v>-192.05959999999999</v>
      </c>
      <c r="K9231">
        <v>1.132212</v>
      </c>
      <c r="L9231">
        <v>-56.5646699999999</v>
      </c>
      <c r="M9231">
        <v>0.65455410000000003</v>
      </c>
      <c r="N9231">
        <v>-1.7395420000000002E-2</v>
      </c>
      <c r="O9231">
        <v>0.75581509999999996</v>
      </c>
      <c r="P9231">
        <v>0.43838670000000002</v>
      </c>
      <c r="Q9231">
        <v>-7.8836899999999904E-2</v>
      </c>
      <c r="R9231">
        <v>0.89532219999999996</v>
      </c>
      <c r="S9231">
        <v>0.40876770000000001</v>
      </c>
      <c r="T9231">
        <v>-0.32587660000000002</v>
      </c>
      <c r="U9231">
        <v>3.1303100000000001</v>
      </c>
      <c r="V9231">
        <v>-0.25298320000000002</v>
      </c>
      <c r="W9231">
        <v>-6.8857329999999994E-2</v>
      </c>
      <c r="X9231">
        <v>0.96501720000000002</v>
      </c>
      <c r="Y9231">
        <v>-0.55040840000000002</v>
      </c>
      <c r="Z9231">
        <v>-4.1002419999999998E-2</v>
      </c>
      <c r="AA9231">
        <v>0.83388809999999902</v>
      </c>
      <c r="AB9231">
        <v>23</v>
      </c>
      <c r="AC9231">
        <v>5.2099999999995802E-2</v>
      </c>
      <c r="AD9231">
        <v>-0.100533999999999</v>
      </c>
      <c r="AE9231">
        <v>0.86654999999999605</v>
      </c>
      <c r="AF9231">
        <v>-0.52091951165316497</v>
      </c>
      <c r="AG9231">
        <v>-0.100533999999999</v>
      </c>
      <c r="AH9231">
        <v>0.68003786738846395</v>
      </c>
      <c r="AI9231">
        <v>96.693635713081804</v>
      </c>
      <c r="AJ9231">
        <v>127.452672610261</v>
      </c>
      <c r="AK9231">
        <v>0.86250549207481697</v>
      </c>
      <c r="AL9231">
        <v>93.948358624334801</v>
      </c>
      <c r="AM9231">
        <v>104.689760443209</v>
      </c>
      <c r="AN9231">
        <v>1.0000000138364</v>
      </c>
    </row>
    <row r="9232" spans="1:40" x14ac:dyDescent="0.25">
      <c r="A9232" t="str">
        <f>"20190303154019444"</f>
        <v>20190303154019444</v>
      </c>
      <c r="B9232" t="str">
        <f>"1551598819436999"</f>
        <v>1551598819436999</v>
      </c>
      <c r="C9232" t="s">
        <v>40</v>
      </c>
      <c r="D9232">
        <v>4.6959669999999996</v>
      </c>
      <c r="E9232">
        <v>0.37349280000000001</v>
      </c>
      <c r="F9232" t="s">
        <v>44</v>
      </c>
      <c r="G9232">
        <v>-191.9265</v>
      </c>
      <c r="H9232">
        <v>1.0244960000000001</v>
      </c>
      <c r="I9232">
        <v>-55.524740000000001</v>
      </c>
      <c r="J9232">
        <v>-191.98009999999999</v>
      </c>
      <c r="K9232">
        <v>1.1321840000000001</v>
      </c>
      <c r="L9232">
        <v>-56.454830000000001</v>
      </c>
      <c r="M9232">
        <v>0.64641479999999996</v>
      </c>
      <c r="N9232">
        <v>-1.7389930000000001E-2</v>
      </c>
      <c r="O9232">
        <v>0.76278809999999997</v>
      </c>
      <c r="P9232">
        <v>0.43094729999999998</v>
      </c>
      <c r="Q9232">
        <v>-7.8655249999999996E-2</v>
      </c>
      <c r="R9232">
        <v>0.89894259999999904</v>
      </c>
      <c r="S9232">
        <v>0.4001923</v>
      </c>
      <c r="T9232">
        <v>-0.32382749999999999</v>
      </c>
      <c r="U9232">
        <v>3.1262819999999998</v>
      </c>
      <c r="V9232">
        <v>-0.25066470000000002</v>
      </c>
      <c r="W9232">
        <v>-6.8588670000000004E-2</v>
      </c>
      <c r="X9232">
        <v>0.96564110000000003</v>
      </c>
      <c r="Y9232">
        <v>-0.54359389999999996</v>
      </c>
      <c r="Z9232">
        <v>-4.1966370000000003E-2</v>
      </c>
      <c r="AA9232">
        <v>0.83829859999999901</v>
      </c>
      <c r="AB9232">
        <v>23</v>
      </c>
      <c r="AC9232">
        <v>5.3599999999988698E-2</v>
      </c>
      <c r="AD9232">
        <v>-0.10768800000000001</v>
      </c>
      <c r="AE9232">
        <v>0.93008999999999997</v>
      </c>
      <c r="AF9232">
        <v>-0.55303400582291096</v>
      </c>
      <c r="AG9232">
        <v>-0.10768800000000001</v>
      </c>
      <c r="AH9232">
        <v>0.73440931218848104</v>
      </c>
      <c r="AI9232">
        <v>96.680896011695694</v>
      </c>
      <c r="AJ9232">
        <v>126.98093181690599</v>
      </c>
      <c r="AK9232">
        <v>0.925635108868335</v>
      </c>
      <c r="AL9232">
        <v>93.932929250936795</v>
      </c>
      <c r="AM9232">
        <v>104.551872592113</v>
      </c>
      <c r="AN9232">
        <v>0.99999996574383399</v>
      </c>
    </row>
    <row r="9233" spans="1:40" x14ac:dyDescent="0.25">
      <c r="A9233" t="str">
        <f>"20190303154019462"</f>
        <v>20190303154019462</v>
      </c>
      <c r="B9233" t="str">
        <f>"1551598819457494"</f>
        <v>1551598819457494</v>
      </c>
      <c r="C9233" t="s">
        <v>40</v>
      </c>
      <c r="D9233">
        <v>4.6761730000000004</v>
      </c>
      <c r="E9233">
        <v>0.39703739999999998</v>
      </c>
      <c r="F9233" t="s">
        <v>44</v>
      </c>
      <c r="G9233">
        <v>-191.87029999999999</v>
      </c>
      <c r="H9233">
        <v>1.0395449999999999</v>
      </c>
      <c r="I9233">
        <v>-55.554519999999997</v>
      </c>
      <c r="J9233">
        <v>-191.88220000000001</v>
      </c>
      <c r="K9233">
        <v>1.132142</v>
      </c>
      <c r="L9233">
        <v>-56.316160000000004</v>
      </c>
      <c r="M9233">
        <v>0.63611660000000003</v>
      </c>
      <c r="N9233">
        <v>-1.738253E-2</v>
      </c>
      <c r="O9233">
        <v>0.77139709999999995</v>
      </c>
      <c r="P9233">
        <v>0.42323</v>
      </c>
      <c r="Q9233">
        <v>-7.7819719999999995E-2</v>
      </c>
      <c r="R9233">
        <v>0.90267410000000003</v>
      </c>
      <c r="S9233">
        <v>0.38162230000000003</v>
      </c>
      <c r="T9233">
        <v>-0.32168069999999999</v>
      </c>
      <c r="U9233">
        <v>3.12616</v>
      </c>
      <c r="V9233">
        <v>-0.24605389999999999</v>
      </c>
      <c r="W9233">
        <v>-6.7591250000000005E-2</v>
      </c>
      <c r="X9233">
        <v>0.96689650000000005</v>
      </c>
      <c r="Y9233">
        <v>-0.5372519</v>
      </c>
      <c r="Z9233">
        <v>-4.3029949999999997E-2</v>
      </c>
      <c r="AA9233">
        <v>0.8423235</v>
      </c>
      <c r="AB9233">
        <v>23</v>
      </c>
      <c r="AC9233">
        <v>1.19000000000255E-2</v>
      </c>
      <c r="AD9233">
        <v>-9.2596999999999804E-2</v>
      </c>
      <c r="AE9233">
        <v>0.76163999999999898</v>
      </c>
      <c r="AF9233">
        <v>-0.468461564728539</v>
      </c>
      <c r="AG9233">
        <v>-9.2596999999999804E-2</v>
      </c>
      <c r="AH9233">
        <v>0.58651956900467905</v>
      </c>
      <c r="AI9233">
        <v>97.032325267253</v>
      </c>
      <c r="AJ9233">
        <v>128.61486214444699</v>
      </c>
      <c r="AK9233">
        <v>0.75633038208334902</v>
      </c>
      <c r="AL9233">
        <v>93.875648334339104</v>
      </c>
      <c r="AM9233">
        <v>104.277466690202</v>
      </c>
      <c r="AN9233">
        <v>0.99999997024701004</v>
      </c>
    </row>
    <row r="9234" spans="1:40" x14ac:dyDescent="0.25">
      <c r="A9234" t="str">
        <f>"20190303154019476"</f>
        <v>20190303154019476</v>
      </c>
      <c r="B9234" t="str">
        <f>"1551598819467255"</f>
        <v>1551598819467255</v>
      </c>
      <c r="C9234" t="s">
        <v>40</v>
      </c>
      <c r="D9234">
        <v>4.7175449999999897</v>
      </c>
      <c r="E9234">
        <v>0.39788030000000002</v>
      </c>
      <c r="F9234" t="s">
        <v>44</v>
      </c>
      <c r="G9234">
        <v>-191.72669999999999</v>
      </c>
      <c r="H9234">
        <v>1.043374</v>
      </c>
      <c r="I9234">
        <v>-55.413060000000002</v>
      </c>
      <c r="J9234">
        <v>-191.80410000000001</v>
      </c>
      <c r="K9234">
        <v>1.1321129999999999</v>
      </c>
      <c r="L9234">
        <v>-56.202849999999998</v>
      </c>
      <c r="M9234">
        <v>0.62768359999999901</v>
      </c>
      <c r="N9234">
        <v>-1.7376140000000002E-2</v>
      </c>
      <c r="O9234">
        <v>0.77827460000000004</v>
      </c>
      <c r="P9234">
        <v>0.41576020000000002</v>
      </c>
      <c r="Q9234">
        <v>-7.7946920000000003E-2</v>
      </c>
      <c r="R9234">
        <v>0.90612789999999999</v>
      </c>
      <c r="S9234">
        <v>0.52494810000000003</v>
      </c>
      <c r="T9234">
        <v>-0.29992649999999998</v>
      </c>
      <c r="U9234">
        <v>3.0514830000000002</v>
      </c>
      <c r="V9234">
        <v>-0.24351529999999999</v>
      </c>
      <c r="W9234">
        <v>-6.7626950000000005E-2</v>
      </c>
      <c r="X9234">
        <v>0.96753650000000002</v>
      </c>
      <c r="Y9234">
        <v>-0.48616589999999998</v>
      </c>
      <c r="Z9234">
        <v>-4.3084200000000003E-2</v>
      </c>
      <c r="AA9234">
        <v>0.87280380000000002</v>
      </c>
      <c r="AB9234">
        <v>23</v>
      </c>
      <c r="AC9234">
        <v>7.7400000000011404E-2</v>
      </c>
      <c r="AD9234">
        <v>-8.8738999999999901E-2</v>
      </c>
      <c r="AE9234">
        <v>0.78979000000000299</v>
      </c>
      <c r="AF9234">
        <v>-0.43018641815317399</v>
      </c>
      <c r="AG9234">
        <v>-8.8738999999999901E-2</v>
      </c>
      <c r="AH9234">
        <v>0.65516408378434599</v>
      </c>
      <c r="AI9234">
        <v>96.459535667273599</v>
      </c>
      <c r="AJ9234">
        <v>123.289249803099</v>
      </c>
      <c r="AK9234">
        <v>0.78878066733753005</v>
      </c>
      <c r="AL9234">
        <v>93.877698399189697</v>
      </c>
      <c r="AM9234">
        <v>104.127120531407</v>
      </c>
      <c r="AN9234">
        <v>0.99999999226632097</v>
      </c>
    </row>
    <row r="9235" spans="1:40" x14ac:dyDescent="0.25">
      <c r="A9235" t="str">
        <f>"20190303154019488"</f>
        <v>20190303154019488</v>
      </c>
      <c r="B9235" t="str">
        <f>"1551598819477014"</f>
        <v>1551598819477014</v>
      </c>
      <c r="C9235" t="s">
        <v>40</v>
      </c>
      <c r="D9235">
        <v>4.7134199999999904</v>
      </c>
      <c r="E9235">
        <v>0.39890940000000003</v>
      </c>
      <c r="F9235" t="s">
        <v>44</v>
      </c>
      <c r="G9235">
        <v>-191.64439999999999</v>
      </c>
      <c r="H9235">
        <v>1.0385279999999999</v>
      </c>
      <c r="I9235">
        <v>-55.239939999999997</v>
      </c>
      <c r="J9235">
        <v>-191.73159999999999</v>
      </c>
      <c r="K9235">
        <v>1.132085</v>
      </c>
      <c r="L9235">
        <v>-56.095759999999999</v>
      </c>
      <c r="M9235">
        <v>0.61968909999999999</v>
      </c>
      <c r="N9235">
        <v>-1.736996E-2</v>
      </c>
      <c r="O9235">
        <v>0.7846552</v>
      </c>
      <c r="P9235">
        <v>0.40887109999999999</v>
      </c>
      <c r="Q9235">
        <v>-7.7978989999999998E-2</v>
      </c>
      <c r="R9235">
        <v>0.90925449999999997</v>
      </c>
      <c r="S9235">
        <v>0.50599669999999997</v>
      </c>
      <c r="T9235">
        <v>-0.29672609999999999</v>
      </c>
      <c r="U9235">
        <v>3.0531009999999998</v>
      </c>
      <c r="V9235">
        <v>-0.24096590000000001</v>
      </c>
      <c r="W9235">
        <v>-6.7568420000000004E-2</v>
      </c>
      <c r="X9235">
        <v>0.96817869999999995</v>
      </c>
      <c r="Y9235">
        <v>-0.48259099999999999</v>
      </c>
      <c r="Z9235">
        <v>-4.3373960000000003E-2</v>
      </c>
      <c r="AA9235">
        <v>0.87477119999999997</v>
      </c>
      <c r="AB9235">
        <v>23</v>
      </c>
      <c r="AC9235">
        <v>8.7199999999995698E-2</v>
      </c>
      <c r="AD9235">
        <v>-9.3556999999999793E-2</v>
      </c>
      <c r="AE9235">
        <v>0.85581999999999403</v>
      </c>
      <c r="AF9235">
        <v>-0.45658964440002398</v>
      </c>
      <c r="AG9235">
        <v>-9.3556999999999793E-2</v>
      </c>
      <c r="AH9235">
        <v>0.71718724179933802</v>
      </c>
      <c r="AI9235">
        <v>96.279665145698004</v>
      </c>
      <c r="AJ9235">
        <v>122.482436214372</v>
      </c>
      <c r="AK9235">
        <v>0.85532716279917198</v>
      </c>
      <c r="AL9235">
        <v>93.874337059077305</v>
      </c>
      <c r="AM9235">
        <v>103.97614232116101</v>
      </c>
      <c r="AN9235">
        <v>1.0000000257388899</v>
      </c>
    </row>
    <row r="9236" spans="1:40" x14ac:dyDescent="0.25">
      <c r="A9236" t="str">
        <f>"20190303154019507"</f>
        <v>20190303154019507</v>
      </c>
      <c r="B9236" t="str">
        <f>"1551598819497510"</f>
        <v>1551598819497510</v>
      </c>
      <c r="C9236" t="s">
        <v>40</v>
      </c>
      <c r="D9236">
        <v>4.7167399999999997</v>
      </c>
      <c r="E9236">
        <v>0.40073009999999998</v>
      </c>
      <c r="F9236" t="s">
        <v>44</v>
      </c>
      <c r="G9236">
        <v>-191.59190000000001</v>
      </c>
      <c r="H9236">
        <v>1.0494380000000001</v>
      </c>
      <c r="I9236">
        <v>-55.226410000000001</v>
      </c>
      <c r="J9236">
        <v>-191.63210000000001</v>
      </c>
      <c r="K9236">
        <v>1.132042</v>
      </c>
      <c r="L9236">
        <v>-55.943849999999998</v>
      </c>
      <c r="M9236">
        <v>0.60835159999999999</v>
      </c>
      <c r="N9236">
        <v>-1.7360239999999999E-2</v>
      </c>
      <c r="O9236">
        <v>0.79347769999999995</v>
      </c>
      <c r="P9236">
        <v>0.40050970000000002</v>
      </c>
      <c r="Q9236">
        <v>-7.8797560000000003E-2</v>
      </c>
      <c r="R9236">
        <v>0.91289810000000005</v>
      </c>
      <c r="S9236">
        <v>0.49038700000000002</v>
      </c>
      <c r="T9236">
        <v>-0.290321</v>
      </c>
      <c r="U9236">
        <v>3.0539860000000001</v>
      </c>
      <c r="V9236">
        <v>-0.23588819999999999</v>
      </c>
      <c r="W9236">
        <v>-6.8216949999999998E-2</v>
      </c>
      <c r="X9236">
        <v>0.96938290000000005</v>
      </c>
      <c r="Y9236">
        <v>-0.47442499999999999</v>
      </c>
      <c r="Z9236">
        <v>-4.3460279999999997E-2</v>
      </c>
      <c r="AA9236">
        <v>0.87922250000000002</v>
      </c>
      <c r="AB9236">
        <v>23</v>
      </c>
      <c r="AC9236">
        <v>4.0199999999998598E-2</v>
      </c>
      <c r="AD9236">
        <v>-8.2604000000000094E-2</v>
      </c>
      <c r="AE9236">
        <v>0.71744000000000296</v>
      </c>
      <c r="AF9236">
        <v>-0.39934163417872998</v>
      </c>
      <c r="AG9236">
        <v>-8.2604000000000094E-2</v>
      </c>
      <c r="AH9236">
        <v>0.58607289494884396</v>
      </c>
      <c r="AI9236">
        <v>96.6436469292194</v>
      </c>
      <c r="AJ9236">
        <v>124.269954174123</v>
      </c>
      <c r="AK9236">
        <v>0.71398781488079799</v>
      </c>
      <c r="AL9236">
        <v>93.911581123251906</v>
      </c>
      <c r="AM9236">
        <v>103.676461015757</v>
      </c>
      <c r="AN9236">
        <v>1.0000000009894701</v>
      </c>
    </row>
    <row r="9237" spans="1:40" x14ac:dyDescent="0.25">
      <c r="A9237" t="str">
        <f>"20190303154019522"</f>
        <v>20190303154019522</v>
      </c>
      <c r="B9237" t="str">
        <f>"1551598819517031"</f>
        <v>1551598819517031</v>
      </c>
      <c r="C9237" t="s">
        <v>40</v>
      </c>
      <c r="D9237">
        <v>4.7262230000000001</v>
      </c>
      <c r="E9237">
        <v>0.4024317</v>
      </c>
      <c r="F9237" t="s">
        <v>44</v>
      </c>
      <c r="G9237">
        <v>-191.49270000000001</v>
      </c>
      <c r="H9237">
        <v>1.0474000000000001</v>
      </c>
      <c r="I9237">
        <v>-55.048969999999997</v>
      </c>
      <c r="J9237">
        <v>-191.5522</v>
      </c>
      <c r="K9237">
        <v>1.1319999999999999</v>
      </c>
      <c r="L9237">
        <v>-55.817929999999997</v>
      </c>
      <c r="M9237">
        <v>0.59894259999999999</v>
      </c>
      <c r="N9237">
        <v>-1.7351740000000001E-2</v>
      </c>
      <c r="O9237">
        <v>0.80060399999999998</v>
      </c>
      <c r="P9237">
        <v>0.39216800000000002</v>
      </c>
      <c r="Q9237">
        <v>-7.9026559999999996E-2</v>
      </c>
      <c r="R9237">
        <v>0.9164928</v>
      </c>
      <c r="S9237">
        <v>0.4756012</v>
      </c>
      <c r="T9237">
        <v>-0.28873259999999901</v>
      </c>
      <c r="U9237">
        <v>3.052673</v>
      </c>
      <c r="V9237">
        <v>-0.23327629999999999</v>
      </c>
      <c r="W9237">
        <v>-6.8354529999999997E-2</v>
      </c>
      <c r="X9237">
        <v>0.97000509999999995</v>
      </c>
      <c r="Y9237">
        <v>-0.46814470000000002</v>
      </c>
      <c r="Z9237">
        <v>-4.4263520000000001E-2</v>
      </c>
      <c r="AA9237">
        <v>0.88254249999999901</v>
      </c>
      <c r="AB9237">
        <v>23</v>
      </c>
      <c r="AC9237">
        <v>5.9499999999985599E-2</v>
      </c>
      <c r="AD9237">
        <v>-8.4599999999999995E-2</v>
      </c>
      <c r="AE9237">
        <v>0.76896000000000697</v>
      </c>
      <c r="AF9237">
        <v>-0.408079081952404</v>
      </c>
      <c r="AG9237">
        <v>-8.4599999999999995E-2</v>
      </c>
      <c r="AH9237">
        <v>0.64362344419450801</v>
      </c>
      <c r="AI9237">
        <v>96.334506065238401</v>
      </c>
      <c r="AJ9237">
        <v>122.376082740079</v>
      </c>
      <c r="AK9237">
        <v>0.76677039264953195</v>
      </c>
      <c r="AL9237">
        <v>93.919482190064599</v>
      </c>
      <c r="AM9237">
        <v>103.52226356894801</v>
      </c>
      <c r="AN9237">
        <v>1.0000000339696</v>
      </c>
    </row>
    <row r="9238" spans="1:40" x14ac:dyDescent="0.25">
      <c r="A9238" t="str">
        <f>"20190303154019541"</f>
        <v>20190303154019541</v>
      </c>
      <c r="B9238" t="str">
        <f>"1551598819526791"</f>
        <v>1551598819526791</v>
      </c>
      <c r="C9238" t="s">
        <v>40</v>
      </c>
      <c r="D9238">
        <v>4.7154049999999996</v>
      </c>
      <c r="E9238">
        <v>0.4024317</v>
      </c>
      <c r="F9238" t="s">
        <v>44</v>
      </c>
      <c r="G9238">
        <v>-191.41560000000001</v>
      </c>
      <c r="H9238">
        <v>1.045472</v>
      </c>
      <c r="I9238">
        <v>-54.912010000000002</v>
      </c>
      <c r="J9238">
        <v>-191.45820000000001</v>
      </c>
      <c r="K9238">
        <v>1.1319600000000001</v>
      </c>
      <c r="L9238">
        <v>-55.665990000000001</v>
      </c>
      <c r="M9238">
        <v>0.58756119999999901</v>
      </c>
      <c r="N9238">
        <v>-1.7341099999999901E-2</v>
      </c>
      <c r="O9238">
        <v>0.80899390000000004</v>
      </c>
      <c r="P9238">
        <v>0.3843065</v>
      </c>
      <c r="Q9238">
        <v>-7.9295989999999997E-2</v>
      </c>
      <c r="R9238">
        <v>0.91979379999999999</v>
      </c>
      <c r="S9238">
        <v>0.46011350000000001</v>
      </c>
      <c r="T9238">
        <v>-0.29145070000000001</v>
      </c>
      <c r="U9238">
        <v>3.0513309999999998</v>
      </c>
      <c r="V9238">
        <v>-0.2278559</v>
      </c>
      <c r="W9238">
        <v>-6.8445610000000004E-2</v>
      </c>
      <c r="X9238">
        <v>0.97128619999999999</v>
      </c>
      <c r="Y9238">
        <v>-0.45997640000000001</v>
      </c>
      <c r="Z9238">
        <v>-4.6192539999999997E-2</v>
      </c>
      <c r="AA9238">
        <v>0.88672879999999998</v>
      </c>
      <c r="AB9238">
        <v>23</v>
      </c>
      <c r="AC9238">
        <v>4.2599999999992998E-2</v>
      </c>
      <c r="AD9238">
        <v>-8.6488000000000106E-2</v>
      </c>
      <c r="AE9238">
        <v>0.75398000000000498</v>
      </c>
      <c r="AF9238">
        <v>-0.40331769967118902</v>
      </c>
      <c r="AG9238">
        <v>-8.6488000000000106E-2</v>
      </c>
      <c r="AH9238">
        <v>0.62686869056627503</v>
      </c>
      <c r="AI9238">
        <v>96.618326788939399</v>
      </c>
      <c r="AJ9238">
        <v>122.756607454724</v>
      </c>
      <c r="AK9238">
        <v>0.75040635406713796</v>
      </c>
      <c r="AL9238">
        <v>93.924713083395901</v>
      </c>
      <c r="AM9238">
        <v>103.202391877621</v>
      </c>
      <c r="AN9238">
        <v>0.99999999750176005</v>
      </c>
    </row>
    <row r="9239" spans="1:40" x14ac:dyDescent="0.25">
      <c r="A9239" t="str">
        <f>"20190303154019556"</f>
        <v>20190303154019556</v>
      </c>
      <c r="B9239" t="str">
        <f>"1551598819547287"</f>
        <v>1551598819547287</v>
      </c>
      <c r="C9239" t="s">
        <v>40</v>
      </c>
      <c r="D9239">
        <v>4.7658880000000003</v>
      </c>
      <c r="E9239">
        <v>0.4111456</v>
      </c>
      <c r="F9239" t="s">
        <v>44</v>
      </c>
      <c r="G9239">
        <v>-191.32730000000001</v>
      </c>
      <c r="H9239">
        <v>1.0443209999999901</v>
      </c>
      <c r="I9239">
        <v>-54.744520000000001</v>
      </c>
      <c r="J9239">
        <v>-191.3811</v>
      </c>
      <c r="K9239">
        <v>1.1319330000000001</v>
      </c>
      <c r="L9239">
        <v>-55.537570000000002</v>
      </c>
      <c r="M9239">
        <v>0.57792849999999996</v>
      </c>
      <c r="N9239">
        <v>-1.7331659999999999E-2</v>
      </c>
      <c r="O9239">
        <v>0.81590339999999995</v>
      </c>
      <c r="P9239">
        <v>0.37573659999999998</v>
      </c>
      <c r="Q9239">
        <v>-7.9189389999999998E-2</v>
      </c>
      <c r="R9239">
        <v>0.92333690000000002</v>
      </c>
      <c r="S9239">
        <v>0.43386839999999999</v>
      </c>
      <c r="T9239">
        <v>-0.29057110000000003</v>
      </c>
      <c r="U9239">
        <v>3.0552980000000001</v>
      </c>
      <c r="V9239">
        <v>-0.2253896</v>
      </c>
      <c r="W9239">
        <v>-6.8252579999999993E-2</v>
      </c>
      <c r="X9239">
        <v>0.97187509999999999</v>
      </c>
      <c r="Y9239">
        <v>-0.45709109999999997</v>
      </c>
      <c r="Z9239">
        <v>-4.6909899999999997E-2</v>
      </c>
      <c r="AA9239">
        <v>0.88818199999999903</v>
      </c>
      <c r="AB9239">
        <v>23</v>
      </c>
      <c r="AC9239">
        <v>5.37999999999954E-2</v>
      </c>
      <c r="AD9239">
        <v>-8.7612000000000204E-2</v>
      </c>
      <c r="AE9239">
        <v>0.79305000000000003</v>
      </c>
      <c r="AF9239">
        <v>-0.40951770080366201</v>
      </c>
      <c r="AG9239">
        <v>-8.7612000000000204E-2</v>
      </c>
      <c r="AH9239">
        <v>0.67010563570022297</v>
      </c>
      <c r="AI9239">
        <v>96.3656225759064</v>
      </c>
      <c r="AJ9239">
        <v>121.430107293161</v>
      </c>
      <c r="AK9239">
        <v>0.79020388053509205</v>
      </c>
      <c r="AL9239">
        <v>93.913627155830099</v>
      </c>
      <c r="AM9239">
        <v>103.056772179056</v>
      </c>
      <c r="AN9239">
        <v>1.0000000482324101</v>
      </c>
    </row>
    <row r="9240" spans="1:40" x14ac:dyDescent="0.25">
      <c r="A9240" t="str">
        <f>"20190303154019572"</f>
        <v>20190303154019572</v>
      </c>
      <c r="B9240" t="str">
        <f>"1551598819566807"</f>
        <v>1551598819566807</v>
      </c>
      <c r="C9240" t="s">
        <v>40</v>
      </c>
      <c r="D9240">
        <v>4.8130420000000003</v>
      </c>
      <c r="E9240">
        <v>0.41145680000000001</v>
      </c>
      <c r="F9240" t="s">
        <v>44</v>
      </c>
      <c r="G9240">
        <v>-191.22640000000001</v>
      </c>
      <c r="H9240">
        <v>1.0351699999999999</v>
      </c>
      <c r="I9240">
        <v>-54.538780000000003</v>
      </c>
      <c r="J9240">
        <v>-191.2961</v>
      </c>
      <c r="K9240">
        <v>1.1318950000000001</v>
      </c>
      <c r="L9240">
        <v>-55.392240000000001</v>
      </c>
      <c r="M9240">
        <v>0.5670134</v>
      </c>
      <c r="N9240">
        <v>-1.7320329999999998E-2</v>
      </c>
      <c r="O9240">
        <v>0.82352639999999999</v>
      </c>
      <c r="P9240">
        <v>0.3683382</v>
      </c>
      <c r="Q9240">
        <v>-7.9281320000000002E-2</v>
      </c>
      <c r="R9240">
        <v>0.9263053</v>
      </c>
      <c r="S9240">
        <v>0.46968080000000001</v>
      </c>
      <c r="T9240">
        <v>-0.29381410000000002</v>
      </c>
      <c r="U9240">
        <v>3.0327760000000001</v>
      </c>
      <c r="V9240">
        <v>-0.22022920000000001</v>
      </c>
      <c r="W9240">
        <v>-6.8176589999999995E-2</v>
      </c>
      <c r="X9240">
        <v>0.97306269999999995</v>
      </c>
      <c r="Y9240">
        <v>-0.43398510000000001</v>
      </c>
      <c r="Z9240">
        <v>-4.9739180000000001E-2</v>
      </c>
      <c r="AA9240">
        <v>0.89954599999999996</v>
      </c>
      <c r="AB9240">
        <v>23</v>
      </c>
      <c r="AC9240">
        <v>6.9699999999983206E-2</v>
      </c>
      <c r="AD9240">
        <v>-9.6724999999999894E-2</v>
      </c>
      <c r="AE9240">
        <v>0.853459999999998</v>
      </c>
      <c r="AF9240">
        <v>-0.42121312309313802</v>
      </c>
      <c r="AG9240">
        <v>-9.6724999999999894E-2</v>
      </c>
      <c r="AH9240">
        <v>0.73312497840011803</v>
      </c>
      <c r="AI9240">
        <v>96.526150234903</v>
      </c>
      <c r="AJ9240">
        <v>119.879296156558</v>
      </c>
      <c r="AK9240">
        <v>0.85102788123835804</v>
      </c>
      <c r="AL9240">
        <v>93.909263339637405</v>
      </c>
      <c r="AM9240">
        <v>102.752665698694</v>
      </c>
      <c r="AN9240">
        <v>0.99999998304397897</v>
      </c>
    </row>
    <row r="9241" spans="1:40" x14ac:dyDescent="0.25">
      <c r="A9241" t="str">
        <f>"20190303154019586"</f>
        <v>20190303154019586</v>
      </c>
      <c r="B9241" t="str">
        <f>"1551598819577543"</f>
        <v>1551598819577543</v>
      </c>
      <c r="C9241" t="s">
        <v>40</v>
      </c>
      <c r="D9241">
        <v>4.8398640000000004</v>
      </c>
      <c r="E9241">
        <v>0.4117981</v>
      </c>
      <c r="F9241" t="s">
        <v>44</v>
      </c>
      <c r="G9241">
        <v>-191.1456</v>
      </c>
      <c r="H9241">
        <v>1.0324519999999999</v>
      </c>
      <c r="I9241">
        <v>-54.372549999999997</v>
      </c>
      <c r="J9241">
        <v>-191.22659999999999</v>
      </c>
      <c r="K9241">
        <v>1.1318569999999999</v>
      </c>
      <c r="L9241">
        <v>-55.269779999999997</v>
      </c>
      <c r="M9241">
        <v>0.55780790000000002</v>
      </c>
      <c r="N9241">
        <v>-1.7310030000000001E-2</v>
      </c>
      <c r="O9241">
        <v>0.82978960000000002</v>
      </c>
      <c r="P9241">
        <v>0.3605217</v>
      </c>
      <c r="Q9241">
        <v>-7.9204220000000006E-2</v>
      </c>
      <c r="R9241">
        <v>0.92938189999999998</v>
      </c>
      <c r="S9241">
        <v>0.44758609999999999</v>
      </c>
      <c r="T9241">
        <v>-0.29599510000000001</v>
      </c>
      <c r="U9241">
        <v>3.0353699999999999</v>
      </c>
      <c r="V9241">
        <v>-0.21760599999999999</v>
      </c>
      <c r="W9241">
        <v>-6.8010020000000004E-2</v>
      </c>
      <c r="X9241">
        <v>0.97366430000000004</v>
      </c>
      <c r="Y9241">
        <v>-0.43048380000000003</v>
      </c>
      <c r="Z9241">
        <v>-5.1113230000000003E-2</v>
      </c>
      <c r="AA9241">
        <v>0.90114989999999995</v>
      </c>
      <c r="AB9241">
        <v>23</v>
      </c>
      <c r="AC9241">
        <v>8.0999999999988803E-2</v>
      </c>
      <c r="AD9241">
        <v>-9.9404999999999702E-2</v>
      </c>
      <c r="AE9241">
        <v>0.89723000000000697</v>
      </c>
      <c r="AF9241">
        <v>-0.42812138100682401</v>
      </c>
      <c r="AG9241">
        <v>-9.9404999999999702E-2</v>
      </c>
      <c r="AH9241">
        <v>0.78031224857814196</v>
      </c>
      <c r="AI9241">
        <v>96.372710592041798</v>
      </c>
      <c r="AJ9241">
        <v>118.75154765961599</v>
      </c>
      <c r="AK9241">
        <v>0.89557605828944897</v>
      </c>
      <c r="AL9241">
        <v>93.899697501373197</v>
      </c>
      <c r="AM9241">
        <v>102.598108093905</v>
      </c>
      <c r="AN9241">
        <v>0.99999995157544397</v>
      </c>
    </row>
    <row r="9242" spans="1:40" x14ac:dyDescent="0.25">
      <c r="A9242" t="str">
        <f>"20190303154019599"</f>
        <v>20190303154019599</v>
      </c>
      <c r="B9242" t="str">
        <f>"1551598819587303"</f>
        <v>1551598819587303</v>
      </c>
      <c r="C9242" t="s">
        <v>40</v>
      </c>
      <c r="D9242">
        <v>4.8357140000000003</v>
      </c>
      <c r="E9242">
        <v>0.4120721</v>
      </c>
      <c r="F9242" t="s">
        <v>63</v>
      </c>
      <c r="G9242">
        <v>-189.6207</v>
      </c>
      <c r="H9242" s="1">
        <v>-6.5510240000000003E-6</v>
      </c>
      <c r="I9242">
        <v>-43.773670000000003</v>
      </c>
      <c r="J9242">
        <v>-191.1695</v>
      </c>
      <c r="K9242">
        <v>1.1318239999999999</v>
      </c>
      <c r="L9242">
        <v>-55.166200000000003</v>
      </c>
      <c r="M9242">
        <v>0.55003169999999901</v>
      </c>
      <c r="N9242">
        <v>-1.730025E-2</v>
      </c>
      <c r="O9242">
        <v>0.83496459999999995</v>
      </c>
      <c r="P9242">
        <v>0.35449950000000002</v>
      </c>
      <c r="Q9242">
        <v>-7.9144779999999998E-2</v>
      </c>
      <c r="R9242">
        <v>0.93170070000000005</v>
      </c>
      <c r="S9242">
        <v>0.42434690000000003</v>
      </c>
      <c r="T9242">
        <v>-0.29909459999999999</v>
      </c>
      <c r="U9242">
        <v>3.0378419999999999</v>
      </c>
      <c r="V9242">
        <v>-0.21482490000000001</v>
      </c>
      <c r="W9242">
        <v>-6.7858470000000004E-2</v>
      </c>
      <c r="X9242">
        <v>0.9742923</v>
      </c>
      <c r="Y9242">
        <v>-0.42892130000000001</v>
      </c>
      <c r="Z9242">
        <v>-5.2515720000000002E-2</v>
      </c>
      <c r="AA9242">
        <v>0.901814</v>
      </c>
      <c r="AB9242">
        <v>23</v>
      </c>
      <c r="AC9242">
        <v>1.5488</v>
      </c>
      <c r="AD9242">
        <v>-1.1318305510240001</v>
      </c>
      <c r="AE9242">
        <v>11.392530000000001</v>
      </c>
      <c r="AF9242">
        <v>-4.9260651700865301</v>
      </c>
      <c r="AG9242">
        <v>-1.1318305510240001</v>
      </c>
      <c r="AH9242">
        <v>10.2663085206472</v>
      </c>
      <c r="AI9242">
        <v>95.676380615448807</v>
      </c>
      <c r="AJ9242">
        <v>115.633008887727</v>
      </c>
      <c r="AK9242">
        <v>11.4430873935876</v>
      </c>
      <c r="AL9242">
        <v>93.890994039396205</v>
      </c>
      <c r="AM9242">
        <v>102.434373550641</v>
      </c>
      <c r="AN9242">
        <v>0.99999999772502002</v>
      </c>
    </row>
    <row r="9243" spans="1:40" x14ac:dyDescent="0.25">
      <c r="A9243" t="str">
        <f>"20190303154019618"</f>
        <v>20190303154019618</v>
      </c>
      <c r="B9243" t="str">
        <f>"1551598819606826"</f>
        <v>1551598819606826</v>
      </c>
      <c r="C9243" t="s">
        <v>40</v>
      </c>
      <c r="D9243">
        <v>4.8071250000000001</v>
      </c>
      <c r="E9243">
        <v>0.41257290000000002</v>
      </c>
      <c r="F9243" t="s">
        <v>63</v>
      </c>
      <c r="G9243">
        <v>-189.64169999999999</v>
      </c>
      <c r="H9243" s="1">
        <v>-6.5607149999999999E-6</v>
      </c>
      <c r="I9243">
        <v>-43.751759999999997</v>
      </c>
      <c r="J9243">
        <v>-191.08240000000001</v>
      </c>
      <c r="K9243">
        <v>1.1317729999999999</v>
      </c>
      <c r="L9243">
        <v>-55.004300000000001</v>
      </c>
      <c r="M9243">
        <v>0.53786489999999998</v>
      </c>
      <c r="N9243">
        <v>-1.7283860000000002E-2</v>
      </c>
      <c r="O9243">
        <v>0.84285379999999999</v>
      </c>
      <c r="P9243">
        <v>0.34666760000000002</v>
      </c>
      <c r="Q9243">
        <v>-7.8542440000000005E-2</v>
      </c>
      <c r="R9243">
        <v>0.93469389999999997</v>
      </c>
      <c r="S9243">
        <v>0.40684510000000002</v>
      </c>
      <c r="T9243">
        <v>-0.3013923</v>
      </c>
      <c r="U9243">
        <v>3.03952</v>
      </c>
      <c r="V9243">
        <v>-0.2089307</v>
      </c>
      <c r="W9243">
        <v>-6.7065550000000002E-2</v>
      </c>
      <c r="X9243">
        <v>0.9756281</v>
      </c>
      <c r="Y9243">
        <v>-0.4209985</v>
      </c>
      <c r="Z9243">
        <v>-5.4309129999999997E-2</v>
      </c>
      <c r="AA9243">
        <v>0.90543410000000002</v>
      </c>
      <c r="AB9243">
        <v>23</v>
      </c>
      <c r="AC9243">
        <v>1.4407000000000201</v>
      </c>
      <c r="AD9243">
        <v>-1.1317795607150001</v>
      </c>
      <c r="AE9243">
        <v>11.25254</v>
      </c>
      <c r="AF9243">
        <v>-4.7910834174874202</v>
      </c>
      <c r="AG9243">
        <v>-1.1317795607150001</v>
      </c>
      <c r="AH9243">
        <v>10.159561462119701</v>
      </c>
      <c r="AI9243">
        <v>95.753619631248199</v>
      </c>
      <c r="AJ9243">
        <v>115.24780009716901</v>
      </c>
      <c r="AK9243">
        <v>11.289468295272499</v>
      </c>
      <c r="AL9243">
        <v>93.845459295936905</v>
      </c>
      <c r="AM9243">
        <v>102.087319158383</v>
      </c>
      <c r="AN9243">
        <v>1.0000000074544499</v>
      </c>
    </row>
    <row r="9244" spans="1:40" x14ac:dyDescent="0.25">
      <c r="A9244" t="str">
        <f>"20190303154019633"</f>
        <v>20190303154019633</v>
      </c>
      <c r="B9244" t="str">
        <f>"1551598819627319"</f>
        <v>1551598819627319</v>
      </c>
      <c r="C9244" t="s">
        <v>40</v>
      </c>
      <c r="D9244">
        <v>4.8151039999999998</v>
      </c>
      <c r="E9244">
        <v>0.4201107</v>
      </c>
      <c r="F9244" t="s">
        <v>63</v>
      </c>
      <c r="G9244">
        <v>-189.63059999999999</v>
      </c>
      <c r="H9244" s="1">
        <v>-6.6355820000000004E-6</v>
      </c>
      <c r="I9244">
        <v>-43.524389999999997</v>
      </c>
      <c r="J9244">
        <v>-191.0179</v>
      </c>
      <c r="K9244">
        <v>1.1317269999999999</v>
      </c>
      <c r="L9244">
        <v>-54.880980000000001</v>
      </c>
      <c r="M9244">
        <v>0.52859519999999904</v>
      </c>
      <c r="N9244">
        <v>-1.7270130000000002E-2</v>
      </c>
      <c r="O9244">
        <v>0.84869830000000002</v>
      </c>
      <c r="P9244">
        <v>0.33946949999999998</v>
      </c>
      <c r="Q9244">
        <v>-7.8238310000000005E-2</v>
      </c>
      <c r="R9244">
        <v>0.93735760000000001</v>
      </c>
      <c r="S9244">
        <v>0.38465880000000002</v>
      </c>
      <c r="T9244">
        <v>-0.29987960000000002</v>
      </c>
      <c r="U9244">
        <v>3.0417480000000001</v>
      </c>
      <c r="V9244">
        <v>-0.2057737</v>
      </c>
      <c r="W9244">
        <v>-6.6655649999999997E-2</v>
      </c>
      <c r="X9244">
        <v>0.9763269</v>
      </c>
      <c r="Y9244">
        <v>-0.41765160000000001</v>
      </c>
      <c r="Z9244">
        <v>-5.4803079999999997E-2</v>
      </c>
      <c r="AA9244">
        <v>0.90695300000000001</v>
      </c>
      <c r="AB9244">
        <v>22</v>
      </c>
      <c r="AC9244">
        <v>1.38730000000001</v>
      </c>
      <c r="AD9244">
        <v>-1.131733635582</v>
      </c>
      <c r="AE9244">
        <v>11.356590000000001</v>
      </c>
      <c r="AF9244">
        <v>-4.7795915668223596</v>
      </c>
      <c r="AG9244">
        <v>-1.131733635582</v>
      </c>
      <c r="AH9244">
        <v>10.272668296168399</v>
      </c>
      <c r="AI9244">
        <v>95.704179427730196</v>
      </c>
      <c r="AJ9244">
        <v>114.951270572411</v>
      </c>
      <c r="AK9244">
        <v>11.386528465280801</v>
      </c>
      <c r="AL9244">
        <v>93.821921100319599</v>
      </c>
      <c r="AM9244">
        <v>101.90164927445601</v>
      </c>
      <c r="AN9244">
        <v>1.0000000034761101</v>
      </c>
    </row>
    <row r="9245" spans="1:40" x14ac:dyDescent="0.25">
      <c r="A9245" t="str">
        <f>"20190303154019651"</f>
        <v>20190303154019651</v>
      </c>
      <c r="B9245" t="str">
        <f>"1551598819646839"</f>
        <v>1551598819646839</v>
      </c>
      <c r="C9245" t="s">
        <v>40</v>
      </c>
      <c r="D9245">
        <v>4.8269719999999996</v>
      </c>
      <c r="E9245">
        <v>0.42167680000000002</v>
      </c>
      <c r="F9245" t="s">
        <v>63</v>
      </c>
      <c r="G9245">
        <v>-189.49299999999999</v>
      </c>
      <c r="H9245" s="1">
        <v>-6.5149899999999996E-6</v>
      </c>
      <c r="I9245">
        <v>-43.8384</v>
      </c>
      <c r="J9245">
        <v>-190.93369999999999</v>
      </c>
      <c r="K9245">
        <v>1.1316469999999901</v>
      </c>
      <c r="L9245">
        <v>-54.71481</v>
      </c>
      <c r="M9245">
        <v>0.51613319999999996</v>
      </c>
      <c r="N9245">
        <v>-1.724879E-2</v>
      </c>
      <c r="O9245">
        <v>0.85633459999999995</v>
      </c>
      <c r="P9245">
        <v>0.331868</v>
      </c>
      <c r="Q9245">
        <v>-7.8512170000000006E-2</v>
      </c>
      <c r="R9245">
        <v>0.94005289999999997</v>
      </c>
      <c r="S9245">
        <v>0.41749570000000003</v>
      </c>
      <c r="T9245">
        <v>-0.30986320000000001</v>
      </c>
      <c r="U9245">
        <v>3.0234070000000002</v>
      </c>
      <c r="V9245">
        <v>-0.19940759999999999</v>
      </c>
      <c r="W9245">
        <v>-6.6727270000000005E-2</v>
      </c>
      <c r="X9245">
        <v>0.97764209999999996</v>
      </c>
      <c r="Y9245">
        <v>-0.3939339</v>
      </c>
      <c r="Z9245">
        <v>-5.9305910000000003E-2</v>
      </c>
      <c r="AA9245">
        <v>0.91722349999999997</v>
      </c>
      <c r="AB9245">
        <v>22</v>
      </c>
      <c r="AC9245">
        <v>1.4406999999999901</v>
      </c>
      <c r="AD9245">
        <v>-1.13165351498999</v>
      </c>
      <c r="AE9245">
        <v>10.87641</v>
      </c>
      <c r="AF9245">
        <v>-4.33449209614104</v>
      </c>
      <c r="AG9245">
        <v>-1.13165351498999</v>
      </c>
      <c r="AH9245">
        <v>9.9530453609673799</v>
      </c>
      <c r="AI9245">
        <v>95.951190487366702</v>
      </c>
      <c r="AJ9245">
        <v>113.53283910226</v>
      </c>
      <c r="AK9245">
        <v>10.9147411039828</v>
      </c>
      <c r="AL9245">
        <v>93.826033802846695</v>
      </c>
      <c r="AM9245">
        <v>101.528364322499</v>
      </c>
      <c r="AN9245">
        <v>0.99999999759591096</v>
      </c>
    </row>
    <row r="9246" spans="1:40" x14ac:dyDescent="0.25">
      <c r="A9246" t="str">
        <f>"20190303154019665"</f>
        <v>20190303154019665</v>
      </c>
      <c r="B9246" t="str">
        <f>"1551598819657575"</f>
        <v>1551598819657575</v>
      </c>
      <c r="C9246" t="s">
        <v>40</v>
      </c>
      <c r="D9246">
        <v>4.8082789999999997</v>
      </c>
      <c r="E9246">
        <v>0.42167680000000002</v>
      </c>
      <c r="F9246" t="s">
        <v>63</v>
      </c>
      <c r="G9246">
        <v>-189.4504</v>
      </c>
      <c r="H9246" s="1">
        <v>-6.5784630000000002E-6</v>
      </c>
      <c r="I9246">
        <v>-43.634459999999997</v>
      </c>
      <c r="J9246">
        <v>-190.87540000000001</v>
      </c>
      <c r="K9246">
        <v>1.1315839999999999</v>
      </c>
      <c r="L9246">
        <v>-54.595640000000003</v>
      </c>
      <c r="M9246">
        <v>0.50721579999999999</v>
      </c>
      <c r="N9246">
        <v>-1.7231239999999998E-2</v>
      </c>
      <c r="O9246">
        <v>0.86164680000000005</v>
      </c>
      <c r="P9246">
        <v>0.32537909999999998</v>
      </c>
      <c r="Q9246">
        <v>-7.8594120000000003E-2</v>
      </c>
      <c r="R9246">
        <v>0.94231180000000003</v>
      </c>
      <c r="S9246">
        <v>0.4046478</v>
      </c>
      <c r="T9246">
        <v>-0.3087105</v>
      </c>
      <c r="U9246">
        <v>3.022675</v>
      </c>
      <c r="V9246">
        <v>-0.19600699999999999</v>
      </c>
      <c r="W9246">
        <v>-6.6698690000000005E-2</v>
      </c>
      <c r="X9246">
        <v>0.97833150000000002</v>
      </c>
      <c r="Y9246">
        <v>-0.3882023</v>
      </c>
      <c r="Z9246">
        <v>-5.9955910000000001E-2</v>
      </c>
      <c r="AA9246">
        <v>0.91962180000000004</v>
      </c>
      <c r="AB9246">
        <v>22</v>
      </c>
      <c r="AC9246">
        <v>1.42500000000001</v>
      </c>
      <c r="AD9246">
        <v>-1.13159057846299</v>
      </c>
      <c r="AE9246">
        <v>10.961180000000001</v>
      </c>
      <c r="AF9246">
        <v>-4.2875442997067603</v>
      </c>
      <c r="AG9246">
        <v>-1.13159057846299</v>
      </c>
      <c r="AH9246">
        <v>10.063486827282601</v>
      </c>
      <c r="AI9246">
        <v>95.906105574090205</v>
      </c>
      <c r="AJ9246">
        <v>113.07640874229701</v>
      </c>
      <c r="AK9246">
        <v>10.997149652619299</v>
      </c>
      <c r="AL9246">
        <v>93.824392656265204</v>
      </c>
      <c r="AM9246">
        <v>101.329116788699</v>
      </c>
      <c r="AN9246">
        <v>0.99999999159448305</v>
      </c>
    </row>
    <row r="9247" spans="1:40" x14ac:dyDescent="0.25">
      <c r="A9247" t="str">
        <f>"20190303154019679"</f>
        <v>20190303154019679</v>
      </c>
      <c r="B9247" t="str">
        <f>"1551598819667335"</f>
        <v>1551598819667335</v>
      </c>
      <c r="C9247" t="s">
        <v>40</v>
      </c>
      <c r="D9247">
        <v>4.8491849999999896</v>
      </c>
      <c r="E9247">
        <v>0.42653180000000002</v>
      </c>
      <c r="F9247" t="s">
        <v>63</v>
      </c>
      <c r="G9247">
        <v>-189.4666</v>
      </c>
      <c r="H9247" s="1">
        <v>-6.6261040000000001E-6</v>
      </c>
      <c r="I9247">
        <v>-43.497599999999998</v>
      </c>
      <c r="J9247">
        <v>-190.81979999999999</v>
      </c>
      <c r="K9247">
        <v>1.1315189999999999</v>
      </c>
      <c r="L9247">
        <v>-54.478999999999999</v>
      </c>
      <c r="M9247">
        <v>0.49851000000000001</v>
      </c>
      <c r="N9247">
        <v>-1.7212430000000001E-2</v>
      </c>
      <c r="O9247">
        <v>0.86671299999999996</v>
      </c>
      <c r="P9247">
        <v>0.31864720000000002</v>
      </c>
      <c r="Q9247">
        <v>-7.8659149999999997E-2</v>
      </c>
      <c r="R9247">
        <v>0.944604</v>
      </c>
      <c r="S9247">
        <v>0.38401790000000002</v>
      </c>
      <c r="T9247">
        <v>-0.30847190000000002</v>
      </c>
      <c r="U9247">
        <v>3.0253299999999999</v>
      </c>
      <c r="V9247">
        <v>-0.1931408</v>
      </c>
      <c r="W9247">
        <v>-6.6669759999999995E-2</v>
      </c>
      <c r="X9247">
        <v>0.97890339999999998</v>
      </c>
      <c r="Y9247">
        <v>-0.38520199999999999</v>
      </c>
      <c r="Z9247">
        <v>-6.0644999999999998E-2</v>
      </c>
      <c r="AA9247">
        <v>0.92083749999999998</v>
      </c>
      <c r="AB9247">
        <v>22</v>
      </c>
      <c r="AC9247">
        <v>1.35319999999998</v>
      </c>
      <c r="AD9247">
        <v>-1.1315256261040001</v>
      </c>
      <c r="AE9247">
        <v>10.981400000000001</v>
      </c>
      <c r="AF9247">
        <v>-4.2576111015449003</v>
      </c>
      <c r="AG9247">
        <v>-1.1315256261040001</v>
      </c>
      <c r="AH9247">
        <v>10.088308183362701</v>
      </c>
      <c r="AI9247">
        <v>95.899789126687807</v>
      </c>
      <c r="AJ9247">
        <v>112.881408224173</v>
      </c>
      <c r="AK9247">
        <v>11.0082498398715</v>
      </c>
      <c r="AL9247">
        <v>93.822731183198897</v>
      </c>
      <c r="AM9247">
        <v>101.161284855597</v>
      </c>
      <c r="AN9247">
        <v>1.00000004602732</v>
      </c>
    </row>
    <row r="9248" spans="1:40" x14ac:dyDescent="0.25">
      <c r="A9248" t="str">
        <f>"20190303154019696"</f>
        <v>20190303154019696</v>
      </c>
      <c r="B9248" t="str">
        <f>"1551598819686858"</f>
        <v>1551598819686858</v>
      </c>
      <c r="C9248" t="s">
        <v>40</v>
      </c>
      <c r="D9248">
        <v>4.835413</v>
      </c>
      <c r="E9248">
        <v>0.42729200000000001</v>
      </c>
      <c r="F9248" t="s">
        <v>63</v>
      </c>
      <c r="G9248">
        <v>-189.297</v>
      </c>
      <c r="H9248" s="1">
        <v>-6.783056E-6</v>
      </c>
      <c r="I9248">
        <v>-42.971730000000001</v>
      </c>
      <c r="J9248">
        <v>-190.74680000000001</v>
      </c>
      <c r="K9248">
        <v>1.131429</v>
      </c>
      <c r="L9248">
        <v>-54.321809999999999</v>
      </c>
      <c r="M9248">
        <v>0.48680319999999999</v>
      </c>
      <c r="N9248">
        <v>-1.7184830000000002E-2</v>
      </c>
      <c r="O9248">
        <v>0.87334259999999997</v>
      </c>
      <c r="P9248">
        <v>0.311424599999999</v>
      </c>
      <c r="Q9248">
        <v>-7.7871019999999999E-2</v>
      </c>
      <c r="R9248">
        <v>0.94707490000000005</v>
      </c>
      <c r="S9248">
        <v>0.39918520000000002</v>
      </c>
      <c r="T9248">
        <v>-0.29662349999999998</v>
      </c>
      <c r="U9248">
        <v>3.0165709999999999</v>
      </c>
      <c r="V9248">
        <v>-0.18751609999999999</v>
      </c>
      <c r="W9248">
        <v>-6.570426E-2</v>
      </c>
      <c r="X9248">
        <v>0.98006150000000003</v>
      </c>
      <c r="Y9248">
        <v>-0.3678709</v>
      </c>
      <c r="Z9248">
        <v>-5.9225760000000002E-2</v>
      </c>
      <c r="AA9248">
        <v>0.92798879999999995</v>
      </c>
      <c r="AB9248">
        <v>22</v>
      </c>
      <c r="AC9248">
        <v>1.44980000000001</v>
      </c>
      <c r="AD9248">
        <v>-1.131435783056</v>
      </c>
      <c r="AE9248">
        <v>11.350079999999901</v>
      </c>
      <c r="AF9248">
        <v>-4.2184657039704003</v>
      </c>
      <c r="AG9248">
        <v>-1.131435783056</v>
      </c>
      <c r="AH9248">
        <v>10.517012695329599</v>
      </c>
      <c r="AI9248">
        <v>95.702008610695501</v>
      </c>
      <c r="AJ9248">
        <v>111.856152406916</v>
      </c>
      <c r="AK9248">
        <v>11.3878512398291</v>
      </c>
      <c r="AL9248">
        <v>93.767290937705198</v>
      </c>
      <c r="AM9248">
        <v>100.831550037512</v>
      </c>
      <c r="AN9248">
        <v>0.99999994066180198</v>
      </c>
    </row>
    <row r="9249" spans="1:40" x14ac:dyDescent="0.25">
      <c r="A9249" t="str">
        <f>"20190303154019712"</f>
        <v>20190303154019712</v>
      </c>
      <c r="B9249" t="str">
        <f>"1551598819707351"</f>
        <v>1551598819707351</v>
      </c>
      <c r="C9249" t="s">
        <v>40</v>
      </c>
      <c r="D9249">
        <v>4.8517099999999997</v>
      </c>
      <c r="E9249">
        <v>0.432139</v>
      </c>
      <c r="F9249" t="s">
        <v>63</v>
      </c>
      <c r="G9249">
        <v>-189.31270000000001</v>
      </c>
      <c r="H9249" s="1">
        <v>-6.7776360000000003E-6</v>
      </c>
      <c r="I9249">
        <v>-42.993209999999998</v>
      </c>
      <c r="J9249">
        <v>-190.6884</v>
      </c>
      <c r="K9249">
        <v>1.131343</v>
      </c>
      <c r="L9249">
        <v>-54.192500000000003</v>
      </c>
      <c r="M9249">
        <v>0.47720859999999898</v>
      </c>
      <c r="N9249">
        <v>-1.7160100000000001E-2</v>
      </c>
      <c r="O9249">
        <v>0.87862249999999997</v>
      </c>
      <c r="P9249">
        <v>0.30376740000000002</v>
      </c>
      <c r="Q9249">
        <v>-7.7653260000000002E-2</v>
      </c>
      <c r="R9249">
        <v>0.94957639999999999</v>
      </c>
      <c r="S9249">
        <v>0.38194270000000002</v>
      </c>
      <c r="T9249">
        <v>-0.3013479</v>
      </c>
      <c r="U9249">
        <v>3.0172729999999999</v>
      </c>
      <c r="V9249">
        <v>-0.1847259</v>
      </c>
      <c r="W9249">
        <v>-6.5393160000000006E-2</v>
      </c>
      <c r="X9249">
        <v>0.98061209999999999</v>
      </c>
      <c r="Y9249">
        <v>-0.36294379999999998</v>
      </c>
      <c r="Z9249">
        <v>-6.1278609999999997E-2</v>
      </c>
      <c r="AA9249">
        <v>0.92979400000000001</v>
      </c>
      <c r="AB9249">
        <v>22</v>
      </c>
      <c r="AC9249">
        <v>1.3756999999999899</v>
      </c>
      <c r="AD9249">
        <v>-1.131349777636</v>
      </c>
      <c r="AE9249">
        <v>11.19929</v>
      </c>
      <c r="AF9249">
        <v>-4.09511612080638</v>
      </c>
      <c r="AG9249">
        <v>-1.131349777636</v>
      </c>
      <c r="AH9249">
        <v>10.3935007824415</v>
      </c>
      <c r="AI9249">
        <v>95.782864384315502</v>
      </c>
      <c r="AJ9249">
        <v>111.504806780503</v>
      </c>
      <c r="AK9249">
        <v>11.2283029384167</v>
      </c>
      <c r="AL9249">
        <v>93.749427553172694</v>
      </c>
      <c r="AM9249">
        <v>100.66825341609299</v>
      </c>
      <c r="AN9249">
        <v>1.000000007086</v>
      </c>
    </row>
    <row r="9250" spans="1:40" x14ac:dyDescent="0.25">
      <c r="A9250" t="str">
        <f>"20190303154019731"</f>
        <v>20190303154019731</v>
      </c>
      <c r="B9250" t="str">
        <f>"1551598819726872"</f>
        <v>1551598819726872</v>
      </c>
      <c r="C9250" t="s">
        <v>40</v>
      </c>
      <c r="D9250">
        <v>4.8270799999999996</v>
      </c>
      <c r="E9250">
        <v>0.43283240000000001</v>
      </c>
      <c r="F9250" t="s">
        <v>63</v>
      </c>
      <c r="G9250">
        <v>-189.19810000000001</v>
      </c>
      <c r="H9250" s="1">
        <v>-6.8222060000000003E-6</v>
      </c>
      <c r="I9250">
        <v>-42.821539999999999</v>
      </c>
      <c r="J9250">
        <v>-190.61240000000001</v>
      </c>
      <c r="K9250">
        <v>1.131208</v>
      </c>
      <c r="L9250">
        <v>-54.017789999999998</v>
      </c>
      <c r="M9250">
        <v>0.46432889999999999</v>
      </c>
      <c r="N9250">
        <v>-1.712176E-2</v>
      </c>
      <c r="O9250">
        <v>0.88549730000000004</v>
      </c>
      <c r="P9250">
        <v>0.29500300000000002</v>
      </c>
      <c r="Q9250">
        <v>-7.7322459999999996E-2</v>
      </c>
      <c r="R9250">
        <v>0.95236259999999995</v>
      </c>
      <c r="S9250">
        <v>0.39433289999999999</v>
      </c>
      <c r="T9250">
        <v>-0.299346</v>
      </c>
      <c r="U9250">
        <v>3.008667</v>
      </c>
      <c r="V9250">
        <v>-0.17949019999999999</v>
      </c>
      <c r="W9250">
        <v>-6.4897410000000003E-2</v>
      </c>
      <c r="X9250">
        <v>0.98161690000000001</v>
      </c>
      <c r="Y9250">
        <v>-0.34521849999999998</v>
      </c>
      <c r="Z9250">
        <v>-6.2337900000000002E-2</v>
      </c>
      <c r="AA9250">
        <v>0.9364498</v>
      </c>
      <c r="AB9250">
        <v>22</v>
      </c>
      <c r="AC9250">
        <v>1.4142999999999899</v>
      </c>
      <c r="AD9250">
        <v>-1.1312148222059999</v>
      </c>
      <c r="AE9250">
        <v>11.196249999999999</v>
      </c>
      <c r="AF9250">
        <v>-3.9076986161281</v>
      </c>
      <c r="AG9250">
        <v>-1.1312148222059999</v>
      </c>
      <c r="AH9250">
        <v>10.4673262390522</v>
      </c>
      <c r="AI9250">
        <v>95.7812546390698</v>
      </c>
      <c r="AJ9250">
        <v>110.471783824046</v>
      </c>
      <c r="AK9250">
        <v>11.2300789865085</v>
      </c>
      <c r="AL9250">
        <v>93.720962463020697</v>
      </c>
      <c r="AM9250">
        <v>100.362150619068</v>
      </c>
      <c r="AN9250">
        <v>1.0000000720431701</v>
      </c>
    </row>
    <row r="9251" spans="1:40" x14ac:dyDescent="0.25">
      <c r="A9251" t="str">
        <f>"20190303154019753"</f>
        <v>20190303154019753</v>
      </c>
      <c r="B9251" t="str">
        <f>"1551598819747367"</f>
        <v>1551598819747367</v>
      </c>
      <c r="C9251" t="s">
        <v>40</v>
      </c>
      <c r="D9251">
        <v>4.8459500000000002</v>
      </c>
      <c r="E9251">
        <v>0.43814170000000002</v>
      </c>
      <c r="F9251" t="s">
        <v>63</v>
      </c>
      <c r="G9251">
        <v>-189.214</v>
      </c>
      <c r="H9251" s="1">
        <v>-6.8657329999999996E-6</v>
      </c>
      <c r="I9251">
        <v>-42.696869999999997</v>
      </c>
      <c r="J9251">
        <v>-190.5282</v>
      </c>
      <c r="K9251">
        <v>1.131041</v>
      </c>
      <c r="L9251">
        <v>-53.8157</v>
      </c>
      <c r="M9251">
        <v>0.44956620000000003</v>
      </c>
      <c r="N9251">
        <v>-1.7070809999999999E-2</v>
      </c>
      <c r="O9251">
        <v>0.89308390000000004</v>
      </c>
      <c r="P9251">
        <v>0.28400920000000002</v>
      </c>
      <c r="Q9251">
        <v>-7.7961009999999997E-2</v>
      </c>
      <c r="R9251">
        <v>0.95564680000000002</v>
      </c>
      <c r="S9251">
        <v>0.37185669999999998</v>
      </c>
      <c r="T9251">
        <v>-0.30081340000000001</v>
      </c>
      <c r="U9251">
        <v>3.0104679999999999</v>
      </c>
      <c r="V9251">
        <v>-0.17449790000000001</v>
      </c>
      <c r="W9251">
        <v>-6.538099E-2</v>
      </c>
      <c r="X9251">
        <v>0.98248449999999998</v>
      </c>
      <c r="Y9251">
        <v>-0.33660370000000001</v>
      </c>
      <c r="Z9251">
        <v>-6.3966449999999994E-2</v>
      </c>
      <c r="AA9251">
        <v>0.93947119999999995</v>
      </c>
      <c r="AB9251">
        <v>22</v>
      </c>
      <c r="AC9251">
        <v>1.3141999999999701</v>
      </c>
      <c r="AD9251">
        <v>-1.1310478657330001</v>
      </c>
      <c r="AE9251">
        <v>11.1188299999999</v>
      </c>
      <c r="AF9251">
        <v>-3.7868711543165299</v>
      </c>
      <c r="AG9251">
        <v>-1.1310478657330001</v>
      </c>
      <c r="AH9251">
        <v>10.416103381299401</v>
      </c>
      <c r="AI9251">
        <v>95.8269406726005</v>
      </c>
      <c r="AJ9251">
        <v>109.979206189411</v>
      </c>
      <c r="AK9251">
        <v>11.1406854395899</v>
      </c>
      <c r="AL9251">
        <v>93.748728825324704</v>
      </c>
      <c r="AM9251">
        <v>100.07121300841</v>
      </c>
      <c r="AN9251">
        <v>0.99999999184902</v>
      </c>
    </row>
    <row r="9252" spans="1:40" x14ac:dyDescent="0.25">
      <c r="A9252" t="str">
        <f>"20190303154019768"</f>
        <v>20190303154019768</v>
      </c>
      <c r="B9252" t="str">
        <f>"1551598819757582"</f>
        <v>1551598819757582</v>
      </c>
      <c r="C9252" t="s">
        <v>40</v>
      </c>
      <c r="D9252">
        <v>4.8571849999999896</v>
      </c>
      <c r="E9252">
        <v>0.43848819999999999</v>
      </c>
      <c r="F9252" t="s">
        <v>63</v>
      </c>
      <c r="G9252">
        <v>-189.14750000000001</v>
      </c>
      <c r="H9252" s="1">
        <v>-6.81104799999999E-6</v>
      </c>
      <c r="I9252">
        <v>-42.837870000000002</v>
      </c>
      <c r="J9252">
        <v>-190.47380000000001</v>
      </c>
      <c r="K9252">
        <v>1.130922</v>
      </c>
      <c r="L9252">
        <v>-53.680790000000002</v>
      </c>
      <c r="M9252">
        <v>0.43976589999999999</v>
      </c>
      <c r="N9252">
        <v>-1.7034649999999998E-2</v>
      </c>
      <c r="O9252">
        <v>0.8979509</v>
      </c>
      <c r="P9252">
        <v>0.27539029999999998</v>
      </c>
      <c r="Q9252">
        <v>-7.7939649999999999E-2</v>
      </c>
      <c r="R9252">
        <v>0.95816789999999996</v>
      </c>
      <c r="S9252">
        <v>0.3775482</v>
      </c>
      <c r="T9252">
        <v>-0.30927589999999999</v>
      </c>
      <c r="U9252">
        <v>3.0018009999999999</v>
      </c>
      <c r="V9252">
        <v>-0.17261570000000001</v>
      </c>
      <c r="W9252">
        <v>-6.5296590000000002E-2</v>
      </c>
      <c r="X9252">
        <v>0.98282250000000004</v>
      </c>
      <c r="Y9252">
        <v>-0.32422519999999999</v>
      </c>
      <c r="Z9252">
        <v>-6.7427780000000007E-2</v>
      </c>
      <c r="AA9252">
        <v>0.94357380000000002</v>
      </c>
      <c r="AB9252">
        <v>22</v>
      </c>
      <c r="AC9252">
        <v>1.3263</v>
      </c>
      <c r="AD9252">
        <v>-1.130928811048</v>
      </c>
      <c r="AE9252">
        <v>10.842919999999999</v>
      </c>
      <c r="AF9252">
        <v>-3.5399705998877402</v>
      </c>
      <c r="AG9252">
        <v>-1.130928811048</v>
      </c>
      <c r="AH9252">
        <v>10.2117158394152</v>
      </c>
      <c r="AI9252">
        <v>95.973643327952402</v>
      </c>
      <c r="AJ9252">
        <v>109.11927106986199</v>
      </c>
      <c r="AK9252">
        <v>10.866900763726999</v>
      </c>
      <c r="AL9252">
        <v>93.743882879668703</v>
      </c>
      <c r="AM9252">
        <v>99.961411645791202</v>
      </c>
      <c r="AN9252">
        <v>0.99999994552918203</v>
      </c>
    </row>
    <row r="9253" spans="1:40" x14ac:dyDescent="0.25">
      <c r="A9253" t="str">
        <f>"20190303154019787"</f>
        <v>20190303154019787</v>
      </c>
      <c r="B9253" t="str">
        <f>"1551598819777101"</f>
        <v>1551598819777101</v>
      </c>
      <c r="C9253" t="s">
        <v>40</v>
      </c>
      <c r="D9253">
        <v>4.8724129999999999</v>
      </c>
      <c r="E9253">
        <v>0.43924099999999999</v>
      </c>
      <c r="F9253" t="s">
        <v>63</v>
      </c>
      <c r="G9253">
        <v>-189.17939999999999</v>
      </c>
      <c r="H9253" s="1">
        <v>-6.8703379999999999E-6</v>
      </c>
      <c r="I9253">
        <v>-42.671460000000003</v>
      </c>
      <c r="J9253">
        <v>-190.40950000000001</v>
      </c>
      <c r="K9253">
        <v>1.1307670000000001</v>
      </c>
      <c r="L9253">
        <v>-53.515349999999998</v>
      </c>
      <c r="M9253">
        <v>0.42787520000000001</v>
      </c>
      <c r="N9253">
        <v>-1.6986279999999999E-2</v>
      </c>
      <c r="O9253">
        <v>0.90367819999999999</v>
      </c>
      <c r="P9253">
        <v>0.2656617</v>
      </c>
      <c r="Q9253">
        <v>-7.7846650000000003E-2</v>
      </c>
      <c r="R9253">
        <v>0.96091819999999895</v>
      </c>
      <c r="S9253">
        <v>0.35322569999999998</v>
      </c>
      <c r="T9253">
        <v>-0.30861929999999999</v>
      </c>
      <c r="U9253">
        <v>3.0043329999999999</v>
      </c>
      <c r="V9253">
        <v>-0.16963829999999999</v>
      </c>
      <c r="W9253">
        <v>-6.5111329999999995E-2</v>
      </c>
      <c r="X9253">
        <v>0.98335309999999998</v>
      </c>
      <c r="Y9253">
        <v>-0.31937589999999999</v>
      </c>
      <c r="Z9253">
        <v>-6.8160650000000003E-2</v>
      </c>
      <c r="AA9253">
        <v>0.94517359999999995</v>
      </c>
      <c r="AB9253">
        <v>22</v>
      </c>
      <c r="AC9253">
        <v>1.23010000000002</v>
      </c>
      <c r="AD9253">
        <v>-1.1307738703379999</v>
      </c>
      <c r="AE9253">
        <v>10.84389</v>
      </c>
      <c r="AF9253">
        <v>-3.4912453471159002</v>
      </c>
      <c r="AG9253">
        <v>-1.1307738703379999</v>
      </c>
      <c r="AH9253">
        <v>10.217514517823</v>
      </c>
      <c r="AI9253">
        <v>95.978527866443201</v>
      </c>
      <c r="AJ9253">
        <v>108.864899242454</v>
      </c>
      <c r="AK9253">
        <v>10.8565669777108</v>
      </c>
      <c r="AL9253">
        <v>93.733245502421198</v>
      </c>
      <c r="AM9253">
        <v>99.787763274367407</v>
      </c>
      <c r="AN9253">
        <v>0.999999978700434</v>
      </c>
    </row>
    <row r="9254" spans="1:40" x14ac:dyDescent="0.25">
      <c r="A9254" t="str">
        <f>"20190303154019808"</f>
        <v>20190303154019808</v>
      </c>
      <c r="B9254" t="str">
        <f>"1551598819797598"</f>
        <v>1551598819797598</v>
      </c>
      <c r="C9254" t="s">
        <v>40</v>
      </c>
      <c r="D9254">
        <v>4.8871799999999999</v>
      </c>
      <c r="E9254">
        <v>0.43962560000000001</v>
      </c>
      <c r="F9254" t="s">
        <v>63</v>
      </c>
      <c r="G9254">
        <v>-189.20249999999999</v>
      </c>
      <c r="H9254" s="1">
        <v>-6.9392870000000001E-6</v>
      </c>
      <c r="I9254">
        <v>-42.473260000000003</v>
      </c>
      <c r="J9254">
        <v>-190.3391</v>
      </c>
      <c r="K9254">
        <v>1.130587</v>
      </c>
      <c r="L9254">
        <v>-53.327179999999998</v>
      </c>
      <c r="M9254">
        <v>0.41451959999999999</v>
      </c>
      <c r="N9254">
        <v>-1.6926239999999999E-2</v>
      </c>
      <c r="O9254">
        <v>0.909883</v>
      </c>
      <c r="P9254">
        <v>0.25343500000000002</v>
      </c>
      <c r="Q9254">
        <v>-7.766228E-2</v>
      </c>
      <c r="R9254">
        <v>0.96422989999999997</v>
      </c>
      <c r="S9254">
        <v>0.3286133</v>
      </c>
      <c r="T9254">
        <v>-0.30785499999999999</v>
      </c>
      <c r="U9254">
        <v>3.0062259999999998</v>
      </c>
      <c r="V9254">
        <v>-0.16768629999999901</v>
      </c>
      <c r="W9254">
        <v>-6.4857570000000003E-2</v>
      </c>
      <c r="X9254">
        <v>0.98370460000000004</v>
      </c>
      <c r="Y9254">
        <v>-0.313139099999999</v>
      </c>
      <c r="Z9254">
        <v>-6.8982260000000004E-2</v>
      </c>
      <c r="AA9254">
        <v>0.94719869999999995</v>
      </c>
      <c r="AB9254">
        <v>22</v>
      </c>
      <c r="AC9254">
        <v>1.13660000000001</v>
      </c>
      <c r="AD9254">
        <v>-1.1305939392869999</v>
      </c>
      <c r="AE9254">
        <v>10.85392</v>
      </c>
      <c r="AF9254">
        <v>-3.4286872853498398</v>
      </c>
      <c r="AG9254">
        <v>-1.1305939392869999</v>
      </c>
      <c r="AH9254">
        <v>10.238536635459701</v>
      </c>
      <c r="AI9254">
        <v>95.977656433539295</v>
      </c>
      <c r="AJ9254">
        <v>108.514698386559</v>
      </c>
      <c r="AK9254">
        <v>10.856416148615599</v>
      </c>
      <c r="AL9254">
        <v>93.718675360785497</v>
      </c>
      <c r="AM9254">
        <v>99.673886317525003</v>
      </c>
      <c r="AN9254">
        <v>0.999999969827577</v>
      </c>
    </row>
    <row r="9255" spans="1:40" x14ac:dyDescent="0.25">
      <c r="A9255" t="str">
        <f>"20190303154019826"</f>
        <v>20190303154019826</v>
      </c>
      <c r="B9255" t="str">
        <f>"1551598819817117"</f>
        <v>1551598819817117</v>
      </c>
      <c r="C9255" t="s">
        <v>40</v>
      </c>
      <c r="D9255">
        <v>4.8491600000000004</v>
      </c>
      <c r="E9255">
        <v>0.4399768</v>
      </c>
      <c r="F9255" t="s">
        <v>63</v>
      </c>
      <c r="G9255">
        <v>-189.2756</v>
      </c>
      <c r="H9255" s="1">
        <v>-6.9669409999999998E-6</v>
      </c>
      <c r="I9255">
        <v>-42.415199999999999</v>
      </c>
      <c r="J9255">
        <v>-190.2809</v>
      </c>
      <c r="K9255">
        <v>1.130406</v>
      </c>
      <c r="L9255">
        <v>-53.164920000000002</v>
      </c>
      <c r="M9255">
        <v>0.40319579999999999</v>
      </c>
      <c r="N9255">
        <v>-1.6867610000000002E-2</v>
      </c>
      <c r="O9255">
        <v>0.91495820000000005</v>
      </c>
      <c r="P9255">
        <v>0.24253910000000001</v>
      </c>
      <c r="Q9255">
        <v>-7.8006619999999999E-2</v>
      </c>
      <c r="R9255">
        <v>0.96700039999999998</v>
      </c>
      <c r="S9255">
        <v>0.29328920000000003</v>
      </c>
      <c r="T9255">
        <v>-0.31177319999999997</v>
      </c>
      <c r="U9255">
        <v>3.0090940000000002</v>
      </c>
      <c r="V9255">
        <v>-0.16658719999999999</v>
      </c>
      <c r="W9255">
        <v>-6.5157389999999996E-2</v>
      </c>
      <c r="X9255">
        <v>0.98387150000000001</v>
      </c>
      <c r="Y9255">
        <v>-0.31246230000000003</v>
      </c>
      <c r="Z9255">
        <v>-7.080902E-2</v>
      </c>
      <c r="AA9255">
        <v>0.9472874</v>
      </c>
      <c r="AB9255">
        <v>22</v>
      </c>
      <c r="AC9255">
        <v>1.0053000000000001</v>
      </c>
      <c r="AD9255">
        <v>-1.1304129669409999</v>
      </c>
      <c r="AE9255">
        <v>10.7497199999999</v>
      </c>
      <c r="AF9255">
        <v>-3.3778913565305002</v>
      </c>
      <c r="AG9255">
        <v>-1.1304129669409999</v>
      </c>
      <c r="AH9255">
        <v>10.131273805717701</v>
      </c>
      <c r="AI9255">
        <v>96.042164840884894</v>
      </c>
      <c r="AJ9255">
        <v>108.43902101761201</v>
      </c>
      <c r="AK9255">
        <v>10.739212839811501</v>
      </c>
      <c r="AL9255">
        <v>93.735890252196498</v>
      </c>
      <c r="AM9255">
        <v>99.610065456756203</v>
      </c>
      <c r="AN9255">
        <v>0.99999995459385005</v>
      </c>
    </row>
    <row r="9256" spans="1:40" x14ac:dyDescent="0.25">
      <c r="A9256" t="str">
        <f>"20190303154019843"</f>
        <v>20190303154019843</v>
      </c>
      <c r="B9256" t="str">
        <f>"1551598819837613"</f>
        <v>1551598819837613</v>
      </c>
      <c r="C9256" t="s">
        <v>40</v>
      </c>
      <c r="D9256">
        <v>4.8619969999999997</v>
      </c>
      <c r="E9256">
        <v>0.45495479999999999</v>
      </c>
      <c r="F9256" t="s">
        <v>63</v>
      </c>
      <c r="G9256">
        <v>-189.34100000000001</v>
      </c>
      <c r="H9256" s="1">
        <v>-6.9909999999999996E-6</v>
      </c>
      <c r="I9256">
        <v>-42.365299999999998</v>
      </c>
      <c r="J9256">
        <v>-190.22730000000001</v>
      </c>
      <c r="K9256">
        <v>1.1302160000000001</v>
      </c>
      <c r="L9256">
        <v>-53.010440000000003</v>
      </c>
      <c r="M9256">
        <v>0.39257880000000001</v>
      </c>
      <c r="N9256">
        <v>-1.68063E-2</v>
      </c>
      <c r="O9256">
        <v>0.91956479999999996</v>
      </c>
      <c r="P9256">
        <v>0.23430129999999999</v>
      </c>
      <c r="Q9256">
        <v>-7.871483E-2</v>
      </c>
      <c r="R9256">
        <v>0.9689721</v>
      </c>
      <c r="S9256">
        <v>0.26206970000000002</v>
      </c>
      <c r="T9256">
        <v>-0.31519009999999997</v>
      </c>
      <c r="U9256">
        <v>3.0112299999999999</v>
      </c>
      <c r="V9256">
        <v>-0.1635655</v>
      </c>
      <c r="W9256">
        <v>-6.5775840000000002E-2</v>
      </c>
      <c r="X9256">
        <v>0.98433729999999997</v>
      </c>
      <c r="Y9256">
        <v>-0.31128</v>
      </c>
      <c r="Z9256">
        <v>-7.2473300000000004E-2</v>
      </c>
      <c r="AA9256">
        <v>0.94755069999999997</v>
      </c>
      <c r="AB9256">
        <v>22</v>
      </c>
      <c r="AC9256">
        <v>0.88630000000003395</v>
      </c>
      <c r="AD9256">
        <v>-1.1302229909999999</v>
      </c>
      <c r="AE9256">
        <v>10.64514</v>
      </c>
      <c r="AF9256">
        <v>-3.3272722941269399</v>
      </c>
      <c r="AG9256">
        <v>-1.1302229909999999</v>
      </c>
      <c r="AH9256">
        <v>10.0260288535464</v>
      </c>
      <c r="AI9256">
        <v>96.106906550581598</v>
      </c>
      <c r="AJ9256">
        <v>108.35911793950901</v>
      </c>
      <c r="AK9256">
        <v>10.624001106023799</v>
      </c>
      <c r="AL9256">
        <v>93.771400734680199</v>
      </c>
      <c r="AM9256">
        <v>99.434528572896397</v>
      </c>
      <c r="AN9256">
        <v>1.0000000270446201</v>
      </c>
    </row>
    <row r="9257" spans="1:40" x14ac:dyDescent="0.25">
      <c r="A9257" t="str">
        <f>"20190303154019864"</f>
        <v>20190303154019864</v>
      </c>
      <c r="B9257" t="str">
        <f>"1551598819857133"</f>
        <v>1551598819857133</v>
      </c>
      <c r="C9257" t="s">
        <v>40</v>
      </c>
      <c r="D9257">
        <v>4.8800860000000004</v>
      </c>
      <c r="E9257">
        <v>0.4504842</v>
      </c>
      <c r="F9257" t="s">
        <v>63</v>
      </c>
      <c r="G9257">
        <v>-188.88829999999999</v>
      </c>
      <c r="H9257" s="1">
        <v>-7.1734349999999997E-6</v>
      </c>
      <c r="I9257">
        <v>-41.66818</v>
      </c>
      <c r="J9257">
        <v>-190.16290000000001</v>
      </c>
      <c r="K9257">
        <v>1.1299709999999901</v>
      </c>
      <c r="L9257">
        <v>-52.818150000000003</v>
      </c>
      <c r="M9257">
        <v>0.37957020000000002</v>
      </c>
      <c r="N9257">
        <v>-1.672541E-2</v>
      </c>
      <c r="O9257">
        <v>0.92501169999999999</v>
      </c>
      <c r="P9257">
        <v>0.22408239999999999</v>
      </c>
      <c r="Q9257">
        <v>-7.9539189999999996E-2</v>
      </c>
      <c r="R9257">
        <v>0.97131900000000004</v>
      </c>
      <c r="S9257">
        <v>0.35258479999999998</v>
      </c>
      <c r="T9257">
        <v>-0.29760940000000002</v>
      </c>
      <c r="U9257">
        <v>2.9866329999999999</v>
      </c>
      <c r="V9257">
        <v>-0.16004779999999999</v>
      </c>
      <c r="W9257">
        <v>-6.6499160000000002E-2</v>
      </c>
      <c r="X9257">
        <v>0.98486680000000004</v>
      </c>
      <c r="Y9257">
        <v>-0.26854670000000003</v>
      </c>
      <c r="Z9257">
        <v>-6.9735249999999999E-2</v>
      </c>
      <c r="AA9257">
        <v>0.96073909999999996</v>
      </c>
      <c r="AB9257">
        <v>22</v>
      </c>
      <c r="AC9257">
        <v>1.2746000000000199</v>
      </c>
      <c r="AD9257">
        <v>-1.1299781734349901</v>
      </c>
      <c r="AE9257">
        <v>11.14997</v>
      </c>
      <c r="AF9257">
        <v>-3.0229568137568501</v>
      </c>
      <c r="AG9257">
        <v>-1.1299781734349901</v>
      </c>
      <c r="AH9257">
        <v>10.6907802737522</v>
      </c>
      <c r="AI9257">
        <v>95.807505152612094</v>
      </c>
      <c r="AJ9257">
        <v>105.788938648722</v>
      </c>
      <c r="AK9257">
        <v>11.1672692020891</v>
      </c>
      <c r="AL9257">
        <v>93.8129348631157</v>
      </c>
      <c r="AM9257">
        <v>99.230279882267496</v>
      </c>
      <c r="AN9257">
        <v>1.0000000251538901</v>
      </c>
    </row>
    <row r="9258" spans="1:40" x14ac:dyDescent="0.25">
      <c r="A9258" t="str">
        <f>"20190303154019878"</f>
        <v>20190303154019878</v>
      </c>
      <c r="B9258" t="str">
        <f>"1551598819866893"</f>
        <v>1551598819866893</v>
      </c>
      <c r="C9258" t="s">
        <v>40</v>
      </c>
      <c r="D9258">
        <v>4.8633419999999896</v>
      </c>
      <c r="E9258">
        <v>0.45150410000000002</v>
      </c>
      <c r="F9258" t="s">
        <v>63</v>
      </c>
      <c r="G9258">
        <v>-189.21719999999999</v>
      </c>
      <c r="H9258" s="1">
        <v>-6.7944440000000001E-6</v>
      </c>
      <c r="I9258">
        <v>-42.910899999999998</v>
      </c>
      <c r="J9258">
        <v>-190.12110000000001</v>
      </c>
      <c r="K9258">
        <v>1.12981</v>
      </c>
      <c r="L9258">
        <v>-52.688659999999999</v>
      </c>
      <c r="M9258">
        <v>0.37096750000000001</v>
      </c>
      <c r="N9258">
        <v>-1.6668860000000001E-2</v>
      </c>
      <c r="O9258">
        <v>0.92849619999999999</v>
      </c>
      <c r="P9258">
        <v>0.21668229999999999</v>
      </c>
      <c r="Q9258">
        <v>-7.9813090000000003E-2</v>
      </c>
      <c r="R9258">
        <v>0.97297409999999995</v>
      </c>
      <c r="S9258">
        <v>0.28584290000000001</v>
      </c>
      <c r="T9258">
        <v>-0.34155770000000002</v>
      </c>
      <c r="U9258">
        <v>2.994659</v>
      </c>
      <c r="V9258">
        <v>-0.15841559999999999</v>
      </c>
      <c r="W9258">
        <v>-6.6726380000000002E-2</v>
      </c>
      <c r="X9258">
        <v>0.98511530000000003</v>
      </c>
      <c r="Y9258">
        <v>-0.28108810000000001</v>
      </c>
      <c r="Z9258">
        <v>-8.2507919999999998E-2</v>
      </c>
      <c r="AA9258">
        <v>0.95612870000000005</v>
      </c>
      <c r="AB9258">
        <v>22</v>
      </c>
      <c r="AC9258">
        <v>0.90390000000002102</v>
      </c>
      <c r="AD9258">
        <v>-1.1298167944440001</v>
      </c>
      <c r="AE9258">
        <v>9.7777600000000007</v>
      </c>
      <c r="AF9258">
        <v>-2.7519194422398399</v>
      </c>
      <c r="AG9258">
        <v>-1.1298167944440001</v>
      </c>
      <c r="AH9258">
        <v>9.29222306824526</v>
      </c>
      <c r="AI9258">
        <v>96.649654572016303</v>
      </c>
      <c r="AJ9258">
        <v>106.496811755479</v>
      </c>
      <c r="AK9258">
        <v>9.7567902588717601</v>
      </c>
      <c r="AL9258">
        <v>93.825982559265697</v>
      </c>
      <c r="AM9258">
        <v>99.135477477573701</v>
      </c>
      <c r="AN9258">
        <v>1.0000000332026699</v>
      </c>
    </row>
    <row r="9259" spans="1:40" x14ac:dyDescent="0.25">
      <c r="A9259" t="str">
        <f>"20190303154019899"</f>
        <v>20190303154019899</v>
      </c>
      <c r="B9259" t="str">
        <f>"1551598819887391"</f>
        <v>1551598819887391</v>
      </c>
      <c r="C9259" t="s">
        <v>40</v>
      </c>
      <c r="D9259">
        <v>4.8694280000000001</v>
      </c>
      <c r="E9259">
        <v>0.45301619999999998</v>
      </c>
      <c r="F9259" t="s">
        <v>63</v>
      </c>
      <c r="G9259">
        <v>-189.2226</v>
      </c>
      <c r="H9259" s="1">
        <v>-6.8451139999999999E-6</v>
      </c>
      <c r="I9259">
        <v>-42.761339999999997</v>
      </c>
      <c r="J9259">
        <v>-190.065</v>
      </c>
      <c r="K9259">
        <v>1.12958799999999</v>
      </c>
      <c r="L9259">
        <v>-52.5092199999999</v>
      </c>
      <c r="M9259">
        <v>0.35921750000000002</v>
      </c>
      <c r="N9259">
        <v>-1.659037E-2</v>
      </c>
      <c r="O9259">
        <v>0.9331064</v>
      </c>
      <c r="P9259">
        <v>0.20733489999999999</v>
      </c>
      <c r="Q9259">
        <v>-7.9705390000000001E-2</v>
      </c>
      <c r="R9259">
        <v>0.97501760000000004</v>
      </c>
      <c r="S9259">
        <v>0.27107239999999999</v>
      </c>
      <c r="T9259">
        <v>-0.34085690000000002</v>
      </c>
      <c r="U9259">
        <v>2.9949949999999999</v>
      </c>
      <c r="V9259">
        <v>-0.15547720000000001</v>
      </c>
      <c r="W9259">
        <v>-6.6541920000000004E-2</v>
      </c>
      <c r="X9259">
        <v>0.98559580000000002</v>
      </c>
      <c r="Y9259">
        <v>-0.27366940000000001</v>
      </c>
      <c r="Z9259">
        <v>-8.32595E-2</v>
      </c>
      <c r="AA9259">
        <v>0.95821339999999999</v>
      </c>
      <c r="AB9259">
        <v>22</v>
      </c>
      <c r="AC9259">
        <v>0.84239999999999704</v>
      </c>
      <c r="AD9259">
        <v>-1.1295948451140001</v>
      </c>
      <c r="AE9259">
        <v>9.7478799999999808</v>
      </c>
      <c r="AF9259">
        <v>-2.6802098377374999</v>
      </c>
      <c r="AG9259">
        <v>-1.1295948451140001</v>
      </c>
      <c r="AH9259">
        <v>9.2760680732508405</v>
      </c>
      <c r="AI9259">
        <v>96.672678888332797</v>
      </c>
      <c r="AJ9259">
        <v>106.116022613301</v>
      </c>
      <c r="AK9259">
        <v>9.7213655516083008</v>
      </c>
      <c r="AL9259">
        <v>93.815390235725701</v>
      </c>
      <c r="AM9259">
        <v>98.964504856311507</v>
      </c>
      <c r="AN9259">
        <v>1.00000003390738</v>
      </c>
    </row>
    <row r="9260" spans="1:40" x14ac:dyDescent="0.25">
      <c r="A9260" t="str">
        <f>"20190303154019914"</f>
        <v>20190303154019914</v>
      </c>
      <c r="B9260" t="str">
        <f>"1551598819906909"</f>
        <v>1551598819906909</v>
      </c>
      <c r="C9260" t="s">
        <v>40</v>
      </c>
      <c r="D9260">
        <v>4.9050209999999996</v>
      </c>
      <c r="E9260">
        <v>0.45445869999999999</v>
      </c>
      <c r="F9260" t="s">
        <v>63</v>
      </c>
      <c r="G9260">
        <v>-189.20699999999999</v>
      </c>
      <c r="H9260" s="1">
        <v>-6.9650269999999999E-6</v>
      </c>
      <c r="I9260">
        <v>-42.397889999999997</v>
      </c>
      <c r="J9260">
        <v>-190.0214</v>
      </c>
      <c r="K9260">
        <v>1.1294169999999999</v>
      </c>
      <c r="L9260">
        <v>-52.36459</v>
      </c>
      <c r="M9260">
        <v>0.34990399999999999</v>
      </c>
      <c r="N9260">
        <v>-1.652764E-2</v>
      </c>
      <c r="O9260">
        <v>0.93663969999999996</v>
      </c>
      <c r="P9260">
        <v>0.19890289999999999</v>
      </c>
      <c r="Q9260">
        <v>-7.959405E-2</v>
      </c>
      <c r="R9260">
        <v>0.97678169999999997</v>
      </c>
      <c r="S9260">
        <v>0.25418089999999999</v>
      </c>
      <c r="T9260">
        <v>-0.33463949999999998</v>
      </c>
      <c r="U9260">
        <v>2.9954529999999999</v>
      </c>
      <c r="V9260">
        <v>-0.15420729999999999</v>
      </c>
      <c r="W9260">
        <v>-6.6398199999999893E-2</v>
      </c>
      <c r="X9260">
        <v>0.98580500000000004</v>
      </c>
      <c r="Y9260">
        <v>-0.26946500000000001</v>
      </c>
      <c r="Z9260">
        <v>-8.2152820000000001E-2</v>
      </c>
      <c r="AA9260">
        <v>0.95949960000000001</v>
      </c>
      <c r="AB9260">
        <v>22</v>
      </c>
      <c r="AC9260">
        <v>0.81440000000000601</v>
      </c>
      <c r="AD9260">
        <v>-1.1294239650269999</v>
      </c>
      <c r="AE9260">
        <v>9.9666999999999906</v>
      </c>
      <c r="AF9260">
        <v>-2.6906388534847299</v>
      </c>
      <c r="AG9260">
        <v>-1.1294239650269999</v>
      </c>
      <c r="AH9260">
        <v>9.5002957821001903</v>
      </c>
      <c r="AI9260">
        <v>96.525363371517599</v>
      </c>
      <c r="AJ9260">
        <v>105.812987844153</v>
      </c>
      <c r="AK9260">
        <v>9.9383477439687908</v>
      </c>
      <c r="AL9260">
        <v>93.807137353727995</v>
      </c>
      <c r="AM9260">
        <v>98.890602868355899</v>
      </c>
      <c r="AN9260">
        <v>1.00000005518076</v>
      </c>
    </row>
    <row r="9261" spans="1:40" x14ac:dyDescent="0.25">
      <c r="A9261" t="str">
        <f>"20190303154019934"</f>
        <v>20190303154019934</v>
      </c>
      <c r="B9261" t="str">
        <f>"1551598819927405"</f>
        <v>1551598819927405</v>
      </c>
      <c r="C9261" t="s">
        <v>40</v>
      </c>
      <c r="D9261">
        <v>4.8904269999999999</v>
      </c>
      <c r="E9261">
        <v>0.4612174</v>
      </c>
      <c r="F9261" t="s">
        <v>63</v>
      </c>
      <c r="G9261">
        <v>-189.21119999999999</v>
      </c>
      <c r="H9261" s="1">
        <v>-7.0212569999999999E-6</v>
      </c>
      <c r="I9261">
        <v>-42.231319999999997</v>
      </c>
      <c r="J9261">
        <v>-189.97110000000001</v>
      </c>
      <c r="K9261">
        <v>1.129219</v>
      </c>
      <c r="L9261">
        <v>-52.192050000000002</v>
      </c>
      <c r="M9261">
        <v>0.33898400000000001</v>
      </c>
      <c r="N9261">
        <v>-1.6453410000000002E-2</v>
      </c>
      <c r="O9261">
        <v>0.94064829999999999</v>
      </c>
      <c r="P9261">
        <v>0.18968640000000001</v>
      </c>
      <c r="Q9261">
        <v>-8.0042589999999997E-2</v>
      </c>
      <c r="R9261">
        <v>0.97857669999999997</v>
      </c>
      <c r="S9261">
        <v>0.2394714</v>
      </c>
      <c r="T9261">
        <v>-0.33385039999999999</v>
      </c>
      <c r="U9261">
        <v>2.9953310000000002</v>
      </c>
      <c r="V9261">
        <v>-0.15204189999999901</v>
      </c>
      <c r="W9261">
        <v>-6.6800300000000007E-2</v>
      </c>
      <c r="X9261">
        <v>0.98611409999999999</v>
      </c>
      <c r="Y9261">
        <v>-0.2629475</v>
      </c>
      <c r="Z9261">
        <v>-8.2752729999999997E-2</v>
      </c>
      <c r="AA9261">
        <v>0.96125470000000002</v>
      </c>
      <c r="AB9261">
        <v>22</v>
      </c>
      <c r="AC9261">
        <v>0.75990000000001501</v>
      </c>
      <c r="AD9261">
        <v>-1.129226021257</v>
      </c>
      <c r="AE9261">
        <v>9.9607299999999892</v>
      </c>
      <c r="AF9261">
        <v>-2.6285029725353701</v>
      </c>
      <c r="AG9261">
        <v>-1.129226021257</v>
      </c>
      <c r="AH9261">
        <v>9.5069617114697795</v>
      </c>
      <c r="AI9261">
        <v>96.531000604514603</v>
      </c>
      <c r="AJ9261">
        <v>105.455159065678</v>
      </c>
      <c r="AK9261">
        <v>9.9280662904245105</v>
      </c>
      <c r="AL9261">
        <v>93.8302273890653</v>
      </c>
      <c r="AM9261">
        <v>98.765007536973698</v>
      </c>
      <c r="AN9261">
        <v>1.00000001882725</v>
      </c>
    </row>
    <row r="9262" spans="1:40" x14ac:dyDescent="0.25">
      <c r="A9262" t="str">
        <f>"20190303154019955"</f>
        <v>20190303154019955</v>
      </c>
      <c r="B9262" t="str">
        <f>"1551598819946925"</f>
        <v>1551598819946925</v>
      </c>
      <c r="C9262" t="s">
        <v>40</v>
      </c>
      <c r="D9262">
        <v>4.8920500000000002</v>
      </c>
      <c r="E9262">
        <v>0.46262880000000001</v>
      </c>
      <c r="F9262" t="s">
        <v>63</v>
      </c>
      <c r="G9262">
        <v>-189.07329999999999</v>
      </c>
      <c r="H9262" s="1">
        <v>-7.067544E-6</v>
      </c>
      <c r="I9262">
        <v>-42.046689999999998</v>
      </c>
      <c r="J9262">
        <v>-189.91550000000001</v>
      </c>
      <c r="K9262">
        <v>1.129003</v>
      </c>
      <c r="L9262">
        <v>-51.992370000000001</v>
      </c>
      <c r="M9262">
        <v>0.32660280000000003</v>
      </c>
      <c r="N9262">
        <v>-1.6368730000000001E-2</v>
      </c>
      <c r="O9262">
        <v>0.94501999999999997</v>
      </c>
      <c r="P9262">
        <v>0.17954489999999901</v>
      </c>
      <c r="Q9262">
        <v>-8.1856590000000007E-2</v>
      </c>
      <c r="R9262">
        <v>0.9803383</v>
      </c>
      <c r="S9262">
        <v>0.2643585</v>
      </c>
      <c r="T9262">
        <v>-0.33249440000000002</v>
      </c>
      <c r="U9262">
        <v>2.987244</v>
      </c>
      <c r="V9262">
        <v>-0.14925339999999901</v>
      </c>
      <c r="W9262">
        <v>-6.8564470000000002E-2</v>
      </c>
      <c r="X9262">
        <v>0.98641900000000005</v>
      </c>
      <c r="Y9262">
        <v>-0.24209820000000001</v>
      </c>
      <c r="Z9262">
        <v>-8.3703799999999995E-2</v>
      </c>
      <c r="AA9262">
        <v>0.96663449999999995</v>
      </c>
      <c r="AB9262">
        <v>22</v>
      </c>
      <c r="AC9262">
        <v>0.84220000000001904</v>
      </c>
      <c r="AD9262">
        <v>-1.129010067544</v>
      </c>
      <c r="AE9262">
        <v>9.9456799999999905</v>
      </c>
      <c r="AF9262">
        <v>-2.4217346433354998</v>
      </c>
      <c r="AG9262">
        <v>-1.129010067544</v>
      </c>
      <c r="AH9262">
        <v>9.5530010959578799</v>
      </c>
      <c r="AI9262">
        <v>96.535315919525402</v>
      </c>
      <c r="AJ9262">
        <v>104.225101903397</v>
      </c>
      <c r="AK9262">
        <v>9.9196417452809094</v>
      </c>
      <c r="AL9262">
        <v>93.931539074584407</v>
      </c>
      <c r="AM9262">
        <v>98.604063106079806</v>
      </c>
      <c r="AN9262">
        <v>1.00000005375946</v>
      </c>
    </row>
    <row r="9263" spans="1:40" x14ac:dyDescent="0.25">
      <c r="A9263" t="str">
        <f>"20190303154019977"</f>
        <v>20190303154019977</v>
      </c>
      <c r="B9263" t="str">
        <f>"1551598819967422"</f>
        <v>1551598819967422</v>
      </c>
      <c r="C9263" t="s">
        <v>40</v>
      </c>
      <c r="D9263">
        <v>4.9003610000000002</v>
      </c>
      <c r="E9263">
        <v>0.46408820000000001</v>
      </c>
      <c r="F9263" t="s">
        <v>63</v>
      </c>
      <c r="G9263">
        <v>-189.07810000000001</v>
      </c>
      <c r="H9263" s="1">
        <v>-7.1634680000000001E-6</v>
      </c>
      <c r="I9263">
        <v>-41.761760000000002</v>
      </c>
      <c r="J9263">
        <v>-189.86179999999999</v>
      </c>
      <c r="K9263">
        <v>1.1288039999999999</v>
      </c>
      <c r="L9263">
        <v>-51.79092</v>
      </c>
      <c r="M9263">
        <v>0.31435740000000001</v>
      </c>
      <c r="N9263">
        <v>-1.6285689999999999E-2</v>
      </c>
      <c r="O9263">
        <v>0.94916500000000004</v>
      </c>
      <c r="P9263">
        <v>0.17064460000000001</v>
      </c>
      <c r="Q9263">
        <v>-8.3739040000000001E-2</v>
      </c>
      <c r="R9263">
        <v>0.98176790000000003</v>
      </c>
      <c r="S9263">
        <v>0.24453739999999999</v>
      </c>
      <c r="T9263">
        <v>-0.32972800000000002</v>
      </c>
      <c r="U9263">
        <v>2.987854</v>
      </c>
      <c r="V9263">
        <v>-0.1453971</v>
      </c>
      <c r="W9263">
        <v>-7.0381479999999996E-2</v>
      </c>
      <c r="X9263">
        <v>0.98686680000000004</v>
      </c>
      <c r="Y9263">
        <v>-0.23594329999999999</v>
      </c>
      <c r="Z9263">
        <v>-8.3698999999999996E-2</v>
      </c>
      <c r="AA9263">
        <v>0.96815560000000001</v>
      </c>
      <c r="AB9263">
        <v>22</v>
      </c>
      <c r="AC9263">
        <v>0.78369999999998097</v>
      </c>
      <c r="AD9263">
        <v>-1.128811163468</v>
      </c>
      <c r="AE9263">
        <v>10.029159999999999</v>
      </c>
      <c r="AF9263">
        <v>-2.3792418811943801</v>
      </c>
      <c r="AG9263">
        <v>-1.128811163468</v>
      </c>
      <c r="AH9263">
        <v>9.6455352991432193</v>
      </c>
      <c r="AI9263">
        <v>96.482358515156903</v>
      </c>
      <c r="AJ9263">
        <v>103.856406604312</v>
      </c>
      <c r="AK9263">
        <v>9.9985677863890707</v>
      </c>
      <c r="AL9263">
        <v>94.035898554628702</v>
      </c>
      <c r="AM9263">
        <v>98.381208362040795</v>
      </c>
      <c r="AN9263">
        <v>0.99999997517882</v>
      </c>
    </row>
    <row r="9264" spans="1:40" x14ac:dyDescent="0.25">
      <c r="A9264" t="str">
        <f>"20190303154019999"</f>
        <v>20190303154019999</v>
      </c>
      <c r="B9264" t="str">
        <f>"1551598819986941"</f>
        <v>1551598819986941</v>
      </c>
      <c r="C9264" t="s">
        <v>40</v>
      </c>
      <c r="D9264">
        <v>4.8891429999999998</v>
      </c>
      <c r="E9264">
        <v>0.46518609999999999</v>
      </c>
      <c r="F9264" t="s">
        <v>63</v>
      </c>
      <c r="G9264">
        <v>-189.08369999999999</v>
      </c>
      <c r="H9264" s="1">
        <v>-7.2069709999999996E-6</v>
      </c>
      <c r="I9264">
        <v>-41.633670000000002</v>
      </c>
      <c r="J9264">
        <v>-189.81180000000001</v>
      </c>
      <c r="K9264">
        <v>1.1286210000000001</v>
      </c>
      <c r="L9264">
        <v>-51.594090000000001</v>
      </c>
      <c r="M9264">
        <v>0.30262879999999998</v>
      </c>
      <c r="N9264">
        <v>-1.620738E-2</v>
      </c>
      <c r="O9264">
        <v>0.95297069999999995</v>
      </c>
      <c r="P9264">
        <v>0.1626138</v>
      </c>
      <c r="Q9264">
        <v>-8.4415080000000003E-2</v>
      </c>
      <c r="R9264">
        <v>0.98307219999999995</v>
      </c>
      <c r="S9264">
        <v>0.2288666</v>
      </c>
      <c r="T9264">
        <v>-0.33202350000000003</v>
      </c>
      <c r="U9264">
        <v>2.9876100000000001</v>
      </c>
      <c r="V9264">
        <v>-0.14129710000000001</v>
      </c>
      <c r="W9264">
        <v>-7.0989090000000005E-2</v>
      </c>
      <c r="X9264">
        <v>0.98741869999999998</v>
      </c>
      <c r="Y9264">
        <v>-0.22901170000000001</v>
      </c>
      <c r="Z9264">
        <v>-8.5183930000000005E-2</v>
      </c>
      <c r="AA9264">
        <v>0.96968929999999998</v>
      </c>
      <c r="AB9264">
        <v>22</v>
      </c>
      <c r="AC9264">
        <v>0.72810000000001196</v>
      </c>
      <c r="AD9264">
        <v>-1.1286282069710001</v>
      </c>
      <c r="AE9264">
        <v>9.9604199999999992</v>
      </c>
      <c r="AF9264">
        <v>-2.2914916645504499</v>
      </c>
      <c r="AG9264">
        <v>-1.1286282069710001</v>
      </c>
      <c r="AH9264">
        <v>9.5911180192255099</v>
      </c>
      <c r="AI9264">
        <v>96.529265369114597</v>
      </c>
      <c r="AJ9264">
        <v>103.43710650208899</v>
      </c>
      <c r="AK9264">
        <v>9.9254360376251007</v>
      </c>
      <c r="AL9264">
        <v>94.070799220557106</v>
      </c>
      <c r="AM9264">
        <v>98.143595224088997</v>
      </c>
      <c r="AN9264">
        <v>1.00000000523856</v>
      </c>
    </row>
    <row r="9265" spans="1:40" x14ac:dyDescent="0.25">
      <c r="A9265" t="str">
        <f>"20190303154020015"</f>
        <v>20190303154020015</v>
      </c>
      <c r="B9265" t="str">
        <f>"1551598820007438"</f>
        <v>1551598820007438</v>
      </c>
      <c r="C9265" t="s">
        <v>40</v>
      </c>
      <c r="D9265">
        <v>4.8838850000000003</v>
      </c>
      <c r="E9265">
        <v>0.47135719999999998</v>
      </c>
      <c r="F9265" t="s">
        <v>63</v>
      </c>
      <c r="G9265">
        <v>-189.08699999999999</v>
      </c>
      <c r="H9265" s="1">
        <v>-7.2763680000000003E-6</v>
      </c>
      <c r="I9265">
        <v>-41.42745</v>
      </c>
      <c r="J9265">
        <v>-189.7764</v>
      </c>
      <c r="K9265">
        <v>1.128498</v>
      </c>
      <c r="L9265">
        <v>-51.449579999999997</v>
      </c>
      <c r="M9265">
        <v>0.2941549</v>
      </c>
      <c r="N9265">
        <v>-1.6151579999999999E-2</v>
      </c>
      <c r="O9265">
        <v>0.95562119999999995</v>
      </c>
      <c r="P9265">
        <v>0.15546989999999999</v>
      </c>
      <c r="Q9265">
        <v>-8.4613789999999994E-2</v>
      </c>
      <c r="R9265">
        <v>0.98421009999999998</v>
      </c>
      <c r="S9265">
        <v>0.2130127</v>
      </c>
      <c r="T9265">
        <v>-0.33170090000000002</v>
      </c>
      <c r="U9265">
        <v>2.987946</v>
      </c>
      <c r="V9265">
        <v>-0.13971510000000001</v>
      </c>
      <c r="W9265">
        <v>-7.1166720000000003E-2</v>
      </c>
      <c r="X9265">
        <v>0.98763100000000004</v>
      </c>
      <c r="Y9265">
        <v>-0.2254998</v>
      </c>
      <c r="Z9265">
        <v>-8.5609439999999995E-2</v>
      </c>
      <c r="AA9265">
        <v>0.97047450000000002</v>
      </c>
      <c r="AB9265">
        <v>22</v>
      </c>
      <c r="AC9265">
        <v>0.68939999999997703</v>
      </c>
      <c r="AD9265">
        <v>-1.1285052763679999</v>
      </c>
      <c r="AE9265">
        <v>10.022129999999899</v>
      </c>
      <c r="AF9265">
        <v>-2.2610196195679202</v>
      </c>
      <c r="AG9265">
        <v>-1.1285052763679999</v>
      </c>
      <c r="AH9265">
        <v>9.65952993588472</v>
      </c>
      <c r="AI9265">
        <v>96.489698743906899</v>
      </c>
      <c r="AJ9265">
        <v>103.174119954924</v>
      </c>
      <c r="AK9265">
        <v>9.9846007662356993</v>
      </c>
      <c r="AL9265">
        <v>94.081002490778801</v>
      </c>
      <c r="AM9265">
        <v>98.051911740911905</v>
      </c>
      <c r="AN9265">
        <v>1.0000000016822801</v>
      </c>
    </row>
    <row r="9266" spans="1:40" x14ac:dyDescent="0.25">
      <c r="A9266" t="str">
        <f>"20190303154020032"</f>
        <v>20190303154020032</v>
      </c>
      <c r="B9266" t="str">
        <f>"1551598820026957"</f>
        <v>1551598820026957</v>
      </c>
      <c r="C9266" t="s">
        <v>40</v>
      </c>
      <c r="D9266">
        <v>4.8791089999999997</v>
      </c>
      <c r="E9266">
        <v>0.47434569999999998</v>
      </c>
      <c r="F9266" t="s">
        <v>63</v>
      </c>
      <c r="G9266">
        <v>-188.94990000000001</v>
      </c>
      <c r="H9266" s="1">
        <v>-7.3447109999999901E-6</v>
      </c>
      <c r="I9266">
        <v>-41.177230000000002</v>
      </c>
      <c r="J9266">
        <v>-189.7363</v>
      </c>
      <c r="K9266">
        <v>1.128341</v>
      </c>
      <c r="L9266">
        <v>-51.27872</v>
      </c>
      <c r="M9266">
        <v>0.28430299999999997</v>
      </c>
      <c r="N9266">
        <v>-1.6086920000000001E-2</v>
      </c>
      <c r="O9266">
        <v>0.95859950000000005</v>
      </c>
      <c r="P9266">
        <v>0.14872659999999999</v>
      </c>
      <c r="Q9266">
        <v>-8.5318160000000004E-2</v>
      </c>
      <c r="R9266">
        <v>0.98519089999999998</v>
      </c>
      <c r="S9266">
        <v>0.23994450000000001</v>
      </c>
      <c r="T9266">
        <v>-0.32760420000000001</v>
      </c>
      <c r="U9266">
        <v>2.982056</v>
      </c>
      <c r="V9266">
        <v>-0.1363124</v>
      </c>
      <c r="W9266">
        <v>-7.1815519999999994E-2</v>
      </c>
      <c r="X9266">
        <v>0.98805949999999998</v>
      </c>
      <c r="Y9266">
        <v>-0.20660529999999999</v>
      </c>
      <c r="Z9266">
        <v>-8.5322999999999996E-2</v>
      </c>
      <c r="AA9266">
        <v>0.97469700000000004</v>
      </c>
      <c r="AB9266">
        <v>22</v>
      </c>
      <c r="AC9266">
        <v>0.786399999999986</v>
      </c>
      <c r="AD9266">
        <v>-1.1283483447110001</v>
      </c>
      <c r="AE9266">
        <v>10.101489999999901</v>
      </c>
      <c r="AF9266">
        <v>-2.0923658947917798</v>
      </c>
      <c r="AG9266">
        <v>-1.1283483447110001</v>
      </c>
      <c r="AH9266">
        <v>9.7867659804109</v>
      </c>
      <c r="AI9266">
        <v>96.432668717901393</v>
      </c>
      <c r="AJ9266">
        <v>102.067896734266</v>
      </c>
      <c r="AK9266">
        <v>10.071343176559299</v>
      </c>
      <c r="AL9266">
        <v>94.118271125396006</v>
      </c>
      <c r="AM9266">
        <v>97.854925489127695</v>
      </c>
      <c r="AN9266">
        <v>1.00000005742343</v>
      </c>
    </row>
    <row r="9267" spans="1:40" x14ac:dyDescent="0.25">
      <c r="A9267" t="str">
        <f>"20190303154020054"</f>
        <v>20190303154020054</v>
      </c>
      <c r="B9267" t="str">
        <f>"1551598820047454"</f>
        <v>1551598820047454</v>
      </c>
      <c r="C9267" t="s">
        <v>40</v>
      </c>
      <c r="D9267">
        <v>5.0085860000000002</v>
      </c>
      <c r="E9267">
        <v>0.47783029999999999</v>
      </c>
      <c r="F9267" t="s">
        <v>63</v>
      </c>
      <c r="G9267">
        <v>-188.8672</v>
      </c>
      <c r="H9267" s="1">
        <v>-7.5178950000000001E-6</v>
      </c>
      <c r="I9267">
        <v>-40.632080000000002</v>
      </c>
      <c r="J9267">
        <v>-189.69210000000001</v>
      </c>
      <c r="K9267">
        <v>1.1281540000000001</v>
      </c>
      <c r="L9267">
        <v>-51.081760000000003</v>
      </c>
      <c r="M9267">
        <v>0.2731692</v>
      </c>
      <c r="N9267">
        <v>-1.6013699999999999E-2</v>
      </c>
      <c r="O9267">
        <v>0.96183269999999998</v>
      </c>
      <c r="P9267">
        <v>0.14083090000000001</v>
      </c>
      <c r="Q9267">
        <v>-8.6431250000000001E-2</v>
      </c>
      <c r="R9267">
        <v>0.98625370000000001</v>
      </c>
      <c r="S9267">
        <v>0.24333189999999999</v>
      </c>
      <c r="T9267">
        <v>-0.31592999999999999</v>
      </c>
      <c r="U9267">
        <v>2.980988</v>
      </c>
      <c r="V9267">
        <v>-0.1327593</v>
      </c>
      <c r="W9267">
        <v>-7.2872500000000007E-2</v>
      </c>
      <c r="X9267">
        <v>0.98846579999999995</v>
      </c>
      <c r="Y9267">
        <v>-0.19411829999999999</v>
      </c>
      <c r="Z9267">
        <v>-8.2490480000000005E-2</v>
      </c>
      <c r="AA9267">
        <v>0.97750369999999998</v>
      </c>
      <c r="AB9267">
        <v>22</v>
      </c>
      <c r="AC9267">
        <v>0.82490000000001296</v>
      </c>
      <c r="AD9267">
        <v>-1.128161517895</v>
      </c>
      <c r="AE9267">
        <v>10.449679999999899</v>
      </c>
      <c r="AF9267">
        <v>-2.03777476302862</v>
      </c>
      <c r="AG9267">
        <v>-1.128161517895</v>
      </c>
      <c r="AH9267">
        <v>10.1598132116012</v>
      </c>
      <c r="AI9267">
        <v>96.213502508416994</v>
      </c>
      <c r="AJ9267">
        <v>101.341445519449</v>
      </c>
      <c r="AK9267">
        <v>10.4233909496824</v>
      </c>
      <c r="AL9267">
        <v>94.1789908112559</v>
      </c>
      <c r="AM9267">
        <v>97.649529973849894</v>
      </c>
      <c r="AN9267">
        <v>1.00000003538118</v>
      </c>
    </row>
    <row r="9268" spans="1:40" x14ac:dyDescent="0.25">
      <c r="A9268" t="str">
        <f>"20190303154020069"</f>
        <v>20190303154020069</v>
      </c>
      <c r="B9268" t="str">
        <f>"1551598820066974"</f>
        <v>1551598820066974</v>
      </c>
      <c r="C9268" t="s">
        <v>40</v>
      </c>
      <c r="D9268">
        <v>4.968712</v>
      </c>
      <c r="E9268">
        <v>0.48034169999999998</v>
      </c>
      <c r="F9268" t="s">
        <v>63</v>
      </c>
      <c r="G9268">
        <v>-188.8065</v>
      </c>
      <c r="H9268" s="1">
        <v>-7.5875580000000001E-6</v>
      </c>
      <c r="I9268">
        <v>-40.403559999999999</v>
      </c>
      <c r="J9268">
        <v>-189.66149999999999</v>
      </c>
      <c r="K9268">
        <v>1.1280159999999999</v>
      </c>
      <c r="L9268">
        <v>-50.940919999999998</v>
      </c>
      <c r="M9268">
        <v>0.26531909999999997</v>
      </c>
      <c r="N9268">
        <v>-1.5962649999999998E-2</v>
      </c>
      <c r="O9268">
        <v>0.96402849999999995</v>
      </c>
      <c r="P9268">
        <v>0.13645889999999999</v>
      </c>
      <c r="Q9268">
        <v>-8.8133920000000004E-2</v>
      </c>
      <c r="R9268">
        <v>0.98671750000000003</v>
      </c>
      <c r="S9268">
        <v>0.2470551</v>
      </c>
      <c r="T9268">
        <v>-0.31472840000000002</v>
      </c>
      <c r="U9268">
        <v>2.9789430000000001</v>
      </c>
      <c r="V9268">
        <v>-0.12903980000000001</v>
      </c>
      <c r="W9268">
        <v>-7.4514869999999997E-2</v>
      </c>
      <c r="X9268">
        <v>0.98883580000000004</v>
      </c>
      <c r="Y9268">
        <v>-0.18485740000000001</v>
      </c>
      <c r="Z9268">
        <v>-8.2666199999999995E-2</v>
      </c>
      <c r="AA9268">
        <v>0.9792824</v>
      </c>
      <c r="AB9268">
        <v>22</v>
      </c>
      <c r="AC9268">
        <v>0.85499999999998899</v>
      </c>
      <c r="AD9268">
        <v>-1.12802358755799</v>
      </c>
      <c r="AE9268">
        <v>10.53736</v>
      </c>
      <c r="AF9268">
        <v>-1.9495743662685101</v>
      </c>
      <c r="AG9268">
        <v>-1.12802358755799</v>
      </c>
      <c r="AH9268">
        <v>10.2695703305038</v>
      </c>
      <c r="AI9268">
        <v>96.159182114697003</v>
      </c>
      <c r="AJ9268">
        <v>100.74911425426301</v>
      </c>
      <c r="AK9268">
        <v>10.5136745335236</v>
      </c>
      <c r="AL9268">
        <v>94.273348457770595</v>
      </c>
      <c r="AM9268">
        <v>97.434895704067401</v>
      </c>
      <c r="AN9268">
        <v>0.99999998759839803</v>
      </c>
    </row>
    <row r="9269" spans="1:40" x14ac:dyDescent="0.25">
      <c r="A9269" t="str">
        <f>"20190303154020101"</f>
        <v>20190303154020101</v>
      </c>
      <c r="B9269" t="str">
        <f>"1551598820097230"</f>
        <v>1551598820097230</v>
      </c>
      <c r="C9269" t="s">
        <v>40</v>
      </c>
      <c r="D9269">
        <v>4.9075889999999998</v>
      </c>
      <c r="E9269">
        <v>0.48330410000000001</v>
      </c>
      <c r="F9269" t="s">
        <v>42</v>
      </c>
      <c r="G9269">
        <v>-188.75309999999999</v>
      </c>
      <c r="H9269" s="1">
        <v>-3.5731589999999998E-7</v>
      </c>
      <c r="I9269">
        <v>-40.276850000000003</v>
      </c>
      <c r="J9269">
        <v>-189.6036</v>
      </c>
      <c r="K9269">
        <v>1.1277549999999901</v>
      </c>
      <c r="L9269">
        <v>-50.656460000000003</v>
      </c>
      <c r="M9269">
        <v>0.24987229999999999</v>
      </c>
      <c r="N9269">
        <v>-1.5862149999999998E-2</v>
      </c>
      <c r="O9269">
        <v>0.96814880000000003</v>
      </c>
      <c r="P9269">
        <v>0.13024820000000001</v>
      </c>
      <c r="Q9269">
        <v>-8.9604149999999994E-2</v>
      </c>
      <c r="R9269">
        <v>0.98742419999999997</v>
      </c>
      <c r="S9269">
        <v>0.25361630000000002</v>
      </c>
      <c r="T9269">
        <v>-0.31491730000000001</v>
      </c>
      <c r="U9269">
        <v>2.9771730000000001</v>
      </c>
      <c r="V9269">
        <v>-0.1194489</v>
      </c>
      <c r="W9269">
        <v>-7.5829759999999996E-2</v>
      </c>
      <c r="X9269">
        <v>0.9899403</v>
      </c>
      <c r="Y9269">
        <v>-0.16695109999999999</v>
      </c>
      <c r="Z9269">
        <v>-8.3678959999999997E-2</v>
      </c>
      <c r="AA9269">
        <v>0.9824079</v>
      </c>
      <c r="AB9269">
        <v>22</v>
      </c>
      <c r="AC9269">
        <v>0.85050000000001003</v>
      </c>
      <c r="AD9269">
        <v>-1.1277553573158901</v>
      </c>
      <c r="AE9269">
        <v>10.3796099999999</v>
      </c>
      <c r="AF9269">
        <v>-1.74986979203161</v>
      </c>
      <c r="AG9269">
        <v>-1.1277553573158901</v>
      </c>
      <c r="AH9269">
        <v>10.1438650280747</v>
      </c>
      <c r="AI9269">
        <v>96.252271641886693</v>
      </c>
      <c r="AJ9269">
        <v>99.787494784499401</v>
      </c>
      <c r="AK9269">
        <v>10.3552824269943</v>
      </c>
      <c r="AL9269">
        <v>94.348899848338206</v>
      </c>
      <c r="AM9269">
        <v>96.880203124696493</v>
      </c>
      <c r="AN9269">
        <v>0.99999999488847802</v>
      </c>
    </row>
    <row r="9270" spans="1:40" x14ac:dyDescent="0.25">
      <c r="A9270" t="str">
        <f>"20190303154020124"</f>
        <v>20190303154020124</v>
      </c>
      <c r="B9270" t="str">
        <f>"1551598820117726"</f>
        <v>1551598820117726</v>
      </c>
      <c r="C9270" t="s">
        <v>40</v>
      </c>
      <c r="D9270">
        <v>4.9597920000000002</v>
      </c>
      <c r="E9270">
        <v>0.48524240000000002</v>
      </c>
      <c r="F9270" t="s">
        <v>42</v>
      </c>
      <c r="G9270">
        <v>-188.65190000000001</v>
      </c>
      <c r="H9270" s="1">
        <v>-5.8417819999999996E-7</v>
      </c>
      <c r="I9270">
        <v>-39.689349999999997</v>
      </c>
      <c r="J9270">
        <v>-189.56209999999999</v>
      </c>
      <c r="K9270">
        <v>1.127575</v>
      </c>
      <c r="L9270">
        <v>-50.439790000000002</v>
      </c>
      <c r="M9270">
        <v>0.23839740000000001</v>
      </c>
      <c r="N9270">
        <v>-1.5789060000000001E-2</v>
      </c>
      <c r="O9270">
        <v>0.9710394</v>
      </c>
      <c r="P9270">
        <v>0.1242422</v>
      </c>
      <c r="Q9270">
        <v>-8.690233E-2</v>
      </c>
      <c r="R9270">
        <v>0.98843910000000001</v>
      </c>
      <c r="S9270">
        <v>0.2583008</v>
      </c>
      <c r="T9270">
        <v>-0.30606309999999998</v>
      </c>
      <c r="U9270">
        <v>2.9763790000000001</v>
      </c>
      <c r="V9270">
        <v>-0.1138927</v>
      </c>
      <c r="W9270">
        <v>-7.3042239999999994E-2</v>
      </c>
      <c r="X9270">
        <v>0.99080440000000003</v>
      </c>
      <c r="Y9270">
        <v>-0.1537135</v>
      </c>
      <c r="Z9270">
        <v>-8.1547159999999994E-2</v>
      </c>
      <c r="AA9270">
        <v>0.98474470000000003</v>
      </c>
      <c r="AB9270">
        <v>21</v>
      </c>
      <c r="AC9270">
        <v>0.91019999999997403</v>
      </c>
      <c r="AD9270">
        <v>-1.12757558417819</v>
      </c>
      <c r="AE9270">
        <v>10.750439999999999</v>
      </c>
      <c r="AF9270">
        <v>-1.6611020970678501</v>
      </c>
      <c r="AG9270">
        <v>-1.12757558417819</v>
      </c>
      <c r="AH9270">
        <v>10.542266120359001</v>
      </c>
      <c r="AI9270">
        <v>96.031159584245998</v>
      </c>
      <c r="AJ9270">
        <v>98.954245389372602</v>
      </c>
      <c r="AK9270">
        <v>10.7317315391035</v>
      </c>
      <c r="AL9270">
        <v>94.188742174472395</v>
      </c>
      <c r="AM9270">
        <v>96.557353818904801</v>
      </c>
      <c r="AN9270">
        <v>1.0000000374984299</v>
      </c>
    </row>
    <row r="9271" spans="1:40" x14ac:dyDescent="0.25">
      <c r="A9271" t="str">
        <f>"20190303154020147"</f>
        <v>20190303154020147</v>
      </c>
      <c r="B9271" t="str">
        <f>"1551598820137246"</f>
        <v>1551598820137246</v>
      </c>
      <c r="C9271" t="s">
        <v>40</v>
      </c>
      <c r="D9271">
        <v>4.9531269999999896</v>
      </c>
      <c r="E9271">
        <v>0.48682760000000003</v>
      </c>
      <c r="F9271" t="s">
        <v>42</v>
      </c>
      <c r="G9271">
        <v>-188.57239999999999</v>
      </c>
      <c r="H9271" s="1">
        <v>-8.7848799999999897E-7</v>
      </c>
      <c r="I9271">
        <v>-38.909709999999997</v>
      </c>
      <c r="J9271">
        <v>-189.5241</v>
      </c>
      <c r="K9271">
        <v>1.1273959999999901</v>
      </c>
      <c r="L9271">
        <v>-50.230159999999998</v>
      </c>
      <c r="M9271">
        <v>0.22757169999999999</v>
      </c>
      <c r="N9271">
        <v>-1.571991E-2</v>
      </c>
      <c r="O9271">
        <v>0.97363440000000001</v>
      </c>
      <c r="P9271">
        <v>0.1186444</v>
      </c>
      <c r="Q9271">
        <v>-8.4048109999999995E-2</v>
      </c>
      <c r="R9271">
        <v>0.98937330000000001</v>
      </c>
      <c r="S9271">
        <v>0.25555420000000001</v>
      </c>
      <c r="T9271">
        <v>-0.2911685</v>
      </c>
      <c r="U9271">
        <v>2.9773559999999999</v>
      </c>
      <c r="V9271">
        <v>-0.10860789999999999</v>
      </c>
      <c r="W9271">
        <v>-7.0110430000000001E-2</v>
      </c>
      <c r="X9271">
        <v>0.99160919999999997</v>
      </c>
      <c r="Y9271">
        <v>-0.1436211</v>
      </c>
      <c r="Z9271">
        <v>-7.7341129999999994E-2</v>
      </c>
      <c r="AA9271">
        <v>0.98660590000000004</v>
      </c>
      <c r="AB9271">
        <v>21</v>
      </c>
      <c r="AC9271">
        <v>0.95170000000001598</v>
      </c>
      <c r="AD9271">
        <v>-1.12739687848799</v>
      </c>
      <c r="AE9271">
        <v>11.320449999999999</v>
      </c>
      <c r="AF9271">
        <v>-1.63372049677016</v>
      </c>
      <c r="AG9271">
        <v>-1.12739687848799</v>
      </c>
      <c r="AH9271">
        <v>11.1303322812697</v>
      </c>
      <c r="AI9271">
        <v>95.722884962310303</v>
      </c>
      <c r="AJ9271">
        <v>98.350300287664496</v>
      </c>
      <c r="AK9271">
        <v>11.305943705620701</v>
      </c>
      <c r="AL9271">
        <v>94.020330067310198</v>
      </c>
      <c r="AM9271">
        <v>96.250515595655202</v>
      </c>
      <c r="AN9271">
        <v>0.99999997693091702</v>
      </c>
    </row>
    <row r="9272" spans="1:40" x14ac:dyDescent="0.25">
      <c r="A9272" t="str">
        <f>"20190303154020169"</f>
        <v>20190303154020169</v>
      </c>
      <c r="B9272" t="str">
        <f>"1551598820157743"</f>
        <v>1551598820157743</v>
      </c>
      <c r="C9272" t="s">
        <v>40</v>
      </c>
      <c r="D9272">
        <v>4.994084</v>
      </c>
      <c r="E9272">
        <v>0.48775429999999997</v>
      </c>
      <c r="F9272" t="s">
        <v>42</v>
      </c>
      <c r="G9272">
        <v>-188.50040000000001</v>
      </c>
      <c r="H9272" s="1">
        <v>-1.235942E-6</v>
      </c>
      <c r="I9272">
        <v>-38.106270000000002</v>
      </c>
      <c r="J9272">
        <v>-189.48929999999999</v>
      </c>
      <c r="K9272">
        <v>1.1272120000000001</v>
      </c>
      <c r="L9272">
        <v>-50.027859999999997</v>
      </c>
      <c r="M9272">
        <v>0.2173997</v>
      </c>
      <c r="N9272">
        <v>-1.5653440000000001E-2</v>
      </c>
      <c r="O9272">
        <v>0.97595719999999997</v>
      </c>
      <c r="P9272">
        <v>0.1138058</v>
      </c>
      <c r="Q9272">
        <v>-8.27103E-2</v>
      </c>
      <c r="R9272">
        <v>0.99005410000000005</v>
      </c>
      <c r="S9272">
        <v>0.25149539999999998</v>
      </c>
      <c r="T9272">
        <v>-0.276974</v>
      </c>
      <c r="U9272">
        <v>2.9785460000000001</v>
      </c>
      <c r="V9272">
        <v>-0.1031902</v>
      </c>
      <c r="W9272">
        <v>-6.8697549999999996E-2</v>
      </c>
      <c r="X9272">
        <v>0.99228640000000001</v>
      </c>
      <c r="Y9272">
        <v>-0.1346444</v>
      </c>
      <c r="Z9272">
        <v>-7.3251910000000003E-2</v>
      </c>
      <c r="AA9272">
        <v>0.98818269999999997</v>
      </c>
      <c r="AB9272">
        <v>21</v>
      </c>
      <c r="AC9272">
        <v>0.98889999999997202</v>
      </c>
      <c r="AD9272">
        <v>-1.127213235942</v>
      </c>
      <c r="AE9272">
        <v>11.921589999999901</v>
      </c>
      <c r="AF9272">
        <v>-1.6125077308363001</v>
      </c>
      <c r="AG9272">
        <v>-1.127213235942</v>
      </c>
      <c r="AH9272">
        <v>11.7470966572411</v>
      </c>
      <c r="AI9272">
        <v>95.430519816833694</v>
      </c>
      <c r="AJ9272">
        <v>97.816064919691001</v>
      </c>
      <c r="AK9272">
        <v>11.910712436116301</v>
      </c>
      <c r="AL9272">
        <v>93.939182485526601</v>
      </c>
      <c r="AM9272">
        <v>95.936982784439493</v>
      </c>
      <c r="AN9272">
        <v>0.99999993518849895</v>
      </c>
    </row>
    <row r="9273" spans="1:40" x14ac:dyDescent="0.25">
      <c r="A9273" t="str">
        <f>"20190303154020189"</f>
        <v>20190303154020189</v>
      </c>
      <c r="B9273" t="str">
        <f>"1551598820187022"</f>
        <v>1551598820187022</v>
      </c>
      <c r="C9273" t="s">
        <v>40</v>
      </c>
      <c r="D9273">
        <v>5.0206109999999997</v>
      </c>
      <c r="E9273">
        <v>0.48889640000000001</v>
      </c>
      <c r="F9273" t="s">
        <v>42</v>
      </c>
      <c r="G9273">
        <v>-188.48840000000001</v>
      </c>
      <c r="H9273" s="1">
        <v>-1.363402E-6</v>
      </c>
      <c r="I9273">
        <v>-37.814129999999999</v>
      </c>
      <c r="J9273">
        <v>-189.4581</v>
      </c>
      <c r="K9273">
        <v>1.1270230000000001</v>
      </c>
      <c r="L9273">
        <v>-49.835659999999997</v>
      </c>
      <c r="M9273">
        <v>0.208008</v>
      </c>
      <c r="N9273">
        <v>-1.558995E-2</v>
      </c>
      <c r="O9273">
        <v>0.97800279999999995</v>
      </c>
      <c r="P9273">
        <v>0.10956100000000001</v>
      </c>
      <c r="Q9273">
        <v>-8.3620689999999998E-2</v>
      </c>
      <c r="R9273">
        <v>0.99045649999999996</v>
      </c>
      <c r="S9273">
        <v>0.24415590000000001</v>
      </c>
      <c r="T9273">
        <v>-0.27494279999999999</v>
      </c>
      <c r="U9273">
        <v>2.979095</v>
      </c>
      <c r="V9273">
        <v>-9.7912020000000002E-2</v>
      </c>
      <c r="W9273">
        <v>-6.9541080000000005E-2</v>
      </c>
      <c r="X9273">
        <v>0.99276240000000004</v>
      </c>
      <c r="Y9273">
        <v>-0.12755419999999901</v>
      </c>
      <c r="Z9273">
        <v>-7.2973650000000001E-2</v>
      </c>
      <c r="AA9273">
        <v>0.98914340000000001</v>
      </c>
      <c r="AB9273">
        <v>21</v>
      </c>
      <c r="AC9273">
        <v>0.96969999999998802</v>
      </c>
      <c r="AD9273">
        <v>-1.1270243634020001</v>
      </c>
      <c r="AE9273">
        <v>12.021529999999901</v>
      </c>
      <c r="AF9273">
        <v>-1.5389552005148801</v>
      </c>
      <c r="AG9273">
        <v>-1.1270243634020001</v>
      </c>
      <c r="AH9273">
        <v>11.856712970811801</v>
      </c>
      <c r="AI9273">
        <v>95.3849594191812</v>
      </c>
      <c r="AJ9273">
        <v>97.395423840741003</v>
      </c>
      <c r="AK9273">
        <v>12.0091718905639</v>
      </c>
      <c r="AL9273">
        <v>93.987628988073396</v>
      </c>
      <c r="AM9273">
        <v>95.632628228762698</v>
      </c>
      <c r="AN9273">
        <v>0.99999995416090204</v>
      </c>
    </row>
    <row r="9274" spans="1:40" x14ac:dyDescent="0.25">
      <c r="A9274" t="str">
        <f>"20190303154020211"</f>
        <v>20190303154020211</v>
      </c>
      <c r="B9274" t="str">
        <f>"1551598820207518"</f>
        <v>1551598820207518</v>
      </c>
      <c r="C9274" t="s">
        <v>40</v>
      </c>
      <c r="D9274">
        <v>4.9479769999999998</v>
      </c>
      <c r="E9274">
        <v>0.48989129999999997</v>
      </c>
      <c r="F9274" t="s">
        <v>42</v>
      </c>
      <c r="G9274">
        <v>-188.49170000000001</v>
      </c>
      <c r="H9274" s="1">
        <v>-1.3398840000000001E-6</v>
      </c>
      <c r="I9274">
        <v>-37.867570000000001</v>
      </c>
      <c r="J9274">
        <v>-189.42740000000001</v>
      </c>
      <c r="K9274">
        <v>1.1268119999999999</v>
      </c>
      <c r="L9274">
        <v>-49.635559999999998</v>
      </c>
      <c r="M9274">
        <v>0.1984976</v>
      </c>
      <c r="N9274">
        <v>-1.5524309999999999E-2</v>
      </c>
      <c r="O9274">
        <v>0.97997840000000003</v>
      </c>
      <c r="P9274">
        <v>0.10462059999999999</v>
      </c>
      <c r="Q9274">
        <v>-8.5035059999999996E-2</v>
      </c>
      <c r="R9274">
        <v>0.99087009999999998</v>
      </c>
      <c r="S9274">
        <v>0.2405243</v>
      </c>
      <c r="T9274">
        <v>-0.28049279999999999</v>
      </c>
      <c r="U9274">
        <v>2.9786069999999998</v>
      </c>
      <c r="V9274">
        <v>-9.3213589999999999E-2</v>
      </c>
      <c r="W9274">
        <v>-7.0902960000000001E-2</v>
      </c>
      <c r="X9274">
        <v>0.99311830000000001</v>
      </c>
      <c r="Y9274">
        <v>-0.1191184</v>
      </c>
      <c r="Z9274">
        <v>-7.5145290000000003E-2</v>
      </c>
      <c r="AA9274">
        <v>0.99003229999999998</v>
      </c>
      <c r="AB9274">
        <v>21</v>
      </c>
      <c r="AC9274">
        <v>0.93569999999999698</v>
      </c>
      <c r="AD9274">
        <v>-1.1268133398839999</v>
      </c>
      <c r="AE9274">
        <v>11.7679899999999</v>
      </c>
      <c r="AF9274">
        <v>-1.4063102420478599</v>
      </c>
      <c r="AG9274">
        <v>-1.1268133398839999</v>
      </c>
      <c r="AH9274">
        <v>11.613711113496899</v>
      </c>
      <c r="AI9274">
        <v>95.501802357806199</v>
      </c>
      <c r="AJ9274">
        <v>96.904360297508603</v>
      </c>
      <c r="AK9274">
        <v>11.7526891657863</v>
      </c>
      <c r="AL9274">
        <v>94.065851969508401</v>
      </c>
      <c r="AM9274">
        <v>95.362044373285599</v>
      </c>
      <c r="AN9274">
        <v>0.999999980446169</v>
      </c>
    </row>
    <row r="9275" spans="1:40" x14ac:dyDescent="0.25">
      <c r="A9275" t="str">
        <f>"20190303154020232"</f>
        <v>20190303154020232</v>
      </c>
      <c r="B9275" t="str">
        <f>"1551598820227038"</f>
        <v>1551598820227038</v>
      </c>
      <c r="C9275" t="s">
        <v>40</v>
      </c>
      <c r="D9275">
        <v>4.9341679999999997</v>
      </c>
      <c r="E9275">
        <v>0.49095549999999999</v>
      </c>
      <c r="F9275" t="s">
        <v>42</v>
      </c>
      <c r="G9275">
        <v>-188.50069999999999</v>
      </c>
      <c r="H9275" s="1">
        <v>-1.3612880000000001E-6</v>
      </c>
      <c r="I9275">
        <v>-37.813940000000002</v>
      </c>
      <c r="J9275">
        <v>-189.39920000000001</v>
      </c>
      <c r="K9275">
        <v>1.126641</v>
      </c>
      <c r="L9275">
        <v>-49.442599999999999</v>
      </c>
      <c r="M9275">
        <v>0.1895327</v>
      </c>
      <c r="N9275">
        <v>-1.5464489999999999E-2</v>
      </c>
      <c r="O9275">
        <v>0.98175259999999998</v>
      </c>
      <c r="P9275">
        <v>9.9259449999999999E-2</v>
      </c>
      <c r="Q9275">
        <v>-8.5878140000000006E-2</v>
      </c>
      <c r="R9275">
        <v>0.99134889999999998</v>
      </c>
      <c r="S9275">
        <v>0.23347470000000001</v>
      </c>
      <c r="T9275">
        <v>-0.2839179</v>
      </c>
      <c r="U9275">
        <v>2.9786380000000001</v>
      </c>
      <c r="V9275">
        <v>-8.9516380000000007E-2</v>
      </c>
      <c r="W9275">
        <v>-7.1712719999999994E-2</v>
      </c>
      <c r="X9275">
        <v>0.99340030000000001</v>
      </c>
      <c r="Y9275">
        <v>-0.11238380000000001</v>
      </c>
      <c r="Z9275">
        <v>-7.6587240000000001E-2</v>
      </c>
      <c r="AA9275">
        <v>0.99070899999999995</v>
      </c>
      <c r="AB9275">
        <v>21</v>
      </c>
      <c r="AC9275">
        <v>0.89850000000001196</v>
      </c>
      <c r="AD9275">
        <v>-1.1266423612880001</v>
      </c>
      <c r="AE9275">
        <v>11.628659999999901</v>
      </c>
      <c r="AF9275">
        <v>-1.3098426071873499</v>
      </c>
      <c r="AG9275">
        <v>-1.1266423612880001</v>
      </c>
      <c r="AH9275">
        <v>11.4810189933704</v>
      </c>
      <c r="AI9275">
        <v>95.5686462819274</v>
      </c>
      <c r="AJ9275">
        <v>96.508600208384493</v>
      </c>
      <c r="AK9275">
        <v>11.610288876336501</v>
      </c>
      <c r="AL9275">
        <v>94.112366022074895</v>
      </c>
      <c r="AM9275">
        <v>95.149078121578498</v>
      </c>
      <c r="AN9275">
        <v>1.00000002626909</v>
      </c>
    </row>
    <row r="9276" spans="1:40" x14ac:dyDescent="0.25">
      <c r="A9276" t="str">
        <f>"20190303154020256"</f>
        <v>20190303154020256</v>
      </c>
      <c r="B9276" t="str">
        <f>"1551598820247534"</f>
        <v>1551598820247534</v>
      </c>
      <c r="C9276" t="s">
        <v>40</v>
      </c>
      <c r="D9276">
        <v>4.9731820000000004</v>
      </c>
      <c r="E9276">
        <v>0.50551619999999997</v>
      </c>
      <c r="F9276" t="s">
        <v>42</v>
      </c>
      <c r="G9276">
        <v>-188.5026</v>
      </c>
      <c r="H9276" s="1">
        <v>-1.4423449999999999E-6</v>
      </c>
      <c r="I9276">
        <v>-37.62424</v>
      </c>
      <c r="J9276">
        <v>-189.36920000000001</v>
      </c>
      <c r="K9276">
        <v>1.1264799999999999</v>
      </c>
      <c r="L9276">
        <v>-49.223140000000001</v>
      </c>
      <c r="M9276">
        <v>0.17958729999999901</v>
      </c>
      <c r="N9276">
        <v>-1.540187E-2</v>
      </c>
      <c r="O9276">
        <v>0.98362150000000004</v>
      </c>
      <c r="P9276">
        <v>9.3104679999999995E-2</v>
      </c>
      <c r="Q9276">
        <v>-8.6037429999999998E-2</v>
      </c>
      <c r="R9276">
        <v>0.99193200000000004</v>
      </c>
      <c r="S9276">
        <v>0.2260132</v>
      </c>
      <c r="T9276">
        <v>-0.28398220000000002</v>
      </c>
      <c r="U9276">
        <v>2.9789430000000001</v>
      </c>
      <c r="V9276">
        <v>-8.5657189999999994E-2</v>
      </c>
      <c r="W9276">
        <v>-7.184219E-2</v>
      </c>
      <c r="X9276">
        <v>0.99373109999999998</v>
      </c>
      <c r="Y9276">
        <v>-0.10480780000000001</v>
      </c>
      <c r="Z9276">
        <v>-7.6962899999999904E-2</v>
      </c>
      <c r="AA9276">
        <v>0.99151</v>
      </c>
      <c r="AB9276">
        <v>21</v>
      </c>
      <c r="AC9276">
        <v>0.86660000000000503</v>
      </c>
      <c r="AD9276">
        <v>-1.126481442345</v>
      </c>
      <c r="AE9276">
        <v>11.5989</v>
      </c>
      <c r="AF9276">
        <v>-1.21931764198611</v>
      </c>
      <c r="AG9276">
        <v>-1.126481442345</v>
      </c>
      <c r="AH9276">
        <v>11.458450463837799</v>
      </c>
      <c r="AI9276">
        <v>95.583389858675702</v>
      </c>
      <c r="AJ9276">
        <v>96.074105590848404</v>
      </c>
      <c r="AK9276">
        <v>11.5780733709988</v>
      </c>
      <c r="AL9276">
        <v>94.119803493827206</v>
      </c>
      <c r="AM9276">
        <v>94.9265785983645</v>
      </c>
      <c r="AN9276">
        <v>0.99999997678495001</v>
      </c>
    </row>
    <row r="9277" spans="1:40" x14ac:dyDescent="0.25">
      <c r="A9277" t="str">
        <f>"20190303154020278"</f>
        <v>20190303154020278</v>
      </c>
      <c r="B9277" t="str">
        <f>"1551598820267058"</f>
        <v>1551598820267058</v>
      </c>
      <c r="C9277" t="s">
        <v>40</v>
      </c>
      <c r="D9277">
        <v>4.9766959999999996</v>
      </c>
      <c r="E9277">
        <v>0.50410639999999995</v>
      </c>
      <c r="F9277" t="s">
        <v>42</v>
      </c>
      <c r="G9277">
        <v>-187.9205</v>
      </c>
      <c r="H9277" s="1">
        <v>-2.2860549999999998E-6</v>
      </c>
      <c r="I9277">
        <v>-35.898220000000002</v>
      </c>
      <c r="J9277">
        <v>-189.3426</v>
      </c>
      <c r="K9277">
        <v>1.1263240000000001</v>
      </c>
      <c r="L9277">
        <v>-49.016629999999999</v>
      </c>
      <c r="M9277">
        <v>0.17048550000000001</v>
      </c>
      <c r="N9277">
        <v>-1.534656E-2</v>
      </c>
      <c r="O9277">
        <v>0.98524069999999997</v>
      </c>
      <c r="P9277">
        <v>8.8276899999999894E-2</v>
      </c>
      <c r="Q9277">
        <v>-8.6081699999999997E-2</v>
      </c>
      <c r="R9277">
        <v>0.99236950000000002</v>
      </c>
      <c r="S9277">
        <v>0.32315060000000001</v>
      </c>
      <c r="T9277">
        <v>-0.25127339999999998</v>
      </c>
      <c r="U9277">
        <v>2.9722599999999999</v>
      </c>
      <c r="V9277">
        <v>-8.1333900000000001E-2</v>
      </c>
      <c r="W9277">
        <v>-7.1850170000000005E-2</v>
      </c>
      <c r="X9277">
        <v>0.99409369999999997</v>
      </c>
      <c r="Y9277">
        <v>-6.3201190000000004E-2</v>
      </c>
      <c r="Z9277">
        <v>-6.6912730000000004E-2</v>
      </c>
      <c r="AA9277">
        <v>0.9957551</v>
      </c>
      <c r="AB9277">
        <v>21</v>
      </c>
      <c r="AC9277">
        <v>1.4220999999999999</v>
      </c>
      <c r="AD9277">
        <v>-1.1263262860549901</v>
      </c>
      <c r="AE9277">
        <v>13.1184099999999</v>
      </c>
      <c r="AF9277">
        <v>-0.82944289292719497</v>
      </c>
      <c r="AG9277">
        <v>-1.1263262860549901</v>
      </c>
      <c r="AH9277">
        <v>13.0735348912993</v>
      </c>
      <c r="AI9277">
        <v>94.914221632021096</v>
      </c>
      <c r="AJ9277">
        <v>93.630232157918897</v>
      </c>
      <c r="AK9277">
        <v>13.148151998258401</v>
      </c>
      <c r="AL9277">
        <v>94.120261937955704</v>
      </c>
      <c r="AM9277">
        <v>94.677358367874703</v>
      </c>
      <c r="AN9277">
        <v>0.99999996729896301</v>
      </c>
    </row>
    <row r="9278" spans="1:40" x14ac:dyDescent="0.25">
      <c r="A9278" t="str">
        <f>"20190303154020300"</f>
        <v>20190303154020300</v>
      </c>
      <c r="B9278" t="str">
        <f>"1551598820297314"</f>
        <v>1551598820297314</v>
      </c>
      <c r="C9278" t="s">
        <v>40</v>
      </c>
      <c r="D9278">
        <v>5.0426690000000001</v>
      </c>
      <c r="E9278">
        <v>0.50454359999999998</v>
      </c>
      <c r="F9278" t="s">
        <v>42</v>
      </c>
      <c r="G9278">
        <v>-188.13</v>
      </c>
      <c r="H9278" s="1">
        <v>-1.821958E-6</v>
      </c>
      <c r="I9278">
        <v>-36.8934</v>
      </c>
      <c r="J9278">
        <v>-189.3186</v>
      </c>
      <c r="K9278">
        <v>1.126172</v>
      </c>
      <c r="L9278">
        <v>-48.818049999999999</v>
      </c>
      <c r="M9278">
        <v>0.16199479999999999</v>
      </c>
      <c r="N9278">
        <v>-1.529379E-2</v>
      </c>
      <c r="O9278">
        <v>0.98667309999999997</v>
      </c>
      <c r="P9278">
        <v>8.3411830000000006E-2</v>
      </c>
      <c r="Q9278">
        <v>-8.6043889999999998E-2</v>
      </c>
      <c r="R9278">
        <v>0.9927935</v>
      </c>
      <c r="S9278">
        <v>0.29733280000000001</v>
      </c>
      <c r="T9278">
        <v>-0.2761788</v>
      </c>
      <c r="U9278">
        <v>2.9726560000000002</v>
      </c>
      <c r="V9278">
        <v>-7.7677120000000002E-2</v>
      </c>
      <c r="W9278">
        <v>-7.178524E-2</v>
      </c>
      <c r="X9278">
        <v>0.99439080000000002</v>
      </c>
      <c r="Y9278">
        <v>-6.3231549999999997E-2</v>
      </c>
      <c r="Z9278">
        <v>-7.5251440000000003E-2</v>
      </c>
      <c r="AA9278">
        <v>0.99515779999999998</v>
      </c>
      <c r="AB9278">
        <v>21</v>
      </c>
      <c r="AC9278">
        <v>1.1886000000000001</v>
      </c>
      <c r="AD9278">
        <v>-1.126173821958</v>
      </c>
      <c r="AE9278">
        <v>11.92465</v>
      </c>
      <c r="AF9278">
        <v>-0.752415585258848</v>
      </c>
      <c r="AG9278">
        <v>-1.126173821958</v>
      </c>
      <c r="AH9278">
        <v>11.8549818024185</v>
      </c>
      <c r="AI9278">
        <v>95.415743673665702</v>
      </c>
      <c r="AJ9278">
        <v>93.631594866834007</v>
      </c>
      <c r="AK9278">
        <v>11.9320991542091</v>
      </c>
      <c r="AL9278">
        <v>94.116532124182896</v>
      </c>
      <c r="AM9278">
        <v>94.466605766681496</v>
      </c>
      <c r="AN9278">
        <v>0.999999959388995</v>
      </c>
    </row>
    <row r="9279" spans="1:40" x14ac:dyDescent="0.25">
      <c r="A9279" t="str">
        <f>"20190303154020325"</f>
        <v>20190303154020325</v>
      </c>
      <c r="B9279" t="str">
        <f>"1551598820317810"</f>
        <v>1551598820317810</v>
      </c>
      <c r="C9279" t="s">
        <v>40</v>
      </c>
      <c r="D9279">
        <v>5.0196829999999997</v>
      </c>
      <c r="E9279">
        <v>0.50533969999999995</v>
      </c>
      <c r="F9279" t="s">
        <v>42</v>
      </c>
      <c r="G9279">
        <v>-188.14869999999999</v>
      </c>
      <c r="H9279" s="1">
        <v>-1.9146030000000001E-6</v>
      </c>
      <c r="I9279">
        <v>-36.669699999999999</v>
      </c>
      <c r="J9279">
        <v>-189.2937</v>
      </c>
      <c r="K9279">
        <v>1.1259760000000001</v>
      </c>
      <c r="L9279">
        <v>-48.598329999999997</v>
      </c>
      <c r="M9279">
        <v>0.1529134</v>
      </c>
      <c r="N9279">
        <v>-1.523388E-2</v>
      </c>
      <c r="O9279">
        <v>0.98812219999999995</v>
      </c>
      <c r="P9279">
        <v>7.6831389999999999E-2</v>
      </c>
      <c r="Q9279">
        <v>-8.4085450000000006E-2</v>
      </c>
      <c r="R9279">
        <v>0.99349209999999999</v>
      </c>
      <c r="S9279">
        <v>0.28637699999999999</v>
      </c>
      <c r="T9279">
        <v>-0.27567779999999997</v>
      </c>
      <c r="U9279">
        <v>2.9738159999999998</v>
      </c>
      <c r="V9279">
        <v>-7.5205659999999994E-2</v>
      </c>
      <c r="W9279">
        <v>-6.9814429999999997E-2</v>
      </c>
      <c r="X9279">
        <v>0.99472110000000002</v>
      </c>
      <c r="Y9279">
        <v>-5.7726409999999999E-2</v>
      </c>
      <c r="Z9279">
        <v>-7.5332109999999994E-2</v>
      </c>
      <c r="AA9279">
        <v>0.99548619999999999</v>
      </c>
      <c r="AB9279">
        <v>21</v>
      </c>
      <c r="AC9279">
        <v>1.14500000000001</v>
      </c>
      <c r="AD9279">
        <v>-1.125977914603</v>
      </c>
      <c r="AE9279">
        <v>11.928629999999901</v>
      </c>
      <c r="AF9279">
        <v>-0.68666547019499202</v>
      </c>
      <c r="AG9279">
        <v>-1.125977914603</v>
      </c>
      <c r="AH9279">
        <v>11.8587210688311</v>
      </c>
      <c r="AI9279">
        <v>95.414920606849407</v>
      </c>
      <c r="AJ9279">
        <v>93.313945146955604</v>
      </c>
      <c r="AK9279">
        <v>11.931831423568999</v>
      </c>
      <c r="AL9279">
        <v>94.003328738809998</v>
      </c>
      <c r="AM9279">
        <v>94.323608719996002</v>
      </c>
      <c r="AN9279">
        <v>1.00000000635873</v>
      </c>
    </row>
    <row r="9280" spans="1:40" x14ac:dyDescent="0.25">
      <c r="A9280" t="str">
        <f>"20190303154020348"</f>
        <v>20190303154020348</v>
      </c>
      <c r="B9280" t="str">
        <f>"1551598820337330"</f>
        <v>1551598820337330</v>
      </c>
      <c r="C9280" t="s">
        <v>40</v>
      </c>
      <c r="D9280">
        <v>5.009614</v>
      </c>
      <c r="E9280">
        <v>0.50623240000000003</v>
      </c>
      <c r="F9280" t="s">
        <v>42</v>
      </c>
      <c r="G9280">
        <v>-188.11189999999999</v>
      </c>
      <c r="H9280" s="1">
        <v>-2.3327920000000001E-6</v>
      </c>
      <c r="I9280">
        <v>-35.710129999999999</v>
      </c>
      <c r="J9280">
        <v>-189.27119999999999</v>
      </c>
      <c r="K9280">
        <v>1.1257760000000001</v>
      </c>
      <c r="L9280">
        <v>-48.38635</v>
      </c>
      <c r="M9280">
        <v>0.14448510000000001</v>
      </c>
      <c r="N9280">
        <v>-1.5174790000000001E-2</v>
      </c>
      <c r="O9280">
        <v>0.98939060000000001</v>
      </c>
      <c r="P9280">
        <v>7.0337650000000002E-2</v>
      </c>
      <c r="Q9280">
        <v>-8.1618259999999998E-2</v>
      </c>
      <c r="R9280">
        <v>0.99417860000000002</v>
      </c>
      <c r="S9280">
        <v>0.2729492</v>
      </c>
      <c r="T9280">
        <v>-0.26004490000000002</v>
      </c>
      <c r="U9280">
        <v>2.9765320000000002</v>
      </c>
      <c r="V9280">
        <v>-7.3323600000000003E-2</v>
      </c>
      <c r="W9280">
        <v>-6.7338519999999999E-2</v>
      </c>
      <c r="X9280">
        <v>0.99503229999999998</v>
      </c>
      <c r="Y9280">
        <v>-5.3726139999999999E-2</v>
      </c>
      <c r="Z9280">
        <v>-7.0400889999999994E-2</v>
      </c>
      <c r="AA9280">
        <v>0.99607089999999998</v>
      </c>
      <c r="AB9280">
        <v>21</v>
      </c>
      <c r="AC9280">
        <v>1.1593</v>
      </c>
      <c r="AD9280">
        <v>-1.1257783327919999</v>
      </c>
      <c r="AE9280">
        <v>12.676219999999899</v>
      </c>
      <c r="AF9280">
        <v>-0.67928993011014804</v>
      </c>
      <c r="AG9280">
        <v>-1.1257783327919999</v>
      </c>
      <c r="AH9280">
        <v>12.6120487614926</v>
      </c>
      <c r="AI9280">
        <v>95.093480963306604</v>
      </c>
      <c r="AJ9280">
        <v>93.082994432278198</v>
      </c>
      <c r="AK9280">
        <v>12.680401635042999</v>
      </c>
      <c r="AL9280">
        <v>93.861134587459205</v>
      </c>
      <c r="AM9280">
        <v>94.214489533654202</v>
      </c>
      <c r="AN9280">
        <v>1.0000000523180099</v>
      </c>
    </row>
    <row r="9281" spans="1:40" x14ac:dyDescent="0.25">
      <c r="A9281" t="str">
        <f>"20190303154020369"</f>
        <v>20190303154020369</v>
      </c>
      <c r="B9281" t="str">
        <f>"1551598820357356"</f>
        <v>1551598820357356</v>
      </c>
      <c r="C9281" t="s">
        <v>40</v>
      </c>
      <c r="D9281">
        <v>5.0679809999999996</v>
      </c>
      <c r="E9281">
        <v>0.50662689999999999</v>
      </c>
      <c r="F9281" t="s">
        <v>42</v>
      </c>
      <c r="G9281">
        <v>-188.09379999999999</v>
      </c>
      <c r="H9281" s="1">
        <v>-2.6744659999999999E-6</v>
      </c>
      <c r="I9281">
        <v>-34.921169999999996</v>
      </c>
      <c r="J9281">
        <v>-189.25149999999999</v>
      </c>
      <c r="K9281">
        <v>1.125548</v>
      </c>
      <c r="L9281">
        <v>-48.188870000000001</v>
      </c>
      <c r="M9281">
        <v>0.13696559999999999</v>
      </c>
      <c r="N9281">
        <v>-1.511916E-2</v>
      </c>
      <c r="O9281">
        <v>0.99046040000000002</v>
      </c>
      <c r="P9281">
        <v>6.4672380000000002E-2</v>
      </c>
      <c r="Q9281">
        <v>-7.9670790000000005E-2</v>
      </c>
      <c r="R9281">
        <v>0.99472110000000002</v>
      </c>
      <c r="S9281">
        <v>0.26046750000000002</v>
      </c>
      <c r="T9281">
        <v>-0.24903890000000001</v>
      </c>
      <c r="U9281">
        <v>2.9786990000000002</v>
      </c>
      <c r="V9281">
        <v>-7.1517029999999995E-2</v>
      </c>
      <c r="W9281">
        <v>-6.5379939999999998E-2</v>
      </c>
      <c r="X9281">
        <v>0.99529429999999997</v>
      </c>
      <c r="Y9281">
        <v>-5.0330310000000003E-2</v>
      </c>
      <c r="Z9281">
        <v>-6.6948099999999997E-2</v>
      </c>
      <c r="AA9281">
        <v>0.99648619999999999</v>
      </c>
      <c r="AB9281">
        <v>21</v>
      </c>
      <c r="AC9281">
        <v>1.1577</v>
      </c>
      <c r="AD9281">
        <v>-1.125550674466</v>
      </c>
      <c r="AE9281">
        <v>13.2676999999999</v>
      </c>
      <c r="AF9281">
        <v>-0.66588314157285999</v>
      </c>
      <c r="AG9281">
        <v>-1.125550674466</v>
      </c>
      <c r="AH9281">
        <v>13.206888079587101</v>
      </c>
      <c r="AI9281">
        <v>94.865084194327594</v>
      </c>
      <c r="AJ9281">
        <v>92.8863736476752</v>
      </c>
      <c r="AK9281">
        <v>13.2714790971377</v>
      </c>
      <c r="AL9281">
        <v>93.748668569455205</v>
      </c>
      <c r="AM9281">
        <v>94.109933629174805</v>
      </c>
      <c r="AN9281">
        <v>0.99999998287345704</v>
      </c>
    </row>
    <row r="9282" spans="1:40" x14ac:dyDescent="0.25">
      <c r="A9282" t="str">
        <f>"20190303154020391"</f>
        <v>20190303154020391</v>
      </c>
      <c r="B9282" t="str">
        <f>"1551598820387612"</f>
        <v>1551598820387612</v>
      </c>
      <c r="C9282" t="s">
        <v>40</v>
      </c>
      <c r="D9282">
        <v>5.0781400000000003</v>
      </c>
      <c r="E9282">
        <v>0.50793849999999996</v>
      </c>
      <c r="F9282" t="s">
        <v>42</v>
      </c>
      <c r="G9282">
        <v>-188.1103</v>
      </c>
      <c r="H9282" s="1">
        <v>-2.8938370000000001E-6</v>
      </c>
      <c r="I9282">
        <v>-34.402979999999999</v>
      </c>
      <c r="J9282">
        <v>-189.23230000000001</v>
      </c>
      <c r="K9282">
        <v>1.125273</v>
      </c>
      <c r="L9282">
        <v>-47.98563</v>
      </c>
      <c r="M9282">
        <v>0.12963459999999999</v>
      </c>
      <c r="N9282">
        <v>-1.5061039999999999E-2</v>
      </c>
      <c r="O9282">
        <v>0.99144739999999998</v>
      </c>
      <c r="P9282">
        <v>5.9464589999999998E-2</v>
      </c>
      <c r="Q9282">
        <v>-7.9378599999999994E-2</v>
      </c>
      <c r="R9282">
        <v>0.99506930000000005</v>
      </c>
      <c r="S9282">
        <v>0.24671940000000001</v>
      </c>
      <c r="T9282">
        <v>-0.24333560000000001</v>
      </c>
      <c r="U9282">
        <v>2.9804080000000002</v>
      </c>
      <c r="V9282">
        <v>-6.9415820000000003E-2</v>
      </c>
      <c r="W9282">
        <v>-6.5073950000000005E-2</v>
      </c>
      <c r="X9282">
        <v>0.99546310000000005</v>
      </c>
      <c r="Y9282">
        <v>-4.7547899999999997E-2</v>
      </c>
      <c r="Z9282">
        <v>-6.5225439999999996E-2</v>
      </c>
      <c r="AA9282">
        <v>0.99673710000000004</v>
      </c>
      <c r="AB9282">
        <v>21</v>
      </c>
      <c r="AC9282">
        <v>1.1220000000000101</v>
      </c>
      <c r="AD9282">
        <v>-1.125275893837</v>
      </c>
      <c r="AE9282">
        <v>13.582649999999999</v>
      </c>
      <c r="AF9282">
        <v>-0.64406041228267896</v>
      </c>
      <c r="AG9282">
        <v>-1.125275893837</v>
      </c>
      <c r="AH9282">
        <v>13.5213025361559</v>
      </c>
      <c r="AI9282">
        <v>94.75196906088</v>
      </c>
      <c r="AJ9282">
        <v>92.7271094791314</v>
      </c>
      <c r="AK9282">
        <v>13.5833236700808</v>
      </c>
      <c r="AL9282">
        <v>93.731099232339204</v>
      </c>
      <c r="AM9282">
        <v>93.988902978235103</v>
      </c>
      <c r="AN9282">
        <v>0.99999997924824202</v>
      </c>
    </row>
    <row r="9283" spans="1:40" x14ac:dyDescent="0.25">
      <c r="A9283" t="str">
        <f>"20190303154020412"</f>
        <v>20190303154020412</v>
      </c>
      <c r="B9283" t="str">
        <f>"1551598820407133"</f>
        <v>1551598820407133</v>
      </c>
      <c r="C9283" t="s">
        <v>40</v>
      </c>
      <c r="D9283">
        <v>5.0754780000000004</v>
      </c>
      <c r="E9283">
        <v>0.50907860000000005</v>
      </c>
      <c r="F9283" t="s">
        <v>42</v>
      </c>
      <c r="G9283">
        <v>-188.14359999999999</v>
      </c>
      <c r="H9283" s="1">
        <v>-2.8207559999999998E-6</v>
      </c>
      <c r="I9283">
        <v>-34.559539999999998</v>
      </c>
      <c r="J9283">
        <v>-189.21420000000001</v>
      </c>
      <c r="K9283">
        <v>1.1249670000000001</v>
      </c>
      <c r="L9283">
        <v>-47.782229999999998</v>
      </c>
      <c r="M9283">
        <v>0.1227316</v>
      </c>
      <c r="N9283">
        <v>-1.5002329999999999E-2</v>
      </c>
      <c r="O9283">
        <v>0.9923265</v>
      </c>
      <c r="P9283">
        <v>5.4557660000000001E-2</v>
      </c>
      <c r="Q9283">
        <v>-7.9404760000000005E-2</v>
      </c>
      <c r="R9283">
        <v>0.99534829999999996</v>
      </c>
      <c r="S9283">
        <v>0.24168400000000001</v>
      </c>
      <c r="T9283">
        <v>-0.24980350000000001</v>
      </c>
      <c r="U9283">
        <v>2.980499</v>
      </c>
      <c r="V9283">
        <v>-6.7442390000000005E-2</v>
      </c>
      <c r="W9283">
        <v>-6.5089190000000005E-2</v>
      </c>
      <c r="X9283">
        <v>0.99559779999999998</v>
      </c>
      <c r="Y9283">
        <v>-4.2286419999999998E-2</v>
      </c>
      <c r="Z9283">
        <v>-6.7518919999999996E-2</v>
      </c>
      <c r="AA9283">
        <v>0.99682150000000003</v>
      </c>
      <c r="AB9283">
        <v>21</v>
      </c>
      <c r="AC9283">
        <v>1.07060000000001</v>
      </c>
      <c r="AD9283">
        <v>-1.1249698207559999</v>
      </c>
      <c r="AE9283">
        <v>13.222689999999901</v>
      </c>
      <c r="AF9283">
        <v>-0.55651817055600705</v>
      </c>
      <c r="AG9283">
        <v>-1.1249698207559999</v>
      </c>
      <c r="AH9283">
        <v>13.1594806842837</v>
      </c>
      <c r="AI9283">
        <v>94.881845113195993</v>
      </c>
      <c r="AJ9283">
        <v>92.421611795782994</v>
      </c>
      <c r="AK9283">
        <v>13.2191982151645</v>
      </c>
      <c r="AL9283">
        <v>93.731974089260106</v>
      </c>
      <c r="AM9283">
        <v>93.875329893907093</v>
      </c>
      <c r="AN9283">
        <v>1.0000000289943001</v>
      </c>
    </row>
    <row r="9284" spans="1:40" x14ac:dyDescent="0.25">
      <c r="A9284" t="str">
        <f>"20190303154020434"</f>
        <v>20190303154020434</v>
      </c>
      <c r="B9284" t="str">
        <f>"1551598820427628"</f>
        <v>1551598820427628</v>
      </c>
      <c r="C9284" t="s">
        <v>40</v>
      </c>
      <c r="D9284">
        <v>5.0589709999999997</v>
      </c>
      <c r="E9284">
        <v>0.50981540000000003</v>
      </c>
      <c r="F9284" t="s">
        <v>42</v>
      </c>
      <c r="G9284">
        <v>-188.1387</v>
      </c>
      <c r="H9284" s="1">
        <v>-2.9826980000000002E-6</v>
      </c>
      <c r="I9284">
        <v>-34.184100000000001</v>
      </c>
      <c r="J9284">
        <v>-189.19749999999999</v>
      </c>
      <c r="K9284">
        <v>1.1247069999999999</v>
      </c>
      <c r="L9284">
        <v>-47.585239999999999</v>
      </c>
      <c r="M9284">
        <v>0.1163975</v>
      </c>
      <c r="N9284">
        <v>-1.4947230000000001E-2</v>
      </c>
      <c r="O9284">
        <v>0.99309020000000003</v>
      </c>
      <c r="P9284">
        <v>5.0466610000000002E-2</v>
      </c>
      <c r="Q9284">
        <v>-7.8153769999999997E-2</v>
      </c>
      <c r="R9284">
        <v>0.99566319999999997</v>
      </c>
      <c r="S9284">
        <v>0.2358093</v>
      </c>
      <c r="T9284">
        <v>-0.2466518</v>
      </c>
      <c r="U9284">
        <v>2.9814150000000001</v>
      </c>
      <c r="V9284">
        <v>-6.5245700000000004E-2</v>
      </c>
      <c r="W9284">
        <v>-6.3828720000000005E-2</v>
      </c>
      <c r="X9284">
        <v>0.99582570000000004</v>
      </c>
      <c r="Y9284">
        <v>-3.7886000000000003E-2</v>
      </c>
      <c r="Z9284">
        <v>-6.6616910000000001E-2</v>
      </c>
      <c r="AA9284">
        <v>0.99705909999999998</v>
      </c>
      <c r="AB9284">
        <v>21</v>
      </c>
      <c r="AC9284">
        <v>1.05879999999999</v>
      </c>
      <c r="AD9284">
        <v>-1.1247099826979901</v>
      </c>
      <c r="AE9284">
        <v>13.4011399999999</v>
      </c>
      <c r="AF9284">
        <v>-0.504897843405265</v>
      </c>
      <c r="AG9284">
        <v>-1.1247099826979901</v>
      </c>
      <c r="AH9284">
        <v>13.339904882614199</v>
      </c>
      <c r="AI9284">
        <v>94.815874572957298</v>
      </c>
      <c r="AJ9284">
        <v>92.1675352291427</v>
      </c>
      <c r="AK9284">
        <v>13.3967517202734</v>
      </c>
      <c r="AL9284">
        <v>93.659604202939803</v>
      </c>
      <c r="AM9284">
        <v>93.748615603863499</v>
      </c>
      <c r="AN9284">
        <v>0.99999996582290795</v>
      </c>
    </row>
    <row r="9285" spans="1:40" x14ac:dyDescent="0.25">
      <c r="A9285" t="str">
        <f>"20190303154020457"</f>
        <v>20190303154020457</v>
      </c>
      <c r="B9285" t="str">
        <f>"1551598820447148"</f>
        <v>1551598820447148</v>
      </c>
      <c r="C9285" t="s">
        <v>40</v>
      </c>
      <c r="D9285">
        <v>5.0773849999999996</v>
      </c>
      <c r="E9285">
        <v>0.50959650000000001</v>
      </c>
      <c r="F9285" t="s">
        <v>42</v>
      </c>
      <c r="G9285">
        <v>-188.15960000000001</v>
      </c>
      <c r="H9285" s="1">
        <v>-3.0136319999999999E-6</v>
      </c>
      <c r="I9285">
        <v>-34.103340000000003</v>
      </c>
      <c r="J9285">
        <v>-189.18090000000001</v>
      </c>
      <c r="K9285">
        <v>1.1244559999999999</v>
      </c>
      <c r="L9285">
        <v>-47.377780000000001</v>
      </c>
      <c r="M9285">
        <v>0.1101357</v>
      </c>
      <c r="N9285">
        <v>-1.4891659999999999E-2</v>
      </c>
      <c r="O9285">
        <v>0.99380500000000005</v>
      </c>
      <c r="P9285">
        <v>4.614443E-2</v>
      </c>
      <c r="Q9285">
        <v>-7.6731450000000007E-2</v>
      </c>
      <c r="R9285">
        <v>0.99598339999999996</v>
      </c>
      <c r="S9285">
        <v>0.22956850000000001</v>
      </c>
      <c r="T9285">
        <v>-0.24876139999999999</v>
      </c>
      <c r="U9285">
        <v>2.981903</v>
      </c>
      <c r="V9285">
        <v>-6.3354779999999999E-2</v>
      </c>
      <c r="W9285">
        <v>-6.2403960000000001E-2</v>
      </c>
      <c r="X9285">
        <v>0.99603810000000004</v>
      </c>
      <c r="Y9285">
        <v>-3.3681219999999998E-2</v>
      </c>
      <c r="Z9285">
        <v>-6.7447530000000006E-2</v>
      </c>
      <c r="AA9285">
        <v>0.99715419999999999</v>
      </c>
      <c r="AB9285">
        <v>21</v>
      </c>
      <c r="AC9285">
        <v>1.0212999999999901</v>
      </c>
      <c r="AD9285">
        <v>-1.1244590136319901</v>
      </c>
      <c r="AE9285">
        <v>13.274439999999901</v>
      </c>
      <c r="AF9285">
        <v>-0.443899787105687</v>
      </c>
      <c r="AG9285">
        <v>-1.1244590136319901</v>
      </c>
      <c r="AH9285">
        <v>13.2119170084364</v>
      </c>
      <c r="AI9285">
        <v>94.861958715639204</v>
      </c>
      <c r="AJ9285">
        <v>91.924324873627299</v>
      </c>
      <c r="AK9285">
        <v>13.2671099389484</v>
      </c>
      <c r="AL9285">
        <v>93.577808286959396</v>
      </c>
      <c r="AM9285">
        <v>93.639497285742195</v>
      </c>
      <c r="AN9285">
        <v>0.99999998951207003</v>
      </c>
    </row>
    <row r="9286" spans="1:40" x14ac:dyDescent="0.25">
      <c r="A9286" t="str">
        <f>"20190303154020479"</f>
        <v>20190303154020479</v>
      </c>
      <c r="B9286" t="str">
        <f>"1551598820476934"</f>
        <v>1551598820476934</v>
      </c>
      <c r="C9286" t="s">
        <v>40</v>
      </c>
      <c r="D9286">
        <v>4.9915469999999997</v>
      </c>
      <c r="E9286">
        <v>0.4863845</v>
      </c>
      <c r="F9286" t="s">
        <v>42</v>
      </c>
      <c r="G9286">
        <v>-188.19479999999999</v>
      </c>
      <c r="H9286" s="1">
        <v>-3.1836669999999998E-6</v>
      </c>
      <c r="I9286">
        <v>-33.692430000000002</v>
      </c>
      <c r="J9286">
        <v>-189.1652</v>
      </c>
      <c r="K9286">
        <v>1.1242129999999999</v>
      </c>
      <c r="L9286">
        <v>-47.172580000000004</v>
      </c>
      <c r="M9286">
        <v>0.1043954</v>
      </c>
      <c r="N9286">
        <v>-1.4838199999999999E-2</v>
      </c>
      <c r="O9286">
        <v>0.99442520000000001</v>
      </c>
      <c r="P9286">
        <v>4.3746750000000001E-2</v>
      </c>
      <c r="Q9286">
        <v>-7.7745110000000006E-2</v>
      </c>
      <c r="R9286">
        <v>0.99601300000000004</v>
      </c>
      <c r="S9286">
        <v>0.21495059999999999</v>
      </c>
      <c r="T9286">
        <v>-0.24511910000000001</v>
      </c>
      <c r="U9286">
        <v>2.9832459999999998</v>
      </c>
      <c r="V9286">
        <v>-6.0025990000000001E-2</v>
      </c>
      <c r="W9286">
        <v>-6.3406420000000005E-2</v>
      </c>
      <c r="X9286">
        <v>0.99618099999999998</v>
      </c>
      <c r="Y9286">
        <v>-3.2799139999999997E-2</v>
      </c>
      <c r="Z9286">
        <v>-6.6351579999999993E-2</v>
      </c>
      <c r="AA9286">
        <v>0.99725710000000001</v>
      </c>
      <c r="AB9286">
        <v>21</v>
      </c>
      <c r="AC9286">
        <v>0.97040000000001203</v>
      </c>
      <c r="AD9286">
        <v>-1.1242161836669999</v>
      </c>
      <c r="AE9286">
        <v>13.480149999999901</v>
      </c>
      <c r="AF9286">
        <v>-0.43928455798454003</v>
      </c>
      <c r="AG9286">
        <v>-1.1242161836669999</v>
      </c>
      <c r="AH9286">
        <v>13.4149700170455</v>
      </c>
      <c r="AI9286">
        <v>94.787816799582004</v>
      </c>
      <c r="AJ9286">
        <v>91.875528660545598</v>
      </c>
      <c r="AK9286">
        <v>13.4691593467718</v>
      </c>
      <c r="AL9286">
        <v>93.635358815138005</v>
      </c>
      <c r="AM9286">
        <v>93.448251413570503</v>
      </c>
      <c r="AN9286">
        <v>1.00000003916684</v>
      </c>
    </row>
    <row r="9287" spans="1:40" x14ac:dyDescent="0.25">
      <c r="A9287" t="str">
        <f>"20190303154020502"</f>
        <v>20190303154020502</v>
      </c>
      <c r="B9287" t="str">
        <f>"1551598820497430"</f>
        <v>1551598820497430</v>
      </c>
      <c r="C9287" t="s">
        <v>40</v>
      </c>
      <c r="D9287">
        <v>5.0215529999999999</v>
      </c>
      <c r="E9287">
        <v>0.4859482</v>
      </c>
      <c r="F9287" t="s">
        <v>42</v>
      </c>
      <c r="G9287">
        <v>-189.0504</v>
      </c>
      <c r="H9287" s="1">
        <v>-3.713395E-6</v>
      </c>
      <c r="I9287">
        <v>-32.103839999999998</v>
      </c>
      <c r="J9287">
        <v>-189.15020000000001</v>
      </c>
      <c r="K9287">
        <v>1.1239429999999999</v>
      </c>
      <c r="L9287">
        <v>-46.96857</v>
      </c>
      <c r="M9287">
        <v>9.9178840000000004E-2</v>
      </c>
      <c r="N9287">
        <v>-1.47852E-2</v>
      </c>
      <c r="O9287">
        <v>0.99495979999999995</v>
      </c>
      <c r="P9287">
        <v>4.2644080000000001E-2</v>
      </c>
      <c r="Q9287">
        <v>-7.8019000000000005E-2</v>
      </c>
      <c r="R9287">
        <v>0.99603940000000002</v>
      </c>
      <c r="S9287">
        <v>2.2796629999999998E-2</v>
      </c>
      <c r="T9287">
        <v>-0.22333729999999999</v>
      </c>
      <c r="U9287">
        <v>2.9935610000000001</v>
      </c>
      <c r="V9287">
        <v>-5.5946099999999999E-2</v>
      </c>
      <c r="W9287">
        <v>-6.3662800000000005E-2</v>
      </c>
      <c r="X9287">
        <v>0.99640209999999996</v>
      </c>
      <c r="Y9287">
        <v>-9.1561500000000004E-2</v>
      </c>
      <c r="Z9287">
        <v>-5.8945350000000001E-2</v>
      </c>
      <c r="AA9287">
        <v>0.99405330000000003</v>
      </c>
      <c r="AB9287">
        <v>21</v>
      </c>
      <c r="AC9287">
        <v>9.9800000000016098E-2</v>
      </c>
      <c r="AD9287">
        <v>-1.1239467133949901</v>
      </c>
      <c r="AE9287">
        <v>14.8647299999999</v>
      </c>
      <c r="AF9287">
        <v>-1.36730328140288</v>
      </c>
      <c r="AG9287">
        <v>-1.1239467133949901</v>
      </c>
      <c r="AH9287">
        <v>14.717188214353</v>
      </c>
      <c r="AI9287">
        <v>94.348528021752102</v>
      </c>
      <c r="AJ9287">
        <v>95.307839399167605</v>
      </c>
      <c r="AK9287">
        <v>14.823238627728299</v>
      </c>
      <c r="AL9287">
        <v>93.650078072610199</v>
      </c>
      <c r="AM9287">
        <v>93.213675712710597</v>
      </c>
      <c r="AN9287">
        <v>1.0000000315467199</v>
      </c>
    </row>
    <row r="9288" spans="1:40" x14ac:dyDescent="0.25">
      <c r="A9288" t="str">
        <f>"20190303154020525"</f>
        <v>20190303154020525</v>
      </c>
      <c r="B9288" t="str">
        <f>"1551598820516951"</f>
        <v>1551598820516951</v>
      </c>
      <c r="C9288" t="s">
        <v>40</v>
      </c>
      <c r="D9288">
        <v>5.0091049999999999</v>
      </c>
      <c r="E9288">
        <v>0.48562650000000002</v>
      </c>
      <c r="F9288" t="s">
        <v>42</v>
      </c>
      <c r="G9288">
        <v>-189.0711</v>
      </c>
      <c r="H9288" s="1">
        <v>-3.7092820000000001E-6</v>
      </c>
      <c r="I9288">
        <v>-32.104889999999997</v>
      </c>
      <c r="J9288">
        <v>-189.13509999999999</v>
      </c>
      <c r="K9288">
        <v>1.1236200000000001</v>
      </c>
      <c r="L9288">
        <v>-46.753660000000004</v>
      </c>
      <c r="M9288">
        <v>9.4231839999999997E-2</v>
      </c>
      <c r="N9288">
        <v>-1.4729559999999999E-2</v>
      </c>
      <c r="O9288">
        <v>0.99544129999999997</v>
      </c>
      <c r="P9288">
        <v>4.161426E-2</v>
      </c>
      <c r="Q9288">
        <v>-7.6253849999999998E-2</v>
      </c>
      <c r="R9288">
        <v>0.99621959999999998</v>
      </c>
      <c r="S9288">
        <v>1.594543E-2</v>
      </c>
      <c r="T9288">
        <v>-0.2263618</v>
      </c>
      <c r="U9288">
        <v>2.9935299999999998</v>
      </c>
      <c r="V9288">
        <v>-5.2101170000000002E-2</v>
      </c>
      <c r="W9288">
        <v>-6.1880030000000003E-2</v>
      </c>
      <c r="X9288">
        <v>0.99672280000000002</v>
      </c>
      <c r="Y9288">
        <v>-8.8887809999999998E-2</v>
      </c>
      <c r="Z9288">
        <v>-6.0057060000000002E-2</v>
      </c>
      <c r="AA9288">
        <v>0.99422940000000004</v>
      </c>
      <c r="AB9288">
        <v>21</v>
      </c>
      <c r="AC9288">
        <v>6.3999999999992896E-2</v>
      </c>
      <c r="AD9288">
        <v>-1.1236237092820001</v>
      </c>
      <c r="AE9288">
        <v>14.648769999999899</v>
      </c>
      <c r="AF9288">
        <v>-1.30911309007173</v>
      </c>
      <c r="AG9288">
        <v>-1.1236237092820001</v>
      </c>
      <c r="AH9288">
        <v>14.5042694222316</v>
      </c>
      <c r="AI9288">
        <v>94.411906783552595</v>
      </c>
      <c r="AJ9288">
        <v>95.157375801170303</v>
      </c>
      <c r="AK9288">
        <v>14.606510151139499</v>
      </c>
      <c r="AL9288">
        <v>93.547731123929196</v>
      </c>
      <c r="AM9288">
        <v>92.992268950148798</v>
      </c>
      <c r="AN9288">
        <v>1.0000000050340001</v>
      </c>
    </row>
    <row r="9289" spans="1:40" x14ac:dyDescent="0.25">
      <c r="A9289" t="str">
        <f>"20190303154020549"</f>
        <v>20190303154020549</v>
      </c>
      <c r="B9289" t="str">
        <f>"1551598820537446"</f>
        <v>1551598820537446</v>
      </c>
      <c r="C9289" t="s">
        <v>40</v>
      </c>
      <c r="D9289">
        <v>5.0436030000000001</v>
      </c>
      <c r="E9289">
        <v>0.48557400000000001</v>
      </c>
      <c r="F9289" t="s">
        <v>42</v>
      </c>
      <c r="G9289">
        <v>-189.08340000000001</v>
      </c>
      <c r="H9289" s="1">
        <v>-3.8685250000000004E-6</v>
      </c>
      <c r="I9289">
        <v>-31.7286</v>
      </c>
      <c r="J9289">
        <v>-189.12039999999999</v>
      </c>
      <c r="K9289">
        <v>1.123264</v>
      </c>
      <c r="L9289">
        <v>-46.541289999999996</v>
      </c>
      <c r="M9289">
        <v>8.9907119999999993E-2</v>
      </c>
      <c r="N9289">
        <v>-1.4677010000000001E-2</v>
      </c>
      <c r="O9289">
        <v>0.995842</v>
      </c>
      <c r="P9289">
        <v>4.1606209999999998E-2</v>
      </c>
      <c r="Q9289">
        <v>-7.3706569999999999E-2</v>
      </c>
      <c r="R9289">
        <v>0.99641170000000001</v>
      </c>
      <c r="S9289">
        <v>1.029968E-2</v>
      </c>
      <c r="T9289">
        <v>-0.22388659999999999</v>
      </c>
      <c r="U9289">
        <v>2.993805</v>
      </c>
      <c r="V9289">
        <v>-4.7869200000000001E-2</v>
      </c>
      <c r="W9289">
        <v>-5.9311750000000003E-2</v>
      </c>
      <c r="X9289">
        <v>0.99709110000000001</v>
      </c>
      <c r="Y9289">
        <v>-8.6438749999999995E-2</v>
      </c>
      <c r="Z9289">
        <v>-5.9340749999999998E-2</v>
      </c>
      <c r="AA9289">
        <v>0.99448829999999999</v>
      </c>
      <c r="AB9289">
        <v>21</v>
      </c>
      <c r="AC9289">
        <v>3.6999999999977697E-2</v>
      </c>
      <c r="AD9289">
        <v>-1.1232678685249999</v>
      </c>
      <c r="AE9289">
        <v>14.81269</v>
      </c>
      <c r="AF9289">
        <v>-1.28765514356601</v>
      </c>
      <c r="AG9289">
        <v>-1.1232678685249999</v>
      </c>
      <c r="AH9289">
        <v>14.6716474001595</v>
      </c>
      <c r="AI9289">
        <v>94.361350035328897</v>
      </c>
      <c r="AJ9289">
        <v>95.015704553623195</v>
      </c>
      <c r="AK9289">
        <v>14.770816629686401</v>
      </c>
      <c r="AL9289">
        <v>93.400308579931107</v>
      </c>
      <c r="AM9289">
        <v>92.748594250658002</v>
      </c>
      <c r="AN9289">
        <v>1.0000000028479501</v>
      </c>
    </row>
    <row r="9290" spans="1:40" x14ac:dyDescent="0.25">
      <c r="A9290" t="str">
        <f>"20190303154020570"</f>
        <v>20190303154020570</v>
      </c>
      <c r="B9290" t="str">
        <f>"1551598820557473"</f>
        <v>1551598820557473</v>
      </c>
      <c r="C9290" t="s">
        <v>40</v>
      </c>
      <c r="D9290">
        <v>5.0497529999999999</v>
      </c>
      <c r="E9290">
        <v>0.48572579999999999</v>
      </c>
      <c r="F9290" t="s">
        <v>42</v>
      </c>
      <c r="G9290">
        <v>-189.06909999999999</v>
      </c>
      <c r="H9290" s="1">
        <v>-4.1395230000000003E-6</v>
      </c>
      <c r="I9290">
        <v>-31.102789999999999</v>
      </c>
      <c r="J9290">
        <v>-189.10749999999999</v>
      </c>
      <c r="K9290">
        <v>1.1229499999999999</v>
      </c>
      <c r="L9290">
        <v>-46.351649999999999</v>
      </c>
      <c r="M9290">
        <v>8.6543499999999995E-2</v>
      </c>
      <c r="N9290">
        <v>-1.463392E-2</v>
      </c>
      <c r="O9290">
        <v>0.99614060000000004</v>
      </c>
      <c r="P9290">
        <v>4.2248769999999998E-2</v>
      </c>
      <c r="Q9290">
        <v>-7.0997660000000004E-2</v>
      </c>
      <c r="R9290">
        <v>0.9965813</v>
      </c>
      <c r="S9290">
        <v>9.9487299999999994E-3</v>
      </c>
      <c r="T9290">
        <v>-0.2178552</v>
      </c>
      <c r="U9290">
        <v>2.9942630000000001</v>
      </c>
      <c r="V9290">
        <v>-4.3938610000000003E-2</v>
      </c>
      <c r="W9290">
        <v>-5.6585389999999999E-2</v>
      </c>
      <c r="X9290">
        <v>0.99743040000000005</v>
      </c>
      <c r="Y9290">
        <v>-8.3194039999999997E-2</v>
      </c>
      <c r="Z9290">
        <v>-5.7430700000000001E-2</v>
      </c>
      <c r="AA9290">
        <v>0.99487709999999996</v>
      </c>
      <c r="AB9290">
        <v>21</v>
      </c>
      <c r="AC9290">
        <v>3.8399999999995701E-2</v>
      </c>
      <c r="AD9290">
        <v>-1.1229541395229901</v>
      </c>
      <c r="AE9290">
        <v>15.248859999999899</v>
      </c>
      <c r="AF9290">
        <v>-1.2746625288798601</v>
      </c>
      <c r="AG9290">
        <v>-1.1229541395229901</v>
      </c>
      <c r="AH9290">
        <v>15.112999633099699</v>
      </c>
      <c r="AI9290">
        <v>94.234508612941795</v>
      </c>
      <c r="AJ9290">
        <v>94.821037860357706</v>
      </c>
      <c r="AK9290">
        <v>15.208173738883699</v>
      </c>
      <c r="AL9290">
        <v>93.243836824085705</v>
      </c>
      <c r="AM9290">
        <v>92.522351786680204</v>
      </c>
      <c r="AN9290">
        <v>0.99999995532717101</v>
      </c>
    </row>
    <row r="9291" spans="1:40" x14ac:dyDescent="0.25">
      <c r="A9291" t="str">
        <f>"20190303154020591"</f>
        <v>20190303154020591</v>
      </c>
      <c r="B9291" t="str">
        <f>"1551598820587729"</f>
        <v>1551598820587729</v>
      </c>
      <c r="C9291" t="s">
        <v>40</v>
      </c>
      <c r="D9291">
        <v>5.125877</v>
      </c>
      <c r="E9291">
        <v>0.48489359999999998</v>
      </c>
      <c r="F9291" t="s">
        <v>42</v>
      </c>
      <c r="G9291">
        <v>-189.03870000000001</v>
      </c>
      <c r="H9291" s="1">
        <v>-4.4004630000000001E-6</v>
      </c>
      <c r="I9291">
        <v>-30.507100000000001</v>
      </c>
      <c r="J9291">
        <v>-189.0942</v>
      </c>
      <c r="K9291">
        <v>1.1226529999999999</v>
      </c>
      <c r="L9291">
        <v>-46.155119999999997</v>
      </c>
      <c r="M9291">
        <v>8.3523169999999994E-2</v>
      </c>
      <c r="N9291">
        <v>-1.4593689999999999E-2</v>
      </c>
      <c r="O9291">
        <v>0.99639900000000003</v>
      </c>
      <c r="P9291">
        <v>4.287987E-2</v>
      </c>
      <c r="Q9291">
        <v>-6.8462990000000001E-2</v>
      </c>
      <c r="R9291">
        <v>0.9967317</v>
      </c>
      <c r="S9291">
        <v>1.300049E-2</v>
      </c>
      <c r="T9291">
        <v>-0.21223890000000001</v>
      </c>
      <c r="U9291">
        <v>2.9946290000000002</v>
      </c>
      <c r="V9291">
        <v>-4.0352209999999999E-2</v>
      </c>
      <c r="W9291">
        <v>-5.404101E-2</v>
      </c>
      <c r="X9291">
        <v>0.99772300000000003</v>
      </c>
      <c r="Y9291">
        <v>-7.9162239999999995E-2</v>
      </c>
      <c r="Z9291">
        <v>-5.5652310000000003E-2</v>
      </c>
      <c r="AA9291">
        <v>0.9953071</v>
      </c>
      <c r="AB9291">
        <v>21</v>
      </c>
      <c r="AC9291">
        <v>5.5499999999994998E-2</v>
      </c>
      <c r="AD9291">
        <v>-1.1226574004629899</v>
      </c>
      <c r="AE9291">
        <v>15.648020000000001</v>
      </c>
      <c r="AF9291">
        <v>-1.24539507430661</v>
      </c>
      <c r="AG9291">
        <v>-1.1226574004629899</v>
      </c>
      <c r="AH9291">
        <v>15.518093027926399</v>
      </c>
      <c r="AI9291">
        <v>94.124642224668193</v>
      </c>
      <c r="AJ9291">
        <v>94.588403692989502</v>
      </c>
      <c r="AK9291">
        <v>15.608413748786299</v>
      </c>
      <c r="AL9291">
        <v>93.097831006301107</v>
      </c>
      <c r="AM9291">
        <v>92.316025535297896</v>
      </c>
      <c r="AN9291">
        <v>0.99999995817135101</v>
      </c>
    </row>
    <row r="9292" spans="1:40" x14ac:dyDescent="0.25">
      <c r="A9292" t="str">
        <f>"20190303154020615"</f>
        <v>20190303154020615</v>
      </c>
      <c r="B9292" t="str">
        <f>"1551598820607249"</f>
        <v>1551598820607249</v>
      </c>
      <c r="C9292" t="s">
        <v>40</v>
      </c>
      <c r="D9292">
        <v>5.0554360000000003</v>
      </c>
      <c r="E9292">
        <v>0.48478060000000001</v>
      </c>
      <c r="F9292" t="s">
        <v>42</v>
      </c>
      <c r="G9292">
        <v>-189.0513</v>
      </c>
      <c r="H9292" s="1">
        <v>-4.3861369999999998E-6</v>
      </c>
      <c r="I9292">
        <v>-30.53529</v>
      </c>
      <c r="J9292">
        <v>-189.08019999999999</v>
      </c>
      <c r="K9292">
        <v>1.122425</v>
      </c>
      <c r="L9292">
        <v>-45.945430000000002</v>
      </c>
      <c r="M9292">
        <v>8.0709249999999996E-2</v>
      </c>
      <c r="N9292">
        <v>-1.4555230000000001E-2</v>
      </c>
      <c r="O9292">
        <v>0.99663139999999995</v>
      </c>
      <c r="P9292">
        <v>4.1670350000000002E-2</v>
      </c>
      <c r="Q9292">
        <v>-6.8033479999999993E-2</v>
      </c>
      <c r="R9292">
        <v>0.99681249999999999</v>
      </c>
      <c r="S9292">
        <v>8.2244869999999904E-3</v>
      </c>
      <c r="T9292">
        <v>-0.21523990000000001</v>
      </c>
      <c r="U9292">
        <v>2.9946899999999999</v>
      </c>
      <c r="V9292">
        <v>-3.8782110000000002E-2</v>
      </c>
      <c r="W9292">
        <v>-5.362053E-2</v>
      </c>
      <c r="X9292">
        <v>0.99780800000000003</v>
      </c>
      <c r="Y9292">
        <v>-7.7935190000000001E-2</v>
      </c>
      <c r="Z9292">
        <v>-5.6705470000000001E-2</v>
      </c>
      <c r="AA9292">
        <v>0.99534449999999997</v>
      </c>
      <c r="AB9292">
        <v>21</v>
      </c>
      <c r="AC9292">
        <v>2.8899999999993001E-2</v>
      </c>
      <c r="AD9292">
        <v>-1.1224293861370001</v>
      </c>
      <c r="AE9292">
        <v>15.410139999999901</v>
      </c>
      <c r="AF9292">
        <v>-1.20865474021508</v>
      </c>
      <c r="AG9292">
        <v>-1.1224293861370001</v>
      </c>
      <c r="AH9292">
        <v>15.2811196808467</v>
      </c>
      <c r="AI9292">
        <v>94.187915091535999</v>
      </c>
      <c r="AJ9292">
        <v>94.5223744341247</v>
      </c>
      <c r="AK9292">
        <v>15.3698833017128</v>
      </c>
      <c r="AL9292">
        <v>93.073704137143693</v>
      </c>
      <c r="AM9292">
        <v>92.225812290352295</v>
      </c>
      <c r="AN9292">
        <v>1.00000000907876</v>
      </c>
    </row>
    <row r="9293" spans="1:40" x14ac:dyDescent="0.25">
      <c r="A9293" t="str">
        <f>"20190303154020636"</f>
        <v>20190303154020636</v>
      </c>
      <c r="B9293" t="str">
        <f>"1551598820627745"</f>
        <v>1551598820627745</v>
      </c>
      <c r="C9293" t="s">
        <v>40</v>
      </c>
      <c r="D9293">
        <v>5.0822520000000004</v>
      </c>
      <c r="E9293">
        <v>0.48498790000000003</v>
      </c>
      <c r="F9293" t="s">
        <v>42</v>
      </c>
      <c r="G9293">
        <v>-189.06049999999999</v>
      </c>
      <c r="H9293" s="1">
        <v>-3.5596490000000001E-7</v>
      </c>
      <c r="I9293">
        <v>-30.040489999999998</v>
      </c>
      <c r="J9293">
        <v>-189.06710000000001</v>
      </c>
      <c r="K9293">
        <v>1.122298</v>
      </c>
      <c r="L9293">
        <v>-45.747990000000001</v>
      </c>
      <c r="M9293">
        <v>7.8363130000000003E-2</v>
      </c>
      <c r="N9293">
        <v>-1.45226E-2</v>
      </c>
      <c r="O9293">
        <v>0.99681909999999896</v>
      </c>
      <c r="P9293">
        <v>4.1746749999999999E-2</v>
      </c>
      <c r="Q9293">
        <v>-6.7680989999999996E-2</v>
      </c>
      <c r="R9293">
        <v>0.99683319999999997</v>
      </c>
      <c r="S9293">
        <v>3.7078860000000001E-3</v>
      </c>
      <c r="T9293">
        <v>-0.21136150000000001</v>
      </c>
      <c r="U9293">
        <v>2.9950260000000002</v>
      </c>
      <c r="V9293">
        <v>-3.6379910000000001E-2</v>
      </c>
      <c r="W9293">
        <v>-5.32800999999999E-2</v>
      </c>
      <c r="X9293">
        <v>0.99791669999999999</v>
      </c>
      <c r="Y9293">
        <v>-7.7091090000000001E-2</v>
      </c>
      <c r="Z9293">
        <v>-5.5473250000000002E-2</v>
      </c>
      <c r="AA9293">
        <v>0.99547960000000002</v>
      </c>
      <c r="AB9293">
        <v>21</v>
      </c>
      <c r="AC9293">
        <v>6.6000000000201401E-3</v>
      </c>
      <c r="AD9293">
        <v>-1.1222983559649</v>
      </c>
      <c r="AE9293">
        <v>15.7075</v>
      </c>
      <c r="AF9293">
        <v>-1.21821987506083</v>
      </c>
      <c r="AG9293">
        <v>-1.1222983559649</v>
      </c>
      <c r="AH9293">
        <v>15.5801666497768</v>
      </c>
      <c r="AI9293">
        <v>94.107621159479905</v>
      </c>
      <c r="AJ9293">
        <v>94.470884962728306</v>
      </c>
      <c r="AK9293">
        <v>15.667967516516301</v>
      </c>
      <c r="AL9293">
        <v>93.054171029587494</v>
      </c>
      <c r="AM9293">
        <v>92.087842222861397</v>
      </c>
      <c r="AN9293">
        <v>1.0000000035232499</v>
      </c>
    </row>
    <row r="9294" spans="1:40" x14ac:dyDescent="0.25">
      <c r="A9294" t="str">
        <f>"20190303154020659"</f>
        <v>20190303154020659</v>
      </c>
      <c r="B9294" t="str">
        <f>"1551598820647265"</f>
        <v>1551598820647265</v>
      </c>
      <c r="C9294" t="s">
        <v>40</v>
      </c>
      <c r="D9294">
        <v>5.0645119999999997</v>
      </c>
      <c r="E9294">
        <v>0.48516779999999998</v>
      </c>
      <c r="F9294" t="s">
        <v>42</v>
      </c>
      <c r="G9294">
        <v>-189.03720000000001</v>
      </c>
      <c r="H9294" s="1">
        <v>-4.7567200000000003E-7</v>
      </c>
      <c r="I9294">
        <v>-29.70692</v>
      </c>
      <c r="J9294">
        <v>-189.05359999999999</v>
      </c>
      <c r="K9294">
        <v>1.1222179999999999</v>
      </c>
      <c r="L9294">
        <v>-45.54034</v>
      </c>
      <c r="M9294">
        <v>7.616676E-2</v>
      </c>
      <c r="N9294">
        <v>-1.4492349999999999E-2</v>
      </c>
      <c r="O9294">
        <v>0.99698980000000004</v>
      </c>
      <c r="P9294">
        <v>4.1689400000000001E-2</v>
      </c>
      <c r="Q9294">
        <v>-6.7238770000000003E-2</v>
      </c>
      <c r="R9294">
        <v>0.99686560000000002</v>
      </c>
      <c r="S9294">
        <v>5.5847170000000003E-3</v>
      </c>
      <c r="T9294">
        <v>-0.20954629999999999</v>
      </c>
      <c r="U9294">
        <v>2.9950559999999999</v>
      </c>
      <c r="V9294">
        <v>-3.425359E-2</v>
      </c>
      <c r="W9294">
        <v>-5.2854770000000002E-2</v>
      </c>
      <c r="X9294">
        <v>0.99801459999999997</v>
      </c>
      <c r="Y9294">
        <v>-7.4272480000000002E-2</v>
      </c>
      <c r="Z9294">
        <v>-5.4929819999999997E-2</v>
      </c>
      <c r="AA9294">
        <v>0.99572400000000005</v>
      </c>
      <c r="AB9294">
        <v>20</v>
      </c>
      <c r="AC9294">
        <v>1.6399999999975899E-2</v>
      </c>
      <c r="AD9294">
        <v>-1.1222184756719999</v>
      </c>
      <c r="AE9294">
        <v>15.83342</v>
      </c>
      <c r="AF9294">
        <v>-1.18380773986021</v>
      </c>
      <c r="AG9294">
        <v>-1.1222184756719999</v>
      </c>
      <c r="AH9294">
        <v>15.709747339855401</v>
      </c>
      <c r="AI9294">
        <v>94.074443996858804</v>
      </c>
      <c r="AJ9294">
        <v>94.309378039110499</v>
      </c>
      <c r="AK9294">
        <v>15.794205790548199</v>
      </c>
      <c r="AL9294">
        <v>93.029766922665999</v>
      </c>
      <c r="AM9294">
        <v>91.965718792544394</v>
      </c>
      <c r="AN9294">
        <v>1.0000000384763901</v>
      </c>
    </row>
    <row r="9295" spans="1:40" x14ac:dyDescent="0.25">
      <c r="A9295" t="str">
        <f>"20190303154020679"</f>
        <v>20190303154020679</v>
      </c>
      <c r="B9295" t="str">
        <f>"1551598820667131"</f>
        <v>1551598820667131</v>
      </c>
      <c r="C9295" t="s">
        <v>40</v>
      </c>
      <c r="D9295">
        <v>5.0972460000000002</v>
      </c>
      <c r="E9295">
        <v>0.48550140000000003</v>
      </c>
      <c r="F9295" t="s">
        <v>42</v>
      </c>
      <c r="G9295">
        <v>-189.01609999999999</v>
      </c>
      <c r="H9295" s="1">
        <v>-5.7721519999999898E-7</v>
      </c>
      <c r="I9295">
        <v>-29.428550000000001</v>
      </c>
      <c r="J9295">
        <v>-189.04159999999999</v>
      </c>
      <c r="K9295">
        <v>1.1221620000000001</v>
      </c>
      <c r="L9295">
        <v>-45.35248</v>
      </c>
      <c r="M9295">
        <v>7.4374990000000002E-2</v>
      </c>
      <c r="N9295">
        <v>-1.4468679999999999E-2</v>
      </c>
      <c r="O9295">
        <v>0.99712540000000005</v>
      </c>
      <c r="P9295">
        <v>4.1758049999999998E-2</v>
      </c>
      <c r="Q9295">
        <v>-6.5903459999999997E-2</v>
      </c>
      <c r="R9295">
        <v>0.9969519</v>
      </c>
      <c r="S9295">
        <v>6.9732669999999896E-3</v>
      </c>
      <c r="T9295">
        <v>-0.20861160000000001</v>
      </c>
      <c r="U9295">
        <v>2.9950559999999999</v>
      </c>
      <c r="V9295">
        <v>-3.2409309999999997E-2</v>
      </c>
      <c r="W9295">
        <v>-5.1532870000000001E-2</v>
      </c>
      <c r="X9295">
        <v>0.99814530000000001</v>
      </c>
      <c r="Y9295">
        <v>-7.2020180000000003E-2</v>
      </c>
      <c r="Z9295">
        <v>-5.4665140000000001E-2</v>
      </c>
      <c r="AA9295">
        <v>0.99590400000000001</v>
      </c>
      <c r="AB9295">
        <v>20</v>
      </c>
      <c r="AC9295">
        <v>2.5499999999993798E-2</v>
      </c>
      <c r="AD9295">
        <v>-1.1221625772152</v>
      </c>
      <c r="AE9295">
        <v>15.92393</v>
      </c>
      <c r="AF9295">
        <v>-1.15330935826258</v>
      </c>
      <c r="AG9295">
        <v>-1.1221625772152</v>
      </c>
      <c r="AH9295">
        <v>15.8032342795522</v>
      </c>
      <c r="AI9295">
        <v>94.050927678530698</v>
      </c>
      <c r="AJ9295">
        <v>94.1740075355724</v>
      </c>
      <c r="AK9295">
        <v>15.884948379518701</v>
      </c>
      <c r="AL9295">
        <v>92.953924308178898</v>
      </c>
      <c r="AM9295">
        <v>91.859713739346901</v>
      </c>
      <c r="AN9295">
        <v>1.0000000199886001</v>
      </c>
    </row>
    <row r="9296" spans="1:40" x14ac:dyDescent="0.25">
      <c r="A9296" t="str">
        <f>"20190303154020704"</f>
        <v>20190303154020704</v>
      </c>
      <c r="B9296" t="str">
        <f>"1551598820697387"</f>
        <v>1551598820697387</v>
      </c>
      <c r="C9296" t="s">
        <v>40</v>
      </c>
      <c r="D9296">
        <v>5.0738379999999896</v>
      </c>
      <c r="E9296">
        <v>0.48588110000000001</v>
      </c>
      <c r="F9296" t="s">
        <v>42</v>
      </c>
      <c r="G9296">
        <v>-188.9879</v>
      </c>
      <c r="H9296" s="1">
        <v>-8.0867559999999999E-7</v>
      </c>
      <c r="I9296">
        <v>-28.900649999999999</v>
      </c>
      <c r="J9296">
        <v>-189.02789999999999</v>
      </c>
      <c r="K9296">
        <v>1.1220920000000001</v>
      </c>
      <c r="L9296">
        <v>-45.134860000000003</v>
      </c>
      <c r="M9296">
        <v>7.2489570000000003E-2</v>
      </c>
      <c r="N9296">
        <v>-1.4445049999999999E-2</v>
      </c>
      <c r="O9296">
        <v>0.99726459999999995</v>
      </c>
      <c r="P9296">
        <v>4.1548139999999997E-2</v>
      </c>
      <c r="Q9296">
        <v>-6.4652189999999998E-2</v>
      </c>
      <c r="R9296">
        <v>0.99704250000000005</v>
      </c>
      <c r="S9296">
        <v>9.765625E-3</v>
      </c>
      <c r="T9296">
        <v>-0.20430229999999999</v>
      </c>
      <c r="U9296">
        <v>2.9952390000000002</v>
      </c>
      <c r="V9296">
        <v>-3.0751569999999999E-2</v>
      </c>
      <c r="W9296">
        <v>-5.029434E-2</v>
      </c>
      <c r="X9296">
        <v>0.99826090000000001</v>
      </c>
      <c r="Y9296">
        <v>-6.920809E-2</v>
      </c>
      <c r="Z9296">
        <v>-5.3283829999999997E-2</v>
      </c>
      <c r="AA9296">
        <v>0.99617820000000001</v>
      </c>
      <c r="AB9296">
        <v>20</v>
      </c>
      <c r="AC9296">
        <v>3.9999999999992E-2</v>
      </c>
      <c r="AD9296">
        <v>-1.1220928086755999</v>
      </c>
      <c r="AE9296">
        <v>16.234209999999901</v>
      </c>
      <c r="AF9296">
        <v>-1.13163263191422</v>
      </c>
      <c r="AG9296">
        <v>-1.1220928086755999</v>
      </c>
      <c r="AH9296">
        <v>16.117392118633401</v>
      </c>
      <c r="AI9296">
        <v>93.972757228301901</v>
      </c>
      <c r="AJ9296">
        <v>94.016254212510404</v>
      </c>
      <c r="AK9296">
        <v>16.195987570712699</v>
      </c>
      <c r="AL9296">
        <v>92.882869661304198</v>
      </c>
      <c r="AM9296">
        <v>91.764446707302298</v>
      </c>
      <c r="AN9296">
        <v>1.0000000020811499</v>
      </c>
    </row>
    <row r="9297" spans="1:40" x14ac:dyDescent="0.25">
      <c r="A9297" t="str">
        <f>"20190303154020726"</f>
        <v>20190303154020726</v>
      </c>
      <c r="B9297" t="str">
        <f>"1551598820717884"</f>
        <v>1551598820717884</v>
      </c>
      <c r="C9297" t="s">
        <v>40</v>
      </c>
      <c r="D9297">
        <v>5.0755359999999996</v>
      </c>
      <c r="E9297">
        <v>0.48612080000000002</v>
      </c>
      <c r="F9297" t="s">
        <v>42</v>
      </c>
      <c r="G9297">
        <v>-188.9605</v>
      </c>
      <c r="H9297" s="1">
        <v>-9.6725880000000009E-7</v>
      </c>
      <c r="I9297">
        <v>-28.54232</v>
      </c>
      <c r="J9297">
        <v>-189.01519999999999</v>
      </c>
      <c r="K9297">
        <v>1.121988</v>
      </c>
      <c r="L9297">
        <v>-44.929929999999999</v>
      </c>
      <c r="M9297">
        <v>7.0882459999999994E-2</v>
      </c>
      <c r="N9297">
        <v>-1.44029E-2</v>
      </c>
      <c r="O9297">
        <v>0.99738070000000001</v>
      </c>
      <c r="P9297">
        <v>4.1426049999999999E-2</v>
      </c>
      <c r="Q9297">
        <v>-6.4714279999999999E-2</v>
      </c>
      <c r="R9297">
        <v>0.99704360000000003</v>
      </c>
      <c r="S9297">
        <v>1.216125E-2</v>
      </c>
      <c r="T9297">
        <v>-0.20255719999999999</v>
      </c>
      <c r="U9297">
        <v>2.9952390000000002</v>
      </c>
      <c r="V9297">
        <v>-2.9278620000000002E-2</v>
      </c>
      <c r="W9297">
        <v>-5.038778E-2</v>
      </c>
      <c r="X9297">
        <v>0.99830050000000004</v>
      </c>
      <c r="Y9297">
        <v>-6.6805299999999998E-2</v>
      </c>
      <c r="Z9297">
        <v>-5.276724E-2</v>
      </c>
      <c r="AA9297">
        <v>0.99636970000000002</v>
      </c>
      <c r="AB9297">
        <v>20</v>
      </c>
      <c r="AC9297">
        <v>5.46999999999968E-2</v>
      </c>
      <c r="AD9297">
        <v>-1.1219889672587999</v>
      </c>
      <c r="AE9297">
        <v>16.387609999999999</v>
      </c>
      <c r="AF9297">
        <v>-1.1019866523819899</v>
      </c>
      <c r="AG9297">
        <v>-1.1219889672587999</v>
      </c>
      <c r="AH9297">
        <v>16.273974721564201</v>
      </c>
      <c r="AI9297">
        <v>93.934962669256194</v>
      </c>
      <c r="AJ9297">
        <v>93.873850516621303</v>
      </c>
      <c r="AK9297">
        <v>16.3497855356818</v>
      </c>
      <c r="AL9297">
        <v>92.888230103197003</v>
      </c>
      <c r="AM9297">
        <v>91.6799156366951</v>
      </c>
      <c r="AN9297">
        <v>1.0000000271313401</v>
      </c>
    </row>
    <row r="9298" spans="1:40" x14ac:dyDescent="0.25">
      <c r="A9298" t="str">
        <f>"20190303154020750"</f>
        <v>20190303154020750</v>
      </c>
      <c r="B9298" t="str">
        <f>"1551598820737403"</f>
        <v>1551598820737403</v>
      </c>
      <c r="C9298" t="s">
        <v>40</v>
      </c>
      <c r="D9298">
        <v>5.0710300000000004</v>
      </c>
      <c r="E9298">
        <v>0.48638500000000001</v>
      </c>
      <c r="F9298" t="s">
        <v>42</v>
      </c>
      <c r="G9298">
        <v>-188.94030000000001</v>
      </c>
      <c r="H9298" s="1">
        <v>-9.8178769999999992E-7</v>
      </c>
      <c r="I9298">
        <v>-28.51681</v>
      </c>
      <c r="J9298">
        <v>-189.00229999999999</v>
      </c>
      <c r="K9298">
        <v>1.1218170000000001</v>
      </c>
      <c r="L9298">
        <v>-44.723239999999997</v>
      </c>
      <c r="M9298">
        <v>6.9456760000000006E-2</v>
      </c>
      <c r="N9298">
        <v>-1.427312E-2</v>
      </c>
      <c r="O9298">
        <v>0.9974828</v>
      </c>
      <c r="P9298">
        <v>4.1172090000000001E-2</v>
      </c>
      <c r="Q9298">
        <v>-6.6261379999999995E-2</v>
      </c>
      <c r="R9298">
        <v>0.99695250000000002</v>
      </c>
      <c r="S9298">
        <v>1.365662E-2</v>
      </c>
      <c r="T9298">
        <v>-0.2047398</v>
      </c>
      <c r="U9298">
        <v>2.9950559999999999</v>
      </c>
      <c r="V9298">
        <v>-2.8114219999999999E-2</v>
      </c>
      <c r="W9298">
        <v>-5.2053820000000001E-2</v>
      </c>
      <c r="X9298">
        <v>0.99824849999999998</v>
      </c>
      <c r="Y9298">
        <v>-6.4882609999999993E-2</v>
      </c>
      <c r="Z9298">
        <v>-5.3636450000000002E-2</v>
      </c>
      <c r="AA9298">
        <v>0.99645039999999996</v>
      </c>
      <c r="AB9298">
        <v>20</v>
      </c>
      <c r="AC9298">
        <v>6.1999999999983402E-2</v>
      </c>
      <c r="AD9298">
        <v>-1.1218179817876901</v>
      </c>
      <c r="AE9298">
        <v>16.206430000000001</v>
      </c>
      <c r="AF9298">
        <v>-1.0588372870951701</v>
      </c>
      <c r="AG9298">
        <v>-1.1218179817876901</v>
      </c>
      <c r="AH9298">
        <v>16.094474347772501</v>
      </c>
      <c r="AI9298">
        <v>93.978611940847102</v>
      </c>
      <c r="AJ9298">
        <v>93.764000448489696</v>
      </c>
      <c r="AK9298">
        <v>16.168231706526001</v>
      </c>
      <c r="AL9298">
        <v>92.983812603962505</v>
      </c>
      <c r="AM9298">
        <v>91.613226023628101</v>
      </c>
      <c r="AN9298">
        <v>1.0000000386475201</v>
      </c>
    </row>
    <row r="9299" spans="1:40" x14ac:dyDescent="0.25">
      <c r="A9299" t="str">
        <f>"20190303154020771"</f>
        <v>20190303154020771</v>
      </c>
      <c r="B9299" t="str">
        <f>"1551598820767193"</f>
        <v>1551598820767193</v>
      </c>
      <c r="C9299" t="s">
        <v>40</v>
      </c>
      <c r="D9299">
        <v>5.0486529999999998</v>
      </c>
      <c r="E9299">
        <v>0.4867301</v>
      </c>
      <c r="F9299" t="s">
        <v>42</v>
      </c>
      <c r="G9299">
        <v>-188.92240000000001</v>
      </c>
      <c r="H9299" s="1">
        <v>-8.3322230000000002E-7</v>
      </c>
      <c r="I9299">
        <v>-28.870509999999999</v>
      </c>
      <c r="J9299">
        <v>-188.99019999999999</v>
      </c>
      <c r="K9299">
        <v>1.121599</v>
      </c>
      <c r="L9299">
        <v>-44.52872</v>
      </c>
      <c r="M9299">
        <v>6.8361489999999997E-2</v>
      </c>
      <c r="N9299">
        <v>-1.402281E-2</v>
      </c>
      <c r="O9299">
        <v>0.99756210000000001</v>
      </c>
      <c r="P9299">
        <v>4.0543019999999999E-2</v>
      </c>
      <c r="Q9299">
        <v>-6.6760369999999999E-2</v>
      </c>
      <c r="R9299">
        <v>0.99694499999999997</v>
      </c>
      <c r="S9299">
        <v>1.5090940000000001E-2</v>
      </c>
      <c r="T9299">
        <v>-0.21190400000000001</v>
      </c>
      <c r="U9299">
        <v>2.9944760000000001</v>
      </c>
      <c r="V9299">
        <v>-2.7664749999999998E-2</v>
      </c>
      <c r="W9299">
        <v>-5.279201E-2</v>
      </c>
      <c r="X9299">
        <v>0.99822219999999995</v>
      </c>
      <c r="Y9299">
        <v>-6.3309799999999999E-2</v>
      </c>
      <c r="Z9299">
        <v>-5.6277359999999998E-2</v>
      </c>
      <c r="AA9299">
        <v>0.99640589999999996</v>
      </c>
      <c r="AB9299">
        <v>20</v>
      </c>
      <c r="AC9299">
        <v>6.7799999999976907E-2</v>
      </c>
      <c r="AD9299">
        <v>-1.1215998332223001</v>
      </c>
      <c r="AE9299">
        <v>15.65821</v>
      </c>
      <c r="AF9299">
        <v>-0.99776312138801604</v>
      </c>
      <c r="AG9299">
        <v>-1.1215998332223001</v>
      </c>
      <c r="AH9299">
        <v>15.5464422090957</v>
      </c>
      <c r="AI9299">
        <v>94.118017986439895</v>
      </c>
      <c r="AJ9299">
        <v>93.6721789542989</v>
      </c>
      <c r="AK9299">
        <v>15.618750999777101</v>
      </c>
      <c r="AL9299">
        <v>93.026166287477494</v>
      </c>
      <c r="AM9299">
        <v>91.587490028827006</v>
      </c>
      <c r="AN9299">
        <v>0.99999994764261901</v>
      </c>
    </row>
    <row r="9300" spans="1:40" x14ac:dyDescent="0.25">
      <c r="A9300" t="str">
        <f>"20190303154020792"</f>
        <v>20190303154020792</v>
      </c>
      <c r="B9300" t="str">
        <f>"1551598820787688"</f>
        <v>1551598820787688</v>
      </c>
      <c r="C9300" t="s">
        <v>40</v>
      </c>
      <c r="D9300">
        <v>5.0748179999999996</v>
      </c>
      <c r="E9300">
        <v>0.48694219999999999</v>
      </c>
      <c r="F9300" t="s">
        <v>42</v>
      </c>
      <c r="G9300">
        <v>-188.90799999999999</v>
      </c>
      <c r="H9300" s="1">
        <v>-7.7006859999999996E-7</v>
      </c>
      <c r="I9300">
        <v>-29.023679999999999</v>
      </c>
      <c r="J9300">
        <v>-188.97829999999999</v>
      </c>
      <c r="K9300">
        <v>1.121394</v>
      </c>
      <c r="L9300">
        <v>-44.339080000000003</v>
      </c>
      <c r="M9300">
        <v>6.7490209999999995E-2</v>
      </c>
      <c r="N9300">
        <v>-1.3710979999999999E-2</v>
      </c>
      <c r="O9300">
        <v>0.99762569999999995</v>
      </c>
      <c r="P9300">
        <v>3.941828E-2</v>
      </c>
      <c r="Q9300">
        <v>-6.8119289999999999E-2</v>
      </c>
      <c r="R9300">
        <v>0.99689819999999996</v>
      </c>
      <c r="S9300">
        <v>1.586914E-2</v>
      </c>
      <c r="T9300">
        <v>-0.21658279999999999</v>
      </c>
      <c r="U9300">
        <v>2.994049</v>
      </c>
      <c r="V9300">
        <v>-2.7929280000000001E-2</v>
      </c>
      <c r="W9300">
        <v>-5.4454330000000002E-2</v>
      </c>
      <c r="X9300">
        <v>0.99812559999999995</v>
      </c>
      <c r="Y9300">
        <v>-6.2179680000000001E-2</v>
      </c>
      <c r="Z9300">
        <v>-5.8152790000000003E-2</v>
      </c>
      <c r="AA9300">
        <v>0.99636939999999996</v>
      </c>
      <c r="AB9300">
        <v>20</v>
      </c>
      <c r="AC9300">
        <v>7.0300000000003096E-2</v>
      </c>
      <c r="AD9300">
        <v>-1.1213947700686</v>
      </c>
      <c r="AE9300">
        <v>15.315399999999901</v>
      </c>
      <c r="AF9300">
        <v>-0.95845871327482601</v>
      </c>
      <c r="AG9300">
        <v>-1.1213947700686</v>
      </c>
      <c r="AH9300">
        <v>15.203710241997999</v>
      </c>
      <c r="AI9300">
        <v>94.210054333800898</v>
      </c>
      <c r="AJ9300">
        <v>93.607215803365406</v>
      </c>
      <c r="AK9300">
        <v>15.2751096381671</v>
      </c>
      <c r="AL9300">
        <v>93.121547240343403</v>
      </c>
      <c r="AM9300">
        <v>91.602816736815996</v>
      </c>
      <c r="AN9300">
        <v>1.0000000160562099</v>
      </c>
    </row>
    <row r="9301" spans="1:40" x14ac:dyDescent="0.25">
      <c r="A9301" t="str">
        <f>"20190303154020815"</f>
        <v>20190303154020815</v>
      </c>
      <c r="B9301" t="str">
        <f>"1551598820807208"</f>
        <v>1551598820807208</v>
      </c>
      <c r="C9301" t="s">
        <v>40</v>
      </c>
      <c r="D9301">
        <v>5.0674010000000003</v>
      </c>
      <c r="E9301">
        <v>0.48714109999999999</v>
      </c>
      <c r="F9301" t="s">
        <v>42</v>
      </c>
      <c r="G9301">
        <v>-188.90719999999999</v>
      </c>
      <c r="H9301" s="1">
        <v>-6.773515E-7</v>
      </c>
      <c r="I9301">
        <v>-29.24015</v>
      </c>
      <c r="J9301">
        <v>-188.96510000000001</v>
      </c>
      <c r="K9301">
        <v>1.121183</v>
      </c>
      <c r="L9301">
        <v>-44.131039999999999</v>
      </c>
      <c r="M9301">
        <v>6.6796850000000005E-2</v>
      </c>
      <c r="N9301">
        <v>-1.334515E-2</v>
      </c>
      <c r="O9301">
        <v>0.99767729999999999</v>
      </c>
      <c r="P9301">
        <v>3.849408E-2</v>
      </c>
      <c r="Q9301">
        <v>-6.7353510000000005E-2</v>
      </c>
      <c r="R9301">
        <v>0.99698629999999999</v>
      </c>
      <c r="S9301">
        <v>1.409912E-2</v>
      </c>
      <c r="T9301">
        <v>-0.22233359999999999</v>
      </c>
      <c r="U9301">
        <v>2.9935909999999999</v>
      </c>
      <c r="V9301">
        <v>-2.8183110000000001E-2</v>
      </c>
      <c r="W9301">
        <v>-5.4043559999999997E-2</v>
      </c>
      <c r="X9301">
        <v>0.99814080000000005</v>
      </c>
      <c r="Y9301">
        <v>-6.2075020000000002E-2</v>
      </c>
      <c r="Z9301">
        <v>-6.0433130000000002E-2</v>
      </c>
      <c r="AA9301">
        <v>0.99624020000000002</v>
      </c>
      <c r="AB9301">
        <v>20</v>
      </c>
      <c r="AC9301">
        <v>5.7900000000017798E-2</v>
      </c>
      <c r="AD9301">
        <v>-1.1211836773515</v>
      </c>
      <c r="AE9301">
        <v>14.890890000000001</v>
      </c>
      <c r="AF9301">
        <v>-0.93170071069052096</v>
      </c>
      <c r="AG9301">
        <v>-1.1211836773515</v>
      </c>
      <c r="AH9301">
        <v>14.777719841463201</v>
      </c>
      <c r="AI9301">
        <v>94.330146326986096</v>
      </c>
      <c r="AJ9301">
        <v>93.607590027752593</v>
      </c>
      <c r="AK9301">
        <v>14.849448567722501</v>
      </c>
      <c r="AL9301">
        <v>93.097977116059596</v>
      </c>
      <c r="AM9301">
        <v>91.617351315590298</v>
      </c>
      <c r="AN9301">
        <v>1.00000002534569</v>
      </c>
    </row>
    <row r="9302" spans="1:40" x14ac:dyDescent="0.25">
      <c r="A9302" t="str">
        <f>"20190303154020838"</f>
        <v>20190303154020838</v>
      </c>
      <c r="B9302" t="str">
        <f>"1551598820827704"</f>
        <v>1551598820827704</v>
      </c>
      <c r="C9302" t="s">
        <v>40</v>
      </c>
      <c r="D9302">
        <v>5.0650950000000003</v>
      </c>
      <c r="E9302">
        <v>0.48728680000000002</v>
      </c>
      <c r="F9302" t="s">
        <v>42</v>
      </c>
      <c r="G9302">
        <v>-188.89879999999999</v>
      </c>
      <c r="H9302" s="1">
        <v>-7.9744419999999896E-7</v>
      </c>
      <c r="I9302">
        <v>-28.96369</v>
      </c>
      <c r="J9302">
        <v>-188.95160000000001</v>
      </c>
      <c r="K9302">
        <v>1.120986</v>
      </c>
      <c r="L9302">
        <v>-43.920380000000002</v>
      </c>
      <c r="M9302">
        <v>6.6405240000000004E-2</v>
      </c>
      <c r="N9302">
        <v>-1.29791E-2</v>
      </c>
      <c r="O9302">
        <v>0.99770829999999999</v>
      </c>
      <c r="P9302">
        <v>3.9027140000000002E-2</v>
      </c>
      <c r="Q9302">
        <v>-6.6710720000000001E-2</v>
      </c>
      <c r="R9302">
        <v>0.99700880000000003</v>
      </c>
      <c r="S9302">
        <v>1.3092039999999999E-2</v>
      </c>
      <c r="T9302">
        <v>-0.22129119999999999</v>
      </c>
      <c r="U9302">
        <v>2.9936219999999998</v>
      </c>
      <c r="V9302">
        <v>-2.72797E-2</v>
      </c>
      <c r="W9302">
        <v>-5.3755499999999998E-2</v>
      </c>
      <c r="X9302">
        <v>0.9981814</v>
      </c>
      <c r="Y9302">
        <v>-6.2019459999999998E-2</v>
      </c>
      <c r="Z9302">
        <v>-6.0456469999999998E-2</v>
      </c>
      <c r="AA9302">
        <v>0.99624219999999997</v>
      </c>
      <c r="AB9302">
        <v>20</v>
      </c>
      <c r="AC9302">
        <v>5.2800000000018998E-2</v>
      </c>
      <c r="AD9302">
        <v>-1.1209867974441901</v>
      </c>
      <c r="AE9302">
        <v>14.956689999999901</v>
      </c>
      <c r="AF9302">
        <v>-0.93534873835063603</v>
      </c>
      <c r="AG9302">
        <v>-1.1209867974441901</v>
      </c>
      <c r="AH9302">
        <v>14.843796083875899</v>
      </c>
      <c r="AI9302">
        <v>94.310199030338296</v>
      </c>
      <c r="AJ9302">
        <v>93.605598792288603</v>
      </c>
      <c r="AK9302">
        <v>14.915420572081301</v>
      </c>
      <c r="AL9302">
        <v>93.081448633433595</v>
      </c>
      <c r="AM9302">
        <v>91.565469678019895</v>
      </c>
      <c r="AN9302">
        <v>0.99999997155914899</v>
      </c>
    </row>
    <row r="9303" spans="1:40" x14ac:dyDescent="0.25">
      <c r="A9303" t="str">
        <f>"20190303154020859"</f>
        <v>20190303154020859</v>
      </c>
      <c r="B9303" t="str">
        <f>"1551598820847224"</f>
        <v>1551598820847224</v>
      </c>
      <c r="C9303" t="s">
        <v>40</v>
      </c>
      <c r="D9303">
        <v>5.0649249999999997</v>
      </c>
      <c r="E9303">
        <v>0.48749540000000002</v>
      </c>
      <c r="F9303" t="s">
        <v>42</v>
      </c>
      <c r="G9303">
        <v>-188.8716</v>
      </c>
      <c r="H9303" s="1">
        <v>-9.1425229999999995E-7</v>
      </c>
      <c r="I9303">
        <v>-28.702660000000002</v>
      </c>
      <c r="J9303">
        <v>-188.93860000000001</v>
      </c>
      <c r="K9303">
        <v>1.1208</v>
      </c>
      <c r="L9303">
        <v>-43.722380000000001</v>
      </c>
      <c r="M9303">
        <v>6.6328910000000005E-2</v>
      </c>
      <c r="N9303">
        <v>-1.265025E-2</v>
      </c>
      <c r="O9303">
        <v>0.99771759999999998</v>
      </c>
      <c r="P9303">
        <v>4.049788E-2</v>
      </c>
      <c r="Q9303">
        <v>-6.6252809999999995E-2</v>
      </c>
      <c r="R9303">
        <v>0.99698070000000005</v>
      </c>
      <c r="S9303">
        <v>1.5731809999999999E-2</v>
      </c>
      <c r="T9303">
        <v>-0.22051999999999999</v>
      </c>
      <c r="U9303">
        <v>2.9936219999999998</v>
      </c>
      <c r="V9303">
        <v>-2.575247E-2</v>
      </c>
      <c r="W9303">
        <v>-5.3616400000000002E-2</v>
      </c>
      <c r="X9303">
        <v>0.99822949999999999</v>
      </c>
      <c r="Y9303">
        <v>-6.1066000000000002E-2</v>
      </c>
      <c r="Z9303">
        <v>-6.0532990000000002E-2</v>
      </c>
      <c r="AA9303">
        <v>0.99629650000000003</v>
      </c>
      <c r="AB9303">
        <v>20</v>
      </c>
      <c r="AC9303">
        <v>6.7000000000007207E-2</v>
      </c>
      <c r="AD9303">
        <v>-1.1208009142523001</v>
      </c>
      <c r="AE9303">
        <v>15.01972</v>
      </c>
      <c r="AF9303">
        <v>-0.92432204195530598</v>
      </c>
      <c r="AG9303">
        <v>-1.1208009142523001</v>
      </c>
      <c r="AH9303">
        <v>14.908069869837799</v>
      </c>
      <c r="AI9303">
        <v>94.291246068827604</v>
      </c>
      <c r="AJ9303">
        <v>93.547880187704706</v>
      </c>
      <c r="AK9303">
        <v>14.978688633208099</v>
      </c>
      <c r="AL9303">
        <v>93.073467126892396</v>
      </c>
      <c r="AM9303">
        <v>91.477797074791098</v>
      </c>
      <c r="AN9303">
        <v>1.0000000213651501</v>
      </c>
    </row>
    <row r="9304" spans="1:40" x14ac:dyDescent="0.25">
      <c r="A9304" t="str">
        <f>"20190303154020882"</f>
        <v>20190303154020882</v>
      </c>
      <c r="B9304" t="str">
        <f>"1551598820877480"</f>
        <v>1551598820877480</v>
      </c>
      <c r="C9304" t="s">
        <v>40</v>
      </c>
      <c r="D9304">
        <v>5.056756</v>
      </c>
      <c r="E9304">
        <v>0.48780289999999998</v>
      </c>
      <c r="F9304" t="s">
        <v>42</v>
      </c>
      <c r="G9304">
        <v>-188.82689999999999</v>
      </c>
      <c r="H9304" s="1">
        <v>-1.0033049999999999E-6</v>
      </c>
      <c r="I9304">
        <v>-28.513529999999999</v>
      </c>
      <c r="J9304">
        <v>-188.9248</v>
      </c>
      <c r="K9304">
        <v>1.1206179999999999</v>
      </c>
      <c r="L9304">
        <v>-43.517760000000003</v>
      </c>
      <c r="M9304">
        <v>6.6553009999999996E-2</v>
      </c>
      <c r="N9304">
        <v>-1.2327889999999999E-2</v>
      </c>
      <c r="O9304">
        <v>0.99770669999999995</v>
      </c>
      <c r="P9304">
        <v>4.2289E-2</v>
      </c>
      <c r="Q9304">
        <v>-6.5657149999999997E-2</v>
      </c>
      <c r="R9304">
        <v>0.99694570000000005</v>
      </c>
      <c r="S9304">
        <v>2.1972660000000001E-2</v>
      </c>
      <c r="T9304">
        <v>-0.2206053</v>
      </c>
      <c r="U9304">
        <v>2.9935299999999998</v>
      </c>
      <c r="V9304">
        <v>-2.4206310000000002E-2</v>
      </c>
      <c r="W9304">
        <v>-5.3333270000000002E-2</v>
      </c>
      <c r="X9304">
        <v>0.99828329999999998</v>
      </c>
      <c r="Y9304">
        <v>-5.9214799999999998E-2</v>
      </c>
      <c r="Z9304">
        <v>-6.0887940000000002E-2</v>
      </c>
      <c r="AA9304">
        <v>0.99638660000000001</v>
      </c>
      <c r="AB9304">
        <v>20</v>
      </c>
      <c r="AC9304">
        <v>9.7900000000009799E-2</v>
      </c>
      <c r="AD9304">
        <v>-1.1206190033050001</v>
      </c>
      <c r="AE9304">
        <v>15.0042299999999</v>
      </c>
      <c r="AF9304">
        <v>-0.895972041845981</v>
      </c>
      <c r="AG9304">
        <v>-1.1206190033050001</v>
      </c>
      <c r="AH9304">
        <v>14.894395631558901</v>
      </c>
      <c r="AI9304">
        <v>94.294957270129501</v>
      </c>
      <c r="AJ9304">
        <v>93.442478015054505</v>
      </c>
      <c r="AK9304">
        <v>14.9633410065981</v>
      </c>
      <c r="AL9304">
        <v>93.057221901365907</v>
      </c>
      <c r="AM9304">
        <v>91.3890322292349</v>
      </c>
      <c r="AN9304">
        <v>0.99999996509579803</v>
      </c>
    </row>
    <row r="9305" spans="1:40" x14ac:dyDescent="0.25">
      <c r="A9305" t="str">
        <f>"20190303154020904"</f>
        <v>20190303154020904</v>
      </c>
      <c r="B9305" t="str">
        <f>"1551598820896999"</f>
        <v>1551598820896999</v>
      </c>
      <c r="C9305" t="s">
        <v>40</v>
      </c>
      <c r="D9305">
        <v>5.026027</v>
      </c>
      <c r="E9305">
        <v>0.48801060000000002</v>
      </c>
      <c r="F9305" t="s">
        <v>42</v>
      </c>
      <c r="G9305">
        <v>-188.77260000000001</v>
      </c>
      <c r="H9305" s="1">
        <v>-1.1382740000000001E-6</v>
      </c>
      <c r="I9305">
        <v>-28.22137</v>
      </c>
      <c r="J9305">
        <v>-188.91079999999999</v>
      </c>
      <c r="K9305">
        <v>1.120425</v>
      </c>
      <c r="L9305">
        <v>-43.313450000000003</v>
      </c>
      <c r="M9305">
        <v>6.7079020000000003E-2</v>
      </c>
      <c r="N9305">
        <v>-1.201208E-2</v>
      </c>
      <c r="O9305">
        <v>0.99767539999999999</v>
      </c>
      <c r="P9305">
        <v>4.3874829999999997E-2</v>
      </c>
      <c r="Q9305">
        <v>-6.3924640000000005E-2</v>
      </c>
      <c r="R9305">
        <v>0.99698980000000004</v>
      </c>
      <c r="S9305">
        <v>2.9785160000000001E-2</v>
      </c>
      <c r="T9305">
        <v>-0.21930250000000001</v>
      </c>
      <c r="U9305">
        <v>2.9934690000000002</v>
      </c>
      <c r="V9305">
        <v>-2.317222E-2</v>
      </c>
      <c r="W9305">
        <v>-5.1906040000000001E-2</v>
      </c>
      <c r="X9305">
        <v>0.99838309999999997</v>
      </c>
      <c r="Y9305">
        <v>-5.7142419999999999E-2</v>
      </c>
      <c r="Z9305">
        <v>-6.0775179999999998E-2</v>
      </c>
      <c r="AA9305">
        <v>0.99651449999999997</v>
      </c>
      <c r="AB9305">
        <v>20</v>
      </c>
      <c r="AC9305">
        <v>0.138199999999983</v>
      </c>
      <c r="AD9305">
        <v>-1.1204261382739999</v>
      </c>
      <c r="AE9305">
        <v>15.092079999999999</v>
      </c>
      <c r="AF9305">
        <v>-0.86975302867757998</v>
      </c>
      <c r="AG9305">
        <v>-1.1204261382739999</v>
      </c>
      <c r="AH9305">
        <v>14.9847723225278</v>
      </c>
      <c r="AI9305">
        <v>94.268946514856907</v>
      </c>
      <c r="AJ9305">
        <v>93.321860892568594</v>
      </c>
      <c r="AK9305">
        <v>15.051751613025599</v>
      </c>
      <c r="AL9305">
        <v>92.975334082401801</v>
      </c>
      <c r="AM9305">
        <v>91.329581883938403</v>
      </c>
      <c r="AN9305">
        <v>1.0000000015669099</v>
      </c>
    </row>
    <row r="9306" spans="1:40" x14ac:dyDescent="0.25">
      <c r="A9306" t="str">
        <f>"20190303154020926"</f>
        <v>20190303154020926</v>
      </c>
      <c r="B9306" t="str">
        <f>"1551598820917496"</f>
        <v>1551598820917496</v>
      </c>
      <c r="C9306" t="s">
        <v>40</v>
      </c>
      <c r="D9306">
        <v>5.0477040000000004</v>
      </c>
      <c r="E9306">
        <v>0.48821550000000002</v>
      </c>
      <c r="F9306" t="s">
        <v>42</v>
      </c>
      <c r="G9306">
        <v>-188.72149999999999</v>
      </c>
      <c r="H9306" s="1">
        <v>-1.373834E-6</v>
      </c>
      <c r="I9306">
        <v>-27.69341</v>
      </c>
      <c r="J9306">
        <v>-188.8965</v>
      </c>
      <c r="K9306">
        <v>1.1202319999999999</v>
      </c>
      <c r="L9306">
        <v>-43.112850000000002</v>
      </c>
      <c r="M9306">
        <v>6.7874580000000004E-2</v>
      </c>
      <c r="N9306">
        <v>-1.169019E-2</v>
      </c>
      <c r="O9306">
        <v>0.9976254</v>
      </c>
      <c r="P9306">
        <v>4.525117E-2</v>
      </c>
      <c r="Q9306">
        <v>-6.1315219999999997E-2</v>
      </c>
      <c r="R9306">
        <v>0.99709219999999998</v>
      </c>
      <c r="S9306">
        <v>3.6270139999999999E-2</v>
      </c>
      <c r="T9306">
        <v>-0.21473709999999999</v>
      </c>
      <c r="U9306">
        <v>2.9936829999999999</v>
      </c>
      <c r="V9306">
        <v>-2.2618820000000001E-2</v>
      </c>
      <c r="W9306">
        <v>-4.9607760000000001E-2</v>
      </c>
      <c r="X9306">
        <v>0.99851259999999997</v>
      </c>
      <c r="Y9306">
        <v>-5.5781749999999998E-2</v>
      </c>
      <c r="Z9306">
        <v>-5.9580370000000001E-2</v>
      </c>
      <c r="AA9306">
        <v>0.99666370000000004</v>
      </c>
      <c r="AB9306">
        <v>21</v>
      </c>
      <c r="AC9306">
        <v>0.17500000000001101</v>
      </c>
      <c r="AD9306">
        <v>-1.12023337383399</v>
      </c>
      <c r="AE9306">
        <v>15.41944</v>
      </c>
      <c r="AF9306">
        <v>-0.86748502774760405</v>
      </c>
      <c r="AG9306">
        <v>-1.12023337383399</v>
      </c>
      <c r="AH9306">
        <v>15.3149309006915</v>
      </c>
      <c r="AI9306">
        <v>94.176862837763295</v>
      </c>
      <c r="AJ9306">
        <v>93.241945829914798</v>
      </c>
      <c r="AK9306">
        <v>15.380330346848</v>
      </c>
      <c r="AL9306">
        <v>92.843482428313195</v>
      </c>
      <c r="AM9306">
        <v>91.297671479781599</v>
      </c>
      <c r="AN9306">
        <v>0.99999997661458395</v>
      </c>
    </row>
    <row r="9307" spans="1:40" x14ac:dyDescent="0.25">
      <c r="A9307" t="str">
        <f>"20190303154020944"</f>
        <v>20190303154020944</v>
      </c>
      <c r="B9307" t="str">
        <f>"1551598820937016"</f>
        <v>1551598820937016</v>
      </c>
      <c r="C9307" t="s">
        <v>40</v>
      </c>
      <c r="D9307">
        <v>5.1000220000000001</v>
      </c>
      <c r="E9307">
        <v>0.48830519999999999</v>
      </c>
      <c r="F9307" t="s">
        <v>42</v>
      </c>
      <c r="G9307">
        <v>-188.66980000000001</v>
      </c>
      <c r="H9307" s="1">
        <v>-1.6839329999999999E-6</v>
      </c>
      <c r="I9307">
        <v>-26.99193</v>
      </c>
      <c r="J9307">
        <v>-188.88460000000001</v>
      </c>
      <c r="K9307">
        <v>1.1200760000000001</v>
      </c>
      <c r="L9307">
        <v>-42.950470000000003</v>
      </c>
      <c r="M9307">
        <v>6.8714399999999995E-2</v>
      </c>
      <c r="N9307">
        <v>-1.1409559999999999E-2</v>
      </c>
      <c r="O9307">
        <v>0.99757110000000004</v>
      </c>
      <c r="P9307">
        <v>4.6264020000000003E-2</v>
      </c>
      <c r="Q9307">
        <v>-6.0265150000000003E-2</v>
      </c>
      <c r="R9307">
        <v>0.99710969999999999</v>
      </c>
      <c r="S9307">
        <v>4.2098999999999998E-2</v>
      </c>
      <c r="T9307">
        <v>-0.20805489999999999</v>
      </c>
      <c r="U9307">
        <v>2.994049</v>
      </c>
      <c r="V9307">
        <v>-2.2462559999999999E-2</v>
      </c>
      <c r="W9307">
        <v>-4.8830680000000001E-2</v>
      </c>
      <c r="X9307">
        <v>0.99855450000000001</v>
      </c>
      <c r="Y9307">
        <v>-5.4683889999999999E-2</v>
      </c>
      <c r="Z9307">
        <v>-5.764039E-2</v>
      </c>
      <c r="AA9307">
        <v>0.99683860000000002</v>
      </c>
      <c r="AB9307">
        <v>21</v>
      </c>
      <c r="AC9307">
        <v>0.21479999999999599</v>
      </c>
      <c r="AD9307">
        <v>-1.120077683933</v>
      </c>
      <c r="AE9307">
        <v>15.958539999999999</v>
      </c>
      <c r="AF9307">
        <v>-0.87803610877421701</v>
      </c>
      <c r="AG9307">
        <v>-1.120077683933</v>
      </c>
      <c r="AH9307">
        <v>15.857473283515301</v>
      </c>
      <c r="AI9307">
        <v>94.034164057520002</v>
      </c>
      <c r="AJ9307">
        <v>93.169259316991202</v>
      </c>
      <c r="AK9307">
        <v>15.9212116487332</v>
      </c>
      <c r="AL9307">
        <v>92.798904800440098</v>
      </c>
      <c r="AM9307">
        <v>91.288655614756095</v>
      </c>
      <c r="AN9307">
        <v>1.0000000456906299</v>
      </c>
    </row>
    <row r="9308" spans="1:40" x14ac:dyDescent="0.25">
      <c r="A9308" t="str">
        <f>"20190303154020962"</f>
        <v>20190303154020962</v>
      </c>
      <c r="B9308" t="str">
        <f>"1551598820957512"</f>
        <v>1551598820957512</v>
      </c>
      <c r="C9308" t="s">
        <v>40</v>
      </c>
      <c r="D9308">
        <v>5.1097630000000001</v>
      </c>
      <c r="E9308">
        <v>0.48826979999999998</v>
      </c>
      <c r="F9308" t="s">
        <v>42</v>
      </c>
      <c r="G9308">
        <v>-188.63550000000001</v>
      </c>
      <c r="H9308" s="1">
        <v>-1.8183579999999999E-6</v>
      </c>
      <c r="I9308">
        <v>-26.692769999999999</v>
      </c>
      <c r="J9308">
        <v>-188.87209999999999</v>
      </c>
      <c r="K9308">
        <v>1.119934</v>
      </c>
      <c r="L9308">
        <v>-42.784790000000001</v>
      </c>
      <c r="M9308">
        <v>6.971579E-2</v>
      </c>
      <c r="N9308">
        <v>-1.110658E-2</v>
      </c>
      <c r="O9308">
        <v>0.99750510000000003</v>
      </c>
      <c r="P9308">
        <v>4.6908329999999998E-2</v>
      </c>
      <c r="Q9308">
        <v>-5.9218390000000003E-2</v>
      </c>
      <c r="R9308">
        <v>0.99714230000000004</v>
      </c>
      <c r="S9308">
        <v>4.586792E-2</v>
      </c>
      <c r="T9308">
        <v>-0.20627999999999999</v>
      </c>
      <c r="U9308">
        <v>2.99411</v>
      </c>
      <c r="V9308">
        <v>-2.283526E-2</v>
      </c>
      <c r="W9308">
        <v>-4.8079120000000003E-2</v>
      </c>
      <c r="X9308">
        <v>0.99858250000000004</v>
      </c>
      <c r="Y9308">
        <v>-5.443257E-2</v>
      </c>
      <c r="Z9308">
        <v>-5.7348169999999997E-2</v>
      </c>
      <c r="AA9308">
        <v>0.99686929999999996</v>
      </c>
      <c r="AB9308">
        <v>21</v>
      </c>
      <c r="AC9308">
        <v>0.23659999999998099</v>
      </c>
      <c r="AD9308">
        <v>-1.1199358183579999</v>
      </c>
      <c r="AE9308">
        <v>16.092020000000002</v>
      </c>
      <c r="AF9308">
        <v>-0.88164341714327399</v>
      </c>
      <c r="AG9308">
        <v>-1.1199358183579999</v>
      </c>
      <c r="AH9308">
        <v>15.991916207448099</v>
      </c>
      <c r="AI9308">
        <v>93.999907357589194</v>
      </c>
      <c r="AJ9308">
        <v>93.155554455475595</v>
      </c>
      <c r="AK9308">
        <v>16.055308634164401</v>
      </c>
      <c r="AL9308">
        <v>92.755792987939998</v>
      </c>
      <c r="AM9308">
        <v>91.309992947440804</v>
      </c>
      <c r="AN9308">
        <v>1.0000000300927401</v>
      </c>
    </row>
    <row r="9309" spans="1:40" x14ac:dyDescent="0.25">
      <c r="A9309" t="str">
        <f>"20190303154020982"</f>
        <v>20190303154020982</v>
      </c>
      <c r="B9309" t="str">
        <f>"1551598820977031"</f>
        <v>1551598820977031</v>
      </c>
      <c r="C9309" t="s">
        <v>40</v>
      </c>
      <c r="D9309">
        <v>5.0805709999999999</v>
      </c>
      <c r="E9309">
        <v>0.48703429999999998</v>
      </c>
      <c r="F9309" t="s">
        <v>42</v>
      </c>
      <c r="G9309">
        <v>-188.61170000000001</v>
      </c>
      <c r="H9309" s="1">
        <v>-1.9635389999999999E-6</v>
      </c>
      <c r="I9309">
        <v>-26.3642</v>
      </c>
      <c r="J9309">
        <v>-188.85740000000001</v>
      </c>
      <c r="K9309">
        <v>1.1197900000000001</v>
      </c>
      <c r="L9309">
        <v>-42.594670000000001</v>
      </c>
      <c r="M9309">
        <v>7.1014110000000005E-2</v>
      </c>
      <c r="N9309">
        <v>-1.074218E-2</v>
      </c>
      <c r="O9309">
        <v>0.99741740000000001</v>
      </c>
      <c r="P9309">
        <v>4.7046049999999999E-2</v>
      </c>
      <c r="Q9309">
        <v>-5.8650199999999902E-2</v>
      </c>
      <c r="R9309">
        <v>0.99716939999999998</v>
      </c>
      <c r="S9309">
        <v>4.7485350000000003E-2</v>
      </c>
      <c r="T9309">
        <v>-0.20421600000000001</v>
      </c>
      <c r="U9309">
        <v>2.9942319999999998</v>
      </c>
      <c r="V9309">
        <v>-2.4009699999999998E-2</v>
      </c>
      <c r="W9309">
        <v>-4.786642E-2</v>
      </c>
      <c r="X9309">
        <v>0.99856509999999998</v>
      </c>
      <c r="Y9309">
        <v>-5.5194710000000001E-2</v>
      </c>
      <c r="Z9309">
        <v>-5.7016339999999999E-2</v>
      </c>
      <c r="AA9309">
        <v>0.99684640000000002</v>
      </c>
      <c r="AB9309">
        <v>21</v>
      </c>
      <c r="AC9309">
        <v>0.245699999999999</v>
      </c>
      <c r="AD9309">
        <v>-1.1197919635389999</v>
      </c>
      <c r="AE9309">
        <v>16.23047</v>
      </c>
      <c r="AF9309">
        <v>-0.90328066714535704</v>
      </c>
      <c r="AG9309">
        <v>-1.1197919635389999</v>
      </c>
      <c r="AH9309">
        <v>16.130174526174201</v>
      </c>
      <c r="AI9309">
        <v>93.965034378868097</v>
      </c>
      <c r="AJ9309">
        <v>93.205183685693498</v>
      </c>
      <c r="AK9309">
        <v>16.194208231651299</v>
      </c>
      <c r="AL9309">
        <v>92.743592322553795</v>
      </c>
      <c r="AM9309">
        <v>91.377365852113698</v>
      </c>
      <c r="AN9309">
        <v>0.99999995939785702</v>
      </c>
    </row>
    <row r="9310" spans="1:40" x14ac:dyDescent="0.25">
      <c r="A9310" t="str">
        <f>"20190303154021004"</f>
        <v>20190303154021004</v>
      </c>
      <c r="B9310" t="str">
        <f>"1551598820997528"</f>
        <v>1551598820997528</v>
      </c>
      <c r="C9310" t="s">
        <v>40</v>
      </c>
      <c r="D9310">
        <v>5.1171179999999996</v>
      </c>
      <c r="E9310">
        <v>0.48619659999999898</v>
      </c>
      <c r="F9310" t="s">
        <v>42</v>
      </c>
      <c r="G9310">
        <v>-188.69499999999999</v>
      </c>
      <c r="H9310" s="1">
        <v>-4.3932100000000002E-7</v>
      </c>
      <c r="I9310">
        <v>-30.081289999999999</v>
      </c>
      <c r="J9310">
        <v>-188.8409</v>
      </c>
      <c r="K9310">
        <v>1.1196729999999999</v>
      </c>
      <c r="L9310">
        <v>-42.386629999999997</v>
      </c>
      <c r="M9310">
        <v>7.2569889999999998E-2</v>
      </c>
      <c r="N9310">
        <v>-1.0329029999999999E-2</v>
      </c>
      <c r="O9310">
        <v>0.99730989999999997</v>
      </c>
      <c r="P9310">
        <v>4.7150520000000001E-2</v>
      </c>
      <c r="Q9310">
        <v>-5.7887939999999999E-2</v>
      </c>
      <c r="R9310">
        <v>0.99720900000000001</v>
      </c>
      <c r="S9310">
        <v>3.8818360000000003E-2</v>
      </c>
      <c r="T9310">
        <v>-0.26765139999999998</v>
      </c>
      <c r="U9310">
        <v>2.990936</v>
      </c>
      <c r="V9310">
        <v>-2.547143E-2</v>
      </c>
      <c r="W9310">
        <v>-4.7508979999999999E-2</v>
      </c>
      <c r="X9310">
        <v>0.99854600000000004</v>
      </c>
      <c r="Y9310">
        <v>-5.9633409999999998E-2</v>
      </c>
      <c r="Z9310">
        <v>-7.8408549999999994E-2</v>
      </c>
      <c r="AA9310">
        <v>0.99513609999999997</v>
      </c>
      <c r="AB9310">
        <v>21</v>
      </c>
      <c r="AC9310">
        <v>0.14590000000001099</v>
      </c>
      <c r="AD9310">
        <v>-1.1196734393209999</v>
      </c>
      <c r="AE9310">
        <v>12.3053399999999</v>
      </c>
      <c r="AF9310">
        <v>-0.741392118839448</v>
      </c>
      <c r="AG9310">
        <v>-1.1196734393209999</v>
      </c>
      <c r="AH9310">
        <v>12.182630009964299</v>
      </c>
      <c r="AI9310">
        <v>95.241509058420604</v>
      </c>
      <c r="AJ9310">
        <v>93.482525160916197</v>
      </c>
      <c r="AK9310">
        <v>12.256418924150699</v>
      </c>
      <c r="AL9310">
        <v>92.7230890659621</v>
      </c>
      <c r="AM9310">
        <v>91.461213627771002</v>
      </c>
      <c r="AN9310">
        <v>1.00000000552144</v>
      </c>
    </row>
    <row r="9311" spans="1:40" x14ac:dyDescent="0.25">
      <c r="A9311" t="str">
        <f>"20190303154021027"</f>
        <v>20190303154021027</v>
      </c>
      <c r="B9311" t="str">
        <f>"1551598821017048"</f>
        <v>1551598821017048</v>
      </c>
      <c r="C9311" t="s">
        <v>40</v>
      </c>
      <c r="D9311">
        <v>5.060524</v>
      </c>
      <c r="E9311">
        <v>0.4865833</v>
      </c>
      <c r="F9311" t="s">
        <v>42</v>
      </c>
      <c r="G9311">
        <v>-188.70359999999999</v>
      </c>
      <c r="H9311" s="1">
        <v>-5.4821559999999899E-7</v>
      </c>
      <c r="I9311">
        <v>-29.75459</v>
      </c>
      <c r="J9311">
        <v>-188.82320000000001</v>
      </c>
      <c r="K9311">
        <v>1.1195870000000001</v>
      </c>
      <c r="L9311">
        <v>-42.169649999999997</v>
      </c>
      <c r="M9311">
        <v>7.4281600000000003E-2</v>
      </c>
      <c r="N9311">
        <v>-9.8887669999999997E-3</v>
      </c>
      <c r="O9311">
        <v>0.99718830000000003</v>
      </c>
      <c r="P9311">
        <v>4.7754720000000001E-2</v>
      </c>
      <c r="Q9311">
        <v>-5.6963670000000001E-2</v>
      </c>
      <c r="R9311">
        <v>0.99723349999999999</v>
      </c>
      <c r="S9311">
        <v>3.251648E-2</v>
      </c>
      <c r="T9311">
        <v>-0.26515529999999998</v>
      </c>
      <c r="U9311">
        <v>2.9914550000000002</v>
      </c>
      <c r="V9311">
        <v>-2.6584770000000001E-2</v>
      </c>
      <c r="W9311">
        <v>-4.7019569999999997E-2</v>
      </c>
      <c r="X9311">
        <v>0.99854019999999999</v>
      </c>
      <c r="Y9311">
        <v>-6.3443739999999998E-2</v>
      </c>
      <c r="Z9311">
        <v>-7.7984090000000006E-2</v>
      </c>
      <c r="AA9311">
        <v>0.99493379999999998</v>
      </c>
      <c r="AB9311">
        <v>21</v>
      </c>
      <c r="AC9311">
        <v>0.119600000000019</v>
      </c>
      <c r="AD9311">
        <v>-1.1195875482155999</v>
      </c>
      <c r="AE9311">
        <v>12.415059999999899</v>
      </c>
      <c r="AF9311">
        <v>-0.79650911658562196</v>
      </c>
      <c r="AG9311">
        <v>-1.1195875482155999</v>
      </c>
      <c r="AH9311">
        <v>12.289706664118301</v>
      </c>
      <c r="AI9311">
        <v>95.194417207734702</v>
      </c>
      <c r="AJ9311">
        <v>93.708214853311006</v>
      </c>
      <c r="AK9311">
        <v>12.366276437998501</v>
      </c>
      <c r="AL9311">
        <v>92.695016416864604</v>
      </c>
      <c r="AM9311">
        <v>91.525061668982801</v>
      </c>
      <c r="AN9311">
        <v>1.0000000604874799</v>
      </c>
    </row>
    <row r="9312" spans="1:40" x14ac:dyDescent="0.25">
      <c r="A9312" t="str">
        <f>"20190303154021049"</f>
        <v>20190303154021049</v>
      </c>
      <c r="B9312" t="str">
        <f>"1551598821037547"</f>
        <v>1551598821037547</v>
      </c>
      <c r="C9312" t="s">
        <v>40</v>
      </c>
      <c r="D9312">
        <v>5.0219990000000001</v>
      </c>
      <c r="E9312">
        <v>0.48690339999999999</v>
      </c>
      <c r="F9312" t="s">
        <v>42</v>
      </c>
      <c r="G9312">
        <v>-188.66159999999999</v>
      </c>
      <c r="H9312" s="1">
        <v>-7.0776100000000001E-7</v>
      </c>
      <c r="I9312">
        <v>-29.318580000000001</v>
      </c>
      <c r="J9312">
        <v>-188.80609999999999</v>
      </c>
      <c r="K9312">
        <v>1.11954</v>
      </c>
      <c r="L9312">
        <v>-41.964570000000002</v>
      </c>
      <c r="M9312">
        <v>7.5928109999999993E-2</v>
      </c>
      <c r="N9312">
        <v>-9.4661469999999994E-3</v>
      </c>
      <c r="O9312">
        <v>0.99706830000000002</v>
      </c>
      <c r="P9312">
        <v>4.8943830000000001E-2</v>
      </c>
      <c r="Q9312">
        <v>-5.5873930000000002E-2</v>
      </c>
      <c r="R9312">
        <v>0.9972375</v>
      </c>
      <c r="S9312">
        <v>3.7612920000000001E-2</v>
      </c>
      <c r="T9312">
        <v>-0.26063229999999998</v>
      </c>
      <c r="U9312">
        <v>2.991638</v>
      </c>
      <c r="V9312">
        <v>-2.7044140000000001E-2</v>
      </c>
      <c r="W9312">
        <v>-4.6350929999999999E-2</v>
      </c>
      <c r="X9312">
        <v>0.99855910000000003</v>
      </c>
      <c r="Y9312">
        <v>-6.3398220000000005E-2</v>
      </c>
      <c r="Z9312">
        <v>-7.6895779999999997E-2</v>
      </c>
      <c r="AA9312">
        <v>0.9950215</v>
      </c>
      <c r="AB9312">
        <v>21</v>
      </c>
      <c r="AC9312">
        <v>0.144499999999993</v>
      </c>
      <c r="AD9312">
        <v>-1.119540707761</v>
      </c>
      <c r="AE9312">
        <v>12.645989999999999</v>
      </c>
      <c r="AF9312">
        <v>-0.80980043450216699</v>
      </c>
      <c r="AG9312">
        <v>-1.119540707761</v>
      </c>
      <c r="AH9312">
        <v>12.522323455349699</v>
      </c>
      <c r="AI9312">
        <v>95.098272590944902</v>
      </c>
      <c r="AJ9312">
        <v>93.700082479429</v>
      </c>
      <c r="AK9312">
        <v>12.598322620906901</v>
      </c>
      <c r="AL9312">
        <v>92.656664418462498</v>
      </c>
      <c r="AM9312">
        <v>91.551371765493499</v>
      </c>
      <c r="AN9312">
        <v>1.0000000352064999</v>
      </c>
    </row>
    <row r="9313" spans="1:40" x14ac:dyDescent="0.25">
      <c r="A9313" t="str">
        <f>"20190303154021072"</f>
        <v>20190303154021072</v>
      </c>
      <c r="B9313" t="str">
        <f>"1551598821067801"</f>
        <v>1551598821067801</v>
      </c>
      <c r="C9313" t="s">
        <v>40</v>
      </c>
      <c r="D9313">
        <v>5.0317540000000003</v>
      </c>
      <c r="E9313">
        <v>0.4874019</v>
      </c>
      <c r="F9313" t="s">
        <v>42</v>
      </c>
      <c r="G9313">
        <v>-188.6181</v>
      </c>
      <c r="H9313" s="1">
        <v>-8.0388560000000001E-7</v>
      </c>
      <c r="I9313">
        <v>-29.070139999999999</v>
      </c>
      <c r="J9313">
        <v>-188.78749999999999</v>
      </c>
      <c r="K9313">
        <v>1.1195269999999999</v>
      </c>
      <c r="L9313">
        <v>-41.746310000000001</v>
      </c>
      <c r="M9313">
        <v>7.7641379999999996E-2</v>
      </c>
      <c r="N9313">
        <v>-9.0046450000000004E-3</v>
      </c>
      <c r="O9313">
        <v>0.99694070000000001</v>
      </c>
      <c r="P9313">
        <v>5.042365E-2</v>
      </c>
      <c r="Q9313">
        <v>-5.5889960000000002E-2</v>
      </c>
      <c r="R9313">
        <v>0.99716289999999996</v>
      </c>
      <c r="S9313">
        <v>4.3609620000000002E-2</v>
      </c>
      <c r="T9313">
        <v>-0.25974209999999998</v>
      </c>
      <c r="U9313">
        <v>2.9916079999999998</v>
      </c>
      <c r="V9313">
        <v>-2.7273510000000001E-2</v>
      </c>
      <c r="W9313">
        <v>-4.6830240000000002E-2</v>
      </c>
      <c r="X9313">
        <v>0.99853040000000004</v>
      </c>
      <c r="Y9313">
        <v>-6.3120490000000001E-2</v>
      </c>
      <c r="Z9313">
        <v>-7.7047039999999997E-2</v>
      </c>
      <c r="AA9313">
        <v>0.99502740000000001</v>
      </c>
      <c r="AB9313">
        <v>21</v>
      </c>
      <c r="AC9313">
        <v>0.169399999999996</v>
      </c>
      <c r="AD9313">
        <v>-1.1195278038856</v>
      </c>
      <c r="AE9313">
        <v>12.676170000000001</v>
      </c>
      <c r="AF9313">
        <v>-0.80903727246699597</v>
      </c>
      <c r="AG9313">
        <v>-1.1195278038856</v>
      </c>
      <c r="AH9313">
        <v>12.5531580436525</v>
      </c>
      <c r="AI9313">
        <v>95.085828479735497</v>
      </c>
      <c r="AJ9313">
        <v>93.6875502013351</v>
      </c>
      <c r="AK9313">
        <v>12.6289215961155</v>
      </c>
      <c r="AL9313">
        <v>92.684156974416396</v>
      </c>
      <c r="AM9313">
        <v>91.564567879121299</v>
      </c>
      <c r="AN9313">
        <v>0.99999993772516704</v>
      </c>
    </row>
    <row r="9314" spans="1:40" x14ac:dyDescent="0.25">
      <c r="A9314" t="str">
        <f>"20190303154021093"</f>
        <v>20190303154021093</v>
      </c>
      <c r="B9314" t="str">
        <f>"1551598821087321"</f>
        <v>1551598821087321</v>
      </c>
      <c r="C9314" t="s">
        <v>40</v>
      </c>
      <c r="D9314">
        <v>4.9855739999999997</v>
      </c>
      <c r="E9314">
        <v>0.4876064</v>
      </c>
      <c r="F9314" t="s">
        <v>42</v>
      </c>
      <c r="G9314">
        <v>-188.5652</v>
      </c>
      <c r="H9314" s="1">
        <v>-8.5058269999999998E-7</v>
      </c>
      <c r="I9314">
        <v>-28.97777</v>
      </c>
      <c r="J9314">
        <v>-188.77029999999999</v>
      </c>
      <c r="K9314">
        <v>1.1195280000000001</v>
      </c>
      <c r="L9314">
        <v>-41.5473</v>
      </c>
      <c r="M9314">
        <v>7.9126059999999998E-2</v>
      </c>
      <c r="N9314">
        <v>-8.5792100000000003E-3</v>
      </c>
      <c r="O9314">
        <v>0.99682769999999998</v>
      </c>
      <c r="P9314">
        <v>5.1537220000000002E-2</v>
      </c>
      <c r="Q9314">
        <v>-5.6565190000000001E-2</v>
      </c>
      <c r="R9314">
        <v>0.99706790000000001</v>
      </c>
      <c r="S9314">
        <v>5.207825E-2</v>
      </c>
      <c r="T9314">
        <v>-0.26226529999999998</v>
      </c>
      <c r="U9314">
        <v>2.9912109999999998</v>
      </c>
      <c r="V9314">
        <v>-2.7637729999999999E-2</v>
      </c>
      <c r="W9314">
        <v>-4.7933940000000001E-2</v>
      </c>
      <c r="X9314">
        <v>0.99846809999999997</v>
      </c>
      <c r="Y9314">
        <v>-6.1791609999999997E-2</v>
      </c>
      <c r="Z9314">
        <v>-7.8299729999999998E-2</v>
      </c>
      <c r="AA9314">
        <v>0.99501309999999998</v>
      </c>
      <c r="AB9314">
        <v>21</v>
      </c>
      <c r="AC9314">
        <v>0.20509999999998699</v>
      </c>
      <c r="AD9314">
        <v>-1.1195288505826999</v>
      </c>
      <c r="AE9314">
        <v>12.56953</v>
      </c>
      <c r="AF9314">
        <v>-0.78393983480359797</v>
      </c>
      <c r="AG9314">
        <v>-1.1195288505826999</v>
      </c>
      <c r="AH9314">
        <v>12.447626557428601</v>
      </c>
      <c r="AI9314">
        <v>95.129197945336003</v>
      </c>
      <c r="AJ9314">
        <v>93.603674940329796</v>
      </c>
      <c r="AK9314">
        <v>12.5224324084852</v>
      </c>
      <c r="AL9314">
        <v>92.747465194411404</v>
      </c>
      <c r="AM9314">
        <v>91.585549947145296</v>
      </c>
      <c r="AN9314">
        <v>1.00000002672054</v>
      </c>
    </row>
    <row r="9315" spans="1:40" x14ac:dyDescent="0.25">
      <c r="A9315" t="str">
        <f>"20190303154021117"</f>
        <v>20190303154021117</v>
      </c>
      <c r="B9315" t="str">
        <f>"1551598821107817"</f>
        <v>1551598821107817</v>
      </c>
      <c r="C9315" t="s">
        <v>40</v>
      </c>
      <c r="D9315">
        <v>5.0453070000000002</v>
      </c>
      <c r="E9315">
        <v>0.50104409999999999</v>
      </c>
      <c r="F9315" t="s">
        <v>42</v>
      </c>
      <c r="G9315">
        <v>-188.53059999999999</v>
      </c>
      <c r="H9315" s="1">
        <v>-8.4683959999999996E-7</v>
      </c>
      <c r="I9315">
        <v>-29.01229</v>
      </c>
      <c r="J9315">
        <v>-188.74969999999999</v>
      </c>
      <c r="K9315">
        <v>1.1195489999999999</v>
      </c>
      <c r="L9315">
        <v>-41.312159999999999</v>
      </c>
      <c r="M9315">
        <v>8.0760109999999996E-2</v>
      </c>
      <c r="N9315">
        <v>-8.0885550000000007E-3</v>
      </c>
      <c r="O9315">
        <v>0.99670080000000005</v>
      </c>
      <c r="P9315">
        <v>5.2559580000000002E-2</v>
      </c>
      <c r="Q9315">
        <v>-5.661008E-2</v>
      </c>
      <c r="R9315">
        <v>0.99701200000000001</v>
      </c>
      <c r="S9315">
        <v>5.7174679999999999E-2</v>
      </c>
      <c r="T9315">
        <v>-0.26710780000000001</v>
      </c>
      <c r="U9315">
        <v>2.990723</v>
      </c>
      <c r="V9315">
        <v>-2.824165E-2</v>
      </c>
      <c r="W9315">
        <v>-4.8473269999999999E-2</v>
      </c>
      <c r="X9315">
        <v>0.99842509999999995</v>
      </c>
      <c r="Y9315">
        <v>-6.1734039999999997E-2</v>
      </c>
      <c r="Z9315">
        <v>-8.0376950000000003E-2</v>
      </c>
      <c r="AA9315">
        <v>0.99485100000000004</v>
      </c>
      <c r="AB9315">
        <v>21</v>
      </c>
      <c r="AC9315">
        <v>0.21909999999999699</v>
      </c>
      <c r="AD9315">
        <v>-1.1195498468395999</v>
      </c>
      <c r="AE9315">
        <v>12.299869999999901</v>
      </c>
      <c r="AF9315">
        <v>-0.76862111244064402</v>
      </c>
      <c r="AG9315">
        <v>-1.1195498468395999</v>
      </c>
      <c r="AH9315">
        <v>12.1765367409351</v>
      </c>
      <c r="AI9315">
        <v>95.242811913223093</v>
      </c>
      <c r="AJ9315">
        <v>93.611896792536797</v>
      </c>
      <c r="AK9315">
        <v>12.252029108575901</v>
      </c>
      <c r="AL9315">
        <v>92.778402663384099</v>
      </c>
      <c r="AM9315">
        <v>91.620247727274204</v>
      </c>
      <c r="AN9315">
        <v>0.99999996450461204</v>
      </c>
    </row>
    <row r="9316" spans="1:40" x14ac:dyDescent="0.25">
      <c r="A9316" t="str">
        <f>"20190303154021153"</f>
        <v>20190303154021153</v>
      </c>
      <c r="B9316" t="str">
        <f>"1551598821147833"</f>
        <v>1551598821147833</v>
      </c>
      <c r="C9316" t="s">
        <v>40</v>
      </c>
      <c r="D9316">
        <v>4.9638770000000001</v>
      </c>
      <c r="E9316">
        <v>0.50856939999999995</v>
      </c>
      <c r="F9316" t="s">
        <v>42</v>
      </c>
      <c r="G9316">
        <v>-187.934</v>
      </c>
      <c r="H9316" s="1">
        <v>-1.9357689999999999E-6</v>
      </c>
      <c r="I9316">
        <v>-26.709150000000001</v>
      </c>
      <c r="J9316">
        <v>-188.71960000000001</v>
      </c>
      <c r="K9316">
        <v>1.119607</v>
      </c>
      <c r="L9316">
        <v>-40.973109999999998</v>
      </c>
      <c r="M9316">
        <v>8.2826549999999999E-2</v>
      </c>
      <c r="N9316">
        <v>-7.4162509999999996E-3</v>
      </c>
      <c r="O9316">
        <v>0.99653639999999999</v>
      </c>
      <c r="P9316">
        <v>5.3002479999999998E-2</v>
      </c>
      <c r="Q9316">
        <v>-5.6337190000000002E-2</v>
      </c>
      <c r="R9316">
        <v>0.99700390000000005</v>
      </c>
      <c r="S9316">
        <v>0.1668549</v>
      </c>
      <c r="T9316">
        <v>-0.22901450000000001</v>
      </c>
      <c r="U9316">
        <v>2.9871829999999999</v>
      </c>
      <c r="V9316">
        <v>-2.9851140000000002E-2</v>
      </c>
      <c r="W9316">
        <v>-4.8878970000000001E-2</v>
      </c>
      <c r="X9316">
        <v>0.99835850000000004</v>
      </c>
      <c r="Y9316">
        <v>-2.7244890000000001E-2</v>
      </c>
      <c r="Z9316">
        <v>-6.8595660000000003E-2</v>
      </c>
      <c r="AA9316">
        <v>0.99727239999999995</v>
      </c>
      <c r="AB9316">
        <v>21</v>
      </c>
      <c r="AC9316">
        <v>0.78559999999998797</v>
      </c>
      <c r="AD9316">
        <v>-1.119608935769</v>
      </c>
      <c r="AE9316">
        <v>14.2639599999999</v>
      </c>
      <c r="AF9316">
        <v>-0.39613335027761798</v>
      </c>
      <c r="AG9316">
        <v>-1.119608935769</v>
      </c>
      <c r="AH9316">
        <v>14.1928384555784</v>
      </c>
      <c r="AI9316">
        <v>94.508716119842504</v>
      </c>
      <c r="AJ9316">
        <v>91.598755473217494</v>
      </c>
      <c r="AK9316">
        <v>14.2424404238319</v>
      </c>
      <c r="AL9316">
        <v>92.801675135261505</v>
      </c>
      <c r="AM9316">
        <v>91.712646221805699</v>
      </c>
      <c r="AN9316">
        <v>0.99999996939490399</v>
      </c>
    </row>
    <row r="9317" spans="1:40" x14ac:dyDescent="0.25">
      <c r="A9317" t="str">
        <f>"20190303154021174"</f>
        <v>20190303154021174</v>
      </c>
      <c r="B9317" t="str">
        <f>"1551598821167353"</f>
        <v>1551598821167353</v>
      </c>
      <c r="C9317" t="s">
        <v>40</v>
      </c>
      <c r="D9317">
        <v>4.915584</v>
      </c>
      <c r="E9317">
        <v>0.5094379</v>
      </c>
      <c r="F9317" t="s">
        <v>42</v>
      </c>
      <c r="G9317">
        <v>-187.6619</v>
      </c>
      <c r="H9317" s="1">
        <v>-1.794478E-6</v>
      </c>
      <c r="I9317">
        <v>-27.151</v>
      </c>
      <c r="J9317">
        <v>-188.70099999999999</v>
      </c>
      <c r="K9317">
        <v>1.1196680000000001</v>
      </c>
      <c r="L9317">
        <v>-40.763849999999998</v>
      </c>
      <c r="M9317">
        <v>8.3866659999999996E-2</v>
      </c>
      <c r="N9317">
        <v>-7.0259839999999999E-3</v>
      </c>
      <c r="O9317">
        <v>0.99645220000000001</v>
      </c>
      <c r="P9317">
        <v>5.3474399999999998E-2</v>
      </c>
      <c r="Q9317">
        <v>-5.5657129999999999E-2</v>
      </c>
      <c r="R9317">
        <v>0.99701700000000004</v>
      </c>
      <c r="S9317">
        <v>0.22828670000000001</v>
      </c>
      <c r="T9317">
        <v>-0.24164440000000001</v>
      </c>
      <c r="U9317">
        <v>2.983215</v>
      </c>
      <c r="V9317">
        <v>-3.0409970000000001E-2</v>
      </c>
      <c r="W9317">
        <v>-4.8595689999999997E-2</v>
      </c>
      <c r="X9317">
        <v>0.99835549999999995</v>
      </c>
      <c r="Y9317">
        <v>-7.7955519999999999E-3</v>
      </c>
      <c r="Z9317">
        <v>-7.3211129999999999E-2</v>
      </c>
      <c r="AA9317">
        <v>0.99728600000000001</v>
      </c>
      <c r="AB9317">
        <v>22</v>
      </c>
      <c r="AC9317">
        <v>1.0390999999999899</v>
      </c>
      <c r="AD9317">
        <v>-1.1196697944779901</v>
      </c>
      <c r="AE9317">
        <v>13.6128499999999</v>
      </c>
      <c r="AF9317">
        <v>-0.105543517194448</v>
      </c>
      <c r="AG9317">
        <v>-1.1196697944779901</v>
      </c>
      <c r="AH9317">
        <v>13.5608268590089</v>
      </c>
      <c r="AI9317">
        <v>94.719862413433006</v>
      </c>
      <c r="AJ9317">
        <v>90.445922365594001</v>
      </c>
      <c r="AK9317">
        <v>13.607381268367</v>
      </c>
      <c r="AL9317">
        <v>92.785424973526204</v>
      </c>
      <c r="AM9317">
        <v>91.7446935207021</v>
      </c>
      <c r="AN9317">
        <v>1.00000000587111</v>
      </c>
    </row>
    <row r="9318" spans="1:40" x14ac:dyDescent="0.25">
      <c r="A9318" t="str">
        <f>"20190303154021194"</f>
        <v>20190303154021194</v>
      </c>
      <c r="B9318" t="str">
        <f>"1551598821186873"</f>
        <v>1551598821186873</v>
      </c>
      <c r="C9318" t="s">
        <v>40</v>
      </c>
      <c r="D9318">
        <v>4.9272280000000004</v>
      </c>
      <c r="E9318">
        <v>0.51000479999999904</v>
      </c>
      <c r="F9318" t="s">
        <v>42</v>
      </c>
      <c r="G9318">
        <v>-187.602</v>
      </c>
      <c r="H9318" s="1">
        <v>-1.9148319999999999E-6</v>
      </c>
      <c r="I9318">
        <v>-26.895219999999998</v>
      </c>
      <c r="J9318">
        <v>-188.68289999999999</v>
      </c>
      <c r="K9318">
        <v>1.1197360000000001</v>
      </c>
      <c r="L9318">
        <v>-40.562350000000002</v>
      </c>
      <c r="M9318">
        <v>8.470511E-2</v>
      </c>
      <c r="N9318">
        <v>-6.672023E-3</v>
      </c>
      <c r="O9318">
        <v>0.99638369999999998</v>
      </c>
      <c r="P9318">
        <v>5.3920240000000001E-2</v>
      </c>
      <c r="Q9318">
        <v>-5.5791210000000001E-2</v>
      </c>
      <c r="R9318">
        <v>0.99698540000000002</v>
      </c>
      <c r="S9318">
        <v>0.2363586</v>
      </c>
      <c r="T9318">
        <v>-0.24081730000000001</v>
      </c>
      <c r="U9318">
        <v>2.9828489999999999</v>
      </c>
      <c r="V9318">
        <v>-3.0789589999999999E-2</v>
      </c>
      <c r="W9318">
        <v>-4.9091259999999998E-2</v>
      </c>
      <c r="X9318">
        <v>0.99831959999999997</v>
      </c>
      <c r="Y9318">
        <v>-5.9461019999999896E-3</v>
      </c>
      <c r="Z9318">
        <v>-7.3284539999999995E-2</v>
      </c>
      <c r="AA9318">
        <v>0.9972934</v>
      </c>
      <c r="AB9318">
        <v>22</v>
      </c>
      <c r="AC9318">
        <v>1.08089999999998</v>
      </c>
      <c r="AD9318">
        <v>-1.1197379148319999</v>
      </c>
      <c r="AE9318">
        <v>13.667129999999901</v>
      </c>
      <c r="AF9318">
        <v>-8.0151740047080797E-2</v>
      </c>
      <c r="AG9318">
        <v>-1.1197379148319999</v>
      </c>
      <c r="AH9318">
        <v>13.618722663470299</v>
      </c>
      <c r="AI9318">
        <v>94.700232785391904</v>
      </c>
      <c r="AJ9318">
        <v>90.3372051488615</v>
      </c>
      <c r="AK9318">
        <v>13.664912889728299</v>
      </c>
      <c r="AL9318">
        <v>92.813853026055</v>
      </c>
      <c r="AM9318">
        <v>91.766523006752706</v>
      </c>
      <c r="AN9318">
        <v>0.99999998720245697</v>
      </c>
    </row>
    <row r="9319" spans="1:40" x14ac:dyDescent="0.25">
      <c r="A9319" t="str">
        <f>"20190303154021217"</f>
        <v>20190303154021217</v>
      </c>
      <c r="B9319" t="str">
        <f>"1551598821207368"</f>
        <v>1551598821207368</v>
      </c>
      <c r="C9319" t="s">
        <v>40</v>
      </c>
      <c r="D9319">
        <v>4.9311220000000002</v>
      </c>
      <c r="E9319">
        <v>0.51047619999999905</v>
      </c>
      <c r="F9319" t="s">
        <v>42</v>
      </c>
      <c r="G9319">
        <v>-187.56360000000001</v>
      </c>
      <c r="H9319" s="1">
        <v>-1.9724E-6</v>
      </c>
      <c r="I9319">
        <v>-26.776900000000001</v>
      </c>
      <c r="J9319">
        <v>-188.66319999999999</v>
      </c>
      <c r="K9319">
        <v>1.11985</v>
      </c>
      <c r="L9319">
        <v>-40.340670000000003</v>
      </c>
      <c r="M9319">
        <v>8.5389179999999995E-2</v>
      </c>
      <c r="N9319">
        <v>-6.3128439999999997E-3</v>
      </c>
      <c r="O9319">
        <v>0.99632770000000004</v>
      </c>
      <c r="P9319">
        <v>5.3674260000000001E-2</v>
      </c>
      <c r="Q9319">
        <v>-5.7018149999999997E-2</v>
      </c>
      <c r="R9319">
        <v>0.99692930000000002</v>
      </c>
      <c r="S9319">
        <v>0.24215700000000001</v>
      </c>
      <c r="T9319">
        <v>-0.2422504</v>
      </c>
      <c r="U9319">
        <v>2.9824220000000001</v>
      </c>
      <c r="V9319">
        <v>-3.1698169999999998E-2</v>
      </c>
      <c r="W9319">
        <v>-5.0687799999999998E-2</v>
      </c>
      <c r="X9319">
        <v>0.99821139999999997</v>
      </c>
      <c r="Y9319">
        <v>-4.7001159999999998E-3</v>
      </c>
      <c r="Z9319">
        <v>-7.4113410000000005E-2</v>
      </c>
      <c r="AA9319">
        <v>0.99723879999999998</v>
      </c>
      <c r="AB9319">
        <v>22</v>
      </c>
      <c r="AC9319">
        <v>1.0995999999999799</v>
      </c>
      <c r="AD9319">
        <v>-1.1198519724</v>
      </c>
      <c r="AE9319">
        <v>13.56377</v>
      </c>
      <c r="AF9319">
        <v>-6.2217172401854502E-2</v>
      </c>
      <c r="AG9319">
        <v>-1.1198519724</v>
      </c>
      <c r="AH9319">
        <v>13.5165904862047</v>
      </c>
      <c r="AI9319">
        <v>94.736098990415897</v>
      </c>
      <c r="AJ9319">
        <v>90.263731909254403</v>
      </c>
      <c r="AK9319">
        <v>13.563043824613599</v>
      </c>
      <c r="AL9319">
        <v>92.905442017655602</v>
      </c>
      <c r="AM9319">
        <v>91.818814397430799</v>
      </c>
      <c r="AN9319">
        <v>1.0000000130700699</v>
      </c>
    </row>
    <row r="9320" spans="1:40" x14ac:dyDescent="0.25">
      <c r="A9320" t="str">
        <f>"20190303154021239"</f>
        <v>20190303154021239</v>
      </c>
      <c r="B9320" t="str">
        <f>"1551598821237624"</f>
        <v>1551598821237624</v>
      </c>
      <c r="C9320" t="s">
        <v>40</v>
      </c>
      <c r="D9320">
        <v>4.9130260000000003</v>
      </c>
      <c r="E9320">
        <v>0.51113770000000003</v>
      </c>
      <c r="F9320" t="s">
        <v>42</v>
      </c>
      <c r="G9320">
        <v>-187.54300000000001</v>
      </c>
      <c r="H9320" s="1">
        <v>-2.001076E-6</v>
      </c>
      <c r="I9320">
        <v>-26.718579999999999</v>
      </c>
      <c r="J9320">
        <v>-188.64340000000001</v>
      </c>
      <c r="K9320">
        <v>1.1199939999999999</v>
      </c>
      <c r="L9320">
        <v>-40.117159999999998</v>
      </c>
      <c r="M9320">
        <v>8.5800029999999999E-2</v>
      </c>
      <c r="N9320">
        <v>-5.9833159999999998E-3</v>
      </c>
      <c r="O9320">
        <v>0.99629440000000002</v>
      </c>
      <c r="P9320">
        <v>5.2137629999999997E-2</v>
      </c>
      <c r="Q9320">
        <v>-5.8601229999999997E-2</v>
      </c>
      <c r="R9320">
        <v>0.996919</v>
      </c>
      <c r="S9320">
        <v>0.2452087</v>
      </c>
      <c r="T9320">
        <v>-0.2451478</v>
      </c>
      <c r="U9320">
        <v>2.9820250000000001</v>
      </c>
      <c r="V9320">
        <v>-3.361869E-2</v>
      </c>
      <c r="W9320">
        <v>-5.2613430000000003E-2</v>
      </c>
      <c r="X9320">
        <v>0.99804890000000002</v>
      </c>
      <c r="Y9320">
        <v>-4.0959719999999998E-3</v>
      </c>
      <c r="Z9320">
        <v>-7.5399919999999995E-2</v>
      </c>
      <c r="AA9320">
        <v>0.9971449</v>
      </c>
      <c r="AB9320">
        <v>22</v>
      </c>
      <c r="AC9320">
        <v>1.1004</v>
      </c>
      <c r="AD9320">
        <v>-1.1199960010759999</v>
      </c>
      <c r="AE9320">
        <v>13.398580000000001</v>
      </c>
      <c r="AF9320">
        <v>-5.2909936723161799E-2</v>
      </c>
      <c r="AG9320">
        <v>-1.1199960010759999</v>
      </c>
      <c r="AH9320">
        <v>13.350922201025099</v>
      </c>
      <c r="AI9320">
        <v>94.795222622483294</v>
      </c>
      <c r="AJ9320">
        <v>90.227062981309203</v>
      </c>
      <c r="AK9320">
        <v>13.397922007597099</v>
      </c>
      <c r="AL9320">
        <v>93.015920014830897</v>
      </c>
      <c r="AM9320">
        <v>91.929245177905401</v>
      </c>
      <c r="AN9320">
        <v>0.99999999806244499</v>
      </c>
    </row>
    <row r="9321" spans="1:40" x14ac:dyDescent="0.25">
      <c r="A9321" t="str">
        <f>"20190303154021261"</f>
        <v>20190303154021261</v>
      </c>
      <c r="B9321" t="str">
        <f>"1551598821257144"</f>
        <v>1551598821257144</v>
      </c>
      <c r="C9321" t="s">
        <v>40</v>
      </c>
      <c r="D9321">
        <v>4.9039910000000004</v>
      </c>
      <c r="E9321">
        <v>0.5114493</v>
      </c>
      <c r="F9321" t="s">
        <v>42</v>
      </c>
      <c r="G9321">
        <v>-187.54159999999999</v>
      </c>
      <c r="H9321" s="1">
        <v>-1.984968E-6</v>
      </c>
      <c r="I9321">
        <v>-26.756710000000002</v>
      </c>
      <c r="J9321">
        <v>-188.62440000000001</v>
      </c>
      <c r="K9321">
        <v>1.1201570000000001</v>
      </c>
      <c r="L9321">
        <v>-39.900210000000001</v>
      </c>
      <c r="M9321">
        <v>8.5913509999999998E-2</v>
      </c>
      <c r="N9321">
        <v>-5.6964729999999996E-3</v>
      </c>
      <c r="O9321">
        <v>0.99628629999999996</v>
      </c>
      <c r="P9321">
        <v>5.080784E-2</v>
      </c>
      <c r="Q9321">
        <v>-5.88488E-2</v>
      </c>
      <c r="R9321">
        <v>0.99697309999999995</v>
      </c>
      <c r="S9321">
        <v>0.24588009999999999</v>
      </c>
      <c r="T9321">
        <v>-0.24995519999999999</v>
      </c>
      <c r="U9321">
        <v>2.9817200000000001</v>
      </c>
      <c r="V9321">
        <v>-3.5037270000000002E-2</v>
      </c>
      <c r="W9321">
        <v>-5.316332E-2</v>
      </c>
      <c r="X9321">
        <v>0.99797089999999999</v>
      </c>
      <c r="Y9321">
        <v>-3.9902959999999999E-3</v>
      </c>
      <c r="Z9321">
        <v>-7.7276399999999995E-2</v>
      </c>
      <c r="AA9321">
        <v>0.99700169999999999</v>
      </c>
      <c r="AB9321">
        <v>22</v>
      </c>
      <c r="AC9321">
        <v>1.08280000000002</v>
      </c>
      <c r="AD9321">
        <v>-1.120158984968</v>
      </c>
      <c r="AE9321">
        <v>13.1434999999999</v>
      </c>
      <c r="AF9321">
        <v>-5.0065043089030502E-2</v>
      </c>
      <c r="AG9321">
        <v>-1.120158984968</v>
      </c>
      <c r="AH9321">
        <v>13.093468879263099</v>
      </c>
      <c r="AI9321">
        <v>94.889767792156306</v>
      </c>
      <c r="AJ9321">
        <v>90.219078818385199</v>
      </c>
      <c r="AK9321">
        <v>13.141392237977501</v>
      </c>
      <c r="AL9321">
        <v>93.047470746920794</v>
      </c>
      <c r="AM9321">
        <v>92.010743491027398</v>
      </c>
      <c r="AN9321">
        <v>0.99999993306463997</v>
      </c>
    </row>
    <row r="9322" spans="1:40" x14ac:dyDescent="0.25">
      <c r="A9322" t="str">
        <f>"20190303154021283"</f>
        <v>20190303154021283</v>
      </c>
      <c r="B9322" t="str">
        <f>"1551598821277640"</f>
        <v>1551598821277640</v>
      </c>
      <c r="C9322" t="s">
        <v>40</v>
      </c>
      <c r="D9322">
        <v>4.8998369999999998</v>
      </c>
      <c r="E9322">
        <v>0.51164469999999995</v>
      </c>
      <c r="F9322" t="s">
        <v>42</v>
      </c>
      <c r="G9322">
        <v>-187.53309999999999</v>
      </c>
      <c r="H9322" s="1">
        <v>-2.0632999999999998E-6</v>
      </c>
      <c r="I9322">
        <v>-26.577660000000002</v>
      </c>
      <c r="J9322">
        <v>-188.60489999999999</v>
      </c>
      <c r="K9322">
        <v>1.1203510000000001</v>
      </c>
      <c r="L9322">
        <v>-39.674590000000002</v>
      </c>
      <c r="M9322">
        <v>8.5707530000000004E-2</v>
      </c>
      <c r="N9322">
        <v>-5.4336710000000002E-3</v>
      </c>
      <c r="O9322">
        <v>0.99630549999999996</v>
      </c>
      <c r="P9322">
        <v>5.0073800000000002E-2</v>
      </c>
      <c r="Q9322">
        <v>-5.9673829999999997E-2</v>
      </c>
      <c r="R9322">
        <v>0.99696119999999999</v>
      </c>
      <c r="S9322">
        <v>0.2442627</v>
      </c>
      <c r="T9322">
        <v>-0.25071569999999999</v>
      </c>
      <c r="U9322">
        <v>2.9818730000000002</v>
      </c>
      <c r="V9322">
        <v>-3.5531960000000001E-2</v>
      </c>
      <c r="W9322">
        <v>-5.4269989999999997E-2</v>
      </c>
      <c r="X9322">
        <v>0.9978939</v>
      </c>
      <c r="Y9322">
        <v>-4.3279929999999996E-3</v>
      </c>
      <c r="Z9322">
        <v>-7.7787780000000001E-2</v>
      </c>
      <c r="AA9322">
        <v>0.99696050000000003</v>
      </c>
      <c r="AB9322">
        <v>22</v>
      </c>
      <c r="AC9322">
        <v>1.0717999999999901</v>
      </c>
      <c r="AD9322">
        <v>-1.1203530633000001</v>
      </c>
      <c r="AE9322">
        <v>13.09693</v>
      </c>
      <c r="AF9322">
        <v>-5.4271596442968299E-2</v>
      </c>
      <c r="AG9322">
        <v>-1.1203530633000001</v>
      </c>
      <c r="AH9322">
        <v>13.0457698956229</v>
      </c>
      <c r="AI9322">
        <v>94.908398563114005</v>
      </c>
      <c r="AJ9322">
        <v>90.238354310282006</v>
      </c>
      <c r="AK9322">
        <v>13.093901197205</v>
      </c>
      <c r="AL9322">
        <v>93.110969764546496</v>
      </c>
      <c r="AM9322">
        <v>92.039266519292198</v>
      </c>
      <c r="AN9322">
        <v>0.99999999382662497</v>
      </c>
    </row>
    <row r="9323" spans="1:40" x14ac:dyDescent="0.25">
      <c r="A9323" t="str">
        <f>"20190303154021305"</f>
        <v>20190303154021305</v>
      </c>
      <c r="B9323" t="str">
        <f>"1551598821297161"</f>
        <v>1551598821297161</v>
      </c>
      <c r="C9323" t="s">
        <v>40</v>
      </c>
      <c r="D9323">
        <v>4.8680820000000002</v>
      </c>
      <c r="E9323">
        <v>0.51169969999999998</v>
      </c>
      <c r="F9323" t="s">
        <v>42</v>
      </c>
      <c r="G9323">
        <v>-187.52860000000001</v>
      </c>
      <c r="H9323" s="1">
        <v>-2.1020509999999999E-6</v>
      </c>
      <c r="I9323">
        <v>-26.489190000000001</v>
      </c>
      <c r="J9323">
        <v>-188.58580000000001</v>
      </c>
      <c r="K9323">
        <v>1.120573</v>
      </c>
      <c r="L9323">
        <v>-39.448239999999998</v>
      </c>
      <c r="M9323">
        <v>8.5146319999999998E-2</v>
      </c>
      <c r="N9323">
        <v>-5.205955E-3</v>
      </c>
      <c r="O9323">
        <v>0.99635490000000004</v>
      </c>
      <c r="P9323">
        <v>4.9266579999999997E-2</v>
      </c>
      <c r="Q9323">
        <v>-5.9360219999999998E-2</v>
      </c>
      <c r="R9323">
        <v>0.99702009999999996</v>
      </c>
      <c r="S9323">
        <v>0.24340819999999999</v>
      </c>
      <c r="T9323">
        <v>-0.2533569</v>
      </c>
      <c r="U9323">
        <v>2.9817499999999999</v>
      </c>
      <c r="V9323">
        <v>-3.574811E-2</v>
      </c>
      <c r="W9323">
        <v>-5.420436E-2</v>
      </c>
      <c r="X9323">
        <v>0.99788980000000005</v>
      </c>
      <c r="Y9323">
        <v>-4.0522930000000002E-3</v>
      </c>
      <c r="Z9323">
        <v>-7.8894829999999999E-2</v>
      </c>
      <c r="AA9323">
        <v>0.9968747</v>
      </c>
      <c r="AB9323">
        <v>23</v>
      </c>
      <c r="AC9323">
        <v>1.0571999999999899</v>
      </c>
      <c r="AD9323">
        <v>-1.120575102051</v>
      </c>
      <c r="AE9323">
        <v>12.95905</v>
      </c>
      <c r="AF9323">
        <v>-4.9700533251751902E-2</v>
      </c>
      <c r="AG9323">
        <v>-1.120575102051</v>
      </c>
      <c r="AH9323">
        <v>12.9061422425546</v>
      </c>
      <c r="AI9323">
        <v>94.962221869099494</v>
      </c>
      <c r="AJ9323">
        <v>90.220640425704403</v>
      </c>
      <c r="AK9323">
        <v>12.9547931781019</v>
      </c>
      <c r="AL9323">
        <v>93.107203735706804</v>
      </c>
      <c r="AM9323">
        <v>92.051669751824804</v>
      </c>
      <c r="AN9323">
        <v>1.00000004647781</v>
      </c>
    </row>
    <row r="9324" spans="1:40" x14ac:dyDescent="0.25">
      <c r="A9324" t="str">
        <f>"20190303154021328"</f>
        <v>20190303154021328</v>
      </c>
      <c r="B9324" t="str">
        <f>"1551598821317660"</f>
        <v>1551598821317660</v>
      </c>
      <c r="C9324" t="s">
        <v>40</v>
      </c>
      <c r="D9324">
        <v>4.9171019999999999</v>
      </c>
      <c r="E9324">
        <v>0.51167299999999905</v>
      </c>
      <c r="F9324" t="s">
        <v>42</v>
      </c>
      <c r="G9324">
        <v>-187.51689999999999</v>
      </c>
      <c r="H9324" s="1">
        <v>-2.2098469999999998E-6</v>
      </c>
      <c r="I9324">
        <v>-26.242719999999998</v>
      </c>
      <c r="J9324">
        <v>-188.56639999999999</v>
      </c>
      <c r="K9324">
        <v>1.120816</v>
      </c>
      <c r="L9324">
        <v>-39.210999999999999</v>
      </c>
      <c r="M9324">
        <v>8.4170220000000004E-2</v>
      </c>
      <c r="N9324">
        <v>-5.0030250000000004E-3</v>
      </c>
      <c r="O9324">
        <v>0.99643879999999996</v>
      </c>
      <c r="P9324">
        <v>4.7712480000000002E-2</v>
      </c>
      <c r="Q9324">
        <v>-5.7907880000000002E-2</v>
      </c>
      <c r="R9324">
        <v>0.99718110000000004</v>
      </c>
      <c r="S9324">
        <v>0.2413788</v>
      </c>
      <c r="T9324">
        <v>-0.25304189999999999</v>
      </c>
      <c r="U9324">
        <v>2.981995</v>
      </c>
      <c r="V9324">
        <v>-3.6300550000000001E-2</v>
      </c>
      <c r="W9324">
        <v>-5.2977759999999999E-2</v>
      </c>
      <c r="X9324">
        <v>0.99793569999999998</v>
      </c>
      <c r="Y9324">
        <v>-3.753934E-3</v>
      </c>
      <c r="Z9324">
        <v>-7.8998239999999997E-2</v>
      </c>
      <c r="AA9324">
        <v>0.99686770000000002</v>
      </c>
      <c r="AB9324">
        <v>23</v>
      </c>
      <c r="AC9324">
        <v>1.0494999999999901</v>
      </c>
      <c r="AD9324">
        <v>-1.1208182098469901</v>
      </c>
      <c r="AE9324">
        <v>12.968279999999901</v>
      </c>
      <c r="AF9324">
        <v>-4.5443789752583598E-2</v>
      </c>
      <c r="AG9324">
        <v>-1.1208182098469901</v>
      </c>
      <c r="AH9324">
        <v>12.914755057768</v>
      </c>
      <c r="AI9324">
        <v>94.960005593451896</v>
      </c>
      <c r="AJ9324">
        <v>90.201608671646696</v>
      </c>
      <c r="AK9324">
        <v>12.963379065648599</v>
      </c>
      <c r="AL9324">
        <v>93.036823681877294</v>
      </c>
      <c r="AM9324">
        <v>92.083252142300395</v>
      </c>
      <c r="AN9324">
        <v>1.0000000171597001</v>
      </c>
    </row>
    <row r="9325" spans="1:40" x14ac:dyDescent="0.25">
      <c r="A9325" t="str">
        <f>"20190303154021351"</f>
        <v>20190303154021351</v>
      </c>
      <c r="B9325" t="str">
        <f>"1551598821346936"</f>
        <v>1551598821346936</v>
      </c>
      <c r="C9325" t="s">
        <v>40</v>
      </c>
      <c r="D9325">
        <v>4.8639099999999997</v>
      </c>
      <c r="E9325">
        <v>0.51182780000000005</v>
      </c>
      <c r="F9325" t="s">
        <v>42</v>
      </c>
      <c r="G9325">
        <v>-187.50280000000001</v>
      </c>
      <c r="H9325" s="1">
        <v>-2.4068599999999999E-6</v>
      </c>
      <c r="I9325">
        <v>-25.78932</v>
      </c>
      <c r="J9325">
        <v>-188.54839999999999</v>
      </c>
      <c r="K9325">
        <v>1.1210560000000001</v>
      </c>
      <c r="L9325">
        <v>-38.981780000000001</v>
      </c>
      <c r="M9325">
        <v>8.2815979999999997E-2</v>
      </c>
      <c r="N9325">
        <v>-4.8417499999999997E-3</v>
      </c>
      <c r="O9325">
        <v>0.99655309999999997</v>
      </c>
      <c r="P9325">
        <v>4.5479169999999999E-2</v>
      </c>
      <c r="Q9325">
        <v>-5.7543549999999999E-2</v>
      </c>
      <c r="R9325">
        <v>0.99730660000000004</v>
      </c>
      <c r="S9325">
        <v>0.2363739</v>
      </c>
      <c r="T9325">
        <v>-0.2490792</v>
      </c>
      <c r="U9325">
        <v>2.9826969999999999</v>
      </c>
      <c r="V9325">
        <v>-3.7148870000000001E-2</v>
      </c>
      <c r="W9325">
        <v>-5.2798600000000001E-2</v>
      </c>
      <c r="X9325">
        <v>0.99791399999999997</v>
      </c>
      <c r="Y9325">
        <v>-4.0685740000000001E-3</v>
      </c>
      <c r="Z9325">
        <v>-7.7851770000000001E-2</v>
      </c>
      <c r="AA9325">
        <v>0.99695659999999997</v>
      </c>
      <c r="AB9325">
        <v>23</v>
      </c>
      <c r="AC9325">
        <v>1.0455999999999701</v>
      </c>
      <c r="AD9325">
        <v>-1.12105840686</v>
      </c>
      <c r="AE9325">
        <v>13.192460000000001</v>
      </c>
      <c r="AF9325">
        <v>-5.0191001399388001E-2</v>
      </c>
      <c r="AG9325">
        <v>-1.12105840686</v>
      </c>
      <c r="AH9325">
        <v>13.139445063142601</v>
      </c>
      <c r="AI9325">
        <v>94.876634282125593</v>
      </c>
      <c r="AJ9325">
        <v>90.218861492933002</v>
      </c>
      <c r="AK9325">
        <v>13.187278250479</v>
      </c>
      <c r="AL9325">
        <v>93.026544111043407</v>
      </c>
      <c r="AM9325">
        <v>92.131938281799506</v>
      </c>
      <c r="AN9325">
        <v>1.00000004105011</v>
      </c>
    </row>
    <row r="9326" spans="1:40" x14ac:dyDescent="0.25">
      <c r="A9326" t="str">
        <f>"20190303154021375"</f>
        <v>20190303154021375</v>
      </c>
      <c r="B9326" t="str">
        <f>"1551598821367432"</f>
        <v>1551598821367432</v>
      </c>
      <c r="C9326" t="s">
        <v>40</v>
      </c>
      <c r="D9326">
        <v>4.8635229999999998</v>
      </c>
      <c r="E9326">
        <v>0.51191220000000004</v>
      </c>
      <c r="F9326" t="s">
        <v>44</v>
      </c>
      <c r="G9326">
        <v>-188.4776</v>
      </c>
      <c r="H9326">
        <v>1.045004</v>
      </c>
      <c r="I9326">
        <v>-38.067120000000003</v>
      </c>
      <c r="J9326">
        <v>-188.53</v>
      </c>
      <c r="K9326">
        <v>1.1212839999999999</v>
      </c>
      <c r="L9326">
        <v>-38.738430000000001</v>
      </c>
      <c r="M9326">
        <v>8.0994360000000001E-2</v>
      </c>
      <c r="N9326">
        <v>-4.7008420000000002E-3</v>
      </c>
      <c r="O9326">
        <v>0.99670340000000002</v>
      </c>
      <c r="P9326">
        <v>4.3258280000000003E-2</v>
      </c>
      <c r="Q9326">
        <v>-5.870798E-2</v>
      </c>
      <c r="R9326">
        <v>0.99733749999999999</v>
      </c>
      <c r="S9326">
        <v>0.23083500000000001</v>
      </c>
      <c r="T9326">
        <v>-0.2480705</v>
      </c>
      <c r="U9326">
        <v>2.9832459999999998</v>
      </c>
      <c r="V9326">
        <v>-3.7505450000000003E-2</v>
      </c>
      <c r="W9326">
        <v>-5.4127740000000001E-2</v>
      </c>
      <c r="X9326">
        <v>0.99782939999999998</v>
      </c>
      <c r="Y9326">
        <v>-4.093841E-3</v>
      </c>
      <c r="Z9326">
        <v>-7.7667899999999998E-2</v>
      </c>
      <c r="AA9326">
        <v>0.99697089999999999</v>
      </c>
      <c r="AB9326">
        <v>23</v>
      </c>
      <c r="AC9326">
        <v>5.2400000000005699E-2</v>
      </c>
      <c r="AD9326">
        <v>-7.6279999999999903E-2</v>
      </c>
      <c r="AE9326">
        <v>0.67130999999999796</v>
      </c>
      <c r="AF9326">
        <v>-2.1179098177233902E-3</v>
      </c>
      <c r="AG9326">
        <v>-7.6279999999999903E-2</v>
      </c>
      <c r="AH9326">
        <v>0.66481678492611695</v>
      </c>
      <c r="AI9326">
        <v>96.545368889612405</v>
      </c>
      <c r="AJ9326">
        <v>90.182526804666296</v>
      </c>
      <c r="AK9326">
        <v>0.669181949443868</v>
      </c>
      <c r="AL9326">
        <v>93.102807450525802</v>
      </c>
      <c r="AM9326">
        <v>92.152565228789996</v>
      </c>
      <c r="AN9326">
        <v>0.99999999126078398</v>
      </c>
    </row>
    <row r="9327" spans="1:40" x14ac:dyDescent="0.25">
      <c r="A9327" t="str">
        <f>"20190303154021395"</f>
        <v>20190303154021395</v>
      </c>
      <c r="B9327" t="str">
        <f>"1551598821386953"</f>
        <v>1551598821386953</v>
      </c>
      <c r="C9327" t="s">
        <v>40</v>
      </c>
      <c r="D9327">
        <v>4.873793</v>
      </c>
      <c r="E9327">
        <v>0.51200879999999904</v>
      </c>
      <c r="F9327" t="s">
        <v>44</v>
      </c>
      <c r="G9327">
        <v>-188.46299999999999</v>
      </c>
      <c r="H9327">
        <v>1.046311</v>
      </c>
      <c r="I9327">
        <v>-37.851709999999997</v>
      </c>
      <c r="J9327">
        <v>-188.51439999999999</v>
      </c>
      <c r="K9327">
        <v>1.1214500000000001</v>
      </c>
      <c r="L9327">
        <v>-38.523560000000003</v>
      </c>
      <c r="M9327">
        <v>7.9138520000000004E-2</v>
      </c>
      <c r="N9327">
        <v>-4.5956549999999997E-3</v>
      </c>
      <c r="O9327">
        <v>0.99685310000000005</v>
      </c>
      <c r="P9327">
        <v>4.0555109999999998E-2</v>
      </c>
      <c r="Q9327">
        <v>-6.0079029999999999E-2</v>
      </c>
      <c r="R9327">
        <v>0.99736939999999996</v>
      </c>
      <c r="S9327">
        <v>0.224823</v>
      </c>
      <c r="T9327">
        <v>-0.25229279999999998</v>
      </c>
      <c r="U9327">
        <v>2.9833980000000002</v>
      </c>
      <c r="V9327">
        <v>-3.8315910000000002E-2</v>
      </c>
      <c r="W9327">
        <v>-5.562396E-2</v>
      </c>
      <c r="X9327">
        <v>0.9977163</v>
      </c>
      <c r="Y9327">
        <v>-4.2422129999999999E-3</v>
      </c>
      <c r="Z9327">
        <v>-7.9184740000000003E-2</v>
      </c>
      <c r="AA9327">
        <v>0.99685089999999998</v>
      </c>
      <c r="AB9327">
        <v>23</v>
      </c>
      <c r="AC9327">
        <v>5.1400000000000903E-2</v>
      </c>
      <c r="AD9327">
        <v>-7.5138999999999997E-2</v>
      </c>
      <c r="AE9327">
        <v>0.67184999999999895</v>
      </c>
      <c r="AF9327">
        <v>-1.9072683872339499E-3</v>
      </c>
      <c r="AG9327">
        <v>-7.5138999999999997E-2</v>
      </c>
      <c r="AH9327">
        <v>0.66553451413431097</v>
      </c>
      <c r="AI9327">
        <v>96.441404408511701</v>
      </c>
      <c r="AJ9327">
        <v>90.164196037190095</v>
      </c>
      <c r="AK9327">
        <v>0.66976540407645302</v>
      </c>
      <c r="AL9327">
        <v>93.188663973611597</v>
      </c>
      <c r="AM9327">
        <v>92.199284133903504</v>
      </c>
      <c r="AN9327">
        <v>0.99999997458544898</v>
      </c>
    </row>
    <row r="9328" spans="1:40" x14ac:dyDescent="0.25">
      <c r="A9328" t="str">
        <f>"20190303154021418"</f>
        <v>20190303154021418</v>
      </c>
      <c r="B9328" t="str">
        <f>"1551598821407452"</f>
        <v>1551598821407452</v>
      </c>
      <c r="C9328" t="s">
        <v>40</v>
      </c>
      <c r="D9328">
        <v>4.8879199999999896</v>
      </c>
      <c r="E9328">
        <v>0.51208069999999895</v>
      </c>
      <c r="F9328" t="s">
        <v>44</v>
      </c>
      <c r="G9328">
        <v>-188.4504</v>
      </c>
      <c r="H9328">
        <v>1.0459259999999999</v>
      </c>
      <c r="I9328">
        <v>-37.646140000000003</v>
      </c>
      <c r="J9328">
        <v>-188.49809999999999</v>
      </c>
      <c r="K9328">
        <v>1.1215999999999999</v>
      </c>
      <c r="L9328">
        <v>-38.288089999999997</v>
      </c>
      <c r="M9328">
        <v>7.6864940000000007E-2</v>
      </c>
      <c r="N9328">
        <v>-4.498536E-3</v>
      </c>
      <c r="O9328">
        <v>0.99703140000000001</v>
      </c>
      <c r="P9328">
        <v>3.6965720000000001E-2</v>
      </c>
      <c r="Q9328">
        <v>-6.1590440000000003E-2</v>
      </c>
      <c r="R9328">
        <v>0.99741670000000004</v>
      </c>
      <c r="S9328">
        <v>0.21757509999999999</v>
      </c>
      <c r="T9328">
        <v>-0.25681850000000001</v>
      </c>
      <c r="U9328">
        <v>2.9836119999999999</v>
      </c>
      <c r="V9328">
        <v>-3.9594839999999999E-2</v>
      </c>
      <c r="W9328">
        <v>-5.7253169999999999E-2</v>
      </c>
      <c r="X9328">
        <v>0.99757419999999997</v>
      </c>
      <c r="Y9328">
        <v>-4.3847209999999899E-3</v>
      </c>
      <c r="Z9328">
        <v>-8.0796789999999993E-2</v>
      </c>
      <c r="AA9328">
        <v>0.99672099999999997</v>
      </c>
      <c r="AB9328">
        <v>23</v>
      </c>
      <c r="AC9328">
        <v>4.7699999999991798E-2</v>
      </c>
      <c r="AD9328">
        <v>-7.5674000000000005E-2</v>
      </c>
      <c r="AE9328">
        <v>0.64195000000000102</v>
      </c>
      <c r="AF9328">
        <v>-1.7607355540312599E-3</v>
      </c>
      <c r="AG9328">
        <v>-7.5674000000000005E-2</v>
      </c>
      <c r="AH9328">
        <v>0.63494251846254401</v>
      </c>
      <c r="AI9328">
        <v>96.796565414427306</v>
      </c>
      <c r="AJ9328">
        <v>90.158884394351404</v>
      </c>
      <c r="AK9328">
        <v>0.63943854764727004</v>
      </c>
      <c r="AL9328">
        <v>93.282159848952304</v>
      </c>
      <c r="AM9328">
        <v>92.272940731575304</v>
      </c>
      <c r="AN9328">
        <v>0.99999998066765605</v>
      </c>
    </row>
    <row r="9329" spans="1:40" x14ac:dyDescent="0.25">
      <c r="A9329" t="str">
        <f>"20190303154021439"</f>
        <v>20190303154021439</v>
      </c>
      <c r="B9329" t="str">
        <f>"1551598821437704"</f>
        <v>1551598821437704</v>
      </c>
      <c r="C9329" t="s">
        <v>40</v>
      </c>
      <c r="D9329">
        <v>4.8654299999999999</v>
      </c>
      <c r="E9329">
        <v>0.51229599999999997</v>
      </c>
      <c r="F9329" t="s">
        <v>42</v>
      </c>
      <c r="G9329">
        <v>-187.60769999999999</v>
      </c>
      <c r="H9329" s="1">
        <v>-2.5224249999999998E-6</v>
      </c>
      <c r="I9329">
        <v>-25.47655</v>
      </c>
      <c r="J9329">
        <v>-188.4828</v>
      </c>
      <c r="K9329">
        <v>1.1217079999999999</v>
      </c>
      <c r="L9329">
        <v>-38.056579999999997</v>
      </c>
      <c r="M9329">
        <v>7.4421280000000006E-2</v>
      </c>
      <c r="N9329">
        <v>-4.4192220000000004E-3</v>
      </c>
      <c r="O9329">
        <v>0.99721709999999997</v>
      </c>
      <c r="P9329">
        <v>3.3077059999999998E-2</v>
      </c>
      <c r="Q9329">
        <v>-6.280579E-2</v>
      </c>
      <c r="R9329">
        <v>0.99747750000000002</v>
      </c>
      <c r="S9329">
        <v>0.20738219999999999</v>
      </c>
      <c r="T9329">
        <v>-0.26123370000000001</v>
      </c>
      <c r="U9329">
        <v>2.9839479999999998</v>
      </c>
      <c r="V9329">
        <v>-4.1009669999999998E-2</v>
      </c>
      <c r="W9329">
        <v>-5.8566729999999997E-2</v>
      </c>
      <c r="X9329">
        <v>0.99744080000000002</v>
      </c>
      <c r="Y9329">
        <v>-5.3382940000000004E-3</v>
      </c>
      <c r="Z9329">
        <v>-8.2354780000000002E-2</v>
      </c>
      <c r="AA9329">
        <v>0.99658880000000005</v>
      </c>
      <c r="AB9329">
        <v>24</v>
      </c>
      <c r="AC9329">
        <v>0.87510000000000299</v>
      </c>
      <c r="AD9329">
        <v>-1.1217105224249999</v>
      </c>
      <c r="AE9329">
        <v>12.580029999999899</v>
      </c>
      <c r="AF9329">
        <v>-6.3058931367230897E-2</v>
      </c>
      <c r="AG9329">
        <v>-1.1217105224249999</v>
      </c>
      <c r="AH9329">
        <v>12.511277469265501</v>
      </c>
      <c r="AI9329">
        <v>95.123145259412397</v>
      </c>
      <c r="AJ9329">
        <v>90.288777868061402</v>
      </c>
      <c r="AK9329">
        <v>12.5616191168931</v>
      </c>
      <c r="AL9329">
        <v>93.357547742932297</v>
      </c>
      <c r="AM9329">
        <v>92.354383696459294</v>
      </c>
      <c r="AN9329">
        <v>1.00000000220052</v>
      </c>
    </row>
    <row r="9330" spans="1:40" x14ac:dyDescent="0.25">
      <c r="A9330" t="str">
        <f>"20190303154021462"</f>
        <v>20190303154021462</v>
      </c>
      <c r="B9330" t="str">
        <f>"1551598821457225"</f>
        <v>1551598821457225</v>
      </c>
      <c r="C9330" t="s">
        <v>40</v>
      </c>
      <c r="D9330">
        <v>4.9822649999999999</v>
      </c>
      <c r="E9330">
        <v>0.49808249999999998</v>
      </c>
      <c r="F9330" t="s">
        <v>42</v>
      </c>
      <c r="G9330">
        <v>-187.64779999999999</v>
      </c>
      <c r="H9330" s="1">
        <v>-2.5352010000000001E-6</v>
      </c>
      <c r="I9330">
        <v>-25.430209999999999</v>
      </c>
      <c r="J9330">
        <v>-188.46799999999999</v>
      </c>
      <c r="K9330">
        <v>1.1217889999999999</v>
      </c>
      <c r="L9330">
        <v>-37.819760000000002</v>
      </c>
      <c r="M9330">
        <v>7.1746840000000006E-2</v>
      </c>
      <c r="N9330">
        <v>-4.3532099999999997E-3</v>
      </c>
      <c r="O9330">
        <v>0.99741340000000001</v>
      </c>
      <c r="P9330">
        <v>2.8527540000000001E-2</v>
      </c>
      <c r="Q9330">
        <v>-6.4022750000000003E-2</v>
      </c>
      <c r="R9330">
        <v>0.9975406</v>
      </c>
      <c r="S9330">
        <v>0.1973724</v>
      </c>
      <c r="T9330">
        <v>-0.26512540000000001</v>
      </c>
      <c r="U9330">
        <v>2.9843440000000001</v>
      </c>
      <c r="V9330">
        <v>-4.2856430000000001E-2</v>
      </c>
      <c r="W9330">
        <v>-5.9869319999999997E-2</v>
      </c>
      <c r="X9330">
        <v>0.9972858</v>
      </c>
      <c r="Y9330">
        <v>-6.0005669999999896E-3</v>
      </c>
      <c r="Z9330">
        <v>-8.3726270000000005E-2</v>
      </c>
      <c r="AA9330">
        <v>0.99647070000000004</v>
      </c>
      <c r="AB9330">
        <v>24</v>
      </c>
      <c r="AC9330">
        <v>0.82019999999999904</v>
      </c>
      <c r="AD9330">
        <v>-1.1217915352009999</v>
      </c>
      <c r="AE9330">
        <v>12.3895499999999</v>
      </c>
      <c r="AF9330">
        <v>-7.0259776834354207E-2</v>
      </c>
      <c r="AG9330">
        <v>-1.1217915352009999</v>
      </c>
      <c r="AH9330">
        <v>12.315940530812099</v>
      </c>
      <c r="AI9330">
        <v>95.204313504698803</v>
      </c>
      <c r="AJ9330">
        <v>90.326856483480697</v>
      </c>
      <c r="AK9330">
        <v>12.3671235072344</v>
      </c>
      <c r="AL9330">
        <v>93.432311912019699</v>
      </c>
      <c r="AM9330">
        <v>92.460661457173799</v>
      </c>
      <c r="AN9330">
        <v>0.99999998797562295</v>
      </c>
    </row>
    <row r="9331" spans="1:40" x14ac:dyDescent="0.25">
      <c r="A9331" t="str">
        <f>"20190303154021484"</f>
        <v>20190303154021484</v>
      </c>
      <c r="B9331" t="str">
        <f>"1551598821477721"</f>
        <v>1551598821477721</v>
      </c>
      <c r="C9331" t="s">
        <v>40</v>
      </c>
      <c r="D9331">
        <v>4.8706209999999999</v>
      </c>
      <c r="E9331">
        <v>0.48001559999999999</v>
      </c>
      <c r="F9331" t="s">
        <v>42</v>
      </c>
      <c r="G9331">
        <v>-188.06639999999999</v>
      </c>
      <c r="H9331" s="1">
        <v>-4.4775290000000001E-6</v>
      </c>
      <c r="I9331">
        <v>-20.729510000000001</v>
      </c>
      <c r="J9331">
        <v>-188.45410000000001</v>
      </c>
      <c r="K9331">
        <v>1.1218600000000001</v>
      </c>
      <c r="L9331">
        <v>-37.586120000000001</v>
      </c>
      <c r="M9331">
        <v>6.8977179999999999E-2</v>
      </c>
      <c r="N9331">
        <v>-4.2995150000000003E-3</v>
      </c>
      <c r="O9331">
        <v>0.99760899999999997</v>
      </c>
      <c r="P9331">
        <v>2.429715E-2</v>
      </c>
      <c r="Q9331">
        <v>-6.4896609999999993E-2</v>
      </c>
      <c r="R9331">
        <v>0.99759609999999999</v>
      </c>
      <c r="S9331">
        <v>7.0327760000000003E-2</v>
      </c>
      <c r="T9331">
        <v>-0.19644329999999999</v>
      </c>
      <c r="U9331">
        <v>2.9927670000000002</v>
      </c>
      <c r="V9331">
        <v>-4.4295220000000003E-2</v>
      </c>
      <c r="W9331">
        <v>-6.0813140000000002E-2</v>
      </c>
      <c r="X9331">
        <v>0.99716590000000005</v>
      </c>
      <c r="Y9331">
        <v>-4.555882E-2</v>
      </c>
      <c r="Z9331">
        <v>-6.0934309999999998E-2</v>
      </c>
      <c r="AA9331">
        <v>0.99710149999999997</v>
      </c>
      <c r="AB9331">
        <v>24</v>
      </c>
      <c r="AC9331">
        <v>0.38770000000002303</v>
      </c>
      <c r="AD9331">
        <v>-1.1218644775290001</v>
      </c>
      <c r="AE9331">
        <v>16.85661</v>
      </c>
      <c r="AF9331">
        <v>-0.77253554038641403</v>
      </c>
      <c r="AG9331">
        <v>-1.1218644775290001</v>
      </c>
      <c r="AH9331">
        <v>16.768967115778199</v>
      </c>
      <c r="AI9331">
        <v>93.823411304455902</v>
      </c>
      <c r="AJ9331">
        <v>92.637714719969196</v>
      </c>
      <c r="AK9331">
        <v>16.824198322569501</v>
      </c>
      <c r="AL9331">
        <v>93.486487255272493</v>
      </c>
      <c r="AM9331">
        <v>92.543470270764502</v>
      </c>
      <c r="AN9331">
        <v>1.0000000683171499</v>
      </c>
    </row>
    <row r="9332" spans="1:40" x14ac:dyDescent="0.25">
      <c r="A9332" t="str">
        <f>"20190303154021507"</f>
        <v>20190303154021507</v>
      </c>
      <c r="B9332" t="str">
        <f>"1551598821497240"</f>
        <v>1551598821497240</v>
      </c>
      <c r="C9332" t="s">
        <v>40</v>
      </c>
      <c r="D9332">
        <v>4.8600580000000004</v>
      </c>
      <c r="E9332">
        <v>0.47266350000000001</v>
      </c>
      <c r="F9332" t="s">
        <v>42</v>
      </c>
      <c r="G9332">
        <v>-188.88409999999999</v>
      </c>
      <c r="H9332" s="1">
        <v>-3.498222E-6</v>
      </c>
      <c r="I9332">
        <v>-22.674189999999999</v>
      </c>
      <c r="J9332">
        <v>-188.44040000000001</v>
      </c>
      <c r="K9332">
        <v>1.1219239999999999</v>
      </c>
      <c r="L9332">
        <v>-37.343110000000003</v>
      </c>
      <c r="M9332">
        <v>6.6000610000000001E-2</v>
      </c>
      <c r="N9332">
        <v>-4.2517379999999997E-3</v>
      </c>
      <c r="O9332">
        <v>0.99781050000000004</v>
      </c>
      <c r="P9332">
        <v>2.0350799999999999E-2</v>
      </c>
      <c r="Q9332">
        <v>-6.5272759999999999E-2</v>
      </c>
      <c r="R9332">
        <v>0.99765990000000004</v>
      </c>
      <c r="S9332">
        <v>-8.6349490000000001E-2</v>
      </c>
      <c r="T9332">
        <v>-0.22529840000000001</v>
      </c>
      <c r="U9332">
        <v>2.9946899999999999</v>
      </c>
      <c r="V9332">
        <v>-4.524972E-2</v>
      </c>
      <c r="W9332">
        <v>-6.1249690000000002E-2</v>
      </c>
      <c r="X9332">
        <v>0.99709619999999999</v>
      </c>
      <c r="Y9332">
        <v>-9.4645199999999999E-2</v>
      </c>
      <c r="Z9332">
        <v>-7.0347069999999998E-2</v>
      </c>
      <c r="AA9332">
        <v>0.99302239999999997</v>
      </c>
      <c r="AB9332">
        <v>24</v>
      </c>
      <c r="AC9332">
        <v>-0.443699999999978</v>
      </c>
      <c r="AD9332">
        <v>-1.121927498222</v>
      </c>
      <c r="AE9332">
        <v>14.6689199999999</v>
      </c>
      <c r="AF9332">
        <v>-1.40270109885299</v>
      </c>
      <c r="AG9332">
        <v>-1.121927498222</v>
      </c>
      <c r="AH9332">
        <v>14.522774154927401</v>
      </c>
      <c r="AI9332">
        <v>94.397113692385702</v>
      </c>
      <c r="AJ9332">
        <v>95.516874641371899</v>
      </c>
      <c r="AK9332">
        <v>14.6334295651777</v>
      </c>
      <c r="AL9332">
        <v>93.511546867497103</v>
      </c>
      <c r="AM9332">
        <v>92.598385552850402</v>
      </c>
      <c r="AN9332">
        <v>0.99999994686980498</v>
      </c>
    </row>
    <row r="9333" spans="1:40" x14ac:dyDescent="0.25">
      <c r="A9333" t="str">
        <f>"20190303154021529"</f>
        <v>20190303154021529</v>
      </c>
      <c r="B9333" t="str">
        <f>"1551598821527496"</f>
        <v>1551598821527496</v>
      </c>
      <c r="C9333" t="s">
        <v>40</v>
      </c>
      <c r="D9333">
        <v>4.8936630000000001</v>
      </c>
      <c r="E9333">
        <v>0.4680262</v>
      </c>
      <c r="F9333" t="s">
        <v>42</v>
      </c>
      <c r="G9333">
        <v>-189.14930000000001</v>
      </c>
      <c r="H9333" s="1">
        <v>-2.9636610000000001E-6</v>
      </c>
      <c r="I9333">
        <v>-23.81061</v>
      </c>
      <c r="J9333">
        <v>-188.42769999999999</v>
      </c>
      <c r="K9333">
        <v>1.1219709999999901</v>
      </c>
      <c r="L9333">
        <v>-37.101869999999998</v>
      </c>
      <c r="M9333">
        <v>6.2986219999999996E-2</v>
      </c>
      <c r="N9333">
        <v>-4.2114159999999999E-3</v>
      </c>
      <c r="O9333">
        <v>0.99800549999999999</v>
      </c>
      <c r="P9333">
        <v>1.6498720000000001E-2</v>
      </c>
      <c r="Q9333">
        <v>-6.6296729999999998E-2</v>
      </c>
      <c r="R9333">
        <v>0.99766359999999998</v>
      </c>
      <c r="S9333">
        <v>-0.15682979999999899</v>
      </c>
      <c r="T9333">
        <v>-0.24822</v>
      </c>
      <c r="U9333">
        <v>2.9939879999999999</v>
      </c>
      <c r="V9333">
        <v>-4.6070119999999999E-2</v>
      </c>
      <c r="W9333">
        <v>-6.2324110000000002E-2</v>
      </c>
      <c r="X9333">
        <v>0.99699210000000005</v>
      </c>
      <c r="Y9333">
        <v>-0.11492570000000001</v>
      </c>
      <c r="Z9333">
        <v>-7.7842250000000002E-2</v>
      </c>
      <c r="AA9333">
        <v>0.99031950000000002</v>
      </c>
      <c r="AB9333">
        <v>24</v>
      </c>
      <c r="AC9333">
        <v>-0.721600000000023</v>
      </c>
      <c r="AD9333">
        <v>-1.12197396366099</v>
      </c>
      <c r="AE9333">
        <v>13.2912599999999</v>
      </c>
      <c r="AF9333">
        <v>-1.54635420534982</v>
      </c>
      <c r="AG9333">
        <v>-1.12197396366099</v>
      </c>
      <c r="AH9333">
        <v>13.1261576951688</v>
      </c>
      <c r="AI9333">
        <v>94.852157384365</v>
      </c>
      <c r="AJ9333">
        <v>96.718879560848094</v>
      </c>
      <c r="AK9333">
        <v>13.264465791805399</v>
      </c>
      <c r="AL9333">
        <v>93.573224261898702</v>
      </c>
      <c r="AM9333">
        <v>92.645705077135602</v>
      </c>
      <c r="AN9333">
        <v>0.99999999905325798</v>
      </c>
    </row>
    <row r="9334" spans="1:40" x14ac:dyDescent="0.25">
      <c r="A9334" t="str">
        <f>"20190303154021553"</f>
        <v>20190303154021553</v>
      </c>
      <c r="B9334" t="str">
        <f>"1551598821547016"</f>
        <v>1551598821547016</v>
      </c>
      <c r="C9334" t="s">
        <v>40</v>
      </c>
      <c r="D9334">
        <v>4.8842569999999998</v>
      </c>
      <c r="E9334">
        <v>0.46647440000000001</v>
      </c>
      <c r="F9334" t="s">
        <v>42</v>
      </c>
      <c r="G9334">
        <v>-189.29339999999999</v>
      </c>
      <c r="H9334" s="1">
        <v>-2.6505549999999999E-6</v>
      </c>
      <c r="I9334">
        <v>-24.480889999999999</v>
      </c>
      <c r="J9334">
        <v>-188.41470000000001</v>
      </c>
      <c r="K9334">
        <v>1.12199</v>
      </c>
      <c r="L9334">
        <v>-36.839449999999999</v>
      </c>
      <c r="M9334">
        <v>5.9671410000000001E-2</v>
      </c>
      <c r="N9334">
        <v>-4.1769199999999998E-3</v>
      </c>
      <c r="O9334">
        <v>0.99820940000000002</v>
      </c>
      <c r="P9334">
        <v>1.3379800000000001E-2</v>
      </c>
      <c r="Q9334">
        <v>-6.6743819999999995E-2</v>
      </c>
      <c r="R9334">
        <v>0.99768040000000002</v>
      </c>
      <c r="S9334">
        <v>-0.2052765</v>
      </c>
      <c r="T9334">
        <v>-0.26604689999999998</v>
      </c>
      <c r="U9334">
        <v>2.992737</v>
      </c>
      <c r="V9334">
        <v>-4.5866669999999998E-2</v>
      </c>
      <c r="W9334">
        <v>-6.2808370000000002E-2</v>
      </c>
      <c r="X9334">
        <v>0.9969711</v>
      </c>
      <c r="Y9334">
        <v>-0.12757479999999999</v>
      </c>
      <c r="Z9334">
        <v>-8.3677489999999993E-2</v>
      </c>
      <c r="AA9334">
        <v>0.98829290000000003</v>
      </c>
      <c r="AB9334">
        <v>24</v>
      </c>
      <c r="AC9334">
        <v>-0.87869999999998005</v>
      </c>
      <c r="AD9334">
        <v>-1.121992650555</v>
      </c>
      <c r="AE9334">
        <v>12.358560000000001</v>
      </c>
      <c r="AF9334">
        <v>-1.6014600834667501</v>
      </c>
      <c r="AG9334">
        <v>-1.121992650555</v>
      </c>
      <c r="AH9334">
        <v>12.184184230620501</v>
      </c>
      <c r="AI9334">
        <v>95.216682726672403</v>
      </c>
      <c r="AJ9334">
        <v>97.487897406249701</v>
      </c>
      <c r="AK9334">
        <v>12.3400926768213</v>
      </c>
      <c r="AL9334">
        <v>93.601024748737601</v>
      </c>
      <c r="AM9334">
        <v>92.634093290036304</v>
      </c>
      <c r="AN9334">
        <v>1.0000000084970699</v>
      </c>
    </row>
    <row r="9335" spans="1:40" x14ac:dyDescent="0.25">
      <c r="A9335" t="str">
        <f>"20190303154021576"</f>
        <v>20190303154021576</v>
      </c>
      <c r="B9335" t="str">
        <f>"1551598821567513"</f>
        <v>1551598821567513</v>
      </c>
      <c r="C9335" t="s">
        <v>40</v>
      </c>
      <c r="D9335">
        <v>4.919842</v>
      </c>
      <c r="E9335">
        <v>0.46549940000000001</v>
      </c>
      <c r="F9335" t="s">
        <v>42</v>
      </c>
      <c r="G9335">
        <v>-189.3477</v>
      </c>
      <c r="H9335" s="1">
        <v>-2.6102730000000001E-6</v>
      </c>
      <c r="I9335">
        <v>-24.552330000000001</v>
      </c>
      <c r="J9335">
        <v>-188.4033</v>
      </c>
      <c r="K9335">
        <v>1.1219969999999999</v>
      </c>
      <c r="L9335">
        <v>-36.591160000000002</v>
      </c>
      <c r="M9335">
        <v>5.6526510000000002E-2</v>
      </c>
      <c r="N9335">
        <v>-4.1523039999999999E-3</v>
      </c>
      <c r="O9335">
        <v>0.99839250000000002</v>
      </c>
      <c r="P9335">
        <v>1.119415E-2</v>
      </c>
      <c r="Q9335">
        <v>-6.6174150000000001E-2</v>
      </c>
      <c r="R9335">
        <v>0.99774529999999995</v>
      </c>
      <c r="S9335">
        <v>-0.22715759999999999</v>
      </c>
      <c r="T9335">
        <v>-0.27319149999999998</v>
      </c>
      <c r="U9335">
        <v>2.9917600000000002</v>
      </c>
      <c r="V9335">
        <v>-4.4912649999999998E-2</v>
      </c>
      <c r="W9335">
        <v>-6.2260000000000003E-2</v>
      </c>
      <c r="X9335">
        <v>0.99704890000000002</v>
      </c>
      <c r="Y9335">
        <v>-0.13164519999999999</v>
      </c>
      <c r="Z9335">
        <v>-8.6048739999999999E-2</v>
      </c>
      <c r="AA9335">
        <v>0.98755510000000002</v>
      </c>
      <c r="AB9335">
        <v>24</v>
      </c>
      <c r="AC9335">
        <v>-0.94440000000000102</v>
      </c>
      <c r="AD9335">
        <v>-1.1219996102730001</v>
      </c>
      <c r="AE9335">
        <v>12.0388299999999</v>
      </c>
      <c r="AF9335">
        <v>-1.60951421824773</v>
      </c>
      <c r="AG9335">
        <v>-1.1219996102730001</v>
      </c>
      <c r="AH9335">
        <v>11.8637788545756</v>
      </c>
      <c r="AI9335">
        <v>95.353839883875906</v>
      </c>
      <c r="AJ9335">
        <v>97.725933704882195</v>
      </c>
      <c r="AK9335">
        <v>12.0249186215321</v>
      </c>
      <c r="AL9335">
        <v>93.569543945277005</v>
      </c>
      <c r="AM9335">
        <v>92.579178318912597</v>
      </c>
      <c r="AN9335">
        <v>0.99999998136061596</v>
      </c>
    </row>
    <row r="9336" spans="1:40" x14ac:dyDescent="0.25">
      <c r="A9336" t="str">
        <f>"20190303154021596"</f>
        <v>20190303154021596</v>
      </c>
      <c r="B9336" t="str">
        <f>"1551598821587033"</f>
        <v>1551598821587033</v>
      </c>
      <c r="C9336" t="s">
        <v>40</v>
      </c>
      <c r="D9336">
        <v>4.9017439999999999</v>
      </c>
      <c r="E9336">
        <v>0.46459139999999999</v>
      </c>
      <c r="F9336" t="s">
        <v>42</v>
      </c>
      <c r="G9336">
        <v>-189.38759999999999</v>
      </c>
      <c r="H9336" s="1">
        <v>-2.671347E-6</v>
      </c>
      <c r="I9336">
        <v>-24.393460000000001</v>
      </c>
      <c r="J9336">
        <v>-188.39359999999999</v>
      </c>
      <c r="K9336">
        <v>1.1219969999999999</v>
      </c>
      <c r="L9336">
        <v>-36.365259999999999</v>
      </c>
      <c r="M9336">
        <v>5.3667060000000003E-2</v>
      </c>
      <c r="N9336">
        <v>-4.1364180000000002E-3</v>
      </c>
      <c r="O9336">
        <v>0.9985503</v>
      </c>
      <c r="P9336">
        <v>1.0679630000000001E-2</v>
      </c>
      <c r="Q9336">
        <v>-6.5488930000000001E-2</v>
      </c>
      <c r="R9336">
        <v>0.99779609999999996</v>
      </c>
      <c r="S9336">
        <v>-0.2413788</v>
      </c>
      <c r="T9336">
        <v>-0.275148</v>
      </c>
      <c r="U9336">
        <v>2.991241</v>
      </c>
      <c r="V9336">
        <v>-4.2576179999999998E-2</v>
      </c>
      <c r="W9336">
        <v>-6.1579120000000001E-2</v>
      </c>
      <c r="X9336">
        <v>0.99719369999999996</v>
      </c>
      <c r="Y9336">
        <v>-0.1334806</v>
      </c>
      <c r="Z9336">
        <v>-8.6714630000000001E-2</v>
      </c>
      <c r="AA9336">
        <v>0.98725039999999997</v>
      </c>
      <c r="AB9336">
        <v>25</v>
      </c>
      <c r="AC9336">
        <v>-0.993999999999999</v>
      </c>
      <c r="AD9336">
        <v>-1.121999671347</v>
      </c>
      <c r="AE9336">
        <v>11.971799999999901</v>
      </c>
      <c r="AF9336">
        <v>-1.62092444483608</v>
      </c>
      <c r="AG9336">
        <v>-1.121999671347</v>
      </c>
      <c r="AH9336">
        <v>11.7982810025856</v>
      </c>
      <c r="AI9336">
        <v>95.382153964888602</v>
      </c>
      <c r="AJ9336">
        <v>97.822693588636895</v>
      </c>
      <c r="AK9336">
        <v>11.961844085856599</v>
      </c>
      <c r="AL9336">
        <v>93.530457335854706</v>
      </c>
      <c r="AM9336">
        <v>92.444815605540398</v>
      </c>
      <c r="AN9336">
        <v>0.99999999722152799</v>
      </c>
    </row>
    <row r="9337" spans="1:40" x14ac:dyDescent="0.25">
      <c r="A9337" t="str">
        <f>"20190303154021619"</f>
        <v>20190303154021619</v>
      </c>
      <c r="B9337" t="str">
        <f>"1551598821607529"</f>
        <v>1551598821607529</v>
      </c>
      <c r="C9337" t="s">
        <v>40</v>
      </c>
      <c r="D9337">
        <v>4.9104400000000004</v>
      </c>
      <c r="E9337">
        <v>0.46403119999999998</v>
      </c>
      <c r="F9337" t="s">
        <v>42</v>
      </c>
      <c r="G9337">
        <v>-189.4111</v>
      </c>
      <c r="H9337" s="1">
        <v>-2.7468699999999999E-6</v>
      </c>
      <c r="I9337">
        <v>-24.207699999999999</v>
      </c>
      <c r="J9337">
        <v>-188.3836</v>
      </c>
      <c r="K9337">
        <v>1.1219950000000001</v>
      </c>
      <c r="L9337">
        <v>-36.118380000000002</v>
      </c>
      <c r="M9337">
        <v>5.0551180000000001E-2</v>
      </c>
      <c r="N9337">
        <v>-4.1259690000000002E-3</v>
      </c>
      <c r="O9337">
        <v>0.99871299999999996</v>
      </c>
      <c r="P9337">
        <v>1.0580239999999999E-2</v>
      </c>
      <c r="Q9337">
        <v>-6.5144259999999996E-2</v>
      </c>
      <c r="R9337">
        <v>0.99781980000000003</v>
      </c>
      <c r="S9337">
        <v>-0.25035099999999999</v>
      </c>
      <c r="T9337">
        <v>-0.27605039999999997</v>
      </c>
      <c r="U9337">
        <v>2.9911799999999999</v>
      </c>
      <c r="V9337">
        <v>-3.956693E-2</v>
      </c>
      <c r="W9337">
        <v>-6.1229690000000003E-2</v>
      </c>
      <c r="X9337">
        <v>0.99733910000000003</v>
      </c>
      <c r="Y9337">
        <v>-0.13332929999999901</v>
      </c>
      <c r="Z9337">
        <v>-8.703487E-2</v>
      </c>
      <c r="AA9337">
        <v>0.98724279999999998</v>
      </c>
      <c r="AB9337">
        <v>25</v>
      </c>
      <c r="AC9337">
        <v>-1.0275000000000001</v>
      </c>
      <c r="AD9337">
        <v>-1.12199774687</v>
      </c>
      <c r="AE9337">
        <v>11.910679999999999</v>
      </c>
      <c r="AF9337">
        <v>-1.61407311534738</v>
      </c>
      <c r="AG9337">
        <v>-1.12199774687</v>
      </c>
      <c r="AH9337">
        <v>11.7400998132872</v>
      </c>
      <c r="AI9337">
        <v>95.408589106637905</v>
      </c>
      <c r="AJ9337">
        <v>97.828163530772201</v>
      </c>
      <c r="AK9337">
        <v>11.9035311816122</v>
      </c>
      <c r="AL9337">
        <v>93.5103987908047</v>
      </c>
      <c r="AM9337">
        <v>92.271875093210397</v>
      </c>
      <c r="AN9337">
        <v>0.99999994863796404</v>
      </c>
    </row>
    <row r="9338" spans="1:40" x14ac:dyDescent="0.25">
      <c r="A9338" t="str">
        <f>"20190303154021641"</f>
        <v>20190303154021641</v>
      </c>
      <c r="B9338" t="str">
        <f>"1551598821637785"</f>
        <v>1551598821637785</v>
      </c>
      <c r="C9338" t="s">
        <v>40</v>
      </c>
      <c r="D9338">
        <v>4.9187589999999997</v>
      </c>
      <c r="E9338">
        <v>0.46333239999999998</v>
      </c>
      <c r="F9338" t="s">
        <v>42</v>
      </c>
      <c r="G9338">
        <v>-189.42099999999999</v>
      </c>
      <c r="H9338" s="1">
        <v>-2.8525479999999998E-6</v>
      </c>
      <c r="I9338">
        <v>-23.957280000000001</v>
      </c>
      <c r="J9338">
        <v>-188.3742</v>
      </c>
      <c r="K9338">
        <v>1.1219920000000001</v>
      </c>
      <c r="L9338">
        <v>-35.863979999999998</v>
      </c>
      <c r="M9338">
        <v>4.7356879999999997E-2</v>
      </c>
      <c r="N9338">
        <v>-4.1219100000000003E-3</v>
      </c>
      <c r="O9338">
        <v>0.99886949999999997</v>
      </c>
      <c r="P9338">
        <v>9.8554079999999995E-3</v>
      </c>
      <c r="Q9338">
        <v>-6.5191250000000006E-2</v>
      </c>
      <c r="R9338">
        <v>0.99782409999999999</v>
      </c>
      <c r="S9338">
        <v>-0.25515749999999998</v>
      </c>
      <c r="T9338">
        <v>-0.27597549999999998</v>
      </c>
      <c r="U9338">
        <v>2.991241</v>
      </c>
      <c r="V9338">
        <v>-3.7100899999999999E-2</v>
      </c>
      <c r="W9338">
        <v>-6.1268469999999998E-2</v>
      </c>
      <c r="X9338">
        <v>0.99743159999999997</v>
      </c>
      <c r="Y9338">
        <v>-0.13173360000000001</v>
      </c>
      <c r="Z9338">
        <v>-8.7038160000000003E-2</v>
      </c>
      <c r="AA9338">
        <v>0.98745660000000002</v>
      </c>
      <c r="AB9338">
        <v>25</v>
      </c>
      <c r="AC9338">
        <v>-1.04679999999999</v>
      </c>
      <c r="AD9338">
        <v>-1.1219948525479999</v>
      </c>
      <c r="AE9338">
        <v>11.906700000000001</v>
      </c>
      <c r="AF9338">
        <v>-1.5954361231876399</v>
      </c>
      <c r="AG9338">
        <v>-1.1219948525479999</v>
      </c>
      <c r="AH9338">
        <v>11.7403162287103</v>
      </c>
      <c r="AI9338">
        <v>95.409623277491903</v>
      </c>
      <c r="AJ9338">
        <v>97.738735852105194</v>
      </c>
      <c r="AK9338">
        <v>11.9012316178804</v>
      </c>
      <c r="AL9338">
        <v>93.512624546226107</v>
      </c>
      <c r="AM9338">
        <v>92.130216681195506</v>
      </c>
      <c r="AN9338">
        <v>1.0000000494377499</v>
      </c>
    </row>
    <row r="9339" spans="1:40" x14ac:dyDescent="0.25">
      <c r="A9339" t="str">
        <f>"20190303154021663"</f>
        <v>20190303154021663</v>
      </c>
      <c r="B9339" t="str">
        <f>"1551598821657305"</f>
        <v>1551598821657305</v>
      </c>
      <c r="C9339" t="s">
        <v>40</v>
      </c>
      <c r="D9339">
        <v>4.9213709999999997</v>
      </c>
      <c r="E9339">
        <v>0.46295609999999998</v>
      </c>
      <c r="F9339" t="s">
        <v>42</v>
      </c>
      <c r="G9339">
        <v>-189.4272</v>
      </c>
      <c r="H9339" s="1">
        <v>-2.8837029999999999E-6</v>
      </c>
      <c r="I9339">
        <v>-23.882079999999998</v>
      </c>
      <c r="J9339">
        <v>-188.36609999999999</v>
      </c>
      <c r="K9339">
        <v>1.1219840000000001</v>
      </c>
      <c r="L9339">
        <v>-35.629390000000001</v>
      </c>
      <c r="M9339">
        <v>4.4436870000000003E-2</v>
      </c>
      <c r="N9339">
        <v>-4.1233870000000001E-3</v>
      </c>
      <c r="O9339">
        <v>0.99900370000000005</v>
      </c>
      <c r="P9339">
        <v>1.0214880000000001E-2</v>
      </c>
      <c r="Q9339">
        <v>-6.6847180000000006E-2</v>
      </c>
      <c r="R9339">
        <v>0.99771089999999996</v>
      </c>
      <c r="S9339">
        <v>-0.26284790000000002</v>
      </c>
      <c r="T9339">
        <v>-0.28006490000000001</v>
      </c>
      <c r="U9339">
        <v>2.9908450000000002</v>
      </c>
      <c r="V9339">
        <v>-3.3813620000000003E-2</v>
      </c>
      <c r="W9339">
        <v>-6.2906509999999999E-2</v>
      </c>
      <c r="X9339">
        <v>0.99744639999999996</v>
      </c>
      <c r="Y9339">
        <v>-0.13135659999999999</v>
      </c>
      <c r="Z9339">
        <v>-8.8399560000000002E-2</v>
      </c>
      <c r="AA9339">
        <v>0.98738590000000004</v>
      </c>
      <c r="AB9339">
        <v>25</v>
      </c>
      <c r="AC9339">
        <v>-1.0611000000000099</v>
      </c>
      <c r="AD9339">
        <v>-1.121986883703</v>
      </c>
      <c r="AE9339">
        <v>11.747310000000001</v>
      </c>
      <c r="AF9339">
        <v>-1.5678831737602601</v>
      </c>
      <c r="AG9339">
        <v>-1.121986883703</v>
      </c>
      <c r="AH9339">
        <v>11.5837395821553</v>
      </c>
      <c r="AI9339">
        <v>95.482656660527596</v>
      </c>
      <c r="AJ9339">
        <v>97.708258121511093</v>
      </c>
      <c r="AK9339">
        <v>11.743088815169299</v>
      </c>
      <c r="AL9339">
        <v>93.606659089742905</v>
      </c>
      <c r="AM9339">
        <v>91.941594122642798</v>
      </c>
      <c r="AN9339">
        <v>0.99999995538542097</v>
      </c>
    </row>
    <row r="9340" spans="1:40" x14ac:dyDescent="0.25">
      <c r="A9340" t="str">
        <f>"20190303154021686"</f>
        <v>20190303154021686</v>
      </c>
      <c r="B9340" t="str">
        <f>"1551598821677800"</f>
        <v>1551598821677800</v>
      </c>
      <c r="C9340" t="s">
        <v>40</v>
      </c>
      <c r="D9340">
        <v>4.9002910000000002</v>
      </c>
      <c r="E9340">
        <v>0.46262310000000001</v>
      </c>
      <c r="F9340" t="s">
        <v>42</v>
      </c>
      <c r="G9340">
        <v>-189.40090000000001</v>
      </c>
      <c r="H9340" s="1">
        <v>-2.861592E-6</v>
      </c>
      <c r="I9340">
        <v>-23.944479999999999</v>
      </c>
      <c r="J9340">
        <v>-188.3579</v>
      </c>
      <c r="K9340">
        <v>1.1219600000000001</v>
      </c>
      <c r="L9340">
        <v>-35.365690000000001</v>
      </c>
      <c r="M9340">
        <v>4.1200460000000001E-2</v>
      </c>
      <c r="N9340">
        <v>-4.1297199999999999E-3</v>
      </c>
      <c r="O9340">
        <v>0.99914230000000004</v>
      </c>
      <c r="P9340">
        <v>9.4158439999999996E-3</v>
      </c>
      <c r="Q9340">
        <v>-6.8485569999999996E-2</v>
      </c>
      <c r="R9340">
        <v>0.99760760000000004</v>
      </c>
      <c r="S9340">
        <v>-0.2648163</v>
      </c>
      <c r="T9340">
        <v>-0.28713430000000001</v>
      </c>
      <c r="U9340">
        <v>2.9903559999999998</v>
      </c>
      <c r="V9340">
        <v>-3.1369870000000001E-2</v>
      </c>
      <c r="W9340">
        <v>-6.4525849999999996E-2</v>
      </c>
      <c r="X9340">
        <v>0.9974229</v>
      </c>
      <c r="Y9340">
        <v>-0.12878519999999999</v>
      </c>
      <c r="Z9340">
        <v>-9.075743E-2</v>
      </c>
      <c r="AA9340">
        <v>0.98751069999999996</v>
      </c>
      <c r="AB9340">
        <v>25</v>
      </c>
      <c r="AC9340">
        <v>-1.0429999999999999</v>
      </c>
      <c r="AD9340">
        <v>-1.1219628615919901</v>
      </c>
      <c r="AE9340">
        <v>11.42121</v>
      </c>
      <c r="AF9340">
        <v>-1.4983379677209101</v>
      </c>
      <c r="AG9340">
        <v>-1.1219628615919901</v>
      </c>
      <c r="AH9340">
        <v>11.260770598814799</v>
      </c>
      <c r="AI9340">
        <v>95.640479201486301</v>
      </c>
      <c r="AJ9340">
        <v>97.579154691325002</v>
      </c>
      <c r="AK9340">
        <v>11.415286759755</v>
      </c>
      <c r="AL9340">
        <v>93.699629019628802</v>
      </c>
      <c r="AM9340">
        <v>91.801411297178305</v>
      </c>
      <c r="AN9340">
        <v>1.00000004775322</v>
      </c>
    </row>
    <row r="9341" spans="1:40" x14ac:dyDescent="0.25">
      <c r="A9341" t="str">
        <f>"20190303154021701"</f>
        <v>20190303154021701</v>
      </c>
      <c r="B9341" t="str">
        <f>"1551598821697321"</f>
        <v>1551598821697321</v>
      </c>
      <c r="C9341" t="s">
        <v>40</v>
      </c>
      <c r="D9341">
        <v>4.9241250000000001</v>
      </c>
      <c r="E9341">
        <v>0.46232279999999998</v>
      </c>
      <c r="F9341" t="s">
        <v>42</v>
      </c>
      <c r="G9341">
        <v>-189.38579999999999</v>
      </c>
      <c r="H9341" s="1">
        <v>-2.8490609999999999E-6</v>
      </c>
      <c r="I9341">
        <v>-23.979939999999999</v>
      </c>
      <c r="J9341">
        <v>-188.35310000000001</v>
      </c>
      <c r="K9341">
        <v>1.1219410000000001</v>
      </c>
      <c r="L9341">
        <v>-35.198120000000003</v>
      </c>
      <c r="M9341">
        <v>3.9188510000000003E-2</v>
      </c>
      <c r="N9341">
        <v>-4.1360099999999999E-3</v>
      </c>
      <c r="O9341">
        <v>0.99922330000000004</v>
      </c>
      <c r="P9341">
        <v>8.344041E-3</v>
      </c>
      <c r="Q9341">
        <v>-6.9938559999999997E-2</v>
      </c>
      <c r="R9341">
        <v>0.99751639999999997</v>
      </c>
      <c r="S9341">
        <v>-0.26989750000000001</v>
      </c>
      <c r="T9341">
        <v>-0.29458859999999998</v>
      </c>
      <c r="U9341">
        <v>2.9895019999999999</v>
      </c>
      <c r="V9341">
        <v>-3.0424329999999999E-2</v>
      </c>
      <c r="W9341">
        <v>-6.5966990000000003E-2</v>
      </c>
      <c r="X9341">
        <v>0.99735779999999996</v>
      </c>
      <c r="Y9341">
        <v>-0.1284573</v>
      </c>
      <c r="Z9341">
        <v>-9.3226260000000005E-2</v>
      </c>
      <c r="AA9341">
        <v>0.98732350000000002</v>
      </c>
      <c r="AB9341">
        <v>25</v>
      </c>
      <c r="AC9341">
        <v>-1.03269999999997</v>
      </c>
      <c r="AD9341">
        <v>-1.1219438490610001</v>
      </c>
      <c r="AE9341">
        <v>11.21818</v>
      </c>
      <c r="AF9341">
        <v>-1.45708258349312</v>
      </c>
      <c r="AG9341">
        <v>-1.1219438490610001</v>
      </c>
      <c r="AH9341">
        <v>11.0594028199642</v>
      </c>
      <c r="AI9341">
        <v>95.743373789675005</v>
      </c>
      <c r="AJ9341">
        <v>97.505523118163197</v>
      </c>
      <c r="AK9341">
        <v>11.2112549872794</v>
      </c>
      <c r="AL9341">
        <v>93.782377019465301</v>
      </c>
      <c r="AM9341">
        <v>91.747261913037903</v>
      </c>
      <c r="AN9341">
        <v>0.99999993242322205</v>
      </c>
    </row>
    <row r="9342" spans="1:40" x14ac:dyDescent="0.25">
      <c r="A9342" t="str">
        <f>"20190303154021719"</f>
        <v>20190303154021719</v>
      </c>
      <c r="B9342" t="str">
        <f>"1551598821707080"</f>
        <v>1551598821707080</v>
      </c>
      <c r="C9342" t="s">
        <v>40</v>
      </c>
      <c r="D9342">
        <v>4.9417140000000002</v>
      </c>
      <c r="E9342">
        <v>0.4622211</v>
      </c>
      <c r="F9342" t="s">
        <v>42</v>
      </c>
      <c r="G9342">
        <v>-189.37880000000001</v>
      </c>
      <c r="H9342" s="1">
        <v>-2.8111850000000001E-6</v>
      </c>
      <c r="I9342">
        <v>-24.07113</v>
      </c>
      <c r="J9342">
        <v>-188.34739999999999</v>
      </c>
      <c r="K9342">
        <v>1.121902</v>
      </c>
      <c r="L9342">
        <v>-34.987430000000003</v>
      </c>
      <c r="M9342">
        <v>3.6718580000000001E-2</v>
      </c>
      <c r="N9342">
        <v>-4.145429E-3</v>
      </c>
      <c r="O9342">
        <v>0.99931700000000001</v>
      </c>
      <c r="P9342">
        <v>6.9063010000000001E-3</v>
      </c>
      <c r="Q9342">
        <v>-7.0893570000000003E-2</v>
      </c>
      <c r="R9342">
        <v>0.99745989999999995</v>
      </c>
      <c r="S9342">
        <v>-0.2754974</v>
      </c>
      <c r="T9342">
        <v>-0.30134809999999901</v>
      </c>
      <c r="U9342">
        <v>2.9886469999999998</v>
      </c>
      <c r="V9342">
        <v>-2.93957E-2</v>
      </c>
      <c r="W9342">
        <v>-6.6905160000000005E-2</v>
      </c>
      <c r="X9342">
        <v>0.99732619999999905</v>
      </c>
      <c r="Y9342">
        <v>-0.12784609999999999</v>
      </c>
      <c r="Z9342">
        <v>-9.5467460000000004E-2</v>
      </c>
      <c r="AA9342">
        <v>0.98718859999999997</v>
      </c>
      <c r="AB9342">
        <v>25</v>
      </c>
      <c r="AC9342">
        <v>-1.0314000000000101</v>
      </c>
      <c r="AD9342">
        <v>-1.1219048111850001</v>
      </c>
      <c r="AE9342">
        <v>10.9162999999999</v>
      </c>
      <c r="AF9342">
        <v>-1.4167075759041901</v>
      </c>
      <c r="AG9342">
        <v>-1.1219048111850001</v>
      </c>
      <c r="AH9342">
        <v>10.758437457949301</v>
      </c>
      <c r="AI9342">
        <v>95.902771426087497</v>
      </c>
      <c r="AJ9342">
        <v>97.501740158043305</v>
      </c>
      <c r="AK9342">
        <v>10.909157038818</v>
      </c>
      <c r="AL9342">
        <v>93.836249050667604</v>
      </c>
      <c r="AM9342">
        <v>91.688276184031295</v>
      </c>
      <c r="AN9342">
        <v>0.99999997840977695</v>
      </c>
    </row>
    <row r="9343" spans="1:40" x14ac:dyDescent="0.25">
      <c r="A9343" t="str">
        <f>"20190303154021743"</f>
        <v>20190303154021743</v>
      </c>
      <c r="B9343" t="str">
        <f>"1551598821737337"</f>
        <v>1551598821737337</v>
      </c>
      <c r="C9343" t="s">
        <v>40</v>
      </c>
      <c r="D9343">
        <v>4.9196249999999999</v>
      </c>
      <c r="E9343">
        <v>0.46180690000000002</v>
      </c>
      <c r="F9343" t="s">
        <v>42</v>
      </c>
      <c r="G9343">
        <v>-189.3775</v>
      </c>
      <c r="H9343" s="1">
        <v>-2.8377310000000002E-6</v>
      </c>
      <c r="I9343">
        <v>-24.009810000000002</v>
      </c>
      <c r="J9343">
        <v>-188.3409</v>
      </c>
      <c r="K9343">
        <v>1.1218239999999999</v>
      </c>
      <c r="L9343">
        <v>-34.721499999999999</v>
      </c>
      <c r="M9343">
        <v>3.3730610000000001E-2</v>
      </c>
      <c r="N9343">
        <v>-4.1593649999999999E-3</v>
      </c>
      <c r="O9343">
        <v>0.99942229999999999</v>
      </c>
      <c r="P9343">
        <v>3.8305180000000002E-3</v>
      </c>
      <c r="Q9343">
        <v>-7.1168560000000006E-2</v>
      </c>
      <c r="R9343">
        <v>0.99745700000000004</v>
      </c>
      <c r="S9343">
        <v>-0.28034969999999998</v>
      </c>
      <c r="T9343">
        <v>-0.30535950000000001</v>
      </c>
      <c r="U9343">
        <v>2.9878849999999999</v>
      </c>
      <c r="V9343">
        <v>-2.9498389999999999E-2</v>
      </c>
      <c r="W9343">
        <v>-6.7161650000000003E-2</v>
      </c>
      <c r="X9343">
        <v>0.99730589999999997</v>
      </c>
      <c r="Y9343">
        <v>-0.12648119999999999</v>
      </c>
      <c r="Z9343">
        <v>-9.6809640000000002E-2</v>
      </c>
      <c r="AA9343">
        <v>0.98723369999999999</v>
      </c>
      <c r="AB9343">
        <v>25</v>
      </c>
      <c r="AC9343">
        <v>-1.03659999999999</v>
      </c>
      <c r="AD9343">
        <v>-1.1218268377309999</v>
      </c>
      <c r="AE9343">
        <v>10.7116899999999</v>
      </c>
      <c r="AF9343">
        <v>-1.38230435708856</v>
      </c>
      <c r="AG9343">
        <v>-1.1218268377309999</v>
      </c>
      <c r="AH9343">
        <v>10.555923722814301</v>
      </c>
      <c r="AI9343">
        <v>96.015342474771202</v>
      </c>
      <c r="AJ9343">
        <v>97.460464802383299</v>
      </c>
      <c r="AK9343">
        <v>10.7049888571335</v>
      </c>
      <c r="AL9343">
        <v>93.850978083580898</v>
      </c>
      <c r="AM9343">
        <v>91.694204987525097</v>
      </c>
      <c r="AN9343">
        <v>0.99999995020906096</v>
      </c>
    </row>
    <row r="9344" spans="1:40" x14ac:dyDescent="0.25">
      <c r="A9344" t="str">
        <f>"20190303154021760"</f>
        <v>20190303154021760</v>
      </c>
      <c r="B9344" t="str">
        <f>"1551598821757833"</f>
        <v>1551598821757833</v>
      </c>
      <c r="C9344" t="s">
        <v>40</v>
      </c>
      <c r="D9344">
        <v>4.9454849999999997</v>
      </c>
      <c r="E9344">
        <v>0.46148309999999998</v>
      </c>
      <c r="F9344" t="s">
        <v>42</v>
      </c>
      <c r="G9344">
        <v>-189.40950000000001</v>
      </c>
      <c r="H9344" s="1">
        <v>-2.9104769999999999E-6</v>
      </c>
      <c r="I9344">
        <v>-23.826969999999999</v>
      </c>
      <c r="J9344">
        <v>-188.3364</v>
      </c>
      <c r="K9344">
        <v>1.121745</v>
      </c>
      <c r="L9344">
        <v>-34.517609999999998</v>
      </c>
      <c r="M9344">
        <v>3.1562689999999997E-2</v>
      </c>
      <c r="N9344">
        <v>-4.1715009999999898E-3</v>
      </c>
      <c r="O9344">
        <v>0.99949310000000002</v>
      </c>
      <c r="P9344">
        <v>9.7944939999999999E-4</v>
      </c>
      <c r="Q9344">
        <v>-7.1429530000000005E-2</v>
      </c>
      <c r="R9344">
        <v>0.99744520000000003</v>
      </c>
      <c r="S9344">
        <v>-0.29296879999999997</v>
      </c>
      <c r="T9344">
        <v>-0.30755710000000003</v>
      </c>
      <c r="U9344">
        <v>2.9868160000000001</v>
      </c>
      <c r="V9344">
        <v>-3.019647E-2</v>
      </c>
      <c r="W9344">
        <v>-6.7408380000000004E-2</v>
      </c>
      <c r="X9344">
        <v>0.99726840000000005</v>
      </c>
      <c r="Y9344">
        <v>-0.1284875</v>
      </c>
      <c r="Z9344">
        <v>-9.7530249999999999E-2</v>
      </c>
      <c r="AA9344">
        <v>0.98690370000000005</v>
      </c>
      <c r="AB9344">
        <v>26</v>
      </c>
      <c r="AC9344">
        <v>-1.0731000000000099</v>
      </c>
      <c r="AD9344">
        <v>-1.1217479104770001</v>
      </c>
      <c r="AE9344">
        <v>10.690639999999901</v>
      </c>
      <c r="AF9344">
        <v>-1.3947903162907</v>
      </c>
      <c r="AG9344">
        <v>-1.1217479104770001</v>
      </c>
      <c r="AH9344">
        <v>10.536593744909901</v>
      </c>
      <c r="AI9344">
        <v>96.024772737251993</v>
      </c>
      <c r="AJ9344">
        <v>97.540733852091904</v>
      </c>
      <c r="AK9344">
        <v>10.6875425681656</v>
      </c>
      <c r="AL9344">
        <v>93.865146630751099</v>
      </c>
      <c r="AM9344">
        <v>91.734339354832997</v>
      </c>
      <c r="AN9344">
        <v>0.99999998906662202</v>
      </c>
    </row>
    <row r="9345" spans="1:40" x14ac:dyDescent="0.25">
      <c r="A9345" t="str">
        <f>"20190303154021778"</f>
        <v>20190303154021778</v>
      </c>
      <c r="B9345" t="str">
        <f>"1551598821767593"</f>
        <v>1551598821767593</v>
      </c>
      <c r="C9345" t="s">
        <v>40</v>
      </c>
      <c r="D9345">
        <v>4.9160570000000003</v>
      </c>
      <c r="E9345">
        <v>0.46135179999999998</v>
      </c>
      <c r="F9345" t="s">
        <v>42</v>
      </c>
      <c r="G9345">
        <v>-189.43819999999999</v>
      </c>
      <c r="H9345" s="1">
        <v>-2.960267E-6</v>
      </c>
      <c r="I9345">
        <v>-23.699059999999999</v>
      </c>
      <c r="J9345">
        <v>-188.33199999999999</v>
      </c>
      <c r="K9345">
        <v>1.121648</v>
      </c>
      <c r="L9345">
        <v>-34.310389999999998</v>
      </c>
      <c r="M9345">
        <v>2.9483519999999999E-2</v>
      </c>
      <c r="N9345">
        <v>-4.1874089999999996E-3</v>
      </c>
      <c r="O9345">
        <v>0.99955649999999996</v>
      </c>
      <c r="P9345">
        <v>-3.0758640000000002E-3</v>
      </c>
      <c r="Q9345">
        <v>-7.1839260000000002E-2</v>
      </c>
      <c r="R9345">
        <v>0.99741150000000001</v>
      </c>
      <c r="S9345">
        <v>-0.30409239999999998</v>
      </c>
      <c r="T9345">
        <v>-0.30959120000000001</v>
      </c>
      <c r="U9345">
        <v>2.9858090000000002</v>
      </c>
      <c r="V9345">
        <v>-3.2188500000000002E-2</v>
      </c>
      <c r="W9345">
        <v>-6.7804249999999996E-2</v>
      </c>
      <c r="X9345">
        <v>0.99717929999999999</v>
      </c>
      <c r="Y9345">
        <v>-0.13009000000000001</v>
      </c>
      <c r="Z9345">
        <v>-9.8194610000000002E-2</v>
      </c>
      <c r="AA9345">
        <v>0.98662780000000005</v>
      </c>
      <c r="AB9345">
        <v>26</v>
      </c>
      <c r="AC9345">
        <v>-1.1062000000000001</v>
      </c>
      <c r="AD9345">
        <v>-1.121650960267</v>
      </c>
      <c r="AE9345">
        <v>10.611330000000001</v>
      </c>
      <c r="AF9345">
        <v>-1.4030729741758801</v>
      </c>
      <c r="AG9345">
        <v>-1.121650960267</v>
      </c>
      <c r="AH9345">
        <v>10.458503638970701</v>
      </c>
      <c r="AI9345">
        <v>96.067498405746804</v>
      </c>
      <c r="AJ9345">
        <v>97.640960919042101</v>
      </c>
      <c r="AK9345">
        <v>10.611645160572101</v>
      </c>
      <c r="AL9345">
        <v>93.887880141215902</v>
      </c>
      <c r="AM9345">
        <v>91.848840066225094</v>
      </c>
      <c r="AN9345">
        <v>1.0000000360993999</v>
      </c>
    </row>
    <row r="9346" spans="1:40" x14ac:dyDescent="0.25">
      <c r="A9346" t="str">
        <f>"20190303154021799"</f>
        <v>20190303154021799</v>
      </c>
      <c r="B9346" t="str">
        <f>"1551598821797849"</f>
        <v>1551598821797849</v>
      </c>
      <c r="C9346" t="s">
        <v>40</v>
      </c>
      <c r="D9346">
        <v>4.9278890000000004</v>
      </c>
      <c r="E9346">
        <v>0.46103820000000001</v>
      </c>
      <c r="F9346" t="s">
        <v>42</v>
      </c>
      <c r="G9346">
        <v>-189.47290000000001</v>
      </c>
      <c r="H9346" s="1">
        <v>-3.0082420000000002E-6</v>
      </c>
      <c r="I9346">
        <v>-23.572890000000001</v>
      </c>
      <c r="J9346">
        <v>-188.3272</v>
      </c>
      <c r="K9346">
        <v>1.1215090000000001</v>
      </c>
      <c r="L9346">
        <v>-34.05688</v>
      </c>
      <c r="M9346">
        <v>2.7135139999999999E-2</v>
      </c>
      <c r="N9346">
        <v>-4.214827E-3</v>
      </c>
      <c r="O9346">
        <v>0.99962289999999998</v>
      </c>
      <c r="P9346">
        <v>-7.4469519999999997E-3</v>
      </c>
      <c r="Q9346">
        <v>-7.1931209999999995E-2</v>
      </c>
      <c r="R9346">
        <v>0.99738179999999999</v>
      </c>
      <c r="S9346">
        <v>-0.31707760000000001</v>
      </c>
      <c r="T9346">
        <v>-0.31174770000000002</v>
      </c>
      <c r="U9346">
        <v>2.9843440000000001</v>
      </c>
      <c r="V9346">
        <v>-3.4237660000000003E-2</v>
      </c>
      <c r="W9346">
        <v>-6.7866640000000006E-2</v>
      </c>
      <c r="X9346">
        <v>0.99710679999999996</v>
      </c>
      <c r="Y9346">
        <v>-0.1320481</v>
      </c>
      <c r="Z9346">
        <v>-9.8897089999999993E-2</v>
      </c>
      <c r="AA9346">
        <v>0.98629739999999999</v>
      </c>
      <c r="AB9346">
        <v>26</v>
      </c>
      <c r="AC9346">
        <v>-1.1456999999999999</v>
      </c>
      <c r="AD9346">
        <v>-1.121512008242</v>
      </c>
      <c r="AE9346">
        <v>10.48399</v>
      </c>
      <c r="AF9346">
        <v>-1.41377769591518</v>
      </c>
      <c r="AG9346">
        <v>-1.121512008242</v>
      </c>
      <c r="AH9346">
        <v>10.332200404096501</v>
      </c>
      <c r="AI9346">
        <v>96.1381814267545</v>
      </c>
      <c r="AJ9346">
        <v>97.791520891499005</v>
      </c>
      <c r="AK9346">
        <v>10.488609142708601</v>
      </c>
      <c r="AL9346">
        <v>93.891463084618593</v>
      </c>
      <c r="AM9346">
        <v>91.966592752324999</v>
      </c>
      <c r="AN9346">
        <v>1.0000000343966999</v>
      </c>
    </row>
    <row r="9347" spans="1:40" x14ac:dyDescent="0.25">
      <c r="A9347" t="str">
        <f>"20190303154021822"</f>
        <v>20190303154021822</v>
      </c>
      <c r="B9347" t="str">
        <f>"1551598821817369"</f>
        <v>1551598821817369</v>
      </c>
      <c r="C9347" t="s">
        <v>40</v>
      </c>
      <c r="D9347">
        <v>4.9305830000000004</v>
      </c>
      <c r="E9347">
        <v>0.46097129999999997</v>
      </c>
      <c r="F9347" t="s">
        <v>42</v>
      </c>
      <c r="G9347">
        <v>-189.51740000000001</v>
      </c>
      <c r="H9347" s="1">
        <v>-3.0816150000000001E-6</v>
      </c>
      <c r="I9347">
        <v>-23.383430000000001</v>
      </c>
      <c r="J9347">
        <v>-188.32259999999999</v>
      </c>
      <c r="K9347">
        <v>1.1213630000000001</v>
      </c>
      <c r="L9347">
        <v>-33.801359999999903</v>
      </c>
      <c r="M9347">
        <v>2.5000140000000001E-2</v>
      </c>
      <c r="N9347">
        <v>-4.2505659999999999E-3</v>
      </c>
      <c r="O9347">
        <v>0.99967839999999997</v>
      </c>
      <c r="P9347">
        <v>-1.187555E-2</v>
      </c>
      <c r="Q9347">
        <v>-7.1351390000000001E-2</v>
      </c>
      <c r="R9347">
        <v>0.99738059999999995</v>
      </c>
      <c r="S9347">
        <v>-0.33262629999999999</v>
      </c>
      <c r="T9347">
        <v>-0.31341609999999998</v>
      </c>
      <c r="U9347">
        <v>2.9827880000000002</v>
      </c>
      <c r="V9347">
        <v>-3.6563140000000001E-2</v>
      </c>
      <c r="W9347">
        <v>-6.7247109999999999E-2</v>
      </c>
      <c r="X9347">
        <v>0.99706620000000001</v>
      </c>
      <c r="Y9347">
        <v>-0.13505899999999901</v>
      </c>
      <c r="Z9347">
        <v>-9.9419629999999995E-2</v>
      </c>
      <c r="AA9347">
        <v>0.98583710000000002</v>
      </c>
      <c r="AB9347">
        <v>26</v>
      </c>
      <c r="AC9347">
        <v>-1.1948000000000101</v>
      </c>
      <c r="AD9347">
        <v>-1.121366081615</v>
      </c>
      <c r="AE9347">
        <v>10.417929999999901</v>
      </c>
      <c r="AF9347">
        <v>-1.43842939497662</v>
      </c>
      <c r="AG9347">
        <v>-1.121366081615</v>
      </c>
      <c r="AH9347">
        <v>10.2673901466861</v>
      </c>
      <c r="AI9347">
        <v>96.173113625185707</v>
      </c>
      <c r="AJ9347">
        <v>97.975054813810402</v>
      </c>
      <c r="AK9347">
        <v>10.428127417595</v>
      </c>
      <c r="AL9347">
        <v>93.855885398474001</v>
      </c>
      <c r="AM9347">
        <v>92.100136706280693</v>
      </c>
      <c r="AN9347">
        <v>1.00000002209622</v>
      </c>
    </row>
    <row r="9348" spans="1:40" x14ac:dyDescent="0.25">
      <c r="A9348" t="str">
        <f>"20190303154021842"</f>
        <v>20190303154021842</v>
      </c>
      <c r="B9348" t="str">
        <f>"1551598821836888"</f>
        <v>1551598821836888</v>
      </c>
      <c r="C9348" t="s">
        <v>40</v>
      </c>
      <c r="D9348">
        <v>4.9220649999999999</v>
      </c>
      <c r="E9348">
        <v>0.46084049999999999</v>
      </c>
      <c r="F9348" t="s">
        <v>42</v>
      </c>
      <c r="G9348">
        <v>-189.56739999999999</v>
      </c>
      <c r="H9348" s="1">
        <v>-3.1987200000000001E-6</v>
      </c>
      <c r="I9348">
        <v>-23.089770000000001</v>
      </c>
      <c r="J9348">
        <v>-188.3186</v>
      </c>
      <c r="K9348">
        <v>1.1212260000000001</v>
      </c>
      <c r="L9348">
        <v>-33.563809999999997</v>
      </c>
      <c r="M9348">
        <v>2.323795E-2</v>
      </c>
      <c r="N9348">
        <v>-4.2902249999999999E-3</v>
      </c>
      <c r="O9348">
        <v>0.99972079999999997</v>
      </c>
      <c r="P9348">
        <v>-1.5465660000000001E-2</v>
      </c>
      <c r="Q9348">
        <v>-7.0310250000000005E-2</v>
      </c>
      <c r="R9348">
        <v>0.99740530000000005</v>
      </c>
      <c r="S9348">
        <v>-0.34649659999999999</v>
      </c>
      <c r="T9348">
        <v>-0.312116</v>
      </c>
      <c r="U9348">
        <v>2.9814150000000001</v>
      </c>
      <c r="V9348">
        <v>-3.8423409999999998E-2</v>
      </c>
      <c r="W9348">
        <v>-6.6159120000000002E-2</v>
      </c>
      <c r="X9348">
        <v>0.99706899999999998</v>
      </c>
      <c r="Y9348">
        <v>-0.13789409999999999</v>
      </c>
      <c r="Z9348">
        <v>-9.8961099999999996E-2</v>
      </c>
      <c r="AA9348">
        <v>0.98549070000000005</v>
      </c>
      <c r="AB9348">
        <v>26</v>
      </c>
      <c r="AC9348">
        <v>-1.2487999999999799</v>
      </c>
      <c r="AD9348">
        <v>-1.12122919872</v>
      </c>
      <c r="AE9348">
        <v>10.474039999999899</v>
      </c>
      <c r="AF9348">
        <v>-1.47519239702677</v>
      </c>
      <c r="AG9348">
        <v>-1.12122919872</v>
      </c>
      <c r="AH9348">
        <v>10.3255262683941</v>
      </c>
      <c r="AI9348">
        <v>96.135538271599401</v>
      </c>
      <c r="AJ9348">
        <v>98.130739768863805</v>
      </c>
      <c r="AK9348">
        <v>10.490464253006399</v>
      </c>
      <c r="AL9348">
        <v>93.793409143432498</v>
      </c>
      <c r="AM9348">
        <v>92.206878779623906</v>
      </c>
      <c r="AN9348">
        <v>0.99999998917810096</v>
      </c>
    </row>
    <row r="9349" spans="1:40" x14ac:dyDescent="0.25">
      <c r="A9349" t="str">
        <f>"20190303154021865"</f>
        <v>20190303154021865</v>
      </c>
      <c r="B9349" t="str">
        <f>"1551598821857386"</f>
        <v>1551598821857386</v>
      </c>
      <c r="C9349" t="s">
        <v>40</v>
      </c>
      <c r="D9349">
        <v>4.9598300000000002</v>
      </c>
      <c r="E9349">
        <v>0.4606731</v>
      </c>
      <c r="F9349" t="s">
        <v>42</v>
      </c>
      <c r="G9349">
        <v>-189.61510000000001</v>
      </c>
      <c r="H9349" s="1">
        <v>-3.3239590000000002E-6</v>
      </c>
      <c r="I9349">
        <v>-22.778130000000001</v>
      </c>
      <c r="J9349">
        <v>-188.31440000000001</v>
      </c>
      <c r="K9349">
        <v>1.121065</v>
      </c>
      <c r="L9349">
        <v>-33.303190000000001</v>
      </c>
      <c r="M9349">
        <v>2.155433E-2</v>
      </c>
      <c r="N9349">
        <v>-4.3399520000000002E-3</v>
      </c>
      <c r="O9349">
        <v>0.99975820000000004</v>
      </c>
      <c r="P9349">
        <v>-1.8897730000000001E-2</v>
      </c>
      <c r="Q9349">
        <v>-6.9145890000000002E-2</v>
      </c>
      <c r="R9349">
        <v>0.99742750000000002</v>
      </c>
      <c r="S9349">
        <v>-0.35827639999999999</v>
      </c>
      <c r="T9349">
        <v>-0.30982920000000003</v>
      </c>
      <c r="U9349">
        <v>2.9804080000000002</v>
      </c>
      <c r="V9349">
        <v>-4.0207109999999997E-2</v>
      </c>
      <c r="W9349">
        <v>-6.49343E-2</v>
      </c>
      <c r="X9349">
        <v>0.99707920000000005</v>
      </c>
      <c r="Y9349">
        <v>-0.140114299999999</v>
      </c>
      <c r="Z9349">
        <v>-9.8163539999999994E-2</v>
      </c>
      <c r="AA9349">
        <v>0.9852573</v>
      </c>
      <c r="AB9349">
        <v>26</v>
      </c>
      <c r="AC9349">
        <v>-1.3007</v>
      </c>
      <c r="AD9349">
        <v>-1.121068323959</v>
      </c>
      <c r="AE9349">
        <v>10.52506</v>
      </c>
      <c r="AF9349">
        <v>-1.51038263986643</v>
      </c>
      <c r="AG9349">
        <v>-1.121068323959</v>
      </c>
      <c r="AH9349">
        <v>10.3786019223423</v>
      </c>
      <c r="AI9349">
        <v>96.101253962895797</v>
      </c>
      <c r="AJ9349">
        <v>98.280043735472304</v>
      </c>
      <c r="AK9349">
        <v>10.5476740454113</v>
      </c>
      <c r="AL9349">
        <v>93.723080829073098</v>
      </c>
      <c r="AM9349">
        <v>92.309194944368002</v>
      </c>
      <c r="AN9349">
        <v>1.0000000030418399</v>
      </c>
    </row>
    <row r="9350" spans="1:40" x14ac:dyDescent="0.25">
      <c r="A9350" t="str">
        <f>"20190303154021886"</f>
        <v>20190303154021886</v>
      </c>
      <c r="B9350" t="str">
        <f>"1551598821877881"</f>
        <v>1551598821877881</v>
      </c>
      <c r="C9350" t="s">
        <v>40</v>
      </c>
      <c r="D9350">
        <v>4.9638970000000002</v>
      </c>
      <c r="E9350">
        <v>0.4604588</v>
      </c>
      <c r="F9350" t="s">
        <v>42</v>
      </c>
      <c r="G9350">
        <v>-189.67080000000001</v>
      </c>
      <c r="H9350" s="1">
        <v>-3.4850300000000001E-6</v>
      </c>
      <c r="I9350">
        <v>-22.379629999999999</v>
      </c>
      <c r="J9350">
        <v>-188.31030000000001</v>
      </c>
      <c r="K9350">
        <v>1.1209039999999999</v>
      </c>
      <c r="L9350">
        <v>-33.042999999999999</v>
      </c>
      <c r="M9350">
        <v>2.0131630000000001E-2</v>
      </c>
      <c r="N9350">
        <v>-4.3940239999999998E-3</v>
      </c>
      <c r="O9350">
        <v>0.99978769999999995</v>
      </c>
      <c r="P9350">
        <v>-2.1245239999999999E-2</v>
      </c>
      <c r="Q9350">
        <v>-6.8393540000000003E-2</v>
      </c>
      <c r="R9350">
        <v>0.99743219999999999</v>
      </c>
      <c r="S9350">
        <v>-0.36999510000000002</v>
      </c>
      <c r="T9350">
        <v>-0.3057839</v>
      </c>
      <c r="U9350">
        <v>2.9795229999999999</v>
      </c>
      <c r="V9350">
        <v>-4.1164930000000002E-2</v>
      </c>
      <c r="W9350">
        <v>-6.4113589999999998E-2</v>
      </c>
      <c r="X9350">
        <v>0.99709320000000001</v>
      </c>
      <c r="Y9350">
        <v>-0.1425739</v>
      </c>
      <c r="Z9350">
        <v>-9.6777450000000001E-2</v>
      </c>
      <c r="AA9350">
        <v>0.98504150000000001</v>
      </c>
      <c r="AB9350">
        <v>26</v>
      </c>
      <c r="AC9350">
        <v>-1.3605</v>
      </c>
      <c r="AD9350">
        <v>-1.12090748502999</v>
      </c>
      <c r="AE9350">
        <v>10.66337</v>
      </c>
      <c r="AF9350">
        <v>-1.5579581290061</v>
      </c>
      <c r="AG9350">
        <v>-1.12090748502999</v>
      </c>
      <c r="AH9350">
        <v>10.5194446465268</v>
      </c>
      <c r="AI9350">
        <v>96.017101944694701</v>
      </c>
      <c r="AJ9350">
        <v>98.424420805491707</v>
      </c>
      <c r="AK9350">
        <v>10.6930997747648</v>
      </c>
      <c r="AL9350">
        <v>93.675959512157704</v>
      </c>
      <c r="AM9350">
        <v>92.364110094646605</v>
      </c>
      <c r="AN9350">
        <v>0.99999997668541596</v>
      </c>
    </row>
    <row r="9351" spans="1:40" x14ac:dyDescent="0.25">
      <c r="A9351" t="str">
        <f>"20190303154021910"</f>
        <v>20190303154021910</v>
      </c>
      <c r="B9351" t="str">
        <f>"1551598821907161"</f>
        <v>1551598821907161</v>
      </c>
      <c r="C9351" t="s">
        <v>40</v>
      </c>
      <c r="D9351">
        <v>5.0008790000000003</v>
      </c>
      <c r="E9351">
        <v>0.4602618</v>
      </c>
      <c r="F9351" t="s">
        <v>42</v>
      </c>
      <c r="G9351">
        <v>-189.7174</v>
      </c>
      <c r="H9351" s="1">
        <v>-3.6498109999999999E-6</v>
      </c>
      <c r="I9351">
        <v>-21.97627</v>
      </c>
      <c r="J9351">
        <v>-188.30619999999999</v>
      </c>
      <c r="K9351">
        <v>1.120736</v>
      </c>
      <c r="L9351">
        <v>-32.768219999999999</v>
      </c>
      <c r="M9351">
        <v>1.8889030000000001E-2</v>
      </c>
      <c r="N9351">
        <v>-4.4531579999999996E-3</v>
      </c>
      <c r="O9351">
        <v>0.99981160000000002</v>
      </c>
      <c r="P9351">
        <v>-2.2648370000000001E-2</v>
      </c>
      <c r="Q9351">
        <v>-6.7281919999999995E-2</v>
      </c>
      <c r="R9351">
        <v>0.9974769</v>
      </c>
      <c r="S9351">
        <v>-0.37875370000000003</v>
      </c>
      <c r="T9351">
        <v>-0.30172909999999997</v>
      </c>
      <c r="U9351">
        <v>2.9789729999999999</v>
      </c>
      <c r="V9351">
        <v>-4.1358720000000002E-2</v>
      </c>
      <c r="W9351">
        <v>-6.2925729999999999E-2</v>
      </c>
      <c r="X9351">
        <v>0.99716090000000002</v>
      </c>
      <c r="Y9351">
        <v>-0.14423359999999999</v>
      </c>
      <c r="Z9351">
        <v>-9.5382030000000007E-2</v>
      </c>
      <c r="AA9351">
        <v>0.98493600000000003</v>
      </c>
      <c r="AB9351">
        <v>26</v>
      </c>
      <c r="AC9351">
        <v>-1.4112</v>
      </c>
      <c r="AD9351">
        <v>-1.1207396498109901</v>
      </c>
      <c r="AE9351">
        <v>10.79195</v>
      </c>
      <c r="AF9351">
        <v>-1.59785695929558</v>
      </c>
      <c r="AG9351">
        <v>-1.1207396498109901</v>
      </c>
      <c r="AH9351">
        <v>10.6504369253684</v>
      </c>
      <c r="AI9351">
        <v>95.941089880061995</v>
      </c>
      <c r="AJ9351">
        <v>98.532298850270706</v>
      </c>
      <c r="AK9351">
        <v>10.8277888290398</v>
      </c>
      <c r="AL9351">
        <v>93.607762246167198</v>
      </c>
      <c r="AM9351">
        <v>92.375065699929493</v>
      </c>
      <c r="AN9351">
        <v>1.00000002585244</v>
      </c>
    </row>
    <row r="9352" spans="1:40" x14ac:dyDescent="0.25">
      <c r="A9352" t="str">
        <f>"20190303154021933"</f>
        <v>20190303154021933</v>
      </c>
      <c r="B9352" t="str">
        <f>"1551598821927658"</f>
        <v>1551598821927658</v>
      </c>
      <c r="C9352" t="s">
        <v>40</v>
      </c>
      <c r="D9352">
        <v>4.97187</v>
      </c>
      <c r="E9352">
        <v>0.46018579999999998</v>
      </c>
      <c r="F9352" t="s">
        <v>42</v>
      </c>
      <c r="G9352">
        <v>-189.7619</v>
      </c>
      <c r="H9352" s="1">
        <v>-3.8481980000000002E-6</v>
      </c>
      <c r="I9352">
        <v>-21.495429999999999</v>
      </c>
      <c r="J9352">
        <v>-188.30199999999999</v>
      </c>
      <c r="K9352">
        <v>1.1205799999999999</v>
      </c>
      <c r="L9352">
        <v>-32.487759999999902</v>
      </c>
      <c r="M9352">
        <v>1.7891509999999999E-2</v>
      </c>
      <c r="N9352">
        <v>-4.5133810000000003E-3</v>
      </c>
      <c r="O9352">
        <v>0.99982979999999999</v>
      </c>
      <c r="P9352">
        <v>-2.318868E-2</v>
      </c>
      <c r="Q9352">
        <v>-6.653655E-2</v>
      </c>
      <c r="R9352">
        <v>0.99751449999999997</v>
      </c>
      <c r="S9352">
        <v>-0.38467410000000002</v>
      </c>
      <c r="T9352">
        <v>-0.29616019999999998</v>
      </c>
      <c r="U9352">
        <v>2.978882</v>
      </c>
      <c r="V9352">
        <v>-4.0930510000000003E-2</v>
      </c>
      <c r="W9352">
        <v>-6.2103319999999997E-2</v>
      </c>
      <c r="X9352">
        <v>0.99723010000000001</v>
      </c>
      <c r="Y9352">
        <v>-0.1451991</v>
      </c>
      <c r="Z9352">
        <v>-9.348368E-2</v>
      </c>
      <c r="AA9352">
        <v>0.98497619999999997</v>
      </c>
      <c r="AB9352">
        <v>27</v>
      </c>
      <c r="AC9352">
        <v>-1.45989999999997</v>
      </c>
      <c r="AD9352">
        <v>-1.1205838481979999</v>
      </c>
      <c r="AE9352">
        <v>10.9923299999999</v>
      </c>
      <c r="AF9352">
        <v>-1.6395939721224899</v>
      </c>
      <c r="AG9352">
        <v>-1.1205838481979999</v>
      </c>
      <c r="AH9352">
        <v>10.8536120812634</v>
      </c>
      <c r="AI9352">
        <v>95.828959839025202</v>
      </c>
      <c r="AJ9352">
        <v>98.590397730100506</v>
      </c>
      <c r="AK9352">
        <v>11.033805860391499</v>
      </c>
      <c r="AL9352">
        <v>93.560549367767393</v>
      </c>
      <c r="AM9352">
        <v>92.350340115041405</v>
      </c>
      <c r="AN9352">
        <v>1.0000000006749401</v>
      </c>
    </row>
    <row r="9353" spans="1:40" x14ac:dyDescent="0.25">
      <c r="A9353" t="str">
        <f>"20190303154021954"</f>
        <v>20190303154021954</v>
      </c>
      <c r="B9353" t="str">
        <f>"1551598821947177"</f>
        <v>1551598821947177</v>
      </c>
      <c r="C9353" t="s">
        <v>40</v>
      </c>
      <c r="D9353">
        <v>5.4395870000000004</v>
      </c>
      <c r="E9353">
        <v>0.4382741</v>
      </c>
      <c r="F9353" t="s">
        <v>42</v>
      </c>
      <c r="G9353">
        <v>-189.78399999999999</v>
      </c>
      <c r="H9353" s="1">
        <v>-4.022698E-6</v>
      </c>
      <c r="I9353">
        <v>-21.079529999999998</v>
      </c>
      <c r="J9353">
        <v>-188.29820000000001</v>
      </c>
      <c r="K9353">
        <v>1.120466</v>
      </c>
      <c r="L9353">
        <v>-32.225369999999998</v>
      </c>
      <c r="M9353">
        <v>1.7121150000000002E-2</v>
      </c>
      <c r="N9353">
        <v>-4.5685789999999997E-3</v>
      </c>
      <c r="O9353">
        <v>0.99984300000000004</v>
      </c>
      <c r="P9353">
        <v>-2.277552E-2</v>
      </c>
      <c r="Q9353">
        <v>-6.5967659999999997E-2</v>
      </c>
      <c r="R9353">
        <v>0.99756180000000005</v>
      </c>
      <c r="S9353">
        <v>-0.38697809999999999</v>
      </c>
      <c r="T9353">
        <v>-0.29261239999999999</v>
      </c>
      <c r="U9353">
        <v>2.9789729999999999</v>
      </c>
      <c r="V9353">
        <v>-3.9768940000000003E-2</v>
      </c>
      <c r="W9353">
        <v>-6.1465649999999997E-2</v>
      </c>
      <c r="X9353">
        <v>0.9973166</v>
      </c>
      <c r="Y9353">
        <v>-0.14519689999999999</v>
      </c>
      <c r="Z9353">
        <v>-9.2260110000000006E-2</v>
      </c>
      <c r="AA9353">
        <v>0.98509179999999996</v>
      </c>
      <c r="AB9353">
        <v>27</v>
      </c>
      <c r="AC9353">
        <v>-1.48580000000001</v>
      </c>
      <c r="AD9353">
        <v>-1.120470022698</v>
      </c>
      <c r="AE9353">
        <v>11.14584</v>
      </c>
      <c r="AF9353">
        <v>-1.6599315935065999</v>
      </c>
      <c r="AG9353">
        <v>-1.120470022698</v>
      </c>
      <c r="AH9353">
        <v>11.0094496105287</v>
      </c>
      <c r="AI9353">
        <v>95.746673034943399</v>
      </c>
      <c r="AJ9353">
        <v>98.574095316972702</v>
      </c>
      <c r="AK9353">
        <v>11.190120941869001</v>
      </c>
      <c r="AL9353">
        <v>93.523943643264801</v>
      </c>
      <c r="AM9353">
        <v>92.283513425585596</v>
      </c>
      <c r="AN9353">
        <v>0.99999999767710301</v>
      </c>
    </row>
    <row r="9354" spans="1:40" x14ac:dyDescent="0.25">
      <c r="A9354" t="str">
        <f>"20190303154021978"</f>
        <v>20190303154021978</v>
      </c>
      <c r="B9354" t="str">
        <f>"1551598821967673"</f>
        <v>1551598821967673</v>
      </c>
      <c r="C9354" t="s">
        <v>40</v>
      </c>
      <c r="D9354">
        <v>5.2545320000000002</v>
      </c>
      <c r="E9354">
        <v>0.35422569999999998</v>
      </c>
      <c r="F9354" t="s">
        <v>42</v>
      </c>
      <c r="G9354">
        <v>-190.1618</v>
      </c>
      <c r="H9354" s="1">
        <v>-3.5026990000000001E-6</v>
      </c>
      <c r="I9354">
        <v>-22.346360000000001</v>
      </c>
      <c r="J9354">
        <v>-188.29409999999999</v>
      </c>
      <c r="K9354">
        <v>1.1203719999999999</v>
      </c>
      <c r="L9354">
        <v>-31.940860000000001</v>
      </c>
      <c r="M9354">
        <v>1.6436630000000001E-2</v>
      </c>
      <c r="N9354">
        <v>-4.6265450000000001E-3</v>
      </c>
      <c r="O9354">
        <v>0.99985420000000003</v>
      </c>
      <c r="P9354">
        <v>-2.246625E-2</v>
      </c>
      <c r="Q9354">
        <v>-6.4918619999999996E-2</v>
      </c>
      <c r="R9354">
        <v>0.99763760000000001</v>
      </c>
      <c r="S9354">
        <v>-0.56069950000000002</v>
      </c>
      <c r="T9354">
        <v>-0.33710790000000002</v>
      </c>
      <c r="U9354">
        <v>2.972229</v>
      </c>
      <c r="V9354">
        <v>-3.8794299999999997E-2</v>
      </c>
      <c r="W9354">
        <v>-6.0347739999999997E-2</v>
      </c>
      <c r="X9354">
        <v>0.99742319999999995</v>
      </c>
      <c r="Y9354">
        <v>-0.200405</v>
      </c>
      <c r="Z9354">
        <v>-0.10596179999999999</v>
      </c>
      <c r="AA9354">
        <v>0.97396609999999995</v>
      </c>
      <c r="AB9354">
        <v>27</v>
      </c>
      <c r="AC9354">
        <v>-1.8677000000000099</v>
      </c>
      <c r="AD9354">
        <v>-1.1203755026990001</v>
      </c>
      <c r="AE9354">
        <v>9.5944999999999894</v>
      </c>
      <c r="AF9354">
        <v>-1.9988891975185099</v>
      </c>
      <c r="AG9354">
        <v>-1.1203755026990001</v>
      </c>
      <c r="AH9354">
        <v>9.4385017058151401</v>
      </c>
      <c r="AI9354">
        <v>96.6239203876533</v>
      </c>
      <c r="AJ9354">
        <v>101.957442127897</v>
      </c>
      <c r="AK9354">
        <v>9.7126779902187401</v>
      </c>
      <c r="AL9354">
        <v>93.459773166791095</v>
      </c>
      <c r="AM9354">
        <v>92.227369314003397</v>
      </c>
      <c r="AN9354">
        <v>0.99999994366691702</v>
      </c>
    </row>
    <row r="9355" spans="1:40" x14ac:dyDescent="0.25">
      <c r="A9355" t="str">
        <f>"20190303154022000"</f>
        <v>20190303154022000</v>
      </c>
      <c r="B9355" t="str">
        <f>"1551598821996953"</f>
        <v>1551598821996953</v>
      </c>
      <c r="C9355" t="s">
        <v>40</v>
      </c>
      <c r="D9355">
        <v>4.9736919999999998</v>
      </c>
      <c r="E9355">
        <v>0.29341640000000002</v>
      </c>
      <c r="F9355" t="s">
        <v>42</v>
      </c>
      <c r="G9355">
        <v>-191.928</v>
      </c>
      <c r="H9355" s="1">
        <v>-3.6010750000000001E-6</v>
      </c>
      <c r="I9355">
        <v>-23.212499999999999</v>
      </c>
      <c r="J9355">
        <v>-188.2903</v>
      </c>
      <c r="K9355">
        <v>1.1203129999999999</v>
      </c>
      <c r="L9355">
        <v>-31.67343</v>
      </c>
      <c r="M9355">
        <v>1.5904339999999999E-2</v>
      </c>
      <c r="N9355">
        <v>-4.6792780000000003E-3</v>
      </c>
      <c r="O9355">
        <v>0.99986260000000005</v>
      </c>
      <c r="P9355">
        <v>-2.2647199999999999E-2</v>
      </c>
      <c r="Q9355">
        <v>-6.3686209999999993E-2</v>
      </c>
      <c r="R9355">
        <v>0.99771299999999996</v>
      </c>
      <c r="S9355">
        <v>-1.230164</v>
      </c>
      <c r="T9355">
        <v>-0.3792682</v>
      </c>
      <c r="U9355">
        <v>2.9547119999999998</v>
      </c>
      <c r="V9355">
        <v>-3.845722E-2</v>
      </c>
      <c r="W9355">
        <v>-5.9055539999999997E-2</v>
      </c>
      <c r="X9355">
        <v>0.99751369999999895</v>
      </c>
      <c r="Y9355">
        <v>-0.39643270000000003</v>
      </c>
      <c r="Z9355">
        <v>-0.1126127</v>
      </c>
      <c r="AA9355">
        <v>0.91113089999999997</v>
      </c>
      <c r="AB9355">
        <v>27</v>
      </c>
      <c r="AC9355">
        <v>-3.6376999999999899</v>
      </c>
      <c r="AD9355">
        <v>-1.1203166010750001</v>
      </c>
      <c r="AE9355">
        <v>8.4609299999999994</v>
      </c>
      <c r="AF9355">
        <v>-3.7168081647384099</v>
      </c>
      <c r="AG9355">
        <v>-1.1203166010750001</v>
      </c>
      <c r="AH9355">
        <v>8.2794899365838397</v>
      </c>
      <c r="AI9355">
        <v>97.037226084668404</v>
      </c>
      <c r="AJ9355">
        <v>114.176147704911</v>
      </c>
      <c r="AK9355">
        <v>9.1443822005701101</v>
      </c>
      <c r="AL9355">
        <v>93.385602897625006</v>
      </c>
      <c r="AM9355">
        <v>92.207835025675607</v>
      </c>
      <c r="AN9355">
        <v>1.0000000481312501</v>
      </c>
    </row>
    <row r="9356" spans="1:40" x14ac:dyDescent="0.25">
      <c r="A9356" t="str">
        <f>"20190303154022020"</f>
        <v>20190303154022020</v>
      </c>
      <c r="B9356" t="str">
        <f>"1551598822017449"</f>
        <v>1551598822017449</v>
      </c>
      <c r="C9356" t="s">
        <v>40</v>
      </c>
      <c r="D9356">
        <v>4.8459079999999997</v>
      </c>
      <c r="E9356">
        <v>0.29429070000000002</v>
      </c>
      <c r="F9356" t="s">
        <v>44</v>
      </c>
      <c r="G9356">
        <v>-188.77619999999999</v>
      </c>
      <c r="H9356">
        <v>1.0055430000000001</v>
      </c>
      <c r="I9356">
        <v>-30.840050000000002</v>
      </c>
      <c r="J9356">
        <v>-188.2868</v>
      </c>
      <c r="K9356">
        <v>1.1202780000000001</v>
      </c>
      <c r="L9356">
        <v>-31.42389</v>
      </c>
      <c r="M9356">
        <v>1.5476190000000001E-2</v>
      </c>
      <c r="N9356">
        <v>-4.7270539999999996E-3</v>
      </c>
      <c r="O9356">
        <v>0.99986900000000001</v>
      </c>
      <c r="P9356">
        <v>-2.2922729999999999E-2</v>
      </c>
      <c r="Q9356">
        <v>-6.1935659999999997E-2</v>
      </c>
      <c r="R9356">
        <v>0.99781690000000001</v>
      </c>
      <c r="S9356">
        <v>-1.715652</v>
      </c>
      <c r="T9356">
        <v>-0.40516760000000002</v>
      </c>
      <c r="U9356">
        <v>2.942078</v>
      </c>
      <c r="V9356">
        <v>-3.8315229999999999E-2</v>
      </c>
      <c r="W9356">
        <v>-5.7252360000000002E-2</v>
      </c>
      <c r="X9356">
        <v>0.99762419999999996</v>
      </c>
      <c r="Y9356">
        <v>-0.51368959999999997</v>
      </c>
      <c r="Z9356">
        <v>-0.11289829999999999</v>
      </c>
      <c r="AA9356">
        <v>0.85051569999999899</v>
      </c>
      <c r="AB9356">
        <v>27</v>
      </c>
      <c r="AC9356">
        <v>-0.48939999999998901</v>
      </c>
      <c r="AD9356">
        <v>-0.114735</v>
      </c>
      <c r="AE9356">
        <v>0.58384000000000202</v>
      </c>
      <c r="AF9356">
        <v>-0.48732370856523199</v>
      </c>
      <c r="AG9356">
        <v>-0.114735</v>
      </c>
      <c r="AH9356">
        <v>0.56341661791833597</v>
      </c>
      <c r="AI9356">
        <v>98.755943217950403</v>
      </c>
      <c r="AJ9356">
        <v>130.857963387551</v>
      </c>
      <c r="AK9356">
        <v>0.75371533253696499</v>
      </c>
      <c r="AL9356">
        <v>93.282113408026007</v>
      </c>
      <c r="AM9356">
        <v>92.199447974551504</v>
      </c>
      <c r="AN9356">
        <v>0.99999996700058003</v>
      </c>
    </row>
    <row r="9357" spans="1:40" x14ac:dyDescent="0.25">
      <c r="A9357" t="str">
        <f>"20190303154022042"</f>
        <v>20190303154022042</v>
      </c>
      <c r="B9357" t="str">
        <f>"1551598822036969"</f>
        <v>1551598822036969</v>
      </c>
      <c r="C9357" t="s">
        <v>40</v>
      </c>
      <c r="D9357">
        <v>4.805034</v>
      </c>
      <c r="E9357">
        <v>0.29391850000000003</v>
      </c>
      <c r="F9357" t="s">
        <v>44</v>
      </c>
      <c r="G9357">
        <v>-188.76849999999999</v>
      </c>
      <c r="H9357">
        <v>1.006918</v>
      </c>
      <c r="I9357">
        <v>-30.594429999999999</v>
      </c>
      <c r="J9357">
        <v>-188.28299999999999</v>
      </c>
      <c r="K9357">
        <v>1.120255</v>
      </c>
      <c r="L9357">
        <v>-31.15155</v>
      </c>
      <c r="M9357">
        <v>1.5054089999999999E-2</v>
      </c>
      <c r="N9357">
        <v>-4.7776850000000003E-3</v>
      </c>
      <c r="O9357">
        <v>0.99987519999999996</v>
      </c>
      <c r="P9357">
        <v>-2.3111199999999998E-2</v>
      </c>
      <c r="Q9357">
        <v>-6.1108000000000003E-2</v>
      </c>
      <c r="R9357">
        <v>0.99786350000000001</v>
      </c>
      <c r="S9357">
        <v>-1.7094879999999999</v>
      </c>
      <c r="T9357">
        <v>-0.40213690000000002</v>
      </c>
      <c r="U9357">
        <v>2.9423219999999999</v>
      </c>
      <c r="V9357">
        <v>-3.8088320000000002E-2</v>
      </c>
      <c r="W9357">
        <v>-5.6370690000000001E-2</v>
      </c>
      <c r="X9357">
        <v>0.99768310000000004</v>
      </c>
      <c r="Y9357">
        <v>-0.51201149999999995</v>
      </c>
      <c r="Z9357">
        <v>-0.1120946</v>
      </c>
      <c r="AA9357">
        <v>0.85163310000000003</v>
      </c>
      <c r="AB9357">
        <v>27</v>
      </c>
      <c r="AC9357">
        <v>-0.48550000000000099</v>
      </c>
      <c r="AD9357">
        <v>-0.11333699999999999</v>
      </c>
      <c r="AE9357">
        <v>0.55712000000000095</v>
      </c>
      <c r="AF9357">
        <v>-0.482482980165725</v>
      </c>
      <c r="AG9357">
        <v>-0.11333699999999999</v>
      </c>
      <c r="AH9357">
        <v>0.53711395112476301</v>
      </c>
      <c r="AI9357">
        <v>98.921308828030803</v>
      </c>
      <c r="AJ9357">
        <v>131.93297059192599</v>
      </c>
      <c r="AK9357">
        <v>0.73083958445848696</v>
      </c>
      <c r="AL9357">
        <v>93.231515701214093</v>
      </c>
      <c r="AM9357">
        <v>92.186306154367898</v>
      </c>
      <c r="AN9357">
        <v>0.99999997141855301</v>
      </c>
    </row>
    <row r="9358" spans="1:40" x14ac:dyDescent="0.25">
      <c r="A9358" t="str">
        <f>"20190303154022065"</f>
        <v>20190303154022065</v>
      </c>
      <c r="B9358" t="str">
        <f>"1551598822057465"</f>
        <v>1551598822057465</v>
      </c>
      <c r="C9358" t="s">
        <v>40</v>
      </c>
      <c r="D9358">
        <v>4.7856529999999999</v>
      </c>
      <c r="E9358">
        <v>0.29382520000000001</v>
      </c>
      <c r="F9358" t="s">
        <v>44</v>
      </c>
      <c r="G9358">
        <v>-188.75210000000001</v>
      </c>
      <c r="H9358">
        <v>1.0109570000000001</v>
      </c>
      <c r="I9358">
        <v>-30.346019999999999</v>
      </c>
      <c r="J9358">
        <v>-188.27930000000001</v>
      </c>
      <c r="K9358">
        <v>1.1202399999999999</v>
      </c>
      <c r="L9358">
        <v>-30.87247</v>
      </c>
      <c r="M9358">
        <v>1.46464E-2</v>
      </c>
      <c r="N9358">
        <v>-4.8279639999999997E-3</v>
      </c>
      <c r="O9358">
        <v>0.99988109999999997</v>
      </c>
      <c r="P9358">
        <v>-2.3702999999999998E-2</v>
      </c>
      <c r="Q9358">
        <v>-6.061652E-2</v>
      </c>
      <c r="R9358">
        <v>0.99787969999999904</v>
      </c>
      <c r="S9358">
        <v>-1.7131810000000001</v>
      </c>
      <c r="T9358">
        <v>-0.39921839999999997</v>
      </c>
      <c r="U9358">
        <v>2.942291</v>
      </c>
      <c r="V9358">
        <v>-3.8276459999999998E-2</v>
      </c>
      <c r="W9358">
        <v>-5.5827380000000003E-2</v>
      </c>
      <c r="X9358">
        <v>0.99770650000000005</v>
      </c>
      <c r="Y9358">
        <v>-0.51251689999999905</v>
      </c>
      <c r="Z9358">
        <v>-0.1111596</v>
      </c>
      <c r="AA9358">
        <v>0.85145170000000003</v>
      </c>
      <c r="AB9358">
        <v>27</v>
      </c>
      <c r="AC9358">
        <v>-0.47280000000000599</v>
      </c>
      <c r="AD9358">
        <v>-0.10928300000000001</v>
      </c>
      <c r="AE9358">
        <v>0.52644999999999698</v>
      </c>
      <c r="AF9358">
        <v>-0.46926671280239901</v>
      </c>
      <c r="AG9358">
        <v>-0.10928300000000001</v>
      </c>
      <c r="AH9358">
        <v>0.50736658913884503</v>
      </c>
      <c r="AI9358">
        <v>98.985606529402602</v>
      </c>
      <c r="AJ9358">
        <v>132.765941722077</v>
      </c>
      <c r="AK9358">
        <v>0.69969627525645395</v>
      </c>
      <c r="AL9358">
        <v>93.200337068525997</v>
      </c>
      <c r="AM9358">
        <v>92.197043533742303</v>
      </c>
      <c r="AN9358">
        <v>1.00000002194502</v>
      </c>
    </row>
    <row r="9359" spans="1:40" x14ac:dyDescent="0.25">
      <c r="A9359" t="str">
        <f>"20190303154022080"</f>
        <v>20190303154022080</v>
      </c>
      <c r="B9359" t="str">
        <f>"1551598822076985"</f>
        <v>1551598822076985</v>
      </c>
      <c r="C9359" t="s">
        <v>40</v>
      </c>
      <c r="D9359">
        <v>4.771712</v>
      </c>
      <c r="E9359">
        <v>0.29356320000000002</v>
      </c>
      <c r="F9359" t="s">
        <v>44</v>
      </c>
      <c r="G9359">
        <v>-188.7321</v>
      </c>
      <c r="H9359">
        <v>1.015433</v>
      </c>
      <c r="I9359">
        <v>-30.095890000000001</v>
      </c>
      <c r="J9359">
        <v>-188.27680000000001</v>
      </c>
      <c r="K9359">
        <v>1.1202319999999999</v>
      </c>
      <c r="L9359">
        <v>-30.686489999999999</v>
      </c>
      <c r="M9359">
        <v>1.4381100000000001E-2</v>
      </c>
      <c r="N9359">
        <v>-4.8605749999999998E-3</v>
      </c>
      <c r="O9359">
        <v>0.99988480000000002</v>
      </c>
      <c r="P9359">
        <v>-2.4323609999999999E-2</v>
      </c>
      <c r="Q9359">
        <v>-6.0384769999999997E-2</v>
      </c>
      <c r="R9359">
        <v>0.99787879999999995</v>
      </c>
      <c r="S9359">
        <v>-1.7158659999999999</v>
      </c>
      <c r="T9359">
        <v>-0.39700059999999998</v>
      </c>
      <c r="U9359">
        <v>2.9414980000000002</v>
      </c>
      <c r="V9359">
        <v>-3.8633359999999999E-2</v>
      </c>
      <c r="W9359">
        <v>-5.556287E-2</v>
      </c>
      <c r="X9359">
        <v>0.99770749999999997</v>
      </c>
      <c r="Y9359">
        <v>-0.51300779999999901</v>
      </c>
      <c r="Z9359">
        <v>-0.1104776</v>
      </c>
      <c r="AA9359">
        <v>0.85124480000000002</v>
      </c>
      <c r="AB9359">
        <v>28</v>
      </c>
      <c r="AC9359">
        <v>-0.45529999999999399</v>
      </c>
      <c r="AD9359">
        <v>-0.104798999999999</v>
      </c>
      <c r="AE9359">
        <v>0.59060000000000201</v>
      </c>
      <c r="AF9359">
        <v>-0.45476510415925597</v>
      </c>
      <c r="AG9359">
        <v>-0.104798999999999</v>
      </c>
      <c r="AH9359">
        <v>0.57268096172685501</v>
      </c>
      <c r="AI9359">
        <v>98.155439351595604</v>
      </c>
      <c r="AJ9359">
        <v>128.45303713733301</v>
      </c>
      <c r="AK9359">
        <v>0.73875409595235098</v>
      </c>
      <c r="AL9359">
        <v>93.185158232649897</v>
      </c>
      <c r="AM9359">
        <v>92.217506780902397</v>
      </c>
      <c r="AN9359">
        <v>1.00000001229188</v>
      </c>
    </row>
    <row r="9360" spans="1:40" x14ac:dyDescent="0.25">
      <c r="A9360" t="str">
        <f>"20190303154022101"</f>
        <v>20190303154022101</v>
      </c>
      <c r="B9360" t="str">
        <f>"1551598822097481"</f>
        <v>1551598822097481</v>
      </c>
      <c r="C9360" t="s">
        <v>40</v>
      </c>
      <c r="D9360">
        <v>4.81881</v>
      </c>
      <c r="E9360">
        <v>0.29412630000000001</v>
      </c>
      <c r="F9360" t="s">
        <v>44</v>
      </c>
      <c r="G9360">
        <v>-188.76310000000001</v>
      </c>
      <c r="H9360">
        <v>1.008108</v>
      </c>
      <c r="I9360">
        <v>-29.854869999999998</v>
      </c>
      <c r="J9360">
        <v>-188.27359999999999</v>
      </c>
      <c r="K9360">
        <v>1.120234</v>
      </c>
      <c r="L9360">
        <v>-30.434480000000001</v>
      </c>
      <c r="M9360">
        <v>1.402319E-2</v>
      </c>
      <c r="N9360">
        <v>-4.9053940000000004E-3</v>
      </c>
      <c r="O9360">
        <v>0.99988960000000005</v>
      </c>
      <c r="P9360">
        <v>-2.6064170000000001E-2</v>
      </c>
      <c r="Q9360">
        <v>-5.9823099999999997E-2</v>
      </c>
      <c r="R9360">
        <v>0.99786870000000005</v>
      </c>
      <c r="S9360">
        <v>-1.719711</v>
      </c>
      <c r="T9360">
        <v>-0.39645659999999999</v>
      </c>
      <c r="U9360">
        <v>2.9404599999999999</v>
      </c>
      <c r="V9360">
        <v>-4.0017169999999998E-2</v>
      </c>
      <c r="W9360">
        <v>-5.4957350000000002E-2</v>
      </c>
      <c r="X9360">
        <v>0.99768650000000003</v>
      </c>
      <c r="Y9360">
        <v>-0.51367309999999999</v>
      </c>
      <c r="Z9360">
        <v>-0.1102539</v>
      </c>
      <c r="AA9360">
        <v>0.85087250000000003</v>
      </c>
      <c r="AB9360">
        <v>28</v>
      </c>
      <c r="AC9360">
        <v>-0.48950000000001997</v>
      </c>
      <c r="AD9360">
        <v>-0.112125999999999</v>
      </c>
      <c r="AE9360">
        <v>0.57960999999999496</v>
      </c>
      <c r="AF9360">
        <v>-0.48694336556207901</v>
      </c>
      <c r="AG9360">
        <v>-0.112125999999999</v>
      </c>
      <c r="AH9360">
        <v>0.56044642229045205</v>
      </c>
      <c r="AI9360">
        <v>98.588141239275402</v>
      </c>
      <c r="AJ9360">
        <v>130.98571440053399</v>
      </c>
      <c r="AK9360">
        <v>0.75085702593709003</v>
      </c>
      <c r="AL9360">
        <v>93.150411379931796</v>
      </c>
      <c r="AM9360">
        <v>92.296900446466495</v>
      </c>
      <c r="AN9360">
        <v>1.00000001824804</v>
      </c>
    </row>
    <row r="9361" spans="1:40" x14ac:dyDescent="0.25">
      <c r="A9361" t="str">
        <f>"20190303154022122"</f>
        <v>20190303154022122</v>
      </c>
      <c r="B9361" t="str">
        <f>"1551598822117002"</f>
        <v>1551598822117002</v>
      </c>
      <c r="C9361" t="s">
        <v>40</v>
      </c>
      <c r="D9361">
        <v>4.8773989999999996</v>
      </c>
      <c r="E9361">
        <v>0.29473510000000003</v>
      </c>
      <c r="F9361" t="s">
        <v>44</v>
      </c>
      <c r="G9361">
        <v>-188.7587</v>
      </c>
      <c r="H9361">
        <v>1.008184</v>
      </c>
      <c r="I9361">
        <v>-29.605820000000001</v>
      </c>
      <c r="J9361">
        <v>-188.27010000000001</v>
      </c>
      <c r="K9361">
        <v>1.1202479999999999</v>
      </c>
      <c r="L9361">
        <v>-30.16058</v>
      </c>
      <c r="M9361">
        <v>1.363296E-2</v>
      </c>
      <c r="N9361">
        <v>-4.9580689999999998E-3</v>
      </c>
      <c r="O9361">
        <v>0.99989479999999997</v>
      </c>
      <c r="P9361">
        <v>-2.9198539999999999E-2</v>
      </c>
      <c r="Q9361">
        <v>-5.8573769999999997E-2</v>
      </c>
      <c r="R9361">
        <v>0.99785599999999997</v>
      </c>
      <c r="S9361">
        <v>-1.720291</v>
      </c>
      <c r="T9361">
        <v>-0.3972405</v>
      </c>
      <c r="U9361">
        <v>2.9376530000000001</v>
      </c>
      <c r="V9361">
        <v>-4.2762649999999999E-2</v>
      </c>
      <c r="W9361">
        <v>-5.3657740000000002E-2</v>
      </c>
      <c r="X9361">
        <v>0.99764339999999996</v>
      </c>
      <c r="Y9361">
        <v>-0.51380219999999999</v>
      </c>
      <c r="Z9361">
        <v>-0.1105109</v>
      </c>
      <c r="AA9361">
        <v>0.850761199999999</v>
      </c>
      <c r="AB9361">
        <v>28</v>
      </c>
      <c r="AC9361">
        <v>-0.48859999999999099</v>
      </c>
      <c r="AD9361">
        <v>-0.112063999999999</v>
      </c>
      <c r="AE9361">
        <v>0.55475999999999803</v>
      </c>
      <c r="AF9361">
        <v>-0.48497299783210801</v>
      </c>
      <c r="AG9361">
        <v>-0.112063999999999</v>
      </c>
      <c r="AH9361">
        <v>0.53573605169063598</v>
      </c>
      <c r="AI9361">
        <v>98.814948033001798</v>
      </c>
      <c r="AJ9361">
        <v>132.15284748186701</v>
      </c>
      <c r="AK9361">
        <v>0.73127988199001703</v>
      </c>
      <c r="AL9361">
        <v>93.075838982446001</v>
      </c>
      <c r="AM9361">
        <v>92.454404537995998</v>
      </c>
      <c r="AN9361">
        <v>1.0000000754302401</v>
      </c>
    </row>
    <row r="9362" spans="1:40" x14ac:dyDescent="0.25">
      <c r="A9362" t="str">
        <f>"20190303154022157"</f>
        <v>20190303154022157</v>
      </c>
      <c r="B9362" t="str">
        <f>"1551598822147258"</f>
        <v>1551598822147258</v>
      </c>
      <c r="C9362" t="s">
        <v>40</v>
      </c>
      <c r="D9362">
        <v>4.8230440000000003</v>
      </c>
      <c r="E9362">
        <v>0.29531839999999998</v>
      </c>
      <c r="F9362" t="s">
        <v>44</v>
      </c>
      <c r="G9362">
        <v>-188.74449999999999</v>
      </c>
      <c r="H9362">
        <v>1.0111870000000001</v>
      </c>
      <c r="I9362">
        <v>-29.353819999999999</v>
      </c>
      <c r="J9362">
        <v>-188.26490000000001</v>
      </c>
      <c r="K9362">
        <v>1.120276</v>
      </c>
      <c r="L9362">
        <v>-29.725650000000002</v>
      </c>
      <c r="M9362">
        <v>1.3005539999999999E-2</v>
      </c>
      <c r="N9362">
        <v>-5.070382E-3</v>
      </c>
      <c r="O9362">
        <v>0.99990250000000003</v>
      </c>
      <c r="P9362">
        <v>-3.3777689999999999E-2</v>
      </c>
      <c r="Q9362">
        <v>-5.5746990000000003E-2</v>
      </c>
      <c r="R9362">
        <v>0.99787340000000002</v>
      </c>
      <c r="S9362">
        <v>-1.72444199999999</v>
      </c>
      <c r="T9362">
        <v>-0.39645780000000003</v>
      </c>
      <c r="U9362">
        <v>2.932709</v>
      </c>
      <c r="V9362">
        <v>-4.671695E-2</v>
      </c>
      <c r="W9362">
        <v>-5.0722440000000001E-2</v>
      </c>
      <c r="X9362">
        <v>0.99761960000000005</v>
      </c>
      <c r="Y9362">
        <v>-0.51479540000000001</v>
      </c>
      <c r="Z9362">
        <v>-0.1102677</v>
      </c>
      <c r="AA9362">
        <v>0.85019219999999895</v>
      </c>
      <c r="AB9362">
        <v>28</v>
      </c>
      <c r="AC9362">
        <v>-0.47959999999997599</v>
      </c>
      <c r="AD9362">
        <v>-0.10908900000000001</v>
      </c>
      <c r="AE9362">
        <v>0.37182999999999899</v>
      </c>
      <c r="AF9362">
        <v>-0.46923255132334402</v>
      </c>
      <c r="AG9362">
        <v>-0.10908900000000001</v>
      </c>
      <c r="AH9362">
        <v>0.354118031009102</v>
      </c>
      <c r="AI9362">
        <v>100.512784894272</v>
      </c>
      <c r="AJ9362">
        <v>142.95906118976501</v>
      </c>
      <c r="AK9362">
        <v>0.59789562385769102</v>
      </c>
      <c r="AL9362">
        <v>92.907429184065506</v>
      </c>
      <c r="AM9362">
        <v>92.681112188806296</v>
      </c>
      <c r="AN9362">
        <v>1.0000000528205</v>
      </c>
    </row>
    <row r="9363" spans="1:40" x14ac:dyDescent="0.25">
      <c r="A9363" t="str">
        <f>"20190303154022179"</f>
        <v>20190303154022179</v>
      </c>
      <c r="B9363" t="str">
        <f>"1551598822166777"</f>
        <v>1551598822166777</v>
      </c>
      <c r="C9363" t="s">
        <v>40</v>
      </c>
      <c r="D9363">
        <v>4.838908</v>
      </c>
      <c r="E9363">
        <v>0.29561890000000002</v>
      </c>
      <c r="F9363" t="s">
        <v>44</v>
      </c>
      <c r="G9363">
        <v>-188.77789999999999</v>
      </c>
      <c r="H9363">
        <v>1.0042340000000001</v>
      </c>
      <c r="I9363">
        <v>-28.859470000000002</v>
      </c>
      <c r="J9363">
        <v>-188.26179999999999</v>
      </c>
      <c r="K9363">
        <v>1.1203000000000001</v>
      </c>
      <c r="L9363">
        <v>-29.451229999999999</v>
      </c>
      <c r="M9363">
        <v>1.26044E-2</v>
      </c>
      <c r="N9363">
        <v>-5.1709360000000001E-3</v>
      </c>
      <c r="O9363">
        <v>0.9999072</v>
      </c>
      <c r="P9363">
        <v>-3.6794210000000001E-2</v>
      </c>
      <c r="Q9363">
        <v>-5.5787330000000003E-2</v>
      </c>
      <c r="R9363">
        <v>0.99776450000000005</v>
      </c>
      <c r="S9363">
        <v>-1.73291</v>
      </c>
      <c r="T9363">
        <v>-0.39197520000000002</v>
      </c>
      <c r="U9363">
        <v>2.9258419999999998</v>
      </c>
      <c r="V9363">
        <v>-4.9331390000000003E-2</v>
      </c>
      <c r="W9363">
        <v>-5.0665410000000001E-2</v>
      </c>
      <c r="X9363">
        <v>0.99749659999999996</v>
      </c>
      <c r="Y9363">
        <v>-0.51721799999999996</v>
      </c>
      <c r="Z9363">
        <v>-0.108944899999999</v>
      </c>
      <c r="AA9363">
        <v>0.84889139999999996</v>
      </c>
      <c r="AB9363">
        <v>28</v>
      </c>
      <c r="AC9363">
        <v>-0.51609999999999401</v>
      </c>
      <c r="AD9363">
        <v>-0.116066</v>
      </c>
      <c r="AE9363">
        <v>0.59175999999999696</v>
      </c>
      <c r="AF9363">
        <v>-0.51232366052650002</v>
      </c>
      <c r="AG9363">
        <v>-0.116066</v>
      </c>
      <c r="AH9363">
        <v>0.57269445716851097</v>
      </c>
      <c r="AI9363">
        <v>98.589419459963196</v>
      </c>
      <c r="AJ9363">
        <v>131.81532602374901</v>
      </c>
      <c r="AK9363">
        <v>0.77712662466473803</v>
      </c>
      <c r="AL9363">
        <v>92.904157499207798</v>
      </c>
      <c r="AM9363">
        <v>92.831267263931807</v>
      </c>
      <c r="AN9363">
        <v>1.0000000184106701</v>
      </c>
    </row>
    <row r="9364" spans="1:40" x14ac:dyDescent="0.25">
      <c r="A9364" t="str">
        <f>"20190303154022199"</f>
        <v>20190303154022199</v>
      </c>
      <c r="B9364" t="str">
        <f>"1551598822197034"</f>
        <v>1551598822197034</v>
      </c>
      <c r="C9364" t="s">
        <v>40</v>
      </c>
      <c r="D9364">
        <v>4.8284659999999997</v>
      </c>
      <c r="E9364">
        <v>0.29640490000000003</v>
      </c>
      <c r="F9364" t="s">
        <v>44</v>
      </c>
      <c r="G9364">
        <v>-188.7655</v>
      </c>
      <c r="H9364">
        <v>1.005865</v>
      </c>
      <c r="I9364">
        <v>-28.605180000000001</v>
      </c>
      <c r="J9364">
        <v>-188.25890000000001</v>
      </c>
      <c r="K9364">
        <v>1.120325</v>
      </c>
      <c r="L9364">
        <v>-29.18835</v>
      </c>
      <c r="M9364">
        <v>1.221818E-2</v>
      </c>
      <c r="N9364">
        <v>-5.30746E-3</v>
      </c>
      <c r="O9364">
        <v>0.9999112</v>
      </c>
      <c r="P9364">
        <v>-3.9364030000000001E-2</v>
      </c>
      <c r="Q9364">
        <v>-5.6543639999999999E-2</v>
      </c>
      <c r="R9364">
        <v>0.99762379999999995</v>
      </c>
      <c r="S9364">
        <v>-1.7389220000000001</v>
      </c>
      <c r="T9364">
        <v>-0.39502500000000002</v>
      </c>
      <c r="U9364">
        <v>2.9205019999999999</v>
      </c>
      <c r="V9364">
        <v>-5.151331E-2</v>
      </c>
      <c r="W9364">
        <v>-5.1288309999999997E-2</v>
      </c>
      <c r="X9364">
        <v>0.99735439999999997</v>
      </c>
      <c r="Y9364">
        <v>-0.51880769999999998</v>
      </c>
      <c r="Z9364">
        <v>-0.10974829999999999</v>
      </c>
      <c r="AA9364">
        <v>0.84781709999999999</v>
      </c>
      <c r="AB9364">
        <v>28</v>
      </c>
      <c r="AC9364">
        <v>-0.50659999999999095</v>
      </c>
      <c r="AD9364">
        <v>-0.11445999999999899</v>
      </c>
      <c r="AE9364">
        <v>0.58317000000000196</v>
      </c>
      <c r="AF9364">
        <v>-0.50265194952550096</v>
      </c>
      <c r="AG9364">
        <v>-0.11445999999999899</v>
      </c>
      <c r="AH9364">
        <v>0.56454225157569204</v>
      </c>
      <c r="AI9364">
        <v>98.610571523199397</v>
      </c>
      <c r="AJ9364">
        <v>131.68093615351401</v>
      </c>
      <c r="AK9364">
        <v>0.76450508682149299</v>
      </c>
      <c r="AL9364">
        <v>92.939893687945101</v>
      </c>
      <c r="AM9364">
        <v>92.956697097056505</v>
      </c>
      <c r="AN9364">
        <v>0.99999995552458498</v>
      </c>
    </row>
    <row r="9365" spans="1:40" x14ac:dyDescent="0.25">
      <c r="A9365" t="str">
        <f>"20190303154022223"</f>
        <v>20190303154022223</v>
      </c>
      <c r="B9365" t="str">
        <f>"1551598822217529"</f>
        <v>1551598822217529</v>
      </c>
      <c r="C9365" t="s">
        <v>40</v>
      </c>
      <c r="D9365">
        <v>4.8422219999999996</v>
      </c>
      <c r="E9365">
        <v>0.29677870000000001</v>
      </c>
      <c r="F9365" t="s">
        <v>44</v>
      </c>
      <c r="G9365">
        <v>-188.7585</v>
      </c>
      <c r="H9365">
        <v>1.0064040000000001</v>
      </c>
      <c r="I9365">
        <v>-28.351320000000001</v>
      </c>
      <c r="J9365">
        <v>-188.25579999999999</v>
      </c>
      <c r="K9365">
        <v>1.120382</v>
      </c>
      <c r="L9365">
        <v>-28.900880000000001</v>
      </c>
      <c r="M9365">
        <v>1.1795119999999999E-2</v>
      </c>
      <c r="N9365">
        <v>-5.5572099999999999E-3</v>
      </c>
      <c r="O9365">
        <v>0.999915</v>
      </c>
      <c r="P9365">
        <v>-4.1784469999999997E-2</v>
      </c>
      <c r="Q9365">
        <v>-5.792974E-2</v>
      </c>
      <c r="R9365">
        <v>0.99744580000000005</v>
      </c>
      <c r="S9365">
        <v>-1.7405849999999901</v>
      </c>
      <c r="T9365">
        <v>-0.3968679</v>
      </c>
      <c r="U9365">
        <v>2.915985</v>
      </c>
      <c r="V9365">
        <v>-5.3508399999999998E-2</v>
      </c>
      <c r="W9365">
        <v>-5.2428200000000001E-2</v>
      </c>
      <c r="X9365">
        <v>0.99719009999999997</v>
      </c>
      <c r="Y9365">
        <v>-0.51934919999999996</v>
      </c>
      <c r="Z9365">
        <v>-0.11014549999999999</v>
      </c>
      <c r="AA9365">
        <v>0.84743400000000002</v>
      </c>
      <c r="AB9365">
        <v>28</v>
      </c>
      <c r="AC9365">
        <v>-0.50270000000000403</v>
      </c>
      <c r="AD9365">
        <v>-0.113977999999999</v>
      </c>
      <c r="AE9365">
        <v>0.54955999999999605</v>
      </c>
      <c r="AF9365">
        <v>-0.49749646127189701</v>
      </c>
      <c r="AG9365">
        <v>-0.113977999999999</v>
      </c>
      <c r="AH9365">
        <v>0.53115327309544602</v>
      </c>
      <c r="AI9365">
        <v>98.901129281544698</v>
      </c>
      <c r="AJ9365">
        <v>133.12598448895599</v>
      </c>
      <c r="AK9365">
        <v>0.73662576182350903</v>
      </c>
      <c r="AL9365">
        <v>93.005292503189295</v>
      </c>
      <c r="AM9365">
        <v>93.071498700279804</v>
      </c>
      <c r="AN9365">
        <v>0.99999998028190396</v>
      </c>
    </row>
    <row r="9366" spans="1:40" x14ac:dyDescent="0.25">
      <c r="A9366" t="str">
        <f>"20190303154022244"</f>
        <v>20190303154022244</v>
      </c>
      <c r="B9366" t="str">
        <f>"1551598822237050"</f>
        <v>1551598822237050</v>
      </c>
      <c r="C9366" t="s">
        <v>40</v>
      </c>
      <c r="D9366">
        <v>4.1897869999999999</v>
      </c>
      <c r="E9366">
        <v>0.29723100000000002</v>
      </c>
      <c r="F9366" t="s">
        <v>44</v>
      </c>
      <c r="G9366">
        <v>-188.739</v>
      </c>
      <c r="H9366">
        <v>1.0099100000000001</v>
      </c>
      <c r="I9366">
        <v>-28.094550000000002</v>
      </c>
      <c r="J9366">
        <v>-188.25299999999999</v>
      </c>
      <c r="K9366">
        <v>1.12046</v>
      </c>
      <c r="L9366">
        <v>-28.626280000000001</v>
      </c>
      <c r="M9366">
        <v>1.1390290000000001E-2</v>
      </c>
      <c r="N9366">
        <v>-5.9453369999999898E-3</v>
      </c>
      <c r="O9366">
        <v>0.99991739999999996</v>
      </c>
      <c r="P9366">
        <v>-4.3403169999999998E-2</v>
      </c>
      <c r="Q9366">
        <v>-5.907229E-2</v>
      </c>
      <c r="R9366">
        <v>0.99730969999999997</v>
      </c>
      <c r="S9366">
        <v>-1.7449950000000001</v>
      </c>
      <c r="T9366">
        <v>-0.39889790000000003</v>
      </c>
      <c r="U9366">
        <v>2.9114070000000001</v>
      </c>
      <c r="V9366">
        <v>-5.4721069999999997E-2</v>
      </c>
      <c r="W9366">
        <v>-5.3185830000000003E-2</v>
      </c>
      <c r="X9366">
        <v>0.99708419999999998</v>
      </c>
      <c r="Y9366">
        <v>-0.52050609999999997</v>
      </c>
      <c r="Z9366">
        <v>-0.1104126</v>
      </c>
      <c r="AA9366">
        <v>0.84668909999999997</v>
      </c>
      <c r="AB9366">
        <v>28</v>
      </c>
      <c r="AC9366">
        <v>-0.48600000000001797</v>
      </c>
      <c r="AD9366">
        <v>-0.110549999999999</v>
      </c>
      <c r="AE9366">
        <v>0.53172999999999604</v>
      </c>
      <c r="AF9366">
        <v>-0.48070415168729902</v>
      </c>
      <c r="AG9366">
        <v>-0.110549999999999</v>
      </c>
      <c r="AH9366">
        <v>0.51405333834908296</v>
      </c>
      <c r="AI9366">
        <v>98.926907848147707</v>
      </c>
      <c r="AJ9366">
        <v>133.079881482351</v>
      </c>
      <c r="AK9366">
        <v>0.71242446520121905</v>
      </c>
      <c r="AL9366">
        <v>93.048762052364495</v>
      </c>
      <c r="AM9366">
        <v>93.141303692207202</v>
      </c>
      <c r="AN9366">
        <v>1.0000000149521799</v>
      </c>
    </row>
    <row r="9367" spans="1:40" x14ac:dyDescent="0.25">
      <c r="A9367" t="str">
        <f>"20190303154022266"</f>
        <v>20190303154022266</v>
      </c>
      <c r="B9367" t="str">
        <f>"1551598822257556"</f>
        <v>1551598822257556</v>
      </c>
      <c r="C9367" t="s">
        <v>40</v>
      </c>
      <c r="D9367">
        <v>4.8292089999999996</v>
      </c>
      <c r="E9367">
        <v>0.29779420000000001</v>
      </c>
      <c r="F9367" t="s">
        <v>44</v>
      </c>
      <c r="G9367">
        <v>-188.72569999999999</v>
      </c>
      <c r="H9367">
        <v>1.0112570000000001</v>
      </c>
      <c r="I9367">
        <v>-27.838979999999999</v>
      </c>
      <c r="J9367">
        <v>-188.25020000000001</v>
      </c>
      <c r="K9367">
        <v>1.120584</v>
      </c>
      <c r="L9367">
        <v>-28.341190000000001</v>
      </c>
      <c r="M9367">
        <v>1.097764E-2</v>
      </c>
      <c r="N9367">
        <v>-6.5348400000000001E-3</v>
      </c>
      <c r="O9367">
        <v>0.99991839999999999</v>
      </c>
      <c r="P9367">
        <v>-4.4536699999999999E-2</v>
      </c>
      <c r="Q9367">
        <v>-6.1009840000000003E-2</v>
      </c>
      <c r="R9367">
        <v>0.99714309999999995</v>
      </c>
      <c r="S9367">
        <v>-1.7462009999999999</v>
      </c>
      <c r="T9367">
        <v>-0.40339360000000002</v>
      </c>
      <c r="U9367">
        <v>2.9082029999999999</v>
      </c>
      <c r="V9367">
        <v>-5.5439679999999998E-2</v>
      </c>
      <c r="W9367">
        <v>-5.4537769999999999E-2</v>
      </c>
      <c r="X9367">
        <v>0.99697139999999995</v>
      </c>
      <c r="Y9367">
        <v>-0.52075760000000004</v>
      </c>
      <c r="Z9367">
        <v>-0.11120679999999999</v>
      </c>
      <c r="AA9367">
        <v>0.84643049999999997</v>
      </c>
      <c r="AB9367">
        <v>28</v>
      </c>
      <c r="AC9367">
        <v>-0.47549999999998199</v>
      </c>
      <c r="AD9367">
        <v>-0.10932699999999899</v>
      </c>
      <c r="AE9367">
        <v>0.50221000000000104</v>
      </c>
      <c r="AF9367">
        <v>-0.46925846517935799</v>
      </c>
      <c r="AG9367">
        <v>-0.10932699999999899</v>
      </c>
      <c r="AH9367">
        <v>0.48484421323119598</v>
      </c>
      <c r="AI9367">
        <v>99.203521935043199</v>
      </c>
      <c r="AJ9367">
        <v>134.06412780814799</v>
      </c>
      <c r="AK9367">
        <v>0.68354210636599799</v>
      </c>
      <c r="AL9367">
        <v>93.126335323409506</v>
      </c>
      <c r="AM9367">
        <v>93.182831118594393</v>
      </c>
      <c r="AN9367">
        <v>0.99999994944651605</v>
      </c>
    </row>
    <row r="9368" spans="1:40" x14ac:dyDescent="0.25">
      <c r="A9368" t="str">
        <f>"20190303154022290"</f>
        <v>20190303154022290</v>
      </c>
      <c r="B9368" t="str">
        <f>"1551598822287366"</f>
        <v>1551598822287366</v>
      </c>
      <c r="C9368" t="s">
        <v>40</v>
      </c>
      <c r="D9368">
        <v>4.8396059999999999</v>
      </c>
      <c r="E9368">
        <v>0.29807990000000001</v>
      </c>
      <c r="F9368" t="s">
        <v>44</v>
      </c>
      <c r="G9368">
        <v>-188.70580000000001</v>
      </c>
      <c r="H9368">
        <v>1.013938</v>
      </c>
      <c r="I9368">
        <v>-27.582370000000001</v>
      </c>
      <c r="J9368">
        <v>-188.2474</v>
      </c>
      <c r="K9368">
        <v>1.12073</v>
      </c>
      <c r="L9368">
        <v>-28.045200000000001</v>
      </c>
      <c r="M9368">
        <v>1.055208E-2</v>
      </c>
      <c r="N9368">
        <v>-7.3122369999999897E-3</v>
      </c>
      <c r="O9368">
        <v>0.99991759999999996</v>
      </c>
      <c r="P9368">
        <v>-4.581615E-2</v>
      </c>
      <c r="Q9368">
        <v>-6.214546E-2</v>
      </c>
      <c r="R9368">
        <v>0.99701490000000004</v>
      </c>
      <c r="S9368">
        <v>-1.745193</v>
      </c>
      <c r="T9368">
        <v>-0.40838790000000003</v>
      </c>
      <c r="U9368">
        <v>2.9056700000000002</v>
      </c>
      <c r="V9368">
        <v>-5.629282E-2</v>
      </c>
      <c r="W9368">
        <v>-5.4899919999999998E-2</v>
      </c>
      <c r="X9368">
        <v>0.99690380000000001</v>
      </c>
      <c r="Y9368">
        <v>-0.52043309999999998</v>
      </c>
      <c r="Z9368">
        <v>-0.1119797</v>
      </c>
      <c r="AA9368">
        <v>0.84652819999999995</v>
      </c>
      <c r="AB9368">
        <v>28</v>
      </c>
      <c r="AC9368">
        <v>-0.45840000000001102</v>
      </c>
      <c r="AD9368">
        <v>-0.106792</v>
      </c>
      <c r="AE9368">
        <v>0.46283000000000002</v>
      </c>
      <c r="AF9368">
        <v>-0.45113384820991298</v>
      </c>
      <c r="AG9368">
        <v>-0.106792</v>
      </c>
      <c r="AH9368">
        <v>0.44598093765823399</v>
      </c>
      <c r="AI9368">
        <v>99.555822785303704</v>
      </c>
      <c r="AJ9368">
        <v>135.32909588012299</v>
      </c>
      <c r="AK9368">
        <v>0.64329252834088102</v>
      </c>
      <c r="AL9368">
        <v>93.147115856545696</v>
      </c>
      <c r="AM9368">
        <v>93.231926132959202</v>
      </c>
      <c r="AN9368">
        <v>1.0000000346269899</v>
      </c>
    </row>
    <row r="9369" spans="1:40" x14ac:dyDescent="0.25">
      <c r="A9369" t="str">
        <f>"20190303154022311"</f>
        <v>20190303154022311</v>
      </c>
      <c r="B9369" t="str">
        <f>"1551598822306886"</f>
        <v>1551598822306886</v>
      </c>
      <c r="C9369" t="s">
        <v>40</v>
      </c>
      <c r="D9369">
        <v>4.8460760000000001</v>
      </c>
      <c r="E9369">
        <v>0.29766910000000002</v>
      </c>
      <c r="F9369" t="s">
        <v>44</v>
      </c>
      <c r="G9369">
        <v>-188.81549999999999</v>
      </c>
      <c r="H9369">
        <v>0.98733230000000005</v>
      </c>
      <c r="I9369">
        <v>-27.101009999999999</v>
      </c>
      <c r="J9369">
        <v>-188.24510000000001</v>
      </c>
      <c r="K9369">
        <v>1.120859</v>
      </c>
      <c r="L9369">
        <v>-27.780519999999999</v>
      </c>
      <c r="M9369">
        <v>1.016716E-2</v>
      </c>
      <c r="N9369">
        <v>-8.0707999999999995E-3</v>
      </c>
      <c r="O9369">
        <v>0.99991569999999996</v>
      </c>
      <c r="P9369">
        <v>-4.532013E-2</v>
      </c>
      <c r="Q9369">
        <v>-6.1786050000000002E-2</v>
      </c>
      <c r="R9369">
        <v>0.9970599</v>
      </c>
      <c r="S9369">
        <v>-1.7470399999999999</v>
      </c>
      <c r="T9369">
        <v>-0.41017789999999998</v>
      </c>
      <c r="U9369">
        <v>2.9031370000000001</v>
      </c>
      <c r="V9369">
        <v>-5.5414860000000003E-2</v>
      </c>
      <c r="W9369">
        <v>-5.3782620000000003E-2</v>
      </c>
      <c r="X9369">
        <v>0.99701390000000001</v>
      </c>
      <c r="Y9369">
        <v>-0.52081109999999997</v>
      </c>
      <c r="Z9369">
        <v>-0.1117966</v>
      </c>
      <c r="AA9369">
        <v>0.84631990000000001</v>
      </c>
      <c r="AB9369">
        <v>28</v>
      </c>
      <c r="AC9369">
        <v>-0.57039999999997804</v>
      </c>
      <c r="AD9369">
        <v>-0.1335267</v>
      </c>
      <c r="AE9369">
        <v>0.67951000000000406</v>
      </c>
      <c r="AF9369">
        <v>-0.56449239084833502</v>
      </c>
      <c r="AG9369">
        <v>-0.1335267</v>
      </c>
      <c r="AH9369">
        <v>0.65875308236260399</v>
      </c>
      <c r="AI9369">
        <v>98.750074345382501</v>
      </c>
      <c r="AJ9369">
        <v>130.59361703950901</v>
      </c>
      <c r="AK9369">
        <v>0.87774521500307301</v>
      </c>
      <c r="AL9369">
        <v>93.083004513723196</v>
      </c>
      <c r="AM9369">
        <v>93.181273776302604</v>
      </c>
      <c r="AN9369">
        <v>1.0000000468580399</v>
      </c>
    </row>
    <row r="9370" spans="1:40" x14ac:dyDescent="0.25">
      <c r="A9370" t="str">
        <f>"20190303154022333"</f>
        <v>20190303154022333</v>
      </c>
      <c r="B9370" t="str">
        <f>"1551598822327382"</f>
        <v>1551598822327382</v>
      </c>
      <c r="C9370" t="s">
        <v>40</v>
      </c>
      <c r="D9370">
        <v>4.8616840000000003</v>
      </c>
      <c r="E9370">
        <v>0.29740499999999997</v>
      </c>
      <c r="F9370" t="s">
        <v>44</v>
      </c>
      <c r="G9370">
        <v>-188.8065</v>
      </c>
      <c r="H9370">
        <v>0.98944460000000001</v>
      </c>
      <c r="I9370">
        <v>-26.848089999999999</v>
      </c>
      <c r="J9370">
        <v>-188.24279999999999</v>
      </c>
      <c r="K9370">
        <v>1.120981</v>
      </c>
      <c r="L9370">
        <v>-27.51135</v>
      </c>
      <c r="M9370">
        <v>9.7723730000000009E-3</v>
      </c>
      <c r="N9370">
        <v>-8.8333179999999997E-3</v>
      </c>
      <c r="O9370">
        <v>0.99991319999999995</v>
      </c>
      <c r="P9370">
        <v>-4.4884540000000001E-2</v>
      </c>
      <c r="Q9370">
        <v>-6.1406660000000002E-2</v>
      </c>
      <c r="R9370">
        <v>0.99710310000000002</v>
      </c>
      <c r="S9370">
        <v>-1.7486109999999999</v>
      </c>
      <c r="T9370">
        <v>-0.40928540000000002</v>
      </c>
      <c r="U9370">
        <v>2.9039920000000001</v>
      </c>
      <c r="V9370">
        <v>-5.4587610000000002E-2</v>
      </c>
      <c r="W9370">
        <v>-5.2641350000000003E-2</v>
      </c>
      <c r="X9370">
        <v>0.99712040000000002</v>
      </c>
      <c r="Y9370">
        <v>-0.52073769999999997</v>
      </c>
      <c r="Z9370">
        <v>-0.1107411</v>
      </c>
      <c r="AA9370">
        <v>0.84650380000000003</v>
      </c>
      <c r="AB9370">
        <v>28</v>
      </c>
      <c r="AC9370">
        <v>-0.56370000000001097</v>
      </c>
      <c r="AD9370">
        <v>-0.1315364</v>
      </c>
      <c r="AE9370">
        <v>0.66325999999999696</v>
      </c>
      <c r="AF9370">
        <v>-0.55742584785067995</v>
      </c>
      <c r="AG9370">
        <v>-0.1315364</v>
      </c>
      <c r="AH9370">
        <v>0.64303537616982498</v>
      </c>
      <c r="AI9370">
        <v>98.786394747688107</v>
      </c>
      <c r="AJ9370">
        <v>130.92092217017799</v>
      </c>
      <c r="AK9370">
        <v>0.86111549479897198</v>
      </c>
      <c r="AL9370">
        <v>93.017521910455301</v>
      </c>
      <c r="AM9370">
        <v>93.133544070133894</v>
      </c>
      <c r="AN9370">
        <v>1.0000000054957401</v>
      </c>
    </row>
    <row r="9371" spans="1:40" x14ac:dyDescent="0.25">
      <c r="A9371" t="str">
        <f>"20190303154022355"</f>
        <v>20190303154022355</v>
      </c>
      <c r="B9371" t="str">
        <f>"1551598822347878"</f>
        <v>1551598822347878</v>
      </c>
      <c r="C9371" t="s">
        <v>40</v>
      </c>
      <c r="D9371">
        <v>4.7984749999999998</v>
      </c>
      <c r="E9371">
        <v>0.29712549999999999</v>
      </c>
      <c r="F9371" t="s">
        <v>44</v>
      </c>
      <c r="G9371">
        <v>-188.7945</v>
      </c>
      <c r="H9371">
        <v>0.99181629999999998</v>
      </c>
      <c r="I9371">
        <v>-26.595020000000002</v>
      </c>
      <c r="J9371">
        <v>-188.24039999999999</v>
      </c>
      <c r="K9371">
        <v>1.121086</v>
      </c>
      <c r="L9371">
        <v>-27.21988</v>
      </c>
      <c r="M9371">
        <v>9.3454639999999995E-3</v>
      </c>
      <c r="N9371">
        <v>-9.6120200000000006E-3</v>
      </c>
      <c r="O9371">
        <v>0.99991010000000002</v>
      </c>
      <c r="P9371">
        <v>-4.404243E-2</v>
      </c>
      <c r="Q9371">
        <v>-6.060343E-2</v>
      </c>
      <c r="R9371">
        <v>0.99718980000000002</v>
      </c>
      <c r="S9371">
        <v>-1.7493289999999999</v>
      </c>
      <c r="T9371">
        <v>-0.4094623</v>
      </c>
      <c r="U9371">
        <v>2.9047550000000002</v>
      </c>
      <c r="V9371">
        <v>-5.3322460000000002E-2</v>
      </c>
      <c r="W9371">
        <v>-5.1059380000000001E-2</v>
      </c>
      <c r="X9371">
        <v>0.99727109999999997</v>
      </c>
      <c r="Y9371">
        <v>-0.52044619999999997</v>
      </c>
      <c r="Z9371">
        <v>-0.10999730000000001</v>
      </c>
      <c r="AA9371">
        <v>0.84677999999999998</v>
      </c>
      <c r="AB9371">
        <v>28</v>
      </c>
      <c r="AC9371">
        <v>-0.55410000000000503</v>
      </c>
      <c r="AD9371">
        <v>-0.12926969999999899</v>
      </c>
      <c r="AE9371">
        <v>0.62485999999999797</v>
      </c>
      <c r="AF9371">
        <v>-0.54681469421197704</v>
      </c>
      <c r="AG9371">
        <v>-0.12926969999999899</v>
      </c>
      <c r="AH9371">
        <v>0.60515539740526503</v>
      </c>
      <c r="AI9371">
        <v>99.006153637171494</v>
      </c>
      <c r="AJ9371">
        <v>132.10077313027199</v>
      </c>
      <c r="AK9371">
        <v>0.82579054254269202</v>
      </c>
      <c r="AL9371">
        <v>92.926759637479606</v>
      </c>
      <c r="AM9371">
        <v>93.060597535827398</v>
      </c>
      <c r="AN9371">
        <v>0.99999999596082201</v>
      </c>
    </row>
    <row r="9372" spans="1:40" x14ac:dyDescent="0.25">
      <c r="A9372" t="str">
        <f>"20190303154022381"</f>
        <v>20190303154022381</v>
      </c>
      <c r="B9372" t="str">
        <f>"1551598822377377"</f>
        <v>1551598822377377</v>
      </c>
      <c r="C9372" t="s">
        <v>40</v>
      </c>
      <c r="D9372">
        <v>4.8371680000000001</v>
      </c>
      <c r="E9372">
        <v>0.2968558</v>
      </c>
      <c r="F9372" t="s">
        <v>44</v>
      </c>
      <c r="G9372">
        <v>-188.76990000000001</v>
      </c>
      <c r="H9372">
        <v>0.99752490000000005</v>
      </c>
      <c r="I9372">
        <v>-26.339829999999999</v>
      </c>
      <c r="J9372">
        <v>-188.238</v>
      </c>
      <c r="K9372">
        <v>1.1211719999999901</v>
      </c>
      <c r="L9372">
        <v>-26.909300000000002</v>
      </c>
      <c r="M9372">
        <v>8.8939309999999903E-3</v>
      </c>
      <c r="N9372">
        <v>-1.03713E-2</v>
      </c>
      <c r="O9372">
        <v>0.99990670000000004</v>
      </c>
      <c r="P9372">
        <v>-4.373705E-2</v>
      </c>
      <c r="Q9372">
        <v>-6.0232929999999997E-2</v>
      </c>
      <c r="R9372">
        <v>0.99722569999999999</v>
      </c>
      <c r="S9372">
        <v>-1.7488709999999901</v>
      </c>
      <c r="T9372">
        <v>-0.40806930000000002</v>
      </c>
      <c r="U9372">
        <v>2.9064030000000001</v>
      </c>
      <c r="V9372">
        <v>-5.2568400000000001E-2</v>
      </c>
      <c r="W9372">
        <v>-4.99304E-2</v>
      </c>
      <c r="X9372">
        <v>0.99736829999999999</v>
      </c>
      <c r="Y9372">
        <v>-0.51979430000000004</v>
      </c>
      <c r="Z9372">
        <v>-0.10881639999999999</v>
      </c>
      <c r="AA9372">
        <v>0.8473328</v>
      </c>
      <c r="AB9372">
        <v>28</v>
      </c>
      <c r="AC9372">
        <v>-0.53190000000000703</v>
      </c>
      <c r="AD9372">
        <v>-0.123647099999999</v>
      </c>
      <c r="AE9372">
        <v>0.56947000000000203</v>
      </c>
      <c r="AF9372">
        <v>-0.523756757203378</v>
      </c>
      <c r="AG9372">
        <v>-0.123647099999999</v>
      </c>
      <c r="AH9372">
        <v>0.55084714600254103</v>
      </c>
      <c r="AI9372">
        <v>99.239482175107497</v>
      </c>
      <c r="AJ9372">
        <v>133.55589929435101</v>
      </c>
      <c r="AK9372">
        <v>0.77009241284001295</v>
      </c>
      <c r="AL9372">
        <v>92.861991198655801</v>
      </c>
      <c r="AM9372">
        <v>93.017103102857206</v>
      </c>
      <c r="AN9372">
        <v>1.0000000036837999</v>
      </c>
    </row>
    <row r="9373" spans="1:40" x14ac:dyDescent="0.25">
      <c r="A9373" t="str">
        <f>"20190303154022400"</f>
        <v>20190303154022400</v>
      </c>
      <c r="B9373" t="str">
        <f>"1551598822397872"</f>
        <v>1551598822397872</v>
      </c>
      <c r="C9373" t="s">
        <v>40</v>
      </c>
      <c r="D9373">
        <v>4.7728619999999999</v>
      </c>
      <c r="E9373">
        <v>0.296595</v>
      </c>
      <c r="F9373" t="s">
        <v>44</v>
      </c>
      <c r="G9373">
        <v>-188.7354</v>
      </c>
      <c r="H9373">
        <v>1.0053989999999999</v>
      </c>
      <c r="I9373">
        <v>-26.083030000000001</v>
      </c>
      <c r="J9373">
        <v>-188.23609999999999</v>
      </c>
      <c r="K9373">
        <v>1.1212260000000001</v>
      </c>
      <c r="L9373">
        <v>-26.65277</v>
      </c>
      <c r="M9373">
        <v>8.5224519999999998E-3</v>
      </c>
      <c r="N9373">
        <v>-1.093789E-2</v>
      </c>
      <c r="O9373">
        <v>0.99990389999999996</v>
      </c>
      <c r="P9373">
        <v>-4.4335810000000003E-2</v>
      </c>
      <c r="Q9373">
        <v>-5.9830269999999998E-2</v>
      </c>
      <c r="R9373">
        <v>0.99722350000000004</v>
      </c>
      <c r="S9373">
        <v>-1.7500309999999999</v>
      </c>
      <c r="T9373">
        <v>-0.40732119999999999</v>
      </c>
      <c r="U9373">
        <v>2.9069820000000002</v>
      </c>
      <c r="V9373">
        <v>-5.2797789999999997E-2</v>
      </c>
      <c r="W9373">
        <v>-4.8962650000000003E-2</v>
      </c>
      <c r="X9373">
        <v>0.99740419999999996</v>
      </c>
      <c r="Y9373">
        <v>-0.51967810000000003</v>
      </c>
      <c r="Z9373">
        <v>-0.10801280000000001</v>
      </c>
      <c r="AA9373">
        <v>0.84750689999999995</v>
      </c>
      <c r="AB9373">
        <v>28</v>
      </c>
      <c r="AC9373">
        <v>-0.49930000000000502</v>
      </c>
      <c r="AD9373">
        <v>-0.115827</v>
      </c>
      <c r="AE9373">
        <v>0.56974000000000202</v>
      </c>
      <c r="AF9373">
        <v>-0.49262194010921401</v>
      </c>
      <c r="AG9373">
        <v>-0.115827</v>
      </c>
      <c r="AH9373">
        <v>0.55254715074794003</v>
      </c>
      <c r="AI9373">
        <v>98.892852523302807</v>
      </c>
      <c r="AJ9373">
        <v>131.71851496683001</v>
      </c>
      <c r="AK9373">
        <v>0.74926672394123595</v>
      </c>
      <c r="AL9373">
        <v>92.806475187181505</v>
      </c>
      <c r="AM9373">
        <v>93.030135329994906</v>
      </c>
      <c r="AN9373">
        <v>1.0000000429507701</v>
      </c>
    </row>
    <row r="9374" spans="1:40" x14ac:dyDescent="0.25">
      <c r="A9374" t="str">
        <f>"20190303154022423"</f>
        <v>20190303154022423</v>
      </c>
      <c r="B9374" t="str">
        <f>"1551598822417393"</f>
        <v>1551598822417393</v>
      </c>
      <c r="C9374" t="s">
        <v>40</v>
      </c>
      <c r="D9374">
        <v>4.7695230000000004</v>
      </c>
      <c r="E9374">
        <v>0.29632199999999997</v>
      </c>
      <c r="F9374" t="s">
        <v>44</v>
      </c>
      <c r="G9374">
        <v>-188.73079999999999</v>
      </c>
      <c r="H9374">
        <v>1.006143</v>
      </c>
      <c r="I9374">
        <v>-25.832899999999999</v>
      </c>
      <c r="J9374">
        <v>-188.23429999999999</v>
      </c>
      <c r="K9374">
        <v>1.1212690000000001</v>
      </c>
      <c r="L9374">
        <v>-26.379239999999999</v>
      </c>
      <c r="M9374">
        <v>8.1257789999999996E-3</v>
      </c>
      <c r="N9374">
        <v>-1.148045E-2</v>
      </c>
      <c r="O9374">
        <v>0.99990109999999999</v>
      </c>
      <c r="P9374">
        <v>-4.5700169999999998E-2</v>
      </c>
      <c r="Q9374">
        <v>-5.9538939999999999E-2</v>
      </c>
      <c r="R9374">
        <v>0.99717929999999999</v>
      </c>
      <c r="S9374">
        <v>-1.7536320000000001</v>
      </c>
      <c r="T9374">
        <v>-0.4079045</v>
      </c>
      <c r="U9374">
        <v>2.9059140000000001</v>
      </c>
      <c r="V9374">
        <v>-5.376682E-2</v>
      </c>
      <c r="W9374">
        <v>-4.813108E-2</v>
      </c>
      <c r="X9374">
        <v>0.99739290000000003</v>
      </c>
      <c r="Y9374">
        <v>-0.52025049999999995</v>
      </c>
      <c r="Z9374">
        <v>-0.1076225</v>
      </c>
      <c r="AA9374">
        <v>0.84720529999999905</v>
      </c>
      <c r="AB9374">
        <v>28</v>
      </c>
      <c r="AC9374">
        <v>-0.496499999999997</v>
      </c>
      <c r="AD9374">
        <v>-0.11512600000000001</v>
      </c>
      <c r="AE9374">
        <v>0.54634000000000404</v>
      </c>
      <c r="AF9374">
        <v>-0.48903047049576098</v>
      </c>
      <c r="AG9374">
        <v>-0.11512600000000001</v>
      </c>
      <c r="AH9374">
        <v>0.52941232181248299</v>
      </c>
      <c r="AI9374">
        <v>99.075689011354498</v>
      </c>
      <c r="AJ9374">
        <v>132.72937832612499</v>
      </c>
      <c r="AK9374">
        <v>0.72985080902619404</v>
      </c>
      <c r="AL9374">
        <v>92.758773515341403</v>
      </c>
      <c r="AM9374">
        <v>93.085677636506304</v>
      </c>
      <c r="AN9374">
        <v>1.0000000343826401</v>
      </c>
    </row>
    <row r="9375" spans="1:40" x14ac:dyDescent="0.25">
      <c r="A9375" t="str">
        <f>"20190303154022445"</f>
        <v>20190303154022445</v>
      </c>
      <c r="B9375" t="str">
        <f>"1551598822437889"</f>
        <v>1551598822437889</v>
      </c>
      <c r="C9375" t="s">
        <v>40</v>
      </c>
      <c r="D9375">
        <v>4.7687949999999999</v>
      </c>
      <c r="E9375">
        <v>0.29607149999999999</v>
      </c>
      <c r="F9375" t="s">
        <v>44</v>
      </c>
      <c r="G9375">
        <v>-188.71770000000001</v>
      </c>
      <c r="H9375">
        <v>1.0093319999999999</v>
      </c>
      <c r="I9375">
        <v>-25.581440000000001</v>
      </c>
      <c r="J9375">
        <v>-188.23249999999999</v>
      </c>
      <c r="K9375">
        <v>1.1213010000000001</v>
      </c>
      <c r="L9375">
        <v>-26.10022</v>
      </c>
      <c r="M9375">
        <v>7.7190389999999996E-3</v>
      </c>
      <c r="N9375">
        <v>-1.197082E-2</v>
      </c>
      <c r="O9375">
        <v>0.99989859999999997</v>
      </c>
      <c r="P9375">
        <v>-4.705703E-2</v>
      </c>
      <c r="Q9375">
        <v>-5.9254179999999997E-2</v>
      </c>
      <c r="R9375">
        <v>0.99713320000000005</v>
      </c>
      <c r="S9375">
        <v>-1.759628</v>
      </c>
      <c r="T9375">
        <v>-0.40739750000000002</v>
      </c>
      <c r="U9375">
        <v>2.9035340000000001</v>
      </c>
      <c r="V9375">
        <v>-5.4718589999999998E-2</v>
      </c>
      <c r="W9375">
        <v>-4.7357980000000001E-2</v>
      </c>
      <c r="X9375">
        <v>0.99737810000000005</v>
      </c>
      <c r="Y9375">
        <v>-0.5215109</v>
      </c>
      <c r="Z9375">
        <v>-0.1069659</v>
      </c>
      <c r="AA9375">
        <v>0.84651319999999997</v>
      </c>
      <c r="AB9375">
        <v>28</v>
      </c>
      <c r="AC9375">
        <v>-0.48520000000002</v>
      </c>
      <c r="AD9375">
        <v>-0.111969</v>
      </c>
      <c r="AE9375">
        <v>0.51877999999999902</v>
      </c>
      <c r="AF9375">
        <v>-0.47732966698469698</v>
      </c>
      <c r="AG9375">
        <v>-0.111969</v>
      </c>
      <c r="AH9375">
        <v>0.50253212228472099</v>
      </c>
      <c r="AI9375">
        <v>99.176793808008995</v>
      </c>
      <c r="AJ9375">
        <v>133.526653407418</v>
      </c>
      <c r="AK9375">
        <v>0.70208204782112704</v>
      </c>
      <c r="AL9375">
        <v>92.714427700618401</v>
      </c>
      <c r="AM9375">
        <v>93.140237849570198</v>
      </c>
      <c r="AN9375">
        <v>0.99999998836043902</v>
      </c>
    </row>
    <row r="9376" spans="1:40" x14ac:dyDescent="0.25">
      <c r="A9376" t="str">
        <f>"20190303154022468"</f>
        <v>20190303154022468</v>
      </c>
      <c r="B9376" t="str">
        <f>"1551598822457409"</f>
        <v>1551598822457409</v>
      </c>
      <c r="C9376" t="s">
        <v>40</v>
      </c>
      <c r="D9376">
        <v>4.7468380000000003</v>
      </c>
      <c r="E9376">
        <v>0.29586469999999998</v>
      </c>
      <c r="F9376" t="s">
        <v>44</v>
      </c>
      <c r="G9376">
        <v>-188.7013</v>
      </c>
      <c r="H9376">
        <v>1.0137719999999999</v>
      </c>
      <c r="I9376">
        <v>-25.32977</v>
      </c>
      <c r="J9376">
        <v>-188.23070000000001</v>
      </c>
      <c r="K9376">
        <v>1.121321</v>
      </c>
      <c r="L9376">
        <v>-25.8154</v>
      </c>
      <c r="M9376">
        <v>7.3022649999999996E-3</v>
      </c>
      <c r="N9376">
        <v>-1.24105E-2</v>
      </c>
      <c r="O9376">
        <v>0.99989629999999996</v>
      </c>
      <c r="P9376">
        <v>-4.8450460000000001E-2</v>
      </c>
      <c r="Q9376">
        <v>-5.9505019999999999E-2</v>
      </c>
      <c r="R9376">
        <v>0.99705149999999998</v>
      </c>
      <c r="S9376">
        <v>-1.7657779999999901</v>
      </c>
      <c r="T9376">
        <v>-0.40492400000000001</v>
      </c>
      <c r="U9376">
        <v>2.9012449999999999</v>
      </c>
      <c r="V9376">
        <v>-5.5696389999999998E-2</v>
      </c>
      <c r="W9376">
        <v>-4.7171379999999999E-2</v>
      </c>
      <c r="X9376">
        <v>0.99733280000000002</v>
      </c>
      <c r="Y9376">
        <v>-0.52281369999999905</v>
      </c>
      <c r="Z9376">
        <v>-0.1057879</v>
      </c>
      <c r="AA9376">
        <v>0.84585739999999998</v>
      </c>
      <c r="AB9376">
        <v>28</v>
      </c>
      <c r="AC9376">
        <v>-0.47059999999999003</v>
      </c>
      <c r="AD9376">
        <v>-0.10754900000000001</v>
      </c>
      <c r="AE9376">
        <v>0.48563000000000001</v>
      </c>
      <c r="AF9376">
        <v>-0.46243721863059301</v>
      </c>
      <c r="AG9376">
        <v>-0.10754900000000001</v>
      </c>
      <c r="AH9376">
        <v>0.47028513297457297</v>
      </c>
      <c r="AI9376">
        <v>99.261273140919201</v>
      </c>
      <c r="AJ9376">
        <v>134.517925394955</v>
      </c>
      <c r="AK9376">
        <v>0.66826871456975301</v>
      </c>
      <c r="AL9376">
        <v>92.703724394409804</v>
      </c>
      <c r="AM9376">
        <v>93.196382231486496</v>
      </c>
      <c r="AN9376">
        <v>0.99999997045298705</v>
      </c>
    </row>
    <row r="9377" spans="1:40" x14ac:dyDescent="0.25">
      <c r="A9377" t="str">
        <f>"20190303154022490"</f>
        <v>20190303154022490</v>
      </c>
      <c r="B9377" t="str">
        <f>"1551598822487197"</f>
        <v>1551598822487197</v>
      </c>
      <c r="C9377" t="s">
        <v>40</v>
      </c>
      <c r="D9377">
        <v>4.7227430000000004</v>
      </c>
      <c r="E9377">
        <v>0.29555900000000002</v>
      </c>
      <c r="F9377" t="s">
        <v>44</v>
      </c>
      <c r="G9377">
        <v>-188.6814</v>
      </c>
      <c r="H9377">
        <v>1.01807</v>
      </c>
      <c r="I9377">
        <v>-25.077829999999999</v>
      </c>
      <c r="J9377">
        <v>-188.22919999999999</v>
      </c>
      <c r="K9377">
        <v>1.121332</v>
      </c>
      <c r="L9377">
        <v>-25.552890000000001</v>
      </c>
      <c r="M9377">
        <v>6.9170380000000004E-3</v>
      </c>
      <c r="N9377">
        <v>-1.2763740000000001E-2</v>
      </c>
      <c r="O9377">
        <v>0.99989459999999997</v>
      </c>
      <c r="P9377">
        <v>-4.9362969999999999E-2</v>
      </c>
      <c r="Q9377">
        <v>-6.0467680000000003E-2</v>
      </c>
      <c r="R9377">
        <v>0.99694879999999997</v>
      </c>
      <c r="S9377">
        <v>-1.7714540000000001</v>
      </c>
      <c r="T9377">
        <v>-0.4057733</v>
      </c>
      <c r="U9377">
        <v>2.8985599999999998</v>
      </c>
      <c r="V9377">
        <v>-5.6224530000000002E-2</v>
      </c>
      <c r="W9377">
        <v>-4.7782789999999999E-2</v>
      </c>
      <c r="X9377">
        <v>0.99727410000000005</v>
      </c>
      <c r="Y9377">
        <v>-0.52403310000000003</v>
      </c>
      <c r="Z9377">
        <v>-0.1056721</v>
      </c>
      <c r="AA9377">
        <v>0.84511700000000001</v>
      </c>
      <c r="AB9377">
        <v>28</v>
      </c>
      <c r="AC9377">
        <v>-0.45220000000000399</v>
      </c>
      <c r="AD9377">
        <v>-0.10326199999999899</v>
      </c>
      <c r="AE9377">
        <v>0.47505999999999898</v>
      </c>
      <c r="AF9377">
        <v>-0.44445816012607697</v>
      </c>
      <c r="AG9377">
        <v>-0.10326199999999899</v>
      </c>
      <c r="AH9377">
        <v>0.460505416083897</v>
      </c>
      <c r="AI9377">
        <v>99.165413853354906</v>
      </c>
      <c r="AJ9377">
        <v>133.984109734832</v>
      </c>
      <c r="AK9377">
        <v>0.64828337553053295</v>
      </c>
      <c r="AL9377">
        <v>92.738795043938495</v>
      </c>
      <c r="AM9377">
        <v>93.226817644548802</v>
      </c>
      <c r="AN9377">
        <v>1.00000001166235</v>
      </c>
    </row>
    <row r="9378" spans="1:40" x14ac:dyDescent="0.25">
      <c r="A9378" t="str">
        <f>"20190303154022511"</f>
        <v>20190303154022511</v>
      </c>
      <c r="B9378" t="str">
        <f>"1551598822507693"</f>
        <v>1551598822507693</v>
      </c>
      <c r="C9378" t="s">
        <v>40</v>
      </c>
      <c r="D9378">
        <v>4.7711139999999999</v>
      </c>
      <c r="E9378">
        <v>0.29548740000000001</v>
      </c>
      <c r="F9378" t="s">
        <v>44</v>
      </c>
      <c r="G9378">
        <v>-188.8074</v>
      </c>
      <c r="H9378">
        <v>0.98857620000000002</v>
      </c>
      <c r="I9378">
        <v>-24.60998</v>
      </c>
      <c r="J9378">
        <v>-188.2278</v>
      </c>
      <c r="K9378">
        <v>1.12134</v>
      </c>
      <c r="L9378">
        <v>-25.279879999999999</v>
      </c>
      <c r="M9378">
        <v>6.5136169999999898E-3</v>
      </c>
      <c r="N9378">
        <v>-1.3082979999999999E-2</v>
      </c>
      <c r="O9378">
        <v>0.99989320000000004</v>
      </c>
      <c r="P9378">
        <v>-4.998901E-2</v>
      </c>
      <c r="Q9378">
        <v>-6.2053699999999899E-2</v>
      </c>
      <c r="R9378">
        <v>0.99682020000000005</v>
      </c>
      <c r="S9378">
        <v>-1.776413</v>
      </c>
      <c r="T9378">
        <v>-0.40781719999999999</v>
      </c>
      <c r="U9378">
        <v>2.8964840000000001</v>
      </c>
      <c r="V9378">
        <v>-5.6446450000000002E-2</v>
      </c>
      <c r="W9378">
        <v>-4.9051780000000003E-2</v>
      </c>
      <c r="X9378">
        <v>0.99719999999999998</v>
      </c>
      <c r="Y9378">
        <v>-0.52498319999999998</v>
      </c>
      <c r="Z9378">
        <v>-0.1059296</v>
      </c>
      <c r="AA9378">
        <v>0.84449479999999999</v>
      </c>
      <c r="AB9378">
        <v>28</v>
      </c>
      <c r="AC9378">
        <v>-0.579599999999999</v>
      </c>
      <c r="AD9378">
        <v>-0.13276379999999999</v>
      </c>
      <c r="AE9378">
        <v>0.66989999999999805</v>
      </c>
      <c r="AF9378">
        <v>-0.57112280798257398</v>
      </c>
      <c r="AG9378">
        <v>-0.13276379999999999</v>
      </c>
      <c r="AH9378">
        <v>0.65147650110272404</v>
      </c>
      <c r="AI9378">
        <v>98.712279809720499</v>
      </c>
      <c r="AJ9378">
        <v>131.23972012876601</v>
      </c>
      <c r="AK9378">
        <v>0.87648680530706702</v>
      </c>
      <c r="AL9378">
        <v>92.811588057005693</v>
      </c>
      <c r="AM9378">
        <v>93.239767132789794</v>
      </c>
      <c r="AN9378">
        <v>1.0000000594193801</v>
      </c>
    </row>
    <row r="9379" spans="1:40" x14ac:dyDescent="0.25">
      <c r="A9379" t="str">
        <f>"20190303154022534"</f>
        <v>20190303154022534</v>
      </c>
      <c r="B9379" t="str">
        <f>"1551598822527214"</f>
        <v>1551598822527214</v>
      </c>
      <c r="C9379" t="s">
        <v>40</v>
      </c>
      <c r="D9379">
        <v>2.9141599999999999</v>
      </c>
      <c r="E9379">
        <v>0.295508099999999</v>
      </c>
      <c r="F9379" t="s">
        <v>44</v>
      </c>
      <c r="G9379">
        <v>-188.7928</v>
      </c>
      <c r="H9379">
        <v>0.99111769999999999</v>
      </c>
      <c r="I9379">
        <v>-24.36055</v>
      </c>
      <c r="J9379">
        <v>-188.22649999999999</v>
      </c>
      <c r="K9379">
        <v>1.121345</v>
      </c>
      <c r="L9379">
        <v>-25.000119999999999</v>
      </c>
      <c r="M9379">
        <v>6.096855E-3</v>
      </c>
      <c r="N9379">
        <v>-1.3367E-2</v>
      </c>
      <c r="O9379">
        <v>0.99989209999999995</v>
      </c>
      <c r="P9379">
        <v>-4.930814E-2</v>
      </c>
      <c r="Q9379">
        <v>-6.2647040000000001E-2</v>
      </c>
      <c r="R9379">
        <v>0.99681690000000001</v>
      </c>
      <c r="S9379">
        <v>-1.7792969999999999</v>
      </c>
      <c r="T9379">
        <v>-0.41005209999999997</v>
      </c>
      <c r="U9379">
        <v>2.894806</v>
      </c>
      <c r="V9379">
        <v>-5.535002E-2</v>
      </c>
      <c r="W9379">
        <v>-4.9360859999999999E-2</v>
      </c>
      <c r="X9379">
        <v>0.99724610000000002</v>
      </c>
      <c r="Y9379">
        <v>-0.52542500000000003</v>
      </c>
      <c r="Z9379">
        <v>-0.1063036</v>
      </c>
      <c r="AA9379">
        <v>0.84417310000000001</v>
      </c>
      <c r="AB9379">
        <v>28</v>
      </c>
      <c r="AC9379">
        <v>-0.56630000000001202</v>
      </c>
      <c r="AD9379">
        <v>-0.13022729999999999</v>
      </c>
      <c r="AE9379">
        <v>0.63957000000000197</v>
      </c>
      <c r="AF9379">
        <v>-0.557239054312343</v>
      </c>
      <c r="AG9379">
        <v>-0.13022729999999999</v>
      </c>
      <c r="AH9379">
        <v>0.62165793812276804</v>
      </c>
      <c r="AI9379">
        <v>98.866056495381898</v>
      </c>
      <c r="AJ9379">
        <v>131.87227707215499</v>
      </c>
      <c r="AK9379">
        <v>0.844945622716194</v>
      </c>
      <c r="AL9379">
        <v>92.829318818935704</v>
      </c>
      <c r="AM9379">
        <v>93.1768207022767</v>
      </c>
      <c r="AN9379">
        <v>0.999999951589573</v>
      </c>
    </row>
    <row r="9380" spans="1:40" x14ac:dyDescent="0.25">
      <c r="A9380" t="str">
        <f>"20190303154022557"</f>
        <v>20190303154022557</v>
      </c>
      <c r="B9380" t="str">
        <f>"1551598822547710"</f>
        <v>1551598822547710</v>
      </c>
      <c r="C9380" t="s">
        <v>40</v>
      </c>
      <c r="D9380">
        <v>4.8100430000000003</v>
      </c>
      <c r="E9380">
        <v>0.29560229999999998</v>
      </c>
      <c r="F9380" t="s">
        <v>44</v>
      </c>
      <c r="G9380">
        <v>-188.77250000000001</v>
      </c>
      <c r="H9380">
        <v>0.99522699999999997</v>
      </c>
      <c r="I9380">
        <v>-24.11036</v>
      </c>
      <c r="J9380">
        <v>-188.2252</v>
      </c>
      <c r="K9380">
        <v>1.121351</v>
      </c>
      <c r="L9380">
        <v>-24.71255</v>
      </c>
      <c r="M9380">
        <v>5.6602819999999896E-3</v>
      </c>
      <c r="N9380">
        <v>-1.361908E-2</v>
      </c>
      <c r="O9380">
        <v>0.99989119999999998</v>
      </c>
      <c r="P9380">
        <v>-4.7969020000000001E-2</v>
      </c>
      <c r="Q9380">
        <v>-6.2823169999999998E-2</v>
      </c>
      <c r="R9380">
        <v>0.99687119999999996</v>
      </c>
      <c r="S9380">
        <v>-1.7774049999999999</v>
      </c>
      <c r="T9380">
        <v>-0.41048590000000001</v>
      </c>
      <c r="U9380">
        <v>2.8958740000000001</v>
      </c>
      <c r="V9380">
        <v>-5.3575480000000002E-2</v>
      </c>
      <c r="W9380">
        <v>-4.9283609999999999E-2</v>
      </c>
      <c r="X9380">
        <v>0.99734690000000004</v>
      </c>
      <c r="Y9380">
        <v>-0.52451219999999998</v>
      </c>
      <c r="Z9380">
        <v>-0.1061976</v>
      </c>
      <c r="AA9380">
        <v>0.8447538</v>
      </c>
      <c r="AB9380">
        <v>28</v>
      </c>
      <c r="AC9380">
        <v>-0.547300000000007</v>
      </c>
      <c r="AD9380">
        <v>-0.12612399999999899</v>
      </c>
      <c r="AE9380">
        <v>0.60219</v>
      </c>
      <c r="AF9380">
        <v>-0.53778103797443899</v>
      </c>
      <c r="AG9380">
        <v>-0.12612399999999899</v>
      </c>
      <c r="AH9380">
        <v>0.58502810441736697</v>
      </c>
      <c r="AI9380">
        <v>99.018570499604294</v>
      </c>
      <c r="AJ9380">
        <v>132.59045297589</v>
      </c>
      <c r="AK9380">
        <v>0.80459529649323902</v>
      </c>
      <c r="AL9380">
        <v>92.824887125486796</v>
      </c>
      <c r="AM9380">
        <v>93.074859283193007</v>
      </c>
      <c r="AN9380">
        <v>1.00000002260573</v>
      </c>
    </row>
    <row r="9381" spans="1:40" x14ac:dyDescent="0.25">
      <c r="A9381" t="str">
        <f>"20190303154022581"</f>
        <v>20190303154022581</v>
      </c>
      <c r="B9381" t="str">
        <f>"1551598822577965"</f>
        <v>1551598822577965</v>
      </c>
      <c r="C9381" t="s">
        <v>40</v>
      </c>
      <c r="D9381">
        <v>4.7573309999999998</v>
      </c>
      <c r="E9381">
        <v>0.295666599999999</v>
      </c>
      <c r="F9381" t="s">
        <v>44</v>
      </c>
      <c r="G9381">
        <v>-188.74690000000001</v>
      </c>
      <c r="H9381">
        <v>1.0003280000000001</v>
      </c>
      <c r="I9381">
        <v>-23.85951</v>
      </c>
      <c r="J9381">
        <v>-188.22409999999999</v>
      </c>
      <c r="K9381">
        <v>1.121367</v>
      </c>
      <c r="L9381">
        <v>-24.427579999999999</v>
      </c>
      <c r="M9381">
        <v>5.2153399999999997E-3</v>
      </c>
      <c r="N9381">
        <v>-1.383417E-2</v>
      </c>
      <c r="O9381">
        <v>0.99989070000000002</v>
      </c>
      <c r="P9381">
        <v>-4.6456020000000001E-2</v>
      </c>
      <c r="Q9381">
        <v>-6.2480349999999997E-2</v>
      </c>
      <c r="R9381">
        <v>0.99696439999999997</v>
      </c>
      <c r="S9381">
        <v>-1.7727360000000001</v>
      </c>
      <c r="T9381">
        <v>-0.41117989999999999</v>
      </c>
      <c r="U9381">
        <v>2.898193</v>
      </c>
      <c r="V9381">
        <v>-5.1619350000000001E-2</v>
      </c>
      <c r="W9381">
        <v>-4.8723959999999997E-2</v>
      </c>
      <c r="X9381">
        <v>0.99747750000000002</v>
      </c>
      <c r="Y9381">
        <v>-0.52283440000000003</v>
      </c>
      <c r="Z9381">
        <v>-0.10621750000000001</v>
      </c>
      <c r="AA9381">
        <v>0.84579069999999901</v>
      </c>
      <c r="AB9381">
        <v>28</v>
      </c>
      <c r="AC9381">
        <v>-0.52280000000001703</v>
      </c>
      <c r="AD9381">
        <v>-0.12103899999999899</v>
      </c>
      <c r="AE9381">
        <v>0.56806999999999797</v>
      </c>
      <c r="AF9381">
        <v>-0.51314264465334003</v>
      </c>
      <c r="AG9381">
        <v>-0.12103899999999899</v>
      </c>
      <c r="AH9381">
        <v>0.55177268794364198</v>
      </c>
      <c r="AI9381">
        <v>99.125738003346996</v>
      </c>
      <c r="AJ9381">
        <v>132.922493645331</v>
      </c>
      <c r="AK9381">
        <v>0.76316375205022402</v>
      </c>
      <c r="AL9381">
        <v>92.792783113261294</v>
      </c>
      <c r="AM9381">
        <v>92.962407628414297</v>
      </c>
      <c r="AN9381">
        <v>0.99999997228937598</v>
      </c>
    </row>
    <row r="9382" spans="1:40" x14ac:dyDescent="0.25">
      <c r="A9382" t="str">
        <f>"20190303154022603"</f>
        <v>20190303154022603</v>
      </c>
      <c r="B9382" t="str">
        <f>"1551598822597485"</f>
        <v>1551598822597485</v>
      </c>
      <c r="C9382" t="s">
        <v>40</v>
      </c>
      <c r="D9382">
        <v>4.7856050000000003</v>
      </c>
      <c r="E9382">
        <v>0.2957128</v>
      </c>
      <c r="F9382" t="s">
        <v>44</v>
      </c>
      <c r="G9382">
        <v>-188.7225</v>
      </c>
      <c r="H9382">
        <v>1.005841</v>
      </c>
      <c r="I9382">
        <v>-23.60933</v>
      </c>
      <c r="J9382">
        <v>-188.22309999999999</v>
      </c>
      <c r="K9382">
        <v>1.1213869999999999</v>
      </c>
      <c r="L9382">
        <v>-24.159700000000001</v>
      </c>
      <c r="M9382">
        <v>4.7827039999999996E-3</v>
      </c>
      <c r="N9382">
        <v>-1.400845E-2</v>
      </c>
      <c r="O9382">
        <v>0.99989039999999996</v>
      </c>
      <c r="P9382">
        <v>-4.446054E-2</v>
      </c>
      <c r="Q9382">
        <v>-6.2510159999999995E-2</v>
      </c>
      <c r="R9382">
        <v>0.99705350000000004</v>
      </c>
      <c r="S9382">
        <v>-1.7678830000000001</v>
      </c>
      <c r="T9382">
        <v>-0.40962169999999998</v>
      </c>
      <c r="U9382">
        <v>2.9010929999999999</v>
      </c>
      <c r="V9382">
        <v>-4.9191899999999997E-2</v>
      </c>
      <c r="W9382">
        <v>-4.8577479999999999E-2</v>
      </c>
      <c r="X9382">
        <v>0.99760740000000003</v>
      </c>
      <c r="Y9382">
        <v>-0.52108900000000002</v>
      </c>
      <c r="Z9382">
        <v>-0.10561429999999999</v>
      </c>
      <c r="AA9382">
        <v>0.84694269999999905</v>
      </c>
      <c r="AB9382">
        <v>28</v>
      </c>
      <c r="AC9382">
        <v>-0.499400000000008</v>
      </c>
      <c r="AD9382">
        <v>-0.115546</v>
      </c>
      <c r="AE9382">
        <v>0.55037000000000003</v>
      </c>
      <c r="AF9382">
        <v>-0.49017778014563501</v>
      </c>
      <c r="AG9382">
        <v>-0.115546</v>
      </c>
      <c r="AH9382">
        <v>0.53504147895854104</v>
      </c>
      <c r="AI9382">
        <v>99.047518186884005</v>
      </c>
      <c r="AJ9382">
        <v>132.49432946679599</v>
      </c>
      <c r="AK9382">
        <v>0.73477514823968104</v>
      </c>
      <c r="AL9382">
        <v>92.7843802062214</v>
      </c>
      <c r="AM9382">
        <v>92.822961449557695</v>
      </c>
      <c r="AN9382">
        <v>1.0000000695617499</v>
      </c>
    </row>
    <row r="9383" spans="1:40" x14ac:dyDescent="0.25">
      <c r="A9383" t="str">
        <f>"20190303154022623"</f>
        <v>20190303154022623</v>
      </c>
      <c r="B9383" t="str">
        <f>"1551598822617005"</f>
        <v>1551598822617005</v>
      </c>
      <c r="C9383" t="s">
        <v>40</v>
      </c>
      <c r="D9383">
        <v>4.7249939999999997</v>
      </c>
      <c r="E9383">
        <v>0.29566140000000002</v>
      </c>
      <c r="F9383" t="s">
        <v>44</v>
      </c>
      <c r="G9383">
        <v>-188.7072</v>
      </c>
      <c r="H9383">
        <v>1.0089729999999999</v>
      </c>
      <c r="I9383">
        <v>-23.361519999999999</v>
      </c>
      <c r="J9383">
        <v>-188.22239999999999</v>
      </c>
      <c r="K9383">
        <v>1.121397</v>
      </c>
      <c r="L9383">
        <v>-23.909790000000001</v>
      </c>
      <c r="M9383">
        <v>4.3669109999999898E-3</v>
      </c>
      <c r="N9383">
        <v>-1.414932E-2</v>
      </c>
      <c r="O9383">
        <v>0.99989039999999996</v>
      </c>
      <c r="P9383">
        <v>-4.267054E-2</v>
      </c>
      <c r="Q9383">
        <v>-6.3014249999999994E-2</v>
      </c>
      <c r="R9383">
        <v>0.99709999999999999</v>
      </c>
      <c r="S9383">
        <v>-1.7619479999999901</v>
      </c>
      <c r="T9383">
        <v>-0.40909390000000001</v>
      </c>
      <c r="U9383">
        <v>2.904633</v>
      </c>
      <c r="V9383">
        <v>-4.698658E-2</v>
      </c>
      <c r="W9383">
        <v>-4.8939240000000002E-2</v>
      </c>
      <c r="X9383">
        <v>0.99769589999999997</v>
      </c>
      <c r="Y9383">
        <v>-0.51902320000000002</v>
      </c>
      <c r="Z9383">
        <v>-0.10534060000000001</v>
      </c>
      <c r="AA9383">
        <v>0.848244199999999</v>
      </c>
      <c r="AB9383">
        <v>27</v>
      </c>
      <c r="AC9383">
        <v>-0.484800000000007</v>
      </c>
      <c r="AD9383">
        <v>-0.112424</v>
      </c>
      <c r="AE9383">
        <v>0.54826999999999804</v>
      </c>
      <c r="AF9383">
        <v>-0.47595877836616202</v>
      </c>
      <c r="AG9383">
        <v>-0.112424</v>
      </c>
      <c r="AH9383">
        <v>0.53355725943528698</v>
      </c>
      <c r="AI9383">
        <v>98.935860509254994</v>
      </c>
      <c r="AJ9383">
        <v>131.73449881339499</v>
      </c>
      <c r="AK9383">
        <v>0.72378122632180997</v>
      </c>
      <c r="AL9383">
        <v>92.805132548601307</v>
      </c>
      <c r="AM9383">
        <v>92.6963577135447</v>
      </c>
      <c r="AN9383">
        <v>0.99999994839434003</v>
      </c>
    </row>
    <row r="9384" spans="1:40" x14ac:dyDescent="0.25">
      <c r="A9384" t="str">
        <f>"20190303154022646"</f>
        <v>20190303154022646</v>
      </c>
      <c r="B9384" t="str">
        <f>"1551598822637502"</f>
        <v>1551598822637502</v>
      </c>
      <c r="C9384" t="s">
        <v>40</v>
      </c>
      <c r="D9384">
        <v>4.7553219999999996</v>
      </c>
      <c r="E9384">
        <v>0.29553170000000001</v>
      </c>
      <c r="F9384" t="s">
        <v>44</v>
      </c>
      <c r="G9384">
        <v>-188.70179999999999</v>
      </c>
      <c r="H9384">
        <v>1.0096309999999999</v>
      </c>
      <c r="I9384">
        <v>-23.116230000000002</v>
      </c>
      <c r="J9384">
        <v>-188.2217</v>
      </c>
      <c r="K9384">
        <v>1.1214249999999999</v>
      </c>
      <c r="L9384">
        <v>-23.625209999999999</v>
      </c>
      <c r="M9384">
        <v>3.8808110000000001E-3</v>
      </c>
      <c r="N9384">
        <v>-1.4288199999999999E-2</v>
      </c>
      <c r="O9384">
        <v>0.99989039999999996</v>
      </c>
      <c r="P9384">
        <v>-4.1741540000000001E-2</v>
      </c>
      <c r="Q9384">
        <v>-6.3382549999999996E-2</v>
      </c>
      <c r="R9384">
        <v>0.997116</v>
      </c>
      <c r="S9384">
        <v>-1.757355</v>
      </c>
      <c r="T9384">
        <v>-0.40953980000000001</v>
      </c>
      <c r="U9384">
        <v>2.907654</v>
      </c>
      <c r="V9384">
        <v>-4.5571649999999998E-2</v>
      </c>
      <c r="W9384">
        <v>-4.9168249999999997E-2</v>
      </c>
      <c r="X9384">
        <v>0.99775029999999998</v>
      </c>
      <c r="Y9384">
        <v>-0.51723249999999998</v>
      </c>
      <c r="Z9384">
        <v>-0.1053428</v>
      </c>
      <c r="AA9384">
        <v>0.84933700000000001</v>
      </c>
      <c r="AB9384">
        <v>27</v>
      </c>
      <c r="AC9384">
        <v>-0.48009999999999298</v>
      </c>
      <c r="AD9384">
        <v>-0.11179399999999901</v>
      </c>
      <c r="AE9384">
        <v>0.50898000000000099</v>
      </c>
      <c r="AF9384">
        <v>-0.47007138199220799</v>
      </c>
      <c r="AG9384">
        <v>-0.11179399999999901</v>
      </c>
      <c r="AH9384">
        <v>0.49448898283577503</v>
      </c>
      <c r="AI9384">
        <v>99.305619408130795</v>
      </c>
      <c r="AJ9384">
        <v>133.54988159245801</v>
      </c>
      <c r="AK9384">
        <v>0.69136412746831399</v>
      </c>
      <c r="AL9384">
        <v>92.818269591411706</v>
      </c>
      <c r="AM9384">
        <v>92.615133053737495</v>
      </c>
      <c r="AN9384">
        <v>0.99999997662093698</v>
      </c>
    </row>
    <row r="9385" spans="1:40" x14ac:dyDescent="0.25">
      <c r="A9385" t="str">
        <f>"20190303154022668"</f>
        <v>20190303154022668</v>
      </c>
      <c r="B9385" t="str">
        <f>"1551598822657021"</f>
        <v>1551598822657021</v>
      </c>
      <c r="C9385" t="s">
        <v>40</v>
      </c>
      <c r="D9385">
        <v>4.7375020000000001</v>
      </c>
      <c r="E9385">
        <v>0.29538029999999998</v>
      </c>
      <c r="F9385" t="s">
        <v>44</v>
      </c>
      <c r="G9385">
        <v>-188.67869999999999</v>
      </c>
      <c r="H9385">
        <v>1.014645</v>
      </c>
      <c r="I9385">
        <v>-22.867619999999999</v>
      </c>
      <c r="J9385">
        <v>-188.22110000000001</v>
      </c>
      <c r="K9385">
        <v>1.1214459999999999</v>
      </c>
      <c r="L9385">
        <v>-23.356290000000001</v>
      </c>
      <c r="M9385">
        <v>3.4097279999999999E-3</v>
      </c>
      <c r="N9385">
        <v>-1.4400359999999999E-2</v>
      </c>
      <c r="O9385">
        <v>0.99989050000000002</v>
      </c>
      <c r="P9385">
        <v>-4.1096800000000003E-2</v>
      </c>
      <c r="Q9385">
        <v>-6.3465019999999997E-2</v>
      </c>
      <c r="R9385">
        <v>0.99713750000000001</v>
      </c>
      <c r="S9385">
        <v>-1.7555240000000001</v>
      </c>
      <c r="T9385">
        <v>-0.41004479999999999</v>
      </c>
      <c r="U9385">
        <v>2.909119</v>
      </c>
      <c r="V9385">
        <v>-4.4456490000000001E-2</v>
      </c>
      <c r="W9385">
        <v>-4.9137970000000003E-2</v>
      </c>
      <c r="X9385">
        <v>0.99780210000000003</v>
      </c>
      <c r="Y9385">
        <v>-0.51624320000000001</v>
      </c>
      <c r="Z9385">
        <v>-0.105384199999999</v>
      </c>
      <c r="AA9385">
        <v>0.84993359999999996</v>
      </c>
      <c r="AB9385">
        <v>27</v>
      </c>
      <c r="AC9385">
        <v>-0.45759999999998502</v>
      </c>
      <c r="AD9385">
        <v>-0.10680099999999899</v>
      </c>
      <c r="AE9385">
        <v>0.488669999999995</v>
      </c>
      <c r="AF9385">
        <v>-0.44786569964263401</v>
      </c>
      <c r="AG9385">
        <v>-0.10680099999999899</v>
      </c>
      <c r="AH9385">
        <v>0.47501765225440501</v>
      </c>
      <c r="AI9385">
        <v>99.290697773622497</v>
      </c>
      <c r="AJ9385">
        <v>133.31479930814999</v>
      </c>
      <c r="AK9385">
        <v>0.66153753368246104</v>
      </c>
      <c r="AL9385">
        <v>92.816532579615796</v>
      </c>
      <c r="AM9385">
        <v>92.551092842064605</v>
      </c>
      <c r="AN9385">
        <v>0.99999997518162498</v>
      </c>
    </row>
    <row r="9386" spans="1:40" x14ac:dyDescent="0.25">
      <c r="A9386" t="str">
        <f>"20190303154022684"</f>
        <v>20190303154022684</v>
      </c>
      <c r="B9386" t="str">
        <f>"1551598822677518"</f>
        <v>1551598822677518</v>
      </c>
      <c r="C9386" t="s">
        <v>40</v>
      </c>
      <c r="D9386">
        <v>4.7585509999999998</v>
      </c>
      <c r="E9386">
        <v>0.29527910000000002</v>
      </c>
      <c r="F9386" t="s">
        <v>44</v>
      </c>
      <c r="G9386">
        <v>-188.66419999999999</v>
      </c>
      <c r="H9386">
        <v>1.0178830000000001</v>
      </c>
      <c r="I9386">
        <v>-22.62125</v>
      </c>
      <c r="J9386">
        <v>-188.2209</v>
      </c>
      <c r="K9386">
        <v>1.121461</v>
      </c>
      <c r="L9386">
        <v>-23.17004</v>
      </c>
      <c r="M9386">
        <v>3.0780529999999999E-3</v>
      </c>
      <c r="N9386">
        <v>-1.446711E-2</v>
      </c>
      <c r="O9386">
        <v>0.99989059999999996</v>
      </c>
      <c r="P9386">
        <v>-4.0815799999999999E-2</v>
      </c>
      <c r="Q9386">
        <v>-6.3178109999999996E-2</v>
      </c>
      <c r="R9386">
        <v>0.99716729999999998</v>
      </c>
      <c r="S9386">
        <v>-1.7550809999999999</v>
      </c>
      <c r="T9386">
        <v>-0.41005469999999999</v>
      </c>
      <c r="U9386">
        <v>2.9101870000000001</v>
      </c>
      <c r="V9386">
        <v>-4.3844910000000001E-2</v>
      </c>
      <c r="W9386">
        <v>-4.8783609999999998E-2</v>
      </c>
      <c r="X9386">
        <v>0.99784649999999997</v>
      </c>
      <c r="Y9386">
        <v>-0.51572929999999995</v>
      </c>
      <c r="Z9386">
        <v>-0.1053094</v>
      </c>
      <c r="AA9386">
        <v>0.85025479999999998</v>
      </c>
      <c r="AB9386">
        <v>27</v>
      </c>
      <c r="AC9386">
        <v>-0.44329999999999298</v>
      </c>
      <c r="AD9386">
        <v>-0.103577999999999</v>
      </c>
      <c r="AE9386">
        <v>0.54879</v>
      </c>
      <c r="AF9386">
        <v>-0.43559728637737699</v>
      </c>
      <c r="AG9386">
        <v>-0.103577999999999</v>
      </c>
      <c r="AH9386">
        <v>0.53587119712439002</v>
      </c>
      <c r="AI9386">
        <v>98.530015950900804</v>
      </c>
      <c r="AJ9386">
        <v>129.10686216105799</v>
      </c>
      <c r="AK9386">
        <v>0.69830604887173997</v>
      </c>
      <c r="AL9386">
        <v>92.796205001991197</v>
      </c>
      <c r="AM9386">
        <v>92.515931517396197</v>
      </c>
      <c r="AN9386">
        <v>0.99999992714989205</v>
      </c>
    </row>
    <row r="9387" spans="1:40" x14ac:dyDescent="0.25">
      <c r="A9387" t="str">
        <f>"20190303154022702"</f>
        <v>20190303154022702</v>
      </c>
      <c r="B9387" t="str">
        <f>"1551598822698014"</f>
        <v>1551598822698014</v>
      </c>
      <c r="C9387" t="s">
        <v>40</v>
      </c>
      <c r="D9387">
        <v>4.7799040000000002</v>
      </c>
      <c r="E9387">
        <v>0.29525780000000001</v>
      </c>
      <c r="F9387" t="s">
        <v>44</v>
      </c>
      <c r="G9387">
        <v>-188.6943</v>
      </c>
      <c r="H9387">
        <v>1.0109919999999999</v>
      </c>
      <c r="I9387">
        <v>-22.384820000000001</v>
      </c>
      <c r="J9387">
        <v>-188.22059999999999</v>
      </c>
      <c r="K9387">
        <v>1.1214729999999999</v>
      </c>
      <c r="L9387">
        <v>-22.946870000000001</v>
      </c>
      <c r="M9387">
        <v>2.6776399999999998E-3</v>
      </c>
      <c r="N9387">
        <v>-1.4539120000000001E-2</v>
      </c>
      <c r="O9387">
        <v>0.99989070000000002</v>
      </c>
      <c r="P9387">
        <v>-4.1044320000000002E-2</v>
      </c>
      <c r="Q9387">
        <v>-6.2771800000000003E-2</v>
      </c>
      <c r="R9387">
        <v>0.99718359999999995</v>
      </c>
      <c r="S9387">
        <v>-1.754974</v>
      </c>
      <c r="T9387">
        <v>-0.40950009999999998</v>
      </c>
      <c r="U9387">
        <v>2.910736</v>
      </c>
      <c r="V9387">
        <v>-4.3674150000000002E-2</v>
      </c>
      <c r="W9387">
        <v>-4.8305059999999997E-2</v>
      </c>
      <c r="X9387">
        <v>0.99787740000000003</v>
      </c>
      <c r="Y9387">
        <v>-0.5153044</v>
      </c>
      <c r="Z9387">
        <v>-0.1050787</v>
      </c>
      <c r="AA9387">
        <v>0.85054089999999904</v>
      </c>
      <c r="AB9387">
        <v>27</v>
      </c>
      <c r="AC9387">
        <v>-0.473700000000007</v>
      </c>
      <c r="AD9387">
        <v>-0.110480999999999</v>
      </c>
      <c r="AE9387">
        <v>0.56204999999999905</v>
      </c>
      <c r="AF9387">
        <v>-0.46470500456044</v>
      </c>
      <c r="AG9387">
        <v>-0.110480999999999</v>
      </c>
      <c r="AH9387">
        <v>0.54839044206992205</v>
      </c>
      <c r="AI9387">
        <v>98.738015758436504</v>
      </c>
      <c r="AJ9387">
        <v>130.27787711982799</v>
      </c>
      <c r="AK9387">
        <v>0.72724746103246296</v>
      </c>
      <c r="AL9387">
        <v>92.768753378129205</v>
      </c>
      <c r="AM9387">
        <v>92.506067889874302</v>
      </c>
      <c r="AN9387">
        <v>1.0000000578152899</v>
      </c>
    </row>
    <row r="9388" spans="1:40" x14ac:dyDescent="0.25">
      <c r="A9388" t="str">
        <f>"20190303154022724"</f>
        <v>20190303154022724</v>
      </c>
      <c r="B9388" t="str">
        <f>"1551598822717533"</f>
        <v>1551598822717533</v>
      </c>
      <c r="C9388" t="s">
        <v>40</v>
      </c>
      <c r="D9388">
        <v>4.4634809999999998</v>
      </c>
      <c r="E9388">
        <v>0.35623510000000003</v>
      </c>
      <c r="F9388" t="s">
        <v>44</v>
      </c>
      <c r="G9388">
        <v>-188.7045</v>
      </c>
      <c r="H9388">
        <v>1.0088189999999999</v>
      </c>
      <c r="I9388">
        <v>-22.14461</v>
      </c>
      <c r="J9388">
        <v>-188.22040000000001</v>
      </c>
      <c r="K9388">
        <v>1.1214850000000001</v>
      </c>
      <c r="L9388">
        <v>-22.685580000000002</v>
      </c>
      <c r="M9388">
        <v>2.2059330000000002E-3</v>
      </c>
      <c r="N9388">
        <v>-1.461257E-2</v>
      </c>
      <c r="O9388">
        <v>0.99989079999999997</v>
      </c>
      <c r="P9388">
        <v>-4.121942E-2</v>
      </c>
      <c r="Q9388">
        <v>-6.2290190000000002E-2</v>
      </c>
      <c r="R9388">
        <v>0.99720660000000005</v>
      </c>
      <c r="S9388">
        <v>-1.7557370000000001</v>
      </c>
      <c r="T9388">
        <v>-0.4087055</v>
      </c>
      <c r="U9388">
        <v>2.9104920000000001</v>
      </c>
      <c r="V9388">
        <v>-4.3379349999999997E-2</v>
      </c>
      <c r="W9388">
        <v>-4.7749399999999997E-2</v>
      </c>
      <c r="X9388">
        <v>0.9979169</v>
      </c>
      <c r="Y9388">
        <v>-0.51511049999999903</v>
      </c>
      <c r="Z9388">
        <v>-0.1047879</v>
      </c>
      <c r="AA9388">
        <v>0.85069419999999996</v>
      </c>
      <c r="AB9388">
        <v>27</v>
      </c>
      <c r="AC9388">
        <v>-0.48409999999998299</v>
      </c>
      <c r="AD9388">
        <v>-0.112665999999999</v>
      </c>
      <c r="AE9388">
        <v>0.54096999999999795</v>
      </c>
      <c r="AF9388">
        <v>-0.47387821667163099</v>
      </c>
      <c r="AG9388">
        <v>-0.112665999999999</v>
      </c>
      <c r="AH9388">
        <v>0.52720221171294701</v>
      </c>
      <c r="AI9388">
        <v>99.030854308644294</v>
      </c>
      <c r="AJ9388">
        <v>131.95093907850401</v>
      </c>
      <c r="AK9388">
        <v>0.717771804842534</v>
      </c>
      <c r="AL9388">
        <v>92.736879903425304</v>
      </c>
      <c r="AM9388">
        <v>92.489074906275505</v>
      </c>
      <c r="AN9388">
        <v>0.99999995625619498</v>
      </c>
    </row>
    <row r="9389" spans="1:40" x14ac:dyDescent="0.25">
      <c r="A9389" t="str">
        <f>"20190303154022739"</f>
        <v>20190303154022739</v>
      </c>
      <c r="B9389" t="str">
        <f>"1551598822727293"</f>
        <v>1551598822727293</v>
      </c>
      <c r="C9389" t="s">
        <v>40</v>
      </c>
      <c r="D9389">
        <v>5.2756540000000003</v>
      </c>
      <c r="E9389">
        <v>0.35623510000000003</v>
      </c>
      <c r="F9389" t="s">
        <v>42</v>
      </c>
      <c r="G9389">
        <v>-191.30330000000001</v>
      </c>
      <c r="H9389" s="1">
        <v>-2.4176419999999998E-6</v>
      </c>
      <c r="I9389">
        <v>-15.58362</v>
      </c>
      <c r="J9389">
        <v>-188.22040000000001</v>
      </c>
      <c r="K9389">
        <v>1.121491</v>
      </c>
      <c r="L9389">
        <v>-22.503779999999999</v>
      </c>
      <c r="M9389">
        <v>1.8768560000000001E-3</v>
      </c>
      <c r="N9389">
        <v>-1.4657099999999999E-2</v>
      </c>
      <c r="O9389">
        <v>0.99989079999999997</v>
      </c>
      <c r="P9389">
        <v>-4.1858090000000001E-2</v>
      </c>
      <c r="Q9389">
        <v>-6.2216920000000002E-2</v>
      </c>
      <c r="R9389">
        <v>0.99718450000000003</v>
      </c>
      <c r="S9389">
        <v>-1.270554</v>
      </c>
      <c r="T9389">
        <v>-0.46220990000000001</v>
      </c>
      <c r="U9389">
        <v>2.9270019999999999</v>
      </c>
      <c r="V9389">
        <v>-4.3689850000000002E-2</v>
      </c>
      <c r="W9389">
        <v>-4.7632059999999997E-2</v>
      </c>
      <c r="X9389">
        <v>0.99790900000000005</v>
      </c>
      <c r="Y9389">
        <v>-0.39614389999999999</v>
      </c>
      <c r="Z9389">
        <v>-0.12878290000000001</v>
      </c>
      <c r="AA9389">
        <v>0.90911220000000004</v>
      </c>
      <c r="AB9389">
        <v>27</v>
      </c>
      <c r="AC9389">
        <v>-3.0828999999999902</v>
      </c>
      <c r="AD9389">
        <v>-1.1214934176419999</v>
      </c>
      <c r="AE9389">
        <v>6.9201599999999903</v>
      </c>
      <c r="AF9389">
        <v>-3.0294936847858001</v>
      </c>
      <c r="AG9389">
        <v>-1.1214934176419999</v>
      </c>
      <c r="AH9389">
        <v>6.7660843672543498</v>
      </c>
      <c r="AI9389">
        <v>98.602492924019401</v>
      </c>
      <c r="AJ9389">
        <v>114.120303614957</v>
      </c>
      <c r="AK9389">
        <v>7.4976981225423502</v>
      </c>
      <c r="AL9389">
        <v>92.730149054088599</v>
      </c>
      <c r="AM9389">
        <v>92.506888338043694</v>
      </c>
      <c r="AN9389">
        <v>0.99999999420693297</v>
      </c>
    </row>
    <row r="9390" spans="1:40" x14ac:dyDescent="0.25">
      <c r="A9390" t="str">
        <f>"20190303154022759"</f>
        <v>20190303154022759</v>
      </c>
      <c r="B9390" t="str">
        <f>"1551598822747790"</f>
        <v>1551598822747790</v>
      </c>
      <c r="C9390" t="s">
        <v>40</v>
      </c>
      <c r="D9390">
        <v>4.9653460000000003</v>
      </c>
      <c r="E9390">
        <v>0.43526009999999998</v>
      </c>
      <c r="F9390" t="s">
        <v>42</v>
      </c>
      <c r="G9390">
        <v>-191.31030000000001</v>
      </c>
      <c r="H9390" s="1">
        <v>-2.4993980000000001E-6</v>
      </c>
      <c r="I9390">
        <v>-15.3974299999999</v>
      </c>
      <c r="J9390">
        <v>-188.22049999999999</v>
      </c>
      <c r="K9390">
        <v>1.121499</v>
      </c>
      <c r="L9390">
        <v>-22.252590000000001</v>
      </c>
      <c r="M9390">
        <v>1.422275E-3</v>
      </c>
      <c r="N9390">
        <v>-1.471133E-2</v>
      </c>
      <c r="O9390">
        <v>0.99989070000000002</v>
      </c>
      <c r="P9390">
        <v>-4.2596059999999998E-2</v>
      </c>
      <c r="Q9390">
        <v>-6.2433290000000002E-2</v>
      </c>
      <c r="R9390">
        <v>0.99713980000000002</v>
      </c>
      <c r="S9390">
        <v>-1.2723690000000001</v>
      </c>
      <c r="T9390">
        <v>-0.4618062</v>
      </c>
      <c r="U9390">
        <v>2.9262389999999998</v>
      </c>
      <c r="V9390">
        <v>-4.3974529999999998E-2</v>
      </c>
      <c r="W9390">
        <v>-4.7794820000000002E-2</v>
      </c>
      <c r="X9390">
        <v>0.99788869999999996</v>
      </c>
      <c r="Y9390">
        <v>-0.39629530000000002</v>
      </c>
      <c r="Z9390">
        <v>-0.12862009999999999</v>
      </c>
      <c r="AA9390">
        <v>0.90906929999999997</v>
      </c>
      <c r="AB9390">
        <v>27</v>
      </c>
      <c r="AC9390">
        <v>-3.0898000000000199</v>
      </c>
      <c r="AD9390">
        <v>-1.1215014993979999</v>
      </c>
      <c r="AE9390">
        <v>6.8551599999999997</v>
      </c>
      <c r="AF9390">
        <v>-3.0320971635182699</v>
      </c>
      <c r="AG9390">
        <v>-1.1215014993979999</v>
      </c>
      <c r="AH9390">
        <v>6.7016755406988997</v>
      </c>
      <c r="AI9390">
        <v>98.668973618212206</v>
      </c>
      <c r="AJ9390">
        <v>114.34383502162299</v>
      </c>
      <c r="AK9390">
        <v>7.4406877286289497</v>
      </c>
      <c r="AL9390">
        <v>92.739485185054605</v>
      </c>
      <c r="AM9390">
        <v>92.52325326687</v>
      </c>
      <c r="AN9390">
        <v>0.99999998084762098</v>
      </c>
    </row>
    <row r="9391" spans="1:40" x14ac:dyDescent="0.25">
      <c r="A9391" t="str">
        <f>"20190303154022782"</f>
        <v>20190303154022782</v>
      </c>
      <c r="B9391" t="str">
        <f>"1551598822777069"</f>
        <v>1551598822777069</v>
      </c>
      <c r="C9391" t="s">
        <v>40</v>
      </c>
      <c r="D9391">
        <v>5.02379</v>
      </c>
      <c r="E9391">
        <v>0.50097460000000005</v>
      </c>
      <c r="F9391" t="s">
        <v>42</v>
      </c>
      <c r="G9391">
        <v>-190.5462</v>
      </c>
      <c r="H9391" s="1">
        <v>-3.9413849999999999E-6</v>
      </c>
      <c r="I9391">
        <v>-11.562150000000001</v>
      </c>
      <c r="J9391">
        <v>-188.22059999999999</v>
      </c>
      <c r="K9391">
        <v>1.121507</v>
      </c>
      <c r="L9391">
        <v>-21.981570000000001</v>
      </c>
      <c r="M9391">
        <v>9.3252880000000002E-4</v>
      </c>
      <c r="N9391">
        <v>-1.476127E-2</v>
      </c>
      <c r="O9391">
        <v>0.99989059999999996</v>
      </c>
      <c r="P9391">
        <v>-4.374836E-2</v>
      </c>
      <c r="Q9391">
        <v>-6.2888990000000006E-2</v>
      </c>
      <c r="R9391">
        <v>0.99706119999999998</v>
      </c>
      <c r="S9391">
        <v>-0.64430240000000005</v>
      </c>
      <c r="T9391">
        <v>-0.310697</v>
      </c>
      <c r="U9391">
        <v>2.9616389999999999</v>
      </c>
      <c r="V9391">
        <v>-4.4637900000000001E-2</v>
      </c>
      <c r="W9391">
        <v>-4.8201899999999999E-2</v>
      </c>
      <c r="X9391">
        <v>0.9978397</v>
      </c>
      <c r="Y9391">
        <v>-0.21249499999999999</v>
      </c>
      <c r="Z9391">
        <v>-8.7268960000000007E-2</v>
      </c>
      <c r="AA9391">
        <v>0.97325740000000005</v>
      </c>
      <c r="AB9391">
        <v>27</v>
      </c>
      <c r="AC9391">
        <v>-2.3256000000000001</v>
      </c>
      <c r="AD9391">
        <v>-1.121510941385</v>
      </c>
      <c r="AE9391">
        <v>10.419420000000001</v>
      </c>
      <c r="AF9391">
        <v>-2.3098255510386698</v>
      </c>
      <c r="AG9391">
        <v>-1.121510941385</v>
      </c>
      <c r="AH9391">
        <v>10.303538164257599</v>
      </c>
      <c r="AI9391">
        <v>96.062714271907893</v>
      </c>
      <c r="AJ9391">
        <v>102.635542440561</v>
      </c>
      <c r="AK9391">
        <v>10.618661854028</v>
      </c>
      <c r="AL9391">
        <v>92.762835968036399</v>
      </c>
      <c r="AM9391">
        <v>92.561392651043803</v>
      </c>
      <c r="AN9391">
        <v>1.00000001608805</v>
      </c>
    </row>
    <row r="9392" spans="1:40" x14ac:dyDescent="0.25">
      <c r="A9392" t="str">
        <f>"20190303154022805"</f>
        <v>20190303154022805</v>
      </c>
      <c r="B9392" t="str">
        <f>"1551598822797565"</f>
        <v>1551598822797565</v>
      </c>
      <c r="C9392" t="s">
        <v>40</v>
      </c>
      <c r="D9392">
        <v>4.9565130000000002</v>
      </c>
      <c r="E9392">
        <v>0.50139040000000001</v>
      </c>
      <c r="F9392" t="s">
        <v>42</v>
      </c>
      <c r="G9392">
        <v>-188.94370000000001</v>
      </c>
      <c r="H9392" s="1">
        <v>-2.7153250000000001E-6</v>
      </c>
      <c r="I9392">
        <v>-4.4744900000000003</v>
      </c>
      <c r="J9392">
        <v>-188.2209</v>
      </c>
      <c r="K9392">
        <v>1.121513</v>
      </c>
      <c r="L9392">
        <v>-21.706019999999999</v>
      </c>
      <c r="M9392">
        <v>4.3558520000000001E-4</v>
      </c>
      <c r="N9392">
        <v>-1.48042E-2</v>
      </c>
      <c r="O9392">
        <v>0.99989030000000001</v>
      </c>
      <c r="P9392">
        <v>-4.4897260000000001E-2</v>
      </c>
      <c r="Q9392">
        <v>-6.2855830000000001E-2</v>
      </c>
      <c r="R9392">
        <v>0.99701220000000002</v>
      </c>
      <c r="S9392">
        <v>-0.1235504</v>
      </c>
      <c r="T9392">
        <v>-0.19162580000000001</v>
      </c>
      <c r="U9392">
        <v>2.991333</v>
      </c>
      <c r="V9392">
        <v>-4.5291820000000003E-2</v>
      </c>
      <c r="W9392">
        <v>-4.8126670000000003E-2</v>
      </c>
      <c r="X9392">
        <v>0.99781379999999997</v>
      </c>
      <c r="Y9392">
        <v>-4.1628819999999997E-2</v>
      </c>
      <c r="Z9392">
        <v>-4.9093400000000002E-2</v>
      </c>
      <c r="AA9392">
        <v>0.99792630000000004</v>
      </c>
      <c r="AB9392">
        <v>27</v>
      </c>
      <c r="AC9392">
        <v>-0.72280000000000599</v>
      </c>
      <c r="AD9392">
        <v>-1.1215157153249999</v>
      </c>
      <c r="AE9392">
        <v>17.231529999999999</v>
      </c>
      <c r="AF9392">
        <v>-0.72723136203751604</v>
      </c>
      <c r="AG9392">
        <v>-1.1215157153249999</v>
      </c>
      <c r="AH9392">
        <v>17.1586559005403</v>
      </c>
      <c r="AI9392">
        <v>93.736274814779094</v>
      </c>
      <c r="AJ9392">
        <v>92.426901378477694</v>
      </c>
      <c r="AK9392">
        <v>17.2106401759725</v>
      </c>
      <c r="AL9392">
        <v>92.758520774140095</v>
      </c>
      <c r="AM9392">
        <v>92.598931895816406</v>
      </c>
      <c r="AN9392">
        <v>0.99999995239731898</v>
      </c>
    </row>
    <row r="9393" spans="1:40" x14ac:dyDescent="0.25">
      <c r="A9393" t="str">
        <f>"20190303154022826"</f>
        <v>20190303154022826</v>
      </c>
      <c r="B9393" t="str">
        <f>"1551598822817085"</f>
        <v>1551598822817085</v>
      </c>
      <c r="C9393" t="s">
        <v>40</v>
      </c>
      <c r="D9393">
        <v>4.9701180000000003</v>
      </c>
      <c r="E9393">
        <v>0.50137509999999996</v>
      </c>
      <c r="F9393" t="s">
        <v>42</v>
      </c>
      <c r="G9393">
        <v>-188.94380000000001</v>
      </c>
      <c r="H9393" s="1">
        <v>-2.8312749999999998E-6</v>
      </c>
      <c r="I9393">
        <v>-4.2041740000000001</v>
      </c>
      <c r="J9393">
        <v>-188.22130000000001</v>
      </c>
      <c r="K9393">
        <v>1.121523</v>
      </c>
      <c r="L9393">
        <v>-21.444179999999999</v>
      </c>
      <c r="M9393" s="1">
        <v>-3.5956159999999997E-5</v>
      </c>
      <c r="N9393">
        <v>-1.483872E-2</v>
      </c>
      <c r="O9393">
        <v>0.9998899</v>
      </c>
      <c r="P9393">
        <v>-4.5497750000000003E-2</v>
      </c>
      <c r="Q9393">
        <v>-6.2956460000000006E-2</v>
      </c>
      <c r="R9393">
        <v>0.99697860000000005</v>
      </c>
      <c r="S9393">
        <v>-0.1235504</v>
      </c>
      <c r="T9393">
        <v>-0.1916842</v>
      </c>
      <c r="U9393">
        <v>2.991333</v>
      </c>
      <c r="V9393">
        <v>-4.5422520000000001E-2</v>
      </c>
      <c r="W9393">
        <v>-4.8192989999999998E-2</v>
      </c>
      <c r="X9393">
        <v>0.99780469999999999</v>
      </c>
      <c r="Y9393">
        <v>-4.1157859999999998E-2</v>
      </c>
      <c r="Z9393">
        <v>-4.9079110000000002E-2</v>
      </c>
      <c r="AA9393">
        <v>0.99794649999999996</v>
      </c>
      <c r="AB9393">
        <v>27</v>
      </c>
      <c r="AC9393">
        <v>-0.72249999999999603</v>
      </c>
      <c r="AD9393">
        <v>-1.1215258312750001</v>
      </c>
      <c r="AE9393">
        <v>17.240006000000001</v>
      </c>
      <c r="AF9393">
        <v>-0.71884324925368004</v>
      </c>
      <c r="AG9393">
        <v>-1.1215258312750001</v>
      </c>
      <c r="AH9393">
        <v>17.167506779618499</v>
      </c>
      <c r="AI9393">
        <v>93.734467518033597</v>
      </c>
      <c r="AJ9393">
        <v>92.397706282456696</v>
      </c>
      <c r="AK9393">
        <v>17.219112777244501</v>
      </c>
      <c r="AL9393">
        <v>92.762324928411701</v>
      </c>
      <c r="AM9393">
        <v>92.606445123865498</v>
      </c>
      <c r="AN9393">
        <v>0.99999999447518995</v>
      </c>
    </row>
    <row r="9394" spans="1:40" x14ac:dyDescent="0.25">
      <c r="A9394" t="str">
        <f>"20190303154022848"</f>
        <v>20190303154022848</v>
      </c>
      <c r="B9394" t="str">
        <f>"1551598822837585"</f>
        <v>1551598822837585</v>
      </c>
      <c r="C9394" t="s">
        <v>40</v>
      </c>
      <c r="D9394">
        <v>4.9604330000000001</v>
      </c>
      <c r="E9394">
        <v>0.50101819999999997</v>
      </c>
      <c r="F9394" t="s">
        <v>42</v>
      </c>
      <c r="G9394">
        <v>-188.9392</v>
      </c>
      <c r="H9394" s="1">
        <v>-2.771093E-6</v>
      </c>
      <c r="I9394">
        <v>-4.3463440000000002</v>
      </c>
      <c r="J9394">
        <v>-188.22190000000001</v>
      </c>
      <c r="K9394">
        <v>1.1215329999999999</v>
      </c>
      <c r="L9394">
        <v>-21.184719999999999</v>
      </c>
      <c r="M9394">
        <v>-5.0569679999999998E-4</v>
      </c>
      <c r="N9394">
        <v>-1.4867500000000001E-2</v>
      </c>
      <c r="O9394">
        <v>0.99988940000000004</v>
      </c>
      <c r="P9394">
        <v>-4.6375010000000001E-2</v>
      </c>
      <c r="Q9394">
        <v>-6.3275230000000002E-2</v>
      </c>
      <c r="R9394">
        <v>0.99691810000000003</v>
      </c>
      <c r="S9394">
        <v>-0.12557979999999999</v>
      </c>
      <c r="T9394">
        <v>-0.19619130000000001</v>
      </c>
      <c r="U9394">
        <v>2.9909669999999999</v>
      </c>
      <c r="V9394">
        <v>-4.5831049999999998E-2</v>
      </c>
      <c r="W9394">
        <v>-4.848388E-2</v>
      </c>
      <c r="X9394">
        <v>0.99777190000000004</v>
      </c>
      <c r="Y9394">
        <v>-4.1365720000000002E-2</v>
      </c>
      <c r="Z9394">
        <v>-5.0554540000000002E-2</v>
      </c>
      <c r="AA9394">
        <v>0.99786430000000004</v>
      </c>
      <c r="AB9394">
        <v>27</v>
      </c>
      <c r="AC9394">
        <v>-0.71729999999999405</v>
      </c>
      <c r="AD9394">
        <v>-1.1215357710929901</v>
      </c>
      <c r="AE9394">
        <v>16.838376</v>
      </c>
      <c r="AF9394">
        <v>-0.70565897472341998</v>
      </c>
      <c r="AG9394">
        <v>-1.1215357710929901</v>
      </c>
      <c r="AH9394">
        <v>16.7644981521014</v>
      </c>
      <c r="AI9394">
        <v>93.823977282510796</v>
      </c>
      <c r="AJ9394">
        <v>92.4102975008323</v>
      </c>
      <c r="AK9394">
        <v>16.816783145603701</v>
      </c>
      <c r="AL9394">
        <v>92.779011277241906</v>
      </c>
      <c r="AM9394">
        <v>92.629941048511895</v>
      </c>
      <c r="AN9394">
        <v>0.99999996809678204</v>
      </c>
    </row>
    <row r="9395" spans="1:40" x14ac:dyDescent="0.25">
      <c r="A9395" t="str">
        <f>"20190303154022870"</f>
        <v>20190303154022870</v>
      </c>
      <c r="B9395" t="str">
        <f>"1551598822867838"</f>
        <v>1551598822867838</v>
      </c>
      <c r="C9395" t="s">
        <v>40</v>
      </c>
      <c r="D9395">
        <v>4.9244339999999998</v>
      </c>
      <c r="E9395">
        <v>0.5009557</v>
      </c>
      <c r="F9395" t="s">
        <v>42</v>
      </c>
      <c r="G9395">
        <v>-188.95660000000001</v>
      </c>
      <c r="H9395" s="1">
        <v>-2.7394349999999999E-6</v>
      </c>
      <c r="I9395">
        <v>-4.4129360000000002</v>
      </c>
      <c r="J9395">
        <v>-188.2225</v>
      </c>
      <c r="K9395">
        <v>1.1215409999999999</v>
      </c>
      <c r="L9395">
        <v>-20.924499999999998</v>
      </c>
      <c r="M9395">
        <v>-9.8417610000000005E-4</v>
      </c>
      <c r="N9395">
        <v>-1.489132E-2</v>
      </c>
      <c r="O9395">
        <v>0.99988869999999996</v>
      </c>
      <c r="P9395">
        <v>-4.683495E-2</v>
      </c>
      <c r="Q9395">
        <v>-6.3594899999999996E-2</v>
      </c>
      <c r="R9395">
        <v>0.99687619999999999</v>
      </c>
      <c r="S9395">
        <v>-0.13101199999999999</v>
      </c>
      <c r="T9395">
        <v>-0.1999744</v>
      </c>
      <c r="U9395">
        <v>2.9904790000000001</v>
      </c>
      <c r="V9395">
        <v>-4.5813260000000001E-2</v>
      </c>
      <c r="W9395">
        <v>-4.8780280000000002E-2</v>
      </c>
      <c r="X9395">
        <v>0.99775829999999999</v>
      </c>
      <c r="Y9395">
        <v>-4.2699639999999997E-2</v>
      </c>
      <c r="Z9395">
        <v>-5.1793850000000002E-2</v>
      </c>
      <c r="AA9395">
        <v>0.99774450000000003</v>
      </c>
      <c r="AB9395">
        <v>27</v>
      </c>
      <c r="AC9395">
        <v>-0.73410000000001197</v>
      </c>
      <c r="AD9395">
        <v>-1.1215437394350001</v>
      </c>
      <c r="AE9395">
        <v>16.511564</v>
      </c>
      <c r="AF9395">
        <v>-0.71455725724692998</v>
      </c>
      <c r="AG9395">
        <v>-1.1215437394350001</v>
      </c>
      <c r="AH9395">
        <v>16.436593496325099</v>
      </c>
      <c r="AI9395">
        <v>93.899829561140905</v>
      </c>
      <c r="AJ9395">
        <v>92.489284172567196</v>
      </c>
      <c r="AK9395">
        <v>16.490301943772401</v>
      </c>
      <c r="AL9395">
        <v>92.796013781735994</v>
      </c>
      <c r="AM9395">
        <v>92.628957413839601</v>
      </c>
      <c r="AN9395">
        <v>0.99999999786379801</v>
      </c>
    </row>
    <row r="9396" spans="1:40" x14ac:dyDescent="0.25">
      <c r="A9396" t="str">
        <f>"20190303154022885"</f>
        <v>20190303154022885</v>
      </c>
      <c r="B9396" t="str">
        <f>"1551598822877597"</f>
        <v>1551598822877597</v>
      </c>
      <c r="C9396" t="s">
        <v>40</v>
      </c>
      <c r="D9396">
        <v>4.9377380000000004</v>
      </c>
      <c r="E9396">
        <v>0.50085639999999998</v>
      </c>
      <c r="F9396" t="s">
        <v>42</v>
      </c>
      <c r="G9396">
        <v>-188.93819999999999</v>
      </c>
      <c r="H9396" s="1">
        <v>-2.5636899999999998E-6</v>
      </c>
      <c r="I9396">
        <v>-4.8302239999999896</v>
      </c>
      <c r="J9396">
        <v>-188.22309999999999</v>
      </c>
      <c r="K9396">
        <v>1.121551</v>
      </c>
      <c r="L9396">
        <v>-20.736239999999999</v>
      </c>
      <c r="M9396">
        <v>-1.3381269999999999E-3</v>
      </c>
      <c r="N9396">
        <v>-1.490581E-2</v>
      </c>
      <c r="O9396">
        <v>0.999888</v>
      </c>
      <c r="P9396">
        <v>-4.7434249999999997E-2</v>
      </c>
      <c r="Q9396">
        <v>-6.4387399999999997E-2</v>
      </c>
      <c r="R9396">
        <v>0.99679700000000004</v>
      </c>
      <c r="S9396">
        <v>-0.13294979999999901</v>
      </c>
      <c r="T9396">
        <v>-0.2083515</v>
      </c>
      <c r="U9396">
        <v>2.989868</v>
      </c>
      <c r="V9396">
        <v>-4.6058880000000003E-2</v>
      </c>
      <c r="W9396">
        <v>-4.9559890000000002E-2</v>
      </c>
      <c r="X9396">
        <v>0.99770859999999995</v>
      </c>
      <c r="Y9396">
        <v>-4.2992599999999999E-2</v>
      </c>
      <c r="Z9396">
        <v>-5.4573829999999997E-2</v>
      </c>
      <c r="AA9396">
        <v>0.99758369999999996</v>
      </c>
      <c r="AB9396">
        <v>27</v>
      </c>
      <c r="AC9396">
        <v>-0.71510000000000595</v>
      </c>
      <c r="AD9396">
        <v>-1.12155356369</v>
      </c>
      <c r="AE9396">
        <v>15.906015999999999</v>
      </c>
      <c r="AF9396">
        <v>-0.69038715392287398</v>
      </c>
      <c r="AG9396">
        <v>-1.12155356369</v>
      </c>
      <c r="AH9396">
        <v>15.828421109025699</v>
      </c>
      <c r="AI9396">
        <v>94.049192917254899</v>
      </c>
      <c r="AJ9396">
        <v>92.4974831057676</v>
      </c>
      <c r="AK9396">
        <v>15.8831178180852</v>
      </c>
      <c r="AL9396">
        <v>92.840736158718997</v>
      </c>
      <c r="AM9396">
        <v>92.643163662004397</v>
      </c>
      <c r="AN9396">
        <v>1.0000000268188101</v>
      </c>
    </row>
    <row r="9397" spans="1:40" x14ac:dyDescent="0.25">
      <c r="A9397" t="str">
        <f>"20190303154022903"</f>
        <v>20190303154022903</v>
      </c>
      <c r="B9397" t="str">
        <f>"1551598822897119"</f>
        <v>1551598822897119</v>
      </c>
      <c r="C9397" t="s">
        <v>40</v>
      </c>
      <c r="D9397">
        <v>4.925071</v>
      </c>
      <c r="E9397">
        <v>0.50072070000000002</v>
      </c>
      <c r="F9397" t="s">
        <v>42</v>
      </c>
      <c r="G9397">
        <v>-188.92959999999999</v>
      </c>
      <c r="H9397" s="1">
        <v>-2.4205820000000001E-6</v>
      </c>
      <c r="I9397">
        <v>-5.1673960000000001</v>
      </c>
      <c r="J9397">
        <v>-188.22389999999999</v>
      </c>
      <c r="K9397">
        <v>1.121564</v>
      </c>
      <c r="L9397">
        <v>-20.524989999999999</v>
      </c>
      <c r="M9397">
        <v>-1.742106E-3</v>
      </c>
      <c r="N9397">
        <v>-1.491993E-2</v>
      </c>
      <c r="O9397">
        <v>0.99988719999999998</v>
      </c>
      <c r="P9397">
        <v>-4.7930779999999999E-2</v>
      </c>
      <c r="Q9397">
        <v>-6.487975E-2</v>
      </c>
      <c r="R9397">
        <v>0.99674130000000005</v>
      </c>
      <c r="S9397">
        <v>-0.13563539999999999</v>
      </c>
      <c r="T9397">
        <v>-0.21534339999999999</v>
      </c>
      <c r="U9397">
        <v>2.9892880000000002</v>
      </c>
      <c r="V9397">
        <v>-4.6151020000000001E-2</v>
      </c>
      <c r="W9397">
        <v>-5.0039420000000001E-2</v>
      </c>
      <c r="X9397">
        <v>0.99768040000000002</v>
      </c>
      <c r="Y9397">
        <v>-4.3484979999999999E-2</v>
      </c>
      <c r="Z9397">
        <v>-5.6892470000000001E-2</v>
      </c>
      <c r="AA9397">
        <v>0.99743280000000001</v>
      </c>
      <c r="AB9397">
        <v>27</v>
      </c>
      <c r="AC9397">
        <v>-0.70570000000000699</v>
      </c>
      <c r="AD9397">
        <v>-1.121566420582</v>
      </c>
      <c r="AE9397">
        <v>15.357594000000001</v>
      </c>
      <c r="AF9397">
        <v>-0.67534709217845301</v>
      </c>
      <c r="AG9397">
        <v>-1.121566420582</v>
      </c>
      <c r="AH9397">
        <v>15.277491044343799</v>
      </c>
      <c r="AI9397">
        <v>94.194641038691898</v>
      </c>
      <c r="AJ9397">
        <v>92.531133087747094</v>
      </c>
      <c r="AK9397">
        <v>15.3334841944255</v>
      </c>
      <c r="AL9397">
        <v>92.868245354533798</v>
      </c>
      <c r="AM9397">
        <v>92.648518497600904</v>
      </c>
      <c r="AN9397">
        <v>1.0000000203725601</v>
      </c>
    </row>
    <row r="9398" spans="1:40" x14ac:dyDescent="0.25">
      <c r="A9398" t="str">
        <f>"20190303154022926"</f>
        <v>20190303154022926</v>
      </c>
      <c r="B9398" t="str">
        <f>"1551598822917613"</f>
        <v>1551598822917613</v>
      </c>
      <c r="C9398" t="s">
        <v>40</v>
      </c>
      <c r="D9398">
        <v>4.9634489999999998</v>
      </c>
      <c r="E9398">
        <v>0.50062410000000002</v>
      </c>
      <c r="F9398" t="s">
        <v>42</v>
      </c>
      <c r="G9398">
        <v>-188.92310000000001</v>
      </c>
      <c r="H9398" s="1">
        <v>-2.3193029999999998E-6</v>
      </c>
      <c r="I9398">
        <v>-5.4061409999999999</v>
      </c>
      <c r="J9398">
        <v>-188.22489999999999</v>
      </c>
      <c r="K9398">
        <v>1.1215850000000001</v>
      </c>
      <c r="L9398">
        <v>-20.26154</v>
      </c>
      <c r="M9398">
        <v>-2.2657139999999998E-3</v>
      </c>
      <c r="N9398">
        <v>-1.493481E-2</v>
      </c>
      <c r="O9398">
        <v>0.99988589999999999</v>
      </c>
      <c r="P9398">
        <v>-4.8168130000000003E-2</v>
      </c>
      <c r="Q9398">
        <v>-6.4849180000000006E-2</v>
      </c>
      <c r="R9398">
        <v>0.9967319</v>
      </c>
      <c r="S9398">
        <v>-0.138229399999999</v>
      </c>
      <c r="T9398">
        <v>-0.22171450000000001</v>
      </c>
      <c r="U9398">
        <v>2.9887389999999998</v>
      </c>
      <c r="V9398">
        <v>-4.5865690000000001E-2</v>
      </c>
      <c r="W9398">
        <v>-4.9995020000000001E-2</v>
      </c>
      <c r="X9398">
        <v>0.99769569999999996</v>
      </c>
      <c r="Y9398">
        <v>-4.3827369999999997E-2</v>
      </c>
      <c r="Z9398">
        <v>-5.9003519999999997E-2</v>
      </c>
      <c r="AA9398">
        <v>0.99729520000000005</v>
      </c>
      <c r="AB9398">
        <v>27</v>
      </c>
      <c r="AC9398">
        <v>-0.69820000000001403</v>
      </c>
      <c r="AD9398">
        <v>-1.1215873193029999</v>
      </c>
      <c r="AE9398">
        <v>14.855398999999901</v>
      </c>
      <c r="AF9398">
        <v>-0.66077803812746805</v>
      </c>
      <c r="AG9398">
        <v>-1.1215873193029999</v>
      </c>
      <c r="AH9398">
        <v>14.7729185337261</v>
      </c>
      <c r="AI9398">
        <v>94.337352337876496</v>
      </c>
      <c r="AJ9398">
        <v>92.561076503545493</v>
      </c>
      <c r="AK9398">
        <v>14.830162094009699</v>
      </c>
      <c r="AL9398">
        <v>92.865698473948797</v>
      </c>
      <c r="AM9398">
        <v>92.632126748431006</v>
      </c>
      <c r="AN9398">
        <v>0.99999993667123099</v>
      </c>
    </row>
    <row r="9399" spans="1:40" x14ac:dyDescent="0.25">
      <c r="A9399" t="str">
        <f>"20190303154022942"</f>
        <v>20190303154022942</v>
      </c>
      <c r="B9399" t="str">
        <f>"1551598822927374"</f>
        <v>1551598822927374</v>
      </c>
      <c r="C9399" t="s">
        <v>40</v>
      </c>
      <c r="D9399">
        <v>4.9679949999999904</v>
      </c>
      <c r="E9399">
        <v>0.50059960000000003</v>
      </c>
      <c r="F9399" t="s">
        <v>42</v>
      </c>
      <c r="G9399">
        <v>-188.9263</v>
      </c>
      <c r="H9399" s="1">
        <v>-2.3834969999999998E-6</v>
      </c>
      <c r="I9399">
        <v>-5.2552050000000001</v>
      </c>
      <c r="J9399">
        <v>-188.22569999999999</v>
      </c>
      <c r="K9399">
        <v>1.12161</v>
      </c>
      <c r="L9399">
        <v>-20.077729999999999</v>
      </c>
      <c r="M9399">
        <v>-2.653645E-3</v>
      </c>
      <c r="N9399">
        <v>-1.4943390000000001E-2</v>
      </c>
      <c r="O9399">
        <v>0.99988480000000002</v>
      </c>
      <c r="P9399">
        <v>-4.8622489999999997E-2</v>
      </c>
      <c r="Q9399">
        <v>-6.5239499999999895E-2</v>
      </c>
      <c r="R9399">
        <v>0.99668429999999997</v>
      </c>
      <c r="S9399">
        <v>-0.139679</v>
      </c>
      <c r="T9399">
        <v>-0.2233675</v>
      </c>
      <c r="U9399">
        <v>2.988556</v>
      </c>
      <c r="V9399">
        <v>-4.5930930000000002E-2</v>
      </c>
      <c r="W9399">
        <v>-5.0378859999999998E-2</v>
      </c>
      <c r="X9399">
        <v>0.99767349999999999</v>
      </c>
      <c r="Y9399">
        <v>-4.3923499999999997E-2</v>
      </c>
      <c r="Z9399">
        <v>-5.9547030000000001E-2</v>
      </c>
      <c r="AA9399">
        <v>0.99725870000000005</v>
      </c>
      <c r="AB9399">
        <v>27</v>
      </c>
      <c r="AC9399">
        <v>-0.70060000000000799</v>
      </c>
      <c r="AD9399">
        <v>-1.121612383497</v>
      </c>
      <c r="AE9399">
        <v>14.822525000000001</v>
      </c>
      <c r="AF9399">
        <v>-0.65750303758234596</v>
      </c>
      <c r="AG9399">
        <v>-1.121612383497</v>
      </c>
      <c r="AH9399">
        <v>14.740120326192599</v>
      </c>
      <c r="AI9399">
        <v>94.347086866867599</v>
      </c>
      <c r="AJ9399">
        <v>92.554062806901797</v>
      </c>
      <c r="AK9399">
        <v>14.7973467829162</v>
      </c>
      <c r="AL9399">
        <v>92.887718319729601</v>
      </c>
      <c r="AM9399">
        <v>92.635924015774506</v>
      </c>
      <c r="AN9399">
        <v>1.0000000462339</v>
      </c>
    </row>
    <row r="9400" spans="1:40" x14ac:dyDescent="0.25">
      <c r="A9400" t="str">
        <f>"20190303154022961"</f>
        <v>20190303154022961</v>
      </c>
      <c r="B9400" t="str">
        <f>"1551598822947870"</f>
        <v>1551598822947870</v>
      </c>
      <c r="C9400" t="s">
        <v>40</v>
      </c>
      <c r="D9400">
        <v>4.9761579999999999</v>
      </c>
      <c r="E9400">
        <v>0.50057149999999995</v>
      </c>
      <c r="F9400" t="s">
        <v>42</v>
      </c>
      <c r="G9400">
        <v>-188.93049999999999</v>
      </c>
      <c r="H9400" s="1">
        <v>-2.4224080000000001E-6</v>
      </c>
      <c r="I9400">
        <v>-5.1627549999999998</v>
      </c>
      <c r="J9400">
        <v>-188.2269</v>
      </c>
      <c r="K9400">
        <v>1.12164</v>
      </c>
      <c r="L9400">
        <v>-19.852599999999999</v>
      </c>
      <c r="M9400">
        <v>-3.1578280000000001E-3</v>
      </c>
      <c r="N9400">
        <v>-1.4952399999999999E-2</v>
      </c>
      <c r="O9400">
        <v>0.99988319999999997</v>
      </c>
      <c r="P9400">
        <v>-4.843952E-2</v>
      </c>
      <c r="Q9400">
        <v>-6.5202179999999998E-2</v>
      </c>
      <c r="R9400">
        <v>0.99669569999999996</v>
      </c>
      <c r="S9400">
        <v>-0.14120479999999899</v>
      </c>
      <c r="T9400">
        <v>-0.22472690000000001</v>
      </c>
      <c r="U9400">
        <v>2.9883730000000002</v>
      </c>
      <c r="V9400">
        <v>-4.5242640000000001E-2</v>
      </c>
      <c r="W9400">
        <v>-5.03341E-2</v>
      </c>
      <c r="X9400">
        <v>0.99770720000000002</v>
      </c>
      <c r="Y9400">
        <v>-4.3929250000000003E-2</v>
      </c>
      <c r="Z9400">
        <v>-5.9992799999999999E-2</v>
      </c>
      <c r="AA9400">
        <v>0.99723170000000005</v>
      </c>
      <c r="AB9400">
        <v>27</v>
      </c>
      <c r="AC9400">
        <v>-0.70359999999999401</v>
      </c>
      <c r="AD9400">
        <v>-1.1216424224079999</v>
      </c>
      <c r="AE9400">
        <v>14.689844999999901</v>
      </c>
      <c r="AF9400">
        <v>-0.65340263023410905</v>
      </c>
      <c r="AG9400">
        <v>-1.1216424224079999</v>
      </c>
      <c r="AH9400">
        <v>14.6070286295706</v>
      </c>
      <c r="AI9400">
        <v>94.386633910617505</v>
      </c>
      <c r="AJ9400">
        <v>92.561251423634999</v>
      </c>
      <c r="AK9400">
        <v>14.664593485877401</v>
      </c>
      <c r="AL9400">
        <v>92.885150528166207</v>
      </c>
      <c r="AM9400">
        <v>92.596390717866299</v>
      </c>
      <c r="AN9400">
        <v>1.0000000375144</v>
      </c>
    </row>
    <row r="9401" spans="1:40" x14ac:dyDescent="0.25">
      <c r="A9401" t="str">
        <f>"20190303154022983"</f>
        <v>20190303154022983</v>
      </c>
      <c r="B9401" t="str">
        <f>"1551598822977149"</f>
        <v>1551598822977149</v>
      </c>
      <c r="C9401" t="s">
        <v>40</v>
      </c>
      <c r="D9401">
        <v>4.9721199999999897</v>
      </c>
      <c r="E9401">
        <v>0.50054129999999997</v>
      </c>
      <c r="F9401" t="s">
        <v>42</v>
      </c>
      <c r="G9401">
        <v>-188.93090000000001</v>
      </c>
      <c r="H9401" s="1">
        <v>-2.516608E-6</v>
      </c>
      <c r="I9401">
        <v>-4.9429970000000001</v>
      </c>
      <c r="J9401">
        <v>-188.22839999999999</v>
      </c>
      <c r="K9401">
        <v>1.121678</v>
      </c>
      <c r="L9401">
        <v>-19.5899</v>
      </c>
      <c r="M9401">
        <v>-3.7971010000000002E-3</v>
      </c>
      <c r="N9401">
        <v>-1.4960960000000001E-2</v>
      </c>
      <c r="O9401">
        <v>0.99988089999999996</v>
      </c>
      <c r="P9401">
        <v>-4.8461320000000002E-2</v>
      </c>
      <c r="Q9401">
        <v>-6.5646389999999999E-2</v>
      </c>
      <c r="R9401">
        <v>0.99666549999999998</v>
      </c>
      <c r="S9401">
        <v>-0.141113299999999</v>
      </c>
      <c r="T9401">
        <v>-0.22481380000000001</v>
      </c>
      <c r="U9401">
        <v>2.9883730000000002</v>
      </c>
      <c r="V9401">
        <v>-4.4621750000000002E-2</v>
      </c>
      <c r="W9401">
        <v>-5.0773220000000001E-2</v>
      </c>
      <c r="X9401">
        <v>0.99771290000000001</v>
      </c>
      <c r="Y9401">
        <v>-4.3260380000000001E-2</v>
      </c>
      <c r="Z9401">
        <v>-6.0014209999999998E-2</v>
      </c>
      <c r="AA9401">
        <v>0.99725969999999997</v>
      </c>
      <c r="AB9401">
        <v>27</v>
      </c>
      <c r="AC9401">
        <v>-0.702500000000014</v>
      </c>
      <c r="AD9401">
        <v>-1.1216805166079999</v>
      </c>
      <c r="AE9401">
        <v>14.646903</v>
      </c>
      <c r="AF9401">
        <v>-0.64310994226143803</v>
      </c>
      <c r="AG9401">
        <v>-1.1216805166079999</v>
      </c>
      <c r="AH9401">
        <v>14.564246066648</v>
      </c>
      <c r="AI9401">
        <v>94.399729824514907</v>
      </c>
      <c r="AJ9401">
        <v>92.528353655558703</v>
      </c>
      <c r="AK9401">
        <v>14.6215259487184</v>
      </c>
      <c r="AL9401">
        <v>92.910342496489307</v>
      </c>
      <c r="AM9401">
        <v>92.560792150602495</v>
      </c>
      <c r="AN9401">
        <v>1.00000002563432</v>
      </c>
    </row>
    <row r="9402" spans="1:40" x14ac:dyDescent="0.25">
      <c r="A9402" t="str">
        <f>"20190303154023006"</f>
        <v>20190303154023006</v>
      </c>
      <c r="B9402" t="str">
        <f>"1551598822997645"</f>
        <v>1551598822997645</v>
      </c>
      <c r="C9402" t="s">
        <v>40</v>
      </c>
      <c r="D9402">
        <v>4.9291589999999896</v>
      </c>
      <c r="E9402">
        <v>0.50061</v>
      </c>
      <c r="F9402" t="s">
        <v>42</v>
      </c>
      <c r="G9402">
        <v>-188.92169999999999</v>
      </c>
      <c r="H9402" s="1">
        <v>-2.5224390000000002E-6</v>
      </c>
      <c r="I9402">
        <v>-4.9332219999999998</v>
      </c>
      <c r="J9402">
        <v>-188.2302</v>
      </c>
      <c r="K9402">
        <v>1.1217280000000001</v>
      </c>
      <c r="L9402">
        <v>-19.31635</v>
      </c>
      <c r="M9402">
        <v>-4.5294920000000004E-3</v>
      </c>
      <c r="N9402">
        <v>-1.4967940000000001E-2</v>
      </c>
      <c r="O9402">
        <v>0.99987769999999998</v>
      </c>
      <c r="P9402">
        <v>-4.8134009999999998E-2</v>
      </c>
      <c r="Q9402">
        <v>-6.5693370000000001E-2</v>
      </c>
      <c r="R9402">
        <v>0.99667819999999996</v>
      </c>
      <c r="S9402">
        <v>-0.1413422</v>
      </c>
      <c r="T9402">
        <v>-0.22867999999999999</v>
      </c>
      <c r="U9402">
        <v>2.9880979999999999</v>
      </c>
      <c r="V9402">
        <v>-4.3558329999999999E-2</v>
      </c>
      <c r="W9402">
        <v>-5.0816550000000002E-2</v>
      </c>
      <c r="X9402">
        <v>0.99775769999999997</v>
      </c>
      <c r="Y9402">
        <v>-4.2605450000000003E-2</v>
      </c>
      <c r="Z9402">
        <v>-6.1297709999999998E-2</v>
      </c>
      <c r="AA9402">
        <v>0.99720980000000004</v>
      </c>
      <c r="AB9402">
        <v>26</v>
      </c>
      <c r="AC9402">
        <v>-0.69149999999999001</v>
      </c>
      <c r="AD9402">
        <v>-1.121730522439</v>
      </c>
      <c r="AE9402">
        <v>14.383127999999999</v>
      </c>
      <c r="AF9402">
        <v>-0.62255945823705805</v>
      </c>
      <c r="AG9402">
        <v>-1.121730522439</v>
      </c>
      <c r="AH9402">
        <v>14.299340098227701</v>
      </c>
      <c r="AI9402">
        <v>94.481229036740899</v>
      </c>
      <c r="AJ9402">
        <v>92.492948414870099</v>
      </c>
      <c r="AK9402">
        <v>14.3567749473478</v>
      </c>
      <c r="AL9402">
        <v>92.912828292861604</v>
      </c>
      <c r="AM9402">
        <v>92.499729931690098</v>
      </c>
      <c r="AN9402">
        <v>1.0000000388877801</v>
      </c>
    </row>
    <row r="9403" spans="1:40" x14ac:dyDescent="0.25">
      <c r="A9403" t="str">
        <f>"20190303154023027"</f>
        <v>20190303154023027</v>
      </c>
      <c r="B9403" t="str">
        <f>"1551598823017167"</f>
        <v>1551598823017167</v>
      </c>
      <c r="C9403" t="s">
        <v>40</v>
      </c>
      <c r="D9403">
        <v>4.9504739999999998</v>
      </c>
      <c r="E9403">
        <v>0.50047739999999996</v>
      </c>
      <c r="F9403" t="s">
        <v>42</v>
      </c>
      <c r="G9403">
        <v>-188.90799999999999</v>
      </c>
      <c r="H9403" s="1">
        <v>-2.5649109999999999E-6</v>
      </c>
      <c r="I9403">
        <v>-4.8398750000000001</v>
      </c>
      <c r="J9403">
        <v>-188.23220000000001</v>
      </c>
      <c r="K9403">
        <v>1.121788</v>
      </c>
      <c r="L9403">
        <v>-19.062259999999998</v>
      </c>
      <c r="M9403">
        <v>-5.2851629999999998E-3</v>
      </c>
      <c r="N9403">
        <v>-1.4972890000000001E-2</v>
      </c>
      <c r="O9403">
        <v>0.99987389999999998</v>
      </c>
      <c r="P9403">
        <v>-4.7425780000000001E-2</v>
      </c>
      <c r="Q9403">
        <v>-6.4782729999999997E-2</v>
      </c>
      <c r="R9403">
        <v>0.99677179999999999</v>
      </c>
      <c r="S9403">
        <v>-0.13989260000000001</v>
      </c>
      <c r="T9403">
        <v>-0.23152780000000001</v>
      </c>
      <c r="U9403">
        <v>2.9879760000000002</v>
      </c>
      <c r="V9403">
        <v>-4.2090580000000002E-2</v>
      </c>
      <c r="W9403">
        <v>-4.9902799999999997E-2</v>
      </c>
      <c r="X9403">
        <v>0.9978667</v>
      </c>
      <c r="Y9403">
        <v>-4.1367349999999997E-2</v>
      </c>
      <c r="Z9403">
        <v>-6.224325E-2</v>
      </c>
      <c r="AA9403">
        <v>0.99720339999999996</v>
      </c>
      <c r="AB9403">
        <v>26</v>
      </c>
      <c r="AC9403">
        <v>-0.67579999999998097</v>
      </c>
      <c r="AD9403">
        <v>-1.121790564911</v>
      </c>
      <c r="AE9403">
        <v>14.222384999999999</v>
      </c>
      <c r="AF9403">
        <v>-0.596909341087697</v>
      </c>
      <c r="AG9403">
        <v>-1.121790564911</v>
      </c>
      <c r="AH9403">
        <v>14.138000326905299</v>
      </c>
      <c r="AI9403">
        <v>94.532652075072903</v>
      </c>
      <c r="AJ9403">
        <v>92.417604021594002</v>
      </c>
      <c r="AK9403">
        <v>14.1949909502111</v>
      </c>
      <c r="AL9403">
        <v>92.860408076088504</v>
      </c>
      <c r="AM9403">
        <v>92.415336506496203</v>
      </c>
      <c r="AN9403">
        <v>0.99999992867072995</v>
      </c>
    </row>
    <row r="9404" spans="1:40" x14ac:dyDescent="0.25">
      <c r="A9404" t="str">
        <f>"20190303154023049"</f>
        <v>20190303154023049</v>
      </c>
      <c r="B9404" t="str">
        <f>"1551598823037665"</f>
        <v>1551598823037665</v>
      </c>
      <c r="C9404" t="s">
        <v>40</v>
      </c>
      <c r="D9404">
        <v>4.9099110000000001</v>
      </c>
      <c r="E9404">
        <v>0.50042339999999996</v>
      </c>
      <c r="F9404" t="s">
        <v>42</v>
      </c>
      <c r="G9404">
        <v>-188.9059</v>
      </c>
      <c r="H9404" s="1">
        <v>-2.6851200000000001E-6</v>
      </c>
      <c r="I9404">
        <v>-4.5605449999999896</v>
      </c>
      <c r="J9404">
        <v>-188.23439999999999</v>
      </c>
      <c r="K9404">
        <v>1.121847</v>
      </c>
      <c r="L9404">
        <v>-18.808039999999998</v>
      </c>
      <c r="M9404">
        <v>-6.1240640000000002E-3</v>
      </c>
      <c r="N9404">
        <v>-1.497678E-2</v>
      </c>
      <c r="O9404">
        <v>0.99986909999999896</v>
      </c>
      <c r="P9404">
        <v>-4.6542149999999997E-2</v>
      </c>
      <c r="Q9404">
        <v>-6.3832550000000002E-2</v>
      </c>
      <c r="R9404">
        <v>0.9968747</v>
      </c>
      <c r="S9404">
        <v>-0.13880919999999999</v>
      </c>
      <c r="T9404">
        <v>-0.23114660000000001</v>
      </c>
      <c r="U9404">
        <v>2.9880979999999999</v>
      </c>
      <c r="V9404">
        <v>-4.036472E-2</v>
      </c>
      <c r="W9404">
        <v>-4.8950279999999999E-2</v>
      </c>
      <c r="X9404">
        <v>0.99798520000000002</v>
      </c>
      <c r="Y9404">
        <v>-4.0167599999999998E-2</v>
      </c>
      <c r="Z9404">
        <v>-6.2112050000000002E-2</v>
      </c>
      <c r="AA9404">
        <v>0.99726060000000005</v>
      </c>
      <c r="AB9404">
        <v>26</v>
      </c>
      <c r="AC9404">
        <v>-0.67150000000000798</v>
      </c>
      <c r="AD9404">
        <v>-1.1218496851199999</v>
      </c>
      <c r="AE9404">
        <v>14.247495000000001</v>
      </c>
      <c r="AF9404">
        <v>-0.58063309629160997</v>
      </c>
      <c r="AG9404">
        <v>-1.1218496851199999</v>
      </c>
      <c r="AH9404">
        <v>14.1637199824051</v>
      </c>
      <c r="AI9404">
        <v>94.524922394032799</v>
      </c>
      <c r="AJ9404">
        <v>92.347491245230998</v>
      </c>
      <c r="AK9404">
        <v>14.2199382997429</v>
      </c>
      <c r="AL9404">
        <v>92.8057658486224</v>
      </c>
      <c r="AM9404">
        <v>92.316134754392607</v>
      </c>
      <c r="AN9404">
        <v>0.99999994997589703</v>
      </c>
    </row>
    <row r="9405" spans="1:40" x14ac:dyDescent="0.25">
      <c r="A9405" t="str">
        <f>"20190303154023071"</f>
        <v>20190303154023071</v>
      </c>
      <c r="B9405" t="str">
        <f>"1551598823067918"</f>
        <v>1551598823067918</v>
      </c>
      <c r="C9405" t="s">
        <v>40</v>
      </c>
      <c r="D9405">
        <v>4.9047710000000002</v>
      </c>
      <c r="E9405">
        <v>0.50038959999999999</v>
      </c>
      <c r="F9405" t="s">
        <v>42</v>
      </c>
      <c r="G9405">
        <v>-188.89320000000001</v>
      </c>
      <c r="H9405" s="1">
        <v>-2.7584109999999998E-6</v>
      </c>
      <c r="I9405">
        <v>-4.3949220000000002</v>
      </c>
      <c r="J9405">
        <v>-188.2371</v>
      </c>
      <c r="K9405">
        <v>1.1219140000000001</v>
      </c>
      <c r="L9405">
        <v>-18.55246</v>
      </c>
      <c r="M9405">
        <v>-7.0579350000000004E-3</v>
      </c>
      <c r="N9405">
        <v>-1.4979620000000001E-2</v>
      </c>
      <c r="O9405">
        <v>0.9998629</v>
      </c>
      <c r="P9405">
        <v>-4.5331410000000003E-2</v>
      </c>
      <c r="Q9405">
        <v>-6.2995200000000001E-2</v>
      </c>
      <c r="R9405">
        <v>0.99698379999999998</v>
      </c>
      <c r="S9405">
        <v>-0.13658139999999999</v>
      </c>
      <c r="T9405">
        <v>-0.23258200000000001</v>
      </c>
      <c r="U9405">
        <v>2.9881289999999998</v>
      </c>
      <c r="V9405">
        <v>-3.8215699999999998E-2</v>
      </c>
      <c r="W9405">
        <v>-4.8110649999999998E-2</v>
      </c>
      <c r="X9405">
        <v>0.99811070000000002</v>
      </c>
      <c r="Y9405">
        <v>-3.8491560000000001E-2</v>
      </c>
      <c r="Z9405">
        <v>-6.2587959999999998E-2</v>
      </c>
      <c r="AA9405">
        <v>0.99729690000000004</v>
      </c>
      <c r="AB9405">
        <v>26</v>
      </c>
      <c r="AC9405">
        <v>-0.65610000000000901</v>
      </c>
      <c r="AD9405">
        <v>-1.1219167584109999</v>
      </c>
      <c r="AE9405">
        <v>14.157538000000001</v>
      </c>
      <c r="AF9405">
        <v>-0.55268613966146096</v>
      </c>
      <c r="AG9405">
        <v>-1.1219167584109999</v>
      </c>
      <c r="AH9405">
        <v>14.073626368271601</v>
      </c>
      <c r="AI9405">
        <v>94.554351920495407</v>
      </c>
      <c r="AJ9405">
        <v>92.248910019082501</v>
      </c>
      <c r="AK9405">
        <v>14.129087668193099</v>
      </c>
      <c r="AL9405">
        <v>92.757601639386806</v>
      </c>
      <c r="AM9405">
        <v>92.192671911713802</v>
      </c>
      <c r="AN9405">
        <v>1.0000000219122001</v>
      </c>
    </row>
    <row r="9406" spans="1:40" x14ac:dyDescent="0.25">
      <c r="A9406" t="str">
        <f>"20190303154023094"</f>
        <v>20190303154023094</v>
      </c>
      <c r="B9406" t="str">
        <f>"1551598823087438"</f>
        <v>1551598823087438</v>
      </c>
      <c r="C9406" t="s">
        <v>40</v>
      </c>
      <c r="D9406">
        <v>4.9080079999999997</v>
      </c>
      <c r="E9406">
        <v>0.50032979999999905</v>
      </c>
      <c r="F9406" t="s">
        <v>42</v>
      </c>
      <c r="G9406">
        <v>-188.87370000000001</v>
      </c>
      <c r="H9406" s="1">
        <v>-2.8113320000000001E-6</v>
      </c>
      <c r="I9406">
        <v>-4.2796399999999997</v>
      </c>
      <c r="J9406">
        <v>-188.24010000000001</v>
      </c>
      <c r="K9406">
        <v>1.121983</v>
      </c>
      <c r="L9406">
        <v>-18.290469999999999</v>
      </c>
      <c r="M9406">
        <v>-8.0909380000000006E-3</v>
      </c>
      <c r="N9406">
        <v>-1.498149E-2</v>
      </c>
      <c r="O9406">
        <v>0.99985500000000005</v>
      </c>
      <c r="P9406">
        <v>-4.4273720000000003E-2</v>
      </c>
      <c r="Q9406">
        <v>-6.2788780000000002E-2</v>
      </c>
      <c r="R9406">
        <v>0.99704429999999999</v>
      </c>
      <c r="S9406">
        <v>-0.1332855</v>
      </c>
      <c r="T9406">
        <v>-0.2348846</v>
      </c>
      <c r="U9406">
        <v>2.988159</v>
      </c>
      <c r="V9406">
        <v>-3.6121390000000003E-2</v>
      </c>
      <c r="W9406">
        <v>-4.790262E-2</v>
      </c>
      <c r="X9406">
        <v>0.99819869999999999</v>
      </c>
      <c r="Y9406">
        <v>-3.635998E-2</v>
      </c>
      <c r="Z9406">
        <v>-6.3353450000000006E-2</v>
      </c>
      <c r="AA9406">
        <v>0.99732860000000001</v>
      </c>
      <c r="AB9406">
        <v>26</v>
      </c>
      <c r="AC9406">
        <v>-0.63360000000000105</v>
      </c>
      <c r="AD9406">
        <v>-1.121985811332</v>
      </c>
      <c r="AE9406">
        <v>14.01083</v>
      </c>
      <c r="AF9406">
        <v>-0.51689777979563101</v>
      </c>
      <c r="AG9406">
        <v>-1.121985811332</v>
      </c>
      <c r="AH9406">
        <v>13.926373643378099</v>
      </c>
      <c r="AI9406">
        <v>94.602960929077398</v>
      </c>
      <c r="AJ9406">
        <v>92.125641117957301</v>
      </c>
      <c r="AK9406">
        <v>13.981055694423199</v>
      </c>
      <c r="AL9406">
        <v>92.745668617156696</v>
      </c>
      <c r="AM9406">
        <v>92.072433621158396</v>
      </c>
      <c r="AN9406">
        <v>1.00000003025004</v>
      </c>
    </row>
    <row r="9407" spans="1:40" x14ac:dyDescent="0.25">
      <c r="A9407" t="str">
        <f>"20190303154023111"</f>
        <v>20190303154023111</v>
      </c>
      <c r="B9407" t="str">
        <f>"1551598823097198"</f>
        <v>1551598823097198</v>
      </c>
      <c r="C9407" t="s">
        <v>40</v>
      </c>
      <c r="D9407">
        <v>4.8799060000000001</v>
      </c>
      <c r="E9407">
        <v>0.50029659999999998</v>
      </c>
      <c r="F9407" t="s">
        <v>42</v>
      </c>
      <c r="G9407">
        <v>-188.85929999999999</v>
      </c>
      <c r="H9407" s="1">
        <v>-2.8817010000000001E-6</v>
      </c>
      <c r="I9407">
        <v>-4.1215809999999999</v>
      </c>
      <c r="J9407">
        <v>-188.24260000000001</v>
      </c>
      <c r="K9407">
        <v>1.1220220000000001</v>
      </c>
      <c r="L9407">
        <v>-18.086089999999999</v>
      </c>
      <c r="M9407">
        <v>-8.9337719999999995E-3</v>
      </c>
      <c r="N9407">
        <v>-1.4982260000000001E-2</v>
      </c>
      <c r="O9407">
        <v>0.99984779999999995</v>
      </c>
      <c r="P9407">
        <v>-4.4159410000000003E-2</v>
      </c>
      <c r="Q9407">
        <v>-6.2581709999999999E-2</v>
      </c>
      <c r="R9407">
        <v>0.99706240000000002</v>
      </c>
      <c r="S9407">
        <v>-0.1305847</v>
      </c>
      <c r="T9407">
        <v>-0.23662459999999999</v>
      </c>
      <c r="U9407">
        <v>2.9881899999999999</v>
      </c>
      <c r="V9407">
        <v>-3.5161669999999999E-2</v>
      </c>
      <c r="W9407">
        <v>-4.7695460000000002E-2</v>
      </c>
      <c r="X9407">
        <v>0.99824290000000004</v>
      </c>
      <c r="Y9407">
        <v>-3.4616870000000001E-2</v>
      </c>
      <c r="Z9407">
        <v>-6.3932249999999996E-2</v>
      </c>
      <c r="AA9407">
        <v>0.99735370000000001</v>
      </c>
      <c r="AB9407">
        <v>26</v>
      </c>
      <c r="AC9407">
        <v>-0.61669999999998004</v>
      </c>
      <c r="AD9407">
        <v>-1.1220248817009999</v>
      </c>
      <c r="AE9407">
        <v>13.964509</v>
      </c>
      <c r="AF9407">
        <v>-0.48875643623855197</v>
      </c>
      <c r="AG9407">
        <v>-1.1220248817009999</v>
      </c>
      <c r="AH9407">
        <v>13.880028664047501</v>
      </c>
      <c r="AI9407">
        <v>94.618739980440907</v>
      </c>
      <c r="AJ9407">
        <v>92.016718833729001</v>
      </c>
      <c r="AK9407">
        <v>13.9338802350207</v>
      </c>
      <c r="AL9407">
        <v>92.733785604526304</v>
      </c>
      <c r="AM9407">
        <v>92.017327380013498</v>
      </c>
      <c r="AN9407">
        <v>1.0000000436711001</v>
      </c>
    </row>
    <row r="9408" spans="1:40" x14ac:dyDescent="0.25">
      <c r="A9408" t="str">
        <f>"20190303154023128"</f>
        <v>20190303154023128</v>
      </c>
      <c r="B9408" t="str">
        <f>"1551598823117694"</f>
        <v>1551598823117694</v>
      </c>
      <c r="C9408" t="s">
        <v>40</v>
      </c>
      <c r="D9408">
        <v>4.8519439999999996</v>
      </c>
      <c r="E9408">
        <v>0.50017500000000004</v>
      </c>
      <c r="F9408" t="s">
        <v>42</v>
      </c>
      <c r="G9408">
        <v>-188.86150000000001</v>
      </c>
      <c r="H9408" s="1">
        <v>-2.969604E-6</v>
      </c>
      <c r="I9408">
        <v>-3.9157419999999998</v>
      </c>
      <c r="J9408">
        <v>-188.24539999999999</v>
      </c>
      <c r="K9408">
        <v>1.1220589999999999</v>
      </c>
      <c r="L9408">
        <v>-17.880739999999999</v>
      </c>
      <c r="M9408">
        <v>-9.8089030000000008E-3</v>
      </c>
      <c r="N9408">
        <v>-1.498234E-2</v>
      </c>
      <c r="O9408">
        <v>0.9998397</v>
      </c>
      <c r="P9408">
        <v>-4.3249709999999997E-2</v>
      </c>
      <c r="Q9408">
        <v>-6.1725719999999998E-2</v>
      </c>
      <c r="R9408">
        <v>0.99715569999999998</v>
      </c>
      <c r="S9408">
        <v>-0.1305084</v>
      </c>
      <c r="T9408">
        <v>-0.23661090000000001</v>
      </c>
      <c r="U9408">
        <v>2.9882200000000001</v>
      </c>
      <c r="V9408">
        <v>-3.3377030000000002E-2</v>
      </c>
      <c r="W9408">
        <v>-4.6836490000000001E-2</v>
      </c>
      <c r="X9408">
        <v>0.99834480000000003</v>
      </c>
      <c r="Y9408">
        <v>-3.3716910000000003E-2</v>
      </c>
      <c r="Z9408">
        <v>-6.3927399999999995E-2</v>
      </c>
      <c r="AA9408">
        <v>0.99738479999999996</v>
      </c>
      <c r="AB9408">
        <v>26</v>
      </c>
      <c r="AC9408">
        <v>-0.61610000000001697</v>
      </c>
      <c r="AD9408">
        <v>-1.122061969604</v>
      </c>
      <c r="AE9408">
        <v>13.964998</v>
      </c>
      <c r="AF9408">
        <v>-0.47600662661005499</v>
      </c>
      <c r="AG9408">
        <v>-1.122061969604</v>
      </c>
      <c r="AH9408">
        <v>13.880931137612199</v>
      </c>
      <c r="AI9408">
        <v>94.618739971321205</v>
      </c>
      <c r="AJ9408">
        <v>91.964024413381594</v>
      </c>
      <c r="AK9408">
        <v>13.9343408390687</v>
      </c>
      <c r="AL9408">
        <v>92.684515268751795</v>
      </c>
      <c r="AM9408">
        <v>91.914820342289204</v>
      </c>
      <c r="AN9408">
        <v>1.0000000113070899</v>
      </c>
    </row>
    <row r="9409" spans="1:40" x14ac:dyDescent="0.25">
      <c r="A9409" t="str">
        <f>"20190303154023151"</f>
        <v>20190303154023151</v>
      </c>
      <c r="B9409" t="str">
        <f>"1551598823147951"</f>
        <v>1551598823147951</v>
      </c>
      <c r="C9409" t="s">
        <v>40</v>
      </c>
      <c r="D9409">
        <v>4.847658</v>
      </c>
      <c r="E9409">
        <v>0.50004669999999996</v>
      </c>
      <c r="F9409" t="s">
        <v>42</v>
      </c>
      <c r="G9409">
        <v>-188.8614</v>
      </c>
      <c r="H9409" s="1">
        <v>-3.115613E-6</v>
      </c>
      <c r="I9409">
        <v>-3.5754440000000001</v>
      </c>
      <c r="J9409">
        <v>-188.2492</v>
      </c>
      <c r="K9409">
        <v>1.12208</v>
      </c>
      <c r="L9409">
        <v>-17.621729999999999</v>
      </c>
      <c r="M9409">
        <v>-1.09409E-2</v>
      </c>
      <c r="N9409">
        <v>-1.496484E-2</v>
      </c>
      <c r="O9409">
        <v>0.99982819999999994</v>
      </c>
      <c r="P9409">
        <v>-4.4184269999999998E-2</v>
      </c>
      <c r="Q9409">
        <v>-6.0047839999999998E-2</v>
      </c>
      <c r="R9409">
        <v>0.99721709999999997</v>
      </c>
      <c r="S9409">
        <v>-0.1286774</v>
      </c>
      <c r="T9409">
        <v>-0.2344058</v>
      </c>
      <c r="U9409">
        <v>2.988464</v>
      </c>
      <c r="V9409">
        <v>-3.3182959999999997E-2</v>
      </c>
      <c r="W9409">
        <v>-4.5175489999999999E-2</v>
      </c>
      <c r="X9409">
        <v>0.99842779999999998</v>
      </c>
      <c r="Y9409">
        <v>-3.1975209999999997E-2</v>
      </c>
      <c r="Z9409">
        <v>-6.3209429999999997E-2</v>
      </c>
      <c r="AA9409">
        <v>0.99748789999999998</v>
      </c>
      <c r="AB9409">
        <v>26</v>
      </c>
      <c r="AC9409">
        <v>-0.61220000000000097</v>
      </c>
      <c r="AD9409">
        <v>-1.122083115613</v>
      </c>
      <c r="AE9409">
        <v>14.046285999999901</v>
      </c>
      <c r="AF9409">
        <v>-0.45556542705276898</v>
      </c>
      <c r="AG9409">
        <v>-1.122083115613</v>
      </c>
      <c r="AH9409">
        <v>13.9632057365442</v>
      </c>
      <c r="AI9409">
        <v>94.591982692307795</v>
      </c>
      <c r="AJ9409">
        <v>91.868676944358498</v>
      </c>
      <c r="AK9409">
        <v>14.015624310665901</v>
      </c>
      <c r="AL9409">
        <v>92.589246116697296</v>
      </c>
      <c r="AM9409">
        <v>91.903536738998895</v>
      </c>
      <c r="AN9409">
        <v>1.00000000277197</v>
      </c>
    </row>
    <row r="9410" spans="1:40" x14ac:dyDescent="0.25">
      <c r="A9410" t="str">
        <f>"20190303154023173"</f>
        <v>20190303154023173</v>
      </c>
      <c r="B9410" t="str">
        <f>"1551598823167498"</f>
        <v>1551598823167498</v>
      </c>
      <c r="C9410" t="s">
        <v>40</v>
      </c>
      <c r="D9410">
        <v>4.8286350000000002</v>
      </c>
      <c r="E9410">
        <v>0.50917109999999999</v>
      </c>
      <c r="F9410" t="s">
        <v>42</v>
      </c>
      <c r="G9410">
        <v>-188.8871</v>
      </c>
      <c r="H9410" s="1">
        <v>-3.268133E-6</v>
      </c>
      <c r="I9410">
        <v>-3.2092839999999998</v>
      </c>
      <c r="J9410">
        <v>-188.2534</v>
      </c>
      <c r="K9410">
        <v>1.1220680000000001</v>
      </c>
      <c r="L9410">
        <v>-17.364560000000001</v>
      </c>
      <c r="M9410">
        <v>-1.2074349999999999E-2</v>
      </c>
      <c r="N9410">
        <v>-1.487248E-2</v>
      </c>
      <c r="O9410">
        <v>0.9998165</v>
      </c>
      <c r="P9410">
        <v>-4.4747200000000001E-2</v>
      </c>
      <c r="Q9410">
        <v>-5.7957630000000003E-2</v>
      </c>
      <c r="R9410">
        <v>0.99731570000000003</v>
      </c>
      <c r="S9410">
        <v>-0.1322632</v>
      </c>
      <c r="T9410">
        <v>-0.23266970000000001</v>
      </c>
      <c r="U9410">
        <v>2.9884949999999999</v>
      </c>
      <c r="V9410">
        <v>-3.261787E-2</v>
      </c>
      <c r="W9410">
        <v>-4.31746E-2</v>
      </c>
      <c r="X9410">
        <v>0.9985349</v>
      </c>
      <c r="Y9410">
        <v>-3.2037910000000003E-2</v>
      </c>
      <c r="Z9410">
        <v>-6.2721890000000002E-2</v>
      </c>
      <c r="AA9410">
        <v>0.99751670000000003</v>
      </c>
      <c r="AB9410">
        <v>26</v>
      </c>
      <c r="AC9410">
        <v>-0.63370000000000404</v>
      </c>
      <c r="AD9410">
        <v>-1.1220712681330001</v>
      </c>
      <c r="AE9410">
        <v>14.155276000000001</v>
      </c>
      <c r="AF9410">
        <v>-0.45983551893253599</v>
      </c>
      <c r="AG9410">
        <v>-1.1220712681330001</v>
      </c>
      <c r="AH9410">
        <v>14.073640876861701</v>
      </c>
      <c r="AI9410">
        <v>94.556047024588494</v>
      </c>
      <c r="AJ9410">
        <v>91.871389585875207</v>
      </c>
      <c r="AK9410">
        <v>14.125787063598001</v>
      </c>
      <c r="AL9410">
        <v>92.4744916310745</v>
      </c>
      <c r="AM9410">
        <v>91.870943107225102</v>
      </c>
      <c r="AN9410">
        <v>0.99999995902325201</v>
      </c>
    </row>
    <row r="9411" spans="1:40" x14ac:dyDescent="0.25">
      <c r="A9411" t="str">
        <f>"20190303154023195"</f>
        <v>20190303154023195</v>
      </c>
      <c r="B9411" t="str">
        <f>"1551598823187995"</f>
        <v>1551598823187995</v>
      </c>
      <c r="C9411" t="s">
        <v>40</v>
      </c>
      <c r="D9411">
        <v>4.8301780000000001</v>
      </c>
      <c r="E9411">
        <v>0.510293</v>
      </c>
      <c r="F9411" t="s">
        <v>42</v>
      </c>
      <c r="G9411">
        <v>-188.85140000000001</v>
      </c>
      <c r="H9411" s="1">
        <v>-1.2196290000000001E-6</v>
      </c>
      <c r="I9411">
        <v>12.00081</v>
      </c>
      <c r="J9411">
        <v>-188.2578</v>
      </c>
      <c r="K9411">
        <v>1.1220159999999999</v>
      </c>
      <c r="L9411">
        <v>-17.108699999999999</v>
      </c>
      <c r="M9411">
        <v>-1.3189070000000001E-2</v>
      </c>
      <c r="N9411">
        <v>-1.4710320000000001E-2</v>
      </c>
      <c r="O9411">
        <v>0.99980480000000005</v>
      </c>
      <c r="P9411">
        <v>-4.4874829999999997E-2</v>
      </c>
      <c r="Q9411">
        <v>-5.726966E-2</v>
      </c>
      <c r="R9411">
        <v>0.99734970000000001</v>
      </c>
      <c r="S9411">
        <v>-6.1065670000000002E-2</v>
      </c>
      <c r="T9411">
        <v>-0.11458169999999999</v>
      </c>
      <c r="U9411">
        <v>2.998688</v>
      </c>
      <c r="V9411">
        <v>-3.1633910000000001E-2</v>
      </c>
      <c r="W9411">
        <v>-4.2645179999999998E-2</v>
      </c>
      <c r="X9411">
        <v>0.99858930000000001</v>
      </c>
      <c r="Y9411">
        <v>-7.1619750000000001E-3</v>
      </c>
      <c r="Z9411">
        <v>-2.3471579999999999E-2</v>
      </c>
      <c r="AA9411">
        <v>0.99969889999999995</v>
      </c>
      <c r="AB9411">
        <v>26</v>
      </c>
      <c r="AC9411">
        <v>-0.59360000000000901</v>
      </c>
      <c r="AD9411">
        <v>-1.1220172196289999</v>
      </c>
      <c r="AE9411">
        <v>29.109509999999901</v>
      </c>
      <c r="AF9411">
        <v>-0.209268663147086</v>
      </c>
      <c r="AG9411">
        <v>-1.1220172196289999</v>
      </c>
      <c r="AH9411">
        <v>29.0716338110999</v>
      </c>
      <c r="AI9411">
        <v>92.210171511209197</v>
      </c>
      <c r="AJ9411">
        <v>90.412429661483898</v>
      </c>
      <c r="AK9411">
        <v>29.0940304609245</v>
      </c>
      <c r="AL9411">
        <v>92.444130148399495</v>
      </c>
      <c r="AM9411">
        <v>91.814443234300697</v>
      </c>
      <c r="AN9411">
        <v>0.99999995285680399</v>
      </c>
    </row>
    <row r="9412" spans="1:40" x14ac:dyDescent="0.25">
      <c r="A9412" t="str">
        <f>"20190303154023218"</f>
        <v>20190303154023218</v>
      </c>
      <c r="B9412" t="str">
        <f>"1551598823207514"</f>
        <v>1551598823207514</v>
      </c>
      <c r="C9412" t="s">
        <v>40</v>
      </c>
      <c r="D9412">
        <v>4.9156879999999896</v>
      </c>
      <c r="E9412">
        <v>0.50951080000000004</v>
      </c>
      <c r="F9412" t="s">
        <v>42</v>
      </c>
      <c r="G9412">
        <v>-188.7372</v>
      </c>
      <c r="H9412" s="1">
        <v>-5.0450459999999996E-7</v>
      </c>
      <c r="I9412">
        <v>10.1432</v>
      </c>
      <c r="J9412">
        <v>-188.26249999999999</v>
      </c>
      <c r="K9412">
        <v>1.121947</v>
      </c>
      <c r="L9412">
        <v>-16.844479999999901</v>
      </c>
      <c r="M9412">
        <v>-1.42921E-2</v>
      </c>
      <c r="N9412">
        <v>-1.4498230000000001E-2</v>
      </c>
      <c r="O9412">
        <v>0.99979280000000004</v>
      </c>
      <c r="P9412">
        <v>-4.5192120000000002E-2</v>
      </c>
      <c r="Q9412">
        <v>-5.7616859999999999E-2</v>
      </c>
      <c r="R9412">
        <v>0.99731539999999996</v>
      </c>
      <c r="S9412">
        <v>-5.2749629999999999E-2</v>
      </c>
      <c r="T9412">
        <v>-0.1234546</v>
      </c>
      <c r="U9412">
        <v>2.9985050000000002</v>
      </c>
      <c r="V9412">
        <v>-3.0852259999999999E-2</v>
      </c>
      <c r="W9412">
        <v>-4.3200919999999997E-2</v>
      </c>
      <c r="X9412">
        <v>0.99858990000000003</v>
      </c>
      <c r="Y9412">
        <v>-3.288497E-3</v>
      </c>
      <c r="Z9412">
        <v>-2.6639139999999999E-2</v>
      </c>
      <c r="AA9412">
        <v>0.99963970000000002</v>
      </c>
      <c r="AB9412">
        <v>26</v>
      </c>
      <c r="AC9412">
        <v>-0.474700000000012</v>
      </c>
      <c r="AD9412">
        <v>-1.1219475045045999</v>
      </c>
      <c r="AE9412">
        <v>26.987680000000001</v>
      </c>
      <c r="AF9412">
        <v>-8.8747027765685799E-2</v>
      </c>
      <c r="AG9412">
        <v>-1.1219475045045999</v>
      </c>
      <c r="AH9412">
        <v>26.945153792744801</v>
      </c>
      <c r="AI9412">
        <v>92.384302497321897</v>
      </c>
      <c r="AJ9412">
        <v>90.188709694809404</v>
      </c>
      <c r="AK9412">
        <v>26.968647632991701</v>
      </c>
      <c r="AL9412">
        <v>92.476001000261604</v>
      </c>
      <c r="AM9412">
        <v>91.769637518956003</v>
      </c>
      <c r="AN9412">
        <v>0.99999998490898201</v>
      </c>
    </row>
    <row r="9413" spans="1:40" x14ac:dyDescent="0.25">
      <c r="A9413" t="str">
        <f>"20190303154023239"</f>
        <v>20190303154023239</v>
      </c>
      <c r="B9413" t="str">
        <f>"1551598823227034"</f>
        <v>1551598823227034</v>
      </c>
      <c r="C9413" t="s">
        <v>40</v>
      </c>
      <c r="D9413">
        <v>4.8710440000000004</v>
      </c>
      <c r="E9413">
        <v>0.51004859999999996</v>
      </c>
      <c r="F9413" t="s">
        <v>42</v>
      </c>
      <c r="G9413">
        <v>-188.7491</v>
      </c>
      <c r="H9413" s="1">
        <v>-3.581939E-6</v>
      </c>
      <c r="I9413">
        <v>7.4651630000000004</v>
      </c>
      <c r="J9413">
        <v>-188.26740000000001</v>
      </c>
      <c r="K9413">
        <v>1.121858</v>
      </c>
      <c r="L9413">
        <v>-16.59036</v>
      </c>
      <c r="M9413">
        <v>-1.527529E-2</v>
      </c>
      <c r="N9413">
        <v>-1.4277730000000001E-2</v>
      </c>
      <c r="O9413">
        <v>0.99978140000000004</v>
      </c>
      <c r="P9413">
        <v>-4.5160939999999997E-2</v>
      </c>
      <c r="Q9413">
        <v>-5.7781680000000002E-2</v>
      </c>
      <c r="R9413">
        <v>0.99730719999999995</v>
      </c>
      <c r="S9413">
        <v>-5.9997559999999998E-2</v>
      </c>
      <c r="T9413">
        <v>-0.1383363</v>
      </c>
      <c r="U9413">
        <v>2.9973749999999999</v>
      </c>
      <c r="V9413">
        <v>-2.9844659999999999E-2</v>
      </c>
      <c r="W9413">
        <v>-4.3580130000000002E-2</v>
      </c>
      <c r="X9413">
        <v>0.99860409999999999</v>
      </c>
      <c r="Y9413">
        <v>-4.7243830000000004E-3</v>
      </c>
      <c r="Z9413">
        <v>-3.1825399999999997E-2</v>
      </c>
      <c r="AA9413">
        <v>0.99948230000000005</v>
      </c>
      <c r="AB9413">
        <v>26</v>
      </c>
      <c r="AC9413">
        <v>-0.48169999999998903</v>
      </c>
      <c r="AD9413">
        <v>-1.1218615819390001</v>
      </c>
      <c r="AE9413">
        <v>24.055523000000001</v>
      </c>
      <c r="AF9413">
        <v>-0.113903608902337</v>
      </c>
      <c r="AG9413">
        <v>-1.1218615819390001</v>
      </c>
      <c r="AH9413">
        <v>24.007879661011099</v>
      </c>
      <c r="AI9413">
        <v>92.675391936736304</v>
      </c>
      <c r="AJ9413">
        <v>90.271833547439996</v>
      </c>
      <c r="AK9413">
        <v>24.0343469488718</v>
      </c>
      <c r="AL9413">
        <v>92.4977484777542</v>
      </c>
      <c r="AM9413">
        <v>91.711853794905394</v>
      </c>
      <c r="AN9413">
        <v>1.0000000399990701</v>
      </c>
    </row>
    <row r="9414" spans="1:40" x14ac:dyDescent="0.25">
      <c r="A9414" t="str">
        <f>"20190303154023260"</f>
        <v>20190303154023260</v>
      </c>
      <c r="B9414" t="str">
        <f>"1551598823257290"</f>
        <v>1551598823257290</v>
      </c>
      <c r="C9414" t="s">
        <v>40</v>
      </c>
      <c r="D9414">
        <v>4.9303330000000001</v>
      </c>
      <c r="E9414">
        <v>0.50994030000000001</v>
      </c>
      <c r="F9414" t="s">
        <v>42</v>
      </c>
      <c r="G9414">
        <v>-188.7174</v>
      </c>
      <c r="H9414" s="1">
        <v>-3.722217E-6</v>
      </c>
      <c r="I9414">
        <v>7.7790359999999996</v>
      </c>
      <c r="J9414">
        <v>-188.27199999999999</v>
      </c>
      <c r="K9414">
        <v>1.1217469999999901</v>
      </c>
      <c r="L9414">
        <v>-16.34937</v>
      </c>
      <c r="M9414">
        <v>-1.6101919999999999E-2</v>
      </c>
      <c r="N9414">
        <v>-1.4068829999999999E-2</v>
      </c>
      <c r="O9414">
        <v>0.99977139999999998</v>
      </c>
      <c r="P9414">
        <v>-4.5106569999999999E-2</v>
      </c>
      <c r="Q9414">
        <v>-5.755851E-2</v>
      </c>
      <c r="R9414">
        <v>0.99732259999999995</v>
      </c>
      <c r="S9414">
        <v>-5.5358890000000001E-2</v>
      </c>
      <c r="T9414">
        <v>-0.13799610000000001</v>
      </c>
      <c r="U9414">
        <v>2.9975890000000001</v>
      </c>
      <c r="V9414">
        <v>-2.8972810000000002E-2</v>
      </c>
      <c r="W9414">
        <v>-4.3558029999999998E-2</v>
      </c>
      <c r="X9414">
        <v>0.99863069999999998</v>
      </c>
      <c r="Y9414">
        <v>-2.3510810000000001E-3</v>
      </c>
      <c r="Z9414">
        <v>-3.191766E-2</v>
      </c>
      <c r="AA9414">
        <v>0.99948780000000004</v>
      </c>
      <c r="AB9414">
        <v>26</v>
      </c>
      <c r="AC9414">
        <v>-0.44539999999997798</v>
      </c>
      <c r="AD9414">
        <v>-1.12175072221699</v>
      </c>
      <c r="AE9414">
        <v>24.128405999999998</v>
      </c>
      <c r="AF9414">
        <v>-5.6667697473509998E-2</v>
      </c>
      <c r="AG9414">
        <v>-1.12175072221699</v>
      </c>
      <c r="AH9414">
        <v>24.080420047998601</v>
      </c>
      <c r="AI9414">
        <v>92.667103583816498</v>
      </c>
      <c r="AJ9414">
        <v>90.134832112563302</v>
      </c>
      <c r="AK9414">
        <v>24.1066000422868</v>
      </c>
      <c r="AL9414">
        <v>92.496481136609503</v>
      </c>
      <c r="AM9414">
        <v>91.661829750890405</v>
      </c>
      <c r="AN9414">
        <v>1.0000000003396301</v>
      </c>
    </row>
    <row r="9415" spans="1:40" x14ac:dyDescent="0.25">
      <c r="A9415" t="str">
        <f>"20190303154023283"</f>
        <v>20190303154023283</v>
      </c>
      <c r="B9415" t="str">
        <f>"1551598823277787"</f>
        <v>1551598823277787</v>
      </c>
      <c r="C9415" t="s">
        <v>40</v>
      </c>
      <c r="D9415">
        <v>4.9199900000000003</v>
      </c>
      <c r="E9415">
        <v>0.50979699999999994</v>
      </c>
      <c r="F9415" t="s">
        <v>42</v>
      </c>
      <c r="G9415">
        <v>-188.69739999999999</v>
      </c>
      <c r="H9415" s="1">
        <v>-3.1166439999999999E-6</v>
      </c>
      <c r="I9415">
        <v>6.3591569999999997</v>
      </c>
      <c r="J9415">
        <v>-188.2773</v>
      </c>
      <c r="K9415">
        <v>1.121597</v>
      </c>
      <c r="L9415">
        <v>-16.08447</v>
      </c>
      <c r="M9415">
        <v>-1.6861649999999999E-2</v>
      </c>
      <c r="N9415">
        <v>-1.3848930000000001E-2</v>
      </c>
      <c r="O9415">
        <v>0.99976189999999998</v>
      </c>
      <c r="P9415">
        <v>-4.5919389999999997E-2</v>
      </c>
      <c r="Q9415">
        <v>-5.7801739999999997E-2</v>
      </c>
      <c r="R9415">
        <v>0.99727149999999998</v>
      </c>
      <c r="S9415">
        <v>-5.6137079999999999E-2</v>
      </c>
      <c r="T9415">
        <v>-0.14804400000000001</v>
      </c>
      <c r="U9415">
        <v>2.9969790000000001</v>
      </c>
      <c r="V9415">
        <v>-2.9040320000000001E-2</v>
      </c>
      <c r="W9415">
        <v>-4.4012910000000002E-2</v>
      </c>
      <c r="X9415">
        <v>0.99860879999999996</v>
      </c>
      <c r="Y9415">
        <v>-1.8523509999999999E-3</v>
      </c>
      <c r="Z9415">
        <v>-3.5488099999999898E-2</v>
      </c>
      <c r="AA9415">
        <v>0.99936840000000005</v>
      </c>
      <c r="AB9415">
        <v>26</v>
      </c>
      <c r="AC9415">
        <v>-0.42009999999998998</v>
      </c>
      <c r="AD9415">
        <v>-1.1216001166439999</v>
      </c>
      <c r="AE9415">
        <v>22.443626999999999</v>
      </c>
      <c r="AF9415">
        <v>-4.1463862037885997E-2</v>
      </c>
      <c r="AG9415">
        <v>-1.1216001166439999</v>
      </c>
      <c r="AH9415">
        <v>22.3916184005082</v>
      </c>
      <c r="AI9415">
        <v>92.867554139979404</v>
      </c>
      <c r="AJ9415">
        <v>90.106097805846801</v>
      </c>
      <c r="AK9415">
        <v>22.419729718876798</v>
      </c>
      <c r="AL9415">
        <v>92.522568846152097</v>
      </c>
      <c r="AM9415">
        <v>91.665736336653197</v>
      </c>
      <c r="AN9415">
        <v>1.0000000059348999</v>
      </c>
    </row>
    <row r="9416" spans="1:40" x14ac:dyDescent="0.25">
      <c r="A9416" t="str">
        <f>"20190303154023306"</f>
        <v>20190303154023306</v>
      </c>
      <c r="B9416" t="str">
        <f>"1551598823297307"</f>
        <v>1551598823297307</v>
      </c>
      <c r="C9416" t="s">
        <v>40</v>
      </c>
      <c r="D9416">
        <v>4.9669660000000002</v>
      </c>
      <c r="E9416">
        <v>0.50958559999999997</v>
      </c>
      <c r="F9416" t="s">
        <v>42</v>
      </c>
      <c r="G9416">
        <v>-188.74100000000001</v>
      </c>
      <c r="H9416" s="1">
        <v>-3.4392160000000001E-6</v>
      </c>
      <c r="I9416">
        <v>7.1291169999999999</v>
      </c>
      <c r="J9416">
        <v>-188.28229999999999</v>
      </c>
      <c r="K9416">
        <v>1.1214390000000001</v>
      </c>
      <c r="L9416">
        <v>-15.826930000000001</v>
      </c>
      <c r="M9416">
        <v>-1.7423060000000001E-2</v>
      </c>
      <c r="N9416">
        <v>-1.365062E-2</v>
      </c>
      <c r="O9416">
        <v>0.99975499999999995</v>
      </c>
      <c r="P9416">
        <v>-4.60005E-2</v>
      </c>
      <c r="Q9416">
        <v>-5.8078459999999998E-2</v>
      </c>
      <c r="R9416">
        <v>0.99725160000000002</v>
      </c>
      <c r="S9416">
        <v>-5.9875490000000003E-2</v>
      </c>
      <c r="T9416">
        <v>-0.14480660000000001</v>
      </c>
      <c r="U9416">
        <v>2.9970400000000001</v>
      </c>
      <c r="V9416">
        <v>-2.857546E-2</v>
      </c>
      <c r="W9416">
        <v>-4.4477639999999999E-2</v>
      </c>
      <c r="X9416">
        <v>0.99860159999999998</v>
      </c>
      <c r="Y9416">
        <v>-2.5369429999999998E-3</v>
      </c>
      <c r="Z9416">
        <v>-3.4607550000000001E-2</v>
      </c>
      <c r="AA9416">
        <v>0.9993978</v>
      </c>
      <c r="AB9416">
        <v>26</v>
      </c>
      <c r="AC9416">
        <v>-0.458699999999993</v>
      </c>
      <c r="AD9416">
        <v>-1.1214424392159901</v>
      </c>
      <c r="AE9416">
        <v>22.956047000000002</v>
      </c>
      <c r="AF9416">
        <v>-5.8488970330569899E-2</v>
      </c>
      <c r="AG9416">
        <v>-1.1214424392159901</v>
      </c>
      <c r="AH9416">
        <v>22.9059115549071</v>
      </c>
      <c r="AI9416">
        <v>92.802876695240201</v>
      </c>
      <c r="AJ9416">
        <v>90.146301266234403</v>
      </c>
      <c r="AK9416">
        <v>22.933421861234599</v>
      </c>
      <c r="AL9416">
        <v>92.5492220650505</v>
      </c>
      <c r="AM9416">
        <v>91.639098704905294</v>
      </c>
      <c r="AN9416">
        <v>0.99999998644836996</v>
      </c>
    </row>
    <row r="9417" spans="1:40" x14ac:dyDescent="0.25">
      <c r="A9417" t="str">
        <f>"20190303154023328"</f>
        <v>20190303154023328</v>
      </c>
      <c r="B9417" t="str">
        <f>"1551598823317805"</f>
        <v>1551598823317805</v>
      </c>
      <c r="C9417" t="s">
        <v>40</v>
      </c>
      <c r="D9417">
        <v>4.9434969999999998</v>
      </c>
      <c r="E9417">
        <v>0.50921530000000004</v>
      </c>
      <c r="F9417" t="s">
        <v>42</v>
      </c>
      <c r="G9417">
        <v>-188.76650000000001</v>
      </c>
      <c r="H9417" s="1">
        <v>-3.667422E-6</v>
      </c>
      <c r="I9417">
        <v>7.6716009999999999</v>
      </c>
      <c r="J9417">
        <v>-188.28739999999999</v>
      </c>
      <c r="K9417">
        <v>1.1212740000000001</v>
      </c>
      <c r="L9417">
        <v>-15.56241</v>
      </c>
      <c r="M9417">
        <v>-1.780174E-2</v>
      </c>
      <c r="N9417">
        <v>-1.346572E-2</v>
      </c>
      <c r="O9417">
        <v>0.9997509</v>
      </c>
      <c r="P9417">
        <v>-4.578745E-2</v>
      </c>
      <c r="Q9417">
        <v>-5.772658E-2</v>
      </c>
      <c r="R9417">
        <v>0.99728190000000005</v>
      </c>
      <c r="S9417">
        <v>-6.1752319999999999E-2</v>
      </c>
      <c r="T9417">
        <v>-0.14303339999999901</v>
      </c>
      <c r="U9417">
        <v>2.9971009999999998</v>
      </c>
      <c r="V9417">
        <v>-2.800047E-2</v>
      </c>
      <c r="W9417">
        <v>-4.4299230000000002E-2</v>
      </c>
      <c r="X9417">
        <v>0.99862580000000001</v>
      </c>
      <c r="Y9417">
        <v>-2.7835970000000001E-3</v>
      </c>
      <c r="Z9417">
        <v>-3.4200939999999999E-2</v>
      </c>
      <c r="AA9417">
        <v>0.9994111</v>
      </c>
      <c r="AB9417">
        <v>26</v>
      </c>
      <c r="AC9417">
        <v>-0.47910000000001601</v>
      </c>
      <c r="AD9417">
        <v>-1.121277667422</v>
      </c>
      <c r="AE9417">
        <v>23.234010999999999</v>
      </c>
      <c r="AF9417">
        <v>-6.52289016474044E-2</v>
      </c>
      <c r="AG9417">
        <v>-1.121277667422</v>
      </c>
      <c r="AH9417">
        <v>23.184882481791998</v>
      </c>
      <c r="AI9417">
        <v>92.768795867940497</v>
      </c>
      <c r="AJ9417">
        <v>90.161196888052402</v>
      </c>
      <c r="AK9417">
        <v>23.2120721632425</v>
      </c>
      <c r="AL9417">
        <v>92.538989885662701</v>
      </c>
      <c r="AM9417">
        <v>91.606095622055093</v>
      </c>
      <c r="AN9417">
        <v>0.99999996826222604</v>
      </c>
    </row>
    <row r="9418" spans="1:40" x14ac:dyDescent="0.25">
      <c r="A9418" t="str">
        <f>"20190303154023350"</f>
        <v>20190303154023350</v>
      </c>
      <c r="B9418" t="str">
        <f>"1551598823337322"</f>
        <v>1551598823337322</v>
      </c>
      <c r="C9418" t="s">
        <v>40</v>
      </c>
      <c r="D9418">
        <v>4.9779330000000002</v>
      </c>
      <c r="E9418">
        <v>0.50899680000000003</v>
      </c>
      <c r="F9418" t="s">
        <v>42</v>
      </c>
      <c r="G9418">
        <v>-188.80019999999999</v>
      </c>
      <c r="H9418" s="1">
        <v>-3.9958150000000001E-6</v>
      </c>
      <c r="I9418">
        <v>8.4510240000000003</v>
      </c>
      <c r="J9418">
        <v>-188.2921</v>
      </c>
      <c r="K9418">
        <v>1.121127</v>
      </c>
      <c r="L9418">
        <v>-15.31268</v>
      </c>
      <c r="M9418">
        <v>-1.7942860000000001E-2</v>
      </c>
      <c r="N9418">
        <v>-1.331019E-2</v>
      </c>
      <c r="O9418">
        <v>0.99975040000000004</v>
      </c>
      <c r="P9418">
        <v>-4.5729659999999998E-2</v>
      </c>
      <c r="Q9418">
        <v>-5.7744759999999999E-2</v>
      </c>
      <c r="R9418">
        <v>0.99728349999999999</v>
      </c>
      <c r="S9418">
        <v>-6.3995360000000001E-2</v>
      </c>
      <c r="T9418">
        <v>-0.1399474</v>
      </c>
      <c r="U9418">
        <v>2.997131</v>
      </c>
      <c r="V9418">
        <v>-2.7817410000000001E-2</v>
      </c>
      <c r="W9418">
        <v>-4.4462660000000001E-2</v>
      </c>
      <c r="X9418">
        <v>0.9986237</v>
      </c>
      <c r="Y9418">
        <v>-3.3903280000000002E-3</v>
      </c>
      <c r="Z9418">
        <v>-3.3328980000000001E-2</v>
      </c>
      <c r="AA9418">
        <v>0.99943870000000001</v>
      </c>
      <c r="AB9418">
        <v>26</v>
      </c>
      <c r="AC9418">
        <v>-0.50809999999998401</v>
      </c>
      <c r="AD9418">
        <v>-1.121130995815</v>
      </c>
      <c r="AE9418">
        <v>23.763704000000001</v>
      </c>
      <c r="AF9418">
        <v>-8.1410473347673804E-2</v>
      </c>
      <c r="AG9418">
        <v>-1.121130995815</v>
      </c>
      <c r="AH9418">
        <v>23.716232008827198</v>
      </c>
      <c r="AI9418">
        <v>92.706497013439702</v>
      </c>
      <c r="AJ9418">
        <v>90.1966778790284</v>
      </c>
      <c r="AK9418">
        <v>23.742856253439001</v>
      </c>
      <c r="AL9418">
        <v>92.548362850707704</v>
      </c>
      <c r="AM9418">
        <v>91.595604174119103</v>
      </c>
      <c r="AN9418">
        <v>1.0000000153175299</v>
      </c>
    </row>
    <row r="9419" spans="1:40" x14ac:dyDescent="0.25">
      <c r="A9419" t="str">
        <f>"20190303154023372"</f>
        <v>20190303154023372</v>
      </c>
      <c r="B9419" t="str">
        <f>"1551598823357818"</f>
        <v>1551598823357818</v>
      </c>
      <c r="C9419" t="s">
        <v>40</v>
      </c>
      <c r="D9419">
        <v>4.9744219999999997</v>
      </c>
      <c r="E9419">
        <v>0.50905920000000004</v>
      </c>
      <c r="F9419" t="s">
        <v>42</v>
      </c>
      <c r="G9419">
        <v>-188.82730000000001</v>
      </c>
      <c r="H9419" s="1">
        <v>-4.2692569999999998E-6</v>
      </c>
      <c r="I9419">
        <v>9.0996410000000001</v>
      </c>
      <c r="J9419">
        <v>-188.29669999999999</v>
      </c>
      <c r="K9419">
        <v>1.1209659999999999</v>
      </c>
      <c r="L9419">
        <v>-15.056089999999999</v>
      </c>
      <c r="M9419">
        <v>-1.784181E-2</v>
      </c>
      <c r="N9419">
        <v>-1.3169490000000001E-2</v>
      </c>
      <c r="O9419">
        <v>0.99975409999999998</v>
      </c>
      <c r="P9419">
        <v>-4.6057000000000001E-2</v>
      </c>
      <c r="Q9419">
        <v>-5.8006589999999997E-2</v>
      </c>
      <c r="R9419">
        <v>0.99725319999999995</v>
      </c>
      <c r="S9419">
        <v>-6.5704349999999995E-2</v>
      </c>
      <c r="T9419">
        <v>-0.1376455</v>
      </c>
      <c r="U9419">
        <v>2.9971920000000001</v>
      </c>
      <c r="V9419">
        <v>-2.8263569999999998E-2</v>
      </c>
      <c r="W9419">
        <v>-4.485463E-2</v>
      </c>
      <c r="X9419">
        <v>0.99859359999999997</v>
      </c>
      <c r="Y9419">
        <v>-4.0608320000000003E-3</v>
      </c>
      <c r="Z9419">
        <v>-3.2702799999999997E-2</v>
      </c>
      <c r="AA9419">
        <v>0.99945689999999998</v>
      </c>
      <c r="AB9419">
        <v>26</v>
      </c>
      <c r="AC9419">
        <v>-0.53060000000002105</v>
      </c>
      <c r="AD9419">
        <v>-1.1209702692569901</v>
      </c>
      <c r="AE9419">
        <v>24.155730999999999</v>
      </c>
      <c r="AF9419">
        <v>-9.9282486533032802E-2</v>
      </c>
      <c r="AG9419">
        <v>-1.1209702692569901</v>
      </c>
      <c r="AH9419">
        <v>24.1094579328627</v>
      </c>
      <c r="AI9419">
        <v>92.662029999563799</v>
      </c>
      <c r="AJ9419">
        <v>90.235942065532001</v>
      </c>
      <c r="AK9419">
        <v>24.135707844875199</v>
      </c>
      <c r="AL9419">
        <v>92.570843615957102</v>
      </c>
      <c r="AM9419">
        <v>91.621231163099196</v>
      </c>
      <c r="AN9419">
        <v>0.99999997259127005</v>
      </c>
    </row>
    <row r="9420" spans="1:40" x14ac:dyDescent="0.25">
      <c r="A9420" t="str">
        <f>"20190303154023396"</f>
        <v>20190303154023396</v>
      </c>
      <c r="B9420" t="str">
        <f>"1551598823387978"</f>
        <v>1551598823387978</v>
      </c>
      <c r="C9420" t="s">
        <v>40</v>
      </c>
      <c r="D9420">
        <v>4.9558790000000004</v>
      </c>
      <c r="E9420">
        <v>0.50880639999999999</v>
      </c>
      <c r="F9420" t="s">
        <v>42</v>
      </c>
      <c r="G9420">
        <v>-188.84440000000001</v>
      </c>
      <c r="H9420" s="1">
        <v>-3.4952579999999999E-7</v>
      </c>
      <c r="I9420">
        <v>9.7716259999999995</v>
      </c>
      <c r="J9420">
        <v>-188.3015</v>
      </c>
      <c r="K9420">
        <v>1.1208089999999999</v>
      </c>
      <c r="L9420">
        <v>-14.776759999999999</v>
      </c>
      <c r="M9420">
        <v>-1.7505219999999998E-2</v>
      </c>
      <c r="N9420">
        <v>-1.303779E-2</v>
      </c>
      <c r="O9420">
        <v>0.99976180000000003</v>
      </c>
      <c r="P9420">
        <v>-4.6029809999999997E-2</v>
      </c>
      <c r="Q9420">
        <v>-5.901911E-2</v>
      </c>
      <c r="R9420">
        <v>0.9971951</v>
      </c>
      <c r="S9420">
        <v>-6.6116330000000001E-2</v>
      </c>
      <c r="T9420">
        <v>-0.13532949999999999</v>
      </c>
      <c r="U9420">
        <v>2.9973450000000001</v>
      </c>
      <c r="V9420">
        <v>-2.8591120000000001E-2</v>
      </c>
      <c r="W9420">
        <v>-4.598841E-2</v>
      </c>
      <c r="X9420">
        <v>0.99853270000000005</v>
      </c>
      <c r="Y9420">
        <v>-4.5340420000000003E-3</v>
      </c>
      <c r="Z9420">
        <v>-3.2061930000000002E-2</v>
      </c>
      <c r="AA9420">
        <v>0.99947560000000002</v>
      </c>
      <c r="AB9420">
        <v>26</v>
      </c>
      <c r="AC9420">
        <v>-0.54290000000000205</v>
      </c>
      <c r="AD9420">
        <v>-1.1208093495258</v>
      </c>
      <c r="AE9420">
        <v>24.548385999999901</v>
      </c>
      <c r="AF9420">
        <v>-0.112820321210938</v>
      </c>
      <c r="AG9420">
        <v>-1.1208093495258</v>
      </c>
      <c r="AH9420">
        <v>24.503074713435801</v>
      </c>
      <c r="AI9420">
        <v>92.618946219152804</v>
      </c>
      <c r="AJ9420">
        <v>90.263806997500694</v>
      </c>
      <c r="AK9420">
        <v>24.528954572812101</v>
      </c>
      <c r="AL9420">
        <v>92.635871553008897</v>
      </c>
      <c r="AM9420">
        <v>91.6401095777412</v>
      </c>
      <c r="AN9420">
        <v>0.999999969483235</v>
      </c>
    </row>
    <row r="9421" spans="1:40" x14ac:dyDescent="0.25">
      <c r="A9421" t="str">
        <f>"20190303154023419"</f>
        <v>20190303154023419</v>
      </c>
      <c r="B9421" t="str">
        <f>"1551598823407497"</f>
        <v>1551598823407497</v>
      </c>
      <c r="C9421" t="s">
        <v>40</v>
      </c>
      <c r="D9421">
        <v>4.9294769999999897</v>
      </c>
      <c r="E9421">
        <v>0.50865150000000003</v>
      </c>
      <c r="F9421" t="s">
        <v>42</v>
      </c>
      <c r="G9421">
        <v>-188.85589999999999</v>
      </c>
      <c r="H9421" s="1">
        <v>-4.4701690000000002E-6</v>
      </c>
      <c r="I9421">
        <v>9.5797860000000004</v>
      </c>
      <c r="J9421">
        <v>-188.3056</v>
      </c>
      <c r="K9421">
        <v>1.1206579999999999</v>
      </c>
      <c r="L9421">
        <v>-14.50967</v>
      </c>
      <c r="M9421">
        <v>-1.6965230000000001E-2</v>
      </c>
      <c r="N9421">
        <v>-1.293737E-2</v>
      </c>
      <c r="O9421">
        <v>0.99977240000000001</v>
      </c>
      <c r="P9421">
        <v>-4.526231E-2</v>
      </c>
      <c r="Q9421">
        <v>-5.9173280000000002E-2</v>
      </c>
      <c r="R9421">
        <v>0.99722109999999997</v>
      </c>
      <c r="S9421">
        <v>-6.8222050000000006E-2</v>
      </c>
      <c r="T9421">
        <v>-0.13791870000000001</v>
      </c>
      <c r="U9421">
        <v>2.997131</v>
      </c>
      <c r="V9421">
        <v>-2.8378440000000001E-2</v>
      </c>
      <c r="W9421">
        <v>-4.6232929999999998E-2</v>
      </c>
      <c r="X9421">
        <v>0.99852750000000001</v>
      </c>
      <c r="Y9421">
        <v>-5.7763989999999998E-3</v>
      </c>
      <c r="Z9421">
        <v>-3.3026979999999997E-2</v>
      </c>
      <c r="AA9421">
        <v>0.99943769999999998</v>
      </c>
      <c r="AB9421">
        <v>26</v>
      </c>
      <c r="AC9421">
        <v>-0.55029999999999202</v>
      </c>
      <c r="AD9421">
        <v>-1.120662470169</v>
      </c>
      <c r="AE9421">
        <v>24.089455999999998</v>
      </c>
      <c r="AF9421">
        <v>-0.141198009289112</v>
      </c>
      <c r="AG9421">
        <v>-1.120662470169</v>
      </c>
      <c r="AH9421">
        <v>24.0433180129682</v>
      </c>
      <c r="AI9421">
        <v>92.668587055542503</v>
      </c>
      <c r="AJ9421">
        <v>90.336474233805404</v>
      </c>
      <c r="AK9421">
        <v>24.069835112077399</v>
      </c>
      <c r="AL9421">
        <v>92.6498963703025</v>
      </c>
      <c r="AM9421">
        <v>91.627924400997003</v>
      </c>
      <c r="AN9421">
        <v>0.99999999396473405</v>
      </c>
    </row>
    <row r="9422" spans="1:40" x14ac:dyDescent="0.25">
      <c r="A9422" t="str">
        <f>"20190303154023439"</f>
        <v>20190303154023439</v>
      </c>
      <c r="B9422" t="str">
        <f>"1551598823427017"</f>
        <v>1551598823427017</v>
      </c>
      <c r="C9422" t="s">
        <v>40</v>
      </c>
      <c r="D9422">
        <v>4.9565140000000003</v>
      </c>
      <c r="E9422">
        <v>0.50862659999999904</v>
      </c>
      <c r="F9422" t="s">
        <v>42</v>
      </c>
      <c r="G9422">
        <v>-188.84950000000001</v>
      </c>
      <c r="H9422" s="1">
        <v>-3.359066E-7</v>
      </c>
      <c r="I9422">
        <v>9.7355970000000003</v>
      </c>
      <c r="J9422">
        <v>-188.3091</v>
      </c>
      <c r="K9422">
        <v>1.120517</v>
      </c>
      <c r="L9422">
        <v>-14.26346</v>
      </c>
      <c r="M9422">
        <v>-1.625795E-2</v>
      </c>
      <c r="N9422">
        <v>-1.286671E-2</v>
      </c>
      <c r="O9422">
        <v>0.99978509999999998</v>
      </c>
      <c r="P9422">
        <v>-4.424906E-2</v>
      </c>
      <c r="Q9422">
        <v>-5.9553389999999998E-2</v>
      </c>
      <c r="R9422">
        <v>0.99724389999999996</v>
      </c>
      <c r="S9422">
        <v>-6.7230219999999993E-2</v>
      </c>
      <c r="T9422">
        <v>-0.13853119999999999</v>
      </c>
      <c r="U9422">
        <v>2.9971009999999998</v>
      </c>
      <c r="V9422">
        <v>-2.8087419999999998E-2</v>
      </c>
      <c r="W9422">
        <v>-4.667437E-2</v>
      </c>
      <c r="X9422">
        <v>0.99851520000000005</v>
      </c>
      <c r="Y9422">
        <v>-6.1531609999999999E-3</v>
      </c>
      <c r="Z9422">
        <v>-3.3302600000000002E-2</v>
      </c>
      <c r="AA9422">
        <v>0.99942640000000005</v>
      </c>
      <c r="AB9422">
        <v>26</v>
      </c>
      <c r="AC9422">
        <v>-0.54040000000000499</v>
      </c>
      <c r="AD9422">
        <v>-1.1205173359066001</v>
      </c>
      <c r="AE9422">
        <v>23.999057000000001</v>
      </c>
      <c r="AF9422">
        <v>-0.149794436656803</v>
      </c>
      <c r="AG9422">
        <v>-1.1205173359066001</v>
      </c>
      <c r="AH9422">
        <v>23.952482037313601</v>
      </c>
      <c r="AI9422">
        <v>92.678339948193397</v>
      </c>
      <c r="AJ9422">
        <v>90.358312642306998</v>
      </c>
      <c r="AK9422">
        <v>23.979144964346698</v>
      </c>
      <c r="AL9422">
        <v>92.675216331522407</v>
      </c>
      <c r="AM9422">
        <v>91.611258770827604</v>
      </c>
      <c r="AN9422">
        <v>1.00000000230409</v>
      </c>
    </row>
    <row r="9423" spans="1:40" x14ac:dyDescent="0.25">
      <c r="A9423" t="str">
        <f>"20190303154023462"</f>
        <v>20190303154023462</v>
      </c>
      <c r="B9423" t="str">
        <f>"1551598823457274"</f>
        <v>1551598823457274</v>
      </c>
      <c r="C9423" t="s">
        <v>40</v>
      </c>
      <c r="D9423">
        <v>5.010446</v>
      </c>
      <c r="E9423">
        <v>0.508488099999999</v>
      </c>
      <c r="F9423" t="s">
        <v>42</v>
      </c>
      <c r="G9423">
        <v>-188.8297</v>
      </c>
      <c r="H9423" s="1">
        <v>-4.161869E-7</v>
      </c>
      <c r="I9423">
        <v>9.9560460000000006</v>
      </c>
      <c r="J9423">
        <v>-188.31229999999999</v>
      </c>
      <c r="K9423">
        <v>1.120355</v>
      </c>
      <c r="L9423">
        <v>-14.009460000000001</v>
      </c>
      <c r="M9423">
        <v>-1.530625E-2</v>
      </c>
      <c r="N9423">
        <v>-1.2815379999999999E-2</v>
      </c>
      <c r="O9423">
        <v>0.99980069999999999</v>
      </c>
      <c r="P9423">
        <v>-4.2898730000000003E-2</v>
      </c>
      <c r="Q9423">
        <v>-5.9159009999999998E-2</v>
      </c>
      <c r="R9423">
        <v>0.99732639999999995</v>
      </c>
      <c r="S9423">
        <v>-6.4422610000000005E-2</v>
      </c>
      <c r="T9423">
        <v>-0.13866400000000001</v>
      </c>
      <c r="U9423">
        <v>2.9971619999999999</v>
      </c>
      <c r="V9423">
        <v>-2.7703640000000002E-2</v>
      </c>
      <c r="W9423">
        <v>-4.632058E-2</v>
      </c>
      <c r="X9423">
        <v>0.99854240000000005</v>
      </c>
      <c r="Y9423">
        <v>-6.1687519999999996E-3</v>
      </c>
      <c r="Z9423">
        <v>-3.3398410000000003E-2</v>
      </c>
      <c r="AA9423">
        <v>0.99942310000000001</v>
      </c>
      <c r="AB9423">
        <v>26</v>
      </c>
      <c r="AC9423">
        <v>-0.51740000000000896</v>
      </c>
      <c r="AD9423">
        <v>-1.1203554161868901</v>
      </c>
      <c r="AE9423">
        <v>23.965506000000001</v>
      </c>
      <c r="AF9423">
        <v>-0.15015920671430599</v>
      </c>
      <c r="AG9423">
        <v>-1.1203554161868901</v>
      </c>
      <c r="AH9423">
        <v>23.918370388152098</v>
      </c>
      <c r="AI9423">
        <v>92.681766717959206</v>
      </c>
      <c r="AJ9423">
        <v>90.359697405497101</v>
      </c>
      <c r="AK9423">
        <v>23.9450660068159</v>
      </c>
      <c r="AL9423">
        <v>92.654923698931498</v>
      </c>
      <c r="AM9423">
        <v>91.589211004436095</v>
      </c>
      <c r="AN9423">
        <v>1.00000000619927</v>
      </c>
    </row>
    <row r="9424" spans="1:40" x14ac:dyDescent="0.25">
      <c r="A9424" t="str">
        <f>"20190303154023484"</f>
        <v>20190303154023484</v>
      </c>
      <c r="B9424" t="str">
        <f>"1551598823477769"</f>
        <v>1551598823477769</v>
      </c>
      <c r="C9424" t="s">
        <v>40</v>
      </c>
      <c r="D9424">
        <v>4.9272589999999896</v>
      </c>
      <c r="E9424">
        <v>0.5087391</v>
      </c>
      <c r="F9424" t="s">
        <v>42</v>
      </c>
      <c r="G9424">
        <v>-188.81229999999999</v>
      </c>
      <c r="H9424" s="1">
        <v>-5.978861E-7</v>
      </c>
      <c r="I9424">
        <v>10.476380000000001</v>
      </c>
      <c r="J9424">
        <v>-188.3151</v>
      </c>
      <c r="K9424">
        <v>1.12019</v>
      </c>
      <c r="L9424">
        <v>-13.750120000000001</v>
      </c>
      <c r="M9424">
        <v>-1.4102419999999999E-2</v>
      </c>
      <c r="N9424">
        <v>-1.278516E-2</v>
      </c>
      <c r="O9424">
        <v>0.99981880000000001</v>
      </c>
      <c r="P9424">
        <v>-4.1712560000000003E-2</v>
      </c>
      <c r="Q9424">
        <v>-5.8569580000000003E-2</v>
      </c>
      <c r="R9424">
        <v>0.99741150000000001</v>
      </c>
      <c r="S9424">
        <v>-6.1203E-2</v>
      </c>
      <c r="T9424">
        <v>-0.1371415</v>
      </c>
      <c r="U9424">
        <v>2.9972840000000001</v>
      </c>
      <c r="V9424">
        <v>-2.7736279999999999E-2</v>
      </c>
      <c r="W9424">
        <v>-4.5749039999999998E-2</v>
      </c>
      <c r="X9424">
        <v>0.99856780000000001</v>
      </c>
      <c r="Y9424">
        <v>-6.2991399999999999E-3</v>
      </c>
      <c r="Z9424">
        <v>-3.292171E-2</v>
      </c>
      <c r="AA9424">
        <v>0.9994381</v>
      </c>
      <c r="AB9424">
        <v>26</v>
      </c>
      <c r="AC9424">
        <v>-0.49719999999999198</v>
      </c>
      <c r="AD9424">
        <v>-1.1201905978861</v>
      </c>
      <c r="AE9424">
        <v>24.226500000000001</v>
      </c>
      <c r="AF9424">
        <v>-0.15513879546362599</v>
      </c>
      <c r="AG9424">
        <v>-1.1201905978861</v>
      </c>
      <c r="AH9424">
        <v>24.1794294847017</v>
      </c>
      <c r="AI9424">
        <v>92.652461926319006</v>
      </c>
      <c r="AJ9424">
        <v>90.367613150365301</v>
      </c>
      <c r="AK9424">
        <v>24.2058609685158</v>
      </c>
      <c r="AL9424">
        <v>92.622142226941705</v>
      </c>
      <c r="AM9424">
        <v>91.591041975716806</v>
      </c>
      <c r="AN9424">
        <v>0.99999996354299903</v>
      </c>
    </row>
    <row r="9425" spans="1:40" x14ac:dyDescent="0.25">
      <c r="A9425" t="str">
        <f>"20190303154023508"</f>
        <v>20190303154023508</v>
      </c>
      <c r="B9425" t="str">
        <f>"1551598823497290"</f>
        <v>1551598823497290</v>
      </c>
      <c r="C9425" t="s">
        <v>40</v>
      </c>
      <c r="D9425">
        <v>4.9228399999999999</v>
      </c>
      <c r="E9425">
        <v>0.50900440000000002</v>
      </c>
      <c r="F9425" t="s">
        <v>42</v>
      </c>
      <c r="G9425">
        <v>-188.7859</v>
      </c>
      <c r="H9425" s="1">
        <v>-1.00066E-6</v>
      </c>
      <c r="I9425">
        <v>11.46331</v>
      </c>
      <c r="J9425">
        <v>-188.31739999999999</v>
      </c>
      <c r="K9425">
        <v>1.1200110000000001</v>
      </c>
      <c r="L9425">
        <v>-13.476290000000001</v>
      </c>
      <c r="M9425">
        <v>-1.257987E-2</v>
      </c>
      <c r="N9425">
        <v>-1.2779179999999999E-2</v>
      </c>
      <c r="O9425">
        <v>0.99983920000000004</v>
      </c>
      <c r="P9425">
        <v>-4.0464359999999998E-2</v>
      </c>
      <c r="Q9425">
        <v>-5.784185E-2</v>
      </c>
      <c r="R9425">
        <v>0.99750539999999999</v>
      </c>
      <c r="S9425">
        <v>-5.5969240000000003E-2</v>
      </c>
      <c r="T9425">
        <v>-0.1331793</v>
      </c>
      <c r="U9425">
        <v>2.99762</v>
      </c>
      <c r="V9425">
        <v>-2.8026240000000001E-2</v>
      </c>
      <c r="W9425">
        <v>-4.501322E-2</v>
      </c>
      <c r="X9425">
        <v>0.99859319999999896</v>
      </c>
      <c r="Y9425">
        <v>-6.0762389999999998E-3</v>
      </c>
      <c r="Z9425">
        <v>-3.160632E-2</v>
      </c>
      <c r="AA9425">
        <v>0.99948190000000003</v>
      </c>
      <c r="AB9425">
        <v>26</v>
      </c>
      <c r="AC9425">
        <v>-0.46850000000000502</v>
      </c>
      <c r="AD9425">
        <v>-1.1200120006600001</v>
      </c>
      <c r="AE9425">
        <v>24.939599999999999</v>
      </c>
      <c r="AF9425">
        <v>-0.15438910811714601</v>
      </c>
      <c r="AG9425">
        <v>-1.1200120006600001</v>
      </c>
      <c r="AH9425">
        <v>24.893332791633</v>
      </c>
      <c r="AI9425">
        <v>92.576090573985695</v>
      </c>
      <c r="AJ9425">
        <v>90.355345383268002</v>
      </c>
      <c r="AK9425">
        <v>24.918994368820702</v>
      </c>
      <c r="AL9425">
        <v>92.579939219577</v>
      </c>
      <c r="AM9425">
        <v>91.607625456713293</v>
      </c>
      <c r="AN9425">
        <v>1.00000001959477</v>
      </c>
    </row>
    <row r="9426" spans="1:40" x14ac:dyDescent="0.25">
      <c r="A9426" t="str">
        <f>"20190303154023529"</f>
        <v>20190303154023529</v>
      </c>
      <c r="B9426" t="str">
        <f>"1551598823517787"</f>
        <v>1551598823517787</v>
      </c>
      <c r="C9426" t="s">
        <v>40</v>
      </c>
      <c r="D9426">
        <v>4.9275419999999999</v>
      </c>
      <c r="E9426">
        <v>0.50906289999999998</v>
      </c>
      <c r="F9426" t="s">
        <v>42</v>
      </c>
      <c r="G9426">
        <v>-188.75389999999999</v>
      </c>
      <c r="H9426" s="1">
        <v>-1.531215E-6</v>
      </c>
      <c r="I9426">
        <v>12.686820000000001</v>
      </c>
      <c r="J9426">
        <v>-188.31880000000001</v>
      </c>
      <c r="K9426">
        <v>1.1198539999999999</v>
      </c>
      <c r="L9426">
        <v>-13.22504</v>
      </c>
      <c r="M9426">
        <v>-1.094678E-2</v>
      </c>
      <c r="N9426">
        <v>-1.279802E-2</v>
      </c>
      <c r="O9426">
        <v>0.99985820000000003</v>
      </c>
      <c r="P9426">
        <v>-3.8258019999999997E-2</v>
      </c>
      <c r="Q9426">
        <v>-5.711778E-2</v>
      </c>
      <c r="R9426">
        <v>0.99763420000000003</v>
      </c>
      <c r="S9426">
        <v>-5.0018310000000003E-2</v>
      </c>
      <c r="T9426">
        <v>-0.1283417</v>
      </c>
      <c r="U9426">
        <v>2.9980159999999998</v>
      </c>
      <c r="V9426">
        <v>-2.7465280000000002E-2</v>
      </c>
      <c r="W9426">
        <v>-4.425962E-2</v>
      </c>
      <c r="X9426">
        <v>0.99864240000000004</v>
      </c>
      <c r="Y9426">
        <v>-5.7247899999999996E-3</v>
      </c>
      <c r="Z9426">
        <v>-2.997389E-2</v>
      </c>
      <c r="AA9426">
        <v>0.99953429999999999</v>
      </c>
      <c r="AB9426">
        <v>26</v>
      </c>
      <c r="AC9426">
        <v>-0.43509999999997701</v>
      </c>
      <c r="AD9426">
        <v>-1.119855531215</v>
      </c>
      <c r="AE9426">
        <v>25.911860000000001</v>
      </c>
      <c r="AF9426">
        <v>-0.15111709353303299</v>
      </c>
      <c r="AG9426">
        <v>-1.119855531215</v>
      </c>
      <c r="AH9426">
        <v>25.866770557536601</v>
      </c>
      <c r="AI9426">
        <v>92.478927961077204</v>
      </c>
      <c r="AJ9426">
        <v>90.334725711105193</v>
      </c>
      <c r="AK9426">
        <v>25.891441285934501</v>
      </c>
      <c r="AL9426">
        <v>92.536718219708405</v>
      </c>
      <c r="AM9426">
        <v>91.575386787112905</v>
      </c>
      <c r="AN9426">
        <v>0.99999994932289005</v>
      </c>
    </row>
    <row r="9427" spans="1:40" x14ac:dyDescent="0.25">
      <c r="A9427" t="str">
        <f>"20190303154023551"</f>
        <v>20190303154023551</v>
      </c>
      <c r="B9427" t="str">
        <f>"1551598823537305"</f>
        <v>1551598823537305</v>
      </c>
      <c r="C9427" t="s">
        <v>40</v>
      </c>
      <c r="D9427">
        <v>5.0527870000000004</v>
      </c>
      <c r="E9427">
        <v>0.50908569999999997</v>
      </c>
      <c r="F9427" t="s">
        <v>42</v>
      </c>
      <c r="G9427">
        <v>-188.70230000000001</v>
      </c>
      <c r="H9427" s="1">
        <v>-1.90444E-6</v>
      </c>
      <c r="I9427">
        <v>13.535489999999999</v>
      </c>
      <c r="J9427">
        <v>-188.31950000000001</v>
      </c>
      <c r="K9427">
        <v>1.1197109999999999</v>
      </c>
      <c r="L9427">
        <v>-12.975860000000001</v>
      </c>
      <c r="M9427">
        <v>-9.1036799999999994E-3</v>
      </c>
      <c r="N9427">
        <v>-1.2840819999999999E-2</v>
      </c>
      <c r="O9427">
        <v>0.99987610000000005</v>
      </c>
      <c r="P9427">
        <v>-3.4960810000000002E-2</v>
      </c>
      <c r="Q9427">
        <v>-5.6454110000000002E-2</v>
      </c>
      <c r="R9427">
        <v>0.99779289999999998</v>
      </c>
      <c r="S9427">
        <v>-4.296875E-2</v>
      </c>
      <c r="T9427">
        <v>-0.12547039999999901</v>
      </c>
      <c r="U9427">
        <v>2.998291</v>
      </c>
      <c r="V9427">
        <v>-2.6020829999999998E-2</v>
      </c>
      <c r="W9427">
        <v>-4.3546609999999999E-2</v>
      </c>
      <c r="X9427">
        <v>0.9987125</v>
      </c>
      <c r="Y9427">
        <v>-5.2176690000000003E-3</v>
      </c>
      <c r="Z9427">
        <v>-2.8973490000000001E-2</v>
      </c>
      <c r="AA9427">
        <v>0.99956659999999997</v>
      </c>
      <c r="AB9427">
        <v>26</v>
      </c>
      <c r="AC9427">
        <v>-0.38280000000000303</v>
      </c>
      <c r="AD9427">
        <v>-1.1197129044399901</v>
      </c>
      <c r="AE9427">
        <v>26.51135</v>
      </c>
      <c r="AF9427">
        <v>-0.14116163119639</v>
      </c>
      <c r="AG9427">
        <v>-1.1197129044399901</v>
      </c>
      <c r="AH9427">
        <v>26.466534835051299</v>
      </c>
      <c r="AI9427">
        <v>92.422518785261204</v>
      </c>
      <c r="AJ9427">
        <v>90.305589267925996</v>
      </c>
      <c r="AK9427">
        <v>26.490586059381101</v>
      </c>
      <c r="AL9427">
        <v>92.495826137662306</v>
      </c>
      <c r="AM9427">
        <v>91.492468075981805</v>
      </c>
      <c r="AN9427">
        <v>1.0000000242463101</v>
      </c>
    </row>
    <row r="9428" spans="1:40" x14ac:dyDescent="0.25">
      <c r="A9428" t="str">
        <f>"20190303154023573"</f>
        <v>20190303154023573</v>
      </c>
      <c r="B9428" t="str">
        <f>"1551598823567561"</f>
        <v>1551598823567561</v>
      </c>
      <c r="C9428" t="s">
        <v>40</v>
      </c>
      <c r="D9428">
        <v>4.9098379999999997</v>
      </c>
      <c r="E9428">
        <v>0.50914499999999996</v>
      </c>
      <c r="F9428" t="s">
        <v>42</v>
      </c>
      <c r="G9428">
        <v>-188.61750000000001</v>
      </c>
      <c r="H9428" s="1">
        <v>-2.2071579999999999E-6</v>
      </c>
      <c r="I9428">
        <v>14.206049999999999</v>
      </c>
      <c r="J9428">
        <v>-188.31950000000001</v>
      </c>
      <c r="K9428">
        <v>1.1195820000000001</v>
      </c>
      <c r="L9428">
        <v>-12.710050000000001</v>
      </c>
      <c r="M9428">
        <v>-6.9254679999999997E-3</v>
      </c>
      <c r="N9428">
        <v>-1.291553E-2</v>
      </c>
      <c r="O9428">
        <v>0.99989260000000002</v>
      </c>
      <c r="P9428">
        <v>-3.1723969999999997E-2</v>
      </c>
      <c r="Q9428">
        <v>-5.6925480000000001E-2</v>
      </c>
      <c r="R9428">
        <v>0.99787429999999999</v>
      </c>
      <c r="S9428">
        <v>-3.2867430000000003E-2</v>
      </c>
      <c r="T9428">
        <v>-0.1235183</v>
      </c>
      <c r="U9428">
        <v>2.9985050000000002</v>
      </c>
      <c r="V9428">
        <v>-2.4974610000000001E-2</v>
      </c>
      <c r="W9428">
        <v>-4.3937959999999998E-2</v>
      </c>
      <c r="X9428">
        <v>0.998722</v>
      </c>
      <c r="Y9428">
        <v>-4.0289409999999899E-3</v>
      </c>
      <c r="Z9428">
        <v>-2.8247999999999999E-2</v>
      </c>
      <c r="AA9428">
        <v>0.99959279999999995</v>
      </c>
      <c r="AB9428">
        <v>26</v>
      </c>
      <c r="AC9428">
        <v>-0.29800000000000099</v>
      </c>
      <c r="AD9428">
        <v>-1.119584207158</v>
      </c>
      <c r="AE9428">
        <v>26.9161</v>
      </c>
      <c r="AF9428">
        <v>-0.111378032893432</v>
      </c>
      <c r="AG9428">
        <v>-1.119584207158</v>
      </c>
      <c r="AH9428">
        <v>26.871032561648398</v>
      </c>
      <c r="AI9428">
        <v>92.385833841792405</v>
      </c>
      <c r="AJ9428">
        <v>90.2374845349064</v>
      </c>
      <c r="AK9428">
        <v>26.8945768658348</v>
      </c>
      <c r="AL9428">
        <v>92.518270499125705</v>
      </c>
      <c r="AM9428">
        <v>91.432472290314294</v>
      </c>
      <c r="AN9428">
        <v>0.99999995437880496</v>
      </c>
    </row>
    <row r="9429" spans="1:40" x14ac:dyDescent="0.25">
      <c r="A9429" t="str">
        <f>"20190303154023596"</f>
        <v>20190303154023596</v>
      </c>
      <c r="B9429" t="str">
        <f>"1551598823587082"</f>
        <v>1551598823587082</v>
      </c>
      <c r="C9429" t="s">
        <v>40</v>
      </c>
      <c r="D9429">
        <v>4.9902100000000003</v>
      </c>
      <c r="E9429">
        <v>0.50908540000000002</v>
      </c>
      <c r="F9429" t="s">
        <v>42</v>
      </c>
      <c r="G9429">
        <v>-188.52369999999999</v>
      </c>
      <c r="H9429" s="1">
        <v>-2.1530259999999998E-6</v>
      </c>
      <c r="I9429">
        <v>14.041090000000001</v>
      </c>
      <c r="J9429">
        <v>-188.31870000000001</v>
      </c>
      <c r="K9429">
        <v>1.1194770000000001</v>
      </c>
      <c r="L9429">
        <v>-12.444979999999999</v>
      </c>
      <c r="M9429">
        <v>-4.588712E-3</v>
      </c>
      <c r="N9429">
        <v>-1.301209E-2</v>
      </c>
      <c r="O9429">
        <v>0.99990480000000004</v>
      </c>
      <c r="P9429">
        <v>-2.8599309999999999E-2</v>
      </c>
      <c r="Q9429">
        <v>-5.6900149999999997E-2</v>
      </c>
      <c r="R9429">
        <v>0.99797020000000003</v>
      </c>
      <c r="S9429">
        <v>-2.2888180000000001E-2</v>
      </c>
      <c r="T9429">
        <v>-0.12549289999999999</v>
      </c>
      <c r="U9429">
        <v>2.9985050000000002</v>
      </c>
      <c r="V9429">
        <v>-2.4193719999999998E-2</v>
      </c>
      <c r="W9429">
        <v>-4.3812209999999997E-2</v>
      </c>
      <c r="X9429">
        <v>0.99874680000000005</v>
      </c>
      <c r="Y9429">
        <v>-3.0396749999999999E-3</v>
      </c>
      <c r="Z9429">
        <v>-2.8809850000000001E-2</v>
      </c>
      <c r="AA9429">
        <v>0.99958029999999998</v>
      </c>
      <c r="AB9429">
        <v>26</v>
      </c>
      <c r="AC9429">
        <v>-0.204999999999984</v>
      </c>
      <c r="AD9429">
        <v>-1.119479153026</v>
      </c>
      <c r="AE9429">
        <v>26.486070000000002</v>
      </c>
      <c r="AF9429">
        <v>-8.3301794926068304E-2</v>
      </c>
      <c r="AG9429">
        <v>-1.119479153026</v>
      </c>
      <c r="AH9429">
        <v>26.439501185840601</v>
      </c>
      <c r="AI9429">
        <v>92.424509574010997</v>
      </c>
      <c r="AJ9429">
        <v>90.180518741594895</v>
      </c>
      <c r="AK9429">
        <v>26.463321706074002</v>
      </c>
      <c r="AL9429">
        <v>92.511058474484201</v>
      </c>
      <c r="AM9429">
        <v>91.387666022124293</v>
      </c>
      <c r="AN9429">
        <v>1.00000000817138</v>
      </c>
    </row>
    <row r="9430" spans="1:40" x14ac:dyDescent="0.25">
      <c r="A9430" t="str">
        <f>"20190303154023620"</f>
        <v>20190303154023620</v>
      </c>
      <c r="B9430" t="str">
        <f>"1551598823607577"</f>
        <v>1551598823607577</v>
      </c>
      <c r="C9430" t="s">
        <v>40</v>
      </c>
      <c r="D9430">
        <v>4.9912669999999997</v>
      </c>
      <c r="E9430">
        <v>0.50894680000000003</v>
      </c>
      <c r="F9430" t="s">
        <v>42</v>
      </c>
      <c r="G9430">
        <v>-188.44110000000001</v>
      </c>
      <c r="H9430" s="1">
        <v>-2.1968669999999998E-6</v>
      </c>
      <c r="I9430">
        <v>14.10914</v>
      </c>
      <c r="J9430">
        <v>-188.31710000000001</v>
      </c>
      <c r="K9430">
        <v>1.1194170000000001</v>
      </c>
      <c r="L9430">
        <v>-12.180020000000001</v>
      </c>
      <c r="M9430">
        <v>-2.114973E-3</v>
      </c>
      <c r="N9430">
        <v>-1.3132059999999999E-2</v>
      </c>
      <c r="O9430">
        <v>0.99991149999999995</v>
      </c>
      <c r="P9430">
        <v>-2.6184619999999999E-2</v>
      </c>
      <c r="Q9430">
        <v>-5.8117130000000003E-2</v>
      </c>
      <c r="R9430">
        <v>0.99796629999999997</v>
      </c>
      <c r="S9430">
        <v>-1.382446E-2</v>
      </c>
      <c r="T9430">
        <v>-0.1264122</v>
      </c>
      <c r="U9430">
        <v>2.9985050000000002</v>
      </c>
      <c r="V9430">
        <v>-2.4261600000000001E-2</v>
      </c>
      <c r="W9430">
        <v>-4.4905E-2</v>
      </c>
      <c r="X9430">
        <v>0.99869660000000005</v>
      </c>
      <c r="Y9430">
        <v>-2.4924169999999998E-3</v>
      </c>
      <c r="Z9430">
        <v>-2.8996589999999999E-2</v>
      </c>
      <c r="AA9430">
        <v>0.99957640000000003</v>
      </c>
      <c r="AB9430">
        <v>26</v>
      </c>
      <c r="AC9430">
        <v>-0.123999999999995</v>
      </c>
      <c r="AD9430">
        <v>-1.119419196867</v>
      </c>
      <c r="AE9430">
        <v>26.289159999999999</v>
      </c>
      <c r="AF9430">
        <v>-6.82702812658528E-2</v>
      </c>
      <c r="AG9430">
        <v>-1.119419196867</v>
      </c>
      <c r="AH9430">
        <v>26.2417844201014</v>
      </c>
      <c r="AI9430">
        <v>92.442627999171904</v>
      </c>
      <c r="AJ9430">
        <v>90.149059610246795</v>
      </c>
      <c r="AK9430">
        <v>26.2657383243018</v>
      </c>
      <c r="AL9430">
        <v>92.573732466482795</v>
      </c>
      <c r="AM9430">
        <v>91.391627769452896</v>
      </c>
      <c r="AN9430">
        <v>0.99999999155555996</v>
      </c>
    </row>
    <row r="9431" spans="1:40" x14ac:dyDescent="0.25">
      <c r="A9431" t="str">
        <f>"20190303154023641"</f>
        <v>20190303154023641</v>
      </c>
      <c r="B9431" t="str">
        <f>"1551598823637834"</f>
        <v>1551598823637834</v>
      </c>
      <c r="C9431" t="s">
        <v>40</v>
      </c>
      <c r="D9431">
        <v>5.0224719999999996</v>
      </c>
      <c r="E9431">
        <v>0.50884099999999999</v>
      </c>
      <c r="F9431" t="s">
        <v>42</v>
      </c>
      <c r="G9431">
        <v>-188.38140000000001</v>
      </c>
      <c r="H9431" s="1">
        <v>-1.8918240000000001E-6</v>
      </c>
      <c r="I9431">
        <v>13.373379999999999</v>
      </c>
      <c r="J9431">
        <v>-188.31489999999999</v>
      </c>
      <c r="K9431">
        <v>1.1193759999999999</v>
      </c>
      <c r="L9431">
        <v>-11.9292</v>
      </c>
      <c r="M9431">
        <v>3.346712E-4</v>
      </c>
      <c r="N9431">
        <v>-1.326866E-2</v>
      </c>
      <c r="O9431">
        <v>0.99991189999999996</v>
      </c>
      <c r="P9431">
        <v>-2.3356720000000001E-2</v>
      </c>
      <c r="Q9431">
        <v>-5.8856409999999998E-2</v>
      </c>
      <c r="R9431">
        <v>0.99799320000000002</v>
      </c>
      <c r="S9431">
        <v>-7.5378419999999899E-3</v>
      </c>
      <c r="T9431">
        <v>-0.13134489999999999</v>
      </c>
      <c r="U9431">
        <v>2.9982600000000001</v>
      </c>
      <c r="V9431">
        <v>-2.3888059999999999E-2</v>
      </c>
      <c r="W9431">
        <v>-4.5506280000000003E-2</v>
      </c>
      <c r="X9431">
        <v>0.99867839999999997</v>
      </c>
      <c r="Y9431">
        <v>-2.846515E-3</v>
      </c>
      <c r="Z9431">
        <v>-3.0505109999999998E-2</v>
      </c>
      <c r="AA9431">
        <v>0.99953060000000005</v>
      </c>
      <c r="AB9431">
        <v>26</v>
      </c>
      <c r="AC9431">
        <v>-6.6500000000019099E-2</v>
      </c>
      <c r="AD9431">
        <v>-1.1193778918239901</v>
      </c>
      <c r="AE9431">
        <v>25.302579999999999</v>
      </c>
      <c r="AF9431">
        <v>-7.4822349256450899E-2</v>
      </c>
      <c r="AG9431">
        <v>-1.1193778918239901</v>
      </c>
      <c r="AH9431">
        <v>25.253132529522201</v>
      </c>
      <c r="AI9431">
        <v>92.538037302542904</v>
      </c>
      <c r="AJ9431">
        <v>90.169760811886107</v>
      </c>
      <c r="AK9431">
        <v>25.278040030869999</v>
      </c>
      <c r="AL9431">
        <v>92.608218496716304</v>
      </c>
      <c r="AM9431">
        <v>91.370234979504104</v>
      </c>
      <c r="AN9431">
        <v>1.0000000037782799</v>
      </c>
    </row>
    <row r="9432" spans="1:40" x14ac:dyDescent="0.25">
      <c r="A9432" t="str">
        <f>"20190303154023663"</f>
        <v>20190303154023663</v>
      </c>
      <c r="B9432" t="str">
        <f>"1551598823657354"</f>
        <v>1551598823657354</v>
      </c>
      <c r="C9432" t="s">
        <v>40</v>
      </c>
      <c r="D9432">
        <v>4.9688730000000003</v>
      </c>
      <c r="E9432">
        <v>0.50871860000000002</v>
      </c>
      <c r="F9432" t="s">
        <v>42</v>
      </c>
      <c r="G9432">
        <v>-188.3143</v>
      </c>
      <c r="H9432" s="1">
        <v>-1.7458089999999999E-6</v>
      </c>
      <c r="I9432">
        <v>13.00529</v>
      </c>
      <c r="J9432">
        <v>-188.31209999999999</v>
      </c>
      <c r="K9432">
        <v>1.119348</v>
      </c>
      <c r="L9432">
        <v>-11.682460000000001</v>
      </c>
      <c r="M9432">
        <v>2.823842E-3</v>
      </c>
      <c r="N9432">
        <v>-1.341941E-2</v>
      </c>
      <c r="O9432">
        <v>0.99990590000000001</v>
      </c>
      <c r="P9432">
        <v>-2.120141E-2</v>
      </c>
      <c r="Q9432">
        <v>-5.9979310000000001E-2</v>
      </c>
      <c r="R9432">
        <v>0.99797449999999999</v>
      </c>
      <c r="S9432" s="1">
        <v>7.6293949999999995E-5</v>
      </c>
      <c r="T9432">
        <v>-0.1345934</v>
      </c>
      <c r="U9432">
        <v>2.9981080000000002</v>
      </c>
      <c r="V9432">
        <v>-2.422651E-2</v>
      </c>
      <c r="W9432">
        <v>-4.6475240000000001E-2</v>
      </c>
      <c r="X9432">
        <v>0.9986256</v>
      </c>
      <c r="Y9432">
        <v>-2.7975679999999998E-3</v>
      </c>
      <c r="Z9432">
        <v>-3.1437300000000001E-2</v>
      </c>
      <c r="AA9432">
        <v>0.9995018</v>
      </c>
      <c r="AB9432">
        <v>26</v>
      </c>
      <c r="AC9432">
        <v>-2.2000000000161799E-3</v>
      </c>
      <c r="AD9432">
        <v>-1.119349745809</v>
      </c>
      <c r="AE9432">
        <v>24.687750000000001</v>
      </c>
      <c r="AF9432">
        <v>-7.1773032436192305E-2</v>
      </c>
      <c r="AG9432">
        <v>-1.119349745809</v>
      </c>
      <c r="AH9432">
        <v>24.636998029164701</v>
      </c>
      <c r="AI9432">
        <v>92.601358746520106</v>
      </c>
      <c r="AJ9432">
        <v>90.166914824734704</v>
      </c>
      <c r="AK9432">
        <v>24.662517452820801</v>
      </c>
      <c r="AL9432">
        <v>92.663794686709096</v>
      </c>
      <c r="AM9432">
        <v>91.389714582060705</v>
      </c>
      <c r="AN9432">
        <v>0.99999998034759796</v>
      </c>
    </row>
    <row r="9433" spans="1:40" x14ac:dyDescent="0.25">
      <c r="A9433" t="str">
        <f>"20190303154023677"</f>
        <v>20190303154023677</v>
      </c>
      <c r="B9433" t="str">
        <f>"1551598823668090"</f>
        <v>1551598823668090</v>
      </c>
      <c r="C9433" t="s">
        <v>40</v>
      </c>
      <c r="D9433">
        <v>5.0454749999999997</v>
      </c>
      <c r="E9433">
        <v>0.50866629999999902</v>
      </c>
      <c r="F9433" t="s">
        <v>42</v>
      </c>
      <c r="G9433">
        <v>-188.26759999999999</v>
      </c>
      <c r="H9433" s="1">
        <v>-1.466136E-6</v>
      </c>
      <c r="I9433">
        <v>12.33405</v>
      </c>
      <c r="J9433">
        <v>-188.30959999999999</v>
      </c>
      <c r="K9433">
        <v>1.119335</v>
      </c>
      <c r="L9433">
        <v>-11.50375</v>
      </c>
      <c r="M9433">
        <v>4.6617200000000003E-3</v>
      </c>
      <c r="N9433">
        <v>-1.353328E-2</v>
      </c>
      <c r="O9433">
        <v>0.99989749999999999</v>
      </c>
      <c r="P9433">
        <v>-1.956194E-2</v>
      </c>
      <c r="Q9433">
        <v>-6.030104E-2</v>
      </c>
      <c r="R9433">
        <v>0.99798849999999995</v>
      </c>
      <c r="S9433">
        <v>5.5541990000000001E-3</v>
      </c>
      <c r="T9433">
        <v>-0.13972010000000001</v>
      </c>
      <c r="U9433">
        <v>2.9978030000000002</v>
      </c>
      <c r="V9433">
        <v>-2.4425800000000001E-2</v>
      </c>
      <c r="W9433">
        <v>-4.6681E-2</v>
      </c>
      <c r="X9433">
        <v>0.99861120000000003</v>
      </c>
      <c r="Y9433">
        <v>-2.809275E-3</v>
      </c>
      <c r="Z9433">
        <v>-3.3033270000000003E-2</v>
      </c>
      <c r="AA9433">
        <v>0.99945030000000001</v>
      </c>
      <c r="AB9433">
        <v>26</v>
      </c>
      <c r="AC9433">
        <v>4.2000000000001501E-2</v>
      </c>
      <c r="AD9433">
        <v>-1.1193364661359999</v>
      </c>
      <c r="AE9433">
        <v>23.837800000000001</v>
      </c>
      <c r="AF9433">
        <v>-6.8983687461817697E-2</v>
      </c>
      <c r="AG9433">
        <v>-1.1193364661359999</v>
      </c>
      <c r="AH9433">
        <v>23.785292707282501</v>
      </c>
      <c r="AI9433">
        <v>92.694341653935396</v>
      </c>
      <c r="AJ9433">
        <v>90.166172563582407</v>
      </c>
      <c r="AK9433">
        <v>23.811716066774</v>
      </c>
      <c r="AL9433">
        <v>92.675596537227094</v>
      </c>
      <c r="AM9433">
        <v>91.401162188592906</v>
      </c>
      <c r="AN9433">
        <v>1.0000000321160301</v>
      </c>
    </row>
    <row r="9434" spans="1:40" x14ac:dyDescent="0.25">
      <c r="A9434" t="str">
        <f>"20190303154023696"</f>
        <v>20190303154023696</v>
      </c>
      <c r="B9434" t="str">
        <f>"1551598823687557"</f>
        <v>1551598823687557</v>
      </c>
      <c r="C9434" t="s">
        <v>40</v>
      </c>
      <c r="D9434">
        <v>5.0798949999999996</v>
      </c>
      <c r="E9434">
        <v>0.50854709999999903</v>
      </c>
      <c r="F9434" t="s">
        <v>42</v>
      </c>
      <c r="G9434">
        <v>-188.2287</v>
      </c>
      <c r="H9434" s="1">
        <v>-1.436864E-6</v>
      </c>
      <c r="I9434">
        <v>12.24973</v>
      </c>
      <c r="J9434">
        <v>-188.30619999999999</v>
      </c>
      <c r="K9434">
        <v>1.1193310000000001</v>
      </c>
      <c r="L9434">
        <v>-11.29095</v>
      </c>
      <c r="M9434">
        <v>6.8735810000000001E-3</v>
      </c>
      <c r="N9434">
        <v>-1.366795E-2</v>
      </c>
      <c r="O9434">
        <v>0.99988290000000002</v>
      </c>
      <c r="P9434">
        <v>-1.79261E-2</v>
      </c>
      <c r="Q9434">
        <v>-5.9900729999999999E-2</v>
      </c>
      <c r="R9434">
        <v>0.99804340000000002</v>
      </c>
      <c r="S9434">
        <v>1.0208129999999999E-2</v>
      </c>
      <c r="T9434">
        <v>-0.14126129999999901</v>
      </c>
      <c r="U9434">
        <v>2.9977109999999998</v>
      </c>
      <c r="V9434">
        <v>-2.4998309999999999E-2</v>
      </c>
      <c r="W9434">
        <v>-4.6141939999999999E-2</v>
      </c>
      <c r="X9434">
        <v>0.99862209999999996</v>
      </c>
      <c r="Y9434">
        <v>-3.4694370000000001E-3</v>
      </c>
      <c r="Z9434">
        <v>-3.341185E-2</v>
      </c>
      <c r="AA9434">
        <v>0.99943570000000004</v>
      </c>
      <c r="AB9434">
        <v>26</v>
      </c>
      <c r="AC9434">
        <v>7.7499999999986302E-2</v>
      </c>
      <c r="AD9434">
        <v>-1.1193324368640001</v>
      </c>
      <c r="AE9434">
        <v>23.540679999999998</v>
      </c>
      <c r="AF9434">
        <v>-8.4135508934207098E-2</v>
      </c>
      <c r="AG9434">
        <v>-1.1193324368640001</v>
      </c>
      <c r="AH9434">
        <v>23.4875542477171</v>
      </c>
      <c r="AI9434">
        <v>92.728429184507107</v>
      </c>
      <c r="AJ9434">
        <v>90.205240141209003</v>
      </c>
      <c r="AK9434">
        <v>23.514361322977301</v>
      </c>
      <c r="AL9434">
        <v>92.644677318929297</v>
      </c>
      <c r="AM9434">
        <v>91.433974464898199</v>
      </c>
      <c r="AN9434">
        <v>1.0000000463691101</v>
      </c>
    </row>
    <row r="9435" spans="1:40" x14ac:dyDescent="0.25">
      <c r="A9435" t="str">
        <f>"20190303154023718"</f>
        <v>20190303154023718</v>
      </c>
      <c r="B9435" t="str">
        <f>"1551598823707070"</f>
        <v>1551598823707070</v>
      </c>
      <c r="C9435" t="s">
        <v>40</v>
      </c>
      <c r="D9435">
        <v>5.0720330000000002</v>
      </c>
      <c r="E9435">
        <v>0.50838720000000004</v>
      </c>
      <c r="F9435" t="s">
        <v>42</v>
      </c>
      <c r="G9435">
        <v>-188.19499999999999</v>
      </c>
      <c r="H9435" s="1">
        <v>-1.4862299999999901E-6</v>
      </c>
      <c r="I9435">
        <v>12.350849999999999</v>
      </c>
      <c r="J9435">
        <v>-188.3014</v>
      </c>
      <c r="K9435">
        <v>1.1193280000000001</v>
      </c>
      <c r="L9435">
        <v>-11.038449999999999</v>
      </c>
      <c r="M9435">
        <v>9.5175030000000001E-3</v>
      </c>
      <c r="N9435">
        <v>-1.3819440000000001E-2</v>
      </c>
      <c r="O9435">
        <v>0.99985919999999895</v>
      </c>
      <c r="P9435">
        <v>-1.6620260000000001E-2</v>
      </c>
      <c r="Q9435">
        <v>-5.9102229999999999E-2</v>
      </c>
      <c r="R9435">
        <v>0.99811360000000005</v>
      </c>
      <c r="S9435">
        <v>1.409912E-2</v>
      </c>
      <c r="T9435">
        <v>-0.14192370000000001</v>
      </c>
      <c r="U9435">
        <v>2.99762</v>
      </c>
      <c r="V9435">
        <v>-2.6328939999999999E-2</v>
      </c>
      <c r="W9435">
        <v>-4.5184790000000002E-2</v>
      </c>
      <c r="X9435">
        <v>0.99863159999999895</v>
      </c>
      <c r="Y9435">
        <v>-4.8157360000000001E-3</v>
      </c>
      <c r="Z9435">
        <v>-3.3480549999999998E-2</v>
      </c>
      <c r="AA9435">
        <v>0.99942779999999998</v>
      </c>
      <c r="AB9435">
        <v>26</v>
      </c>
      <c r="AC9435">
        <v>0.106400000000007</v>
      </c>
      <c r="AD9435">
        <v>-1.1193294862300001</v>
      </c>
      <c r="AE9435">
        <v>23.389299999999999</v>
      </c>
      <c r="AF9435">
        <v>-0.11596822489792299</v>
      </c>
      <c r="AG9435">
        <v>-1.1193294862300001</v>
      </c>
      <c r="AH9435">
        <v>23.335809644365</v>
      </c>
      <c r="AI9435">
        <v>92.746120639531</v>
      </c>
      <c r="AJ9435">
        <v>90.284731288444306</v>
      </c>
      <c r="AK9435">
        <v>23.3629270188042</v>
      </c>
      <c r="AL9435">
        <v>92.589779582992904</v>
      </c>
      <c r="AM9435">
        <v>91.510254383679495</v>
      </c>
      <c r="AN9435">
        <v>0.99999997542371299</v>
      </c>
    </row>
    <row r="9436" spans="1:40" x14ac:dyDescent="0.25">
      <c r="A9436" t="str">
        <f>"20190303154023742"</f>
        <v>20190303154023742</v>
      </c>
      <c r="B9436" t="str">
        <f>"1551598823737327"</f>
        <v>1551598823737327</v>
      </c>
      <c r="C9436" t="s">
        <v>40</v>
      </c>
      <c r="D9436">
        <v>5.0762330000000002</v>
      </c>
      <c r="E9436">
        <v>0.50814759999999903</v>
      </c>
      <c r="F9436" t="s">
        <v>42</v>
      </c>
      <c r="G9436">
        <v>-188.16730000000001</v>
      </c>
      <c r="H9436" s="1">
        <v>-1.689941E-6</v>
      </c>
      <c r="I9436">
        <v>12.81429</v>
      </c>
      <c r="J9436">
        <v>-188.29580000000001</v>
      </c>
      <c r="K9436">
        <v>1.119332</v>
      </c>
      <c r="L9436">
        <v>-10.77966</v>
      </c>
      <c r="M9436">
        <v>1.2237120000000001E-2</v>
      </c>
      <c r="N9436">
        <v>-1.396147E-2</v>
      </c>
      <c r="O9436">
        <v>0.99982760000000004</v>
      </c>
      <c r="P9436">
        <v>-1.465178E-2</v>
      </c>
      <c r="Q9436">
        <v>-5.8249490000000001E-2</v>
      </c>
      <c r="R9436">
        <v>0.99819449999999998</v>
      </c>
      <c r="S9436">
        <v>1.6845699999999901E-2</v>
      </c>
      <c r="T9436">
        <v>-0.1406683</v>
      </c>
      <c r="U9436">
        <v>2.99762</v>
      </c>
      <c r="V9436">
        <v>-2.7071560000000001E-2</v>
      </c>
      <c r="W9436">
        <v>-4.4186169999999997E-2</v>
      </c>
      <c r="X9436">
        <v>0.99865649999999995</v>
      </c>
      <c r="Y9436">
        <v>-6.6191679999999999E-3</v>
      </c>
      <c r="Z9436">
        <v>-3.2918719999999999E-2</v>
      </c>
      <c r="AA9436">
        <v>0.99943610000000005</v>
      </c>
      <c r="AB9436">
        <v>26</v>
      </c>
      <c r="AC9436">
        <v>0.128500000000002</v>
      </c>
      <c r="AD9436">
        <v>-1.119333689941</v>
      </c>
      <c r="AE9436">
        <v>23.59395</v>
      </c>
      <c r="AF9436">
        <v>-0.15989990254431699</v>
      </c>
      <c r="AG9436">
        <v>-1.119333689941</v>
      </c>
      <c r="AH9436">
        <v>23.540773973116899</v>
      </c>
      <c r="AI9436">
        <v>92.722227965718403</v>
      </c>
      <c r="AJ9436">
        <v>90.389173638760198</v>
      </c>
      <c r="AK9436">
        <v>23.567912829558001</v>
      </c>
      <c r="AL9436">
        <v>92.532505478398207</v>
      </c>
      <c r="AM9436">
        <v>91.552792542343497</v>
      </c>
      <c r="AN9436">
        <v>1.00000004598617</v>
      </c>
    </row>
    <row r="9437" spans="1:40" x14ac:dyDescent="0.25">
      <c r="A9437" t="str">
        <f>"20190303154023756"</f>
        <v>20190303154023756</v>
      </c>
      <c r="B9437" t="str">
        <f>"1551598823747087"</f>
        <v>1551598823747087</v>
      </c>
      <c r="C9437" t="s">
        <v>40</v>
      </c>
      <c r="D9437">
        <v>4.9911240000000001</v>
      </c>
      <c r="E9437">
        <v>0.50804640000000001</v>
      </c>
      <c r="F9437" t="s">
        <v>42</v>
      </c>
      <c r="G9437">
        <v>-188.1292</v>
      </c>
      <c r="H9437" s="1">
        <v>-1.8656059999999999E-6</v>
      </c>
      <c r="I9437">
        <v>13.207979999999999</v>
      </c>
      <c r="J9437">
        <v>-188.29169999999999</v>
      </c>
      <c r="K9437">
        <v>1.11934</v>
      </c>
      <c r="L9437">
        <v>-10.605130000000001</v>
      </c>
      <c r="M9437">
        <v>1.40733E-2</v>
      </c>
      <c r="N9437">
        <v>-1.4048990000000001E-2</v>
      </c>
      <c r="O9437">
        <v>0.99980230000000003</v>
      </c>
      <c r="P9437">
        <v>-1.346174E-2</v>
      </c>
      <c r="Q9437">
        <v>-5.8379790000000001E-2</v>
      </c>
      <c r="R9437">
        <v>0.99820370000000003</v>
      </c>
      <c r="S9437">
        <v>2.082825E-2</v>
      </c>
      <c r="T9437">
        <v>-0.1398749</v>
      </c>
      <c r="U9437">
        <v>2.9975589999999999</v>
      </c>
      <c r="V9437">
        <v>-2.7714840000000001E-2</v>
      </c>
      <c r="W9437">
        <v>-4.4226710000000002E-2</v>
      </c>
      <c r="X9437">
        <v>0.998637</v>
      </c>
      <c r="Y9437">
        <v>-7.1274529999999997E-3</v>
      </c>
      <c r="Z9437">
        <v>-3.2566530000000003E-2</v>
      </c>
      <c r="AA9437">
        <v>0.99944409999999895</v>
      </c>
      <c r="AB9437">
        <v>25</v>
      </c>
      <c r="AC9437">
        <v>0.16249999999999401</v>
      </c>
      <c r="AD9437">
        <v>-1.1193418656059999</v>
      </c>
      <c r="AE9437">
        <v>23.813110000000002</v>
      </c>
      <c r="AF9437">
        <v>-0.17229753001825099</v>
      </c>
      <c r="AG9437">
        <v>-1.1193418656059999</v>
      </c>
      <c r="AH9437">
        <v>23.760541986297302</v>
      </c>
      <c r="AI9437">
        <v>92.697097648348304</v>
      </c>
      <c r="AJ9437">
        <v>90.415468143359504</v>
      </c>
      <c r="AK9437">
        <v>23.787517065333802</v>
      </c>
      <c r="AL9437">
        <v>92.534830674265507</v>
      </c>
      <c r="AM9437">
        <v>91.589702631304107</v>
      </c>
      <c r="AN9437">
        <v>0.999999986001324</v>
      </c>
    </row>
    <row r="9438" spans="1:40" x14ac:dyDescent="0.25">
      <c r="A9438" t="str">
        <f>"20190303154023774"</f>
        <v>20190303154023774</v>
      </c>
      <c r="B9438" t="str">
        <f>"1551598823767583"</f>
        <v>1551598823767583</v>
      </c>
      <c r="C9438" t="s">
        <v>40</v>
      </c>
      <c r="D9438">
        <v>5.0746399999999996</v>
      </c>
      <c r="E9438">
        <v>0.50784490000000004</v>
      </c>
      <c r="F9438" t="s">
        <v>42</v>
      </c>
      <c r="G9438">
        <v>-188.1037</v>
      </c>
      <c r="H9438" s="1">
        <v>-1.8619830000000001E-6</v>
      </c>
      <c r="I9438">
        <v>13.18899</v>
      </c>
      <c r="J9438">
        <v>-188.28649999999999</v>
      </c>
      <c r="K9438">
        <v>1.1193489999999999</v>
      </c>
      <c r="L9438">
        <v>-10.406459999999999</v>
      </c>
      <c r="M9438">
        <v>1.6160819999999999E-2</v>
      </c>
      <c r="N9438">
        <v>-1.4140710000000001E-2</v>
      </c>
      <c r="O9438">
        <v>0.99976940000000003</v>
      </c>
      <c r="P9438">
        <v>-1.403366E-2</v>
      </c>
      <c r="Q9438">
        <v>-5.8970599999999998E-2</v>
      </c>
      <c r="R9438">
        <v>0.99816110000000002</v>
      </c>
      <c r="S9438">
        <v>2.368164E-2</v>
      </c>
      <c r="T9438">
        <v>-0.1410092</v>
      </c>
      <c r="U9438">
        <v>2.9974669999999999</v>
      </c>
      <c r="V9438">
        <v>-3.037026E-2</v>
      </c>
      <c r="W9438">
        <v>-4.4715949999999997E-2</v>
      </c>
      <c r="X9438">
        <v>0.99853800000000004</v>
      </c>
      <c r="Y9438">
        <v>-8.2633459999999995E-3</v>
      </c>
      <c r="Z9438">
        <v>-3.2851199999999997E-2</v>
      </c>
      <c r="AA9438">
        <v>0.99942609999999998</v>
      </c>
      <c r="AB9438">
        <v>25</v>
      </c>
      <c r="AC9438">
        <v>0.182799999999986</v>
      </c>
      <c r="AD9438">
        <v>-1.1193508619829999</v>
      </c>
      <c r="AE9438">
        <v>23.59545</v>
      </c>
      <c r="AF9438">
        <v>-0.19813795126924999</v>
      </c>
      <c r="AG9438">
        <v>-1.1193508619829999</v>
      </c>
      <c r="AH9438">
        <v>23.542343948326199</v>
      </c>
      <c r="AI9438">
        <v>92.722054838811204</v>
      </c>
      <c r="AJ9438">
        <v>90.4822034867084</v>
      </c>
      <c r="AK9438">
        <v>23.569772242880202</v>
      </c>
      <c r="AL9438">
        <v>92.562889778112293</v>
      </c>
      <c r="AM9438">
        <v>91.742098406913598</v>
      </c>
      <c r="AN9438">
        <v>1.0000000031604299</v>
      </c>
    </row>
    <row r="9439" spans="1:40" x14ac:dyDescent="0.25">
      <c r="A9439" t="str">
        <f>"20190303154023798"</f>
        <v>20190303154023798</v>
      </c>
      <c r="B9439" t="str">
        <f>"1551598823787102"</f>
        <v>1551598823787102</v>
      </c>
      <c r="C9439" t="s">
        <v>40</v>
      </c>
      <c r="D9439">
        <v>5.0563159999999998</v>
      </c>
      <c r="E9439">
        <v>0.50764409999999904</v>
      </c>
      <c r="F9439" t="s">
        <v>42</v>
      </c>
      <c r="G9439">
        <v>-188.12819999999999</v>
      </c>
      <c r="H9439" s="1">
        <v>-1.754014E-6</v>
      </c>
      <c r="I9439">
        <v>12.94745</v>
      </c>
      <c r="J9439">
        <v>-188.27889999999999</v>
      </c>
      <c r="K9439">
        <v>1.119372</v>
      </c>
      <c r="L9439">
        <v>-10.13861</v>
      </c>
      <c r="M9439">
        <v>1.8954950000000002E-2</v>
      </c>
      <c r="N9439">
        <v>-1.425016E-2</v>
      </c>
      <c r="O9439">
        <v>0.99971880000000002</v>
      </c>
      <c r="P9439">
        <v>-1.471658E-2</v>
      </c>
      <c r="Q9439">
        <v>-5.9736980000000002E-2</v>
      </c>
      <c r="R9439">
        <v>0.99810560000000004</v>
      </c>
      <c r="S9439">
        <v>2.0324709999999999E-2</v>
      </c>
      <c r="T9439">
        <v>-0.14366099999999901</v>
      </c>
      <c r="U9439">
        <v>2.9973139999999998</v>
      </c>
      <c r="V9439">
        <v>-3.3841089999999997E-2</v>
      </c>
      <c r="W9439">
        <v>-4.5361249999999999E-2</v>
      </c>
      <c r="X9439">
        <v>0.99839730000000004</v>
      </c>
      <c r="Y9439">
        <v>-1.217528E-2</v>
      </c>
      <c r="Z9439">
        <v>-3.3621959999999999E-2</v>
      </c>
      <c r="AA9439">
        <v>0.99936040000000004</v>
      </c>
      <c r="AB9439">
        <v>25</v>
      </c>
      <c r="AC9439">
        <v>0.1507</v>
      </c>
      <c r="AD9439">
        <v>-1.1193737540140001</v>
      </c>
      <c r="AE9439">
        <v>23.08606</v>
      </c>
      <c r="AF9439">
        <v>-0.286293578468924</v>
      </c>
      <c r="AG9439">
        <v>-1.1193737540140001</v>
      </c>
      <c r="AH9439">
        <v>23.030625848072599</v>
      </c>
      <c r="AI9439">
        <v>92.782382804192594</v>
      </c>
      <c r="AJ9439">
        <v>90.712206823937095</v>
      </c>
      <c r="AK9439">
        <v>23.059589947962099</v>
      </c>
      <c r="AL9439">
        <v>92.599900269555604</v>
      </c>
      <c r="AM9439">
        <v>91.941320944388593</v>
      </c>
      <c r="AN9439">
        <v>1.0000000155106199</v>
      </c>
    </row>
    <row r="9440" spans="1:40" x14ac:dyDescent="0.25">
      <c r="A9440" t="str">
        <f>"20190303154023822"</f>
        <v>20190303154023822</v>
      </c>
      <c r="B9440" t="str">
        <f>"1551598823817359"</f>
        <v>1551598823817359</v>
      </c>
      <c r="C9440" t="s">
        <v>40</v>
      </c>
      <c r="D9440">
        <v>4.9501720000000002</v>
      </c>
      <c r="E9440">
        <v>0.50763270000000005</v>
      </c>
      <c r="F9440" t="s">
        <v>42</v>
      </c>
      <c r="G9440">
        <v>-188.15199999999999</v>
      </c>
      <c r="H9440" s="1">
        <v>-1.632275E-6</v>
      </c>
      <c r="I9440">
        <v>12.67352</v>
      </c>
      <c r="J9440">
        <v>-188.2706</v>
      </c>
      <c r="K9440">
        <v>1.1194219999999999</v>
      </c>
      <c r="L9440">
        <v>-9.8690800000000003</v>
      </c>
      <c r="M9440">
        <v>2.1726740000000001E-2</v>
      </c>
      <c r="N9440">
        <v>-1.4345709999999999E-2</v>
      </c>
      <c r="O9440">
        <v>0.99966100000000002</v>
      </c>
      <c r="P9440">
        <v>-1.5641149999999999E-2</v>
      </c>
      <c r="Q9440">
        <v>-5.9598409999999997E-2</v>
      </c>
      <c r="R9440">
        <v>0.99809990000000004</v>
      </c>
      <c r="S9440">
        <v>1.6677859999999999E-2</v>
      </c>
      <c r="T9440">
        <v>-0.147067</v>
      </c>
      <c r="U9440">
        <v>2.997131</v>
      </c>
      <c r="V9440">
        <v>-3.752656E-2</v>
      </c>
      <c r="W9440">
        <v>-4.5115589999999997E-2</v>
      </c>
      <c r="X9440">
        <v>0.99827670000000002</v>
      </c>
      <c r="Y9440">
        <v>-1.6161419999999999E-2</v>
      </c>
      <c r="Z9440">
        <v>-3.4656689999999997E-2</v>
      </c>
      <c r="AA9440">
        <v>0.99926859999999995</v>
      </c>
      <c r="AB9440">
        <v>25</v>
      </c>
      <c r="AC9440">
        <v>0.11859999999998599</v>
      </c>
      <c r="AD9440">
        <v>-1.119423632275</v>
      </c>
      <c r="AE9440">
        <v>22.5426</v>
      </c>
      <c r="AF9440">
        <v>-0.37034241139643298</v>
      </c>
      <c r="AG9440">
        <v>-1.119423632275</v>
      </c>
      <c r="AH9440">
        <v>22.484411228307</v>
      </c>
      <c r="AI9440">
        <v>92.849825920890297</v>
      </c>
      <c r="AJ9440">
        <v>90.943637721295502</v>
      </c>
      <c r="AK9440">
        <v>22.515306150567699</v>
      </c>
      <c r="AL9440">
        <v>92.585810566471395</v>
      </c>
      <c r="AM9440">
        <v>92.152811524047607</v>
      </c>
      <c r="AN9440">
        <v>1.0000000144646799</v>
      </c>
    </row>
    <row r="9441" spans="1:40" x14ac:dyDescent="0.25">
      <c r="A9441" t="str">
        <f>"20190303154023844"</f>
        <v>20190303154023844</v>
      </c>
      <c r="B9441" t="str">
        <f>"1551598823837855"</f>
        <v>1551598823837855</v>
      </c>
      <c r="C9441" t="s">
        <v>40</v>
      </c>
      <c r="D9441">
        <v>5.033506</v>
      </c>
      <c r="E9441">
        <v>0.53218869999999996</v>
      </c>
      <c r="F9441" t="s">
        <v>42</v>
      </c>
      <c r="G9441">
        <v>-188.1662</v>
      </c>
      <c r="H9441" s="1">
        <v>-1.733724E-6</v>
      </c>
      <c r="I9441">
        <v>12.91587</v>
      </c>
      <c r="J9441">
        <v>-188.2619</v>
      </c>
      <c r="K9441">
        <v>1.11948</v>
      </c>
      <c r="L9441">
        <v>-9.6098330000000001</v>
      </c>
      <c r="M9441">
        <v>2.4329980000000001E-2</v>
      </c>
      <c r="N9441">
        <v>-1.4424620000000001E-2</v>
      </c>
      <c r="O9441">
        <v>0.99959989999999999</v>
      </c>
      <c r="P9441">
        <v>-1.571972E-2</v>
      </c>
      <c r="Q9441">
        <v>-5.8195839999999999E-2</v>
      </c>
      <c r="R9441">
        <v>0.9981814</v>
      </c>
      <c r="S9441">
        <v>1.3732909999999999E-2</v>
      </c>
      <c r="T9441">
        <v>-0.14724889999999999</v>
      </c>
      <c r="U9441">
        <v>2.997131</v>
      </c>
      <c r="V9441">
        <v>-4.019238E-2</v>
      </c>
      <c r="W9441">
        <v>-4.3627640000000002E-2</v>
      </c>
      <c r="X9441">
        <v>0.99823899999999999</v>
      </c>
      <c r="Y9441">
        <v>-1.974534E-2</v>
      </c>
      <c r="Z9441">
        <v>-3.4632379999999997E-2</v>
      </c>
      <c r="AA9441">
        <v>0.99920509999999996</v>
      </c>
      <c r="AB9441">
        <v>25</v>
      </c>
      <c r="AC9441">
        <v>9.5699999999993596E-2</v>
      </c>
      <c r="AD9441">
        <v>-1.1194817337239999</v>
      </c>
      <c r="AE9441">
        <v>22.525703</v>
      </c>
      <c r="AF9441">
        <v>-0.45132057826928201</v>
      </c>
      <c r="AG9441">
        <v>-1.1194817337239999</v>
      </c>
      <c r="AH9441">
        <v>22.465875024047101</v>
      </c>
      <c r="AI9441">
        <v>92.852132905302597</v>
      </c>
      <c r="AJ9441">
        <v>91.150869330113807</v>
      </c>
      <c r="AK9441">
        <v>22.498277049867902</v>
      </c>
      <c r="AL9441">
        <v>92.500473417414995</v>
      </c>
      <c r="AM9441">
        <v>92.305670827954003</v>
      </c>
      <c r="AN9441">
        <v>0.99999994975151496</v>
      </c>
    </row>
    <row r="9442" spans="1:40" x14ac:dyDescent="0.25">
      <c r="A9442" t="str">
        <f>"20190303154023863"</f>
        <v>20190303154023863</v>
      </c>
      <c r="B9442" t="str">
        <f>"1551598823857376"</f>
        <v>1551598823857376</v>
      </c>
      <c r="C9442" t="s">
        <v>40</v>
      </c>
      <c r="D9442">
        <v>5.0448570000000004</v>
      </c>
      <c r="E9442">
        <v>0.53320149999999999</v>
      </c>
      <c r="F9442" t="s">
        <v>42</v>
      </c>
      <c r="G9442">
        <v>-186.43279999999999</v>
      </c>
      <c r="H9442" s="1">
        <v>-3.6302750000000002E-6</v>
      </c>
      <c r="I9442">
        <v>16.620059999999999</v>
      </c>
      <c r="J9442">
        <v>-188.2543</v>
      </c>
      <c r="K9442">
        <v>1.1195520000000001</v>
      </c>
      <c r="L9442">
        <v>-9.3959960000000002</v>
      </c>
      <c r="M9442">
        <v>2.640151E-2</v>
      </c>
      <c r="N9442">
        <v>-1.4480399999999999E-2</v>
      </c>
      <c r="O9442">
        <v>0.9995465</v>
      </c>
      <c r="P9442">
        <v>-1.5564690000000001E-2</v>
      </c>
      <c r="Q9442">
        <v>-5.7102390000000003E-2</v>
      </c>
      <c r="R9442">
        <v>0.998247</v>
      </c>
      <c r="S9442">
        <v>0.20928959999999999</v>
      </c>
      <c r="T9442">
        <v>-0.12809369999999901</v>
      </c>
      <c r="U9442">
        <v>3.0012819999999998</v>
      </c>
      <c r="V9442">
        <v>-4.2095529999999999E-2</v>
      </c>
      <c r="W9442">
        <v>-4.2476529999999998E-2</v>
      </c>
      <c r="X9442">
        <v>0.99821029999999999</v>
      </c>
      <c r="Y9442">
        <v>4.3154619999999998E-2</v>
      </c>
      <c r="Z9442">
        <v>-2.8088720000000001E-2</v>
      </c>
      <c r="AA9442">
        <v>0.99867349999999999</v>
      </c>
      <c r="AB9442">
        <v>25</v>
      </c>
      <c r="AC9442">
        <v>1.8215000000000101</v>
      </c>
      <c r="AD9442">
        <v>-1.119555630275</v>
      </c>
      <c r="AE9442">
        <v>26.016055999999999</v>
      </c>
      <c r="AF9442">
        <v>1.1318439235631199</v>
      </c>
      <c r="AG9442">
        <v>-1.119555630275</v>
      </c>
      <c r="AH9442">
        <v>26.007154096501498</v>
      </c>
      <c r="AI9442">
        <v>92.462617937436207</v>
      </c>
      <c r="AJ9442">
        <v>87.508032462179898</v>
      </c>
      <c r="AK9442">
        <v>26.0558350408457</v>
      </c>
      <c r="AL9442">
        <v>92.434458223740094</v>
      </c>
      <c r="AM9442">
        <v>92.414789711320097</v>
      </c>
      <c r="AN9442">
        <v>1.00000004613645</v>
      </c>
    </row>
    <row r="9443" spans="1:40" x14ac:dyDescent="0.25">
      <c r="A9443" t="str">
        <f>"20190303154023885"</f>
        <v>20190303154023885</v>
      </c>
      <c r="B9443" t="str">
        <f>"1551598823877871"</f>
        <v>1551598823877871</v>
      </c>
      <c r="C9443" t="s">
        <v>40</v>
      </c>
      <c r="D9443">
        <v>5.0394629999999996</v>
      </c>
      <c r="E9443">
        <v>0.53310760000000001</v>
      </c>
      <c r="F9443" t="s">
        <v>42</v>
      </c>
      <c r="G9443">
        <v>-186.58580000000001</v>
      </c>
      <c r="H9443" s="1">
        <v>-2.2942489999999999E-6</v>
      </c>
      <c r="I9443">
        <v>13.569000000000001</v>
      </c>
      <c r="J9443">
        <v>-188.24469999999999</v>
      </c>
      <c r="K9443">
        <v>1.1196489999999999</v>
      </c>
      <c r="L9443">
        <v>-9.1391910000000003</v>
      </c>
      <c r="M9443">
        <v>2.877383E-2</v>
      </c>
      <c r="N9443">
        <v>-1.4537949999999999E-2</v>
      </c>
      <c r="O9443">
        <v>0.99948020000000004</v>
      </c>
      <c r="P9443">
        <v>-1.401407E-2</v>
      </c>
      <c r="Q9443">
        <v>-5.7155110000000002E-2</v>
      </c>
      <c r="R9443">
        <v>0.99826689999999996</v>
      </c>
      <c r="S9443">
        <v>0.21798709999999999</v>
      </c>
      <c r="T9443">
        <v>-0.14626620000000001</v>
      </c>
      <c r="U9443">
        <v>3.000305</v>
      </c>
      <c r="V9443">
        <v>-4.2903740000000003E-2</v>
      </c>
      <c r="W9443">
        <v>-4.247882E-2</v>
      </c>
      <c r="X9443">
        <v>0.9981757</v>
      </c>
      <c r="Y9443">
        <v>4.3670630000000002E-2</v>
      </c>
      <c r="Z9443">
        <v>-3.4064589999999999E-2</v>
      </c>
      <c r="AA9443">
        <v>0.99846509999999999</v>
      </c>
      <c r="AB9443">
        <v>25</v>
      </c>
      <c r="AC9443">
        <v>1.6588999999999801</v>
      </c>
      <c r="AD9443">
        <v>-1.11965129424899</v>
      </c>
      <c r="AE9443">
        <v>22.708190999999999</v>
      </c>
      <c r="AF9443">
        <v>1.00231849313642</v>
      </c>
      <c r="AG9443">
        <v>-1.11965129424899</v>
      </c>
      <c r="AH9443">
        <v>22.691652044333999</v>
      </c>
      <c r="AI9443">
        <v>92.822049632272098</v>
      </c>
      <c r="AJ9443">
        <v>87.4708181978515</v>
      </c>
      <c r="AK9443">
        <v>22.741357344792</v>
      </c>
      <c r="AL9443">
        <v>92.434589772680894</v>
      </c>
      <c r="AM9443">
        <v>92.461181020531399</v>
      </c>
      <c r="AN9443">
        <v>0.99999995456253399</v>
      </c>
    </row>
    <row r="9444" spans="1:40" x14ac:dyDescent="0.25">
      <c r="A9444" t="str">
        <f>"20190303154023909"</f>
        <v>20190303154023909</v>
      </c>
      <c r="B9444" t="str">
        <f>"1551598823897390"</f>
        <v>1551598823897390</v>
      </c>
      <c r="C9444" t="s">
        <v>40</v>
      </c>
      <c r="D9444">
        <v>5.0380390000000004</v>
      </c>
      <c r="E9444">
        <v>0.53343499999999999</v>
      </c>
      <c r="F9444" t="s">
        <v>42</v>
      </c>
      <c r="G9444">
        <v>-186.69489999999999</v>
      </c>
      <c r="H9444" s="1">
        <v>-1.617607E-6</v>
      </c>
      <c r="I9444">
        <v>11.817310000000001</v>
      </c>
      <c r="J9444">
        <v>-188.2346</v>
      </c>
      <c r="K9444">
        <v>1.119769</v>
      </c>
      <c r="L9444">
        <v>-8.8795780000000004</v>
      </c>
      <c r="M9444">
        <v>3.1010159999999998E-2</v>
      </c>
      <c r="N9444">
        <v>-1.458655E-2</v>
      </c>
      <c r="O9444">
        <v>0.99941270000000004</v>
      </c>
      <c r="P9444">
        <v>-1.2104419999999999E-2</v>
      </c>
      <c r="Q9444">
        <v>-5.8386590000000002E-2</v>
      </c>
      <c r="R9444">
        <v>0.99822069999999996</v>
      </c>
      <c r="S9444">
        <v>0.22180179999999999</v>
      </c>
      <c r="T9444">
        <v>-0.1602365</v>
      </c>
      <c r="U9444">
        <v>2.9991460000000001</v>
      </c>
      <c r="V9444">
        <v>-4.3217070000000003E-2</v>
      </c>
      <c r="W9444">
        <v>-4.3674659999999997E-2</v>
      </c>
      <c r="X9444">
        <v>0.99811059999999996</v>
      </c>
      <c r="Y9444">
        <v>4.2712800000000002E-2</v>
      </c>
      <c r="Z9444">
        <v>-3.8661229999999998E-2</v>
      </c>
      <c r="AA9444">
        <v>0.99833910000000003</v>
      </c>
      <c r="AB9444">
        <v>25</v>
      </c>
      <c r="AC9444">
        <v>1.5397000000000101</v>
      </c>
      <c r="AD9444">
        <v>-1.1197706176069999</v>
      </c>
      <c r="AE9444">
        <v>20.696888000000001</v>
      </c>
      <c r="AF9444">
        <v>0.89447343563595405</v>
      </c>
      <c r="AG9444">
        <v>-1.1197706176069999</v>
      </c>
      <c r="AH9444">
        <v>20.674498829244602</v>
      </c>
      <c r="AI9444">
        <v>93.097328642075993</v>
      </c>
      <c r="AJ9444">
        <v>87.522667304809801</v>
      </c>
      <c r="AK9444">
        <v>20.724113269415099</v>
      </c>
      <c r="AL9444">
        <v>92.503169958537597</v>
      </c>
      <c r="AM9444">
        <v>92.479294404708895</v>
      </c>
      <c r="AN9444">
        <v>0.99999998044893001</v>
      </c>
    </row>
    <row r="9445" spans="1:40" x14ac:dyDescent="0.25">
      <c r="A9445" t="str">
        <f>"20190303154023931"</f>
        <v>20190303154023931</v>
      </c>
      <c r="B9445" t="str">
        <f>"1551598823927647"</f>
        <v>1551598823927647</v>
      </c>
      <c r="C9445" t="s">
        <v>40</v>
      </c>
      <c r="D9445">
        <v>5.0404660000000003</v>
      </c>
      <c r="E9445">
        <v>0.53409059999999997</v>
      </c>
      <c r="F9445" t="s">
        <v>42</v>
      </c>
      <c r="G9445">
        <v>-186.72190000000001</v>
      </c>
      <c r="H9445" s="1">
        <v>-1.2692919999999899E-6</v>
      </c>
      <c r="I9445">
        <v>10.814870000000001</v>
      </c>
      <c r="J9445">
        <v>-188.22479999999999</v>
      </c>
      <c r="K9445">
        <v>1.1199030000000001</v>
      </c>
      <c r="L9445">
        <v>-8.6369319999999998</v>
      </c>
      <c r="M9445">
        <v>3.2906190000000002E-2</v>
      </c>
      <c r="N9445">
        <v>-1.462368E-2</v>
      </c>
      <c r="O9445">
        <v>0.9993514</v>
      </c>
      <c r="P9445">
        <v>-1.012569E-2</v>
      </c>
      <c r="Q9445">
        <v>-5.920243E-2</v>
      </c>
      <c r="R9445">
        <v>0.99819460000000004</v>
      </c>
      <c r="S9445">
        <v>0.23028560000000001</v>
      </c>
      <c r="T9445">
        <v>-0.17046739999999999</v>
      </c>
      <c r="U9445">
        <v>2.9981689999999999</v>
      </c>
      <c r="V9445">
        <v>-4.311798E-2</v>
      </c>
      <c r="W9445">
        <v>-4.4469109999999999E-2</v>
      </c>
      <c r="X9445">
        <v>0.99807979999999996</v>
      </c>
      <c r="Y9445">
        <v>4.363823E-2</v>
      </c>
      <c r="Z9445">
        <v>-4.2021500000000003E-2</v>
      </c>
      <c r="AA9445">
        <v>0.99816329999999998</v>
      </c>
      <c r="AB9445">
        <v>25</v>
      </c>
      <c r="AC9445">
        <v>1.5028999999999799</v>
      </c>
      <c r="AD9445">
        <v>-1.119904269292</v>
      </c>
      <c r="AE9445">
        <v>19.451802000000001</v>
      </c>
      <c r="AF9445">
        <v>0.85910198869735899</v>
      </c>
      <c r="AG9445">
        <v>-1.119904269292</v>
      </c>
      <c r="AH9445">
        <v>19.426714223444701</v>
      </c>
      <c r="AI9445">
        <v>93.296100689797001</v>
      </c>
      <c r="AJ9445">
        <v>87.467875030992005</v>
      </c>
      <c r="AK9445">
        <v>19.4779225616787</v>
      </c>
      <c r="AL9445">
        <v>92.548732878329702</v>
      </c>
      <c r="AM9445">
        <v>92.473693077686207</v>
      </c>
      <c r="AN9445">
        <v>0.99999997455575595</v>
      </c>
    </row>
    <row r="9446" spans="1:40" x14ac:dyDescent="0.25">
      <c r="A9446" t="str">
        <f>"20190303154023953"</f>
        <v>20190303154023953</v>
      </c>
      <c r="B9446" t="str">
        <f>"1551598823947167"</f>
        <v>1551598823947167</v>
      </c>
      <c r="C9446" t="s">
        <v>40</v>
      </c>
      <c r="D9446">
        <v>5.0336980000000002</v>
      </c>
      <c r="E9446">
        <v>0.53429130000000002</v>
      </c>
      <c r="F9446" t="s">
        <v>42</v>
      </c>
      <c r="G9446">
        <v>-186.69309999999999</v>
      </c>
      <c r="H9446" s="1">
        <v>-1.1287859999999999E-6</v>
      </c>
      <c r="I9446">
        <v>10.37947</v>
      </c>
      <c r="J9446">
        <v>-188.21420000000001</v>
      </c>
      <c r="K9446">
        <v>1.120063</v>
      </c>
      <c r="L9446">
        <v>-8.3821720000000006</v>
      </c>
      <c r="M9446">
        <v>3.4673860000000001E-2</v>
      </c>
      <c r="N9446">
        <v>-1.4655690000000001E-2</v>
      </c>
      <c r="O9446">
        <v>0.99929120000000005</v>
      </c>
      <c r="P9446">
        <v>-7.2482519999999898E-3</v>
      </c>
      <c r="Q9446">
        <v>-5.9979629999999999E-2</v>
      </c>
      <c r="R9446">
        <v>0.99817330000000004</v>
      </c>
      <c r="S9446">
        <v>0.24142459999999999</v>
      </c>
      <c r="T9446">
        <v>-0.1765217</v>
      </c>
      <c r="U9446">
        <v>2.9974059999999998</v>
      </c>
      <c r="V9446">
        <v>-4.1990010000000001E-2</v>
      </c>
      <c r="W9446">
        <v>-4.5234770000000001E-2</v>
      </c>
      <c r="X9446">
        <v>0.99809349999999997</v>
      </c>
      <c r="Y9446">
        <v>4.5568329999999997E-2</v>
      </c>
      <c r="Z9446">
        <v>-4.399525E-2</v>
      </c>
      <c r="AA9446">
        <v>0.99799199999999999</v>
      </c>
      <c r="AB9446">
        <v>25</v>
      </c>
      <c r="AC9446">
        <v>1.5211000000000101</v>
      </c>
      <c r="AD9446">
        <v>-1.120064128786</v>
      </c>
      <c r="AE9446">
        <v>18.761641999999998</v>
      </c>
      <c r="AF9446">
        <v>0.86650858806977904</v>
      </c>
      <c r="AG9446">
        <v>-1.120064128786</v>
      </c>
      <c r="AH9446">
        <v>18.736763190443401</v>
      </c>
      <c r="AI9446">
        <v>93.417366900192505</v>
      </c>
      <c r="AJ9446">
        <v>87.352160789179905</v>
      </c>
      <c r="AK9446">
        <v>18.7902015859475</v>
      </c>
      <c r="AL9446">
        <v>92.592646119207103</v>
      </c>
      <c r="AM9446">
        <v>92.409025292784307</v>
      </c>
      <c r="AN9446">
        <v>0.99999999004950102</v>
      </c>
    </row>
    <row r="9447" spans="1:40" x14ac:dyDescent="0.25">
      <c r="A9447" t="str">
        <f>"20190303154023975"</f>
        <v>20190303154023975</v>
      </c>
      <c r="B9447" t="str">
        <f>"1551598823967663"</f>
        <v>1551598823967663</v>
      </c>
      <c r="C9447" t="s">
        <v>40</v>
      </c>
      <c r="D9447">
        <v>5.0191489999999996</v>
      </c>
      <c r="E9447">
        <v>0.53434309999999996</v>
      </c>
      <c r="F9447" t="s">
        <v>42</v>
      </c>
      <c r="G9447">
        <v>-186.65629999999999</v>
      </c>
      <c r="H9447" s="1">
        <v>-1.0633920000000001E-6</v>
      </c>
      <c r="I9447">
        <v>10.15855</v>
      </c>
      <c r="J9447">
        <v>-188.2039</v>
      </c>
      <c r="K9447">
        <v>1.120209</v>
      </c>
      <c r="L9447">
        <v>-8.1382449999999995</v>
      </c>
      <c r="M9447">
        <v>3.6182329999999999E-2</v>
      </c>
      <c r="N9447">
        <v>-1.4681140000000001E-2</v>
      </c>
      <c r="O9447">
        <v>0.99923740000000005</v>
      </c>
      <c r="P9447">
        <v>-4.344461E-3</v>
      </c>
      <c r="Q9447">
        <v>-6.1007680000000002E-2</v>
      </c>
      <c r="R9447">
        <v>0.99812780000000001</v>
      </c>
      <c r="S9447">
        <v>0.25176999999999999</v>
      </c>
      <c r="T9447">
        <v>-0.18101739999999999</v>
      </c>
      <c r="U9447">
        <v>2.996429</v>
      </c>
      <c r="V9447">
        <v>-4.0577889999999998E-2</v>
      </c>
      <c r="W9447">
        <v>-4.6256209999999999E-2</v>
      </c>
      <c r="X9447">
        <v>0.99810509999999997</v>
      </c>
      <c r="Y9447">
        <v>4.7501599999999998E-2</v>
      </c>
      <c r="Z9447">
        <v>-4.5463679999999999E-2</v>
      </c>
      <c r="AA9447">
        <v>0.99783599999999995</v>
      </c>
      <c r="AB9447">
        <v>25</v>
      </c>
      <c r="AC9447">
        <v>1.5476000000000101</v>
      </c>
      <c r="AD9447">
        <v>-1.120210063392</v>
      </c>
      <c r="AE9447">
        <v>18.296794999999999</v>
      </c>
      <c r="AF9447">
        <v>0.88121471240195304</v>
      </c>
      <c r="AG9447">
        <v>-1.120210063392</v>
      </c>
      <c r="AH9447">
        <v>18.272805871318099</v>
      </c>
      <c r="AI9447">
        <v>93.504051706925495</v>
      </c>
      <c r="AJ9447">
        <v>87.239022984733793</v>
      </c>
      <c r="AK9447">
        <v>18.328307187690701</v>
      </c>
      <c r="AL9447">
        <v>92.651231638187596</v>
      </c>
      <c r="AM9447">
        <v>92.328073668256707</v>
      </c>
      <c r="AN9447">
        <v>0.99999999638321302</v>
      </c>
    </row>
    <row r="9448" spans="1:40" x14ac:dyDescent="0.25">
      <c r="A9448" t="str">
        <f>"20190303154023990"</f>
        <v>20190303154023990</v>
      </c>
      <c r="B9448" t="str">
        <f>"1551598823987183"</f>
        <v>1551598823987183</v>
      </c>
      <c r="C9448" t="s">
        <v>40</v>
      </c>
      <c r="D9448">
        <v>4.9917899999999999</v>
      </c>
      <c r="E9448">
        <v>0.53438540000000001</v>
      </c>
      <c r="F9448" t="s">
        <v>42</v>
      </c>
      <c r="G9448">
        <v>-186.63460000000001</v>
      </c>
      <c r="H9448" s="1">
        <v>-9.7212379999999991E-7</v>
      </c>
      <c r="I9448">
        <v>9.8734070000000003</v>
      </c>
      <c r="J9448">
        <v>-188.197</v>
      </c>
      <c r="K9448">
        <v>1.120301</v>
      </c>
      <c r="L9448">
        <v>-7.9758909999999998</v>
      </c>
      <c r="M9448">
        <v>3.7099300000000002E-2</v>
      </c>
      <c r="N9448">
        <v>-1.4695929999999999E-2</v>
      </c>
      <c r="O9448">
        <v>0.99920350000000002</v>
      </c>
      <c r="P9448">
        <v>-2.6817830000000001E-3</v>
      </c>
      <c r="Q9448">
        <v>-6.1463030000000002E-2</v>
      </c>
      <c r="R9448">
        <v>0.99810580000000004</v>
      </c>
      <c r="S9448">
        <v>0.26097110000000001</v>
      </c>
      <c r="T9448">
        <v>-0.1862924</v>
      </c>
      <c r="U9448">
        <v>2.9953609999999999</v>
      </c>
      <c r="V9448">
        <v>-3.9821259999999997E-2</v>
      </c>
      <c r="W9448">
        <v>-4.6707659999999998E-2</v>
      </c>
      <c r="X9448">
        <v>0.99811450000000002</v>
      </c>
      <c r="Y9448">
        <v>4.9648480000000002E-2</v>
      </c>
      <c r="Z9448">
        <v>-4.7204019999999999E-2</v>
      </c>
      <c r="AA9448">
        <v>0.99765060000000005</v>
      </c>
      <c r="AB9448">
        <v>25</v>
      </c>
      <c r="AC9448">
        <v>1.56239999999999</v>
      </c>
      <c r="AD9448">
        <v>-1.1203019721237999</v>
      </c>
      <c r="AE9448">
        <v>17.849298000000001</v>
      </c>
      <c r="AF9448">
        <v>0.89555508712475795</v>
      </c>
      <c r="AG9448">
        <v>-1.1203019721237999</v>
      </c>
      <c r="AH9448">
        <v>17.8252911463922</v>
      </c>
      <c r="AI9448">
        <v>93.591734897987195</v>
      </c>
      <c r="AJ9448">
        <v>87.123838293913195</v>
      </c>
      <c r="AK9448">
        <v>17.8828996495666</v>
      </c>
      <c r="AL9448">
        <v>92.677125939532502</v>
      </c>
      <c r="AM9448">
        <v>92.284688509786093</v>
      </c>
      <c r="AN9448">
        <v>0.999999946680455</v>
      </c>
    </row>
    <row r="9449" spans="1:40" x14ac:dyDescent="0.25">
      <c r="A9449" t="str">
        <f>"20190303154024011"</f>
        <v>20190303154024011</v>
      </c>
      <c r="B9449" t="str">
        <f>"1551598824007679"</f>
        <v>1551598824007679</v>
      </c>
      <c r="C9449" t="s">
        <v>40</v>
      </c>
      <c r="D9449">
        <v>5.0224729999999997</v>
      </c>
      <c r="E9449">
        <v>0.53432489999999999</v>
      </c>
      <c r="F9449" t="s">
        <v>42</v>
      </c>
      <c r="G9449">
        <v>-186.61590000000001</v>
      </c>
      <c r="H9449" s="1">
        <v>-9.572889000000001E-7</v>
      </c>
      <c r="I9449">
        <v>9.8151510000000002</v>
      </c>
      <c r="J9449">
        <v>-188.18680000000001</v>
      </c>
      <c r="K9449">
        <v>1.120436</v>
      </c>
      <c r="L9449">
        <v>-7.7400509999999896</v>
      </c>
      <c r="M9449">
        <v>3.8238439999999999E-2</v>
      </c>
      <c r="N9449">
        <v>-1.471361E-2</v>
      </c>
      <c r="O9449">
        <v>0.9991603</v>
      </c>
      <c r="P9449">
        <v>-3.9189269999999999E-4</v>
      </c>
      <c r="Q9449">
        <v>-6.2304129999999999E-2</v>
      </c>
      <c r="R9449">
        <v>0.99805710000000003</v>
      </c>
      <c r="S9449">
        <v>0.26614379999999999</v>
      </c>
      <c r="T9449">
        <v>-0.18858150000000001</v>
      </c>
      <c r="U9449">
        <v>2.9947810000000001</v>
      </c>
      <c r="V9449">
        <v>-3.8655080000000001E-2</v>
      </c>
      <c r="W9449">
        <v>-4.7546129999999999E-2</v>
      </c>
      <c r="X9449">
        <v>0.99812080000000003</v>
      </c>
      <c r="Y9449">
        <v>5.0232659999999998E-2</v>
      </c>
      <c r="Z9449">
        <v>-4.7947660000000003E-2</v>
      </c>
      <c r="AA9449">
        <v>0.99758599999999997</v>
      </c>
      <c r="AB9449">
        <v>25</v>
      </c>
      <c r="AC9449">
        <v>1.57089999999999</v>
      </c>
      <c r="AD9449">
        <v>-1.1204369572888999</v>
      </c>
      <c r="AE9449">
        <v>17.555201999999898</v>
      </c>
      <c r="AF9449">
        <v>0.89477875111113403</v>
      </c>
      <c r="AG9449">
        <v>-1.1204369572888999</v>
      </c>
      <c r="AH9449">
        <v>17.531588486169898</v>
      </c>
      <c r="AI9449">
        <v>93.652037035959594</v>
      </c>
      <c r="AJ9449">
        <v>87.078268145635704</v>
      </c>
      <c r="AK9449">
        <v>17.590127993766899</v>
      </c>
      <c r="AL9449">
        <v>92.725220053141697</v>
      </c>
      <c r="AM9449">
        <v>92.217834417084106</v>
      </c>
      <c r="AN9449">
        <v>0.99999999054021105</v>
      </c>
    </row>
    <row r="9450" spans="1:40" x14ac:dyDescent="0.25">
      <c r="A9450" t="str">
        <f>"20190303154024034"</f>
        <v>20190303154024034</v>
      </c>
      <c r="B9450" t="str">
        <f>"1551598824027199"</f>
        <v>1551598824027199</v>
      </c>
      <c r="C9450" t="s">
        <v>40</v>
      </c>
      <c r="D9450">
        <v>5.0121219999999997</v>
      </c>
      <c r="E9450">
        <v>0.53427019999999903</v>
      </c>
      <c r="F9450" t="s">
        <v>42</v>
      </c>
      <c r="G9450">
        <v>-186.601</v>
      </c>
      <c r="H9450" s="1">
        <v>-9.1222930000000001E-7</v>
      </c>
      <c r="I9450">
        <v>9.671125</v>
      </c>
      <c r="J9450">
        <v>-188.1763</v>
      </c>
      <c r="K9450">
        <v>1.1205780000000001</v>
      </c>
      <c r="L9450">
        <v>-7.4984130000000002</v>
      </c>
      <c r="M9450">
        <v>3.9192749999999998E-2</v>
      </c>
      <c r="N9450">
        <v>-1.4728140000000001E-2</v>
      </c>
      <c r="O9450">
        <v>0.99912310000000004</v>
      </c>
      <c r="P9450">
        <v>1.25621E-3</v>
      </c>
      <c r="Q9450">
        <v>-6.1928230000000001E-2</v>
      </c>
      <c r="R9450">
        <v>0.99807979999999996</v>
      </c>
      <c r="S9450">
        <v>0.27267459999999999</v>
      </c>
      <c r="T9450">
        <v>-0.192664</v>
      </c>
      <c r="U9450">
        <v>2.9939269999999998</v>
      </c>
      <c r="V9450">
        <v>-3.794517E-2</v>
      </c>
      <c r="W9450">
        <v>-4.7169160000000002E-2</v>
      </c>
      <c r="X9450">
        <v>0.99816590000000005</v>
      </c>
      <c r="Y9450">
        <v>5.14552E-2</v>
      </c>
      <c r="Z9450">
        <v>-4.9291929999999998E-2</v>
      </c>
      <c r="AA9450">
        <v>0.99745810000000001</v>
      </c>
      <c r="AB9450">
        <v>25</v>
      </c>
      <c r="AC9450">
        <v>1.5752999999999899</v>
      </c>
      <c r="AD9450">
        <v>-1.1205789122293</v>
      </c>
      <c r="AE9450">
        <v>17.169537999999999</v>
      </c>
      <c r="AF9450">
        <v>0.89730472197887401</v>
      </c>
      <c r="AG9450">
        <v>-1.1205789122293</v>
      </c>
      <c r="AH9450">
        <v>17.145666461940099</v>
      </c>
      <c r="AI9450">
        <v>93.734231597251494</v>
      </c>
      <c r="AJ9450">
        <v>87.004204303856298</v>
      </c>
      <c r="AK9450">
        <v>17.205659861996502</v>
      </c>
      <c r="AL9450">
        <v>92.703597071454794</v>
      </c>
      <c r="AM9450">
        <v>92.177044632296798</v>
      </c>
      <c r="AN9450">
        <v>0.99999996475212105</v>
      </c>
    </row>
    <row r="9451" spans="1:40" x14ac:dyDescent="0.25">
      <c r="A9451" t="str">
        <f>"20190303154024053"</f>
        <v>20190303154024053</v>
      </c>
      <c r="B9451" t="str">
        <f>"1551598824047695"</f>
        <v>1551598824047695</v>
      </c>
      <c r="C9451" t="s">
        <v>40</v>
      </c>
      <c r="D9451">
        <v>5.0067839999999997</v>
      </c>
      <c r="E9451">
        <v>0.5342789</v>
      </c>
      <c r="F9451" t="s">
        <v>42</v>
      </c>
      <c r="G9451">
        <v>-186.55590000000001</v>
      </c>
      <c r="H9451" s="1">
        <v>-1.03971E-6</v>
      </c>
      <c r="I9451">
        <v>10.01046</v>
      </c>
      <c r="J9451">
        <v>-188.16650000000001</v>
      </c>
      <c r="K9451">
        <v>1.1207119999999999</v>
      </c>
      <c r="L9451">
        <v>-7.2729799999999996</v>
      </c>
      <c r="M9451">
        <v>3.9912139999999999E-2</v>
      </c>
      <c r="N9451">
        <v>-1.473912E-2</v>
      </c>
      <c r="O9451">
        <v>0.9990945</v>
      </c>
      <c r="P9451">
        <v>2.28152E-3</v>
      </c>
      <c r="Q9451">
        <v>-6.1464989999999997E-2</v>
      </c>
      <c r="R9451">
        <v>0.99810670000000001</v>
      </c>
      <c r="S9451">
        <v>0.27703860000000002</v>
      </c>
      <c r="T9451">
        <v>-0.19158790000000001</v>
      </c>
      <c r="U9451">
        <v>2.9935299999999998</v>
      </c>
      <c r="V9451">
        <v>-3.7624240000000003E-2</v>
      </c>
      <c r="W9451">
        <v>-4.6706810000000001E-2</v>
      </c>
      <c r="X9451">
        <v>0.99819979999999997</v>
      </c>
      <c r="Y9451">
        <v>5.2191340000000003E-2</v>
      </c>
      <c r="Z9451">
        <v>-4.8925950000000003E-2</v>
      </c>
      <c r="AA9451">
        <v>0.99743789999999999</v>
      </c>
      <c r="AB9451">
        <v>25</v>
      </c>
      <c r="AC9451">
        <v>1.6106</v>
      </c>
      <c r="AD9451">
        <v>-1.12071303971</v>
      </c>
      <c r="AE9451">
        <v>17.283439999999999</v>
      </c>
      <c r="AF9451">
        <v>0.91560573387025201</v>
      </c>
      <c r="AG9451">
        <v>-1.12071303971</v>
      </c>
      <c r="AH9451">
        <v>17.261999336768501</v>
      </c>
      <c r="AI9451">
        <v>93.709441392464001</v>
      </c>
      <c r="AJ9451">
        <v>86.963779894808496</v>
      </c>
      <c r="AK9451">
        <v>17.322556182038099</v>
      </c>
      <c r="AL9451">
        <v>92.677077108695798</v>
      </c>
      <c r="AM9451">
        <v>92.158576029187898</v>
      </c>
      <c r="AN9451">
        <v>0.99999997512799599</v>
      </c>
    </row>
    <row r="9452" spans="1:40" x14ac:dyDescent="0.25">
      <c r="A9452" t="str">
        <f>"20190303154024070"</f>
        <v>20190303154024070</v>
      </c>
      <c r="B9452" t="str">
        <f>"1551598824067214"</f>
        <v>1551598824067214</v>
      </c>
      <c r="C9452" t="s">
        <v>40</v>
      </c>
      <c r="D9452">
        <v>5.0042849999999897</v>
      </c>
      <c r="E9452">
        <v>0.53423909999999997</v>
      </c>
      <c r="F9452" t="s">
        <v>42</v>
      </c>
      <c r="G9452">
        <v>-186.52070000000001</v>
      </c>
      <c r="H9452" s="1">
        <v>-1.1510949999999999E-6</v>
      </c>
      <c r="I9452">
        <v>10.31021</v>
      </c>
      <c r="J9452">
        <v>-188.1585</v>
      </c>
      <c r="K9452">
        <v>1.120819</v>
      </c>
      <c r="L9452">
        <v>-7.0892330000000001</v>
      </c>
      <c r="M9452">
        <v>4.0393320000000003E-2</v>
      </c>
      <c r="N9452">
        <v>-1.474663E-2</v>
      </c>
      <c r="O9452">
        <v>0.99907509999999999</v>
      </c>
      <c r="P9452">
        <v>2.6210999999999999E-3</v>
      </c>
      <c r="Q9452">
        <v>-6.1280460000000002E-2</v>
      </c>
      <c r="R9452">
        <v>0.99811709999999998</v>
      </c>
      <c r="S9452">
        <v>0.28018189999999998</v>
      </c>
      <c r="T9452">
        <v>-0.1907874</v>
      </c>
      <c r="U9452">
        <v>2.9933169999999998</v>
      </c>
      <c r="V9452">
        <v>-3.7753549999999997E-2</v>
      </c>
      <c r="W9452">
        <v>-4.6524179999999998E-2</v>
      </c>
      <c r="X9452">
        <v>0.99820350000000002</v>
      </c>
      <c r="Y9452">
        <v>5.2756339999999999E-2</v>
      </c>
      <c r="Z9452">
        <v>-4.8652819999999999E-2</v>
      </c>
      <c r="AA9452">
        <v>0.99742149999999996</v>
      </c>
      <c r="AB9452">
        <v>25</v>
      </c>
      <c r="AC9452">
        <v>1.6377999999999899</v>
      </c>
      <c r="AD9452">
        <v>-1.120820151095</v>
      </c>
      <c r="AE9452">
        <v>17.399442999999899</v>
      </c>
      <c r="AF9452">
        <v>0.92974125237957495</v>
      </c>
      <c r="AG9452">
        <v>-1.120820151095</v>
      </c>
      <c r="AH9452">
        <v>17.3799173669384</v>
      </c>
      <c r="AI9452">
        <v>93.684606048051805</v>
      </c>
      <c r="AJ9452">
        <v>86.937872562276596</v>
      </c>
      <c r="AK9452">
        <v>17.440819484447498</v>
      </c>
      <c r="AL9452">
        <v>92.666601649773199</v>
      </c>
      <c r="AM9452">
        <v>92.165979721085904</v>
      </c>
      <c r="AN9452">
        <v>1.0000000286372599</v>
      </c>
    </row>
    <row r="9453" spans="1:40" x14ac:dyDescent="0.25">
      <c r="A9453" t="str">
        <f>"20190303154024086"</f>
        <v>20190303154024086</v>
      </c>
      <c r="B9453" t="str">
        <f>"1551598824077951"</f>
        <v>1551598824077951</v>
      </c>
      <c r="C9453" t="s">
        <v>40</v>
      </c>
      <c r="D9453">
        <v>5.0496540000000003</v>
      </c>
      <c r="E9453">
        <v>0.53416819999999998</v>
      </c>
      <c r="F9453" t="s">
        <v>42</v>
      </c>
      <c r="G9453">
        <v>-186.5127</v>
      </c>
      <c r="H9453" s="1">
        <v>-1.1998079999999999E-6</v>
      </c>
      <c r="I9453">
        <v>10.44713</v>
      </c>
      <c r="J9453">
        <v>-188.15029999999999</v>
      </c>
      <c r="K9453">
        <v>1.1209150000000001</v>
      </c>
      <c r="L9453">
        <v>-6.8990780000000003</v>
      </c>
      <c r="M9453">
        <v>4.0776E-2</v>
      </c>
      <c r="N9453">
        <v>-1.4752899999999999E-2</v>
      </c>
      <c r="O9453">
        <v>0.99905940000000004</v>
      </c>
      <c r="P9453">
        <v>3.1555519999999998E-3</v>
      </c>
      <c r="Q9453">
        <v>-6.1794799999999997E-2</v>
      </c>
      <c r="R9453">
        <v>0.99808390000000002</v>
      </c>
      <c r="S9453">
        <v>0.28091430000000001</v>
      </c>
      <c r="T9453">
        <v>-0.19130530000000001</v>
      </c>
      <c r="U9453">
        <v>2.9931640000000002</v>
      </c>
      <c r="V9453">
        <v>-3.758889E-2</v>
      </c>
      <c r="W9453">
        <v>-4.7042210000000001E-2</v>
      </c>
      <c r="X9453">
        <v>0.9981854</v>
      </c>
      <c r="Y9453">
        <v>5.2619699999999998E-2</v>
      </c>
      <c r="Z9453">
        <v>-4.881953E-2</v>
      </c>
      <c r="AA9453">
        <v>0.99742059999999999</v>
      </c>
      <c r="AB9453">
        <v>25</v>
      </c>
      <c r="AC9453">
        <v>1.63759999999999</v>
      </c>
      <c r="AD9453">
        <v>-1.1209161998079999</v>
      </c>
      <c r="AE9453">
        <v>17.346207999999901</v>
      </c>
      <c r="AF9453">
        <v>0.92502320893192402</v>
      </c>
      <c r="AG9453">
        <v>-1.1209161998079999</v>
      </c>
      <c r="AH9453">
        <v>17.3268464197014</v>
      </c>
      <c r="AI9453">
        <v>93.696197652209307</v>
      </c>
      <c r="AJ9453">
        <v>86.944068293308305</v>
      </c>
      <c r="AK9453">
        <v>17.3876889757085</v>
      </c>
      <c r="AL9453">
        <v>92.696315211059002</v>
      </c>
      <c r="AM9453">
        <v>92.156580927948795</v>
      </c>
      <c r="AN9453">
        <v>0.99999999347313795</v>
      </c>
    </row>
    <row r="9454" spans="1:40" x14ac:dyDescent="0.25">
      <c r="A9454" t="str">
        <f>"20190303154024111"</f>
        <v>20190303154024111</v>
      </c>
      <c r="B9454" t="str">
        <f>"1551598824097471"</f>
        <v>1551598824097471</v>
      </c>
      <c r="C9454" t="s">
        <v>40</v>
      </c>
      <c r="D9454">
        <v>5.0454369999999997</v>
      </c>
      <c r="E9454">
        <v>0.5340298</v>
      </c>
      <c r="F9454" t="s">
        <v>42</v>
      </c>
      <c r="G9454">
        <v>-186.51519999999999</v>
      </c>
      <c r="H9454" s="1">
        <v>-1.201328E-6</v>
      </c>
      <c r="I9454">
        <v>10.45354</v>
      </c>
      <c r="J9454">
        <v>-188.1396</v>
      </c>
      <c r="K9454">
        <v>1.121035</v>
      </c>
      <c r="L9454">
        <v>-6.6488039999999904</v>
      </c>
      <c r="M9454">
        <v>4.1149190000000002E-2</v>
      </c>
      <c r="N9454">
        <v>-1.475951E-2</v>
      </c>
      <c r="O9454">
        <v>0.99904400000000004</v>
      </c>
      <c r="P9454">
        <v>2.8156370000000002E-3</v>
      </c>
      <c r="Q9454">
        <v>-6.3688120000000001E-2</v>
      </c>
      <c r="R9454">
        <v>0.99796589999999996</v>
      </c>
      <c r="S9454">
        <v>0.28201290000000001</v>
      </c>
      <c r="T9454">
        <v>-0.1933298</v>
      </c>
      <c r="U9454">
        <v>2.9928889999999999</v>
      </c>
      <c r="V9454">
        <v>-3.8283640000000001E-2</v>
      </c>
      <c r="W9454">
        <v>-4.8941610000000003E-2</v>
      </c>
      <c r="X9454">
        <v>0.9980677</v>
      </c>
      <c r="Y9454">
        <v>5.2614769999999998E-2</v>
      </c>
      <c r="Z9454">
        <v>-4.9486629999999997E-2</v>
      </c>
      <c r="AA9454">
        <v>0.99738789999999999</v>
      </c>
      <c r="AB9454">
        <v>25</v>
      </c>
      <c r="AC9454">
        <v>1.6244000000000001</v>
      </c>
      <c r="AD9454">
        <v>-1.121036201328</v>
      </c>
      <c r="AE9454">
        <v>17.102343999999999</v>
      </c>
      <c r="AF9454">
        <v>0.91530203794083698</v>
      </c>
      <c r="AG9454">
        <v>-1.121036201328</v>
      </c>
      <c r="AH9454">
        <v>17.081966719850801</v>
      </c>
      <c r="AI9454">
        <v>93.749395781672803</v>
      </c>
      <c r="AJ9454">
        <v>86.932856696300206</v>
      </c>
      <c r="AK9454">
        <v>17.143164439607901</v>
      </c>
      <c r="AL9454">
        <v>92.805268284550294</v>
      </c>
      <c r="AM9454">
        <v>92.196660778699396</v>
      </c>
      <c r="AN9454">
        <v>1.00000002603216</v>
      </c>
    </row>
    <row r="9455" spans="1:40" x14ac:dyDescent="0.25">
      <c r="A9455" t="str">
        <f>"20190303154024132"</f>
        <v>20190303154024132</v>
      </c>
      <c r="B9455" t="str">
        <f>"1551598824127727"</f>
        <v>1551598824127727</v>
      </c>
      <c r="C9455" t="s">
        <v>40</v>
      </c>
      <c r="D9455">
        <v>5.0098549999999999</v>
      </c>
      <c r="E9455">
        <v>0.50868729999999995</v>
      </c>
      <c r="F9455" t="s">
        <v>42</v>
      </c>
      <c r="G9455">
        <v>-186.57169999999999</v>
      </c>
      <c r="H9455" s="1">
        <v>-1.073186E-6</v>
      </c>
      <c r="I9455">
        <v>10.12121</v>
      </c>
      <c r="J9455">
        <v>-188.12909999999999</v>
      </c>
      <c r="K9455">
        <v>1.1211230000000001</v>
      </c>
      <c r="L9455">
        <v>-6.403778</v>
      </c>
      <c r="M9455">
        <v>4.1370789999999998E-2</v>
      </c>
      <c r="N9455">
        <v>-1.47641E-2</v>
      </c>
      <c r="O9455">
        <v>0.9990348</v>
      </c>
      <c r="P9455">
        <v>2.6197400000000002E-3</v>
      </c>
      <c r="Q9455">
        <v>-6.483556E-2</v>
      </c>
      <c r="R9455">
        <v>0.99789249999999996</v>
      </c>
      <c r="S9455">
        <v>0.27976990000000002</v>
      </c>
      <c r="T9455">
        <v>-0.2000451</v>
      </c>
      <c r="U9455">
        <v>2.9925540000000002</v>
      </c>
      <c r="V9455">
        <v>-3.8686430000000001E-2</v>
      </c>
      <c r="W9455">
        <v>-5.0094350000000003E-2</v>
      </c>
      <c r="X9455">
        <v>0.99799499999999997</v>
      </c>
      <c r="Y9455">
        <v>5.1651809999999999E-2</v>
      </c>
      <c r="Z9455">
        <v>-5.1714429999999999E-2</v>
      </c>
      <c r="AA9455">
        <v>0.99732529999999997</v>
      </c>
      <c r="AB9455">
        <v>25</v>
      </c>
      <c r="AC9455">
        <v>1.5573999999999999</v>
      </c>
      <c r="AD9455">
        <v>-1.1211240731859999</v>
      </c>
      <c r="AE9455">
        <v>16.524988</v>
      </c>
      <c r="AF9455">
        <v>0.86837823815047499</v>
      </c>
      <c r="AG9455">
        <v>-1.1211240731859999</v>
      </c>
      <c r="AH9455">
        <v>16.499997070386101</v>
      </c>
      <c r="AI9455">
        <v>93.881741779471298</v>
      </c>
      <c r="AJ9455">
        <v>86.9873602232894</v>
      </c>
      <c r="AK9455">
        <v>16.560824353718601</v>
      </c>
      <c r="AL9455">
        <v>92.871396473079997</v>
      </c>
      <c r="AM9455">
        <v>92.219910835012698</v>
      </c>
      <c r="AN9455">
        <v>1.00000005189653</v>
      </c>
    </row>
    <row r="9456" spans="1:40" x14ac:dyDescent="0.25">
      <c r="A9456" t="str">
        <f>"20190303154024155"</f>
        <v>20190303154024155</v>
      </c>
      <c r="B9456" t="str">
        <f>"1551598824147248"</f>
        <v>1551598824147248</v>
      </c>
      <c r="C9456" t="s">
        <v>40</v>
      </c>
      <c r="D9456">
        <v>5.0099850000000004</v>
      </c>
      <c r="E9456">
        <v>0.49972470000000002</v>
      </c>
      <c r="F9456" t="s">
        <v>42</v>
      </c>
      <c r="G9456">
        <v>-187.49719999999999</v>
      </c>
      <c r="H9456" s="1">
        <v>-4.0774479999999998E-6</v>
      </c>
      <c r="I9456">
        <v>18.102530000000002</v>
      </c>
      <c r="J9456">
        <v>-188.1189</v>
      </c>
      <c r="K9456">
        <v>1.121184</v>
      </c>
      <c r="L9456">
        <v>-6.1629639999999997</v>
      </c>
      <c r="M9456">
        <v>4.1496230000000002E-2</v>
      </c>
      <c r="N9456">
        <v>-1.476716E-2</v>
      </c>
      <c r="O9456">
        <v>0.99902950000000001</v>
      </c>
      <c r="P9456">
        <v>1.9443290000000001E-3</v>
      </c>
      <c r="Q9456">
        <v>-6.4941830000000006E-2</v>
      </c>
      <c r="R9456">
        <v>0.99788710000000003</v>
      </c>
      <c r="S9456">
        <v>7.7285770000000004E-2</v>
      </c>
      <c r="T9456">
        <v>-0.1371185</v>
      </c>
      <c r="U9456">
        <v>2.997223</v>
      </c>
      <c r="V9456">
        <v>-3.9478060000000002E-2</v>
      </c>
      <c r="W9456">
        <v>-5.0204079999999998E-2</v>
      </c>
      <c r="X9456">
        <v>0.99795840000000002</v>
      </c>
      <c r="Y9456">
        <v>-1.5737230000000001E-2</v>
      </c>
      <c r="Z9456">
        <v>-3.0882449999999999E-2</v>
      </c>
      <c r="AA9456">
        <v>0.99939909999999998</v>
      </c>
      <c r="AB9456">
        <v>25</v>
      </c>
      <c r="AC9456">
        <v>0.62170000000000403</v>
      </c>
      <c r="AD9456">
        <v>-1.1211880774480001</v>
      </c>
      <c r="AE9456">
        <v>24.265494</v>
      </c>
      <c r="AF9456">
        <v>-0.38505045851964997</v>
      </c>
      <c r="AG9456">
        <v>-1.1211880774480001</v>
      </c>
      <c r="AH9456">
        <v>24.218718870131401</v>
      </c>
      <c r="AI9456">
        <v>92.650239770286902</v>
      </c>
      <c r="AJ9456">
        <v>90.9108618705325</v>
      </c>
      <c r="AK9456">
        <v>24.2477147432717</v>
      </c>
      <c r="AL9456">
        <v>92.877691702464404</v>
      </c>
      <c r="AM9456">
        <v>92.265372415811996</v>
      </c>
      <c r="AN9456">
        <v>0.99999996750028397</v>
      </c>
    </row>
    <row r="9457" spans="1:40" x14ac:dyDescent="0.25">
      <c r="A9457" t="str">
        <f>"20190303154024177"</f>
        <v>20190303154024177</v>
      </c>
      <c r="B9457" t="str">
        <f>"1551598824167743"</f>
        <v>1551598824167743</v>
      </c>
      <c r="C9457" t="s">
        <v>40</v>
      </c>
      <c r="D9457">
        <v>4.9635210000000001</v>
      </c>
      <c r="E9457">
        <v>0.49605169999999998</v>
      </c>
      <c r="F9457" t="s">
        <v>42</v>
      </c>
      <c r="G9457">
        <v>-188.0941</v>
      </c>
      <c r="H9457" s="1">
        <v>-2.3264229999999999E-6</v>
      </c>
      <c r="I9457">
        <v>14.26764</v>
      </c>
      <c r="J9457">
        <v>-188.10839999999999</v>
      </c>
      <c r="K9457">
        <v>1.1212329999999999</v>
      </c>
      <c r="L9457">
        <v>-5.912598</v>
      </c>
      <c r="M9457">
        <v>4.1562380000000003E-2</v>
      </c>
      <c r="N9457">
        <v>-1.4769060000000001E-2</v>
      </c>
      <c r="O9457">
        <v>0.99902679999999999</v>
      </c>
      <c r="P9457">
        <v>1.57407799999999E-3</v>
      </c>
      <c r="Q9457">
        <v>-6.4019419999999994E-2</v>
      </c>
      <c r="R9457">
        <v>0.99794740000000004</v>
      </c>
      <c r="S9457">
        <v>3.646851E-3</v>
      </c>
      <c r="T9457">
        <v>-0.16439389999999901</v>
      </c>
      <c r="U9457">
        <v>2.9956360000000002</v>
      </c>
      <c r="V9457">
        <v>-3.9912450000000002E-2</v>
      </c>
      <c r="W9457">
        <v>-4.9283E-2</v>
      </c>
      <c r="X9457">
        <v>0.99798710000000002</v>
      </c>
      <c r="Y9457">
        <v>-4.0330749999999999E-2</v>
      </c>
      <c r="Z9457">
        <v>-3.9949569999999997E-2</v>
      </c>
      <c r="AA9457">
        <v>0.99838749999999998</v>
      </c>
      <c r="AB9457">
        <v>25</v>
      </c>
      <c r="AC9457">
        <v>1.42999999999915E-2</v>
      </c>
      <c r="AD9457">
        <v>-1.1212353264229999</v>
      </c>
      <c r="AE9457">
        <v>20.180237999999999</v>
      </c>
      <c r="AF9457">
        <v>-0.82200497240581105</v>
      </c>
      <c r="AG9457">
        <v>-1.1212353264229999</v>
      </c>
      <c r="AH9457">
        <v>20.101337660698398</v>
      </c>
      <c r="AI9457">
        <v>93.189940438222806</v>
      </c>
      <c r="AJ9457">
        <v>92.341694369391902</v>
      </c>
      <c r="AK9457">
        <v>20.149358217603201</v>
      </c>
      <c r="AL9457">
        <v>92.824852098177601</v>
      </c>
      <c r="AM9457">
        <v>92.290206856237802</v>
      </c>
      <c r="AN9457">
        <v>1.0000000347602001</v>
      </c>
    </row>
    <row r="9458" spans="1:40" x14ac:dyDescent="0.25">
      <c r="A9458" t="str">
        <f>"20190303154024198"</f>
        <v>20190303154024198</v>
      </c>
      <c r="B9458" t="str">
        <f>"1551598824187263"</f>
        <v>1551598824187263</v>
      </c>
      <c r="C9458" t="s">
        <v>40</v>
      </c>
      <c r="D9458">
        <v>4.9463609999999996</v>
      </c>
      <c r="E9458">
        <v>0.49390830000000002</v>
      </c>
      <c r="F9458" t="s">
        <v>42</v>
      </c>
      <c r="G9458">
        <v>-188.2816</v>
      </c>
      <c r="H9458" s="1">
        <v>-1.9475500000000001E-6</v>
      </c>
      <c r="I9458">
        <v>13.462009999999999</v>
      </c>
      <c r="J9458">
        <v>-188.0986</v>
      </c>
      <c r="K9458">
        <v>1.121256</v>
      </c>
      <c r="L9458">
        <v>-5.679443</v>
      </c>
      <c r="M9458">
        <v>4.1592089999999998E-2</v>
      </c>
      <c r="N9458">
        <v>-1.476978E-2</v>
      </c>
      <c r="O9458">
        <v>0.99902550000000001</v>
      </c>
      <c r="P9458">
        <v>5.6390279999999997E-4</v>
      </c>
      <c r="Q9458">
        <v>-6.2706769999999995E-2</v>
      </c>
      <c r="R9458">
        <v>0.99803189999999997</v>
      </c>
      <c r="S9458">
        <v>-2.676392E-2</v>
      </c>
      <c r="T9458">
        <v>-0.17332979999999901</v>
      </c>
      <c r="U9458">
        <v>2.9950869999999998</v>
      </c>
      <c r="V9458">
        <v>-4.0952469999999998E-2</v>
      </c>
      <c r="W9458">
        <v>-4.7970699999999998E-2</v>
      </c>
      <c r="X9458">
        <v>0.99800880000000003</v>
      </c>
      <c r="Y9458">
        <v>-5.0487450000000003E-2</v>
      </c>
      <c r="Z9458">
        <v>-4.2907630000000002E-2</v>
      </c>
      <c r="AA9458">
        <v>0.99780259999999998</v>
      </c>
      <c r="AB9458">
        <v>24</v>
      </c>
      <c r="AC9458">
        <v>-0.182999999999992</v>
      </c>
      <c r="AD9458">
        <v>-1.12125794755</v>
      </c>
      <c r="AE9458">
        <v>19.141452999999998</v>
      </c>
      <c r="AF9458">
        <v>-0.97571381788326395</v>
      </c>
      <c r="AG9458">
        <v>-1.12125794755</v>
      </c>
      <c r="AH9458">
        <v>19.051906397139899</v>
      </c>
      <c r="AI9458">
        <v>93.363733492958204</v>
      </c>
      <c r="AJ9458">
        <v>92.931753065062495</v>
      </c>
      <c r="AK9458">
        <v>19.109797858814002</v>
      </c>
      <c r="AL9458">
        <v>92.749574082171094</v>
      </c>
      <c r="AM9458">
        <v>92.349766915347303</v>
      </c>
      <c r="AN9458">
        <v>0.99999992886751299</v>
      </c>
    </row>
    <row r="9459" spans="1:40" x14ac:dyDescent="0.25">
      <c r="A9459" t="str">
        <f>"20190303154024223"</f>
        <v>20190303154024223</v>
      </c>
      <c r="B9459" t="str">
        <f>"1551598824217519"</f>
        <v>1551598824217519</v>
      </c>
      <c r="C9459" t="s">
        <v>40</v>
      </c>
      <c r="D9459">
        <v>4.9802900000000001</v>
      </c>
      <c r="E9459">
        <v>0.49240719999999999</v>
      </c>
      <c r="F9459" t="s">
        <v>42</v>
      </c>
      <c r="G9459">
        <v>-188.39279999999999</v>
      </c>
      <c r="H9459" s="1">
        <v>-1.774818E-6</v>
      </c>
      <c r="I9459">
        <v>13.10534</v>
      </c>
      <c r="J9459">
        <v>-188.08750000000001</v>
      </c>
      <c r="K9459">
        <v>1.121262</v>
      </c>
      <c r="L9459">
        <v>-5.4137879999999896</v>
      </c>
      <c r="M9459">
        <v>4.1614810000000002E-2</v>
      </c>
      <c r="N9459">
        <v>-1.476967E-2</v>
      </c>
      <c r="O9459">
        <v>0.99902460000000004</v>
      </c>
      <c r="P9459">
        <v>-1.083187E-3</v>
      </c>
      <c r="Q9459">
        <v>-6.2616829999999998E-2</v>
      </c>
      <c r="R9459">
        <v>0.99803699999999995</v>
      </c>
      <c r="S9459">
        <v>-4.6890260000000003E-2</v>
      </c>
      <c r="T9459">
        <v>-0.17875389999999999</v>
      </c>
      <c r="U9459">
        <v>2.99472</v>
      </c>
      <c r="V9459">
        <v>-4.2620579999999998E-2</v>
      </c>
      <c r="W9459">
        <v>-4.7882029999999999E-2</v>
      </c>
      <c r="X9459">
        <v>0.99794329999999998</v>
      </c>
      <c r="Y9459">
        <v>-5.720923E-2</v>
      </c>
      <c r="Z9459">
        <v>-4.4699059999999999E-2</v>
      </c>
      <c r="AA9459">
        <v>0.9973611</v>
      </c>
      <c r="AB9459">
        <v>24</v>
      </c>
      <c r="AC9459">
        <v>-0.30529999999998803</v>
      </c>
      <c r="AD9459">
        <v>-1.1212637748180001</v>
      </c>
      <c r="AE9459">
        <v>18.519127999999998</v>
      </c>
      <c r="AF9459">
        <v>-1.0718612876118101</v>
      </c>
      <c r="AG9459">
        <v>-1.1212637748180001</v>
      </c>
      <c r="AH9459">
        <v>18.422858462338699</v>
      </c>
      <c r="AI9459">
        <v>93.477010595123403</v>
      </c>
      <c r="AJ9459">
        <v>93.329774982386795</v>
      </c>
      <c r="AK9459">
        <v>18.488045678112201</v>
      </c>
      <c r="AL9459">
        <v>92.744487580057793</v>
      </c>
      <c r="AM9459">
        <v>92.445525959648705</v>
      </c>
      <c r="AN9459">
        <v>1.0000000163256699</v>
      </c>
    </row>
    <row r="9460" spans="1:40" x14ac:dyDescent="0.25">
      <c r="A9460" t="str">
        <f>"20190303154024243"</f>
        <v>20190303154024243</v>
      </c>
      <c r="B9460" t="str">
        <f>"1551598824237039"</f>
        <v>1551598824237039</v>
      </c>
      <c r="C9460" t="s">
        <v>40</v>
      </c>
      <c r="D9460">
        <v>5.0025909999999998</v>
      </c>
      <c r="E9460">
        <v>0.49173280000000003</v>
      </c>
      <c r="F9460" t="s">
        <v>42</v>
      </c>
      <c r="G9460">
        <v>-188.47919999999999</v>
      </c>
      <c r="H9460" s="1">
        <v>-1.7048829999999999E-6</v>
      </c>
      <c r="I9460">
        <v>12.97809</v>
      </c>
      <c r="J9460">
        <v>-188.0778</v>
      </c>
      <c r="K9460">
        <v>1.1212549999999999</v>
      </c>
      <c r="L9460">
        <v>-5.183319</v>
      </c>
      <c r="M9460">
        <v>4.1640620000000003E-2</v>
      </c>
      <c r="N9460">
        <v>-1.476885E-2</v>
      </c>
      <c r="O9460">
        <v>0.99902349999999995</v>
      </c>
      <c r="P9460">
        <v>-2.4597349999999998E-3</v>
      </c>
      <c r="Q9460">
        <v>-6.3434760000000007E-2</v>
      </c>
      <c r="R9460">
        <v>0.99798299999999995</v>
      </c>
      <c r="S9460">
        <v>-6.3781740000000003E-2</v>
      </c>
      <c r="T9460">
        <v>-0.1825532</v>
      </c>
      <c r="U9460">
        <v>2.9943849999999999</v>
      </c>
      <c r="V9460">
        <v>-4.4020660000000003E-2</v>
      </c>
      <c r="W9460">
        <v>-4.8701639999999997E-2</v>
      </c>
      <c r="X9460">
        <v>0.99784280000000003</v>
      </c>
      <c r="Y9460">
        <v>-6.2855149999999999E-2</v>
      </c>
      <c r="Z9460">
        <v>-4.5951359999999997E-2</v>
      </c>
      <c r="AA9460">
        <v>0.99696419999999997</v>
      </c>
      <c r="AB9460">
        <v>24</v>
      </c>
      <c r="AC9460">
        <v>-0.40139999999999498</v>
      </c>
      <c r="AD9460">
        <v>-1.121256704883</v>
      </c>
      <c r="AE9460">
        <v>18.161408999999999</v>
      </c>
      <c r="AF9460">
        <v>-1.15299394314779</v>
      </c>
      <c r="AG9460">
        <v>-1.121256704883</v>
      </c>
      <c r="AH9460">
        <v>18.060131978340799</v>
      </c>
      <c r="AI9460">
        <v>93.545428309743002</v>
      </c>
      <c r="AJ9460">
        <v>93.652916512489099</v>
      </c>
      <c r="AK9460">
        <v>18.131601658603302</v>
      </c>
      <c r="AL9460">
        <v>92.791502783294007</v>
      </c>
      <c r="AM9460">
        <v>92.526012813128403</v>
      </c>
      <c r="AN9460">
        <v>0.99999996087868104</v>
      </c>
    </row>
    <row r="9461" spans="1:40" x14ac:dyDescent="0.25">
      <c r="A9461" t="str">
        <f>"20190303154024266"</f>
        <v>20190303154024266</v>
      </c>
      <c r="B9461" t="str">
        <f>"1551598824257535"</f>
        <v>1551598824257535</v>
      </c>
      <c r="C9461" t="s">
        <v>40</v>
      </c>
      <c r="D9461">
        <v>5.0022149999999996</v>
      </c>
      <c r="E9461">
        <v>0.49122579999999999</v>
      </c>
      <c r="F9461" t="s">
        <v>42</v>
      </c>
      <c r="G9461">
        <v>-188.5162</v>
      </c>
      <c r="H9461" s="1">
        <v>-1.6060650000000001E-6</v>
      </c>
      <c r="I9461">
        <v>12.763030000000001</v>
      </c>
      <c r="J9461">
        <v>-188.06780000000001</v>
      </c>
      <c r="K9461">
        <v>1.121246</v>
      </c>
      <c r="L9461">
        <v>-4.9445800000000002</v>
      </c>
      <c r="M9461">
        <v>4.1681379999999997E-2</v>
      </c>
      <c r="N9461">
        <v>-1.476737E-2</v>
      </c>
      <c r="O9461">
        <v>0.99902179999999996</v>
      </c>
      <c r="P9461">
        <v>-2.5509180000000001E-3</v>
      </c>
      <c r="Q9461">
        <v>-6.4327809999999999E-2</v>
      </c>
      <c r="R9461">
        <v>0.99792559999999997</v>
      </c>
      <c r="S9461">
        <v>-7.313538E-2</v>
      </c>
      <c r="T9461">
        <v>-0.18705920000000001</v>
      </c>
      <c r="U9461">
        <v>2.9939879999999999</v>
      </c>
      <c r="V9461">
        <v>-4.4150990000000001E-2</v>
      </c>
      <c r="W9461">
        <v>-4.9595939999999998E-2</v>
      </c>
      <c r="X9461">
        <v>0.99779300000000004</v>
      </c>
      <c r="Y9461">
        <v>-6.6007140000000006E-2</v>
      </c>
      <c r="Z9461">
        <v>-4.7445220000000003E-2</v>
      </c>
      <c r="AA9461">
        <v>0.99669050000000003</v>
      </c>
      <c r="AB9461">
        <v>24</v>
      </c>
      <c r="AC9461">
        <v>-0.44839999999999203</v>
      </c>
      <c r="AD9461">
        <v>-1.1212476060650001</v>
      </c>
      <c r="AE9461">
        <v>17.707609999999999</v>
      </c>
      <c r="AF9461">
        <v>-1.1814345092814</v>
      </c>
      <c r="AG9461">
        <v>-1.1212476060650001</v>
      </c>
      <c r="AH9461">
        <v>17.6029931119098</v>
      </c>
      <c r="AI9461">
        <v>93.636453257246998</v>
      </c>
      <c r="AJ9461">
        <v>93.839679210376403</v>
      </c>
      <c r="AK9461">
        <v>17.678188543846101</v>
      </c>
      <c r="AL9461">
        <v>92.842804379146003</v>
      </c>
      <c r="AM9461">
        <v>92.533608018032098</v>
      </c>
      <c r="AN9461">
        <v>0.99999996901573096</v>
      </c>
    </row>
    <row r="9462" spans="1:40" x14ac:dyDescent="0.25">
      <c r="A9462" t="str">
        <f>"20190303154024288"</f>
        <v>20190303154024288</v>
      </c>
      <c r="B9462" t="str">
        <f>"1551598824277054"</f>
        <v>1551598824277054</v>
      </c>
      <c r="C9462" t="s">
        <v>40</v>
      </c>
      <c r="D9462">
        <v>5.0465419999999996</v>
      </c>
      <c r="E9462">
        <v>0.49075459999999899</v>
      </c>
      <c r="F9462" t="s">
        <v>42</v>
      </c>
      <c r="G9462">
        <v>-188.5231</v>
      </c>
      <c r="H9462" s="1">
        <v>-1.546849E-6</v>
      </c>
      <c r="I9462">
        <v>12.627829999999999</v>
      </c>
      <c r="J9462">
        <v>-188.05770000000001</v>
      </c>
      <c r="K9462">
        <v>1.1212340000000001</v>
      </c>
      <c r="L9462">
        <v>-4.7033389999999997</v>
      </c>
      <c r="M9462">
        <v>4.1738419999999998E-2</v>
      </c>
      <c r="N9462">
        <v>-1.476533E-2</v>
      </c>
      <c r="O9462">
        <v>0.9990194</v>
      </c>
      <c r="P9462">
        <v>-2.444884E-3</v>
      </c>
      <c r="Q9462">
        <v>-6.4702529999999994E-2</v>
      </c>
      <c r="R9462">
        <v>0.99790160000000006</v>
      </c>
      <c r="S9462">
        <v>-7.7560420000000005E-2</v>
      </c>
      <c r="T9462">
        <v>-0.19102069999999999</v>
      </c>
      <c r="U9462">
        <v>2.9937130000000001</v>
      </c>
      <c r="V9462">
        <v>-4.4102099999999998E-2</v>
      </c>
      <c r="W9462">
        <v>-4.9971889999999998E-2</v>
      </c>
      <c r="X9462">
        <v>0.99777640000000001</v>
      </c>
      <c r="Y9462">
        <v>-6.7535369999999997E-2</v>
      </c>
      <c r="Z9462">
        <v>-4.8760989999999997E-2</v>
      </c>
      <c r="AA9462">
        <v>0.99652459999999998</v>
      </c>
      <c r="AB9462">
        <v>24</v>
      </c>
      <c r="AC9462">
        <v>-0.46539999999998799</v>
      </c>
      <c r="AD9462">
        <v>-1.1212355468490001</v>
      </c>
      <c r="AE9462">
        <v>17.331168999999999</v>
      </c>
      <c r="AF9462">
        <v>-1.18349901320002</v>
      </c>
      <c r="AG9462">
        <v>-1.1212355468490001</v>
      </c>
      <c r="AH9462">
        <v>17.224595620022601</v>
      </c>
      <c r="AI9462">
        <v>93.715679796673399</v>
      </c>
      <c r="AJ9462">
        <v>93.930605443450006</v>
      </c>
      <c r="AK9462">
        <v>17.3015760362767</v>
      </c>
      <c r="AL9462">
        <v>92.8643714835395</v>
      </c>
      <c r="AM9462">
        <v>92.530848161629393</v>
      </c>
      <c r="AN9462">
        <v>0.99999996470577002</v>
      </c>
    </row>
    <row r="9463" spans="1:40" x14ac:dyDescent="0.25">
      <c r="A9463" t="str">
        <f>"20190303154024310"</f>
        <v>20190303154024310</v>
      </c>
      <c r="B9463" t="str">
        <f>"1551598824307311"</f>
        <v>1551598824307311</v>
      </c>
      <c r="C9463" t="s">
        <v>40</v>
      </c>
      <c r="D9463">
        <v>4.9717659999999997</v>
      </c>
      <c r="E9463">
        <v>0.4907012</v>
      </c>
      <c r="F9463" t="s">
        <v>42</v>
      </c>
      <c r="G9463">
        <v>-188.52430000000001</v>
      </c>
      <c r="H9463" s="1">
        <v>-1.513829E-6</v>
      </c>
      <c r="I9463">
        <v>12.551360000000001</v>
      </c>
      <c r="J9463">
        <v>-188.04820000000001</v>
      </c>
      <c r="K9463">
        <v>1.121224</v>
      </c>
      <c r="L9463">
        <v>-4.4779660000000003</v>
      </c>
      <c r="M9463">
        <v>4.1804790000000001E-2</v>
      </c>
      <c r="N9463">
        <v>-1.476296E-2</v>
      </c>
      <c r="O9463">
        <v>0.99901669999999998</v>
      </c>
      <c r="P9463">
        <v>-1.64429299999999E-3</v>
      </c>
      <c r="Q9463">
        <v>-6.4220150000000004E-2</v>
      </c>
      <c r="R9463">
        <v>0.9979344</v>
      </c>
      <c r="S9463">
        <v>-8.094788E-2</v>
      </c>
      <c r="T9463">
        <v>-0.1945219</v>
      </c>
      <c r="U9463">
        <v>2.9935</v>
      </c>
      <c r="V9463">
        <v>-4.337092E-2</v>
      </c>
      <c r="W9463">
        <v>-4.9490079999999999E-2</v>
      </c>
      <c r="X9463">
        <v>0.99783250000000001</v>
      </c>
      <c r="Y9463">
        <v>-6.8727479999999994E-2</v>
      </c>
      <c r="Z9463">
        <v>-4.9923929999999998E-2</v>
      </c>
      <c r="AA9463">
        <v>0.99638550000000004</v>
      </c>
      <c r="AB9463">
        <v>24</v>
      </c>
      <c r="AC9463">
        <v>-0.47610000000000202</v>
      </c>
      <c r="AD9463">
        <v>-1.1212255138289999</v>
      </c>
      <c r="AE9463">
        <v>17.029326000000001</v>
      </c>
      <c r="AF9463">
        <v>-1.1825463493945001</v>
      </c>
      <c r="AG9463">
        <v>-1.1212255138289999</v>
      </c>
      <c r="AH9463">
        <v>16.921233663719701</v>
      </c>
      <c r="AI9463">
        <v>93.781762977780801</v>
      </c>
      <c r="AJ9463">
        <v>93.997636000061604</v>
      </c>
      <c r="AK9463">
        <v>16.999520911588299</v>
      </c>
      <c r="AL9463">
        <v>92.836731498389597</v>
      </c>
      <c r="AM9463">
        <v>92.4888020360372</v>
      </c>
      <c r="AN9463">
        <v>1.00000000138815</v>
      </c>
    </row>
    <row r="9464" spans="1:40" x14ac:dyDescent="0.25">
      <c r="A9464" t="str">
        <f>"20190303154024333"</f>
        <v>20190303154024333</v>
      </c>
      <c r="B9464" t="str">
        <f>"1551598824327807"</f>
        <v>1551598824327807</v>
      </c>
      <c r="C9464" t="s">
        <v>40</v>
      </c>
      <c r="D9464">
        <v>4.8288609999999998</v>
      </c>
      <c r="E9464">
        <v>0.49111090000000002</v>
      </c>
      <c r="F9464" t="s">
        <v>42</v>
      </c>
      <c r="G9464">
        <v>-188.50569999999999</v>
      </c>
      <c r="H9464" s="1">
        <v>-1.6377349999999999E-6</v>
      </c>
      <c r="I9464">
        <v>12.832509999999999</v>
      </c>
      <c r="J9464">
        <v>-188.0378</v>
      </c>
      <c r="K9464">
        <v>1.121221</v>
      </c>
      <c r="L9464">
        <v>-4.2296139999999998</v>
      </c>
      <c r="M9464">
        <v>4.1888210000000002E-2</v>
      </c>
      <c r="N9464">
        <v>-1.475982E-2</v>
      </c>
      <c r="O9464">
        <v>0.99901329999999999</v>
      </c>
      <c r="P9464">
        <v>-1.651837E-3</v>
      </c>
      <c r="Q9464">
        <v>-6.4655089999999998E-2</v>
      </c>
      <c r="R9464">
        <v>0.99790630000000002</v>
      </c>
      <c r="S9464">
        <v>-7.9116820000000004E-2</v>
      </c>
      <c r="T9464">
        <v>-0.1938995</v>
      </c>
      <c r="U9464">
        <v>2.9935909999999999</v>
      </c>
      <c r="V9464">
        <v>-4.3461800000000002E-2</v>
      </c>
      <c r="W9464">
        <v>-4.9927640000000002E-2</v>
      </c>
      <c r="X9464">
        <v>0.99780670000000005</v>
      </c>
      <c r="Y9464">
        <v>-6.8201650000000003E-2</v>
      </c>
      <c r="Z9464">
        <v>-4.9720399999999998E-2</v>
      </c>
      <c r="AA9464">
        <v>0.99643179999999998</v>
      </c>
      <c r="AB9464">
        <v>24</v>
      </c>
      <c r="AC9464">
        <v>-0.46789999999998599</v>
      </c>
      <c r="AD9464">
        <v>-1.1212226377349901</v>
      </c>
      <c r="AE9464">
        <v>17.062124000000001</v>
      </c>
      <c r="AF9464">
        <v>-1.1771892235389601</v>
      </c>
      <c r="AG9464">
        <v>-1.1212226377349901</v>
      </c>
      <c r="AH9464">
        <v>16.954383853757101</v>
      </c>
      <c r="AI9464">
        <v>93.7744984838763</v>
      </c>
      <c r="AJ9464">
        <v>93.971828198961106</v>
      </c>
      <c r="AK9464">
        <v>17.032147443347402</v>
      </c>
      <c r="AL9464">
        <v>92.861833007331498</v>
      </c>
      <c r="AM9464">
        <v>92.494074932131198</v>
      </c>
      <c r="AN9464">
        <v>0.99999995393004804</v>
      </c>
    </row>
    <row r="9465" spans="1:40" x14ac:dyDescent="0.25">
      <c r="A9465" t="str">
        <f>"20190303154024489"</f>
        <v>20190303154024489</v>
      </c>
      <c r="B9465" t="str">
        <f>"1551598824486895"</f>
        <v>1551598824486895</v>
      </c>
      <c r="C9465" t="s">
        <v>40</v>
      </c>
      <c r="D9465">
        <v>4.8688479999999998</v>
      </c>
      <c r="E9465">
        <v>0.56621379999999999</v>
      </c>
      <c r="F9465" t="s">
        <v>42</v>
      </c>
      <c r="G9465">
        <v>-188.48320000000001</v>
      </c>
      <c r="H9465" s="1">
        <v>-1.865086E-6</v>
      </c>
      <c r="I9465">
        <v>13.35314</v>
      </c>
      <c r="J9465">
        <v>-187.9666</v>
      </c>
      <c r="K9465">
        <v>1.121211</v>
      </c>
      <c r="L9465">
        <v>-2.5567929999999999</v>
      </c>
      <c r="M9465">
        <v>4.2460299999999999E-2</v>
      </c>
      <c r="N9465">
        <v>-1.47309E-2</v>
      </c>
      <c r="O9465">
        <v>0.99898949999999997</v>
      </c>
      <c r="P9465">
        <v>-4.1793159999999998E-3</v>
      </c>
      <c r="Q9465">
        <v>-6.8195710000000007E-2</v>
      </c>
      <c r="R9465">
        <v>0.99766319999999997</v>
      </c>
      <c r="S9465">
        <v>-7.5836180000000003E-2</v>
      </c>
      <c r="T9465">
        <v>-0.19091</v>
      </c>
      <c r="U9465">
        <v>2.993805</v>
      </c>
      <c r="V9465">
        <v>-4.654846E-2</v>
      </c>
      <c r="W9465">
        <v>-5.3501409999999999E-2</v>
      </c>
      <c r="X9465">
        <v>0.99748219999999999</v>
      </c>
      <c r="Y9465">
        <v>-6.7681989999999997E-2</v>
      </c>
      <c r="Z9465">
        <v>-4.875405E-2</v>
      </c>
      <c r="AA9465">
        <v>0.99651500000000004</v>
      </c>
      <c r="AB9465">
        <v>24</v>
      </c>
      <c r="AC9465">
        <v>-0.51660000000001005</v>
      </c>
      <c r="AD9465">
        <v>-1.121212865086</v>
      </c>
      <c r="AE9465">
        <v>15.909933000000001</v>
      </c>
      <c r="AF9465">
        <v>-1.18586463144734</v>
      </c>
      <c r="AG9465">
        <v>-1.121212865086</v>
      </c>
      <c r="AH9465">
        <v>15.795281553466101</v>
      </c>
      <c r="AI9465">
        <v>94.048918448278201</v>
      </c>
      <c r="AJ9465">
        <v>94.293548619043605</v>
      </c>
      <c r="AK9465">
        <v>15.8793675115295</v>
      </c>
      <c r="AL9465">
        <v>93.066869435431997</v>
      </c>
      <c r="AM9465">
        <v>92.671823937418097</v>
      </c>
      <c r="AN9465">
        <v>0.99999994965859795</v>
      </c>
    </row>
    <row r="9466" spans="1:40" x14ac:dyDescent="0.25">
      <c r="A9466" t="str">
        <f>"20190303154024510"</f>
        <v>20190303154024510</v>
      </c>
      <c r="B9466" t="str">
        <f>"1551598824507391"</f>
        <v>1551598824507391</v>
      </c>
      <c r="C9466" t="s">
        <v>40</v>
      </c>
      <c r="D9466">
        <v>5.0510780000000004</v>
      </c>
      <c r="E9466">
        <v>0.55686939999999996</v>
      </c>
      <c r="F9466" t="s">
        <v>50</v>
      </c>
      <c r="G9466">
        <v>-169.67250000000001</v>
      </c>
      <c r="H9466">
        <v>3.4712399999999999</v>
      </c>
      <c r="I9466">
        <v>104.46299999999999</v>
      </c>
      <c r="J9466">
        <v>-187.9571</v>
      </c>
      <c r="K9466">
        <v>1.1212279999999999</v>
      </c>
      <c r="L9466">
        <v>-2.3354189999999999</v>
      </c>
      <c r="M9466">
        <v>4.2496680000000002E-2</v>
      </c>
      <c r="N9466">
        <v>-1.472647E-2</v>
      </c>
      <c r="O9466">
        <v>0.99898810000000005</v>
      </c>
      <c r="P9466">
        <v>-5.6368080000000001E-3</v>
      </c>
      <c r="Q9466">
        <v>-6.8704749999999995E-2</v>
      </c>
      <c r="R9466">
        <v>0.99762110000000004</v>
      </c>
      <c r="S9466">
        <v>0.51516720000000005</v>
      </c>
      <c r="T9466">
        <v>6.6177609999999998E-2</v>
      </c>
      <c r="U9466">
        <v>3.0137019999999999</v>
      </c>
      <c r="V9466">
        <v>-4.803723E-2</v>
      </c>
      <c r="W9466">
        <v>-5.401777E-2</v>
      </c>
      <c r="X9466">
        <v>0.99738380000000004</v>
      </c>
      <c r="Y9466">
        <v>0.1263466</v>
      </c>
      <c r="Z9466">
        <v>3.6346349999999999E-2</v>
      </c>
      <c r="AA9466">
        <v>0.99132010000000004</v>
      </c>
      <c r="AB9466">
        <v>24</v>
      </c>
      <c r="AC9466">
        <v>18.284599999999902</v>
      </c>
      <c r="AD9466">
        <v>2.350012</v>
      </c>
      <c r="AE9466">
        <v>106.798419</v>
      </c>
      <c r="AF9466">
        <v>13.722552904631501</v>
      </c>
      <c r="AG9466">
        <v>2.350012</v>
      </c>
      <c r="AH9466">
        <v>107.428502342342</v>
      </c>
      <c r="AI9466">
        <v>88.756944482676602</v>
      </c>
      <c r="AJ9466">
        <v>82.720651947623296</v>
      </c>
      <c r="AK9466">
        <v>108.326885536967</v>
      </c>
      <c r="AL9466">
        <v>93.096497468742498</v>
      </c>
      <c r="AM9466">
        <v>92.757419264813507</v>
      </c>
      <c r="AN9466">
        <v>0.999999969722142</v>
      </c>
    </row>
    <row r="9467" spans="1:40" x14ac:dyDescent="0.25">
      <c r="A9467" t="str">
        <f>"20190303154024532"</f>
        <v>20190303154024532</v>
      </c>
      <c r="B9467" t="str">
        <f>"1551598824526912"</f>
        <v>1551598824526912</v>
      </c>
      <c r="C9467" t="s">
        <v>40</v>
      </c>
      <c r="D9467">
        <v>5.0084229999999996</v>
      </c>
      <c r="E9467">
        <v>0.5545293</v>
      </c>
      <c r="F9467" t="s">
        <v>66</v>
      </c>
      <c r="G9467">
        <v>-163.28569999999999</v>
      </c>
      <c r="H9467">
        <v>1.9590639999999999</v>
      </c>
      <c r="I9467">
        <v>167.8263</v>
      </c>
      <c r="J9467">
        <v>-187.94710000000001</v>
      </c>
      <c r="K9467">
        <v>1.121238</v>
      </c>
      <c r="L9467">
        <v>-2.1008300000000002</v>
      </c>
      <c r="M9467">
        <v>4.251924E-2</v>
      </c>
      <c r="N9467">
        <v>-1.4721659999999999E-2</v>
      </c>
      <c r="O9467">
        <v>0.99898719999999996</v>
      </c>
      <c r="P9467">
        <v>-6.1636340000000003E-3</v>
      </c>
      <c r="Q9467">
        <v>-6.9519449999999997E-2</v>
      </c>
      <c r="R9467">
        <v>0.99756160000000005</v>
      </c>
      <c r="S9467">
        <v>0.43650820000000001</v>
      </c>
      <c r="T9467">
        <v>1.4824270000000001E-2</v>
      </c>
      <c r="U9467">
        <v>3.0106510000000002</v>
      </c>
      <c r="V9467">
        <v>-4.85815E-2</v>
      </c>
      <c r="W9467">
        <v>-5.484004E-2</v>
      </c>
      <c r="X9467">
        <v>0.99731259999999999</v>
      </c>
      <c r="Y9467">
        <v>0.1012393</v>
      </c>
      <c r="Z9467">
        <v>1.95549E-2</v>
      </c>
      <c r="AA9467">
        <v>0.9946699</v>
      </c>
      <c r="AB9467">
        <v>24</v>
      </c>
      <c r="AC9467">
        <v>24.6614</v>
      </c>
      <c r="AD9467">
        <v>0.83782599999999996</v>
      </c>
      <c r="AE9467">
        <v>169.92713000000001</v>
      </c>
      <c r="AF9467">
        <v>17.4127226575443</v>
      </c>
      <c r="AG9467">
        <v>0.83782599999999996</v>
      </c>
      <c r="AH9467">
        <v>170.81805348080499</v>
      </c>
      <c r="AI9467">
        <v>89.720427485601505</v>
      </c>
      <c r="AJ9467">
        <v>84.179530784371096</v>
      </c>
      <c r="AK9467">
        <v>171.70530643438499</v>
      </c>
      <c r="AL9467">
        <v>93.143679895555707</v>
      </c>
      <c r="AM9467">
        <v>92.7888110260063</v>
      </c>
      <c r="AN9467">
        <v>1.0000000071241</v>
      </c>
    </row>
    <row r="9468" spans="1:40" x14ac:dyDescent="0.25">
      <c r="A9468" t="str">
        <f>"20190303154024556"</f>
        <v>20190303154024556</v>
      </c>
      <c r="B9468" t="str">
        <f>"1551598824547407"</f>
        <v>1551598824547407</v>
      </c>
      <c r="C9468" t="s">
        <v>40</v>
      </c>
      <c r="D9468">
        <v>5.0697549999999998</v>
      </c>
      <c r="E9468">
        <v>0.55156070000000001</v>
      </c>
      <c r="F9468" t="s">
        <v>66</v>
      </c>
      <c r="G9468">
        <v>-164.2937</v>
      </c>
      <c r="H9468">
        <v>1.5668500000000001</v>
      </c>
      <c r="I9468">
        <v>168.83349999999999</v>
      </c>
      <c r="J9468">
        <v>-187.9366</v>
      </c>
      <c r="K9468">
        <v>1.121248</v>
      </c>
      <c r="L9468">
        <v>-1.852814</v>
      </c>
      <c r="M9468">
        <v>4.2526969999999997E-2</v>
      </c>
      <c r="N9468">
        <v>-1.4716399999999999E-2</v>
      </c>
      <c r="O9468">
        <v>0.99898690000000001</v>
      </c>
      <c r="P9468">
        <v>-5.7900470000000004E-3</v>
      </c>
      <c r="Q9468">
        <v>-6.9090280000000004E-2</v>
      </c>
      <c r="R9468">
        <v>0.99759359999999997</v>
      </c>
      <c r="S9468">
        <v>0.41658020000000001</v>
      </c>
      <c r="T9468">
        <v>7.8486200000000006E-3</v>
      </c>
      <c r="U9468">
        <v>3.0104679999999999</v>
      </c>
      <c r="V9468">
        <v>-4.8216429999999998E-2</v>
      </c>
      <c r="W9468">
        <v>-5.4416939999999997E-2</v>
      </c>
      <c r="X9468">
        <v>0.9973535</v>
      </c>
      <c r="Y9468">
        <v>9.4788090000000005E-2</v>
      </c>
      <c r="Z9468">
        <v>1.7258389999999998E-2</v>
      </c>
      <c r="AA9468">
        <v>0.99534789999999995</v>
      </c>
      <c r="AB9468">
        <v>24</v>
      </c>
      <c r="AC9468">
        <v>23.642900000000001</v>
      </c>
      <c r="AD9468">
        <v>0.445602</v>
      </c>
      <c r="AE9468">
        <v>170.68631399999899</v>
      </c>
      <c r="AF9468">
        <v>16.361838552628999</v>
      </c>
      <c r="AG9468">
        <v>0.445602</v>
      </c>
      <c r="AH9468">
        <v>171.53628662237199</v>
      </c>
      <c r="AI9468">
        <v>89.851834841323793</v>
      </c>
      <c r="AJ9468">
        <v>84.551376419691707</v>
      </c>
      <c r="AK9468">
        <v>172.31542574638399</v>
      </c>
      <c r="AL9468">
        <v>93.119401771098396</v>
      </c>
      <c r="AM9468">
        <v>92.767773640067404</v>
      </c>
      <c r="AN9468">
        <v>1.00000001572157</v>
      </c>
    </row>
    <row r="9469" spans="1:40" x14ac:dyDescent="0.25">
      <c r="A9469" t="str">
        <f>"20190303154024577"</f>
        <v>20190303154024577</v>
      </c>
      <c r="B9469" t="str">
        <f>"1551598824566927"</f>
        <v>1551598824566927</v>
      </c>
      <c r="C9469" t="s">
        <v>40</v>
      </c>
      <c r="D9469">
        <v>5.0717290000000004</v>
      </c>
      <c r="E9469">
        <v>0.54969159999999995</v>
      </c>
      <c r="F9469" t="s">
        <v>66</v>
      </c>
      <c r="G9469">
        <v>-165.43799999999999</v>
      </c>
      <c r="H9469">
        <v>0.96152210000000005</v>
      </c>
      <c r="I9469">
        <v>169.977</v>
      </c>
      <c r="J9469">
        <v>-187.92689999999999</v>
      </c>
      <c r="K9469">
        <v>1.121259</v>
      </c>
      <c r="L9469">
        <v>-1.62439</v>
      </c>
      <c r="M9469">
        <v>4.2510569999999998E-2</v>
      </c>
      <c r="N9469">
        <v>-1.4711490000000001E-2</v>
      </c>
      <c r="O9469">
        <v>0.99898770000000003</v>
      </c>
      <c r="P9469">
        <v>-5.0223259999999997E-3</v>
      </c>
      <c r="Q9469">
        <v>-6.7903439999999995E-2</v>
      </c>
      <c r="R9469">
        <v>0.99767919999999999</v>
      </c>
      <c r="S9469">
        <v>0.39402769999999998</v>
      </c>
      <c r="T9469">
        <v>-2.7967690000000002E-3</v>
      </c>
      <c r="U9469">
        <v>3.0093380000000001</v>
      </c>
      <c r="V9469">
        <v>-4.7434749999999998E-2</v>
      </c>
      <c r="W9469">
        <v>-5.3234820000000002E-2</v>
      </c>
      <c r="X9469">
        <v>0.99745479999999997</v>
      </c>
      <c r="Y9469">
        <v>8.7531789999999998E-2</v>
      </c>
      <c r="Z9469">
        <v>1.374847E-2</v>
      </c>
      <c r="AA9469">
        <v>0.99606689999999998</v>
      </c>
      <c r="AB9469">
        <v>24</v>
      </c>
      <c r="AC9469">
        <v>22.488900000000001</v>
      </c>
      <c r="AD9469">
        <v>-0.15973689999999999</v>
      </c>
      <c r="AE9469">
        <v>171.60138999999899</v>
      </c>
      <c r="AF9469">
        <v>15.172890658984601</v>
      </c>
      <c r="AG9469">
        <v>-0.15973689999999999</v>
      </c>
      <c r="AH9469">
        <v>172.40220425070899</v>
      </c>
      <c r="AI9469">
        <v>90.052882199102001</v>
      </c>
      <c r="AJ9469">
        <v>84.970432835830394</v>
      </c>
      <c r="AK9469">
        <v>173.068663129204</v>
      </c>
      <c r="AL9469">
        <v>93.051572878776497</v>
      </c>
      <c r="AM9469">
        <v>92.722694730935999</v>
      </c>
      <c r="AN9469">
        <v>1.00000003980551</v>
      </c>
    </row>
    <row r="9470" spans="1:40" x14ac:dyDescent="0.25">
      <c r="A9470" t="str">
        <f>"20190303154024600"</f>
        <v>20190303154024600</v>
      </c>
      <c r="B9470" t="str">
        <f>"1551598824587427"</f>
        <v>1551598824587427</v>
      </c>
      <c r="C9470" t="s">
        <v>40</v>
      </c>
      <c r="D9470">
        <v>5.0422169999999999</v>
      </c>
      <c r="E9470">
        <v>0.54831319999999995</v>
      </c>
      <c r="F9470" t="s">
        <v>66</v>
      </c>
      <c r="G9470">
        <v>-166.08680000000001</v>
      </c>
      <c r="H9470">
        <v>0.67425349999999995</v>
      </c>
      <c r="I9470">
        <v>170.62530000000001</v>
      </c>
      <c r="J9470">
        <v>-187.9171</v>
      </c>
      <c r="K9470">
        <v>1.121286</v>
      </c>
      <c r="L9470">
        <v>-1.3950499999999999</v>
      </c>
      <c r="M9470">
        <v>4.2459209999999997E-2</v>
      </c>
      <c r="N9470">
        <v>-1.470657E-2</v>
      </c>
      <c r="O9470">
        <v>0.99898989999999999</v>
      </c>
      <c r="P9470">
        <v>-3.247911E-3</v>
      </c>
      <c r="Q9470">
        <v>-6.6716750000000005E-2</v>
      </c>
      <c r="R9470">
        <v>0.99776670000000001</v>
      </c>
      <c r="S9470">
        <v>0.38143919999999998</v>
      </c>
      <c r="T9470">
        <v>-7.8064199999999997E-3</v>
      </c>
      <c r="U9470">
        <v>3.008362</v>
      </c>
      <c r="V9470">
        <v>-4.5612069999999998E-2</v>
      </c>
      <c r="W9470">
        <v>-5.2052809999999998E-2</v>
      </c>
      <c r="X9470">
        <v>0.99760219999999999</v>
      </c>
      <c r="Y9470">
        <v>8.3526160000000002E-2</v>
      </c>
      <c r="Z9470">
        <v>1.209085E-2</v>
      </c>
      <c r="AA9470">
        <v>0.99643219999999999</v>
      </c>
      <c r="AB9470">
        <v>24</v>
      </c>
      <c r="AC9470">
        <v>21.830299999999902</v>
      </c>
      <c r="AD9470">
        <v>-0.4470325</v>
      </c>
      <c r="AE9470">
        <v>172.02035000000001</v>
      </c>
      <c r="AF9470">
        <v>14.505874234660499</v>
      </c>
      <c r="AG9470">
        <v>-0.4470325</v>
      </c>
      <c r="AH9470">
        <v>172.791037825383</v>
      </c>
      <c r="AI9470">
        <v>90.147711579265305</v>
      </c>
      <c r="AJ9470">
        <v>85.201249446263503</v>
      </c>
      <c r="AK9470">
        <v>173.39943188528801</v>
      </c>
      <c r="AL9470">
        <v>92.983754614696494</v>
      </c>
      <c r="AM9470">
        <v>92.617837370018293</v>
      </c>
      <c r="AN9470">
        <v>1.0000000527016999</v>
      </c>
    </row>
    <row r="9471" spans="1:40" x14ac:dyDescent="0.25">
      <c r="A9471" t="str">
        <f>"20190303154024625"</f>
        <v>20190303154024625</v>
      </c>
      <c r="B9471" t="str">
        <f>"1551598824617679"</f>
        <v>1551598824617679</v>
      </c>
      <c r="C9471" t="s">
        <v>40</v>
      </c>
      <c r="D9471">
        <v>4.9889789999999996</v>
      </c>
      <c r="E9471">
        <v>0.5469446</v>
      </c>
      <c r="F9471" t="s">
        <v>66</v>
      </c>
      <c r="G9471">
        <v>-166.3809</v>
      </c>
      <c r="H9471">
        <v>0.65430359999999999</v>
      </c>
      <c r="I9471">
        <v>170.91909999999999</v>
      </c>
      <c r="J9471">
        <v>-187.90620000000001</v>
      </c>
      <c r="K9471">
        <v>1.121326</v>
      </c>
      <c r="L9471">
        <v>-1.136444</v>
      </c>
      <c r="M9471">
        <v>4.2353950000000001E-2</v>
      </c>
      <c r="N9471">
        <v>-1.470082E-2</v>
      </c>
      <c r="O9471">
        <v>0.99899450000000001</v>
      </c>
      <c r="P9471">
        <v>-1.668306E-3</v>
      </c>
      <c r="Q9471">
        <v>-6.603792E-2</v>
      </c>
      <c r="R9471">
        <v>0.99781569999999997</v>
      </c>
      <c r="S9471">
        <v>0.37586979999999998</v>
      </c>
      <c r="T9471">
        <v>-8.1496239999999994E-3</v>
      </c>
      <c r="U9471">
        <v>3.0073850000000002</v>
      </c>
      <c r="V9471">
        <v>-4.3926729999999997E-2</v>
      </c>
      <c r="W9471">
        <v>-5.1381200000000002E-2</v>
      </c>
      <c r="X9471">
        <v>0.99771259999999995</v>
      </c>
      <c r="Y9471">
        <v>8.1855239999999996E-2</v>
      </c>
      <c r="Z9471">
        <v>1.197113E-2</v>
      </c>
      <c r="AA9471">
        <v>0.99657229999999997</v>
      </c>
      <c r="AB9471">
        <v>23</v>
      </c>
      <c r="AC9471">
        <v>21.525300000000001</v>
      </c>
      <c r="AD9471">
        <v>-0.4670224</v>
      </c>
      <c r="AE9471">
        <v>172.055544</v>
      </c>
      <c r="AF9471">
        <v>14.2178578233843</v>
      </c>
      <c r="AG9471">
        <v>-0.4670224</v>
      </c>
      <c r="AH9471">
        <v>172.81164620777801</v>
      </c>
      <c r="AI9471">
        <v>90.154319702139304</v>
      </c>
      <c r="AJ9471">
        <v>85.296655973952497</v>
      </c>
      <c r="AK9471">
        <v>173.39616678591901</v>
      </c>
      <c r="AL9471">
        <v>92.945222762794003</v>
      </c>
      <c r="AM9471">
        <v>92.520958353974606</v>
      </c>
      <c r="AN9471">
        <v>1.00000000876034</v>
      </c>
    </row>
    <row r="9472" spans="1:40" x14ac:dyDescent="0.25">
      <c r="A9472" t="str">
        <f>"20190303154024646"</f>
        <v>20190303154024646</v>
      </c>
      <c r="B9472" t="str">
        <f>"1551598824637200"</f>
        <v>1551598824637200</v>
      </c>
      <c r="C9472" t="s">
        <v>40</v>
      </c>
      <c r="D9472">
        <v>5.1305899999999998</v>
      </c>
      <c r="E9472">
        <v>0.54633500000000002</v>
      </c>
      <c r="F9472" t="s">
        <v>66</v>
      </c>
      <c r="G9472">
        <v>-166.70830000000001</v>
      </c>
      <c r="H9472">
        <v>0.4902725</v>
      </c>
      <c r="I9472">
        <v>171.24619999999999</v>
      </c>
      <c r="J9472">
        <v>-187.89670000000001</v>
      </c>
      <c r="K9472">
        <v>1.121359</v>
      </c>
      <c r="L9472">
        <v>-0.90762330000000002</v>
      </c>
      <c r="M9472">
        <v>4.2219560000000003E-2</v>
      </c>
      <c r="N9472">
        <v>-1.469555E-2</v>
      </c>
      <c r="O9472">
        <v>0.99900029999999995</v>
      </c>
      <c r="P9472">
        <v>-1.972253E-4</v>
      </c>
      <c r="Q9472">
        <v>-6.6067899999999999E-2</v>
      </c>
      <c r="R9472">
        <v>0.99781509999999995</v>
      </c>
      <c r="S9472">
        <v>0.36970520000000001</v>
      </c>
      <c r="T9472">
        <v>-1.10054E-2</v>
      </c>
      <c r="U9472">
        <v>3.0064700000000002</v>
      </c>
      <c r="V9472">
        <v>-4.2319049999999997E-2</v>
      </c>
      <c r="W9472">
        <v>-5.1418619999999998E-2</v>
      </c>
      <c r="X9472">
        <v>0.99778009999999995</v>
      </c>
      <c r="Y9472">
        <v>8.0015080000000002E-2</v>
      </c>
      <c r="Z9472">
        <v>1.102178E-2</v>
      </c>
      <c r="AA9472">
        <v>0.99673270000000003</v>
      </c>
      <c r="AB9472">
        <v>23</v>
      </c>
      <c r="AC9472">
        <v>21.188400000000001</v>
      </c>
      <c r="AD9472">
        <v>-0.631086499999999</v>
      </c>
      <c r="AE9472">
        <v>172.1538233</v>
      </c>
      <c r="AF9472">
        <v>13.900275976437699</v>
      </c>
      <c r="AG9472">
        <v>-0.631086499999999</v>
      </c>
      <c r="AH9472">
        <v>172.892663160186</v>
      </c>
      <c r="AI9472">
        <v>90.208465381015998</v>
      </c>
      <c r="AJ9472">
        <v>85.403403749037096</v>
      </c>
      <c r="AK9472">
        <v>173.45169044149799</v>
      </c>
      <c r="AL9472">
        <v>92.947369775455599</v>
      </c>
      <c r="AM9472">
        <v>92.428641951122898</v>
      </c>
      <c r="AN9472">
        <v>0.99999995221580695</v>
      </c>
    </row>
    <row r="9473" spans="1:40" x14ac:dyDescent="0.25">
      <c r="A9473" t="str">
        <f>"20190303154024669"</f>
        <v>20190303154024669</v>
      </c>
      <c r="B9473" t="str">
        <f>"1551598824657699"</f>
        <v>1551598824657699</v>
      </c>
      <c r="C9473" t="s">
        <v>40</v>
      </c>
      <c r="D9473">
        <v>4.9972209999999997</v>
      </c>
      <c r="E9473">
        <v>0.54577699999999996</v>
      </c>
      <c r="F9473" t="s">
        <v>66</v>
      </c>
      <c r="G9473">
        <v>-166.75960000000001</v>
      </c>
      <c r="H9473">
        <v>0.38214300000000001</v>
      </c>
      <c r="I9473">
        <v>171.29750000000001</v>
      </c>
      <c r="J9473">
        <v>-187.887</v>
      </c>
      <c r="K9473">
        <v>1.121391</v>
      </c>
      <c r="L9473">
        <v>-0.67398069999999999</v>
      </c>
      <c r="M9473">
        <v>4.2045109999999997E-2</v>
      </c>
      <c r="N9473">
        <v>-1.4690129999999999E-2</v>
      </c>
      <c r="O9473">
        <v>0.99900770000000005</v>
      </c>
      <c r="P9473">
        <v>8.8208489999999997E-4</v>
      </c>
      <c r="Q9473">
        <v>-6.5894889999999998E-2</v>
      </c>
      <c r="R9473">
        <v>0.9978262</v>
      </c>
      <c r="S9473">
        <v>0.3689423</v>
      </c>
      <c r="T9473">
        <v>-1.290226E-2</v>
      </c>
      <c r="U9473">
        <v>3.005798</v>
      </c>
      <c r="V9473">
        <v>-4.1063299999999997E-2</v>
      </c>
      <c r="W9473">
        <v>-5.1253069999999998E-2</v>
      </c>
      <c r="X9473">
        <v>0.99784110000000004</v>
      </c>
      <c r="Y9473">
        <v>7.9967360000000001E-2</v>
      </c>
      <c r="Z9473">
        <v>1.038886E-2</v>
      </c>
      <c r="AA9473">
        <v>0.9967433</v>
      </c>
      <c r="AB9473">
        <v>23</v>
      </c>
      <c r="AC9473">
        <v>21.127399999999898</v>
      </c>
      <c r="AD9473">
        <v>-0.73924799999999902</v>
      </c>
      <c r="AE9473">
        <v>171.97148069999901</v>
      </c>
      <c r="AF9473">
        <v>13.877120458393399</v>
      </c>
      <c r="AG9473">
        <v>-0.73924799999999902</v>
      </c>
      <c r="AH9473">
        <v>172.70463163252501</v>
      </c>
      <c r="AI9473">
        <v>90.244460494890504</v>
      </c>
      <c r="AJ9473">
        <v>85.406053320508704</v>
      </c>
      <c r="AK9473">
        <v>173.26283717851501</v>
      </c>
      <c r="AL9473">
        <v>92.937871893805294</v>
      </c>
      <c r="AM9473">
        <v>92.356514481223002</v>
      </c>
      <c r="AN9473">
        <v>0.999999966320261</v>
      </c>
    </row>
    <row r="9474" spans="1:40" x14ac:dyDescent="0.25">
      <c r="A9474" t="str">
        <f>"20190303154024685"</f>
        <v>20190303154024685</v>
      </c>
      <c r="B9474" t="str">
        <f>"1551598824677216"</f>
        <v>1551598824677216</v>
      </c>
      <c r="C9474" t="s">
        <v>40</v>
      </c>
      <c r="D9474">
        <v>4.952388</v>
      </c>
      <c r="E9474">
        <v>0.54514899999999999</v>
      </c>
      <c r="F9474" t="s">
        <v>66</v>
      </c>
      <c r="G9474">
        <v>-166.83779999999999</v>
      </c>
      <c r="H9474">
        <v>0.31318570000000001</v>
      </c>
      <c r="I9474">
        <v>171.37569999999999</v>
      </c>
      <c r="J9474">
        <v>-187.8802</v>
      </c>
      <c r="K9474">
        <v>1.121413</v>
      </c>
      <c r="L9474">
        <v>-0.50808719999999996</v>
      </c>
      <c r="M9474">
        <v>4.1898039999999998E-2</v>
      </c>
      <c r="N9474">
        <v>-1.468626E-2</v>
      </c>
      <c r="O9474">
        <v>0.99901399999999996</v>
      </c>
      <c r="P9474">
        <v>9.7330889999999997E-4</v>
      </c>
      <c r="Q9474">
        <v>-6.5989930000000002E-2</v>
      </c>
      <c r="R9474">
        <v>0.99781980000000003</v>
      </c>
      <c r="S9474">
        <v>0.3676758</v>
      </c>
      <c r="T9474">
        <v>-1.4116760000000001E-2</v>
      </c>
      <c r="U9474">
        <v>3.00528</v>
      </c>
      <c r="V9474">
        <v>-4.0822810000000001E-2</v>
      </c>
      <c r="W9474">
        <v>-5.1353620000000003E-2</v>
      </c>
      <c r="X9474">
        <v>0.9978458</v>
      </c>
      <c r="Y9474">
        <v>7.9721379999999994E-2</v>
      </c>
      <c r="Z9474">
        <v>9.9829150000000002E-3</v>
      </c>
      <c r="AA9474">
        <v>0.99676719999999996</v>
      </c>
      <c r="AB9474">
        <v>23</v>
      </c>
      <c r="AC9474">
        <v>21.042400000000001</v>
      </c>
      <c r="AD9474">
        <v>-0.80822729999999998</v>
      </c>
      <c r="AE9474">
        <v>171.8837872</v>
      </c>
      <c r="AF9474">
        <v>13.821247239933999</v>
      </c>
      <c r="AG9474">
        <v>-0.80822729999999998</v>
      </c>
      <c r="AH9474">
        <v>172.610792260099</v>
      </c>
      <c r="AI9474">
        <v>90.267422076470297</v>
      </c>
      <c r="AJ9474">
        <v>85.4219942524809</v>
      </c>
      <c r="AK9474">
        <v>173.16514000021701</v>
      </c>
      <c r="AL9474">
        <v>92.943640575370694</v>
      </c>
      <c r="AM9474">
        <v>92.342717794474893</v>
      </c>
      <c r="AN9474">
        <v>0.99999996834051896</v>
      </c>
    </row>
    <row r="9475" spans="1:40" x14ac:dyDescent="0.25">
      <c r="A9475" t="str">
        <f>"20190303154024701"</f>
        <v>20190303154024701</v>
      </c>
      <c r="B9475" t="str">
        <f>"1551598824697711"</f>
        <v>1551598824697711</v>
      </c>
      <c r="C9475" t="s">
        <v>40</v>
      </c>
      <c r="D9475">
        <v>4.9505559999999997</v>
      </c>
      <c r="E9475">
        <v>0.51269989999999999</v>
      </c>
      <c r="F9475" t="s">
        <v>66</v>
      </c>
      <c r="G9475">
        <v>-167.09129999999999</v>
      </c>
      <c r="H9475">
        <v>0.2138138</v>
      </c>
      <c r="I9475">
        <v>171.62899999999999</v>
      </c>
      <c r="J9475">
        <v>-187.8732</v>
      </c>
      <c r="K9475">
        <v>1.121426</v>
      </c>
      <c r="L9475">
        <v>-0.33666990000000002</v>
      </c>
      <c r="M9475">
        <v>4.1732680000000001E-2</v>
      </c>
      <c r="N9475">
        <v>-1.4682270000000001E-2</v>
      </c>
      <c r="O9475">
        <v>0.99902089999999999</v>
      </c>
      <c r="P9475">
        <v>1.107502E-3</v>
      </c>
      <c r="Q9475">
        <v>-6.5531610000000004E-2</v>
      </c>
      <c r="R9475">
        <v>0.99784989999999996</v>
      </c>
      <c r="S9475">
        <v>0.36293029999999998</v>
      </c>
      <c r="T9475">
        <v>-1.5844230000000001E-2</v>
      </c>
      <c r="U9475">
        <v>3.0051570000000001</v>
      </c>
      <c r="V9475">
        <v>-4.0523509999999999E-2</v>
      </c>
      <c r="W9475">
        <v>-5.0899880000000002E-2</v>
      </c>
      <c r="X9475">
        <v>0.99788129999999997</v>
      </c>
      <c r="Y9475">
        <v>7.8340660000000006E-2</v>
      </c>
      <c r="Z9475">
        <v>9.4075430000000008E-3</v>
      </c>
      <c r="AA9475">
        <v>0.9968823</v>
      </c>
      <c r="AB9475">
        <v>23</v>
      </c>
      <c r="AC9475">
        <v>20.7819</v>
      </c>
      <c r="AD9475">
        <v>-0.90761219999999998</v>
      </c>
      <c r="AE9475">
        <v>171.96566989999999</v>
      </c>
      <c r="AF9475">
        <v>13.586056028939501</v>
      </c>
      <c r="AG9475">
        <v>-0.90761219999999998</v>
      </c>
      <c r="AH9475">
        <v>172.67846021255599</v>
      </c>
      <c r="AI9475">
        <v>90.300220784862702</v>
      </c>
      <c r="AJ9475">
        <v>85.501330111179897</v>
      </c>
      <c r="AK9475">
        <v>173.21447774278701</v>
      </c>
      <c r="AL9475">
        <v>92.917608989604702</v>
      </c>
      <c r="AM9475">
        <v>92.325478010457005</v>
      </c>
      <c r="AN9475">
        <v>1.00000002076821</v>
      </c>
    </row>
    <row r="9476" spans="1:40" x14ac:dyDescent="0.25">
      <c r="A9476" t="str">
        <f>"20190303154024725"</f>
        <v>20190303154024725</v>
      </c>
      <c r="B9476" t="str">
        <f>"1551598824717232"</f>
        <v>1551598824717232</v>
      </c>
      <c r="C9476" t="s">
        <v>40</v>
      </c>
      <c r="D9476">
        <v>4.908372</v>
      </c>
      <c r="E9476">
        <v>0.51113169999999997</v>
      </c>
      <c r="F9476" t="s">
        <v>42</v>
      </c>
      <c r="G9476">
        <v>-181.19970000000001</v>
      </c>
      <c r="H9476" s="1">
        <v>-3.031413E-6</v>
      </c>
      <c r="I9476">
        <v>191.67529999999999</v>
      </c>
      <c r="J9476">
        <v>-187.86340000000001</v>
      </c>
      <c r="K9476">
        <v>1.12144</v>
      </c>
      <c r="L9476">
        <v>-9.6221920000000002E-2</v>
      </c>
      <c r="M9476">
        <v>4.1482529999999997E-2</v>
      </c>
      <c r="N9476">
        <v>-1.467662E-2</v>
      </c>
      <c r="O9476">
        <v>0.99903140000000001</v>
      </c>
      <c r="P9476">
        <v>5.137583E-4</v>
      </c>
      <c r="Q9476">
        <v>-6.425525E-2</v>
      </c>
      <c r="R9476">
        <v>0.99793339999999997</v>
      </c>
      <c r="S9476">
        <v>0.10444639999999999</v>
      </c>
      <c r="T9476">
        <v>-1.7551540000000001E-2</v>
      </c>
      <c r="U9476">
        <v>3.005188</v>
      </c>
      <c r="V9476">
        <v>-4.0870150000000001E-2</v>
      </c>
      <c r="W9476">
        <v>-4.9629369999999999E-2</v>
      </c>
      <c r="X9476">
        <v>0.99793109999999996</v>
      </c>
      <c r="Y9476">
        <v>-6.7578169999999898E-3</v>
      </c>
      <c r="Z9476">
        <v>8.8354790000000002E-3</v>
      </c>
      <c r="AA9476">
        <v>0.99993810000000005</v>
      </c>
      <c r="AB9476">
        <v>23</v>
      </c>
      <c r="AC9476">
        <v>6.6637000000000004</v>
      </c>
      <c r="AD9476">
        <v>-1.1214430314129999</v>
      </c>
      <c r="AE9476">
        <v>191.77152192</v>
      </c>
      <c r="AF9476">
        <v>-1.2980178851720401</v>
      </c>
      <c r="AG9476">
        <v>-1.1214430314129999</v>
      </c>
      <c r="AH9476">
        <v>191.87631830605699</v>
      </c>
      <c r="AI9476">
        <v>90.334860244758403</v>
      </c>
      <c r="AJ9476">
        <v>90.387592448878493</v>
      </c>
      <c r="AK9476">
        <v>191.883985813278</v>
      </c>
      <c r="AL9476">
        <v>92.844722158923005</v>
      </c>
      <c r="AM9476">
        <v>92.345231228900701</v>
      </c>
      <c r="AN9476">
        <v>0.99999996193741303</v>
      </c>
    </row>
    <row r="9477" spans="1:40" x14ac:dyDescent="0.25">
      <c r="A9477" t="str">
        <f>"20190303154024745"</f>
        <v>20190303154024745</v>
      </c>
      <c r="B9477" t="str">
        <f>"1551598824737728"</f>
        <v>1551598824737728</v>
      </c>
      <c r="C9477" t="s">
        <v>40</v>
      </c>
      <c r="D9477">
        <v>4.9490699999999999</v>
      </c>
      <c r="E9477">
        <v>0.51052790000000003</v>
      </c>
      <c r="F9477" t="s">
        <v>68</v>
      </c>
      <c r="G9477">
        <v>-183.42400000000001</v>
      </c>
      <c r="H9477" s="1">
        <v>-1.095912E-5</v>
      </c>
      <c r="I9477">
        <v>148.27170000000001</v>
      </c>
      <c r="J9477">
        <v>-187.85480000000001</v>
      </c>
      <c r="K9477">
        <v>1.121448</v>
      </c>
      <c r="L9477">
        <v>0.1174622</v>
      </c>
      <c r="M9477">
        <v>4.1248380000000001E-2</v>
      </c>
      <c r="N9477">
        <v>-1.4671500000000001E-2</v>
      </c>
      <c r="O9477">
        <v>0.99904119999999996</v>
      </c>
      <c r="P9477" s="1">
        <v>-1.8820669999999999E-5</v>
      </c>
      <c r="Q9477">
        <v>-6.2638659999999999E-2</v>
      </c>
      <c r="R9477">
        <v>0.99803629999999999</v>
      </c>
      <c r="S9477">
        <v>8.9904789999999998E-2</v>
      </c>
      <c r="T9477">
        <v>-2.271128E-2</v>
      </c>
      <c r="U9477">
        <v>3.0047000000000001</v>
      </c>
      <c r="V9477">
        <v>-4.1173189999999998E-2</v>
      </c>
      <c r="W9477">
        <v>-4.8016969999999999E-2</v>
      </c>
      <c r="X9477">
        <v>0.99799760000000004</v>
      </c>
      <c r="Y9477">
        <v>-1.135073E-2</v>
      </c>
      <c r="Z9477">
        <v>7.1160529999999998E-3</v>
      </c>
      <c r="AA9477">
        <v>0.99991019999999997</v>
      </c>
      <c r="AB9477">
        <v>23</v>
      </c>
      <c r="AC9477">
        <v>4.4307999999999996</v>
      </c>
      <c r="AD9477">
        <v>-1.1214589591199999</v>
      </c>
      <c r="AE9477">
        <v>148.1542378</v>
      </c>
      <c r="AF9477">
        <v>-1.6846554422222699</v>
      </c>
      <c r="AG9477">
        <v>-1.1214589591199999</v>
      </c>
      <c r="AH9477">
        <v>148.20241893559501</v>
      </c>
      <c r="AI9477">
        <v>90.433525232853299</v>
      </c>
      <c r="AJ9477">
        <v>90.651267977722895</v>
      </c>
      <c r="AK9477">
        <v>148.216236332318</v>
      </c>
      <c r="AL9477">
        <v>92.752227923482096</v>
      </c>
      <c r="AM9477">
        <v>92.362443538162793</v>
      </c>
      <c r="AN9477">
        <v>1.00000003529425</v>
      </c>
    </row>
    <row r="9478" spans="1:40" x14ac:dyDescent="0.25">
      <c r="A9478" t="str">
        <f>"20190303154024769"</f>
        <v>20190303154024769</v>
      </c>
      <c r="B9478" t="str">
        <f>"1551598824757247"</f>
        <v>1551598824757247</v>
      </c>
      <c r="C9478" t="s">
        <v>40</v>
      </c>
      <c r="D9478">
        <v>4.883972</v>
      </c>
      <c r="E9478">
        <v>0.5100557</v>
      </c>
      <c r="F9478" t="s">
        <v>68</v>
      </c>
      <c r="G9478">
        <v>-183.51300000000001</v>
      </c>
      <c r="H9478" s="1">
        <v>-1.354127E-5</v>
      </c>
      <c r="I9478">
        <v>156.32239999999999</v>
      </c>
      <c r="J9478">
        <v>-187.84479999999999</v>
      </c>
      <c r="K9478">
        <v>1.1214470000000001</v>
      </c>
      <c r="L9478">
        <v>0.36663820000000003</v>
      </c>
      <c r="M9478">
        <v>4.097195E-2</v>
      </c>
      <c r="N9478">
        <v>-1.466546E-2</v>
      </c>
      <c r="O9478">
        <v>0.99905259999999996</v>
      </c>
      <c r="P9478">
        <v>-1.0665799999999999E-4</v>
      </c>
      <c r="Q9478">
        <v>-6.133152E-2</v>
      </c>
      <c r="R9478">
        <v>0.99811740000000004</v>
      </c>
      <c r="S9478">
        <v>8.3511349999999998E-2</v>
      </c>
      <c r="T9478">
        <v>-2.157092E-2</v>
      </c>
      <c r="U9478">
        <v>3.0045470000000001</v>
      </c>
      <c r="V9478">
        <v>-4.0988700000000003E-2</v>
      </c>
      <c r="W9478">
        <v>-4.6714360000000003E-2</v>
      </c>
      <c r="X9478">
        <v>0.99806700000000004</v>
      </c>
      <c r="Y9478">
        <v>-1.319829E-2</v>
      </c>
      <c r="Z9478">
        <v>7.4890009999999899E-3</v>
      </c>
      <c r="AA9478">
        <v>0.99988480000000002</v>
      </c>
      <c r="AB9478">
        <v>23</v>
      </c>
      <c r="AC9478">
        <v>4.3317999999999799</v>
      </c>
      <c r="AD9478">
        <v>-1.1214605412699901</v>
      </c>
      <c r="AE9478">
        <v>155.95576179999901</v>
      </c>
      <c r="AF9478">
        <v>-2.0622309898093101</v>
      </c>
      <c r="AG9478">
        <v>-1.1214605412699901</v>
      </c>
      <c r="AH9478">
        <v>155.994218420576</v>
      </c>
      <c r="AI9478">
        <v>90.411862925724293</v>
      </c>
      <c r="AJ9478">
        <v>90.757401464755702</v>
      </c>
      <c r="AK9478">
        <v>156.01187983947699</v>
      </c>
      <c r="AL9478">
        <v>92.677510042366293</v>
      </c>
      <c r="AM9478">
        <v>92.351706395211806</v>
      </c>
      <c r="AN9478">
        <v>1.0000000207234401</v>
      </c>
    </row>
    <row r="9479" spans="1:40" x14ac:dyDescent="0.25">
      <c r="A9479" t="str">
        <f>"20190303154024790"</f>
        <v>20190303154024790</v>
      </c>
      <c r="B9479" t="str">
        <f>"1551598824787507"</f>
        <v>1551598824787507</v>
      </c>
      <c r="C9479" t="s">
        <v>40</v>
      </c>
      <c r="D9479">
        <v>4.8763100000000001</v>
      </c>
      <c r="E9479">
        <v>0.50938549999999905</v>
      </c>
      <c r="F9479" t="s">
        <v>68</v>
      </c>
      <c r="G9479">
        <v>-183.792</v>
      </c>
      <c r="H9479" s="1">
        <v>-1.2292780000000001E-5</v>
      </c>
      <c r="I9479">
        <v>153.46780000000001</v>
      </c>
      <c r="J9479">
        <v>-187.8364</v>
      </c>
      <c r="K9479">
        <v>1.121453</v>
      </c>
      <c r="L9479">
        <v>0.57913210000000004</v>
      </c>
      <c r="M9479">
        <v>4.0740180000000001E-2</v>
      </c>
      <c r="N9479">
        <v>-1.4660309999999999E-2</v>
      </c>
      <c r="O9479">
        <v>0.99906220000000001</v>
      </c>
      <c r="P9479">
        <v>4.4882510000000001E-4</v>
      </c>
      <c r="Q9479">
        <v>-6.1407820000000002E-2</v>
      </c>
      <c r="R9479">
        <v>0.99811269999999996</v>
      </c>
      <c r="S9479">
        <v>7.9528810000000005E-2</v>
      </c>
      <c r="T9479">
        <v>-2.2006390000000001E-2</v>
      </c>
      <c r="U9479">
        <v>3.0043030000000002</v>
      </c>
      <c r="V9479">
        <v>-4.0202309999999998E-2</v>
      </c>
      <c r="W9479">
        <v>-4.6794719999999998E-2</v>
      </c>
      <c r="X9479">
        <v>0.99809519999999996</v>
      </c>
      <c r="Y9479">
        <v>-1.428831E-2</v>
      </c>
      <c r="Z9479">
        <v>7.338809E-3</v>
      </c>
      <c r="AA9479">
        <v>0.99987099999999995</v>
      </c>
      <c r="AB9479">
        <v>23</v>
      </c>
      <c r="AC9479">
        <v>4.0443999999999898</v>
      </c>
      <c r="AD9479">
        <v>-1.12146529278</v>
      </c>
      <c r="AE9479">
        <v>152.8886679</v>
      </c>
      <c r="AF9479">
        <v>-2.18822224749601</v>
      </c>
      <c r="AG9479">
        <v>-1.12146529278</v>
      </c>
      <c r="AH9479">
        <v>152.91827379694701</v>
      </c>
      <c r="AI9479">
        <v>90.4201427157643</v>
      </c>
      <c r="AJ9479">
        <v>90.819832317353701</v>
      </c>
      <c r="AK9479">
        <v>152.938041252153</v>
      </c>
      <c r="AL9479">
        <v>92.682119427712394</v>
      </c>
      <c r="AM9479">
        <v>92.306571767376695</v>
      </c>
      <c r="AN9479">
        <v>0.99999999990612698</v>
      </c>
    </row>
    <row r="9480" spans="1:40" x14ac:dyDescent="0.25">
      <c r="A9480" t="str">
        <f>"20190303154024804"</f>
        <v>20190303154024804</v>
      </c>
      <c r="B9480" t="str">
        <f>"1551598824797267"</f>
        <v>1551598824797267</v>
      </c>
      <c r="C9480" t="s">
        <v>40</v>
      </c>
      <c r="D9480">
        <v>4.9097059999999999</v>
      </c>
      <c r="E9480">
        <v>0.50891730000000002</v>
      </c>
      <c r="F9480" t="s">
        <v>42</v>
      </c>
      <c r="G9480">
        <v>-184.90450000000001</v>
      </c>
      <c r="H9480" s="1">
        <v>-3.8906069999999996E-6</v>
      </c>
      <c r="I9480">
        <v>116.5949</v>
      </c>
      <c r="J9480">
        <v>-187.8305</v>
      </c>
      <c r="K9480">
        <v>1.1214519999999999</v>
      </c>
      <c r="L9480">
        <v>0.72863769999999894</v>
      </c>
      <c r="M9480">
        <v>4.0581239999999998E-2</v>
      </c>
      <c r="N9480">
        <v>-1.465666E-2</v>
      </c>
      <c r="O9480">
        <v>0.99906870000000003</v>
      </c>
      <c r="P9480">
        <v>4.167493E-4</v>
      </c>
      <c r="Q9480">
        <v>-6.1366490000000003E-2</v>
      </c>
      <c r="R9480">
        <v>0.99811519999999998</v>
      </c>
      <c r="S9480">
        <v>7.5912480000000004E-2</v>
      </c>
      <c r="T9480">
        <v>-2.90364E-2</v>
      </c>
      <c r="U9480">
        <v>3.0038450000000001</v>
      </c>
      <c r="V9480">
        <v>-4.007674E-2</v>
      </c>
      <c r="W9480">
        <v>-4.6756609999999997E-2</v>
      </c>
      <c r="X9480">
        <v>0.99810200000000004</v>
      </c>
      <c r="Y9480">
        <v>-1.532734E-2</v>
      </c>
      <c r="Z9480">
        <v>4.9975840000000002E-3</v>
      </c>
      <c r="AA9480">
        <v>0.99987009999999998</v>
      </c>
      <c r="AB9480">
        <v>23</v>
      </c>
      <c r="AC9480">
        <v>2.9259999999999802</v>
      </c>
      <c r="AD9480">
        <v>-1.121455890607</v>
      </c>
      <c r="AE9480">
        <v>115.86626229999899</v>
      </c>
      <c r="AF9480">
        <v>-1.77874620457049</v>
      </c>
      <c r="AG9480">
        <v>-1.121455890607</v>
      </c>
      <c r="AH9480">
        <v>115.8787008206</v>
      </c>
      <c r="AI9480">
        <v>90.554416947255703</v>
      </c>
      <c r="AJ9480">
        <v>90.879425176686496</v>
      </c>
      <c r="AK9480">
        <v>115.89777782703599</v>
      </c>
      <c r="AL9480">
        <v>92.6799335890733</v>
      </c>
      <c r="AM9480">
        <v>92.299359396721499</v>
      </c>
      <c r="AN9480">
        <v>0.999999964035859</v>
      </c>
    </row>
    <row r="9481" spans="1:40" x14ac:dyDescent="0.25">
      <c r="A9481" t="str">
        <f>"20190303154024827"</f>
        <v>20190303154024827</v>
      </c>
      <c r="B9481" t="str">
        <f>"1551598824817763"</f>
        <v>1551598824817763</v>
      </c>
      <c r="C9481" t="s">
        <v>40</v>
      </c>
      <c r="D9481">
        <v>4.8422049999999999</v>
      </c>
      <c r="E9481">
        <v>0.5087429</v>
      </c>
      <c r="F9481" t="s">
        <v>42</v>
      </c>
      <c r="G9481">
        <v>-185.52010000000001</v>
      </c>
      <c r="H9481" s="1">
        <v>-4.014244E-6</v>
      </c>
      <c r="I9481">
        <v>97.137699999999995</v>
      </c>
      <c r="J9481">
        <v>-187.82140000000001</v>
      </c>
      <c r="K9481">
        <v>1.1214519999999999</v>
      </c>
      <c r="L9481">
        <v>0.95993039999999996</v>
      </c>
      <c r="M9481">
        <v>4.0341780000000001E-2</v>
      </c>
      <c r="N9481">
        <v>-1.4651030000000001E-2</v>
      </c>
      <c r="O9481">
        <v>0.99907849999999998</v>
      </c>
      <c r="P9481">
        <v>5.470688E-4</v>
      </c>
      <c r="Q9481">
        <v>-6.0943249999999997E-2</v>
      </c>
      <c r="R9481">
        <v>0.9981411</v>
      </c>
      <c r="S9481">
        <v>7.1975709999999998E-2</v>
      </c>
      <c r="T9481">
        <v>-3.4937259999999998E-2</v>
      </c>
      <c r="U9481">
        <v>3.003479</v>
      </c>
      <c r="V9481">
        <v>-3.9709149999999999E-2</v>
      </c>
      <c r="W9481">
        <v>-4.6337879999999998E-2</v>
      </c>
      <c r="X9481">
        <v>0.99813629999999998</v>
      </c>
      <c r="Y9481">
        <v>-1.639376E-2</v>
      </c>
      <c r="Z9481">
        <v>3.0293799999999999E-3</v>
      </c>
      <c r="AA9481">
        <v>0.999861</v>
      </c>
      <c r="AB9481">
        <v>23</v>
      </c>
      <c r="AC9481">
        <v>2.3012999999999901</v>
      </c>
      <c r="AD9481">
        <v>-1.121456014244</v>
      </c>
      <c r="AE9481">
        <v>96.177769600000005</v>
      </c>
      <c r="AF9481">
        <v>-1.58075799113888</v>
      </c>
      <c r="AG9481">
        <v>-1.121456014244</v>
      </c>
      <c r="AH9481">
        <v>96.179237554185406</v>
      </c>
      <c r="AI9481">
        <v>90.667951949997402</v>
      </c>
      <c r="AJ9481">
        <v>90.941602467886597</v>
      </c>
      <c r="AK9481">
        <v>96.198764004132897</v>
      </c>
      <c r="AL9481">
        <v>92.655915879477604</v>
      </c>
      <c r="AM9481">
        <v>92.278213437924904</v>
      </c>
      <c r="AN9481">
        <v>1.00000004454715</v>
      </c>
    </row>
    <row r="9482" spans="1:40" x14ac:dyDescent="0.25">
      <c r="A9482" t="str">
        <f>"20190303154024848"</f>
        <v>20190303154024848</v>
      </c>
      <c r="B9482" t="str">
        <f>"1551598824837283"</f>
        <v>1551598824837283</v>
      </c>
      <c r="C9482" t="s">
        <v>40</v>
      </c>
      <c r="D9482">
        <v>4.835413</v>
      </c>
      <c r="E9482">
        <v>0.50851449999999998</v>
      </c>
      <c r="F9482" t="s">
        <v>42</v>
      </c>
      <c r="G9482">
        <v>-185.4819</v>
      </c>
      <c r="H9482" s="1">
        <v>-5.0790769999999998E-6</v>
      </c>
      <c r="I9482">
        <v>99.604079999999996</v>
      </c>
      <c r="J9482">
        <v>-187.81290000000001</v>
      </c>
      <c r="K9482">
        <v>1.121437</v>
      </c>
      <c r="L9482">
        <v>1.1760250000000001</v>
      </c>
      <c r="M9482">
        <v>4.0128209999999997E-2</v>
      </c>
      <c r="N9482">
        <v>-1.4601609999999999E-2</v>
      </c>
      <c r="O9482">
        <v>0.99908790000000003</v>
      </c>
      <c r="P9482">
        <v>3.4491159999999998E-4</v>
      </c>
      <c r="Q9482">
        <v>-6.0561049999999998E-2</v>
      </c>
      <c r="R9482">
        <v>0.99816439999999995</v>
      </c>
      <c r="S9482">
        <v>7.1228029999999998E-2</v>
      </c>
      <c r="T9482">
        <v>-3.414536E-2</v>
      </c>
      <c r="U9482">
        <v>3.0034480000000001</v>
      </c>
      <c r="V9482">
        <v>-3.9699289999999998E-2</v>
      </c>
      <c r="W9482">
        <v>-4.6004209999999997E-2</v>
      </c>
      <c r="X9482">
        <v>0.99815209999999999</v>
      </c>
      <c r="Y9482">
        <v>-1.642857E-2</v>
      </c>
      <c r="Z9482">
        <v>3.2430409999999999E-3</v>
      </c>
      <c r="AA9482">
        <v>0.99985979999999997</v>
      </c>
      <c r="AB9482">
        <v>23</v>
      </c>
      <c r="AC9482">
        <v>2.3310000000000102</v>
      </c>
      <c r="AD9482">
        <v>-1.1214420790770001</v>
      </c>
      <c r="AE9482">
        <v>98.428055000000001</v>
      </c>
      <c r="AF9482">
        <v>-1.62083020713286</v>
      </c>
      <c r="AG9482">
        <v>-1.1214420790770001</v>
      </c>
      <c r="AH9482">
        <v>98.429536757309293</v>
      </c>
      <c r="AI9482">
        <v>90.652674101573794</v>
      </c>
      <c r="AJ9482">
        <v>90.943399112854394</v>
      </c>
      <c r="AK9482">
        <v>98.449268301778602</v>
      </c>
      <c r="AL9482">
        <v>92.636777657879904</v>
      </c>
      <c r="AM9482">
        <v>92.277612325366604</v>
      </c>
      <c r="AN9482">
        <v>1.00000001784931</v>
      </c>
    </row>
    <row r="9483" spans="1:40" x14ac:dyDescent="0.25">
      <c r="A9483" t="str">
        <f>"20190303154024869"</f>
        <v>20190303154024869</v>
      </c>
      <c r="B9483" t="str">
        <f>"1551598824857778"</f>
        <v>1551598824857778</v>
      </c>
      <c r="C9483" t="s">
        <v>40</v>
      </c>
      <c r="D9483">
        <v>4.8183819999999997</v>
      </c>
      <c r="E9483">
        <v>0.50819020000000004</v>
      </c>
      <c r="F9483" t="s">
        <v>42</v>
      </c>
      <c r="G9483">
        <v>-185.6078</v>
      </c>
      <c r="H9483" s="1">
        <v>-4.3379499999999997E-6</v>
      </c>
      <c r="I9483">
        <v>97.928520000000006</v>
      </c>
      <c r="J9483">
        <v>-187.80449999999999</v>
      </c>
      <c r="K9483">
        <v>1.1213979999999999</v>
      </c>
      <c r="L9483">
        <v>1.390198</v>
      </c>
      <c r="M9483">
        <v>3.9925990000000001E-2</v>
      </c>
      <c r="N9483">
        <v>-1.4447969999999999E-2</v>
      </c>
      <c r="O9483">
        <v>0.99909820000000005</v>
      </c>
      <c r="P9483">
        <v>2.418132E-4</v>
      </c>
      <c r="Q9483">
        <v>-5.9414990000000001E-2</v>
      </c>
      <c r="R9483">
        <v>0.99823329999999999</v>
      </c>
      <c r="S9483">
        <v>6.8450929999999993E-2</v>
      </c>
      <c r="T9483">
        <v>-3.4811740000000001E-2</v>
      </c>
      <c r="U9483">
        <v>3.003387</v>
      </c>
      <c r="V9483">
        <v>-3.9604E-2</v>
      </c>
      <c r="W9483">
        <v>-4.5009970000000003E-2</v>
      </c>
      <c r="X9483">
        <v>0.99820120000000001</v>
      </c>
      <c r="Y9483">
        <v>-1.714951E-2</v>
      </c>
      <c r="Z9483">
        <v>2.8678039999999998E-3</v>
      </c>
      <c r="AA9483">
        <v>0.99984879999999998</v>
      </c>
      <c r="AB9483">
        <v>23</v>
      </c>
      <c r="AC9483">
        <v>2.1966999999999901</v>
      </c>
      <c r="AD9483">
        <v>-1.12140233795</v>
      </c>
      <c r="AE9483">
        <v>96.538321999999994</v>
      </c>
      <c r="AF9483">
        <v>-1.6596184540427901</v>
      </c>
      <c r="AG9483">
        <v>-1.12140233795</v>
      </c>
      <c r="AH9483">
        <v>96.536025370578699</v>
      </c>
      <c r="AI9483">
        <v>90.665443180223903</v>
      </c>
      <c r="AJ9483">
        <v>90.984914867845802</v>
      </c>
      <c r="AK9483">
        <v>96.556802302922094</v>
      </c>
      <c r="AL9483">
        <v>92.579752857183607</v>
      </c>
      <c r="AM9483">
        <v>92.272039474542197</v>
      </c>
      <c r="AN9483">
        <v>1.0000000049484199</v>
      </c>
    </row>
    <row r="9484" spans="1:40" x14ac:dyDescent="0.25">
      <c r="A9484" t="str">
        <f>"20190303154024891"</f>
        <v>20190303154024891</v>
      </c>
      <c r="B9484" t="str">
        <f>"1551598824887320"</f>
        <v>1551598824887320</v>
      </c>
      <c r="C9484" t="s">
        <v>40</v>
      </c>
      <c r="D9484">
        <v>4.7148099999999999</v>
      </c>
      <c r="E9484">
        <v>0.50747330000000002</v>
      </c>
      <c r="F9484" t="s">
        <v>42</v>
      </c>
      <c r="G9484">
        <v>-185.5754</v>
      </c>
      <c r="H9484" s="1">
        <v>-2.53476E-6</v>
      </c>
      <c r="I9484">
        <v>103.6371</v>
      </c>
      <c r="J9484">
        <v>-187.79599999999999</v>
      </c>
      <c r="K9484">
        <v>1.1213229999999901</v>
      </c>
      <c r="L9484">
        <v>1.609467</v>
      </c>
      <c r="M9484">
        <v>3.9736519999999997E-2</v>
      </c>
      <c r="N9484">
        <v>-1.4161490000000001E-2</v>
      </c>
      <c r="O9484">
        <v>0.9991099</v>
      </c>
      <c r="P9484" s="1">
        <v>-2.7109920000000001E-5</v>
      </c>
      <c r="Q9484">
        <v>-5.803088E-2</v>
      </c>
      <c r="R9484">
        <v>0.99831479999999995</v>
      </c>
      <c r="S9484">
        <v>6.5475459999999999E-2</v>
      </c>
      <c r="T9484">
        <v>-3.2939200000000002E-2</v>
      </c>
      <c r="U9484">
        <v>3.0033259999999999</v>
      </c>
      <c r="V9484">
        <v>-3.9687800000000002E-2</v>
      </c>
      <c r="W9484">
        <v>-4.3910079999999997E-2</v>
      </c>
      <c r="X9484">
        <v>0.99824679999999999</v>
      </c>
      <c r="Y9484">
        <v>-1.7949389999999999E-2</v>
      </c>
      <c r="Z9484">
        <v>3.203872E-3</v>
      </c>
      <c r="AA9484">
        <v>0.99983379999999999</v>
      </c>
      <c r="AB9484">
        <v>23</v>
      </c>
      <c r="AC9484">
        <v>2.2205999999999899</v>
      </c>
      <c r="AD9484">
        <v>-1.12132553475999</v>
      </c>
      <c r="AE9484">
        <v>102.02763299999999</v>
      </c>
      <c r="AF9484">
        <v>-1.8355619944492001</v>
      </c>
      <c r="AG9484">
        <v>-1.12132553475999</v>
      </c>
      <c r="AH9484">
        <v>102.02296499092</v>
      </c>
      <c r="AI9484">
        <v>90.629605688757906</v>
      </c>
      <c r="AJ9484">
        <v>91.030734694913093</v>
      </c>
      <c r="AK9484">
        <v>102.04563706660301</v>
      </c>
      <c r="AL9484">
        <v>92.516671572767706</v>
      </c>
      <c r="AM9484">
        <v>92.276738040546903</v>
      </c>
      <c r="AN9484">
        <v>0.99999994515234103</v>
      </c>
    </row>
    <row r="9485" spans="1:40" x14ac:dyDescent="0.25">
      <c r="A9485" t="str">
        <f>"20190303154024912"</f>
        <v>20190303154024912</v>
      </c>
      <c r="B9485" t="str">
        <f>"1551598824907817"</f>
        <v>1551598824907817</v>
      </c>
      <c r="C9485" t="s">
        <v>40</v>
      </c>
      <c r="D9485">
        <v>4.7073809999999998</v>
      </c>
      <c r="E9485">
        <v>0.50769010000000003</v>
      </c>
      <c r="F9485" t="s">
        <v>42</v>
      </c>
      <c r="G9485">
        <v>-185.9212</v>
      </c>
      <c r="H9485" s="1">
        <v>-3.9467260000000001E-6</v>
      </c>
      <c r="I9485">
        <v>97.146180000000001</v>
      </c>
      <c r="J9485">
        <v>-187.78729999999999</v>
      </c>
      <c r="K9485">
        <v>1.121237</v>
      </c>
      <c r="L9485">
        <v>1.8346560000000001</v>
      </c>
      <c r="M9485">
        <v>3.9553289999999998E-2</v>
      </c>
      <c r="N9485">
        <v>-1.3779110000000001E-2</v>
      </c>
      <c r="O9485">
        <v>0.99912239999999997</v>
      </c>
      <c r="P9485" s="1">
        <v>-4.553098E-5</v>
      </c>
      <c r="Q9485">
        <v>-5.6170619999999997E-2</v>
      </c>
      <c r="R9485">
        <v>0.99842120000000001</v>
      </c>
      <c r="S9485">
        <v>5.892944E-2</v>
      </c>
      <c r="T9485">
        <v>-3.5246850000000003E-2</v>
      </c>
      <c r="U9485">
        <v>3.0030209999999999</v>
      </c>
      <c r="V9485">
        <v>-3.9528969999999997E-2</v>
      </c>
      <c r="W9485">
        <v>-4.2428859999999999E-2</v>
      </c>
      <c r="X9485">
        <v>0.99831720000000002</v>
      </c>
      <c r="Y9485">
        <v>-1.994172E-2</v>
      </c>
      <c r="Z9485">
        <v>2.05368E-3</v>
      </c>
      <c r="AA9485">
        <v>0.99979899999999999</v>
      </c>
      <c r="AB9485">
        <v>23</v>
      </c>
      <c r="AC9485">
        <v>1.8660999999999801</v>
      </c>
      <c r="AD9485">
        <v>-1.1212409467260001</v>
      </c>
      <c r="AE9485">
        <v>95.311524000000006</v>
      </c>
      <c r="AF9485">
        <v>-1.90533946765988</v>
      </c>
      <c r="AG9485">
        <v>-1.1212409467260001</v>
      </c>
      <c r="AH9485">
        <v>95.297559134821896</v>
      </c>
      <c r="AI9485">
        <v>90.673958240950398</v>
      </c>
      <c r="AJ9485">
        <v>91.145395203570303</v>
      </c>
      <c r="AK9485">
        <v>95.323199048303593</v>
      </c>
      <c r="AL9485">
        <v>92.431724606781401</v>
      </c>
      <c r="AM9485">
        <v>92.267476355046199</v>
      </c>
      <c r="AN9485">
        <v>0.99999998972299997</v>
      </c>
    </row>
    <row r="9486" spans="1:40" x14ac:dyDescent="0.25">
      <c r="A9486" t="str">
        <f>"20190303154024936"</f>
        <v>20190303154024936</v>
      </c>
      <c r="B9486" t="str">
        <f>"1551598824927338"</f>
        <v>1551598824927338</v>
      </c>
      <c r="C9486" t="s">
        <v>40</v>
      </c>
      <c r="D9486">
        <v>4.7309799999999997</v>
      </c>
      <c r="E9486">
        <v>0.50774430000000004</v>
      </c>
      <c r="F9486" t="s">
        <v>68</v>
      </c>
      <c r="G9486">
        <v>-185.3597</v>
      </c>
      <c r="H9486" s="1">
        <v>-2.0470850000000001E-6</v>
      </c>
      <c r="I9486">
        <v>122.18259999999999</v>
      </c>
      <c r="J9486">
        <v>-187.77809999999999</v>
      </c>
      <c r="K9486">
        <v>1.121149</v>
      </c>
      <c r="L9486">
        <v>2.0721129999999999</v>
      </c>
      <c r="M9486">
        <v>3.936916E-2</v>
      </c>
      <c r="N9486">
        <v>-1.3346200000000001E-2</v>
      </c>
      <c r="O9486">
        <v>0.99913560000000001</v>
      </c>
      <c r="P9486">
        <v>-8.2098380000000001E-4</v>
      </c>
      <c r="Q9486">
        <v>-5.5293509999999997E-2</v>
      </c>
      <c r="R9486">
        <v>0.99846979999999996</v>
      </c>
      <c r="S9486">
        <v>6.0577390000000002E-2</v>
      </c>
      <c r="T9486">
        <v>-2.7979489999999999E-2</v>
      </c>
      <c r="U9486">
        <v>3.003174</v>
      </c>
      <c r="V9486">
        <v>-4.012334E-2</v>
      </c>
      <c r="W9486">
        <v>-4.1982449999999998E-2</v>
      </c>
      <c r="X9486">
        <v>0.99831239999999999</v>
      </c>
      <c r="Y9486">
        <v>-1.921053E-2</v>
      </c>
      <c r="Z9486">
        <v>4.0375530000000001E-3</v>
      </c>
      <c r="AA9486">
        <v>0.99980729999999995</v>
      </c>
      <c r="AB9486">
        <v>23</v>
      </c>
      <c r="AC9486">
        <v>2.4183999999999899</v>
      </c>
      <c r="AD9486">
        <v>-1.1211510470849999</v>
      </c>
      <c r="AE9486">
        <v>120.11048700000001</v>
      </c>
      <c r="AF9486">
        <v>-2.3123440199044998</v>
      </c>
      <c r="AG9486">
        <v>-1.1211510470849999</v>
      </c>
      <c r="AH9486">
        <v>120.102111472361</v>
      </c>
      <c r="AI9486">
        <v>90.534740439481396</v>
      </c>
      <c r="AJ9486">
        <v>91.102987989210604</v>
      </c>
      <c r="AK9486">
        <v>120.12960124239299</v>
      </c>
      <c r="AL9486">
        <v>92.4061242933778</v>
      </c>
      <c r="AM9486">
        <v>92.301545502246199</v>
      </c>
      <c r="AN9486">
        <v>1.0000000282572501</v>
      </c>
    </row>
    <row r="9487" spans="1:40" x14ac:dyDescent="0.25">
      <c r="A9487" t="str">
        <f>"20190303154024958"</f>
        <v>20190303154024958</v>
      </c>
      <c r="B9487" t="str">
        <f>"1551598824947833"</f>
        <v>1551598824947833</v>
      </c>
      <c r="C9487" t="s">
        <v>40</v>
      </c>
      <c r="D9487">
        <v>4.6814369999999998</v>
      </c>
      <c r="E9487">
        <v>0.50758219999999998</v>
      </c>
      <c r="F9487" t="s">
        <v>68</v>
      </c>
      <c r="G9487">
        <v>-185.20959999999999</v>
      </c>
      <c r="H9487" s="1">
        <v>-6.4955139999999999E-6</v>
      </c>
      <c r="I9487">
        <v>133.89400000000001</v>
      </c>
      <c r="J9487">
        <v>-187.7689</v>
      </c>
      <c r="K9487">
        <v>1.121067</v>
      </c>
      <c r="L9487">
        <v>2.3113709999999998</v>
      </c>
      <c r="M9487">
        <v>3.9194949999999999E-2</v>
      </c>
      <c r="N9487">
        <v>-1.2916769999999999E-2</v>
      </c>
      <c r="O9487">
        <v>0.99914809999999998</v>
      </c>
      <c r="P9487">
        <v>-1.28692E-3</v>
      </c>
      <c r="Q9487">
        <v>-5.4237399999999998E-2</v>
      </c>
      <c r="R9487">
        <v>0.99852719999999995</v>
      </c>
      <c r="S9487">
        <v>5.851746E-2</v>
      </c>
      <c r="T9487">
        <v>-2.5542740000000001E-2</v>
      </c>
      <c r="U9487">
        <v>3.0032350000000001</v>
      </c>
      <c r="V9487">
        <v>-4.0418580000000003E-2</v>
      </c>
      <c r="W9487">
        <v>-4.135349E-2</v>
      </c>
      <c r="X9487">
        <v>0.99832670000000001</v>
      </c>
      <c r="Y9487">
        <v>-1.9722099999999999E-2</v>
      </c>
      <c r="Z9487">
        <v>4.4187469999999998E-3</v>
      </c>
      <c r="AA9487">
        <v>0.99979569999999995</v>
      </c>
      <c r="AB9487">
        <v>23</v>
      </c>
      <c r="AC9487">
        <v>2.5592999999999999</v>
      </c>
      <c r="AD9487">
        <v>-1.121073495514</v>
      </c>
      <c r="AE9487">
        <v>131.582629</v>
      </c>
      <c r="AF9487">
        <v>-2.6002830791299401</v>
      </c>
      <c r="AG9487">
        <v>-1.121073495514</v>
      </c>
      <c r="AH9487">
        <v>131.57227466661101</v>
      </c>
      <c r="AI9487">
        <v>90.488086765210795</v>
      </c>
      <c r="AJ9487">
        <v>91.132197903381694</v>
      </c>
      <c r="AK9487">
        <v>131.602742140201</v>
      </c>
      <c r="AL9487">
        <v>92.370056315066904</v>
      </c>
      <c r="AM9487">
        <v>92.3184294023294</v>
      </c>
      <c r="AN9487">
        <v>0.99999998633864295</v>
      </c>
    </row>
    <row r="9488" spans="1:40" x14ac:dyDescent="0.25">
      <c r="A9488" t="str">
        <f>"20190303154024982"</f>
        <v>20190303154024982</v>
      </c>
      <c r="B9488" t="str">
        <f>"1551598824977113"</f>
        <v>1551598824977113</v>
      </c>
      <c r="C9488" t="s">
        <v>40</v>
      </c>
      <c r="D9488">
        <v>4.7023510000000002</v>
      </c>
      <c r="E9488">
        <v>0.50738969999999906</v>
      </c>
      <c r="F9488" t="s">
        <v>68</v>
      </c>
      <c r="G9488">
        <v>-185.24639999999999</v>
      </c>
      <c r="H9488" s="1">
        <v>-7.8072849999999996E-6</v>
      </c>
      <c r="I9488">
        <v>137.73759999999999</v>
      </c>
      <c r="J9488">
        <v>-187.7595</v>
      </c>
      <c r="K9488">
        <v>1.121005</v>
      </c>
      <c r="L9488">
        <v>2.5558169999999998</v>
      </c>
      <c r="M9488">
        <v>3.903069E-2</v>
      </c>
      <c r="N9488">
        <v>-1.249887E-2</v>
      </c>
      <c r="O9488">
        <v>0.99915980000000004</v>
      </c>
      <c r="P9488">
        <v>-1.5742830000000001E-3</v>
      </c>
      <c r="Q9488">
        <v>-5.321538E-2</v>
      </c>
      <c r="R9488">
        <v>0.99858179999999996</v>
      </c>
      <c r="S9488">
        <v>5.5938719999999997E-2</v>
      </c>
      <c r="T9488">
        <v>-2.4860380000000001E-2</v>
      </c>
      <c r="U9488">
        <v>3.0031430000000001</v>
      </c>
      <c r="V9488">
        <v>-4.0544320000000002E-2</v>
      </c>
      <c r="W9488">
        <v>-4.0747419999999999E-2</v>
      </c>
      <c r="X9488">
        <v>0.99834650000000003</v>
      </c>
      <c r="Y9488">
        <v>-2.041519E-2</v>
      </c>
      <c r="Z9488">
        <v>4.2277479999999999E-3</v>
      </c>
      <c r="AA9488">
        <v>0.99978259999999997</v>
      </c>
      <c r="AB9488">
        <v>23</v>
      </c>
      <c r="AC9488">
        <v>2.5131000000000001</v>
      </c>
      <c r="AD9488">
        <v>-1.1210128072849901</v>
      </c>
      <c r="AE9488">
        <v>135.181783</v>
      </c>
      <c r="AF9488">
        <v>-2.7652758050873798</v>
      </c>
      <c r="AG9488">
        <v>-1.1210128072849901</v>
      </c>
      <c r="AH9488">
        <v>135.167563772172</v>
      </c>
      <c r="AI9488">
        <v>90.475072512415693</v>
      </c>
      <c r="AJ9488">
        <v>91.172001106654207</v>
      </c>
      <c r="AK9488">
        <v>135.20049451128699</v>
      </c>
      <c r="AL9488">
        <v>92.335301817464298</v>
      </c>
      <c r="AM9488">
        <v>92.325587929605405</v>
      </c>
      <c r="AN9488">
        <v>0.99999996409158298</v>
      </c>
    </row>
    <row r="9489" spans="1:40" x14ac:dyDescent="0.25">
      <c r="A9489" t="str">
        <f>"20190303154025003"</f>
        <v>20190303154025003</v>
      </c>
      <c r="B9489" t="str">
        <f>"1551598824997610"</f>
        <v>1551598824997610</v>
      </c>
      <c r="C9489" t="s">
        <v>40</v>
      </c>
      <c r="D9489">
        <v>4.6489099999999999</v>
      </c>
      <c r="E9489">
        <v>0.50723890000000005</v>
      </c>
      <c r="F9489" t="s">
        <v>68</v>
      </c>
      <c r="G9489">
        <v>-185.2353</v>
      </c>
      <c r="H9489" s="1">
        <v>-9.6447139999999993E-6</v>
      </c>
      <c r="I9489">
        <v>144.089</v>
      </c>
      <c r="J9489">
        <v>-187.75129999999999</v>
      </c>
      <c r="K9489">
        <v>1.120962</v>
      </c>
      <c r="L9489">
        <v>2.7699579999999999</v>
      </c>
      <c r="M9489">
        <v>3.8896460000000001E-2</v>
      </c>
      <c r="N9489">
        <v>-1.21405E-2</v>
      </c>
      <c r="O9489">
        <v>0.99916950000000004</v>
      </c>
      <c r="P9489">
        <v>-1.225889E-3</v>
      </c>
      <c r="Q9489">
        <v>-5.2960470000000003E-2</v>
      </c>
      <c r="R9489">
        <v>0.99859580000000003</v>
      </c>
      <c r="S9489">
        <v>5.3558349999999998E-2</v>
      </c>
      <c r="T9489">
        <v>-2.378595E-2</v>
      </c>
      <c r="U9489">
        <v>3.003082</v>
      </c>
      <c r="V9489">
        <v>-4.0062859999999999E-2</v>
      </c>
      <c r="W9489">
        <v>-4.0849580000000003E-2</v>
      </c>
      <c r="X9489">
        <v>0.99836179999999997</v>
      </c>
      <c r="Y9489">
        <v>-2.1072609999999999E-2</v>
      </c>
      <c r="Z9489">
        <v>4.2267260000000001E-3</v>
      </c>
      <c r="AA9489">
        <v>0.99976900000000002</v>
      </c>
      <c r="AB9489">
        <v>23</v>
      </c>
      <c r="AC9489">
        <v>2.5159999999999898</v>
      </c>
      <c r="AD9489">
        <v>-1.1209716447139999</v>
      </c>
      <c r="AE9489">
        <v>141.319042</v>
      </c>
      <c r="AF9489">
        <v>-2.9829322038677599</v>
      </c>
      <c r="AG9489">
        <v>-1.1209716447139999</v>
      </c>
      <c r="AH9489">
        <v>141.30106540824201</v>
      </c>
      <c r="AI9489">
        <v>90.454428923912602</v>
      </c>
      <c r="AJ9489">
        <v>91.209361326731994</v>
      </c>
      <c r="AK9489">
        <v>141.33699284853</v>
      </c>
      <c r="AL9489">
        <v>92.3411599425487</v>
      </c>
      <c r="AM9489">
        <v>92.2979663956541</v>
      </c>
      <c r="AN9489">
        <v>1.0000000023183899</v>
      </c>
    </row>
    <row r="9490" spans="1:40" x14ac:dyDescent="0.25">
      <c r="A9490" t="str">
        <f>"20190303154025025"</f>
        <v>20190303154025025</v>
      </c>
      <c r="B9490" t="str">
        <f>"1551598825017129"</f>
        <v>1551598825017129</v>
      </c>
      <c r="C9490" t="s">
        <v>40</v>
      </c>
      <c r="D9490">
        <v>4.7284699999999997</v>
      </c>
      <c r="E9490">
        <v>0.48362719999999998</v>
      </c>
      <c r="F9490" t="s">
        <v>68</v>
      </c>
      <c r="G9490">
        <v>-185.00129999999999</v>
      </c>
      <c r="H9490" s="1">
        <v>-1.405011E-5</v>
      </c>
      <c r="I9490">
        <v>157.4546</v>
      </c>
      <c r="J9490">
        <v>-187.7422</v>
      </c>
      <c r="K9490">
        <v>1.120916</v>
      </c>
      <c r="L9490">
        <v>3.0077210000000001</v>
      </c>
      <c r="M9490">
        <v>3.87534E-2</v>
      </c>
      <c r="N9490">
        <v>-1.171327E-2</v>
      </c>
      <c r="O9490">
        <v>0.99918010000000002</v>
      </c>
      <c r="P9490">
        <v>-8.688894E-4</v>
      </c>
      <c r="Q9490">
        <v>-5.1916450000000003E-2</v>
      </c>
      <c r="R9490">
        <v>0.99865099999999996</v>
      </c>
      <c r="S9490">
        <v>5.33905E-2</v>
      </c>
      <c r="T9490">
        <v>-2.1763319999999999E-2</v>
      </c>
      <c r="U9490">
        <v>3.0031430000000001</v>
      </c>
      <c r="V9490">
        <v>-3.9565419999999997E-2</v>
      </c>
      <c r="W9490">
        <v>-4.0231259999999998E-2</v>
      </c>
      <c r="X9490">
        <v>0.99840680000000004</v>
      </c>
      <c r="Y9490">
        <v>-2.0985739999999999E-2</v>
      </c>
      <c r="Z9490">
        <v>4.4723009999999997E-3</v>
      </c>
      <c r="AA9490">
        <v>0.99976969999999998</v>
      </c>
      <c r="AB9490">
        <v>23</v>
      </c>
      <c r="AC9490">
        <v>2.7409000000000101</v>
      </c>
      <c r="AD9490">
        <v>-1.1209300501099999</v>
      </c>
      <c r="AE9490">
        <v>154.446879</v>
      </c>
      <c r="AF9490">
        <v>-3.2467408895934402</v>
      </c>
      <c r="AG9490">
        <v>-1.1209300501099999</v>
      </c>
      <c r="AH9490">
        <v>154.42893792734799</v>
      </c>
      <c r="AI9490">
        <v>90.415785054844605</v>
      </c>
      <c r="AJ9490">
        <v>91.204419011788403</v>
      </c>
      <c r="AK9490">
        <v>154.46713139030601</v>
      </c>
      <c r="AL9490">
        <v>92.305703539711104</v>
      </c>
      <c r="AM9490">
        <v>92.269361564311694</v>
      </c>
      <c r="AN9490">
        <v>1.0000000575136001</v>
      </c>
    </row>
    <row r="9491" spans="1:40" x14ac:dyDescent="0.25">
      <c r="A9491" t="str">
        <f>"20190303154025050"</f>
        <v>20190303154025050</v>
      </c>
      <c r="B9491" t="str">
        <f>"1551598825037625"</f>
        <v>1551598825037625</v>
      </c>
      <c r="C9491" t="s">
        <v>40</v>
      </c>
      <c r="D9491">
        <v>4.6969029999999998</v>
      </c>
      <c r="E9491">
        <v>0.48234909999999998</v>
      </c>
      <c r="F9491" t="s">
        <v>42</v>
      </c>
      <c r="G9491">
        <v>-190.1301</v>
      </c>
      <c r="H9491" s="1">
        <v>-3.03533E-6</v>
      </c>
      <c r="I9491">
        <v>56.583829999999999</v>
      </c>
      <c r="J9491">
        <v>-187.7328</v>
      </c>
      <c r="K9491">
        <v>1.120851</v>
      </c>
      <c r="L9491">
        <v>3.253784</v>
      </c>
      <c r="M9491">
        <v>3.8607030000000001E-2</v>
      </c>
      <c r="N9491">
        <v>-1.1195460000000001E-2</v>
      </c>
      <c r="O9491">
        <v>0.99919179999999996</v>
      </c>
      <c r="P9491">
        <v>-1.1215400000000001E-3</v>
      </c>
      <c r="Q9491">
        <v>-5.1439690000000003E-2</v>
      </c>
      <c r="R9491">
        <v>0.99867550000000005</v>
      </c>
      <c r="S9491">
        <v>-0.13374330000000001</v>
      </c>
      <c r="T9491">
        <v>-6.2780020000000006E-2</v>
      </c>
      <c r="U9491">
        <v>3.0006710000000001</v>
      </c>
      <c r="V9491">
        <v>-3.9671989999999997E-2</v>
      </c>
      <c r="W9491">
        <v>-4.027149E-2</v>
      </c>
      <c r="X9491">
        <v>0.99840090000000004</v>
      </c>
      <c r="Y9491">
        <v>-8.3047889999999999E-2</v>
      </c>
      <c r="Z9491">
        <v>-9.6435870000000003E-3</v>
      </c>
      <c r="AA9491">
        <v>0.99649889999999997</v>
      </c>
      <c r="AB9491">
        <v>23</v>
      </c>
      <c r="AC9491">
        <v>-2.3973</v>
      </c>
      <c r="AD9491">
        <v>-1.1208540353299901</v>
      </c>
      <c r="AE9491">
        <v>53.330045999999903</v>
      </c>
      <c r="AF9491">
        <v>-4.4525932845340401</v>
      </c>
      <c r="AG9491">
        <v>-1.1208540353299901</v>
      </c>
      <c r="AH9491">
        <v>53.1742823145579</v>
      </c>
      <c r="AI9491">
        <v>91.203341617782201</v>
      </c>
      <c r="AJ9491">
        <v>94.786543906751604</v>
      </c>
      <c r="AK9491">
        <v>53.372148171066698</v>
      </c>
      <c r="AL9491">
        <v>92.308010531712398</v>
      </c>
      <c r="AM9491">
        <v>92.275481136711505</v>
      </c>
      <c r="AN9491">
        <v>1.0000000084090901</v>
      </c>
    </row>
    <row r="9492" spans="1:40" x14ac:dyDescent="0.25">
      <c r="A9492" t="str">
        <f>"20190303154025072"</f>
        <v>20190303154025072</v>
      </c>
      <c r="B9492" t="str">
        <f>"1551598825067880"</f>
        <v>1551598825067880</v>
      </c>
      <c r="C9492" t="s">
        <v>40</v>
      </c>
      <c r="D9492">
        <v>4.6892649999999998</v>
      </c>
      <c r="E9492">
        <v>0.48155959999999998</v>
      </c>
      <c r="F9492" t="s">
        <v>42</v>
      </c>
      <c r="G9492">
        <v>-190.18709999999999</v>
      </c>
      <c r="H9492" s="1">
        <v>-2.0023689999999999E-6</v>
      </c>
      <c r="I9492">
        <v>54.140619999999998</v>
      </c>
      <c r="J9492">
        <v>-187.72370000000001</v>
      </c>
      <c r="K9492">
        <v>1.1207640000000001</v>
      </c>
      <c r="L9492">
        <v>3.49295</v>
      </c>
      <c r="M9492">
        <v>3.8463070000000002E-2</v>
      </c>
      <c r="N9492">
        <v>-1.0591980000000001E-2</v>
      </c>
      <c r="O9492">
        <v>0.99920390000000003</v>
      </c>
      <c r="P9492">
        <v>-1.262394E-3</v>
      </c>
      <c r="Q9492">
        <v>-5.093582E-2</v>
      </c>
      <c r="R9492">
        <v>0.99870119999999896</v>
      </c>
      <c r="S9492">
        <v>-0.14471439999999999</v>
      </c>
      <c r="T9492">
        <v>-6.6088560000000005E-2</v>
      </c>
      <c r="U9492">
        <v>3.0004270000000002</v>
      </c>
      <c r="V9492">
        <v>-3.9669929999999999E-2</v>
      </c>
      <c r="W9492">
        <v>-4.0370129999999997E-2</v>
      </c>
      <c r="X9492">
        <v>0.99839699999999998</v>
      </c>
      <c r="Y9492">
        <v>-8.6542129999999995E-2</v>
      </c>
      <c r="Z9492">
        <v>-1.1342059999999999E-2</v>
      </c>
      <c r="AA9492">
        <v>0.99618359999999995</v>
      </c>
      <c r="AB9492">
        <v>23</v>
      </c>
      <c r="AC9492">
        <v>-2.4633999999999698</v>
      </c>
      <c r="AD9492">
        <v>-1.12076600236899</v>
      </c>
      <c r="AE9492">
        <v>50.647669999999998</v>
      </c>
      <c r="AF9492">
        <v>-4.4075978544563403</v>
      </c>
      <c r="AG9492">
        <v>-1.12076600236899</v>
      </c>
      <c r="AH9492">
        <v>50.490766522247199</v>
      </c>
      <c r="AI9492">
        <v>91.266795050000994</v>
      </c>
      <c r="AJ9492">
        <v>94.988995197055502</v>
      </c>
      <c r="AK9492">
        <v>50.695172741423299</v>
      </c>
      <c r="AL9492">
        <v>92.313666783017595</v>
      </c>
      <c r="AM9492">
        <v>92.275371983536999</v>
      </c>
      <c r="AN9492">
        <v>1.0000000101757101</v>
      </c>
    </row>
    <row r="9493" spans="1:40" x14ac:dyDescent="0.25">
      <c r="A9493" t="str">
        <f>"20190303154025092"</f>
        <v>20190303154025092</v>
      </c>
      <c r="B9493" t="str">
        <f>"1551598825087401"</f>
        <v>1551598825087401</v>
      </c>
      <c r="C9493" t="s">
        <v>40</v>
      </c>
      <c r="D9493">
        <v>4.6430099999999896</v>
      </c>
      <c r="E9493">
        <v>0.48129179999999999</v>
      </c>
      <c r="F9493" t="s">
        <v>42</v>
      </c>
      <c r="G9493">
        <v>-190.23679999999999</v>
      </c>
      <c r="H9493" s="1">
        <v>-1.6637630000000001E-6</v>
      </c>
      <c r="I9493">
        <v>53.320489999999999</v>
      </c>
      <c r="J9493">
        <v>-187.7157</v>
      </c>
      <c r="K9493">
        <v>1.1206739999999999</v>
      </c>
      <c r="L9493">
        <v>3.7041930000000001</v>
      </c>
      <c r="M9493">
        <v>3.8333890000000002E-2</v>
      </c>
      <c r="N9493">
        <v>-1.000527E-2</v>
      </c>
      <c r="O9493">
        <v>0.99921490000000002</v>
      </c>
      <c r="P9493">
        <v>-1.4661609999999999E-3</v>
      </c>
      <c r="Q9493">
        <v>-5.0346099999999998E-2</v>
      </c>
      <c r="R9493">
        <v>0.99873080000000003</v>
      </c>
      <c r="S9493">
        <v>-0.15132139999999999</v>
      </c>
      <c r="T9493">
        <v>-6.7484859999999994E-2</v>
      </c>
      <c r="U9493">
        <v>3.0002749999999998</v>
      </c>
      <c r="V9493">
        <v>-3.9744679999999998E-2</v>
      </c>
      <c r="W9493">
        <v>-4.0366109999999997E-2</v>
      </c>
      <c r="X9493">
        <v>0.99839420000000001</v>
      </c>
      <c r="Y9493">
        <v>-8.8603680000000004E-2</v>
      </c>
      <c r="Z9493">
        <v>-1.2390409999999999E-2</v>
      </c>
      <c r="AA9493">
        <v>0.99598989999999998</v>
      </c>
      <c r="AB9493">
        <v>24</v>
      </c>
      <c r="AC9493">
        <v>-2.5210999999999899</v>
      </c>
      <c r="AD9493">
        <v>-1.120675663763</v>
      </c>
      <c r="AE9493">
        <v>49.616296999999904</v>
      </c>
      <c r="AF9493">
        <v>-4.4190789845804597</v>
      </c>
      <c r="AG9493">
        <v>-1.120675663763</v>
      </c>
      <c r="AH9493">
        <v>49.458009484470203</v>
      </c>
      <c r="AI9493">
        <v>91.292901734212606</v>
      </c>
      <c r="AJ9493">
        <v>95.105826109458704</v>
      </c>
      <c r="AK9493">
        <v>49.667684415334399</v>
      </c>
      <c r="AL9493">
        <v>92.313436242167299</v>
      </c>
      <c r="AM9493">
        <v>92.279661331536602</v>
      </c>
      <c r="AN9493">
        <v>1.0000000205092301</v>
      </c>
    </row>
    <row r="9494" spans="1:40" x14ac:dyDescent="0.25">
      <c r="A9494" t="str">
        <f>"20190303154025115"</f>
        <v>20190303154025115</v>
      </c>
      <c r="B9494" t="str">
        <f>"1551598825107897"</f>
        <v>1551598825107897</v>
      </c>
      <c r="C9494" t="s">
        <v>40</v>
      </c>
      <c r="D9494">
        <v>4.6241700000000003</v>
      </c>
      <c r="E9494">
        <v>0.48121910000000001</v>
      </c>
      <c r="F9494" t="s">
        <v>42</v>
      </c>
      <c r="G9494">
        <v>-190.3519</v>
      </c>
      <c r="H9494" s="1">
        <v>-2.444949E-6</v>
      </c>
      <c r="I9494">
        <v>55.07011</v>
      </c>
      <c r="J9494">
        <v>-187.70660000000001</v>
      </c>
      <c r="K9494">
        <v>1.120576</v>
      </c>
      <c r="L9494">
        <v>3.9472659999999999</v>
      </c>
      <c r="M9494">
        <v>3.8183219999999997E-2</v>
      </c>
      <c r="N9494">
        <v>-9.3073170000000007E-3</v>
      </c>
      <c r="O9494">
        <v>0.99922739999999999</v>
      </c>
      <c r="P9494">
        <v>-2.2258460000000001E-3</v>
      </c>
      <c r="Q9494">
        <v>-4.9047559999999997E-2</v>
      </c>
      <c r="R9494">
        <v>0.99879399999999996</v>
      </c>
      <c r="S9494">
        <v>-0.15397640000000001</v>
      </c>
      <c r="T9494">
        <v>-6.5458539999999996E-2</v>
      </c>
      <c r="U9494">
        <v>3.0002749999999998</v>
      </c>
      <c r="V9494">
        <v>-4.0355490000000001E-2</v>
      </c>
      <c r="W9494">
        <v>-3.9764359999999999E-2</v>
      </c>
      <c r="X9494">
        <v>0.9983938</v>
      </c>
      <c r="Y9494">
        <v>-8.9333750000000003E-2</v>
      </c>
      <c r="Z9494">
        <v>-1.241539E-2</v>
      </c>
      <c r="AA9494">
        <v>0.99592440000000004</v>
      </c>
      <c r="AB9494">
        <v>24</v>
      </c>
      <c r="AC9494">
        <v>-2.64529999999999</v>
      </c>
      <c r="AD9494">
        <v>-1.1205784449489999</v>
      </c>
      <c r="AE9494">
        <v>51.122844000000001</v>
      </c>
      <c r="AF9494">
        <v>-4.5932891477968401</v>
      </c>
      <c r="AG9494">
        <v>-1.1205784449489999</v>
      </c>
      <c r="AH9494">
        <v>50.960130468619603</v>
      </c>
      <c r="AI9494">
        <v>91.254607565357801</v>
      </c>
      <c r="AJ9494">
        <v>95.150434779117603</v>
      </c>
      <c r="AK9494">
        <v>51.178988839418103</v>
      </c>
      <c r="AL9494">
        <v>92.278930905463099</v>
      </c>
      <c r="AM9494">
        <v>92.314659064263907</v>
      </c>
      <c r="AN9494">
        <v>0.99999997488889403</v>
      </c>
    </row>
    <row r="9495" spans="1:40" x14ac:dyDescent="0.25">
      <c r="A9495" t="str">
        <f>"20190303154025149"</f>
        <v>20190303154025149</v>
      </c>
      <c r="B9495" t="str">
        <f>"1551598825137177"</f>
        <v>1551598825137177</v>
      </c>
      <c r="C9495" t="s">
        <v>40</v>
      </c>
      <c r="D9495">
        <v>4.6297050000000004</v>
      </c>
      <c r="E9495">
        <v>0.48123349999999998</v>
      </c>
      <c r="F9495" t="s">
        <v>42</v>
      </c>
      <c r="G9495">
        <v>-190.63890000000001</v>
      </c>
      <c r="H9495" s="1">
        <v>-3.6147379999999999E-7</v>
      </c>
      <c r="I9495">
        <v>60.035440000000001</v>
      </c>
      <c r="J9495">
        <v>-187.6927</v>
      </c>
      <c r="K9495">
        <v>1.120439</v>
      </c>
      <c r="L9495">
        <v>4.3161319999999996</v>
      </c>
      <c r="M9495">
        <v>3.7952420000000001E-2</v>
      </c>
      <c r="N9495">
        <v>-8.2736670000000002E-3</v>
      </c>
      <c r="O9495">
        <v>0.9992453</v>
      </c>
      <c r="P9495">
        <v>-3.336112E-3</v>
      </c>
      <c r="Q9495">
        <v>-4.858229E-2</v>
      </c>
      <c r="R9495">
        <v>0.99881359999999997</v>
      </c>
      <c r="S9495">
        <v>-0.15686040000000001</v>
      </c>
      <c r="T9495">
        <v>-5.9943200000000002E-2</v>
      </c>
      <c r="U9495">
        <v>3.0003359999999999</v>
      </c>
      <c r="V9495">
        <v>-4.123479E-2</v>
      </c>
      <c r="W9495">
        <v>-4.0331640000000002E-2</v>
      </c>
      <c r="X9495">
        <v>0.99833510000000003</v>
      </c>
      <c r="Y9495">
        <v>-9.0059920000000002E-2</v>
      </c>
      <c r="Z9495">
        <v>-1.1618180000000001E-2</v>
      </c>
      <c r="AA9495">
        <v>0.99586859999999999</v>
      </c>
      <c r="AB9495">
        <v>24</v>
      </c>
      <c r="AC9495">
        <v>-2.9462000000000002</v>
      </c>
      <c r="AD9495">
        <v>-1.1204393614738</v>
      </c>
      <c r="AE9495">
        <v>55.719307999999998</v>
      </c>
      <c r="AF9495">
        <v>-5.0567931587675101</v>
      </c>
      <c r="AG9495">
        <v>-1.1204393614738</v>
      </c>
      <c r="AH9495">
        <v>55.544945498869701</v>
      </c>
      <c r="AI9495">
        <v>91.150841959178706</v>
      </c>
      <c r="AJ9495">
        <v>95.201848768616898</v>
      </c>
      <c r="AK9495">
        <v>55.785907825235803</v>
      </c>
      <c r="AL9495">
        <v>92.311459785856201</v>
      </c>
      <c r="AM9495">
        <v>92.365175082245102</v>
      </c>
      <c r="AN9495">
        <v>0.99999996049172102</v>
      </c>
    </row>
    <row r="9496" spans="1:40" x14ac:dyDescent="0.25">
      <c r="A9496" t="str">
        <f>"20190303154025171"</f>
        <v>20190303154025171</v>
      </c>
      <c r="B9496" t="str">
        <f>"1551598825167434"</f>
        <v>1551598825167434</v>
      </c>
      <c r="C9496" t="s">
        <v>40</v>
      </c>
      <c r="D9496">
        <v>4.5708890000000002</v>
      </c>
      <c r="E9496">
        <v>0.48130400000000001</v>
      </c>
      <c r="F9496" t="s">
        <v>42</v>
      </c>
      <c r="G9496">
        <v>-190.7841</v>
      </c>
      <c r="H9496" s="1">
        <v>-1.3216030000000001E-6</v>
      </c>
      <c r="I9496">
        <v>62.183450000000001</v>
      </c>
      <c r="J9496">
        <v>-187.6841</v>
      </c>
      <c r="K9496">
        <v>1.1203689999999999</v>
      </c>
      <c r="L9496">
        <v>4.5480039999999997</v>
      </c>
      <c r="M9496">
        <v>3.7806739999999998E-2</v>
      </c>
      <c r="N9496">
        <v>-7.6715569999999999E-3</v>
      </c>
      <c r="O9496">
        <v>0.99925560000000002</v>
      </c>
      <c r="P9496">
        <v>-3.5138000000000001E-3</v>
      </c>
      <c r="Q9496">
        <v>-4.9009360000000002E-2</v>
      </c>
      <c r="R9496">
        <v>0.99879209999999996</v>
      </c>
      <c r="S9496">
        <v>-0.16027829999999901</v>
      </c>
      <c r="T9496">
        <v>-5.809081E-2</v>
      </c>
      <c r="U9496">
        <v>3.0002140000000002</v>
      </c>
      <c r="V9496">
        <v>-4.1265429999999999E-2</v>
      </c>
      <c r="W9496">
        <v>-4.1360149999999998E-2</v>
      </c>
      <c r="X9496">
        <v>0.99829179999999995</v>
      </c>
      <c r="Y9496">
        <v>-9.1049080000000004E-2</v>
      </c>
      <c r="Z9496">
        <v>-1.160544E-2</v>
      </c>
      <c r="AA9496">
        <v>0.99577879999999996</v>
      </c>
      <c r="AB9496">
        <v>24</v>
      </c>
      <c r="AC9496">
        <v>-3.0999999999999899</v>
      </c>
      <c r="AD9496">
        <v>-1.1203703216030001</v>
      </c>
      <c r="AE9496">
        <v>57.635445999999902</v>
      </c>
      <c r="AF9496">
        <v>-5.2748686059769296</v>
      </c>
      <c r="AG9496">
        <v>-1.1203703216030001</v>
      </c>
      <c r="AH9496">
        <v>57.4553857842943</v>
      </c>
      <c r="AI9496">
        <v>91.112439247794001</v>
      </c>
      <c r="AJ9496">
        <v>95.245510787398501</v>
      </c>
      <c r="AK9496">
        <v>57.7078922166626</v>
      </c>
      <c r="AL9496">
        <v>92.370438180733103</v>
      </c>
      <c r="AM9496">
        <v>92.367033102264898</v>
      </c>
      <c r="AN9496">
        <v>1.00000000783417</v>
      </c>
    </row>
    <row r="9497" spans="1:40" x14ac:dyDescent="0.25">
      <c r="A9497" t="str">
        <f>"20190303154025192"</f>
        <v>20190303154025192</v>
      </c>
      <c r="B9497" t="str">
        <f>"1551598825187930"</f>
        <v>1551598825187930</v>
      </c>
      <c r="C9497" t="s">
        <v>40</v>
      </c>
      <c r="D9497">
        <v>4.5324070000000001</v>
      </c>
      <c r="E9497">
        <v>0.48143130000000001</v>
      </c>
      <c r="F9497" t="s">
        <v>42</v>
      </c>
      <c r="G9497">
        <v>-190.7259</v>
      </c>
      <c r="H9497" s="1">
        <v>-1.0397359999999999E-6</v>
      </c>
      <c r="I9497">
        <v>61.562539999999998</v>
      </c>
      <c r="J9497">
        <v>-187.67529999999999</v>
      </c>
      <c r="K9497">
        <v>1.1203110000000001</v>
      </c>
      <c r="L9497">
        <v>4.7832339999999904</v>
      </c>
      <c r="M9497">
        <v>3.7659860000000003E-2</v>
      </c>
      <c r="N9497">
        <v>-7.1137559999999997E-3</v>
      </c>
      <c r="O9497">
        <v>0.99926530000000002</v>
      </c>
      <c r="P9497">
        <v>-3.7050210000000002E-3</v>
      </c>
      <c r="Q9497">
        <v>-4.8602899999999997E-2</v>
      </c>
      <c r="R9497">
        <v>0.99881129999999996</v>
      </c>
      <c r="S9497">
        <v>-0.1600647</v>
      </c>
      <c r="T9497">
        <v>-5.8955430000000003E-2</v>
      </c>
      <c r="U9497">
        <v>3.0001829999999998</v>
      </c>
      <c r="V9497">
        <v>-4.1310399999999997E-2</v>
      </c>
      <c r="W9497">
        <v>-4.1510650000000003E-2</v>
      </c>
      <c r="X9497">
        <v>0.9982837</v>
      </c>
      <c r="Y9497">
        <v>-9.0832640000000006E-2</v>
      </c>
      <c r="Z9497">
        <v>-1.245136E-2</v>
      </c>
      <c r="AA9497">
        <v>0.99578829999999996</v>
      </c>
      <c r="AB9497">
        <v>24</v>
      </c>
      <c r="AC9497">
        <v>-3.0506000000000002</v>
      </c>
      <c r="AD9497">
        <v>-1.120312039736</v>
      </c>
      <c r="AE9497">
        <v>56.779305999999998</v>
      </c>
      <c r="AF9497">
        <v>-5.1847779672807501</v>
      </c>
      <c r="AG9497">
        <v>-1.120312039736</v>
      </c>
      <c r="AH9497">
        <v>56.602165068122801</v>
      </c>
      <c r="AI9497">
        <v>91.129166440278397</v>
      </c>
      <c r="AJ9497">
        <v>95.233707876342507</v>
      </c>
      <c r="AK9497">
        <v>56.850172489055801</v>
      </c>
      <c r="AL9497">
        <v>92.3790685916847</v>
      </c>
      <c r="AM9497">
        <v>92.369628899912797</v>
      </c>
      <c r="AN9497">
        <v>1.0000000144486301</v>
      </c>
    </row>
    <row r="9498" spans="1:40" x14ac:dyDescent="0.25">
      <c r="A9498" t="str">
        <f>"20190303154025215"</f>
        <v>20190303154025215</v>
      </c>
      <c r="B9498" t="str">
        <f>"1551598825207449"</f>
        <v>1551598825207449</v>
      </c>
      <c r="C9498" t="s">
        <v>40</v>
      </c>
      <c r="D9498">
        <v>4.5012819999999998</v>
      </c>
      <c r="E9498">
        <v>0.48162539999999998</v>
      </c>
      <c r="F9498" t="s">
        <v>42</v>
      </c>
      <c r="G9498">
        <v>-190.85130000000001</v>
      </c>
      <c r="H9498" s="1">
        <v>-2.3343860000000001E-6</v>
      </c>
      <c r="I9498">
        <v>64.502589999999998</v>
      </c>
      <c r="J9498">
        <v>-187.66589999999999</v>
      </c>
      <c r="K9498">
        <v>1.120258</v>
      </c>
      <c r="L9498">
        <v>5.0370480000000004</v>
      </c>
      <c r="M9498">
        <v>3.750175E-2</v>
      </c>
      <c r="N9498">
        <v>-6.5765579999999997E-3</v>
      </c>
      <c r="O9498">
        <v>0.99927489999999997</v>
      </c>
      <c r="P9498">
        <v>-4.0648059999999998E-3</v>
      </c>
      <c r="Q9498">
        <v>-4.8089079999999999E-2</v>
      </c>
      <c r="R9498">
        <v>0.99883480000000002</v>
      </c>
      <c r="S9498">
        <v>-0.15956119999999999</v>
      </c>
      <c r="T9498">
        <v>-5.6283470000000002E-2</v>
      </c>
      <c r="U9498">
        <v>3.0002439999999999</v>
      </c>
      <c r="V9498">
        <v>-4.151266E-2</v>
      </c>
      <c r="W9498">
        <v>-4.1533300000000002E-2</v>
      </c>
      <c r="X9498">
        <v>0.99827429999999995</v>
      </c>
      <c r="Y9498">
        <v>-9.0508530000000004E-2</v>
      </c>
      <c r="Z9498">
        <v>-1.2102480000000001E-2</v>
      </c>
      <c r="AA9498">
        <v>0.99582210000000004</v>
      </c>
      <c r="AB9498">
        <v>24</v>
      </c>
      <c r="AC9498">
        <v>-3.1854000000000098</v>
      </c>
      <c r="AD9498">
        <v>-1.120260334386</v>
      </c>
      <c r="AE9498">
        <v>59.465541999999999</v>
      </c>
      <c r="AF9498">
        <v>-5.4113543359136997</v>
      </c>
      <c r="AG9498">
        <v>-1.120260334386</v>
      </c>
      <c r="AH9498">
        <v>59.283269714684401</v>
      </c>
      <c r="AI9498">
        <v>91.078093470477</v>
      </c>
      <c r="AJ9498">
        <v>95.215483945932803</v>
      </c>
      <c r="AK9498">
        <v>59.540270464867902</v>
      </c>
      <c r="AL9498">
        <v>92.380367621886094</v>
      </c>
      <c r="AM9498">
        <v>92.381239922450902</v>
      </c>
      <c r="AN9498">
        <v>0.99999994699482597</v>
      </c>
    </row>
    <row r="9499" spans="1:40" x14ac:dyDescent="0.25">
      <c r="A9499" t="str">
        <f>"20190303154025239"</f>
        <v>20190303154025239</v>
      </c>
      <c r="B9499" t="str">
        <f>"1551598825227945"</f>
        <v>1551598825227945</v>
      </c>
      <c r="C9499" t="s">
        <v>40</v>
      </c>
      <c r="D9499">
        <v>4.4696280000000002</v>
      </c>
      <c r="E9499">
        <v>0.481792</v>
      </c>
      <c r="F9499" t="s">
        <v>42</v>
      </c>
      <c r="G9499">
        <v>-191.0607</v>
      </c>
      <c r="H9499" s="1">
        <v>-4.2847699999999996E-6</v>
      </c>
      <c r="I9499">
        <v>69.024869999999893</v>
      </c>
      <c r="J9499">
        <v>-187.65629999999999</v>
      </c>
      <c r="K9499">
        <v>1.120225</v>
      </c>
      <c r="L9499">
        <v>5.298584</v>
      </c>
      <c r="M9499">
        <v>3.7337919999999997E-2</v>
      </c>
      <c r="N9499">
        <v>-6.0920740000000003E-3</v>
      </c>
      <c r="O9499">
        <v>0.99928410000000001</v>
      </c>
      <c r="P9499">
        <v>-4.04982E-3</v>
      </c>
      <c r="Q9499">
        <v>-4.7467929999999998E-2</v>
      </c>
      <c r="R9499">
        <v>0.99886450000000004</v>
      </c>
      <c r="S9499">
        <v>-0.15917970000000001</v>
      </c>
      <c r="T9499">
        <v>-5.2528140000000001E-2</v>
      </c>
      <c r="U9499">
        <v>3.0003359999999999</v>
      </c>
      <c r="V9499">
        <v>-4.1334389999999999E-2</v>
      </c>
      <c r="W9499">
        <v>-4.1395809999999998E-2</v>
      </c>
      <c r="X9499">
        <v>0.99828740000000005</v>
      </c>
      <c r="Y9499">
        <v>-9.0218789999999993E-2</v>
      </c>
      <c r="Z9499">
        <v>-1.1340970000000001E-2</v>
      </c>
      <c r="AA9499">
        <v>0.9958574</v>
      </c>
      <c r="AB9499">
        <v>25</v>
      </c>
      <c r="AC9499">
        <v>-3.4043999999999999</v>
      </c>
      <c r="AD9499">
        <v>-1.1202292847699999</v>
      </c>
      <c r="AE9499">
        <v>63.726286000000002</v>
      </c>
      <c r="AF9499">
        <v>-5.7796962821570599</v>
      </c>
      <c r="AG9499">
        <v>-1.1202292847699999</v>
      </c>
      <c r="AH9499">
        <v>63.535154913365602</v>
      </c>
      <c r="AI9499">
        <v>91.005961306306006</v>
      </c>
      <c r="AJ9499">
        <v>95.197803575430001</v>
      </c>
      <c r="AK9499">
        <v>63.807332749691099</v>
      </c>
      <c r="AL9499">
        <v>92.372483263098005</v>
      </c>
      <c r="AM9499">
        <v>92.370994655934794</v>
      </c>
      <c r="AN9499">
        <v>0.99999993894049199</v>
      </c>
    </row>
    <row r="9500" spans="1:40" x14ac:dyDescent="0.25">
      <c r="A9500" t="str">
        <f>"20190303154025261"</f>
        <v>20190303154025261</v>
      </c>
      <c r="B9500" t="str">
        <f>"1551598825247466"</f>
        <v>1551598825247466</v>
      </c>
      <c r="C9500" t="s">
        <v>40</v>
      </c>
      <c r="D9500">
        <v>4.4195359999999999</v>
      </c>
      <c r="E9500">
        <v>0.48221419999999998</v>
      </c>
      <c r="F9500" t="s">
        <v>42</v>
      </c>
      <c r="G9500">
        <v>-191.23410000000001</v>
      </c>
      <c r="H9500" s="1">
        <v>-1.9596729999999999E-6</v>
      </c>
      <c r="I9500">
        <v>73.3917</v>
      </c>
      <c r="J9500">
        <v>-187.64750000000001</v>
      </c>
      <c r="K9500">
        <v>1.1202000000000001</v>
      </c>
      <c r="L9500">
        <v>5.5365909999999996</v>
      </c>
      <c r="M9500">
        <v>3.7185749999999997E-2</v>
      </c>
      <c r="N9500">
        <v>-5.7085859999999999E-3</v>
      </c>
      <c r="O9500">
        <v>0.99929210000000002</v>
      </c>
      <c r="P9500">
        <v>-3.31081E-3</v>
      </c>
      <c r="Q9500">
        <v>-4.6750970000000003E-2</v>
      </c>
      <c r="R9500">
        <v>0.99890109999999999</v>
      </c>
      <c r="S9500">
        <v>-0.15765379999999901</v>
      </c>
      <c r="T9500">
        <v>-4.9361229999999999E-2</v>
      </c>
      <c r="U9500">
        <v>3.0004270000000002</v>
      </c>
      <c r="V9500">
        <v>-4.0445250000000002E-2</v>
      </c>
      <c r="W9500">
        <v>-4.1061439999999998E-2</v>
      </c>
      <c r="X9500">
        <v>0.99833769999999999</v>
      </c>
      <c r="Y9500">
        <v>-8.9561589999999996E-2</v>
      </c>
      <c r="Z9500">
        <v>-1.0674090000000001E-2</v>
      </c>
      <c r="AA9500">
        <v>0.99592409999999998</v>
      </c>
      <c r="AB9500">
        <v>25</v>
      </c>
      <c r="AC9500">
        <v>-3.5865999999999998</v>
      </c>
      <c r="AD9500">
        <v>-1.120201959673</v>
      </c>
      <c r="AE9500">
        <v>67.855108999999999</v>
      </c>
      <c r="AF9500">
        <v>-6.1057440560957597</v>
      </c>
      <c r="AG9500">
        <v>-1.120201959673</v>
      </c>
      <c r="AH9500">
        <v>67.656416727309804</v>
      </c>
      <c r="AI9500">
        <v>90.9447333260118</v>
      </c>
      <c r="AJ9500">
        <v>95.156765143168997</v>
      </c>
      <c r="AK9500">
        <v>67.940604113360706</v>
      </c>
      <c r="AL9500">
        <v>92.3533087976259</v>
      </c>
      <c r="AM9500">
        <v>92.319932001412297</v>
      </c>
      <c r="AN9500">
        <v>1.0000000116718599</v>
      </c>
    </row>
    <row r="9501" spans="1:40" x14ac:dyDescent="0.25">
      <c r="A9501" t="str">
        <f>"20190303154025282"</f>
        <v>20190303154025282</v>
      </c>
      <c r="B9501" t="str">
        <f>"1551598825277721"</f>
        <v>1551598825277721</v>
      </c>
      <c r="C9501" t="s">
        <v>40</v>
      </c>
      <c r="D9501">
        <v>4.3568160000000002</v>
      </c>
      <c r="E9501">
        <v>0.48276249999999998</v>
      </c>
      <c r="F9501" t="s">
        <v>42</v>
      </c>
      <c r="G9501">
        <v>-191.82910000000001</v>
      </c>
      <c r="H9501" s="1">
        <v>-4.1049789999999997E-6</v>
      </c>
      <c r="I9501">
        <v>88.096029999999999</v>
      </c>
      <c r="J9501">
        <v>-187.6386</v>
      </c>
      <c r="K9501">
        <v>1.1201859999999999</v>
      </c>
      <c r="L9501">
        <v>5.7814940000000004</v>
      </c>
      <c r="M9501">
        <v>3.7022989999999999E-2</v>
      </c>
      <c r="N9501">
        <v>-5.3666540000000002E-3</v>
      </c>
      <c r="O9501">
        <v>0.99929999999999997</v>
      </c>
      <c r="P9501">
        <v>-3.350095E-3</v>
      </c>
      <c r="Q9501">
        <v>-4.7133880000000003E-2</v>
      </c>
      <c r="R9501">
        <v>0.99888290000000002</v>
      </c>
      <c r="S9501">
        <v>-0.15199279999999901</v>
      </c>
      <c r="T9501">
        <v>-4.0717360000000001E-2</v>
      </c>
      <c r="U9501">
        <v>3.0008849999999998</v>
      </c>
      <c r="V9501">
        <v>-4.0320269999999998E-2</v>
      </c>
      <c r="W9501">
        <v>-4.1786240000000002E-2</v>
      </c>
      <c r="X9501">
        <v>0.99831270000000005</v>
      </c>
      <c r="Y9501">
        <v>-8.7519799999999995E-2</v>
      </c>
      <c r="Z9501">
        <v>-8.1471649999999996E-3</v>
      </c>
      <c r="AA9501">
        <v>0.9961295</v>
      </c>
      <c r="AB9501">
        <v>25</v>
      </c>
      <c r="AC9501">
        <v>-4.1905000000000099</v>
      </c>
      <c r="AD9501">
        <v>-1.120190104979</v>
      </c>
      <c r="AE9501">
        <v>82.314536000000004</v>
      </c>
      <c r="AF9501">
        <v>-7.2338648944377599</v>
      </c>
      <c r="AG9501">
        <v>-1.120190104979</v>
      </c>
      <c r="AH9501">
        <v>82.087790622495305</v>
      </c>
      <c r="AI9501">
        <v>90.778805932886598</v>
      </c>
      <c r="AJ9501">
        <v>95.036096182446997</v>
      </c>
      <c r="AK9501">
        <v>82.4135243541064</v>
      </c>
      <c r="AL9501">
        <v>92.394872409488102</v>
      </c>
      <c r="AM9501">
        <v>92.312828822639503</v>
      </c>
      <c r="AN9501">
        <v>1.00000003050374</v>
      </c>
    </row>
    <row r="9502" spans="1:40" x14ac:dyDescent="0.25">
      <c r="A9502" t="str">
        <f>"20190303154025304"</f>
        <v>20190303154025304</v>
      </c>
      <c r="B9502" t="str">
        <f>"1551598825297241"</f>
        <v>1551598825297241</v>
      </c>
      <c r="C9502" t="s">
        <v>40</v>
      </c>
      <c r="D9502">
        <v>4.3180449999999997</v>
      </c>
      <c r="E9502">
        <v>0.48288140000000002</v>
      </c>
      <c r="F9502" t="s">
        <v>42</v>
      </c>
      <c r="G9502">
        <v>-192.78290000000001</v>
      </c>
      <c r="H9502" s="1">
        <v>-9.775306E-7</v>
      </c>
      <c r="I9502">
        <v>110.1417</v>
      </c>
      <c r="J9502">
        <v>-187.62960000000001</v>
      </c>
      <c r="K9502">
        <v>1.1201749999999999</v>
      </c>
      <c r="L9502">
        <v>6.0267030000000004</v>
      </c>
      <c r="M9502">
        <v>3.6851179999999997E-2</v>
      </c>
      <c r="N9502">
        <v>-5.0723840000000001E-3</v>
      </c>
      <c r="O9502">
        <v>0.99930790000000003</v>
      </c>
      <c r="P9502">
        <v>-3.7396320000000001E-3</v>
      </c>
      <c r="Q9502">
        <v>-4.6469110000000001E-2</v>
      </c>
      <c r="R9502">
        <v>0.99891280000000005</v>
      </c>
      <c r="S9502">
        <v>-0.1479492</v>
      </c>
      <c r="T9502">
        <v>-3.221595E-2</v>
      </c>
      <c r="U9502">
        <v>3.0013429999999999</v>
      </c>
      <c r="V9502">
        <v>-4.0538440000000002E-2</v>
      </c>
      <c r="W9502">
        <v>-4.1415899999999999E-2</v>
      </c>
      <c r="X9502">
        <v>0.99831930000000002</v>
      </c>
      <c r="Y9502">
        <v>-8.6003869999999996E-2</v>
      </c>
      <c r="Z9502">
        <v>-5.6190750000000003E-3</v>
      </c>
      <c r="AA9502">
        <v>0.99627889999999997</v>
      </c>
      <c r="AB9502">
        <v>25</v>
      </c>
      <c r="AC9502">
        <v>-5.1532999999999998</v>
      </c>
      <c r="AD9502">
        <v>-1.1201759775305999</v>
      </c>
      <c r="AE9502">
        <v>104.114997</v>
      </c>
      <c r="AF9502">
        <v>-8.9855718290447602</v>
      </c>
      <c r="AG9502">
        <v>-1.1201759775305999</v>
      </c>
      <c r="AH9502">
        <v>103.842377892093</v>
      </c>
      <c r="AI9502">
        <v>90.615740457527806</v>
      </c>
      <c r="AJ9502">
        <v>94.945535105603199</v>
      </c>
      <c r="AK9502">
        <v>104.236436727278</v>
      </c>
      <c r="AL9502">
        <v>92.373635099220095</v>
      </c>
      <c r="AM9502">
        <v>92.325314311768693</v>
      </c>
      <c r="AN9502">
        <v>1.00000003332146</v>
      </c>
    </row>
    <row r="9503" spans="1:40" x14ac:dyDescent="0.25">
      <c r="A9503" t="str">
        <f>"20190303154025327"</f>
        <v>20190303154025327</v>
      </c>
      <c r="B9503" t="str">
        <f>"1551598825317737"</f>
        <v>1551598825317737</v>
      </c>
      <c r="C9503" t="s">
        <v>40</v>
      </c>
      <c r="D9503">
        <v>4.3829050000000001</v>
      </c>
      <c r="E9503">
        <v>0.48304540000000001</v>
      </c>
      <c r="F9503" t="s">
        <v>68</v>
      </c>
      <c r="G9503">
        <v>-193.59100000000001</v>
      </c>
      <c r="H9503" s="1">
        <v>-4.5164030000000004E-6</v>
      </c>
      <c r="I9503">
        <v>126.91379999999999</v>
      </c>
      <c r="J9503">
        <v>-187.62</v>
      </c>
      <c r="K9503">
        <v>1.120177</v>
      </c>
      <c r="L9503">
        <v>6.292999</v>
      </c>
      <c r="M9503">
        <v>3.6652280000000002E-2</v>
      </c>
      <c r="N9503">
        <v>-4.8002230000000002E-3</v>
      </c>
      <c r="O9503">
        <v>0.9993166</v>
      </c>
      <c r="P9503">
        <v>-4.1341019999999997E-3</v>
      </c>
      <c r="Q9503">
        <v>-4.5891790000000002E-2</v>
      </c>
      <c r="R9503">
        <v>0.99893779999999999</v>
      </c>
      <c r="S9503">
        <v>-0.14801029999999901</v>
      </c>
      <c r="T9503">
        <v>-2.7812E-2</v>
      </c>
      <c r="U9503">
        <v>3.001404</v>
      </c>
      <c r="V9503">
        <v>-4.0733650000000003E-2</v>
      </c>
      <c r="W9503">
        <v>-4.111128E-2</v>
      </c>
      <c r="X9503">
        <v>0.99832390000000004</v>
      </c>
      <c r="Y9503">
        <v>-8.5825570000000004E-2</v>
      </c>
      <c r="Z9503">
        <v>-4.4294260000000002E-3</v>
      </c>
      <c r="AA9503">
        <v>0.99630030000000003</v>
      </c>
      <c r="AB9503">
        <v>25</v>
      </c>
      <c r="AC9503">
        <v>-5.9709999999999699</v>
      </c>
      <c r="AD9503">
        <v>-1.120181516403</v>
      </c>
      <c r="AE9503">
        <v>120.620801</v>
      </c>
      <c r="AF9503">
        <v>-10.387172311157499</v>
      </c>
      <c r="AG9503">
        <v>-1.120181516403</v>
      </c>
      <c r="AH9503">
        <v>120.310547487869</v>
      </c>
      <c r="AI9503">
        <v>90.531474302116706</v>
      </c>
      <c r="AJ9503">
        <v>94.9344717082177</v>
      </c>
      <c r="AK9503">
        <v>120.763305652347</v>
      </c>
      <c r="AL9503">
        <v>92.356166887320498</v>
      </c>
      <c r="AM9503">
        <v>92.336488564719502</v>
      </c>
      <c r="AN9503">
        <v>0.999999988448385</v>
      </c>
    </row>
    <row r="9504" spans="1:40" x14ac:dyDescent="0.25">
      <c r="A9504" t="str">
        <f>"20190303154025348"</f>
        <v>20190303154025348</v>
      </c>
      <c r="B9504" t="str">
        <f>"1551598825337257"</f>
        <v>1551598825337257</v>
      </c>
      <c r="C9504" t="s">
        <v>40</v>
      </c>
      <c r="D9504">
        <v>4.3002520000000004</v>
      </c>
      <c r="E9504">
        <v>0.48328260000000001</v>
      </c>
      <c r="F9504" t="s">
        <v>68</v>
      </c>
      <c r="G9504">
        <v>-194.80930000000001</v>
      </c>
      <c r="H9504" s="1">
        <v>-1.26396499999999E-5</v>
      </c>
      <c r="I9504">
        <v>152.16069999999999</v>
      </c>
      <c r="J9504">
        <v>-187.6112</v>
      </c>
      <c r="K9504">
        <v>1.1201779999999999</v>
      </c>
      <c r="L9504">
        <v>6.5396729999999996</v>
      </c>
      <c r="M9504">
        <v>3.645143E-2</v>
      </c>
      <c r="N9504">
        <v>-4.5906360000000004E-3</v>
      </c>
      <c r="O9504">
        <v>0.99932489999999996</v>
      </c>
      <c r="P9504">
        <v>-4.3108259999999898E-3</v>
      </c>
      <c r="Q9504">
        <v>-4.5187020000000001E-2</v>
      </c>
      <c r="R9504">
        <v>0.99896929999999995</v>
      </c>
      <c r="S9504">
        <v>-0.14793399999999901</v>
      </c>
      <c r="T9504">
        <v>-2.3050190000000002E-2</v>
      </c>
      <c r="U9504">
        <v>3.0015260000000001</v>
      </c>
      <c r="V9504">
        <v>-4.071019E-2</v>
      </c>
      <c r="W9504">
        <v>-4.0616810000000003E-2</v>
      </c>
      <c r="X9504">
        <v>0.99834509999999999</v>
      </c>
      <c r="Y9504">
        <v>-8.5598779999999999E-2</v>
      </c>
      <c r="Z9504">
        <v>-3.0581639999999999E-3</v>
      </c>
      <c r="AA9504">
        <v>0.99632500000000002</v>
      </c>
      <c r="AB9504">
        <v>25</v>
      </c>
      <c r="AC9504">
        <v>-7.1981000000000099</v>
      </c>
      <c r="AD9504">
        <v>-1.1201906396500001</v>
      </c>
      <c r="AE9504">
        <v>145.621027</v>
      </c>
      <c r="AF9504">
        <v>-12.5007288121044</v>
      </c>
      <c r="AG9504">
        <v>-1.1201906396500001</v>
      </c>
      <c r="AH9504">
        <v>145.25329082459299</v>
      </c>
      <c r="AI9504">
        <v>90.440227987921205</v>
      </c>
      <c r="AJ9504">
        <v>94.918845671407297</v>
      </c>
      <c r="AK9504">
        <v>145.79451822094299</v>
      </c>
      <c r="AL9504">
        <v>92.327812150645499</v>
      </c>
      <c r="AM9504">
        <v>92.335094853282598</v>
      </c>
      <c r="AN9504">
        <v>0.99999999175921095</v>
      </c>
    </row>
    <row r="9505" spans="1:40" x14ac:dyDescent="0.25">
      <c r="A9505" t="str">
        <f>"20190303154025371"</f>
        <v>20190303154025371</v>
      </c>
      <c r="B9505" t="str">
        <f>"1551598825367513"</f>
        <v>1551598825367513</v>
      </c>
      <c r="C9505" t="s">
        <v>40</v>
      </c>
      <c r="D9505">
        <v>4.2720599999999997</v>
      </c>
      <c r="E9505">
        <v>0.48379559999999999</v>
      </c>
      <c r="F9505" t="s">
        <v>51</v>
      </c>
      <c r="G9505">
        <v>-197.49950000000001</v>
      </c>
      <c r="H9505" s="1">
        <v>3.1903230000000002E-6</v>
      </c>
      <c r="I9505">
        <v>209.16730000000001</v>
      </c>
      <c r="J9505">
        <v>-187.60210000000001</v>
      </c>
      <c r="K9505">
        <v>1.12018</v>
      </c>
      <c r="L9505">
        <v>6.7935489999999996</v>
      </c>
      <c r="M9505">
        <v>3.6223989999999998E-2</v>
      </c>
      <c r="N9505">
        <v>-4.41479E-3</v>
      </c>
      <c r="O9505">
        <v>0.9993339</v>
      </c>
      <c r="P9505">
        <v>-4.6259860000000003E-3</v>
      </c>
      <c r="Q9505">
        <v>-4.4945400000000003E-2</v>
      </c>
      <c r="R9505">
        <v>0.9989787</v>
      </c>
      <c r="S9505">
        <v>-0.14648439999999999</v>
      </c>
      <c r="T9505">
        <v>-1.6594169999999998E-2</v>
      </c>
      <c r="U9505">
        <v>3.001709</v>
      </c>
      <c r="V9505">
        <v>-4.0796470000000001E-2</v>
      </c>
      <c r="W9505">
        <v>-4.0552299999999999E-2</v>
      </c>
      <c r="X9505">
        <v>0.99834420000000001</v>
      </c>
      <c r="Y9505">
        <v>-8.4889740000000005E-2</v>
      </c>
      <c r="Z9505">
        <v>-1.0907779999999999E-3</v>
      </c>
      <c r="AA9505">
        <v>0.99638970000000004</v>
      </c>
      <c r="AB9505">
        <v>25</v>
      </c>
      <c r="AC9505">
        <v>-9.8973999999999993</v>
      </c>
      <c r="AD9505">
        <v>-1.120176809677</v>
      </c>
      <c r="AE9505">
        <v>202.373751</v>
      </c>
      <c r="AF9505">
        <v>-17.221234295886902</v>
      </c>
      <c r="AG9505">
        <v>-1.120176809677</v>
      </c>
      <c r="AH9505">
        <v>201.87623246132901</v>
      </c>
      <c r="AI9505">
        <v>90.316770780162699</v>
      </c>
      <c r="AJ9505">
        <v>94.875863693884398</v>
      </c>
      <c r="AK9505">
        <v>202.612534013914</v>
      </c>
      <c r="AL9505">
        <v>92.3241129531187</v>
      </c>
      <c r="AM9505">
        <v>92.340040397374807</v>
      </c>
      <c r="AN9505">
        <v>0.99999999133669504</v>
      </c>
    </row>
    <row r="9506" spans="1:40" x14ac:dyDescent="0.25">
      <c r="A9506" t="str">
        <f>"20190303154025393"</f>
        <v>20190303154025393</v>
      </c>
      <c r="B9506" t="str">
        <f>"1551598825388012"</f>
        <v>1551598825388012</v>
      </c>
      <c r="C9506" t="s">
        <v>40</v>
      </c>
      <c r="D9506">
        <v>4.2737189999999998</v>
      </c>
      <c r="E9506">
        <v>0.4839369</v>
      </c>
      <c r="F9506" t="s">
        <v>49</v>
      </c>
      <c r="G9506">
        <v>-203.3057</v>
      </c>
      <c r="H9506">
        <v>0.1222808</v>
      </c>
      <c r="I9506">
        <v>335.6028</v>
      </c>
      <c r="J9506">
        <v>-187.59280000000001</v>
      </c>
      <c r="K9506">
        <v>1.1201920000000001</v>
      </c>
      <c r="L9506">
        <v>7.0573729999999903</v>
      </c>
      <c r="M9506">
        <v>3.5964580000000003E-2</v>
      </c>
      <c r="N9506">
        <v>-4.2710500000000002E-3</v>
      </c>
      <c r="O9506">
        <v>0.99934389999999995</v>
      </c>
      <c r="P9506">
        <v>-5.0984100000000003E-3</v>
      </c>
      <c r="Q9506">
        <v>-4.4935700000000002E-2</v>
      </c>
      <c r="R9506">
        <v>0.99897689999999995</v>
      </c>
      <c r="S9506">
        <v>-0.14337159999999999</v>
      </c>
      <c r="T9506">
        <v>-9.1106889999999999E-3</v>
      </c>
      <c r="U9506">
        <v>3.0019840000000002</v>
      </c>
      <c r="V9506">
        <v>-4.1007599999999998E-2</v>
      </c>
      <c r="W9506">
        <v>-4.0688000000000002E-2</v>
      </c>
      <c r="X9506">
        <v>0.9983301</v>
      </c>
      <c r="Y9506">
        <v>-8.3596340000000005E-2</v>
      </c>
      <c r="Z9506">
        <v>1.249832E-3</v>
      </c>
      <c r="AA9506">
        <v>0.99649889999999997</v>
      </c>
      <c r="AB9506">
        <v>26</v>
      </c>
      <c r="AC9506">
        <v>-15.7128999999999</v>
      </c>
      <c r="AD9506">
        <v>-0.9979112</v>
      </c>
      <c r="AE9506">
        <v>328.54542700000002</v>
      </c>
      <c r="AF9506">
        <v>-27.518587817494598</v>
      </c>
      <c r="AG9506">
        <v>-0.9979112</v>
      </c>
      <c r="AH9506">
        <v>327.764745705704</v>
      </c>
      <c r="AI9506">
        <v>90.173830370324097</v>
      </c>
      <c r="AJ9506">
        <v>94.799203793326001</v>
      </c>
      <c r="AK9506">
        <v>328.91943851003498</v>
      </c>
      <c r="AL9506">
        <v>92.331894246580703</v>
      </c>
      <c r="AM9506">
        <v>92.352170197210995</v>
      </c>
      <c r="AN9506">
        <v>1.0000000625838801</v>
      </c>
    </row>
    <row r="9507" spans="1:40" x14ac:dyDescent="0.25">
      <c r="A9507" t="str">
        <f>"20190303154025416"</f>
        <v>20190303154025416</v>
      </c>
      <c r="B9507" t="str">
        <f>"1551598825407533"</f>
        <v>1551598825407533</v>
      </c>
      <c r="C9507" t="s">
        <v>40</v>
      </c>
      <c r="D9507">
        <v>4.2348140000000001</v>
      </c>
      <c r="E9507">
        <v>0.48431079999999999</v>
      </c>
      <c r="F9507" t="s">
        <v>49</v>
      </c>
      <c r="G9507">
        <v>-203.33420000000001</v>
      </c>
      <c r="H9507">
        <v>0.37128290000000003</v>
      </c>
      <c r="I9507">
        <v>335.85980000000001</v>
      </c>
      <c r="J9507">
        <v>-187.5839</v>
      </c>
      <c r="K9507">
        <v>1.1201909999999999</v>
      </c>
      <c r="L9507">
        <v>7.3138429999999897</v>
      </c>
      <c r="M9507">
        <v>3.5693830000000003E-2</v>
      </c>
      <c r="N9507">
        <v>-4.1619279999999996E-3</v>
      </c>
      <c r="O9507">
        <v>0.99935410000000002</v>
      </c>
      <c r="P9507">
        <v>-5.7094470000000003E-3</v>
      </c>
      <c r="Q9507">
        <v>-4.5582589999999999E-2</v>
      </c>
      <c r="R9507">
        <v>0.99894430000000001</v>
      </c>
      <c r="S9507">
        <v>-0.1437225</v>
      </c>
      <c r="T9507">
        <v>-6.8377259999999997E-3</v>
      </c>
      <c r="U9507">
        <v>3.0020449999999999</v>
      </c>
      <c r="V9507">
        <v>-4.1344779999999998E-2</v>
      </c>
      <c r="W9507">
        <v>-4.144581E-2</v>
      </c>
      <c r="X9507">
        <v>0.99828490000000003</v>
      </c>
      <c r="Y9507">
        <v>-8.344174E-2</v>
      </c>
      <c r="Z9507">
        <v>1.895259E-3</v>
      </c>
      <c r="AA9507">
        <v>0.99651089999999998</v>
      </c>
      <c r="AB9507">
        <v>26</v>
      </c>
      <c r="AC9507">
        <v>-15.750299999999999</v>
      </c>
      <c r="AD9507">
        <v>-0.74890809999999997</v>
      </c>
      <c r="AE9507">
        <v>328.54595699999999</v>
      </c>
      <c r="AF9507">
        <v>-27.467286078026099</v>
      </c>
      <c r="AG9507">
        <v>-0.74890809999999997</v>
      </c>
      <c r="AH9507">
        <v>327.77270217130899</v>
      </c>
      <c r="AI9507">
        <v>90.130454198680994</v>
      </c>
      <c r="AJ9507">
        <v>94.790182773831503</v>
      </c>
      <c r="AK9507">
        <v>328.92241783818298</v>
      </c>
      <c r="AL9507">
        <v>92.375350501440295</v>
      </c>
      <c r="AM9507">
        <v>92.371595891884496</v>
      </c>
      <c r="AN9507">
        <v>0.999999943783905</v>
      </c>
    </row>
    <row r="9508" spans="1:40" x14ac:dyDescent="0.25">
      <c r="A9508" t="str">
        <f>"20190303154025439"</f>
        <v>20190303154025439</v>
      </c>
      <c r="B9508" t="str">
        <f>"1551598825428029"</f>
        <v>1551598825428029</v>
      </c>
      <c r="C9508" t="s">
        <v>40</v>
      </c>
      <c r="D9508">
        <v>4.1881750000000002</v>
      </c>
      <c r="E9508">
        <v>0.48458289999999998</v>
      </c>
      <c r="F9508" t="s">
        <v>49</v>
      </c>
      <c r="G9508">
        <v>-203.1773</v>
      </c>
      <c r="H9508">
        <v>0.72076839999999998</v>
      </c>
      <c r="I9508">
        <v>335.93799999999999</v>
      </c>
      <c r="J9508">
        <v>-187.57419999999999</v>
      </c>
      <c r="K9508">
        <v>1.1201939999999999</v>
      </c>
      <c r="L9508">
        <v>7.5943300000000002</v>
      </c>
      <c r="M9508">
        <v>3.537618E-2</v>
      </c>
      <c r="N9508">
        <v>-4.0724919999999996E-3</v>
      </c>
      <c r="O9508">
        <v>0.99936570000000002</v>
      </c>
      <c r="P9508">
        <v>-6.3668689999999998E-3</v>
      </c>
      <c r="Q9508">
        <v>-4.6631989999999998E-2</v>
      </c>
      <c r="R9508">
        <v>0.9988918</v>
      </c>
      <c r="S9508">
        <v>-0.1424561</v>
      </c>
      <c r="T9508">
        <v>-3.6489959999999998E-3</v>
      </c>
      <c r="U9508">
        <v>3.0021969999999998</v>
      </c>
      <c r="V9508">
        <v>-4.168028E-2</v>
      </c>
      <c r="W9508">
        <v>-4.2586609999999997E-2</v>
      </c>
      <c r="X9508">
        <v>0.99822299999999997</v>
      </c>
      <c r="Y9508">
        <v>-8.2703239999999997E-2</v>
      </c>
      <c r="Z9508">
        <v>2.8643829999999999E-3</v>
      </c>
      <c r="AA9508">
        <v>0.99657010000000001</v>
      </c>
      <c r="AB9508">
        <v>26</v>
      </c>
      <c r="AC9508">
        <v>-15.6031</v>
      </c>
      <c r="AD9508">
        <v>-0.39942559999999999</v>
      </c>
      <c r="AE9508">
        <v>328.34366999999997</v>
      </c>
      <c r="AF9508">
        <v>-27.208935067635402</v>
      </c>
      <c r="AG9508">
        <v>-0.39942559999999999</v>
      </c>
      <c r="AH9508">
        <v>327.58567906770702</v>
      </c>
      <c r="AI9508">
        <v>90.069621038415406</v>
      </c>
      <c r="AJ9508">
        <v>94.748030926737997</v>
      </c>
      <c r="AK9508">
        <v>328.71395288088303</v>
      </c>
      <c r="AL9508">
        <v>92.440771140003406</v>
      </c>
      <c r="AM9508">
        <v>92.390966494443205</v>
      </c>
      <c r="AN9508">
        <v>1.00000001141058</v>
      </c>
    </row>
    <row r="9509" spans="1:40" x14ac:dyDescent="0.25">
      <c r="A9509" t="str">
        <f>"20190303154025462"</f>
        <v>20190303154025462</v>
      </c>
      <c r="B9509" t="str">
        <f>"1551598825457309"</f>
        <v>1551598825457309</v>
      </c>
      <c r="C9509" t="s">
        <v>40</v>
      </c>
      <c r="D9509">
        <v>4.1946370000000002</v>
      </c>
      <c r="E9509">
        <v>0.48497030000000002</v>
      </c>
      <c r="F9509" t="s">
        <v>49</v>
      </c>
      <c r="G9509">
        <v>-203.11109999999999</v>
      </c>
      <c r="H9509">
        <v>0.76657039999999999</v>
      </c>
      <c r="I9509">
        <v>335.94830000000002</v>
      </c>
      <c r="J9509">
        <v>-187.5652</v>
      </c>
      <c r="K9509">
        <v>1.1202030000000001</v>
      </c>
      <c r="L9509">
        <v>7.8561399999999901</v>
      </c>
      <c r="M9509">
        <v>3.5059189999999997E-2</v>
      </c>
      <c r="N9509">
        <v>-4.0153289999999998E-3</v>
      </c>
      <c r="O9509">
        <v>0.99937719999999997</v>
      </c>
      <c r="P9509">
        <v>-6.9703769999999998E-3</v>
      </c>
      <c r="Q9509">
        <v>-4.7271720000000003E-2</v>
      </c>
      <c r="R9509">
        <v>0.99885769999999996</v>
      </c>
      <c r="S9509">
        <v>-0.142059299999999</v>
      </c>
      <c r="T9509">
        <v>-3.2333140000000002E-3</v>
      </c>
      <c r="U9509">
        <v>3.0022579999999999</v>
      </c>
      <c r="V9509">
        <v>-4.1964120000000001E-2</v>
      </c>
      <c r="W9509">
        <v>-4.3285270000000001E-2</v>
      </c>
      <c r="X9509">
        <v>0.99818099999999998</v>
      </c>
      <c r="Y9509">
        <v>-8.2254809999999998E-2</v>
      </c>
      <c r="Z9509">
        <v>2.9451260000000002E-3</v>
      </c>
      <c r="AA9509">
        <v>0.99660700000000002</v>
      </c>
      <c r="AB9509">
        <v>26</v>
      </c>
      <c r="AC9509">
        <v>-15.5458999999999</v>
      </c>
      <c r="AD9509">
        <v>-0.35363260000000002</v>
      </c>
      <c r="AE9509">
        <v>328.09215999999998</v>
      </c>
      <c r="AF9509">
        <v>-27.039049242736301</v>
      </c>
      <c r="AG9509">
        <v>-0.35363260000000002</v>
      </c>
      <c r="AH9509">
        <v>327.34504756407699</v>
      </c>
      <c r="AI9509">
        <v>90.061686827252103</v>
      </c>
      <c r="AJ9509">
        <v>94.721972585187103</v>
      </c>
      <c r="AK9509">
        <v>328.46006668192501</v>
      </c>
      <c r="AL9509">
        <v>92.480838497704895</v>
      </c>
      <c r="AM9509">
        <v>92.407330900287306</v>
      </c>
      <c r="AN9509">
        <v>0.99999995536367203</v>
      </c>
    </row>
    <row r="9510" spans="1:40" x14ac:dyDescent="0.25">
      <c r="A9510" t="str">
        <f>"20190303154025483"</f>
        <v>20190303154025483</v>
      </c>
      <c r="B9510" t="str">
        <f>"1551598825477805"</f>
        <v>1551598825477805</v>
      </c>
      <c r="C9510" t="s">
        <v>40</v>
      </c>
      <c r="D9510">
        <v>4.1804059999999996</v>
      </c>
      <c r="E9510">
        <v>0.48514780000000002</v>
      </c>
      <c r="F9510" t="s">
        <v>92</v>
      </c>
      <c r="G9510">
        <v>-205.56479999999999</v>
      </c>
      <c r="H9510">
        <v>1.1586270000000001</v>
      </c>
      <c r="I9510">
        <v>391.87</v>
      </c>
      <c r="J9510">
        <v>-187.5566</v>
      </c>
      <c r="K9510">
        <v>1.120209</v>
      </c>
      <c r="L9510">
        <v>8.1121219999999994</v>
      </c>
      <c r="M9510">
        <v>3.4730200000000003E-2</v>
      </c>
      <c r="N9510">
        <v>-3.9837960000000004E-3</v>
      </c>
      <c r="O9510">
        <v>0.99938879999999997</v>
      </c>
      <c r="P9510">
        <v>-6.8390229999999996E-3</v>
      </c>
      <c r="Q9510">
        <v>-4.7108949999999997E-2</v>
      </c>
      <c r="R9510">
        <v>0.99886629999999998</v>
      </c>
      <c r="S9510">
        <v>-0.14073179999999999</v>
      </c>
      <c r="T9510">
        <v>3.0040740000000001E-4</v>
      </c>
      <c r="U9510">
        <v>3.002472</v>
      </c>
      <c r="V9510">
        <v>-4.1502669999999998E-2</v>
      </c>
      <c r="W9510">
        <v>-4.315513E-2</v>
      </c>
      <c r="X9510">
        <v>0.99820600000000004</v>
      </c>
      <c r="Y9510">
        <v>-8.1483689999999998E-2</v>
      </c>
      <c r="Z9510">
        <v>4.0867799999999999E-3</v>
      </c>
      <c r="AA9510">
        <v>0.9966663</v>
      </c>
      <c r="AB9510">
        <v>26</v>
      </c>
      <c r="AC9510">
        <v>-18.008199999999899</v>
      </c>
      <c r="AD9510">
        <v>3.8418000000000001E-2</v>
      </c>
      <c r="AE9510">
        <v>383.75787800000001</v>
      </c>
      <c r="AF9510">
        <v>-31.325429022205199</v>
      </c>
      <c r="AG9510">
        <v>3.8418000000000001E-2</v>
      </c>
      <c r="AH9510">
        <v>382.90092548724903</v>
      </c>
      <c r="AI9510">
        <v>89.994270424568597</v>
      </c>
      <c r="AJ9510">
        <v>94.676997424911505</v>
      </c>
      <c r="AK9510">
        <v>384.18016960582401</v>
      </c>
      <c r="AL9510">
        <v>92.473374871655295</v>
      </c>
      <c r="AM9510">
        <v>92.380830242091704</v>
      </c>
      <c r="AN9510">
        <v>1.00000002764922</v>
      </c>
    </row>
    <row r="9511" spans="1:40" x14ac:dyDescent="0.25">
      <c r="A9511" t="str">
        <f>"20190303154025506"</f>
        <v>20190303154025506</v>
      </c>
      <c r="B9511" t="str">
        <f>"1551598825497324"</f>
        <v>1551598825497324</v>
      </c>
      <c r="C9511" t="s">
        <v>40</v>
      </c>
      <c r="D9511">
        <v>4.2230530000000002</v>
      </c>
      <c r="E9511">
        <v>0.50164900000000001</v>
      </c>
      <c r="F9511" t="s">
        <v>92</v>
      </c>
      <c r="G9511">
        <v>-205.32300000000001</v>
      </c>
      <c r="H9511">
        <v>1.4804040000000001</v>
      </c>
      <c r="I9511">
        <v>391.87</v>
      </c>
      <c r="J9511">
        <v>-187.5478</v>
      </c>
      <c r="K9511">
        <v>1.1202190000000001</v>
      </c>
      <c r="L9511">
        <v>8.3761899999999994</v>
      </c>
      <c r="M9511">
        <v>3.4373569999999999E-2</v>
      </c>
      <c r="N9511">
        <v>-3.9769499999999999E-3</v>
      </c>
      <c r="O9511">
        <v>0.99940119999999999</v>
      </c>
      <c r="P9511">
        <v>-6.5619909999999997E-3</v>
      </c>
      <c r="Q9511">
        <v>-4.7213289999999998E-2</v>
      </c>
      <c r="R9511">
        <v>0.99886330000000001</v>
      </c>
      <c r="S9511">
        <v>-0.13900760000000001</v>
      </c>
      <c r="T9511">
        <v>2.818227E-3</v>
      </c>
      <c r="U9511">
        <v>3.0025940000000002</v>
      </c>
      <c r="V9511">
        <v>-4.0867979999999998E-2</v>
      </c>
      <c r="W9511">
        <v>-4.3267350000000003E-2</v>
      </c>
      <c r="X9511">
        <v>0.99822730000000004</v>
      </c>
      <c r="Y9511">
        <v>-8.0554979999999998E-2</v>
      </c>
      <c r="Z9511">
        <v>4.9158439999999999E-3</v>
      </c>
      <c r="AA9511">
        <v>0.99673800000000001</v>
      </c>
      <c r="AB9511">
        <v>26</v>
      </c>
      <c r="AC9511">
        <v>-17.775199999999899</v>
      </c>
      <c r="AD9511">
        <v>0.36018499999999998</v>
      </c>
      <c r="AE9511">
        <v>383.49381</v>
      </c>
      <c r="AF9511">
        <v>-30.9468232122973</v>
      </c>
      <c r="AG9511">
        <v>0.36018499999999998</v>
      </c>
      <c r="AH9511">
        <v>382.65584369024998</v>
      </c>
      <c r="AI9511">
        <v>89.946244347746699</v>
      </c>
      <c r="AJ9511">
        <v>94.623663132942696</v>
      </c>
      <c r="AK9511">
        <v>383.90536634757302</v>
      </c>
      <c r="AL9511">
        <v>92.479810686410502</v>
      </c>
      <c r="AM9511">
        <v>92.344411770268295</v>
      </c>
      <c r="AN9511">
        <v>0.99999999891529601</v>
      </c>
    </row>
    <row r="9512" spans="1:40" x14ac:dyDescent="0.25">
      <c r="A9512" t="str">
        <f>"20190303154025528"</f>
        <v>20190303154025528</v>
      </c>
      <c r="B9512" t="str">
        <f>"1551598825517824"</f>
        <v>1551598825517824</v>
      </c>
      <c r="C9512" t="s">
        <v>40</v>
      </c>
      <c r="D9512">
        <v>4.2027890000000001</v>
      </c>
      <c r="E9512">
        <v>0.50167019999999996</v>
      </c>
      <c r="F9512" t="s">
        <v>92</v>
      </c>
      <c r="G9512">
        <v>-188.37549999999999</v>
      </c>
      <c r="H9512">
        <v>4.928121</v>
      </c>
      <c r="I9512">
        <v>391.87</v>
      </c>
      <c r="J9512">
        <v>-187.53880000000001</v>
      </c>
      <c r="K9512">
        <v>1.1202350000000001</v>
      </c>
      <c r="L9512">
        <v>8.6488339999999901</v>
      </c>
      <c r="M9512">
        <v>3.3991109999999998E-2</v>
      </c>
      <c r="N9512">
        <v>-4.0012340000000002E-3</v>
      </c>
      <c r="O9512">
        <v>0.99941409999999997</v>
      </c>
      <c r="P9512">
        <v>-6.047144E-3</v>
      </c>
      <c r="Q9512">
        <v>-4.8178329999999998E-2</v>
      </c>
      <c r="R9512">
        <v>0.99882040000000005</v>
      </c>
      <c r="S9512">
        <v>-6.4849850000000004E-3</v>
      </c>
      <c r="T9512">
        <v>2.9836060000000001E-2</v>
      </c>
      <c r="U9512">
        <v>3.004791</v>
      </c>
      <c r="V9512">
        <v>-3.9968110000000001E-2</v>
      </c>
      <c r="W9512">
        <v>-4.420905E-2</v>
      </c>
      <c r="X9512">
        <v>0.99822250000000001</v>
      </c>
      <c r="Y9512">
        <v>-3.6148479999999997E-2</v>
      </c>
      <c r="Z9512">
        <v>1.391825E-2</v>
      </c>
      <c r="AA9512">
        <v>0.99924950000000001</v>
      </c>
      <c r="AB9512">
        <v>27</v>
      </c>
      <c r="AC9512">
        <v>-0.83669999999997902</v>
      </c>
      <c r="AD9512">
        <v>3.8078859999999999</v>
      </c>
      <c r="AE9512">
        <v>383.22116599999998</v>
      </c>
      <c r="AF9512">
        <v>-13.8610653504153</v>
      </c>
      <c r="AG9512">
        <v>3.8078859999999999</v>
      </c>
      <c r="AH9512">
        <v>382.93346329019897</v>
      </c>
      <c r="AI9512">
        <v>89.430643045868294</v>
      </c>
      <c r="AJ9512">
        <v>92.073033673883799</v>
      </c>
      <c r="AK9512">
        <v>383.20316600448899</v>
      </c>
      <c r="AL9512">
        <v>92.533817741992195</v>
      </c>
      <c r="AM9512">
        <v>92.292857011855304</v>
      </c>
      <c r="AN9512">
        <v>1.00000002471256</v>
      </c>
    </row>
    <row r="9513" spans="1:40" x14ac:dyDescent="0.25">
      <c r="A9513" t="str">
        <f>"20190303154025549"</f>
        <v>20190303154025549</v>
      </c>
      <c r="B9513" t="str">
        <f>"1551598825537343"</f>
        <v>1551598825537343</v>
      </c>
      <c r="C9513" t="s">
        <v>40</v>
      </c>
      <c r="D9513">
        <v>4.1845910000000002</v>
      </c>
      <c r="E9513">
        <v>0.50163530000000001</v>
      </c>
      <c r="F9513" t="s">
        <v>92</v>
      </c>
      <c r="G9513">
        <v>-188.1481</v>
      </c>
      <c r="H9513">
        <v>2.5085639999999998</v>
      </c>
      <c r="I9513">
        <v>391.87</v>
      </c>
      <c r="J9513">
        <v>-187.53059999999999</v>
      </c>
      <c r="K9513">
        <v>1.120247</v>
      </c>
      <c r="L9513">
        <v>8.9007869999999993</v>
      </c>
      <c r="M9513">
        <v>3.3627549999999999E-2</v>
      </c>
      <c r="N9513">
        <v>-4.0627099999999998E-3</v>
      </c>
      <c r="O9513">
        <v>0.99942620000000004</v>
      </c>
      <c r="P9513">
        <v>-5.862005E-3</v>
      </c>
      <c r="Q9513">
        <v>-4.8745669999999998E-2</v>
      </c>
      <c r="R9513">
        <v>0.99879399999999996</v>
      </c>
      <c r="S9513">
        <v>-4.7760009999999898E-3</v>
      </c>
      <c r="T9513">
        <v>1.088297E-2</v>
      </c>
      <c r="U9513">
        <v>3.0040279999999999</v>
      </c>
      <c r="V9513">
        <v>-3.941745E-2</v>
      </c>
      <c r="W9513">
        <v>-4.4715770000000002E-2</v>
      </c>
      <c r="X9513">
        <v>0.99822180000000005</v>
      </c>
      <c r="Y9513">
        <v>-3.5216669999999999E-2</v>
      </c>
      <c r="Z9513">
        <v>7.6813330000000003E-3</v>
      </c>
      <c r="AA9513">
        <v>0.99935019999999997</v>
      </c>
      <c r="AB9513">
        <v>27</v>
      </c>
      <c r="AC9513">
        <v>-0.61750000000000604</v>
      </c>
      <c r="AD9513">
        <v>1.38831699999999</v>
      </c>
      <c r="AE9513">
        <v>382.969212999999</v>
      </c>
      <c r="AF9513">
        <v>-13.495395745759501</v>
      </c>
      <c r="AG9513">
        <v>1.38831699999999</v>
      </c>
      <c r="AH9513">
        <v>382.72682024331198</v>
      </c>
      <c r="AI9513">
        <v>89.792293230083501</v>
      </c>
      <c r="AJ9513">
        <v>92.019479566564598</v>
      </c>
      <c r="AK9513">
        <v>382.96719450102199</v>
      </c>
      <c r="AL9513">
        <v>92.562879465925405</v>
      </c>
      <c r="AM9513">
        <v>92.261301817378097</v>
      </c>
      <c r="AN9513">
        <v>0.99999999872321699</v>
      </c>
    </row>
    <row r="9514" spans="1:40" x14ac:dyDescent="0.25">
      <c r="A9514" t="str">
        <f>"20190303154025572"</f>
        <v>20190303154025572</v>
      </c>
      <c r="B9514" t="str">
        <f>"1551598825567596"</f>
        <v>1551598825567596</v>
      </c>
      <c r="C9514" t="s">
        <v>40</v>
      </c>
      <c r="D9514">
        <v>4.1531330000000004</v>
      </c>
      <c r="E9514">
        <v>0.50161329999999904</v>
      </c>
      <c r="F9514" t="s">
        <v>92</v>
      </c>
      <c r="G9514">
        <v>-188.08510000000001</v>
      </c>
      <c r="H9514">
        <v>1.269007</v>
      </c>
      <c r="I9514">
        <v>391.87</v>
      </c>
      <c r="J9514">
        <v>-187.52160000000001</v>
      </c>
      <c r="K9514">
        <v>1.1202780000000001</v>
      </c>
      <c r="L9514">
        <v>9.180847</v>
      </c>
      <c r="M9514">
        <v>3.3216460000000003E-2</v>
      </c>
      <c r="N9514">
        <v>-4.2075899999999998E-3</v>
      </c>
      <c r="O9514">
        <v>0.99943930000000003</v>
      </c>
      <c r="P9514">
        <v>-5.7819100000000003E-3</v>
      </c>
      <c r="Q9514">
        <v>-4.8703610000000001E-2</v>
      </c>
      <c r="R9514">
        <v>0.99879649999999998</v>
      </c>
      <c r="S9514">
        <v>-4.3487550000000002E-3</v>
      </c>
      <c r="T9514">
        <v>1.166701E-3</v>
      </c>
      <c r="U9514">
        <v>3.0036619999999998</v>
      </c>
      <c r="V9514">
        <v>-3.8925599999999998E-2</v>
      </c>
      <c r="W9514">
        <v>-4.4529590000000001E-2</v>
      </c>
      <c r="X9514">
        <v>0.99824939999999995</v>
      </c>
      <c r="Y9514">
        <v>-3.4663449999999998E-2</v>
      </c>
      <c r="Z9514">
        <v>4.5956759999999999E-3</v>
      </c>
      <c r="AA9514">
        <v>0.99938850000000001</v>
      </c>
      <c r="AB9514">
        <v>27</v>
      </c>
      <c r="AC9514">
        <v>-0.563500000000004</v>
      </c>
      <c r="AD9514">
        <v>0.148728999999999</v>
      </c>
      <c r="AE9514">
        <v>382.68915299999998</v>
      </c>
      <c r="AF9514">
        <v>-13.274878814566399</v>
      </c>
      <c r="AG9514">
        <v>0.148728999999999</v>
      </c>
      <c r="AH9514">
        <v>382.45919874928398</v>
      </c>
      <c r="AI9514">
        <v>89.977732487204406</v>
      </c>
      <c r="AJ9514">
        <v>91.987896525572694</v>
      </c>
      <c r="AK9514">
        <v>382.68953896834103</v>
      </c>
      <c r="AL9514">
        <v>92.552201560374797</v>
      </c>
      <c r="AM9514">
        <v>92.233052414376701</v>
      </c>
      <c r="AN9514">
        <v>0.99999997566064303</v>
      </c>
    </row>
    <row r="9515" spans="1:40" x14ac:dyDescent="0.25">
      <c r="A9515" t="str">
        <f>"20190303154025593"</f>
        <v>20190303154025593</v>
      </c>
      <c r="B9515" t="str">
        <f>"1551598825587116"</f>
        <v>1551598825587116</v>
      </c>
      <c r="C9515" t="s">
        <v>40</v>
      </c>
      <c r="D9515">
        <v>4.1655680000000004</v>
      </c>
      <c r="E9515">
        <v>0.50205270000000002</v>
      </c>
      <c r="F9515" t="s">
        <v>92</v>
      </c>
      <c r="G9515">
        <v>-188.06209999999999</v>
      </c>
      <c r="H9515">
        <v>1.396566</v>
      </c>
      <c r="I9515">
        <v>391.87</v>
      </c>
      <c r="J9515">
        <v>-187.51320000000001</v>
      </c>
      <c r="K9515">
        <v>1.120323</v>
      </c>
      <c r="L9515">
        <v>9.4462589999999995</v>
      </c>
      <c r="M9515">
        <v>3.2822959999999998E-2</v>
      </c>
      <c r="N9515">
        <v>-4.4460630000000001E-3</v>
      </c>
      <c r="O9515">
        <v>0.99945130000000004</v>
      </c>
      <c r="P9515">
        <v>-6.3989090000000004E-3</v>
      </c>
      <c r="Q9515">
        <v>-4.8624760000000003E-2</v>
      </c>
      <c r="R9515">
        <v>0.99879660000000003</v>
      </c>
      <c r="S9515">
        <v>-4.2419429999999998E-3</v>
      </c>
      <c r="T9515">
        <v>2.168536E-3</v>
      </c>
      <c r="U9515">
        <v>3.0036930000000002</v>
      </c>
      <c r="V9515">
        <v>-3.9149389999999999E-2</v>
      </c>
      <c r="W9515">
        <v>-4.4213410000000002E-2</v>
      </c>
      <c r="X9515">
        <v>0.99825469999999905</v>
      </c>
      <c r="Y9515">
        <v>-3.4234439999999998E-2</v>
      </c>
      <c r="Z9515">
        <v>5.1673200000000004E-3</v>
      </c>
      <c r="AA9515">
        <v>0.99940050000000002</v>
      </c>
      <c r="AB9515">
        <v>27</v>
      </c>
      <c r="AC9515">
        <v>-0.54889999999997396</v>
      </c>
      <c r="AD9515">
        <v>0.27624299999999902</v>
      </c>
      <c r="AE9515">
        <v>382.42374100000001</v>
      </c>
      <c r="AF9515">
        <v>-13.101000524214101</v>
      </c>
      <c r="AG9515">
        <v>0.27624299999999902</v>
      </c>
      <c r="AH9515">
        <v>382.199463809983</v>
      </c>
      <c r="AI9515">
        <v>89.958612540160502</v>
      </c>
      <c r="AJ9515">
        <v>91.963211161116007</v>
      </c>
      <c r="AK9515">
        <v>382.42403515151801</v>
      </c>
      <c r="AL9515">
        <v>92.5340679266655</v>
      </c>
      <c r="AM9515">
        <v>92.245865597909898</v>
      </c>
      <c r="AN9515">
        <v>0.99999997321664402</v>
      </c>
    </row>
    <row r="9516" spans="1:40" x14ac:dyDescent="0.25">
      <c r="A9516" t="str">
        <f>"20190303154025617"</f>
        <v>20190303154025617</v>
      </c>
      <c r="B9516" t="str">
        <f>"1551598825607616"</f>
        <v>1551598825607616</v>
      </c>
      <c r="C9516" t="s">
        <v>40</v>
      </c>
      <c r="D9516">
        <v>4.1677780000000002</v>
      </c>
      <c r="E9516">
        <v>0.50247589999999998</v>
      </c>
      <c r="F9516" t="s">
        <v>92</v>
      </c>
      <c r="G9516">
        <v>-187.85890000000001</v>
      </c>
      <c r="H9516">
        <v>2.443079</v>
      </c>
      <c r="I9516">
        <v>391.87</v>
      </c>
      <c r="J9516">
        <v>-187.50450000000001</v>
      </c>
      <c r="K9516">
        <v>1.1203939999999999</v>
      </c>
      <c r="L9516">
        <v>9.7226870000000005</v>
      </c>
      <c r="M9516">
        <v>3.2410790000000002E-2</v>
      </c>
      <c r="N9516">
        <v>-4.7944720000000001E-3</v>
      </c>
      <c r="O9516">
        <v>0.99946310000000005</v>
      </c>
      <c r="P9516">
        <v>-6.9426699999999997E-3</v>
      </c>
      <c r="Q9516">
        <v>-4.9217249999999997E-2</v>
      </c>
      <c r="R9516">
        <v>0.99876399999999999</v>
      </c>
      <c r="S9516">
        <v>-2.7160639999999998E-3</v>
      </c>
      <c r="T9516">
        <v>1.0390760000000001E-2</v>
      </c>
      <c r="U9516">
        <v>3.004089</v>
      </c>
      <c r="V9516">
        <v>-3.9279389999999997E-2</v>
      </c>
      <c r="W9516">
        <v>-4.4458780000000003E-2</v>
      </c>
      <c r="X9516">
        <v>0.99823870000000003</v>
      </c>
      <c r="Y9516">
        <v>-3.3314660000000003E-2</v>
      </c>
      <c r="Z9516">
        <v>8.2496389999999996E-3</v>
      </c>
      <c r="AA9516">
        <v>0.99941089999999999</v>
      </c>
      <c r="AB9516">
        <v>27</v>
      </c>
      <c r="AC9516">
        <v>-0.35439999999999799</v>
      </c>
      <c r="AD9516">
        <v>1.3226850000000001</v>
      </c>
      <c r="AE9516">
        <v>382.147313</v>
      </c>
      <c r="AF9516">
        <v>-12.7399002568696</v>
      </c>
      <c r="AG9516">
        <v>1.3226850000000001</v>
      </c>
      <c r="AH9516">
        <v>381.93047855019501</v>
      </c>
      <c r="AI9516">
        <v>89.801686841162095</v>
      </c>
      <c r="AJ9516">
        <v>91.910483742911694</v>
      </c>
      <c r="AK9516">
        <v>382.14518837706902</v>
      </c>
      <c r="AL9516">
        <v>92.548140418475697</v>
      </c>
      <c r="AM9516">
        <v>92.253351654743994</v>
      </c>
      <c r="AN9516">
        <v>0.99999997788777495</v>
      </c>
    </row>
    <row r="9517" spans="1:40" x14ac:dyDescent="0.25">
      <c r="A9517" t="str">
        <f>"20190303154025640"</f>
        <v>20190303154025640</v>
      </c>
      <c r="B9517" t="str">
        <f>"1551598825637869"</f>
        <v>1551598825637869</v>
      </c>
      <c r="C9517" t="s">
        <v>40</v>
      </c>
      <c r="D9517">
        <v>4.1587059999999996</v>
      </c>
      <c r="E9517">
        <v>0.50253389999999998</v>
      </c>
      <c r="F9517" t="s">
        <v>92</v>
      </c>
      <c r="G9517">
        <v>-187.6268</v>
      </c>
      <c r="H9517">
        <v>2.8523269999999998</v>
      </c>
      <c r="I9517">
        <v>391.87</v>
      </c>
      <c r="J9517">
        <v>-187.4956</v>
      </c>
      <c r="K9517">
        <v>1.12049</v>
      </c>
      <c r="L9517">
        <v>10.012420000000001</v>
      </c>
      <c r="M9517">
        <v>3.1976329999999997E-2</v>
      </c>
      <c r="N9517">
        <v>-5.3013649999999997E-3</v>
      </c>
      <c r="O9517">
        <v>0.99947459999999999</v>
      </c>
      <c r="P9517">
        <v>-7.6209999999999898E-3</v>
      </c>
      <c r="Q9517">
        <v>-5.0782800000000003E-2</v>
      </c>
      <c r="R9517">
        <v>0.99868069999999998</v>
      </c>
      <c r="S9517">
        <v>-9.6130369999999996E-4</v>
      </c>
      <c r="T9517">
        <v>1.3616090000000001E-2</v>
      </c>
      <c r="U9517">
        <v>3.0043639999999998</v>
      </c>
      <c r="V9517">
        <v>-3.9520260000000001E-2</v>
      </c>
      <c r="W9517">
        <v>-4.551931E-2</v>
      </c>
      <c r="X9517">
        <v>0.9981814</v>
      </c>
      <c r="Y9517">
        <v>-3.229651E-2</v>
      </c>
      <c r="Z9517">
        <v>9.8286740000000008E-3</v>
      </c>
      <c r="AA9517">
        <v>0.99943000000000004</v>
      </c>
      <c r="AB9517">
        <v>27</v>
      </c>
      <c r="AC9517">
        <v>-0.13120000000000601</v>
      </c>
      <c r="AD9517">
        <v>1.7318369999999901</v>
      </c>
      <c r="AE9517">
        <v>381.85757999999998</v>
      </c>
      <c r="AF9517">
        <v>-12.3414542297306</v>
      </c>
      <c r="AG9517">
        <v>1.7318369999999901</v>
      </c>
      <c r="AH9517">
        <v>381.65025716049502</v>
      </c>
      <c r="AI9517">
        <v>89.7401431557969</v>
      </c>
      <c r="AJ9517">
        <v>91.852132701933698</v>
      </c>
      <c r="AK9517">
        <v>381.85367556509198</v>
      </c>
      <c r="AL9517">
        <v>92.6089658896027</v>
      </c>
      <c r="AM9517">
        <v>92.267285344477301</v>
      </c>
      <c r="AN9517">
        <v>0.99999998291965098</v>
      </c>
    </row>
    <row r="9518" spans="1:40" x14ac:dyDescent="0.25">
      <c r="A9518" t="str">
        <f>"20190303154025662"</f>
        <v>20190303154025662</v>
      </c>
      <c r="B9518" t="str">
        <f>"1551598825657389"</f>
        <v>1551598825657389</v>
      </c>
      <c r="C9518" t="s">
        <v>40</v>
      </c>
      <c r="D9518">
        <v>4.193746</v>
      </c>
      <c r="E9518">
        <v>0.50244869999999997</v>
      </c>
      <c r="F9518" t="s">
        <v>92</v>
      </c>
      <c r="G9518">
        <v>-187.804</v>
      </c>
      <c r="H9518">
        <v>2.5767609999999999</v>
      </c>
      <c r="I9518">
        <v>391.87</v>
      </c>
      <c r="J9518">
        <v>-187.48769999999999</v>
      </c>
      <c r="K9518">
        <v>1.1206</v>
      </c>
      <c r="L9518">
        <v>10.27313</v>
      </c>
      <c r="M9518">
        <v>3.159203E-2</v>
      </c>
      <c r="N9518">
        <v>-5.9196169999999899E-3</v>
      </c>
      <c r="O9518">
        <v>0.99948329999999996</v>
      </c>
      <c r="P9518">
        <v>-7.8955380000000006E-3</v>
      </c>
      <c r="Q9518">
        <v>-5.2214379999999998E-2</v>
      </c>
      <c r="R9518">
        <v>0.99860470000000001</v>
      </c>
      <c r="S9518">
        <v>-2.426147E-3</v>
      </c>
      <c r="T9518">
        <v>1.145816E-2</v>
      </c>
      <c r="U9518">
        <v>3.0045169999999999</v>
      </c>
      <c r="V9518">
        <v>-3.9407400000000002E-2</v>
      </c>
      <c r="W9518">
        <v>-4.6334489999999999E-2</v>
      </c>
      <c r="X9518">
        <v>0.99814840000000005</v>
      </c>
      <c r="Y9518">
        <v>-3.239943E-2</v>
      </c>
      <c r="Z9518">
        <v>9.7293439999999991E-3</v>
      </c>
      <c r="AA9518">
        <v>0.99942759999999997</v>
      </c>
      <c r="AB9518">
        <v>27</v>
      </c>
      <c r="AC9518">
        <v>-0.31630000000001202</v>
      </c>
      <c r="AD9518">
        <v>1.45616099999999</v>
      </c>
      <c r="AE9518">
        <v>381.59687000000002</v>
      </c>
      <c r="AF9518">
        <v>-12.3715931647889</v>
      </c>
      <c r="AG9518">
        <v>1.45616099999999</v>
      </c>
      <c r="AH9518">
        <v>381.39084179482199</v>
      </c>
      <c r="AI9518">
        <v>89.781359158291295</v>
      </c>
      <c r="AJ9518">
        <v>91.857914591609301</v>
      </c>
      <c r="AK9518">
        <v>381.59422286934102</v>
      </c>
      <c r="AL9518">
        <v>92.655721481175306</v>
      </c>
      <c r="AM9518">
        <v>92.2608919394645</v>
      </c>
      <c r="AN9518">
        <v>1.00000002828043</v>
      </c>
    </row>
    <row r="9519" spans="1:40" x14ac:dyDescent="0.25">
      <c r="A9519" t="str">
        <f>"20190303154025683"</f>
        <v>20190303154025683</v>
      </c>
      <c r="B9519" t="str">
        <f>"1551598825677885"</f>
        <v>1551598825677885</v>
      </c>
      <c r="C9519" t="s">
        <v>40</v>
      </c>
      <c r="D9519">
        <v>4.1984519999999996</v>
      </c>
      <c r="E9519">
        <v>0.50227949999999999</v>
      </c>
      <c r="F9519" t="s">
        <v>92</v>
      </c>
      <c r="G9519">
        <v>-187.9761</v>
      </c>
      <c r="H9519">
        <v>2.047628</v>
      </c>
      <c r="I9519">
        <v>391.87</v>
      </c>
      <c r="J9519">
        <v>-187.48</v>
      </c>
      <c r="K9519">
        <v>1.1207290000000001</v>
      </c>
      <c r="L9519">
        <v>10.529450000000001</v>
      </c>
      <c r="M9519">
        <v>3.1219199999999999E-2</v>
      </c>
      <c r="N9519">
        <v>-6.6620869999999997E-3</v>
      </c>
      <c r="O9519">
        <v>0.9994904</v>
      </c>
      <c r="P9519">
        <v>-8.0833499999999996E-3</v>
      </c>
      <c r="Q9519">
        <v>-5.3577470000000002E-2</v>
      </c>
      <c r="R9519">
        <v>0.99853099999999995</v>
      </c>
      <c r="S9519">
        <v>-3.8452149999999999E-3</v>
      </c>
      <c r="T9519">
        <v>7.2990659999999999E-3</v>
      </c>
      <c r="U9519">
        <v>3.0045470000000001</v>
      </c>
      <c r="V9519">
        <v>-3.9220159999999997E-2</v>
      </c>
      <c r="W9519">
        <v>-4.6956779999999997E-2</v>
      </c>
      <c r="X9519">
        <v>0.99812670000000003</v>
      </c>
      <c r="Y9519">
        <v>-3.2498539999999999E-2</v>
      </c>
      <c r="Z9519">
        <v>9.0890599999999995E-3</v>
      </c>
      <c r="AA9519">
        <v>0.9994305</v>
      </c>
      <c r="AB9519">
        <v>27</v>
      </c>
      <c r="AC9519">
        <v>-0.49610000000001198</v>
      </c>
      <c r="AD9519">
        <v>0.92689900000000003</v>
      </c>
      <c r="AE9519">
        <v>381.34055000000001</v>
      </c>
      <c r="AF9519">
        <v>-12.4011955228113</v>
      </c>
      <c r="AG9519">
        <v>0.92689900000000003</v>
      </c>
      <c r="AH9519">
        <v>381.13692194647302</v>
      </c>
      <c r="AI9519">
        <v>89.860734545633704</v>
      </c>
      <c r="AJ9519">
        <v>91.863596883290896</v>
      </c>
      <c r="AK9519">
        <v>381.33974624078098</v>
      </c>
      <c r="AL9519">
        <v>92.691414906413499</v>
      </c>
      <c r="AM9519">
        <v>92.250209494278707</v>
      </c>
      <c r="AN9519">
        <v>1.0000000346956399</v>
      </c>
    </row>
    <row r="9520" spans="1:40" x14ac:dyDescent="0.25">
      <c r="A9520" t="str">
        <f>"20190303154025707"</f>
        <v>20190303154025707</v>
      </c>
      <c r="B9520" t="str">
        <f>"1551598825697405"</f>
        <v>1551598825697405</v>
      </c>
      <c r="C9520" t="s">
        <v>40</v>
      </c>
      <c r="D9520">
        <v>4.1945790000000001</v>
      </c>
      <c r="E9520">
        <v>0.50239250000000002</v>
      </c>
      <c r="F9520" t="s">
        <v>92</v>
      </c>
      <c r="G9520">
        <v>-188.214</v>
      </c>
      <c r="H9520">
        <v>1.6069789999999999</v>
      </c>
      <c r="I9520">
        <v>391.87</v>
      </c>
      <c r="J9520">
        <v>-187.4716</v>
      </c>
      <c r="K9520">
        <v>1.1208670000000001</v>
      </c>
      <c r="L9520">
        <v>10.81439</v>
      </c>
      <c r="M9520">
        <v>3.079993E-2</v>
      </c>
      <c r="N9520">
        <v>-7.5617059999999996E-3</v>
      </c>
      <c r="O9520">
        <v>0.99949690000000002</v>
      </c>
      <c r="P9520">
        <v>-8.3339569999999995E-3</v>
      </c>
      <c r="Q9520">
        <v>-5.4666590000000001E-2</v>
      </c>
      <c r="R9520">
        <v>0.99846990000000002</v>
      </c>
      <c r="S9520">
        <v>-5.7830809999999998E-3</v>
      </c>
      <c r="T9520">
        <v>3.8311479999999999E-3</v>
      </c>
      <c r="U9520">
        <v>3.004578</v>
      </c>
      <c r="V9520">
        <v>-3.9050840000000003E-2</v>
      </c>
      <c r="W9520">
        <v>-4.7147710000000002E-2</v>
      </c>
      <c r="X9520">
        <v>0.99812429999999996</v>
      </c>
      <c r="Y9520">
        <v>-3.2723750000000003E-2</v>
      </c>
      <c r="Z9520">
        <v>8.8357419999999902E-3</v>
      </c>
      <c r="AA9520">
        <v>0.99942540000000002</v>
      </c>
      <c r="AB9520">
        <v>27</v>
      </c>
      <c r="AC9520">
        <v>-0.74240000000003104</v>
      </c>
      <c r="AD9520">
        <v>0.48611199999999999</v>
      </c>
      <c r="AE9520">
        <v>381.05561</v>
      </c>
      <c r="AF9520">
        <v>-12.4788498992384</v>
      </c>
      <c r="AG9520">
        <v>0.48611199999999999</v>
      </c>
      <c r="AH9520">
        <v>380.85132895504597</v>
      </c>
      <c r="AI9520">
        <v>89.926907929978199</v>
      </c>
      <c r="AJ9520">
        <v>91.876663348279905</v>
      </c>
      <c r="AK9520">
        <v>381.05602313374999</v>
      </c>
      <c r="AL9520">
        <v>92.702366622324604</v>
      </c>
      <c r="AM9520">
        <v>92.240510266449306</v>
      </c>
      <c r="AN9520">
        <v>0.999999996456719</v>
      </c>
    </row>
    <row r="9521" spans="1:40" x14ac:dyDescent="0.25">
      <c r="A9521" t="str">
        <f>"20190303154025728"</f>
        <v>20190303154025728</v>
      </c>
      <c r="B9521" t="str">
        <f>"1551598825717901"</f>
        <v>1551598825717901</v>
      </c>
      <c r="C9521" t="s">
        <v>40</v>
      </c>
      <c r="D9521">
        <v>4.2442099999999998</v>
      </c>
      <c r="E9521">
        <v>0.50229780000000002</v>
      </c>
      <c r="F9521" t="s">
        <v>92</v>
      </c>
      <c r="G9521">
        <v>-188.18960000000001</v>
      </c>
      <c r="H9521">
        <v>1.4308510000000001</v>
      </c>
      <c r="I9521">
        <v>391.87</v>
      </c>
      <c r="J9521">
        <v>-187.4639</v>
      </c>
      <c r="K9521">
        <v>1.120984</v>
      </c>
      <c r="L9521">
        <v>11.076599999999999</v>
      </c>
      <c r="M9521">
        <v>3.040878E-2</v>
      </c>
      <c r="N9521">
        <v>-8.3855739999999998E-3</v>
      </c>
      <c r="O9521">
        <v>0.99950240000000001</v>
      </c>
      <c r="P9521">
        <v>-8.2640739999999997E-3</v>
      </c>
      <c r="Q9521">
        <v>-5.5645930000000003E-2</v>
      </c>
      <c r="R9521">
        <v>0.99841639999999998</v>
      </c>
      <c r="S9521">
        <v>-5.6610109999999996E-3</v>
      </c>
      <c r="T9521">
        <v>2.444267E-3</v>
      </c>
      <c r="U9521">
        <v>3.0047000000000001</v>
      </c>
      <c r="V9521">
        <v>-3.8589850000000002E-2</v>
      </c>
      <c r="W9521">
        <v>-4.7304159999999998E-2</v>
      </c>
      <c r="X9521">
        <v>0.99813490000000005</v>
      </c>
      <c r="Y9521">
        <v>-3.2291859999999999E-2</v>
      </c>
      <c r="Z9521">
        <v>9.1984860000000005E-3</v>
      </c>
      <c r="AA9521">
        <v>0.99943610000000005</v>
      </c>
      <c r="AB9521">
        <v>27</v>
      </c>
      <c r="AC9521">
        <v>-0.725700000000017</v>
      </c>
      <c r="AD9521">
        <v>0.309867</v>
      </c>
      <c r="AE9521">
        <v>380.79340000000002</v>
      </c>
      <c r="AF9521">
        <v>-12.3052257507553</v>
      </c>
      <c r="AG9521">
        <v>0.309867</v>
      </c>
      <c r="AH9521">
        <v>380.59496779167699</v>
      </c>
      <c r="AI9521">
        <v>89.953376169578206</v>
      </c>
      <c r="AJ9521">
        <v>91.851816365562598</v>
      </c>
      <c r="AK9521">
        <v>380.79396542839601</v>
      </c>
      <c r="AL9521">
        <v>92.711340362141996</v>
      </c>
      <c r="AM9521">
        <v>92.214064329112503</v>
      </c>
      <c r="AN9521">
        <v>1.00000006933716</v>
      </c>
    </row>
    <row r="9522" spans="1:40" x14ac:dyDescent="0.25">
      <c r="A9522" t="str">
        <f>"20190303154025743"</f>
        <v>20190303154025743</v>
      </c>
      <c r="B9522" t="str">
        <f>"1551598825737421"</f>
        <v>1551598825737421</v>
      </c>
      <c r="C9522" t="s">
        <v>40</v>
      </c>
      <c r="D9522">
        <v>4.2455299999999996</v>
      </c>
      <c r="E9522">
        <v>0.50233969999999994</v>
      </c>
      <c r="F9522" t="s">
        <v>92</v>
      </c>
      <c r="G9522">
        <v>-188.24529999999999</v>
      </c>
      <c r="H9522">
        <v>0.90235520000000002</v>
      </c>
      <c r="I9522">
        <v>391.87</v>
      </c>
      <c r="J9522">
        <v>-187.45869999999999</v>
      </c>
      <c r="K9522">
        <v>1.121046</v>
      </c>
      <c r="L9522">
        <v>11.258850000000001</v>
      </c>
      <c r="M9522">
        <v>3.0137130000000002E-2</v>
      </c>
      <c r="N9522">
        <v>-8.9266369999999994E-3</v>
      </c>
      <c r="O9522">
        <v>0.99950589999999995</v>
      </c>
      <c r="P9522">
        <v>-8.3496379999999995E-3</v>
      </c>
      <c r="Q9522">
        <v>-5.6627749999999998E-2</v>
      </c>
      <c r="R9522">
        <v>0.99836049999999998</v>
      </c>
      <c r="S9522">
        <v>-6.1645509999999999E-3</v>
      </c>
      <c r="T9522">
        <v>-1.7250779999999999E-3</v>
      </c>
      <c r="U9522">
        <v>3.0046080000000002</v>
      </c>
      <c r="V9522">
        <v>-3.8402470000000001E-2</v>
      </c>
      <c r="W9522">
        <v>-4.7745990000000002E-2</v>
      </c>
      <c r="X9522">
        <v>0.99812100000000004</v>
      </c>
      <c r="Y9522">
        <v>-3.2187599999999997E-2</v>
      </c>
      <c r="Z9522">
        <v>8.3533319999999998E-3</v>
      </c>
      <c r="AA9522">
        <v>0.99944690000000003</v>
      </c>
      <c r="AB9522">
        <v>27</v>
      </c>
      <c r="AC9522">
        <v>-0.78659999999999197</v>
      </c>
      <c r="AD9522">
        <v>-0.21869079999999999</v>
      </c>
      <c r="AE9522">
        <v>380.61115000000001</v>
      </c>
      <c r="AF9522">
        <v>-12.257223518366001</v>
      </c>
      <c r="AG9522">
        <v>-0.21869079999999999</v>
      </c>
      <c r="AH9522">
        <v>380.41442015809298</v>
      </c>
      <c r="AI9522">
        <v>90.032920832343706</v>
      </c>
      <c r="AJ9522">
        <v>91.845472353464899</v>
      </c>
      <c r="AK9522">
        <v>380.61189999560401</v>
      </c>
      <c r="AL9522">
        <v>92.736684236813304</v>
      </c>
      <c r="AM9522">
        <v>92.203354814289597</v>
      </c>
      <c r="AN9522">
        <v>0.99999997995209</v>
      </c>
    </row>
    <row r="9523" spans="1:40" x14ac:dyDescent="0.25">
      <c r="A9523" t="str">
        <f>"20190303154025762"</f>
        <v>20190303154025762</v>
      </c>
      <c r="B9523" t="str">
        <f>"1551598825757917"</f>
        <v>1551598825757917</v>
      </c>
      <c r="C9523" t="s">
        <v>40</v>
      </c>
      <c r="D9523">
        <v>4.2869479999999998</v>
      </c>
      <c r="E9523">
        <v>0.50221000000000005</v>
      </c>
      <c r="F9523" t="s">
        <v>92</v>
      </c>
      <c r="G9523">
        <v>-188.2473</v>
      </c>
      <c r="H9523">
        <v>0.72547530000000005</v>
      </c>
      <c r="I9523">
        <v>391.87</v>
      </c>
      <c r="J9523">
        <v>-187.45249999999999</v>
      </c>
      <c r="K9523">
        <v>1.1211009999999999</v>
      </c>
      <c r="L9523">
        <v>11.4787</v>
      </c>
      <c r="M9523">
        <v>2.9811529999999999E-2</v>
      </c>
      <c r="N9523">
        <v>-9.5441129999999999E-3</v>
      </c>
      <c r="O9523">
        <v>0.99951000000000001</v>
      </c>
      <c r="P9523">
        <v>-8.9266640000000008E-3</v>
      </c>
      <c r="Q9523">
        <v>-5.7306429999999998E-2</v>
      </c>
      <c r="R9523">
        <v>0.99831669999999995</v>
      </c>
      <c r="S9523">
        <v>-6.225586E-3</v>
      </c>
      <c r="T9523">
        <v>-3.122807E-3</v>
      </c>
      <c r="U9523">
        <v>3.0047000000000001</v>
      </c>
      <c r="V9523">
        <v>-3.8653170000000001E-2</v>
      </c>
      <c r="W9523">
        <v>-4.7808829999999997E-2</v>
      </c>
      <c r="X9523">
        <v>0.99810829999999995</v>
      </c>
      <c r="Y9523">
        <v>-3.188216E-2</v>
      </c>
      <c r="Z9523">
        <v>8.5061019999999998E-3</v>
      </c>
      <c r="AA9523">
        <v>0.99945550000000005</v>
      </c>
      <c r="AB9523">
        <v>27</v>
      </c>
      <c r="AC9523">
        <v>-0.79480000000000905</v>
      </c>
      <c r="AD9523">
        <v>-0.39562570000000002</v>
      </c>
      <c r="AE9523">
        <v>380.3913</v>
      </c>
      <c r="AF9523">
        <v>-12.134996426469201</v>
      </c>
      <c r="AG9523">
        <v>-0.39562570000000002</v>
      </c>
      <c r="AH9523">
        <v>380.198108419253</v>
      </c>
      <c r="AI9523">
        <v>90.059590347474199</v>
      </c>
      <c r="AJ9523">
        <v>91.828120934967501</v>
      </c>
      <c r="AK9523">
        <v>380.39192460348499</v>
      </c>
      <c r="AL9523">
        <v>92.740288860662901</v>
      </c>
      <c r="AM9523">
        <v>92.217752686667197</v>
      </c>
      <c r="AN9523">
        <v>0.99999996515295297</v>
      </c>
    </row>
    <row r="9524" spans="1:40" x14ac:dyDescent="0.25">
      <c r="A9524" t="str">
        <f>"20190303154025786"</f>
        <v>20190303154025786</v>
      </c>
      <c r="B9524" t="str">
        <f>"1551598825777437"</f>
        <v>1551598825777437</v>
      </c>
      <c r="C9524" t="s">
        <v>40</v>
      </c>
      <c r="D9524">
        <v>4.2590459999999997</v>
      </c>
      <c r="E9524">
        <v>0.50200389999999995</v>
      </c>
      <c r="F9524" t="s">
        <v>92</v>
      </c>
      <c r="G9524">
        <v>-188.59219999999999</v>
      </c>
      <c r="H9524">
        <v>0.41633989999999998</v>
      </c>
      <c r="I9524">
        <v>391.87</v>
      </c>
      <c r="J9524">
        <v>-187.44450000000001</v>
      </c>
      <c r="K9524">
        <v>1.121165</v>
      </c>
      <c r="L9524">
        <v>11.7601</v>
      </c>
      <c r="M9524">
        <v>2.9398850000000001E-2</v>
      </c>
      <c r="N9524">
        <v>-1.027029E-2</v>
      </c>
      <c r="O9524">
        <v>0.99951500000000004</v>
      </c>
      <c r="P9524">
        <v>-1.0170159999999999E-2</v>
      </c>
      <c r="Q9524">
        <v>-5.8850720000000002E-2</v>
      </c>
      <c r="R9524">
        <v>0.99821499999999996</v>
      </c>
      <c r="S9524">
        <v>-9.0026859999999993E-3</v>
      </c>
      <c r="T9524">
        <v>-5.566835E-3</v>
      </c>
      <c r="U9524">
        <v>3.0046689999999998</v>
      </c>
      <c r="V9524">
        <v>-3.9480670000000002E-2</v>
      </c>
      <c r="W9524">
        <v>-4.8630039999999999E-2</v>
      </c>
      <c r="X9524">
        <v>0.99803629999999999</v>
      </c>
      <c r="Y9524">
        <v>-3.2393070000000003E-2</v>
      </c>
      <c r="Z9524">
        <v>8.4197869999999998E-3</v>
      </c>
      <c r="AA9524">
        <v>0.99943970000000004</v>
      </c>
      <c r="AB9524">
        <v>27</v>
      </c>
      <c r="AC9524">
        <v>-1.14769999999998</v>
      </c>
      <c r="AD9524">
        <v>-0.70482509999999898</v>
      </c>
      <c r="AE9524">
        <v>380.10989999999998</v>
      </c>
      <c r="AF9524">
        <v>-12.3225447943558</v>
      </c>
      <c r="AG9524">
        <v>-0.70482509999999898</v>
      </c>
      <c r="AH9524">
        <v>379.91053503604201</v>
      </c>
      <c r="AI9524">
        <v>90.106241410732096</v>
      </c>
      <c r="AJ9524">
        <v>91.857759411156906</v>
      </c>
      <c r="AK9524">
        <v>380.11097921528398</v>
      </c>
      <c r="AL9524">
        <v>92.787395345595002</v>
      </c>
      <c r="AM9524">
        <v>92.265345382405201</v>
      </c>
      <c r="AN9524">
        <v>1.00000003010586</v>
      </c>
    </row>
    <row r="9525" spans="1:40" x14ac:dyDescent="0.25">
      <c r="A9525" t="str">
        <f>"20190303154025807"</f>
        <v>20190303154025807</v>
      </c>
      <c r="B9525" t="str">
        <f>"1551598825797933"</f>
        <v>1551598825797933</v>
      </c>
      <c r="C9525" t="s">
        <v>40</v>
      </c>
      <c r="D9525">
        <v>4.2408409999999996</v>
      </c>
      <c r="E9525">
        <v>0.50191560000000002</v>
      </c>
      <c r="F9525" t="s">
        <v>42</v>
      </c>
      <c r="G9525">
        <v>-188.9554</v>
      </c>
      <c r="H9525" s="1">
        <v>-3.0270360000000001E-6</v>
      </c>
      <c r="I9525">
        <v>326.25700000000001</v>
      </c>
      <c r="J9525">
        <v>-187.43729999999999</v>
      </c>
      <c r="K9525">
        <v>1.1212040000000001</v>
      </c>
      <c r="L9525">
        <v>12.02087</v>
      </c>
      <c r="M9525">
        <v>2.9018349999999998E-2</v>
      </c>
      <c r="N9525">
        <v>-1.0873499999999999E-2</v>
      </c>
      <c r="O9525">
        <v>0.99951979999999996</v>
      </c>
      <c r="P9525">
        <v>-1.0982759999999999E-2</v>
      </c>
      <c r="Q9525">
        <v>-6.0008260000000001E-2</v>
      </c>
      <c r="R9525">
        <v>0.99813750000000001</v>
      </c>
      <c r="S9525">
        <v>-1.4434809999999999E-2</v>
      </c>
      <c r="T9525">
        <v>-1.0711190000000001E-2</v>
      </c>
      <c r="U9525">
        <v>3.004578</v>
      </c>
      <c r="V9525">
        <v>-3.991074E-2</v>
      </c>
      <c r="W9525">
        <v>-4.9186680000000003E-2</v>
      </c>
      <c r="X9525">
        <v>0.99799190000000004</v>
      </c>
      <c r="Y9525">
        <v>-3.3819139999999998E-2</v>
      </c>
      <c r="Z9525">
        <v>7.3127599999999997E-3</v>
      </c>
      <c r="AA9525">
        <v>0.99940119999999999</v>
      </c>
      <c r="AB9525">
        <v>27</v>
      </c>
      <c r="AC9525">
        <v>-1.5181</v>
      </c>
      <c r="AD9525">
        <v>-1.1212070270359999</v>
      </c>
      <c r="AE9525">
        <v>314.23613</v>
      </c>
      <c r="AF9525">
        <v>-10.636477738432299</v>
      </c>
      <c r="AG9525">
        <v>-1.1212070270359999</v>
      </c>
      <c r="AH9525">
        <v>314.055729455652</v>
      </c>
      <c r="AI9525">
        <v>90.204432972608004</v>
      </c>
      <c r="AJ9525">
        <v>91.939759006772107</v>
      </c>
      <c r="AK9525">
        <v>314.23779684786399</v>
      </c>
      <c r="AL9525">
        <v>92.819326724801698</v>
      </c>
      <c r="AM9525">
        <v>92.290097836692695</v>
      </c>
      <c r="AN9525">
        <v>1.00000001456119</v>
      </c>
    </row>
    <row r="9526" spans="1:40" x14ac:dyDescent="0.25">
      <c r="A9526" t="str">
        <f>"20190303154025831"</f>
        <v>20190303154025831</v>
      </c>
      <c r="B9526" t="str">
        <f>"1551598825827213"</f>
        <v>1551598825827213</v>
      </c>
      <c r="C9526" t="s">
        <v>40</v>
      </c>
      <c r="D9526">
        <v>4.2856620000000003</v>
      </c>
      <c r="E9526">
        <v>0.50203750000000003</v>
      </c>
      <c r="F9526" t="s">
        <v>51</v>
      </c>
      <c r="G9526">
        <v>-188.94</v>
      </c>
      <c r="H9526" s="1">
        <v>6.8572579999999997E-6</v>
      </c>
      <c r="I9526">
        <v>272.05270000000002</v>
      </c>
      <c r="J9526">
        <v>-187.4298</v>
      </c>
      <c r="K9526">
        <v>1.1212249999999999</v>
      </c>
      <c r="L9526">
        <v>12.295959999999999</v>
      </c>
      <c r="M9526">
        <v>2.8615450000000001E-2</v>
      </c>
      <c r="N9526">
        <v>-1.143797E-2</v>
      </c>
      <c r="O9526">
        <v>0.99952510000000006</v>
      </c>
      <c r="P9526">
        <v>-1.146728E-2</v>
      </c>
      <c r="Q9526">
        <v>-6.1463480000000001E-2</v>
      </c>
      <c r="R9526">
        <v>0.99804349999999997</v>
      </c>
      <c r="S9526">
        <v>-1.7364500000000001E-2</v>
      </c>
      <c r="T9526">
        <v>-1.2955309999999999E-2</v>
      </c>
      <c r="U9526">
        <v>3.0046390000000001</v>
      </c>
      <c r="V9526">
        <v>-3.9989860000000002E-2</v>
      </c>
      <c r="W9526">
        <v>-5.0079390000000001E-2</v>
      </c>
      <c r="X9526">
        <v>0.99794430000000001</v>
      </c>
      <c r="Y9526">
        <v>-3.4390379999999998E-2</v>
      </c>
      <c r="Z9526">
        <v>7.1313239999999996E-3</v>
      </c>
      <c r="AA9526">
        <v>0.99938300000000002</v>
      </c>
      <c r="AB9526">
        <v>27</v>
      </c>
      <c r="AC9526">
        <v>-1.51019999999999</v>
      </c>
      <c r="AD9526">
        <v>-1.1212181427419901</v>
      </c>
      <c r="AE9526">
        <v>259.75673999999998</v>
      </c>
      <c r="AF9526">
        <v>-8.9429567856248102</v>
      </c>
      <c r="AG9526">
        <v>-1.1212181427419901</v>
      </c>
      <c r="AH9526">
        <v>259.602299707481</v>
      </c>
      <c r="AI9526">
        <v>90.247311310102504</v>
      </c>
      <c r="AJ9526">
        <v>91.972983818379802</v>
      </c>
      <c r="AK9526">
        <v>259.75871038255099</v>
      </c>
      <c r="AL9526">
        <v>92.870538457478006</v>
      </c>
      <c r="AM9526">
        <v>92.294742265514898</v>
      </c>
      <c r="AN9526">
        <v>0.99999998005404001</v>
      </c>
    </row>
    <row r="9527" spans="1:40" x14ac:dyDescent="0.25">
      <c r="A9527" t="str">
        <f>"20190303154025853"</f>
        <v>20190303154025853</v>
      </c>
      <c r="B9527" t="str">
        <f>"1551598825847709"</f>
        <v>1551598825847709</v>
      </c>
      <c r="C9527" t="s">
        <v>40</v>
      </c>
      <c r="D9527">
        <v>4.3345710000000004</v>
      </c>
      <c r="E9527">
        <v>0.50210650000000001</v>
      </c>
      <c r="F9527" t="s">
        <v>51</v>
      </c>
      <c r="G9527">
        <v>-188.66589999999999</v>
      </c>
      <c r="H9527" s="1">
        <v>2.594465E-6</v>
      </c>
      <c r="I9527">
        <v>221.9528</v>
      </c>
      <c r="J9527">
        <v>-187.42230000000001</v>
      </c>
      <c r="K9527">
        <v>1.1212420000000001</v>
      </c>
      <c r="L9527">
        <v>12.5723</v>
      </c>
      <c r="M9527">
        <v>2.8206120000000001E-2</v>
      </c>
      <c r="N9527">
        <v>-1.193085E-2</v>
      </c>
      <c r="O9527">
        <v>0.9995309</v>
      </c>
      <c r="P9527">
        <v>-1.164805E-2</v>
      </c>
      <c r="Q9527">
        <v>-6.2440509999999998E-2</v>
      </c>
      <c r="R9527">
        <v>0.99798070000000005</v>
      </c>
      <c r="S9527">
        <v>-1.7715450000000001E-2</v>
      </c>
      <c r="T9527">
        <v>-1.6068820000000001E-2</v>
      </c>
      <c r="U9527">
        <v>3.0047000000000001</v>
      </c>
      <c r="V9527">
        <v>-3.9760950000000003E-2</v>
      </c>
      <c r="W9527">
        <v>-5.0564699999999997E-2</v>
      </c>
      <c r="X9527">
        <v>0.99792899999999995</v>
      </c>
      <c r="Y9527">
        <v>-3.4097460000000003E-2</v>
      </c>
      <c r="Z9527">
        <v>6.5890260000000004E-3</v>
      </c>
      <c r="AA9527">
        <v>0.99939679999999997</v>
      </c>
      <c r="AB9527">
        <v>27</v>
      </c>
      <c r="AC9527">
        <v>-1.2435999999999801</v>
      </c>
      <c r="AD9527">
        <v>-1.1212394055349999</v>
      </c>
      <c r="AE9527">
        <v>209.38050000000001</v>
      </c>
      <c r="AF9527">
        <v>-7.1491321640664696</v>
      </c>
      <c r="AG9527">
        <v>-1.1212394055349999</v>
      </c>
      <c r="AH9527">
        <v>209.256101423704</v>
      </c>
      <c r="AI9527">
        <v>90.306821221223103</v>
      </c>
      <c r="AJ9527">
        <v>91.956721163476203</v>
      </c>
      <c r="AK9527">
        <v>209.38119125545001</v>
      </c>
      <c r="AL9527">
        <v>92.898379873107402</v>
      </c>
      <c r="AM9527">
        <v>92.281655565812301</v>
      </c>
      <c r="AN9527">
        <v>1.0000000055359901</v>
      </c>
    </row>
    <row r="9528" spans="1:40" x14ac:dyDescent="0.25">
      <c r="A9528" t="str">
        <f>"20190303154025875"</f>
        <v>20190303154025875</v>
      </c>
      <c r="B9528" t="str">
        <f>"1551598825867229"</f>
        <v>1551598825867229</v>
      </c>
      <c r="C9528" t="s">
        <v>40</v>
      </c>
      <c r="D9528">
        <v>4.2922890000000002</v>
      </c>
      <c r="E9528">
        <v>0.46618140000000002</v>
      </c>
      <c r="F9528" t="s">
        <v>42</v>
      </c>
      <c r="G9528">
        <v>-188.47239999999999</v>
      </c>
      <c r="H9528" s="1">
        <v>-4.2203710000000001E-6</v>
      </c>
      <c r="I9528">
        <v>188.8389</v>
      </c>
      <c r="J9528">
        <v>-187.41569999999999</v>
      </c>
      <c r="K9528">
        <v>1.1212500000000001</v>
      </c>
      <c r="L9528">
        <v>12.82254</v>
      </c>
      <c r="M9528">
        <v>2.7832300000000001E-2</v>
      </c>
      <c r="N9528">
        <v>-1.232401E-2</v>
      </c>
      <c r="O9528">
        <v>0.9995366</v>
      </c>
      <c r="P9528">
        <v>-1.182165E-2</v>
      </c>
      <c r="Q9528">
        <v>-6.3558710000000004E-2</v>
      </c>
      <c r="R9528">
        <v>0.99790809999999996</v>
      </c>
      <c r="S9528">
        <v>-1.7898560000000001E-2</v>
      </c>
      <c r="T9528">
        <v>-1.9112939999999998E-2</v>
      </c>
      <c r="U9528">
        <v>3.0046689999999998</v>
      </c>
      <c r="V9528">
        <v>-3.9559150000000001E-2</v>
      </c>
      <c r="W9528">
        <v>-5.1290929999999998E-2</v>
      </c>
      <c r="X9528">
        <v>0.99789989999999995</v>
      </c>
      <c r="Y9528">
        <v>-3.3784429999999997E-2</v>
      </c>
      <c r="Z9528">
        <v>5.969879E-3</v>
      </c>
      <c r="AA9528">
        <v>0.9994113</v>
      </c>
      <c r="AB9528">
        <v>27</v>
      </c>
      <c r="AC9528">
        <v>-1.0567</v>
      </c>
      <c r="AD9528">
        <v>-1.1212542203710001</v>
      </c>
      <c r="AE9528">
        <v>176.01635999999999</v>
      </c>
      <c r="AF9528">
        <v>-5.95536129649496</v>
      </c>
      <c r="AG9528">
        <v>-1.1212542203710001</v>
      </c>
      <c r="AH9528">
        <v>175.911611343168</v>
      </c>
      <c r="AI9528">
        <v>90.364987179019195</v>
      </c>
      <c r="AJ9528">
        <v>91.938966944959205</v>
      </c>
      <c r="AK9528">
        <v>176.01596105054901</v>
      </c>
      <c r="AL9528">
        <v>92.940044022478801</v>
      </c>
      <c r="AM9528">
        <v>92.270153682818105</v>
      </c>
      <c r="AN9528">
        <v>0.999999948134497</v>
      </c>
    </row>
    <row r="9529" spans="1:40" x14ac:dyDescent="0.25">
      <c r="A9529" t="str">
        <f>"20190303154025896"</f>
        <v>20190303154025896</v>
      </c>
      <c r="B9529" t="str">
        <f>"1551598825887726"</f>
        <v>1551598825887726</v>
      </c>
      <c r="C9529" t="s">
        <v>40</v>
      </c>
      <c r="D9529">
        <v>4.3294949999999996</v>
      </c>
      <c r="E9529">
        <v>0.4523489</v>
      </c>
      <c r="F9529" t="s">
        <v>42</v>
      </c>
      <c r="G9529">
        <v>-190.7079</v>
      </c>
      <c r="H9529" s="1">
        <v>-2.570632E-6</v>
      </c>
      <c r="I9529">
        <v>45.14226</v>
      </c>
      <c r="J9529">
        <v>-187.40880000000001</v>
      </c>
      <c r="K9529">
        <v>1.121259</v>
      </c>
      <c r="L9529">
        <v>13.08685</v>
      </c>
      <c r="M9529">
        <v>2.74335E-2</v>
      </c>
      <c r="N9529">
        <v>-1.2687510000000001E-2</v>
      </c>
      <c r="O9529">
        <v>0.99954310000000002</v>
      </c>
      <c r="P9529">
        <v>-1.1781059999999999E-2</v>
      </c>
      <c r="Q9529">
        <v>-6.4306740000000001E-2</v>
      </c>
      <c r="R9529">
        <v>0.99786059999999999</v>
      </c>
      <c r="S9529">
        <v>-0.30519099999999999</v>
      </c>
      <c r="T9529">
        <v>-0.10394100000000001</v>
      </c>
      <c r="U9529">
        <v>2.9960629999999999</v>
      </c>
      <c r="V9529">
        <v>-3.9119170000000002E-2</v>
      </c>
      <c r="W9529">
        <v>-5.167621E-2</v>
      </c>
      <c r="X9529">
        <v>0.99789740000000005</v>
      </c>
      <c r="Y9529">
        <v>-0.1285336</v>
      </c>
      <c r="Z9529">
        <v>-2.1718950000000001E-2</v>
      </c>
      <c r="AA9529">
        <v>0.99146730000000005</v>
      </c>
      <c r="AB9529">
        <v>27</v>
      </c>
      <c r="AC9529">
        <v>-3.2990999999999802</v>
      </c>
      <c r="AD9529">
        <v>-1.1212615706319999</v>
      </c>
      <c r="AE9529">
        <v>32.055409999999902</v>
      </c>
      <c r="AF9529">
        <v>-4.17226965574344</v>
      </c>
      <c r="AG9529">
        <v>-1.1212615706319999</v>
      </c>
      <c r="AH9529">
        <v>31.9141918428225</v>
      </c>
      <c r="AI9529">
        <v>91.995216989270503</v>
      </c>
      <c r="AJ9529">
        <v>97.4482638930657</v>
      </c>
      <c r="AK9529">
        <v>32.205289978053202</v>
      </c>
      <c r="AL9529">
        <v>92.962148159350406</v>
      </c>
      <c r="AM9529">
        <v>92.244936450305104</v>
      </c>
      <c r="AN9529">
        <v>0.99999998053410599</v>
      </c>
    </row>
    <row r="9530" spans="1:40" x14ac:dyDescent="0.25">
      <c r="A9530" t="str">
        <f>"20190303154025918"</f>
        <v>20190303154025918</v>
      </c>
      <c r="B9530" t="str">
        <f>"1551598825907248"</f>
        <v>1551598825907248</v>
      </c>
      <c r="C9530" t="s">
        <v>40</v>
      </c>
      <c r="D9530">
        <v>4.3546630000000004</v>
      </c>
      <c r="E9530">
        <v>0.44649240000000001</v>
      </c>
      <c r="F9530" t="s">
        <v>42</v>
      </c>
      <c r="G9530">
        <v>-190.87469999999999</v>
      </c>
      <c r="H9530" s="1">
        <v>-3.8663539999999999E-6</v>
      </c>
      <c r="I9530">
        <v>38.059179999999998</v>
      </c>
      <c r="J9530">
        <v>-187.40190000000001</v>
      </c>
      <c r="K9530">
        <v>1.12127</v>
      </c>
      <c r="L9530">
        <v>13.35327</v>
      </c>
      <c r="M9530">
        <v>2.7023720000000001E-2</v>
      </c>
      <c r="N9530">
        <v>-1.3006459999999999E-2</v>
      </c>
      <c r="O9530">
        <v>0.99955020000000006</v>
      </c>
      <c r="P9530">
        <v>-1.230939E-2</v>
      </c>
      <c r="Q9530">
        <v>-6.4699519999999996E-2</v>
      </c>
      <c r="R9530">
        <v>0.99782879999999996</v>
      </c>
      <c r="S9530">
        <v>-0.41537479999999899</v>
      </c>
      <c r="T9530">
        <v>-0.13438</v>
      </c>
      <c r="U9530">
        <v>2.9928590000000002</v>
      </c>
      <c r="V9530">
        <v>-3.9237029999999999E-2</v>
      </c>
      <c r="W9530">
        <v>-5.1751419999999999E-2</v>
      </c>
      <c r="X9530">
        <v>0.99788889999999997</v>
      </c>
      <c r="Y9530">
        <v>-0.1640616</v>
      </c>
      <c r="Z9530">
        <v>-3.1293080000000001E-2</v>
      </c>
      <c r="AA9530">
        <v>0.98595359999999999</v>
      </c>
      <c r="AB9530">
        <v>27</v>
      </c>
      <c r="AC9530">
        <v>-3.4727999999999701</v>
      </c>
      <c r="AD9530">
        <v>-1.1212738663540001</v>
      </c>
      <c r="AE9530">
        <v>24.705909999999999</v>
      </c>
      <c r="AF9530">
        <v>-4.1308896726529198</v>
      </c>
      <c r="AG9530">
        <v>-1.1212738663540001</v>
      </c>
      <c r="AH9530">
        <v>24.5534349356288</v>
      </c>
      <c r="AI9530">
        <v>92.578503807387506</v>
      </c>
      <c r="AJ9530">
        <v>99.550053650638802</v>
      </c>
      <c r="AK9530">
        <v>24.923737113626402</v>
      </c>
      <c r="AL9530">
        <v>92.966463074965304</v>
      </c>
      <c r="AM9530">
        <v>92.251712304775197</v>
      </c>
      <c r="AN9530">
        <v>1.00000000536922</v>
      </c>
    </row>
    <row r="9531" spans="1:40" x14ac:dyDescent="0.25">
      <c r="A9531" t="str">
        <f>"20190303154025934"</f>
        <v>20190303154025934</v>
      </c>
      <c r="B9531" t="str">
        <f>"1551598825927742"</f>
        <v>1551598825927742</v>
      </c>
      <c r="C9531" t="s">
        <v>40</v>
      </c>
      <c r="D9531">
        <v>4.3315830000000002</v>
      </c>
      <c r="E9531">
        <v>0.44296750000000001</v>
      </c>
      <c r="F9531" t="s">
        <v>42</v>
      </c>
      <c r="G9531">
        <v>-190.9631</v>
      </c>
      <c r="H9531" s="1">
        <v>-3.1473739999999998E-6</v>
      </c>
      <c r="I9531">
        <v>36.328389999999999</v>
      </c>
      <c r="J9531">
        <v>-187.3973</v>
      </c>
      <c r="K9531">
        <v>1.1212759999999999</v>
      </c>
      <c r="L9531">
        <v>13.53632</v>
      </c>
      <c r="M9531">
        <v>2.6734890000000001E-2</v>
      </c>
      <c r="N9531">
        <v>-1.320169E-2</v>
      </c>
      <c r="O9531">
        <v>0.99955539999999998</v>
      </c>
      <c r="P9531">
        <v>-1.2763439999999999E-2</v>
      </c>
      <c r="Q9531">
        <v>-6.5005569999999999E-2</v>
      </c>
      <c r="R9531">
        <v>0.99780329999999995</v>
      </c>
      <c r="S9531">
        <v>-0.4636536</v>
      </c>
      <c r="T9531">
        <v>-0.14598829999999999</v>
      </c>
      <c r="U9531">
        <v>2.991333</v>
      </c>
      <c r="V9531">
        <v>-3.9401430000000001E-2</v>
      </c>
      <c r="W9531">
        <v>-5.186354E-2</v>
      </c>
      <c r="X9531">
        <v>0.9978766</v>
      </c>
      <c r="Y9531">
        <v>-0.17937139999999999</v>
      </c>
      <c r="Z9531">
        <v>-3.4820650000000002E-2</v>
      </c>
      <c r="AA9531">
        <v>0.98316499999999996</v>
      </c>
      <c r="AB9531">
        <v>27</v>
      </c>
      <c r="AC9531">
        <v>-3.5657999999999901</v>
      </c>
      <c r="AD9531">
        <v>-1.121279147374</v>
      </c>
      <c r="AE9531">
        <v>22.792069999999899</v>
      </c>
      <c r="AF9531">
        <v>-4.1640844572329501</v>
      </c>
      <c r="AG9531">
        <v>-1.121279147374</v>
      </c>
      <c r="AH9531">
        <v>22.635108436158699</v>
      </c>
      <c r="AI9531">
        <v>92.789222496332897</v>
      </c>
      <c r="AJ9531">
        <v>100.423909802663</v>
      </c>
      <c r="AK9531">
        <v>23.042243818907199</v>
      </c>
      <c r="AL9531">
        <v>92.972895719821594</v>
      </c>
      <c r="AM9531">
        <v>92.261164868210699</v>
      </c>
      <c r="AN9531">
        <v>1.0000000041474599</v>
      </c>
    </row>
    <row r="9532" spans="1:40" x14ac:dyDescent="0.25">
      <c r="A9532" t="str">
        <f>"20190303154025953"</f>
        <v>20190303154025953</v>
      </c>
      <c r="B9532" t="str">
        <f>"1551598825947261"</f>
        <v>1551598825947261</v>
      </c>
      <c r="C9532" t="s">
        <v>40</v>
      </c>
      <c r="D9532">
        <v>4.3582320000000001</v>
      </c>
      <c r="E9532">
        <v>0.44059979999999999</v>
      </c>
      <c r="F9532" t="s">
        <v>42</v>
      </c>
      <c r="G9532">
        <v>-190.9444</v>
      </c>
      <c r="H9532" s="1">
        <v>-2.5942460000000001E-6</v>
      </c>
      <c r="I9532">
        <v>35.050579999999997</v>
      </c>
      <c r="J9532">
        <v>-187.39189999999999</v>
      </c>
      <c r="K9532">
        <v>1.1212839999999999</v>
      </c>
      <c r="L9532">
        <v>13.753270000000001</v>
      </c>
      <c r="M9532">
        <v>2.6381310000000002E-2</v>
      </c>
      <c r="N9532">
        <v>-1.3408679999999999E-2</v>
      </c>
      <c r="O9532">
        <v>0.99956199999999995</v>
      </c>
      <c r="P9532">
        <v>-1.307617E-2</v>
      </c>
      <c r="Q9532">
        <v>-6.5715369999999995E-2</v>
      </c>
      <c r="R9532">
        <v>0.99775270000000005</v>
      </c>
      <c r="S9532">
        <v>-0.4929962</v>
      </c>
      <c r="T9532">
        <v>-0.15584000000000001</v>
      </c>
      <c r="U9532">
        <v>2.9901430000000002</v>
      </c>
      <c r="V9532">
        <v>-3.9358999999999998E-2</v>
      </c>
      <c r="W9532">
        <v>-5.2368110000000002E-2</v>
      </c>
      <c r="X9532">
        <v>0.99785190000000001</v>
      </c>
      <c r="Y9532">
        <v>-0.18845529999999999</v>
      </c>
      <c r="Z9532">
        <v>-3.7784779999999997E-2</v>
      </c>
      <c r="AA9532">
        <v>0.98135470000000002</v>
      </c>
      <c r="AB9532">
        <v>26</v>
      </c>
      <c r="AC9532">
        <v>-3.5525000000000002</v>
      </c>
      <c r="AD9532">
        <v>-1.121286594246</v>
      </c>
      <c r="AE9532">
        <v>21.29731</v>
      </c>
      <c r="AF9532">
        <v>-4.1021018405815797</v>
      </c>
      <c r="AG9532">
        <v>-1.121286594246</v>
      </c>
      <c r="AH9532">
        <v>21.139157943878502</v>
      </c>
      <c r="AI9532">
        <v>92.980799418831097</v>
      </c>
      <c r="AJ9532">
        <v>100.981888596621</v>
      </c>
      <c r="AK9532">
        <v>21.562664995616402</v>
      </c>
      <c r="AL9532">
        <v>93.001844858212706</v>
      </c>
      <c r="AM9532">
        <v>92.258788276379406</v>
      </c>
      <c r="AN9532">
        <v>0.99999998207979002</v>
      </c>
    </row>
    <row r="9533" spans="1:40" x14ac:dyDescent="0.25">
      <c r="A9533" t="str">
        <f>"20190303154025974"</f>
        <v>20190303154025974</v>
      </c>
      <c r="B9533" t="str">
        <f>"1551598825967757"</f>
        <v>1551598825967757</v>
      </c>
      <c r="C9533" t="s">
        <v>40</v>
      </c>
      <c r="D9533">
        <v>4.3662830000000001</v>
      </c>
      <c r="E9533">
        <v>0.4388995</v>
      </c>
      <c r="F9533" t="s">
        <v>42</v>
      </c>
      <c r="G9533">
        <v>-190.87430000000001</v>
      </c>
      <c r="H9533" s="1">
        <v>-2.147048E-6</v>
      </c>
      <c r="I9533">
        <v>34.051690000000001</v>
      </c>
      <c r="J9533">
        <v>-187.38570000000001</v>
      </c>
      <c r="K9533">
        <v>1.121305</v>
      </c>
      <c r="L9533">
        <v>14.007899999999999</v>
      </c>
      <c r="M9533">
        <v>2.5943959999999999E-2</v>
      </c>
      <c r="N9533">
        <v>-1.36206E-2</v>
      </c>
      <c r="O9533">
        <v>0.99957059999999998</v>
      </c>
      <c r="P9533">
        <v>-1.333639E-2</v>
      </c>
      <c r="Q9533">
        <v>-6.651232E-2</v>
      </c>
      <c r="R9533">
        <v>0.99769649999999999</v>
      </c>
      <c r="S9533">
        <v>-0.51281739999999998</v>
      </c>
      <c r="T9533">
        <v>-0.16512180000000001</v>
      </c>
      <c r="U9533">
        <v>2.989166</v>
      </c>
      <c r="V9533">
        <v>-3.9179360000000003E-2</v>
      </c>
      <c r="W9533">
        <v>-5.2955429999999998E-2</v>
      </c>
      <c r="X9533">
        <v>0.99782800000000005</v>
      </c>
      <c r="Y9533">
        <v>-0.1943751</v>
      </c>
      <c r="Z9533">
        <v>-4.0572150000000001E-2</v>
      </c>
      <c r="AA9533">
        <v>0.98008790000000001</v>
      </c>
      <c r="AB9533">
        <v>26</v>
      </c>
      <c r="AC9533">
        <v>-3.4885999999999902</v>
      </c>
      <c r="AD9533">
        <v>-1.1213071470480001</v>
      </c>
      <c r="AE9533">
        <v>20.043789999999898</v>
      </c>
      <c r="AF9533">
        <v>-3.9953528142709702</v>
      </c>
      <c r="AG9533">
        <v>-1.1213071470480001</v>
      </c>
      <c r="AH9533">
        <v>19.8861196690886</v>
      </c>
      <c r="AI9533">
        <v>93.164188733196198</v>
      </c>
      <c r="AJ9533">
        <v>101.360147534151</v>
      </c>
      <c r="AK9533">
        <v>20.3144758564389</v>
      </c>
      <c r="AL9533">
        <v>93.0355424943873</v>
      </c>
      <c r="AM9533">
        <v>92.248543255947695</v>
      </c>
      <c r="AN9533">
        <v>1.0000000087002401</v>
      </c>
    </row>
    <row r="9534" spans="1:40" x14ac:dyDescent="0.25">
      <c r="A9534" t="str">
        <f>"20190303154025989"</f>
        <v>20190303154025989</v>
      </c>
      <c r="B9534" t="str">
        <f>"1551598825977517"</f>
        <v>1551598825977517</v>
      </c>
      <c r="C9534" t="s">
        <v>40</v>
      </c>
      <c r="D9534">
        <v>4.400798</v>
      </c>
      <c r="E9534">
        <v>0.43833290000000003</v>
      </c>
      <c r="F9534" t="s">
        <v>42</v>
      </c>
      <c r="G9534">
        <v>-190.81460000000001</v>
      </c>
      <c r="H9534" s="1">
        <v>-1.8693480000000001E-6</v>
      </c>
      <c r="I9534">
        <v>33.441360000000003</v>
      </c>
      <c r="J9534">
        <v>-187.38149999999999</v>
      </c>
      <c r="K9534">
        <v>1.121326</v>
      </c>
      <c r="L9534">
        <v>14.182919999999999</v>
      </c>
      <c r="M9534">
        <v>2.5630880000000002E-2</v>
      </c>
      <c r="N9534">
        <v>-1.375203E-2</v>
      </c>
      <c r="O9534">
        <v>0.99957689999999999</v>
      </c>
      <c r="P9534">
        <v>-1.3447590000000001E-2</v>
      </c>
      <c r="Q9534">
        <v>-6.6710870000000005E-2</v>
      </c>
      <c r="R9534">
        <v>0.9976817</v>
      </c>
      <c r="S9534">
        <v>-0.52728269999999899</v>
      </c>
      <c r="T9534">
        <v>-0.17242850000000001</v>
      </c>
      <c r="U9534">
        <v>2.9883730000000002</v>
      </c>
      <c r="V9534">
        <v>-3.8976049999999998E-2</v>
      </c>
      <c r="W9534">
        <v>-5.3023899999999999E-2</v>
      </c>
      <c r="X9534">
        <v>0.99783230000000001</v>
      </c>
      <c r="Y9534">
        <v>-0.19869149999999999</v>
      </c>
      <c r="Z9534">
        <v>-4.2800199999999997E-2</v>
      </c>
      <c r="AA9534">
        <v>0.97912699999999997</v>
      </c>
      <c r="AB9534">
        <v>26</v>
      </c>
      <c r="AC9534">
        <v>-3.43310000000002</v>
      </c>
      <c r="AD9534">
        <v>-1.121327869348</v>
      </c>
      <c r="AE9534">
        <v>19.25844</v>
      </c>
      <c r="AF9534">
        <v>-3.9127729083529799</v>
      </c>
      <c r="AG9534">
        <v>-1.121327869348</v>
      </c>
      <c r="AH9534">
        <v>19.101347671937599</v>
      </c>
      <c r="AI9534">
        <v>93.291451723686606</v>
      </c>
      <c r="AJ9534">
        <v>101.57648048939301</v>
      </c>
      <c r="AK9534">
        <v>19.530198434915</v>
      </c>
      <c r="AL9534">
        <v>93.039471134916894</v>
      </c>
      <c r="AM9534">
        <v>92.2368773425613</v>
      </c>
      <c r="AN9534">
        <v>0.99999998268405099</v>
      </c>
    </row>
    <row r="9535" spans="1:40" x14ac:dyDescent="0.25">
      <c r="A9535" t="str">
        <f>"20190303154026007"</f>
        <v>20190303154026007</v>
      </c>
      <c r="B9535" t="str">
        <f>"1551598825998014"</f>
        <v>1551598825998014</v>
      </c>
      <c r="C9535" t="s">
        <v>40</v>
      </c>
      <c r="D9535">
        <v>4.308821</v>
      </c>
      <c r="E9535">
        <v>0.43742249999999999</v>
      </c>
      <c r="F9535" t="s">
        <v>42</v>
      </c>
      <c r="G9535">
        <v>-190.7936</v>
      </c>
      <c r="H9535" s="1">
        <v>-1.8220019999999999E-6</v>
      </c>
      <c r="I9535">
        <v>33.344050000000003</v>
      </c>
      <c r="J9535">
        <v>-187.37629999999999</v>
      </c>
      <c r="K9535">
        <v>1.121356</v>
      </c>
      <c r="L9535">
        <v>14.403230000000001</v>
      </c>
      <c r="M9535">
        <v>2.5213590000000001E-2</v>
      </c>
      <c r="N9535">
        <v>-1.389697E-2</v>
      </c>
      <c r="O9535">
        <v>0.99958550000000002</v>
      </c>
      <c r="P9535">
        <v>-1.4237639999999999E-2</v>
      </c>
      <c r="Q9535">
        <v>-6.6845570000000007E-2</v>
      </c>
      <c r="R9535">
        <v>0.99766180000000004</v>
      </c>
      <c r="S9535">
        <v>-0.53210449999999998</v>
      </c>
      <c r="T9535">
        <v>-0.17486640000000001</v>
      </c>
      <c r="U9535">
        <v>2.9880979999999999</v>
      </c>
      <c r="V9535">
        <v>-3.934671E-2</v>
      </c>
      <c r="W9535">
        <v>-5.3016319999999999E-2</v>
      </c>
      <c r="X9535">
        <v>0.99781819999999999</v>
      </c>
      <c r="Y9535">
        <v>-0.19982179999999999</v>
      </c>
      <c r="Z9535">
        <v>-4.3444419999999997E-2</v>
      </c>
      <c r="AA9535">
        <v>0.97886870000000004</v>
      </c>
      <c r="AB9535">
        <v>26</v>
      </c>
      <c r="AC9535">
        <v>-3.4173000000000102</v>
      </c>
      <c r="AD9535">
        <v>-1.121357822002</v>
      </c>
      <c r="AE9535">
        <v>18.940819999999999</v>
      </c>
      <c r="AF9535">
        <v>-3.8806525929509199</v>
      </c>
      <c r="AG9535">
        <v>-1.121357822002</v>
      </c>
      <c r="AH9535">
        <v>18.784860868486501</v>
      </c>
      <c r="AI9535">
        <v>93.345722810852195</v>
      </c>
      <c r="AJ9535">
        <v>101.67219793700001</v>
      </c>
      <c r="AK9535">
        <v>19.2142630813815</v>
      </c>
      <c r="AL9535">
        <v>93.039036086327499</v>
      </c>
      <c r="AM9535">
        <v>92.258159876095903</v>
      </c>
      <c r="AN9535">
        <v>1.0000000270127001</v>
      </c>
    </row>
    <row r="9536" spans="1:40" x14ac:dyDescent="0.25">
      <c r="A9536" t="str">
        <f>"20190303154026031"</f>
        <v>20190303154026031</v>
      </c>
      <c r="B9536" t="str">
        <f>"1551598826027293"</f>
        <v>1551598826027293</v>
      </c>
      <c r="C9536" t="s">
        <v>40</v>
      </c>
      <c r="D9536">
        <v>4.3496169999999896</v>
      </c>
      <c r="E9536">
        <v>0.436193</v>
      </c>
      <c r="F9536" t="s">
        <v>42</v>
      </c>
      <c r="G9536">
        <v>-190.8819</v>
      </c>
      <c r="H9536" s="1">
        <v>-2.0145930000000002E-6</v>
      </c>
      <c r="I9536">
        <v>33.738190000000003</v>
      </c>
      <c r="J9536">
        <v>-187.37039999999999</v>
      </c>
      <c r="K9536">
        <v>1.121381</v>
      </c>
      <c r="L9536">
        <v>14.65997</v>
      </c>
      <c r="M9536">
        <v>2.4698520000000002E-2</v>
      </c>
      <c r="N9536">
        <v>-1.404497E-2</v>
      </c>
      <c r="O9536">
        <v>0.99959629999999999</v>
      </c>
      <c r="P9536">
        <v>-1.49582E-2</v>
      </c>
      <c r="Q9536">
        <v>-6.6432480000000002E-2</v>
      </c>
      <c r="R9536">
        <v>0.99767879999999998</v>
      </c>
      <c r="S9536">
        <v>-0.54170229999999997</v>
      </c>
      <c r="T9536">
        <v>-0.17327579999999901</v>
      </c>
      <c r="U9536">
        <v>2.9877009999999999</v>
      </c>
      <c r="V9536">
        <v>-3.9551040000000003E-2</v>
      </c>
      <c r="W9536">
        <v>-5.2457610000000002E-2</v>
      </c>
      <c r="X9536">
        <v>0.99783960000000005</v>
      </c>
      <c r="Y9536">
        <v>-0.2023885</v>
      </c>
      <c r="Z9536">
        <v>-4.2753380000000001E-2</v>
      </c>
      <c r="AA9536">
        <v>0.97837160000000001</v>
      </c>
      <c r="AB9536">
        <v>26</v>
      </c>
      <c r="AC9536">
        <v>-3.5115000000000101</v>
      </c>
      <c r="AD9536">
        <v>-1.1213830145929999</v>
      </c>
      <c r="AE9536">
        <v>19.078220000000002</v>
      </c>
      <c r="AF9536">
        <v>-3.9684177267518201</v>
      </c>
      <c r="AG9536">
        <v>-1.1213830145929999</v>
      </c>
      <c r="AH9536">
        <v>18.9224290760264</v>
      </c>
      <c r="AI9536">
        <v>93.319455124917198</v>
      </c>
      <c r="AJ9536">
        <v>101.844430158394</v>
      </c>
      <c r="AK9536">
        <v>19.366573296705401</v>
      </c>
      <c r="AL9536">
        <v>93.006979905548803</v>
      </c>
      <c r="AM9536">
        <v>92.269825781709997</v>
      </c>
      <c r="AN9536">
        <v>0.99999997647007599</v>
      </c>
    </row>
    <row r="9537" spans="1:40" x14ac:dyDescent="0.25">
      <c r="A9537" t="str">
        <f>"20190303154026054"</f>
        <v>20190303154026054</v>
      </c>
      <c r="B9537" t="str">
        <f>"1551598826047789"</f>
        <v>1551598826047789</v>
      </c>
      <c r="C9537" t="s">
        <v>40</v>
      </c>
      <c r="D9537">
        <v>4.343839</v>
      </c>
      <c r="E9537">
        <v>0.43561159999999999</v>
      </c>
      <c r="F9537" t="s">
        <v>42</v>
      </c>
      <c r="G9537">
        <v>-191.0239</v>
      </c>
      <c r="H9537" s="1">
        <v>-2.3243290000000001E-6</v>
      </c>
      <c r="I9537">
        <v>34.372149999999998</v>
      </c>
      <c r="J9537">
        <v>-187.36420000000001</v>
      </c>
      <c r="K9537">
        <v>1.1214249999999999</v>
      </c>
      <c r="L9537">
        <v>14.93768</v>
      </c>
      <c r="M9537">
        <v>2.4097940000000002E-2</v>
      </c>
      <c r="N9537">
        <v>-1.41811E-2</v>
      </c>
      <c r="O9537">
        <v>0.99960899999999997</v>
      </c>
      <c r="P9537">
        <v>-1.5782669999999999E-2</v>
      </c>
      <c r="Q9537">
        <v>-6.6355499999999998E-2</v>
      </c>
      <c r="R9537">
        <v>0.99767119999999998</v>
      </c>
      <c r="S9537">
        <v>-0.55368039999999996</v>
      </c>
      <c r="T9537">
        <v>-0.16994489999999901</v>
      </c>
      <c r="U9537">
        <v>2.9873660000000002</v>
      </c>
      <c r="V9537">
        <v>-3.9773200000000002E-2</v>
      </c>
      <c r="W9537">
        <v>-5.2247509999999997E-2</v>
      </c>
      <c r="X9537">
        <v>0.9978418</v>
      </c>
      <c r="Y9537">
        <v>-0.2056221</v>
      </c>
      <c r="Z9537">
        <v>-4.1496230000000002E-2</v>
      </c>
      <c r="AA9537">
        <v>0.97775129999999999</v>
      </c>
      <c r="AB9537">
        <v>26</v>
      </c>
      <c r="AC9537">
        <v>-3.65969999999998</v>
      </c>
      <c r="AD9537">
        <v>-1.1214273243289901</v>
      </c>
      <c r="AE9537">
        <v>19.434470000000001</v>
      </c>
      <c r="AF9537">
        <v>-4.1137864857012802</v>
      </c>
      <c r="AG9537">
        <v>-1.1214273243289901</v>
      </c>
      <c r="AH9537">
        <v>19.278632487055301</v>
      </c>
      <c r="AI9537">
        <v>93.255972403065996</v>
      </c>
      <c r="AJ9537">
        <v>102.045450571974</v>
      </c>
      <c r="AK9537">
        <v>19.744531117872501</v>
      </c>
      <c r="AL9537">
        <v>92.994925509452202</v>
      </c>
      <c r="AM9537">
        <v>92.282557021698395</v>
      </c>
      <c r="AN9537">
        <v>0.99999998378333999</v>
      </c>
    </row>
    <row r="9538" spans="1:40" x14ac:dyDescent="0.25">
      <c r="A9538" t="str">
        <f>"20190303154026076"</f>
        <v>20190303154026076</v>
      </c>
      <c r="B9538" t="str">
        <f>"1551598826067309"</f>
        <v>1551598826067309</v>
      </c>
      <c r="C9538" t="s">
        <v>40</v>
      </c>
      <c r="D9538">
        <v>4.398943</v>
      </c>
      <c r="E9538">
        <v>0.43516440000000001</v>
      </c>
      <c r="F9538" t="s">
        <v>42</v>
      </c>
      <c r="G9538">
        <v>-191.1003</v>
      </c>
      <c r="H9538" s="1">
        <v>-2.544594E-6</v>
      </c>
      <c r="I9538">
        <v>34.838189999999997</v>
      </c>
      <c r="J9538">
        <v>-187.35890000000001</v>
      </c>
      <c r="K9538">
        <v>1.121456</v>
      </c>
      <c r="L9538">
        <v>15.18539</v>
      </c>
      <c r="M9538">
        <v>2.3531940000000001E-2</v>
      </c>
      <c r="N9538">
        <v>-1.428577E-2</v>
      </c>
      <c r="O9538">
        <v>0.99962099999999998</v>
      </c>
      <c r="P9538">
        <v>-1.6613920000000001E-2</v>
      </c>
      <c r="Q9538">
        <v>-6.6467670000000006E-2</v>
      </c>
      <c r="R9538">
        <v>0.99765029999999999</v>
      </c>
      <c r="S9538">
        <v>-0.5607605</v>
      </c>
      <c r="T9538">
        <v>-0.1683191</v>
      </c>
      <c r="U9538">
        <v>2.9869379999999999</v>
      </c>
      <c r="V9538">
        <v>-4.0036780000000001E-2</v>
      </c>
      <c r="W9538">
        <v>-5.2257820000000003E-2</v>
      </c>
      <c r="X9538">
        <v>0.99783069999999896</v>
      </c>
      <c r="Y9538">
        <v>-0.20733650000000001</v>
      </c>
      <c r="Z9538">
        <v>-4.0847210000000002E-2</v>
      </c>
      <c r="AA9538">
        <v>0.97741650000000002</v>
      </c>
      <c r="AB9538">
        <v>26</v>
      </c>
      <c r="AC9538">
        <v>-3.7413999999999898</v>
      </c>
      <c r="AD9538">
        <v>-1.121458544594</v>
      </c>
      <c r="AE9538">
        <v>19.652799999999999</v>
      </c>
      <c r="AF9538">
        <v>-4.1897138590931498</v>
      </c>
      <c r="AG9538">
        <v>-1.121458544594</v>
      </c>
      <c r="AH9538">
        <v>19.498035483553299</v>
      </c>
      <c r="AI9538">
        <v>93.218519387620901</v>
      </c>
      <c r="AJ9538">
        <v>102.127240864515</v>
      </c>
      <c r="AK9538">
        <v>19.974602854780901</v>
      </c>
      <c r="AL9538">
        <v>92.995517094303494</v>
      </c>
      <c r="AM9538">
        <v>92.297693072701307</v>
      </c>
      <c r="AN9538">
        <v>0.99999996468320396</v>
      </c>
    </row>
    <row r="9539" spans="1:40" x14ac:dyDescent="0.25">
      <c r="A9539" t="str">
        <f>"20190303154026098"</f>
        <v>20190303154026098</v>
      </c>
      <c r="B9539" t="str">
        <f>"1551598826087810"</f>
        <v>1551598826087810</v>
      </c>
      <c r="C9539" t="s">
        <v>40</v>
      </c>
      <c r="D9539">
        <v>4.5902349999999998</v>
      </c>
      <c r="E9539">
        <v>0.46789730000000002</v>
      </c>
      <c r="F9539" t="s">
        <v>42</v>
      </c>
      <c r="G9539">
        <v>-191.1225</v>
      </c>
      <c r="H9539" s="1">
        <v>-2.625128E-6</v>
      </c>
      <c r="I9539">
        <v>35.012169999999998</v>
      </c>
      <c r="J9539">
        <v>-187.35329999999999</v>
      </c>
      <c r="K9539">
        <v>1.121489</v>
      </c>
      <c r="L9539">
        <v>15.451689999999999</v>
      </c>
      <c r="M9539">
        <v>2.2893320000000002E-2</v>
      </c>
      <c r="N9539">
        <v>-1.4382229999999999E-2</v>
      </c>
      <c r="O9539">
        <v>0.99963440000000003</v>
      </c>
      <c r="P9539">
        <v>-1.7677160000000001E-2</v>
      </c>
      <c r="Q9539">
        <v>-6.6677089999999994E-2</v>
      </c>
      <c r="R9539">
        <v>0.997618</v>
      </c>
      <c r="S9539">
        <v>-0.56687929999999997</v>
      </c>
      <c r="T9539">
        <v>-0.16891689999999901</v>
      </c>
      <c r="U9539">
        <v>2.9863590000000002</v>
      </c>
      <c r="V9539">
        <v>-4.0459040000000002E-2</v>
      </c>
      <c r="W9539">
        <v>-5.2373839999999998E-2</v>
      </c>
      <c r="X9539">
        <v>0.99780760000000002</v>
      </c>
      <c r="Y9539">
        <v>-0.208677</v>
      </c>
      <c r="Z9539">
        <v>-4.0939940000000001E-2</v>
      </c>
      <c r="AA9539">
        <v>0.97712730000000003</v>
      </c>
      <c r="AB9539">
        <v>26</v>
      </c>
      <c r="AC9539">
        <v>-3.7692000000000099</v>
      </c>
      <c r="AD9539">
        <v>-1.1214916251279901</v>
      </c>
      <c r="AE9539">
        <v>19.560479999999998</v>
      </c>
      <c r="AF9539">
        <v>-4.2027417605805599</v>
      </c>
      <c r="AG9539">
        <v>-1.1214916251279901</v>
      </c>
      <c r="AH9539">
        <v>19.407540554682502</v>
      </c>
      <c r="AI9539">
        <v>93.232477661989293</v>
      </c>
      <c r="AJ9539">
        <v>102.218847310649</v>
      </c>
      <c r="AK9539">
        <v>19.889027431048699</v>
      </c>
      <c r="AL9539">
        <v>93.002173620960093</v>
      </c>
      <c r="AM9539">
        <v>92.321953697282893</v>
      </c>
      <c r="AN9539">
        <v>0.99999997982591304</v>
      </c>
    </row>
    <row r="9540" spans="1:40" x14ac:dyDescent="0.25">
      <c r="A9540" t="str">
        <f>"20190303154026120"</f>
        <v>20190303154026120</v>
      </c>
      <c r="B9540" t="str">
        <f>"1551598826118063"</f>
        <v>1551598826118063</v>
      </c>
      <c r="C9540" t="s">
        <v>40</v>
      </c>
      <c r="D9540">
        <v>4.4468170000000002</v>
      </c>
      <c r="E9540">
        <v>0.51684079999999999</v>
      </c>
      <c r="F9540" t="s">
        <v>42</v>
      </c>
      <c r="G9540">
        <v>-190.61840000000001</v>
      </c>
      <c r="H9540" s="1">
        <v>-3.3796950000000001E-6</v>
      </c>
      <c r="I9540">
        <v>47.083739999999999</v>
      </c>
      <c r="J9540">
        <v>-187.34809999999999</v>
      </c>
      <c r="K9540">
        <v>1.1215189999999999</v>
      </c>
      <c r="L9540">
        <v>15.712339999999999</v>
      </c>
      <c r="M9540">
        <v>2.2240070000000001E-2</v>
      </c>
      <c r="N9540">
        <v>-1.4462890000000001E-2</v>
      </c>
      <c r="O9540">
        <v>0.99964799999999998</v>
      </c>
      <c r="P9540">
        <v>-1.892363E-2</v>
      </c>
      <c r="Q9540">
        <v>-6.6148639999999995E-2</v>
      </c>
      <c r="R9540">
        <v>0.99763029999999997</v>
      </c>
      <c r="S9540">
        <v>-0.30909730000000002</v>
      </c>
      <c r="T9540">
        <v>-0.1061714</v>
      </c>
      <c r="U9540">
        <v>2.9945979999999999</v>
      </c>
      <c r="V9540">
        <v>-4.1052699999999998E-2</v>
      </c>
      <c r="W9540">
        <v>-5.1767130000000001E-2</v>
      </c>
      <c r="X9540">
        <v>0.99781500000000001</v>
      </c>
      <c r="Y9540">
        <v>-0.12470539999999899</v>
      </c>
      <c r="Z9540">
        <v>-2.0713140000000001E-2</v>
      </c>
      <c r="AA9540">
        <v>0.99197760000000001</v>
      </c>
      <c r="AB9540">
        <v>26</v>
      </c>
      <c r="AC9540">
        <v>-3.2703000000000202</v>
      </c>
      <c r="AD9540">
        <v>-1.121522379695</v>
      </c>
      <c r="AE9540">
        <v>31.371400000000001</v>
      </c>
      <c r="AF9540">
        <v>-3.9622565674032399</v>
      </c>
      <c r="AG9540">
        <v>-1.121522379695</v>
      </c>
      <c r="AH9540">
        <v>31.251388142262702</v>
      </c>
      <c r="AI9540">
        <v>92.038989670119705</v>
      </c>
      <c r="AJ9540">
        <v>97.225782658593502</v>
      </c>
      <c r="AK9540">
        <v>31.521525191088799</v>
      </c>
      <c r="AL9540">
        <v>92.967364513534704</v>
      </c>
      <c r="AM9540">
        <v>92.355968415065306</v>
      </c>
      <c r="AN9540">
        <v>0.99999996707536298</v>
      </c>
    </row>
    <row r="9541" spans="1:40" x14ac:dyDescent="0.25">
      <c r="A9541" t="str">
        <f>"20190303154026155"</f>
        <v>20190303154026155</v>
      </c>
      <c r="B9541" t="str">
        <f>"1551598826147341"</f>
        <v>1551598826147341</v>
      </c>
      <c r="C9541" t="s">
        <v>40</v>
      </c>
      <c r="D9541">
        <v>4.4320139999999997</v>
      </c>
      <c r="E9541">
        <v>0.51908840000000001</v>
      </c>
      <c r="F9541" t="s">
        <v>92</v>
      </c>
      <c r="G9541">
        <v>-177.69370000000001</v>
      </c>
      <c r="H9541">
        <v>1.6172310000000001</v>
      </c>
      <c r="I9541">
        <v>391.87</v>
      </c>
      <c r="J9541">
        <v>-187.34059999999999</v>
      </c>
      <c r="K9541">
        <v>1.1215539999999999</v>
      </c>
      <c r="L9541">
        <v>16.104859999999999</v>
      </c>
      <c r="M9541">
        <v>2.1209660000000002E-2</v>
      </c>
      <c r="N9541">
        <v>-1.456263E-2</v>
      </c>
      <c r="O9541">
        <v>0.99966900000000003</v>
      </c>
      <c r="P9541">
        <v>-2.019466E-2</v>
      </c>
      <c r="Q9541">
        <v>-6.6151429999999997E-2</v>
      </c>
      <c r="R9541">
        <v>0.99760519999999997</v>
      </c>
      <c r="S9541">
        <v>7.7224730000000005E-2</v>
      </c>
      <c r="T9541">
        <v>3.9651390000000003E-3</v>
      </c>
      <c r="U9541">
        <v>3.0088499999999998</v>
      </c>
      <c r="V9541">
        <v>-4.1292219999999998E-2</v>
      </c>
      <c r="W9541">
        <v>-5.1673089999999998E-2</v>
      </c>
      <c r="X9541">
        <v>0.99780999999999997</v>
      </c>
      <c r="Y9541">
        <v>4.4430520000000003E-3</v>
      </c>
      <c r="Z9541">
        <v>1.5875670000000001E-2</v>
      </c>
      <c r="AA9541">
        <v>0.99986410000000003</v>
      </c>
      <c r="AB9541">
        <v>26</v>
      </c>
      <c r="AC9541">
        <v>9.6468999999999792</v>
      </c>
      <c r="AD9541">
        <v>0.49567699999999898</v>
      </c>
      <c r="AE9541">
        <v>375.76513999999997</v>
      </c>
      <c r="AF9541">
        <v>1.6740305969296301</v>
      </c>
      <c r="AG9541">
        <v>0.49567699999999898</v>
      </c>
      <c r="AH9541">
        <v>375.88456918353899</v>
      </c>
      <c r="AI9541">
        <v>89.9244451506583</v>
      </c>
      <c r="AJ9541">
        <v>89.7448305631181</v>
      </c>
      <c r="AK9541">
        <v>375.888623696465</v>
      </c>
      <c r="AL9541">
        <v>92.961969171156895</v>
      </c>
      <c r="AM9541">
        <v>92.369710435526798</v>
      </c>
      <c r="AN9541">
        <v>0.99999997588133704</v>
      </c>
    </row>
    <row r="9542" spans="1:40" x14ac:dyDescent="0.25">
      <c r="A9542" t="str">
        <f>"20190303154026175"</f>
        <v>20190303154026175</v>
      </c>
      <c r="B9542" t="str">
        <f>"1551598826167837"</f>
        <v>1551598826167837</v>
      </c>
      <c r="C9542" t="s">
        <v>40</v>
      </c>
      <c r="D9542">
        <v>4.4339490000000001</v>
      </c>
      <c r="E9542">
        <v>0.51999830000000002</v>
      </c>
      <c r="F9542" t="s">
        <v>92</v>
      </c>
      <c r="G9542">
        <v>-175.96950000000001</v>
      </c>
      <c r="H9542">
        <v>3.634233</v>
      </c>
      <c r="I9542">
        <v>391.00349999999997</v>
      </c>
      <c r="J9542">
        <v>-187.33619999999999</v>
      </c>
      <c r="K9542">
        <v>1.121586</v>
      </c>
      <c r="L9542">
        <v>16.346589999999999</v>
      </c>
      <c r="M9542">
        <v>2.0551360000000001E-2</v>
      </c>
      <c r="N9542">
        <v>-1.461266E-2</v>
      </c>
      <c r="O9542">
        <v>0.99968199999999996</v>
      </c>
      <c r="P9542">
        <v>-2.1008800000000001E-2</v>
      </c>
      <c r="Q9542">
        <v>-6.6683190000000003E-2</v>
      </c>
      <c r="R9542">
        <v>0.99755300000000002</v>
      </c>
      <c r="S9542">
        <v>9.1308589999999995E-2</v>
      </c>
      <c r="T9542">
        <v>2.0176409999999999E-2</v>
      </c>
      <c r="U9542">
        <v>3.0103759999999999</v>
      </c>
      <c r="V9542">
        <v>-4.1447240000000003E-2</v>
      </c>
      <c r="W9542">
        <v>-5.2156830000000001E-2</v>
      </c>
      <c r="X9542">
        <v>0.99777839999999995</v>
      </c>
      <c r="Y9542">
        <v>9.7593939999999994E-3</v>
      </c>
      <c r="Z9542">
        <v>2.1305379999999999E-2</v>
      </c>
      <c r="AA9542">
        <v>0.99972539999999999</v>
      </c>
      <c r="AB9542">
        <v>26</v>
      </c>
      <c r="AC9542">
        <v>11.3666999999999</v>
      </c>
      <c r="AD9542">
        <v>2.5126469999999999</v>
      </c>
      <c r="AE9542">
        <v>374.65690999999998</v>
      </c>
      <c r="AF9542">
        <v>3.66360292949985</v>
      </c>
      <c r="AG9542">
        <v>2.5126469999999999</v>
      </c>
      <c r="AH9542">
        <v>374.79454925914803</v>
      </c>
      <c r="AI9542">
        <v>89.615909476332504</v>
      </c>
      <c r="AJ9542">
        <v>89.439953700298801</v>
      </c>
      <c r="AK9542">
        <v>374.82087660072898</v>
      </c>
      <c r="AL9542">
        <v>92.989722869498493</v>
      </c>
      <c r="AM9542">
        <v>92.378671890808306</v>
      </c>
      <c r="AN9542">
        <v>0.99999997206291202</v>
      </c>
    </row>
    <row r="9543" spans="1:40" x14ac:dyDescent="0.25">
      <c r="A9543" t="str">
        <f>"20190303154026197"</f>
        <v>20190303154026197</v>
      </c>
      <c r="B9543" t="str">
        <f>"1551598826187357"</f>
        <v>1551598826187357</v>
      </c>
      <c r="C9543" t="s">
        <v>40</v>
      </c>
      <c r="D9543">
        <v>4.4276809999999998</v>
      </c>
      <c r="E9543">
        <v>0.52016879999999999</v>
      </c>
      <c r="F9543" t="s">
        <v>92</v>
      </c>
      <c r="G9543">
        <v>-175.3775</v>
      </c>
      <c r="H9543">
        <v>3.5890369999999998</v>
      </c>
      <c r="I9543">
        <v>391.00349999999997</v>
      </c>
      <c r="J9543">
        <v>-187.33179999999999</v>
      </c>
      <c r="K9543">
        <v>1.121607</v>
      </c>
      <c r="L9543">
        <v>16.602419999999999</v>
      </c>
      <c r="M9543">
        <v>1.9840509999999999E-2</v>
      </c>
      <c r="N9543">
        <v>-1.4657740000000001E-2</v>
      </c>
      <c r="O9543">
        <v>0.99969569999999996</v>
      </c>
      <c r="P9543">
        <v>-2.158645E-2</v>
      </c>
      <c r="Q9543">
        <v>-6.6771979999999995E-2</v>
      </c>
      <c r="R9543">
        <v>0.99753480000000005</v>
      </c>
      <c r="S9543">
        <v>9.6099850000000001E-2</v>
      </c>
      <c r="T9543">
        <v>1.9828200000000001E-2</v>
      </c>
      <c r="U9543">
        <v>3.0107119999999998</v>
      </c>
      <c r="V9543">
        <v>-4.1313919999999997E-2</v>
      </c>
      <c r="W9543">
        <v>-5.2201490000000003E-2</v>
      </c>
      <c r="X9543">
        <v>0.99778160000000005</v>
      </c>
      <c r="Y9543">
        <v>1.205634E-2</v>
      </c>
      <c r="Z9543">
        <v>2.123396E-2</v>
      </c>
      <c r="AA9543">
        <v>0.99970190000000003</v>
      </c>
      <c r="AB9543">
        <v>26</v>
      </c>
      <c r="AC9543">
        <v>11.9542999999999</v>
      </c>
      <c r="AD9543">
        <v>2.4674299999999998</v>
      </c>
      <c r="AE9543">
        <v>374.40107999999998</v>
      </c>
      <c r="AF9543">
        <v>4.5226436231145204</v>
      </c>
      <c r="AG9543">
        <v>2.4674299999999998</v>
      </c>
      <c r="AH9543">
        <v>374.54832005914898</v>
      </c>
      <c r="AI9543">
        <v>89.622582807649493</v>
      </c>
      <c r="AJ9543">
        <v>89.308191266393806</v>
      </c>
      <c r="AK9543">
        <v>374.583751082822</v>
      </c>
      <c r="AL9543">
        <v>92.992285170586996</v>
      </c>
      <c r="AM9543">
        <v>92.371021759205206</v>
      </c>
      <c r="AN9543">
        <v>0.99999997842127297</v>
      </c>
    </row>
    <row r="9544" spans="1:40" x14ac:dyDescent="0.25">
      <c r="A9544" t="str">
        <f>"20190303154026219"</f>
        <v>20190303154026219</v>
      </c>
      <c r="B9544" t="str">
        <f>"1551598826207853"</f>
        <v>1551598826207853</v>
      </c>
      <c r="C9544" t="s">
        <v>40</v>
      </c>
      <c r="D9544">
        <v>4.5066930000000003</v>
      </c>
      <c r="E9544">
        <v>0.52019099999999996</v>
      </c>
      <c r="F9544" t="s">
        <v>92</v>
      </c>
      <c r="G9544">
        <v>-175.43020000000001</v>
      </c>
      <c r="H9544">
        <v>2.4032520000000002</v>
      </c>
      <c r="I9544">
        <v>391.00349999999997</v>
      </c>
      <c r="J9544">
        <v>-187.32759999999999</v>
      </c>
      <c r="K9544">
        <v>1.121629</v>
      </c>
      <c r="L9544">
        <v>16.856750000000002</v>
      </c>
      <c r="M9544">
        <v>1.9121579999999999E-2</v>
      </c>
      <c r="N9544">
        <v>-1.4695720000000001E-2</v>
      </c>
      <c r="O9544">
        <v>0.99970910000000002</v>
      </c>
      <c r="P9544">
        <v>-2.1459510000000001E-2</v>
      </c>
      <c r="Q9544">
        <v>-6.6917610000000002E-2</v>
      </c>
      <c r="R9544">
        <v>0.99752770000000002</v>
      </c>
      <c r="S9544">
        <v>9.5687869999999994E-2</v>
      </c>
      <c r="T9544">
        <v>1.030433E-2</v>
      </c>
      <c r="U9544">
        <v>3.0101619999999998</v>
      </c>
      <c r="V9544">
        <v>-4.0468700000000003E-2</v>
      </c>
      <c r="W9544">
        <v>-5.2308559999999997E-2</v>
      </c>
      <c r="X9544">
        <v>0.99781070000000005</v>
      </c>
      <c r="Y9544">
        <v>1.264616E-2</v>
      </c>
      <c r="Z9544">
        <v>1.811202E-2</v>
      </c>
      <c r="AA9544">
        <v>0.99975599999999998</v>
      </c>
      <c r="AB9544">
        <v>26</v>
      </c>
      <c r="AC9544">
        <v>11.8973999999999</v>
      </c>
      <c r="AD9544">
        <v>1.281623</v>
      </c>
      <c r="AE9544">
        <v>374.14675</v>
      </c>
      <c r="AF9544">
        <v>4.7401186287214401</v>
      </c>
      <c r="AG9544">
        <v>1.281623</v>
      </c>
      <c r="AH9544">
        <v>374.30146256786202</v>
      </c>
      <c r="AI9544">
        <v>89.803833482635596</v>
      </c>
      <c r="AJ9544">
        <v>89.274450405002298</v>
      </c>
      <c r="AK9544">
        <v>374.33366955507603</v>
      </c>
      <c r="AL9544">
        <v>92.998428016577805</v>
      </c>
      <c r="AM9544">
        <v>92.322500272242806</v>
      </c>
      <c r="AN9544">
        <v>1.0000000470817201</v>
      </c>
    </row>
    <row r="9545" spans="1:40" x14ac:dyDescent="0.25">
      <c r="A9545" t="str">
        <f>"20190303154026242"</f>
        <v>20190303154026242</v>
      </c>
      <c r="B9545" t="str">
        <f>"1551598826237133"</f>
        <v>1551598826237133</v>
      </c>
      <c r="C9545" t="s">
        <v>40</v>
      </c>
      <c r="D9545">
        <v>4.4518879999999896</v>
      </c>
      <c r="E9545">
        <v>0.52014150000000003</v>
      </c>
      <c r="F9545" t="s">
        <v>92</v>
      </c>
      <c r="G9545">
        <v>-175.35249999999999</v>
      </c>
      <c r="H9545">
        <v>1.4520470000000001</v>
      </c>
      <c r="I9545">
        <v>391.00349999999997</v>
      </c>
      <c r="J9545">
        <v>-187.32329999999999</v>
      </c>
      <c r="K9545">
        <v>1.1216440000000001</v>
      </c>
      <c r="L9545">
        <v>17.122989999999898</v>
      </c>
      <c r="M9545">
        <v>1.8357769999999999E-2</v>
      </c>
      <c r="N9545">
        <v>-1.47292E-2</v>
      </c>
      <c r="O9545">
        <v>0.99972300000000003</v>
      </c>
      <c r="P9545">
        <v>-2.1654509999999998E-2</v>
      </c>
      <c r="Q9545">
        <v>-6.7390259999999994E-2</v>
      </c>
      <c r="R9545">
        <v>0.99749169999999998</v>
      </c>
      <c r="S9545">
        <v>9.6328739999999996E-2</v>
      </c>
      <c r="T9545">
        <v>2.65789E-3</v>
      </c>
      <c r="U9545">
        <v>3.009674</v>
      </c>
      <c r="V9545">
        <v>-3.9900150000000002E-2</v>
      </c>
      <c r="W9545">
        <v>-5.2747740000000001E-2</v>
      </c>
      <c r="X9545">
        <v>0.99781039999999999</v>
      </c>
      <c r="Y9545">
        <v>1.3628940000000001E-2</v>
      </c>
      <c r="Z9545">
        <v>1.56074E-2</v>
      </c>
      <c r="AA9545">
        <v>0.99978529999999999</v>
      </c>
      <c r="AB9545">
        <v>26</v>
      </c>
      <c r="AC9545">
        <v>11.970799999999899</v>
      </c>
      <c r="AD9545">
        <v>0.330402999999999</v>
      </c>
      <c r="AE9545">
        <v>373.88051000000002</v>
      </c>
      <c r="AF9545">
        <v>5.10442134077267</v>
      </c>
      <c r="AG9545">
        <v>0.330402999999999</v>
      </c>
      <c r="AH9545">
        <v>374.036979938142</v>
      </c>
      <c r="AI9545">
        <v>89.949392891645701</v>
      </c>
      <c r="AJ9545">
        <v>89.218142425093902</v>
      </c>
      <c r="AK9545">
        <v>374.07195383323398</v>
      </c>
      <c r="AL9545">
        <v>93.023626195911007</v>
      </c>
      <c r="AM9545">
        <v>92.289906835187296</v>
      </c>
      <c r="AN9545">
        <v>0.99999997019664399</v>
      </c>
    </row>
    <row r="9546" spans="1:40" x14ac:dyDescent="0.25">
      <c r="A9546" t="str">
        <f>"20190303154026266"</f>
        <v>20190303154026266</v>
      </c>
      <c r="B9546" t="str">
        <f>"1551598826257629"</f>
        <v>1551598826257629</v>
      </c>
      <c r="C9546" t="s">
        <v>40</v>
      </c>
      <c r="D9546">
        <v>4.3976439999999997</v>
      </c>
      <c r="E9546">
        <v>0.52143229999999996</v>
      </c>
      <c r="F9546" t="s">
        <v>92</v>
      </c>
      <c r="G9546">
        <v>-175.48560000000001</v>
      </c>
      <c r="H9546">
        <v>0.2576504</v>
      </c>
      <c r="I9546">
        <v>391.00349999999997</v>
      </c>
      <c r="J9546">
        <v>-187.3194</v>
      </c>
      <c r="K9546">
        <v>1.1216569999999999</v>
      </c>
      <c r="L9546">
        <v>17.386869999999998</v>
      </c>
      <c r="M9546">
        <v>1.759353E-2</v>
      </c>
      <c r="N9546">
        <v>-1.475686E-2</v>
      </c>
      <c r="O9546">
        <v>0.99973630000000002</v>
      </c>
      <c r="P9546">
        <v>-2.184289E-2</v>
      </c>
      <c r="Q9546">
        <v>-6.8086590000000002E-2</v>
      </c>
      <c r="R9546">
        <v>0.99744029999999995</v>
      </c>
      <c r="S9546">
        <v>9.5275879999999993E-2</v>
      </c>
      <c r="T9546">
        <v>-6.9538350000000002E-3</v>
      </c>
      <c r="U9546">
        <v>3.0091549999999998</v>
      </c>
      <c r="V9546">
        <v>-3.9324449999999997E-2</v>
      </c>
      <c r="W9546">
        <v>-5.3416320000000003E-2</v>
      </c>
      <c r="X9546">
        <v>0.99779770000000001</v>
      </c>
      <c r="Y9546">
        <v>1.4050389999999999E-2</v>
      </c>
      <c r="Z9546">
        <v>1.2443310000000001E-2</v>
      </c>
      <c r="AA9546">
        <v>0.99982389999999999</v>
      </c>
      <c r="AB9546">
        <v>26</v>
      </c>
      <c r="AC9546">
        <v>11.833799999999901</v>
      </c>
      <c r="AD9546">
        <v>-0.86400659999999896</v>
      </c>
      <c r="AE9546">
        <v>373.61662999999999</v>
      </c>
      <c r="AF9546">
        <v>5.2579885719908201</v>
      </c>
      <c r="AG9546">
        <v>-0.86400659999999896</v>
      </c>
      <c r="AH9546">
        <v>373.76501386342801</v>
      </c>
      <c r="AI9546">
        <v>90.132433331159405</v>
      </c>
      <c r="AJ9546">
        <v>89.194037237009894</v>
      </c>
      <c r="AK9546">
        <v>373.80299428917999</v>
      </c>
      <c r="AL9546">
        <v>93.061987054119399</v>
      </c>
      <c r="AM9546">
        <v>92.256929986874098</v>
      </c>
      <c r="AN9546">
        <v>0.99999998286771696</v>
      </c>
    </row>
    <row r="9547" spans="1:40" x14ac:dyDescent="0.25">
      <c r="A9547" t="str">
        <f>"20190303154026353"</f>
        <v>20190303154026353</v>
      </c>
      <c r="B9547" t="str">
        <f>"1551598826347783"</f>
        <v>1551598826347783</v>
      </c>
      <c r="C9547" t="s">
        <v>40</v>
      </c>
      <c r="D9547">
        <v>4.4445680000000003</v>
      </c>
      <c r="E9547">
        <v>0.52300150000000001</v>
      </c>
      <c r="F9547" t="s">
        <v>92</v>
      </c>
      <c r="G9547">
        <v>-174.29239999999999</v>
      </c>
      <c r="H9547">
        <v>1.103029</v>
      </c>
      <c r="I9547">
        <v>391.00349999999997</v>
      </c>
      <c r="J9547">
        <v>-187.30619999999999</v>
      </c>
      <c r="K9547">
        <v>1.12169599999999</v>
      </c>
      <c r="L9547">
        <v>18.38879</v>
      </c>
      <c r="M9547">
        <v>1.4673719999999999E-2</v>
      </c>
      <c r="N9547">
        <v>-1.4823370000000001E-2</v>
      </c>
      <c r="O9547">
        <v>0.99978239999999996</v>
      </c>
      <c r="P9547">
        <v>-2.7303620000000001E-2</v>
      </c>
      <c r="Q9547">
        <v>-6.530532E-2</v>
      </c>
      <c r="R9547">
        <v>0.99749169999999998</v>
      </c>
      <c r="S9547">
        <v>0.10495</v>
      </c>
      <c r="T9547">
        <v>-1.5008449999999999E-4</v>
      </c>
      <c r="U9547">
        <v>3.009979</v>
      </c>
      <c r="V9547">
        <v>-4.1877900000000003E-2</v>
      </c>
      <c r="W9547">
        <v>-5.0570320000000002E-2</v>
      </c>
      <c r="X9547">
        <v>0.99784209999999995</v>
      </c>
      <c r="Y9547">
        <v>2.0169960000000001E-2</v>
      </c>
      <c r="Z9547">
        <v>1.476976E-2</v>
      </c>
      <c r="AA9547">
        <v>0.99968749999999995</v>
      </c>
      <c r="AB9547">
        <v>26</v>
      </c>
      <c r="AC9547">
        <v>13.0138</v>
      </c>
      <c r="AD9547">
        <v>-1.8666999999999701E-2</v>
      </c>
      <c r="AE9547">
        <v>372.61471</v>
      </c>
      <c r="AF9547">
        <v>7.5441535343241997</v>
      </c>
      <c r="AG9547">
        <v>-1.8666999999999701E-2</v>
      </c>
      <c r="AH9547">
        <v>372.76556459705398</v>
      </c>
      <c r="AI9547">
        <v>90.002868616222997</v>
      </c>
      <c r="AJ9547">
        <v>88.840587226386006</v>
      </c>
      <c r="AK9547">
        <v>372.84189779364499</v>
      </c>
      <c r="AL9547">
        <v>92.898702344103299</v>
      </c>
      <c r="AM9547">
        <v>92.403205543924003</v>
      </c>
      <c r="AN9547">
        <v>0.99999998615286101</v>
      </c>
    </row>
    <row r="9548" spans="1:40" x14ac:dyDescent="0.25">
      <c r="A9548" t="str">
        <f>"20190303154026398"</f>
        <v>20190303154026398</v>
      </c>
      <c r="B9548" t="str">
        <f>"1551598826387802"</f>
        <v>1551598826387802</v>
      </c>
      <c r="C9548" t="s">
        <v>40</v>
      </c>
      <c r="D9548">
        <v>4.4256549999999999</v>
      </c>
      <c r="E9548">
        <v>0.52343930000000005</v>
      </c>
      <c r="F9548" t="s">
        <v>92</v>
      </c>
      <c r="G9548">
        <v>-174.85079999999999</v>
      </c>
      <c r="H9548">
        <v>2.311604</v>
      </c>
      <c r="I9548">
        <v>391.00349999999997</v>
      </c>
      <c r="J9548">
        <v>-187.3006</v>
      </c>
      <c r="K9548">
        <v>1.1216919999999999</v>
      </c>
      <c r="L9548">
        <v>18.896999999999998</v>
      </c>
      <c r="M9548">
        <v>1.319558E-2</v>
      </c>
      <c r="N9548">
        <v>-1.4832369999999999E-2</v>
      </c>
      <c r="O9548">
        <v>0.99980290000000005</v>
      </c>
      <c r="P9548">
        <v>-2.8300309999999999E-2</v>
      </c>
      <c r="Q9548">
        <v>-6.6657540000000001E-2</v>
      </c>
      <c r="R9548">
        <v>0.99737450000000005</v>
      </c>
      <c r="S9548">
        <v>0.100647</v>
      </c>
      <c r="T9548">
        <v>9.6150639999999996E-3</v>
      </c>
      <c r="U9548">
        <v>3.0109249999999999</v>
      </c>
      <c r="V9548">
        <v>-4.1398289999999997E-2</v>
      </c>
      <c r="W9548">
        <v>-5.1913300000000002E-2</v>
      </c>
      <c r="X9548">
        <v>0.99779309999999999</v>
      </c>
      <c r="Y9548">
        <v>2.0208859999999999E-2</v>
      </c>
      <c r="Z9548">
        <v>1.8020419999999999E-2</v>
      </c>
      <c r="AA9548">
        <v>0.99963340000000001</v>
      </c>
      <c r="AB9548">
        <v>25</v>
      </c>
      <c r="AC9548">
        <v>12.4498</v>
      </c>
      <c r="AD9548">
        <v>1.1899120000000001</v>
      </c>
      <c r="AE9548">
        <v>372.10649999999998</v>
      </c>
      <c r="AF9548">
        <v>7.5379374300309703</v>
      </c>
      <c r="AG9548">
        <v>1.1899120000000001</v>
      </c>
      <c r="AH9548">
        <v>372.23459353456298</v>
      </c>
      <c r="AI9548">
        <v>89.816882337387</v>
      </c>
      <c r="AJ9548">
        <v>88.8398902578339</v>
      </c>
      <c r="AK9548">
        <v>372.31281070506901</v>
      </c>
      <c r="AL9548">
        <v>92.9757507953898</v>
      </c>
      <c r="AM9548">
        <v>92.375830891590397</v>
      </c>
      <c r="AN9548">
        <v>0.99999993976971002</v>
      </c>
    </row>
    <row r="9549" spans="1:40" x14ac:dyDescent="0.25">
      <c r="A9549" t="str">
        <f>"20190303154026420"</f>
        <v>20190303154026420</v>
      </c>
      <c r="B9549" t="str">
        <f>"1551598826417079"</f>
        <v>1551598826417079</v>
      </c>
      <c r="C9549" t="s">
        <v>40</v>
      </c>
      <c r="D9549">
        <v>4.483263</v>
      </c>
      <c r="E9549">
        <v>0.52457919999999902</v>
      </c>
      <c r="F9549" t="s">
        <v>92</v>
      </c>
      <c r="G9549">
        <v>-174.80619999999999</v>
      </c>
      <c r="H9549">
        <v>2.5245950000000001</v>
      </c>
      <c r="I9549">
        <v>391.00349999999997</v>
      </c>
      <c r="J9549">
        <v>-187.29820000000001</v>
      </c>
      <c r="K9549">
        <v>1.121691</v>
      </c>
      <c r="L9549">
        <v>19.149989999999999</v>
      </c>
      <c r="M9549">
        <v>1.245973E-2</v>
      </c>
      <c r="N9549">
        <v>-1.479712E-2</v>
      </c>
      <c r="O9549">
        <v>0.9998129</v>
      </c>
      <c r="P9549">
        <v>-2.870611E-2</v>
      </c>
      <c r="Q9549">
        <v>-6.6247840000000002E-2</v>
      </c>
      <c r="R9549">
        <v>0.9973902</v>
      </c>
      <c r="S9549">
        <v>0.10112</v>
      </c>
      <c r="T9549">
        <v>1.135397E-2</v>
      </c>
      <c r="U9549">
        <v>3.011536</v>
      </c>
      <c r="V9549">
        <v>-4.107127E-2</v>
      </c>
      <c r="W9549">
        <v>-5.1537699999999902E-2</v>
      </c>
      <c r="X9549">
        <v>0.9978262</v>
      </c>
      <c r="Y9549">
        <v>2.1094450000000001E-2</v>
      </c>
      <c r="Z9549">
        <v>1.856172E-2</v>
      </c>
      <c r="AA9549">
        <v>0.99960519999999997</v>
      </c>
      <c r="AB9549">
        <v>25</v>
      </c>
      <c r="AC9549">
        <v>12.492000000000001</v>
      </c>
      <c r="AD9549">
        <v>1.4029039999999999</v>
      </c>
      <c r="AE9549">
        <v>371.85351000000003</v>
      </c>
      <c r="AF9549">
        <v>7.8572168136467004</v>
      </c>
      <c r="AG9549">
        <v>1.4029039999999999</v>
      </c>
      <c r="AH9549">
        <v>371.97501382746299</v>
      </c>
      <c r="AI9549">
        <v>89.783958146809098</v>
      </c>
      <c r="AJ9549">
        <v>88.789922955080101</v>
      </c>
      <c r="AK9549">
        <v>372.06063337530202</v>
      </c>
      <c r="AL9549">
        <v>92.954201312753497</v>
      </c>
      <c r="AM9549">
        <v>92.357006498417206</v>
      </c>
      <c r="AN9549">
        <v>1.0000000545735599</v>
      </c>
    </row>
    <row r="9550" spans="1:40" x14ac:dyDescent="0.25">
      <c r="A9550" t="str">
        <f>"20190303154026443"</f>
        <v>20190303154026443</v>
      </c>
      <c r="B9550" t="str">
        <f>"1551598826437576"</f>
        <v>1551598826437576</v>
      </c>
      <c r="C9550" t="s">
        <v>40</v>
      </c>
      <c r="D9550">
        <v>4.4380030000000001</v>
      </c>
      <c r="E9550">
        <v>0.52397450000000001</v>
      </c>
      <c r="F9550" t="s">
        <v>49</v>
      </c>
      <c r="G9550">
        <v>-177.4042</v>
      </c>
      <c r="H9550">
        <v>3.0104090000000001</v>
      </c>
      <c r="I9550">
        <v>293.6748</v>
      </c>
      <c r="J9550">
        <v>-187.29589999999999</v>
      </c>
      <c r="K9550">
        <v>1.121675</v>
      </c>
      <c r="L9550">
        <v>19.396909999999998</v>
      </c>
      <c r="M9550">
        <v>1.174179E-2</v>
      </c>
      <c r="N9550">
        <v>-1.4723160000000001E-2</v>
      </c>
      <c r="O9550">
        <v>0.99982269999999895</v>
      </c>
      <c r="P9550">
        <v>-2.889015E-2</v>
      </c>
      <c r="Q9550">
        <v>-6.6109329999999994E-2</v>
      </c>
      <c r="R9550">
        <v>0.99739409999999895</v>
      </c>
      <c r="S9550">
        <v>0.1085663</v>
      </c>
      <c r="T9550">
        <v>2.0724889999999999E-2</v>
      </c>
      <c r="U9550">
        <v>3.0123600000000001</v>
      </c>
      <c r="V9550">
        <v>-4.0539449999999998E-2</v>
      </c>
      <c r="W9550">
        <v>-5.1471929999999999E-2</v>
      </c>
      <c r="X9550">
        <v>0.9978513</v>
      </c>
      <c r="Y9550">
        <v>2.426917E-2</v>
      </c>
      <c r="Z9550">
        <v>2.1594789999999999E-2</v>
      </c>
      <c r="AA9550">
        <v>0.99947220000000003</v>
      </c>
      <c r="AB9550">
        <v>25</v>
      </c>
      <c r="AC9550">
        <v>9.8916999999999806</v>
      </c>
      <c r="AD9550">
        <v>1.8887339999999999</v>
      </c>
      <c r="AE9550">
        <v>274.27789000000001</v>
      </c>
      <c r="AF9550">
        <v>6.6698396906890904</v>
      </c>
      <c r="AG9550">
        <v>1.8887339999999999</v>
      </c>
      <c r="AH9550">
        <v>274.36214349795102</v>
      </c>
      <c r="AI9550">
        <v>89.605693358096005</v>
      </c>
      <c r="AJ9550">
        <v>88.607393852796505</v>
      </c>
      <c r="AK9550">
        <v>274.449703702541</v>
      </c>
      <c r="AL9550">
        <v>92.950428087811204</v>
      </c>
      <c r="AM9550">
        <v>92.3264616020235</v>
      </c>
      <c r="AN9550">
        <v>1.0000000117479499</v>
      </c>
    </row>
    <row r="9551" spans="1:40" x14ac:dyDescent="0.25">
      <c r="A9551" t="str">
        <f>"20190303154026466"</f>
        <v>20190303154026466</v>
      </c>
      <c r="B9551" t="str">
        <f>"1551598826457095"</f>
        <v>1551598826457095</v>
      </c>
      <c r="C9551" t="s">
        <v>40</v>
      </c>
      <c r="D9551">
        <v>4.5084689999999998</v>
      </c>
      <c r="E9551">
        <v>0.52354400000000001</v>
      </c>
      <c r="F9551" t="s">
        <v>92</v>
      </c>
      <c r="G9551">
        <v>-174.56489999999999</v>
      </c>
      <c r="H9551">
        <v>3.6303770000000002</v>
      </c>
      <c r="I9551">
        <v>391.00349999999997</v>
      </c>
      <c r="J9551">
        <v>-187.2936</v>
      </c>
      <c r="K9551">
        <v>1.121656</v>
      </c>
      <c r="L9551">
        <v>19.669370000000001</v>
      </c>
      <c r="M9551">
        <v>1.0952999999999999E-2</v>
      </c>
      <c r="N9551">
        <v>-1.4619399999999999E-2</v>
      </c>
      <c r="O9551">
        <v>0.99983319999999998</v>
      </c>
      <c r="P9551">
        <v>-2.907438E-2</v>
      </c>
      <c r="Q9551">
        <v>-6.6883289999999998E-2</v>
      </c>
      <c r="R9551">
        <v>0.99733709999999998</v>
      </c>
      <c r="S9551">
        <v>0.1031952</v>
      </c>
      <c r="T9551">
        <v>2.0335079999999998E-2</v>
      </c>
      <c r="U9551">
        <v>3.0121769999999999</v>
      </c>
      <c r="V9551">
        <v>-3.9934770000000001E-2</v>
      </c>
      <c r="W9551">
        <v>-5.234917E-2</v>
      </c>
      <c r="X9551">
        <v>0.99782999999999999</v>
      </c>
      <c r="Y9551">
        <v>2.32803E-2</v>
      </c>
      <c r="Z9551">
        <v>2.1362909999999999E-2</v>
      </c>
      <c r="AA9551">
        <v>0.99950070000000002</v>
      </c>
      <c r="AB9551">
        <v>25</v>
      </c>
      <c r="AC9551">
        <v>12.7287</v>
      </c>
      <c r="AD9551">
        <v>2.5087209999999902</v>
      </c>
      <c r="AE9551">
        <v>371.33413000000002</v>
      </c>
      <c r="AF9551">
        <v>8.6598843113930606</v>
      </c>
      <c r="AG9551">
        <v>2.5087209999999902</v>
      </c>
      <c r="AH9551">
        <v>371.43434925821498</v>
      </c>
      <c r="AI9551">
        <v>89.613127081395803</v>
      </c>
      <c r="AJ9551">
        <v>88.664407453020004</v>
      </c>
      <c r="AK9551">
        <v>371.54375662392198</v>
      </c>
      <c r="AL9551">
        <v>93.000758236356603</v>
      </c>
      <c r="AM9551">
        <v>92.291846620678399</v>
      </c>
      <c r="AN9551">
        <v>0.99999996517732004</v>
      </c>
    </row>
    <row r="9552" spans="1:40" x14ac:dyDescent="0.25">
      <c r="A9552" t="str">
        <f>"20190303154026489"</f>
        <v>20190303154026489</v>
      </c>
      <c r="B9552" t="str">
        <f>"1551598826477591"</f>
        <v>1551598826477591</v>
      </c>
      <c r="C9552" t="s">
        <v>40</v>
      </c>
      <c r="D9552">
        <v>4.568441</v>
      </c>
      <c r="E9552">
        <v>0.52318520000000002</v>
      </c>
      <c r="F9552" t="s">
        <v>92</v>
      </c>
      <c r="G9552">
        <v>-175.0438</v>
      </c>
      <c r="H9552">
        <v>3.3070699999999902</v>
      </c>
      <c r="I9552">
        <v>391.00349999999997</v>
      </c>
      <c r="J9552">
        <v>-187.29179999999999</v>
      </c>
      <c r="K9552">
        <v>1.1216440000000001</v>
      </c>
      <c r="L9552">
        <v>19.914919999999999</v>
      </c>
      <c r="M9552">
        <v>1.0244909999999999E-2</v>
      </c>
      <c r="N9552">
        <v>-1.452636E-2</v>
      </c>
      <c r="O9552">
        <v>0.99984200000000001</v>
      </c>
      <c r="P9552">
        <v>-2.9708780000000001E-2</v>
      </c>
      <c r="Q9552">
        <v>-6.6701659999999996E-2</v>
      </c>
      <c r="R9552">
        <v>0.99733050000000001</v>
      </c>
      <c r="S9552">
        <v>9.9365229999999999E-2</v>
      </c>
      <c r="T9552">
        <v>1.772702E-2</v>
      </c>
      <c r="U9552">
        <v>3.0120849999999999</v>
      </c>
      <c r="V9552">
        <v>-3.986311E-2</v>
      </c>
      <c r="W9552">
        <v>-5.2260090000000002E-2</v>
      </c>
      <c r="X9552">
        <v>0.99783750000000004</v>
      </c>
      <c r="Y9552">
        <v>2.2720480000000001E-2</v>
      </c>
      <c r="Z9552">
        <v>2.0405409999999999E-2</v>
      </c>
      <c r="AA9552">
        <v>0.99953360000000002</v>
      </c>
      <c r="AB9552">
        <v>25</v>
      </c>
      <c r="AC9552">
        <v>12.2479999999999</v>
      </c>
      <c r="AD9552">
        <v>2.1854260000000001</v>
      </c>
      <c r="AE9552">
        <v>371.08857999999998</v>
      </c>
      <c r="AF9552">
        <v>8.4448942214654998</v>
      </c>
      <c r="AG9552">
        <v>2.1854260000000001</v>
      </c>
      <c r="AH9552">
        <v>371.18173418796499</v>
      </c>
      <c r="AI9552">
        <v>89.662747829003393</v>
      </c>
      <c r="AJ9552">
        <v>88.696667176134</v>
      </c>
      <c r="AK9552">
        <v>371.284220133308</v>
      </c>
      <c r="AL9552">
        <v>92.9956474362573</v>
      </c>
      <c r="AM9552">
        <v>92.287721267557501</v>
      </c>
      <c r="AN9552">
        <v>0.99999993047596203</v>
      </c>
    </row>
    <row r="9553" spans="1:40" x14ac:dyDescent="0.25">
      <c r="A9553" t="str">
        <f>"20190303154026510"</f>
        <v>20190303154026510</v>
      </c>
      <c r="B9553" t="str">
        <f>"1551598826507848"</f>
        <v>1551598826507848</v>
      </c>
      <c r="C9553" t="s">
        <v>40</v>
      </c>
      <c r="D9553">
        <v>4.5769089999999997</v>
      </c>
      <c r="E9553">
        <v>0.52245750000000002</v>
      </c>
      <c r="F9553" t="s">
        <v>92</v>
      </c>
      <c r="G9553">
        <v>-175.66299999999899</v>
      </c>
      <c r="H9553">
        <v>3.4485209999999999</v>
      </c>
      <c r="I9553">
        <v>391.00349999999997</v>
      </c>
      <c r="J9553">
        <v>-187.2902</v>
      </c>
      <c r="K9553">
        <v>1.12164</v>
      </c>
      <c r="L9553">
        <v>20.152159999999999</v>
      </c>
      <c r="M9553">
        <v>9.5578859999999998E-3</v>
      </c>
      <c r="N9553">
        <v>-1.444324E-2</v>
      </c>
      <c r="O9553">
        <v>0.99985000000000002</v>
      </c>
      <c r="P9553">
        <v>-3.0773120000000001E-2</v>
      </c>
      <c r="Q9553">
        <v>-6.6638219999999998E-2</v>
      </c>
      <c r="R9553">
        <v>0.99730249999999998</v>
      </c>
      <c r="S9553">
        <v>9.4390870000000002E-2</v>
      </c>
      <c r="T9553">
        <v>1.888716E-2</v>
      </c>
      <c r="U9553">
        <v>3.0121150000000001</v>
      </c>
      <c r="V9553">
        <v>-4.0242750000000001E-2</v>
      </c>
      <c r="W9553">
        <v>-5.2279949999999999E-2</v>
      </c>
      <c r="X9553">
        <v>0.99782130000000002</v>
      </c>
      <c r="Y9553">
        <v>2.1758070000000001E-2</v>
      </c>
      <c r="Z9553">
        <v>2.0707699999999999E-2</v>
      </c>
      <c r="AA9553">
        <v>0.99954880000000002</v>
      </c>
      <c r="AB9553">
        <v>25</v>
      </c>
      <c r="AC9553">
        <v>11.6272</v>
      </c>
      <c r="AD9553">
        <v>2.3268810000000002</v>
      </c>
      <c r="AE9553">
        <v>370.85133999999999</v>
      </c>
      <c r="AF9553">
        <v>8.0814263164458406</v>
      </c>
      <c r="AG9553">
        <v>2.3268810000000002</v>
      </c>
      <c r="AH9553">
        <v>370.93095125205798</v>
      </c>
      <c r="AI9553">
        <v>89.640668748291006</v>
      </c>
      <c r="AJ9553">
        <v>88.751901458783493</v>
      </c>
      <c r="AK9553">
        <v>371.02627187741399</v>
      </c>
      <c r="AL9553">
        <v>92.996786651377704</v>
      </c>
      <c r="AM9553">
        <v>92.309522566058504</v>
      </c>
      <c r="AN9553">
        <v>1.0000000094166199</v>
      </c>
    </row>
    <row r="9554" spans="1:40" x14ac:dyDescent="0.25">
      <c r="A9554" t="str">
        <f>"20190303154026532"</f>
        <v>20190303154026532</v>
      </c>
      <c r="B9554" t="str">
        <f>"1551598826527368"</f>
        <v>1551598826527368</v>
      </c>
      <c r="C9554" t="s">
        <v>40</v>
      </c>
      <c r="D9554">
        <v>4.5620339999999997</v>
      </c>
      <c r="E9554">
        <v>0.52199070000000003</v>
      </c>
      <c r="F9554" t="s">
        <v>92</v>
      </c>
      <c r="G9554">
        <v>-176.77869999999999</v>
      </c>
      <c r="H9554">
        <v>3.408064</v>
      </c>
      <c r="I9554">
        <v>391.00349999999997</v>
      </c>
      <c r="J9554">
        <v>-187.2886</v>
      </c>
      <c r="K9554">
        <v>1.1216360000000001</v>
      </c>
      <c r="L9554">
        <v>20.402799999999999</v>
      </c>
      <c r="M9554">
        <v>8.8263660000000004E-3</v>
      </c>
      <c r="N9554">
        <v>-1.436613E-2</v>
      </c>
      <c r="O9554">
        <v>0.99985780000000002</v>
      </c>
      <c r="P9554">
        <v>-3.1996089999999998E-2</v>
      </c>
      <c r="Q9554">
        <v>-6.5741930000000004E-2</v>
      </c>
      <c r="R9554">
        <v>0.99732350000000003</v>
      </c>
      <c r="S9554">
        <v>8.5372920000000005E-2</v>
      </c>
      <c r="T9554">
        <v>1.8569950000000002E-2</v>
      </c>
      <c r="U9554">
        <v>3.0119929999999999</v>
      </c>
      <c r="V9554">
        <v>-4.0737889999999999E-2</v>
      </c>
      <c r="W9554">
        <v>-5.1460180000000001E-2</v>
      </c>
      <c r="X9554">
        <v>0.99784379999999995</v>
      </c>
      <c r="Y9554">
        <v>1.9500989999999999E-2</v>
      </c>
      <c r="Z9554">
        <v>2.052646E-2</v>
      </c>
      <c r="AA9554">
        <v>0.99959909999999996</v>
      </c>
      <c r="AB9554">
        <v>25</v>
      </c>
      <c r="AC9554">
        <v>10.5099</v>
      </c>
      <c r="AD9554">
        <v>2.2864279999999999</v>
      </c>
      <c r="AE9554">
        <v>370.60070000000002</v>
      </c>
      <c r="AF9554">
        <v>7.2378200842702798</v>
      </c>
      <c r="AG9554">
        <v>2.2864279999999999</v>
      </c>
      <c r="AH9554">
        <v>370.66493749661601</v>
      </c>
      <c r="AI9554">
        <v>89.646645708677994</v>
      </c>
      <c r="AJ9554">
        <v>88.8813513024526</v>
      </c>
      <c r="AK9554">
        <v>370.74264616030098</v>
      </c>
      <c r="AL9554">
        <v>92.9497540406105</v>
      </c>
      <c r="AM9554">
        <v>92.337854544014903</v>
      </c>
      <c r="AN9554">
        <v>0.99999998750286201</v>
      </c>
    </row>
    <row r="9555" spans="1:40" x14ac:dyDescent="0.25">
      <c r="A9555" t="str">
        <f>"20190303154026554"</f>
        <v>20190303154026554</v>
      </c>
      <c r="B9555" t="str">
        <f>"1551598826547864"</f>
        <v>1551598826547864</v>
      </c>
      <c r="C9555" t="s">
        <v>40</v>
      </c>
      <c r="D9555">
        <v>4.5867589999999998</v>
      </c>
      <c r="E9555">
        <v>0.52176109999999998</v>
      </c>
      <c r="F9555" t="s">
        <v>92</v>
      </c>
      <c r="G9555">
        <v>-177.65729999999999</v>
      </c>
      <c r="H9555">
        <v>3.8297460000000001</v>
      </c>
      <c r="I9555">
        <v>391.87</v>
      </c>
      <c r="J9555">
        <v>-187.28729999999999</v>
      </c>
      <c r="K9555">
        <v>1.1216299999999999</v>
      </c>
      <c r="L9555">
        <v>20.653500000000001</v>
      </c>
      <c r="M9555">
        <v>8.091272E-3</v>
      </c>
      <c r="N9555">
        <v>-1.4299859999999999E-2</v>
      </c>
      <c r="O9555">
        <v>0.999865</v>
      </c>
      <c r="P9555">
        <v>-3.2566240000000003E-2</v>
      </c>
      <c r="Q9555">
        <v>-6.5942710000000002E-2</v>
      </c>
      <c r="R9555">
        <v>0.99729179999999995</v>
      </c>
      <c r="S9555">
        <v>7.8094479999999994E-2</v>
      </c>
      <c r="T9555">
        <v>2.1958350000000001E-2</v>
      </c>
      <c r="U9555">
        <v>3.0119929999999999</v>
      </c>
      <c r="V9555">
        <v>-4.0575079999999999E-2</v>
      </c>
      <c r="W9555">
        <v>-5.1726469999999997E-2</v>
      </c>
      <c r="X9555">
        <v>0.99783659999999996</v>
      </c>
      <c r="Y9555">
        <v>1.7821969999999999E-2</v>
      </c>
      <c r="Z9555">
        <v>2.1585190000000001E-2</v>
      </c>
      <c r="AA9555">
        <v>0.99960819999999995</v>
      </c>
      <c r="AB9555">
        <v>25</v>
      </c>
      <c r="AC9555">
        <v>9.6299999999999901</v>
      </c>
      <c r="AD9555">
        <v>2.708116</v>
      </c>
      <c r="AE9555">
        <v>371.2165</v>
      </c>
      <c r="AF9555">
        <v>6.62541146857005</v>
      </c>
      <c r="AG9555">
        <v>2.708116</v>
      </c>
      <c r="AH9555">
        <v>371.26252717000102</v>
      </c>
      <c r="AI9555">
        <v>89.582138907009394</v>
      </c>
      <c r="AJ9555">
        <v>88.977629582455293</v>
      </c>
      <c r="AK9555">
        <v>371.33151502404502</v>
      </c>
      <c r="AL9555">
        <v>92.965031873815406</v>
      </c>
      <c r="AM9555">
        <v>92.328538337889</v>
      </c>
      <c r="AN9555">
        <v>0.99999992255761005</v>
      </c>
    </row>
    <row r="9556" spans="1:40" x14ac:dyDescent="0.25">
      <c r="A9556" t="str">
        <f>"20190303154026578"</f>
        <v>20190303154026578</v>
      </c>
      <c r="B9556" t="str">
        <f>"1551598826567387"</f>
        <v>1551598826567387</v>
      </c>
      <c r="C9556" t="s">
        <v>40</v>
      </c>
      <c r="D9556">
        <v>4.5591569999999999</v>
      </c>
      <c r="E9556">
        <v>0.52158159999999998</v>
      </c>
      <c r="F9556" t="s">
        <v>92</v>
      </c>
      <c r="G9556">
        <v>-178.0556</v>
      </c>
      <c r="H9556">
        <v>3.8005909999999998</v>
      </c>
      <c r="I9556">
        <v>391.87</v>
      </c>
      <c r="J9556">
        <v>-187.286</v>
      </c>
      <c r="K9556">
        <v>1.121629</v>
      </c>
      <c r="L9556">
        <v>20.917449999999999</v>
      </c>
      <c r="M9556">
        <v>7.3161199999999997E-3</v>
      </c>
      <c r="N9556">
        <v>-1.424158E-2</v>
      </c>
      <c r="O9556">
        <v>0.99987179999999998</v>
      </c>
      <c r="P9556">
        <v>-3.3320080000000002E-2</v>
      </c>
      <c r="Q9556">
        <v>-6.6817489999999993E-2</v>
      </c>
      <c r="R9556">
        <v>0.99720869999999995</v>
      </c>
      <c r="S9556">
        <v>7.4905399999999997E-2</v>
      </c>
      <c r="T9556">
        <v>2.173686E-2</v>
      </c>
      <c r="U9556">
        <v>3.0120239999999998</v>
      </c>
      <c r="V9556">
        <v>-4.0554069999999998E-2</v>
      </c>
      <c r="W9556">
        <v>-5.2659900000000003E-2</v>
      </c>
      <c r="X9556">
        <v>0.99778869999999997</v>
      </c>
      <c r="Y9556">
        <v>1.7539240000000001E-2</v>
      </c>
      <c r="Z9556">
        <v>2.1453730000000001E-2</v>
      </c>
      <c r="AA9556">
        <v>0.99961599999999995</v>
      </c>
      <c r="AB9556">
        <v>25</v>
      </c>
      <c r="AC9556">
        <v>9.2303999999999693</v>
      </c>
      <c r="AD9556">
        <v>2.6789619999999998</v>
      </c>
      <c r="AE9556">
        <v>370.95254999999997</v>
      </c>
      <c r="AF9556">
        <v>6.5156046202638498</v>
      </c>
      <c r="AG9556">
        <v>2.6789619999999998</v>
      </c>
      <c r="AH9556">
        <v>370.99082061346502</v>
      </c>
      <c r="AI9556">
        <v>89.586332399594795</v>
      </c>
      <c r="AJ9556">
        <v>88.993834216234404</v>
      </c>
      <c r="AK9556">
        <v>371.057702952542</v>
      </c>
      <c r="AL9556">
        <v>93.018586258842205</v>
      </c>
      <c r="AM9556">
        <v>92.327445537571194</v>
      </c>
      <c r="AN9556">
        <v>0.999999993754632</v>
      </c>
    </row>
    <row r="9557" spans="1:40" x14ac:dyDescent="0.25">
      <c r="A9557" t="str">
        <f>"20190303154026599"</f>
        <v>20190303154026599</v>
      </c>
      <c r="B9557" t="str">
        <f>"1551598826587879"</f>
        <v>1551598826587879</v>
      </c>
      <c r="C9557" t="s">
        <v>40</v>
      </c>
      <c r="D9557">
        <v>4.5699399999999999</v>
      </c>
      <c r="E9557">
        <v>0.52142179999999905</v>
      </c>
      <c r="F9557" t="s">
        <v>92</v>
      </c>
      <c r="G9557">
        <v>-178.54409999999999</v>
      </c>
      <c r="H9557">
        <v>3.6166900000000002</v>
      </c>
      <c r="I9557">
        <v>391.87</v>
      </c>
      <c r="J9557">
        <v>-187.2851</v>
      </c>
      <c r="K9557">
        <v>1.1216299999999999</v>
      </c>
      <c r="L9557">
        <v>21.150759999999998</v>
      </c>
      <c r="M9557">
        <v>6.6306910000000002E-3</v>
      </c>
      <c r="N9557">
        <v>-1.4201180000000001E-2</v>
      </c>
      <c r="O9557">
        <v>0.99987720000000002</v>
      </c>
      <c r="P9557">
        <v>-3.425222E-2</v>
      </c>
      <c r="Q9557">
        <v>-6.6947740000000006E-2</v>
      </c>
      <c r="R9557">
        <v>0.99716839999999995</v>
      </c>
      <c r="S9557">
        <v>7.0983889999999994E-2</v>
      </c>
      <c r="T9557">
        <v>2.0259739999999998E-2</v>
      </c>
      <c r="U9557">
        <v>3.0121150000000001</v>
      </c>
      <c r="V9557">
        <v>-4.0802529999999997E-2</v>
      </c>
      <c r="W9557">
        <v>-5.2831059999999999E-2</v>
      </c>
      <c r="X9557">
        <v>0.99776949999999998</v>
      </c>
      <c r="Y9557">
        <v>1.6923489999999999E-2</v>
      </c>
      <c r="Z9557">
        <v>2.092337E-2</v>
      </c>
      <c r="AA9557">
        <v>0.99963780000000002</v>
      </c>
      <c r="AB9557">
        <v>25</v>
      </c>
      <c r="AC9557">
        <v>8.7410000000000103</v>
      </c>
      <c r="AD9557">
        <v>2.4950600000000001</v>
      </c>
      <c r="AE9557">
        <v>370.71924000000001</v>
      </c>
      <c r="AF9557">
        <v>6.28215083166093</v>
      </c>
      <c r="AG9557">
        <v>2.4950600000000001</v>
      </c>
      <c r="AH9557">
        <v>370.75226872501702</v>
      </c>
      <c r="AI9557">
        <v>89.614476444715294</v>
      </c>
      <c r="AJ9557">
        <v>89.029253985414101</v>
      </c>
      <c r="AK9557">
        <v>370.813882572137</v>
      </c>
      <c r="AL9557">
        <v>93.028406742909596</v>
      </c>
      <c r="AM9557">
        <v>92.341734133053905</v>
      </c>
      <c r="AN9557">
        <v>0.99999997124268603</v>
      </c>
    </row>
    <row r="9558" spans="1:40" x14ac:dyDescent="0.25">
      <c r="A9558" t="str">
        <f>"20190303154026623"</f>
        <v>20190303154026623</v>
      </c>
      <c r="B9558" t="str">
        <f>"1551598826617160"</f>
        <v>1551598826617160</v>
      </c>
      <c r="C9558" t="s">
        <v>40</v>
      </c>
      <c r="D9558">
        <v>4.618023</v>
      </c>
      <c r="E9558">
        <v>0.5210863</v>
      </c>
      <c r="F9558" t="s">
        <v>92</v>
      </c>
      <c r="G9558">
        <v>-179.0822</v>
      </c>
      <c r="H9558">
        <v>3.6436649999999999</v>
      </c>
      <c r="I9558">
        <v>391.87</v>
      </c>
      <c r="J9558">
        <v>-187.2843</v>
      </c>
      <c r="K9558">
        <v>1.1216390000000001</v>
      </c>
      <c r="L9558">
        <v>21.416049999999998</v>
      </c>
      <c r="M9558">
        <v>5.8484840000000001E-3</v>
      </c>
      <c r="N9558">
        <v>-1.416599E-2</v>
      </c>
      <c r="O9558">
        <v>0.99988259999999995</v>
      </c>
      <c r="P9558">
        <v>-3.4296420000000001E-2</v>
      </c>
      <c r="Q9558">
        <v>-6.7476899999999895E-2</v>
      </c>
      <c r="R9558">
        <v>0.9971312</v>
      </c>
      <c r="S9558">
        <v>6.6650390000000004E-2</v>
      </c>
      <c r="T9558">
        <v>2.0492079999999999E-2</v>
      </c>
      <c r="U9558">
        <v>3.0121769999999999</v>
      </c>
      <c r="V9558">
        <v>-4.0065780000000002E-2</v>
      </c>
      <c r="W9558">
        <v>-5.3394860000000002E-2</v>
      </c>
      <c r="X9558">
        <v>0.99776940000000003</v>
      </c>
      <c r="Y9558">
        <v>1.626785E-2</v>
      </c>
      <c r="Z9558">
        <v>2.096553E-2</v>
      </c>
      <c r="AA9558">
        <v>0.99964790000000003</v>
      </c>
      <c r="AB9558">
        <v>25</v>
      </c>
      <c r="AC9558">
        <v>8.2020999999999997</v>
      </c>
      <c r="AD9558">
        <v>2.5220259999999999</v>
      </c>
      <c r="AE9558">
        <v>370.45395000000002</v>
      </c>
      <c r="AF9558">
        <v>6.0348688070802403</v>
      </c>
      <c r="AG9558">
        <v>2.5220259999999999</v>
      </c>
      <c r="AH9558">
        <v>370.47842518441098</v>
      </c>
      <c r="AI9558">
        <v>89.610017649906297</v>
      </c>
      <c r="AJ9558">
        <v>89.066769045104706</v>
      </c>
      <c r="AK9558">
        <v>370.53615718818099</v>
      </c>
      <c r="AL9558">
        <v>93.060755595196696</v>
      </c>
      <c r="AM9558">
        <v>92.299496698117295</v>
      </c>
      <c r="AN9558">
        <v>1.00000002668889</v>
      </c>
    </row>
    <row r="9559" spans="1:40" x14ac:dyDescent="0.25">
      <c r="A9559" t="str">
        <f>"20190303154026644"</f>
        <v>20190303154026644</v>
      </c>
      <c r="B9559" t="str">
        <f>"1551598826637656"</f>
        <v>1551598826637656</v>
      </c>
      <c r="C9559" t="s">
        <v>40</v>
      </c>
      <c r="D9559">
        <v>4.6110850000000001</v>
      </c>
      <c r="E9559">
        <v>0.52092519999999998</v>
      </c>
      <c r="F9559" t="s">
        <v>92</v>
      </c>
      <c r="G9559">
        <v>-179.42310000000001</v>
      </c>
      <c r="H9559">
        <v>3.5213049999999999</v>
      </c>
      <c r="I9559">
        <v>391.87</v>
      </c>
      <c r="J9559">
        <v>-187.28370000000001</v>
      </c>
      <c r="K9559">
        <v>1.12164</v>
      </c>
      <c r="L9559">
        <v>21.654599999999999</v>
      </c>
      <c r="M9559">
        <v>5.1388069999999996E-3</v>
      </c>
      <c r="N9559">
        <v>-1.413591E-2</v>
      </c>
      <c r="O9559">
        <v>0.99988690000000002</v>
      </c>
      <c r="P9559">
        <v>-3.4767859999999998E-2</v>
      </c>
      <c r="Q9559">
        <v>-6.7828509999999995E-2</v>
      </c>
      <c r="R9559">
        <v>0.99709099999999995</v>
      </c>
      <c r="S9559">
        <v>6.3919069999999995E-2</v>
      </c>
      <c r="T9559">
        <v>1.9511580000000001E-2</v>
      </c>
      <c r="U9559">
        <v>3.012146</v>
      </c>
      <c r="V9559">
        <v>-3.9828009999999997E-2</v>
      </c>
      <c r="W9559">
        <v>-5.3776820000000003E-2</v>
      </c>
      <c r="X9559">
        <v>0.99775840000000005</v>
      </c>
      <c r="Y9559">
        <v>1.6071849999999999E-2</v>
      </c>
      <c r="Z9559">
        <v>2.0610420000000001E-2</v>
      </c>
      <c r="AA9559">
        <v>0.99965839999999995</v>
      </c>
      <c r="AB9559">
        <v>25</v>
      </c>
      <c r="AC9559">
        <v>7.8605999999999998</v>
      </c>
      <c r="AD9559">
        <v>2.3996650000000002</v>
      </c>
      <c r="AE9559">
        <v>370.21539999999999</v>
      </c>
      <c r="AF9559">
        <v>5.9575904467531497</v>
      </c>
      <c r="AG9559">
        <v>2.3996650000000002</v>
      </c>
      <c r="AH9559">
        <v>370.235360935166</v>
      </c>
      <c r="AI9559">
        <v>89.628693069738503</v>
      </c>
      <c r="AJ9559">
        <v>89.078112553323393</v>
      </c>
      <c r="AK9559">
        <v>370.29106627467502</v>
      </c>
      <c r="AL9559">
        <v>93.082671797130303</v>
      </c>
      <c r="AM9559">
        <v>92.285890049485701</v>
      </c>
      <c r="AN9559">
        <v>1.00000002076021</v>
      </c>
    </row>
    <row r="9560" spans="1:40" x14ac:dyDescent="0.25">
      <c r="A9560" t="str">
        <f>"20190303154026668"</f>
        <v>20190303154026668</v>
      </c>
      <c r="B9560" t="str">
        <f>"1551598826657177"</f>
        <v>1551598826657177</v>
      </c>
      <c r="C9560" t="s">
        <v>40</v>
      </c>
      <c r="D9560">
        <v>4.7133669999999999</v>
      </c>
      <c r="E9560">
        <v>0.52068720000000002</v>
      </c>
      <c r="F9560" t="s">
        <v>49</v>
      </c>
      <c r="G9560">
        <v>-179.97479999999999</v>
      </c>
      <c r="H9560">
        <v>3.3473449999999998</v>
      </c>
      <c r="I9560">
        <v>380.38249999999999</v>
      </c>
      <c r="J9560">
        <v>-187.28319999999999</v>
      </c>
      <c r="K9560">
        <v>1.1216410000000001</v>
      </c>
      <c r="L9560">
        <v>21.926909999999999</v>
      </c>
      <c r="M9560">
        <v>4.3191230000000002E-3</v>
      </c>
      <c r="N9560">
        <v>-1.409594E-2</v>
      </c>
      <c r="O9560">
        <v>0.99989130000000004</v>
      </c>
      <c r="P9560">
        <v>-3.4758209999999998E-2</v>
      </c>
      <c r="Q9560">
        <v>-6.8646620000000005E-2</v>
      </c>
      <c r="R9560">
        <v>0.99703540000000002</v>
      </c>
      <c r="S9560">
        <v>6.1370849999999998E-2</v>
      </c>
      <c r="T9560">
        <v>1.8689750000000002E-2</v>
      </c>
      <c r="U9560">
        <v>3.012146</v>
      </c>
      <c r="V9560">
        <v>-3.8999300000000001E-2</v>
      </c>
      <c r="W9560">
        <v>-5.4634710000000003E-2</v>
      </c>
      <c r="X9560">
        <v>0.99774450000000003</v>
      </c>
      <c r="Y9560">
        <v>1.6046299999999999E-2</v>
      </c>
      <c r="Z9560">
        <v>2.029798E-2</v>
      </c>
      <c r="AA9560">
        <v>0.99966520000000003</v>
      </c>
      <c r="AB9560">
        <v>25</v>
      </c>
      <c r="AC9560">
        <v>7.3083999999999998</v>
      </c>
      <c r="AD9560">
        <v>2.2257039999999999</v>
      </c>
      <c r="AE9560">
        <v>358.45558999999997</v>
      </c>
      <c r="AF9560">
        <v>5.7597422045325404</v>
      </c>
      <c r="AG9560">
        <v>2.2257039999999999</v>
      </c>
      <c r="AH9560">
        <v>358.47000033286002</v>
      </c>
      <c r="AI9560">
        <v>89.644306777334194</v>
      </c>
      <c r="AJ9560">
        <v>89.079475201899797</v>
      </c>
      <c r="AK9560">
        <v>358.52317850760897</v>
      </c>
      <c r="AL9560">
        <v>93.131897736236894</v>
      </c>
      <c r="AM9560">
        <v>92.238407087125196</v>
      </c>
      <c r="AN9560">
        <v>0.999999992108762</v>
      </c>
    </row>
    <row r="9561" spans="1:40" x14ac:dyDescent="0.25">
      <c r="A9561" t="str">
        <f>"20190303154026690"</f>
        <v>20190303154026690</v>
      </c>
      <c r="B9561" t="str">
        <f>"1551598826687432"</f>
        <v>1551598826687432</v>
      </c>
      <c r="C9561" t="s">
        <v>40</v>
      </c>
      <c r="D9561">
        <v>4.8450709999999999</v>
      </c>
      <c r="E9561">
        <v>0.50133700000000003</v>
      </c>
      <c r="F9561" t="s">
        <v>92</v>
      </c>
      <c r="G9561">
        <v>-179.99860000000001</v>
      </c>
      <c r="H9561">
        <v>3.0356809999999999</v>
      </c>
      <c r="I9561">
        <v>391.87</v>
      </c>
      <c r="J9561">
        <v>-187.28299999999999</v>
      </c>
      <c r="K9561">
        <v>1.1216410000000001</v>
      </c>
      <c r="L9561">
        <v>22.164339999999999</v>
      </c>
      <c r="M9561">
        <v>3.5946329999999999E-3</v>
      </c>
      <c r="N9561">
        <v>-1.405406E-2</v>
      </c>
      <c r="O9561">
        <v>0.99989479999999997</v>
      </c>
      <c r="P9561">
        <v>-3.525681E-2</v>
      </c>
      <c r="Q9561">
        <v>-6.9479550000000001E-2</v>
      </c>
      <c r="R9561">
        <v>0.99696019999999996</v>
      </c>
      <c r="S9561">
        <v>5.9310910000000001E-2</v>
      </c>
      <c r="T9561">
        <v>1.5583990000000001E-2</v>
      </c>
      <c r="U9561">
        <v>3.012054</v>
      </c>
      <c r="V9561">
        <v>-3.8773340000000003E-2</v>
      </c>
      <c r="W9561">
        <v>-5.5510360000000002E-2</v>
      </c>
      <c r="X9561">
        <v>0.99770499999999995</v>
      </c>
      <c r="Y9561">
        <v>1.6088310000000001E-2</v>
      </c>
      <c r="Z9561">
        <v>1.9225780000000001E-2</v>
      </c>
      <c r="AA9561">
        <v>0.99968570000000001</v>
      </c>
      <c r="AB9561">
        <v>25</v>
      </c>
      <c r="AC9561">
        <v>7.2843999999999696</v>
      </c>
      <c r="AD9561">
        <v>1.91404</v>
      </c>
      <c r="AE9561">
        <v>369.70566000000002</v>
      </c>
      <c r="AF9561">
        <v>5.9551059751431898</v>
      </c>
      <c r="AG9561">
        <v>1.91404</v>
      </c>
      <c r="AH9561">
        <v>369.71955240213998</v>
      </c>
      <c r="AI9561">
        <v>89.703420577305096</v>
      </c>
      <c r="AJ9561">
        <v>89.077211539647493</v>
      </c>
      <c r="AK9561">
        <v>369.77246282644597</v>
      </c>
      <c r="AL9561">
        <v>93.182144957865603</v>
      </c>
      <c r="AM9561">
        <v>92.225538965053801</v>
      </c>
      <c r="AN9561">
        <v>1.0000000194935399</v>
      </c>
    </row>
    <row r="9562" spans="1:40" x14ac:dyDescent="0.25">
      <c r="A9562" t="str">
        <f>"20190303154026711"</f>
        <v>20190303154026711</v>
      </c>
      <c r="B9562" t="str">
        <f>"1551598826707928"</f>
        <v>1551598826707928</v>
      </c>
      <c r="C9562" t="s">
        <v>40</v>
      </c>
      <c r="D9562">
        <v>4.7394109999999996</v>
      </c>
      <c r="E9562">
        <v>0.50138369999999999</v>
      </c>
      <c r="F9562" t="s">
        <v>42</v>
      </c>
      <c r="G9562">
        <v>-188.90309999999999</v>
      </c>
      <c r="H9562" s="1">
        <v>-1.583731E-6</v>
      </c>
      <c r="I9562">
        <v>72.870940000000004</v>
      </c>
      <c r="J9562">
        <v>-187.28299999999999</v>
      </c>
      <c r="K9562">
        <v>1.1216349999999999</v>
      </c>
      <c r="L9562">
        <v>22.404630000000001</v>
      </c>
      <c r="M9562">
        <v>2.8535399999999999E-3</v>
      </c>
      <c r="N9562">
        <v>-1.4004300000000001E-2</v>
      </c>
      <c r="O9562">
        <v>0.99989779999999995</v>
      </c>
      <c r="P9562">
        <v>-3.5746899999999998E-2</v>
      </c>
      <c r="Q9562">
        <v>-7.0151969999999994E-2</v>
      </c>
      <c r="R9562">
        <v>0.99689559999999999</v>
      </c>
      <c r="S9562">
        <v>-9.5886230000000003E-2</v>
      </c>
      <c r="T9562">
        <v>-6.6385749999999993E-2</v>
      </c>
      <c r="U9562">
        <v>3.0011290000000002</v>
      </c>
      <c r="V9562">
        <v>-3.8522960000000002E-2</v>
      </c>
      <c r="W9562">
        <v>-5.6233159999999997E-2</v>
      </c>
      <c r="X9562">
        <v>0.99767419999999996</v>
      </c>
      <c r="Y9562">
        <v>-3.4776149999999999E-2</v>
      </c>
      <c r="Z9562">
        <v>-8.0987019999999993E-3</v>
      </c>
      <c r="AA9562">
        <v>0.99936230000000004</v>
      </c>
      <c r="AB9562">
        <v>25</v>
      </c>
      <c r="AC9562">
        <v>-1.6201000000000001</v>
      </c>
      <c r="AD9562">
        <v>-1.1216365837309901</v>
      </c>
      <c r="AE9562">
        <v>50.46631</v>
      </c>
      <c r="AF9562">
        <v>-1.7632450747614701</v>
      </c>
      <c r="AG9562">
        <v>-1.1216365837309901</v>
      </c>
      <c r="AH9562">
        <v>50.436592468006701</v>
      </c>
      <c r="AI9562">
        <v>91.273187421555093</v>
      </c>
      <c r="AJ9562">
        <v>92.002224354250501</v>
      </c>
      <c r="AK9562">
        <v>50.479866893677702</v>
      </c>
      <c r="AL9562">
        <v>93.223623207495706</v>
      </c>
      <c r="AM9562">
        <v>92.21124998789</v>
      </c>
      <c r="AN9562">
        <v>0.99999999803819295</v>
      </c>
    </row>
    <row r="9563" spans="1:40" x14ac:dyDescent="0.25">
      <c r="A9563" t="str">
        <f>"20190303154026734"</f>
        <v>20190303154026734</v>
      </c>
      <c r="B9563" t="str">
        <f>"1551598826727448"</f>
        <v>1551598826727448</v>
      </c>
      <c r="C9563" t="s">
        <v>40</v>
      </c>
      <c r="D9563">
        <v>4.7161099999999996</v>
      </c>
      <c r="E9563">
        <v>0.50147240000000004</v>
      </c>
      <c r="F9563" t="s">
        <v>42</v>
      </c>
      <c r="G9563">
        <v>-188.89160000000001</v>
      </c>
      <c r="H9563" s="1">
        <v>-1.292144E-6</v>
      </c>
      <c r="I9563">
        <v>72.186459999999997</v>
      </c>
      <c r="J9563">
        <v>-187.28319999999999</v>
      </c>
      <c r="K9563">
        <v>1.121634</v>
      </c>
      <c r="L9563">
        <v>22.64743</v>
      </c>
      <c r="M9563">
        <v>2.0994339999999998E-3</v>
      </c>
      <c r="N9563">
        <v>-1.3948769999999999E-2</v>
      </c>
      <c r="O9563">
        <v>0.99990049999999997</v>
      </c>
      <c r="P9563">
        <v>-3.6275389999999998E-2</v>
      </c>
      <c r="Q9563">
        <v>-7.0356559999999999E-2</v>
      </c>
      <c r="R9563">
        <v>0.99686209999999997</v>
      </c>
      <c r="S9563">
        <v>-9.6969600000000003E-2</v>
      </c>
      <c r="T9563">
        <v>-6.761789E-2</v>
      </c>
      <c r="U9563">
        <v>3.001099</v>
      </c>
      <c r="V9563">
        <v>-3.8298810000000003E-2</v>
      </c>
      <c r="W9563">
        <v>-5.6493380000000003E-2</v>
      </c>
      <c r="X9563">
        <v>0.99766809999999995</v>
      </c>
      <c r="Y9563">
        <v>-3.4383070000000002E-2</v>
      </c>
      <c r="Z9563">
        <v>-8.564828E-3</v>
      </c>
      <c r="AA9563">
        <v>0.99937200000000004</v>
      </c>
      <c r="AB9563">
        <v>25</v>
      </c>
      <c r="AC9563">
        <v>-1.60840000000001</v>
      </c>
      <c r="AD9563">
        <v>-1.121635292144</v>
      </c>
      <c r="AE9563">
        <v>49.539029999999997</v>
      </c>
      <c r="AF9563">
        <v>-1.7115340302519</v>
      </c>
      <c r="AG9563">
        <v>-1.121635292144</v>
      </c>
      <c r="AH9563">
        <v>49.5101898111567</v>
      </c>
      <c r="AI9563">
        <v>91.297018497148102</v>
      </c>
      <c r="AJ9563">
        <v>91.979888210818004</v>
      </c>
      <c r="AK9563">
        <v>49.552460177089699</v>
      </c>
      <c r="AL9563">
        <v>93.238556547473905</v>
      </c>
      <c r="AM9563">
        <v>92.198409680681706</v>
      </c>
      <c r="AN9563">
        <v>0.99999996929442403</v>
      </c>
    </row>
    <row r="9564" spans="1:40" x14ac:dyDescent="0.25">
      <c r="A9564" t="str">
        <f>"20190303154026756"</f>
        <v>20190303154026756</v>
      </c>
      <c r="B9564" t="str">
        <f>"1551598826747944"</f>
        <v>1551598826747944</v>
      </c>
      <c r="C9564" t="s">
        <v>40</v>
      </c>
      <c r="D9564">
        <v>4.7009179999999997</v>
      </c>
      <c r="E9564">
        <v>0.50170720000000002</v>
      </c>
      <c r="F9564" t="s">
        <v>42</v>
      </c>
      <c r="G9564">
        <v>-188.97800000000001</v>
      </c>
      <c r="H9564" s="1">
        <v>-2.307182E-6</v>
      </c>
      <c r="I9564">
        <v>74.588290000000001</v>
      </c>
      <c r="J9564">
        <v>-187.28360000000001</v>
      </c>
      <c r="K9564">
        <v>1.121624</v>
      </c>
      <c r="L9564">
        <v>22.900449999999999</v>
      </c>
      <c r="M9564">
        <v>1.3079859999999999E-3</v>
      </c>
      <c r="N9564">
        <v>-1.3877489999999999E-2</v>
      </c>
      <c r="O9564">
        <v>0.99990279999999998</v>
      </c>
      <c r="P9564">
        <v>-3.7216249999999999E-2</v>
      </c>
      <c r="Q9564">
        <v>-7.02319E-2</v>
      </c>
      <c r="R9564">
        <v>0.99683619999999995</v>
      </c>
      <c r="S9564">
        <v>-9.7930909999999996E-2</v>
      </c>
      <c r="T9564">
        <v>-6.4811830000000001E-2</v>
      </c>
      <c r="U9564">
        <v>3.001312</v>
      </c>
      <c r="V9564">
        <v>-3.8449730000000001E-2</v>
      </c>
      <c r="W9564">
        <v>-5.6440240000000003E-2</v>
      </c>
      <c r="X9564">
        <v>0.99766529999999998</v>
      </c>
      <c r="Y9564">
        <v>-3.3910089999999997E-2</v>
      </c>
      <c r="Z9564">
        <v>-7.7008569999999898E-3</v>
      </c>
      <c r="AA9564">
        <v>0.99939520000000004</v>
      </c>
      <c r="AB9564">
        <v>25</v>
      </c>
      <c r="AC9564">
        <v>-1.6943999999999699</v>
      </c>
      <c r="AD9564">
        <v>-1.1216263071819901</v>
      </c>
      <c r="AE9564">
        <v>51.687840000000001</v>
      </c>
      <c r="AF9564">
        <v>-1.7611836018256399</v>
      </c>
      <c r="AG9564">
        <v>-1.1216263071819901</v>
      </c>
      <c r="AH9564">
        <v>51.661278638682496</v>
      </c>
      <c r="AI9564">
        <v>91.243040566870604</v>
      </c>
      <c r="AJ9564">
        <v>91.952513090836007</v>
      </c>
      <c r="AK9564">
        <v>51.7034575617134</v>
      </c>
      <c r="AL9564">
        <v>93.235506992649505</v>
      </c>
      <c r="AM9564">
        <v>92.207070354970099</v>
      </c>
      <c r="AN9564">
        <v>0.99999996662620905</v>
      </c>
    </row>
    <row r="9565" spans="1:40" x14ac:dyDescent="0.25">
      <c r="A9565" t="str">
        <f>"20190303154026780"</f>
        <v>20190303154026780</v>
      </c>
      <c r="B9565" t="str">
        <f>"1551598826767467"</f>
        <v>1551598826767467</v>
      </c>
      <c r="C9565" t="s">
        <v>40</v>
      </c>
      <c r="D9565">
        <v>4.6497270000000004</v>
      </c>
      <c r="E9565">
        <v>0.50201409999999902</v>
      </c>
      <c r="F9565" t="s">
        <v>42</v>
      </c>
      <c r="G9565">
        <v>-189.0582</v>
      </c>
      <c r="H9565" s="1">
        <v>-3.1710799999999999E-6</v>
      </c>
      <c r="I9565">
        <v>76.635219999999904</v>
      </c>
      <c r="J9565">
        <v>-187.2843</v>
      </c>
      <c r="K9565">
        <v>1.1216159999999999</v>
      </c>
      <c r="L9565">
        <v>23.159120000000001</v>
      </c>
      <c r="M9565">
        <v>4.9238880000000002E-4</v>
      </c>
      <c r="N9565">
        <v>-1.3772629999999999E-2</v>
      </c>
      <c r="O9565">
        <v>0.99990500000000004</v>
      </c>
      <c r="P9565">
        <v>-3.8128410000000001E-2</v>
      </c>
      <c r="Q9565">
        <v>-6.9511180000000006E-2</v>
      </c>
      <c r="R9565">
        <v>0.99685230000000002</v>
      </c>
      <c r="S9565">
        <v>-9.9121089999999995E-2</v>
      </c>
      <c r="T9565">
        <v>-6.2649490000000002E-2</v>
      </c>
      <c r="U9565">
        <v>3.001404</v>
      </c>
      <c r="V9565">
        <v>-3.8549069999999998E-2</v>
      </c>
      <c r="W9565">
        <v>-5.5823989999999997E-2</v>
      </c>
      <c r="X9565">
        <v>0.99769620000000003</v>
      </c>
      <c r="Y9565">
        <v>-3.3490270000000003E-2</v>
      </c>
      <c r="Z9565">
        <v>-7.0855889999999998E-3</v>
      </c>
      <c r="AA9565">
        <v>0.99941389999999997</v>
      </c>
      <c r="AB9565">
        <v>25</v>
      </c>
      <c r="AC9565">
        <v>-1.77389999999999</v>
      </c>
      <c r="AD9565">
        <v>-1.1216191710800001</v>
      </c>
      <c r="AE9565">
        <v>53.476099999999903</v>
      </c>
      <c r="AF9565">
        <v>-1.7994425796600799</v>
      </c>
      <c r="AG9565">
        <v>-1.1216191710800001</v>
      </c>
      <c r="AH9565">
        <v>53.451731470409698</v>
      </c>
      <c r="AI9565">
        <v>91.201424992234394</v>
      </c>
      <c r="AJ9565">
        <v>91.928123567252698</v>
      </c>
      <c r="AK9565">
        <v>53.493771790248701</v>
      </c>
      <c r="AL9565">
        <v>93.200142512824499</v>
      </c>
      <c r="AM9565">
        <v>92.212698490009501</v>
      </c>
      <c r="AN9565">
        <v>1.00000002807591</v>
      </c>
    </row>
    <row r="9566" spans="1:40" x14ac:dyDescent="0.25">
      <c r="A9566" t="str">
        <f>"20190303154026801"</f>
        <v>20190303154026801</v>
      </c>
      <c r="B9566" t="str">
        <f>"1551598826797459"</f>
        <v>1551598826797459</v>
      </c>
      <c r="C9566" t="s">
        <v>40</v>
      </c>
      <c r="D9566">
        <v>4.5937279999999996</v>
      </c>
      <c r="E9566">
        <v>0.50224089999999999</v>
      </c>
      <c r="F9566" t="s">
        <v>42</v>
      </c>
      <c r="G9566">
        <v>-189.15010000000001</v>
      </c>
      <c r="H9566" s="1">
        <v>-4.4299370000000001E-6</v>
      </c>
      <c r="I9566">
        <v>79.607640000000004</v>
      </c>
      <c r="J9566">
        <v>-187.285</v>
      </c>
      <c r="K9566">
        <v>1.1216029999999999</v>
      </c>
      <c r="L9566">
        <v>23.394960000000001</v>
      </c>
      <c r="M9566">
        <v>-2.5439940000000002E-4</v>
      </c>
      <c r="N9566">
        <v>-1.364137E-2</v>
      </c>
      <c r="O9566">
        <v>0.99990690000000004</v>
      </c>
      <c r="P9566">
        <v>-3.9220110000000002E-2</v>
      </c>
      <c r="Q9566">
        <v>-6.8029409999999998E-2</v>
      </c>
      <c r="R9566">
        <v>0.99691209999999997</v>
      </c>
      <c r="S9566">
        <v>-9.9212649999999999E-2</v>
      </c>
      <c r="T9566">
        <v>-5.9639690000000002E-2</v>
      </c>
      <c r="U9566">
        <v>3.0015260000000001</v>
      </c>
      <c r="V9566">
        <v>-3.8897830000000001E-2</v>
      </c>
      <c r="W9566">
        <v>-5.4472859999999998E-2</v>
      </c>
      <c r="X9566">
        <v>0.99775729999999996</v>
      </c>
      <c r="Y9566">
        <v>-3.2773629999999998E-2</v>
      </c>
      <c r="Z9566">
        <v>-6.2146419999999898E-3</v>
      </c>
      <c r="AA9566">
        <v>0.99944350000000004</v>
      </c>
      <c r="AB9566">
        <v>25</v>
      </c>
      <c r="AC9566">
        <v>-1.86510000000001</v>
      </c>
      <c r="AD9566">
        <v>-1.121607429937</v>
      </c>
      <c r="AE9566">
        <v>56.212679999999999</v>
      </c>
      <c r="AF9566">
        <v>-1.85006240103632</v>
      </c>
      <c r="AG9566">
        <v>-1.121607429937</v>
      </c>
      <c r="AH9566">
        <v>56.190806663627001</v>
      </c>
      <c r="AI9566">
        <v>91.142892466190702</v>
      </c>
      <c r="AJ9566">
        <v>91.885762028500693</v>
      </c>
      <c r="AK9566">
        <v>56.232441594009899</v>
      </c>
      <c r="AL9566">
        <v>93.122610616722397</v>
      </c>
      <c r="AM9566">
        <v>92.232560395238295</v>
      </c>
      <c r="AN9566">
        <v>0.99999998167928805</v>
      </c>
    </row>
    <row r="9567" spans="1:40" x14ac:dyDescent="0.25">
      <c r="A9567" t="str">
        <f>"20190303154026824"</f>
        <v>20190303154026824</v>
      </c>
      <c r="B9567" t="str">
        <f>"1551598826817955"</f>
        <v>1551598826817955</v>
      </c>
      <c r="C9567" t="s">
        <v>40</v>
      </c>
      <c r="D9567">
        <v>4.5471370000000002</v>
      </c>
      <c r="E9567">
        <v>0.50233879999999997</v>
      </c>
      <c r="F9567" t="s">
        <v>42</v>
      </c>
      <c r="G9567">
        <v>-189.47919999999999</v>
      </c>
      <c r="H9567" s="1">
        <v>-4.0069929999999999E-6</v>
      </c>
      <c r="I9567">
        <v>88.757829999999998</v>
      </c>
      <c r="J9567">
        <v>-187.286</v>
      </c>
      <c r="K9567">
        <v>1.1215759999999999</v>
      </c>
      <c r="L9567">
        <v>23.651399999999999</v>
      </c>
      <c r="M9567">
        <v>-1.0685289999999999E-3</v>
      </c>
      <c r="N9567">
        <v>-1.3467420000000001E-2</v>
      </c>
      <c r="O9567">
        <v>0.99990869999999998</v>
      </c>
      <c r="P9567">
        <v>-4.0063500000000002E-2</v>
      </c>
      <c r="Q9567">
        <v>-6.7752590000000001E-2</v>
      </c>
      <c r="R9567">
        <v>0.99689749999999999</v>
      </c>
      <c r="S9567">
        <v>-0.100769</v>
      </c>
      <c r="T9567">
        <v>-5.1509979999999997E-2</v>
      </c>
      <c r="U9567">
        <v>3.0018009999999999</v>
      </c>
      <c r="V9567">
        <v>-3.8929930000000001E-2</v>
      </c>
      <c r="W9567">
        <v>-5.4369300000000002E-2</v>
      </c>
      <c r="X9567">
        <v>0.99776169999999997</v>
      </c>
      <c r="Y9567">
        <v>-3.2475669999999998E-2</v>
      </c>
      <c r="Z9567">
        <v>-3.6810480000000001E-3</v>
      </c>
      <c r="AA9567">
        <v>0.99946579999999996</v>
      </c>
      <c r="AB9567">
        <v>25</v>
      </c>
      <c r="AC9567">
        <v>-2.1932000000000098</v>
      </c>
      <c r="AD9567">
        <v>-1.121580006993</v>
      </c>
      <c r="AE9567">
        <v>65.106430000000003</v>
      </c>
      <c r="AF9567">
        <v>-2.1229950101700101</v>
      </c>
      <c r="AG9567">
        <v>-1.121580006993</v>
      </c>
      <c r="AH9567">
        <v>65.089442159043799</v>
      </c>
      <c r="AI9567">
        <v>90.986662272535597</v>
      </c>
      <c r="AJ9567">
        <v>91.868130110621394</v>
      </c>
      <c r="AK9567">
        <v>65.133712700112497</v>
      </c>
      <c r="AL9567">
        <v>93.116668248854793</v>
      </c>
      <c r="AM9567">
        <v>92.234391080723498</v>
      </c>
      <c r="AN9567">
        <v>0.99999998510959198</v>
      </c>
    </row>
    <row r="9568" spans="1:40" x14ac:dyDescent="0.25">
      <c r="A9568" t="str">
        <f>"20190303154026845"</f>
        <v>20190303154026845</v>
      </c>
      <c r="B9568" t="str">
        <f>"1551598826837476"</f>
        <v>1551598826837476</v>
      </c>
      <c r="C9568" t="s">
        <v>40</v>
      </c>
      <c r="D9568">
        <v>4.4801989999999998</v>
      </c>
      <c r="E9568">
        <v>0.50242889999999996</v>
      </c>
      <c r="F9568" t="s">
        <v>42</v>
      </c>
      <c r="G9568">
        <v>-189.6208</v>
      </c>
      <c r="H9568" s="1">
        <v>-1.053508E-6</v>
      </c>
      <c r="I9568">
        <v>91.931730000000002</v>
      </c>
      <c r="J9568">
        <v>-187.28710000000001</v>
      </c>
      <c r="K9568">
        <v>1.121537</v>
      </c>
      <c r="L9568">
        <v>23.883669999999999</v>
      </c>
      <c r="M9568">
        <v>-1.8091769999999999E-3</v>
      </c>
      <c r="N9568">
        <v>-1.329284E-2</v>
      </c>
      <c r="O9568">
        <v>0.99990999999999997</v>
      </c>
      <c r="P9568">
        <v>-4.082417E-2</v>
      </c>
      <c r="Q9568">
        <v>-6.7869449999999998E-2</v>
      </c>
      <c r="R9568">
        <v>0.99685869999999999</v>
      </c>
      <c r="S9568">
        <v>-0.102645899999999</v>
      </c>
      <c r="T9568">
        <v>-4.9308780000000003E-2</v>
      </c>
      <c r="U9568">
        <v>3.001862</v>
      </c>
      <c r="V9568">
        <v>-3.8952630000000002E-2</v>
      </c>
      <c r="W9568">
        <v>-5.4659930000000002E-2</v>
      </c>
      <c r="X9568">
        <v>0.99774499999999999</v>
      </c>
      <c r="Y9568">
        <v>-3.2359209999999999E-2</v>
      </c>
      <c r="Z9568">
        <v>-3.1226280000000001E-3</v>
      </c>
      <c r="AA9568">
        <v>0.99947140000000001</v>
      </c>
      <c r="AB9568">
        <v>25</v>
      </c>
      <c r="AC9568">
        <v>-2.3336999999999901</v>
      </c>
      <c r="AD9568">
        <v>-1.121538053508</v>
      </c>
      <c r="AE9568">
        <v>68.048059999999893</v>
      </c>
      <c r="AF9568">
        <v>-2.2099746994017302</v>
      </c>
      <c r="AG9568">
        <v>-1.121538053508</v>
      </c>
      <c r="AH9568">
        <v>68.033711978312695</v>
      </c>
      <c r="AI9568">
        <v>90.943939534626296</v>
      </c>
      <c r="AJ9568">
        <v>91.860514606909405</v>
      </c>
      <c r="AK9568">
        <v>68.0788351936597</v>
      </c>
      <c r="AL9568">
        <v>93.133344716141394</v>
      </c>
      <c r="AM9568">
        <v>92.235730012525906</v>
      </c>
      <c r="AN9568">
        <v>1.00000005017825</v>
      </c>
    </row>
    <row r="9569" spans="1:40" x14ac:dyDescent="0.25">
      <c r="A9569" t="str">
        <f>"20190303154026868"</f>
        <v>20190303154026868</v>
      </c>
      <c r="B9569" t="str">
        <f>"1551598826857971"</f>
        <v>1551598826857971</v>
      </c>
      <c r="C9569" t="s">
        <v>40</v>
      </c>
      <c r="D9569">
        <v>4.4570850000000002</v>
      </c>
      <c r="E9569">
        <v>0.50277159999999999</v>
      </c>
      <c r="F9569" t="s">
        <v>42</v>
      </c>
      <c r="G9569">
        <v>-189.66409999999999</v>
      </c>
      <c r="H9569" s="1">
        <v>-1.2764190000000001E-6</v>
      </c>
      <c r="I9569">
        <v>92.469229999999996</v>
      </c>
      <c r="J9569">
        <v>-187.2886</v>
      </c>
      <c r="K9569">
        <v>1.1214949999999999</v>
      </c>
      <c r="L9569">
        <v>24.148800000000001</v>
      </c>
      <c r="M9569">
        <v>-2.6571149999999998E-3</v>
      </c>
      <c r="N9569">
        <v>-1.3089180000000001E-2</v>
      </c>
      <c r="O9569">
        <v>0.99991079999999999</v>
      </c>
      <c r="P9569">
        <v>-4.0739200000000003E-2</v>
      </c>
      <c r="Q9569">
        <v>-6.8581219999999998E-2</v>
      </c>
      <c r="R9569">
        <v>0.99681339999999996</v>
      </c>
      <c r="S9569">
        <v>-0.1040344</v>
      </c>
      <c r="T9569">
        <v>-4.9087640000000002E-2</v>
      </c>
      <c r="U9569">
        <v>3.001862</v>
      </c>
      <c r="V9569">
        <v>-3.8022E-2</v>
      </c>
      <c r="W9569">
        <v>-5.5573110000000002E-2</v>
      </c>
      <c r="X9569">
        <v>0.99773040000000002</v>
      </c>
      <c r="Y9569">
        <v>-3.1973630000000003E-2</v>
      </c>
      <c r="Z9569">
        <v>-3.2528190000000001E-3</v>
      </c>
      <c r="AA9569">
        <v>0.99948340000000002</v>
      </c>
      <c r="AB9569">
        <v>25</v>
      </c>
      <c r="AC9569">
        <v>-2.3754999999999802</v>
      </c>
      <c r="AD9569">
        <v>-1.121496276419</v>
      </c>
      <c r="AE9569">
        <v>68.320430000000002</v>
      </c>
      <c r="AF9569">
        <v>-2.19335051316019</v>
      </c>
      <c r="AG9569">
        <v>-1.121496276419</v>
      </c>
      <c r="AH9569">
        <v>68.308117208109294</v>
      </c>
      <c r="AI9569">
        <v>90.940124575779294</v>
      </c>
      <c r="AJ9569">
        <v>91.839116190901095</v>
      </c>
      <c r="AK9569">
        <v>68.352523120133597</v>
      </c>
      <c r="AL9569">
        <v>93.185745897917997</v>
      </c>
      <c r="AM9569">
        <v>92.182399640079296</v>
      </c>
      <c r="AN9569">
        <v>0.99999999706161602</v>
      </c>
    </row>
    <row r="9570" spans="1:40" x14ac:dyDescent="0.25">
      <c r="A9570" t="str">
        <f>"20190303154026893"</f>
        <v>20190303154026893</v>
      </c>
      <c r="B9570" t="str">
        <f>"1551598826887251"</f>
        <v>1551598826887251</v>
      </c>
      <c r="C9570" t="s">
        <v>40</v>
      </c>
      <c r="D9570">
        <v>4.3099480000000003</v>
      </c>
      <c r="E9570">
        <v>0.50356239999999997</v>
      </c>
      <c r="F9570" t="s">
        <v>42</v>
      </c>
      <c r="G9570">
        <v>-189.55590000000001</v>
      </c>
      <c r="H9570" s="1">
        <v>-8.7576419999999999E-7</v>
      </c>
      <c r="I9570">
        <v>91.490549999999999</v>
      </c>
      <c r="J9570">
        <v>-187.2901</v>
      </c>
      <c r="K9570">
        <v>1.1214649999999999</v>
      </c>
      <c r="L9570">
        <v>24.399899999999999</v>
      </c>
      <c r="M9570">
        <v>-3.4578899999999999E-3</v>
      </c>
      <c r="N9570">
        <v>-1.290474E-2</v>
      </c>
      <c r="O9570">
        <v>0.99991079999999999</v>
      </c>
      <c r="P9570">
        <v>-4.0761459999999999E-2</v>
      </c>
      <c r="Q9570">
        <v>-6.9035929999999995E-2</v>
      </c>
      <c r="R9570">
        <v>0.99678109999999998</v>
      </c>
      <c r="S9570">
        <v>-0.1010742</v>
      </c>
      <c r="T9570">
        <v>-4.9994950000000003E-2</v>
      </c>
      <c r="U9570">
        <v>3.002014</v>
      </c>
      <c r="V9570">
        <v>-3.7246120000000001E-2</v>
      </c>
      <c r="W9570">
        <v>-5.6210570000000001E-2</v>
      </c>
      <c r="X9570">
        <v>0.9977239</v>
      </c>
      <c r="Y9570">
        <v>-3.0187329999999998E-2</v>
      </c>
      <c r="Z9570">
        <v>-3.7392509999999999E-3</v>
      </c>
      <c r="AA9570">
        <v>0.99953729999999996</v>
      </c>
      <c r="AB9570">
        <v>25</v>
      </c>
      <c r="AC9570">
        <v>-2.2658000000000098</v>
      </c>
      <c r="AD9570">
        <v>-1.1214658757642</v>
      </c>
      <c r="AE9570">
        <v>67.090649999999997</v>
      </c>
      <c r="AF9570">
        <v>-2.0332075962721499</v>
      </c>
      <c r="AG9570">
        <v>-1.1214658757642</v>
      </c>
      <c r="AH9570">
        <v>67.079362811255606</v>
      </c>
      <c r="AI9570">
        <v>90.957370275161907</v>
      </c>
      <c r="AJ9570">
        <v>91.736130957799602</v>
      </c>
      <c r="AK9570">
        <v>67.119539137304102</v>
      </c>
      <c r="AL9570">
        <v>93.222327028938807</v>
      </c>
      <c r="AM9570">
        <v>92.137921086991199</v>
      </c>
      <c r="AN9570">
        <v>0.99999994113299295</v>
      </c>
    </row>
    <row r="9571" spans="1:40" x14ac:dyDescent="0.25">
      <c r="A9571" t="str">
        <f>"20190303154026912"</f>
        <v>20190303154026912</v>
      </c>
      <c r="B9571" t="str">
        <f>"1551598826907748"</f>
        <v>1551598826907748</v>
      </c>
      <c r="C9571" t="s">
        <v>40</v>
      </c>
      <c r="D9571">
        <v>4.3839860000000002</v>
      </c>
      <c r="E9571">
        <v>0.50371709999999903</v>
      </c>
      <c r="F9571" t="s">
        <v>42</v>
      </c>
      <c r="G9571">
        <v>-189.73910000000001</v>
      </c>
      <c r="H9571" s="1">
        <v>-9.8941119999999998E-7</v>
      </c>
      <c r="I9571">
        <v>101.8312</v>
      </c>
      <c r="J9571">
        <v>-187.29179999999999</v>
      </c>
      <c r="K9571">
        <v>1.1214470000000001</v>
      </c>
      <c r="L9571">
        <v>24.632110000000001</v>
      </c>
      <c r="M9571">
        <v>-4.1935380000000001E-3</v>
      </c>
      <c r="N9571">
        <v>-1.2746479999999999E-2</v>
      </c>
      <c r="O9571">
        <v>0.99990990000000002</v>
      </c>
      <c r="P9571">
        <v>-4.0667830000000002E-2</v>
      </c>
      <c r="Q9571">
        <v>-6.8912619999999994E-2</v>
      </c>
      <c r="R9571">
        <v>0.99679340000000005</v>
      </c>
      <c r="S9571">
        <v>-9.4970700000000005E-2</v>
      </c>
      <c r="T9571">
        <v>-4.3490769999999998E-2</v>
      </c>
      <c r="U9571">
        <v>3.0028079999999999</v>
      </c>
      <c r="V9571">
        <v>-3.6418239999999998E-2</v>
      </c>
      <c r="W9571">
        <v>-5.6243700000000001E-2</v>
      </c>
      <c r="X9571">
        <v>0.99775270000000005</v>
      </c>
      <c r="Y9571">
        <v>-2.7414629999999999E-2</v>
      </c>
      <c r="Z9571">
        <v>-1.729841E-3</v>
      </c>
      <c r="AA9571">
        <v>0.99962260000000003</v>
      </c>
      <c r="AB9571">
        <v>25</v>
      </c>
      <c r="AC9571">
        <v>-2.44730000000001</v>
      </c>
      <c r="AD9571">
        <v>-1.1214479894111999</v>
      </c>
      <c r="AE9571">
        <v>77.199089999999998</v>
      </c>
      <c r="AF9571">
        <v>-2.1230672655834701</v>
      </c>
      <c r="AG9571">
        <v>-1.1214479894111999</v>
      </c>
      <c r="AH9571">
        <v>77.192401591601893</v>
      </c>
      <c r="AI9571">
        <v>90.832017554800402</v>
      </c>
      <c r="AJ9571">
        <v>91.575441795367894</v>
      </c>
      <c r="AK9571">
        <v>77.229734712002497</v>
      </c>
      <c r="AL9571">
        <v>93.224227906905298</v>
      </c>
      <c r="AM9571">
        <v>92.090383264696897</v>
      </c>
      <c r="AN9571">
        <v>1.00000004617583</v>
      </c>
    </row>
    <row r="9572" spans="1:40" x14ac:dyDescent="0.25">
      <c r="A9572" t="str">
        <f>"20190303154026936"</f>
        <v>20190303154026936</v>
      </c>
      <c r="B9572" t="str">
        <f>"1551598826927267"</f>
        <v>1551598826927267</v>
      </c>
      <c r="C9572" t="s">
        <v>40</v>
      </c>
      <c r="D9572">
        <v>4.3430710000000001</v>
      </c>
      <c r="E9572">
        <v>0.50387780000000004</v>
      </c>
      <c r="F9572" t="s">
        <v>42</v>
      </c>
      <c r="G9572">
        <v>-189.81819999999999</v>
      </c>
      <c r="H9572" s="1">
        <v>-2.6759340000000002E-6</v>
      </c>
      <c r="I9572">
        <v>105.7953</v>
      </c>
      <c r="J9572">
        <v>-187.2938</v>
      </c>
      <c r="K9572">
        <v>1.1214409999999999</v>
      </c>
      <c r="L9572">
        <v>24.88654</v>
      </c>
      <c r="M9572">
        <v>-4.992748E-3</v>
      </c>
      <c r="N9572">
        <v>-1.258914E-2</v>
      </c>
      <c r="O9572">
        <v>0.99990829999999997</v>
      </c>
      <c r="P9572">
        <v>-4.0343270000000001E-2</v>
      </c>
      <c r="Q9572">
        <v>-6.8107609999999999E-2</v>
      </c>
      <c r="R9572">
        <v>0.99686189999999997</v>
      </c>
      <c r="S9572">
        <v>-9.3475340000000004E-2</v>
      </c>
      <c r="T9572">
        <v>-4.1492580000000001E-2</v>
      </c>
      <c r="U9572">
        <v>3.0029599999999999</v>
      </c>
      <c r="V9572">
        <v>-3.5297179999999997E-2</v>
      </c>
      <c r="W9572">
        <v>-5.5593459999999997E-2</v>
      </c>
      <c r="X9572">
        <v>0.99782939999999998</v>
      </c>
      <c r="Y9572">
        <v>-2.6117189999999998E-2</v>
      </c>
      <c r="Z9572">
        <v>-1.2218960000000001E-3</v>
      </c>
      <c r="AA9572">
        <v>0.99965820000000005</v>
      </c>
      <c r="AB9572">
        <v>25</v>
      </c>
      <c r="AC9572">
        <v>-2.52439999999998</v>
      </c>
      <c r="AD9572">
        <v>-1.1214436759340001</v>
      </c>
      <c r="AE9572">
        <v>80.908760000000001</v>
      </c>
      <c r="AF9572">
        <v>-2.11997258662401</v>
      </c>
      <c r="AG9572">
        <v>-1.1214436759340001</v>
      </c>
      <c r="AH9572">
        <v>80.904828091030794</v>
      </c>
      <c r="AI9572">
        <v>90.793868959801898</v>
      </c>
      <c r="AJ9572">
        <v>91.500994394393402</v>
      </c>
      <c r="AK9572">
        <v>80.940367729122499</v>
      </c>
      <c r="AL9572">
        <v>93.186913606804794</v>
      </c>
      <c r="AM9572">
        <v>92.025934021775299</v>
      </c>
      <c r="AN9572">
        <v>1.0000000176075401</v>
      </c>
    </row>
    <row r="9573" spans="1:40" x14ac:dyDescent="0.25">
      <c r="A9573" t="str">
        <f>"20190303154026958"</f>
        <v>20190303154026958</v>
      </c>
      <c r="B9573" t="str">
        <f>"1551598826947767"</f>
        <v>1551598826947767</v>
      </c>
      <c r="C9573" t="s">
        <v>40</v>
      </c>
      <c r="D9573">
        <v>4.2894699999999997</v>
      </c>
      <c r="E9573">
        <v>0.50399479999999997</v>
      </c>
      <c r="F9573" t="s">
        <v>42</v>
      </c>
      <c r="G9573">
        <v>-190.08840000000001</v>
      </c>
      <c r="H9573" s="1">
        <v>-3.159169E-6</v>
      </c>
      <c r="I9573">
        <v>116.8984</v>
      </c>
      <c r="J9573">
        <v>-187.29589999999999</v>
      </c>
      <c r="K9573">
        <v>1.121434</v>
      </c>
      <c r="L9573">
        <v>25.136659999999999</v>
      </c>
      <c r="M9573">
        <v>-5.7690190000000002E-3</v>
      </c>
      <c r="N9573">
        <v>-1.245072E-2</v>
      </c>
      <c r="O9573">
        <v>0.99990579999999996</v>
      </c>
      <c r="P9573">
        <v>-3.9870259999999998E-2</v>
      </c>
      <c r="Q9573">
        <v>-6.8147100000000002E-2</v>
      </c>
      <c r="R9573">
        <v>0.99687829999999999</v>
      </c>
      <c r="S9573">
        <v>-9.1217039999999999E-2</v>
      </c>
      <c r="T9573">
        <v>-3.6603570000000002E-2</v>
      </c>
      <c r="U9573">
        <v>3.0032350000000001</v>
      </c>
      <c r="V9573">
        <v>-3.404973E-2</v>
      </c>
      <c r="W9573">
        <v>-5.576909E-2</v>
      </c>
      <c r="X9573">
        <v>0.9978629</v>
      </c>
      <c r="Y9573">
        <v>-2.4587850000000001E-2</v>
      </c>
      <c r="Z9573">
        <v>2.6746490000000001E-4</v>
      </c>
      <c r="AA9573">
        <v>0.99969759999999996</v>
      </c>
      <c r="AB9573">
        <v>25</v>
      </c>
      <c r="AC9573">
        <v>-2.7925000000000102</v>
      </c>
      <c r="AD9573">
        <v>-1.121437159169</v>
      </c>
      <c r="AE9573">
        <v>91.761740000000003</v>
      </c>
      <c r="AF9573">
        <v>-2.2626996029827402</v>
      </c>
      <c r="AG9573">
        <v>-1.121437159169</v>
      </c>
      <c r="AH9573">
        <v>91.762631255058906</v>
      </c>
      <c r="AI9573">
        <v>90.699967891609504</v>
      </c>
      <c r="AJ9573">
        <v>91.412523484815594</v>
      </c>
      <c r="AK9573">
        <v>91.797374285146205</v>
      </c>
      <c r="AL9573">
        <v>93.196992248251803</v>
      </c>
      <c r="AM9573">
        <v>91.954325758045002</v>
      </c>
      <c r="AN9573">
        <v>0.99999997135445495</v>
      </c>
    </row>
    <row r="9574" spans="1:40" x14ac:dyDescent="0.25">
      <c r="A9574" t="str">
        <f>"20190303154026978"</f>
        <v>20190303154026978</v>
      </c>
      <c r="B9574" t="str">
        <f>"1551598826967287"</f>
        <v>1551598826967287</v>
      </c>
      <c r="C9574" t="s">
        <v>40</v>
      </c>
      <c r="D9574">
        <v>4.2816359999999998</v>
      </c>
      <c r="E9574">
        <v>0.50422440000000002</v>
      </c>
      <c r="F9574" t="s">
        <v>68</v>
      </c>
      <c r="G9574">
        <v>-190.1266</v>
      </c>
      <c r="H9574" s="1">
        <v>-5.0841129999999999E-7</v>
      </c>
      <c r="I9574">
        <v>120.4618</v>
      </c>
      <c r="J9574">
        <v>-187.29810000000001</v>
      </c>
      <c r="K9574">
        <v>1.121416</v>
      </c>
      <c r="L9574">
        <v>25.372499999999999</v>
      </c>
      <c r="M9574">
        <v>-6.4878419999999997E-3</v>
      </c>
      <c r="N9574">
        <v>-1.2334660000000001E-2</v>
      </c>
      <c r="O9574">
        <v>0.99990290000000004</v>
      </c>
      <c r="P9574">
        <v>-3.9604830000000001E-2</v>
      </c>
      <c r="Q9574">
        <v>-6.9360089999999999E-2</v>
      </c>
      <c r="R9574">
        <v>0.99680519999999995</v>
      </c>
      <c r="S9574">
        <v>-8.9187619999999995E-2</v>
      </c>
      <c r="T9574">
        <v>-3.5333160000000002E-2</v>
      </c>
      <c r="U9574">
        <v>3.0034179999999999</v>
      </c>
      <c r="V9574">
        <v>-3.3067039999999999E-2</v>
      </c>
      <c r="W9574">
        <v>-5.7096809999999998E-2</v>
      </c>
      <c r="X9574">
        <v>0.99782090000000001</v>
      </c>
      <c r="Y9574">
        <v>-2.319274E-2</v>
      </c>
      <c r="Z9574">
        <v>5.7456E-4</v>
      </c>
      <c r="AA9574">
        <v>0.99973080000000003</v>
      </c>
      <c r="AB9574">
        <v>25</v>
      </c>
      <c r="AC9574">
        <v>-2.8284999999999898</v>
      </c>
      <c r="AD9574">
        <v>-1.1214165084112999</v>
      </c>
      <c r="AE9574">
        <v>95.089299999999994</v>
      </c>
      <c r="AF9574">
        <v>-2.2111619245863801</v>
      </c>
      <c r="AG9574">
        <v>-1.1214165084112999</v>
      </c>
      <c r="AH9574">
        <v>95.092436733261394</v>
      </c>
      <c r="AI9574">
        <v>90.675470058134806</v>
      </c>
      <c r="AJ9574">
        <v>91.332045159736495</v>
      </c>
      <c r="AK9574">
        <v>95.124751436791698</v>
      </c>
      <c r="AL9574">
        <v>93.273186300111206</v>
      </c>
      <c r="AM9574">
        <v>91.898044761994896</v>
      </c>
      <c r="AN9574">
        <v>1.0000000116616701</v>
      </c>
    </row>
    <row r="9575" spans="1:40" x14ac:dyDescent="0.25">
      <c r="A9575" t="str">
        <f>"20190303154026995"</f>
        <v>20190303154026995</v>
      </c>
      <c r="B9575" t="str">
        <f>"1551598826987779"</f>
        <v>1551598826987779</v>
      </c>
      <c r="C9575" t="s">
        <v>40</v>
      </c>
      <c r="D9575">
        <v>4.2033849999999999</v>
      </c>
      <c r="E9575">
        <v>0.50462309999999999</v>
      </c>
      <c r="F9575" t="s">
        <v>42</v>
      </c>
      <c r="G9575">
        <v>-189.9221</v>
      </c>
      <c r="H9575" s="1">
        <v>-2.8907780000000002E-6</v>
      </c>
      <c r="I9575">
        <v>116.339</v>
      </c>
      <c r="J9575">
        <v>-187.2998</v>
      </c>
      <c r="K9575">
        <v>1.121399</v>
      </c>
      <c r="L9575">
        <v>25.544530000000002</v>
      </c>
      <c r="M9575">
        <v>-6.999974E-3</v>
      </c>
      <c r="N9575">
        <v>-1.2257189999999999E-2</v>
      </c>
      <c r="O9575">
        <v>0.99990040000000002</v>
      </c>
      <c r="P9575">
        <v>-3.9905690000000001E-2</v>
      </c>
      <c r="Q9575">
        <v>-6.9630120000000004E-2</v>
      </c>
      <c r="R9575">
        <v>0.99677439999999995</v>
      </c>
      <c r="S9575">
        <v>-8.6639399999999894E-2</v>
      </c>
      <c r="T9575">
        <v>-3.7027839999999999E-2</v>
      </c>
      <c r="U9575">
        <v>3.0036010000000002</v>
      </c>
      <c r="V9575">
        <v>-3.2858470000000001E-2</v>
      </c>
      <c r="W9575">
        <v>-5.7443279999999999E-2</v>
      </c>
      <c r="X9575">
        <v>0.99780789999999997</v>
      </c>
      <c r="Y9575">
        <v>-2.18316E-2</v>
      </c>
      <c r="Z9575" s="1">
        <v>-6.6448579999999998E-5</v>
      </c>
      <c r="AA9575">
        <v>0.99976160000000003</v>
      </c>
      <c r="AB9575">
        <v>25</v>
      </c>
      <c r="AC9575">
        <v>-2.6222999999999899</v>
      </c>
      <c r="AD9575">
        <v>-1.1214018907779999</v>
      </c>
      <c r="AE9575">
        <v>90.794469999999905</v>
      </c>
      <c r="AF9575">
        <v>-1.9863263258820301</v>
      </c>
      <c r="AG9575">
        <v>-1.1214018907779999</v>
      </c>
      <c r="AH9575">
        <v>90.796763367992497</v>
      </c>
      <c r="AI9575">
        <v>90.707436689558904</v>
      </c>
      <c r="AJ9575">
        <v>91.2532381168988</v>
      </c>
      <c r="AK9575">
        <v>90.825410940863705</v>
      </c>
      <c r="AL9575">
        <v>93.293070217777995</v>
      </c>
      <c r="AM9575">
        <v>91.886106094370007</v>
      </c>
      <c r="AN9575">
        <v>1.00000000738515</v>
      </c>
    </row>
    <row r="9576" spans="1:40" x14ac:dyDescent="0.25">
      <c r="A9576" t="str">
        <f>"20190303154027012"</f>
        <v>20190303154027012</v>
      </c>
      <c r="B9576" t="str">
        <f>"1551598827007299"</f>
        <v>1551598827007299</v>
      </c>
      <c r="C9576" t="s">
        <v>40</v>
      </c>
      <c r="D9576">
        <v>4.1969240000000001</v>
      </c>
      <c r="E9576">
        <v>0.50500279999999997</v>
      </c>
      <c r="F9576" t="s">
        <v>68</v>
      </c>
      <c r="G9576">
        <v>-190.11689999999999</v>
      </c>
      <c r="H9576" s="1">
        <v>-3.3902620000000002E-6</v>
      </c>
      <c r="I9576">
        <v>126.07080000000001</v>
      </c>
      <c r="J9576">
        <v>-187.30179999999999</v>
      </c>
      <c r="K9576">
        <v>1.1213799999999901</v>
      </c>
      <c r="L9576">
        <v>25.738219999999998</v>
      </c>
      <c r="M9576">
        <v>-7.5588299999999999E-3</v>
      </c>
      <c r="N9576">
        <v>-1.2175419999999999E-2</v>
      </c>
      <c r="O9576">
        <v>0.99989729999999999</v>
      </c>
      <c r="P9576">
        <v>-4.0397580000000002E-2</v>
      </c>
      <c r="Q9576">
        <v>-6.9436440000000002E-2</v>
      </c>
      <c r="R9576">
        <v>0.99676810000000005</v>
      </c>
      <c r="S9576">
        <v>-8.4182740000000006E-2</v>
      </c>
      <c r="T9576">
        <v>-3.3510570000000003E-2</v>
      </c>
      <c r="U9576">
        <v>3.0039980000000002</v>
      </c>
      <c r="V9576">
        <v>-3.2795400000000002E-2</v>
      </c>
      <c r="W9576">
        <v>-5.732959E-2</v>
      </c>
      <c r="X9576">
        <v>0.9978165</v>
      </c>
      <c r="Y9576">
        <v>-2.0452430000000001E-2</v>
      </c>
      <c r="Z9576">
        <v>1.023405E-3</v>
      </c>
      <c r="AA9576">
        <v>0.99979030000000002</v>
      </c>
      <c r="AB9576">
        <v>25</v>
      </c>
      <c r="AC9576">
        <v>-2.8151000000000002</v>
      </c>
      <c r="AD9576">
        <v>-1.1213833902619901</v>
      </c>
      <c r="AE9576">
        <v>100.33257999999999</v>
      </c>
      <c r="AF9576">
        <v>-2.05630975822262</v>
      </c>
      <c r="AG9576">
        <v>-1.1213833902619901</v>
      </c>
      <c r="AH9576">
        <v>100.338469477226</v>
      </c>
      <c r="AI9576">
        <v>90.640176938368</v>
      </c>
      <c r="AJ9576">
        <v>91.174040037254301</v>
      </c>
      <c r="AK9576">
        <v>100.36580277944201</v>
      </c>
      <c r="AL9576">
        <v>93.286545552524203</v>
      </c>
      <c r="AM9576">
        <v>91.882472213104805</v>
      </c>
      <c r="AN9576">
        <v>0.99999999391148897</v>
      </c>
    </row>
    <row r="9577" spans="1:40" x14ac:dyDescent="0.25">
      <c r="A9577" t="str">
        <f>"20190303154027035"</f>
        <v>20190303154027035</v>
      </c>
      <c r="B9577" t="str">
        <f>"1551598827027795"</f>
        <v>1551598827027795</v>
      </c>
      <c r="C9577" t="s">
        <v>40</v>
      </c>
      <c r="D9577">
        <v>4.2238199999999999</v>
      </c>
      <c r="E9577">
        <v>0.50526170000000004</v>
      </c>
      <c r="F9577" t="s">
        <v>68</v>
      </c>
      <c r="G9577">
        <v>-190.536</v>
      </c>
      <c r="H9577" s="1">
        <v>-8.9797270000000003E-6</v>
      </c>
      <c r="I9577">
        <v>142.75149999999999</v>
      </c>
      <c r="J9577">
        <v>-187.30459999999999</v>
      </c>
      <c r="K9577">
        <v>1.121348</v>
      </c>
      <c r="L9577">
        <v>25.995699999999999</v>
      </c>
      <c r="M9577">
        <v>-8.2589559999999996E-3</v>
      </c>
      <c r="N9577">
        <v>-1.2074039999999999E-2</v>
      </c>
      <c r="O9577">
        <v>0.99989300000000003</v>
      </c>
      <c r="P9577">
        <v>-4.2140850000000001E-2</v>
      </c>
      <c r="Q9577">
        <v>-6.7583439999999995E-2</v>
      </c>
      <c r="R9577">
        <v>0.99682329999999997</v>
      </c>
      <c r="S9577">
        <v>-8.3038329999999994E-2</v>
      </c>
      <c r="T9577">
        <v>-2.8792140000000001E-2</v>
      </c>
      <c r="U9577">
        <v>3.0043639999999998</v>
      </c>
      <c r="V9577">
        <v>-3.3846929999999997E-2</v>
      </c>
      <c r="W9577">
        <v>-5.5575239999999998E-2</v>
      </c>
      <c r="X9577">
        <v>0.99788060000000001</v>
      </c>
      <c r="Y9577">
        <v>-1.9368719999999999E-2</v>
      </c>
      <c r="Z9577">
        <v>2.4930239999999999E-3</v>
      </c>
      <c r="AA9577">
        <v>0.99980930000000001</v>
      </c>
      <c r="AB9577">
        <v>25</v>
      </c>
      <c r="AC9577">
        <v>-3.2313999999999701</v>
      </c>
      <c r="AD9577">
        <v>-1.121356979727</v>
      </c>
      <c r="AE9577">
        <v>116.75579999999999</v>
      </c>
      <c r="AF9577">
        <v>-2.26672953771872</v>
      </c>
      <c r="AG9577">
        <v>-1.121356979727</v>
      </c>
      <c r="AH9577">
        <v>116.767744610873</v>
      </c>
      <c r="AI9577">
        <v>90.550108647956193</v>
      </c>
      <c r="AJ9577">
        <v>91.1121027141984</v>
      </c>
      <c r="AK9577">
        <v>116.79512697789799</v>
      </c>
      <c r="AL9577">
        <v>93.185868254863294</v>
      </c>
      <c r="AM9577">
        <v>91.942660318365895</v>
      </c>
      <c r="AN9577">
        <v>0.99999995691391996</v>
      </c>
    </row>
    <row r="9578" spans="1:40" x14ac:dyDescent="0.25">
      <c r="A9578" t="str">
        <f>"20190303154027059"</f>
        <v>20190303154027059</v>
      </c>
      <c r="B9578" t="str">
        <f>"1551598827047315"</f>
        <v>1551598827047315</v>
      </c>
      <c r="C9578" t="s">
        <v>40</v>
      </c>
      <c r="D9578">
        <v>4.2249759999999998</v>
      </c>
      <c r="E9578">
        <v>0.50561509999999998</v>
      </c>
      <c r="F9578" t="s">
        <v>42</v>
      </c>
      <c r="G9578">
        <v>-192.2774</v>
      </c>
      <c r="H9578" s="1">
        <v>-4.605701E-6</v>
      </c>
      <c r="I9578">
        <v>199.3338</v>
      </c>
      <c r="J9578">
        <v>-187.3075</v>
      </c>
      <c r="K9578">
        <v>1.1213109999999999</v>
      </c>
      <c r="L9578">
        <v>26.25385</v>
      </c>
      <c r="M9578">
        <v>-8.9077069999999904E-3</v>
      </c>
      <c r="N9578">
        <v>-1.197751E-2</v>
      </c>
      <c r="O9578">
        <v>0.99988860000000002</v>
      </c>
      <c r="P9578">
        <v>-4.4038010000000002E-2</v>
      </c>
      <c r="Q9578">
        <v>-6.5323190000000003E-2</v>
      </c>
      <c r="R9578">
        <v>0.99689190000000005</v>
      </c>
      <c r="S9578">
        <v>-8.6196899999999896E-2</v>
      </c>
      <c r="T9578">
        <v>-1.9437309999999999E-2</v>
      </c>
      <c r="U9578">
        <v>3.0046080000000002</v>
      </c>
      <c r="V9578">
        <v>-3.51039E-2</v>
      </c>
      <c r="W9578">
        <v>-5.3408079999999997E-2</v>
      </c>
      <c r="X9578">
        <v>0.99795560000000005</v>
      </c>
      <c r="Y9578">
        <v>-1.9768000000000001E-2</v>
      </c>
      <c r="Z9578">
        <v>5.509506E-3</v>
      </c>
      <c r="AA9578">
        <v>0.99978940000000005</v>
      </c>
      <c r="AB9578">
        <v>25</v>
      </c>
      <c r="AC9578">
        <v>-4.9698999999999902</v>
      </c>
      <c r="AD9578">
        <v>-1.1213156057009901</v>
      </c>
      <c r="AE9578">
        <v>173.07995</v>
      </c>
      <c r="AF9578">
        <v>-3.4277029756742001</v>
      </c>
      <c r="AG9578">
        <v>-1.1213156057009901</v>
      </c>
      <c r="AH9578">
        <v>173.11009592490501</v>
      </c>
      <c r="AI9578">
        <v>90.371053822943196</v>
      </c>
      <c r="AJ9578">
        <v>91.134348938162006</v>
      </c>
      <c r="AK9578">
        <v>173.14765897206601</v>
      </c>
      <c r="AL9578">
        <v>93.061514077153603</v>
      </c>
      <c r="AM9578">
        <v>92.0145950130823</v>
      </c>
      <c r="AN9578">
        <v>1.0000000431879199</v>
      </c>
    </row>
    <row r="9579" spans="1:40" x14ac:dyDescent="0.25">
      <c r="A9579" t="str">
        <f>"20190303154027081"</f>
        <v>20190303154027081</v>
      </c>
      <c r="B9579" t="str">
        <f>"1551598827077572"</f>
        <v>1551598827077572</v>
      </c>
      <c r="C9579" t="s">
        <v>40</v>
      </c>
      <c r="D9579">
        <v>4.2126130000000002</v>
      </c>
      <c r="E9579">
        <v>0.50613819999999998</v>
      </c>
      <c r="F9579" t="s">
        <v>45</v>
      </c>
      <c r="G9579">
        <v>-197.792</v>
      </c>
      <c r="H9579">
        <v>5.8497050000000002E-2</v>
      </c>
      <c r="I9579">
        <v>379.60860000000002</v>
      </c>
      <c r="J9579">
        <v>-187.31049999999999</v>
      </c>
      <c r="K9579">
        <v>1.1212660000000001</v>
      </c>
      <c r="L9579">
        <v>26.509309999999999</v>
      </c>
      <c r="M9579">
        <v>-9.4847720000000007E-3</v>
      </c>
      <c r="N9579">
        <v>-1.1888299999999999E-2</v>
      </c>
      <c r="O9579">
        <v>0.99988440000000001</v>
      </c>
      <c r="P9579">
        <v>-4.60734E-2</v>
      </c>
      <c r="Q9579">
        <v>-6.4213249999999999E-2</v>
      </c>
      <c r="R9579">
        <v>0.99687210000000004</v>
      </c>
      <c r="S9579">
        <v>-8.9157100000000003E-2</v>
      </c>
      <c r="T9579">
        <v>-9.0378520000000007E-3</v>
      </c>
      <c r="U9579">
        <v>3.0048219999999999</v>
      </c>
      <c r="V9579">
        <v>-3.6570560000000002E-2</v>
      </c>
      <c r="W9579">
        <v>-5.2384380000000001E-2</v>
      </c>
      <c r="X9579">
        <v>0.99795719999999999</v>
      </c>
      <c r="Y9579">
        <v>-2.017273E-2</v>
      </c>
      <c r="Z9579">
        <v>8.8801829999999998E-3</v>
      </c>
      <c r="AA9579">
        <v>0.99975709999999995</v>
      </c>
      <c r="AB9579">
        <v>25</v>
      </c>
      <c r="AC9579">
        <v>-10.4815</v>
      </c>
      <c r="AD9579">
        <v>-1.0627689499999999</v>
      </c>
      <c r="AE9579">
        <v>353.09929</v>
      </c>
      <c r="AF9579">
        <v>-7.1316611395762903</v>
      </c>
      <c r="AG9579">
        <v>-1.0627689499999999</v>
      </c>
      <c r="AH9579">
        <v>353.17962982755699</v>
      </c>
      <c r="AI9579">
        <v>90.172375686833703</v>
      </c>
      <c r="AJ9579">
        <v>91.156801033591904</v>
      </c>
      <c r="AK9579">
        <v>353.25322502927202</v>
      </c>
      <c r="AL9579">
        <v>93.002778134460698</v>
      </c>
      <c r="AM9579">
        <v>92.098688764624399</v>
      </c>
      <c r="AN9579">
        <v>1.0000000510792599</v>
      </c>
    </row>
    <row r="9580" spans="1:40" x14ac:dyDescent="0.25">
      <c r="A9580" t="str">
        <f>"20190303154027105"</f>
        <v>20190303154027105</v>
      </c>
      <c r="B9580" t="str">
        <f>"1551598827097598"</f>
        <v>1551598827097598</v>
      </c>
      <c r="C9580" t="s">
        <v>40</v>
      </c>
      <c r="D9580">
        <v>4.1546430000000001</v>
      </c>
      <c r="E9580">
        <v>0.50644820000000002</v>
      </c>
      <c r="F9580" t="s">
        <v>92</v>
      </c>
      <c r="G9580">
        <v>-198.37860000000001</v>
      </c>
      <c r="H9580">
        <v>0.84436699999999998</v>
      </c>
      <c r="I9580">
        <v>391.87</v>
      </c>
      <c r="J9580">
        <v>-187.31360000000001</v>
      </c>
      <c r="K9580">
        <v>1.1212070000000001</v>
      </c>
      <c r="L9580">
        <v>26.77121</v>
      </c>
      <c r="M9580">
        <v>-9.9937099999999994E-3</v>
      </c>
      <c r="N9580">
        <v>-1.1805329999999999E-2</v>
      </c>
      <c r="O9580">
        <v>0.9998804</v>
      </c>
      <c r="P9580">
        <v>-4.7908689999999997E-2</v>
      </c>
      <c r="Q9580">
        <v>-6.3849790000000003E-2</v>
      </c>
      <c r="R9580">
        <v>0.9968089</v>
      </c>
      <c r="S9580">
        <v>-9.1033939999999994E-2</v>
      </c>
      <c r="T9580">
        <v>-2.2774929999999998E-3</v>
      </c>
      <c r="U9580">
        <v>3.0050659999999998</v>
      </c>
      <c r="V9580">
        <v>-3.7905880000000003E-2</v>
      </c>
      <c r="W9580">
        <v>-5.2100340000000002E-2</v>
      </c>
      <c r="X9580">
        <v>0.99792219999999998</v>
      </c>
      <c r="Y9580">
        <v>-2.028491E-2</v>
      </c>
      <c r="Z9580">
        <v>1.104602E-2</v>
      </c>
      <c r="AA9580">
        <v>0.99973319999999999</v>
      </c>
      <c r="AB9580">
        <v>25</v>
      </c>
      <c r="AC9580">
        <v>-11.0649999999999</v>
      </c>
      <c r="AD9580">
        <v>-0.27683999999999997</v>
      </c>
      <c r="AE9580">
        <v>365.09879000000001</v>
      </c>
      <c r="AF9580">
        <v>-7.4154974878591604</v>
      </c>
      <c r="AG9580">
        <v>-0.27683999999999997</v>
      </c>
      <c r="AH9580">
        <v>365.19093334971001</v>
      </c>
      <c r="AI9580">
        <v>90.043425205881604</v>
      </c>
      <c r="AJ9580">
        <v>91.163277312775307</v>
      </c>
      <c r="AK9580">
        <v>365.266319340027</v>
      </c>
      <c r="AL9580">
        <v>92.986481713197094</v>
      </c>
      <c r="AM9580">
        <v>92.175323186130697</v>
      </c>
      <c r="AN9580">
        <v>1.0000000092097601</v>
      </c>
    </row>
    <row r="9581" spans="1:40" x14ac:dyDescent="0.25">
      <c r="A9581" t="str">
        <f>"20190303154027125"</f>
        <v>20190303154027125</v>
      </c>
      <c r="B9581" t="str">
        <f>"1551598827118094"</f>
        <v>1551598827118094</v>
      </c>
      <c r="C9581" t="s">
        <v>40</v>
      </c>
      <c r="D9581">
        <v>4.1407569999999998</v>
      </c>
      <c r="E9581">
        <v>0.50665009999999999</v>
      </c>
      <c r="F9581" t="s">
        <v>92</v>
      </c>
      <c r="G9581">
        <v>-198.774</v>
      </c>
      <c r="H9581">
        <v>1.2132620000000001</v>
      </c>
      <c r="I9581">
        <v>391.87</v>
      </c>
      <c r="J9581">
        <v>-187.31639999999999</v>
      </c>
      <c r="K9581">
        <v>1.1211439999999999</v>
      </c>
      <c r="L9581">
        <v>27.00433</v>
      </c>
      <c r="M9581">
        <v>-1.036348E-2</v>
      </c>
      <c r="N9581">
        <v>-1.1745169999999999E-2</v>
      </c>
      <c r="O9581">
        <v>0.99987729999999997</v>
      </c>
      <c r="P9581">
        <v>-4.8597719999999997E-2</v>
      </c>
      <c r="Q9581">
        <v>-6.3846959999999994E-2</v>
      </c>
      <c r="R9581">
        <v>0.99677570000000004</v>
      </c>
      <c r="S9581">
        <v>-9.4329830000000003E-2</v>
      </c>
      <c r="T9581">
        <v>7.5769420000000001E-4</v>
      </c>
      <c r="U9581">
        <v>3.0051269999999999</v>
      </c>
      <c r="V9581">
        <v>-3.823315E-2</v>
      </c>
      <c r="W9581">
        <v>-5.215297E-2</v>
      </c>
      <c r="X9581">
        <v>0.99790699999999999</v>
      </c>
      <c r="Y9581">
        <v>-2.1009719999999999E-2</v>
      </c>
      <c r="Z9581">
        <v>1.1995270000000001E-2</v>
      </c>
      <c r="AA9581">
        <v>0.99970729999999997</v>
      </c>
      <c r="AB9581">
        <v>25</v>
      </c>
      <c r="AC9581">
        <v>-11.457599999999999</v>
      </c>
      <c r="AD9581">
        <v>9.2117999999999894E-2</v>
      </c>
      <c r="AE9581">
        <v>364.86567000000002</v>
      </c>
      <c r="AF9581">
        <v>-7.6754451496323304</v>
      </c>
      <c r="AG9581">
        <v>9.2117999999999894E-2</v>
      </c>
      <c r="AH9581">
        <v>364.9647987308</v>
      </c>
      <c r="AI9581">
        <v>89.985541603687494</v>
      </c>
      <c r="AJ9581">
        <v>91.204789603255406</v>
      </c>
      <c r="AK9581">
        <v>365.04551121275898</v>
      </c>
      <c r="AL9581">
        <v>92.989501193085502</v>
      </c>
      <c r="AM9581">
        <v>92.1941194992243</v>
      </c>
      <c r="AN9581">
        <v>1.00000004334387</v>
      </c>
    </row>
    <row r="9582" spans="1:40" x14ac:dyDescent="0.25">
      <c r="A9582" t="str">
        <f>"20190303154027149"</f>
        <v>20190303154027149</v>
      </c>
      <c r="B9582" t="str">
        <f>"1551598827137615"</f>
        <v>1551598827137615</v>
      </c>
      <c r="C9582" t="s">
        <v>40</v>
      </c>
      <c r="D9582">
        <v>4.1038389999999998</v>
      </c>
      <c r="E9582">
        <v>0.50702040000000004</v>
      </c>
      <c r="F9582" t="s">
        <v>92</v>
      </c>
      <c r="G9582">
        <v>-198.84880000000001</v>
      </c>
      <c r="H9582">
        <v>1.3929100000000001</v>
      </c>
      <c r="I9582">
        <v>391.87</v>
      </c>
      <c r="J9582">
        <v>-187.3194</v>
      </c>
      <c r="K9582">
        <v>1.121084</v>
      </c>
      <c r="L9582">
        <v>27.255890000000001</v>
      </c>
      <c r="M9582">
        <v>-1.067155E-2</v>
      </c>
      <c r="N9582">
        <v>-1.170363E-2</v>
      </c>
      <c r="O9582">
        <v>0.99987459999999995</v>
      </c>
      <c r="P9582">
        <v>-4.8868130000000003E-2</v>
      </c>
      <c r="Q9582">
        <v>-6.3363249999999996E-2</v>
      </c>
      <c r="R9582">
        <v>0.99679340000000005</v>
      </c>
      <c r="S9582">
        <v>-9.4985959999999994E-2</v>
      </c>
      <c r="T9582">
        <v>2.238393E-3</v>
      </c>
      <c r="U9582">
        <v>3.0052189999999999</v>
      </c>
      <c r="V9582">
        <v>-3.8204549999999997E-2</v>
      </c>
      <c r="W9582">
        <v>-5.1704439999999997E-2</v>
      </c>
      <c r="X9582">
        <v>0.99793140000000002</v>
      </c>
      <c r="Y9582">
        <v>-2.091869E-2</v>
      </c>
      <c r="Z9582">
        <v>1.24461E-2</v>
      </c>
      <c r="AA9582">
        <v>0.99970369999999997</v>
      </c>
      <c r="AB9582">
        <v>25</v>
      </c>
      <c r="AC9582">
        <v>-11.529400000000001</v>
      </c>
      <c r="AD9582">
        <v>0.27182600000000001</v>
      </c>
      <c r="AE9582">
        <v>364.61410999999998</v>
      </c>
      <c r="AF9582">
        <v>-7.6374750791544104</v>
      </c>
      <c r="AG9582">
        <v>0.27182600000000001</v>
      </c>
      <c r="AH9582">
        <v>364.71618756403097</v>
      </c>
      <c r="AI9582">
        <v>89.957306348136896</v>
      </c>
      <c r="AJ9582">
        <v>91.199648261206306</v>
      </c>
      <c r="AK9582">
        <v>364.79624776880701</v>
      </c>
      <c r="AL9582">
        <v>92.963767703143603</v>
      </c>
      <c r="AM9582">
        <v>92.192426253059296</v>
      </c>
      <c r="AN9582">
        <v>1.0000000079311799</v>
      </c>
    </row>
    <row r="9583" spans="1:40" x14ac:dyDescent="0.25">
      <c r="A9583" t="str">
        <f>"20190303154027182"</f>
        <v>20190303154027182</v>
      </c>
      <c r="B9583" t="str">
        <f>"1551598827177631"</f>
        <v>1551598827177631</v>
      </c>
      <c r="C9583" t="s">
        <v>40</v>
      </c>
      <c r="D9583">
        <v>4.093674</v>
      </c>
      <c r="E9583">
        <v>0.50743260000000001</v>
      </c>
      <c r="F9583" t="s">
        <v>92</v>
      </c>
      <c r="G9583">
        <v>-198.58519999999999</v>
      </c>
      <c r="H9583">
        <v>1.9854609999999999</v>
      </c>
      <c r="I9583">
        <v>391.87</v>
      </c>
      <c r="J9583">
        <v>-187.3237</v>
      </c>
      <c r="K9583">
        <v>1.1210059999999999</v>
      </c>
      <c r="L9583">
        <v>27.620729999999998</v>
      </c>
      <c r="M9583">
        <v>-1.0931E-2</v>
      </c>
      <c r="N9583">
        <v>-1.171379E-2</v>
      </c>
      <c r="O9583">
        <v>0.99987170000000003</v>
      </c>
      <c r="P9583">
        <v>-4.8714069999999998E-2</v>
      </c>
      <c r="Q9583">
        <v>-6.1415360000000002E-2</v>
      </c>
      <c r="R9583">
        <v>0.9969228</v>
      </c>
      <c r="S9583">
        <v>-9.2864989999999994E-2</v>
      </c>
      <c r="T9583">
        <v>7.125139E-3</v>
      </c>
      <c r="U9583">
        <v>3.0055540000000001</v>
      </c>
      <c r="V9583">
        <v>-3.7802429999999998E-2</v>
      </c>
      <c r="W9583">
        <v>-4.9736000000000002E-2</v>
      </c>
      <c r="X9583">
        <v>0.99804680000000001</v>
      </c>
      <c r="Y9583">
        <v>-1.9950519999999999E-2</v>
      </c>
      <c r="Z9583">
        <v>1.408125E-2</v>
      </c>
      <c r="AA9583">
        <v>0.99970179999999997</v>
      </c>
      <c r="AB9583">
        <v>25</v>
      </c>
      <c r="AC9583">
        <v>-11.2614999999999</v>
      </c>
      <c r="AD9583">
        <v>0.86445499999999997</v>
      </c>
      <c r="AE9583">
        <v>364.24927000000002</v>
      </c>
      <c r="AF9583">
        <v>-7.2789043982845998</v>
      </c>
      <c r="AG9583">
        <v>0.86445499999999997</v>
      </c>
      <c r="AH9583">
        <v>364.34856261039897</v>
      </c>
      <c r="AI9583">
        <v>89.864087156554106</v>
      </c>
      <c r="AJ9583">
        <v>91.144494788480799</v>
      </c>
      <c r="AK9583">
        <v>364.422289120671</v>
      </c>
      <c r="AL9583">
        <v>92.850838899061003</v>
      </c>
      <c r="AM9583">
        <v>92.169121554193495</v>
      </c>
      <c r="AN9583">
        <v>1.00000005420007</v>
      </c>
    </row>
    <row r="9584" spans="1:40" x14ac:dyDescent="0.25">
      <c r="A9584" t="str">
        <f>"20190303154027203"</f>
        <v>20190303154027203</v>
      </c>
      <c r="B9584" t="str">
        <f>"1551598827198126"</f>
        <v>1551598827198126</v>
      </c>
      <c r="C9584" t="s">
        <v>40</v>
      </c>
      <c r="D9584">
        <v>4.2824039999999997</v>
      </c>
      <c r="E9584">
        <v>0.50749460000000002</v>
      </c>
      <c r="F9584" t="s">
        <v>92</v>
      </c>
      <c r="G9584">
        <v>-198.1574</v>
      </c>
      <c r="H9584">
        <v>3.0384370000000001</v>
      </c>
      <c r="I9584">
        <v>391.87</v>
      </c>
      <c r="J9584">
        <v>-187.32650000000001</v>
      </c>
      <c r="K9584">
        <v>1.1209769999999999</v>
      </c>
      <c r="L9584">
        <v>27.860469999999999</v>
      </c>
      <c r="M9584">
        <v>-1.1013800000000001E-2</v>
      </c>
      <c r="N9584">
        <v>-1.1775910000000001E-2</v>
      </c>
      <c r="O9584">
        <v>0.99987000000000004</v>
      </c>
      <c r="P9584">
        <v>-4.8580280000000003E-2</v>
      </c>
      <c r="Q9584">
        <v>-5.9854459999999998E-2</v>
      </c>
      <c r="R9584">
        <v>0.99702429999999997</v>
      </c>
      <c r="S9584">
        <v>-8.9401250000000002E-2</v>
      </c>
      <c r="T9584">
        <v>1.5823009999999998E-2</v>
      </c>
      <c r="U9584">
        <v>3.0058590000000001</v>
      </c>
      <c r="V9584">
        <v>-3.7591270000000003E-2</v>
      </c>
      <c r="W9584">
        <v>-4.8106969999999999E-2</v>
      </c>
      <c r="X9584">
        <v>0.99813459999999998</v>
      </c>
      <c r="Y9584">
        <v>-1.8712650000000001E-2</v>
      </c>
      <c r="Z9584">
        <v>1.7035330000000001E-2</v>
      </c>
      <c r="AA9584">
        <v>0.99967969999999895</v>
      </c>
      <c r="AB9584">
        <v>25</v>
      </c>
      <c r="AC9584">
        <v>-10.8308999999999</v>
      </c>
      <c r="AD9584">
        <v>1.9174599999999999</v>
      </c>
      <c r="AE9584">
        <v>364.00952999999998</v>
      </c>
      <c r="AF9584">
        <v>-6.8206477024173502</v>
      </c>
      <c r="AG9584">
        <v>1.9174599999999999</v>
      </c>
      <c r="AH9584">
        <v>364.09665212772899</v>
      </c>
      <c r="AI9584">
        <v>89.698316153617995</v>
      </c>
      <c r="AJ9584">
        <v>91.073200263426699</v>
      </c>
      <c r="AK9584">
        <v>364.16558044185501</v>
      </c>
      <c r="AL9584">
        <v>92.757390518854294</v>
      </c>
      <c r="AM9584">
        <v>92.156827008672096</v>
      </c>
      <c r="AN9584">
        <v>1.00000003192997</v>
      </c>
    </row>
    <row r="9585" spans="1:40" x14ac:dyDescent="0.25">
      <c r="A9585" t="str">
        <f>"20190303154027225"</f>
        <v>20190303154027225</v>
      </c>
      <c r="B9585" t="str">
        <f>"1551598827217647"</f>
        <v>1551598827217647</v>
      </c>
      <c r="C9585" t="s">
        <v>40</v>
      </c>
      <c r="D9585">
        <v>4.170032</v>
      </c>
      <c r="E9585">
        <v>0.50771489999999997</v>
      </c>
      <c r="F9585" t="s">
        <v>92</v>
      </c>
      <c r="G9585">
        <v>-198.0866</v>
      </c>
      <c r="H9585">
        <v>3.552038</v>
      </c>
      <c r="I9585">
        <v>391.87</v>
      </c>
      <c r="J9585">
        <v>-187.32939999999999</v>
      </c>
      <c r="K9585">
        <v>1.120973</v>
      </c>
      <c r="L9585">
        <v>28.113620000000001</v>
      </c>
      <c r="M9585">
        <v>-1.104754E-2</v>
      </c>
      <c r="N9585">
        <v>-1.1912829999999999E-2</v>
      </c>
      <c r="O9585">
        <v>0.99986799999999998</v>
      </c>
      <c r="P9585">
        <v>-4.8677140000000001E-2</v>
      </c>
      <c r="Q9585">
        <v>-6.0243980000000003E-2</v>
      </c>
      <c r="R9585">
        <v>0.99699610000000005</v>
      </c>
      <c r="S9585">
        <v>-8.8851929999999996E-2</v>
      </c>
      <c r="T9585">
        <v>2.007461E-2</v>
      </c>
      <c r="U9585">
        <v>3.0058289999999999</v>
      </c>
      <c r="V9585">
        <v>-3.7659829999999998E-2</v>
      </c>
      <c r="W9585">
        <v>-4.8356209999999997E-2</v>
      </c>
      <c r="X9585">
        <v>0.99812000000000001</v>
      </c>
      <c r="Y9585">
        <v>-1.849599E-2</v>
      </c>
      <c r="Z9585">
        <v>1.8585919999999999E-2</v>
      </c>
      <c r="AA9585">
        <v>0.99965619999999999</v>
      </c>
      <c r="AB9585">
        <v>25</v>
      </c>
      <c r="AC9585">
        <v>-10.757199999999999</v>
      </c>
      <c r="AD9585">
        <v>2.4310649999999998</v>
      </c>
      <c r="AE9585">
        <v>363.75637999999998</v>
      </c>
      <c r="AF9585">
        <v>-6.7373443964786599</v>
      </c>
      <c r="AG9585">
        <v>2.4310649999999998</v>
      </c>
      <c r="AH9585">
        <v>363.83679056707399</v>
      </c>
      <c r="AI9585">
        <v>89.617235471666007</v>
      </c>
      <c r="AJ9585">
        <v>91.060852822493999</v>
      </c>
      <c r="AK9585">
        <v>363.90728497338398</v>
      </c>
      <c r="AL9585">
        <v>92.771687479508898</v>
      </c>
      <c r="AM9585">
        <v>92.160788540800198</v>
      </c>
      <c r="AN9585">
        <v>1.0000000601205901</v>
      </c>
    </row>
    <row r="9586" spans="1:40" x14ac:dyDescent="0.25">
      <c r="A9586" t="str">
        <f>"20190303154027247"</f>
        <v>20190303154027247</v>
      </c>
      <c r="B9586" t="str">
        <f>"1551598827238152"</f>
        <v>1551598827238152</v>
      </c>
      <c r="C9586" t="s">
        <v>40</v>
      </c>
      <c r="D9586">
        <v>4.1946979999999998</v>
      </c>
      <c r="E9586">
        <v>0.50804570000000004</v>
      </c>
      <c r="F9586" t="s">
        <v>92</v>
      </c>
      <c r="G9586">
        <v>-197.91159999999999</v>
      </c>
      <c r="H9586">
        <v>3.5763889999999998</v>
      </c>
      <c r="I9586">
        <v>391.87</v>
      </c>
      <c r="J9586">
        <v>-187.3321</v>
      </c>
      <c r="K9586">
        <v>1.1209979999999999</v>
      </c>
      <c r="L9586">
        <v>28.364439999999998</v>
      </c>
      <c r="M9586">
        <v>-1.1044969999999999E-2</v>
      </c>
      <c r="N9586">
        <v>-1.2130200000000001E-2</v>
      </c>
      <c r="O9586">
        <v>0.99986540000000002</v>
      </c>
      <c r="P9586">
        <v>-4.8526680000000003E-2</v>
      </c>
      <c r="Q9586">
        <v>-6.095983E-2</v>
      </c>
      <c r="R9586">
        <v>0.99695990000000001</v>
      </c>
      <c r="S9586">
        <v>-8.7448120000000004E-2</v>
      </c>
      <c r="T9586">
        <v>2.0290849999999999E-2</v>
      </c>
      <c r="U9586">
        <v>3.0059809999999998</v>
      </c>
      <c r="V9586">
        <v>-3.7515659999999999E-2</v>
      </c>
      <c r="W9586">
        <v>-4.8853019999999997E-2</v>
      </c>
      <c r="X9586">
        <v>0.99810120000000002</v>
      </c>
      <c r="Y9586">
        <v>-1.803041E-2</v>
      </c>
      <c r="Z9586">
        <v>1.8874889999999998E-2</v>
      </c>
      <c r="AA9586">
        <v>0.99965919999999997</v>
      </c>
      <c r="AB9586">
        <v>25</v>
      </c>
      <c r="AC9586">
        <v>-10.5794999999999</v>
      </c>
      <c r="AD9586">
        <v>2.4553910000000001</v>
      </c>
      <c r="AE9586">
        <v>363.50556</v>
      </c>
      <c r="AF9586">
        <v>-6.56335185491226</v>
      </c>
      <c r="AG9586">
        <v>2.4553910000000001</v>
      </c>
      <c r="AH9586">
        <v>363.583667562448</v>
      </c>
      <c r="AI9586">
        <v>89.613133097817197</v>
      </c>
      <c r="AJ9586">
        <v>91.034181549886696</v>
      </c>
      <c r="AK9586">
        <v>363.65119256052901</v>
      </c>
      <c r="AL9586">
        <v>92.800186378691706</v>
      </c>
      <c r="AM9586">
        <v>92.152564875876095</v>
      </c>
      <c r="AN9586">
        <v>1.0000000238748901</v>
      </c>
    </row>
    <row r="9587" spans="1:40" x14ac:dyDescent="0.25">
      <c r="A9587" t="str">
        <f>"20190303154027271"</f>
        <v>20190303154027271</v>
      </c>
      <c r="B9587" t="str">
        <f>"1551598827267422"</f>
        <v>1551598827267422</v>
      </c>
      <c r="C9587" t="s">
        <v>40</v>
      </c>
      <c r="D9587">
        <v>4.1410210000000003</v>
      </c>
      <c r="E9587">
        <v>0.50850479999999998</v>
      </c>
      <c r="F9587" t="s">
        <v>92</v>
      </c>
      <c r="G9587">
        <v>-197.49809999999999</v>
      </c>
      <c r="H9587">
        <v>3.5846369999999999</v>
      </c>
      <c r="I9587">
        <v>391.87</v>
      </c>
      <c r="J9587">
        <v>-187.33500000000001</v>
      </c>
      <c r="K9587">
        <v>1.121038</v>
      </c>
      <c r="L9587">
        <v>28.617740000000001</v>
      </c>
      <c r="M9587">
        <v>-1.1012559999999999E-2</v>
      </c>
      <c r="N9587">
        <v>-1.239738E-2</v>
      </c>
      <c r="O9587">
        <v>0.99986249999999999</v>
      </c>
      <c r="P9587">
        <v>-4.80463E-2</v>
      </c>
      <c r="Q9587">
        <v>-6.1797310000000001E-2</v>
      </c>
      <c r="R9587">
        <v>0.99693160000000003</v>
      </c>
      <c r="S9587">
        <v>-8.4075929999999993E-2</v>
      </c>
      <c r="T9587">
        <v>2.0375130000000002E-2</v>
      </c>
      <c r="U9587">
        <v>3.0063170000000001</v>
      </c>
      <c r="V9587">
        <v>-3.7070100000000002E-2</v>
      </c>
      <c r="W9587">
        <v>-4.9422729999999998E-2</v>
      </c>
      <c r="X9587">
        <v>0.99808980000000003</v>
      </c>
      <c r="Y9587">
        <v>-1.6938970000000001E-2</v>
      </c>
      <c r="Z9587">
        <v>1.9169530000000001E-2</v>
      </c>
      <c r="AA9587">
        <v>0.99967280000000003</v>
      </c>
      <c r="AB9587">
        <v>25</v>
      </c>
      <c r="AC9587">
        <v>-10.163099999999901</v>
      </c>
      <c r="AD9587">
        <v>2.4635989999999999</v>
      </c>
      <c r="AE9587">
        <v>363.25225999999998</v>
      </c>
      <c r="AF9587">
        <v>-6.1615556476878703</v>
      </c>
      <c r="AG9587">
        <v>2.4635989999999999</v>
      </c>
      <c r="AH9587">
        <v>363.325460744834</v>
      </c>
      <c r="AI9587">
        <v>89.611556622130095</v>
      </c>
      <c r="AJ9587">
        <v>90.971573241877806</v>
      </c>
      <c r="AK9587">
        <v>363.38605437396501</v>
      </c>
      <c r="AL9587">
        <v>92.832867836409093</v>
      </c>
      <c r="AM9587">
        <v>92.127047532321697</v>
      </c>
      <c r="AN9587">
        <v>1.00000002370935</v>
      </c>
    </row>
    <row r="9588" spans="1:40" x14ac:dyDescent="0.25">
      <c r="A9588" t="str">
        <f>"20190303154027294"</f>
        <v>20190303154027294</v>
      </c>
      <c r="B9588" t="str">
        <f>"1551598827287918"</f>
        <v>1551598827287918</v>
      </c>
      <c r="C9588" t="s">
        <v>40</v>
      </c>
      <c r="D9588">
        <v>4.2253109999999996</v>
      </c>
      <c r="E9588">
        <v>0.50880999999999998</v>
      </c>
      <c r="F9588" t="s">
        <v>92</v>
      </c>
      <c r="G9588">
        <v>-196.86009999999999</v>
      </c>
      <c r="H9588">
        <v>3.661073</v>
      </c>
      <c r="I9588">
        <v>391.87</v>
      </c>
      <c r="J9588">
        <v>-187.33770000000001</v>
      </c>
      <c r="K9588">
        <v>1.121084</v>
      </c>
      <c r="L9588">
        <v>28.875060000000001</v>
      </c>
      <c r="M9588">
        <v>-1.095581E-2</v>
      </c>
      <c r="N9588">
        <v>-1.267223E-2</v>
      </c>
      <c r="O9588">
        <v>0.99985970000000002</v>
      </c>
      <c r="P9588">
        <v>-4.750008E-2</v>
      </c>
      <c r="Q9588">
        <v>-6.1452600000000003E-2</v>
      </c>
      <c r="R9588">
        <v>0.99697910000000001</v>
      </c>
      <c r="S9588">
        <v>-7.8842159999999994E-2</v>
      </c>
      <c r="T9588">
        <v>2.1024580000000001E-2</v>
      </c>
      <c r="U9588">
        <v>3.0067439999999999</v>
      </c>
      <c r="V9588">
        <v>-3.6581009999999997E-2</v>
      </c>
      <c r="W9588">
        <v>-4.8802419999999999E-2</v>
      </c>
      <c r="X9588">
        <v>0.99813839999999998</v>
      </c>
      <c r="Y9588">
        <v>-1.525264E-2</v>
      </c>
      <c r="Z9588">
        <v>1.9659599999999999E-2</v>
      </c>
      <c r="AA9588">
        <v>0.99969039999999998</v>
      </c>
      <c r="AB9588">
        <v>25</v>
      </c>
      <c r="AC9588">
        <v>-9.5223999999999691</v>
      </c>
      <c r="AD9588">
        <v>2.5399889999999998</v>
      </c>
      <c r="AE9588">
        <v>362.99493999999999</v>
      </c>
      <c r="AF9588">
        <v>-5.5443342491364804</v>
      </c>
      <c r="AG9588">
        <v>2.5399889999999998</v>
      </c>
      <c r="AH9588">
        <v>363.05972068489302</v>
      </c>
      <c r="AI9588">
        <v>89.599208335342695</v>
      </c>
      <c r="AJ9588">
        <v>90.874903614828497</v>
      </c>
      <c r="AK9588">
        <v>363.11093617540399</v>
      </c>
      <c r="AL9588">
        <v>92.7972836601095</v>
      </c>
      <c r="AM9588">
        <v>92.098907166755296</v>
      </c>
      <c r="AN9588">
        <v>1.00000005602251</v>
      </c>
    </row>
    <row r="9589" spans="1:40" x14ac:dyDescent="0.25">
      <c r="A9589" t="str">
        <f>"20190303154027315"</f>
        <v>20190303154027315</v>
      </c>
      <c r="B9589" t="str">
        <f>"1551598827307439"</f>
        <v>1551598827307439</v>
      </c>
      <c r="C9589" t="s">
        <v>40</v>
      </c>
      <c r="D9589">
        <v>4.1920289999999998</v>
      </c>
      <c r="E9589">
        <v>0.50922539999999905</v>
      </c>
      <c r="F9589" t="s">
        <v>92</v>
      </c>
      <c r="G9589">
        <v>-196.40090000000001</v>
      </c>
      <c r="H9589">
        <v>3.6992500000000001</v>
      </c>
      <c r="I9589">
        <v>391.87</v>
      </c>
      <c r="J9589">
        <v>-187.34020000000001</v>
      </c>
      <c r="K9589">
        <v>1.1211169999999999</v>
      </c>
      <c r="L9589">
        <v>29.102540000000001</v>
      </c>
      <c r="M9589">
        <v>-1.0896919999999999E-2</v>
      </c>
      <c r="N9589">
        <v>-1.2901650000000001E-2</v>
      </c>
      <c r="O9589">
        <v>0.99985740000000001</v>
      </c>
      <c r="P9589">
        <v>-4.6766479999999999E-2</v>
      </c>
      <c r="Q9589">
        <v>-5.9905569999999998E-2</v>
      </c>
      <c r="R9589">
        <v>0.99710790000000005</v>
      </c>
      <c r="S9589">
        <v>-7.5073239999999999E-2</v>
      </c>
      <c r="T9589">
        <v>2.1355989999999998E-2</v>
      </c>
      <c r="U9589">
        <v>3.0068359999999998</v>
      </c>
      <c r="V9589">
        <v>-3.5905359999999997E-2</v>
      </c>
      <c r="W9589">
        <v>-4.7024610000000001E-2</v>
      </c>
      <c r="X9589">
        <v>0.99824820000000003</v>
      </c>
      <c r="Y9589">
        <v>-1.4058319999999999E-2</v>
      </c>
      <c r="Z9589">
        <v>1.999919E-2</v>
      </c>
      <c r="AA9589">
        <v>0.99970110000000001</v>
      </c>
      <c r="AB9589">
        <v>25</v>
      </c>
      <c r="AC9589">
        <v>-9.06069999999999</v>
      </c>
      <c r="AD9589">
        <v>2.5781329999999998</v>
      </c>
      <c r="AE9589">
        <v>362.76746000000003</v>
      </c>
      <c r="AF9589">
        <v>-5.1065271941068202</v>
      </c>
      <c r="AG9589">
        <v>2.5781329999999998</v>
      </c>
      <c r="AH9589">
        <v>362.82634574443603</v>
      </c>
      <c r="AI9589">
        <v>89.592920888213996</v>
      </c>
      <c r="AJ9589">
        <v>90.806344806803196</v>
      </c>
      <c r="AK9589">
        <v>362.87143805487199</v>
      </c>
      <c r="AL9589">
        <v>92.695305700681203</v>
      </c>
      <c r="AM9589">
        <v>92.0599477339169</v>
      </c>
      <c r="AN9589">
        <v>0.99999998881281005</v>
      </c>
    </row>
    <row r="9590" spans="1:40" x14ac:dyDescent="0.25">
      <c r="A9590" t="str">
        <f>"20190303154027337"</f>
        <v>20190303154027337</v>
      </c>
      <c r="B9590" t="str">
        <f>"1551598827327934"</f>
        <v>1551598827327934</v>
      </c>
      <c r="C9590" t="s">
        <v>40</v>
      </c>
      <c r="D9590">
        <v>4.2456160000000001</v>
      </c>
      <c r="E9590">
        <v>0.50956999999999997</v>
      </c>
      <c r="F9590" t="s">
        <v>92</v>
      </c>
      <c r="G9590">
        <v>-195.74189999999999</v>
      </c>
      <c r="H9590">
        <v>4.174188</v>
      </c>
      <c r="I9590">
        <v>391.87</v>
      </c>
      <c r="J9590">
        <v>-187.34280000000001</v>
      </c>
      <c r="K9590">
        <v>1.12114</v>
      </c>
      <c r="L9590">
        <v>29.353729999999999</v>
      </c>
      <c r="M9590">
        <v>-1.082806E-2</v>
      </c>
      <c r="N9590">
        <v>-1.313537E-2</v>
      </c>
      <c r="O9590">
        <v>0.9998551</v>
      </c>
      <c r="P9590">
        <v>-4.6251010000000002E-2</v>
      </c>
      <c r="Q9590">
        <v>-5.8501339999999999E-2</v>
      </c>
      <c r="R9590">
        <v>0.99721530000000003</v>
      </c>
      <c r="S9590">
        <v>-6.9641110000000006E-2</v>
      </c>
      <c r="T9590">
        <v>2.5306700000000001E-2</v>
      </c>
      <c r="U9590">
        <v>3.006958</v>
      </c>
      <c r="V9590">
        <v>-3.5457750000000003E-2</v>
      </c>
      <c r="W9590">
        <v>-4.5385580000000002E-2</v>
      </c>
      <c r="X9590">
        <v>0.99834009999999995</v>
      </c>
      <c r="Y9590">
        <v>-1.2320579999999999E-2</v>
      </c>
      <c r="Z9590">
        <v>2.154609E-2</v>
      </c>
      <c r="AA9590">
        <v>0.99969200000000003</v>
      </c>
      <c r="AB9590">
        <v>25</v>
      </c>
      <c r="AC9590">
        <v>-8.3990999999999705</v>
      </c>
      <c r="AD9590">
        <v>3.053048</v>
      </c>
      <c r="AE9590">
        <v>362.51627000000002</v>
      </c>
      <c r="AF9590">
        <v>-4.4726038671186901</v>
      </c>
      <c r="AG9590">
        <v>3.053048</v>
      </c>
      <c r="AH9590">
        <v>362.56026600841801</v>
      </c>
      <c r="AI9590">
        <v>89.517571727675303</v>
      </c>
      <c r="AJ9590">
        <v>90.706774434106705</v>
      </c>
      <c r="AK9590">
        <v>362.60070570192897</v>
      </c>
      <c r="AL9590">
        <v>92.601295677680298</v>
      </c>
      <c r="AM9590">
        <v>92.034102242303604</v>
      </c>
      <c r="AN9590">
        <v>1.0000000290875</v>
      </c>
    </row>
    <row r="9591" spans="1:40" x14ac:dyDescent="0.25">
      <c r="A9591" t="str">
        <f>"20190303154027359"</f>
        <v>20190303154027359</v>
      </c>
      <c r="B9591" t="str">
        <f>"1551598827347456"</f>
        <v>1551598827347456</v>
      </c>
      <c r="C9591" t="s">
        <v>40</v>
      </c>
      <c r="D9591">
        <v>4.2362120000000001</v>
      </c>
      <c r="E9591">
        <v>0.50993959999999905</v>
      </c>
      <c r="F9591" t="s">
        <v>92</v>
      </c>
      <c r="G9591">
        <v>-195.20689999999999</v>
      </c>
      <c r="H9591">
        <v>4.6045959999999999</v>
      </c>
      <c r="I9591">
        <v>391.87</v>
      </c>
      <c r="J9591">
        <v>-187.34540000000001</v>
      </c>
      <c r="K9591">
        <v>1.121157</v>
      </c>
      <c r="L9591">
        <v>29.594360000000002</v>
      </c>
      <c r="M9591">
        <v>-1.076189E-2</v>
      </c>
      <c r="N9591">
        <v>-1.333937E-2</v>
      </c>
      <c r="O9591">
        <v>0.99985310000000005</v>
      </c>
      <c r="P9591">
        <v>-4.5678259999999998E-2</v>
      </c>
      <c r="Q9591">
        <v>-5.7724119999999997E-2</v>
      </c>
      <c r="R9591">
        <v>0.99728700000000003</v>
      </c>
      <c r="S9591">
        <v>-6.5231319999999995E-2</v>
      </c>
      <c r="T9591">
        <v>2.889502E-2</v>
      </c>
      <c r="U9591">
        <v>3.00705</v>
      </c>
      <c r="V9591">
        <v>-3.49504E-2</v>
      </c>
      <c r="W9591">
        <v>-4.4403779999999997E-2</v>
      </c>
      <c r="X9591">
        <v>0.99840209999999996</v>
      </c>
      <c r="Y9591">
        <v>-1.092015E-2</v>
      </c>
      <c r="Z9591">
        <v>2.294274E-2</v>
      </c>
      <c r="AA9591">
        <v>0.99967709999999999</v>
      </c>
      <c r="AB9591">
        <v>25</v>
      </c>
      <c r="AC9591">
        <v>-7.8614999999999702</v>
      </c>
      <c r="AD9591">
        <v>3.4834390000000002</v>
      </c>
      <c r="AE9591">
        <v>362.27564000000001</v>
      </c>
      <c r="AF9591">
        <v>-3.96156100627273</v>
      </c>
      <c r="AG9591">
        <v>3.4834390000000002</v>
      </c>
      <c r="AH9591">
        <v>362.30578690275399</v>
      </c>
      <c r="AI9591">
        <v>89.449171717800098</v>
      </c>
      <c r="AJ9591">
        <v>90.626464409171604</v>
      </c>
      <c r="AK9591">
        <v>362.34418932293801</v>
      </c>
      <c r="AL9591">
        <v>92.544986005288393</v>
      </c>
      <c r="AM9591">
        <v>92.004896649704605</v>
      </c>
      <c r="AN9591">
        <v>0.999999989711429</v>
      </c>
    </row>
    <row r="9592" spans="1:40" x14ac:dyDescent="0.25">
      <c r="A9592" t="str">
        <f>"20190303154027380"</f>
        <v>20190303154027380</v>
      </c>
      <c r="B9592" t="str">
        <f>"1551598827377711"</f>
        <v>1551598827377711</v>
      </c>
      <c r="C9592" t="s">
        <v>40</v>
      </c>
      <c r="D9592">
        <v>4.1936450000000001</v>
      </c>
      <c r="E9592">
        <v>0.51042959999999904</v>
      </c>
      <c r="F9592" t="s">
        <v>92</v>
      </c>
      <c r="G9592">
        <v>-194.6892</v>
      </c>
      <c r="H9592">
        <v>4.8813250000000004</v>
      </c>
      <c r="I9592">
        <v>391.87</v>
      </c>
      <c r="J9592">
        <v>-187.34790000000001</v>
      </c>
      <c r="K9592">
        <v>1.1211679999999999</v>
      </c>
      <c r="L9592">
        <v>29.83267</v>
      </c>
      <c r="M9592">
        <v>-1.069578E-2</v>
      </c>
      <c r="N9592">
        <v>-1.352122E-2</v>
      </c>
      <c r="O9592">
        <v>0.99985139999999995</v>
      </c>
      <c r="P9592">
        <v>-4.579503E-2</v>
      </c>
      <c r="Q9592">
        <v>-5.7292940000000001E-2</v>
      </c>
      <c r="R9592">
        <v>0.99730649999999998</v>
      </c>
      <c r="S9592">
        <v>-6.0958859999999997E-2</v>
      </c>
      <c r="T9592">
        <v>3.121233E-2</v>
      </c>
      <c r="U9592">
        <v>3.0071720000000002</v>
      </c>
      <c r="V9592">
        <v>-3.5132730000000001E-2</v>
      </c>
      <c r="W9592">
        <v>-4.3790709999999997E-2</v>
      </c>
      <c r="X9592">
        <v>0.99842280000000005</v>
      </c>
      <c r="Y9592">
        <v>-9.5652830000000008E-3</v>
      </c>
      <c r="Z9592">
        <v>2.389463E-2</v>
      </c>
      <c r="AA9592">
        <v>0.99966869999999997</v>
      </c>
      <c r="AB9592">
        <v>25</v>
      </c>
      <c r="AC9592">
        <v>-7.3412999999999897</v>
      </c>
      <c r="AD9592">
        <v>3.760157</v>
      </c>
      <c r="AE9592">
        <v>362.03733</v>
      </c>
      <c r="AF9592">
        <v>-3.4678804940503598</v>
      </c>
      <c r="AG9592">
        <v>3.760157</v>
      </c>
      <c r="AH9592">
        <v>362.05610589483098</v>
      </c>
      <c r="AI9592">
        <v>89.404999676473807</v>
      </c>
      <c r="AJ9592">
        <v>90.548779144793698</v>
      </c>
      <c r="AK9592">
        <v>362.09223796087502</v>
      </c>
      <c r="AL9592">
        <v>92.509825424022594</v>
      </c>
      <c r="AM9592">
        <v>92.015305486081203</v>
      </c>
      <c r="AN9592">
        <v>1.0000000112796901</v>
      </c>
    </row>
    <row r="9593" spans="1:40" x14ac:dyDescent="0.25">
      <c r="A9593" t="str">
        <f>"20190303154027403"</f>
        <v>20190303154027403</v>
      </c>
      <c r="B9593" t="str">
        <f>"1551598827398207"</f>
        <v>1551598827398207</v>
      </c>
      <c r="C9593" t="s">
        <v>40</v>
      </c>
      <c r="D9593">
        <v>4.1698259999999996</v>
      </c>
      <c r="E9593">
        <v>0.51065169999999904</v>
      </c>
      <c r="F9593" t="s">
        <v>92</v>
      </c>
      <c r="G9593">
        <v>-194.24930000000001</v>
      </c>
      <c r="H9593">
        <v>4.9950739999999998</v>
      </c>
      <c r="I9593">
        <v>391.87</v>
      </c>
      <c r="J9593">
        <v>-187.35040000000001</v>
      </c>
      <c r="K9593">
        <v>1.121183</v>
      </c>
      <c r="L9593">
        <v>30.071619999999999</v>
      </c>
      <c r="M9593">
        <v>-1.062863E-2</v>
      </c>
      <c r="N9593">
        <v>-1.368312E-2</v>
      </c>
      <c r="O9593">
        <v>0.99984989999999996</v>
      </c>
      <c r="P9593">
        <v>-4.6155460000000002E-2</v>
      </c>
      <c r="Q9593">
        <v>-5.6662480000000001E-2</v>
      </c>
      <c r="R9593">
        <v>0.99732600000000005</v>
      </c>
      <c r="S9593">
        <v>-5.732727E-2</v>
      </c>
      <c r="T9593">
        <v>3.2179239999999998E-2</v>
      </c>
      <c r="U9593">
        <v>3.0073240000000001</v>
      </c>
      <c r="V9593">
        <v>-3.5559100000000003E-2</v>
      </c>
      <c r="W9593">
        <v>-4.2998370000000001E-2</v>
      </c>
      <c r="X9593">
        <v>0.9984421</v>
      </c>
      <c r="Y9593">
        <v>-8.4244809999999993E-3</v>
      </c>
      <c r="Z9593">
        <v>2.437756E-2</v>
      </c>
      <c r="AA9593">
        <v>0.99966730000000004</v>
      </c>
      <c r="AB9593">
        <v>25</v>
      </c>
      <c r="AC9593">
        <v>-6.8988999999999896</v>
      </c>
      <c r="AD9593">
        <v>3.873891</v>
      </c>
      <c r="AE9593">
        <v>361.79838000000001</v>
      </c>
      <c r="AF9593">
        <v>-3.0523793050893602</v>
      </c>
      <c r="AG9593">
        <v>3.873891</v>
      </c>
      <c r="AH9593">
        <v>361.80980731360501</v>
      </c>
      <c r="AI9593">
        <v>89.386580403282807</v>
      </c>
      <c r="AJ9593">
        <v>90.483359762987902</v>
      </c>
      <c r="AK9593">
        <v>361.84342016846102</v>
      </c>
      <c r="AL9593">
        <v>92.464384987158397</v>
      </c>
      <c r="AM9593">
        <v>92.039703255963403</v>
      </c>
      <c r="AN9593">
        <v>0.999999968233938</v>
      </c>
    </row>
    <row r="9594" spans="1:40" x14ac:dyDescent="0.25">
      <c r="A9594" t="str">
        <f>"20190303154027427"</f>
        <v>20190303154027427</v>
      </c>
      <c r="B9594" t="str">
        <f>"1551598827417727"</f>
        <v>1551598827417727</v>
      </c>
      <c r="C9594" t="s">
        <v>40</v>
      </c>
      <c r="D9594">
        <v>4.1781329999999999</v>
      </c>
      <c r="E9594">
        <v>0.5108741</v>
      </c>
      <c r="F9594" t="s">
        <v>92</v>
      </c>
      <c r="G9594">
        <v>-194.1867</v>
      </c>
      <c r="H9594">
        <v>5.0898209999999997</v>
      </c>
      <c r="I9594">
        <v>391.87</v>
      </c>
      <c r="J9594">
        <v>-187.35310000000001</v>
      </c>
      <c r="K9594">
        <v>1.121197</v>
      </c>
      <c r="L9594">
        <v>30.339359999999999</v>
      </c>
      <c r="M9594">
        <v>-1.055273E-2</v>
      </c>
      <c r="N9594">
        <v>-1.3842200000000001E-2</v>
      </c>
      <c r="O9594">
        <v>0.99984850000000003</v>
      </c>
      <c r="P9594">
        <v>-4.703454E-2</v>
      </c>
      <c r="Q9594">
        <v>-5.5745839999999998E-2</v>
      </c>
      <c r="R9594">
        <v>0.99733649999999996</v>
      </c>
      <c r="S9594">
        <v>-5.6823730000000003E-2</v>
      </c>
      <c r="T9594">
        <v>3.2987589999999997E-2</v>
      </c>
      <c r="U9594">
        <v>3.0072939999999999</v>
      </c>
      <c r="V9594">
        <v>-3.651389E-2</v>
      </c>
      <c r="W9594">
        <v>-4.1922769999999998E-2</v>
      </c>
      <c r="X9594">
        <v>0.99845340000000005</v>
      </c>
      <c r="Y9594">
        <v>-8.3330450000000007E-3</v>
      </c>
      <c r="Z9594">
        <v>2.480539E-2</v>
      </c>
      <c r="AA9594">
        <v>0.99965760000000004</v>
      </c>
      <c r="AB9594">
        <v>25</v>
      </c>
      <c r="AC9594">
        <v>-6.8335999999999899</v>
      </c>
      <c r="AD9594">
        <v>3.9686240000000002</v>
      </c>
      <c r="AE9594">
        <v>361.53064000000001</v>
      </c>
      <c r="AF9594">
        <v>-3.0173551521543698</v>
      </c>
      <c r="AG9594">
        <v>3.9686240000000002</v>
      </c>
      <c r="AH9594">
        <v>361.53907541709998</v>
      </c>
      <c r="AI9594">
        <v>89.371109871284403</v>
      </c>
      <c r="AJ9594">
        <v>90.478171554610498</v>
      </c>
      <c r="AK9594">
        <v>361.57344684312699</v>
      </c>
      <c r="AL9594">
        <v>92.402701966506299</v>
      </c>
      <c r="AM9594">
        <v>92.0943990829212</v>
      </c>
      <c r="AN9594">
        <v>0.99999998738948204</v>
      </c>
    </row>
    <row r="9595" spans="1:40" x14ac:dyDescent="0.25">
      <c r="A9595" t="str">
        <f>"20190303154027448"</f>
        <v>20190303154027448</v>
      </c>
      <c r="B9595" t="str">
        <f>"1551598827437249"</f>
        <v>1551598827437249</v>
      </c>
      <c r="C9595" t="s">
        <v>40</v>
      </c>
      <c r="D9595">
        <v>4.1738839999999904</v>
      </c>
      <c r="E9595">
        <v>0.51106300000000005</v>
      </c>
      <c r="F9595" t="s">
        <v>92</v>
      </c>
      <c r="G9595">
        <v>-194.30189999999999</v>
      </c>
      <c r="H9595">
        <v>5.3067950000000002</v>
      </c>
      <c r="I9595">
        <v>391.87</v>
      </c>
      <c r="J9595">
        <v>-187.35550000000001</v>
      </c>
      <c r="K9595">
        <v>1.1212029999999999</v>
      </c>
      <c r="L9595">
        <v>30.572939999999999</v>
      </c>
      <c r="M9595">
        <v>-1.0486860000000001E-2</v>
      </c>
      <c r="N9595">
        <v>-1.396236E-2</v>
      </c>
      <c r="O9595">
        <v>0.9998475</v>
      </c>
      <c r="P9595">
        <v>-4.8679720000000003E-2</v>
      </c>
      <c r="Q9595">
        <v>-5.5735479999999997E-2</v>
      </c>
      <c r="R9595">
        <v>0.99725819999999998</v>
      </c>
      <c r="S9595">
        <v>-5.7800289999999997E-2</v>
      </c>
      <c r="T9595">
        <v>3.4816029999999998E-2</v>
      </c>
      <c r="U9595">
        <v>3.0072329999999998</v>
      </c>
      <c r="V9595">
        <v>-3.8224670000000002E-2</v>
      </c>
      <c r="W9595">
        <v>-4.1793259999999999E-2</v>
      </c>
      <c r="X9595">
        <v>0.99839480000000003</v>
      </c>
      <c r="Y9595">
        <v>-8.7234630000000007E-3</v>
      </c>
      <c r="Z9595">
        <v>2.5533299999999998E-2</v>
      </c>
      <c r="AA9595">
        <v>0.99963590000000002</v>
      </c>
      <c r="AB9595">
        <v>24</v>
      </c>
      <c r="AC9595">
        <v>-6.9463999999999801</v>
      </c>
      <c r="AD9595">
        <v>4.1855919999999998</v>
      </c>
      <c r="AE9595">
        <v>361.29705999999999</v>
      </c>
      <c r="AF9595">
        <v>-3.15635333437397</v>
      </c>
      <c r="AG9595">
        <v>4.1855919999999998</v>
      </c>
      <c r="AH9595">
        <v>361.30156955143701</v>
      </c>
      <c r="AI9595">
        <v>89.336297155648595</v>
      </c>
      <c r="AJ9595">
        <v>90.500526816155201</v>
      </c>
      <c r="AK9595">
        <v>361.33959914060603</v>
      </c>
      <c r="AL9595">
        <v>92.395275076218496</v>
      </c>
      <c r="AM9595">
        <v>92.192562596996396</v>
      </c>
      <c r="AN9595">
        <v>0.99999998932253797</v>
      </c>
    </row>
    <row r="9596" spans="1:40" x14ac:dyDescent="0.25">
      <c r="A9596" t="str">
        <f>"20190303154027472"</f>
        <v>20190303154027472</v>
      </c>
      <c r="B9596" t="str">
        <f>"1551598827467502"</f>
        <v>1551598827467502</v>
      </c>
      <c r="C9596" t="s">
        <v>40</v>
      </c>
      <c r="D9596">
        <v>4.1640160000000002</v>
      </c>
      <c r="E9596">
        <v>0.5113991</v>
      </c>
      <c r="F9596" t="s">
        <v>92</v>
      </c>
      <c r="G9596">
        <v>-194.7345</v>
      </c>
      <c r="H9596">
        <v>5.1947580000000002</v>
      </c>
      <c r="I9596">
        <v>391.87</v>
      </c>
      <c r="J9596">
        <v>-187.358</v>
      </c>
      <c r="K9596">
        <v>1.121205</v>
      </c>
      <c r="L9596">
        <v>30.818449999999999</v>
      </c>
      <c r="M9596">
        <v>-1.041886E-2</v>
      </c>
      <c r="N9596">
        <v>-1.407169E-2</v>
      </c>
      <c r="O9596">
        <v>0.99984669999999998</v>
      </c>
      <c r="P9596">
        <v>-4.9454089999999999E-2</v>
      </c>
      <c r="Q9596">
        <v>-5.499192E-2</v>
      </c>
      <c r="R9596">
        <v>0.99726130000000002</v>
      </c>
      <c r="S9596">
        <v>-6.141663E-2</v>
      </c>
      <c r="T9596">
        <v>3.3904910000000003E-2</v>
      </c>
      <c r="U9596">
        <v>3.0071409999999998</v>
      </c>
      <c r="V9596">
        <v>-3.9066780000000002E-2</v>
      </c>
      <c r="W9596">
        <v>-4.0940549999999999E-2</v>
      </c>
      <c r="X9596">
        <v>0.99839750000000005</v>
      </c>
      <c r="Y9596">
        <v>-9.993755E-3</v>
      </c>
      <c r="Z9596">
        <v>2.533989E-2</v>
      </c>
      <c r="AA9596">
        <v>0.99962899999999999</v>
      </c>
      <c r="AB9596">
        <v>24</v>
      </c>
      <c r="AC9596">
        <v>-7.3764999999999903</v>
      </c>
      <c r="AD9596">
        <v>4.0735529999999898</v>
      </c>
      <c r="AE9596">
        <v>361.05155000000002</v>
      </c>
      <c r="AF9596">
        <v>-3.6135216871924398</v>
      </c>
      <c r="AG9596">
        <v>4.0735529999999898</v>
      </c>
      <c r="AH9596">
        <v>361.06286936730902</v>
      </c>
      <c r="AI9596">
        <v>89.353642187785795</v>
      </c>
      <c r="AJ9596">
        <v>90.573397730571102</v>
      </c>
      <c r="AK9596">
        <v>361.10392826550901</v>
      </c>
      <c r="AL9596">
        <v>92.346376614690101</v>
      </c>
      <c r="AM9596">
        <v>92.240811163857899</v>
      </c>
      <c r="AN9596">
        <v>0.999999954970059</v>
      </c>
    </row>
    <row r="9597" spans="1:40" x14ac:dyDescent="0.25">
      <c r="A9597" t="str">
        <f>"20190303154027494"</f>
        <v>20190303154027494</v>
      </c>
      <c r="B9597" t="str">
        <f>"1551598827487999"</f>
        <v>1551598827487999</v>
      </c>
      <c r="C9597" t="s">
        <v>40</v>
      </c>
      <c r="D9597">
        <v>4.1940269999999904</v>
      </c>
      <c r="E9597">
        <v>0.51162109999999905</v>
      </c>
      <c r="F9597" t="s">
        <v>92</v>
      </c>
      <c r="G9597">
        <v>-194.6789</v>
      </c>
      <c r="H9597">
        <v>5.3295940000000002</v>
      </c>
      <c r="I9597">
        <v>391.87</v>
      </c>
      <c r="J9597">
        <v>-187.36060000000001</v>
      </c>
      <c r="K9597">
        <v>1.121213</v>
      </c>
      <c r="L9597">
        <v>31.067260000000001</v>
      </c>
      <c r="M9597">
        <v>-1.035144E-2</v>
      </c>
      <c r="N9597">
        <v>-1.416736E-2</v>
      </c>
      <c r="O9597">
        <v>0.99984600000000001</v>
      </c>
      <c r="P9597">
        <v>-4.967854E-2</v>
      </c>
      <c r="Q9597">
        <v>-5.4758920000000003E-2</v>
      </c>
      <c r="R9597">
        <v>0.99726300000000001</v>
      </c>
      <c r="S9597">
        <v>-6.097412E-2</v>
      </c>
      <c r="T9597">
        <v>3.5050989999999997E-2</v>
      </c>
      <c r="U9597">
        <v>3.0071409999999998</v>
      </c>
      <c r="V9597">
        <v>-3.9358190000000001E-2</v>
      </c>
      <c r="W9597">
        <v>-4.0612170000000003E-2</v>
      </c>
      <c r="X9597">
        <v>0.9983995</v>
      </c>
      <c r="Y9597">
        <v>-9.9139060000000001E-3</v>
      </c>
      <c r="Z9597">
        <v>2.5816450000000001E-2</v>
      </c>
      <c r="AA9597">
        <v>0.99961750000000005</v>
      </c>
      <c r="AB9597">
        <v>24</v>
      </c>
      <c r="AC9597">
        <v>-7.31829999999999</v>
      </c>
      <c r="AD9597">
        <v>4.2083810000000001</v>
      </c>
      <c r="AE9597">
        <v>360.80273999999997</v>
      </c>
      <c r="AF9597">
        <v>-3.58221768022179</v>
      </c>
      <c r="AG9597">
        <v>4.2083810000000001</v>
      </c>
      <c r="AH9597">
        <v>360.810100614877</v>
      </c>
      <c r="AI9597">
        <v>89.331782411759704</v>
      </c>
      <c r="AJ9597">
        <v>90.568828895579102</v>
      </c>
      <c r="AK9597">
        <v>360.85242338089898</v>
      </c>
      <c r="AL9597">
        <v>92.327546086193806</v>
      </c>
      <c r="AM9597">
        <v>92.257504251419704</v>
      </c>
      <c r="AN9597">
        <v>0.99999998853621697</v>
      </c>
    </row>
    <row r="9598" spans="1:40" x14ac:dyDescent="0.25">
      <c r="A9598" t="str">
        <f>"20190303154027516"</f>
        <v>20190303154027516</v>
      </c>
      <c r="B9598" t="str">
        <f>"1551598827507519"</f>
        <v>1551598827507519</v>
      </c>
      <c r="C9598" t="s">
        <v>40</v>
      </c>
      <c r="D9598">
        <v>4.1479559999999998</v>
      </c>
      <c r="E9598">
        <v>0.51187559999999999</v>
      </c>
      <c r="F9598" t="s">
        <v>92</v>
      </c>
      <c r="G9598">
        <v>-194.52260000000001</v>
      </c>
      <c r="H9598">
        <v>5.3259589999999903</v>
      </c>
      <c r="I9598">
        <v>391.87</v>
      </c>
      <c r="J9598">
        <v>-187.3629</v>
      </c>
      <c r="K9598">
        <v>1.121221</v>
      </c>
      <c r="L9598">
        <v>31.302029999999998</v>
      </c>
      <c r="M9598">
        <v>-1.0288810000000001E-2</v>
      </c>
      <c r="N9598">
        <v>-1.424542E-2</v>
      </c>
      <c r="O9598">
        <v>0.9998456</v>
      </c>
      <c r="P9598">
        <v>-4.9463939999999998E-2</v>
      </c>
      <c r="Q9598">
        <v>-5.446691E-2</v>
      </c>
      <c r="R9598">
        <v>0.99728969999999995</v>
      </c>
      <c r="S9598">
        <v>-5.9692380000000003E-2</v>
      </c>
      <c r="T9598">
        <v>3.5045149999999997E-2</v>
      </c>
      <c r="U9598">
        <v>3.0071720000000002</v>
      </c>
      <c r="V9598">
        <v>-3.9205950000000003E-2</v>
      </c>
      <c r="W9598">
        <v>-4.0242090000000001E-2</v>
      </c>
      <c r="X9598">
        <v>0.99842050000000004</v>
      </c>
      <c r="Y9598">
        <v>-9.5503900000000006E-3</v>
      </c>
      <c r="Z9598">
        <v>2.589255E-2</v>
      </c>
      <c r="AA9598">
        <v>0.99961909999999998</v>
      </c>
      <c r="AB9598">
        <v>24</v>
      </c>
      <c r="AC9598">
        <v>-7.1597000000000097</v>
      </c>
      <c r="AD9598">
        <v>4.2047379999999901</v>
      </c>
      <c r="AE9598">
        <v>360.56797</v>
      </c>
      <c r="AF9598">
        <v>-3.4486603725239502</v>
      </c>
      <c r="AG9598">
        <v>4.2047379999999901</v>
      </c>
      <c r="AH9598">
        <v>360.573538409268</v>
      </c>
      <c r="AI9598">
        <v>89.331920455661106</v>
      </c>
      <c r="AJ9598">
        <v>90.547981586259397</v>
      </c>
      <c r="AK9598">
        <v>360.61454446679397</v>
      </c>
      <c r="AL9598">
        <v>92.306324657279902</v>
      </c>
      <c r="AM9598">
        <v>92.248733812112107</v>
      </c>
      <c r="AN9598">
        <v>1.0000000135716101</v>
      </c>
    </row>
    <row r="9599" spans="1:40" x14ac:dyDescent="0.25">
      <c r="A9599" t="str">
        <f>"20190303154027537"</f>
        <v>20190303154027537</v>
      </c>
      <c r="B9599" t="str">
        <f>"1551598827528014"</f>
        <v>1551598827528014</v>
      </c>
      <c r="C9599" t="s">
        <v>40</v>
      </c>
      <c r="D9599">
        <v>4.1325379999999896</v>
      </c>
      <c r="E9599">
        <v>0.51209369999999999</v>
      </c>
      <c r="F9599" t="s">
        <v>92</v>
      </c>
      <c r="G9599">
        <v>-194.21449999999999</v>
      </c>
      <c r="H9599">
        <v>5.3860049999999999</v>
      </c>
      <c r="I9599">
        <v>391.87</v>
      </c>
      <c r="J9599">
        <v>-187.36529999999999</v>
      </c>
      <c r="K9599">
        <v>1.1212279999999999</v>
      </c>
      <c r="L9599">
        <v>31.539429999999999</v>
      </c>
      <c r="M9599">
        <v>-1.0226020000000001E-2</v>
      </c>
      <c r="N9599">
        <v>-1.43134E-2</v>
      </c>
      <c r="O9599">
        <v>0.99984530000000005</v>
      </c>
      <c r="P9599">
        <v>-4.8728390000000003E-2</v>
      </c>
      <c r="Q9599">
        <v>-5.3736779999999998E-2</v>
      </c>
      <c r="R9599">
        <v>0.99736550000000002</v>
      </c>
      <c r="S9599">
        <v>-5.7144170000000001E-2</v>
      </c>
      <c r="T9599">
        <v>3.5569789999999997E-2</v>
      </c>
      <c r="U9599">
        <v>3.007263</v>
      </c>
      <c r="V9599">
        <v>-3.8531610000000001E-2</v>
      </c>
      <c r="W9599">
        <v>-3.9443430000000002E-2</v>
      </c>
      <c r="X9599">
        <v>0.99847859999999999</v>
      </c>
      <c r="Y9599">
        <v>-8.7657569999999903E-3</v>
      </c>
      <c r="Z9599">
        <v>2.6134709999999998E-2</v>
      </c>
      <c r="AA9599">
        <v>0.99961999999999995</v>
      </c>
      <c r="AB9599">
        <v>24</v>
      </c>
      <c r="AC9599">
        <v>-6.84919999999999</v>
      </c>
      <c r="AD9599">
        <v>4.2647769999999996</v>
      </c>
      <c r="AE9599">
        <v>360.33057000000002</v>
      </c>
      <c r="AF9599">
        <v>-3.16327383582124</v>
      </c>
      <c r="AG9599">
        <v>4.2647769999999996</v>
      </c>
      <c r="AH9599">
        <v>360.33131408414999</v>
      </c>
      <c r="AI9599">
        <v>89.321921548060601</v>
      </c>
      <c r="AJ9599">
        <v>90.502974838500407</v>
      </c>
      <c r="AK9599">
        <v>360.37043515503598</v>
      </c>
      <c r="AL9599">
        <v>92.260528494496995</v>
      </c>
      <c r="AM9599">
        <v>92.209965940119005</v>
      </c>
      <c r="AN9599">
        <v>0.99999999189865796</v>
      </c>
    </row>
    <row r="9600" spans="1:40" x14ac:dyDescent="0.25">
      <c r="A9600" t="str">
        <f>"20190303154027560"</f>
        <v>20190303154027560</v>
      </c>
      <c r="B9600" t="str">
        <f>"1551598827547534"</f>
        <v>1551598827547534</v>
      </c>
      <c r="C9600" t="s">
        <v>40</v>
      </c>
      <c r="D9600">
        <v>4.1756080000000004</v>
      </c>
      <c r="E9600">
        <v>0.51230419999999999</v>
      </c>
      <c r="F9600" t="s">
        <v>92</v>
      </c>
      <c r="G9600">
        <v>-193.768</v>
      </c>
      <c r="H9600">
        <v>5.570417</v>
      </c>
      <c r="I9600">
        <v>391.87</v>
      </c>
      <c r="J9600">
        <v>-187.36760000000001</v>
      </c>
      <c r="K9600">
        <v>1.1212310000000001</v>
      </c>
      <c r="L9600">
        <v>31.773859999999999</v>
      </c>
      <c r="M9600">
        <v>-1.0164289999999999E-2</v>
      </c>
      <c r="N9600">
        <v>-1.4371159999999999E-2</v>
      </c>
      <c r="O9600">
        <v>0.99984510000000004</v>
      </c>
      <c r="P9600">
        <v>-4.8139889999999998E-2</v>
      </c>
      <c r="Q9600">
        <v>-5.2465949999999997E-2</v>
      </c>
      <c r="R9600">
        <v>0.99746170000000001</v>
      </c>
      <c r="S9600">
        <v>-5.3436280000000003E-2</v>
      </c>
      <c r="T9600">
        <v>3.7132980000000003E-2</v>
      </c>
      <c r="U9600">
        <v>3.0073240000000001</v>
      </c>
      <c r="V9600">
        <v>-3.800365E-2</v>
      </c>
      <c r="W9600">
        <v>-3.8113929999999997E-2</v>
      </c>
      <c r="X9600">
        <v>0.99855050000000001</v>
      </c>
      <c r="Y9600">
        <v>-7.5948079999999998E-3</v>
      </c>
      <c r="Z9600">
        <v>2.671196E-2</v>
      </c>
      <c r="AA9600">
        <v>0.99961429999999996</v>
      </c>
      <c r="AB9600">
        <v>24</v>
      </c>
      <c r="AC9600">
        <v>-6.4003999999999897</v>
      </c>
      <c r="AD9600">
        <v>4.4491860000000001</v>
      </c>
      <c r="AE9600">
        <v>360.09613999999999</v>
      </c>
      <c r="AF9600">
        <v>-2.7391517821714699</v>
      </c>
      <c r="AG9600">
        <v>4.4491860000000001</v>
      </c>
      <c r="AH9600">
        <v>360.08764316420297</v>
      </c>
      <c r="AI9600">
        <v>89.292118906338004</v>
      </c>
      <c r="AJ9600">
        <v>90.435835032119101</v>
      </c>
      <c r="AK9600">
        <v>360.12554611982</v>
      </c>
      <c r="AL9600">
        <v>92.184296336962106</v>
      </c>
      <c r="AM9600">
        <v>92.179557606989107</v>
      </c>
      <c r="AN9600">
        <v>1.0000000250618</v>
      </c>
    </row>
    <row r="9601" spans="1:40" x14ac:dyDescent="0.25">
      <c r="A9601" t="str">
        <f>"20190303154027582"</f>
        <v>20190303154027582</v>
      </c>
      <c r="B9601" t="str">
        <f>"1551598827577791"</f>
        <v>1551598827577791</v>
      </c>
      <c r="C9601" t="s">
        <v>40</v>
      </c>
      <c r="D9601">
        <v>4.146433</v>
      </c>
      <c r="E9601">
        <v>0.51260899999999998</v>
      </c>
      <c r="F9601" t="s">
        <v>92</v>
      </c>
      <c r="G9601">
        <v>-193.3314</v>
      </c>
      <c r="H9601">
        <v>5.9250210000000001</v>
      </c>
      <c r="I9601">
        <v>390.11860000000001</v>
      </c>
      <c r="J9601">
        <v>-187.37010000000001</v>
      </c>
      <c r="K9601">
        <v>1.121235</v>
      </c>
      <c r="L9601">
        <v>32.020319999999998</v>
      </c>
      <c r="M9601">
        <v>-1.009936E-2</v>
      </c>
      <c r="N9601">
        <v>-1.442306E-2</v>
      </c>
      <c r="O9601">
        <v>0.99984499999999998</v>
      </c>
      <c r="P9601">
        <v>-4.7683099999999999E-2</v>
      </c>
      <c r="Q9601">
        <v>-5.1377720000000002E-2</v>
      </c>
      <c r="R9601">
        <v>0.99754030000000005</v>
      </c>
      <c r="S9601">
        <v>-5.0048830000000002E-2</v>
      </c>
      <c r="T9601">
        <v>4.0314669999999997E-2</v>
      </c>
      <c r="U9601">
        <v>3.0073240000000001</v>
      </c>
      <c r="V9601">
        <v>-3.7611020000000002E-2</v>
      </c>
      <c r="W9601">
        <v>-3.6973069999999997E-2</v>
      </c>
      <c r="X9601">
        <v>0.99860819999999995</v>
      </c>
      <c r="Y9601">
        <v>-6.5336600000000002E-3</v>
      </c>
      <c r="Z9601">
        <v>2.782136E-2</v>
      </c>
      <c r="AA9601">
        <v>0.99959149999999997</v>
      </c>
      <c r="AB9601">
        <v>24</v>
      </c>
      <c r="AC9601">
        <v>-5.9612999999999898</v>
      </c>
      <c r="AD9601">
        <v>4.8037859999999997</v>
      </c>
      <c r="AE9601">
        <v>358.09827999999999</v>
      </c>
      <c r="AF9601">
        <v>-2.3436346923217499</v>
      </c>
      <c r="AG9601">
        <v>4.8037859999999997</v>
      </c>
      <c r="AH9601">
        <v>358.07580530504902</v>
      </c>
      <c r="AI9601">
        <v>89.231407833108307</v>
      </c>
      <c r="AJ9601">
        <v>90.375000089961503</v>
      </c>
      <c r="AK9601">
        <v>358.11569545101497</v>
      </c>
      <c r="AL9601">
        <v>92.118883879033106</v>
      </c>
      <c r="AM9601">
        <v>92.156936641572699</v>
      </c>
      <c r="AN9601">
        <v>0.99999996691895199</v>
      </c>
    </row>
    <row r="9602" spans="1:40" x14ac:dyDescent="0.25">
      <c r="A9602" t="str">
        <f>"20190303154027604"</f>
        <v>20190303154027604</v>
      </c>
      <c r="B9602" t="str">
        <f>"1551598827597311"</f>
        <v>1551598827597311</v>
      </c>
      <c r="C9602" t="s">
        <v>40</v>
      </c>
      <c r="D9602">
        <v>4.13504</v>
      </c>
      <c r="E9602">
        <v>0.51280199999999998</v>
      </c>
      <c r="F9602" t="s">
        <v>92</v>
      </c>
      <c r="G9602">
        <v>-192.82990000000001</v>
      </c>
      <c r="H9602">
        <v>6.1844219999999996</v>
      </c>
      <c r="I9602">
        <v>390.11860000000001</v>
      </c>
      <c r="J9602">
        <v>-187.3723</v>
      </c>
      <c r="K9602">
        <v>1.1212420000000001</v>
      </c>
      <c r="L9602">
        <v>32.249389999999998</v>
      </c>
      <c r="M9602">
        <v>-1.003881E-2</v>
      </c>
      <c r="N9602">
        <v>-1.4464110000000001E-2</v>
      </c>
      <c r="O9602">
        <v>0.99984499999999998</v>
      </c>
      <c r="P9602">
        <v>-4.7311010000000001E-2</v>
      </c>
      <c r="Q9602">
        <v>-5.025321E-2</v>
      </c>
      <c r="R9602">
        <v>0.99761529999999998</v>
      </c>
      <c r="S9602">
        <v>-4.5852660000000003E-2</v>
      </c>
      <c r="T9602">
        <v>4.2521719999999999E-2</v>
      </c>
      <c r="U9602">
        <v>3.0073850000000002</v>
      </c>
      <c r="V9602">
        <v>-3.729785E-2</v>
      </c>
      <c r="W9602">
        <v>-3.580676E-2</v>
      </c>
      <c r="X9602">
        <v>0.99866250000000001</v>
      </c>
      <c r="Y9602">
        <v>-5.1992100000000001E-3</v>
      </c>
      <c r="Z9602">
        <v>2.8595780000000001E-2</v>
      </c>
      <c r="AA9602">
        <v>0.99957750000000001</v>
      </c>
      <c r="AB9602">
        <v>24</v>
      </c>
      <c r="AC9602">
        <v>-5.45760000000001</v>
      </c>
      <c r="AD9602">
        <v>5.06318</v>
      </c>
      <c r="AE9602">
        <v>357.86921000000001</v>
      </c>
      <c r="AF9602">
        <v>-1.8639950611062099</v>
      </c>
      <c r="AG9602">
        <v>5.06318</v>
      </c>
      <c r="AH9602">
        <v>357.83435579832502</v>
      </c>
      <c r="AI9602">
        <v>89.189358015964999</v>
      </c>
      <c r="AJ9602">
        <v>90.298456764511599</v>
      </c>
      <c r="AK9602">
        <v>357.87502910779199</v>
      </c>
      <c r="AL9602">
        <v>92.052014831331306</v>
      </c>
      <c r="AM9602">
        <v>92.138877360645196</v>
      </c>
      <c r="AN9602">
        <v>1.0000000212912801</v>
      </c>
    </row>
    <row r="9603" spans="1:40" x14ac:dyDescent="0.25">
      <c r="A9603" t="str">
        <f>"20190303154027627"</f>
        <v>20190303154027627</v>
      </c>
      <c r="B9603" t="str">
        <f>"1551598827617825"</f>
        <v>1551598827617825</v>
      </c>
      <c r="C9603" t="s">
        <v>40</v>
      </c>
      <c r="D9603">
        <v>4.1619510000000002</v>
      </c>
      <c r="E9603">
        <v>0.51296149999999996</v>
      </c>
      <c r="F9603" t="s">
        <v>92</v>
      </c>
      <c r="G9603">
        <v>-192.52170000000001</v>
      </c>
      <c r="H9603">
        <v>6.5199420000000003</v>
      </c>
      <c r="I9603">
        <v>390.11860000000001</v>
      </c>
      <c r="J9603">
        <v>-187.37479999999999</v>
      </c>
      <c r="K9603">
        <v>1.1212530000000001</v>
      </c>
      <c r="L9603">
        <v>32.502690000000001</v>
      </c>
      <c r="M9603">
        <v>-9.9716809999999996E-3</v>
      </c>
      <c r="N9603">
        <v>-1.450273E-2</v>
      </c>
      <c r="O9603">
        <v>0.99984510000000004</v>
      </c>
      <c r="P9603">
        <v>-4.6732070000000001E-2</v>
      </c>
      <c r="Q9603">
        <v>-4.9336980000000002E-2</v>
      </c>
      <c r="R9603">
        <v>0.99768829999999997</v>
      </c>
      <c r="S9603">
        <v>-4.3273930000000002E-2</v>
      </c>
      <c r="T9603">
        <v>4.5368909999999998E-2</v>
      </c>
      <c r="U9603">
        <v>3.0074160000000001</v>
      </c>
      <c r="V9603">
        <v>-3.6784789999999998E-2</v>
      </c>
      <c r="W9603">
        <v>-3.4851229999999997E-2</v>
      </c>
      <c r="X9603">
        <v>0.99871529999999997</v>
      </c>
      <c r="Y9603">
        <v>-4.4088929999999997E-3</v>
      </c>
      <c r="Z9603">
        <v>2.9580450000000001E-2</v>
      </c>
      <c r="AA9603">
        <v>0.99955269999999996</v>
      </c>
      <c r="AB9603">
        <v>24</v>
      </c>
      <c r="AC9603">
        <v>-5.1469000000000102</v>
      </c>
      <c r="AD9603">
        <v>5.3986889999999903</v>
      </c>
      <c r="AE9603">
        <v>357.61590999999999</v>
      </c>
      <c r="AF9603">
        <v>-1.5798771953678099</v>
      </c>
      <c r="AG9603">
        <v>5.3986889999999903</v>
      </c>
      <c r="AH9603">
        <v>357.56798218481498</v>
      </c>
      <c r="AI9603">
        <v>89.135002040904396</v>
      </c>
      <c r="AJ9603">
        <v>90.253153836215105</v>
      </c>
      <c r="AK9603">
        <v>357.612225376303</v>
      </c>
      <c r="AL9603">
        <v>91.997232858824404</v>
      </c>
      <c r="AM9603">
        <v>92.109370835351896</v>
      </c>
      <c r="AN9603">
        <v>0.99999998973097304</v>
      </c>
    </row>
    <row r="9604" spans="1:40" x14ac:dyDescent="0.25">
      <c r="A9604" t="str">
        <f>"20190303154027649"</f>
        <v>20190303154027649</v>
      </c>
      <c r="B9604" t="str">
        <f>"1551598827637330"</f>
        <v>1551598827637330</v>
      </c>
      <c r="C9604" t="s">
        <v>40</v>
      </c>
      <c r="D9604">
        <v>4.1614750000000003</v>
      </c>
      <c r="E9604">
        <v>0.51310119999999904</v>
      </c>
      <c r="F9604" t="s">
        <v>92</v>
      </c>
      <c r="G9604">
        <v>-192.1541</v>
      </c>
      <c r="H9604">
        <v>6.7194509999999896</v>
      </c>
      <c r="I9604">
        <v>390.11860000000001</v>
      </c>
      <c r="J9604">
        <v>-187.37700000000001</v>
      </c>
      <c r="K9604">
        <v>1.1212660000000001</v>
      </c>
      <c r="L9604">
        <v>32.733640000000001</v>
      </c>
      <c r="M9604">
        <v>-9.9103239999999999E-3</v>
      </c>
      <c r="N9604">
        <v>-1.453221E-2</v>
      </c>
      <c r="O9604">
        <v>0.99984530000000005</v>
      </c>
      <c r="P9604">
        <v>-4.619086E-2</v>
      </c>
      <c r="Q9604">
        <v>-4.8932240000000002E-2</v>
      </c>
      <c r="R9604">
        <v>0.99773350000000005</v>
      </c>
      <c r="S9604">
        <v>-4.0191650000000002E-2</v>
      </c>
      <c r="T9604">
        <v>4.7078250000000002E-2</v>
      </c>
      <c r="U9604">
        <v>3.0073850000000002</v>
      </c>
      <c r="V9604">
        <v>-3.6304349999999999E-2</v>
      </c>
      <c r="W9604">
        <v>-3.441665E-2</v>
      </c>
      <c r="X9604">
        <v>0.99874790000000002</v>
      </c>
      <c r="Y9604">
        <v>-3.445923E-3</v>
      </c>
      <c r="Z9604">
        <v>3.0178219999999999E-2</v>
      </c>
      <c r="AA9604">
        <v>0.99953860000000005</v>
      </c>
      <c r="AB9604">
        <v>24</v>
      </c>
      <c r="AC9604">
        <v>-4.7770999999999901</v>
      </c>
      <c r="AD9604">
        <v>5.5981849999999902</v>
      </c>
      <c r="AE9604">
        <v>357.38495999999998</v>
      </c>
      <c r="AF9604">
        <v>-1.2343877748135199</v>
      </c>
      <c r="AG9604">
        <v>5.5981849999999902</v>
      </c>
      <c r="AH9604">
        <v>357.32709148993303</v>
      </c>
      <c r="AI9604">
        <v>89.102435195387798</v>
      </c>
      <c r="AJ9604">
        <v>90.197927697424504</v>
      </c>
      <c r="AK9604">
        <v>357.37307355357302</v>
      </c>
      <c r="AL9604">
        <v>91.972318410140403</v>
      </c>
      <c r="AM9604">
        <v>92.081777203875205</v>
      </c>
      <c r="AN9604">
        <v>0.99999993969027501</v>
      </c>
    </row>
    <row r="9605" spans="1:40" x14ac:dyDescent="0.25">
      <c r="A9605" t="str">
        <f>"20190303154027672"</f>
        <v>20190303154027672</v>
      </c>
      <c r="B9605" t="str">
        <f>"1551598827667584"</f>
        <v>1551598827667584</v>
      </c>
      <c r="C9605" t="s">
        <v>40</v>
      </c>
      <c r="D9605">
        <v>4.1804399999999999</v>
      </c>
      <c r="E9605">
        <v>0.51326890000000003</v>
      </c>
      <c r="F9605" t="s">
        <v>92</v>
      </c>
      <c r="G9605">
        <v>-191.83949999999999</v>
      </c>
      <c r="H9605">
        <v>6.7356369999999997</v>
      </c>
      <c r="I9605">
        <v>390.11860000000001</v>
      </c>
      <c r="J9605">
        <v>-187.3793</v>
      </c>
      <c r="K9605">
        <v>1.12127</v>
      </c>
      <c r="L9605">
        <v>32.973239999999997</v>
      </c>
      <c r="M9605">
        <v>-9.8463230000000006E-3</v>
      </c>
      <c r="N9605">
        <v>-1.455759E-2</v>
      </c>
      <c r="O9605">
        <v>0.9998456</v>
      </c>
      <c r="P9605">
        <v>-4.59759E-2</v>
      </c>
      <c r="Q9605">
        <v>-4.8750170000000002E-2</v>
      </c>
      <c r="R9605">
        <v>0.99775230000000004</v>
      </c>
      <c r="S9605">
        <v>-3.7551880000000003E-2</v>
      </c>
      <c r="T9605">
        <v>4.7244790000000002E-2</v>
      </c>
      <c r="U9605">
        <v>3.0073850000000002</v>
      </c>
      <c r="V9605">
        <v>-3.6153159999999997E-2</v>
      </c>
      <c r="W9605">
        <v>-3.4209089999999998E-2</v>
      </c>
      <c r="X9605">
        <v>0.9987606</v>
      </c>
      <c r="Y9605">
        <v>-2.632681E-3</v>
      </c>
      <c r="Z9605">
        <v>3.0259109999999999E-2</v>
      </c>
      <c r="AA9605">
        <v>0.99953860000000005</v>
      </c>
      <c r="AB9605">
        <v>24</v>
      </c>
      <c r="AC9605">
        <v>-4.46019999999998</v>
      </c>
      <c r="AD9605">
        <v>5.6143669999999997</v>
      </c>
      <c r="AE9605">
        <v>357.14535999999998</v>
      </c>
      <c r="AF9605">
        <v>-0.942809705640127</v>
      </c>
      <c r="AG9605">
        <v>5.6143669999999997</v>
      </c>
      <c r="AH9605">
        <v>357.08373497985099</v>
      </c>
      <c r="AI9605">
        <v>89.099225537293606</v>
      </c>
      <c r="AJ9605">
        <v>90.151277939037996</v>
      </c>
      <c r="AK9605">
        <v>357.12911361874802</v>
      </c>
      <c r="AL9605">
        <v>91.960418924115004</v>
      </c>
      <c r="AM9605">
        <v>92.073088854388402</v>
      </c>
      <c r="AN9605">
        <v>1.00000002446448</v>
      </c>
    </row>
    <row r="9606" spans="1:40" x14ac:dyDescent="0.25">
      <c r="A9606" t="str">
        <f>"20190303154027695"</f>
        <v>20190303154027695</v>
      </c>
      <c r="B9606" t="str">
        <f>"1551598827688079"</f>
        <v>1551598827688079</v>
      </c>
      <c r="C9606" t="s">
        <v>40</v>
      </c>
      <c r="D9606">
        <v>4.1853749999999996</v>
      </c>
      <c r="E9606">
        <v>0.51326729999999998</v>
      </c>
      <c r="F9606" t="s">
        <v>92</v>
      </c>
      <c r="G9606">
        <v>-191.58879999999999</v>
      </c>
      <c r="H9606">
        <v>6.5884140000000002</v>
      </c>
      <c r="I9606">
        <v>390.11860000000001</v>
      </c>
      <c r="J9606">
        <v>-187.3817</v>
      </c>
      <c r="K9606">
        <v>1.1212759999999999</v>
      </c>
      <c r="L9606">
        <v>33.223019999999998</v>
      </c>
      <c r="M9606">
        <v>-9.7797460000000006E-3</v>
      </c>
      <c r="N9606">
        <v>-1.457954E-2</v>
      </c>
      <c r="O9606">
        <v>0.99984589999999995</v>
      </c>
      <c r="P9606">
        <v>-4.5327230000000003E-2</v>
      </c>
      <c r="Q9606">
        <v>-4.9222660000000001E-2</v>
      </c>
      <c r="R9606">
        <v>0.9977587</v>
      </c>
      <c r="S9606">
        <v>-3.5446169999999999E-2</v>
      </c>
      <c r="T9606">
        <v>4.6036720000000003E-2</v>
      </c>
      <c r="U9606">
        <v>3.0073850000000002</v>
      </c>
      <c r="V9606">
        <v>-3.5571110000000003E-2</v>
      </c>
      <c r="W9606">
        <v>-3.465973E-2</v>
      </c>
      <c r="X9606">
        <v>0.99876589999999998</v>
      </c>
      <c r="Y9606">
        <v>-1.9996319999999999E-3</v>
      </c>
      <c r="Z9606">
        <v>2.9879820000000001E-2</v>
      </c>
      <c r="AA9606">
        <v>0.99955150000000004</v>
      </c>
      <c r="AB9606">
        <v>24</v>
      </c>
      <c r="AC9606">
        <v>-4.2070999999999898</v>
      </c>
      <c r="AD9606">
        <v>5.4671379999999896</v>
      </c>
      <c r="AE9606">
        <v>356.89558</v>
      </c>
      <c r="AF9606">
        <v>-0.71601167941405297</v>
      </c>
      <c r="AG9606">
        <v>5.4671379999999896</v>
      </c>
      <c r="AH9606">
        <v>356.83593411750201</v>
      </c>
      <c r="AI9606">
        <v>89.122233030896993</v>
      </c>
      <c r="AJ9606">
        <v>90.114967099251203</v>
      </c>
      <c r="AK9606">
        <v>356.87853136346899</v>
      </c>
      <c r="AL9606">
        <v>91.986254139393296</v>
      </c>
      <c r="AM9606">
        <v>92.039730642318005</v>
      </c>
      <c r="AN9606">
        <v>0.99999996187655604</v>
      </c>
    </row>
    <row r="9607" spans="1:40" x14ac:dyDescent="0.25">
      <c r="A9607" t="str">
        <f>"20190303154027717"</f>
        <v>20190303154027717</v>
      </c>
      <c r="B9607" t="str">
        <f>"1551598827707598"</f>
        <v>1551598827707598</v>
      </c>
      <c r="C9607" t="s">
        <v>40</v>
      </c>
      <c r="D9607">
        <v>4.153575</v>
      </c>
      <c r="E9607">
        <v>0.51323229999999997</v>
      </c>
      <c r="F9607" t="s">
        <v>92</v>
      </c>
      <c r="G9607">
        <v>-191.3365</v>
      </c>
      <c r="H9607">
        <v>6.2719740000000002</v>
      </c>
      <c r="I9607">
        <v>390.11860000000001</v>
      </c>
      <c r="J9607">
        <v>-187.38390000000001</v>
      </c>
      <c r="K9607">
        <v>1.1212719999999901</v>
      </c>
      <c r="L9607">
        <v>33.457520000000002</v>
      </c>
      <c r="M9607">
        <v>-9.7172349999999994E-3</v>
      </c>
      <c r="N9607">
        <v>-1.4596619999999999E-2</v>
      </c>
      <c r="O9607">
        <v>0.99984620000000002</v>
      </c>
      <c r="P9607">
        <v>-4.4447529999999999E-2</v>
      </c>
      <c r="Q9607">
        <v>-4.9413360000000003E-2</v>
      </c>
      <c r="R9607">
        <v>0.99778889999999998</v>
      </c>
      <c r="S9607">
        <v>-3.3325199999999902E-2</v>
      </c>
      <c r="T9607">
        <v>4.3401960000000003E-2</v>
      </c>
      <c r="U9607">
        <v>3.007355</v>
      </c>
      <c r="V9607">
        <v>-3.4754119999999999E-2</v>
      </c>
      <c r="W9607">
        <v>-3.483319E-2</v>
      </c>
      <c r="X9607">
        <v>0.99878869999999997</v>
      </c>
      <c r="Y9607">
        <v>-1.357685E-3</v>
      </c>
      <c r="Z9607">
        <v>2.9021740000000001E-2</v>
      </c>
      <c r="AA9607">
        <v>0.99957790000000002</v>
      </c>
      <c r="AB9607">
        <v>24</v>
      </c>
      <c r="AC9607">
        <v>-3.9525999999999799</v>
      </c>
      <c r="AD9607">
        <v>5.1507019999999999</v>
      </c>
      <c r="AE9607">
        <v>356.661079999999</v>
      </c>
      <c r="AF9607">
        <v>-0.48618300570551898</v>
      </c>
      <c r="AG9607">
        <v>5.1507019999999999</v>
      </c>
      <c r="AH9607">
        <v>356.60828620424502</v>
      </c>
      <c r="AI9607">
        <v>89.1725018627087</v>
      </c>
      <c r="AJ9607">
        <v>90.078114329129406</v>
      </c>
      <c r="AK9607">
        <v>356.64581294967797</v>
      </c>
      <c r="AL9607">
        <v>91.996198527348298</v>
      </c>
      <c r="AM9607">
        <v>91.992875288612396</v>
      </c>
      <c r="AN9607">
        <v>1.00000003361511</v>
      </c>
    </row>
    <row r="9608" spans="1:40" x14ac:dyDescent="0.25">
      <c r="A9608" t="str">
        <f>"20190303154027739"</f>
        <v>20190303154027739</v>
      </c>
      <c r="B9608" t="str">
        <f>"1551598827728095"</f>
        <v>1551598827728095</v>
      </c>
      <c r="C9608" t="s">
        <v>40</v>
      </c>
      <c r="D9608">
        <v>4.1273369999999998</v>
      </c>
      <c r="E9608">
        <v>0.51324769999999997</v>
      </c>
      <c r="F9608" t="s">
        <v>92</v>
      </c>
      <c r="G9608">
        <v>-191.08459999999999</v>
      </c>
      <c r="H9608">
        <v>6.1549589999999998</v>
      </c>
      <c r="I9608">
        <v>390.11860000000001</v>
      </c>
      <c r="J9608">
        <v>-187.3861</v>
      </c>
      <c r="K9608">
        <v>1.1212740000000001</v>
      </c>
      <c r="L9608">
        <v>33.692409999999903</v>
      </c>
      <c r="M9608">
        <v>-9.6545999999999993E-3</v>
      </c>
      <c r="N9608">
        <v>-1.4610669999999999E-2</v>
      </c>
      <c r="O9608">
        <v>0.99984660000000003</v>
      </c>
      <c r="P9608">
        <v>-4.4230949999999998E-2</v>
      </c>
      <c r="Q9608">
        <v>-4.9081800000000002E-2</v>
      </c>
      <c r="R9608">
        <v>0.99781489999999995</v>
      </c>
      <c r="S9608">
        <v>-3.1204220000000001E-2</v>
      </c>
      <c r="T9608">
        <v>4.2443870000000002E-2</v>
      </c>
      <c r="U9608">
        <v>3.007355</v>
      </c>
      <c r="V9608">
        <v>-3.4599270000000001E-2</v>
      </c>
      <c r="W9608">
        <v>-3.448735E-2</v>
      </c>
      <c r="X9608">
        <v>0.99880610000000003</v>
      </c>
      <c r="Y9608">
        <v>-7.1553479999999896E-4</v>
      </c>
      <c r="Z9608">
        <v>2.871756E-2</v>
      </c>
      <c r="AA9608">
        <v>0.99958729999999996</v>
      </c>
      <c r="AB9608">
        <v>24</v>
      </c>
      <c r="AC9608">
        <v>-3.6984999999999899</v>
      </c>
      <c r="AD9608">
        <v>5.0336850000000002</v>
      </c>
      <c r="AE9608">
        <v>356.426189999999</v>
      </c>
      <c r="AF9608">
        <v>-0.25675657574299698</v>
      </c>
      <c r="AG9608">
        <v>5.0336850000000002</v>
      </c>
      <c r="AH9608">
        <v>356.37421495128899</v>
      </c>
      <c r="AI9608">
        <v>89.190767341377395</v>
      </c>
      <c r="AJ9608">
        <v>90.041279826063999</v>
      </c>
      <c r="AK9608">
        <v>356.40985535022202</v>
      </c>
      <c r="AL9608">
        <v>91.976371398023502</v>
      </c>
      <c r="AM9608">
        <v>91.983968436501698</v>
      </c>
      <c r="AN9608">
        <v>1.0000000560958799</v>
      </c>
    </row>
    <row r="9609" spans="1:40" x14ac:dyDescent="0.25">
      <c r="A9609" t="str">
        <f>"20190303154027761"</f>
        <v>20190303154027761</v>
      </c>
      <c r="B9609" t="str">
        <f>"1551598827757375"</f>
        <v>1551598827757375</v>
      </c>
      <c r="C9609" t="s">
        <v>40</v>
      </c>
      <c r="D9609">
        <v>4.1454959999999996</v>
      </c>
      <c r="E9609">
        <v>0.51325759999999998</v>
      </c>
      <c r="F9609" t="s">
        <v>92</v>
      </c>
      <c r="G9609">
        <v>-190.98310000000001</v>
      </c>
      <c r="H9609">
        <v>6.3010440000000001</v>
      </c>
      <c r="I9609">
        <v>390.11860000000001</v>
      </c>
      <c r="J9609">
        <v>-187.38820000000001</v>
      </c>
      <c r="K9609">
        <v>1.1212740000000001</v>
      </c>
      <c r="L9609">
        <v>33.922519999999999</v>
      </c>
      <c r="M9609">
        <v>-9.5932269999999993E-3</v>
      </c>
      <c r="N9609">
        <v>-1.4621810000000001E-2</v>
      </c>
      <c r="O9609">
        <v>0.99984709999999999</v>
      </c>
      <c r="P9609">
        <v>-4.4129330000000001E-2</v>
      </c>
      <c r="Q9609">
        <v>-4.8619839999999998E-2</v>
      </c>
      <c r="R9609">
        <v>0.99784200000000001</v>
      </c>
      <c r="S9609">
        <v>-3.0349729999999998E-2</v>
      </c>
      <c r="T9609">
        <v>4.370487E-2</v>
      </c>
      <c r="U9609">
        <v>3.0073850000000002</v>
      </c>
      <c r="V9609">
        <v>-3.4558400000000003E-2</v>
      </c>
      <c r="W9609">
        <v>-3.4014000000000003E-2</v>
      </c>
      <c r="X9609">
        <v>0.99882369999999998</v>
      </c>
      <c r="Y9609">
        <v>-4.9270330000000004E-4</v>
      </c>
      <c r="Z9609">
        <v>2.9147619999999999E-2</v>
      </c>
      <c r="AA9609">
        <v>0.99957499999999999</v>
      </c>
      <c r="AB9609">
        <v>24</v>
      </c>
      <c r="AC9609">
        <v>-3.5948999999999902</v>
      </c>
      <c r="AD9609">
        <v>5.1797699999999898</v>
      </c>
      <c r="AE9609">
        <v>356.19607999999999</v>
      </c>
      <c r="AF9609">
        <v>-0.177261956187072</v>
      </c>
      <c r="AG9609">
        <v>5.1797699999999898</v>
      </c>
      <c r="AH9609">
        <v>356.13887217142099</v>
      </c>
      <c r="AI9609">
        <v>89.166735162708605</v>
      </c>
      <c r="AJ9609">
        <v>90.028517979677702</v>
      </c>
      <c r="AK9609">
        <v>356.17658220408799</v>
      </c>
      <c r="AL9609">
        <v>91.949234611104899</v>
      </c>
      <c r="AM9609">
        <v>91.981591875678603</v>
      </c>
      <c r="AN9609">
        <v>1.0000000094441199</v>
      </c>
    </row>
    <row r="9610" spans="1:40" x14ac:dyDescent="0.25">
      <c r="A9610" t="str">
        <f>"20190303154027785"</f>
        <v>20190303154027785</v>
      </c>
      <c r="B9610" t="str">
        <f>"1551598827777872"</f>
        <v>1551598827777872</v>
      </c>
      <c r="C9610" t="s">
        <v>40</v>
      </c>
      <c r="D9610">
        <v>4.1283789999999998</v>
      </c>
      <c r="E9610">
        <v>0.51326349999999998</v>
      </c>
      <c r="F9610" t="s">
        <v>92</v>
      </c>
      <c r="G9610">
        <v>-190.93600000000001</v>
      </c>
      <c r="H9610">
        <v>6.4568919999999999</v>
      </c>
      <c r="I9610">
        <v>390.11860000000001</v>
      </c>
      <c r="J9610">
        <v>-187.39060000000001</v>
      </c>
      <c r="K9610">
        <v>1.121267</v>
      </c>
      <c r="L9610">
        <v>34.174259999999997</v>
      </c>
      <c r="M9610">
        <v>-9.5259360000000005E-3</v>
      </c>
      <c r="N9610">
        <v>-1.4608889999999999E-2</v>
      </c>
      <c r="O9610">
        <v>0.99984790000000001</v>
      </c>
      <c r="P9610">
        <v>-4.4240979999999999E-2</v>
      </c>
      <c r="Q9610">
        <v>-4.8578169999999997E-2</v>
      </c>
      <c r="R9610">
        <v>0.99783909999999998</v>
      </c>
      <c r="S9610">
        <v>-2.9953E-2</v>
      </c>
      <c r="T9610">
        <v>4.5048480000000002E-2</v>
      </c>
      <c r="U9610">
        <v>3.007355</v>
      </c>
      <c r="V9610">
        <v>-3.4737509999999999E-2</v>
      </c>
      <c r="W9610">
        <v>-3.398528E-2</v>
      </c>
      <c r="X9610">
        <v>0.99881850000000005</v>
      </c>
      <c r="Y9610">
        <v>-4.2813250000000002E-4</v>
      </c>
      <c r="Z9610">
        <v>2.9581329999999999E-2</v>
      </c>
      <c r="AA9610">
        <v>0.99956230000000001</v>
      </c>
      <c r="AB9610">
        <v>24</v>
      </c>
      <c r="AC9610">
        <v>-3.5453999999999701</v>
      </c>
      <c r="AD9610">
        <v>5.3356250000000003</v>
      </c>
      <c r="AE9610">
        <v>355.94434000000001</v>
      </c>
      <c r="AF9610">
        <v>-0.154139564107175</v>
      </c>
      <c r="AG9610">
        <v>5.3356250000000003</v>
      </c>
      <c r="AH9610">
        <v>355.88200386544901</v>
      </c>
      <c r="AI9610">
        <v>89.141047147992793</v>
      </c>
      <c r="AJ9610">
        <v>90.024815938516497</v>
      </c>
      <c r="AK9610">
        <v>355.92203265382898</v>
      </c>
      <c r="AL9610">
        <v>91.947588055328495</v>
      </c>
      <c r="AM9610">
        <v>91.991864221607599</v>
      </c>
      <c r="AN9610">
        <v>1.00000004489996</v>
      </c>
    </row>
    <row r="9611" spans="1:40" x14ac:dyDescent="0.25">
      <c r="A9611" t="str">
        <f>"20190303154027806"</f>
        <v>20190303154027806</v>
      </c>
      <c r="B9611" t="str">
        <f>"1551598827797391"</f>
        <v>1551598827797391</v>
      </c>
      <c r="C9611" t="s">
        <v>40</v>
      </c>
      <c r="D9611">
        <v>4.1424500000000002</v>
      </c>
      <c r="E9611">
        <v>0.51326079999999996</v>
      </c>
      <c r="F9611" t="s">
        <v>92</v>
      </c>
      <c r="G9611">
        <v>-190.9846</v>
      </c>
      <c r="H9611">
        <v>6.4736000000000002</v>
      </c>
      <c r="I9611">
        <v>390.11860000000001</v>
      </c>
      <c r="J9611">
        <v>-187.39259999999999</v>
      </c>
      <c r="K9611">
        <v>1.1212329999999999</v>
      </c>
      <c r="L9611">
        <v>34.394590000000001</v>
      </c>
      <c r="M9611">
        <v>-9.458569E-3</v>
      </c>
      <c r="N9611">
        <v>-1.449804E-2</v>
      </c>
      <c r="O9611">
        <v>0.99985020000000002</v>
      </c>
      <c r="P9611">
        <v>-4.4582249999999997E-2</v>
      </c>
      <c r="Q9611">
        <v>-4.7986590000000003E-2</v>
      </c>
      <c r="R9611">
        <v>0.99785259999999998</v>
      </c>
      <c r="S9611">
        <v>-3.0364990000000001E-2</v>
      </c>
      <c r="T9611">
        <v>4.5221570000000003E-2</v>
      </c>
      <c r="U9611">
        <v>3.007355</v>
      </c>
      <c r="V9611">
        <v>-3.514577E-2</v>
      </c>
      <c r="W9611">
        <v>-3.350392E-2</v>
      </c>
      <c r="X9611">
        <v>0.99882040000000005</v>
      </c>
      <c r="Y9611">
        <v>-6.3246159999999995E-4</v>
      </c>
      <c r="Z9611">
        <v>2.952803E-2</v>
      </c>
      <c r="AA9611">
        <v>0.9995638</v>
      </c>
      <c r="AB9611">
        <v>24</v>
      </c>
      <c r="AC9611">
        <v>-3.5920000000000099</v>
      </c>
      <c r="AD9611">
        <v>5.3523670000000001</v>
      </c>
      <c r="AE9611">
        <v>355.72401000000002</v>
      </c>
      <c r="AF9611">
        <v>-0.226794318027978</v>
      </c>
      <c r="AG9611">
        <v>5.3523670000000001</v>
      </c>
      <c r="AH9611">
        <v>355.66156118292002</v>
      </c>
      <c r="AI9611">
        <v>89.137818468377205</v>
      </c>
      <c r="AJ9611">
        <v>90.036535731992103</v>
      </c>
      <c r="AK9611">
        <v>355.70190521170599</v>
      </c>
      <c r="AL9611">
        <v>91.919992598039997</v>
      </c>
      <c r="AM9611">
        <v>92.015251010085194</v>
      </c>
      <c r="AN9611">
        <v>0.99999996463020902</v>
      </c>
    </row>
    <row r="9612" spans="1:40" x14ac:dyDescent="0.25">
      <c r="A9612" t="str">
        <f>"20190303154027821"</f>
        <v>20190303154027821</v>
      </c>
      <c r="B9612" t="str">
        <f>"1551598827817887"</f>
        <v>1551598827817887</v>
      </c>
      <c r="C9612" t="s">
        <v>40</v>
      </c>
      <c r="D9612">
        <v>4.1577299999999999</v>
      </c>
      <c r="E9612">
        <v>0.51326559999999999</v>
      </c>
      <c r="F9612" t="s">
        <v>92</v>
      </c>
      <c r="G9612">
        <v>-191.11070000000001</v>
      </c>
      <c r="H9612">
        <v>6.692437</v>
      </c>
      <c r="I9612">
        <v>390.11860000000001</v>
      </c>
      <c r="J9612">
        <v>-187.39410000000001</v>
      </c>
      <c r="K9612">
        <v>1.121197</v>
      </c>
      <c r="L9612">
        <v>34.556849999999997</v>
      </c>
      <c r="M9612">
        <v>-9.4132469999999996E-3</v>
      </c>
      <c r="N9612">
        <v>-1.431585E-2</v>
      </c>
      <c r="O9612">
        <v>0.9998532</v>
      </c>
      <c r="P9612">
        <v>-4.47853E-2</v>
      </c>
      <c r="Q9612">
        <v>-4.7721569999999998E-2</v>
      </c>
      <c r="R9612">
        <v>0.99785610000000002</v>
      </c>
      <c r="S9612">
        <v>-3.143311E-2</v>
      </c>
      <c r="T9612">
        <v>4.7099469999999997E-2</v>
      </c>
      <c r="U9612">
        <v>3.0073240000000001</v>
      </c>
      <c r="V9612">
        <v>-3.5394490000000001E-2</v>
      </c>
      <c r="W9612">
        <v>-3.3420610000000003E-2</v>
      </c>
      <c r="X9612">
        <v>0.99881450000000005</v>
      </c>
      <c r="Y9612">
        <v>-1.032767E-3</v>
      </c>
      <c r="Z9612">
        <v>2.996998E-2</v>
      </c>
      <c r="AA9612">
        <v>0.9995503</v>
      </c>
      <c r="AB9612">
        <v>24</v>
      </c>
      <c r="AC9612">
        <v>-3.7166000000000001</v>
      </c>
      <c r="AD9612">
        <v>5.5712400000000004</v>
      </c>
      <c r="AE9612">
        <v>355.56175000000002</v>
      </c>
      <c r="AF9612">
        <v>-0.36901106885324902</v>
      </c>
      <c r="AG9612">
        <v>5.5712400000000004</v>
      </c>
      <c r="AH9612">
        <v>355.49371362990598</v>
      </c>
      <c r="AI9612">
        <v>89.102143792971404</v>
      </c>
      <c r="AJ9612">
        <v>90.059474382906103</v>
      </c>
      <c r="AK9612">
        <v>355.53755823356801</v>
      </c>
      <c r="AL9612">
        <v>91.915216436295907</v>
      </c>
      <c r="AM9612">
        <v>92.029512656175598</v>
      </c>
      <c r="AN9612">
        <v>1.0000000562526801</v>
      </c>
    </row>
    <row r="9613" spans="1:40" x14ac:dyDescent="0.25">
      <c r="A9613" t="str">
        <f>"20190303154027841"</f>
        <v>20190303154027841</v>
      </c>
      <c r="B9613" t="str">
        <f>"1551598827837407"</f>
        <v>1551598827837407</v>
      </c>
      <c r="C9613" t="s">
        <v>40</v>
      </c>
      <c r="D9613">
        <v>4.1493209999999996</v>
      </c>
      <c r="E9613">
        <v>0.51326720000000003</v>
      </c>
      <c r="F9613" t="s">
        <v>92</v>
      </c>
      <c r="G9613">
        <v>-191.18090000000001</v>
      </c>
      <c r="H9613">
        <v>6.7952339999999998</v>
      </c>
      <c r="I9613">
        <v>390.11860000000001</v>
      </c>
      <c r="J9613">
        <v>-187.39590000000001</v>
      </c>
      <c r="K9613">
        <v>1.121127</v>
      </c>
      <c r="L9613">
        <v>34.760010000000001</v>
      </c>
      <c r="M9613">
        <v>-9.3594460000000004E-3</v>
      </c>
      <c r="N9613">
        <v>-1.400502E-2</v>
      </c>
      <c r="O9613">
        <v>0.99985809999999997</v>
      </c>
      <c r="P9613">
        <v>-4.4866719999999999E-2</v>
      </c>
      <c r="Q9613">
        <v>-4.7278340000000002E-2</v>
      </c>
      <c r="R9613">
        <v>0.99787360000000003</v>
      </c>
      <c r="S9613">
        <v>-3.20282E-2</v>
      </c>
      <c r="T9613">
        <v>4.7990199999999997E-2</v>
      </c>
      <c r="U9613">
        <v>3.0072939999999999</v>
      </c>
      <c r="V9613">
        <v>-3.5529900000000003E-2</v>
      </c>
      <c r="W9613">
        <v>-3.3287600000000001E-2</v>
      </c>
      <c r="X9613">
        <v>0.99881410000000004</v>
      </c>
      <c r="Y9613">
        <v>-1.2845070000000001E-3</v>
      </c>
      <c r="Z9613">
        <v>2.9955369999999999E-2</v>
      </c>
      <c r="AA9613">
        <v>0.99955039999999995</v>
      </c>
      <c r="AB9613">
        <v>24</v>
      </c>
      <c r="AC9613">
        <v>-3.7849999999999899</v>
      </c>
      <c r="AD9613">
        <v>5.6741069999999896</v>
      </c>
      <c r="AE9613">
        <v>355.35858999999999</v>
      </c>
      <c r="AF9613">
        <v>-0.45843149054884702</v>
      </c>
      <c r="AG9613">
        <v>5.6741069999999896</v>
      </c>
      <c r="AH9613">
        <v>355.28787931167102</v>
      </c>
      <c r="AI9613">
        <v>89.085039213234694</v>
      </c>
      <c r="AJ9613">
        <v>90.073929274137797</v>
      </c>
      <c r="AK9613">
        <v>355.33348116306701</v>
      </c>
      <c r="AL9613">
        <v>91.907591347347307</v>
      </c>
      <c r="AM9613">
        <v>92.037271322189298</v>
      </c>
      <c r="AN9613">
        <v>1.0000000222332801</v>
      </c>
    </row>
    <row r="9614" spans="1:40" x14ac:dyDescent="0.25">
      <c r="A9614" t="str">
        <f>"20190303154027861"</f>
        <v>20190303154027861</v>
      </c>
      <c r="B9614" t="str">
        <f>"1551598827857903"</f>
        <v>1551598827857903</v>
      </c>
      <c r="C9614" t="s">
        <v>40</v>
      </c>
      <c r="D9614">
        <v>4.1405430000000001</v>
      </c>
      <c r="E9614">
        <v>0.51326649999999996</v>
      </c>
      <c r="F9614" t="s">
        <v>92</v>
      </c>
      <c r="G9614">
        <v>-191.19499999999999</v>
      </c>
      <c r="H9614">
        <v>6.9611109999999998</v>
      </c>
      <c r="I9614">
        <v>390.11860000000001</v>
      </c>
      <c r="J9614">
        <v>-187.398</v>
      </c>
      <c r="K9614">
        <v>1.1210389999999999</v>
      </c>
      <c r="L9614">
        <v>34.987609999999997</v>
      </c>
      <c r="M9614">
        <v>-9.2983969999999999E-3</v>
      </c>
      <c r="N9614">
        <v>-1.3596260000000001E-2</v>
      </c>
      <c r="O9614">
        <v>0.99986430000000004</v>
      </c>
      <c r="P9614">
        <v>-4.4302250000000001E-2</v>
      </c>
      <c r="Q9614">
        <v>-4.7579719999999999E-2</v>
      </c>
      <c r="R9614">
        <v>0.99788449999999995</v>
      </c>
      <c r="S9614">
        <v>-3.2150270000000002E-2</v>
      </c>
      <c r="T9614">
        <v>4.9422029999999999E-2</v>
      </c>
      <c r="U9614">
        <v>3.0072939999999999</v>
      </c>
      <c r="V9614">
        <v>-3.5025649999999998E-2</v>
      </c>
      <c r="W9614">
        <v>-3.3997569999999998E-2</v>
      </c>
      <c r="X9614">
        <v>0.99880800000000003</v>
      </c>
      <c r="Y9614">
        <v>-1.386174E-3</v>
      </c>
      <c r="Z9614">
        <v>3.0022529999999999E-2</v>
      </c>
      <c r="AA9614">
        <v>0.99954829999999995</v>
      </c>
      <c r="AB9614">
        <v>24</v>
      </c>
      <c r="AC9614">
        <v>-3.7969999999999899</v>
      </c>
      <c r="AD9614">
        <v>5.8400720000000002</v>
      </c>
      <c r="AE9614">
        <v>355.13099</v>
      </c>
      <c r="AF9614">
        <v>-0.49424788252382801</v>
      </c>
      <c r="AG9614">
        <v>5.8400720000000002</v>
      </c>
      <c r="AH9614">
        <v>355.05493625894002</v>
      </c>
      <c r="AI9614">
        <v>89.0576641864387</v>
      </c>
      <c r="AJ9614">
        <v>90.079757515017207</v>
      </c>
      <c r="AK9614">
        <v>355.10330677673801</v>
      </c>
      <c r="AL9614">
        <v>91.948292664625697</v>
      </c>
      <c r="AM9614">
        <v>92.008393917924394</v>
      </c>
      <c r="AN9614">
        <v>1.0000000258939099</v>
      </c>
    </row>
    <row r="9615" spans="1:40" x14ac:dyDescent="0.25">
      <c r="A9615" t="str">
        <f>"20190303154027886"</f>
        <v>20190303154027886</v>
      </c>
      <c r="B9615" t="str">
        <f>"1551598827877423"</f>
        <v>1551598827877423</v>
      </c>
      <c r="C9615" t="s">
        <v>40</v>
      </c>
      <c r="D9615">
        <v>4.1433730000000004</v>
      </c>
      <c r="E9615">
        <v>0.51325880000000002</v>
      </c>
      <c r="F9615" t="s">
        <v>92</v>
      </c>
      <c r="G9615">
        <v>-190.97829999999999</v>
      </c>
      <c r="H9615">
        <v>6.8389039999999897</v>
      </c>
      <c r="I9615">
        <v>390.11860000000001</v>
      </c>
      <c r="J9615">
        <v>-187.40020000000001</v>
      </c>
      <c r="K9615">
        <v>1.1209629999999999</v>
      </c>
      <c r="L9615">
        <v>35.238529999999997</v>
      </c>
      <c r="M9615">
        <v>-9.2279460000000008E-3</v>
      </c>
      <c r="N9615">
        <v>-1.313837E-2</v>
      </c>
      <c r="O9615">
        <v>0.99987110000000001</v>
      </c>
      <c r="P9615">
        <v>-4.3842350000000002E-2</v>
      </c>
      <c r="Q9615">
        <v>-4.8029200000000001E-2</v>
      </c>
      <c r="R9615">
        <v>0.99788330000000003</v>
      </c>
      <c r="S9615">
        <v>-3.0319209999999999E-2</v>
      </c>
      <c r="T9615">
        <v>4.8420070000000003E-2</v>
      </c>
      <c r="U9615">
        <v>3.0073240000000001</v>
      </c>
      <c r="V9615">
        <v>-3.4636390000000003E-2</v>
      </c>
      <c r="W9615">
        <v>-3.4904940000000002E-2</v>
      </c>
      <c r="X9615">
        <v>0.99879030000000002</v>
      </c>
      <c r="Y9615">
        <v>-8.4828339999999897E-4</v>
      </c>
      <c r="Z9615">
        <v>2.923185E-2</v>
      </c>
      <c r="AA9615">
        <v>0.99957229999999997</v>
      </c>
      <c r="AB9615">
        <v>24</v>
      </c>
      <c r="AC9615">
        <v>-3.5780999999999699</v>
      </c>
      <c r="AD9615">
        <v>5.7179409999999997</v>
      </c>
      <c r="AE9615">
        <v>354.88006999999999</v>
      </c>
      <c r="AF9615">
        <v>-0.30277220818185002</v>
      </c>
      <c r="AG9615">
        <v>5.7179409999999997</v>
      </c>
      <c r="AH9615">
        <v>354.80587786177801</v>
      </c>
      <c r="AI9615">
        <v>89.076719326581696</v>
      </c>
      <c r="AJ9615">
        <v>90.048893117488305</v>
      </c>
      <c r="AK9615">
        <v>354.852078316524</v>
      </c>
      <c r="AL9615">
        <v>92.000311970328696</v>
      </c>
      <c r="AM9615">
        <v>91.9861266363813</v>
      </c>
      <c r="AN9615">
        <v>1.0000000488613601</v>
      </c>
    </row>
    <row r="9616" spans="1:40" x14ac:dyDescent="0.25">
      <c r="A9616" t="str">
        <f>"20190303154027909"</f>
        <v>20190303154027909</v>
      </c>
      <c r="B9616" t="str">
        <f>"1551598827897919"</f>
        <v>1551598827897919</v>
      </c>
      <c r="C9616" t="s">
        <v>40</v>
      </c>
      <c r="D9616">
        <v>4.1553649999999998</v>
      </c>
      <c r="E9616">
        <v>0.5132525</v>
      </c>
      <c r="F9616" t="s">
        <v>92</v>
      </c>
      <c r="G9616">
        <v>-190.7962</v>
      </c>
      <c r="H9616">
        <v>6.6664459999999996</v>
      </c>
      <c r="I9616">
        <v>390.11860000000001</v>
      </c>
      <c r="J9616">
        <v>-187.4024</v>
      </c>
      <c r="K9616">
        <v>1.1209039999999999</v>
      </c>
      <c r="L9616">
        <v>35.483400000000003</v>
      </c>
      <c r="M9616">
        <v>-9.1578790000000007E-3</v>
      </c>
      <c r="N9616">
        <v>-1.2713149999999999E-2</v>
      </c>
      <c r="O9616">
        <v>0.99987729999999997</v>
      </c>
      <c r="P9616">
        <v>-4.3040799999999997E-2</v>
      </c>
      <c r="Q9616">
        <v>-4.8325920000000001E-2</v>
      </c>
      <c r="R9616">
        <v>0.99790380000000001</v>
      </c>
      <c r="S9616">
        <v>-2.8778080000000001E-2</v>
      </c>
      <c r="T9616">
        <v>4.6993970000000003E-2</v>
      </c>
      <c r="U9616">
        <v>3.007355</v>
      </c>
      <c r="V9616">
        <v>-3.3904469999999999E-2</v>
      </c>
      <c r="W9616">
        <v>-3.5626579999999998E-2</v>
      </c>
      <c r="X9616">
        <v>0.99878990000000001</v>
      </c>
      <c r="Y9616">
        <v>-4.0635889999999998E-4</v>
      </c>
      <c r="Z9616">
        <v>2.8332880000000001E-2</v>
      </c>
      <c r="AA9616">
        <v>0.9995984</v>
      </c>
      <c r="AB9616">
        <v>24</v>
      </c>
      <c r="AC9616">
        <v>-3.3937999999999899</v>
      </c>
      <c r="AD9616">
        <v>5.5455420000000002</v>
      </c>
      <c r="AE9616">
        <v>354.6352</v>
      </c>
      <c r="AF9616">
        <v>-0.14565348345173701</v>
      </c>
      <c r="AG9616">
        <v>5.5455420000000002</v>
      </c>
      <c r="AH9616">
        <v>354.56471654789698</v>
      </c>
      <c r="AI9616">
        <v>89.103942932335002</v>
      </c>
      <c r="AJ9616">
        <v>90.023536829848595</v>
      </c>
      <c r="AK9616">
        <v>354.60811111944599</v>
      </c>
      <c r="AL9616">
        <v>92.041684699106398</v>
      </c>
      <c r="AM9616">
        <v>91.944190071208098</v>
      </c>
      <c r="AN9616">
        <v>1.00000001531524</v>
      </c>
    </row>
    <row r="9617" spans="1:40" x14ac:dyDescent="0.25">
      <c r="A9617" t="str">
        <f>"20190303154027929"</f>
        <v>20190303154027929</v>
      </c>
      <c r="B9617" t="str">
        <f>"1551598827917442"</f>
        <v>1551598827917442</v>
      </c>
      <c r="C9617" t="s">
        <v>40</v>
      </c>
      <c r="D9617">
        <v>4.1497010000000003</v>
      </c>
      <c r="E9617">
        <v>0.5132333</v>
      </c>
      <c r="F9617" t="s">
        <v>92</v>
      </c>
      <c r="G9617">
        <v>-190.5531</v>
      </c>
      <c r="H9617">
        <v>6.5674449999999904</v>
      </c>
      <c r="I9617">
        <v>390.11860000000001</v>
      </c>
      <c r="J9617">
        <v>-187.40430000000001</v>
      </c>
      <c r="K9617">
        <v>1.1208629999999999</v>
      </c>
      <c r="L9617">
        <v>35.701809999999902</v>
      </c>
      <c r="M9617">
        <v>-9.0985489999999992E-3</v>
      </c>
      <c r="N9617">
        <v>-1.2359459999999999E-2</v>
      </c>
      <c r="O9617">
        <v>0.99988220000000005</v>
      </c>
      <c r="P9617">
        <v>-4.2761109999999998E-2</v>
      </c>
      <c r="Q9617">
        <v>-4.8620379999999998E-2</v>
      </c>
      <c r="R9617">
        <v>0.99790160000000006</v>
      </c>
      <c r="S9617">
        <v>-2.6718140000000001E-2</v>
      </c>
      <c r="T9617">
        <v>4.6187880000000001E-2</v>
      </c>
      <c r="U9617">
        <v>3.0073850000000002</v>
      </c>
      <c r="V9617">
        <v>-3.3684119999999998E-2</v>
      </c>
      <c r="W9617">
        <v>-3.6274500000000001E-2</v>
      </c>
      <c r="X9617">
        <v>0.99877400000000005</v>
      </c>
      <c r="Y9617">
        <v>2.188437E-4</v>
      </c>
      <c r="Z9617">
        <v>2.7711409999999999E-2</v>
      </c>
      <c r="AA9617">
        <v>0.99961599999999995</v>
      </c>
      <c r="AB9617">
        <v>24</v>
      </c>
      <c r="AC9617">
        <v>-3.1487999999999898</v>
      </c>
      <c r="AD9617">
        <v>5.4465819999999896</v>
      </c>
      <c r="AE9617">
        <v>354.41678999999999</v>
      </c>
      <c r="AF9617">
        <v>7.62372817788219E-2</v>
      </c>
      <c r="AG9617">
        <v>5.4465819999999896</v>
      </c>
      <c r="AH9617">
        <v>354.34709066374302</v>
      </c>
      <c r="AI9617">
        <v>89.119390028599199</v>
      </c>
      <c r="AJ9617">
        <v>89.987672893230496</v>
      </c>
      <c r="AK9617">
        <v>354.388955428163</v>
      </c>
      <c r="AL9617">
        <v>92.078831864619204</v>
      </c>
      <c r="AM9617">
        <v>91.931594830846606</v>
      </c>
      <c r="AN9617">
        <v>0.99999998118321198</v>
      </c>
    </row>
    <row r="9618" spans="1:40" x14ac:dyDescent="0.25">
      <c r="A9618" t="str">
        <f>"20190303154027951"</f>
        <v>20190303154027951</v>
      </c>
      <c r="B9618" t="str">
        <f>"1551598827947695"</f>
        <v>1551598827947695</v>
      </c>
      <c r="C9618" t="s">
        <v>40</v>
      </c>
      <c r="D9618">
        <v>4.1681010000000001</v>
      </c>
      <c r="E9618">
        <v>0.51318069999999905</v>
      </c>
      <c r="F9618" t="s">
        <v>92</v>
      </c>
      <c r="G9618">
        <v>-190.4631</v>
      </c>
      <c r="H9618">
        <v>6.4612290000000003</v>
      </c>
      <c r="I9618">
        <v>390.11860000000001</v>
      </c>
      <c r="J9618">
        <v>-187.40639999999999</v>
      </c>
      <c r="K9618">
        <v>1.1208340000000001</v>
      </c>
      <c r="L9618">
        <v>35.934570000000001</v>
      </c>
      <c r="M9618">
        <v>-9.0396339999999995E-3</v>
      </c>
      <c r="N9618">
        <v>-1.2014199999999999E-2</v>
      </c>
      <c r="O9618">
        <v>0.99988699999999997</v>
      </c>
      <c r="P9618">
        <v>-4.202326E-2</v>
      </c>
      <c r="Q9618">
        <v>-4.7651859999999997E-2</v>
      </c>
      <c r="R9618">
        <v>0.99797959999999997</v>
      </c>
      <c r="S9618">
        <v>-2.5955200000000001E-2</v>
      </c>
      <c r="T9618">
        <v>4.5315859999999999E-2</v>
      </c>
      <c r="U9618">
        <v>3.0074160000000001</v>
      </c>
      <c r="V9618">
        <v>-3.3004289999999999E-2</v>
      </c>
      <c r="W9618">
        <v>-3.565016E-2</v>
      </c>
      <c r="X9618">
        <v>0.99881920000000002</v>
      </c>
      <c r="Y9618">
        <v>4.1339589999999998E-4</v>
      </c>
      <c r="Z9618">
        <v>2.7076409999999999E-2</v>
      </c>
      <c r="AA9618">
        <v>0.99963329999999995</v>
      </c>
      <c r="AB9618">
        <v>24</v>
      </c>
      <c r="AC9618">
        <v>-3.0567000000000002</v>
      </c>
      <c r="AD9618">
        <v>5.340395</v>
      </c>
      <c r="AE9618">
        <v>354.18403000000001</v>
      </c>
      <c r="AF9618">
        <v>0.14531685744167999</v>
      </c>
      <c r="AG9618">
        <v>5.340395</v>
      </c>
      <c r="AH9618">
        <v>354.116688694213</v>
      </c>
      <c r="AI9618">
        <v>89.135994194079302</v>
      </c>
      <c r="AJ9618">
        <v>89.976487857189497</v>
      </c>
      <c r="AK9618">
        <v>354.15698517394702</v>
      </c>
      <c r="AL9618">
        <v>92.043036612053299</v>
      </c>
      <c r="AM9618">
        <v>91.892553462242205</v>
      </c>
      <c r="AN9618">
        <v>1.00000000567753</v>
      </c>
    </row>
    <row r="9619" spans="1:40" x14ac:dyDescent="0.25">
      <c r="A9619" t="str">
        <f>"20190303154027973"</f>
        <v>20190303154027973</v>
      </c>
      <c r="B9619" t="str">
        <f>"1551598827968191"</f>
        <v>1551598827968191</v>
      </c>
      <c r="C9619" t="s">
        <v>40</v>
      </c>
      <c r="D9619">
        <v>4.1740560000000002</v>
      </c>
      <c r="E9619">
        <v>0.51313229999999999</v>
      </c>
      <c r="F9619" t="s">
        <v>92</v>
      </c>
      <c r="G9619">
        <v>-190.1918</v>
      </c>
      <c r="H9619">
        <v>6.8118100000000004</v>
      </c>
      <c r="I9619">
        <v>390.11860000000001</v>
      </c>
      <c r="J9619">
        <v>-187.4084</v>
      </c>
      <c r="K9619">
        <v>1.1208100000000001</v>
      </c>
      <c r="L9619">
        <v>36.170560000000002</v>
      </c>
      <c r="M9619">
        <v>-8.9829599999999999E-3</v>
      </c>
      <c r="N9619">
        <v>-1.1701609999999999E-2</v>
      </c>
      <c r="O9619">
        <v>0.99989119999999998</v>
      </c>
      <c r="P9619">
        <v>-4.172476E-2</v>
      </c>
      <c r="Q9619">
        <v>-4.7861050000000002E-2</v>
      </c>
      <c r="R9619">
        <v>0.99798209999999998</v>
      </c>
      <c r="S9619">
        <v>-2.3651120000000001E-2</v>
      </c>
      <c r="T9619">
        <v>4.8322200000000003E-2</v>
      </c>
      <c r="U9619">
        <v>3.0073850000000002</v>
      </c>
      <c r="V9619">
        <v>-3.2762680000000002E-2</v>
      </c>
      <c r="W9619">
        <v>-3.6171580000000002E-2</v>
      </c>
      <c r="X9619">
        <v>0.99880840000000004</v>
      </c>
      <c r="Y9619">
        <v>1.1225709999999999E-3</v>
      </c>
      <c r="Z9619">
        <v>2.7763139999999999E-2</v>
      </c>
      <c r="AA9619">
        <v>0.99961390000000006</v>
      </c>
      <c r="AB9619">
        <v>24</v>
      </c>
      <c r="AC9619">
        <v>-2.7833999999999999</v>
      </c>
      <c r="AD9619">
        <v>5.6909999999999998</v>
      </c>
      <c r="AE9619">
        <v>353.94803999999999</v>
      </c>
      <c r="AF9619">
        <v>0.39632860140283899</v>
      </c>
      <c r="AG9619">
        <v>5.6909999999999998</v>
      </c>
      <c r="AH9619">
        <v>353.86728501727799</v>
      </c>
      <c r="AI9619">
        <v>89.078632065545904</v>
      </c>
      <c r="AJ9619">
        <v>89.935829200303701</v>
      </c>
      <c r="AK9619">
        <v>353.91326615833401</v>
      </c>
      <c r="AL9619">
        <v>92.072931075194305</v>
      </c>
      <c r="AM9619">
        <v>91.878729169213202</v>
      </c>
      <c r="AN9619">
        <v>0.99999999815551899</v>
      </c>
    </row>
    <row r="9620" spans="1:40" x14ac:dyDescent="0.25">
      <c r="A9620" t="str">
        <f>"20190303154027995"</f>
        <v>20190303154027995</v>
      </c>
      <c r="B9620" t="str">
        <f>"1551598827987712"</f>
        <v>1551598827987712</v>
      </c>
      <c r="C9620" t="s">
        <v>40</v>
      </c>
      <c r="D9620">
        <v>4.1998870000000004</v>
      </c>
      <c r="E9620">
        <v>0.51308039999999999</v>
      </c>
      <c r="F9620" t="s">
        <v>92</v>
      </c>
      <c r="G9620">
        <v>-190.12200000000001</v>
      </c>
      <c r="H9620">
        <v>6.7403679999999904</v>
      </c>
      <c r="I9620">
        <v>390.11860000000001</v>
      </c>
      <c r="J9620">
        <v>-187.41059999999999</v>
      </c>
      <c r="K9620">
        <v>1.1207860000000001</v>
      </c>
      <c r="L9620">
        <v>36.412959999999998</v>
      </c>
      <c r="M9620">
        <v>-8.9256259999999903E-3</v>
      </c>
      <c r="N9620">
        <v>-1.141876E-2</v>
      </c>
      <c r="O9620">
        <v>0.99989499999999998</v>
      </c>
      <c r="P9620">
        <v>-4.1211360000000002E-2</v>
      </c>
      <c r="Q9620">
        <v>-4.8251860000000001E-2</v>
      </c>
      <c r="R9620">
        <v>0.9979846</v>
      </c>
      <c r="S9620">
        <v>-2.3056030000000002E-2</v>
      </c>
      <c r="T9620">
        <v>4.7747610000000003E-2</v>
      </c>
      <c r="U9620">
        <v>3.0073850000000002</v>
      </c>
      <c r="V9620">
        <v>-3.230657E-2</v>
      </c>
      <c r="W9620">
        <v>-3.6844969999999998E-2</v>
      </c>
      <c r="X9620">
        <v>0.99879870000000004</v>
      </c>
      <c r="Y9620">
        <v>1.262893E-3</v>
      </c>
      <c r="Z9620">
        <v>2.7289500000000001E-2</v>
      </c>
      <c r="AA9620">
        <v>0.99962680000000004</v>
      </c>
      <c r="AB9620">
        <v>24</v>
      </c>
      <c r="AC9620">
        <v>-2.7114000000000198</v>
      </c>
      <c r="AD9620">
        <v>5.6195819999999896</v>
      </c>
      <c r="AE9620">
        <v>353.70564000000002</v>
      </c>
      <c r="AF9620">
        <v>0.44584548000745</v>
      </c>
      <c r="AG9620">
        <v>5.6195819999999896</v>
      </c>
      <c r="AH9620">
        <v>353.62649388935603</v>
      </c>
      <c r="AI9620">
        <v>89.089573372879499</v>
      </c>
      <c r="AJ9620">
        <v>89.927762621789796</v>
      </c>
      <c r="AK9620">
        <v>353.67142330208901</v>
      </c>
      <c r="AL9620">
        <v>92.111539099604897</v>
      </c>
      <c r="AM9620">
        <v>91.852610525163797</v>
      </c>
      <c r="AN9620">
        <v>1.0000000547005701</v>
      </c>
    </row>
    <row r="9621" spans="1:40" x14ac:dyDescent="0.25">
      <c r="A9621" t="str">
        <f>"20190303154028018"</f>
        <v>20190303154028018</v>
      </c>
      <c r="B9621" t="str">
        <f>"1551598828008191"</f>
        <v>1551598828008191</v>
      </c>
      <c r="C9621" t="s">
        <v>40</v>
      </c>
      <c r="D9621">
        <v>4.2073799999999997</v>
      </c>
      <c r="E9621">
        <v>0.51305159999999905</v>
      </c>
      <c r="F9621" t="s">
        <v>92</v>
      </c>
      <c r="G9621">
        <v>-189.9948</v>
      </c>
      <c r="H9621">
        <v>6.6100339999999997</v>
      </c>
      <c r="I9621">
        <v>390.11860000000001</v>
      </c>
      <c r="J9621">
        <v>-187.4127</v>
      </c>
      <c r="K9621">
        <v>1.120771</v>
      </c>
      <c r="L9621">
        <v>36.661470000000001</v>
      </c>
      <c r="M9621">
        <v>-8.8664119999999902E-3</v>
      </c>
      <c r="N9621">
        <v>-1.116375E-2</v>
      </c>
      <c r="O9621">
        <v>0.99989839999999997</v>
      </c>
      <c r="P9621">
        <v>-4.0628669999999999E-2</v>
      </c>
      <c r="Q9621">
        <v>-4.8870919999999998E-2</v>
      </c>
      <c r="R9621">
        <v>0.99797840000000004</v>
      </c>
      <c r="S9621">
        <v>-2.1972660000000001E-2</v>
      </c>
      <c r="T9621">
        <v>4.6672819999999997E-2</v>
      </c>
      <c r="U9621">
        <v>3.0074160000000001</v>
      </c>
      <c r="V9621">
        <v>-3.1783069999999997E-2</v>
      </c>
      <c r="W9621">
        <v>-3.7718910000000001E-2</v>
      </c>
      <c r="X9621">
        <v>0.99878279999999997</v>
      </c>
      <c r="Y9621">
        <v>1.5636889999999901E-3</v>
      </c>
      <c r="Z9621">
        <v>2.6677320000000001E-2</v>
      </c>
      <c r="AA9621">
        <v>0.99964280000000005</v>
      </c>
      <c r="AB9621">
        <v>24</v>
      </c>
      <c r="AC9621">
        <v>-2.5820999999999898</v>
      </c>
      <c r="AD9621">
        <v>5.4892629999999896</v>
      </c>
      <c r="AE9621">
        <v>353.45713000000001</v>
      </c>
      <c r="AF9621">
        <v>0.55196015152886502</v>
      </c>
      <c r="AG9621">
        <v>5.4892629999999896</v>
      </c>
      <c r="AH9621">
        <v>353.38090370856202</v>
      </c>
      <c r="AI9621">
        <v>89.110065306241793</v>
      </c>
      <c r="AJ9621">
        <v>89.9105074408603</v>
      </c>
      <c r="AK9621">
        <v>353.42396604386101</v>
      </c>
      <c r="AL9621">
        <v>92.161647167852806</v>
      </c>
      <c r="AM9621">
        <v>91.822639984780196</v>
      </c>
      <c r="AN9621">
        <v>0.99999998064302598</v>
      </c>
    </row>
    <row r="9622" spans="1:40" x14ac:dyDescent="0.25">
      <c r="A9622" t="str">
        <f>"20190303154028040"</f>
        <v>20190303154028040</v>
      </c>
      <c r="B9622" t="str">
        <f>"1551598828037471"</f>
        <v>1551598828037471</v>
      </c>
      <c r="C9622" t="s">
        <v>40</v>
      </c>
      <c r="D9622">
        <v>4.2430519999999996</v>
      </c>
      <c r="E9622">
        <v>0.5129785</v>
      </c>
      <c r="F9622" t="s">
        <v>92</v>
      </c>
      <c r="G9622">
        <v>-189.81039999999999</v>
      </c>
      <c r="H9622">
        <v>6.3926420000000004</v>
      </c>
      <c r="I9622">
        <v>390.11860000000001</v>
      </c>
      <c r="J9622">
        <v>-187.41470000000001</v>
      </c>
      <c r="K9622">
        <v>1.1207640000000001</v>
      </c>
      <c r="L9622">
        <v>36.896299999999997</v>
      </c>
      <c r="M9622">
        <v>-8.8098629999999994E-3</v>
      </c>
      <c r="N9622">
        <v>-1.0946630000000001E-2</v>
      </c>
      <c r="O9622">
        <v>0.99990129999999999</v>
      </c>
      <c r="P9622">
        <v>-3.977178E-2</v>
      </c>
      <c r="Q9622">
        <v>-4.9235099999999997E-2</v>
      </c>
      <c r="R9622">
        <v>0.99799499999999997</v>
      </c>
      <c r="S9622">
        <v>-2.0400999999999999E-2</v>
      </c>
      <c r="T9622">
        <v>4.4856550000000002E-2</v>
      </c>
      <c r="U9622">
        <v>3.0074459999999998</v>
      </c>
      <c r="V9622">
        <v>-3.0982740000000002E-2</v>
      </c>
      <c r="W9622">
        <v>-3.8299970000000003E-2</v>
      </c>
      <c r="X9622">
        <v>0.9987859</v>
      </c>
      <c r="Y9622">
        <v>2.0294229999999998E-3</v>
      </c>
      <c r="Z9622">
        <v>2.585664E-2</v>
      </c>
      <c r="AA9622">
        <v>0.99966359999999999</v>
      </c>
      <c r="AB9622">
        <v>24</v>
      </c>
      <c r="AC9622">
        <v>-2.39569999999997</v>
      </c>
      <c r="AD9622">
        <v>5.2718779999999903</v>
      </c>
      <c r="AE9622">
        <v>353.22230000000002</v>
      </c>
      <c r="AF9622">
        <v>0.71625988784309902</v>
      </c>
      <c r="AG9622">
        <v>5.2718779999999903</v>
      </c>
      <c r="AH9622">
        <v>353.15103389212601</v>
      </c>
      <c r="AI9622">
        <v>89.144747502368404</v>
      </c>
      <c r="AJ9622">
        <v>89.883793027918401</v>
      </c>
      <c r="AK9622">
        <v>353.191107567774</v>
      </c>
      <c r="AL9622">
        <v>92.194963386240502</v>
      </c>
      <c r="AM9622">
        <v>91.776768344585406</v>
      </c>
      <c r="AN9622">
        <v>1.0000000459593501</v>
      </c>
    </row>
    <row r="9623" spans="1:40" x14ac:dyDescent="0.25">
      <c r="A9623" t="str">
        <f>"20190303154028056"</f>
        <v>20190303154028056</v>
      </c>
      <c r="B9623" t="str">
        <f>"1551598828048208"</f>
        <v>1551598828048208</v>
      </c>
      <c r="C9623" t="s">
        <v>40</v>
      </c>
      <c r="D9623">
        <v>4.2189180000000004</v>
      </c>
      <c r="E9623">
        <v>0.51295579999999996</v>
      </c>
      <c r="F9623" t="s">
        <v>92</v>
      </c>
      <c r="G9623">
        <v>-189.5975</v>
      </c>
      <c r="H9623">
        <v>6.2611369999999997</v>
      </c>
      <c r="I9623">
        <v>390.11860000000001</v>
      </c>
      <c r="J9623">
        <v>-187.4161</v>
      </c>
      <c r="K9623">
        <v>1.1207530000000001</v>
      </c>
      <c r="L9623">
        <v>37.063479999999998</v>
      </c>
      <c r="M9623">
        <v>-8.7695580000000002E-3</v>
      </c>
      <c r="N9623">
        <v>-1.080221E-2</v>
      </c>
      <c r="O9623">
        <v>0.99990319999999999</v>
      </c>
      <c r="P9623">
        <v>-3.9300939999999999E-2</v>
      </c>
      <c r="Q9623">
        <v>-4.8774900000000003E-2</v>
      </c>
      <c r="R9623">
        <v>0.99803629999999999</v>
      </c>
      <c r="S9623">
        <v>-1.8585210000000001E-2</v>
      </c>
      <c r="T9623">
        <v>4.3766739999999998E-2</v>
      </c>
      <c r="U9623">
        <v>3.0074459999999998</v>
      </c>
      <c r="V9623">
        <v>-3.055161E-2</v>
      </c>
      <c r="W9623">
        <v>-3.7983709999999997E-2</v>
      </c>
      <c r="X9623">
        <v>0.99881120000000001</v>
      </c>
      <c r="Y9623">
        <v>2.5925660000000001E-3</v>
      </c>
      <c r="Z9623">
        <v>2.5350170000000002E-2</v>
      </c>
      <c r="AA9623">
        <v>0.99967530000000004</v>
      </c>
      <c r="AB9623">
        <v>24</v>
      </c>
      <c r="AC9623">
        <v>-2.1813999999999898</v>
      </c>
      <c r="AD9623">
        <v>5.1403840000000001</v>
      </c>
      <c r="AE9623">
        <v>353.05511999999999</v>
      </c>
      <c r="AF9623">
        <v>0.91480797823511295</v>
      </c>
      <c r="AG9623">
        <v>5.1403840000000001</v>
      </c>
      <c r="AH9623">
        <v>352.98584829145398</v>
      </c>
      <c r="AI9623">
        <v>89.165687508923895</v>
      </c>
      <c r="AJ9623">
        <v>89.8515109908125</v>
      </c>
      <c r="AK9623">
        <v>353.02446022243498</v>
      </c>
      <c r="AL9623">
        <v>92.176829954472893</v>
      </c>
      <c r="AM9623">
        <v>91.752015482709197</v>
      </c>
      <c r="AN9623">
        <v>0.99999998817219804</v>
      </c>
    </row>
    <row r="9624" spans="1:40" x14ac:dyDescent="0.25">
      <c r="A9624" t="str">
        <f>"20190303154028074"</f>
        <v>20190303154028074</v>
      </c>
      <c r="B9624" t="str">
        <f>"1551598828067727"</f>
        <v>1551598828067727</v>
      </c>
      <c r="C9624" t="s">
        <v>40</v>
      </c>
      <c r="D9624">
        <v>4.2307079999999999</v>
      </c>
      <c r="E9624">
        <v>0.51289470000000004</v>
      </c>
      <c r="F9624" t="s">
        <v>92</v>
      </c>
      <c r="G9624">
        <v>-189.44210000000001</v>
      </c>
      <c r="H9624">
        <v>6.4136369999999996</v>
      </c>
      <c r="I9624">
        <v>390.11860000000001</v>
      </c>
      <c r="J9624">
        <v>-187.4178</v>
      </c>
      <c r="K9624">
        <v>1.120743</v>
      </c>
      <c r="L9624">
        <v>37.262210000000003</v>
      </c>
      <c r="M9624">
        <v>-8.7215820000000003E-3</v>
      </c>
      <c r="N9624">
        <v>-1.0639279999999999E-2</v>
      </c>
      <c r="O9624">
        <v>0.9999053</v>
      </c>
      <c r="P9624">
        <v>-3.8988210000000002E-2</v>
      </c>
      <c r="Q9624">
        <v>-4.8543240000000001E-2</v>
      </c>
      <c r="R9624">
        <v>0.9980599</v>
      </c>
      <c r="S9624">
        <v>-1.7257689999999999E-2</v>
      </c>
      <c r="T9624">
        <v>4.5086149999999998E-2</v>
      </c>
      <c r="U9624">
        <v>3.0074160000000001</v>
      </c>
      <c r="V9624">
        <v>-3.0286879999999999E-2</v>
      </c>
      <c r="W9624">
        <v>-3.7914620000000003E-2</v>
      </c>
      <c r="X9624">
        <v>0.99882190000000004</v>
      </c>
      <c r="Y9624">
        <v>2.985821E-3</v>
      </c>
      <c r="Z9624">
        <v>2.5625930000000002E-2</v>
      </c>
      <c r="AA9624">
        <v>0.99966719999999998</v>
      </c>
      <c r="AB9624">
        <v>24</v>
      </c>
      <c r="AC9624">
        <v>-2.02430000000001</v>
      </c>
      <c r="AD9624">
        <v>5.2928940000000004</v>
      </c>
      <c r="AE9624">
        <v>352.85638999999998</v>
      </c>
      <c r="AF9624">
        <v>1.05318036969466</v>
      </c>
      <c r="AG9624">
        <v>5.2928940000000004</v>
      </c>
      <c r="AH9624">
        <v>352.78124952388202</v>
      </c>
      <c r="AI9624">
        <v>89.140440753651603</v>
      </c>
      <c r="AJ9624">
        <v>89.828951762414704</v>
      </c>
      <c r="AK9624">
        <v>352.82252469395701</v>
      </c>
      <c r="AL9624">
        <v>92.172868508227296</v>
      </c>
      <c r="AM9624">
        <v>91.736824995714898</v>
      </c>
      <c r="AN9624">
        <v>1.00000000071474</v>
      </c>
    </row>
    <row r="9625" spans="1:40" x14ac:dyDescent="0.25">
      <c r="A9625" t="str">
        <f>"20190303154028097"</f>
        <v>20190303154028097</v>
      </c>
      <c r="B9625" t="str">
        <f>"1551598828088223"</f>
        <v>1551598828088223</v>
      </c>
      <c r="C9625" t="s">
        <v>40</v>
      </c>
      <c r="D9625">
        <v>4.2109809999999896</v>
      </c>
      <c r="E9625">
        <v>0.51286620000000005</v>
      </c>
      <c r="F9625" t="s">
        <v>92</v>
      </c>
      <c r="G9625">
        <v>-189.4015</v>
      </c>
      <c r="H9625">
        <v>6.5097849999999999</v>
      </c>
      <c r="I9625">
        <v>390.11860000000001</v>
      </c>
      <c r="J9625">
        <v>-187.42</v>
      </c>
      <c r="K9625">
        <v>1.1207180000000001</v>
      </c>
      <c r="L9625">
        <v>37.518430000000002</v>
      </c>
      <c r="M9625">
        <v>-8.6598600000000001E-3</v>
      </c>
      <c r="N9625">
        <v>-1.044105E-2</v>
      </c>
      <c r="O9625">
        <v>0.99990800000000002</v>
      </c>
      <c r="P9625">
        <v>-3.8902819999999998E-2</v>
      </c>
      <c r="Q9625">
        <v>-4.9128819999999997E-2</v>
      </c>
      <c r="R9625">
        <v>0.99803450000000005</v>
      </c>
      <c r="S9625">
        <v>-1.690674E-2</v>
      </c>
      <c r="T9625">
        <v>4.5931100000000002E-2</v>
      </c>
      <c r="U9625">
        <v>3.0074160000000001</v>
      </c>
      <c r="V9625">
        <v>-3.026359E-2</v>
      </c>
      <c r="W9625">
        <v>-3.8698450000000002E-2</v>
      </c>
      <c r="X9625">
        <v>0.99879249999999997</v>
      </c>
      <c r="Y9625">
        <v>3.0407469999999999E-3</v>
      </c>
      <c r="Z9625">
        <v>2.570857E-2</v>
      </c>
      <c r="AA9625">
        <v>0.99966480000000002</v>
      </c>
      <c r="AB9625">
        <v>24</v>
      </c>
      <c r="AC9625">
        <v>-1.98150000000001</v>
      </c>
      <c r="AD9625">
        <v>5.3890669999999998</v>
      </c>
      <c r="AE9625">
        <v>352.60016999999999</v>
      </c>
      <c r="AF9625">
        <v>1.0719584468597101</v>
      </c>
      <c r="AG9625">
        <v>5.3890669999999998</v>
      </c>
      <c r="AH9625">
        <v>352.52176300235499</v>
      </c>
      <c r="AI9625">
        <v>89.124180830434597</v>
      </c>
      <c r="AJ9625">
        <v>89.8257738614749</v>
      </c>
      <c r="AK9625">
        <v>352.564582067358</v>
      </c>
      <c r="AL9625">
        <v>92.217811745027106</v>
      </c>
      <c r="AM9625">
        <v>91.735541283253994</v>
      </c>
      <c r="AN9625">
        <v>0.99999995648416895</v>
      </c>
    </row>
    <row r="9626" spans="1:40" x14ac:dyDescent="0.25">
      <c r="A9626" t="str">
        <f>"20190303154028120"</f>
        <v>20190303154028120</v>
      </c>
      <c r="B9626" t="str">
        <f>"1551598828117504"</f>
        <v>1551598828117504</v>
      </c>
      <c r="C9626" t="s">
        <v>40</v>
      </c>
      <c r="D9626">
        <v>4.2355119999999999</v>
      </c>
      <c r="E9626">
        <v>0.51283400000000001</v>
      </c>
      <c r="F9626" t="s">
        <v>92</v>
      </c>
      <c r="G9626">
        <v>-189.3897</v>
      </c>
      <c r="H9626">
        <v>6.3077009999999998</v>
      </c>
      <c r="I9626">
        <v>390.11860000000001</v>
      </c>
      <c r="J9626">
        <v>-187.422</v>
      </c>
      <c r="K9626">
        <v>1.1207039999999999</v>
      </c>
      <c r="L9626">
        <v>37.760620000000003</v>
      </c>
      <c r="M9626">
        <v>-8.6014430000000003E-3</v>
      </c>
      <c r="N9626">
        <v>-1.0264870000000001E-2</v>
      </c>
      <c r="O9626">
        <v>0.99991030000000003</v>
      </c>
      <c r="P9626">
        <v>-3.9218759999999998E-2</v>
      </c>
      <c r="Q9626">
        <v>-5.0174370000000003E-2</v>
      </c>
      <c r="R9626">
        <v>0.99797020000000003</v>
      </c>
      <c r="S9626">
        <v>-1.6799930000000001E-2</v>
      </c>
      <c r="T9626">
        <v>4.424107E-2</v>
      </c>
      <c r="U9626">
        <v>3.0074160000000001</v>
      </c>
      <c r="V9626">
        <v>-3.063836E-2</v>
      </c>
      <c r="W9626">
        <v>-3.9920499999999998E-2</v>
      </c>
      <c r="X9626">
        <v>0.99873299999999998</v>
      </c>
      <c r="Y9626">
        <v>3.0177009999999998E-3</v>
      </c>
      <c r="Z9626">
        <v>2.4970849999999999E-2</v>
      </c>
      <c r="AA9626">
        <v>0.99968360000000001</v>
      </c>
      <c r="AB9626">
        <v>24</v>
      </c>
      <c r="AC9626">
        <v>-1.9677</v>
      </c>
      <c r="AD9626">
        <v>5.1869969999999999</v>
      </c>
      <c r="AE9626">
        <v>352.35798</v>
      </c>
      <c r="AF9626">
        <v>1.0630892586323399</v>
      </c>
      <c r="AG9626">
        <v>5.1869969999999999</v>
      </c>
      <c r="AH9626">
        <v>352.28553101701499</v>
      </c>
      <c r="AI9626">
        <v>89.156450708659094</v>
      </c>
      <c r="AJ9626">
        <v>89.827099504491997</v>
      </c>
      <c r="AK9626">
        <v>352.32531907399198</v>
      </c>
      <c r="AL9626">
        <v>92.287884165315603</v>
      </c>
      <c r="AM9626">
        <v>91.757124627070695</v>
      </c>
      <c r="AN9626">
        <v>0.99999998035636894</v>
      </c>
    </row>
    <row r="9627" spans="1:40" x14ac:dyDescent="0.25">
      <c r="A9627" t="str">
        <f>"20190303154028263"</f>
        <v>20190303154028263</v>
      </c>
      <c r="B9627" t="str">
        <f>"1551598828258047"</f>
        <v>1551598828258047</v>
      </c>
      <c r="C9627" t="s">
        <v>40</v>
      </c>
      <c r="D9627">
        <v>4.5396020000000004</v>
      </c>
      <c r="E9627">
        <v>0.51283400000000001</v>
      </c>
      <c r="F9627" t="s">
        <v>92</v>
      </c>
      <c r="G9627">
        <v>-189.51910000000001</v>
      </c>
      <c r="H9627">
        <v>5.9022880000000004</v>
      </c>
      <c r="I9627">
        <v>390.11860000000001</v>
      </c>
      <c r="J9627">
        <v>-187.4348</v>
      </c>
      <c r="K9627">
        <v>1.1206389999999999</v>
      </c>
      <c r="L9627">
        <v>39.329500000000003</v>
      </c>
      <c r="M9627">
        <v>-8.2219770000000001E-3</v>
      </c>
      <c r="N9627">
        <v>-9.4998610000000001E-3</v>
      </c>
      <c r="O9627">
        <v>0.99992110000000001</v>
      </c>
      <c r="P9627">
        <v>-3.8539410000000003E-2</v>
      </c>
      <c r="Q9627">
        <v>-4.9959009999999998E-2</v>
      </c>
      <c r="R9627">
        <v>0.99800739999999999</v>
      </c>
      <c r="S9627">
        <v>-1.7898560000000001E-2</v>
      </c>
      <c r="T9627">
        <v>4.0811779999999999E-2</v>
      </c>
      <c r="U9627">
        <v>3.0074459999999998</v>
      </c>
      <c r="V9627">
        <v>-3.033814E-2</v>
      </c>
      <c r="W9627">
        <v>-4.0468949999999997E-2</v>
      </c>
      <c r="X9627">
        <v>0.9987201</v>
      </c>
      <c r="Y9627">
        <v>2.272722E-3</v>
      </c>
      <c r="Z9627">
        <v>2.306631E-2</v>
      </c>
      <c r="AA9627">
        <v>0.99973140000000005</v>
      </c>
      <c r="AB9627">
        <v>25</v>
      </c>
      <c r="AC9627">
        <v>-2.08430000000001</v>
      </c>
      <c r="AD9627">
        <v>4.7816489999999998</v>
      </c>
      <c r="AE9627">
        <v>350.78910000000002</v>
      </c>
      <c r="AF9627">
        <v>0.79993181683737902</v>
      </c>
      <c r="AG9627">
        <v>4.7816489999999998</v>
      </c>
      <c r="AH9627">
        <v>350.72921392644702</v>
      </c>
      <c r="AI9627">
        <v>89.218911310675097</v>
      </c>
      <c r="AJ9627">
        <v>89.869321870802395</v>
      </c>
      <c r="AK9627">
        <v>350.76271974018903</v>
      </c>
      <c r="AL9627">
        <v>92.319333433195396</v>
      </c>
      <c r="AM9627">
        <v>91.739939961620493</v>
      </c>
      <c r="AN9627">
        <v>0.999999988398386</v>
      </c>
    </row>
    <row r="9628" spans="1:40" x14ac:dyDescent="0.25">
      <c r="A9628" t="str">
        <f>"20190303154028309"</f>
        <v>20190303154028309</v>
      </c>
      <c r="B9628" t="str">
        <f>"1551598828298064"</f>
        <v>1551598828298064</v>
      </c>
      <c r="C9628" t="s">
        <v>40</v>
      </c>
      <c r="D9628">
        <v>4.0846720000000003</v>
      </c>
      <c r="E9628">
        <v>0.51322440000000003</v>
      </c>
      <c r="F9628" t="s">
        <v>92</v>
      </c>
      <c r="G9628">
        <v>-189.29650000000001</v>
      </c>
      <c r="H9628">
        <v>5.9679489999999999</v>
      </c>
      <c r="I9628">
        <v>390.11860000000001</v>
      </c>
      <c r="J9628">
        <v>-187.43879999999999</v>
      </c>
      <c r="K9628">
        <v>1.120627</v>
      </c>
      <c r="L9628">
        <v>39.837679999999999</v>
      </c>
      <c r="M9628">
        <v>-8.0989749999999996E-3</v>
      </c>
      <c r="N9628">
        <v>-9.3709210000000008E-3</v>
      </c>
      <c r="O9628">
        <v>0.99992329999999996</v>
      </c>
      <c r="P9628">
        <v>-3.7293430000000002E-2</v>
      </c>
      <c r="Q9628">
        <v>-4.8127709999999997E-2</v>
      </c>
      <c r="R9628">
        <v>0.9981447</v>
      </c>
      <c r="S9628">
        <v>-1.596069E-2</v>
      </c>
      <c r="T9628">
        <v>4.1557789999999997E-2</v>
      </c>
      <c r="U9628">
        <v>3.0074459999999998</v>
      </c>
      <c r="V9628">
        <v>-2.9213340000000001E-2</v>
      </c>
      <c r="W9628">
        <v>-3.8765460000000002E-2</v>
      </c>
      <c r="X9628">
        <v>0.99882119999999996</v>
      </c>
      <c r="Y9628">
        <v>2.7938910000000002E-3</v>
      </c>
      <c r="Z9628">
        <v>2.318539E-2</v>
      </c>
      <c r="AA9628">
        <v>0.99972720000000004</v>
      </c>
      <c r="AB9628">
        <v>25</v>
      </c>
      <c r="AC9628">
        <v>-1.8577000000000199</v>
      </c>
      <c r="AD9628">
        <v>4.8473220000000001</v>
      </c>
      <c r="AE9628">
        <v>350.28091999999998</v>
      </c>
      <c r="AF9628">
        <v>0.97921438154428198</v>
      </c>
      <c r="AG9628">
        <v>4.8473220000000001</v>
      </c>
      <c r="AH9628">
        <v>350.21741181497703</v>
      </c>
      <c r="AI9628">
        <v>89.207028934601098</v>
      </c>
      <c r="AJ9628">
        <v>89.839800354851207</v>
      </c>
      <c r="AK9628">
        <v>350.25232466003399</v>
      </c>
      <c r="AL9628">
        <v>92.221653955440601</v>
      </c>
      <c r="AM9628">
        <v>91.675298898730205</v>
      </c>
      <c r="AN9628">
        <v>0.999999984846203</v>
      </c>
    </row>
    <row r="9629" spans="1:40" x14ac:dyDescent="0.25">
      <c r="A9629" t="str">
        <f>"20190303154028332"</f>
        <v>20190303154028332</v>
      </c>
      <c r="B9629" t="str">
        <f>"1551598828327343"</f>
        <v>1551598828327343</v>
      </c>
      <c r="C9629" t="s">
        <v>40</v>
      </c>
      <c r="D9629">
        <v>4.1770620000000003</v>
      </c>
      <c r="E9629">
        <v>0.51337770000000005</v>
      </c>
      <c r="F9629" t="s">
        <v>92</v>
      </c>
      <c r="G9629">
        <v>-188.4803</v>
      </c>
      <c r="H9629">
        <v>6.5425620000000002</v>
      </c>
      <c r="I9629">
        <v>390.11860000000001</v>
      </c>
      <c r="J9629">
        <v>-187.44069999999999</v>
      </c>
      <c r="K9629">
        <v>1.120622</v>
      </c>
      <c r="L9629">
        <v>40.075409999999998</v>
      </c>
      <c r="M9629">
        <v>-8.0411800000000002E-3</v>
      </c>
      <c r="N9629">
        <v>-9.3249809999999995E-3</v>
      </c>
      <c r="O9629">
        <v>0.99992420000000004</v>
      </c>
      <c r="P9629">
        <v>-3.6764659999999998E-2</v>
      </c>
      <c r="Q9629">
        <v>-4.7007819999999999E-2</v>
      </c>
      <c r="R9629">
        <v>0.99821769999999999</v>
      </c>
      <c r="S9629">
        <v>-8.9416500000000006E-3</v>
      </c>
      <c r="T9629">
        <v>4.6552179999999999E-2</v>
      </c>
      <c r="U9629">
        <v>3.0074770000000002</v>
      </c>
      <c r="V9629">
        <v>-2.8741579999999999E-2</v>
      </c>
      <c r="W9629">
        <v>-3.7690950000000001E-2</v>
      </c>
      <c r="X9629">
        <v>0.99887599999999999</v>
      </c>
      <c r="Y9629">
        <v>5.0695219999999999E-3</v>
      </c>
      <c r="Z9629">
        <v>2.4799160000000001E-2</v>
      </c>
      <c r="AA9629">
        <v>0.9996796</v>
      </c>
      <c r="AB9629">
        <v>25</v>
      </c>
      <c r="AC9629">
        <v>-1.0396000000000001</v>
      </c>
      <c r="AD9629">
        <v>5.4219400000000002</v>
      </c>
      <c r="AE9629">
        <v>350.04318999999998</v>
      </c>
      <c r="AF9629">
        <v>1.77489044164773</v>
      </c>
      <c r="AG9629">
        <v>5.4219400000000002</v>
      </c>
      <c r="AH9629">
        <v>349.95627110091601</v>
      </c>
      <c r="AI9629">
        <v>89.112387868908101</v>
      </c>
      <c r="AJ9629">
        <v>89.709412667033106</v>
      </c>
      <c r="AK9629">
        <v>350.00277049232199</v>
      </c>
      <c r="AL9629">
        <v>92.160044050592703</v>
      </c>
      <c r="AM9629">
        <v>91.648169523570004</v>
      </c>
      <c r="AN9629">
        <v>0.99999997475439895</v>
      </c>
    </row>
    <row r="9630" spans="1:40" x14ac:dyDescent="0.25">
      <c r="A9630" t="str">
        <f>"20190303154028352"</f>
        <v>20190303154028352</v>
      </c>
      <c r="B9630" t="str">
        <f>"1551598828347840"</f>
        <v>1551598828347840</v>
      </c>
      <c r="C9630" t="s">
        <v>40</v>
      </c>
      <c r="D9630">
        <v>4.2153199999999904</v>
      </c>
      <c r="E9630">
        <v>0.51338859999999997</v>
      </c>
      <c r="F9630" t="s">
        <v>92</v>
      </c>
      <c r="G9630">
        <v>-188.1387</v>
      </c>
      <c r="H9630">
        <v>6.9495619999999896</v>
      </c>
      <c r="I9630">
        <v>390.11860000000001</v>
      </c>
      <c r="J9630">
        <v>-187.4426</v>
      </c>
      <c r="K9630">
        <v>1.120617</v>
      </c>
      <c r="L9630">
        <v>40.31662</v>
      </c>
      <c r="M9630">
        <v>-7.9827860000000004E-3</v>
      </c>
      <c r="N9630">
        <v>-9.2858439999999997E-3</v>
      </c>
      <c r="O9630">
        <v>0.99992499999999995</v>
      </c>
      <c r="P9630">
        <v>-3.5190340000000001E-2</v>
      </c>
      <c r="Q9630">
        <v>-4.6273130000000003E-2</v>
      </c>
      <c r="R9630">
        <v>0.9983088</v>
      </c>
      <c r="S9630">
        <v>-5.9967040000000003E-3</v>
      </c>
      <c r="T9630">
        <v>5.0080659999999999E-2</v>
      </c>
      <c r="U9630">
        <v>3.0074770000000002</v>
      </c>
      <c r="V9630">
        <v>-2.7224760000000001E-2</v>
      </c>
      <c r="W9630">
        <v>-3.6994869999999999E-2</v>
      </c>
      <c r="X9630">
        <v>0.99894450000000001</v>
      </c>
      <c r="Y9630">
        <v>5.9901249999999998E-3</v>
      </c>
      <c r="Z9630">
        <v>2.5932549999999999E-2</v>
      </c>
      <c r="AA9630">
        <v>0.99964580000000003</v>
      </c>
      <c r="AB9630">
        <v>25</v>
      </c>
      <c r="AC9630">
        <v>-0.69610000000000105</v>
      </c>
      <c r="AD9630">
        <v>5.8289449999999903</v>
      </c>
      <c r="AE9630">
        <v>349.80197999999899</v>
      </c>
      <c r="AF9630">
        <v>2.09585502508118</v>
      </c>
      <c r="AG9630">
        <v>5.8289449999999903</v>
      </c>
      <c r="AH9630">
        <v>349.699288320547</v>
      </c>
      <c r="AI9630">
        <v>89.045073760819193</v>
      </c>
      <c r="AJ9630">
        <v>89.656612942435004</v>
      </c>
      <c r="AK9630">
        <v>349.754144307106</v>
      </c>
      <c r="AL9630">
        <v>92.120133794686396</v>
      </c>
      <c r="AM9630">
        <v>91.561125587607094</v>
      </c>
      <c r="AN9630">
        <v>0.99999996102181099</v>
      </c>
    </row>
    <row r="9631" spans="1:40" x14ac:dyDescent="0.25">
      <c r="A9631" t="str">
        <f>"20190303154028376"</f>
        <v>20190303154028376</v>
      </c>
      <c r="B9631" t="str">
        <f>"1551598828367360"</f>
        <v>1551598828367360</v>
      </c>
      <c r="C9631" t="s">
        <v>40</v>
      </c>
      <c r="D9631">
        <v>4.2597829999999997</v>
      </c>
      <c r="E9631">
        <v>0.51328790000000002</v>
      </c>
      <c r="F9631" t="s">
        <v>92</v>
      </c>
      <c r="G9631">
        <v>-187.5864</v>
      </c>
      <c r="H9631">
        <v>7.2075940000000003</v>
      </c>
      <c r="I9631">
        <v>390.11860000000001</v>
      </c>
      <c r="J9631">
        <v>-187.44460000000001</v>
      </c>
      <c r="K9631">
        <v>1.120614</v>
      </c>
      <c r="L9631">
        <v>40.576509999999999</v>
      </c>
      <c r="M9631">
        <v>-7.9199760000000004E-3</v>
      </c>
      <c r="N9631">
        <v>-9.2499049999999992E-3</v>
      </c>
      <c r="O9631">
        <v>0.99992590000000003</v>
      </c>
      <c r="P9631">
        <v>-3.316707E-2</v>
      </c>
      <c r="Q9631">
        <v>-4.5458129999999999E-2</v>
      </c>
      <c r="R9631">
        <v>0.99841550000000001</v>
      </c>
      <c r="S9631">
        <v>-1.235962E-3</v>
      </c>
      <c r="T9631">
        <v>5.2333709999999999E-2</v>
      </c>
      <c r="U9631">
        <v>3.0074770000000002</v>
      </c>
      <c r="V9631">
        <v>-2.526341E-2</v>
      </c>
      <c r="W9631">
        <v>-3.6215249999999997E-2</v>
      </c>
      <c r="X9631">
        <v>0.99902460000000004</v>
      </c>
      <c r="Y9631">
        <v>7.5097949999999997E-3</v>
      </c>
      <c r="Z9631">
        <v>2.6645249999999999E-2</v>
      </c>
      <c r="AA9631">
        <v>0.99961670000000002</v>
      </c>
      <c r="AB9631">
        <v>25</v>
      </c>
      <c r="AC9631">
        <v>-0.14179999999998899</v>
      </c>
      <c r="AD9631">
        <v>6.0869799999999996</v>
      </c>
      <c r="AE9631">
        <v>349.54208999999997</v>
      </c>
      <c r="AF9631">
        <v>2.6258914143413299</v>
      </c>
      <c r="AG9631">
        <v>6.0869799999999996</v>
      </c>
      <c r="AH9631">
        <v>349.42628482438198</v>
      </c>
      <c r="AI9631">
        <v>89.0020408771137</v>
      </c>
      <c r="AJ9631">
        <v>89.569438047583901</v>
      </c>
      <c r="AK9631">
        <v>349.48916314731503</v>
      </c>
      <c r="AL9631">
        <v>92.075434885341295</v>
      </c>
      <c r="AM9631">
        <v>91.448591293836003</v>
      </c>
      <c r="AN9631">
        <v>0.99999996781127398</v>
      </c>
    </row>
    <row r="9632" spans="1:40" x14ac:dyDescent="0.25">
      <c r="A9632" t="str">
        <f>"20190303154028398"</f>
        <v>20190303154028398</v>
      </c>
      <c r="B9632" t="str">
        <f>"1551598828387855"</f>
        <v>1551598828387855</v>
      </c>
      <c r="C9632" t="s">
        <v>40</v>
      </c>
      <c r="D9632">
        <v>4.183567</v>
      </c>
      <c r="E9632">
        <v>0.51323980000000002</v>
      </c>
      <c r="F9632" t="s">
        <v>92</v>
      </c>
      <c r="G9632">
        <v>-186.97640000000001</v>
      </c>
      <c r="H9632">
        <v>7.3778110000000003</v>
      </c>
      <c r="I9632">
        <v>390.11860000000001</v>
      </c>
      <c r="J9632">
        <v>-187.44649999999999</v>
      </c>
      <c r="K9632">
        <v>1.1206020000000001</v>
      </c>
      <c r="L9632">
        <v>40.83023</v>
      </c>
      <c r="M9632">
        <v>-7.8588259999999993E-3</v>
      </c>
      <c r="N9632">
        <v>-9.2151430000000003E-3</v>
      </c>
      <c r="O9632">
        <v>0.99992669999999995</v>
      </c>
      <c r="P9632">
        <v>-3.1132480000000001E-2</v>
      </c>
      <c r="Q9632">
        <v>-4.5973170000000001E-2</v>
      </c>
      <c r="R9632">
        <v>0.99845740000000005</v>
      </c>
      <c r="S9632">
        <v>4.0283200000000002E-3</v>
      </c>
      <c r="T9632">
        <v>5.3835029999999999E-2</v>
      </c>
      <c r="U9632">
        <v>3.007355</v>
      </c>
      <c r="V9632">
        <v>-2.328976E-2</v>
      </c>
      <c r="W9632">
        <v>-3.6765029999999997E-2</v>
      </c>
      <c r="X9632">
        <v>0.99905250000000001</v>
      </c>
      <c r="Y9632">
        <v>9.1984760000000006E-3</v>
      </c>
      <c r="Z9632">
        <v>2.7109999999999999E-2</v>
      </c>
      <c r="AA9632">
        <v>0.99959019999999998</v>
      </c>
      <c r="AB9632">
        <v>25</v>
      </c>
      <c r="AC9632">
        <v>0.47009999999997298</v>
      </c>
      <c r="AD9632">
        <v>6.2572089999999996</v>
      </c>
      <c r="AE9632">
        <v>349.28836999999999</v>
      </c>
      <c r="AF9632">
        <v>3.2141669666758501</v>
      </c>
      <c r="AG9632">
        <v>6.2572089999999996</v>
      </c>
      <c r="AH9632">
        <v>349.16183624666598</v>
      </c>
      <c r="AI9632">
        <v>88.973375453348098</v>
      </c>
      <c r="AJ9632">
        <v>89.472585542878804</v>
      </c>
      <c r="AK9632">
        <v>349.23268951360097</v>
      </c>
      <c r="AL9632">
        <v>92.106955908257504</v>
      </c>
      <c r="AM9632">
        <v>91.335428627271298</v>
      </c>
      <c r="AN9632">
        <v>0.999999989054004</v>
      </c>
    </row>
    <row r="9633" spans="1:40" x14ac:dyDescent="0.25">
      <c r="A9633" t="str">
        <f>"20190303154028420"</f>
        <v>20190303154028420</v>
      </c>
      <c r="B9633" t="str">
        <f>"1551598828407412"</f>
        <v>1551598828407412</v>
      </c>
      <c r="C9633" t="s">
        <v>40</v>
      </c>
      <c r="D9633">
        <v>4.1847890000000003</v>
      </c>
      <c r="E9633">
        <v>0.51321229999999995</v>
      </c>
      <c r="F9633" t="s">
        <v>92</v>
      </c>
      <c r="G9633">
        <v>-186.33</v>
      </c>
      <c r="H9633">
        <v>7.1796889999999998</v>
      </c>
      <c r="I9633">
        <v>390.11860000000001</v>
      </c>
      <c r="J9633">
        <v>-187.44829999999999</v>
      </c>
      <c r="K9633">
        <v>1.1205849999999999</v>
      </c>
      <c r="L9633">
        <v>41.06662</v>
      </c>
      <c r="M9633">
        <v>-7.8017619999999899E-3</v>
      </c>
      <c r="N9633">
        <v>-9.1735959999999991E-3</v>
      </c>
      <c r="O9633">
        <v>0.99992749999999997</v>
      </c>
      <c r="P9633">
        <v>-2.9403390000000001E-2</v>
      </c>
      <c r="Q9633">
        <v>-4.641166E-2</v>
      </c>
      <c r="R9633">
        <v>0.99848959999999998</v>
      </c>
      <c r="S9633">
        <v>9.6130369999999996E-3</v>
      </c>
      <c r="T9633">
        <v>5.2167890000000001E-2</v>
      </c>
      <c r="U9633">
        <v>3.0073240000000001</v>
      </c>
      <c r="V9633">
        <v>-2.1617230000000001E-2</v>
      </c>
      <c r="W9633">
        <v>-3.724508E-2</v>
      </c>
      <c r="X9633">
        <v>0.99907230000000002</v>
      </c>
      <c r="Y9633">
        <v>1.099777E-2</v>
      </c>
      <c r="Z9633">
        <v>2.6514590000000001E-2</v>
      </c>
      <c r="AA9633">
        <v>0.99958800000000003</v>
      </c>
      <c r="AB9633">
        <v>25</v>
      </c>
      <c r="AC9633">
        <v>1.1182999999999701</v>
      </c>
      <c r="AD9633">
        <v>6.0591039999999996</v>
      </c>
      <c r="AE9633">
        <v>349.05197999999899</v>
      </c>
      <c r="AF9633">
        <v>3.8404437782357999</v>
      </c>
      <c r="AG9633">
        <v>6.0591039999999996</v>
      </c>
      <c r="AH9633">
        <v>348.92749106321702</v>
      </c>
      <c r="AI9633">
        <v>89.005222609113403</v>
      </c>
      <c r="AJ9633">
        <v>89.369403842152906</v>
      </c>
      <c r="AK9633">
        <v>349.00122602846</v>
      </c>
      <c r="AL9633">
        <v>92.134479617356405</v>
      </c>
      <c r="AM9633">
        <v>91.239532723311498</v>
      </c>
      <c r="AN9633">
        <v>0.99999998062218398</v>
      </c>
    </row>
    <row r="9634" spans="1:40" x14ac:dyDescent="0.25">
      <c r="A9634" t="str">
        <f>"20190303154028441"</f>
        <v>20190303154028441</v>
      </c>
      <c r="B9634" t="str">
        <f>"1551598828437665"</f>
        <v>1551598828437665</v>
      </c>
      <c r="C9634" t="s">
        <v>40</v>
      </c>
      <c r="D9634">
        <v>4.2023380000000001</v>
      </c>
      <c r="E9634">
        <v>0.51303859999999901</v>
      </c>
      <c r="F9634" t="s">
        <v>92</v>
      </c>
      <c r="G9634">
        <v>-185.76939999999999</v>
      </c>
      <c r="H9634">
        <v>7.0153220000000003</v>
      </c>
      <c r="I9634">
        <v>390.11860000000001</v>
      </c>
      <c r="J9634">
        <v>-187.4502</v>
      </c>
      <c r="K9634">
        <v>1.1205700000000001</v>
      </c>
      <c r="L9634">
        <v>41.31268</v>
      </c>
      <c r="M9634">
        <v>-7.7423229999999997E-3</v>
      </c>
      <c r="N9634">
        <v>-9.1076960000000002E-3</v>
      </c>
      <c r="O9634">
        <v>0.9999285</v>
      </c>
      <c r="P9634">
        <v>-2.7745240000000001E-2</v>
      </c>
      <c r="Q9634">
        <v>-4.6852829999999998E-2</v>
      </c>
      <c r="R9634">
        <v>0.99851639999999997</v>
      </c>
      <c r="S9634">
        <v>1.446533E-2</v>
      </c>
      <c r="T9634">
        <v>5.0787209999999999E-2</v>
      </c>
      <c r="U9634">
        <v>3.0073240000000001</v>
      </c>
      <c r="V9634">
        <v>-2.0018999999999999E-2</v>
      </c>
      <c r="W9634">
        <v>-3.7752189999999998E-2</v>
      </c>
      <c r="X9634">
        <v>0.99908660000000005</v>
      </c>
      <c r="Y9634">
        <v>1.255121E-2</v>
      </c>
      <c r="Z9634">
        <v>2.5989780000000001E-2</v>
      </c>
      <c r="AA9634">
        <v>0.99958340000000001</v>
      </c>
      <c r="AB9634">
        <v>25</v>
      </c>
      <c r="AC9634">
        <v>1.6808000000000001</v>
      </c>
      <c r="AD9634">
        <v>5.8947519999999898</v>
      </c>
      <c r="AE9634">
        <v>348.80592000000001</v>
      </c>
      <c r="AF9634">
        <v>4.3801789003364204</v>
      </c>
      <c r="AG9634">
        <v>5.8947519999999898</v>
      </c>
      <c r="AH9634">
        <v>348.682868100382</v>
      </c>
      <c r="AI9634">
        <v>89.031539451119698</v>
      </c>
      <c r="AJ9634">
        <v>89.280284213994193</v>
      </c>
      <c r="AK9634">
        <v>348.76019924161102</v>
      </c>
      <c r="AL9634">
        <v>92.163555264238298</v>
      </c>
      <c r="AM9634">
        <v>91.147899233298403</v>
      </c>
      <c r="AN9634">
        <v>1.0000000112551699</v>
      </c>
    </row>
    <row r="9635" spans="1:40" x14ac:dyDescent="0.25">
      <c r="A9635" t="str">
        <f>"20190303154028465"</f>
        <v>20190303154028465</v>
      </c>
      <c r="B9635" t="str">
        <f>"1551598828457186"</f>
        <v>1551598828457186</v>
      </c>
      <c r="C9635" t="s">
        <v>40</v>
      </c>
      <c r="D9635">
        <v>4.2165629999999998</v>
      </c>
      <c r="E9635">
        <v>0.51293359999999899</v>
      </c>
      <c r="F9635" t="s">
        <v>92</v>
      </c>
      <c r="G9635">
        <v>-185.3706</v>
      </c>
      <c r="H9635">
        <v>6.7745170000000003</v>
      </c>
      <c r="I9635">
        <v>390.11860000000001</v>
      </c>
      <c r="J9635">
        <v>-187.4521</v>
      </c>
      <c r="K9635">
        <v>1.1205430000000001</v>
      </c>
      <c r="L9635">
        <v>41.575380000000003</v>
      </c>
      <c r="M9635">
        <v>-7.6789550000000003E-3</v>
      </c>
      <c r="N9635">
        <v>-9.0047240000000004E-3</v>
      </c>
      <c r="O9635">
        <v>0.99992999999999999</v>
      </c>
      <c r="P9635">
        <v>-2.7004190000000001E-2</v>
      </c>
      <c r="Q9635">
        <v>-4.694152E-2</v>
      </c>
      <c r="R9635">
        <v>0.99853250000000005</v>
      </c>
      <c r="S9635">
        <v>1.792908E-2</v>
      </c>
      <c r="T9635">
        <v>4.8745509999999999E-2</v>
      </c>
      <c r="U9635">
        <v>3.0072329999999998</v>
      </c>
      <c r="V9635">
        <v>-1.9340929999999999E-2</v>
      </c>
      <c r="W9635">
        <v>-3.7943739999999997E-2</v>
      </c>
      <c r="X9635">
        <v>0.99909269999999994</v>
      </c>
      <c r="Y9635">
        <v>1.363938E-2</v>
      </c>
      <c r="Z9635">
        <v>2.5208769999999998E-2</v>
      </c>
      <c r="AA9635">
        <v>0.99958910000000001</v>
      </c>
      <c r="AB9635">
        <v>25</v>
      </c>
      <c r="AC9635">
        <v>2.0815000000000001</v>
      </c>
      <c r="AD9635">
        <v>5.6539739999999998</v>
      </c>
      <c r="AE9635">
        <v>348.54322000000002</v>
      </c>
      <c r="AF9635">
        <v>4.7567431017685102</v>
      </c>
      <c r="AG9635">
        <v>5.6539739999999998</v>
      </c>
      <c r="AH9635">
        <v>348.42527552934803</v>
      </c>
      <c r="AI9635">
        <v>89.070416919004799</v>
      </c>
      <c r="AJ9635">
        <v>89.217839827132906</v>
      </c>
      <c r="AK9635">
        <v>348.50361067660498</v>
      </c>
      <c r="AL9635">
        <v>92.174538140196105</v>
      </c>
      <c r="AM9635">
        <v>91.109021479826296</v>
      </c>
      <c r="AN9635">
        <v>1.00000001108587</v>
      </c>
    </row>
    <row r="9636" spans="1:40" x14ac:dyDescent="0.25">
      <c r="A9636" t="str">
        <f>"20190303154028489"</f>
        <v>20190303154028489</v>
      </c>
      <c r="B9636" t="str">
        <f>"1551598828477681"</f>
        <v>1551598828477681</v>
      </c>
      <c r="C9636" t="s">
        <v>40</v>
      </c>
      <c r="D9636">
        <v>4.2188499999999998</v>
      </c>
      <c r="E9636">
        <v>0.51277950000000005</v>
      </c>
      <c r="F9636" t="s">
        <v>92</v>
      </c>
      <c r="G9636">
        <v>-185.19900000000001</v>
      </c>
      <c r="H9636">
        <v>6.6638739999999999</v>
      </c>
      <c r="I9636">
        <v>390.11860000000001</v>
      </c>
      <c r="J9636">
        <v>-187.45410000000001</v>
      </c>
      <c r="K9636">
        <v>1.1205130000000001</v>
      </c>
      <c r="L9636">
        <v>41.845059999999997</v>
      </c>
      <c r="M9636">
        <v>-7.6137510000000002E-3</v>
      </c>
      <c r="N9636">
        <v>-8.8670889999999999E-3</v>
      </c>
      <c r="O9636">
        <v>0.99993169999999998</v>
      </c>
      <c r="P9636">
        <v>-2.72599E-2</v>
      </c>
      <c r="Q9636">
        <v>-4.7074959999999999E-2</v>
      </c>
      <c r="R9636">
        <v>0.9985193</v>
      </c>
      <c r="S9636">
        <v>1.9439700000000001E-2</v>
      </c>
      <c r="T9636">
        <v>4.7826889999999997E-2</v>
      </c>
      <c r="U9636">
        <v>3.0071720000000002</v>
      </c>
      <c r="V9636">
        <v>-1.9661830000000002E-2</v>
      </c>
      <c r="W9636">
        <v>-3.8214749999999999E-2</v>
      </c>
      <c r="X9636">
        <v>0.99907610000000002</v>
      </c>
      <c r="Y9636">
        <v>1.4076470000000001E-2</v>
      </c>
      <c r="Z9636">
        <v>2.4766179999999999E-2</v>
      </c>
      <c r="AA9636">
        <v>0.99959419999999999</v>
      </c>
      <c r="AB9636">
        <v>25</v>
      </c>
      <c r="AC9636">
        <v>2.2550999999999899</v>
      </c>
      <c r="AD9636">
        <v>5.543361</v>
      </c>
      <c r="AE9636">
        <v>348.273539999999</v>
      </c>
      <c r="AF9636">
        <v>4.9055641674373502</v>
      </c>
      <c r="AG9636">
        <v>5.543361</v>
      </c>
      <c r="AH9636">
        <v>348.15807505176502</v>
      </c>
      <c r="AI9636">
        <v>89.087906148246901</v>
      </c>
      <c r="AJ9636">
        <v>89.192753105046506</v>
      </c>
      <c r="AK9636">
        <v>348.23675658196601</v>
      </c>
      <c r="AL9636">
        <v>92.190077154596096</v>
      </c>
      <c r="AM9636">
        <v>91.127436111132397</v>
      </c>
      <c r="AN9636">
        <v>1.0000000041338599</v>
      </c>
    </row>
    <row r="9637" spans="1:40" x14ac:dyDescent="0.25">
      <c r="A9637" t="str">
        <f>"20190303154028511"</f>
        <v>20190303154028511</v>
      </c>
      <c r="B9637" t="str">
        <f>"1551598828507938"</f>
        <v>1551598828507938</v>
      </c>
      <c r="C9637" t="s">
        <v>40</v>
      </c>
      <c r="D9637">
        <v>4.2393539999999996</v>
      </c>
      <c r="E9637">
        <v>0.51260309999999998</v>
      </c>
      <c r="F9637" t="s">
        <v>92</v>
      </c>
      <c r="G9637">
        <v>-185.4342</v>
      </c>
      <c r="H9637">
        <v>6.4780689999999996</v>
      </c>
      <c r="I9637">
        <v>390.11860000000001</v>
      </c>
      <c r="J9637">
        <v>-187.45590000000001</v>
      </c>
      <c r="K9637">
        <v>1.1204780000000001</v>
      </c>
      <c r="L9637">
        <v>42.089390000000002</v>
      </c>
      <c r="M9637">
        <v>-7.5546379999999998E-3</v>
      </c>
      <c r="N9637">
        <v>-8.7231440000000004E-3</v>
      </c>
      <c r="O9637">
        <v>0.99993339999999997</v>
      </c>
      <c r="P9637">
        <v>-2.7856579999999999E-2</v>
      </c>
      <c r="Q9637">
        <v>-4.7253690000000001E-2</v>
      </c>
      <c r="R9637">
        <v>0.9984944</v>
      </c>
      <c r="S9637">
        <v>1.7440799999999999E-2</v>
      </c>
      <c r="T9637">
        <v>4.6258929999999997E-2</v>
      </c>
      <c r="U9637">
        <v>3.0071110000000001</v>
      </c>
      <c r="V9637">
        <v>-2.0318039999999999E-2</v>
      </c>
      <c r="W9637">
        <v>-3.8537389999999998E-2</v>
      </c>
      <c r="X9637">
        <v>0.99905060000000001</v>
      </c>
      <c r="Y9637">
        <v>1.335309E-2</v>
      </c>
      <c r="Z9637">
        <v>2.4101609999999999E-2</v>
      </c>
      <c r="AA9637">
        <v>0.99962030000000002</v>
      </c>
      <c r="AB9637">
        <v>25</v>
      </c>
      <c r="AC9637">
        <v>2.0217000000000098</v>
      </c>
      <c r="AD9637">
        <v>5.3575910000000002</v>
      </c>
      <c r="AE9637">
        <v>348.02920999999998</v>
      </c>
      <c r="AF9637">
        <v>4.64987519615112</v>
      </c>
      <c r="AG9637">
        <v>5.3575910000000002</v>
      </c>
      <c r="AH9637">
        <v>347.92155693701</v>
      </c>
      <c r="AI9637">
        <v>89.117859522107494</v>
      </c>
      <c r="AJ9637">
        <v>89.234303370341806</v>
      </c>
      <c r="AK9637">
        <v>347.99387193187198</v>
      </c>
      <c r="AL9637">
        <v>92.208576641145598</v>
      </c>
      <c r="AM9637">
        <v>91.165083611358099</v>
      </c>
      <c r="AN9637">
        <v>1.0000000272689</v>
      </c>
    </row>
    <row r="9638" spans="1:40" x14ac:dyDescent="0.25">
      <c r="A9638" t="str">
        <f>"20190303154028531"</f>
        <v>20190303154028531</v>
      </c>
      <c r="B9638" t="str">
        <f>"1551598828527457"</f>
        <v>1551598828527457</v>
      </c>
      <c r="C9638" t="s">
        <v>40</v>
      </c>
      <c r="D9638">
        <v>4.2236159999999998</v>
      </c>
      <c r="E9638">
        <v>0.5124708</v>
      </c>
      <c r="F9638" t="s">
        <v>92</v>
      </c>
      <c r="G9638">
        <v>-185.79060000000001</v>
      </c>
      <c r="H9638">
        <v>6.3083519999999904</v>
      </c>
      <c r="I9638">
        <v>390.11860000000001</v>
      </c>
      <c r="J9638">
        <v>-187.45769999999999</v>
      </c>
      <c r="K9638">
        <v>1.1204430000000001</v>
      </c>
      <c r="L9638">
        <v>42.327269999999999</v>
      </c>
      <c r="M9638">
        <v>-7.4971090000000001E-3</v>
      </c>
      <c r="N9638">
        <v>-8.5760449999999992E-3</v>
      </c>
      <c r="O9638">
        <v>0.99993509999999997</v>
      </c>
      <c r="P9638">
        <v>-2.8819640000000001E-2</v>
      </c>
      <c r="Q9638">
        <v>-4.7154790000000002E-2</v>
      </c>
      <c r="R9638">
        <v>0.99847169999999996</v>
      </c>
      <c r="S9638">
        <v>1.4389040000000001E-2</v>
      </c>
      <c r="T9638">
        <v>4.4824360000000001E-2</v>
      </c>
      <c r="U9638">
        <v>3.00705</v>
      </c>
      <c r="V9638">
        <v>-2.13384E-2</v>
      </c>
      <c r="W9638">
        <v>-3.858545E-2</v>
      </c>
      <c r="X9638">
        <v>0.99902740000000001</v>
      </c>
      <c r="Y9638">
        <v>1.2281230000000001E-2</v>
      </c>
      <c r="Z9638">
        <v>2.3478200000000001E-2</v>
      </c>
      <c r="AA9638">
        <v>0.99964889999999995</v>
      </c>
      <c r="AB9638">
        <v>25</v>
      </c>
      <c r="AC9638">
        <v>1.6670999999999701</v>
      </c>
      <c r="AD9638">
        <v>5.1879089999999897</v>
      </c>
      <c r="AE9638">
        <v>347.79132999999899</v>
      </c>
      <c r="AF9638">
        <v>4.2736277017261601</v>
      </c>
      <c r="AG9638">
        <v>5.1879089999999897</v>
      </c>
      <c r="AH9638">
        <v>347.69169347655202</v>
      </c>
      <c r="AI9638">
        <v>89.145217463443501</v>
      </c>
      <c r="AJ9638">
        <v>89.2957884669013</v>
      </c>
      <c r="AK9638">
        <v>347.756656307421</v>
      </c>
      <c r="AL9638">
        <v>92.2113324854745</v>
      </c>
      <c r="AM9638">
        <v>91.223604467564101</v>
      </c>
      <c r="AN9638">
        <v>0.99999995510851003</v>
      </c>
    </row>
    <row r="9639" spans="1:40" x14ac:dyDescent="0.25">
      <c r="A9639" t="str">
        <f>"20190303154028554"</f>
        <v>20190303154028554</v>
      </c>
      <c r="B9639" t="str">
        <f>"1551598828547953"</f>
        <v>1551598828547953</v>
      </c>
      <c r="C9639" t="s">
        <v>40</v>
      </c>
      <c r="D9639">
        <v>4.2443660000000003</v>
      </c>
      <c r="E9639">
        <v>0.51233640000000003</v>
      </c>
      <c r="F9639" t="s">
        <v>92</v>
      </c>
      <c r="G9639">
        <v>-186.25409999999999</v>
      </c>
      <c r="H9639">
        <v>6.2741829999999998</v>
      </c>
      <c r="I9639">
        <v>390.11860000000001</v>
      </c>
      <c r="J9639">
        <v>-187.45959999999999</v>
      </c>
      <c r="K9639">
        <v>1.120414</v>
      </c>
      <c r="L9639">
        <v>42.59299</v>
      </c>
      <c r="M9639">
        <v>-7.4329490000000003E-3</v>
      </c>
      <c r="N9639">
        <v>-8.4140220000000002E-3</v>
      </c>
      <c r="O9639">
        <v>0.99993699999999996</v>
      </c>
      <c r="P9639">
        <v>-2.971646E-2</v>
      </c>
      <c r="Q9639">
        <v>-4.7673880000000002E-2</v>
      </c>
      <c r="R9639">
        <v>0.9984208</v>
      </c>
      <c r="S9639">
        <v>1.0406489999999999E-2</v>
      </c>
      <c r="T9639">
        <v>4.4559000000000001E-2</v>
      </c>
      <c r="U9639">
        <v>3.0069889999999999</v>
      </c>
      <c r="V9639">
        <v>-2.230008E-2</v>
      </c>
      <c r="W9639">
        <v>-3.926661E-2</v>
      </c>
      <c r="X9639">
        <v>0.99897990000000003</v>
      </c>
      <c r="Y9639">
        <v>1.0893180000000001E-2</v>
      </c>
      <c r="Z9639">
        <v>2.322844E-2</v>
      </c>
      <c r="AA9639">
        <v>0.99967090000000003</v>
      </c>
      <c r="AB9639">
        <v>25</v>
      </c>
      <c r="AC9639">
        <v>1.2055</v>
      </c>
      <c r="AD9639">
        <v>5.1537689999999996</v>
      </c>
      <c r="AE9639">
        <v>347.52560999999997</v>
      </c>
      <c r="AF9639">
        <v>3.7878651718544001</v>
      </c>
      <c r="AG9639">
        <v>5.1537689999999996</v>
      </c>
      <c r="AH9639">
        <v>347.43064021898698</v>
      </c>
      <c r="AI9639">
        <v>89.150190059298197</v>
      </c>
      <c r="AJ9639">
        <v>89.375357080844097</v>
      </c>
      <c r="AK9639">
        <v>347.48950922357398</v>
      </c>
      <c r="AL9639">
        <v>92.2503895807981</v>
      </c>
      <c r="AM9639">
        <v>91.278792796587894</v>
      </c>
      <c r="AN9639">
        <v>1.00000000041645</v>
      </c>
    </row>
    <row r="9640" spans="1:40" x14ac:dyDescent="0.25">
      <c r="A9640" t="str">
        <f>"20190303154028576"</f>
        <v>20190303154028576</v>
      </c>
      <c r="B9640" t="str">
        <f>"1551598828567476"</f>
        <v>1551598828567476</v>
      </c>
      <c r="C9640" t="s">
        <v>40</v>
      </c>
      <c r="D9640">
        <v>4.2975979999999998</v>
      </c>
      <c r="E9640">
        <v>0.51220390000000005</v>
      </c>
      <c r="F9640" t="s">
        <v>92</v>
      </c>
      <c r="G9640">
        <v>-186.6996</v>
      </c>
      <c r="H9640">
        <v>6.0246870000000001</v>
      </c>
      <c r="I9640">
        <v>390.11860000000001</v>
      </c>
      <c r="J9640">
        <v>-187.4614</v>
      </c>
      <c r="K9640">
        <v>1.1203890000000001</v>
      </c>
      <c r="L9640">
        <v>42.84299</v>
      </c>
      <c r="M9640">
        <v>-7.3726850000000003E-3</v>
      </c>
      <c r="N9640">
        <v>-8.2706340000000007E-3</v>
      </c>
      <c r="O9640">
        <v>0.99993860000000001</v>
      </c>
      <c r="P9640">
        <v>-3.0620640000000001E-2</v>
      </c>
      <c r="Q9640">
        <v>-4.8018579999999998E-2</v>
      </c>
      <c r="R9640">
        <v>0.99837699999999996</v>
      </c>
      <c r="S9640">
        <v>6.5765379999999998E-3</v>
      </c>
      <c r="T9640">
        <v>4.2434100000000002E-2</v>
      </c>
      <c r="U9640">
        <v>3.006958</v>
      </c>
      <c r="V9640">
        <v>-2.3264710000000001E-2</v>
      </c>
      <c r="W9640">
        <v>-3.9754709999999999E-2</v>
      </c>
      <c r="X9640">
        <v>0.99893860000000001</v>
      </c>
      <c r="Y9640">
        <v>9.5596440000000008E-3</v>
      </c>
      <c r="Z9640">
        <v>2.2379039999999999E-2</v>
      </c>
      <c r="AA9640">
        <v>0.99970380000000003</v>
      </c>
      <c r="AB9640">
        <v>26</v>
      </c>
      <c r="AC9640">
        <v>0.76179999999999304</v>
      </c>
      <c r="AD9640">
        <v>4.9042979999999998</v>
      </c>
      <c r="AE9640">
        <v>347.27560999999997</v>
      </c>
      <c r="AF9640">
        <v>3.32155815660701</v>
      </c>
      <c r="AG9640">
        <v>4.9042979999999998</v>
      </c>
      <c r="AH9640">
        <v>347.19131181601199</v>
      </c>
      <c r="AI9640">
        <v>89.190751541298894</v>
      </c>
      <c r="AJ9640">
        <v>89.451871485663801</v>
      </c>
      <c r="AK9640">
        <v>347.24183487590301</v>
      </c>
      <c r="AL9640">
        <v>92.278377494690204</v>
      </c>
      <c r="AM9640">
        <v>91.334144834503704</v>
      </c>
      <c r="AN9640">
        <v>1.0000000051342599</v>
      </c>
    </row>
    <row r="9641" spans="1:40" x14ac:dyDescent="0.25">
      <c r="A9641" t="str">
        <f>"20190303154028599"</f>
        <v>20190303154028599</v>
      </c>
      <c r="B9641" t="str">
        <f>"1551598828587969"</f>
        <v>1551598828587969</v>
      </c>
      <c r="C9641" t="s">
        <v>40</v>
      </c>
      <c r="D9641">
        <v>4.3337180000000002</v>
      </c>
      <c r="E9641">
        <v>0.51208719999999996</v>
      </c>
      <c r="F9641" t="s">
        <v>92</v>
      </c>
      <c r="G9641">
        <v>-187.1249</v>
      </c>
      <c r="H9641">
        <v>5.8524690000000001</v>
      </c>
      <c r="I9641">
        <v>391.87</v>
      </c>
      <c r="J9641">
        <v>-187.4633</v>
      </c>
      <c r="K9641">
        <v>1.120368</v>
      </c>
      <c r="L9641">
        <v>43.104059999999997</v>
      </c>
      <c r="M9641">
        <v>-7.3098429999999999E-3</v>
      </c>
      <c r="N9641">
        <v>-8.1346209999999999E-3</v>
      </c>
      <c r="O9641">
        <v>0.99994019999999995</v>
      </c>
      <c r="P9641">
        <v>-3.0646329999999999E-2</v>
      </c>
      <c r="Q9641">
        <v>-4.8164829999999999E-2</v>
      </c>
      <c r="R9641">
        <v>0.99836919999999996</v>
      </c>
      <c r="S9641">
        <v>2.89917E-3</v>
      </c>
      <c r="T9641">
        <v>4.0767669999999999E-2</v>
      </c>
      <c r="U9641">
        <v>3.0069270000000001</v>
      </c>
      <c r="V9641">
        <v>-2.3353039999999999E-2</v>
      </c>
      <c r="W9641">
        <v>-4.0036879999999997E-2</v>
      </c>
      <c r="X9641">
        <v>0.99892530000000002</v>
      </c>
      <c r="Y9641">
        <v>8.2741749999999999E-3</v>
      </c>
      <c r="Z9641">
        <v>2.168935E-2</v>
      </c>
      <c r="AA9641">
        <v>0.99973049999999997</v>
      </c>
      <c r="AB9641">
        <v>26</v>
      </c>
      <c r="AC9641">
        <v>0.33840000000000697</v>
      </c>
      <c r="AD9641">
        <v>4.7321010000000001</v>
      </c>
      <c r="AE9641">
        <v>348.76594</v>
      </c>
      <c r="AF9641">
        <v>2.8873680189795898</v>
      </c>
      <c r="AG9641">
        <v>4.7321010000000001</v>
      </c>
      <c r="AH9641">
        <v>348.68995587614398</v>
      </c>
      <c r="AI9641">
        <v>89.222508493642707</v>
      </c>
      <c r="AJ9641">
        <v>89.525566430685501</v>
      </c>
      <c r="AK9641">
        <v>348.73401755902597</v>
      </c>
      <c r="AL9641">
        <v>92.294557456603101</v>
      </c>
      <c r="AM9641">
        <v>91.339226215332502</v>
      </c>
      <c r="AN9641">
        <v>1.00000003560873</v>
      </c>
    </row>
    <row r="9642" spans="1:40" x14ac:dyDescent="0.25">
      <c r="A9642" t="str">
        <f>"20190303154028621"</f>
        <v>20190303154028621</v>
      </c>
      <c r="B9642" t="str">
        <f>"1551598828617249"</f>
        <v>1551598828617249</v>
      </c>
      <c r="C9642" t="s">
        <v>40</v>
      </c>
      <c r="D9642">
        <v>4.3365859999999996</v>
      </c>
      <c r="E9642">
        <v>0.5119165</v>
      </c>
      <c r="F9642" t="s">
        <v>92</v>
      </c>
      <c r="G9642">
        <v>-187.23849999999999</v>
      </c>
      <c r="H9642">
        <v>5.7282250000000001</v>
      </c>
      <c r="I9642">
        <v>391.87</v>
      </c>
      <c r="J9642">
        <v>-187.46510000000001</v>
      </c>
      <c r="K9642">
        <v>1.120358</v>
      </c>
      <c r="L9642">
        <v>43.356810000000003</v>
      </c>
      <c r="M9642">
        <v>-7.2489149999999999E-3</v>
      </c>
      <c r="N9642">
        <v>-8.0176729999999995E-3</v>
      </c>
      <c r="O9642">
        <v>0.99994159999999999</v>
      </c>
      <c r="P9642">
        <v>-3.0957100000000001E-2</v>
      </c>
      <c r="Q9642">
        <v>-4.8272830000000003E-2</v>
      </c>
      <c r="R9642">
        <v>0.99835430000000003</v>
      </c>
      <c r="S9642">
        <v>1.9378659999999999E-3</v>
      </c>
      <c r="T9642">
        <v>3.9726379999999999E-2</v>
      </c>
      <c r="U9642">
        <v>3.006866</v>
      </c>
      <c r="V9642">
        <v>-2.3724829999999999E-2</v>
      </c>
      <c r="W9642">
        <v>-4.0261739999999997E-2</v>
      </c>
      <c r="X9642">
        <v>0.9989074</v>
      </c>
      <c r="Y9642">
        <v>7.8936319999999994E-3</v>
      </c>
      <c r="Z9642">
        <v>2.1226579999999998E-2</v>
      </c>
      <c r="AA9642">
        <v>0.99974350000000001</v>
      </c>
      <c r="AB9642">
        <v>26</v>
      </c>
      <c r="AC9642">
        <v>0.22660000000001901</v>
      </c>
      <c r="AD9642">
        <v>4.6078669999999997</v>
      </c>
      <c r="AE9642">
        <v>348.51319000000001</v>
      </c>
      <c r="AF9642">
        <v>2.7525365337715799</v>
      </c>
      <c r="AG9642">
        <v>4.6078669999999997</v>
      </c>
      <c r="AH9642">
        <v>348.44147966307099</v>
      </c>
      <c r="AI9642">
        <v>89.242375770867199</v>
      </c>
      <c r="AJ9642">
        <v>89.547397611475205</v>
      </c>
      <c r="AK9642">
        <v>348.48281685823503</v>
      </c>
      <c r="AL9642">
        <v>92.3074516150173</v>
      </c>
      <c r="AM9642">
        <v>91.360563667359799</v>
      </c>
      <c r="AN9642">
        <v>0.99999993452055602</v>
      </c>
    </row>
    <row r="9643" spans="1:40" x14ac:dyDescent="0.25">
      <c r="A9643" t="str">
        <f>"20190303154028642"</f>
        <v>20190303154028642</v>
      </c>
      <c r="B9643" t="str">
        <f>"1551598828637745"</f>
        <v>1551598828637745</v>
      </c>
      <c r="C9643" t="s">
        <v>40</v>
      </c>
      <c r="D9643">
        <v>4.3102140000000002</v>
      </c>
      <c r="E9643">
        <v>0.51181350000000003</v>
      </c>
      <c r="F9643" t="s">
        <v>92</v>
      </c>
      <c r="G9643">
        <v>-187.5128</v>
      </c>
      <c r="H9643">
        <v>5.5909139999999997</v>
      </c>
      <c r="I9643">
        <v>391.87</v>
      </c>
      <c r="J9643">
        <v>-187.46680000000001</v>
      </c>
      <c r="K9643">
        <v>1.1203430000000001</v>
      </c>
      <c r="L9643">
        <v>43.607999999999997</v>
      </c>
      <c r="M9643">
        <v>-7.18843E-3</v>
      </c>
      <c r="N9643">
        <v>-7.9159590000000002E-3</v>
      </c>
      <c r="O9643">
        <v>0.99994280000000002</v>
      </c>
      <c r="P9643">
        <v>-3.080658E-2</v>
      </c>
      <c r="Q9643">
        <v>-4.8738589999999998E-2</v>
      </c>
      <c r="R9643">
        <v>0.99833640000000001</v>
      </c>
      <c r="S9643">
        <v>-4.1198729999999999E-4</v>
      </c>
      <c r="T9643">
        <v>3.8569810000000003E-2</v>
      </c>
      <c r="U9643">
        <v>3.0068049999999999</v>
      </c>
      <c r="V9643">
        <v>-2.3634740000000001E-2</v>
      </c>
      <c r="W9643">
        <v>-4.0829259999999999E-2</v>
      </c>
      <c r="X9643">
        <v>0.99888659999999996</v>
      </c>
      <c r="Y9643">
        <v>7.0518069999999898E-3</v>
      </c>
      <c r="Z9643">
        <v>2.0740700000000001E-2</v>
      </c>
      <c r="AA9643">
        <v>0.99975999999999998</v>
      </c>
      <c r="AB9643">
        <v>26</v>
      </c>
      <c r="AC9643">
        <v>-4.59999999999922E-2</v>
      </c>
      <c r="AD9643">
        <v>4.4705709999999996</v>
      </c>
      <c r="AE9643">
        <v>348.26199999999898</v>
      </c>
      <c r="AF9643">
        <v>2.45713181849638</v>
      </c>
      <c r="AG9643">
        <v>4.4705709999999996</v>
      </c>
      <c r="AH9643">
        <v>348.19595507561098</v>
      </c>
      <c r="AI9643">
        <v>89.264424538183107</v>
      </c>
      <c r="AJ9643">
        <v>89.595684717098806</v>
      </c>
      <c r="AK9643">
        <v>348.23332211730798</v>
      </c>
      <c r="AL9643">
        <v>92.339994644768794</v>
      </c>
      <c r="AM9643">
        <v>91.355427360110198</v>
      </c>
      <c r="AN9643">
        <v>1.00000003453328</v>
      </c>
    </row>
    <row r="9644" spans="1:40" x14ac:dyDescent="0.25">
      <c r="A9644" t="str">
        <f>"20190303154028666"</f>
        <v>20190303154028666</v>
      </c>
      <c r="B9644" t="str">
        <f>"1551598828657265"</f>
        <v>1551598828657265</v>
      </c>
      <c r="C9644" t="s">
        <v>40</v>
      </c>
      <c r="D9644">
        <v>4.296367</v>
      </c>
      <c r="E9644">
        <v>0.51169900000000001</v>
      </c>
      <c r="F9644" t="s">
        <v>92</v>
      </c>
      <c r="G9644">
        <v>-187.57640000000001</v>
      </c>
      <c r="H9644">
        <v>5.3795080000000004</v>
      </c>
      <c r="I9644">
        <v>391.87</v>
      </c>
      <c r="J9644">
        <v>-187.46870000000001</v>
      </c>
      <c r="K9644">
        <v>1.1203320000000001</v>
      </c>
      <c r="L9644">
        <v>43.875309999999999</v>
      </c>
      <c r="M9644">
        <v>-7.1241919999999997E-3</v>
      </c>
      <c r="N9644">
        <v>-7.829796E-3</v>
      </c>
      <c r="O9644">
        <v>0.99994400000000006</v>
      </c>
      <c r="P9644">
        <v>-3.1591139999999997E-2</v>
      </c>
      <c r="Q9644">
        <v>-4.8458479999999998E-2</v>
      </c>
      <c r="R9644">
        <v>0.99832549999999998</v>
      </c>
      <c r="S9644">
        <v>-9.4604490000000003E-4</v>
      </c>
      <c r="T9644">
        <v>3.6771770000000002E-2</v>
      </c>
      <c r="U9644">
        <v>3.0067439999999999</v>
      </c>
      <c r="V9644">
        <v>-2.4483700000000001E-2</v>
      </c>
      <c r="W9644">
        <v>-4.063514E-2</v>
      </c>
      <c r="X9644">
        <v>0.99887400000000004</v>
      </c>
      <c r="Y9644">
        <v>6.8099579999999996E-3</v>
      </c>
      <c r="Z9644">
        <v>2.005707E-2</v>
      </c>
      <c r="AA9644">
        <v>0.99977559999999999</v>
      </c>
      <c r="AB9644">
        <v>26</v>
      </c>
      <c r="AC9644">
        <v>-0.10769999999999399</v>
      </c>
      <c r="AD9644">
        <v>4.2591760000000001</v>
      </c>
      <c r="AE9644">
        <v>347.99468999999999</v>
      </c>
      <c r="AF9644">
        <v>2.3712044376861399</v>
      </c>
      <c r="AG9644">
        <v>4.2591760000000001</v>
      </c>
      <c r="AH9644">
        <v>347.934505686401</v>
      </c>
      <c r="AI9644">
        <v>89.298675610982599</v>
      </c>
      <c r="AJ9644">
        <v>89.609530238819303</v>
      </c>
      <c r="AK9644">
        <v>347.96865295299898</v>
      </c>
      <c r="AL9644">
        <v>92.328863307695499</v>
      </c>
      <c r="AM9644">
        <v>91.404112870784502</v>
      </c>
      <c r="AN9644">
        <v>0.99999996702225402</v>
      </c>
    </row>
    <row r="9645" spans="1:40" x14ac:dyDescent="0.25">
      <c r="A9645" t="str">
        <f>"20190303154028690"</f>
        <v>20190303154028690</v>
      </c>
      <c r="B9645" t="str">
        <f>"1551598828677761"</f>
        <v>1551598828677761</v>
      </c>
      <c r="C9645" t="s">
        <v>40</v>
      </c>
      <c r="D9645">
        <v>4.3027170000000003</v>
      </c>
      <c r="E9645">
        <v>0.51160099999999997</v>
      </c>
      <c r="F9645" t="s">
        <v>92</v>
      </c>
      <c r="G9645">
        <v>-187.9102</v>
      </c>
      <c r="H9645">
        <v>5.3922470000000002</v>
      </c>
      <c r="I9645">
        <v>391.87</v>
      </c>
      <c r="J9645">
        <v>-187.47059999999999</v>
      </c>
      <c r="K9645">
        <v>1.120331</v>
      </c>
      <c r="L9645">
        <v>44.15137</v>
      </c>
      <c r="M9645">
        <v>-7.0579609999999997E-3</v>
      </c>
      <c r="N9645">
        <v>-7.7751269999999997E-3</v>
      </c>
      <c r="O9645">
        <v>0.99994490000000003</v>
      </c>
      <c r="P9645">
        <v>-3.1723849999999998E-2</v>
      </c>
      <c r="Q9645">
        <v>-4.8356719999999999E-2</v>
      </c>
      <c r="R9645">
        <v>0.99832619999999905</v>
      </c>
      <c r="S9645">
        <v>-3.8146970000000001E-3</v>
      </c>
      <c r="T9645">
        <v>3.6909820000000003E-2</v>
      </c>
      <c r="U9645">
        <v>3.0067140000000001</v>
      </c>
      <c r="V9645">
        <v>-2.4682849999999999E-2</v>
      </c>
      <c r="W9645">
        <v>-4.0587940000000003E-2</v>
      </c>
      <c r="X9645">
        <v>0.99887099999999995</v>
      </c>
      <c r="Y9645">
        <v>5.7898309999999996E-3</v>
      </c>
      <c r="Z9645">
        <v>2.0048449999999999E-2</v>
      </c>
      <c r="AA9645">
        <v>0.99978230000000001</v>
      </c>
      <c r="AB9645">
        <v>26</v>
      </c>
      <c r="AC9645">
        <v>-0.43960000000001198</v>
      </c>
      <c r="AD9645">
        <v>4.271916</v>
      </c>
      <c r="AE9645">
        <v>347.718629999999</v>
      </c>
      <c r="AF9645">
        <v>2.0143655399845999</v>
      </c>
      <c r="AG9645">
        <v>4.271916</v>
      </c>
      <c r="AH9645">
        <v>347.66059736150697</v>
      </c>
      <c r="AI9645">
        <v>89.296019353550705</v>
      </c>
      <c r="AJ9645">
        <v>89.668028665867496</v>
      </c>
      <c r="AK9645">
        <v>347.69267736407699</v>
      </c>
      <c r="AL9645">
        <v>92.326156755152198</v>
      </c>
      <c r="AM9645">
        <v>91.4155335226273</v>
      </c>
      <c r="AN9645">
        <v>0.99999994929928104</v>
      </c>
    </row>
    <row r="9646" spans="1:40" x14ac:dyDescent="0.25">
      <c r="A9646" t="str">
        <f>"20190303154028712"</f>
        <v>20190303154028712</v>
      </c>
      <c r="B9646" t="str">
        <f>"1551598828708017"</f>
        <v>1551598828708017</v>
      </c>
      <c r="C9646" t="s">
        <v>40</v>
      </c>
      <c r="D9646">
        <v>4.2850000000000001</v>
      </c>
      <c r="E9646">
        <v>0.51150169999999995</v>
      </c>
      <c r="F9646" t="s">
        <v>92</v>
      </c>
      <c r="G9646">
        <v>-188.07409999999999</v>
      </c>
      <c r="H9646">
        <v>5.3796650000000001</v>
      </c>
      <c r="I9646">
        <v>391.87</v>
      </c>
      <c r="J9646">
        <v>-187.47239999999999</v>
      </c>
      <c r="K9646">
        <v>1.1203350000000001</v>
      </c>
      <c r="L9646">
        <v>44.419919999999998</v>
      </c>
      <c r="M9646">
        <v>-6.9938960000000003E-3</v>
      </c>
      <c r="N9646">
        <v>-7.7718709999999996E-3</v>
      </c>
      <c r="O9646">
        <v>0.99994530000000004</v>
      </c>
      <c r="P9646">
        <v>-3.180848E-2</v>
      </c>
      <c r="Q9646">
        <v>-4.8465099999999997E-2</v>
      </c>
      <c r="R9646">
        <v>0.99831829999999999</v>
      </c>
      <c r="S9646">
        <v>-5.2185060000000004E-3</v>
      </c>
      <c r="T9646">
        <v>3.6829590000000002E-2</v>
      </c>
      <c r="U9646">
        <v>3.006653</v>
      </c>
      <c r="V9646">
        <v>-2.4831809999999999E-2</v>
      </c>
      <c r="W9646">
        <v>-4.0699590000000001E-2</v>
      </c>
      <c r="X9646">
        <v>0.99886280000000005</v>
      </c>
      <c r="Y9646">
        <v>5.2589300000000002E-3</v>
      </c>
      <c r="Z9646">
        <v>2.001878E-2</v>
      </c>
      <c r="AA9646">
        <v>0.99978579999999995</v>
      </c>
      <c r="AB9646">
        <v>26</v>
      </c>
      <c r="AC9646">
        <v>-0.60169999999999302</v>
      </c>
      <c r="AD9646">
        <v>4.2593300000000003</v>
      </c>
      <c r="AE9646">
        <v>347.45007999999899</v>
      </c>
      <c r="AF9646">
        <v>1.8281432017542001</v>
      </c>
      <c r="AG9646">
        <v>4.2593300000000003</v>
      </c>
      <c r="AH9646">
        <v>347.39358431121701</v>
      </c>
      <c r="AI9646">
        <v>89.2975517184518</v>
      </c>
      <c r="AJ9646">
        <v>89.698486305915793</v>
      </c>
      <c r="AK9646">
        <v>347.42450463404299</v>
      </c>
      <c r="AL9646">
        <v>92.332559037801005</v>
      </c>
      <c r="AM9646">
        <v>91.424084388742799</v>
      </c>
      <c r="AN9646">
        <v>0.99999998431894199</v>
      </c>
    </row>
    <row r="9647" spans="1:40" x14ac:dyDescent="0.25">
      <c r="A9647" t="str">
        <f>"20190303154028732"</f>
        <v>20190303154028732</v>
      </c>
      <c r="B9647" t="str">
        <f>"1551598828727538"</f>
        <v>1551598828727538</v>
      </c>
      <c r="C9647" t="s">
        <v>40</v>
      </c>
      <c r="D9647">
        <v>4.2552709999999996</v>
      </c>
      <c r="E9647">
        <v>0.51145030000000002</v>
      </c>
      <c r="F9647" t="s">
        <v>92</v>
      </c>
      <c r="G9647">
        <v>-188.20949999999999</v>
      </c>
      <c r="H9647">
        <v>5.3054079999999999</v>
      </c>
      <c r="I9647">
        <v>391.87</v>
      </c>
      <c r="J9647">
        <v>-187.47399999999999</v>
      </c>
      <c r="K9647">
        <v>1.120344</v>
      </c>
      <c r="L9647">
        <v>44.652529999999999</v>
      </c>
      <c r="M9647">
        <v>-6.9382380000000002E-3</v>
      </c>
      <c r="N9647">
        <v>-7.7998709999999999E-3</v>
      </c>
      <c r="O9647">
        <v>0.99994550000000004</v>
      </c>
      <c r="P9647">
        <v>-3.1803360000000003E-2</v>
      </c>
      <c r="Q9647">
        <v>-4.9313919999999997E-2</v>
      </c>
      <c r="R9647">
        <v>0.99827679999999996</v>
      </c>
      <c r="S9647">
        <v>-6.3781740000000003E-3</v>
      </c>
      <c r="T9647">
        <v>3.6215070000000002E-2</v>
      </c>
      <c r="U9647">
        <v>3.0066220000000001</v>
      </c>
      <c r="V9647">
        <v>-2.4882410000000001E-2</v>
      </c>
      <c r="W9647">
        <v>-4.1520719999999997E-2</v>
      </c>
      <c r="X9647">
        <v>0.99882780000000004</v>
      </c>
      <c r="Y9647">
        <v>4.8176119999999998E-3</v>
      </c>
      <c r="Z9647">
        <v>1.984259E-2</v>
      </c>
      <c r="AA9647">
        <v>0.99979150000000006</v>
      </c>
      <c r="AB9647">
        <v>26</v>
      </c>
      <c r="AC9647">
        <v>-0.73549999999997295</v>
      </c>
      <c r="AD9647">
        <v>4.1850639999999997</v>
      </c>
      <c r="AE9647">
        <v>347.21746999999999</v>
      </c>
      <c r="AF9647">
        <v>1.6734253466236699</v>
      </c>
      <c r="AG9647">
        <v>4.1850639999999997</v>
      </c>
      <c r="AH9647">
        <v>347.16378006890199</v>
      </c>
      <c r="AI9647">
        <v>89.309340091994997</v>
      </c>
      <c r="AJ9647">
        <v>89.723820650043507</v>
      </c>
      <c r="AK9647">
        <v>347.193037523513</v>
      </c>
      <c r="AL9647">
        <v>92.379645998902106</v>
      </c>
      <c r="AM9647">
        <v>91.427035041947903</v>
      </c>
      <c r="AN9647">
        <v>1.0000000392847801</v>
      </c>
    </row>
    <row r="9648" spans="1:40" x14ac:dyDescent="0.25">
      <c r="A9648" t="str">
        <f>"20190303154028755"</f>
        <v>20190303154028755</v>
      </c>
      <c r="B9648" t="str">
        <f>"1551598828748034"</f>
        <v>1551598828748034</v>
      </c>
      <c r="C9648" t="s">
        <v>40</v>
      </c>
      <c r="D9648">
        <v>4.2460899999999997</v>
      </c>
      <c r="E9648">
        <v>0.51140299999999905</v>
      </c>
      <c r="F9648" t="s">
        <v>92</v>
      </c>
      <c r="G9648">
        <v>-188.2388</v>
      </c>
      <c r="H9648">
        <v>4.9930830000000004</v>
      </c>
      <c r="I9648">
        <v>391.87</v>
      </c>
      <c r="J9648">
        <v>-187.47579999999999</v>
      </c>
      <c r="K9648">
        <v>1.1203650000000001</v>
      </c>
      <c r="L9648">
        <v>44.927370000000003</v>
      </c>
      <c r="M9648">
        <v>-6.8723300000000003E-3</v>
      </c>
      <c r="N9648">
        <v>-7.8935369999999904E-3</v>
      </c>
      <c r="O9648">
        <v>0.99994519999999998</v>
      </c>
      <c r="P9648">
        <v>-3.1730420000000002E-2</v>
      </c>
      <c r="Q9648">
        <v>-4.9854509999999998E-2</v>
      </c>
      <c r="R9648">
        <v>0.99825229999999998</v>
      </c>
      <c r="S9648">
        <v>-6.6223139999999998E-3</v>
      </c>
      <c r="T9648">
        <v>3.3534769999999998E-2</v>
      </c>
      <c r="U9648">
        <v>3.0066220000000001</v>
      </c>
      <c r="V9648">
        <v>-2.4875749999999999E-2</v>
      </c>
      <c r="W9648">
        <v>-4.1967930000000001E-2</v>
      </c>
      <c r="X9648">
        <v>0.99880919999999895</v>
      </c>
      <c r="Y9648">
        <v>4.670469E-3</v>
      </c>
      <c r="Z9648">
        <v>1.9045110000000001E-2</v>
      </c>
      <c r="AA9648">
        <v>0.99980769999999997</v>
      </c>
      <c r="AB9648">
        <v>26</v>
      </c>
      <c r="AC9648">
        <v>-0.76300000000000501</v>
      </c>
      <c r="AD9648">
        <v>3.8727179999999999</v>
      </c>
      <c r="AE9648">
        <v>346.94263000000001</v>
      </c>
      <c r="AF9648">
        <v>1.62119462019512</v>
      </c>
      <c r="AG9648">
        <v>3.8727179999999999</v>
      </c>
      <c r="AH9648">
        <v>346.89645735313798</v>
      </c>
      <c r="AI9648">
        <v>89.360389097201306</v>
      </c>
      <c r="AJ9648">
        <v>89.732234413766093</v>
      </c>
      <c r="AK9648">
        <v>346.92186201054199</v>
      </c>
      <c r="AL9648">
        <v>92.405291779351799</v>
      </c>
      <c r="AM9648">
        <v>91.426679797516101</v>
      </c>
      <c r="AN9648">
        <v>0.99999996404559299</v>
      </c>
    </row>
    <row r="9649" spans="1:40" x14ac:dyDescent="0.25">
      <c r="A9649" t="str">
        <f>"20190303154028777"</f>
        <v>20190303154028777</v>
      </c>
      <c r="B9649" t="str">
        <f>"1551598828767553"</f>
        <v>1551598828767553</v>
      </c>
      <c r="C9649" t="s">
        <v>40</v>
      </c>
      <c r="D9649">
        <v>4.2517870000000002</v>
      </c>
      <c r="E9649">
        <v>0.51136170000000003</v>
      </c>
      <c r="F9649" t="s">
        <v>92</v>
      </c>
      <c r="G9649">
        <v>-188.26990000000001</v>
      </c>
      <c r="H9649">
        <v>4.7935220000000003</v>
      </c>
      <c r="I9649">
        <v>391.87</v>
      </c>
      <c r="J9649">
        <v>-187.47749999999999</v>
      </c>
      <c r="K9649">
        <v>1.1204099999999999</v>
      </c>
      <c r="L9649">
        <v>45.18533</v>
      </c>
      <c r="M9649">
        <v>-6.810539E-3</v>
      </c>
      <c r="N9649">
        <v>-8.0766569999999992E-3</v>
      </c>
      <c r="O9649">
        <v>0.99994419999999995</v>
      </c>
      <c r="P9649">
        <v>-3.219466E-2</v>
      </c>
      <c r="Q9649">
        <v>-5.053614E-2</v>
      </c>
      <c r="R9649">
        <v>0.99820319999999996</v>
      </c>
      <c r="S9649">
        <v>-6.8817139999999997E-3</v>
      </c>
      <c r="T9649">
        <v>3.1831739999999997E-2</v>
      </c>
      <c r="U9649">
        <v>3.0066220000000001</v>
      </c>
      <c r="V9649">
        <v>-2.5401489999999999E-2</v>
      </c>
      <c r="W9649">
        <v>-4.2466919999999998E-2</v>
      </c>
      <c r="X9649">
        <v>0.99877490000000002</v>
      </c>
      <c r="Y9649">
        <v>4.5223959999999997E-3</v>
      </c>
      <c r="Z9649">
        <v>1.8661980000000002E-2</v>
      </c>
      <c r="AA9649">
        <v>0.99981560000000003</v>
      </c>
      <c r="AB9649">
        <v>26</v>
      </c>
      <c r="AC9649">
        <v>-0.79240000000001398</v>
      </c>
      <c r="AD9649">
        <v>3.6731120000000002</v>
      </c>
      <c r="AE9649">
        <v>346.68466999999998</v>
      </c>
      <c r="AF9649">
        <v>1.5686287532616501</v>
      </c>
      <c r="AG9649">
        <v>3.6731120000000002</v>
      </c>
      <c r="AH9649">
        <v>346.643114389787</v>
      </c>
      <c r="AI9649">
        <v>89.392909375740501</v>
      </c>
      <c r="AJ9649">
        <v>89.740727018692695</v>
      </c>
      <c r="AK9649">
        <v>346.66612338355299</v>
      </c>
      <c r="AL9649">
        <v>92.433907255797394</v>
      </c>
      <c r="AM9649">
        <v>91.456869309323906</v>
      </c>
      <c r="AN9649">
        <v>0.99999998792925804</v>
      </c>
    </row>
    <row r="9650" spans="1:40" x14ac:dyDescent="0.25">
      <c r="A9650" t="str">
        <f>"20190303154028799"</f>
        <v>20190303154028799</v>
      </c>
      <c r="B9650" t="str">
        <f>"1551598828788049"</f>
        <v>1551598828788049</v>
      </c>
      <c r="C9650" t="s">
        <v>40</v>
      </c>
      <c r="D9650">
        <v>4.2306900000000001</v>
      </c>
      <c r="E9650">
        <v>0.51131899999999997</v>
      </c>
      <c r="F9650" t="s">
        <v>92</v>
      </c>
      <c r="G9650">
        <v>-188.48220000000001</v>
      </c>
      <c r="H9650">
        <v>4.5636219999999996</v>
      </c>
      <c r="I9650">
        <v>391.87</v>
      </c>
      <c r="J9650">
        <v>-187.47919999999999</v>
      </c>
      <c r="K9650">
        <v>1.120479</v>
      </c>
      <c r="L9650">
        <v>45.443080000000002</v>
      </c>
      <c r="M9650">
        <v>-6.7492480000000002E-3</v>
      </c>
      <c r="N9650">
        <v>-8.3961239999999996E-3</v>
      </c>
      <c r="O9650">
        <v>0.99994190000000005</v>
      </c>
      <c r="P9650">
        <v>-3.2840849999999998E-2</v>
      </c>
      <c r="Q9650">
        <v>-5.0766869999999999E-2</v>
      </c>
      <c r="R9650">
        <v>0.99817040000000001</v>
      </c>
      <c r="S9650">
        <v>-8.7127690000000004E-3</v>
      </c>
      <c r="T9650">
        <v>2.9861209999999999E-2</v>
      </c>
      <c r="U9650">
        <v>3.0066220000000001</v>
      </c>
      <c r="V9650">
        <v>-2.6109299999999998E-2</v>
      </c>
      <c r="W9650">
        <v>-4.237867E-2</v>
      </c>
      <c r="X9650">
        <v>0.99876039999999999</v>
      </c>
      <c r="Y9650">
        <v>3.8521879999999999E-3</v>
      </c>
      <c r="Z9650">
        <v>1.8326209999999999E-2</v>
      </c>
      <c r="AA9650">
        <v>0.99982459999999995</v>
      </c>
      <c r="AB9650">
        <v>26</v>
      </c>
      <c r="AC9650">
        <v>-1.0030000000000101</v>
      </c>
      <c r="AD9650">
        <v>3.4431430000000001</v>
      </c>
      <c r="AE9650">
        <v>346.42692</v>
      </c>
      <c r="AF9650">
        <v>1.3350947501791499</v>
      </c>
      <c r="AG9650">
        <v>3.4431430000000001</v>
      </c>
      <c r="AH9650">
        <v>346.39158112905898</v>
      </c>
      <c r="AI9650">
        <v>89.430501170257898</v>
      </c>
      <c r="AJ9650">
        <v>89.779166354460799</v>
      </c>
      <c r="AK9650">
        <v>346.41126596691299</v>
      </c>
      <c r="AL9650">
        <v>92.428846337418094</v>
      </c>
      <c r="AM9650">
        <v>91.497468325020193</v>
      </c>
      <c r="AN9650">
        <v>0.99999999191280897</v>
      </c>
    </row>
    <row r="9651" spans="1:40" x14ac:dyDescent="0.25">
      <c r="A9651" t="str">
        <f>"20190303154028824"</f>
        <v>20190303154028824</v>
      </c>
      <c r="B9651" t="str">
        <f>"1551598828817329"</f>
        <v>1551598828817329</v>
      </c>
      <c r="C9651" t="s">
        <v>40</v>
      </c>
      <c r="D9651">
        <v>4.2202099999999998</v>
      </c>
      <c r="E9651">
        <v>0.51126559999999999</v>
      </c>
      <c r="F9651" t="s">
        <v>92</v>
      </c>
      <c r="G9651">
        <v>-188.7398</v>
      </c>
      <c r="H9651">
        <v>4.4946489999999999</v>
      </c>
      <c r="I9651">
        <v>391.87</v>
      </c>
      <c r="J9651">
        <v>-187.48099999999999</v>
      </c>
      <c r="K9651">
        <v>1.120592</v>
      </c>
      <c r="L9651">
        <v>45.725769999999997</v>
      </c>
      <c r="M9651">
        <v>-6.6829400000000001E-3</v>
      </c>
      <c r="N9651">
        <v>-8.9153280000000001E-3</v>
      </c>
      <c r="O9651">
        <v>0.99993799999999999</v>
      </c>
      <c r="P9651">
        <v>-3.3492830000000001E-2</v>
      </c>
      <c r="Q9651">
        <v>-5.1677830000000001E-2</v>
      </c>
      <c r="R9651">
        <v>0.99810200000000004</v>
      </c>
      <c r="S9651">
        <v>-1.094055E-2</v>
      </c>
      <c r="T9651">
        <v>2.928424E-2</v>
      </c>
      <c r="U9651">
        <v>3.0066220000000001</v>
      </c>
      <c r="V9651">
        <v>-2.682797E-2</v>
      </c>
      <c r="W9651">
        <v>-4.2771469999999999E-2</v>
      </c>
      <c r="X9651">
        <v>0.99872459999999996</v>
      </c>
      <c r="Y9651">
        <v>3.045093E-3</v>
      </c>
      <c r="Z9651">
        <v>1.865348E-2</v>
      </c>
      <c r="AA9651">
        <v>0.99982139999999997</v>
      </c>
      <c r="AB9651">
        <v>26</v>
      </c>
      <c r="AC9651">
        <v>-1.2587999999999999</v>
      </c>
      <c r="AD9651">
        <v>3.3740570000000001</v>
      </c>
      <c r="AE9651">
        <v>346.14422999999999</v>
      </c>
      <c r="AF9651">
        <v>1.0544808093628699</v>
      </c>
      <c r="AG9651">
        <v>3.3740570000000001</v>
      </c>
      <c r="AH9651">
        <v>346.11202714329102</v>
      </c>
      <c r="AI9651">
        <v>89.4414750423051</v>
      </c>
      <c r="AJ9651">
        <v>89.825440584883495</v>
      </c>
      <c r="AK9651">
        <v>346.13007890626102</v>
      </c>
      <c r="AL9651">
        <v>92.451372567875893</v>
      </c>
      <c r="AM9651">
        <v>91.538722380095095</v>
      </c>
      <c r="AN9651">
        <v>0.99999998263272005</v>
      </c>
    </row>
    <row r="9652" spans="1:40" x14ac:dyDescent="0.25">
      <c r="A9652" t="str">
        <f>"20190303154028844"</f>
        <v>20190303154028844</v>
      </c>
      <c r="B9652" t="str">
        <f>"1551598828837827"</f>
        <v>1551598828837827</v>
      </c>
      <c r="C9652" t="s">
        <v>40</v>
      </c>
      <c r="D9652">
        <v>4.2088989999999997</v>
      </c>
      <c r="E9652">
        <v>0.51122709999999905</v>
      </c>
      <c r="F9652" t="s">
        <v>92</v>
      </c>
      <c r="G9652">
        <v>-189.0146</v>
      </c>
      <c r="H9652">
        <v>4.2061849999999996</v>
      </c>
      <c r="I9652">
        <v>391.87</v>
      </c>
      <c r="J9652">
        <v>-187.48259999999999</v>
      </c>
      <c r="K9652">
        <v>1.1206929999999999</v>
      </c>
      <c r="L9652">
        <v>45.968170000000001</v>
      </c>
      <c r="M9652">
        <v>-6.6254779999999997E-3</v>
      </c>
      <c r="N9652">
        <v>-9.4486150000000005E-3</v>
      </c>
      <c r="O9652">
        <v>0.99993339999999997</v>
      </c>
      <c r="P9652">
        <v>-3.3605500000000003E-2</v>
      </c>
      <c r="Q9652">
        <v>-5.2038099999999997E-2</v>
      </c>
      <c r="R9652">
        <v>0.99807950000000001</v>
      </c>
      <c r="S9652">
        <v>-1.332092E-2</v>
      </c>
      <c r="T9652">
        <v>2.6801820000000001E-2</v>
      </c>
      <c r="U9652">
        <v>3.006653</v>
      </c>
      <c r="V9652">
        <v>-2.6998189999999998E-2</v>
      </c>
      <c r="W9652">
        <v>-4.2599310000000001E-2</v>
      </c>
      <c r="X9652">
        <v>0.99872740000000004</v>
      </c>
      <c r="Y9652">
        <v>2.196108E-3</v>
      </c>
      <c r="Z9652">
        <v>1.8361180000000001E-2</v>
      </c>
      <c r="AA9652">
        <v>0.99982899999999997</v>
      </c>
      <c r="AB9652">
        <v>26</v>
      </c>
      <c r="AC9652">
        <v>-1.53200000000001</v>
      </c>
      <c r="AD9652">
        <v>3.0854919999999901</v>
      </c>
      <c r="AE9652">
        <v>345.90182999999899</v>
      </c>
      <c r="AF9652">
        <v>0.75984046737578104</v>
      </c>
      <c r="AG9652">
        <v>3.0854919999999901</v>
      </c>
      <c r="AH9652">
        <v>345.87686741716601</v>
      </c>
      <c r="AI9652">
        <v>89.488891654570594</v>
      </c>
      <c r="AJ9652">
        <v>89.874129824950401</v>
      </c>
      <c r="AK9652">
        <v>345.89146423803197</v>
      </c>
      <c r="AL9652">
        <v>92.441499457134995</v>
      </c>
      <c r="AM9652">
        <v>91.548476297117006</v>
      </c>
      <c r="AN9652">
        <v>1.0000000114932499</v>
      </c>
    </row>
    <row r="9653" spans="1:40" x14ac:dyDescent="0.25">
      <c r="A9653" t="str">
        <f>"20190303154028867"</f>
        <v>20190303154028867</v>
      </c>
      <c r="B9653" t="str">
        <f>"1551598828857345"</f>
        <v>1551598828857345</v>
      </c>
      <c r="C9653" t="s">
        <v>40</v>
      </c>
      <c r="D9653">
        <v>4.1772299999999998</v>
      </c>
      <c r="E9653">
        <v>0.51119700000000001</v>
      </c>
      <c r="F9653" t="s">
        <v>92</v>
      </c>
      <c r="G9653">
        <v>-189.07660000000001</v>
      </c>
      <c r="H9653">
        <v>4.097988</v>
      </c>
      <c r="I9653">
        <v>391.87</v>
      </c>
      <c r="J9653">
        <v>-187.48429999999999</v>
      </c>
      <c r="K9653">
        <v>1.120795</v>
      </c>
      <c r="L9653">
        <v>46.236420000000003</v>
      </c>
      <c r="M9653">
        <v>-6.5612279999999997E-3</v>
      </c>
      <c r="N9653">
        <v>-1.0058650000000001E-2</v>
      </c>
      <c r="O9653">
        <v>0.99992789999999998</v>
      </c>
      <c r="P9653">
        <v>-3.3574439999999997E-2</v>
      </c>
      <c r="Q9653">
        <v>-5.2492820000000003E-2</v>
      </c>
      <c r="R9653">
        <v>0.99805679999999997</v>
      </c>
      <c r="S9653">
        <v>-1.3854979999999999E-2</v>
      </c>
      <c r="T9653">
        <v>2.5879260000000001E-2</v>
      </c>
      <c r="U9653">
        <v>3.006653</v>
      </c>
      <c r="V9653">
        <v>-2.7031220000000002E-2</v>
      </c>
      <c r="W9653">
        <v>-4.2444999999999997E-2</v>
      </c>
      <c r="X9653">
        <v>0.99873299999999998</v>
      </c>
      <c r="Y9653">
        <v>1.9543189999999999E-3</v>
      </c>
      <c r="Z9653">
        <v>1.866437E-2</v>
      </c>
      <c r="AA9653">
        <v>0.99982389999999999</v>
      </c>
      <c r="AB9653">
        <v>26</v>
      </c>
      <c r="AC9653">
        <v>-1.59230000000002</v>
      </c>
      <c r="AD9653">
        <v>2.9771930000000002</v>
      </c>
      <c r="AE9653">
        <v>345.63357999999999</v>
      </c>
      <c r="AF9653">
        <v>0.67557957241720501</v>
      </c>
      <c r="AG9653">
        <v>2.9771930000000002</v>
      </c>
      <c r="AH9653">
        <v>345.610944924416</v>
      </c>
      <c r="AI9653">
        <v>89.506450674808605</v>
      </c>
      <c r="AJ9653">
        <v>89.888001784977305</v>
      </c>
      <c r="AK9653">
        <v>345.62442815499202</v>
      </c>
      <c r="AL9653">
        <v>92.432650327486797</v>
      </c>
      <c r="AM9653">
        <v>91.550361113916594</v>
      </c>
      <c r="AN9653">
        <v>0.99999993508434204</v>
      </c>
    </row>
    <row r="9654" spans="1:40" x14ac:dyDescent="0.25">
      <c r="A9654" t="str">
        <f>"20190303154028890"</f>
        <v>20190303154028890</v>
      </c>
      <c r="B9654" t="str">
        <f>"1551598828887601"</f>
        <v>1551598828887601</v>
      </c>
      <c r="C9654" t="s">
        <v>40</v>
      </c>
      <c r="D9654">
        <v>4.3047329999999997</v>
      </c>
      <c r="E9654">
        <v>0.5112565</v>
      </c>
      <c r="F9654" t="s">
        <v>92</v>
      </c>
      <c r="G9654">
        <v>-189.10159999999999</v>
      </c>
      <c r="H9654">
        <v>3.9590679999999998</v>
      </c>
      <c r="I9654">
        <v>391.87</v>
      </c>
      <c r="J9654">
        <v>-187.48589999999999</v>
      </c>
      <c r="K9654">
        <v>1.120878</v>
      </c>
      <c r="L9654">
        <v>46.49615</v>
      </c>
      <c r="M9654">
        <v>-6.498869E-3</v>
      </c>
      <c r="N9654">
        <v>-1.062564E-2</v>
      </c>
      <c r="O9654">
        <v>0.99992250000000005</v>
      </c>
      <c r="P9654">
        <v>-3.323545E-2</v>
      </c>
      <c r="Q9654">
        <v>-5.1976840000000003E-2</v>
      </c>
      <c r="R9654">
        <v>0.99809510000000001</v>
      </c>
      <c r="S9654">
        <v>-1.4068600000000001E-2</v>
      </c>
      <c r="T9654">
        <v>2.4690030000000002E-2</v>
      </c>
      <c r="U9654">
        <v>3.006653</v>
      </c>
      <c r="V9654">
        <v>-2.675431E-2</v>
      </c>
      <c r="W9654">
        <v>-4.1362419999999997E-2</v>
      </c>
      <c r="X9654">
        <v>0.9987859</v>
      </c>
      <c r="Y9654">
        <v>1.8209630000000001E-3</v>
      </c>
      <c r="Z9654">
        <v>1.8835870000000001E-2</v>
      </c>
      <c r="AA9654">
        <v>0.99982090000000001</v>
      </c>
      <c r="AB9654">
        <v>26</v>
      </c>
      <c r="AC9654">
        <v>-1.6156999999999999</v>
      </c>
      <c r="AD9654">
        <v>2.83819</v>
      </c>
      <c r="AE9654">
        <v>345.37385</v>
      </c>
      <c r="AF9654">
        <v>0.62895761425011898</v>
      </c>
      <c r="AG9654">
        <v>2.83819</v>
      </c>
      <c r="AH9654">
        <v>345.353734813237</v>
      </c>
      <c r="AI9654">
        <v>89.529142552778097</v>
      </c>
      <c r="AJ9654">
        <v>89.895653142517503</v>
      </c>
      <c r="AK9654">
        <v>345.36596974746698</v>
      </c>
      <c r="AL9654">
        <v>92.370568470645296</v>
      </c>
      <c r="AM9654">
        <v>91.5344054879466</v>
      </c>
      <c r="AN9654">
        <v>0.99999995846531997</v>
      </c>
    </row>
    <row r="9655" spans="1:40" x14ac:dyDescent="0.25">
      <c r="A9655" t="str">
        <f>"20190303154028913"</f>
        <v>20190303154028913</v>
      </c>
      <c r="B9655" t="str">
        <f>"1551598828908097"</f>
        <v>1551598828908097</v>
      </c>
      <c r="C9655" t="s">
        <v>40</v>
      </c>
      <c r="D9655">
        <v>4.3034629999999998</v>
      </c>
      <c r="E9655">
        <v>0.5113029</v>
      </c>
      <c r="F9655" t="s">
        <v>92</v>
      </c>
      <c r="G9655">
        <v>-188.91970000000001</v>
      </c>
      <c r="H9655">
        <v>4.065544</v>
      </c>
      <c r="I9655">
        <v>391.87</v>
      </c>
      <c r="J9655">
        <v>-187.48759999999999</v>
      </c>
      <c r="K9655">
        <v>1.120949</v>
      </c>
      <c r="L9655">
        <v>46.771329999999999</v>
      </c>
      <c r="M9655">
        <v>-6.4333910000000001E-3</v>
      </c>
      <c r="N9655">
        <v>-1.117783E-2</v>
      </c>
      <c r="O9655">
        <v>0.9999169</v>
      </c>
      <c r="P9655">
        <v>-3.3528629999999997E-2</v>
      </c>
      <c r="Q9655">
        <v>-5.1202600000000001E-2</v>
      </c>
      <c r="R9655">
        <v>0.99812529999999999</v>
      </c>
      <c r="S9655">
        <v>-1.248169E-2</v>
      </c>
      <c r="T9655">
        <v>2.5634770000000001E-2</v>
      </c>
      <c r="U9655">
        <v>3.006653</v>
      </c>
      <c r="V9655">
        <v>-2.7112020000000001E-2</v>
      </c>
      <c r="W9655">
        <v>-4.003628E-2</v>
      </c>
      <c r="X9655">
        <v>0.99883029999999995</v>
      </c>
      <c r="Y9655">
        <v>2.2832740000000001E-3</v>
      </c>
      <c r="Z9655">
        <v>1.970214E-2</v>
      </c>
      <c r="AA9655">
        <v>0.99980329999999995</v>
      </c>
      <c r="AB9655">
        <v>26</v>
      </c>
      <c r="AC9655">
        <v>-1.4321000000000099</v>
      </c>
      <c r="AD9655">
        <v>2.9445950000000001</v>
      </c>
      <c r="AE9655">
        <v>345.09867000000003</v>
      </c>
      <c r="AF9655">
        <v>0.78816549180011797</v>
      </c>
      <c r="AG9655">
        <v>2.9445950000000001</v>
      </c>
      <c r="AH9655">
        <v>345.07561831503602</v>
      </c>
      <c r="AI9655">
        <v>89.511097504134895</v>
      </c>
      <c r="AJ9655">
        <v>89.869134545260906</v>
      </c>
      <c r="AK9655">
        <v>345.08908154281102</v>
      </c>
      <c r="AL9655">
        <v>92.294523209584497</v>
      </c>
      <c r="AM9655">
        <v>91.554841679003403</v>
      </c>
      <c r="AN9655">
        <v>0.99999996677140301</v>
      </c>
    </row>
    <row r="9656" spans="1:40" x14ac:dyDescent="0.25">
      <c r="A9656" t="str">
        <f>"20190303154028934"</f>
        <v>20190303154028934</v>
      </c>
      <c r="B9656" t="str">
        <f>"1551598828927618"</f>
        <v>1551598828927618</v>
      </c>
      <c r="C9656" t="s">
        <v>40</v>
      </c>
      <c r="D9656">
        <v>4.2933409999999999</v>
      </c>
      <c r="E9656">
        <v>0.51135600000000003</v>
      </c>
      <c r="F9656" t="s">
        <v>92</v>
      </c>
      <c r="G9656">
        <v>-188.97989999999999</v>
      </c>
      <c r="H9656">
        <v>4.2525769999999996</v>
      </c>
      <c r="I9656">
        <v>391.87</v>
      </c>
      <c r="J9656">
        <v>-187.48910000000001</v>
      </c>
      <c r="K9656">
        <v>1.120989</v>
      </c>
      <c r="L9656">
        <v>47.012079999999997</v>
      </c>
      <c r="M9656">
        <v>-6.3765410000000003E-3</v>
      </c>
      <c r="N9656">
        <v>-1.161949E-2</v>
      </c>
      <c r="O9656">
        <v>0.99991209999999997</v>
      </c>
      <c r="P9656">
        <v>-3.3358220000000001E-2</v>
      </c>
      <c r="Q9656">
        <v>-5.120181E-2</v>
      </c>
      <c r="R9656">
        <v>0.99813099999999999</v>
      </c>
      <c r="S9656">
        <v>-1.300049E-2</v>
      </c>
      <c r="T9656">
        <v>2.728355E-2</v>
      </c>
      <c r="U9656">
        <v>3.0065919999999999</v>
      </c>
      <c r="V9656">
        <v>-2.6998669999999999E-2</v>
      </c>
      <c r="W9656">
        <v>-3.9594289999999997E-2</v>
      </c>
      <c r="X9656">
        <v>0.99885100000000004</v>
      </c>
      <c r="Y9656">
        <v>2.0539410000000001E-3</v>
      </c>
      <c r="Z9656">
        <v>2.069211E-2</v>
      </c>
      <c r="AA9656">
        <v>0.9997838</v>
      </c>
      <c r="AB9656">
        <v>26</v>
      </c>
      <c r="AC9656">
        <v>-1.4907999999999699</v>
      </c>
      <c r="AD9656">
        <v>3.1315879999999998</v>
      </c>
      <c r="AE9656">
        <v>344.85791999999998</v>
      </c>
      <c r="AF9656">
        <v>0.70832116355388297</v>
      </c>
      <c r="AG9656">
        <v>3.1315879999999998</v>
      </c>
      <c r="AH9656">
        <v>344.83198008802401</v>
      </c>
      <c r="AI9656">
        <v>89.479684382451893</v>
      </c>
      <c r="AJ9656">
        <v>89.882308606869501</v>
      </c>
      <c r="AK9656">
        <v>344.84692698891803</v>
      </c>
      <c r="AL9656">
        <v>92.269178924697201</v>
      </c>
      <c r="AM9656">
        <v>91.548312292065603</v>
      </c>
      <c r="AN9656">
        <v>0.99999997809168595</v>
      </c>
    </row>
    <row r="9657" spans="1:40" x14ac:dyDescent="0.25">
      <c r="A9657" t="str">
        <f>"20190303154028956"</f>
        <v>20190303154028956</v>
      </c>
      <c r="B9657" t="str">
        <f>"1551598828948114"</f>
        <v>1551598828948114</v>
      </c>
      <c r="C9657" t="s">
        <v>40</v>
      </c>
      <c r="D9657">
        <v>4.283061</v>
      </c>
      <c r="E9657">
        <v>0.51142069999999995</v>
      </c>
      <c r="F9657" t="s">
        <v>92</v>
      </c>
      <c r="G9657">
        <v>-188.8981</v>
      </c>
      <c r="H9657">
        <v>4.1883549999999996</v>
      </c>
      <c r="I9657">
        <v>391.87</v>
      </c>
      <c r="J9657">
        <v>-187.4907</v>
      </c>
      <c r="K9657">
        <v>1.121019</v>
      </c>
      <c r="L9657">
        <v>47.270780000000002</v>
      </c>
      <c r="M9657">
        <v>-6.3155800000000003E-3</v>
      </c>
      <c r="N9657">
        <v>-1.2046589999999999E-2</v>
      </c>
      <c r="O9657">
        <v>0.99990749999999995</v>
      </c>
      <c r="P9657">
        <v>-3.3309789999999999E-2</v>
      </c>
      <c r="Q9657">
        <v>-5.1815350000000003E-2</v>
      </c>
      <c r="R9657">
        <v>0.99810100000000002</v>
      </c>
      <c r="S9657">
        <v>-1.228333E-2</v>
      </c>
      <c r="T9657">
        <v>2.674234E-2</v>
      </c>
      <c r="U9657">
        <v>3.0065919999999999</v>
      </c>
      <c r="V9657">
        <v>-2.7011319999999998E-2</v>
      </c>
      <c r="W9657">
        <v>-3.9781499999999997E-2</v>
      </c>
      <c r="X9657">
        <v>0.99884329999999999</v>
      </c>
      <c r="Y9657">
        <v>2.2314890000000001E-3</v>
      </c>
      <c r="Z9657">
        <v>2.0939220000000001E-2</v>
      </c>
      <c r="AA9657">
        <v>0.99977830000000001</v>
      </c>
      <c r="AB9657">
        <v>26</v>
      </c>
      <c r="AC9657">
        <v>-1.40739999999999</v>
      </c>
      <c r="AD9657">
        <v>3.0673360000000001</v>
      </c>
      <c r="AE9657">
        <v>344.59922</v>
      </c>
      <c r="AF9657">
        <v>0.76906899768309001</v>
      </c>
      <c r="AG9657">
        <v>3.0673360000000001</v>
      </c>
      <c r="AH9657">
        <v>344.57393527084798</v>
      </c>
      <c r="AI9657">
        <v>89.489977884256604</v>
      </c>
      <c r="AJ9657">
        <v>89.872119362373397</v>
      </c>
      <c r="AK9657">
        <v>344.58844566424301</v>
      </c>
      <c r="AL9657">
        <v>92.279913541969904</v>
      </c>
      <c r="AM9657">
        <v>91.549049322995003</v>
      </c>
      <c r="AN9657">
        <v>1.0000000585526301</v>
      </c>
    </row>
    <row r="9658" spans="1:40" x14ac:dyDescent="0.25">
      <c r="A9658" t="str">
        <f>"20190303154028978"</f>
        <v>20190303154028978</v>
      </c>
      <c r="B9658" t="str">
        <f>"1551598828967633"</f>
        <v>1551598828967633</v>
      </c>
      <c r="C9658" t="s">
        <v>40</v>
      </c>
      <c r="D9658">
        <v>4.2682219999999997</v>
      </c>
      <c r="E9658">
        <v>0.5114879</v>
      </c>
      <c r="F9658" t="s">
        <v>92</v>
      </c>
      <c r="G9658">
        <v>-188.80070000000001</v>
      </c>
      <c r="H9658">
        <v>3.88727</v>
      </c>
      <c r="I9658">
        <v>391.87</v>
      </c>
      <c r="J9658">
        <v>-187.4922</v>
      </c>
      <c r="K9658">
        <v>1.1210279999999999</v>
      </c>
      <c r="L9658">
        <v>47.521270000000001</v>
      </c>
      <c r="M9658">
        <v>-6.2564609999999996E-3</v>
      </c>
      <c r="N9658">
        <v>-1.241445E-2</v>
      </c>
      <c r="O9658">
        <v>0.9999034</v>
      </c>
      <c r="P9658">
        <v>-3.2940850000000001E-2</v>
      </c>
      <c r="Q9658">
        <v>-5.272375E-2</v>
      </c>
      <c r="R9658">
        <v>0.99806569999999994</v>
      </c>
      <c r="S9658">
        <v>-1.1428829999999999E-2</v>
      </c>
      <c r="T9658">
        <v>2.4135230000000001E-2</v>
      </c>
      <c r="U9658">
        <v>3.0065919999999999</v>
      </c>
      <c r="V9658">
        <v>-2.6701630000000001E-2</v>
      </c>
      <c r="W9658">
        <v>-4.0322909999999997E-2</v>
      </c>
      <c r="X9658">
        <v>0.99882979999999999</v>
      </c>
      <c r="Y9658">
        <v>2.4564679999999998E-3</v>
      </c>
      <c r="Z9658">
        <v>2.044019E-2</v>
      </c>
      <c r="AA9658">
        <v>0.99978800000000001</v>
      </c>
      <c r="AB9658">
        <v>26</v>
      </c>
      <c r="AC9658">
        <v>-1.3085</v>
      </c>
      <c r="AD9658">
        <v>2.7662419999999899</v>
      </c>
      <c r="AE9658">
        <v>344.34872999999999</v>
      </c>
      <c r="AF9658">
        <v>0.84604137569143401</v>
      </c>
      <c r="AG9658">
        <v>2.7662419999999899</v>
      </c>
      <c r="AH9658">
        <v>344.32795635925697</v>
      </c>
      <c r="AI9658">
        <v>89.539711775564697</v>
      </c>
      <c r="AJ9658">
        <v>89.859219962612102</v>
      </c>
      <c r="AK9658">
        <v>344.340107177996</v>
      </c>
      <c r="AL9658">
        <v>92.310959229809797</v>
      </c>
      <c r="AM9658">
        <v>91.531318365295803</v>
      </c>
      <c r="AN9658">
        <v>0.99999994174177997</v>
      </c>
    </row>
    <row r="9659" spans="1:40" x14ac:dyDescent="0.25">
      <c r="A9659" t="str">
        <f>"20190303154028993"</f>
        <v>20190303154028993</v>
      </c>
      <c r="B9659" t="str">
        <f>"1551598828987153"</f>
        <v>1551598828987153</v>
      </c>
      <c r="C9659" t="s">
        <v>40</v>
      </c>
      <c r="D9659">
        <v>4.2823849999999997</v>
      </c>
      <c r="E9659">
        <v>0.51154860000000002</v>
      </c>
      <c r="F9659" t="s">
        <v>92</v>
      </c>
      <c r="G9659">
        <v>-188.60900000000001</v>
      </c>
      <c r="H9659">
        <v>3.5062160000000002</v>
      </c>
      <c r="I9659">
        <v>391.87</v>
      </c>
      <c r="J9659">
        <v>-187.4932</v>
      </c>
      <c r="K9659">
        <v>1.1210359999999999</v>
      </c>
      <c r="L9659">
        <v>47.689729999999997</v>
      </c>
      <c r="M9659">
        <v>-6.2165359999999999E-3</v>
      </c>
      <c r="N9659">
        <v>-1.263943E-2</v>
      </c>
      <c r="O9659">
        <v>0.99990080000000003</v>
      </c>
      <c r="P9659">
        <v>-3.2898980000000001E-2</v>
      </c>
      <c r="Q9659">
        <v>-5.3159619999999998E-2</v>
      </c>
      <c r="R9659">
        <v>0.99804400000000004</v>
      </c>
      <c r="S9659">
        <v>-9.7503659999999999E-3</v>
      </c>
      <c r="T9659">
        <v>2.082562E-2</v>
      </c>
      <c r="U9659">
        <v>3.0065919999999999</v>
      </c>
      <c r="V9659">
        <v>-2.6699500000000001E-2</v>
      </c>
      <c r="W9659">
        <v>-4.0534300000000002E-2</v>
      </c>
      <c r="X9659">
        <v>0.99882139999999997</v>
      </c>
      <c r="Y9659">
        <v>2.9745969999999998E-3</v>
      </c>
      <c r="Z9659">
        <v>1.9564700000000001E-2</v>
      </c>
      <c r="AA9659">
        <v>0.99980409999999997</v>
      </c>
      <c r="AB9659">
        <v>26</v>
      </c>
      <c r="AC9659">
        <v>-1.1157999999999999</v>
      </c>
      <c r="AD9659">
        <v>2.3851800000000001</v>
      </c>
      <c r="AE9659">
        <v>344.18027000000001</v>
      </c>
      <c r="AF9659">
        <v>1.0239523439160001</v>
      </c>
      <c r="AG9659">
        <v>2.3851800000000001</v>
      </c>
      <c r="AH9659">
        <v>344.16402694187002</v>
      </c>
      <c r="AI9659">
        <v>89.602927836722301</v>
      </c>
      <c r="AJ9659">
        <v>89.829534843760001</v>
      </c>
      <c r="AK9659">
        <v>344.17381510347298</v>
      </c>
      <c r="AL9659">
        <v>92.323080665118397</v>
      </c>
      <c r="AM9659">
        <v>91.531209140650901</v>
      </c>
      <c r="AN9659">
        <v>1.00000004093734</v>
      </c>
    </row>
    <row r="9660" spans="1:40" x14ac:dyDescent="0.25">
      <c r="A9660" t="str">
        <f>"20190303154029012"</f>
        <v>20190303154029012</v>
      </c>
      <c r="B9660" t="str">
        <f>"1551598829007650"</f>
        <v>1551598829007650</v>
      </c>
      <c r="C9660" t="s">
        <v>40</v>
      </c>
      <c r="D9660">
        <v>4.3002440000000002</v>
      </c>
      <c r="E9660">
        <v>0.51158570000000003</v>
      </c>
      <c r="F9660" t="s">
        <v>92</v>
      </c>
      <c r="G9660">
        <v>-188.5309</v>
      </c>
      <c r="H9660">
        <v>3.291134</v>
      </c>
      <c r="I9660">
        <v>391.87</v>
      </c>
      <c r="J9660">
        <v>-187.49459999999999</v>
      </c>
      <c r="K9660">
        <v>1.1210469999999999</v>
      </c>
      <c r="L9660">
        <v>47.912990000000001</v>
      </c>
      <c r="M9660">
        <v>-6.1634609999999899E-3</v>
      </c>
      <c r="N9660">
        <v>-1.2907139999999999E-2</v>
      </c>
      <c r="O9660">
        <v>0.9998977</v>
      </c>
      <c r="P9660">
        <v>-3.263986E-2</v>
      </c>
      <c r="Q9660">
        <v>-5.3710969999999997E-2</v>
      </c>
      <c r="R9660">
        <v>0.99802290000000005</v>
      </c>
      <c r="S9660">
        <v>-9.0637210000000003E-3</v>
      </c>
      <c r="T9660">
        <v>1.8956899999999999E-2</v>
      </c>
      <c r="U9660">
        <v>3.0065919999999999</v>
      </c>
      <c r="V9660">
        <v>-2.649344E-2</v>
      </c>
      <c r="W9660">
        <v>-4.0818550000000002E-2</v>
      </c>
      <c r="X9660">
        <v>0.99881529999999996</v>
      </c>
      <c r="Y9660">
        <v>3.1498239999999999E-3</v>
      </c>
      <c r="Z9660">
        <v>1.9211019999999999E-2</v>
      </c>
      <c r="AA9660">
        <v>0.99981050000000005</v>
      </c>
      <c r="AB9660">
        <v>26</v>
      </c>
      <c r="AC9660">
        <v>-1.03630000000001</v>
      </c>
      <c r="AD9660">
        <v>2.1700870000000001</v>
      </c>
      <c r="AE9660">
        <v>343.95701000000003</v>
      </c>
      <c r="AF9660">
        <v>1.0838187786131701</v>
      </c>
      <c r="AG9660">
        <v>2.1700870000000001</v>
      </c>
      <c r="AH9660">
        <v>343.94317261699501</v>
      </c>
      <c r="AI9660">
        <v>89.638502610263302</v>
      </c>
      <c r="AJ9660">
        <v>89.819452627131597</v>
      </c>
      <c r="AK9660">
        <v>343.95172616309998</v>
      </c>
      <c r="AL9660">
        <v>92.339380505736301</v>
      </c>
      <c r="AM9660">
        <v>91.519406491084894</v>
      </c>
      <c r="AN9660">
        <v>1.00000002995061</v>
      </c>
    </row>
    <row r="9661" spans="1:40" x14ac:dyDescent="0.25">
      <c r="A9661" t="str">
        <f>"20190303154029034"</f>
        <v>20190303154029034</v>
      </c>
      <c r="B9661" t="str">
        <f>"1551598829027170"</f>
        <v>1551598829027170</v>
      </c>
      <c r="C9661" t="s">
        <v>40</v>
      </c>
      <c r="D9661">
        <v>4.2951189999999997</v>
      </c>
      <c r="E9661">
        <v>0.51164309999999902</v>
      </c>
      <c r="F9661" t="s">
        <v>92</v>
      </c>
      <c r="G9661">
        <v>-188.41460000000001</v>
      </c>
      <c r="H9661">
        <v>3.0230450000000002</v>
      </c>
      <c r="I9661">
        <v>391.87</v>
      </c>
      <c r="J9661">
        <v>-187.49610000000001</v>
      </c>
      <c r="K9661">
        <v>1.1210519999999999</v>
      </c>
      <c r="L9661">
        <v>48.174930000000003</v>
      </c>
      <c r="M9661">
        <v>-6.1010229999999997E-3</v>
      </c>
      <c r="N9661">
        <v>-1.3182070000000001E-2</v>
      </c>
      <c r="O9661">
        <v>0.99989450000000002</v>
      </c>
      <c r="P9661">
        <v>-3.2444189999999998E-2</v>
      </c>
      <c r="Q9661">
        <v>-5.406499E-2</v>
      </c>
      <c r="R9661">
        <v>0.99801019999999896</v>
      </c>
      <c r="S9661">
        <v>-8.0413819999999997E-3</v>
      </c>
      <c r="T9661">
        <v>1.6625520000000001E-2</v>
      </c>
      <c r="U9661">
        <v>3.006561</v>
      </c>
      <c r="V9661">
        <v>-2.636047E-2</v>
      </c>
      <c r="W9661">
        <v>-4.0898169999999998E-2</v>
      </c>
      <c r="X9661">
        <v>0.99881549999999997</v>
      </c>
      <c r="Y9661">
        <v>3.427275E-3</v>
      </c>
      <c r="Z9661">
        <v>1.8710770000000002E-2</v>
      </c>
      <c r="AA9661">
        <v>0.99981900000000001</v>
      </c>
      <c r="AB9661">
        <v>26</v>
      </c>
      <c r="AC9661">
        <v>-0.91849999999999399</v>
      </c>
      <c r="AD9661">
        <v>1.901993</v>
      </c>
      <c r="AE9661">
        <v>343.69506999999999</v>
      </c>
      <c r="AF9661">
        <v>1.17855474041537</v>
      </c>
      <c r="AG9661">
        <v>1.901993</v>
      </c>
      <c r="AH9661">
        <v>343.68375139200202</v>
      </c>
      <c r="AI9661">
        <v>89.682922402062701</v>
      </c>
      <c r="AJ9661">
        <v>89.803523013257703</v>
      </c>
      <c r="AK9661">
        <v>343.691035000228</v>
      </c>
      <c r="AL9661">
        <v>92.343946351425302</v>
      </c>
      <c r="AM9661">
        <v>91.511783868176593</v>
      </c>
      <c r="AN9661">
        <v>0.99999996886410902</v>
      </c>
    </row>
    <row r="9662" spans="1:40" x14ac:dyDescent="0.25">
      <c r="A9662" t="str">
        <f>"20190303154029058"</f>
        <v>20190303154029058</v>
      </c>
      <c r="B9662" t="str">
        <f>"1551598829047665"</f>
        <v>1551598829047665</v>
      </c>
      <c r="C9662" t="s">
        <v>40</v>
      </c>
      <c r="D9662">
        <v>4.2818079999999998</v>
      </c>
      <c r="E9662">
        <v>0.51171449999999996</v>
      </c>
      <c r="F9662" t="s">
        <v>92</v>
      </c>
      <c r="G9662">
        <v>-188.28630000000001</v>
      </c>
      <c r="H9662">
        <v>2.821688</v>
      </c>
      <c r="I9662">
        <v>391.87</v>
      </c>
      <c r="J9662">
        <v>-187.49760000000001</v>
      </c>
      <c r="K9662">
        <v>1.121051</v>
      </c>
      <c r="L9662">
        <v>48.432459999999999</v>
      </c>
      <c r="M9662">
        <v>-6.0395550000000003E-3</v>
      </c>
      <c r="N9662">
        <v>-1.3417699999999999E-2</v>
      </c>
      <c r="O9662">
        <v>0.9998918</v>
      </c>
      <c r="P9662">
        <v>-3.2012489999999998E-2</v>
      </c>
      <c r="Q9662">
        <v>-5.4776440000000003E-2</v>
      </c>
      <c r="R9662">
        <v>0.99798540000000002</v>
      </c>
      <c r="S9662">
        <v>-6.9122309999999996E-3</v>
      </c>
      <c r="T9662">
        <v>1.487672E-2</v>
      </c>
      <c r="U9662">
        <v>3.006561</v>
      </c>
      <c r="V9662">
        <v>-2.599038E-2</v>
      </c>
      <c r="W9662">
        <v>-4.1374630000000003E-2</v>
      </c>
      <c r="X9662">
        <v>0.99880559999999996</v>
      </c>
      <c r="Y9662">
        <v>3.7412579999999999E-3</v>
      </c>
      <c r="Z9662">
        <v>1.8364869999999998E-2</v>
      </c>
      <c r="AA9662">
        <v>0.9998243</v>
      </c>
      <c r="AB9662">
        <v>26</v>
      </c>
      <c r="AC9662">
        <v>-0.78870000000000495</v>
      </c>
      <c r="AD9662">
        <v>1.700637</v>
      </c>
      <c r="AE9662">
        <v>343.43754000000001</v>
      </c>
      <c r="AF9662">
        <v>1.28567938667309</v>
      </c>
      <c r="AG9662">
        <v>1.700637</v>
      </c>
      <c r="AH9662">
        <v>343.427618047512</v>
      </c>
      <c r="AI9662">
        <v>89.716278370676505</v>
      </c>
      <c r="AJ9662">
        <v>89.785504558573507</v>
      </c>
      <c r="AK9662">
        <v>343.434235299102</v>
      </c>
      <c r="AL9662">
        <v>92.371268569054294</v>
      </c>
      <c r="AM9662">
        <v>91.490583464492701</v>
      </c>
      <c r="AN9662">
        <v>0.99999999322577005</v>
      </c>
    </row>
    <row r="9663" spans="1:40" x14ac:dyDescent="0.25">
      <c r="A9663" t="str">
        <f>"20190303154029078"</f>
        <v>20190303154029078</v>
      </c>
      <c r="B9663" t="str">
        <f>"1551598829067185"</f>
        <v>1551598829067185</v>
      </c>
      <c r="C9663" t="s">
        <v>40</v>
      </c>
      <c r="D9663">
        <v>4.2698229999999997</v>
      </c>
      <c r="E9663">
        <v>0.51176960000000005</v>
      </c>
      <c r="F9663" t="s">
        <v>92</v>
      </c>
      <c r="G9663">
        <v>-188.05539999999999</v>
      </c>
      <c r="H9663">
        <v>2.5145949999999999</v>
      </c>
      <c r="I9663">
        <v>391.87</v>
      </c>
      <c r="J9663">
        <v>-187.499</v>
      </c>
      <c r="K9663">
        <v>1.1210580000000001</v>
      </c>
      <c r="L9663">
        <v>48.676789999999997</v>
      </c>
      <c r="M9663">
        <v>-5.9814719999999998E-3</v>
      </c>
      <c r="N9663">
        <v>-1.3612640000000001E-2</v>
      </c>
      <c r="O9663">
        <v>0.99988940000000004</v>
      </c>
      <c r="P9663">
        <v>-3.1165410000000001E-2</v>
      </c>
      <c r="Q9663">
        <v>-5.5121709999999997E-2</v>
      </c>
      <c r="R9663">
        <v>0.99799320000000002</v>
      </c>
      <c r="S9663">
        <v>-4.8828129999999997E-3</v>
      </c>
      <c r="T9663">
        <v>1.219952E-2</v>
      </c>
      <c r="U9663">
        <v>3.006561</v>
      </c>
      <c r="V9663">
        <v>-2.5201040000000001E-2</v>
      </c>
      <c r="W9663">
        <v>-4.1525279999999998E-2</v>
      </c>
      <c r="X9663">
        <v>0.99881960000000003</v>
      </c>
      <c r="Y9663">
        <v>4.3579689999999997E-3</v>
      </c>
      <c r="Z9663">
        <v>1.7669560000000001E-2</v>
      </c>
      <c r="AA9663">
        <v>0.99983440000000001</v>
      </c>
      <c r="AB9663">
        <v>26</v>
      </c>
      <c r="AC9663">
        <v>-0.55639999999996803</v>
      </c>
      <c r="AD9663">
        <v>1.393537</v>
      </c>
      <c r="AE9663">
        <v>343.19321000000002</v>
      </c>
      <c r="AF9663">
        <v>1.4965761876711901</v>
      </c>
      <c r="AG9663">
        <v>1.393537</v>
      </c>
      <c r="AH9663">
        <v>343.18473951516199</v>
      </c>
      <c r="AI9663">
        <v>89.767348073789805</v>
      </c>
      <c r="AJ9663">
        <v>89.750143447964405</v>
      </c>
      <c r="AK9663">
        <v>343.19083193136998</v>
      </c>
      <c r="AL9663">
        <v>92.379907545476399</v>
      </c>
      <c r="AM9663">
        <v>91.445313000088902</v>
      </c>
      <c r="AN9663">
        <v>1.00000001732016</v>
      </c>
    </row>
    <row r="9664" spans="1:40" x14ac:dyDescent="0.25">
      <c r="A9664" t="str">
        <f>"20190303154029104"</f>
        <v>20190303154029104</v>
      </c>
      <c r="B9664" t="str">
        <f>"1551598829097442"</f>
        <v>1551598829097442</v>
      </c>
      <c r="C9664" t="s">
        <v>40</v>
      </c>
      <c r="D9664">
        <v>4.241492</v>
      </c>
      <c r="E9664">
        <v>0.5118644</v>
      </c>
      <c r="F9664" t="s">
        <v>92</v>
      </c>
      <c r="G9664">
        <v>-187.7116</v>
      </c>
      <c r="H9664">
        <v>2.3181379999999998</v>
      </c>
      <c r="I9664">
        <v>391.87</v>
      </c>
      <c r="J9664">
        <v>-187.50059999999999</v>
      </c>
      <c r="K9664">
        <v>1.1210659999999999</v>
      </c>
      <c r="L9664">
        <v>48.959470000000003</v>
      </c>
      <c r="M9664">
        <v>-5.9143879999999996E-3</v>
      </c>
      <c r="N9664">
        <v>-1.380724E-2</v>
      </c>
      <c r="O9664">
        <v>0.99988719999999998</v>
      </c>
      <c r="P9664">
        <v>-3.0377620000000001E-2</v>
      </c>
      <c r="Q9664">
        <v>-5.5455780000000003E-2</v>
      </c>
      <c r="R9664">
        <v>0.99799899999999997</v>
      </c>
      <c r="S9664">
        <v>-1.8615719999999999E-3</v>
      </c>
      <c r="T9664">
        <v>1.0487079999999999E-2</v>
      </c>
      <c r="U9664">
        <v>3.006561</v>
      </c>
      <c r="V9664">
        <v>-2.448028E-2</v>
      </c>
      <c r="W9664">
        <v>-4.166504E-2</v>
      </c>
      <c r="X9664">
        <v>0.99883169999999999</v>
      </c>
      <c r="Y9664">
        <v>5.295508E-3</v>
      </c>
      <c r="Z9664">
        <v>1.729472E-2</v>
      </c>
      <c r="AA9664">
        <v>0.99983639999999996</v>
      </c>
      <c r="AB9664">
        <v>26</v>
      </c>
      <c r="AC9664">
        <v>-0.21100000000001201</v>
      </c>
      <c r="AD9664">
        <v>1.1970719999999999</v>
      </c>
      <c r="AE9664">
        <v>342.91052999999999</v>
      </c>
      <c r="AF9664">
        <v>1.81728078207407</v>
      </c>
      <c r="AG9664">
        <v>1.1970719999999999</v>
      </c>
      <c r="AH9664">
        <v>342.901600588392</v>
      </c>
      <c r="AI9664">
        <v>89.799983635365294</v>
      </c>
      <c r="AJ9664">
        <v>89.696351536383006</v>
      </c>
      <c r="AK9664">
        <v>342.90850554760999</v>
      </c>
      <c r="AL9664">
        <v>92.387922151749095</v>
      </c>
      <c r="AM9664">
        <v>91.403976247448696</v>
      </c>
      <c r="AN9664">
        <v>1.00000001229598</v>
      </c>
    </row>
    <row r="9665" spans="1:40" x14ac:dyDescent="0.25">
      <c r="A9665" t="str">
        <f>"20190303154029126"</f>
        <v>20190303154029126</v>
      </c>
      <c r="B9665" t="str">
        <f>"1551598829117938"</f>
        <v>1551598829117938</v>
      </c>
      <c r="C9665" t="s">
        <v>40</v>
      </c>
      <c r="D9665">
        <v>4.2674059999999896</v>
      </c>
      <c r="E9665">
        <v>0.51192269999999995</v>
      </c>
      <c r="F9665" t="s">
        <v>92</v>
      </c>
      <c r="G9665">
        <v>-187.3493</v>
      </c>
      <c r="H9665">
        <v>2.11694</v>
      </c>
      <c r="I9665">
        <v>391.87</v>
      </c>
      <c r="J9665">
        <v>-187.50200000000001</v>
      </c>
      <c r="K9665">
        <v>1.1210709999999999</v>
      </c>
      <c r="L9665">
        <v>49.209530000000001</v>
      </c>
      <c r="M9665">
        <v>-5.8548999999999997E-3</v>
      </c>
      <c r="N9665">
        <v>-1.3954579999999999E-2</v>
      </c>
      <c r="O9665">
        <v>0.99988549999999998</v>
      </c>
      <c r="P9665">
        <v>-3.002817E-2</v>
      </c>
      <c r="Q9665">
        <v>-5.5469919999999999E-2</v>
      </c>
      <c r="R9665">
        <v>0.99800869999999997</v>
      </c>
      <c r="S9665">
        <v>1.327515E-3</v>
      </c>
      <c r="T9665">
        <v>8.7314839999999994E-3</v>
      </c>
      <c r="U9665">
        <v>3.0065309999999998</v>
      </c>
      <c r="V9665">
        <v>-2.4190360000000001E-2</v>
      </c>
      <c r="W9665">
        <v>-4.1531970000000001E-2</v>
      </c>
      <c r="X9665">
        <v>0.99884430000000002</v>
      </c>
      <c r="Y9665">
        <v>6.2964569999999897E-3</v>
      </c>
      <c r="Z9665">
        <v>1.685832E-2</v>
      </c>
      <c r="AA9665">
        <v>0.99983809999999995</v>
      </c>
      <c r="AB9665">
        <v>26</v>
      </c>
      <c r="AC9665">
        <v>0.15270000000000999</v>
      </c>
      <c r="AD9665">
        <v>0.995869</v>
      </c>
      <c r="AE9665">
        <v>342.66046999999998</v>
      </c>
      <c r="AF9665">
        <v>2.1591172743585898</v>
      </c>
      <c r="AG9665">
        <v>0.995869</v>
      </c>
      <c r="AH9665">
        <v>342.65080730315799</v>
      </c>
      <c r="AI9665">
        <v>89.833481211654004</v>
      </c>
      <c r="AJ9665">
        <v>89.638971607819499</v>
      </c>
      <c r="AK9665">
        <v>342.65905691806199</v>
      </c>
      <c r="AL9665">
        <v>92.380291210141607</v>
      </c>
      <c r="AM9665">
        <v>91.387337997528505</v>
      </c>
      <c r="AN9665">
        <v>1.00000000684575</v>
      </c>
    </row>
    <row r="9666" spans="1:40" x14ac:dyDescent="0.25">
      <c r="A9666" t="str">
        <f>"20190303154029148"</f>
        <v>20190303154029148</v>
      </c>
      <c r="B9666" t="str">
        <f>"1551598829137458"</f>
        <v>1551598829137458</v>
      </c>
      <c r="C9666" t="s">
        <v>40</v>
      </c>
      <c r="D9666">
        <v>4.2537539999999998</v>
      </c>
      <c r="E9666">
        <v>0.51197429999999999</v>
      </c>
      <c r="F9666" t="s">
        <v>92</v>
      </c>
      <c r="G9666">
        <v>-187.1943</v>
      </c>
      <c r="H9666">
        <v>2.073639</v>
      </c>
      <c r="I9666">
        <v>391.87</v>
      </c>
      <c r="J9666">
        <v>-187.5034</v>
      </c>
      <c r="K9666">
        <v>1.121086</v>
      </c>
      <c r="L9666">
        <v>49.462739999999997</v>
      </c>
      <c r="M9666">
        <v>-5.7945459999999898E-3</v>
      </c>
      <c r="N9666">
        <v>-1.40833E-2</v>
      </c>
      <c r="O9666">
        <v>0.999884</v>
      </c>
      <c r="P9666">
        <v>-2.9725660000000001E-2</v>
      </c>
      <c r="Q9666">
        <v>-5.5020859999999998E-2</v>
      </c>
      <c r="R9666">
        <v>0.9980426</v>
      </c>
      <c r="S9666">
        <v>2.700806E-3</v>
      </c>
      <c r="T9666">
        <v>8.3578819999999901E-3</v>
      </c>
      <c r="U9666">
        <v>3.0065309999999998</v>
      </c>
      <c r="V9666">
        <v>-2.3947079999999999E-2</v>
      </c>
      <c r="W9666">
        <v>-4.0953980000000001E-2</v>
      </c>
      <c r="X9666">
        <v>0.99887400000000004</v>
      </c>
      <c r="Y9666">
        <v>6.6927559999999898E-3</v>
      </c>
      <c r="Z9666">
        <v>1.6862809999999999E-2</v>
      </c>
      <c r="AA9666">
        <v>0.99983540000000004</v>
      </c>
      <c r="AB9666">
        <v>25</v>
      </c>
      <c r="AC9666">
        <v>0.30909999999999999</v>
      </c>
      <c r="AD9666">
        <v>0.95255299999999998</v>
      </c>
      <c r="AE9666">
        <v>342.40726000000001</v>
      </c>
      <c r="AF9666">
        <v>2.29336854095361</v>
      </c>
      <c r="AG9666">
        <v>0.95255299999999998</v>
      </c>
      <c r="AH9666">
        <v>342.39706922063903</v>
      </c>
      <c r="AI9666">
        <v>89.840606399499606</v>
      </c>
      <c r="AJ9666">
        <v>89.616239783782703</v>
      </c>
      <c r="AK9666">
        <v>342.40607457719801</v>
      </c>
      <c r="AL9666">
        <v>92.347146685342295</v>
      </c>
      <c r="AM9666">
        <v>91.373350230675499</v>
      </c>
      <c r="AN9666">
        <v>0.999999979497183</v>
      </c>
    </row>
    <row r="9667" spans="1:40" x14ac:dyDescent="0.25">
      <c r="A9667" t="str">
        <f>"20190303154029170"</f>
        <v>20190303154029170</v>
      </c>
      <c r="B9667" t="str">
        <f>"1551598829167714"</f>
        <v>1551598829167714</v>
      </c>
      <c r="C9667" t="s">
        <v>40</v>
      </c>
      <c r="D9667">
        <v>4.236796</v>
      </c>
      <c r="E9667">
        <v>0.51204519999999998</v>
      </c>
      <c r="F9667" t="s">
        <v>92</v>
      </c>
      <c r="G9667">
        <v>-187.04300000000001</v>
      </c>
      <c r="H9667">
        <v>2.1980420000000001</v>
      </c>
      <c r="I9667">
        <v>391.87</v>
      </c>
      <c r="J9667">
        <v>-187.50479999999999</v>
      </c>
      <c r="K9667">
        <v>1.1210960000000001</v>
      </c>
      <c r="L9667">
        <v>49.706510000000002</v>
      </c>
      <c r="M9667">
        <v>-5.7362890000000003E-3</v>
      </c>
      <c r="N9667">
        <v>-1.4189729999999999E-2</v>
      </c>
      <c r="O9667">
        <v>0.99988290000000002</v>
      </c>
      <c r="P9667">
        <v>-2.9887159999999999E-2</v>
      </c>
      <c r="Q9667">
        <v>-5.526851E-2</v>
      </c>
      <c r="R9667">
        <v>0.99802409999999997</v>
      </c>
      <c r="S9667">
        <v>4.0435790000000003E-3</v>
      </c>
      <c r="T9667">
        <v>9.4562770000000008E-3</v>
      </c>
      <c r="U9667">
        <v>3.0065309999999998</v>
      </c>
      <c r="V9667">
        <v>-2.4167460000000002E-2</v>
      </c>
      <c r="W9667">
        <v>-4.1095529999999998E-2</v>
      </c>
      <c r="X9667">
        <v>0.9988629</v>
      </c>
      <c r="Y9667">
        <v>7.0810129999999997E-3</v>
      </c>
      <c r="Z9667">
        <v>1.7334510000000001E-2</v>
      </c>
      <c r="AA9667">
        <v>0.99982459999999995</v>
      </c>
      <c r="AB9667">
        <v>25</v>
      </c>
      <c r="AC9667">
        <v>0.461799999999982</v>
      </c>
      <c r="AD9667">
        <v>1.07694599999999</v>
      </c>
      <c r="AE9667">
        <v>342.163489999999</v>
      </c>
      <c r="AF9667">
        <v>2.42471460622501</v>
      </c>
      <c r="AG9667">
        <v>1.07694599999999</v>
      </c>
      <c r="AH9667">
        <v>342.15182056565601</v>
      </c>
      <c r="AI9667">
        <v>89.819662782034698</v>
      </c>
      <c r="AJ9667">
        <v>89.593970923070302</v>
      </c>
      <c r="AK9667">
        <v>342.162106858725</v>
      </c>
      <c r="AL9667">
        <v>92.355263686278704</v>
      </c>
      <c r="AM9667">
        <v>91.385999375990195</v>
      </c>
      <c r="AN9667">
        <v>1.00000000085262</v>
      </c>
    </row>
    <row r="9668" spans="1:40" x14ac:dyDescent="0.25">
      <c r="A9668" t="str">
        <f>"20190303154029192"</f>
        <v>20190303154029192</v>
      </c>
      <c r="B9668" t="str">
        <f>"1551598829187234"</f>
        <v>1551598829187234</v>
      </c>
      <c r="C9668" t="s">
        <v>40</v>
      </c>
      <c r="D9668">
        <v>4.2562340000000001</v>
      </c>
      <c r="E9668">
        <v>0.51208880000000001</v>
      </c>
      <c r="F9668" t="s">
        <v>92</v>
      </c>
      <c r="G9668">
        <v>-187.01159999999999</v>
      </c>
      <c r="H9668">
        <v>2.065334</v>
      </c>
      <c r="I9668">
        <v>391.87</v>
      </c>
      <c r="J9668">
        <v>-187.5061</v>
      </c>
      <c r="K9668">
        <v>1.1211070000000001</v>
      </c>
      <c r="L9668">
        <v>49.953090000000003</v>
      </c>
      <c r="M9668">
        <v>-5.6772669999999997E-3</v>
      </c>
      <c r="N9668">
        <v>-1.4281790000000001E-2</v>
      </c>
      <c r="O9668">
        <v>0.99988189999999999</v>
      </c>
      <c r="P9668">
        <v>-2.9768619999999999E-2</v>
      </c>
      <c r="Q9668">
        <v>-5.5093349999999999E-2</v>
      </c>
      <c r="R9668">
        <v>0.99803730000000002</v>
      </c>
      <c r="S9668">
        <v>4.333496E-3</v>
      </c>
      <c r="T9668">
        <v>8.2968469999999996E-3</v>
      </c>
      <c r="U9668">
        <v>3.0065309999999998</v>
      </c>
      <c r="V9668">
        <v>-2.410723E-2</v>
      </c>
      <c r="W9668">
        <v>-4.0828290000000003E-2</v>
      </c>
      <c r="X9668">
        <v>0.99887530000000002</v>
      </c>
      <c r="Y9668">
        <v>7.1183820000000004E-3</v>
      </c>
      <c r="Z9668">
        <v>1.7041009999999999E-2</v>
      </c>
      <c r="AA9668">
        <v>0.99982950000000004</v>
      </c>
      <c r="AB9668">
        <v>25</v>
      </c>
      <c r="AC9668">
        <v>0.49450000000001598</v>
      </c>
      <c r="AD9668">
        <v>0.94422700000000004</v>
      </c>
      <c r="AE9668">
        <v>341.91690999999997</v>
      </c>
      <c r="AF9668">
        <v>2.4358250267687902</v>
      </c>
      <c r="AG9668">
        <v>0.94422700000000004</v>
      </c>
      <c r="AH9668">
        <v>341.90598345419397</v>
      </c>
      <c r="AI9668">
        <v>89.841773135834998</v>
      </c>
      <c r="AJ9668">
        <v>89.591817226584695</v>
      </c>
      <c r="AK9668">
        <v>341.91596384194702</v>
      </c>
      <c r="AL9668">
        <v>92.339939134230505</v>
      </c>
      <c r="AM9668">
        <v>91.382529382703495</v>
      </c>
      <c r="AN9668">
        <v>0.99999998637634302</v>
      </c>
    </row>
    <row r="9669" spans="1:40" x14ac:dyDescent="0.25">
      <c r="A9669" t="str">
        <f>"20190303154029224"</f>
        <v>20190303154029224</v>
      </c>
      <c r="B9669" t="str">
        <f>"1551598829217490"</f>
        <v>1551598829217490</v>
      </c>
      <c r="C9669" t="s">
        <v>40</v>
      </c>
      <c r="D9669">
        <v>4.2393539999999996</v>
      </c>
      <c r="E9669">
        <v>0.51215390000000005</v>
      </c>
      <c r="F9669" t="s">
        <v>92</v>
      </c>
      <c r="G9669">
        <v>-186.93350000000001</v>
      </c>
      <c r="H9669">
        <v>2.0942080000000001</v>
      </c>
      <c r="I9669">
        <v>391.87</v>
      </c>
      <c r="J9669">
        <v>-187.50810000000001</v>
      </c>
      <c r="K9669">
        <v>1.121113</v>
      </c>
      <c r="L9669">
        <v>50.313929999999999</v>
      </c>
      <c r="M9669">
        <v>-5.5907259999999999E-3</v>
      </c>
      <c r="N9669">
        <v>-1.439351E-2</v>
      </c>
      <c r="O9669">
        <v>0.99988080000000001</v>
      </c>
      <c r="P9669">
        <v>-2.9940810000000002E-2</v>
      </c>
      <c r="Q9669">
        <v>-5.5387199999999998E-2</v>
      </c>
      <c r="R9669">
        <v>0.99801589999999996</v>
      </c>
      <c r="S9669">
        <v>5.0353999999999998E-3</v>
      </c>
      <c r="T9669">
        <v>8.5566040000000006E-3</v>
      </c>
      <c r="U9669">
        <v>3.0065309999999998</v>
      </c>
      <c r="V9669">
        <v>-2.4366160000000001E-2</v>
      </c>
      <c r="W9669">
        <v>-4.1010820000000003E-2</v>
      </c>
      <c r="X9669">
        <v>0.99886160000000002</v>
      </c>
      <c r="Y9669">
        <v>7.2652359999999996E-3</v>
      </c>
      <c r="Z9669">
        <v>1.7239109999999998E-2</v>
      </c>
      <c r="AA9669">
        <v>0.99982499999999996</v>
      </c>
      <c r="AB9669">
        <v>25</v>
      </c>
      <c r="AC9669">
        <v>0.574600000000003</v>
      </c>
      <c r="AD9669">
        <v>0.97309500000000004</v>
      </c>
      <c r="AE9669">
        <v>341.55606999999998</v>
      </c>
      <c r="AF9669">
        <v>2.48431504695191</v>
      </c>
      <c r="AG9669">
        <v>0.97309500000000004</v>
      </c>
      <c r="AH9669">
        <v>341.54474596025</v>
      </c>
      <c r="AI9669">
        <v>89.836763377199901</v>
      </c>
      <c r="AJ9669">
        <v>89.583251510581505</v>
      </c>
      <c r="AK9669">
        <v>341.55516718120799</v>
      </c>
      <c r="AL9669">
        <v>92.3504059582189</v>
      </c>
      <c r="AM9669">
        <v>91.397392102408304</v>
      </c>
      <c r="AN9669">
        <v>1.0000000465323799</v>
      </c>
    </row>
    <row r="9670" spans="1:40" x14ac:dyDescent="0.25">
      <c r="A9670" t="str">
        <f>"20190303154029246"</f>
        <v>20190303154029246</v>
      </c>
      <c r="B9670" t="str">
        <f>"1551598829237985"</f>
        <v>1551598829237985</v>
      </c>
      <c r="C9670" t="s">
        <v>40</v>
      </c>
      <c r="D9670">
        <v>4.2418950000000004</v>
      </c>
      <c r="E9670">
        <v>0.51219369999999997</v>
      </c>
      <c r="F9670" t="s">
        <v>92</v>
      </c>
      <c r="G9670">
        <v>-186.95689999999999</v>
      </c>
      <c r="H9670">
        <v>1.961992</v>
      </c>
      <c r="I9670">
        <v>391.87</v>
      </c>
      <c r="J9670">
        <v>-187.5094</v>
      </c>
      <c r="K9670">
        <v>1.121113</v>
      </c>
      <c r="L9670">
        <v>50.571379999999998</v>
      </c>
      <c r="M9670">
        <v>-5.529043E-3</v>
      </c>
      <c r="N9670">
        <v>-1.4459649999999999E-2</v>
      </c>
      <c r="O9670">
        <v>0.9998802</v>
      </c>
      <c r="P9670">
        <v>-2.969391E-2</v>
      </c>
      <c r="Q9670">
        <v>-5.5510089999999998E-2</v>
      </c>
      <c r="R9670">
        <v>0.99801649999999997</v>
      </c>
      <c r="S9670">
        <v>4.8522950000000004E-3</v>
      </c>
      <c r="T9670">
        <v>7.4017049999999997E-3</v>
      </c>
      <c r="U9670">
        <v>3.0065</v>
      </c>
      <c r="V9670">
        <v>-2.4180819999999999E-2</v>
      </c>
      <c r="W9670">
        <v>-4.1067699999999999E-2</v>
      </c>
      <c r="X9670">
        <v>0.99886370000000002</v>
      </c>
      <c r="Y9670">
        <v>7.1426719999999897E-3</v>
      </c>
      <c r="Z9670">
        <v>1.6921209999999999E-2</v>
      </c>
      <c r="AA9670">
        <v>0.99983129999999998</v>
      </c>
      <c r="AB9670">
        <v>25</v>
      </c>
      <c r="AC9670">
        <v>0.55250000000000898</v>
      </c>
      <c r="AD9670">
        <v>0.84087899999999904</v>
      </c>
      <c r="AE9670">
        <v>341.29862000000003</v>
      </c>
      <c r="AF9670">
        <v>2.4397287321175498</v>
      </c>
      <c r="AG9670">
        <v>0.84087899999999904</v>
      </c>
      <c r="AH9670">
        <v>341.28827529195701</v>
      </c>
      <c r="AI9670">
        <v>89.858836377308094</v>
      </c>
      <c r="AJ9670">
        <v>89.590423144979894</v>
      </c>
      <c r="AK9670">
        <v>341.29803135315302</v>
      </c>
      <c r="AL9670">
        <v>92.353667847507396</v>
      </c>
      <c r="AM9670">
        <v>91.386764160172604</v>
      </c>
      <c r="AN9670">
        <v>0.99999997960842602</v>
      </c>
    </row>
    <row r="9671" spans="1:40" x14ac:dyDescent="0.25">
      <c r="A9671" t="str">
        <f>"20190303154029268"</f>
        <v>20190303154029268</v>
      </c>
      <c r="B9671" t="str">
        <f>"1551598829257506"</f>
        <v>1551598829257506</v>
      </c>
      <c r="C9671" t="s">
        <v>40</v>
      </c>
      <c r="D9671">
        <v>4.2439809999999998</v>
      </c>
      <c r="E9671">
        <v>0.51223989999999997</v>
      </c>
      <c r="F9671" t="s">
        <v>92</v>
      </c>
      <c r="G9671">
        <v>-186.81319999999999</v>
      </c>
      <c r="H9671">
        <v>1.8932929999999999</v>
      </c>
      <c r="I9671">
        <v>391.87</v>
      </c>
      <c r="J9671">
        <v>-187.51070000000001</v>
      </c>
      <c r="K9671">
        <v>1.1211040000000001</v>
      </c>
      <c r="L9671">
        <v>50.818759999999997</v>
      </c>
      <c r="M9671">
        <v>-5.4695669999999998E-3</v>
      </c>
      <c r="N9671">
        <v>-1.446007E-2</v>
      </c>
      <c r="O9671">
        <v>0.99988049999999995</v>
      </c>
      <c r="P9671">
        <v>-2.960467E-2</v>
      </c>
      <c r="Q9671">
        <v>-5.5194420000000001E-2</v>
      </c>
      <c r="R9671">
        <v>0.99803660000000005</v>
      </c>
      <c r="S9671">
        <v>6.1340329999999997E-3</v>
      </c>
      <c r="T9671">
        <v>6.8022009999999999E-3</v>
      </c>
      <c r="U9671">
        <v>3.0065309999999998</v>
      </c>
      <c r="V9671">
        <v>-2.4150649999999999E-2</v>
      </c>
      <c r="W9671">
        <v>-4.0751379999999997E-2</v>
      </c>
      <c r="X9671">
        <v>0.99887740000000003</v>
      </c>
      <c r="Y9671">
        <v>7.5093819999999898E-3</v>
      </c>
      <c r="Z9671">
        <v>1.6722270000000001E-2</v>
      </c>
      <c r="AA9671">
        <v>0.99983200000000005</v>
      </c>
      <c r="AB9671">
        <v>25</v>
      </c>
      <c r="AC9671">
        <v>0.69750000000001899</v>
      </c>
      <c r="AD9671">
        <v>0.77218900000000001</v>
      </c>
      <c r="AE9671">
        <v>341.05124000000001</v>
      </c>
      <c r="AF9671">
        <v>2.5630740629703301</v>
      </c>
      <c r="AG9671">
        <v>0.77218900000000001</v>
      </c>
      <c r="AH9671">
        <v>341.04057371609298</v>
      </c>
      <c r="AI9671">
        <v>89.870273952493505</v>
      </c>
      <c r="AJ9671">
        <v>89.569404425919799</v>
      </c>
      <c r="AK9671">
        <v>341.051079085092</v>
      </c>
      <c r="AL9671">
        <v>92.335528826198598</v>
      </c>
      <c r="AM9671">
        <v>91.385015603483893</v>
      </c>
      <c r="AN9671">
        <v>0.99999999454904298</v>
      </c>
    </row>
    <row r="9672" spans="1:40" x14ac:dyDescent="0.25">
      <c r="A9672" t="str">
        <f>"20190303154029292"</f>
        <v>20190303154029292</v>
      </c>
      <c r="B9672" t="str">
        <f>"1551598829287762"</f>
        <v>1551598829287762</v>
      </c>
      <c r="C9672" t="s">
        <v>40</v>
      </c>
      <c r="D9672">
        <v>4.2496349999999996</v>
      </c>
      <c r="E9672">
        <v>0.51231009999999999</v>
      </c>
      <c r="F9672" t="s">
        <v>92</v>
      </c>
      <c r="G9672">
        <v>-186.76130000000001</v>
      </c>
      <c r="H9672">
        <v>1.9616180000000001</v>
      </c>
      <c r="I9672">
        <v>391.87</v>
      </c>
      <c r="J9672">
        <v>-187.5121</v>
      </c>
      <c r="K9672">
        <v>1.1210500000000001</v>
      </c>
      <c r="L9672">
        <v>51.075499999999998</v>
      </c>
      <c r="M9672">
        <v>-5.4073709999999898E-3</v>
      </c>
      <c r="N9672">
        <v>-1.4291720000000001E-2</v>
      </c>
      <c r="O9672">
        <v>0.99988319999999997</v>
      </c>
      <c r="P9672">
        <v>-2.9778389999999998E-2</v>
      </c>
      <c r="Q9672">
        <v>-5.5686359999999997E-2</v>
      </c>
      <c r="R9672">
        <v>0.99800409999999995</v>
      </c>
      <c r="S9672">
        <v>6.607056E-3</v>
      </c>
      <c r="T9672">
        <v>7.4094529999999999E-3</v>
      </c>
      <c r="U9672">
        <v>3.0065</v>
      </c>
      <c r="V9672">
        <v>-2.4386709999999999E-2</v>
      </c>
      <c r="W9672">
        <v>-4.1411860000000002E-2</v>
      </c>
      <c r="X9672">
        <v>0.99884450000000002</v>
      </c>
      <c r="Y9672">
        <v>7.6045130000000002E-3</v>
      </c>
      <c r="Z9672">
        <v>1.6755900000000001E-2</v>
      </c>
      <c r="AA9672">
        <v>0.99983069999999996</v>
      </c>
      <c r="AB9672">
        <v>25</v>
      </c>
      <c r="AC9672">
        <v>0.75079999999999802</v>
      </c>
      <c r="AD9672">
        <v>0.84056799999999998</v>
      </c>
      <c r="AE9672">
        <v>340.79450000000003</v>
      </c>
      <c r="AF9672">
        <v>2.5937638521678199</v>
      </c>
      <c r="AG9672">
        <v>0.84056799999999998</v>
      </c>
      <c r="AH9672">
        <v>340.783383139112</v>
      </c>
      <c r="AI9672">
        <v>89.858680004394103</v>
      </c>
      <c r="AJ9672">
        <v>89.563919898858103</v>
      </c>
      <c r="AK9672">
        <v>340.79429042931798</v>
      </c>
      <c r="AL9672">
        <v>92.3734035177674</v>
      </c>
      <c r="AM9672">
        <v>91.398594104678295</v>
      </c>
      <c r="AN9672">
        <v>0.99999999447676602</v>
      </c>
    </row>
    <row r="9673" spans="1:40" x14ac:dyDescent="0.25">
      <c r="A9673" t="str">
        <f>"20190303154029314"</f>
        <v>20190303154029314</v>
      </c>
      <c r="B9673" t="str">
        <f>"1551598829308258"</f>
        <v>1551598829308258</v>
      </c>
      <c r="C9673" t="s">
        <v>40</v>
      </c>
      <c r="D9673">
        <v>4.2351299999999998</v>
      </c>
      <c r="E9673">
        <v>0.51235719999999996</v>
      </c>
      <c r="F9673" t="s">
        <v>92</v>
      </c>
      <c r="G9673">
        <v>-186.75970000000001</v>
      </c>
      <c r="H9673">
        <v>1.729946</v>
      </c>
      <c r="I9673">
        <v>391.87</v>
      </c>
      <c r="J9673">
        <v>-187.51339999999999</v>
      </c>
      <c r="K9673">
        <v>1.12097</v>
      </c>
      <c r="L9673">
        <v>51.330019999999998</v>
      </c>
      <c r="M9673">
        <v>-5.3460479999999999E-3</v>
      </c>
      <c r="N9673">
        <v>-1.394683E-2</v>
      </c>
      <c r="O9673">
        <v>0.99988840000000001</v>
      </c>
      <c r="P9673">
        <v>-2.9885740000000001E-2</v>
      </c>
      <c r="Q9673">
        <v>-5.6076699999999903E-2</v>
      </c>
      <c r="R9673">
        <v>0.99797910000000001</v>
      </c>
      <c r="S9673">
        <v>6.6375729999999999E-3</v>
      </c>
      <c r="T9673">
        <v>5.3716900000000001E-3</v>
      </c>
      <c r="U9673">
        <v>3.0065</v>
      </c>
      <c r="V9673">
        <v>-2.4555520000000001E-2</v>
      </c>
      <c r="W9673">
        <v>-4.2147009999999999E-2</v>
      </c>
      <c r="X9673">
        <v>0.99880959999999996</v>
      </c>
      <c r="Y9673">
        <v>7.5533469999999898E-3</v>
      </c>
      <c r="Z9673">
        <v>1.573335E-2</v>
      </c>
      <c r="AA9673">
        <v>0.99984770000000001</v>
      </c>
      <c r="AB9673">
        <v>25</v>
      </c>
      <c r="AC9673">
        <v>0.75369999999998005</v>
      </c>
      <c r="AD9673">
        <v>0.60897599999999996</v>
      </c>
      <c r="AE9673">
        <v>340.53997999999899</v>
      </c>
      <c r="AF9673">
        <v>2.5744012451036702</v>
      </c>
      <c r="AG9673">
        <v>0.60897599999999996</v>
      </c>
      <c r="AH9673">
        <v>340.52999398047098</v>
      </c>
      <c r="AI9673">
        <v>89.897539949486003</v>
      </c>
      <c r="AJ9673">
        <v>89.566853085669194</v>
      </c>
      <c r="AK9673">
        <v>340.540269562763</v>
      </c>
      <c r="AL9673">
        <v>92.415561354705403</v>
      </c>
      <c r="AM9673">
        <v>91.408320773038994</v>
      </c>
      <c r="AN9673">
        <v>0.99999998053328498</v>
      </c>
    </row>
    <row r="9674" spans="1:40" x14ac:dyDescent="0.25">
      <c r="A9674" t="str">
        <f>"20190303154029336"</f>
        <v>20190303154029336</v>
      </c>
      <c r="B9674" t="str">
        <f>"1551598829327778"</f>
        <v>1551598829327778</v>
      </c>
      <c r="C9674" t="s">
        <v>40</v>
      </c>
      <c r="D9674">
        <v>4.251741</v>
      </c>
      <c r="E9674">
        <v>0.51240339999999995</v>
      </c>
      <c r="F9674" t="s">
        <v>92</v>
      </c>
      <c r="G9674">
        <v>-186.74430000000001</v>
      </c>
      <c r="H9674">
        <v>1.5617099999999999</v>
      </c>
      <c r="I9674">
        <v>391.87</v>
      </c>
      <c r="J9674">
        <v>-187.5147</v>
      </c>
      <c r="K9674">
        <v>1.1208720000000001</v>
      </c>
      <c r="L9674">
        <v>51.584499999999998</v>
      </c>
      <c r="M9674">
        <v>-5.2844600000000004E-3</v>
      </c>
      <c r="N9674">
        <v>-1.350517E-2</v>
      </c>
      <c r="O9674">
        <v>0.99989490000000003</v>
      </c>
      <c r="P9674">
        <v>-2.994001E-2</v>
      </c>
      <c r="Q9674">
        <v>-5.646988E-2</v>
      </c>
      <c r="R9674">
        <v>0.99795529999999999</v>
      </c>
      <c r="S9674">
        <v>6.7901609999999899E-3</v>
      </c>
      <c r="T9674">
        <v>3.8911100000000001E-3</v>
      </c>
      <c r="U9674">
        <v>3.0065</v>
      </c>
      <c r="V9674">
        <v>-2.4671800000000001E-2</v>
      </c>
      <c r="W9674">
        <v>-4.298167E-2</v>
      </c>
      <c r="X9674">
        <v>0.99877119999999997</v>
      </c>
      <c r="Y9674">
        <v>7.542516E-3</v>
      </c>
      <c r="Z9674">
        <v>1.479931E-2</v>
      </c>
      <c r="AA9674">
        <v>0.99986200000000003</v>
      </c>
      <c r="AB9674">
        <v>25</v>
      </c>
      <c r="AC9674">
        <v>0.77039999999999498</v>
      </c>
      <c r="AD9674">
        <v>0.44083800000000001</v>
      </c>
      <c r="AE9674">
        <v>340.28550000000001</v>
      </c>
      <c r="AF9674">
        <v>2.5687739409669801</v>
      </c>
      <c r="AG9674">
        <v>0.44083800000000001</v>
      </c>
      <c r="AH9674">
        <v>340.27610517276099</v>
      </c>
      <c r="AI9674">
        <v>89.925773738881503</v>
      </c>
      <c r="AJ9674">
        <v>89.567477388702002</v>
      </c>
      <c r="AK9674">
        <v>340.28608653491199</v>
      </c>
      <c r="AL9674">
        <v>92.463427144921695</v>
      </c>
      <c r="AM9674">
        <v>91.415041398564398</v>
      </c>
      <c r="AN9674">
        <v>1.0000000158103299</v>
      </c>
    </row>
    <row r="9675" spans="1:40" x14ac:dyDescent="0.25">
      <c r="A9675" t="str">
        <f>"20190303154029359"</f>
        <v>20190303154029359</v>
      </c>
      <c r="B9675" t="str">
        <f>"1551598829348274"</f>
        <v>1551598829348274</v>
      </c>
      <c r="C9675" t="s">
        <v>40</v>
      </c>
      <c r="D9675">
        <v>4.2661290000000003</v>
      </c>
      <c r="E9675">
        <v>0.51244619999999996</v>
      </c>
      <c r="F9675" t="s">
        <v>92</v>
      </c>
      <c r="G9675">
        <v>-186.74789999999999</v>
      </c>
      <c r="H9675">
        <v>1.4063889999999999</v>
      </c>
      <c r="I9675">
        <v>391.87</v>
      </c>
      <c r="J9675">
        <v>-187.51589999999999</v>
      </c>
      <c r="K9675">
        <v>1.1207819999999999</v>
      </c>
      <c r="L9675">
        <v>51.836820000000003</v>
      </c>
      <c r="M9675">
        <v>-5.2229099999999999E-3</v>
      </c>
      <c r="N9675">
        <v>-1.301591E-2</v>
      </c>
      <c r="O9675">
        <v>0.9999017</v>
      </c>
      <c r="P9675">
        <v>-2.9729459999999999E-2</v>
      </c>
      <c r="Q9675">
        <v>-5.7589920000000003E-2</v>
      </c>
      <c r="R9675">
        <v>0.99789760000000005</v>
      </c>
      <c r="S9675">
        <v>6.7749019999999898E-3</v>
      </c>
      <c r="T9675">
        <v>2.5225880000000001E-3</v>
      </c>
      <c r="U9675">
        <v>3.0065</v>
      </c>
      <c r="V9675">
        <v>-2.4523380000000001E-2</v>
      </c>
      <c r="W9675">
        <v>-4.4591150000000003E-2</v>
      </c>
      <c r="X9675">
        <v>0.99870429999999999</v>
      </c>
      <c r="Y9675">
        <v>7.4759129999999998E-3</v>
      </c>
      <c r="Z9675">
        <v>1.385492E-2</v>
      </c>
      <c r="AA9675">
        <v>0.99987610000000005</v>
      </c>
      <c r="AB9675">
        <v>25</v>
      </c>
      <c r="AC9675">
        <v>0.76800000000000002</v>
      </c>
      <c r="AD9675">
        <v>0.285606999999999</v>
      </c>
      <c r="AE9675">
        <v>340.03317999999899</v>
      </c>
      <c r="AF9675">
        <v>2.5441007889985001</v>
      </c>
      <c r="AG9675">
        <v>0.285606999999999</v>
      </c>
      <c r="AH9675">
        <v>340.02428991697502</v>
      </c>
      <c r="AI9675">
        <v>89.951875162132396</v>
      </c>
      <c r="AJ9675">
        <v>89.571314396700203</v>
      </c>
      <c r="AK9675">
        <v>340.03392735685401</v>
      </c>
      <c r="AL9675">
        <v>92.555732075015001</v>
      </c>
      <c r="AM9675">
        <v>91.406626438904595</v>
      </c>
      <c r="AN9675">
        <v>1.0000000228317101</v>
      </c>
    </row>
    <row r="9676" spans="1:40" x14ac:dyDescent="0.25">
      <c r="A9676" t="str">
        <f>"20190303154029381"</f>
        <v>20190303154029381</v>
      </c>
      <c r="B9676" t="str">
        <f>"1551598829377553"</f>
        <v>1551598829377553</v>
      </c>
      <c r="C9676" t="s">
        <v>40</v>
      </c>
      <c r="D9676">
        <v>4.3114169999999996</v>
      </c>
      <c r="E9676">
        <v>0.51250200000000001</v>
      </c>
      <c r="F9676" t="s">
        <v>92</v>
      </c>
      <c r="G9676">
        <v>-186.61</v>
      </c>
      <c r="H9676">
        <v>0.98734659999999996</v>
      </c>
      <c r="I9676">
        <v>391.87</v>
      </c>
      <c r="J9676">
        <v>-187.5172</v>
      </c>
      <c r="K9676">
        <v>1.1206989999999999</v>
      </c>
      <c r="L9676">
        <v>52.087339999999998</v>
      </c>
      <c r="M9676">
        <v>-5.1615979999999999E-3</v>
      </c>
      <c r="N9676">
        <v>-1.249839E-2</v>
      </c>
      <c r="O9676">
        <v>0.99990860000000004</v>
      </c>
      <c r="P9676">
        <v>-2.8939599999999999E-2</v>
      </c>
      <c r="Q9676">
        <v>-5.7769420000000002E-2</v>
      </c>
      <c r="R9676">
        <v>0.99791039999999998</v>
      </c>
      <c r="S9676">
        <v>8.0108639999999995E-3</v>
      </c>
      <c r="T9676">
        <v>-1.1798139999999999E-3</v>
      </c>
      <c r="U9676">
        <v>3.0065</v>
      </c>
      <c r="V9676">
        <v>-2.3794490000000001E-2</v>
      </c>
      <c r="W9676">
        <v>-4.5287569999999999E-2</v>
      </c>
      <c r="X9676">
        <v>0.99869050000000004</v>
      </c>
      <c r="Y9676">
        <v>7.8256269999999999E-3</v>
      </c>
      <c r="Z9676">
        <v>1.210609E-2</v>
      </c>
      <c r="AA9676">
        <v>0.99989609999999995</v>
      </c>
      <c r="AB9676">
        <v>25</v>
      </c>
      <c r="AC9676">
        <v>0.90719999999998802</v>
      </c>
      <c r="AD9676">
        <v>-0.13335239999999901</v>
      </c>
      <c r="AE9676">
        <v>339.78266000000002</v>
      </c>
      <c r="AF9676">
        <v>2.6611459468402399</v>
      </c>
      <c r="AG9676">
        <v>-0.13335239999999901</v>
      </c>
      <c r="AH9676">
        <v>339.77339770065601</v>
      </c>
      <c r="AI9676">
        <v>90.022486442538096</v>
      </c>
      <c r="AJ9676">
        <v>89.551261767668905</v>
      </c>
      <c r="AK9676">
        <v>339.78384491564799</v>
      </c>
      <c r="AL9676">
        <v>92.595674600322695</v>
      </c>
      <c r="AM9676">
        <v>91.364853246094199</v>
      </c>
      <c r="AN9676">
        <v>0.99999992827055495</v>
      </c>
    </row>
    <row r="9677" spans="1:40" x14ac:dyDescent="0.25">
      <c r="A9677" t="str">
        <f>"20190303154029402"</f>
        <v>20190303154029402</v>
      </c>
      <c r="B9677" t="str">
        <f>"1551598829398050"</f>
        <v>1551598829398050</v>
      </c>
      <c r="C9677" t="s">
        <v>40</v>
      </c>
      <c r="D9677">
        <v>4.2182779999999998</v>
      </c>
      <c r="E9677">
        <v>0.51253579999999999</v>
      </c>
      <c r="F9677" t="s">
        <v>92</v>
      </c>
      <c r="G9677">
        <v>-186.24969999999999</v>
      </c>
      <c r="H9677">
        <v>0.84482190000000001</v>
      </c>
      <c r="I9677">
        <v>391.87</v>
      </c>
      <c r="J9677">
        <v>-187.51840000000001</v>
      </c>
      <c r="K9677">
        <v>1.1206199999999999</v>
      </c>
      <c r="L9677">
        <v>52.330350000000003</v>
      </c>
      <c r="M9677">
        <v>-5.10226E-3</v>
      </c>
      <c r="N9677">
        <v>-1.1977089999999999E-2</v>
      </c>
      <c r="O9677">
        <v>0.9999152</v>
      </c>
      <c r="P9677">
        <v>-2.80381E-2</v>
      </c>
      <c r="Q9677">
        <v>-5.7763229999999999E-2</v>
      </c>
      <c r="R9677">
        <v>0.9979365</v>
      </c>
      <c r="S9677">
        <v>1.121521E-2</v>
      </c>
      <c r="T9677">
        <v>-2.4410489999999998E-3</v>
      </c>
      <c r="U9677">
        <v>3.0064700000000002</v>
      </c>
      <c r="V9677">
        <v>-2.2952E-2</v>
      </c>
      <c r="W9677">
        <v>-4.58019E-2</v>
      </c>
      <c r="X9677">
        <v>0.99868690000000004</v>
      </c>
      <c r="Y9677">
        <v>8.8319669999999996E-3</v>
      </c>
      <c r="Z9677">
        <v>1.1165359999999999E-2</v>
      </c>
      <c r="AA9677">
        <v>0.99989870000000003</v>
      </c>
      <c r="AB9677">
        <v>25</v>
      </c>
      <c r="AC9677">
        <v>1.2687000000000199</v>
      </c>
      <c r="AD9677">
        <v>-0.27579809999999999</v>
      </c>
      <c r="AE9677">
        <v>339.53964999999999</v>
      </c>
      <c r="AF9677">
        <v>3.00122544418159</v>
      </c>
      <c r="AG9677">
        <v>-0.27579809999999999</v>
      </c>
      <c r="AH9677">
        <v>339.52853199489999</v>
      </c>
      <c r="AI9677">
        <v>90.046539376970699</v>
      </c>
      <c r="AJ9677">
        <v>89.493553393307806</v>
      </c>
      <c r="AK9677">
        <v>339.54190824899803</v>
      </c>
      <c r="AL9677">
        <v>92.625173790148807</v>
      </c>
      <c r="AM9677">
        <v>91.316550038181504</v>
      </c>
      <c r="AN9677">
        <v>1.0000000662896</v>
      </c>
    </row>
    <row r="9678" spans="1:40" x14ac:dyDescent="0.25">
      <c r="A9678" t="str">
        <f>"20190303154029425"</f>
        <v>20190303154029425</v>
      </c>
      <c r="B9678" t="str">
        <f>"1551598829417570"</f>
        <v>1551598829417570</v>
      </c>
      <c r="C9678" t="s">
        <v>40</v>
      </c>
      <c r="D9678">
        <v>4.2738149999999999</v>
      </c>
      <c r="E9678">
        <v>0.51243279999999902</v>
      </c>
      <c r="F9678" t="s">
        <v>92</v>
      </c>
      <c r="G9678">
        <v>-185.92269999999999</v>
      </c>
      <c r="H9678">
        <v>0.83864969999999905</v>
      </c>
      <c r="I9678">
        <v>391.87</v>
      </c>
      <c r="J9678">
        <v>-187.5196</v>
      </c>
      <c r="K9678">
        <v>1.1205400000000001</v>
      </c>
      <c r="L9678">
        <v>52.591000000000001</v>
      </c>
      <c r="M9678">
        <v>-5.0388799999999999E-3</v>
      </c>
      <c r="N9678">
        <v>-1.1403989999999999E-2</v>
      </c>
      <c r="O9678">
        <v>0.99992230000000004</v>
      </c>
      <c r="P9678">
        <v>-2.7316469999999999E-2</v>
      </c>
      <c r="Q9678">
        <v>-5.7318670000000002E-2</v>
      </c>
      <c r="R9678">
        <v>0.99798209999999998</v>
      </c>
      <c r="S9678">
        <v>1.4129640000000001E-2</v>
      </c>
      <c r="T9678">
        <v>-2.4967190000000001E-3</v>
      </c>
      <c r="U9678">
        <v>3.0064700000000002</v>
      </c>
      <c r="V9678">
        <v>-2.2293739999999999E-2</v>
      </c>
      <c r="W9678">
        <v>-4.592939E-2</v>
      </c>
      <c r="X9678">
        <v>0.99869589999999997</v>
      </c>
      <c r="Y9678">
        <v>9.7378429999999995E-3</v>
      </c>
      <c r="Z9678">
        <v>1.057376E-2</v>
      </c>
      <c r="AA9678">
        <v>0.99989669999999997</v>
      </c>
      <c r="AB9678">
        <v>25</v>
      </c>
      <c r="AC9678">
        <v>1.5969</v>
      </c>
      <c r="AD9678">
        <v>-0.28189029999999898</v>
      </c>
      <c r="AE9678">
        <v>339.279</v>
      </c>
      <c r="AF9678">
        <v>3.3065747463968198</v>
      </c>
      <c r="AG9678">
        <v>-0.28189029999999898</v>
      </c>
      <c r="AH9678">
        <v>339.26641090732602</v>
      </c>
      <c r="AI9678">
        <v>90.047603750923798</v>
      </c>
      <c r="AJ9678">
        <v>89.4415987754806</v>
      </c>
      <c r="AK9678">
        <v>339.28264097745</v>
      </c>
      <c r="AL9678">
        <v>92.632486271748306</v>
      </c>
      <c r="AM9678">
        <v>91.278792778802597</v>
      </c>
      <c r="AN9678">
        <v>1.0000000101928801</v>
      </c>
    </row>
    <row r="9679" spans="1:40" x14ac:dyDescent="0.25">
      <c r="A9679" t="str">
        <f>"20190303154029447"</f>
        <v>20190303154029447</v>
      </c>
      <c r="B9679" t="str">
        <f>"1551598829438066"</f>
        <v>1551598829438066</v>
      </c>
      <c r="C9679" t="s">
        <v>40</v>
      </c>
      <c r="D9679">
        <v>4.2974319999999997</v>
      </c>
      <c r="E9679">
        <v>0.51230149999999997</v>
      </c>
      <c r="F9679" t="s">
        <v>92</v>
      </c>
      <c r="G9679">
        <v>-185.80459999999999</v>
      </c>
      <c r="H9679">
        <v>0.99998860000000001</v>
      </c>
      <c r="I9679">
        <v>391.87</v>
      </c>
      <c r="J9679">
        <v>-187.52090000000001</v>
      </c>
      <c r="K9679">
        <v>1.120465</v>
      </c>
      <c r="L9679">
        <v>52.849029999999999</v>
      </c>
      <c r="M9679">
        <v>-4.9765879999999997E-3</v>
      </c>
      <c r="N9679">
        <v>-1.082952E-2</v>
      </c>
      <c r="O9679">
        <v>0.99992899999999996</v>
      </c>
      <c r="P9679">
        <v>-2.7041929999999999E-2</v>
      </c>
      <c r="Q9679">
        <v>-5.6514729999999999E-2</v>
      </c>
      <c r="R9679">
        <v>0.99803549999999996</v>
      </c>
      <c r="S9679">
        <v>1.5197749999999999E-2</v>
      </c>
      <c r="T9679">
        <v>-1.0682339999999999E-3</v>
      </c>
      <c r="U9679">
        <v>3.0064090000000001</v>
      </c>
      <c r="V9679">
        <v>-2.2081110000000001E-2</v>
      </c>
      <c r="W9679">
        <v>-4.569869E-2</v>
      </c>
      <c r="X9679">
        <v>0.99871120000000002</v>
      </c>
      <c r="Y9679">
        <v>1.003092E-2</v>
      </c>
      <c r="Z9679">
        <v>1.047437E-2</v>
      </c>
      <c r="AA9679">
        <v>0.99989490000000003</v>
      </c>
      <c r="AB9679">
        <v>26</v>
      </c>
      <c r="AC9679">
        <v>1.7163000000000099</v>
      </c>
      <c r="AD9679">
        <v>-0.1204764</v>
      </c>
      <c r="AE9679">
        <v>339.02096999999998</v>
      </c>
      <c r="AF9679">
        <v>3.4035449061023999</v>
      </c>
      <c r="AG9679">
        <v>-0.1204764</v>
      </c>
      <c r="AH9679">
        <v>339.00818668342299</v>
      </c>
      <c r="AI9679">
        <v>90.020360691486502</v>
      </c>
      <c r="AJ9679">
        <v>89.424786142236897</v>
      </c>
      <c r="AK9679">
        <v>339.025292966282</v>
      </c>
      <c r="AL9679">
        <v>92.619254259644293</v>
      </c>
      <c r="AM9679">
        <v>91.266580689171207</v>
      </c>
      <c r="AN9679">
        <v>1.0000000033459899</v>
      </c>
    </row>
    <row r="9680" spans="1:40" x14ac:dyDescent="0.25">
      <c r="A9680" t="str">
        <f>"20190303154029470"</f>
        <v>20190303154029470</v>
      </c>
      <c r="B9680" t="str">
        <f>"1551598829457586"</f>
        <v>1551598829457586</v>
      </c>
      <c r="C9680" t="s">
        <v>40</v>
      </c>
      <c r="D9680">
        <v>4.2906110000000002</v>
      </c>
      <c r="E9680">
        <v>0.51217469999999998</v>
      </c>
      <c r="F9680" t="s">
        <v>92</v>
      </c>
      <c r="G9680">
        <v>-185.81909999999999</v>
      </c>
      <c r="H9680">
        <v>1.2526109999999999</v>
      </c>
      <c r="I9680">
        <v>391.87</v>
      </c>
      <c r="J9680">
        <v>-187.52199999999999</v>
      </c>
      <c r="K9680">
        <v>1.120398</v>
      </c>
      <c r="L9680">
        <v>53.102780000000003</v>
      </c>
      <c r="M9680">
        <v>-4.9155240000000001E-3</v>
      </c>
      <c r="N9680">
        <v>-1.0265170000000001E-2</v>
      </c>
      <c r="O9680">
        <v>0.99993520000000002</v>
      </c>
      <c r="P9680">
        <v>-2.6786529999999999E-2</v>
      </c>
      <c r="Q9680">
        <v>-5.5809400000000002E-2</v>
      </c>
      <c r="R9680">
        <v>0.99808200000000002</v>
      </c>
      <c r="S9680">
        <v>1.5090940000000001E-2</v>
      </c>
      <c r="T9680">
        <v>1.1718270000000001E-3</v>
      </c>
      <c r="U9680">
        <v>3.0063780000000002</v>
      </c>
      <c r="V9680">
        <v>-2.1886470000000002E-2</v>
      </c>
      <c r="W9680">
        <v>-4.5556590000000001E-2</v>
      </c>
      <c r="X9680">
        <v>0.998722</v>
      </c>
      <c r="Y9680">
        <v>9.9344519999999999E-3</v>
      </c>
      <c r="Z9680">
        <v>1.0655039999999999E-2</v>
      </c>
      <c r="AA9680">
        <v>0.9998939</v>
      </c>
      <c r="AB9680">
        <v>26</v>
      </c>
      <c r="AC9680">
        <v>1.7029000000000201</v>
      </c>
      <c r="AD9680">
        <v>0.132213</v>
      </c>
      <c r="AE9680">
        <v>338.76722000000001</v>
      </c>
      <c r="AF9680">
        <v>3.3681851037405801</v>
      </c>
      <c r="AG9680">
        <v>0.132213</v>
      </c>
      <c r="AH9680">
        <v>338.754704149622</v>
      </c>
      <c r="AI9680">
        <v>89.977639064484805</v>
      </c>
      <c r="AJ9680">
        <v>89.430335786806594</v>
      </c>
      <c r="AK9680">
        <v>338.77147420446801</v>
      </c>
      <c r="AL9680">
        <v>92.611103979607506</v>
      </c>
      <c r="AM9680">
        <v>91.255406083747602</v>
      </c>
      <c r="AN9680">
        <v>1.00000002687274</v>
      </c>
    </row>
    <row r="9681" spans="1:40" x14ac:dyDescent="0.25">
      <c r="A9681" t="str">
        <f>"20190303154029491"</f>
        <v>20190303154029491</v>
      </c>
      <c r="B9681" t="str">
        <f>"1551598829487842"</f>
        <v>1551598829487842</v>
      </c>
      <c r="C9681" t="s">
        <v>40</v>
      </c>
      <c r="D9681">
        <v>4.2920040000000004</v>
      </c>
      <c r="E9681">
        <v>0.51198670000000002</v>
      </c>
      <c r="F9681" t="s">
        <v>92</v>
      </c>
      <c r="G9681">
        <v>-185.83189999999999</v>
      </c>
      <c r="H9681">
        <v>1.4715400000000001</v>
      </c>
      <c r="I9681">
        <v>391.87</v>
      </c>
      <c r="J9681">
        <v>-187.5232</v>
      </c>
      <c r="K9681">
        <v>1.1203449999999999</v>
      </c>
      <c r="L9681">
        <v>53.355870000000003</v>
      </c>
      <c r="M9681">
        <v>-4.854705E-3</v>
      </c>
      <c r="N9681">
        <v>-9.7193350000000008E-3</v>
      </c>
      <c r="O9681">
        <v>0.99994099999999997</v>
      </c>
      <c r="P9681">
        <v>-2.7546729999999998E-2</v>
      </c>
      <c r="Q9681">
        <v>-5.520473E-2</v>
      </c>
      <c r="R9681">
        <v>0.99809499999999995</v>
      </c>
      <c r="S9681">
        <v>1.499939E-2</v>
      </c>
      <c r="T9681">
        <v>3.1161309999999998E-3</v>
      </c>
      <c r="U9681">
        <v>3.006348</v>
      </c>
      <c r="V9681">
        <v>-2.2707069999999999E-2</v>
      </c>
      <c r="W9681">
        <v>-4.549682E-2</v>
      </c>
      <c r="X9681">
        <v>0.99870639999999999</v>
      </c>
      <c r="Y9681">
        <v>9.8432910000000005E-3</v>
      </c>
      <c r="Z9681">
        <v>1.0755870000000001E-2</v>
      </c>
      <c r="AA9681">
        <v>0.9998937</v>
      </c>
      <c r="AB9681">
        <v>26</v>
      </c>
      <c r="AC9681">
        <v>1.69130000000001</v>
      </c>
      <c r="AD9681">
        <v>0.35119499999999898</v>
      </c>
      <c r="AE9681">
        <v>338.514129999999</v>
      </c>
      <c r="AF9681">
        <v>3.3347403145232799</v>
      </c>
      <c r="AG9681">
        <v>0.35119499999999898</v>
      </c>
      <c r="AH9681">
        <v>338.501565043536</v>
      </c>
      <c r="AI9681">
        <v>89.940558597712297</v>
      </c>
      <c r="AJ9681">
        <v>89.435570216565196</v>
      </c>
      <c r="AK9681">
        <v>338.51817287675499</v>
      </c>
      <c r="AL9681">
        <v>92.607675867745797</v>
      </c>
      <c r="AM9681">
        <v>91.302480047539106</v>
      </c>
      <c r="AN9681">
        <v>1.00000002252952</v>
      </c>
    </row>
    <row r="9682" spans="1:40" x14ac:dyDescent="0.25">
      <c r="A9682" t="str">
        <f>"20190303154029516"</f>
        <v>20190303154029516</v>
      </c>
      <c r="B9682" t="str">
        <f>"1551598829508338"</f>
        <v>1551598829508338</v>
      </c>
      <c r="C9682" t="s">
        <v>40</v>
      </c>
      <c r="D9682">
        <v>4.2786249999999999</v>
      </c>
      <c r="E9682">
        <v>0.51186670000000001</v>
      </c>
      <c r="F9682" t="s">
        <v>92</v>
      </c>
      <c r="G9682">
        <v>-186.28280000000001</v>
      </c>
      <c r="H9682">
        <v>1.65165099999999</v>
      </c>
      <c r="I9682">
        <v>391.87</v>
      </c>
      <c r="J9682">
        <v>-187.52449999999999</v>
      </c>
      <c r="K9682">
        <v>1.120288</v>
      </c>
      <c r="L9682">
        <v>53.636600000000001</v>
      </c>
      <c r="M9682">
        <v>-4.7873189999999999E-3</v>
      </c>
      <c r="N9682">
        <v>-9.1523279999999995E-3</v>
      </c>
      <c r="O9682">
        <v>0.99994669999999997</v>
      </c>
      <c r="P9682">
        <v>-2.817588E-2</v>
      </c>
      <c r="Q9682">
        <v>-5.494189E-2</v>
      </c>
      <c r="R9682">
        <v>0.99809190000000003</v>
      </c>
      <c r="S9682">
        <v>1.101685E-2</v>
      </c>
      <c r="T9682">
        <v>4.7184230000000002E-3</v>
      </c>
      <c r="U9682">
        <v>3.0062869999999999</v>
      </c>
      <c r="V9682">
        <v>-2.3403920000000002E-2</v>
      </c>
      <c r="W9682">
        <v>-4.5800180000000003E-2</v>
      </c>
      <c r="X9682">
        <v>0.99867640000000002</v>
      </c>
      <c r="Y9682">
        <v>8.4515200000000006E-3</v>
      </c>
      <c r="Z9682">
        <v>1.072179E-2</v>
      </c>
      <c r="AA9682">
        <v>0.99990679999999998</v>
      </c>
      <c r="AB9682">
        <v>26</v>
      </c>
      <c r="AC9682">
        <v>1.24169999999998</v>
      </c>
      <c r="AD9682">
        <v>0.53136299999999903</v>
      </c>
      <c r="AE9682">
        <v>338.23340000000002</v>
      </c>
      <c r="AF9682">
        <v>2.8609776430699898</v>
      </c>
      <c r="AG9682">
        <v>0.53136299999999903</v>
      </c>
      <c r="AH9682">
        <v>338.22274437150202</v>
      </c>
      <c r="AI9682">
        <v>89.909989071964105</v>
      </c>
      <c r="AJ9682">
        <v>89.515354784787704</v>
      </c>
      <c r="AK9682">
        <v>338.235261836939</v>
      </c>
      <c r="AL9682">
        <v>92.625075375232498</v>
      </c>
      <c r="AM9682">
        <v>91.342477343081697</v>
      </c>
      <c r="AN9682">
        <v>0.99999997593817902</v>
      </c>
    </row>
    <row r="9683" spans="1:40" x14ac:dyDescent="0.25">
      <c r="A9683" t="str">
        <f>"20190303154029538"</f>
        <v>20190303154029538</v>
      </c>
      <c r="B9683" t="str">
        <f>"1551598829527858"</f>
        <v>1551598829527858</v>
      </c>
      <c r="C9683" t="s">
        <v>40</v>
      </c>
      <c r="D9683">
        <v>4.2821099999999896</v>
      </c>
      <c r="E9683">
        <v>0.51174339999999996</v>
      </c>
      <c r="F9683" t="s">
        <v>92</v>
      </c>
      <c r="G9683">
        <v>-186.6009</v>
      </c>
      <c r="H9683">
        <v>1.7180059999999999</v>
      </c>
      <c r="I9683">
        <v>391.87</v>
      </c>
      <c r="J9683">
        <v>-187.5258</v>
      </c>
      <c r="K9683">
        <v>1.120247</v>
      </c>
      <c r="L9683">
        <v>53.903590000000001</v>
      </c>
      <c r="M9683">
        <v>-4.7233199999999996E-3</v>
      </c>
      <c r="N9683">
        <v>-8.6606700000000005E-3</v>
      </c>
      <c r="O9683">
        <v>0.99995140000000005</v>
      </c>
      <c r="P9683">
        <v>-2.8241889999999999E-2</v>
      </c>
      <c r="Q9683">
        <v>-5.5479979999999998E-2</v>
      </c>
      <c r="R9683">
        <v>0.99806030000000001</v>
      </c>
      <c r="S9683">
        <v>8.2092290000000002E-3</v>
      </c>
      <c r="T9683">
        <v>5.3125619999999998E-3</v>
      </c>
      <c r="U9683">
        <v>3.006256</v>
      </c>
      <c r="V9683">
        <v>-2.353423E-2</v>
      </c>
      <c r="W9683">
        <v>-4.6829509999999998E-2</v>
      </c>
      <c r="X9683">
        <v>0.9986256</v>
      </c>
      <c r="Y9683">
        <v>7.4537839999999998E-3</v>
      </c>
      <c r="Z9683">
        <v>1.0427759999999999E-2</v>
      </c>
      <c r="AA9683">
        <v>0.99991790000000003</v>
      </c>
      <c r="AB9683">
        <v>26</v>
      </c>
      <c r="AC9683">
        <v>0.92490000000000705</v>
      </c>
      <c r="AD9683">
        <v>0.59775900000000004</v>
      </c>
      <c r="AE9683">
        <v>337.96641</v>
      </c>
      <c r="AF9683">
        <v>2.5212650745541798</v>
      </c>
      <c r="AG9683">
        <v>0.59775900000000004</v>
      </c>
      <c r="AH9683">
        <v>337.95721374521798</v>
      </c>
      <c r="AI9683">
        <v>89.898661494077103</v>
      </c>
      <c r="AJ9683">
        <v>89.572563738756799</v>
      </c>
      <c r="AK9683">
        <v>337.96714694749397</v>
      </c>
      <c r="AL9683">
        <v>92.684114999795497</v>
      </c>
      <c r="AM9683">
        <v>91.350017971406302</v>
      </c>
      <c r="AN9683">
        <v>0.99999997598194601</v>
      </c>
    </row>
    <row r="9684" spans="1:40" x14ac:dyDescent="0.25">
      <c r="A9684" t="str">
        <f>"20190303154029559"</f>
        <v>20190303154029559</v>
      </c>
      <c r="B9684" t="str">
        <f>"1551598829547381"</f>
        <v>1551598829547381</v>
      </c>
      <c r="C9684" t="s">
        <v>40</v>
      </c>
      <c r="D9684">
        <v>4.2937440000000002</v>
      </c>
      <c r="E9684">
        <v>0.51162640000000004</v>
      </c>
      <c r="F9684" t="s">
        <v>92</v>
      </c>
      <c r="G9684">
        <v>-186.73670000000001</v>
      </c>
      <c r="H9684">
        <v>1.508335</v>
      </c>
      <c r="I9684">
        <v>391.87</v>
      </c>
      <c r="J9684">
        <v>-187.52680000000001</v>
      </c>
      <c r="K9684">
        <v>1.12022</v>
      </c>
      <c r="L9684">
        <v>54.148800000000001</v>
      </c>
      <c r="M9684">
        <v>-4.6645050000000002E-3</v>
      </c>
      <c r="N9684">
        <v>-8.2543189999999995E-3</v>
      </c>
      <c r="O9684">
        <v>0.99995509999999999</v>
      </c>
      <c r="P9684">
        <v>-2.7908220000000001E-2</v>
      </c>
      <c r="Q9684">
        <v>-5.5436600000000003E-2</v>
      </c>
      <c r="R9684">
        <v>0.99807210000000002</v>
      </c>
      <c r="S9684">
        <v>7.019043E-3</v>
      </c>
      <c r="T9684">
        <v>3.452063E-3</v>
      </c>
      <c r="U9684">
        <v>3.0062259999999998</v>
      </c>
      <c r="V9684">
        <v>-2.3259080000000001E-2</v>
      </c>
      <c r="W9684">
        <v>-4.7191879999999999E-2</v>
      </c>
      <c r="X9684">
        <v>0.99861500000000003</v>
      </c>
      <c r="Y9684">
        <v>6.9991460000000004E-3</v>
      </c>
      <c r="Z9684">
        <v>9.4025889999999994E-3</v>
      </c>
      <c r="AA9684">
        <v>0.99993129999999997</v>
      </c>
      <c r="AB9684">
        <v>26</v>
      </c>
      <c r="AC9684">
        <v>0.79009999999999503</v>
      </c>
      <c r="AD9684">
        <v>0.38811499999999999</v>
      </c>
      <c r="AE9684">
        <v>337.72120000000001</v>
      </c>
      <c r="AF9684">
        <v>2.36544410082033</v>
      </c>
      <c r="AG9684">
        <v>0.38811499999999999</v>
      </c>
      <c r="AH9684">
        <v>337.71339416100398</v>
      </c>
      <c r="AI9684">
        <v>89.9341548289256</v>
      </c>
      <c r="AJ9684">
        <v>89.598690044023996</v>
      </c>
      <c r="AK9684">
        <v>337.72190120688498</v>
      </c>
      <c r="AL9684">
        <v>92.704900219199601</v>
      </c>
      <c r="AM9684">
        <v>91.334254158772694</v>
      </c>
      <c r="AN9684">
        <v>0.99999998828268999</v>
      </c>
    </row>
    <row r="9685" spans="1:40" x14ac:dyDescent="0.25">
      <c r="A9685" t="str">
        <f>"20190303154029582"</f>
        <v>20190303154029582</v>
      </c>
      <c r="B9685" t="str">
        <f>"1551598829577634"</f>
        <v>1551598829577634</v>
      </c>
      <c r="C9685" t="s">
        <v>40</v>
      </c>
      <c r="D9685">
        <v>4.3024149999999999</v>
      </c>
      <c r="E9685">
        <v>0.51145940000000001</v>
      </c>
      <c r="F9685" t="s">
        <v>92</v>
      </c>
      <c r="G9685">
        <v>-186.71610000000001</v>
      </c>
      <c r="H9685">
        <v>1.494108</v>
      </c>
      <c r="I9685">
        <v>391.87</v>
      </c>
      <c r="J9685">
        <v>-187.52799999999999</v>
      </c>
      <c r="K9685">
        <v>1.1201989999999999</v>
      </c>
      <c r="L9685">
        <v>54.417050000000003</v>
      </c>
      <c r="M9685">
        <v>-4.6002609999999996E-3</v>
      </c>
      <c r="N9685">
        <v>-7.8599629999999993E-3</v>
      </c>
      <c r="O9685">
        <v>0.99995849999999997</v>
      </c>
      <c r="P9685">
        <v>-2.7771540000000001E-2</v>
      </c>
      <c r="Q9685">
        <v>-5.5344020000000001E-2</v>
      </c>
      <c r="R9685">
        <v>0.998081</v>
      </c>
      <c r="S9685">
        <v>7.2174069999999899E-3</v>
      </c>
      <c r="T9685">
        <v>3.3280850000000002E-3</v>
      </c>
      <c r="U9685">
        <v>3.0061650000000002</v>
      </c>
      <c r="V9685">
        <v>-2.318636E-2</v>
      </c>
      <c r="W9685">
        <v>-4.7493059999999997E-2</v>
      </c>
      <c r="X9685">
        <v>0.9986024</v>
      </c>
      <c r="Y9685">
        <v>7.0009449999999997E-3</v>
      </c>
      <c r="Z9685">
        <v>8.9670210000000004E-3</v>
      </c>
      <c r="AA9685">
        <v>0.99993529999999997</v>
      </c>
      <c r="AB9685">
        <v>26</v>
      </c>
      <c r="AC9685">
        <v>0.81189999999997997</v>
      </c>
      <c r="AD9685">
        <v>0.37390899999999999</v>
      </c>
      <c r="AE9685">
        <v>337.45294999999999</v>
      </c>
      <c r="AF9685">
        <v>2.36430814939107</v>
      </c>
      <c r="AG9685">
        <v>0.37390899999999999</v>
      </c>
      <c r="AH9685">
        <v>337.44522974391202</v>
      </c>
      <c r="AI9685">
        <v>89.9365145180967</v>
      </c>
      <c r="AJ9685">
        <v>89.598564004309495</v>
      </c>
      <c r="AK9685">
        <v>337.45371954964003</v>
      </c>
      <c r="AL9685">
        <v>92.722175967694398</v>
      </c>
      <c r="AM9685">
        <v>91.330100862640705</v>
      </c>
      <c r="AN9685">
        <v>0.99999997566198595</v>
      </c>
    </row>
    <row r="9686" spans="1:40" x14ac:dyDescent="0.25">
      <c r="A9686" t="str">
        <f>"20190303154029605"</f>
        <v>20190303154029605</v>
      </c>
      <c r="B9686" t="str">
        <f>"1551598829598130"</f>
        <v>1551598829598130</v>
      </c>
      <c r="C9686" t="s">
        <v>40</v>
      </c>
      <c r="D9686">
        <v>4.3246029999999998</v>
      </c>
      <c r="E9686">
        <v>0.51134449999999998</v>
      </c>
      <c r="F9686" t="s">
        <v>92</v>
      </c>
      <c r="G9686">
        <v>-186.86</v>
      </c>
      <c r="H9686">
        <v>1.4980599999999999</v>
      </c>
      <c r="I9686">
        <v>391.87</v>
      </c>
      <c r="J9686">
        <v>-187.5292</v>
      </c>
      <c r="K9686">
        <v>1.1201810000000001</v>
      </c>
      <c r="L9686">
        <v>54.694519999999997</v>
      </c>
      <c r="M9686">
        <v>-4.5340140000000003E-3</v>
      </c>
      <c r="N9686">
        <v>-7.5042030000000001E-3</v>
      </c>
      <c r="O9686">
        <v>0.99996160000000001</v>
      </c>
      <c r="P9686">
        <v>-2.769721E-2</v>
      </c>
      <c r="Q9686">
        <v>-5.4486729999999997E-2</v>
      </c>
      <c r="R9686">
        <v>0.99813030000000003</v>
      </c>
      <c r="S9686">
        <v>5.9509280000000003E-3</v>
      </c>
      <c r="T9686">
        <v>3.366113E-3</v>
      </c>
      <c r="U9686">
        <v>3.0061339999999999</v>
      </c>
      <c r="V9686">
        <v>-2.3178819999999999E-2</v>
      </c>
      <c r="W9686">
        <v>-4.699068E-2</v>
      </c>
      <c r="X9686">
        <v>0.99862640000000003</v>
      </c>
      <c r="Y9686">
        <v>6.513474E-3</v>
      </c>
      <c r="Z9686">
        <v>8.6239190000000007E-3</v>
      </c>
      <c r="AA9686">
        <v>0.99994159999999999</v>
      </c>
      <c r="AB9686">
        <v>26</v>
      </c>
      <c r="AC9686">
        <v>0.66919999999998903</v>
      </c>
      <c r="AD9686">
        <v>0.37787900000000002</v>
      </c>
      <c r="AE9686">
        <v>337.17547999999999</v>
      </c>
      <c r="AF9686">
        <v>2.1979916986439401</v>
      </c>
      <c r="AG9686">
        <v>0.37787900000000002</v>
      </c>
      <c r="AH9686">
        <v>337.16855634804301</v>
      </c>
      <c r="AI9686">
        <v>89.935787598335907</v>
      </c>
      <c r="AJ9686">
        <v>89.626495823971595</v>
      </c>
      <c r="AK9686">
        <v>337.17593234077299</v>
      </c>
      <c r="AL9686">
        <v>92.693359380954504</v>
      </c>
      <c r="AM9686">
        <v>91.329636536401495</v>
      </c>
      <c r="AN9686">
        <v>1.0000000342402</v>
      </c>
    </row>
    <row r="9687" spans="1:40" x14ac:dyDescent="0.25">
      <c r="A9687" t="str">
        <f>"20190303154029626"</f>
        <v>20190303154029626</v>
      </c>
      <c r="B9687" t="str">
        <f>"1551598829617650"</f>
        <v>1551598829617650</v>
      </c>
      <c r="C9687" t="s">
        <v>40</v>
      </c>
      <c r="D9687">
        <v>4.3150360000000001</v>
      </c>
      <c r="E9687">
        <v>0.51122279999999998</v>
      </c>
      <c r="F9687" t="s">
        <v>92</v>
      </c>
      <c r="G9687">
        <v>-186.91829999999999</v>
      </c>
      <c r="H9687">
        <v>1.7522180000000001</v>
      </c>
      <c r="I9687">
        <v>391.87</v>
      </c>
      <c r="J9687">
        <v>-187.53030000000001</v>
      </c>
      <c r="K9687">
        <v>1.1201669999999999</v>
      </c>
      <c r="L9687">
        <v>54.950229999999998</v>
      </c>
      <c r="M9687">
        <v>-4.4730389999999998E-3</v>
      </c>
      <c r="N9687">
        <v>-7.2189069999999897E-3</v>
      </c>
      <c r="O9687">
        <v>0.99996390000000002</v>
      </c>
      <c r="P9687">
        <v>-2.7753969999999999E-2</v>
      </c>
      <c r="Q9687">
        <v>-5.3990959999999998E-2</v>
      </c>
      <c r="R9687">
        <v>0.99815569999999998</v>
      </c>
      <c r="S9687">
        <v>5.4473880000000001E-3</v>
      </c>
      <c r="T9687">
        <v>5.6349039999999996E-3</v>
      </c>
      <c r="U9687">
        <v>3.0060730000000002</v>
      </c>
      <c r="V9687">
        <v>-2.3295719999999999E-2</v>
      </c>
      <c r="W9687">
        <v>-4.6779630000000003E-2</v>
      </c>
      <c r="X9687">
        <v>0.99863360000000001</v>
      </c>
      <c r="Y9687">
        <v>6.285059E-3</v>
      </c>
      <c r="Z9687">
        <v>9.0933300000000002E-3</v>
      </c>
      <c r="AA9687">
        <v>0.99993889999999996</v>
      </c>
      <c r="AB9687">
        <v>27</v>
      </c>
      <c r="AC9687">
        <v>0.61200000000002297</v>
      </c>
      <c r="AD9687">
        <v>0.63205100000000003</v>
      </c>
      <c r="AE9687">
        <v>336.91977000000003</v>
      </c>
      <c r="AF9687">
        <v>2.1190810193013698</v>
      </c>
      <c r="AG9687">
        <v>0.63205100000000003</v>
      </c>
      <c r="AH9687">
        <v>336.912475998991</v>
      </c>
      <c r="AI9687">
        <v>89.892514826433796</v>
      </c>
      <c r="AJ9687">
        <v>89.639631042270295</v>
      </c>
      <c r="AK9687">
        <v>336.91973298784899</v>
      </c>
      <c r="AL9687">
        <v>92.681253763650801</v>
      </c>
      <c r="AM9687">
        <v>91.336330364921295</v>
      </c>
      <c r="AN9687">
        <v>1.0000000457011</v>
      </c>
    </row>
    <row r="9688" spans="1:40" x14ac:dyDescent="0.25">
      <c r="A9688" t="str">
        <f>"20190303154029648"</f>
        <v>20190303154029648</v>
      </c>
      <c r="B9688" t="str">
        <f>"1551598829638146"</f>
        <v>1551598829638146</v>
      </c>
      <c r="C9688" t="s">
        <v>40</v>
      </c>
      <c r="D9688">
        <v>4.299569</v>
      </c>
      <c r="E9688">
        <v>0.51111850000000003</v>
      </c>
      <c r="F9688" t="s">
        <v>92</v>
      </c>
      <c r="G9688">
        <v>-187.0498</v>
      </c>
      <c r="H9688">
        <v>1.8814660000000001</v>
      </c>
      <c r="I9688">
        <v>391.87</v>
      </c>
      <c r="J9688">
        <v>-187.53139999999999</v>
      </c>
      <c r="K9688">
        <v>1.1201559999999999</v>
      </c>
      <c r="L9688">
        <v>55.209560000000003</v>
      </c>
      <c r="M9688">
        <v>-4.4112719999999999E-3</v>
      </c>
      <c r="N9688">
        <v>-6.9653299999999996E-3</v>
      </c>
      <c r="O9688">
        <v>0.99996600000000002</v>
      </c>
      <c r="P9688">
        <v>-2.7839490000000001E-2</v>
      </c>
      <c r="Q9688">
        <v>-5.4186789999999999E-2</v>
      </c>
      <c r="R9688">
        <v>0.99814270000000005</v>
      </c>
      <c r="S9688">
        <v>4.2877200000000001E-3</v>
      </c>
      <c r="T9688">
        <v>6.7924259999999998E-3</v>
      </c>
      <c r="U9688">
        <v>3.0060419999999999</v>
      </c>
      <c r="V9688">
        <v>-2.3443309999999998E-2</v>
      </c>
      <c r="W9688">
        <v>-4.7228729999999997E-2</v>
      </c>
      <c r="X9688">
        <v>0.99860890000000002</v>
      </c>
      <c r="Y9688">
        <v>5.8375700000000003E-3</v>
      </c>
      <c r="Z9688">
        <v>9.2248120000000006E-3</v>
      </c>
      <c r="AA9688">
        <v>0.99994039999999995</v>
      </c>
      <c r="AB9688">
        <v>27</v>
      </c>
      <c r="AC9688">
        <v>0.48159999999998598</v>
      </c>
      <c r="AD9688">
        <v>0.76131000000000004</v>
      </c>
      <c r="AE9688">
        <v>336.66043999999999</v>
      </c>
      <c r="AF9688">
        <v>1.9667220734883899</v>
      </c>
      <c r="AG9688">
        <v>0.76131000000000004</v>
      </c>
      <c r="AH9688">
        <v>336.65331815815898</v>
      </c>
      <c r="AI9688">
        <v>89.870433383930404</v>
      </c>
      <c r="AJ9688">
        <v>89.665282989046005</v>
      </c>
      <c r="AK9688">
        <v>336.65992368490902</v>
      </c>
      <c r="AL9688">
        <v>92.707014060566294</v>
      </c>
      <c r="AM9688">
        <v>91.344826835227593</v>
      </c>
      <c r="AN9688">
        <v>0.99999993844018698</v>
      </c>
    </row>
    <row r="9689" spans="1:40" x14ac:dyDescent="0.25">
      <c r="A9689" t="str">
        <f>"20190303154029671"</f>
        <v>20190303154029671</v>
      </c>
      <c r="B9689" t="str">
        <f>"1551598829667426"</f>
        <v>1551598829667426</v>
      </c>
      <c r="C9689" t="s">
        <v>40</v>
      </c>
      <c r="D9689">
        <v>4.314406</v>
      </c>
      <c r="E9689">
        <v>0.51094759999999995</v>
      </c>
      <c r="F9689" t="s">
        <v>92</v>
      </c>
      <c r="G9689">
        <v>-187.20330000000001</v>
      </c>
      <c r="H9689">
        <v>1.8002089999999999</v>
      </c>
      <c r="I9689">
        <v>391.87</v>
      </c>
      <c r="J9689">
        <v>-187.5325</v>
      </c>
      <c r="K9689">
        <v>1.1201449999999999</v>
      </c>
      <c r="L9689">
        <v>55.480899999999998</v>
      </c>
      <c r="M9689">
        <v>-4.346707E-3</v>
      </c>
      <c r="N9689">
        <v>-6.7362890000000003E-3</v>
      </c>
      <c r="O9689">
        <v>0.99996790000000002</v>
      </c>
      <c r="P9689">
        <v>-2.784234E-2</v>
      </c>
      <c r="Q9689">
        <v>-5.4295719999999999E-2</v>
      </c>
      <c r="R9689">
        <v>0.99813660000000004</v>
      </c>
      <c r="S9689">
        <v>2.9296880000000002E-3</v>
      </c>
      <c r="T9689">
        <v>6.0720440000000004E-3</v>
      </c>
      <c r="U9689">
        <v>3.0059809999999998</v>
      </c>
      <c r="V9689">
        <v>-2.3511029999999999E-2</v>
      </c>
      <c r="W9689">
        <v>-4.7566379999999998E-2</v>
      </c>
      <c r="X9689">
        <v>0.99859140000000002</v>
      </c>
      <c r="Y9689">
        <v>5.3212909999999997E-3</v>
      </c>
      <c r="Z9689">
        <v>8.7561830000000007E-3</v>
      </c>
      <c r="AA9689">
        <v>0.99994749999999999</v>
      </c>
      <c r="AB9689">
        <v>27</v>
      </c>
      <c r="AC9689">
        <v>0.329199999999985</v>
      </c>
      <c r="AD9689">
        <v>0.680063999999999</v>
      </c>
      <c r="AE9689">
        <v>336.38909999999998</v>
      </c>
      <c r="AF9689">
        <v>1.79140754729241</v>
      </c>
      <c r="AG9689">
        <v>0.680063999999999</v>
      </c>
      <c r="AH9689">
        <v>336.383116196446</v>
      </c>
      <c r="AI9689">
        <v>89.884167220316101</v>
      </c>
      <c r="AJ9689">
        <v>89.694874336434793</v>
      </c>
      <c r="AK9689">
        <v>336.38857366158601</v>
      </c>
      <c r="AL9689">
        <v>92.726381426685606</v>
      </c>
      <c r="AM9689">
        <v>91.348733791119102</v>
      </c>
      <c r="AN9689">
        <v>1.0000000565959599</v>
      </c>
    </row>
    <row r="9690" spans="1:40" x14ac:dyDescent="0.25">
      <c r="A9690" t="str">
        <f>"20190303154029692"</f>
        <v>20190303154029692</v>
      </c>
      <c r="B9690" t="str">
        <f>"1551598829687924"</f>
        <v>1551598829687924</v>
      </c>
      <c r="C9690" t="s">
        <v>40</v>
      </c>
      <c r="D9690">
        <v>4.3180940000000003</v>
      </c>
      <c r="E9690">
        <v>0.51083919999999905</v>
      </c>
      <c r="F9690" t="s">
        <v>92</v>
      </c>
      <c r="G9690">
        <v>-187.33959999999999</v>
      </c>
      <c r="H9690">
        <v>1.716513</v>
      </c>
      <c r="I9690">
        <v>391.87</v>
      </c>
      <c r="J9690">
        <v>-187.53360000000001</v>
      </c>
      <c r="K9690">
        <v>1.120126</v>
      </c>
      <c r="L9690">
        <v>55.744869999999999</v>
      </c>
      <c r="M9690">
        <v>-4.284118E-3</v>
      </c>
      <c r="N9690">
        <v>-6.5464240000000003E-3</v>
      </c>
      <c r="O9690">
        <v>0.99996940000000001</v>
      </c>
      <c r="P9690">
        <v>-2.738399E-2</v>
      </c>
      <c r="Q9690">
        <v>-5.370933E-2</v>
      </c>
      <c r="R9690">
        <v>0.99818099999999998</v>
      </c>
      <c r="S9690">
        <v>1.7242430000000001E-3</v>
      </c>
      <c r="T9690">
        <v>5.3290129999999996E-3</v>
      </c>
      <c r="U9690">
        <v>3.0059200000000001</v>
      </c>
      <c r="V9690">
        <v>-2.3114340000000001E-2</v>
      </c>
      <c r="W9690">
        <v>-4.7169370000000002E-2</v>
      </c>
      <c r="X9690">
        <v>0.99861940000000005</v>
      </c>
      <c r="Y9690">
        <v>4.8577250000000002E-3</v>
      </c>
      <c r="Z9690">
        <v>8.31918699999999E-3</v>
      </c>
      <c r="AA9690">
        <v>0.9999536</v>
      </c>
      <c r="AB9690">
        <v>27</v>
      </c>
      <c r="AC9690">
        <v>0.19400000000001599</v>
      </c>
      <c r="AD9690">
        <v>0.596387</v>
      </c>
      <c r="AE9690">
        <v>336.12512999999899</v>
      </c>
      <c r="AF9690">
        <v>1.63402364482865</v>
      </c>
      <c r="AG9690">
        <v>0.596387</v>
      </c>
      <c r="AH9690">
        <v>336.120155998857</v>
      </c>
      <c r="AI9690">
        <v>89.898339870986803</v>
      </c>
      <c r="AJ9690">
        <v>89.721462937375307</v>
      </c>
      <c r="AK9690">
        <v>336.12465690487801</v>
      </c>
      <c r="AL9690">
        <v>92.7036091186921</v>
      </c>
      <c r="AM9690">
        <v>91.325948300430696</v>
      </c>
      <c r="AN9690">
        <v>0.999999964118095</v>
      </c>
    </row>
    <row r="9691" spans="1:40" x14ac:dyDescent="0.25">
      <c r="A9691" t="str">
        <f>"20190303154029717"</f>
        <v>20190303154029717</v>
      </c>
      <c r="B9691" t="str">
        <f>"1551598829707442"</f>
        <v>1551598829707442</v>
      </c>
      <c r="C9691" t="s">
        <v>40</v>
      </c>
      <c r="D9691">
        <v>4.3150629999999897</v>
      </c>
      <c r="E9691">
        <v>0.5107313</v>
      </c>
      <c r="F9691" t="s">
        <v>92</v>
      </c>
      <c r="G9691">
        <v>-187.28970000000001</v>
      </c>
      <c r="H9691">
        <v>1.8854690000000001</v>
      </c>
      <c r="I9691">
        <v>391.87</v>
      </c>
      <c r="J9691">
        <v>-187.53479999999999</v>
      </c>
      <c r="K9691">
        <v>1.120117</v>
      </c>
      <c r="L9691">
        <v>56.038089999999997</v>
      </c>
      <c r="M9691">
        <v>-4.214326E-3</v>
      </c>
      <c r="N9691">
        <v>-6.368248E-3</v>
      </c>
      <c r="O9691">
        <v>0.9999709</v>
      </c>
      <c r="P9691">
        <v>-2.7600960000000001E-2</v>
      </c>
      <c r="Q9691">
        <v>-5.3373230000000001E-2</v>
      </c>
      <c r="R9691">
        <v>0.99819310000000006</v>
      </c>
      <c r="S9691">
        <v>2.1820070000000001E-3</v>
      </c>
      <c r="T9691">
        <v>6.8442819999999897E-3</v>
      </c>
      <c r="U9691">
        <v>3.00589</v>
      </c>
      <c r="V9691">
        <v>-2.340165E-2</v>
      </c>
      <c r="W9691">
        <v>-4.7011070000000002E-2</v>
      </c>
      <c r="X9691">
        <v>0.99862019999999996</v>
      </c>
      <c r="Y9691">
        <v>4.940224E-3</v>
      </c>
      <c r="Z9691">
        <v>8.645102E-3</v>
      </c>
      <c r="AA9691">
        <v>0.99995040000000002</v>
      </c>
      <c r="AB9691">
        <v>27</v>
      </c>
      <c r="AC9691">
        <v>0.245099999999979</v>
      </c>
      <c r="AD9691">
        <v>0.76535199999999903</v>
      </c>
      <c r="AE9691">
        <v>335.83190999999999</v>
      </c>
      <c r="AF9691">
        <v>1.6604229668772399</v>
      </c>
      <c r="AG9691">
        <v>0.76535199999999903</v>
      </c>
      <c r="AH9691">
        <v>335.82615044928798</v>
      </c>
      <c r="AI9691">
        <v>89.869424023474096</v>
      </c>
      <c r="AJ9691">
        <v>89.716715172816706</v>
      </c>
      <c r="AK9691">
        <v>335.831127344832</v>
      </c>
      <c r="AL9691">
        <v>92.6945290512963</v>
      </c>
      <c r="AM9691">
        <v>91.342422697266997</v>
      </c>
      <c r="AN9691">
        <v>0.99999999088665303</v>
      </c>
    </row>
    <row r="9692" spans="1:40" x14ac:dyDescent="0.25">
      <c r="A9692" t="str">
        <f>"20190303154029739"</f>
        <v>20190303154029739</v>
      </c>
      <c r="B9692" t="str">
        <f>"1551598829727938"</f>
        <v>1551598829727938</v>
      </c>
      <c r="C9692" t="s">
        <v>40</v>
      </c>
      <c r="D9692">
        <v>4.3612209999999996</v>
      </c>
      <c r="E9692">
        <v>0.51063040000000004</v>
      </c>
      <c r="F9692" t="s">
        <v>92</v>
      </c>
      <c r="G9692">
        <v>-187.44280000000001</v>
      </c>
      <c r="H9692">
        <v>1.9630369999999999</v>
      </c>
      <c r="I9692">
        <v>391.87</v>
      </c>
      <c r="J9692">
        <v>-187.5359</v>
      </c>
      <c r="K9692">
        <v>1.120104</v>
      </c>
      <c r="L9692">
        <v>56.317140000000002</v>
      </c>
      <c r="M9692">
        <v>-4.1478390000000004E-3</v>
      </c>
      <c r="N9692">
        <v>-6.2259960000000001E-3</v>
      </c>
      <c r="O9692">
        <v>0.99997199999999997</v>
      </c>
      <c r="P9692">
        <v>-2.7480669999999999E-2</v>
      </c>
      <c r="Q9692">
        <v>-5.3404600000000003E-2</v>
      </c>
      <c r="R9692">
        <v>0.99819480000000005</v>
      </c>
      <c r="S9692">
        <v>8.2397459999999998E-4</v>
      </c>
      <c r="T9692">
        <v>7.5445180000000001E-3</v>
      </c>
      <c r="U9692">
        <v>3.0058590000000001</v>
      </c>
      <c r="V9692">
        <v>-2.3347650000000001E-2</v>
      </c>
      <c r="W9692">
        <v>-4.7184499999999997E-2</v>
      </c>
      <c r="X9692">
        <v>0.99861330000000004</v>
      </c>
      <c r="Y9692">
        <v>4.421978E-3</v>
      </c>
      <c r="Z9692">
        <v>8.7358169999999999E-3</v>
      </c>
      <c r="AA9692">
        <v>0.99995210000000001</v>
      </c>
      <c r="AB9692">
        <v>27</v>
      </c>
      <c r="AC9692">
        <v>9.3099999999992605E-2</v>
      </c>
      <c r="AD9692">
        <v>0.84293299999999904</v>
      </c>
      <c r="AE9692">
        <v>335.55286000000001</v>
      </c>
      <c r="AF9692">
        <v>1.4849360660183</v>
      </c>
      <c r="AG9692">
        <v>0.84293299999999904</v>
      </c>
      <c r="AH9692">
        <v>335.54746970888601</v>
      </c>
      <c r="AI9692">
        <v>89.856068267052095</v>
      </c>
      <c r="AJ9692">
        <v>89.746444179429801</v>
      </c>
      <c r="AK9692">
        <v>335.55181417956601</v>
      </c>
      <c r="AL9692">
        <v>92.704476855826698</v>
      </c>
      <c r="AM9692">
        <v>91.339335397579205</v>
      </c>
      <c r="AN9692">
        <v>1.0000000063688299</v>
      </c>
    </row>
    <row r="9693" spans="1:40" x14ac:dyDescent="0.25">
      <c r="A9693" t="str">
        <f>"20190303154029760"</f>
        <v>20190303154029760</v>
      </c>
      <c r="B9693" t="str">
        <f>"1551598829758194"</f>
        <v>1551598829758194</v>
      </c>
      <c r="C9693" t="s">
        <v>40</v>
      </c>
      <c r="D9693">
        <v>4.3561059999999996</v>
      </c>
      <c r="E9693">
        <v>0.51073800000000003</v>
      </c>
      <c r="F9693" t="s">
        <v>92</v>
      </c>
      <c r="G9693">
        <v>-187.46440000000001</v>
      </c>
      <c r="H9693">
        <v>1.918509</v>
      </c>
      <c r="I9693">
        <v>391.87</v>
      </c>
      <c r="J9693">
        <v>-187.5369</v>
      </c>
      <c r="K9693">
        <v>1.1200950000000001</v>
      </c>
      <c r="L9693">
        <v>56.571199999999997</v>
      </c>
      <c r="M9693">
        <v>-4.0874070000000004E-3</v>
      </c>
      <c r="N9693">
        <v>-6.1173969999999897E-3</v>
      </c>
      <c r="O9693">
        <v>0.99997290000000005</v>
      </c>
      <c r="P9693">
        <v>-2.7147439999999998E-2</v>
      </c>
      <c r="Q9693">
        <v>-5.3790860000000003E-2</v>
      </c>
      <c r="R9693">
        <v>0.99818309999999999</v>
      </c>
      <c r="S9693">
        <v>6.408691E-4</v>
      </c>
      <c r="T9693">
        <v>7.1519610000000001E-3</v>
      </c>
      <c r="U9693">
        <v>3.0058289999999999</v>
      </c>
      <c r="V9693">
        <v>-2.307474E-2</v>
      </c>
      <c r="W9693">
        <v>-4.7679310000000003E-2</v>
      </c>
      <c r="X9693">
        <v>0.99859609999999999</v>
      </c>
      <c r="Y9693">
        <v>4.3006340000000002E-3</v>
      </c>
      <c r="Z9693">
        <v>8.4966539999999993E-3</v>
      </c>
      <c r="AA9693">
        <v>0.99995460000000003</v>
      </c>
      <c r="AB9693">
        <v>27</v>
      </c>
      <c r="AC9693">
        <v>7.2499999999990905E-2</v>
      </c>
      <c r="AD9693">
        <v>0.79841399999999996</v>
      </c>
      <c r="AE9693">
        <v>335.29880000000003</v>
      </c>
      <c r="AF9693">
        <v>1.4430195668855501</v>
      </c>
      <c r="AG9693">
        <v>0.79841399999999996</v>
      </c>
      <c r="AH9693">
        <v>335.29380148346303</v>
      </c>
      <c r="AI9693">
        <v>89.863566692286994</v>
      </c>
      <c r="AJ9693">
        <v>89.753415004658507</v>
      </c>
      <c r="AK9693">
        <v>335.29785726070099</v>
      </c>
      <c r="AL9693">
        <v>92.732859437362507</v>
      </c>
      <c r="AM9693">
        <v>91.323708339345103</v>
      </c>
      <c r="AN9693">
        <v>0.99999996558167603</v>
      </c>
    </row>
    <row r="9694" spans="1:40" x14ac:dyDescent="0.25">
      <c r="A9694" t="str">
        <f>"20190303154029774"</f>
        <v>20190303154029774</v>
      </c>
      <c r="B9694" t="str">
        <f>"1551598829767954"</f>
        <v>1551598829767954</v>
      </c>
      <c r="C9694" t="s">
        <v>40</v>
      </c>
      <c r="D9694">
        <v>4.383121</v>
      </c>
      <c r="E9694">
        <v>0.51079410000000003</v>
      </c>
      <c r="F9694" t="s">
        <v>92</v>
      </c>
      <c r="G9694">
        <v>-187.2714</v>
      </c>
      <c r="H9694">
        <v>1.7962530000000001</v>
      </c>
      <c r="I9694">
        <v>391.87</v>
      </c>
      <c r="J9694">
        <v>-187.5376</v>
      </c>
      <c r="K9694">
        <v>1.120088</v>
      </c>
      <c r="L9694">
        <v>56.74915</v>
      </c>
      <c r="M9694">
        <v>-4.0450950000000003E-3</v>
      </c>
      <c r="N9694">
        <v>-6.0515619999999999E-3</v>
      </c>
      <c r="O9694">
        <v>0.99997349999999996</v>
      </c>
      <c r="P9694">
        <v>-2.691907E-2</v>
      </c>
      <c r="Q9694">
        <v>-5.405691E-2</v>
      </c>
      <c r="R9694">
        <v>0.99817500000000003</v>
      </c>
      <c r="S9694">
        <v>2.380371E-3</v>
      </c>
      <c r="T9694">
        <v>6.0615540000000002E-3</v>
      </c>
      <c r="U9694">
        <v>3.0058590000000001</v>
      </c>
      <c r="V9694">
        <v>-2.2888660000000002E-2</v>
      </c>
      <c r="W9694">
        <v>-4.8011169999999999E-2</v>
      </c>
      <c r="X9694">
        <v>0.99858449999999999</v>
      </c>
      <c r="Y9694">
        <v>4.8369870000000001E-3</v>
      </c>
      <c r="Z9694">
        <v>8.0680609999999996E-3</v>
      </c>
      <c r="AA9694">
        <v>0.99995579999999995</v>
      </c>
      <c r="AB9694">
        <v>27</v>
      </c>
      <c r="AC9694">
        <v>0.26619999999999699</v>
      </c>
      <c r="AD9694">
        <v>0.67616499999999902</v>
      </c>
      <c r="AE9694">
        <v>335.12085000000002</v>
      </c>
      <c r="AF9694">
        <v>1.62181172716761</v>
      </c>
      <c r="AG9694">
        <v>0.67616499999999902</v>
      </c>
      <c r="AH9694">
        <v>335.11566704833899</v>
      </c>
      <c r="AI9694">
        <v>89.884395454129702</v>
      </c>
      <c r="AJ9694">
        <v>89.722715913282698</v>
      </c>
      <c r="AK9694">
        <v>335.12027359388298</v>
      </c>
      <c r="AL9694">
        <v>92.751895367117299</v>
      </c>
      <c r="AM9694">
        <v>91.313052651151096</v>
      </c>
      <c r="AN9694">
        <v>0.99999998342080698</v>
      </c>
    </row>
    <row r="9695" spans="1:40" x14ac:dyDescent="0.25">
      <c r="A9695" t="str">
        <f>"20190303154029794"</f>
        <v>20190303154029794</v>
      </c>
      <c r="B9695" t="str">
        <f>"1551598829787474"</f>
        <v>1551598829787474</v>
      </c>
      <c r="C9695" t="s">
        <v>40</v>
      </c>
      <c r="D9695">
        <v>4.417789</v>
      </c>
      <c r="E9695">
        <v>0.51085349999999996</v>
      </c>
      <c r="F9695" t="s">
        <v>92</v>
      </c>
      <c r="G9695">
        <v>-187.1242</v>
      </c>
      <c r="H9695">
        <v>1.683371</v>
      </c>
      <c r="I9695">
        <v>391.87</v>
      </c>
      <c r="J9695">
        <v>-187.5385</v>
      </c>
      <c r="K9695">
        <v>1.1200730000000001</v>
      </c>
      <c r="L9695">
        <v>56.989719999999998</v>
      </c>
      <c r="M9695">
        <v>-3.9879390000000002E-3</v>
      </c>
      <c r="N9695">
        <v>-5.9757090000000001E-3</v>
      </c>
      <c r="O9695">
        <v>0.99997420000000004</v>
      </c>
      <c r="P9695">
        <v>-2.6559050000000001E-2</v>
      </c>
      <c r="Q9695">
        <v>-5.4389890000000003E-2</v>
      </c>
      <c r="R9695">
        <v>0.99816649999999996</v>
      </c>
      <c r="S9695">
        <v>3.7078860000000001E-3</v>
      </c>
      <c r="T9695">
        <v>5.052328E-3</v>
      </c>
      <c r="U9695">
        <v>3.0058590000000001</v>
      </c>
      <c r="V9695">
        <v>-2.2586330000000002E-2</v>
      </c>
      <c r="W9695">
        <v>-4.8419990000000003E-2</v>
      </c>
      <c r="X9695">
        <v>0.9985716</v>
      </c>
      <c r="Y9695">
        <v>5.2214459999999898E-3</v>
      </c>
      <c r="Z9695">
        <v>7.6564769999999897E-3</v>
      </c>
      <c r="AA9695">
        <v>0.99995710000000004</v>
      </c>
      <c r="AB9695">
        <v>28</v>
      </c>
      <c r="AC9695">
        <v>0.414299999999997</v>
      </c>
      <c r="AD9695">
        <v>0.56329799999999997</v>
      </c>
      <c r="AE9695">
        <v>334.880279999999</v>
      </c>
      <c r="AF9695">
        <v>1.7497977195736001</v>
      </c>
      <c r="AG9695">
        <v>0.56329799999999997</v>
      </c>
      <c r="AH9695">
        <v>334.87501725080699</v>
      </c>
      <c r="AI9695">
        <v>89.903623365975307</v>
      </c>
      <c r="AJ9695">
        <v>89.700619315404595</v>
      </c>
      <c r="AK9695">
        <v>334.88006252302398</v>
      </c>
      <c r="AL9695">
        <v>92.775346426096803</v>
      </c>
      <c r="AM9695">
        <v>91.295731585772003</v>
      </c>
      <c r="AN9695">
        <v>0.99999993903051199</v>
      </c>
    </row>
    <row r="9696" spans="1:40" x14ac:dyDescent="0.25">
      <c r="A9696" t="str">
        <f>"20190303154029818"</f>
        <v>20190303154029818</v>
      </c>
      <c r="B9696" t="str">
        <f>"1551598829807970"</f>
        <v>1551598829807970</v>
      </c>
      <c r="C9696" t="s">
        <v>40</v>
      </c>
      <c r="D9696">
        <v>4.3598850000000002</v>
      </c>
      <c r="E9696">
        <v>0.51092150000000003</v>
      </c>
      <c r="F9696" t="s">
        <v>92</v>
      </c>
      <c r="G9696">
        <v>-186.9708</v>
      </c>
      <c r="H9696">
        <v>1.51268</v>
      </c>
      <c r="I9696">
        <v>391.87</v>
      </c>
      <c r="J9696">
        <v>-187.53960000000001</v>
      </c>
      <c r="K9696">
        <v>1.1200570000000001</v>
      </c>
      <c r="L9696">
        <v>57.28931</v>
      </c>
      <c r="M9696">
        <v>-3.9168479999999997E-3</v>
      </c>
      <c r="N9696">
        <v>-5.8996099999999996E-3</v>
      </c>
      <c r="O9696">
        <v>0.9999749</v>
      </c>
      <c r="P9696">
        <v>-2.609334E-2</v>
      </c>
      <c r="Q9696">
        <v>-5.4629570000000002E-2</v>
      </c>
      <c r="R9696">
        <v>0.99816570000000004</v>
      </c>
      <c r="S9696">
        <v>5.0964360000000002E-3</v>
      </c>
      <c r="T9696">
        <v>3.523946E-3</v>
      </c>
      <c r="U9696">
        <v>3.0058289999999999</v>
      </c>
      <c r="V9696">
        <v>-2.2191260000000001E-2</v>
      </c>
      <c r="W9696">
        <v>-4.8735729999999998E-2</v>
      </c>
      <c r="X9696">
        <v>0.99856509999999998</v>
      </c>
      <c r="Y9696">
        <v>5.6122919999999996E-3</v>
      </c>
      <c r="Z9696">
        <v>7.0719519999999899E-3</v>
      </c>
      <c r="AA9696">
        <v>0.99995919999999905</v>
      </c>
      <c r="AB9696">
        <v>28</v>
      </c>
      <c r="AC9696">
        <v>0.56880000000000996</v>
      </c>
      <c r="AD9696">
        <v>0.392623</v>
      </c>
      <c r="AE9696">
        <v>334.58069</v>
      </c>
      <c r="AF9696">
        <v>1.87931759632666</v>
      </c>
      <c r="AG9696">
        <v>0.392623</v>
      </c>
      <c r="AH9696">
        <v>334.57543471493</v>
      </c>
      <c r="AI9696">
        <v>89.932764712202001</v>
      </c>
      <c r="AJ9696">
        <v>89.678171727368493</v>
      </c>
      <c r="AK9696">
        <v>334.58094312457899</v>
      </c>
      <c r="AL9696">
        <v>92.793458373717797</v>
      </c>
      <c r="AM9696">
        <v>91.273083036750805</v>
      </c>
      <c r="AN9696">
        <v>0.99999994116851298</v>
      </c>
    </row>
    <row r="9697" spans="1:40" x14ac:dyDescent="0.25">
      <c r="A9697" t="str">
        <f>"20190303154029839"</f>
        <v>20190303154029839</v>
      </c>
      <c r="B9697" t="str">
        <f>"1551598829827494"</f>
        <v>1551598829827494</v>
      </c>
      <c r="C9697" t="s">
        <v>40</v>
      </c>
      <c r="D9697">
        <v>4.4520660000000003</v>
      </c>
      <c r="E9697">
        <v>0.51096830000000004</v>
      </c>
      <c r="F9697" t="s">
        <v>92</v>
      </c>
      <c r="G9697">
        <v>-186.755</v>
      </c>
      <c r="H9697">
        <v>1.3861600000000001</v>
      </c>
      <c r="I9697">
        <v>391.87</v>
      </c>
      <c r="J9697">
        <v>-187.54060000000001</v>
      </c>
      <c r="K9697">
        <v>1.1200460000000001</v>
      </c>
      <c r="L9697">
        <v>57.549219999999998</v>
      </c>
      <c r="M9697">
        <v>-3.8552230000000001E-3</v>
      </c>
      <c r="N9697">
        <v>-5.8470839999999998E-3</v>
      </c>
      <c r="O9697">
        <v>0.99997550000000002</v>
      </c>
      <c r="P9697">
        <v>-2.5820860000000001E-2</v>
      </c>
      <c r="Q9697">
        <v>-5.4705709999999998E-2</v>
      </c>
      <c r="R9697">
        <v>0.99816859999999996</v>
      </c>
      <c r="S9697">
        <v>7.0495610000000002E-3</v>
      </c>
      <c r="T9697">
        <v>2.3906230000000001E-3</v>
      </c>
      <c r="U9697">
        <v>3.0058289999999999</v>
      </c>
      <c r="V9697">
        <v>-2.1980179999999998E-2</v>
      </c>
      <c r="W9697">
        <v>-4.8864310000000001E-2</v>
      </c>
      <c r="X9697">
        <v>0.99856350000000005</v>
      </c>
      <c r="Y9697">
        <v>6.2004080000000001E-3</v>
      </c>
      <c r="Z9697">
        <v>6.6424070000000003E-3</v>
      </c>
      <c r="AA9697">
        <v>0.99995869999999998</v>
      </c>
      <c r="AB9697">
        <v>28</v>
      </c>
      <c r="AC9697">
        <v>0.78560000000001595</v>
      </c>
      <c r="AD9697">
        <v>0.26611400000000002</v>
      </c>
      <c r="AE9697">
        <v>334.32077999999899</v>
      </c>
      <c r="AF9697">
        <v>2.07449600736236</v>
      </c>
      <c r="AG9697">
        <v>0.26611400000000002</v>
      </c>
      <c r="AH9697">
        <v>334.31505491122601</v>
      </c>
      <c r="AI9697">
        <v>89.954393581475202</v>
      </c>
      <c r="AJ9697">
        <v>89.644472067366607</v>
      </c>
      <c r="AK9697">
        <v>334.32159710470597</v>
      </c>
      <c r="AL9697">
        <v>92.800834210870605</v>
      </c>
      <c r="AM9697">
        <v>91.260979606629704</v>
      </c>
      <c r="AN9697">
        <v>0.99999995631842797</v>
      </c>
    </row>
    <row r="9698" spans="1:40" x14ac:dyDescent="0.25">
      <c r="A9698" t="str">
        <f>"20190303154029860"</f>
        <v>20190303154029860</v>
      </c>
      <c r="B9698" t="str">
        <f>"1551598829847986"</f>
        <v>1551598829847986</v>
      </c>
      <c r="C9698" t="s">
        <v>40</v>
      </c>
      <c r="D9698">
        <v>4.4705079999999997</v>
      </c>
      <c r="E9698">
        <v>0.51100080000000003</v>
      </c>
      <c r="F9698" t="s">
        <v>92</v>
      </c>
      <c r="G9698">
        <v>-186.6292</v>
      </c>
      <c r="H9698">
        <v>1.3064709999999999</v>
      </c>
      <c r="I9698">
        <v>391.87</v>
      </c>
      <c r="J9698">
        <v>-187.54150000000001</v>
      </c>
      <c r="K9698">
        <v>1.120042</v>
      </c>
      <c r="L9698">
        <v>57.815550000000002</v>
      </c>
      <c r="M9698">
        <v>-3.7921090000000001E-3</v>
      </c>
      <c r="N9698">
        <v>-5.8048479999999996E-3</v>
      </c>
      <c r="O9698">
        <v>0.99997599999999998</v>
      </c>
      <c r="P9698">
        <v>-2.5934809999999999E-2</v>
      </c>
      <c r="Q9698">
        <v>-5.4997020000000001E-2</v>
      </c>
      <c r="R9698">
        <v>0.99814959999999997</v>
      </c>
      <c r="S9698">
        <v>8.1939700000000001E-3</v>
      </c>
      <c r="T9698">
        <v>1.6760830000000001E-3</v>
      </c>
      <c r="U9698">
        <v>3.005798</v>
      </c>
      <c r="V9698">
        <v>-2.2157420000000001E-2</v>
      </c>
      <c r="W9698">
        <v>-4.9197860000000003E-2</v>
      </c>
      <c r="X9698">
        <v>0.99854330000000002</v>
      </c>
      <c r="Y9698">
        <v>6.5180300000000002E-3</v>
      </c>
      <c r="Z9698">
        <v>6.3624719999999897E-3</v>
      </c>
      <c r="AA9698">
        <v>0.99995849999999997</v>
      </c>
      <c r="AB9698">
        <v>28</v>
      </c>
      <c r="AC9698">
        <v>0.91230000000001599</v>
      </c>
      <c r="AD9698">
        <v>0.18642900000000001</v>
      </c>
      <c r="AE9698">
        <v>334.05444999999997</v>
      </c>
      <c r="AF9698">
        <v>2.1790849424685401</v>
      </c>
      <c r="AG9698">
        <v>0.18642900000000001</v>
      </c>
      <c r="AH9698">
        <v>334.04848440517401</v>
      </c>
      <c r="AI9698">
        <v>89.968024502402002</v>
      </c>
      <c r="AJ9698">
        <v>89.626250064485603</v>
      </c>
      <c r="AK9698">
        <v>334.05564371875602</v>
      </c>
      <c r="AL9698">
        <v>92.819967964287002</v>
      </c>
      <c r="AM9698">
        <v>91.271170060682906</v>
      </c>
      <c r="AN9698">
        <v>1.00000005133226</v>
      </c>
    </row>
    <row r="9699" spans="1:40" x14ac:dyDescent="0.25">
      <c r="A9699" t="str">
        <f>"20190303154029883"</f>
        <v>20190303154029883</v>
      </c>
      <c r="B9699" t="str">
        <f>"1551598829877266"</f>
        <v>1551598829877266</v>
      </c>
      <c r="C9699" t="s">
        <v>40</v>
      </c>
      <c r="D9699">
        <v>4.4627689999999998</v>
      </c>
      <c r="E9699">
        <v>0.5110403</v>
      </c>
      <c r="F9699" t="s">
        <v>92</v>
      </c>
      <c r="G9699">
        <v>-186.65469999999999</v>
      </c>
      <c r="H9699">
        <v>1.1511100000000001</v>
      </c>
      <c r="I9699">
        <v>391.87</v>
      </c>
      <c r="J9699">
        <v>-187.54249999999999</v>
      </c>
      <c r="K9699">
        <v>1.1200220000000001</v>
      </c>
      <c r="L9699">
        <v>58.096620000000001</v>
      </c>
      <c r="M9699">
        <v>-3.7255320000000001E-3</v>
      </c>
      <c r="N9699">
        <v>-5.7712290000000001E-3</v>
      </c>
      <c r="O9699">
        <v>0.99997639999999999</v>
      </c>
      <c r="P9699">
        <v>-2.6359069999999998E-2</v>
      </c>
      <c r="Q9699">
        <v>-5.4993510000000002E-2</v>
      </c>
      <c r="R9699">
        <v>0.99813870000000005</v>
      </c>
      <c r="S9699">
        <v>7.9803469999999901E-3</v>
      </c>
      <c r="T9699">
        <v>2.7954580000000002E-4</v>
      </c>
      <c r="U9699">
        <v>3.0057680000000002</v>
      </c>
      <c r="V9699">
        <v>-2.2648290000000001E-2</v>
      </c>
      <c r="W9699">
        <v>-4.922787E-2</v>
      </c>
      <c r="X9699">
        <v>0.99853069999999999</v>
      </c>
      <c r="Y9699">
        <v>6.3804150000000004E-3</v>
      </c>
      <c r="Z9699">
        <v>5.8642579999999998E-3</v>
      </c>
      <c r="AA9699">
        <v>0.99996240000000003</v>
      </c>
      <c r="AB9699">
        <v>28</v>
      </c>
      <c r="AC9699">
        <v>0.88779999999999804</v>
      </c>
      <c r="AD9699">
        <v>3.1088000000000199E-2</v>
      </c>
      <c r="AE9699">
        <v>333.77337999999997</v>
      </c>
      <c r="AF9699">
        <v>2.13129794493338</v>
      </c>
      <c r="AG9699">
        <v>3.1088000000000199E-2</v>
      </c>
      <c r="AH9699">
        <v>333.76775311825202</v>
      </c>
      <c r="AI9699">
        <v>89.994663430310695</v>
      </c>
      <c r="AJ9699">
        <v>89.634138659981403</v>
      </c>
      <c r="AK9699">
        <v>333.77455927467003</v>
      </c>
      <c r="AL9699">
        <v>92.821689800920794</v>
      </c>
      <c r="AM9699">
        <v>91.299338088242493</v>
      </c>
      <c r="AN9699">
        <v>0.99999994353357302</v>
      </c>
    </row>
    <row r="9700" spans="1:40" x14ac:dyDescent="0.25">
      <c r="A9700" t="str">
        <f>"20190303154029905"</f>
        <v>20190303154029905</v>
      </c>
      <c r="B9700" t="str">
        <f>"1551598829897762"</f>
        <v>1551598829897762</v>
      </c>
      <c r="C9700" t="s">
        <v>40</v>
      </c>
      <c r="D9700">
        <v>4.4629430000000001</v>
      </c>
      <c r="E9700">
        <v>0.51106450000000003</v>
      </c>
      <c r="F9700" t="s">
        <v>92</v>
      </c>
      <c r="G9700">
        <v>-186.76150000000001</v>
      </c>
      <c r="H9700">
        <v>1.0662119999999999</v>
      </c>
      <c r="I9700">
        <v>391.87</v>
      </c>
      <c r="J9700">
        <v>-187.5436</v>
      </c>
      <c r="K9700">
        <v>1.1200139999999901</v>
      </c>
      <c r="L9700">
        <v>58.385159999999999</v>
      </c>
      <c r="M9700">
        <v>-3.6571920000000001E-3</v>
      </c>
      <c r="N9700">
        <v>-5.7467229999999996E-3</v>
      </c>
      <c r="O9700">
        <v>0.9999768</v>
      </c>
      <c r="P9700">
        <v>-2.7302469999999999E-2</v>
      </c>
      <c r="Q9700">
        <v>-5.4849179999999997E-2</v>
      </c>
      <c r="R9700">
        <v>0.99812129999999999</v>
      </c>
      <c r="S9700">
        <v>7.0343019999999897E-3</v>
      </c>
      <c r="T9700">
        <v>-4.845858E-4</v>
      </c>
      <c r="U9700">
        <v>3.0057369999999999</v>
      </c>
      <c r="V9700">
        <v>-2.3660210000000001E-2</v>
      </c>
      <c r="W9700">
        <v>-4.9107909999999998E-2</v>
      </c>
      <c r="X9700">
        <v>0.99851319999999999</v>
      </c>
      <c r="Y9700">
        <v>5.9973730000000003E-3</v>
      </c>
      <c r="Z9700">
        <v>5.5855330000000002E-3</v>
      </c>
      <c r="AA9700">
        <v>0.99996640000000003</v>
      </c>
      <c r="AB9700">
        <v>28</v>
      </c>
      <c r="AC9700">
        <v>0.78209999999998503</v>
      </c>
      <c r="AD9700">
        <v>-5.38019999999996E-2</v>
      </c>
      <c r="AE9700">
        <v>333.484839999999</v>
      </c>
      <c r="AF9700">
        <v>2.0017329454449202</v>
      </c>
      <c r="AG9700">
        <v>-5.38019999999996E-2</v>
      </c>
      <c r="AH9700">
        <v>333.47974071319601</v>
      </c>
      <c r="AI9700">
        <v>90.009243655889904</v>
      </c>
      <c r="AJ9700">
        <v>89.656082639968403</v>
      </c>
      <c r="AK9700">
        <v>333.48575276251398</v>
      </c>
      <c r="AL9700">
        <v>92.814808112598698</v>
      </c>
      <c r="AM9700">
        <v>91.357394718314495</v>
      </c>
      <c r="AN9700">
        <v>1.0000000014680199</v>
      </c>
    </row>
    <row r="9701" spans="1:40" x14ac:dyDescent="0.25">
      <c r="A9701" t="str">
        <f>"20190303154029929"</f>
        <v>20190303154029929</v>
      </c>
      <c r="B9701" t="str">
        <f>"1551598829918258"</f>
        <v>1551598829918258</v>
      </c>
      <c r="C9701" t="s">
        <v>40</v>
      </c>
      <c r="D9701">
        <v>4.4683199999999896</v>
      </c>
      <c r="E9701">
        <v>0.51108969999999998</v>
      </c>
      <c r="F9701" t="s">
        <v>92</v>
      </c>
      <c r="G9701">
        <v>-187.06960000000001</v>
      </c>
      <c r="H9701">
        <v>1.0580639999999999</v>
      </c>
      <c r="I9701">
        <v>391.87</v>
      </c>
      <c r="J9701">
        <v>-187.5446</v>
      </c>
      <c r="K9701">
        <v>1.120007</v>
      </c>
      <c r="L9701">
        <v>58.686919999999901</v>
      </c>
      <c r="M9701">
        <v>-3.5857660000000002E-3</v>
      </c>
      <c r="N9701">
        <v>-5.7305069999999897E-3</v>
      </c>
      <c r="O9701">
        <v>0.99997720000000001</v>
      </c>
      <c r="P9701">
        <v>-2.8290490000000001E-2</v>
      </c>
      <c r="Q9701">
        <v>-5.4484949999999997E-2</v>
      </c>
      <c r="R9701">
        <v>0.99811380000000005</v>
      </c>
      <c r="S9701">
        <v>4.272461E-3</v>
      </c>
      <c r="T9701">
        <v>-5.5837629999999996E-4</v>
      </c>
      <c r="U9701">
        <v>3.0057369999999999</v>
      </c>
      <c r="V9701">
        <v>-2.471953E-2</v>
      </c>
      <c r="W9701">
        <v>-4.8759730000000001E-2</v>
      </c>
      <c r="X9701">
        <v>0.99850459999999996</v>
      </c>
      <c r="Y9701">
        <v>5.0071400000000002E-3</v>
      </c>
      <c r="Z9701">
        <v>5.5447580000000003E-3</v>
      </c>
      <c r="AA9701">
        <v>0.99997210000000003</v>
      </c>
      <c r="AB9701">
        <v>28</v>
      </c>
      <c r="AC9701">
        <v>0.47499999999999398</v>
      </c>
      <c r="AD9701">
        <v>-6.1942999999999998E-2</v>
      </c>
      <c r="AE9701">
        <v>333.18307999999899</v>
      </c>
      <c r="AF9701">
        <v>1.6697330075528101</v>
      </c>
      <c r="AG9701">
        <v>-6.1942999999999998E-2</v>
      </c>
      <c r="AH9701">
        <v>333.17922315339399</v>
      </c>
      <c r="AI9701">
        <v>90.010652008335697</v>
      </c>
      <c r="AJ9701">
        <v>89.712863688084497</v>
      </c>
      <c r="AK9701">
        <v>333.18341283195798</v>
      </c>
      <c r="AL9701">
        <v>92.794834941009995</v>
      </c>
      <c r="AM9701">
        <v>91.418156208778299</v>
      </c>
      <c r="AN9701">
        <v>1.00000000132712</v>
      </c>
    </row>
    <row r="9702" spans="1:40" x14ac:dyDescent="0.25">
      <c r="A9702" t="str">
        <f>"20190303154029951"</f>
        <v>20190303154029951</v>
      </c>
      <c r="B9702" t="str">
        <f>"1551598829947538"</f>
        <v>1551598829947538</v>
      </c>
      <c r="C9702" t="s">
        <v>40</v>
      </c>
      <c r="D9702">
        <v>4.4639290000000003</v>
      </c>
      <c r="E9702">
        <v>0.5111291</v>
      </c>
      <c r="F9702" t="s">
        <v>92</v>
      </c>
      <c r="G9702">
        <v>-187.38730000000001</v>
      </c>
      <c r="H9702">
        <v>1.1317410000000001</v>
      </c>
      <c r="I9702">
        <v>391.87</v>
      </c>
      <c r="J9702">
        <v>-187.5455</v>
      </c>
      <c r="K9702">
        <v>1.119993</v>
      </c>
      <c r="L9702">
        <v>58.956049999999998</v>
      </c>
      <c r="M9702">
        <v>-3.5221200000000001E-3</v>
      </c>
      <c r="N9702">
        <v>-5.7234879999999997E-3</v>
      </c>
      <c r="O9702">
        <v>0.99997740000000002</v>
      </c>
      <c r="P9702">
        <v>-2.9036909999999999E-2</v>
      </c>
      <c r="Q9702">
        <v>-5.4330749999999997E-2</v>
      </c>
      <c r="R9702">
        <v>0.99810069999999995</v>
      </c>
      <c r="S9702">
        <v>1.419067E-3</v>
      </c>
      <c r="T9702">
        <v>1.058578E-4</v>
      </c>
      <c r="U9702">
        <v>3.0057070000000001</v>
      </c>
      <c r="V9702">
        <v>-2.5529110000000001E-2</v>
      </c>
      <c r="W9702">
        <v>-4.861244E-2</v>
      </c>
      <c r="X9702">
        <v>0.99849140000000003</v>
      </c>
      <c r="Y9702">
        <v>3.994226E-3</v>
      </c>
      <c r="Z9702">
        <v>5.7587109999999997E-3</v>
      </c>
      <c r="AA9702">
        <v>0.99997539999999996</v>
      </c>
      <c r="AB9702">
        <v>28</v>
      </c>
      <c r="AC9702">
        <v>0.15819999999999301</v>
      </c>
      <c r="AD9702">
        <v>1.17479999999998E-2</v>
      </c>
      <c r="AE9702">
        <v>332.91395</v>
      </c>
      <c r="AF9702">
        <v>1.33078112570028</v>
      </c>
      <c r="AG9702">
        <v>1.17479999999998E-2</v>
      </c>
      <c r="AH9702">
        <v>332.91132734920097</v>
      </c>
      <c r="AI9702">
        <v>89.997978123949807</v>
      </c>
      <c r="AJ9702">
        <v>89.770966832398898</v>
      </c>
      <c r="AK9702">
        <v>332.91398738086502</v>
      </c>
      <c r="AL9702">
        <v>92.786385856766898</v>
      </c>
      <c r="AM9702">
        <v>91.464601152325201</v>
      </c>
      <c r="AN9702">
        <v>0.999999990327052</v>
      </c>
    </row>
    <row r="9703" spans="1:40" x14ac:dyDescent="0.25">
      <c r="A9703" t="str">
        <f>"20190303154029971"</f>
        <v>20190303154029971</v>
      </c>
      <c r="B9703" t="str">
        <f>"1551598829968037"</f>
        <v>1551598829968037</v>
      </c>
      <c r="C9703" t="s">
        <v>40</v>
      </c>
      <c r="D9703">
        <v>4.4682719999999998</v>
      </c>
      <c r="E9703">
        <v>0.51116600000000001</v>
      </c>
      <c r="F9703" t="s">
        <v>92</v>
      </c>
      <c r="G9703">
        <v>-187.58609999999999</v>
      </c>
      <c r="H9703">
        <v>1.0951040000000001</v>
      </c>
      <c r="I9703">
        <v>391.87</v>
      </c>
      <c r="J9703">
        <v>-187.54640000000001</v>
      </c>
      <c r="K9703">
        <v>1.119983</v>
      </c>
      <c r="L9703">
        <v>59.226289999999999</v>
      </c>
      <c r="M9703">
        <v>-3.4582609999999998E-3</v>
      </c>
      <c r="N9703">
        <v>-5.7218829999999997E-3</v>
      </c>
      <c r="O9703">
        <v>0.99997760000000002</v>
      </c>
      <c r="P9703">
        <v>-2.9125809999999999E-2</v>
      </c>
      <c r="Q9703">
        <v>-5.4467839999999997E-2</v>
      </c>
      <c r="R9703">
        <v>0.99809060000000005</v>
      </c>
      <c r="S9703">
        <v>-3.6621089999999999E-4</v>
      </c>
      <c r="T9703">
        <v>-2.247095E-4</v>
      </c>
      <c r="U9703">
        <v>3.0056759999999998</v>
      </c>
      <c r="V9703">
        <v>-2.568225E-2</v>
      </c>
      <c r="W9703">
        <v>-4.875115E-2</v>
      </c>
      <c r="X9703">
        <v>0.9984807</v>
      </c>
      <c r="Y9703">
        <v>3.3364250000000001E-3</v>
      </c>
      <c r="Z9703">
        <v>5.6471219999999897E-3</v>
      </c>
      <c r="AA9703">
        <v>0.99997849999999999</v>
      </c>
      <c r="AB9703">
        <v>28</v>
      </c>
      <c r="AC9703">
        <v>-3.9699999999982E-2</v>
      </c>
      <c r="AD9703">
        <v>-2.4878999999999801E-2</v>
      </c>
      <c r="AE9703">
        <v>332.64371</v>
      </c>
      <c r="AF9703">
        <v>1.11068788986096</v>
      </c>
      <c r="AG9703">
        <v>-2.4878999999999801E-2</v>
      </c>
      <c r="AH9703">
        <v>332.64185622548399</v>
      </c>
      <c r="AI9703">
        <v>90.004285250707596</v>
      </c>
      <c r="AJ9703">
        <v>89.808690666072295</v>
      </c>
      <c r="AK9703">
        <v>332.64371143866401</v>
      </c>
      <c r="AL9703">
        <v>92.794342816326605</v>
      </c>
      <c r="AM9703">
        <v>91.473398691901593</v>
      </c>
      <c r="AN9703">
        <v>0.99999998043193705</v>
      </c>
    </row>
    <row r="9704" spans="1:40" x14ac:dyDescent="0.25">
      <c r="A9704" t="str">
        <f>"20190303154029995"</f>
        <v>20190303154029995</v>
      </c>
      <c r="B9704" t="str">
        <f>"1551598829987554"</f>
        <v>1551598829987554</v>
      </c>
      <c r="C9704" t="s">
        <v>40</v>
      </c>
      <c r="D9704">
        <v>4.4056649999999999</v>
      </c>
      <c r="E9704">
        <v>0.5112622</v>
      </c>
      <c r="F9704" t="s">
        <v>92</v>
      </c>
      <c r="G9704">
        <v>-187.59200000000001</v>
      </c>
      <c r="H9704">
        <v>1.0012890000000001</v>
      </c>
      <c r="I9704">
        <v>391.87</v>
      </c>
      <c r="J9704">
        <v>-187.54740000000001</v>
      </c>
      <c r="K9704">
        <v>1.1199870000000001</v>
      </c>
      <c r="L9704">
        <v>59.525970000000001</v>
      </c>
      <c r="M9704">
        <v>-3.3874629999999998E-3</v>
      </c>
      <c r="N9704">
        <v>-5.725773E-3</v>
      </c>
      <c r="O9704">
        <v>0.99997789999999998</v>
      </c>
      <c r="P9704">
        <v>-2.918335E-2</v>
      </c>
      <c r="Q9704">
        <v>-5.4901770000000003E-2</v>
      </c>
      <c r="R9704">
        <v>0.99806519999999999</v>
      </c>
      <c r="S9704">
        <v>-4.1198729999999999E-4</v>
      </c>
      <c r="T9704">
        <v>-1.0725260000000001E-3</v>
      </c>
      <c r="U9704">
        <v>3.0056759999999998</v>
      </c>
      <c r="V9704">
        <v>-2.581073E-2</v>
      </c>
      <c r="W9704">
        <v>-4.9181290000000003E-2</v>
      </c>
      <c r="X9704">
        <v>0.99845629999999996</v>
      </c>
      <c r="Y9704">
        <v>3.250396E-3</v>
      </c>
      <c r="Z9704">
        <v>5.3689480000000001E-3</v>
      </c>
      <c r="AA9704">
        <v>0.99998030000000004</v>
      </c>
      <c r="AB9704">
        <v>29</v>
      </c>
      <c r="AC9704">
        <v>-4.4600000000002603E-2</v>
      </c>
      <c r="AD9704">
        <v>-0.118698</v>
      </c>
      <c r="AE9704">
        <v>332.34402999999998</v>
      </c>
      <c r="AF9704">
        <v>1.0812216440595099</v>
      </c>
      <c r="AG9704">
        <v>-0.118698</v>
      </c>
      <c r="AH9704">
        <v>332.342231814032</v>
      </c>
      <c r="AI9704">
        <v>90.020463418445402</v>
      </c>
      <c r="AJ9704">
        <v>89.8135981153399</v>
      </c>
      <c r="AK9704">
        <v>332.34401179589599</v>
      </c>
      <c r="AL9704">
        <v>92.819017601168397</v>
      </c>
      <c r="AM9704">
        <v>91.480802526462497</v>
      </c>
      <c r="AN9704">
        <v>0.99999998803944301</v>
      </c>
    </row>
    <row r="9705" spans="1:40" x14ac:dyDescent="0.25">
      <c r="A9705" t="str">
        <f>"20190303154030010"</f>
        <v>20190303154030010</v>
      </c>
      <c r="B9705" t="str">
        <f>"1551598829997314"</f>
        <v>1551598829997314</v>
      </c>
      <c r="C9705" t="s">
        <v>40</v>
      </c>
      <c r="D9705">
        <v>4.4536949999999997</v>
      </c>
      <c r="E9705">
        <v>0.51127699999999998</v>
      </c>
      <c r="F9705" t="s">
        <v>92</v>
      </c>
      <c r="G9705">
        <v>-187.52719999999999</v>
      </c>
      <c r="H9705">
        <v>0.83071139999999999</v>
      </c>
      <c r="I9705">
        <v>391.87</v>
      </c>
      <c r="J9705">
        <v>-187.548</v>
      </c>
      <c r="K9705">
        <v>1.119983</v>
      </c>
      <c r="L9705">
        <v>59.714570000000002</v>
      </c>
      <c r="M9705">
        <v>-3.342898E-3</v>
      </c>
      <c r="N9705">
        <v>-5.7304019999999999E-3</v>
      </c>
      <c r="O9705">
        <v>0.99997800000000003</v>
      </c>
      <c r="P9705">
        <v>-2.8963900000000001E-2</v>
      </c>
      <c r="Q9705">
        <v>-5.4988349999999998E-2</v>
      </c>
      <c r="R9705">
        <v>0.99806680000000003</v>
      </c>
      <c r="S9705">
        <v>1.8310550000000001E-4</v>
      </c>
      <c r="T9705">
        <v>-2.616167E-3</v>
      </c>
      <c r="U9705">
        <v>3.0056759999999998</v>
      </c>
      <c r="V9705">
        <v>-2.56359E-2</v>
      </c>
      <c r="W9705">
        <v>-4.9263260000000003E-2</v>
      </c>
      <c r="X9705">
        <v>0.99845680000000003</v>
      </c>
      <c r="Y9705">
        <v>3.4038079999999999E-3</v>
      </c>
      <c r="Z9705">
        <v>4.860016E-3</v>
      </c>
      <c r="AA9705">
        <v>0.99998240000000005</v>
      </c>
      <c r="AB9705">
        <v>29</v>
      </c>
      <c r="AC9705">
        <v>2.0800000000008301E-2</v>
      </c>
      <c r="AD9705">
        <v>-0.28927160000000002</v>
      </c>
      <c r="AE9705">
        <v>332.155429999999</v>
      </c>
      <c r="AF9705">
        <v>1.1311789724758601</v>
      </c>
      <c r="AG9705">
        <v>-0.28927160000000002</v>
      </c>
      <c r="AH9705">
        <v>332.15325256473102</v>
      </c>
      <c r="AI9705">
        <v>90.049898477230698</v>
      </c>
      <c r="AJ9705">
        <v>89.804874617561893</v>
      </c>
      <c r="AK9705">
        <v>332.15530468932201</v>
      </c>
      <c r="AL9705">
        <v>92.823719732175505</v>
      </c>
      <c r="AM9705">
        <v>91.470775936497105</v>
      </c>
      <c r="AN9705">
        <v>1.0000000248104299</v>
      </c>
    </row>
    <row r="9706" spans="1:40" x14ac:dyDescent="0.25">
      <c r="A9706" t="str">
        <f>"20190303154030028"</f>
        <v>20190303154030028</v>
      </c>
      <c r="B9706" t="str">
        <f>"1551598830018320"</f>
        <v>1551598830018320</v>
      </c>
      <c r="C9706" t="s">
        <v>40</v>
      </c>
      <c r="D9706">
        <v>4.4779010000000001</v>
      </c>
      <c r="E9706">
        <v>0.51131459999999995</v>
      </c>
      <c r="F9706" t="s">
        <v>92</v>
      </c>
      <c r="G9706">
        <v>-187.46029999999999</v>
      </c>
      <c r="H9706">
        <v>0.77795029999999998</v>
      </c>
      <c r="I9706">
        <v>391.87</v>
      </c>
      <c r="J9706">
        <v>-187.5487</v>
      </c>
      <c r="K9706">
        <v>1.119982</v>
      </c>
      <c r="L9706">
        <v>59.962859999999999</v>
      </c>
      <c r="M9706">
        <v>-3.2842560000000002E-3</v>
      </c>
      <c r="N9706">
        <v>-5.7396770000000003E-3</v>
      </c>
      <c r="O9706">
        <v>0.99997809999999998</v>
      </c>
      <c r="P9706">
        <v>-2.8537940000000001E-2</v>
      </c>
      <c r="Q9706">
        <v>-5.4550269999999998E-2</v>
      </c>
      <c r="R9706">
        <v>0.99810310000000002</v>
      </c>
      <c r="S9706">
        <v>7.9345700000000002E-4</v>
      </c>
      <c r="T9706">
        <v>-3.0950309999999998E-3</v>
      </c>
      <c r="U9706">
        <v>3.005646</v>
      </c>
      <c r="V9706">
        <v>-2.526842E-2</v>
      </c>
      <c r="W9706">
        <v>-4.8815780000000003E-2</v>
      </c>
      <c r="X9706">
        <v>0.99848809999999999</v>
      </c>
      <c r="Y9706">
        <v>3.5482259999999998E-3</v>
      </c>
      <c r="Z9706">
        <v>4.7099669999999998E-3</v>
      </c>
      <c r="AA9706">
        <v>0.99998260000000005</v>
      </c>
      <c r="AB9706">
        <v>29</v>
      </c>
      <c r="AC9706">
        <v>8.8400000000007098E-2</v>
      </c>
      <c r="AD9706">
        <v>-0.34203169999999899</v>
      </c>
      <c r="AE9706">
        <v>331.907139999999</v>
      </c>
      <c r="AF9706">
        <v>1.1784842814894201</v>
      </c>
      <c r="AG9706">
        <v>-0.34203169999999899</v>
      </c>
      <c r="AH9706">
        <v>331.90470710934898</v>
      </c>
      <c r="AI9706">
        <v>90.059043580829396</v>
      </c>
      <c r="AJ9706">
        <v>89.796562415804502</v>
      </c>
      <c r="AK9706">
        <v>331.906975540178</v>
      </c>
      <c r="AL9706">
        <v>92.798050259024606</v>
      </c>
      <c r="AM9706">
        <v>91.4496566104811</v>
      </c>
      <c r="AN9706">
        <v>0.99999997963395704</v>
      </c>
    </row>
    <row r="9707" spans="1:40" x14ac:dyDescent="0.25">
      <c r="A9707" t="str">
        <f>"20190303154030051"</f>
        <v>20190303154030051</v>
      </c>
      <c r="B9707" t="str">
        <f>"1551598830047597"</f>
        <v>1551598830047597</v>
      </c>
      <c r="C9707" t="s">
        <v>40</v>
      </c>
      <c r="D9707">
        <v>4.7255849999999997</v>
      </c>
      <c r="E9707">
        <v>0.51137189999999999</v>
      </c>
      <c r="F9707" t="s">
        <v>92</v>
      </c>
      <c r="G9707">
        <v>-187.30439999999999</v>
      </c>
      <c r="H9707">
        <v>0.88187409999999999</v>
      </c>
      <c r="I9707">
        <v>391.87</v>
      </c>
      <c r="J9707">
        <v>-187.5496</v>
      </c>
      <c r="K9707">
        <v>1.119972</v>
      </c>
      <c r="L9707">
        <v>60.245119999999901</v>
      </c>
      <c r="M9707">
        <v>-3.2176399999999999E-3</v>
      </c>
      <c r="N9707">
        <v>-5.7535900000000003E-3</v>
      </c>
      <c r="O9707">
        <v>0.99997820000000004</v>
      </c>
      <c r="P9707">
        <v>-2.834563E-2</v>
      </c>
      <c r="Q9707">
        <v>-5.50883E-2</v>
      </c>
      <c r="R9707">
        <v>0.9980791</v>
      </c>
      <c r="S9707">
        <v>2.212524E-3</v>
      </c>
      <c r="T9707">
        <v>-2.1562579999999999E-3</v>
      </c>
      <c r="U9707">
        <v>3.005646</v>
      </c>
      <c r="V9707">
        <v>-2.514255E-2</v>
      </c>
      <c r="W9707">
        <v>-4.9340050000000003E-2</v>
      </c>
      <c r="X9707">
        <v>0.99846550000000001</v>
      </c>
      <c r="Y9707">
        <v>3.9537289999999996E-3</v>
      </c>
      <c r="Z9707">
        <v>5.0362139999999998E-3</v>
      </c>
      <c r="AA9707">
        <v>0.99997950000000002</v>
      </c>
      <c r="AB9707">
        <v>29</v>
      </c>
      <c r="AC9707">
        <v>0.24520000000001099</v>
      </c>
      <c r="AD9707">
        <v>-0.2380979</v>
      </c>
      <c r="AE9707">
        <v>331.624879999999</v>
      </c>
      <c r="AF9707">
        <v>1.3122652712556799</v>
      </c>
      <c r="AG9707">
        <v>-0.2380979</v>
      </c>
      <c r="AH9707">
        <v>331.62220332296698</v>
      </c>
      <c r="AI9707">
        <v>90.041136858428899</v>
      </c>
      <c r="AJ9707">
        <v>89.773275527242802</v>
      </c>
      <c r="AK9707">
        <v>331.62488517530102</v>
      </c>
      <c r="AL9707">
        <v>92.828124982695797</v>
      </c>
      <c r="AM9707">
        <v>91.442471105780101</v>
      </c>
      <c r="AN9707">
        <v>0.99999997152237696</v>
      </c>
    </row>
    <row r="9708" spans="1:40" x14ac:dyDescent="0.25">
      <c r="A9708" t="str">
        <f>"20190303154030071"</f>
        <v>20190303154030071</v>
      </c>
      <c r="B9708" t="str">
        <f>"1551598830068093"</f>
        <v>1551598830068093</v>
      </c>
      <c r="C9708" t="s">
        <v>40</v>
      </c>
      <c r="D9708">
        <v>4.4769439999999996</v>
      </c>
      <c r="E9708">
        <v>0.51141800000000004</v>
      </c>
      <c r="F9708" t="s">
        <v>92</v>
      </c>
      <c r="G9708">
        <v>-187.1876</v>
      </c>
      <c r="H9708">
        <v>0.62858959999999997</v>
      </c>
      <c r="I9708">
        <v>391.87</v>
      </c>
      <c r="J9708">
        <v>-187.5504</v>
      </c>
      <c r="K9708">
        <v>1.119966</v>
      </c>
      <c r="L9708">
        <v>60.52563</v>
      </c>
      <c r="M9708">
        <v>-3.151465E-3</v>
      </c>
      <c r="N9708">
        <v>-5.7704399999999999E-3</v>
      </c>
      <c r="O9708">
        <v>0.99997840000000005</v>
      </c>
      <c r="P9708">
        <v>-2.8283849999999999E-2</v>
      </c>
      <c r="Q9708">
        <v>-5.4918540000000002E-2</v>
      </c>
      <c r="R9708">
        <v>0.99809009999999998</v>
      </c>
      <c r="S9708">
        <v>3.28064E-3</v>
      </c>
      <c r="T9708">
        <v>-4.4535399999999998E-3</v>
      </c>
      <c r="U9708">
        <v>3.0056150000000001</v>
      </c>
      <c r="V9708">
        <v>-2.5146600000000002E-2</v>
      </c>
      <c r="W9708">
        <v>-4.9153389999999998E-2</v>
      </c>
      <c r="X9708">
        <v>0.99847470000000005</v>
      </c>
      <c r="Y9708">
        <v>4.2429149999999999E-3</v>
      </c>
      <c r="Z9708">
        <v>4.2887489999999997E-3</v>
      </c>
      <c r="AA9708">
        <v>0.99998180000000003</v>
      </c>
      <c r="AB9708">
        <v>29</v>
      </c>
      <c r="AC9708">
        <v>0.36279999999999202</v>
      </c>
      <c r="AD9708">
        <v>-0.49137639999999999</v>
      </c>
      <c r="AE9708">
        <v>331.34437000000003</v>
      </c>
      <c r="AF9708">
        <v>1.4070326588341799</v>
      </c>
      <c r="AG9708">
        <v>-0.49137639999999999</v>
      </c>
      <c r="AH9708">
        <v>331.340852467204</v>
      </c>
      <c r="AI9708">
        <v>90.084968452227898</v>
      </c>
      <c r="AJ9708">
        <v>89.756696019174896</v>
      </c>
      <c r="AK9708">
        <v>331.34420427308402</v>
      </c>
      <c r="AL9708">
        <v>92.817416890864195</v>
      </c>
      <c r="AM9708">
        <v>91.442690075486595</v>
      </c>
      <c r="AN9708">
        <v>1.0000000668900599</v>
      </c>
    </row>
    <row r="9709" spans="1:40" x14ac:dyDescent="0.25">
      <c r="A9709" t="str">
        <f>"20190303154030085"</f>
        <v>20190303154030085</v>
      </c>
      <c r="B9709" t="str">
        <f>"1551598830077853"</f>
        <v>1551598830077853</v>
      </c>
      <c r="C9709" t="s">
        <v>40</v>
      </c>
      <c r="D9709">
        <v>4.4632899999999998</v>
      </c>
      <c r="E9709">
        <v>0.51143729999999998</v>
      </c>
      <c r="F9709" t="s">
        <v>92</v>
      </c>
      <c r="G9709">
        <v>-187.1097</v>
      </c>
      <c r="H9709">
        <v>0.62191770000000002</v>
      </c>
      <c r="I9709">
        <v>391.87</v>
      </c>
      <c r="J9709">
        <v>-187.55099999999999</v>
      </c>
      <c r="K9709">
        <v>1.119966</v>
      </c>
      <c r="L9709">
        <v>60.713349999999998</v>
      </c>
      <c r="M9709">
        <v>-3.1071889999999998E-3</v>
      </c>
      <c r="N9709">
        <v>-5.7831609999999898E-3</v>
      </c>
      <c r="O9709">
        <v>0.99997840000000005</v>
      </c>
      <c r="P9709">
        <v>-2.8046640000000001E-2</v>
      </c>
      <c r="Q9709">
        <v>-5.499457E-2</v>
      </c>
      <c r="R9709">
        <v>0.99809270000000005</v>
      </c>
      <c r="S9709">
        <v>3.9978030000000003E-3</v>
      </c>
      <c r="T9709">
        <v>-4.5177940000000003E-3</v>
      </c>
      <c r="U9709">
        <v>3.0056150000000001</v>
      </c>
      <c r="V9709">
        <v>-2.4953690000000001E-2</v>
      </c>
      <c r="W9709">
        <v>-4.9216740000000002E-2</v>
      </c>
      <c r="X9709">
        <v>0.99847629999999998</v>
      </c>
      <c r="Y9709">
        <v>4.4372370000000001E-3</v>
      </c>
      <c r="Z9709">
        <v>4.2800959999999997E-3</v>
      </c>
      <c r="AA9709">
        <v>0.99998100000000001</v>
      </c>
      <c r="AB9709">
        <v>29</v>
      </c>
      <c r="AC9709">
        <v>0.44129999999998398</v>
      </c>
      <c r="AD9709">
        <v>-0.4980483</v>
      </c>
      <c r="AE9709">
        <v>331.15665000000001</v>
      </c>
      <c r="AF9709">
        <v>1.47027810287695</v>
      </c>
      <c r="AG9709">
        <v>-0.4980483</v>
      </c>
      <c r="AH9709">
        <v>331.15293108272101</v>
      </c>
      <c r="AI9709">
        <v>90.086170950444796</v>
      </c>
      <c r="AJ9709">
        <v>89.745615488878201</v>
      </c>
      <c r="AK9709">
        <v>331.15656951733001</v>
      </c>
      <c r="AL9709">
        <v>92.821051312597106</v>
      </c>
      <c r="AM9709">
        <v>91.431624932036598</v>
      </c>
      <c r="AN9709">
        <v>0.99999994790126501</v>
      </c>
    </row>
    <row r="9710" spans="1:40" x14ac:dyDescent="0.25">
      <c r="A9710" t="str">
        <f>"20190303154030107"</f>
        <v>20190303154030107</v>
      </c>
      <c r="B9710" t="str">
        <f>"1551598830097375"</f>
        <v>1551598830097375</v>
      </c>
      <c r="C9710" t="s">
        <v>40</v>
      </c>
      <c r="D9710">
        <v>4.4537779999999998</v>
      </c>
      <c r="E9710">
        <v>0.5114805</v>
      </c>
      <c r="F9710" t="s">
        <v>92</v>
      </c>
      <c r="G9710">
        <v>-187.00299999999999</v>
      </c>
      <c r="H9710">
        <v>0.57132530000000004</v>
      </c>
      <c r="I9710">
        <v>391.87</v>
      </c>
      <c r="J9710">
        <v>-187.55179999999999</v>
      </c>
      <c r="K9710">
        <v>1.1199650000000001</v>
      </c>
      <c r="L9710">
        <v>60.986629999999998</v>
      </c>
      <c r="M9710">
        <v>-3.0428030000000002E-3</v>
      </c>
      <c r="N9710">
        <v>-5.8081010000000004E-3</v>
      </c>
      <c r="O9710">
        <v>0.99997849999999999</v>
      </c>
      <c r="P9710">
        <v>-2.782579E-2</v>
      </c>
      <c r="Q9710">
        <v>-5.5656329999999997E-2</v>
      </c>
      <c r="R9710">
        <v>0.99806220000000001</v>
      </c>
      <c r="S9710">
        <v>4.9743649999999997E-3</v>
      </c>
      <c r="T9710">
        <v>-4.979491E-3</v>
      </c>
      <c r="U9710">
        <v>3.005585</v>
      </c>
      <c r="V9710">
        <v>-2.4797219999999998E-2</v>
      </c>
      <c r="W9710">
        <v>-4.9853769999999999E-2</v>
      </c>
      <c r="X9710">
        <v>0.99844869999999997</v>
      </c>
      <c r="Y9710">
        <v>4.6977659999999999E-3</v>
      </c>
      <c r="Z9710">
        <v>4.151414E-3</v>
      </c>
      <c r="AA9710">
        <v>0.99998030000000004</v>
      </c>
      <c r="AB9710">
        <v>29</v>
      </c>
      <c r="AC9710">
        <v>0.54879999999999995</v>
      </c>
      <c r="AD9710">
        <v>-0.54863969999999895</v>
      </c>
      <c r="AE9710">
        <v>330.88337000000001</v>
      </c>
      <c r="AF9710">
        <v>1.55562307914454</v>
      </c>
      <c r="AG9710">
        <v>-0.54863969999999895</v>
      </c>
      <c r="AH9710">
        <v>330.87925857066699</v>
      </c>
      <c r="AI9710">
        <v>90.095002519049899</v>
      </c>
      <c r="AJ9710">
        <v>89.730626873896</v>
      </c>
      <c r="AK9710">
        <v>330.88337026958402</v>
      </c>
      <c r="AL9710">
        <v>92.857595005787005</v>
      </c>
      <c r="AM9710">
        <v>91.422691060002506</v>
      </c>
      <c r="AN9710">
        <v>1.0000000535173099</v>
      </c>
    </row>
    <row r="9711" spans="1:40" x14ac:dyDescent="0.25">
      <c r="A9711" t="str">
        <f>"20190303154030133"</f>
        <v>20190303154030133</v>
      </c>
      <c r="B9711" t="str">
        <f>"1551598830128135"</f>
        <v>1551598830128135</v>
      </c>
      <c r="C9711" t="s">
        <v>40</v>
      </c>
      <c r="D9711">
        <v>4.4950429999999999</v>
      </c>
      <c r="E9711">
        <v>0.51153029999999999</v>
      </c>
      <c r="F9711" t="s">
        <v>92</v>
      </c>
      <c r="G9711">
        <v>-186.89670000000001</v>
      </c>
      <c r="H9711">
        <v>0.31049539999999998</v>
      </c>
      <c r="I9711">
        <v>391.87</v>
      </c>
      <c r="J9711">
        <v>-187.55269999999999</v>
      </c>
      <c r="K9711">
        <v>1.119964</v>
      </c>
      <c r="L9711">
        <v>61.301090000000002</v>
      </c>
      <c r="M9711">
        <v>-2.968764E-3</v>
      </c>
      <c r="N9711">
        <v>-5.8468869999999899E-3</v>
      </c>
      <c r="O9711">
        <v>0.99997849999999999</v>
      </c>
      <c r="P9711">
        <v>-2.7999030000000001E-2</v>
      </c>
      <c r="Q9711">
        <v>-5.6072299999999999E-2</v>
      </c>
      <c r="R9711">
        <v>0.99803410000000004</v>
      </c>
      <c r="S9711">
        <v>5.9509280000000003E-3</v>
      </c>
      <c r="T9711">
        <v>-7.352829E-3</v>
      </c>
      <c r="U9711">
        <v>3.005585</v>
      </c>
      <c r="V9711">
        <v>-2.5044790000000001E-2</v>
      </c>
      <c r="W9711">
        <v>-5.0231119999999997E-2</v>
      </c>
      <c r="X9711">
        <v>0.99842359999999997</v>
      </c>
      <c r="Y9711">
        <v>4.9486219999999997E-3</v>
      </c>
      <c r="Z9711">
        <v>3.4005810000000002E-3</v>
      </c>
      <c r="AA9711">
        <v>0.99998200000000004</v>
      </c>
      <c r="AB9711">
        <v>29</v>
      </c>
      <c r="AC9711">
        <v>0.65599999999997705</v>
      </c>
      <c r="AD9711">
        <v>-0.80946859999999998</v>
      </c>
      <c r="AE9711">
        <v>330.56891000000002</v>
      </c>
      <c r="AF9711">
        <v>1.6373851456928701</v>
      </c>
      <c r="AG9711">
        <v>-0.80946859999999998</v>
      </c>
      <c r="AH9711">
        <v>330.56352354340402</v>
      </c>
      <c r="AI9711">
        <v>90.140301241586798</v>
      </c>
      <c r="AJ9711">
        <v>89.716198296688503</v>
      </c>
      <c r="AK9711">
        <v>330.56856984135698</v>
      </c>
      <c r="AL9711">
        <v>92.879242711433804</v>
      </c>
      <c r="AM9711">
        <v>91.436925077590203</v>
      </c>
      <c r="AN9711">
        <v>1.00000004597977</v>
      </c>
    </row>
    <row r="9712" spans="1:40" x14ac:dyDescent="0.25">
      <c r="A9712" t="str">
        <f>"20190303154030153"</f>
        <v>20190303154030153</v>
      </c>
      <c r="B9712" t="str">
        <f>"1551598830148631"</f>
        <v>1551598830148631</v>
      </c>
      <c r="C9712" t="s">
        <v>40</v>
      </c>
      <c r="D9712">
        <v>4.5152510000000001</v>
      </c>
      <c r="E9712">
        <v>0.51155949999999994</v>
      </c>
      <c r="F9712" t="s">
        <v>92</v>
      </c>
      <c r="G9712">
        <v>-186.9469</v>
      </c>
      <c r="H9712">
        <v>0.111858399999999</v>
      </c>
      <c r="I9712">
        <v>391.87</v>
      </c>
      <c r="J9712">
        <v>-187.55350000000001</v>
      </c>
      <c r="K9712">
        <v>1.1199589999999999</v>
      </c>
      <c r="L9712">
        <v>61.591610000000003</v>
      </c>
      <c r="M9712">
        <v>-2.900396E-3</v>
      </c>
      <c r="N9712">
        <v>-5.8889880000000004E-3</v>
      </c>
      <c r="O9712">
        <v>0.99997849999999999</v>
      </c>
      <c r="P9712">
        <v>-2.7831620000000001E-2</v>
      </c>
      <c r="Q9712">
        <v>-5.5999189999999997E-2</v>
      </c>
      <c r="R9712">
        <v>0.99804280000000001</v>
      </c>
      <c r="S9712">
        <v>5.5084230000000001E-3</v>
      </c>
      <c r="T9712">
        <v>-9.1657639999999999E-3</v>
      </c>
      <c r="U9712">
        <v>3.0055540000000001</v>
      </c>
      <c r="V9712">
        <v>-2.4945430000000001E-2</v>
      </c>
      <c r="W9712">
        <v>-5.0115920000000001E-2</v>
      </c>
      <c r="X9712">
        <v>0.99843179999999998</v>
      </c>
      <c r="Y9712">
        <v>4.7330460000000003E-3</v>
      </c>
      <c r="Z9712">
        <v>2.8394739999999998E-3</v>
      </c>
      <c r="AA9712">
        <v>0.99998469999999995</v>
      </c>
      <c r="AB9712">
        <v>29</v>
      </c>
      <c r="AC9712">
        <v>0.60660000000001402</v>
      </c>
      <c r="AD9712">
        <v>-1.0081005999999999</v>
      </c>
      <c r="AE9712">
        <v>330.27839</v>
      </c>
      <c r="AF9712">
        <v>1.56453756056201</v>
      </c>
      <c r="AG9712">
        <v>-1.0081005999999999</v>
      </c>
      <c r="AH9712">
        <v>330.27216440617201</v>
      </c>
      <c r="AI9712">
        <v>90.174883288679496</v>
      </c>
      <c r="AJ9712">
        <v>89.7285852752549</v>
      </c>
      <c r="AK9712">
        <v>330.27740859183098</v>
      </c>
      <c r="AL9712">
        <v>92.872634133901997</v>
      </c>
      <c r="AM9712">
        <v>91.431215002179499</v>
      </c>
      <c r="AN9712">
        <v>0.99999996958328496</v>
      </c>
    </row>
    <row r="9713" spans="1:40" x14ac:dyDescent="0.25">
      <c r="A9713" t="str">
        <f>"20190303154030174"</f>
        <v>20190303154030174</v>
      </c>
      <c r="B9713" t="str">
        <f>"1551598830168152"</f>
        <v>1551598830168152</v>
      </c>
      <c r="C9713" t="s">
        <v>40</v>
      </c>
      <c r="D9713">
        <v>4.3786880000000004</v>
      </c>
      <c r="E9713">
        <v>0.51161639999999997</v>
      </c>
      <c r="F9713" t="s">
        <v>92</v>
      </c>
      <c r="G9713">
        <v>-186.8459</v>
      </c>
      <c r="H9713">
        <v>8.0333710000000003E-2</v>
      </c>
      <c r="I9713">
        <v>391.87</v>
      </c>
      <c r="J9713">
        <v>-187.55420000000001</v>
      </c>
      <c r="K9713">
        <v>1.119958</v>
      </c>
      <c r="L9713">
        <v>61.8690199999999</v>
      </c>
      <c r="M9713">
        <v>-2.835129E-3</v>
      </c>
      <c r="N9713">
        <v>-5.9318210000000003E-3</v>
      </c>
      <c r="O9713">
        <v>0.99997840000000005</v>
      </c>
      <c r="P9713">
        <v>-2.7997660000000001E-2</v>
      </c>
      <c r="Q9713">
        <v>-5.6487759999999998E-2</v>
      </c>
      <c r="R9713">
        <v>0.99801059999999997</v>
      </c>
      <c r="S9713">
        <v>6.4392090000000004E-3</v>
      </c>
      <c r="T9713">
        <v>-9.4605680000000008E-3</v>
      </c>
      <c r="U9713">
        <v>3.0055239999999999</v>
      </c>
      <c r="V9713">
        <v>-2.517672E-2</v>
      </c>
      <c r="W9713">
        <v>-5.056186E-2</v>
      </c>
      <c r="X9713">
        <v>0.9984035</v>
      </c>
      <c r="Y9713">
        <v>4.9774750000000003E-3</v>
      </c>
      <c r="Z9713">
        <v>2.7841960000000001E-3</v>
      </c>
      <c r="AA9713">
        <v>0.99998370000000003</v>
      </c>
      <c r="AB9713">
        <v>29</v>
      </c>
      <c r="AC9713">
        <v>0.70830000000000803</v>
      </c>
      <c r="AD9713">
        <v>-1.0396242899999999</v>
      </c>
      <c r="AE9713">
        <v>330.000979999999</v>
      </c>
      <c r="AF9713">
        <v>1.64389263536256</v>
      </c>
      <c r="AG9713">
        <v>-1.0396242899999999</v>
      </c>
      <c r="AH9713">
        <v>329.99437040910999</v>
      </c>
      <c r="AI9713">
        <v>90.180503527610298</v>
      </c>
      <c r="AJ9713">
        <v>89.714578976768493</v>
      </c>
      <c r="AK9713">
        <v>330.00010258084097</v>
      </c>
      <c r="AL9713">
        <v>92.898217080065905</v>
      </c>
      <c r="AM9713">
        <v>91.444520327090402</v>
      </c>
      <c r="AN9713">
        <v>0.99999995886443305</v>
      </c>
    </row>
    <row r="9714" spans="1:40" x14ac:dyDescent="0.25">
      <c r="A9714" t="str">
        <f>"20190303154030196"</f>
        <v>20190303154030196</v>
      </c>
      <c r="B9714" t="str">
        <f>"1551598830187671"</f>
        <v>1551598830187671</v>
      </c>
      <c r="C9714" t="s">
        <v>40</v>
      </c>
      <c r="D9714">
        <v>4.405392</v>
      </c>
      <c r="E9714">
        <v>0.51159140000000003</v>
      </c>
      <c r="F9714" t="s">
        <v>45</v>
      </c>
      <c r="G9714">
        <v>-186.90819999999999</v>
      </c>
      <c r="H9714" s="1">
        <v>-7.6270909999999997E-6</v>
      </c>
      <c r="I9714">
        <v>365.54219999999998</v>
      </c>
      <c r="J9714">
        <v>-187.55500000000001</v>
      </c>
      <c r="K9714">
        <v>1.119955</v>
      </c>
      <c r="L9714">
        <v>62.16113</v>
      </c>
      <c r="M9714">
        <v>-2.7664260000000002E-3</v>
      </c>
      <c r="N9714">
        <v>-5.9782660000000003E-3</v>
      </c>
      <c r="O9714">
        <v>0.99997829999999999</v>
      </c>
      <c r="P9714">
        <v>-2.850333E-2</v>
      </c>
      <c r="Q9714">
        <v>-5.6674969999999998E-2</v>
      </c>
      <c r="R9714">
        <v>0.99798569999999998</v>
      </c>
      <c r="S9714">
        <v>6.3934329999999996E-3</v>
      </c>
      <c r="T9714">
        <v>-1.108456E-2</v>
      </c>
      <c r="U9714">
        <v>3.0055239999999999</v>
      </c>
      <c r="V9714">
        <v>-2.5751639999999999E-2</v>
      </c>
      <c r="W9714">
        <v>-5.0702709999999998E-2</v>
      </c>
      <c r="X9714">
        <v>0.99838170000000004</v>
      </c>
      <c r="Y9714">
        <v>4.8935369999999999E-3</v>
      </c>
      <c r="Z9714">
        <v>2.2903200000000002E-3</v>
      </c>
      <c r="AA9714">
        <v>0.99998540000000002</v>
      </c>
      <c r="AB9714">
        <v>30</v>
      </c>
      <c r="AC9714">
        <v>0.64680000000001303</v>
      </c>
      <c r="AD9714">
        <v>-1.1199626270909999</v>
      </c>
      <c r="AE9714">
        <v>303.38107000000002</v>
      </c>
      <c r="AF9714">
        <v>1.4860735538730301</v>
      </c>
      <c r="AG9714">
        <v>-1.1199626270909999</v>
      </c>
      <c r="AH9714">
        <v>303.373985352543</v>
      </c>
      <c r="AI9714">
        <v>90.211514742474805</v>
      </c>
      <c r="AJ9714">
        <v>89.719339607960194</v>
      </c>
      <c r="AK9714">
        <v>303.37969233219701</v>
      </c>
      <c r="AL9714">
        <v>92.906297536458695</v>
      </c>
      <c r="AM9714">
        <v>91.477524288463897</v>
      </c>
      <c r="AN9714">
        <v>0.999999965329461</v>
      </c>
    </row>
    <row r="9715" spans="1:40" x14ac:dyDescent="0.25">
      <c r="A9715" t="str">
        <f>"20190303154030228"</f>
        <v>20190303154030228</v>
      </c>
      <c r="B9715" t="str">
        <f>"1551598830217931"</f>
        <v>1551598830217931</v>
      </c>
      <c r="C9715" t="s">
        <v>40</v>
      </c>
      <c r="D9715">
        <v>4.3621369999999997</v>
      </c>
      <c r="E9715">
        <v>0.51157520000000001</v>
      </c>
      <c r="F9715" t="s">
        <v>42</v>
      </c>
      <c r="G9715">
        <v>-187.1362</v>
      </c>
      <c r="H9715" s="1">
        <v>-3.0768649999999998E-6</v>
      </c>
      <c r="I9715">
        <v>345.62090000000001</v>
      </c>
      <c r="J9715">
        <v>-187.55609999999999</v>
      </c>
      <c r="K9715">
        <v>1.1199479999999999</v>
      </c>
      <c r="L9715">
        <v>62.595399999999998</v>
      </c>
      <c r="M9715">
        <v>-2.6643249999999999E-3</v>
      </c>
      <c r="N9715">
        <v>-6.0478839999999999E-3</v>
      </c>
      <c r="O9715">
        <v>0.99997820000000004</v>
      </c>
      <c r="P9715">
        <v>-2.9920269999999999E-2</v>
      </c>
      <c r="Q9715">
        <v>-5.7275920000000001E-2</v>
      </c>
      <c r="R9715">
        <v>0.99790999999999996</v>
      </c>
      <c r="S9715">
        <v>4.4403079999999996E-3</v>
      </c>
      <c r="T9715">
        <v>-1.187479E-2</v>
      </c>
      <c r="U9715">
        <v>3.005493</v>
      </c>
      <c r="V9715">
        <v>-2.7270470000000002E-2</v>
      </c>
      <c r="W9715">
        <v>-5.1234290000000002E-2</v>
      </c>
      <c r="X9715">
        <v>0.99831429999999999</v>
      </c>
      <c r="Y9715">
        <v>4.1416320000000001E-3</v>
      </c>
      <c r="Z9715">
        <v>2.0969610000000001E-3</v>
      </c>
      <c r="AA9715">
        <v>0.99998920000000002</v>
      </c>
      <c r="AB9715">
        <v>30</v>
      </c>
      <c r="AC9715">
        <v>0.41989999999998401</v>
      </c>
      <c r="AD9715">
        <v>-1.1199510768649901</v>
      </c>
      <c r="AE9715">
        <v>283.02550000000002</v>
      </c>
      <c r="AF9715">
        <v>1.17396580503273</v>
      </c>
      <c r="AG9715">
        <v>-1.1199510768649901</v>
      </c>
      <c r="AH9715">
        <v>283.018945034848</v>
      </c>
      <c r="AI9715">
        <v>90.226725398170203</v>
      </c>
      <c r="AJ9715">
        <v>89.762337817564003</v>
      </c>
      <c r="AK9715">
        <v>283.02359572085902</v>
      </c>
      <c r="AL9715">
        <v>92.9367942577977</v>
      </c>
      <c r="AM9715">
        <v>91.564732041583795</v>
      </c>
      <c r="AN9715">
        <v>1.00000003629515</v>
      </c>
    </row>
    <row r="9716" spans="1:40" x14ac:dyDescent="0.25">
      <c r="A9716" t="str">
        <f>"20190303154030252"</f>
        <v>20190303154030252</v>
      </c>
      <c r="B9716" t="str">
        <f>"1551598830248183"</f>
        <v>1551598830248183</v>
      </c>
      <c r="C9716" t="s">
        <v>40</v>
      </c>
      <c r="D9716">
        <v>4.3681549999999998</v>
      </c>
      <c r="E9716">
        <v>0.51157920000000001</v>
      </c>
      <c r="F9716" t="s">
        <v>42</v>
      </c>
      <c r="G9716">
        <v>-187.56100000000001</v>
      </c>
      <c r="H9716" s="1">
        <v>-2.1839290000000001E-6</v>
      </c>
      <c r="I9716">
        <v>303.71510000000001</v>
      </c>
      <c r="J9716">
        <v>-187.55680000000001</v>
      </c>
      <c r="K9716">
        <v>1.11995</v>
      </c>
      <c r="L9716">
        <v>62.894739999999999</v>
      </c>
      <c r="M9716">
        <v>-2.5939829999999998E-3</v>
      </c>
      <c r="N9716">
        <v>-6.0953200000000004E-3</v>
      </c>
      <c r="O9716">
        <v>0.99997809999999998</v>
      </c>
      <c r="P9716">
        <v>-3.0539110000000001E-2</v>
      </c>
      <c r="Q9716">
        <v>-5.7166700000000001E-2</v>
      </c>
      <c r="R9716">
        <v>0.99789740000000005</v>
      </c>
      <c r="S9716" s="1">
        <v>-6.1035159999999999E-5</v>
      </c>
      <c r="T9716">
        <v>-1.3959879999999999E-2</v>
      </c>
      <c r="U9716">
        <v>3.005493</v>
      </c>
      <c r="V9716">
        <v>-2.7959979999999999E-2</v>
      </c>
      <c r="W9716">
        <v>-5.1077650000000002E-2</v>
      </c>
      <c r="X9716">
        <v>0.99830319999999995</v>
      </c>
      <c r="Y9716">
        <v>2.573639E-3</v>
      </c>
      <c r="Z9716">
        <v>1.4506320000000001E-3</v>
      </c>
      <c r="AA9716">
        <v>0.99999559999999998</v>
      </c>
      <c r="AB9716">
        <v>30</v>
      </c>
      <c r="AC9716">
        <v>-4.1999999999688901E-3</v>
      </c>
      <c r="AD9716">
        <v>-1.1199521839290001</v>
      </c>
      <c r="AE9716">
        <v>240.82035999999999</v>
      </c>
      <c r="AF9716">
        <v>0.62048209343528404</v>
      </c>
      <c r="AG9716">
        <v>-1.1199521839290001</v>
      </c>
      <c r="AH9716">
        <v>240.81435236657501</v>
      </c>
      <c r="AI9716">
        <v>90.266461932780103</v>
      </c>
      <c r="AJ9716">
        <v>89.852372060902994</v>
      </c>
      <c r="AK9716">
        <v>240.81775598293299</v>
      </c>
      <c r="AL9716">
        <v>92.927807837132903</v>
      </c>
      <c r="AM9716">
        <v>91.604292332046299</v>
      </c>
      <c r="AN9716">
        <v>0.99999998297068105</v>
      </c>
    </row>
    <row r="9717" spans="1:40" x14ac:dyDescent="0.25">
      <c r="A9717" t="str">
        <f>"20190303154030273"</f>
        <v>20190303154030273</v>
      </c>
      <c r="B9717" t="str">
        <f>"1551598830267704"</f>
        <v>1551598830267704</v>
      </c>
      <c r="C9717" t="s">
        <v>40</v>
      </c>
      <c r="D9717">
        <v>4.3726989999999999</v>
      </c>
      <c r="E9717">
        <v>0.51158429999999999</v>
      </c>
      <c r="F9717" t="s">
        <v>42</v>
      </c>
      <c r="G9717">
        <v>-187.71809999999999</v>
      </c>
      <c r="H9717" s="1">
        <v>-3.7056729999999998E-6</v>
      </c>
      <c r="I9717">
        <v>307.32729999999998</v>
      </c>
      <c r="J9717">
        <v>-187.5575</v>
      </c>
      <c r="K9717">
        <v>1.11995</v>
      </c>
      <c r="L9717">
        <v>63.192659999999997</v>
      </c>
      <c r="M9717">
        <v>-2.523988E-3</v>
      </c>
      <c r="N9717">
        <v>-6.1414809999999998E-3</v>
      </c>
      <c r="O9717">
        <v>0.99997789999999998</v>
      </c>
      <c r="P9717">
        <v>-3.0874039999999998E-2</v>
      </c>
      <c r="Q9717">
        <v>-5.770583E-2</v>
      </c>
      <c r="R9717">
        <v>0.99785610000000002</v>
      </c>
      <c r="S9717">
        <v>-1.9836430000000002E-3</v>
      </c>
      <c r="T9717">
        <v>-1.3770579999999999E-2</v>
      </c>
      <c r="U9717">
        <v>3.0054630000000002</v>
      </c>
      <c r="V9717">
        <v>-2.8364830000000001E-2</v>
      </c>
      <c r="W9717">
        <v>-5.1570850000000001E-2</v>
      </c>
      <c r="X9717">
        <v>0.99826649999999995</v>
      </c>
      <c r="Y9717">
        <v>1.863965E-3</v>
      </c>
      <c r="Z9717">
        <v>1.5597219999999999E-3</v>
      </c>
      <c r="AA9717">
        <v>0.99999700000000002</v>
      </c>
      <c r="AB9717">
        <v>30</v>
      </c>
      <c r="AC9717">
        <v>-0.160599999999988</v>
      </c>
      <c r="AD9717">
        <v>-1.119953705673</v>
      </c>
      <c r="AE9717">
        <v>244.13463999999999</v>
      </c>
      <c r="AF9717">
        <v>0.45559548079203999</v>
      </c>
      <c r="AG9717">
        <v>-1.119953705673</v>
      </c>
      <c r="AH9717">
        <v>244.12913009230999</v>
      </c>
      <c r="AI9717">
        <v>90.262844743979997</v>
      </c>
      <c r="AJ9717">
        <v>89.893074341841995</v>
      </c>
      <c r="AK9717">
        <v>244.13212411145901</v>
      </c>
      <c r="AL9717">
        <v>92.956103179086597</v>
      </c>
      <c r="AM9717">
        <v>91.6275692787504</v>
      </c>
      <c r="AN9717">
        <v>1.0000000605864401</v>
      </c>
    </row>
    <row r="9718" spans="1:40" x14ac:dyDescent="0.25">
      <c r="A9718" t="str">
        <f>"20190303154030296"</f>
        <v>20190303154030296</v>
      </c>
      <c r="B9718" t="str">
        <f>"1551598830288200"</f>
        <v>1551598830288200</v>
      </c>
      <c r="C9718" t="s">
        <v>40</v>
      </c>
      <c r="D9718">
        <v>4.3741709999999996</v>
      </c>
      <c r="E9718">
        <v>0.5115885</v>
      </c>
      <c r="F9718" t="s">
        <v>51</v>
      </c>
      <c r="G9718">
        <v>-187.78790000000001</v>
      </c>
      <c r="H9718" s="1">
        <v>3.8714080000000001E-6</v>
      </c>
      <c r="I9718">
        <v>281.36529999999999</v>
      </c>
      <c r="J9718">
        <v>-187.5582</v>
      </c>
      <c r="K9718">
        <v>1.1199479999999999</v>
      </c>
      <c r="L9718">
        <v>63.503419999999998</v>
      </c>
      <c r="M9718">
        <v>-2.4509829999999999E-3</v>
      </c>
      <c r="N9718">
        <v>-6.1885589999999997E-3</v>
      </c>
      <c r="O9718">
        <v>0.99997780000000003</v>
      </c>
      <c r="P9718">
        <v>-3.0755390000000001E-2</v>
      </c>
      <c r="Q9718">
        <v>-5.7510449999999998E-2</v>
      </c>
      <c r="R9718">
        <v>0.99787099999999995</v>
      </c>
      <c r="S9718">
        <v>-3.1738280000000001E-3</v>
      </c>
      <c r="T9718">
        <v>-1.5427949999999999E-2</v>
      </c>
      <c r="U9718">
        <v>3.0054630000000002</v>
      </c>
      <c r="V9718">
        <v>-2.8319009999999999E-2</v>
      </c>
      <c r="W9718">
        <v>-5.1328390000000002E-2</v>
      </c>
      <c r="X9718">
        <v>0.99828019999999995</v>
      </c>
      <c r="Y9718">
        <v>1.3949639999999901E-3</v>
      </c>
      <c r="Z9718">
        <v>1.0553610000000001E-3</v>
      </c>
      <c r="AA9718">
        <v>0.99999850000000001</v>
      </c>
      <c r="AB9718">
        <v>30</v>
      </c>
      <c r="AC9718">
        <v>-0.22970000000000801</v>
      </c>
      <c r="AD9718">
        <v>-1.119944128592</v>
      </c>
      <c r="AE9718">
        <v>217.86188000000001</v>
      </c>
      <c r="AF9718">
        <v>0.30427866390387998</v>
      </c>
      <c r="AG9718">
        <v>-1.119944128592</v>
      </c>
      <c r="AH9718">
        <v>217.85603155168599</v>
      </c>
      <c r="AI9718">
        <v>90.294540589765901</v>
      </c>
      <c r="AJ9718">
        <v>89.919975261749798</v>
      </c>
      <c r="AK9718">
        <v>217.85912270044</v>
      </c>
      <c r="AL9718">
        <v>92.942193107124794</v>
      </c>
      <c r="AM9718">
        <v>91.624919257292504</v>
      </c>
      <c r="AN9718">
        <v>0.99999996382970502</v>
      </c>
    </row>
    <row r="9719" spans="1:40" x14ac:dyDescent="0.25">
      <c r="A9719" t="str">
        <f>"20190303154030318"</f>
        <v>20190303154030318</v>
      </c>
      <c r="B9719" t="str">
        <f>"1551598830307719"</f>
        <v>1551598830307719</v>
      </c>
      <c r="C9719" t="s">
        <v>40</v>
      </c>
      <c r="D9719">
        <v>4.5027569999999999</v>
      </c>
      <c r="E9719">
        <v>0.51160740000000005</v>
      </c>
      <c r="F9719" t="s">
        <v>51</v>
      </c>
      <c r="G9719">
        <v>-187.76159999999999</v>
      </c>
      <c r="H9719" s="1">
        <v>3.1150400000000001E-6</v>
      </c>
      <c r="I9719">
        <v>289.78879999999998</v>
      </c>
      <c r="J9719">
        <v>-187.55879999999999</v>
      </c>
      <c r="K9719">
        <v>1.1199520000000001</v>
      </c>
      <c r="L9719">
        <v>63.803739999999998</v>
      </c>
      <c r="M9719">
        <v>-2.3808029999999999E-3</v>
      </c>
      <c r="N9719">
        <v>-6.2329079999999997E-3</v>
      </c>
      <c r="O9719">
        <v>0.99997780000000003</v>
      </c>
      <c r="P9719">
        <v>-3.0545289999999999E-2</v>
      </c>
      <c r="Q9719">
        <v>-5.712279E-2</v>
      </c>
      <c r="R9719">
        <v>0.9978998</v>
      </c>
      <c r="S9719">
        <v>-2.700806E-3</v>
      </c>
      <c r="T9719">
        <v>-1.487482E-2</v>
      </c>
      <c r="U9719">
        <v>3.0054630000000002</v>
      </c>
      <c r="V9719">
        <v>-2.8178729999999999E-2</v>
      </c>
      <c r="W9719">
        <v>-5.0896280000000002E-2</v>
      </c>
      <c r="X9719">
        <v>0.99830629999999998</v>
      </c>
      <c r="Y9719">
        <v>1.4821680000000001E-3</v>
      </c>
      <c r="Z9719">
        <v>1.2837460000000001E-3</v>
      </c>
      <c r="AA9719">
        <v>0.9999981</v>
      </c>
      <c r="AB9719">
        <v>30</v>
      </c>
      <c r="AC9719">
        <v>-0.20279999999999601</v>
      </c>
      <c r="AD9719">
        <v>-1.1199488849599999</v>
      </c>
      <c r="AE9719">
        <v>225.98506</v>
      </c>
      <c r="AF9719">
        <v>0.335228669731711</v>
      </c>
      <c r="AG9719">
        <v>-1.1199488849599999</v>
      </c>
      <c r="AH9719">
        <v>225.97935218551899</v>
      </c>
      <c r="AI9719">
        <v>90.283954032971593</v>
      </c>
      <c r="AJ9719">
        <v>89.915004739714206</v>
      </c>
      <c r="AK9719">
        <v>225.982376033957</v>
      </c>
      <c r="AL9719">
        <v>92.917402604233303</v>
      </c>
      <c r="AM9719">
        <v>91.616832151075698</v>
      </c>
      <c r="AN9719">
        <v>0.99999997038096999</v>
      </c>
    </row>
    <row r="9720" spans="1:40" x14ac:dyDescent="0.25">
      <c r="A9720" t="str">
        <f>"20190303154030342"</f>
        <v>20190303154030342</v>
      </c>
      <c r="B9720" t="str">
        <f>"1551598830337976"</f>
        <v>1551598830337976</v>
      </c>
      <c r="C9720" t="s">
        <v>40</v>
      </c>
      <c r="D9720">
        <v>4.387804</v>
      </c>
      <c r="E9720">
        <v>0.51164069999999995</v>
      </c>
      <c r="F9720" t="s">
        <v>42</v>
      </c>
      <c r="G9720">
        <v>-187.68539999999999</v>
      </c>
      <c r="H9720" s="1">
        <v>-4.0726529999999997E-6</v>
      </c>
      <c r="I9720">
        <v>308.16919999999999</v>
      </c>
      <c r="J9720">
        <v>-187.55959999999999</v>
      </c>
      <c r="K9720">
        <v>1.119956</v>
      </c>
      <c r="L9720">
        <v>64.126589999999993</v>
      </c>
      <c r="M9720">
        <v>-2.3073939999999999E-3</v>
      </c>
      <c r="N9720">
        <v>-6.279415E-3</v>
      </c>
      <c r="O9720">
        <v>0.99997760000000002</v>
      </c>
      <c r="P9720">
        <v>-3.0393449999999999E-2</v>
      </c>
      <c r="Q9720">
        <v>-5.6658930000000003E-2</v>
      </c>
      <c r="R9720">
        <v>0.99793089999999995</v>
      </c>
      <c r="S9720">
        <v>-1.556396E-3</v>
      </c>
      <c r="T9720">
        <v>-1.3774389999999999E-2</v>
      </c>
      <c r="U9720">
        <v>3.0054630000000002</v>
      </c>
      <c r="V9720">
        <v>-2.8099969999999998E-2</v>
      </c>
      <c r="W9720">
        <v>-5.0385899999999997E-2</v>
      </c>
      <c r="X9720">
        <v>0.99833450000000001</v>
      </c>
      <c r="Y9720">
        <v>1.7895249999999999E-3</v>
      </c>
      <c r="Z9720">
        <v>1.6963869999999999E-3</v>
      </c>
      <c r="AA9720">
        <v>0.99999700000000002</v>
      </c>
      <c r="AB9720">
        <v>30</v>
      </c>
      <c r="AC9720">
        <v>-0.125799999999998</v>
      </c>
      <c r="AD9720">
        <v>-1.1199600726529999</v>
      </c>
      <c r="AE9720">
        <v>244.04261</v>
      </c>
      <c r="AF9720">
        <v>0.43730469368018698</v>
      </c>
      <c r="AG9720">
        <v>-1.1199600726529999</v>
      </c>
      <c r="AH9720">
        <v>244.03711099743799</v>
      </c>
      <c r="AI9720">
        <v>90.262945384012795</v>
      </c>
      <c r="AJ9720">
        <v>89.897328376049799</v>
      </c>
      <c r="AK9720">
        <v>244.04007271334601</v>
      </c>
      <c r="AL9720">
        <v>92.888122153504597</v>
      </c>
      <c r="AM9720">
        <v>91.612269948948494</v>
      </c>
      <c r="AN9720">
        <v>1.00000006056152</v>
      </c>
    </row>
    <row r="9721" spans="1:40" x14ac:dyDescent="0.25">
      <c r="A9721" t="str">
        <f>"20190303154030364"</f>
        <v>20190303154030364</v>
      </c>
      <c r="B9721" t="str">
        <f>"1551598830357496"</f>
        <v>1551598830357496</v>
      </c>
      <c r="C9721" t="s">
        <v>40</v>
      </c>
      <c r="D9721">
        <v>4.3444969999999996</v>
      </c>
      <c r="E9721">
        <v>0.51164900000000002</v>
      </c>
      <c r="F9721" t="s">
        <v>42</v>
      </c>
      <c r="G9721">
        <v>-187.6437</v>
      </c>
      <c r="H9721" s="1">
        <v>-3.021837E-6</v>
      </c>
      <c r="I9721">
        <v>335.70249999999999</v>
      </c>
      <c r="J9721">
        <v>-187.56020000000001</v>
      </c>
      <c r="K9721">
        <v>1.119964</v>
      </c>
      <c r="L9721">
        <v>64.42062</v>
      </c>
      <c r="M9721">
        <v>-2.2441290000000001E-3</v>
      </c>
      <c r="N9721">
        <v>-6.3208020000000004E-3</v>
      </c>
      <c r="O9721">
        <v>0.99997749999999996</v>
      </c>
      <c r="P9721">
        <v>-3.085823E-2</v>
      </c>
      <c r="Q9721">
        <v>-5.6173880000000002E-2</v>
      </c>
      <c r="R9721">
        <v>0.99794400000000005</v>
      </c>
      <c r="S9721">
        <v>-9.307861E-4</v>
      </c>
      <c r="T9721">
        <v>-1.239443E-2</v>
      </c>
      <c r="U9721">
        <v>3.005493</v>
      </c>
      <c r="V9721">
        <v>-2.8627219999999998E-2</v>
      </c>
      <c r="W9721">
        <v>-4.9859519999999997E-2</v>
      </c>
      <c r="X9721">
        <v>0.99834590000000001</v>
      </c>
      <c r="Y9721">
        <v>1.934416E-3</v>
      </c>
      <c r="Z9721">
        <v>2.1969569999999998E-3</v>
      </c>
      <c r="AA9721">
        <v>0.99999570000000004</v>
      </c>
      <c r="AB9721">
        <v>30</v>
      </c>
      <c r="AC9721">
        <v>-8.3499999999986502E-2</v>
      </c>
      <c r="AD9721">
        <v>-1.1199670218369999</v>
      </c>
      <c r="AE9721">
        <v>271.28188</v>
      </c>
      <c r="AF9721">
        <v>0.52529495632476497</v>
      </c>
      <c r="AG9721">
        <v>-1.1199670218369999</v>
      </c>
      <c r="AH9721">
        <v>271.276760644305</v>
      </c>
      <c r="AI9721">
        <v>90.236544031695999</v>
      </c>
      <c r="AJ9721">
        <v>89.889053723922501</v>
      </c>
      <c r="AK9721">
        <v>271.279581108841</v>
      </c>
      <c r="AL9721">
        <v>92.857924983319407</v>
      </c>
      <c r="AM9721">
        <v>91.642486394805204</v>
      </c>
      <c r="AN9721">
        <v>1.0000000127531801</v>
      </c>
    </row>
    <row r="9722" spans="1:40" x14ac:dyDescent="0.25">
      <c r="A9722" t="str">
        <f>"20190303154030385"</f>
        <v>20190303154030385</v>
      </c>
      <c r="B9722" t="str">
        <f>"1551598830377992"</f>
        <v>1551598830377992</v>
      </c>
      <c r="C9722" t="s">
        <v>40</v>
      </c>
      <c r="D9722">
        <v>4.3566699999999896</v>
      </c>
      <c r="E9722">
        <v>0.51165569999999905</v>
      </c>
      <c r="F9722" t="s">
        <v>45</v>
      </c>
      <c r="G9722">
        <v>-187.8236</v>
      </c>
      <c r="H9722" s="1">
        <v>-9.5831399999999992E-6</v>
      </c>
      <c r="I9722">
        <v>369.68209999999999</v>
      </c>
      <c r="J9722">
        <v>-187.5608</v>
      </c>
      <c r="K9722">
        <v>1.1199730000000001</v>
      </c>
      <c r="L9722">
        <v>64.713750000000005</v>
      </c>
      <c r="M9722">
        <v>-2.1871970000000001E-3</v>
      </c>
      <c r="N9722">
        <v>-6.3632380000000002E-3</v>
      </c>
      <c r="O9722">
        <v>0.99997740000000002</v>
      </c>
      <c r="P9722">
        <v>-3.0860039999999998E-2</v>
      </c>
      <c r="Q9722">
        <v>-5.6144739999999999E-2</v>
      </c>
      <c r="R9722">
        <v>0.99794559999999999</v>
      </c>
      <c r="S9722">
        <v>-2.5939940000000001E-3</v>
      </c>
      <c r="T9722">
        <v>-1.102674E-2</v>
      </c>
      <c r="U9722">
        <v>3.0054630000000002</v>
      </c>
      <c r="V9722">
        <v>-2.86854E-2</v>
      </c>
      <c r="W9722">
        <v>-4.9788270000000003E-2</v>
      </c>
      <c r="X9722">
        <v>0.99834780000000001</v>
      </c>
      <c r="Y9722">
        <v>1.324111E-3</v>
      </c>
      <c r="Z9722">
        <v>2.6944040000000001E-3</v>
      </c>
      <c r="AA9722">
        <v>0.99999550000000004</v>
      </c>
      <c r="AB9722">
        <v>30</v>
      </c>
      <c r="AC9722">
        <v>-0.26279999999999798</v>
      </c>
      <c r="AD9722">
        <v>-1.1199825831400001</v>
      </c>
      <c r="AE9722">
        <v>304.96834999999999</v>
      </c>
      <c r="AF9722">
        <v>0.40423451651249698</v>
      </c>
      <c r="AG9722">
        <v>-1.1199825831400001</v>
      </c>
      <c r="AH9722">
        <v>304.96408229297498</v>
      </c>
      <c r="AI9722">
        <v>90.210417993472504</v>
      </c>
      <c r="AJ9722">
        <v>89.924053619721207</v>
      </c>
      <c r="AK9722">
        <v>304.96640676528199</v>
      </c>
      <c r="AL9722">
        <v>92.853837542244406</v>
      </c>
      <c r="AM9722">
        <v>91.645819507011396</v>
      </c>
      <c r="AN9722">
        <v>1.0000000268837901</v>
      </c>
    </row>
    <row r="9723" spans="1:40" x14ac:dyDescent="0.25">
      <c r="A9723" t="str">
        <f>"20190303154030408"</f>
        <v>20190303154030408</v>
      </c>
      <c r="B9723" t="str">
        <f>"1551598830397511"</f>
        <v>1551598830397511</v>
      </c>
      <c r="C9723" t="s">
        <v>40</v>
      </c>
      <c r="D9723">
        <v>4.369491</v>
      </c>
      <c r="E9723">
        <v>0.51166400000000001</v>
      </c>
      <c r="F9723" t="s">
        <v>45</v>
      </c>
      <c r="G9723">
        <v>-187.81229999999999</v>
      </c>
      <c r="H9723" s="1">
        <v>-7.3648740000000001E-6</v>
      </c>
      <c r="I9723">
        <v>364.96530000000001</v>
      </c>
      <c r="J9723">
        <v>-187.56139999999999</v>
      </c>
      <c r="K9723">
        <v>1.1199790000000001</v>
      </c>
      <c r="L9723">
        <v>65.023099999999999</v>
      </c>
      <c r="M9723">
        <v>-2.1369560000000002E-3</v>
      </c>
      <c r="N9723">
        <v>-6.412905E-3</v>
      </c>
      <c r="O9723">
        <v>0.99997720000000001</v>
      </c>
      <c r="P9723">
        <v>-3.0684059999999999E-2</v>
      </c>
      <c r="Q9723">
        <v>-5.6153460000000002E-2</v>
      </c>
      <c r="R9723">
        <v>0.99795060000000002</v>
      </c>
      <c r="S9723">
        <v>-2.5176999999999999E-3</v>
      </c>
      <c r="T9723">
        <v>-1.1210799999999899E-2</v>
      </c>
      <c r="U9723">
        <v>3.0054630000000002</v>
      </c>
      <c r="V9723">
        <v>-2.855883E-2</v>
      </c>
      <c r="W9723">
        <v>-4.974787E-2</v>
      </c>
      <c r="X9723">
        <v>0.99835339999999995</v>
      </c>
      <c r="Y9723">
        <v>1.2992539999999999E-3</v>
      </c>
      <c r="Z9723">
        <v>2.682832E-3</v>
      </c>
      <c r="AA9723">
        <v>0.99999550000000004</v>
      </c>
      <c r="AB9723">
        <v>30</v>
      </c>
      <c r="AC9723">
        <v>-0.25090000000000101</v>
      </c>
      <c r="AD9723">
        <v>-1.1199863648740001</v>
      </c>
      <c r="AE9723">
        <v>299.94220000000001</v>
      </c>
      <c r="AF9723">
        <v>0.39007156885039301</v>
      </c>
      <c r="AG9723">
        <v>-1.1199863648740001</v>
      </c>
      <c r="AH9723">
        <v>299.93786931525199</v>
      </c>
      <c r="AI9723">
        <v>90.213944772813207</v>
      </c>
      <c r="AJ9723">
        <v>89.925486428058605</v>
      </c>
      <c r="AK9723">
        <v>299.94021400049002</v>
      </c>
      <c r="AL9723">
        <v>92.851520042305097</v>
      </c>
      <c r="AM9723">
        <v>91.638552358281899</v>
      </c>
      <c r="AN9723">
        <v>0.99999998431603199</v>
      </c>
    </row>
    <row r="9724" spans="1:40" x14ac:dyDescent="0.25">
      <c r="A9724" t="str">
        <f>"20190303154030430"</f>
        <v>20190303154030430</v>
      </c>
      <c r="B9724" t="str">
        <f>"1551598830418007"</f>
        <v>1551598830418007</v>
      </c>
      <c r="C9724" t="s">
        <v>40</v>
      </c>
      <c r="D9724">
        <v>4.4665660000000003</v>
      </c>
      <c r="E9724">
        <v>0.51169169999999997</v>
      </c>
      <c r="F9724" t="s">
        <v>45</v>
      </c>
      <c r="G9724">
        <v>-187.73259999999999</v>
      </c>
      <c r="H9724" s="1">
        <v>-3.613754E-6</v>
      </c>
      <c r="I9724">
        <v>355.72059999999999</v>
      </c>
      <c r="J9724">
        <v>-187.56200000000001</v>
      </c>
      <c r="K9724">
        <v>1.119991</v>
      </c>
      <c r="L9724">
        <v>65.327789999999993</v>
      </c>
      <c r="M9724">
        <v>-2.1014139999999998E-3</v>
      </c>
      <c r="N9724">
        <v>-6.4726619999999997E-3</v>
      </c>
      <c r="O9724">
        <v>0.99997689999999995</v>
      </c>
      <c r="P9724">
        <v>-3.0251770000000001E-2</v>
      </c>
      <c r="Q9724">
        <v>-5.626797E-2</v>
      </c>
      <c r="R9724">
        <v>0.99795730000000005</v>
      </c>
      <c r="S9724">
        <v>-1.77002E-3</v>
      </c>
      <c r="T9724">
        <v>-1.1579280000000001E-2</v>
      </c>
      <c r="U9724">
        <v>3.0054630000000002</v>
      </c>
      <c r="V9724">
        <v>-2.8160770000000002E-2</v>
      </c>
      <c r="W9724">
        <v>-4.9803439999999997E-2</v>
      </c>
      <c r="X9724">
        <v>0.99836190000000002</v>
      </c>
      <c r="Y9724">
        <v>1.5124769999999999E-3</v>
      </c>
      <c r="Z9724">
        <v>2.6199919999999998E-3</v>
      </c>
      <c r="AA9724">
        <v>0.99999539999999998</v>
      </c>
      <c r="AB9724">
        <v>31</v>
      </c>
      <c r="AC9724">
        <v>-0.17059999999997899</v>
      </c>
      <c r="AD9724">
        <v>-1.119994613754</v>
      </c>
      <c r="AE9724">
        <v>290.39281</v>
      </c>
      <c r="AF9724">
        <v>0.43964210270262399</v>
      </c>
      <c r="AG9724">
        <v>-1.119994613754</v>
      </c>
      <c r="AH9724">
        <v>290.388207747808</v>
      </c>
      <c r="AI9724">
        <v>90.220982019929295</v>
      </c>
      <c r="AJ9724">
        <v>89.913255369663702</v>
      </c>
      <c r="AK9724">
        <v>290.390700388455</v>
      </c>
      <c r="AL9724">
        <v>92.854708025663598</v>
      </c>
      <c r="AM9724">
        <v>91.615712254821005</v>
      </c>
      <c r="AN9724">
        <v>0.99999994748721599</v>
      </c>
    </row>
    <row r="9725" spans="1:40" x14ac:dyDescent="0.25">
      <c r="A9725" t="str">
        <f>"20190303154030452"</f>
        <v>20190303154030452</v>
      </c>
      <c r="B9725" t="str">
        <f>"1551598830447288"</f>
        <v>1551598830447288</v>
      </c>
      <c r="C9725" t="s">
        <v>40</v>
      </c>
      <c r="D9725">
        <v>4.3723859999999997</v>
      </c>
      <c r="E9725">
        <v>0.51171789999999995</v>
      </c>
      <c r="F9725" t="s">
        <v>42</v>
      </c>
      <c r="G9725">
        <v>-187.58940000000001</v>
      </c>
      <c r="H9725" s="1">
        <v>-4.0751839999999999E-6</v>
      </c>
      <c r="I9725">
        <v>348.1354</v>
      </c>
      <c r="J9725">
        <v>-187.5626</v>
      </c>
      <c r="K9725">
        <v>1.1200049999999999</v>
      </c>
      <c r="L9725">
        <v>65.630340000000004</v>
      </c>
      <c r="M9725">
        <v>-2.0787150000000001E-3</v>
      </c>
      <c r="N9725">
        <v>-6.5536309999999999E-3</v>
      </c>
      <c r="O9725">
        <v>0.99997630000000004</v>
      </c>
      <c r="P9725">
        <v>-3.009409E-2</v>
      </c>
      <c r="Q9725">
        <v>-5.6448489999999997E-2</v>
      </c>
      <c r="R9725">
        <v>0.9979519</v>
      </c>
      <c r="S9725">
        <v>-2.89917E-4</v>
      </c>
      <c r="T9725">
        <v>-1.190245E-2</v>
      </c>
      <c r="U9725">
        <v>3.0054630000000002</v>
      </c>
      <c r="V9725">
        <v>-2.8024960000000002E-2</v>
      </c>
      <c r="W9725">
        <v>-4.9903889999999999E-2</v>
      </c>
      <c r="X9725">
        <v>0.99836080000000005</v>
      </c>
      <c r="Y9725">
        <v>1.9822279999999999E-3</v>
      </c>
      <c r="Z9725">
        <v>2.5934399999999998E-3</v>
      </c>
      <c r="AA9725">
        <v>0.99999470000000001</v>
      </c>
      <c r="AB9725">
        <v>31</v>
      </c>
      <c r="AC9725">
        <v>-2.6800000000008602E-2</v>
      </c>
      <c r="AD9725">
        <v>-1.1200090751839999</v>
      </c>
      <c r="AE9725">
        <v>282.50506000000001</v>
      </c>
      <c r="AF9725">
        <v>0.56045140390761305</v>
      </c>
      <c r="AG9725">
        <v>-1.1200090751839999</v>
      </c>
      <c r="AH9725">
        <v>282.50006505584901</v>
      </c>
      <c r="AI9725">
        <v>90.227155099973899</v>
      </c>
      <c r="AJ9725">
        <v>89.886331148521506</v>
      </c>
      <c r="AK9725">
        <v>282.50284119396701</v>
      </c>
      <c r="AL9725">
        <v>92.860470282534806</v>
      </c>
      <c r="AM9725">
        <v>91.6079260846805</v>
      </c>
      <c r="AN9725">
        <v>1.0000000417983801</v>
      </c>
    </row>
    <row r="9726" spans="1:40" x14ac:dyDescent="0.25">
      <c r="A9726" t="str">
        <f>"20190303154030475"</f>
        <v>20190303154030475</v>
      </c>
      <c r="B9726" t="str">
        <f>"1551598830467784"</f>
        <v>1551598830467784</v>
      </c>
      <c r="C9726" t="s">
        <v>40</v>
      </c>
      <c r="D9726">
        <v>4.4175519999999997</v>
      </c>
      <c r="E9726">
        <v>0.51170209999999905</v>
      </c>
      <c r="F9726" t="s">
        <v>42</v>
      </c>
      <c r="G9726">
        <v>-187.53399999999999</v>
      </c>
      <c r="H9726" s="1">
        <v>-2.5727130000000001E-6</v>
      </c>
      <c r="I9726">
        <v>334.61020000000002</v>
      </c>
      <c r="J9726">
        <v>-187.5633</v>
      </c>
      <c r="K9726">
        <v>1.120031</v>
      </c>
      <c r="L9726">
        <v>65.950379999999996</v>
      </c>
      <c r="M9726">
        <v>-2.064017E-3</v>
      </c>
      <c r="N9726">
        <v>-6.6604719999999997E-3</v>
      </c>
      <c r="O9726">
        <v>0.99997570000000002</v>
      </c>
      <c r="P9726">
        <v>-2.9583729999999999E-2</v>
      </c>
      <c r="Q9726">
        <v>-5.6552280000000003E-2</v>
      </c>
      <c r="R9726">
        <v>0.99796119999999999</v>
      </c>
      <c r="S9726">
        <v>3.2043460000000002E-4</v>
      </c>
      <c r="T9726">
        <v>-1.251447E-2</v>
      </c>
      <c r="U9726">
        <v>3.0054630000000002</v>
      </c>
      <c r="V9726">
        <v>-2.752748E-2</v>
      </c>
      <c r="W9726">
        <v>-4.9901630000000002E-2</v>
      </c>
      <c r="X9726">
        <v>0.99837469999999995</v>
      </c>
      <c r="Y9726">
        <v>2.1706009999999999E-3</v>
      </c>
      <c r="Z9726">
        <v>2.4966530000000002E-3</v>
      </c>
      <c r="AA9726">
        <v>0.99999450000000001</v>
      </c>
      <c r="AB9726">
        <v>31</v>
      </c>
      <c r="AC9726">
        <v>2.9299999999977899E-2</v>
      </c>
      <c r="AD9726">
        <v>-1.120033572713</v>
      </c>
      <c r="AE9726">
        <v>268.65982000000002</v>
      </c>
      <c r="AF9726">
        <v>0.58382052019436104</v>
      </c>
      <c r="AG9726">
        <v>-1.120033572713</v>
      </c>
      <c r="AH9726">
        <v>268.654517939904</v>
      </c>
      <c r="AI9726">
        <v>90.238866905357995</v>
      </c>
      <c r="AJ9726">
        <v>89.875489162063801</v>
      </c>
      <c r="AK9726">
        <v>268.65748701855699</v>
      </c>
      <c r="AL9726">
        <v>92.8603407859366</v>
      </c>
      <c r="AM9726">
        <v>91.579375885369103</v>
      </c>
      <c r="AN9726">
        <v>0.99999998821594804</v>
      </c>
    </row>
    <row r="9727" spans="1:40" x14ac:dyDescent="0.25">
      <c r="A9727" t="str">
        <f>"20190303154030497"</f>
        <v>20190303154030497</v>
      </c>
      <c r="B9727" t="str">
        <f>"1551598830487307"</f>
        <v>1551598830487307</v>
      </c>
      <c r="C9727" t="s">
        <v>40</v>
      </c>
      <c r="D9727">
        <v>4.395448</v>
      </c>
      <c r="E9727">
        <v>0.5116811</v>
      </c>
      <c r="F9727" t="s">
        <v>42</v>
      </c>
      <c r="G9727">
        <v>-187.4025</v>
      </c>
      <c r="H9727" s="1">
        <v>-4.11451E-6</v>
      </c>
      <c r="I9727">
        <v>317.36070000000001</v>
      </c>
      <c r="J9727">
        <v>-187.56389999999999</v>
      </c>
      <c r="K9727">
        <v>1.1200619999999999</v>
      </c>
      <c r="L9727">
        <v>66.253780000000006</v>
      </c>
      <c r="M9727">
        <v>-2.0580389999999998E-3</v>
      </c>
      <c r="N9727">
        <v>-6.7945230000000002E-3</v>
      </c>
      <c r="O9727">
        <v>0.99997480000000005</v>
      </c>
      <c r="P9727">
        <v>-2.9280489999999999E-2</v>
      </c>
      <c r="Q9727">
        <v>-5.6840679999999998E-2</v>
      </c>
      <c r="R9727">
        <v>0.9979538</v>
      </c>
      <c r="S9727">
        <v>1.922607E-3</v>
      </c>
      <c r="T9727">
        <v>-1.338923E-2</v>
      </c>
      <c r="U9727">
        <v>3.0054319999999999</v>
      </c>
      <c r="V9727">
        <v>-2.7229730000000001E-2</v>
      </c>
      <c r="W9727">
        <v>-5.0056719999999999E-2</v>
      </c>
      <c r="X9727">
        <v>0.99837509999999996</v>
      </c>
      <c r="Y9727">
        <v>2.6976909999999999E-3</v>
      </c>
      <c r="Z9727">
        <v>2.3396210000000001E-3</v>
      </c>
      <c r="AA9727">
        <v>0.99999360000000004</v>
      </c>
      <c r="AB9727">
        <v>31</v>
      </c>
      <c r="AC9727">
        <v>0.161399999999986</v>
      </c>
      <c r="AD9727">
        <v>-1.1200661145099999</v>
      </c>
      <c r="AE9727">
        <v>251.10692</v>
      </c>
      <c r="AF9727">
        <v>0.67818592826386404</v>
      </c>
      <c r="AG9727">
        <v>-1.1200661145099999</v>
      </c>
      <c r="AH9727">
        <v>251.10106006222099</v>
      </c>
      <c r="AI9727">
        <v>90.255572005287505</v>
      </c>
      <c r="AJ9727">
        <v>89.845253154554001</v>
      </c>
      <c r="AK9727">
        <v>251.10447397174201</v>
      </c>
      <c r="AL9727">
        <v>92.869237911486906</v>
      </c>
      <c r="AM9727">
        <v>91.562300509790603</v>
      </c>
      <c r="AN9727">
        <v>0.99999998685652003</v>
      </c>
    </row>
    <row r="9728" spans="1:40" x14ac:dyDescent="0.25">
      <c r="A9728" t="str">
        <f>"20190303154030519"</f>
        <v>20190303154030519</v>
      </c>
      <c r="B9728" t="str">
        <f>"1551598830507799"</f>
        <v>1551598830507799</v>
      </c>
      <c r="C9728" t="s">
        <v>40</v>
      </c>
      <c r="D9728">
        <v>4.3983589999999904</v>
      </c>
      <c r="E9728">
        <v>0.51166129999999999</v>
      </c>
      <c r="F9728" t="s">
        <v>51</v>
      </c>
      <c r="G9728">
        <v>-187.363</v>
      </c>
      <c r="H9728" s="1">
        <v>1.8786460000000001E-6</v>
      </c>
      <c r="I9728">
        <v>293.6508</v>
      </c>
      <c r="J9728">
        <v>-187.56450000000001</v>
      </c>
      <c r="K9728">
        <v>1.1201080000000001</v>
      </c>
      <c r="L9728">
        <v>66.563630000000003</v>
      </c>
      <c r="M9728">
        <v>-2.0682230000000001E-3</v>
      </c>
      <c r="N9728">
        <v>-6.9972740000000004E-3</v>
      </c>
      <c r="O9728">
        <v>0.99997340000000001</v>
      </c>
      <c r="P9728">
        <v>-2.9036260000000001E-2</v>
      </c>
      <c r="Q9728">
        <v>-5.7543240000000002E-2</v>
      </c>
      <c r="R9728">
        <v>0.99792069999999999</v>
      </c>
      <c r="S9728">
        <v>2.6550290000000002E-3</v>
      </c>
      <c r="T9728">
        <v>-1.4803169999999999E-2</v>
      </c>
      <c r="U9728">
        <v>3.0053709999999998</v>
      </c>
      <c r="V9728">
        <v>-2.6974350000000001E-2</v>
      </c>
      <c r="W9728">
        <v>-5.0557659999999997E-2</v>
      </c>
      <c r="X9728">
        <v>0.99835680000000004</v>
      </c>
      <c r="Y9728">
        <v>2.9515740000000002E-3</v>
      </c>
      <c r="Z9728">
        <v>2.071832E-3</v>
      </c>
      <c r="AA9728">
        <v>0.99999349999999998</v>
      </c>
      <c r="AB9728">
        <v>31</v>
      </c>
      <c r="AC9728">
        <v>0.20150000000001</v>
      </c>
      <c r="AD9728">
        <v>-1.120106121354</v>
      </c>
      <c r="AE9728">
        <v>227.08716999999999</v>
      </c>
      <c r="AF9728">
        <v>0.67116163688598895</v>
      </c>
      <c r="AG9728">
        <v>-1.120106121354</v>
      </c>
      <c r="AH9728">
        <v>227.08074277454901</v>
      </c>
      <c r="AI9728">
        <v>90.282615565639702</v>
      </c>
      <c r="AJ9728">
        <v>89.830656634639595</v>
      </c>
      <c r="AK9728">
        <v>227.08449712542401</v>
      </c>
      <c r="AL9728">
        <v>92.897976020964606</v>
      </c>
      <c r="AM9728">
        <v>91.547683646314596</v>
      </c>
      <c r="AN9728">
        <v>0.99999999632441905</v>
      </c>
    </row>
    <row r="9729" spans="1:40" x14ac:dyDescent="0.25">
      <c r="A9729" t="str">
        <f>"20190303154030543"</f>
        <v>20190303154030543</v>
      </c>
      <c r="B9729" t="str">
        <f>"1551598830538055"</f>
        <v>1551598830538055</v>
      </c>
      <c r="C9729" t="s">
        <v>40</v>
      </c>
      <c r="D9729">
        <v>4.4251259999999997</v>
      </c>
      <c r="E9729">
        <v>0.51166449999999997</v>
      </c>
      <c r="F9729" t="s">
        <v>42</v>
      </c>
      <c r="G9729">
        <v>-187.3527</v>
      </c>
      <c r="H9729" s="1">
        <v>-1.01868E-6</v>
      </c>
      <c r="I9729">
        <v>260.57170000000002</v>
      </c>
      <c r="J9729">
        <v>-187.5652</v>
      </c>
      <c r="K9729">
        <v>1.120196</v>
      </c>
      <c r="L9729">
        <v>66.891480000000001</v>
      </c>
      <c r="M9729">
        <v>-2.1172909999999999E-3</v>
      </c>
      <c r="N9729">
        <v>-7.3292280000000001E-3</v>
      </c>
      <c r="O9729">
        <v>0.9999709</v>
      </c>
      <c r="P9729">
        <v>-2.8821690000000001E-2</v>
      </c>
      <c r="Q9729">
        <v>-5.9069419999999997E-2</v>
      </c>
      <c r="R9729">
        <v>0.99783770000000005</v>
      </c>
      <c r="S9729">
        <v>3.28064E-3</v>
      </c>
      <c r="T9729">
        <v>-1.7351390000000001E-2</v>
      </c>
      <c r="U9729">
        <v>3.005341</v>
      </c>
      <c r="V9729">
        <v>-2.6708030000000001E-2</v>
      </c>
      <c r="W9729">
        <v>-5.1754389999999997E-2</v>
      </c>
      <c r="X9729">
        <v>0.99830260000000004</v>
      </c>
      <c r="Y9729">
        <v>3.2087919999999998E-3</v>
      </c>
      <c r="Z9729">
        <v>1.5558830000000001E-3</v>
      </c>
      <c r="AA9729">
        <v>0.99999360000000004</v>
      </c>
      <c r="AB9729">
        <v>31</v>
      </c>
      <c r="AC9729">
        <v>0.21250000000000499</v>
      </c>
      <c r="AD9729">
        <v>-1.1201970186800001</v>
      </c>
      <c r="AE9729">
        <v>193.68021999999999</v>
      </c>
      <c r="AF9729">
        <v>0.62256709879012195</v>
      </c>
      <c r="AG9729">
        <v>-1.1201970186800001</v>
      </c>
      <c r="AH9729">
        <v>193.67285723329499</v>
      </c>
      <c r="AI9729">
        <v>90.331391373093197</v>
      </c>
      <c r="AJ9729">
        <v>89.815821665093594</v>
      </c>
      <c r="AK9729">
        <v>193.67709740715799</v>
      </c>
      <c r="AL9729">
        <v>92.966633611065504</v>
      </c>
      <c r="AM9729">
        <v>91.532493717465499</v>
      </c>
      <c r="AN9729">
        <v>0.999999958458755</v>
      </c>
    </row>
    <row r="9730" spans="1:40" x14ac:dyDescent="0.25">
      <c r="A9730" t="str">
        <f>"20190303154030565"</f>
        <v>20190303154030565</v>
      </c>
      <c r="B9730" t="str">
        <f>"1551598830557577"</f>
        <v>1551598830557577</v>
      </c>
      <c r="C9730" t="s">
        <v>40</v>
      </c>
      <c r="D9730">
        <v>4.434971</v>
      </c>
      <c r="E9730">
        <v>0.5116465</v>
      </c>
      <c r="F9730" t="s">
        <v>51</v>
      </c>
      <c r="G9730">
        <v>-187.36519999999999</v>
      </c>
      <c r="H9730" s="1">
        <v>3.2294820000000001E-6</v>
      </c>
      <c r="I9730">
        <v>217.85040000000001</v>
      </c>
      <c r="J9730">
        <v>-187.5659</v>
      </c>
      <c r="K9730">
        <v>1.1203259999999999</v>
      </c>
      <c r="L9730">
        <v>67.199579999999997</v>
      </c>
      <c r="M9730">
        <v>-2.2147249999999999E-3</v>
      </c>
      <c r="N9730">
        <v>-7.7882139999999999E-3</v>
      </c>
      <c r="O9730">
        <v>0.99996719999999895</v>
      </c>
      <c r="P9730">
        <v>-2.7734720000000001E-2</v>
      </c>
      <c r="Q9730">
        <v>-6.0590419999999999E-2</v>
      </c>
      <c r="R9730">
        <v>0.99777729999999998</v>
      </c>
      <c r="S9730">
        <v>3.9825440000000002E-3</v>
      </c>
      <c r="T9730">
        <v>-2.2300960000000002E-2</v>
      </c>
      <c r="U9730">
        <v>3.0053100000000001</v>
      </c>
      <c r="V9730">
        <v>-2.551937E-2</v>
      </c>
      <c r="W9730">
        <v>-5.2819810000000002E-2</v>
      </c>
      <c r="X9730">
        <v>0.99827790000000005</v>
      </c>
      <c r="Y9730">
        <v>3.539745E-3</v>
      </c>
      <c r="Z9730">
        <v>3.6797620000000002E-4</v>
      </c>
      <c r="AA9730">
        <v>0.99999369999999999</v>
      </c>
      <c r="AB9730">
        <v>31</v>
      </c>
      <c r="AC9730">
        <v>0.20070000000001101</v>
      </c>
      <c r="AD9730">
        <v>-1.1203227705180001</v>
      </c>
      <c r="AE9730">
        <v>150.65081999999899</v>
      </c>
      <c r="AF9730">
        <v>0.53433022115769002</v>
      </c>
      <c r="AG9730">
        <v>-1.1203227705180001</v>
      </c>
      <c r="AH9730">
        <v>150.64167517780299</v>
      </c>
      <c r="AI9730">
        <v>90.426098416718702</v>
      </c>
      <c r="AJ9730">
        <v>89.796771125183199</v>
      </c>
      <c r="AK9730">
        <v>150.646788655683</v>
      </c>
      <c r="AL9730">
        <v>93.027761273650597</v>
      </c>
      <c r="AM9730">
        <v>91.464355589241805</v>
      </c>
      <c r="AN9730">
        <v>0.99999996810102099</v>
      </c>
    </row>
    <row r="9731" spans="1:40" x14ac:dyDescent="0.25">
      <c r="A9731" t="str">
        <f>"20190303154030586"</f>
        <v>20190303154030586</v>
      </c>
      <c r="B9731" t="str">
        <f>"1551598830578072"</f>
        <v>1551598830578072</v>
      </c>
      <c r="C9731" t="s">
        <v>40</v>
      </c>
      <c r="D9731">
        <v>4.4208889999999998</v>
      </c>
      <c r="E9731">
        <v>0.51163720000000001</v>
      </c>
      <c r="F9731" t="s">
        <v>42</v>
      </c>
      <c r="G9731">
        <v>-187.27629999999999</v>
      </c>
      <c r="H9731" s="1">
        <v>-9.858027E-7</v>
      </c>
      <c r="I9731">
        <v>190.4153</v>
      </c>
      <c r="J9731">
        <v>-187.5668</v>
      </c>
      <c r="K9731">
        <v>1.120492</v>
      </c>
      <c r="L9731">
        <v>67.49991</v>
      </c>
      <c r="M9731">
        <v>-2.3684470000000001E-3</v>
      </c>
      <c r="N9731">
        <v>-8.3682970000000002E-3</v>
      </c>
      <c r="O9731">
        <v>0.99996220000000002</v>
      </c>
      <c r="P9731">
        <v>-2.7496679999999999E-2</v>
      </c>
      <c r="Q9731">
        <v>-6.1595650000000002E-2</v>
      </c>
      <c r="R9731">
        <v>0.99772240000000001</v>
      </c>
      <c r="S9731">
        <v>7.064819E-3</v>
      </c>
      <c r="T9731">
        <v>-2.732468E-2</v>
      </c>
      <c r="U9731">
        <v>3.0052189999999999</v>
      </c>
      <c r="V9731">
        <v>-2.5121790000000001E-2</v>
      </c>
      <c r="W9731">
        <v>-5.3249280000000003E-2</v>
      </c>
      <c r="X9731">
        <v>0.99826519999999996</v>
      </c>
      <c r="Y9731">
        <v>4.7190169999999998E-3</v>
      </c>
      <c r="Z9731">
        <v>-7.2363729999999995E-4</v>
      </c>
      <c r="AA9731">
        <v>0.99998860000000001</v>
      </c>
      <c r="AB9731">
        <v>31</v>
      </c>
      <c r="AC9731">
        <v>0.29050000000000797</v>
      </c>
      <c r="AD9731">
        <v>-1.1204929858027</v>
      </c>
      <c r="AE9731">
        <v>122.91538999999899</v>
      </c>
      <c r="AF9731">
        <v>0.58157963041972904</v>
      </c>
      <c r="AG9731">
        <v>-1.1204929858027</v>
      </c>
      <c r="AH9731">
        <v>122.904143779359</v>
      </c>
      <c r="AI9731">
        <v>90.522334071171997</v>
      </c>
      <c r="AJ9731">
        <v>89.728879689968096</v>
      </c>
      <c r="AK9731">
        <v>122.910627276631</v>
      </c>
      <c r="AL9731">
        <v>93.052402674594106</v>
      </c>
      <c r="AM9731">
        <v>91.441569639819505</v>
      </c>
      <c r="AN9731">
        <v>0.99999999984218102</v>
      </c>
    </row>
    <row r="9732" spans="1:40" x14ac:dyDescent="0.25">
      <c r="A9732" t="str">
        <f>"20190303154030609"</f>
        <v>20190303154030609</v>
      </c>
      <c r="B9732" t="str">
        <f>"1551598830597592"</f>
        <v>1551598830597592</v>
      </c>
      <c r="C9732" t="s">
        <v>40</v>
      </c>
      <c r="D9732">
        <v>4.4902800000000003</v>
      </c>
      <c r="E9732">
        <v>0.51161259999999997</v>
      </c>
      <c r="F9732" t="s">
        <v>42</v>
      </c>
      <c r="G9732">
        <v>-187.2861</v>
      </c>
      <c r="H9732" s="1">
        <v>-3.9957349999999996E-6</v>
      </c>
      <c r="I9732">
        <v>177.82480000000001</v>
      </c>
      <c r="J9732">
        <v>-187.5677</v>
      </c>
      <c r="K9732">
        <v>1.120673</v>
      </c>
      <c r="L9732">
        <v>67.803529999999995</v>
      </c>
      <c r="M9732">
        <v>-2.5953550000000001E-3</v>
      </c>
      <c r="N9732">
        <v>-9.0331430000000004E-3</v>
      </c>
      <c r="O9732">
        <v>0.99995579999999995</v>
      </c>
      <c r="P9732">
        <v>-2.7352749999999999E-2</v>
      </c>
      <c r="Q9732">
        <v>-6.2070500000000001E-2</v>
      </c>
      <c r="R9732">
        <v>0.9976969</v>
      </c>
      <c r="S9732">
        <v>7.6446530000000004E-3</v>
      </c>
      <c r="T9732">
        <v>-3.0521389999999999E-2</v>
      </c>
      <c r="U9732">
        <v>3.0051570000000001</v>
      </c>
      <c r="V9732">
        <v>-2.4744080000000002E-2</v>
      </c>
      <c r="W9732">
        <v>-5.3064130000000001E-2</v>
      </c>
      <c r="X9732">
        <v>0.99828450000000002</v>
      </c>
      <c r="Y9732">
        <v>5.1388329999999998E-3</v>
      </c>
      <c r="Z9732">
        <v>-1.1225569999999999E-3</v>
      </c>
      <c r="AA9732">
        <v>0.99998620000000005</v>
      </c>
      <c r="AB9732">
        <v>31</v>
      </c>
      <c r="AC9732">
        <v>0.28159999999999702</v>
      </c>
      <c r="AD9732">
        <v>-1.120676995735</v>
      </c>
      <c r="AE9732">
        <v>110.02127</v>
      </c>
      <c r="AF9732">
        <v>0.56709612602905002</v>
      </c>
      <c r="AG9732">
        <v>-1.120676995735</v>
      </c>
      <c r="AH9732">
        <v>110.008754696907</v>
      </c>
      <c r="AI9732">
        <v>90.583653438381702</v>
      </c>
      <c r="AJ9732">
        <v>89.704642354360999</v>
      </c>
      <c r="AK9732">
        <v>110.0159244151</v>
      </c>
      <c r="AL9732">
        <v>93.041779319258296</v>
      </c>
      <c r="AM9732">
        <v>91.419876917911793</v>
      </c>
      <c r="AN9732">
        <v>1.0000000071639701</v>
      </c>
    </row>
    <row r="9733" spans="1:40" x14ac:dyDescent="0.25">
      <c r="A9733" t="str">
        <f>"20190303154030631"</f>
        <v>20190303154030631</v>
      </c>
      <c r="B9733" t="str">
        <f>"1551598830627848"</f>
        <v>1551598830627848</v>
      </c>
      <c r="C9733" t="s">
        <v>40</v>
      </c>
      <c r="D9733">
        <v>4.4195479999999998</v>
      </c>
      <c r="E9733">
        <v>0.51159860000000001</v>
      </c>
      <c r="F9733" t="s">
        <v>42</v>
      </c>
      <c r="G9733">
        <v>-187.2963</v>
      </c>
      <c r="H9733" s="1">
        <v>-1.449797E-6</v>
      </c>
      <c r="I9733">
        <v>171.7944</v>
      </c>
      <c r="J9733">
        <v>-187.56880000000001</v>
      </c>
      <c r="K9733">
        <v>1.120852</v>
      </c>
      <c r="L9733">
        <v>68.115359999999995</v>
      </c>
      <c r="M9733">
        <v>-2.9203599999999999E-3</v>
      </c>
      <c r="N9733">
        <v>-9.7338670000000002E-3</v>
      </c>
      <c r="O9733">
        <v>0.99994839999999996</v>
      </c>
      <c r="P9733">
        <v>-2.807254E-2</v>
      </c>
      <c r="Q9733">
        <v>-6.2548500000000007E-2</v>
      </c>
      <c r="R9733">
        <v>0.99764699999999995</v>
      </c>
      <c r="S9733">
        <v>7.8430180000000002E-3</v>
      </c>
      <c r="T9733">
        <v>-3.2385230000000001E-2</v>
      </c>
      <c r="U9733">
        <v>3.0051269999999999</v>
      </c>
      <c r="V9733">
        <v>-2.5130900000000001E-2</v>
      </c>
      <c r="W9733">
        <v>-5.2847310000000002E-2</v>
      </c>
      <c r="X9733">
        <v>0.99828629999999996</v>
      </c>
      <c r="Y9733">
        <v>5.5297940000000002E-3</v>
      </c>
      <c r="Z9733">
        <v>-1.042016E-3</v>
      </c>
      <c r="AA9733">
        <v>0.99998410000000004</v>
      </c>
      <c r="AB9733">
        <v>31</v>
      </c>
      <c r="AC9733">
        <v>0.27250000000000801</v>
      </c>
      <c r="AD9733">
        <v>-1.120853449797</v>
      </c>
      <c r="AE9733">
        <v>103.67904</v>
      </c>
      <c r="AF9733">
        <v>0.57522606390216002</v>
      </c>
      <c r="AG9733">
        <v>-1.120853449797</v>
      </c>
      <c r="AH9733">
        <v>103.66568632894899</v>
      </c>
      <c r="AI9733">
        <v>90.619459374928496</v>
      </c>
      <c r="AJ9733">
        <v>89.682077178633307</v>
      </c>
      <c r="AK9733">
        <v>103.673341412016</v>
      </c>
      <c r="AL9733">
        <v>93.029339110026697</v>
      </c>
      <c r="AM9733">
        <v>91.442061712895196</v>
      </c>
      <c r="AN9733">
        <v>0.99999996853836703</v>
      </c>
    </row>
    <row r="9734" spans="1:40" x14ac:dyDescent="0.25">
      <c r="A9734" t="str">
        <f>"20190303154030653"</f>
        <v>20190303154030653</v>
      </c>
      <c r="B9734" t="str">
        <f>"1551598830647368"</f>
        <v>1551598830647368</v>
      </c>
      <c r="C9734" t="s">
        <v>40</v>
      </c>
      <c r="D9734">
        <v>4.4727189999999997</v>
      </c>
      <c r="E9734">
        <v>0.51158490000000001</v>
      </c>
      <c r="F9734" t="s">
        <v>42</v>
      </c>
      <c r="G9734">
        <v>-187.38839999999999</v>
      </c>
      <c r="H9734" s="1">
        <v>-3.8615750000000004E-6</v>
      </c>
      <c r="I9734">
        <v>166.8203</v>
      </c>
      <c r="J9734">
        <v>-187.5701</v>
      </c>
      <c r="K9734">
        <v>1.1210009999999999</v>
      </c>
      <c r="L9734">
        <v>68.411900000000003</v>
      </c>
      <c r="M9734">
        <v>-3.3113790000000001E-3</v>
      </c>
      <c r="N9734">
        <v>-1.037707E-2</v>
      </c>
      <c r="O9734">
        <v>0.99994070000000002</v>
      </c>
      <c r="P9734">
        <v>-2.926577E-2</v>
      </c>
      <c r="Q9734">
        <v>-6.3140909999999995E-2</v>
      </c>
      <c r="R9734">
        <v>0.9975754</v>
      </c>
      <c r="S9734">
        <v>5.493164E-3</v>
      </c>
      <c r="T9734">
        <v>-3.4124729999999999E-2</v>
      </c>
      <c r="U9734">
        <v>3.005096</v>
      </c>
      <c r="V9734">
        <v>-2.5924949999999999E-2</v>
      </c>
      <c r="W9734">
        <v>-5.2802759999999997E-2</v>
      </c>
      <c r="X9734">
        <v>0.99826839999999994</v>
      </c>
      <c r="Y9734">
        <v>5.1389089999999997E-3</v>
      </c>
      <c r="Z9734">
        <v>-9.7766330000000003E-4</v>
      </c>
      <c r="AA9734">
        <v>0.99998629999999999</v>
      </c>
      <c r="AB9734">
        <v>31</v>
      </c>
      <c r="AC9734">
        <v>0.181700000000006</v>
      </c>
      <c r="AD9734">
        <v>-1.1210048615749999</v>
      </c>
      <c r="AE9734">
        <v>98.4084</v>
      </c>
      <c r="AF9734">
        <v>0.50751819423775901</v>
      </c>
      <c r="AG9734">
        <v>-1.1210048615749999</v>
      </c>
      <c r="AH9734">
        <v>98.394490780975005</v>
      </c>
      <c r="AI9734">
        <v>90.652731813085495</v>
      </c>
      <c r="AJ9734">
        <v>89.704471333191293</v>
      </c>
      <c r="AK9734">
        <v>98.4021851518782</v>
      </c>
      <c r="AL9734">
        <v>93.026782868898707</v>
      </c>
      <c r="AM9734">
        <v>91.487632404522401</v>
      </c>
      <c r="AN9734">
        <v>1.0000000164673299</v>
      </c>
    </row>
    <row r="9735" spans="1:40" x14ac:dyDescent="0.25">
      <c r="A9735" t="str">
        <f>"20190303154030675"</f>
        <v>20190303154030675</v>
      </c>
      <c r="B9735" t="str">
        <f>"1551598830667864"</f>
        <v>1551598830667864</v>
      </c>
      <c r="C9735" t="s">
        <v>40</v>
      </c>
      <c r="D9735">
        <v>4.4501470000000003</v>
      </c>
      <c r="E9735">
        <v>0.51158059999999905</v>
      </c>
      <c r="F9735" t="s">
        <v>42</v>
      </c>
      <c r="G9735">
        <v>-187.5128</v>
      </c>
      <c r="H9735" s="1">
        <v>-1.4457640000000001E-6</v>
      </c>
      <c r="I9735">
        <v>161.68600000000001</v>
      </c>
      <c r="J9735">
        <v>-187.57169999999999</v>
      </c>
      <c r="K9735">
        <v>1.1211409999999999</v>
      </c>
      <c r="L9735">
        <v>68.725040000000007</v>
      </c>
      <c r="M9735">
        <v>-3.7966010000000001E-3</v>
      </c>
      <c r="N9735">
        <v>-1.101006E-2</v>
      </c>
      <c r="O9735">
        <v>0.99993220000000005</v>
      </c>
      <c r="P9735">
        <v>-3.0999510000000001E-2</v>
      </c>
      <c r="Q9735">
        <v>-6.3741309999999995E-2</v>
      </c>
      <c r="R9735">
        <v>0.99748490000000001</v>
      </c>
      <c r="S9735">
        <v>1.846313E-3</v>
      </c>
      <c r="T9735">
        <v>-3.6116000000000002E-2</v>
      </c>
      <c r="U9735">
        <v>3.0050659999999998</v>
      </c>
      <c r="V9735">
        <v>-2.7167360000000002E-2</v>
      </c>
      <c r="W9735">
        <v>-5.2776860000000002E-2</v>
      </c>
      <c r="X9735">
        <v>0.99823669999999998</v>
      </c>
      <c r="Y9735">
        <v>4.4106680000000004E-3</v>
      </c>
      <c r="Z9735">
        <v>-1.007307E-3</v>
      </c>
      <c r="AA9735">
        <v>0.99998969999999998</v>
      </c>
      <c r="AB9735">
        <v>31</v>
      </c>
      <c r="AC9735">
        <v>5.8899999999994103E-2</v>
      </c>
      <c r="AD9735">
        <v>-1.121142445764</v>
      </c>
      <c r="AE9735">
        <v>92.96096</v>
      </c>
      <c r="AF9735">
        <v>0.41179673894785201</v>
      </c>
      <c r="AG9735">
        <v>-1.121142445764</v>
      </c>
      <c r="AH9735">
        <v>92.946547027775594</v>
      </c>
      <c r="AI9735">
        <v>90.691074460801701</v>
      </c>
      <c r="AJ9735">
        <v>89.746154520658095</v>
      </c>
      <c r="AK9735">
        <v>92.9542206751496</v>
      </c>
      <c r="AL9735">
        <v>93.025296929000106</v>
      </c>
      <c r="AM9735">
        <v>91.558939812257705</v>
      </c>
      <c r="AN9735">
        <v>0.99999998581385896</v>
      </c>
    </row>
    <row r="9736" spans="1:40" x14ac:dyDescent="0.25">
      <c r="A9736" t="str">
        <f>"20190303154030699"</f>
        <v>20190303154030699</v>
      </c>
      <c r="B9736" t="str">
        <f>"1551598830687387"</f>
        <v>1551598830687387</v>
      </c>
      <c r="C9736" t="s">
        <v>40</v>
      </c>
      <c r="D9736">
        <v>4.496982</v>
      </c>
      <c r="E9736">
        <v>0.5115499</v>
      </c>
      <c r="F9736" t="s">
        <v>68</v>
      </c>
      <c r="G9736">
        <v>-187.67349999999999</v>
      </c>
      <c r="H9736" s="1">
        <v>-1.405192E-5</v>
      </c>
      <c r="I9736">
        <v>157.4588</v>
      </c>
      <c r="J9736">
        <v>-187.57339999999999</v>
      </c>
      <c r="K9736">
        <v>1.121248</v>
      </c>
      <c r="L9736">
        <v>69.034329999999997</v>
      </c>
      <c r="M9736">
        <v>-4.3414589999999998E-3</v>
      </c>
      <c r="N9736">
        <v>-1.157993E-2</v>
      </c>
      <c r="O9736">
        <v>0.99992349999999997</v>
      </c>
      <c r="P9736">
        <v>-3.2141660000000002E-2</v>
      </c>
      <c r="Q9736">
        <v>-6.4312579999999994E-2</v>
      </c>
      <c r="R9736">
        <v>0.99741199999999997</v>
      </c>
      <c r="S9736">
        <v>-3.4484860000000002E-3</v>
      </c>
      <c r="T9736">
        <v>-3.7968399999999999E-2</v>
      </c>
      <c r="U9736">
        <v>3.0050050000000001</v>
      </c>
      <c r="V9736">
        <v>-2.775948E-2</v>
      </c>
      <c r="W9736">
        <v>-5.2783749999999997E-2</v>
      </c>
      <c r="X9736">
        <v>0.99822010000000005</v>
      </c>
      <c r="Y9736">
        <v>3.1937319999999999E-3</v>
      </c>
      <c r="Z9736">
        <v>-1.0540110000000001E-3</v>
      </c>
      <c r="AA9736">
        <v>0.9999943</v>
      </c>
      <c r="AB9736">
        <v>31</v>
      </c>
      <c r="AC9736">
        <v>-0.100099999999997</v>
      </c>
      <c r="AD9736">
        <v>-1.1212620519200001</v>
      </c>
      <c r="AE9736">
        <v>88.4244699999999</v>
      </c>
      <c r="AF9736">
        <v>0.28377227712553599</v>
      </c>
      <c r="AG9736">
        <v>-1.1212620519200001</v>
      </c>
      <c r="AH9736">
        <v>88.409855430491604</v>
      </c>
      <c r="AI9736">
        <v>90.726613656191901</v>
      </c>
      <c r="AJ9736">
        <v>89.816096317454097</v>
      </c>
      <c r="AK9736">
        <v>88.417420752557305</v>
      </c>
      <c r="AL9736">
        <v>93.025692082267696</v>
      </c>
      <c r="AM9736">
        <v>91.592926486524902</v>
      </c>
      <c r="AN9736">
        <v>1.00000004051897</v>
      </c>
    </row>
    <row r="9737" spans="1:40" x14ac:dyDescent="0.25">
      <c r="A9737" t="str">
        <f>"20190303154030720"</f>
        <v>20190303154030720</v>
      </c>
      <c r="B9737" t="str">
        <f>"1551598830717640"</f>
        <v>1551598830717640</v>
      </c>
      <c r="C9737" t="s">
        <v>40</v>
      </c>
      <c r="D9737">
        <v>4.4694929999999999</v>
      </c>
      <c r="E9737">
        <v>0.51152359999999997</v>
      </c>
      <c r="F9737" t="s">
        <v>68</v>
      </c>
      <c r="G9737">
        <v>-187.7792</v>
      </c>
      <c r="H9737" s="1">
        <v>-1.231188E-5</v>
      </c>
      <c r="I9737">
        <v>153.44139999999999</v>
      </c>
      <c r="J9737">
        <v>-187.5753</v>
      </c>
      <c r="K9737">
        <v>1.121324</v>
      </c>
      <c r="L9737">
        <v>69.334810000000004</v>
      </c>
      <c r="M9737">
        <v>-4.9244700000000002E-3</v>
      </c>
      <c r="N9737">
        <v>-1.2077559999999999E-2</v>
      </c>
      <c r="O9737">
        <v>0.99991490000000005</v>
      </c>
      <c r="P9737">
        <v>-3.281423E-2</v>
      </c>
      <c r="Q9737">
        <v>-6.5273419999999999E-2</v>
      </c>
      <c r="R9737">
        <v>0.99732770000000004</v>
      </c>
      <c r="S9737">
        <v>-7.3242189999999999E-3</v>
      </c>
      <c r="T9737">
        <v>-3.9917950000000001E-2</v>
      </c>
      <c r="U9737">
        <v>3.0049739999999998</v>
      </c>
      <c r="V9737">
        <v>-2.7845419999999999E-2</v>
      </c>
      <c r="W9737">
        <v>-5.3251399999999997E-2</v>
      </c>
      <c r="X9737">
        <v>0.99819279999999999</v>
      </c>
      <c r="Y9737">
        <v>2.4871070000000001E-3</v>
      </c>
      <c r="Z9737">
        <v>-1.2051080000000001E-3</v>
      </c>
      <c r="AA9737">
        <v>0.9999962</v>
      </c>
      <c r="AB9737">
        <v>31</v>
      </c>
      <c r="AC9737">
        <v>-0.20390000000000399</v>
      </c>
      <c r="AD9737">
        <v>-1.1213363118799999</v>
      </c>
      <c r="AE9737">
        <v>84.106589999999898</v>
      </c>
      <c r="AF9737">
        <v>0.21027570203195101</v>
      </c>
      <c r="AG9737">
        <v>-1.1213363118799999</v>
      </c>
      <c r="AH9737">
        <v>84.091626936722704</v>
      </c>
      <c r="AI9737">
        <v>90.763974154708393</v>
      </c>
      <c r="AJ9737">
        <v>89.856729075312103</v>
      </c>
      <c r="AK9737">
        <v>84.099365823174594</v>
      </c>
      <c r="AL9737">
        <v>93.052524397788602</v>
      </c>
      <c r="AM9737">
        <v>91.597899119875805</v>
      </c>
      <c r="AN9737">
        <v>0.99999997249438699</v>
      </c>
    </row>
    <row r="9738" spans="1:40" x14ac:dyDescent="0.25">
      <c r="A9738" t="str">
        <f>"20190303154030743"</f>
        <v>20190303154030743</v>
      </c>
      <c r="B9738" t="str">
        <f>"1551598830737160"</f>
        <v>1551598830737160</v>
      </c>
      <c r="C9738" t="s">
        <v>40</v>
      </c>
      <c r="D9738">
        <v>4.5515100000000004</v>
      </c>
      <c r="E9738">
        <v>0.51148130000000003</v>
      </c>
      <c r="F9738" t="s">
        <v>68</v>
      </c>
      <c r="G9738">
        <v>-187.821</v>
      </c>
      <c r="H9738" s="1">
        <v>-1.0385160000000001E-5</v>
      </c>
      <c r="I9738">
        <v>147.74770000000001</v>
      </c>
      <c r="J9738">
        <v>-187.57759999999999</v>
      </c>
      <c r="K9738">
        <v>1.121378</v>
      </c>
      <c r="L9738">
        <v>69.650329999999997</v>
      </c>
      <c r="M9738">
        <v>-5.577004E-3</v>
      </c>
      <c r="N9738">
        <v>-1.2541500000000001E-2</v>
      </c>
      <c r="O9738">
        <v>0.99990579999999996</v>
      </c>
      <c r="P9738">
        <v>-3.3988930000000001E-2</v>
      </c>
      <c r="Q9738">
        <v>-6.5774600000000003E-2</v>
      </c>
      <c r="R9738">
        <v>0.99725540000000001</v>
      </c>
      <c r="S9738">
        <v>-9.4146730000000001E-3</v>
      </c>
      <c r="T9738">
        <v>-4.2971370000000002E-2</v>
      </c>
      <c r="U9738">
        <v>3.0049130000000002</v>
      </c>
      <c r="V9738">
        <v>-2.836464E-2</v>
      </c>
      <c r="W9738">
        <v>-5.3292909999999999E-2</v>
      </c>
      <c r="X9738">
        <v>0.99817599999999995</v>
      </c>
      <c r="Y9738">
        <v>2.4439800000000001E-3</v>
      </c>
      <c r="Z9738">
        <v>-1.757282E-3</v>
      </c>
      <c r="AA9738">
        <v>0.99999550000000004</v>
      </c>
      <c r="AB9738">
        <v>31</v>
      </c>
      <c r="AC9738">
        <v>-0.243400000000008</v>
      </c>
      <c r="AD9738">
        <v>-1.1213883851599999</v>
      </c>
      <c r="AE9738">
        <v>78.097369999999998</v>
      </c>
      <c r="AF9738">
        <v>0.19214777217159201</v>
      </c>
      <c r="AG9738">
        <v>-1.1213883851599999</v>
      </c>
      <c r="AH9738">
        <v>78.081414417753194</v>
      </c>
      <c r="AI9738">
        <v>90.822810533192893</v>
      </c>
      <c r="AJ9738">
        <v>89.859003141183194</v>
      </c>
      <c r="AK9738">
        <v>78.089702971349894</v>
      </c>
      <c r="AL9738">
        <v>93.054906022081198</v>
      </c>
      <c r="AM9738">
        <v>91.627705866255695</v>
      </c>
      <c r="AN9738">
        <v>1.0000000070172901</v>
      </c>
    </row>
    <row r="9739" spans="1:40" x14ac:dyDescent="0.25">
      <c r="A9739" t="str">
        <f>"20190303154030767"</f>
        <v>20190303154030767</v>
      </c>
      <c r="B9739" t="str">
        <f>"1551598830757656"</f>
        <v>1551598830757656</v>
      </c>
      <c r="C9739" t="s">
        <v>40</v>
      </c>
      <c r="D9739">
        <v>4.523047</v>
      </c>
      <c r="E9739">
        <v>0.51147410000000004</v>
      </c>
      <c r="F9739" t="s">
        <v>68</v>
      </c>
      <c r="G9739">
        <v>-187.91239999999999</v>
      </c>
      <c r="H9739" s="1">
        <v>-9.5818220000000005E-6</v>
      </c>
      <c r="I9739">
        <v>144.7422</v>
      </c>
      <c r="J9739">
        <v>-187.58009999999999</v>
      </c>
      <c r="K9739">
        <v>1.1214189999999999</v>
      </c>
      <c r="L9739">
        <v>69.965999999999994</v>
      </c>
      <c r="M9739">
        <v>-6.254931E-3</v>
      </c>
      <c r="N9739">
        <v>-1.294899E-2</v>
      </c>
      <c r="O9739">
        <v>0.99989660000000002</v>
      </c>
      <c r="P9739">
        <v>-3.5294260000000001E-2</v>
      </c>
      <c r="Q9739">
        <v>-6.7056630000000006E-2</v>
      </c>
      <c r="R9739">
        <v>0.99712469999999997</v>
      </c>
      <c r="S9739">
        <v>-1.339722E-2</v>
      </c>
      <c r="T9739">
        <v>-4.4872639999999998E-2</v>
      </c>
      <c r="U9739">
        <v>3.0048219999999999</v>
      </c>
      <c r="V9739">
        <v>-2.8990109999999999E-2</v>
      </c>
      <c r="W9739">
        <v>-5.4171810000000001E-2</v>
      </c>
      <c r="X9739">
        <v>0.99811070000000002</v>
      </c>
      <c r="Y9739">
        <v>1.7966359999999999E-3</v>
      </c>
      <c r="Z9739">
        <v>-1.9827429999999999E-3</v>
      </c>
      <c r="AA9739">
        <v>0.99999640000000001</v>
      </c>
      <c r="AB9739">
        <v>31</v>
      </c>
      <c r="AC9739">
        <v>-0.33230000000000298</v>
      </c>
      <c r="AD9739">
        <v>-1.121428581822</v>
      </c>
      <c r="AE9739">
        <v>74.776199999999903</v>
      </c>
      <c r="AF9739">
        <v>0.135435227500417</v>
      </c>
      <c r="AG9739">
        <v>-1.121428581822</v>
      </c>
      <c r="AH9739">
        <v>74.760001412430498</v>
      </c>
      <c r="AI9739">
        <v>90.859392717476993</v>
      </c>
      <c r="AJ9739">
        <v>89.896203072531307</v>
      </c>
      <c r="AK9739">
        <v>74.768534531255796</v>
      </c>
      <c r="AL9739">
        <v>93.1053361881212</v>
      </c>
      <c r="AM9739">
        <v>91.663687308887106</v>
      </c>
      <c r="AN9739">
        <v>0.99999999046548904</v>
      </c>
    </row>
    <row r="9740" spans="1:40" x14ac:dyDescent="0.25">
      <c r="A9740" t="str">
        <f>"20190303154030788"</f>
        <v>20190303154030788</v>
      </c>
      <c r="B9740" t="str">
        <f>"1551598830777176"</f>
        <v>1551598830777176</v>
      </c>
      <c r="C9740" t="s">
        <v>40</v>
      </c>
      <c r="D9740">
        <v>4.4847130000000002</v>
      </c>
      <c r="E9740">
        <v>0.51153090000000001</v>
      </c>
      <c r="F9740" t="s">
        <v>68</v>
      </c>
      <c r="G9740">
        <v>-187.97989999999999</v>
      </c>
      <c r="H9740" s="1">
        <v>-7.8721889999999904E-6</v>
      </c>
      <c r="I9740">
        <v>138.60990000000001</v>
      </c>
      <c r="J9740">
        <v>-187.58260000000001</v>
      </c>
      <c r="K9740">
        <v>1.1214489999999999</v>
      </c>
      <c r="L9740">
        <v>70.263239999999996</v>
      </c>
      <c r="M9740">
        <v>-6.9068869999999996E-3</v>
      </c>
      <c r="N9740">
        <v>-1.3283929999999999E-2</v>
      </c>
      <c r="O9740">
        <v>0.99988790000000005</v>
      </c>
      <c r="P9740">
        <v>-3.6253479999999998E-2</v>
      </c>
      <c r="Q9740">
        <v>-6.8726850000000006E-2</v>
      </c>
      <c r="R9740">
        <v>0.99697659999999999</v>
      </c>
      <c r="S9740">
        <v>-1.7501829999999999E-2</v>
      </c>
      <c r="T9740">
        <v>-4.908788E-2</v>
      </c>
      <c r="U9740">
        <v>3.0047299999999999</v>
      </c>
      <c r="V9740">
        <v>-2.9296840000000001E-2</v>
      </c>
      <c r="W9740">
        <v>-5.5510509999999999E-2</v>
      </c>
      <c r="X9740">
        <v>0.99802820000000003</v>
      </c>
      <c r="Y9740">
        <v>1.082672E-3</v>
      </c>
      <c r="Z9740">
        <v>-3.050629E-3</v>
      </c>
      <c r="AA9740">
        <v>0.99999479999999996</v>
      </c>
      <c r="AB9740">
        <v>30</v>
      </c>
      <c r="AC9740">
        <v>-0.39729999999997201</v>
      </c>
      <c r="AD9740">
        <v>-1.1214568721889999</v>
      </c>
      <c r="AE9740">
        <v>68.34666</v>
      </c>
      <c r="AF9740">
        <v>7.47936603794912E-2</v>
      </c>
      <c r="AG9740">
        <v>-1.1214568721889999</v>
      </c>
      <c r="AH9740">
        <v>68.329377801522995</v>
      </c>
      <c r="AI9740">
        <v>90.9402828000445</v>
      </c>
      <c r="AJ9740">
        <v>89.937283793582694</v>
      </c>
      <c r="AK9740">
        <v>68.338621074404699</v>
      </c>
      <c r="AL9740">
        <v>93.182153612389797</v>
      </c>
      <c r="AM9740">
        <v>91.681418810336595</v>
      </c>
      <c r="AN9740">
        <v>1.0000000047748401</v>
      </c>
    </row>
    <row r="9741" spans="1:40" x14ac:dyDescent="0.25">
      <c r="A9741" t="str">
        <f>"20190303154030810"</f>
        <v>20190303154030810</v>
      </c>
      <c r="B9741" t="str">
        <f>"1551598830807432"</f>
        <v>1551598830807432</v>
      </c>
      <c r="C9741" t="s">
        <v>40</v>
      </c>
      <c r="D9741">
        <v>4.6122740000000002</v>
      </c>
      <c r="E9741">
        <v>0.52843459999999998</v>
      </c>
      <c r="F9741" t="s">
        <v>68</v>
      </c>
      <c r="G9741">
        <v>-187.9957</v>
      </c>
      <c r="H9741" s="1">
        <v>-5.7658839999999997E-6</v>
      </c>
      <c r="I9741">
        <v>132.11859999999999</v>
      </c>
      <c r="J9741">
        <v>-187.58529999999999</v>
      </c>
      <c r="K9741">
        <v>1.121461</v>
      </c>
      <c r="L9741">
        <v>70.547579999999996</v>
      </c>
      <c r="M9741">
        <v>-7.5367029999999996E-3</v>
      </c>
      <c r="N9741">
        <v>-1.356343E-2</v>
      </c>
      <c r="O9741">
        <v>0.99987959999999998</v>
      </c>
      <c r="P9741">
        <v>-3.6069070000000002E-2</v>
      </c>
      <c r="Q9741">
        <v>-6.961995E-2</v>
      </c>
      <c r="R9741">
        <v>0.99692130000000001</v>
      </c>
      <c r="S9741">
        <v>-2.0065309999999999E-2</v>
      </c>
      <c r="T9741">
        <v>-5.4474349999999998E-2</v>
      </c>
      <c r="U9741">
        <v>3.0046080000000002</v>
      </c>
      <c r="V9741">
        <v>-2.8483020000000001E-2</v>
      </c>
      <c r="W9741">
        <v>-5.6124550000000002E-2</v>
      </c>
      <c r="X9741">
        <v>0.99801740000000005</v>
      </c>
      <c r="Y9741">
        <v>8.5927439999999996E-4</v>
      </c>
      <c r="Z9741">
        <v>-4.5637849999999999E-3</v>
      </c>
      <c r="AA9741">
        <v>0.99998920000000002</v>
      </c>
      <c r="AB9741">
        <v>30</v>
      </c>
      <c r="AC9741">
        <v>-0.41040000000000898</v>
      </c>
      <c r="AD9741">
        <v>-1.1214667658840001</v>
      </c>
      <c r="AE9741">
        <v>61.571019999999898</v>
      </c>
      <c r="AF9741">
        <v>5.3679035598206998E-2</v>
      </c>
      <c r="AG9741">
        <v>-1.1214667658840001</v>
      </c>
      <c r="AH9741">
        <v>61.551944943102399</v>
      </c>
      <c r="AI9741">
        <v>91.043804212463201</v>
      </c>
      <c r="AJ9741">
        <v>89.950032750203903</v>
      </c>
      <c r="AK9741">
        <v>61.562183972180101</v>
      </c>
      <c r="AL9741">
        <v>93.217390498353296</v>
      </c>
      <c r="AM9741">
        <v>91.634755034396704</v>
      </c>
      <c r="AN9741">
        <v>0.99999998912189103</v>
      </c>
    </row>
    <row r="9742" spans="1:40" x14ac:dyDescent="0.25">
      <c r="A9742" t="str">
        <f>"20190303154030832"</f>
        <v>20190303154030832</v>
      </c>
      <c r="B9742" t="str">
        <f>"1551598830827929"</f>
        <v>1551598830827929</v>
      </c>
      <c r="C9742" t="s">
        <v>40</v>
      </c>
      <c r="D9742">
        <v>4.6060780000000001</v>
      </c>
      <c r="E9742">
        <v>0.52777649999999998</v>
      </c>
      <c r="F9742" t="s">
        <v>44</v>
      </c>
      <c r="G9742">
        <v>-187.54560000000001</v>
      </c>
      <c r="H9742">
        <v>0.98349980000000004</v>
      </c>
      <c r="I9742">
        <v>71.513630000000006</v>
      </c>
      <c r="J9742">
        <v>-187.58840000000001</v>
      </c>
      <c r="K9742">
        <v>1.1214710000000001</v>
      </c>
      <c r="L9742">
        <v>70.855710000000002</v>
      </c>
      <c r="M9742">
        <v>-8.2172900000000004E-3</v>
      </c>
      <c r="N9742">
        <v>-1.3825260000000001E-2</v>
      </c>
      <c r="O9742">
        <v>0.9998707</v>
      </c>
      <c r="P9742">
        <v>-3.5523440000000003E-2</v>
      </c>
      <c r="Q9742">
        <v>-7.0310750000000005E-2</v>
      </c>
      <c r="R9742">
        <v>0.99689240000000001</v>
      </c>
      <c r="S9742">
        <v>0.1224823</v>
      </c>
      <c r="T9742">
        <v>-0.42614459999999998</v>
      </c>
      <c r="U9742">
        <v>2.9839169999999999</v>
      </c>
      <c r="V9742">
        <v>-2.7258339999999999E-2</v>
      </c>
      <c r="W9742">
        <v>-5.655263E-2</v>
      </c>
      <c r="X9742">
        <v>0.99802740000000001</v>
      </c>
      <c r="Y9742">
        <v>4.8834830000000003E-2</v>
      </c>
      <c r="Z9742">
        <v>-0.12752720000000001</v>
      </c>
      <c r="AA9742">
        <v>0.99063210000000002</v>
      </c>
      <c r="AB9742">
        <v>30</v>
      </c>
      <c r="AC9742">
        <v>4.2799999999999699E-2</v>
      </c>
      <c r="AD9742">
        <v>-0.13797119999999899</v>
      </c>
      <c r="AE9742">
        <v>0.65792000000000395</v>
      </c>
      <c r="AF9742">
        <v>4.6182938624517202E-2</v>
      </c>
      <c r="AG9742">
        <v>-0.13797119999999899</v>
      </c>
      <c r="AH9742">
        <v>0.62995877454723104</v>
      </c>
      <c r="AI9742">
        <v>102.321591248291</v>
      </c>
      <c r="AJ9742">
        <v>85.807087179083197</v>
      </c>
      <c r="AK9742">
        <v>0.64654232149062296</v>
      </c>
      <c r="AL9742">
        <v>93.241956807738205</v>
      </c>
      <c r="AM9742">
        <v>91.564485774624302</v>
      </c>
      <c r="AN9742">
        <v>0.999999954105115</v>
      </c>
    </row>
    <row r="9743" spans="1:40" x14ac:dyDescent="0.25">
      <c r="A9743" t="str">
        <f>"20190303154030855"</f>
        <v>20190303154030855</v>
      </c>
      <c r="B9743" t="str">
        <f>"1551598830847449"</f>
        <v>1551598830847449</v>
      </c>
      <c r="C9743" t="s">
        <v>40</v>
      </c>
      <c r="D9743">
        <v>4.6400899999999998</v>
      </c>
      <c r="E9743">
        <v>0.52698250000000002</v>
      </c>
      <c r="F9743" t="s">
        <v>44</v>
      </c>
      <c r="G9743">
        <v>-187.5513</v>
      </c>
      <c r="H9743">
        <v>0.9792862</v>
      </c>
      <c r="I9743">
        <v>71.781480000000002</v>
      </c>
      <c r="J9743">
        <v>-187.5916</v>
      </c>
      <c r="K9743">
        <v>1.1214820000000001</v>
      </c>
      <c r="L9743">
        <v>71.161559999999994</v>
      </c>
      <c r="M9743">
        <v>-8.8858870000000003E-3</v>
      </c>
      <c r="N9743">
        <v>-1.4050129999999999E-2</v>
      </c>
      <c r="O9743">
        <v>0.99986180000000002</v>
      </c>
      <c r="P9743">
        <v>-3.444258E-2</v>
      </c>
      <c r="Q9743">
        <v>-7.0745130000000003E-2</v>
      </c>
      <c r="R9743">
        <v>0.9968996</v>
      </c>
      <c r="S9743">
        <v>0.119278</v>
      </c>
      <c r="T9743">
        <v>-0.45788879999999998</v>
      </c>
      <c r="U9743">
        <v>2.9813230000000002</v>
      </c>
      <c r="V9743">
        <v>-2.551051E-2</v>
      </c>
      <c r="W9743">
        <v>-5.6759869999999997E-2</v>
      </c>
      <c r="X9743">
        <v>0.99806189999999995</v>
      </c>
      <c r="Y9743">
        <v>4.8416229999999998E-2</v>
      </c>
      <c r="Z9743">
        <v>-0.13774359999999999</v>
      </c>
      <c r="AA9743">
        <v>0.98928389999999999</v>
      </c>
      <c r="AB9743">
        <v>30</v>
      </c>
      <c r="AC9743">
        <v>4.0300000000002001E-2</v>
      </c>
      <c r="AD9743">
        <v>-0.14219579999999901</v>
      </c>
      <c r="AE9743">
        <v>0.61992000000000702</v>
      </c>
      <c r="AF9743">
        <v>4.3526994946392998E-2</v>
      </c>
      <c r="AG9743">
        <v>-0.14219579999999901</v>
      </c>
      <c r="AH9743">
        <v>0.58869411263926996</v>
      </c>
      <c r="AI9743">
        <v>103.543772054621</v>
      </c>
      <c r="AJ9743">
        <v>85.771346653784406</v>
      </c>
      <c r="AK9743">
        <v>0.60718613545011102</v>
      </c>
      <c r="AL9743">
        <v>93.253849698448704</v>
      </c>
      <c r="AM9743">
        <v>91.464164072045705</v>
      </c>
      <c r="AN9743">
        <v>1.0000000125972399</v>
      </c>
    </row>
    <row r="9744" spans="1:40" x14ac:dyDescent="0.25">
      <c r="A9744" t="str">
        <f>"20190303154030867"</f>
        <v>20190303154030867</v>
      </c>
      <c r="B9744" t="str">
        <f>"1551598830858184"</f>
        <v>1551598830858184</v>
      </c>
      <c r="C9744" t="s">
        <v>40</v>
      </c>
      <c r="D9744">
        <v>4.6494309999999999</v>
      </c>
      <c r="E9744">
        <v>0.52678069999999999</v>
      </c>
      <c r="F9744" t="s">
        <v>44</v>
      </c>
      <c r="G9744">
        <v>-187.5566</v>
      </c>
      <c r="H9744">
        <v>0.97949920000000001</v>
      </c>
      <c r="I9744">
        <v>72.051069999999996</v>
      </c>
      <c r="J9744">
        <v>-187.59370000000001</v>
      </c>
      <c r="K9744">
        <v>1.1214820000000001</v>
      </c>
      <c r="L9744">
        <v>71.346249999999998</v>
      </c>
      <c r="M9744">
        <v>-9.2850710000000006E-3</v>
      </c>
      <c r="N9744">
        <v>-1.417296E-2</v>
      </c>
      <c r="O9744">
        <v>0.99985650000000004</v>
      </c>
      <c r="P9744">
        <v>-3.4503119999999998E-2</v>
      </c>
      <c r="Q9744">
        <v>-7.0660130000000002E-2</v>
      </c>
      <c r="R9744">
        <v>0.99690350000000005</v>
      </c>
      <c r="S9744">
        <v>0.1167145</v>
      </c>
      <c r="T9744">
        <v>-0.47564109999999998</v>
      </c>
      <c r="U9744">
        <v>2.9796140000000002</v>
      </c>
      <c r="V9744">
        <v>-2.5173859999999999E-2</v>
      </c>
      <c r="W9744">
        <v>-5.6551400000000002E-2</v>
      </c>
      <c r="X9744">
        <v>0.99808229999999998</v>
      </c>
      <c r="Y9744">
        <v>4.7954030000000002E-2</v>
      </c>
      <c r="Z9744">
        <v>-0.1434619</v>
      </c>
      <c r="AA9744">
        <v>0.98849330000000002</v>
      </c>
      <c r="AB9744">
        <v>30</v>
      </c>
      <c r="AC9744">
        <v>3.7100000000009403E-2</v>
      </c>
      <c r="AD9744">
        <v>-0.14198279999999899</v>
      </c>
      <c r="AE9744">
        <v>0.704819999999997</v>
      </c>
      <c r="AF9744">
        <v>4.1945888507705503E-2</v>
      </c>
      <c r="AG9744">
        <v>-0.14198279999999899</v>
      </c>
      <c r="AH9744">
        <v>0.67704628697184799</v>
      </c>
      <c r="AI9744">
        <v>101.821790850173</v>
      </c>
      <c r="AJ9744">
        <v>86.454814722960805</v>
      </c>
      <c r="AK9744">
        <v>0.69304418889483999</v>
      </c>
      <c r="AL9744">
        <v>93.241885971992104</v>
      </c>
      <c r="AM9744">
        <v>91.444820925055595</v>
      </c>
      <c r="AN9744">
        <v>1.00000003082127</v>
      </c>
    </row>
    <row r="9745" spans="1:40" x14ac:dyDescent="0.25">
      <c r="A9745" t="str">
        <f>"20190303154030888"</f>
        <v>20190303154030888</v>
      </c>
      <c r="B9745" t="str">
        <f>"1551598830877704"</f>
        <v>1551598830877704</v>
      </c>
      <c r="C9745" t="s">
        <v>40</v>
      </c>
      <c r="D9745">
        <v>4.629467</v>
      </c>
      <c r="E9745">
        <v>0.52645949999999997</v>
      </c>
      <c r="F9745" t="s">
        <v>44</v>
      </c>
      <c r="G9745">
        <v>-187.5658</v>
      </c>
      <c r="H9745">
        <v>1.0058229999999999</v>
      </c>
      <c r="I9745">
        <v>72.064089999999993</v>
      </c>
      <c r="J9745">
        <v>-187.5967</v>
      </c>
      <c r="K9745">
        <v>1.1214770000000001</v>
      </c>
      <c r="L9745">
        <v>71.610200000000006</v>
      </c>
      <c r="M9745">
        <v>-9.8419219999999995E-3</v>
      </c>
      <c r="N9745">
        <v>-1.4327019999999999E-2</v>
      </c>
      <c r="O9745">
        <v>0.99984890000000004</v>
      </c>
      <c r="P9745">
        <v>-3.4109880000000002E-2</v>
      </c>
      <c r="Q9745">
        <v>-7.0174550000000002E-2</v>
      </c>
      <c r="R9745">
        <v>0.99695140000000004</v>
      </c>
      <c r="S9745">
        <v>0.1149902</v>
      </c>
      <c r="T9745">
        <v>-0.48004829999999998</v>
      </c>
      <c r="U9745">
        <v>2.9792480000000001</v>
      </c>
      <c r="V9745">
        <v>-2.4227160000000001E-2</v>
      </c>
      <c r="W9745">
        <v>-5.5909519999999997E-2</v>
      </c>
      <c r="X9745">
        <v>0.99814190000000003</v>
      </c>
      <c r="Y9745">
        <v>4.7935390000000001E-2</v>
      </c>
      <c r="Z9745">
        <v>-0.14475439999999901</v>
      </c>
      <c r="AA9745">
        <v>0.98830580000000001</v>
      </c>
      <c r="AB9745">
        <v>30</v>
      </c>
      <c r="AC9745">
        <v>3.0900000000002498E-2</v>
      </c>
      <c r="AD9745">
        <v>-0.11565400000000001</v>
      </c>
      <c r="AE9745">
        <v>0.45389000000000101</v>
      </c>
      <c r="AF9745">
        <v>3.32192607519411E-2</v>
      </c>
      <c r="AG9745">
        <v>-0.11565400000000001</v>
      </c>
      <c r="AH9745">
        <v>0.426030897288109</v>
      </c>
      <c r="AI9745">
        <v>105.144124491561</v>
      </c>
      <c r="AJ9745">
        <v>85.541449899350397</v>
      </c>
      <c r="AK9745">
        <v>0.44269819566496599</v>
      </c>
      <c r="AL9745">
        <v>93.205050644274607</v>
      </c>
      <c r="AM9745">
        <v>91.390425063675394</v>
      </c>
      <c r="AN9745">
        <v>1.0000000411219501</v>
      </c>
    </row>
    <row r="9746" spans="1:40" x14ac:dyDescent="0.25">
      <c r="A9746" t="str">
        <f>"20190303154030910"</f>
        <v>20190303154030910</v>
      </c>
      <c r="B9746" t="str">
        <f>"1551598830907960"</f>
        <v>1551598830907960</v>
      </c>
      <c r="C9746" t="s">
        <v>40</v>
      </c>
      <c r="D9746">
        <v>4.643859</v>
      </c>
      <c r="E9746">
        <v>0.52618830000000005</v>
      </c>
      <c r="F9746" t="s">
        <v>44</v>
      </c>
      <c r="G9746">
        <v>-187.56909999999999</v>
      </c>
      <c r="H9746">
        <v>1.0035799999999999</v>
      </c>
      <c r="I9746">
        <v>72.331900000000005</v>
      </c>
      <c r="J9746">
        <v>-187.6003</v>
      </c>
      <c r="K9746">
        <v>1.121467</v>
      </c>
      <c r="L9746">
        <v>71.904849999999996</v>
      </c>
      <c r="M9746">
        <v>-1.043404E-2</v>
      </c>
      <c r="N9746">
        <v>-1.4476630000000001E-2</v>
      </c>
      <c r="O9746">
        <v>0.99984079999999997</v>
      </c>
      <c r="P9746">
        <v>-3.4609050000000002E-2</v>
      </c>
      <c r="Q9746">
        <v>-6.9835389999999997E-2</v>
      </c>
      <c r="R9746">
        <v>0.99695800000000001</v>
      </c>
      <c r="S9746">
        <v>0.1138306</v>
      </c>
      <c r="T9746">
        <v>-0.48664780000000002</v>
      </c>
      <c r="U9746">
        <v>2.9788209999999999</v>
      </c>
      <c r="V9746">
        <v>-2.4138819999999998E-2</v>
      </c>
      <c r="W9746">
        <v>-5.5419450000000002E-2</v>
      </c>
      <c r="X9746">
        <v>0.99817129999999998</v>
      </c>
      <c r="Y9746">
        <v>4.8135200000000003E-2</v>
      </c>
      <c r="Z9746">
        <v>-0.1467609</v>
      </c>
      <c r="AA9746">
        <v>0.9880002</v>
      </c>
      <c r="AB9746">
        <v>30</v>
      </c>
      <c r="AC9746">
        <v>3.1200000000012499E-2</v>
      </c>
      <c r="AD9746">
        <v>-0.11788700000000001</v>
      </c>
      <c r="AE9746">
        <v>0.42705000000000798</v>
      </c>
      <c r="AF9746">
        <v>3.3142465224952102E-2</v>
      </c>
      <c r="AG9746">
        <v>-0.11788700000000001</v>
      </c>
      <c r="AH9746">
        <v>0.39663658817679298</v>
      </c>
      <c r="AI9746">
        <v>106.498470787827</v>
      </c>
      <c r="AJ9746">
        <v>85.2235310906199</v>
      </c>
      <c r="AK9746">
        <v>0.41511004667523299</v>
      </c>
      <c r="AL9746">
        <v>93.176928321998702</v>
      </c>
      <c r="AM9746">
        <v>91.385316318874402</v>
      </c>
      <c r="AN9746">
        <v>0.99999997110649197</v>
      </c>
    </row>
    <row r="9747" spans="1:40" x14ac:dyDescent="0.25">
      <c r="A9747" t="str">
        <f>"20190303154030924"</f>
        <v>20190303154030924</v>
      </c>
      <c r="B9747" t="str">
        <f>"1551598830917720"</f>
        <v>1551598830917720</v>
      </c>
      <c r="C9747" t="s">
        <v>40</v>
      </c>
      <c r="D9747">
        <v>4.6603339999999998</v>
      </c>
      <c r="E9747">
        <v>0.52604139999999999</v>
      </c>
      <c r="F9747" t="s">
        <v>44</v>
      </c>
      <c r="G9747">
        <v>-187.5652</v>
      </c>
      <c r="H9747">
        <v>0.96499880000000005</v>
      </c>
      <c r="I9747">
        <v>72.849219999999903</v>
      </c>
      <c r="J9747">
        <v>-187.6028</v>
      </c>
      <c r="K9747">
        <v>1.121454</v>
      </c>
      <c r="L9747">
        <v>72.100399999999993</v>
      </c>
      <c r="M9747">
        <v>-1.0803760000000001E-2</v>
      </c>
      <c r="N9747">
        <v>-1.456321E-2</v>
      </c>
      <c r="O9747">
        <v>0.99983560000000005</v>
      </c>
      <c r="P9747">
        <v>-3.5131910000000002E-2</v>
      </c>
      <c r="Q9747">
        <v>-6.9381830000000005E-2</v>
      </c>
      <c r="R9747">
        <v>0.99697139999999995</v>
      </c>
      <c r="S9747">
        <v>0.11062619999999999</v>
      </c>
      <c r="T9747">
        <v>-0.49347930000000001</v>
      </c>
      <c r="U9747">
        <v>2.978424</v>
      </c>
      <c r="V9747">
        <v>-2.429566E-2</v>
      </c>
      <c r="W9747">
        <v>-5.4878169999999997E-2</v>
      </c>
      <c r="X9747">
        <v>0.99819740000000001</v>
      </c>
      <c r="Y9747">
        <v>4.7435919999999999E-2</v>
      </c>
      <c r="Z9747">
        <v>-0.1489075</v>
      </c>
      <c r="AA9747">
        <v>0.9877127</v>
      </c>
      <c r="AB9747">
        <v>30</v>
      </c>
      <c r="AC9747">
        <v>3.7599999999997601E-2</v>
      </c>
      <c r="AD9747">
        <v>-0.15645519999999999</v>
      </c>
      <c r="AE9747">
        <v>0.74881999999999405</v>
      </c>
      <c r="AF9747">
        <v>4.3782265495065698E-2</v>
      </c>
      <c r="AG9747">
        <v>-0.15645519999999999</v>
      </c>
      <c r="AH9747">
        <v>0.71714253772182202</v>
      </c>
      <c r="AI9747">
        <v>102.28490407565501</v>
      </c>
      <c r="AJ9747">
        <v>86.506371856399895</v>
      </c>
      <c r="AK9747">
        <v>0.735315262856018</v>
      </c>
      <c r="AL9747">
        <v>93.145867992234201</v>
      </c>
      <c r="AM9747">
        <v>91.394277313175806</v>
      </c>
      <c r="AN9747">
        <v>0.99999997100207105</v>
      </c>
    </row>
    <row r="9748" spans="1:40" x14ac:dyDescent="0.25">
      <c r="A9748" t="str">
        <f>"20190303154030945"</f>
        <v>20190303154030945</v>
      </c>
      <c r="B9748" t="str">
        <f>"1551598830937240"</f>
        <v>1551598830937240</v>
      </c>
      <c r="C9748" t="s">
        <v>40</v>
      </c>
      <c r="D9748">
        <v>4.5837890000000003</v>
      </c>
      <c r="E9748">
        <v>0.52761880000000005</v>
      </c>
      <c r="F9748" t="s">
        <v>44</v>
      </c>
      <c r="G9748">
        <v>-187.57499999999999</v>
      </c>
      <c r="H9748">
        <v>0.99467229999999995</v>
      </c>
      <c r="I9748">
        <v>72.863879999999995</v>
      </c>
      <c r="J9748">
        <v>-187.6061</v>
      </c>
      <c r="K9748">
        <v>1.121429</v>
      </c>
      <c r="L9748">
        <v>72.363369999999904</v>
      </c>
      <c r="M9748">
        <v>-1.128033E-2</v>
      </c>
      <c r="N9748">
        <v>-1.4667940000000001E-2</v>
      </c>
      <c r="O9748">
        <v>0.99982879999999996</v>
      </c>
      <c r="P9748">
        <v>-3.6309399999999999E-2</v>
      </c>
      <c r="Q9748">
        <v>-6.9898409999999994E-2</v>
      </c>
      <c r="R9748">
        <v>0.99689309999999998</v>
      </c>
      <c r="S9748">
        <v>0.1080627</v>
      </c>
      <c r="T9748">
        <v>-0.49460169999999998</v>
      </c>
      <c r="U9748">
        <v>2.978485</v>
      </c>
      <c r="V9748">
        <v>-2.500192E-2</v>
      </c>
      <c r="W9748">
        <v>-5.5290069999999997E-2</v>
      </c>
      <c r="X9748">
        <v>0.99815730000000003</v>
      </c>
      <c r="Y9748">
        <v>4.7060820000000003E-2</v>
      </c>
      <c r="Z9748">
        <v>-0.14916559999999901</v>
      </c>
      <c r="AA9748">
        <v>0.98769169999999995</v>
      </c>
      <c r="AB9748">
        <v>30</v>
      </c>
      <c r="AC9748">
        <v>3.11000000000092E-2</v>
      </c>
      <c r="AD9748">
        <v>-0.1267567</v>
      </c>
      <c r="AE9748">
        <v>0.500510000000019</v>
      </c>
      <c r="AF9748">
        <v>3.4537871401355898E-2</v>
      </c>
      <c r="AG9748">
        <v>-0.1267567</v>
      </c>
      <c r="AH9748">
        <v>0.47009240533794899</v>
      </c>
      <c r="AI9748">
        <v>105.051738956077</v>
      </c>
      <c r="AJ9748">
        <v>85.798006641495803</v>
      </c>
      <c r="AK9748">
        <v>0.48810551637145599</v>
      </c>
      <c r="AL9748">
        <v>93.169503786543203</v>
      </c>
      <c r="AM9748">
        <v>91.434849017374702</v>
      </c>
      <c r="AN9748">
        <v>1.00000004169378</v>
      </c>
    </row>
    <row r="9749" spans="1:40" x14ac:dyDescent="0.25">
      <c r="A9749" t="str">
        <f>"20190303154030968"</f>
        <v>20190303154030968</v>
      </c>
      <c r="B9749" t="str">
        <f>"1551598830957736"</f>
        <v>1551598830957736</v>
      </c>
      <c r="C9749" t="s">
        <v>40</v>
      </c>
      <c r="D9749">
        <v>4.6048830000000001</v>
      </c>
      <c r="E9749">
        <v>0.53040600000000004</v>
      </c>
      <c r="F9749" t="s">
        <v>44</v>
      </c>
      <c r="G9749">
        <v>-187.57570000000001</v>
      </c>
      <c r="H9749">
        <v>0.99318640000000002</v>
      </c>
      <c r="I9749">
        <v>73.130600000000001</v>
      </c>
      <c r="J9749">
        <v>-187.6103</v>
      </c>
      <c r="K9749">
        <v>1.1214010000000001</v>
      </c>
      <c r="L9749">
        <v>72.676640000000006</v>
      </c>
      <c r="M9749">
        <v>-1.180411E-2</v>
      </c>
      <c r="N9749">
        <v>-1.477612E-2</v>
      </c>
      <c r="O9749">
        <v>0.99982110000000002</v>
      </c>
      <c r="P9749">
        <v>-3.7861980000000003E-2</v>
      </c>
      <c r="Q9749">
        <v>-7.0975990000000003E-2</v>
      </c>
      <c r="R9749">
        <v>0.99675919999999896</v>
      </c>
      <c r="S9749">
        <v>0.117477399999999</v>
      </c>
      <c r="T9749">
        <v>-0.49794529999999998</v>
      </c>
      <c r="U9749">
        <v>2.978729</v>
      </c>
      <c r="V9749">
        <v>-2.6037600000000001E-2</v>
      </c>
      <c r="W9749">
        <v>-5.625981E-2</v>
      </c>
      <c r="X9749">
        <v>0.99807659999999998</v>
      </c>
      <c r="Y9749">
        <v>5.0686750000000003E-2</v>
      </c>
      <c r="Z9749">
        <v>-0.15009819999999999</v>
      </c>
      <c r="AA9749">
        <v>0.987371</v>
      </c>
      <c r="AB9749">
        <v>30</v>
      </c>
      <c r="AC9749">
        <v>3.4599999999983297E-2</v>
      </c>
      <c r="AD9749">
        <v>-0.12821460000000001</v>
      </c>
      <c r="AE9749">
        <v>0.45395999999999498</v>
      </c>
      <c r="AF9749">
        <v>3.7020683075934098E-2</v>
      </c>
      <c r="AG9749">
        <v>-0.12821460000000001</v>
      </c>
      <c r="AH9749">
        <v>0.42019455730415001</v>
      </c>
      <c r="AI9749">
        <v>106.906864702673</v>
      </c>
      <c r="AJ9749">
        <v>84.965032200182193</v>
      </c>
      <c r="AK9749">
        <v>0.44087751203321701</v>
      </c>
      <c r="AL9749">
        <v>93.225152518785606</v>
      </c>
      <c r="AM9749">
        <v>91.494380582447704</v>
      </c>
      <c r="AN9749">
        <v>1.0000000111512699</v>
      </c>
    </row>
    <row r="9750" spans="1:40" x14ac:dyDescent="0.25">
      <c r="A9750" t="str">
        <f>"20190303154030989"</f>
        <v>20190303154030989</v>
      </c>
      <c r="B9750" t="str">
        <f>"1551598830977311"</f>
        <v>1551598830977311</v>
      </c>
      <c r="C9750" t="s">
        <v>40</v>
      </c>
      <c r="D9750">
        <v>4.6208929999999997</v>
      </c>
      <c r="E9750">
        <v>0.53267679999999995</v>
      </c>
      <c r="F9750" t="s">
        <v>44</v>
      </c>
      <c r="G9750">
        <v>-187.57740000000001</v>
      </c>
      <c r="H9750">
        <v>0.99163080000000003</v>
      </c>
      <c r="I9750">
        <v>73.396789999999996</v>
      </c>
      <c r="J9750">
        <v>-187.61410000000001</v>
      </c>
      <c r="K9750">
        <v>1.1213770000000001</v>
      </c>
      <c r="L9750">
        <v>72.958439999999996</v>
      </c>
      <c r="M9750">
        <v>-1.222199E-2</v>
      </c>
      <c r="N9750">
        <v>-1.485887E-2</v>
      </c>
      <c r="O9750">
        <v>0.99981489999999995</v>
      </c>
      <c r="P9750">
        <v>-3.9307380000000003E-2</v>
      </c>
      <c r="Q9750">
        <v>-7.1002789999999996E-2</v>
      </c>
      <c r="R9750">
        <v>0.99670130000000001</v>
      </c>
      <c r="S9750">
        <v>0.13580320000000001</v>
      </c>
      <c r="T9750">
        <v>-0.53641779999999994</v>
      </c>
      <c r="U9750">
        <v>2.976715</v>
      </c>
      <c r="V9750">
        <v>-2.7072329999999999E-2</v>
      </c>
      <c r="W9750">
        <v>-5.6202879999999997E-2</v>
      </c>
      <c r="X9750">
        <v>0.99805219999999994</v>
      </c>
      <c r="Y9750">
        <v>5.7093169999999999E-2</v>
      </c>
      <c r="Z9750">
        <v>-0.16244710000000001</v>
      </c>
      <c r="AA9750">
        <v>0.9850641</v>
      </c>
      <c r="AB9750">
        <v>30</v>
      </c>
      <c r="AC9750">
        <v>3.6699999999996097E-2</v>
      </c>
      <c r="AD9750">
        <v>-0.12974619999999901</v>
      </c>
      <c r="AE9750">
        <v>0.43834999999999902</v>
      </c>
      <c r="AF9750">
        <v>3.8689422484017702E-2</v>
      </c>
      <c r="AG9750">
        <v>-0.12974619999999901</v>
      </c>
      <c r="AH9750">
        <v>0.402823463367391</v>
      </c>
      <c r="AI9750">
        <v>107.776710391522</v>
      </c>
      <c r="AJ9750">
        <v>84.513820561583401</v>
      </c>
      <c r="AK9750">
        <v>0.42496786992181701</v>
      </c>
      <c r="AL9750">
        <v>93.221885748619201</v>
      </c>
      <c r="AM9750">
        <v>91.553776436801996</v>
      </c>
      <c r="AN9750">
        <v>0.99999993434837897</v>
      </c>
    </row>
    <row r="9751" spans="1:40" x14ac:dyDescent="0.25">
      <c r="A9751" t="str">
        <f>"20190303154031011"</f>
        <v>20190303154031011</v>
      </c>
      <c r="B9751" t="str">
        <f>"1551598831007568"</f>
        <v>1551598831007568</v>
      </c>
      <c r="C9751" t="s">
        <v>40</v>
      </c>
      <c r="D9751">
        <v>4.6380970000000001</v>
      </c>
      <c r="E9751">
        <v>0.5353658</v>
      </c>
      <c r="F9751" t="s">
        <v>44</v>
      </c>
      <c r="G9751">
        <v>-187.57849999999999</v>
      </c>
      <c r="H9751">
        <v>0.98803960000000002</v>
      </c>
      <c r="I9751">
        <v>73.661529999999999</v>
      </c>
      <c r="J9751">
        <v>-187.61799999999999</v>
      </c>
      <c r="K9751">
        <v>1.1213470000000001</v>
      </c>
      <c r="L9751">
        <v>73.244169999999997</v>
      </c>
      <c r="M9751">
        <v>-1.2586089999999999E-2</v>
      </c>
      <c r="N9751">
        <v>-1.4930219999999999E-2</v>
      </c>
      <c r="O9751">
        <v>0.99980930000000001</v>
      </c>
      <c r="P9751">
        <v>-4.0999170000000001E-2</v>
      </c>
      <c r="Q9751">
        <v>-7.1123560000000002E-2</v>
      </c>
      <c r="R9751">
        <v>0.99662450000000002</v>
      </c>
      <c r="S9751">
        <v>0.15037539999999999</v>
      </c>
      <c r="T9751">
        <v>-0.56431450000000005</v>
      </c>
      <c r="U9751">
        <v>2.9756469999999999</v>
      </c>
      <c r="V9751">
        <v>-2.840763E-2</v>
      </c>
      <c r="W9751">
        <v>-5.6251219999999998E-2</v>
      </c>
      <c r="X9751">
        <v>0.99801240000000002</v>
      </c>
      <c r="Y9751">
        <v>6.2196759999999997E-2</v>
      </c>
      <c r="Z9751">
        <v>-0.17131170000000001</v>
      </c>
      <c r="AA9751">
        <v>0.98325169999999995</v>
      </c>
      <c r="AB9751">
        <v>30</v>
      </c>
      <c r="AC9751">
        <v>3.9500000000003803E-2</v>
      </c>
      <c r="AD9751">
        <v>-0.13330739999999899</v>
      </c>
      <c r="AE9751">
        <v>0.41736000000000201</v>
      </c>
      <c r="AF9751">
        <v>4.0640987215842597E-2</v>
      </c>
      <c r="AG9751">
        <v>-0.13330739999999899</v>
      </c>
      <c r="AH9751">
        <v>0.37855251940656698</v>
      </c>
      <c r="AI9751">
        <v>109.297104625222</v>
      </c>
      <c r="AJ9751">
        <v>83.872258086546097</v>
      </c>
      <c r="AK9751">
        <v>0.40339132698373298</v>
      </c>
      <c r="AL9751">
        <v>93.224659694200199</v>
      </c>
      <c r="AM9751">
        <v>91.630438601755003</v>
      </c>
      <c r="AN9751">
        <v>0.99999997187373202</v>
      </c>
    </row>
    <row r="9752" spans="1:40" x14ac:dyDescent="0.25">
      <c r="A9752" t="str">
        <f>"20190303154031032"</f>
        <v>20190303154031032</v>
      </c>
      <c r="B9752" t="str">
        <f>"1551598831028064"</f>
        <v>1551598831028064</v>
      </c>
      <c r="C9752" t="s">
        <v>40</v>
      </c>
      <c r="D9752">
        <v>4.6330489999999998</v>
      </c>
      <c r="E9752">
        <v>0.53688040000000004</v>
      </c>
      <c r="F9752" t="s">
        <v>44</v>
      </c>
      <c r="G9752">
        <v>-187.5658</v>
      </c>
      <c r="H9752">
        <v>0.93609710000000002</v>
      </c>
      <c r="I9752">
        <v>74.167429999999996</v>
      </c>
      <c r="J9752">
        <v>-187.62200000000001</v>
      </c>
      <c r="K9752">
        <v>1.1213120000000001</v>
      </c>
      <c r="L9752">
        <v>73.535799999999995</v>
      </c>
      <c r="M9752">
        <v>-1.2896070000000001E-2</v>
      </c>
      <c r="N9752">
        <v>-1.499236E-2</v>
      </c>
      <c r="O9752">
        <v>0.99980440000000004</v>
      </c>
      <c r="P9752">
        <v>-4.2451679999999999E-2</v>
      </c>
      <c r="Q9752">
        <v>-7.0240670000000005E-2</v>
      </c>
      <c r="R9752">
        <v>0.99662640000000002</v>
      </c>
      <c r="S9752">
        <v>0.16784669999999999</v>
      </c>
      <c r="T9752">
        <v>-0.59683079999999999</v>
      </c>
      <c r="U9752">
        <v>2.9744570000000001</v>
      </c>
      <c r="V9752">
        <v>-2.9557969999999999E-2</v>
      </c>
      <c r="W9752">
        <v>-5.5303339999999999E-2</v>
      </c>
      <c r="X9752">
        <v>0.99803200000000003</v>
      </c>
      <c r="Y9752">
        <v>6.8164390000000005E-2</v>
      </c>
      <c r="Z9752">
        <v>-0.18159990000000001</v>
      </c>
      <c r="AA9752">
        <v>0.98100719999999997</v>
      </c>
      <c r="AB9752">
        <v>30</v>
      </c>
      <c r="AC9752">
        <v>5.6200000000018201E-2</v>
      </c>
      <c r="AD9752">
        <v>-0.18521489999999999</v>
      </c>
      <c r="AE9752">
        <v>0.63163000000001501</v>
      </c>
      <c r="AF9752">
        <v>5.9284228340391702E-2</v>
      </c>
      <c r="AG9752">
        <v>-0.18521489999999999</v>
      </c>
      <c r="AH9752">
        <v>0.58126472999039203</v>
      </c>
      <c r="AI9752">
        <v>107.588444809861</v>
      </c>
      <c r="AJ9752">
        <v>84.176438227749301</v>
      </c>
      <c r="AK9752">
        <v>0.61293381799565305</v>
      </c>
      <c r="AL9752">
        <v>93.1702653893432</v>
      </c>
      <c r="AM9752">
        <v>91.696390539577095</v>
      </c>
      <c r="AN9752">
        <v>1.0000000030148299</v>
      </c>
    </row>
    <row r="9753" spans="1:40" x14ac:dyDescent="0.25">
      <c r="A9753" t="str">
        <f>"20190303154031046"</f>
        <v>20190303154031046</v>
      </c>
      <c r="B9753" t="str">
        <f>"1551598831037824"</f>
        <v>1551598831037824</v>
      </c>
      <c r="C9753" t="s">
        <v>40</v>
      </c>
      <c r="D9753">
        <v>4.6291479999999998</v>
      </c>
      <c r="E9753">
        <v>0.53751579999999999</v>
      </c>
      <c r="F9753" t="s">
        <v>44</v>
      </c>
      <c r="G9753">
        <v>-187.56890000000001</v>
      </c>
      <c r="H9753">
        <v>0.93666079999999996</v>
      </c>
      <c r="I9753">
        <v>74.432769999999906</v>
      </c>
      <c r="J9753">
        <v>-187.62469999999999</v>
      </c>
      <c r="K9753">
        <v>1.121292</v>
      </c>
      <c r="L9753">
        <v>73.726200000000006</v>
      </c>
      <c r="M9753">
        <v>-1.3072250000000001E-2</v>
      </c>
      <c r="N9753">
        <v>-1.5028089999999999E-2</v>
      </c>
      <c r="O9753">
        <v>0.99980159999999996</v>
      </c>
      <c r="P9753">
        <v>-4.2930000000000003E-2</v>
      </c>
      <c r="Q9753">
        <v>-6.9759230000000005E-2</v>
      </c>
      <c r="R9753">
        <v>0.99663970000000002</v>
      </c>
      <c r="S9753">
        <v>0.17620849999999999</v>
      </c>
      <c r="T9753">
        <v>-0.6123286</v>
      </c>
      <c r="U9753">
        <v>2.9745180000000002</v>
      </c>
      <c r="V9753">
        <v>-2.9864829999999998E-2</v>
      </c>
      <c r="W9753">
        <v>-5.4783900000000003E-2</v>
      </c>
      <c r="X9753">
        <v>0.99805149999999998</v>
      </c>
      <c r="Y9753">
        <v>7.1026000000000006E-2</v>
      </c>
      <c r="Z9753">
        <v>-0.18643190000000001</v>
      </c>
      <c r="AA9753">
        <v>0.97989709999999997</v>
      </c>
      <c r="AB9753">
        <v>30</v>
      </c>
      <c r="AC9753">
        <v>5.57999999999765E-2</v>
      </c>
      <c r="AD9753">
        <v>-0.184631199999999</v>
      </c>
      <c r="AE9753">
        <v>0.70656999999998404</v>
      </c>
      <c r="AF9753">
        <v>6.0900183069873402E-2</v>
      </c>
      <c r="AG9753">
        <v>-0.184631199999999</v>
      </c>
      <c r="AH9753">
        <v>0.66093080445032903</v>
      </c>
      <c r="AI9753">
        <v>105.54507178946</v>
      </c>
      <c r="AJ9753">
        <v>84.735457543436297</v>
      </c>
      <c r="AK9753">
        <v>0.68893181127216296</v>
      </c>
      <c r="AL9753">
        <v>93.140458520892196</v>
      </c>
      <c r="AM9753">
        <v>91.713957924615201</v>
      </c>
      <c r="AN9753">
        <v>0.99999999021119401</v>
      </c>
    </row>
    <row r="9754" spans="1:40" x14ac:dyDescent="0.25">
      <c r="A9754" t="str">
        <f>"20190303154031068"</f>
        <v>20190303154031068</v>
      </c>
      <c r="B9754" t="str">
        <f>"1551598831057344"</f>
        <v>1551598831057344</v>
      </c>
      <c r="C9754" t="s">
        <v>40</v>
      </c>
      <c r="D9754">
        <v>4.6059460000000003</v>
      </c>
      <c r="E9754">
        <v>0.53860929999999996</v>
      </c>
      <c r="F9754" t="s">
        <v>44</v>
      </c>
      <c r="G9754">
        <v>-187.58090000000001</v>
      </c>
      <c r="H9754">
        <v>0.97077570000000002</v>
      </c>
      <c r="I9754">
        <v>74.449619999999996</v>
      </c>
      <c r="J9754">
        <v>-187.6285</v>
      </c>
      <c r="K9754">
        <v>1.1212679999999999</v>
      </c>
      <c r="L9754">
        <v>73.996309999999994</v>
      </c>
      <c r="M9754">
        <v>-1.3284829999999999E-2</v>
      </c>
      <c r="N9754">
        <v>-1.507243E-2</v>
      </c>
      <c r="O9754">
        <v>0.99979810000000002</v>
      </c>
      <c r="P9754">
        <v>-4.3838729999999999E-2</v>
      </c>
      <c r="Q9754">
        <v>-6.9103730000000002E-2</v>
      </c>
      <c r="R9754">
        <v>0.99664580000000003</v>
      </c>
      <c r="S9754">
        <v>0.17987059999999999</v>
      </c>
      <c r="T9754">
        <v>-0.61887819999999905</v>
      </c>
      <c r="U9754">
        <v>2.974548</v>
      </c>
      <c r="V9754">
        <v>-3.0567E-2</v>
      </c>
      <c r="W9754">
        <v>-5.4081259999999999E-2</v>
      </c>
      <c r="X9754">
        <v>0.99806859999999997</v>
      </c>
      <c r="Y9754">
        <v>7.2412459999999998E-2</v>
      </c>
      <c r="Z9754">
        <v>-0.1884373</v>
      </c>
      <c r="AA9754">
        <v>0.97941199999999995</v>
      </c>
      <c r="AB9754">
        <v>30</v>
      </c>
      <c r="AC9754">
        <v>4.7599999999988499E-2</v>
      </c>
      <c r="AD9754">
        <v>-0.1504923</v>
      </c>
      <c r="AE9754">
        <v>0.45331000000000099</v>
      </c>
      <c r="AF9754">
        <v>4.8348091634806502E-2</v>
      </c>
      <c r="AG9754">
        <v>-0.1504923</v>
      </c>
      <c r="AH9754">
        <v>0.40814475194490601</v>
      </c>
      <c r="AI9754">
        <v>110.110848593135</v>
      </c>
      <c r="AJ9754">
        <v>83.244327162115496</v>
      </c>
      <c r="AK9754">
        <v>0.43768437128161902</v>
      </c>
      <c r="AL9754">
        <v>93.100140324591393</v>
      </c>
      <c r="AM9754">
        <v>91.754200894697206</v>
      </c>
      <c r="AN9754">
        <v>1.0000000272390701</v>
      </c>
    </row>
    <row r="9755" spans="1:40" x14ac:dyDescent="0.25">
      <c r="A9755" t="str">
        <f>"20190303154031088"</f>
        <v>20190303154031088</v>
      </c>
      <c r="B9755" t="str">
        <f>"1551598831077857"</f>
        <v>1551598831077857</v>
      </c>
      <c r="C9755" t="s">
        <v>40</v>
      </c>
      <c r="D9755">
        <v>4.6200839999999896</v>
      </c>
      <c r="E9755">
        <v>0.53956769999999998</v>
      </c>
      <c r="F9755" t="s">
        <v>44</v>
      </c>
      <c r="G9755">
        <v>-187.58349999999999</v>
      </c>
      <c r="H9755">
        <v>0.96928009999999998</v>
      </c>
      <c r="I9755">
        <v>74.713459999999998</v>
      </c>
      <c r="J9755">
        <v>-187.63239999999999</v>
      </c>
      <c r="K9755">
        <v>1.121238</v>
      </c>
      <c r="L9755">
        <v>74.278229999999994</v>
      </c>
      <c r="M9755">
        <v>-1.345208E-2</v>
      </c>
      <c r="N9755">
        <v>-1.511201E-2</v>
      </c>
      <c r="O9755">
        <v>0.99979530000000005</v>
      </c>
      <c r="P9755">
        <v>-4.3936530000000001E-2</v>
      </c>
      <c r="Q9755">
        <v>-6.8359349999999999E-2</v>
      </c>
      <c r="R9755">
        <v>0.99669280000000005</v>
      </c>
      <c r="S9755">
        <v>0.18608089999999999</v>
      </c>
      <c r="T9755">
        <v>-0.63039889999999998</v>
      </c>
      <c r="U9755">
        <v>2.9745789999999999</v>
      </c>
      <c r="V9755">
        <v>-3.0503099999999998E-2</v>
      </c>
      <c r="W9755">
        <v>-5.3293460000000001E-2</v>
      </c>
      <c r="X9755">
        <v>0.99811289999999997</v>
      </c>
      <c r="Y9755">
        <v>7.4566279999999999E-2</v>
      </c>
      <c r="Z9755">
        <v>-0.19199949999999999</v>
      </c>
      <c r="AA9755">
        <v>0.97855820000000004</v>
      </c>
      <c r="AB9755">
        <v>30</v>
      </c>
      <c r="AC9755">
        <v>4.8900000000003198E-2</v>
      </c>
      <c r="AD9755">
        <v>-0.15195789999999901</v>
      </c>
      <c r="AE9755">
        <v>0.43522999999999001</v>
      </c>
      <c r="AF9755">
        <v>4.8868154368440497E-2</v>
      </c>
      <c r="AG9755">
        <v>-0.15195789999999901</v>
      </c>
      <c r="AH9755">
        <v>0.38784342920527098</v>
      </c>
      <c r="AI9755">
        <v>111.242528418639</v>
      </c>
      <c r="AJ9755">
        <v>82.818593423433896</v>
      </c>
      <c r="AK9755">
        <v>0.41940651575946197</v>
      </c>
      <c r="AL9755">
        <v>93.054937611559893</v>
      </c>
      <c r="AM9755">
        <v>91.750458392743496</v>
      </c>
      <c r="AN9755">
        <v>0.99999999656739502</v>
      </c>
    </row>
    <row r="9756" spans="1:40" x14ac:dyDescent="0.25">
      <c r="A9756" t="str">
        <f>"20190303154031114"</f>
        <v>20190303154031114</v>
      </c>
      <c r="B9756" t="str">
        <f>"1551598831108097"</f>
        <v>1551598831108097</v>
      </c>
      <c r="C9756" t="s">
        <v>40</v>
      </c>
      <c r="D9756">
        <v>4.6031969999999998</v>
      </c>
      <c r="E9756">
        <v>0.5409368</v>
      </c>
      <c r="F9756" t="s">
        <v>44</v>
      </c>
      <c r="G9756">
        <v>-187.58670000000001</v>
      </c>
      <c r="H9756">
        <v>0.97063880000000002</v>
      </c>
      <c r="I9756">
        <v>74.978269999999995</v>
      </c>
      <c r="J9756">
        <v>-187.637</v>
      </c>
      <c r="K9756">
        <v>1.121197</v>
      </c>
      <c r="L9756">
        <v>74.606290000000001</v>
      </c>
      <c r="M9756">
        <v>-1.357236E-2</v>
      </c>
      <c r="N9756">
        <v>-1.5149910000000001E-2</v>
      </c>
      <c r="O9756">
        <v>0.99979309999999999</v>
      </c>
      <c r="P9756">
        <v>-4.3730650000000003E-2</v>
      </c>
      <c r="Q9756">
        <v>-6.7684330000000001E-2</v>
      </c>
      <c r="R9756">
        <v>0.99674799999999997</v>
      </c>
      <c r="S9756">
        <v>0.19392400000000001</v>
      </c>
      <c r="T9756">
        <v>-0.63992260000000001</v>
      </c>
      <c r="U9756">
        <v>2.9746090000000001</v>
      </c>
      <c r="V9756">
        <v>-3.0183939999999999E-2</v>
      </c>
      <c r="W9756">
        <v>-5.2576030000000003E-2</v>
      </c>
      <c r="X9756">
        <v>0.99816070000000001</v>
      </c>
      <c r="Y9756">
        <v>7.721066E-2</v>
      </c>
      <c r="Z9756">
        <v>-0.19491820000000001</v>
      </c>
      <c r="AA9756">
        <v>0.97777579999999997</v>
      </c>
      <c r="AB9756">
        <v>30</v>
      </c>
      <c r="AC9756">
        <v>5.0299999999992899E-2</v>
      </c>
      <c r="AD9756">
        <v>-0.150558199999999</v>
      </c>
      <c r="AE9756">
        <v>0.37197999999999298</v>
      </c>
      <c r="AF9756">
        <v>4.7674715294293103E-2</v>
      </c>
      <c r="AG9756">
        <v>-0.150558199999999</v>
      </c>
      <c r="AH9756">
        <v>0.31981184395641099</v>
      </c>
      <c r="AI9756">
        <v>114.967910783653</v>
      </c>
      <c r="AJ9756">
        <v>81.521290284290401</v>
      </c>
      <c r="AK9756">
        <v>0.35667949983203601</v>
      </c>
      <c r="AL9756">
        <v>93.013774037819701</v>
      </c>
      <c r="AM9756">
        <v>91.7320713161387</v>
      </c>
      <c r="AN9756">
        <v>1.00000004609448</v>
      </c>
    </row>
    <row r="9757" spans="1:40" x14ac:dyDescent="0.25">
      <c r="A9757" t="str">
        <f>"20190303154031135"</f>
        <v>20190303154031135</v>
      </c>
      <c r="B9757" t="str">
        <f>"1551598831127807"</f>
        <v>1551598831127807</v>
      </c>
      <c r="C9757" t="s">
        <v>40</v>
      </c>
      <c r="D9757">
        <v>4.5421509999999996</v>
      </c>
      <c r="E9757">
        <v>0.57548429999999995</v>
      </c>
      <c r="F9757" t="s">
        <v>44</v>
      </c>
      <c r="G9757">
        <v>-187.5763</v>
      </c>
      <c r="H9757">
        <v>0.92962299999999998</v>
      </c>
      <c r="I9757">
        <v>75.484909999999999</v>
      </c>
      <c r="J9757">
        <v>-187.64099999999999</v>
      </c>
      <c r="K9757">
        <v>1.12117</v>
      </c>
      <c r="L9757">
        <v>74.895690000000002</v>
      </c>
      <c r="M9757">
        <v>-1.363323E-2</v>
      </c>
      <c r="N9757">
        <v>-1.517778E-2</v>
      </c>
      <c r="O9757">
        <v>0.99979189999999996</v>
      </c>
      <c r="P9757">
        <v>-4.3494909999999998E-2</v>
      </c>
      <c r="Q9757">
        <v>-6.7018999999999995E-2</v>
      </c>
      <c r="R9757">
        <v>0.9968032</v>
      </c>
      <c r="S9757">
        <v>0.20556640000000001</v>
      </c>
      <c r="T9757">
        <v>-0.6486094</v>
      </c>
      <c r="U9757">
        <v>2.9747620000000001</v>
      </c>
      <c r="V9757">
        <v>-2.9891359999999999E-2</v>
      </c>
      <c r="W9757">
        <v>-5.1879120000000001E-2</v>
      </c>
      <c r="X9757">
        <v>0.99820589999999998</v>
      </c>
      <c r="Y9757">
        <v>8.1031899999999907E-2</v>
      </c>
      <c r="Z9757">
        <v>-0.19754859999999999</v>
      </c>
      <c r="AA9757">
        <v>0.97693819999999998</v>
      </c>
      <c r="AB9757">
        <v>29</v>
      </c>
      <c r="AC9757">
        <v>6.4699999999987698E-2</v>
      </c>
      <c r="AD9757">
        <v>-0.191547</v>
      </c>
      <c r="AE9757">
        <v>0.58921999999999697</v>
      </c>
      <c r="AF9757">
        <v>6.5851553752423297E-2</v>
      </c>
      <c r="AG9757">
        <v>-0.191547</v>
      </c>
      <c r="AH9757">
        <v>0.53266164119769099</v>
      </c>
      <c r="AI9757">
        <v>109.64080052313901</v>
      </c>
      <c r="AJ9757">
        <v>82.9524330858643</v>
      </c>
      <c r="AK9757">
        <v>0.56987288437337102</v>
      </c>
      <c r="AL9757">
        <v>92.973789670298203</v>
      </c>
      <c r="AM9757">
        <v>91.715214397971295</v>
      </c>
      <c r="AN9757">
        <v>0.99999997764471604</v>
      </c>
    </row>
    <row r="9758" spans="1:40" x14ac:dyDescent="0.25">
      <c r="A9758" t="str">
        <f>"20190303154031160"</f>
        <v>20190303154031160</v>
      </c>
      <c r="B9758" t="str">
        <f>"1551598831147327"</f>
        <v>1551598831147327</v>
      </c>
      <c r="C9758" t="s">
        <v>40</v>
      </c>
      <c r="D9758">
        <v>4.5417740000000002</v>
      </c>
      <c r="E9758">
        <v>0.57574879999999995</v>
      </c>
      <c r="F9758" t="s">
        <v>44</v>
      </c>
      <c r="G9758">
        <v>-187.5035</v>
      </c>
      <c r="H9758">
        <v>0.91315170000000001</v>
      </c>
      <c r="I9758">
        <v>75.744129999999998</v>
      </c>
      <c r="J9758">
        <v>-187.64510000000001</v>
      </c>
      <c r="K9758">
        <v>1.121156</v>
      </c>
      <c r="L9758">
        <v>75.192019999999999</v>
      </c>
      <c r="M9758">
        <v>-1.3664590000000001E-2</v>
      </c>
      <c r="N9758">
        <v>-1.520145E-2</v>
      </c>
      <c r="O9758">
        <v>0.99979110000000004</v>
      </c>
      <c r="P9758">
        <v>-4.2780810000000002E-2</v>
      </c>
      <c r="Q9758">
        <v>-6.6836359999999997E-2</v>
      </c>
      <c r="R9758">
        <v>0.99684640000000002</v>
      </c>
      <c r="S9758">
        <v>0.48300169999999998</v>
      </c>
      <c r="T9758">
        <v>-0.73100039999999999</v>
      </c>
      <c r="U9758">
        <v>2.9815369999999999</v>
      </c>
      <c r="V9758">
        <v>-2.915009E-2</v>
      </c>
      <c r="W9758">
        <v>-5.1669930000000003E-2</v>
      </c>
      <c r="X9758">
        <v>0.99823870000000003</v>
      </c>
      <c r="Y9758">
        <v>0.1691309</v>
      </c>
      <c r="Z9758">
        <v>-0.22011629999999999</v>
      </c>
      <c r="AA9758">
        <v>0.96069950000000004</v>
      </c>
      <c r="AB9758">
        <v>29</v>
      </c>
      <c r="AC9758">
        <v>0.14160000000001099</v>
      </c>
      <c r="AD9758">
        <v>-0.2080043</v>
      </c>
      <c r="AE9758">
        <v>0.55210999999999899</v>
      </c>
      <c r="AF9758">
        <v>0.13160529696604101</v>
      </c>
      <c r="AG9758">
        <v>-0.2080043</v>
      </c>
      <c r="AH9758">
        <v>0.48547018286487797</v>
      </c>
      <c r="AI9758">
        <v>112.466746605342</v>
      </c>
      <c r="AJ9758">
        <v>74.832321486373203</v>
      </c>
      <c r="AK9758">
        <v>0.54430418100439804</v>
      </c>
      <c r="AL9758">
        <v>92.961787785622903</v>
      </c>
      <c r="AM9758">
        <v>91.672648672161799</v>
      </c>
      <c r="AN9758">
        <v>1.0000000057954499</v>
      </c>
    </row>
    <row r="9759" spans="1:40" x14ac:dyDescent="0.25">
      <c r="A9759" t="str">
        <f>"20190303154031180"</f>
        <v>20190303154031180</v>
      </c>
      <c r="B9759" t="str">
        <f>"1551598831177582"</f>
        <v>1551598831177582</v>
      </c>
      <c r="C9759" t="s">
        <v>40</v>
      </c>
      <c r="D9759">
        <v>4.5109279999999998</v>
      </c>
      <c r="E9759">
        <v>0.57624709999999901</v>
      </c>
      <c r="F9759" t="s">
        <v>44</v>
      </c>
      <c r="G9759">
        <v>-187.51150000000001</v>
      </c>
      <c r="H9759">
        <v>0.92345140000000003</v>
      </c>
      <c r="I9759">
        <v>76.010540000000006</v>
      </c>
      <c r="J9759">
        <v>-187.649</v>
      </c>
      <c r="K9759">
        <v>1.121138</v>
      </c>
      <c r="L9759">
        <v>75.478390000000005</v>
      </c>
      <c r="M9759">
        <v>-1.367413E-2</v>
      </c>
      <c r="N9759">
        <v>-1.5220259999999999E-2</v>
      </c>
      <c r="O9759">
        <v>0.99979070000000003</v>
      </c>
      <c r="P9759">
        <v>-4.244655E-2</v>
      </c>
      <c r="Q9759">
        <v>-6.6788100000000003E-2</v>
      </c>
      <c r="R9759">
        <v>0.99686390000000002</v>
      </c>
      <c r="S9759">
        <v>0.4867706</v>
      </c>
      <c r="T9759">
        <v>-0.7202904</v>
      </c>
      <c r="U9759">
        <v>2.9820859999999998</v>
      </c>
      <c r="V9759">
        <v>-2.8807949999999999E-2</v>
      </c>
      <c r="W9759">
        <v>-5.1601220000000003E-2</v>
      </c>
      <c r="X9759">
        <v>0.99825220000000003</v>
      </c>
      <c r="Y9759">
        <v>0.1704186</v>
      </c>
      <c r="Z9759">
        <v>-0.21674489999999999</v>
      </c>
      <c r="AA9759">
        <v>0.96123829999999999</v>
      </c>
      <c r="AB9759">
        <v>29</v>
      </c>
      <c r="AC9759">
        <v>0.13749999999998799</v>
      </c>
      <c r="AD9759">
        <v>-0.19768659999999899</v>
      </c>
      <c r="AE9759">
        <v>0.53215000000000101</v>
      </c>
      <c r="AF9759">
        <v>0.12818231033690999</v>
      </c>
      <c r="AG9759">
        <v>-0.19768659999999899</v>
      </c>
      <c r="AH9759">
        <v>0.46948472266843999</v>
      </c>
      <c r="AI9759">
        <v>112.10716077499499</v>
      </c>
      <c r="AJ9759">
        <v>74.728863677664805</v>
      </c>
      <c r="AK9759">
        <v>0.52528716081961302</v>
      </c>
      <c r="AL9759">
        <v>92.957845693795406</v>
      </c>
      <c r="AM9759">
        <v>91.653005099598502</v>
      </c>
      <c r="AN9759">
        <v>1.00000001934676</v>
      </c>
    </row>
    <row r="9760" spans="1:40" x14ac:dyDescent="0.25">
      <c r="A9760" t="str">
        <f>"20190303154031201"</f>
        <v>20190303154031201</v>
      </c>
      <c r="B9760" t="str">
        <f>"1551598831198079"</f>
        <v>1551598831198079</v>
      </c>
      <c r="C9760" t="s">
        <v>40</v>
      </c>
      <c r="D9760">
        <v>4.4958419999999997</v>
      </c>
      <c r="E9760">
        <v>0.57667840000000004</v>
      </c>
      <c r="F9760" t="s">
        <v>44</v>
      </c>
      <c r="G9760">
        <v>-187.51750000000001</v>
      </c>
      <c r="H9760">
        <v>0.9310676</v>
      </c>
      <c r="I9760">
        <v>76.275459999999995</v>
      </c>
      <c r="J9760">
        <v>-187.65289999999999</v>
      </c>
      <c r="K9760">
        <v>1.1211370000000001</v>
      </c>
      <c r="L9760">
        <v>75.761809999999997</v>
      </c>
      <c r="M9760">
        <v>-1.367006E-2</v>
      </c>
      <c r="N9760">
        <v>-1.5235459999999999E-2</v>
      </c>
      <c r="O9760">
        <v>0.99979050000000003</v>
      </c>
      <c r="P9760">
        <v>-4.1533260000000002E-2</v>
      </c>
      <c r="Q9760">
        <v>-6.6406270000000003E-2</v>
      </c>
      <c r="R9760">
        <v>0.99692789999999998</v>
      </c>
      <c r="S9760">
        <v>0.49148560000000002</v>
      </c>
      <c r="T9760">
        <v>-0.71126389999999995</v>
      </c>
      <c r="U9760">
        <v>2.9827270000000001</v>
      </c>
      <c r="V9760">
        <v>-2.7899340000000002E-2</v>
      </c>
      <c r="W9760">
        <v>-5.12026999999999E-2</v>
      </c>
      <c r="X9760">
        <v>0.99829849999999998</v>
      </c>
      <c r="Y9760">
        <v>0.17196520000000001</v>
      </c>
      <c r="Z9760">
        <v>-0.21386849999999999</v>
      </c>
      <c r="AA9760">
        <v>0.96160710000000005</v>
      </c>
      <c r="AB9760">
        <v>29</v>
      </c>
      <c r="AC9760">
        <v>0.13539999999997501</v>
      </c>
      <c r="AD9760">
        <v>-0.1900694</v>
      </c>
      <c r="AE9760">
        <v>0.51364999999999805</v>
      </c>
      <c r="AF9760">
        <v>0.126246366747886</v>
      </c>
      <c r="AG9760">
        <v>-0.1900694</v>
      </c>
      <c r="AH9760">
        <v>0.453667457593664</v>
      </c>
      <c r="AI9760">
        <v>111.980237990021</v>
      </c>
      <c r="AJ9760">
        <v>74.449203521030796</v>
      </c>
      <c r="AK9760">
        <v>0.50781756961816604</v>
      </c>
      <c r="AL9760">
        <v>92.934982034424706</v>
      </c>
      <c r="AM9760">
        <v>91.6008222652858</v>
      </c>
      <c r="AN9760">
        <v>0.99999999238098702</v>
      </c>
    </row>
    <row r="9761" spans="1:40" x14ac:dyDescent="0.25">
      <c r="A9761" t="str">
        <f>"20190303154031235"</f>
        <v>20190303154031235</v>
      </c>
      <c r="B9761" t="str">
        <f>"1551598831227305"</f>
        <v>1551598831227305</v>
      </c>
      <c r="C9761" t="s">
        <v>40</v>
      </c>
      <c r="D9761">
        <v>4.4974889999999998</v>
      </c>
      <c r="E9761">
        <v>0.57684809999999997</v>
      </c>
      <c r="F9761" t="s">
        <v>44</v>
      </c>
      <c r="G9761">
        <v>-187.52330000000001</v>
      </c>
      <c r="H9761">
        <v>0.93744660000000002</v>
      </c>
      <c r="I9761">
        <v>76.539630000000002</v>
      </c>
      <c r="J9761">
        <v>-187.65870000000001</v>
      </c>
      <c r="K9761">
        <v>1.1211370000000001</v>
      </c>
      <c r="L9761">
        <v>76.186189999999996</v>
      </c>
      <c r="M9761">
        <v>-1.3653240000000001E-2</v>
      </c>
      <c r="N9761">
        <v>-1.525287E-2</v>
      </c>
      <c r="O9761">
        <v>0.99979039999999997</v>
      </c>
      <c r="P9761">
        <v>-3.9845709999999999E-2</v>
      </c>
      <c r="Q9761">
        <v>-6.6567089999999995E-2</v>
      </c>
      <c r="R9761">
        <v>0.99698600000000004</v>
      </c>
      <c r="S9761">
        <v>0.49673460000000003</v>
      </c>
      <c r="T9761">
        <v>-0.70447469999999901</v>
      </c>
      <c r="U9761">
        <v>2.9830320000000001</v>
      </c>
      <c r="V9761">
        <v>-2.6229220000000001E-2</v>
      </c>
      <c r="W9761">
        <v>-5.1345120000000001E-2</v>
      </c>
      <c r="X9761">
        <v>0.99833649999999996</v>
      </c>
      <c r="Y9761">
        <v>0.1736569</v>
      </c>
      <c r="Z9761">
        <v>-0.21168880000000001</v>
      </c>
      <c r="AA9761">
        <v>0.96178540000000001</v>
      </c>
      <c r="AB9761">
        <v>29</v>
      </c>
      <c r="AC9761">
        <v>0.13540000000000399</v>
      </c>
      <c r="AD9761">
        <v>-0.1836904</v>
      </c>
      <c r="AE9761">
        <v>0.35344000000000603</v>
      </c>
      <c r="AF9761">
        <v>0.113483383514816</v>
      </c>
      <c r="AG9761">
        <v>-0.1836904</v>
      </c>
      <c r="AH9761">
        <v>0.28453751667667798</v>
      </c>
      <c r="AI9761">
        <v>120.94868577089299</v>
      </c>
      <c r="AJ9761">
        <v>68.256180156035597</v>
      </c>
      <c r="AK9761">
        <v>0.35718656159304502</v>
      </c>
      <c r="AL9761">
        <v>92.943152735427006</v>
      </c>
      <c r="AM9761">
        <v>91.504981502814303</v>
      </c>
      <c r="AN9761">
        <v>1.00000003028093</v>
      </c>
    </row>
    <row r="9762" spans="1:40" x14ac:dyDescent="0.25">
      <c r="A9762" t="str">
        <f>"20190303154031256"</f>
        <v>20190303154031256</v>
      </c>
      <c r="B9762" t="str">
        <f>"1551598831247800"</f>
        <v>1551598831247800</v>
      </c>
      <c r="C9762" t="s">
        <v>40</v>
      </c>
      <c r="D9762">
        <v>4.4566879999999998</v>
      </c>
      <c r="E9762">
        <v>0.57692710000000003</v>
      </c>
      <c r="F9762" t="s">
        <v>44</v>
      </c>
      <c r="G9762">
        <v>-187.51249999999999</v>
      </c>
      <c r="H9762">
        <v>0.91699589999999997</v>
      </c>
      <c r="I9762">
        <v>77.052700000000002</v>
      </c>
      <c r="J9762">
        <v>-187.6626</v>
      </c>
      <c r="K9762">
        <v>1.1211450000000001</v>
      </c>
      <c r="L9762">
        <v>76.472380000000001</v>
      </c>
      <c r="M9762">
        <v>-1.3642720000000001E-2</v>
      </c>
      <c r="N9762">
        <v>-1.5261459999999999E-2</v>
      </c>
      <c r="O9762">
        <v>0.99979050000000003</v>
      </c>
      <c r="P9762">
        <v>-3.8915060000000001E-2</v>
      </c>
      <c r="Q9762">
        <v>-6.6602770000000006E-2</v>
      </c>
      <c r="R9762">
        <v>0.99702040000000003</v>
      </c>
      <c r="S9762">
        <v>0.50294490000000003</v>
      </c>
      <c r="T9762">
        <v>-0.70259380000000005</v>
      </c>
      <c r="U9762">
        <v>2.9822690000000001</v>
      </c>
      <c r="V9762">
        <v>-2.5308979999999998E-2</v>
      </c>
      <c r="W9762">
        <v>-5.1371750000000001E-2</v>
      </c>
      <c r="X9762">
        <v>0.99835879999999999</v>
      </c>
      <c r="Y9762">
        <v>0.175652799999999</v>
      </c>
      <c r="Z9762">
        <v>-0.21108199999999999</v>
      </c>
      <c r="AA9762">
        <v>0.96155630000000003</v>
      </c>
      <c r="AB9762">
        <v>29</v>
      </c>
      <c r="AC9762">
        <v>0.150100000000009</v>
      </c>
      <c r="AD9762">
        <v>-0.2041491</v>
      </c>
      <c r="AE9762">
        <v>0.58031999999999995</v>
      </c>
      <c r="AF9762">
        <v>0.14158146865322599</v>
      </c>
      <c r="AG9762">
        <v>-0.2041491</v>
      </c>
      <c r="AH9762">
        <v>0.51811916911196998</v>
      </c>
      <c r="AI9762">
        <v>110.81101411898599</v>
      </c>
      <c r="AJ9762">
        <v>74.716452147407793</v>
      </c>
      <c r="AK9762">
        <v>0.57460389895830999</v>
      </c>
      <c r="AL9762">
        <v>92.9446807826682</v>
      </c>
      <c r="AM9762">
        <v>91.452170523610903</v>
      </c>
      <c r="AN9762">
        <v>0.99999994735206998</v>
      </c>
    </row>
    <row r="9763" spans="1:40" x14ac:dyDescent="0.25">
      <c r="A9763" t="str">
        <f>"20190303154031279"</f>
        <v>20190303154031279</v>
      </c>
      <c r="B9763" t="str">
        <f>"1551598831267324"</f>
        <v>1551598831267324</v>
      </c>
      <c r="C9763" t="s">
        <v>40</v>
      </c>
      <c r="D9763">
        <v>4.4517170000000004</v>
      </c>
      <c r="E9763">
        <v>0.57692849999999996</v>
      </c>
      <c r="F9763" t="s">
        <v>44</v>
      </c>
      <c r="G9763">
        <v>-187.51939999999999</v>
      </c>
      <c r="H9763">
        <v>0.92276639999999999</v>
      </c>
      <c r="I9763">
        <v>77.314800000000005</v>
      </c>
      <c r="J9763">
        <v>-187.66650000000001</v>
      </c>
      <c r="K9763">
        <v>1.121151</v>
      </c>
      <c r="L9763">
        <v>76.760469999999998</v>
      </c>
      <c r="M9763">
        <v>-1.363607E-2</v>
      </c>
      <c r="N9763">
        <v>-1.526807E-2</v>
      </c>
      <c r="O9763">
        <v>0.99979039999999997</v>
      </c>
      <c r="P9763">
        <v>-3.8893509999999999E-2</v>
      </c>
      <c r="Q9763">
        <v>-6.6491229999999998E-2</v>
      </c>
      <c r="R9763">
        <v>0.99702869999999999</v>
      </c>
      <c r="S9763">
        <v>0.50668329999999995</v>
      </c>
      <c r="T9763">
        <v>-0.70217319999999905</v>
      </c>
      <c r="U9763">
        <v>2.9818419999999999</v>
      </c>
      <c r="V9763">
        <v>-2.5294380000000002E-2</v>
      </c>
      <c r="W9763">
        <v>-5.1253390000000003E-2</v>
      </c>
      <c r="X9763">
        <v>0.99836530000000001</v>
      </c>
      <c r="Y9763">
        <v>0.1768439</v>
      </c>
      <c r="Z9763">
        <v>-0.21093049999999999</v>
      </c>
      <c r="AA9763">
        <v>0.96137119999999998</v>
      </c>
      <c r="AB9763">
        <v>29</v>
      </c>
      <c r="AC9763">
        <v>0.14710000000002299</v>
      </c>
      <c r="AD9763">
        <v>-0.198384599999999</v>
      </c>
      <c r="AE9763">
        <v>0.55433000000000698</v>
      </c>
      <c r="AF9763">
        <v>0.13811959130680901</v>
      </c>
      <c r="AG9763">
        <v>-0.198384599999999</v>
      </c>
      <c r="AH9763">
        <v>0.49325291002347499</v>
      </c>
      <c r="AI9763">
        <v>111.171334914989</v>
      </c>
      <c r="AJ9763">
        <v>74.356808193159196</v>
      </c>
      <c r="AK9763">
        <v>0.54930128733377903</v>
      </c>
      <c r="AL9763">
        <v>92.937890171354596</v>
      </c>
      <c r="AM9763">
        <v>91.451323722826601</v>
      </c>
      <c r="AN9763">
        <v>0.99999999394508299</v>
      </c>
    </row>
    <row r="9764" spans="1:40" x14ac:dyDescent="0.25">
      <c r="A9764" t="str">
        <f>"20190303154031300"</f>
        <v>20190303154031300</v>
      </c>
      <c r="B9764" t="str">
        <f>"1551598831297577"</f>
        <v>1551598831297577</v>
      </c>
      <c r="C9764" t="s">
        <v>40</v>
      </c>
      <c r="D9764">
        <v>4.3872369999999998</v>
      </c>
      <c r="E9764">
        <v>0.57691769999999998</v>
      </c>
      <c r="F9764" t="s">
        <v>44</v>
      </c>
      <c r="G9764">
        <v>-187.52770000000001</v>
      </c>
      <c r="H9764">
        <v>0.9293342</v>
      </c>
      <c r="I9764">
        <v>77.576669999999993</v>
      </c>
      <c r="J9764">
        <v>-187.6705</v>
      </c>
      <c r="K9764">
        <v>1.1211530000000001</v>
      </c>
      <c r="L9764">
        <v>77.046909999999997</v>
      </c>
      <c r="M9764">
        <v>-1.363291E-2</v>
      </c>
      <c r="N9764">
        <v>-1.527281E-2</v>
      </c>
      <c r="O9764">
        <v>0.99979039999999997</v>
      </c>
      <c r="P9764">
        <v>-3.9257739999999999E-2</v>
      </c>
      <c r="Q9764">
        <v>-6.6109699999999993E-2</v>
      </c>
      <c r="R9764">
        <v>0.99703980000000003</v>
      </c>
      <c r="S9764">
        <v>0.50706479999999998</v>
      </c>
      <c r="T9764">
        <v>-0.70078839999999998</v>
      </c>
      <c r="U9764">
        <v>2.9819640000000001</v>
      </c>
      <c r="V9764">
        <v>-2.5661449999999999E-2</v>
      </c>
      <c r="W9764">
        <v>-5.0866849999999998E-2</v>
      </c>
      <c r="X9764">
        <v>0.99837569999999998</v>
      </c>
      <c r="Y9764">
        <v>0.17696999999999999</v>
      </c>
      <c r="Z9764">
        <v>-0.2104885</v>
      </c>
      <c r="AA9764">
        <v>0.96144490000000005</v>
      </c>
      <c r="AB9764">
        <v>29</v>
      </c>
      <c r="AC9764">
        <v>0.14279999999999399</v>
      </c>
      <c r="AD9764">
        <v>-0.19181880000000001</v>
      </c>
      <c r="AE9764">
        <v>0.52975999999999601</v>
      </c>
      <c r="AF9764">
        <v>0.133671656997258</v>
      </c>
      <c r="AG9764">
        <v>-0.19181880000000001</v>
      </c>
      <c r="AH9764">
        <v>0.47028316528275199</v>
      </c>
      <c r="AI9764">
        <v>111.421991922118</v>
      </c>
      <c r="AJ9764">
        <v>74.132913435209204</v>
      </c>
      <c r="AK9764">
        <v>0.52519407790472705</v>
      </c>
      <c r="AL9764">
        <v>92.915714138145404</v>
      </c>
      <c r="AM9764">
        <v>91.472360679754999</v>
      </c>
      <c r="AN9764">
        <v>0.99999999239775705</v>
      </c>
    </row>
    <row r="9765" spans="1:40" x14ac:dyDescent="0.25">
      <c r="A9765" t="str">
        <f>"20190303154031322"</f>
        <v>20190303154031322</v>
      </c>
      <c r="B9765" t="str">
        <f>"1551598831318073"</f>
        <v>1551598831318073</v>
      </c>
      <c r="C9765" t="s">
        <v>40</v>
      </c>
      <c r="D9765">
        <v>4.3982190000000001</v>
      </c>
      <c r="E9765">
        <v>0.57704</v>
      </c>
      <c r="F9765" t="s">
        <v>44</v>
      </c>
      <c r="G9765">
        <v>-187.536</v>
      </c>
      <c r="H9765">
        <v>0.93588389999999999</v>
      </c>
      <c r="I9765">
        <v>77.838210000000004</v>
      </c>
      <c r="J9765">
        <v>-187.67429999999999</v>
      </c>
      <c r="K9765">
        <v>1.1211629999999999</v>
      </c>
      <c r="L9765">
        <v>77.330749999999995</v>
      </c>
      <c r="M9765">
        <v>-1.363192E-2</v>
      </c>
      <c r="N9765">
        <v>-1.5276E-2</v>
      </c>
      <c r="O9765">
        <v>0.99979039999999997</v>
      </c>
      <c r="P9765">
        <v>-4.047767E-2</v>
      </c>
      <c r="Q9765">
        <v>-6.5971390000000005E-2</v>
      </c>
      <c r="R9765">
        <v>0.9970002</v>
      </c>
      <c r="S9765">
        <v>0.50628660000000003</v>
      </c>
      <c r="T9765">
        <v>-0.69830479999999995</v>
      </c>
      <c r="U9765">
        <v>2.9825439999999999</v>
      </c>
      <c r="V9765">
        <v>-2.6883190000000001E-2</v>
      </c>
      <c r="W9765">
        <v>-5.0725619999999999E-2</v>
      </c>
      <c r="X9765">
        <v>0.99835070000000004</v>
      </c>
      <c r="Y9765">
        <v>0.17672460000000001</v>
      </c>
      <c r="Z9765">
        <v>-0.20969360000000001</v>
      </c>
      <c r="AA9765">
        <v>0.96166370000000001</v>
      </c>
      <c r="AB9765">
        <v>29</v>
      </c>
      <c r="AC9765">
        <v>0.13830000000001499</v>
      </c>
      <c r="AD9765">
        <v>-0.185279099999999</v>
      </c>
      <c r="AE9765">
        <v>0.50746000000000802</v>
      </c>
      <c r="AF9765">
        <v>0.12917623510422499</v>
      </c>
      <c r="AG9765">
        <v>-0.185279099999999</v>
      </c>
      <c r="AH9765">
        <v>0.44972172390493398</v>
      </c>
      <c r="AI9765">
        <v>111.602325139084</v>
      </c>
      <c r="AJ9765">
        <v>73.9740329455649</v>
      </c>
      <c r="AK9765">
        <v>0.50325388579179198</v>
      </c>
      <c r="AL9765">
        <v>92.907611897429305</v>
      </c>
      <c r="AM9765">
        <v>91.5424651898619</v>
      </c>
      <c r="AN9765">
        <v>0.99999995730972402</v>
      </c>
    </row>
    <row r="9766" spans="1:40" x14ac:dyDescent="0.25">
      <c r="A9766" t="str">
        <f>"20190303154031346"</f>
        <v>20190303154031346</v>
      </c>
      <c r="B9766" t="str">
        <f>"1551598831337592"</f>
        <v>1551598831337592</v>
      </c>
      <c r="C9766" t="s">
        <v>40</v>
      </c>
      <c r="D9766">
        <v>4.3633629999999997</v>
      </c>
      <c r="E9766">
        <v>0.57701099999999905</v>
      </c>
      <c r="F9766" t="s">
        <v>44</v>
      </c>
      <c r="G9766">
        <v>-187.54470000000001</v>
      </c>
      <c r="H9766">
        <v>0.94191250000000004</v>
      </c>
      <c r="I9766">
        <v>78.099199999999996</v>
      </c>
      <c r="J9766">
        <v>-187.67850000000001</v>
      </c>
      <c r="K9766">
        <v>1.1211709999999999</v>
      </c>
      <c r="L9766">
        <v>77.632900000000006</v>
      </c>
      <c r="M9766">
        <v>-1.363176E-2</v>
      </c>
      <c r="N9766">
        <v>-1.527797E-2</v>
      </c>
      <c r="O9766">
        <v>0.99979039999999997</v>
      </c>
      <c r="P9766">
        <v>-4.154853E-2</v>
      </c>
      <c r="Q9766">
        <v>-6.555213E-2</v>
      </c>
      <c r="R9766">
        <v>0.99698379999999998</v>
      </c>
      <c r="S9766">
        <v>0.50367740000000005</v>
      </c>
      <c r="T9766">
        <v>-0.69592759999999998</v>
      </c>
      <c r="U9766">
        <v>2.9834290000000001</v>
      </c>
      <c r="V9766">
        <v>-2.795394E-2</v>
      </c>
      <c r="W9766">
        <v>-5.0304389999999997E-2</v>
      </c>
      <c r="X9766">
        <v>0.99834259999999997</v>
      </c>
      <c r="Y9766">
        <v>0.1758895</v>
      </c>
      <c r="Z9766">
        <v>-0.2089336</v>
      </c>
      <c r="AA9766">
        <v>0.96198209999999995</v>
      </c>
      <c r="AB9766">
        <v>29</v>
      </c>
      <c r="AC9766">
        <v>0.133800000000007</v>
      </c>
      <c r="AD9766">
        <v>-0.17925849999999899</v>
      </c>
      <c r="AE9766">
        <v>0.466299999999989</v>
      </c>
      <c r="AF9766">
        <v>0.123308033580407</v>
      </c>
      <c r="AG9766">
        <v>-0.17925849999999899</v>
      </c>
      <c r="AH9766">
        <v>0.40863637016617699</v>
      </c>
      <c r="AI9766">
        <v>112.78098909746301</v>
      </c>
      <c r="AJ9766">
        <v>73.208553330372496</v>
      </c>
      <c r="AK9766">
        <v>0.46294941839288001</v>
      </c>
      <c r="AL9766">
        <v>92.883446361990394</v>
      </c>
      <c r="AM9766">
        <v>91.603882681665098</v>
      </c>
      <c r="AN9766">
        <v>0.99999995069477599</v>
      </c>
    </row>
    <row r="9767" spans="1:40" x14ac:dyDescent="0.25">
      <c r="A9767" t="str">
        <f>"20190303154031368"</f>
        <v>20190303154031368</v>
      </c>
      <c r="B9767" t="str">
        <f>"1551598831358089"</f>
        <v>1551598831358089</v>
      </c>
      <c r="C9767" t="s">
        <v>40</v>
      </c>
      <c r="D9767">
        <v>4.3551460000000004</v>
      </c>
      <c r="E9767">
        <v>0.57704869999999997</v>
      </c>
      <c r="F9767" t="s">
        <v>44</v>
      </c>
      <c r="G9767">
        <v>-187.5564</v>
      </c>
      <c r="H9767">
        <v>0.95181510000000003</v>
      </c>
      <c r="I9767">
        <v>78.361400000000003</v>
      </c>
      <c r="J9767">
        <v>-187.6825</v>
      </c>
      <c r="K9767">
        <v>1.121181</v>
      </c>
      <c r="L9767">
        <v>77.929689999999994</v>
      </c>
      <c r="M9767">
        <v>-1.363178E-2</v>
      </c>
      <c r="N9767">
        <v>-1.527864E-2</v>
      </c>
      <c r="O9767">
        <v>0.99979039999999997</v>
      </c>
      <c r="P9767">
        <v>-4.248445E-2</v>
      </c>
      <c r="Q9767">
        <v>-6.5277730000000006E-2</v>
      </c>
      <c r="R9767">
        <v>0.99696229999999997</v>
      </c>
      <c r="S9767">
        <v>0.49987789999999999</v>
      </c>
      <c r="T9767">
        <v>-0.69376700000000002</v>
      </c>
      <c r="U9767">
        <v>2.984283</v>
      </c>
      <c r="V9767">
        <v>-2.8890229999999999E-2</v>
      </c>
      <c r="W9767">
        <v>-5.0029480000000001E-2</v>
      </c>
      <c r="X9767">
        <v>0.99832980000000004</v>
      </c>
      <c r="Y9767">
        <v>0.17468020000000001</v>
      </c>
      <c r="Z9767">
        <v>-0.20825750000000001</v>
      </c>
      <c r="AA9767">
        <v>0.96234909999999996</v>
      </c>
      <c r="AB9767">
        <v>29</v>
      </c>
      <c r="AC9767">
        <v>0.12610000000000801</v>
      </c>
      <c r="AD9767">
        <v>-0.16936589999999899</v>
      </c>
      <c r="AE9767">
        <v>0.43170999999999499</v>
      </c>
      <c r="AF9767">
        <v>0.115582988902467</v>
      </c>
      <c r="AG9767">
        <v>-0.16936589999999899</v>
      </c>
      <c r="AH9767">
        <v>0.37655151458992198</v>
      </c>
      <c r="AI9767">
        <v>113.266793741858</v>
      </c>
      <c r="AJ9767">
        <v>72.936062128740502</v>
      </c>
      <c r="AK9767">
        <v>0.42876016436511699</v>
      </c>
      <c r="AL9767">
        <v>92.867675201954597</v>
      </c>
      <c r="AM9767">
        <v>91.657594926803796</v>
      </c>
      <c r="AN9767">
        <v>0.99999999191328104</v>
      </c>
    </row>
    <row r="9768" spans="1:40" x14ac:dyDescent="0.25">
      <c r="A9768" t="str">
        <f>"20190303154031391"</f>
        <v>20190303154031391</v>
      </c>
      <c r="B9768" t="str">
        <f>"1551598831387369"</f>
        <v>1551598831387369</v>
      </c>
      <c r="C9768" t="s">
        <v>40</v>
      </c>
      <c r="D9768">
        <v>4.3435810000000004</v>
      </c>
      <c r="E9768">
        <v>0.57717640000000003</v>
      </c>
      <c r="F9768" t="s">
        <v>44</v>
      </c>
      <c r="G9768">
        <v>-187.56710000000001</v>
      </c>
      <c r="H9768">
        <v>0.96049629999999997</v>
      </c>
      <c r="I9768">
        <v>78.622680000000003</v>
      </c>
      <c r="J9768">
        <v>-187.68629999999999</v>
      </c>
      <c r="K9768">
        <v>1.1211819999999999</v>
      </c>
      <c r="L9768">
        <v>78.206699999999998</v>
      </c>
      <c r="M9768">
        <v>-1.3631849999999999E-2</v>
      </c>
      <c r="N9768">
        <v>-1.527825E-2</v>
      </c>
      <c r="O9768">
        <v>0.99979039999999997</v>
      </c>
      <c r="P9768">
        <v>-4.2905949999999998E-2</v>
      </c>
      <c r="Q9768">
        <v>-6.4835710000000005E-2</v>
      </c>
      <c r="R9768">
        <v>0.99697309999999995</v>
      </c>
      <c r="S9768">
        <v>0.49719239999999998</v>
      </c>
      <c r="T9768">
        <v>-0.69213069999999999</v>
      </c>
      <c r="U9768">
        <v>2.9850159999999999</v>
      </c>
      <c r="V9768">
        <v>-2.93117E-2</v>
      </c>
      <c r="W9768">
        <v>-4.9587600000000003E-2</v>
      </c>
      <c r="X9768">
        <v>0.99833959999999999</v>
      </c>
      <c r="Y9768">
        <v>0.17382</v>
      </c>
      <c r="Z9768">
        <v>-0.2077377</v>
      </c>
      <c r="AA9768">
        <v>0.9626171</v>
      </c>
      <c r="AB9768">
        <v>29</v>
      </c>
      <c r="AC9768">
        <v>0.119199999999978</v>
      </c>
      <c r="AD9768">
        <v>-0.16068569999999899</v>
      </c>
      <c r="AE9768">
        <v>0.41598000000000401</v>
      </c>
      <c r="AF9768">
        <v>0.109729414547501</v>
      </c>
      <c r="AG9768">
        <v>-0.16068569999999899</v>
      </c>
      <c r="AH9768">
        <v>0.36410875642476498</v>
      </c>
      <c r="AI9768">
        <v>112.90607968948601</v>
      </c>
      <c r="AJ9768">
        <v>73.229063469383206</v>
      </c>
      <c r="AK9768">
        <v>0.41283849760725599</v>
      </c>
      <c r="AL9768">
        <v>92.842325766245807</v>
      </c>
      <c r="AM9768">
        <v>91.681746743778305</v>
      </c>
      <c r="AN9768">
        <v>1.0000000313794</v>
      </c>
    </row>
    <row r="9769" spans="1:40" x14ac:dyDescent="0.25">
      <c r="A9769" t="str">
        <f>"20190303154031412"</f>
        <v>20190303154031412</v>
      </c>
      <c r="B9769" t="str">
        <f>"1551598831407865"</f>
        <v>1551598831407865</v>
      </c>
      <c r="C9769" t="s">
        <v>40</v>
      </c>
      <c r="D9769">
        <v>4.32707</v>
      </c>
      <c r="E9769">
        <v>0.57721350000000005</v>
      </c>
      <c r="F9769" t="s">
        <v>44</v>
      </c>
      <c r="G9769">
        <v>-187.5351</v>
      </c>
      <c r="H9769">
        <v>0.91098959999999995</v>
      </c>
      <c r="I9769">
        <v>79.115619999999893</v>
      </c>
      <c r="J9769">
        <v>-187.69</v>
      </c>
      <c r="K9769">
        <v>1.1211880000000001</v>
      </c>
      <c r="L9769">
        <v>78.483029999999999</v>
      </c>
      <c r="M9769">
        <v>-1.363205E-2</v>
      </c>
      <c r="N9769">
        <v>-1.527709E-2</v>
      </c>
      <c r="O9769">
        <v>0.99979039999999997</v>
      </c>
      <c r="P9769">
        <v>-4.2358569999999998E-2</v>
      </c>
      <c r="Q9769">
        <v>-6.4140450000000002E-2</v>
      </c>
      <c r="R9769">
        <v>0.99704150000000002</v>
      </c>
      <c r="S9769">
        <v>0.49668879999999999</v>
      </c>
      <c r="T9769">
        <v>-0.69043759999999998</v>
      </c>
      <c r="U9769">
        <v>2.9855649999999998</v>
      </c>
      <c r="V9769">
        <v>-2.8763319999999998E-2</v>
      </c>
      <c r="W9769">
        <v>-4.8892650000000003E-2</v>
      </c>
      <c r="X9769">
        <v>0.99838979999999999</v>
      </c>
      <c r="Y9769">
        <v>0.1736539</v>
      </c>
      <c r="Z9769">
        <v>-0.2071875</v>
      </c>
      <c r="AA9769">
        <v>0.9627656</v>
      </c>
      <c r="AB9769">
        <v>29</v>
      </c>
      <c r="AC9769">
        <v>0.15489999999999701</v>
      </c>
      <c r="AD9769">
        <v>-0.21019839999999901</v>
      </c>
      <c r="AE9769">
        <v>0.63258999999999299</v>
      </c>
      <c r="AF9769">
        <v>0.14808475093270601</v>
      </c>
      <c r="AG9769">
        <v>-0.21019839999999901</v>
      </c>
      <c r="AH9769">
        <v>0.57094631207185798</v>
      </c>
      <c r="AI9769">
        <v>109.61435746299</v>
      </c>
      <c r="AJ9769">
        <v>75.459749603408</v>
      </c>
      <c r="AK9769">
        <v>0.62617262163864795</v>
      </c>
      <c r="AL9769">
        <v>92.802459776379095</v>
      </c>
      <c r="AM9769">
        <v>91.650218298245093</v>
      </c>
      <c r="AN9769">
        <v>1.0000000062727401</v>
      </c>
    </row>
    <row r="9770" spans="1:40" x14ac:dyDescent="0.25">
      <c r="A9770" t="str">
        <f>"20190303154031436"</f>
        <v>20190303154031436</v>
      </c>
      <c r="B9770" t="str">
        <f>"1551598831427384"</f>
        <v>1551598831427384</v>
      </c>
      <c r="C9770" t="s">
        <v>40</v>
      </c>
      <c r="D9770">
        <v>4.3244689999999997</v>
      </c>
      <c r="E9770">
        <v>0.5772851</v>
      </c>
      <c r="F9770" t="s">
        <v>44</v>
      </c>
      <c r="G9770">
        <v>-187.5412</v>
      </c>
      <c r="H9770">
        <v>0.91590990000000005</v>
      </c>
      <c r="I9770">
        <v>79.373580000000004</v>
      </c>
      <c r="J9770">
        <v>-187.69409999999999</v>
      </c>
      <c r="K9770">
        <v>1.121194</v>
      </c>
      <c r="L9770">
        <v>78.7804</v>
      </c>
      <c r="M9770">
        <v>-1.3632429999999999E-2</v>
      </c>
      <c r="N9770">
        <v>-1.5275209999999999E-2</v>
      </c>
      <c r="O9770">
        <v>0.99979039999999997</v>
      </c>
      <c r="P9770">
        <v>-4.1644380000000002E-2</v>
      </c>
      <c r="Q9770">
        <v>-6.3472100000000004E-2</v>
      </c>
      <c r="R9770">
        <v>0.99711439999999996</v>
      </c>
      <c r="S9770">
        <v>0.49850460000000002</v>
      </c>
      <c r="T9770">
        <v>-0.68825809999999998</v>
      </c>
      <c r="U9770">
        <v>2.985779</v>
      </c>
      <c r="V9770">
        <v>-2.8047740000000002E-2</v>
      </c>
      <c r="W9770">
        <v>-4.8225320000000002E-2</v>
      </c>
      <c r="X9770">
        <v>0.99844259999999996</v>
      </c>
      <c r="Y9770">
        <v>0.17423720000000001</v>
      </c>
      <c r="Z9770">
        <v>-0.206484</v>
      </c>
      <c r="AA9770">
        <v>0.96281139999999998</v>
      </c>
      <c r="AB9770">
        <v>29</v>
      </c>
      <c r="AC9770">
        <v>0.15289999999998799</v>
      </c>
      <c r="AD9770">
        <v>-0.2052841</v>
      </c>
      <c r="AE9770">
        <v>0.59318000000000304</v>
      </c>
      <c r="AF9770">
        <v>0.144720347872901</v>
      </c>
      <c r="AG9770">
        <v>-0.2052841</v>
      </c>
      <c r="AH9770">
        <v>0.53136508388308001</v>
      </c>
      <c r="AI9770">
        <v>110.44322434383</v>
      </c>
      <c r="AJ9770">
        <v>74.764694958262496</v>
      </c>
      <c r="AK9770">
        <v>0.58773666992228502</v>
      </c>
      <c r="AL9770">
        <v>92.764179465944807</v>
      </c>
      <c r="AM9770">
        <v>91.609100624124594</v>
      </c>
      <c r="AN9770">
        <v>0.99999999135148498</v>
      </c>
    </row>
    <row r="9771" spans="1:40" x14ac:dyDescent="0.25">
      <c r="A9771" t="str">
        <f>"20190303154031457"</f>
        <v>20190303154031457</v>
      </c>
      <c r="B9771" t="str">
        <f>"1551598831447887"</f>
        <v>1551598831447887</v>
      </c>
      <c r="C9771" t="s">
        <v>40</v>
      </c>
      <c r="D9771">
        <v>4.2543680000000004</v>
      </c>
      <c r="E9771">
        <v>0.57737179999999999</v>
      </c>
      <c r="F9771" t="s">
        <v>44</v>
      </c>
      <c r="G9771">
        <v>-187.55099999999999</v>
      </c>
      <c r="H9771">
        <v>0.92541810000000002</v>
      </c>
      <c r="I9771">
        <v>79.632840000000002</v>
      </c>
      <c r="J9771">
        <v>-187.6979</v>
      </c>
      <c r="K9771">
        <v>1.1211979999999999</v>
      </c>
      <c r="L9771">
        <v>79.059780000000003</v>
      </c>
      <c r="M9771">
        <v>-1.363282E-2</v>
      </c>
      <c r="N9771">
        <v>-1.527268E-2</v>
      </c>
      <c r="O9771">
        <v>0.99979039999999997</v>
      </c>
      <c r="P9771">
        <v>-4.0521059999999998E-2</v>
      </c>
      <c r="Q9771">
        <v>-6.3414990000000004E-2</v>
      </c>
      <c r="R9771">
        <v>0.99716419999999995</v>
      </c>
      <c r="S9771">
        <v>0.50117489999999998</v>
      </c>
      <c r="T9771">
        <v>-0.68578079999999997</v>
      </c>
      <c r="U9771">
        <v>2.9859619999999998</v>
      </c>
      <c r="V9771">
        <v>-2.6923260000000001E-2</v>
      </c>
      <c r="W9771">
        <v>-4.8170259999999999E-2</v>
      </c>
      <c r="X9771">
        <v>0.99847620000000004</v>
      </c>
      <c r="Y9771">
        <v>0.1750931</v>
      </c>
      <c r="Z9771">
        <v>-0.20568130000000001</v>
      </c>
      <c r="AA9771">
        <v>0.96282789999999996</v>
      </c>
      <c r="AB9771">
        <v>29</v>
      </c>
      <c r="AC9771">
        <v>0.14690000000001599</v>
      </c>
      <c r="AD9771">
        <v>-0.19577989999999901</v>
      </c>
      <c r="AE9771">
        <v>0.57305999999999802</v>
      </c>
      <c r="AF9771">
        <v>0.13942928655491599</v>
      </c>
      <c r="AG9771">
        <v>-0.19577989999999901</v>
      </c>
      <c r="AH9771">
        <v>0.51464009109077802</v>
      </c>
      <c r="AI9771">
        <v>110.162417958736</v>
      </c>
      <c r="AJ9771">
        <v>74.840995319906298</v>
      </c>
      <c r="AK9771">
        <v>0.56800063252706601</v>
      </c>
      <c r="AL9771">
        <v>92.761021124012203</v>
      </c>
      <c r="AM9771">
        <v>91.544569086222893</v>
      </c>
      <c r="AN9771">
        <v>0.99999997892196701</v>
      </c>
    </row>
    <row r="9772" spans="1:40" x14ac:dyDescent="0.25">
      <c r="A9772" t="str">
        <f>"20190303154031480"</f>
        <v>20190303154031480</v>
      </c>
      <c r="B9772" t="str">
        <f>"1551598831467401"</f>
        <v>1551598831467401</v>
      </c>
      <c r="C9772" t="s">
        <v>40</v>
      </c>
      <c r="D9772">
        <v>4.290063</v>
      </c>
      <c r="E9772">
        <v>0.57744589999999996</v>
      </c>
      <c r="F9772" t="s">
        <v>44</v>
      </c>
      <c r="G9772">
        <v>-187.55719999999999</v>
      </c>
      <c r="H9772">
        <v>0.93066970000000004</v>
      </c>
      <c r="I9772">
        <v>79.89</v>
      </c>
      <c r="J9772">
        <v>-187.70179999999999</v>
      </c>
      <c r="K9772">
        <v>1.1212070000000001</v>
      </c>
      <c r="L9772">
        <v>79.343350000000001</v>
      </c>
      <c r="M9772">
        <v>-1.363311E-2</v>
      </c>
      <c r="N9772">
        <v>-1.5269309999999999E-2</v>
      </c>
      <c r="O9772">
        <v>0.99979050000000003</v>
      </c>
      <c r="P9772">
        <v>-3.9223239999999999E-2</v>
      </c>
      <c r="Q9772">
        <v>-6.3559249999999998E-2</v>
      </c>
      <c r="R9772">
        <v>0.99720699999999995</v>
      </c>
      <c r="S9772">
        <v>0.5052643</v>
      </c>
      <c r="T9772">
        <v>-0.68516339999999998</v>
      </c>
      <c r="U9772">
        <v>2.9855040000000002</v>
      </c>
      <c r="V9772">
        <v>-2.56247E-2</v>
      </c>
      <c r="W9772">
        <v>-4.8317499999999999E-2</v>
      </c>
      <c r="X9772">
        <v>0.99850329999999998</v>
      </c>
      <c r="Y9772">
        <v>0.176404799999999</v>
      </c>
      <c r="Z9772">
        <v>-0.20547699999999999</v>
      </c>
      <c r="AA9772">
        <v>0.96263209999999999</v>
      </c>
      <c r="AB9772">
        <v>29</v>
      </c>
      <c r="AC9772">
        <v>0.14459999999999601</v>
      </c>
      <c r="AD9772">
        <v>-0.19053729999999999</v>
      </c>
      <c r="AE9772">
        <v>0.54664999999999897</v>
      </c>
      <c r="AF9772">
        <v>0.13653684434511601</v>
      </c>
      <c r="AG9772">
        <v>-0.19053729999999999</v>
      </c>
      <c r="AH9772">
        <v>0.48909333829611901</v>
      </c>
      <c r="AI9772">
        <v>110.567381101629</v>
      </c>
      <c r="AJ9772">
        <v>74.402224535746598</v>
      </c>
      <c r="AK9772">
        <v>0.54236432969052695</v>
      </c>
      <c r="AL9772">
        <v>92.769467067090204</v>
      </c>
      <c r="AM9772">
        <v>91.470065221531499</v>
      </c>
      <c r="AN9772">
        <v>1.0000000230836099</v>
      </c>
    </row>
    <row r="9773" spans="1:40" x14ac:dyDescent="0.25">
      <c r="A9773" t="str">
        <f>"20190303154031501"</f>
        <v>20190303154031501</v>
      </c>
      <c r="B9773" t="str">
        <f>"1551598831497657"</f>
        <v>1551598831497657</v>
      </c>
      <c r="C9773" t="s">
        <v>40</v>
      </c>
      <c r="D9773">
        <v>4.2940649999999998</v>
      </c>
      <c r="E9773">
        <v>0.57751269999999999</v>
      </c>
      <c r="F9773" t="s">
        <v>44</v>
      </c>
      <c r="G9773">
        <v>-187.56450000000001</v>
      </c>
      <c r="H9773">
        <v>0.93665929999999997</v>
      </c>
      <c r="I9773">
        <v>80.147059999999996</v>
      </c>
      <c r="J9773">
        <v>-187.7056</v>
      </c>
      <c r="K9773">
        <v>1.12121</v>
      </c>
      <c r="L9773">
        <v>79.622410000000002</v>
      </c>
      <c r="M9773">
        <v>-1.3633269999999999E-2</v>
      </c>
      <c r="N9773">
        <v>-1.526544E-2</v>
      </c>
      <c r="O9773">
        <v>0.99979050000000003</v>
      </c>
      <c r="P9773">
        <v>-3.8498890000000001E-2</v>
      </c>
      <c r="Q9773">
        <v>-6.2902169999999993E-2</v>
      </c>
      <c r="R9773">
        <v>0.99727679999999996</v>
      </c>
      <c r="S9773">
        <v>0.50975039999999905</v>
      </c>
      <c r="T9773">
        <v>-0.68536660000000005</v>
      </c>
      <c r="U9773">
        <v>2.984772</v>
      </c>
      <c r="V9773">
        <v>-2.489939E-2</v>
      </c>
      <c r="W9773">
        <v>-4.7663469999999999E-2</v>
      </c>
      <c r="X9773">
        <v>0.99855300000000002</v>
      </c>
      <c r="Y9773">
        <v>0.1778448</v>
      </c>
      <c r="Z9773">
        <v>-0.20553879999999999</v>
      </c>
      <c r="AA9773">
        <v>0.96235389999999998</v>
      </c>
      <c r="AB9773">
        <v>29</v>
      </c>
      <c r="AC9773">
        <v>0.14109999999999401</v>
      </c>
      <c r="AD9773">
        <v>-0.18455070000000001</v>
      </c>
      <c r="AE9773">
        <v>0.52464999999999395</v>
      </c>
      <c r="AF9773">
        <v>0.13290469289355</v>
      </c>
      <c r="AG9773">
        <v>-0.18455070000000001</v>
      </c>
      <c r="AH9773">
        <v>0.46860550130381601</v>
      </c>
      <c r="AI9773">
        <v>110.750981733098</v>
      </c>
      <c r="AJ9773">
        <v>74.165738696836002</v>
      </c>
      <c r="AK9773">
        <v>0.52087784951543104</v>
      </c>
      <c r="AL9773">
        <v>92.731950909383002</v>
      </c>
      <c r="AM9773">
        <v>91.428401284115395</v>
      </c>
      <c r="AN9773">
        <v>0.99999993990190394</v>
      </c>
    </row>
    <row r="9774" spans="1:40" x14ac:dyDescent="0.25">
      <c r="A9774" t="str">
        <f>"20190303154031524"</f>
        <v>20190303154031524</v>
      </c>
      <c r="B9774" t="str">
        <f>"1551598831518153"</f>
        <v>1551598831518153</v>
      </c>
      <c r="C9774" t="s">
        <v>40</v>
      </c>
      <c r="D9774">
        <v>4.2540180000000003</v>
      </c>
      <c r="E9774">
        <v>0.57749079999999997</v>
      </c>
      <c r="F9774" t="s">
        <v>44</v>
      </c>
      <c r="G9774">
        <v>-187.5712</v>
      </c>
      <c r="H9774">
        <v>0.94244380000000005</v>
      </c>
      <c r="I9774">
        <v>80.403769999999994</v>
      </c>
      <c r="J9774">
        <v>-187.70949999999999</v>
      </c>
      <c r="K9774">
        <v>1.1212139999999999</v>
      </c>
      <c r="L9774">
        <v>79.909970000000001</v>
      </c>
      <c r="M9774">
        <v>-1.3633320000000001E-2</v>
      </c>
      <c r="N9774">
        <v>-1.526097E-2</v>
      </c>
      <c r="O9774">
        <v>0.99979059999999997</v>
      </c>
      <c r="P9774">
        <v>-3.8393490000000002E-2</v>
      </c>
      <c r="Q9774">
        <v>-6.3500390000000004E-2</v>
      </c>
      <c r="R9774">
        <v>0.99724299999999999</v>
      </c>
      <c r="S9774">
        <v>0.51278690000000005</v>
      </c>
      <c r="T9774">
        <v>-0.68291740000000001</v>
      </c>
      <c r="U9774">
        <v>2.9848940000000002</v>
      </c>
      <c r="V9774">
        <v>-2.4794400000000001E-2</v>
      </c>
      <c r="W9774">
        <v>-4.8266629999999998E-2</v>
      </c>
      <c r="X9774">
        <v>0.99852669999999999</v>
      </c>
      <c r="Y9774">
        <v>0.178817</v>
      </c>
      <c r="Z9774">
        <v>-0.2047456</v>
      </c>
      <c r="AA9774">
        <v>0.9623429</v>
      </c>
      <c r="AB9774">
        <v>28</v>
      </c>
      <c r="AC9774">
        <v>0.13829999999998599</v>
      </c>
      <c r="AD9774">
        <v>-0.17877019999999899</v>
      </c>
      <c r="AE9774">
        <v>0.49379999999999302</v>
      </c>
      <c r="AF9774">
        <v>0.129305290322381</v>
      </c>
      <c r="AG9774">
        <v>-0.17877019999999899</v>
      </c>
      <c r="AH9774">
        <v>0.43856818364028599</v>
      </c>
      <c r="AI9774">
        <v>111.354644323663</v>
      </c>
      <c r="AJ9774">
        <v>73.572633320551901</v>
      </c>
      <c r="AK9774">
        <v>0.49093858497263698</v>
      </c>
      <c r="AL9774">
        <v>92.766549089532106</v>
      </c>
      <c r="AM9774">
        <v>91.422418259259402</v>
      </c>
      <c r="AN9774">
        <v>1.0000000002278999</v>
      </c>
    </row>
    <row r="9775" spans="1:40" x14ac:dyDescent="0.25">
      <c r="A9775" t="str">
        <f>"20190303154031546"</f>
        <v>20190303154031546</v>
      </c>
      <c r="B9775" t="str">
        <f>"1551598831537672"</f>
        <v>1551598831537672</v>
      </c>
      <c r="C9775" t="s">
        <v>40</v>
      </c>
      <c r="D9775">
        <v>4.2100109999999997</v>
      </c>
      <c r="E9775">
        <v>0.57751409999999903</v>
      </c>
      <c r="F9775" t="s">
        <v>44</v>
      </c>
      <c r="G9775">
        <v>-187.5806</v>
      </c>
      <c r="H9775">
        <v>0.94913320000000001</v>
      </c>
      <c r="I9775">
        <v>80.660309999999996</v>
      </c>
      <c r="J9775">
        <v>-187.7133</v>
      </c>
      <c r="K9775">
        <v>1.121218</v>
      </c>
      <c r="L9775">
        <v>80.190280000000001</v>
      </c>
      <c r="M9775">
        <v>-1.3633330000000001E-2</v>
      </c>
      <c r="N9775">
        <v>-1.5256280000000001E-2</v>
      </c>
      <c r="O9775">
        <v>0.99979070000000003</v>
      </c>
      <c r="P9775">
        <v>-3.8980319999999999E-2</v>
      </c>
      <c r="Q9775">
        <v>-6.3401360000000004E-2</v>
      </c>
      <c r="R9775">
        <v>0.99722650000000002</v>
      </c>
      <c r="S9775">
        <v>0.51300049999999997</v>
      </c>
      <c r="T9775">
        <v>-0.68444659999999902</v>
      </c>
      <c r="U9775">
        <v>2.984467</v>
      </c>
      <c r="V9775">
        <v>-2.5381109999999998E-2</v>
      </c>
      <c r="W9775">
        <v>-4.8172390000000002E-2</v>
      </c>
      <c r="X9775">
        <v>0.99851650000000003</v>
      </c>
      <c r="Y9775">
        <v>0.1788882</v>
      </c>
      <c r="Z9775">
        <v>-0.20524629999999999</v>
      </c>
      <c r="AA9775">
        <v>0.96222289999999999</v>
      </c>
      <c r="AB9775">
        <v>28</v>
      </c>
      <c r="AC9775">
        <v>0.13269999999999901</v>
      </c>
      <c r="AD9775">
        <v>-0.17208480000000001</v>
      </c>
      <c r="AE9775">
        <v>0.47002999999999401</v>
      </c>
      <c r="AF9775">
        <v>0.123735384946081</v>
      </c>
      <c r="AG9775">
        <v>-0.17208480000000001</v>
      </c>
      <c r="AH9775">
        <v>0.41647390211183799</v>
      </c>
      <c r="AI9775">
        <v>111.60768661936901</v>
      </c>
      <c r="AJ9775">
        <v>73.453190508598894</v>
      </c>
      <c r="AK9775">
        <v>0.46730518402758597</v>
      </c>
      <c r="AL9775">
        <v>92.761143274322706</v>
      </c>
      <c r="AM9775">
        <v>91.456077493984907</v>
      </c>
      <c r="AN9775">
        <v>0.99999999033769704</v>
      </c>
    </row>
    <row r="9776" spans="1:40" x14ac:dyDescent="0.25">
      <c r="A9776" t="str">
        <f>"20190303154031570"</f>
        <v>20190303154031570</v>
      </c>
      <c r="B9776" t="str">
        <f>"1551598831567928"</f>
        <v>1551598831567928</v>
      </c>
      <c r="C9776" t="s">
        <v>40</v>
      </c>
      <c r="D9776">
        <v>4.1166929999999997</v>
      </c>
      <c r="E9776">
        <v>0.58383640000000003</v>
      </c>
      <c r="F9776" t="s">
        <v>44</v>
      </c>
      <c r="G9776">
        <v>-187.5891</v>
      </c>
      <c r="H9776">
        <v>0.95471430000000002</v>
      </c>
      <c r="I9776">
        <v>80.915899999999993</v>
      </c>
      <c r="J9776">
        <v>-187.7175</v>
      </c>
      <c r="K9776">
        <v>1.1212230000000001</v>
      </c>
      <c r="L9776">
        <v>80.492859999999993</v>
      </c>
      <c r="M9776">
        <v>-1.3633330000000001E-2</v>
      </c>
      <c r="N9776">
        <v>-1.525084E-2</v>
      </c>
      <c r="O9776">
        <v>0.99979070000000003</v>
      </c>
      <c r="P9776">
        <v>-3.970746E-2</v>
      </c>
      <c r="Q9776">
        <v>-6.3242359999999997E-2</v>
      </c>
      <c r="R9776">
        <v>0.99720790000000004</v>
      </c>
      <c r="S9776">
        <v>0.51063539999999996</v>
      </c>
      <c r="T9776">
        <v>-0.68489690000000003</v>
      </c>
      <c r="U9776">
        <v>2.984772</v>
      </c>
      <c r="V9776">
        <v>-2.6108340000000001E-2</v>
      </c>
      <c r="W9776">
        <v>-4.8018949999999998E-2</v>
      </c>
      <c r="X9776">
        <v>0.99850519999999998</v>
      </c>
      <c r="Y9776">
        <v>0.17812709999999901</v>
      </c>
      <c r="Z9776">
        <v>-0.2053981</v>
      </c>
      <c r="AA9776">
        <v>0.96233170000000001</v>
      </c>
      <c r="AB9776">
        <v>28</v>
      </c>
      <c r="AC9776">
        <v>0.12839999999999899</v>
      </c>
      <c r="AD9776">
        <v>-0.16650869999999901</v>
      </c>
      <c r="AE9776">
        <v>0.42304000000000003</v>
      </c>
      <c r="AF9776">
        <v>0.11748985290944799</v>
      </c>
      <c r="AG9776">
        <v>-0.16650869999999901</v>
      </c>
      <c r="AH9776">
        <v>0.36891774309497599</v>
      </c>
      <c r="AI9776">
        <v>113.27065522965</v>
      </c>
      <c r="AJ9776">
        <v>72.334796058539794</v>
      </c>
      <c r="AK9776">
        <v>0.42146092806174101</v>
      </c>
      <c r="AL9776">
        <v>92.752341460450197</v>
      </c>
      <c r="AM9776">
        <v>91.497795828051096</v>
      </c>
      <c r="AN9776">
        <v>1.00000004970184</v>
      </c>
    </row>
    <row r="9777" spans="1:40" x14ac:dyDescent="0.25">
      <c r="A9777" t="str">
        <f>"20190303154031592"</f>
        <v>20190303154031592</v>
      </c>
      <c r="B9777" t="str">
        <f>"1551598831587449"</f>
        <v>1551598831587449</v>
      </c>
      <c r="C9777" t="s">
        <v>40</v>
      </c>
      <c r="D9777">
        <v>4.4185150000000002</v>
      </c>
      <c r="E9777">
        <v>0.58471640000000003</v>
      </c>
      <c r="F9777" t="s">
        <v>44</v>
      </c>
      <c r="G9777">
        <v>-187.54589999999999</v>
      </c>
      <c r="H9777">
        <v>0.92882229999999999</v>
      </c>
      <c r="I9777">
        <v>81.411929999999998</v>
      </c>
      <c r="J9777">
        <v>-187.72120000000001</v>
      </c>
      <c r="K9777">
        <v>1.1212169999999999</v>
      </c>
      <c r="L9777">
        <v>80.769319999999993</v>
      </c>
      <c r="M9777">
        <v>-1.3633370000000001E-2</v>
      </c>
      <c r="N9777">
        <v>-1.524562E-2</v>
      </c>
      <c r="O9777">
        <v>0.99979079999999998</v>
      </c>
      <c r="P9777">
        <v>-3.9933339999999998E-2</v>
      </c>
      <c r="Q9777">
        <v>-6.3542730000000006E-2</v>
      </c>
      <c r="R9777">
        <v>0.99717990000000001</v>
      </c>
      <c r="S9777">
        <v>0.55766300000000002</v>
      </c>
      <c r="T9777">
        <v>-0.62613580000000002</v>
      </c>
      <c r="U9777">
        <v>2.9909059999999998</v>
      </c>
      <c r="V9777">
        <v>-2.6335069999999999E-2</v>
      </c>
      <c r="W9777">
        <v>-4.8324869999999999E-2</v>
      </c>
      <c r="X9777">
        <v>0.99848440000000005</v>
      </c>
      <c r="Y9777">
        <v>0.19314339999999999</v>
      </c>
      <c r="Z9777">
        <v>-0.18631539999999999</v>
      </c>
      <c r="AA9777">
        <v>0.96331829999999996</v>
      </c>
      <c r="AB9777">
        <v>28</v>
      </c>
      <c r="AC9777">
        <v>0.17530000000002099</v>
      </c>
      <c r="AD9777">
        <v>-0.192394699999999</v>
      </c>
      <c r="AE9777">
        <v>0.64261000000000401</v>
      </c>
      <c r="AF9777">
        <v>0.16987325555168201</v>
      </c>
      <c r="AG9777">
        <v>-0.192394699999999</v>
      </c>
      <c r="AH9777">
        <v>0.59086463187791405</v>
      </c>
      <c r="AI9777">
        <v>107.376943928302</v>
      </c>
      <c r="AJ9777">
        <v>73.960085902669704</v>
      </c>
      <c r="AK9777">
        <v>0.64420001299599505</v>
      </c>
      <c r="AL9777">
        <v>92.769889997360096</v>
      </c>
      <c r="AM9777">
        <v>91.510828439211394</v>
      </c>
      <c r="AN9777">
        <v>0.99999996300788996</v>
      </c>
    </row>
    <row r="9778" spans="1:40" x14ac:dyDescent="0.25">
      <c r="A9778" t="str">
        <f>"20190303154031772"</f>
        <v>20190303154031772</v>
      </c>
      <c r="B9778" t="str">
        <f>"1551598831768013"</f>
        <v>1551598831768013</v>
      </c>
      <c r="C9778" t="s">
        <v>40</v>
      </c>
      <c r="D9778">
        <v>4.0798800000000002</v>
      </c>
      <c r="E9778">
        <v>0.54391099999999903</v>
      </c>
      <c r="F9778" t="s">
        <v>44</v>
      </c>
      <c r="G9778">
        <v>-187.6138</v>
      </c>
      <c r="H9778">
        <v>0.96722750000000002</v>
      </c>
      <c r="I9778">
        <v>83.428669999999997</v>
      </c>
      <c r="J9778">
        <v>-187.75149999999999</v>
      </c>
      <c r="K9778">
        <v>1.1211420000000001</v>
      </c>
      <c r="L9778">
        <v>83.017489999999995</v>
      </c>
      <c r="M9778">
        <v>-1.3360439999999999E-2</v>
      </c>
      <c r="N9778">
        <v>-1.51988E-2</v>
      </c>
      <c r="O9778">
        <v>0.9997952</v>
      </c>
      <c r="P9778">
        <v>-4.0396519999999998E-2</v>
      </c>
      <c r="Q9778">
        <v>-6.3714499999999993E-2</v>
      </c>
      <c r="R9778">
        <v>0.99715019999999999</v>
      </c>
      <c r="S9778">
        <v>0.56178280000000003</v>
      </c>
      <c r="T9778">
        <v>-0.64676499999999904</v>
      </c>
      <c r="U9778">
        <v>2.9904480000000002</v>
      </c>
      <c r="V9778">
        <v>-2.70799E-2</v>
      </c>
      <c r="W9778">
        <v>-4.8538680000000001E-2</v>
      </c>
      <c r="X9778">
        <v>0.99845419999999996</v>
      </c>
      <c r="Y9778">
        <v>0.1939457</v>
      </c>
      <c r="Z9778">
        <v>-0.19271569999999999</v>
      </c>
      <c r="AA9778">
        <v>0.961897</v>
      </c>
      <c r="AB9778">
        <v>28</v>
      </c>
      <c r="AC9778">
        <v>0.13769999999999499</v>
      </c>
      <c r="AD9778">
        <v>-0.15391450000000001</v>
      </c>
      <c r="AE9778">
        <v>0.411179999999987</v>
      </c>
      <c r="AF9778">
        <v>0.12716104445555501</v>
      </c>
      <c r="AG9778">
        <v>-0.15391450000000001</v>
      </c>
      <c r="AH9778">
        <v>0.36350576209997698</v>
      </c>
      <c r="AI9778">
        <v>111.78502078354499</v>
      </c>
      <c r="AJ9778">
        <v>70.719218047452799</v>
      </c>
      <c r="AK9778">
        <v>0.41472405719606298</v>
      </c>
      <c r="AL9778">
        <v>92.782154539668795</v>
      </c>
      <c r="AM9778">
        <v>91.553585239453199</v>
      </c>
      <c r="AN9778">
        <v>1.00000005696889</v>
      </c>
    </row>
    <row r="9779" spans="1:40" x14ac:dyDescent="0.25">
      <c r="A9779" t="str">
        <f>"20190303154031793"</f>
        <v>20190303154031793</v>
      </c>
      <c r="B9779" t="str">
        <f>"1551598831787532"</f>
        <v>1551598831787532</v>
      </c>
      <c r="C9779" t="s">
        <v>40</v>
      </c>
      <c r="D9779">
        <v>4.1314250000000001</v>
      </c>
      <c r="E9779">
        <v>0.54022150000000002</v>
      </c>
      <c r="F9779" t="s">
        <v>48</v>
      </c>
      <c r="G9779">
        <v>-168.86600000000001</v>
      </c>
      <c r="H9779">
        <v>10.36379</v>
      </c>
      <c r="I9779">
        <v>339.94389999999999</v>
      </c>
      <c r="J9779">
        <v>-187.75470000000001</v>
      </c>
      <c r="K9779">
        <v>1.121124</v>
      </c>
      <c r="L9779">
        <v>83.267359999999996</v>
      </c>
      <c r="M9779">
        <v>-1.323705E-2</v>
      </c>
      <c r="N9779">
        <v>-1.519328E-2</v>
      </c>
      <c r="O9779">
        <v>0.99979689999999999</v>
      </c>
      <c r="P9779">
        <v>-3.9785569999999999E-2</v>
      </c>
      <c r="Q9779">
        <v>-6.3848429999999998E-2</v>
      </c>
      <c r="R9779">
        <v>0.9971662</v>
      </c>
      <c r="S9779">
        <v>0.22232060000000001</v>
      </c>
      <c r="T9779">
        <v>0.1088045</v>
      </c>
      <c r="U9779">
        <v>3.0245359999999999</v>
      </c>
      <c r="V9779">
        <v>-2.6594090000000001E-2</v>
      </c>
      <c r="W9779">
        <v>-4.8676799999999999E-2</v>
      </c>
      <c r="X9779">
        <v>0.99846049999999997</v>
      </c>
      <c r="Y9779">
        <v>8.6422529999999997E-2</v>
      </c>
      <c r="Z9779">
        <v>5.1017119999999999E-2</v>
      </c>
      <c r="AA9779">
        <v>0.99495149999999999</v>
      </c>
      <c r="AB9779">
        <v>28</v>
      </c>
      <c r="AC9779">
        <v>18.8887</v>
      </c>
      <c r="AD9779">
        <v>9.2426659999999998</v>
      </c>
      <c r="AE9779">
        <v>256.67653999999999</v>
      </c>
      <c r="AF9779">
        <v>22.256374049393902</v>
      </c>
      <c r="AG9779">
        <v>9.2426659999999998</v>
      </c>
      <c r="AH9779">
        <v>256.07373779278402</v>
      </c>
      <c r="AI9779">
        <v>87.940633690445594</v>
      </c>
      <c r="AJ9779">
        <v>85.032681487424895</v>
      </c>
      <c r="AK9779">
        <v>257.20523370993402</v>
      </c>
      <c r="AL9779">
        <v>92.790077691873606</v>
      </c>
      <c r="AM9779">
        <v>91.525717787317603</v>
      </c>
      <c r="AN9779">
        <v>1.0000000232707</v>
      </c>
    </row>
    <row r="9780" spans="1:40" x14ac:dyDescent="0.25">
      <c r="A9780" t="str">
        <f>"20190303154031815"</f>
        <v>20190303154031815</v>
      </c>
      <c r="B9780" t="str">
        <f>"1551598831808028"</f>
        <v>1551598831808028</v>
      </c>
      <c r="C9780" t="s">
        <v>40</v>
      </c>
      <c r="D9780">
        <v>4.1956429999999996</v>
      </c>
      <c r="E9780">
        <v>0.53720459999999903</v>
      </c>
      <c r="F9780" t="s">
        <v>41</v>
      </c>
      <c r="G9780">
        <v>-168.84350000000001</v>
      </c>
      <c r="H9780">
        <v>9.8579749999999997</v>
      </c>
      <c r="I9780">
        <v>375.65550000000002</v>
      </c>
      <c r="J9780">
        <v>-187.75829999999999</v>
      </c>
      <c r="K9780">
        <v>1.1211070000000001</v>
      </c>
      <c r="L9780">
        <v>83.5488</v>
      </c>
      <c r="M9780">
        <v>-1.307181E-2</v>
      </c>
      <c r="N9780">
        <v>-1.5187040000000001E-2</v>
      </c>
      <c r="O9780">
        <v>0.9997992</v>
      </c>
      <c r="P9780">
        <v>-3.8759719999999998E-2</v>
      </c>
      <c r="Q9780">
        <v>-6.3667249999999995E-2</v>
      </c>
      <c r="R9780">
        <v>0.99721819999999906</v>
      </c>
      <c r="S9780">
        <v>0.1954651</v>
      </c>
      <c r="T9780">
        <v>9.0304140000000005E-2</v>
      </c>
      <c r="U9780">
        <v>3.0220950000000002</v>
      </c>
      <c r="V9780">
        <v>-2.573493E-2</v>
      </c>
      <c r="W9780">
        <v>-4.8500349999999998E-2</v>
      </c>
      <c r="X9780">
        <v>0.99849160000000003</v>
      </c>
      <c r="Y9780">
        <v>7.7527670000000007E-2</v>
      </c>
      <c r="Z9780">
        <v>4.497135E-2</v>
      </c>
      <c r="AA9780">
        <v>0.99597539999999996</v>
      </c>
      <c r="AB9780">
        <v>28</v>
      </c>
      <c r="AC9780">
        <v>18.9147999999999</v>
      </c>
      <c r="AD9780">
        <v>8.7368679999999994</v>
      </c>
      <c r="AE9780">
        <v>292.10669999999999</v>
      </c>
      <c r="AF9780">
        <v>22.711754252733702</v>
      </c>
      <c r="AG9780">
        <v>8.7368679999999994</v>
      </c>
      <c r="AH9780">
        <v>291.57470415367999</v>
      </c>
      <c r="AI9780">
        <v>88.288858666966803</v>
      </c>
      <c r="AJ9780">
        <v>85.546028582192704</v>
      </c>
      <c r="AK9780">
        <v>292.58838792062897</v>
      </c>
      <c r="AL9780">
        <v>92.779955897694606</v>
      </c>
      <c r="AM9780">
        <v>91.476403513448304</v>
      </c>
      <c r="AN9780">
        <v>1.0000000229213899</v>
      </c>
    </row>
    <row r="9781" spans="1:40" x14ac:dyDescent="0.25">
      <c r="A9781" t="str">
        <f>"20190303154031838"</f>
        <v>20190303154031838</v>
      </c>
      <c r="B9781" t="str">
        <f>"1551598831827552"</f>
        <v>1551598831827552</v>
      </c>
      <c r="C9781" t="s">
        <v>40</v>
      </c>
      <c r="D9781">
        <v>4.231179</v>
      </c>
      <c r="E9781">
        <v>0.53416260000000004</v>
      </c>
      <c r="F9781" t="s">
        <v>46</v>
      </c>
      <c r="G9781">
        <v>0</v>
      </c>
      <c r="H9781">
        <v>0</v>
      </c>
      <c r="I9781">
        <v>0</v>
      </c>
      <c r="J9781">
        <v>-187.76169999999999</v>
      </c>
      <c r="K9781">
        <v>1.1210899999999999</v>
      </c>
      <c r="L9781">
        <v>83.828800000000001</v>
      </c>
      <c r="M9781">
        <v>-1.2882960000000001E-2</v>
      </c>
      <c r="N9781">
        <v>-1.518073E-2</v>
      </c>
      <c r="O9781">
        <v>0.99980179999999996</v>
      </c>
      <c r="P9781">
        <v>-3.810736E-2</v>
      </c>
      <c r="Q9781">
        <v>-6.3649590000000006E-2</v>
      </c>
      <c r="R9781">
        <v>0.99724449999999998</v>
      </c>
      <c r="S9781">
        <v>0.174819899999999</v>
      </c>
      <c r="T9781">
        <v>7.082331E-2</v>
      </c>
      <c r="U9781">
        <v>3.0196839999999998</v>
      </c>
      <c r="V9781">
        <v>-2.5273110000000001E-2</v>
      </c>
      <c r="W9781">
        <v>-4.8487969999999998E-2</v>
      </c>
      <c r="X9781">
        <v>0.99850399999999995</v>
      </c>
      <c r="Y9781">
        <v>7.0616189999999995E-2</v>
      </c>
      <c r="Z9781">
        <v>3.8575190000000002E-2</v>
      </c>
      <c r="AA9781">
        <v>0.99675740000000002</v>
      </c>
      <c r="AB9781">
        <v>28</v>
      </c>
      <c r="AC9781">
        <v>0.174819899999999</v>
      </c>
      <c r="AD9781">
        <v>7.082331E-2</v>
      </c>
      <c r="AE9781">
        <v>3.0196839999999998</v>
      </c>
      <c r="AF9781">
        <v>0.21359523594738899</v>
      </c>
      <c r="AG9781">
        <v>7.082331E-2</v>
      </c>
      <c r="AH9781">
        <v>3.0155276310940602</v>
      </c>
      <c r="AI9781">
        <v>88.657947917548697</v>
      </c>
      <c r="AJ9781">
        <v>85.948403843924197</v>
      </c>
      <c r="AK9781">
        <v>3.02391232676321</v>
      </c>
      <c r="AL9781">
        <v>92.779245732791694</v>
      </c>
      <c r="AM9781">
        <v>91.449902483798496</v>
      </c>
      <c r="AN9781">
        <v>1.00000002566989</v>
      </c>
    </row>
    <row r="9782" spans="1:40" x14ac:dyDescent="0.25">
      <c r="A9782" t="str">
        <f>"20190303154031852"</f>
        <v>20190303154031852</v>
      </c>
      <c r="B9782" t="str">
        <f>"1551598831848043"</f>
        <v>1551598831848043</v>
      </c>
      <c r="C9782" t="s">
        <v>40</v>
      </c>
      <c r="D9782">
        <v>4.2652130000000001</v>
      </c>
      <c r="E9782">
        <v>0.53177019999999997</v>
      </c>
      <c r="F9782" t="s">
        <v>46</v>
      </c>
      <c r="G9782">
        <v>0</v>
      </c>
      <c r="H9782">
        <v>0</v>
      </c>
      <c r="I9782">
        <v>0</v>
      </c>
      <c r="J9782">
        <v>-187.76400000000001</v>
      </c>
      <c r="K9782">
        <v>1.121084</v>
      </c>
      <c r="L9782">
        <v>84.016570000000002</v>
      </c>
      <c r="M9782">
        <v>-1.2745630000000001E-2</v>
      </c>
      <c r="N9782">
        <v>-1.5176459999999999E-2</v>
      </c>
      <c r="O9782">
        <v>0.99980360000000001</v>
      </c>
      <c r="P9782">
        <v>-3.784407E-2</v>
      </c>
      <c r="Q9782">
        <v>-6.3524949999999997E-2</v>
      </c>
      <c r="R9782">
        <v>0.99726250000000005</v>
      </c>
      <c r="S9782">
        <v>0.1531372</v>
      </c>
      <c r="T9782">
        <v>4.6420570000000001E-2</v>
      </c>
      <c r="U9782">
        <v>3.01709</v>
      </c>
      <c r="V9782">
        <v>-2.5147559999999999E-2</v>
      </c>
      <c r="W9782">
        <v>-4.8366920000000001E-2</v>
      </c>
      <c r="X9782">
        <v>0.99851299999999998</v>
      </c>
      <c r="Y9782">
        <v>6.339438E-2</v>
      </c>
      <c r="Z9782">
        <v>3.0534619999999998E-2</v>
      </c>
      <c r="AA9782">
        <v>0.99752130000000006</v>
      </c>
      <c r="AB9782">
        <v>28</v>
      </c>
      <c r="AC9782">
        <v>0.1531372</v>
      </c>
      <c r="AD9782">
        <v>4.6420570000000001E-2</v>
      </c>
      <c r="AE9782">
        <v>3.01709</v>
      </c>
      <c r="AF9782">
        <v>0.19153867430716501</v>
      </c>
      <c r="AG9782">
        <v>4.6420570000000001E-2</v>
      </c>
      <c r="AH9782">
        <v>3.0141811149386402</v>
      </c>
      <c r="AI9782">
        <v>89.119449086856804</v>
      </c>
      <c r="AJ9782">
        <v>86.363980409822702</v>
      </c>
      <c r="AK9782">
        <v>3.0206174413068601</v>
      </c>
      <c r="AL9782">
        <v>92.772302044700098</v>
      </c>
      <c r="AM9782">
        <v>91.442689812500106</v>
      </c>
      <c r="AN9782">
        <v>0.99999998494661901</v>
      </c>
    </row>
    <row r="9783" spans="1:40" x14ac:dyDescent="0.25">
      <c r="A9783" t="str">
        <f>"20190303154031870"</f>
        <v>20190303154031870</v>
      </c>
      <c r="B9783" t="str">
        <f>"1551598831867564"</f>
        <v>1551598831867564</v>
      </c>
      <c r="C9783" t="s">
        <v>40</v>
      </c>
      <c r="D9783">
        <v>4.2297169999999999</v>
      </c>
      <c r="E9783">
        <v>0.53013889999999997</v>
      </c>
      <c r="F9783" t="s">
        <v>92</v>
      </c>
      <c r="G9783">
        <v>-174.00579999999999</v>
      </c>
      <c r="H9783">
        <v>4.5808600000000004</v>
      </c>
      <c r="I9783">
        <v>391.00349999999997</v>
      </c>
      <c r="J9783">
        <v>-187.76650000000001</v>
      </c>
      <c r="K9783">
        <v>1.121076</v>
      </c>
      <c r="L9783">
        <v>84.230219999999903</v>
      </c>
      <c r="M9783">
        <v>-1.258069E-2</v>
      </c>
      <c r="N9783">
        <v>-1.517158E-2</v>
      </c>
      <c r="O9783">
        <v>0.99980570000000002</v>
      </c>
      <c r="P9783">
        <v>-3.7450600000000001E-2</v>
      </c>
      <c r="Q9783">
        <v>-6.3341800000000004E-2</v>
      </c>
      <c r="R9783">
        <v>0.99728890000000003</v>
      </c>
      <c r="S9783">
        <v>0.13514709999999999</v>
      </c>
      <c r="T9783">
        <v>3.3985380000000003E-2</v>
      </c>
      <c r="U9783">
        <v>3.015533</v>
      </c>
      <c r="V9783">
        <v>-2.4919239999999999E-2</v>
      </c>
      <c r="W9783">
        <v>-4.8187969999999997E-2</v>
      </c>
      <c r="X9783">
        <v>0.99852739999999995</v>
      </c>
      <c r="Y9783">
        <v>5.7320690000000001E-2</v>
      </c>
      <c r="Z9783">
        <v>2.6426740000000001E-2</v>
      </c>
      <c r="AA9783">
        <v>0.99800599999999995</v>
      </c>
      <c r="AB9783">
        <v>28</v>
      </c>
      <c r="AC9783">
        <v>13.7607</v>
      </c>
      <c r="AD9783">
        <v>3.4597839999999902</v>
      </c>
      <c r="AE9783">
        <v>306.77328</v>
      </c>
      <c r="AF9783">
        <v>17.6172384415834</v>
      </c>
      <c r="AG9783">
        <v>3.4597839999999902</v>
      </c>
      <c r="AH9783">
        <v>306.53694629372399</v>
      </c>
      <c r="AI9783">
        <v>89.354413627910205</v>
      </c>
      <c r="AJ9783">
        <v>86.710725173470806</v>
      </c>
      <c r="AK9783">
        <v>307.062268340993</v>
      </c>
      <c r="AL9783">
        <v>92.762036929541793</v>
      </c>
      <c r="AM9783">
        <v>91.429576180092198</v>
      </c>
      <c r="AN9783">
        <v>1.00000000876282</v>
      </c>
    </row>
    <row r="9784" spans="1:40" x14ac:dyDescent="0.25">
      <c r="A9784" t="str">
        <f>"20190303154031885"</f>
        <v>20190303154031885</v>
      </c>
      <c r="B9784" t="str">
        <f>"1551598831878300"</f>
        <v>1551598831878300</v>
      </c>
      <c r="C9784" t="s">
        <v>40</v>
      </c>
      <c r="D9784">
        <v>4.2040509999999998</v>
      </c>
      <c r="E9784">
        <v>0.52966769999999996</v>
      </c>
      <c r="F9784" t="s">
        <v>92</v>
      </c>
      <c r="G9784">
        <v>-175.16319999999999</v>
      </c>
      <c r="H9784">
        <v>3.5870899999999999</v>
      </c>
      <c r="I9784">
        <v>391.00349999999997</v>
      </c>
      <c r="J9784">
        <v>-187.76859999999999</v>
      </c>
      <c r="K9784">
        <v>1.121076</v>
      </c>
      <c r="L9784">
        <v>84.410579999999996</v>
      </c>
      <c r="M9784">
        <v>-1.243621E-2</v>
      </c>
      <c r="N9784">
        <v>-1.5167379999999999E-2</v>
      </c>
      <c r="O9784">
        <v>0.99980769999999997</v>
      </c>
      <c r="P9784">
        <v>-3.7150759999999998E-2</v>
      </c>
      <c r="Q9784">
        <v>-6.3307840000000004E-2</v>
      </c>
      <c r="R9784">
        <v>0.99730240000000003</v>
      </c>
      <c r="S9784">
        <v>0.1238403</v>
      </c>
      <c r="T9784">
        <v>2.4230959999999999E-2</v>
      </c>
      <c r="U9784">
        <v>3.0143430000000002</v>
      </c>
      <c r="V9784">
        <v>-2.4764049999999999E-2</v>
      </c>
      <c r="W9784">
        <v>-4.8157859999999997E-2</v>
      </c>
      <c r="X9784">
        <v>0.99853270000000005</v>
      </c>
      <c r="Y9784">
        <v>5.3459100000000002E-2</v>
      </c>
      <c r="Z9784">
        <v>2.319806E-2</v>
      </c>
      <c r="AA9784">
        <v>0.99830059999999998</v>
      </c>
      <c r="AB9784">
        <v>27</v>
      </c>
      <c r="AC9784">
        <v>12.605399999999999</v>
      </c>
      <c r="AD9784">
        <v>2.4660139999999999</v>
      </c>
      <c r="AE9784">
        <v>306.59291999999903</v>
      </c>
      <c r="AF9784">
        <v>16.416657000844001</v>
      </c>
      <c r="AG9784">
        <v>2.4660139999999999</v>
      </c>
      <c r="AH9784">
        <v>306.39263503595703</v>
      </c>
      <c r="AI9784">
        <v>89.539522949321594</v>
      </c>
      <c r="AJ9784">
        <v>86.932998764264596</v>
      </c>
      <c r="AK9784">
        <v>306.84203534784598</v>
      </c>
      <c r="AL9784">
        <v>92.760309785558405</v>
      </c>
      <c r="AM9784">
        <v>91.420669305307499</v>
      </c>
      <c r="AN9784">
        <v>0.99999999531073602</v>
      </c>
    </row>
    <row r="9785" spans="1:40" x14ac:dyDescent="0.25">
      <c r="A9785" t="str">
        <f>"20190303154031904"</f>
        <v>20190303154031904</v>
      </c>
      <c r="B9785" t="str">
        <f>"1551598831897820"</f>
        <v>1551598831897820</v>
      </c>
      <c r="C9785" t="s">
        <v>40</v>
      </c>
      <c r="D9785">
        <v>4.247852</v>
      </c>
      <c r="E9785">
        <v>0.52888919999999995</v>
      </c>
      <c r="F9785" t="s">
        <v>92</v>
      </c>
      <c r="G9785">
        <v>-175.43809999999999</v>
      </c>
      <c r="H9785">
        <v>3.3015270000000001</v>
      </c>
      <c r="I9785">
        <v>391.00349999999997</v>
      </c>
      <c r="J9785">
        <v>-187.7714</v>
      </c>
      <c r="K9785">
        <v>1.1210709999999999</v>
      </c>
      <c r="L9785">
        <v>84.650599999999997</v>
      </c>
      <c r="M9785">
        <v>-1.224066E-2</v>
      </c>
      <c r="N9785">
        <v>-1.516172E-2</v>
      </c>
      <c r="O9785">
        <v>0.99981010000000003</v>
      </c>
      <c r="P9785">
        <v>-3.6381440000000001E-2</v>
      </c>
      <c r="Q9785">
        <v>-6.3370389999999999E-2</v>
      </c>
      <c r="R9785">
        <v>0.99732670000000001</v>
      </c>
      <c r="S9785">
        <v>0.1212158</v>
      </c>
      <c r="T9785">
        <v>2.1435019999999999E-2</v>
      </c>
      <c r="U9785">
        <v>3.0139770000000001</v>
      </c>
      <c r="V9785">
        <v>-2.4190219999999998E-2</v>
      </c>
      <c r="W9785">
        <v>-4.8225829999999997E-2</v>
      </c>
      <c r="X9785">
        <v>0.99854350000000003</v>
      </c>
      <c r="Y9785">
        <v>5.2401419999999997E-2</v>
      </c>
      <c r="Z9785">
        <v>2.226738E-2</v>
      </c>
      <c r="AA9785">
        <v>0.99837779999999998</v>
      </c>
      <c r="AB9785">
        <v>27</v>
      </c>
      <c r="AC9785">
        <v>12.333299999999999</v>
      </c>
      <c r="AD9785">
        <v>2.1804559999999902</v>
      </c>
      <c r="AE9785">
        <v>306.35289999999998</v>
      </c>
      <c r="AF9785">
        <v>16.081955292138002</v>
      </c>
      <c r="AG9785">
        <v>2.1804559999999902</v>
      </c>
      <c r="AH9785">
        <v>306.163473141189</v>
      </c>
      <c r="AI9785">
        <v>89.592515633941403</v>
      </c>
      <c r="AJ9785">
        <v>86.993168025737006</v>
      </c>
      <c r="AK9785">
        <v>306.593307102849</v>
      </c>
      <c r="AL9785">
        <v>92.764208670882098</v>
      </c>
      <c r="AM9785">
        <v>91.387747725695505</v>
      </c>
      <c r="AN9785">
        <v>1.0000000094075401</v>
      </c>
    </row>
    <row r="9786" spans="1:40" x14ac:dyDescent="0.25">
      <c r="A9786" t="str">
        <f>"20190303154031927"</f>
        <v>20190303154031927</v>
      </c>
      <c r="B9786" t="str">
        <f>"1551598831918319"</f>
        <v>1551598831918319</v>
      </c>
      <c r="C9786" t="s">
        <v>40</v>
      </c>
      <c r="D9786">
        <v>4.2420730000000004</v>
      </c>
      <c r="E9786">
        <v>0.52796269999999901</v>
      </c>
      <c r="F9786" t="s">
        <v>92</v>
      </c>
      <c r="G9786">
        <v>-175.84200000000001</v>
      </c>
      <c r="H9786">
        <v>2.7586349999999999</v>
      </c>
      <c r="I9786">
        <v>391.00349999999997</v>
      </c>
      <c r="J9786">
        <v>-187.77449999999999</v>
      </c>
      <c r="K9786">
        <v>1.1210610000000001</v>
      </c>
      <c r="L9786">
        <v>84.924589999999995</v>
      </c>
      <c r="M9786">
        <v>-1.2014820000000001E-2</v>
      </c>
      <c r="N9786">
        <v>-1.515525E-2</v>
      </c>
      <c r="O9786">
        <v>0.99981299999999995</v>
      </c>
      <c r="P9786">
        <v>-3.5507440000000001E-2</v>
      </c>
      <c r="Q9786">
        <v>-6.3953869999999996E-2</v>
      </c>
      <c r="R9786">
        <v>0.99732100000000001</v>
      </c>
      <c r="S9786">
        <v>0.1173401</v>
      </c>
      <c r="T9786">
        <v>1.6107320000000001E-2</v>
      </c>
      <c r="U9786">
        <v>3.0133359999999998</v>
      </c>
      <c r="V9786">
        <v>-2.3542469999999999E-2</v>
      </c>
      <c r="W9786">
        <v>-4.8816129999999999E-2</v>
      </c>
      <c r="X9786">
        <v>0.99853029999999998</v>
      </c>
      <c r="Y9786">
        <v>5.0903110000000001E-2</v>
      </c>
      <c r="Z9786">
        <v>2.0497169999999999E-2</v>
      </c>
      <c r="AA9786">
        <v>0.99849330000000003</v>
      </c>
      <c r="AB9786">
        <v>27</v>
      </c>
      <c r="AC9786">
        <v>11.9324999999999</v>
      </c>
      <c r="AD9786">
        <v>1.6375740000000001</v>
      </c>
      <c r="AE9786">
        <v>306.07890999999898</v>
      </c>
      <c r="AF9786">
        <v>15.609097660069599</v>
      </c>
      <c r="AG9786">
        <v>1.6375740000000001</v>
      </c>
      <c r="AH9786">
        <v>305.904685655496</v>
      </c>
      <c r="AI9786">
        <v>89.693684722257601</v>
      </c>
      <c r="AJ9786">
        <v>87.0789579564901</v>
      </c>
      <c r="AK9786">
        <v>306.30703923409101</v>
      </c>
      <c r="AL9786">
        <v>92.798070248006098</v>
      </c>
      <c r="AM9786">
        <v>91.350619319319904</v>
      </c>
      <c r="AN9786">
        <v>1.0000000112299801</v>
      </c>
    </row>
    <row r="9787" spans="1:40" x14ac:dyDescent="0.25">
      <c r="A9787" t="str">
        <f>"20190303154031948"</f>
        <v>20190303154031948</v>
      </c>
      <c r="B9787" t="str">
        <f>"1551598831938147"</f>
        <v>1551598831938147</v>
      </c>
      <c r="C9787" t="s">
        <v>40</v>
      </c>
      <c r="D9787">
        <v>4.3173219999999999</v>
      </c>
      <c r="E9787">
        <v>0.52673239999999999</v>
      </c>
      <c r="F9787" t="s">
        <v>92</v>
      </c>
      <c r="G9787">
        <v>-176.2886</v>
      </c>
      <c r="H9787">
        <v>1.969387</v>
      </c>
      <c r="I9787">
        <v>391.00349999999997</v>
      </c>
      <c r="J9787">
        <v>-187.7774</v>
      </c>
      <c r="K9787">
        <v>1.1210659999999999</v>
      </c>
      <c r="L9787">
        <v>85.185180000000003</v>
      </c>
      <c r="M9787">
        <v>-1.1799250000000001E-2</v>
      </c>
      <c r="N9787">
        <v>-1.5149019999999999E-2</v>
      </c>
      <c r="O9787">
        <v>0.99981560000000003</v>
      </c>
      <c r="P9787">
        <v>-3.4346450000000001E-2</v>
      </c>
      <c r="Q9787">
        <v>-6.4063789999999995E-2</v>
      </c>
      <c r="R9787">
        <v>0.99735459999999998</v>
      </c>
      <c r="S9787">
        <v>0.113052399999999</v>
      </c>
      <c r="T9787">
        <v>8.3497759999999997E-3</v>
      </c>
      <c r="U9787">
        <v>3.0126339999999998</v>
      </c>
      <c r="V9787">
        <v>-2.259624E-2</v>
      </c>
      <c r="W9787">
        <v>-4.8932389999999999E-2</v>
      </c>
      <c r="X9787">
        <v>0.9985465</v>
      </c>
      <c r="Y9787">
        <v>4.9278740000000001E-2</v>
      </c>
      <c r="Z9787">
        <v>1.792063E-2</v>
      </c>
      <c r="AA9787">
        <v>0.99862430000000002</v>
      </c>
      <c r="AB9787">
        <v>27</v>
      </c>
      <c r="AC9787">
        <v>11.4887999999999</v>
      </c>
      <c r="AD9787">
        <v>0.84832099999999999</v>
      </c>
      <c r="AE9787">
        <v>305.81832000000003</v>
      </c>
      <c r="AF9787">
        <v>15.096725067808899</v>
      </c>
      <c r="AG9787">
        <v>0.84832099999999999</v>
      </c>
      <c r="AH9787">
        <v>305.65910257154098</v>
      </c>
      <c r="AI9787">
        <v>89.841176292069804</v>
      </c>
      <c r="AJ9787">
        <v>87.172417586543503</v>
      </c>
      <c r="AK9787">
        <v>306.03287036057401</v>
      </c>
      <c r="AL9787">
        <v>92.804739342449196</v>
      </c>
      <c r="AM9787">
        <v>91.296332481641798</v>
      </c>
      <c r="AN9787">
        <v>1.0000000407577401</v>
      </c>
    </row>
    <row r="9788" spans="1:40" x14ac:dyDescent="0.25">
      <c r="A9788" t="str">
        <f>"20190303154031973"</f>
        <v>20190303154031973</v>
      </c>
      <c r="B9788" t="str">
        <f>"1551598831968403"</f>
        <v>1551598831968403</v>
      </c>
      <c r="C9788" t="s">
        <v>40</v>
      </c>
      <c r="D9788">
        <v>4.4088539999999998</v>
      </c>
      <c r="E9788">
        <v>0.52550319999999995</v>
      </c>
      <c r="F9788" t="s">
        <v>92</v>
      </c>
      <c r="G9788">
        <v>-176.94380000000001</v>
      </c>
      <c r="H9788">
        <v>1.195818</v>
      </c>
      <c r="I9788">
        <v>391.00349999999997</v>
      </c>
      <c r="J9788">
        <v>-187.78049999999999</v>
      </c>
      <c r="K9788">
        <v>1.1210659999999999</v>
      </c>
      <c r="L9788">
        <v>85.472809999999996</v>
      </c>
      <c r="M9788">
        <v>-1.1561439999999999E-2</v>
      </c>
      <c r="N9788">
        <v>-1.514221E-2</v>
      </c>
      <c r="O9788">
        <v>0.99981850000000005</v>
      </c>
      <c r="P9788">
        <v>-3.3700210000000001E-2</v>
      </c>
      <c r="Q9788">
        <v>-6.389251E-2</v>
      </c>
      <c r="R9788">
        <v>0.99738760000000004</v>
      </c>
      <c r="S9788">
        <v>0.10668950000000001</v>
      </c>
      <c r="T9788">
        <v>7.3611740000000003E-4</v>
      </c>
      <c r="U9788">
        <v>3.0116879999999999</v>
      </c>
      <c r="V9788">
        <v>-2.2186930000000001E-2</v>
      </c>
      <c r="W9788">
        <v>-4.8767829999999998E-2</v>
      </c>
      <c r="X9788">
        <v>0.99856369999999905</v>
      </c>
      <c r="Y9788">
        <v>4.6946590000000003E-2</v>
      </c>
      <c r="Z9788">
        <v>1.5389460000000001E-2</v>
      </c>
      <c r="AA9788">
        <v>0.99877879999999997</v>
      </c>
      <c r="AB9788">
        <v>27</v>
      </c>
      <c r="AC9788">
        <v>10.836699999999899</v>
      </c>
      <c r="AD9788">
        <v>7.4752000000000096E-2</v>
      </c>
      <c r="AE9788">
        <v>305.53068999999999</v>
      </c>
      <c r="AF9788">
        <v>14.3687544939303</v>
      </c>
      <c r="AG9788">
        <v>7.4752000000000096E-2</v>
      </c>
      <c r="AH9788">
        <v>305.38494448374001</v>
      </c>
      <c r="AI9788">
        <v>89.985990661672005</v>
      </c>
      <c r="AJ9788">
        <v>87.306146600134696</v>
      </c>
      <c r="AK9788">
        <v>305.72280093395898</v>
      </c>
      <c r="AL9788">
        <v>92.795299559651397</v>
      </c>
      <c r="AM9788">
        <v>91.2728364960889</v>
      </c>
      <c r="AN9788">
        <v>1.0000000120317101</v>
      </c>
    </row>
    <row r="9789" spans="1:40" x14ac:dyDescent="0.25">
      <c r="A9789" t="str">
        <f>"20190303154031994"</f>
        <v>20190303154031994</v>
      </c>
      <c r="B9789" t="str">
        <f>"1551598831987923"</f>
        <v>1551598831987923</v>
      </c>
      <c r="C9789" t="s">
        <v>40</v>
      </c>
      <c r="D9789">
        <v>4.360347</v>
      </c>
      <c r="E9789">
        <v>0.52476969999999901</v>
      </c>
      <c r="F9789" t="s">
        <v>92</v>
      </c>
      <c r="G9789">
        <v>-177.6951</v>
      </c>
      <c r="H9789">
        <v>0.5028667</v>
      </c>
      <c r="I9789">
        <v>391.87</v>
      </c>
      <c r="J9789">
        <v>-187.7834</v>
      </c>
      <c r="K9789">
        <v>1.1210659999999999</v>
      </c>
      <c r="L9789">
        <v>85.743989999999997</v>
      </c>
      <c r="M9789">
        <v>-1.133841E-2</v>
      </c>
      <c r="N9789">
        <v>-1.513575E-2</v>
      </c>
      <c r="O9789">
        <v>0.99982119999999997</v>
      </c>
      <c r="P9789">
        <v>-3.373661E-2</v>
      </c>
      <c r="Q9789">
        <v>-6.3821909999999996E-2</v>
      </c>
      <c r="R9789">
        <v>0.99739089999999997</v>
      </c>
      <c r="S9789">
        <v>9.9105830000000006E-2</v>
      </c>
      <c r="T9789">
        <v>-6.0747860000000004E-3</v>
      </c>
      <c r="U9789">
        <v>3.010834</v>
      </c>
      <c r="V9789">
        <v>-2.2446029999999999E-2</v>
      </c>
      <c r="W9789">
        <v>-4.8703669999999998E-2</v>
      </c>
      <c r="X9789">
        <v>0.99856100000000003</v>
      </c>
      <c r="Y9789">
        <v>4.4221469999999999E-2</v>
      </c>
      <c r="Z9789">
        <v>1.312286E-2</v>
      </c>
      <c r="AA9789">
        <v>0.99893560000000003</v>
      </c>
      <c r="AB9789">
        <v>27</v>
      </c>
      <c r="AC9789">
        <v>10.0883</v>
      </c>
      <c r="AD9789">
        <v>-0.61819929999999901</v>
      </c>
      <c r="AE9789">
        <v>306.12601000000001</v>
      </c>
      <c r="AF9789">
        <v>13.5589758458073</v>
      </c>
      <c r="AG9789">
        <v>-0.61819929999999901</v>
      </c>
      <c r="AH9789">
        <v>305.99068226556199</v>
      </c>
      <c r="AI9789">
        <v>90.115642212675198</v>
      </c>
      <c r="AJ9789">
        <v>87.462784773106804</v>
      </c>
      <c r="AK9789">
        <v>306.29156963538099</v>
      </c>
      <c r="AL9789">
        <v>92.791619203004899</v>
      </c>
      <c r="AM9789">
        <v>91.287699244525299</v>
      </c>
      <c r="AN9789">
        <v>0.99999997122761397</v>
      </c>
    </row>
    <row r="9790" spans="1:40" x14ac:dyDescent="0.25">
      <c r="A9790" t="str">
        <f>"20190303154032015"</f>
        <v>20190303154032015</v>
      </c>
      <c r="B9790" t="str">
        <f>"1551598832007443"</f>
        <v>1551598832007443</v>
      </c>
      <c r="C9790" t="s">
        <v>40</v>
      </c>
      <c r="D9790">
        <v>4.4190120000000004</v>
      </c>
      <c r="E9790">
        <v>0.52419669999999996</v>
      </c>
      <c r="F9790" t="s">
        <v>92</v>
      </c>
      <c r="G9790">
        <v>-178.3261</v>
      </c>
      <c r="H9790">
        <v>0.1722794</v>
      </c>
      <c r="I9790">
        <v>391.87</v>
      </c>
      <c r="J9790">
        <v>-187.786</v>
      </c>
      <c r="K9790">
        <v>1.121068</v>
      </c>
      <c r="L9790">
        <v>85.998440000000002</v>
      </c>
      <c r="M9790">
        <v>-1.113043E-2</v>
      </c>
      <c r="N9790">
        <v>-1.512967E-2</v>
      </c>
      <c r="O9790">
        <v>0.99982360000000003</v>
      </c>
      <c r="P9790">
        <v>-3.4213439999999998E-2</v>
      </c>
      <c r="Q9790">
        <v>-6.4110940000000005E-2</v>
      </c>
      <c r="R9790">
        <v>0.99735609999999997</v>
      </c>
      <c r="S9790">
        <v>9.3002319999999999E-2</v>
      </c>
      <c r="T9790">
        <v>-9.330273E-3</v>
      </c>
      <c r="U9790">
        <v>3.0104060000000001</v>
      </c>
      <c r="V9790">
        <v>-2.3130399999999999E-2</v>
      </c>
      <c r="W9790">
        <v>-4.8999019999999997E-2</v>
      </c>
      <c r="X9790">
        <v>0.99853099999999995</v>
      </c>
      <c r="Y9790">
        <v>4.1995320000000003E-2</v>
      </c>
      <c r="Z9790">
        <v>1.203562E-2</v>
      </c>
      <c r="AA9790">
        <v>0.99904530000000002</v>
      </c>
      <c r="AB9790">
        <v>27</v>
      </c>
      <c r="AC9790">
        <v>9.4598999999999691</v>
      </c>
      <c r="AD9790">
        <v>-0.94878859999999998</v>
      </c>
      <c r="AE9790">
        <v>305.87155999999999</v>
      </c>
      <c r="AF9790">
        <v>12.8640618799603</v>
      </c>
      <c r="AG9790">
        <v>-0.94878859999999998</v>
      </c>
      <c r="AH9790">
        <v>305.74436456480498</v>
      </c>
      <c r="AI9790">
        <v>90.177643028498693</v>
      </c>
      <c r="AJ9790">
        <v>87.5907258794591</v>
      </c>
      <c r="AK9790">
        <v>306.01634066009501</v>
      </c>
      <c r="AL9790">
        <v>92.808561550853796</v>
      </c>
      <c r="AM9790">
        <v>91.326986674852805</v>
      </c>
      <c r="AN9790">
        <v>1.0000000386630501</v>
      </c>
    </row>
    <row r="9791" spans="1:40" x14ac:dyDescent="0.25">
      <c r="A9791" t="str">
        <f>"20190303154032038"</f>
        <v>20190303154032038</v>
      </c>
      <c r="B9791" t="str">
        <f>"1551598832027939"</f>
        <v>1551598832027939</v>
      </c>
      <c r="C9791" t="s">
        <v>40</v>
      </c>
      <c r="D9791">
        <v>4.4028429999999998</v>
      </c>
      <c r="E9791">
        <v>0.52376820000000002</v>
      </c>
      <c r="F9791" t="s">
        <v>42</v>
      </c>
      <c r="G9791">
        <v>-180.821</v>
      </c>
      <c r="H9791" s="1">
        <v>-4.6299310000000001E-6</v>
      </c>
      <c r="I9791">
        <v>326.07650000000001</v>
      </c>
      <c r="J9791">
        <v>-187.78880000000001</v>
      </c>
      <c r="K9791">
        <v>1.1210659999999999</v>
      </c>
      <c r="L9791">
        <v>86.274479999999997</v>
      </c>
      <c r="M9791">
        <v>-1.09062E-2</v>
      </c>
      <c r="N9791">
        <v>-1.51231E-2</v>
      </c>
      <c r="O9791">
        <v>0.99982610000000005</v>
      </c>
      <c r="P9791">
        <v>-3.4496359999999997E-2</v>
      </c>
      <c r="Q9791">
        <v>-6.4172389999999996E-2</v>
      </c>
      <c r="R9791">
        <v>0.99734239999999996</v>
      </c>
      <c r="S9791">
        <v>8.7326050000000002E-2</v>
      </c>
      <c r="T9791">
        <v>-1.4055730000000001E-2</v>
      </c>
      <c r="U9791">
        <v>3.01004</v>
      </c>
      <c r="V9791">
        <v>-2.3637399999999999E-2</v>
      </c>
      <c r="W9791">
        <v>-4.9067090000000001E-2</v>
      </c>
      <c r="X9791">
        <v>0.99851570000000001</v>
      </c>
      <c r="Y9791">
        <v>3.989297E-2</v>
      </c>
      <c r="Z9791">
        <v>1.045955E-2</v>
      </c>
      <c r="AA9791">
        <v>0.99914919999999996</v>
      </c>
      <c r="AB9791">
        <v>27</v>
      </c>
      <c r="AC9791">
        <v>6.9678000000000102</v>
      </c>
      <c r="AD9791">
        <v>-1.12107062993099</v>
      </c>
      <c r="AE9791">
        <v>239.80202</v>
      </c>
      <c r="AF9791">
        <v>9.5828043071872706</v>
      </c>
      <c r="AG9791">
        <v>-1.12107062993099</v>
      </c>
      <c r="AH9791">
        <v>239.70651926501199</v>
      </c>
      <c r="AI9791">
        <v>90.267747754438005</v>
      </c>
      <c r="AJ9791">
        <v>87.710692104656601</v>
      </c>
      <c r="AK9791">
        <v>239.90060924452601</v>
      </c>
      <c r="AL9791">
        <v>92.812466607993599</v>
      </c>
      <c r="AM9791">
        <v>91.356083195350905</v>
      </c>
      <c r="AN9791">
        <v>0.99999995457315805</v>
      </c>
    </row>
    <row r="9792" spans="1:40" x14ac:dyDescent="0.25">
      <c r="A9792" t="str">
        <f>"20190303154032061"</f>
        <v>20190303154032061</v>
      </c>
      <c r="B9792" t="str">
        <f>"1551598832058195"</f>
        <v>1551598832058195</v>
      </c>
      <c r="C9792" t="s">
        <v>40</v>
      </c>
      <c r="D9792">
        <v>4.4979129999999996</v>
      </c>
      <c r="E9792">
        <v>0.52318260000000005</v>
      </c>
      <c r="F9792" t="s">
        <v>51</v>
      </c>
      <c r="G9792">
        <v>-182.5617</v>
      </c>
      <c r="H9792" s="1">
        <v>4.3607859999999999E-6</v>
      </c>
      <c r="I9792">
        <v>275.28089999999997</v>
      </c>
      <c r="J9792">
        <v>-187.79159999999999</v>
      </c>
      <c r="K9792">
        <v>1.1210690000000001</v>
      </c>
      <c r="L9792">
        <v>86.546080000000003</v>
      </c>
      <c r="M9792">
        <v>-1.0686340000000001E-2</v>
      </c>
      <c r="N9792">
        <v>-1.5116630000000001E-2</v>
      </c>
      <c r="O9792">
        <v>0.99982859999999996</v>
      </c>
      <c r="P9792">
        <v>-3.4746310000000002E-2</v>
      </c>
      <c r="Q9792">
        <v>-6.4051440000000001E-2</v>
      </c>
      <c r="R9792">
        <v>0.99734149999999999</v>
      </c>
      <c r="S9792">
        <v>8.3236690000000002E-2</v>
      </c>
      <c r="T9792">
        <v>-1.7851590000000001E-2</v>
      </c>
      <c r="U9792">
        <v>3.0097049999999999</v>
      </c>
      <c r="V9792">
        <v>-2.4106519999999999E-2</v>
      </c>
      <c r="W9792">
        <v>-4.8952549999999997E-2</v>
      </c>
      <c r="X9792">
        <v>0.99851009999999996</v>
      </c>
      <c r="Y9792">
        <v>3.8320170000000001E-2</v>
      </c>
      <c r="Z9792">
        <v>9.1918499999999997E-3</v>
      </c>
      <c r="AA9792">
        <v>0.99922319999999998</v>
      </c>
      <c r="AB9792">
        <v>27</v>
      </c>
      <c r="AC9792">
        <v>5.2298999999999802</v>
      </c>
      <c r="AD9792">
        <v>-1.121064639214</v>
      </c>
      <c r="AE9792">
        <v>188.73482000000001</v>
      </c>
      <c r="AF9792">
        <v>7.2464608239558101</v>
      </c>
      <c r="AG9792">
        <v>-1.121064639214</v>
      </c>
      <c r="AH9792">
        <v>188.661494484267</v>
      </c>
      <c r="AI9792">
        <v>90.340208207938005</v>
      </c>
      <c r="AJ9792">
        <v>87.800358660655405</v>
      </c>
      <c r="AK9792">
        <v>188.80393926355401</v>
      </c>
      <c r="AL9792">
        <v>92.805896071341806</v>
      </c>
      <c r="AM9792">
        <v>91.382994122476902</v>
      </c>
      <c r="AN9792">
        <v>0.99999994813001003</v>
      </c>
    </row>
    <row r="9793" spans="1:40" x14ac:dyDescent="0.25">
      <c r="A9793" t="str">
        <f>"20190303154032073"</f>
        <v>20190303154032073</v>
      </c>
      <c r="B9793" t="str">
        <f>"1551598832067957"</f>
        <v>1551598832067957</v>
      </c>
      <c r="C9793" t="s">
        <v>40</v>
      </c>
      <c r="D9793">
        <v>4.4874130000000001</v>
      </c>
      <c r="E9793">
        <v>0.52300369999999996</v>
      </c>
      <c r="F9793" t="s">
        <v>42</v>
      </c>
      <c r="G9793">
        <v>-183.83189999999999</v>
      </c>
      <c r="H9793" s="1">
        <v>-5.7389009999999996E-6</v>
      </c>
      <c r="I9793">
        <v>239.4572</v>
      </c>
      <c r="J9793">
        <v>-187.79310000000001</v>
      </c>
      <c r="K9793">
        <v>1.1210709999999999</v>
      </c>
      <c r="L9793">
        <v>86.704250000000002</v>
      </c>
      <c r="M9793">
        <v>-1.055854E-2</v>
      </c>
      <c r="N9793">
        <v>-1.511287E-2</v>
      </c>
      <c r="O9793">
        <v>0.99983010000000005</v>
      </c>
      <c r="P9793">
        <v>-3.4871869999999999E-2</v>
      </c>
      <c r="Q9793">
        <v>-6.4115710000000006E-2</v>
      </c>
      <c r="R9793">
        <v>0.99733300000000003</v>
      </c>
      <c r="S9793">
        <v>7.7926640000000005E-2</v>
      </c>
      <c r="T9793">
        <v>-2.2062660000000001E-2</v>
      </c>
      <c r="U9793">
        <v>3.009277</v>
      </c>
      <c r="V9793">
        <v>-2.4359740000000001E-2</v>
      </c>
      <c r="W9793">
        <v>-4.9020630000000003E-2</v>
      </c>
      <c r="X9793">
        <v>0.99850059999999996</v>
      </c>
      <c r="Y9793">
        <v>3.6434590000000003E-2</v>
      </c>
      <c r="Z9793">
        <v>7.7882969999999996E-3</v>
      </c>
      <c r="AA9793">
        <v>0.99930569999999996</v>
      </c>
      <c r="AB9793">
        <v>27</v>
      </c>
      <c r="AC9793">
        <v>3.96120000000001</v>
      </c>
      <c r="AD9793">
        <v>-1.1210767389009999</v>
      </c>
      <c r="AE9793">
        <v>152.75295</v>
      </c>
      <c r="AF9793">
        <v>5.5737113864007197</v>
      </c>
      <c r="AG9793">
        <v>-1.1210767389009999</v>
      </c>
      <c r="AH9793">
        <v>152.69438482587</v>
      </c>
      <c r="AI9793">
        <v>90.420376059160006</v>
      </c>
      <c r="AJ9793">
        <v>87.909494736202902</v>
      </c>
      <c r="AK9793">
        <v>152.800190539883</v>
      </c>
      <c r="AL9793">
        <v>92.809801497598897</v>
      </c>
      <c r="AM9793">
        <v>91.397528945965306</v>
      </c>
      <c r="AN9793">
        <v>0.99999993364940998</v>
      </c>
    </row>
    <row r="9794" spans="1:40" x14ac:dyDescent="0.25">
      <c r="A9794" t="str">
        <f>"20190303154032087"</f>
        <v>20190303154032087</v>
      </c>
      <c r="B9794" t="str">
        <f>"1551598832077715"</f>
        <v>1551598832077715</v>
      </c>
      <c r="C9794" t="s">
        <v>40</v>
      </c>
      <c r="D9794">
        <v>4.5032459999999999</v>
      </c>
      <c r="E9794">
        <v>0.52280680000000002</v>
      </c>
      <c r="F9794" t="s">
        <v>51</v>
      </c>
      <c r="G9794">
        <v>-184.19069999999999</v>
      </c>
      <c r="H9794" s="1">
        <v>2.221978E-7</v>
      </c>
      <c r="I9794">
        <v>228.98769999999999</v>
      </c>
      <c r="J9794">
        <v>-187.79480000000001</v>
      </c>
      <c r="K9794">
        <v>1.1210709999999999</v>
      </c>
      <c r="L9794">
        <v>86.879329999999996</v>
      </c>
      <c r="M9794">
        <v>-1.04174E-2</v>
      </c>
      <c r="N9794">
        <v>-1.5108740000000001E-2</v>
      </c>
      <c r="O9794">
        <v>0.99983160000000004</v>
      </c>
      <c r="P9794">
        <v>-3.4774989999999999E-2</v>
      </c>
      <c r="Q9794">
        <v>-6.4170229999999995E-2</v>
      </c>
      <c r="R9794">
        <v>0.99733289999999997</v>
      </c>
      <c r="S9794">
        <v>7.6187130000000006E-2</v>
      </c>
      <c r="T9794">
        <v>-2.3709540000000001E-2</v>
      </c>
      <c r="U9794">
        <v>3.0091549999999998</v>
      </c>
      <c r="V9794">
        <v>-2.4402989999999999E-2</v>
      </c>
      <c r="W9794">
        <v>-4.9079350000000001E-2</v>
      </c>
      <c r="X9794">
        <v>0.99849670000000001</v>
      </c>
      <c r="Y9794">
        <v>3.5717359999999997E-2</v>
      </c>
      <c r="Z9794">
        <v>7.2366869999999899E-3</v>
      </c>
      <c r="AA9794">
        <v>0.99933570000000005</v>
      </c>
      <c r="AB9794">
        <v>27</v>
      </c>
      <c r="AC9794">
        <v>3.6041000000000101</v>
      </c>
      <c r="AD9794">
        <v>-1.1210707778022</v>
      </c>
      <c r="AE9794">
        <v>142.10836999999901</v>
      </c>
      <c r="AF9794">
        <v>5.0841568969979098</v>
      </c>
      <c r="AG9794">
        <v>-1.1210707778022</v>
      </c>
      <c r="AH9794">
        <v>142.05427253205701</v>
      </c>
      <c r="AI9794">
        <v>90.451870911271698</v>
      </c>
      <c r="AJ9794">
        <v>87.950245049538907</v>
      </c>
      <c r="AK9794">
        <v>142.14964578096601</v>
      </c>
      <c r="AL9794">
        <v>92.8131698463242</v>
      </c>
      <c r="AM9794">
        <v>91.400014696826204</v>
      </c>
      <c r="AN9794">
        <v>0.99999997421412601</v>
      </c>
    </row>
    <row r="9795" spans="1:40" x14ac:dyDescent="0.25">
      <c r="A9795" t="str">
        <f>"20190303154032106"</f>
        <v>20190303154032106</v>
      </c>
      <c r="B9795" t="str">
        <f>"1551598832098212"</f>
        <v>1551598832098212</v>
      </c>
      <c r="C9795" t="s">
        <v>40</v>
      </c>
      <c r="D9795">
        <v>4.5209729999999997</v>
      </c>
      <c r="E9795">
        <v>0.52242579999999905</v>
      </c>
      <c r="F9795" t="s">
        <v>51</v>
      </c>
      <c r="G9795">
        <v>-184.54220000000001</v>
      </c>
      <c r="H9795" s="1">
        <v>2.7303509999999999E-6</v>
      </c>
      <c r="I9795">
        <v>217.83179999999999</v>
      </c>
      <c r="J9795">
        <v>-187.79679999999999</v>
      </c>
      <c r="K9795">
        <v>1.1210709999999999</v>
      </c>
      <c r="L9795">
        <v>87.088750000000005</v>
      </c>
      <c r="M9795">
        <v>-1.0248159999999999E-2</v>
      </c>
      <c r="N9795">
        <v>-1.5103729999999999E-2</v>
      </c>
      <c r="O9795">
        <v>0.99983339999999998</v>
      </c>
      <c r="P9795">
        <v>-3.4867199999999897E-2</v>
      </c>
      <c r="Q9795">
        <v>-6.4395690000000005E-2</v>
      </c>
      <c r="R9795">
        <v>0.99731510000000001</v>
      </c>
      <c r="S9795">
        <v>7.473755E-2</v>
      </c>
      <c r="T9795">
        <v>-2.5759460000000001E-2</v>
      </c>
      <c r="U9795">
        <v>3.008972</v>
      </c>
      <c r="V9795">
        <v>-2.4664579999999998E-2</v>
      </c>
      <c r="W9795">
        <v>-4.9310029999999998E-2</v>
      </c>
      <c r="X9795">
        <v>0.99847889999999995</v>
      </c>
      <c r="Y9795">
        <v>3.506865E-2</v>
      </c>
      <c r="Z9795">
        <v>6.5501300000000004E-3</v>
      </c>
      <c r="AA9795">
        <v>0.99936340000000001</v>
      </c>
      <c r="AB9795">
        <v>27</v>
      </c>
      <c r="AC9795">
        <v>3.25459999999998</v>
      </c>
      <c r="AD9795">
        <v>-1.121068269649</v>
      </c>
      <c r="AE9795">
        <v>130.74304999999899</v>
      </c>
      <c r="AF9795">
        <v>4.5941200485752303</v>
      </c>
      <c r="AG9795">
        <v>-1.121068269649</v>
      </c>
      <c r="AH9795">
        <v>130.69322206726901</v>
      </c>
      <c r="AI9795">
        <v>90.491159824440501</v>
      </c>
      <c r="AJ9795">
        <v>87.986771254932407</v>
      </c>
      <c r="AK9795">
        <v>130.77874837836001</v>
      </c>
      <c r="AL9795">
        <v>92.826402879504599</v>
      </c>
      <c r="AM9795">
        <v>91.415041423775506</v>
      </c>
      <c r="AN9795">
        <v>0.99999996715519301</v>
      </c>
    </row>
    <row r="9796" spans="1:40" x14ac:dyDescent="0.25">
      <c r="A9796" t="str">
        <f>"20190303154032122"</f>
        <v>20190303154032122</v>
      </c>
      <c r="B9796" t="str">
        <f>"1551598832117731"</f>
        <v>1551598832117731</v>
      </c>
      <c r="C9796" t="s">
        <v>40</v>
      </c>
      <c r="D9796">
        <v>4.5178770000000004</v>
      </c>
      <c r="E9796">
        <v>0.5220342</v>
      </c>
      <c r="F9796" t="s">
        <v>42</v>
      </c>
      <c r="G9796">
        <v>-185.1388</v>
      </c>
      <c r="H9796" s="1">
        <v>-4.7988160000000001E-6</v>
      </c>
      <c r="I9796">
        <v>198.80889999999999</v>
      </c>
      <c r="J9796">
        <v>-187.79859999999999</v>
      </c>
      <c r="K9796">
        <v>1.1210659999999999</v>
      </c>
      <c r="L9796">
        <v>87.283810000000003</v>
      </c>
      <c r="M9796">
        <v>-1.0090719999999999E-2</v>
      </c>
      <c r="N9796">
        <v>-1.5099069999999999E-2</v>
      </c>
      <c r="O9796">
        <v>0.99983509999999998</v>
      </c>
      <c r="P9796">
        <v>-3.4538310000000003E-2</v>
      </c>
      <c r="Q9796">
        <v>-6.4359749999999993E-2</v>
      </c>
      <c r="R9796">
        <v>0.99732889999999996</v>
      </c>
      <c r="S9796">
        <v>7.157898E-2</v>
      </c>
      <c r="T9796">
        <v>-3.0190709999999999E-2</v>
      </c>
      <c r="U9796">
        <v>3.0086360000000001</v>
      </c>
      <c r="V9796">
        <v>-2.4492739999999999E-2</v>
      </c>
      <c r="W9796">
        <v>-4.927877E-2</v>
      </c>
      <c r="X9796">
        <v>0.9984847</v>
      </c>
      <c r="Y9796">
        <v>3.3865520000000003E-2</v>
      </c>
      <c r="Z9796">
        <v>5.0721489999999998E-3</v>
      </c>
      <c r="AA9796">
        <v>0.99941349999999995</v>
      </c>
      <c r="AB9796">
        <v>27</v>
      </c>
      <c r="AC9796">
        <v>2.65979999999999</v>
      </c>
      <c r="AD9796">
        <v>-1.12107079881599</v>
      </c>
      <c r="AE9796">
        <v>111.52509000000001</v>
      </c>
      <c r="AF9796">
        <v>3.7847790728695401</v>
      </c>
      <c r="AG9796">
        <v>-1.12107079881599</v>
      </c>
      <c r="AH9796">
        <v>111.481309932038</v>
      </c>
      <c r="AI9796">
        <v>90.575822789247695</v>
      </c>
      <c r="AJ9796">
        <v>88.055560965332305</v>
      </c>
      <c r="AK9796">
        <v>111.55117129160701</v>
      </c>
      <c r="AL9796">
        <v>92.824609557964607</v>
      </c>
      <c r="AM9796">
        <v>91.405178530251305</v>
      </c>
      <c r="AN9796">
        <v>0.99999999380975502</v>
      </c>
    </row>
    <row r="9797" spans="1:40" x14ac:dyDescent="0.25">
      <c r="A9797" t="str">
        <f>"20190303154032140"</f>
        <v>20190303154032140</v>
      </c>
      <c r="B9797" t="str">
        <f>"1551598832127491"</f>
        <v>1551598832127491</v>
      </c>
      <c r="C9797" t="s">
        <v>40</v>
      </c>
      <c r="D9797">
        <v>4.549785</v>
      </c>
      <c r="E9797">
        <v>0.52186849999999996</v>
      </c>
      <c r="F9797" t="s">
        <v>42</v>
      </c>
      <c r="G9797">
        <v>-185.46520000000001</v>
      </c>
      <c r="H9797" s="1">
        <v>-4.5035010000000004E-6</v>
      </c>
      <c r="I9797">
        <v>188.25550000000001</v>
      </c>
      <c r="J9797">
        <v>-187.8006</v>
      </c>
      <c r="K9797">
        <v>1.1210659999999999</v>
      </c>
      <c r="L9797">
        <v>87.497219999999999</v>
      </c>
      <c r="M9797">
        <v>-9.9184519999999995E-3</v>
      </c>
      <c r="N9797">
        <v>-1.509395E-2</v>
      </c>
      <c r="O9797">
        <v>0.99983690000000003</v>
      </c>
      <c r="P9797">
        <v>-3.4091959999999998E-2</v>
      </c>
      <c r="Q9797">
        <v>-6.4357330000000004E-2</v>
      </c>
      <c r="R9797">
        <v>0.99734440000000002</v>
      </c>
      <c r="S9797">
        <v>6.9519040000000004E-2</v>
      </c>
      <c r="T9797">
        <v>-3.3400300000000001E-2</v>
      </c>
      <c r="U9797">
        <v>3.00827</v>
      </c>
      <c r="V9797">
        <v>-2.421802E-2</v>
      </c>
      <c r="W9797">
        <v>-4.9281499999999999E-2</v>
      </c>
      <c r="X9797">
        <v>0.99849129999999997</v>
      </c>
      <c r="Y9797">
        <v>3.3012220000000002E-2</v>
      </c>
      <c r="Z9797">
        <v>3.999201E-3</v>
      </c>
      <c r="AA9797">
        <v>0.99944690000000003</v>
      </c>
      <c r="AB9797">
        <v>27</v>
      </c>
      <c r="AC9797">
        <v>2.3353999999999902</v>
      </c>
      <c r="AD9797">
        <v>-1.12107050350099</v>
      </c>
      <c r="AE9797">
        <v>100.75828</v>
      </c>
      <c r="AF9797">
        <v>3.3343525518690398</v>
      </c>
      <c r="AG9797">
        <v>-1.12107050350099</v>
      </c>
      <c r="AH9797">
        <v>100.71769478627201</v>
      </c>
      <c r="AI9797">
        <v>90.637373499617397</v>
      </c>
      <c r="AJ9797">
        <v>88.103862683839196</v>
      </c>
      <c r="AK9797">
        <v>100.779108693591</v>
      </c>
      <c r="AL9797">
        <v>92.824766070604696</v>
      </c>
      <c r="AM9797">
        <v>91.389414539778798</v>
      </c>
      <c r="AN9797">
        <v>1.00000002745532</v>
      </c>
    </row>
    <row r="9798" spans="1:40" x14ac:dyDescent="0.25">
      <c r="A9798" t="str">
        <f>"20190303154032162"</f>
        <v>20190303154032162</v>
      </c>
      <c r="B9798" t="str">
        <f>"1551598832157747"</f>
        <v>1551598832157747</v>
      </c>
      <c r="C9798" t="s">
        <v>40</v>
      </c>
      <c r="D9798">
        <v>4.5270539999999997</v>
      </c>
      <c r="E9798">
        <v>0.5467592</v>
      </c>
      <c r="F9798" t="s">
        <v>42</v>
      </c>
      <c r="G9798">
        <v>-185.56559999999999</v>
      </c>
      <c r="H9798" s="1">
        <v>-2.7299100000000002E-6</v>
      </c>
      <c r="I9798">
        <v>184.1627</v>
      </c>
      <c r="J9798">
        <v>-187.80289999999999</v>
      </c>
      <c r="K9798">
        <v>1.1210639999999901</v>
      </c>
      <c r="L9798">
        <v>87.760219999999904</v>
      </c>
      <c r="M9798">
        <v>-9.7057870000000004E-3</v>
      </c>
      <c r="N9798">
        <v>-1.508758E-2</v>
      </c>
      <c r="O9798">
        <v>0.99983909999999998</v>
      </c>
      <c r="P9798">
        <v>-3.3362719999999998E-2</v>
      </c>
      <c r="Q9798">
        <v>-6.4327780000000001E-2</v>
      </c>
      <c r="R9798">
        <v>0.99737100000000001</v>
      </c>
      <c r="S9798">
        <v>6.9549559999999996E-2</v>
      </c>
      <c r="T9798">
        <v>-3.4886359999999998E-2</v>
      </c>
      <c r="U9798">
        <v>3.0081180000000001</v>
      </c>
      <c r="V9798">
        <v>-2.3700499999999999E-2</v>
      </c>
      <c r="W9798">
        <v>-4.9258370000000003E-2</v>
      </c>
      <c r="X9798">
        <v>0.99850479999999997</v>
      </c>
      <c r="Y9798">
        <v>3.281092E-2</v>
      </c>
      <c r="Z9798">
        <v>3.4984439999999999E-3</v>
      </c>
      <c r="AA9798">
        <v>0.99945550000000005</v>
      </c>
      <c r="AB9798">
        <v>27</v>
      </c>
      <c r="AC9798">
        <v>2.2372999999999998</v>
      </c>
      <c r="AD9798">
        <v>-1.1210667299099999</v>
      </c>
      <c r="AE9798">
        <v>96.402479999999997</v>
      </c>
      <c r="AF9798">
        <v>3.1725342104443199</v>
      </c>
      <c r="AG9798">
        <v>-1.1210667299099999</v>
      </c>
      <c r="AH9798">
        <v>96.363196379193596</v>
      </c>
      <c r="AI9798">
        <v>90.666174630374499</v>
      </c>
      <c r="AJ9798">
        <v>88.114350753701501</v>
      </c>
      <c r="AK9798">
        <v>96.421923753596502</v>
      </c>
      <c r="AL9798">
        <v>92.823439375311594</v>
      </c>
      <c r="AM9798">
        <v>91.359716737370604</v>
      </c>
      <c r="AN9798">
        <v>0.99999996816917303</v>
      </c>
    </row>
    <row r="9799" spans="1:40" x14ac:dyDescent="0.25">
      <c r="A9799" t="str">
        <f>"20190303154032186"</f>
        <v>20190303154032186</v>
      </c>
      <c r="B9799" t="str">
        <f>"1551598832178244"</f>
        <v>1551598832178244</v>
      </c>
      <c r="C9799" t="s">
        <v>40</v>
      </c>
      <c r="D9799">
        <v>4.5185329999999997</v>
      </c>
      <c r="E9799">
        <v>0.56477140000000003</v>
      </c>
      <c r="F9799" t="s">
        <v>68</v>
      </c>
      <c r="G9799">
        <v>-181.41380000000001</v>
      </c>
      <c r="H9799" s="1">
        <v>-1.4677639999999999E-5</v>
      </c>
      <c r="I9799">
        <v>158.91730000000001</v>
      </c>
      <c r="J9799">
        <v>-187.80539999999999</v>
      </c>
      <c r="K9799">
        <v>1.121067</v>
      </c>
      <c r="L9799">
        <v>88.038510000000002</v>
      </c>
      <c r="M9799">
        <v>-9.4808949999999996E-3</v>
      </c>
      <c r="N9799">
        <v>-1.508081E-2</v>
      </c>
      <c r="O9799">
        <v>0.99984130000000004</v>
      </c>
      <c r="P9799">
        <v>-3.2836270000000001E-2</v>
      </c>
      <c r="Q9799">
        <v>-6.4375769999999999E-2</v>
      </c>
      <c r="R9799">
        <v>0.99738530000000003</v>
      </c>
      <c r="S9799">
        <v>0.27061459999999998</v>
      </c>
      <c r="T9799">
        <v>-4.748368E-2</v>
      </c>
      <c r="U9799">
        <v>3.0138850000000001</v>
      </c>
      <c r="V9799">
        <v>-2.3398100000000002E-2</v>
      </c>
      <c r="W9799">
        <v>-4.9313200000000001E-2</v>
      </c>
      <c r="X9799">
        <v>0.99850919999999999</v>
      </c>
      <c r="Y9799">
        <v>9.884656E-2</v>
      </c>
      <c r="Z9799">
        <v>-5.9470729999999998E-4</v>
      </c>
      <c r="AA9799">
        <v>0.9951025</v>
      </c>
      <c r="AB9799">
        <v>27</v>
      </c>
      <c r="AC9799">
        <v>6.39159999999998</v>
      </c>
      <c r="AD9799">
        <v>-1.1210816776399899</v>
      </c>
      <c r="AE9799">
        <v>70.878789999999995</v>
      </c>
      <c r="AF9799">
        <v>7.0616310945974998</v>
      </c>
      <c r="AG9799">
        <v>-1.1210816776399899</v>
      </c>
      <c r="AH9799">
        <v>70.797429867245299</v>
      </c>
      <c r="AI9799">
        <v>90.902727674732702</v>
      </c>
      <c r="AJ9799">
        <v>84.303919908802996</v>
      </c>
      <c r="AK9799">
        <v>71.157568351171406</v>
      </c>
      <c r="AL9799">
        <v>92.826584797736501</v>
      </c>
      <c r="AM9799">
        <v>91.342368282155604</v>
      </c>
      <c r="AN9799">
        <v>0.99999994263124303</v>
      </c>
    </row>
    <row r="9800" spans="1:40" x14ac:dyDescent="0.25">
      <c r="A9800" t="str">
        <f>"20190303154032208"</f>
        <v>20190303154032208</v>
      </c>
      <c r="B9800" t="str">
        <f>"1551598832197763"</f>
        <v>1551598832197763</v>
      </c>
      <c r="C9800" t="s">
        <v>40</v>
      </c>
      <c r="D9800">
        <v>4.4737229999999997</v>
      </c>
      <c r="E9800">
        <v>0.57168660000000004</v>
      </c>
      <c r="F9800" t="s">
        <v>42</v>
      </c>
      <c r="G9800">
        <v>-176.59440000000001</v>
      </c>
      <c r="H9800">
        <v>7.9986500000000002E-2</v>
      </c>
      <c r="I9800">
        <v>169.4931</v>
      </c>
      <c r="J9800">
        <v>-187.80770000000001</v>
      </c>
      <c r="K9800">
        <v>1.1210629999999999</v>
      </c>
      <c r="L9800">
        <v>88.3035</v>
      </c>
      <c r="M9800">
        <v>-9.2665879999999992E-3</v>
      </c>
      <c r="N9800">
        <v>-1.507436E-2</v>
      </c>
      <c r="O9800">
        <v>0.99984340000000005</v>
      </c>
      <c r="P9800">
        <v>-3.1614990000000003E-2</v>
      </c>
      <c r="Q9800">
        <v>-6.5665189999999998E-2</v>
      </c>
      <c r="R9800">
        <v>0.99734069999999997</v>
      </c>
      <c r="S9800">
        <v>0.41552729999999999</v>
      </c>
      <c r="T9800">
        <v>-3.8586740000000001E-2</v>
      </c>
      <c r="U9800">
        <v>3.0190429999999999</v>
      </c>
      <c r="V9800">
        <v>-2.239153E-2</v>
      </c>
      <c r="W9800">
        <v>-5.0610299999999997E-2</v>
      </c>
      <c r="X9800">
        <v>0.9984674</v>
      </c>
      <c r="Y9800">
        <v>0.1454946</v>
      </c>
      <c r="Z9800">
        <v>2.432526E-3</v>
      </c>
      <c r="AA9800">
        <v>0.98935600000000001</v>
      </c>
      <c r="AB9800">
        <v>27</v>
      </c>
      <c r="AC9800">
        <v>11.2133</v>
      </c>
      <c r="AD9800">
        <v>-1.0410765</v>
      </c>
      <c r="AE9800">
        <v>81.189599999999999</v>
      </c>
      <c r="AF9800">
        <v>11.963324298623499</v>
      </c>
      <c r="AG9800">
        <v>-1.0410765</v>
      </c>
      <c r="AH9800">
        <v>81.069112248287396</v>
      </c>
      <c r="AI9800">
        <v>90.727861065344996</v>
      </c>
      <c r="AJ9800">
        <v>81.605478568246795</v>
      </c>
      <c r="AK9800">
        <v>81.953681609054698</v>
      </c>
      <c r="AL9800">
        <v>92.900996024999301</v>
      </c>
      <c r="AM9800">
        <v>91.284694080351599</v>
      </c>
      <c r="AN9800">
        <v>0.99999996597229401</v>
      </c>
    </row>
    <row r="9801" spans="1:40" x14ac:dyDescent="0.25">
      <c r="A9801" t="str">
        <f>"20190303154032239"</f>
        <v>20190303154032239</v>
      </c>
      <c r="B9801" t="str">
        <f>"1551598832228019"</f>
        <v>1551598832228019</v>
      </c>
      <c r="C9801" t="s">
        <v>40</v>
      </c>
      <c r="D9801">
        <v>4.4653559999999999</v>
      </c>
      <c r="E9801">
        <v>0.57680989999999999</v>
      </c>
      <c r="F9801" t="s">
        <v>43</v>
      </c>
      <c r="G9801">
        <v>-172.74010000000001</v>
      </c>
      <c r="H9801">
        <v>-0.05</v>
      </c>
      <c r="I9801">
        <v>184.22409999999999</v>
      </c>
      <c r="J9801">
        <v>-187.8108</v>
      </c>
      <c r="K9801">
        <v>1.121062</v>
      </c>
      <c r="L9801">
        <v>88.682280000000006</v>
      </c>
      <c r="M9801">
        <v>-8.9597800000000005E-3</v>
      </c>
      <c r="N9801">
        <v>-1.506536E-2</v>
      </c>
      <c r="O9801">
        <v>0.99984629999999997</v>
      </c>
      <c r="P9801">
        <v>-3.0746260000000001E-2</v>
      </c>
      <c r="Q9801">
        <v>-6.6108970000000003E-2</v>
      </c>
      <c r="R9801">
        <v>0.99733859999999996</v>
      </c>
      <c r="S9801">
        <v>0.4744873</v>
      </c>
      <c r="T9801">
        <v>-3.6877510000000002E-2</v>
      </c>
      <c r="U9801">
        <v>3.0205989999999998</v>
      </c>
      <c r="V9801">
        <v>-2.1829689999999999E-2</v>
      </c>
      <c r="W9801">
        <v>-5.1063570000000003E-2</v>
      </c>
      <c r="X9801">
        <v>0.99845680000000003</v>
      </c>
      <c r="Y9801">
        <v>0.163993</v>
      </c>
      <c r="Z9801">
        <v>3.0256419999999998E-3</v>
      </c>
      <c r="AA9801">
        <v>0.98645689999999997</v>
      </c>
      <c r="AB9801">
        <v>27</v>
      </c>
      <c r="AC9801">
        <v>15.070699999999899</v>
      </c>
      <c r="AD9801">
        <v>-1.171062</v>
      </c>
      <c r="AE9801">
        <v>95.541820000000001</v>
      </c>
      <c r="AF9801">
        <v>15.9238915821644</v>
      </c>
      <c r="AG9801">
        <v>-1.171062</v>
      </c>
      <c r="AH9801">
        <v>95.388955727775198</v>
      </c>
      <c r="AI9801">
        <v>90.693768499081798</v>
      </c>
      <c r="AJ9801">
        <v>80.522639974296496</v>
      </c>
      <c r="AK9801">
        <v>96.716051326363697</v>
      </c>
      <c r="AL9801">
        <v>92.927000001197698</v>
      </c>
      <c r="AM9801">
        <v>91.252482703516904</v>
      </c>
      <c r="AN9801">
        <v>1.0000000025064399</v>
      </c>
    </row>
    <row r="9802" spans="1:40" x14ac:dyDescent="0.25">
      <c r="A9802" t="str">
        <f>"20190303154032261"</f>
        <v>20190303154032261</v>
      </c>
      <c r="B9802" t="str">
        <f>"1551598832258275"</f>
        <v>1551598832258275</v>
      </c>
      <c r="C9802" t="s">
        <v>40</v>
      </c>
      <c r="D9802">
        <v>4.4606820000000003</v>
      </c>
      <c r="E9802">
        <v>0.57944099999999998</v>
      </c>
      <c r="F9802" t="s">
        <v>43</v>
      </c>
      <c r="G9802">
        <v>-168.91</v>
      </c>
      <c r="H9802">
        <v>-0.05</v>
      </c>
      <c r="I9802">
        <v>199.01900000000001</v>
      </c>
      <c r="J9802">
        <v>-187.81290000000001</v>
      </c>
      <c r="K9802">
        <v>1.121062</v>
      </c>
      <c r="L9802">
        <v>88.942049999999995</v>
      </c>
      <c r="M9802">
        <v>-8.7493499999999995E-3</v>
      </c>
      <c r="N9802">
        <v>-1.5059100000000001E-2</v>
      </c>
      <c r="O9802">
        <v>0.99984830000000002</v>
      </c>
      <c r="P9802">
        <v>-3.0460109999999999E-2</v>
      </c>
      <c r="Q9802">
        <v>-6.7088430000000004E-2</v>
      </c>
      <c r="R9802">
        <v>0.997282</v>
      </c>
      <c r="S9802">
        <v>0.51763919999999997</v>
      </c>
      <c r="T9802">
        <v>-3.207219E-2</v>
      </c>
      <c r="U9802">
        <v>3.02182</v>
      </c>
      <c r="V9802">
        <v>-2.175384E-2</v>
      </c>
      <c r="W9802">
        <v>-5.2050190000000003E-2</v>
      </c>
      <c r="X9802">
        <v>0.9984075</v>
      </c>
      <c r="Y9802">
        <v>0.17742379999999999</v>
      </c>
      <c r="Z9802">
        <v>4.6186359999999997E-3</v>
      </c>
      <c r="AA9802">
        <v>0.98412370000000005</v>
      </c>
      <c r="AB9802">
        <v>27</v>
      </c>
      <c r="AC9802">
        <v>18.902899999999999</v>
      </c>
      <c r="AD9802">
        <v>-1.171062</v>
      </c>
      <c r="AE9802">
        <v>110.07695</v>
      </c>
      <c r="AF9802">
        <v>19.863203604603498</v>
      </c>
      <c r="AG9802">
        <v>-1.171062</v>
      </c>
      <c r="AH9802">
        <v>109.895247267987</v>
      </c>
      <c r="AI9802">
        <v>90.600796017030106</v>
      </c>
      <c r="AJ9802">
        <v>79.754591421293796</v>
      </c>
      <c r="AK9802">
        <v>111.682064879451</v>
      </c>
      <c r="AL9802">
        <v>92.983604471455706</v>
      </c>
      <c r="AM9802">
        <v>91.248193785649207</v>
      </c>
      <c r="AN9802">
        <v>0.99999999394501504</v>
      </c>
    </row>
    <row r="9803" spans="1:40" x14ac:dyDescent="0.25">
      <c r="A9803" t="str">
        <f>"20190303154032284"</f>
        <v>20190303154032284</v>
      </c>
      <c r="B9803" t="str">
        <f>"1551598832277795"</f>
        <v>1551598832277795</v>
      </c>
      <c r="C9803" t="s">
        <v>40</v>
      </c>
      <c r="D9803">
        <v>4.4645169999999998</v>
      </c>
      <c r="E9803">
        <v>0.58040119999999995</v>
      </c>
      <c r="F9803" t="s">
        <v>43</v>
      </c>
      <c r="G9803">
        <v>-168.6908</v>
      </c>
      <c r="H9803">
        <v>-0.05</v>
      </c>
      <c r="I9803">
        <v>196.10769999999999</v>
      </c>
      <c r="J9803">
        <v>-187.815</v>
      </c>
      <c r="K9803">
        <v>1.1210599999999999</v>
      </c>
      <c r="L9803">
        <v>89.211640000000003</v>
      </c>
      <c r="M9803">
        <v>-8.5310330000000004E-3</v>
      </c>
      <c r="N9803">
        <v>-1.505243E-2</v>
      </c>
      <c r="O9803">
        <v>0.99985029999999997</v>
      </c>
      <c r="P9803">
        <v>-2.9981790000000001E-2</v>
      </c>
      <c r="Q9803">
        <v>-6.7126630000000007E-2</v>
      </c>
      <c r="R9803">
        <v>0.99729389999999996</v>
      </c>
      <c r="S9803">
        <v>0.53930659999999997</v>
      </c>
      <c r="T9803">
        <v>-3.3027889999999997E-2</v>
      </c>
      <c r="U9803">
        <v>3.0224299999999999</v>
      </c>
      <c r="V9803">
        <v>-2.1493370000000001E-2</v>
      </c>
      <c r="W9803">
        <v>-5.2095130000000003E-2</v>
      </c>
      <c r="X9803">
        <v>0.99841080000000004</v>
      </c>
      <c r="Y9803">
        <v>0.18401609999999999</v>
      </c>
      <c r="Z9803">
        <v>4.3159629999999999E-3</v>
      </c>
      <c r="AA9803">
        <v>0.9829137</v>
      </c>
      <c r="AB9803">
        <v>27</v>
      </c>
      <c r="AC9803">
        <v>19.124199999999998</v>
      </c>
      <c r="AD9803">
        <v>-1.17106</v>
      </c>
      <c r="AE9803">
        <v>106.89606000000001</v>
      </c>
      <c r="AF9803">
        <v>20.033211353274702</v>
      </c>
      <c r="AG9803">
        <v>-1.17106</v>
      </c>
      <c r="AH9803">
        <v>106.716591153213</v>
      </c>
      <c r="AI9803">
        <v>90.617920284372801</v>
      </c>
      <c r="AJ9803">
        <v>79.3679748605648</v>
      </c>
      <c r="AK9803">
        <v>108.586977884139</v>
      </c>
      <c r="AL9803">
        <v>92.986182834124705</v>
      </c>
      <c r="AM9803">
        <v>91.233249083225999</v>
      </c>
      <c r="AN9803">
        <v>0.99999999654015703</v>
      </c>
    </row>
    <row r="9804" spans="1:40" x14ac:dyDescent="0.25">
      <c r="A9804" t="str">
        <f>"20190303154032306"</f>
        <v>20190303154032306</v>
      </c>
      <c r="B9804" t="str">
        <f>"1551598832298291"</f>
        <v>1551598832298291</v>
      </c>
      <c r="C9804" t="s">
        <v>40</v>
      </c>
      <c r="D9804">
        <v>4.4741049999999998</v>
      </c>
      <c r="E9804">
        <v>0.58113159999999997</v>
      </c>
      <c r="F9804" t="s">
        <v>43</v>
      </c>
      <c r="G9804">
        <v>-170.273</v>
      </c>
      <c r="H9804">
        <v>-0.05</v>
      </c>
      <c r="I9804">
        <v>185.81309999999999</v>
      </c>
      <c r="J9804">
        <v>-187.81700000000001</v>
      </c>
      <c r="K9804">
        <v>1.1210610000000001</v>
      </c>
      <c r="L9804">
        <v>89.476069999999893</v>
      </c>
      <c r="M9804">
        <v>-8.3165930000000006E-3</v>
      </c>
      <c r="N9804">
        <v>-1.504583E-2</v>
      </c>
      <c r="O9804">
        <v>0.99985219999999997</v>
      </c>
      <c r="P9804">
        <v>-2.93665E-2</v>
      </c>
      <c r="Q9804">
        <v>-6.6586850000000003E-2</v>
      </c>
      <c r="R9804">
        <v>0.99734840000000002</v>
      </c>
      <c r="S9804">
        <v>0.5487976</v>
      </c>
      <c r="T9804">
        <v>-3.6636349999999998E-2</v>
      </c>
      <c r="U9804">
        <v>3.0221559999999998</v>
      </c>
      <c r="V9804">
        <v>-2.1091189999999999E-2</v>
      </c>
      <c r="W9804">
        <v>-5.1561530000000001E-2</v>
      </c>
      <c r="X9804">
        <v>0.99844710000000003</v>
      </c>
      <c r="Y9804">
        <v>0.18680849999999999</v>
      </c>
      <c r="Z9804">
        <v>3.1404190000000002E-3</v>
      </c>
      <c r="AA9804">
        <v>0.98239129999999997</v>
      </c>
      <c r="AB9804">
        <v>26</v>
      </c>
      <c r="AC9804">
        <v>17.544</v>
      </c>
      <c r="AD9804">
        <v>-1.1710609999999999</v>
      </c>
      <c r="AE9804">
        <v>96.337029999999999</v>
      </c>
      <c r="AF9804">
        <v>18.342056396143199</v>
      </c>
      <c r="AG9804">
        <v>-1.1710609999999999</v>
      </c>
      <c r="AH9804">
        <v>96.174019740013705</v>
      </c>
      <c r="AI9804">
        <v>90.685276128068693</v>
      </c>
      <c r="AJ9804">
        <v>79.202367789937995</v>
      </c>
      <c r="AK9804">
        <v>97.914475383660999</v>
      </c>
      <c r="AL9804">
        <v>92.955568589399306</v>
      </c>
      <c r="AM9804">
        <v>91.210135695693893</v>
      </c>
      <c r="AN9804">
        <v>1.0000000205849799</v>
      </c>
    </row>
    <row r="9805" spans="1:40" x14ac:dyDescent="0.25">
      <c r="A9805" t="str">
        <f>"20190303154032328"</f>
        <v>20190303154032328</v>
      </c>
      <c r="B9805" t="str">
        <f>"1551598832317811"</f>
        <v>1551598832317811</v>
      </c>
      <c r="C9805" t="s">
        <v>40</v>
      </c>
      <c r="D9805">
        <v>4.4714390000000002</v>
      </c>
      <c r="E9805">
        <v>0.5817483</v>
      </c>
      <c r="F9805" t="s">
        <v>43</v>
      </c>
      <c r="G9805">
        <v>-169.79050000000001</v>
      </c>
      <c r="H9805">
        <v>-0.05</v>
      </c>
      <c r="I9805">
        <v>187.3562</v>
      </c>
      <c r="J9805">
        <v>-187.81890000000001</v>
      </c>
      <c r="K9805">
        <v>1.121065</v>
      </c>
      <c r="L9805">
        <v>89.733029999999999</v>
      </c>
      <c r="M9805">
        <v>-8.108044E-3</v>
      </c>
      <c r="N9805">
        <v>-1.503937E-2</v>
      </c>
      <c r="O9805">
        <v>0.99985400000000002</v>
      </c>
      <c r="P9805">
        <v>-2.8550320000000001E-2</v>
      </c>
      <c r="Q9805">
        <v>-6.6320130000000005E-2</v>
      </c>
      <c r="R9805">
        <v>0.99738990000000005</v>
      </c>
      <c r="S9805">
        <v>0.55654910000000002</v>
      </c>
      <c r="T9805">
        <v>-3.6155220000000002E-2</v>
      </c>
      <c r="U9805">
        <v>3.0219420000000001</v>
      </c>
      <c r="V9805">
        <v>-2.0482529999999999E-2</v>
      </c>
      <c r="W9805">
        <v>-5.130113E-2</v>
      </c>
      <c r="X9805">
        <v>0.99847319999999995</v>
      </c>
      <c r="Y9805">
        <v>0.18905340000000001</v>
      </c>
      <c r="Z9805">
        <v>3.294703E-3</v>
      </c>
      <c r="AA9805">
        <v>0.98196130000000004</v>
      </c>
      <c r="AB9805">
        <v>26</v>
      </c>
      <c r="AC9805">
        <v>18.028400000000001</v>
      </c>
      <c r="AD9805">
        <v>-1.171065</v>
      </c>
      <c r="AE9805">
        <v>97.623170000000002</v>
      </c>
      <c r="AF9805">
        <v>18.8168113582757</v>
      </c>
      <c r="AG9805">
        <v>-1.171065</v>
      </c>
      <c r="AH9805">
        <v>97.460206872553002</v>
      </c>
      <c r="AI9805">
        <v>90.675941086778707</v>
      </c>
      <c r="AJ9805">
        <v>79.072263655101807</v>
      </c>
      <c r="AK9805">
        <v>99.266992029415206</v>
      </c>
      <c r="AL9805">
        <v>92.940628952592306</v>
      </c>
      <c r="AM9805">
        <v>91.1751922290279</v>
      </c>
      <c r="AN9805">
        <v>1.0000000355463501</v>
      </c>
    </row>
    <row r="9806" spans="1:40" x14ac:dyDescent="0.25">
      <c r="A9806" t="str">
        <f>"20190303154032350"</f>
        <v>20190303154032350</v>
      </c>
      <c r="B9806" t="str">
        <f>"1551598832348067"</f>
        <v>1551598832348067</v>
      </c>
      <c r="C9806" t="s">
        <v>40</v>
      </c>
      <c r="D9806">
        <v>4.4584250000000001</v>
      </c>
      <c r="E9806">
        <v>0.58234849999999905</v>
      </c>
      <c r="F9806" t="s">
        <v>66</v>
      </c>
      <c r="G9806">
        <v>-168.41470000000001</v>
      </c>
      <c r="H9806">
        <v>-2.5175090000000001E-2</v>
      </c>
      <c r="I9806">
        <v>193.75069999999999</v>
      </c>
      <c r="J9806">
        <v>-187.82069999999999</v>
      </c>
      <c r="K9806">
        <v>1.12107</v>
      </c>
      <c r="L9806">
        <v>89.991849999999999</v>
      </c>
      <c r="M9806">
        <v>-7.8977969999999998E-3</v>
      </c>
      <c r="N9806">
        <v>-1.503289E-2</v>
      </c>
      <c r="O9806">
        <v>0.99985579999999996</v>
      </c>
      <c r="P9806">
        <v>-2.806465E-2</v>
      </c>
      <c r="Q9806">
        <v>-6.5395339999999996E-2</v>
      </c>
      <c r="R9806">
        <v>0.99746469999999998</v>
      </c>
      <c r="S9806">
        <v>0.56370540000000002</v>
      </c>
      <c r="T9806">
        <v>-3.3298130000000002E-2</v>
      </c>
      <c r="U9806">
        <v>3.0217900000000002</v>
      </c>
      <c r="V9806">
        <v>-2.020543E-2</v>
      </c>
      <c r="W9806">
        <v>-5.0382059999999999E-2</v>
      </c>
      <c r="X9806">
        <v>0.99852560000000001</v>
      </c>
      <c r="Y9806">
        <v>0.19110389999999999</v>
      </c>
      <c r="Z9806">
        <v>4.2209209999999999E-3</v>
      </c>
      <c r="AA9806">
        <v>0.98156080000000001</v>
      </c>
      <c r="AB9806">
        <v>26</v>
      </c>
      <c r="AC9806">
        <v>19.405999999999899</v>
      </c>
      <c r="AD9806">
        <v>-1.1462450900000001</v>
      </c>
      <c r="AE9806">
        <v>103.75885</v>
      </c>
      <c r="AF9806">
        <v>20.222569014508899</v>
      </c>
      <c r="AG9806">
        <v>-1.1462450900000001</v>
      </c>
      <c r="AH9806">
        <v>103.59011632811099</v>
      </c>
      <c r="AI9806">
        <v>90.6222187490811</v>
      </c>
      <c r="AJ9806">
        <v>78.953804550035599</v>
      </c>
      <c r="AK9806">
        <v>105.551780545022</v>
      </c>
      <c r="AL9806">
        <v>92.887902054325806</v>
      </c>
      <c r="AM9806">
        <v>91.159237069212196</v>
      </c>
      <c r="AN9806">
        <v>0.99999999261334405</v>
      </c>
    </row>
    <row r="9807" spans="1:40" x14ac:dyDescent="0.25">
      <c r="A9807" t="str">
        <f>"20190303154032372"</f>
        <v>20190303154032372</v>
      </c>
      <c r="B9807" t="str">
        <f>"1551598832367587"</f>
        <v>1551598832367587</v>
      </c>
      <c r="C9807" t="s">
        <v>40</v>
      </c>
      <c r="D9807">
        <v>4.4534320000000003</v>
      </c>
      <c r="E9807">
        <v>0.58270149999999998</v>
      </c>
      <c r="F9807" t="s">
        <v>66</v>
      </c>
      <c r="G9807">
        <v>-168.41499999999999</v>
      </c>
      <c r="H9807">
        <v>0.1187725</v>
      </c>
      <c r="I9807">
        <v>192.9014</v>
      </c>
      <c r="J9807">
        <v>-187.82249999999999</v>
      </c>
      <c r="K9807">
        <v>1.1210789999999999</v>
      </c>
      <c r="L9807">
        <v>90.251679999999993</v>
      </c>
      <c r="M9807">
        <v>-7.6871350000000003E-3</v>
      </c>
      <c r="N9807">
        <v>-1.5026390000000001E-2</v>
      </c>
      <c r="O9807">
        <v>0.99985749999999995</v>
      </c>
      <c r="P9807">
        <v>-2.7018259999999999E-2</v>
      </c>
      <c r="Q9807">
        <v>-6.2913659999999996E-2</v>
      </c>
      <c r="R9807">
        <v>0.99765320000000002</v>
      </c>
      <c r="S9807">
        <v>0.56980900000000001</v>
      </c>
      <c r="T9807">
        <v>-2.9429440000000001E-2</v>
      </c>
      <c r="U9807">
        <v>3.0217290000000001</v>
      </c>
      <c r="V9807">
        <v>-1.9366930000000001E-2</v>
      </c>
      <c r="W9807">
        <v>-4.790486E-2</v>
      </c>
      <c r="X9807">
        <v>0.99866410000000005</v>
      </c>
      <c r="Y9807">
        <v>0.19281599999999999</v>
      </c>
      <c r="Z9807">
        <v>5.4748289999999996E-3</v>
      </c>
      <c r="AA9807">
        <v>0.98121959999999997</v>
      </c>
      <c r="AB9807">
        <v>26</v>
      </c>
      <c r="AC9807">
        <v>19.407499999999999</v>
      </c>
      <c r="AD9807">
        <v>-1.0023065</v>
      </c>
      <c r="AE9807">
        <v>102.64972</v>
      </c>
      <c r="AF9807">
        <v>20.194238923335799</v>
      </c>
      <c r="AG9807">
        <v>-1.0023065</v>
      </c>
      <c r="AH9807">
        <v>102.488047241581</v>
      </c>
      <c r="AI9807">
        <v>90.549750320576194</v>
      </c>
      <c r="AJ9807">
        <v>78.8532357448249</v>
      </c>
      <c r="AK9807">
        <v>104.46344686733801</v>
      </c>
      <c r="AL9807">
        <v>92.745797275220497</v>
      </c>
      <c r="AM9807">
        <v>91.110988446295707</v>
      </c>
      <c r="AN9807">
        <v>0.999999969109026</v>
      </c>
    </row>
    <row r="9808" spans="1:40" x14ac:dyDescent="0.25">
      <c r="A9808" t="str">
        <f>"20190303154032396"</f>
        <v>20190303154032396</v>
      </c>
      <c r="B9808" t="str">
        <f>"1551598832388083"</f>
        <v>1551598832388083</v>
      </c>
      <c r="C9808" t="s">
        <v>40</v>
      </c>
      <c r="D9808">
        <v>4.4666889999999997</v>
      </c>
      <c r="E9808">
        <v>0.58307749999999903</v>
      </c>
      <c r="F9808" t="s">
        <v>66</v>
      </c>
      <c r="G9808">
        <v>-168.41540000000001</v>
      </c>
      <c r="H9808">
        <v>0.42319299999999999</v>
      </c>
      <c r="I9808">
        <v>192.2</v>
      </c>
      <c r="J9808">
        <v>-187.8244</v>
      </c>
      <c r="K9808">
        <v>1.1210869999999999</v>
      </c>
      <c r="L9808">
        <v>90.532380000000003</v>
      </c>
      <c r="M9808">
        <v>-7.4594149999999996E-3</v>
      </c>
      <c r="N9808">
        <v>-1.5019380000000001E-2</v>
      </c>
      <c r="O9808">
        <v>0.99985939999999995</v>
      </c>
      <c r="P9808">
        <v>-2.5432079999999999E-2</v>
      </c>
      <c r="Q9808">
        <v>-6.0990740000000002E-2</v>
      </c>
      <c r="R9808">
        <v>0.99781430000000004</v>
      </c>
      <c r="S9808">
        <v>0.57514949999999998</v>
      </c>
      <c r="T9808">
        <v>-2.0681499999999998E-2</v>
      </c>
      <c r="U9808">
        <v>3.0213320000000001</v>
      </c>
      <c r="V9808">
        <v>-1.8006609999999999E-2</v>
      </c>
      <c r="W9808">
        <v>-4.5987550000000002E-2</v>
      </c>
      <c r="X9808">
        <v>0.99877969999999905</v>
      </c>
      <c r="Y9808">
        <v>0.1942903</v>
      </c>
      <c r="Z9808">
        <v>8.3111929999999997E-3</v>
      </c>
      <c r="AA9808">
        <v>0.98090889999999997</v>
      </c>
      <c r="AB9808">
        <v>26</v>
      </c>
      <c r="AC9808">
        <v>19.408999999999899</v>
      </c>
      <c r="AD9808">
        <v>-0.69789400000000001</v>
      </c>
      <c r="AE9808">
        <v>101.66762</v>
      </c>
      <c r="AF9808">
        <v>20.166009563526501</v>
      </c>
      <c r="AG9808">
        <v>-0.69789400000000001</v>
      </c>
      <c r="AH9808">
        <v>101.51537937723501</v>
      </c>
      <c r="AI9808">
        <v>90.386339771130594</v>
      </c>
      <c r="AJ9808">
        <v>78.764472285152493</v>
      </c>
      <c r="AK9808">
        <v>103.501339352955</v>
      </c>
      <c r="AL9808">
        <v>92.635822169838804</v>
      </c>
      <c r="AM9808">
        <v>91.032851388293693</v>
      </c>
      <c r="AN9808">
        <v>0.99999999094539205</v>
      </c>
    </row>
    <row r="9809" spans="1:40" x14ac:dyDescent="0.25">
      <c r="A9809" t="str">
        <f>"20190303154032417"</f>
        <v>20190303154032417</v>
      </c>
      <c r="B9809" t="str">
        <f>"1551598832407603"</f>
        <v>1551598832407603</v>
      </c>
      <c r="C9809" t="s">
        <v>40</v>
      </c>
      <c r="D9809">
        <v>4.4264609999999998</v>
      </c>
      <c r="E9809">
        <v>0.58338299999999998</v>
      </c>
      <c r="F9809" t="s">
        <v>66</v>
      </c>
      <c r="G9809">
        <v>-169.40010000000001</v>
      </c>
      <c r="H9809">
        <v>0.66999439999999999</v>
      </c>
      <c r="I9809">
        <v>186.0128</v>
      </c>
      <c r="J9809">
        <v>-187.8261</v>
      </c>
      <c r="K9809">
        <v>1.1210880000000001</v>
      </c>
      <c r="L9809">
        <v>90.780429999999996</v>
      </c>
      <c r="M9809">
        <v>-7.2582489999999996E-3</v>
      </c>
      <c r="N9809">
        <v>-1.5013179999999999E-2</v>
      </c>
      <c r="O9809">
        <v>0.99986090000000005</v>
      </c>
      <c r="P9809">
        <v>-2.3916730000000001E-2</v>
      </c>
      <c r="Q9809">
        <v>-6.0820270000000003E-2</v>
      </c>
      <c r="R9809">
        <v>0.99786220000000003</v>
      </c>
      <c r="S9809">
        <v>0.58285520000000002</v>
      </c>
      <c r="T9809">
        <v>-1.426935E-2</v>
      </c>
      <c r="U9809">
        <v>3.0205380000000002</v>
      </c>
      <c r="V9809">
        <v>-1.6691299999999999E-2</v>
      </c>
      <c r="W9809">
        <v>-4.5823349999999999E-2</v>
      </c>
      <c r="X9809">
        <v>0.99881010000000003</v>
      </c>
      <c r="Y9809">
        <v>0.19655249999999999</v>
      </c>
      <c r="Z9809">
        <v>1.0388909999999999E-2</v>
      </c>
      <c r="AA9809">
        <v>0.98043829999999998</v>
      </c>
      <c r="AB9809">
        <v>26</v>
      </c>
      <c r="AC9809">
        <v>18.425999999999899</v>
      </c>
      <c r="AD9809">
        <v>-0.45109359999999898</v>
      </c>
      <c r="AE9809">
        <v>95.232370000000003</v>
      </c>
      <c r="AF9809">
        <v>19.116399288796199</v>
      </c>
      <c r="AG9809">
        <v>-0.45109359999999898</v>
      </c>
      <c r="AH9809">
        <v>95.094048669611496</v>
      </c>
      <c r="AI9809">
        <v>90.266458909633698</v>
      </c>
      <c r="AJ9809">
        <v>78.633540849734501</v>
      </c>
      <c r="AK9809">
        <v>96.997516976379799</v>
      </c>
      <c r="AL9809">
        <v>92.626404257383498</v>
      </c>
      <c r="AM9809">
        <v>90.957391235554596</v>
      </c>
      <c r="AN9809">
        <v>0.99999999738146095</v>
      </c>
    </row>
    <row r="9810" spans="1:40" x14ac:dyDescent="0.25">
      <c r="A9810" t="str">
        <f>"20190303154032439"</f>
        <v>20190303154032439</v>
      </c>
      <c r="B9810" t="str">
        <f>"1551598832428099"</f>
        <v>1551598832428099</v>
      </c>
      <c r="C9810" t="s">
        <v>40</v>
      </c>
      <c r="D9810">
        <v>4.5902139999999996</v>
      </c>
      <c r="E9810">
        <v>0.58338269999999903</v>
      </c>
      <c r="F9810" t="s">
        <v>66</v>
      </c>
      <c r="G9810">
        <v>-169.40049999999999</v>
      </c>
      <c r="H9810">
        <v>0.72068769999999904</v>
      </c>
      <c r="I9810">
        <v>185.17359999999999</v>
      </c>
      <c r="J9810">
        <v>-187.82769999999999</v>
      </c>
      <c r="K9810">
        <v>1.1210819999999999</v>
      </c>
      <c r="L9810">
        <v>91.04034</v>
      </c>
      <c r="M9810">
        <v>-7.0473410000000004E-3</v>
      </c>
      <c r="N9810">
        <v>-1.5006749999999999E-2</v>
      </c>
      <c r="O9810">
        <v>0.99986260000000005</v>
      </c>
      <c r="P9810">
        <v>-2.1675960000000001E-2</v>
      </c>
      <c r="Q9810">
        <v>-6.0877649999999998E-2</v>
      </c>
      <c r="R9810">
        <v>0.99790979999999996</v>
      </c>
      <c r="S9810">
        <v>0.58946229999999999</v>
      </c>
      <c r="T9810">
        <v>-1.280832E-2</v>
      </c>
      <c r="U9810">
        <v>3.0197750000000001</v>
      </c>
      <c r="V9810">
        <v>-1.4660889999999999E-2</v>
      </c>
      <c r="W9810">
        <v>-4.5887549999999999E-2</v>
      </c>
      <c r="X9810">
        <v>0.99883900000000003</v>
      </c>
      <c r="Y9810">
        <v>0.1984581</v>
      </c>
      <c r="Z9810">
        <v>1.0857459999999999E-2</v>
      </c>
      <c r="AA9810">
        <v>0.98004930000000001</v>
      </c>
      <c r="AB9810">
        <v>26</v>
      </c>
      <c r="AC9810">
        <v>18.427199999999999</v>
      </c>
      <c r="AD9810">
        <v>-0.40039429999999998</v>
      </c>
      <c r="AE9810">
        <v>94.133260000000007</v>
      </c>
      <c r="AF9810">
        <v>19.0898735329685</v>
      </c>
      <c r="AG9810">
        <v>-0.40039429999999998</v>
      </c>
      <c r="AH9810">
        <v>93.999406613828896</v>
      </c>
      <c r="AI9810">
        <v>90.2391700119326</v>
      </c>
      <c r="AJ9810">
        <v>78.520207314688506</v>
      </c>
      <c r="AK9810">
        <v>95.919091065606693</v>
      </c>
      <c r="AL9810">
        <v>92.630086569740399</v>
      </c>
      <c r="AM9810">
        <v>90.840923116263696</v>
      </c>
      <c r="AN9810">
        <v>0.99999997843079702</v>
      </c>
    </row>
    <row r="9811" spans="1:40" x14ac:dyDescent="0.25">
      <c r="A9811" t="str">
        <f>"20190303154032461"</f>
        <v>20190303154032461</v>
      </c>
      <c r="B9811" t="str">
        <f>"1551598832458356"</f>
        <v>1551598832458356</v>
      </c>
      <c r="C9811" t="s">
        <v>40</v>
      </c>
      <c r="D9811">
        <v>4.540324</v>
      </c>
      <c r="E9811">
        <v>0.58350249999999904</v>
      </c>
      <c r="F9811" t="s">
        <v>66</v>
      </c>
      <c r="G9811">
        <v>-169.39930000000001</v>
      </c>
      <c r="H9811">
        <v>0.72322229999999998</v>
      </c>
      <c r="I9811">
        <v>184.3835</v>
      </c>
      <c r="J9811">
        <v>-187.82919999999999</v>
      </c>
      <c r="K9811">
        <v>1.121086</v>
      </c>
      <c r="L9811">
        <v>91.290949999999995</v>
      </c>
      <c r="M9811">
        <v>-6.8435850000000001E-3</v>
      </c>
      <c r="N9811">
        <v>-1.5000640000000001E-2</v>
      </c>
      <c r="O9811">
        <v>0.99986399999999998</v>
      </c>
      <c r="P9811">
        <v>-2.012601E-2</v>
      </c>
      <c r="Q9811">
        <v>-6.0802309999999998E-2</v>
      </c>
      <c r="R9811">
        <v>0.99794689999999997</v>
      </c>
      <c r="S9811">
        <v>0.59591669999999997</v>
      </c>
      <c r="T9811">
        <v>-1.2864469999999999E-2</v>
      </c>
      <c r="U9811">
        <v>3.0184329999999999</v>
      </c>
      <c r="V9811">
        <v>-1.3313510000000001E-2</v>
      </c>
      <c r="W9811">
        <v>-4.581855E-2</v>
      </c>
      <c r="X9811">
        <v>0.99886109999999995</v>
      </c>
      <c r="Y9811">
        <v>0.2003576</v>
      </c>
      <c r="Z9811">
        <v>1.083276E-2</v>
      </c>
      <c r="AA9811">
        <v>0.97966299999999995</v>
      </c>
      <c r="AB9811">
        <v>26</v>
      </c>
      <c r="AC9811">
        <v>18.4298999999999</v>
      </c>
      <c r="AD9811">
        <v>-0.39786369999999899</v>
      </c>
      <c r="AE9811">
        <v>93.092550000000003</v>
      </c>
      <c r="AF9811">
        <v>19.066291702386</v>
      </c>
      <c r="AG9811">
        <v>-0.39786369999999899</v>
      </c>
      <c r="AH9811">
        <v>92.962594722454398</v>
      </c>
      <c r="AI9811">
        <v>90.240214302577201</v>
      </c>
      <c r="AJ9811">
        <v>78.409574388894697</v>
      </c>
      <c r="AK9811">
        <v>94.898502582156496</v>
      </c>
      <c r="AL9811">
        <v>92.626128828373496</v>
      </c>
      <c r="AM9811">
        <v>90.763632467381996</v>
      </c>
      <c r="AN9811">
        <v>1.0000000430829099</v>
      </c>
    </row>
    <row r="9812" spans="1:40" x14ac:dyDescent="0.25">
      <c r="A9812" t="str">
        <f>"20190303154032484"</f>
        <v>20190303154032484</v>
      </c>
      <c r="B9812" t="str">
        <f>"1551598832477875"</f>
        <v>1551598832477875</v>
      </c>
      <c r="C9812" t="s">
        <v>40</v>
      </c>
      <c r="D9812">
        <v>4.5628299999999999</v>
      </c>
      <c r="E9812">
        <v>0.58354379999999995</v>
      </c>
      <c r="F9812" t="s">
        <v>66</v>
      </c>
      <c r="G9812">
        <v>-169.26310000000001</v>
      </c>
      <c r="H9812">
        <v>0.63930640000000005</v>
      </c>
      <c r="I9812">
        <v>184.38339999999999</v>
      </c>
      <c r="J9812">
        <v>-187.83080000000001</v>
      </c>
      <c r="K9812">
        <v>1.121092</v>
      </c>
      <c r="L9812">
        <v>91.56232</v>
      </c>
      <c r="M9812">
        <v>-6.6226879999999998E-3</v>
      </c>
      <c r="N9812">
        <v>-1.4993970000000001E-2</v>
      </c>
      <c r="O9812">
        <v>0.99986569999999997</v>
      </c>
      <c r="P9812">
        <v>-1.9847900000000002E-2</v>
      </c>
      <c r="Q9812">
        <v>-6.054818E-2</v>
      </c>
      <c r="R9812">
        <v>0.99796790000000002</v>
      </c>
      <c r="S9812">
        <v>0.60177609999999904</v>
      </c>
      <c r="T9812">
        <v>-1.5614629999999999E-2</v>
      </c>
      <c r="U9812">
        <v>3.0173649999999999</v>
      </c>
      <c r="V9812">
        <v>-1.325603E-2</v>
      </c>
      <c r="W9812">
        <v>-4.5570930000000003E-2</v>
      </c>
      <c r="X9812">
        <v>0.99887320000000002</v>
      </c>
      <c r="Y9812">
        <v>0.2020373</v>
      </c>
      <c r="Z9812">
        <v>9.9327530000000008E-3</v>
      </c>
      <c r="AA9812">
        <v>0.97932739999999996</v>
      </c>
      <c r="AB9812">
        <v>26</v>
      </c>
      <c r="AC9812">
        <v>18.567699999999999</v>
      </c>
      <c r="AD9812">
        <v>-0.48178559999999898</v>
      </c>
      <c r="AE9812">
        <v>92.821079999999995</v>
      </c>
      <c r="AF9812">
        <v>19.181589960791001</v>
      </c>
      <c r="AG9812">
        <v>-0.48178559999999898</v>
      </c>
      <c r="AH9812">
        <v>92.693660870319206</v>
      </c>
      <c r="AI9812">
        <v>90.291620147668098</v>
      </c>
      <c r="AJ9812">
        <v>78.308502193372405</v>
      </c>
      <c r="AK9812">
        <v>94.658756997596598</v>
      </c>
      <c r="AL9812">
        <v>92.611926392628106</v>
      </c>
      <c r="AM9812">
        <v>90.760326724645196</v>
      </c>
      <c r="AN9812">
        <v>1.0000000508353299</v>
      </c>
    </row>
    <row r="9813" spans="1:40" x14ac:dyDescent="0.25">
      <c r="A9813" t="str">
        <f>"20190303154032507"</f>
        <v>20190303154032507</v>
      </c>
      <c r="B9813" t="str">
        <f>"1551598832498372"</f>
        <v>1551598832498372</v>
      </c>
      <c r="C9813" t="s">
        <v>40</v>
      </c>
      <c r="D9813">
        <v>4.5027850000000003</v>
      </c>
      <c r="E9813">
        <v>0.58344779999999996</v>
      </c>
      <c r="F9813" t="s">
        <v>66</v>
      </c>
      <c r="G9813">
        <v>-169.27629999999999</v>
      </c>
      <c r="H9813">
        <v>0.58059519999999998</v>
      </c>
      <c r="I9813">
        <v>184.3835</v>
      </c>
      <c r="J9813">
        <v>-187.8323</v>
      </c>
      <c r="K9813">
        <v>1.1210929999999999</v>
      </c>
      <c r="L9813">
        <v>91.817809999999994</v>
      </c>
      <c r="M9813">
        <v>-6.415029E-3</v>
      </c>
      <c r="N9813">
        <v>-1.498769E-2</v>
      </c>
      <c r="O9813">
        <v>0.99986710000000001</v>
      </c>
      <c r="P9813">
        <v>-2.0123140000000001E-2</v>
      </c>
      <c r="Q9813">
        <v>-6.0760769999999999E-2</v>
      </c>
      <c r="R9813">
        <v>0.99794950000000004</v>
      </c>
      <c r="S9813">
        <v>0.60308839999999997</v>
      </c>
      <c r="T9813">
        <v>-1.7567039999999999E-2</v>
      </c>
      <c r="U9813">
        <v>3.017029</v>
      </c>
      <c r="V9813">
        <v>-1.373838E-2</v>
      </c>
      <c r="W9813">
        <v>-4.5789870000000003E-2</v>
      </c>
      <c r="X9813">
        <v>0.99885659999999998</v>
      </c>
      <c r="Y9813">
        <v>0.20226469999999999</v>
      </c>
      <c r="Z9813">
        <v>9.2918580000000001E-3</v>
      </c>
      <c r="AA9813">
        <v>0.97928680000000001</v>
      </c>
      <c r="AB9813">
        <v>26</v>
      </c>
      <c r="AC9813">
        <v>18.556000000000001</v>
      </c>
      <c r="AD9813">
        <v>-0.54049780000000003</v>
      </c>
      <c r="AE9813">
        <v>92.565690000000004</v>
      </c>
      <c r="AF9813">
        <v>19.148868733598999</v>
      </c>
      <c r="AG9813">
        <v>-0.54049780000000003</v>
      </c>
      <c r="AH9813">
        <v>92.441704226941496</v>
      </c>
      <c r="AI9813">
        <v>90.328035334310599</v>
      </c>
      <c r="AJ9813">
        <v>78.296961829415693</v>
      </c>
      <c r="AK9813">
        <v>94.405720123463695</v>
      </c>
      <c r="AL9813">
        <v>92.624484021192998</v>
      </c>
      <c r="AM9813">
        <v>90.788002562551398</v>
      </c>
      <c r="AN9813">
        <v>0.99999998132159995</v>
      </c>
    </row>
    <row r="9814" spans="1:40" x14ac:dyDescent="0.25">
      <c r="A9814" t="str">
        <f>"20190303154032529"</f>
        <v>20190303154032529</v>
      </c>
      <c r="B9814" t="str">
        <f>"1551598832517895"</f>
        <v>1551598832517895</v>
      </c>
      <c r="C9814" t="s">
        <v>40</v>
      </c>
      <c r="D9814">
        <v>4.5387700000000004</v>
      </c>
      <c r="E9814">
        <v>0.552706699999999</v>
      </c>
      <c r="F9814" t="s">
        <v>66</v>
      </c>
      <c r="G9814">
        <v>-169.37099999999899</v>
      </c>
      <c r="H9814">
        <v>0.47426309999999999</v>
      </c>
      <c r="I9814">
        <v>184.3835</v>
      </c>
      <c r="J9814">
        <v>-187.83369999999999</v>
      </c>
      <c r="K9814">
        <v>1.121092</v>
      </c>
      <c r="L9814">
        <v>92.075159999999997</v>
      </c>
      <c r="M9814">
        <v>-6.2061520000000004E-3</v>
      </c>
      <c r="N9814">
        <v>-1.4981380000000001E-2</v>
      </c>
      <c r="O9814">
        <v>0.99986850000000005</v>
      </c>
      <c r="P9814">
        <v>-2.1030409999999999E-2</v>
      </c>
      <c r="Q9814">
        <v>-6.1507850000000003E-2</v>
      </c>
      <c r="R9814">
        <v>0.99788500000000002</v>
      </c>
      <c r="S9814">
        <v>0.60171509999999995</v>
      </c>
      <c r="T9814">
        <v>-2.1081329999999999E-2</v>
      </c>
      <c r="U9814">
        <v>3.017029</v>
      </c>
      <c r="V9814">
        <v>-1.4855230000000001E-2</v>
      </c>
      <c r="W9814">
        <v>-4.6543679999999997E-2</v>
      </c>
      <c r="X9814">
        <v>0.99880579999999997</v>
      </c>
      <c r="Y9814">
        <v>0.2016317</v>
      </c>
      <c r="Z9814">
        <v>8.1430740000000001E-3</v>
      </c>
      <c r="AA9814">
        <v>0.97942759999999995</v>
      </c>
      <c r="AB9814">
        <v>26</v>
      </c>
      <c r="AC9814">
        <v>18.462700000000002</v>
      </c>
      <c r="AD9814">
        <v>-0.64682890000000004</v>
      </c>
      <c r="AE9814">
        <v>92.308340000000001</v>
      </c>
      <c r="AF9814">
        <v>19.034389583993701</v>
      </c>
      <c r="AG9814">
        <v>-0.64682890000000004</v>
      </c>
      <c r="AH9814">
        <v>92.187614254925194</v>
      </c>
      <c r="AI9814">
        <v>90.393701593226993</v>
      </c>
      <c r="AJ9814">
        <v>78.333823086617301</v>
      </c>
      <c r="AK9814">
        <v>94.134385834699202</v>
      </c>
      <c r="AL9814">
        <v>92.667720181343697</v>
      </c>
      <c r="AM9814">
        <v>90.852096805828694</v>
      </c>
      <c r="AN9814">
        <v>1.0000000090599599</v>
      </c>
    </row>
    <row r="9815" spans="1:40" x14ac:dyDescent="0.25">
      <c r="A9815" t="str">
        <f>"20190303154032552"</f>
        <v>20190303154032552</v>
      </c>
      <c r="B9815" t="str">
        <f>"1551598832548148"</f>
        <v>1551598832548148</v>
      </c>
      <c r="C9815" t="s">
        <v>40</v>
      </c>
      <c r="D9815">
        <v>4.5367889999999997</v>
      </c>
      <c r="E9815">
        <v>0.53876119999999905</v>
      </c>
      <c r="F9815" t="s">
        <v>42</v>
      </c>
      <c r="G9815">
        <v>-178.61429999999999</v>
      </c>
      <c r="H9815">
        <v>7.9985630000000002E-2</v>
      </c>
      <c r="I9815">
        <v>170.37629999999999</v>
      </c>
      <c r="J9815">
        <v>-187.83500000000001</v>
      </c>
      <c r="K9815">
        <v>1.1210910000000001</v>
      </c>
      <c r="L9815">
        <v>92.331090000000003</v>
      </c>
      <c r="M9815">
        <v>-5.9987560000000001E-3</v>
      </c>
      <c r="N9815">
        <v>-1.4975179999999999E-2</v>
      </c>
      <c r="O9815">
        <v>0.99986989999999998</v>
      </c>
      <c r="P9815">
        <v>-2.139106E-2</v>
      </c>
      <c r="Q9815">
        <v>-6.294574E-2</v>
      </c>
      <c r="R9815">
        <v>0.99778770000000006</v>
      </c>
      <c r="S9815">
        <v>0.35456850000000001</v>
      </c>
      <c r="T9815">
        <v>-4.0039900000000003E-2</v>
      </c>
      <c r="U9815">
        <v>3.0113829999999999</v>
      </c>
      <c r="V9815">
        <v>-1.542379E-2</v>
      </c>
      <c r="W9815">
        <v>-4.7988889999999999E-2</v>
      </c>
      <c r="X9815">
        <v>0.99872879999999997</v>
      </c>
      <c r="Y9815">
        <v>0.1228651</v>
      </c>
      <c r="Z9815">
        <v>1.7819120000000001E-3</v>
      </c>
      <c r="AA9815">
        <v>0.99242180000000002</v>
      </c>
      <c r="AB9815">
        <v>26</v>
      </c>
      <c r="AC9815">
        <v>9.2207000000000203</v>
      </c>
      <c r="AD9815">
        <v>-1.0411053699999999</v>
      </c>
      <c r="AE9815">
        <v>78.045209999999898</v>
      </c>
      <c r="AF9815">
        <v>9.6870606423339591</v>
      </c>
      <c r="AG9815">
        <v>-1.0411053699999999</v>
      </c>
      <c r="AH9815">
        <v>77.974801944618505</v>
      </c>
      <c r="AI9815">
        <v>90.759122384776006</v>
      </c>
      <c r="AJ9815">
        <v>82.918245146542901</v>
      </c>
      <c r="AK9815">
        <v>78.581122304165305</v>
      </c>
      <c r="AL9815">
        <v>92.750617239433595</v>
      </c>
      <c r="AM9815">
        <v>90.884772548639106</v>
      </c>
      <c r="AN9815">
        <v>1.0000000214054099</v>
      </c>
    </row>
    <row r="9816" spans="1:40" x14ac:dyDescent="0.25">
      <c r="A9816" t="str">
        <f>"20190303154032573"</f>
        <v>20190303154032573</v>
      </c>
      <c r="B9816" t="str">
        <f>"1551598832567668"</f>
        <v>1551598832567668</v>
      </c>
      <c r="C9816" t="s">
        <v>40</v>
      </c>
      <c r="D9816">
        <v>4.5234709999999998</v>
      </c>
      <c r="E9816">
        <v>0.53631249999999997</v>
      </c>
      <c r="F9816" t="s">
        <v>68</v>
      </c>
      <c r="G9816">
        <v>-184.95509999999999</v>
      </c>
      <c r="H9816" s="1">
        <v>-4.4269160000000004E-6</v>
      </c>
      <c r="I9816">
        <v>127.9224</v>
      </c>
      <c r="J9816">
        <v>-187.83629999999999</v>
      </c>
      <c r="K9816">
        <v>1.1210880000000001</v>
      </c>
      <c r="L9816">
        <v>92.590549999999993</v>
      </c>
      <c r="M9816">
        <v>-5.7887019999999997E-3</v>
      </c>
      <c r="N9816">
        <v>-1.496893E-2</v>
      </c>
      <c r="O9816">
        <v>0.99987119999999996</v>
      </c>
      <c r="P9816">
        <v>-2.1396559999999998E-2</v>
      </c>
      <c r="Q9816">
        <v>-6.4272280000000001E-2</v>
      </c>
      <c r="R9816">
        <v>0.99770300000000001</v>
      </c>
      <c r="S9816">
        <v>0.2432251</v>
      </c>
      <c r="T9816">
        <v>-9.4682929999999998E-2</v>
      </c>
      <c r="U9816">
        <v>3.00589</v>
      </c>
      <c r="V9816">
        <v>-1.563993E-2</v>
      </c>
      <c r="W9816">
        <v>-4.93228E-2</v>
      </c>
      <c r="X9816">
        <v>0.9986604</v>
      </c>
      <c r="Y9816">
        <v>8.638092E-2</v>
      </c>
      <c r="Z9816">
        <v>-1.6404120000000001E-2</v>
      </c>
      <c r="AA9816">
        <v>0.99612710000000004</v>
      </c>
      <c r="AB9816">
        <v>26</v>
      </c>
      <c r="AC9816">
        <v>2.8812000000000002</v>
      </c>
      <c r="AD9816">
        <v>-1.1210924269160001</v>
      </c>
      <c r="AE9816">
        <v>35.331850000000003</v>
      </c>
      <c r="AF9816">
        <v>3.0826170591243001</v>
      </c>
      <c r="AG9816">
        <v>-1.1210924269160001</v>
      </c>
      <c r="AH9816">
        <v>35.279292504439603</v>
      </c>
      <c r="AI9816">
        <v>91.813207818125207</v>
      </c>
      <c r="AJ9816">
        <v>85.006319787332998</v>
      </c>
      <c r="AK9816">
        <v>35.431452916535903</v>
      </c>
      <c r="AL9816">
        <v>92.827135429195494</v>
      </c>
      <c r="AM9816">
        <v>90.897230661309706</v>
      </c>
      <c r="AN9816">
        <v>0.99999997026920195</v>
      </c>
    </row>
    <row r="9817" spans="1:40" x14ac:dyDescent="0.25">
      <c r="A9817" t="str">
        <f>"20190303154032597"</f>
        <v>20190303154032597</v>
      </c>
      <c r="B9817" t="str">
        <f>"1551598832588163"</f>
        <v>1551598832588163</v>
      </c>
      <c r="C9817" t="s">
        <v>40</v>
      </c>
      <c r="D9817">
        <v>4.5053830000000001</v>
      </c>
      <c r="E9817">
        <v>0.53522360000000002</v>
      </c>
      <c r="F9817" t="s">
        <v>68</v>
      </c>
      <c r="G9817">
        <v>-185.56489999999999</v>
      </c>
      <c r="H9817" s="1">
        <v>-2.5067270000000002E-6</v>
      </c>
      <c r="I9817">
        <v>123.0732</v>
      </c>
      <c r="J9817">
        <v>-187.83770000000001</v>
      </c>
      <c r="K9817">
        <v>1.1210880000000001</v>
      </c>
      <c r="L9817">
        <v>92.867859999999993</v>
      </c>
      <c r="M9817">
        <v>-5.5644229999999998E-3</v>
      </c>
      <c r="N9817">
        <v>-1.496223E-2</v>
      </c>
      <c r="O9817">
        <v>0.9998726</v>
      </c>
      <c r="P9817">
        <v>-2.0158450000000001E-2</v>
      </c>
      <c r="Q9817">
        <v>-6.4984399999999998E-2</v>
      </c>
      <c r="R9817">
        <v>0.99768259999999998</v>
      </c>
      <c r="S9817">
        <v>0.22389220000000001</v>
      </c>
      <c r="T9817">
        <v>-0.1105034</v>
      </c>
      <c r="U9817">
        <v>3.0046080000000002</v>
      </c>
      <c r="V9817">
        <v>-1.4625579999999999E-2</v>
      </c>
      <c r="W9817">
        <v>-5.0042429999999999E-2</v>
      </c>
      <c r="X9817">
        <v>0.99863999999999997</v>
      </c>
      <c r="Y9817">
        <v>7.9810489999999998E-2</v>
      </c>
      <c r="Z9817">
        <v>-2.1683589999999999E-2</v>
      </c>
      <c r="AA9817">
        <v>0.99657419999999997</v>
      </c>
      <c r="AB9817">
        <v>26</v>
      </c>
      <c r="AC9817">
        <v>2.2728000000000099</v>
      </c>
      <c r="AD9817">
        <v>-1.1210905067269901</v>
      </c>
      <c r="AE9817">
        <v>30.20534</v>
      </c>
      <c r="AF9817">
        <v>2.4375199553420499</v>
      </c>
      <c r="AG9817">
        <v>-1.1210905067269901</v>
      </c>
      <c r="AH9817">
        <v>30.150922846379899</v>
      </c>
      <c r="AI9817">
        <v>92.122508168064996</v>
      </c>
      <c r="AJ9817">
        <v>85.378034220009496</v>
      </c>
      <c r="AK9817">
        <v>30.2700593977832</v>
      </c>
      <c r="AL9817">
        <v>92.868418086790001</v>
      </c>
      <c r="AM9817">
        <v>90.839065230120099</v>
      </c>
      <c r="AN9817">
        <v>1.00000000099532</v>
      </c>
    </row>
    <row r="9818" spans="1:40" x14ac:dyDescent="0.25">
      <c r="A9818" t="str">
        <f>"20190303154032619"</f>
        <v>20190303154032619</v>
      </c>
      <c r="B9818" t="str">
        <f>"1551598832607683"</f>
        <v>1551598832607683</v>
      </c>
      <c r="C9818" t="s">
        <v>40</v>
      </c>
      <c r="D9818">
        <v>4.494936</v>
      </c>
      <c r="E9818">
        <v>0.53435299999999997</v>
      </c>
      <c r="F9818" t="s">
        <v>68</v>
      </c>
      <c r="G9818">
        <v>-185.68180000000001</v>
      </c>
      <c r="H9818" s="1">
        <v>-2.1455110000000001E-6</v>
      </c>
      <c r="I9818">
        <v>122.444</v>
      </c>
      <c r="J9818">
        <v>-187.83879999999999</v>
      </c>
      <c r="K9818">
        <v>1.1210770000000001</v>
      </c>
      <c r="L9818">
        <v>93.11694</v>
      </c>
      <c r="M9818">
        <v>-5.3635480000000001E-3</v>
      </c>
      <c r="N9818">
        <v>-1.4956199999999999E-2</v>
      </c>
      <c r="O9818">
        <v>0.99987380000000003</v>
      </c>
      <c r="P9818">
        <v>-1.8883549999999999E-2</v>
      </c>
      <c r="Q9818">
        <v>-6.5520380000000003E-2</v>
      </c>
      <c r="R9818">
        <v>0.99767260000000002</v>
      </c>
      <c r="S9818">
        <v>0.21896360000000001</v>
      </c>
      <c r="T9818">
        <v>-0.1138661</v>
      </c>
      <c r="U9818">
        <v>3.0039669999999998</v>
      </c>
      <c r="V9818">
        <v>-1.355139E-2</v>
      </c>
      <c r="W9818">
        <v>-5.0585089999999999E-2</v>
      </c>
      <c r="X9818">
        <v>0.99862779999999995</v>
      </c>
      <c r="Y9818">
        <v>7.7997839999999999E-2</v>
      </c>
      <c r="Z9818">
        <v>-2.281685E-2</v>
      </c>
      <c r="AA9818">
        <v>0.99669240000000003</v>
      </c>
      <c r="AB9818">
        <v>26</v>
      </c>
      <c r="AC9818">
        <v>2.15699999999998</v>
      </c>
      <c r="AD9818">
        <v>-1.1210791455110001</v>
      </c>
      <c r="AE9818">
        <v>29.327059999999999</v>
      </c>
      <c r="AF9818">
        <v>2.3109248961483</v>
      </c>
      <c r="AG9818">
        <v>-1.1210791455110001</v>
      </c>
      <c r="AH9818">
        <v>29.2725221998131</v>
      </c>
      <c r="AI9818">
        <v>92.1864459315684</v>
      </c>
      <c r="AJ9818">
        <v>85.486135448430403</v>
      </c>
      <c r="AK9818">
        <v>29.384991888116801</v>
      </c>
      <c r="AL9818">
        <v>92.899549684180201</v>
      </c>
      <c r="AM9818">
        <v>90.777456625707799</v>
      </c>
      <c r="AN9818">
        <v>0.99999998721703898</v>
      </c>
    </row>
    <row r="9819" spans="1:40" x14ac:dyDescent="0.25">
      <c r="A9819" t="str">
        <f>"20190303154032640"</f>
        <v>20190303154032640</v>
      </c>
      <c r="B9819" t="str">
        <f>"1551598832637940"</f>
        <v>1551598832637940</v>
      </c>
      <c r="C9819" t="s">
        <v>40</v>
      </c>
      <c r="D9819">
        <v>4.4973349999999996</v>
      </c>
      <c r="E9819">
        <v>0.53388389999999997</v>
      </c>
      <c r="F9819" t="s">
        <v>68</v>
      </c>
      <c r="G9819">
        <v>-185.7859</v>
      </c>
      <c r="H9819" s="1">
        <v>-1.7095089999999999E-6</v>
      </c>
      <c r="I9819">
        <v>121.65170000000001</v>
      </c>
      <c r="J9819">
        <v>-187.8399</v>
      </c>
      <c r="K9819">
        <v>1.1210709999999999</v>
      </c>
      <c r="L9819">
        <v>93.361850000000004</v>
      </c>
      <c r="M9819">
        <v>-5.1673930000000002E-3</v>
      </c>
      <c r="N9819">
        <v>-1.495027E-2</v>
      </c>
      <c r="O9819">
        <v>0.99987490000000001</v>
      </c>
      <c r="P9819">
        <v>-1.7905620000000001E-2</v>
      </c>
      <c r="Q9819">
        <v>-6.5608020000000003E-2</v>
      </c>
      <c r="R9819">
        <v>0.99768480000000004</v>
      </c>
      <c r="S9819">
        <v>0.21607970000000001</v>
      </c>
      <c r="T9819">
        <v>-0.11799659999999999</v>
      </c>
      <c r="U9819">
        <v>3.0033569999999998</v>
      </c>
      <c r="V9819">
        <v>-1.2768959999999999E-2</v>
      </c>
      <c r="W9819">
        <v>-5.0678910000000001E-2</v>
      </c>
      <c r="X9819">
        <v>0.9986334</v>
      </c>
      <c r="Y9819">
        <v>7.6862159999999999E-2</v>
      </c>
      <c r="Z9819">
        <v>-2.4202649999999999E-2</v>
      </c>
      <c r="AA9819">
        <v>0.99674790000000002</v>
      </c>
      <c r="AB9819">
        <v>26</v>
      </c>
      <c r="AC9819">
        <v>2.0539999999999998</v>
      </c>
      <c r="AD9819">
        <v>-1.1210727095089901</v>
      </c>
      <c r="AE9819">
        <v>28.289850000000001</v>
      </c>
      <c r="AF9819">
        <v>2.19674203956097</v>
      </c>
      <c r="AG9819">
        <v>-1.1210727095089901</v>
      </c>
      <c r="AH9819">
        <v>28.234750275168601</v>
      </c>
      <c r="AI9819">
        <v>92.2669152046862</v>
      </c>
      <c r="AJ9819">
        <v>85.551191293937904</v>
      </c>
      <c r="AK9819">
        <v>28.342258249996899</v>
      </c>
      <c r="AL9819">
        <v>92.904931944965099</v>
      </c>
      <c r="AM9819">
        <v>90.732568778298003</v>
      </c>
      <c r="AN9819">
        <v>1.0000000329269101</v>
      </c>
    </row>
    <row r="9820" spans="1:40" x14ac:dyDescent="0.25">
      <c r="A9820" t="str">
        <f>"20190303154032663"</f>
        <v>20190303154032663</v>
      </c>
      <c r="B9820" t="str">
        <f>"1551598832657460"</f>
        <v>1551598832657460</v>
      </c>
      <c r="C9820" t="s">
        <v>40</v>
      </c>
      <c r="D9820">
        <v>4.5292409999999999</v>
      </c>
      <c r="E9820">
        <v>0.53369730000000004</v>
      </c>
      <c r="F9820" t="s">
        <v>68</v>
      </c>
      <c r="G9820">
        <v>-185.82679999999999</v>
      </c>
      <c r="H9820" s="1">
        <v>-1.6351889999999999E-6</v>
      </c>
      <c r="I9820">
        <v>121.4363</v>
      </c>
      <c r="J9820">
        <v>-187.84100000000001</v>
      </c>
      <c r="K9820">
        <v>1.121075</v>
      </c>
      <c r="L9820">
        <v>93.61215</v>
      </c>
      <c r="M9820">
        <v>-4.9701390000000002E-3</v>
      </c>
      <c r="N9820">
        <v>-1.4944209999999999E-2</v>
      </c>
      <c r="O9820">
        <v>0.99987599999999999</v>
      </c>
      <c r="P9820">
        <v>-1.7072070000000002E-2</v>
      </c>
      <c r="Q9820">
        <v>-6.5751820000000002E-2</v>
      </c>
      <c r="R9820">
        <v>0.99768999999999997</v>
      </c>
      <c r="S9820">
        <v>0.215332</v>
      </c>
      <c r="T9820">
        <v>-0.11991350000000001</v>
      </c>
      <c r="U9820">
        <v>3.0029300000000001</v>
      </c>
      <c r="V9820">
        <v>-1.2132209999999999E-2</v>
      </c>
      <c r="W9820">
        <v>-5.0829079999999999E-2</v>
      </c>
      <c r="X9820">
        <v>0.99863369999999996</v>
      </c>
      <c r="Y9820">
        <v>7.6427419999999996E-2</v>
      </c>
      <c r="Z9820">
        <v>-2.4850839999999999E-2</v>
      </c>
      <c r="AA9820">
        <v>0.99676540000000002</v>
      </c>
      <c r="AB9820">
        <v>26</v>
      </c>
      <c r="AC9820">
        <v>2.0141999999999798</v>
      </c>
      <c r="AD9820">
        <v>-1.121076635189</v>
      </c>
      <c r="AE9820">
        <v>27.824149999999999</v>
      </c>
      <c r="AF9820">
        <v>2.1490099251791199</v>
      </c>
      <c r="AG9820">
        <v>-1.121076635189</v>
      </c>
      <c r="AH9820">
        <v>27.768949053103199</v>
      </c>
      <c r="AI9820">
        <v>92.304981718760203</v>
      </c>
      <c r="AJ9820">
        <v>85.574759809583597</v>
      </c>
      <c r="AK9820">
        <v>27.874532964595598</v>
      </c>
      <c r="AL9820">
        <v>92.913547174531104</v>
      </c>
      <c r="AM9820">
        <v>90.696041234704296</v>
      </c>
      <c r="AN9820">
        <v>1.0000000263344</v>
      </c>
    </row>
    <row r="9821" spans="1:40" x14ac:dyDescent="0.25">
      <c r="A9821" t="str">
        <f>"20190303154032685"</f>
        <v>20190303154032685</v>
      </c>
      <c r="B9821" t="str">
        <f>"1551598832677955"</f>
        <v>1551598832677955</v>
      </c>
      <c r="C9821" t="s">
        <v>40</v>
      </c>
      <c r="D9821">
        <v>4.5041890000000002</v>
      </c>
      <c r="E9821">
        <v>0.53356729999999997</v>
      </c>
      <c r="F9821" t="s">
        <v>68</v>
      </c>
      <c r="G9821">
        <v>-185.83340000000001</v>
      </c>
      <c r="H9821" s="1">
        <v>-1.6474469999999999E-6</v>
      </c>
      <c r="I9821">
        <v>121.48390000000001</v>
      </c>
      <c r="J9821">
        <v>-187.84200000000001</v>
      </c>
      <c r="K9821">
        <v>1.121086</v>
      </c>
      <c r="L9821">
        <v>93.868319999999997</v>
      </c>
      <c r="M9821">
        <v>-4.7727100000000003E-3</v>
      </c>
      <c r="N9821">
        <v>-1.493799E-2</v>
      </c>
      <c r="O9821">
        <v>0.99987700000000002</v>
      </c>
      <c r="P9821">
        <v>-1.6257979999999998E-2</v>
      </c>
      <c r="Q9821">
        <v>-6.5254489999999998E-2</v>
      </c>
      <c r="R9821">
        <v>0.99773619999999996</v>
      </c>
      <c r="S9821">
        <v>0.2162781</v>
      </c>
      <c r="T9821">
        <v>-0.1207761</v>
      </c>
      <c r="U9821">
        <v>3.0026860000000002</v>
      </c>
      <c r="V9821">
        <v>-1.151392E-2</v>
      </c>
      <c r="W9821">
        <v>-5.0337760000000002E-2</v>
      </c>
      <c r="X9821">
        <v>0.9986659</v>
      </c>
      <c r="Y9821">
        <v>7.6548030000000003E-2</v>
      </c>
      <c r="Z9821">
        <v>-2.514572E-2</v>
      </c>
      <c r="AA9821">
        <v>0.99674870000000004</v>
      </c>
      <c r="AB9821">
        <v>26</v>
      </c>
      <c r="AC9821">
        <v>2.0085999999999999</v>
      </c>
      <c r="AD9821">
        <v>-1.121087647447</v>
      </c>
      <c r="AE9821">
        <v>27.615580000000001</v>
      </c>
      <c r="AF9821">
        <v>2.1368898128987199</v>
      </c>
      <c r="AG9821">
        <v>-1.121087647447</v>
      </c>
      <c r="AH9821">
        <v>27.5604957758752</v>
      </c>
      <c r="AI9821">
        <v>92.322393171489097</v>
      </c>
      <c r="AJ9821">
        <v>85.566469242984496</v>
      </c>
      <c r="AK9821">
        <v>27.665936871860399</v>
      </c>
      <c r="AL9821">
        <v>92.885360547084602</v>
      </c>
      <c r="AM9821">
        <v>90.660551035000694</v>
      </c>
      <c r="AN9821">
        <v>1.0000000201291901</v>
      </c>
    </row>
    <row r="9822" spans="1:40" x14ac:dyDescent="0.25">
      <c r="A9822" t="str">
        <f>"20190303154032707"</f>
        <v>20190303154032707</v>
      </c>
      <c r="B9822" t="str">
        <f>"1551598832697479"</f>
        <v>1551598832697479</v>
      </c>
      <c r="C9822" t="s">
        <v>40</v>
      </c>
      <c r="D9822">
        <v>4.5184470000000001</v>
      </c>
      <c r="E9822">
        <v>0.5334314</v>
      </c>
      <c r="F9822" t="s">
        <v>68</v>
      </c>
      <c r="G9822">
        <v>-185.80969999999999</v>
      </c>
      <c r="H9822" s="1">
        <v>-1.823155E-6</v>
      </c>
      <c r="I9822">
        <v>121.8884</v>
      </c>
      <c r="J9822">
        <v>-187.84299999999999</v>
      </c>
      <c r="K9822">
        <v>1.1211</v>
      </c>
      <c r="L9822">
        <v>94.12012</v>
      </c>
      <c r="M9822">
        <v>-4.5838889999999998E-3</v>
      </c>
      <c r="N9822">
        <v>-1.493182E-2</v>
      </c>
      <c r="O9822">
        <v>0.99987800000000004</v>
      </c>
      <c r="P9822">
        <v>-1.5491309999999999E-2</v>
      </c>
      <c r="Q9822">
        <v>-6.5325229999999998E-2</v>
      </c>
      <c r="R9822">
        <v>0.99774379999999996</v>
      </c>
      <c r="S9822">
        <v>0.21777340000000001</v>
      </c>
      <c r="T9822">
        <v>-0.120130399999999</v>
      </c>
      <c r="U9822">
        <v>3.0025019999999998</v>
      </c>
      <c r="V9822">
        <v>-1.093529E-2</v>
      </c>
      <c r="W9822">
        <v>-5.0414970000000003E-2</v>
      </c>
      <c r="X9822">
        <v>0.99866849999999996</v>
      </c>
      <c r="Y9822">
        <v>7.6858300000000004E-2</v>
      </c>
      <c r="Z9822">
        <v>-2.493925E-2</v>
      </c>
      <c r="AA9822">
        <v>0.99673009999999995</v>
      </c>
      <c r="AB9822">
        <v>26</v>
      </c>
      <c r="AC9822">
        <v>2.0332999999999899</v>
      </c>
      <c r="AD9822">
        <v>-1.1211018231550001</v>
      </c>
      <c r="AE9822">
        <v>27.768280000000001</v>
      </c>
      <c r="AF9822">
        <v>2.1570822104713399</v>
      </c>
      <c r="AG9822">
        <v>-1.1211018231550001</v>
      </c>
      <c r="AH9822">
        <v>27.713733797126199</v>
      </c>
      <c r="AI9822">
        <v>92.309541613982901</v>
      </c>
      <c r="AJ9822">
        <v>85.549389699669405</v>
      </c>
      <c r="AK9822">
        <v>27.820153017886</v>
      </c>
      <c r="AL9822">
        <v>92.889790003609505</v>
      </c>
      <c r="AM9822">
        <v>90.627356250520293</v>
      </c>
      <c r="AN9822">
        <v>1.0000000113298599</v>
      </c>
    </row>
    <row r="9823" spans="1:40" x14ac:dyDescent="0.25">
      <c r="A9823" t="str">
        <f>"20190303154032731"</f>
        <v>20190303154032731</v>
      </c>
      <c r="B9823" t="str">
        <f>"1551598832727732"</f>
        <v>1551598832727732</v>
      </c>
      <c r="C9823" t="s">
        <v>40</v>
      </c>
      <c r="D9823">
        <v>4.5209089999999996</v>
      </c>
      <c r="E9823">
        <v>0.53337369999999995</v>
      </c>
      <c r="F9823" t="s">
        <v>68</v>
      </c>
      <c r="G9823">
        <v>-185.81899999999999</v>
      </c>
      <c r="H9823" s="1">
        <v>-1.806562E-6</v>
      </c>
      <c r="I9823">
        <v>121.8605</v>
      </c>
      <c r="J9823">
        <v>-187.84399999999999</v>
      </c>
      <c r="K9823">
        <v>1.121108</v>
      </c>
      <c r="L9823">
        <v>94.379149999999996</v>
      </c>
      <c r="M9823">
        <v>-4.39741E-3</v>
      </c>
      <c r="N9823">
        <v>-1.492548E-2</v>
      </c>
      <c r="O9823">
        <v>0.99987890000000001</v>
      </c>
      <c r="P9823">
        <v>-1.50195E-2</v>
      </c>
      <c r="Q9823">
        <v>-6.5335409999999997E-2</v>
      </c>
      <c r="R9823">
        <v>0.99775029999999998</v>
      </c>
      <c r="S9823">
        <v>0.21905520000000001</v>
      </c>
      <c r="T9823">
        <v>-0.12133339999999899</v>
      </c>
      <c r="U9823">
        <v>3.0022579999999999</v>
      </c>
      <c r="V9823">
        <v>-1.064909E-2</v>
      </c>
      <c r="W9823">
        <v>-5.0431669999999998E-2</v>
      </c>
      <c r="X9823">
        <v>0.99867079999999997</v>
      </c>
      <c r="Y9823">
        <v>7.7100450000000001E-2</v>
      </c>
      <c r="Z9823">
        <v>-2.534674E-2</v>
      </c>
      <c r="AA9823">
        <v>0.99670110000000001</v>
      </c>
      <c r="AB9823">
        <v>25</v>
      </c>
      <c r="AC9823">
        <v>2.0249999999999999</v>
      </c>
      <c r="AD9823">
        <v>-1.121109806562</v>
      </c>
      <c r="AE9823">
        <v>27.481349999999999</v>
      </c>
      <c r="AF9823">
        <v>2.1422945744621602</v>
      </c>
      <c r="AG9823">
        <v>-1.121109806562</v>
      </c>
      <c r="AH9823">
        <v>27.426779798093701</v>
      </c>
      <c r="AI9823">
        <v>92.333645612060806</v>
      </c>
      <c r="AJ9823">
        <v>85.533718408751</v>
      </c>
      <c r="AK9823">
        <v>27.533153893719799</v>
      </c>
      <c r="AL9823">
        <v>92.890747916344296</v>
      </c>
      <c r="AM9823">
        <v>90.610936845826402</v>
      </c>
      <c r="AN9823">
        <v>1.00000006161472</v>
      </c>
    </row>
    <row r="9824" spans="1:40" x14ac:dyDescent="0.25">
      <c r="A9824" t="str">
        <f>"20190303154032753"</f>
        <v>20190303154032753</v>
      </c>
      <c r="B9824" t="str">
        <f>"1551598832748228"</f>
        <v>1551598832748228</v>
      </c>
      <c r="C9824" t="s">
        <v>40</v>
      </c>
      <c r="D9824">
        <v>4.5053609999999997</v>
      </c>
      <c r="E9824">
        <v>0.53334329999999996</v>
      </c>
      <c r="F9824" t="s">
        <v>68</v>
      </c>
      <c r="G9824">
        <v>-185.8235</v>
      </c>
      <c r="H9824" s="1">
        <v>-1.848871E-6</v>
      </c>
      <c r="I9824">
        <v>121.9389</v>
      </c>
      <c r="J9824">
        <v>-187.8449</v>
      </c>
      <c r="K9824">
        <v>1.121116</v>
      </c>
      <c r="L9824">
        <v>94.629000000000005</v>
      </c>
      <c r="M9824">
        <v>-4.225047E-3</v>
      </c>
      <c r="N9824">
        <v>-1.4919389999999999E-2</v>
      </c>
      <c r="O9824">
        <v>0.99987979999999999</v>
      </c>
      <c r="P9824">
        <v>-1.4298470000000001E-2</v>
      </c>
      <c r="Q9824">
        <v>-6.5736279999999994E-2</v>
      </c>
      <c r="R9824">
        <v>0.99773460000000003</v>
      </c>
      <c r="S9824">
        <v>0.22009280000000001</v>
      </c>
      <c r="T9824">
        <v>-0.12212240000000001</v>
      </c>
      <c r="U9824">
        <v>3.002075</v>
      </c>
      <c r="V9824">
        <v>-1.009934E-2</v>
      </c>
      <c r="W9824">
        <v>-5.0839210000000003E-2</v>
      </c>
      <c r="X9824">
        <v>0.99865579999999998</v>
      </c>
      <c r="Y9824">
        <v>7.7274910000000002E-2</v>
      </c>
      <c r="Z9824">
        <v>-2.561619E-2</v>
      </c>
      <c r="AA9824">
        <v>0.99668069999999997</v>
      </c>
      <c r="AB9824">
        <v>25</v>
      </c>
      <c r="AC9824">
        <v>2.0213999999999999</v>
      </c>
      <c r="AD9824">
        <v>-1.1211178488709901</v>
      </c>
      <c r="AE9824">
        <v>27.309899999999999</v>
      </c>
      <c r="AF9824">
        <v>2.1332050265249798</v>
      </c>
      <c r="AG9824">
        <v>-1.1211178488709901</v>
      </c>
      <c r="AH9824">
        <v>27.2554329936942</v>
      </c>
      <c r="AI9824">
        <v>92.348288281011406</v>
      </c>
      <c r="AJ9824">
  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1.0000000144077399</v>
      </c>
    </row>
    <row r="9825" spans="1:40" x14ac:dyDescent="0.25">
      <c r="A9825" t="str">
        <f>"20190303154032765"</f>
        <v>20190303154032765</v>
      </c>
      <c r="B9825" t="str">
        <f>"1551598832757988"</f>
        <v>1551598832757988</v>
      </c>
      <c r="C9825" t="s">
        <v>40</v>
      </c>
      <c r="D9825">
        <v>4.5384399999999996</v>
      </c>
      <c r="E9825">
        <v>0.5333386</v>
      </c>
      <c r="F9825" t="s">
        <v>68</v>
      </c>
      <c r="G9825">
        <v>-185.8227</v>
      </c>
      <c r="H9825" s="1">
        <v>-1.865601E-6</v>
      </c>
      <c r="I9825">
        <v>121.9692</v>
      </c>
      <c r="J9825">
        <v>-187.84540000000001</v>
      </c>
      <c r="K9825">
        <v>1.1211199999999999</v>
      </c>
      <c r="L9825">
        <v>94.786010000000005</v>
      </c>
      <c r="M9825">
        <v>-4.1194209999999998E-3</v>
      </c>
      <c r="N9825">
        <v>-1.4915629999999999E-2</v>
      </c>
      <c r="O9825">
        <v>0.99988030000000006</v>
      </c>
      <c r="P9825">
        <v>-1.37237E-2</v>
      </c>
      <c r="Q9825">
        <v>-6.6087389999999996E-2</v>
      </c>
      <c r="R9825">
        <v>0.99771949999999998</v>
      </c>
      <c r="S9825">
        <v>0.22203059999999999</v>
      </c>
      <c r="T9825">
        <v>-0.12309630000000001</v>
      </c>
      <c r="U9825">
        <v>3.0018919999999998</v>
      </c>
      <c r="V9825">
        <v>-9.6301089999999995E-3</v>
      </c>
      <c r="W9825">
        <v>-5.1194570000000002E-2</v>
      </c>
      <c r="X9825">
        <v>0.99864229999999998</v>
      </c>
      <c r="Y9825">
        <v>7.7812919999999994E-2</v>
      </c>
      <c r="Z9825">
        <v>-2.5943540000000001E-2</v>
      </c>
      <c r="AA9825">
        <v>0.99663040000000003</v>
      </c>
      <c r="AB9825">
        <v>25</v>
      </c>
      <c r="AC9825">
        <v>2.0227000000000102</v>
      </c>
      <c r="AD9825">
        <v>-1.121121865601</v>
      </c>
      <c r="AE9825">
        <v>27.18319</v>
      </c>
      <c r="AF9825">
        <v>2.1310692999476601</v>
      </c>
      <c r="AG9825">
        <v>-1.121121865601</v>
      </c>
      <c r="AH9825">
        <v>27.1287340912831</v>
      </c>
      <c r="AI9825">
        <v>92.3591988628867</v>
      </c>
      <c r="AJ9825">
        <v>85.508413660401601</v>
      </c>
      <c r="AK9825">
        <v>27.235392121176702</v>
      </c>
      <c r="AL9825">
        <v>92.934515488200901</v>
      </c>
      <c r="AM9825">
        <v>90.552497625822397</v>
      </c>
      <c r="AN9825">
        <v>1.0000000331730601</v>
      </c>
    </row>
    <row r="9826" spans="1:40" x14ac:dyDescent="0.25">
      <c r="A9826" t="str">
        <f>"20190303154032779"</f>
        <v>20190303154032779</v>
      </c>
      <c r="B9826" t="str">
        <f>"1551598832767748"</f>
        <v>1551598832767748</v>
      </c>
      <c r="C9826" t="s">
        <v>40</v>
      </c>
      <c r="D9826">
        <v>4.5502739999999999</v>
      </c>
      <c r="E9826">
        <v>0.53332400000000002</v>
      </c>
      <c r="F9826" t="s">
        <v>68</v>
      </c>
      <c r="G9826">
        <v>-185.8177</v>
      </c>
      <c r="H9826" s="1">
        <v>-1.884733E-6</v>
      </c>
      <c r="I9826">
        <v>122.00279999999999</v>
      </c>
      <c r="J9826">
        <v>-187.8459</v>
      </c>
      <c r="K9826">
        <v>1.1211249999999999</v>
      </c>
      <c r="L9826">
        <v>94.931209999999993</v>
      </c>
      <c r="M9826">
        <v>-4.0236530000000003E-3</v>
      </c>
      <c r="N9826">
        <v>-1.4912150000000001E-2</v>
      </c>
      <c r="O9826">
        <v>0.99988069999999896</v>
      </c>
      <c r="P9826">
        <v>-1.370321E-2</v>
      </c>
      <c r="Q9826">
        <v>-6.6240469999999996E-2</v>
      </c>
      <c r="R9826">
        <v>0.99770959999999997</v>
      </c>
      <c r="S9826">
        <v>0.22363279999999999</v>
      </c>
      <c r="T9826">
        <v>-0.12364840000000001</v>
      </c>
      <c r="U9826">
        <v>3.0017399999999999</v>
      </c>
      <c r="V9826">
        <v>-9.7047929999999998E-3</v>
      </c>
      <c r="W9826">
        <v>-5.1351269999999997E-2</v>
      </c>
      <c r="X9826">
        <v>0.99863349999999995</v>
      </c>
      <c r="Y9826">
        <v>7.8249559999999996E-2</v>
      </c>
      <c r="Z9826">
        <v>-2.6130649999999998E-2</v>
      </c>
      <c r="AA9826">
        <v>0.99659129999999996</v>
      </c>
      <c r="AB9826">
        <v>25</v>
      </c>
      <c r="AC9826">
        <v>2.0281999999999898</v>
      </c>
      <c r="AD9826">
        <v>-1.12112688473299</v>
      </c>
      <c r="AE9826">
        <v>27.07159</v>
      </c>
      <c r="AF9826">
        <v>2.1334837254464398</v>
      </c>
      <c r="AG9826">
        <v>-1.12112688473299</v>
      </c>
      <c r="AH9826">
        <v>27.017131473112801</v>
      </c>
      <c r="AI9826">
        <v>92.368867124249306</v>
      </c>
      <c r="AJ9826">
        <v>85.484847538999503</v>
      </c>
      <c r="AK9826">
        <v>27.1244183593654</v>
      </c>
      <c r="AL9826">
        <v>92.943505654323999</v>
      </c>
      <c r="AM9826">
        <v>90.556787025982004</v>
      </c>
      <c r="AN9826">
        <v>1.0000000016300099</v>
      </c>
    </row>
    <row r="9827" spans="1:40" x14ac:dyDescent="0.25">
      <c r="A9827" t="str">
        <f>"20190303154032798"</f>
        <v>20190303154032798</v>
      </c>
      <c r="B9827" t="str">
        <f>"1551598832788247"</f>
        <v>1551598832788247</v>
      </c>
      <c r="C9827" t="s">
        <v>40</v>
      </c>
      <c r="D9827">
        <v>4.6021429999999999</v>
      </c>
      <c r="E9827">
        <v>0.53259199999999995</v>
      </c>
      <c r="F9827" t="s">
        <v>68</v>
      </c>
      <c r="G9827">
        <v>-185.81829999999999</v>
      </c>
      <c r="H9827" s="1">
        <v>-1.965013E-6</v>
      </c>
      <c r="I9827">
        <v>122.1494</v>
      </c>
      <c r="J9827">
        <v>-187.8466</v>
      </c>
      <c r="K9827">
        <v>1.121129</v>
      </c>
      <c r="L9827">
        <v>95.150390000000002</v>
      </c>
      <c r="M9827">
        <v>-3.8812679999999998E-3</v>
      </c>
      <c r="N9827">
        <v>-1.4906910000000001E-2</v>
      </c>
      <c r="O9827">
        <v>0.99988129999999997</v>
      </c>
      <c r="P9827">
        <v>-1.350556E-2</v>
      </c>
      <c r="Q9827">
        <v>-6.671241E-2</v>
      </c>
      <c r="R9827">
        <v>0.99768080000000003</v>
      </c>
      <c r="S9827">
        <v>0.2236176</v>
      </c>
      <c r="T9827">
        <v>-0.123644</v>
      </c>
      <c r="U9827">
        <v>3.00177</v>
      </c>
      <c r="V9827">
        <v>-9.6493180000000005E-3</v>
      </c>
      <c r="W9827">
        <v>-5.1828930000000002E-2</v>
      </c>
      <c r="X9827">
        <v>0.99860939999999998</v>
      </c>
      <c r="Y9827">
        <v>7.8101870000000004E-2</v>
      </c>
      <c r="Z9827">
        <v>-2.6134370000000001E-2</v>
      </c>
      <c r="AA9827">
        <v>0.99660280000000001</v>
      </c>
      <c r="AB9827">
        <v>25</v>
      </c>
      <c r="AC9827">
        <v>2.0283000000000002</v>
      </c>
      <c r="AD9827">
        <v>-1.1211309650129999</v>
      </c>
      <c r="AE9827">
        <v>26.999009999999998</v>
      </c>
      <c r="AF9827">
        <v>2.1294355486837402</v>
      </c>
      <c r="AG9827">
        <v>-1.1211309650129999</v>
      </c>
      <c r="AH9827">
        <v>26.9447328369119</v>
      </c>
      <c r="AI9827">
        <v>92.375221923758005</v>
      </c>
      <c r="AJ9827">
        <v>85.481320589279093</v>
      </c>
      <c r="AK9827">
        <v>27.051988060940499</v>
      </c>
      <c r="AL9827">
        <v>92.970909934090002</v>
      </c>
      <c r="AM9827">
        <v>90.553617851734998</v>
      </c>
      <c r="AN9827">
        <v>1.00000004054558</v>
      </c>
    </row>
    <row r="9828" spans="1:40" x14ac:dyDescent="0.25">
      <c r="A9828" t="str">
        <f>"20190303154032822"</f>
        <v>20190303154032822</v>
      </c>
      <c r="B9828" t="str">
        <f>"1551598832817524"</f>
        <v>1551598832817524</v>
      </c>
      <c r="C9828" t="s">
        <v>40</v>
      </c>
      <c r="D9828">
        <v>4.5026199999999896</v>
      </c>
      <c r="E9828">
        <v>0.52970680000000003</v>
      </c>
      <c r="F9828" t="s">
        <v>68</v>
      </c>
      <c r="G9828">
        <v>-185.8758</v>
      </c>
      <c r="H9828" s="1">
        <v>-2.023568E-6</v>
      </c>
      <c r="I9828">
        <v>122.27079999999999</v>
      </c>
      <c r="J9828">
        <v>-187.84739999999999</v>
      </c>
      <c r="K9828">
        <v>1.1211310000000001</v>
      </c>
      <c r="L9828">
        <v>95.404939999999996</v>
      </c>
      <c r="M9828">
        <v>-3.71865E-3</v>
      </c>
      <c r="N9828">
        <v>-1.490083E-2</v>
      </c>
      <c r="O9828">
        <v>0.99988200000000005</v>
      </c>
      <c r="P9828">
        <v>-1.322511E-2</v>
      </c>
      <c r="Q9828">
        <v>-6.737477E-2</v>
      </c>
      <c r="R9828">
        <v>0.99764010000000003</v>
      </c>
      <c r="S9828">
        <v>0.2181244</v>
      </c>
      <c r="T9828">
        <v>-0.1240851</v>
      </c>
      <c r="U9828">
        <v>3.0016479999999999</v>
      </c>
      <c r="V9828">
        <v>-9.5308919999999991E-3</v>
      </c>
      <c r="W9828">
        <v>-5.2498009999999998E-2</v>
      </c>
      <c r="X9828">
        <v>0.99857560000000001</v>
      </c>
      <c r="Y9828">
        <v>7.6129020000000006E-2</v>
      </c>
      <c r="Z9828">
        <v>-2.6294410000000001E-2</v>
      </c>
      <c r="AA9828">
        <v>0.99675119999999895</v>
      </c>
      <c r="AB9828">
        <v>25</v>
      </c>
      <c r="AC9828">
        <v>1.97159999999999</v>
      </c>
      <c r="AD9828">
        <v>-1.1211330235679999</v>
      </c>
      <c r="AE9828">
        <v>26.865860000000001</v>
      </c>
      <c r="AF9828">
        <v>2.0679202905615601</v>
      </c>
      <c r="AG9828">
        <v>-1.1211330235679999</v>
      </c>
      <c r="AH9828">
        <v>26.811900039862099</v>
      </c>
      <c r="AI9828">
        <v>92.387332257591694</v>
      </c>
      <c r="AJ9828">
        <v>85.589682010980695</v>
      </c>
      <c r="AK9828">
        <v>26.914888395314001</v>
      </c>
      <c r="AL9828">
        <v>93.009297615680296</v>
      </c>
      <c r="AM9828">
        <v>90.546842227447399</v>
      </c>
      <c r="AN9828">
        <v>1.00000005393581</v>
      </c>
    </row>
    <row r="9829" spans="1:40" x14ac:dyDescent="0.25">
      <c r="A9829" t="str">
        <f>"20190303154032841"</f>
        <v>20190303154032841</v>
      </c>
      <c r="B9829" t="str">
        <f>"1551598832838020"</f>
        <v>1551598832838020</v>
      </c>
      <c r="C9829" t="s">
        <v>40</v>
      </c>
      <c r="D9829">
        <v>4.5291709999999998</v>
      </c>
      <c r="E9829">
        <v>0.52757959999999904</v>
      </c>
      <c r="F9829" t="s">
        <v>68</v>
      </c>
      <c r="G9829">
        <v>-186.07669999999999</v>
      </c>
      <c r="H9829" s="1">
        <v>-2.131283E-6</v>
      </c>
      <c r="I9829">
        <v>122.5183</v>
      </c>
      <c r="J9829">
        <v>-187.84809999999999</v>
      </c>
      <c r="K9829">
        <v>1.12113</v>
      </c>
      <c r="L9829">
        <v>95.633179999999996</v>
      </c>
      <c r="M9829">
        <v>-3.5740329999999999E-3</v>
      </c>
      <c r="N9829">
        <v>-1.489537E-2</v>
      </c>
      <c r="O9829">
        <v>0.99988270000000001</v>
      </c>
      <c r="P9829">
        <v>-1.3193979999999999E-2</v>
      </c>
      <c r="Q9829">
        <v>-6.7631750000000004E-2</v>
      </c>
      <c r="R9829">
        <v>0.99762309999999998</v>
      </c>
      <c r="S9829">
        <v>0.19601440000000001</v>
      </c>
      <c r="T9829">
        <v>-0.1241037</v>
      </c>
      <c r="U9829">
        <v>3.001312</v>
      </c>
      <c r="V9829">
        <v>-9.6445609999999994E-3</v>
      </c>
      <c r="W9829">
        <v>-5.2760679999999997E-2</v>
      </c>
      <c r="X9829">
        <v>0.99856060000000002</v>
      </c>
      <c r="Y9829">
        <v>6.8685839999999998E-2</v>
      </c>
      <c r="Z9829">
        <v>-2.6332499999999998E-2</v>
      </c>
      <c r="AA9829">
        <v>0.99729069999999997</v>
      </c>
      <c r="AB9829">
        <v>25</v>
      </c>
      <c r="AC9829">
        <v>1.7714000000000001</v>
      </c>
      <c r="AD9829">
        <v>-1.121132131283</v>
      </c>
      <c r="AE9829">
        <v>26.885119999999901</v>
      </c>
      <c r="AF9829">
        <v>1.86425978764915</v>
      </c>
      <c r="AG9829">
        <v>-1.121132131283</v>
      </c>
      <c r="AH9829">
        <v>26.832158135620698</v>
      </c>
      <c r="AI9829">
        <v>92.386859133677405</v>
      </c>
      <c r="AJ9829">
        <v>86.025558600506997</v>
      </c>
      <c r="AK9829">
        <v>26.920198959639901</v>
      </c>
      <c r="AL9829">
        <v>93.024368579042601</v>
      </c>
      <c r="AM9829">
        <v>90.553371982112495</v>
      </c>
      <c r="AN9829">
        <v>0.99999998939165202</v>
      </c>
    </row>
    <row r="9830" spans="1:40" x14ac:dyDescent="0.25">
      <c r="A9830" t="str">
        <f>"20190303154032855"</f>
        <v>20190303154032855</v>
      </c>
      <c r="B9830" t="str">
        <f>"1551598832847780"</f>
        <v>1551598832847780</v>
      </c>
      <c r="C9830" t="s">
        <v>40</v>
      </c>
      <c r="D9830">
        <v>4.532451</v>
      </c>
      <c r="E9830">
        <v>0.52660189999999996</v>
      </c>
      <c r="F9830" t="s">
        <v>68</v>
      </c>
      <c r="G9830">
        <v>-186.25200000000001</v>
      </c>
      <c r="H9830" s="1">
        <v>-2.026093E-6</v>
      </c>
      <c r="I9830">
        <v>122.371</v>
      </c>
      <c r="J9830">
        <v>-187.8486</v>
      </c>
      <c r="K9830">
        <v>1.1211329999999999</v>
      </c>
      <c r="L9830">
        <v>95.791200000000003</v>
      </c>
      <c r="M9830">
        <v>-3.4740109999999999E-3</v>
      </c>
      <c r="N9830">
        <v>-1.489159E-2</v>
      </c>
      <c r="O9830">
        <v>0.99988310000000002</v>
      </c>
      <c r="P9830">
        <v>-1.326427E-2</v>
      </c>
      <c r="Q9830">
        <v>-6.7816909999999994E-2</v>
      </c>
      <c r="R9830">
        <v>0.99760959999999999</v>
      </c>
      <c r="S9830">
        <v>0.1791382</v>
      </c>
      <c r="T9830">
        <v>-0.12583279999999999</v>
      </c>
      <c r="U9830">
        <v>3.0009769999999998</v>
      </c>
      <c r="V9830">
        <v>-9.8149239999999992E-3</v>
      </c>
      <c r="W9830">
        <v>-5.2949749999999997E-2</v>
      </c>
      <c r="X9830">
        <v>0.99854889999999996</v>
      </c>
      <c r="Y9830">
        <v>6.3006870000000006E-2</v>
      </c>
      <c r="Z9830">
        <v>-2.6929939999999999E-2</v>
      </c>
      <c r="AA9830">
        <v>0.99764969999999997</v>
      </c>
      <c r="AB9830">
        <v>25</v>
      </c>
      <c r="AC9830">
        <v>1.59659999999999</v>
      </c>
      <c r="AD9830">
        <v>-1.121135026093</v>
      </c>
      <c r="AE9830">
        <v>26.579799999999999</v>
      </c>
      <c r="AF9830">
        <v>1.68595034562968</v>
      </c>
      <c r="AG9830">
        <v>-1.121135026093</v>
      </c>
      <c r="AH9830">
        <v>26.527066413861</v>
      </c>
      <c r="AI9830">
        <v>92.415230685301395</v>
      </c>
      <c r="AJ9830">
        <v>86.363409054077195</v>
      </c>
      <c r="AK9830">
        <v>26.6042219363779</v>
      </c>
      <c r="AL9830">
        <v>93.0352167535234</v>
      </c>
      <c r="AM9830">
        <v>90.563152803312605</v>
      </c>
      <c r="AN9830">
        <v>0.99999995722469803</v>
      </c>
    </row>
    <row r="9831" spans="1:40" x14ac:dyDescent="0.25">
      <c r="A9831" t="str">
        <f>"20190303154032870"</f>
        <v>20190303154032870</v>
      </c>
      <c r="B9831" t="str">
        <f>"1551598832857540"</f>
        <v>1551598832857540</v>
      </c>
      <c r="C9831" t="s">
        <v>40</v>
      </c>
      <c r="D9831">
        <v>4.5377970000000003</v>
      </c>
      <c r="E9831">
        <v>0.52567959999999903</v>
      </c>
      <c r="F9831" t="s">
        <v>68</v>
      </c>
      <c r="G9831">
        <v>-186.33860000000001</v>
      </c>
      <c r="H9831" s="1">
        <v>-1.9521380000000001E-6</v>
      </c>
      <c r="I9831">
        <v>122.2581</v>
      </c>
      <c r="J9831">
        <v>-187.84899999999999</v>
      </c>
      <c r="K9831">
        <v>1.1211370000000001</v>
      </c>
      <c r="L9831">
        <v>95.945400000000006</v>
      </c>
      <c r="M9831">
        <v>-3.3763080000000002E-3</v>
      </c>
      <c r="N9831">
        <v>-1.4887879999999999E-2</v>
      </c>
      <c r="O9831">
        <v>0.99988350000000004</v>
      </c>
      <c r="P9831">
        <v>-1.304258E-2</v>
      </c>
      <c r="Q9831">
        <v>-6.8128179999999997E-2</v>
      </c>
      <c r="R9831">
        <v>0.99759129999999996</v>
      </c>
      <c r="S9831">
        <v>0.17120360000000001</v>
      </c>
      <c r="T9831">
        <v>-0.1271148</v>
      </c>
      <c r="U9831">
        <v>3.0008240000000002</v>
      </c>
      <c r="V9831">
        <v>-9.6904859999999999E-3</v>
      </c>
      <c r="W9831">
        <v>-5.326504E-2</v>
      </c>
      <c r="X9831">
        <v>0.99853340000000002</v>
      </c>
      <c r="Y9831">
        <v>6.0283469999999999E-2</v>
      </c>
      <c r="Z9831">
        <v>-2.7368190000000001E-2</v>
      </c>
      <c r="AA9831">
        <v>0.99780599999999997</v>
      </c>
      <c r="AB9831">
        <v>25</v>
      </c>
      <c r="AC9831">
        <v>1.5104</v>
      </c>
      <c r="AD9831">
        <v>-1.121138952138</v>
      </c>
      <c r="AE9831">
        <v>26.3126999999999</v>
      </c>
      <c r="AF9831">
        <v>1.5963524080314</v>
      </c>
      <c r="AG9831">
        <v>-1.121138952138</v>
      </c>
      <c r="AH9831">
        <v>26.2599324122105</v>
      </c>
      <c r="AI9831">
        <v>92.440196457097002</v>
      </c>
      <c r="AJ9831">
        <v>86.521246309880596</v>
      </c>
      <c r="AK9831">
        <v>26.332287098816401</v>
      </c>
      <c r="AL9831">
        <v>93.053306906933202</v>
      </c>
      <c r="AM9831">
        <v>90.556021981432394</v>
      </c>
      <c r="AN9831">
        <v>1.0000000104603299</v>
      </c>
    </row>
    <row r="9832" spans="1:40" x14ac:dyDescent="0.25">
      <c r="A9832" t="str">
        <f>"20190303154032886"</f>
        <v>20190303154032886</v>
      </c>
      <c r="B9832" t="str">
        <f>"1551598832878036"</f>
        <v>1551598832878036</v>
      </c>
      <c r="C9832" t="s">
        <v>40</v>
      </c>
      <c r="D9832">
        <v>4.5520829999999997</v>
      </c>
      <c r="E9832">
        <v>0.52400670000000005</v>
      </c>
      <c r="F9832" t="s">
        <v>68</v>
      </c>
      <c r="G9832">
        <v>-186.41569999999999</v>
      </c>
      <c r="H9832" s="1">
        <v>-1.85835E-6</v>
      </c>
      <c r="I9832">
        <v>122.1066</v>
      </c>
      <c r="J9832">
        <v>-187.84950000000001</v>
      </c>
      <c r="K9832">
        <v>1.12114</v>
      </c>
      <c r="L9832">
        <v>96.144739999999999</v>
      </c>
      <c r="M9832">
        <v>-3.2494730000000001E-3</v>
      </c>
      <c r="N9832">
        <v>-1.488311E-2</v>
      </c>
      <c r="O9832">
        <v>0.99988390000000005</v>
      </c>
      <c r="P9832">
        <v>-1.2274490000000001E-2</v>
      </c>
      <c r="Q9832">
        <v>-6.8141419999999994E-2</v>
      </c>
      <c r="R9832">
        <v>0.99760009999999999</v>
      </c>
      <c r="S9832">
        <v>0.16439819999999999</v>
      </c>
      <c r="T9832">
        <v>-0.1285927</v>
      </c>
      <c r="U9832">
        <v>3.0006409999999999</v>
      </c>
      <c r="V9832">
        <v>-9.0486420000000008E-3</v>
      </c>
      <c r="W9832">
        <v>-5.3283169999999998E-2</v>
      </c>
      <c r="X9832">
        <v>0.99853840000000005</v>
      </c>
      <c r="Y9832">
        <v>5.7904240000000003E-2</v>
      </c>
      <c r="Z9832">
        <v>-2.7872000000000001E-2</v>
      </c>
      <c r="AA9832">
        <v>0.99793299999999996</v>
      </c>
      <c r="AB9832">
        <v>25</v>
      </c>
      <c r="AC9832">
        <v>1.43380000000001</v>
      </c>
      <c r="AD9832">
        <v>-1.1211418583499999</v>
      </c>
      <c r="AE9832">
        <v>25.961860000000001</v>
      </c>
      <c r="AF9832">
        <v>1.51534680358354</v>
      </c>
      <c r="AG9832">
        <v>-1.1211418583499999</v>
      </c>
      <c r="AH9832">
        <v>25.908893386641498</v>
      </c>
      <c r="AI9832">
        <v>92.473562326453802</v>
      </c>
      <c r="AJ9832">
        <v>86.652725505849602</v>
      </c>
      <c r="AK9832">
        <v>25.977374607955099</v>
      </c>
      <c r="AL9832">
        <v>93.054347325577396</v>
      </c>
      <c r="AM9832">
        <v>90.519193659781195</v>
      </c>
      <c r="AN9832">
        <v>0.99999995520092499</v>
      </c>
    </row>
    <row r="9833" spans="1:40" x14ac:dyDescent="0.25">
      <c r="A9833" t="str">
        <f>"20190303154032900"</f>
        <v>20190303154032900</v>
      </c>
      <c r="B9833" t="str">
        <f>"1551598832887796"</f>
        <v>1551598832887796</v>
      </c>
      <c r="C9833" t="s">
        <v>40</v>
      </c>
      <c r="D9833">
        <v>4.5542319999999998</v>
      </c>
      <c r="E9833">
        <v>0.52321960000000001</v>
      </c>
      <c r="F9833" t="s">
        <v>68</v>
      </c>
      <c r="G9833">
        <v>-186.5273</v>
      </c>
      <c r="H9833" s="1">
        <v>-1.7812899999999999E-6</v>
      </c>
      <c r="I9833">
        <v>121.9943</v>
      </c>
      <c r="J9833">
        <v>-187.84989999999999</v>
      </c>
      <c r="K9833">
        <v>1.1211409999999999</v>
      </c>
      <c r="L9833">
        <v>96.283140000000003</v>
      </c>
      <c r="M9833">
        <v>-3.1609120000000001E-3</v>
      </c>
      <c r="N9833">
        <v>-1.48798E-2</v>
      </c>
      <c r="O9833">
        <v>0.99988429999999995</v>
      </c>
      <c r="P9833">
        <v>-1.179142E-2</v>
      </c>
      <c r="Q9833">
        <v>-6.8600999999999995E-2</v>
      </c>
      <c r="R9833">
        <v>0.99757450000000003</v>
      </c>
      <c r="S9833">
        <v>0.1534576</v>
      </c>
      <c r="T9833">
        <v>-0.1301244</v>
      </c>
      <c r="U9833">
        <v>3.0002140000000002</v>
      </c>
      <c r="V9833">
        <v>-8.6541819999999998E-3</v>
      </c>
      <c r="W9833">
        <v>-5.3746559999999999E-2</v>
      </c>
      <c r="X9833">
        <v>0.99851710000000005</v>
      </c>
      <c r="Y9833">
        <v>5.4194949999999999E-2</v>
      </c>
      <c r="Z9833">
        <v>-2.839877E-2</v>
      </c>
      <c r="AA9833">
        <v>0.99812639999999997</v>
      </c>
      <c r="AB9833">
        <v>25</v>
      </c>
      <c r="AC9833">
        <v>1.32259999999999</v>
      </c>
      <c r="AD9833">
        <v>-1.1211427812899999</v>
      </c>
      <c r="AE9833">
        <v>25.7111599999999</v>
      </c>
      <c r="AF9833">
        <v>1.4012158323329</v>
      </c>
      <c r="AG9833">
        <v>-1.1211427812899999</v>
      </c>
      <c r="AH9833">
        <v>25.658192147992398</v>
      </c>
      <c r="AI9833">
        <v>92.498247791519702</v>
      </c>
      <c r="AJ9833">
        <v>86.8741334490947</v>
      </c>
      <c r="AK9833">
        <v>25.720870732697101</v>
      </c>
      <c r="AL9833">
        <v>93.080935600589498</v>
      </c>
      <c r="AM9833">
        <v>90.496572055377797</v>
      </c>
      <c r="AN9833">
        <v>0.99999999328516598</v>
      </c>
    </row>
    <row r="9834" spans="1:40" x14ac:dyDescent="0.25">
      <c r="A9834" t="str">
        <f>"20190303154032913"</f>
        <v>20190303154032913</v>
      </c>
      <c r="B9834" t="str">
        <f>"1551598832908292"</f>
        <v>1551598832908292</v>
      </c>
      <c r="C9834" t="s">
        <v>40</v>
      </c>
      <c r="D9834">
        <v>4.540197</v>
      </c>
      <c r="E9834">
        <v>0.521756</v>
      </c>
      <c r="F9834" t="s">
        <v>68</v>
      </c>
      <c r="G9834">
        <v>-186.59</v>
      </c>
      <c r="H9834" s="1">
        <v>-1.625984E-6</v>
      </c>
      <c r="I9834">
        <v>121.727</v>
      </c>
      <c r="J9834">
        <v>-187.8502</v>
      </c>
      <c r="K9834">
        <v>1.12114</v>
      </c>
      <c r="L9834">
        <v>96.43253</v>
      </c>
      <c r="M9834">
        <v>-3.065145E-3</v>
      </c>
      <c r="N9834">
        <v>-1.4876230000000001E-2</v>
      </c>
      <c r="O9834">
        <v>0.99988469999999996</v>
      </c>
      <c r="P9834">
        <v>-1.1269370000000001E-2</v>
      </c>
      <c r="Q9834">
        <v>-6.912836E-2</v>
      </c>
      <c r="R9834">
        <v>0.99754410000000004</v>
      </c>
      <c r="S9834">
        <v>0.14854429999999999</v>
      </c>
      <c r="T9834">
        <v>-0.132189</v>
      </c>
      <c r="U9834">
        <v>2.9999690000000001</v>
      </c>
      <c r="V9834">
        <v>-8.2282840000000006E-3</v>
      </c>
      <c r="W9834">
        <v>-5.4278060000000003E-2</v>
      </c>
      <c r="X9834">
        <v>0.99849189999999999</v>
      </c>
      <c r="Y9834">
        <v>5.2472270000000001E-2</v>
      </c>
      <c r="Z9834">
        <v>-2.909542E-2</v>
      </c>
      <c r="AA9834">
        <v>0.99819840000000004</v>
      </c>
      <c r="AB9834">
        <v>25</v>
      </c>
      <c r="AC9834">
        <v>1.26019999999999</v>
      </c>
      <c r="AD9834">
        <v>-1.1211416259839999</v>
      </c>
      <c r="AE9834">
        <v>25.29447</v>
      </c>
      <c r="AF9834">
        <v>1.3351174221344799</v>
      </c>
      <c r="AG9834">
        <v>-1.1211416259839999</v>
      </c>
      <c r="AH9834">
        <v>25.241022791919001</v>
      </c>
      <c r="AI9834">
        <v>92.5397144766645</v>
      </c>
      <c r="AJ9834">
        <v>86.972176147534796</v>
      </c>
      <c r="AK9834">
        <v>25.301160618805099</v>
      </c>
      <c r="AL9834">
        <v>93.111432981024606</v>
      </c>
      <c r="AM9834">
        <v>90.472147319783105</v>
      </c>
      <c r="AN9834">
        <v>0.99999994341027698</v>
      </c>
    </row>
    <row r="9835" spans="1:40" x14ac:dyDescent="0.25">
      <c r="A9835" t="str">
        <f>"20190303154032931"</f>
        <v>20190303154032931</v>
      </c>
      <c r="B9835" t="str">
        <f>"1551598832927811"</f>
        <v>1551598832927811</v>
      </c>
      <c r="C9835" t="s">
        <v>40</v>
      </c>
      <c r="D9835">
        <v>4.5761260000000004</v>
      </c>
      <c r="E9835">
        <v>0.52041320000000002</v>
      </c>
      <c r="F9835" t="s">
        <v>68</v>
      </c>
      <c r="G9835">
        <v>-186.7003</v>
      </c>
      <c r="H9835" s="1">
        <v>-1.399926E-6</v>
      </c>
      <c r="I9835">
        <v>121.3426</v>
      </c>
      <c r="J9835">
        <v>-187.85069999999999</v>
      </c>
      <c r="K9835">
        <v>1.121138</v>
      </c>
      <c r="L9835">
        <v>96.630799999999994</v>
      </c>
      <c r="M9835">
        <v>-2.937771E-3</v>
      </c>
      <c r="N9835">
        <v>-1.4871489999999999E-2</v>
      </c>
      <c r="O9835">
        <v>0.99988509999999997</v>
      </c>
      <c r="P9835">
        <v>-1.0109450000000001E-2</v>
      </c>
      <c r="Q9835">
        <v>-7.0479819999999999E-2</v>
      </c>
      <c r="R9835">
        <v>0.99746199999999996</v>
      </c>
      <c r="S9835">
        <v>0.1384735</v>
      </c>
      <c r="T9835">
        <v>-0.13500479999999901</v>
      </c>
      <c r="U9835">
        <v>2.999603</v>
      </c>
      <c r="V9835">
        <v>-7.1959939999999998E-3</v>
      </c>
      <c r="W9835">
        <v>-5.5635700000000003E-2</v>
      </c>
      <c r="X9835">
        <v>0.99842520000000001</v>
      </c>
      <c r="Y9835">
        <v>4.900699E-2</v>
      </c>
      <c r="Z9835">
        <v>-3.0048410000000001E-2</v>
      </c>
      <c r="AA9835">
        <v>0.99834630000000002</v>
      </c>
      <c r="AB9835">
        <v>25</v>
      </c>
      <c r="AC9835">
        <v>1.1503999999999901</v>
      </c>
      <c r="AD9835">
        <v>-1.121139399926</v>
      </c>
      <c r="AE9835">
        <v>24.7118</v>
      </c>
      <c r="AF9835">
        <v>1.2204939524196801</v>
      </c>
      <c r="AG9835">
        <v>-1.121139399926</v>
      </c>
      <c r="AH9835">
        <v>24.657670012791701</v>
      </c>
      <c r="AI9835">
        <v>92.600162960416895</v>
      </c>
      <c r="AJ9835">
        <v>87.166312664211503</v>
      </c>
      <c r="AK9835">
        <v>24.713301064440699</v>
      </c>
      <c r="AL9835">
        <v>93.189337598657403</v>
      </c>
      <c r="AM9835">
        <v>90.4129432497664</v>
      </c>
      <c r="AN9835">
        <v>0.99999999671958895</v>
      </c>
    </row>
    <row r="9836" spans="1:40" x14ac:dyDescent="0.25">
      <c r="A9836" t="str">
        <f>"20190303154032946"</f>
        <v>20190303154032946</v>
      </c>
      <c r="B9836" t="str">
        <f>"1551598832937572"</f>
        <v>1551598832937572</v>
      </c>
      <c r="C9836" t="s">
        <v>40</v>
      </c>
      <c r="D9836">
        <v>4.5825069999999997</v>
      </c>
      <c r="E9836">
        <v>0.51978139999999995</v>
      </c>
      <c r="F9836" t="s">
        <v>68</v>
      </c>
      <c r="G9836">
        <v>-186.80330000000001</v>
      </c>
      <c r="H9836" s="1">
        <v>-1.125068E-6</v>
      </c>
      <c r="I9836">
        <v>120.5865</v>
      </c>
      <c r="J9836">
        <v>-187.8511</v>
      </c>
      <c r="K9836">
        <v>1.12114</v>
      </c>
      <c r="L9836">
        <v>96.798580000000001</v>
      </c>
      <c r="M9836">
        <v>-2.829809E-3</v>
      </c>
      <c r="N9836">
        <v>-1.4867429999999999E-2</v>
      </c>
      <c r="O9836">
        <v>0.99988540000000004</v>
      </c>
      <c r="P9836">
        <v>-9.5382060000000005E-3</v>
      </c>
      <c r="Q9836">
        <v>-7.0809010000000006E-2</v>
      </c>
      <c r="R9836">
        <v>0.99744429999999995</v>
      </c>
      <c r="S9836">
        <v>0.13111879999999901</v>
      </c>
      <c r="T9836">
        <v>-0.14035699999999901</v>
      </c>
      <c r="U9836">
        <v>2.9990540000000001</v>
      </c>
      <c r="V9836">
        <v>-6.7326349999999998E-3</v>
      </c>
      <c r="W9836">
        <v>-5.5969350000000001E-2</v>
      </c>
      <c r="X9836">
        <v>0.99840980000000001</v>
      </c>
      <c r="Y9836">
        <v>4.6462139999999999E-2</v>
      </c>
      <c r="Z9836">
        <v>-3.1844209999999998E-2</v>
      </c>
      <c r="AA9836">
        <v>0.99841239999999998</v>
      </c>
      <c r="AB9836">
        <v>25</v>
      </c>
      <c r="AC9836">
        <v>1.0477999999999901</v>
      </c>
      <c r="AD9836">
        <v>-1.1211411250679999</v>
      </c>
      <c r="AE9836">
        <v>23.78792</v>
      </c>
      <c r="AF9836">
        <v>1.11265176971309</v>
      </c>
      <c r="AG9836">
        <v>-1.1211411250679999</v>
      </c>
      <c r="AH9836">
        <v>23.732244928443901</v>
      </c>
      <c r="AI9836">
        <v>92.701750596022606</v>
      </c>
      <c r="AJ9836">
        <v>87.3157363297438</v>
      </c>
      <c r="AK9836">
        <v>23.784751432937401</v>
      </c>
      <c r="AL9836">
        <v>93.208484118264707</v>
      </c>
      <c r="AM9836">
        <v>90.386360113435501</v>
      </c>
      <c r="AN9836">
        <v>1.0000000126247499</v>
      </c>
    </row>
    <row r="9837" spans="1:40" x14ac:dyDescent="0.25">
      <c r="A9837" t="str">
        <f>"20190303154032959"</f>
        <v>20190303154032959</v>
      </c>
      <c r="B9837" t="str">
        <f>"1551598832947332"</f>
        <v>1551598832947332</v>
      </c>
      <c r="C9837" t="s">
        <v>40</v>
      </c>
      <c r="D9837">
        <v>4.5768370000000003</v>
      </c>
      <c r="E9837">
        <v>0.51917869999999999</v>
      </c>
      <c r="F9837" t="s">
        <v>68</v>
      </c>
      <c r="G9837">
        <v>-186.84139999999999</v>
      </c>
      <c r="H9837" s="1">
        <v>-1.082659E-6</v>
      </c>
      <c r="I9837">
        <v>120.4769</v>
      </c>
      <c r="J9837">
        <v>-187.85140000000001</v>
      </c>
      <c r="K9837">
        <v>1.1211370000000001</v>
      </c>
      <c r="L9837">
        <v>96.944609999999997</v>
      </c>
      <c r="M9837">
        <v>-2.7356479999999998E-3</v>
      </c>
      <c r="N9837">
        <v>-1.4863879999999999E-2</v>
      </c>
      <c r="O9837">
        <v>0.99988580000000005</v>
      </c>
      <c r="P9837">
        <v>-8.9713659999999997E-3</v>
      </c>
      <c r="Q9837">
        <v>-7.1119299999999996E-2</v>
      </c>
      <c r="R9837">
        <v>0.99742750000000002</v>
      </c>
      <c r="S9837">
        <v>0.1278687</v>
      </c>
      <c r="T9837">
        <v>-0.14199139999999999</v>
      </c>
      <c r="U9837">
        <v>2.99884</v>
      </c>
      <c r="V9837">
        <v>-6.2597769999999898E-3</v>
      </c>
      <c r="W9837">
        <v>-5.6283560000000003E-2</v>
      </c>
      <c r="X9837">
        <v>0.99839520000000004</v>
      </c>
      <c r="Y9837">
        <v>4.529068E-2</v>
      </c>
      <c r="Z9837">
        <v>-3.2396469999999997E-2</v>
      </c>
      <c r="AA9837">
        <v>0.99844840000000001</v>
      </c>
      <c r="AB9837">
        <v>25</v>
      </c>
      <c r="AC9837">
        <v>1.01000000000001</v>
      </c>
      <c r="AD9837">
        <v>-1.1211380826590001</v>
      </c>
      <c r="AE9837">
        <v>23.53229</v>
      </c>
      <c r="AF9837">
        <v>1.0719507410667</v>
      </c>
      <c r="AG9837">
        <v>-1.1211380826590001</v>
      </c>
      <c r="AH9837">
        <v>23.476249928433798</v>
      </c>
      <c r="AI9837">
        <v>92.731313797245406</v>
      </c>
      <c r="AJ9837">
        <v>87.385629200217906</v>
      </c>
      <c r="AK9837">
        <v>23.527438018066299</v>
      </c>
      <c r="AL9837">
        <v>93.226515490232501</v>
      </c>
      <c r="AM9837">
        <v>90.359230596434102</v>
      </c>
      <c r="AN9837">
        <v>0.99999999965870101</v>
      </c>
    </row>
    <row r="9838" spans="1:40" x14ac:dyDescent="0.25">
      <c r="A9838" t="str">
        <f>"20190303154032976"</f>
        <v>20190303154032976</v>
      </c>
      <c r="B9838" t="str">
        <f>"1551598832967827"</f>
        <v>1551598832967827</v>
      </c>
      <c r="C9838" t="s">
        <v>40</v>
      </c>
      <c r="D9838">
        <v>4.5957119999999998</v>
      </c>
      <c r="E9838">
        <v>0.51804799999999995</v>
      </c>
      <c r="F9838" t="s">
        <v>68</v>
      </c>
      <c r="G9838">
        <v>-186.87780000000001</v>
      </c>
      <c r="H9838" s="1">
        <v>-1.042355E-6</v>
      </c>
      <c r="I9838">
        <v>120.373</v>
      </c>
      <c r="J9838">
        <v>-187.85169999999999</v>
      </c>
      <c r="K9838">
        <v>1.1211310000000001</v>
      </c>
      <c r="L9838">
        <v>97.136439999999993</v>
      </c>
      <c r="M9838">
        <v>-2.6116910000000002E-3</v>
      </c>
      <c r="N9838">
        <v>-1.485919E-2</v>
      </c>
      <c r="O9838">
        <v>0.99988619999999995</v>
      </c>
      <c r="P9838">
        <v>-8.2607540000000004E-3</v>
      </c>
      <c r="Q9838">
        <v>-7.2031570000000003E-2</v>
      </c>
      <c r="R9838">
        <v>0.99736820000000004</v>
      </c>
      <c r="S9838">
        <v>0.1246033</v>
      </c>
      <c r="T9838">
        <v>-0.14349439999999999</v>
      </c>
      <c r="U9838">
        <v>2.998596</v>
      </c>
      <c r="V9838">
        <v>-5.6734350000000001E-3</v>
      </c>
      <c r="W9838">
        <v>-5.7201549999999997E-2</v>
      </c>
      <c r="X9838">
        <v>0.99834650000000003</v>
      </c>
      <c r="Y9838">
        <v>4.4084619999999998E-2</v>
      </c>
      <c r="Z9838">
        <v>-3.2906820000000003E-2</v>
      </c>
      <c r="AA9838">
        <v>0.99848570000000003</v>
      </c>
      <c r="AB9838">
        <v>25</v>
      </c>
      <c r="AC9838">
        <v>0.973899999999986</v>
      </c>
      <c r="AD9838">
        <v>-1.121132042355</v>
      </c>
      <c r="AE9838">
        <v>23.236559999999901</v>
      </c>
      <c r="AF9838">
        <v>1.0321914368205301</v>
      </c>
      <c r="AG9838">
        <v>-1.121132042355</v>
      </c>
      <c r="AH9838">
        <v>23.180069980183301</v>
      </c>
      <c r="AI9838">
        <v>92.766284696422701</v>
      </c>
      <c r="AJ9838">
        <v>87.450345463117102</v>
      </c>
      <c r="AK9838">
        <v>23.230109782453301</v>
      </c>
      <c r="AL9838">
        <v>93.279197422039502</v>
      </c>
      <c r="AM9838">
        <v>90.325598759191294</v>
      </c>
      <c r="AN9838">
        <v>0.99999996962467497</v>
      </c>
    </row>
    <row r="9839" spans="1:40" x14ac:dyDescent="0.25">
      <c r="A9839" t="str">
        <f>"20190303154032992"</f>
        <v>20190303154032992</v>
      </c>
      <c r="B9839" t="str">
        <f>"1551598832987348"</f>
        <v>1551598832987348</v>
      </c>
      <c r="C9839" t="s">
        <v>40</v>
      </c>
      <c r="D9839">
        <v>4.6092500000000003</v>
      </c>
      <c r="E9839">
        <v>0.5169918</v>
      </c>
      <c r="F9839" t="s">
        <v>68</v>
      </c>
      <c r="G9839">
        <v>-186.9562</v>
      </c>
      <c r="H9839" s="1">
        <v>-8.9992180000000005E-7</v>
      </c>
      <c r="I9839">
        <v>119.9602</v>
      </c>
      <c r="J9839">
        <v>-187.85210000000001</v>
      </c>
      <c r="K9839">
        <v>1.121127</v>
      </c>
      <c r="L9839">
        <v>97.298429999999996</v>
      </c>
      <c r="M9839">
        <v>-2.506866E-3</v>
      </c>
      <c r="N9839">
        <v>-1.4855210000000001E-2</v>
      </c>
      <c r="O9839">
        <v>0.99988650000000001</v>
      </c>
      <c r="P9839">
        <v>-7.8841710000000006E-3</v>
      </c>
      <c r="Q9839">
        <v>-7.2813610000000001E-2</v>
      </c>
      <c r="R9839">
        <v>0.99731440000000005</v>
      </c>
      <c r="S9839">
        <v>0.11764529999999999</v>
      </c>
      <c r="T9839">
        <v>-0.147278399999999</v>
      </c>
      <c r="U9839">
        <v>2.9982600000000001</v>
      </c>
      <c r="V9839">
        <v>-5.401365E-3</v>
      </c>
      <c r="W9839">
        <v>-5.7988369999999997E-2</v>
      </c>
      <c r="X9839">
        <v>0.99830260000000004</v>
      </c>
      <c r="Y9839">
        <v>4.1670069999999997E-2</v>
      </c>
      <c r="Z9839">
        <v>-3.4178319999999998E-2</v>
      </c>
      <c r="AA9839">
        <v>0.99854670000000001</v>
      </c>
      <c r="AB9839">
        <v>25</v>
      </c>
      <c r="AC9839">
        <v>0.89590000000001102</v>
      </c>
      <c r="AD9839">
        <v>-1.1211278999218</v>
      </c>
      <c r="AE9839">
        <v>22.661769999999901</v>
      </c>
      <c r="AF9839">
        <v>0.95039102302082601</v>
      </c>
      <c r="AG9839">
        <v>-1.1211278999218</v>
      </c>
      <c r="AH9839">
        <v>22.6042151460362</v>
      </c>
      <c r="AI9839">
        <v>92.836937190643397</v>
      </c>
      <c r="AJ9839">
        <v>87.592425080124997</v>
      </c>
      <c r="AK9839">
        <v>22.6519472282829</v>
      </c>
      <c r="AL9839">
        <v>93.324353901747003</v>
      </c>
      <c r="AM9839">
        <v>90.309998589903998</v>
      </c>
      <c r="AN9839">
        <v>0.99999995348293902</v>
      </c>
    </row>
    <row r="9840" spans="1:40" x14ac:dyDescent="0.25">
      <c r="A9840" t="str">
        <f>"20190303154033006"</f>
        <v>20190303154033006</v>
      </c>
      <c r="B9840" t="str">
        <f>"1551598832998084"</f>
        <v>1551598832998084</v>
      </c>
      <c r="C9840" t="s">
        <v>40</v>
      </c>
      <c r="D9840">
        <v>4.5811270000000004</v>
      </c>
      <c r="E9840">
        <v>0.51648859999999996</v>
      </c>
      <c r="F9840" t="s">
        <v>42</v>
      </c>
      <c r="G9840">
        <v>-187.03</v>
      </c>
      <c r="H9840" s="1">
        <v>-4.8028479999999996E-6</v>
      </c>
      <c r="I9840">
        <v>119.6003</v>
      </c>
      <c r="J9840">
        <v>-187.85230000000001</v>
      </c>
      <c r="K9840">
        <v>1.1211230000000001</v>
      </c>
      <c r="L9840">
        <v>97.469390000000004</v>
      </c>
      <c r="M9840">
        <v>-2.3962340000000001E-3</v>
      </c>
      <c r="N9840">
        <v>-1.485098E-2</v>
      </c>
      <c r="O9840">
        <v>0.99988690000000002</v>
      </c>
      <c r="P9840">
        <v>-7.2617849999999998E-3</v>
      </c>
      <c r="Q9840">
        <v>-7.3683250000000006E-2</v>
      </c>
      <c r="R9840">
        <v>0.99725529999999996</v>
      </c>
      <c r="S9840">
        <v>0.1105042</v>
      </c>
      <c r="T9840">
        <v>-0.1507096</v>
      </c>
      <c r="U9840">
        <v>2.9979550000000001</v>
      </c>
      <c r="V9840">
        <v>-4.8893840000000001E-3</v>
      </c>
      <c r="W9840">
        <v>-5.8863209999999999E-2</v>
      </c>
      <c r="X9840">
        <v>0.99825410000000003</v>
      </c>
      <c r="Y9840">
        <v>3.9187659999999999E-2</v>
      </c>
      <c r="Z9840">
        <v>-3.5332469999999998E-2</v>
      </c>
      <c r="AA9840">
        <v>0.99860700000000002</v>
      </c>
      <c r="AB9840">
        <v>25</v>
      </c>
      <c r="AC9840">
        <v>0.82230000000001202</v>
      </c>
      <c r="AD9840">
        <v>-1.1211278028479901</v>
      </c>
      <c r="AE9840">
        <v>22.13091</v>
      </c>
      <c r="AF9840">
        <v>0.87309676268137704</v>
      </c>
      <c r="AG9840">
        <v>-1.1211278028479901</v>
      </c>
      <c r="AH9840">
        <v>22.072309178194601</v>
      </c>
      <c r="AI9840">
        <v>92.905480674504801</v>
      </c>
      <c r="AJ9840">
        <v>87.7347774291718</v>
      </c>
      <c r="AK9840">
        <v>22.118003028418698</v>
      </c>
      <c r="AL9840">
        <v>93.374564106410304</v>
      </c>
      <c r="AM9840">
        <v>90.280628777259906</v>
      </c>
      <c r="AN9840">
        <v>1.0000000158671001</v>
      </c>
    </row>
    <row r="9841" spans="1:40" x14ac:dyDescent="0.25">
      <c r="A9841" t="str">
        <f>"20190303154033022"</f>
        <v>20190303154033022</v>
      </c>
      <c r="B9841" t="str">
        <f>"1551598833017604"</f>
        <v>1551598833017604</v>
      </c>
      <c r="C9841" t="s">
        <v>40</v>
      </c>
      <c r="D9841">
        <v>4.6258759999999999</v>
      </c>
      <c r="E9841">
        <v>0.51553079999999996</v>
      </c>
      <c r="F9841" t="s">
        <v>42</v>
      </c>
      <c r="G9841">
        <v>-187.0634</v>
      </c>
      <c r="H9841" s="1">
        <v>-4.6560869999999996E-6</v>
      </c>
      <c r="I9841">
        <v>119.27200000000001</v>
      </c>
      <c r="J9841">
        <v>-187.8526</v>
      </c>
      <c r="K9841">
        <v>1.1211169999999999</v>
      </c>
      <c r="L9841">
        <v>97.63776</v>
      </c>
      <c r="M9841">
        <v>-2.2871940000000002E-3</v>
      </c>
      <c r="N9841">
        <v>-1.484684E-2</v>
      </c>
      <c r="O9841">
        <v>0.99988719999999998</v>
      </c>
      <c r="P9841">
        <v>-6.1605640000000003E-3</v>
      </c>
      <c r="Q9841">
        <v>-7.4713680000000005E-2</v>
      </c>
      <c r="R9841">
        <v>0.99718600000000002</v>
      </c>
      <c r="S9841">
        <v>0.10847469999999999</v>
      </c>
      <c r="T9841">
        <v>-0.15414449999999999</v>
      </c>
      <c r="U9841">
        <v>2.9976500000000001</v>
      </c>
      <c r="V9841">
        <v>-3.8976240000000001E-3</v>
      </c>
      <c r="W9841">
        <v>-5.9899040000000001E-2</v>
      </c>
      <c r="X9841">
        <v>0.9981968</v>
      </c>
      <c r="Y9841">
        <v>3.840582E-2</v>
      </c>
      <c r="Z9841">
        <v>-3.6484519999999999E-2</v>
      </c>
      <c r="AA9841">
        <v>0.99859600000000004</v>
      </c>
      <c r="AB9841">
        <v>25</v>
      </c>
      <c r="AC9841">
        <v>0.78919999999999302</v>
      </c>
      <c r="AD9841">
        <v>-1.1211216560870001</v>
      </c>
      <c r="AE9841">
        <v>21.634239999999998</v>
      </c>
      <c r="AF9841">
        <v>0.83644182787327903</v>
      </c>
      <c r="AG9841">
        <v>-1.1211216560870001</v>
      </c>
      <c r="AH9841">
        <v>21.5745171744041</v>
      </c>
      <c r="AI9841">
        <v>92.9724753527166</v>
      </c>
      <c r="AJ9841">
        <v>87.779760450933495</v>
      </c>
      <c r="AK9841">
        <v>21.619813597897199</v>
      </c>
      <c r="AL9841">
        <v>93.434017869364894</v>
      </c>
      <c r="AM9841">
        <v>90.223719681739894</v>
      </c>
      <c r="AN9841">
        <v>0.99999996899800203</v>
      </c>
    </row>
    <row r="9842" spans="1:40" x14ac:dyDescent="0.25">
      <c r="A9842" t="str">
        <f>"20190303154033042"</f>
        <v>20190303154033042</v>
      </c>
      <c r="B9842" t="str">
        <f>"1551598833038099"</f>
        <v>1551598833038099</v>
      </c>
      <c r="C9842" t="s">
        <v>40</v>
      </c>
      <c r="D9842">
        <v>4.6044359999999998</v>
      </c>
      <c r="E9842">
        <v>0.51463700000000001</v>
      </c>
      <c r="F9842" t="s">
        <v>42</v>
      </c>
      <c r="G9842">
        <v>-187.11670000000001</v>
      </c>
      <c r="H9842" s="1">
        <v>-4.4624440000000002E-6</v>
      </c>
      <c r="I9842">
        <v>118.8426</v>
      </c>
      <c r="J9842">
        <v>-187.85300000000001</v>
      </c>
      <c r="K9842">
        <v>1.121105</v>
      </c>
      <c r="L9842">
        <v>97.871089999999995</v>
      </c>
      <c r="M9842">
        <v>-2.1358670000000001E-3</v>
      </c>
      <c r="N9842">
        <v>-1.484105E-2</v>
      </c>
      <c r="O9842">
        <v>0.99988759999999999</v>
      </c>
      <c r="P9842">
        <v>-5.017227E-3</v>
      </c>
      <c r="Q9842">
        <v>-7.525606E-2</v>
      </c>
      <c r="R9842">
        <v>0.99715160000000003</v>
      </c>
      <c r="S9842">
        <v>0.10401920000000001</v>
      </c>
      <c r="T9842">
        <v>-0.15846749999999901</v>
      </c>
      <c r="U9842">
        <v>2.9972530000000002</v>
      </c>
      <c r="V9842">
        <v>-2.9055890000000001E-3</v>
      </c>
      <c r="W9842">
        <v>-6.0448019999999998E-2</v>
      </c>
      <c r="X9842">
        <v>0.99816709999999997</v>
      </c>
      <c r="Y9842">
        <v>3.6775240000000001E-2</v>
      </c>
      <c r="Z9842">
        <v>-3.7936579999999998E-2</v>
      </c>
      <c r="AA9842">
        <v>0.99860320000000002</v>
      </c>
      <c r="AB9842">
        <v>25</v>
      </c>
      <c r="AC9842">
        <v>0.73629999999997098</v>
      </c>
      <c r="AD9842">
        <v>-1.1211094624439999</v>
      </c>
      <c r="AE9842">
        <v>20.971509999999999</v>
      </c>
      <c r="AF9842">
        <v>0.77887246342233496</v>
      </c>
      <c r="AG9842">
        <v>-1.1211094624439999</v>
      </c>
      <c r="AH9842">
        <v>20.910205069063299</v>
      </c>
      <c r="AI9842">
        <v>93.0668761412782</v>
      </c>
      <c r="AJ9842">
        <v>87.866807944813999</v>
      </c>
      <c r="AK9842">
        <v>20.954717959718302</v>
      </c>
      <c r="AL9842">
        <v>93.465529161483303</v>
      </c>
      <c r="AM9842">
        <v>90.166783213437895</v>
      </c>
      <c r="AN9842">
        <v>0.99999998254588296</v>
      </c>
    </row>
    <row r="9843" spans="1:40" x14ac:dyDescent="0.25">
      <c r="A9843" t="str">
        <f>"20190303154033066"</f>
        <v>20190303154033066</v>
      </c>
      <c r="B9843" t="str">
        <f>"1551598833057620"</f>
        <v>1551598833057620</v>
      </c>
      <c r="C9843" t="s">
        <v>40</v>
      </c>
      <c r="D9843">
        <v>4.6494609999999996</v>
      </c>
      <c r="E9843">
        <v>0.51376140000000003</v>
      </c>
      <c r="F9843" t="s">
        <v>42</v>
      </c>
      <c r="G9843">
        <v>-187.15379999999999</v>
      </c>
      <c r="H9843" s="1">
        <v>-4.4075770000000004E-6</v>
      </c>
      <c r="I9843">
        <v>118.73009999999999</v>
      </c>
      <c r="J9843">
        <v>-187.85329999999999</v>
      </c>
      <c r="K9843">
        <v>1.1211040000000001</v>
      </c>
      <c r="L9843">
        <v>98.119900000000001</v>
      </c>
      <c r="M9843">
        <v>-1.9745510000000002E-3</v>
      </c>
      <c r="N9843">
        <v>-1.483493E-2</v>
      </c>
      <c r="O9843">
        <v>0.999888</v>
      </c>
      <c r="P9843">
        <v>-3.5326340000000002E-3</v>
      </c>
      <c r="Q9843">
        <v>-7.5152380000000005E-2</v>
      </c>
      <c r="R9843">
        <v>0.99716579999999999</v>
      </c>
      <c r="S9843">
        <v>0.1004486</v>
      </c>
      <c r="T9843">
        <v>-0.16107550000000001</v>
      </c>
      <c r="U9843">
        <v>2.996918</v>
      </c>
      <c r="V9843">
        <v>-1.5819429999999999E-3</v>
      </c>
      <c r="W9843">
        <v>-6.0350679999999997E-2</v>
      </c>
      <c r="X9843">
        <v>0.99817599999999995</v>
      </c>
      <c r="Y9843">
        <v>3.542882E-2</v>
      </c>
      <c r="Z9843">
        <v>-3.8817610000000002E-2</v>
      </c>
      <c r="AA9843">
        <v>0.99861809999999995</v>
      </c>
      <c r="AB9843">
        <v>25</v>
      </c>
      <c r="AC9843">
        <v>0.69950000000000001</v>
      </c>
      <c r="AD9843">
        <v>-1.1211084075769999</v>
      </c>
      <c r="AE9843">
        <v>20.610199999999899</v>
      </c>
      <c r="AF9843">
        <v>0.738017795237636</v>
      </c>
      <c r="AG9843">
        <v>-1.1211084075769999</v>
      </c>
      <c r="AH9843">
        <v>20.548048722599599</v>
      </c>
      <c r="AI9843">
        <v>93.120972070794707</v>
      </c>
      <c r="AJ9843">
        <v>87.943009737505307</v>
      </c>
      <c r="AK9843">
        <v>20.5918396612336</v>
      </c>
      <c r="AL9843">
        <v>93.459941669778303</v>
      </c>
      <c r="AM9843">
        <v>90.090804208320705</v>
      </c>
      <c r="AN9843">
        <v>1.0000000170480501</v>
      </c>
    </row>
    <row r="9844" spans="1:40" x14ac:dyDescent="0.25">
      <c r="A9844" t="str">
        <f>"20190303154033079"</f>
        <v>20190303154033079</v>
      </c>
      <c r="B9844" t="str">
        <f>"1551598833067379"</f>
        <v>1551598833067379</v>
      </c>
      <c r="C9844" t="s">
        <v>40</v>
      </c>
      <c r="D9844">
        <v>4.633705</v>
      </c>
      <c r="E9844">
        <v>0.51334219999999997</v>
      </c>
      <c r="F9844" t="s">
        <v>42</v>
      </c>
      <c r="G9844">
        <v>-187.17500000000001</v>
      </c>
      <c r="H9844" s="1">
        <v>-4.4710699999999999E-6</v>
      </c>
      <c r="I9844">
        <v>118.88679999999999</v>
      </c>
      <c r="J9844">
        <v>-187.8535</v>
      </c>
      <c r="K9844">
        <v>1.121108</v>
      </c>
      <c r="L9844">
        <v>98.266850000000005</v>
      </c>
      <c r="M9844">
        <v>-1.8794440000000001E-3</v>
      </c>
      <c r="N9844">
        <v>-1.483136E-2</v>
      </c>
      <c r="O9844">
        <v>0.9998882</v>
      </c>
      <c r="P9844">
        <v>-2.6389249999999999E-3</v>
      </c>
      <c r="Q9844">
        <v>-7.4957499999999996E-2</v>
      </c>
      <c r="R9844">
        <v>0.99718329999999999</v>
      </c>
      <c r="S9844">
        <v>9.7885130000000001E-2</v>
      </c>
      <c r="T9844">
        <v>-0.16177620000000001</v>
      </c>
      <c r="U9844">
        <v>2.9966740000000001</v>
      </c>
      <c r="V9844">
        <v>-7.8280179999999904E-4</v>
      </c>
      <c r="W9844">
        <v>-6.0159400000000002E-2</v>
      </c>
      <c r="X9844">
        <v>0.99818850000000003</v>
      </c>
      <c r="Y9844">
        <v>3.4483270000000003E-2</v>
      </c>
      <c r="Z9844">
        <v>-3.9060079999999997E-2</v>
      </c>
      <c r="AA9844">
        <v>0.99864169999999997</v>
      </c>
      <c r="AB9844">
        <v>25</v>
      </c>
      <c r="AC9844">
        <v>0.678499999999985</v>
      </c>
      <c r="AD9844">
        <v>-1.12111247107</v>
      </c>
      <c r="AE9844">
        <v>20.6199499999999</v>
      </c>
      <c r="AF9844">
        <v>0.71514533319177498</v>
      </c>
      <c r="AG9844">
        <v>-1.12111247107</v>
      </c>
      <c r="AH9844">
        <v>20.557932092856401</v>
      </c>
      <c r="AI9844">
        <v>93.119610090448802</v>
      </c>
      <c r="AJ9844">
        <v>88.007664733016</v>
      </c>
      <c r="AK9844">
        <v>20.600895561962101</v>
      </c>
      <c r="AL9844">
        <v>93.448962160153798</v>
      </c>
      <c r="AM9844">
        <v>90.044932625591898</v>
      </c>
      <c r="AN9844">
        <v>1.00000002385963</v>
      </c>
    </row>
    <row r="9845" spans="1:40" x14ac:dyDescent="0.25">
      <c r="A9845" t="str">
        <f>"20190303154033093"</f>
        <v>20190303154033093</v>
      </c>
      <c r="B9845" t="str">
        <f>"1551598833087876"</f>
        <v>1551598833087876</v>
      </c>
      <c r="C9845" t="s">
        <v>40</v>
      </c>
      <c r="D9845">
        <v>4.6416820000000003</v>
      </c>
      <c r="E9845">
        <v>0.51250649999999998</v>
      </c>
      <c r="F9845" t="s">
        <v>42</v>
      </c>
      <c r="G9845">
        <v>-187.1789</v>
      </c>
      <c r="H9845" s="1">
        <v>-4.5385919999999998E-6</v>
      </c>
      <c r="I9845">
        <v>119.0458</v>
      </c>
      <c r="J9845">
        <v>-187.8537</v>
      </c>
      <c r="K9845">
        <v>1.121108</v>
      </c>
      <c r="L9845">
        <v>98.424769999999995</v>
      </c>
      <c r="M9845">
        <v>-1.7773039999999999E-3</v>
      </c>
      <c r="N9845">
        <v>-1.482755E-2</v>
      </c>
      <c r="O9845">
        <v>0.99988849999999996</v>
      </c>
      <c r="P9845">
        <v>-1.6327900000000001E-3</v>
      </c>
      <c r="Q9845">
        <v>-7.4746489999999999E-2</v>
      </c>
      <c r="R9845">
        <v>0.99720120000000001</v>
      </c>
      <c r="S9845">
        <v>9.7290039999999994E-2</v>
      </c>
      <c r="T9845">
        <v>-0.16167799999999999</v>
      </c>
      <c r="U9845">
        <v>2.9965820000000001</v>
      </c>
      <c r="V9845">
        <v>1.217376E-4</v>
      </c>
      <c r="W9845">
        <v>-5.9952239999999997E-2</v>
      </c>
      <c r="X9845">
        <v>0.99820129999999996</v>
      </c>
      <c r="Y9845">
        <v>3.4184249999999999E-2</v>
      </c>
      <c r="Z9845">
        <v>-3.9033369999999998E-2</v>
      </c>
      <c r="AA9845">
        <v>0.99865300000000001</v>
      </c>
      <c r="AB9845">
        <v>25</v>
      </c>
      <c r="AC9845">
        <v>0.67480000000000395</v>
      </c>
      <c r="AD9845">
        <v>-1.121112538592</v>
      </c>
      <c r="AE9845">
        <v>20.621030000000001</v>
      </c>
      <c r="AF9845">
        <v>0.70935831081509404</v>
      </c>
      <c r="AG9845">
        <v>-1.121112538592</v>
      </c>
      <c r="AH9845">
        <v>20.5590940289513</v>
      </c>
      <c r="AI9845">
        <v>93.119464851659799</v>
      </c>
      <c r="AJ9845">
        <v>88.023885660628906</v>
      </c>
      <c r="AK9845">
        <v>20.6018550094056</v>
      </c>
      <c r="AL9845">
        <v>93.437071177508003</v>
      </c>
      <c r="AM9845">
        <v>89.993012380715697</v>
      </c>
      <c r="AN9845">
        <v>1.0000000606113699</v>
      </c>
    </row>
    <row r="9846" spans="1:40" x14ac:dyDescent="0.25">
      <c r="A9846" t="str">
        <f>"20190303154033110"</f>
        <v>20190303154033110</v>
      </c>
      <c r="B9846" t="str">
        <f>"1551598833107396"</f>
        <v>1551598833107396</v>
      </c>
      <c r="C9846" t="s">
        <v>40</v>
      </c>
      <c r="D9846">
        <v>4.6133649999999999</v>
      </c>
      <c r="E9846">
        <v>0.51171789999999995</v>
      </c>
      <c r="F9846" t="s">
        <v>42</v>
      </c>
      <c r="G9846">
        <v>-187.2056</v>
      </c>
      <c r="H9846" s="1">
        <v>-4.5642789999999997E-6</v>
      </c>
      <c r="I9846">
        <v>119.1168</v>
      </c>
      <c r="J9846">
        <v>-187.85390000000001</v>
      </c>
      <c r="K9846">
        <v>1.1211120000000001</v>
      </c>
      <c r="L9846">
        <v>98.607910000000004</v>
      </c>
      <c r="M9846">
        <v>-1.6589249999999999E-3</v>
      </c>
      <c r="N9846">
        <v>-1.482324E-2</v>
      </c>
      <c r="O9846">
        <v>0.99988880000000002</v>
      </c>
      <c r="P9846">
        <v>3.2603420000000002E-4</v>
      </c>
      <c r="Q9846">
        <v>-7.44924E-2</v>
      </c>
      <c r="R9846">
        <v>0.99722149999999998</v>
      </c>
      <c r="S9846">
        <v>9.3856809999999999E-2</v>
      </c>
      <c r="T9846">
        <v>-0.16234799999999999</v>
      </c>
      <c r="U9846">
        <v>2.9963989999999998</v>
      </c>
      <c r="V9846">
        <v>1.9626349999999999E-3</v>
      </c>
      <c r="W9846">
        <v>-5.9702789999999999E-2</v>
      </c>
      <c r="X9846">
        <v>0.99821420000000005</v>
      </c>
      <c r="Y9846">
        <v>3.2925120000000002E-2</v>
      </c>
      <c r="Z9846">
        <v>-3.9265830000000002E-2</v>
      </c>
      <c r="AA9846">
        <v>0.99868619999999997</v>
      </c>
      <c r="AB9846">
        <v>25</v>
      </c>
      <c r="AC9846">
        <v>0.64830000000000598</v>
      </c>
      <c r="AD9846">
        <v>-1.121116564279</v>
      </c>
      <c r="AE9846">
        <v>20.508889999999901</v>
      </c>
      <c r="AF9846">
        <v>0.680294692286876</v>
      </c>
      <c r="AG9846">
        <v>-1.121116564279</v>
      </c>
      <c r="AH9846">
        <v>20.4467471322181</v>
      </c>
      <c r="AI9846">
        <v>93.136712728654004</v>
      </c>
      <c r="AJ9846">
        <v>88.094384345711504</v>
      </c>
      <c r="AK9846">
        <v>20.488757197739499</v>
      </c>
      <c r="AL9846">
        <v>93.422753539063393</v>
      </c>
      <c r="AM9846">
        <v>89.887348269215494</v>
      </c>
      <c r="AN9846">
        <v>0.99999993207578097</v>
      </c>
    </row>
    <row r="9847" spans="1:40" x14ac:dyDescent="0.25">
      <c r="A9847" t="str">
        <f>"20190303154033133"</f>
        <v>20190303154033133</v>
      </c>
      <c r="B9847" t="str">
        <f>"1551598833127892"</f>
        <v>1551598833127892</v>
      </c>
      <c r="C9847" t="s">
        <v>40</v>
      </c>
      <c r="D9847">
        <v>4.6329339999999997</v>
      </c>
      <c r="E9847">
        <v>0.51094349999999999</v>
      </c>
      <c r="F9847" t="s">
        <v>42</v>
      </c>
      <c r="G9847">
        <v>-187.21119999999999</v>
      </c>
      <c r="H9847" s="1">
        <v>-4.6053260000000001E-6</v>
      </c>
      <c r="I9847">
        <v>119.2148</v>
      </c>
      <c r="J9847">
        <v>-187.85409999999999</v>
      </c>
      <c r="K9847">
        <v>1.1211139999999999</v>
      </c>
      <c r="L9847">
        <v>98.86139</v>
      </c>
      <c r="M9847">
        <v>-1.4946779999999999E-3</v>
      </c>
      <c r="N9847">
        <v>-1.4817179999999999E-2</v>
      </c>
      <c r="O9847">
        <v>0.99988909999999998</v>
      </c>
      <c r="P9847">
        <v>2.1135519999999999E-3</v>
      </c>
      <c r="Q9847">
        <v>-7.3477509999999996E-2</v>
      </c>
      <c r="R9847">
        <v>0.99729469999999998</v>
      </c>
      <c r="S9847">
        <v>9.3444819999999998E-2</v>
      </c>
      <c r="T9847">
        <v>-0.16300590000000001</v>
      </c>
      <c r="U9847">
        <v>2.9961549999999999</v>
      </c>
      <c r="V9847">
        <v>3.586835E-3</v>
      </c>
      <c r="W9847">
        <v>-5.8693479999999999E-2</v>
      </c>
      <c r="X9847">
        <v>0.99826959999999998</v>
      </c>
      <c r="Y9847">
        <v>3.2626120000000002E-2</v>
      </c>
      <c r="Z9847">
        <v>-3.9495389999999998E-2</v>
      </c>
      <c r="AA9847">
        <v>0.99868699999999999</v>
      </c>
      <c r="AB9847">
        <v>24</v>
      </c>
      <c r="AC9847">
        <v>0.64289999999999703</v>
      </c>
      <c r="AD9847">
        <v>-1.1211186053260001</v>
      </c>
      <c r="AE9847">
        <v>20.35341</v>
      </c>
      <c r="AF9847">
        <v>0.67128969137642203</v>
      </c>
      <c r="AG9847">
        <v>-1.1211186053260001</v>
      </c>
      <c r="AH9847">
        <v>20.290923060037098</v>
      </c>
      <c r="AI9847">
        <v>93.160777872906195</v>
      </c>
      <c r="AJ9847">
        <v>88.105160471115695</v>
      </c>
      <c r="AK9847">
        <v>20.332955894441401</v>
      </c>
      <c r="AL9847">
        <v>93.364822531100501</v>
      </c>
      <c r="AM9847">
        <v>89.794134146792899</v>
      </c>
      <c r="AN9847">
        <v>0.99999999213199298</v>
      </c>
    </row>
    <row r="9848" spans="1:40" x14ac:dyDescent="0.25">
      <c r="A9848" t="str">
        <f>"20190303154033156"</f>
        <v>20190303154033156</v>
      </c>
      <c r="B9848" t="str">
        <f>"1551598833147412"</f>
        <v>1551598833147412</v>
      </c>
      <c r="C9848" t="s">
        <v>40</v>
      </c>
      <c r="D9848">
        <v>4.6386900000000004</v>
      </c>
      <c r="E9848">
        <v>0.51019539999999997</v>
      </c>
      <c r="F9848" t="s">
        <v>68</v>
      </c>
      <c r="G9848">
        <v>-187.20760000000001</v>
      </c>
      <c r="H9848" s="1">
        <v>-7.6606539999999896E-7</v>
      </c>
      <c r="I9848">
        <v>119.7328</v>
      </c>
      <c r="J9848">
        <v>-187.85419999999999</v>
      </c>
      <c r="K9848">
        <v>1.121122</v>
      </c>
      <c r="L9848">
        <v>99.109620000000007</v>
      </c>
      <c r="M9848">
        <v>-1.334081E-3</v>
      </c>
      <c r="N9848">
        <v>-1.4811049999999999E-2</v>
      </c>
      <c r="O9848">
        <v>0.99988940000000004</v>
      </c>
      <c r="P9848">
        <v>3.5103159999999999E-3</v>
      </c>
      <c r="Q9848">
        <v>-7.1614570000000002E-2</v>
      </c>
      <c r="R9848">
        <v>0.99742620000000004</v>
      </c>
      <c r="S9848">
        <v>9.2803960000000005E-2</v>
      </c>
      <c r="T9848">
        <v>-0.160936</v>
      </c>
      <c r="U9848">
        <v>2.9960939999999998</v>
      </c>
      <c r="V9848">
        <v>4.8242019999999997E-3</v>
      </c>
      <c r="W9848">
        <v>-5.6835299999999998E-2</v>
      </c>
      <c r="X9848">
        <v>0.99837189999999998</v>
      </c>
      <c r="Y9848">
        <v>3.2253999999999998E-2</v>
      </c>
      <c r="Z9848">
        <v>-3.8815179999999998E-2</v>
      </c>
      <c r="AA9848">
        <v>0.99872570000000005</v>
      </c>
      <c r="AB9848">
        <v>24</v>
      </c>
      <c r="AC9848">
        <v>0.64659999999997797</v>
      </c>
      <c r="AD9848">
        <v>-1.1211227660654</v>
      </c>
      <c r="AE9848">
        <v>20.623180000000001</v>
      </c>
      <c r="AF9848">
        <v>0.67213106728052197</v>
      </c>
      <c r="AG9848">
        <v>-1.1211227660654</v>
      </c>
      <c r="AH9848">
        <v>20.561593836795701</v>
      </c>
      <c r="AI9848">
        <v>93.119304324934703</v>
      </c>
      <c r="AJ9848">
        <v>88.127744092951403</v>
      </c>
      <c r="AK9848">
        <v>20.603102133842601</v>
      </c>
      <c r="AL9848">
        <v>93.2581785889017</v>
      </c>
      <c r="AM9848">
        <v>89.723144989469702</v>
      </c>
      <c r="AN9848">
        <v>0.99999998748031804</v>
      </c>
    </row>
    <row r="9849" spans="1:40" x14ac:dyDescent="0.25">
      <c r="A9849" t="str">
        <f>"20190303154033177"</f>
        <v>20190303154033177</v>
      </c>
      <c r="B9849" t="str">
        <f>"1551598833167908"</f>
        <v>1551598833167908</v>
      </c>
      <c r="C9849" t="s">
        <v>40</v>
      </c>
      <c r="D9849">
        <v>4.7406309999999996</v>
      </c>
      <c r="E9849">
        <v>0.51015259999999996</v>
      </c>
      <c r="F9849" t="s">
        <v>68</v>
      </c>
      <c r="G9849">
        <v>-187.2028</v>
      </c>
      <c r="H9849" s="1">
        <v>-1.0137970000000001E-6</v>
      </c>
      <c r="I9849">
        <v>120.56959999999999</v>
      </c>
      <c r="J9849">
        <v>-187.8544</v>
      </c>
      <c r="K9849">
        <v>1.12113</v>
      </c>
      <c r="L9849">
        <v>99.34366</v>
      </c>
      <c r="M9849">
        <v>-1.182273E-3</v>
      </c>
      <c r="N9849">
        <v>-1.4805169999999999E-2</v>
      </c>
      <c r="O9849">
        <v>0.99988969999999999</v>
      </c>
      <c r="P9849">
        <v>4.7433309999999999E-3</v>
      </c>
      <c r="Q9849">
        <v>-6.9542419999999994E-2</v>
      </c>
      <c r="R9849">
        <v>0.99756769999999995</v>
      </c>
      <c r="S9849">
        <v>9.0957640000000006E-2</v>
      </c>
      <c r="T9849">
        <v>-0.15652849999999999</v>
      </c>
      <c r="U9849">
        <v>2.9961850000000001</v>
      </c>
      <c r="V9849">
        <v>5.9066359999999998E-3</v>
      </c>
      <c r="W9849">
        <v>-5.4767499999999997E-2</v>
      </c>
      <c r="X9849">
        <v>0.99848170000000003</v>
      </c>
      <c r="Y9849">
        <v>3.1488870000000002E-2</v>
      </c>
      <c r="Z9849">
        <v>-3.7355480000000003E-2</v>
      </c>
      <c r="AA9849">
        <v>0.99880579999999997</v>
      </c>
      <c r="AB9849">
        <v>24</v>
      </c>
      <c r="AC9849">
        <v>0.65160000000000196</v>
      </c>
      <c r="AD9849">
        <v>-1.1211310137970001</v>
      </c>
      <c r="AE9849">
        <v>21.225939999999898</v>
      </c>
      <c r="AF9849">
        <v>0.67481629584240799</v>
      </c>
      <c r="AG9849">
        <v>-1.1211310137970001</v>
      </c>
      <c r="AH9849">
        <v>21.166160162234402</v>
      </c>
      <c r="AI9849">
        <v>93.030477492081999</v>
      </c>
      <c r="AJ9849">
        <v>88.173923219564401</v>
      </c>
      <c r="AK9849">
        <v>21.2065708636873</v>
      </c>
      <c r="AL9849">
        <v>93.139517312360994</v>
      </c>
      <c r="AM9849">
        <v>89.661064027188104</v>
      </c>
      <c r="AN9849">
        <v>1.0000000363199799</v>
      </c>
    </row>
    <row r="9850" spans="1:40" x14ac:dyDescent="0.25">
      <c r="A9850" t="str">
        <f>"20190303154033192"</f>
        <v>20190303154033192</v>
      </c>
      <c r="B9850" t="str">
        <f>"1551598833187428"</f>
        <v>1551598833187428</v>
      </c>
      <c r="C9850" t="s">
        <v>40</v>
      </c>
      <c r="D9850">
        <v>4.6604369999999999</v>
      </c>
      <c r="E9850">
        <v>0.54310749999999997</v>
      </c>
      <c r="F9850" t="s">
        <v>68</v>
      </c>
      <c r="G9850">
        <v>-187.14689999999999</v>
      </c>
      <c r="H9850" s="1">
        <v>-1.610321E-6</v>
      </c>
      <c r="I9850">
        <v>121.8398</v>
      </c>
      <c r="J9850">
        <v>-187.8544</v>
      </c>
      <c r="K9850">
        <v>1.1211340000000001</v>
      </c>
      <c r="L9850">
        <v>99.498900000000006</v>
      </c>
      <c r="M9850">
        <v>-1.081484E-3</v>
      </c>
      <c r="N9850">
        <v>-1.480124E-2</v>
      </c>
      <c r="O9850">
        <v>0.9998899</v>
      </c>
      <c r="P9850">
        <v>5.3313170000000003E-3</v>
      </c>
      <c r="Q9850">
        <v>-6.8709399999999907E-2</v>
      </c>
      <c r="R9850">
        <v>0.99762249999999997</v>
      </c>
      <c r="S9850">
        <v>9.4238279999999994E-2</v>
      </c>
      <c r="T9850">
        <v>-0.14933469999999999</v>
      </c>
      <c r="U9850">
        <v>2.9964900000000001</v>
      </c>
      <c r="V9850">
        <v>6.3944240000000001E-3</v>
      </c>
      <c r="W9850">
        <v>-5.3937810000000003E-2</v>
      </c>
      <c r="X9850">
        <v>0.99852379999999996</v>
      </c>
      <c r="Y9850">
        <v>3.2480309999999998E-2</v>
      </c>
      <c r="Z9850">
        <v>-3.4960709999999999E-2</v>
      </c>
      <c r="AA9850">
        <v>0.99886070000000005</v>
      </c>
      <c r="AB9850">
        <v>24</v>
      </c>
      <c r="AC9850">
        <v>0.70750000000001001</v>
      </c>
      <c r="AD9850">
        <v>-1.121135610321</v>
      </c>
      <c r="AE9850">
        <v>22.340899999999898</v>
      </c>
      <c r="AF9850">
        <v>0.72982744360087803</v>
      </c>
      <c r="AG9850">
        <v>-1.121135610321</v>
      </c>
      <c r="AH9850">
        <v>22.2840590079626</v>
      </c>
      <c r="AI9850">
        <v>92.878644589782596</v>
      </c>
      <c r="AJ9850">
        <v>88.124170700493096</v>
      </c>
      <c r="AK9850">
        <v>22.324177006656299</v>
      </c>
      <c r="AL9850">
        <v>93.091909384969</v>
      </c>
      <c r="AM9850">
        <v>89.633089867804998</v>
      </c>
      <c r="AN9850">
        <v>0.99999997758616299</v>
      </c>
    </row>
    <row r="9851" spans="1:40" x14ac:dyDescent="0.25">
      <c r="A9851" t="str">
        <f>"20190303154033212"</f>
        <v>20190303154033212</v>
      </c>
      <c r="B9851" t="str">
        <f>"1551598833207924"</f>
        <v>1551598833207924</v>
      </c>
      <c r="C9851" t="s">
        <v>40</v>
      </c>
      <c r="D9851">
        <v>4.6577000000000002</v>
      </c>
      <c r="E9851">
        <v>0.54343219999999903</v>
      </c>
      <c r="F9851" t="s">
        <v>68</v>
      </c>
      <c r="G9851">
        <v>-184.68709999999999</v>
      </c>
      <c r="H9851" s="1">
        <v>-3.8246039999999999E-6</v>
      </c>
      <c r="I9851">
        <v>125.9628</v>
      </c>
      <c r="J9851">
        <v>-187.8545</v>
      </c>
      <c r="K9851">
        <v>1.121151</v>
      </c>
      <c r="L9851">
        <v>99.710139999999996</v>
      </c>
      <c r="M9851">
        <v>-9.444392E-4</v>
      </c>
      <c r="N9851">
        <v>-1.4795890000000001E-2</v>
      </c>
      <c r="O9851">
        <v>0.9998901</v>
      </c>
      <c r="P9851">
        <v>7.1298179999999996E-3</v>
      </c>
      <c r="Q9851">
        <v>-6.7042370000000004E-2</v>
      </c>
      <c r="R9851">
        <v>0.99772470000000002</v>
      </c>
      <c r="S9851">
        <v>0.35862729999999998</v>
      </c>
      <c r="T9851">
        <v>-0.12694559999999999</v>
      </c>
      <c r="U9851">
        <v>2.9964900000000001</v>
      </c>
      <c r="V9851">
        <v>8.0568289999999997E-3</v>
      </c>
      <c r="W9851">
        <v>-5.227528E-2</v>
      </c>
      <c r="X9851">
        <v>0.99860020000000005</v>
      </c>
      <c r="Y9851">
        <v>0.1196779</v>
      </c>
      <c r="Z9851">
        <v>-2.723685E-2</v>
      </c>
      <c r="AA9851">
        <v>0.99243910000000002</v>
      </c>
      <c r="AB9851">
        <v>24</v>
      </c>
      <c r="AC9851">
        <v>3.16740000000001</v>
      </c>
      <c r="AD9851">
        <v>-1.121154824604</v>
      </c>
      <c r="AE9851">
        <v>26.252659999999999</v>
      </c>
      <c r="AF9851">
        <v>3.1864671482656401</v>
      </c>
      <c r="AG9851">
        <v>-1.121154824604</v>
      </c>
      <c r="AH9851">
        <v>26.202553184347401</v>
      </c>
      <c r="AI9851">
        <v>92.4321805831229</v>
      </c>
      <c r="AJ9851">
        <v>83.066361875488695</v>
      </c>
      <c r="AK9851">
        <v>26.419393528358398</v>
      </c>
      <c r="AL9851">
        <v>92.9965187766947</v>
      </c>
      <c r="AM9851">
        <v>89.537740647382094</v>
      </c>
      <c r="AN9851">
        <v>0.99999998841632598</v>
      </c>
    </row>
    <row r="9852" spans="1:40" x14ac:dyDescent="0.25">
      <c r="A9852" t="str">
        <f>"20190303154033234"</f>
        <v>20190303154033234</v>
      </c>
      <c r="B9852" t="str">
        <f>"1551598833227445"</f>
        <v>1551598833227445</v>
      </c>
      <c r="C9852" t="s">
        <v>40</v>
      </c>
      <c r="D9852">
        <v>4.6888249999999996</v>
      </c>
      <c r="E9852">
        <v>0.54432360000000002</v>
      </c>
      <c r="F9852" t="s">
        <v>68</v>
      </c>
      <c r="G9852">
        <v>-184.7449</v>
      </c>
      <c r="H9852" s="1">
        <v>-3.5942490000000001E-6</v>
      </c>
      <c r="I9852">
        <v>125.1069</v>
      </c>
      <c r="J9852">
        <v>-187.8545</v>
      </c>
      <c r="K9852">
        <v>1.1211580000000001</v>
      </c>
      <c r="L9852">
        <v>99.946960000000004</v>
      </c>
      <c r="M9852">
        <v>-7.9060990000000004E-4</v>
      </c>
      <c r="N9852">
        <v>-1.478993E-2</v>
      </c>
      <c r="O9852">
        <v>0.99989030000000001</v>
      </c>
      <c r="P9852">
        <v>8.2852459999999996E-3</v>
      </c>
      <c r="Q9852">
        <v>-6.6582539999999996E-2</v>
      </c>
      <c r="R9852">
        <v>0.99774649999999998</v>
      </c>
      <c r="S9852">
        <v>0.36674499999999999</v>
      </c>
      <c r="T9852">
        <v>-0.13223080000000001</v>
      </c>
      <c r="U9852">
        <v>2.9953310000000002</v>
      </c>
      <c r="V9852">
        <v>9.058979E-3</v>
      </c>
      <c r="W9852">
        <v>-5.182142E-2</v>
      </c>
      <c r="X9852">
        <v>0.99861529999999998</v>
      </c>
      <c r="Y9852">
        <v>0.1222123</v>
      </c>
      <c r="Z9852">
        <v>-2.8993109999999999E-2</v>
      </c>
      <c r="AA9852">
        <v>0.99208050000000003</v>
      </c>
      <c r="AB9852">
        <v>24</v>
      </c>
      <c r="AC9852">
        <v>3.1095999999999999</v>
      </c>
      <c r="AD9852">
        <v>-1.1211615942489901</v>
      </c>
      <c r="AE9852">
        <v>25.159939999999899</v>
      </c>
      <c r="AF9852">
        <v>3.12338406116509</v>
      </c>
      <c r="AG9852">
        <v>-1.1211615942489901</v>
      </c>
      <c r="AH9852">
        <v>25.108365431382399</v>
      </c>
      <c r="AI9852">
        <v>92.537195367626595</v>
      </c>
      <c r="AJ9852">
        <v>82.909051803308898</v>
      </c>
      <c r="AK9852">
        <v>25.326716051430701</v>
      </c>
      <c r="AL9852">
        <v>92.970479121802697</v>
      </c>
      <c r="AM9852">
        <v>89.480253280410693</v>
      </c>
      <c r="AN9852">
        <v>1.00000002103271</v>
      </c>
    </row>
    <row r="9853" spans="1:40" x14ac:dyDescent="0.25">
      <c r="A9853" t="str">
        <f>"20190303154033255"</f>
        <v>20190303154033255</v>
      </c>
      <c r="B9853" t="str">
        <f>"1551598833247940"</f>
        <v>1551598833247940</v>
      </c>
      <c r="C9853" t="s">
        <v>40</v>
      </c>
      <c r="D9853">
        <v>4.6650450000000001</v>
      </c>
      <c r="E9853">
        <v>0.54531529999999995</v>
      </c>
      <c r="F9853" t="s">
        <v>68</v>
      </c>
      <c r="G9853">
        <v>-184.32060000000001</v>
      </c>
      <c r="H9853" s="1">
        <v>-4.5067660000000001E-6</v>
      </c>
      <c r="I9853">
        <v>128.02430000000001</v>
      </c>
      <c r="J9853">
        <v>-187.8545</v>
      </c>
      <c r="K9853">
        <v>1.121165</v>
      </c>
      <c r="L9853">
        <v>100.18040000000001</v>
      </c>
      <c r="M9853">
        <v>-6.3917650000000004E-4</v>
      </c>
      <c r="N9853">
        <v>-1.478405E-2</v>
      </c>
      <c r="O9853">
        <v>0.99989050000000002</v>
      </c>
      <c r="P9853">
        <v>8.97436699999999E-3</v>
      </c>
      <c r="Q9853">
        <v>-6.5859130000000002E-2</v>
      </c>
      <c r="R9853">
        <v>0.99778849999999997</v>
      </c>
      <c r="S9853">
        <v>0.37704470000000001</v>
      </c>
      <c r="T9853">
        <v>-0.11962059999999999</v>
      </c>
      <c r="U9853">
        <v>2.9956670000000001</v>
      </c>
      <c r="V9853">
        <v>9.5972799999999997E-3</v>
      </c>
      <c r="W9853">
        <v>-5.1103460000000003E-2</v>
      </c>
      <c r="X9853">
        <v>0.99864730000000002</v>
      </c>
      <c r="Y9853">
        <v>0.1254236</v>
      </c>
      <c r="Z9853">
        <v>-2.4808670000000001E-2</v>
      </c>
      <c r="AA9853">
        <v>0.99179300000000004</v>
      </c>
      <c r="AB9853">
        <v>24</v>
      </c>
      <c r="AC9853">
        <v>3.5338999999999801</v>
      </c>
      <c r="AD9853">
        <v>-1.1211695067659999</v>
      </c>
      <c r="AE9853">
        <v>27.843900000000001</v>
      </c>
      <c r="AF9853">
        <v>3.5460400883432399</v>
      </c>
      <c r="AG9853">
        <v>-1.1211695067659999</v>
      </c>
      <c r="AH9853">
        <v>27.797280057100501</v>
      </c>
      <c r="AI9853">
        <v>92.291156310275198</v>
      </c>
      <c r="AJ9853">
        <v>82.730164557721096</v>
      </c>
      <c r="AK9853">
        <v>28.044967461987099</v>
      </c>
      <c r="AL9853">
        <v>92.929288376749</v>
      </c>
      <c r="AM9853">
        <v>89.449388476671103</v>
      </c>
      <c r="AN9853">
        <v>1.0000000506023199</v>
      </c>
    </row>
    <row r="9854" spans="1:40" x14ac:dyDescent="0.25">
      <c r="A9854" t="str">
        <f>"20190303154033278"</f>
        <v>20190303154033278</v>
      </c>
      <c r="B9854" t="str">
        <f>"1551598833267460"</f>
        <v>1551598833267460</v>
      </c>
      <c r="C9854" t="s">
        <v>40</v>
      </c>
      <c r="D9854">
        <v>4.6897570000000002</v>
      </c>
      <c r="E9854">
        <v>0.54608519999999905</v>
      </c>
      <c r="F9854" t="s">
        <v>68</v>
      </c>
      <c r="G9854">
        <v>-183.7407</v>
      </c>
      <c r="H9854" s="1">
        <v>-5.9884110000000002E-6</v>
      </c>
      <c r="I9854">
        <v>132.04220000000001</v>
      </c>
      <c r="J9854">
        <v>-187.8545</v>
      </c>
      <c r="K9854">
        <v>1.121178</v>
      </c>
      <c r="L9854">
        <v>100.42400000000001</v>
      </c>
      <c r="M9854">
        <v>-4.8164010000000001E-4</v>
      </c>
      <c r="N9854">
        <v>-1.477795E-2</v>
      </c>
      <c r="O9854">
        <v>0.99989070000000002</v>
      </c>
      <c r="P9854">
        <v>9.6783670000000002E-3</v>
      </c>
      <c r="Q9854">
        <v>-6.6162440000000003E-2</v>
      </c>
      <c r="R9854">
        <v>0.99776189999999998</v>
      </c>
      <c r="S9854">
        <v>0.38685609999999998</v>
      </c>
      <c r="T9854">
        <v>-0.1054326</v>
      </c>
      <c r="U9854">
        <v>2.996216</v>
      </c>
      <c r="V9854">
        <v>1.014406E-2</v>
      </c>
      <c r="W9854">
        <v>-5.141333E-2</v>
      </c>
      <c r="X9854">
        <v>0.99862589999999996</v>
      </c>
      <c r="Y9854">
        <v>0.12845680000000001</v>
      </c>
      <c r="Z9854">
        <v>-2.010344E-2</v>
      </c>
      <c r="AA9854">
        <v>0.99151129999999998</v>
      </c>
      <c r="AB9854">
        <v>24</v>
      </c>
      <c r="AC9854">
        <v>4.1137999999999897</v>
      </c>
      <c r="AD9854">
        <v>-1.121183988411</v>
      </c>
      <c r="AE9854">
        <v>31.618200000000002</v>
      </c>
      <c r="AF9854">
        <v>4.1239305965103004</v>
      </c>
      <c r="AG9854">
        <v>-1.121183988411</v>
      </c>
      <c r="AH9854">
        <v>31.577170018142599</v>
      </c>
      <c r="AI9854">
        <v>92.016390033256897</v>
      </c>
      <c r="AJ9854">
        <v>82.5593696155223</v>
      </c>
      <c r="AK9854">
        <v>31.865051756671999</v>
      </c>
      <c r="AL9854">
        <v>92.947066255486206</v>
      </c>
      <c r="AM9854">
        <v>89.418008449891005</v>
      </c>
      <c r="AN9854">
        <v>0.99999996030288996</v>
      </c>
    </row>
    <row r="9855" spans="1:40" x14ac:dyDescent="0.25">
      <c r="A9855" t="str">
        <f>"20190303154033300"</f>
        <v>20190303154033300</v>
      </c>
      <c r="B9855" t="str">
        <f>"1551598833287956"</f>
        <v>1551598833287956</v>
      </c>
      <c r="C9855" t="s">
        <v>40</v>
      </c>
      <c r="D9855">
        <v>4.6628059999999998</v>
      </c>
      <c r="E9855">
        <v>0.54626319999999995</v>
      </c>
      <c r="F9855" t="s">
        <v>68</v>
      </c>
      <c r="G9855">
        <v>-183.4905</v>
      </c>
      <c r="H9855" s="1">
        <v>-6.487754E-6</v>
      </c>
      <c r="I9855">
        <v>133.523</v>
      </c>
      <c r="J9855">
        <v>-187.8544</v>
      </c>
      <c r="K9855">
        <v>1.1211770000000001</v>
      </c>
      <c r="L9855">
        <v>100.6606</v>
      </c>
      <c r="M9855">
        <v>-3.3153190000000002E-4</v>
      </c>
      <c r="N9855">
        <v>-1.477205E-2</v>
      </c>
      <c r="O9855">
        <v>0.99989079999999997</v>
      </c>
      <c r="P9855">
        <v>1.036487E-2</v>
      </c>
      <c r="Q9855">
        <v>-6.7492540000000004E-2</v>
      </c>
      <c r="R9855">
        <v>0.99766589999999999</v>
      </c>
      <c r="S9855">
        <v>0.39503480000000002</v>
      </c>
      <c r="T9855">
        <v>-0.1014909</v>
      </c>
      <c r="U9855">
        <v>2.9961549999999999</v>
      </c>
      <c r="V9855">
        <v>1.068057E-2</v>
      </c>
      <c r="W9855">
        <v>-5.2750709999999999E-2</v>
      </c>
      <c r="X9855">
        <v>0.99855059999999995</v>
      </c>
      <c r="Y9855">
        <v>0.13097500000000001</v>
      </c>
      <c r="Z9855">
        <v>-1.879577E-2</v>
      </c>
      <c r="AA9855">
        <v>0.99120750000000002</v>
      </c>
      <c r="AB9855">
        <v>24</v>
      </c>
      <c r="AC9855">
        <v>4.3639000000000001</v>
      </c>
      <c r="AD9855">
        <v>-1.1211834877539999</v>
      </c>
      <c r="AE9855">
        <v>32.862399999999901</v>
      </c>
      <c r="AF9855">
        <v>4.3697975577685702</v>
      </c>
      <c r="AG9855">
        <v>-1.1211834877539999</v>
      </c>
      <c r="AH9855">
        <v>32.823406716220298</v>
      </c>
      <c r="AI9855">
        <v>91.939254623000295</v>
      </c>
      <c r="AJ9855">
        <v>82.416773700877997</v>
      </c>
      <c r="AK9855">
        <v>33.131981702993698</v>
      </c>
      <c r="AL9855">
        <v>93.023796492137095</v>
      </c>
      <c r="AM9855">
        <v>89.387183535392893</v>
      </c>
      <c r="AN9855">
        <v>1.00000000637069</v>
      </c>
    </row>
    <row r="9856" spans="1:40" x14ac:dyDescent="0.25">
      <c r="A9856" t="str">
        <f>"20190303154033322"</f>
        <v>20190303154033322</v>
      </c>
      <c r="B9856" t="str">
        <f>"1551598833318212"</f>
        <v>1551598833318212</v>
      </c>
      <c r="C9856" t="s">
        <v>40</v>
      </c>
      <c r="D9856">
        <v>4.6661109999999999</v>
      </c>
      <c r="E9856">
        <v>0.54613789999999995</v>
      </c>
      <c r="F9856" t="s">
        <v>68</v>
      </c>
      <c r="G9856">
        <v>-183.89519999999999</v>
      </c>
      <c r="H9856" s="1">
        <v>-5.4573729999999999E-6</v>
      </c>
      <c r="I9856">
        <v>130.4101</v>
      </c>
      <c r="J9856">
        <v>-187.85429999999999</v>
      </c>
      <c r="K9856">
        <v>1.1211719999999901</v>
      </c>
      <c r="L9856">
        <v>100.8921</v>
      </c>
      <c r="M9856">
        <v>-1.9134910000000001E-4</v>
      </c>
      <c r="N9856">
        <v>-1.476627E-2</v>
      </c>
      <c r="O9856">
        <v>0.99989099999999997</v>
      </c>
      <c r="P9856">
        <v>1.166501E-2</v>
      </c>
      <c r="Q9856">
        <v>-6.877925E-2</v>
      </c>
      <c r="R9856">
        <v>0.99756369999999905</v>
      </c>
      <c r="S9856">
        <v>0.39862059999999999</v>
      </c>
      <c r="T9856">
        <v>-0.11288289999999999</v>
      </c>
      <c r="U9856">
        <v>2.9952390000000002</v>
      </c>
      <c r="V9856">
        <v>1.1840959999999999E-2</v>
      </c>
      <c r="W9856">
        <v>-5.4044769999999999E-2</v>
      </c>
      <c r="X9856">
        <v>0.99846829999999998</v>
      </c>
      <c r="Y9856">
        <v>0.13202710000000001</v>
      </c>
      <c r="Z9856">
        <v>-2.2571379999999999E-2</v>
      </c>
      <c r="AA9856">
        <v>0.99098909999999996</v>
      </c>
      <c r="AB9856">
        <v>24</v>
      </c>
      <c r="AC9856">
        <v>3.9590999999999998</v>
      </c>
      <c r="AD9856">
        <v>-1.12117745737299</v>
      </c>
      <c r="AE9856">
        <v>29.518000000000001</v>
      </c>
      <c r="AF9856">
        <v>3.9591378902744698</v>
      </c>
      <c r="AG9856">
        <v>-1.12117745737299</v>
      </c>
      <c r="AH9856">
        <v>29.4754691318836</v>
      </c>
      <c r="AI9856">
        <v>92.158976139999993</v>
      </c>
      <c r="AJ9856">
        <v>82.349833048899796</v>
      </c>
      <c r="AK9856">
        <v>29.761301924978799</v>
      </c>
      <c r="AL9856">
        <v>93.098046637037498</v>
      </c>
      <c r="AM9856">
        <v>89.320554061454203</v>
      </c>
      <c r="AN9856">
        <v>0.99999999580148202</v>
      </c>
    </row>
    <row r="9857" spans="1:40" x14ac:dyDescent="0.25">
      <c r="A9857" t="str">
        <f>"20190303154033344"</f>
        <v>20190303154033344</v>
      </c>
      <c r="B9857" t="str">
        <f>"1551598833337737"</f>
        <v>1551598833337737</v>
      </c>
      <c r="C9857" t="s">
        <v>40</v>
      </c>
      <c r="D9857">
        <v>4.6559019999999904</v>
      </c>
      <c r="E9857">
        <v>0.54602439999999997</v>
      </c>
      <c r="F9857" t="s">
        <v>68</v>
      </c>
      <c r="G9857">
        <v>-184.4529</v>
      </c>
      <c r="H9857" s="1">
        <v>-3.9257469999999998E-6</v>
      </c>
      <c r="I9857">
        <v>126.22669999999999</v>
      </c>
      <c r="J9857">
        <v>-187.85419999999999</v>
      </c>
      <c r="K9857">
        <v>1.1211719999999901</v>
      </c>
      <c r="L9857">
        <v>101.14060000000001</v>
      </c>
      <c r="M9857" s="1">
        <v>-5.5706150000000002E-5</v>
      </c>
      <c r="N9857">
        <v>-1.476013E-2</v>
      </c>
      <c r="O9857">
        <v>0.99989099999999997</v>
      </c>
      <c r="P9857">
        <v>1.2459039999999999E-2</v>
      </c>
      <c r="Q9857">
        <v>-6.9618630000000001E-2</v>
      </c>
      <c r="R9857">
        <v>0.99749589999999999</v>
      </c>
      <c r="S9857">
        <v>0.40190120000000001</v>
      </c>
      <c r="T9857">
        <v>-0.13247639999999999</v>
      </c>
      <c r="U9857">
        <v>2.9935</v>
      </c>
      <c r="V9857">
        <v>1.250067E-2</v>
      </c>
      <c r="W9857">
        <v>-5.4891059999999998E-2</v>
      </c>
      <c r="X9857">
        <v>0.99841409999999997</v>
      </c>
      <c r="Y9857">
        <v>0.13300580000000001</v>
      </c>
      <c r="Z9857">
        <v>-2.9068210000000001E-2</v>
      </c>
      <c r="AA9857">
        <v>0.99068889999999998</v>
      </c>
      <c r="AB9857">
        <v>24</v>
      </c>
      <c r="AC9857">
        <v>3.4012999999999902</v>
      </c>
      <c r="AD9857">
        <v>-1.12117592574699</v>
      </c>
      <c r="AE9857">
        <v>25.086099999999899</v>
      </c>
      <c r="AF9857">
        <v>3.3960365529188801</v>
      </c>
      <c r="AG9857">
        <v>-1.12117592574699</v>
      </c>
      <c r="AH9857">
        <v>25.036802853681099</v>
      </c>
      <c r="AI9857">
        <v>92.540819382914094</v>
      </c>
      <c r="AJ9857">
        <v>82.275442075151503</v>
      </c>
      <c r="AK9857">
        <v>25.290939026839801</v>
      </c>
      <c r="AL9857">
        <v>93.146607542182807</v>
      </c>
      <c r="AM9857">
        <v>89.282664168052094</v>
      </c>
      <c r="AN9857">
        <v>1.00000000514859</v>
      </c>
    </row>
    <row r="9858" spans="1:40" x14ac:dyDescent="0.25">
      <c r="A9858" t="str">
        <f>"20190303154033367"</f>
        <v>20190303154033367</v>
      </c>
      <c r="B9858" t="str">
        <f>"1551598833358233"</f>
        <v>1551598833358233</v>
      </c>
      <c r="C9858" t="s">
        <v>40</v>
      </c>
      <c r="D9858">
        <v>4.6286759999999996</v>
      </c>
      <c r="E9858">
        <v>0.54587220000000003</v>
      </c>
      <c r="F9858" t="s">
        <v>68</v>
      </c>
      <c r="G9858">
        <v>-184.67019999999999</v>
      </c>
      <c r="H9858" s="1">
        <v>-3.513594E-6</v>
      </c>
      <c r="I9858">
        <v>124.7563</v>
      </c>
      <c r="J9858">
        <v>-187.85400000000001</v>
      </c>
      <c r="K9858">
        <v>1.121184</v>
      </c>
      <c r="L9858">
        <v>101.377</v>
      </c>
      <c r="M9858" s="1">
        <v>4.7710970000000002E-5</v>
      </c>
      <c r="N9858">
        <v>-1.4754359999999999E-2</v>
      </c>
      <c r="O9858">
        <v>0.99989119999999998</v>
      </c>
      <c r="P9858">
        <v>1.2959409999999999E-2</v>
      </c>
      <c r="Q9858">
        <v>-6.9703000000000001E-2</v>
      </c>
      <c r="R9858">
        <v>0.99748360000000003</v>
      </c>
      <c r="S9858">
        <v>0.40347290000000002</v>
      </c>
      <c r="T9858">
        <v>-0.14207539999999999</v>
      </c>
      <c r="U9858">
        <v>2.9925839999999999</v>
      </c>
      <c r="V9858">
        <v>1.2900129999999999E-2</v>
      </c>
      <c r="W9858">
        <v>-5.4980920000000003E-2</v>
      </c>
      <c r="X9858">
        <v>0.99840410000000002</v>
      </c>
      <c r="Y9858">
        <v>0.1334379</v>
      </c>
      <c r="Z9858">
        <v>-3.2255300000000001E-2</v>
      </c>
      <c r="AA9858">
        <v>0.99053219999999997</v>
      </c>
      <c r="AB9858">
        <v>24</v>
      </c>
      <c r="AC9858">
        <v>3.1838000000000202</v>
      </c>
      <c r="AD9858">
        <v>-1.1211875135939999</v>
      </c>
      <c r="AE9858">
        <v>23.379299999999901</v>
      </c>
      <c r="AF9858">
        <v>3.17551429118735</v>
      </c>
      <c r="AG9858">
        <v>-1.1211875135939999</v>
      </c>
      <c r="AH9858">
        <v>23.3267813166824</v>
      </c>
      <c r="AI9858">
        <v>92.726658422537994</v>
      </c>
      <c r="AJ9858">
        <v>82.247881016456105</v>
      </c>
      <c r="AK9858">
        <v>23.568616400851699</v>
      </c>
      <c r="AL9858">
        <v>93.151763846407107</v>
      </c>
      <c r="AM9858">
        <v>89.2597367367256</v>
      </c>
      <c r="AN9858">
        <v>1.0000000309074299</v>
      </c>
    </row>
    <row r="9859" spans="1:40" x14ac:dyDescent="0.25">
      <c r="A9859" t="str">
        <f>"20190303154033389"</f>
        <v>20190303154033389</v>
      </c>
      <c r="B9859" t="str">
        <f>"1551598833377753"</f>
        <v>1551598833377753</v>
      </c>
      <c r="C9859" t="s">
        <v>40</v>
      </c>
      <c r="D9859">
        <v>4.6528390000000002</v>
      </c>
      <c r="E9859">
        <v>0.54577929999999997</v>
      </c>
      <c r="F9859" t="s">
        <v>68</v>
      </c>
      <c r="G9859">
        <v>-184.8021</v>
      </c>
      <c r="H9859" s="1">
        <v>-3.113187E-6</v>
      </c>
      <c r="I9859">
        <v>123.98569999999999</v>
      </c>
      <c r="J9859">
        <v>-187.85390000000001</v>
      </c>
      <c r="K9859">
        <v>1.121191</v>
      </c>
      <c r="L9859">
        <v>101.6159</v>
      </c>
      <c r="M9859">
        <v>1.204827E-4</v>
      </c>
      <c r="N9859">
        <v>-1.4748529999999999E-2</v>
      </c>
      <c r="O9859">
        <v>0.99989119999999998</v>
      </c>
      <c r="P9859">
        <v>1.296812E-2</v>
      </c>
      <c r="Q9859">
        <v>-7.0269499999999999E-2</v>
      </c>
      <c r="R9859">
        <v>0.99744370000000004</v>
      </c>
      <c r="S9859">
        <v>0.40388489999999999</v>
      </c>
      <c r="T9859">
        <v>-0.14837339999999999</v>
      </c>
      <c r="U9859">
        <v>2.991943</v>
      </c>
      <c r="V9859">
        <v>1.283946E-2</v>
      </c>
      <c r="W9859">
        <v>-5.5552959999999998E-2</v>
      </c>
      <c r="X9859">
        <v>0.99837319999999996</v>
      </c>
      <c r="Y9859">
        <v>0.13351640000000001</v>
      </c>
      <c r="Z9859">
        <v>-3.4350529999999997E-2</v>
      </c>
      <c r="AA9859">
        <v>0.99045110000000003</v>
      </c>
      <c r="AB9859">
        <v>24</v>
      </c>
      <c r="AC9859">
        <v>3.0518000000000098</v>
      </c>
      <c r="AD9859">
        <v>-1.121194113187</v>
      </c>
      <c r="AE9859">
        <v>22.369800000000001</v>
      </c>
      <c r="AF9859">
        <v>3.04160330125982</v>
      </c>
      <c r="AG9859">
        <v>-1.121194113187</v>
      </c>
      <c r="AH9859">
        <v>22.315133929317</v>
      </c>
      <c r="AI9859">
        <v>92.850022800083593</v>
      </c>
      <c r="AJ9859">
        <v>82.238286130246905</v>
      </c>
      <c r="AK9859">
        <v>22.549359839362101</v>
      </c>
      <c r="AL9859">
        <v>93.184589545179804</v>
      </c>
      <c r="AM9859">
        <v>89.263195048520103</v>
      </c>
      <c r="AN9859">
        <v>1.0000000147880399</v>
      </c>
    </row>
    <row r="9860" spans="1:40" x14ac:dyDescent="0.25">
      <c r="A9860" t="str">
        <f>"20190303154033412"</f>
        <v>20190303154033412</v>
      </c>
      <c r="B9860" t="str">
        <f>"1551598833408010"</f>
        <v>1551598833408010</v>
      </c>
      <c r="C9860" t="s">
        <v>40</v>
      </c>
      <c r="D9860">
        <v>4.6596769999999896</v>
      </c>
      <c r="E9860">
        <v>0.54580969999999995</v>
      </c>
      <c r="F9860" t="s">
        <v>68</v>
      </c>
      <c r="G9860">
        <v>-184.93729999999999</v>
      </c>
      <c r="H9860" s="1">
        <v>-2.6911170000000002E-6</v>
      </c>
      <c r="I9860">
        <v>123.25020000000001</v>
      </c>
      <c r="J9860">
        <v>-187.85390000000001</v>
      </c>
      <c r="K9860">
        <v>1.121216</v>
      </c>
      <c r="L9860">
        <v>101.8621</v>
      </c>
      <c r="M9860">
        <v>1.5115690000000001E-4</v>
      </c>
      <c r="N9860">
        <v>-1.4742480000000001E-2</v>
      </c>
      <c r="O9860">
        <v>0.99989130000000004</v>
      </c>
      <c r="P9860">
        <v>1.3944420000000001E-2</v>
      </c>
      <c r="Q9860">
        <v>-7.1167610000000006E-2</v>
      </c>
      <c r="R9860">
        <v>0.99736689999999995</v>
      </c>
      <c r="S9860">
        <v>0.40330510000000003</v>
      </c>
      <c r="T9860">
        <v>-0.15503510000000001</v>
      </c>
      <c r="U9860">
        <v>2.9915159999999998</v>
      </c>
      <c r="V9860">
        <v>1.3789300000000001E-2</v>
      </c>
      <c r="W9860">
        <v>-5.645725E-2</v>
      </c>
      <c r="X9860">
        <v>0.99830980000000002</v>
      </c>
      <c r="Y9860">
        <v>0.1333037</v>
      </c>
      <c r="Z9860">
        <v>-3.6564850000000003E-2</v>
      </c>
      <c r="AA9860">
        <v>0.99040050000000002</v>
      </c>
      <c r="AB9860">
        <v>24</v>
      </c>
      <c r="AC9860">
        <v>2.9166000000000101</v>
      </c>
      <c r="AD9860">
        <v>-1.1212186911169999</v>
      </c>
      <c r="AE9860">
        <v>21.388100000000001</v>
      </c>
      <c r="AF9860">
        <v>2.9055276776845198</v>
      </c>
      <c r="AG9860">
        <v>-1.1212186911169999</v>
      </c>
      <c r="AH9860">
        <v>21.3309906461038</v>
      </c>
      <c r="AI9860">
        <v>92.981383033704503</v>
      </c>
      <c r="AJ9860">
        <v>82.243387986260899</v>
      </c>
      <c r="AK9860">
        <v>21.5571423055856</v>
      </c>
      <c r="AL9860">
        <v>93.236483005558895</v>
      </c>
      <c r="AM9860">
        <v>89.208643997416502</v>
      </c>
      <c r="AN9860">
        <v>1.0000000113240399</v>
      </c>
    </row>
    <row r="9861" spans="1:40" x14ac:dyDescent="0.25">
      <c r="A9861" t="str">
        <f>"20190303154033435"</f>
        <v>20190303154033435</v>
      </c>
      <c r="B9861" t="str">
        <f>"1551598833427530"</f>
        <v>1551598833427530</v>
      </c>
      <c r="C9861" t="s">
        <v>40</v>
      </c>
      <c r="D9861">
        <v>4.6529949999999998</v>
      </c>
      <c r="E9861">
        <v>0.54579909999999998</v>
      </c>
      <c r="F9861" t="s">
        <v>68</v>
      </c>
      <c r="G9861">
        <v>-185.05109999999999</v>
      </c>
      <c r="H9861" s="1">
        <v>-2.249216E-6</v>
      </c>
      <c r="I9861">
        <v>122.473</v>
      </c>
      <c r="J9861">
        <v>-187.85390000000001</v>
      </c>
      <c r="K9861">
        <v>1.1212500000000001</v>
      </c>
      <c r="L9861">
        <v>102.09739999999999</v>
      </c>
      <c r="M9861">
        <v>1.2585769999999999E-4</v>
      </c>
      <c r="N9861">
        <v>-1.473679E-2</v>
      </c>
      <c r="O9861">
        <v>0.99989139999999999</v>
      </c>
      <c r="P9861">
        <v>1.541326E-2</v>
      </c>
      <c r="Q9861">
        <v>-7.209699E-2</v>
      </c>
      <c r="R9861">
        <v>0.99727849999999996</v>
      </c>
      <c r="S9861">
        <v>0.40667720000000002</v>
      </c>
      <c r="T9861">
        <v>-0.16268840000000001</v>
      </c>
      <c r="U9861">
        <v>2.990631</v>
      </c>
      <c r="V9861">
        <v>1.5288370000000001E-2</v>
      </c>
      <c r="W9861">
        <v>-5.7392279999999997E-2</v>
      </c>
      <c r="X9861">
        <v>0.99823459999999997</v>
      </c>
      <c r="Y9861">
        <v>0.13444819999999999</v>
      </c>
      <c r="Z9861">
        <v>-3.9104590000000002E-2</v>
      </c>
      <c r="AA9861">
        <v>0.99014869999999999</v>
      </c>
      <c r="AB9861">
        <v>24</v>
      </c>
      <c r="AC9861">
        <v>2.8028000000000102</v>
      </c>
      <c r="AD9861">
        <v>-1.121252249216</v>
      </c>
      <c r="AE9861">
        <v>20.375599999999999</v>
      </c>
      <c r="AF9861">
        <v>2.7919377075435201</v>
      </c>
      <c r="AG9861">
        <v>-1.121252249216</v>
      </c>
      <c r="AH9861">
        <v>20.315575274312099</v>
      </c>
      <c r="AI9861">
        <v>93.129692551882201</v>
      </c>
      <c r="AJ9861">
        <v>82.174947840670796</v>
      </c>
      <c r="AK9861">
        <v>20.5371546591882</v>
      </c>
      <c r="AL9861">
        <v>93.290143452673306</v>
      </c>
      <c r="AM9861">
        <v>89.122560370628193</v>
      </c>
      <c r="AN9861">
        <v>0.99999996234900601</v>
      </c>
    </row>
    <row r="9862" spans="1:40" x14ac:dyDescent="0.25">
      <c r="A9862" t="str">
        <f>"20190303154033456"</f>
        <v>20190303154033456</v>
      </c>
      <c r="B9862" t="str">
        <f>"1551598833448025"</f>
        <v>1551598833448025</v>
      </c>
      <c r="C9862" t="s">
        <v>40</v>
      </c>
      <c r="D9862">
        <v>4.6996529999999996</v>
      </c>
      <c r="E9862">
        <v>0.545965699999999</v>
      </c>
      <c r="F9862" t="s">
        <v>68</v>
      </c>
      <c r="G9862">
        <v>-185.1302</v>
      </c>
      <c r="H9862" s="1">
        <v>-1.9574559999999999E-6</v>
      </c>
      <c r="I9862">
        <v>121.9012</v>
      </c>
      <c r="J9862">
        <v>-187.85390000000001</v>
      </c>
      <c r="K9862">
        <v>1.121297</v>
      </c>
      <c r="L9862">
        <v>102.33540000000001</v>
      </c>
      <c r="M9862" s="1">
        <v>4.4123979999999998E-5</v>
      </c>
      <c r="N9862">
        <v>-1.473115E-2</v>
      </c>
      <c r="O9862">
        <v>0.99989150000000004</v>
      </c>
      <c r="P9862">
        <v>1.6531339999999999E-2</v>
      </c>
      <c r="Q9862">
        <v>-7.1517499999999998E-2</v>
      </c>
      <c r="R9862">
        <v>0.99730240000000003</v>
      </c>
      <c r="S9862">
        <v>0.41116330000000001</v>
      </c>
      <c r="T9862">
        <v>-0.16926440000000001</v>
      </c>
      <c r="U9862">
        <v>2.9895939999999999</v>
      </c>
      <c r="V9862">
        <v>1.649335E-2</v>
      </c>
      <c r="W9862">
        <v>-5.6816569999999997E-2</v>
      </c>
      <c r="X9862">
        <v>0.99824840000000004</v>
      </c>
      <c r="Y9862">
        <v>0.13601839999999901</v>
      </c>
      <c r="Z9862">
        <v>-4.1288159999999997E-2</v>
      </c>
      <c r="AA9862">
        <v>0.98984559999999999</v>
      </c>
      <c r="AB9862">
        <v>24</v>
      </c>
      <c r="AC9862">
        <v>2.7237</v>
      </c>
      <c r="AD9862">
        <v>-1.1212989574559999</v>
      </c>
      <c r="AE9862">
        <v>19.565799999999999</v>
      </c>
      <c r="AF9862">
        <v>2.7140920489155298</v>
      </c>
      <c r="AG9862">
        <v>-1.1212989574559999</v>
      </c>
      <c r="AH9862">
        <v>19.503083186354601</v>
      </c>
      <c r="AI9862">
        <v>93.259169221725699</v>
      </c>
      <c r="AJ9862">
        <v>82.077474407070696</v>
      </c>
      <c r="AK9862">
        <v>19.722927287191599</v>
      </c>
      <c r="AL9862">
        <v>93.257103626443694</v>
      </c>
      <c r="AM9862">
        <v>89.053428617007697</v>
      </c>
      <c r="AN9862">
        <v>1.00000001066167</v>
      </c>
    </row>
    <row r="9863" spans="1:40" x14ac:dyDescent="0.25">
      <c r="A9863" t="str">
        <f>"20190303154033478"</f>
        <v>20190303154033478</v>
      </c>
      <c r="B9863" t="str">
        <f>"1551598833467549"</f>
        <v>1551598833467549</v>
      </c>
      <c r="C9863" t="s">
        <v>40</v>
      </c>
      <c r="D9863">
        <v>4.679271</v>
      </c>
      <c r="E9863">
        <v>0.54613290000000003</v>
      </c>
      <c r="F9863" t="s">
        <v>68</v>
      </c>
      <c r="G9863">
        <v>-185.0677</v>
      </c>
      <c r="H9863" s="1">
        <v>-2.1842549999999998E-6</v>
      </c>
      <c r="I9863">
        <v>122.3587</v>
      </c>
      <c r="J9863">
        <v>-187.85400000000001</v>
      </c>
      <c r="K9863">
        <v>1.121346</v>
      </c>
      <c r="L9863">
        <v>102.56229999999999</v>
      </c>
      <c r="M9863" s="1">
        <v>-9.7375900000000004E-5</v>
      </c>
      <c r="N9863">
        <v>-1.4725899999999899E-2</v>
      </c>
      <c r="O9863">
        <v>0.99989159999999999</v>
      </c>
      <c r="P9863">
        <v>1.740591E-2</v>
      </c>
      <c r="Q9863">
        <v>-7.1201490000000006E-2</v>
      </c>
      <c r="R9863">
        <v>0.99731009999999998</v>
      </c>
      <c r="S9863">
        <v>0.41595460000000001</v>
      </c>
      <c r="T9863">
        <v>-0.1673964</v>
      </c>
      <c r="U9863">
        <v>2.9892270000000001</v>
      </c>
      <c r="V9863">
        <v>1.7514760000000001E-2</v>
      </c>
      <c r="W9863">
        <v>-5.6503860000000003E-2</v>
      </c>
      <c r="X9863">
        <v>0.99824880000000005</v>
      </c>
      <c r="Y9863">
        <v>0.13773479999999999</v>
      </c>
      <c r="Z9863">
        <v>-4.0670770000000002E-2</v>
      </c>
      <c r="AA9863">
        <v>0.98963380000000001</v>
      </c>
      <c r="AB9863">
        <v>24</v>
      </c>
      <c r="AC9863">
        <v>2.78630000000001</v>
      </c>
      <c r="AD9863">
        <v>-1.1213481842549999</v>
      </c>
      <c r="AE9863">
        <v>19.796399999999998</v>
      </c>
      <c r="AF9863">
        <v>2.7794830190111002</v>
      </c>
      <c r="AG9863">
        <v>-1.1213481842549999</v>
      </c>
      <c r="AH9863">
        <v>19.734040896019401</v>
      </c>
      <c r="AI9863">
        <v>93.220503762441496</v>
      </c>
      <c r="AJ9863">
        <v>81.982791229452999</v>
      </c>
      <c r="AK9863">
        <v>19.960343626527798</v>
      </c>
      <c r="AL9863">
        <v>93.239157674264504</v>
      </c>
      <c r="AM9863">
        <v>88.994820860169696</v>
      </c>
      <c r="AN9863">
        <v>1.00000005985709</v>
      </c>
    </row>
    <row r="9864" spans="1:40" x14ac:dyDescent="0.25">
      <c r="A9864" t="str">
        <f>"20190303154033500"</f>
        <v>20190303154033500</v>
      </c>
      <c r="B9864" t="str">
        <f>"1551598833497805"</f>
        <v>1551598833497805</v>
      </c>
      <c r="C9864" t="s">
        <v>40</v>
      </c>
      <c r="D9864">
        <v>4.6965769999999996</v>
      </c>
      <c r="E9864">
        <v>0.54630389999999995</v>
      </c>
      <c r="F9864" t="s">
        <v>68</v>
      </c>
      <c r="G9864">
        <v>-184.9633</v>
      </c>
      <c r="H9864" s="1">
        <v>-2.6336530000000001E-6</v>
      </c>
      <c r="I9864">
        <v>123.1519</v>
      </c>
      <c r="J9864">
        <v>-187.85429999999999</v>
      </c>
      <c r="K9864">
        <v>1.121399</v>
      </c>
      <c r="L9864">
        <v>102.7957</v>
      </c>
      <c r="M9864">
        <v>-3.210493E-4</v>
      </c>
      <c r="N9864">
        <v>-1.472058E-2</v>
      </c>
      <c r="O9864">
        <v>0.99989159999999999</v>
      </c>
      <c r="P9864">
        <v>1.7908859999999999E-2</v>
      </c>
      <c r="Q9864">
        <v>-7.0459480000000005E-2</v>
      </c>
      <c r="R9864">
        <v>0.99735390000000002</v>
      </c>
      <c r="S9864">
        <v>0.41967769999999999</v>
      </c>
      <c r="T9864">
        <v>-0.16279579999999999</v>
      </c>
      <c r="U9864">
        <v>2.989166</v>
      </c>
      <c r="V9864">
        <v>1.8247550000000001E-2</v>
      </c>
      <c r="W9864">
        <v>-5.5764279999999999E-2</v>
      </c>
      <c r="X9864">
        <v>0.99827719999999998</v>
      </c>
      <c r="Y9864">
        <v>0.1391773</v>
      </c>
      <c r="Z9864">
        <v>-3.9148280000000001E-2</v>
      </c>
      <c r="AA9864">
        <v>0.98949339999999997</v>
      </c>
      <c r="AB9864">
        <v>24</v>
      </c>
      <c r="AC9864">
        <v>2.8909999999999898</v>
      </c>
      <c r="AD9864">
        <v>-1.1214016336529999</v>
      </c>
      <c r="AE9864">
        <v>20.356200000000001</v>
      </c>
      <c r="AF9864">
        <v>2.8889419044233899</v>
      </c>
      <c r="AG9864">
        <v>-1.1214016336529999</v>
      </c>
      <c r="AH9864">
        <v>20.294897617053199</v>
      </c>
      <c r="AI9864">
        <v>93.131181423449405</v>
      </c>
      <c r="AJ9864">
        <v>81.898477417585198</v>
      </c>
      <c r="AK9864">
        <v>20.530133858252501</v>
      </c>
      <c r="AL9864">
        <v>93.196716140667903</v>
      </c>
      <c r="AM9864">
        <v>88.952804709994396</v>
      </c>
      <c r="AN9864">
        <v>0.99999999802238004</v>
      </c>
    </row>
    <row r="9865" spans="1:40" x14ac:dyDescent="0.25">
      <c r="A9865" t="str">
        <f>"20190303154033523"</f>
        <v>20190303154033523</v>
      </c>
      <c r="B9865" t="str">
        <f>"1551598833518301"</f>
        <v>1551598833518301</v>
      </c>
      <c r="C9865" t="s">
        <v>40</v>
      </c>
      <c r="D9865">
        <v>4.721012</v>
      </c>
      <c r="E9865">
        <v>0.54647409999999996</v>
      </c>
      <c r="F9865" t="s">
        <v>68</v>
      </c>
      <c r="G9865">
        <v>-184.80240000000001</v>
      </c>
      <c r="H9865" s="1">
        <v>-3.3357099999999902E-6</v>
      </c>
      <c r="I9865">
        <v>124.3917</v>
      </c>
      <c r="J9865">
        <v>-187.85470000000001</v>
      </c>
      <c r="K9865">
        <v>1.121451</v>
      </c>
      <c r="L9865">
        <v>103.0278</v>
      </c>
      <c r="M9865">
        <v>-6.2663400000000005E-4</v>
      </c>
      <c r="N9865">
        <v>-1.4715310000000001E-2</v>
      </c>
      <c r="O9865">
        <v>0.99989150000000004</v>
      </c>
      <c r="P9865">
        <v>1.8170559999999999E-2</v>
      </c>
      <c r="Q9865">
        <v>-7.1049719999999997E-2</v>
      </c>
      <c r="R9865">
        <v>0.99730719999999995</v>
      </c>
      <c r="S9865">
        <v>0.42245480000000002</v>
      </c>
      <c r="T9865">
        <v>-0.1552289</v>
      </c>
      <c r="U9865">
        <v>2.9894099999999999</v>
      </c>
      <c r="V9865">
        <v>1.8822040000000002E-2</v>
      </c>
      <c r="W9865">
        <v>-5.635768E-2</v>
      </c>
      <c r="X9865">
        <v>0.99823320000000004</v>
      </c>
      <c r="Y9865">
        <v>0.14038539999999999</v>
      </c>
      <c r="Z9865">
        <v>-3.6643340000000003E-2</v>
      </c>
      <c r="AA9865">
        <v>0.98941860000000004</v>
      </c>
      <c r="AB9865">
        <v>24</v>
      </c>
      <c r="AC9865">
        <v>3.0522999999999998</v>
      </c>
      <c r="AD9865">
        <v>-1.12145433571</v>
      </c>
      <c r="AE9865">
        <v>21.363900000000001</v>
      </c>
      <c r="AF9865">
        <v>3.05743193981339</v>
      </c>
      <c r="AG9865">
        <v>-1.12145433571</v>
      </c>
      <c r="AH9865">
        <v>21.304452603451399</v>
      </c>
      <c r="AI9865">
        <v>92.982733440952302</v>
      </c>
      <c r="AJ9865">
        <v>81.833164248517306</v>
      </c>
      <c r="AK9865">
        <v>21.551919882608701</v>
      </c>
      <c r="AL9865">
        <v>93.2307690379413</v>
      </c>
      <c r="AM9865">
        <v>88.919795816102706</v>
      </c>
      <c r="AN9865">
        <v>0.999999989433491</v>
      </c>
    </row>
    <row r="9866" spans="1:40" x14ac:dyDescent="0.25">
      <c r="A9866" t="str">
        <f>"20190303154033546"</f>
        <v>20190303154033546</v>
      </c>
      <c r="B9866" t="str">
        <f>"1551598833538328"</f>
        <v>1551598833538328</v>
      </c>
      <c r="C9866" t="s">
        <v>40</v>
      </c>
      <c r="D9866">
        <v>4.6639400000000002</v>
      </c>
      <c r="E9866">
        <v>0.58961330000000001</v>
      </c>
      <c r="F9866" t="s">
        <v>68</v>
      </c>
      <c r="G9866">
        <v>-184.85470000000001</v>
      </c>
      <c r="H9866" s="1">
        <v>-3.194427E-6</v>
      </c>
      <c r="I9866">
        <v>124.1473</v>
      </c>
      <c r="J9866">
        <v>-187.8553</v>
      </c>
      <c r="K9866">
        <v>1.1214900000000001</v>
      </c>
      <c r="L9866">
        <v>103.2693</v>
      </c>
      <c r="M9866">
        <v>-1.023431E-3</v>
      </c>
      <c r="N9866">
        <v>-1.470993E-2</v>
      </c>
      <c r="O9866">
        <v>0.99989130000000004</v>
      </c>
      <c r="P9866">
        <v>1.813613E-2</v>
      </c>
      <c r="Q9866">
        <v>-7.2404289999999996E-2</v>
      </c>
      <c r="R9866">
        <v>0.99721040000000005</v>
      </c>
      <c r="S9866">
        <v>0.4245911</v>
      </c>
      <c r="T9866">
        <v>-0.1587199</v>
      </c>
      <c r="U9866">
        <v>2.9890439999999998</v>
      </c>
      <c r="V9866">
        <v>1.9192219999999999E-2</v>
      </c>
      <c r="W9866">
        <v>-5.7716080000000003E-2</v>
      </c>
      <c r="X9866">
        <v>0.99814860000000005</v>
      </c>
      <c r="Y9866">
        <v>0.14148039999999901</v>
      </c>
      <c r="Z9866">
        <v>-3.7800229999999997E-2</v>
      </c>
      <c r="AA9866">
        <v>0.98921910000000002</v>
      </c>
      <c r="AB9866">
        <v>24</v>
      </c>
      <c r="AC9866">
        <v>3.0005999999999902</v>
      </c>
      <c r="AD9866">
        <v>-1.1214931944269999</v>
      </c>
      <c r="AE9866">
        <v>20.878</v>
      </c>
      <c r="AF9866">
        <v>3.0134487077384899</v>
      </c>
      <c r="AG9866">
        <v>-1.1214931944269999</v>
      </c>
      <c r="AH9866">
        <v>20.816069379613602</v>
      </c>
      <c r="AI9866">
        <v>93.052149067456497</v>
      </c>
      <c r="AJ9866">
        <v>81.762772354430993</v>
      </c>
      <c r="AK9866">
        <v>21.0629381738684</v>
      </c>
      <c r="AL9866">
        <v>93.308726315647405</v>
      </c>
      <c r="AM9866">
        <v>88.898462893425801</v>
      </c>
      <c r="AN9866">
        <v>1.0000000574405199</v>
      </c>
    </row>
    <row r="9867" spans="1:40" x14ac:dyDescent="0.25">
      <c r="A9867" t="str">
        <f>"20190303154033567"</f>
        <v>20190303154033567</v>
      </c>
      <c r="B9867" t="str">
        <f>"1551598833557848"</f>
        <v>1551598833557848</v>
      </c>
      <c r="C9867" t="s">
        <v>40</v>
      </c>
      <c r="D9867">
        <v>4.8946730000000001</v>
      </c>
      <c r="E9867">
        <v>0.58946929999999997</v>
      </c>
      <c r="F9867" t="s">
        <v>66</v>
      </c>
      <c r="G9867">
        <v>-168.4196</v>
      </c>
      <c r="H9867">
        <v>3.7043090000000001E-2</v>
      </c>
      <c r="I9867">
        <v>179.07849999999999</v>
      </c>
      <c r="J9867">
        <v>-187.85599999999999</v>
      </c>
      <c r="K9867">
        <v>1.1215250000000001</v>
      </c>
      <c r="L9867">
        <v>103.49679999999999</v>
      </c>
      <c r="M9867">
        <v>-1.45902799999999E-3</v>
      </c>
      <c r="N9867">
        <v>-1.470491E-2</v>
      </c>
      <c r="O9867">
        <v>0.99989079999999997</v>
      </c>
      <c r="P9867">
        <v>1.8233550000000001E-2</v>
      </c>
      <c r="Q9867">
        <v>-7.4849120000000005E-2</v>
      </c>
      <c r="R9867">
        <v>0.99702820000000003</v>
      </c>
      <c r="S9867">
        <v>0.76690669999999905</v>
      </c>
      <c r="T9867">
        <v>-4.2789220000000003E-2</v>
      </c>
      <c r="U9867">
        <v>2.991333</v>
      </c>
      <c r="V9867">
        <v>1.9732130000000001E-2</v>
      </c>
      <c r="W9867">
        <v>-6.0165900000000001E-2</v>
      </c>
      <c r="X9867">
        <v>0.99799340000000003</v>
      </c>
      <c r="Y9867">
        <v>0.24970590000000001</v>
      </c>
      <c r="Z9867">
        <v>8.5524470000000003E-4</v>
      </c>
      <c r="AA9867">
        <v>0.96832130000000005</v>
      </c>
      <c r="AB9867">
        <v>24</v>
      </c>
      <c r="AC9867">
        <v>19.4363999999999</v>
      </c>
      <c r="AD9867">
        <v>-1.08448191</v>
      </c>
      <c r="AE9867">
        <v>75.581699999999998</v>
      </c>
      <c r="AF9867">
        <v>19.542893153608301</v>
      </c>
      <c r="AG9867">
        <v>-1.08448191</v>
      </c>
      <c r="AH9867">
        <v>75.538671064428698</v>
      </c>
      <c r="AI9867">
        <v>90.796304382676894</v>
      </c>
      <c r="AJ9867">
        <v>75.494835442438401</v>
      </c>
      <c r="AK9867">
        <v>78.0332723907336</v>
      </c>
      <c r="AL9867">
        <v>93.449335135599497</v>
      </c>
      <c r="AM9867">
        <v>88.867306655299998</v>
      </c>
      <c r="AN9867">
        <v>1.00000005946035</v>
      </c>
    </row>
    <row r="9868" spans="1:40" x14ac:dyDescent="0.25">
      <c r="A9868" t="str">
        <f>"20190303154033590"</f>
        <v>20190303154033590</v>
      </c>
      <c r="B9868" t="str">
        <f>"1551598833588106"</f>
        <v>1551598833588106</v>
      </c>
      <c r="C9868" t="s">
        <v>40</v>
      </c>
      <c r="D9868">
        <v>4.5087320000000002</v>
      </c>
      <c r="E9868">
        <v>0.59232450000000003</v>
      </c>
      <c r="F9868" t="s">
        <v>68</v>
      </c>
      <c r="G9868">
        <v>-180.51</v>
      </c>
      <c r="H9868" s="1">
        <v>-6.2554549999999999E-6</v>
      </c>
      <c r="I9868">
        <v>132.11000000000001</v>
      </c>
      <c r="J9868">
        <v>-187.8569</v>
      </c>
      <c r="K9868">
        <v>1.1215580000000001</v>
      </c>
      <c r="L9868">
        <v>103.7313</v>
      </c>
      <c r="M9868">
        <v>-1.9550269999999998E-3</v>
      </c>
      <c r="N9868">
        <v>-1.4699540000000001E-2</v>
      </c>
      <c r="O9868">
        <v>0.99988999999999995</v>
      </c>
      <c r="P9868">
        <v>1.7628080000000001E-2</v>
      </c>
      <c r="Q9868">
        <v>-7.6986280000000004E-2</v>
      </c>
      <c r="R9868">
        <v>0.99687630000000005</v>
      </c>
      <c r="S9868">
        <v>0.76664730000000003</v>
      </c>
      <c r="T9868">
        <v>-0.1170461</v>
      </c>
      <c r="U9868">
        <v>2.986145</v>
      </c>
      <c r="V9868">
        <v>1.9627249999999999E-2</v>
      </c>
      <c r="W9868">
        <v>-6.2309150000000001E-2</v>
      </c>
      <c r="X9868">
        <v>0.99786390000000003</v>
      </c>
      <c r="Y9868">
        <v>0.25040109999999999</v>
      </c>
      <c r="Z9868">
        <v>-2.3231970000000001E-2</v>
      </c>
      <c r="AA9868">
        <v>0.96786340000000004</v>
      </c>
      <c r="AB9868">
        <v>23</v>
      </c>
      <c r="AC9868">
        <v>7.3468999999999998</v>
      </c>
      <c r="AD9868">
        <v>-1.121564255455</v>
      </c>
      <c r="AE9868">
        <v>28.378699999999998</v>
      </c>
      <c r="AF9868">
        <v>7.3915531280217799</v>
      </c>
      <c r="AG9868">
        <v>-1.121564255455</v>
      </c>
      <c r="AH9868">
        <v>28.322821120170499</v>
      </c>
      <c r="AI9868">
        <v>92.194271155296207</v>
      </c>
      <c r="AJ9868">
        <v>75.373460845977803</v>
      </c>
      <c r="AK9868">
        <v>29.292919967607499</v>
      </c>
      <c r="AL9868">
        <v>93.572365405067103</v>
      </c>
      <c r="AM9868">
        <v>88.873179399490297</v>
      </c>
      <c r="AN9868">
        <v>1.00000001101974</v>
      </c>
    </row>
    <row r="9869" spans="1:40" x14ac:dyDescent="0.25">
      <c r="A9869" t="str">
        <f>"20190303154033612"</f>
        <v>20190303154033612</v>
      </c>
      <c r="B9869" t="str">
        <f>"1551598833607625"</f>
        <v>1551598833607625</v>
      </c>
      <c r="C9869" t="s">
        <v>40</v>
      </c>
      <c r="D9869">
        <v>4.888185</v>
      </c>
      <c r="E9869">
        <v>0.59112540000000002</v>
      </c>
      <c r="F9869" t="s">
        <v>68</v>
      </c>
      <c r="G9869">
        <v>-178.21639999999999</v>
      </c>
      <c r="H9869" s="1">
        <v>-8.0770309999999904E-6</v>
      </c>
      <c r="I9869">
        <v>140.33420000000001</v>
      </c>
      <c r="J9869">
        <v>-187.858</v>
      </c>
      <c r="K9869">
        <v>1.1215740000000001</v>
      </c>
      <c r="L9869">
        <v>103.96420000000001</v>
      </c>
      <c r="M9869">
        <v>-2.4815639999999999E-3</v>
      </c>
      <c r="N9869">
        <v>-1.469407E-2</v>
      </c>
      <c r="O9869">
        <v>0.99988900000000003</v>
      </c>
      <c r="P9869">
        <v>1.665991E-2</v>
      </c>
      <c r="Q9869">
        <v>-7.7917180000000003E-2</v>
      </c>
      <c r="R9869">
        <v>0.99682059999999995</v>
      </c>
      <c r="S9869">
        <v>0.78709410000000002</v>
      </c>
      <c r="T9869">
        <v>-9.1569419999999999E-2</v>
      </c>
      <c r="U9869">
        <v>2.9884189999999999</v>
      </c>
      <c r="V9869">
        <v>1.9186580000000002E-2</v>
      </c>
      <c r="W9869">
        <v>-6.3246070000000001E-2</v>
      </c>
      <c r="X9869">
        <v>0.99781350000000002</v>
      </c>
      <c r="Y9869">
        <v>0.25698409999999999</v>
      </c>
      <c r="Z9869">
        <v>-1.491292E-2</v>
      </c>
      <c r="AA9869">
        <v>0.96630050000000001</v>
      </c>
      <c r="AB9869">
        <v>23</v>
      </c>
      <c r="AC9869">
        <v>9.6416000000000093</v>
      </c>
      <c r="AD9869">
        <v>-1.1215820770309901</v>
      </c>
      <c r="AE9869">
        <v>36.369999999999997</v>
      </c>
      <c r="AF9869">
        <v>9.7231950339265492</v>
      </c>
      <c r="AG9869">
        <v>-1.1215820770309901</v>
      </c>
      <c r="AH9869">
        <v>36.313692809170597</v>
      </c>
      <c r="AI9869">
        <v>91.708910262428105</v>
      </c>
      <c r="AJ9869">
        <v>75.010348875441196</v>
      </c>
      <c r="AK9869">
        <v>37.609609855223098</v>
      </c>
      <c r="AL9869">
        <v>93.626153154835706</v>
      </c>
      <c r="AM9869">
        <v>88.898416787250795</v>
      </c>
      <c r="AN9869">
        <v>0.99999998550239499</v>
      </c>
    </row>
    <row r="9870" spans="1:40" x14ac:dyDescent="0.25">
      <c r="A9870" t="str">
        <f>"20190303154033636"</f>
        <v>20190303154033636</v>
      </c>
      <c r="B9870" t="str">
        <f>"1551598833628121"</f>
        <v>1551598833628121</v>
      </c>
      <c r="C9870" t="s">
        <v>40</v>
      </c>
      <c r="D9870">
        <v>4.5800479999999997</v>
      </c>
      <c r="E9870">
        <v>0.59338179999999996</v>
      </c>
      <c r="F9870" t="s">
        <v>68</v>
      </c>
      <c r="G9870">
        <v>-181.2328</v>
      </c>
      <c r="H9870" s="1">
        <v>-5.30429999999999E-6</v>
      </c>
      <c r="I9870">
        <v>129.48910000000001</v>
      </c>
      <c r="J9870">
        <v>-187.85929999999999</v>
      </c>
      <c r="K9870">
        <v>1.121578</v>
      </c>
      <c r="L9870">
        <v>104.2063</v>
      </c>
      <c r="M9870">
        <v>-3.0449829999999998E-3</v>
      </c>
      <c r="N9870">
        <v>-1.468831E-2</v>
      </c>
      <c r="O9870">
        <v>0.99988750000000004</v>
      </c>
      <c r="P9870">
        <v>1.526073E-2</v>
      </c>
      <c r="Q9870">
        <v>-7.8006549999999994E-2</v>
      </c>
      <c r="R9870">
        <v>0.9968361</v>
      </c>
      <c r="S9870">
        <v>0.77513120000000002</v>
      </c>
      <c r="T9870">
        <v>-0.13122239999999999</v>
      </c>
      <c r="U9870">
        <v>2.9863590000000002</v>
      </c>
      <c r="V9870">
        <v>1.834912E-2</v>
      </c>
      <c r="W9870">
        <v>-6.334178E-2</v>
      </c>
      <c r="X9870">
        <v>0.99782320000000002</v>
      </c>
      <c r="Y9870">
        <v>0.25397690000000001</v>
      </c>
      <c r="Z9870">
        <v>-2.779102E-2</v>
      </c>
      <c r="AA9870">
        <v>0.96681090000000003</v>
      </c>
      <c r="AB9870">
        <v>23</v>
      </c>
      <c r="AC9870">
        <v>6.6264999999999903</v>
      </c>
      <c r="AD9870">
        <v>-1.1215833043000001</v>
      </c>
      <c r="AE9870">
        <v>25.282800000000002</v>
      </c>
      <c r="AF9870">
        <v>6.6911418857123097</v>
      </c>
      <c r="AG9870">
        <v>-1.1215833043000001</v>
      </c>
      <c r="AH9870">
        <v>25.216068933476301</v>
      </c>
      <c r="AI9870">
        <v>92.461693545517505</v>
      </c>
      <c r="AJ9870">
        <v>75.138913790529401</v>
      </c>
      <c r="AK9870">
        <v>26.112821779751201</v>
      </c>
      <c r="AL9870">
        <v>93.631647880969297</v>
      </c>
      <c r="AM9870">
        <v>88.946498085095499</v>
      </c>
      <c r="AN9870">
        <v>1.00000000487829</v>
      </c>
    </row>
    <row r="9871" spans="1:40" x14ac:dyDescent="0.25">
      <c r="A9871" t="str">
        <f>"20190303154033656"</f>
        <v>20190303154033656</v>
      </c>
      <c r="B9871" t="str">
        <f>"1551598833648161"</f>
        <v>1551598833648161</v>
      </c>
      <c r="C9871" t="s">
        <v>40</v>
      </c>
      <c r="D9871">
        <v>4.4944649999999999</v>
      </c>
      <c r="E9871">
        <v>0.59882919999999995</v>
      </c>
      <c r="F9871" t="s">
        <v>68</v>
      </c>
      <c r="G9871">
        <v>-181.1943</v>
      </c>
      <c r="H9871" s="1">
        <v>-5.2878950000000003E-6</v>
      </c>
      <c r="I9871">
        <v>129.44499999999999</v>
      </c>
      <c r="J9871">
        <v>-187.86060000000001</v>
      </c>
      <c r="K9871">
        <v>1.1215660000000001</v>
      </c>
      <c r="L9871">
        <v>104.4315</v>
      </c>
      <c r="M9871">
        <v>-3.5682800000000001E-3</v>
      </c>
      <c r="N9871">
        <v>-1.46829E-2</v>
      </c>
      <c r="O9871">
        <v>0.99988589999999999</v>
      </c>
      <c r="P9871">
        <v>1.4341380000000001E-2</v>
      </c>
      <c r="Q9871">
        <v>-7.8613189999999999E-2</v>
      </c>
      <c r="R9871">
        <v>0.99680199999999997</v>
      </c>
      <c r="S9871">
        <v>0.78881840000000003</v>
      </c>
      <c r="T9871">
        <v>-0.13274240000000001</v>
      </c>
      <c r="U9871">
        <v>2.9870610000000002</v>
      </c>
      <c r="V9871">
        <v>1.795066E-2</v>
      </c>
      <c r="W9871">
        <v>-6.3955029999999996E-2</v>
      </c>
      <c r="X9871">
        <v>0.99779130000000005</v>
      </c>
      <c r="Y9871">
        <v>0.25856489999999999</v>
      </c>
      <c r="Z9871">
        <v>-2.8225819999999999E-2</v>
      </c>
      <c r="AA9871">
        <v>0.96558140000000003</v>
      </c>
      <c r="AB9871">
        <v>23</v>
      </c>
      <c r="AC9871">
        <v>6.6662999999999997</v>
      </c>
      <c r="AD9871">
        <v>-1.1215712878949999</v>
      </c>
      <c r="AE9871">
        <v>25.013500000000001</v>
      </c>
      <c r="AF9871">
        <v>6.7428648071006201</v>
      </c>
      <c r="AG9871">
        <v>-1.1215712878949999</v>
      </c>
      <c r="AH9871">
        <v>24.9427290839192</v>
      </c>
      <c r="AI9871">
        <v>92.485517728395493</v>
      </c>
      <c r="AJ9871">
        <v>74.872596112892197</v>
      </c>
      <c r="AK9871">
        <v>25.862402868149299</v>
      </c>
      <c r="AL9871">
        <v>93.666856015427797</v>
      </c>
      <c r="AM9871">
        <v>88.969337455795795</v>
      </c>
      <c r="AN9871">
        <v>0.99999997520621198</v>
      </c>
    </row>
    <row r="9872" spans="1:40" x14ac:dyDescent="0.25">
      <c r="A9872" t="str">
        <f>"20190303154033679"</f>
        <v>20190303154033679</v>
      </c>
      <c r="B9872" t="str">
        <f>"1551598833667667"</f>
        <v>1551598833667667</v>
      </c>
      <c r="C9872" t="s">
        <v>40</v>
      </c>
      <c r="D9872">
        <v>4.4564079999999997</v>
      </c>
      <c r="E9872">
        <v>0.60289419999999905</v>
      </c>
      <c r="F9872" t="s">
        <v>68</v>
      </c>
      <c r="G9872">
        <v>-178.9248</v>
      </c>
      <c r="H9872" s="1">
        <v>-7.25133799999999E-6</v>
      </c>
      <c r="I9872">
        <v>136.65819999999999</v>
      </c>
      <c r="J9872">
        <v>-187.86189999999999</v>
      </c>
      <c r="K9872">
        <v>1.121545</v>
      </c>
      <c r="L9872">
        <v>104.6551</v>
      </c>
      <c r="M9872">
        <v>-4.0742189999999996E-3</v>
      </c>
      <c r="N9872">
        <v>-1.4677519999999999E-2</v>
      </c>
      <c r="O9872">
        <v>0.99988390000000005</v>
      </c>
      <c r="P9872">
        <v>1.439204E-2</v>
      </c>
      <c r="Q9872">
        <v>-7.8948950000000004E-2</v>
      </c>
      <c r="R9872">
        <v>0.99677479999999996</v>
      </c>
      <c r="S9872">
        <v>0.8289185</v>
      </c>
      <c r="T9872">
        <v>-0.1040415</v>
      </c>
      <c r="U9872">
        <v>2.989471</v>
      </c>
      <c r="V9872">
        <v>1.8504059999999999E-2</v>
      </c>
      <c r="W9872">
        <v>-6.4296710000000007E-2</v>
      </c>
      <c r="X9872">
        <v>0.99775930000000002</v>
      </c>
      <c r="Y9872">
        <v>0.27098070000000002</v>
      </c>
      <c r="Z9872">
        <v>-1.8818580000000001E-2</v>
      </c>
      <c r="AA9872">
        <v>0.96240079999999995</v>
      </c>
      <c r="AB9872">
        <v>23</v>
      </c>
      <c r="AC9872">
        <v>8.9370999999999796</v>
      </c>
      <c r="AD9872">
        <v>-1.1215522513380001</v>
      </c>
      <c r="AE9872">
        <v>32.003099999999897</v>
      </c>
      <c r="AF9872">
        <v>9.0571086395050902</v>
      </c>
      <c r="AG9872">
        <v>-1.1215522513380001</v>
      </c>
      <c r="AH9872">
        <v>31.9300404483572</v>
      </c>
      <c r="AI9872">
        <v>91.935410509580095</v>
      </c>
      <c r="AJ9872">
        <v>74.163758532284007</v>
      </c>
      <c r="AK9872">
        <v>33.208682289335201</v>
      </c>
      <c r="AL9872">
        <v>93.686472959960199</v>
      </c>
      <c r="AM9872">
        <v>88.937536319558006</v>
      </c>
      <c r="AN9872">
        <v>1.0000000439448899</v>
      </c>
    </row>
    <row r="9873" spans="1:40" x14ac:dyDescent="0.25">
      <c r="A9873" t="str">
        <f>"20190303154033700"</f>
        <v>20190303154033700</v>
      </c>
      <c r="B9873" t="str">
        <f>"1551598833697923"</f>
        <v>1551598833697923</v>
      </c>
      <c r="C9873" t="s">
        <v>40</v>
      </c>
      <c r="D9873">
        <v>4.4761689999999996</v>
      </c>
      <c r="E9873">
        <v>0.60741109999999998</v>
      </c>
      <c r="F9873" t="s">
        <v>68</v>
      </c>
      <c r="G9873">
        <v>-175.6626</v>
      </c>
      <c r="H9873" s="1">
        <v>-8.6557269999999997E-6</v>
      </c>
      <c r="I9873">
        <v>147.03559999999999</v>
      </c>
      <c r="J9873">
        <v>-187.86340000000001</v>
      </c>
      <c r="K9873">
        <v>1.1215349999999999</v>
      </c>
      <c r="L9873">
        <v>104.8839</v>
      </c>
      <c r="M9873">
        <v>-4.5725000000000002E-3</v>
      </c>
      <c r="N9873">
        <v>-1.467194E-2</v>
      </c>
      <c r="O9873">
        <v>0.99988189999999999</v>
      </c>
      <c r="P9873">
        <v>1.3798370000000001E-2</v>
      </c>
      <c r="Q9873">
        <v>-7.8741400000000003E-2</v>
      </c>
      <c r="R9873">
        <v>0.99679960000000001</v>
      </c>
      <c r="S9873">
        <v>0.86096189999999995</v>
      </c>
      <c r="T9873">
        <v>-7.9153420000000002E-2</v>
      </c>
      <c r="U9873">
        <v>2.9909970000000001</v>
      </c>
      <c r="V9873">
        <v>1.840499E-2</v>
      </c>
      <c r="W9873">
        <v>-6.4095150000000004E-2</v>
      </c>
      <c r="X9873">
        <v>0.9977741</v>
      </c>
      <c r="Y9873">
        <v>0.28091379999999999</v>
      </c>
      <c r="Z9873">
        <v>-1.0726950000000001E-2</v>
      </c>
      <c r="AA9873">
        <v>0.959673</v>
      </c>
      <c r="AB9873">
        <v>23</v>
      </c>
      <c r="AC9873">
        <v>12.200799999999999</v>
      </c>
      <c r="AD9873">
        <v>-1.121543655727</v>
      </c>
      <c r="AE9873">
        <v>42.151699999999899</v>
      </c>
      <c r="AF9873">
        <v>12.3853414507486</v>
      </c>
      <c r="AG9873">
        <v>-1.121543655727</v>
      </c>
      <c r="AH9873">
        <v>42.067985370995899</v>
      </c>
      <c r="AI9873">
        <v>91.465014279085693</v>
      </c>
      <c r="AJ9873">
        <v>73.594911241281096</v>
      </c>
      <c r="AK9873">
        <v>43.867641105918302</v>
      </c>
      <c r="AL9873">
        <v>93.674900555369902</v>
      </c>
      <c r="AM9873">
        <v>88.943239085932404</v>
      </c>
      <c r="AN9873">
        <v>1.00000004327061</v>
      </c>
    </row>
    <row r="9874" spans="1:40" x14ac:dyDescent="0.25">
      <c r="A9874" t="str">
        <f>"20190303154033724"</f>
        <v>20190303154033724</v>
      </c>
      <c r="B9874" t="str">
        <f>"1551598833717443"</f>
        <v>1551598833717443</v>
      </c>
      <c r="C9874" t="s">
        <v>40</v>
      </c>
      <c r="D9874">
        <v>4.5735130000000002</v>
      </c>
      <c r="E9874">
        <v>0.60931440000000003</v>
      </c>
      <c r="F9874" t="s">
        <v>43</v>
      </c>
      <c r="G9874">
        <v>-168.38749999999999</v>
      </c>
      <c r="H9874">
        <v>-0.05</v>
      </c>
      <c r="I9874">
        <v>170.02619999999999</v>
      </c>
      <c r="J9874">
        <v>-187.86510000000001</v>
      </c>
      <c r="K9874">
        <v>1.121526</v>
      </c>
      <c r="L9874">
        <v>105.1204</v>
      </c>
      <c r="M9874">
        <v>-5.0687960000000004E-3</v>
      </c>
      <c r="N9874">
        <v>-1.4666129999999999E-2</v>
      </c>
      <c r="O9874">
        <v>0.99987959999999998</v>
      </c>
      <c r="P9874">
        <v>1.2962929999999999E-2</v>
      </c>
      <c r="Q9874">
        <v>-7.7426640000000005E-2</v>
      </c>
      <c r="R9874">
        <v>0.99691379999999996</v>
      </c>
      <c r="S9874">
        <v>0.89483639999999998</v>
      </c>
      <c r="T9874">
        <v>-5.3827050000000001E-2</v>
      </c>
      <c r="U9874">
        <v>2.9930110000000001</v>
      </c>
      <c r="V9874">
        <v>1.8061890000000001E-2</v>
      </c>
      <c r="W9874">
        <v>-6.2785560000000004E-2</v>
      </c>
      <c r="X9874">
        <v>0.99786359999999996</v>
      </c>
      <c r="Y9874">
        <v>0.29123270000000001</v>
      </c>
      <c r="Z9874">
        <v>-2.5383340000000002E-3</v>
      </c>
      <c r="AA9874">
        <v>0.95664890000000002</v>
      </c>
      <c r="AB9874">
        <v>23</v>
      </c>
      <c r="AC9874">
        <v>19.477599999999999</v>
      </c>
      <c r="AD9874">
        <v>-1.1715260000000001</v>
      </c>
      <c r="AE9874">
        <v>64.9057999999999</v>
      </c>
      <c r="AF9874">
        <v>19.800461524140601</v>
      </c>
      <c r="AG9874">
        <v>-1.1715260000000001</v>
      </c>
      <c r="AH9874">
        <v>64.786864275058704</v>
      </c>
      <c r="AI9874">
        <v>90.990725880038298</v>
      </c>
      <c r="AJ9874">
        <v>73.0055569743013</v>
      </c>
      <c r="AK9874">
        <v>67.755210370365802</v>
      </c>
      <c r="AL9874">
        <v>93.599715237346601</v>
      </c>
      <c r="AM9874">
        <v>88.963027541051801</v>
      </c>
      <c r="AN9874">
        <v>1.0000000113099199</v>
      </c>
    </row>
    <row r="9875" spans="1:40" x14ac:dyDescent="0.25">
      <c r="A9875" t="str">
        <f>"20190303154033746"</f>
        <v>20190303154033746</v>
      </c>
      <c r="B9875" t="str">
        <f>"1551598833737474"</f>
        <v>1551598833737474</v>
      </c>
      <c r="C9875" t="s">
        <v>40</v>
      </c>
      <c r="D9875">
        <v>4.5946809999999996</v>
      </c>
      <c r="E9875">
        <v>0.61089519999999997</v>
      </c>
      <c r="F9875" t="s">
        <v>66</v>
      </c>
      <c r="G9875">
        <v>-167.5685</v>
      </c>
      <c r="H9875">
        <v>0.22897819999999999</v>
      </c>
      <c r="I9875">
        <v>172.10570000000001</v>
      </c>
      <c r="J9875">
        <v>-187.86689999999999</v>
      </c>
      <c r="K9875">
        <v>1.1215250000000001</v>
      </c>
      <c r="L9875">
        <v>105.35129999999999</v>
      </c>
      <c r="M9875">
        <v>-5.5394629999999997E-3</v>
      </c>
      <c r="N9875">
        <v>-1.466045E-2</v>
      </c>
      <c r="O9875">
        <v>0.99987720000000002</v>
      </c>
      <c r="P9875">
        <v>1.1763050000000001E-2</v>
      </c>
      <c r="Q9875">
        <v>-7.6333219999999993E-2</v>
      </c>
      <c r="R9875">
        <v>0.99701300000000004</v>
      </c>
      <c r="S9875">
        <v>0.90730290000000002</v>
      </c>
      <c r="T9875">
        <v>-3.989732E-2</v>
      </c>
      <c r="U9875">
        <v>2.9943849999999999</v>
      </c>
      <c r="V9875">
        <v>1.732939E-2</v>
      </c>
      <c r="W9875">
        <v>-6.1697479999999999E-2</v>
      </c>
      <c r="X9875">
        <v>0.99794439999999995</v>
      </c>
      <c r="Y9875">
        <v>0.29522110000000001</v>
      </c>
      <c r="Z9875">
        <v>1.9328990000000001E-3</v>
      </c>
      <c r="AA9875">
        <v>0.95542700000000003</v>
      </c>
      <c r="AB9875">
        <v>23</v>
      </c>
      <c r="AC9875">
        <v>20.298399999999901</v>
      </c>
      <c r="AD9875">
        <v>-0.89254679999999997</v>
      </c>
      <c r="AE9875">
        <v>66.754400000000004</v>
      </c>
      <c r="AF9875">
        <v>20.6645301711389</v>
      </c>
      <c r="AG9875">
        <v>-0.89254679999999997</v>
      </c>
      <c r="AH9875">
        <v>66.630017755907204</v>
      </c>
      <c r="AI9875">
        <v>90.733023516935106</v>
      </c>
      <c r="AJ9875">
        <v>72.769327181551901</v>
      </c>
      <c r="AK9875">
        <v>69.766601702652906</v>
      </c>
      <c r="AL9875">
        <v>93.537251929115698</v>
      </c>
      <c r="AM9875">
        <v>89.005153869536997</v>
      </c>
      <c r="AN9875">
        <v>0.99999995614374004</v>
      </c>
    </row>
    <row r="9876" spans="1:40" x14ac:dyDescent="0.25">
      <c r="A9876" t="str">
        <f>"20190303154033759"</f>
        <v>20190303154033759</v>
      </c>
      <c r="B9876" t="str">
        <f>"1551598833748207"</f>
        <v>1551598833748207</v>
      </c>
      <c r="C9876" t="s">
        <v>40</v>
      </c>
      <c r="D9876">
        <v>4.5939870000000003</v>
      </c>
      <c r="E9876">
        <v>0.61155559999999998</v>
      </c>
      <c r="F9876" t="s">
        <v>66</v>
      </c>
      <c r="G9876">
        <v>-167.483</v>
      </c>
      <c r="H9876">
        <v>0.48115730000000001</v>
      </c>
      <c r="I9876">
        <v>172.02010000000001</v>
      </c>
      <c r="J9876">
        <v>-187.86789999999999</v>
      </c>
      <c r="K9876">
        <v>1.121523</v>
      </c>
      <c r="L9876">
        <v>105.4841</v>
      </c>
      <c r="M9876">
        <v>-5.8054780000000002E-3</v>
      </c>
      <c r="N9876">
        <v>-1.465719E-2</v>
      </c>
      <c r="O9876">
        <v>0.99987570000000003</v>
      </c>
      <c r="P9876">
        <v>1.1502109999999999E-2</v>
      </c>
      <c r="Q9876">
        <v>-7.626956E-2</v>
      </c>
      <c r="R9876">
        <v>0.99702089999999999</v>
      </c>
      <c r="S9876">
        <v>0.91601560000000004</v>
      </c>
      <c r="T9876">
        <v>-2.877557E-2</v>
      </c>
      <c r="U9876">
        <v>2.995987</v>
      </c>
      <c r="V9876">
        <v>1.733295E-2</v>
      </c>
      <c r="W9876">
        <v>-6.163722E-2</v>
      </c>
      <c r="X9876">
        <v>0.9979481</v>
      </c>
      <c r="Y9876">
        <v>0.2978787</v>
      </c>
      <c r="Z9876">
        <v>5.493876E-3</v>
      </c>
      <c r="AA9876">
        <v>0.95458790000000004</v>
      </c>
      <c r="AB9876">
        <v>23</v>
      </c>
      <c r="AC9876">
        <v>20.384899999999899</v>
      </c>
      <c r="AD9876">
        <v>-0.64036569999999904</v>
      </c>
      <c r="AE9876">
        <v>66.536000000000001</v>
      </c>
      <c r="AF9876">
        <v>20.769112472561002</v>
      </c>
      <c r="AG9876">
        <v>-0.64036569999999904</v>
      </c>
      <c r="AH9876">
        <v>66.410898042521396</v>
      </c>
      <c r="AI9876">
        <v>90.527274358191704</v>
      </c>
      <c r="AJ9876">
        <v>72.633630783191194</v>
      </c>
      <c r="AK9876">
        <v>69.585727559189806</v>
      </c>
      <c r="AL9876">
        <v>93.533792566996695</v>
      </c>
      <c r="AM9876">
        <v>89.004953226554406</v>
      </c>
      <c r="AN9876">
        <v>0.99999999416931995</v>
      </c>
    </row>
    <row r="9877" spans="1:40" x14ac:dyDescent="0.25">
      <c r="A9877" t="str">
        <f>"20190303154033780"</f>
        <v>20190303154033780</v>
      </c>
      <c r="B9877" t="str">
        <f>"1551598833777486"</f>
        <v>1551598833777486</v>
      </c>
      <c r="C9877" t="s">
        <v>40</v>
      </c>
      <c r="D9877">
        <v>4.6519349999999999</v>
      </c>
      <c r="E9877">
        <v>0.61288830000000005</v>
      </c>
      <c r="F9877" t="s">
        <v>66</v>
      </c>
      <c r="G9877">
        <v>-167.43940000000001</v>
      </c>
      <c r="H9877">
        <v>0.53525540000000005</v>
      </c>
      <c r="I9877">
        <v>171.97649999999999</v>
      </c>
      <c r="J9877">
        <v>-187.86969999999999</v>
      </c>
      <c r="K9877">
        <v>1.1215170000000001</v>
      </c>
      <c r="L9877">
        <v>105.6964</v>
      </c>
      <c r="M9877">
        <v>-6.227158E-3</v>
      </c>
      <c r="N9877">
        <v>-1.465198E-2</v>
      </c>
      <c r="O9877">
        <v>0.99987329999999996</v>
      </c>
      <c r="P9877">
        <v>1.1715919999999999E-2</v>
      </c>
      <c r="Q9877">
        <v>-7.7110100000000001E-2</v>
      </c>
      <c r="R9877">
        <v>0.99695370000000005</v>
      </c>
      <c r="S9877">
        <v>0.92056269999999996</v>
      </c>
      <c r="T9877">
        <v>-2.6417260000000001E-2</v>
      </c>
      <c r="U9877">
        <v>2.9963229999999998</v>
      </c>
      <c r="V9877">
        <v>1.7966389999999999E-2</v>
      </c>
      <c r="W9877">
        <v>-6.2483820000000002E-2</v>
      </c>
      <c r="X9877">
        <v>0.99788429999999995</v>
      </c>
      <c r="Y9877">
        <v>0.29957519999999999</v>
      </c>
      <c r="Z9877">
        <v>6.2467130000000001E-3</v>
      </c>
      <c r="AA9877">
        <v>0.95405229999999996</v>
      </c>
      <c r="AB9877">
        <v>23</v>
      </c>
      <c r="AC9877">
        <v>20.4302999999999</v>
      </c>
      <c r="AD9877">
        <v>-0.58626160000000005</v>
      </c>
      <c r="AE9877">
        <v>66.280099999999905</v>
      </c>
      <c r="AF9877">
        <v>20.841195656728999</v>
      </c>
      <c r="AG9877">
        <v>-0.58626160000000005</v>
      </c>
      <c r="AH9877">
        <v>66.146852124915796</v>
      </c>
      <c r="AI9877">
        <v>90.484330664863506</v>
      </c>
      <c r="AJ9877">
        <v>72.511682211242004</v>
      </c>
      <c r="AK9877">
        <v>69.354921852029904</v>
      </c>
      <c r="AL9877">
        <v>93.582392666675602</v>
      </c>
      <c r="AM9877">
        <v>88.9685306088858</v>
      </c>
      <c r="AN9877">
        <v>1.0000000475589499</v>
      </c>
    </row>
    <row r="9878" spans="1:40" x14ac:dyDescent="0.25">
      <c r="A9878" t="str">
        <f>"20190303154033794"</f>
        <v>20190303154033794</v>
      </c>
      <c r="B9878" t="str">
        <f>"1551598833788223"</f>
        <v>1551598833788223</v>
      </c>
      <c r="C9878" t="s">
        <v>40</v>
      </c>
      <c r="D9878">
        <v>4.6096659999999998</v>
      </c>
      <c r="E9878">
        <v>0.61334219999999995</v>
      </c>
      <c r="F9878" t="s">
        <v>66</v>
      </c>
      <c r="G9878">
        <v>-167.29560000000001</v>
      </c>
      <c r="H9878">
        <v>0.54680059999999997</v>
      </c>
      <c r="I9878">
        <v>171.8329</v>
      </c>
      <c r="J9878">
        <v>-187.87090000000001</v>
      </c>
      <c r="K9878">
        <v>1.121516</v>
      </c>
      <c r="L9878">
        <v>105.83969999999999</v>
      </c>
      <c r="M9878">
        <v>-6.5101660000000004E-3</v>
      </c>
      <c r="N9878">
        <v>-1.464847E-2</v>
      </c>
      <c r="O9878">
        <v>0.99987150000000002</v>
      </c>
      <c r="P9878">
        <v>1.20578E-2</v>
      </c>
      <c r="Q9878">
        <v>-7.738602E-2</v>
      </c>
      <c r="R9878">
        <v>0.99692829999999999</v>
      </c>
      <c r="S9878">
        <v>0.93206789999999995</v>
      </c>
      <c r="T9878">
        <v>-2.6034950000000001E-2</v>
      </c>
      <c r="U9878">
        <v>2.9961850000000001</v>
      </c>
      <c r="V9878">
        <v>1.8589930000000001E-2</v>
      </c>
      <c r="W9878">
        <v>-6.2763449999999998E-2</v>
      </c>
      <c r="X9878">
        <v>0.9978553</v>
      </c>
      <c r="Y9878">
        <v>0.30319859999999998</v>
      </c>
      <c r="Z9878">
        <v>6.3749490000000004E-3</v>
      </c>
      <c r="AA9878">
        <v>0.95290609999999998</v>
      </c>
      <c r="AB9878">
        <v>23</v>
      </c>
      <c r="AC9878">
        <v>20.575299999999999</v>
      </c>
      <c r="AD9878">
        <v>-0.57471539999999999</v>
      </c>
      <c r="AE9878">
        <v>65.993200000000002</v>
      </c>
      <c r="AF9878">
        <v>21.003084897010002</v>
      </c>
      <c r="AG9878">
        <v>-0.57471539999999999</v>
      </c>
      <c r="AH9878">
        <v>65.853286281275601</v>
      </c>
      <c r="AI9878">
        <v>90.476378511559901</v>
      </c>
      <c r="AJ9878">
        <v>72.310565526191795</v>
      </c>
      <c r="AK9878">
        <v>69.123911832488602</v>
      </c>
      <c r="AL9878">
        <v>93.598445900345297</v>
      </c>
      <c r="AM9878">
        <v>88.932709651483606</v>
      </c>
      <c r="AN9878">
        <v>1.00000001794569</v>
      </c>
    </row>
    <row r="9879" spans="1:40" x14ac:dyDescent="0.25">
      <c r="A9879" t="str">
        <f>"20190303154033807"</f>
        <v>20190303154033807</v>
      </c>
      <c r="B9879" t="str">
        <f>"1551598833797983"</f>
        <v>1551598833797983</v>
      </c>
      <c r="C9879" t="s">
        <v>40</v>
      </c>
      <c r="D9879">
        <v>4.5625359999999997</v>
      </c>
      <c r="E9879">
        <v>0.61389329999999998</v>
      </c>
      <c r="F9879" t="s">
        <v>66</v>
      </c>
      <c r="G9879">
        <v>-167.25110000000001</v>
      </c>
      <c r="H9879">
        <v>0.55906579999999995</v>
      </c>
      <c r="I9879">
        <v>171.78829999999999</v>
      </c>
      <c r="J9879">
        <v>-187.87219999999999</v>
      </c>
      <c r="K9879">
        <v>1.1215139999999999</v>
      </c>
      <c r="L9879">
        <v>105.988</v>
      </c>
      <c r="M9879">
        <v>-6.8018660000000002E-3</v>
      </c>
      <c r="N9879">
        <v>-1.4644860000000001E-2</v>
      </c>
      <c r="O9879">
        <v>0.99986960000000003</v>
      </c>
      <c r="P9879">
        <v>1.2511599999999999E-2</v>
      </c>
      <c r="Q9879">
        <v>-7.75758E-2</v>
      </c>
      <c r="R9879">
        <v>0.99690789999999996</v>
      </c>
      <c r="S9879">
        <v>0.93672180000000005</v>
      </c>
      <c r="T9879">
        <v>-2.5549530000000001E-2</v>
      </c>
      <c r="U9879">
        <v>2.9959259999999999</v>
      </c>
      <c r="V9879">
        <v>1.933412E-2</v>
      </c>
      <c r="W9879">
        <v>-6.2956819999999997E-2</v>
      </c>
      <c r="X9879">
        <v>0.99782899999999997</v>
      </c>
      <c r="Y9879">
        <v>0.30484830000000002</v>
      </c>
      <c r="Z9879">
        <v>6.5299709999999999E-3</v>
      </c>
      <c r="AA9879">
        <v>0.95237850000000002</v>
      </c>
      <c r="AB9879">
        <v>23</v>
      </c>
      <c r="AC9879">
        <v>20.621099999999899</v>
      </c>
      <c r="AD9879">
        <v>-0.56244819999999895</v>
      </c>
      <c r="AE9879">
        <v>65.800299999999993</v>
      </c>
      <c r="AF9879">
        <v>21.066834113357299</v>
      </c>
      <c r="AG9879">
        <v>-0.56244819999999895</v>
      </c>
      <c r="AH9879">
        <v>65.6541324892803</v>
      </c>
      <c r="AI9879">
        <v>90.467361903273101</v>
      </c>
      <c r="AJ9879">
        <v>72.209812050474994</v>
      </c>
      <c r="AK9879">
        <v>68.953556546833596</v>
      </c>
      <c r="AL9879">
        <v>93.609547055006502</v>
      </c>
      <c r="AM9879">
        <v>88.889965238353696</v>
      </c>
      <c r="AN9879">
        <v>1.0000000413108401</v>
      </c>
    </row>
    <row r="9880" spans="1:40" x14ac:dyDescent="0.25">
      <c r="A9880" t="str">
        <f>"20190303154033827"</f>
        <v>20190303154033827</v>
      </c>
      <c r="B9880" t="str">
        <f>"1551598833817503"</f>
        <v>1551598833817503</v>
      </c>
      <c r="C9880" t="s">
        <v>40</v>
      </c>
      <c r="D9880">
        <v>4.5169550000000003</v>
      </c>
      <c r="E9880">
        <v>0.61496830000000002</v>
      </c>
      <c r="F9880" t="s">
        <v>66</v>
      </c>
      <c r="G9880">
        <v>-167.1935</v>
      </c>
      <c r="H9880">
        <v>0.61656</v>
      </c>
      <c r="I9880">
        <v>171.73089999999999</v>
      </c>
      <c r="J9880">
        <v>-187.87379999999999</v>
      </c>
      <c r="K9880">
        <v>1.121516</v>
      </c>
      <c r="L9880">
        <v>106.1704</v>
      </c>
      <c r="M9880">
        <v>-7.1608349999999999E-3</v>
      </c>
      <c r="N9880">
        <v>-1.46404E-2</v>
      </c>
      <c r="O9880">
        <v>0.99986719999999896</v>
      </c>
      <c r="P9880">
        <v>1.2994459999999999E-2</v>
      </c>
      <c r="Q9880">
        <v>-7.7059719999999998E-2</v>
      </c>
      <c r="R9880">
        <v>0.99694179999999999</v>
      </c>
      <c r="S9880">
        <v>0.94226069999999995</v>
      </c>
      <c r="T9880">
        <v>-2.3007630000000001E-2</v>
      </c>
      <c r="U9880">
        <v>2.9956969999999998</v>
      </c>
      <c r="V9880">
        <v>2.0174399999999999E-2</v>
      </c>
      <c r="W9880">
        <v>-6.2444479999999997E-2</v>
      </c>
      <c r="X9880">
        <v>0.99784450000000002</v>
      </c>
      <c r="Y9880">
        <v>0.30681340000000001</v>
      </c>
      <c r="Z9880">
        <v>7.3390919999999898E-3</v>
      </c>
      <c r="AA9880">
        <v>0.95174139999999996</v>
      </c>
      <c r="AB9880">
        <v>23</v>
      </c>
      <c r="AC9880">
        <v>20.6802999999999</v>
      </c>
      <c r="AD9880">
        <v>-0.50495599999999996</v>
      </c>
      <c r="AE9880">
        <v>65.560499999999905</v>
      </c>
      <c r="AF9880">
        <v>21.148146862291402</v>
      </c>
      <c r="AG9880">
        <v>-0.50495599999999996</v>
      </c>
      <c r="AH9880">
        <v>65.407185635647593</v>
      </c>
      <c r="AI9880">
        <v>90.420873557295195</v>
      </c>
      <c r="AJ9880">
        <v>72.082390757806905</v>
      </c>
      <c r="AK9880">
        <v>68.742992581404593</v>
      </c>
      <c r="AL9880">
        <v>93.580134472589194</v>
      </c>
      <c r="AM9880">
        <v>88.841752884416394</v>
      </c>
      <c r="AN9880">
        <v>0.99999998283904001</v>
      </c>
    </row>
    <row r="9881" spans="1:40" x14ac:dyDescent="0.25">
      <c r="A9881" t="str">
        <f>"20190303154033849"</f>
        <v>20190303154033849</v>
      </c>
      <c r="B9881" t="str">
        <f>"1551598833837529"</f>
        <v>1551598833837529</v>
      </c>
      <c r="C9881" t="s">
        <v>40</v>
      </c>
      <c r="D9881">
        <v>4.6129920000000002</v>
      </c>
      <c r="E9881">
        <v>0.615757</v>
      </c>
      <c r="F9881" t="s">
        <v>66</v>
      </c>
      <c r="G9881">
        <v>-167.07810000000001</v>
      </c>
      <c r="H9881">
        <v>0.78469940000000005</v>
      </c>
      <c r="I9881">
        <v>171.6155</v>
      </c>
      <c r="J9881">
        <v>-187.876</v>
      </c>
      <c r="K9881">
        <v>1.1215189999999999</v>
      </c>
      <c r="L9881">
        <v>106.39579999999999</v>
      </c>
      <c r="M9881">
        <v>-7.6049999999999998E-3</v>
      </c>
      <c r="N9881">
        <v>-1.4634960000000001E-2</v>
      </c>
      <c r="O9881">
        <v>0.99986399999999998</v>
      </c>
      <c r="P9881">
        <v>1.319271E-2</v>
      </c>
      <c r="Q9881">
        <v>-7.5781390000000004E-2</v>
      </c>
      <c r="R9881">
        <v>0.99703719999999996</v>
      </c>
      <c r="S9881">
        <v>0.95187379999999999</v>
      </c>
      <c r="T9881">
        <v>-1.5415430000000001E-2</v>
      </c>
      <c r="U9881">
        <v>2.99559</v>
      </c>
      <c r="V9881">
        <v>2.0815050000000002E-2</v>
      </c>
      <c r="W9881">
        <v>-6.117015E-2</v>
      </c>
      <c r="X9881">
        <v>0.99791030000000003</v>
      </c>
      <c r="Y9881">
        <v>0.3100194</v>
      </c>
      <c r="Z9881">
        <v>9.7542459999999994E-3</v>
      </c>
      <c r="AA9881">
        <v>0.95068019999999998</v>
      </c>
      <c r="AB9881">
        <v>23</v>
      </c>
      <c r="AC9881">
        <v>20.797899999999899</v>
      </c>
      <c r="AD9881">
        <v>-0.3368196</v>
      </c>
      <c r="AE9881">
        <v>65.219700000000003</v>
      </c>
      <c r="AF9881">
        <v>21.292831884362801</v>
      </c>
      <c r="AG9881">
        <v>-0.3368196</v>
      </c>
      <c r="AH9881">
        <v>65.058053584452196</v>
      </c>
      <c r="AI9881">
        <v>90.281915109031303</v>
      </c>
      <c r="AJ9881">
        <v>71.877260541767598</v>
      </c>
      <c r="AK9881">
        <v>68.454718415140206</v>
      </c>
      <c r="AL9881">
        <v>93.506980777177404</v>
      </c>
      <c r="AM9881">
        <v>88.805061338204496</v>
      </c>
      <c r="AN9881">
        <v>1.0000000102018001</v>
      </c>
    </row>
    <row r="9882" spans="1:40" x14ac:dyDescent="0.25">
      <c r="A9882" t="str">
        <f>"20190303154033869"</f>
        <v>20190303154033869</v>
      </c>
      <c r="B9882" t="str">
        <f>"1551598833858025"</f>
        <v>1551598833858025</v>
      </c>
      <c r="C9882" t="s">
        <v>40</v>
      </c>
      <c r="D9882">
        <v>4.8777119999999998</v>
      </c>
      <c r="E9882">
        <v>0.61485140000000005</v>
      </c>
      <c r="F9882" t="s">
        <v>66</v>
      </c>
      <c r="G9882">
        <v>-167.02269999999999</v>
      </c>
      <c r="H9882">
        <v>0.91839119999999996</v>
      </c>
      <c r="I9882">
        <v>171.56</v>
      </c>
      <c r="J9882">
        <v>-187.87809999999999</v>
      </c>
      <c r="K9882">
        <v>1.121523</v>
      </c>
      <c r="L9882">
        <v>106.6091</v>
      </c>
      <c r="M9882">
        <v>-8.0256540000000001E-3</v>
      </c>
      <c r="N9882">
        <v>-1.462977E-2</v>
      </c>
      <c r="O9882">
        <v>0.99986079999999999</v>
      </c>
      <c r="P9882">
        <v>1.3610580000000001E-2</v>
      </c>
      <c r="Q9882">
        <v>-7.5509789999999993E-2</v>
      </c>
      <c r="R9882">
        <v>0.99705220000000006</v>
      </c>
      <c r="S9882">
        <v>0.95860290000000004</v>
      </c>
      <c r="T9882">
        <v>-9.3361139999999995E-3</v>
      </c>
      <c r="U9882">
        <v>2.9955289999999999</v>
      </c>
      <c r="V9882">
        <v>2.1651989999999999E-2</v>
      </c>
      <c r="W9882">
        <v>-6.09033E-2</v>
      </c>
      <c r="X9882">
        <v>0.99790880000000004</v>
      </c>
      <c r="Y9882">
        <v>0.31236029999999998</v>
      </c>
      <c r="Z9882">
        <v>1.1683839999999999E-2</v>
      </c>
      <c r="AA9882">
        <v>0.94989190000000001</v>
      </c>
      <c r="AB9882">
        <v>23</v>
      </c>
      <c r="AC9882">
        <v>20.855399999999999</v>
      </c>
      <c r="AD9882">
        <v>-0.2031318</v>
      </c>
      <c r="AE9882">
        <v>64.950900000000004</v>
      </c>
      <c r="AF9882">
        <v>21.375867876397599</v>
      </c>
      <c r="AG9882">
        <v>-0.2031318</v>
      </c>
      <c r="AH9882">
        <v>64.780837201614105</v>
      </c>
      <c r="AI9882">
        <v>90.1706122166011</v>
      </c>
      <c r="AJ9882">
        <v>71.738552444911093</v>
      </c>
      <c r="AK9882">
        <v>68.216756435200097</v>
      </c>
      <c r="AL9882">
        <v>93.491662885158505</v>
      </c>
      <c r="AM9882">
        <v>88.757027672557697</v>
      </c>
      <c r="AN9882">
        <v>0.99999999686964502</v>
      </c>
    </row>
    <row r="9883" spans="1:40" x14ac:dyDescent="0.25">
      <c r="A9883" t="str">
        <f>"20190303154033883"</f>
        <v>20190303154033883</v>
      </c>
      <c r="B9883" t="str">
        <f>"1551598833877545"</f>
        <v>1551598833877545</v>
      </c>
      <c r="C9883" t="s">
        <v>40</v>
      </c>
      <c r="D9883">
        <v>4.8496509999999997</v>
      </c>
      <c r="E9883">
        <v>0.61408509999999905</v>
      </c>
      <c r="F9883" t="s">
        <v>66</v>
      </c>
      <c r="G9883">
        <v>-167.16249999999999</v>
      </c>
      <c r="H9883">
        <v>0.70240780000000003</v>
      </c>
      <c r="I9883">
        <v>171.69980000000001</v>
      </c>
      <c r="J9883">
        <v>-187.87950000000001</v>
      </c>
      <c r="K9883">
        <v>1.1215189999999999</v>
      </c>
      <c r="L9883">
        <v>106.74509999999999</v>
      </c>
      <c r="M9883">
        <v>-8.2938549999999993E-3</v>
      </c>
      <c r="N9883">
        <v>-1.4626460000000001E-2</v>
      </c>
      <c r="O9883">
        <v>0.99985860000000004</v>
      </c>
      <c r="P9883">
        <v>1.3770370000000001E-2</v>
      </c>
      <c r="Q9883">
        <v>-7.5487330000000005E-2</v>
      </c>
      <c r="R9883">
        <v>0.99705169999999999</v>
      </c>
      <c r="S9883">
        <v>0.95298769999999999</v>
      </c>
      <c r="T9883">
        <v>-1.927912E-2</v>
      </c>
      <c r="U9883">
        <v>2.9943849999999999</v>
      </c>
      <c r="V9883">
        <v>2.207897E-2</v>
      </c>
      <c r="W9883">
        <v>-6.0884050000000002E-2</v>
      </c>
      <c r="X9883">
        <v>0.99790060000000003</v>
      </c>
      <c r="Y9883">
        <v>0.31110640000000001</v>
      </c>
      <c r="Z9883">
        <v>8.5188580000000007E-3</v>
      </c>
      <c r="AA9883">
        <v>0.95033690000000004</v>
      </c>
      <c r="AB9883">
        <v>23</v>
      </c>
      <c r="AC9883">
        <v>20.716999999999999</v>
      </c>
      <c r="AD9883">
        <v>-0.41911120000000002</v>
      </c>
      <c r="AE9883">
        <v>64.954700000000003</v>
      </c>
      <c r="AF9883">
        <v>21.254266634063701</v>
      </c>
      <c r="AG9883">
        <v>-0.41911120000000002</v>
      </c>
      <c r="AH9883">
        <v>64.778175356014003</v>
      </c>
      <c r="AI9883">
        <v>90.3522211503455</v>
      </c>
      <c r="AJ9883">
        <v>71.834899610490595</v>
      </c>
      <c r="AK9883">
        <v>68.177206651521999</v>
      </c>
      <c r="AL9883">
        <v>93.490557956865601</v>
      </c>
      <c r="AM9883">
        <v>88.732513606909393</v>
      </c>
      <c r="AN9883">
        <v>0.99999997797051099</v>
      </c>
    </row>
    <row r="9884" spans="1:40" x14ac:dyDescent="0.25">
      <c r="A9884" t="str">
        <f>"20190303154033901"</f>
        <v>20190303154033901</v>
      </c>
      <c r="B9884" t="str">
        <f>"1551598833898041"</f>
        <v>1551598833898041</v>
      </c>
      <c r="C9884" t="s">
        <v>40</v>
      </c>
      <c r="D9884">
        <v>4.8117739999999998</v>
      </c>
      <c r="E9884">
        <v>0.61355850000000001</v>
      </c>
      <c r="F9884" t="s">
        <v>66</v>
      </c>
      <c r="G9884">
        <v>-167.28450000000001</v>
      </c>
      <c r="H9884">
        <v>0.503027</v>
      </c>
      <c r="I9884">
        <v>171.8218</v>
      </c>
      <c r="J9884">
        <v>-187.88149999999999</v>
      </c>
      <c r="K9884">
        <v>1.121516</v>
      </c>
      <c r="L9884">
        <v>106.9367</v>
      </c>
      <c r="M9884">
        <v>-8.6717259999999994E-3</v>
      </c>
      <c r="N9884">
        <v>-1.4621800000000001E-2</v>
      </c>
      <c r="O9884">
        <v>0.99985550000000001</v>
      </c>
      <c r="P9884">
        <v>1.4022450000000001E-2</v>
      </c>
      <c r="Q9884">
        <v>-7.6496090000000003E-2</v>
      </c>
      <c r="R9884">
        <v>0.99697119999999995</v>
      </c>
      <c r="S9884">
        <v>0.947403</v>
      </c>
      <c r="T9884">
        <v>-2.8450010000000001E-2</v>
      </c>
      <c r="U9884">
        <v>2.9936219999999998</v>
      </c>
      <c r="V9884">
        <v>2.2707450000000001E-2</v>
      </c>
      <c r="W9884">
        <v>-6.1898380000000003E-2</v>
      </c>
      <c r="X9884">
        <v>0.99782409999999999</v>
      </c>
      <c r="Y9884">
        <v>0.3099247</v>
      </c>
      <c r="Z9884">
        <v>5.5942359999999998E-3</v>
      </c>
      <c r="AA9884">
        <v>0.9507447</v>
      </c>
      <c r="AB9884">
        <v>23</v>
      </c>
      <c r="AC9884">
        <v>20.596999999999898</v>
      </c>
      <c r="AD9884">
        <v>-0.61848899999999996</v>
      </c>
      <c r="AE9884">
        <v>64.885099999999994</v>
      </c>
      <c r="AF9884">
        <v>21.157204973751998</v>
      </c>
      <c r="AG9884">
        <v>-0.61848899999999996</v>
      </c>
      <c r="AH9884">
        <v>64.698688751293901</v>
      </c>
      <c r="AI9884">
        <v>90.520578041129497</v>
      </c>
      <c r="AJ9884">
        <v>71.891668234504294</v>
      </c>
      <c r="AK9884">
        <v>68.072976848976396</v>
      </c>
      <c r="AL9884">
        <v>93.548784587961805</v>
      </c>
      <c r="AM9884">
        <v>88.696346857040695</v>
      </c>
      <c r="AN9884">
        <v>0.99999998613646801</v>
      </c>
    </row>
    <row r="9885" spans="1:40" x14ac:dyDescent="0.25">
      <c r="A9885" t="str">
        <f>"20190303154033925"</f>
        <v>20190303154033925</v>
      </c>
      <c r="B9885" t="str">
        <f>"1551598833917561"</f>
        <v>1551598833917561</v>
      </c>
      <c r="C9885" t="s">
        <v>40</v>
      </c>
      <c r="D9885">
        <v>4.6511019999999998</v>
      </c>
      <c r="E9885">
        <v>0.53431260000000003</v>
      </c>
      <c r="F9885" t="s">
        <v>66</v>
      </c>
      <c r="G9885">
        <v>-167.3826</v>
      </c>
      <c r="H9885">
        <v>0.42797180000000001</v>
      </c>
      <c r="I9885">
        <v>171.91990000000001</v>
      </c>
      <c r="J9885">
        <v>-187.88419999999999</v>
      </c>
      <c r="K9885">
        <v>1.1215109999999999</v>
      </c>
      <c r="L9885">
        <v>107.1722</v>
      </c>
      <c r="M9885">
        <v>-9.1353040000000003E-3</v>
      </c>
      <c r="N9885">
        <v>-1.461607E-2</v>
      </c>
      <c r="O9885">
        <v>0.9998515</v>
      </c>
      <c r="P9885">
        <v>1.489684E-2</v>
      </c>
      <c r="Q9885">
        <v>-7.7779290000000001E-2</v>
      </c>
      <c r="R9885">
        <v>0.9968593</v>
      </c>
      <c r="S9885">
        <v>0.94425959999999998</v>
      </c>
      <c r="T9885">
        <v>-3.194582E-2</v>
      </c>
      <c r="U9885">
        <v>2.9933779999999999</v>
      </c>
      <c r="V9885">
        <v>2.404332E-2</v>
      </c>
      <c r="W9885">
        <v>-6.3188389999999997E-2</v>
      </c>
      <c r="X9885">
        <v>0.99771200000000004</v>
      </c>
      <c r="Y9885">
        <v>0.30947930000000001</v>
      </c>
      <c r="Z9885">
        <v>4.4747800000000003E-3</v>
      </c>
      <c r="AA9885">
        <v>0.95089570000000001</v>
      </c>
      <c r="AB9885">
        <v>23</v>
      </c>
      <c r="AC9885">
        <v>20.5016</v>
      </c>
      <c r="AD9885">
        <v>-0.69353920000000002</v>
      </c>
      <c r="AE9885">
        <v>64.747699999999995</v>
      </c>
      <c r="AF9885">
        <v>21.090098152466901</v>
      </c>
      <c r="AG9885">
        <v>-0.69353920000000002</v>
      </c>
      <c r="AH9885">
        <v>64.550957971036198</v>
      </c>
      <c r="AI9885">
        <v>90.585129325687404</v>
      </c>
      <c r="AJ9885">
        <v>71.906742193654694</v>
      </c>
      <c r="AK9885">
        <v>67.912439300036198</v>
      </c>
      <c r="AL9885">
        <v>93.622841496960405</v>
      </c>
      <c r="AM9885">
        <v>88.619527294169202</v>
      </c>
      <c r="AN9885">
        <v>1.0000000444057</v>
      </c>
    </row>
    <row r="9886" spans="1:40" x14ac:dyDescent="0.25">
      <c r="A9886" t="str">
        <f>"20190303154033949"</f>
        <v>20190303154033949</v>
      </c>
      <c r="B9886" t="str">
        <f>"1551598833937589"</f>
        <v>1551598833937589</v>
      </c>
      <c r="C9886" t="s">
        <v>40</v>
      </c>
      <c r="D9886">
        <v>4.6011769999999999</v>
      </c>
      <c r="E9886">
        <v>0.52725829999999996</v>
      </c>
      <c r="F9886" t="s">
        <v>68</v>
      </c>
      <c r="G9886">
        <v>-184.24809999999999</v>
      </c>
      <c r="H9886" s="1">
        <v>-9.0897780000000004E-6</v>
      </c>
      <c r="I9886">
        <v>141.6558</v>
      </c>
      <c r="J9886">
        <v>-187.8869</v>
      </c>
      <c r="K9886">
        <v>1.1215040000000001</v>
      </c>
      <c r="L9886">
        <v>107.4089</v>
      </c>
      <c r="M9886">
        <v>-9.5971819999999992E-3</v>
      </c>
      <c r="N9886">
        <v>-1.461026E-2</v>
      </c>
      <c r="O9886">
        <v>0.99984720000000005</v>
      </c>
      <c r="P9886">
        <v>1.4924359999999999E-2</v>
      </c>
      <c r="Q9886">
        <v>-7.7765109999999998E-2</v>
      </c>
      <c r="R9886">
        <v>0.99685999999999997</v>
      </c>
      <c r="S9886">
        <v>0.31602479999999999</v>
      </c>
      <c r="T9886">
        <v>-9.7476480000000004E-2</v>
      </c>
      <c r="U9886">
        <v>2.997131</v>
      </c>
      <c r="V9886">
        <v>2.4530670000000001E-2</v>
      </c>
      <c r="W9886">
        <v>-6.3180109999999998E-2</v>
      </c>
      <c r="X9886">
        <v>0.99770060000000005</v>
      </c>
      <c r="Y9886">
        <v>0.114346</v>
      </c>
      <c r="Z9886">
        <v>-1.7694379999999999E-2</v>
      </c>
      <c r="AA9886">
        <v>0.99328340000000004</v>
      </c>
      <c r="AB9886">
        <v>23</v>
      </c>
      <c r="AC9886">
        <v>3.6387999999999998</v>
      </c>
      <c r="AD9886">
        <v>-1.1215130897779999</v>
      </c>
      <c r="AE9886">
        <v>34.246899999999997</v>
      </c>
      <c r="AF9886">
        <v>3.9631384870179001</v>
      </c>
      <c r="AG9886">
        <v>-1.1215130897779999</v>
      </c>
      <c r="AH9886">
        <v>34.174156478119897</v>
      </c>
      <c r="AI9886">
        <v>91.867129765537996</v>
      </c>
      <c r="AJ9886">
        <v>83.385021751382993</v>
      </c>
      <c r="AK9886">
        <v>34.4214646589719</v>
      </c>
      <c r="AL9886">
        <v>93.622366358456603</v>
      </c>
      <c r="AM9886">
        <v>88.591540649661695</v>
      </c>
      <c r="AN9886">
        <v>0.99999998365530995</v>
      </c>
    </row>
    <row r="9887" spans="1:40" x14ac:dyDescent="0.25">
      <c r="A9887" t="str">
        <f>"20190303154033963"</f>
        <v>20190303154033963</v>
      </c>
      <c r="B9887" t="str">
        <f>"1551598833958084"</f>
        <v>1551598833958084</v>
      </c>
      <c r="C9887" t="s">
        <v>40</v>
      </c>
      <c r="D9887">
        <v>4.5716839999999896</v>
      </c>
      <c r="E9887">
        <v>0.52464500000000003</v>
      </c>
      <c r="F9887" t="s">
        <v>68</v>
      </c>
      <c r="G9887">
        <v>-184.9537</v>
      </c>
      <c r="H9887" s="1">
        <v>-8.9277509999999903E-6</v>
      </c>
      <c r="I9887">
        <v>141.2765</v>
      </c>
      <c r="J9887">
        <v>-187.8886</v>
      </c>
      <c r="K9887">
        <v>1.1214999999999999</v>
      </c>
      <c r="L9887">
        <v>107.5565</v>
      </c>
      <c r="M9887">
        <v>-9.8805260000000006E-3</v>
      </c>
      <c r="N9887">
        <v>-1.4606620000000001E-2</v>
      </c>
      <c r="O9887">
        <v>0.99984450000000002</v>
      </c>
      <c r="P9887">
        <v>1.480133E-2</v>
      </c>
      <c r="Q9887">
        <v>-7.7004290000000003E-2</v>
      </c>
      <c r="R9887">
        <v>0.9969209</v>
      </c>
      <c r="S9887">
        <v>0.25962829999999998</v>
      </c>
      <c r="T9887">
        <v>-9.9271769999999995E-2</v>
      </c>
      <c r="U9887">
        <v>2.9978180000000001</v>
      </c>
      <c r="V9887">
        <v>2.468971E-2</v>
      </c>
      <c r="W9887">
        <v>-6.2422289999999998E-2</v>
      </c>
      <c r="X9887">
        <v>0.99774439999999998</v>
      </c>
      <c r="Y9887">
        <v>9.6075430000000003E-2</v>
      </c>
      <c r="Z9887">
        <v>-1.8347550000000001E-2</v>
      </c>
      <c r="AA9887">
        <v>0.99520489999999995</v>
      </c>
      <c r="AB9887">
        <v>23</v>
      </c>
      <c r="AC9887">
        <v>2.9348999999999901</v>
      </c>
      <c r="AD9887">
        <v>-1.121508927751</v>
      </c>
      <c r="AE9887">
        <v>33.72</v>
      </c>
      <c r="AF9887">
        <v>3.2643797104833601</v>
      </c>
      <c r="AG9887">
        <v>-1.121508927751</v>
      </c>
      <c r="AH9887">
        <v>33.6524060829463</v>
      </c>
      <c r="AI9887">
        <v>91.899836967210504</v>
      </c>
      <c r="AJ9887">
        <v>84.459479946229294</v>
      </c>
      <c r="AK9887">
        <v>33.828957896168802</v>
      </c>
      <c r="AL9887">
        <v>93.578860511413097</v>
      </c>
      <c r="AM9887">
        <v>88.582475086887598</v>
      </c>
      <c r="AN9887">
        <v>1.00000000590004</v>
      </c>
    </row>
    <row r="9888" spans="1:40" x14ac:dyDescent="0.25">
      <c r="A9888" t="str">
        <f>"20190303154033981"</f>
        <v>20190303154033981</v>
      </c>
      <c r="B9888" t="str">
        <f>"1551598833977605"</f>
        <v>1551598833977605</v>
      </c>
      <c r="C9888" t="s">
        <v>40</v>
      </c>
      <c r="D9888">
        <v>4.5868690000000001</v>
      </c>
      <c r="E9888">
        <v>0.52317979999999997</v>
      </c>
      <c r="F9888" t="s">
        <v>68</v>
      </c>
      <c r="G9888">
        <v>-185.46629999999999</v>
      </c>
      <c r="H9888" s="1">
        <v>-7.8695600000000006E-6</v>
      </c>
      <c r="I9888">
        <v>137.9709</v>
      </c>
      <c r="J9888">
        <v>-187.89080000000001</v>
      </c>
      <c r="K9888">
        <v>1.1214930000000001</v>
      </c>
      <c r="L9888">
        <v>107.7336</v>
      </c>
      <c r="M9888">
        <v>-1.0215299999999899E-2</v>
      </c>
      <c r="N9888">
        <v>-1.4602220000000001E-2</v>
      </c>
      <c r="O9888">
        <v>0.99984119999999999</v>
      </c>
      <c r="P9888">
        <v>1.3966070000000001E-2</v>
      </c>
      <c r="Q9888">
        <v>-7.6750070000000004E-2</v>
      </c>
      <c r="R9888">
        <v>0.99695250000000002</v>
      </c>
      <c r="S9888">
        <v>0.23870849999999999</v>
      </c>
      <c r="T9888">
        <v>-0.1105189</v>
      </c>
      <c r="U9888">
        <v>2.9971920000000001</v>
      </c>
      <c r="V9888">
        <v>2.418758E-2</v>
      </c>
      <c r="W9888">
        <v>-6.2172650000000003E-2</v>
      </c>
      <c r="X9888">
        <v>0.99777229999999995</v>
      </c>
      <c r="Y9888">
        <v>8.9519689999999999E-2</v>
      </c>
      <c r="Z9888">
        <v>-2.2112030000000001E-2</v>
      </c>
      <c r="AA9888">
        <v>0.99573959999999995</v>
      </c>
      <c r="AB9888">
        <v>23</v>
      </c>
      <c r="AC9888">
        <v>2.4245000000000201</v>
      </c>
      <c r="AD9888">
        <v>-1.1215008695599999</v>
      </c>
      <c r="AE9888">
        <v>30.237300000000001</v>
      </c>
      <c r="AF9888">
        <v>2.7295585195536001</v>
      </c>
      <c r="AG9888">
        <v>-1.1215008695599999</v>
      </c>
      <c r="AH9888">
        <v>30.169713980695398</v>
      </c>
      <c r="AI9888">
        <v>92.120227886851694</v>
      </c>
      <c r="AJ9888">
        <v>84.830327082593101</v>
      </c>
      <c r="AK9888">
        <v>30.313691553307301</v>
      </c>
      <c r="AL9888">
        <v>93.564529306132698</v>
      </c>
      <c r="AM9888">
        <v>88.611331583246397</v>
      </c>
      <c r="AN9888">
        <v>1.0000000200407799</v>
      </c>
    </row>
    <row r="9889" spans="1:40" x14ac:dyDescent="0.25">
      <c r="A9889" t="str">
        <f>"20190303154033995"</f>
        <v>20190303154033995</v>
      </c>
      <c r="B9889" t="str">
        <f>"1551598833988343"</f>
        <v>1551598833988343</v>
      </c>
      <c r="C9889" t="s">
        <v>40</v>
      </c>
      <c r="D9889">
        <v>4.6652950000000004</v>
      </c>
      <c r="E9889">
        <v>0.52171009999999995</v>
      </c>
      <c r="F9889" t="s">
        <v>68</v>
      </c>
      <c r="G9889">
        <v>-185.67670000000001</v>
      </c>
      <c r="H9889" s="1">
        <v>-7.6139899999999903E-6</v>
      </c>
      <c r="I9889">
        <v>137.2929</v>
      </c>
      <c r="J9889">
        <v>-187.89240000000001</v>
      </c>
      <c r="K9889">
        <v>1.121486</v>
      </c>
      <c r="L9889">
        <v>107.86960000000001</v>
      </c>
      <c r="M9889">
        <v>-1.046589E-2</v>
      </c>
      <c r="N9889">
        <v>-1.459883E-2</v>
      </c>
      <c r="O9889">
        <v>0.99983869999999997</v>
      </c>
      <c r="P9889">
        <v>1.331625E-2</v>
      </c>
      <c r="Q9889">
        <v>-7.6985520000000002E-2</v>
      </c>
      <c r="R9889">
        <v>0.99694329999999998</v>
      </c>
      <c r="S9889">
        <v>0.2245026</v>
      </c>
      <c r="T9889">
        <v>-0.11371820000000001</v>
      </c>
      <c r="U9889">
        <v>2.9972690000000002</v>
      </c>
      <c r="V9889">
        <v>2.3786760000000001E-2</v>
      </c>
      <c r="W9889">
        <v>-6.2412160000000001E-2</v>
      </c>
      <c r="X9889">
        <v>0.99776699999999996</v>
      </c>
      <c r="Y9889">
        <v>8.5074200000000003E-2</v>
      </c>
      <c r="Z9889">
        <v>-2.3190519999999999E-2</v>
      </c>
      <c r="AA9889">
        <v>0.99610469999999895</v>
      </c>
      <c r="AB9889">
        <v>23</v>
      </c>
      <c r="AC9889">
        <v>2.2156999999999898</v>
      </c>
      <c r="AD9889">
        <v>-1.12149361398999</v>
      </c>
      <c r="AE9889">
        <v>29.423300000000001</v>
      </c>
      <c r="AF9889">
        <v>2.5199121235334099</v>
      </c>
      <c r="AG9889">
        <v>-1.12149361398999</v>
      </c>
      <c r="AH9889">
        <v>29.356087901114599</v>
      </c>
      <c r="AI9889">
        <v>92.1798042135743</v>
      </c>
      <c r="AJ9889">
        <v>85.093785277597206</v>
      </c>
      <c r="AK9889">
        <v>29.4853794599039</v>
      </c>
      <c r="AL9889">
        <v>93.578278859899797</v>
      </c>
      <c r="AM9889">
        <v>88.634327604923897</v>
      </c>
      <c r="AN9889">
        <v>1.0000000369780799</v>
      </c>
    </row>
    <row r="9890" spans="1:40" x14ac:dyDescent="0.25">
      <c r="A9890" t="str">
        <f>"20190303154034007"</f>
        <v>20190303154034007</v>
      </c>
      <c r="B9890" t="str">
        <f>"1551598833998101"</f>
        <v>1551598833998101</v>
      </c>
      <c r="C9890" t="s">
        <v>40</v>
      </c>
      <c r="D9890">
        <v>4.6881279999999999</v>
      </c>
      <c r="E9890">
        <v>0.52042029999999995</v>
      </c>
      <c r="F9890" t="s">
        <v>68</v>
      </c>
      <c r="G9890">
        <v>-186.01159999999999</v>
      </c>
      <c r="H9890" s="1">
        <v>-6.6691009999999996E-6</v>
      </c>
      <c r="I9890">
        <v>134.5822</v>
      </c>
      <c r="J9890">
        <v>-187.89420000000001</v>
      </c>
      <c r="K9890">
        <v>1.1214740000000001</v>
      </c>
      <c r="L9890">
        <v>108.0123</v>
      </c>
      <c r="M9890">
        <v>-1.0721319999999999E-2</v>
      </c>
      <c r="N9890">
        <v>-1.459527E-2</v>
      </c>
      <c r="O9890">
        <v>0.99983599999999995</v>
      </c>
      <c r="P9890">
        <v>1.2927060000000001E-2</v>
      </c>
      <c r="Q9890">
        <v>-7.7435260000000006E-2</v>
      </c>
      <c r="R9890">
        <v>0.99691359999999996</v>
      </c>
      <c r="S9890">
        <v>0.21099850000000001</v>
      </c>
      <c r="T9890">
        <v>-0.12581120000000001</v>
      </c>
      <c r="U9890">
        <v>2.9966740000000001</v>
      </c>
      <c r="V9890">
        <v>2.3650890000000001E-2</v>
      </c>
      <c r="W9890">
        <v>-6.2866409999999998E-2</v>
      </c>
      <c r="X9890">
        <v>0.99774169999999995</v>
      </c>
      <c r="Y9890">
        <v>8.0869609999999995E-2</v>
      </c>
      <c r="Z9890">
        <v>-2.7230279999999999E-2</v>
      </c>
      <c r="AA9890">
        <v>0.99635269999999998</v>
      </c>
      <c r="AB9890">
        <v>22</v>
      </c>
      <c r="AC9890">
        <v>1.88260000000002</v>
      </c>
      <c r="AD9890">
        <v>-1.121480669101</v>
      </c>
      <c r="AE9890">
        <v>26.569900000000001</v>
      </c>
      <c r="AF9890">
        <v>2.16355125036785</v>
      </c>
      <c r="AG9890">
        <v>-1.121480669101</v>
      </c>
      <c r="AH9890">
        <v>26.5012084588144</v>
      </c>
      <c r="AI9890">
        <v>92.415176748458194</v>
      </c>
      <c r="AJ9890">
        <v>85.332739377362699</v>
      </c>
      <c r="AK9890">
        <v>26.613017917584401</v>
      </c>
      <c r="AL9890">
        <v>93.604356720983205</v>
      </c>
      <c r="AM9890">
        <v>88.642090979132306</v>
      </c>
      <c r="AN9890">
        <v>1.00000002501148</v>
      </c>
    </row>
    <row r="9891" spans="1:40" x14ac:dyDescent="0.25">
      <c r="A9891" t="str">
        <f>"20190303154034028"</f>
        <v>20190303154034028</v>
      </c>
      <c r="B9891" t="str">
        <f>"1551598834017623"</f>
        <v>1551598834017623</v>
      </c>
      <c r="C9891" t="s">
        <v>40</v>
      </c>
      <c r="D9891">
        <v>4.5937510000000001</v>
      </c>
      <c r="E9891">
        <v>0.51964579999999905</v>
      </c>
      <c r="F9891" t="s">
        <v>68</v>
      </c>
      <c r="G9891">
        <v>-186.25290000000001</v>
      </c>
      <c r="H9891" s="1">
        <v>-6.0367400000000004E-6</v>
      </c>
      <c r="I9891">
        <v>132.6491</v>
      </c>
      <c r="J9891">
        <v>-187.89670000000001</v>
      </c>
      <c r="K9891">
        <v>1.1214459999999999</v>
      </c>
      <c r="L9891">
        <v>108.20229999999999</v>
      </c>
      <c r="M9891">
        <v>-1.103462E-2</v>
      </c>
      <c r="N9891">
        <v>-1.4590540000000001E-2</v>
      </c>
      <c r="O9891">
        <v>0.99983270000000002</v>
      </c>
      <c r="P9891">
        <v>1.2001879999999999E-2</v>
      </c>
      <c r="Q9891">
        <v>-7.7937510000000002E-2</v>
      </c>
      <c r="R9891">
        <v>0.99688600000000005</v>
      </c>
      <c r="S9891">
        <v>0.19960020000000001</v>
      </c>
      <c r="T9891">
        <v>-0.1363839</v>
      </c>
      <c r="U9891">
        <v>2.9960939999999998</v>
      </c>
      <c r="V9891">
        <v>2.3035179999999999E-2</v>
      </c>
      <c r="W9891">
        <v>-6.3375089999999995E-2</v>
      </c>
      <c r="X9891">
        <v>0.9977239</v>
      </c>
      <c r="Y9891">
        <v>7.7414800000000006E-2</v>
      </c>
      <c r="Z9891">
        <v>-3.0765279999999999E-2</v>
      </c>
      <c r="AA9891">
        <v>0.99652419999999997</v>
      </c>
      <c r="AB9891">
        <v>22</v>
      </c>
      <c r="AC9891">
        <v>1.6437999999999899</v>
      </c>
      <c r="AD9891">
        <v>-1.12145203674</v>
      </c>
      <c r="AE9891">
        <v>24.4468</v>
      </c>
      <c r="AF9891">
        <v>1.90948961198718</v>
      </c>
      <c r="AG9891">
        <v>-1.12145203674</v>
      </c>
      <c r="AH9891">
        <v>24.376105731468598</v>
      </c>
      <c r="AI9891">
        <v>92.6260702842238</v>
      </c>
      <c r="AJ9891">
        <v>85.520911519543702</v>
      </c>
      <c r="AK9891">
        <v>24.4764853661781</v>
      </c>
      <c r="AL9891">
        <v>93.633560259410899</v>
      </c>
      <c r="AM9891">
        <v>88.677405480125302</v>
      </c>
      <c r="AN9891">
        <v>1.00000000109067</v>
      </c>
    </row>
    <row r="9892" spans="1:40" x14ac:dyDescent="0.25">
      <c r="A9892" t="str">
        <f>"20190303154034050"</f>
        <v>20190303154034050</v>
      </c>
      <c r="B9892" t="str">
        <f>"1551598834037648"</f>
        <v>1551598834037648</v>
      </c>
      <c r="C9892" t="s">
        <v>40</v>
      </c>
      <c r="D9892">
        <v>4.699408</v>
      </c>
      <c r="E9892">
        <v>0.51885119999999996</v>
      </c>
      <c r="F9892" t="s">
        <v>68</v>
      </c>
      <c r="G9892">
        <v>-186.35820000000001</v>
      </c>
      <c r="H9892" s="1">
        <v>-5.93404199999999E-6</v>
      </c>
      <c r="I9892">
        <v>132.34719999999999</v>
      </c>
      <c r="J9892">
        <v>-187.89949999999999</v>
      </c>
      <c r="K9892">
        <v>1.121413</v>
      </c>
      <c r="L9892">
        <v>108.4226</v>
      </c>
      <c r="M9892">
        <v>-1.134859E-2</v>
      </c>
      <c r="N9892">
        <v>-1.458517E-2</v>
      </c>
      <c r="O9892">
        <v>0.99982919999999997</v>
      </c>
      <c r="P9892">
        <v>1.26292E-2</v>
      </c>
      <c r="Q9892">
        <v>-7.7374460000000006E-2</v>
      </c>
      <c r="R9892">
        <v>0.99692210000000003</v>
      </c>
      <c r="S9892">
        <v>0.190918</v>
      </c>
      <c r="T9892">
        <v>-0.13916410000000001</v>
      </c>
      <c r="U9892">
        <v>2.9962010000000001</v>
      </c>
      <c r="V9892">
        <v>2.3970229999999999E-2</v>
      </c>
      <c r="W9892">
        <v>-6.281871E-2</v>
      </c>
      <c r="X9892">
        <v>0.99773710000000004</v>
      </c>
      <c r="Y9892">
        <v>7.4848559999999995E-2</v>
      </c>
      <c r="Z9892">
        <v>-3.1700760000000001E-2</v>
      </c>
      <c r="AA9892">
        <v>0.99669090000000005</v>
      </c>
      <c r="AB9892">
        <v>22</v>
      </c>
      <c r="AC9892">
        <v>1.5412999999999699</v>
      </c>
      <c r="AD9892">
        <v>-1.121418934042</v>
      </c>
      <c r="AE9892">
        <v>23.924599999999899</v>
      </c>
      <c r="AF9892">
        <v>1.80878247115145</v>
      </c>
      <c r="AG9892">
        <v>-1.121418934042</v>
      </c>
      <c r="AH9892">
        <v>23.853374325634899</v>
      </c>
      <c r="AI9892">
        <v>92.6839710502706</v>
      </c>
      <c r="AJ9892">
        <v>85.663605263136404</v>
      </c>
      <c r="AK9892">
        <v>23.948126047196901</v>
      </c>
      <c r="AL9892">
        <v>93.6016182403431</v>
      </c>
      <c r="AM9892">
        <v>88.623756827096599</v>
      </c>
      <c r="AN9892">
        <v>1.0000000414843599</v>
      </c>
    </row>
    <row r="9893" spans="1:40" x14ac:dyDescent="0.25">
      <c r="A9893" t="str">
        <f>"20190303154034070"</f>
        <v>20190303154034070</v>
      </c>
      <c r="B9893" t="str">
        <f>"1551598834067904"</f>
        <v>1551598834067904</v>
      </c>
      <c r="C9893" t="s">
        <v>40</v>
      </c>
      <c r="D9893">
        <v>4.5897360000000003</v>
      </c>
      <c r="E9893">
        <v>0.51852600000000004</v>
      </c>
      <c r="F9893" t="s">
        <v>68</v>
      </c>
      <c r="G9893">
        <v>-186.4469</v>
      </c>
      <c r="H9893" s="1">
        <v>-5.7408449999999999E-6</v>
      </c>
      <c r="I9893">
        <v>131.7593</v>
      </c>
      <c r="J9893">
        <v>-187.90219999999999</v>
      </c>
      <c r="K9893">
        <v>1.121372</v>
      </c>
      <c r="L9893">
        <v>108.6315</v>
      </c>
      <c r="M9893">
        <v>-1.1578389999999999E-2</v>
      </c>
      <c r="N9893">
        <v>-1.4580040000000001E-2</v>
      </c>
      <c r="O9893">
        <v>0.99982669999999996</v>
      </c>
      <c r="P9893">
        <v>1.460708E-2</v>
      </c>
      <c r="Q9893">
        <v>-7.5418520000000003E-2</v>
      </c>
      <c r="R9893">
        <v>0.99704499999999996</v>
      </c>
      <c r="S9893">
        <v>0.1864624</v>
      </c>
      <c r="T9893">
        <v>-0.14395620000000001</v>
      </c>
      <c r="U9893">
        <v>2.9957280000000002</v>
      </c>
      <c r="V9893">
        <v>2.6170519999999999E-2</v>
      </c>
      <c r="W9893">
        <v>-6.0868810000000002E-2</v>
      </c>
      <c r="X9893">
        <v>0.99780259999999998</v>
      </c>
      <c r="Y9893">
        <v>7.3607629999999993E-2</v>
      </c>
      <c r="Z9893">
        <v>-3.3308699999999997E-2</v>
      </c>
      <c r="AA9893">
        <v>0.99673089999999998</v>
      </c>
      <c r="AB9893">
        <v>22</v>
      </c>
      <c r="AC9893">
        <v>1.45529999999999</v>
      </c>
      <c r="AD9893">
        <v>-1.1213777408450001</v>
      </c>
      <c r="AE9893">
        <v>23.127799999999901</v>
      </c>
      <c r="AF9893">
        <v>1.7189883322852999</v>
      </c>
      <c r="AG9893">
        <v>-1.1213777408450001</v>
      </c>
      <c r="AH9893">
        <v>23.055410215367001</v>
      </c>
      <c r="AI9893">
        <v>92.776883707797595</v>
      </c>
      <c r="AJ9893">
        <v>85.735973595386497</v>
      </c>
      <c r="AK9893">
        <v>23.1465839622836</v>
      </c>
      <c r="AL9893">
        <v>93.489683180253394</v>
      </c>
      <c r="AM9893">
        <v>88.497581935312496</v>
      </c>
      <c r="AN9893">
        <v>0.99999996835732197</v>
      </c>
    </row>
    <row r="9894" spans="1:40" x14ac:dyDescent="0.25">
      <c r="A9894" t="str">
        <f>"20190303154034084"</f>
        <v>20190303154034084</v>
      </c>
      <c r="B9894" t="str">
        <f>"1551598834077664"</f>
        <v>1551598834077664</v>
      </c>
      <c r="C9894" t="s">
        <v>40</v>
      </c>
      <c r="D9894">
        <v>4.5964999999999998</v>
      </c>
      <c r="E9894">
        <v>0.5184571</v>
      </c>
      <c r="F9894" t="s">
        <v>68</v>
      </c>
      <c r="G9894">
        <v>-186.35</v>
      </c>
      <c r="H9894" s="1">
        <v>-6.1895310000000004E-6</v>
      </c>
      <c r="I9894">
        <v>133.14439999999999</v>
      </c>
      <c r="J9894">
        <v>-187.904</v>
      </c>
      <c r="K9894">
        <v>1.1213360000000001</v>
      </c>
      <c r="L9894">
        <v>108.7748</v>
      </c>
      <c r="M9894">
        <v>-1.1699930000000001E-2</v>
      </c>
      <c r="N9894">
        <v>-1.457643E-2</v>
      </c>
      <c r="O9894">
        <v>0.99982530000000003</v>
      </c>
      <c r="P9894">
        <v>1.5624229999999999E-2</v>
      </c>
      <c r="Q9894">
        <v>-7.4755849999999999E-2</v>
      </c>
      <c r="R9894">
        <v>0.99707939999999995</v>
      </c>
      <c r="S9894">
        <v>0.18969730000000001</v>
      </c>
      <c r="T9894">
        <v>-0.1370449</v>
      </c>
      <c r="U9894">
        <v>2.995743</v>
      </c>
      <c r="V9894">
        <v>2.730376E-2</v>
      </c>
      <c r="W9894">
        <v>-6.0211529999999999E-2</v>
      </c>
      <c r="X9894">
        <v>0.99781220000000004</v>
      </c>
      <c r="Y9894">
        <v>7.4805930000000007E-2</v>
      </c>
      <c r="Z9894">
        <v>-3.1013019999999999E-2</v>
      </c>
      <c r="AA9894">
        <v>0.99671569999999998</v>
      </c>
      <c r="AB9894">
        <v>22</v>
      </c>
      <c r="AC9894">
        <v>1.55400000000003</v>
      </c>
      <c r="AD9894">
        <v>-1.1213421895310001</v>
      </c>
      <c r="AE9894">
        <v>24.369599999999899</v>
      </c>
      <c r="AF9894">
        <v>1.83517666441504</v>
      </c>
      <c r="AG9894">
        <v>-1.1213421895310001</v>
      </c>
      <c r="AH9894">
        <v>24.298509468382399</v>
      </c>
      <c r="AI9894">
        <v>92.634752038465905</v>
      </c>
      <c r="AJ9894">
        <v>85.680861405145606</v>
      </c>
      <c r="AK9894">
        <v>24.393500037524401</v>
      </c>
      <c r="AL9894">
        <v>93.451954305550402</v>
      </c>
      <c r="AM9894">
        <v>88.432570845463999</v>
      </c>
      <c r="AN9894">
        <v>1.0000000550619501</v>
      </c>
    </row>
    <row r="9895" spans="1:40" x14ac:dyDescent="0.25">
      <c r="A9895" t="str">
        <f>"20190303154034104"</f>
        <v>20190303154034104</v>
      </c>
      <c r="B9895" t="str">
        <f>"1551598834098160"</f>
        <v>1551598834098160</v>
      </c>
      <c r="C9895" t="s">
        <v>40</v>
      </c>
      <c r="D9895">
        <v>4.6028039999999999</v>
      </c>
      <c r="E9895">
        <v>0.51821269999999997</v>
      </c>
      <c r="F9895" t="s">
        <v>68</v>
      </c>
      <c r="G9895">
        <v>-186.30879999999999</v>
      </c>
      <c r="H9895" s="1">
        <v>-6.3454219999999996E-6</v>
      </c>
      <c r="I9895">
        <v>133.6242</v>
      </c>
      <c r="J9895">
        <v>-187.90639999999999</v>
      </c>
      <c r="K9895">
        <v>1.1212850000000001</v>
      </c>
      <c r="L9895">
        <v>108.9663</v>
      </c>
      <c r="M9895">
        <v>-1.1818449999999999E-2</v>
      </c>
      <c r="N9895">
        <v>-1.4571509999999999E-2</v>
      </c>
      <c r="O9895">
        <v>0.99982400000000005</v>
      </c>
      <c r="P9895">
        <v>1.9226799999999999E-2</v>
      </c>
      <c r="Q9895">
        <v>-7.5775839999999997E-2</v>
      </c>
      <c r="R9895">
        <v>0.99693949999999998</v>
      </c>
      <c r="S9895">
        <v>0.19230649999999999</v>
      </c>
      <c r="T9895">
        <v>-0.13517989999999999</v>
      </c>
      <c r="U9895">
        <v>2.9956510000000001</v>
      </c>
      <c r="V9895">
        <v>3.10157E-2</v>
      </c>
      <c r="W9895">
        <v>-6.1241820000000002E-2</v>
      </c>
      <c r="X9895">
        <v>0.997641</v>
      </c>
      <c r="Y9895">
        <v>7.5791800000000006E-2</v>
      </c>
      <c r="Z9895">
        <v>-3.0396739999999998E-2</v>
      </c>
      <c r="AA9895">
        <v>0.9966602</v>
      </c>
      <c r="AB9895">
        <v>22</v>
      </c>
      <c r="AC9895">
        <v>1.5975999999999999</v>
      </c>
      <c r="AD9895">
        <v>-1.1212913454219999</v>
      </c>
      <c r="AE9895">
        <v>24.657900000000001</v>
      </c>
      <c r="AF9895">
        <v>1.8850557266715899</v>
      </c>
      <c r="AG9895">
        <v>-1.1212913454219999</v>
      </c>
      <c r="AH9895">
        <v>24.5866646869639</v>
      </c>
      <c r="AI9895">
        <v>92.603572684875999</v>
      </c>
      <c r="AJ9895">
        <v>85.615718798490505</v>
      </c>
      <c r="AK9895">
        <v>24.684302902921399</v>
      </c>
      <c r="AL9895">
        <v>93.511094740721603</v>
      </c>
      <c r="AM9895">
        <v>88.219302824022407</v>
      </c>
      <c r="AN9895">
        <v>1.0000000495221999</v>
      </c>
    </row>
    <row r="9896" spans="1:40" x14ac:dyDescent="0.25">
      <c r="A9896" t="str">
        <f>"20190303154034119"</f>
        <v>20190303154034119</v>
      </c>
      <c r="B9896" t="str">
        <f>"1551598834107920"</f>
        <v>1551598834107920</v>
      </c>
      <c r="C9896" t="s">
        <v>40</v>
      </c>
      <c r="D9896">
        <v>4.5901129999999997</v>
      </c>
      <c r="E9896">
        <v>0.51811049999999903</v>
      </c>
      <c r="F9896" t="s">
        <v>68</v>
      </c>
      <c r="G9896">
        <v>-186.28479999999999</v>
      </c>
      <c r="H9896" s="1">
        <v>-6.1788430000000002E-6</v>
      </c>
      <c r="I9896">
        <v>133.09909999999999</v>
      </c>
      <c r="J9896">
        <v>-187.90819999999999</v>
      </c>
      <c r="K9896">
        <v>1.121238</v>
      </c>
      <c r="L9896">
        <v>109.1131</v>
      </c>
      <c r="M9896">
        <v>-1.1862569999999999E-2</v>
      </c>
      <c r="N9896">
        <v>-1.4567699999999999E-2</v>
      </c>
      <c r="O9896">
        <v>0.99982349999999998</v>
      </c>
      <c r="P9896">
        <v>2.105713E-2</v>
      </c>
      <c r="Q9896">
        <v>-7.7152380000000007E-2</v>
      </c>
      <c r="R9896">
        <v>0.99679689999999999</v>
      </c>
      <c r="S9896">
        <v>0.20123289999999999</v>
      </c>
      <c r="T9896">
        <v>-0.13914609999999999</v>
      </c>
      <c r="U9896">
        <v>2.9947509999999999</v>
      </c>
      <c r="V9896">
        <v>3.2882559999999998E-2</v>
      </c>
      <c r="W9896">
        <v>-6.2627230000000006E-2</v>
      </c>
      <c r="X9896">
        <v>0.99749520000000003</v>
      </c>
      <c r="Y9896">
        <v>7.8807730000000006E-2</v>
      </c>
      <c r="Z9896">
        <v>-3.1721369999999999E-2</v>
      </c>
      <c r="AA9896">
        <v>0.99638499999999997</v>
      </c>
      <c r="AB9896">
        <v>22</v>
      </c>
      <c r="AC9896">
        <v>1.6234</v>
      </c>
      <c r="AD9896">
        <v>-1.1212441788430001</v>
      </c>
      <c r="AE9896">
        <v>23.985999999999901</v>
      </c>
      <c r="AF9896">
        <v>1.9037105957810401</v>
      </c>
      <c r="AG9896">
        <v>-1.1212441788430001</v>
      </c>
      <c r="AH9896">
        <v>23.9130364593011</v>
      </c>
      <c r="AI9896">
        <v>92.676087248953905</v>
      </c>
      <c r="AJ9896">
        <v>85.448297529700696</v>
      </c>
      <c r="AK9896">
        <v>24.014883202817</v>
      </c>
      <c r="AL9896">
        <v>93.5906255574657</v>
      </c>
      <c r="AM9896">
        <v>88.111920846191694</v>
      </c>
      <c r="AN9896">
        <v>1.00000005335633</v>
      </c>
    </row>
    <row r="9897" spans="1:40" x14ac:dyDescent="0.25">
      <c r="A9897" t="str">
        <f>"20190303154034139"</f>
        <v>20190303154034139</v>
      </c>
      <c r="B9897" t="str">
        <f>"1551598834128417"</f>
        <v>1551598834128417</v>
      </c>
      <c r="C9897" t="s">
        <v>40</v>
      </c>
      <c r="D9897">
        <v>4.5990010000000003</v>
      </c>
      <c r="E9897">
        <v>0.51793109999999998</v>
      </c>
      <c r="F9897" t="s">
        <v>68</v>
      </c>
      <c r="G9897">
        <v>-186.28100000000001</v>
      </c>
      <c r="H9897" s="1">
        <v>-6.0778770000000003E-6</v>
      </c>
      <c r="I9897">
        <v>132.78280000000001</v>
      </c>
      <c r="J9897">
        <v>-187.91059999999999</v>
      </c>
      <c r="K9897">
        <v>1.1211739999999999</v>
      </c>
      <c r="L9897">
        <v>109.31480000000001</v>
      </c>
      <c r="M9897">
        <v>-1.185319E-2</v>
      </c>
      <c r="N9897">
        <v>-1.4562500000000001E-2</v>
      </c>
      <c r="O9897">
        <v>0.99982369999999998</v>
      </c>
      <c r="P9897">
        <v>2.422448E-2</v>
      </c>
      <c r="Q9897">
        <v>-7.9658179999999995E-2</v>
      </c>
      <c r="R9897">
        <v>0.99652790000000002</v>
      </c>
      <c r="S9897">
        <v>0.2058411</v>
      </c>
      <c r="T9897">
        <v>-0.1418411</v>
      </c>
      <c r="U9897">
        <v>2.9942929999999999</v>
      </c>
      <c r="V9897">
        <v>3.6028530000000003E-2</v>
      </c>
      <c r="W9897">
        <v>-6.5147170000000004E-2</v>
      </c>
      <c r="X9897">
        <v>0.99722500000000003</v>
      </c>
      <c r="Y9897">
        <v>8.0331650000000004E-2</v>
      </c>
      <c r="Z9897">
        <v>-3.2623260000000001E-2</v>
      </c>
      <c r="AA9897">
        <v>0.99623419999999896</v>
      </c>
      <c r="AB9897">
        <v>22</v>
      </c>
      <c r="AC9897">
        <v>1.6296000000000099</v>
      </c>
      <c r="AD9897">
        <v>-1.12118007787699</v>
      </c>
      <c r="AE9897">
        <v>23.468</v>
      </c>
      <c r="AF9897">
        <v>1.9033622020738199</v>
      </c>
      <c r="AG9897">
        <v>-1.12118007787699</v>
      </c>
      <c r="AH9897">
        <v>23.393894142528801</v>
      </c>
      <c r="AI9897">
        <v>92.734845349249298</v>
      </c>
      <c r="AJ9897">
        <v>85.348575331926597</v>
      </c>
      <c r="AK9897">
        <v>23.4979598176342</v>
      </c>
      <c r="AL9897">
        <v>93.735303442209599</v>
      </c>
      <c r="AM9897">
        <v>87.930872920562194</v>
      </c>
      <c r="AN9897">
        <v>0.99999995467898295</v>
      </c>
    </row>
    <row r="9898" spans="1:40" x14ac:dyDescent="0.25">
      <c r="A9898" t="str">
        <f>"20190303154034161"</f>
        <v>20190303154034161</v>
      </c>
      <c r="B9898" t="str">
        <f>"1551598834158205"</f>
        <v>1551598834158205</v>
      </c>
      <c r="C9898" t="s">
        <v>40</v>
      </c>
      <c r="D9898">
        <v>4.6157329999999996</v>
      </c>
      <c r="E9898">
        <v>0.51722020000000002</v>
      </c>
      <c r="F9898" t="s">
        <v>68</v>
      </c>
      <c r="G9898">
        <v>-186.29830000000001</v>
      </c>
      <c r="H9898" s="1">
        <v>-5.7861329999999998E-6</v>
      </c>
      <c r="I9898">
        <v>131.87389999999999</v>
      </c>
      <c r="J9898">
        <v>-187.91309999999999</v>
      </c>
      <c r="K9898">
        <v>1.1211070000000001</v>
      </c>
      <c r="L9898">
        <v>109.5269</v>
      </c>
      <c r="M9898">
        <v>-1.1746799999999899E-2</v>
      </c>
      <c r="N9898">
        <v>-1.455716E-2</v>
      </c>
      <c r="O9898">
        <v>0.99982510000000002</v>
      </c>
      <c r="P9898">
        <v>2.7358730000000001E-2</v>
      </c>
      <c r="Q9898">
        <v>-8.1011319999999998E-2</v>
      </c>
      <c r="R9898">
        <v>0.99633769999999999</v>
      </c>
      <c r="S9898">
        <v>0.21394350000000001</v>
      </c>
      <c r="T9898">
        <v>-0.1487694</v>
      </c>
      <c r="U9898">
        <v>2.9933619999999999</v>
      </c>
      <c r="V9898">
        <v>3.9044200000000001E-2</v>
      </c>
      <c r="W9898">
        <v>-6.6514939999999995E-2</v>
      </c>
      <c r="X9898">
        <v>0.99702120000000005</v>
      </c>
      <c r="Y9898">
        <v>8.2921800000000004E-2</v>
      </c>
      <c r="Z9898">
        <v>-3.4934319999999998E-2</v>
      </c>
      <c r="AA9898">
        <v>0.99594349999999998</v>
      </c>
      <c r="AB9898">
        <v>22</v>
      </c>
      <c r="AC9898">
        <v>1.61479999999997</v>
      </c>
      <c r="AD9898">
        <v>-1.1211127861329999</v>
      </c>
      <c r="AE9898">
        <v>22.346999999999898</v>
      </c>
      <c r="AF9898">
        <v>1.8725336665413801</v>
      </c>
      <c r="AG9898">
        <v>-1.1211127861329999</v>
      </c>
      <c r="AH9898">
        <v>22.270725797217899</v>
      </c>
      <c r="AI9898">
        <v>92.871732329487898</v>
      </c>
      <c r="AJ9898">
        <v>85.193846926830801</v>
      </c>
      <c r="AK9898">
        <v>22.377410568393099</v>
      </c>
      <c r="AL9898">
        <v>93.813841169090097</v>
      </c>
      <c r="AM9898">
        <v>87.757394369270699</v>
      </c>
      <c r="AN9898">
        <v>0.99999998002314106</v>
      </c>
    </row>
    <row r="9899" spans="1:40" x14ac:dyDescent="0.25">
      <c r="A9899" t="str">
        <f>"20190303154034183"</f>
        <v>20190303154034183</v>
      </c>
      <c r="B9899" t="str">
        <f>"1551598834177725"</f>
        <v>1551598834177725</v>
      </c>
      <c r="C9899" t="s">
        <v>40</v>
      </c>
      <c r="D9899">
        <v>4.6118540000000001</v>
      </c>
      <c r="E9899">
        <v>0.51711149999999995</v>
      </c>
      <c r="F9899" t="s">
        <v>68</v>
      </c>
      <c r="G9899">
        <v>-186.346</v>
      </c>
      <c r="H9899" s="1">
        <v>-5.5332139999999998E-6</v>
      </c>
      <c r="I9899">
        <v>131.09190000000001</v>
      </c>
      <c r="J9899">
        <v>-187.91540000000001</v>
      </c>
      <c r="K9899">
        <v>1.1210439999999999</v>
      </c>
      <c r="L9899">
        <v>109.74469999999999</v>
      </c>
      <c r="M9899">
        <v>-1.1534880000000001E-2</v>
      </c>
      <c r="N9899">
        <v>-1.455182E-2</v>
      </c>
      <c r="O9899">
        <v>0.99982760000000004</v>
      </c>
      <c r="P9899">
        <v>2.7301300000000001E-2</v>
      </c>
      <c r="Q9899">
        <v>-7.9862039999999995E-2</v>
      </c>
      <c r="R9899">
        <v>0.99643199999999998</v>
      </c>
      <c r="S9899">
        <v>0.21745300000000001</v>
      </c>
      <c r="T9899">
        <v>-0.1555696</v>
      </c>
      <c r="U9899">
        <v>2.992432</v>
      </c>
      <c r="V9899">
        <v>3.8766330000000002E-2</v>
      </c>
      <c r="W9899">
        <v>-6.5375900000000001E-2</v>
      </c>
      <c r="X9899">
        <v>0.99710739999999998</v>
      </c>
      <c r="Y9899">
        <v>8.3886779999999994E-2</v>
      </c>
      <c r="Z9899">
        <v>-3.7209029999999997E-2</v>
      </c>
      <c r="AA9899">
        <v>0.99578029999999995</v>
      </c>
      <c r="AB9899">
        <v>22</v>
      </c>
      <c r="AC9899">
        <v>1.5694000000000301</v>
      </c>
      <c r="AD9899">
        <v>-1.121049533214</v>
      </c>
      <c r="AE9899">
        <v>21.347200000000001</v>
      </c>
      <c r="AF9899">
        <v>1.81059256161781</v>
      </c>
      <c r="AG9899">
        <v>-1.121049533214</v>
      </c>
      <c r="AH9899">
        <v>21.269332824643399</v>
      </c>
      <c r="AI9899">
        <v>93.006262285479707</v>
      </c>
      <c r="AJ9899">
        <v>85.134317962178699</v>
      </c>
      <c r="AK9899">
        <v>21.3756758088618</v>
      </c>
      <c r="AL9899">
        <v>93.748436526838006</v>
      </c>
      <c r="AM9899">
        <v>87.773530737557294</v>
      </c>
      <c r="AN9899">
        <v>1.0000000018886099</v>
      </c>
    </row>
    <row r="9900" spans="1:40" x14ac:dyDescent="0.25">
      <c r="A9900" t="str">
        <f>"20190303154034205"</f>
        <v>20190303154034205</v>
      </c>
      <c r="B9900" t="str">
        <f>"1551598834198220"</f>
        <v>1551598834198220</v>
      </c>
      <c r="C9900" t="s">
        <v>40</v>
      </c>
      <c r="D9900">
        <v>4.626627</v>
      </c>
      <c r="E9900">
        <v>0.51668570000000003</v>
      </c>
      <c r="F9900" t="s">
        <v>68</v>
      </c>
      <c r="G9900">
        <v>-186.3229</v>
      </c>
      <c r="H9900" s="1">
        <v>-5.7474859999999996E-6</v>
      </c>
      <c r="I9900">
        <v>131.75749999999999</v>
      </c>
      <c r="J9900">
        <v>-187.91759999999999</v>
      </c>
      <c r="K9900">
        <v>1.1209849999999999</v>
      </c>
      <c r="L9900">
        <v>109.9569</v>
      </c>
      <c r="M9900">
        <v>-1.1226409999999999E-2</v>
      </c>
      <c r="N9900">
        <v>-1.454679E-2</v>
      </c>
      <c r="O9900">
        <v>0.99983109999999997</v>
      </c>
      <c r="P9900">
        <v>2.8126709999999999E-2</v>
      </c>
      <c r="Q9900">
        <v>-7.8238230000000006E-2</v>
      </c>
      <c r="R9900">
        <v>0.99653789999999998</v>
      </c>
      <c r="S9900">
        <v>0.21650700000000001</v>
      </c>
      <c r="T9900">
        <v>-0.1524045</v>
      </c>
      <c r="U9900">
        <v>2.9925989999999998</v>
      </c>
      <c r="V9900">
        <v>3.9275499999999998E-2</v>
      </c>
      <c r="W9900">
        <v>-6.3762559999999996E-2</v>
      </c>
      <c r="X9900">
        <v>0.99719199999999997</v>
      </c>
      <c r="Y9900">
        <v>8.326588E-2</v>
      </c>
      <c r="Z9900">
        <v>-3.6162769999999997E-2</v>
      </c>
      <c r="AA9900">
        <v>0.99587099999999995</v>
      </c>
      <c r="AB9900">
        <v>22</v>
      </c>
      <c r="AC9900">
        <v>1.59469999999998</v>
      </c>
      <c r="AD9900">
        <v>-1.1209907474859999</v>
      </c>
      <c r="AE9900">
        <v>21.8005999999999</v>
      </c>
      <c r="AF9900">
        <v>1.8345430932907001</v>
      </c>
      <c r="AG9900">
        <v>-1.1209907474859999</v>
      </c>
      <c r="AH9900">
        <v>21.724187430509499</v>
      </c>
      <c r="AI9900">
        <v>92.943444009044995</v>
      </c>
      <c r="AJ9900">
        <v>85.172994164040006</v>
      </c>
      <c r="AK9900">
        <v>21.830311223915199</v>
      </c>
      <c r="AL9900">
        <v>93.655805443125999</v>
      </c>
      <c r="AM9900">
        <v>87.744508724483794</v>
      </c>
      <c r="AN9900">
        <v>1.0000000569109999</v>
      </c>
    </row>
    <row r="9901" spans="1:40" x14ac:dyDescent="0.25">
      <c r="A9901" t="str">
        <f>"20190303154034228"</f>
        <v>20190303154034228</v>
      </c>
      <c r="B9901" t="str">
        <f>"1551598834217744"</f>
        <v>1551598834217744</v>
      </c>
      <c r="C9901" t="s">
        <v>40</v>
      </c>
      <c r="D9901">
        <v>4.6769970000000001</v>
      </c>
      <c r="E9901">
        <v>0.51637860000000002</v>
      </c>
      <c r="F9901" t="s">
        <v>68</v>
      </c>
      <c r="G9901">
        <v>-186.32079999999999</v>
      </c>
      <c r="H9901" s="1">
        <v>-5.8674099999999998E-6</v>
      </c>
      <c r="I9901">
        <v>132.13210000000001</v>
      </c>
      <c r="J9901">
        <v>-187.91980000000001</v>
      </c>
      <c r="K9901">
        <v>1.1209169999999999</v>
      </c>
      <c r="L9901">
        <v>110.1915</v>
      </c>
      <c r="M9901">
        <v>-1.076944E-2</v>
      </c>
      <c r="N9901">
        <v>-1.454138E-2</v>
      </c>
      <c r="O9901">
        <v>0.99983630000000001</v>
      </c>
      <c r="P9901">
        <v>2.8696989999999999E-2</v>
      </c>
      <c r="Q9901">
        <v>-7.8472219999999995E-2</v>
      </c>
      <c r="R9901">
        <v>0.99650320000000003</v>
      </c>
      <c r="S9901">
        <v>0.2154846</v>
      </c>
      <c r="T9901">
        <v>-0.15127409999999999</v>
      </c>
      <c r="U9901">
        <v>2.9924620000000002</v>
      </c>
      <c r="V9901">
        <v>3.9377660000000002E-2</v>
      </c>
      <c r="W9901">
        <v>-6.4009880000000005E-2</v>
      </c>
      <c r="X9901">
        <v>0.99717210000000001</v>
      </c>
      <c r="Y9901">
        <v>8.2476770000000005E-2</v>
      </c>
      <c r="Z9901">
        <v>-3.5798030000000002E-2</v>
      </c>
      <c r="AA9901">
        <v>0.99594990000000005</v>
      </c>
      <c r="AB9901">
        <v>22</v>
      </c>
      <c r="AC9901">
        <v>1.59900000000001</v>
      </c>
      <c r="AD9901">
        <v>-1.12092286741</v>
      </c>
      <c r="AE9901">
        <v>21.9406</v>
      </c>
      <c r="AF9901">
        <v>1.8304677721702101</v>
      </c>
      <c r="AG9901">
        <v>-1.12092286741</v>
      </c>
      <c r="AH9901">
        <v>21.8653363491029</v>
      </c>
      <c r="AI9901">
        <v>92.924477586868505</v>
      </c>
      <c r="AJ9901">
        <v>85.214612932842002</v>
      </c>
      <c r="AK9901">
        <v>21.9704349979475</v>
      </c>
      <c r="AL9901">
        <v>93.670004936705396</v>
      </c>
      <c r="AM9901">
        <v>87.738602938696005</v>
      </c>
      <c r="AN9901">
        <v>1.00000003093154</v>
      </c>
    </row>
    <row r="9902" spans="1:40" x14ac:dyDescent="0.25">
      <c r="A9902" t="str">
        <f>"20190303154034251"</f>
        <v>20190303154034251</v>
      </c>
      <c r="B9902" t="str">
        <f>"1551598834248505"</f>
        <v>1551598834248505</v>
      </c>
      <c r="C9902" t="s">
        <v>40</v>
      </c>
      <c r="D9902">
        <v>4.6628449999999999</v>
      </c>
      <c r="E9902">
        <v>0.48630980000000001</v>
      </c>
      <c r="F9902" t="s">
        <v>68</v>
      </c>
      <c r="G9902">
        <v>-186.3623</v>
      </c>
      <c r="H9902" s="1">
        <v>-5.7791490000000002E-6</v>
      </c>
      <c r="I9902">
        <v>131.86369999999999</v>
      </c>
      <c r="J9902">
        <v>-187.92160000000001</v>
      </c>
      <c r="K9902">
        <v>1.1208400000000001</v>
      </c>
      <c r="L9902">
        <v>110.4114</v>
      </c>
      <c r="M9902">
        <v>-1.021766E-2</v>
      </c>
      <c r="N9902">
        <v>-1.4536520000000001E-2</v>
      </c>
      <c r="O9902">
        <v>0.99984209999999996</v>
      </c>
      <c r="P9902">
        <v>2.944128E-2</v>
      </c>
      <c r="Q9902">
        <v>-7.9401280000000005E-2</v>
      </c>
      <c r="R9902">
        <v>0.99640790000000001</v>
      </c>
      <c r="S9902">
        <v>0.21502689999999999</v>
      </c>
      <c r="T9902">
        <v>-0.15475920000000001</v>
      </c>
      <c r="U9902">
        <v>2.9921570000000002</v>
      </c>
      <c r="V9902">
        <v>3.9558969999999999E-2</v>
      </c>
      <c r="W9902">
        <v>-6.4951999999999996E-2</v>
      </c>
      <c r="X9902">
        <v>0.99710399999999999</v>
      </c>
      <c r="Y9902">
        <v>8.1779069999999995E-2</v>
      </c>
      <c r="Z9902">
        <v>-3.696787E-2</v>
      </c>
      <c r="AA9902">
        <v>0.99596459999999998</v>
      </c>
      <c r="AB9902">
        <v>22</v>
      </c>
      <c r="AC9902">
        <v>1.5592999999999999</v>
      </c>
      <c r="AD9902">
        <v>-1.1208457791490001</v>
      </c>
      <c r="AE9902">
        <v>21.452299999999902</v>
      </c>
      <c r="AF9902">
        <v>1.77361773981236</v>
      </c>
      <c r="AG9902">
        <v>-1.1208457791490001</v>
      </c>
      <c r="AH9902">
        <v>21.377195302101299</v>
      </c>
      <c r="AI9902">
        <v>92.991116573858093</v>
      </c>
      <c r="AJ9902">
        <v>85.2571610103018</v>
      </c>
      <c r="AK9902">
        <v>21.479909081087801</v>
      </c>
      <c r="AL9902">
        <v>93.724097006945797</v>
      </c>
      <c r="AM9902">
        <v>87.728046479218605</v>
      </c>
      <c r="AN9902">
        <v>1.00000003061373</v>
      </c>
    </row>
    <row r="9903" spans="1:40" x14ac:dyDescent="0.25">
      <c r="A9903" t="str">
        <f>"20190303154034270"</f>
        <v>20190303154034270</v>
      </c>
      <c r="B9903" t="str">
        <f>"1551598834268025"</f>
        <v>1551598834268025</v>
      </c>
      <c r="C9903" t="s">
        <v>40</v>
      </c>
      <c r="D9903">
        <v>4.6538959999999996</v>
      </c>
      <c r="E9903">
        <v>0.4849561</v>
      </c>
      <c r="F9903" t="s">
        <v>68</v>
      </c>
      <c r="G9903">
        <v>-188.04329999999999</v>
      </c>
      <c r="H9903" s="1">
        <v>-3.9390659999999996E-6</v>
      </c>
      <c r="I9903">
        <v>127.1913</v>
      </c>
      <c r="J9903">
        <v>-187.923</v>
      </c>
      <c r="K9903">
        <v>1.120779</v>
      </c>
      <c r="L9903">
        <v>110.6118</v>
      </c>
      <c r="M9903">
        <v>-9.6126149999999997E-3</v>
      </c>
      <c r="N9903">
        <v>-1.453231E-2</v>
      </c>
      <c r="O9903">
        <v>0.99984819999999996</v>
      </c>
      <c r="P9903">
        <v>2.9133010000000001E-2</v>
      </c>
      <c r="Q9903">
        <v>-7.8986000000000001E-2</v>
      </c>
      <c r="R9903">
        <v>0.9964499</v>
      </c>
      <c r="S9903">
        <v>-2.1728520000000001E-2</v>
      </c>
      <c r="T9903">
        <v>-0.20009109999999999</v>
      </c>
      <c r="U9903">
        <v>2.995514</v>
      </c>
      <c r="V9903">
        <v>3.8638510000000001E-2</v>
      </c>
      <c r="W9903">
        <v>-6.454522E-2</v>
      </c>
      <c r="X9903">
        <v>0.99716649999999996</v>
      </c>
      <c r="Y9903">
        <v>2.368691E-3</v>
      </c>
      <c r="Z9903">
        <v>-5.2136299999999997E-2</v>
      </c>
      <c r="AA9903">
        <v>0.99863710000000006</v>
      </c>
      <c r="AB9903">
        <v>22</v>
      </c>
      <c r="AC9903">
        <v>-0.120299999999986</v>
      </c>
      <c r="AD9903">
        <v>-1.120782939066</v>
      </c>
      <c r="AE9903">
        <v>16.5794999999999</v>
      </c>
      <c r="AF9903">
        <v>3.8916905728562698E-2</v>
      </c>
      <c r="AG9903">
        <v>-1.120782939066</v>
      </c>
      <c r="AH9903">
        <v>16.504471667760502</v>
      </c>
      <c r="AI9903">
        <v>93.884857245393704</v>
      </c>
      <c r="AJ9903">
        <v>89.864899018741497</v>
      </c>
      <c r="AK9903">
        <v>16.5425286444957</v>
      </c>
      <c r="AL9903">
        <v>93.700741244087297</v>
      </c>
      <c r="AM9903">
        <v>87.780995872854604</v>
      </c>
      <c r="AN9903">
        <v>1.0000000243010501</v>
      </c>
    </row>
    <row r="9904" spans="1:40" x14ac:dyDescent="0.25">
      <c r="A9904" t="str">
        <f>"20190303154034294"</f>
        <v>20190303154034294</v>
      </c>
      <c r="B9904" t="str">
        <f>"1551598834288523"</f>
        <v>1551598834288523</v>
      </c>
      <c r="C9904" t="s">
        <v>40</v>
      </c>
      <c r="D9904">
        <v>4.67096</v>
      </c>
      <c r="E9904">
        <v>0.4843074</v>
      </c>
      <c r="F9904" t="s">
        <v>68</v>
      </c>
      <c r="G9904">
        <v>-188.10740000000001</v>
      </c>
      <c r="H9904" s="1">
        <v>-3.965024E-6</v>
      </c>
      <c r="I9904">
        <v>127.2616</v>
      </c>
      <c r="J9904">
        <v>-187.92429999999999</v>
      </c>
      <c r="K9904">
        <v>1.120716</v>
      </c>
      <c r="L9904">
        <v>110.8338</v>
      </c>
      <c r="M9904">
        <v>-8.8445369999999995E-3</v>
      </c>
      <c r="N9904">
        <v>-1.452782E-2</v>
      </c>
      <c r="O9904">
        <v>0.9998553</v>
      </c>
      <c r="P9904">
        <v>2.7636709999999998E-2</v>
      </c>
      <c r="Q9904">
        <v>-7.6225299999999996E-2</v>
      </c>
      <c r="R9904">
        <v>0.99670760000000003</v>
      </c>
      <c r="S9904">
        <v>-3.3172609999999998E-2</v>
      </c>
      <c r="T9904">
        <v>-0.201655</v>
      </c>
      <c r="U9904">
        <v>2.995682</v>
      </c>
      <c r="V9904">
        <v>3.6372969999999998E-2</v>
      </c>
      <c r="W9904">
        <v>-6.1787950000000001E-2</v>
      </c>
      <c r="X9904">
        <v>0.99742629999999999</v>
      </c>
      <c r="Y9904">
        <v>-2.2107509999999999E-3</v>
      </c>
      <c r="Z9904">
        <v>-5.2655779999999999E-2</v>
      </c>
      <c r="AA9904">
        <v>0.99861029999999995</v>
      </c>
      <c r="AB9904">
        <v>22</v>
      </c>
      <c r="AC9904">
        <v>-0.18310000000002399</v>
      </c>
      <c r="AD9904">
        <v>-1.1207199650240001</v>
      </c>
      <c r="AE9904">
        <v>16.427800000000001</v>
      </c>
      <c r="AF9904">
        <v>-3.7606208333588902E-2</v>
      </c>
      <c r="AG9904">
        <v>-1.1207199650240001</v>
      </c>
      <c r="AH9904">
        <v>16.352679420155201</v>
      </c>
      <c r="AI9904">
        <v>93.920587036488598</v>
      </c>
      <c r="AJ9904">
        <v>90.131762701832699</v>
      </c>
      <c r="AK9904">
        <v>16.3910814678372</v>
      </c>
      <c r="AL9904">
        <v>93.542445288951498</v>
      </c>
      <c r="AM9904">
        <v>87.911530295691307</v>
      </c>
      <c r="AN9904">
        <v>0.99999998382175603</v>
      </c>
    </row>
    <row r="9905" spans="1:40" x14ac:dyDescent="0.25">
      <c r="A9905" t="str">
        <f>"20190303154034316"</f>
        <v>20190303154034316</v>
      </c>
      <c r="B9905" t="str">
        <f>"1551598834308041"</f>
        <v>1551598834308041</v>
      </c>
      <c r="C9905" t="s">
        <v>40</v>
      </c>
      <c r="D9905">
        <v>4.664631</v>
      </c>
      <c r="E9905">
        <v>0.48397410000000002</v>
      </c>
      <c r="F9905" t="s">
        <v>68</v>
      </c>
      <c r="G9905">
        <v>-188.17160000000001</v>
      </c>
      <c r="H9905" s="1">
        <v>-4.3059639999999998E-6</v>
      </c>
      <c r="I9905">
        <v>128.07810000000001</v>
      </c>
      <c r="J9905">
        <v>-187.92529999999999</v>
      </c>
      <c r="K9905">
        <v>1.1206640000000001</v>
      </c>
      <c r="L9905">
        <v>111.0521</v>
      </c>
      <c r="M9905">
        <v>-7.9885500000000005E-3</v>
      </c>
      <c r="N9905">
        <v>-1.4523640000000001E-2</v>
      </c>
      <c r="O9905">
        <v>0.99986260000000005</v>
      </c>
      <c r="P9905">
        <v>2.5601639999999998E-2</v>
      </c>
      <c r="Q9905">
        <v>-7.4278440000000001E-2</v>
      </c>
      <c r="R9905">
        <v>0.99690880000000004</v>
      </c>
      <c r="S9905">
        <v>-4.296875E-2</v>
      </c>
      <c r="T9905">
        <v>-0.1947258</v>
      </c>
      <c r="U9905">
        <v>2.996216</v>
      </c>
      <c r="V9905">
        <v>3.348073E-2</v>
      </c>
      <c r="W9905">
        <v>-5.9842840000000001E-2</v>
      </c>
      <c r="X9905">
        <v>0.99764620000000004</v>
      </c>
      <c r="Y9905">
        <v>-6.3286540000000004E-3</v>
      </c>
      <c r="Z9905">
        <v>-5.0347599999999999E-2</v>
      </c>
      <c r="AA9905">
        <v>0.99871169999999998</v>
      </c>
      <c r="AB9905">
        <v>22</v>
      </c>
      <c r="AC9905">
        <v>-0.246300000000019</v>
      </c>
      <c r="AD9905">
        <v>-1.1206683059639999</v>
      </c>
      <c r="AE9905">
        <v>17.026</v>
      </c>
      <c r="AF9905">
        <v>-0.109789186087468</v>
      </c>
      <c r="AG9905">
        <v>-1.1206683059639999</v>
      </c>
      <c r="AH9905">
        <v>16.953988236565198</v>
      </c>
      <c r="AI9905">
        <v>93.781703196826399</v>
      </c>
      <c r="AJ9905">
        <v>90.371025919304699</v>
      </c>
      <c r="AK9905">
        <v>16.991340978362</v>
      </c>
      <c r="AL9905">
        <v>93.430791841371402</v>
      </c>
      <c r="AM9905">
        <v>88.0778908959972</v>
      </c>
      <c r="AN9905">
        <v>1.00000003257751</v>
      </c>
    </row>
    <row r="9906" spans="1:40" x14ac:dyDescent="0.25">
      <c r="A9906" t="str">
        <f>"20190303154034338"</f>
        <v>20190303154034338</v>
      </c>
      <c r="B9906" t="str">
        <f>"1551598834328543"</f>
        <v>1551598834328543</v>
      </c>
      <c r="C9906" t="s">
        <v>40</v>
      </c>
      <c r="D9906">
        <v>4.665451</v>
      </c>
      <c r="E9906">
        <v>0.48374139999999999</v>
      </c>
      <c r="F9906" t="s">
        <v>68</v>
      </c>
      <c r="G9906">
        <v>-188.2302</v>
      </c>
      <c r="H9906" s="1">
        <v>-4.5578370000000002E-6</v>
      </c>
      <c r="I9906">
        <v>128.68289999999999</v>
      </c>
      <c r="J9906">
        <v>-187.92590000000001</v>
      </c>
      <c r="K9906">
        <v>1.1205969999999901</v>
      </c>
      <c r="L9906">
        <v>111.26990000000001</v>
      </c>
      <c r="M9906">
        <v>-7.0187519999999996E-3</v>
      </c>
      <c r="N9906">
        <v>-1.4519539999999999E-2</v>
      </c>
      <c r="O9906">
        <v>0.99986989999999998</v>
      </c>
      <c r="P9906">
        <v>2.4541520000000001E-2</v>
      </c>
      <c r="Q9906">
        <v>-7.4838799999999997E-2</v>
      </c>
      <c r="R9906">
        <v>0.99689360000000005</v>
      </c>
      <c r="S9906">
        <v>-5.181885E-2</v>
      </c>
      <c r="T9906">
        <v>-0.1904634</v>
      </c>
      <c r="U9906">
        <v>2.996445</v>
      </c>
      <c r="V9906">
        <v>3.1443890000000002E-2</v>
      </c>
      <c r="W9906">
        <v>-6.0408740000000002E-2</v>
      </c>
      <c r="X9906">
        <v>0.99767830000000002</v>
      </c>
      <c r="Y9906">
        <v>-1.024546E-2</v>
      </c>
      <c r="Z9906">
        <v>-4.893028E-2</v>
      </c>
      <c r="AA9906">
        <v>0.99874969999999996</v>
      </c>
      <c r="AB9906">
        <v>22</v>
      </c>
      <c r="AC9906">
        <v>-0.30429999999998297</v>
      </c>
      <c r="AD9906">
        <v>-1.1206015578370001</v>
      </c>
      <c r="AE9906">
        <v>17.412999999999901</v>
      </c>
      <c r="AF9906">
        <v>-0.181311415499286</v>
      </c>
      <c r="AG9906">
        <v>-1.1206015578370001</v>
      </c>
      <c r="AH9906">
        <v>17.342903721383198</v>
      </c>
      <c r="AI9906">
        <v>93.696792454503495</v>
      </c>
      <c r="AJ9906">
        <v>90.598976999805799</v>
      </c>
      <c r="AK9906">
        <v>17.380015281062999</v>
      </c>
      <c r="AL9906">
        <v>93.463274533431203</v>
      </c>
      <c r="AM9906">
        <v>88.194802855702505</v>
      </c>
      <c r="AN9906">
        <v>0.99999996218880405</v>
      </c>
    </row>
    <row r="9907" spans="1:40" x14ac:dyDescent="0.25">
      <c r="A9907" t="str">
        <f>"20190303154034360"</f>
        <v>20190303154034360</v>
      </c>
      <c r="B9907" t="str">
        <f>"1551598834357817"</f>
        <v>1551598834357817</v>
      </c>
      <c r="C9907" t="s">
        <v>40</v>
      </c>
      <c r="D9907">
        <v>4.6666420000000004</v>
      </c>
      <c r="E9907">
        <v>0.48351499999999997</v>
      </c>
      <c r="F9907" t="s">
        <v>68</v>
      </c>
      <c r="G9907">
        <v>-188.25659999999999</v>
      </c>
      <c r="H9907" s="1">
        <v>-4.5789910000000001E-6</v>
      </c>
      <c r="I9907">
        <v>128.73660000000001</v>
      </c>
      <c r="J9907">
        <v>-187.92619999999999</v>
      </c>
      <c r="K9907">
        <v>1.120511</v>
      </c>
      <c r="L9907">
        <v>111.4812</v>
      </c>
      <c r="M9907">
        <v>-5.9483119999999999E-3</v>
      </c>
      <c r="N9907">
        <v>-1.451593E-2</v>
      </c>
      <c r="O9907">
        <v>0.99987689999999996</v>
      </c>
      <c r="P9907">
        <v>2.465767E-2</v>
      </c>
      <c r="Q9907">
        <v>-7.698526E-2</v>
      </c>
      <c r="R9907">
        <v>0.99672729999999998</v>
      </c>
      <c r="S9907">
        <v>-5.6716919999999997E-2</v>
      </c>
      <c r="T9907">
        <v>-0.19223299999999999</v>
      </c>
      <c r="U9907">
        <v>2.9963229999999998</v>
      </c>
      <c r="V9907">
        <v>3.047733E-2</v>
      </c>
      <c r="W9907">
        <v>-6.2564529999999993E-2</v>
      </c>
      <c r="X9907">
        <v>0.99757549999999995</v>
      </c>
      <c r="Y9907">
        <v>-1.2946620000000001E-2</v>
      </c>
      <c r="Z9907">
        <v>-4.9522499999999997E-2</v>
      </c>
      <c r="AA9907">
        <v>0.9986891</v>
      </c>
      <c r="AB9907">
        <v>22</v>
      </c>
      <c r="AC9907">
        <v>-0.33039999999999697</v>
      </c>
      <c r="AD9907">
        <v>-1.120515578991</v>
      </c>
      <c r="AE9907">
        <v>17.255400000000002</v>
      </c>
      <c r="AF9907">
        <v>-0.226786860151481</v>
      </c>
      <c r="AG9907">
        <v>-1.120515578991</v>
      </c>
      <c r="AH9907">
        <v>17.184622180843199</v>
      </c>
      <c r="AI9907">
        <v>93.730340525580402</v>
      </c>
      <c r="AJ9907">
        <v>90.756093181683894</v>
      </c>
      <c r="AK9907">
        <v>17.222608017981099</v>
      </c>
      <c r="AL9907">
        <v>93.5870261261434</v>
      </c>
      <c r="AM9907">
        <v>88.250077931148795</v>
      </c>
      <c r="AN9907">
        <v>1.0000000331291401</v>
      </c>
    </row>
    <row r="9908" spans="1:40" x14ac:dyDescent="0.25">
      <c r="A9908" t="str">
        <f>"20190303154034383"</f>
        <v>20190303154034383</v>
      </c>
      <c r="B9908" t="str">
        <f>"1551598834378314"</f>
        <v>1551598834378314</v>
      </c>
      <c r="C9908" t="s">
        <v>40</v>
      </c>
      <c r="D9908">
        <v>4.6808040000000002</v>
      </c>
      <c r="E9908">
        <v>0.4833711</v>
      </c>
      <c r="F9908" t="s">
        <v>68</v>
      </c>
      <c r="G9908">
        <v>-188.25049999999999</v>
      </c>
      <c r="H9908" s="1">
        <v>-4.3465179999999999E-6</v>
      </c>
      <c r="I9908">
        <v>128.185</v>
      </c>
      <c r="J9908">
        <v>-187.92609999999999</v>
      </c>
      <c r="K9908">
        <v>1.120406</v>
      </c>
      <c r="L9908">
        <v>111.70180000000001</v>
      </c>
      <c r="M9908">
        <v>-4.6768779999999998E-3</v>
      </c>
      <c r="N9908">
        <v>-1.45129E-2</v>
      </c>
      <c r="O9908">
        <v>0.99988379999999999</v>
      </c>
      <c r="P9908">
        <v>2.6258360000000001E-2</v>
      </c>
      <c r="Q9908">
        <v>-7.8795190000000001E-2</v>
      </c>
      <c r="R9908">
        <v>0.99654500000000001</v>
      </c>
      <c r="S9908">
        <v>-5.8151250000000002E-2</v>
      </c>
      <c r="T9908">
        <v>-0.2009591</v>
      </c>
      <c r="U9908">
        <v>2.9957579999999999</v>
      </c>
      <c r="V9908">
        <v>3.0791450000000001E-2</v>
      </c>
      <c r="W9908">
        <v>-6.4387349999999996E-2</v>
      </c>
      <c r="X9908">
        <v>0.99744980000000005</v>
      </c>
      <c r="Y9908">
        <v>-1.4695430000000001E-2</v>
      </c>
      <c r="Z9908">
        <v>-5.2433050000000002E-2</v>
      </c>
      <c r="AA9908">
        <v>0.99851630000000002</v>
      </c>
      <c r="AB9908">
        <v>22</v>
      </c>
      <c r="AC9908">
        <v>-0.32439999999999702</v>
      </c>
      <c r="AD9908">
        <v>-1.120410346518</v>
      </c>
      <c r="AE9908">
        <v>16.483199999999901</v>
      </c>
      <c r="AF9908">
        <v>-0.24616151814538401</v>
      </c>
      <c r="AG9908">
        <v>-1.120410346518</v>
      </c>
      <c r="AH9908">
        <v>16.408752849740601</v>
      </c>
      <c r="AI9908">
        <v>93.905726912848607</v>
      </c>
      <c r="AJ9908">
        <v>90.859477760390206</v>
      </c>
      <c r="AK9908">
        <v>16.448801929668601</v>
      </c>
      <c r="AL9908">
        <v>93.691677291549794</v>
      </c>
      <c r="AM9908">
        <v>88.231830779489499</v>
      </c>
      <c r="AN9908">
        <v>0.99999997387658202</v>
      </c>
    </row>
    <row r="9909" spans="1:40" x14ac:dyDescent="0.25">
      <c r="A9909" t="str">
        <f>"20190303154034405"</f>
        <v>20190303154034405</v>
      </c>
      <c r="B9909" t="str">
        <f>"1551598834397838"</f>
        <v>1551598834397838</v>
      </c>
      <c r="C9909" t="s">
        <v>40</v>
      </c>
      <c r="D9909">
        <v>4.6621680000000003</v>
      </c>
      <c r="E9909">
        <v>0.48326279999999999</v>
      </c>
      <c r="F9909" t="s">
        <v>68</v>
      </c>
      <c r="G9909">
        <v>-188.21870000000001</v>
      </c>
      <c r="H9909" s="1">
        <v>-4.1782460000000001E-6</v>
      </c>
      <c r="I9909">
        <v>127.782</v>
      </c>
      <c r="J9909">
        <v>-187.9256</v>
      </c>
      <c r="K9909">
        <v>1.1202829999999999</v>
      </c>
      <c r="L9909">
        <v>111.9191</v>
      </c>
      <c r="M9909">
        <v>-3.2499650000000001E-3</v>
      </c>
      <c r="N9909">
        <v>-1.451085E-2</v>
      </c>
      <c r="O9909">
        <v>0.99988940000000004</v>
      </c>
      <c r="P9909">
        <v>3.019312E-2</v>
      </c>
      <c r="Q9909">
        <v>-8.032852E-2</v>
      </c>
      <c r="R9909">
        <v>0.99631110000000001</v>
      </c>
      <c r="S9909">
        <v>-5.450439E-2</v>
      </c>
      <c r="T9909">
        <v>-0.208703</v>
      </c>
      <c r="U9909">
        <v>2.9953310000000002</v>
      </c>
      <c r="V9909">
        <v>3.32818E-2</v>
      </c>
      <c r="W9909">
        <v>-6.5939899999999899E-2</v>
      </c>
      <c r="X9909">
        <v>0.99726840000000005</v>
      </c>
      <c r="Y9909">
        <v>-1.4906910000000001E-2</v>
      </c>
      <c r="Z9909">
        <v>-5.5014819999999999E-2</v>
      </c>
      <c r="AA9909">
        <v>0.99837430000000005</v>
      </c>
      <c r="AB9909">
        <v>22</v>
      </c>
      <c r="AC9909">
        <v>-0.29310000000000902</v>
      </c>
      <c r="AD9909">
        <v>-1.120287178246</v>
      </c>
      <c r="AE9909">
        <v>15.8629</v>
      </c>
      <c r="AF9909">
        <v>-0.240340831650451</v>
      </c>
      <c r="AG9909">
        <v>-1.120287178246</v>
      </c>
      <c r="AH9909">
        <v>15.785065796302</v>
      </c>
      <c r="AI9909">
        <v>94.059082248142005</v>
      </c>
      <c r="AJ9909">
        <v>90.872308769713101</v>
      </c>
      <c r="AK9909">
        <v>15.8265949992626</v>
      </c>
      <c r="AL9909">
        <v>93.780821214545696</v>
      </c>
      <c r="AM9909">
        <v>88.088579558620097</v>
      </c>
      <c r="AN9909">
        <v>1.0000000051308999</v>
      </c>
    </row>
    <row r="9910" spans="1:40" x14ac:dyDescent="0.25">
      <c r="A9910" t="str">
        <f>"20190303154034429"</f>
        <v>20190303154034429</v>
      </c>
      <c r="B9910" t="str">
        <f>"1551598834418333"</f>
        <v>1551598834418333</v>
      </c>
      <c r="C9910" t="s">
        <v>40</v>
      </c>
      <c r="D9910">
        <v>4.6849970000000001</v>
      </c>
      <c r="E9910">
        <v>0.48322300000000001</v>
      </c>
      <c r="F9910" t="s">
        <v>68</v>
      </c>
      <c r="G9910">
        <v>-188.15260000000001</v>
      </c>
      <c r="H9910" s="1">
        <v>-4.0696760000000004E-6</v>
      </c>
      <c r="I9910">
        <v>127.5157</v>
      </c>
      <c r="J9910">
        <v>-187.92439999999999</v>
      </c>
      <c r="K9910">
        <v>1.1201479999999999</v>
      </c>
      <c r="L9910">
        <v>112.14190000000001</v>
      </c>
      <c r="M9910">
        <v>-1.5843039999999999E-3</v>
      </c>
      <c r="N9910">
        <v>-1.4509799999999899E-2</v>
      </c>
      <c r="O9910">
        <v>0.99989349999999999</v>
      </c>
      <c r="P9910">
        <v>3.498681E-2</v>
      </c>
      <c r="Q9910">
        <v>-8.1490759999999995E-2</v>
      </c>
      <c r="R9910">
        <v>0.99605980000000005</v>
      </c>
      <c r="S9910">
        <v>-4.3609620000000002E-2</v>
      </c>
      <c r="T9910">
        <v>-0.2151333</v>
      </c>
      <c r="U9910">
        <v>2.9950869999999998</v>
      </c>
      <c r="V9910">
        <v>3.6390890000000002E-2</v>
      </c>
      <c r="W9910">
        <v>-6.712506E-2</v>
      </c>
      <c r="X9910">
        <v>0.99708070000000004</v>
      </c>
      <c r="Y9910">
        <v>-1.294261E-2</v>
      </c>
      <c r="Z9910">
        <v>-5.7157359999999997E-2</v>
      </c>
      <c r="AA9910">
        <v>0.99828130000000004</v>
      </c>
      <c r="AB9910">
        <v>22</v>
      </c>
      <c r="AC9910">
        <v>-0.228200000000015</v>
      </c>
      <c r="AD9910">
        <v>-1.1201520696759999</v>
      </c>
      <c r="AE9910">
        <v>15.3737999999999</v>
      </c>
      <c r="AF9910">
        <v>-0.20276419160275799</v>
      </c>
      <c r="AG9910">
        <v>-1.1201520696759999</v>
      </c>
      <c r="AH9910">
        <v>15.2929737287175</v>
      </c>
      <c r="AI9910">
        <v>94.188849701351799</v>
      </c>
      <c r="AJ9910">
        <v>90.759620197968303</v>
      </c>
      <c r="AK9910">
        <v>15.335282828948399</v>
      </c>
      <c r="AL9910">
        <v>93.848876711038301</v>
      </c>
      <c r="AM9910">
        <v>87.909778671354601</v>
      </c>
      <c r="AN9910">
        <v>0.99999999643374204</v>
      </c>
    </row>
    <row r="9911" spans="1:40" x14ac:dyDescent="0.25">
      <c r="A9911" t="str">
        <f>"20190303154034451"</f>
        <v>20190303154034451</v>
      </c>
      <c r="B9911" t="str">
        <f>"1551598834448586"</f>
        <v>1551598834448586</v>
      </c>
      <c r="C9911" t="s">
        <v>40</v>
      </c>
      <c r="D9911">
        <v>4.6772939999999998</v>
      </c>
      <c r="E9911">
        <v>0.47960000000000003</v>
      </c>
      <c r="F9911" t="s">
        <v>68</v>
      </c>
      <c r="G9911">
        <v>-188.07380000000001</v>
      </c>
      <c r="H9911" s="1">
        <v>-4.0327880000000003E-6</v>
      </c>
      <c r="I9911">
        <v>127.4175</v>
      </c>
      <c r="J9911">
        <v>-187.92269999999999</v>
      </c>
      <c r="K9911">
        <v>1.12002</v>
      </c>
      <c r="L9911">
        <v>112.3535</v>
      </c>
      <c r="M9911">
        <v>2.1863190000000001E-4</v>
      </c>
      <c r="N9911">
        <v>-1.4509799999999899E-2</v>
      </c>
      <c r="O9911">
        <v>0.99989470000000003</v>
      </c>
      <c r="P9911">
        <v>4.1049049999999997E-2</v>
      </c>
      <c r="Q9911">
        <v>-8.2730410000000004E-2</v>
      </c>
      <c r="R9911">
        <v>0.99572620000000001</v>
      </c>
      <c r="S9911">
        <v>-2.9296880000000001E-2</v>
      </c>
      <c r="T9911">
        <v>-0.2196167</v>
      </c>
      <c r="U9911">
        <v>2.9949340000000002</v>
      </c>
      <c r="V9911">
        <v>4.0631689999999998E-2</v>
      </c>
      <c r="W9911">
        <v>-6.8392770000000006E-2</v>
      </c>
      <c r="X9911">
        <v>0.99683069999999896</v>
      </c>
      <c r="Y9911">
        <v>-9.9771170000000006E-3</v>
      </c>
      <c r="Z9911">
        <v>-5.8650790000000001E-2</v>
      </c>
      <c r="AA9911">
        <v>0.99822869999999997</v>
      </c>
      <c r="AB9911">
        <v>22</v>
      </c>
      <c r="AC9911">
        <v>-0.151100000000013</v>
      </c>
      <c r="AD9911">
        <v>-1.120024032788</v>
      </c>
      <c r="AE9911">
        <v>15.064</v>
      </c>
      <c r="AF9911">
        <v>-0.15354509042678599</v>
      </c>
      <c r="AG9911">
        <v>-1.120024032788</v>
      </c>
      <c r="AH9911">
        <v>14.981157940768901</v>
      </c>
      <c r="AI9911">
        <v>94.275379530062807</v>
      </c>
      <c r="AJ9911">
        <v>90.587216131929793</v>
      </c>
      <c r="AK9911">
        <v>15.0237519673043</v>
      </c>
      <c r="AL9911">
        <v>93.921678552261795</v>
      </c>
      <c r="AM9911">
        <v>87.665866091940799</v>
      </c>
      <c r="AN9911">
        <v>0.99999997484150904</v>
      </c>
    </row>
    <row r="9912" spans="1:40" x14ac:dyDescent="0.25">
      <c r="A9912" t="str">
        <f>"20190303154034472"</f>
        <v>20190303154034472</v>
      </c>
      <c r="B9912" t="str">
        <f>"1551598834468105"</f>
        <v>1551598834468105</v>
      </c>
      <c r="C9912" t="s">
        <v>40</v>
      </c>
      <c r="D9912">
        <v>4.6906290000000004</v>
      </c>
      <c r="E9912">
        <v>0.4803751</v>
      </c>
      <c r="F9912" t="s">
        <v>68</v>
      </c>
      <c r="G9912">
        <v>-188.08699999999999</v>
      </c>
      <c r="H9912" s="1">
        <v>-3.0919309999999998E-6</v>
      </c>
      <c r="I9912">
        <v>124.9645</v>
      </c>
      <c r="J9912">
        <v>-187.9204</v>
      </c>
      <c r="K9912">
        <v>1.119896</v>
      </c>
      <c r="L9912">
        <v>112.5582</v>
      </c>
      <c r="M9912">
        <v>2.1625590000000001E-3</v>
      </c>
      <c r="N9912">
        <v>-1.451057E-2</v>
      </c>
      <c r="O9912">
        <v>0.99989240000000001</v>
      </c>
      <c r="P9912">
        <v>4.7448799999999999E-2</v>
      </c>
      <c r="Q9912">
        <v>-8.2786429999999994E-2</v>
      </c>
      <c r="R9912">
        <v>0.99543709999999996</v>
      </c>
      <c r="S9912">
        <v>-3.9001460000000002E-2</v>
      </c>
      <c r="T9912">
        <v>-0.26576470000000002</v>
      </c>
      <c r="U9912">
        <v>2.9924010000000001</v>
      </c>
      <c r="V9912">
        <v>4.5075259999999999E-2</v>
      </c>
      <c r="W9912">
        <v>-6.8477560000000007E-2</v>
      </c>
      <c r="X9912">
        <v>0.99663389999999996</v>
      </c>
      <c r="Y9912">
        <v>-1.5147870000000001E-2</v>
      </c>
      <c r="Z9912">
        <v>-7.3992680000000005E-2</v>
      </c>
      <c r="AA9912">
        <v>0.99714369999999997</v>
      </c>
      <c r="AB9912">
        <v>22</v>
      </c>
      <c r="AC9912">
        <v>-0.16660000000001601</v>
      </c>
      <c r="AD9912">
        <v>-1.1198990919309999</v>
      </c>
      <c r="AE9912">
        <v>12.4063</v>
      </c>
      <c r="AF9912">
        <v>-0.191868646671675</v>
      </c>
      <c r="AG9912">
        <v>-1.1198990919309999</v>
      </c>
      <c r="AH9912">
        <v>12.3056571208131</v>
      </c>
      <c r="AI9912">
        <v>95.199355633066702</v>
      </c>
      <c r="AJ9912">
        <v>90.893278014233104</v>
      </c>
      <c r="AK9912">
        <v>12.3580008386754</v>
      </c>
      <c r="AL9912">
        <v>93.926547809928906</v>
      </c>
      <c r="AM9912">
        <v>87.410419838616804</v>
      </c>
      <c r="AN9912">
        <v>1.0000000429584099</v>
      </c>
    </row>
    <row r="9913" spans="1:40" x14ac:dyDescent="0.25">
      <c r="A9913" t="str">
        <f>"20190303154034495"</f>
        <v>20190303154034495</v>
      </c>
      <c r="B9913" t="str">
        <f>"1551598834487626"</f>
        <v>1551598834487626</v>
      </c>
      <c r="C9913" t="s">
        <v>40</v>
      </c>
      <c r="D9913">
        <v>4.6743360000000003</v>
      </c>
      <c r="E9913">
        <v>0.48033550000000003</v>
      </c>
      <c r="F9913" t="s">
        <v>68</v>
      </c>
      <c r="G9913">
        <v>-187.98220000000001</v>
      </c>
      <c r="H9913" s="1">
        <v>-3.3509200000000001E-6</v>
      </c>
      <c r="I9913">
        <v>125.7895</v>
      </c>
      <c r="J9913">
        <v>-187.9171</v>
      </c>
      <c r="K9913">
        <v>1.119777</v>
      </c>
      <c r="L9913">
        <v>112.78570000000001</v>
      </c>
      <c r="M9913">
        <v>4.513146E-3</v>
      </c>
      <c r="N9913">
        <v>-1.451147E-2</v>
      </c>
      <c r="O9913">
        <v>0.99988449999999995</v>
      </c>
      <c r="P9913">
        <v>5.3241410000000003E-2</v>
      </c>
      <c r="Q9913">
        <v>-8.3281679999999997E-2</v>
      </c>
      <c r="R9913">
        <v>0.99510279999999995</v>
      </c>
      <c r="S9913">
        <v>-1.397705E-2</v>
      </c>
      <c r="T9913">
        <v>-0.2533571</v>
      </c>
      <c r="U9913">
        <v>2.993347</v>
      </c>
      <c r="V9913">
        <v>4.8508610000000001E-2</v>
      </c>
      <c r="W9913">
        <v>-6.8999069999999996E-2</v>
      </c>
      <c r="X9913">
        <v>0.99643669999999995</v>
      </c>
      <c r="Y9913">
        <v>-9.1648419999999994E-3</v>
      </c>
      <c r="Z9913">
        <v>-6.986618E-2</v>
      </c>
      <c r="AA9913">
        <v>0.99751420000000002</v>
      </c>
      <c r="AB9913">
        <v>21</v>
      </c>
      <c r="AC9913">
        <v>-6.5100000000001004E-2</v>
      </c>
      <c r="AD9913">
        <v>-1.1197803509199999</v>
      </c>
      <c r="AE9913">
        <v>13.003799999999901</v>
      </c>
      <c r="AF9913">
        <v>-0.12288238681279599</v>
      </c>
      <c r="AG9913">
        <v>-1.1197803509199999</v>
      </c>
      <c r="AH9913">
        <v>12.907662702504901</v>
      </c>
      <c r="AI9913">
        <v>94.957951869389007</v>
      </c>
      <c r="AJ9913">
        <v>90.545445725611501</v>
      </c>
      <c r="AK9913">
        <v>12.9567266142699</v>
      </c>
      <c r="AL9913">
        <v>93.956499036920604</v>
      </c>
      <c r="AM9913">
        <v>87.212922693930196</v>
      </c>
      <c r="AN9913">
        <v>1.0000000270059399</v>
      </c>
    </row>
    <row r="9914" spans="1:40" x14ac:dyDescent="0.25">
      <c r="A9914" t="str">
        <f>"20190303154034516"</f>
        <v>20190303154034516</v>
      </c>
      <c r="B9914" t="str">
        <f>"1551598834508121"</f>
        <v>1551598834508121</v>
      </c>
      <c r="C9914" t="s">
        <v>40</v>
      </c>
      <c r="D9914">
        <v>4.7024140000000001</v>
      </c>
      <c r="E9914">
        <v>0.47565610000000003</v>
      </c>
      <c r="F9914" t="s">
        <v>68</v>
      </c>
      <c r="G9914">
        <v>-187.90309999999999</v>
      </c>
      <c r="H9914" s="1">
        <v>-3.5835009999999999E-6</v>
      </c>
      <c r="I9914">
        <v>126.3297</v>
      </c>
      <c r="J9914">
        <v>-187.9136</v>
      </c>
      <c r="K9914">
        <v>1.1197079999999999</v>
      </c>
      <c r="L9914">
        <v>112.9909</v>
      </c>
      <c r="M9914">
        <v>6.7830729999999997E-3</v>
      </c>
      <c r="N9914">
        <v>-1.45118E-2</v>
      </c>
      <c r="O9914">
        <v>0.99987170000000003</v>
      </c>
      <c r="P9914">
        <v>5.7831479999999998E-2</v>
      </c>
      <c r="Q9914">
        <v>-8.1704750000000007E-2</v>
      </c>
      <c r="R9914">
        <v>0.99497729999999995</v>
      </c>
      <c r="S9914">
        <v>3.0975339999999999E-3</v>
      </c>
      <c r="T9914">
        <v>-0.247526</v>
      </c>
      <c r="U9914">
        <v>2.993881</v>
      </c>
      <c r="V9914">
        <v>5.0832549999999997E-2</v>
      </c>
      <c r="W9914">
        <v>-6.743942E-2</v>
      </c>
      <c r="X9914">
        <v>0.99642759999999997</v>
      </c>
      <c r="Y9914">
        <v>-5.747528E-3</v>
      </c>
      <c r="Z9914">
        <v>-6.7921560000000006E-2</v>
      </c>
      <c r="AA9914">
        <v>0.99767410000000001</v>
      </c>
      <c r="AB9914">
        <v>21</v>
      </c>
      <c r="AC9914">
        <v>1.05000000000075E-2</v>
      </c>
      <c r="AD9914">
        <v>-1.1197115835010001</v>
      </c>
      <c r="AE9914">
        <v>13.338800000000001</v>
      </c>
      <c r="AF9914">
        <v>-7.94281265224559E-2</v>
      </c>
      <c r="AG9914">
        <v>-1.1197115835010001</v>
      </c>
      <c r="AH9914">
        <v>13.245230688979101</v>
      </c>
      <c r="AI9914">
        <v>94.832035689989894</v>
      </c>
      <c r="AJ9914">
        <v>90.343583436263501</v>
      </c>
      <c r="AK9914">
        <v>13.2927122462567</v>
      </c>
      <c r="AL9914">
        <v>93.866929133663803</v>
      </c>
      <c r="AM9914">
        <v>87.079599240103093</v>
      </c>
      <c r="AN9914">
        <v>0.99999999277559903</v>
      </c>
    </row>
    <row r="9915" spans="1:40" x14ac:dyDescent="0.25">
      <c r="A9915" t="str">
        <f>"20190303154034539"</f>
        <v>20190303154034539</v>
      </c>
      <c r="B9915" t="str">
        <f>"1551598834528617"</f>
        <v>1551598834528617</v>
      </c>
      <c r="C9915" t="s">
        <v>40</v>
      </c>
      <c r="D9915">
        <v>4.7476649999999996</v>
      </c>
      <c r="E9915">
        <v>0.47377089999999999</v>
      </c>
      <c r="F9915" t="s">
        <v>68</v>
      </c>
      <c r="G9915">
        <v>-188.0025</v>
      </c>
      <c r="H9915" s="1">
        <v>-3.5166349999999998E-6</v>
      </c>
      <c r="I9915">
        <v>126.1849</v>
      </c>
      <c r="J9915">
        <v>-187.9093</v>
      </c>
      <c r="K9915">
        <v>1.11965</v>
      </c>
      <c r="L9915">
        <v>113.2041</v>
      </c>
      <c r="M9915">
        <v>9.2843739999999998E-3</v>
      </c>
      <c r="N9915">
        <v>-1.4511619999999999E-2</v>
      </c>
      <c r="O9915">
        <v>0.99985159999999995</v>
      </c>
      <c r="P9915">
        <v>6.146339E-2</v>
      </c>
      <c r="Q9915">
        <v>-8.0576739999999994E-2</v>
      </c>
      <c r="R9915">
        <v>0.99485159999999995</v>
      </c>
      <c r="S9915">
        <v>-2.0187380000000001E-2</v>
      </c>
      <c r="T9915">
        <v>-0.25420939999999997</v>
      </c>
      <c r="U9915">
        <v>2.9954529999999999</v>
      </c>
      <c r="V9915">
        <v>5.1969300000000003E-2</v>
      </c>
      <c r="W9915">
        <v>-6.6323409999999999E-2</v>
      </c>
      <c r="X9915">
        <v>0.99644390000000005</v>
      </c>
      <c r="Y9915">
        <v>-1.5995929999999998E-2</v>
      </c>
      <c r="Z9915">
        <v>-7.0080310000000007E-2</v>
      </c>
      <c r="AA9915">
        <v>0.99741310000000005</v>
      </c>
      <c r="AB9915">
        <v>21</v>
      </c>
      <c r="AC9915">
        <v>-9.3199999999995897E-2</v>
      </c>
      <c r="AD9915">
        <v>-1.1196535166349999</v>
      </c>
      <c r="AE9915">
        <v>12.9808</v>
      </c>
      <c r="AF9915">
        <v>-0.21214899939492399</v>
      </c>
      <c r="AG9915">
        <v>-1.1196535166349999</v>
      </c>
      <c r="AH9915">
        <v>12.8835283835081</v>
      </c>
      <c r="AI9915">
        <v>94.966187277032503</v>
      </c>
      <c r="AJ9915">
        <v>90.943386273692994</v>
      </c>
      <c r="AK9915">
        <v>12.9338290851517</v>
      </c>
      <c r="AL9915">
        <v>93.802842853365505</v>
      </c>
      <c r="AM9915">
        <v>87.014456987568096</v>
      </c>
      <c r="AN9915">
        <v>1.0000000243518601</v>
      </c>
    </row>
    <row r="9916" spans="1:40" x14ac:dyDescent="0.25">
      <c r="A9916" t="str">
        <f>"20190303154034561"</f>
        <v>20190303154034561</v>
      </c>
      <c r="B9916" t="str">
        <f>"1551598834557897"</f>
        <v>1551598834557897</v>
      </c>
      <c r="C9916" t="s">
        <v>40</v>
      </c>
      <c r="D9916">
        <v>4.9673389999999999</v>
      </c>
      <c r="E9916">
        <v>0.5122409</v>
      </c>
      <c r="F9916" t="s">
        <v>68</v>
      </c>
      <c r="G9916">
        <v>-188.01230000000001</v>
      </c>
      <c r="H9916" s="1">
        <v>-3.46565E-6</v>
      </c>
      <c r="I9916">
        <v>126.0655</v>
      </c>
      <c r="J9916">
        <v>-187.90430000000001</v>
      </c>
      <c r="K9916">
        <v>1.1196090000000001</v>
      </c>
      <c r="L9916">
        <v>113.4177</v>
      </c>
      <c r="M9916">
        <v>1.191561E-2</v>
      </c>
      <c r="N9916">
        <v>-1.451129E-2</v>
      </c>
      <c r="O9916">
        <v>0.99982369999999998</v>
      </c>
      <c r="P9916">
        <v>6.4626680000000006E-2</v>
      </c>
      <c r="Q9916">
        <v>-8.0235119999999993E-2</v>
      </c>
      <c r="R9916">
        <v>0.99467870000000003</v>
      </c>
      <c r="S9916">
        <v>-2.4002079999999999E-2</v>
      </c>
      <c r="T9916">
        <v>-0.2608086</v>
      </c>
      <c r="U9916">
        <v>2.9958800000000001</v>
      </c>
      <c r="V9916">
        <v>5.2507390000000001E-2</v>
      </c>
      <c r="W9916">
        <v>-6.5991159999999993E-2</v>
      </c>
      <c r="X9916">
        <v>0.99643769999999998</v>
      </c>
      <c r="Y9916">
        <v>-1.989175E-2</v>
      </c>
      <c r="Z9916">
        <v>-7.2242100000000004E-2</v>
      </c>
      <c r="AA9916">
        <v>0.99718870000000004</v>
      </c>
      <c r="AB9916">
        <v>21</v>
      </c>
      <c r="AC9916">
        <v>-0.108000000000004</v>
      </c>
      <c r="AD9916">
        <v>-1.1196124656499999</v>
      </c>
      <c r="AE9916">
        <v>12.6478</v>
      </c>
      <c r="AF9916">
        <v>-0.25670302477045798</v>
      </c>
      <c r="AG9916">
        <v>-1.1196124656499999</v>
      </c>
      <c r="AH9916">
        <v>12.5472989132248</v>
      </c>
      <c r="AI9916">
        <v>95.098014044549004</v>
      </c>
      <c r="AJ9916">
        <v>91.172040966472096</v>
      </c>
      <c r="AK9916">
        <v>12.5997673999951</v>
      </c>
      <c r="AL9916">
        <v>93.783764722905403</v>
      </c>
      <c r="AM9916">
        <v>86.983582743546506</v>
      </c>
      <c r="AN9916">
        <v>0.99999997459202306</v>
      </c>
    </row>
    <row r="9917" spans="1:40" x14ac:dyDescent="0.25">
      <c r="A9917" t="str">
        <f>"20190303154034584"</f>
        <v>20190303154034584</v>
      </c>
      <c r="B9917" t="str">
        <f>"1551598834578395"</f>
        <v>1551598834578395</v>
      </c>
      <c r="C9917" t="s">
        <v>40</v>
      </c>
      <c r="D9917">
        <v>5.0112819999999996</v>
      </c>
      <c r="E9917">
        <v>0.57174789999999998</v>
      </c>
      <c r="F9917" t="s">
        <v>68</v>
      </c>
      <c r="G9917">
        <v>-185.8184</v>
      </c>
      <c r="H9917" s="1">
        <v>-6.7861649999999996E-6</v>
      </c>
      <c r="I9917">
        <v>134.91309999999999</v>
      </c>
      <c r="J9917">
        <v>-187.89840000000001</v>
      </c>
      <c r="K9917">
        <v>1.1195619999999999</v>
      </c>
      <c r="L9917">
        <v>113.63639999999999</v>
      </c>
      <c r="M9917">
        <v>1.471394E-2</v>
      </c>
      <c r="N9917">
        <v>-1.451101E-2</v>
      </c>
      <c r="O9917">
        <v>0.99978639999999996</v>
      </c>
      <c r="P9917">
        <v>6.8405430000000003E-2</v>
      </c>
      <c r="Q9917">
        <v>-8.0456609999999998E-2</v>
      </c>
      <c r="R9917">
        <v>0.99440810000000002</v>
      </c>
      <c r="S9917">
        <v>0.28962710000000003</v>
      </c>
      <c r="T9917">
        <v>-0.15546170000000001</v>
      </c>
      <c r="U9917">
        <v>2.9846949999999999</v>
      </c>
      <c r="V9917">
        <v>5.3494609999999998E-2</v>
      </c>
      <c r="W9917">
        <v>-6.6224389999999994E-2</v>
      </c>
      <c r="X9917">
        <v>0.99636970000000002</v>
      </c>
      <c r="Y9917">
        <v>8.1820030000000002E-2</v>
      </c>
      <c r="Z9917">
        <v>-3.7312240000000003E-2</v>
      </c>
      <c r="AA9917">
        <v>0.99594839999999996</v>
      </c>
      <c r="AB9917">
        <v>21</v>
      </c>
      <c r="AC9917">
        <v>2.0800000000000098</v>
      </c>
      <c r="AD9917">
        <v>-1.1195687861650001</v>
      </c>
      <c r="AE9917">
        <v>21.276699999999899</v>
      </c>
      <c r="AF9917">
        <v>1.7618456787062799</v>
      </c>
      <c r="AG9917">
        <v>-1.1195687861650001</v>
      </c>
      <c r="AH9917">
        <v>21.2467331507012</v>
      </c>
      <c r="AI9917">
        <v>93.006038003772304</v>
      </c>
      <c r="AJ9917">
        <v>85.2596997607492</v>
      </c>
      <c r="AK9917">
        <v>21.349032859584899</v>
      </c>
      <c r="AL9917">
        <v>93.797157165234594</v>
      </c>
      <c r="AM9917">
        <v>86.926767817218803</v>
      </c>
      <c r="AN9917">
        <v>0.99999996110400602</v>
      </c>
    </row>
    <row r="9918" spans="1:40" x14ac:dyDescent="0.25">
      <c r="A9918" t="str">
        <f>"20190303154034605"</f>
        <v>20190303154034605</v>
      </c>
      <c r="B9918" t="str">
        <f>"1551598834597913"</f>
        <v>1551598834597913</v>
      </c>
      <c r="C9918" t="s">
        <v>40</v>
      </c>
      <c r="D9918">
        <v>4.233663</v>
      </c>
      <c r="E9918">
        <v>0.64327219999999996</v>
      </c>
      <c r="F9918" t="s">
        <v>68</v>
      </c>
      <c r="G9918">
        <v>-183.66489999999999</v>
      </c>
      <c r="H9918" s="1">
        <v>-5.250104E-6</v>
      </c>
      <c r="I9918">
        <v>129.72040000000001</v>
      </c>
      <c r="J9918">
        <v>-187.89230000000001</v>
      </c>
      <c r="K9918">
        <v>1.119521</v>
      </c>
      <c r="L9918">
        <v>113.8426</v>
      </c>
      <c r="M9918">
        <v>1.7430379999999999E-2</v>
      </c>
      <c r="N9918">
        <v>-1.4510500000000001E-2</v>
      </c>
      <c r="O9918">
        <v>0.99974280000000004</v>
      </c>
      <c r="P9918">
        <v>7.1868959999999996E-2</v>
      </c>
      <c r="Q9918">
        <v>-8.1129370000000006E-2</v>
      </c>
      <c r="R9918">
        <v>0.99410909999999997</v>
      </c>
      <c r="S9918">
        <v>0.7756653</v>
      </c>
      <c r="T9918">
        <v>-0.20512900000000001</v>
      </c>
      <c r="U9918">
        <v>2.94693</v>
      </c>
      <c r="V9918">
        <v>5.4248709999999999E-2</v>
      </c>
      <c r="W9918">
        <v>-6.6907649999999999E-2</v>
      </c>
      <c r="X9918">
        <v>0.99628329999999998</v>
      </c>
      <c r="Y9918">
        <v>0.2371511</v>
      </c>
      <c r="Z9918">
        <v>-5.2842210000000001E-2</v>
      </c>
      <c r="AA9918">
        <v>0.97003450000000002</v>
      </c>
      <c r="AB9918">
        <v>21</v>
      </c>
      <c r="AC9918">
        <v>4.22740000000001</v>
      </c>
      <c r="AD9918">
        <v>-1.119526250104</v>
      </c>
      <c r="AE9918">
        <v>15.877800000000001</v>
      </c>
      <c r="AF9918">
        <v>3.93171972381514</v>
      </c>
      <c r="AG9918">
        <v>-1.119526250104</v>
      </c>
      <c r="AH9918">
        <v>15.8753801123847</v>
      </c>
      <c r="AI9918">
        <v>93.915879805610302</v>
      </c>
      <c r="AJ9918">
        <v>76.089932869106704</v>
      </c>
      <c r="AK9918">
        <v>16.3932746186968</v>
      </c>
      <c r="AL9918">
        <v>93.836392012191894</v>
      </c>
      <c r="AM9918">
        <v>86.883260311100898</v>
      </c>
      <c r="AN9918">
        <v>0.99999998501203802</v>
      </c>
    </row>
    <row r="9919" spans="1:40" x14ac:dyDescent="0.25">
      <c r="A9919" t="str">
        <f>"20190303154034630"</f>
        <v>20190303154034630</v>
      </c>
      <c r="B9919" t="str">
        <f>"1551598834618412"</f>
        <v>1551598834618412</v>
      </c>
      <c r="C9919" t="s">
        <v>40</v>
      </c>
      <c r="D9919">
        <v>4.7245059999999999</v>
      </c>
      <c r="E9919">
        <v>0.63831939999999998</v>
      </c>
      <c r="F9919" t="s">
        <v>66</v>
      </c>
      <c r="G9919">
        <v>-163.13140000000001</v>
      </c>
      <c r="H9919">
        <v>3.537115</v>
      </c>
      <c r="I9919">
        <v>167.6711</v>
      </c>
      <c r="J9919">
        <v>-187.88480000000001</v>
      </c>
      <c r="K9919">
        <v>1.119486</v>
      </c>
      <c r="L9919">
        <v>114.0673</v>
      </c>
      <c r="M9919">
        <v>2.0462060000000001E-2</v>
      </c>
      <c r="N9919">
        <v>-1.450939E-2</v>
      </c>
      <c r="O9919">
        <v>0.9996853</v>
      </c>
      <c r="P9919">
        <v>7.5996530000000007E-2</v>
      </c>
      <c r="Q9919">
        <v>-8.1253690000000003E-2</v>
      </c>
      <c r="R9919">
        <v>0.99379189999999995</v>
      </c>
      <c r="S9919">
        <v>1.3482670000000001</v>
      </c>
      <c r="T9919">
        <v>0.13164339999999999</v>
      </c>
      <c r="U9919">
        <v>2.9310459999999998</v>
      </c>
      <c r="V9919">
        <v>5.5356969999999998E-2</v>
      </c>
      <c r="W9919">
        <v>-6.7043859999999997E-2</v>
      </c>
      <c r="X9919">
        <v>0.99621320000000002</v>
      </c>
      <c r="Y9919">
        <v>0.39865489999999998</v>
      </c>
      <c r="Z9919">
        <v>5.5362759999999997E-2</v>
      </c>
      <c r="AA9919">
        <v>0.91542849999999998</v>
      </c>
      <c r="AB9919">
        <v>21</v>
      </c>
      <c r="AC9919">
        <v>24.753399999999999</v>
      </c>
      <c r="AD9919">
        <v>2.4176289999999998</v>
      </c>
      <c r="AE9919">
        <v>53.6037999999999</v>
      </c>
      <c r="AF9919">
        <v>23.611668345317</v>
      </c>
      <c r="AG9919">
        <v>2.4176289999999998</v>
      </c>
      <c r="AH9919">
        <v>54.0085805953414</v>
      </c>
      <c r="AI9919">
        <v>87.651304739849806</v>
      </c>
      <c r="AJ9919">
        <v>66.385837632734706</v>
      </c>
      <c r="AK9919">
        <v>58.993919940570002</v>
      </c>
      <c r="AL9919">
        <v>93.844213750526905</v>
      </c>
      <c r="AM9919">
        <v>86.819493754567006</v>
      </c>
      <c r="AN9919">
        <v>1.0000000065727599</v>
      </c>
    </row>
    <row r="9920" spans="1:40" x14ac:dyDescent="0.25">
      <c r="A9920" t="str">
        <f>"20190303154034651"</f>
        <v>20190303154034651</v>
      </c>
      <c r="B9920" t="str">
        <f>"1551598834647689"</f>
        <v>1551598834647689</v>
      </c>
      <c r="C9920" t="s">
        <v>40</v>
      </c>
      <c r="D9920">
        <v>4.6903980000000001</v>
      </c>
      <c r="E9920">
        <v>0.63642900000000002</v>
      </c>
      <c r="F9920" t="s">
        <v>66</v>
      </c>
      <c r="G9920">
        <v>-163.45339999999999</v>
      </c>
      <c r="H9920">
        <v>1.627407</v>
      </c>
      <c r="I9920">
        <v>167.9941</v>
      </c>
      <c r="J9920">
        <v>-187.87719999999999</v>
      </c>
      <c r="K9920">
        <v>1.119456</v>
      </c>
      <c r="L9920">
        <v>114.27370000000001</v>
      </c>
      <c r="M9920">
        <v>2.3312619999999999E-2</v>
      </c>
      <c r="N9920">
        <v>-1.450774E-2</v>
      </c>
      <c r="O9920">
        <v>0.99962289999999998</v>
      </c>
      <c r="P9920">
        <v>8.0202399999999993E-2</v>
      </c>
      <c r="Q9920">
        <v>-8.0093319999999996E-2</v>
      </c>
      <c r="R9920">
        <v>0.99355550000000004</v>
      </c>
      <c r="S9920">
        <v>1.3228150000000001</v>
      </c>
      <c r="T9920">
        <v>2.7502780000000001E-2</v>
      </c>
      <c r="U9920">
        <v>2.9198149999999998</v>
      </c>
      <c r="V9920">
        <v>5.6730330000000002E-2</v>
      </c>
      <c r="W9920">
        <v>-6.5894229999999998E-2</v>
      </c>
      <c r="X9920">
        <v>0.99621269999999995</v>
      </c>
      <c r="Y9920">
        <v>0.39119670000000001</v>
      </c>
      <c r="Z9920">
        <v>2.3051439999999999E-2</v>
      </c>
      <c r="AA9920">
        <v>0.92001840000000001</v>
      </c>
      <c r="AB9920">
        <v>21</v>
      </c>
      <c r="AC9920">
        <v>24.4238</v>
      </c>
      <c r="AD9920">
        <v>0.50795100000000004</v>
      </c>
      <c r="AE9920">
        <v>53.720399999999998</v>
      </c>
      <c r="AF9920">
        <v>23.162949481793699</v>
      </c>
      <c r="AG9920">
        <v>0.50795100000000004</v>
      </c>
      <c r="AH9920">
        <v>54.271218733421399</v>
      </c>
      <c r="AI9920">
        <v>89.506796257839895</v>
      </c>
      <c r="AJ9920">
        <v>66.887216510808102</v>
      </c>
      <c r="AK9920">
        <v>59.009706199280501</v>
      </c>
      <c r="AL9920">
        <v>93.778198598574306</v>
      </c>
      <c r="AM9920">
        <v>86.740754485478107</v>
      </c>
      <c r="AN9920">
        <v>1.00000006176524</v>
      </c>
    </row>
    <row r="9921" spans="1:40" x14ac:dyDescent="0.25">
      <c r="A9921" t="str">
        <f>"20190303154034673"</f>
        <v>20190303154034673</v>
      </c>
      <c r="B9921" t="str">
        <f>"1551598834668186"</f>
        <v>1551598834668186</v>
      </c>
      <c r="C9921" t="s">
        <v>40</v>
      </c>
      <c r="D9921">
        <v>4.6491230000000003</v>
      </c>
      <c r="E9921">
        <v>0.63659339999999998</v>
      </c>
      <c r="F9921" t="s">
        <v>66</v>
      </c>
      <c r="G9921">
        <v>-163.4897</v>
      </c>
      <c r="H9921">
        <v>0.92233659999999995</v>
      </c>
      <c r="I9921">
        <v>168.0307</v>
      </c>
      <c r="J9921">
        <v>-187.8689</v>
      </c>
      <c r="K9921">
        <v>1.1194360000000001</v>
      </c>
      <c r="L9921">
        <v>114.48009999999999</v>
      </c>
      <c r="M9921">
        <v>2.6208479999999999E-2</v>
      </c>
      <c r="N9921">
        <v>-1.450561E-2</v>
      </c>
      <c r="O9921">
        <v>0.99955119999999997</v>
      </c>
      <c r="P9921">
        <v>8.4599460000000001E-2</v>
      </c>
      <c r="Q9921">
        <v>-7.9862649999999993E-2</v>
      </c>
      <c r="R9921">
        <v>0.99320940000000002</v>
      </c>
      <c r="S9921">
        <v>1.321045</v>
      </c>
      <c r="T9921">
        <v>-1.067591E-2</v>
      </c>
      <c r="U9921">
        <v>2.9119570000000001</v>
      </c>
      <c r="V9921">
        <v>5.8250700000000002E-2</v>
      </c>
      <c r="W9921">
        <v>-6.56751E-2</v>
      </c>
      <c r="X9921">
        <v>0.99613929999999995</v>
      </c>
      <c r="Y9921">
        <v>0.38905109999999998</v>
      </c>
      <c r="Z9921">
        <v>1.10685E-2</v>
      </c>
      <c r="AA9921">
        <v>0.92114969999999996</v>
      </c>
      <c r="AB9921">
        <v>21</v>
      </c>
      <c r="AC9921">
        <v>24.379200000000001</v>
      </c>
      <c r="AD9921">
        <v>-0.19709940000000001</v>
      </c>
      <c r="AE9921">
        <v>53.550600000000003</v>
      </c>
      <c r="AF9921">
        <v>22.966938654935198</v>
      </c>
      <c r="AG9921">
        <v>-0.19709940000000001</v>
      </c>
      <c r="AH9921">
        <v>54.170602606775901</v>
      </c>
      <c r="AI9921">
        <v>90.191931779293498</v>
      </c>
      <c r="AJ9921">
        <v>67.024307811026304</v>
      </c>
      <c r="AK9921">
        <v>58.8385358938704</v>
      </c>
      <c r="AL9921">
        <v>93.765616601692997</v>
      </c>
      <c r="AM9921">
        <v>86.653356776427103</v>
      </c>
      <c r="AN9921">
        <v>0.99999993390749198</v>
      </c>
    </row>
    <row r="9922" spans="1:40" x14ac:dyDescent="0.25">
      <c r="A9922" t="str">
        <f>"20190303154034695"</f>
        <v>20190303154034695</v>
      </c>
      <c r="B9922" t="str">
        <f>"1551598834687709"</f>
        <v>1551598834687709</v>
      </c>
      <c r="C9922" t="s">
        <v>40</v>
      </c>
      <c r="D9922">
        <v>4.6847110000000001</v>
      </c>
      <c r="E9922">
        <v>0.63623599999999902</v>
      </c>
      <c r="F9922" t="s">
        <v>66</v>
      </c>
      <c r="G9922">
        <v>-163.32589999999999</v>
      </c>
      <c r="H9922">
        <v>0.66906929999999998</v>
      </c>
      <c r="I9922">
        <v>167.8673</v>
      </c>
      <c r="J9922">
        <v>-187.86</v>
      </c>
      <c r="K9922">
        <v>1.1194299999999999</v>
      </c>
      <c r="L9922">
        <v>114.6885</v>
      </c>
      <c r="M9922">
        <v>2.9173629999999999E-2</v>
      </c>
      <c r="N9922">
        <v>-1.450305E-2</v>
      </c>
      <c r="O9922">
        <v>0.99946919999999995</v>
      </c>
      <c r="P9922">
        <v>9.0269810000000006E-2</v>
      </c>
      <c r="Q9922">
        <v>-8.0336879999999999E-2</v>
      </c>
      <c r="R9922">
        <v>0.99267179999999999</v>
      </c>
      <c r="S9922">
        <v>1.335388</v>
      </c>
      <c r="T9922">
        <v>-2.450275E-2</v>
      </c>
      <c r="U9922">
        <v>2.9047999999999998</v>
      </c>
      <c r="V9922">
        <v>6.0979070000000003E-2</v>
      </c>
      <c r="W9922">
        <v>-6.6167499999999893E-2</v>
      </c>
      <c r="X9922">
        <v>0.99594349999999998</v>
      </c>
      <c r="Y9922">
        <v>0.39093709999999998</v>
      </c>
      <c r="Z9922">
        <v>6.7047410000000002E-3</v>
      </c>
      <c r="AA9922">
        <v>0.92039300000000002</v>
      </c>
      <c r="AB9922">
        <v>21</v>
      </c>
      <c r="AC9922">
        <v>24.534099999999999</v>
      </c>
      <c r="AD9922">
        <v>-0.4503607</v>
      </c>
      <c r="AE9922">
        <v>53.178800000000003</v>
      </c>
      <c r="AF9922">
        <v>22.970715003625099</v>
      </c>
      <c r="AG9922">
        <v>-0.4503607</v>
      </c>
      <c r="AH9922">
        <v>53.868798677256699</v>
      </c>
      <c r="AI9922">
        <v>90.440614794955707</v>
      </c>
      <c r="AJ9922">
        <v>66.905646889670393</v>
      </c>
      <c r="AK9922">
        <v>58.563675119212697</v>
      </c>
      <c r="AL9922">
        <v>93.793890218920097</v>
      </c>
      <c r="AM9922">
        <v>86.496300003240506</v>
      </c>
      <c r="AN9922">
        <v>1.0000000201132799</v>
      </c>
    </row>
    <row r="9923" spans="1:40" x14ac:dyDescent="0.25">
      <c r="A9923" t="str">
        <f>"20190303154034708"</f>
        <v>20190303154034708</v>
      </c>
      <c r="B9923" t="str">
        <f>"1551598834698443"</f>
        <v>1551598834698443</v>
      </c>
      <c r="C9923" t="s">
        <v>40</v>
      </c>
      <c r="D9923">
        <v>4.6924299999999999</v>
      </c>
      <c r="E9923">
        <v>0.63613629999999999</v>
      </c>
      <c r="F9923" t="s">
        <v>66</v>
      </c>
      <c r="G9923">
        <v>-163.1609</v>
      </c>
      <c r="H9923">
        <v>0.44221880000000002</v>
      </c>
      <c r="I9923">
        <v>167.70269999999999</v>
      </c>
      <c r="J9923">
        <v>-187.85419999999999</v>
      </c>
      <c r="K9923">
        <v>1.119424</v>
      </c>
      <c r="L9923">
        <v>114.8147</v>
      </c>
      <c r="M9923">
        <v>3.0986530000000002E-2</v>
      </c>
      <c r="N9923">
        <v>-1.4501389999999999E-2</v>
      </c>
      <c r="O9923">
        <v>0.99941460000000004</v>
      </c>
      <c r="P9923">
        <v>9.3473810000000004E-2</v>
      </c>
      <c r="Q9923">
        <v>-8.0460599999999993E-2</v>
      </c>
      <c r="R9923">
        <v>0.99236519999999995</v>
      </c>
      <c r="S9923">
        <v>1.349442</v>
      </c>
      <c r="T9923">
        <v>-3.6997910000000002E-2</v>
      </c>
      <c r="U9923">
        <v>2.8964539999999999</v>
      </c>
      <c r="V9923">
        <v>6.2385400000000001E-2</v>
      </c>
      <c r="W9923">
        <v>-6.6300730000000002E-2</v>
      </c>
      <c r="X9923">
        <v>0.9958475</v>
      </c>
      <c r="Y9923">
        <v>0.39394439999999997</v>
      </c>
      <c r="Z9923">
        <v>2.7563100000000001E-3</v>
      </c>
      <c r="AA9923">
        <v>0.91913009999999995</v>
      </c>
      <c r="AB9923">
        <v>21</v>
      </c>
      <c r="AC9923">
        <v>24.693299999999901</v>
      </c>
      <c r="AD9923">
        <v>-0.67720519999999995</v>
      </c>
      <c r="AE9923">
        <v>52.887999999999899</v>
      </c>
      <c r="AF9923">
        <v>23.039350540751101</v>
      </c>
      <c r="AG9923">
        <v>-0.67720519999999995</v>
      </c>
      <c r="AH9923">
        <v>53.620620165680897</v>
      </c>
      <c r="AI9923">
        <v>90.664817150162605</v>
      </c>
      <c r="AJ9923">
        <v>66.748093067697297</v>
      </c>
      <c r="AK9923">
        <v>58.364725538416899</v>
      </c>
      <c r="AL9923">
        <v>93.801540671858007</v>
      </c>
      <c r="AM9923">
        <v>86.415359571258406</v>
      </c>
      <c r="AN9923">
        <v>0.99999998409397095</v>
      </c>
    </row>
    <row r="9924" spans="1:40" x14ac:dyDescent="0.25">
      <c r="A9924" t="str">
        <f>"20190303154034721"</f>
        <v>20190303154034721</v>
      </c>
      <c r="B9924" t="str">
        <f>"1551598834717962"</f>
        <v>1551598834717962</v>
      </c>
      <c r="C9924" t="s">
        <v>40</v>
      </c>
      <c r="D9924">
        <v>4.7039749999999998</v>
      </c>
      <c r="E9924">
        <v>0.63565749999999999</v>
      </c>
      <c r="F9924" t="s">
        <v>66</v>
      </c>
      <c r="G9924">
        <v>-163.05930000000001</v>
      </c>
      <c r="H9924">
        <v>0.3714848</v>
      </c>
      <c r="I9924">
        <v>167.60120000000001</v>
      </c>
      <c r="J9924">
        <v>-187.8485</v>
      </c>
      <c r="K9924">
        <v>1.1194200000000001</v>
      </c>
      <c r="L9924">
        <v>114.93380000000001</v>
      </c>
      <c r="M9924">
        <v>3.2718570000000002E-2</v>
      </c>
      <c r="N9924">
        <v>-1.449975E-2</v>
      </c>
      <c r="O9924">
        <v>0.99935940000000001</v>
      </c>
      <c r="P9924">
        <v>9.63923E-2</v>
      </c>
      <c r="Q9924">
        <v>-8.1159480000000006E-2</v>
      </c>
      <c r="R9924">
        <v>0.9920291</v>
      </c>
      <c r="S9924">
        <v>1.3583369999999999</v>
      </c>
      <c r="T9924">
        <v>-4.0972590000000003E-2</v>
      </c>
      <c r="U9924">
        <v>2.8917999999999999</v>
      </c>
      <c r="V9924">
        <v>6.3585580000000003E-2</v>
      </c>
      <c r="W9924">
        <v>-6.7008890000000002E-2</v>
      </c>
      <c r="X9924">
        <v>0.99572419999999995</v>
      </c>
      <c r="Y9924">
        <v>0.39523380000000002</v>
      </c>
      <c r="Z9924">
        <v>1.4913839999999999E-3</v>
      </c>
      <c r="AA9924">
        <v>0.91857929999999999</v>
      </c>
      <c r="AB9924">
        <v>21</v>
      </c>
      <c r="AC9924">
        <v>24.789199999999902</v>
      </c>
      <c r="AD9924">
        <v>-0.74793520000000002</v>
      </c>
      <c r="AE9924">
        <v>52.667400000000001</v>
      </c>
      <c r="AF9924">
        <v>23.048736680952299</v>
      </c>
      <c r="AG9924">
        <v>-0.74793520000000002</v>
      </c>
      <c r="AH9924">
        <v>53.441525611580097</v>
      </c>
      <c r="AI9924">
        <v>90.736274323102506</v>
      </c>
      <c r="AJ9924">
        <v>66.669999761867899</v>
      </c>
      <c r="AK9924">
        <v>58.204813626919602</v>
      </c>
      <c r="AL9924">
        <v>93.842205626910797</v>
      </c>
      <c r="AM9924">
        <v>86.346131546985902</v>
      </c>
      <c r="AN9924">
        <v>0.99999999989430399</v>
      </c>
    </row>
    <row r="9925" spans="1:40" x14ac:dyDescent="0.25">
      <c r="A9925" t="str">
        <f>"20190303154034735"</f>
        <v>20190303154034735</v>
      </c>
      <c r="B9925" t="str">
        <f>"1551598834727722"</f>
        <v>1551598834727722</v>
      </c>
      <c r="C9925" t="s">
        <v>40</v>
      </c>
      <c r="D9925">
        <v>4.6611799999999999</v>
      </c>
      <c r="E9925">
        <v>0.63574449999999905</v>
      </c>
      <c r="F9925" t="s">
        <v>66</v>
      </c>
      <c r="G9925">
        <v>-163.011</v>
      </c>
      <c r="H9925">
        <v>0.1920395</v>
      </c>
      <c r="I9925">
        <v>167.553</v>
      </c>
      <c r="J9925">
        <v>-187.84209999999999</v>
      </c>
      <c r="K9925">
        <v>1.1194139999999999</v>
      </c>
      <c r="L9925">
        <v>115.0643</v>
      </c>
      <c r="M9925">
        <v>3.4627739999999997E-2</v>
      </c>
      <c r="N9925">
        <v>-1.4497970000000001E-2</v>
      </c>
      <c r="O9925">
        <v>0.99929509999999999</v>
      </c>
      <c r="P9925">
        <v>9.9300399999999997E-2</v>
      </c>
      <c r="Q9925">
        <v>-8.2085530000000004E-2</v>
      </c>
      <c r="R9925">
        <v>0.99166600000000005</v>
      </c>
      <c r="S9925">
        <v>1.362976</v>
      </c>
      <c r="T9925">
        <v>-5.0888780000000002E-2</v>
      </c>
      <c r="U9925">
        <v>2.8875120000000001</v>
      </c>
      <c r="V9925">
        <v>6.4599169999999997E-2</v>
      </c>
      <c r="W9925">
        <v>-6.7944000000000004E-2</v>
      </c>
      <c r="X9925">
        <v>0.99559560000000002</v>
      </c>
      <c r="Y9925">
        <v>0.39520260000000001</v>
      </c>
      <c r="Z9925">
        <v>-1.654179E-3</v>
      </c>
      <c r="AA9925">
        <v>0.91859250000000003</v>
      </c>
      <c r="AB9925">
        <v>21</v>
      </c>
      <c r="AC9925">
        <v>24.8310999999999</v>
      </c>
      <c r="AD9925">
        <v>-0.92737449999999999</v>
      </c>
      <c r="AE9925">
        <v>52.488700000000001</v>
      </c>
      <c r="AF9925">
        <v>22.992584189334401</v>
      </c>
      <c r="AG9925">
        <v>-0.92737449999999999</v>
      </c>
      <c r="AH9925">
        <v>53.303553710404699</v>
      </c>
      <c r="AI9925">
        <v>90.9152306289715</v>
      </c>
      <c r="AJ9925">
        <v>66.666960731394695</v>
      </c>
      <c r="AK9925">
        <v>58.058485937241599</v>
      </c>
      <c r="AL9925">
        <v>93.895905799470597</v>
      </c>
      <c r="AM9925">
        <v>86.287570263229995</v>
      </c>
      <c r="AN9925">
        <v>1.00000001932002</v>
      </c>
    </row>
    <row r="9926" spans="1:40" x14ac:dyDescent="0.25">
      <c r="A9926" t="str">
        <f>"20190303154034751"</f>
        <v>20190303154034751</v>
      </c>
      <c r="B9926" t="str">
        <f>"1551598834748218"</f>
        <v>1551598834748218</v>
      </c>
      <c r="C9926" t="s">
        <v>40</v>
      </c>
      <c r="D9926">
        <v>4.6806369999999999</v>
      </c>
      <c r="E9926">
        <v>0.6357545</v>
      </c>
      <c r="F9926" t="s">
        <v>66</v>
      </c>
      <c r="G9926">
        <v>-162.91079999999999</v>
      </c>
      <c r="H9926">
        <v>0.13381960000000001</v>
      </c>
      <c r="I9926">
        <v>167.453</v>
      </c>
      <c r="J9926">
        <v>-187.83459999999999</v>
      </c>
      <c r="K9926">
        <v>1.1194040000000001</v>
      </c>
      <c r="L9926">
        <v>115.2107</v>
      </c>
      <c r="M9926">
        <v>3.6790870000000003E-2</v>
      </c>
      <c r="N9926">
        <v>-1.449601E-2</v>
      </c>
      <c r="O9926">
        <v>0.99921789999999999</v>
      </c>
      <c r="P9926">
        <v>0.1041522</v>
      </c>
      <c r="Q9926">
        <v>-8.2759369999999999E-2</v>
      </c>
      <c r="R9926">
        <v>0.99111210000000005</v>
      </c>
      <c r="S9926">
        <v>1.372131</v>
      </c>
      <c r="T9926">
        <v>-5.424201E-2</v>
      </c>
      <c r="U9926">
        <v>2.8833009999999999</v>
      </c>
      <c r="V9926">
        <v>6.7310499999999995E-2</v>
      </c>
      <c r="W9926">
        <v>-6.8636630000000004E-2</v>
      </c>
      <c r="X9926">
        <v>0.99536840000000004</v>
      </c>
      <c r="Y9926">
        <v>0.39610889999999999</v>
      </c>
      <c r="Z9926">
        <v>-2.7267039999999999E-3</v>
      </c>
      <c r="AA9926">
        <v>0.91819949999999995</v>
      </c>
      <c r="AB9926">
        <v>21</v>
      </c>
      <c r="AC9926">
        <v>24.9238</v>
      </c>
      <c r="AD9926">
        <v>-0.98558440000000003</v>
      </c>
      <c r="AE9926">
        <v>52.2423</v>
      </c>
      <c r="AF9926">
        <v>22.9780193016969</v>
      </c>
      <c r="AG9926">
        <v>-0.98558440000000003</v>
      </c>
      <c r="AH9926">
        <v>53.108590981414601</v>
      </c>
      <c r="AI9926">
        <v>90.975772436468702</v>
      </c>
      <c r="AJ9926">
        <v>66.6037440962087</v>
      </c>
      <c r="AK9926">
        <v>57.874719728650703</v>
      </c>
      <c r="AL9926">
        <v>93.9356836267674</v>
      </c>
      <c r="AM9926">
        <v>86.131336967250306</v>
      </c>
      <c r="AN9926">
        <v>0.99999997105328298</v>
      </c>
    </row>
    <row r="9927" spans="1:40" x14ac:dyDescent="0.25">
      <c r="A9927" t="str">
        <f>"20190303154034762"</f>
        <v>20190303154034762</v>
      </c>
      <c r="B9927" t="str">
        <f>"1551598834757977"</f>
        <v>1551598834757977</v>
      </c>
      <c r="C9927" t="s">
        <v>40</v>
      </c>
      <c r="D9927">
        <v>4.6864270000000001</v>
      </c>
      <c r="E9927">
        <v>0.63572240000000002</v>
      </c>
      <c r="F9927" t="s">
        <v>66</v>
      </c>
      <c r="G9927">
        <v>-162.73859999999999</v>
      </c>
      <c r="H9927">
        <v>5.5152890000000003E-2</v>
      </c>
      <c r="I9927">
        <v>167.28099999999901</v>
      </c>
      <c r="J9927">
        <v>-187.82849999999999</v>
      </c>
      <c r="K9927">
        <v>1.119391</v>
      </c>
      <c r="L9927">
        <v>115.3228</v>
      </c>
      <c r="M9927">
        <v>3.8466889999999997E-2</v>
      </c>
      <c r="N9927">
        <v>-1.449462E-2</v>
      </c>
      <c r="O9927">
        <v>0.99915469999999895</v>
      </c>
      <c r="P9927">
        <v>0.10719720000000001</v>
      </c>
      <c r="Q9927">
        <v>-8.2958149999999994E-2</v>
      </c>
      <c r="R9927">
        <v>0.99077079999999995</v>
      </c>
      <c r="S9927">
        <v>1.3862760000000001</v>
      </c>
      <c r="T9927">
        <v>-5.8786390000000001E-2</v>
      </c>
      <c r="U9927">
        <v>2.876312</v>
      </c>
      <c r="V9927">
        <v>6.8695770000000003E-2</v>
      </c>
      <c r="W9927">
        <v>-6.8846320000000003E-2</v>
      </c>
      <c r="X9927">
        <v>0.99525929999999996</v>
      </c>
      <c r="Y9927">
        <v>0.39909650000000002</v>
      </c>
      <c r="Z9927">
        <v>-4.1750850000000003E-3</v>
      </c>
      <c r="AA9927">
        <v>0.91689940000000003</v>
      </c>
      <c r="AB9927">
        <v>21</v>
      </c>
      <c r="AC9927">
        <v>25.0899</v>
      </c>
      <c r="AD9927">
        <v>-1.06423811</v>
      </c>
      <c r="AE9927">
        <v>51.958199999999898</v>
      </c>
      <c r="AF9927">
        <v>23.0645992603278</v>
      </c>
      <c r="AG9927">
        <v>-1.06423811</v>
      </c>
      <c r="AH9927">
        <v>52.866982513994301</v>
      </c>
      <c r="AI9927">
        <v>91.057043131358398</v>
      </c>
      <c r="AJ9927">
        <v>66.429508684425102</v>
      </c>
      <c r="AK9927">
        <v>57.689047330747897</v>
      </c>
      <c r="AL9927">
        <v>93.947726354256105</v>
      </c>
      <c r="AM9927">
        <v>86.051536580647493</v>
      </c>
      <c r="AN9927">
        <v>0.99999999941496198</v>
      </c>
    </row>
    <row r="9928" spans="1:40" x14ac:dyDescent="0.25">
      <c r="A9928" t="str">
        <f>"20190303154034775"</f>
        <v>20190303154034775</v>
      </c>
      <c r="B9928" t="str">
        <f>"1551598834767738"</f>
        <v>1551598834767738</v>
      </c>
      <c r="C9928" t="s">
        <v>40</v>
      </c>
      <c r="D9928">
        <v>4.7018760000000004</v>
      </c>
      <c r="E9928">
        <v>0.63552759999999997</v>
      </c>
      <c r="F9928" t="s">
        <v>66</v>
      </c>
      <c r="G9928">
        <v>-162.64080000000001</v>
      </c>
      <c r="H9928">
        <v>1.7938610000000001E-2</v>
      </c>
      <c r="I9928">
        <v>167.1833</v>
      </c>
      <c r="J9928">
        <v>-187.82210000000001</v>
      </c>
      <c r="K9928">
        <v>1.11937999999999</v>
      </c>
      <c r="L9928">
        <v>115.4387</v>
      </c>
      <c r="M9928">
        <v>4.0211030000000002E-2</v>
      </c>
      <c r="N9928">
        <v>-1.4493209999999999E-2</v>
      </c>
      <c r="O9928">
        <v>0.99908609999999998</v>
      </c>
      <c r="P9928">
        <v>0.11030719999999999</v>
      </c>
      <c r="Q9928">
        <v>-8.334859E-2</v>
      </c>
      <c r="R9928">
        <v>0.99039659999999996</v>
      </c>
      <c r="S9928">
        <v>1.394836</v>
      </c>
      <c r="T9928">
        <v>-6.0994149999999997E-2</v>
      </c>
      <c r="U9928">
        <v>2.871918</v>
      </c>
      <c r="V9928">
        <v>7.0079009999999997E-2</v>
      </c>
      <c r="W9928">
        <v>-6.9248190000000001E-2</v>
      </c>
      <c r="X9928">
        <v>0.99513490000000004</v>
      </c>
      <c r="Y9928">
        <v>0.40025460000000002</v>
      </c>
      <c r="Z9928">
        <v>-4.8868699999999998E-3</v>
      </c>
      <c r="AA9928">
        <v>0.91639099999999996</v>
      </c>
      <c r="AB9928">
        <v>21</v>
      </c>
      <c r="AC9928">
        <v>25.1813</v>
      </c>
      <c r="AD9928">
        <v>-1.10144138999999</v>
      </c>
      <c r="AE9928">
        <v>51.744599999999998</v>
      </c>
      <c r="AF9928">
        <v>23.071555071103901</v>
      </c>
      <c r="AG9928">
        <v>-1.10144138999999</v>
      </c>
      <c r="AH9928">
        <v>52.6961083177072</v>
      </c>
      <c r="AI9928">
        <v>91.096910001544501</v>
      </c>
      <c r="AJ9928">
        <v>66.3551027643243</v>
      </c>
      <c r="AK9928">
        <v>57.535985768613699</v>
      </c>
      <c r="AL9928">
        <v>93.970807192207104</v>
      </c>
      <c r="AM9928">
        <v>85.9717886142693</v>
      </c>
      <c r="AN9928">
        <v>0.99999992432942997</v>
      </c>
    </row>
    <row r="9929" spans="1:40" x14ac:dyDescent="0.25">
      <c r="A9929" t="str">
        <f>"20190303154034788"</f>
        <v>20190303154034788</v>
      </c>
      <c r="B9929" t="str">
        <f>"1551598834777499"</f>
        <v>1551598834777499</v>
      </c>
      <c r="C9929" t="s">
        <v>40</v>
      </c>
      <c r="D9929">
        <v>4.2255019999999996</v>
      </c>
      <c r="E9929">
        <v>0.63670130000000003</v>
      </c>
      <c r="F9929" t="s">
        <v>43</v>
      </c>
      <c r="G9929">
        <v>-162.59729999999999</v>
      </c>
      <c r="H9929">
        <v>-0.05</v>
      </c>
      <c r="I9929">
        <v>167.00899999999999</v>
      </c>
      <c r="J9929">
        <v>-187.815</v>
      </c>
      <c r="K9929">
        <v>1.11937</v>
      </c>
      <c r="L9929">
        <v>115.5611</v>
      </c>
      <c r="M9929">
        <v>4.2067300000000002E-2</v>
      </c>
      <c r="N9929">
        <v>-1.4491739999999999E-2</v>
      </c>
      <c r="O9929">
        <v>0.9990097</v>
      </c>
      <c r="P9929">
        <v>0.1134039</v>
      </c>
      <c r="Q9929">
        <v>-8.3363699999999999E-2</v>
      </c>
      <c r="R9929">
        <v>0.99004550000000002</v>
      </c>
      <c r="S9929">
        <v>1.402542</v>
      </c>
      <c r="T9929">
        <v>-6.5019610000000005E-2</v>
      </c>
      <c r="U9929">
        <v>2.8674010000000001</v>
      </c>
      <c r="V9929">
        <v>7.1338239999999997E-2</v>
      </c>
      <c r="W9929">
        <v>-6.9274080000000002E-2</v>
      </c>
      <c r="X9929">
        <v>0.99504369999999998</v>
      </c>
      <c r="Y9929">
        <v>0.40110129999999999</v>
      </c>
      <c r="Z9929">
        <v>-6.1764019999999897E-3</v>
      </c>
      <c r="AA9929">
        <v>0.91601290000000002</v>
      </c>
      <c r="AB9929">
        <v>21</v>
      </c>
      <c r="AC9929">
        <v>25.217700000000001</v>
      </c>
      <c r="AD9929">
        <v>-1.16937</v>
      </c>
      <c r="AE9929">
        <v>51.447899999999997</v>
      </c>
      <c r="AF9929">
        <v>23.021281303414799</v>
      </c>
      <c r="AG9929">
        <v>-1.16937</v>
      </c>
      <c r="AH9929">
        <v>52.441455645995298</v>
      </c>
      <c r="AI9929">
        <v>91.169692344740099</v>
      </c>
      <c r="AJ9929">
        <v>66.298999946733204</v>
      </c>
      <c r="AK9929">
        <v>57.283968868425603</v>
      </c>
      <c r="AL9929">
        <v>93.972293834788104</v>
      </c>
      <c r="AM9929">
        <v>85.899277000399096</v>
      </c>
      <c r="AN9929">
        <v>1.00000000377791</v>
      </c>
    </row>
    <row r="9930" spans="1:40" x14ac:dyDescent="0.25">
      <c r="A9930" t="str">
        <f>"20190303154034802"</f>
        <v>20190303154034802</v>
      </c>
      <c r="B9930" t="str">
        <f>"1551598834797996"</f>
        <v>1551598834797996</v>
      </c>
      <c r="C9930" t="s">
        <v>40</v>
      </c>
      <c r="D9930">
        <v>4.6639359999999996</v>
      </c>
      <c r="E9930">
        <v>0.63642080000000001</v>
      </c>
      <c r="F9930" t="s">
        <v>66</v>
      </c>
      <c r="G9930">
        <v>-162.35149999999999</v>
      </c>
      <c r="H9930">
        <v>0.27611540000000001</v>
      </c>
      <c r="I9930">
        <v>166.89420000000001</v>
      </c>
      <c r="J9930">
        <v>-187.8073</v>
      </c>
      <c r="K9930">
        <v>1.119351</v>
      </c>
      <c r="L9930">
        <v>115.6897</v>
      </c>
      <c r="M9930">
        <v>4.4047200000000002E-2</v>
      </c>
      <c r="N9930">
        <v>-1.4490299999999999E-2</v>
      </c>
      <c r="O9930">
        <v>0.99892440000000005</v>
      </c>
      <c r="P9930">
        <v>0.11682720000000001</v>
      </c>
      <c r="Q9930">
        <v>-8.3700990000000003E-2</v>
      </c>
      <c r="R9930">
        <v>0.98961889999999997</v>
      </c>
      <c r="S9930">
        <v>1.420425</v>
      </c>
      <c r="T9930">
        <v>-4.703736E-2</v>
      </c>
      <c r="U9930">
        <v>2.8635100000000002</v>
      </c>
      <c r="V9930">
        <v>7.2802720000000001E-2</v>
      </c>
      <c r="W9930">
        <v>-6.9624210000000006E-2</v>
      </c>
      <c r="X9930">
        <v>0.99491320000000005</v>
      </c>
      <c r="Y9930">
        <v>0.40439999999999998</v>
      </c>
      <c r="Z9930">
        <v>-4.9544879999999995E-4</v>
      </c>
      <c r="AA9930">
        <v>0.91458209999999995</v>
      </c>
      <c r="AB9930">
        <v>21</v>
      </c>
      <c r="AC9930">
        <v>25.4558</v>
      </c>
      <c r="AD9930">
        <v>-0.84323559999999897</v>
      </c>
      <c r="AE9930">
        <v>51.204500000000003</v>
      </c>
      <c r="AF9930">
        <v>23.170398679607398</v>
      </c>
      <c r="AG9930">
        <v>-0.84323559999999897</v>
      </c>
      <c r="AH9930">
        <v>52.264802401662898</v>
      </c>
      <c r="AI9930">
        <v>90.845020729199504</v>
      </c>
      <c r="AJ9930">
        <v>66.090996669325406</v>
      </c>
      <c r="AK9930">
        <v>57.176813406606797</v>
      </c>
      <c r="AL9930">
        <v>93.992403291431799</v>
      </c>
      <c r="AM9930">
        <v>85.814843681597097</v>
      </c>
      <c r="AN9930">
        <v>1.0000000210958799</v>
      </c>
    </row>
    <row r="9931" spans="1:40" x14ac:dyDescent="0.25">
      <c r="A9931" t="str">
        <f>"20190303154034820"</f>
        <v>20190303154034820</v>
      </c>
      <c r="B9931" t="str">
        <f>"1551598834807754"</f>
        <v>1551598834807754</v>
      </c>
      <c r="C9931" t="s">
        <v>40</v>
      </c>
      <c r="D9931">
        <v>4.7065599999999996</v>
      </c>
      <c r="E9931">
        <v>0.63627089999999997</v>
      </c>
      <c r="F9931" t="s">
        <v>66</v>
      </c>
      <c r="G9931">
        <v>-162.26849999999999</v>
      </c>
      <c r="H9931">
        <v>0.2032089</v>
      </c>
      <c r="I9931">
        <v>166.81129999999999</v>
      </c>
      <c r="J9931">
        <v>-187.797</v>
      </c>
      <c r="K9931">
        <v>1.1193150000000001</v>
      </c>
      <c r="L9931">
        <v>115.8545</v>
      </c>
      <c r="M9931">
        <v>4.661386E-2</v>
      </c>
      <c r="N9931">
        <v>-1.4488529999999999E-2</v>
      </c>
      <c r="O9931">
        <v>0.99880789999999997</v>
      </c>
      <c r="P9931">
        <v>0.1213265</v>
      </c>
      <c r="Q9931">
        <v>-8.4868410000000005E-2</v>
      </c>
      <c r="R9931">
        <v>0.98897780000000002</v>
      </c>
      <c r="S9931">
        <v>1.42804</v>
      </c>
      <c r="T9931">
        <v>-5.122554E-2</v>
      </c>
      <c r="U9931">
        <v>2.858536</v>
      </c>
      <c r="V9931">
        <v>7.4763979999999994E-2</v>
      </c>
      <c r="W9931">
        <v>-7.0809769999999994E-2</v>
      </c>
      <c r="X9931">
        <v>0.99468400000000001</v>
      </c>
      <c r="Y9931">
        <v>0.4046305</v>
      </c>
      <c r="Z9931">
        <v>-1.8400020000000001E-3</v>
      </c>
      <c r="AA9931">
        <v>0.91447840000000002</v>
      </c>
      <c r="AB9931">
        <v>21</v>
      </c>
      <c r="AC9931">
        <v>25.528500000000001</v>
      </c>
      <c r="AD9931">
        <v>-0.91610609999999904</v>
      </c>
      <c r="AE9931">
        <v>50.956799999999902</v>
      </c>
      <c r="AF9931">
        <v>23.119228539100401</v>
      </c>
      <c r="AG9931">
        <v>-0.91610609999999904</v>
      </c>
      <c r="AH9931">
        <v>52.078049116219098</v>
      </c>
      <c r="AI9931">
        <v>90.921117707245102</v>
      </c>
      <c r="AJ9931">
        <v>66.061926908787598</v>
      </c>
      <c r="AK9931">
        <v>56.986499966052897</v>
      </c>
      <c r="AL9931">
        <v>94.060499171922004</v>
      </c>
      <c r="AM9931">
        <v>85.7015285082188</v>
      </c>
      <c r="AN9931">
        <v>0.99999996804444602</v>
      </c>
    </row>
    <row r="9932" spans="1:40" x14ac:dyDescent="0.25">
      <c r="A9932" t="str">
        <f>"20190303154034841"</f>
        <v>20190303154034841</v>
      </c>
      <c r="B9932" t="str">
        <f>"1551598834838012"</f>
        <v>1551598834838012</v>
      </c>
      <c r="C9932" t="s">
        <v>40</v>
      </c>
      <c r="D9932">
        <v>4.6961190000000004</v>
      </c>
      <c r="E9932">
        <v>0.63605780000000001</v>
      </c>
      <c r="F9932" t="s">
        <v>66</v>
      </c>
      <c r="G9932">
        <v>-162.13730000000001</v>
      </c>
      <c r="H9932">
        <v>0.12569810000000001</v>
      </c>
      <c r="I9932">
        <v>166.68029999999999</v>
      </c>
      <c r="J9932">
        <v>-187.78399999999999</v>
      </c>
      <c r="K9932">
        <v>1.1192629999999999</v>
      </c>
      <c r="L9932">
        <v>116.05249999999999</v>
      </c>
      <c r="M9932">
        <v>4.9754319999999998E-2</v>
      </c>
      <c r="N9932">
        <v>-1.4486539999999999E-2</v>
      </c>
      <c r="O9932">
        <v>0.9986564</v>
      </c>
      <c r="P9932">
        <v>0.12853809999999999</v>
      </c>
      <c r="Q9932">
        <v>-8.7657170000000006E-2</v>
      </c>
      <c r="R9932">
        <v>0.98782289999999995</v>
      </c>
      <c r="S9932">
        <v>1.4398500000000001</v>
      </c>
      <c r="T9932">
        <v>-5.5753230000000001E-2</v>
      </c>
      <c r="U9932">
        <v>2.8520050000000001</v>
      </c>
      <c r="V9932">
        <v>7.8881779999999999E-2</v>
      </c>
      <c r="W9932">
        <v>-7.3632600000000006E-2</v>
      </c>
      <c r="X9932">
        <v>0.99416090000000001</v>
      </c>
      <c r="Y9932">
        <v>0.40560869999999999</v>
      </c>
      <c r="Z9932">
        <v>-3.29555E-3</v>
      </c>
      <c r="AA9932">
        <v>0.91404090000000005</v>
      </c>
      <c r="AB9932">
        <v>21</v>
      </c>
      <c r="AC9932">
        <v>25.646699999999999</v>
      </c>
      <c r="AD9932">
        <v>-0.99356489999999997</v>
      </c>
      <c r="AE9932">
        <v>50.627799999999901</v>
      </c>
      <c r="AF9932">
        <v>23.088637022759801</v>
      </c>
      <c r="AG9932">
        <v>-0.99356489999999997</v>
      </c>
      <c r="AH9932">
        <v>51.825367910259999</v>
      </c>
      <c r="AI9932">
        <v>91.003268330767995</v>
      </c>
      <c r="AJ9932">
        <v>65.986625989862404</v>
      </c>
      <c r="AK9932">
        <v>56.744524756253597</v>
      </c>
      <c r="AL9932">
        <v>94.222658820431704</v>
      </c>
      <c r="AM9932">
        <v>85.463365979721601</v>
      </c>
      <c r="AN9932">
        <v>0.99999999504376902</v>
      </c>
    </row>
    <row r="9933" spans="1:40" x14ac:dyDescent="0.25">
      <c r="A9933" t="str">
        <f>"20190303154034864"</f>
        <v>20190303154034864</v>
      </c>
      <c r="B9933" t="str">
        <f>"1551598834857530"</f>
        <v>1551598834857530</v>
      </c>
      <c r="C9933" t="s">
        <v>40</v>
      </c>
      <c r="D9933">
        <v>4.709873</v>
      </c>
      <c r="E9933">
        <v>0.63577099999999998</v>
      </c>
      <c r="F9933" t="s">
        <v>43</v>
      </c>
      <c r="G9933">
        <v>-162.36080000000001</v>
      </c>
      <c r="H9933">
        <v>-0.05</v>
      </c>
      <c r="I9933">
        <v>165.56370000000001</v>
      </c>
      <c r="J9933">
        <v>-187.76949999999999</v>
      </c>
      <c r="K9933">
        <v>1.1192249999999999</v>
      </c>
      <c r="L9933">
        <v>116.2628</v>
      </c>
      <c r="M9933">
        <v>5.3152390000000001E-2</v>
      </c>
      <c r="N9933">
        <v>-1.4484520000000001E-2</v>
      </c>
      <c r="O9933">
        <v>0.99848130000000002</v>
      </c>
      <c r="P9933">
        <v>0.13539760000000001</v>
      </c>
      <c r="Q9933">
        <v>-8.8534020000000005E-2</v>
      </c>
      <c r="R9933">
        <v>0.98682789999999998</v>
      </c>
      <c r="S9933">
        <v>1.4589080000000001</v>
      </c>
      <c r="T9933">
        <v>-6.7097899999999905E-2</v>
      </c>
      <c r="U9933">
        <v>2.8411870000000001</v>
      </c>
      <c r="V9933">
        <v>8.239573E-2</v>
      </c>
      <c r="W9933">
        <v>-7.4538599999999997E-2</v>
      </c>
      <c r="X9933">
        <v>0.99380829999999998</v>
      </c>
      <c r="Y9933">
        <v>0.40874120000000003</v>
      </c>
      <c r="Z9933">
        <v>-6.914608E-3</v>
      </c>
      <c r="AA9933">
        <v>0.91262410000000005</v>
      </c>
      <c r="AB9933">
        <v>21</v>
      </c>
      <c r="AC9933">
        <v>25.4086999999999</v>
      </c>
      <c r="AD9933">
        <v>-1.169225</v>
      </c>
      <c r="AE9933">
        <v>49.300899999999999</v>
      </c>
      <c r="AF9933">
        <v>22.7419325341891</v>
      </c>
      <c r="AG9933">
        <v>-1.169225</v>
      </c>
      <c r="AH9933">
        <v>50.559400001121503</v>
      </c>
      <c r="AI9933">
        <v>91.208212655809007</v>
      </c>
      <c r="AJ9933">
        <v>65.781488491450204</v>
      </c>
      <c r="AK9933">
        <v>55.451019025475397</v>
      </c>
      <c r="AL9933">
        <v>94.274711832966503</v>
      </c>
      <c r="AM9933">
        <v>85.260499545927601</v>
      </c>
      <c r="AN9933">
        <v>0.99999999818054097</v>
      </c>
    </row>
    <row r="9934" spans="1:40" x14ac:dyDescent="0.25">
      <c r="A9934" t="str">
        <f>"20190303154034885"</f>
        <v>20190303154034885</v>
      </c>
      <c r="B9934" t="str">
        <f>"1551598834878026"</f>
        <v>1551598834878026</v>
      </c>
      <c r="C9934" t="s">
        <v>40</v>
      </c>
      <c r="D9934">
        <v>4.684393</v>
      </c>
      <c r="E9934">
        <v>0.63564719999999997</v>
      </c>
      <c r="F9934" t="s">
        <v>43</v>
      </c>
      <c r="G9934">
        <v>-163.84139999999999</v>
      </c>
      <c r="H9934">
        <v>-0.05</v>
      </c>
      <c r="I9934">
        <v>162.1482</v>
      </c>
      <c r="J9934">
        <v>-187.75470000000001</v>
      </c>
      <c r="K9934">
        <v>1.1192150000000001</v>
      </c>
      <c r="L9934">
        <v>116.4661</v>
      </c>
      <c r="M9934">
        <v>5.6498090000000001E-2</v>
      </c>
      <c r="N9934">
        <v>-1.448264E-2</v>
      </c>
      <c r="O9934">
        <v>0.99829760000000001</v>
      </c>
      <c r="P9934">
        <v>0.142404</v>
      </c>
      <c r="Q9934">
        <v>-8.790017E-2</v>
      </c>
      <c r="R9934">
        <v>0.98589789999999999</v>
      </c>
      <c r="S9934">
        <v>1.4763029999999999</v>
      </c>
      <c r="T9934">
        <v>-7.2138069999999999E-2</v>
      </c>
      <c r="U9934">
        <v>2.8310089999999999</v>
      </c>
      <c r="V9934">
        <v>8.6115239999999996E-2</v>
      </c>
      <c r="W9934">
        <v>-7.3933180000000001E-2</v>
      </c>
      <c r="X9934">
        <v>0.99353809999999998</v>
      </c>
      <c r="Y9934">
        <v>0.41142220000000002</v>
      </c>
      <c r="Z9934">
        <v>-8.5451759999999998E-3</v>
      </c>
      <c r="AA9934">
        <v>0.91140480000000001</v>
      </c>
      <c r="AB9934">
        <v>21</v>
      </c>
      <c r="AC9934">
        <v>23.9133</v>
      </c>
      <c r="AD9934">
        <v>-1.1692149999999999</v>
      </c>
      <c r="AE9934">
        <v>45.682099999999998</v>
      </c>
      <c r="AF9934">
        <v>21.282929802826001</v>
      </c>
      <c r="AG9934">
        <v>-1.1692149999999999</v>
      </c>
      <c r="AH9934">
        <v>46.9361806733531</v>
      </c>
      <c r="AI9934">
        <v>91.299663980733101</v>
      </c>
      <c r="AJ9934">
        <v>65.6083690317936</v>
      </c>
      <c r="AK9934">
        <v>51.549347434374802</v>
      </c>
      <c r="AL9934">
        <v>94.239928034694898</v>
      </c>
      <c r="AM9934">
        <v>85.046250004291394</v>
      </c>
      <c r="AN9934">
        <v>0.99999995290838795</v>
      </c>
    </row>
    <row r="9935" spans="1:40" x14ac:dyDescent="0.25">
      <c r="A9935" t="str">
        <f>"20190303154034899"</f>
        <v>20190303154034899</v>
      </c>
      <c r="B9935" t="str">
        <f>"1551598834887785"</f>
        <v>1551598834887785</v>
      </c>
      <c r="C9935" t="s">
        <v>40</v>
      </c>
      <c r="D9935">
        <v>4.7271000000000001</v>
      </c>
      <c r="E9935">
        <v>0.63552869999999995</v>
      </c>
      <c r="F9935" t="s">
        <v>43</v>
      </c>
      <c r="G9935">
        <v>-163.79730000000001</v>
      </c>
      <c r="H9935">
        <v>-0.05</v>
      </c>
      <c r="I9935">
        <v>161.64519999999999</v>
      </c>
      <c r="J9935">
        <v>-187.74539999999999</v>
      </c>
      <c r="K9935">
        <v>1.11921</v>
      </c>
      <c r="L9935">
        <v>116.5889</v>
      </c>
      <c r="M9935">
        <v>5.8553149999999998E-2</v>
      </c>
      <c r="N9935">
        <v>-1.448149E-2</v>
      </c>
      <c r="O9935">
        <v>0.99817929999999999</v>
      </c>
      <c r="P9935">
        <v>0.14616270000000001</v>
      </c>
      <c r="Q9935">
        <v>-8.7023089999999997E-2</v>
      </c>
      <c r="R9935">
        <v>0.98542549999999995</v>
      </c>
      <c r="S9935">
        <v>1.4955750000000001</v>
      </c>
      <c r="T9935">
        <v>-7.2989940000000003E-2</v>
      </c>
      <c r="U9935">
        <v>2.8203740000000002</v>
      </c>
      <c r="V9935">
        <v>8.7853630000000002E-2</v>
      </c>
      <c r="W9935">
        <v>-7.3069819999999994E-2</v>
      </c>
      <c r="X9935">
        <v>0.99344980000000005</v>
      </c>
      <c r="Y9935">
        <v>0.41582049999999998</v>
      </c>
      <c r="Z9935">
        <v>-8.8400670000000001E-3</v>
      </c>
      <c r="AA9935">
        <v>0.90940370000000004</v>
      </c>
      <c r="AB9935">
        <v>21</v>
      </c>
      <c r="AC9935">
        <v>23.948099999999901</v>
      </c>
      <c r="AD9935">
        <v>-1.1692100000000001</v>
      </c>
      <c r="AE9935">
        <v>45.056299999999901</v>
      </c>
      <c r="AF9935">
        <v>21.257377082655001</v>
      </c>
      <c r="AG9935">
        <v>-1.1692100000000001</v>
      </c>
      <c r="AH9935">
        <v>46.357023531373997</v>
      </c>
      <c r="AI9935">
        <v>91.313352941878094</v>
      </c>
      <c r="AJ9935">
        <v>65.365805400339596</v>
      </c>
      <c r="AK9935">
        <v>51.011927655663499</v>
      </c>
      <c r="AL9935">
        <v>94.190326858854803</v>
      </c>
      <c r="AM9935">
        <v>84.946315570688498</v>
      </c>
      <c r="AN9935">
        <v>0.999999982009524</v>
      </c>
    </row>
    <row r="9936" spans="1:40" x14ac:dyDescent="0.25">
      <c r="A9936" t="str">
        <f>"20190303154034912"</f>
        <v>20190303154034912</v>
      </c>
      <c r="B9936" t="str">
        <f>"1551598834908283"</f>
        <v>1551598834908283</v>
      </c>
      <c r="C9936" t="s">
        <v>40</v>
      </c>
      <c r="D9936">
        <v>4.7821360000000004</v>
      </c>
      <c r="E9936">
        <v>0.63594689999999998</v>
      </c>
      <c r="F9936" t="s">
        <v>43</v>
      </c>
      <c r="G9936">
        <v>-163.702</v>
      </c>
      <c r="H9936">
        <v>-0.05</v>
      </c>
      <c r="I9936">
        <v>161.536</v>
      </c>
      <c r="J9936">
        <v>-187.7363</v>
      </c>
      <c r="K9936">
        <v>1.11921</v>
      </c>
      <c r="L9936">
        <v>116.70610000000001</v>
      </c>
      <c r="M9936">
        <v>6.052892E-2</v>
      </c>
      <c r="N9936">
        <v>-1.4480379999999999E-2</v>
      </c>
      <c r="O9936">
        <v>0.99806139999999999</v>
      </c>
      <c r="P9936">
        <v>0.1500301</v>
      </c>
      <c r="Q9936">
        <v>-8.6364109999999994E-2</v>
      </c>
      <c r="R9936">
        <v>0.9849021</v>
      </c>
      <c r="S9936">
        <v>1.5056</v>
      </c>
      <c r="T9936">
        <v>-7.3215959999999997E-2</v>
      </c>
      <c r="U9936">
        <v>2.8145899999999999</v>
      </c>
      <c r="V9936">
        <v>8.9781979999999997E-2</v>
      </c>
      <c r="W9936">
        <v>-7.2426130000000005E-2</v>
      </c>
      <c r="X9936">
        <v>0.99332450000000005</v>
      </c>
      <c r="Y9936">
        <v>0.41731400000000002</v>
      </c>
      <c r="Z9936">
        <v>-8.9326100000000005E-3</v>
      </c>
      <c r="AA9936">
        <v>0.90871849999999998</v>
      </c>
      <c r="AB9936">
        <v>21</v>
      </c>
      <c r="AC9936">
        <v>24.034300000000002</v>
      </c>
      <c r="AD9936">
        <v>-1.1692100000000001</v>
      </c>
      <c r="AE9936">
        <v>44.829900000000002</v>
      </c>
      <c r="AF9936">
        <v>21.265196936050899</v>
      </c>
      <c r="AG9936">
        <v>-1.1692100000000001</v>
      </c>
      <c r="AH9936">
        <v>46.178208833486302</v>
      </c>
      <c r="AI9936">
        <v>91.317464568493094</v>
      </c>
      <c r="AJ9936">
        <v>65.273794697503604</v>
      </c>
      <c r="AK9936">
        <v>50.852754338601997</v>
      </c>
      <c r="AL9936">
        <v>94.153348268071895</v>
      </c>
      <c r="AM9936">
        <v>84.835334818888796</v>
      </c>
      <c r="AN9936">
        <v>0.99999995526987195</v>
      </c>
    </row>
    <row r="9937" spans="1:40" x14ac:dyDescent="0.25">
      <c r="A9937" t="str">
        <f>"20190303154034924"</f>
        <v>20190303154034924</v>
      </c>
      <c r="B9937" t="str">
        <f>"1551598834918042"</f>
        <v>1551598834918042</v>
      </c>
      <c r="C9937" t="s">
        <v>40</v>
      </c>
      <c r="D9937">
        <v>4.7107169999999998</v>
      </c>
      <c r="E9937">
        <v>0.63577649999999997</v>
      </c>
      <c r="F9937" t="s">
        <v>66</v>
      </c>
      <c r="G9937">
        <v>-161.19450000000001</v>
      </c>
      <c r="H9937">
        <v>-2.6359560000000001E-2</v>
      </c>
      <c r="I9937">
        <v>165.73859999999999</v>
      </c>
      <c r="J9937">
        <v>-187.72659999999999</v>
      </c>
      <c r="K9937">
        <v>1.1192009999999999</v>
      </c>
      <c r="L9937">
        <v>116.8259</v>
      </c>
      <c r="M9937">
        <v>6.2579469999999998E-2</v>
      </c>
      <c r="N9937">
        <v>-1.447935E-2</v>
      </c>
      <c r="O9937">
        <v>0.99793489999999996</v>
      </c>
      <c r="P9937">
        <v>0.1543088</v>
      </c>
      <c r="Q9937">
        <v>-8.5282040000000003E-2</v>
      </c>
      <c r="R9937">
        <v>0.98433519999999997</v>
      </c>
      <c r="S9937">
        <v>1.52034</v>
      </c>
      <c r="T9937">
        <v>-6.5617679999999998E-2</v>
      </c>
      <c r="U9937">
        <v>2.80864</v>
      </c>
      <c r="V9937">
        <v>9.2051250000000001E-2</v>
      </c>
      <c r="W9937">
        <v>-7.1361629999999995E-2</v>
      </c>
      <c r="X9937">
        <v>0.99319389999999996</v>
      </c>
      <c r="Y9937">
        <v>0.41995680000000002</v>
      </c>
      <c r="Z9937">
        <v>-6.5341389999999996E-3</v>
      </c>
      <c r="AA9937">
        <v>0.90752060000000001</v>
      </c>
      <c r="AB9937">
        <v>21</v>
      </c>
      <c r="AC9937">
        <v>26.5320999999999</v>
      </c>
      <c r="AD9937">
        <v>-1.1455605600000001</v>
      </c>
      <c r="AE9937">
        <v>48.912700000000001</v>
      </c>
      <c r="AF9937">
        <v>23.408912745946498</v>
      </c>
      <c r="AG9937">
        <v>-1.1455605600000001</v>
      </c>
      <c r="AH9937">
        <v>50.455965012610299</v>
      </c>
      <c r="AI9937">
        <v>91.179870831611098</v>
      </c>
      <c r="AJ9937">
        <v>65.111180748253204</v>
      </c>
      <c r="AK9937">
        <v>55.6335681967076</v>
      </c>
      <c r="AL9937">
        <v>94.092198406520495</v>
      </c>
      <c r="AM9937">
        <v>84.704836685343594</v>
      </c>
      <c r="AN9937">
        <v>1.00000001893001</v>
      </c>
    </row>
    <row r="9938" spans="1:40" x14ac:dyDescent="0.25">
      <c r="A9938" t="str">
        <f>"20190303154034941"</f>
        <v>20190303154034941</v>
      </c>
      <c r="B9938" t="str">
        <f>"1551598834937562"</f>
        <v>1551598834937562</v>
      </c>
      <c r="C9938" t="s">
        <v>40</v>
      </c>
      <c r="D9938">
        <v>4.7253809999999996</v>
      </c>
      <c r="E9938">
        <v>0.63536519999999996</v>
      </c>
      <c r="F9938" t="s">
        <v>66</v>
      </c>
      <c r="G9938">
        <v>-161.06440000000001</v>
      </c>
      <c r="H9938">
        <v>-2.9951100000000001E-2</v>
      </c>
      <c r="I9938">
        <v>165.6086</v>
      </c>
      <c r="J9938">
        <v>-187.714</v>
      </c>
      <c r="K9938">
        <v>1.119186</v>
      </c>
      <c r="L9938">
        <v>116.9777</v>
      </c>
      <c r="M9938">
        <v>6.5214969999999997E-2</v>
      </c>
      <c r="N9938">
        <v>-1.447824E-2</v>
      </c>
      <c r="O9938">
        <v>0.99776620000000005</v>
      </c>
      <c r="P9938">
        <v>0.16161510000000001</v>
      </c>
      <c r="Q9938">
        <v>-8.3252469999999995E-2</v>
      </c>
      <c r="R9938">
        <v>0.98333590000000004</v>
      </c>
      <c r="S9938">
        <v>1.5314030000000001</v>
      </c>
      <c r="T9938">
        <v>-6.6002130000000006E-2</v>
      </c>
      <c r="U9938">
        <v>2.8019409999999998</v>
      </c>
      <c r="V9938">
        <v>9.6792489999999995E-2</v>
      </c>
      <c r="W9938">
        <v>-6.9366460000000005E-2</v>
      </c>
      <c r="X9938">
        <v>0.99288449999999995</v>
      </c>
      <c r="Y9938">
        <v>0.42122959999999898</v>
      </c>
      <c r="Z9938">
        <v>-6.6819330000000001E-3</v>
      </c>
      <c r="AA9938">
        <v>0.9069294</v>
      </c>
      <c r="AB9938">
        <v>21</v>
      </c>
      <c r="AC9938">
        <v>26.6496</v>
      </c>
      <c r="AD9938">
        <v>-1.1491370999999999</v>
      </c>
      <c r="AE9938">
        <v>48.630899999999997</v>
      </c>
      <c r="AF9938">
        <v>23.411009312067002</v>
      </c>
      <c r="AG9938">
        <v>-1.1491370999999999</v>
      </c>
      <c r="AH9938">
        <v>50.2439143178349</v>
      </c>
      <c r="AI9938">
        <v>91.187639051598595</v>
      </c>
      <c r="AJ9938">
        <v>65.016968129937496</v>
      </c>
      <c r="AK9938">
        <v>55.442283494298998</v>
      </c>
      <c r="AL9938">
        <v>93.977599353647705</v>
      </c>
      <c r="AM9938">
        <v>84.432048842646694</v>
      </c>
      <c r="AN9938">
        <v>1.0000000611167801</v>
      </c>
    </row>
    <row r="9939" spans="1:40" x14ac:dyDescent="0.25">
      <c r="A9939" t="str">
        <f>"20190303154034954"</f>
        <v>20190303154034954</v>
      </c>
      <c r="B9939" t="str">
        <f>"1551598834948297"</f>
        <v>1551598834948297</v>
      </c>
      <c r="C9939" t="s">
        <v>40</v>
      </c>
      <c r="D9939">
        <v>4.7063430000000004</v>
      </c>
      <c r="E9939">
        <v>0.6351985</v>
      </c>
      <c r="F9939" t="s">
        <v>66</v>
      </c>
      <c r="G9939">
        <v>-160.8409</v>
      </c>
      <c r="H9939">
        <v>-5.1994320000000004E-3</v>
      </c>
      <c r="I9939">
        <v>165.3853</v>
      </c>
      <c r="J9939">
        <v>-187.7038</v>
      </c>
      <c r="K9939">
        <v>1.119167</v>
      </c>
      <c r="L9939">
        <v>117.09699999999999</v>
      </c>
      <c r="M9939">
        <v>6.7316580000000001E-2</v>
      </c>
      <c r="N9939">
        <v>-1.447755E-2</v>
      </c>
      <c r="O9939">
        <v>0.99762660000000003</v>
      </c>
      <c r="P9939">
        <v>0.16624079999999999</v>
      </c>
      <c r="Q9939">
        <v>-8.2463629999999996E-2</v>
      </c>
      <c r="R9939">
        <v>0.98263100000000003</v>
      </c>
      <c r="S9939">
        <v>1.54924</v>
      </c>
      <c r="T9939">
        <v>-6.4819219999999997E-2</v>
      </c>
      <c r="U9939">
        <v>2.7907099999999998</v>
      </c>
      <c r="V9939">
        <v>9.936586E-2</v>
      </c>
      <c r="W9939">
        <v>-6.8599399999999894E-2</v>
      </c>
      <c r="X9939">
        <v>0.99268350000000005</v>
      </c>
      <c r="Y9939">
        <v>0.4252938</v>
      </c>
      <c r="Z9939">
        <v>-6.3365359999999898E-3</v>
      </c>
      <c r="AA9939">
        <v>0.90503319999999998</v>
      </c>
      <c r="AB9939">
        <v>21</v>
      </c>
      <c r="AC9939">
        <v>26.8629</v>
      </c>
      <c r="AD9939">
        <v>-1.124366432</v>
      </c>
      <c r="AE9939">
        <v>48.2882999999999</v>
      </c>
      <c r="AF9939">
        <v>23.5412623157181</v>
      </c>
      <c r="AG9939">
        <v>-1.124366432</v>
      </c>
      <c r="AH9939">
        <v>49.966563335223199</v>
      </c>
      <c r="AI9939">
        <v>91.166165549763505</v>
      </c>
      <c r="AJ9939">
        <v>64.772985045876098</v>
      </c>
      <c r="AK9939">
        <v>55.245929106348903</v>
      </c>
      <c r="AL9939">
        <v>93.933545384673195</v>
      </c>
      <c r="AM9939">
        <v>84.283834550993006</v>
      </c>
      <c r="AN9939">
        <v>0.99999999149307395</v>
      </c>
    </row>
    <row r="9940" spans="1:40" x14ac:dyDescent="0.25">
      <c r="A9940" t="str">
        <f>"20190303154034966"</f>
        <v>20190303154034966</v>
      </c>
      <c r="B9940" t="str">
        <f>"1551598834958058"</f>
        <v>1551598834958058</v>
      </c>
      <c r="C9940" t="s">
        <v>40</v>
      </c>
      <c r="D9940">
        <v>4.7520989999999896</v>
      </c>
      <c r="E9940">
        <v>0.63498520000000003</v>
      </c>
      <c r="F9940" t="s">
        <v>66</v>
      </c>
      <c r="G9940">
        <v>-160.70099999999999</v>
      </c>
      <c r="H9940">
        <v>1.0799410000000001E-2</v>
      </c>
      <c r="I9940">
        <v>165.2456</v>
      </c>
      <c r="J9940">
        <v>-187.69329999999999</v>
      </c>
      <c r="K9940">
        <v>1.119146</v>
      </c>
      <c r="L9940">
        <v>117.2167</v>
      </c>
      <c r="M9940">
        <v>6.9453899999999999E-2</v>
      </c>
      <c r="N9940">
        <v>-1.447706E-2</v>
      </c>
      <c r="O9940">
        <v>0.99748009999999998</v>
      </c>
      <c r="P9940">
        <v>0.17101240000000001</v>
      </c>
      <c r="Q9940">
        <v>-8.1638219999999997E-2</v>
      </c>
      <c r="R9940">
        <v>0.9818808</v>
      </c>
      <c r="S9940">
        <v>1.5610809999999999</v>
      </c>
      <c r="T9940">
        <v>-6.4074870000000006E-2</v>
      </c>
      <c r="U9940">
        <v>2.7835540000000001</v>
      </c>
      <c r="V9940">
        <v>0.102053</v>
      </c>
      <c r="W9940">
        <v>-6.7797709999999997E-2</v>
      </c>
      <c r="X9940">
        <v>0.99246599999999996</v>
      </c>
      <c r="Y9940">
        <v>0.42727540000000003</v>
      </c>
      <c r="Z9940">
        <v>-6.1224340000000004E-3</v>
      </c>
      <c r="AA9940">
        <v>0.90410080000000004</v>
      </c>
      <c r="AB9940">
        <v>20</v>
      </c>
      <c r="AC9940">
        <v>26.9923</v>
      </c>
      <c r="AD9940">
        <v>-1.10834659</v>
      </c>
      <c r="AE9940">
        <v>48.028899999999901</v>
      </c>
      <c r="AF9940">
        <v>23.581416645464099</v>
      </c>
      <c r="AG9940">
        <v>-1.10834659</v>
      </c>
      <c r="AH9940">
        <v>49.767669322843602</v>
      </c>
      <c r="AI9940">
        <v>91.152949424148602</v>
      </c>
      <c r="AJ9940">
        <v>64.6470003198407</v>
      </c>
      <c r="AK9940">
        <v>55.082960641185998</v>
      </c>
      <c r="AL9940">
        <v>93.8875044978506</v>
      </c>
      <c r="AM9940">
        <v>84.129040792642698</v>
      </c>
      <c r="AN9940">
        <v>1.0000000527231201</v>
      </c>
    </row>
    <row r="9941" spans="1:40" x14ac:dyDescent="0.25">
      <c r="A9941" t="str">
        <f>"20190303154034979"</f>
        <v>20190303154034979</v>
      </c>
      <c r="B9941" t="str">
        <f>"1551598834967818"</f>
        <v>1551598834967818</v>
      </c>
      <c r="C9941" t="s">
        <v>40</v>
      </c>
      <c r="D9941">
        <v>4.7121620000000002</v>
      </c>
      <c r="E9941">
        <v>0.63488029999999995</v>
      </c>
      <c r="F9941" t="s">
        <v>66</v>
      </c>
      <c r="G9941">
        <v>-160.55959999999999</v>
      </c>
      <c r="H9941">
        <v>2.9432300000000002E-2</v>
      </c>
      <c r="I9941">
        <v>165.1044</v>
      </c>
      <c r="J9941">
        <v>-187.68360000000001</v>
      </c>
      <c r="K9941">
        <v>1.119116</v>
      </c>
      <c r="L9941">
        <v>117.324</v>
      </c>
      <c r="M9941">
        <v>7.1411009999999997E-2</v>
      </c>
      <c r="N9941">
        <v>-1.447704E-2</v>
      </c>
      <c r="O9941">
        <v>0.9973419</v>
      </c>
      <c r="P9941">
        <v>0.175322799999999</v>
      </c>
      <c r="Q9941">
        <v>-8.085639E-2</v>
      </c>
      <c r="R9941">
        <v>0.98118510000000003</v>
      </c>
      <c r="S9941">
        <v>1.572983</v>
      </c>
      <c r="T9941">
        <v>-6.317043E-2</v>
      </c>
      <c r="U9941">
        <v>2.7761230000000001</v>
      </c>
      <c r="V9941">
        <v>0.1044558</v>
      </c>
      <c r="W9941">
        <v>-6.7038249999999994E-2</v>
      </c>
      <c r="X9941">
        <v>0.99226749999999997</v>
      </c>
      <c r="Y9941">
        <v>0.42947249999999998</v>
      </c>
      <c r="Z9941">
        <v>-5.856839E-3</v>
      </c>
      <c r="AA9941">
        <v>0.903061</v>
      </c>
      <c r="AB9941">
        <v>20</v>
      </c>
      <c r="AC9941">
        <v>27.123999999999999</v>
      </c>
      <c r="AD9941">
        <v>-1.0896836999999999</v>
      </c>
      <c r="AE9941">
        <v>47.7804</v>
      </c>
      <c r="AF9941">
        <v>23.6330367839196</v>
      </c>
      <c r="AG9941">
        <v>-1.0896836999999999</v>
      </c>
      <c r="AH9941">
        <v>49.576044133060101</v>
      </c>
      <c r="AI9941">
        <v>91.136654593208505</v>
      </c>
      <c r="AJ9941">
        <v>64.512733716714905</v>
      </c>
      <c r="AK9941">
        <v>54.931702959941703</v>
      </c>
      <c r="AL9941">
        <v>93.8438917513257</v>
      </c>
      <c r="AM9941">
        <v>83.990617721352606</v>
      </c>
      <c r="AN9941">
        <v>0.99999996633647503</v>
      </c>
    </row>
    <row r="9942" spans="1:40" x14ac:dyDescent="0.25">
      <c r="A9942" t="str">
        <f>"20190303154034992"</f>
        <v>20190303154034992</v>
      </c>
      <c r="B9942" t="str">
        <f>"1551598834988314"</f>
        <v>1551598834988314</v>
      </c>
      <c r="C9942" t="s">
        <v>40</v>
      </c>
      <c r="D9942">
        <v>4.7379490000000004</v>
      </c>
      <c r="E9942">
        <v>0.63459560000000004</v>
      </c>
      <c r="F9942" t="s">
        <v>66</v>
      </c>
      <c r="G9942">
        <v>-160.42619999999999</v>
      </c>
      <c r="H9942">
        <v>6.6963200000000001E-2</v>
      </c>
      <c r="I9942">
        <v>164.97110000000001</v>
      </c>
      <c r="J9942">
        <v>-187.6722</v>
      </c>
      <c r="K9942">
        <v>1.119083</v>
      </c>
      <c r="L9942">
        <v>117.4466</v>
      </c>
      <c r="M9942">
        <v>7.3675840000000006E-2</v>
      </c>
      <c r="N9942">
        <v>-1.4477189999999999E-2</v>
      </c>
      <c r="O9942">
        <v>0.99717719999999999</v>
      </c>
      <c r="P9942">
        <v>0.1797059</v>
      </c>
      <c r="Q9942">
        <v>-8.0453529999999995E-2</v>
      </c>
      <c r="R9942">
        <v>0.98042490000000004</v>
      </c>
      <c r="S9942">
        <v>1.58429</v>
      </c>
      <c r="T9942">
        <v>-6.1152819999999997E-2</v>
      </c>
      <c r="U9942">
        <v>2.769409</v>
      </c>
      <c r="V9942">
        <v>0.10662770000000001</v>
      </c>
      <c r="W9942">
        <v>-6.6658839999999997E-2</v>
      </c>
      <c r="X9942">
        <v>0.992062</v>
      </c>
      <c r="Y9942">
        <v>0.43114520000000001</v>
      </c>
      <c r="Z9942">
        <v>-5.2363280000000002E-3</v>
      </c>
      <c r="AA9942">
        <v>0.90226740000000005</v>
      </c>
      <c r="AB9942">
        <v>20</v>
      </c>
      <c r="AC9942">
        <v>27.245999999999999</v>
      </c>
      <c r="AD9942">
        <v>-1.0521198</v>
      </c>
      <c r="AE9942">
        <v>47.524500000000003</v>
      </c>
      <c r="AF9942">
        <v>23.661434102372102</v>
      </c>
      <c r="AG9942">
        <v>-1.0521198</v>
      </c>
      <c r="AH9942">
        <v>49.3846784407352</v>
      </c>
      <c r="AI9942">
        <v>91.100695438859603</v>
      </c>
      <c r="AJ9942">
        <v>64.399753982376794</v>
      </c>
      <c r="AK9942">
        <v>54.770584117291101</v>
      </c>
      <c r="AL9942">
        <v>93.822104525763606</v>
      </c>
      <c r="AM9942">
        <v>83.865349457973494</v>
      </c>
      <c r="AN9942">
        <v>0.99999993960071598</v>
      </c>
    </row>
    <row r="9943" spans="1:40" x14ac:dyDescent="0.25">
      <c r="A9943" t="str">
        <f>"20190303154035006"</f>
        <v>20190303154035006</v>
      </c>
      <c r="B9943" t="str">
        <f>"1551598834998074"</f>
        <v>1551598834998074</v>
      </c>
      <c r="C9943" t="s">
        <v>40</v>
      </c>
      <c r="D9943">
        <v>4.7253239999999996</v>
      </c>
      <c r="E9943">
        <v>0.63439630000000002</v>
      </c>
      <c r="F9943" t="s">
        <v>66</v>
      </c>
      <c r="G9943">
        <v>-160.3108</v>
      </c>
      <c r="H9943">
        <v>6.8021769999999995E-2</v>
      </c>
      <c r="I9943">
        <v>164.85579999999999</v>
      </c>
      <c r="J9943">
        <v>-187.6592</v>
      </c>
      <c r="K9943">
        <v>1.1190329999999999</v>
      </c>
      <c r="L9943">
        <v>117.58240000000001</v>
      </c>
      <c r="M9943">
        <v>7.6242279999999996E-2</v>
      </c>
      <c r="N9943">
        <v>-1.447792E-2</v>
      </c>
      <c r="O9943">
        <v>0.99698419999999999</v>
      </c>
      <c r="P9943">
        <v>0.1857608</v>
      </c>
      <c r="Q9943">
        <v>-8.0742439999999999E-2</v>
      </c>
      <c r="R9943">
        <v>0.97927189999999997</v>
      </c>
      <c r="S9943">
        <v>1.594406</v>
      </c>
      <c r="T9943">
        <v>-6.1245679999999997E-2</v>
      </c>
      <c r="U9943">
        <v>2.7626339999999998</v>
      </c>
      <c r="V9943">
        <v>0.1101922</v>
      </c>
      <c r="W9943">
        <v>-6.6984929999999998E-2</v>
      </c>
      <c r="X9943">
        <v>0.99165049999999999</v>
      </c>
      <c r="Y9943">
        <v>0.43225740000000001</v>
      </c>
      <c r="Z9943">
        <v>-5.2905460000000001E-3</v>
      </c>
      <c r="AA9943">
        <v>0.9017347</v>
      </c>
      <c r="AB9943">
        <v>20</v>
      </c>
      <c r="AC9943">
        <v>27.348400000000002</v>
      </c>
      <c r="AD9943">
        <v>-1.0510112300000001</v>
      </c>
      <c r="AE9943">
        <v>47.273399999999903</v>
      </c>
      <c r="AF9943">
        <v>23.655410655564602</v>
      </c>
      <c r="AG9943">
        <v>-1.0510112300000001</v>
      </c>
      <c r="AH9943">
        <v>49.2028744514854</v>
      </c>
      <c r="AI9943">
        <v>91.102888699463094</v>
      </c>
      <c r="AJ9943">
        <v>64.323011648710306</v>
      </c>
      <c r="AK9943">
        <v>54.604083475300897</v>
      </c>
      <c r="AL9943">
        <v>93.840829697581299</v>
      </c>
      <c r="AM9943">
        <v>83.659305372869198</v>
      </c>
      <c r="AN9943">
        <v>1.0000000079690901</v>
      </c>
    </row>
    <row r="9944" spans="1:40" x14ac:dyDescent="0.25">
      <c r="A9944" t="str">
        <f>"20190303154035022"</f>
        <v>20190303154035022</v>
      </c>
      <c r="B9944" t="str">
        <f>"1551598835017595"</f>
        <v>1551598835017595</v>
      </c>
      <c r="C9944" t="s">
        <v>40</v>
      </c>
      <c r="D9944">
        <v>4.7367679999999996</v>
      </c>
      <c r="E9944">
        <v>0.63443579999999999</v>
      </c>
      <c r="F9944" t="s">
        <v>66</v>
      </c>
      <c r="G9944">
        <v>-160.12950000000001</v>
      </c>
      <c r="H9944">
        <v>6.9034579999999998E-2</v>
      </c>
      <c r="I9944">
        <v>164.6747</v>
      </c>
      <c r="J9944">
        <v>-187.6464</v>
      </c>
      <c r="K9944">
        <v>1.118981</v>
      </c>
      <c r="L9944">
        <v>117.71210000000001</v>
      </c>
      <c r="M9944">
        <v>7.8769339999999993E-2</v>
      </c>
      <c r="N9944">
        <v>-1.447943E-2</v>
      </c>
      <c r="O9944">
        <v>0.99678770000000005</v>
      </c>
      <c r="P9944">
        <v>0.18964130000000001</v>
      </c>
      <c r="Q9944">
        <v>-8.1111260000000004E-2</v>
      </c>
      <c r="R9944">
        <v>0.97849739999999996</v>
      </c>
      <c r="S9944">
        <v>1.609451</v>
      </c>
      <c r="T9944">
        <v>-6.1383489999999999E-2</v>
      </c>
      <c r="U9944">
        <v>2.7531279999999998</v>
      </c>
      <c r="V9944">
        <v>0.1115994</v>
      </c>
      <c r="W9944">
        <v>-6.7377220000000002E-2</v>
      </c>
      <c r="X9944">
        <v>0.99146650000000003</v>
      </c>
      <c r="Y9944">
        <v>0.43499680000000002</v>
      </c>
      <c r="Z9944">
        <v>-5.3596340000000003E-3</v>
      </c>
      <c r="AA9944">
        <v>0.90041599999999999</v>
      </c>
      <c r="AB9944">
        <v>20</v>
      </c>
      <c r="AC9944">
        <v>27.5169</v>
      </c>
      <c r="AD9944">
        <v>-1.0499464199999999</v>
      </c>
      <c r="AE9944">
        <v>46.962600000000002</v>
      </c>
      <c r="AF9944">
        <v>23.722955384938</v>
      </c>
      <c r="AG9944">
        <v>-1.0499464199999999</v>
      </c>
      <c r="AH9944">
        <v>48.9661457250483</v>
      </c>
      <c r="AI9944">
        <v>91.105493322720207</v>
      </c>
      <c r="AJ9944">
        <v>64.150894214439603</v>
      </c>
      <c r="AK9944">
        <v>54.420257504419197</v>
      </c>
      <c r="AL9944">
        <v>93.863357306655203</v>
      </c>
      <c r="AM9944">
        <v>83.5778224620705</v>
      </c>
      <c r="AN9944">
        <v>0.99999996823876802</v>
      </c>
    </row>
    <row r="9945" spans="1:40" x14ac:dyDescent="0.25">
      <c r="A9945" t="str">
        <f>"20190303154035037"</f>
        <v>20190303154035037</v>
      </c>
      <c r="B9945" t="str">
        <f>"1551598835027354"</f>
        <v>1551598835027354</v>
      </c>
      <c r="C9945" t="s">
        <v>40</v>
      </c>
      <c r="D9945">
        <v>4.9239730000000002</v>
      </c>
      <c r="E9945">
        <v>0.63434889999999999</v>
      </c>
      <c r="F9945" t="s">
        <v>66</v>
      </c>
      <c r="G9945">
        <v>-160.00899999999999</v>
      </c>
      <c r="H9945">
        <v>8.7894440000000004E-2</v>
      </c>
      <c r="I9945">
        <v>164.55430000000001</v>
      </c>
      <c r="J9945">
        <v>-187.63220000000001</v>
      </c>
      <c r="K9945">
        <v>1.1189169999999999</v>
      </c>
      <c r="L9945">
        <v>117.8507</v>
      </c>
      <c r="M9945">
        <v>8.1537490000000004E-2</v>
      </c>
      <c r="N9945">
        <v>-1.448174E-2</v>
      </c>
      <c r="O9945">
        <v>0.99656500000000003</v>
      </c>
      <c r="P9945">
        <v>0.1937874</v>
      </c>
      <c r="Q9945">
        <v>-8.1057379999999998E-2</v>
      </c>
      <c r="R9945">
        <v>0.97768920000000004</v>
      </c>
      <c r="S9945">
        <v>1.6206510000000001</v>
      </c>
      <c r="T9945">
        <v>-6.0460930000000003E-2</v>
      </c>
      <c r="U9945">
        <v>2.746826</v>
      </c>
      <c r="V9945">
        <v>0.11303589999999999</v>
      </c>
      <c r="W9945">
        <v>-6.7349370000000006E-2</v>
      </c>
      <c r="X9945">
        <v>0.99130560000000001</v>
      </c>
      <c r="Y9945">
        <v>0.43612479999999998</v>
      </c>
      <c r="Z9945">
        <v>-5.0844260000000004E-3</v>
      </c>
      <c r="AA9945">
        <v>0.8998718</v>
      </c>
      <c r="AB9945">
        <v>20</v>
      </c>
      <c r="AC9945">
        <v>27.623200000000001</v>
      </c>
      <c r="AD9945">
        <v>-1.03102256</v>
      </c>
      <c r="AE9945">
        <v>46.703600000000002</v>
      </c>
      <c r="AF9945">
        <v>23.7141472595859</v>
      </c>
      <c r="AG9945">
        <v>-1.03102256</v>
      </c>
      <c r="AH9945">
        <v>48.7830071513932</v>
      </c>
      <c r="AI9945">
        <v>91.088946762468595</v>
      </c>
      <c r="AJ9945">
        <v>64.074922313220597</v>
      </c>
      <c r="AK9945">
        <v>54.251318642973402</v>
      </c>
      <c r="AL9945">
        <v>93.861758163365707</v>
      </c>
      <c r="AM9945">
        <v>83.494813889709306</v>
      </c>
      <c r="AN9945">
        <v>0.99999992245977998</v>
      </c>
    </row>
    <row r="9946" spans="1:40" x14ac:dyDescent="0.25">
      <c r="A9946" t="str">
        <f>"20190303154035053"</f>
        <v>20190303154035053</v>
      </c>
      <c r="B9946" t="str">
        <f>"1551598835047850"</f>
        <v>1551598835047850</v>
      </c>
      <c r="C9946" t="s">
        <v>40</v>
      </c>
      <c r="D9946">
        <v>4.9036410000000004</v>
      </c>
      <c r="E9946">
        <v>0.63459160000000003</v>
      </c>
      <c r="F9946" t="s">
        <v>66</v>
      </c>
      <c r="G9946">
        <v>-159.8886</v>
      </c>
      <c r="H9946">
        <v>4.423523E-2</v>
      </c>
      <c r="I9946">
        <v>164.434</v>
      </c>
      <c r="J9946">
        <v>-187.61680000000001</v>
      </c>
      <c r="K9946">
        <v>1.1188389999999999</v>
      </c>
      <c r="L9946">
        <v>117.9975</v>
      </c>
      <c r="M9946">
        <v>8.456429E-2</v>
      </c>
      <c r="N9946">
        <v>-1.4485140000000001E-2</v>
      </c>
      <c r="O9946">
        <v>0.99631270000000005</v>
      </c>
      <c r="P9946">
        <v>0.199103</v>
      </c>
      <c r="Q9946">
        <v>-7.9696340000000004E-2</v>
      </c>
      <c r="R9946">
        <v>0.97673259999999995</v>
      </c>
      <c r="S9946">
        <v>1.631729</v>
      </c>
      <c r="T9946">
        <v>-6.3204880000000005E-2</v>
      </c>
      <c r="U9946">
        <v>2.7397770000000001</v>
      </c>
      <c r="V9946">
        <v>0.1153998</v>
      </c>
      <c r="W9946">
        <v>-6.6023219999999994E-2</v>
      </c>
      <c r="X9946">
        <v>0.99112250000000002</v>
      </c>
      <c r="Y9946">
        <v>0.43708900000000001</v>
      </c>
      <c r="Z9946">
        <v>-5.9811430000000004E-3</v>
      </c>
      <c r="AA9946">
        <v>0.89939840000000004</v>
      </c>
      <c r="AB9946">
        <v>20</v>
      </c>
      <c r="AC9946">
        <v>27.728200000000001</v>
      </c>
      <c r="AD9946">
        <v>-1.07460377</v>
      </c>
      <c r="AE9946">
        <v>46.436500000000002</v>
      </c>
      <c r="AF9946">
        <v>23.692222675545501</v>
      </c>
      <c r="AG9946">
        <v>-1.07460377</v>
      </c>
      <c r="AH9946">
        <v>48.596008195501398</v>
      </c>
      <c r="AI9946">
        <v>91.138694749582797</v>
      </c>
      <c r="AJ9946">
        <v>64.009176811074994</v>
      </c>
      <c r="AK9946">
        <v>54.074469032135497</v>
      </c>
      <c r="AL9946">
        <v>93.785605564133306</v>
      </c>
      <c r="AM9946">
        <v>83.358758891625897</v>
      </c>
      <c r="AN9946">
        <v>0.99999999471272905</v>
      </c>
    </row>
    <row r="9947" spans="1:40" x14ac:dyDescent="0.25">
      <c r="A9947" t="str">
        <f>"20190303154035075"</f>
        <v>20190303154035075</v>
      </c>
      <c r="B9947" t="str">
        <f>"1551598835068346"</f>
        <v>1551598835068346</v>
      </c>
      <c r="C9947" t="s">
        <v>40</v>
      </c>
      <c r="D9947">
        <v>4.9370919999999998</v>
      </c>
      <c r="E9947">
        <v>0.65703869999999998</v>
      </c>
      <c r="F9947" t="s">
        <v>66</v>
      </c>
      <c r="G9947">
        <v>-159.69710000000001</v>
      </c>
      <c r="H9947">
        <v>7.7381130000000006E-2</v>
      </c>
      <c r="I9947">
        <v>164.24279999999999</v>
      </c>
      <c r="J9947">
        <v>-187.59479999999999</v>
      </c>
      <c r="K9947">
        <v>1.118722</v>
      </c>
      <c r="L9947">
        <v>118.1964</v>
      </c>
      <c r="M9947">
        <v>8.885477E-2</v>
      </c>
      <c r="N9947">
        <v>-1.4491860000000001E-2</v>
      </c>
      <c r="O9947">
        <v>0.99593909999999997</v>
      </c>
      <c r="P9947">
        <v>0.2065476</v>
      </c>
      <c r="Q9947">
        <v>-7.8428189999999995E-2</v>
      </c>
      <c r="R9947">
        <v>0.97528820000000005</v>
      </c>
      <c r="S9947">
        <v>1.6484380000000001</v>
      </c>
      <c r="T9947">
        <v>-6.148791E-2</v>
      </c>
      <c r="U9947">
        <v>2.730423</v>
      </c>
      <c r="V9947">
        <v>0.11866599999999999</v>
      </c>
      <c r="W9947">
        <v>-6.4807130000000004E-2</v>
      </c>
      <c r="X9947">
        <v>0.99081710000000001</v>
      </c>
      <c r="Y9947">
        <v>0.43861509999999998</v>
      </c>
      <c r="Z9947">
        <v>-5.4585399999999996E-3</v>
      </c>
      <c r="AA9947">
        <v>0.89865849999999903</v>
      </c>
      <c r="AB9947">
        <v>20</v>
      </c>
      <c r="AC9947">
        <v>27.897699999999901</v>
      </c>
      <c r="AD9947">
        <v>-1.04134087</v>
      </c>
      <c r="AE9947">
        <v>46.046399999999899</v>
      </c>
      <c r="AF9947">
        <v>23.686596247624099</v>
      </c>
      <c r="AG9947">
        <v>-1.04134087</v>
      </c>
      <c r="AH9947">
        <v>48.3252543841148</v>
      </c>
      <c r="AI9947">
        <v>91.108493643133897</v>
      </c>
      <c r="AJ9947">
        <v>63.888242010898502</v>
      </c>
      <c r="AK9947">
        <v>53.828147319918997</v>
      </c>
      <c r="AL9947">
        <v>93.7157789530565</v>
      </c>
      <c r="AM9947">
        <v>83.170455289548798</v>
      </c>
      <c r="AN9947">
        <v>1.0000000546536201</v>
      </c>
    </row>
    <row r="9948" spans="1:40" x14ac:dyDescent="0.25">
      <c r="A9948" t="str">
        <f>"20190303154035086"</f>
        <v>20190303154035086</v>
      </c>
      <c r="B9948" t="str">
        <f>"1551598835078106"</f>
        <v>1551598835078106</v>
      </c>
      <c r="C9948" t="s">
        <v>40</v>
      </c>
      <c r="D9948">
        <v>4.9043400000000004</v>
      </c>
      <c r="E9948">
        <v>0.65682119999999999</v>
      </c>
      <c r="F9948" t="s">
        <v>68</v>
      </c>
      <c r="G9948">
        <v>-177.1317</v>
      </c>
      <c r="H9948" s="1">
        <v>-4.9156009999999901E-6</v>
      </c>
      <c r="I9948">
        <v>133.3356</v>
      </c>
      <c r="J9948">
        <v>-187.58179999999999</v>
      </c>
      <c r="K9948">
        <v>1.1186480000000001</v>
      </c>
      <c r="L9948">
        <v>118.3109</v>
      </c>
      <c r="M9948">
        <v>9.1408489999999995E-2</v>
      </c>
      <c r="N9948">
        <v>-1.4496510000000001E-2</v>
      </c>
      <c r="O9948">
        <v>0.99570800000000004</v>
      </c>
      <c r="P9948">
        <v>0.21049889999999999</v>
      </c>
      <c r="Q9948">
        <v>-7.8482109999999994E-2</v>
      </c>
      <c r="R9948">
        <v>0.97443869999999999</v>
      </c>
      <c r="S9948">
        <v>1.8449249999999999</v>
      </c>
      <c r="T9948">
        <v>-0.19725999999999999</v>
      </c>
      <c r="U9948">
        <v>2.6694339999999999</v>
      </c>
      <c r="V9948">
        <v>0.1201277</v>
      </c>
      <c r="W9948">
        <v>-6.4889950000000002E-2</v>
      </c>
      <c r="X9948">
        <v>0.9906355</v>
      </c>
      <c r="Y9948">
        <v>0.49008269999999998</v>
      </c>
      <c r="Z9948">
        <v>-4.7811880000000001E-2</v>
      </c>
      <c r="AA9948">
        <v>0.87036369999999896</v>
      </c>
      <c r="AB9948">
        <v>20</v>
      </c>
      <c r="AC9948">
        <v>10.4500999999999</v>
      </c>
      <c r="AD9948">
        <v>-1.1186529156010001</v>
      </c>
      <c r="AE9948">
        <v>15.0246999999999</v>
      </c>
      <c r="AF9948">
        <v>8.9991901720160499</v>
      </c>
      <c r="AG9948">
        <v>-1.1186529156010001</v>
      </c>
      <c r="AH9948">
        <v>15.8578675714216</v>
      </c>
      <c r="AI9948">
        <v>93.510799135969407</v>
      </c>
      <c r="AJ9948">
        <v>60.4254985546523</v>
      </c>
      <c r="AK9948">
        <v>18.267697501613</v>
      </c>
      <c r="AL9948">
        <v>93.720534283301205</v>
      </c>
      <c r="AM9948">
        <v>83.085884729279897</v>
      </c>
      <c r="AN9948">
        <v>1.0000000318892699</v>
      </c>
    </row>
    <row r="9949" spans="1:40" x14ac:dyDescent="0.25">
      <c r="A9949" t="str">
        <f>"20190303154035099"</f>
        <v>20190303154035099</v>
      </c>
      <c r="B9949" t="str">
        <f>"1551598835087866"</f>
        <v>1551598835087866</v>
      </c>
      <c r="C9949" t="s">
        <v>40</v>
      </c>
      <c r="D9949">
        <v>4.8869199999999999</v>
      </c>
      <c r="E9949">
        <v>0.65703049999999996</v>
      </c>
      <c r="F9949" t="s">
        <v>68</v>
      </c>
      <c r="G9949">
        <v>-176.99090000000001</v>
      </c>
      <c r="H9949" s="1">
        <v>-4.889212E-6</v>
      </c>
      <c r="I9949">
        <v>133.51920000000001</v>
      </c>
      <c r="J9949">
        <v>-187.56950000000001</v>
      </c>
      <c r="K9949">
        <v>1.1185769999999999</v>
      </c>
      <c r="L9949">
        <v>118.41419999999999</v>
      </c>
      <c r="M9949">
        <v>9.3801519999999999E-2</v>
      </c>
      <c r="N9949">
        <v>-1.450166E-2</v>
      </c>
      <c r="O9949">
        <v>0.99548530000000002</v>
      </c>
      <c r="P9949">
        <v>0.21428800000000001</v>
      </c>
      <c r="Q9949">
        <v>-7.9216549999999997E-2</v>
      </c>
      <c r="R9949">
        <v>0.97355290000000005</v>
      </c>
      <c r="S9949">
        <v>1.85408</v>
      </c>
      <c r="T9949">
        <v>-0.19583539999999999</v>
      </c>
      <c r="U9949">
        <v>2.6624150000000002</v>
      </c>
      <c r="V9949">
        <v>0.12158860000000001</v>
      </c>
      <c r="W9949">
        <v>-6.5652360000000007E-2</v>
      </c>
      <c r="X9949">
        <v>0.99040700000000004</v>
      </c>
      <c r="Y9949">
        <v>0.491091</v>
      </c>
      <c r="Z9949">
        <v>-4.7412629999999997E-2</v>
      </c>
      <c r="AA9949">
        <v>0.86981710000000001</v>
      </c>
      <c r="AB9949">
        <v>20</v>
      </c>
      <c r="AC9949">
        <v>10.5785999999999</v>
      </c>
      <c r="AD9949">
        <v>-1.1185818892120001</v>
      </c>
      <c r="AE9949">
        <v>15.105</v>
      </c>
      <c r="AF9949">
        <v>9.0815132999190702</v>
      </c>
      <c r="AG9949">
        <v>-1.1185818892120001</v>
      </c>
      <c r="AH9949">
        <v>15.9720133943518</v>
      </c>
      <c r="AI9949">
        <v>93.483910078127806</v>
      </c>
      <c r="AJ9949">
        <v>60.377910167699703</v>
      </c>
      <c r="AK9949">
        <v>18.407344217155099</v>
      </c>
      <c r="AL9949">
        <v>93.764310542339501</v>
      </c>
      <c r="AM9949">
        <v>83.001030899928296</v>
      </c>
      <c r="AN9949">
        <v>1.00000002283626</v>
      </c>
    </row>
    <row r="9950" spans="1:40" x14ac:dyDescent="0.25">
      <c r="A9950" t="str">
        <f>"20190303154035111"</f>
        <v>20190303154035111</v>
      </c>
      <c r="B9950" t="str">
        <f>"1551598835108362"</f>
        <v>1551598835108362</v>
      </c>
      <c r="C9950" t="s">
        <v>40</v>
      </c>
      <c r="D9950">
        <v>4.7040509999999998</v>
      </c>
      <c r="E9950">
        <v>0.65970430000000002</v>
      </c>
      <c r="F9950" t="s">
        <v>68</v>
      </c>
      <c r="G9950">
        <v>-176.82570000000001</v>
      </c>
      <c r="H9950" s="1">
        <v>-4.8448599999999997E-6</v>
      </c>
      <c r="I9950">
        <v>133.69919999999999</v>
      </c>
      <c r="J9950">
        <v>-187.55619999999999</v>
      </c>
      <c r="K9950">
        <v>1.1185039999999999</v>
      </c>
      <c r="L9950">
        <v>118.52460000000001</v>
      </c>
      <c r="M9950">
        <v>9.6399020000000002E-2</v>
      </c>
      <c r="N9950">
        <v>-1.45072999999999E-2</v>
      </c>
      <c r="O9950">
        <v>0.99523709999999999</v>
      </c>
      <c r="P9950">
        <v>0.21791759999999999</v>
      </c>
      <c r="Q9950">
        <v>-8.017196E-2</v>
      </c>
      <c r="R9950">
        <v>0.97266870000000005</v>
      </c>
      <c r="S9950">
        <v>1.8661350000000001</v>
      </c>
      <c r="T9950">
        <v>-0.19429089999999999</v>
      </c>
      <c r="U9950">
        <v>2.654922</v>
      </c>
      <c r="V9950">
        <v>0.1226858</v>
      </c>
      <c r="W9950">
        <v>-6.6634970000000002E-2</v>
      </c>
      <c r="X9950">
        <v>0.99020600000000003</v>
      </c>
      <c r="Y9950">
        <v>0.49263020000000002</v>
      </c>
      <c r="Z9950">
        <v>-4.6955469999999999E-2</v>
      </c>
      <c r="AA9950">
        <v>0.86897099999999905</v>
      </c>
      <c r="AB9950">
        <v>20</v>
      </c>
      <c r="AC9950">
        <v>10.7304999999999</v>
      </c>
      <c r="AD9950">
        <v>-1.11850884486</v>
      </c>
      <c r="AE9950">
        <v>15.1745999999999</v>
      </c>
      <c r="AF9950">
        <v>9.1842796978807009</v>
      </c>
      <c r="AG9950">
        <v>-1.11850884486</v>
      </c>
      <c r="AH9950">
        <v>16.080190491182801</v>
      </c>
      <c r="AI9950">
        <v>93.456496466351794</v>
      </c>
      <c r="AJ9950">
        <v>60.266940283921798</v>
      </c>
      <c r="AK9950">
        <v>18.551942804937202</v>
      </c>
      <c r="AL9950">
        <v>93.820733697780298</v>
      </c>
      <c r="AM9950">
        <v>82.937088990806799</v>
      </c>
      <c r="AN9950">
        <v>0.99999997359227</v>
      </c>
    </row>
    <row r="9951" spans="1:40" x14ac:dyDescent="0.25">
      <c r="A9951" t="str">
        <f>"20190303154035131"</f>
        <v>20190303154035131</v>
      </c>
      <c r="B9951" t="str">
        <f>"1551598835127883"</f>
        <v>1551598835127883</v>
      </c>
      <c r="C9951" t="s">
        <v>40</v>
      </c>
      <c r="D9951">
        <v>4.7507169999999999</v>
      </c>
      <c r="E9951">
        <v>0.66250520000000002</v>
      </c>
      <c r="F9951" t="s">
        <v>68</v>
      </c>
      <c r="G9951">
        <v>-174.56710000000001</v>
      </c>
      <c r="H9951" s="1">
        <v>-4.5142540000000001E-6</v>
      </c>
      <c r="I9951">
        <v>136.6422</v>
      </c>
      <c r="J9951">
        <v>-187.53399999999999</v>
      </c>
      <c r="K9951">
        <v>1.11836</v>
      </c>
      <c r="L9951">
        <v>118.70140000000001</v>
      </c>
      <c r="M9951">
        <v>0.1007633</v>
      </c>
      <c r="N9951">
        <v>-1.451815E-2</v>
      </c>
      <c r="O9951">
        <v>0.99480449999999998</v>
      </c>
      <c r="P9951">
        <v>0.2237497</v>
      </c>
      <c r="Q9951">
        <v>-8.2546289999999994E-2</v>
      </c>
      <c r="R9951">
        <v>0.97114480000000003</v>
      </c>
      <c r="S9951">
        <v>1.8968959999999999</v>
      </c>
      <c r="T9951">
        <v>-0.1633445</v>
      </c>
      <c r="U9951">
        <v>2.6458590000000002</v>
      </c>
      <c r="V9951">
        <v>0.12426379999999999</v>
      </c>
      <c r="W9951">
        <v>-6.9054999999999894E-2</v>
      </c>
      <c r="X9951">
        <v>0.98984340000000004</v>
      </c>
      <c r="Y9951">
        <v>0.4971853</v>
      </c>
      <c r="Z9951">
        <v>-3.716088E-2</v>
      </c>
      <c r="AA9951">
        <v>0.86684819999999996</v>
      </c>
      <c r="AB9951">
        <v>20</v>
      </c>
      <c r="AC9951">
        <v>12.966900000000001</v>
      </c>
      <c r="AD9951">
        <v>-1.118364514254</v>
      </c>
      <c r="AE9951">
        <v>17.9407999999999</v>
      </c>
      <c r="AF9951">
        <v>11.0646831292469</v>
      </c>
      <c r="AG9951">
        <v>-1.118364514254</v>
      </c>
      <c r="AH9951">
        <v>19.107424055291599</v>
      </c>
      <c r="AI9951">
        <v>92.899602216790399</v>
      </c>
      <c r="AJ9951">
        <v>59.925824755899697</v>
      </c>
      <c r="AK9951">
        <v>22.1081796167419</v>
      </c>
      <c r="AL9951">
        <v>93.959711276324001</v>
      </c>
      <c r="AM9951">
        <v>82.844586941676098</v>
      </c>
      <c r="AN9951">
        <v>1.0000000207694999</v>
      </c>
    </row>
    <row r="9952" spans="1:40" x14ac:dyDescent="0.25">
      <c r="A9952" t="str">
        <f>"20190303154035145"</f>
        <v>20190303154035145</v>
      </c>
      <c r="B9952" t="str">
        <f>"1551598835137642"</f>
        <v>1551598835137642</v>
      </c>
      <c r="C9952" t="s">
        <v>40</v>
      </c>
      <c r="D9952">
        <v>4.730232</v>
      </c>
      <c r="E9952">
        <v>0.66349440000000004</v>
      </c>
      <c r="F9952" t="s">
        <v>68</v>
      </c>
      <c r="G9952">
        <v>-171.06639999999999</v>
      </c>
      <c r="H9952" s="1">
        <v>-4.5735809999999901E-6</v>
      </c>
      <c r="I9952">
        <v>141.10939999999999</v>
      </c>
      <c r="J9952">
        <v>-187.51730000000001</v>
      </c>
      <c r="K9952">
        <v>1.11826</v>
      </c>
      <c r="L9952">
        <v>118.8291</v>
      </c>
      <c r="M9952">
        <v>0.1040639</v>
      </c>
      <c r="N9952">
        <v>-1.4527429999999999E-2</v>
      </c>
      <c r="O9952">
        <v>0.99446449999999997</v>
      </c>
      <c r="P9952">
        <v>0.22787669999999999</v>
      </c>
      <c r="Q9952">
        <v>-8.3602850000000006E-2</v>
      </c>
      <c r="R9952">
        <v>0.97009420000000002</v>
      </c>
      <c r="S9952">
        <v>1.934464</v>
      </c>
      <c r="T9952">
        <v>-0.13137499999999999</v>
      </c>
      <c r="U9952">
        <v>2.6322779999999999</v>
      </c>
      <c r="V9952">
        <v>0.12517159999999999</v>
      </c>
      <c r="W9952">
        <v>-7.0142280000000001E-2</v>
      </c>
      <c r="X9952">
        <v>0.98965250000000005</v>
      </c>
      <c r="Y9952">
        <v>0.50471080000000001</v>
      </c>
      <c r="Z9952">
        <v>-2.7069449999999998E-2</v>
      </c>
      <c r="AA9952">
        <v>0.86286399999999996</v>
      </c>
      <c r="AB9952">
        <v>20</v>
      </c>
      <c r="AC9952">
        <v>16.450900000000001</v>
      </c>
      <c r="AD9952">
        <v>-1.118264573581</v>
      </c>
      <c r="AE9952">
        <v>22.2803</v>
      </c>
      <c r="AF9952">
        <v>14.0198864671313</v>
      </c>
      <c r="AG9952">
        <v>-1.118264573581</v>
      </c>
      <c r="AH9952">
        <v>23.8325771567924</v>
      </c>
      <c r="AI9952">
        <v>92.3159433797844</v>
      </c>
      <c r="AJ9952">
        <v>59.5331629902728</v>
      </c>
      <c r="AK9952">
        <v>27.673081977659098</v>
      </c>
      <c r="AL9952">
        <v>94.022159470271504</v>
      </c>
      <c r="AM9952">
        <v>82.791485696429902</v>
      </c>
      <c r="AN9952">
        <v>0.99999996982320305</v>
      </c>
    </row>
    <row r="9953" spans="1:40" x14ac:dyDescent="0.25">
      <c r="A9953" t="str">
        <f>"20190303154035160"</f>
        <v>20190303154035160</v>
      </c>
      <c r="B9953" t="str">
        <f>"1551598835148378"</f>
        <v>1551598835148378</v>
      </c>
      <c r="C9953" t="s">
        <v>40</v>
      </c>
      <c r="D9953">
        <v>4.7022890000000004</v>
      </c>
      <c r="E9953">
        <v>0.66452040000000001</v>
      </c>
      <c r="F9953" t="s">
        <v>42</v>
      </c>
      <c r="G9953">
        <v>-169.3065</v>
      </c>
      <c r="H9953" s="1">
        <v>-1.2846039999999899E-6</v>
      </c>
      <c r="I9953">
        <v>143.28559999999999</v>
      </c>
      <c r="J9953">
        <v>-187.5001</v>
      </c>
      <c r="K9953">
        <v>1.118163</v>
      </c>
      <c r="L9953">
        <v>118.95610000000001</v>
      </c>
      <c r="M9953">
        <v>0.10744769999999899</v>
      </c>
      <c r="N9953">
        <v>-1.453753E-2</v>
      </c>
      <c r="O9953">
        <v>0.9941044</v>
      </c>
      <c r="P9953">
        <v>0.232154</v>
      </c>
      <c r="Q9953">
        <v>-8.3848140000000002E-2</v>
      </c>
      <c r="R9953">
        <v>0.96905830000000004</v>
      </c>
      <c r="S9953">
        <v>1.953354</v>
      </c>
      <c r="T9953">
        <v>-0.11994870000000001</v>
      </c>
      <c r="U9953">
        <v>2.623291</v>
      </c>
      <c r="V9953">
        <v>0.12615209999999999</v>
      </c>
      <c r="W9953">
        <v>-7.0416649999999997E-2</v>
      </c>
      <c r="X9953">
        <v>0.98950850000000001</v>
      </c>
      <c r="Y9953">
        <v>0.50725549999999997</v>
      </c>
      <c r="Z9953">
        <v>-2.349006E-2</v>
      </c>
      <c r="AA9953">
        <v>0.86147549999999995</v>
      </c>
      <c r="AB9953">
        <v>20</v>
      </c>
      <c r="AC9953">
        <v>18.1936</v>
      </c>
      <c r="AD9953">
        <v>-1.1181642846040001</v>
      </c>
      <c r="AE9953">
        <v>24.3294999999999</v>
      </c>
      <c r="AF9953">
        <v>15.4528909628663</v>
      </c>
      <c r="AG9953">
        <v>-1.1181642846040001</v>
      </c>
      <c r="AH9953">
        <v>26.108318626344602</v>
      </c>
      <c r="AI9953">
        <v>92.110740722299596</v>
      </c>
      <c r="AJ9953">
        <v>59.379722359446099</v>
      </c>
      <c r="AK9953">
        <v>30.359289055778799</v>
      </c>
      <c r="AL9953">
        <v>94.037918703505397</v>
      </c>
      <c r="AM9953">
        <v>82.734574642530305</v>
      </c>
      <c r="AN9953">
        <v>0.99999996425194004</v>
      </c>
    </row>
    <row r="9954" spans="1:40" x14ac:dyDescent="0.25">
      <c r="A9954" t="str">
        <f>"20190303154035176"</f>
        <v>20190303154035176</v>
      </c>
      <c r="B9954" t="str">
        <f>"1551598835167899"</f>
        <v>1551598835167899</v>
      </c>
      <c r="C9954" t="s">
        <v>40</v>
      </c>
      <c r="D9954">
        <v>4.7016619999999998</v>
      </c>
      <c r="E9954">
        <v>0.66648850000000004</v>
      </c>
      <c r="F9954" t="s">
        <v>42</v>
      </c>
      <c r="G9954">
        <v>-167.24180000000001</v>
      </c>
      <c r="H9954" s="1">
        <v>-2.9283929999999998E-6</v>
      </c>
      <c r="I9954">
        <v>145.7954</v>
      </c>
      <c r="J9954">
        <v>-187.47839999999999</v>
      </c>
      <c r="K9954">
        <v>1.1180460000000001</v>
      </c>
      <c r="L9954">
        <v>119.1108</v>
      </c>
      <c r="M9954">
        <v>0.11170239999999999</v>
      </c>
      <c r="N9954">
        <v>-1.455062E-2</v>
      </c>
      <c r="O9954">
        <v>0.99363520000000005</v>
      </c>
      <c r="P9954">
        <v>0.238646</v>
      </c>
      <c r="Q9954">
        <v>-8.4069400000000002E-2</v>
      </c>
      <c r="R9954">
        <v>0.96746080000000001</v>
      </c>
      <c r="S9954">
        <v>1.972839</v>
      </c>
      <c r="T9954">
        <v>-0.10889169999999999</v>
      </c>
      <c r="U9954">
        <v>2.6137239999999999</v>
      </c>
      <c r="V9954">
        <v>0.1285279</v>
      </c>
      <c r="W9954">
        <v>-7.0683899999999994E-2</v>
      </c>
      <c r="X9954">
        <v>0.9891837</v>
      </c>
      <c r="Y9954">
        <v>0.5092354</v>
      </c>
      <c r="Z9954">
        <v>-2.003344E-2</v>
      </c>
      <c r="AA9954">
        <v>0.86039409999999905</v>
      </c>
      <c r="AB9954">
        <v>20</v>
      </c>
      <c r="AC9954">
        <v>20.2365999999999</v>
      </c>
      <c r="AD9954">
        <v>-1.118048928393</v>
      </c>
      <c r="AE9954">
        <v>26.6846</v>
      </c>
      <c r="AF9954">
        <v>17.109807854293798</v>
      </c>
      <c r="AG9954">
        <v>-1.118048928393</v>
      </c>
      <c r="AH9954">
        <v>28.7462421624173</v>
      </c>
      <c r="AI9954">
        <v>91.914207125703896</v>
      </c>
      <c r="AJ9954">
        <v>59.238826639588702</v>
      </c>
      <c r="AK9954">
        <v>33.471510224031903</v>
      </c>
      <c r="AL9954">
        <v>94.053269051049696</v>
      </c>
      <c r="AM9954">
        <v>82.596846159266903</v>
      </c>
      <c r="AN9954">
        <v>1.00000001357165</v>
      </c>
    </row>
    <row r="9955" spans="1:40" x14ac:dyDescent="0.25">
      <c r="A9955" t="str">
        <f>"20190303154035192"</f>
        <v>20190303154035192</v>
      </c>
      <c r="B9955" t="str">
        <f>"1551598835187419"</f>
        <v>1551598835187419</v>
      </c>
      <c r="C9955" t="s">
        <v>40</v>
      </c>
      <c r="D9955">
        <v>4.6562939999999999</v>
      </c>
      <c r="E9955">
        <v>0.66771269999999905</v>
      </c>
      <c r="F9955" t="s">
        <v>42</v>
      </c>
      <c r="G9955">
        <v>-163.9179</v>
      </c>
      <c r="H9955">
        <v>6.4327330000000002E-2</v>
      </c>
      <c r="I9955">
        <v>149.63069999999999</v>
      </c>
      <c r="J9955">
        <v>-187.459</v>
      </c>
      <c r="K9955">
        <v>1.11795</v>
      </c>
      <c r="L9955">
        <v>119.2453</v>
      </c>
      <c r="M9955">
        <v>0.1155204</v>
      </c>
      <c r="N9955">
        <v>-1.4562449999999999E-2</v>
      </c>
      <c r="O9955">
        <v>0.99319829999999998</v>
      </c>
      <c r="P9955">
        <v>0.24378169999999999</v>
      </c>
      <c r="Q9955">
        <v>-8.4026690000000001E-2</v>
      </c>
      <c r="R9955">
        <v>0.96618320000000002</v>
      </c>
      <c r="S9955">
        <v>2.0058440000000002</v>
      </c>
      <c r="T9955">
        <v>-8.9709040000000004E-2</v>
      </c>
      <c r="U9955">
        <v>2.598328</v>
      </c>
      <c r="V9955">
        <v>0.12996170000000001</v>
      </c>
      <c r="W9955">
        <v>-7.0674870000000001E-2</v>
      </c>
      <c r="X9955">
        <v>0.98899700000000001</v>
      </c>
      <c r="Y9955">
        <v>0.5153314</v>
      </c>
      <c r="Z9955">
        <v>-1.401793E-2</v>
      </c>
      <c r="AA9955">
        <v>0.85687630000000004</v>
      </c>
      <c r="AB9955">
        <v>20</v>
      </c>
      <c r="AC9955">
        <v>23.5411</v>
      </c>
      <c r="AD9955">
        <v>-1.05362267</v>
      </c>
      <c r="AE9955">
        <v>30.385399999999901</v>
      </c>
      <c r="AF9955">
        <v>19.8580345184048</v>
      </c>
      <c r="AG9955">
        <v>-1.05362267</v>
      </c>
      <c r="AH9955">
        <v>32.876992651618302</v>
      </c>
      <c r="AI9955">
        <v>91.571331318143194</v>
      </c>
      <c r="AJ9955">
        <v>58.867601215324299</v>
      </c>
      <c r="AK9955">
        <v>38.4232781199036</v>
      </c>
      <c r="AL9955">
        <v>94.052750333250998</v>
      </c>
      <c r="AM9955">
        <v>82.513794240463</v>
      </c>
      <c r="AN9955">
        <v>1.0000000233627</v>
      </c>
    </row>
    <row r="9956" spans="1:40" x14ac:dyDescent="0.25">
      <c r="A9956" t="str">
        <f>"20190303154035204"</f>
        <v>20190303154035204</v>
      </c>
      <c r="B9956" t="str">
        <f>"1551598835198154"</f>
        <v>1551598835198154</v>
      </c>
      <c r="C9956" t="s">
        <v>40</v>
      </c>
      <c r="D9956">
        <v>4.661619</v>
      </c>
      <c r="E9956">
        <v>0.66832519999999995</v>
      </c>
      <c r="F9956" t="s">
        <v>43</v>
      </c>
      <c r="G9956">
        <v>-155.7124</v>
      </c>
      <c r="H9956">
        <v>-0.05</v>
      </c>
      <c r="I9956">
        <v>159.70869999999999</v>
      </c>
      <c r="J9956">
        <v>-187.441</v>
      </c>
      <c r="K9956">
        <v>1.1178729999999999</v>
      </c>
      <c r="L9956">
        <v>119.3648</v>
      </c>
      <c r="M9956">
        <v>0.11903130000000001</v>
      </c>
      <c r="N9956">
        <v>-1.4573289999999999E-2</v>
      </c>
      <c r="O9956">
        <v>0.99278350000000004</v>
      </c>
      <c r="P9956">
        <v>0.2485646</v>
      </c>
      <c r="Q9956">
        <v>-8.4090780000000004E-2</v>
      </c>
      <c r="R9956">
        <v>0.96495830000000005</v>
      </c>
      <c r="S9956">
        <v>2.0292970000000001</v>
      </c>
      <c r="T9956">
        <v>-7.4657319999999999E-2</v>
      </c>
      <c r="U9956">
        <v>2.586487</v>
      </c>
      <c r="V9956">
        <v>0.13134799999999999</v>
      </c>
      <c r="W9956">
        <v>-7.0768880000000006E-2</v>
      </c>
      <c r="X9956">
        <v>0.98880710000000005</v>
      </c>
      <c r="Y9956">
        <v>0.519069</v>
      </c>
      <c r="Z9956">
        <v>-9.3162939999999993E-3</v>
      </c>
      <c r="AA9956">
        <v>0.85468159999999904</v>
      </c>
      <c r="AB9956">
        <v>20</v>
      </c>
      <c r="AC9956">
        <v>31.728599999999901</v>
      </c>
      <c r="AD9956">
        <v>-1.1678729999999999</v>
      </c>
      <c r="AE9956">
        <v>40.343899999999898</v>
      </c>
      <c r="AF9956">
        <v>26.6864634483182</v>
      </c>
      <c r="AG9956">
        <v>-1.1678729999999999</v>
      </c>
      <c r="AH9956">
        <v>43.811428373919497</v>
      </c>
      <c r="AI9956">
        <v>91.304165148410306</v>
      </c>
      <c r="AJ9956">
        <v>58.653526055632298</v>
      </c>
      <c r="AK9956">
        <v>51.312498622515299</v>
      </c>
      <c r="AL9956">
        <v>94.058150299885497</v>
      </c>
      <c r="AM9956">
        <v>82.433423008493605</v>
      </c>
      <c r="AN9956">
        <v>1.00000000624543</v>
      </c>
    </row>
    <row r="9957" spans="1:40" x14ac:dyDescent="0.25">
      <c r="A9957" t="str">
        <f>"20190303154035219"</f>
        <v>20190303154035219</v>
      </c>
      <c r="B9957" t="str">
        <f>"1551598835207914"</f>
        <v>1551598835207914</v>
      </c>
      <c r="C9957" t="s">
        <v>40</v>
      </c>
      <c r="D9957">
        <v>4.6997229999999997</v>
      </c>
      <c r="E9957">
        <v>0.66875180000000001</v>
      </c>
      <c r="F9957" t="s">
        <v>66</v>
      </c>
      <c r="G9957">
        <v>-155.14179999999999</v>
      </c>
      <c r="H9957">
        <v>4.2253489999999998E-2</v>
      </c>
      <c r="I9957">
        <v>160.01150000000001</v>
      </c>
      <c r="J9957">
        <v>-187.4212</v>
      </c>
      <c r="K9957">
        <v>1.1177999999999999</v>
      </c>
      <c r="L9957">
        <v>119.49299999999999</v>
      </c>
      <c r="M9957">
        <v>0.1228955</v>
      </c>
      <c r="N9957">
        <v>-1.4584949999999999E-2</v>
      </c>
      <c r="O9957">
        <v>0.99231239999999998</v>
      </c>
      <c r="P9957">
        <v>0.2551639</v>
      </c>
      <c r="Q9957">
        <v>-8.3917649999999996E-2</v>
      </c>
      <c r="R9957">
        <v>0.96324929999999997</v>
      </c>
      <c r="S9957">
        <v>2.046783</v>
      </c>
      <c r="T9957">
        <v>-6.8159339999999999E-2</v>
      </c>
      <c r="U9957">
        <v>2.5757599999999998</v>
      </c>
      <c r="V9957">
        <v>0.13424829999999999</v>
      </c>
      <c r="W9957">
        <v>-7.0640549999999996E-2</v>
      </c>
      <c r="X9957">
        <v>0.98842669999999999</v>
      </c>
      <c r="Y9957">
        <v>0.52105059999999903</v>
      </c>
      <c r="Z9957">
        <v>-7.3028049999999999E-3</v>
      </c>
      <c r="AA9957">
        <v>0.85349459999999999</v>
      </c>
      <c r="AB9957">
        <v>20</v>
      </c>
      <c r="AC9957">
        <v>32.279400000000003</v>
      </c>
      <c r="AD9957">
        <v>-1.0755465099999999</v>
      </c>
      <c r="AE9957">
        <v>40.518500000000003</v>
      </c>
      <c r="AF9957">
        <v>27.042929555541701</v>
      </c>
      <c r="AG9957">
        <v>-1.0755465099999999</v>
      </c>
      <c r="AH9957">
        <v>44.159668953863701</v>
      </c>
      <c r="AI9957">
        <v>91.189895643233498</v>
      </c>
      <c r="AJ9957">
        <v>58.517123546495299</v>
      </c>
      <c r="AK9957">
        <v>51.793370245196499</v>
      </c>
      <c r="AL9957">
        <v>94.050779039610703</v>
      </c>
      <c r="AM9957">
        <v>82.265405083506394</v>
      </c>
      <c r="AN9957">
        <v>1.0000000173150401</v>
      </c>
    </row>
    <row r="9958" spans="1:40" x14ac:dyDescent="0.25">
      <c r="A9958" t="str">
        <f>"20190303154035231"</f>
        <v>20190303154035231</v>
      </c>
      <c r="B9958" t="str">
        <f>"1551598835227434"</f>
        <v>1551598835227434</v>
      </c>
      <c r="C9958" t="s">
        <v>40</v>
      </c>
      <c r="D9958">
        <v>4.617413</v>
      </c>
      <c r="E9958">
        <v>0.66973530000000003</v>
      </c>
      <c r="F9958" t="s">
        <v>66</v>
      </c>
      <c r="G9958">
        <v>-154.054</v>
      </c>
      <c r="H9958">
        <v>0.11362269999999899</v>
      </c>
      <c r="I9958">
        <v>160.82419999999999</v>
      </c>
      <c r="J9958">
        <v>-187.4051</v>
      </c>
      <c r="K9958">
        <v>1.117739</v>
      </c>
      <c r="L9958">
        <v>119.5951</v>
      </c>
      <c r="M9958">
        <v>0.12602070000000001</v>
      </c>
      <c r="N9958">
        <v>-1.4594060000000001E-2</v>
      </c>
      <c r="O9958">
        <v>0.99192020000000003</v>
      </c>
      <c r="P9958">
        <v>0.25982759999999999</v>
      </c>
      <c r="Q9958">
        <v>-8.3742330000000004E-2</v>
      </c>
      <c r="R9958">
        <v>0.96201709999999996</v>
      </c>
      <c r="S9958">
        <v>2.0677639999999999</v>
      </c>
      <c r="T9958">
        <v>-6.2226530000000002E-2</v>
      </c>
      <c r="U9958">
        <v>2.5612949999999999</v>
      </c>
      <c r="V9958">
        <v>0.13591010000000001</v>
      </c>
      <c r="W9958">
        <v>-7.0493920000000002E-2</v>
      </c>
      <c r="X9958">
        <v>0.98821000000000003</v>
      </c>
      <c r="Y9958">
        <v>0.52496119999999902</v>
      </c>
      <c r="Z9958">
        <v>-5.4702700000000002E-3</v>
      </c>
      <c r="AA9958">
        <v>0.85110859999999899</v>
      </c>
      <c r="AB9958">
        <v>20</v>
      </c>
      <c r="AC9958">
        <v>33.351100000000002</v>
      </c>
      <c r="AD9958">
        <v>-1.0041163</v>
      </c>
      <c r="AE9958">
        <v>41.229099999999903</v>
      </c>
      <c r="AF9958">
        <v>27.878885893464901</v>
      </c>
      <c r="AG9958">
        <v>-1.0041163</v>
      </c>
      <c r="AH9958">
        <v>45.087546664598001</v>
      </c>
      <c r="AI9958">
        <v>91.085156435564699</v>
      </c>
      <c r="AJ9958">
        <v>58.270343720893599</v>
      </c>
      <c r="AK9958">
        <v>53.020065941462803</v>
      </c>
      <c r="AL9958">
        <v>94.042356930082605</v>
      </c>
      <c r="AM9958">
        <v>82.169146684984298</v>
      </c>
      <c r="AN9958">
        <v>0.99999997606948698</v>
      </c>
    </row>
    <row r="9959" spans="1:40" x14ac:dyDescent="0.25">
      <c r="A9959" t="str">
        <f>"20190303154035245"</f>
        <v>20190303154035245</v>
      </c>
      <c r="B9959" t="str">
        <f>"1551598835238170"</f>
        <v>1551598835238170</v>
      </c>
      <c r="C9959" t="s">
        <v>40</v>
      </c>
      <c r="D9959">
        <v>4.6201230000000004</v>
      </c>
      <c r="E9959">
        <v>0.670234</v>
      </c>
      <c r="F9959" t="s">
        <v>66</v>
      </c>
      <c r="G9959">
        <v>-153.6481</v>
      </c>
      <c r="H9959">
        <v>0.2951317</v>
      </c>
      <c r="I9959">
        <v>160.82399999999899</v>
      </c>
      <c r="J9959">
        <v>-187.3836</v>
      </c>
      <c r="K9959">
        <v>1.1176649999999999</v>
      </c>
      <c r="L9959">
        <v>119.7261</v>
      </c>
      <c r="M9959">
        <v>0.13014580000000001</v>
      </c>
      <c r="N9959">
        <v>-1.460587E-2</v>
      </c>
      <c r="O9959">
        <v>0.99138729999999997</v>
      </c>
      <c r="P9959">
        <v>0.2654765</v>
      </c>
      <c r="Q9959">
        <v>-8.4112850000000003E-2</v>
      </c>
      <c r="R9959">
        <v>0.96044119999999999</v>
      </c>
      <c r="S9959">
        <v>2.087952</v>
      </c>
      <c r="T9959">
        <v>-5.087817E-2</v>
      </c>
      <c r="U9959">
        <v>2.5501100000000001</v>
      </c>
      <c r="V9959">
        <v>0.1375932</v>
      </c>
      <c r="W9959">
        <v>-7.0895269999999996E-2</v>
      </c>
      <c r="X9959">
        <v>0.98794839999999995</v>
      </c>
      <c r="Y9959">
        <v>0.52730849999999996</v>
      </c>
      <c r="Z9959">
        <v>-1.9377280000000001E-3</v>
      </c>
      <c r="AA9959">
        <v>0.84967169999999903</v>
      </c>
      <c r="AB9959">
        <v>20</v>
      </c>
      <c r="AC9959">
        <v>33.735500000000002</v>
      </c>
      <c r="AD9959">
        <v>-0.82253329999999902</v>
      </c>
      <c r="AE9959">
        <v>41.097899999999903</v>
      </c>
      <c r="AF9959">
        <v>28.092501174468602</v>
      </c>
      <c r="AG9959">
        <v>-0.82253329999999902</v>
      </c>
      <c r="AH9959">
        <v>45.1284841971638</v>
      </c>
      <c r="AI9959">
        <v>90.8864886082184</v>
      </c>
      <c r="AJ9959">
        <v>58.097718111116997</v>
      </c>
      <c r="AK9959">
        <v>53.1643232741731</v>
      </c>
      <c r="AL9959">
        <v>94.065410033135805</v>
      </c>
      <c r="AM9959">
        <v>82.071323076903894</v>
      </c>
      <c r="AN9959">
        <v>1.00000003452858</v>
      </c>
    </row>
    <row r="9960" spans="1:40" x14ac:dyDescent="0.25">
      <c r="A9960" t="str">
        <f>"20190303154035259"</f>
        <v>20190303154035259</v>
      </c>
      <c r="B9960" t="str">
        <f>"1551598835247930"</f>
        <v>1551598835247930</v>
      </c>
      <c r="C9960" t="s">
        <v>40</v>
      </c>
      <c r="D9960">
        <v>4.6202189999999996</v>
      </c>
      <c r="E9960">
        <v>0.67059619999999998</v>
      </c>
      <c r="F9960" t="s">
        <v>66</v>
      </c>
      <c r="G9960">
        <v>-153.25810000000001</v>
      </c>
      <c r="H9960">
        <v>0.36710169999999998</v>
      </c>
      <c r="I9960">
        <v>160.82380000000001</v>
      </c>
      <c r="J9960">
        <v>-187.36330000000001</v>
      </c>
      <c r="K9960">
        <v>1.1176090000000001</v>
      </c>
      <c r="L9960">
        <v>119.8467</v>
      </c>
      <c r="M9960">
        <v>0.1340247</v>
      </c>
      <c r="N9960">
        <v>-1.461644E-2</v>
      </c>
      <c r="O9960">
        <v>0.99087020000000003</v>
      </c>
      <c r="P9960">
        <v>0.27109650000000002</v>
      </c>
      <c r="Q9960">
        <v>-8.3950830000000004E-2</v>
      </c>
      <c r="R9960">
        <v>0.95888419999999996</v>
      </c>
      <c r="S9960">
        <v>2.1067499999999999</v>
      </c>
      <c r="T9960">
        <v>-4.6333909999999999E-2</v>
      </c>
      <c r="U9960">
        <v>2.5371860000000002</v>
      </c>
      <c r="V9960">
        <v>0.1394994</v>
      </c>
      <c r="W9960">
        <v>-7.0763190000000004E-2</v>
      </c>
      <c r="X9960">
        <v>0.98769050000000003</v>
      </c>
      <c r="Y9960">
        <v>0.52984290000000001</v>
      </c>
      <c r="Z9960">
        <v>-5.3919549999999997E-4</v>
      </c>
      <c r="AA9960">
        <v>0.84809570000000001</v>
      </c>
      <c r="AB9960">
        <v>20</v>
      </c>
      <c r="AC9960">
        <v>34.105200000000004</v>
      </c>
      <c r="AD9960">
        <v>-0.75050729999999999</v>
      </c>
      <c r="AE9960">
        <v>40.9771</v>
      </c>
      <c r="AF9960">
        <v>28.299298188930699</v>
      </c>
      <c r="AG9960">
        <v>-0.75050729999999999</v>
      </c>
      <c r="AH9960">
        <v>45.169801038174597</v>
      </c>
      <c r="AI9960">
        <v>90.806679310114902</v>
      </c>
      <c r="AJ9960">
        <v>57.932475648630998</v>
      </c>
      <c r="AK9960">
        <v>53.3078274273267</v>
      </c>
      <c r="AL9960">
        <v>94.057823420854902</v>
      </c>
      <c r="AM9960">
        <v>81.960834587773405</v>
      </c>
      <c r="AN9960">
        <v>1.0000000177247901</v>
      </c>
    </row>
    <row r="9961" spans="1:40" x14ac:dyDescent="0.25">
      <c r="A9961" t="str">
        <f>"20190303154035277"</f>
        <v>20190303154035277</v>
      </c>
      <c r="B9961" t="str">
        <f>"1551598835268426"</f>
        <v>1551598835268426</v>
      </c>
      <c r="C9961" t="s">
        <v>40</v>
      </c>
      <c r="D9961">
        <v>4.6756849999999996</v>
      </c>
      <c r="E9961">
        <v>0.67605380000000004</v>
      </c>
      <c r="F9961" t="s">
        <v>66</v>
      </c>
      <c r="G9961">
        <v>-152.8802</v>
      </c>
      <c r="H9961">
        <v>0.45706180000000002</v>
      </c>
      <c r="I9961">
        <v>160.8237</v>
      </c>
      <c r="J9961">
        <v>-187.3374</v>
      </c>
      <c r="K9961">
        <v>1.1175550000000001</v>
      </c>
      <c r="L9961">
        <v>119.9956</v>
      </c>
      <c r="M9961">
        <v>0.13890229999999901</v>
      </c>
      <c r="N9961">
        <v>-1.462895E-2</v>
      </c>
      <c r="O9961">
        <v>0.99019800000000002</v>
      </c>
      <c r="P9961">
        <v>0.27995560000000003</v>
      </c>
      <c r="Q9961">
        <v>-8.4371230000000005E-2</v>
      </c>
      <c r="R9961">
        <v>0.95629819999999999</v>
      </c>
      <c r="S9961">
        <v>2.12439</v>
      </c>
      <c r="T9961">
        <v>-4.069209E-2</v>
      </c>
      <c r="U9961">
        <v>2.5244599999999999</v>
      </c>
      <c r="V9961">
        <v>0.1437571</v>
      </c>
      <c r="W9961">
        <v>-7.1241079999999998E-2</v>
      </c>
      <c r="X9961">
        <v>0.98704539999999996</v>
      </c>
      <c r="Y9961">
        <v>0.53124890000000002</v>
      </c>
      <c r="Z9961">
        <v>1.196875E-3</v>
      </c>
      <c r="AA9961">
        <v>0.84721489999999999</v>
      </c>
      <c r="AB9961">
        <v>20</v>
      </c>
      <c r="AC9961">
        <v>34.4572</v>
      </c>
      <c r="AD9961">
        <v>-0.660493199999999</v>
      </c>
      <c r="AE9961">
        <v>40.828099999999999</v>
      </c>
      <c r="AF9961">
        <v>28.4470310658652</v>
      </c>
      <c r="AG9961">
        <v>-0.660493199999999</v>
      </c>
      <c r="AH9961">
        <v>45.212017234880598</v>
      </c>
      <c r="AI9961">
        <v>90.708419588093705</v>
      </c>
      <c r="AJ9961">
        <v>57.822233288627999</v>
      </c>
      <c r="AK9961">
        <v>53.420935317314402</v>
      </c>
      <c r="AL9961">
        <v>94.085273818794406</v>
      </c>
      <c r="AM9961">
        <v>81.713485385568006</v>
      </c>
      <c r="AN9961">
        <v>1.00000000847056</v>
      </c>
    </row>
    <row r="9962" spans="1:40" x14ac:dyDescent="0.25">
      <c r="A9962" t="str">
        <f>"20190303154035292"</f>
        <v>20190303154035292</v>
      </c>
      <c r="B9962" t="str">
        <f>"1551598835287946"</f>
        <v>1551598835287946</v>
      </c>
      <c r="C9962" t="s">
        <v>40</v>
      </c>
      <c r="D9962">
        <v>4.7031109999999998</v>
      </c>
      <c r="E9962">
        <v>0.67514869999999905</v>
      </c>
      <c r="F9962" t="s">
        <v>66</v>
      </c>
      <c r="G9962">
        <v>-151.56610000000001</v>
      </c>
      <c r="H9962">
        <v>1.845825</v>
      </c>
      <c r="I9962">
        <v>160.8228</v>
      </c>
      <c r="J9962">
        <v>-187.31270000000001</v>
      </c>
      <c r="K9962">
        <v>1.1175060000000001</v>
      </c>
      <c r="L9962">
        <v>120.1339</v>
      </c>
      <c r="M9962">
        <v>0.14351169999999999</v>
      </c>
      <c r="N9962">
        <v>-1.463996E-2</v>
      </c>
      <c r="O9962">
        <v>0.98954030000000004</v>
      </c>
      <c r="P9962">
        <v>0.28693020000000002</v>
      </c>
      <c r="Q9962">
        <v>-8.4504750000000003E-2</v>
      </c>
      <c r="R9962">
        <v>0.95421699999999998</v>
      </c>
      <c r="S9962">
        <v>2.1902620000000002</v>
      </c>
      <c r="T9962">
        <v>4.4593689999999998E-2</v>
      </c>
      <c r="U9962">
        <v>2.4998320000000001</v>
      </c>
      <c r="V9962">
        <v>0.1463554</v>
      </c>
      <c r="W9962">
        <v>-7.1411399999999903E-2</v>
      </c>
      <c r="X9962">
        <v>0.98665119999999895</v>
      </c>
      <c r="Y9962">
        <v>0.543964</v>
      </c>
      <c r="Z9962">
        <v>2.7710780000000001E-2</v>
      </c>
      <c r="AA9962">
        <v>0.83865080000000003</v>
      </c>
      <c r="AB9962">
        <v>20</v>
      </c>
      <c r="AC9962">
        <v>35.746600000000001</v>
      </c>
      <c r="AD9962">
        <v>0.72831900000000005</v>
      </c>
      <c r="AE9962">
        <v>40.688899999999997</v>
      </c>
      <c r="AF9962">
        <v>29.531194233225602</v>
      </c>
      <c r="AG9962">
        <v>0.72831900000000005</v>
      </c>
      <c r="AH9962">
        <v>45.390020406385098</v>
      </c>
      <c r="AI9962">
        <v>89.229432787756295</v>
      </c>
      <c r="AJ9962">
        <v>56.951575731053403</v>
      </c>
      <c r="AK9962">
        <v>54.156032294642102</v>
      </c>
      <c r="AL9962">
        <v>94.095057221502003</v>
      </c>
      <c r="AM9962">
        <v>81.562527280068196</v>
      </c>
      <c r="AN9962">
        <v>1.0000000408102701</v>
      </c>
    </row>
    <row r="9963" spans="1:40" x14ac:dyDescent="0.25">
      <c r="A9963" t="str">
        <f>"20190303154035307"</f>
        <v>20190303154035307</v>
      </c>
      <c r="B9963" t="str">
        <f>"1551598835297706"</f>
        <v>1551598835297706</v>
      </c>
      <c r="C9963" t="s">
        <v>40</v>
      </c>
      <c r="D9963">
        <v>4.7007599999999998</v>
      </c>
      <c r="E9963">
        <v>0.67466280000000001</v>
      </c>
      <c r="F9963" t="s">
        <v>66</v>
      </c>
      <c r="G9963">
        <v>-151.2706</v>
      </c>
      <c r="H9963">
        <v>1.79941199999999</v>
      </c>
      <c r="I9963">
        <v>160.8227</v>
      </c>
      <c r="J9963">
        <v>-187.28630000000001</v>
      </c>
      <c r="K9963">
        <v>1.1174679999999999</v>
      </c>
      <c r="L9963">
        <v>120.2766</v>
      </c>
      <c r="M9963">
        <v>0.14835110000000001</v>
      </c>
      <c r="N9963">
        <v>-1.4650450000000001E-2</v>
      </c>
      <c r="O9963">
        <v>0.98882619999999999</v>
      </c>
      <c r="P9963">
        <v>0.29700460000000001</v>
      </c>
      <c r="Q9963">
        <v>-8.4905090000000003E-2</v>
      </c>
      <c r="R9963">
        <v>0.95109379999999999</v>
      </c>
      <c r="S9963">
        <v>2.201721</v>
      </c>
      <c r="T9963">
        <v>4.165816E-2</v>
      </c>
      <c r="U9963">
        <v>2.4855800000000001</v>
      </c>
      <c r="V9963">
        <v>0.1519469</v>
      </c>
      <c r="W9963">
        <v>-7.1881470000000003E-2</v>
      </c>
      <c r="X9963">
        <v>0.98577139999999996</v>
      </c>
      <c r="Y9963">
        <v>0.54442179999999996</v>
      </c>
      <c r="Z9963">
        <v>2.6799219999999999E-2</v>
      </c>
      <c r="AA9963">
        <v>0.8383834</v>
      </c>
      <c r="AB9963">
        <v>20</v>
      </c>
      <c r="AC9963">
        <v>36.015700000000002</v>
      </c>
      <c r="AD9963">
        <v>0.681943999999999</v>
      </c>
      <c r="AE9963">
        <v>40.546100000000003</v>
      </c>
      <c r="AF9963">
        <v>29.5967072620452</v>
      </c>
      <c r="AG9963">
        <v>0.681943999999999</v>
      </c>
      <c r="AH9963">
        <v>45.433709030401303</v>
      </c>
      <c r="AI9963">
        <v>89.279455225479794</v>
      </c>
      <c r="AJ9963">
        <v>56.918726096483802</v>
      </c>
      <c r="AK9963">
        <v>54.227779270716098</v>
      </c>
      <c r="AL9963">
        <v>94.122059687737107</v>
      </c>
      <c r="AM9963">
        <v>81.237386121533305</v>
      </c>
      <c r="AN9963">
        <v>1.0000000296034599</v>
      </c>
    </row>
    <row r="9964" spans="1:40" x14ac:dyDescent="0.25">
      <c r="A9964" t="str">
        <f>"20190303154035332"</f>
        <v>20190303154035332</v>
      </c>
      <c r="B9964" t="str">
        <f>"1551598835327964"</f>
        <v>1551598835327964</v>
      </c>
      <c r="C9964" t="s">
        <v>40</v>
      </c>
      <c r="D9964">
        <v>4.7085819999999998</v>
      </c>
      <c r="E9964">
        <v>0.67319229999999997</v>
      </c>
      <c r="F9964" t="s">
        <v>66</v>
      </c>
      <c r="G9964">
        <v>-150.67850000000001</v>
      </c>
      <c r="H9964">
        <v>1.790665</v>
      </c>
      <c r="I9964">
        <v>160.82249999999999</v>
      </c>
      <c r="J9964">
        <v>-187.2484</v>
      </c>
      <c r="K9964">
        <v>1.117415</v>
      </c>
      <c r="L9964">
        <v>120.47410000000001</v>
      </c>
      <c r="M9964">
        <v>0.1551631</v>
      </c>
      <c r="N9964">
        <v>-1.4662919999999999E-2</v>
      </c>
      <c r="O9964">
        <v>0.98777999999999999</v>
      </c>
      <c r="P9964">
        <v>0.30875069999999999</v>
      </c>
      <c r="Q9964">
        <v>-8.3957409999999996E-2</v>
      </c>
      <c r="R9964">
        <v>0.94743029999999995</v>
      </c>
      <c r="S9964">
        <v>2.2241059999999999</v>
      </c>
      <c r="T9964">
        <v>4.0902019999999997E-2</v>
      </c>
      <c r="U9964">
        <v>2.4633639999999999</v>
      </c>
      <c r="V9964">
        <v>0.15733050000000001</v>
      </c>
      <c r="W9964">
        <v>-7.099859E-2</v>
      </c>
      <c r="X9964">
        <v>0.98499049999999999</v>
      </c>
      <c r="Y9964">
        <v>0.54659709999999995</v>
      </c>
      <c r="Z9964">
        <v>2.6548720000000001E-2</v>
      </c>
      <c r="AA9964">
        <v>0.83697469999999996</v>
      </c>
      <c r="AB9964">
        <v>20</v>
      </c>
      <c r="AC9964">
        <v>36.569899999999897</v>
      </c>
      <c r="AD9964">
        <v>0.67325000000000002</v>
      </c>
      <c r="AE9964">
        <v>40.348399999999899</v>
      </c>
      <c r="AF9964">
        <v>29.861080598193801</v>
      </c>
      <c r="AG9964">
        <v>0.67325000000000002</v>
      </c>
      <c r="AH9964">
        <v>45.527579671679099</v>
      </c>
      <c r="AI9964">
        <v>89.291556551011197</v>
      </c>
      <c r="AJ9964">
        <v>56.739535009752402</v>
      </c>
      <c r="AK9964">
        <v>54.450876125324299</v>
      </c>
      <c r="AL9964">
        <v>94.071344987650804</v>
      </c>
      <c r="AM9964">
        <v>80.924922722064807</v>
      </c>
      <c r="AN9964">
        <v>0.99999998555124303</v>
      </c>
    </row>
    <row r="9965" spans="1:40" x14ac:dyDescent="0.25">
      <c r="A9965" t="str">
        <f>"20190303154035343"</f>
        <v>20190303154035343</v>
      </c>
      <c r="B9965" t="str">
        <f>"1551598835337722"</f>
        <v>1551598835337722</v>
      </c>
      <c r="C9965" t="s">
        <v>40</v>
      </c>
      <c r="D9965">
        <v>4.7381880000000001</v>
      </c>
      <c r="E9965">
        <v>0.67281919999999995</v>
      </c>
      <c r="F9965" t="s">
        <v>66</v>
      </c>
      <c r="G9965">
        <v>-150.15899999999999</v>
      </c>
      <c r="H9965">
        <v>1.804562</v>
      </c>
      <c r="I9965">
        <v>160.82230000000001</v>
      </c>
      <c r="J9965">
        <v>-187.22450000000001</v>
      </c>
      <c r="K9965">
        <v>1.117389</v>
      </c>
      <c r="L9965">
        <v>120.5942</v>
      </c>
      <c r="M9965">
        <v>0.15936539999999999</v>
      </c>
      <c r="N9965">
        <v>-1.466931E-2</v>
      </c>
      <c r="O9965">
        <v>0.98711070000000001</v>
      </c>
      <c r="P9965">
        <v>0.3148841</v>
      </c>
      <c r="Q9965">
        <v>-8.4073289999999995E-2</v>
      </c>
      <c r="R9965">
        <v>0.9453992</v>
      </c>
      <c r="S9965">
        <v>2.2423709999999999</v>
      </c>
      <c r="T9965">
        <v>4.1545869999999999E-2</v>
      </c>
      <c r="U9965">
        <v>2.4393919999999998</v>
      </c>
      <c r="V9965">
        <v>0.15951660000000001</v>
      </c>
      <c r="W9965">
        <v>-7.1140809999999999E-2</v>
      </c>
      <c r="X9965">
        <v>0.98462859999999996</v>
      </c>
      <c r="Y9965">
        <v>0.55050719999999997</v>
      </c>
      <c r="Z9965">
        <v>2.6754670000000001E-2</v>
      </c>
      <c r="AA9965">
        <v>0.83440149999999902</v>
      </c>
      <c r="AB9965">
        <v>20</v>
      </c>
      <c r="AC9965">
        <v>37.0655</v>
      </c>
      <c r="AD9965">
        <v>0.68717299999999903</v>
      </c>
      <c r="AE9965">
        <v>40.228099999999998</v>
      </c>
      <c r="AF9965">
        <v>30.1752688578594</v>
      </c>
      <c r="AG9965">
        <v>0.68717299999999903</v>
      </c>
      <c r="AH9965">
        <v>45.614255219932097</v>
      </c>
      <c r="AI9965">
        <v>89.280148980401705</v>
      </c>
      <c r="AJ9965">
        <v>56.514106726758499</v>
      </c>
      <c r="AK9965">
        <v>54.696246092808998</v>
      </c>
      <c r="AL9965">
        <v>94.0795141090165</v>
      </c>
      <c r="AM9965">
        <v>80.797643140325107</v>
      </c>
      <c r="AN9965">
        <v>1.00000002023048</v>
      </c>
    </row>
    <row r="9966" spans="1:40" x14ac:dyDescent="0.25">
      <c r="A9966" t="str">
        <f>"20190303154035355"</f>
        <v>20190303154035355</v>
      </c>
      <c r="B9966" t="str">
        <f>"1551598835348459"</f>
        <v>1551598835348459</v>
      </c>
      <c r="C9966" t="s">
        <v>40</v>
      </c>
      <c r="D9966">
        <v>4.6997239999999998</v>
      </c>
      <c r="E9966">
        <v>0.672728199999999</v>
      </c>
      <c r="F9966" t="s">
        <v>66</v>
      </c>
      <c r="G9966">
        <v>-149.83320000000001</v>
      </c>
      <c r="H9966">
        <v>1.811901</v>
      </c>
      <c r="I9966">
        <v>160.82220000000001</v>
      </c>
      <c r="J9966">
        <v>-187.2054</v>
      </c>
      <c r="K9966">
        <v>1.1173770000000001</v>
      </c>
      <c r="L9966">
        <v>120.6889</v>
      </c>
      <c r="M9966">
        <v>0.1626985</v>
      </c>
      <c r="N9966">
        <v>-1.4673719999999999E-2</v>
      </c>
      <c r="O9966">
        <v>0.98656670000000002</v>
      </c>
      <c r="P9966">
        <v>0.32007289999999999</v>
      </c>
      <c r="Q9966">
        <v>-8.4954310000000005E-2</v>
      </c>
      <c r="R9966">
        <v>0.94357630000000003</v>
      </c>
      <c r="S9966">
        <v>2.2548979999999998</v>
      </c>
      <c r="T9966">
        <v>4.1884900000000003E-2</v>
      </c>
      <c r="U9966">
        <v>2.425964</v>
      </c>
      <c r="V9966">
        <v>0.16159989999999999</v>
      </c>
      <c r="W9966">
        <v>-7.2047079999999999E-2</v>
      </c>
      <c r="X9966">
        <v>0.98422290000000001</v>
      </c>
      <c r="Y9966">
        <v>0.55229810000000001</v>
      </c>
      <c r="Z9966">
        <v>2.6852750000000002E-2</v>
      </c>
      <c r="AA9966">
        <v>0.83321409999999996</v>
      </c>
      <c r="AB9966">
        <v>20</v>
      </c>
      <c r="AC9966">
        <v>37.3721999999999</v>
      </c>
      <c r="AD9966">
        <v>0.69452399999999903</v>
      </c>
      <c r="AE9966">
        <v>40.133299999999998</v>
      </c>
      <c r="AF9966">
        <v>30.338941488263799</v>
      </c>
      <c r="AG9966">
        <v>0.69452399999999903</v>
      </c>
      <c r="AH9966">
        <v>45.672171351752901</v>
      </c>
      <c r="AI9966">
        <v>89.274289537630494</v>
      </c>
      <c r="AJ9966">
        <v>56.404853705505197</v>
      </c>
      <c r="AK9966">
        <v>54.835034149699901</v>
      </c>
      <c r="AL9966">
        <v>94.131573175903497</v>
      </c>
      <c r="AM9966">
        <v>80.675780951388404</v>
      </c>
      <c r="AN9966">
        <v>1.00000001315047</v>
      </c>
    </row>
    <row r="9967" spans="1:40" x14ac:dyDescent="0.25">
      <c r="A9967" t="str">
        <f>"20190303154035367"</f>
        <v>20190303154035367</v>
      </c>
      <c r="B9967" t="str">
        <f>"1551598835358218"</f>
        <v>1551598835358218</v>
      </c>
      <c r="C9967" t="s">
        <v>40</v>
      </c>
      <c r="D9967">
        <v>4.7261389999999999</v>
      </c>
      <c r="E9967">
        <v>0.672728199999999</v>
      </c>
      <c r="F9967" t="s">
        <v>66</v>
      </c>
      <c r="G9967">
        <v>-149.51329999999999</v>
      </c>
      <c r="H9967">
        <v>1.799156</v>
      </c>
      <c r="I9967">
        <v>160.82210000000001</v>
      </c>
      <c r="J9967">
        <v>-187.18440000000001</v>
      </c>
      <c r="K9967">
        <v>1.1173679999999999</v>
      </c>
      <c r="L9967">
        <v>120.7906</v>
      </c>
      <c r="M9967">
        <v>0.1662961</v>
      </c>
      <c r="N9967">
        <v>-1.467796E-2</v>
      </c>
      <c r="O9967">
        <v>0.98596660000000003</v>
      </c>
      <c r="P9967">
        <v>0.32485330000000001</v>
      </c>
      <c r="Q9967">
        <v>-8.6203829999999995E-2</v>
      </c>
      <c r="R9967">
        <v>0.94182770000000005</v>
      </c>
      <c r="S9967">
        <v>2.2671969999999999</v>
      </c>
      <c r="T9967">
        <v>4.1011209999999999E-2</v>
      </c>
      <c r="U9967">
        <v>2.4140320000000002</v>
      </c>
      <c r="V9967">
        <v>0.16300429999999999</v>
      </c>
      <c r="W9967">
        <v>-7.331348E-2</v>
      </c>
      <c r="X9967">
        <v>0.98389769999999999</v>
      </c>
      <c r="Y9967">
        <v>0.55357159999999905</v>
      </c>
      <c r="Z9967">
        <v>2.6565849999999998E-2</v>
      </c>
      <c r="AA9967">
        <v>0.83237779999999995</v>
      </c>
      <c r="AB9967">
        <v>20</v>
      </c>
      <c r="AC9967">
        <v>37.671100000000003</v>
      </c>
      <c r="AD9967">
        <v>0.68178799999999995</v>
      </c>
      <c r="AE9967">
        <v>40.031500000000001</v>
      </c>
      <c r="AF9967">
        <v>30.483959421922101</v>
      </c>
      <c r="AG9967">
        <v>0.68178799999999995</v>
      </c>
      <c r="AH9967">
        <v>45.732171719143899</v>
      </c>
      <c r="AI9967">
        <v>89.289284684724194</v>
      </c>
      <c r="AJ9967">
        <v>56.313536560591203</v>
      </c>
      <c r="AK9967">
        <v>54.965153934684899</v>
      </c>
      <c r="AL9967">
        <v>94.204325118342894</v>
      </c>
      <c r="AM9967">
        <v>80.5931366323925</v>
      </c>
      <c r="AN9967">
        <v>0.99999997611674396</v>
      </c>
    </row>
    <row r="9968" spans="1:40" x14ac:dyDescent="0.25">
      <c r="A9968" t="str">
        <f>"20190303154035378"</f>
        <v>20190303154035378</v>
      </c>
      <c r="B9968" t="str">
        <f>"1551598835367978"</f>
        <v>1551598835367978</v>
      </c>
      <c r="C9968" t="s">
        <v>40</v>
      </c>
      <c r="D9968">
        <v>4.7614359999999998</v>
      </c>
      <c r="E9968">
        <v>0.66737809999999997</v>
      </c>
      <c r="F9968" t="s">
        <v>66</v>
      </c>
      <c r="G9968">
        <v>-149.21549999999999</v>
      </c>
      <c r="H9968">
        <v>1.777414</v>
      </c>
      <c r="I9968">
        <v>160.822</v>
      </c>
      <c r="J9968">
        <v>-187.16319999999999</v>
      </c>
      <c r="K9968">
        <v>1.117364</v>
      </c>
      <c r="L9968">
        <v>120.89109999999999</v>
      </c>
      <c r="M9968">
        <v>0.16987469999999999</v>
      </c>
      <c r="N9968">
        <v>-1.468145E-2</v>
      </c>
      <c r="O9968">
        <v>0.98535629999999996</v>
      </c>
      <c r="P9968">
        <v>0.32967239999999998</v>
      </c>
      <c r="Q9968">
        <v>-8.7507790000000002E-2</v>
      </c>
      <c r="R9968">
        <v>0.94003110000000001</v>
      </c>
      <c r="S9968">
        <v>2.2790530000000002</v>
      </c>
      <c r="T9968">
        <v>3.9620759999999998E-2</v>
      </c>
      <c r="U9968">
        <v>2.402847</v>
      </c>
      <c r="V9968">
        <v>0.1644767</v>
      </c>
      <c r="W9968">
        <v>-7.463438E-2</v>
      </c>
      <c r="X9968">
        <v>0.98355329999999996</v>
      </c>
      <c r="Y9968">
        <v>0.55465140000000002</v>
      </c>
      <c r="Z9968">
        <v>2.6114680000000001E-2</v>
      </c>
      <c r="AA9968">
        <v>0.83167289999999905</v>
      </c>
      <c r="AB9968">
        <v>20</v>
      </c>
      <c r="AC9968">
        <v>37.947699999999998</v>
      </c>
      <c r="AD9968">
        <v>0.66005000000000003</v>
      </c>
      <c r="AE9968">
        <v>39.930900000000001</v>
      </c>
      <c r="AF9968">
        <v>30.607660610422499</v>
      </c>
      <c r="AG9968">
        <v>0.66005000000000003</v>
      </c>
      <c r="AH9968">
        <v>45.790879852465203</v>
      </c>
      <c r="AI9968">
        <v>89.313410561368798</v>
      </c>
      <c r="AJ9968">
        <v>56.240336095102499</v>
      </c>
      <c r="AK9968">
        <v>55.0823858570797</v>
      </c>
      <c r="AL9968">
        <v>94.280215009085296</v>
      </c>
      <c r="AM9968">
        <v>80.506441763119696</v>
      </c>
      <c r="AN9968">
        <v>0.99999998473088203</v>
      </c>
    </row>
    <row r="9969" spans="1:40" x14ac:dyDescent="0.25">
      <c r="A9969" t="str">
        <f>"20190303154035391"</f>
        <v>20190303154035391</v>
      </c>
      <c r="B9969" t="str">
        <f>"1551598835387498"</f>
        <v>1551598835387498</v>
      </c>
      <c r="C9969" t="s">
        <v>40</v>
      </c>
      <c r="D9969">
        <v>4.9714989999999997</v>
      </c>
      <c r="E9969">
        <v>0.66737809999999997</v>
      </c>
      <c r="F9969" t="s">
        <v>66</v>
      </c>
      <c r="G9969">
        <v>-149.76</v>
      </c>
      <c r="H9969">
        <v>1.270267</v>
      </c>
      <c r="I9969">
        <v>160.82239999999999</v>
      </c>
      <c r="J9969">
        <v>-187.1396</v>
      </c>
      <c r="K9969">
        <v>1.117359</v>
      </c>
      <c r="L9969">
        <v>121.0016</v>
      </c>
      <c r="M9969">
        <v>0.17382619999999999</v>
      </c>
      <c r="N9969">
        <v>-1.468495E-2</v>
      </c>
      <c r="O9969">
        <v>0.98466690000000001</v>
      </c>
      <c r="P9969">
        <v>0.33480700000000002</v>
      </c>
      <c r="Q9969">
        <v>-8.8714119999999994E-2</v>
      </c>
      <c r="R9969">
        <v>0.93810130000000003</v>
      </c>
      <c r="S9969">
        <v>2.2507480000000002</v>
      </c>
      <c r="T9969">
        <v>9.2029569999999995E-3</v>
      </c>
      <c r="U9969">
        <v>2.4028779999999998</v>
      </c>
      <c r="V9969">
        <v>0.1659146</v>
      </c>
      <c r="W9969">
        <v>-7.5856660000000006E-2</v>
      </c>
      <c r="X9969">
        <v>0.98321829999999999</v>
      </c>
      <c r="Y9969">
        <v>0.54620049999999998</v>
      </c>
      <c r="Z9969">
        <v>1.6598979999999999E-2</v>
      </c>
      <c r="AA9969">
        <v>0.83749010000000002</v>
      </c>
      <c r="AB9969">
        <v>20</v>
      </c>
      <c r="AC9969">
        <v>37.379600000000003</v>
      </c>
      <c r="AD9969">
        <v>0.15290799999999999</v>
      </c>
      <c r="AE9969">
        <v>39.820799999999899</v>
      </c>
      <c r="AF9969">
        <v>29.8875435477553</v>
      </c>
      <c r="AG9969">
        <v>0.15290799999999999</v>
      </c>
      <c r="AH9969">
        <v>45.712346125722803</v>
      </c>
      <c r="AI9969">
        <v>89.839589225994203</v>
      </c>
      <c r="AJ9969">
        <v>56.822628167696401</v>
      </c>
      <c r="AK9969">
        <v>54.6159979172158</v>
      </c>
      <c r="AL9969">
        <v>94.350445288683602</v>
      </c>
      <c r="AM9969">
        <v>80.421774718594904</v>
      </c>
      <c r="AN9969">
        <v>1.0000000564072</v>
      </c>
    </row>
    <row r="9970" spans="1:40" x14ac:dyDescent="0.25">
      <c r="A9970" t="str">
        <f>"20190303154035403"</f>
        <v>20190303154035403</v>
      </c>
      <c r="B9970" t="str">
        <f>"1551598835398234"</f>
        <v>1551598835398234</v>
      </c>
      <c r="C9970" t="s">
        <v>40</v>
      </c>
      <c r="D9970">
        <v>4.9110209999999999</v>
      </c>
      <c r="E9970">
        <v>0.66273419999999905</v>
      </c>
      <c r="F9970" t="s">
        <v>66</v>
      </c>
      <c r="G9970">
        <v>-149.43029999999999</v>
      </c>
      <c r="H9970">
        <v>1.2283379999999999</v>
      </c>
      <c r="I9970">
        <v>160.82230000000001</v>
      </c>
      <c r="J9970">
        <v>-187.11680000000001</v>
      </c>
      <c r="K9970">
        <v>1.1173519999999999</v>
      </c>
      <c r="L9970">
        <v>121.1054</v>
      </c>
      <c r="M9970">
        <v>0.17755940000000001</v>
      </c>
      <c r="N9970">
        <v>-1.4687530000000001E-2</v>
      </c>
      <c r="O9970">
        <v>0.98400049999999994</v>
      </c>
      <c r="P9970">
        <v>0.34131549999999999</v>
      </c>
      <c r="Q9970">
        <v>-9.1659149999999995E-2</v>
      </c>
      <c r="R9970">
        <v>0.93546899999999999</v>
      </c>
      <c r="S9970">
        <v>2.2638400000000001</v>
      </c>
      <c r="T9970">
        <v>6.664634E-3</v>
      </c>
      <c r="U9970">
        <v>2.3905940000000001</v>
      </c>
      <c r="V9970">
        <v>0.1690333</v>
      </c>
      <c r="W9970">
        <v>-7.8840279999999999E-2</v>
      </c>
      <c r="X9970">
        <v>0.98245199999999999</v>
      </c>
      <c r="Y9970">
        <v>0.54759590000000002</v>
      </c>
      <c r="Z9970">
        <v>1.577516E-2</v>
      </c>
      <c r="AA9970">
        <v>0.83659419999999995</v>
      </c>
      <c r="AB9970">
        <v>20</v>
      </c>
      <c r="AC9970">
        <v>37.686500000000002</v>
      </c>
      <c r="AD9970">
        <v>0.110985999999999</v>
      </c>
      <c r="AE9970">
        <v>39.716900000000003</v>
      </c>
      <c r="AF9970">
        <v>30.034541539121602</v>
      </c>
      <c r="AG9970">
        <v>0.110985999999999</v>
      </c>
      <c r="AH9970">
        <v>45.777790540416298</v>
      </c>
      <c r="AI9970">
        <v>89.883855775945904</v>
      </c>
      <c r="AJ9970">
        <v>56.731353156662998</v>
      </c>
      <c r="AK9970">
        <v>54.751183641266103</v>
      </c>
      <c r="AL9970">
        <v>94.521908163142399</v>
      </c>
      <c r="AM9970">
        <v>80.2376984495084</v>
      </c>
      <c r="AN9970">
        <v>0.99999998928168399</v>
      </c>
    </row>
    <row r="9971" spans="1:40" x14ac:dyDescent="0.25">
      <c r="A9971" t="str">
        <f>"20190303154035414"</f>
        <v>20190303154035414</v>
      </c>
      <c r="B9971" t="str">
        <f>"1551598835407994"</f>
        <v>1551598835407994</v>
      </c>
      <c r="C9971" t="s">
        <v>40</v>
      </c>
      <c r="D9971">
        <v>5.0067079999999997</v>
      </c>
      <c r="E9971">
        <v>0.65675899999999998</v>
      </c>
      <c r="F9971" t="s">
        <v>66</v>
      </c>
      <c r="G9971">
        <v>-149.72229999999999</v>
      </c>
      <c r="H9971">
        <v>0.55678749999999999</v>
      </c>
      <c r="I9971">
        <v>160.82259999999999</v>
      </c>
      <c r="J9971">
        <v>-187.09520000000001</v>
      </c>
      <c r="K9971">
        <v>1.1173420000000001</v>
      </c>
      <c r="L9971">
        <v>121.2022</v>
      </c>
      <c r="M9971">
        <v>0.18105450000000001</v>
      </c>
      <c r="N9971">
        <v>-1.468963E-2</v>
      </c>
      <c r="O9971">
        <v>0.9833634</v>
      </c>
      <c r="P9971">
        <v>0.3462364</v>
      </c>
      <c r="Q9971">
        <v>-9.4482150000000001E-2</v>
      </c>
      <c r="R9971">
        <v>0.93337740000000002</v>
      </c>
      <c r="S9971">
        <v>2.2450559999999999</v>
      </c>
      <c r="T9971">
        <v>-3.3652420000000002E-2</v>
      </c>
      <c r="U9971">
        <v>2.384506</v>
      </c>
      <c r="V9971">
        <v>0.17073749999999999</v>
      </c>
      <c r="W9971">
        <v>-8.1685129999999995E-2</v>
      </c>
      <c r="X9971">
        <v>0.98192480000000004</v>
      </c>
      <c r="Y9971">
        <v>0.54223980000000005</v>
      </c>
      <c r="Z9971">
        <v>3.0096699999999999E-3</v>
      </c>
      <c r="AA9971">
        <v>0.84021840000000003</v>
      </c>
      <c r="AB9971">
        <v>20</v>
      </c>
      <c r="AC9971">
        <v>37.372900000000001</v>
      </c>
      <c r="AD9971">
        <v>-0.56055449999999996</v>
      </c>
      <c r="AE9971">
        <v>39.620399999999897</v>
      </c>
      <c r="AF9971">
        <v>29.5777476842715</v>
      </c>
      <c r="AG9971">
        <v>-0.56055449999999996</v>
      </c>
      <c r="AH9971">
        <v>45.727871693708202</v>
      </c>
      <c r="AI9971">
        <v>90.589723247578306</v>
      </c>
      <c r="AJ9971">
        <v>57.1043629987796</v>
      </c>
      <c r="AK9971">
        <v>54.462791234549698</v>
      </c>
      <c r="AL9971">
        <v>94.685433486582397</v>
      </c>
      <c r="AM9971">
        <v>80.136007188557798</v>
      </c>
      <c r="AN9971">
        <v>1.0000000336121999</v>
      </c>
    </row>
    <row r="9972" spans="1:40" x14ac:dyDescent="0.25">
      <c r="A9972" t="str">
        <f>"20190303154035431"</f>
        <v>20190303154035431</v>
      </c>
      <c r="B9972" t="str">
        <f>"1551598835427515"</f>
        <v>1551598835427515</v>
      </c>
      <c r="C9972" t="s">
        <v>40</v>
      </c>
      <c r="D9972">
        <v>5.0135100000000001</v>
      </c>
      <c r="E9972">
        <v>0.66153689999999998</v>
      </c>
      <c r="F9972" t="s">
        <v>42</v>
      </c>
      <c r="G9972">
        <v>-162.70859999999999</v>
      </c>
      <c r="H9972" s="1">
        <v>-5.0642499999999998E-6</v>
      </c>
      <c r="I9972">
        <v>147.46979999999999</v>
      </c>
      <c r="J9972">
        <v>-187.0624</v>
      </c>
      <c r="K9972">
        <v>1.1173409999999999</v>
      </c>
      <c r="L9972">
        <v>121.3462</v>
      </c>
      <c r="M9972">
        <v>0.18627840000000001</v>
      </c>
      <c r="N9972">
        <v>-1.4692169999999999E-2</v>
      </c>
      <c r="O9972">
        <v>0.98238709999999996</v>
      </c>
      <c r="P9972">
        <v>0.35457620000000001</v>
      </c>
      <c r="Q9972">
        <v>-9.8401840000000004E-2</v>
      </c>
      <c r="R9972">
        <v>0.92983479999999996</v>
      </c>
      <c r="S9972">
        <v>2.2125089999999998</v>
      </c>
      <c r="T9972">
        <v>-0.1013727</v>
      </c>
      <c r="U9972">
        <v>2.3831630000000001</v>
      </c>
      <c r="V9972">
        <v>0.17433999999999999</v>
      </c>
      <c r="W9972">
        <v>-8.565043E-2</v>
      </c>
      <c r="X9972">
        <v>0.98095339999999998</v>
      </c>
      <c r="Y9972">
        <v>0.53166780000000002</v>
      </c>
      <c r="Z9972">
        <v>-1.8642280000000001E-2</v>
      </c>
      <c r="AA9972">
        <v>0.84674780000000005</v>
      </c>
      <c r="AB9972">
        <v>19</v>
      </c>
      <c r="AC9972">
        <v>24.3538</v>
      </c>
      <c r="AD9972">
        <v>-1.1173460642499999</v>
      </c>
      <c r="AE9972">
        <v>26.1236</v>
      </c>
      <c r="AF9972">
        <v>19.0420170314644</v>
      </c>
      <c r="AG9972">
        <v>-1.1173460642499999</v>
      </c>
      <c r="AH9972">
        <v>30.1738027996076</v>
      </c>
      <c r="AI9972">
        <v>91.793678240864196</v>
      </c>
      <c r="AJ9972">
        <v>57.744886387572201</v>
      </c>
      <c r="AK9972">
        <v>35.6974123746174</v>
      </c>
      <c r="AL9972">
        <v>94.913428156573403</v>
      </c>
      <c r="AM9972">
        <v>79.922330112986003</v>
      </c>
      <c r="AN9972">
        <v>1.0000000023653699</v>
      </c>
    </row>
    <row r="9973" spans="1:40" x14ac:dyDescent="0.25">
      <c r="A9973" t="str">
        <f>"20190303154035455"</f>
        <v>20190303154035455</v>
      </c>
      <c r="B9973" t="str">
        <f>"1551598835448012"</f>
        <v>1551598835448012</v>
      </c>
      <c r="C9973" t="s">
        <v>40</v>
      </c>
      <c r="D9973">
        <v>5.1415449999999998</v>
      </c>
      <c r="E9973">
        <v>0.66971700000000001</v>
      </c>
      <c r="F9973" t="s">
        <v>42</v>
      </c>
      <c r="G9973">
        <v>-163.6096</v>
      </c>
      <c r="H9973" s="1">
        <v>-4.3906930000000002E-6</v>
      </c>
      <c r="I9973">
        <v>145.6232</v>
      </c>
      <c r="J9973">
        <v>-187.01410000000001</v>
      </c>
      <c r="K9973">
        <v>1.1173439999999999</v>
      </c>
      <c r="L9973">
        <v>121.5517</v>
      </c>
      <c r="M9973">
        <v>0.19379660000000001</v>
      </c>
      <c r="N9973">
        <v>-1.4695069999999999E-2</v>
      </c>
      <c r="O9973">
        <v>0.98093160000000001</v>
      </c>
      <c r="P9973">
        <v>0.36542249999999998</v>
      </c>
      <c r="Q9973">
        <v>-0.1006169</v>
      </c>
      <c r="R9973">
        <v>0.92538779999999998</v>
      </c>
      <c r="S9973">
        <v>2.2696839999999998</v>
      </c>
      <c r="T9973">
        <v>-0.1081326</v>
      </c>
      <c r="U9973">
        <v>2.3494419999999998</v>
      </c>
      <c r="V9973">
        <v>0.17831320000000001</v>
      </c>
      <c r="W9973">
        <v>-8.7915129999999994E-2</v>
      </c>
      <c r="X9973">
        <v>0.98003850000000003</v>
      </c>
      <c r="Y9973">
        <v>0.54191319999999998</v>
      </c>
      <c r="Z9973">
        <v>-2.0772539999999999E-2</v>
      </c>
      <c r="AA9973">
        <v>0.84017770000000003</v>
      </c>
      <c r="AB9973">
        <v>19</v>
      </c>
      <c r="AC9973">
        <v>23.404499999999999</v>
      </c>
      <c r="AD9973">
        <v>-1.117348390693</v>
      </c>
      <c r="AE9973">
        <v>24.0715</v>
      </c>
      <c r="AF9973">
        <v>18.274974531679302</v>
      </c>
      <c r="AG9973">
        <v>-1.117348390693</v>
      </c>
      <c r="AH9973">
        <v>28.120103942046001</v>
      </c>
      <c r="AI9973">
        <v>91.908224168820396</v>
      </c>
      <c r="AJ9973">
        <v>56.980563013024899</v>
      </c>
      <c r="AK9973">
        <v>33.555378216780497</v>
      </c>
      <c r="AL9973">
        <v>95.0436770194313</v>
      </c>
      <c r="AM9973">
        <v>79.688114675716605</v>
      </c>
      <c r="AN9973">
        <v>1.0000000644297</v>
      </c>
    </row>
    <row r="9974" spans="1:40" x14ac:dyDescent="0.25">
      <c r="A9974" t="str">
        <f>"20190303154035476"</f>
        <v>20190303154035476</v>
      </c>
      <c r="B9974" t="str">
        <f>"1551598835467530"</f>
        <v>1551598835467530</v>
      </c>
      <c r="C9974" t="s">
        <v>40</v>
      </c>
      <c r="D9974">
        <v>4.5709299999999997</v>
      </c>
      <c r="E9974">
        <v>0.7486275</v>
      </c>
      <c r="F9974" t="s">
        <v>42</v>
      </c>
      <c r="G9974">
        <v>-168.78989999999999</v>
      </c>
      <c r="H9974" s="1">
        <v>-6.099538E-7</v>
      </c>
      <c r="I9974">
        <v>139.29230000000001</v>
      </c>
      <c r="J9974">
        <v>-186.9708</v>
      </c>
      <c r="K9974">
        <v>1.117329</v>
      </c>
      <c r="L9974">
        <v>121.7294</v>
      </c>
      <c r="M9974">
        <v>0.20035890000000001</v>
      </c>
      <c r="N9974">
        <v>-1.4697490000000001E-2</v>
      </c>
      <c r="O9974">
        <v>0.97961240000000005</v>
      </c>
      <c r="P9974">
        <v>0.3754903</v>
      </c>
      <c r="Q9974">
        <v>-0.1022197</v>
      </c>
      <c r="R9974">
        <v>0.92117210000000005</v>
      </c>
      <c r="S9974">
        <v>2.3577119999999998</v>
      </c>
      <c r="T9974">
        <v>-0.1445543</v>
      </c>
      <c r="U9974">
        <v>2.295166</v>
      </c>
      <c r="V9974">
        <v>0.18244879999999999</v>
      </c>
      <c r="W9974">
        <v>-8.9572209999999999E-2</v>
      </c>
      <c r="X9974">
        <v>0.97912679999999996</v>
      </c>
      <c r="Y9974">
        <v>0.56166990000000006</v>
      </c>
      <c r="Z9974">
        <v>-3.2221939999999998E-2</v>
      </c>
      <c r="AA9974">
        <v>0.82673379999999996</v>
      </c>
      <c r="AB9974">
        <v>19</v>
      </c>
      <c r="AC9974">
        <v>18.180900000000001</v>
      </c>
      <c r="AD9974">
        <v>-1.1173296099537999</v>
      </c>
      <c r="AE9974">
        <v>17.562899999999999</v>
      </c>
      <c r="AF9974">
        <v>14.265024649573499</v>
      </c>
      <c r="AG9974">
        <v>-1.1173296099537999</v>
      </c>
      <c r="AH9974">
        <v>20.8091350191002</v>
      </c>
      <c r="AI9974">
        <v>92.535813324303106</v>
      </c>
      <c r="AJ9974">
        <v>55.568683325353902</v>
      </c>
      <c r="AK9974">
        <v>25.253899777130702</v>
      </c>
      <c r="AL9974">
        <v>95.138997038757594</v>
      </c>
      <c r="AM9974">
        <v>79.444659514441994</v>
      </c>
      <c r="AN9974">
        <v>1.0000000179519799</v>
      </c>
    </row>
    <row r="9975" spans="1:40" x14ac:dyDescent="0.25">
      <c r="A9975" t="str">
        <f>"20190303154035498"</f>
        <v>20190303154035498</v>
      </c>
      <c r="B9975" t="str">
        <f>"1551598835488026"</f>
        <v>1551598835488026</v>
      </c>
      <c r="C9975" t="s">
        <v>40</v>
      </c>
      <c r="D9975">
        <v>4.2111599999999996</v>
      </c>
      <c r="E9975">
        <v>0.758391699999999</v>
      </c>
      <c r="F9975" t="s">
        <v>66</v>
      </c>
      <c r="G9975">
        <v>-130.33840000000001</v>
      </c>
      <c r="H9975">
        <v>1.362045</v>
      </c>
      <c r="I9975">
        <v>160.8159</v>
      </c>
      <c r="J9975">
        <v>-186.9228</v>
      </c>
      <c r="K9975">
        <v>1.1173070000000001</v>
      </c>
      <c r="L9975">
        <v>121.9207</v>
      </c>
      <c r="M9975">
        <v>0.20750070000000001</v>
      </c>
      <c r="N9975">
        <v>-1.4700660000000001E-2</v>
      </c>
      <c r="O9975">
        <v>0.9781244</v>
      </c>
      <c r="P9975">
        <v>0.3872427</v>
      </c>
      <c r="Q9975">
        <v>-0.10251200000000001</v>
      </c>
      <c r="R9975">
        <v>0.91626110000000005</v>
      </c>
      <c r="S9975">
        <v>2.9678650000000002</v>
      </c>
      <c r="T9975">
        <v>1.282632E-2</v>
      </c>
      <c r="U9975">
        <v>2.0483549999999999</v>
      </c>
      <c r="V9975">
        <v>0.1878184</v>
      </c>
      <c r="W9975">
        <v>-8.9937500000000004E-2</v>
      </c>
      <c r="X9975">
        <v>0.97807750000000004</v>
      </c>
      <c r="Y9975">
        <v>0.6870501</v>
      </c>
      <c r="Z9975">
        <v>1.6938809999999999E-2</v>
      </c>
      <c r="AA9975">
        <v>0.72641259999999996</v>
      </c>
      <c r="AB9975">
        <v>19</v>
      </c>
      <c r="AC9975">
        <v>56.584399999999903</v>
      </c>
      <c r="AD9975">
        <v>0.24473800000000001</v>
      </c>
      <c r="AE9975">
        <v>38.895200000000003</v>
      </c>
      <c r="AF9975">
        <v>47.280309798522303</v>
      </c>
      <c r="AG9975">
        <v>0.24473800000000001</v>
      </c>
      <c r="AH9975">
        <v>49.790394863480202</v>
      </c>
      <c r="AI9975">
        <v>89.795777368544506</v>
      </c>
      <c r="AJ9975">
        <v>46.481242350075199</v>
      </c>
      <c r="AK9975">
        <v>68.662733793479106</v>
      </c>
      <c r="AL9975">
        <v>95.1600112610803</v>
      </c>
      <c r="AM9975">
        <v>79.129919862685398</v>
      </c>
      <c r="AN9975">
        <v>1.00000005064552</v>
      </c>
    </row>
    <row r="9976" spans="1:40" x14ac:dyDescent="0.25">
      <c r="A9976" t="str">
        <f>"20190303154035520"</f>
        <v>20190303154035520</v>
      </c>
      <c r="B9976" t="str">
        <f>"1551598835518282"</f>
        <v>1551598835518282</v>
      </c>
      <c r="C9976" t="s">
        <v>40</v>
      </c>
      <c r="D9976">
        <v>5.0780560000000001</v>
      </c>
      <c r="E9976">
        <v>0.74742259999999905</v>
      </c>
      <c r="F9976" t="s">
        <v>66</v>
      </c>
      <c r="G9976">
        <v>-126.7709</v>
      </c>
      <c r="H9976">
        <v>1.848894</v>
      </c>
      <c r="I9976">
        <v>160.81450000000001</v>
      </c>
      <c r="J9976">
        <v>-186.87469999999999</v>
      </c>
      <c r="K9976">
        <v>1.117267</v>
      </c>
      <c r="L9976">
        <v>122.1062</v>
      </c>
      <c r="M9976">
        <v>0.21453240000000001</v>
      </c>
      <c r="N9976">
        <v>-1.4705279999999999E-2</v>
      </c>
      <c r="O9976">
        <v>0.97660610000000003</v>
      </c>
      <c r="P9976">
        <v>0.39917740000000002</v>
      </c>
      <c r="Q9976">
        <v>-0.1022677</v>
      </c>
      <c r="R9976">
        <v>0.91115239999999997</v>
      </c>
      <c r="S9976">
        <v>3.0660859999999999</v>
      </c>
      <c r="T9976">
        <v>3.7292480000000003E-2</v>
      </c>
      <c r="U9976">
        <v>1.982513</v>
      </c>
      <c r="V9976">
        <v>0.19353319999999999</v>
      </c>
      <c r="W9976">
        <v>-8.9777259999999998E-2</v>
      </c>
      <c r="X9976">
        <v>0.97697750000000005</v>
      </c>
      <c r="Y9976">
        <v>0.70342780000000005</v>
      </c>
      <c r="Z9976">
        <v>2.3939809999999999E-2</v>
      </c>
      <c r="AA9976">
        <v>0.71036339999999998</v>
      </c>
      <c r="AB9976">
        <v>19</v>
      </c>
      <c r="AC9976">
        <v>60.1037999999999</v>
      </c>
      <c r="AD9976">
        <v>0.73162699999999903</v>
      </c>
      <c r="AE9976">
        <v>38.708300000000001</v>
      </c>
      <c r="AF9976">
        <v>50.393728074109397</v>
      </c>
      <c r="AG9976">
        <v>0.73162699999999903</v>
      </c>
      <c r="AH9976">
        <v>50.697150276435998</v>
      </c>
      <c r="AI9976">
        <v>89.413594190885107</v>
      </c>
      <c r="AJ9976">
        <v>45.171971593104402</v>
      </c>
      <c r="AK9976">
        <v>71.486111612158297</v>
      </c>
      <c r="AL9976">
        <v>95.150792919733107</v>
      </c>
      <c r="AM9976">
        <v>78.795121652959097</v>
      </c>
      <c r="AN9976">
        <v>1.00000004571079</v>
      </c>
    </row>
    <row r="9977" spans="1:40" x14ac:dyDescent="0.25">
      <c r="A9977" t="str">
        <f>"20190303154035542"</f>
        <v>20190303154035542</v>
      </c>
      <c r="B9977" t="str">
        <f>"1551598835537806"</f>
        <v>1551598835537806</v>
      </c>
      <c r="C9977" t="s">
        <v>40</v>
      </c>
      <c r="D9977">
        <v>5.0825879999999897</v>
      </c>
      <c r="E9977">
        <v>0.74112889999999998</v>
      </c>
      <c r="F9977" t="s">
        <v>66</v>
      </c>
      <c r="G9977">
        <v>-127.7266</v>
      </c>
      <c r="H9977">
        <v>0.52437019999999901</v>
      </c>
      <c r="I9977">
        <v>160.81530000000001</v>
      </c>
      <c r="J9977">
        <v>-186.82390000000001</v>
      </c>
      <c r="K9977">
        <v>1.1172059999999999</v>
      </c>
      <c r="L9977">
        <v>122.29600000000001</v>
      </c>
      <c r="M9977">
        <v>0.2218608</v>
      </c>
      <c r="N9977">
        <v>-1.471252E-2</v>
      </c>
      <c r="O9977">
        <v>0.97496740000000004</v>
      </c>
      <c r="P9977">
        <v>0.41133409999999898</v>
      </c>
      <c r="Q9977">
        <v>-0.1027016</v>
      </c>
      <c r="R9977">
        <v>0.90568020000000005</v>
      </c>
      <c r="S9977">
        <v>3.0105439999999999</v>
      </c>
      <c r="T9977">
        <v>-3.0175810000000001E-2</v>
      </c>
      <c r="U9977">
        <v>1.9702299999999999</v>
      </c>
      <c r="V9977">
        <v>0.19925119999999999</v>
      </c>
      <c r="W9977">
        <v>-9.0306109999999995E-2</v>
      </c>
      <c r="X9977">
        <v>0.97577860000000005</v>
      </c>
      <c r="Y9977">
        <v>0.69428040000000002</v>
      </c>
      <c r="Z9977">
        <v>4.0983970000000002E-3</v>
      </c>
      <c r="AA9977">
        <v>0.71969289999999997</v>
      </c>
      <c r="AB9977">
        <v>19</v>
      </c>
      <c r="AC9977">
        <v>59.097299999999997</v>
      </c>
      <c r="AD9977">
        <v>-0.59283580000000002</v>
      </c>
      <c r="AE9977">
        <v>38.519300000000001</v>
      </c>
      <c r="AF9977">
        <v>49.073861626042998</v>
      </c>
      <c r="AG9977">
        <v>-0.59283580000000002</v>
      </c>
      <c r="AH9977">
        <v>50.6683393331137</v>
      </c>
      <c r="AI9977">
        <v>90.481534484505403</v>
      </c>
      <c r="AJ9977">
        <v>45.915851678838401</v>
      </c>
      <c r="AK9977">
        <v>70.539889140495106</v>
      </c>
      <c r="AL9977">
        <v>95.181217326553295</v>
      </c>
      <c r="AM9977">
        <v>78.459025989965696</v>
      </c>
      <c r="AN9977">
        <v>1.0000000552113599</v>
      </c>
    </row>
    <row r="9978" spans="1:40" x14ac:dyDescent="0.25">
      <c r="A9978" t="str">
        <f>"20190303154035587"</f>
        <v>20190303154035587</v>
      </c>
      <c r="B9978" t="str">
        <f>"1551598835577822"</f>
        <v>1551598835577822</v>
      </c>
      <c r="C9978" t="s">
        <v>40</v>
      </c>
      <c r="D9978">
        <v>5.0891080000000004</v>
      </c>
      <c r="E9978">
        <v>0.7354366</v>
      </c>
      <c r="F9978" t="s">
        <v>42</v>
      </c>
      <c r="G9978">
        <v>-139.57089999999999</v>
      </c>
      <c r="H9978">
        <v>7.9986879999999996E-2</v>
      </c>
      <c r="I9978">
        <v>153.06139999999999</v>
      </c>
      <c r="J9978">
        <v>-186.71799999999999</v>
      </c>
      <c r="K9978">
        <v>1.1170059999999999</v>
      </c>
      <c r="L9978">
        <v>122.6722</v>
      </c>
      <c r="M9978">
        <v>0.23690249999999999</v>
      </c>
      <c r="N9978">
        <v>-1.473668E-2</v>
      </c>
      <c r="O9978">
        <v>0.97142169999999906</v>
      </c>
      <c r="P9978">
        <v>0.43545119999999998</v>
      </c>
      <c r="Q9978">
        <v>-0.1098925</v>
      </c>
      <c r="R9978">
        <v>0.89347969999999899</v>
      </c>
      <c r="S9978">
        <v>2.990265</v>
      </c>
      <c r="T9978">
        <v>-6.5637349999999997E-2</v>
      </c>
      <c r="U9978">
        <v>1.9468989999999999</v>
      </c>
      <c r="V9978">
        <v>0.21037600000000001</v>
      </c>
      <c r="W9978">
        <v>-9.7719390000000003E-2</v>
      </c>
      <c r="X9978">
        <v>0.97272440000000004</v>
      </c>
      <c r="Y9978">
        <v>0.68475050000000004</v>
      </c>
      <c r="Z9978">
        <v>-6.6620960000000002E-3</v>
      </c>
      <c r="AA9978">
        <v>0.72874709999999998</v>
      </c>
      <c r="AB9978">
        <v>19</v>
      </c>
      <c r="AC9978">
        <v>47.147100000000002</v>
      </c>
      <c r="AD9978">
        <v>-1.0370191199999901</v>
      </c>
      <c r="AE9978">
        <v>30.389199999999899</v>
      </c>
      <c r="AF9978">
        <v>38.591438699584401</v>
      </c>
      <c r="AG9978">
        <v>-1.0370191199999901</v>
      </c>
      <c r="AH9978">
        <v>40.680507113879898</v>
      </c>
      <c r="AI9978">
        <v>91.059508913371801</v>
      </c>
      <c r="AJ9978">
        <v>46.509576995986201</v>
      </c>
      <c r="AK9978">
        <v>56.082779964989797</v>
      </c>
      <c r="AL9978">
        <v>95.607858154169193</v>
      </c>
      <c r="AM9978">
        <v>77.796311961820194</v>
      </c>
      <c r="AN9978">
        <v>0.99999994945666404</v>
      </c>
    </row>
    <row r="9979" spans="1:40" x14ac:dyDescent="0.25">
      <c r="A9979" t="str">
        <f>"20190303154035609"</f>
        <v>20190303154035609</v>
      </c>
      <c r="B9979" t="str">
        <f>"1551598835598314"</f>
        <v>1551598835598314</v>
      </c>
      <c r="C9979" t="s">
        <v>40</v>
      </c>
      <c r="D9979">
        <v>5.1087290000000003</v>
      </c>
      <c r="E9979">
        <v>0.73269549999999894</v>
      </c>
      <c r="F9979" t="s">
        <v>42</v>
      </c>
      <c r="G9979">
        <v>-156.0745</v>
      </c>
      <c r="H9979" s="1">
        <v>-2.2740370000000001E-6</v>
      </c>
      <c r="I9979">
        <v>141.90010000000001</v>
      </c>
      <c r="J9979">
        <v>-186.66480000000001</v>
      </c>
      <c r="K9979">
        <v>1.116886</v>
      </c>
      <c r="L9979">
        <v>122.8519</v>
      </c>
      <c r="M9979">
        <v>0.24437919999999999</v>
      </c>
      <c r="N9979">
        <v>-1.475315E-2</v>
      </c>
      <c r="O9979">
        <v>0.96956750000000003</v>
      </c>
      <c r="P9979">
        <v>0.44776840000000001</v>
      </c>
      <c r="Q9979">
        <v>-0.1109875</v>
      </c>
      <c r="R9979">
        <v>0.88723459999999998</v>
      </c>
      <c r="S9979">
        <v>2.9997410000000002</v>
      </c>
      <c r="T9979">
        <v>-0.1093457</v>
      </c>
      <c r="U9979">
        <v>1.8822479999999999</v>
      </c>
      <c r="V9979">
        <v>0.21632029999999999</v>
      </c>
      <c r="W9979">
        <v>-9.8937349999999993E-2</v>
      </c>
      <c r="X9979">
        <v>0.97129650000000001</v>
      </c>
      <c r="Y9979">
        <v>0.69112450000000003</v>
      </c>
      <c r="Z9979">
        <v>-2.0099639999999998E-2</v>
      </c>
      <c r="AA9979">
        <v>0.72245619999999999</v>
      </c>
      <c r="AB9979">
        <v>19</v>
      </c>
      <c r="AC9979">
        <v>30.590299999999999</v>
      </c>
      <c r="AD9979">
        <v>-1.1168882740369901</v>
      </c>
      <c r="AE9979">
        <v>19.048200000000001</v>
      </c>
      <c r="AF9979">
        <v>24.983099767339699</v>
      </c>
      <c r="AG9979">
        <v>-1.1168882740369901</v>
      </c>
      <c r="AH9979">
        <v>25.922071961845599</v>
      </c>
      <c r="AI9979">
        <v>91.776938164244001</v>
      </c>
      <c r="AJ9979">
        <v>46.056730421592597</v>
      </c>
      <c r="AK9979">
        <v>36.018835741825903</v>
      </c>
      <c r="AL9979">
        <v>95.677981767416497</v>
      </c>
      <c r="AM9979">
        <v>77.444402078660602</v>
      </c>
      <c r="AN9979">
        <v>0.99999998116468103</v>
      </c>
    </row>
    <row r="9980" spans="1:40" x14ac:dyDescent="0.25">
      <c r="A9980" t="str">
        <f>"20190303154035632"</f>
        <v>20190303154035632</v>
      </c>
      <c r="B9980" t="str">
        <f>"1551598835627594"</f>
        <v>1551598835627594</v>
      </c>
      <c r="C9980" t="s">
        <v>40</v>
      </c>
      <c r="D9980">
        <v>5.1488370000000003</v>
      </c>
      <c r="E9980">
        <v>0.72901870000000002</v>
      </c>
      <c r="F9980" t="s">
        <v>42</v>
      </c>
      <c r="G9980">
        <v>-159.52699999999999</v>
      </c>
      <c r="H9980" s="1">
        <v>-1.9793479999999999E-7</v>
      </c>
      <c r="I9980">
        <v>139.5445</v>
      </c>
      <c r="J9980">
        <v>-186.60749999999999</v>
      </c>
      <c r="K9980">
        <v>1.116762</v>
      </c>
      <c r="L9980">
        <v>123.03879999999999</v>
      </c>
      <c r="M9980">
        <v>0.25240639999999998</v>
      </c>
      <c r="N9980">
        <v>-1.477415E-2</v>
      </c>
      <c r="O9980">
        <v>0.96750860000000005</v>
      </c>
      <c r="P9980">
        <v>0.4606227</v>
      </c>
      <c r="Q9980">
        <v>-0.11124729999999999</v>
      </c>
      <c r="R9980">
        <v>0.88059679999999996</v>
      </c>
      <c r="S9980">
        <v>3.0057680000000002</v>
      </c>
      <c r="T9980">
        <v>-0.1237055</v>
      </c>
      <c r="U9980">
        <v>1.848862</v>
      </c>
      <c r="V9980">
        <v>0.22235640000000001</v>
      </c>
      <c r="W9980">
        <v>-9.9327390000000002E-2</v>
      </c>
      <c r="X9980">
        <v>0.96989259999999999</v>
      </c>
      <c r="Y9980">
        <v>0.69147979999999998</v>
      </c>
      <c r="Z9980">
        <v>-2.4660499999999998E-2</v>
      </c>
      <c r="AA9980">
        <v>0.72197480000000003</v>
      </c>
      <c r="AB9980">
        <v>19</v>
      </c>
      <c r="AC9980">
        <v>27.080499999999901</v>
      </c>
      <c r="AD9980">
        <v>-1.1167621979347999</v>
      </c>
      <c r="AE9980">
        <v>16.505700000000001</v>
      </c>
      <c r="AF9980">
        <v>22.009584414326799</v>
      </c>
      <c r="AG9980">
        <v>-1.1167621979347999</v>
      </c>
      <c r="AH9980">
        <v>22.778940333459801</v>
      </c>
      <c r="AI9980">
        <v>92.019238694887605</v>
      </c>
      <c r="AJ9980">
        <v>45.984102792396598</v>
      </c>
      <c r="AK9980">
        <v>31.694622361111001</v>
      </c>
      <c r="AL9980">
        <v>95.700440059757</v>
      </c>
      <c r="AM9980">
        <v>77.0875767401172</v>
      </c>
      <c r="AN9980">
        <v>0.99999997727996504</v>
      </c>
    </row>
    <row r="9981" spans="1:40" x14ac:dyDescent="0.25">
      <c r="A9981" t="str">
        <f>"20190303154035656"</f>
        <v>20190303154035656</v>
      </c>
      <c r="B9981" t="str">
        <f>"1551598835648090"</f>
        <v>1551598835648090</v>
      </c>
      <c r="C9981" t="s">
        <v>40</v>
      </c>
      <c r="D9981">
        <v>5.1089320000000003</v>
      </c>
      <c r="E9981">
        <v>0.72663369999999905</v>
      </c>
      <c r="F9981" t="s">
        <v>42</v>
      </c>
      <c r="G9981">
        <v>-162.86770000000001</v>
      </c>
      <c r="H9981" s="1">
        <v>-3.747151E-6</v>
      </c>
      <c r="I9981">
        <v>137.38849999999999</v>
      </c>
      <c r="J9981">
        <v>-186.54589999999999</v>
      </c>
      <c r="K9981">
        <v>1.1166259999999999</v>
      </c>
      <c r="L9981">
        <v>123.23260000000001</v>
      </c>
      <c r="M9981">
        <v>0.26098670000000002</v>
      </c>
      <c r="N9981">
        <v>-1.479918E-2</v>
      </c>
      <c r="O9981">
        <v>0.965229</v>
      </c>
      <c r="P9981">
        <v>0.47372520000000001</v>
      </c>
      <c r="Q9981">
        <v>-0.1120302</v>
      </c>
      <c r="R9981">
        <v>0.87351800000000002</v>
      </c>
      <c r="S9981">
        <v>3.0055999999999998</v>
      </c>
      <c r="T9981">
        <v>-0.14138889999999901</v>
      </c>
      <c r="U9981">
        <v>1.816757</v>
      </c>
      <c r="V9981">
        <v>0.22820599999999999</v>
      </c>
      <c r="W9981">
        <v>-0.1002416</v>
      </c>
      <c r="X9981">
        <v>0.96843869999999999</v>
      </c>
      <c r="Y9981">
        <v>0.69052019999999903</v>
      </c>
      <c r="Z9981">
        <v>-3.03136E-2</v>
      </c>
      <c r="AA9981">
        <v>0.72267769999999898</v>
      </c>
      <c r="AB9981">
        <v>19</v>
      </c>
      <c r="AC9981">
        <v>23.678199999999901</v>
      </c>
      <c r="AD9981">
        <v>-1.1166297471510001</v>
      </c>
      <c r="AE9981">
        <v>14.1558999999999</v>
      </c>
      <c r="AF9981">
        <v>19.131137791430099</v>
      </c>
      <c r="AG9981">
        <v>-1.1166297471510001</v>
      </c>
      <c r="AH9981">
        <v>19.813092083414301</v>
      </c>
      <c r="AI9981">
        <v>92.321663877144204</v>
      </c>
      <c r="AJ9981">
        <v>46.003206633206503</v>
      </c>
      <c r="AK9981">
        <v>27.564577143369402</v>
      </c>
      <c r="AL9981">
        <v>95.753083412362599</v>
      </c>
      <c r="AM9981">
        <v>76.740529523702804</v>
      </c>
      <c r="AN9981">
        <v>0.99999993623212302</v>
      </c>
    </row>
    <row r="9982" spans="1:40" x14ac:dyDescent="0.25">
      <c r="A9982" t="str">
        <f>"20190303154035677"</f>
        <v>20190303154035677</v>
      </c>
      <c r="B9982" t="str">
        <f>"1551598835667611"</f>
        <v>1551598835667611</v>
      </c>
      <c r="C9982" t="s">
        <v>40</v>
      </c>
      <c r="D9982">
        <v>5.149203</v>
      </c>
      <c r="E9982">
        <v>0.72487709999999905</v>
      </c>
      <c r="F9982" t="s">
        <v>42</v>
      </c>
      <c r="G9982">
        <v>-165.19820000000001</v>
      </c>
      <c r="H9982" s="1">
        <v>-2.9225809999999999E-6</v>
      </c>
      <c r="I9982">
        <v>135.82650000000001</v>
      </c>
      <c r="J9982">
        <v>-186.4863</v>
      </c>
      <c r="K9982">
        <v>1.1165099999999999</v>
      </c>
      <c r="L9982">
        <v>123.41419999999999</v>
      </c>
      <c r="M9982">
        <v>0.2692272</v>
      </c>
      <c r="N9982">
        <v>-1.482319E-2</v>
      </c>
      <c r="O9982">
        <v>0.9629626</v>
      </c>
      <c r="P9982">
        <v>0.48750369999999998</v>
      </c>
      <c r="Q9982">
        <v>-0.1133252</v>
      </c>
      <c r="R9982">
        <v>0.86573519999999904</v>
      </c>
      <c r="S9982">
        <v>3.0153660000000002</v>
      </c>
      <c r="T9982">
        <v>-0.15772340000000001</v>
      </c>
      <c r="U9982">
        <v>1.7788849999999901</v>
      </c>
      <c r="V9982">
        <v>0.23525850000000001</v>
      </c>
      <c r="W9982">
        <v>-0.1016774</v>
      </c>
      <c r="X9982">
        <v>0.96659980000000001</v>
      </c>
      <c r="Y9982">
        <v>0.69190629999999997</v>
      </c>
      <c r="Z9982">
        <v>-3.5558260000000001E-2</v>
      </c>
      <c r="AA9982">
        <v>0.72111119999999995</v>
      </c>
      <c r="AB9982">
        <v>19</v>
      </c>
      <c r="AC9982">
        <v>21.288099999999901</v>
      </c>
      <c r="AD9982">
        <v>-1.116512922581</v>
      </c>
      <c r="AE9982">
        <v>12.4123</v>
      </c>
      <c r="AF9982">
        <v>17.1246462039968</v>
      </c>
      <c r="AG9982">
        <v>-1.116512922581</v>
      </c>
      <c r="AH9982">
        <v>17.649627175653801</v>
      </c>
      <c r="AI9982">
        <v>92.599535164363004</v>
      </c>
      <c r="AJ9982">
        <v>45.864918407589897</v>
      </c>
      <c r="AK9982">
        <v>24.617259152024499</v>
      </c>
      <c r="AL9982">
        <v>95.835770737558207</v>
      </c>
      <c r="AM9982">
        <v>76.320878841574597</v>
      </c>
      <c r="AN9982">
        <v>1.00000001442652</v>
      </c>
    </row>
    <row r="9983" spans="1:40" x14ac:dyDescent="0.25">
      <c r="A9983" t="str">
        <f>"20190303154035721"</f>
        <v>20190303154035721</v>
      </c>
      <c r="B9983" t="str">
        <f>"1551598835718363"</f>
        <v>1551598835718363</v>
      </c>
      <c r="C9983" t="s">
        <v>40</v>
      </c>
      <c r="D9983">
        <v>5.2488400000000004</v>
      </c>
      <c r="E9983">
        <v>0.72015790000000002</v>
      </c>
      <c r="F9983" t="s">
        <v>42</v>
      </c>
      <c r="G9983">
        <v>-166.80080000000001</v>
      </c>
      <c r="H9983" s="1">
        <v>-2.523505E-6</v>
      </c>
      <c r="I9983">
        <v>134.69</v>
      </c>
      <c r="J9983">
        <v>-186.3629</v>
      </c>
      <c r="K9983">
        <v>1.1163400000000001</v>
      </c>
      <c r="L9983">
        <v>123.7726</v>
      </c>
      <c r="M9983">
        <v>0.28605989999999998</v>
      </c>
      <c r="N9983">
        <v>-1.4867470000000001E-2</v>
      </c>
      <c r="O9983">
        <v>0.95809639999999996</v>
      </c>
      <c r="P9983">
        <v>0.51633200000000001</v>
      </c>
      <c r="Q9983">
        <v>-0.1165214</v>
      </c>
      <c r="R9983">
        <v>0.84842439999999997</v>
      </c>
      <c r="S9983">
        <v>3.0308380000000001</v>
      </c>
      <c r="T9983">
        <v>-0.17190179999999999</v>
      </c>
      <c r="U9983">
        <v>1.7360690000000001</v>
      </c>
      <c r="V9983">
        <v>0.25081130000000001</v>
      </c>
      <c r="W9983">
        <v>-0.10516449999999999</v>
      </c>
      <c r="X9983">
        <v>0.96230669999999996</v>
      </c>
      <c r="Y9983">
        <v>0.68832609999999905</v>
      </c>
      <c r="Z9983">
        <v>-4.0185039999999998E-2</v>
      </c>
      <c r="AA9983">
        <v>0.72428749999999997</v>
      </c>
      <c r="AB9983">
        <v>19</v>
      </c>
      <c r="AC9983">
        <v>19.562099999999901</v>
      </c>
      <c r="AD9983">
        <v>-1.116342523505</v>
      </c>
      <c r="AE9983">
        <v>10.917400000000001</v>
      </c>
      <c r="AF9983">
        <v>15.5823798202782</v>
      </c>
      <c r="AG9983">
        <v>-1.116342523505</v>
      </c>
      <c r="AH9983">
        <v>16.0178534817932</v>
      </c>
      <c r="AI9983">
        <v>92.859846353854493</v>
      </c>
      <c r="AJ9983">
        <v>45.789526564035199</v>
      </c>
      <c r="AK9983">
        <v>22.3747270744784</v>
      </c>
      <c r="AL9983">
        <v>96.036643991115099</v>
      </c>
      <c r="AM9983">
        <v>75.391682501025699</v>
      </c>
      <c r="AN9983">
        <v>1.00000003256641</v>
      </c>
    </row>
    <row r="9984" spans="1:40" x14ac:dyDescent="0.25">
      <c r="A9984" t="str">
        <f>"20190303154035743"</f>
        <v>20190303154035743</v>
      </c>
      <c r="B9984" t="str">
        <f>"1551598835737883"</f>
        <v>1551598835737883</v>
      </c>
      <c r="C9984" t="s">
        <v>40</v>
      </c>
      <c r="D9984">
        <v>5.2564520000000003</v>
      </c>
      <c r="E9984">
        <v>0.71805659999999905</v>
      </c>
      <c r="F9984" t="s">
        <v>42</v>
      </c>
      <c r="G9984">
        <v>-169.15520000000001</v>
      </c>
      <c r="H9984" s="1">
        <v>-2.0521179999999999E-6</v>
      </c>
      <c r="I9984">
        <v>133.06370000000001</v>
      </c>
      <c r="J9984">
        <v>-186.29810000000001</v>
      </c>
      <c r="K9984">
        <v>1.1162719999999999</v>
      </c>
      <c r="L9984">
        <v>123.95189999999999</v>
      </c>
      <c r="M9984">
        <v>0.29475859999999998</v>
      </c>
      <c r="N9984">
        <v>-1.488885E-2</v>
      </c>
      <c r="O9984">
        <v>0.95545579999999997</v>
      </c>
      <c r="P9984">
        <v>0.53002629999999995</v>
      </c>
      <c r="Q9984">
        <v>-0.117341</v>
      </c>
      <c r="R9984">
        <v>0.8398234</v>
      </c>
      <c r="S9984">
        <v>3.0550380000000001</v>
      </c>
      <c r="T9984">
        <v>-0.19819500000000001</v>
      </c>
      <c r="U9984">
        <v>1.6495359999999999</v>
      </c>
      <c r="V9984">
        <v>0.25766149999999999</v>
      </c>
      <c r="W9984">
        <v>-0.1061127</v>
      </c>
      <c r="X9984">
        <v>0.96039090000000005</v>
      </c>
      <c r="Y9984">
        <v>0.69944799999999996</v>
      </c>
      <c r="Z9984">
        <v>-4.8910170000000003E-2</v>
      </c>
      <c r="AA9984">
        <v>0.71300790000000003</v>
      </c>
      <c r="AB9984">
        <v>19</v>
      </c>
      <c r="AC9984">
        <v>17.142899999999901</v>
      </c>
      <c r="AD9984">
        <v>-1.1162740521179999</v>
      </c>
      <c r="AE9984">
        <v>9.1118000000000094</v>
      </c>
      <c r="AF9984">
        <v>13.6498918012978</v>
      </c>
      <c r="AG9984">
        <v>-1.1162740521179999</v>
      </c>
      <c r="AH9984">
        <v>13.7151209408471</v>
      </c>
      <c r="AI9984">
        <v>93.301645899160505</v>
      </c>
      <c r="AJ9984">
        <v>45.136573929429197</v>
      </c>
      <c r="AK9984">
        <v>19.382212370331501</v>
      </c>
      <c r="AL9984">
        <v>96.091277640489807</v>
      </c>
      <c r="AM9984">
        <v>74.981881526953899</v>
      </c>
      <c r="AN9984">
        <v>1.00000001724317</v>
      </c>
    </row>
    <row r="9985" spans="1:40" x14ac:dyDescent="0.25">
      <c r="A9985" t="str">
        <f>"20190303154035766"</f>
        <v>20190303154035766</v>
      </c>
      <c r="B9985" t="str">
        <f>"1551598835758383"</f>
        <v>1551598835758383</v>
      </c>
      <c r="C9985" t="s">
        <v>40</v>
      </c>
      <c r="D9985">
        <v>5.2406610000000002</v>
      </c>
      <c r="E9985">
        <v>0.71599060000000003</v>
      </c>
      <c r="F9985" t="s">
        <v>68</v>
      </c>
      <c r="G9985">
        <v>-170.09099999999901</v>
      </c>
      <c r="H9985" s="1">
        <v>-4.9928429999999898E-7</v>
      </c>
      <c r="I9985">
        <v>132.44489999999999</v>
      </c>
      <c r="J9985">
        <v>-186.23230000000001</v>
      </c>
      <c r="K9985">
        <v>1.1161970000000001</v>
      </c>
      <c r="L9985">
        <v>124.12860000000001</v>
      </c>
      <c r="M9985">
        <v>0.30349080000000001</v>
      </c>
      <c r="N9985">
        <v>-1.4910090000000001E-2</v>
      </c>
      <c r="O9985">
        <v>0.9527177</v>
      </c>
      <c r="P9985">
        <v>0.54276919999999995</v>
      </c>
      <c r="Q9985">
        <v>-0.11852310000000001</v>
      </c>
      <c r="R9985">
        <v>0.83147689999999996</v>
      </c>
      <c r="S9985">
        <v>3.0668950000000001</v>
      </c>
      <c r="T9985">
        <v>-0.21123420000000001</v>
      </c>
      <c r="U9985">
        <v>1.6071470000000001</v>
      </c>
      <c r="V9985">
        <v>0.2635208</v>
      </c>
      <c r="W9985">
        <v>-0.1074079</v>
      </c>
      <c r="X9985">
        <v>0.95865549999999999</v>
      </c>
      <c r="Y9985">
        <v>0.70153920000000003</v>
      </c>
      <c r="Z9985">
        <v>-5.3279840000000002E-2</v>
      </c>
      <c r="AA9985">
        <v>0.7106363</v>
      </c>
      <c r="AB9985">
        <v>19</v>
      </c>
      <c r="AC9985">
        <v>16.141300000000001</v>
      </c>
      <c r="AD9985">
        <v>-1.11619749928429</v>
      </c>
      <c r="AE9985">
        <v>8.3162999999999805</v>
      </c>
      <c r="AF9985">
        <v>12.807214193631401</v>
      </c>
      <c r="AG9985">
        <v>-1.11619749928429</v>
      </c>
      <c r="AH9985">
        <v>12.7749730182185</v>
      </c>
      <c r="AI9985">
        <v>93.5309403253803</v>
      </c>
      <c r="AJ9985">
        <v>44.927790290784699</v>
      </c>
      <c r="AK9985">
        <v>18.1237570022105</v>
      </c>
      <c r="AL9985">
        <v>96.165913692359894</v>
      </c>
      <c r="AM9985">
        <v>74.629831182524896</v>
      </c>
      <c r="AN9985">
        <v>1.0000000183476401</v>
      </c>
    </row>
    <row r="9986" spans="1:40" x14ac:dyDescent="0.25">
      <c r="A9986" t="str">
        <f>"20190303154035788"</f>
        <v>20190303154035788</v>
      </c>
      <c r="B9986" t="str">
        <f>"1551598835777899"</f>
        <v>1551598835777899</v>
      </c>
      <c r="C9986" t="s">
        <v>40</v>
      </c>
      <c r="D9986">
        <v>5.2297849999999997</v>
      </c>
      <c r="E9986">
        <v>0.71406429999999999</v>
      </c>
      <c r="F9986" t="s">
        <v>68</v>
      </c>
      <c r="G9986">
        <v>-170.9658</v>
      </c>
      <c r="H9986" s="1">
        <v>-7.5945990000000001E-7</v>
      </c>
      <c r="I9986">
        <v>131.90620000000001</v>
      </c>
      <c r="J9986">
        <v>-186.16329999999999</v>
      </c>
      <c r="K9986">
        <v>1.116133</v>
      </c>
      <c r="L9986">
        <v>124.3082</v>
      </c>
      <c r="M9986">
        <v>0.3125019</v>
      </c>
      <c r="N9986">
        <v>-1.4930570000000001E-2</v>
      </c>
      <c r="O9986">
        <v>0.94979979999999997</v>
      </c>
      <c r="P9986">
        <v>0.55597269999999999</v>
      </c>
      <c r="Q9986">
        <v>-0.12007710000000001</v>
      </c>
      <c r="R9986">
        <v>0.82248149999999998</v>
      </c>
      <c r="S9986">
        <v>3.076813</v>
      </c>
      <c r="T9986">
        <v>-0.2249594</v>
      </c>
      <c r="U9986">
        <v>1.5675049999999999</v>
      </c>
      <c r="V9986">
        <v>0.26976470000000002</v>
      </c>
      <c r="W9986">
        <v>-0.1090795</v>
      </c>
      <c r="X9986">
        <v>0.95672809999999997</v>
      </c>
      <c r="Y9986">
        <v>0.70272659999999998</v>
      </c>
      <c r="Z9986">
        <v>-5.7878279999999997E-2</v>
      </c>
      <c r="AA9986">
        <v>0.70910189999999995</v>
      </c>
      <c r="AB9986">
        <v>19</v>
      </c>
      <c r="AC9986">
        <v>15.1974999999999</v>
      </c>
      <c r="AD9986">
        <v>-1.1161337594598999</v>
      </c>
      <c r="AE9986">
        <v>7.5980000000000096</v>
      </c>
      <c r="AF9986">
        <v>12.009713725142401</v>
      </c>
      <c r="AG9986">
        <v>-1.1161337594598999</v>
      </c>
      <c r="AH9986">
        <v>11.915742188207499</v>
      </c>
      <c r="AI9986">
        <v>93.774517157040194</v>
      </c>
      <c r="AJ9986">
        <v>44.774961664518997</v>
      </c>
      <c r="AK9986">
        <v>16.9547601051949</v>
      </c>
      <c r="AL9986">
        <v>96.262255546661706</v>
      </c>
      <c r="AM9986">
        <v>74.253357959334295</v>
      </c>
      <c r="AN9986">
        <v>0.99999999400797501</v>
      </c>
    </row>
    <row r="9987" spans="1:40" x14ac:dyDescent="0.25">
      <c r="A9987" t="str">
        <f>"20190303154035811"</f>
        <v>20190303154035811</v>
      </c>
      <c r="B9987" t="str">
        <f>"1551598835808155"</f>
        <v>1551598835808155</v>
      </c>
      <c r="C9987" t="s">
        <v>40</v>
      </c>
      <c r="D9987">
        <v>5.2526809999999999</v>
      </c>
      <c r="E9987">
        <v>0.71140919999999996</v>
      </c>
      <c r="F9987" t="s">
        <v>68</v>
      </c>
      <c r="G9987">
        <v>-171.62819999999999</v>
      </c>
      <c r="H9987" s="1">
        <v>-9.5133959999999997E-7</v>
      </c>
      <c r="I9987">
        <v>131.48679999999999</v>
      </c>
      <c r="J9987">
        <v>-186.09399999999999</v>
      </c>
      <c r="K9987">
        <v>1.116099</v>
      </c>
      <c r="L9987">
        <v>124.4832</v>
      </c>
      <c r="M9987">
        <v>0.321378</v>
      </c>
      <c r="N9987">
        <v>-1.4946839999999999E-2</v>
      </c>
      <c r="O9987">
        <v>0.94683300000000004</v>
      </c>
      <c r="P9987">
        <v>0.56853779999999998</v>
      </c>
      <c r="Q9987">
        <v>-0.1207148</v>
      </c>
      <c r="R9987">
        <v>0.81375229999999998</v>
      </c>
      <c r="S9987">
        <v>3.088333</v>
      </c>
      <c r="T9987">
        <v>-0.23714940000000001</v>
      </c>
      <c r="U9987">
        <v>1.525253</v>
      </c>
      <c r="V9987">
        <v>0.27550229999999998</v>
      </c>
      <c r="W9987">
        <v>-0.1098156</v>
      </c>
      <c r="X9987">
        <v>0.95500739999999995</v>
      </c>
      <c r="Y9987">
        <v>0.70466450000000003</v>
      </c>
      <c r="Z9987">
        <v>-6.2027600000000002E-2</v>
      </c>
      <c r="AA9987">
        <v>0.70682419999999901</v>
      </c>
      <c r="AB9987">
        <v>19</v>
      </c>
      <c r="AC9987">
        <v>14.4658</v>
      </c>
      <c r="AD9987">
        <v>-1.1160999513395999</v>
      </c>
      <c r="AE9987">
        <v>7.0035999999999898</v>
      </c>
      <c r="AF9987">
        <v>11.392234687037201</v>
      </c>
      <c r="AG9987">
        <v>-1.1160999513395999</v>
      </c>
      <c r="AH9987">
        <v>11.227346954017699</v>
      </c>
      <c r="AI9987">
        <v>93.991546828705694</v>
      </c>
      <c r="AJ9987">
        <v>44.582344005662598</v>
      </c>
      <c r="AK9987">
        <v>16.0337771561103</v>
      </c>
      <c r="AL9987">
        <v>96.304685458904004</v>
      </c>
      <c r="AM9987">
        <v>73.908109373641395</v>
      </c>
      <c r="AN9987">
        <v>1.0000000586816999</v>
      </c>
    </row>
    <row r="9988" spans="1:40" x14ac:dyDescent="0.25">
      <c r="A9988" t="str">
        <f>"20190303154035833"</f>
        <v>20190303154035833</v>
      </c>
      <c r="B9988" t="str">
        <f>"1551598835827678"</f>
        <v>1551598835827678</v>
      </c>
      <c r="C9988" t="s">
        <v>40</v>
      </c>
      <c r="D9988">
        <v>5.2403040000000001</v>
      </c>
      <c r="E9988">
        <v>0.71004119999999904</v>
      </c>
      <c r="F9988" t="s">
        <v>68</v>
      </c>
      <c r="G9988">
        <v>-172.21099999999899</v>
      </c>
      <c r="H9988" s="1">
        <v>-1.1402220000000001E-6</v>
      </c>
      <c r="I9988">
        <v>131.16290000000001</v>
      </c>
      <c r="J9988">
        <v>-186.02070000000001</v>
      </c>
      <c r="K9988">
        <v>1.1160920000000001</v>
      </c>
      <c r="L9988">
        <v>124.6626</v>
      </c>
      <c r="M9988">
        <v>0.33054489999999997</v>
      </c>
      <c r="N9988">
        <v>-1.4957369999999999E-2</v>
      </c>
      <c r="O9988">
        <v>0.94367179999999995</v>
      </c>
      <c r="P9988">
        <v>0.58119709999999902</v>
      </c>
      <c r="Q9988">
        <v>-0.1217631</v>
      </c>
      <c r="R9988">
        <v>0.80460159999999903</v>
      </c>
      <c r="S9988">
        <v>3.0935060000000001</v>
      </c>
      <c r="T9988">
        <v>-0.24869740000000001</v>
      </c>
      <c r="U9988">
        <v>1.488434</v>
      </c>
      <c r="V9988">
        <v>0.28120489999999998</v>
      </c>
      <c r="W9988">
        <v>-0.1109469</v>
      </c>
      <c r="X9988">
        <v>0.95321270000000002</v>
      </c>
      <c r="Y9988">
        <v>0.70482019999999901</v>
      </c>
      <c r="Z9988">
        <v>-6.6031560000000003E-2</v>
      </c>
      <c r="AA9988">
        <v>0.7063062</v>
      </c>
      <c r="AB9988">
        <v>19</v>
      </c>
      <c r="AC9988">
        <v>13.809699999999999</v>
      </c>
      <c r="AD9988">
        <v>-1.116093140222</v>
      </c>
      <c r="AE9988">
        <v>6.50030000000001</v>
      </c>
      <c r="AF9988">
        <v>10.826510234435499</v>
      </c>
      <c r="AG9988">
        <v>-1.116093140222</v>
      </c>
      <c r="AH9988">
        <v>10.6431622646364</v>
      </c>
      <c r="AI9988">
        <v>94.204518533439995</v>
      </c>
      <c r="AJ9988">
        <v>44.510714032171201</v>
      </c>
      <c r="AK9988">
        <v>15.2228739318622</v>
      </c>
      <c r="AL9988">
        <v>96.369903512918597</v>
      </c>
      <c r="AM9988">
        <v>73.563545216631397</v>
      </c>
      <c r="AN9988">
        <v>0.99999993092245199</v>
      </c>
    </row>
    <row r="9989" spans="1:40" x14ac:dyDescent="0.25">
      <c r="A9989" t="str">
        <f>"20190303154035855"</f>
        <v>20190303154035855</v>
      </c>
      <c r="B9989" t="str">
        <f>"1551598835848082"</f>
        <v>1551598835848082</v>
      </c>
      <c r="C9989" t="s">
        <v>40</v>
      </c>
      <c r="D9989">
        <v>5.2314740000000004</v>
      </c>
      <c r="E9989">
        <v>0.70838219999999996</v>
      </c>
      <c r="F9989" t="s">
        <v>68</v>
      </c>
      <c r="G9989">
        <v>-171.9196</v>
      </c>
      <c r="H9989" s="1">
        <v>-1.0015409999999999E-6</v>
      </c>
      <c r="I9989">
        <v>131.22479999999999</v>
      </c>
      <c r="J9989">
        <v>-185.94630000000001</v>
      </c>
      <c r="K9989">
        <v>1.1161099999999999</v>
      </c>
      <c r="L9989">
        <v>124.83969999999999</v>
      </c>
      <c r="M9989">
        <v>0.33962140000000002</v>
      </c>
      <c r="N9989">
        <v>-1.4961749999999999E-2</v>
      </c>
      <c r="O9989">
        <v>0.94044320000000003</v>
      </c>
      <c r="P9989">
        <v>0.59231009999999995</v>
      </c>
      <c r="Q9989">
        <v>-0.1227763</v>
      </c>
      <c r="R9989">
        <v>0.79630069999999997</v>
      </c>
      <c r="S9989">
        <v>3.1079249999999998</v>
      </c>
      <c r="T9989">
        <v>-0.2459916</v>
      </c>
      <c r="U9989">
        <v>1.4463349999999999</v>
      </c>
      <c r="V9989">
        <v>0.28529369999999998</v>
      </c>
      <c r="W9989">
        <v>-0.11200019999999999</v>
      </c>
      <c r="X9989">
        <v>0.95187370000000004</v>
      </c>
      <c r="Y9989">
        <v>0.70713870000000001</v>
      </c>
      <c r="Z9989">
        <v>-6.549199E-2</v>
      </c>
      <c r="AA9989">
        <v>0.70403530000000003</v>
      </c>
      <c r="AB9989">
        <v>19</v>
      </c>
      <c r="AC9989">
        <v>14.0267</v>
      </c>
      <c r="AD9989">
        <v>-1.1161110015409901</v>
      </c>
      <c r="AE9989">
        <v>6.3850999999999898</v>
      </c>
      <c r="AF9989">
        <v>10.9665163836665</v>
      </c>
      <c r="AG9989">
        <v>-1.1161110015409901</v>
      </c>
      <c r="AH9989">
        <v>10.7136076808123</v>
      </c>
      <c r="AI9989">
        <v>94.163784412572895</v>
      </c>
      <c r="AJ9989">
        <v>44.331648473142501</v>
      </c>
      <c r="AK9989">
        <v>15.371778521021801</v>
      </c>
      <c r="AL9989">
        <v>96.430630951785105</v>
      </c>
      <c r="AM9989">
        <v>73.315579212698793</v>
      </c>
      <c r="AN9989">
        <v>1.0000000404056999</v>
      </c>
    </row>
    <row r="9990" spans="1:40" x14ac:dyDescent="0.25">
      <c r="A9990" t="str">
        <f>"20190303154035878"</f>
        <v>20190303154035878</v>
      </c>
      <c r="B9990" t="str">
        <f>"1551598835867602"</f>
        <v>1551598835867602</v>
      </c>
      <c r="C9990" t="s">
        <v>40</v>
      </c>
      <c r="D9990">
        <v>5.239579</v>
      </c>
      <c r="E9990">
        <v>0.70697929999999998</v>
      </c>
      <c r="F9990" t="s">
        <v>68</v>
      </c>
      <c r="G9990">
        <v>-172.0479</v>
      </c>
      <c r="H9990" s="1">
        <v>-1.0322780000000001E-6</v>
      </c>
      <c r="I9990">
        <v>131.1292</v>
      </c>
      <c r="J9990">
        <v>-185.87180000000001</v>
      </c>
      <c r="K9990">
        <v>1.1161479999999999</v>
      </c>
      <c r="L9990">
        <v>125.01260000000001</v>
      </c>
      <c r="M9990">
        <v>0.34849150000000001</v>
      </c>
      <c r="N9990">
        <v>-1.4961220000000001E-2</v>
      </c>
      <c r="O9990">
        <v>0.93719249999999998</v>
      </c>
      <c r="P9990">
        <v>0.60235260000000002</v>
      </c>
      <c r="Q9990">
        <v>-0.1247154</v>
      </c>
      <c r="R9990">
        <v>0.78842719999999999</v>
      </c>
      <c r="S9990">
        <v>3.116806</v>
      </c>
      <c r="T9990">
        <v>-0.25029400000000002</v>
      </c>
      <c r="U9990">
        <v>1.4104460000000001</v>
      </c>
      <c r="V9990">
        <v>0.28845340000000003</v>
      </c>
      <c r="W9990">
        <v>-0.1139545</v>
      </c>
      <c r="X9990">
        <v>0.95068869999999905</v>
      </c>
      <c r="Y9990">
        <v>0.70783439999999997</v>
      </c>
      <c r="Z9990">
        <v>-6.7153930000000001E-2</v>
      </c>
      <c r="AA9990">
        <v>0.70317919999999901</v>
      </c>
      <c r="AB9990">
        <v>19</v>
      </c>
      <c r="AC9990">
        <v>13.8239</v>
      </c>
      <c r="AD9990">
        <v>-1.1161490322780001</v>
      </c>
      <c r="AE9990">
        <v>6.1165999999999903</v>
      </c>
      <c r="AF9990">
        <v>10.766587799507599</v>
      </c>
      <c r="AG9990">
        <v>-1.1161490322780001</v>
      </c>
      <c r="AH9990">
        <v>10.4939146445315</v>
      </c>
      <c r="AI9990">
        <v>94.245752081701497</v>
      </c>
      <c r="AJ9990">
        <v>44.265202481193697</v>
      </c>
      <c r="AK9990">
        <v>15.0760553883791</v>
      </c>
      <c r="AL9990">
        <v>96.543325905892402</v>
      </c>
      <c r="AM9990">
        <v>73.121405281216397</v>
      </c>
      <c r="AN9990">
        <v>0.99999999817474905</v>
      </c>
    </row>
    <row r="9991" spans="1:40" x14ac:dyDescent="0.25">
      <c r="A9991" t="str">
        <f>"20190303154035899"</f>
        <v>20190303154035899</v>
      </c>
      <c r="B9991" t="str">
        <f>"1551598835888098"</f>
        <v>1551598835888098</v>
      </c>
      <c r="C9991" t="s">
        <v>40</v>
      </c>
      <c r="D9991">
        <v>5.2367239999999997</v>
      </c>
      <c r="E9991">
        <v>0.70537019999999995</v>
      </c>
      <c r="F9991" t="s">
        <v>68</v>
      </c>
      <c r="G9991">
        <v>-171.58529999999999</v>
      </c>
      <c r="H9991" s="1">
        <v>-8.493597E-7</v>
      </c>
      <c r="I9991">
        <v>131.3116</v>
      </c>
      <c r="J9991">
        <v>-185.79920000000001</v>
      </c>
      <c r="K9991">
        <v>1.1162030000000001</v>
      </c>
      <c r="L9991">
        <v>125.17700000000001</v>
      </c>
      <c r="M9991">
        <v>0.35691420000000001</v>
      </c>
      <c r="N9991">
        <v>-1.4957359999999999E-2</v>
      </c>
      <c r="O9991">
        <v>0.9340174</v>
      </c>
      <c r="P9991">
        <v>0.61153729999999995</v>
      </c>
      <c r="Q9991">
        <v>-0.12713650000000001</v>
      </c>
      <c r="R9991">
        <v>0.78093429999999997</v>
      </c>
      <c r="S9991">
        <v>3.125931</v>
      </c>
      <c r="T9991">
        <v>-0.2442174</v>
      </c>
      <c r="U9991">
        <v>1.3782350000000001</v>
      </c>
      <c r="V9991">
        <v>0.29114299999999999</v>
      </c>
      <c r="W9991">
        <v>-0.1163812</v>
      </c>
      <c r="X9991">
        <v>0.94957420000000003</v>
      </c>
      <c r="Y9991">
        <v>0.70841609999999999</v>
      </c>
      <c r="Z9991">
        <v>-6.5492330000000001E-2</v>
      </c>
      <c r="AA9991">
        <v>0.70274979999999998</v>
      </c>
      <c r="AB9991">
        <v>19</v>
      </c>
      <c r="AC9991">
        <v>14.213900000000001</v>
      </c>
      <c r="AD9991">
        <v>-1.1162038493597</v>
      </c>
      <c r="AE9991">
        <v>6.1345999999999901</v>
      </c>
      <c r="AF9991">
        <v>11.0304032377241</v>
      </c>
      <c r="AG9991">
        <v>-1.1162038493597</v>
      </c>
      <c r="AH9991">
        <v>10.7482998396515</v>
      </c>
      <c r="AI9991">
        <v>94.145281465679204</v>
      </c>
      <c r="AJ9991">
        <v>44.257879124290099</v>
      </c>
      <c r="AK9991">
        <v>15.441556141243501</v>
      </c>
      <c r="AL9991">
        <v>96.683296987735005</v>
      </c>
      <c r="AM9991">
        <v>72.954264656384794</v>
      </c>
      <c r="AN9991">
        <v>0.99999999573403997</v>
      </c>
    </row>
    <row r="9992" spans="1:40" x14ac:dyDescent="0.25">
      <c r="A9992" t="str">
        <f>"20190303154035922"</f>
        <v>20190303154035922</v>
      </c>
      <c r="B9992" t="str">
        <f>"1551598835918354"</f>
        <v>1551598835918354</v>
      </c>
      <c r="C9992" t="s">
        <v>40</v>
      </c>
      <c r="D9992">
        <v>5.2730769999999998</v>
      </c>
      <c r="E9992">
        <v>0.70323459999999904</v>
      </c>
      <c r="F9992" t="s">
        <v>68</v>
      </c>
      <c r="G9992">
        <v>-171.9838</v>
      </c>
      <c r="H9992" s="1">
        <v>-9.9356700000000005E-7</v>
      </c>
      <c r="I9992">
        <v>131.12430000000001</v>
      </c>
      <c r="J9992">
        <v>-185.7199</v>
      </c>
      <c r="K9992">
        <v>1.116271</v>
      </c>
      <c r="L9992">
        <v>125.35209999999999</v>
      </c>
      <c r="M9992">
        <v>0.36586259999999998</v>
      </c>
      <c r="N9992">
        <v>-1.495047E-2</v>
      </c>
      <c r="O9992">
        <v>0.93054879999999995</v>
      </c>
      <c r="P9992">
        <v>0.61949679999999996</v>
      </c>
      <c r="Q9992">
        <v>-0.12799099999999999</v>
      </c>
      <c r="R9992">
        <v>0.77449469999999898</v>
      </c>
      <c r="S9992">
        <v>3.131561</v>
      </c>
      <c r="T9992">
        <v>-0.25301190000000001</v>
      </c>
      <c r="U9992">
        <v>1.3480829999999999</v>
      </c>
      <c r="V9992">
        <v>0.29180610000000001</v>
      </c>
      <c r="W9992">
        <v>-0.1172049</v>
      </c>
      <c r="X9992">
        <v>0.94926929999999998</v>
      </c>
      <c r="Y9992">
        <v>0.70761189999999996</v>
      </c>
      <c r="Z9992">
        <v>-6.853513E-2</v>
      </c>
      <c r="AA9992">
        <v>0.70326979999999994</v>
      </c>
      <c r="AB9992">
        <v>18</v>
      </c>
      <c r="AC9992">
        <v>13.736099999999899</v>
      </c>
      <c r="AD9992">
        <v>-1.116271993567</v>
      </c>
      <c r="AE9992">
        <v>5.7722000000000104</v>
      </c>
      <c r="AF9992">
        <v>10.6119079287689</v>
      </c>
      <c r="AG9992">
        <v>-1.116271993567</v>
      </c>
      <c r="AH9992">
        <v>10.339963544048301</v>
      </c>
      <c r="AI9992">
        <v>94.308524539357293</v>
      </c>
      <c r="AJ9992">
        <v>44.256372365606602</v>
      </c>
      <c r="AK9992">
        <v>14.858448746236499</v>
      </c>
      <c r="AL9992">
        <v>96.730816731588504</v>
      </c>
      <c r="AM9992">
        <v>72.9125322592933</v>
      </c>
      <c r="AN9992">
        <v>0.99999999625185498</v>
      </c>
    </row>
    <row r="9993" spans="1:40" x14ac:dyDescent="0.25">
      <c r="A9993" t="str">
        <f>"20190303154035944"</f>
        <v>20190303154035944</v>
      </c>
      <c r="B9993" t="str">
        <f>"1551598835937874"</f>
        <v>1551598835937874</v>
      </c>
      <c r="C9993" t="s">
        <v>40</v>
      </c>
      <c r="D9993">
        <v>5.2899039999999999</v>
      </c>
      <c r="E9993">
        <v>0.70250880000000004</v>
      </c>
      <c r="F9993" t="s">
        <v>68</v>
      </c>
      <c r="G9993">
        <v>-172.41220000000001</v>
      </c>
      <c r="H9993" s="1">
        <v>-1.1756250000000001E-6</v>
      </c>
      <c r="I9993">
        <v>130.98390000000001</v>
      </c>
      <c r="J9993">
        <v>-185.64089999999999</v>
      </c>
      <c r="K9993">
        <v>1.11632</v>
      </c>
      <c r="L9993">
        <v>125.5226</v>
      </c>
      <c r="M9993">
        <v>0.37454549999999998</v>
      </c>
      <c r="N9993">
        <v>-1.494171E-2</v>
      </c>
      <c r="O9993">
        <v>0.92708809999999997</v>
      </c>
      <c r="P9993">
        <v>0.62786319999999995</v>
      </c>
      <c r="Q9993">
        <v>-0.1278688</v>
      </c>
      <c r="R9993">
        <v>0.76774819999999999</v>
      </c>
      <c r="S9993">
        <v>3.131516</v>
      </c>
      <c r="T9993">
        <v>-0.26267499999999999</v>
      </c>
      <c r="U9993">
        <v>1.325256</v>
      </c>
      <c r="V9993">
        <v>0.29323850000000001</v>
      </c>
      <c r="W9993">
        <v>-0.11707190000000001</v>
      </c>
      <c r="X9993">
        <v>0.94884420000000003</v>
      </c>
      <c r="Y9993">
        <v>0.70512189999999997</v>
      </c>
      <c r="Z9993">
        <v>-7.1857599999999994E-2</v>
      </c>
      <c r="AA9993">
        <v>0.70543559999999905</v>
      </c>
      <c r="AB9993">
        <v>18</v>
      </c>
      <c r="AC9993">
        <v>13.2286999999999</v>
      </c>
      <c r="AD9993">
        <v>-1.116321175625</v>
      </c>
      <c r="AE9993">
        <v>5.4612999999999996</v>
      </c>
      <c r="AF9993">
        <v>10.158003850900499</v>
      </c>
      <c r="AG9993">
        <v>-1.116321175625</v>
      </c>
      <c r="AH9993">
        <v>9.9583872006357002</v>
      </c>
      <c r="AI9993">
        <v>94.487104649526799</v>
      </c>
      <c r="AJ9993">
        <v>44.431467792808498</v>
      </c>
      <c r="AK9993">
        <v>14.268871393345799</v>
      </c>
      <c r="AL9993">
        <v>96.723143665612199</v>
      </c>
      <c r="AM9993">
        <v>72.826335140875898</v>
      </c>
      <c r="AN9993">
        <v>0.99999998176274896</v>
      </c>
    </row>
    <row r="9994" spans="1:40" x14ac:dyDescent="0.25">
      <c r="A9994" t="str">
        <f>"20190303154035955"</f>
        <v>20190303154035955</v>
      </c>
      <c r="B9994" t="str">
        <f>"1551598835947635"</f>
        <v>1551598835947635</v>
      </c>
      <c r="C9994" t="s">
        <v>40</v>
      </c>
      <c r="D9994">
        <v>5.2933339999999998</v>
      </c>
      <c r="E9994">
        <v>0.66764889999999999</v>
      </c>
      <c r="F9994" t="s">
        <v>68</v>
      </c>
      <c r="G9994">
        <v>-172.51689999999999</v>
      </c>
      <c r="H9994" s="1">
        <v>-1.211777E-6</v>
      </c>
      <c r="I9994">
        <v>130.9307</v>
      </c>
      <c r="J9994">
        <v>-185.6</v>
      </c>
      <c r="K9994">
        <v>1.116347</v>
      </c>
      <c r="L9994">
        <v>125.6091</v>
      </c>
      <c r="M9994">
        <v>0.37894030000000001</v>
      </c>
      <c r="N9994">
        <v>-1.4936670000000001E-2</v>
      </c>
      <c r="O9994">
        <v>0.92530060000000003</v>
      </c>
      <c r="P9994">
        <v>0.63170269999999995</v>
      </c>
      <c r="Q9994">
        <v>-0.12716549999999999</v>
      </c>
      <c r="R9994">
        <v>0.76470950000000004</v>
      </c>
      <c r="S9994">
        <v>3.1409910000000001</v>
      </c>
      <c r="T9994">
        <v>-0.26717020000000002</v>
      </c>
      <c r="U9994">
        <v>1.2943420000000001</v>
      </c>
      <c r="V9994">
        <v>0.29346129999999998</v>
      </c>
      <c r="W9994">
        <v>-0.1163578</v>
      </c>
      <c r="X9994">
        <v>0.94886320000000002</v>
      </c>
      <c r="Y9994">
        <v>0.70831849999999996</v>
      </c>
      <c r="Z9994">
        <v>-7.3512419999999995E-2</v>
      </c>
      <c r="AA9994">
        <v>0.70205469999999903</v>
      </c>
      <c r="AB9994">
        <v>18</v>
      </c>
      <c r="AC9994">
        <v>13.0831</v>
      </c>
      <c r="AD9994">
        <v>-1.1163482117770001</v>
      </c>
      <c r="AE9994">
        <v>5.3216000000000001</v>
      </c>
      <c r="AF9994">
        <v>10.027711912673601</v>
      </c>
      <c r="AG9994">
        <v>-1.1163482117770001</v>
      </c>
      <c r="AH9994">
        <v>9.8215387106665606</v>
      </c>
      <c r="AI9994">
        <v>94.547330931779101</v>
      </c>
      <c r="AJ9994">
        <v>44.404892922628697</v>
      </c>
      <c r="AK9994">
        <v>14.0806200921207</v>
      </c>
      <c r="AL9994">
        <v>96.681946917210595</v>
      </c>
      <c r="AM9994">
        <v>72.814379023698194</v>
      </c>
      <c r="AN9994">
        <v>1.0000000222663801</v>
      </c>
    </row>
    <row r="9995" spans="1:40" x14ac:dyDescent="0.25">
      <c r="A9995" t="str">
        <f>"20190303154035966"</f>
        <v>20190303154035966</v>
      </c>
      <c r="B9995" t="str">
        <f>"1551598835958371"</f>
        <v>1551598835958371</v>
      </c>
      <c r="C9995" t="s">
        <v>40</v>
      </c>
      <c r="D9995">
        <v>5.2720849999999997</v>
      </c>
      <c r="E9995">
        <v>0.66812340000000003</v>
      </c>
      <c r="F9995" t="s">
        <v>68</v>
      </c>
      <c r="G9995">
        <v>-176.4196</v>
      </c>
      <c r="H9995" s="1">
        <v>-3.2174860000000001E-6</v>
      </c>
      <c r="I9995">
        <v>130.14070000000001</v>
      </c>
      <c r="J9995">
        <v>-185.55930000000001</v>
      </c>
      <c r="K9995">
        <v>1.1163749999999999</v>
      </c>
      <c r="L9995">
        <v>125.6944</v>
      </c>
      <c r="M9995">
        <v>0.38326840000000001</v>
      </c>
      <c r="N9995">
        <v>-1.493149E-2</v>
      </c>
      <c r="O9995">
        <v>0.92351629999999996</v>
      </c>
      <c r="P9995">
        <v>0.63495950000000001</v>
      </c>
      <c r="Q9995">
        <v>-0.12556719999999999</v>
      </c>
      <c r="R9995">
        <v>0.76227250000000002</v>
      </c>
      <c r="S9995">
        <v>2.9278719999999998</v>
      </c>
      <c r="T9995">
        <v>-0.35603459999999998</v>
      </c>
      <c r="U9995">
        <v>1.4452670000000001</v>
      </c>
      <c r="V9995">
        <v>0.29299039999999998</v>
      </c>
      <c r="W9995">
        <v>-0.11473800000000001</v>
      </c>
      <c r="X9995">
        <v>0.94920590000000005</v>
      </c>
      <c r="Y9995">
        <v>0.65308250000000001</v>
      </c>
      <c r="Z9995">
        <v>-0.1041009</v>
      </c>
      <c r="AA9995">
        <v>0.75009749999999997</v>
      </c>
      <c r="AB9995">
        <v>18</v>
      </c>
      <c r="AC9995">
        <v>9.1396999999999995</v>
      </c>
      <c r="AD9995">
        <v>-1.116378217486</v>
      </c>
      <c r="AE9995">
        <v>4.4462999999999999</v>
      </c>
      <c r="AF9995">
        <v>6.6569742088772204</v>
      </c>
      <c r="AG9995">
        <v>-1.116378217486</v>
      </c>
      <c r="AH9995">
        <v>7.5193208744342899</v>
      </c>
      <c r="AI9995">
        <v>96.343147596107997</v>
      </c>
      <c r="AJ9995">
        <v>48.481023524865499</v>
      </c>
      <c r="AK9995">
        <v>10.1045431541874</v>
      </c>
      <c r="AL9995">
        <v>96.588513447453195</v>
      </c>
      <c r="AM9995">
        <v>72.846166522527895</v>
      </c>
      <c r="AN9995">
        <v>1.0000000118654799</v>
      </c>
    </row>
    <row r="9996" spans="1:40" x14ac:dyDescent="0.25">
      <c r="A9996" t="str">
        <f>"20190303154035977"</f>
        <v>20190303154035977</v>
      </c>
      <c r="B9996" t="str">
        <f>"1551598835968131"</f>
        <v>1551598835968131</v>
      </c>
      <c r="C9996" t="s">
        <v>40</v>
      </c>
      <c r="D9996">
        <v>5.323556</v>
      </c>
      <c r="E9996">
        <v>0.66774239999999996</v>
      </c>
      <c r="F9996" t="s">
        <v>68</v>
      </c>
      <c r="G9996">
        <v>-176.06469999999999</v>
      </c>
      <c r="H9996" s="1">
        <v>-3.0444870000000001E-6</v>
      </c>
      <c r="I9996">
        <v>130.3228</v>
      </c>
      <c r="J9996">
        <v>-185.5189</v>
      </c>
      <c r="K9996">
        <v>1.116393</v>
      </c>
      <c r="L9996">
        <v>125.7777</v>
      </c>
      <c r="M9996">
        <v>0.38748830000000001</v>
      </c>
      <c r="N9996">
        <v>-1.492623E-2</v>
      </c>
      <c r="O9996">
        <v>0.92175379999999996</v>
      </c>
      <c r="P9996">
        <v>0.63754699999999997</v>
      </c>
      <c r="Q9996">
        <v>-0.12299889999999999</v>
      </c>
      <c r="R9996">
        <v>0.76052949999999997</v>
      </c>
      <c r="S9996">
        <v>2.9373779999999998</v>
      </c>
      <c r="T9996">
        <v>-0.34537899999999999</v>
      </c>
      <c r="U9996">
        <v>1.4319</v>
      </c>
      <c r="V9996">
        <v>0.29174889999999998</v>
      </c>
      <c r="W9996">
        <v>-0.112137</v>
      </c>
      <c r="X9996">
        <v>0.94989880000000004</v>
      </c>
      <c r="Y9996">
        <v>0.6536959</v>
      </c>
      <c r="Z9996">
        <v>-0.1006315</v>
      </c>
      <c r="AA9996">
        <v>0.750036699999999</v>
      </c>
      <c r="AB9996">
        <v>18</v>
      </c>
      <c r="AC9996">
        <v>9.4542000000000108</v>
      </c>
      <c r="AD9996">
        <v>-1.116396044487</v>
      </c>
      <c r="AE9996">
        <v>4.5450999999999997</v>
      </c>
      <c r="AF9996">
        <v>6.8761649955267901</v>
      </c>
      <c r="AG9996">
        <v>-1.116396044487</v>
      </c>
      <c r="AH9996">
        <v>7.7657726510606002</v>
      </c>
      <c r="AI9996">
        <v>96.143114506330406</v>
      </c>
      <c r="AJ9996">
        <v>48.476874766535602</v>
      </c>
      <c r="AK9996">
        <v>10.4324115161268</v>
      </c>
      <c r="AL9996">
        <v>96.438519424632105</v>
      </c>
      <c r="AM9996">
        <v>72.9263498760982</v>
      </c>
      <c r="AN9996">
        <v>0.999999928830822</v>
      </c>
    </row>
    <row r="9997" spans="1:40" x14ac:dyDescent="0.25">
      <c r="A9997" t="str">
        <f>"20190303154035988"</f>
        <v>20190303154035988</v>
      </c>
      <c r="B9997" t="str">
        <f>"1551598835977891"</f>
        <v>1551598835977891</v>
      </c>
      <c r="C9997" t="s">
        <v>40</v>
      </c>
      <c r="D9997">
        <v>4.9532920000000003</v>
      </c>
      <c r="E9997">
        <v>0.66937199999999997</v>
      </c>
      <c r="F9997" t="s">
        <v>68</v>
      </c>
      <c r="G9997">
        <v>-175.85640000000001</v>
      </c>
      <c r="H9997" s="1">
        <v>-2.9549720000000002E-6</v>
      </c>
      <c r="I9997">
        <v>130.46129999999999</v>
      </c>
      <c r="J9997">
        <v>-185.4796</v>
      </c>
      <c r="K9997">
        <v>1.1164160000000001</v>
      </c>
      <c r="L9997">
        <v>125.8584</v>
      </c>
      <c r="M9997">
        <v>0.39157350000000002</v>
      </c>
      <c r="N9997">
        <v>-1.4921190000000001E-2</v>
      </c>
      <c r="O9997">
        <v>0.92002589999999995</v>
      </c>
      <c r="P9997">
        <v>0.64012309999999994</v>
      </c>
      <c r="Q9997">
        <v>-0.1213781</v>
      </c>
      <c r="R9997">
        <v>0.75862369999999901</v>
      </c>
      <c r="S9997">
        <v>2.9399869999999999</v>
      </c>
      <c r="T9997">
        <v>-0.33968379999999998</v>
      </c>
      <c r="U9997">
        <v>1.425095</v>
      </c>
      <c r="V9997">
        <v>0.29067949999999998</v>
      </c>
      <c r="W9997">
        <v>-0.1104892</v>
      </c>
      <c r="X9997">
        <v>0.95041969999999998</v>
      </c>
      <c r="Y9997">
        <v>0.65219550000000004</v>
      </c>
      <c r="Z9997">
        <v>-9.879607E-2</v>
      </c>
      <c r="AA9997">
        <v>0.75158519999999995</v>
      </c>
      <c r="AB9997">
        <v>18</v>
      </c>
      <c r="AC9997">
        <v>9.62319999999999</v>
      </c>
      <c r="AD9997">
        <v>-1.1164189549720001</v>
      </c>
      <c r="AE9997">
        <v>4.6028999999999902</v>
      </c>
      <c r="AF9997">
        <v>6.9755993109824503</v>
      </c>
      <c r="AG9997">
        <v>-1.1164189549720001</v>
      </c>
      <c r="AH9997">
        <v>7.9171500002180402</v>
      </c>
      <c r="AI9997">
        <v>96.039639060783102</v>
      </c>
      <c r="AJ9997">
        <v>48.6175440572448</v>
      </c>
      <c r="AK9997">
        <v>10.610685235004899</v>
      </c>
      <c r="AL9997">
        <v>96.343516433371803</v>
      </c>
      <c r="AM9997">
        <v>72.994099050465707</v>
      </c>
      <c r="AN9997">
        <v>1.0000000205924799</v>
      </c>
    </row>
    <row r="9998" spans="1:40" x14ac:dyDescent="0.25">
      <c r="A9998" t="str">
        <f>"20190303154036000"</f>
        <v>20190303154036000</v>
      </c>
      <c r="B9998" t="str">
        <f>"1551598835987651"</f>
        <v>1551598835987651</v>
      </c>
      <c r="C9998" t="s">
        <v>40</v>
      </c>
      <c r="D9998">
        <v>5.280805</v>
      </c>
      <c r="E9998">
        <v>0.66876859999999905</v>
      </c>
      <c r="F9998" t="s">
        <v>68</v>
      </c>
      <c r="G9998">
        <v>-172.46729999999999</v>
      </c>
      <c r="H9998" s="1">
        <v>-1.6958140000000001E-6</v>
      </c>
      <c r="I9998">
        <v>132.08770000000001</v>
      </c>
      <c r="J9998">
        <v>-185.4383</v>
      </c>
      <c r="K9998">
        <v>1.11643799999999</v>
      </c>
      <c r="L9998">
        <v>125.94159999999999</v>
      </c>
      <c r="M9998">
        <v>0.3957851</v>
      </c>
      <c r="N9998">
        <v>-1.4915940000000001E-2</v>
      </c>
      <c r="O9998">
        <v>0.91822199999999998</v>
      </c>
      <c r="P9998">
        <v>0.64233850000000003</v>
      </c>
      <c r="Q9998">
        <v>-0.1194721</v>
      </c>
      <c r="R9998">
        <v>0.75705199999999995</v>
      </c>
      <c r="S9998">
        <v>2.9594269999999998</v>
      </c>
      <c r="T9998">
        <v>-0.25390980000000002</v>
      </c>
      <c r="U9998">
        <v>1.4167479999999999</v>
      </c>
      <c r="V9998">
        <v>0.28901139999999997</v>
      </c>
      <c r="W9998">
        <v>-0.10854800000000001</v>
      </c>
      <c r="X9998">
        <v>0.95115179999999999</v>
      </c>
      <c r="Y9998">
        <v>0.65472319999999995</v>
      </c>
      <c r="Z9998">
        <v>-7.0828489999999994E-2</v>
      </c>
      <c r="AA9998">
        <v>0.75254299999999996</v>
      </c>
      <c r="AB9998">
        <v>18</v>
      </c>
      <c r="AC9998">
        <v>12.971</v>
      </c>
      <c r="AD9998">
        <v>-1.1164396958139899</v>
      </c>
      <c r="AE9998">
        <v>6.1461000000000103</v>
      </c>
      <c r="AF9998">
        <v>9.4217752789432403</v>
      </c>
      <c r="AG9998">
        <v>-1.1164396958139899</v>
      </c>
      <c r="AH9998">
        <v>10.713594330683801</v>
      </c>
      <c r="AI9998">
        <v>94.474424795488503</v>
      </c>
      <c r="AJ9998">
        <v>48.670877632198902</v>
      </c>
      <c r="AK9998">
        <v>14.310743882962701</v>
      </c>
      <c r="AL9998">
        <v>96.231620884847999</v>
      </c>
      <c r="AM9998">
        <v>73.098379337425698</v>
      </c>
      <c r="AN9998">
        <v>1.0000000021386</v>
      </c>
    </row>
    <row r="9999" spans="1:40" x14ac:dyDescent="0.25">
      <c r="A9999" t="str">
        <f>"20190303154036011"</f>
        <v>20190303154036011</v>
      </c>
      <c r="B9999" t="str">
        <f>"1551598836008147"</f>
        <v>1551598836008147</v>
      </c>
      <c r="C9999" t="s">
        <v>40</v>
      </c>
      <c r="D9999">
        <v>5.338069</v>
      </c>
      <c r="E9999">
        <v>0.66790799999999995</v>
      </c>
      <c r="F9999" t="s">
        <v>68</v>
      </c>
      <c r="G9999">
        <v>-172.80959999999999</v>
      </c>
      <c r="H9999" s="1">
        <v>-1.834837E-6</v>
      </c>
      <c r="I9999">
        <v>131.96100000000001</v>
      </c>
      <c r="J9999">
        <v>-185.39590000000001</v>
      </c>
      <c r="K9999">
        <v>1.1164590000000001</v>
      </c>
      <c r="L9999">
        <v>126.0265</v>
      </c>
      <c r="M9999">
        <v>0.40007949999999998</v>
      </c>
      <c r="N9999">
        <v>-1.4910720000000001E-2</v>
      </c>
      <c r="O9999">
        <v>0.91635919999999904</v>
      </c>
      <c r="P9999">
        <v>0.64436579999999999</v>
      </c>
      <c r="Q9999">
        <v>-0.1181191</v>
      </c>
      <c r="R9999">
        <v>0.75553999999999999</v>
      </c>
      <c r="S9999">
        <v>2.9593349999999998</v>
      </c>
      <c r="T9999">
        <v>-0.26161990000000002</v>
      </c>
      <c r="U9999">
        <v>1.4105529999999999</v>
      </c>
      <c r="V9999">
        <v>0.2870452</v>
      </c>
      <c r="W9999">
        <v>-0.1071563</v>
      </c>
      <c r="X9999">
        <v>0.95190469999999905</v>
      </c>
      <c r="Y9999">
        <v>0.65228319999999995</v>
      </c>
      <c r="Z9999">
        <v>-7.3353940000000006E-2</v>
      </c>
      <c r="AA9999">
        <v>0.75441759999999902</v>
      </c>
      <c r="AB9999">
        <v>18</v>
      </c>
      <c r="AC9999">
        <v>12.5863</v>
      </c>
      <c r="AD9999">
        <v>-1.116460834837</v>
      </c>
      <c r="AE9999">
        <v>5.9345000000000097</v>
      </c>
      <c r="AF9999">
        <v>9.1017268258941204</v>
      </c>
      <c r="AG9999">
        <v>-1.116460834837</v>
      </c>
      <c r="AH9999">
        <v>10.407819384708899</v>
      </c>
      <c r="AI9999">
        <v>94.616593488676102</v>
      </c>
      <c r="AJ9999">
        <v>48.830027282983501</v>
      </c>
      <c r="AK9999">
        <v>13.871215532665101</v>
      </c>
      <c r="AL9999">
        <v>96.151414576733202</v>
      </c>
      <c r="AM9999">
        <v>73.219406628518598</v>
      </c>
      <c r="AN9999">
        <v>0.99999998867740902</v>
      </c>
    </row>
    <row r="10000" spans="1:40" x14ac:dyDescent="0.25">
      <c r="A10000" t="str">
        <f>"20190303154036024"</f>
        <v>20190303154036024</v>
      </c>
      <c r="B10000" t="str">
        <f>"1551598836017906"</f>
        <v>1551598836017906</v>
      </c>
      <c r="C10000" t="s">
        <v>40</v>
      </c>
      <c r="D10000">
        <v>5.3150320000000004</v>
      </c>
      <c r="E10000">
        <v>0.66802159999999999</v>
      </c>
      <c r="F10000" t="s">
        <v>68</v>
      </c>
      <c r="G10000">
        <v>-173.38040000000001</v>
      </c>
      <c r="H10000" s="1">
        <v>-2.0623109999999998E-6</v>
      </c>
      <c r="I10000">
        <v>131.7398</v>
      </c>
      <c r="J10000">
        <v>-185.34520000000001</v>
      </c>
      <c r="K10000">
        <v>1.116473</v>
      </c>
      <c r="L10000">
        <v>126.1262</v>
      </c>
      <c r="M10000">
        <v>0.40512870000000001</v>
      </c>
      <c r="N10000">
        <v>-1.4904779999999999E-2</v>
      </c>
      <c r="O10000">
        <v>0.91413809999999995</v>
      </c>
      <c r="P10000">
        <v>0.64716629999999997</v>
      </c>
      <c r="Q10000">
        <v>-0.11761439999999999</v>
      </c>
      <c r="R10000">
        <v>0.75322159999999905</v>
      </c>
      <c r="S10000">
        <v>2.9568479999999999</v>
      </c>
      <c r="T10000">
        <v>-0.27474609999999999</v>
      </c>
      <c r="U10000">
        <v>1.4059600000000001</v>
      </c>
      <c r="V10000">
        <v>0.2853079</v>
      </c>
      <c r="W10000">
        <v>-0.1066185</v>
      </c>
      <c r="X10000">
        <v>0.95248719999999998</v>
      </c>
      <c r="Y10000">
        <v>0.64849419999999902</v>
      </c>
      <c r="Z10000">
        <v>-7.7625949999999999E-2</v>
      </c>
      <c r="AA10000">
        <v>0.75725129999999996</v>
      </c>
      <c r="AB10000">
        <v>18</v>
      </c>
      <c r="AC10000">
        <v>11.964799999999901</v>
      </c>
      <c r="AD10000">
        <v>-1.116475062311</v>
      </c>
      <c r="AE10000">
        <v>5.6135999999999999</v>
      </c>
      <c r="AF10000">
        <v>8.6028184195273703</v>
      </c>
      <c r="AG10000">
        <v>-1.116475062311</v>
      </c>
      <c r="AH10000">
        <v>9.9092815854400893</v>
      </c>
      <c r="AI10000">
        <v>94.863036110256104</v>
      </c>
      <c r="AJ10000">
        <v>49.0368689227193</v>
      </c>
      <c r="AK10000">
        <v>13.169998590116201</v>
      </c>
      <c r="AL10000">
        <v>96.120423388358304</v>
      </c>
      <c r="AM10000">
        <v>73.324945093648694</v>
      </c>
      <c r="AN10000">
        <v>0.99999998425424896</v>
      </c>
    </row>
    <row r="10001" spans="1:40" x14ac:dyDescent="0.25">
      <c r="A10001" t="str">
        <f>"20190303154036036"</f>
        <v>20190303154036036</v>
      </c>
      <c r="B10001" t="str">
        <f>"1551598836027667"</f>
        <v>1551598836027667</v>
      </c>
      <c r="C10001" t="s">
        <v>40</v>
      </c>
      <c r="D10001">
        <v>5.3581190000000003</v>
      </c>
      <c r="E10001">
        <v>0.66847529999999999</v>
      </c>
      <c r="F10001" t="s">
        <v>68</v>
      </c>
      <c r="G10001">
        <v>-173.50960000000001</v>
      </c>
      <c r="H10001" s="1">
        <v>-2.1162070000000002E-6</v>
      </c>
      <c r="I10001">
        <v>131.6952</v>
      </c>
      <c r="J10001">
        <v>-185.3022</v>
      </c>
      <c r="K10001">
        <v>1.116484</v>
      </c>
      <c r="L10001">
        <v>126.2099</v>
      </c>
      <c r="M10001">
        <v>0.40936840000000002</v>
      </c>
      <c r="N10001">
        <v>-1.489996E-2</v>
      </c>
      <c r="O10001">
        <v>0.91224749999999999</v>
      </c>
      <c r="P10001">
        <v>0.64965830000000002</v>
      </c>
      <c r="Q10001">
        <v>-0.117747</v>
      </c>
      <c r="R10001">
        <v>0.75105239999999995</v>
      </c>
      <c r="S10001">
        <v>2.9624790000000001</v>
      </c>
      <c r="T10001">
        <v>-0.2794546</v>
      </c>
      <c r="U10001">
        <v>1.393921</v>
      </c>
      <c r="V10001">
        <v>0.28405399999999997</v>
      </c>
      <c r="W10001">
        <v>-0.10672769999999999</v>
      </c>
      <c r="X10001">
        <v>0.95284970000000002</v>
      </c>
      <c r="Y10001">
        <v>0.64792380000000005</v>
      </c>
      <c r="Z10001">
        <v>-7.9155950000000003E-2</v>
      </c>
      <c r="AA10001">
        <v>0.75758110000000001</v>
      </c>
      <c r="AB10001">
        <v>18</v>
      </c>
      <c r="AC10001">
        <v>11.792599999999901</v>
      </c>
      <c r="AD10001">
        <v>-1.1164861162069999</v>
      </c>
      <c r="AE10001">
        <v>5.4852999999999899</v>
      </c>
      <c r="AF10001">
        <v>8.4509292602447399</v>
      </c>
      <c r="AG10001">
        <v>-1.1164861162069999</v>
      </c>
      <c r="AH10001">
        <v>9.7606317924981898</v>
      </c>
      <c r="AI10001">
        <v>94.942475337715706</v>
      </c>
      <c r="AJ10001">
        <v>49.113401361575498</v>
      </c>
      <c r="AK10001">
        <v>12.958961362627401</v>
      </c>
      <c r="AL10001">
        <v>96.126715810384397</v>
      </c>
      <c r="AM10001">
        <v>73.400156429068602</v>
      </c>
      <c r="AN10001">
        <v>1.00000001382669</v>
      </c>
    </row>
    <row r="10002" spans="1:40" x14ac:dyDescent="0.25">
      <c r="A10002" t="str">
        <f>"20190303154036046"</f>
        <v>20190303154036046</v>
      </c>
      <c r="B10002" t="str">
        <f>"1551598836037427"</f>
        <v>1551598836037427</v>
      </c>
      <c r="C10002" t="s">
        <v>40</v>
      </c>
      <c r="D10002">
        <v>5.3424889999999996</v>
      </c>
      <c r="E10002">
        <v>0.66864399999999902</v>
      </c>
      <c r="F10002" t="s">
        <v>68</v>
      </c>
      <c r="G10002">
        <v>-173.55350000000001</v>
      </c>
      <c r="H10002" s="1">
        <v>-2.132341E-6</v>
      </c>
      <c r="I10002">
        <v>131.67509999999999</v>
      </c>
      <c r="J10002">
        <v>-185.2587</v>
      </c>
      <c r="K10002">
        <v>1.1164989999999999</v>
      </c>
      <c r="L10002">
        <v>126.294</v>
      </c>
      <c r="M10002">
        <v>0.41362510000000002</v>
      </c>
      <c r="N10002">
        <v>-1.489526E-2</v>
      </c>
      <c r="O10002">
        <v>0.91032550000000001</v>
      </c>
      <c r="P10002">
        <v>0.65222000000000002</v>
      </c>
      <c r="Q10002">
        <v>-0.11892229999999999</v>
      </c>
      <c r="R10002">
        <v>0.74864319999999995</v>
      </c>
      <c r="S10002">
        <v>2.9696500000000001</v>
      </c>
      <c r="T10002">
        <v>-0.28220610000000002</v>
      </c>
      <c r="U10002">
        <v>1.3813930000000001</v>
      </c>
      <c r="V10002">
        <v>0.28292679999999998</v>
      </c>
      <c r="W10002">
        <v>-0.1078837</v>
      </c>
      <c r="X10002">
        <v>0.95305479999999998</v>
      </c>
      <c r="Y10002">
        <v>0.64763400000000004</v>
      </c>
      <c r="Z10002">
        <v>-8.0026219999999995E-2</v>
      </c>
      <c r="AA10002">
        <v>0.75773740000000001</v>
      </c>
      <c r="AB10002">
        <v>18</v>
      </c>
      <c r="AC10002">
        <v>11.7051999999999</v>
      </c>
      <c r="AD10002">
        <v>-1.1165011323409999</v>
      </c>
      <c r="AE10002">
        <v>5.3810999999999796</v>
      </c>
      <c r="AF10002">
        <v>8.3678683377063496</v>
      </c>
      <c r="AG10002">
        <v>-1.1165011323409999</v>
      </c>
      <c r="AH10002">
        <v>9.6685771615703207</v>
      </c>
      <c r="AI10002">
        <v>94.9902163794508</v>
      </c>
      <c r="AJ10002">
        <v>49.124778044882802</v>
      </c>
      <c r="AK10002">
        <v>12.8354656956787</v>
      </c>
      <c r="AL10002">
        <v>96.193334723892704</v>
      </c>
      <c r="AM10002">
        <v>73.465788872144699</v>
      </c>
      <c r="AN10002">
        <v>0.99999995934348396</v>
      </c>
    </row>
    <row r="10003" spans="1:40" x14ac:dyDescent="0.25">
      <c r="A10003" t="str">
        <f>"20190303154036059"</f>
        <v>20190303154036059</v>
      </c>
      <c r="B10003" t="str">
        <f>"1551598836047693"</f>
        <v>1551598836047693</v>
      </c>
      <c r="C10003" t="s">
        <v>40</v>
      </c>
      <c r="D10003">
        <v>5.3540929999999998</v>
      </c>
      <c r="E10003">
        <v>0.66881729999999995</v>
      </c>
      <c r="F10003" t="s">
        <v>68</v>
      </c>
      <c r="G10003">
        <v>-173.70150000000001</v>
      </c>
      <c r="H10003" s="1">
        <v>-2.1894830000000001E-6</v>
      </c>
      <c r="I10003">
        <v>131.61349999999999</v>
      </c>
      <c r="J10003">
        <v>-185.21559999999999</v>
      </c>
      <c r="K10003">
        <v>1.116509</v>
      </c>
      <c r="L10003">
        <v>126.3758</v>
      </c>
      <c r="M10003">
        <v>0.41777999999999998</v>
      </c>
      <c r="N10003">
        <v>-1.4890840000000001E-2</v>
      </c>
      <c r="O10003">
        <v>0.90842619999999996</v>
      </c>
      <c r="P10003">
        <v>0.65500659999999999</v>
      </c>
      <c r="Q10003">
        <v>-0.1195922</v>
      </c>
      <c r="R10003">
        <v>0.74609919999999996</v>
      </c>
      <c r="S10003">
        <v>2.9752960000000002</v>
      </c>
      <c r="T10003">
        <v>-0.28743429999999998</v>
      </c>
      <c r="U10003">
        <v>1.3694759999999999</v>
      </c>
      <c r="V10003">
        <v>0.28216729999999901</v>
      </c>
      <c r="W10003">
        <v>-0.1085392</v>
      </c>
      <c r="X10003">
        <v>0.95320559999999999</v>
      </c>
      <c r="Y10003">
        <v>0.6470764</v>
      </c>
      <c r="Z10003">
        <v>-8.1710580000000005E-2</v>
      </c>
      <c r="AA10003">
        <v>0.75803390000000004</v>
      </c>
      <c r="AB10003">
        <v>18</v>
      </c>
      <c r="AC10003">
        <v>11.5140999999999</v>
      </c>
      <c r="AD10003">
        <v>-1.116511189483</v>
      </c>
      <c r="AE10003">
        <v>5.2376999999999896</v>
      </c>
      <c r="AF10003">
        <v>8.2084699941228791</v>
      </c>
      <c r="AG10003">
        <v>-1.116511189483</v>
      </c>
      <c r="AH10003">
        <v>9.4955074837503197</v>
      </c>
      <c r="AI10003">
        <v>95.083276089282506</v>
      </c>
      <c r="AJ10003">
        <v>49.157953741780098</v>
      </c>
      <c r="AK10003">
        <v>12.601199913286599</v>
      </c>
      <c r="AL10003">
        <v>96.231113514138002</v>
      </c>
      <c r="AM10003">
        <v>73.510227056102096</v>
      </c>
      <c r="AN10003">
        <v>1.00000002949864</v>
      </c>
    </row>
    <row r="10004" spans="1:40" x14ac:dyDescent="0.25">
      <c r="A10004" t="str">
        <f>"20190303154036072"</f>
        <v>20190303154036072</v>
      </c>
      <c r="B10004" t="str">
        <f>"1551598836068190"</f>
        <v>1551598836068190</v>
      </c>
      <c r="C10004" t="s">
        <v>40</v>
      </c>
      <c r="D10004">
        <v>5.3934569999999997</v>
      </c>
      <c r="E10004">
        <v>0.669095</v>
      </c>
      <c r="F10004" t="s">
        <v>68</v>
      </c>
      <c r="G10004">
        <v>-173.8064</v>
      </c>
      <c r="H10004" s="1">
        <v>-2.229355E-6</v>
      </c>
      <c r="I10004">
        <v>131.5686</v>
      </c>
      <c r="J10004">
        <v>-185.16409999999999</v>
      </c>
      <c r="K10004">
        <v>1.116519</v>
      </c>
      <c r="L10004">
        <v>126.47280000000001</v>
      </c>
      <c r="M10004">
        <v>0.42270079999999999</v>
      </c>
      <c r="N10004">
        <v>-1.488576E-2</v>
      </c>
      <c r="O10004">
        <v>0.90614700000000004</v>
      </c>
      <c r="P10004">
        <v>0.65860830000000004</v>
      </c>
      <c r="Q10004">
        <v>-0.1203502</v>
      </c>
      <c r="R10004">
        <v>0.74279949999999995</v>
      </c>
      <c r="S10004">
        <v>2.981277</v>
      </c>
      <c r="T10004">
        <v>-0.29175069999999997</v>
      </c>
      <c r="U10004">
        <v>1.3568880000000001</v>
      </c>
      <c r="V10004">
        <v>0.28165649999999998</v>
      </c>
      <c r="W10004">
        <v>-0.1092862</v>
      </c>
      <c r="X10004">
        <v>0.95327130000000004</v>
      </c>
      <c r="Y10004">
        <v>0.64606359999999996</v>
      </c>
      <c r="Z10004">
        <v>-8.3083729999999995E-2</v>
      </c>
      <c r="AA10004">
        <v>0.75874819999999998</v>
      </c>
      <c r="AB10004">
        <v>18</v>
      </c>
      <c r="AC10004">
        <v>11.3576999999999</v>
      </c>
      <c r="AD10004">
        <v>-1.116521229355</v>
      </c>
      <c r="AE10004">
        <v>5.0957999999999899</v>
      </c>
      <c r="AF10004">
        <v>8.0736997835379398</v>
      </c>
      <c r="AG10004">
        <v>-1.116521229355</v>
      </c>
      <c r="AH10004">
        <v>9.3443258406459009</v>
      </c>
      <c r="AI10004">
        <v>95.166232967961705</v>
      </c>
      <c r="AJ10004">
        <v>49.1722743974439</v>
      </c>
      <c r="AK10004">
        <v>12.3995029443306</v>
      </c>
      <c r="AL10004">
        <v>96.274169682847997</v>
      </c>
      <c r="AM10004">
        <v>73.539534037831302</v>
      </c>
      <c r="AN10004">
        <v>1.00000001445319</v>
      </c>
    </row>
    <row r="10005" spans="1:40" x14ac:dyDescent="0.25">
      <c r="A10005" t="str">
        <f>"20190303154036085"</f>
        <v>20190303154036085</v>
      </c>
      <c r="B10005" t="str">
        <f>"1551598836077949"</f>
        <v>1551598836077949</v>
      </c>
      <c r="C10005" t="s">
        <v>40</v>
      </c>
      <c r="D10005">
        <v>5.4053240000000002</v>
      </c>
      <c r="E10005">
        <v>0.66914799999999997</v>
      </c>
      <c r="F10005" t="s">
        <v>68</v>
      </c>
      <c r="G10005">
        <v>-173.97620000000001</v>
      </c>
      <c r="H10005" s="1">
        <v>-2.2907400000000002E-6</v>
      </c>
      <c r="I10005">
        <v>131.48859999999999</v>
      </c>
      <c r="J10005">
        <v>-185.1088</v>
      </c>
      <c r="K10005">
        <v>1.116527</v>
      </c>
      <c r="L10005">
        <v>126.57550000000001</v>
      </c>
      <c r="M10005">
        <v>0.42791790000000002</v>
      </c>
      <c r="N10005">
        <v>-1.4880549999999999E-2</v>
      </c>
      <c r="O10005">
        <v>0.90369509999999997</v>
      </c>
      <c r="P10005">
        <v>0.6625413</v>
      </c>
      <c r="Q10005">
        <v>-0.1207787</v>
      </c>
      <c r="R10005">
        <v>0.73922359999999998</v>
      </c>
      <c r="S10005">
        <v>2.9891200000000002</v>
      </c>
      <c r="T10005">
        <v>-0.2983054</v>
      </c>
      <c r="U10005">
        <v>1.3400879999999999</v>
      </c>
      <c r="V10005">
        <v>0.2812499</v>
      </c>
      <c r="W10005">
        <v>-0.1097045</v>
      </c>
      <c r="X10005">
        <v>0.9533433</v>
      </c>
      <c r="Y10005">
        <v>0.64579089999999995</v>
      </c>
      <c r="Z10005">
        <v>-8.5194679999999995E-2</v>
      </c>
      <c r="AA10005">
        <v>0.75874640000000004</v>
      </c>
      <c r="AB10005">
        <v>18</v>
      </c>
      <c r="AC10005">
        <v>11.132599999999901</v>
      </c>
      <c r="AD10005">
        <v>-1.11652929074</v>
      </c>
      <c r="AE10005">
        <v>4.9130999999999796</v>
      </c>
      <c r="AF10005">
        <v>7.8925064366806801</v>
      </c>
      <c r="AG10005">
        <v>-1.11652929074</v>
      </c>
      <c r="AH10005">
        <v>9.1279536574096394</v>
      </c>
      <c r="AI10005">
        <v>95.286406452857804</v>
      </c>
      <c r="AJ10005">
        <v>49.151590817568902</v>
      </c>
      <c r="AK10005">
        <v>12.1184913863873</v>
      </c>
      <c r="AL10005">
        <v>96.298281476755406</v>
      </c>
      <c r="AM10005">
        <v>73.563187391321605</v>
      </c>
      <c r="AN10005">
        <v>1.0000000156125699</v>
      </c>
    </row>
    <row r="10006" spans="1:40" x14ac:dyDescent="0.25">
      <c r="A10006" t="str">
        <f>"20190303154036098"</f>
        <v>20190303154036098</v>
      </c>
      <c r="B10006" t="str">
        <f>"1551598836087709"</f>
        <v>1551598836087709</v>
      </c>
      <c r="C10006" t="s">
        <v>40</v>
      </c>
      <c r="D10006">
        <v>5.4018470000000001</v>
      </c>
      <c r="E10006">
        <v>0.66915360000000002</v>
      </c>
      <c r="F10006" t="s">
        <v>68</v>
      </c>
      <c r="G10006">
        <v>-174.03450000000001</v>
      </c>
      <c r="H10006" s="1">
        <v>-2.3141809999999999E-6</v>
      </c>
      <c r="I10006">
        <v>131.46700000000001</v>
      </c>
      <c r="J10006">
        <v>-185.0592</v>
      </c>
      <c r="K10006">
        <v>1.1165369999999999</v>
      </c>
      <c r="L10006">
        <v>126.6661</v>
      </c>
      <c r="M10006">
        <v>0.43252780000000002</v>
      </c>
      <c r="N10006">
        <v>-1.487603E-2</v>
      </c>
      <c r="O10006">
        <v>0.90149789999999996</v>
      </c>
      <c r="P10006">
        <v>0.66576519999999995</v>
      </c>
      <c r="Q10006">
        <v>-0.12100089999999999</v>
      </c>
      <c r="R10006">
        <v>0.73628499999999997</v>
      </c>
      <c r="S10006">
        <v>2.996292</v>
      </c>
      <c r="T10006">
        <v>-0.30209279999999999</v>
      </c>
      <c r="U10006">
        <v>1.3234859999999999</v>
      </c>
      <c r="V10006">
        <v>0.28056449999999999</v>
      </c>
      <c r="W10006">
        <v>-0.1099126</v>
      </c>
      <c r="X10006">
        <v>0.95352130000000002</v>
      </c>
      <c r="Y10006">
        <v>0.64598319999999998</v>
      </c>
      <c r="Z10006">
        <v>-8.6438459999999995E-2</v>
      </c>
      <c r="AA10006">
        <v>0.7584419</v>
      </c>
      <c r="AB10006">
        <v>18</v>
      </c>
      <c r="AC10006">
        <v>11.0246999999999</v>
      </c>
      <c r="AD10006">
        <v>-1.1165393141810001</v>
      </c>
      <c r="AE10006">
        <v>4.8009000000000102</v>
      </c>
      <c r="AF10006">
        <v>7.7958759575299696</v>
      </c>
      <c r="AG10006">
        <v>-1.1165393141810001</v>
      </c>
      <c r="AH10006">
        <v>9.0197299175937093</v>
      </c>
      <c r="AI10006">
        <v>95.350408804001603</v>
      </c>
      <c r="AJ10006">
        <v>49.1626954456815</v>
      </c>
      <c r="AK10006">
        <v>11.974049848386301</v>
      </c>
      <c r="AL10006">
        <v>96.310277090392802</v>
      </c>
      <c r="AM10006">
        <v>73.603986002049894</v>
      </c>
      <c r="AN10006">
        <v>1.0000000439263399</v>
      </c>
    </row>
    <row r="10007" spans="1:40" x14ac:dyDescent="0.25">
      <c r="A10007" t="str">
        <f>"20190303154036113"</f>
        <v>20190303154036113</v>
      </c>
      <c r="B10007" t="str">
        <f>"1551598836108207"</f>
        <v>1551598836108207</v>
      </c>
      <c r="C10007" t="s">
        <v>40</v>
      </c>
      <c r="D10007">
        <v>5.4080320000000004</v>
      </c>
      <c r="E10007">
        <v>0.66920360000000001</v>
      </c>
      <c r="F10007" t="s">
        <v>68</v>
      </c>
      <c r="G10007">
        <v>-174.0394</v>
      </c>
      <c r="H10007" s="1">
        <v>-2.3192569999999998E-6</v>
      </c>
      <c r="I10007">
        <v>131.47470000000001</v>
      </c>
      <c r="J10007">
        <v>-185.00319999999999</v>
      </c>
      <c r="K10007">
        <v>1.1165529999999999</v>
      </c>
      <c r="L10007">
        <v>126.7676</v>
      </c>
      <c r="M10007">
        <v>0.43769710000000001</v>
      </c>
      <c r="N10007">
        <v>-1.487105E-2</v>
      </c>
      <c r="O10007">
        <v>0.89899949999999995</v>
      </c>
      <c r="P10007">
        <v>0.66925869999999998</v>
      </c>
      <c r="Q10007">
        <v>-0.1208482</v>
      </c>
      <c r="R10007">
        <v>0.73313609999999996</v>
      </c>
      <c r="S10007">
        <v>3.0020600000000002</v>
      </c>
      <c r="T10007">
        <v>-0.30417230000000001</v>
      </c>
      <c r="U10007">
        <v>1.309982</v>
      </c>
      <c r="V10007">
        <v>0.27961920000000001</v>
      </c>
      <c r="W10007">
        <v>-0.1097407</v>
      </c>
      <c r="X10007">
        <v>0.95381870000000002</v>
      </c>
      <c r="Y10007">
        <v>0.64495469999999999</v>
      </c>
      <c r="Z10007">
        <v>-8.708834E-2</v>
      </c>
      <c r="AA10007">
        <v>0.75924250000000004</v>
      </c>
      <c r="AB10007">
        <v>18</v>
      </c>
      <c r="AC10007">
        <v>10.9637999999999</v>
      </c>
      <c r="AD10007">
        <v>-1.1165553192569999</v>
      </c>
      <c r="AE10007">
        <v>4.7071000000000103</v>
      </c>
      <c r="AF10007">
        <v>7.72934118700943</v>
      </c>
      <c r="AG10007">
        <v>-1.1165553192569999</v>
      </c>
      <c r="AH10007">
        <v>8.9530982715811493</v>
      </c>
      <c r="AI10007">
        <v>95.392720000669499</v>
      </c>
      <c r="AJ10007">
        <v>49.195474733903197</v>
      </c>
      <c r="AK10007">
        <v>11.8805462680278</v>
      </c>
      <c r="AL10007">
        <v>96.300368184569095</v>
      </c>
      <c r="AM10007">
        <v>73.661099999418099</v>
      </c>
      <c r="AN10007">
        <v>1.0000000153574</v>
      </c>
    </row>
    <row r="10008" spans="1:40" x14ac:dyDescent="0.25">
      <c r="A10008" t="str">
        <f>"20190303154036125"</f>
        <v>20190303154036125</v>
      </c>
      <c r="B10008" t="str">
        <f>"1551598836117966"</f>
        <v>1551598836117966</v>
      </c>
      <c r="C10008" t="s">
        <v>40</v>
      </c>
      <c r="D10008">
        <v>5.4075119999999997</v>
      </c>
      <c r="E10008">
        <v>0.66923699999999997</v>
      </c>
      <c r="F10008" t="s">
        <v>68</v>
      </c>
      <c r="G10008">
        <v>-174.04589999999999</v>
      </c>
      <c r="H10008" s="1">
        <v>-2.3260529999999998E-6</v>
      </c>
      <c r="I10008">
        <v>131.48500000000001</v>
      </c>
      <c r="J10008">
        <v>-184.95050000000001</v>
      </c>
      <c r="K10008">
        <v>1.1165700000000001</v>
      </c>
      <c r="L10008">
        <v>126.8617</v>
      </c>
      <c r="M10008">
        <v>0.44248920000000003</v>
      </c>
      <c r="N10008">
        <v>-1.486642E-2</v>
      </c>
      <c r="O10008">
        <v>0.89665059999999996</v>
      </c>
      <c r="P10008">
        <v>0.67269499999999904</v>
      </c>
      <c r="Q10008">
        <v>-0.1206417</v>
      </c>
      <c r="R10008">
        <v>0.73001850000000001</v>
      </c>
      <c r="S10008">
        <v>3.0083920000000002</v>
      </c>
      <c r="T10008">
        <v>-0.306558</v>
      </c>
      <c r="U10008">
        <v>1.2951969999999999</v>
      </c>
      <c r="V10008">
        <v>0.27899990000000002</v>
      </c>
      <c r="W10008">
        <v>-0.1095206</v>
      </c>
      <c r="X10008">
        <v>0.95402529999999997</v>
      </c>
      <c r="Y10008">
        <v>0.6445476</v>
      </c>
      <c r="Z10008">
        <v>-8.7850629999999999E-2</v>
      </c>
      <c r="AA10008">
        <v>0.75950019999999996</v>
      </c>
      <c r="AB10008">
        <v>18</v>
      </c>
      <c r="AC10008">
        <v>10.9046</v>
      </c>
      <c r="AD10008">
        <v>-1.1165723260530001</v>
      </c>
      <c r="AE10008">
        <v>4.6233000000000102</v>
      </c>
      <c r="AF10008">
        <v>7.6645940686551297</v>
      </c>
      <c r="AG10008">
        <v>-1.1165723260530001</v>
      </c>
      <c r="AH10008">
        <v>8.8926140379930292</v>
      </c>
      <c r="AI10008">
        <v>95.433025380429598</v>
      </c>
      <c r="AJ10008">
        <v>49.241764018673898</v>
      </c>
      <c r="AK10008">
        <v>11.792850394424599</v>
      </c>
      <c r="AL10008">
        <v>96.287681072812902</v>
      </c>
      <c r="AM10008">
        <v>73.698706541901203</v>
      </c>
      <c r="AN10008">
        <v>0.99999998953222902</v>
      </c>
    </row>
    <row r="10009" spans="1:40" x14ac:dyDescent="0.25">
      <c r="A10009" t="str">
        <f>"20190303154036138"</f>
        <v>20190303154036138</v>
      </c>
      <c r="B10009" t="str">
        <f>"1551598836127727"</f>
        <v>1551598836127727</v>
      </c>
      <c r="C10009" t="s">
        <v>40</v>
      </c>
      <c r="D10009">
        <v>5.3855050000000002</v>
      </c>
      <c r="E10009">
        <v>0.66921390000000003</v>
      </c>
      <c r="F10009" t="s">
        <v>68</v>
      </c>
      <c r="G10009">
        <v>-173.9409</v>
      </c>
      <c r="H10009" s="1">
        <v>-2.2934439999999999E-6</v>
      </c>
      <c r="I10009">
        <v>131.5401</v>
      </c>
      <c r="J10009">
        <v>-184.90180000000001</v>
      </c>
      <c r="K10009">
        <v>1.1165849999999999</v>
      </c>
      <c r="L10009">
        <v>126.9474</v>
      </c>
      <c r="M10009">
        <v>0.44685940000000002</v>
      </c>
      <c r="N10009">
        <v>-1.4862240000000001E-2</v>
      </c>
      <c r="O10009">
        <v>0.89448079999999996</v>
      </c>
      <c r="P10009">
        <v>0.67601109999999998</v>
      </c>
      <c r="Q10009">
        <v>-0.1203294</v>
      </c>
      <c r="R10009">
        <v>0.727000599999999</v>
      </c>
      <c r="S10009">
        <v>3.0146329999999999</v>
      </c>
      <c r="T10009">
        <v>-0.30573919999999999</v>
      </c>
      <c r="U10009">
        <v>1.2810520000000001</v>
      </c>
      <c r="V10009">
        <v>0.2786708</v>
      </c>
      <c r="W10009">
        <v>-0.1091995</v>
      </c>
      <c r="X10009">
        <v>0.95415830000000001</v>
      </c>
      <c r="Y10009">
        <v>0.6444356</v>
      </c>
      <c r="Z10009">
        <v>-8.7586079999999997E-2</v>
      </c>
      <c r="AA10009">
        <v>0.75962589999999997</v>
      </c>
      <c r="AB10009">
        <v>18</v>
      </c>
      <c r="AC10009">
        <v>10.960900000000001</v>
      </c>
      <c r="AD10009">
        <v>-1.116587293444</v>
      </c>
      <c r="AE10009">
        <v>4.59269999999999</v>
      </c>
      <c r="AF10009">
        <v>7.6850384242000702</v>
      </c>
      <c r="AG10009">
        <v>-1.116587293444</v>
      </c>
      <c r="AH10009">
        <v>8.9282420364387391</v>
      </c>
      <c r="AI10009">
        <v>95.4146047751277</v>
      </c>
      <c r="AJ10009">
        <v>49.279576588453999</v>
      </c>
      <c r="AK10009">
        <v>11.8330084351589</v>
      </c>
      <c r="AL10009">
        <v>96.269172298371103</v>
      </c>
      <c r="AM10009">
        <v>73.719065239234396</v>
      </c>
      <c r="AN10009">
        <v>1.00000000351589</v>
      </c>
    </row>
    <row r="10010" spans="1:40" x14ac:dyDescent="0.25">
      <c r="A10010" t="str">
        <f>"20190303154036151"</f>
        <v>20190303154036151</v>
      </c>
      <c r="B10010" t="str">
        <f>"1551598836147754"</f>
        <v>1551598836147754</v>
      </c>
      <c r="C10010" t="s">
        <v>40</v>
      </c>
      <c r="D10010">
        <v>5.4418179999999996</v>
      </c>
      <c r="E10010">
        <v>0.66910829999999999</v>
      </c>
      <c r="F10010" t="s">
        <v>68</v>
      </c>
      <c r="G10010">
        <v>-173.82769999999999</v>
      </c>
      <c r="H10010" s="1">
        <v>-2.2532350000000002E-6</v>
      </c>
      <c r="I10010">
        <v>131.5951</v>
      </c>
      <c r="J10010">
        <v>-184.84630000000001</v>
      </c>
      <c r="K10010">
        <v>1.1165969999999901</v>
      </c>
      <c r="L10010">
        <v>127.0444</v>
      </c>
      <c r="M10010">
        <v>0.45180429999999999</v>
      </c>
      <c r="N10010">
        <v>-1.485757E-2</v>
      </c>
      <c r="O10010">
        <v>0.89199340000000005</v>
      </c>
      <c r="P10010">
        <v>0.67999180000000004</v>
      </c>
      <c r="Q10010">
        <v>-0.1199065</v>
      </c>
      <c r="R10010">
        <v>0.72334889999999996</v>
      </c>
      <c r="S10010">
        <v>3.0203549999999999</v>
      </c>
      <c r="T10010">
        <v>-0.30453750000000002</v>
      </c>
      <c r="U10010">
        <v>1.2676240000000001</v>
      </c>
      <c r="V10010">
        <v>0.27860279999999998</v>
      </c>
      <c r="W10010">
        <v>-0.1087711</v>
      </c>
      <c r="X10010">
        <v>0.95422709999999999</v>
      </c>
      <c r="Y10010">
        <v>0.64363530000000002</v>
      </c>
      <c r="Z10010">
        <v>-8.7176480000000001E-2</v>
      </c>
      <c r="AA10010">
        <v>0.76035109999999995</v>
      </c>
      <c r="AB10010">
        <v>18</v>
      </c>
      <c r="AC10010">
        <v>11.018599999999999</v>
      </c>
      <c r="AD10010">
        <v>-1.11659925323499</v>
      </c>
      <c r="AE10010">
        <v>4.5507</v>
      </c>
      <c r="AF10010">
        <v>7.7057483517650498</v>
      </c>
      <c r="AG10010">
        <v>-1.11659925323499</v>
      </c>
      <c r="AH10010">
        <v>8.9598384704016105</v>
      </c>
      <c r="AI10010">
        <v>95.397601065204995</v>
      </c>
      <c r="AJ10010">
        <v>49.303412988901897</v>
      </c>
      <c r="AK10010">
        <v>11.870301469159999</v>
      </c>
      <c r="AL10010">
        <v>96.244479627133401</v>
      </c>
      <c r="AM10010">
        <v>73.723939145459497</v>
      </c>
      <c r="AN10010">
        <v>1.0000000153687201</v>
      </c>
    </row>
    <row r="10011" spans="1:40" x14ac:dyDescent="0.25">
      <c r="A10011" t="str">
        <f>"20190303154036168"</f>
        <v>20190303154036168</v>
      </c>
      <c r="B10011" t="str">
        <f>"1551598836158490"</f>
        <v>1551598836158490</v>
      </c>
      <c r="C10011" t="s">
        <v>40</v>
      </c>
      <c r="D10011">
        <v>5.4189720000000001</v>
      </c>
      <c r="E10011">
        <v>0.66900569999999904</v>
      </c>
      <c r="F10011" t="s">
        <v>68</v>
      </c>
      <c r="G10011">
        <v>-173.7852</v>
      </c>
      <c r="H10011" s="1">
        <v>-2.239343E-6</v>
      </c>
      <c r="I10011">
        <v>131.61840000000001</v>
      </c>
      <c r="J10011">
        <v>-184.77340000000001</v>
      </c>
      <c r="K10011">
        <v>1.1166210000000001</v>
      </c>
      <c r="L10011">
        <v>127.1695</v>
      </c>
      <c r="M10011">
        <v>0.4581942</v>
      </c>
      <c r="N10011">
        <v>-1.4851430000000001E-2</v>
      </c>
      <c r="O10011">
        <v>0.88872799999999996</v>
      </c>
      <c r="P10011">
        <v>0.68567959999999994</v>
      </c>
      <c r="Q10011">
        <v>-0.1190153</v>
      </c>
      <c r="R10011">
        <v>0.71810769999999902</v>
      </c>
      <c r="S10011">
        <v>3.0265810000000002</v>
      </c>
      <c r="T10011">
        <v>-0.30552849999999998</v>
      </c>
      <c r="U10011">
        <v>1.2515719999999999</v>
      </c>
      <c r="V10011">
        <v>0.27923029999999999</v>
      </c>
      <c r="W10011">
        <v>-0.1078833</v>
      </c>
      <c r="X10011">
        <v>0.9541444</v>
      </c>
      <c r="Y10011">
        <v>0.642127</v>
      </c>
      <c r="Z10011">
        <v>-8.7453130000000004E-2</v>
      </c>
      <c r="AA10011">
        <v>0.76159370000000004</v>
      </c>
      <c r="AB10011">
        <v>18</v>
      </c>
      <c r="AC10011">
        <v>10.988200000000001</v>
      </c>
      <c r="AD10011">
        <v>-1.11662323934299</v>
      </c>
      <c r="AE10011">
        <v>4.4489000000000001</v>
      </c>
      <c r="AF10011">
        <v>7.6599522514541896</v>
      </c>
      <c r="AG10011">
        <v>-1.11662323934299</v>
      </c>
      <c r="AH10011">
        <v>8.9105266856889997</v>
      </c>
      <c r="AI10011">
        <v>95.428423649798404</v>
      </c>
      <c r="AJ10011">
        <v>49.315932113091101</v>
      </c>
      <c r="AK10011">
        <v>11.803355530084399</v>
      </c>
      <c r="AL10011">
        <v>96.193311720085205</v>
      </c>
      <c r="AM10011">
        <v>73.687888544133003</v>
      </c>
      <c r="AN10011">
        <v>0.99999995145416798</v>
      </c>
    </row>
    <row r="10012" spans="1:40" x14ac:dyDescent="0.25">
      <c r="A10012" t="str">
        <f>"20190303154036181"</f>
        <v>20190303154036181</v>
      </c>
      <c r="B10012" t="str">
        <f>"1551598836178011"</f>
        <v>1551598836178011</v>
      </c>
      <c r="C10012" t="s">
        <v>40</v>
      </c>
      <c r="D10012">
        <v>5.4176970000000004</v>
      </c>
      <c r="E10012">
        <v>0.6687611</v>
      </c>
      <c r="F10012" t="s">
        <v>68</v>
      </c>
      <c r="G10012">
        <v>-173.65209999999999</v>
      </c>
      <c r="H10012" s="1">
        <v>-2.186609E-6</v>
      </c>
      <c r="I10012">
        <v>131.67070000000001</v>
      </c>
      <c r="J10012">
        <v>-184.71899999999999</v>
      </c>
      <c r="K10012">
        <v>1.1166370000000001</v>
      </c>
      <c r="L10012">
        <v>127.26139999999999</v>
      </c>
      <c r="M10012">
        <v>0.46289380000000002</v>
      </c>
      <c r="N10012">
        <v>-1.484683E-2</v>
      </c>
      <c r="O10012">
        <v>0.8862894</v>
      </c>
      <c r="P10012">
        <v>0.68970859999999901</v>
      </c>
      <c r="Q10012">
        <v>-0.11868090000000001</v>
      </c>
      <c r="R10012">
        <v>0.71429469999999995</v>
      </c>
      <c r="S10012">
        <v>3.0355829999999999</v>
      </c>
      <c r="T10012">
        <v>-0.3047839</v>
      </c>
      <c r="U10012">
        <v>1.228607</v>
      </c>
      <c r="V10012">
        <v>0.27952549999999998</v>
      </c>
      <c r="W10012">
        <v>-0.10754950000000001</v>
      </c>
      <c r="X10012">
        <v>0.95409569999999999</v>
      </c>
      <c r="Y10012">
        <v>0.64382790000000001</v>
      </c>
      <c r="Z10012">
        <v>-8.7287749999999997E-2</v>
      </c>
      <c r="AA10012">
        <v>0.7601753</v>
      </c>
      <c r="AB10012">
        <v>18</v>
      </c>
      <c r="AC10012">
        <v>11.0669</v>
      </c>
      <c r="AD10012">
        <v>-1.116639186609</v>
      </c>
      <c r="AE10012">
        <v>4.4093000000000098</v>
      </c>
      <c r="AF10012">
        <v>7.7006375109003704</v>
      </c>
      <c r="AG10012">
        <v>-1.116639186609</v>
      </c>
      <c r="AH10012">
        <v>8.9530498790811208</v>
      </c>
      <c r="AI10012">
        <v>95.401645869671995</v>
      </c>
      <c r="AJ10012">
        <v>49.300736638290601</v>
      </c>
      <c r="AK10012">
        <v>11.8618633984998</v>
      </c>
      <c r="AL10012">
        <v>96.174074143015702</v>
      </c>
      <c r="AM10012">
        <v>73.670772687192894</v>
      </c>
      <c r="AN10012">
        <v>1.0000000024294899</v>
      </c>
    </row>
    <row r="10013" spans="1:40" x14ac:dyDescent="0.25">
      <c r="A10013" t="str">
        <f>"20190303154036194"</f>
        <v>20190303154036194</v>
      </c>
      <c r="B10013" t="str">
        <f>"1551598836187770"</f>
        <v>1551598836187770</v>
      </c>
      <c r="C10013" t="s">
        <v>40</v>
      </c>
      <c r="D10013">
        <v>5.3850910000000001</v>
      </c>
      <c r="E10013">
        <v>0.66865490000000005</v>
      </c>
      <c r="F10013" t="s">
        <v>68</v>
      </c>
      <c r="G10013">
        <v>-173.65270000000001</v>
      </c>
      <c r="H10013" s="1">
        <v>-2.1886039999999998E-6</v>
      </c>
      <c r="I10013">
        <v>131.67449999999999</v>
      </c>
      <c r="J10013">
        <v>-184.6651</v>
      </c>
      <c r="K10013">
        <v>1.116649</v>
      </c>
      <c r="L10013">
        <v>127.3515</v>
      </c>
      <c r="M10013">
        <v>0.46750259999999999</v>
      </c>
      <c r="N10013">
        <v>-1.4842350000000001E-2</v>
      </c>
      <c r="O10013">
        <v>0.88386710000000002</v>
      </c>
      <c r="P10013">
        <v>0.69359989999999905</v>
      </c>
      <c r="Q10013">
        <v>-0.118035</v>
      </c>
      <c r="R10013">
        <v>0.71062429999999999</v>
      </c>
      <c r="S10013">
        <v>3.0409700000000002</v>
      </c>
      <c r="T10013">
        <v>-0.30684709999999898</v>
      </c>
      <c r="U10013">
        <v>1.2126920000000001</v>
      </c>
      <c r="V10013">
        <v>0.27972799999999998</v>
      </c>
      <c r="W10013">
        <v>-0.10690230000000001</v>
      </c>
      <c r="X10013">
        <v>0.95410910000000004</v>
      </c>
      <c r="Y10013">
        <v>0.64368729999999996</v>
      </c>
      <c r="Z10013">
        <v>-8.796582E-2</v>
      </c>
      <c r="AA10013">
        <v>0.76021619999999901</v>
      </c>
      <c r="AB10013">
        <v>18</v>
      </c>
      <c r="AC10013">
        <v>11.0123999999999</v>
      </c>
      <c r="AD10013">
        <v>-1.116651188604</v>
      </c>
      <c r="AE10013">
        <v>4.3229999999999897</v>
      </c>
      <c r="AF10013">
        <v>7.6452228545302301</v>
      </c>
      <c r="AG10013">
        <v>-1.116651188604</v>
      </c>
      <c r="AH10013">
        <v>8.8910609618225998</v>
      </c>
      <c r="AI10013">
        <v>95.439769925822105</v>
      </c>
      <c r="AJ10013">
        <v>49.308505434369501</v>
      </c>
      <c r="AK10013">
        <v>11.779104694300299</v>
      </c>
      <c r="AL10013">
        <v>96.136777206981506</v>
      </c>
      <c r="AM10013">
        <v>73.659791242093107</v>
      </c>
      <c r="AN10013">
        <v>1.00000001521605</v>
      </c>
    </row>
    <row r="10014" spans="1:40" x14ac:dyDescent="0.25">
      <c r="A10014" t="str">
        <f>"20190303154036205"</f>
        <v>20190303154036205</v>
      </c>
      <c r="B10014" t="str">
        <f>"1551598836197530"</f>
        <v>1551598836197530</v>
      </c>
      <c r="C10014" t="s">
        <v>40</v>
      </c>
      <c r="D10014">
        <v>5.402571</v>
      </c>
      <c r="E10014">
        <v>0.66864780000000001</v>
      </c>
      <c r="F10014" t="s">
        <v>68</v>
      </c>
      <c r="G10014">
        <v>-173.56389999999999</v>
      </c>
      <c r="H10014" s="1">
        <v>-2.1547689999999999E-6</v>
      </c>
      <c r="I10014">
        <v>131.7123</v>
      </c>
      <c r="J10014">
        <v>-184.6173</v>
      </c>
      <c r="K10014">
        <v>1.116663</v>
      </c>
      <c r="L10014">
        <v>127.4307</v>
      </c>
      <c r="M10014">
        <v>0.47155049999999998</v>
      </c>
      <c r="N10014">
        <v>-1.4838399999999899E-2</v>
      </c>
      <c r="O10014">
        <v>0.8817142</v>
      </c>
      <c r="P10014">
        <v>0.69696119999999995</v>
      </c>
      <c r="Q10014">
        <v>-0.1175447</v>
      </c>
      <c r="R10014">
        <v>0.70740959999999997</v>
      </c>
      <c r="S10014">
        <v>3.046875</v>
      </c>
      <c r="T10014">
        <v>-0.30648109999999901</v>
      </c>
      <c r="U10014">
        <v>1.196869</v>
      </c>
      <c r="V10014">
        <v>0.27984550000000002</v>
      </c>
      <c r="W10014">
        <v>-0.10641</v>
      </c>
      <c r="X10014">
        <v>0.95412960000000002</v>
      </c>
      <c r="Y10014">
        <v>0.64411779999999996</v>
      </c>
      <c r="Z10014">
        <v>-8.7870050000000005E-2</v>
      </c>
      <c r="AA10014">
        <v>0.75986260000000005</v>
      </c>
      <c r="AB10014">
        <v>18</v>
      </c>
      <c r="AC10014">
        <v>11.0534</v>
      </c>
      <c r="AD10014">
        <v>-1.1166651547690001</v>
      </c>
      <c r="AE10014">
        <v>4.2815999999999903</v>
      </c>
      <c r="AF10014">
        <v>7.6598235662059304</v>
      </c>
      <c r="AG10014">
        <v>-1.1166651547690001</v>
      </c>
      <c r="AH10014">
        <v>8.9093086160173005</v>
      </c>
      <c r="AI10014">
        <v>95.429088943203695</v>
      </c>
      <c r="AJ10014">
        <v>49.312535837221297</v>
      </c>
      <c r="AK10014">
        <v>11.8023564659232</v>
      </c>
      <c r="AL10014">
        <v>96.108409123919699</v>
      </c>
      <c r="AM10014">
        <v>73.653626366081198</v>
      </c>
      <c r="AN10014">
        <v>0.99999994278320303</v>
      </c>
    </row>
    <row r="10015" spans="1:40" x14ac:dyDescent="0.25">
      <c r="A10015" t="str">
        <f>"20190303154036216"</f>
        <v>20190303154036216</v>
      </c>
      <c r="B10015" t="str">
        <f>"1551598836208266"</f>
        <v>1551598836208266</v>
      </c>
      <c r="C10015" t="s">
        <v>40</v>
      </c>
      <c r="D10015">
        <v>5.4189150000000001</v>
      </c>
      <c r="E10015">
        <v>0.66859659999999999</v>
      </c>
      <c r="F10015" t="s">
        <v>68</v>
      </c>
      <c r="G10015">
        <v>-173.422</v>
      </c>
      <c r="H10015" s="1">
        <v>-2.0987829999999999E-6</v>
      </c>
      <c r="I10015">
        <v>131.76859999999999</v>
      </c>
      <c r="J10015">
        <v>-184.57300000000001</v>
      </c>
      <c r="K10015">
        <v>1.1166720000000001</v>
      </c>
      <c r="L10015">
        <v>127.5031</v>
      </c>
      <c r="M10015">
        <v>0.4752575</v>
      </c>
      <c r="N10015">
        <v>-1.4834740000000001E-2</v>
      </c>
      <c r="O10015">
        <v>0.87972169999999905</v>
      </c>
      <c r="P10015">
        <v>0.69988719999999904</v>
      </c>
      <c r="Q10015">
        <v>-0.1163497</v>
      </c>
      <c r="R10015">
        <v>0.70471319999999904</v>
      </c>
      <c r="S10015">
        <v>3.0525359999999999</v>
      </c>
      <c r="T10015">
        <v>-0.30447220000000003</v>
      </c>
      <c r="U10015">
        <v>1.182785</v>
      </c>
      <c r="V10015">
        <v>0.27970499999999998</v>
      </c>
      <c r="W10015">
        <v>-0.1052081</v>
      </c>
      <c r="X10015">
        <v>0.95430420000000005</v>
      </c>
      <c r="Y10015">
        <v>0.64448850000000002</v>
      </c>
      <c r="Z10015">
        <v>-8.7232359999999995E-2</v>
      </c>
      <c r="AA10015">
        <v>0.75962169999999996</v>
      </c>
      <c r="AB10015">
        <v>18</v>
      </c>
      <c r="AC10015">
        <v>11.1509999999999</v>
      </c>
      <c r="AD10015">
        <v>-1.1166740987829999</v>
      </c>
      <c r="AE10015">
        <v>4.2654999999999799</v>
      </c>
      <c r="AF10015">
        <v>7.7159218235637601</v>
      </c>
      <c r="AG10015">
        <v>-1.1166740987829999</v>
      </c>
      <c r="AH10015">
        <v>8.9745344139086107</v>
      </c>
      <c r="AI10015">
        <v>95.389901216583795</v>
      </c>
      <c r="AJ10015">
        <v>49.312462256496502</v>
      </c>
      <c r="AK10015">
        <v>11.8880056601883</v>
      </c>
      <c r="AL10015">
        <v>96.039155803193296</v>
      </c>
      <c r="AM10015">
        <v>73.664225359711395</v>
      </c>
      <c r="AN10015">
        <v>1.00000006873412</v>
      </c>
    </row>
    <row r="10016" spans="1:40" x14ac:dyDescent="0.25">
      <c r="A10016" t="str">
        <f>"20190303154036226"</f>
        <v>20190303154036226</v>
      </c>
      <c r="B10016" t="str">
        <f>"1551598836218026"</f>
        <v>1551598836218026</v>
      </c>
      <c r="C10016" t="s">
        <v>40</v>
      </c>
      <c r="D10016">
        <v>5.3989599999999998</v>
      </c>
      <c r="E10016">
        <v>0.66833149999999997</v>
      </c>
      <c r="F10016" t="s">
        <v>68</v>
      </c>
      <c r="G10016">
        <v>-173.20230000000001</v>
      </c>
      <c r="H10016" s="1">
        <v>-2.0134169999999999E-6</v>
      </c>
      <c r="I10016">
        <v>131.8587</v>
      </c>
      <c r="J10016">
        <v>-184.52520000000001</v>
      </c>
      <c r="K10016">
        <v>1.1166860000000001</v>
      </c>
      <c r="L10016">
        <v>127.5808</v>
      </c>
      <c r="M10016">
        <v>0.47923379999999999</v>
      </c>
      <c r="N10016">
        <v>-1.483084E-2</v>
      </c>
      <c r="O10016">
        <v>0.87756199999999995</v>
      </c>
      <c r="P10016">
        <v>0.70282119999999904</v>
      </c>
      <c r="Q10016">
        <v>-0.1155544</v>
      </c>
      <c r="R10016">
        <v>0.7019185</v>
      </c>
      <c r="S10016">
        <v>3.0572810000000001</v>
      </c>
      <c r="T10016">
        <v>-0.300243599999999</v>
      </c>
      <c r="U10016">
        <v>1.1710969999999901</v>
      </c>
      <c r="V10016">
        <v>0.27931630000000002</v>
      </c>
      <c r="W10016">
        <v>-0.1044026</v>
      </c>
      <c r="X10016">
        <v>0.95450639999999998</v>
      </c>
      <c r="Y10016">
        <v>0.64408869999999996</v>
      </c>
      <c r="Z10016">
        <v>-8.5853940000000004E-2</v>
      </c>
      <c r="AA10016">
        <v>0.76011770000000001</v>
      </c>
      <c r="AB10016">
        <v>18</v>
      </c>
      <c r="AC10016">
        <v>11.322900000000001</v>
      </c>
      <c r="AD10016">
        <v>-1.1166880134170001</v>
      </c>
      <c r="AE10016">
        <v>4.2778999999999998</v>
      </c>
      <c r="AF10016">
        <v>7.8207343730634102</v>
      </c>
      <c r="AG10016">
        <v>-1.1166880134170001</v>
      </c>
      <c r="AH10016">
        <v>9.1039609975240801</v>
      </c>
      <c r="AI10016">
        <v>95.315637528542098</v>
      </c>
      <c r="AJ10016">
        <v>49.3358574836044</v>
      </c>
      <c r="AK10016">
        <v>12.0537539421445</v>
      </c>
      <c r="AL10016">
        <v>95.992748993908904</v>
      </c>
      <c r="AM10016">
        <v>73.688991017800106</v>
      </c>
      <c r="AN10016">
        <v>0.99999998298670401</v>
      </c>
    </row>
    <row r="10017" spans="1:40" x14ac:dyDescent="0.25">
      <c r="A10017" t="str">
        <f>"20190303154036238"</f>
        <v>20190303154036238</v>
      </c>
      <c r="B10017" t="str">
        <f>"1551598836227786"</f>
        <v>1551598836227786</v>
      </c>
      <c r="C10017" t="s">
        <v>40</v>
      </c>
      <c r="D10017">
        <v>5.4036739999999996</v>
      </c>
      <c r="E10017">
        <v>0.66833149999999997</v>
      </c>
      <c r="F10017" t="s">
        <v>68</v>
      </c>
      <c r="G10017">
        <v>-173.03219999999999</v>
      </c>
      <c r="H10017" s="1">
        <v>-1.951566E-6</v>
      </c>
      <c r="I10017">
        <v>131.93799999999999</v>
      </c>
      <c r="J10017">
        <v>-184.47909999999999</v>
      </c>
      <c r="K10017">
        <v>1.1166990000000001</v>
      </c>
      <c r="L10017">
        <v>127.6546</v>
      </c>
      <c r="M10017">
        <v>0.48301490000000002</v>
      </c>
      <c r="N10017">
        <v>-1.482701E-2</v>
      </c>
      <c r="O10017">
        <v>0.8754866</v>
      </c>
      <c r="P10017">
        <v>0.70585010000000004</v>
      </c>
      <c r="Q10017">
        <v>-0.11469210000000001</v>
      </c>
      <c r="R10017">
        <v>0.69901459999999904</v>
      </c>
      <c r="S10017">
        <v>3.0607449999999998</v>
      </c>
      <c r="T10017">
        <v>-0.29738750000000003</v>
      </c>
      <c r="U10017">
        <v>1.160385</v>
      </c>
      <c r="V10017">
        <v>0.27926960000000001</v>
      </c>
      <c r="W10017">
        <v>-0.1035353</v>
      </c>
      <c r="X10017">
        <v>0.95461459999999998</v>
      </c>
      <c r="Y10017">
        <v>0.64349040000000002</v>
      </c>
      <c r="Z10017">
        <v>-8.4929089999999999E-2</v>
      </c>
      <c r="AA10017">
        <v>0.76072810000000002</v>
      </c>
      <c r="AB10017">
        <v>18</v>
      </c>
      <c r="AC10017">
        <v>11.446899999999999</v>
      </c>
      <c r="AD10017">
        <v>-1.11670095156599</v>
      </c>
      <c r="AE10017">
        <v>4.2833999999999799</v>
      </c>
      <c r="AF10017">
        <v>7.8876890750254196</v>
      </c>
      <c r="AG10017">
        <v>-1.11670095156599</v>
      </c>
      <c r="AH10017">
        <v>9.2032733678916294</v>
      </c>
      <c r="AI10017">
        <v>95.263818208432895</v>
      </c>
      <c r="AJ10017">
        <v>49.401687674261801</v>
      </c>
      <c r="AK10017">
        <v>12.172218394509899</v>
      </c>
      <c r="AL10017">
        <v>95.942785180618301</v>
      </c>
      <c r="AM10017">
        <v>73.693323429370807</v>
      </c>
      <c r="AN10017">
        <v>1.0000000511817</v>
      </c>
    </row>
    <row r="10018" spans="1:40" x14ac:dyDescent="0.25">
      <c r="A10018" t="str">
        <f>"20190303154036249"</f>
        <v>20190303154036249</v>
      </c>
      <c r="B10018" t="str">
        <f>"1551598836237546"</f>
        <v>1551598836237546</v>
      </c>
      <c r="C10018" t="s">
        <v>40</v>
      </c>
      <c r="D10018">
        <v>5.3931209999999998</v>
      </c>
      <c r="E10018">
        <v>0.64408140000000003</v>
      </c>
      <c r="F10018" t="s">
        <v>68</v>
      </c>
      <c r="G10018">
        <v>-172.81780000000001</v>
      </c>
      <c r="H10018" s="1">
        <v>-1.8658420000000001E-6</v>
      </c>
      <c r="I10018">
        <v>132.0204</v>
      </c>
      <c r="J10018">
        <v>-184.4306</v>
      </c>
      <c r="K10018">
        <v>1.116719</v>
      </c>
      <c r="L10018">
        <v>127.7321</v>
      </c>
      <c r="M10018">
        <v>0.48698330000000001</v>
      </c>
      <c r="N10018">
        <v>-1.4823029999999999E-2</v>
      </c>
      <c r="O10018">
        <v>0.87328549999999905</v>
      </c>
      <c r="P10018">
        <v>0.70884239999999998</v>
      </c>
      <c r="Q10018">
        <v>-0.1141776</v>
      </c>
      <c r="R10018">
        <v>0.69606449999999997</v>
      </c>
      <c r="S10018">
        <v>3.0658110000000001</v>
      </c>
      <c r="T10018">
        <v>-0.29358529999999999</v>
      </c>
      <c r="U10018">
        <v>1.147797</v>
      </c>
      <c r="V10018">
        <v>0.27899980000000002</v>
      </c>
      <c r="W10018">
        <v>-0.10301299999999999</v>
      </c>
      <c r="X10018">
        <v>0.95474990000000004</v>
      </c>
      <c r="Y10018">
        <v>0.64328790000000002</v>
      </c>
      <c r="Z10018">
        <v>-8.3691249999999995E-2</v>
      </c>
      <c r="AA10018">
        <v>0.7610365</v>
      </c>
      <c r="AB10018">
        <v>18</v>
      </c>
      <c r="AC10018">
        <v>11.612799999999901</v>
      </c>
      <c r="AD10018">
        <v>-1.116720865842</v>
      </c>
      <c r="AE10018">
        <v>4.2882999999999898</v>
      </c>
      <c r="AF10018">
        <v>7.9888339082239996</v>
      </c>
      <c r="AG10018">
        <v>-1.116720865842</v>
      </c>
      <c r="AH10018">
        <v>9.3252967797017003</v>
      </c>
      <c r="AI10018">
        <v>95.196352271324699</v>
      </c>
      <c r="AJ10018">
        <v>49.4138597108943</v>
      </c>
      <c r="AK10018">
        <v>12.330032146548101</v>
      </c>
      <c r="AL10018">
        <v>95.912699209046593</v>
      </c>
      <c r="AM10018">
        <v>73.710427602632706</v>
      </c>
      <c r="AN10018">
        <v>0.99999996905952404</v>
      </c>
    </row>
    <row r="10019" spans="1:40" x14ac:dyDescent="0.25">
      <c r="A10019" t="str">
        <f>"20190303154036261"</f>
        <v>20190303154036261</v>
      </c>
      <c r="B10019" t="str">
        <f>"1551598836258042"</f>
        <v>1551598836258042</v>
      </c>
      <c r="C10019" t="s">
        <v>40</v>
      </c>
      <c r="D10019">
        <v>5.356249</v>
      </c>
      <c r="E10019">
        <v>0.64459719999999998</v>
      </c>
      <c r="F10019" t="s">
        <v>68</v>
      </c>
      <c r="G10019">
        <v>-173.45009999999999</v>
      </c>
      <c r="H10019" s="1">
        <v>-2.4353499999999999E-6</v>
      </c>
      <c r="I10019">
        <v>132.49250000000001</v>
      </c>
      <c r="J10019">
        <v>-184.37540000000001</v>
      </c>
      <c r="K10019">
        <v>1.116735</v>
      </c>
      <c r="L10019">
        <v>127.8186</v>
      </c>
      <c r="M10019">
        <v>0.49142010000000003</v>
      </c>
      <c r="N10019">
        <v>-1.481849E-2</v>
      </c>
      <c r="O10019">
        <v>0.87079660000000003</v>
      </c>
      <c r="P10019">
        <v>0.71250119999999995</v>
      </c>
      <c r="Q10019">
        <v>-0.113965</v>
      </c>
      <c r="R10019">
        <v>0.69235400000000002</v>
      </c>
      <c r="S10019">
        <v>2.9347840000000001</v>
      </c>
      <c r="T10019">
        <v>-0.29847030000000002</v>
      </c>
      <c r="U10019">
        <v>1.272324</v>
      </c>
      <c r="V10019">
        <v>0.27916160000000001</v>
      </c>
      <c r="W10019">
        <v>-0.1027991</v>
      </c>
      <c r="X10019">
        <v>0.95472570000000001</v>
      </c>
      <c r="Y10019">
        <v>0.59952589999999994</v>
      </c>
      <c r="Z10019">
        <v>-8.5784050000000001E-2</v>
      </c>
      <c r="AA10019">
        <v>0.79574480000000003</v>
      </c>
      <c r="AB10019">
        <v>18</v>
      </c>
      <c r="AC10019">
        <v>10.9253</v>
      </c>
      <c r="AD10019">
        <v>-1.1167374353499999</v>
      </c>
      <c r="AE10019">
        <v>4.6738999999999997</v>
      </c>
      <c r="AF10019">
        <v>7.1544719592296202</v>
      </c>
      <c r="AG10019">
        <v>-1.1167374353499999</v>
      </c>
      <c r="AH10019">
        <v>9.3573235784394093</v>
      </c>
      <c r="AI10019">
        <v>95.415859023621493</v>
      </c>
      <c r="AJ10019">
        <v>52.599003514714298</v>
      </c>
      <c r="AK10019">
        <v>11.831866972989999</v>
      </c>
      <c r="AL10019">
        <v>95.900377999390003</v>
      </c>
      <c r="AM10019">
        <v>73.701090912561099</v>
      </c>
      <c r="AN10019">
        <v>1.0000000080579201</v>
      </c>
    </row>
    <row r="10020" spans="1:40" x14ac:dyDescent="0.25">
      <c r="A10020" t="str">
        <f>"20190303154036276"</f>
        <v>20190303154036276</v>
      </c>
      <c r="B10020" t="str">
        <f>"1551598836267802"</f>
        <v>1551598836267802</v>
      </c>
      <c r="C10020" t="s">
        <v>40</v>
      </c>
      <c r="D10020">
        <v>5.3171249999999999</v>
      </c>
      <c r="E10020">
        <v>0.6444706</v>
      </c>
      <c r="F10020" t="s">
        <v>68</v>
      </c>
      <c r="G10020">
        <v>-172.8151</v>
      </c>
      <c r="H10020" s="1">
        <v>-2.1853200000000002E-6</v>
      </c>
      <c r="I10020">
        <v>132.74539999999999</v>
      </c>
      <c r="J10020">
        <v>-184.31379999999999</v>
      </c>
      <c r="K10020">
        <v>1.116749</v>
      </c>
      <c r="L10020">
        <v>127.9144</v>
      </c>
      <c r="M10020">
        <v>0.4963342</v>
      </c>
      <c r="N10020">
        <v>-1.481348E-2</v>
      </c>
      <c r="O10020">
        <v>0.86800519999999903</v>
      </c>
      <c r="P10020">
        <v>0.71654700000000005</v>
      </c>
      <c r="Q10020">
        <v>-0.1137867</v>
      </c>
      <c r="R10020">
        <v>0.68819549999999996</v>
      </c>
      <c r="S10020">
        <v>2.9452820000000002</v>
      </c>
      <c r="T10020">
        <v>-0.28451680000000001</v>
      </c>
      <c r="U10020">
        <v>1.255234</v>
      </c>
      <c r="V10020">
        <v>0.27935120000000002</v>
      </c>
      <c r="W10020">
        <v>-0.1026195</v>
      </c>
      <c r="X10020">
        <v>0.95468960000000003</v>
      </c>
      <c r="Y10020">
        <v>0.6003444</v>
      </c>
      <c r="Z10020">
        <v>-8.1223039999999996E-2</v>
      </c>
      <c r="AA10020">
        <v>0.79560640000000005</v>
      </c>
      <c r="AB10020">
        <v>18</v>
      </c>
      <c r="AC10020">
        <v>11.4986999999999</v>
      </c>
      <c r="AD10020">
        <v>-1.1167511853200001</v>
      </c>
      <c r="AE10020">
        <v>4.83099999999998</v>
      </c>
      <c r="AF10020">
        <v>7.5236545553717002</v>
      </c>
      <c r="AG10020">
        <v>-1.1167511853200001</v>
      </c>
      <c r="AH10020">
        <v>9.8228659879629099</v>
      </c>
      <c r="AI10020">
        <v>95.157327667271204</v>
      </c>
      <c r="AJ10020">
        <v>52.550314335215702</v>
      </c>
      <c r="AK10020">
        <v>12.423413673220301</v>
      </c>
      <c r="AL10020">
        <v>95.890032757178105</v>
      </c>
      <c r="AM10020">
        <v>73.690025315756898</v>
      </c>
      <c r="AN10020">
        <v>1.0000000435349199</v>
      </c>
    </row>
    <row r="10021" spans="1:40" x14ac:dyDescent="0.25">
      <c r="A10021" t="str">
        <f>"20190303154036290"</f>
        <v>20190303154036290</v>
      </c>
      <c r="B10021" t="str">
        <f>"1551598836288298"</f>
        <v>1551598836288298</v>
      </c>
      <c r="C10021" t="s">
        <v>40</v>
      </c>
      <c r="D10021">
        <v>5.2628250000000003</v>
      </c>
      <c r="E10021">
        <v>0.64433359999999995</v>
      </c>
      <c r="F10021" t="s">
        <v>68</v>
      </c>
      <c r="G10021">
        <v>-172.63980000000001</v>
      </c>
      <c r="H10021" s="1">
        <v>-2.1158760000000001E-6</v>
      </c>
      <c r="I10021">
        <v>132.8143</v>
      </c>
      <c r="J10021">
        <v>-184.25210000000001</v>
      </c>
      <c r="K10021">
        <v>1.1167549999999999</v>
      </c>
      <c r="L10021">
        <v>128.0094</v>
      </c>
      <c r="M10021">
        <v>0.5012027</v>
      </c>
      <c r="N10021">
        <v>-1.48085E-2</v>
      </c>
      <c r="O10021">
        <v>0.86520319999999995</v>
      </c>
      <c r="P10021">
        <v>0.72071059999999998</v>
      </c>
      <c r="Q10021">
        <v>-0.1141118</v>
      </c>
      <c r="R10021">
        <v>0.68377969999999999</v>
      </c>
      <c r="S10021">
        <v>2.9519350000000002</v>
      </c>
      <c r="T10021">
        <v>-0.28238679999999999</v>
      </c>
      <c r="U10021">
        <v>1.238998</v>
      </c>
      <c r="V10021">
        <v>0.27980820000000001</v>
      </c>
      <c r="W10021">
        <v>-0.1029482</v>
      </c>
      <c r="X10021">
        <v>0.95452029999999999</v>
      </c>
      <c r="Y10021">
        <v>0.60027929999999996</v>
      </c>
      <c r="Z10021">
        <v>-8.0510440000000003E-2</v>
      </c>
      <c r="AA10021">
        <v>0.79572779999999999</v>
      </c>
      <c r="AB10021">
        <v>18</v>
      </c>
      <c r="AC10021">
        <v>11.612299999999999</v>
      </c>
      <c r="AD10021">
        <v>-1.1167571158759999</v>
      </c>
      <c r="AE10021">
        <v>4.8048999999999999</v>
      </c>
      <c r="AF10021">
        <v>7.5797528560086098</v>
      </c>
      <c r="AG10021">
        <v>-1.1167571158759999</v>
      </c>
      <c r="AH10021">
        <v>9.9002457558003201</v>
      </c>
      <c r="AI10021">
        <v>95.118046802036204</v>
      </c>
      <c r="AJ10021">
        <v>52.561876478665603</v>
      </c>
      <c r="AK10021">
        <v>12.518572835562001</v>
      </c>
      <c r="AL10021">
        <v>95.908966521390596</v>
      </c>
      <c r="AM10021">
        <v>73.662021960973306</v>
      </c>
      <c r="AN10021">
        <v>0.99999998189128403</v>
      </c>
    </row>
    <row r="10022" spans="1:40" x14ac:dyDescent="0.25">
      <c r="A10022" t="str">
        <f>"20190303154036302"</f>
        <v>20190303154036302</v>
      </c>
      <c r="B10022" t="str">
        <f>"1551598836298058"</f>
        <v>1551598836298058</v>
      </c>
      <c r="C10022" t="s">
        <v>40</v>
      </c>
      <c r="D10022">
        <v>5.2669189999999997</v>
      </c>
      <c r="E10022">
        <v>0.64408889999999996</v>
      </c>
      <c r="F10022" t="s">
        <v>68</v>
      </c>
      <c r="G10022">
        <v>-172.47290000000001</v>
      </c>
      <c r="H10022" s="1">
        <v>-2.0470099999999999E-6</v>
      </c>
      <c r="I10022">
        <v>132.87360000000001</v>
      </c>
      <c r="J10022">
        <v>-184.1917</v>
      </c>
      <c r="K10022">
        <v>1.1167670000000001</v>
      </c>
      <c r="L10022">
        <v>128.10079999999999</v>
      </c>
      <c r="M10022">
        <v>0.50589949999999995</v>
      </c>
      <c r="N10022">
        <v>-1.480361E-2</v>
      </c>
      <c r="O10022">
        <v>0.86246540000000005</v>
      </c>
      <c r="P10022">
        <v>0.7249215</v>
      </c>
      <c r="Q10022">
        <v>-0.11372980000000001</v>
      </c>
      <c r="R10022">
        <v>0.67937789999999998</v>
      </c>
      <c r="S10022">
        <v>2.9588930000000002</v>
      </c>
      <c r="T10022">
        <v>-0.28052700000000003</v>
      </c>
      <c r="U10022">
        <v>1.221878</v>
      </c>
      <c r="V10022">
        <v>0.28048919999999999</v>
      </c>
      <c r="W10022">
        <v>-0.102572</v>
      </c>
      <c r="X10022">
        <v>0.95436100000000001</v>
      </c>
      <c r="Y10022">
        <v>0.60058310000000004</v>
      </c>
      <c r="Z10022">
        <v>-7.9896430000000004E-2</v>
      </c>
      <c r="AA10022">
        <v>0.7955605</v>
      </c>
      <c r="AB10022">
        <v>18</v>
      </c>
      <c r="AC10022">
        <v>11.7187999999999</v>
      </c>
      <c r="AD10022">
        <v>-1.11676904701</v>
      </c>
      <c r="AE10022">
        <v>4.7728000000000099</v>
      </c>
      <c r="AF10022">
        <v>7.6338813820321896</v>
      </c>
      <c r="AG10022">
        <v>-1.11676904701</v>
      </c>
      <c r="AH10022">
        <v>9.9683622947299799</v>
      </c>
      <c r="AI10022">
        <v>95.082827447650999</v>
      </c>
      <c r="AJ10022">
        <v>52.554710788512701</v>
      </c>
      <c r="AK10022">
        <v>12.6052197481159</v>
      </c>
      <c r="AL10022">
        <v>95.887296658812303</v>
      </c>
      <c r="AM10022">
        <v>73.621799473221003</v>
      </c>
      <c r="AN10022">
        <v>1.0000000624108101</v>
      </c>
    </row>
    <row r="10023" spans="1:40" x14ac:dyDescent="0.25">
      <c r="A10023" t="str">
        <f>"20190303154036315"</f>
        <v>20190303154036315</v>
      </c>
      <c r="B10023" t="str">
        <f>"1551598836307819"</f>
        <v>1551598836307819</v>
      </c>
      <c r="C10023" t="s">
        <v>40</v>
      </c>
      <c r="D10023">
        <v>5.304189</v>
      </c>
      <c r="E10023">
        <v>0.64387260000000002</v>
      </c>
      <c r="F10023" t="s">
        <v>68</v>
      </c>
      <c r="G10023">
        <v>-172.2773</v>
      </c>
      <c r="H10023" s="1">
        <v>-1.9668069999999999E-6</v>
      </c>
      <c r="I10023">
        <v>132.9444</v>
      </c>
      <c r="J10023">
        <v>-184.1413</v>
      </c>
      <c r="K10023">
        <v>1.1167750000000001</v>
      </c>
      <c r="L10023">
        <v>128.1763</v>
      </c>
      <c r="M10023">
        <v>0.50977870000000003</v>
      </c>
      <c r="N10023">
        <v>-1.479957E-2</v>
      </c>
      <c r="O10023">
        <v>0.86017829999999995</v>
      </c>
      <c r="P10023">
        <v>0.72801470000000001</v>
      </c>
      <c r="Q10023">
        <v>-0.1128526</v>
      </c>
      <c r="R10023">
        <v>0.67620930000000001</v>
      </c>
      <c r="S10023">
        <v>2.9651179999999999</v>
      </c>
      <c r="T10023">
        <v>-0.27792879999999998</v>
      </c>
      <c r="U10023">
        <v>1.205414</v>
      </c>
      <c r="V10023">
        <v>0.28048329999999999</v>
      </c>
      <c r="W10023">
        <v>-0.1016899</v>
      </c>
      <c r="X10023">
        <v>0.954457</v>
      </c>
      <c r="Y10023">
        <v>0.60142959999999901</v>
      </c>
      <c r="Z10023">
        <v>-7.9080250000000005E-2</v>
      </c>
      <c r="AA10023">
        <v>0.79500230000000005</v>
      </c>
      <c r="AB10023">
        <v>18</v>
      </c>
      <c r="AC10023">
        <v>11.864000000000001</v>
      </c>
      <c r="AD10023">
        <v>-1.116776966807</v>
      </c>
      <c r="AE10023">
        <v>4.7680999999999996</v>
      </c>
      <c r="AF10023">
        <v>7.7164651952811303</v>
      </c>
      <c r="AG10023">
        <v>-1.116776966807</v>
      </c>
      <c r="AH10023">
        <v>10.073694069875801</v>
      </c>
      <c r="AI10023">
        <v>95.029530049894703</v>
      </c>
      <c r="AJ10023">
        <v>52.547829499621002</v>
      </c>
      <c r="AK10023">
        <v>12.7385375187667</v>
      </c>
      <c r="AL10023">
        <v>95.836491095823106</v>
      </c>
      <c r="AM10023">
        <v>73.623684554773007</v>
      </c>
      <c r="AN10023">
        <v>0.99999994109494805</v>
      </c>
    </row>
    <row r="10024" spans="1:40" x14ac:dyDescent="0.25">
      <c r="A10024" t="str">
        <f>"20190303154036335"</f>
        <v>20190303154036335</v>
      </c>
      <c r="B10024" t="str">
        <f>"1551598836328314"</f>
        <v>1551598836328314</v>
      </c>
      <c r="C10024" t="s">
        <v>40</v>
      </c>
      <c r="D10024">
        <v>5.2323789999999999</v>
      </c>
      <c r="E10024">
        <v>0.64355929999999995</v>
      </c>
      <c r="F10024" t="s">
        <v>68</v>
      </c>
      <c r="G10024">
        <v>-171.9666</v>
      </c>
      <c r="H10024" s="1">
        <v>-1.845701E-6</v>
      </c>
      <c r="I10024">
        <v>133.07079999999999</v>
      </c>
      <c r="J10024">
        <v>-184.04759999999999</v>
      </c>
      <c r="K10024">
        <v>1.1167940000000001</v>
      </c>
      <c r="L10024">
        <v>128.315</v>
      </c>
      <c r="M10024">
        <v>0.51690379999999903</v>
      </c>
      <c r="N10024">
        <v>-1.479218E-2</v>
      </c>
      <c r="O10024">
        <v>0.85591569999999995</v>
      </c>
      <c r="P10024">
        <v>0.73363020000000001</v>
      </c>
      <c r="Q10024">
        <v>-0.1097287</v>
      </c>
      <c r="R10024">
        <v>0.67063119999999998</v>
      </c>
      <c r="S10024">
        <v>2.969681</v>
      </c>
      <c r="T10024">
        <v>-0.27240589999999998</v>
      </c>
      <c r="U10024">
        <v>1.193878</v>
      </c>
      <c r="V10024">
        <v>0.28028910000000001</v>
      </c>
      <c r="W10024">
        <v>-9.8552239999999999E-2</v>
      </c>
      <c r="X10024">
        <v>0.9548432</v>
      </c>
      <c r="Y10024">
        <v>0.59804179999999996</v>
      </c>
      <c r="Z10024">
        <v>-7.7140410000000006E-2</v>
      </c>
      <c r="AA10024">
        <v>0.79774389999999995</v>
      </c>
      <c r="AB10024">
        <v>18</v>
      </c>
      <c r="AC10024">
        <v>12.0809999999999</v>
      </c>
      <c r="AD10024">
        <v>-1.1167958457009901</v>
      </c>
      <c r="AE10024">
        <v>4.75579999999999</v>
      </c>
      <c r="AF10024">
        <v>7.8249918501458797</v>
      </c>
      <c r="AG10024">
        <v>-1.1167958457009901</v>
      </c>
      <c r="AH10024">
        <v>10.2406369630617</v>
      </c>
      <c r="AI10024">
        <v>94.952524258383505</v>
      </c>
      <c r="AJ10024">
        <v>52.616126827724997</v>
      </c>
      <c r="AK10024">
        <v>12.936320026384999</v>
      </c>
      <c r="AL10024">
        <v>95.655807944845407</v>
      </c>
      <c r="AM10024">
        <v>73.640681500851599</v>
      </c>
      <c r="AN10024">
        <v>1.00000003008703</v>
      </c>
    </row>
    <row r="10025" spans="1:40" x14ac:dyDescent="0.25">
      <c r="A10025" t="str">
        <f>"20190303154036345"</f>
        <v>20190303154036345</v>
      </c>
      <c r="B10025" t="str">
        <f>"1551598836338074"</f>
        <v>1551598836338074</v>
      </c>
      <c r="C10025" t="s">
        <v>40</v>
      </c>
      <c r="D10025">
        <v>5.2022769999999996</v>
      </c>
      <c r="E10025">
        <v>0.64333459999999998</v>
      </c>
      <c r="F10025" t="s">
        <v>68</v>
      </c>
      <c r="G10025">
        <v>-171.18870000000001</v>
      </c>
      <c r="H10025" s="1">
        <v>-1.5392569999999999E-6</v>
      </c>
      <c r="I10025">
        <v>133.38030000000001</v>
      </c>
      <c r="J10025">
        <v>-183.99789999999999</v>
      </c>
      <c r="K10025">
        <v>1.1168</v>
      </c>
      <c r="L10025">
        <v>128.3877</v>
      </c>
      <c r="M10025">
        <v>0.52063890000000002</v>
      </c>
      <c r="N10025">
        <v>-1.478838E-2</v>
      </c>
      <c r="O10025">
        <v>0.85364889999999904</v>
      </c>
      <c r="P10025">
        <v>0.73636590000000002</v>
      </c>
      <c r="Q10025">
        <v>-0.1081207</v>
      </c>
      <c r="R10025">
        <v>0.6678887</v>
      </c>
      <c r="S10025">
        <v>2.9781650000000002</v>
      </c>
      <c r="T10025">
        <v>-0.25865389999999999</v>
      </c>
      <c r="U10025">
        <v>1.173141</v>
      </c>
      <c r="V10025">
        <v>0.27990330000000002</v>
      </c>
      <c r="W10025">
        <v>-9.6932840000000006E-2</v>
      </c>
      <c r="X10025">
        <v>0.95512209999999997</v>
      </c>
      <c r="Y10025">
        <v>0.60047659999999903</v>
      </c>
      <c r="Z10025">
        <v>-7.2805399999999895E-2</v>
      </c>
      <c r="AA10025">
        <v>0.796321099999999</v>
      </c>
      <c r="AB10025">
        <v>18</v>
      </c>
      <c r="AC10025">
        <v>12.809199999999899</v>
      </c>
      <c r="AD10025">
        <v>-1.1168015392569901</v>
      </c>
      <c r="AE10025">
        <v>4.9926000000000004</v>
      </c>
      <c r="AF10025">
        <v>8.2814787691309402</v>
      </c>
      <c r="AG10025">
        <v>-1.1168015392569901</v>
      </c>
      <c r="AH10025">
        <v>10.860421453529501</v>
      </c>
      <c r="AI10025">
        <v>94.6747371688257</v>
      </c>
      <c r="AJ10025">
        <v>52.673120398781201</v>
      </c>
      <c r="AK10025">
        <v>13.7032437922536</v>
      </c>
      <c r="AL10025">
        <v>95.562576740008097</v>
      </c>
      <c r="AM10025">
        <v>73.666513804509194</v>
      </c>
      <c r="AN10025">
        <v>1.0000000293648801</v>
      </c>
    </row>
    <row r="10026" spans="1:40" x14ac:dyDescent="0.25">
      <c r="A10026" t="str">
        <f>"20190303154036358"</f>
        <v>20190303154036358</v>
      </c>
      <c r="B10026" t="str">
        <f>"1551598836347834"</f>
        <v>1551598836347834</v>
      </c>
      <c r="C10026" t="s">
        <v>40</v>
      </c>
      <c r="D10026">
        <v>5.2013910000000001</v>
      </c>
      <c r="E10026">
        <v>0.64333459999999998</v>
      </c>
      <c r="F10026" t="s">
        <v>68</v>
      </c>
      <c r="G10026">
        <v>-170.7319</v>
      </c>
      <c r="H10026" s="1">
        <v>-1.359788E-6</v>
      </c>
      <c r="I10026">
        <v>133.56299999999999</v>
      </c>
      <c r="J10026">
        <v>-183.94309999999999</v>
      </c>
      <c r="K10026">
        <v>1.1168089999999999</v>
      </c>
      <c r="L10026">
        <v>128.4667</v>
      </c>
      <c r="M10026">
        <v>0.52470950000000005</v>
      </c>
      <c r="N10026">
        <v>-1.478427E-2</v>
      </c>
      <c r="O10026">
        <v>0.85115300000000005</v>
      </c>
      <c r="P10026">
        <v>0.73927949999999998</v>
      </c>
      <c r="Q10026">
        <v>-0.1074818</v>
      </c>
      <c r="R10026">
        <v>0.66476579999999996</v>
      </c>
      <c r="S10026">
        <v>2.9820250000000001</v>
      </c>
      <c r="T10026">
        <v>-0.25104389999999999</v>
      </c>
      <c r="U10026">
        <v>1.1633610000000001</v>
      </c>
      <c r="V10026">
        <v>0.27947420000000001</v>
      </c>
      <c r="W10026">
        <v>-9.6283740000000007E-2</v>
      </c>
      <c r="X10026">
        <v>0.95531339999999998</v>
      </c>
      <c r="Y10026">
        <v>0.59947050000000002</v>
      </c>
      <c r="Z10026">
        <v>-7.0313879999999995E-2</v>
      </c>
      <c r="AA10026">
        <v>0.79730239999999997</v>
      </c>
      <c r="AB10026">
        <v>18</v>
      </c>
      <c r="AC10026">
        <v>13.2111999999999</v>
      </c>
      <c r="AD10026">
        <v>-1.1168103597879999</v>
      </c>
      <c r="AE10026">
        <v>5.0962999999999798</v>
      </c>
      <c r="AF10026">
        <v>8.5186217429300797</v>
      </c>
      <c r="AG10026">
        <v>-1.1168103597879999</v>
      </c>
      <c r="AH10026">
        <v>11.2013265439356</v>
      </c>
      <c r="AI10026">
        <v>94.537535409427306</v>
      </c>
      <c r="AJ10026">
        <v>52.746969406580902</v>
      </c>
      <c r="AK10026">
        <v>14.1167948955394</v>
      </c>
      <c r="AL10026">
        <v>95.525211215280095</v>
      </c>
      <c r="AM10026">
        <v>73.693314137621201</v>
      </c>
      <c r="AN10026">
        <v>1.0000000396367901</v>
      </c>
    </row>
    <row r="10027" spans="1:40" x14ac:dyDescent="0.25">
      <c r="A10027" t="str">
        <f>"20190303154036370"</f>
        <v>20190303154036370</v>
      </c>
      <c r="B10027" t="str">
        <f>"1551598836358570"</f>
        <v>1551598836358570</v>
      </c>
      <c r="C10027" t="s">
        <v>40</v>
      </c>
      <c r="D10027">
        <v>5.2127509999999999</v>
      </c>
      <c r="E10027">
        <v>0.63776499999999903</v>
      </c>
      <c r="F10027" t="s">
        <v>68</v>
      </c>
      <c r="G10027">
        <v>-170.50280000000001</v>
      </c>
      <c r="H10027" s="1">
        <v>-1.265264E-6</v>
      </c>
      <c r="I10027">
        <v>133.6446</v>
      </c>
      <c r="J10027">
        <v>-183.89089999999999</v>
      </c>
      <c r="K10027">
        <v>1.116814</v>
      </c>
      <c r="L10027">
        <v>128.54159999999999</v>
      </c>
      <c r="M10027">
        <v>0.528559</v>
      </c>
      <c r="N10027">
        <v>-1.4780430000000001E-2</v>
      </c>
      <c r="O10027">
        <v>0.84876790000000002</v>
      </c>
      <c r="P10027">
        <v>0.74226400000000003</v>
      </c>
      <c r="Q10027">
        <v>-0.1070638</v>
      </c>
      <c r="R10027">
        <v>0.66149939999999996</v>
      </c>
      <c r="S10027">
        <v>2.9871059999999998</v>
      </c>
      <c r="T10027">
        <v>-0.24821109999999999</v>
      </c>
      <c r="U10027">
        <v>1.150787</v>
      </c>
      <c r="V10027">
        <v>0.279418</v>
      </c>
      <c r="W10027">
        <v>-9.5861550000000004E-2</v>
      </c>
      <c r="X10027">
        <v>0.95537229999999995</v>
      </c>
      <c r="Y10027">
        <v>0.59929849999999996</v>
      </c>
      <c r="Z10027">
        <v>-6.937256E-2</v>
      </c>
      <c r="AA10027">
        <v>0.79751419999999995</v>
      </c>
      <c r="AB10027">
        <v>18</v>
      </c>
      <c r="AC10027">
        <v>13.3880999999999</v>
      </c>
      <c r="AD10027">
        <v>-1.116815265264</v>
      </c>
      <c r="AE10027">
        <v>5.1029999999999998</v>
      </c>
      <c r="AF10027">
        <v>8.6147570082211598</v>
      </c>
      <c r="AG10027">
        <v>-1.116815265264</v>
      </c>
      <c r="AH10027">
        <v>11.3400084608811</v>
      </c>
      <c r="AI10027">
        <v>94.484061249718593</v>
      </c>
      <c r="AJ10027">
        <v>52.776855729507801</v>
      </c>
      <c r="AK10027">
        <v>14.2848558459747</v>
      </c>
      <c r="AL10027">
        <v>95.500909075617301</v>
      </c>
      <c r="AM10027">
        <v>73.697370859326995</v>
      </c>
      <c r="AN10027">
        <v>1.00000004354984</v>
      </c>
    </row>
    <row r="10028" spans="1:40" x14ac:dyDescent="0.25">
      <c r="A10028" t="str">
        <f>"20190303154036381"</f>
        <v>20190303154036381</v>
      </c>
      <c r="B10028" t="str">
        <f>"1551598836378090"</f>
        <v>1551598836378090</v>
      </c>
      <c r="C10028" t="s">
        <v>40</v>
      </c>
      <c r="D10028">
        <v>5.2021839999999999</v>
      </c>
      <c r="E10028">
        <v>0.63800310000000005</v>
      </c>
      <c r="F10028" t="s">
        <v>68</v>
      </c>
      <c r="G10028">
        <v>-170.48990000000001</v>
      </c>
      <c r="H10028" s="1">
        <v>-1.3431530000000001E-6</v>
      </c>
      <c r="I10028">
        <v>133.83709999999999</v>
      </c>
      <c r="J10028">
        <v>-183.83789999999999</v>
      </c>
      <c r="K10028">
        <v>1.116824</v>
      </c>
      <c r="L10028">
        <v>128.6164</v>
      </c>
      <c r="M10028">
        <v>0.53241939999999999</v>
      </c>
      <c r="N10028">
        <v>-1.4776650000000001E-2</v>
      </c>
      <c r="O10028">
        <v>0.84635169999999904</v>
      </c>
      <c r="P10028">
        <v>0.74514990000000003</v>
      </c>
      <c r="Q10028">
        <v>-0.106874</v>
      </c>
      <c r="R10028">
        <v>0.65827789999999997</v>
      </c>
      <c r="S10028">
        <v>2.962723</v>
      </c>
      <c r="T10028">
        <v>-0.24690709999999999</v>
      </c>
      <c r="U10028">
        <v>1.1707459999999901</v>
      </c>
      <c r="V10028">
        <v>0.27923249999999999</v>
      </c>
      <c r="W10028">
        <v>-9.5666479999999998E-2</v>
      </c>
      <c r="X10028">
        <v>0.95544600000000002</v>
      </c>
      <c r="Y10028">
        <v>0.5887772</v>
      </c>
      <c r="Z10028">
        <v>-6.895213E-2</v>
      </c>
      <c r="AA10028">
        <v>0.80534899999999998</v>
      </c>
      <c r="AB10028">
        <v>18</v>
      </c>
      <c r="AC10028">
        <v>13.3479999999999</v>
      </c>
      <c r="AD10028">
        <v>-1.116825343153</v>
      </c>
      <c r="AE10028">
        <v>5.2206999999999901</v>
      </c>
      <c r="AF10028">
        <v>8.4670206431856201</v>
      </c>
      <c r="AG10028">
        <v>-1.116825343153</v>
      </c>
      <c r="AH10028">
        <v>11.4569766400208</v>
      </c>
      <c r="AI10028">
        <v>94.482528823982094</v>
      </c>
      <c r="AJ10028">
        <v>53.534580373980098</v>
      </c>
      <c r="AK10028">
        <v>14.289858332020801</v>
      </c>
      <c r="AL10028">
        <v>95.489681234684298</v>
      </c>
      <c r="AM10028">
        <v>73.708809707850605</v>
      </c>
      <c r="AN10028">
        <v>0.99999996168391903</v>
      </c>
    </row>
    <row r="10029" spans="1:40" x14ac:dyDescent="0.25">
      <c r="A10029" t="str">
        <f>"20190303154036392"</f>
        <v>20190303154036392</v>
      </c>
      <c r="B10029" t="str">
        <f>"1551598836387850"</f>
        <v>1551598836387850</v>
      </c>
      <c r="C10029" t="s">
        <v>40</v>
      </c>
      <c r="D10029">
        <v>5.1771349999999998</v>
      </c>
      <c r="E10029">
        <v>0.63789689999999999</v>
      </c>
      <c r="F10029" t="s">
        <v>68</v>
      </c>
      <c r="G10029">
        <v>-170.3432</v>
      </c>
      <c r="H10029" s="1">
        <v>-1.2755600000000001E-6</v>
      </c>
      <c r="I10029">
        <v>133.8734</v>
      </c>
      <c r="J10029">
        <v>-183.78530000000001</v>
      </c>
      <c r="K10029">
        <v>1.1168290000000001</v>
      </c>
      <c r="L10029">
        <v>128.69049999999999</v>
      </c>
      <c r="M10029">
        <v>0.5362344</v>
      </c>
      <c r="N10029">
        <v>-1.477297E-2</v>
      </c>
      <c r="O10029">
        <v>0.84393980000000002</v>
      </c>
      <c r="P10029">
        <v>0.74816459999999996</v>
      </c>
      <c r="Q10029">
        <v>-0.1074118</v>
      </c>
      <c r="R10029">
        <v>0.65476140000000005</v>
      </c>
      <c r="S10029">
        <v>2.9690400000000001</v>
      </c>
      <c r="T10029">
        <v>-0.24571699999999999</v>
      </c>
      <c r="U10029">
        <v>1.156601</v>
      </c>
      <c r="V10029">
        <v>0.27935009999999999</v>
      </c>
      <c r="W10029">
        <v>-9.6204620000000005E-2</v>
      </c>
      <c r="X10029">
        <v>0.95535760000000003</v>
      </c>
      <c r="Y10029">
        <v>0.58907529999999997</v>
      </c>
      <c r="Z10029">
        <v>-6.8532880000000004E-2</v>
      </c>
      <c r="AA10029">
        <v>0.80516679999999996</v>
      </c>
      <c r="AB10029">
        <v>18</v>
      </c>
      <c r="AC10029">
        <v>13.4421</v>
      </c>
      <c r="AD10029">
        <v>-1.1168302755599999</v>
      </c>
      <c r="AE10029">
        <v>5.1829000000000098</v>
      </c>
      <c r="AF10029">
        <v>8.5148380025067407</v>
      </c>
      <c r="AG10029">
        <v>-1.1168302755599999</v>
      </c>
      <c r="AH10029">
        <v>11.514240208530399</v>
      </c>
      <c r="AI10029">
        <v>94.459331876379494</v>
      </c>
      <c r="AJ10029">
        <v>53.516889930445899</v>
      </c>
      <c r="AK10029">
        <v>14.364104693752401</v>
      </c>
      <c r="AL10029">
        <v>95.520657185552693</v>
      </c>
      <c r="AM10029">
        <v>73.700884690484301</v>
      </c>
      <c r="AN10029">
        <v>0.99999997557855602</v>
      </c>
    </row>
    <row r="10030" spans="1:40" x14ac:dyDescent="0.25">
      <c r="A10030" t="str">
        <f>"20190303154036404"</f>
        <v>20190303154036404</v>
      </c>
      <c r="B10030" t="str">
        <f>"1551598836398587"</f>
        <v>1551598836398587</v>
      </c>
      <c r="C10030" t="s">
        <v>40</v>
      </c>
      <c r="D10030">
        <v>5.145931</v>
      </c>
      <c r="E10030">
        <v>0.63749630000000002</v>
      </c>
      <c r="F10030" t="s">
        <v>68</v>
      </c>
      <c r="G10030">
        <v>-170.3451</v>
      </c>
      <c r="H10030" s="1">
        <v>-1.2698290000000001E-6</v>
      </c>
      <c r="I10030">
        <v>133.8579</v>
      </c>
      <c r="J10030">
        <v>-183.72829999999999</v>
      </c>
      <c r="K10030">
        <v>1.116838</v>
      </c>
      <c r="L10030">
        <v>128.7696</v>
      </c>
      <c r="M10030">
        <v>0.54031870000000004</v>
      </c>
      <c r="N10030">
        <v>-1.476911E-2</v>
      </c>
      <c r="O10030">
        <v>0.84133080000000005</v>
      </c>
      <c r="P10030">
        <v>0.75151080000000003</v>
      </c>
      <c r="Q10030">
        <v>-0.1082076</v>
      </c>
      <c r="R10030">
        <v>0.65078630000000004</v>
      </c>
      <c r="S10030">
        <v>2.97377</v>
      </c>
      <c r="T10030">
        <v>-0.2471102</v>
      </c>
      <c r="U10030">
        <v>1.1433409999999999</v>
      </c>
      <c r="V10030">
        <v>0.27968080000000001</v>
      </c>
      <c r="W10030">
        <v>-9.7004320000000005E-2</v>
      </c>
      <c r="X10030">
        <v>0.95518000000000003</v>
      </c>
      <c r="Y10030">
        <v>0.5886884</v>
      </c>
      <c r="Z10030">
        <v>-6.8934289999999995E-2</v>
      </c>
      <c r="AA10030">
        <v>0.80541549999999995</v>
      </c>
      <c r="AB10030">
        <v>18</v>
      </c>
      <c r="AC10030">
        <v>13.383199999999899</v>
      </c>
      <c r="AD10030">
        <v>-1.1168392698289999</v>
      </c>
      <c r="AE10030">
        <v>5.0883000000000003</v>
      </c>
      <c r="AF10030">
        <v>8.4598492540411403</v>
      </c>
      <c r="AG10030">
        <v>-1.1168392698289999</v>
      </c>
      <c r="AH10030">
        <v>11.4437631347164</v>
      </c>
      <c r="AI10030">
        <v>94.487254978542396</v>
      </c>
      <c r="AJ10030">
        <v>53.526182280707197</v>
      </c>
      <c r="AK10030">
        <v>14.275016428684999</v>
      </c>
      <c r="AL10030">
        <v>95.566691740935795</v>
      </c>
      <c r="AM10030">
        <v>73.679742948410095</v>
      </c>
      <c r="AN10030">
        <v>1.0000000101936499</v>
      </c>
    </row>
    <row r="10031" spans="1:40" x14ac:dyDescent="0.25">
      <c r="A10031" t="str">
        <f>"20190303154036416"</f>
        <v>20190303154036416</v>
      </c>
      <c r="B10031" t="str">
        <f>"1551598836408346"</f>
        <v>1551598836408346</v>
      </c>
      <c r="C10031" t="s">
        <v>40</v>
      </c>
      <c r="D10031">
        <v>5.1564019999999999</v>
      </c>
      <c r="E10031">
        <v>0.63721609999999995</v>
      </c>
      <c r="F10031" t="s">
        <v>68</v>
      </c>
      <c r="G10031">
        <v>-170.5196</v>
      </c>
      <c r="H10031" s="1">
        <v>-1.3357519999999999E-6</v>
      </c>
      <c r="I10031">
        <v>133.78210000000001</v>
      </c>
      <c r="J10031">
        <v>-183.67850000000001</v>
      </c>
      <c r="K10031">
        <v>1.1168450000000001</v>
      </c>
      <c r="L10031">
        <v>128.83799999999999</v>
      </c>
      <c r="M10031">
        <v>0.54385209999999995</v>
      </c>
      <c r="N10031">
        <v>-1.4765790000000001E-2</v>
      </c>
      <c r="O10031">
        <v>0.839051199999999</v>
      </c>
      <c r="P10031">
        <v>0.75444330000000004</v>
      </c>
      <c r="Q10031">
        <v>-0.1090512</v>
      </c>
      <c r="R10031">
        <v>0.64724269999999995</v>
      </c>
      <c r="S10031">
        <v>2.9772949999999998</v>
      </c>
      <c r="T10031">
        <v>-0.25174020000000003</v>
      </c>
      <c r="U10031">
        <v>1.1298520000000001</v>
      </c>
      <c r="V10031">
        <v>0.2800491</v>
      </c>
      <c r="W10031">
        <v>-9.7852770000000006E-2</v>
      </c>
      <c r="X10031">
        <v>0.95498559999999999</v>
      </c>
      <c r="Y10031">
        <v>0.58868369999999903</v>
      </c>
      <c r="Z10031">
        <v>-7.04066E-2</v>
      </c>
      <c r="AA10031">
        <v>0.80529150000000005</v>
      </c>
      <c r="AB10031">
        <v>18</v>
      </c>
      <c r="AC10031">
        <v>13.158899999999999</v>
      </c>
      <c r="AD10031">
        <v>-1.116846335752</v>
      </c>
      <c r="AE10031">
        <v>4.9441000000000104</v>
      </c>
      <c r="AF10031">
        <v>8.3006446684755399</v>
      </c>
      <c r="AG10031">
        <v>-1.116846335752</v>
      </c>
      <c r="AH10031">
        <v>11.2351593141197</v>
      </c>
      <c r="AI10031">
        <v>94.571215983028495</v>
      </c>
      <c r="AJ10031">
        <v>53.542651708035798</v>
      </c>
      <c r="AK10031">
        <v>14.0134525533012</v>
      </c>
      <c r="AL10031">
        <v>95.615536333941293</v>
      </c>
      <c r="AM10031">
        <v>73.656248517989795</v>
      </c>
      <c r="AN10031">
        <v>1.00000007960741</v>
      </c>
    </row>
    <row r="10032" spans="1:40" x14ac:dyDescent="0.25">
      <c r="A10032" t="str">
        <f>"20190303154036425"</f>
        <v>20190303154036425</v>
      </c>
      <c r="B10032" t="str">
        <f>"1551598836418107"</f>
        <v>1551598836418107</v>
      </c>
      <c r="C10032" t="s">
        <v>40</v>
      </c>
      <c r="D10032">
        <v>5.1566369999999999</v>
      </c>
      <c r="E10032">
        <v>0.63695459999999904</v>
      </c>
      <c r="F10032" t="s">
        <v>68</v>
      </c>
      <c r="G10032">
        <v>-170.60640000000001</v>
      </c>
      <c r="H10032" s="1">
        <v>-1.3661459999999999E-6</v>
      </c>
      <c r="I10032">
        <v>133.739</v>
      </c>
      <c r="J10032">
        <v>-183.62610000000001</v>
      </c>
      <c r="K10032">
        <v>1.1168579999999999</v>
      </c>
      <c r="L10032">
        <v>128.90950000000001</v>
      </c>
      <c r="M10032">
        <v>0.54754720000000001</v>
      </c>
      <c r="N10032">
        <v>-1.476237E-2</v>
      </c>
      <c r="O10032">
        <v>0.83664450000000001</v>
      </c>
      <c r="P10032">
        <v>0.75779770000000002</v>
      </c>
      <c r="Q10032">
        <v>-0.1104368</v>
      </c>
      <c r="R10032">
        <v>0.64307559999999997</v>
      </c>
      <c r="S10032">
        <v>2.9808500000000002</v>
      </c>
      <c r="T10032">
        <v>-0.25467509999999999</v>
      </c>
      <c r="U10032">
        <v>1.1175839999999999</v>
      </c>
      <c r="V10032">
        <v>0.28091739999999998</v>
      </c>
      <c r="W10032">
        <v>-9.9251210000000006E-2</v>
      </c>
      <c r="X10032">
        <v>0.95458609999999999</v>
      </c>
      <c r="Y10032">
        <v>0.58827189999999996</v>
      </c>
      <c r="Z10032">
        <v>-7.1308579999999996E-2</v>
      </c>
      <c r="AA10032">
        <v>0.80551300000000003</v>
      </c>
      <c r="AB10032">
        <v>18</v>
      </c>
      <c r="AC10032">
        <v>13.0197</v>
      </c>
      <c r="AD10032">
        <v>-1.116859366146</v>
      </c>
      <c r="AE10032">
        <v>4.8294999999999897</v>
      </c>
      <c r="AF10032">
        <v>8.1963619773050596</v>
      </c>
      <c r="AG10032">
        <v>-1.116859366146</v>
      </c>
      <c r="AH10032">
        <v>11.098898956077701</v>
      </c>
      <c r="AI10032">
        <v>94.6278646146272</v>
      </c>
      <c r="AJ10032">
        <v>53.554716494885199</v>
      </c>
      <c r="AK10032">
        <v>13.8424449626496</v>
      </c>
      <c r="AL10032">
        <v>95.6960534317232</v>
      </c>
      <c r="AM10032">
        <v>73.601798954161694</v>
      </c>
      <c r="AN10032">
        <v>1.0000000053112099</v>
      </c>
    </row>
    <row r="10033" spans="1:40" x14ac:dyDescent="0.25">
      <c r="A10033" t="str">
        <f>"20190303154036437"</f>
        <v>20190303154036437</v>
      </c>
      <c r="B10033" t="str">
        <f>"1551598836427868"</f>
        <v>1551598836427868</v>
      </c>
      <c r="C10033" t="s">
        <v>40</v>
      </c>
      <c r="D10033">
        <v>5.1896620000000002</v>
      </c>
      <c r="E10033">
        <v>0.63651959999999996</v>
      </c>
      <c r="F10033" t="s">
        <v>68</v>
      </c>
      <c r="G10033">
        <v>-170.7816</v>
      </c>
      <c r="H10033" s="1">
        <v>-1.4287650000000001E-6</v>
      </c>
      <c r="I10033">
        <v>133.6549</v>
      </c>
      <c r="J10033">
        <v>-183.57329999999999</v>
      </c>
      <c r="K10033">
        <v>1.1168670000000001</v>
      </c>
      <c r="L10033">
        <v>128.98070000000001</v>
      </c>
      <c r="M10033">
        <v>0.55122969999999905</v>
      </c>
      <c r="N10033">
        <v>-1.475885E-2</v>
      </c>
      <c r="O10033">
        <v>0.83422299999999905</v>
      </c>
      <c r="P10033">
        <v>0.7611232</v>
      </c>
      <c r="Q10033">
        <v>-0.1113857</v>
      </c>
      <c r="R10033">
        <v>0.63897159999999997</v>
      </c>
      <c r="S10033">
        <v>2.9851230000000002</v>
      </c>
      <c r="T10033">
        <v>-0.25956170000000001</v>
      </c>
      <c r="U10033">
        <v>1.1028439999999999</v>
      </c>
      <c r="V10033">
        <v>0.28174300000000002</v>
      </c>
      <c r="W10033">
        <v>-0.1002113</v>
      </c>
      <c r="X10033">
        <v>0.95424240000000005</v>
      </c>
      <c r="Y10033">
        <v>0.58846119999999902</v>
      </c>
      <c r="Z10033">
        <v>-7.2850020000000001E-2</v>
      </c>
      <c r="AA10033">
        <v>0.80523679999999997</v>
      </c>
      <c r="AB10033">
        <v>18</v>
      </c>
      <c r="AC10033">
        <v>12.791699999999899</v>
      </c>
      <c r="AD10033">
        <v>-1.1168684287649999</v>
      </c>
      <c r="AE10033">
        <v>4.6741999999999804</v>
      </c>
      <c r="AF10033">
        <v>8.0413728442131607</v>
      </c>
      <c r="AG10033">
        <v>-1.1168684287649999</v>
      </c>
      <c r="AH10033">
        <v>10.8785206236586</v>
      </c>
      <c r="AI10033">
        <v>94.719633546615398</v>
      </c>
      <c r="AJ10033">
        <v>53.528288902193196</v>
      </c>
      <c r="AK10033">
        <v>13.5739929006238</v>
      </c>
      <c r="AL10033">
        <v>95.7513382520454</v>
      </c>
      <c r="AM10033">
        <v>73.550602572921406</v>
      </c>
      <c r="AN10033">
        <v>0.99999999032722497</v>
      </c>
    </row>
    <row r="10034" spans="1:40" x14ac:dyDescent="0.25">
      <c r="A10034" t="str">
        <f>"20190303154036449"</f>
        <v>20190303154036449</v>
      </c>
      <c r="B10034" t="str">
        <f>"1551598836438603"</f>
        <v>1551598836438603</v>
      </c>
      <c r="C10034" t="s">
        <v>40</v>
      </c>
      <c r="D10034">
        <v>5.1588419999999999</v>
      </c>
      <c r="E10034">
        <v>0.63651959999999996</v>
      </c>
      <c r="F10034" t="s">
        <v>68</v>
      </c>
      <c r="G10034">
        <v>-171.21619999999999</v>
      </c>
      <c r="H10034" s="1">
        <v>-1.6004510000000001E-6</v>
      </c>
      <c r="I10034">
        <v>133.483</v>
      </c>
      <c r="J10034">
        <v>-183.51769999999999</v>
      </c>
      <c r="K10034">
        <v>1.116868</v>
      </c>
      <c r="L10034">
        <v>129.05549999999999</v>
      </c>
      <c r="M10034">
        <v>0.55509109999999995</v>
      </c>
      <c r="N10034">
        <v>-1.475517E-2</v>
      </c>
      <c r="O10034">
        <v>0.83165859999999903</v>
      </c>
      <c r="P10034">
        <v>0.76478219999999997</v>
      </c>
      <c r="Q10034">
        <v>-0.11236740000000001</v>
      </c>
      <c r="R10034">
        <v>0.63441449999999999</v>
      </c>
      <c r="S10034">
        <v>2.9880680000000002</v>
      </c>
      <c r="T10034">
        <v>-0.27006920000000001</v>
      </c>
      <c r="U10034">
        <v>1.0886990000000001</v>
      </c>
      <c r="V10034">
        <v>0.28288859999999999</v>
      </c>
      <c r="W10034">
        <v>-0.1012086</v>
      </c>
      <c r="X10034">
        <v>0.95379809999999998</v>
      </c>
      <c r="Y10034">
        <v>0.58806009999999997</v>
      </c>
      <c r="Z10034">
        <v>-7.6165800000000006E-2</v>
      </c>
      <c r="AA10034">
        <v>0.80522299999999902</v>
      </c>
      <c r="AB10034">
        <v>17</v>
      </c>
      <c r="AC10034">
        <v>12.301500000000001</v>
      </c>
      <c r="AD10034">
        <v>-1.1168696004509999</v>
      </c>
      <c r="AE10034">
        <v>4.4275000000000002</v>
      </c>
      <c r="AF10034">
        <v>7.7175089480082804</v>
      </c>
      <c r="AG10034">
        <v>-1.1168696004509999</v>
      </c>
      <c r="AH10034">
        <v>10.4356104229485</v>
      </c>
      <c r="AI10034">
        <v>94.918194929491904</v>
      </c>
      <c r="AJ10034">
        <v>53.515743336417401</v>
      </c>
      <c r="AK10034">
        <v>13.0272524718971</v>
      </c>
      <c r="AL10034">
        <v>95.808771406634094</v>
      </c>
      <c r="AM10034">
        <v>73.480080464653298</v>
      </c>
      <c r="AN10034">
        <v>0.99999997814376396</v>
      </c>
    </row>
    <row r="10035" spans="1:40" x14ac:dyDescent="0.25">
      <c r="A10035" t="str">
        <f>"20190303154036460"</f>
        <v>20190303154036460</v>
      </c>
      <c r="B10035" t="str">
        <f>"1551598836448363"</f>
        <v>1551598836448363</v>
      </c>
      <c r="C10035" t="s">
        <v>40</v>
      </c>
      <c r="D10035">
        <v>5.149343</v>
      </c>
      <c r="E10035">
        <v>0.63165839999999995</v>
      </c>
      <c r="F10035" t="s">
        <v>68</v>
      </c>
      <c r="G10035">
        <v>-171.33160000000001</v>
      </c>
      <c r="H10035" s="1">
        <v>-1.635406E-6</v>
      </c>
      <c r="I10035">
        <v>133.4135</v>
      </c>
      <c r="J10035">
        <v>-183.4676</v>
      </c>
      <c r="K10035">
        <v>1.116881</v>
      </c>
      <c r="L10035">
        <v>129.1217</v>
      </c>
      <c r="M10035">
        <v>0.55851870000000003</v>
      </c>
      <c r="N10035">
        <v>-1.475168E-2</v>
      </c>
      <c r="O10035">
        <v>0.82936069999999995</v>
      </c>
      <c r="P10035">
        <v>0.76800819999999903</v>
      </c>
      <c r="Q10035">
        <v>-0.1127672</v>
      </c>
      <c r="R10035">
        <v>0.63043389999999999</v>
      </c>
      <c r="S10035">
        <v>2.9941249999999999</v>
      </c>
      <c r="T10035">
        <v>-0.27441450000000001</v>
      </c>
      <c r="U10035">
        <v>1.0707549999999999</v>
      </c>
      <c r="V10035">
        <v>0.28385379999999999</v>
      </c>
      <c r="W10035">
        <v>-0.1016198</v>
      </c>
      <c r="X10035">
        <v>0.95346759999999997</v>
      </c>
      <c r="Y10035">
        <v>0.58940090000000001</v>
      </c>
      <c r="Z10035">
        <v>-7.7553730000000001E-2</v>
      </c>
      <c r="AA10035">
        <v>0.80410950000000003</v>
      </c>
      <c r="AB10035">
        <v>17</v>
      </c>
      <c r="AC10035">
        <v>12.1359999999999</v>
      </c>
      <c r="AD10035">
        <v>-1.116882635406</v>
      </c>
      <c r="AE10035">
        <v>4.2917999999999896</v>
      </c>
      <c r="AF10035">
        <v>7.6116045080640298</v>
      </c>
      <c r="AG10035">
        <v>-1.116882635406</v>
      </c>
      <c r="AH10035">
        <v>10.2615085951092</v>
      </c>
      <c r="AI10035">
        <v>94.995981115172796</v>
      </c>
      <c r="AJ10035">
        <v>53.433353907878299</v>
      </c>
      <c r="AK10035">
        <v>12.825073436668999</v>
      </c>
      <c r="AL10035">
        <v>95.832453320838695</v>
      </c>
      <c r="AM10035">
        <v>73.421372969428305</v>
      </c>
      <c r="AN10035">
        <v>1.00000001388812</v>
      </c>
    </row>
    <row r="10036" spans="1:40" x14ac:dyDescent="0.25">
      <c r="A10036" t="str">
        <f>"20190303154036473"</f>
        <v>20190303154036473</v>
      </c>
      <c r="B10036" t="str">
        <f>"1551598836467882"</f>
        <v>1551598836467882</v>
      </c>
      <c r="C10036" t="s">
        <v>40</v>
      </c>
      <c r="D10036">
        <v>5.1506509999999999</v>
      </c>
      <c r="E10036">
        <v>0.63023030000000002</v>
      </c>
      <c r="F10036" t="s">
        <v>68</v>
      </c>
      <c r="G10036">
        <v>-173.14080000000001</v>
      </c>
      <c r="H10036" s="1">
        <v>-2.4299069999999998E-6</v>
      </c>
      <c r="I10036">
        <v>132.8784</v>
      </c>
      <c r="J10036">
        <v>-183.4032</v>
      </c>
      <c r="K10036">
        <v>1.1168990000000001</v>
      </c>
      <c r="L10036">
        <v>129.2064</v>
      </c>
      <c r="M10036">
        <v>0.56289940000000005</v>
      </c>
      <c r="N10036">
        <v>-1.4747150000000001E-2</v>
      </c>
      <c r="O10036">
        <v>0.82639379999999996</v>
      </c>
      <c r="P10036">
        <v>0.77191419999999999</v>
      </c>
      <c r="Q10036">
        <v>-0.1129891</v>
      </c>
      <c r="R10036">
        <v>0.62560509999999903</v>
      </c>
      <c r="S10036">
        <v>2.971619</v>
      </c>
      <c r="T10036">
        <v>-0.32139210000000001</v>
      </c>
      <c r="U10036">
        <v>1.0810390000000001</v>
      </c>
      <c r="V10036">
        <v>0.28476050000000003</v>
      </c>
      <c r="W10036">
        <v>-0.1018502</v>
      </c>
      <c r="X10036">
        <v>0.95317260000000004</v>
      </c>
      <c r="Y10036">
        <v>0.5792969</v>
      </c>
      <c r="Z10036">
        <v>-9.2403979999999997E-2</v>
      </c>
      <c r="AA10036">
        <v>0.80986210000000003</v>
      </c>
      <c r="AB10036">
        <v>17</v>
      </c>
      <c r="AC10036">
        <v>10.2623999999999</v>
      </c>
      <c r="AD10036">
        <v>-1.1169014299069999</v>
      </c>
      <c r="AE10036">
        <v>3.6719999999999899</v>
      </c>
      <c r="AF10036">
        <v>6.3478589721064003</v>
      </c>
      <c r="AG10036">
        <v>-1.1169014299069999</v>
      </c>
      <c r="AH10036">
        <v>8.7206043857815807</v>
      </c>
      <c r="AI10036">
        <v>95.911803271195197</v>
      </c>
      <c r="AJ10036">
        <v>53.948564103963697</v>
      </c>
      <c r="AK10036">
        <v>10.843971744116301</v>
      </c>
      <c r="AL10036">
        <v>95.845723167397097</v>
      </c>
      <c r="AM10036">
        <v>73.3664742687955</v>
      </c>
      <c r="AN10036">
        <v>1.00000000549552</v>
      </c>
    </row>
    <row r="10037" spans="1:40" x14ac:dyDescent="0.25">
      <c r="A10037" t="str">
        <f>"20190303154036486"</f>
        <v>20190303154036486</v>
      </c>
      <c r="B10037" t="str">
        <f>"1551598836478618"</f>
        <v>1551598836478618</v>
      </c>
      <c r="C10037" t="s">
        <v>40</v>
      </c>
      <c r="D10037">
        <v>5.1940770000000001</v>
      </c>
      <c r="E10037">
        <v>0.62943979999999999</v>
      </c>
      <c r="F10037" t="s">
        <v>68</v>
      </c>
      <c r="G10037">
        <v>-173.1156</v>
      </c>
      <c r="H10037" s="1">
        <v>-2.4319169999999998E-6</v>
      </c>
      <c r="I10037">
        <v>132.91550000000001</v>
      </c>
      <c r="J10037">
        <v>-183.33850000000001</v>
      </c>
      <c r="K10037">
        <v>1.1169249999999999</v>
      </c>
      <c r="L10037">
        <v>129.29040000000001</v>
      </c>
      <c r="M10037">
        <v>0.56724449999999904</v>
      </c>
      <c r="N10037">
        <v>-1.474232E-2</v>
      </c>
      <c r="O10037">
        <v>0.82341749999999903</v>
      </c>
      <c r="P10037">
        <v>0.77546530000000002</v>
      </c>
      <c r="Q10037">
        <v>-0.1125266</v>
      </c>
      <c r="R10037">
        <v>0.62128219999999901</v>
      </c>
      <c r="S10037">
        <v>2.9710540000000001</v>
      </c>
      <c r="T10037">
        <v>-0.32256030000000002</v>
      </c>
      <c r="U10037">
        <v>1.0711820000000001</v>
      </c>
      <c r="V10037">
        <v>0.28512920000000003</v>
      </c>
      <c r="W10037">
        <v>-0.1013858</v>
      </c>
      <c r="X10037">
        <v>0.95311190000000001</v>
      </c>
      <c r="Y10037">
        <v>0.57729969999999997</v>
      </c>
      <c r="Z10037">
        <v>-9.2714759999999993E-2</v>
      </c>
      <c r="AA10037">
        <v>0.81125150000000001</v>
      </c>
      <c r="AB10037">
        <v>17</v>
      </c>
      <c r="AC10037">
        <v>10.222899999999999</v>
      </c>
      <c r="AD10037">
        <v>-1.1169274319169999</v>
      </c>
      <c r="AE10037">
        <v>3.6251000000000002</v>
      </c>
      <c r="AF10037">
        <v>6.2953335347929702</v>
      </c>
      <c r="AG10037">
        <v>-1.1169274319169999</v>
      </c>
      <c r="AH10037">
        <v>8.6926341324747192</v>
      </c>
      <c r="AI10037">
        <v>95.941195693673805</v>
      </c>
      <c r="AJ10037">
        <v>54.087391063522901</v>
      </c>
      <c r="AK10037">
        <v>10.7907663937054</v>
      </c>
      <c r="AL10037">
        <v>95.818976482994401</v>
      </c>
      <c r="AM10037">
        <v>73.345127756251202</v>
      </c>
      <c r="AN10037">
        <v>1.00000001752794</v>
      </c>
    </row>
    <row r="10038" spans="1:40" x14ac:dyDescent="0.25">
      <c r="A10038" t="str">
        <f>"20190303154036503"</f>
        <v>20190303154036503</v>
      </c>
      <c r="B10038" t="str">
        <f>"1551598836498138"</f>
        <v>1551598836498138</v>
      </c>
      <c r="C10038" t="s">
        <v>40</v>
      </c>
      <c r="D10038">
        <v>5.1846990000000002</v>
      </c>
      <c r="E10038">
        <v>0.62865329999999997</v>
      </c>
      <c r="F10038" t="s">
        <v>68</v>
      </c>
      <c r="G10038">
        <v>-173.0068</v>
      </c>
      <c r="H10038" s="1">
        <v>-2.3949339999999998E-6</v>
      </c>
      <c r="I10038">
        <v>132.97200000000001</v>
      </c>
      <c r="J10038">
        <v>-183.2542</v>
      </c>
      <c r="K10038">
        <v>1.116965</v>
      </c>
      <c r="L10038">
        <v>129.39850000000001</v>
      </c>
      <c r="M10038">
        <v>0.57283240000000002</v>
      </c>
      <c r="N10038">
        <v>-1.473549E-2</v>
      </c>
      <c r="O10038">
        <v>0.81954009999999999</v>
      </c>
      <c r="P10038">
        <v>0.77967299999999995</v>
      </c>
      <c r="Q10038">
        <v>-0.11029310000000001</v>
      </c>
      <c r="R10038">
        <v>0.61639719999999998</v>
      </c>
      <c r="S10038">
        <v>2.9731749999999999</v>
      </c>
      <c r="T10038">
        <v>-0.32142019999999999</v>
      </c>
      <c r="U10038">
        <v>1.059464</v>
      </c>
      <c r="V10038">
        <v>0.28492590000000001</v>
      </c>
      <c r="W10038">
        <v>-9.9135539999999994E-2</v>
      </c>
      <c r="X10038">
        <v>0.95340930000000002</v>
      </c>
      <c r="Y10038">
        <v>0.57482169999999999</v>
      </c>
      <c r="Z10038">
        <v>-9.2183349999999997E-2</v>
      </c>
      <c r="AA10038">
        <v>0.81306969999999901</v>
      </c>
      <c r="AB10038">
        <v>17</v>
      </c>
      <c r="AC10038">
        <v>10.247400000000001</v>
      </c>
      <c r="AD10038">
        <v>-1.116967394934</v>
      </c>
      <c r="AE10038">
        <v>3.5734999999999899</v>
      </c>
      <c r="AF10038">
        <v>6.2852493705187502</v>
      </c>
      <c r="AG10038">
        <v>-1.116967394934</v>
      </c>
      <c r="AH10038">
        <v>8.7073883461653807</v>
      </c>
      <c r="AI10038">
        <v>95.938084570028806</v>
      </c>
      <c r="AJ10038">
        <v>54.177139447121498</v>
      </c>
      <c r="AK10038">
        <v>10.7967859857407</v>
      </c>
      <c r="AL10038">
        <v>95.689393448653107</v>
      </c>
      <c r="AM10038">
        <v>73.361250449260496</v>
      </c>
      <c r="AN10038">
        <v>0.99999995855419499</v>
      </c>
    </row>
    <row r="10039" spans="1:40" x14ac:dyDescent="0.25">
      <c r="A10039" t="str">
        <f>"20190303154036516"</f>
        <v>20190303154036516</v>
      </c>
      <c r="B10039" t="str">
        <f>"1551598836507898"</f>
        <v>1551598836507898</v>
      </c>
      <c r="C10039" t="s">
        <v>40</v>
      </c>
      <c r="D10039">
        <v>5.1816430000000002</v>
      </c>
      <c r="E10039">
        <v>0.62838669999999996</v>
      </c>
      <c r="F10039" t="s">
        <v>68</v>
      </c>
      <c r="G10039">
        <v>-172.52430000000001</v>
      </c>
      <c r="H10039" s="1">
        <v>-2.206868E-6</v>
      </c>
      <c r="I10039">
        <v>133.16849999999999</v>
      </c>
      <c r="J10039">
        <v>-183.19149999999999</v>
      </c>
      <c r="K10039">
        <v>1.1169899999999999</v>
      </c>
      <c r="L10039">
        <v>129.47790000000001</v>
      </c>
      <c r="M10039">
        <v>0.57693109999999903</v>
      </c>
      <c r="N10039">
        <v>-1.473004E-2</v>
      </c>
      <c r="O10039">
        <v>0.81666000000000005</v>
      </c>
      <c r="P10039">
        <v>0.78236110000000003</v>
      </c>
      <c r="Q10039">
        <v>-0.10882989999999999</v>
      </c>
      <c r="R10039">
        <v>0.61324319999999999</v>
      </c>
      <c r="S10039">
        <v>2.9770050000000001</v>
      </c>
      <c r="T10039">
        <v>-0.30990030000000002</v>
      </c>
      <c r="U10039">
        <v>1.04599</v>
      </c>
      <c r="V10039">
        <v>0.28418840000000001</v>
      </c>
      <c r="W10039">
        <v>-9.7650210000000001E-2</v>
      </c>
      <c r="X10039">
        <v>0.95378269999999998</v>
      </c>
      <c r="Y10039">
        <v>0.5747042</v>
      </c>
      <c r="Z10039">
        <v>-8.8498030000000005E-2</v>
      </c>
      <c r="AA10039">
        <v>0.81356200000000001</v>
      </c>
      <c r="AB10039">
        <v>17</v>
      </c>
      <c r="AC10039">
        <v>10.6671999999999</v>
      </c>
      <c r="AD10039">
        <v>-1.1169922068679901</v>
      </c>
      <c r="AE10039">
        <v>3.6905999999999799</v>
      </c>
      <c r="AF10039">
        <v>6.5191285676514701</v>
      </c>
      <c r="AG10039">
        <v>-1.1169922068679901</v>
      </c>
      <c r="AH10039">
        <v>9.0802799945171202</v>
      </c>
      <c r="AI10039">
        <v>95.706429167786794</v>
      </c>
      <c r="AJ10039">
        <v>54.323786695024502</v>
      </c>
      <c r="AK10039">
        <v>11.233796938284099</v>
      </c>
      <c r="AL10039">
        <v>95.603874962000603</v>
      </c>
      <c r="AM10039">
        <v>73.408086601654105</v>
      </c>
      <c r="AN10039">
        <v>1.0000000245134399</v>
      </c>
    </row>
    <row r="10040" spans="1:40" x14ac:dyDescent="0.25">
      <c r="A10040" t="str">
        <f>"20190303154036527"</f>
        <v>20190303154036527</v>
      </c>
      <c r="B10040" t="str">
        <f>"1551598836518634"</f>
        <v>1551598836518634</v>
      </c>
      <c r="C10040" t="s">
        <v>40</v>
      </c>
      <c r="D10040">
        <v>5.1259420000000002</v>
      </c>
      <c r="E10040">
        <v>0.62816830000000001</v>
      </c>
      <c r="F10040" t="s">
        <v>68</v>
      </c>
      <c r="G10040">
        <v>-172.26949999999999</v>
      </c>
      <c r="H10040" s="1">
        <v>-2.1077320000000002E-6</v>
      </c>
      <c r="I10040">
        <v>133.27260000000001</v>
      </c>
      <c r="J10040">
        <v>-183.1354</v>
      </c>
      <c r="K10040">
        <v>1.11701299999999</v>
      </c>
      <c r="L10040">
        <v>129.54859999999999</v>
      </c>
      <c r="M10040">
        <v>0.58057369999999997</v>
      </c>
      <c r="N10040">
        <v>-1.472501E-2</v>
      </c>
      <c r="O10040">
        <v>0.81407459999999998</v>
      </c>
      <c r="P10040">
        <v>0.78479180000000004</v>
      </c>
      <c r="Q10040">
        <v>-0.1083218</v>
      </c>
      <c r="R10040">
        <v>0.61021990000000004</v>
      </c>
      <c r="S10040">
        <v>2.9804840000000001</v>
      </c>
      <c r="T10040">
        <v>-0.30481219999999998</v>
      </c>
      <c r="U10040">
        <v>1.0355379999999901</v>
      </c>
      <c r="V10040">
        <v>0.28367560000000003</v>
      </c>
      <c r="W10040">
        <v>-9.7125039999999996E-2</v>
      </c>
      <c r="X10040">
        <v>0.95398890000000003</v>
      </c>
      <c r="Y10040">
        <v>0.57406049999999997</v>
      </c>
      <c r="Z10040">
        <v>-8.6799199999999896E-2</v>
      </c>
      <c r="AA10040">
        <v>0.81419929999999996</v>
      </c>
      <c r="AB10040">
        <v>17</v>
      </c>
      <c r="AC10040">
        <v>10.8659</v>
      </c>
      <c r="AD10040">
        <v>-1.1170151077320001</v>
      </c>
      <c r="AE10040">
        <v>3.72400000000001</v>
      </c>
      <c r="AF10040">
        <v>6.6216994725127201</v>
      </c>
      <c r="AG10040">
        <v>-1.1170151077320001</v>
      </c>
      <c r="AH10040">
        <v>9.2535705284622907</v>
      </c>
      <c r="AI10040">
        <v>95.606588191562096</v>
      </c>
      <c r="AJ10040">
        <v>54.4131275370992</v>
      </c>
      <c r="AK10040">
        <v>11.4334244292951</v>
      </c>
      <c r="AL10040">
        <v>95.573641525304197</v>
      </c>
      <c r="AM10040">
        <v>73.439767947614399</v>
      </c>
      <c r="AN10040">
        <v>0.99999997037678501</v>
      </c>
    </row>
    <row r="10041" spans="1:40" x14ac:dyDescent="0.25">
      <c r="A10041" t="str">
        <f>"20190303154036539"</f>
        <v>20190303154036539</v>
      </c>
      <c r="B10041" t="str">
        <f>"1551598836528394"</f>
        <v>1551598836528394</v>
      </c>
      <c r="C10041" t="s">
        <v>40</v>
      </c>
      <c r="D10041">
        <v>5.1481260000000004</v>
      </c>
      <c r="E10041">
        <v>0.62783599999999995</v>
      </c>
      <c r="F10041" t="s">
        <v>68</v>
      </c>
      <c r="G10041">
        <v>-172.0839</v>
      </c>
      <c r="H10041" s="1">
        <v>-2.035083E-6</v>
      </c>
      <c r="I10041">
        <v>133.3475</v>
      </c>
      <c r="J10041">
        <v>-183.0805</v>
      </c>
      <c r="K10041">
        <v>1.1170340000000001</v>
      </c>
      <c r="L10041">
        <v>129.61670000000001</v>
      </c>
      <c r="M10041">
        <v>0.58408179999999998</v>
      </c>
      <c r="N10041">
        <v>-1.471947E-2</v>
      </c>
      <c r="O10041">
        <v>0.81156130000000004</v>
      </c>
      <c r="P10041">
        <v>0.787103</v>
      </c>
      <c r="Q10041">
        <v>-0.1077351</v>
      </c>
      <c r="R10041">
        <v>0.60734030000000006</v>
      </c>
      <c r="S10041">
        <v>2.9835970000000001</v>
      </c>
      <c r="T10041">
        <v>-0.30156450000000001</v>
      </c>
      <c r="U10041">
        <v>1.025604</v>
      </c>
      <c r="V10041">
        <v>0.28313090000000002</v>
      </c>
      <c r="W10041">
        <v>-9.6519720000000003E-2</v>
      </c>
      <c r="X10041">
        <v>0.95421219999999995</v>
      </c>
      <c r="Y10041">
        <v>0.5733241</v>
      </c>
      <c r="Z10041">
        <v>-8.5682229999999998E-2</v>
      </c>
      <c r="AA10041">
        <v>0.81483629999999996</v>
      </c>
      <c r="AB10041">
        <v>17</v>
      </c>
      <c r="AC10041">
        <v>10.996600000000001</v>
      </c>
      <c r="AD10041">
        <v>-1.117036035083</v>
      </c>
      <c r="AE10041">
        <v>3.7307999999999799</v>
      </c>
      <c r="AF10041">
        <v>6.6842018544902597</v>
      </c>
      <c r="AG10041">
        <v>-1.117036035083</v>
      </c>
      <c r="AH10041">
        <v>9.3650521999087406</v>
      </c>
      <c r="AI10041">
        <v>95.545173890213604</v>
      </c>
      <c r="AJ10041">
        <v>54.483074029444701</v>
      </c>
      <c r="AK10041">
        <v>11.559867068537599</v>
      </c>
      <c r="AL10041">
        <v>95.538795122521293</v>
      </c>
      <c r="AM10041">
        <v>73.473486486820406</v>
      </c>
      <c r="AN10041">
        <v>1.0000000427562601</v>
      </c>
    </row>
    <row r="10042" spans="1:40" x14ac:dyDescent="0.25">
      <c r="A10042" t="str">
        <f>"20190303154036550"</f>
        <v>20190303154036550</v>
      </c>
      <c r="B10042" t="str">
        <f>"1551598836538154"</f>
        <v>1551598836538154</v>
      </c>
      <c r="C10042" t="s">
        <v>40</v>
      </c>
      <c r="D10042">
        <v>5.176736</v>
      </c>
      <c r="E10042">
        <v>0.62738190000000005</v>
      </c>
      <c r="F10042" t="s">
        <v>68</v>
      </c>
      <c r="G10042">
        <v>-171.98570000000001</v>
      </c>
      <c r="H10042" s="1">
        <v>-1.999682E-6</v>
      </c>
      <c r="I10042">
        <v>133.39400000000001</v>
      </c>
      <c r="J10042">
        <v>-183.02440000000001</v>
      </c>
      <c r="K10042">
        <v>1.1170599999999999</v>
      </c>
      <c r="L10042">
        <v>129.68610000000001</v>
      </c>
      <c r="M10042">
        <v>0.58764259999999902</v>
      </c>
      <c r="N10042">
        <v>-1.4713820000000001E-2</v>
      </c>
      <c r="O10042">
        <v>0.80898680000000001</v>
      </c>
      <c r="P10042">
        <v>0.78904680000000005</v>
      </c>
      <c r="Q10042">
        <v>-0.1080465</v>
      </c>
      <c r="R10042">
        <v>0.60475709999999905</v>
      </c>
      <c r="S10042">
        <v>2.9859010000000001</v>
      </c>
      <c r="T10042">
        <v>-0.30062280000000002</v>
      </c>
      <c r="U10042">
        <v>1.0165709999999999</v>
      </c>
      <c r="V10042">
        <v>0.28203489999999998</v>
      </c>
      <c r="W10042">
        <v>-9.6805539999999995E-2</v>
      </c>
      <c r="X10042">
        <v>0.95450780000000002</v>
      </c>
      <c r="Y10042">
        <v>0.57216529999999999</v>
      </c>
      <c r="Z10042">
        <v>-8.5280309999999998E-2</v>
      </c>
      <c r="AA10042">
        <v>0.81569239999999998</v>
      </c>
      <c r="AB10042">
        <v>17</v>
      </c>
      <c r="AC10042">
        <v>11.0387</v>
      </c>
      <c r="AD10042">
        <v>-1.1170619996819999</v>
      </c>
      <c r="AE10042">
        <v>3.7078999999999902</v>
      </c>
      <c r="AF10042">
        <v>6.6904073662974097</v>
      </c>
      <c r="AG10042">
        <v>-1.1170619996819999</v>
      </c>
      <c r="AH10042">
        <v>9.4009704107291494</v>
      </c>
      <c r="AI10042">
        <v>95.529612089639997</v>
      </c>
      <c r="AJ10042">
        <v>54.561607000032097</v>
      </c>
      <c r="AK10042">
        <v>11.592567571575501</v>
      </c>
      <c r="AL10042">
        <v>95.555248303866307</v>
      </c>
      <c r="AM10042">
        <v>73.538813043970507</v>
      </c>
      <c r="AN10042">
        <v>1.0000000688267601</v>
      </c>
    </row>
    <row r="10043" spans="1:40" x14ac:dyDescent="0.25">
      <c r="A10043" t="str">
        <f>"20190303154036561"</f>
        <v>20190303154036561</v>
      </c>
      <c r="B10043" t="str">
        <f>"1551598836558650"</f>
        <v>1551598836558650</v>
      </c>
      <c r="C10043" t="s">
        <v>40</v>
      </c>
      <c r="D10043">
        <v>5.1931649999999996</v>
      </c>
      <c r="E10043">
        <v>0.62040139999999999</v>
      </c>
      <c r="F10043" t="s">
        <v>68</v>
      </c>
      <c r="G10043">
        <v>-172.02879999999999</v>
      </c>
      <c r="H10043" s="1">
        <v>-2.0280520000000001E-6</v>
      </c>
      <c r="I10043">
        <v>133.40260000000001</v>
      </c>
      <c r="J10043">
        <v>-182.9666</v>
      </c>
      <c r="K10043">
        <v>1.117086</v>
      </c>
      <c r="L10043">
        <v>129.75659999999999</v>
      </c>
      <c r="M10043">
        <v>0.59125699999999903</v>
      </c>
      <c r="N10043">
        <v>-1.470721E-2</v>
      </c>
      <c r="O10043">
        <v>0.80634919999999899</v>
      </c>
      <c r="P10043">
        <v>0.79128310000000002</v>
      </c>
      <c r="Q10043">
        <v>-0.1086346</v>
      </c>
      <c r="R10043">
        <v>0.60172219999999998</v>
      </c>
      <c r="S10043">
        <v>2.986755</v>
      </c>
      <c r="T10043">
        <v>-0.3034288</v>
      </c>
      <c r="U10043">
        <v>1.0095209999999999</v>
      </c>
      <c r="V10043">
        <v>0.2813657</v>
      </c>
      <c r="W10043">
        <v>-9.7373189999999998E-2</v>
      </c>
      <c r="X10043">
        <v>0.95464749999999998</v>
      </c>
      <c r="Y10043">
        <v>0.570219699999999</v>
      </c>
      <c r="Z10043">
        <v>-8.6031819999999995E-2</v>
      </c>
      <c r="AA10043">
        <v>0.81697489999999995</v>
      </c>
      <c r="AB10043">
        <v>17</v>
      </c>
      <c r="AC10043">
        <v>10.937799999999999</v>
      </c>
      <c r="AD10043">
        <v>-1.1170880280519999</v>
      </c>
      <c r="AE10043">
        <v>3.6460000000000101</v>
      </c>
      <c r="AF10043">
        <v>6.6026998338056098</v>
      </c>
      <c r="AG10043">
        <v>-1.1170880280519999</v>
      </c>
      <c r="AH10043">
        <v>9.3205191744951907</v>
      </c>
      <c r="AI10043">
        <v>95.585725135777096</v>
      </c>
      <c r="AJ10043">
        <v>54.686062798249097</v>
      </c>
      <c r="AK10043">
        <v>11.4767420655814</v>
      </c>
      <c r="AL10043">
        <v>95.587926895615794</v>
      </c>
      <c r="AM10043">
        <v>73.578038325630303</v>
      </c>
      <c r="AN10043">
        <v>1.00000002226175</v>
      </c>
    </row>
    <row r="10044" spans="1:40" x14ac:dyDescent="0.25">
      <c r="A10044" t="str">
        <f>"20190303154036573"</f>
        <v>20190303154036573</v>
      </c>
      <c r="B10044" t="str">
        <f>"1551598836568411"</f>
        <v>1551598836568411</v>
      </c>
      <c r="C10044" t="s">
        <v>40</v>
      </c>
      <c r="D10044">
        <v>5.1663800000000002</v>
      </c>
      <c r="E10044">
        <v>0.62136859999999905</v>
      </c>
      <c r="F10044" t="s">
        <v>68</v>
      </c>
      <c r="G10044">
        <v>-172.8382</v>
      </c>
      <c r="H10044" s="1">
        <v>-2.4544740000000001E-6</v>
      </c>
      <c r="I10044">
        <v>133.3235</v>
      </c>
      <c r="J10044">
        <v>-182.911</v>
      </c>
      <c r="K10044">
        <v>1.117111</v>
      </c>
      <c r="L10044">
        <v>129.82409999999999</v>
      </c>
      <c r="M10044">
        <v>0.59470339999999999</v>
      </c>
      <c r="N10044">
        <v>-1.470078E-2</v>
      </c>
      <c r="O10044">
        <v>0.80381080000000005</v>
      </c>
      <c r="P10044">
        <v>0.79317979999999999</v>
      </c>
      <c r="Q10044">
        <v>-0.1091785</v>
      </c>
      <c r="R10044">
        <v>0.59912100000000001</v>
      </c>
      <c r="S10044">
        <v>2.9551850000000002</v>
      </c>
      <c r="T10044">
        <v>-0.32593559999999999</v>
      </c>
      <c r="U10044">
        <v>1.04071</v>
      </c>
      <c r="V10044">
        <v>0.28035539999999998</v>
      </c>
      <c r="W10044">
        <v>-9.7892119999999999E-2</v>
      </c>
      <c r="X10044">
        <v>0.95489159999999995</v>
      </c>
      <c r="Y10044">
        <v>0.55557080000000003</v>
      </c>
      <c r="Z10044">
        <v>-9.2902659999999998E-2</v>
      </c>
      <c r="AA10044">
        <v>0.82626270000000002</v>
      </c>
      <c r="AB10044">
        <v>17</v>
      </c>
      <c r="AC10044">
        <v>10.0727999999999</v>
      </c>
      <c r="AD10044">
        <v>-1.117113454474</v>
      </c>
      <c r="AE10044">
        <v>3.4994000000000001</v>
      </c>
      <c r="AF10044">
        <v>5.95085927255609</v>
      </c>
      <c r="AG10044">
        <v>-1.117113454474</v>
      </c>
      <c r="AH10044">
        <v>8.7085581348779701</v>
      </c>
      <c r="AI10044">
        <v>96.045754898246003</v>
      </c>
      <c r="AJ10044">
        <v>55.6538523063914</v>
      </c>
      <c r="AK10044">
        <v>10.606585376099201</v>
      </c>
      <c r="AL10044">
        <v>95.617802289569795</v>
      </c>
      <c r="AM10044">
        <v>73.637803839607002</v>
      </c>
      <c r="AN10044">
        <v>0.99999999260890704</v>
      </c>
    </row>
    <row r="10045" spans="1:40" x14ac:dyDescent="0.25">
      <c r="A10045" t="str">
        <f>"20190303154036585"</f>
        <v>20190303154036585</v>
      </c>
      <c r="B10045" t="str">
        <f>"1551598836578170"</f>
        <v>1551598836578170</v>
      </c>
      <c r="C10045" t="s">
        <v>40</v>
      </c>
      <c r="D10045">
        <v>5.1542500000000002</v>
      </c>
      <c r="E10045">
        <v>0.62150909999999904</v>
      </c>
      <c r="F10045" t="s">
        <v>68</v>
      </c>
      <c r="G10045">
        <v>-172.63419999999999</v>
      </c>
      <c r="H10045" s="1">
        <v>-2.3630149999999999E-6</v>
      </c>
      <c r="I10045">
        <v>133.37970000000001</v>
      </c>
      <c r="J10045">
        <v>-182.8503</v>
      </c>
      <c r="K10045">
        <v>1.117127</v>
      </c>
      <c r="L10045">
        <v>129.89709999999999</v>
      </c>
      <c r="M10045">
        <v>0.59842229999999996</v>
      </c>
      <c r="N10045">
        <v>-1.4693339999999999E-2</v>
      </c>
      <c r="O10045">
        <v>0.80104609999999998</v>
      </c>
      <c r="P10045">
        <v>0.79540279999999997</v>
      </c>
      <c r="Q10045">
        <v>-0.10982020000000001</v>
      </c>
      <c r="R10045">
        <v>0.59604869999999899</v>
      </c>
      <c r="S10045">
        <v>2.9634550000000002</v>
      </c>
      <c r="T10045">
        <v>-0.32213370000000002</v>
      </c>
      <c r="U10045">
        <v>1.0252840000000001</v>
      </c>
      <c r="V10045">
        <v>0.27955439999999998</v>
      </c>
      <c r="W10045">
        <v>-9.8510810000000004E-2</v>
      </c>
      <c r="X10045">
        <v>0.95506279999999999</v>
      </c>
      <c r="Y10045">
        <v>0.55642019999999903</v>
      </c>
      <c r="Z10045">
        <v>-9.1567960000000004E-2</v>
      </c>
      <c r="AA10045">
        <v>0.82584009999999997</v>
      </c>
      <c r="AB10045">
        <v>17</v>
      </c>
      <c r="AC10045">
        <v>10.216100000000001</v>
      </c>
      <c r="AD10045">
        <v>-1.1171293630150001</v>
      </c>
      <c r="AE10045">
        <v>3.4826000000000099</v>
      </c>
      <c r="AF10045">
        <v>6.0355046637647396</v>
      </c>
      <c r="AG10045">
        <v>-1.1171293630150001</v>
      </c>
      <c r="AH10045">
        <v>8.8098507965449002</v>
      </c>
      <c r="AI10045">
        <v>95.9719925699074</v>
      </c>
      <c r="AJ10045">
        <v>55.5855064325781</v>
      </c>
      <c r="AK10045">
        <v>10.7372606197958</v>
      </c>
      <c r="AL10045">
        <v>95.653422760512996</v>
      </c>
      <c r="AM10045">
        <v>73.684831093268301</v>
      </c>
      <c r="AN10045">
        <v>0.99999999709502796</v>
      </c>
    </row>
    <row r="10046" spans="1:40" x14ac:dyDescent="0.25">
      <c r="A10046" t="str">
        <f>"20190303154036595"</f>
        <v>20190303154036595</v>
      </c>
      <c r="B10046" t="str">
        <f>"1551598836587931"</f>
        <v>1551598836587931</v>
      </c>
      <c r="C10046" t="s">
        <v>40</v>
      </c>
      <c r="D10046">
        <v>5.1442430000000003</v>
      </c>
      <c r="E10046">
        <v>0.62119499999999905</v>
      </c>
      <c r="F10046" t="s">
        <v>68</v>
      </c>
      <c r="G10046">
        <v>-172.46019999999999</v>
      </c>
      <c r="H10046" s="1">
        <v>-2.2924479999999999E-6</v>
      </c>
      <c r="I10046">
        <v>133.4443</v>
      </c>
      <c r="J10046">
        <v>-182.7971</v>
      </c>
      <c r="K10046">
        <v>1.1171489999999999</v>
      </c>
      <c r="L10046">
        <v>129.96039999999999</v>
      </c>
      <c r="M10046">
        <v>0.60163849999999996</v>
      </c>
      <c r="N10046">
        <v>-1.468654E-2</v>
      </c>
      <c r="O10046">
        <v>0.7986335</v>
      </c>
      <c r="P10046">
        <v>0.79736049999999903</v>
      </c>
      <c r="Q10046">
        <v>-0.1104972</v>
      </c>
      <c r="R10046">
        <v>0.59330159999999998</v>
      </c>
      <c r="S10046">
        <v>2.9682309999999998</v>
      </c>
      <c r="T10046">
        <v>-0.31914130000000002</v>
      </c>
      <c r="U10046">
        <v>1.0133509999999999</v>
      </c>
      <c r="V10046">
        <v>0.27893410000000002</v>
      </c>
      <c r="W10046">
        <v>-9.9168969999999995E-2</v>
      </c>
      <c r="X10046">
        <v>0.95517609999999997</v>
      </c>
      <c r="Y10046">
        <v>0.55657060000000003</v>
      </c>
      <c r="Z10046">
        <v>-9.0535299999999999E-2</v>
      </c>
      <c r="AA10046">
        <v>0.82585259999999905</v>
      </c>
      <c r="AB10046">
        <v>17</v>
      </c>
      <c r="AC10046">
        <v>10.3369</v>
      </c>
      <c r="AD10046">
        <v>-1.117151292448</v>
      </c>
      <c r="AE10046">
        <v>3.4839000000000002</v>
      </c>
      <c r="AF10046">
        <v>6.0960713198159802</v>
      </c>
      <c r="AG10046">
        <v>-1.117151292448</v>
      </c>
      <c r="AH10046">
        <v>8.9089645473671393</v>
      </c>
      <c r="AI10046">
        <v>95.9083915777492</v>
      </c>
      <c r="AJ10046">
        <v>55.617622768271801</v>
      </c>
      <c r="AK10046">
        <v>10.852638474248799</v>
      </c>
      <c r="AL10046">
        <v>95.691317813300699</v>
      </c>
      <c r="AM10046">
        <v>73.720942115097401</v>
      </c>
      <c r="AN10046">
        <v>1.0000000493824299</v>
      </c>
    </row>
    <row r="10047" spans="1:40" x14ac:dyDescent="0.25">
      <c r="A10047" t="str">
        <f>"20190303154036606"</f>
        <v>20190303154036606</v>
      </c>
      <c r="B10047" t="str">
        <f>"1551598836598667"</f>
        <v>1551598836598667</v>
      </c>
      <c r="C10047" t="s">
        <v>40</v>
      </c>
      <c r="D10047">
        <v>5.1787179999999999</v>
      </c>
      <c r="E10047">
        <v>0.62079280000000003</v>
      </c>
      <c r="F10047" t="s">
        <v>68</v>
      </c>
      <c r="G10047">
        <v>-172.4513</v>
      </c>
      <c r="H10047" s="1">
        <v>-2.2952219999999998E-6</v>
      </c>
      <c r="I10047">
        <v>133.46199999999999</v>
      </c>
      <c r="J10047">
        <v>-182.73929999999999</v>
      </c>
      <c r="K10047">
        <v>1.1171739999999999</v>
      </c>
      <c r="L10047">
        <v>130.02889999999999</v>
      </c>
      <c r="M10047">
        <v>0.60510399999999998</v>
      </c>
      <c r="N10047">
        <v>-1.4679029999999999E-2</v>
      </c>
      <c r="O10047">
        <v>0.79601109999999997</v>
      </c>
      <c r="P10047">
        <v>0.79954329999999996</v>
      </c>
      <c r="Q10047">
        <v>-0.11097609999999999</v>
      </c>
      <c r="R10047">
        <v>0.59026679999999998</v>
      </c>
      <c r="S10047">
        <v>2.9700160000000002</v>
      </c>
      <c r="T10047">
        <v>-0.32070579999999999</v>
      </c>
      <c r="U10047">
        <v>1.0052030000000001</v>
      </c>
      <c r="V10047">
        <v>0.27836329999999998</v>
      </c>
      <c r="W10047">
        <v>-9.9628469999999997E-2</v>
      </c>
      <c r="X10047">
        <v>0.95529470000000005</v>
      </c>
      <c r="Y10047">
        <v>0.55510660000000001</v>
      </c>
      <c r="Z10047">
        <v>-9.0881530000000002E-2</v>
      </c>
      <c r="AA10047">
        <v>0.82679939999999996</v>
      </c>
      <c r="AB10047">
        <v>17</v>
      </c>
      <c r="AC10047">
        <v>10.287999999999901</v>
      </c>
      <c r="AD10047">
        <v>-1.1171762952219999</v>
      </c>
      <c r="AE10047">
        <v>3.43310000000002</v>
      </c>
      <c r="AF10047">
        <v>6.0484621262207696</v>
      </c>
      <c r="AG10047">
        <v>-1.1171762952219999</v>
      </c>
      <c r="AH10047">
        <v>8.8650004389328103</v>
      </c>
      <c r="AI10047">
        <v>95.9430474788808</v>
      </c>
      <c r="AJ10047">
        <v>55.6948449221603</v>
      </c>
      <c r="AK10047">
        <v>10.789819727373199</v>
      </c>
      <c r="AL10047">
        <v>95.717776758572498</v>
      </c>
      <c r="AM10047">
        <v>73.754406677797206</v>
      </c>
      <c r="AN10047">
        <v>0.99999996133475899</v>
      </c>
    </row>
    <row r="10048" spans="1:40" x14ac:dyDescent="0.25">
      <c r="A10048" t="str">
        <f>"20190303154036619"</f>
        <v>20190303154036619</v>
      </c>
      <c r="B10048" t="str">
        <f>"1551598836608427"</f>
        <v>1551598836608427</v>
      </c>
      <c r="C10048" t="s">
        <v>40</v>
      </c>
      <c r="D10048">
        <v>5.1661429999999999</v>
      </c>
      <c r="E10048">
        <v>0.62055590000000005</v>
      </c>
      <c r="F10048" t="s">
        <v>68</v>
      </c>
      <c r="G10048">
        <v>-172.52510000000001</v>
      </c>
      <c r="H10048" s="1">
        <v>-2.3336509999999999E-6</v>
      </c>
      <c r="I10048">
        <v>133.4537</v>
      </c>
      <c r="J10048">
        <v>-182.679</v>
      </c>
      <c r="K10048">
        <v>1.1172040000000001</v>
      </c>
      <c r="L10048">
        <v>130.0994</v>
      </c>
      <c r="M10048">
        <v>0.60865760000000002</v>
      </c>
      <c r="N10048">
        <v>-1.4670799999999999E-2</v>
      </c>
      <c r="O10048">
        <v>0.79329740000000004</v>
      </c>
      <c r="P10048">
        <v>0.80203329999999995</v>
      </c>
      <c r="Q10048">
        <v>-0.1109387</v>
      </c>
      <c r="R10048">
        <v>0.58688609999999997</v>
      </c>
      <c r="S10048">
        <v>2.9714809999999998</v>
      </c>
      <c r="T10048">
        <v>-0.3250072</v>
      </c>
      <c r="U10048">
        <v>0.9963379</v>
      </c>
      <c r="V10048">
        <v>0.27813649999999901</v>
      </c>
      <c r="W10048">
        <v>-9.9575239999999995E-2</v>
      </c>
      <c r="X10048">
        <v>0.95536639999999995</v>
      </c>
      <c r="Y10048">
        <v>0.55359899999999995</v>
      </c>
      <c r="Z10048">
        <v>-9.2079980000000006E-2</v>
      </c>
      <c r="AA10048">
        <v>0.82767710000000005</v>
      </c>
      <c r="AB10048">
        <v>17</v>
      </c>
      <c r="AC10048">
        <v>10.153899999999901</v>
      </c>
      <c r="AD10048">
        <v>-1.1172063336509901</v>
      </c>
      <c r="AE10048">
        <v>3.3542999999999901</v>
      </c>
      <c r="AF10048">
        <v>5.9491549737863396</v>
      </c>
      <c r="AG10048">
        <v>-1.1172063336509901</v>
      </c>
      <c r="AH10048">
        <v>8.7466880745209004</v>
      </c>
      <c r="AI10048">
        <v>96.028923663348905</v>
      </c>
      <c r="AJ10048">
        <v>55.777995552960903</v>
      </c>
      <c r="AK10048">
        <v>10.636970770244799</v>
      </c>
      <c r="AL10048">
        <v>95.714711156143395</v>
      </c>
      <c r="AM10048">
        <v>73.768099818927496</v>
      </c>
      <c r="AN10048">
        <v>1.0000000496511301</v>
      </c>
    </row>
    <row r="10049" spans="1:40" x14ac:dyDescent="0.25">
      <c r="A10049" t="str">
        <f>"20190303154036629"</f>
        <v>20190303154036629</v>
      </c>
      <c r="B10049" t="str">
        <f>"1551598836627947"</f>
        <v>1551598836627947</v>
      </c>
      <c r="C10049" t="s">
        <v>40</v>
      </c>
      <c r="D10049">
        <v>5.1588159999999998</v>
      </c>
      <c r="E10049">
        <v>0.61956809999999995</v>
      </c>
      <c r="F10049" t="s">
        <v>68</v>
      </c>
      <c r="G10049">
        <v>-172.51079999999999</v>
      </c>
      <c r="H10049" s="1">
        <v>-2.3315579999999999E-6</v>
      </c>
      <c r="I10049">
        <v>133.4674</v>
      </c>
      <c r="J10049">
        <v>-182.62180000000001</v>
      </c>
      <c r="K10049">
        <v>1.117229</v>
      </c>
      <c r="L10049">
        <v>130.166</v>
      </c>
      <c r="M10049">
        <v>0.61200619999999994</v>
      </c>
      <c r="N10049">
        <v>-1.466309E-2</v>
      </c>
      <c r="O10049">
        <v>0.790717</v>
      </c>
      <c r="P10049">
        <v>0.80436509999999894</v>
      </c>
      <c r="Q10049">
        <v>-0.111012899999999</v>
      </c>
      <c r="R10049">
        <v>0.58367199999999997</v>
      </c>
      <c r="S10049">
        <v>2.97438</v>
      </c>
      <c r="T10049">
        <v>-0.32680340000000002</v>
      </c>
      <c r="U10049">
        <v>0.98519900000000005</v>
      </c>
      <c r="V10049">
        <v>0.27791850000000001</v>
      </c>
      <c r="W10049">
        <v>-9.9634529999999999E-2</v>
      </c>
      <c r="X10049">
        <v>0.95542360000000004</v>
      </c>
      <c r="Y10049">
        <v>0.55306420000000001</v>
      </c>
      <c r="Z10049">
        <v>-9.2529500000000001E-2</v>
      </c>
      <c r="AA10049">
        <v>0.82798449999999901</v>
      </c>
      <c r="AB10049">
        <v>17</v>
      </c>
      <c r="AC10049">
        <v>10.111000000000001</v>
      </c>
      <c r="AD10049">
        <v>-1.117231331558</v>
      </c>
      <c r="AE10049">
        <v>3.3014000000000001</v>
      </c>
      <c r="AF10049">
        <v>5.9098995433332799</v>
      </c>
      <c r="AG10049">
        <v>-1.117231331558</v>
      </c>
      <c r="AH10049">
        <v>8.7033875210037301</v>
      </c>
      <c r="AI10049">
        <v>96.061980496700102</v>
      </c>
      <c r="AJ10049">
        <v>55.822146278549603</v>
      </c>
      <c r="AK10049">
        <v>10.5794174131314</v>
      </c>
      <c r="AL10049">
        <v>95.718125520842094</v>
      </c>
      <c r="AM10049">
        <v>73.781073054451596</v>
      </c>
      <c r="AN10049">
        <v>0.99999999382376503</v>
      </c>
    </row>
    <row r="10050" spans="1:40" x14ac:dyDescent="0.25">
      <c r="A10050" t="str">
        <f>"20190303154036641"</f>
        <v>20190303154036641</v>
      </c>
      <c r="B10050" t="str">
        <f>"1551598836638682"</f>
        <v>1551598836638682</v>
      </c>
      <c r="C10050" t="s">
        <v>40</v>
      </c>
      <c r="D10050">
        <v>5.1808800000000002</v>
      </c>
      <c r="E10050">
        <v>0.61898710000000001</v>
      </c>
      <c r="F10050" t="s">
        <v>68</v>
      </c>
      <c r="G10050">
        <v>-172.7448</v>
      </c>
      <c r="H10050" s="1">
        <v>-2.4430889999999999E-6</v>
      </c>
      <c r="I10050">
        <v>133.41810000000001</v>
      </c>
      <c r="J10050">
        <v>-182.5626</v>
      </c>
      <c r="K10050">
        <v>1.1172550000000001</v>
      </c>
      <c r="L10050">
        <v>130.23410000000001</v>
      </c>
      <c r="M10050">
        <v>0.61541250000000003</v>
      </c>
      <c r="N10050">
        <v>-1.4654729999999999E-2</v>
      </c>
      <c r="O10050">
        <v>0.78806889999999996</v>
      </c>
      <c r="P10050">
        <v>0.80685039999999997</v>
      </c>
      <c r="Q10050">
        <v>-0.1107339</v>
      </c>
      <c r="R10050">
        <v>0.58028480000000005</v>
      </c>
      <c r="S10050">
        <v>2.9729459999999999</v>
      </c>
      <c r="T10050">
        <v>-0.33628000000000002</v>
      </c>
      <c r="U10050">
        <v>0.97885129999999998</v>
      </c>
      <c r="V10050">
        <v>0.27785310000000002</v>
      </c>
      <c r="W10050">
        <v>-9.934258E-2</v>
      </c>
      <c r="X10050">
        <v>0.95547300000000002</v>
      </c>
      <c r="Y10050">
        <v>0.55063339999999905</v>
      </c>
      <c r="Z10050">
        <v>-9.5328060000000006E-2</v>
      </c>
      <c r="AA10050">
        <v>0.82928599999999997</v>
      </c>
      <c r="AB10050">
        <v>17</v>
      </c>
      <c r="AC10050">
        <v>9.8178000000000001</v>
      </c>
      <c r="AD10050">
        <v>-1.1172574430890001</v>
      </c>
      <c r="AE10050">
        <v>3.1839999999999899</v>
      </c>
      <c r="AF10050">
        <v>5.7113259920441397</v>
      </c>
      <c r="AG10050">
        <v>-1.1172574430890001</v>
      </c>
      <c r="AH10050">
        <v>8.4530754739040308</v>
      </c>
      <c r="AI10050">
        <v>96.249970590705502</v>
      </c>
      <c r="AJ10050">
        <v>55.9550468396844</v>
      </c>
      <c r="AK10050">
        <v>10.2626504251608</v>
      </c>
      <c r="AL10050">
        <v>95.701314729946702</v>
      </c>
      <c r="AM10050">
        <v>73.785483442103597</v>
      </c>
      <c r="AN10050">
        <v>0.99999997355483194</v>
      </c>
    </row>
    <row r="10051" spans="1:40" x14ac:dyDescent="0.25">
      <c r="A10051" t="str">
        <f>"20190303154036654"</f>
        <v>20190303154036654</v>
      </c>
      <c r="B10051" t="str">
        <f>"1551598836648443"</f>
        <v>1551598836648443</v>
      </c>
      <c r="C10051" t="s">
        <v>40</v>
      </c>
      <c r="D10051">
        <v>5.151605</v>
      </c>
      <c r="E10051">
        <v>0.61850519999999998</v>
      </c>
      <c r="F10051" t="s">
        <v>68</v>
      </c>
      <c r="G10051">
        <v>-172.74279999999999</v>
      </c>
      <c r="H10051" s="1">
        <v>-2.4500299999999998E-6</v>
      </c>
      <c r="I10051">
        <v>133.43629999999999</v>
      </c>
      <c r="J10051">
        <v>-182.49979999999999</v>
      </c>
      <c r="K10051">
        <v>1.1172850000000001</v>
      </c>
      <c r="L10051">
        <v>130.30600000000001</v>
      </c>
      <c r="M10051">
        <v>0.61899700000000002</v>
      </c>
      <c r="N10051">
        <v>-1.4645969999999999E-2</v>
      </c>
      <c r="O10051">
        <v>0.78525669999999903</v>
      </c>
      <c r="P10051">
        <v>0.80937749999999997</v>
      </c>
      <c r="Q10051">
        <v>-0.11089789999999999</v>
      </c>
      <c r="R10051">
        <v>0.57672330000000005</v>
      </c>
      <c r="S10051">
        <v>2.9741970000000002</v>
      </c>
      <c r="T10051">
        <v>-0.33838960000000001</v>
      </c>
      <c r="U10051">
        <v>0.96987920000000005</v>
      </c>
      <c r="V10051">
        <v>0.27769850000000001</v>
      </c>
      <c r="W10051">
        <v>-9.9492899999999995E-2</v>
      </c>
      <c r="X10051">
        <v>0.95550230000000003</v>
      </c>
      <c r="Y10051">
        <v>0.5491357</v>
      </c>
      <c r="Z10051">
        <v>-9.5832440000000005E-2</v>
      </c>
      <c r="AA10051">
        <v>0.83022050000000003</v>
      </c>
      <c r="AB10051">
        <v>17</v>
      </c>
      <c r="AC10051">
        <v>9.7569999999999997</v>
      </c>
      <c r="AD10051">
        <v>-1.1172874500299901</v>
      </c>
      <c r="AE10051">
        <v>3.1302999999999699</v>
      </c>
      <c r="AF10051">
        <v>5.6574555513343601</v>
      </c>
      <c r="AG10051">
        <v>-1.1172874500299901</v>
      </c>
      <c r="AH10051">
        <v>8.3987017136025504</v>
      </c>
      <c r="AI10051">
        <v>96.296181729579104</v>
      </c>
      <c r="AJ10051">
        <v>56.035369376004603</v>
      </c>
      <c r="AK10051">
        <v>10.1879009140935</v>
      </c>
      <c r="AL10051">
        <v>95.709970335592999</v>
      </c>
      <c r="AM10051">
        <v>73.794502547529603</v>
      </c>
      <c r="AN10051">
        <v>0.99999996967897398</v>
      </c>
    </row>
    <row r="10052" spans="1:40" x14ac:dyDescent="0.25">
      <c r="A10052" t="str">
        <f>"20190303154036665"</f>
        <v>20190303154036665</v>
      </c>
      <c r="B10052" t="str">
        <f>"1551598836658203"</f>
        <v>1551598836658203</v>
      </c>
      <c r="C10052" t="s">
        <v>40</v>
      </c>
      <c r="D10052">
        <v>5.1744339999999998</v>
      </c>
      <c r="E10052">
        <v>0.61850519999999998</v>
      </c>
      <c r="F10052" t="s">
        <v>68</v>
      </c>
      <c r="G10052">
        <v>-172.72559999999999</v>
      </c>
      <c r="H10052" s="1">
        <v>-2.4499590000000002E-6</v>
      </c>
      <c r="I10052">
        <v>133.45830000000001</v>
      </c>
      <c r="J10052">
        <v>-182.4402</v>
      </c>
      <c r="K10052">
        <v>1.117308</v>
      </c>
      <c r="L10052">
        <v>130.37350000000001</v>
      </c>
      <c r="M10052">
        <v>0.62235220000000002</v>
      </c>
      <c r="N10052">
        <v>-1.463762E-2</v>
      </c>
      <c r="O10052">
        <v>0.78260050000000003</v>
      </c>
      <c r="P10052">
        <v>0.81169990000000003</v>
      </c>
      <c r="Q10052">
        <v>-0.111612</v>
      </c>
      <c r="R10052">
        <v>0.57331149999999997</v>
      </c>
      <c r="S10052">
        <v>2.9760439999999999</v>
      </c>
      <c r="T10052">
        <v>-0.34019159999999998</v>
      </c>
      <c r="U10052">
        <v>0.95980829999999995</v>
      </c>
      <c r="V10052">
        <v>0.27755429999999998</v>
      </c>
      <c r="W10052">
        <v>-0.1001961</v>
      </c>
      <c r="X10052">
        <v>0.95547070000000001</v>
      </c>
      <c r="Y10052">
        <v>0.54820440000000004</v>
      </c>
      <c r="Z10052">
        <v>-9.6264909999999995E-2</v>
      </c>
      <c r="AA10052">
        <v>0.83078580000000002</v>
      </c>
      <c r="AB10052">
        <v>17</v>
      </c>
      <c r="AC10052">
        <v>9.7146000000000097</v>
      </c>
      <c r="AD10052">
        <v>-1.1173104499590001</v>
      </c>
      <c r="AE10052">
        <v>3.0848</v>
      </c>
      <c r="AF10052">
        <v>5.6159437436025703</v>
      </c>
      <c r="AG10052">
        <v>-1.1173104499590001</v>
      </c>
      <c r="AH10052">
        <v>8.3605112173268203</v>
      </c>
      <c r="AI10052">
        <v>96.330327335921794</v>
      </c>
      <c r="AJ10052">
        <v>56.1098527496777</v>
      </c>
      <c r="AK10052">
        <v>10.133378241630099</v>
      </c>
      <c r="AL10052">
        <v>95.750463164786396</v>
      </c>
      <c r="AM10052">
        <v>73.801968600621706</v>
      </c>
      <c r="AN10052">
        <v>0.99999995323109303</v>
      </c>
    </row>
    <row r="10053" spans="1:40" x14ac:dyDescent="0.25">
      <c r="A10053" t="str">
        <f>"20190303154036682"</f>
        <v>20190303154036682</v>
      </c>
      <c r="B10053" t="str">
        <f>"1551598836678699"</f>
        <v>1551598836678699</v>
      </c>
      <c r="C10053" t="s">
        <v>40</v>
      </c>
      <c r="D10053">
        <v>4.8811549999999997</v>
      </c>
      <c r="E10053">
        <v>0.6167435</v>
      </c>
      <c r="F10053" t="s">
        <v>68</v>
      </c>
      <c r="G10053">
        <v>-172.69710000000001</v>
      </c>
      <c r="H10053" s="1">
        <v>-2.4394240000000001E-6</v>
      </c>
      <c r="I10053">
        <v>133.47110000000001</v>
      </c>
      <c r="J10053">
        <v>-182.35659999999999</v>
      </c>
      <c r="K10053">
        <v>1.1173299999999999</v>
      </c>
      <c r="L10053">
        <v>130.46729999999999</v>
      </c>
      <c r="M10053">
        <v>0.62700019999999901</v>
      </c>
      <c r="N10053">
        <v>-1.4626159999999999E-2</v>
      </c>
      <c r="O10053">
        <v>0.77888179999999996</v>
      </c>
      <c r="P10053">
        <v>0.81503619999999899</v>
      </c>
      <c r="Q10053">
        <v>-0.1140457</v>
      </c>
      <c r="R10053">
        <v>0.56807540000000001</v>
      </c>
      <c r="S10053">
        <v>2.979813</v>
      </c>
      <c r="T10053">
        <v>-0.34171639999999998</v>
      </c>
      <c r="U10053">
        <v>0.9473724</v>
      </c>
      <c r="V10053">
        <v>0.2777384</v>
      </c>
      <c r="W10053">
        <v>-0.10262490000000001</v>
      </c>
      <c r="X10053">
        <v>0.95515939999999999</v>
      </c>
      <c r="Y10053">
        <v>0.54665129999999995</v>
      </c>
      <c r="Z10053">
        <v>-9.6490010000000001E-2</v>
      </c>
      <c r="AA10053">
        <v>0.83178249999999998</v>
      </c>
      <c r="AB10053">
        <v>17</v>
      </c>
      <c r="AC10053">
        <v>9.65949999999998</v>
      </c>
      <c r="AD10053">
        <v>-1.1173324394239901</v>
      </c>
      <c r="AE10053">
        <v>3.0038000000000098</v>
      </c>
      <c r="AF10053">
        <v>5.5728390606479596</v>
      </c>
      <c r="AG10053">
        <v>-1.1173324394239901</v>
      </c>
      <c r="AH10053">
        <v>8.29580117800311</v>
      </c>
      <c r="AI10053">
        <v>96.3792970447074</v>
      </c>
      <c r="AJ10053">
        <v>56.108127535894198</v>
      </c>
      <c r="AK10053">
        <v>10.0561068093487</v>
      </c>
      <c r="AL10053">
        <v>95.890344147443997</v>
      </c>
      <c r="AM10053">
        <v>73.786783452686706</v>
      </c>
      <c r="AN10053">
        <v>0.99999998417146396</v>
      </c>
    </row>
    <row r="10054" spans="1:40" x14ac:dyDescent="0.25">
      <c r="A10054" t="str">
        <f>"20190303154036697"</f>
        <v>20190303154036697</v>
      </c>
      <c r="B10054" t="str">
        <f>"1551598836688459"</f>
        <v>1551598836688459</v>
      </c>
      <c r="C10054" t="s">
        <v>40</v>
      </c>
      <c r="D10054">
        <v>4.8801610000000002</v>
      </c>
      <c r="E10054">
        <v>0.61562169999999905</v>
      </c>
      <c r="F10054" t="s">
        <v>68</v>
      </c>
      <c r="G10054">
        <v>-171.8965</v>
      </c>
      <c r="H10054" s="1">
        <v>-2.1174700000000001E-6</v>
      </c>
      <c r="I10054">
        <v>133.7749</v>
      </c>
      <c r="J10054">
        <v>-182.27889999999999</v>
      </c>
      <c r="K10054">
        <v>1.117351</v>
      </c>
      <c r="L10054">
        <v>130.55359999999999</v>
      </c>
      <c r="M10054">
        <v>0.63126139999999997</v>
      </c>
      <c r="N10054">
        <v>-1.461603E-2</v>
      </c>
      <c r="O10054">
        <v>0.77543240000000002</v>
      </c>
      <c r="P10054">
        <v>0.81816469999999997</v>
      </c>
      <c r="Q10054">
        <v>-0.11510819999999999</v>
      </c>
      <c r="R10054">
        <v>0.56334419999999996</v>
      </c>
      <c r="S10054">
        <v>2.9795989999999999</v>
      </c>
      <c r="T10054">
        <v>-0.31827499999999997</v>
      </c>
      <c r="U10054">
        <v>0.94216920000000004</v>
      </c>
      <c r="V10054">
        <v>0.27791569999999999</v>
      </c>
      <c r="W10054">
        <v>-0.1036835</v>
      </c>
      <c r="X10054">
        <v>0.95499350000000005</v>
      </c>
      <c r="Y10054">
        <v>0.54417609999999905</v>
      </c>
      <c r="Z10054">
        <v>-8.9114929999999995E-2</v>
      </c>
      <c r="AA10054">
        <v>0.83422479999999999</v>
      </c>
      <c r="AB10054">
        <v>17</v>
      </c>
      <c r="AC10054">
        <v>10.382399999999899</v>
      </c>
      <c r="AD10054">
        <v>-1.11735311747</v>
      </c>
      <c r="AE10054">
        <v>3.22130000000001</v>
      </c>
      <c r="AF10054">
        <v>5.9550942357626697</v>
      </c>
      <c r="AG10054">
        <v>-1.11735311747</v>
      </c>
      <c r="AH10054">
        <v>8.9582319973668394</v>
      </c>
      <c r="AI10054">
        <v>95.930170748227795</v>
      </c>
      <c r="AJ10054">
        <v>56.385541054503001</v>
      </c>
      <c r="AK10054">
        <v>10.8148761372741</v>
      </c>
      <c r="AL10054">
        <v>95.951322698268797</v>
      </c>
      <c r="AM10054">
        <v>73.774307663710204</v>
      </c>
      <c r="AN10054">
        <v>0.99999999476049495</v>
      </c>
    </row>
    <row r="10055" spans="1:40" x14ac:dyDescent="0.25">
      <c r="A10055" t="str">
        <f>"20190303154036711"</f>
        <v>20190303154036711</v>
      </c>
      <c r="B10055" t="str">
        <f>"1551598836698218"</f>
        <v>1551598836698218</v>
      </c>
      <c r="C10055" t="s">
        <v>40</v>
      </c>
      <c r="D10055">
        <v>4.8910770000000001</v>
      </c>
      <c r="E10055">
        <v>0.61453880000000005</v>
      </c>
      <c r="F10055" t="s">
        <v>68</v>
      </c>
      <c r="G10055">
        <v>-171.3501</v>
      </c>
      <c r="H10055" s="1">
        <v>-1.895388E-6</v>
      </c>
      <c r="I10055">
        <v>133.97669999999999</v>
      </c>
      <c r="J10055">
        <v>-182.2055</v>
      </c>
      <c r="K10055">
        <v>1.117367</v>
      </c>
      <c r="L10055">
        <v>130.6343</v>
      </c>
      <c r="M10055">
        <v>0.63523759999999996</v>
      </c>
      <c r="N10055">
        <v>-1.460697E-2</v>
      </c>
      <c r="O10055">
        <v>0.772178699999999</v>
      </c>
      <c r="P10055">
        <v>0.82139530000000005</v>
      </c>
      <c r="Q10055">
        <v>-0.1155743</v>
      </c>
      <c r="R10055">
        <v>0.558527</v>
      </c>
      <c r="S10055">
        <v>2.9809570000000001</v>
      </c>
      <c r="T10055">
        <v>-0.3047724</v>
      </c>
      <c r="U10055">
        <v>0.93371579999999998</v>
      </c>
      <c r="V10055">
        <v>0.27856920000000002</v>
      </c>
      <c r="W10055">
        <v>-0.1041536</v>
      </c>
      <c r="X10055">
        <v>0.95475189999999999</v>
      </c>
      <c r="Y10055">
        <v>0.54257369999999905</v>
      </c>
      <c r="Z10055">
        <v>-8.4825460000000005E-2</v>
      </c>
      <c r="AA10055">
        <v>0.83571439999999997</v>
      </c>
      <c r="AB10055">
        <v>17</v>
      </c>
      <c r="AC10055">
        <v>10.855399999999999</v>
      </c>
      <c r="AD10055">
        <v>-1.1173688953880001</v>
      </c>
      <c r="AE10055">
        <v>3.3423999999999898</v>
      </c>
      <c r="AF10055">
        <v>6.1997595199070599</v>
      </c>
      <c r="AG10055">
        <v>-1.1173688953880001</v>
      </c>
      <c r="AH10055">
        <v>9.3868571858376306</v>
      </c>
      <c r="AI10055">
        <v>95.672386402649494</v>
      </c>
      <c r="AJ10055">
        <v>56.556341544019602</v>
      </c>
      <c r="AK10055">
        <v>11.304805136771201</v>
      </c>
      <c r="AL10055">
        <v>95.978404150441705</v>
      </c>
      <c r="AM10055">
        <v>73.734270578640405</v>
      </c>
      <c r="AN10055">
        <v>0.99999998106760402</v>
      </c>
    </row>
    <row r="10056" spans="1:40" x14ac:dyDescent="0.25">
      <c r="A10056" t="str">
        <f>"20190303154036724"</f>
        <v>20190303154036724</v>
      </c>
      <c r="B10056" t="str">
        <f>"1551598836718714"</f>
        <v>1551598836718714</v>
      </c>
      <c r="C10056" t="s">
        <v>40</v>
      </c>
      <c r="D10056">
        <v>4.859737</v>
      </c>
      <c r="E10056">
        <v>0.61268919999999905</v>
      </c>
      <c r="F10056" t="s">
        <v>68</v>
      </c>
      <c r="G10056">
        <v>-170.74549999999999</v>
      </c>
      <c r="H10056" s="1">
        <v>-1.643492E-6</v>
      </c>
      <c r="I10056">
        <v>134.18629999999999</v>
      </c>
      <c r="J10056">
        <v>-182.13380000000001</v>
      </c>
      <c r="K10056">
        <v>1.1173759999999999</v>
      </c>
      <c r="L10056">
        <v>130.7122</v>
      </c>
      <c r="M10056">
        <v>0.63907259999999999</v>
      </c>
      <c r="N10056">
        <v>-1.459882E-2</v>
      </c>
      <c r="O10056">
        <v>0.76900789999999997</v>
      </c>
      <c r="P10056">
        <v>0.82429370000000002</v>
      </c>
      <c r="Q10056">
        <v>-0.11573650000000001</v>
      </c>
      <c r="R10056">
        <v>0.55420659999999999</v>
      </c>
      <c r="S10056">
        <v>2.9827729999999999</v>
      </c>
      <c r="T10056">
        <v>-0.29082449999999999</v>
      </c>
      <c r="U10056">
        <v>0.92449950000000003</v>
      </c>
      <c r="V10056">
        <v>0.27881489999999998</v>
      </c>
      <c r="W10056">
        <v>-0.1043173</v>
      </c>
      <c r="X10056">
        <v>0.95466229999999996</v>
      </c>
      <c r="Y10056">
        <v>0.54133009999999904</v>
      </c>
      <c r="Z10056">
        <v>-8.0427239999999997E-2</v>
      </c>
      <c r="AA10056">
        <v>0.83695469999999905</v>
      </c>
      <c r="AB10056">
        <v>17</v>
      </c>
      <c r="AC10056">
        <v>11.388299999999999</v>
      </c>
      <c r="AD10056">
        <v>-1.117377643492</v>
      </c>
      <c r="AE10056">
        <v>3.4740999999999902</v>
      </c>
      <c r="AF10056">
        <v>6.4811067039268799</v>
      </c>
      <c r="AG10056">
        <v>-1.117377643492</v>
      </c>
      <c r="AH10056">
        <v>9.8637489358586592</v>
      </c>
      <c r="AI10056">
        <v>95.408255549053493</v>
      </c>
      <c r="AJ10056">
        <v>56.692555747232099</v>
      </c>
      <c r="AK10056">
        <v>11.855244408088501</v>
      </c>
      <c r="AL10056">
        <v>95.987834864723396</v>
      </c>
      <c r="AM10056">
        <v>73.719236551792406</v>
      </c>
      <c r="AN10056">
        <v>0.99999997729129397</v>
      </c>
    </row>
    <row r="10057" spans="1:40" x14ac:dyDescent="0.25">
      <c r="A10057" t="str">
        <f>"20190303154036737"</f>
        <v>20190303154036737</v>
      </c>
      <c r="B10057" t="str">
        <f>"1551598836728475"</f>
        <v>1551598836728475</v>
      </c>
      <c r="C10057" t="s">
        <v>40</v>
      </c>
      <c r="D10057">
        <v>4.8754860000000004</v>
      </c>
      <c r="E10057">
        <v>0.6118808</v>
      </c>
      <c r="F10057" t="s">
        <v>42</v>
      </c>
      <c r="G10057">
        <v>-169.6788</v>
      </c>
      <c r="H10057" s="1">
        <v>-1.450725E-6</v>
      </c>
      <c r="I10057">
        <v>134.56819999999999</v>
      </c>
      <c r="J10057">
        <v>-182.0652</v>
      </c>
      <c r="K10057">
        <v>1.117386</v>
      </c>
      <c r="L10057">
        <v>130.7859</v>
      </c>
      <c r="M10057">
        <v>0.64270119999999997</v>
      </c>
      <c r="N10057">
        <v>-1.4591689999999999E-2</v>
      </c>
      <c r="O10057">
        <v>0.76597799999999905</v>
      </c>
      <c r="P10057">
        <v>0.82692140000000003</v>
      </c>
      <c r="Q10057">
        <v>-0.113792</v>
      </c>
      <c r="R10057">
        <v>0.5506837</v>
      </c>
      <c r="S10057">
        <v>2.9813390000000002</v>
      </c>
      <c r="T10057">
        <v>-0.2674667</v>
      </c>
      <c r="U10057">
        <v>0.92300420000000005</v>
      </c>
      <c r="V10057">
        <v>0.27860299999999999</v>
      </c>
      <c r="W10057">
        <v>-0.1023662</v>
      </c>
      <c r="X10057">
        <v>0.95493539999999999</v>
      </c>
      <c r="Y10057">
        <v>0.53829749999999998</v>
      </c>
      <c r="Z10057">
        <v>-7.3136279999999998E-2</v>
      </c>
      <c r="AA10057">
        <v>0.83957539999999997</v>
      </c>
      <c r="AB10057">
        <v>17</v>
      </c>
      <c r="AC10057">
        <v>12.3864</v>
      </c>
      <c r="AD10057">
        <v>-1.1173874507249999</v>
      </c>
      <c r="AE10057">
        <v>3.78229999999999</v>
      </c>
      <c r="AF10057">
        <v>7.0054247250135901</v>
      </c>
      <c r="AG10057">
        <v>-1.1173874507249999</v>
      </c>
      <c r="AH10057">
        <v>10.7788320974544</v>
      </c>
      <c r="AI10057">
        <v>94.967678142851298</v>
      </c>
      <c r="AJ10057">
        <v>56.9791822869838</v>
      </c>
      <c r="AK10057">
        <v>12.903788268488601</v>
      </c>
      <c r="AL10057">
        <v>95.875442898115196</v>
      </c>
      <c r="AM10057">
        <v>73.735362061601293</v>
      </c>
      <c r="AN10057">
        <v>1.0000000443422901</v>
      </c>
    </row>
    <row r="10058" spans="1:40" x14ac:dyDescent="0.25">
      <c r="A10058" t="str">
        <f>"20190303154036748"</f>
        <v>20190303154036748</v>
      </c>
      <c r="B10058" t="str">
        <f>"1551598836738235"</f>
        <v>1551598836738235</v>
      </c>
      <c r="C10058" t="s">
        <v>40</v>
      </c>
      <c r="D10058">
        <v>4.8497789999999998</v>
      </c>
      <c r="E10058">
        <v>0.61112319999999998</v>
      </c>
      <c r="F10058" t="s">
        <v>42</v>
      </c>
      <c r="G10058">
        <v>-168.75299999999999</v>
      </c>
      <c r="H10058" s="1">
        <v>-1.7245139999999999E-6</v>
      </c>
      <c r="I10058">
        <v>134.87549999999999</v>
      </c>
      <c r="J10058">
        <v>-182.00450000000001</v>
      </c>
      <c r="K10058">
        <v>1.117397</v>
      </c>
      <c r="L10058">
        <v>130.851</v>
      </c>
      <c r="M10058">
        <v>0.64589629999999998</v>
      </c>
      <c r="N10058">
        <v>-1.458572E-2</v>
      </c>
      <c r="O10058">
        <v>0.76328589999999996</v>
      </c>
      <c r="P10058">
        <v>0.82894829999999997</v>
      </c>
      <c r="Q10058">
        <v>-0.1133208</v>
      </c>
      <c r="R10058">
        <v>0.54772540000000003</v>
      </c>
      <c r="S10058">
        <v>2.9831699999999999</v>
      </c>
      <c r="T10058">
        <v>-0.25039719999999999</v>
      </c>
      <c r="U10058">
        <v>0.91642760000000001</v>
      </c>
      <c r="V10058">
        <v>0.27808129999999998</v>
      </c>
      <c r="W10058">
        <v>-0.1018879</v>
      </c>
      <c r="X10058">
        <v>0.95513859999999995</v>
      </c>
      <c r="Y10058">
        <v>0.53706790000000004</v>
      </c>
      <c r="Z10058">
        <v>-6.7822649999999998E-2</v>
      </c>
      <c r="AA10058">
        <v>0.840808</v>
      </c>
      <c r="AB10058">
        <v>17</v>
      </c>
      <c r="AC10058">
        <v>13.2515</v>
      </c>
      <c r="AD10058">
        <v>-1.117398724514</v>
      </c>
      <c r="AE10058">
        <v>4.0244999999999802</v>
      </c>
      <c r="AF10058">
        <v>7.46746048680623</v>
      </c>
      <c r="AG10058">
        <v>-1.117398724514</v>
      </c>
      <c r="AH10058">
        <v>11.556941670963299</v>
      </c>
      <c r="AI10058">
        <v>94.642734389911595</v>
      </c>
      <c r="AJ10058">
        <v>57.131677191720101</v>
      </c>
      <c r="AK10058">
        <v>13.804870402057601</v>
      </c>
      <c r="AL10058">
        <v>95.847894256412303</v>
      </c>
      <c r="AM10058">
        <v>73.767484910261402</v>
      </c>
      <c r="AN10058">
        <v>1.0000000493930199</v>
      </c>
    </row>
    <row r="10059" spans="1:40" x14ac:dyDescent="0.25">
      <c r="A10059" t="str">
        <f>"20190303154036760"</f>
        <v>20190303154036760</v>
      </c>
      <c r="B10059" t="str">
        <f>"1551598836758731"</f>
        <v>1551598836758731</v>
      </c>
      <c r="C10059" t="s">
        <v>40</v>
      </c>
      <c r="D10059">
        <v>4.8687709999999997</v>
      </c>
      <c r="E10059">
        <v>0.60969319999999905</v>
      </c>
      <c r="F10059" t="s">
        <v>42</v>
      </c>
      <c r="G10059">
        <v>-168.114</v>
      </c>
      <c r="H10059" s="1">
        <v>-1.9115510000000002E-6</v>
      </c>
      <c r="I10059">
        <v>135.09469999999999</v>
      </c>
      <c r="J10059">
        <v>-181.9444</v>
      </c>
      <c r="K10059">
        <v>1.1174040000000001</v>
      </c>
      <c r="L10059">
        <v>130.9145</v>
      </c>
      <c r="M10059">
        <v>0.64902159999999998</v>
      </c>
      <c r="N10059">
        <v>-1.4580549999999999E-2</v>
      </c>
      <c r="O10059">
        <v>0.76063019999999903</v>
      </c>
      <c r="P10059">
        <v>0.83077500000000004</v>
      </c>
      <c r="Q10059">
        <v>-0.1130833</v>
      </c>
      <c r="R10059">
        <v>0.54500009999999999</v>
      </c>
      <c r="S10059">
        <v>2.9838710000000002</v>
      </c>
      <c r="T10059">
        <v>-0.24003240000000001</v>
      </c>
      <c r="U10059">
        <v>0.91160580000000002</v>
      </c>
      <c r="V10059">
        <v>0.277329299999999</v>
      </c>
      <c r="W10059">
        <v>-0.1016423</v>
      </c>
      <c r="X10059">
        <v>0.95538330000000005</v>
      </c>
      <c r="Y10059">
        <v>0.53516949999999996</v>
      </c>
      <c r="Z10059">
        <v>-6.4545249999999998E-2</v>
      </c>
      <c r="AA10059">
        <v>0.8422752</v>
      </c>
      <c r="AB10059">
        <v>17</v>
      </c>
      <c r="AC10059">
        <v>13.8303999999999</v>
      </c>
      <c r="AD10059">
        <v>-1.117405911551</v>
      </c>
      <c r="AE10059">
        <v>4.1801999999999797</v>
      </c>
      <c r="AF10059">
        <v>7.7611889722236098</v>
      </c>
      <c r="AG10059">
        <v>-1.117405911551</v>
      </c>
      <c r="AH10059">
        <v>12.084825894088</v>
      </c>
      <c r="AI10059">
        <v>94.448689037635404</v>
      </c>
      <c r="AJ10059">
        <v>57.290369918551498</v>
      </c>
      <c r="AK10059">
        <v>14.405820598777201</v>
      </c>
      <c r="AL10059">
        <v>95.833749420003898</v>
      </c>
      <c r="AM10059">
        <v>73.813008650385797</v>
      </c>
      <c r="AN10059">
        <v>0.99999997385333395</v>
      </c>
    </row>
    <row r="10060" spans="1:40" x14ac:dyDescent="0.25">
      <c r="A10060" t="str">
        <f>"20190303154036772"</f>
        <v>20190303154036772</v>
      </c>
      <c r="B10060" t="str">
        <f>"1551598836768491"</f>
        <v>1551598836768491</v>
      </c>
      <c r="C10060" t="s">
        <v>40</v>
      </c>
      <c r="D10060">
        <v>4.8617499999999998</v>
      </c>
      <c r="E10060">
        <v>0.60894300000000001</v>
      </c>
      <c r="F10060" t="s">
        <v>42</v>
      </c>
      <c r="G10060">
        <v>-167.16540000000001</v>
      </c>
      <c r="H10060" s="1">
        <v>-2.1848759999999998E-6</v>
      </c>
      <c r="I10060">
        <v>135.4365</v>
      </c>
      <c r="J10060">
        <v>-181.8837</v>
      </c>
      <c r="K10060">
        <v>1.1174109999999999</v>
      </c>
      <c r="L10060">
        <v>130.97829999999999</v>
      </c>
      <c r="M10060">
        <v>0.65215979999999996</v>
      </c>
      <c r="N10060">
        <v>-1.457553E-2</v>
      </c>
      <c r="O10060">
        <v>0.75794139999999999</v>
      </c>
      <c r="P10060">
        <v>0.8328527</v>
      </c>
      <c r="Q10060">
        <v>-0.1130948</v>
      </c>
      <c r="R10060">
        <v>0.54181729999999995</v>
      </c>
      <c r="S10060">
        <v>2.9818570000000002</v>
      </c>
      <c r="T10060">
        <v>-0.22545209999999999</v>
      </c>
      <c r="U10060">
        <v>0.91238399999999997</v>
      </c>
      <c r="V10060">
        <v>0.27703650000000002</v>
      </c>
      <c r="W10060">
        <v>-0.1016524</v>
      </c>
      <c r="X10060">
        <v>0.95546719999999896</v>
      </c>
      <c r="Y10060">
        <v>0.53166289999999905</v>
      </c>
      <c r="Z10060">
        <v>-5.9968470000000003E-2</v>
      </c>
      <c r="AA10060">
        <v>0.84483030000000003</v>
      </c>
      <c r="AB10060">
        <v>17</v>
      </c>
      <c r="AC10060">
        <v>14.718299999999999</v>
      </c>
      <c r="AD10060">
        <v>-1.1174131848760001</v>
      </c>
      <c r="AE10060">
        <v>4.4581999999999997</v>
      </c>
      <c r="AF10060">
        <v>8.2057046354655903</v>
      </c>
      <c r="AG10060">
        <v>-1.1174131848760001</v>
      </c>
      <c r="AH10060">
        <v>12.9109537526348</v>
      </c>
      <c r="AI10060">
        <v>94.177663784840206</v>
      </c>
      <c r="AJ10060">
        <v>57.5615331831874</v>
      </c>
      <c r="AK10060">
        <v>15.338674244957099</v>
      </c>
      <c r="AL10060">
        <v>95.834330958353505</v>
      </c>
      <c r="AM10060">
        <v>73.830550758835201</v>
      </c>
      <c r="AN10060">
        <v>1.0000000015169199</v>
      </c>
    </row>
    <row r="10061" spans="1:40" x14ac:dyDescent="0.25">
      <c r="A10061" t="str">
        <f>"20190303154036783"</f>
        <v>20190303154036783</v>
      </c>
      <c r="B10061" t="str">
        <f>"1551598836778251"</f>
        <v>1551598836778251</v>
      </c>
      <c r="C10061" t="s">
        <v>40</v>
      </c>
      <c r="D10061">
        <v>4.8749900000000004</v>
      </c>
      <c r="E10061">
        <v>0.60823249999999995</v>
      </c>
      <c r="F10061" t="s">
        <v>42</v>
      </c>
      <c r="G10061">
        <v>-166.7835</v>
      </c>
      <c r="H10061" s="1">
        <v>-2.2968530000000002E-6</v>
      </c>
      <c r="I10061">
        <v>135.5669</v>
      </c>
      <c r="J10061">
        <v>-181.82490000000001</v>
      </c>
      <c r="K10061">
        <v>1.1174139999999999</v>
      </c>
      <c r="L10061">
        <v>131.0395</v>
      </c>
      <c r="M10061">
        <v>0.65517590000000003</v>
      </c>
      <c r="N10061">
        <v>-1.457115E-2</v>
      </c>
      <c r="O10061">
        <v>0.75533589999999995</v>
      </c>
      <c r="P10061">
        <v>0.83478960000000002</v>
      </c>
      <c r="Q10061">
        <v>-0.1132296</v>
      </c>
      <c r="R10061">
        <v>0.5387999</v>
      </c>
      <c r="S10061">
        <v>2.982513</v>
      </c>
      <c r="T10061">
        <v>-0.2207056</v>
      </c>
      <c r="U10061">
        <v>0.90631099999999998</v>
      </c>
      <c r="V10061">
        <v>0.27667160000000002</v>
      </c>
      <c r="W10061">
        <v>-0.1017854</v>
      </c>
      <c r="X10061">
        <v>0.95555880000000004</v>
      </c>
      <c r="Y10061">
        <v>0.5300241</v>
      </c>
      <c r="Z10061">
        <v>-5.8431619999999997E-2</v>
      </c>
      <c r="AA10061">
        <v>0.84596709999999997</v>
      </c>
      <c r="AB10061">
        <v>17</v>
      </c>
      <c r="AC10061">
        <v>15.041399999999999</v>
      </c>
      <c r="AD10061">
        <v>-1.1174162968529999</v>
      </c>
      <c r="AE10061">
        <v>4.5274000000000001</v>
      </c>
      <c r="AF10061">
        <v>8.3536836286579703</v>
      </c>
      <c r="AG10061">
        <v>-1.1174162968529999</v>
      </c>
      <c r="AH10061">
        <v>13.2090357254566</v>
      </c>
      <c r="AI10061">
        <v>94.089504812336699</v>
      </c>
      <c r="AJ10061">
        <v>57.689842703656502</v>
      </c>
      <c r="AK10061">
        <v>15.668799384272299</v>
      </c>
      <c r="AL10061">
        <v>95.841990855118894</v>
      </c>
      <c r="AM10061">
        <v>73.852204950198796</v>
      </c>
      <c r="AN10061">
        <v>1.0000000310785699</v>
      </c>
    </row>
    <row r="10062" spans="1:40" x14ac:dyDescent="0.25">
      <c r="A10062" t="str">
        <f>"20190303154036794"</f>
        <v>20190303154036794</v>
      </c>
      <c r="B10062" t="str">
        <f>"1551598836788011"</f>
        <v>1551598836788011</v>
      </c>
      <c r="C10062" t="s">
        <v>40</v>
      </c>
      <c r="D10062">
        <v>4.8518660000000002</v>
      </c>
      <c r="E10062">
        <v>0.60758350000000005</v>
      </c>
      <c r="F10062" t="s">
        <v>42</v>
      </c>
      <c r="G10062">
        <v>-166.54759999999999</v>
      </c>
      <c r="H10062" s="1">
        <v>-2.3652479999999999E-6</v>
      </c>
      <c r="I10062">
        <v>135.65020000000001</v>
      </c>
      <c r="J10062">
        <v>-181.76310000000001</v>
      </c>
      <c r="K10062">
        <v>1.1174200000000001</v>
      </c>
      <c r="L10062">
        <v>131.10329999999999</v>
      </c>
      <c r="M10062">
        <v>0.65831949999999995</v>
      </c>
      <c r="N10062">
        <v>-1.4566819999999999E-2</v>
      </c>
      <c r="O10062">
        <v>0.75259770000000004</v>
      </c>
      <c r="P10062">
        <v>0.83705090000000004</v>
      </c>
      <c r="Q10062">
        <v>-0.113051</v>
      </c>
      <c r="R10062">
        <v>0.53531799999999996</v>
      </c>
      <c r="S10062">
        <v>2.983047</v>
      </c>
      <c r="T10062">
        <v>-0.2181882</v>
      </c>
      <c r="U10062">
        <v>0.90029910000000002</v>
      </c>
      <c r="V10062">
        <v>0.27668799999999999</v>
      </c>
      <c r="W10062">
        <v>-0.1016093</v>
      </c>
      <c r="X10062">
        <v>0.9555728</v>
      </c>
      <c r="Y10062">
        <v>0.5281534</v>
      </c>
      <c r="Z10062">
        <v>-5.7559840000000001E-2</v>
      </c>
      <c r="AA10062">
        <v>0.8471959</v>
      </c>
      <c r="AB10062">
        <v>17</v>
      </c>
      <c r="AC10062">
        <v>15.2155</v>
      </c>
      <c r="AD10062">
        <v>-1.117422365248</v>
      </c>
      <c r="AE10062">
        <v>4.5469000000000204</v>
      </c>
      <c r="AF10062">
        <v>8.41705972291326</v>
      </c>
      <c r="AG10062">
        <v>-1.117422365248</v>
      </c>
      <c r="AH10062">
        <v>13.373855284095001</v>
      </c>
      <c r="AI10062">
        <v>94.044849838373395</v>
      </c>
      <c r="AJ10062">
        <v>57.815053660786504</v>
      </c>
      <c r="AK10062">
        <v>15.8415760668363</v>
      </c>
      <c r="AL10062">
        <v>95.831848445927903</v>
      </c>
      <c r="AM10062">
        <v>73.851521924179707</v>
      </c>
      <c r="AN10062">
        <v>1.0000000376451601</v>
      </c>
    </row>
    <row r="10063" spans="1:40" x14ac:dyDescent="0.25">
      <c r="A10063" t="str">
        <f>"20190303154036807"</f>
        <v>20190303154036807</v>
      </c>
      <c r="B10063" t="str">
        <f>"1551598836797771"</f>
        <v>1551598836797771</v>
      </c>
      <c r="C10063" t="s">
        <v>40</v>
      </c>
      <c r="D10063">
        <v>4.9200359999999996</v>
      </c>
      <c r="E10063">
        <v>0.60650459999999995</v>
      </c>
      <c r="F10063" t="s">
        <v>42</v>
      </c>
      <c r="G10063">
        <v>-166.2432</v>
      </c>
      <c r="H10063" s="1">
        <v>-2.4573510000000001E-6</v>
      </c>
      <c r="I10063">
        <v>135.74350000000001</v>
      </c>
      <c r="J10063">
        <v>-181.6902</v>
      </c>
      <c r="K10063">
        <v>1.117426</v>
      </c>
      <c r="L10063">
        <v>131.178</v>
      </c>
      <c r="M10063">
        <v>0.66200599999999998</v>
      </c>
      <c r="N10063">
        <v>-1.456207E-2</v>
      </c>
      <c r="O10063">
        <v>0.74935719999999995</v>
      </c>
      <c r="P10063">
        <v>0.83965650000000003</v>
      </c>
      <c r="Q10063">
        <v>-0.11317729999999999</v>
      </c>
      <c r="R10063">
        <v>0.53119490000000003</v>
      </c>
      <c r="S10063">
        <v>2.9843600000000001</v>
      </c>
      <c r="T10063">
        <v>-0.21487139999999999</v>
      </c>
      <c r="U10063">
        <v>0.89227289999999904</v>
      </c>
      <c r="V10063">
        <v>0.27668350000000003</v>
      </c>
      <c r="W10063">
        <v>-0.1017388</v>
      </c>
      <c r="X10063">
        <v>0.95556030000000003</v>
      </c>
      <c r="Y10063">
        <v>0.52625619999999995</v>
      </c>
      <c r="Z10063">
        <v>-5.643244E-2</v>
      </c>
      <c r="AA10063">
        <v>0.84845139999999997</v>
      </c>
      <c r="AB10063">
        <v>17</v>
      </c>
      <c r="AC10063">
        <v>15.446999999999999</v>
      </c>
      <c r="AD10063">
        <v>-1.117428457351</v>
      </c>
      <c r="AE10063">
        <v>4.5655000000000099</v>
      </c>
      <c r="AF10063">
        <v>8.5128693240260596</v>
      </c>
      <c r="AG10063">
        <v>-1.117428457351</v>
      </c>
      <c r="AH10063">
        <v>13.5832718858553</v>
      </c>
      <c r="AI10063">
        <v>93.987453592418106</v>
      </c>
      <c r="AJ10063">
        <v>57.923922663723403</v>
      </c>
      <c r="AK10063">
        <v>16.069314410089401</v>
      </c>
      <c r="AL10063">
        <v>95.839307034612901</v>
      </c>
      <c r="AM10063">
        <v>73.851570640907099</v>
      </c>
      <c r="AN10063">
        <v>1.0000000147668899</v>
      </c>
    </row>
    <row r="10064" spans="1:40" x14ac:dyDescent="0.25">
      <c r="A10064" t="str">
        <f>"20190303154036822"</f>
        <v>20190303154036822</v>
      </c>
      <c r="B10064" t="str">
        <f>"1551598836818266"</f>
        <v>1551598836818266</v>
      </c>
      <c r="C10064" t="s">
        <v>40</v>
      </c>
      <c r="D10064">
        <v>4.9159739999999896</v>
      </c>
      <c r="E10064">
        <v>0.60457109999999903</v>
      </c>
      <c r="F10064" t="s">
        <v>42</v>
      </c>
      <c r="G10064">
        <v>-166.11449999999999</v>
      </c>
      <c r="H10064" s="1">
        <v>-2.4948260000000001E-6</v>
      </c>
      <c r="I10064">
        <v>135.79589999999999</v>
      </c>
      <c r="J10064">
        <v>-181.6183</v>
      </c>
      <c r="K10064">
        <v>1.1174360000000001</v>
      </c>
      <c r="L10064">
        <v>131.2508</v>
      </c>
      <c r="M10064">
        <v>0.66560959999999902</v>
      </c>
      <c r="N10064">
        <v>-1.4557769999999999E-2</v>
      </c>
      <c r="O10064">
        <v>0.74615810000000005</v>
      </c>
      <c r="P10064">
        <v>0.84224339999999998</v>
      </c>
      <c r="Q10064">
        <v>-0.1130034</v>
      </c>
      <c r="R10064">
        <v>0.5271207</v>
      </c>
      <c r="S10064">
        <v>2.9842680000000001</v>
      </c>
      <c r="T10064">
        <v>-0.21409700000000001</v>
      </c>
      <c r="U10064">
        <v>0.88478089999999998</v>
      </c>
      <c r="V10064">
        <v>0.27672740000000001</v>
      </c>
      <c r="W10064">
        <v>-0.1015673</v>
      </c>
      <c r="X10064">
        <v>0.95556580000000002</v>
      </c>
      <c r="Y10064">
        <v>0.52412959999999997</v>
      </c>
      <c r="Z10064">
        <v>-5.6086089999999998E-2</v>
      </c>
      <c r="AA10064">
        <v>0.84978960000000003</v>
      </c>
      <c r="AB10064">
        <v>17</v>
      </c>
      <c r="AC10064">
        <v>15.5038</v>
      </c>
      <c r="AD10064">
        <v>-1.1174384948260001</v>
      </c>
      <c r="AE10064">
        <v>4.5450999999999899</v>
      </c>
      <c r="AF10064">
        <v>8.5032522444723107</v>
      </c>
      <c r="AG10064">
        <v>-1.1174384948260001</v>
      </c>
      <c r="AH10064">
        <v>13.647011331768001</v>
      </c>
      <c r="AI10064">
        <v>93.975387547291206</v>
      </c>
      <c r="AJ10064">
        <v>58.073572834925102</v>
      </c>
      <c r="AK10064">
        <v>16.118153920727</v>
      </c>
      <c r="AL10064">
        <v>95.829429821403295</v>
      </c>
      <c r="AM10064">
        <v>73.849230139847506</v>
      </c>
      <c r="AN10064">
        <v>0.99999998423484404</v>
      </c>
    </row>
    <row r="10065" spans="1:40" x14ac:dyDescent="0.25">
      <c r="A10065" t="str">
        <f>"20190303154036837"</f>
        <v>20190303154036837</v>
      </c>
      <c r="B10065" t="str">
        <f>"1551598836828027"</f>
        <v>1551598836828027</v>
      </c>
      <c r="C10065" t="s">
        <v>40</v>
      </c>
      <c r="D10065">
        <v>4.914307</v>
      </c>
      <c r="E10065">
        <v>0.60363350000000005</v>
      </c>
      <c r="F10065" t="s">
        <v>42</v>
      </c>
      <c r="G10065">
        <v>-165.81229999999999</v>
      </c>
      <c r="H10065" s="1">
        <v>-2.6127699999999998E-6</v>
      </c>
      <c r="I10065">
        <v>135.93639999999999</v>
      </c>
      <c r="J10065">
        <v>-181.52889999999999</v>
      </c>
      <c r="K10065">
        <v>1.117443</v>
      </c>
      <c r="L10065">
        <v>131.34039999999999</v>
      </c>
      <c r="M10065">
        <v>0.670045</v>
      </c>
      <c r="N10065">
        <v>-1.455269E-2</v>
      </c>
      <c r="O10065">
        <v>0.7421778</v>
      </c>
      <c r="P10065">
        <v>0.84565040000000002</v>
      </c>
      <c r="Q10065">
        <v>-0.11238190000000001</v>
      </c>
      <c r="R10065">
        <v>0.52177169999999995</v>
      </c>
      <c r="S10065">
        <v>2.9806520000000001</v>
      </c>
      <c r="T10065">
        <v>-0.21072440000000001</v>
      </c>
      <c r="U10065">
        <v>0.88359069999999995</v>
      </c>
      <c r="V10065">
        <v>0.27715640000000002</v>
      </c>
      <c r="W10065">
        <v>-0.100952</v>
      </c>
      <c r="X10065">
        <v>0.95550670000000004</v>
      </c>
      <c r="Y10065">
        <v>0.51915869999999997</v>
      </c>
      <c r="Z10065">
        <v>-5.4875779999999999E-2</v>
      </c>
      <c r="AA10065">
        <v>0.85291430000000001</v>
      </c>
      <c r="AB10065">
        <v>17</v>
      </c>
      <c r="AC10065">
        <v>15.7166</v>
      </c>
      <c r="AD10065">
        <v>-1.1174456127700001</v>
      </c>
      <c r="AE10065">
        <v>4.5960000000000001</v>
      </c>
      <c r="AF10065">
        <v>8.5460955642232292</v>
      </c>
      <c r="AG10065">
        <v>-1.1174456127700001</v>
      </c>
      <c r="AH10065">
        <v>13.8787229308146</v>
      </c>
      <c r="AI10065">
        <v>93.922032645242894</v>
      </c>
      <c r="AJ10065">
        <v>58.376501666861003</v>
      </c>
      <c r="AK10065">
        <v>16.337177977871601</v>
      </c>
      <c r="AL10065">
        <v>95.793993406829699</v>
      </c>
      <c r="AM10065">
        <v>73.824552351945997</v>
      </c>
      <c r="AN10065">
        <v>1.00000001505492</v>
      </c>
    </row>
    <row r="10066" spans="1:40" x14ac:dyDescent="0.25">
      <c r="A10066" t="str">
        <f>"20190303154036851"</f>
        <v>20190303154036851</v>
      </c>
      <c r="B10066" t="str">
        <f>"1551598836848522"</f>
        <v>1551598836848522</v>
      </c>
      <c r="C10066" t="s">
        <v>40</v>
      </c>
      <c r="D10066">
        <v>4.9126260000000004</v>
      </c>
      <c r="E10066">
        <v>0.60197529999999999</v>
      </c>
      <c r="F10066" t="s">
        <v>42</v>
      </c>
      <c r="G10066">
        <v>-165.42169999999999</v>
      </c>
      <c r="H10066" s="1">
        <v>-2.7781519999999999E-6</v>
      </c>
      <c r="I10066">
        <v>136.04509999999999</v>
      </c>
      <c r="J10066">
        <v>-181.45930000000001</v>
      </c>
      <c r="K10066">
        <v>1.1174500000000001</v>
      </c>
      <c r="L10066">
        <v>131.40950000000001</v>
      </c>
      <c r="M10066">
        <v>0.67347349999999995</v>
      </c>
      <c r="N10066">
        <v>-1.454892E-2</v>
      </c>
      <c r="O10066">
        <v>0.73906819999999995</v>
      </c>
      <c r="P10066">
        <v>0.84813280000000002</v>
      </c>
      <c r="Q10066">
        <v>-0.1116601</v>
      </c>
      <c r="R10066">
        <v>0.51788299999999998</v>
      </c>
      <c r="S10066">
        <v>2.9825439999999999</v>
      </c>
      <c r="T10066">
        <v>-0.2069144</v>
      </c>
      <c r="U10066">
        <v>0.87117</v>
      </c>
      <c r="V10066">
        <v>0.27719880000000002</v>
      </c>
      <c r="W10066">
        <v>-0.10023020000000001</v>
      </c>
      <c r="X10066">
        <v>0.95557029999999998</v>
      </c>
      <c r="Y10066">
        <v>0.51870070000000001</v>
      </c>
      <c r="Z10066">
        <v>-5.3676950000000001E-2</v>
      </c>
      <c r="AA10066">
        <v>0.85326919999999995</v>
      </c>
      <c r="AB10066">
        <v>17</v>
      </c>
      <c r="AC10066">
        <v>16.037600000000001</v>
      </c>
      <c r="AD10066">
        <v>-1.1174527781520001</v>
      </c>
      <c r="AE10066">
        <v>4.6355999999999797</v>
      </c>
      <c r="AF10066">
        <v>8.6929014528384201</v>
      </c>
      <c r="AG10066">
        <v>-1.1174527781520001</v>
      </c>
      <c r="AH10066">
        <v>14.164962016392099</v>
      </c>
      <c r="AI10066">
        <v>93.846598244406394</v>
      </c>
      <c r="AJ10066">
        <v>58.462958281128799</v>
      </c>
      <c r="AK10066">
        <v>16.6571721881594</v>
      </c>
      <c r="AL10066">
        <v>95.7524269529967</v>
      </c>
      <c r="AM10066">
        <v>73.823227657163997</v>
      </c>
      <c r="AN10066">
        <v>0.999999932977782</v>
      </c>
    </row>
    <row r="10067" spans="1:40" x14ac:dyDescent="0.25">
      <c r="A10067" t="str">
        <f>"20190303154036862"</f>
        <v>20190303154036862</v>
      </c>
      <c r="B10067" t="str">
        <f>"1551598836858282"</f>
        <v>1551598836858282</v>
      </c>
      <c r="C10067" t="s">
        <v>40</v>
      </c>
      <c r="D10067">
        <v>4.9234249999999999</v>
      </c>
      <c r="E10067">
        <v>0.60120419999999997</v>
      </c>
      <c r="F10067" t="s">
        <v>42</v>
      </c>
      <c r="G10067">
        <v>-164.88310000000001</v>
      </c>
      <c r="H10067" s="1">
        <v>-2.9976380000000001E-6</v>
      </c>
      <c r="I10067">
        <v>136.24289999999999</v>
      </c>
      <c r="J10067">
        <v>-181.3964</v>
      </c>
      <c r="K10067">
        <v>1.1174580000000001</v>
      </c>
      <c r="L10067">
        <v>131.47130000000001</v>
      </c>
      <c r="M10067">
        <v>0.67654300000000001</v>
      </c>
      <c r="N10067">
        <v>-1.454572E-2</v>
      </c>
      <c r="O10067">
        <v>0.73625949999999996</v>
      </c>
      <c r="P10067">
        <v>0.85033910000000001</v>
      </c>
      <c r="Q10067">
        <v>-0.11140410000000001</v>
      </c>
      <c r="R10067">
        <v>0.51430770000000003</v>
      </c>
      <c r="S10067">
        <v>2.9801329999999999</v>
      </c>
      <c r="T10067">
        <v>-0.2009001</v>
      </c>
      <c r="U10067">
        <v>0.86895750000000005</v>
      </c>
      <c r="V10067">
        <v>0.27727400000000002</v>
      </c>
      <c r="W10067">
        <v>-9.9974359999999998E-2</v>
      </c>
      <c r="X10067">
        <v>0.95557530000000002</v>
      </c>
      <c r="Y10067">
        <v>0.51566469999999998</v>
      </c>
      <c r="Z10067">
        <v>-5.1771230000000001E-2</v>
      </c>
      <c r="AA10067">
        <v>0.85522489999999995</v>
      </c>
      <c r="AB10067">
        <v>17</v>
      </c>
      <c r="AC10067">
        <v>16.513299999999902</v>
      </c>
      <c r="AD10067">
        <v>-1.1174609976379899</v>
      </c>
      <c r="AE10067">
        <v>4.7715999999999701</v>
      </c>
      <c r="AF10067">
        <v>8.8932396413762298</v>
      </c>
      <c r="AG10067">
        <v>-1.1174609976379899</v>
      </c>
      <c r="AH10067">
        <v>14.624836339530299</v>
      </c>
      <c r="AI10067">
        <v>93.735282373929095</v>
      </c>
      <c r="AJ10067">
        <v>58.696568406232103</v>
      </c>
      <c r="AK10067">
        <v>17.152966750921902</v>
      </c>
      <c r="AL10067">
        <v>95.737694308977893</v>
      </c>
      <c r="AM10067">
        <v>73.8191489871203</v>
      </c>
      <c r="AN10067">
        <v>0.99999994885174803</v>
      </c>
    </row>
    <row r="10068" spans="1:40" x14ac:dyDescent="0.25">
      <c r="A10068" t="str">
        <f>"20190303154036873"</f>
        <v>20190303154036873</v>
      </c>
      <c r="B10068" t="str">
        <f>"1551598836868043"</f>
        <v>1551598836868043</v>
      </c>
      <c r="C10068" t="s">
        <v>40</v>
      </c>
      <c r="D10068">
        <v>4.9059809999999997</v>
      </c>
      <c r="E10068">
        <v>0.60043500000000005</v>
      </c>
      <c r="F10068" t="s">
        <v>42</v>
      </c>
      <c r="G10068">
        <v>-164.68119999999999</v>
      </c>
      <c r="H10068" s="1">
        <v>-3.082328E-6</v>
      </c>
      <c r="I10068">
        <v>136.30359999999999</v>
      </c>
      <c r="J10068">
        <v>-181.33600000000001</v>
      </c>
      <c r="K10068">
        <v>1.117462</v>
      </c>
      <c r="L10068">
        <v>131.53030000000001</v>
      </c>
      <c r="M10068">
        <v>0.6794753</v>
      </c>
      <c r="N10068">
        <v>-1.4542660000000001E-2</v>
      </c>
      <c r="O10068">
        <v>0.73355419999999905</v>
      </c>
      <c r="P10068">
        <v>0.85265069999999998</v>
      </c>
      <c r="Q10068">
        <v>-0.1110516</v>
      </c>
      <c r="R10068">
        <v>0.51054330000000003</v>
      </c>
      <c r="S10068">
        <v>2.9807130000000002</v>
      </c>
      <c r="T10068">
        <v>-0.19926920000000001</v>
      </c>
      <c r="U10068">
        <v>0.86170959999999996</v>
      </c>
      <c r="V10068">
        <v>0.2777232</v>
      </c>
      <c r="W10068">
        <v>-9.9626549999999994E-2</v>
      </c>
      <c r="X10068">
        <v>0.95548120000000003</v>
      </c>
      <c r="Y10068">
        <v>0.51424499999999995</v>
      </c>
      <c r="Z10068">
        <v>-5.1199250000000002E-2</v>
      </c>
      <c r="AA10068">
        <v>0.85611369999999898</v>
      </c>
      <c r="AB10068">
        <v>17</v>
      </c>
      <c r="AC10068">
        <v>16.654799999999899</v>
      </c>
      <c r="AD10068">
        <v>-1.1174650823279999</v>
      </c>
      <c r="AE10068">
        <v>4.7732999999999697</v>
      </c>
      <c r="AF10068">
        <v>8.9376268566532993</v>
      </c>
      <c r="AG10068">
        <v>-1.1174650823279999</v>
      </c>
      <c r="AH10068">
        <v>14.758171439647899</v>
      </c>
      <c r="AI10068">
        <v>93.705715780652397</v>
      </c>
      <c r="AJ10068">
        <v>58.800680204816103</v>
      </c>
      <c r="AK10068">
        <v>17.2896942217331</v>
      </c>
      <c r="AL10068">
        <v>95.717666125567405</v>
      </c>
      <c r="AM10068">
        <v>73.7927976952531</v>
      </c>
      <c r="AN10068">
        <v>0.99999997441829103</v>
      </c>
    </row>
    <row r="10069" spans="1:40" x14ac:dyDescent="0.25">
      <c r="A10069" t="str">
        <f>"20190303154036886"</f>
        <v>20190303154036886</v>
      </c>
      <c r="B10069" t="str">
        <f>"1551598836877804"</f>
        <v>1551598836877804</v>
      </c>
      <c r="C10069" t="s">
        <v>40</v>
      </c>
      <c r="D10069">
        <v>4.8896689999999996</v>
      </c>
      <c r="E10069">
        <v>0.59967959999999998</v>
      </c>
      <c r="F10069" t="s">
        <v>42</v>
      </c>
      <c r="G10069">
        <v>-164.45830000000001</v>
      </c>
      <c r="H10069" s="1">
        <v>-3.1772249999999999E-6</v>
      </c>
      <c r="I10069">
        <v>136.36269999999999</v>
      </c>
      <c r="J10069">
        <v>-181.26499999999999</v>
      </c>
      <c r="K10069">
        <v>1.11747</v>
      </c>
      <c r="L10069">
        <v>131.59889999999999</v>
      </c>
      <c r="M10069">
        <v>0.68288990000000005</v>
      </c>
      <c r="N10069">
        <v>-1.4539079999999999E-2</v>
      </c>
      <c r="O10069">
        <v>0.73037659999999904</v>
      </c>
      <c r="P10069">
        <v>0.85500499999999902</v>
      </c>
      <c r="Q10069">
        <v>-0.11096399999999999</v>
      </c>
      <c r="R10069">
        <v>0.50660989999999995</v>
      </c>
      <c r="S10069">
        <v>2.9815670000000001</v>
      </c>
      <c r="T10069">
        <v>-0.1974081</v>
      </c>
      <c r="U10069">
        <v>0.85368349999999904</v>
      </c>
      <c r="V10069">
        <v>0.27767849999999999</v>
      </c>
      <c r="W10069">
        <v>-9.9537029999999999E-2</v>
      </c>
      <c r="X10069">
        <v>0.95550349999999995</v>
      </c>
      <c r="Y10069">
        <v>0.51247940000000003</v>
      </c>
      <c r="Z10069">
        <v>-5.0535629999999998E-2</v>
      </c>
      <c r="AA10069">
        <v>0.85721119999999995</v>
      </c>
      <c r="AB10069">
        <v>17</v>
      </c>
      <c r="AC10069">
        <v>16.8066999999999</v>
      </c>
      <c r="AD10069">
        <v>-1.1174731772249999</v>
      </c>
      <c r="AE10069">
        <v>4.7637999999999998</v>
      </c>
      <c r="AF10069">
        <v>8.9862505185617696</v>
      </c>
      <c r="AG10069">
        <v>-1.1174731772249999</v>
      </c>
      <c r="AH10069">
        <v>14.897114189547001</v>
      </c>
      <c r="AI10069">
        <v>93.675141374576</v>
      </c>
      <c r="AJ10069">
        <v>58.900742477018802</v>
      </c>
      <c r="AK10069">
        <v>17.433457943293199</v>
      </c>
      <c r="AL10069">
        <v>95.712511501404194</v>
      </c>
      <c r="AM10069">
        <v>73.7956277084661</v>
      </c>
      <c r="AN10069">
        <v>0.99999995410785902</v>
      </c>
    </row>
    <row r="10070" spans="1:40" x14ac:dyDescent="0.25">
      <c r="A10070" t="str">
        <f>"20190303154036900"</f>
        <v>20190303154036900</v>
      </c>
      <c r="B10070" t="str">
        <f>"1551598836888538"</f>
        <v>1551598836888538</v>
      </c>
      <c r="C10070" t="s">
        <v>40</v>
      </c>
      <c r="D10070">
        <v>4.8630269999999998</v>
      </c>
      <c r="E10070">
        <v>0.59967959999999998</v>
      </c>
      <c r="F10070" t="s">
        <v>42</v>
      </c>
      <c r="G10070">
        <v>-164.2978</v>
      </c>
      <c r="H10070" s="1">
        <v>-3.2451040000000002E-6</v>
      </c>
      <c r="I10070">
        <v>136.4076</v>
      </c>
      <c r="J10070">
        <v>-181.1936</v>
      </c>
      <c r="K10070">
        <v>1.1174740000000001</v>
      </c>
      <c r="L10070">
        <v>131.66720000000001</v>
      </c>
      <c r="M10070">
        <v>0.68629980000000002</v>
      </c>
      <c r="N10070">
        <v>-1.453543E-2</v>
      </c>
      <c r="O10070">
        <v>0.72717349999999903</v>
      </c>
      <c r="P10070">
        <v>0.85731889999999999</v>
      </c>
      <c r="Q10070">
        <v>-0.1114777</v>
      </c>
      <c r="R10070">
        <v>0.50257050000000003</v>
      </c>
      <c r="S10070">
        <v>2.9824069999999998</v>
      </c>
      <c r="T10070">
        <v>-0.1964234</v>
      </c>
      <c r="U10070">
        <v>0.84524539999999904</v>
      </c>
      <c r="V10070">
        <v>0.27766449999999998</v>
      </c>
      <c r="W10070">
        <v>-0.10004979999999999</v>
      </c>
      <c r="X10070">
        <v>0.95545409999999997</v>
      </c>
      <c r="Y10070">
        <v>0.51079289999999999</v>
      </c>
      <c r="Z10070">
        <v>-5.0135800000000001E-2</v>
      </c>
      <c r="AA10070">
        <v>0.85824069999999997</v>
      </c>
      <c r="AB10070">
        <v>17</v>
      </c>
      <c r="AC10070">
        <v>16.895800000000001</v>
      </c>
      <c r="AD10070">
        <v>-1.117477245104</v>
      </c>
      <c r="AE10070">
        <v>4.7403999999999904</v>
      </c>
      <c r="AF10070">
        <v>8.9973109784728198</v>
      </c>
      <c r="AG10070">
        <v>-1.117477245104</v>
      </c>
      <c r="AH10070">
        <v>14.9835057411014</v>
      </c>
      <c r="AI10070">
        <v>93.658436066295195</v>
      </c>
      <c r="AJ10070">
        <v>59.015982284898897</v>
      </c>
      <c r="AK10070">
        <v>17.513018144520199</v>
      </c>
      <c r="AL10070">
        <v>95.742037974967602</v>
      </c>
      <c r="AM10070">
        <v>73.795608016384705</v>
      </c>
      <c r="AN10070">
        <v>1.00000003712354</v>
      </c>
    </row>
    <row r="10071" spans="1:40" x14ac:dyDescent="0.25">
      <c r="A10071" t="str">
        <f>"20190303154036914"</f>
        <v>20190303154036914</v>
      </c>
      <c r="B10071" t="str">
        <f>"1551598836908059"</f>
        <v>1551598836908059</v>
      </c>
      <c r="C10071" t="s">
        <v>40</v>
      </c>
      <c r="D10071">
        <v>4.9219609999999996</v>
      </c>
      <c r="E10071">
        <v>0.57276700000000003</v>
      </c>
      <c r="F10071" t="s">
        <v>42</v>
      </c>
      <c r="G10071">
        <v>-164.31120000000001</v>
      </c>
      <c r="H10071" s="1">
        <v>-3.2461390000000002E-6</v>
      </c>
      <c r="I10071">
        <v>136.36609999999999</v>
      </c>
      <c r="J10071">
        <v>-181.11340000000001</v>
      </c>
      <c r="K10071">
        <v>1.117475</v>
      </c>
      <c r="L10071">
        <v>131.7433</v>
      </c>
      <c r="M10071">
        <v>0.69009240000000005</v>
      </c>
      <c r="N10071">
        <v>-1.453133E-2</v>
      </c>
      <c r="O10071">
        <v>0.72357539999999998</v>
      </c>
      <c r="P10071">
        <v>0.85985590000000001</v>
      </c>
      <c r="Q10071">
        <v>-0.111997</v>
      </c>
      <c r="R10071">
        <v>0.49810100000000002</v>
      </c>
      <c r="S10071">
        <v>2.9863279999999999</v>
      </c>
      <c r="T10071">
        <v>-0.19767129999999999</v>
      </c>
      <c r="U10071">
        <v>0.83117680000000005</v>
      </c>
      <c r="V10071">
        <v>0.27759129999999999</v>
      </c>
      <c r="W10071">
        <v>-0.1005668</v>
      </c>
      <c r="X10071">
        <v>0.95542099999999996</v>
      </c>
      <c r="Y10071">
        <v>0.51032339999999998</v>
      </c>
      <c r="Z10071">
        <v>-5.0395000000000002E-2</v>
      </c>
      <c r="AA10071">
        <v>0.85850469999999901</v>
      </c>
      <c r="AB10071">
        <v>17</v>
      </c>
      <c r="AC10071">
        <v>16.802199999999999</v>
      </c>
      <c r="AD10071">
        <v>-1.117478246139</v>
      </c>
      <c r="AE10071">
        <v>4.6227999999999803</v>
      </c>
      <c r="AF10071">
        <v>8.9317187301803802</v>
      </c>
      <c r="AG10071">
        <v>-1.117478246139</v>
      </c>
      <c r="AH10071">
        <v>14.8804035795741</v>
      </c>
      <c r="AI10071">
        <v>93.684119170909497</v>
      </c>
      <c r="AJ10071">
        <v>59.026401617077198</v>
      </c>
      <c r="AK10071">
        <v>17.391111747000298</v>
      </c>
      <c r="AL10071">
        <v>95.771810559921803</v>
      </c>
      <c r="AM10071">
        <v>73.7991240291841</v>
      </c>
      <c r="AN10071">
        <v>0.999999949169463</v>
      </c>
    </row>
    <row r="10072" spans="1:40" x14ac:dyDescent="0.25">
      <c r="A10072" t="str">
        <f>"20190303154036928"</f>
        <v>20190303154036928</v>
      </c>
      <c r="B10072" t="str">
        <f>"1551598836917819"</f>
        <v>1551598836917819</v>
      </c>
      <c r="C10072" t="s">
        <v>40</v>
      </c>
      <c r="D10072">
        <v>4.8904709999999998</v>
      </c>
      <c r="E10072">
        <v>0.57358889999999996</v>
      </c>
      <c r="F10072" t="s">
        <v>42</v>
      </c>
      <c r="G10072">
        <v>-164.67949999999999</v>
      </c>
      <c r="H10072" s="1">
        <v>-2.87925E-6</v>
      </c>
      <c r="I10072">
        <v>137.453</v>
      </c>
      <c r="J10072">
        <v>-181.03659999999999</v>
      </c>
      <c r="K10072">
        <v>1.117475</v>
      </c>
      <c r="L10072">
        <v>131.81549999999999</v>
      </c>
      <c r="M10072">
        <v>0.693693</v>
      </c>
      <c r="N10072">
        <v>-1.452737E-2</v>
      </c>
      <c r="O10072">
        <v>0.72012419999999899</v>
      </c>
      <c r="P10072">
        <v>0.86141819999999902</v>
      </c>
      <c r="Q10072">
        <v>-0.1132764</v>
      </c>
      <c r="R10072">
        <v>0.49510320000000002</v>
      </c>
      <c r="S10072">
        <v>2.8831479999999998</v>
      </c>
      <c r="T10072">
        <v>-0.19604930000000001</v>
      </c>
      <c r="U10072">
        <v>1.0016940000000001</v>
      </c>
      <c r="V10072">
        <v>0.27602579999999999</v>
      </c>
      <c r="W10072">
        <v>-0.1018256</v>
      </c>
      <c r="X10072">
        <v>0.95574119999999996</v>
      </c>
      <c r="Y10072">
        <v>0.4509727</v>
      </c>
      <c r="Z10072">
        <v>-4.8752629999999998E-2</v>
      </c>
      <c r="AA10072">
        <v>0.89120529999999998</v>
      </c>
      <c r="AB10072">
        <v>17</v>
      </c>
      <c r="AC10072">
        <v>16.357099999999999</v>
      </c>
      <c r="AD10072">
        <v>-1.11747787925</v>
      </c>
      <c r="AE10072">
        <v>5.6375000000000099</v>
      </c>
      <c r="AF10072">
        <v>7.8365878202847901</v>
      </c>
      <c r="AG10072">
        <v>-1.11747787925</v>
      </c>
      <c r="AH10072">
        <v>15.344120907172</v>
      </c>
      <c r="AI10072">
        <v>93.710924647462704</v>
      </c>
      <c r="AJ10072">
        <v>62.945576406037198</v>
      </c>
      <c r="AK10072">
        <v>17.265657007179399</v>
      </c>
      <c r="AL10072">
        <v>95.844306543628704</v>
      </c>
      <c r="AM10072">
        <v>73.890854171617804</v>
      </c>
      <c r="AN10072">
        <v>0.99999996822921899</v>
      </c>
    </row>
    <row r="10073" spans="1:40" x14ac:dyDescent="0.25">
      <c r="A10073" t="str">
        <f>"20190303154036943"</f>
        <v>20190303154036943</v>
      </c>
      <c r="B10073" t="str">
        <f>"1551598836938315"</f>
        <v>1551598836938315</v>
      </c>
      <c r="C10073" t="s">
        <v>40</v>
      </c>
      <c r="D10073">
        <v>4.9016630000000001</v>
      </c>
      <c r="E10073">
        <v>0.57380900000000001</v>
      </c>
      <c r="F10073" t="s">
        <v>42</v>
      </c>
      <c r="G10073">
        <v>-164.22239999999999</v>
      </c>
      <c r="H10073" s="1">
        <v>-3.0771020000000002E-6</v>
      </c>
      <c r="I10073">
        <v>137.5557</v>
      </c>
      <c r="J10073">
        <v>-180.95580000000001</v>
      </c>
      <c r="K10073">
        <v>1.1174770000000001</v>
      </c>
      <c r="L10073">
        <v>131.8904</v>
      </c>
      <c r="M10073">
        <v>0.6974359</v>
      </c>
      <c r="N10073">
        <v>-1.4523070000000001E-2</v>
      </c>
      <c r="O10073">
        <v>0.71650000000000003</v>
      </c>
      <c r="P10073">
        <v>0.86368289999999903</v>
      </c>
      <c r="Q10073">
        <v>-0.1136904</v>
      </c>
      <c r="R10073">
        <v>0.49104619999999999</v>
      </c>
      <c r="S10073">
        <v>2.8902589999999999</v>
      </c>
      <c r="T10073">
        <v>-0.1920878</v>
      </c>
      <c r="U10073">
        <v>0.98670959999999996</v>
      </c>
      <c r="V10073">
        <v>0.27550150000000001</v>
      </c>
      <c r="W10073">
        <v>-0.10223110000000001</v>
      </c>
      <c r="X10073">
        <v>0.95584919999999995</v>
      </c>
      <c r="Y10073">
        <v>0.45121149999999999</v>
      </c>
      <c r="Z10073">
        <v>-4.747796E-2</v>
      </c>
      <c r="AA10073">
        <v>0.89115319999999998</v>
      </c>
      <c r="AB10073">
        <v>17</v>
      </c>
      <c r="AC10073">
        <v>16.7334</v>
      </c>
      <c r="AD10073">
        <v>-1.1174800771019999</v>
      </c>
      <c r="AE10073">
        <v>5.6653000000000002</v>
      </c>
      <c r="AF10073">
        <v>8.0071078546146808</v>
      </c>
      <c r="AG10073">
        <v>-1.1174800771019999</v>
      </c>
      <c r="AH10073">
        <v>15.668628204581999</v>
      </c>
      <c r="AI10073">
        <v>93.633835717095906</v>
      </c>
      <c r="AJ10073">
        <v>62.931695138766202</v>
      </c>
      <c r="AK10073">
        <v>17.631461871653599</v>
      </c>
      <c r="AL10073">
        <v>95.867661771823094</v>
      </c>
      <c r="AM10073">
        <v>73.921592825849999</v>
      </c>
      <c r="AN10073">
        <v>0.99999998372504895</v>
      </c>
    </row>
    <row r="10074" spans="1:40" x14ac:dyDescent="0.25">
      <c r="A10074" t="str">
        <f>"20190303154036955"</f>
        <v>20190303154036955</v>
      </c>
      <c r="B10074" t="str">
        <f>"1551598836948076"</f>
        <v>1551598836948076</v>
      </c>
      <c r="C10074" t="s">
        <v>40</v>
      </c>
      <c r="D10074">
        <v>4.8586039999999997</v>
      </c>
      <c r="E10074">
        <v>0.57337179999999999</v>
      </c>
      <c r="F10074" t="s">
        <v>42</v>
      </c>
      <c r="G10074">
        <v>-163.37620000000001</v>
      </c>
      <c r="H10074" s="1">
        <v>-3.4351310000000002E-6</v>
      </c>
      <c r="I10074">
        <v>137.79230000000001</v>
      </c>
      <c r="J10074">
        <v>-180.88460000000001</v>
      </c>
      <c r="K10074">
        <v>1.117486</v>
      </c>
      <c r="L10074">
        <v>131.95599999999999</v>
      </c>
      <c r="M10074">
        <v>0.70071240000000001</v>
      </c>
      <c r="N10074">
        <v>-1.4519249999999999E-2</v>
      </c>
      <c r="O10074">
        <v>0.71329619999999905</v>
      </c>
      <c r="P10074">
        <v>0.86552189999999996</v>
      </c>
      <c r="Q10074">
        <v>-0.11382920000000001</v>
      </c>
      <c r="R10074">
        <v>0.48776520000000001</v>
      </c>
      <c r="S10074">
        <v>2.8964080000000001</v>
      </c>
      <c r="T10074">
        <v>-0.1841158</v>
      </c>
      <c r="U10074">
        <v>0.97238159999999896</v>
      </c>
      <c r="V10074">
        <v>0.27473730000000002</v>
      </c>
      <c r="W10074">
        <v>-0.1023578</v>
      </c>
      <c r="X10074">
        <v>0.95605560000000001</v>
      </c>
      <c r="Y10074">
        <v>0.45179940000000002</v>
      </c>
      <c r="Z10074">
        <v>-4.5092010000000002E-2</v>
      </c>
      <c r="AA10074">
        <v>0.89097919999999997</v>
      </c>
      <c r="AB10074">
        <v>17</v>
      </c>
      <c r="AC10074">
        <v>17.508399999999899</v>
      </c>
      <c r="AD10074">
        <v>-1.1174894351310001</v>
      </c>
      <c r="AE10074">
        <v>5.8362999999999898</v>
      </c>
      <c r="AF10074">
        <v>8.3693074276052606</v>
      </c>
      <c r="AG10074">
        <v>-1.1174894351310001</v>
      </c>
      <c r="AH10074">
        <v>16.373065221334901</v>
      </c>
      <c r="AI10074">
        <v>93.4777244837598</v>
      </c>
      <c r="AJ10074">
        <v>62.925556232874897</v>
      </c>
      <c r="AK10074">
        <v>18.422034474983601</v>
      </c>
      <c r="AL10074">
        <v>95.874959293716103</v>
      </c>
      <c r="AM10074">
        <v>73.967180176148702</v>
      </c>
      <c r="AN10074">
        <v>1.0000000067617401</v>
      </c>
    </row>
    <row r="10075" spans="1:40" x14ac:dyDescent="0.25">
      <c r="A10075" t="str">
        <f>"20190303154036967"</f>
        <v>20190303154036967</v>
      </c>
      <c r="B10075" t="str">
        <f>"1551598836957835"</f>
        <v>1551598836957835</v>
      </c>
      <c r="C10075" t="s">
        <v>40</v>
      </c>
      <c r="D10075">
        <v>4.9028859999999996</v>
      </c>
      <c r="E10075">
        <v>0.57327189999999995</v>
      </c>
      <c r="F10075" t="s">
        <v>42</v>
      </c>
      <c r="G10075">
        <v>-163.505</v>
      </c>
      <c r="H10075" s="1">
        <v>-3.383759E-6</v>
      </c>
      <c r="I10075">
        <v>137.73859999999999</v>
      </c>
      <c r="J10075">
        <v>-180.81389999999999</v>
      </c>
      <c r="K10075">
        <v>1.1174959999999901</v>
      </c>
      <c r="L10075">
        <v>132.0206</v>
      </c>
      <c r="M10075">
        <v>0.7039337</v>
      </c>
      <c r="N10075">
        <v>-1.4515480000000001E-2</v>
      </c>
      <c r="O10075">
        <v>0.71011740000000001</v>
      </c>
      <c r="P10075">
        <v>0.8672628</v>
      </c>
      <c r="Q10075">
        <v>-0.1139131</v>
      </c>
      <c r="R10075">
        <v>0.4846433</v>
      </c>
      <c r="S10075">
        <v>2.8981780000000001</v>
      </c>
      <c r="T10075">
        <v>-0.18635060000000001</v>
      </c>
      <c r="U10075">
        <v>0.9642944</v>
      </c>
      <c r="V10075">
        <v>0.27385009999999999</v>
      </c>
      <c r="W10075">
        <v>-0.1024279</v>
      </c>
      <c r="X10075">
        <v>0.9563026</v>
      </c>
      <c r="Y10075">
        <v>0.4501288</v>
      </c>
      <c r="Z10075">
        <v>-4.5609820000000002E-2</v>
      </c>
      <c r="AA10075">
        <v>0.89179809999999904</v>
      </c>
      <c r="AB10075">
        <v>17</v>
      </c>
      <c r="AC10075">
        <v>17.308899999999898</v>
      </c>
      <c r="AD10075">
        <v>-1.1174993837589999</v>
      </c>
      <c r="AE10075">
        <v>5.7179999999999804</v>
      </c>
      <c r="AF10075">
        <v>8.2361761592526506</v>
      </c>
      <c r="AG10075">
        <v>-1.1174993837589999</v>
      </c>
      <c r="AH10075">
        <v>16.185652444668701</v>
      </c>
      <c r="AI10075">
        <v>93.521200922018096</v>
      </c>
      <c r="AJ10075">
        <v>63.030431738905101</v>
      </c>
      <c r="AK10075">
        <v>18.195019858701801</v>
      </c>
      <c r="AL10075">
        <v>95.878996946018603</v>
      </c>
      <c r="AM10075">
        <v>74.020223399888195</v>
      </c>
      <c r="AN10075">
        <v>1.0000000073675801</v>
      </c>
    </row>
    <row r="10076" spans="1:40" x14ac:dyDescent="0.25">
      <c r="A10076" t="str">
        <f>"20190303154036979"</f>
        <v>20190303154036979</v>
      </c>
      <c r="B10076" t="str">
        <f>"1551598836968571"</f>
        <v>1551598836968571</v>
      </c>
      <c r="C10076" t="s">
        <v>40</v>
      </c>
      <c r="D10076">
        <v>4.9066839999999896</v>
      </c>
      <c r="E10076">
        <v>0.57314770000000004</v>
      </c>
      <c r="F10076" t="s">
        <v>42</v>
      </c>
      <c r="G10076">
        <v>-163.3535</v>
      </c>
      <c r="H10076" s="1">
        <v>-3.4506909999999998E-6</v>
      </c>
      <c r="I10076">
        <v>137.76509999999999</v>
      </c>
      <c r="J10076">
        <v>-180.75380000000001</v>
      </c>
      <c r="K10076">
        <v>1.1175029999999999</v>
      </c>
      <c r="L10076">
        <v>132.07470000000001</v>
      </c>
      <c r="M10076">
        <v>0.70664479999999996</v>
      </c>
      <c r="N10076">
        <v>-1.451213E-2</v>
      </c>
      <c r="O10076">
        <v>0.70741960000000004</v>
      </c>
      <c r="P10076">
        <v>0.86892400000000003</v>
      </c>
      <c r="Q10076">
        <v>-0.1138557</v>
      </c>
      <c r="R10076">
        <v>0.48167199999999999</v>
      </c>
      <c r="S10076">
        <v>2.9013369999999998</v>
      </c>
      <c r="T10076">
        <v>-0.18569140000000001</v>
      </c>
      <c r="U10076">
        <v>0.9545593</v>
      </c>
      <c r="V10076">
        <v>0.27347379999999999</v>
      </c>
      <c r="W10076">
        <v>-0.10236339999999999</v>
      </c>
      <c r="X10076">
        <v>0.95641710000000002</v>
      </c>
      <c r="Y10076">
        <v>0.44971640000000002</v>
      </c>
      <c r="Z10076">
        <v>-4.5334850000000003E-2</v>
      </c>
      <c r="AA10076">
        <v>0.89202019999999904</v>
      </c>
      <c r="AB10076">
        <v>17</v>
      </c>
      <c r="AC10076">
        <v>17.400300000000001</v>
      </c>
      <c r="AD10076">
        <v>-1.117506450691</v>
      </c>
      <c r="AE10076">
        <v>5.6903999999999799</v>
      </c>
      <c r="AF10076">
        <v>8.2583230465454207</v>
      </c>
      <c r="AG10076">
        <v>-1.117506450691</v>
      </c>
      <c r="AH10076">
        <v>16.262454986601401</v>
      </c>
      <c r="AI10076">
        <v>93.506105883189605</v>
      </c>
      <c r="AJ10076">
        <v>63.077844004901699</v>
      </c>
      <c r="AK10076">
        <v>18.273373043849201</v>
      </c>
      <c r="AL10076">
        <v>95.875282314245098</v>
      </c>
      <c r="AM10076">
        <v>74.042875734161598</v>
      </c>
      <c r="AN10076">
        <v>0.99999992705920204</v>
      </c>
    </row>
    <row r="10077" spans="1:40" x14ac:dyDescent="0.25">
      <c r="A10077" t="str">
        <f>"20190303154036991"</f>
        <v>20190303154036991</v>
      </c>
      <c r="B10077" t="str">
        <f>"1551598836988091"</f>
        <v>1551598836988091</v>
      </c>
      <c r="C10077" t="s">
        <v>40</v>
      </c>
      <c r="D10077">
        <v>4.8558830000000004</v>
      </c>
      <c r="E10077">
        <v>0.57275469999999995</v>
      </c>
      <c r="F10077" t="s">
        <v>42</v>
      </c>
      <c r="G10077">
        <v>-163.31110000000001</v>
      </c>
      <c r="H10077" s="1">
        <v>-3.4728570000000001E-6</v>
      </c>
      <c r="I10077">
        <v>137.7533</v>
      </c>
      <c r="J10077">
        <v>-180.68459999999999</v>
      </c>
      <c r="K10077">
        <v>1.1175120000000001</v>
      </c>
      <c r="L10077">
        <v>132.13679999999999</v>
      </c>
      <c r="M10077">
        <v>0.70974839999999995</v>
      </c>
      <c r="N10077">
        <v>-1.450834E-2</v>
      </c>
      <c r="O10077">
        <v>0.70430579999999998</v>
      </c>
      <c r="P10077">
        <v>0.87070700000000001</v>
      </c>
      <c r="Q10077">
        <v>-0.11422300000000001</v>
      </c>
      <c r="R10077">
        <v>0.4783539</v>
      </c>
      <c r="S10077">
        <v>2.9040680000000001</v>
      </c>
      <c r="T10077">
        <v>-0.1860549</v>
      </c>
      <c r="U10077">
        <v>0.94543460000000001</v>
      </c>
      <c r="V10077">
        <v>0.27288309999999999</v>
      </c>
      <c r="W10077">
        <v>-0.1027213</v>
      </c>
      <c r="X10077">
        <v>0.95654749999999999</v>
      </c>
      <c r="Y10077">
        <v>0.4485691</v>
      </c>
      <c r="Z10077">
        <v>-4.5320119999999998E-2</v>
      </c>
      <c r="AA10077">
        <v>0.89259840000000001</v>
      </c>
      <c r="AB10077">
        <v>17</v>
      </c>
      <c r="AC10077">
        <v>17.3734999999999</v>
      </c>
      <c r="AD10077">
        <v>-1.117515472857</v>
      </c>
      <c r="AE10077">
        <v>5.6165000000000003</v>
      </c>
      <c r="AF10077">
        <v>8.2200316813080203</v>
      </c>
      <c r="AG10077">
        <v>-1.117515472857</v>
      </c>
      <c r="AH10077">
        <v>16.227474743177599</v>
      </c>
      <c r="AI10077">
        <v>93.515462143549996</v>
      </c>
      <c r="AJ10077">
        <v>63.135493988291103</v>
      </c>
      <c r="AK10077">
        <v>18.224947138860198</v>
      </c>
      <c r="AL10077">
        <v>95.895896796304896</v>
      </c>
      <c r="AM10077">
        <v>74.0776542282496</v>
      </c>
      <c r="AN10077">
        <v>0.99999998574777405</v>
      </c>
    </row>
    <row r="10078" spans="1:40" x14ac:dyDescent="0.25">
      <c r="A10078" t="str">
        <f>"20190303154037006"</f>
        <v>20190303154037006</v>
      </c>
      <c r="B10078" t="str">
        <f>"1551598836997851"</f>
        <v>1551598836997851</v>
      </c>
      <c r="C10078" t="s">
        <v>40</v>
      </c>
      <c r="D10078">
        <v>4.8877699999999997</v>
      </c>
      <c r="E10078">
        <v>0.57247250000000005</v>
      </c>
      <c r="F10078" t="s">
        <v>42</v>
      </c>
      <c r="G10078">
        <v>-163.4084</v>
      </c>
      <c r="H10078" s="1">
        <v>-3.4349100000000002E-6</v>
      </c>
      <c r="I10078">
        <v>137.70769999999999</v>
      </c>
      <c r="J10078">
        <v>-180.59979999999999</v>
      </c>
      <c r="K10078">
        <v>1.117521</v>
      </c>
      <c r="L10078">
        <v>132.21209999999999</v>
      </c>
      <c r="M10078">
        <v>0.71351549999999997</v>
      </c>
      <c r="N10078">
        <v>-1.4503719999999999E-2</v>
      </c>
      <c r="O10078">
        <v>0.70048929999999998</v>
      </c>
      <c r="P10078">
        <v>0.87305639999999995</v>
      </c>
      <c r="Q10078">
        <v>-0.1147469</v>
      </c>
      <c r="R10078">
        <v>0.47392600000000001</v>
      </c>
      <c r="S10078">
        <v>2.9059910000000002</v>
      </c>
      <c r="T10078">
        <v>-0.18797430000000001</v>
      </c>
      <c r="U10078">
        <v>0.93707280000000004</v>
      </c>
      <c r="V10078">
        <v>0.2725612</v>
      </c>
      <c r="W10078">
        <v>-0.1032386</v>
      </c>
      <c r="X10078">
        <v>0.95658359999999998</v>
      </c>
      <c r="Y10078">
        <v>0.44624730000000001</v>
      </c>
      <c r="Z10078">
        <v>-4.569662E-2</v>
      </c>
      <c r="AA10078">
        <v>0.89374229999999999</v>
      </c>
      <c r="AB10078">
        <v>16</v>
      </c>
      <c r="AC10078">
        <v>17.191399999999899</v>
      </c>
      <c r="AD10078">
        <v>-1.11752443491</v>
      </c>
      <c r="AE10078">
        <v>5.4955999999999898</v>
      </c>
      <c r="AF10078">
        <v>8.0910305400271394</v>
      </c>
      <c r="AG10078">
        <v>-1.11752443491</v>
      </c>
      <c r="AH10078">
        <v>16.056078199777399</v>
      </c>
      <c r="AI10078">
        <v>93.556671151710106</v>
      </c>
      <c r="AJ10078">
        <v>63.255404258099198</v>
      </c>
      <c r="AK10078">
        <v>18.014196713138201</v>
      </c>
      <c r="AL10078">
        <v>95.925694239454998</v>
      </c>
      <c r="AM10078">
        <v>74.096055897440706</v>
      </c>
      <c r="AN10078">
        <v>1.00000000003217</v>
      </c>
    </row>
    <row r="10079" spans="1:40" x14ac:dyDescent="0.25">
      <c r="A10079" t="str">
        <f>"20190303154037019"</f>
        <v>20190303154037019</v>
      </c>
      <c r="B10079" t="str">
        <f>"1551598837007611"</f>
        <v>1551598837007611</v>
      </c>
      <c r="C10079" t="s">
        <v>40</v>
      </c>
      <c r="D10079">
        <v>4.8991239999999996</v>
      </c>
      <c r="E10079">
        <v>0.57233350000000005</v>
      </c>
      <c r="F10079" t="s">
        <v>42</v>
      </c>
      <c r="G10079">
        <v>-163.35769999999999</v>
      </c>
      <c r="H10079" s="1">
        <v>-3.461883E-6</v>
      </c>
      <c r="I10079">
        <v>137.6909</v>
      </c>
      <c r="J10079">
        <v>-180.5266</v>
      </c>
      <c r="K10079">
        <v>1.117532</v>
      </c>
      <c r="L10079">
        <v>132.2764</v>
      </c>
      <c r="M10079">
        <v>0.71673549999999997</v>
      </c>
      <c r="N10079">
        <v>-1.4499669999999999E-2</v>
      </c>
      <c r="O10079">
        <v>0.69719439999999999</v>
      </c>
      <c r="P10079">
        <v>0.87533799999999995</v>
      </c>
      <c r="Q10079">
        <v>-0.1148802</v>
      </c>
      <c r="R10079">
        <v>0.46966590000000003</v>
      </c>
      <c r="S10079">
        <v>2.9095460000000002</v>
      </c>
      <c r="T10079">
        <v>-0.18857750000000001</v>
      </c>
      <c r="U10079">
        <v>0.92452999999999996</v>
      </c>
      <c r="V10079">
        <v>0.2728042</v>
      </c>
      <c r="W10079">
        <v>-0.10337250000000001</v>
      </c>
      <c r="X10079">
        <v>0.95649989999999996</v>
      </c>
      <c r="Y10079">
        <v>0.44593159999999998</v>
      </c>
      <c r="Z10079">
        <v>-4.5769789999999998E-2</v>
      </c>
      <c r="AA10079">
        <v>0.89389599999999902</v>
      </c>
      <c r="AB10079">
        <v>16</v>
      </c>
      <c r="AC10079">
        <v>17.168900000000001</v>
      </c>
      <c r="AD10079">
        <v>-1.117535461883</v>
      </c>
      <c r="AE10079">
        <v>5.4145000000000003</v>
      </c>
      <c r="AF10079">
        <v>8.0590908338587308</v>
      </c>
      <c r="AG10079">
        <v>-1.117535461883</v>
      </c>
      <c r="AH10079">
        <v>16.020473945380601</v>
      </c>
      <c r="AI10079">
        <v>93.565838302205805</v>
      </c>
      <c r="AJ10079">
        <v>63.295342248592398</v>
      </c>
      <c r="AK10079">
        <v>17.968122217181499</v>
      </c>
      <c r="AL10079">
        <v>95.933407222027498</v>
      </c>
      <c r="AM10079">
        <v>74.0812726267839</v>
      </c>
      <c r="AN10079">
        <v>1.00000003199694</v>
      </c>
    </row>
    <row r="10080" spans="1:40" x14ac:dyDescent="0.25">
      <c r="A10080" t="str">
        <f>"20190303154037032"</f>
        <v>20190303154037032</v>
      </c>
      <c r="B10080" t="str">
        <f>"1551598837028107"</f>
        <v>1551598837028107</v>
      </c>
      <c r="C10080" t="s">
        <v>40</v>
      </c>
      <c r="D10080">
        <v>5.0740270000000001</v>
      </c>
      <c r="E10080">
        <v>0.5725924</v>
      </c>
      <c r="F10080" t="s">
        <v>42</v>
      </c>
      <c r="G10080">
        <v>-163.28809999999999</v>
      </c>
      <c r="H10080" s="1">
        <v>-3.4985890000000002E-6</v>
      </c>
      <c r="I10080">
        <v>137.6695</v>
      </c>
      <c r="J10080">
        <v>-180.4588</v>
      </c>
      <c r="K10080">
        <v>1.117542</v>
      </c>
      <c r="L10080">
        <v>132.3355</v>
      </c>
      <c r="M10080">
        <v>0.71969559999999999</v>
      </c>
      <c r="N10080">
        <v>-1.449597E-2</v>
      </c>
      <c r="O10080">
        <v>0.69413840000000004</v>
      </c>
      <c r="P10080">
        <v>0.87723510000000005</v>
      </c>
      <c r="Q10080">
        <v>-0.114689</v>
      </c>
      <c r="R10080">
        <v>0.46616000000000002</v>
      </c>
      <c r="S10080">
        <v>2.9134220000000002</v>
      </c>
      <c r="T10080">
        <v>-0.1888705</v>
      </c>
      <c r="U10080">
        <v>0.91146850000000001</v>
      </c>
      <c r="V10080">
        <v>0.27258270000000001</v>
      </c>
      <c r="W10080">
        <v>-0.1031755</v>
      </c>
      <c r="X10080">
        <v>0.95658430000000005</v>
      </c>
      <c r="Y10080">
        <v>0.4461098</v>
      </c>
      <c r="Z10080">
        <v>-4.5773189999999998E-2</v>
      </c>
      <c r="AA10080">
        <v>0.89380689999999996</v>
      </c>
      <c r="AB10080">
        <v>16</v>
      </c>
      <c r="AC10080">
        <v>17.1707</v>
      </c>
      <c r="AD10080">
        <v>-1.1175454985889901</v>
      </c>
      <c r="AE10080">
        <v>5.3339999999999996</v>
      </c>
      <c r="AF10080">
        <v>8.0497373040640294</v>
      </c>
      <c r="AG10080">
        <v>-1.1175454985889901</v>
      </c>
      <c r="AH10080">
        <v>16.000087750824399</v>
      </c>
      <c r="AI10080">
        <v>93.570321307850406</v>
      </c>
      <c r="AJ10080">
        <v>63.292765347990901</v>
      </c>
      <c r="AK10080">
        <v>17.945751214143598</v>
      </c>
      <c r="AL10080">
        <v>95.922059361440802</v>
      </c>
      <c r="AM10080">
        <v>74.094875883571504</v>
      </c>
      <c r="AN10080">
        <v>1.0000000175730099</v>
      </c>
    </row>
    <row r="10081" spans="1:40" x14ac:dyDescent="0.25">
      <c r="A10081" t="str">
        <f>"20190303154037043"</f>
        <v>20190303154037043</v>
      </c>
      <c r="B10081" t="str">
        <f>"1551598837037867"</f>
        <v>1551598837037867</v>
      </c>
      <c r="C10081" t="s">
        <v>40</v>
      </c>
      <c r="D10081">
        <v>4.8503639999999999</v>
      </c>
      <c r="E10081">
        <v>0.61442169999999996</v>
      </c>
      <c r="F10081" t="s">
        <v>42</v>
      </c>
      <c r="G10081">
        <v>-163.0916</v>
      </c>
      <c r="H10081" s="1">
        <v>-3.5896330000000002E-6</v>
      </c>
      <c r="I10081">
        <v>137.6797</v>
      </c>
      <c r="J10081">
        <v>-180.3921</v>
      </c>
      <c r="K10081">
        <v>1.1175440000000001</v>
      </c>
      <c r="L10081">
        <v>132.3931</v>
      </c>
      <c r="M10081">
        <v>0.72257979999999999</v>
      </c>
      <c r="N10081">
        <v>-1.4492349999999999E-2</v>
      </c>
      <c r="O10081">
        <v>0.69113549999999901</v>
      </c>
      <c r="P10081">
        <v>0.87930529999999996</v>
      </c>
      <c r="Q10081">
        <v>-0.1144143</v>
      </c>
      <c r="R10081">
        <v>0.46231129999999998</v>
      </c>
      <c r="S10081">
        <v>2.9181210000000002</v>
      </c>
      <c r="T10081">
        <v>-0.1877761</v>
      </c>
      <c r="U10081">
        <v>0.8979492</v>
      </c>
      <c r="V10081">
        <v>0.27282050000000002</v>
      </c>
      <c r="W10081">
        <v>-0.10290059999999999</v>
      </c>
      <c r="X10081">
        <v>0.95654609999999995</v>
      </c>
      <c r="Y10081">
        <v>0.44659330000000003</v>
      </c>
      <c r="Z10081">
        <v>-4.5384510000000003E-2</v>
      </c>
      <c r="AA10081">
        <v>0.89358530000000003</v>
      </c>
      <c r="AB10081">
        <v>16</v>
      </c>
      <c r="AC10081">
        <v>17.3005</v>
      </c>
      <c r="AD10081">
        <v>-1.117547589633</v>
      </c>
      <c r="AE10081">
        <v>5.2865999999999902</v>
      </c>
      <c r="AF10081">
        <v>8.1069158770554708</v>
      </c>
      <c r="AG10081">
        <v>-1.117547589633</v>
      </c>
      <c r="AH10081">
        <v>16.095022705574301</v>
      </c>
      <c r="AI10081">
        <v>93.548490985500294</v>
      </c>
      <c r="AJ10081">
        <v>63.266022007918203</v>
      </c>
      <c r="AK10081">
        <v>18.056044792415101</v>
      </c>
      <c r="AL10081">
        <v>95.906224573110606</v>
      </c>
      <c r="AM10081">
        <v>74.081099621408995</v>
      </c>
      <c r="AN10081">
        <v>1.0000000000629099</v>
      </c>
    </row>
    <row r="10082" spans="1:40" x14ac:dyDescent="0.25">
      <c r="A10082" t="str">
        <f>"20190303154037056"</f>
        <v>20190303154037056</v>
      </c>
      <c r="B10082" t="str">
        <f>"1551598837048603"</f>
        <v>1551598837048603</v>
      </c>
      <c r="C10082" t="s">
        <v>40</v>
      </c>
      <c r="D10082">
        <v>5.0449909999999996</v>
      </c>
      <c r="E10082">
        <v>0.61289269999999996</v>
      </c>
      <c r="F10082" t="s">
        <v>42</v>
      </c>
      <c r="G10082">
        <v>-148.34909999999999</v>
      </c>
      <c r="H10082" s="1">
        <v>-8.7481529999999999E-7</v>
      </c>
      <c r="I10082">
        <v>138.57740000000001</v>
      </c>
      <c r="J10082">
        <v>-180.31649999999999</v>
      </c>
      <c r="K10082">
        <v>1.1175550000000001</v>
      </c>
      <c r="L10082">
        <v>132.45769999999999</v>
      </c>
      <c r="M10082">
        <v>0.725819199999999</v>
      </c>
      <c r="N10082">
        <v>-1.448823E-2</v>
      </c>
      <c r="O10082">
        <v>0.68773300000000004</v>
      </c>
      <c r="P10082">
        <v>0.88145519999999999</v>
      </c>
      <c r="Q10082">
        <v>-0.11413719999999999</v>
      </c>
      <c r="R10082">
        <v>0.45826820000000001</v>
      </c>
      <c r="S10082">
        <v>3.084778</v>
      </c>
      <c r="T10082">
        <v>-0.107586</v>
      </c>
      <c r="U10082">
        <v>0.59536739999999999</v>
      </c>
      <c r="V10082">
        <v>0.27274890000000002</v>
      </c>
      <c r="W10082">
        <v>-0.10261919999999999</v>
      </c>
      <c r="X10082">
        <v>0.95659669999999997</v>
      </c>
      <c r="Y10082">
        <v>0.5372903</v>
      </c>
      <c r="Z10082">
        <v>-2.3890999999999999E-2</v>
      </c>
      <c r="AA10082">
        <v>0.84305889999999895</v>
      </c>
      <c r="AB10082">
        <v>16</v>
      </c>
      <c r="AC10082">
        <v>31.967400000000001</v>
      </c>
      <c r="AD10082">
        <v>-1.1175558748152901</v>
      </c>
      <c r="AE10082">
        <v>6.1197000000000203</v>
      </c>
      <c r="AF10082">
        <v>17.524420517612398</v>
      </c>
      <c r="AG10082">
        <v>-1.1175558748152901</v>
      </c>
      <c r="AH10082">
        <v>27.3818667082197</v>
      </c>
      <c r="AI10082">
        <v>91.968836763545696</v>
      </c>
      <c r="AJ10082">
        <v>57.380718594030903</v>
      </c>
      <c r="AK10082">
        <v>32.528769882031497</v>
      </c>
      <c r="AL10082">
        <v>95.890016003163893</v>
      </c>
      <c r="AM10082">
        <v>74.085865007823898</v>
      </c>
      <c r="AN10082">
        <v>0.99999995455536805</v>
      </c>
    </row>
    <row r="10083" spans="1:40" x14ac:dyDescent="0.25">
      <c r="A10083" t="str">
        <f>"20190303154037068"</f>
        <v>20190303154037068</v>
      </c>
      <c r="B10083" t="str">
        <f>"1551598837058363"</f>
        <v>1551598837058363</v>
      </c>
      <c r="C10083" t="s">
        <v>40</v>
      </c>
      <c r="D10083">
        <v>5.0356949999999996</v>
      </c>
      <c r="E10083">
        <v>0.61243369999999997</v>
      </c>
      <c r="F10083" t="s">
        <v>42</v>
      </c>
      <c r="G10083">
        <v>-160.57339999999999</v>
      </c>
      <c r="H10083" s="1">
        <v>-5.0374269999999999E-6</v>
      </c>
      <c r="I10083">
        <v>136.2285</v>
      </c>
      <c r="J10083">
        <v>-180.24950000000001</v>
      </c>
      <c r="K10083">
        <v>1.117567</v>
      </c>
      <c r="L10083">
        <v>132.5147</v>
      </c>
      <c r="M10083">
        <v>0.7286745</v>
      </c>
      <c r="N10083">
        <v>-1.448458E-2</v>
      </c>
      <c r="O10083">
        <v>0.68470690000000001</v>
      </c>
      <c r="P10083">
        <v>0.88344480000000003</v>
      </c>
      <c r="Q10083">
        <v>-0.11422839999999999</v>
      </c>
      <c r="R10083">
        <v>0.45439750000000001</v>
      </c>
      <c r="S10083">
        <v>3.0755159999999999</v>
      </c>
      <c r="T10083">
        <v>-0.17408959999999901</v>
      </c>
      <c r="U10083">
        <v>0.58740230000000004</v>
      </c>
      <c r="V10083">
        <v>0.27295730000000001</v>
      </c>
      <c r="W10083">
        <v>-0.1027107</v>
      </c>
      <c r="X10083">
        <v>0.95652749999999997</v>
      </c>
      <c r="Y10083">
        <v>0.53452040000000001</v>
      </c>
      <c r="Z10083">
        <v>-4.2914290000000001E-2</v>
      </c>
      <c r="AA10083">
        <v>0.84406539999999997</v>
      </c>
      <c r="AB10083">
        <v>16</v>
      </c>
      <c r="AC10083">
        <v>19.676100000000002</v>
      </c>
      <c r="AD10083">
        <v>-1.117572037427</v>
      </c>
      <c r="AE10083">
        <v>3.7137999999999902</v>
      </c>
      <c r="AF10083">
        <v>10.733903297250199</v>
      </c>
      <c r="AG10083">
        <v>-1.117572037427</v>
      </c>
      <c r="AH10083">
        <v>16.829683026614099</v>
      </c>
      <c r="AI10083">
        <v>93.204464121978006</v>
      </c>
      <c r="AJ10083">
        <v>57.4704351662972</v>
      </c>
      <c r="AK10083">
        <v>19.992595580110699</v>
      </c>
      <c r="AL10083">
        <v>95.895286047362404</v>
      </c>
      <c r="AM10083">
        <v>74.073228215075602</v>
      </c>
      <c r="AN10083">
        <v>1.00000001688701</v>
      </c>
    </row>
    <row r="10084" spans="1:40" x14ac:dyDescent="0.25">
      <c r="A10084" t="str">
        <f>"20190303154037079"</f>
        <v>20190303154037079</v>
      </c>
      <c r="B10084" t="str">
        <f>"1551598837068123"</f>
        <v>1551598837068123</v>
      </c>
      <c r="C10084" t="s">
        <v>40</v>
      </c>
      <c r="D10084">
        <v>4.9995339999999997</v>
      </c>
      <c r="E10084">
        <v>0.61266560000000003</v>
      </c>
      <c r="F10084" t="s">
        <v>42</v>
      </c>
      <c r="G10084">
        <v>-162.83609999999999</v>
      </c>
      <c r="H10084" s="1">
        <v>-4.0481219999999996E-6</v>
      </c>
      <c r="I10084">
        <v>135.77600000000001</v>
      </c>
      <c r="J10084">
        <v>-180.18860000000001</v>
      </c>
      <c r="K10084">
        <v>1.1175790000000001</v>
      </c>
      <c r="L10084">
        <v>132.5658</v>
      </c>
      <c r="M10084">
        <v>0.73124040000000001</v>
      </c>
      <c r="N10084">
        <v>-1.4481269999999999E-2</v>
      </c>
      <c r="O10084">
        <v>0.68196610000000002</v>
      </c>
      <c r="P10084">
        <v>0.8850285</v>
      </c>
      <c r="Q10084">
        <v>-0.11400440000000001</v>
      </c>
      <c r="R10084">
        <v>0.45136199999999999</v>
      </c>
      <c r="S10084">
        <v>3.0741580000000002</v>
      </c>
      <c r="T10084">
        <v>-0.1972959</v>
      </c>
      <c r="U10084">
        <v>0.57574459999999905</v>
      </c>
      <c r="V10084">
        <v>0.27267370000000002</v>
      </c>
      <c r="W10084">
        <v>-0.1024804</v>
      </c>
      <c r="X10084">
        <v>0.95663310000000001</v>
      </c>
      <c r="Y10084">
        <v>0.53394339999999996</v>
      </c>
      <c r="Z10084">
        <v>-4.9505319999999998E-2</v>
      </c>
      <c r="AA10084">
        <v>0.84406970000000003</v>
      </c>
      <c r="AB10084">
        <v>16</v>
      </c>
      <c r="AC10084">
        <v>17.352499999999999</v>
      </c>
      <c r="AD10084">
        <v>-1.1175830481219999</v>
      </c>
      <c r="AE10084">
        <v>3.2102000000000102</v>
      </c>
      <c r="AF10084">
        <v>9.4494846142481403</v>
      </c>
      <c r="AG10084">
        <v>-1.1175830481219999</v>
      </c>
      <c r="AH10084">
        <v>14.8202174451816</v>
      </c>
      <c r="AI10084">
        <v>93.638203734539502</v>
      </c>
      <c r="AJ10084">
        <v>57.478102390998203</v>
      </c>
      <c r="AK10084">
        <v>17.6119447099639</v>
      </c>
      <c r="AL10084">
        <v>95.882020732758093</v>
      </c>
      <c r="AM10084">
        <v>74.090605328555</v>
      </c>
      <c r="AN10084">
        <v>1.00000003353572</v>
      </c>
    </row>
    <row r="10085" spans="1:40" x14ac:dyDescent="0.25">
      <c r="A10085" t="str">
        <f>"20190303154037093"</f>
        <v>20190303154037093</v>
      </c>
      <c r="B10085" t="str">
        <f>"1551598837087643"</f>
        <v>1551598837087643</v>
      </c>
      <c r="C10085" t="s">
        <v>40</v>
      </c>
      <c r="D10085">
        <v>5.0596379999999996</v>
      </c>
      <c r="E10085">
        <v>0.61050349999999998</v>
      </c>
      <c r="F10085" t="s">
        <v>42</v>
      </c>
      <c r="G10085">
        <v>-163.80950000000001</v>
      </c>
      <c r="H10085" s="1">
        <v>-3.6259010000000001E-6</v>
      </c>
      <c r="I10085">
        <v>135.56209999999999</v>
      </c>
      <c r="J10085">
        <v>-180.11089999999999</v>
      </c>
      <c r="K10085">
        <v>1.1175900000000001</v>
      </c>
      <c r="L10085">
        <v>132.63069999999999</v>
      </c>
      <c r="M10085">
        <v>0.73449619999999904</v>
      </c>
      <c r="N10085">
        <v>-1.447711E-2</v>
      </c>
      <c r="O10085">
        <v>0.67845840000000002</v>
      </c>
      <c r="P10085">
        <v>0.88694399999999995</v>
      </c>
      <c r="Q10085">
        <v>-0.1140606</v>
      </c>
      <c r="R10085">
        <v>0.44757190000000002</v>
      </c>
      <c r="S10085">
        <v>3.0757289999999999</v>
      </c>
      <c r="T10085">
        <v>-0.20986389999999999</v>
      </c>
      <c r="U10085">
        <v>0.56266780000000005</v>
      </c>
      <c r="V10085">
        <v>0.27218510000000001</v>
      </c>
      <c r="W10085">
        <v>-0.10252749999999999</v>
      </c>
      <c r="X10085">
        <v>0.95676709999999998</v>
      </c>
      <c r="Y10085">
        <v>0.53319479999999997</v>
      </c>
      <c r="Z10085">
        <v>-5.2966840000000001E-2</v>
      </c>
      <c r="AA10085">
        <v>0.84433279999999999</v>
      </c>
      <c r="AB10085">
        <v>16</v>
      </c>
      <c r="AC10085">
        <v>16.301399999999902</v>
      </c>
      <c r="AD10085">
        <v>-1.11759362590099</v>
      </c>
      <c r="AE10085">
        <v>2.9313999999999898</v>
      </c>
      <c r="AF10085">
        <v>8.8672802465431797</v>
      </c>
      <c r="AG10085">
        <v>-1.11759362590099</v>
      </c>
      <c r="AH10085">
        <v>13.9003242840387</v>
      </c>
      <c r="AI10085">
        <v>93.877751104272093</v>
      </c>
      <c r="AJ10085">
        <v>57.465425038202397</v>
      </c>
      <c r="AK10085">
        <v>16.525637345797801</v>
      </c>
      <c r="AL10085">
        <v>95.884734145596099</v>
      </c>
      <c r="AM10085">
        <v>74.119786097105006</v>
      </c>
      <c r="AN10085">
        <v>0.99999995028033295</v>
      </c>
    </row>
    <row r="10086" spans="1:40" x14ac:dyDescent="0.25">
      <c r="A10086" t="str">
        <f>"20190303154037106"</f>
        <v>20190303154037106</v>
      </c>
      <c r="B10086" t="str">
        <f>"1551598837098379"</f>
        <v>1551598837098379</v>
      </c>
      <c r="C10086" t="s">
        <v>40</v>
      </c>
      <c r="D10086">
        <v>4.8628030000000004</v>
      </c>
      <c r="E10086">
        <v>0.61248119999999995</v>
      </c>
      <c r="F10086" t="s">
        <v>42</v>
      </c>
      <c r="G10086">
        <v>-165.9545</v>
      </c>
      <c r="H10086" s="1">
        <v>-2.705593E-6</v>
      </c>
      <c r="I10086">
        <v>135.22720000000001</v>
      </c>
      <c r="J10086">
        <v>-180.03469999999999</v>
      </c>
      <c r="K10086">
        <v>1.117604</v>
      </c>
      <c r="L10086">
        <v>132.6936</v>
      </c>
      <c r="M10086">
        <v>0.73765449999999999</v>
      </c>
      <c r="N10086">
        <v>-1.4473059999999999E-2</v>
      </c>
      <c r="O10086">
        <v>0.67502329999999999</v>
      </c>
      <c r="P10086">
        <v>0.88849199999999995</v>
      </c>
      <c r="Q10086">
        <v>-0.11384030000000001</v>
      </c>
      <c r="R10086">
        <v>0.44454749999999998</v>
      </c>
      <c r="S10086">
        <v>3.0673520000000001</v>
      </c>
      <c r="T10086">
        <v>-0.24215639999999999</v>
      </c>
      <c r="U10086">
        <v>0.56259159999999997</v>
      </c>
      <c r="V10086">
        <v>0.271005</v>
      </c>
      <c r="W10086">
        <v>-0.1022892</v>
      </c>
      <c r="X10086">
        <v>0.95712759999999997</v>
      </c>
      <c r="Y10086">
        <v>0.52812479999999995</v>
      </c>
      <c r="Z10086">
        <v>-6.1960870000000001E-2</v>
      </c>
      <c r="AA10086">
        <v>0.84690319999999997</v>
      </c>
      <c r="AB10086">
        <v>16</v>
      </c>
      <c r="AC10086">
        <v>14.0801999999999</v>
      </c>
      <c r="AD10086">
        <v>-1.1176067055929999</v>
      </c>
      <c r="AE10086">
        <v>2.5335999999999999</v>
      </c>
      <c r="AF10086">
        <v>7.5900215771327897</v>
      </c>
      <c r="AG10086">
        <v>-1.1176067055929999</v>
      </c>
      <c r="AH10086">
        <v>12.024447051722101</v>
      </c>
      <c r="AI10086">
        <v>94.494006840916995</v>
      </c>
      <c r="AJ10086">
        <v>57.739229819579201</v>
      </c>
      <c r="AK10086">
        <v>14.263407699052699</v>
      </c>
      <c r="AL10086">
        <v>95.871008006159698</v>
      </c>
      <c r="AM10086">
        <v>74.190844931848304</v>
      </c>
      <c r="AN10086">
        <v>1.00000001657169</v>
      </c>
    </row>
    <row r="10087" spans="1:40" x14ac:dyDescent="0.25">
      <c r="A10087" t="str">
        <f>"20190303154037123"</f>
        <v>20190303154037123</v>
      </c>
      <c r="B10087" t="str">
        <f>"1551598837117901"</f>
        <v>1551598837117901</v>
      </c>
      <c r="C10087" t="s">
        <v>40</v>
      </c>
      <c r="D10087">
        <v>5.06175</v>
      </c>
      <c r="E10087">
        <v>0.61100449999999995</v>
      </c>
      <c r="F10087" t="s">
        <v>42</v>
      </c>
      <c r="G10087">
        <v>-165.0069</v>
      </c>
      <c r="H10087" s="1">
        <v>-3.101994E-6</v>
      </c>
      <c r="I10087">
        <v>135.32480000000001</v>
      </c>
      <c r="J10087">
        <v>-179.93549999999999</v>
      </c>
      <c r="K10087">
        <v>1.1176170000000001</v>
      </c>
      <c r="L10087">
        <v>132.7747</v>
      </c>
      <c r="M10087">
        <v>0.74173120000000003</v>
      </c>
      <c r="N10087">
        <v>-1.446777E-2</v>
      </c>
      <c r="O10087">
        <v>0.67054119999999995</v>
      </c>
      <c r="P10087">
        <v>0.89081980000000005</v>
      </c>
      <c r="Q10087">
        <v>-0.11345139999999999</v>
      </c>
      <c r="R10087">
        <v>0.43996469999999999</v>
      </c>
      <c r="S10087">
        <v>3.077591</v>
      </c>
      <c r="T10087">
        <v>-0.2288772</v>
      </c>
      <c r="U10087">
        <v>0.53884889999999996</v>
      </c>
      <c r="V10087">
        <v>0.270177</v>
      </c>
      <c r="W10087">
        <v>-0.1018857</v>
      </c>
      <c r="X10087">
        <v>0.9574047</v>
      </c>
      <c r="Y10087">
        <v>0.53014079999999997</v>
      </c>
      <c r="Z10087">
        <v>-5.8008909999999997E-2</v>
      </c>
      <c r="AA10087">
        <v>0.84592299999999998</v>
      </c>
      <c r="AB10087">
        <v>16</v>
      </c>
      <c r="AC10087">
        <v>14.9285999999999</v>
      </c>
      <c r="AD10087">
        <v>-1.117620101994</v>
      </c>
      <c r="AE10087">
        <v>2.5501000000000098</v>
      </c>
      <c r="AF10087">
        <v>8.0756245114248699</v>
      </c>
      <c r="AG10087">
        <v>-1.117620101994</v>
      </c>
      <c r="AH10087">
        <v>12.7150504002106</v>
      </c>
      <c r="AI10087">
        <v>94.243417805315403</v>
      </c>
      <c r="AJ10087">
        <v>57.579419257056301</v>
      </c>
      <c r="AK10087">
        <v>15.104214399359</v>
      </c>
      <c r="AL10087">
        <v>95.847767640225399</v>
      </c>
      <c r="AM10087">
        <v>74.241078114705502</v>
      </c>
      <c r="AN10087">
        <v>1.0000000333877801</v>
      </c>
    </row>
    <row r="10088" spans="1:40" x14ac:dyDescent="0.25">
      <c r="A10088" t="str">
        <f>"20190303154037139"</f>
        <v>20190303154037139</v>
      </c>
      <c r="B10088" t="str">
        <f>"1551598837128635"</f>
        <v>1551598837128635</v>
      </c>
      <c r="C10088" t="s">
        <v>40</v>
      </c>
      <c r="D10088">
        <v>5.0743669999999996</v>
      </c>
      <c r="E10088">
        <v>0.61015459999999999</v>
      </c>
      <c r="F10088" t="s">
        <v>42</v>
      </c>
      <c r="G10088">
        <v>-165.78970000000001</v>
      </c>
      <c r="H10088" s="1">
        <v>-2.7694909999999999E-6</v>
      </c>
      <c r="I10088">
        <v>135.22489999999999</v>
      </c>
      <c r="J10088">
        <v>-179.84289999999999</v>
      </c>
      <c r="K10088">
        <v>1.1176349999999999</v>
      </c>
      <c r="L10088">
        <v>132.8494</v>
      </c>
      <c r="M10088">
        <v>0.74548999999999999</v>
      </c>
      <c r="N10088">
        <v>-1.4462849999999999E-2</v>
      </c>
      <c r="O10088">
        <v>0.6663599</v>
      </c>
      <c r="P10088">
        <v>0.8926444</v>
      </c>
      <c r="Q10088">
        <v>-0.1131075</v>
      </c>
      <c r="R10088">
        <v>0.43634010000000001</v>
      </c>
      <c r="S10088">
        <v>3.0738219999999998</v>
      </c>
      <c r="T10088">
        <v>-0.24285480000000001</v>
      </c>
      <c r="U10088">
        <v>0.53240969999999999</v>
      </c>
      <c r="V10088">
        <v>0.26872220000000002</v>
      </c>
      <c r="W10088">
        <v>-0.10151979999999999</v>
      </c>
      <c r="X10088">
        <v>0.95785279999999995</v>
      </c>
      <c r="Y10088">
        <v>0.52659239999999996</v>
      </c>
      <c r="Z10088">
        <v>-6.1731830000000001E-2</v>
      </c>
      <c r="AA10088">
        <v>0.84787359999999901</v>
      </c>
      <c r="AB10088">
        <v>16</v>
      </c>
      <c r="AC10088">
        <v>14.053199999999901</v>
      </c>
      <c r="AD10088">
        <v>-1.117637769491</v>
      </c>
      <c r="AE10088">
        <v>2.3754999999999802</v>
      </c>
      <c r="AF10088">
        <v>7.5479579775935299</v>
      </c>
      <c r="AG10088">
        <v>-1.117637769491</v>
      </c>
      <c r="AH10088">
        <v>11.987009136950601</v>
      </c>
      <c r="AI10088">
        <v>94.5112250456759</v>
      </c>
      <c r="AJ10088">
        <v>57.8022744919164</v>
      </c>
      <c r="AK10088">
        <v>14.209474721630199</v>
      </c>
      <c r="AL10088">
        <v>95.826694398620205</v>
      </c>
      <c r="AM10088">
        <v>74.328724726758693</v>
      </c>
      <c r="AN10088">
        <v>0.99999993851635804</v>
      </c>
    </row>
    <row r="10089" spans="1:40" x14ac:dyDescent="0.25">
      <c r="A10089" t="str">
        <f>"20190303154037155"</f>
        <v>20190303154037155</v>
      </c>
      <c r="B10089" t="str">
        <f>"1551598837148156"</f>
        <v>1551598837148156</v>
      </c>
      <c r="C10089" t="s">
        <v>40</v>
      </c>
      <c r="D10089">
        <v>5.0487970000000004</v>
      </c>
      <c r="E10089">
        <v>0.60920790000000002</v>
      </c>
      <c r="F10089" t="s">
        <v>42</v>
      </c>
      <c r="G10089">
        <v>-166.00810000000001</v>
      </c>
      <c r="H10089" s="1">
        <v>-2.687988E-6</v>
      </c>
      <c r="I10089">
        <v>135.21600000000001</v>
      </c>
      <c r="J10089">
        <v>-179.75280000000001</v>
      </c>
      <c r="K10089">
        <v>1.1176489999999999</v>
      </c>
      <c r="L10089">
        <v>132.92140000000001</v>
      </c>
      <c r="M10089">
        <v>0.74910900000000002</v>
      </c>
      <c r="N10089">
        <v>-1.445812E-2</v>
      </c>
      <c r="O10089">
        <v>0.66228900000000002</v>
      </c>
      <c r="P10089">
        <v>0.8945554</v>
      </c>
      <c r="Q10089">
        <v>-0.11328100000000001</v>
      </c>
      <c r="R10089">
        <v>0.43236350000000001</v>
      </c>
      <c r="S10089">
        <v>3.0724640000000001</v>
      </c>
      <c r="T10089">
        <v>-0.24820719999999999</v>
      </c>
      <c r="U10089">
        <v>0.52557369999999903</v>
      </c>
      <c r="V10089">
        <v>0.26775510000000002</v>
      </c>
      <c r="W10089">
        <v>-0.10167859999999999</v>
      </c>
      <c r="X10089">
        <v>0.95810680000000004</v>
      </c>
      <c r="Y10089">
        <v>0.52361069999999998</v>
      </c>
      <c r="Z10089">
        <v>-6.2989260000000005E-2</v>
      </c>
      <c r="AA10089">
        <v>0.84962590000000004</v>
      </c>
      <c r="AB10089">
        <v>16</v>
      </c>
      <c r="AC10089">
        <v>13.7446999999999</v>
      </c>
      <c r="AD10089">
        <v>-1.1176516879880001</v>
      </c>
      <c r="AE10089">
        <v>2.2946</v>
      </c>
      <c r="AF10089">
        <v>7.3376278838564497</v>
      </c>
      <c r="AG10089">
        <v>-1.1176516879880001</v>
      </c>
      <c r="AH10089">
        <v>11.741669187466799</v>
      </c>
      <c r="AI10089">
        <v>94.614969673791805</v>
      </c>
      <c r="AJ10089">
        <v>57.997828892265098</v>
      </c>
      <c r="AK10089">
        <v>13.8908863491685</v>
      </c>
      <c r="AL10089">
        <v>95.835840018671604</v>
      </c>
      <c r="AM10089">
        <v>74.386305198644095</v>
      </c>
      <c r="AN10089">
        <v>0.99999998574010496</v>
      </c>
    </row>
    <row r="10090" spans="1:40" x14ac:dyDescent="0.25">
      <c r="A10090" t="str">
        <f>"20190303154037173"</f>
        <v>20190303154037173</v>
      </c>
      <c r="B10090" t="str">
        <f>"1551598837167675"</f>
        <v>1551598837167675</v>
      </c>
      <c r="C10090" t="s">
        <v>40</v>
      </c>
      <c r="D10090">
        <v>5.0689140000000004</v>
      </c>
      <c r="E10090">
        <v>0.60839339999999997</v>
      </c>
      <c r="F10090" t="s">
        <v>42</v>
      </c>
      <c r="G10090">
        <v>-166.47030000000001</v>
      </c>
      <c r="H10090" s="1">
        <v>-2.524609E-6</v>
      </c>
      <c r="I10090">
        <v>135.16290000000001</v>
      </c>
      <c r="J10090">
        <v>-179.6491</v>
      </c>
      <c r="K10090">
        <v>1.117656</v>
      </c>
      <c r="L10090">
        <v>133.00319999999999</v>
      </c>
      <c r="M10090">
        <v>0.75322909999999998</v>
      </c>
      <c r="N10090">
        <v>-1.445279E-2</v>
      </c>
      <c r="O10090">
        <v>0.65759939999999995</v>
      </c>
      <c r="P10090">
        <v>0.89663150000000003</v>
      </c>
      <c r="Q10090">
        <v>-0.1133313</v>
      </c>
      <c r="R10090">
        <v>0.42802820000000003</v>
      </c>
      <c r="S10090">
        <v>3.0704349999999998</v>
      </c>
      <c r="T10090">
        <v>-0.2583607</v>
      </c>
      <c r="U10090">
        <v>0.51815800000000001</v>
      </c>
      <c r="V10090">
        <v>0.26641189999999998</v>
      </c>
      <c r="W10090">
        <v>-0.1017089</v>
      </c>
      <c r="X10090">
        <v>0.95847800000000005</v>
      </c>
      <c r="Y10090">
        <v>0.51994839999999998</v>
      </c>
      <c r="Z10090">
        <v>-6.5523390000000001E-2</v>
      </c>
      <c r="AA10090">
        <v>0.85168089999999996</v>
      </c>
      <c r="AB10090">
        <v>16</v>
      </c>
      <c r="AC10090">
        <v>13.178799999999899</v>
      </c>
      <c r="AD10090">
        <v>-1.1176585246089901</v>
      </c>
      <c r="AE10090">
        <v>2.1597000000000102</v>
      </c>
      <c r="AF10090">
        <v>6.9913887436354196</v>
      </c>
      <c r="AG10090">
        <v>-1.1176585246089901</v>
      </c>
      <c r="AH10090">
        <v>11.26912777629</v>
      </c>
      <c r="AI10090">
        <v>94.817341336900895</v>
      </c>
      <c r="AJ10090">
        <v>58.184455157089999</v>
      </c>
      <c r="AK10090">
        <v>13.308715865199501</v>
      </c>
      <c r="AL10090">
        <v>95.837584817999499</v>
      </c>
      <c r="AM10090">
        <v>74.466565514828801</v>
      </c>
      <c r="AN10090">
        <v>1.0000000386423999</v>
      </c>
    </row>
    <row r="10091" spans="1:40" x14ac:dyDescent="0.25">
      <c r="A10091" t="str">
        <f>"20190303154037195"</f>
        <v>20190303154037195</v>
      </c>
      <c r="B10091" t="str">
        <f>"1551598837188171"</f>
        <v>1551598837188171</v>
      </c>
      <c r="C10091" t="s">
        <v>40</v>
      </c>
      <c r="D10091">
        <v>5.0498159999999999</v>
      </c>
      <c r="E10091">
        <v>0.60750939999999998</v>
      </c>
      <c r="F10091" t="s">
        <v>42</v>
      </c>
      <c r="G10091">
        <v>-166.77109999999999</v>
      </c>
      <c r="H10091" s="1">
        <v>-2.4159419999999999E-6</v>
      </c>
      <c r="I10091">
        <v>135.13730000000001</v>
      </c>
      <c r="J10091">
        <v>-179.51730000000001</v>
      </c>
      <c r="K10091">
        <v>1.1176699999999999</v>
      </c>
      <c r="L10091">
        <v>133.10570000000001</v>
      </c>
      <c r="M10091">
        <v>0.75839690000000004</v>
      </c>
      <c r="N10091">
        <v>-1.444612E-2</v>
      </c>
      <c r="O10091">
        <v>0.65163280000000001</v>
      </c>
      <c r="P10091">
        <v>0.89959059999999902</v>
      </c>
      <c r="Q10091">
        <v>-0.11382680000000001</v>
      </c>
      <c r="R10091">
        <v>0.42164000000000001</v>
      </c>
      <c r="S10091">
        <v>3.069366</v>
      </c>
      <c r="T10091">
        <v>-0.26638289999999998</v>
      </c>
      <c r="U10091">
        <v>0.50863649999999905</v>
      </c>
      <c r="V10091">
        <v>0.2656229</v>
      </c>
      <c r="W10091">
        <v>-0.1021913</v>
      </c>
      <c r="X10091">
        <v>0.95864559999999999</v>
      </c>
      <c r="Y10091">
        <v>0.51553740000000003</v>
      </c>
      <c r="Z10091">
        <v>-6.7326300000000006E-2</v>
      </c>
      <c r="AA10091">
        <v>0.85421789999999997</v>
      </c>
      <c r="AB10091">
        <v>16</v>
      </c>
      <c r="AC10091">
        <v>12.7462</v>
      </c>
      <c r="AD10091">
        <v>-1.117672415942</v>
      </c>
      <c r="AE10091">
        <v>2.0315999999999899</v>
      </c>
      <c r="AF10091">
        <v>6.715433924269</v>
      </c>
      <c r="AG10091">
        <v>-1.117672415942</v>
      </c>
      <c r="AH10091">
        <v>10.9098762440532</v>
      </c>
      <c r="AI10091">
        <v>94.986030482857203</v>
      </c>
      <c r="AJ10091">
        <v>58.386159953645098</v>
      </c>
      <c r="AK10091">
        <v>12.859690668174601</v>
      </c>
      <c r="AL10091">
        <v>95.865369377017501</v>
      </c>
      <c r="AM10091">
        <v>74.512935082541404</v>
      </c>
      <c r="AN10091">
        <v>0.999999986599729</v>
      </c>
    </row>
    <row r="10092" spans="1:40" x14ac:dyDescent="0.25">
      <c r="A10092" t="str">
        <f>"20190303154037208"</f>
        <v>20190303154037208</v>
      </c>
      <c r="B10092" t="str">
        <f>"1551598837197931"</f>
        <v>1551598837197931</v>
      </c>
      <c r="C10092" t="s">
        <v>40</v>
      </c>
      <c r="D10092">
        <v>5.0870419999999896</v>
      </c>
      <c r="E10092">
        <v>0.60707769999999905</v>
      </c>
      <c r="F10092" t="s">
        <v>42</v>
      </c>
      <c r="G10092">
        <v>-167.0446</v>
      </c>
      <c r="H10092" s="1">
        <v>-2.3187220000000001E-6</v>
      </c>
      <c r="I10092">
        <v>135.1078</v>
      </c>
      <c r="J10092">
        <v>-179.4409</v>
      </c>
      <c r="K10092">
        <v>1.11768</v>
      </c>
      <c r="L10092">
        <v>133.1644</v>
      </c>
      <c r="M10092">
        <v>0.76135750000000002</v>
      </c>
      <c r="N10092">
        <v>-1.444227E-2</v>
      </c>
      <c r="O10092">
        <v>0.64817150000000001</v>
      </c>
      <c r="P10092">
        <v>0.90129559999999997</v>
      </c>
      <c r="Q10092">
        <v>-0.1139635</v>
      </c>
      <c r="R10092">
        <v>0.41794569999999998</v>
      </c>
      <c r="S10092">
        <v>3.0691380000000001</v>
      </c>
      <c r="T10092">
        <v>-0.2750242</v>
      </c>
      <c r="U10092">
        <v>0.4926758</v>
      </c>
      <c r="V10092">
        <v>0.26517980000000002</v>
      </c>
      <c r="W10092">
        <v>-0.10232040000000001</v>
      </c>
      <c r="X10092">
        <v>0.95875449999999995</v>
      </c>
      <c r="Y10092">
        <v>0.51571880000000003</v>
      </c>
      <c r="Z10092">
        <v>-6.9616109999999995E-2</v>
      </c>
      <c r="AA10092">
        <v>0.85392489999999999</v>
      </c>
      <c r="AB10092">
        <v>16</v>
      </c>
      <c r="AC10092">
        <v>12.396299999999901</v>
      </c>
      <c r="AD10092">
        <v>-1.117682318722</v>
      </c>
      <c r="AE10092">
        <v>1.94339999999999</v>
      </c>
      <c r="AF10092">
        <v>6.5043819663554698</v>
      </c>
      <c r="AG10092">
        <v>-1.117682318722</v>
      </c>
      <c r="AH10092">
        <v>10.614568683100201</v>
      </c>
      <c r="AI10092">
        <v>95.130336678555807</v>
      </c>
      <c r="AJ10092">
        <v>58.500918620302897</v>
      </c>
      <c r="AK10092">
        <v>12.4990106351697</v>
      </c>
      <c r="AL10092">
        <v>95.872805214566895</v>
      </c>
      <c r="AM10092">
        <v>74.539204990278094</v>
      </c>
      <c r="AN10092">
        <v>0.99999999092722403</v>
      </c>
    </row>
    <row r="10093" spans="1:40" x14ac:dyDescent="0.25">
      <c r="A10093" t="str">
        <f>"20190303154037219"</f>
        <v>20190303154037219</v>
      </c>
      <c r="B10093" t="str">
        <f>"1551598837208667"</f>
        <v>1551598837208667</v>
      </c>
      <c r="C10093" t="s">
        <v>40</v>
      </c>
      <c r="D10093">
        <v>5.0715000000000003</v>
      </c>
      <c r="E10093">
        <v>0.60665290000000005</v>
      </c>
      <c r="F10093" t="s">
        <v>42</v>
      </c>
      <c r="G10093">
        <v>-167.1396</v>
      </c>
      <c r="H10093" s="1">
        <v>-2.284244E-6</v>
      </c>
      <c r="I10093">
        <v>135.10040000000001</v>
      </c>
      <c r="J10093">
        <v>-179.37739999999999</v>
      </c>
      <c r="K10093">
        <v>1.1176870000000001</v>
      </c>
      <c r="L10093">
        <v>133.21250000000001</v>
      </c>
      <c r="M10093">
        <v>0.7637931</v>
      </c>
      <c r="N10093">
        <v>-1.443904E-2</v>
      </c>
      <c r="O10093">
        <v>0.64529969999999903</v>
      </c>
      <c r="P10093">
        <v>0.9027463</v>
      </c>
      <c r="Q10093">
        <v>-0.11401210000000001</v>
      </c>
      <c r="R10093">
        <v>0.41478979999999999</v>
      </c>
      <c r="S10093">
        <v>3.0693049999999999</v>
      </c>
      <c r="T10093">
        <v>-0.27887309999999998</v>
      </c>
      <c r="U10093">
        <v>0.48304750000000002</v>
      </c>
      <c r="V10093">
        <v>0.26492169999999998</v>
      </c>
      <c r="W10093">
        <v>-0.10236389999999999</v>
      </c>
      <c r="X10093">
        <v>0.95882120000000004</v>
      </c>
      <c r="Y10093">
        <v>0.51501419999999998</v>
      </c>
      <c r="Z10093">
        <v>-7.0528889999999997E-2</v>
      </c>
      <c r="AA10093">
        <v>0.85427520000000001</v>
      </c>
      <c r="AB10093">
        <v>16</v>
      </c>
      <c r="AC10093">
        <v>12.237799999999901</v>
      </c>
      <c r="AD10093">
        <v>-1.117689284244</v>
      </c>
      <c r="AE10093">
        <v>1.8878999999999999</v>
      </c>
      <c r="AF10093">
        <v>6.4035836062840801</v>
      </c>
      <c r="AG10093">
        <v>-1.117689284244</v>
      </c>
      <c r="AH10093">
        <v>10.4811153637767</v>
      </c>
      <c r="AI10093">
        <v>95.199513070318403</v>
      </c>
      <c r="AJ10093">
        <v>58.576573976732398</v>
      </c>
      <c r="AK10093">
        <v>12.3332433531322</v>
      </c>
      <c r="AL10093">
        <v>95.875310775562198</v>
      </c>
      <c r="AM10093">
        <v>74.554557308977607</v>
      </c>
      <c r="AN10093">
        <v>0.99999998436176896</v>
      </c>
    </row>
    <row r="10094" spans="1:40" x14ac:dyDescent="0.25">
      <c r="A10094" t="str">
        <f>"20190303154037231"</f>
        <v>20190303154037231</v>
      </c>
      <c r="B10094" t="str">
        <f>"1551598837228187"</f>
        <v>1551598837228187</v>
      </c>
      <c r="C10094" t="s">
        <v>40</v>
      </c>
      <c r="D10094">
        <v>5.0699829999999997</v>
      </c>
      <c r="E10094">
        <v>0.60607900000000003</v>
      </c>
      <c r="F10094" t="s">
        <v>42</v>
      </c>
      <c r="G10094">
        <v>-167.22919999999999</v>
      </c>
      <c r="H10094" s="1">
        <v>-2.251787E-6</v>
      </c>
      <c r="I10094">
        <v>135.09299999999999</v>
      </c>
      <c r="J10094">
        <v>-179.3117</v>
      </c>
      <c r="K10094">
        <v>1.117696</v>
      </c>
      <c r="L10094">
        <v>133.26230000000001</v>
      </c>
      <c r="M10094">
        <v>0.76630379999999998</v>
      </c>
      <c r="N10094">
        <v>-1.4435740000000001E-2</v>
      </c>
      <c r="O10094">
        <v>0.64231609999999995</v>
      </c>
      <c r="P10094">
        <v>0.90415760000000001</v>
      </c>
      <c r="Q10094">
        <v>-0.11436490000000001</v>
      </c>
      <c r="R10094">
        <v>0.41160659999999999</v>
      </c>
      <c r="S10094">
        <v>3.069229</v>
      </c>
      <c r="T10094">
        <v>-0.28238190000000002</v>
      </c>
      <c r="U10094">
        <v>0.47509770000000001</v>
      </c>
      <c r="V10094">
        <v>0.26453159999999998</v>
      </c>
      <c r="W10094">
        <v>-0.10271039999999999</v>
      </c>
      <c r="X10094">
        <v>0.95889190000000002</v>
      </c>
      <c r="Y10094">
        <v>0.51374129999999996</v>
      </c>
      <c r="Z10094">
        <v>-7.1306549999999996E-2</v>
      </c>
      <c r="AA10094">
        <v>0.85497679999999998</v>
      </c>
      <c r="AB10094">
        <v>16</v>
      </c>
      <c r="AC10094">
        <v>12.0825</v>
      </c>
      <c r="AD10094">
        <v>-1.117698251787</v>
      </c>
      <c r="AE10094">
        <v>1.83069999999997</v>
      </c>
      <c r="AF10094">
        <v>6.3058251759001998</v>
      </c>
      <c r="AG10094">
        <v>-1.117698251787</v>
      </c>
      <c r="AH10094">
        <v>10.3492677787905</v>
      </c>
      <c r="AI10094">
        <v>95.269297140503198</v>
      </c>
      <c r="AJ10094">
        <v>58.645982567824397</v>
      </c>
      <c r="AK10094">
        <v>12.170457020513901</v>
      </c>
      <c r="AL10094">
        <v>95.895268661404103</v>
      </c>
      <c r="AM10094">
        <v>74.577300266954396</v>
      </c>
      <c r="AN10094">
        <v>1.00000003477616</v>
      </c>
    </row>
    <row r="10095" spans="1:40" x14ac:dyDescent="0.25">
      <c r="A10095" t="str">
        <f>"20190303154037250"</f>
        <v>20190303154037250</v>
      </c>
      <c r="B10095" t="str">
        <f>"1551598837247707"</f>
        <v>1551598837247707</v>
      </c>
      <c r="C10095" t="s">
        <v>40</v>
      </c>
      <c r="D10095">
        <v>5.0510169999999999</v>
      </c>
      <c r="E10095">
        <v>0.60564899999999999</v>
      </c>
      <c r="F10095" t="s">
        <v>42</v>
      </c>
      <c r="G10095">
        <v>-167.4023</v>
      </c>
      <c r="H10095" s="1">
        <v>-2.1889139999999999E-6</v>
      </c>
      <c r="I10095">
        <v>135.07939999999999</v>
      </c>
      <c r="J10095">
        <v>-179.19540000000001</v>
      </c>
      <c r="K10095">
        <v>1.117704</v>
      </c>
      <c r="L10095">
        <v>133.34909999999999</v>
      </c>
      <c r="M10095">
        <v>0.77069219999999905</v>
      </c>
      <c r="N10095">
        <v>-1.442981E-2</v>
      </c>
      <c r="O10095">
        <v>0.63704430000000001</v>
      </c>
      <c r="P10095">
        <v>0.90658530000000004</v>
      </c>
      <c r="Q10095">
        <v>-0.1144428</v>
      </c>
      <c r="R10095">
        <v>0.4062096</v>
      </c>
      <c r="S10095">
        <v>3.068451</v>
      </c>
      <c r="T10095">
        <v>-0.28797610000000001</v>
      </c>
      <c r="U10095">
        <v>0.46818539999999997</v>
      </c>
      <c r="V10095">
        <v>0.2636676</v>
      </c>
      <c r="W10095">
        <v>-0.1027744</v>
      </c>
      <c r="X10095">
        <v>0.95912299999999995</v>
      </c>
      <c r="Y10095">
        <v>0.50957200000000002</v>
      </c>
      <c r="Z10095">
        <v>-7.2387309999999996E-2</v>
      </c>
      <c r="AA10095">
        <v>0.85737770000000002</v>
      </c>
      <c r="AB10095">
        <v>16</v>
      </c>
      <c r="AC10095">
        <v>11.793100000000001</v>
      </c>
      <c r="AD10095">
        <v>-1.1177061889139901</v>
      </c>
      <c r="AE10095">
        <v>1.73029999999999</v>
      </c>
      <c r="AF10095">
        <v>6.1259742202635197</v>
      </c>
      <c r="AG10095">
        <v>-1.1177061889139901</v>
      </c>
      <c r="AH10095">
        <v>10.103347191956299</v>
      </c>
      <c r="AI10095">
        <v>95.403922000438698</v>
      </c>
      <c r="AJ10095">
        <v>58.770261304706899</v>
      </c>
      <c r="AK10095">
        <v>11.8682118178469</v>
      </c>
      <c r="AL10095">
        <v>95.898954980931293</v>
      </c>
      <c r="AM10095">
        <v>74.628815295784406</v>
      </c>
      <c r="AN10095">
        <v>1.00000005485705</v>
      </c>
    </row>
    <row r="10096" spans="1:40" x14ac:dyDescent="0.25">
      <c r="A10096" t="str">
        <f>"20190303154037264"</f>
        <v>20190303154037264</v>
      </c>
      <c r="B10096" t="str">
        <f>"1551598837258443"</f>
        <v>1551598837258443</v>
      </c>
      <c r="C10096" t="s">
        <v>40</v>
      </c>
      <c r="D10096">
        <v>5.072927</v>
      </c>
      <c r="E10096">
        <v>0.6053847</v>
      </c>
      <c r="F10096" t="s">
        <v>42</v>
      </c>
      <c r="G10096">
        <v>-167.40479999999999</v>
      </c>
      <c r="H10096" s="1">
        <v>-2.1854810000000002E-6</v>
      </c>
      <c r="I10096">
        <v>135.08869999999999</v>
      </c>
      <c r="J10096">
        <v>-179.11529999999999</v>
      </c>
      <c r="K10096">
        <v>1.117713</v>
      </c>
      <c r="L10096">
        <v>133.40809999999999</v>
      </c>
      <c r="M10096">
        <v>0.77367959999999902</v>
      </c>
      <c r="N10096">
        <v>-1.442571E-2</v>
      </c>
      <c r="O10096">
        <v>0.6334128</v>
      </c>
      <c r="P10096">
        <v>0.90819799999999995</v>
      </c>
      <c r="Q10096">
        <v>-0.1143974</v>
      </c>
      <c r="R10096">
        <v>0.4026034</v>
      </c>
      <c r="S10096">
        <v>3.0694729999999999</v>
      </c>
      <c r="T10096">
        <v>-0.29097590000000001</v>
      </c>
      <c r="U10096">
        <v>0.45288089999999998</v>
      </c>
      <c r="V10096">
        <v>0.2629764</v>
      </c>
      <c r="W10096">
        <v>-0.102718</v>
      </c>
      <c r="X10096">
        <v>0.95931880000000003</v>
      </c>
      <c r="Y10096">
        <v>0.50967169999999995</v>
      </c>
      <c r="Z10096">
        <v>-7.3042700000000002E-2</v>
      </c>
      <c r="AA10096">
        <v>0.85726279999999999</v>
      </c>
      <c r="AB10096">
        <v>16</v>
      </c>
      <c r="AC10096">
        <v>11.7104999999999</v>
      </c>
      <c r="AD10096">
        <v>-1.1177151854809999</v>
      </c>
      <c r="AE10096">
        <v>1.6805999999999901</v>
      </c>
      <c r="AF10096">
        <v>6.0638452900939299</v>
      </c>
      <c r="AG10096">
        <v>-1.1177151854809999</v>
      </c>
      <c r="AH10096">
        <v>10.036159233668499</v>
      </c>
      <c r="AI10096">
        <v>95.445033955192699</v>
      </c>
      <c r="AJ10096">
        <v>58.859637298726597</v>
      </c>
      <c r="AK10096">
        <v>11.7789642626845</v>
      </c>
      <c r="AL10096">
        <v>95.895706232505404</v>
      </c>
      <c r="AM10096">
        <v>74.670194077039596</v>
      </c>
      <c r="AN10096">
        <v>1.00000006725719</v>
      </c>
    </row>
    <row r="10097" spans="1:40" x14ac:dyDescent="0.25">
      <c r="A10097" t="str">
        <f>"20190303154037275"</f>
        <v>20190303154037275</v>
      </c>
      <c r="B10097" t="str">
        <f>"1551598837268203"</f>
        <v>1551598837268203</v>
      </c>
      <c r="C10097" t="s">
        <v>40</v>
      </c>
      <c r="D10097">
        <v>5.0787820000000004</v>
      </c>
      <c r="E10097">
        <v>0.6051221</v>
      </c>
      <c r="F10097" t="s">
        <v>42</v>
      </c>
      <c r="G10097">
        <v>-167.39340000000001</v>
      </c>
      <c r="H10097" s="1">
        <v>-2.187524E-6</v>
      </c>
      <c r="I10097">
        <v>135.0976</v>
      </c>
      <c r="J10097">
        <v>-179.0547</v>
      </c>
      <c r="K10097">
        <v>1.117726</v>
      </c>
      <c r="L10097">
        <v>133.45240000000001</v>
      </c>
      <c r="M10097">
        <v>0.77592439999999996</v>
      </c>
      <c r="N10097">
        <v>-1.4422610000000001E-2</v>
      </c>
      <c r="O10097">
        <v>0.63066109999999997</v>
      </c>
      <c r="P10097">
        <v>0.90932979999999997</v>
      </c>
      <c r="Q10097">
        <v>-0.1145664</v>
      </c>
      <c r="R10097">
        <v>0.39999240000000003</v>
      </c>
      <c r="S10097">
        <v>3.0701900000000002</v>
      </c>
      <c r="T10097">
        <v>-0.29274990000000001</v>
      </c>
      <c r="U10097">
        <v>0.44252010000000003</v>
      </c>
      <c r="V10097">
        <v>0.26231379999999999</v>
      </c>
      <c r="W10097">
        <v>-0.1028772</v>
      </c>
      <c r="X10097">
        <v>0.95948310000000003</v>
      </c>
      <c r="Y10097">
        <v>0.50943570000000005</v>
      </c>
      <c r="Z10097">
        <v>-7.3379860000000005E-2</v>
      </c>
      <c r="AA10097">
        <v>0.85737430000000003</v>
      </c>
      <c r="AB10097">
        <v>16</v>
      </c>
      <c r="AC10097">
        <v>11.661299999999899</v>
      </c>
      <c r="AD10097">
        <v>-1.1177281875239999</v>
      </c>
      <c r="AE10097">
        <v>1.64519999999998</v>
      </c>
      <c r="AF10097">
        <v>6.0241450125468896</v>
      </c>
      <c r="AG10097">
        <v>-1.1177281875239999</v>
      </c>
      <c r="AH10097">
        <v>9.9968497455327192</v>
      </c>
      <c r="AI10097">
        <v>95.470214432019304</v>
      </c>
      <c r="AJ10097">
        <v>58.926650758972599</v>
      </c>
      <c r="AK10097">
        <v>11.7250434655116</v>
      </c>
      <c r="AL10097">
        <v>95.904876499956501</v>
      </c>
      <c r="AM10097">
        <v>74.709504821643193</v>
      </c>
      <c r="AN10097">
        <v>1.00000003356794</v>
      </c>
    </row>
    <row r="10098" spans="1:40" x14ac:dyDescent="0.25">
      <c r="A10098" t="str">
        <f>"20190303154037286"</f>
        <v>20190303154037286</v>
      </c>
      <c r="B10098" t="str">
        <f>"1551598837277963"</f>
        <v>1551598837277963</v>
      </c>
      <c r="C10098" t="s">
        <v>40</v>
      </c>
      <c r="D10098">
        <v>5.0468970000000004</v>
      </c>
      <c r="E10098">
        <v>0.60493079999999999</v>
      </c>
      <c r="F10098" t="s">
        <v>42</v>
      </c>
      <c r="G10098">
        <v>-167.40530000000001</v>
      </c>
      <c r="H10098" s="1">
        <v>-2.1809409999999998E-6</v>
      </c>
      <c r="I10098">
        <v>135.10499999999999</v>
      </c>
      <c r="J10098">
        <v>-178.98249999999999</v>
      </c>
      <c r="K10098">
        <v>1.117734</v>
      </c>
      <c r="L10098">
        <v>133.50479999999999</v>
      </c>
      <c r="M10098">
        <v>0.77857739999999998</v>
      </c>
      <c r="N10098">
        <v>-1.441893E-2</v>
      </c>
      <c r="O10098">
        <v>0.62738289999999997</v>
      </c>
      <c r="P10098">
        <v>0.9106862</v>
      </c>
      <c r="Q10098">
        <v>-0.1145052</v>
      </c>
      <c r="R10098">
        <v>0.3969124</v>
      </c>
      <c r="S10098">
        <v>3.0704189999999998</v>
      </c>
      <c r="T10098">
        <v>-0.29459980000000002</v>
      </c>
      <c r="U10098">
        <v>0.4355927</v>
      </c>
      <c r="V10098">
        <v>0.26152320000000001</v>
      </c>
      <c r="W10098">
        <v>-0.1028039</v>
      </c>
      <c r="X10098">
        <v>0.95970670000000002</v>
      </c>
      <c r="Y10098">
        <v>0.50767510000000005</v>
      </c>
      <c r="Z10098">
        <v>-7.3623140000000004E-2</v>
      </c>
      <c r="AA10098">
        <v>0.85839719999999997</v>
      </c>
      <c r="AB10098">
        <v>16</v>
      </c>
      <c r="AC10098">
        <v>11.5771999999999</v>
      </c>
      <c r="AD10098">
        <v>-1.117736180941</v>
      </c>
      <c r="AE10098">
        <v>1.6002000000000001</v>
      </c>
      <c r="AF10098">
        <v>5.9635382303407596</v>
      </c>
      <c r="AG10098">
        <v>-1.117736180941</v>
      </c>
      <c r="AH10098">
        <v>9.9279207746265197</v>
      </c>
      <c r="AI10098">
        <v>95.512647017335993</v>
      </c>
      <c r="AJ10098">
        <v>59.007456674163301</v>
      </c>
      <c r="AK10098">
        <v>11.6351507640503</v>
      </c>
      <c r="AL10098">
        <v>95.900654602695795</v>
      </c>
      <c r="AM10098">
        <v>74.756828628349297</v>
      </c>
      <c r="AN10098">
        <v>0.99999998800916901</v>
      </c>
    </row>
    <row r="10099" spans="1:40" x14ac:dyDescent="0.25">
      <c r="A10099" t="str">
        <f>"20190303154037302"</f>
        <v>20190303154037302</v>
      </c>
      <c r="B10099" t="str">
        <f>"1551598837298459"</f>
        <v>1551598837298459</v>
      </c>
      <c r="C10099" t="s">
        <v>40</v>
      </c>
      <c r="D10099">
        <v>4.7834029999999998</v>
      </c>
      <c r="E10099">
        <v>0.60648199999999997</v>
      </c>
      <c r="F10099" t="s">
        <v>42</v>
      </c>
      <c r="G10099">
        <v>-167.3733</v>
      </c>
      <c r="H10099" s="1">
        <v>-2.1900889999999999E-6</v>
      </c>
      <c r="I10099">
        <v>135.11689999999999</v>
      </c>
      <c r="J10099">
        <v>-178.89760000000001</v>
      </c>
      <c r="K10099">
        <v>1.1177440000000001</v>
      </c>
      <c r="L10099">
        <v>133.56559999999999</v>
      </c>
      <c r="M10099">
        <v>0.78166409999999997</v>
      </c>
      <c r="N10099">
        <v>-1.441448E-2</v>
      </c>
      <c r="O10099">
        <v>0.62353309999999995</v>
      </c>
      <c r="P10099">
        <v>0.91226050000000003</v>
      </c>
      <c r="Q10099">
        <v>-0.1145892</v>
      </c>
      <c r="R10099">
        <v>0.39325599999999999</v>
      </c>
      <c r="S10099">
        <v>3.071167</v>
      </c>
      <c r="T10099">
        <v>-0.2956934</v>
      </c>
      <c r="U10099">
        <v>0.42648320000000001</v>
      </c>
      <c r="V10099">
        <v>0.26063419999999998</v>
      </c>
      <c r="W10099">
        <v>-0.1028739</v>
      </c>
      <c r="X10099">
        <v>0.95994100000000004</v>
      </c>
      <c r="Y10099">
        <v>0.50593920000000003</v>
      </c>
      <c r="Z10099">
        <v>-7.362196E-2</v>
      </c>
      <c r="AA10099">
        <v>0.85942160000000001</v>
      </c>
      <c r="AB10099">
        <v>16</v>
      </c>
      <c r="AC10099">
        <v>11.5243</v>
      </c>
      <c r="AD10099">
        <v>-1.117746190089</v>
      </c>
      <c r="AE10099">
        <v>1.5512999999999899</v>
      </c>
      <c r="AF10099">
        <v>5.9191165144488096</v>
      </c>
      <c r="AG10099">
        <v>-1.117746190089</v>
      </c>
      <c r="AH10099">
        <v>9.8851190219558998</v>
      </c>
      <c r="AI10099">
        <v>95.541013263473403</v>
      </c>
      <c r="AJ10099">
        <v>59.087221068285203</v>
      </c>
      <c r="AK10099">
        <v>11.575874694178101</v>
      </c>
      <c r="AL10099">
        <v>95.904686765388107</v>
      </c>
      <c r="AM10099">
        <v>74.809783038088995</v>
      </c>
      <c r="AN10099">
        <v>0.99999997449592404</v>
      </c>
    </row>
    <row r="10100" spans="1:40" x14ac:dyDescent="0.25">
      <c r="A10100" t="str">
        <f>"20190303154037316"</f>
        <v>20190303154037316</v>
      </c>
      <c r="B10100" t="str">
        <f>"1551598837308219"</f>
        <v>1551598837308219</v>
      </c>
      <c r="C10100" t="s">
        <v>40</v>
      </c>
      <c r="D10100">
        <v>4.8120260000000004</v>
      </c>
      <c r="E10100">
        <v>0.60705940000000003</v>
      </c>
      <c r="F10100" t="s">
        <v>42</v>
      </c>
      <c r="G10100">
        <v>-166.6994</v>
      </c>
      <c r="H10100" s="1">
        <v>-2.4360259999999999E-6</v>
      </c>
      <c r="I10100">
        <v>135.1652</v>
      </c>
      <c r="J10100">
        <v>-178.81389999999999</v>
      </c>
      <c r="K10100">
        <v>1.1177539999999999</v>
      </c>
      <c r="L10100">
        <v>133.6251</v>
      </c>
      <c r="M10100">
        <v>0.78467500000000001</v>
      </c>
      <c r="N10100">
        <v>-1.4409949999999999E-2</v>
      </c>
      <c r="O10100">
        <v>0.61973979999999995</v>
      </c>
      <c r="P10100">
        <v>0.91373729999999997</v>
      </c>
      <c r="Q10100">
        <v>-0.1147074</v>
      </c>
      <c r="R10100">
        <v>0.3897775</v>
      </c>
      <c r="S10100">
        <v>3.0790410000000001</v>
      </c>
      <c r="T10100">
        <v>-0.28214040000000001</v>
      </c>
      <c r="U10100">
        <v>0.40374759999999998</v>
      </c>
      <c r="V10100">
        <v>0.2596368</v>
      </c>
      <c r="W10100">
        <v>-0.1029759</v>
      </c>
      <c r="X10100">
        <v>0.96020039999999995</v>
      </c>
      <c r="Y10100">
        <v>0.50870039999999905</v>
      </c>
      <c r="Z10100">
        <v>-6.9816890000000006E-2</v>
      </c>
      <c r="AA10100">
        <v>0.85810810000000004</v>
      </c>
      <c r="AB10100">
        <v>16</v>
      </c>
      <c r="AC10100">
        <v>12.1144999999999</v>
      </c>
      <c r="AD10100">
        <v>-1.1177564360259999</v>
      </c>
      <c r="AE10100">
        <v>1.54009999999999</v>
      </c>
      <c r="AF10100">
        <v>6.2476735854163401</v>
      </c>
      <c r="AG10100">
        <v>-1.1177564360259999</v>
      </c>
      <c r="AH10100">
        <v>10.3745789065834</v>
      </c>
      <c r="AI10100">
        <v>95.273238859995899</v>
      </c>
      <c r="AJ10100">
        <v>58.943234992646701</v>
      </c>
      <c r="AK10100">
        <v>12.162018424961801</v>
      </c>
      <c r="AL10100">
        <v>95.910561654780395</v>
      </c>
      <c r="AM10100">
        <v>74.869143128915596</v>
      </c>
      <c r="AN10100">
        <v>1.0000000560275999</v>
      </c>
    </row>
    <row r="10101" spans="1:40" x14ac:dyDescent="0.25">
      <c r="A10101" t="str">
        <f>"20190303154037329"</f>
        <v>20190303154037329</v>
      </c>
      <c r="B10101" t="str">
        <f>"1551598837317979"</f>
        <v>1551598837317979</v>
      </c>
      <c r="C10101" t="s">
        <v>40</v>
      </c>
      <c r="D10101">
        <v>4.7896749999999999</v>
      </c>
      <c r="E10101">
        <v>0.60765130000000001</v>
      </c>
      <c r="F10101" t="s">
        <v>42</v>
      </c>
      <c r="G10101">
        <v>-166.38339999999999</v>
      </c>
      <c r="H10101" s="1">
        <v>-2.550808E-6</v>
      </c>
      <c r="I10101">
        <v>135.18989999999999</v>
      </c>
      <c r="J10101">
        <v>-178.7294</v>
      </c>
      <c r="K10101">
        <v>1.117767</v>
      </c>
      <c r="L10101">
        <v>133.68469999999999</v>
      </c>
      <c r="M10101">
        <v>0.78768780000000005</v>
      </c>
      <c r="N10101">
        <v>-1.440519E-2</v>
      </c>
      <c r="O10101">
        <v>0.61590619999999996</v>
      </c>
      <c r="P10101">
        <v>0.91467880000000001</v>
      </c>
      <c r="Q10101">
        <v>-0.1158506</v>
      </c>
      <c r="R10101">
        <v>0.38722279999999998</v>
      </c>
      <c r="S10101">
        <v>3.0828700000000002</v>
      </c>
      <c r="T10101">
        <v>-0.27721180000000001</v>
      </c>
      <c r="U10101">
        <v>0.3880768</v>
      </c>
      <c r="V10101">
        <v>0.25754629999999901</v>
      </c>
      <c r="W10101">
        <v>-0.1040909</v>
      </c>
      <c r="X10101">
        <v>0.96064300000000002</v>
      </c>
      <c r="Y10101">
        <v>0.50908609999999999</v>
      </c>
      <c r="Z10101">
        <v>-6.8278950000000005E-2</v>
      </c>
      <c r="AA10101">
        <v>0.85800309999999902</v>
      </c>
      <c r="AB10101">
        <v>16</v>
      </c>
      <c r="AC10101">
        <v>12.346</v>
      </c>
      <c r="AD10101">
        <v>-1.1177695508079999</v>
      </c>
      <c r="AE10101">
        <v>1.5052000000000001</v>
      </c>
      <c r="AF10101">
        <v>6.3675859305433402</v>
      </c>
      <c r="AG10101">
        <v>-1.1177695508079999</v>
      </c>
      <c r="AH10101">
        <v>10.5676074001579</v>
      </c>
      <c r="AI10101">
        <v>95.176716237796199</v>
      </c>
      <c r="AJ10101">
        <v>58.928640018233601</v>
      </c>
      <c r="AK10101">
        <v>12.3882963120616</v>
      </c>
      <c r="AL10101">
        <v>95.974792001344198</v>
      </c>
      <c r="AM10101">
        <v>74.992054680357498</v>
      </c>
      <c r="AN10101">
        <v>0.99999999277774998</v>
      </c>
    </row>
    <row r="10102" spans="1:40" x14ac:dyDescent="0.25">
      <c r="A10102" t="str">
        <f>"20190303154037344"</f>
        <v>20190303154037344</v>
      </c>
      <c r="B10102" t="str">
        <f>"1551598837338475"</f>
        <v>1551598837338475</v>
      </c>
      <c r="C10102" t="s">
        <v>40</v>
      </c>
      <c r="D10102">
        <v>4.775118</v>
      </c>
      <c r="E10102">
        <v>0.60877930000000002</v>
      </c>
      <c r="F10102" t="s">
        <v>42</v>
      </c>
      <c r="G10102">
        <v>-166.22980000000001</v>
      </c>
      <c r="H10102" s="1">
        <v>-2.6057930000000001E-6</v>
      </c>
      <c r="I10102">
        <v>135.20490000000001</v>
      </c>
      <c r="J10102">
        <v>-178.6377</v>
      </c>
      <c r="K10102">
        <v>1.11778</v>
      </c>
      <c r="L10102">
        <v>133.7484</v>
      </c>
      <c r="M10102">
        <v>0.79091149999999999</v>
      </c>
      <c r="N10102">
        <v>-1.439937E-2</v>
      </c>
      <c r="O10102">
        <v>0.61176119999999901</v>
      </c>
      <c r="P10102">
        <v>0.9164447</v>
      </c>
      <c r="Q10102">
        <v>-0.1161848</v>
      </c>
      <c r="R10102">
        <v>0.38292349999999997</v>
      </c>
      <c r="S10102">
        <v>3.086014</v>
      </c>
      <c r="T10102">
        <v>-0.27596470000000001</v>
      </c>
      <c r="U10102">
        <v>0.3753204</v>
      </c>
      <c r="V10102">
        <v>0.25698979999999999</v>
      </c>
      <c r="W10102">
        <v>-0.1044117</v>
      </c>
      <c r="X10102">
        <v>0.96075719999999998</v>
      </c>
      <c r="Y10102">
        <v>0.50822420000000001</v>
      </c>
      <c r="Z10102">
        <v>-6.7652809999999994E-2</v>
      </c>
      <c r="AA10102">
        <v>0.85856350000000003</v>
      </c>
      <c r="AB10102">
        <v>16</v>
      </c>
      <c r="AC10102">
        <v>12.4078999999999</v>
      </c>
      <c r="AD10102">
        <v>-1.117782605793</v>
      </c>
      <c r="AE10102">
        <v>1.4564999999999999</v>
      </c>
      <c r="AF10102">
        <v>6.3882370389038901</v>
      </c>
      <c r="AG10102">
        <v>-1.117782605793</v>
      </c>
      <c r="AH10102">
        <v>10.620669252189799</v>
      </c>
      <c r="AI10102">
        <v>95.153466055316699</v>
      </c>
      <c r="AJ10102">
        <v>58.973469797557399</v>
      </c>
      <c r="AK10102">
        <v>12.444180398220199</v>
      </c>
      <c r="AL10102">
        <v>95.993273275489301</v>
      </c>
      <c r="AM10102">
        <v>75.024725127871207</v>
      </c>
      <c r="AN10102">
        <v>0.99999997887638403</v>
      </c>
    </row>
    <row r="10103" spans="1:40" x14ac:dyDescent="0.25">
      <c r="A10103" t="str">
        <f>"20190303154037357"</f>
        <v>20190303154037357</v>
      </c>
      <c r="B10103" t="str">
        <f>"1551598837348237"</f>
        <v>1551598837348237</v>
      </c>
      <c r="C10103" t="s">
        <v>40</v>
      </c>
      <c r="D10103">
        <v>4.7609389999999996</v>
      </c>
      <c r="E10103">
        <v>0.6093035</v>
      </c>
      <c r="F10103" t="s">
        <v>42</v>
      </c>
      <c r="G10103">
        <v>-165.69730000000001</v>
      </c>
      <c r="H10103" s="1">
        <v>-2.8046300000000002E-6</v>
      </c>
      <c r="I10103">
        <v>135.22620000000001</v>
      </c>
      <c r="J10103">
        <v>-178.56819999999999</v>
      </c>
      <c r="K10103">
        <v>1.117799</v>
      </c>
      <c r="L10103">
        <v>133.7963</v>
      </c>
      <c r="M10103">
        <v>0.79332819999999904</v>
      </c>
      <c r="N10103">
        <v>-1.439464E-2</v>
      </c>
      <c r="O10103">
        <v>0.60862399999999905</v>
      </c>
      <c r="P10103">
        <v>0.91772450000000005</v>
      </c>
      <c r="Q10103">
        <v>-0.11694830000000001</v>
      </c>
      <c r="R10103">
        <v>0.37961149999999999</v>
      </c>
      <c r="S10103">
        <v>3.0921020000000001</v>
      </c>
      <c r="T10103">
        <v>-0.2670923</v>
      </c>
      <c r="U10103">
        <v>0.35311890000000001</v>
      </c>
      <c r="V10103">
        <v>0.25659399999999999</v>
      </c>
      <c r="W10103">
        <v>-0.1051655</v>
      </c>
      <c r="X10103">
        <v>0.96078079999999999</v>
      </c>
      <c r="Y10103">
        <v>0.5113394</v>
      </c>
      <c r="Z10103">
        <v>-6.5224569999999996E-2</v>
      </c>
      <c r="AA10103">
        <v>0.85690010000000005</v>
      </c>
      <c r="AB10103">
        <v>16</v>
      </c>
      <c r="AC10103">
        <v>12.870899999999899</v>
      </c>
      <c r="AD10103">
        <v>-1.11780180463</v>
      </c>
      <c r="AE10103">
        <v>1.4298999999999999</v>
      </c>
      <c r="AF10103">
        <v>6.6503047852620698</v>
      </c>
      <c r="AG10103">
        <v>-1.11780180463</v>
      </c>
      <c r="AH10103">
        <v>11.000309912450501</v>
      </c>
      <c r="AI10103">
        <v>94.969897446577605</v>
      </c>
      <c r="AJ10103">
        <v>58.844682908752802</v>
      </c>
      <c r="AK10103">
        <v>12.9028234422266</v>
      </c>
      <c r="AL10103">
        <v>96.036701776819001</v>
      </c>
      <c r="AM10103">
        <v>75.047106120773606</v>
      </c>
      <c r="AN10103">
        <v>1.00000000443744</v>
      </c>
    </row>
    <row r="10104" spans="1:40" x14ac:dyDescent="0.25">
      <c r="A10104" t="str">
        <f>"20190303154037369"</f>
        <v>20190303154037369</v>
      </c>
      <c r="B10104" t="str">
        <f>"1551598837357995"</f>
        <v>1551598837357995</v>
      </c>
      <c r="C10104" t="s">
        <v>40</v>
      </c>
      <c r="D10104">
        <v>4.469347</v>
      </c>
      <c r="E10104">
        <v>0.61073060000000001</v>
      </c>
      <c r="F10104" t="s">
        <v>42</v>
      </c>
      <c r="G10104">
        <v>-165.52850000000001</v>
      </c>
      <c r="H10104" s="1">
        <v>-2.8736989999999999E-6</v>
      </c>
      <c r="I10104">
        <v>135.22190000000001</v>
      </c>
      <c r="J10104">
        <v>-178.4915</v>
      </c>
      <c r="K10104">
        <v>1.117823</v>
      </c>
      <c r="L10104">
        <v>133.84880000000001</v>
      </c>
      <c r="M10104">
        <v>0.79597259999999903</v>
      </c>
      <c r="N10104">
        <v>-1.4389280000000001E-2</v>
      </c>
      <c r="O10104">
        <v>0.60516169999999903</v>
      </c>
      <c r="P10104">
        <v>0.91911310000000002</v>
      </c>
      <c r="Q10104">
        <v>-0.1176164</v>
      </c>
      <c r="R10104">
        <v>0.3760289</v>
      </c>
      <c r="S10104">
        <v>3.095154</v>
      </c>
      <c r="T10104">
        <v>-0.265324</v>
      </c>
      <c r="U10104">
        <v>0.33837889999999998</v>
      </c>
      <c r="V10104">
        <v>0.25610450000000001</v>
      </c>
      <c r="W10104">
        <v>-0.1058212</v>
      </c>
      <c r="X10104">
        <v>0.96083940000000001</v>
      </c>
      <c r="Y10104">
        <v>0.51178040000000002</v>
      </c>
      <c r="Z10104">
        <v>-6.4577910000000002E-2</v>
      </c>
      <c r="AA10104">
        <v>0.85668580000000005</v>
      </c>
      <c r="AB10104">
        <v>16</v>
      </c>
      <c r="AC10104">
        <v>12.9629999999999</v>
      </c>
      <c r="AD10104">
        <v>-1.1178258736990001</v>
      </c>
      <c r="AE10104">
        <v>1.37309999999999</v>
      </c>
      <c r="AF10104">
        <v>6.7031683754230702</v>
      </c>
      <c r="AG10104">
        <v>-1.1178258736990001</v>
      </c>
      <c r="AH10104">
        <v>11.0688994200823</v>
      </c>
      <c r="AI10104">
        <v>94.937118653101194</v>
      </c>
      <c r="AJ10104">
        <v>58.801497465352597</v>
      </c>
      <c r="AK10104">
        <v>12.9885540120939</v>
      </c>
      <c r="AL10104">
        <v>96.074481475837104</v>
      </c>
      <c r="AM10104">
        <v>75.0752269311226</v>
      </c>
      <c r="AN10104">
        <v>0.99999999694102504</v>
      </c>
    </row>
    <row r="10105" spans="1:40" x14ac:dyDescent="0.25">
      <c r="A10105" t="str">
        <f>"20190303154037381"</f>
        <v>20190303154037381</v>
      </c>
      <c r="B10105" t="str">
        <f>"1551598837378491"</f>
        <v>1551598837378491</v>
      </c>
      <c r="C10105" t="s">
        <v>40</v>
      </c>
      <c r="D10105">
        <v>4.4669299999999996</v>
      </c>
      <c r="E10105">
        <v>0.61331279999999999</v>
      </c>
      <c r="F10105" t="s">
        <v>42</v>
      </c>
      <c r="G10105">
        <v>-164.93260000000001</v>
      </c>
      <c r="H10105" s="1">
        <v>-3.1535509999999999E-6</v>
      </c>
      <c r="I10105">
        <v>135.232</v>
      </c>
      <c r="J10105">
        <v>-178.4204</v>
      </c>
      <c r="K10105">
        <v>1.1178459999999999</v>
      </c>
      <c r="L10105">
        <v>133.89689999999999</v>
      </c>
      <c r="M10105">
        <v>0.79838940000000003</v>
      </c>
      <c r="N10105">
        <v>-1.4383480000000001E-2</v>
      </c>
      <c r="O10105">
        <v>0.60196959999999999</v>
      </c>
      <c r="P10105">
        <v>0.92062500000000003</v>
      </c>
      <c r="Q10105">
        <v>-0.11749419999999999</v>
      </c>
      <c r="R10105">
        <v>0.37235020000000002</v>
      </c>
      <c r="S10105">
        <v>3.1018370000000002</v>
      </c>
      <c r="T10105">
        <v>-0.25572279999999997</v>
      </c>
      <c r="U10105">
        <v>0.31642150000000002</v>
      </c>
      <c r="V10105">
        <v>0.25611620000000002</v>
      </c>
      <c r="W10105">
        <v>-0.1056897</v>
      </c>
      <c r="X10105">
        <v>0.9608508</v>
      </c>
      <c r="Y10105">
        <v>0.514791</v>
      </c>
      <c r="Z10105">
        <v>-6.1951350000000002E-2</v>
      </c>
      <c r="AA10105">
        <v>0.85507440000000001</v>
      </c>
      <c r="AB10105">
        <v>16</v>
      </c>
      <c r="AC10105">
        <v>13.487799999999901</v>
      </c>
      <c r="AD10105">
        <v>-1.11784915355099</v>
      </c>
      <c r="AE10105">
        <v>1.3351000000000099</v>
      </c>
      <c r="AF10105">
        <v>7.0063870301654001</v>
      </c>
      <c r="AG10105">
        <v>-1.11784915355099</v>
      </c>
      <c r="AH10105">
        <v>11.495211119341301</v>
      </c>
      <c r="AI10105">
        <v>94.746750346889399</v>
      </c>
      <c r="AJ10105">
        <v>58.6374894669854</v>
      </c>
      <c r="AK10105">
        <v>13.508476028952799</v>
      </c>
      <c r="AL10105">
        <v>96.066904327325204</v>
      </c>
      <c r="AM10105">
        <v>75.074744709228099</v>
      </c>
      <c r="AN10105">
        <v>1.0000000402245799</v>
      </c>
    </row>
    <row r="10106" spans="1:40" x14ac:dyDescent="0.25">
      <c r="A10106" t="str">
        <f>"20190303154037393"</f>
        <v>20190303154037393</v>
      </c>
      <c r="B10106" t="str">
        <f>"1551598837388251"</f>
        <v>1551598837388251</v>
      </c>
      <c r="C10106" t="s">
        <v>40</v>
      </c>
      <c r="D10106">
        <v>4.476782</v>
      </c>
      <c r="E10106">
        <v>0.61446389999999995</v>
      </c>
      <c r="F10106" t="s">
        <v>42</v>
      </c>
      <c r="G10106">
        <v>-163.54740000000001</v>
      </c>
      <c r="H10106" s="1">
        <v>-3.8027949999999999E-6</v>
      </c>
      <c r="I10106">
        <v>135.26349999999999</v>
      </c>
      <c r="J10106">
        <v>-178.35419999999999</v>
      </c>
      <c r="K10106">
        <v>1.1178729999999999</v>
      </c>
      <c r="L10106">
        <v>133.94139999999999</v>
      </c>
      <c r="M10106">
        <v>0.80061629999999995</v>
      </c>
      <c r="N10106">
        <v>-1.437797E-2</v>
      </c>
      <c r="O10106">
        <v>0.59900489999999995</v>
      </c>
      <c r="P10106">
        <v>0.92209540000000001</v>
      </c>
      <c r="Q10106">
        <v>-0.117118</v>
      </c>
      <c r="R10106">
        <v>0.36881370000000002</v>
      </c>
      <c r="S10106">
        <v>3.1130979999999999</v>
      </c>
      <c r="T10106">
        <v>-0.2339792</v>
      </c>
      <c r="U10106">
        <v>0.2860413</v>
      </c>
      <c r="V10106">
        <v>0.25627850000000002</v>
      </c>
      <c r="W10106">
        <v>-0.1053056</v>
      </c>
      <c r="X10106">
        <v>0.96084959999999997</v>
      </c>
      <c r="Y10106">
        <v>0.52071199999999995</v>
      </c>
      <c r="Z10106">
        <v>-5.6216269999999999E-2</v>
      </c>
      <c r="AA10106">
        <v>0.85187950000000001</v>
      </c>
      <c r="AB10106">
        <v>16</v>
      </c>
      <c r="AC10106">
        <v>14.8067999999999</v>
      </c>
      <c r="AD10106">
        <v>-1.1178768027949999</v>
      </c>
      <c r="AE10106">
        <v>1.3221000000000001</v>
      </c>
      <c r="AF10106">
        <v>7.7677332805351798</v>
      </c>
      <c r="AG10106">
        <v>-1.1178768027949999</v>
      </c>
      <c r="AH10106">
        <v>12.576698216715901</v>
      </c>
      <c r="AI10106">
        <v>94.324680729627005</v>
      </c>
      <c r="AJ10106">
        <v>58.299320172728898</v>
      </c>
      <c r="AK10106">
        <v>14.8243268615511</v>
      </c>
      <c r="AL10106">
        <v>96.044774088691398</v>
      </c>
      <c r="AM10106">
        <v>75.065691284592106</v>
      </c>
      <c r="AN10106">
        <v>0.99999994638688305</v>
      </c>
    </row>
    <row r="10107" spans="1:40" x14ac:dyDescent="0.25">
      <c r="A10107" t="str">
        <f>"20190303154037406"</f>
        <v>20190303154037406</v>
      </c>
      <c r="B10107" t="str">
        <f>"1551598837398011"</f>
        <v>1551598837398011</v>
      </c>
      <c r="C10107" t="s">
        <v>40</v>
      </c>
      <c r="D10107">
        <v>4.5179099999999996</v>
      </c>
      <c r="E10107">
        <v>0.61552649999999998</v>
      </c>
      <c r="F10107" t="s">
        <v>42</v>
      </c>
      <c r="G10107">
        <v>-162.76589999999999</v>
      </c>
      <c r="H10107" s="1">
        <v>-4.1709150000000004E-6</v>
      </c>
      <c r="I10107">
        <v>135.27080000000001</v>
      </c>
      <c r="J10107">
        <v>-178.26589999999999</v>
      </c>
      <c r="K10107">
        <v>1.1179190000000001</v>
      </c>
      <c r="L10107">
        <v>134.00030000000001</v>
      </c>
      <c r="M10107">
        <v>0.80355350000000003</v>
      </c>
      <c r="N10107">
        <v>-1.4369959999999999E-2</v>
      </c>
      <c r="O10107">
        <v>0.595059</v>
      </c>
      <c r="P10107">
        <v>0.92415959999999997</v>
      </c>
      <c r="Q10107">
        <v>-0.11619119999999999</v>
      </c>
      <c r="R10107">
        <v>0.36390749999999999</v>
      </c>
      <c r="S10107">
        <v>3.1186829999999999</v>
      </c>
      <c r="T10107">
        <v>-0.22364819999999999</v>
      </c>
      <c r="U10107">
        <v>0.26596069999999999</v>
      </c>
      <c r="V10107">
        <v>0.25674330000000001</v>
      </c>
      <c r="W10107">
        <v>-0.1043689</v>
      </c>
      <c r="X10107">
        <v>0.96082780000000001</v>
      </c>
      <c r="Y10107">
        <v>0.52233660000000004</v>
      </c>
      <c r="Z10107">
        <v>-5.3352120000000003E-2</v>
      </c>
      <c r="AA10107">
        <v>0.85106870000000001</v>
      </c>
      <c r="AB10107">
        <v>16</v>
      </c>
      <c r="AC10107">
        <v>15.5</v>
      </c>
      <c r="AD10107">
        <v>-1.1179231709149999</v>
      </c>
      <c r="AE10107">
        <v>1.27049999999999</v>
      </c>
      <c r="AF10107">
        <v>8.1611769078036094</v>
      </c>
      <c r="AG10107">
        <v>-1.1179231709149999</v>
      </c>
      <c r="AH10107">
        <v>13.144546310639299</v>
      </c>
      <c r="AI10107">
        <v>94.132692058303107</v>
      </c>
      <c r="AJ10107">
        <v>58.164709544434302</v>
      </c>
      <c r="AK10107">
        <v>15.512371142061999</v>
      </c>
      <c r="AL10107">
        <v>95.990807265084598</v>
      </c>
      <c r="AM10107">
        <v>75.039494790265607</v>
      </c>
      <c r="AN10107">
        <v>1.0000000253174599</v>
      </c>
    </row>
    <row r="10108" spans="1:40" x14ac:dyDescent="0.25">
      <c r="A10108" t="str">
        <f>"20190303154037420"</f>
        <v>20190303154037420</v>
      </c>
      <c r="B10108" t="str">
        <f>"1551598837407771"</f>
        <v>1551598837407771</v>
      </c>
      <c r="C10108" t="s">
        <v>40</v>
      </c>
      <c r="D10108">
        <v>4.830959</v>
      </c>
      <c r="E10108">
        <v>0.61565459999999905</v>
      </c>
      <c r="F10108" t="s">
        <v>42</v>
      </c>
      <c r="G10108">
        <v>-161.81360000000001</v>
      </c>
      <c r="H10108" s="1">
        <v>-4.6206000000000003E-6</v>
      </c>
      <c r="I10108">
        <v>135.27340000000001</v>
      </c>
      <c r="J10108">
        <v>-178.18899999999999</v>
      </c>
      <c r="K10108">
        <v>1.1179539999999999</v>
      </c>
      <c r="L10108">
        <v>134.05090000000001</v>
      </c>
      <c r="M10108">
        <v>0.80606359999999999</v>
      </c>
      <c r="N10108">
        <v>-1.4362130000000001E-2</v>
      </c>
      <c r="O10108">
        <v>0.59165459999999903</v>
      </c>
      <c r="P10108">
        <v>0.92583559999999998</v>
      </c>
      <c r="Q10108">
        <v>-0.115495</v>
      </c>
      <c r="R10108">
        <v>0.3598462</v>
      </c>
      <c r="S10108">
        <v>3.1243289999999999</v>
      </c>
      <c r="T10108">
        <v>-0.21229700000000001</v>
      </c>
      <c r="U10108">
        <v>0.24176030000000001</v>
      </c>
      <c r="V10108">
        <v>0.25696249999999998</v>
      </c>
      <c r="W10108">
        <v>-0.1036605</v>
      </c>
      <c r="X10108">
        <v>0.96084579999999997</v>
      </c>
      <c r="Y10108">
        <v>0.52565150000000005</v>
      </c>
      <c r="Z10108">
        <v>-5.0335829999999998E-2</v>
      </c>
      <c r="AA10108">
        <v>0.84920949999999995</v>
      </c>
      <c r="AB10108">
        <v>16</v>
      </c>
      <c r="AC10108">
        <v>16.375399999999999</v>
      </c>
      <c r="AD10108">
        <v>-1.1179586206000001</v>
      </c>
      <c r="AE10108">
        <v>1.2224999999999899</v>
      </c>
      <c r="AF10108">
        <v>8.66390828917954</v>
      </c>
      <c r="AG10108">
        <v>-1.1179586206000001</v>
      </c>
      <c r="AH10108">
        <v>13.8601058401293</v>
      </c>
      <c r="AI10108">
        <v>93.912749457185797</v>
      </c>
      <c r="AJ10108">
        <v>57.990627234864697</v>
      </c>
      <c r="AK10108">
        <v>16.383396235831999</v>
      </c>
      <c r="AL10108">
        <v>95.949998091761501</v>
      </c>
      <c r="AM10108">
        <v>75.027563223433901</v>
      </c>
      <c r="AN10108">
        <v>0.99999993852206803</v>
      </c>
    </row>
    <row r="10109" spans="1:40" x14ac:dyDescent="0.25">
      <c r="A10109" t="str">
        <f>"20190303154037436"</f>
        <v>20190303154037436</v>
      </c>
      <c r="B10109" t="str">
        <f>"1551598837428267"</f>
        <v>1551598837428267</v>
      </c>
      <c r="C10109" t="s">
        <v>40</v>
      </c>
      <c r="D10109">
        <v>4.9026889999999996</v>
      </c>
      <c r="E10109">
        <v>0.6166623</v>
      </c>
      <c r="F10109" t="s">
        <v>42</v>
      </c>
      <c r="G10109">
        <v>-161.49440000000001</v>
      </c>
      <c r="H10109" s="1">
        <v>-4.7732770000000001E-6</v>
      </c>
      <c r="I10109">
        <v>135.26329999999999</v>
      </c>
      <c r="J10109">
        <v>-178.09889999999999</v>
      </c>
      <c r="K10109">
        <v>1.117999</v>
      </c>
      <c r="L10109">
        <v>134.10990000000001</v>
      </c>
      <c r="M10109">
        <v>0.80896659999999998</v>
      </c>
      <c r="N10109">
        <v>-1.4352429999999999E-2</v>
      </c>
      <c r="O10109">
        <v>0.58767939999999996</v>
      </c>
      <c r="P10109">
        <v>0.92785419999999996</v>
      </c>
      <c r="Q10109">
        <v>-0.11526210000000001</v>
      </c>
      <c r="R10109">
        <v>0.35468480000000002</v>
      </c>
      <c r="S10109">
        <v>3.1259769999999998</v>
      </c>
      <c r="T10109">
        <v>-0.20933180000000001</v>
      </c>
      <c r="U10109">
        <v>0.22702030000000001</v>
      </c>
      <c r="V10109">
        <v>0.2576117</v>
      </c>
      <c r="W10109">
        <v>-0.1034171</v>
      </c>
      <c r="X10109">
        <v>0.96069819999999995</v>
      </c>
      <c r="Y10109">
        <v>0.52554979999999996</v>
      </c>
      <c r="Z10109">
        <v>-4.941036E-2</v>
      </c>
      <c r="AA10109">
        <v>0.84932680000000005</v>
      </c>
      <c r="AB10109">
        <v>16</v>
      </c>
      <c r="AC10109">
        <v>16.604499999999899</v>
      </c>
      <c r="AD10109">
        <v>-1.1180037732770001</v>
      </c>
      <c r="AE10109">
        <v>1.15339999999997</v>
      </c>
      <c r="AF10109">
        <v>8.7863278170192292</v>
      </c>
      <c r="AG10109">
        <v>-1.1180037732770001</v>
      </c>
      <c r="AH10109">
        <v>14.048385933995</v>
      </c>
      <c r="AI10109">
        <v>93.860042828245696</v>
      </c>
      <c r="AJ10109">
        <v>57.976769310071802</v>
      </c>
      <c r="AK10109">
        <v>16.6074271425665</v>
      </c>
      <c r="AL10109">
        <v>95.935976824127096</v>
      </c>
      <c r="AM10109">
        <v>74.989239253129597</v>
      </c>
      <c r="AN10109">
        <v>0.99999995801626895</v>
      </c>
    </row>
    <row r="10110" spans="1:40" x14ac:dyDescent="0.25">
      <c r="A10110" t="str">
        <f>"20190303154037446"</f>
        <v>20190303154037446</v>
      </c>
      <c r="B10110" t="str">
        <f>"1551598837438027"</f>
        <v>1551598837438027</v>
      </c>
      <c r="C10110" t="s">
        <v>40</v>
      </c>
      <c r="D10110">
        <v>4.5279299999999996</v>
      </c>
      <c r="E10110">
        <v>0.61752640000000003</v>
      </c>
      <c r="F10110" t="s">
        <v>42</v>
      </c>
      <c r="G10110">
        <v>-160.58779999999999</v>
      </c>
      <c r="H10110" s="1">
        <v>-5.2056050000000001E-6</v>
      </c>
      <c r="I10110">
        <v>135.24209999999999</v>
      </c>
      <c r="J10110">
        <v>-178.02459999999999</v>
      </c>
      <c r="K10110">
        <v>1.118042</v>
      </c>
      <c r="L10110">
        <v>134.15809999999999</v>
      </c>
      <c r="M10110">
        <v>0.81132469999999901</v>
      </c>
      <c r="N10110">
        <v>-1.434393E-2</v>
      </c>
      <c r="O10110">
        <v>0.58441980000000004</v>
      </c>
      <c r="P10110">
        <v>0.92953280000000005</v>
      </c>
      <c r="Q10110">
        <v>-0.11513429999999999</v>
      </c>
      <c r="R10110">
        <v>0.35030430000000001</v>
      </c>
      <c r="S10110">
        <v>3.1310419999999999</v>
      </c>
      <c r="T10110">
        <v>-0.19990240000000001</v>
      </c>
      <c r="U10110">
        <v>0.20245360000000001</v>
      </c>
      <c r="V10110">
        <v>0.25829629999999998</v>
      </c>
      <c r="W10110">
        <v>-0.103281</v>
      </c>
      <c r="X10110">
        <v>0.96052910000000002</v>
      </c>
      <c r="Y10110">
        <v>0.52904479999999998</v>
      </c>
      <c r="Z10110">
        <v>-4.6937630000000001E-2</v>
      </c>
      <c r="AA10110">
        <v>0.84729480000000001</v>
      </c>
      <c r="AB10110">
        <v>16</v>
      </c>
      <c r="AC10110">
        <v>17.436800000000002</v>
      </c>
      <c r="AD10110">
        <v>-1.1180472056049999</v>
      </c>
      <c r="AE10110">
        <v>1.0840000000000001</v>
      </c>
      <c r="AF10110">
        <v>9.2739114012531996</v>
      </c>
      <c r="AG10110">
        <v>-1.1180472056049999</v>
      </c>
      <c r="AH10110">
        <v>14.7216450731932</v>
      </c>
      <c r="AI10110">
        <v>93.676687569161203</v>
      </c>
      <c r="AJ10110">
        <v>57.791092249232896</v>
      </c>
      <c r="AK10110">
        <v>17.4350880666926</v>
      </c>
      <c r="AL10110">
        <v>95.928136352641303</v>
      </c>
      <c r="AM10110">
        <v>74.9486264469747</v>
      </c>
      <c r="AN10110">
        <v>1.00000004775074</v>
      </c>
    </row>
    <row r="10111" spans="1:40" x14ac:dyDescent="0.25">
      <c r="A10111" t="str">
        <f>"20190303154037459"</f>
        <v>20190303154037459</v>
      </c>
      <c r="B10111" t="str">
        <f>"1551598837447788"</f>
        <v>1551598837447788</v>
      </c>
      <c r="C10111" t="s">
        <v>40</v>
      </c>
      <c r="D10111">
        <v>4.8787849999999997</v>
      </c>
      <c r="E10111">
        <v>0.61758659999999999</v>
      </c>
      <c r="F10111" t="s">
        <v>42</v>
      </c>
      <c r="G10111">
        <v>-159.74969999999999</v>
      </c>
      <c r="H10111" s="1">
        <v>-1.2419459999999999E-6</v>
      </c>
      <c r="I10111">
        <v>135.21619999999999</v>
      </c>
      <c r="J10111">
        <v>-177.9521</v>
      </c>
      <c r="K10111">
        <v>1.118079</v>
      </c>
      <c r="L10111">
        <v>134.2047</v>
      </c>
      <c r="M10111">
        <v>0.81358430000000004</v>
      </c>
      <c r="N10111">
        <v>-1.433477E-2</v>
      </c>
      <c r="O10111">
        <v>0.58127030000000002</v>
      </c>
      <c r="P10111">
        <v>0.93110630000000005</v>
      </c>
      <c r="Q10111">
        <v>-0.1156389</v>
      </c>
      <c r="R10111">
        <v>0.34593190000000001</v>
      </c>
      <c r="S10111">
        <v>3.1352540000000002</v>
      </c>
      <c r="T10111">
        <v>-0.19181219999999999</v>
      </c>
      <c r="U10111">
        <v>0.1815338</v>
      </c>
      <c r="V10111">
        <v>0.25905519999999999</v>
      </c>
      <c r="W10111">
        <v>-0.1037791</v>
      </c>
      <c r="X10111">
        <v>0.96027090000000004</v>
      </c>
      <c r="Y10111">
        <v>0.53161569999999903</v>
      </c>
      <c r="Z10111">
        <v>-4.4796540000000003E-2</v>
      </c>
      <c r="AA10111">
        <v>0.8458002</v>
      </c>
      <c r="AB10111">
        <v>16</v>
      </c>
      <c r="AC10111">
        <v>18.202400000000001</v>
      </c>
      <c r="AD10111">
        <v>-1.1180802419460001</v>
      </c>
      <c r="AE10111">
        <v>1.0114999999999801</v>
      </c>
      <c r="AF10111">
        <v>9.7220080005455696</v>
      </c>
      <c r="AG10111">
        <v>-1.1180802419460001</v>
      </c>
      <c r="AH10111">
        <v>15.3410197704438</v>
      </c>
      <c r="AI10111">
        <v>93.522736877616495</v>
      </c>
      <c r="AJ10111">
        <v>57.636488921038598</v>
      </c>
      <c r="AK10111">
        <v>18.196549963859901</v>
      </c>
      <c r="AL10111">
        <v>95.956830152819194</v>
      </c>
      <c r="AM10111">
        <v>74.902545846722106</v>
      </c>
      <c r="AN10111">
        <v>0.99999994981532803</v>
      </c>
    </row>
    <row r="10112" spans="1:40" x14ac:dyDescent="0.25">
      <c r="A10112" t="str">
        <f>"20190303154037472"</f>
        <v>20190303154037472</v>
      </c>
      <c r="B10112" t="str">
        <f>"1551598837468498"</f>
        <v>1551598837468498</v>
      </c>
      <c r="C10112" t="s">
        <v>40</v>
      </c>
      <c r="D10112">
        <v>4.9127669999999997</v>
      </c>
      <c r="E10112">
        <v>0.61766469999999996</v>
      </c>
      <c r="F10112" t="s">
        <v>42</v>
      </c>
      <c r="G10112">
        <v>-159.72450000000001</v>
      </c>
      <c r="H10112" s="1">
        <v>-1.2623759999999999E-6</v>
      </c>
      <c r="I10112">
        <v>135.17169999999999</v>
      </c>
      <c r="J10112">
        <v>-177.87599999999901</v>
      </c>
      <c r="K10112">
        <v>1.1181179999999999</v>
      </c>
      <c r="L10112">
        <v>134.2533</v>
      </c>
      <c r="M10112">
        <v>0.81592739999999997</v>
      </c>
      <c r="N10112">
        <v>-1.4325050000000001E-2</v>
      </c>
      <c r="O10112">
        <v>0.57797710000000002</v>
      </c>
      <c r="P10112">
        <v>0.93273479999999998</v>
      </c>
      <c r="Q10112">
        <v>-0.1161626</v>
      </c>
      <c r="R10112">
        <v>0.34133849999999999</v>
      </c>
      <c r="S10112">
        <v>3.1362610000000002</v>
      </c>
      <c r="T10112">
        <v>-0.19237779999999999</v>
      </c>
      <c r="U10112">
        <v>0.16639709999999999</v>
      </c>
      <c r="V10112">
        <v>0.2598741</v>
      </c>
      <c r="W10112">
        <v>-0.10429579999999999</v>
      </c>
      <c r="X10112">
        <v>0.95999369999999995</v>
      </c>
      <c r="Y10112">
        <v>0.53227000000000002</v>
      </c>
      <c r="Z10112">
        <v>-4.4866379999999997E-2</v>
      </c>
      <c r="AA10112">
        <v>0.84538500000000005</v>
      </c>
      <c r="AB10112">
        <v>16</v>
      </c>
      <c r="AC10112">
        <v>18.151499999999899</v>
      </c>
      <c r="AD10112">
        <v>-1.1181192623759999</v>
      </c>
      <c r="AE10112">
        <v>0.918399999999991</v>
      </c>
      <c r="AF10112">
        <v>9.7060667055497394</v>
      </c>
      <c r="AG10112">
        <v>-1.1181192623759999</v>
      </c>
      <c r="AH10112">
        <v>15.284842895761599</v>
      </c>
      <c r="AI10112">
        <v>93.533723100224606</v>
      </c>
      <c r="AJ10112">
        <v>57.583941194184902</v>
      </c>
      <c r="AK10112">
        <v>18.140682013794098</v>
      </c>
      <c r="AL10112">
        <v>95.986595914939699</v>
      </c>
      <c r="AM10112">
        <v>74.852837948882296</v>
      </c>
      <c r="AN10112">
        <v>1.0000000328940599</v>
      </c>
    </row>
    <row r="10113" spans="1:40" x14ac:dyDescent="0.25">
      <c r="A10113" t="str">
        <f>"20190303154037485"</f>
        <v>20190303154037485</v>
      </c>
      <c r="B10113" t="str">
        <f>"1551598837478257"</f>
        <v>1551598837478257</v>
      </c>
      <c r="C10113" t="s">
        <v>40</v>
      </c>
      <c r="D10113">
        <v>5.011107</v>
      </c>
      <c r="E10113">
        <v>0.61734199999999995</v>
      </c>
      <c r="F10113" t="s">
        <v>42</v>
      </c>
      <c r="G10113">
        <v>-159.61869999999999</v>
      </c>
      <c r="H10113" s="1">
        <v>-1.3098079999999999E-6</v>
      </c>
      <c r="I10113">
        <v>135.12870000000001</v>
      </c>
      <c r="J10113">
        <v>-177.7979</v>
      </c>
      <c r="K10113">
        <v>1.1181559999999999</v>
      </c>
      <c r="L10113">
        <v>134.30260000000001</v>
      </c>
      <c r="M10113">
        <v>0.81828769999999995</v>
      </c>
      <c r="N10113">
        <v>-1.4314540000000001E-2</v>
      </c>
      <c r="O10113">
        <v>0.57463069999999905</v>
      </c>
      <c r="P10113">
        <v>0.9345675</v>
      </c>
      <c r="Q10113">
        <v>-0.11657430000000001</v>
      </c>
      <c r="R10113">
        <v>0.33614579999999999</v>
      </c>
      <c r="S10113">
        <v>3.137375</v>
      </c>
      <c r="T10113">
        <v>-0.1921399</v>
      </c>
      <c r="U10113">
        <v>0.15045169999999999</v>
      </c>
      <c r="V10113">
        <v>0.26125739999999997</v>
      </c>
      <c r="W10113">
        <v>-0.1047063</v>
      </c>
      <c r="X10113">
        <v>0.95957340000000002</v>
      </c>
      <c r="Y10113">
        <v>0.53311189999999997</v>
      </c>
      <c r="Z10113">
        <v>-4.4731849999999997E-2</v>
      </c>
      <c r="AA10113">
        <v>0.84486139999999998</v>
      </c>
      <c r="AB10113">
        <v>16</v>
      </c>
      <c r="AC10113">
        <v>18.179200000000002</v>
      </c>
      <c r="AD10113">
        <v>-1.118157309808</v>
      </c>
      <c r="AE10113">
        <v>0.82609999999999595</v>
      </c>
      <c r="AF10113">
        <v>9.7345878373823194</v>
      </c>
      <c r="AG10113">
        <v>-1.118157309808</v>
      </c>
      <c r="AH10113">
        <v>15.2943483610293</v>
      </c>
      <c r="AI10113">
        <v>93.529308298757698</v>
      </c>
      <c r="AJ10113">
        <v>57.523953228984098</v>
      </c>
      <c r="AK10113">
        <v>18.163963441983402</v>
      </c>
      <c r="AL10113">
        <v>96.010245671952404</v>
      </c>
      <c r="AM10113">
        <v>74.769584147562199</v>
      </c>
      <c r="AN10113">
        <v>0.99999997415100395</v>
      </c>
    </row>
    <row r="10114" spans="1:40" x14ac:dyDescent="0.25">
      <c r="A10114" t="str">
        <f>"20190303154037502"</f>
        <v>20190303154037502</v>
      </c>
      <c r="B10114" t="str">
        <f>"1551598837497779"</f>
        <v>1551598837497779</v>
      </c>
      <c r="C10114" t="s">
        <v>40</v>
      </c>
      <c r="D10114">
        <v>5.1554669999999998</v>
      </c>
      <c r="E10114">
        <v>0.61626769999999997</v>
      </c>
      <c r="F10114" t="s">
        <v>42</v>
      </c>
      <c r="G10114">
        <v>-159.75239999999999</v>
      </c>
      <c r="H10114" s="1">
        <v>-1.276645E-6</v>
      </c>
      <c r="I10114">
        <v>135.08240000000001</v>
      </c>
      <c r="J10114">
        <v>-177.70050000000001</v>
      </c>
      <c r="K10114">
        <v>1.118206</v>
      </c>
      <c r="L10114">
        <v>134.36369999999999</v>
      </c>
      <c r="M10114">
        <v>0.8211811</v>
      </c>
      <c r="N10114">
        <v>-1.4301309999999999E-2</v>
      </c>
      <c r="O10114">
        <v>0.57048829999999995</v>
      </c>
      <c r="P10114">
        <v>0.93621089999999996</v>
      </c>
      <c r="Q10114">
        <v>-0.1164813</v>
      </c>
      <c r="R10114">
        <v>0.33157350000000002</v>
      </c>
      <c r="S10114">
        <v>3.137054</v>
      </c>
      <c r="T10114">
        <v>-0.1943812</v>
      </c>
      <c r="U10114">
        <v>0.13555909999999999</v>
      </c>
      <c r="V10114">
        <v>0.2611193</v>
      </c>
      <c r="W10114">
        <v>-0.1045919</v>
      </c>
      <c r="X10114">
        <v>0.95962349999999996</v>
      </c>
      <c r="Y10114">
        <v>0.53279829999999995</v>
      </c>
      <c r="Z10114">
        <v>-4.5183939999999999E-2</v>
      </c>
      <c r="AA10114">
        <v>0.84503510000000004</v>
      </c>
      <c r="AB10114">
        <v>16</v>
      </c>
      <c r="AC10114">
        <v>17.9481</v>
      </c>
      <c r="AD10114">
        <v>-1.118207276645</v>
      </c>
      <c r="AE10114">
        <v>0.718700000000012</v>
      </c>
      <c r="AF10114">
        <v>9.6127331457872902</v>
      </c>
      <c r="AG10114">
        <v>-1.118207276645</v>
      </c>
      <c r="AH10114">
        <v>15.0917153460503</v>
      </c>
      <c r="AI10114">
        <v>93.575970552651697</v>
      </c>
      <c r="AJ10114">
        <v>57.5047257955082</v>
      </c>
      <c r="AK10114">
        <v>17.928047805934401</v>
      </c>
      <c r="AL10114">
        <v>96.003654641391407</v>
      </c>
      <c r="AM10114">
        <v>74.778019136987695</v>
      </c>
      <c r="AN10114">
        <v>1.0000000080651701</v>
      </c>
    </row>
    <row r="10115" spans="1:40" x14ac:dyDescent="0.25">
      <c r="A10115" t="str">
        <f>"20190303154037520"</f>
        <v>20190303154037520</v>
      </c>
      <c r="B10115" t="str">
        <f>"1551598837508513"</f>
        <v>1551598837508513</v>
      </c>
      <c r="C10115" t="s">
        <v>40</v>
      </c>
      <c r="D10115">
        <v>4.9713909999999997</v>
      </c>
      <c r="E10115">
        <v>0.61633309999999997</v>
      </c>
      <c r="F10115" t="s">
        <v>42</v>
      </c>
      <c r="G10115">
        <v>-160.22839999999999</v>
      </c>
      <c r="H10115" s="1">
        <v>-5.4047010000000003E-6</v>
      </c>
      <c r="I10115">
        <v>135.07730000000001</v>
      </c>
      <c r="J10115">
        <v>-177.59099999999901</v>
      </c>
      <c r="K10115">
        <v>1.1182609999999999</v>
      </c>
      <c r="L10115">
        <v>134.4316</v>
      </c>
      <c r="M10115">
        <v>0.82437059999999995</v>
      </c>
      <c r="N10115">
        <v>-1.42866E-2</v>
      </c>
      <c r="O10115">
        <v>0.56587019999999899</v>
      </c>
      <c r="P10115">
        <v>0.93776780000000004</v>
      </c>
      <c r="Q10115">
        <v>-0.1159993</v>
      </c>
      <c r="R10115">
        <v>0.32731650000000001</v>
      </c>
      <c r="S10115">
        <v>3.134109</v>
      </c>
      <c r="T10115">
        <v>-0.20058239999999999</v>
      </c>
      <c r="U10115">
        <v>0.12800599999999901</v>
      </c>
      <c r="V10115">
        <v>0.2601446</v>
      </c>
      <c r="W10115">
        <v>-0.10407950000000001</v>
      </c>
      <c r="X10115">
        <v>0.95994389999999996</v>
      </c>
      <c r="Y10115">
        <v>0.52993500000000004</v>
      </c>
      <c r="Z10115">
        <v>-4.6558210000000003E-2</v>
      </c>
      <c r="AA10115">
        <v>0.84675929999999999</v>
      </c>
      <c r="AB10115">
        <v>16</v>
      </c>
      <c r="AC10115">
        <v>17.362599999999901</v>
      </c>
      <c r="AD10115">
        <v>-1.118266404701</v>
      </c>
      <c r="AE10115">
        <v>0.64570000000000405</v>
      </c>
      <c r="AF10115">
        <v>9.2552900906590398</v>
      </c>
      <c r="AG10115">
        <v>-1.118266404701</v>
      </c>
      <c r="AH10115">
        <v>14.6195358497719</v>
      </c>
      <c r="AI10115">
        <v>93.697811809190299</v>
      </c>
      <c r="AJ10115">
        <v>57.663045034529098</v>
      </c>
      <c r="AK10115">
        <v>17.339023700223201</v>
      </c>
      <c r="AL10115">
        <v>95.974135079960803</v>
      </c>
      <c r="AM10115">
        <v>74.837046555859104</v>
      </c>
      <c r="AN10115">
        <v>1.0000000231882999</v>
      </c>
    </row>
    <row r="10116" spans="1:40" x14ac:dyDescent="0.25">
      <c r="A10116" t="str">
        <f>"20190303154037537"</f>
        <v>20190303154037537</v>
      </c>
      <c r="B10116" t="str">
        <f>"1551598837528033"</f>
        <v>1551598837528033</v>
      </c>
      <c r="C10116" t="s">
        <v>40</v>
      </c>
      <c r="D10116">
        <v>4.8669349999999998</v>
      </c>
      <c r="E10116">
        <v>0.61657359999999894</v>
      </c>
      <c r="F10116" t="s">
        <v>42</v>
      </c>
      <c r="G10116">
        <v>-159.76900000000001</v>
      </c>
      <c r="H10116" s="1">
        <v>-1.272596E-6</v>
      </c>
      <c r="I10116">
        <v>135.0763</v>
      </c>
      <c r="J10116">
        <v>-177.48339999999999</v>
      </c>
      <c r="K10116">
        <v>1.1183080000000001</v>
      </c>
      <c r="L10116">
        <v>134.49770000000001</v>
      </c>
      <c r="M10116">
        <v>0.82743979999999995</v>
      </c>
      <c r="N10116">
        <v>-1.427262E-2</v>
      </c>
      <c r="O10116">
        <v>0.56137309999999996</v>
      </c>
      <c r="P10116">
        <v>0.9394245</v>
      </c>
      <c r="Q10116">
        <v>-0.1156697</v>
      </c>
      <c r="R10116">
        <v>0.32264870000000001</v>
      </c>
      <c r="S10116">
        <v>3.1351619999999998</v>
      </c>
      <c r="T10116">
        <v>-0.19671930000000001</v>
      </c>
      <c r="U10116">
        <v>0.11341859999999999</v>
      </c>
      <c r="V10116">
        <v>0.25972830000000002</v>
      </c>
      <c r="W10116">
        <v>-0.1037307</v>
      </c>
      <c r="X10116">
        <v>0.96009429999999996</v>
      </c>
      <c r="Y10116">
        <v>0.52934700000000001</v>
      </c>
      <c r="Z10116">
        <v>-4.5395730000000002E-2</v>
      </c>
      <c r="AA10116">
        <v>0.84719009999999995</v>
      </c>
      <c r="AB10116">
        <v>16</v>
      </c>
      <c r="AC10116">
        <v>17.714399999999898</v>
      </c>
      <c r="AD10116">
        <v>-1.118309272596</v>
      </c>
      <c r="AE10116">
        <v>0.57859999999999401</v>
      </c>
      <c r="AF10116">
        <v>9.4290563868749899</v>
      </c>
      <c r="AG10116">
        <v>-1.118309272596</v>
      </c>
      <c r="AH10116">
        <v>14.9245190027452</v>
      </c>
      <c r="AI10116">
        <v>93.624701163805696</v>
      </c>
      <c r="AJ10116">
        <v>57.716001623148799</v>
      </c>
      <c r="AK10116">
        <v>17.688950998839498</v>
      </c>
      <c r="AL10116">
        <v>95.954041949485102</v>
      </c>
      <c r="AM10116">
        <v>74.862459468454404</v>
      </c>
      <c r="AN10116">
        <v>0.99999995641793304</v>
      </c>
    </row>
    <row r="10117" spans="1:40" x14ac:dyDescent="0.25">
      <c r="A10117" t="str">
        <f>"20190303154037552"</f>
        <v>20190303154037552</v>
      </c>
      <c r="B10117" t="str">
        <f>"1551598837548531"</f>
        <v>1551598837548531</v>
      </c>
      <c r="C10117" t="s">
        <v>40</v>
      </c>
      <c r="D10117">
        <v>5.0645280000000001</v>
      </c>
      <c r="E10117">
        <v>0.61636539999999995</v>
      </c>
      <c r="F10117" t="s">
        <v>42</v>
      </c>
      <c r="G10117">
        <v>-159.0951</v>
      </c>
      <c r="H10117" s="1">
        <v>-1.5056719999999999E-6</v>
      </c>
      <c r="I10117">
        <v>135.06229999999999</v>
      </c>
      <c r="J10117">
        <v>-177.3921</v>
      </c>
      <c r="K10117">
        <v>1.1183369999999999</v>
      </c>
      <c r="L10117">
        <v>134.5532</v>
      </c>
      <c r="M10117">
        <v>0.82999969999999901</v>
      </c>
      <c r="N10117">
        <v>-1.4261309999999999E-2</v>
      </c>
      <c r="O10117">
        <v>0.5575814</v>
      </c>
      <c r="P10117">
        <v>0.9405386</v>
      </c>
      <c r="Q10117">
        <v>-0.11516560000000001</v>
      </c>
      <c r="R10117">
        <v>0.31956879999999999</v>
      </c>
      <c r="S10117">
        <v>3.1368710000000002</v>
      </c>
      <c r="T10117">
        <v>-0.19077269999999999</v>
      </c>
      <c r="U10117">
        <v>9.6328739999999996E-2</v>
      </c>
      <c r="V10117">
        <v>0.2585286</v>
      </c>
      <c r="W10117">
        <v>-0.1032044</v>
      </c>
      <c r="X10117">
        <v>0.96047479999999996</v>
      </c>
      <c r="Y10117">
        <v>0.53020909999999999</v>
      </c>
      <c r="Z10117">
        <v>-4.3785230000000001E-2</v>
      </c>
      <c r="AA10117">
        <v>0.84673559999999903</v>
      </c>
      <c r="AB10117">
        <v>16</v>
      </c>
      <c r="AC10117">
        <v>18.297000000000001</v>
      </c>
      <c r="AD10117">
        <v>-1.1183385056720001</v>
      </c>
      <c r="AE10117">
        <v>0.50909999999998901</v>
      </c>
      <c r="AF10117">
        <v>9.7441349061913005</v>
      </c>
      <c r="AG10117">
        <v>-1.1183385056720001</v>
      </c>
      <c r="AH10117">
        <v>15.4144024037998</v>
      </c>
      <c r="AI10117">
        <v>93.5093169641342</v>
      </c>
      <c r="AJ10117">
        <v>57.7011838848493</v>
      </c>
      <c r="AK10117">
        <v>18.270266761861802</v>
      </c>
      <c r="AL10117">
        <v>95.923724121653194</v>
      </c>
      <c r="AM10117">
        <v>74.934891990586905</v>
      </c>
      <c r="AN10117">
        <v>1.0000000133161799</v>
      </c>
    </row>
    <row r="10118" spans="1:40" x14ac:dyDescent="0.25">
      <c r="A10118" t="str">
        <f>"20190303154037567"</f>
        <v>20190303154037567</v>
      </c>
      <c r="B10118" t="str">
        <f>"1551598837558290"</f>
        <v>1551598837558290</v>
      </c>
      <c r="C10118" t="s">
        <v>40</v>
      </c>
      <c r="D10118">
        <v>4.9641950000000001</v>
      </c>
      <c r="E10118">
        <v>0.56415660000000001</v>
      </c>
      <c r="F10118" t="s">
        <v>42</v>
      </c>
      <c r="G10118">
        <v>-158.77430000000001</v>
      </c>
      <c r="H10118" s="1">
        <v>-1.6120490000000001E-6</v>
      </c>
      <c r="I10118">
        <v>135.0728</v>
      </c>
      <c r="J10118">
        <v>-177.3048</v>
      </c>
      <c r="K10118">
        <v>1.118357</v>
      </c>
      <c r="L10118">
        <v>134.60570000000001</v>
      </c>
      <c r="M10118">
        <v>0.83240939999999997</v>
      </c>
      <c r="N10118">
        <v>-1.4251089999999999E-2</v>
      </c>
      <c r="O10118">
        <v>0.55397769999999902</v>
      </c>
      <c r="P10118">
        <v>0.94159490000000001</v>
      </c>
      <c r="Q10118">
        <v>-0.1162044</v>
      </c>
      <c r="R10118">
        <v>0.31606269999999997</v>
      </c>
      <c r="S10118">
        <v>3.136841</v>
      </c>
      <c r="T10118">
        <v>-0.18842419999999999</v>
      </c>
      <c r="U10118">
        <v>8.7554930000000003E-2</v>
      </c>
      <c r="V10118">
        <v>0.25787159999999998</v>
      </c>
      <c r="W10118">
        <v>-0.1042337</v>
      </c>
      <c r="X10118">
        <v>0.96054019999999996</v>
      </c>
      <c r="Y10118">
        <v>0.52894969999999997</v>
      </c>
      <c r="Z10118">
        <v>-4.3035579999999997E-2</v>
      </c>
      <c r="AA10118">
        <v>0.84756129999999996</v>
      </c>
      <c r="AB10118">
        <v>16</v>
      </c>
      <c r="AC10118">
        <v>18.5304999999999</v>
      </c>
      <c r="AD10118">
        <v>-1.1183586120489999</v>
      </c>
      <c r="AE10118">
        <v>0.46709999999998703</v>
      </c>
      <c r="AF10118">
        <v>9.8418442570598508</v>
      </c>
      <c r="AG10118">
        <v>-1.1183586120489999</v>
      </c>
      <c r="AH10118">
        <v>15.628430969960201</v>
      </c>
      <c r="AI10118">
        <v>93.465187121609404</v>
      </c>
      <c r="AJ10118">
        <v>57.799747923310299</v>
      </c>
      <c r="AK10118">
        <v>18.5029856765922</v>
      </c>
      <c r="AL10118">
        <v>95.983018839304705</v>
      </c>
      <c r="AM10118">
        <v>74.972419927816503</v>
      </c>
      <c r="AN10118">
        <v>0.99999995105914297</v>
      </c>
    </row>
    <row r="10119" spans="1:40" x14ac:dyDescent="0.25">
      <c r="A10119" t="str">
        <f>"20190303154037578"</f>
        <v>20190303154037578</v>
      </c>
      <c r="B10119" t="str">
        <f>"1551598837568051"</f>
        <v>1551598837568051</v>
      </c>
      <c r="C10119" t="s">
        <v>40</v>
      </c>
      <c r="D10119">
        <v>5.022411</v>
      </c>
      <c r="E10119">
        <v>0.56044689999999997</v>
      </c>
      <c r="F10119" t="s">
        <v>42</v>
      </c>
      <c r="G10119">
        <v>-158.066</v>
      </c>
      <c r="H10119" s="1">
        <v>-1.1746599999999999E-6</v>
      </c>
      <c r="I10119">
        <v>137.6225</v>
      </c>
      <c r="J10119">
        <v>-177.23689999999999</v>
      </c>
      <c r="K10119">
        <v>1.1183650000000001</v>
      </c>
      <c r="L10119">
        <v>134.64609999999999</v>
      </c>
      <c r="M10119">
        <v>0.83425819999999995</v>
      </c>
      <c r="N10119">
        <v>-1.4243860000000001E-2</v>
      </c>
      <c r="O10119">
        <v>0.55118999999999996</v>
      </c>
      <c r="P10119">
        <v>0.94242230000000005</v>
      </c>
      <c r="Q10119">
        <v>-0.11678669999999999</v>
      </c>
      <c r="R10119">
        <v>0.31337090000000001</v>
      </c>
      <c r="S10119">
        <v>3.0062709999999999</v>
      </c>
      <c r="T10119">
        <v>-0.17475560000000001</v>
      </c>
      <c r="U10119">
        <v>0.47142030000000001</v>
      </c>
      <c r="V10119">
        <v>0.25736320000000001</v>
      </c>
      <c r="W10119">
        <v>-0.1048109</v>
      </c>
      <c r="X10119">
        <v>0.96061379999999996</v>
      </c>
      <c r="Y10119">
        <v>0.4140896</v>
      </c>
      <c r="Z10119">
        <v>-3.673651E-2</v>
      </c>
      <c r="AA10119">
        <v>0.90949449999999998</v>
      </c>
      <c r="AB10119">
        <v>16</v>
      </c>
      <c r="AC10119">
        <v>19.1708999999999</v>
      </c>
      <c r="AD10119">
        <v>-1.11836617466</v>
      </c>
      <c r="AE10119">
        <v>2.9764000000000101</v>
      </c>
      <c r="AF10119">
        <v>8.0577657629121102</v>
      </c>
      <c r="AG10119">
        <v>-1.11836617466</v>
      </c>
      <c r="AH10119">
        <v>17.577420253241002</v>
      </c>
      <c r="AI10119">
        <v>93.310162040701002</v>
      </c>
      <c r="AJ10119">
        <v>65.372534390782405</v>
      </c>
      <c r="AK10119">
        <v>19.368635335243098</v>
      </c>
      <c r="AL10119">
        <v>96.016271770231796</v>
      </c>
      <c r="AM10119">
        <v>75.001808176379299</v>
      </c>
      <c r="AN10119">
        <v>1.0000000071117401</v>
      </c>
    </row>
    <row r="10120" spans="1:40" x14ac:dyDescent="0.25">
      <c r="A10120" t="str">
        <f>"20190303154037591"</f>
        <v>20190303154037591</v>
      </c>
      <c r="B10120" t="str">
        <f>"1551598837588546"</f>
        <v>1551598837588546</v>
      </c>
      <c r="C10120" t="s">
        <v>40</v>
      </c>
      <c r="D10120">
        <v>4.9504299999999999</v>
      </c>
      <c r="E10120">
        <v>0.55462619999999996</v>
      </c>
      <c r="F10120" t="s">
        <v>42</v>
      </c>
      <c r="G10120">
        <v>-157.47739999999999</v>
      </c>
      <c r="H10120" s="1">
        <v>-1.3717130000000001E-6</v>
      </c>
      <c r="I10120">
        <v>137.88419999999999</v>
      </c>
      <c r="J10120">
        <v>-177.1611</v>
      </c>
      <c r="K10120">
        <v>1.1183730000000001</v>
      </c>
      <c r="L10120">
        <v>134.69110000000001</v>
      </c>
      <c r="M10120">
        <v>0.83630689999999996</v>
      </c>
      <c r="N10120">
        <v>-1.4236169999999999E-2</v>
      </c>
      <c r="O10120">
        <v>0.54807689999999998</v>
      </c>
      <c r="P10120">
        <v>0.94327660000000002</v>
      </c>
      <c r="Q10120">
        <v>-0.11728909999999999</v>
      </c>
      <c r="R10120">
        <v>0.3106005</v>
      </c>
      <c r="S10120">
        <v>2.99884</v>
      </c>
      <c r="T10120">
        <v>-0.169731299999999</v>
      </c>
      <c r="U10120">
        <v>0.49143979999999998</v>
      </c>
      <c r="V10120">
        <v>0.25657190000000002</v>
      </c>
      <c r="W10120">
        <v>-0.10530630000000001</v>
      </c>
      <c r="X10120">
        <v>0.96077129999999999</v>
      </c>
      <c r="Y10120">
        <v>0.40450229999999998</v>
      </c>
      <c r="Z10120">
        <v>-3.5168709999999999E-2</v>
      </c>
      <c r="AA10120">
        <v>0.91386060000000002</v>
      </c>
      <c r="AB10120">
        <v>15</v>
      </c>
      <c r="AC10120">
        <v>19.683700000000002</v>
      </c>
      <c r="AD10120">
        <v>-1.1183743717129999</v>
      </c>
      <c r="AE10120">
        <v>3.1930999999999798</v>
      </c>
      <c r="AF10120">
        <v>8.0931352926742406</v>
      </c>
      <c r="AG10120">
        <v>-1.1183743717129999</v>
      </c>
      <c r="AH10120">
        <v>18.156412784617999</v>
      </c>
      <c r="AI10120">
        <v>93.220097101349197</v>
      </c>
      <c r="AJ10120">
        <v>65.9753027184546</v>
      </c>
      <c r="AK10120">
        <v>19.9099202737297</v>
      </c>
      <c r="AL10120">
        <v>96.044813950315898</v>
      </c>
      <c r="AM10120">
        <v>75.048195089920299</v>
      </c>
      <c r="AN10120">
        <v>1.0000000237964899</v>
      </c>
    </row>
    <row r="10121" spans="1:40" x14ac:dyDescent="0.25">
      <c r="A10121" t="str">
        <f>"20190303154037604"</f>
        <v>20190303154037604</v>
      </c>
      <c r="B10121" t="str">
        <f>"1551598837598306"</f>
        <v>1551598837598306</v>
      </c>
      <c r="C10121" t="s">
        <v>40</v>
      </c>
      <c r="D10121">
        <v>4.9781890000000004</v>
      </c>
      <c r="E10121">
        <v>0.55252650000000003</v>
      </c>
      <c r="F10121" t="s">
        <v>42</v>
      </c>
      <c r="G10121">
        <v>-158.13910000000001</v>
      </c>
      <c r="H10121" s="1">
        <v>-1.059178E-6</v>
      </c>
      <c r="I10121">
        <v>138.04589999999999</v>
      </c>
      <c r="J10121">
        <v>-177.08170000000001</v>
      </c>
      <c r="K10121">
        <v>1.118376</v>
      </c>
      <c r="L10121">
        <v>134.73759999999999</v>
      </c>
      <c r="M10121">
        <v>0.83842729999999999</v>
      </c>
      <c r="N10121">
        <v>-1.422909E-2</v>
      </c>
      <c r="O10121">
        <v>0.54482759999999997</v>
      </c>
      <c r="P10121">
        <v>0.94424169999999996</v>
      </c>
      <c r="Q10121">
        <v>-0.11748219999999999</v>
      </c>
      <c r="R10121">
        <v>0.30758039999999998</v>
      </c>
      <c r="S10121">
        <v>2.9852289999999999</v>
      </c>
      <c r="T10121">
        <v>-0.17551229999999901</v>
      </c>
      <c r="U10121">
        <v>0.52650450000000004</v>
      </c>
      <c r="V10121">
        <v>0.25590629999999998</v>
      </c>
      <c r="W10121">
        <v>-0.1054963</v>
      </c>
      <c r="X10121">
        <v>0.96092789999999995</v>
      </c>
      <c r="Y10121">
        <v>0.38974599999999998</v>
      </c>
      <c r="Z10121">
        <v>-3.603431E-2</v>
      </c>
      <c r="AA10121">
        <v>0.92021719999999896</v>
      </c>
      <c r="AB10121">
        <v>15</v>
      </c>
      <c r="AC10121">
        <v>18.942599999999999</v>
      </c>
      <c r="AD10121">
        <v>-1.118377059178</v>
      </c>
      <c r="AE10121">
        <v>3.3083</v>
      </c>
      <c r="AF10121">
        <v>7.5220028650109798</v>
      </c>
      <c r="AG10121">
        <v>-1.118377059178</v>
      </c>
      <c r="AH10121">
        <v>17.6266138983964</v>
      </c>
      <c r="AI10121">
        <v>93.339805128394204</v>
      </c>
      <c r="AJ10121">
        <v>66.890059107186204</v>
      </c>
      <c r="AK10121">
        <v>19.197104257436099</v>
      </c>
      <c r="AL10121">
        <v>96.055761475684307</v>
      </c>
      <c r="AM10121">
        <v>75.087574717743394</v>
      </c>
      <c r="AN10121">
        <v>0.99999996634589405</v>
      </c>
    </row>
    <row r="10122" spans="1:40" x14ac:dyDescent="0.25">
      <c r="A10122" t="str">
        <f>"20190303154037616"</f>
        <v>20190303154037616</v>
      </c>
      <c r="B10122" t="str">
        <f>"1551598837608066"</f>
        <v>1551598837608066</v>
      </c>
      <c r="C10122" t="s">
        <v>40</v>
      </c>
      <c r="D10122">
        <v>5.0800970000000003</v>
      </c>
      <c r="E10122">
        <v>0.5517029</v>
      </c>
      <c r="F10122" t="s">
        <v>42</v>
      </c>
      <c r="G10122">
        <v>-158.9118</v>
      </c>
      <c r="H10122" s="1">
        <v>-7.9077980000000001E-7</v>
      </c>
      <c r="I10122">
        <v>137.9836</v>
      </c>
      <c r="J10122">
        <v>-177.00219999999999</v>
      </c>
      <c r="K10122">
        <v>1.118377</v>
      </c>
      <c r="L10122">
        <v>134.78389999999999</v>
      </c>
      <c r="M10122">
        <v>0.84053269999999902</v>
      </c>
      <c r="N10122">
        <v>-1.4222739999999999E-2</v>
      </c>
      <c r="O10122">
        <v>0.541574</v>
      </c>
      <c r="P10122">
        <v>0.94518840000000004</v>
      </c>
      <c r="Q10122">
        <v>-0.1170553</v>
      </c>
      <c r="R10122">
        <v>0.304822599999999</v>
      </c>
      <c r="S10122">
        <v>2.9808650000000001</v>
      </c>
      <c r="T10122">
        <v>-0.18347530000000001</v>
      </c>
      <c r="U10122">
        <v>0.53251649999999995</v>
      </c>
      <c r="V10122">
        <v>0.25502059999999999</v>
      </c>
      <c r="W10122">
        <v>-0.1050642</v>
      </c>
      <c r="X10122">
        <v>0.96121069999999997</v>
      </c>
      <c r="Y10122">
        <v>0.38403130000000002</v>
      </c>
      <c r="Z10122">
        <v>-3.7634979999999998E-2</v>
      </c>
      <c r="AA10122">
        <v>0.92255279999999995</v>
      </c>
      <c r="AB10122">
        <v>15</v>
      </c>
      <c r="AC10122">
        <v>18.090399999999899</v>
      </c>
      <c r="AD10122">
        <v>-1.1183777907798</v>
      </c>
      <c r="AE10122">
        <v>3.1997</v>
      </c>
      <c r="AF10122">
        <v>7.08231030758889</v>
      </c>
      <c r="AG10122">
        <v>-1.1183777907798</v>
      </c>
      <c r="AH10122">
        <v>16.8776133605488</v>
      </c>
      <c r="AI10122">
        <v>93.496558199665401</v>
      </c>
      <c r="AJ10122">
        <v>67.235740180730204</v>
      </c>
      <c r="AK10122">
        <v>18.3374949468041</v>
      </c>
      <c r="AL10122">
        <v>96.030865401042107</v>
      </c>
      <c r="AM10122">
        <v>75.141078358293598</v>
      </c>
      <c r="AN10122">
        <v>1.0000000011702399</v>
      </c>
    </row>
    <row r="10123" spans="1:40" x14ac:dyDescent="0.25">
      <c r="A10123" t="str">
        <f>"20190303154037630"</f>
        <v>20190303154037630</v>
      </c>
      <c r="B10123" t="str">
        <f>"1551598837617827"</f>
        <v>1551598837617827</v>
      </c>
      <c r="C10123" t="s">
        <v>40</v>
      </c>
      <c r="D10123">
        <v>4.9821600000000004</v>
      </c>
      <c r="E10123">
        <v>0.55067159999999904</v>
      </c>
      <c r="F10123" t="s">
        <v>42</v>
      </c>
      <c r="G10123">
        <v>-159.1575</v>
      </c>
      <c r="H10123" s="1">
        <v>-7.1434849999999899E-7</v>
      </c>
      <c r="I10123">
        <v>137.95660000000001</v>
      </c>
      <c r="J10123">
        <v>-176.92150000000001</v>
      </c>
      <c r="K10123">
        <v>1.1183809999999901</v>
      </c>
      <c r="L10123">
        <v>134.8305</v>
      </c>
      <c r="M10123">
        <v>0.84265210000000002</v>
      </c>
      <c r="N10123">
        <v>-1.421687E-2</v>
      </c>
      <c r="O10123">
        <v>0.53827080000000005</v>
      </c>
      <c r="P10123">
        <v>0.94594699999999998</v>
      </c>
      <c r="Q10123">
        <v>-0.1162483</v>
      </c>
      <c r="R10123">
        <v>0.30277179999999998</v>
      </c>
      <c r="S10123">
        <v>2.979965</v>
      </c>
      <c r="T10123">
        <v>-0.1867627</v>
      </c>
      <c r="U10123">
        <v>0.52983089999999999</v>
      </c>
      <c r="V10123">
        <v>0.2533938</v>
      </c>
      <c r="W10123">
        <v>-0.1042447</v>
      </c>
      <c r="X10123">
        <v>0.96172999999999997</v>
      </c>
      <c r="Y10123">
        <v>0.38112030000000002</v>
      </c>
      <c r="Z10123">
        <v>-3.8195630000000001E-2</v>
      </c>
      <c r="AA10123">
        <v>0.92373609999999995</v>
      </c>
      <c r="AB10123">
        <v>15</v>
      </c>
      <c r="AC10123">
        <v>17.763999999999999</v>
      </c>
      <c r="AD10123">
        <v>-1.11838171434849</v>
      </c>
      <c r="AE10123">
        <v>3.1261000000000001</v>
      </c>
      <c r="AF10123">
        <v>6.90179275421686</v>
      </c>
      <c r="AG10123">
        <v>-1.11838171434849</v>
      </c>
      <c r="AH10123">
        <v>16.589462057431899</v>
      </c>
      <c r="AI10123">
        <v>93.561686971441404</v>
      </c>
      <c r="AJ10123">
        <v>67.410992028707597</v>
      </c>
      <c r="AK10123">
        <v>18.0026601433267</v>
      </c>
      <c r="AL10123">
        <v>95.983652346581493</v>
      </c>
      <c r="AM10123">
        <v>75.239335669737301</v>
      </c>
      <c r="AN10123">
        <v>0.99999998412826396</v>
      </c>
    </row>
    <row r="10124" spans="1:40" x14ac:dyDescent="0.25">
      <c r="A10124" t="str">
        <f>"20190303154037644"</f>
        <v>20190303154037644</v>
      </c>
      <c r="B10124" t="str">
        <f>"1551598837638322"</f>
        <v>1551598837638322</v>
      </c>
      <c r="C10124" t="s">
        <v>40</v>
      </c>
      <c r="D10124">
        <v>4.9564539999999999</v>
      </c>
      <c r="E10124">
        <v>0.54953649999999998</v>
      </c>
      <c r="F10124" t="s">
        <v>42</v>
      </c>
      <c r="G10124">
        <v>-159.05719999999999</v>
      </c>
      <c r="H10124" s="1">
        <v>-7.3283419999999997E-7</v>
      </c>
      <c r="I10124">
        <v>138.0153</v>
      </c>
      <c r="J10124">
        <v>-176.8338</v>
      </c>
      <c r="K10124">
        <v>1.118374</v>
      </c>
      <c r="L10124">
        <v>134.88050000000001</v>
      </c>
      <c r="M10124">
        <v>0.84493580000000001</v>
      </c>
      <c r="N10124">
        <v>-1.421156E-2</v>
      </c>
      <c r="O10124">
        <v>0.53467909999999996</v>
      </c>
      <c r="P10124">
        <v>0.94701420000000003</v>
      </c>
      <c r="Q10124">
        <v>-0.115776</v>
      </c>
      <c r="R10124">
        <v>0.29960039999999999</v>
      </c>
      <c r="S10124">
        <v>2.9785309999999998</v>
      </c>
      <c r="T10124">
        <v>-0.18646879999999999</v>
      </c>
      <c r="U10124">
        <v>0.53102109999999902</v>
      </c>
      <c r="V10124">
        <v>0.25255729999999998</v>
      </c>
      <c r="W10124">
        <v>-0.10377020000000001</v>
      </c>
      <c r="X10124">
        <v>0.96200129999999995</v>
      </c>
      <c r="Y10124">
        <v>0.37676340000000003</v>
      </c>
      <c r="Z10124">
        <v>-3.7854079999999998E-2</v>
      </c>
      <c r="AA10124">
        <v>0.92553569999999996</v>
      </c>
      <c r="AB10124">
        <v>15</v>
      </c>
      <c r="AC10124">
        <v>17.776599999999998</v>
      </c>
      <c r="AD10124">
        <v>-1.1183747328342</v>
      </c>
      <c r="AE10124">
        <v>3.1347999999999798</v>
      </c>
      <c r="AF10124">
        <v>6.8305434538248804</v>
      </c>
      <c r="AG10124">
        <v>-1.1183747328342</v>
      </c>
      <c r="AH10124">
        <v>16.634030207837601</v>
      </c>
      <c r="AI10124">
        <v>93.558904475894494</v>
      </c>
      <c r="AJ10124">
        <v>67.675146892363699</v>
      </c>
      <c r="AK10124">
        <v>18.016604754306101</v>
      </c>
      <c r="AL10124">
        <v>95.956317315419994</v>
      </c>
      <c r="AM10124">
        <v>75.289915388674501</v>
      </c>
      <c r="AN10124">
        <v>0.99999997269650898</v>
      </c>
    </row>
    <row r="10125" spans="1:40" x14ac:dyDescent="0.25">
      <c r="A10125" t="str">
        <f>"20190303154037656"</f>
        <v>20190303154037656</v>
      </c>
      <c r="B10125" t="str">
        <f>"1551598837648082"</f>
        <v>1551598837648082</v>
      </c>
      <c r="C10125" t="s">
        <v>40</v>
      </c>
      <c r="D10125">
        <v>4.9552820000000004</v>
      </c>
      <c r="E10125">
        <v>0.54895930000000004</v>
      </c>
      <c r="F10125" t="s">
        <v>42</v>
      </c>
      <c r="G10125">
        <v>-158.89599999999999</v>
      </c>
      <c r="H10125" s="1">
        <v>-7.7296389999999997E-7</v>
      </c>
      <c r="I10125">
        <v>138.07079999999999</v>
      </c>
      <c r="J10125">
        <v>-176.76169999999999</v>
      </c>
      <c r="K10125">
        <v>1.118371</v>
      </c>
      <c r="L10125">
        <v>134.9213</v>
      </c>
      <c r="M10125">
        <v>0.84679789999999899</v>
      </c>
      <c r="N10125">
        <v>-1.420775E-2</v>
      </c>
      <c r="O10125">
        <v>0.53172509999999995</v>
      </c>
      <c r="P10125">
        <v>0.9480056</v>
      </c>
      <c r="Q10125">
        <v>-0.115521</v>
      </c>
      <c r="R10125">
        <v>0.29654760000000002</v>
      </c>
      <c r="S10125">
        <v>2.9775999999999998</v>
      </c>
      <c r="T10125">
        <v>-0.18564510000000001</v>
      </c>
      <c r="U10125">
        <v>0.52957149999999997</v>
      </c>
      <c r="V10125">
        <v>0.25231479999999901</v>
      </c>
      <c r="W10125">
        <v>-0.1035182</v>
      </c>
      <c r="X10125">
        <v>0.96209210000000001</v>
      </c>
      <c r="Y10125">
        <v>0.37393480000000001</v>
      </c>
      <c r="Z10125">
        <v>-3.7469009999999997E-2</v>
      </c>
      <c r="AA10125">
        <v>0.92669789999999996</v>
      </c>
      <c r="AB10125">
        <v>15</v>
      </c>
      <c r="AC10125">
        <v>17.865699999999901</v>
      </c>
      <c r="AD10125">
        <v>-1.1183717729639</v>
      </c>
      <c r="AE10125">
        <v>3.1494999999999802</v>
      </c>
      <c r="AF10125">
        <v>6.8074686222895098</v>
      </c>
      <c r="AG10125">
        <v>-1.1183717729639</v>
      </c>
      <c r="AH10125">
        <v>16.741374956383101</v>
      </c>
      <c r="AI10125">
        <v>93.541091423458298</v>
      </c>
      <c r="AJ10125">
        <v>67.872091191258093</v>
      </c>
      <c r="AK10125">
        <v>18.107070991638299</v>
      </c>
      <c r="AL10125">
        <v>95.9418004800267</v>
      </c>
      <c r="AM10125">
        <v>75.304754980701503</v>
      </c>
      <c r="AN10125">
        <v>0.99999999245634497</v>
      </c>
    </row>
    <row r="10126" spans="1:40" x14ac:dyDescent="0.25">
      <c r="A10126" t="str">
        <f>"20190303154037668"</f>
        <v>20190303154037668</v>
      </c>
      <c r="B10126" t="str">
        <f>"1551598837657842"</f>
        <v>1551598837657842</v>
      </c>
      <c r="C10126" t="s">
        <v>40</v>
      </c>
      <c r="D10126">
        <v>4.9548740000000002</v>
      </c>
      <c r="E10126">
        <v>0.54836739999999995</v>
      </c>
      <c r="F10126" t="s">
        <v>42</v>
      </c>
      <c r="G10126">
        <v>-158.91409999999999</v>
      </c>
      <c r="H10126" s="1">
        <v>-7.6874039999999996E-7</v>
      </c>
      <c r="I10126">
        <v>138.0634</v>
      </c>
      <c r="J10126">
        <v>-176.68729999999999</v>
      </c>
      <c r="K10126">
        <v>1.118371</v>
      </c>
      <c r="L10126">
        <v>134.9632</v>
      </c>
      <c r="M10126">
        <v>0.84870959999999995</v>
      </c>
      <c r="N10126">
        <v>-1.420415E-2</v>
      </c>
      <c r="O10126">
        <v>0.52866859999999904</v>
      </c>
      <c r="P10126">
        <v>0.94902690000000001</v>
      </c>
      <c r="Q10126">
        <v>-0.1159076</v>
      </c>
      <c r="R10126">
        <v>0.29310989999999998</v>
      </c>
      <c r="S10126">
        <v>2.9777979999999999</v>
      </c>
      <c r="T10126">
        <v>-0.18659519999999999</v>
      </c>
      <c r="U10126">
        <v>0.52426149999999905</v>
      </c>
      <c r="V10126">
        <v>0.25230429999999998</v>
      </c>
      <c r="W10126">
        <v>-0.1039114</v>
      </c>
      <c r="X10126">
        <v>0.96205249999999998</v>
      </c>
      <c r="Y10126">
        <v>0.37219530000000001</v>
      </c>
      <c r="Z10126">
        <v>-3.7519259999999999E-2</v>
      </c>
      <c r="AA10126">
        <v>0.92739579999999999</v>
      </c>
      <c r="AB10126">
        <v>15</v>
      </c>
      <c r="AC10126">
        <v>17.773199999999999</v>
      </c>
      <c r="AD10126">
        <v>-1.1183717687404</v>
      </c>
      <c r="AE10126">
        <v>3.1002000000000001</v>
      </c>
      <c r="AF10126">
        <v>6.7397469265269603</v>
      </c>
      <c r="AG10126">
        <v>-1.1183717687404</v>
      </c>
      <c r="AH10126">
        <v>16.660928057221302</v>
      </c>
      <c r="AI10126">
        <v>93.560743975547794</v>
      </c>
      <c r="AJ10126">
        <v>67.975481224803602</v>
      </c>
      <c r="AK10126">
        <v>18.007261529023399</v>
      </c>
      <c r="AL10126">
        <v>95.964451135529799</v>
      </c>
      <c r="AM10126">
        <v>75.304761369201302</v>
      </c>
      <c r="AN10126">
        <v>1.00000002580234</v>
      </c>
    </row>
    <row r="10127" spans="1:40" x14ac:dyDescent="0.25">
      <c r="A10127" t="str">
        <f>"20190303154037687"</f>
        <v>20190303154037687</v>
      </c>
      <c r="B10127" t="str">
        <f>"1551598837678342"</f>
        <v>1551598837678342</v>
      </c>
      <c r="C10127" t="s">
        <v>40</v>
      </c>
      <c r="D10127">
        <v>4.954847</v>
      </c>
      <c r="E10127">
        <v>0.5472011</v>
      </c>
      <c r="F10127" t="s">
        <v>42</v>
      </c>
      <c r="G10127">
        <v>-159.3903</v>
      </c>
      <c r="H10127" s="1">
        <v>-6.315603E-7</v>
      </c>
      <c r="I10127">
        <v>137.97</v>
      </c>
      <c r="J10127">
        <v>-176.57939999999999</v>
      </c>
      <c r="K10127">
        <v>1.118363</v>
      </c>
      <c r="L10127">
        <v>135.023</v>
      </c>
      <c r="M10127">
        <v>0.85145979999999999</v>
      </c>
      <c r="N10127">
        <v>-1.419981E-2</v>
      </c>
      <c r="O10127">
        <v>0.52422769999999996</v>
      </c>
      <c r="P10127">
        <v>0.95064059999999995</v>
      </c>
      <c r="Q10127">
        <v>-0.1166488</v>
      </c>
      <c r="R10127">
        <v>0.28753390000000001</v>
      </c>
      <c r="S10127">
        <v>2.9777369999999999</v>
      </c>
      <c r="T10127">
        <v>-0.19253100000000001</v>
      </c>
      <c r="U10127">
        <v>0.51763919999999997</v>
      </c>
      <c r="V10127">
        <v>0.25287100000000001</v>
      </c>
      <c r="W10127">
        <v>-0.1046676</v>
      </c>
      <c r="X10127">
        <v>0.9618217</v>
      </c>
      <c r="Y10127">
        <v>0.3692607</v>
      </c>
      <c r="Z10127">
        <v>-3.8607290000000002E-2</v>
      </c>
      <c r="AA10127">
        <v>0.9285236</v>
      </c>
      <c r="AB10127">
        <v>15</v>
      </c>
      <c r="AC10127">
        <v>17.1890999999999</v>
      </c>
      <c r="AD10127">
        <v>-1.1183636315603001</v>
      </c>
      <c r="AE10127">
        <v>2.9470000000000001</v>
      </c>
      <c r="AF10127">
        <v>6.4757756333887597</v>
      </c>
      <c r="AG10127">
        <v>-1.1183636315603001</v>
      </c>
      <c r="AH10127">
        <v>16.116084175468298</v>
      </c>
      <c r="AI10127">
        <v>93.684214462893493</v>
      </c>
      <c r="AJ10127">
        <v>68.108719144704907</v>
      </c>
      <c r="AK10127">
        <v>17.404441284257601</v>
      </c>
      <c r="AL10127">
        <v>96.008015822572702</v>
      </c>
      <c r="AM10127">
        <v>75.269807373834496</v>
      </c>
      <c r="AN10127">
        <v>1.00000001586082</v>
      </c>
    </row>
    <row r="10128" spans="1:40" x14ac:dyDescent="0.25">
      <c r="A10128" t="str">
        <f>"20190303154037703"</f>
        <v>20190303154037703</v>
      </c>
      <c r="B10128" t="str">
        <f>"1551598837697858"</f>
        <v>1551598837697858</v>
      </c>
      <c r="C10128" t="s">
        <v>40</v>
      </c>
      <c r="D10128">
        <v>4.9216800000000003</v>
      </c>
      <c r="E10128">
        <v>0.54616169999999997</v>
      </c>
      <c r="F10128" t="s">
        <v>42</v>
      </c>
      <c r="G10128">
        <v>-160.03290000000001</v>
      </c>
      <c r="H10128" s="1">
        <v>-5.005271E-6</v>
      </c>
      <c r="I10128">
        <v>137.8501</v>
      </c>
      <c r="J10128">
        <v>-176.48310000000001</v>
      </c>
      <c r="K10128">
        <v>1.1183609999999999</v>
      </c>
      <c r="L10128">
        <v>135.07579999999999</v>
      </c>
      <c r="M10128">
        <v>0.85389230000000005</v>
      </c>
      <c r="N10128">
        <v>-1.4196439999999999E-2</v>
      </c>
      <c r="O10128">
        <v>0.52025600000000005</v>
      </c>
      <c r="P10128">
        <v>0.95214129999999997</v>
      </c>
      <c r="Q10128">
        <v>-0.1169912</v>
      </c>
      <c r="R10128">
        <v>0.2823832</v>
      </c>
      <c r="S10128">
        <v>2.9772340000000002</v>
      </c>
      <c r="T10128">
        <v>-0.2012303</v>
      </c>
      <c r="U10128">
        <v>0.50868230000000003</v>
      </c>
      <c r="V10128">
        <v>0.2535712</v>
      </c>
      <c r="W10128">
        <v>-0.1050237</v>
      </c>
      <c r="X10128">
        <v>0.96159850000000002</v>
      </c>
      <c r="Y10128">
        <v>0.36748380000000003</v>
      </c>
      <c r="Z10128">
        <v>-4.0372449999999997E-2</v>
      </c>
      <c r="AA10128">
        <v>0.92915320000000001</v>
      </c>
      <c r="AB10128">
        <v>15</v>
      </c>
      <c r="AC10128">
        <v>16.450199999999899</v>
      </c>
      <c r="AD10128">
        <v>-1.1183660052710001</v>
      </c>
      <c r="AE10128">
        <v>2.77430000000001</v>
      </c>
      <c r="AF10128">
        <v>6.1622917919526303</v>
      </c>
      <c r="AG10128">
        <v>-1.1183660052710001</v>
      </c>
      <c r="AH10128">
        <v>15.422297425292699</v>
      </c>
      <c r="AI10128">
        <v>93.852455953159193</v>
      </c>
      <c r="AJ10128">
        <v>68.219818487915902</v>
      </c>
      <c r="AK10128">
        <v>16.6454750765817</v>
      </c>
      <c r="AL10128">
        <v>96.028532000913302</v>
      </c>
      <c r="AM10128">
        <v>75.227521872888303</v>
      </c>
      <c r="AN10128">
        <v>1.00000000311669</v>
      </c>
    </row>
    <row r="10129" spans="1:40" x14ac:dyDescent="0.25">
      <c r="A10129" t="str">
        <f>"20190303154037720"</f>
        <v>20190303154037720</v>
      </c>
      <c r="B10129" t="str">
        <f>"1551598837708593"</f>
        <v>1551598837708593</v>
      </c>
      <c r="C10129" t="s">
        <v>40</v>
      </c>
      <c r="D10129">
        <v>4.9852100000000004</v>
      </c>
      <c r="E10129">
        <v>0.5458364</v>
      </c>
      <c r="F10129" t="s">
        <v>42</v>
      </c>
      <c r="G10129">
        <v>-160.5498</v>
      </c>
      <c r="H10129" s="1">
        <v>-4.7782409999999999E-6</v>
      </c>
      <c r="I10129">
        <v>137.7526</v>
      </c>
      <c r="J10129">
        <v>-176.375</v>
      </c>
      <c r="K10129">
        <v>1.1183609999999999</v>
      </c>
      <c r="L10129">
        <v>135.1344</v>
      </c>
      <c r="M10129">
        <v>0.85660329999999996</v>
      </c>
      <c r="N10129">
        <v>-1.4190380000000001E-2</v>
      </c>
      <c r="O10129">
        <v>0.51578040000000003</v>
      </c>
      <c r="P10129">
        <v>0.95425380000000004</v>
      </c>
      <c r="Q10129">
        <v>-0.1173551</v>
      </c>
      <c r="R10129">
        <v>0.27500479999999999</v>
      </c>
      <c r="S10129">
        <v>2.976807</v>
      </c>
      <c r="T10129">
        <v>-0.20894309999999999</v>
      </c>
      <c r="U10129">
        <v>0.50010679999999996</v>
      </c>
      <c r="V10129">
        <v>0.25595079999999998</v>
      </c>
      <c r="W10129">
        <v>-0.1054213</v>
      </c>
      <c r="X10129">
        <v>0.96092429999999995</v>
      </c>
      <c r="Y10129">
        <v>0.36507590000000001</v>
      </c>
      <c r="Z10129">
        <v>-4.184305E-2</v>
      </c>
      <c r="AA10129">
        <v>0.930037</v>
      </c>
      <c r="AB10129">
        <v>15</v>
      </c>
      <c r="AC10129">
        <v>15.825199999999899</v>
      </c>
      <c r="AD10129">
        <v>-1.1183657782409999</v>
      </c>
      <c r="AE10129">
        <v>2.6181999999999999</v>
      </c>
      <c r="AF10129">
        <v>5.8915255561353304</v>
      </c>
      <c r="AG10129">
        <v>-1.1183657782409999</v>
      </c>
      <c r="AH10129">
        <v>14.835716753948001</v>
      </c>
      <c r="AI10129">
        <v>94.007655768436294</v>
      </c>
      <c r="AJ10129">
        <v>68.341097581613298</v>
      </c>
      <c r="AK10129">
        <v>16.0018532362946</v>
      </c>
      <c r="AL10129">
        <v>96.051440073254994</v>
      </c>
      <c r="AM10129">
        <v>75.085043743242693</v>
      </c>
      <c r="AN10129">
        <v>0.99999998642240995</v>
      </c>
    </row>
    <row r="10130" spans="1:40" x14ac:dyDescent="0.25">
      <c r="A10130" t="str">
        <f>"20190303154037737"</f>
        <v>20190303154037737</v>
      </c>
      <c r="B10130" t="str">
        <f>"1551598837728114"</f>
        <v>1551598837728114</v>
      </c>
      <c r="C10130" t="s">
        <v>40</v>
      </c>
      <c r="D10130">
        <v>4.9977510000000001</v>
      </c>
      <c r="E10130">
        <v>0.54520029999999997</v>
      </c>
      <c r="F10130" t="s">
        <v>42</v>
      </c>
      <c r="G10130">
        <v>-160.66999999999999</v>
      </c>
      <c r="H10130" s="1">
        <v>-4.7375820000000001E-6</v>
      </c>
      <c r="I10130">
        <v>137.66139999999999</v>
      </c>
      <c r="J10130">
        <v>-176.26990000000001</v>
      </c>
      <c r="K10130">
        <v>1.118358</v>
      </c>
      <c r="L10130">
        <v>135.19069999999999</v>
      </c>
      <c r="M10130">
        <v>0.859214899999999</v>
      </c>
      <c r="N10130">
        <v>-1.417763E-2</v>
      </c>
      <c r="O10130">
        <v>0.5114185</v>
      </c>
      <c r="P10130">
        <v>0.95590359999999996</v>
      </c>
      <c r="Q10130">
        <v>-0.1172137</v>
      </c>
      <c r="R10130">
        <v>0.2692756</v>
      </c>
      <c r="S10130">
        <v>2.9795379999999998</v>
      </c>
      <c r="T10130">
        <v>-0.21217620000000001</v>
      </c>
      <c r="U10130">
        <v>0.47941590000000001</v>
      </c>
      <c r="V10130">
        <v>0.25683679999999998</v>
      </c>
      <c r="W10130">
        <v>-0.10530340000000001</v>
      </c>
      <c r="X10130">
        <v>0.96070080000000002</v>
      </c>
      <c r="Y10130">
        <v>0.36671530000000002</v>
      </c>
      <c r="Z10130">
        <v>-4.2445070000000001E-2</v>
      </c>
      <c r="AA10130">
        <v>0.92936450000000004</v>
      </c>
      <c r="AB10130">
        <v>15</v>
      </c>
      <c r="AC10130">
        <v>15.5999</v>
      </c>
      <c r="AD10130">
        <v>-1.118362737582</v>
      </c>
      <c r="AE10130">
        <v>2.4706999999999901</v>
      </c>
      <c r="AF10130">
        <v>5.8265903298122801</v>
      </c>
      <c r="AG10130">
        <v>-1.118362737582</v>
      </c>
      <c r="AH10130">
        <v>14.5955233146714</v>
      </c>
      <c r="AI10130">
        <v>94.070467382253099</v>
      </c>
      <c r="AJ10130">
        <v>68.237921310084204</v>
      </c>
      <c r="AK10130">
        <v>15.755290886346399</v>
      </c>
      <c r="AL10130">
        <v>96.044647083752295</v>
      </c>
      <c r="AM10130">
        <v>75.032401314191304</v>
      </c>
      <c r="AN10130">
        <v>0.99999998750321895</v>
      </c>
    </row>
    <row r="10131" spans="1:40" x14ac:dyDescent="0.25">
      <c r="A10131" t="str">
        <f>"20190303154037751"</f>
        <v>20190303154037751</v>
      </c>
      <c r="B10131" t="str">
        <f>"1551598837747634"</f>
        <v>1551598837747634</v>
      </c>
      <c r="C10131" t="s">
        <v>40</v>
      </c>
      <c r="D10131">
        <v>4.9354789999999999</v>
      </c>
      <c r="E10131">
        <v>0.54452939999999905</v>
      </c>
      <c r="F10131" t="s">
        <v>42</v>
      </c>
      <c r="G10131">
        <v>-160.81899999999999</v>
      </c>
      <c r="H10131" s="1">
        <v>-4.6767709999999997E-6</v>
      </c>
      <c r="I10131">
        <v>137.6071</v>
      </c>
      <c r="J10131">
        <v>-176.18369999999999</v>
      </c>
      <c r="K10131">
        <v>1.118363</v>
      </c>
      <c r="L10131">
        <v>135.2364</v>
      </c>
      <c r="M10131">
        <v>0.86134089999999996</v>
      </c>
      <c r="N10131">
        <v>-1.415955E-2</v>
      </c>
      <c r="O10131">
        <v>0.50783009999999995</v>
      </c>
      <c r="P10131">
        <v>0.9572678</v>
      </c>
      <c r="Q10131">
        <v>-0.1166107</v>
      </c>
      <c r="R10131">
        <v>0.26465149999999998</v>
      </c>
      <c r="S10131">
        <v>2.9806210000000002</v>
      </c>
      <c r="T10131">
        <v>-0.2157433</v>
      </c>
      <c r="U10131">
        <v>0.46615600000000001</v>
      </c>
      <c r="V10131">
        <v>0.25751259999999998</v>
      </c>
      <c r="W10131">
        <v>-0.1047261</v>
      </c>
      <c r="X10131">
        <v>0.96058299999999996</v>
      </c>
      <c r="Y10131">
        <v>0.36686160000000001</v>
      </c>
      <c r="Z10131">
        <v>-4.3097299999999998E-2</v>
      </c>
      <c r="AA10131">
        <v>0.92927669999999996</v>
      </c>
      <c r="AB10131">
        <v>15</v>
      </c>
      <c r="AC10131">
        <v>15.364699999999999</v>
      </c>
      <c r="AD10131">
        <v>-1.118367676771</v>
      </c>
      <c r="AE10131">
        <v>2.3706999999999998</v>
      </c>
      <c r="AF10131">
        <v>5.7315932092485102</v>
      </c>
      <c r="AG10131">
        <v>-1.118367676771</v>
      </c>
      <c r="AH10131">
        <v>14.365265599000701</v>
      </c>
      <c r="AI10131">
        <v>94.135809568807503</v>
      </c>
      <c r="AJ10131">
        <v>68.248508872673497</v>
      </c>
      <c r="AK10131">
        <v>15.5068617942697</v>
      </c>
      <c r="AL10131">
        <v>96.011386258887896</v>
      </c>
      <c r="AM10131">
        <v>74.993034861197202</v>
      </c>
      <c r="AN10131">
        <v>0.99999999753448499</v>
      </c>
    </row>
    <row r="10132" spans="1:40" x14ac:dyDescent="0.25">
      <c r="A10132" t="str">
        <f>"20190303154037764"</f>
        <v>20190303154037764</v>
      </c>
      <c r="B10132" t="str">
        <f>"1551598837757901"</f>
        <v>1551598837757901</v>
      </c>
      <c r="C10132" t="s">
        <v>40</v>
      </c>
      <c r="D10132">
        <v>4.9387990000000004</v>
      </c>
      <c r="E10132">
        <v>0.54420570000000001</v>
      </c>
      <c r="F10132" t="s">
        <v>42</v>
      </c>
      <c r="G10132">
        <v>-160.84690000000001</v>
      </c>
      <c r="H10132" s="1">
        <v>-4.6673820000000003E-6</v>
      </c>
      <c r="I10132">
        <v>137.58590000000001</v>
      </c>
      <c r="J10132">
        <v>-176.10210000000001</v>
      </c>
      <c r="K10132">
        <v>1.1183620000000001</v>
      </c>
      <c r="L10132">
        <v>135.2791</v>
      </c>
      <c r="M10132">
        <v>0.86334290000000002</v>
      </c>
      <c r="N10132">
        <v>-1.412859E-2</v>
      </c>
      <c r="O10132">
        <v>0.50441979999999997</v>
      </c>
      <c r="P10132">
        <v>0.95892299999999997</v>
      </c>
      <c r="Q10132">
        <v>-0.11393109999999999</v>
      </c>
      <c r="R10132">
        <v>0.25978190000000001</v>
      </c>
      <c r="S10132">
        <v>2.9811860000000001</v>
      </c>
      <c r="T10132">
        <v>-0.21738850000000001</v>
      </c>
      <c r="U10132">
        <v>0.45671079999999997</v>
      </c>
      <c r="V10132">
        <v>0.25877339999999999</v>
      </c>
      <c r="W10132">
        <v>-0.1020884</v>
      </c>
      <c r="X10132">
        <v>0.9605281</v>
      </c>
      <c r="Y10132">
        <v>0.366062</v>
      </c>
      <c r="Z10132">
        <v>-4.3289479999999998E-2</v>
      </c>
      <c r="AA10132">
        <v>0.9295831</v>
      </c>
      <c r="AB10132">
        <v>15</v>
      </c>
      <c r="AC10132">
        <v>15.2552</v>
      </c>
      <c r="AD10132">
        <v>-1.1183666673819901</v>
      </c>
      <c r="AE10132">
        <v>2.3068</v>
      </c>
      <c r="AF10132">
        <v>5.6742211130280298</v>
      </c>
      <c r="AG10132">
        <v>-1.1183666673819901</v>
      </c>
      <c r="AH10132">
        <v>14.2605665431084</v>
      </c>
      <c r="AI10132">
        <v>94.167625489319406</v>
      </c>
      <c r="AJ10132">
        <v>68.302592954429102</v>
      </c>
      <c r="AK10132">
        <v>15.388673996568601</v>
      </c>
      <c r="AL10132">
        <v>95.8594427280471</v>
      </c>
      <c r="AM10132">
        <v>74.922074826302506</v>
      </c>
      <c r="AN10132">
        <v>0.99999997242586403</v>
      </c>
    </row>
    <row r="10133" spans="1:40" x14ac:dyDescent="0.25">
      <c r="A10133" t="str">
        <f>"20190303154037780"</f>
        <v>20190303154037780</v>
      </c>
      <c r="B10133" t="str">
        <f>"1551598837767661"</f>
        <v>1551598837767661</v>
      </c>
      <c r="C10133" t="s">
        <v>40</v>
      </c>
      <c r="D10133">
        <v>4.9274579999999997</v>
      </c>
      <c r="E10133">
        <v>0.54382439999999999</v>
      </c>
      <c r="F10133" t="s">
        <v>42</v>
      </c>
      <c r="G10133">
        <v>-160.29660000000001</v>
      </c>
      <c r="H10133" s="1">
        <v>-4.9194669999999998E-6</v>
      </c>
      <c r="I10133">
        <v>137.6311</v>
      </c>
      <c r="J10133">
        <v>-176.01060000000001</v>
      </c>
      <c r="K10133">
        <v>1.1183479999999999</v>
      </c>
      <c r="L10133">
        <v>135.32650000000001</v>
      </c>
      <c r="M10133">
        <v>0.86557019999999996</v>
      </c>
      <c r="N10133">
        <v>-1.4081440000000001E-2</v>
      </c>
      <c r="O10133">
        <v>0.50058970000000003</v>
      </c>
      <c r="P10133">
        <v>0.96028279999999999</v>
      </c>
      <c r="Q10133">
        <v>-0.112363</v>
      </c>
      <c r="R10133">
        <v>0.25540469999999998</v>
      </c>
      <c r="S10133">
        <v>2.9831850000000002</v>
      </c>
      <c r="T10133">
        <v>-0.21108540000000001</v>
      </c>
      <c r="U10133">
        <v>0.44390869999999999</v>
      </c>
      <c r="V10133">
        <v>0.25899939999999999</v>
      </c>
      <c r="W10133">
        <v>-0.1005704</v>
      </c>
      <c r="X10133">
        <v>0.96062729999999996</v>
      </c>
      <c r="Y10133">
        <v>0.36604979999999998</v>
      </c>
      <c r="Z10133">
        <v>-4.1734479999999997E-2</v>
      </c>
      <c r="AA10133">
        <v>0.92965889999999995</v>
      </c>
      <c r="AB10133">
        <v>15</v>
      </c>
      <c r="AC10133">
        <v>15.714</v>
      </c>
      <c r="AD10133">
        <v>-1.1183529194670001</v>
      </c>
      <c r="AE10133">
        <v>2.30459999999999</v>
      </c>
      <c r="AF10133">
        <v>5.8430829774842197</v>
      </c>
      <c r="AG10133">
        <v>-1.1183529194670001</v>
      </c>
      <c r="AH10133">
        <v>14.6838828095789</v>
      </c>
      <c r="AI10133">
        <v>94.047794024996506</v>
      </c>
      <c r="AJ10133">
        <v>68.301157755532998</v>
      </c>
      <c r="AK10133">
        <v>15.843255546121</v>
      </c>
      <c r="AL10133">
        <v>95.772017859231596</v>
      </c>
      <c r="AM10133">
        <v>74.910994116520598</v>
      </c>
      <c r="AN10133">
        <v>0.99999995203090297</v>
      </c>
    </row>
    <row r="10134" spans="1:40" x14ac:dyDescent="0.25">
      <c r="A10134" t="str">
        <f>"20190303154037793"</f>
        <v>20190303154037793</v>
      </c>
      <c r="B10134" t="str">
        <f>"1551598837788156"</f>
        <v>1551598837788156</v>
      </c>
      <c r="C10134" t="s">
        <v>40</v>
      </c>
      <c r="D10134">
        <v>4.9424070000000002</v>
      </c>
      <c r="E10134">
        <v>0.54317689999999996</v>
      </c>
      <c r="F10134" t="s">
        <v>42</v>
      </c>
      <c r="G10134">
        <v>-160.018</v>
      </c>
      <c r="H10134" s="1">
        <v>-5.0482659999999999E-6</v>
      </c>
      <c r="I10134">
        <v>137.64750000000001</v>
      </c>
      <c r="J10134">
        <v>-175.9331</v>
      </c>
      <c r="K10134">
        <v>1.1183379999999901</v>
      </c>
      <c r="L10134">
        <v>135.3664</v>
      </c>
      <c r="M10134">
        <v>0.8674463</v>
      </c>
      <c r="N10134">
        <v>-1.403446E-2</v>
      </c>
      <c r="O10134">
        <v>0.49733290000000002</v>
      </c>
      <c r="P10134">
        <v>0.96127750000000001</v>
      </c>
      <c r="Q10134">
        <v>-0.1112495</v>
      </c>
      <c r="R10134">
        <v>0.25212889999999999</v>
      </c>
      <c r="S10134">
        <v>2.984451</v>
      </c>
      <c r="T10134">
        <v>-0.20870089999999999</v>
      </c>
      <c r="U10134">
        <v>0.43312070000000003</v>
      </c>
      <c r="V10134">
        <v>0.25873439999999998</v>
      </c>
      <c r="W10134">
        <v>-9.9502750000000001E-2</v>
      </c>
      <c r="X10134">
        <v>0.96080989999999999</v>
      </c>
      <c r="Y10134">
        <v>0.36594470000000001</v>
      </c>
      <c r="Z10134">
        <v>-4.1077379999999997E-2</v>
      </c>
      <c r="AA10134">
        <v>0.92972960000000004</v>
      </c>
      <c r="AB10134">
        <v>15</v>
      </c>
      <c r="AC10134">
        <v>15.915099999999899</v>
      </c>
      <c r="AD10134">
        <v>-1.11834304826599</v>
      </c>
      <c r="AE10134">
        <v>2.2810999999999999</v>
      </c>
      <c r="AF10134">
        <v>5.9083686846450103</v>
      </c>
      <c r="AG10134">
        <v>-1.11834304826599</v>
      </c>
      <c r="AH10134">
        <v>14.8694875467811</v>
      </c>
      <c r="AI10134">
        <v>93.998186734415</v>
      </c>
      <c r="AJ10134">
        <v>68.329675074004896</v>
      </c>
      <c r="AK10134">
        <v>16.039363191572701</v>
      </c>
      <c r="AL10134">
        <v>95.710537480323495</v>
      </c>
      <c r="AM10134">
        <v>74.928464228859895</v>
      </c>
      <c r="AN10134">
        <v>0.99999997546946595</v>
      </c>
    </row>
    <row r="10135" spans="1:40" x14ac:dyDescent="0.25">
      <c r="A10135" t="str">
        <f>"20190303154037805"</f>
        <v>20190303154037805</v>
      </c>
      <c r="B10135" t="str">
        <f>"1551598837797917"</f>
        <v>1551598837797917</v>
      </c>
      <c r="C10135" t="s">
        <v>40</v>
      </c>
      <c r="D10135">
        <v>4.9291679999999998</v>
      </c>
      <c r="E10135">
        <v>0.54287489999999905</v>
      </c>
      <c r="F10135" t="s">
        <v>42</v>
      </c>
      <c r="G10135">
        <v>-159.93520000000001</v>
      </c>
      <c r="H10135" s="1">
        <v>-5.28638E-7</v>
      </c>
      <c r="I10135">
        <v>137.65989999999999</v>
      </c>
      <c r="J10135">
        <v>-175.85059999999999</v>
      </c>
      <c r="K10135">
        <v>1.1183209999999999</v>
      </c>
      <c r="L10135">
        <v>135.4083</v>
      </c>
      <c r="M10135">
        <v>0.86942909999999995</v>
      </c>
      <c r="N10135">
        <v>-1.3976529999999999E-2</v>
      </c>
      <c r="O10135">
        <v>0.49386000000000002</v>
      </c>
      <c r="P10135">
        <v>0.96238089999999998</v>
      </c>
      <c r="Q10135">
        <v>-0.1102481</v>
      </c>
      <c r="R10135">
        <v>0.24833140000000001</v>
      </c>
      <c r="S10135">
        <v>2.9844970000000002</v>
      </c>
      <c r="T10135">
        <v>-0.2086315</v>
      </c>
      <c r="U10135">
        <v>0.42787170000000002</v>
      </c>
      <c r="V10135">
        <v>0.25874580000000003</v>
      </c>
      <c r="W10135">
        <v>-9.8562620000000004E-2</v>
      </c>
      <c r="X10135">
        <v>0.96090379999999997</v>
      </c>
      <c r="Y10135">
        <v>0.36383660000000001</v>
      </c>
      <c r="Z10135">
        <v>-4.0847149999999999E-2</v>
      </c>
      <c r="AA10135">
        <v>0.93056669999999997</v>
      </c>
      <c r="AB10135">
        <v>15</v>
      </c>
      <c r="AC10135">
        <v>15.915399999999901</v>
      </c>
      <c r="AD10135">
        <v>-1.1183215286379999</v>
      </c>
      <c r="AE10135">
        <v>2.2515999999999901</v>
      </c>
      <c r="AF10135">
        <v>5.8745137622580099</v>
      </c>
      <c r="AG10135">
        <v>-1.1183215286379999</v>
      </c>
      <c r="AH10135">
        <v>14.8787266413228</v>
      </c>
      <c r="AI10135">
        <v>93.999075994259201</v>
      </c>
      <c r="AJ10135">
        <v>68.454585729965601</v>
      </c>
      <c r="AK10135">
        <v>16.035493801301602</v>
      </c>
      <c r="AL10135">
        <v>95.656405494594594</v>
      </c>
      <c r="AM10135">
        <v>74.929236236586902</v>
      </c>
      <c r="AN10135">
        <v>1.00000004596667</v>
      </c>
    </row>
    <row r="10136" spans="1:40" x14ac:dyDescent="0.25">
      <c r="A10136" t="str">
        <f>"20190303154037820"</f>
        <v>20190303154037820</v>
      </c>
      <c r="B10136" t="str">
        <f>"1551598837807678"</f>
        <v>1551598837807678</v>
      </c>
      <c r="C10136" t="s">
        <v>40</v>
      </c>
      <c r="D10136">
        <v>4.9331800000000001</v>
      </c>
      <c r="E10136">
        <v>0.54253980000000002</v>
      </c>
      <c r="F10136" t="s">
        <v>42</v>
      </c>
      <c r="G10136">
        <v>-159.6831</v>
      </c>
      <c r="H10136" s="1">
        <v>-6.1053509999999997E-7</v>
      </c>
      <c r="I10136">
        <v>137.67439999999999</v>
      </c>
      <c r="J10136">
        <v>-175.7621</v>
      </c>
      <c r="K10136">
        <v>1.1182939999999999</v>
      </c>
      <c r="L10136">
        <v>135.4528</v>
      </c>
      <c r="M10136">
        <v>0.87154669999999901</v>
      </c>
      <c r="N10136">
        <v>-1.391035E-2</v>
      </c>
      <c r="O10136">
        <v>0.49011510000000003</v>
      </c>
      <c r="P10136">
        <v>0.9633969</v>
      </c>
      <c r="Q10136">
        <v>-0.1095738</v>
      </c>
      <c r="R10136">
        <v>0.2446633</v>
      </c>
      <c r="S10136">
        <v>2.9856410000000002</v>
      </c>
      <c r="T10136">
        <v>-0.20651939999999999</v>
      </c>
      <c r="U10136">
        <v>0.41848750000000001</v>
      </c>
      <c r="V10136">
        <v>0.25831130000000002</v>
      </c>
      <c r="W10136">
        <v>-9.7955109999999998E-2</v>
      </c>
      <c r="X10136">
        <v>0.96108280000000001</v>
      </c>
      <c r="Y10136">
        <v>0.3627898</v>
      </c>
      <c r="Z10136">
        <v>-4.0199539999999999E-2</v>
      </c>
      <c r="AA10136">
        <v>0.93100360000000004</v>
      </c>
      <c r="AB10136">
        <v>15</v>
      </c>
      <c r="AC10136">
        <v>16.079000000000001</v>
      </c>
      <c r="AD10136">
        <v>-1.1182946105350999</v>
      </c>
      <c r="AE10136">
        <v>2.2215999999999898</v>
      </c>
      <c r="AF10136">
        <v>5.9168231234803503</v>
      </c>
      <c r="AG10136">
        <v>-1.1182946105350999</v>
      </c>
      <c r="AH10136">
        <v>15.0325474217388</v>
      </c>
      <c r="AI10136">
        <v>93.959841344399294</v>
      </c>
      <c r="AJ10136">
        <v>68.515359991207902</v>
      </c>
      <c r="AK10136">
        <v>16.193729054709099</v>
      </c>
      <c r="AL10136">
        <v>95.621428513375207</v>
      </c>
      <c r="AM10136">
        <v>74.956070717688604</v>
      </c>
      <c r="AN10136">
        <v>1.0000000398693201</v>
      </c>
    </row>
    <row r="10137" spans="1:40" x14ac:dyDescent="0.25">
      <c r="A10137" t="str">
        <f>"20190303154037833"</f>
        <v>20190303154037833</v>
      </c>
      <c r="B10137" t="str">
        <f>"1551598837828173"</f>
        <v>1551598837828173</v>
      </c>
      <c r="C10137" t="s">
        <v>40</v>
      </c>
      <c r="D10137">
        <v>4.941656</v>
      </c>
      <c r="E10137">
        <v>0.54202469999999903</v>
      </c>
      <c r="F10137" t="s">
        <v>42</v>
      </c>
      <c r="G10137">
        <v>-159.46639999999999</v>
      </c>
      <c r="H10137" s="1">
        <v>-6.8054169999999995E-7</v>
      </c>
      <c r="I10137">
        <v>137.6885</v>
      </c>
      <c r="J10137">
        <v>-175.68459999999999</v>
      </c>
      <c r="K10137">
        <v>1.1182669999999999</v>
      </c>
      <c r="L10137">
        <v>135.4914</v>
      </c>
      <c r="M10137">
        <v>0.87339159999999905</v>
      </c>
      <c r="N10137">
        <v>-1.3850009999999999E-2</v>
      </c>
      <c r="O10137">
        <v>0.48682170000000002</v>
      </c>
      <c r="P10137">
        <v>0.96425159999999999</v>
      </c>
      <c r="Q10137">
        <v>-0.10961609999999999</v>
      </c>
      <c r="R10137">
        <v>0.24125379999999999</v>
      </c>
      <c r="S10137">
        <v>2.9865879999999998</v>
      </c>
      <c r="T10137">
        <v>-0.20495459999999999</v>
      </c>
      <c r="U10137">
        <v>0.4097595</v>
      </c>
      <c r="V10137">
        <v>0.2580768</v>
      </c>
      <c r="W10137">
        <v>-9.806165E-2</v>
      </c>
      <c r="X10137">
        <v>0.96113490000000001</v>
      </c>
      <c r="Y10137">
        <v>0.36201410000000001</v>
      </c>
      <c r="Z10137">
        <v>-3.9704429999999999E-2</v>
      </c>
      <c r="AA10137">
        <v>0.93132669999999995</v>
      </c>
      <c r="AB10137">
        <v>15</v>
      </c>
      <c r="AC10137">
        <v>16.2181999999999</v>
      </c>
      <c r="AD10137">
        <v>-1.1182676805417</v>
      </c>
      <c r="AE10137">
        <v>2.1970999999999998</v>
      </c>
      <c r="AF10137">
        <v>5.9492413493822403</v>
      </c>
      <c r="AG10137">
        <v>-1.1182676805417</v>
      </c>
      <c r="AH10137">
        <v>15.1650963742984</v>
      </c>
      <c r="AI10137">
        <v>93.926980486206205</v>
      </c>
      <c r="AJ10137">
        <v>68.580007827484096</v>
      </c>
      <c r="AK10137">
        <v>16.328629559160898</v>
      </c>
      <c r="AL10137">
        <v>95.627562510793894</v>
      </c>
      <c r="AM10137">
        <v>74.969887498148296</v>
      </c>
      <c r="AN10137">
        <v>1.00000000894848</v>
      </c>
    </row>
    <row r="10138" spans="1:40" x14ac:dyDescent="0.25">
      <c r="A10138" t="str">
        <f>"20190303154037847"</f>
        <v>20190303154037847</v>
      </c>
      <c r="B10138" t="str">
        <f>"1551598837837933"</f>
        <v>1551598837837933</v>
      </c>
      <c r="C10138" t="s">
        <v>40</v>
      </c>
      <c r="D10138">
        <v>4.9392370000000003</v>
      </c>
      <c r="E10138">
        <v>0.54171349999999996</v>
      </c>
      <c r="F10138" t="s">
        <v>42</v>
      </c>
      <c r="G10138">
        <v>-159.57069999999999</v>
      </c>
      <c r="H10138" s="1">
        <v>-6.5071869999999898E-7</v>
      </c>
      <c r="I10138">
        <v>137.66720000000001</v>
      </c>
      <c r="J10138">
        <v>-175.59180000000001</v>
      </c>
      <c r="K10138">
        <v>1.1182350000000001</v>
      </c>
      <c r="L10138">
        <v>135.53710000000001</v>
      </c>
      <c r="M10138">
        <v>0.87559010000000004</v>
      </c>
      <c r="N10138">
        <v>-1.377388E-2</v>
      </c>
      <c r="O10138">
        <v>0.48285850000000002</v>
      </c>
      <c r="P10138">
        <v>0.96524750000000004</v>
      </c>
      <c r="Q10138">
        <v>-0.1097868</v>
      </c>
      <c r="R10138">
        <v>0.2371586</v>
      </c>
      <c r="S10138">
        <v>2.9867400000000002</v>
      </c>
      <c r="T10138">
        <v>-0.20727280000000001</v>
      </c>
      <c r="U10138">
        <v>0.40328979999999998</v>
      </c>
      <c r="V10138">
        <v>0.25778489999999998</v>
      </c>
      <c r="W10138">
        <v>-9.8315310000000003E-2</v>
      </c>
      <c r="X10138">
        <v>0.96118729999999997</v>
      </c>
      <c r="Y10138">
        <v>0.35974679999999998</v>
      </c>
      <c r="Z10138">
        <v>-3.9963739999999998E-2</v>
      </c>
      <c r="AA10138">
        <v>0.93219379999999996</v>
      </c>
      <c r="AB10138">
        <v>15</v>
      </c>
      <c r="AC10138">
        <v>16.021100000000001</v>
      </c>
      <c r="AD10138">
        <v>-1.1182356507186999</v>
      </c>
      <c r="AE10138">
        <v>2.1300999999999899</v>
      </c>
      <c r="AF10138">
        <v>5.8434136418572802</v>
      </c>
      <c r="AG10138">
        <v>-1.1182356507186999</v>
      </c>
      <c r="AH10138">
        <v>14.9861412787379</v>
      </c>
      <c r="AI10138">
        <v>93.976806428425803</v>
      </c>
      <c r="AJ10138">
        <v>68.698137158682101</v>
      </c>
      <c r="AK10138">
        <v>16.123906610578999</v>
      </c>
      <c r="AL10138">
        <v>95.642166833861396</v>
      </c>
      <c r="AM10138">
        <v>74.986900982296902</v>
      </c>
      <c r="AN10138">
        <v>0.99999999026484798</v>
      </c>
    </row>
    <row r="10139" spans="1:40" x14ac:dyDescent="0.25">
      <c r="A10139" t="str">
        <f>"20190303154037860"</f>
        <v>20190303154037860</v>
      </c>
      <c r="B10139" t="str">
        <f>"1551598837847694"</f>
        <v>1551598837847694</v>
      </c>
      <c r="C10139" t="s">
        <v>40</v>
      </c>
      <c r="D10139">
        <v>4.936553</v>
      </c>
      <c r="E10139">
        <v>0.54140140000000003</v>
      </c>
      <c r="F10139" t="s">
        <v>42</v>
      </c>
      <c r="G10139">
        <v>-159.64869999999999</v>
      </c>
      <c r="H10139" s="1">
        <v>-6.3296699999999995E-7</v>
      </c>
      <c r="I10139">
        <v>137.63419999999999</v>
      </c>
      <c r="J10139">
        <v>-175.51740000000001</v>
      </c>
      <c r="K10139">
        <v>1.118201</v>
      </c>
      <c r="L10139">
        <v>135.57329999999999</v>
      </c>
      <c r="M10139">
        <v>0.87734959999999995</v>
      </c>
      <c r="N10139">
        <v>-1.370678E-2</v>
      </c>
      <c r="O10139">
        <v>0.47965600000000003</v>
      </c>
      <c r="P10139">
        <v>0.96605700000000005</v>
      </c>
      <c r="Q10139">
        <v>-0.1098765</v>
      </c>
      <c r="R10139">
        <v>0.23379829999999999</v>
      </c>
      <c r="S10139">
        <v>2.9876399999999999</v>
      </c>
      <c r="T10139">
        <v>-0.20954919999999999</v>
      </c>
      <c r="U10139">
        <v>0.39299010000000001</v>
      </c>
      <c r="V10139">
        <v>0.25760660000000002</v>
      </c>
      <c r="W10139">
        <v>-9.8479880000000006E-2</v>
      </c>
      <c r="X10139">
        <v>0.96121820000000002</v>
      </c>
      <c r="Y10139">
        <v>0.35949829999999999</v>
      </c>
      <c r="Z10139">
        <v>-4.031705E-2</v>
      </c>
      <c r="AA10139">
        <v>0.93227439999999995</v>
      </c>
      <c r="AB10139">
        <v>15</v>
      </c>
      <c r="AC10139">
        <v>15.8687</v>
      </c>
      <c r="AD10139">
        <v>-1.1182016329669999</v>
      </c>
      <c r="AE10139">
        <v>2.0609000000000002</v>
      </c>
      <c r="AF10139">
        <v>5.7757290692201897</v>
      </c>
      <c r="AG10139">
        <v>-1.1182016329669999</v>
      </c>
      <c r="AH10139">
        <v>14.8398568365216</v>
      </c>
      <c r="AI10139">
        <v>94.016729797907303</v>
      </c>
      <c r="AJ10139">
        <v>68.733822021854607</v>
      </c>
      <c r="AK10139">
        <v>15.963419812228899</v>
      </c>
      <c r="AL10139">
        <v>95.651642280352803</v>
      </c>
      <c r="AM10139">
        <v>74.997277172187097</v>
      </c>
      <c r="AN10139">
        <v>0.99999993756980499</v>
      </c>
    </row>
    <row r="10140" spans="1:40" x14ac:dyDescent="0.25">
      <c r="A10140" t="str">
        <f>"20190303154037874"</f>
        <v>20190303154037874</v>
      </c>
      <c r="B10140" t="str">
        <f>"1551598837868189"</f>
        <v>1551598837868189</v>
      </c>
      <c r="C10140" t="s">
        <v>40</v>
      </c>
      <c r="D10140">
        <v>4.944814</v>
      </c>
      <c r="E10140">
        <v>0.54084829999999995</v>
      </c>
      <c r="F10140" t="s">
        <v>42</v>
      </c>
      <c r="G10140">
        <v>-159.69460000000001</v>
      </c>
      <c r="H10140" s="1">
        <v>-6.2333089999999999E-7</v>
      </c>
      <c r="I10140">
        <v>137.61170000000001</v>
      </c>
      <c r="J10140">
        <v>-175.43090000000001</v>
      </c>
      <c r="K10140">
        <v>1.1181570000000001</v>
      </c>
      <c r="L10140">
        <v>135.61500000000001</v>
      </c>
      <c r="M10140">
        <v>0.87938640000000001</v>
      </c>
      <c r="N10140">
        <v>-1.3620129999999999E-2</v>
      </c>
      <c r="O10140">
        <v>0.4759139</v>
      </c>
      <c r="P10140">
        <v>0.96694080000000004</v>
      </c>
      <c r="Q10140">
        <v>-0.1099614</v>
      </c>
      <c r="R10140">
        <v>0.23007440000000001</v>
      </c>
      <c r="S10140">
        <v>2.9882049999999998</v>
      </c>
      <c r="T10140">
        <v>-0.21117649999999999</v>
      </c>
      <c r="U10140">
        <v>0.38497920000000002</v>
      </c>
      <c r="V10140">
        <v>0.25720330000000002</v>
      </c>
      <c r="W10140">
        <v>-9.8660200000000003E-2</v>
      </c>
      <c r="X10140">
        <v>0.96130780000000005</v>
      </c>
      <c r="Y10140">
        <v>0.35798350000000001</v>
      </c>
      <c r="Z10140">
        <v>-4.0456480000000003E-2</v>
      </c>
      <c r="AA10140">
        <v>0.93285099999999999</v>
      </c>
      <c r="AB10140">
        <v>15</v>
      </c>
      <c r="AC10140">
        <v>15.7363</v>
      </c>
      <c r="AD10140">
        <v>-1.1181576233308901</v>
      </c>
      <c r="AE10140">
        <v>1.9966999999999999</v>
      </c>
      <c r="AF10140">
        <v>5.7054349592845703</v>
      </c>
      <c r="AG10140">
        <v>-1.1181576233308901</v>
      </c>
      <c r="AH10140">
        <v>14.716790496669599</v>
      </c>
      <c r="AI10140">
        <v>94.052122587892995</v>
      </c>
      <c r="AJ10140">
        <v>68.809583978305</v>
      </c>
      <c r="AK10140">
        <v>15.823595895626999</v>
      </c>
      <c r="AL10140">
        <v>95.662023893748994</v>
      </c>
      <c r="AM10140">
        <v>75.021041789377193</v>
      </c>
      <c r="AN10140">
        <v>1.0000000294678799</v>
      </c>
    </row>
    <row r="10141" spans="1:40" x14ac:dyDescent="0.25">
      <c r="A10141" t="str">
        <f>"20190303154037886"</f>
        <v>20190303154037886</v>
      </c>
      <c r="B10141" t="str">
        <f>"1551598837877949"</f>
        <v>1551598837877949</v>
      </c>
      <c r="C10141" t="s">
        <v>40</v>
      </c>
      <c r="D10141">
        <v>4.9045360000000002</v>
      </c>
      <c r="E10141">
        <v>0.54084829999999995</v>
      </c>
      <c r="F10141" t="s">
        <v>42</v>
      </c>
      <c r="G10141">
        <v>-159.83199999999999</v>
      </c>
      <c r="H10141" s="1">
        <v>-5.8331989999999997E-7</v>
      </c>
      <c r="I10141">
        <v>137.58629999999999</v>
      </c>
      <c r="J10141">
        <v>-175.3434</v>
      </c>
      <c r="K10141">
        <v>1.1180950000000001</v>
      </c>
      <c r="L10141">
        <v>135.6566</v>
      </c>
      <c r="M10141">
        <v>0.88144359999999999</v>
      </c>
      <c r="N10141">
        <v>-1.351494E-2</v>
      </c>
      <c r="O10141">
        <v>0.47209600000000002</v>
      </c>
      <c r="P10141">
        <v>0.96750709999999995</v>
      </c>
      <c r="Q10141">
        <v>-0.11082699999999999</v>
      </c>
      <c r="R10141">
        <v>0.22726060000000001</v>
      </c>
      <c r="S10141">
        <v>2.9883579999999998</v>
      </c>
      <c r="T10141">
        <v>-0.2142104</v>
      </c>
      <c r="U10141">
        <v>0.37767030000000001</v>
      </c>
      <c r="V10141">
        <v>0.25577100000000003</v>
      </c>
      <c r="W10141">
        <v>-9.9633189999999996E-2</v>
      </c>
      <c r="X10141">
        <v>0.96158949999999999</v>
      </c>
      <c r="Y10141">
        <v>0.35614179999999901</v>
      </c>
      <c r="Z10141">
        <v>-4.0878589999999999E-2</v>
      </c>
      <c r="AA10141">
        <v>0.93353739999999996</v>
      </c>
      <c r="AB10141">
        <v>15</v>
      </c>
      <c r="AC10141">
        <v>15.5114</v>
      </c>
      <c r="AD10141">
        <v>-1.11809558331989</v>
      </c>
      <c r="AE10141">
        <v>1.92969999999999</v>
      </c>
      <c r="AF10141">
        <v>5.5938396507623498</v>
      </c>
      <c r="AG10141">
        <v>-1.11809558331989</v>
      </c>
      <c r="AH10141">
        <v>14.5105139131134</v>
      </c>
      <c r="AI10141">
        <v>94.112305966802893</v>
      </c>
      <c r="AJ10141">
        <v>68.918223271376505</v>
      </c>
      <c r="AK10141">
        <v>15.5915423802309</v>
      </c>
      <c r="AL10141">
        <v>95.718048487197606</v>
      </c>
      <c r="AM10141">
        <v>75.104907037789602</v>
      </c>
      <c r="AN10141">
        <v>0.999999971750412</v>
      </c>
    </row>
    <row r="10142" spans="1:40" x14ac:dyDescent="0.25">
      <c r="A10142" t="str">
        <f>"20190303154037903"</f>
        <v>20190303154037903</v>
      </c>
      <c r="B10142" t="str">
        <f>"1551598837898445"</f>
        <v>1551598837898445</v>
      </c>
      <c r="C10142" t="s">
        <v>40</v>
      </c>
      <c r="D10142">
        <v>4.8858040000000003</v>
      </c>
      <c r="E10142">
        <v>0.53102800000000006</v>
      </c>
      <c r="F10142" t="s">
        <v>42</v>
      </c>
      <c r="G10142">
        <v>-159.9091</v>
      </c>
      <c r="H10142" s="1">
        <v>-5.6343449999999998E-7</v>
      </c>
      <c r="I10142">
        <v>137.5624</v>
      </c>
      <c r="J10142">
        <v>-175.24969999999999</v>
      </c>
      <c r="K10142">
        <v>1.1180270000000001</v>
      </c>
      <c r="L10142">
        <v>135.70060000000001</v>
      </c>
      <c r="M10142">
        <v>0.88364599999999904</v>
      </c>
      <c r="N10142">
        <v>-1.337439E-2</v>
      </c>
      <c r="O10142">
        <v>0.46796470000000001</v>
      </c>
      <c r="P10142">
        <v>0.96836009999999995</v>
      </c>
      <c r="Q10142">
        <v>-0.1112375</v>
      </c>
      <c r="R10142">
        <v>0.22339429999999999</v>
      </c>
      <c r="S10142">
        <v>2.9892430000000001</v>
      </c>
      <c r="T10142">
        <v>-0.21654760000000001</v>
      </c>
      <c r="U10142">
        <v>0.3691101</v>
      </c>
      <c r="V10142">
        <v>0.25507469999999999</v>
      </c>
      <c r="W10142">
        <v>-0.1001976</v>
      </c>
      <c r="X10142">
        <v>0.96171580000000001</v>
      </c>
      <c r="Y10142">
        <v>0.35440290000000002</v>
      </c>
      <c r="Z10142">
        <v>-4.1136119999999998E-2</v>
      </c>
      <c r="AA10142">
        <v>0.93418760000000001</v>
      </c>
      <c r="AB10142">
        <v>15</v>
      </c>
      <c r="AC10142">
        <v>15.340599999999901</v>
      </c>
      <c r="AD10142">
        <v>-1.1180275634345</v>
      </c>
      <c r="AE10142">
        <v>1.8617999999999799</v>
      </c>
      <c r="AF10142">
        <v>5.5053644000367701</v>
      </c>
      <c r="AG10142">
        <v>-1.1180275634345</v>
      </c>
      <c r="AH10142">
        <v>14.353076045700501</v>
      </c>
      <c r="AI10142">
        <v>94.159691225648004</v>
      </c>
      <c r="AJ10142">
        <v>69.014841317424597</v>
      </c>
      <c r="AK10142">
        <v>15.413299931664699</v>
      </c>
      <c r="AL10142">
        <v>95.750549441788905</v>
      </c>
      <c r="AM10142">
        <v>75.145526088514103</v>
      </c>
      <c r="AN10142">
        <v>0.99999997079774405</v>
      </c>
    </row>
    <row r="10143" spans="1:40" x14ac:dyDescent="0.25">
      <c r="A10143" t="str">
        <f>"20190303154037917"</f>
        <v>20190303154037917</v>
      </c>
      <c r="B10143" t="str">
        <f>"1551598837908204"</f>
        <v>1551598837908204</v>
      </c>
      <c r="C10143" t="s">
        <v>40</v>
      </c>
      <c r="D10143">
        <v>4.9456230000000003</v>
      </c>
      <c r="E10143">
        <v>0.53102800000000006</v>
      </c>
      <c r="F10143" t="s">
        <v>42</v>
      </c>
      <c r="G10143">
        <v>-163.25899999999999</v>
      </c>
      <c r="H10143" s="1">
        <v>-3.552444E-6</v>
      </c>
      <c r="I10143">
        <v>137.44319999999999</v>
      </c>
      <c r="J10143">
        <v>-175.15280000000001</v>
      </c>
      <c r="K10143">
        <v>1.117942</v>
      </c>
      <c r="L10143">
        <v>135.74549999999999</v>
      </c>
      <c r="M10143">
        <v>0.88591869999999995</v>
      </c>
      <c r="N10143">
        <v>-1.320562E-2</v>
      </c>
      <c r="O10143">
        <v>0.46365269999999997</v>
      </c>
      <c r="P10143">
        <v>0.96924540000000003</v>
      </c>
      <c r="Q10143">
        <v>-0.1113909</v>
      </c>
      <c r="R10143">
        <v>0.2194441</v>
      </c>
      <c r="S10143">
        <v>2.9667819999999998</v>
      </c>
      <c r="T10143">
        <v>-0.27662890000000001</v>
      </c>
      <c r="U10143">
        <v>0.43115229999999999</v>
      </c>
      <c r="V10143">
        <v>0.25428699999999999</v>
      </c>
      <c r="W10143">
        <v>-0.1005344</v>
      </c>
      <c r="X10143">
        <v>0.96188929999999995</v>
      </c>
      <c r="Y10143">
        <v>0.32858710000000002</v>
      </c>
      <c r="Z10143">
        <v>-5.2340390000000001E-2</v>
      </c>
      <c r="AA10143">
        <v>0.94302229999999998</v>
      </c>
      <c r="AB10143">
        <v>15</v>
      </c>
      <c r="AC10143">
        <v>11.893800000000001</v>
      </c>
      <c r="AD10143">
        <v>-1.1179455524439901</v>
      </c>
      <c r="AE10143">
        <v>1.69769999999999</v>
      </c>
      <c r="AF10143">
        <v>3.9764874829094201</v>
      </c>
      <c r="AG10143">
        <v>-1.1179455524439901</v>
      </c>
      <c r="AH10143">
        <v>11.2278537496522</v>
      </c>
      <c r="AI10143">
        <v>95.361874627630996</v>
      </c>
      <c r="AJ10143">
        <v>70.497751243005595</v>
      </c>
      <c r="AK10143">
        <v>11.9635678116331</v>
      </c>
      <c r="AL10143">
        <v>95.7699442251931</v>
      </c>
      <c r="AM10143">
        <v>75.191933268137802</v>
      </c>
      <c r="AN10143">
        <v>1.0000000347034199</v>
      </c>
    </row>
    <row r="10144" spans="1:40" x14ac:dyDescent="0.25">
      <c r="A10144" t="str">
        <f>"20190303154037931"</f>
        <v>20190303154037931</v>
      </c>
      <c r="B10144" t="str">
        <f>"1551598837927726"</f>
        <v>1551598837927726</v>
      </c>
      <c r="C10144" t="s">
        <v>40</v>
      </c>
      <c r="D10144">
        <v>4.9542159999999997</v>
      </c>
      <c r="E10144">
        <v>0.55475280000000005</v>
      </c>
      <c r="F10144" t="s">
        <v>42</v>
      </c>
      <c r="G10144">
        <v>-163.17699999999999</v>
      </c>
      <c r="H10144" s="1">
        <v>-3.59241E-6</v>
      </c>
      <c r="I10144">
        <v>137.4367</v>
      </c>
      <c r="J10144">
        <v>-175.06829999999999</v>
      </c>
      <c r="K10144">
        <v>1.1178709999999901</v>
      </c>
      <c r="L10144">
        <v>135.7843</v>
      </c>
      <c r="M10144">
        <v>0.88789479999999998</v>
      </c>
      <c r="N10144">
        <v>-1.3041270000000001E-2</v>
      </c>
      <c r="O10144">
        <v>0.45986159999999998</v>
      </c>
      <c r="P10144">
        <v>0.96999880000000005</v>
      </c>
      <c r="Q10144">
        <v>-0.1117201</v>
      </c>
      <c r="R10144">
        <v>0.2159189</v>
      </c>
      <c r="S10144">
        <v>2.9684300000000001</v>
      </c>
      <c r="T10144">
        <v>-0.27710370000000001</v>
      </c>
      <c r="U10144">
        <v>0.4191742</v>
      </c>
      <c r="V10144">
        <v>0.25364059999999999</v>
      </c>
      <c r="W10144">
        <v>-0.1010423</v>
      </c>
      <c r="X10144">
        <v>0.96200669999999999</v>
      </c>
      <c r="Y10144">
        <v>0.32835209999999998</v>
      </c>
      <c r="Z10144">
        <v>-5.2212849999999998E-2</v>
      </c>
      <c r="AA10144">
        <v>0.94311120000000004</v>
      </c>
      <c r="AB10144">
        <v>15</v>
      </c>
      <c r="AC10144">
        <v>11.8912999999999</v>
      </c>
      <c r="AD10144">
        <v>-1.11787459240999</v>
      </c>
      <c r="AE10144">
        <v>1.6524000000000001</v>
      </c>
      <c r="AF10144">
        <v>3.9671400002925798</v>
      </c>
      <c r="AG10144">
        <v>-1.11787459240999</v>
      </c>
      <c r="AH10144">
        <v>11.221768405725999</v>
      </c>
      <c r="AI10144">
        <v>95.365501773309603</v>
      </c>
      <c r="AJ10144">
        <v>70.530387213725007</v>
      </c>
      <c r="AK10144">
        <v>11.9547450636987</v>
      </c>
      <c r="AL10144">
        <v>95.799193919972197</v>
      </c>
      <c r="AM10144">
        <v>75.229651416156997</v>
      </c>
      <c r="AN10144">
        <v>0.99999999560126995</v>
      </c>
    </row>
    <row r="10145" spans="1:40" x14ac:dyDescent="0.25">
      <c r="A10145" t="str">
        <f>"20190303154037945"</f>
        <v>20190303154037945</v>
      </c>
      <c r="B10145" t="str">
        <f>"1551598837938460"</f>
        <v>1551598837938460</v>
      </c>
      <c r="C10145" t="s">
        <v>40</v>
      </c>
      <c r="D10145">
        <v>4.9584979999999996</v>
      </c>
      <c r="E10145">
        <v>0.55916469999999996</v>
      </c>
      <c r="F10145" t="s">
        <v>42</v>
      </c>
      <c r="G10145">
        <v>-156.0222</v>
      </c>
      <c r="H10145" s="1">
        <v>-2.1142910000000002E-6</v>
      </c>
      <c r="I10145">
        <v>137.21729999999999</v>
      </c>
      <c r="J10145">
        <v>-174.98070000000001</v>
      </c>
      <c r="K10145">
        <v>1.117794</v>
      </c>
      <c r="L10145">
        <v>135.82380000000001</v>
      </c>
      <c r="M10145">
        <v>0.88994549999999994</v>
      </c>
      <c r="N10145">
        <v>-1.284916E-2</v>
      </c>
      <c r="O10145">
        <v>0.45588580000000001</v>
      </c>
      <c r="P10145">
        <v>0.97079700000000002</v>
      </c>
      <c r="Q10145">
        <v>-0.11118500000000001</v>
      </c>
      <c r="R10145">
        <v>0.21258189999999999</v>
      </c>
      <c r="S10145">
        <v>3.0217589999999999</v>
      </c>
      <c r="T10145">
        <v>-0.17735619999999999</v>
      </c>
      <c r="U10145">
        <v>0.227356</v>
      </c>
      <c r="V10145">
        <v>0.25266549999999999</v>
      </c>
      <c r="W10145">
        <v>-0.10070949999999999</v>
      </c>
      <c r="X10145">
        <v>0.96229819999999999</v>
      </c>
      <c r="Y10145">
        <v>0.38664389999999998</v>
      </c>
      <c r="Z10145">
        <v>-3.357653E-2</v>
      </c>
      <c r="AA10145">
        <v>0.92161769999999998</v>
      </c>
      <c r="AB10145">
        <v>15</v>
      </c>
      <c r="AC10145">
        <v>18.958500000000001</v>
      </c>
      <c r="AD10145">
        <v>-1.117796114291</v>
      </c>
      <c r="AE10145">
        <v>1.39349999999998</v>
      </c>
      <c r="AF10145">
        <v>7.3778733436538699</v>
      </c>
      <c r="AG10145">
        <v>-1.117796114291</v>
      </c>
      <c r="AH10145">
        <v>17.448424404019999</v>
      </c>
      <c r="AI10145">
        <v>93.376813141839193</v>
      </c>
      <c r="AJ10145">
        <v>67.079465676537396</v>
      </c>
      <c r="AK10145">
        <v>18.9770913843751</v>
      </c>
      <c r="AL10145">
        <v>95.780027850831701</v>
      </c>
      <c r="AM10145">
        <v>75.288230217282603</v>
      </c>
      <c r="AN10145">
        <v>1.00000004200186</v>
      </c>
    </row>
    <row r="10146" spans="1:40" x14ac:dyDescent="0.25">
      <c r="A10146" t="str">
        <f>"20190303154037965"</f>
        <v>20190303154037965</v>
      </c>
      <c r="B10146" t="str">
        <f>"1551598837957981"</f>
        <v>1551598837957981</v>
      </c>
      <c r="C10146" t="s">
        <v>40</v>
      </c>
      <c r="D10146">
        <v>4.8815099999999996</v>
      </c>
      <c r="E10146">
        <v>0.56416580000000005</v>
      </c>
      <c r="F10146" t="s">
        <v>42</v>
      </c>
      <c r="G10146">
        <v>-154.08770000000001</v>
      </c>
      <c r="H10146" s="1">
        <v>-2.9675130000000001E-6</v>
      </c>
      <c r="I10146">
        <v>137.0857</v>
      </c>
      <c r="J10146">
        <v>-174.85079999999999</v>
      </c>
      <c r="K10146">
        <v>1.1176820000000001</v>
      </c>
      <c r="L10146">
        <v>135.88159999999999</v>
      </c>
      <c r="M10146">
        <v>0.89297260000000001</v>
      </c>
      <c r="N10146">
        <v>-1.2544899999999999E-2</v>
      </c>
      <c r="O10146">
        <v>0.44993630000000001</v>
      </c>
      <c r="P10146">
        <v>0.97224739999999998</v>
      </c>
      <c r="Q10146">
        <v>-0.1090742</v>
      </c>
      <c r="R10146">
        <v>0.20697389999999999</v>
      </c>
      <c r="S10146">
        <v>3.0315400000000001</v>
      </c>
      <c r="T10146">
        <v>-0.1621908</v>
      </c>
      <c r="U10146">
        <v>0.1831055</v>
      </c>
      <c r="V10146">
        <v>0.2519033</v>
      </c>
      <c r="W10146">
        <v>-9.8920400000000006E-2</v>
      </c>
      <c r="X10146">
        <v>0.96268339999999997</v>
      </c>
      <c r="Y10146">
        <v>0.39429229999999998</v>
      </c>
      <c r="Z10146">
        <v>-3.0466219999999999E-2</v>
      </c>
      <c r="AA10146">
        <v>0.91847990000000002</v>
      </c>
      <c r="AB10146">
        <v>15</v>
      </c>
      <c r="AC10146">
        <v>20.763099999999898</v>
      </c>
      <c r="AD10146">
        <v>-1.1176849675130001</v>
      </c>
      <c r="AE10146">
        <v>1.2041000000000099</v>
      </c>
      <c r="AF10146">
        <v>8.2436864702762893</v>
      </c>
      <c r="AG10146">
        <v>-1.1176849675130001</v>
      </c>
      <c r="AH10146">
        <v>19.02919215619</v>
      </c>
      <c r="AI10146">
        <v>93.084986335745199</v>
      </c>
      <c r="AJ10146">
        <v>66.577129683203793</v>
      </c>
      <c r="AK10146">
        <v>20.768190590998099</v>
      </c>
      <c r="AL10146">
        <v>95.677006145642594</v>
      </c>
      <c r="AM10146">
        <v>75.336310070317595</v>
      </c>
      <c r="AN10146">
        <v>0.99999992336130195</v>
      </c>
    </row>
    <row r="10147" spans="1:40" x14ac:dyDescent="0.25">
      <c r="A10147" t="str">
        <f>"20190303154037981"</f>
        <v>20190303154037981</v>
      </c>
      <c r="B10147" t="str">
        <f>"1551598837978478"</f>
        <v>1551598837978478</v>
      </c>
      <c r="C10147" t="s">
        <v>40</v>
      </c>
      <c r="D10147">
        <v>4.9067119999999997</v>
      </c>
      <c r="E10147">
        <v>0.56454209999999905</v>
      </c>
      <c r="F10147" t="s">
        <v>42</v>
      </c>
      <c r="G10147">
        <v>-149.3475</v>
      </c>
      <c r="H10147" s="1">
        <v>-9.1807860000000003E-7</v>
      </c>
      <c r="I10147">
        <v>136.9479</v>
      </c>
      <c r="J10147">
        <v>-174.75099999999901</v>
      </c>
      <c r="K10147">
        <v>1.1175999999999999</v>
      </c>
      <c r="L10147">
        <v>135.92519999999999</v>
      </c>
      <c r="M10147">
        <v>0.89529369999999997</v>
      </c>
      <c r="N10147">
        <v>-1.229858E-2</v>
      </c>
      <c r="O10147">
        <v>0.44530649999999999</v>
      </c>
      <c r="P10147">
        <v>0.97333449999999999</v>
      </c>
      <c r="Q10147">
        <v>-0.1082224</v>
      </c>
      <c r="R10147">
        <v>0.2022573</v>
      </c>
      <c r="S10147">
        <v>3.0435789999999998</v>
      </c>
      <c r="T10147">
        <v>-0.13338469999999999</v>
      </c>
      <c r="U10147">
        <v>0.12725829999999999</v>
      </c>
      <c r="V10147">
        <v>0.25162109999999999</v>
      </c>
      <c r="W10147">
        <v>-9.8330899999999999E-2</v>
      </c>
      <c r="X10147">
        <v>0.9628177</v>
      </c>
      <c r="Y10147">
        <v>0.40685969999999999</v>
      </c>
      <c r="Z10147">
        <v>-2.4689610000000001E-2</v>
      </c>
      <c r="AA10147">
        <v>0.913157</v>
      </c>
      <c r="AB10147">
        <v>15</v>
      </c>
      <c r="AC10147">
        <v>25.403499999999902</v>
      </c>
      <c r="AD10147">
        <v>-1.1176009180786</v>
      </c>
      <c r="AE10147">
        <v>1.0227000000000099</v>
      </c>
      <c r="AF10147">
        <v>10.3774607075164</v>
      </c>
      <c r="AG10147">
        <v>-1.1176009180786</v>
      </c>
      <c r="AH10147">
        <v>23.156018552943799</v>
      </c>
      <c r="AI10147">
        <v>92.521865892198804</v>
      </c>
      <c r="AJ10147">
        <v>65.860275541321499</v>
      </c>
      <c r="AK10147">
        <v>25.399644048144001</v>
      </c>
      <c r="AL10147">
        <v>95.643064178706595</v>
      </c>
      <c r="AM10147">
        <v>75.353985858764901</v>
      </c>
      <c r="AN10147">
        <v>1.0000000336466499</v>
      </c>
    </row>
    <row r="10148" spans="1:40" x14ac:dyDescent="0.25">
      <c r="A10148" t="str">
        <f>"20190303154037995"</f>
        <v>20190303154037995</v>
      </c>
      <c r="B10148" t="str">
        <f>"1551598837988237"</f>
        <v>1551598837988237</v>
      </c>
      <c r="C10148" t="s">
        <v>40</v>
      </c>
      <c r="D10148">
        <v>5.0103689999999999</v>
      </c>
      <c r="E10148">
        <v>0.56429200000000002</v>
      </c>
      <c r="F10148" t="s">
        <v>42</v>
      </c>
      <c r="G10148">
        <v>-148.34270000000001</v>
      </c>
      <c r="H10148" s="1">
        <v>-1.2794049999999999E-6</v>
      </c>
      <c r="I10148">
        <v>136.875</v>
      </c>
      <c r="J10148">
        <v>-174.6628</v>
      </c>
      <c r="K10148">
        <v>1.117529</v>
      </c>
      <c r="L10148">
        <v>135.9632</v>
      </c>
      <c r="M10148">
        <v>0.89733320000000005</v>
      </c>
      <c r="N10148">
        <v>-1.2076999999999999E-2</v>
      </c>
      <c r="O10148">
        <v>0.44118839999999998</v>
      </c>
      <c r="P10148">
        <v>0.97418229999999995</v>
      </c>
      <c r="Q10148">
        <v>-0.1080232</v>
      </c>
      <c r="R10148">
        <v>0.198242</v>
      </c>
      <c r="S10148">
        <v>3.045105</v>
      </c>
      <c r="T10148">
        <v>-0.12886919999999999</v>
      </c>
      <c r="U10148">
        <v>0.1095276</v>
      </c>
      <c r="V10148">
        <v>0.25116690000000003</v>
      </c>
      <c r="W10148">
        <v>-9.8364809999999997E-2</v>
      </c>
      <c r="X10148">
        <v>0.96293280000000003</v>
      </c>
      <c r="Y10148">
        <v>0.40803729999999999</v>
      </c>
      <c r="Z10148">
        <v>-2.372954E-2</v>
      </c>
      <c r="AA10148">
        <v>0.91265680000000005</v>
      </c>
      <c r="AB10148">
        <v>15</v>
      </c>
      <c r="AC10148">
        <v>26.3201</v>
      </c>
      <c r="AD10148">
        <v>-1.1175302794049999</v>
      </c>
      <c r="AE10148">
        <v>0.91179999999999894</v>
      </c>
      <c r="AF10148">
        <v>10.775319746150901</v>
      </c>
      <c r="AG10148">
        <v>-1.1175302794049999</v>
      </c>
      <c r="AH10148">
        <v>23.978751215568099</v>
      </c>
      <c r="AI10148">
        <v>92.434186479460294</v>
      </c>
      <c r="AJ10148">
        <v>65.802302740079199</v>
      </c>
      <c r="AK10148">
        <v>26.312295593795799</v>
      </c>
      <c r="AL10148">
        <v>95.645016663672394</v>
      </c>
      <c r="AM10148">
        <v>75.380962279799107</v>
      </c>
      <c r="AN10148">
        <v>1.0000000124088899</v>
      </c>
    </row>
    <row r="10149" spans="1:40" x14ac:dyDescent="0.25">
      <c r="A10149" t="str">
        <f>"20190303154038007"</f>
        <v>20190303154038007</v>
      </c>
      <c r="B10149" t="str">
        <f>"1551598837997997"</f>
        <v>1551598837997997</v>
      </c>
      <c r="C10149" t="s">
        <v>40</v>
      </c>
      <c r="D10149">
        <v>4.9288230000000004</v>
      </c>
      <c r="E10149">
        <v>0.56427869999999902</v>
      </c>
      <c r="F10149" t="s">
        <v>42</v>
      </c>
      <c r="G10149">
        <v>-147.59559999999999</v>
      </c>
      <c r="H10149" s="1">
        <v>-1.5418269999999999E-6</v>
      </c>
      <c r="I10149">
        <v>136.8442</v>
      </c>
      <c r="J10149">
        <v>-174.5735</v>
      </c>
      <c r="K10149">
        <v>1.1174550000000001</v>
      </c>
      <c r="L10149">
        <v>136.00120000000001</v>
      </c>
      <c r="M10149">
        <v>0.8993911</v>
      </c>
      <c r="N10149">
        <v>-1.184968E-2</v>
      </c>
      <c r="O10149">
        <v>0.4369844</v>
      </c>
      <c r="P10149">
        <v>0.97512580000000004</v>
      </c>
      <c r="Q10149">
        <v>-0.10772809999999999</v>
      </c>
      <c r="R10149">
        <v>0.1937123</v>
      </c>
      <c r="S10149">
        <v>3.0453800000000002</v>
      </c>
      <c r="T10149">
        <v>-0.12573519999999999</v>
      </c>
      <c r="U10149">
        <v>9.9136349999999998E-2</v>
      </c>
      <c r="V10149">
        <v>0.25113999999999997</v>
      </c>
      <c r="W10149">
        <v>-9.8312490000000002E-2</v>
      </c>
      <c r="X10149">
        <v>0.96294519999999995</v>
      </c>
      <c r="Y10149">
        <v>0.40691149999999998</v>
      </c>
      <c r="Z10149">
        <v>-2.3005899999999999E-2</v>
      </c>
      <c r="AA10149">
        <v>0.91317780000000004</v>
      </c>
      <c r="AB10149">
        <v>15</v>
      </c>
      <c r="AC10149">
        <v>26.977900000000002</v>
      </c>
      <c r="AD10149">
        <v>-1.1174565418269999</v>
      </c>
      <c r="AE10149">
        <v>0.84299999999998898</v>
      </c>
      <c r="AF10149">
        <v>11.012632442065</v>
      </c>
      <c r="AG10149">
        <v>-1.1174565418269999</v>
      </c>
      <c r="AH10149">
        <v>24.591637851762499</v>
      </c>
      <c r="AI10149">
        <v>92.374806189071904</v>
      </c>
      <c r="AJ10149">
        <v>65.876200258687504</v>
      </c>
      <c r="AK10149">
        <v>26.968044694770398</v>
      </c>
      <c r="AL10149">
        <v>95.6420041251924</v>
      </c>
      <c r="AM10149">
        <v>75.382641086949107</v>
      </c>
      <c r="AN10149">
        <v>1.00000005174651</v>
      </c>
    </row>
    <row r="10150" spans="1:40" x14ac:dyDescent="0.25">
      <c r="A10150" t="str">
        <f>"20190303154038022"</f>
        <v>20190303154038022</v>
      </c>
      <c r="B10150" t="str">
        <f>"1551598838018494"</f>
        <v>1551598838018494</v>
      </c>
      <c r="C10150" t="s">
        <v>40</v>
      </c>
      <c r="D10150">
        <v>4.9406509999999999</v>
      </c>
      <c r="E10150">
        <v>0.56434249999999997</v>
      </c>
      <c r="F10150" t="s">
        <v>42</v>
      </c>
      <c r="G10150">
        <v>-147.3338</v>
      </c>
      <c r="H10150" s="1">
        <v>-1.6531070000000001E-6</v>
      </c>
      <c r="I10150">
        <v>136.76079999999999</v>
      </c>
      <c r="J10150">
        <v>-174.48830000000001</v>
      </c>
      <c r="K10150">
        <v>1.117389</v>
      </c>
      <c r="L10150">
        <v>136.0368</v>
      </c>
      <c r="M10150">
        <v>0.90134749999999997</v>
      </c>
      <c r="N10150">
        <v>-1.1634800000000001E-2</v>
      </c>
      <c r="O10150">
        <v>0.4329402</v>
      </c>
      <c r="P10150">
        <v>0.97593580000000002</v>
      </c>
      <c r="Q10150">
        <v>-0.1079864</v>
      </c>
      <c r="R10150">
        <v>0.189442</v>
      </c>
      <c r="S10150">
        <v>3.0458370000000001</v>
      </c>
      <c r="T10150">
        <v>-0.12494959999999999</v>
      </c>
      <c r="U10150">
        <v>8.4945679999999996E-2</v>
      </c>
      <c r="V10150">
        <v>0.25100420000000001</v>
      </c>
      <c r="W10150">
        <v>-9.8798700000000003E-2</v>
      </c>
      <c r="X10150">
        <v>0.96293079999999998</v>
      </c>
      <c r="Y10150">
        <v>0.40707120000000002</v>
      </c>
      <c r="Z10150">
        <v>-2.2804109999999999E-2</v>
      </c>
      <c r="AA10150">
        <v>0.91311169999999997</v>
      </c>
      <c r="AB10150">
        <v>15</v>
      </c>
      <c r="AC10150">
        <v>27.154499999999999</v>
      </c>
      <c r="AD10150">
        <v>-1.1173906531069999</v>
      </c>
      <c r="AE10150">
        <v>0.72399999999998899</v>
      </c>
      <c r="AF10150">
        <v>11.0856934944267</v>
      </c>
      <c r="AG10150">
        <v>-1.1173906531069999</v>
      </c>
      <c r="AH10150">
        <v>24.748891812372001</v>
      </c>
      <c r="AI10150">
        <v>92.359501078493295</v>
      </c>
      <c r="AJ10150">
        <v>65.871110444940101</v>
      </c>
      <c r="AK10150">
        <v>27.141274989663302</v>
      </c>
      <c r="AL10150">
        <v>95.669998438444793</v>
      </c>
      <c r="AM10150">
        <v>75.389997790868605</v>
      </c>
      <c r="AN10150">
        <v>1.00000000856398</v>
      </c>
    </row>
    <row r="10151" spans="1:40" x14ac:dyDescent="0.25">
      <c r="A10151" t="str">
        <f>"20190303154038038"</f>
        <v>20190303154038038</v>
      </c>
      <c r="B10151" t="str">
        <f>"1551598838028253"</f>
        <v>1551598838028253</v>
      </c>
      <c r="C10151" t="s">
        <v>40</v>
      </c>
      <c r="D10151">
        <v>4.9138310000000001</v>
      </c>
      <c r="E10151">
        <v>0.564482699999999</v>
      </c>
      <c r="F10151" t="s">
        <v>42</v>
      </c>
      <c r="G10151">
        <v>-147.3246</v>
      </c>
      <c r="H10151" s="1">
        <v>-1.6804620000000001E-6</v>
      </c>
      <c r="I10151">
        <v>136.66990000000001</v>
      </c>
      <c r="J10151">
        <v>-174.38499999999999</v>
      </c>
      <c r="K10151">
        <v>1.117313</v>
      </c>
      <c r="L10151">
        <v>136.0795</v>
      </c>
      <c r="M10151">
        <v>0.90369969999999999</v>
      </c>
      <c r="N10151">
        <v>-1.137694E-2</v>
      </c>
      <c r="O10151">
        <v>0.4280158</v>
      </c>
      <c r="P10151">
        <v>0.97690489999999996</v>
      </c>
      <c r="Q10151">
        <v>-0.1080192</v>
      </c>
      <c r="R10151">
        <v>0.18436060000000001</v>
      </c>
      <c r="S10151">
        <v>3.046341</v>
      </c>
      <c r="T10151">
        <v>-0.12531229999999999</v>
      </c>
      <c r="U10151">
        <v>7.0999149999999997E-2</v>
      </c>
      <c r="V10151">
        <v>0.25074619999999997</v>
      </c>
      <c r="W10151">
        <v>-9.9103239999999995E-2</v>
      </c>
      <c r="X10151">
        <v>0.96296669999999995</v>
      </c>
      <c r="Y10151">
        <v>0.40626649999999997</v>
      </c>
      <c r="Z10151">
        <v>-2.2797319999999999E-2</v>
      </c>
      <c r="AA10151">
        <v>0.91347020000000001</v>
      </c>
      <c r="AB10151">
        <v>15</v>
      </c>
      <c r="AC10151">
        <v>27.060399999999898</v>
      </c>
      <c r="AD10151">
        <v>-1.117314680462</v>
      </c>
      <c r="AE10151">
        <v>0.59040000000001602</v>
      </c>
      <c r="AF10151">
        <v>11.0306524665169</v>
      </c>
      <c r="AG10151">
        <v>-1.117314680462</v>
      </c>
      <c r="AH10151">
        <v>24.666740962208898</v>
      </c>
      <c r="AI10151">
        <v>92.367841683132795</v>
      </c>
      <c r="AJ10151">
        <v>65.906414573183994</v>
      </c>
      <c r="AK10151">
        <v>27.043886474191702</v>
      </c>
      <c r="AL10151">
        <v>95.687533473159903</v>
      </c>
      <c r="AM10151">
        <v>75.4048942852598</v>
      </c>
      <c r="AN10151">
        <v>0.99999998715091298</v>
      </c>
    </row>
    <row r="10152" spans="1:40" x14ac:dyDescent="0.25">
      <c r="A10152" t="str">
        <f>"20190303154038050"</f>
        <v>20190303154038050</v>
      </c>
      <c r="B10152" t="str">
        <f>"1551598838038013"</f>
        <v>1551598838038013</v>
      </c>
      <c r="C10152" t="s">
        <v>40</v>
      </c>
      <c r="D10152">
        <v>4.9162919999999897</v>
      </c>
      <c r="E10152">
        <v>0.56467239999999996</v>
      </c>
      <c r="F10152" t="s">
        <v>42</v>
      </c>
      <c r="G10152">
        <v>-147.23949999999999</v>
      </c>
      <c r="H10152" s="1">
        <v>-1.7382499999999901E-6</v>
      </c>
      <c r="I10152">
        <v>136.5615</v>
      </c>
      <c r="J10152">
        <v>-174.3048</v>
      </c>
      <c r="K10152">
        <v>1.117259</v>
      </c>
      <c r="L10152">
        <v>136.1123</v>
      </c>
      <c r="M10152">
        <v>0.90551389999999998</v>
      </c>
      <c r="N10152">
        <v>-1.1178280000000001E-2</v>
      </c>
      <c r="O10152">
        <v>0.42416949999999998</v>
      </c>
      <c r="P10152">
        <v>0.97767950000000003</v>
      </c>
      <c r="Q10152">
        <v>-0.107901</v>
      </c>
      <c r="R10152">
        <v>0.18027899999999999</v>
      </c>
      <c r="S10152">
        <v>3.046875</v>
      </c>
      <c r="T10152">
        <v>-0.12540970000000001</v>
      </c>
      <c r="U10152">
        <v>5.4107669999999997E-2</v>
      </c>
      <c r="V10152">
        <v>0.25066939999999999</v>
      </c>
      <c r="W10152">
        <v>-9.9195350000000002E-2</v>
      </c>
      <c r="X10152">
        <v>0.96297719999999998</v>
      </c>
      <c r="Y10152">
        <v>0.40744449999999999</v>
      </c>
      <c r="Z10152">
        <v>-2.2799280000000002E-2</v>
      </c>
      <c r="AA10152">
        <v>0.91294529999999996</v>
      </c>
      <c r="AB10152">
        <v>15</v>
      </c>
      <c r="AC10152">
        <v>27.065300000000001</v>
      </c>
      <c r="AD10152">
        <v>-1.1172607382499999</v>
      </c>
      <c r="AE10152">
        <v>0.44919999999999</v>
      </c>
      <c r="AF10152">
        <v>11.055375274184</v>
      </c>
      <c r="AG10152">
        <v>-1.1172607382499999</v>
      </c>
      <c r="AH10152">
        <v>24.658076654757799</v>
      </c>
      <c r="AI10152">
        <v>92.367535332571094</v>
      </c>
      <c r="AJ10152">
        <v>65.851063111435494</v>
      </c>
      <c r="AK10152">
        <v>27.046078058050998</v>
      </c>
      <c r="AL10152">
        <v>95.6928371808809</v>
      </c>
      <c r="AM10152">
        <v>75.409326060354203</v>
      </c>
      <c r="AN10152">
        <v>0.99999997663891005</v>
      </c>
    </row>
    <row r="10153" spans="1:40" x14ac:dyDescent="0.25">
      <c r="A10153" t="str">
        <f>"20190303154038066"</f>
        <v>20190303154038066</v>
      </c>
      <c r="B10153" t="str">
        <f>"1551598838058512"</f>
        <v>1551598838058512</v>
      </c>
      <c r="C10153" t="s">
        <v>40</v>
      </c>
      <c r="D10153">
        <v>4.8919800000000002</v>
      </c>
      <c r="E10153">
        <v>0.56472599999999995</v>
      </c>
      <c r="F10153" t="s">
        <v>42</v>
      </c>
      <c r="G10153">
        <v>-146.81</v>
      </c>
      <c r="H10153" s="1">
        <v>-1.9086190000000001E-6</v>
      </c>
      <c r="I10153">
        <v>136.4717</v>
      </c>
      <c r="J10153">
        <v>-174.1962</v>
      </c>
      <c r="K10153">
        <v>1.1171879999999901</v>
      </c>
      <c r="L10153">
        <v>136.1557</v>
      </c>
      <c r="M10153">
        <v>0.90794980000000003</v>
      </c>
      <c r="N10153">
        <v>-1.0916759999999999E-2</v>
      </c>
      <c r="O10153">
        <v>0.4189368</v>
      </c>
      <c r="P10153">
        <v>0.97858909999999999</v>
      </c>
      <c r="Q10153">
        <v>-0.10696890000000001</v>
      </c>
      <c r="R10153">
        <v>0.17584449999999999</v>
      </c>
      <c r="S10153">
        <v>3.0474700000000001</v>
      </c>
      <c r="T10153">
        <v>-0.12383470000000001</v>
      </c>
      <c r="U10153">
        <v>3.98407E-2</v>
      </c>
      <c r="V10153">
        <v>0.24951660000000001</v>
      </c>
      <c r="W10153">
        <v>-9.8527100000000006E-2</v>
      </c>
      <c r="X10153">
        <v>0.96334520000000001</v>
      </c>
      <c r="Y10153">
        <v>0.40646759999999998</v>
      </c>
      <c r="Z10153">
        <v>-2.2383210000000001E-2</v>
      </c>
      <c r="AA10153">
        <v>0.91339099999999995</v>
      </c>
      <c r="AB10153">
        <v>16</v>
      </c>
      <c r="AC10153">
        <v>27.386199999999999</v>
      </c>
      <c r="AD10153">
        <v>-1.11718990861899</v>
      </c>
      <c r="AE10153">
        <v>0.316000000000002</v>
      </c>
      <c r="AF10153">
        <v>11.168258057494301</v>
      </c>
      <c r="AG10153">
        <v>-1.11718990861899</v>
      </c>
      <c r="AH10153">
        <v>24.957640279253699</v>
      </c>
      <c r="AI10153">
        <v>92.339750119611097</v>
      </c>
      <c r="AJ10153">
        <v>65.892031070175193</v>
      </c>
      <c r="AK10153">
        <v>27.365341394532901</v>
      </c>
      <c r="AL10153">
        <v>95.654360378586304</v>
      </c>
      <c r="AM10153">
        <v>75.478896556914606</v>
      </c>
      <c r="AN10153">
        <v>1.0000000487364999</v>
      </c>
    </row>
    <row r="10154" spans="1:40" x14ac:dyDescent="0.25">
      <c r="A10154" t="str">
        <f>"20190303154038082"</f>
        <v>20190303154038082</v>
      </c>
      <c r="B10154" t="str">
        <f>"1551598838078029"</f>
        <v>1551598838078029</v>
      </c>
      <c r="C10154" t="s">
        <v>40</v>
      </c>
      <c r="D10154">
        <v>4.8818590000000004</v>
      </c>
      <c r="E10154">
        <v>0.56473719999999905</v>
      </c>
      <c r="F10154" t="s">
        <v>42</v>
      </c>
      <c r="G10154">
        <v>-146.2329</v>
      </c>
      <c r="H10154" s="1">
        <v>-2.1706099999999999E-6</v>
      </c>
      <c r="I10154">
        <v>136.39019999999999</v>
      </c>
      <c r="J10154">
        <v>-174.08760000000001</v>
      </c>
      <c r="K10154">
        <v>1.1171260000000001</v>
      </c>
      <c r="L10154">
        <v>136.1985</v>
      </c>
      <c r="M10154">
        <v>0.91036079999999997</v>
      </c>
      <c r="N10154">
        <v>-1.0663779999999999E-2</v>
      </c>
      <c r="O10154">
        <v>0.41367809999999999</v>
      </c>
      <c r="P10154">
        <v>0.97952969999999895</v>
      </c>
      <c r="Q10154">
        <v>-0.10605290000000001</v>
      </c>
      <c r="R10154">
        <v>0.17109820000000001</v>
      </c>
      <c r="S10154">
        <v>3.0477449999999999</v>
      </c>
      <c r="T10154">
        <v>-0.1217633</v>
      </c>
      <c r="U10154">
        <v>2.555847E-2</v>
      </c>
      <c r="V10154">
        <v>0.24865190000000001</v>
      </c>
      <c r="W10154">
        <v>-9.7868579999999997E-2</v>
      </c>
      <c r="X10154">
        <v>0.96363580000000004</v>
      </c>
      <c r="Y10154">
        <v>0.40548529999999999</v>
      </c>
      <c r="Z10154">
        <v>-2.1870069999999998E-2</v>
      </c>
      <c r="AA10154">
        <v>0.91383990000000004</v>
      </c>
      <c r="AB10154">
        <v>16</v>
      </c>
      <c r="AC10154">
        <v>27.854700000000001</v>
      </c>
      <c r="AD10154">
        <v>-1.11712817061</v>
      </c>
      <c r="AE10154">
        <v>0.19169999999999701</v>
      </c>
      <c r="AF10154">
        <v>11.3307838970549</v>
      </c>
      <c r="AG10154">
        <v>-1.11712817061</v>
      </c>
      <c r="AH10154">
        <v>25.397725396668601</v>
      </c>
      <c r="AI10154">
        <v>92.300283646100297</v>
      </c>
      <c r="AJ10154">
        <v>65.956734336196703</v>
      </c>
      <c r="AK10154">
        <v>27.833057582592598</v>
      </c>
      <c r="AL10154">
        <v>95.616447050105506</v>
      </c>
      <c r="AM10154">
        <v>75.531283866315903</v>
      </c>
      <c r="AN10154">
        <v>0.99999999068323298</v>
      </c>
    </row>
    <row r="10155" spans="1:40" x14ac:dyDescent="0.25">
      <c r="A10155" t="str">
        <f>"20190303154038094"</f>
        <v>20190303154038094</v>
      </c>
      <c r="B10155" t="str">
        <f>"1551598838087789"</f>
        <v>1551598838087789</v>
      </c>
      <c r="C10155" t="s">
        <v>40</v>
      </c>
      <c r="D10155">
        <v>4.9930329999999996</v>
      </c>
      <c r="E10155">
        <v>0.56461629999999996</v>
      </c>
      <c r="F10155" t="s">
        <v>42</v>
      </c>
      <c r="G10155">
        <v>-145.2509</v>
      </c>
      <c r="H10155" s="1">
        <v>-2.6080759999999998E-6</v>
      </c>
      <c r="I10155">
        <v>136.29910000000001</v>
      </c>
      <c r="J10155">
        <v>-174.00219999999999</v>
      </c>
      <c r="K10155">
        <v>1.1170800000000001</v>
      </c>
      <c r="L10155">
        <v>136.23169999999999</v>
      </c>
      <c r="M10155">
        <v>0.91223889999999996</v>
      </c>
      <c r="N10155">
        <v>-1.04695E-2</v>
      </c>
      <c r="O10155">
        <v>0.40952490000000003</v>
      </c>
      <c r="P10155">
        <v>0.98017980000000005</v>
      </c>
      <c r="Q10155">
        <v>-0.1055591</v>
      </c>
      <c r="R10155">
        <v>0.16764490000000001</v>
      </c>
      <c r="S10155">
        <v>3.048035</v>
      </c>
      <c r="T10155">
        <v>-0.1180799</v>
      </c>
      <c r="U10155">
        <v>1.063538E-2</v>
      </c>
      <c r="V10155">
        <v>0.2476739</v>
      </c>
      <c r="W10155">
        <v>-9.7568929999999998E-2</v>
      </c>
      <c r="X10155">
        <v>0.96391800000000005</v>
      </c>
      <c r="Y10155">
        <v>0.40582940000000001</v>
      </c>
      <c r="Z10155">
        <v>-2.1090069999999999E-2</v>
      </c>
      <c r="AA10155">
        <v>0.91370549999999995</v>
      </c>
      <c r="AB10155">
        <v>16</v>
      </c>
      <c r="AC10155">
        <v>28.751299999999901</v>
      </c>
      <c r="AD10155">
        <v>-1.1170826080759999</v>
      </c>
      <c r="AE10155">
        <v>6.7400000000020499E-2</v>
      </c>
      <c r="AF10155">
        <v>11.695874216534</v>
      </c>
      <c r="AG10155">
        <v>-1.1170826080759999</v>
      </c>
      <c r="AH10155">
        <v>26.217517303479799</v>
      </c>
      <c r="AI10155">
        <v>92.228359709456996</v>
      </c>
      <c r="AJ10155">
        <v>65.957912795657407</v>
      </c>
      <c r="AK10155">
        <v>28.729767851490099</v>
      </c>
      <c r="AL10155">
        <v>95.599195845056798</v>
      </c>
      <c r="AM10155">
        <v>75.589861246536202</v>
      </c>
      <c r="AN10155">
        <v>0.99999998378327704</v>
      </c>
    </row>
    <row r="10156" spans="1:40" x14ac:dyDescent="0.25">
      <c r="A10156" t="str">
        <f>"20190303154038108"</f>
        <v>20190303154038108</v>
      </c>
      <c r="B10156" t="str">
        <f>"1551598838098526"</f>
        <v>1551598838098526</v>
      </c>
      <c r="C10156" t="s">
        <v>40</v>
      </c>
      <c r="D10156">
        <v>4.9398860000000004</v>
      </c>
      <c r="E10156">
        <v>0.56439469999999903</v>
      </c>
      <c r="F10156" t="s">
        <v>42</v>
      </c>
      <c r="G10156">
        <v>-144.85230000000001</v>
      </c>
      <c r="H10156" s="1">
        <v>-2.789533E-6</v>
      </c>
      <c r="I10156">
        <v>136.24010000000001</v>
      </c>
      <c r="J10156">
        <v>-173.91390000000001</v>
      </c>
      <c r="K10156">
        <v>1.117032</v>
      </c>
      <c r="L10156">
        <v>136.2655</v>
      </c>
      <c r="M10156">
        <v>0.91416140000000001</v>
      </c>
      <c r="N10156">
        <v>-1.027258E-2</v>
      </c>
      <c r="O10156">
        <v>0.40522010000000003</v>
      </c>
      <c r="P10156">
        <v>0.98085710000000004</v>
      </c>
      <c r="Q10156">
        <v>-0.10516689999999999</v>
      </c>
      <c r="R10156">
        <v>0.16388900000000001</v>
      </c>
      <c r="S10156">
        <v>3.0479280000000002</v>
      </c>
      <c r="T10156">
        <v>-0.1168027</v>
      </c>
      <c r="U10156">
        <v>8.8500979999999905E-4</v>
      </c>
      <c r="V10156">
        <v>0.24683389999999999</v>
      </c>
      <c r="W10156">
        <v>-9.7375249999999997E-2</v>
      </c>
      <c r="X10156">
        <v>0.96415309999999999</v>
      </c>
      <c r="Y10156">
        <v>0.40445710000000001</v>
      </c>
      <c r="Z10156">
        <v>-2.0745369999999999E-2</v>
      </c>
      <c r="AA10156">
        <v>0.91432170000000001</v>
      </c>
      <c r="AB10156">
        <v>16</v>
      </c>
      <c r="AC10156">
        <v>29.061599999999999</v>
      </c>
      <c r="AD10156">
        <v>-1.1170347895329999</v>
      </c>
      <c r="AE10156">
        <v>-2.53999999999905E-2</v>
      </c>
      <c r="AF10156">
        <v>11.782779540001</v>
      </c>
      <c r="AG10156">
        <v>-1.1170347895329999</v>
      </c>
      <c r="AH10156">
        <v>26.518924035785101</v>
      </c>
      <c r="AI10156">
        <v>92.204430563256295</v>
      </c>
      <c r="AJ10156">
        <v>66.043661626919302</v>
      </c>
      <c r="AK10156">
        <v>29.040230584915101</v>
      </c>
      <c r="AL10156">
        <v>95.588045294479599</v>
      </c>
      <c r="AM10156">
        <v>75.640066350615697</v>
      </c>
      <c r="AN10156">
        <v>1.0000000568706799</v>
      </c>
    </row>
    <row r="10157" spans="1:40" x14ac:dyDescent="0.25">
      <c r="A10157" t="str">
        <f>"20190303154038122"</f>
        <v>20190303154038122</v>
      </c>
      <c r="B10157" t="str">
        <f>"1551598838118045"</f>
        <v>1551598838118045</v>
      </c>
      <c r="C10157" t="s">
        <v>40</v>
      </c>
      <c r="D10157">
        <v>4.9013369999999998</v>
      </c>
      <c r="E10157">
        <v>0.56380839999999999</v>
      </c>
      <c r="F10157" t="s">
        <v>42</v>
      </c>
      <c r="G10157">
        <v>-144.57599999999999</v>
      </c>
      <c r="H10157" s="1">
        <v>-2.9191179999999998E-6</v>
      </c>
      <c r="I10157">
        <v>136.17779999999999</v>
      </c>
      <c r="J10157">
        <v>-173.81720000000001</v>
      </c>
      <c r="K10157">
        <v>1.116976</v>
      </c>
      <c r="L10157">
        <v>136.30179999999999</v>
      </c>
      <c r="M10157">
        <v>0.91624669999999997</v>
      </c>
      <c r="N10157">
        <v>-1.0063549999999999E-2</v>
      </c>
      <c r="O10157">
        <v>0.40048820000000002</v>
      </c>
      <c r="P10157">
        <v>0.98151710000000003</v>
      </c>
      <c r="Q10157">
        <v>-0.1051211</v>
      </c>
      <c r="R10157">
        <v>0.15991729999999901</v>
      </c>
      <c r="S10157">
        <v>3.0476380000000001</v>
      </c>
      <c r="T10157">
        <v>-0.11603810000000001</v>
      </c>
      <c r="U10157">
        <v>-9.1094969999999994E-3</v>
      </c>
      <c r="V10157">
        <v>0.24574480000000001</v>
      </c>
      <c r="W10157">
        <v>-9.7538509999999995E-2</v>
      </c>
      <c r="X10157">
        <v>0.96441469999999896</v>
      </c>
      <c r="Y10157">
        <v>0.40273530000000002</v>
      </c>
      <c r="Z10157">
        <v>-2.0487109999999999E-2</v>
      </c>
      <c r="AA10157">
        <v>0.91508719999999999</v>
      </c>
      <c r="AB10157">
        <v>16</v>
      </c>
      <c r="AC10157">
        <v>29.241199999999999</v>
      </c>
      <c r="AD10157">
        <v>-1.116978919118</v>
      </c>
      <c r="AE10157">
        <v>-0.123999999999995</v>
      </c>
      <c r="AF10157">
        <v>11.807739484139599</v>
      </c>
      <c r="AG10157">
        <v>-1.116978919118</v>
      </c>
      <c r="AH10157">
        <v>26.704879866508101</v>
      </c>
      <c r="AI10157">
        <v>92.1907359130972</v>
      </c>
      <c r="AJ10157">
        <v>66.147064595268205</v>
      </c>
      <c r="AK10157">
        <v>29.2202149601213</v>
      </c>
      <c r="AL10157">
        <v>95.597444515834994</v>
      </c>
      <c r="AM10157">
        <v>75.704542390484505</v>
      </c>
      <c r="AN10157">
        <v>0.99999999061807399</v>
      </c>
    </row>
    <row r="10158" spans="1:40" x14ac:dyDescent="0.25">
      <c r="A10158" t="str">
        <f>"20190303154038146"</f>
        <v>20190303154038146</v>
      </c>
      <c r="B10158" t="str">
        <f>"1551598838138541"</f>
        <v>1551598838138541</v>
      </c>
      <c r="C10158" t="s">
        <v>40</v>
      </c>
      <c r="D10158">
        <v>5.0590039999999998</v>
      </c>
      <c r="E10158">
        <v>0.56326200000000004</v>
      </c>
      <c r="F10158" t="s">
        <v>42</v>
      </c>
      <c r="G10158">
        <v>-145.14510000000001</v>
      </c>
      <c r="H10158" s="1">
        <v>-2.6811149999999998E-6</v>
      </c>
      <c r="I10158">
        <v>136.1431</v>
      </c>
      <c r="J10158">
        <v>-173.66220000000001</v>
      </c>
      <c r="K10158">
        <v>1.1168830000000001</v>
      </c>
      <c r="L10158">
        <v>136.35900000000001</v>
      </c>
      <c r="M10158">
        <v>0.91954040000000004</v>
      </c>
      <c r="N10158">
        <v>-9.7390510000000003E-3</v>
      </c>
      <c r="O10158">
        <v>0.39287470000000002</v>
      </c>
      <c r="P10158">
        <v>0.98260769999999997</v>
      </c>
      <c r="Q10158">
        <v>-0.10553070000000001</v>
      </c>
      <c r="R10158">
        <v>0.15279179999999901</v>
      </c>
      <c r="S10158">
        <v>3.0465390000000001</v>
      </c>
      <c r="T10158">
        <v>-0.11868389999999999</v>
      </c>
      <c r="U10158">
        <v>-1.6860960000000001E-2</v>
      </c>
      <c r="V10158">
        <v>0.2447066</v>
      </c>
      <c r="W10158">
        <v>-9.8280619999999999E-2</v>
      </c>
      <c r="X10158">
        <v>0.9646034</v>
      </c>
      <c r="Y10158">
        <v>0.39744760000000001</v>
      </c>
      <c r="Z10158">
        <v>-2.075362E-2</v>
      </c>
      <c r="AA10158">
        <v>0.91739020000000004</v>
      </c>
      <c r="AB10158">
        <v>16</v>
      </c>
      <c r="AC10158">
        <v>28.517099999999999</v>
      </c>
      <c r="AD10158">
        <v>-1.1168856811149901</v>
      </c>
      <c r="AE10158">
        <v>-0.21590000000000401</v>
      </c>
      <c r="AF10158">
        <v>11.3852538526301</v>
      </c>
      <c r="AG10158">
        <v>-1.1168856811149901</v>
      </c>
      <c r="AH10158">
        <v>26.099012645678201</v>
      </c>
      <c r="AI10158">
        <v>92.246242298590005</v>
      </c>
      <c r="AJ10158">
        <v>66.431575728586793</v>
      </c>
      <c r="AK10158">
        <v>28.496138334742501</v>
      </c>
      <c r="AL10158">
        <v>95.640169176977295</v>
      </c>
      <c r="AM10158">
        <v>75.765148017493402</v>
      </c>
      <c r="AN10158">
        <v>1.0000000598213501</v>
      </c>
    </row>
    <row r="10159" spans="1:40" x14ac:dyDescent="0.25">
      <c r="A10159" t="str">
        <f>"20190303154038167"</f>
        <v>20190303154038167</v>
      </c>
      <c r="B10159" t="str">
        <f>"1551598838158061"</f>
        <v>1551598838158061</v>
      </c>
      <c r="C10159" t="s">
        <v>40</v>
      </c>
      <c r="D10159">
        <v>4.948048</v>
      </c>
      <c r="E10159">
        <v>0.5628436</v>
      </c>
      <c r="F10159" t="s">
        <v>42</v>
      </c>
      <c r="G10159">
        <v>-145.7894</v>
      </c>
      <c r="H10159" s="1">
        <v>-2.4229830000000001E-6</v>
      </c>
      <c r="I10159">
        <v>136.04</v>
      </c>
      <c r="J10159">
        <v>-173.5102</v>
      </c>
      <c r="K10159">
        <v>1.1168009999999999</v>
      </c>
      <c r="L10159">
        <v>136.41370000000001</v>
      </c>
      <c r="M10159">
        <v>0.92271179999999997</v>
      </c>
      <c r="N10159">
        <v>-9.4357239999999995E-3</v>
      </c>
      <c r="O10159">
        <v>0.38537480000000002</v>
      </c>
      <c r="P10159">
        <v>0.98357430000000001</v>
      </c>
      <c r="Q10159">
        <v>-0.10606409999999999</v>
      </c>
      <c r="R10159">
        <v>0.14605570000000001</v>
      </c>
      <c r="S10159">
        <v>3.0453800000000002</v>
      </c>
      <c r="T10159">
        <v>-0.12203070000000001</v>
      </c>
      <c r="U10159">
        <v>-3.4851069999999998E-2</v>
      </c>
      <c r="V10159">
        <v>0.24342069999999999</v>
      </c>
      <c r="W10159">
        <v>-9.9122039999999995E-2</v>
      </c>
      <c r="X10159">
        <v>0.96484259999999999</v>
      </c>
      <c r="Y10159">
        <v>0.395368</v>
      </c>
      <c r="Z10159">
        <v>-2.1211959999999998E-2</v>
      </c>
      <c r="AA10159">
        <v>0.91827780000000003</v>
      </c>
      <c r="AB10159">
        <v>16</v>
      </c>
      <c r="AC10159">
        <v>27.720800000000001</v>
      </c>
      <c r="AD10159">
        <v>-1.1168034229829999</v>
      </c>
      <c r="AE10159">
        <v>-0.37370000000001302</v>
      </c>
      <c r="AF10159">
        <v>11.010339513465301</v>
      </c>
      <c r="AG10159">
        <v>-1.1168034229829999</v>
      </c>
      <c r="AH10159">
        <v>25.394219565271499</v>
      </c>
      <c r="AI10159">
        <v>92.310589675138203</v>
      </c>
      <c r="AJ10159">
        <v>66.559573329648401</v>
      </c>
      <c r="AK10159">
        <v>27.700924414477299</v>
      </c>
      <c r="AL10159">
        <v>95.688615722707794</v>
      </c>
      <c r="AM10159">
        <v>75.840302679838302</v>
      </c>
      <c r="AN10159">
        <v>1.0000000293885001</v>
      </c>
    </row>
    <row r="10160" spans="1:40" x14ac:dyDescent="0.25">
      <c r="A10160" t="str">
        <f>"20190303154038190"</f>
        <v>20190303154038190</v>
      </c>
      <c r="B10160" t="str">
        <f>"1551598838178557"</f>
        <v>1551598838178557</v>
      </c>
      <c r="C10160" t="s">
        <v>40</v>
      </c>
      <c r="D10160">
        <v>5.0182840000000004</v>
      </c>
      <c r="E10160">
        <v>0.56232260000000001</v>
      </c>
      <c r="F10160" t="s">
        <v>42</v>
      </c>
      <c r="G10160">
        <v>-146.14580000000001</v>
      </c>
      <c r="H10160" s="1">
        <v>-2.2872549999999999E-6</v>
      </c>
      <c r="I10160">
        <v>135.94319999999999</v>
      </c>
      <c r="J10160">
        <v>-173.3562</v>
      </c>
      <c r="K10160">
        <v>1.1167180000000001</v>
      </c>
      <c r="L10160">
        <v>136.46770000000001</v>
      </c>
      <c r="M10160">
        <v>0.92586429999999997</v>
      </c>
      <c r="N10160">
        <v>-9.1401030000000001E-3</v>
      </c>
      <c r="O10160">
        <v>0.37774560000000001</v>
      </c>
      <c r="P10160">
        <v>0.98447629999999997</v>
      </c>
      <c r="Q10160">
        <v>-0.1062801</v>
      </c>
      <c r="R10160">
        <v>0.1396809</v>
      </c>
      <c r="S10160">
        <v>3.0444789999999999</v>
      </c>
      <c r="T10160">
        <v>-0.1242521</v>
      </c>
      <c r="U10160">
        <v>-5.2337649999999999E-2</v>
      </c>
      <c r="V10160">
        <v>0.24168249999999999</v>
      </c>
      <c r="W10160">
        <v>-9.963313E-2</v>
      </c>
      <c r="X10160">
        <v>0.96522680000000005</v>
      </c>
      <c r="Y10160">
        <v>0.39304470000000002</v>
      </c>
      <c r="Z10160">
        <v>-2.142403E-2</v>
      </c>
      <c r="AA10160">
        <v>0.91926969999999997</v>
      </c>
      <c r="AB10160">
        <v>16</v>
      </c>
      <c r="AC10160">
        <v>27.2104</v>
      </c>
      <c r="AD10160">
        <v>-1.1167202872549999</v>
      </c>
      <c r="AE10160">
        <v>-0.52450000000001695</v>
      </c>
      <c r="AF10160">
        <v>10.7465807325172</v>
      </c>
      <c r="AG10160">
        <v>-1.1167202872549999</v>
      </c>
      <c r="AH10160">
        <v>24.9540403021632</v>
      </c>
      <c r="AI10160">
        <v>92.353627128352898</v>
      </c>
      <c r="AJ10160">
        <v>66.700633121340701</v>
      </c>
      <c r="AK10160">
        <v>27.192649540683998</v>
      </c>
      <c r="AL10160">
        <v>95.718044965315698</v>
      </c>
      <c r="AM10160">
        <v>75.942763203905699</v>
      </c>
      <c r="AN10160">
        <v>0.99999998341904295</v>
      </c>
    </row>
    <row r="10161" spans="1:40" x14ac:dyDescent="0.25">
      <c r="A10161" t="str">
        <f>"20190303154038206"</f>
        <v>20190303154038206</v>
      </c>
      <c r="B10161" t="str">
        <f>"1551598838198077"</f>
        <v>1551598838198077</v>
      </c>
      <c r="C10161" t="s">
        <v>40</v>
      </c>
      <c r="D10161">
        <v>4.8965579999999997</v>
      </c>
      <c r="E10161">
        <v>0.56196539999999995</v>
      </c>
      <c r="F10161" t="s">
        <v>42</v>
      </c>
      <c r="G10161">
        <v>-146.48150000000001</v>
      </c>
      <c r="H10161" s="1">
        <v>-2.1808610000000001E-6</v>
      </c>
      <c r="I10161">
        <v>135.86750000000001</v>
      </c>
      <c r="J10161">
        <v>-173.23220000000001</v>
      </c>
      <c r="K10161">
        <v>1.1166480000000001</v>
      </c>
      <c r="L10161">
        <v>136.51</v>
      </c>
      <c r="M10161">
        <v>0.92835369999999995</v>
      </c>
      <c r="N10161">
        <v>-8.9063960000000005E-3</v>
      </c>
      <c r="O10161">
        <v>0.37159140000000002</v>
      </c>
      <c r="P10161">
        <v>0.98534929999999998</v>
      </c>
      <c r="Q10161">
        <v>-0.105744699999999</v>
      </c>
      <c r="R10161">
        <v>0.13380909999999999</v>
      </c>
      <c r="S10161">
        <v>3.04332</v>
      </c>
      <c r="T10161">
        <v>-0.1264586</v>
      </c>
      <c r="U10161">
        <v>-6.7962649999999999E-2</v>
      </c>
      <c r="V10161">
        <v>0.24104429999999999</v>
      </c>
      <c r="W10161">
        <v>-9.933931E-2</v>
      </c>
      <c r="X10161">
        <v>0.96541670000000002</v>
      </c>
      <c r="Y10161">
        <v>0.3916461</v>
      </c>
      <c r="Z10161">
        <v>-2.1673120000000001E-2</v>
      </c>
      <c r="AA10161">
        <v>0.91986060000000003</v>
      </c>
      <c r="AB10161">
        <v>16</v>
      </c>
      <c r="AC10161">
        <v>26.750699999999899</v>
      </c>
      <c r="AD10161">
        <v>-1.1166501808610001</v>
      </c>
      <c r="AE10161">
        <v>-0.64249999999998397</v>
      </c>
      <c r="AF10161">
        <v>10.5188965660682</v>
      </c>
      <c r="AG10161">
        <v>-1.1166501808610001</v>
      </c>
      <c r="AH10161">
        <v>24.553579285839501</v>
      </c>
      <c r="AI10161">
        <v>92.3937690756227</v>
      </c>
      <c r="AJ10161">
        <v>66.809425671114596</v>
      </c>
      <c r="AK10161">
        <v>26.735226730665001</v>
      </c>
      <c r="AL10161">
        <v>95.701126125039096</v>
      </c>
      <c r="AM10161">
        <v>75.981066577751704</v>
      </c>
      <c r="AN10161">
        <v>1.00000002885632</v>
      </c>
    </row>
    <row r="10162" spans="1:40" x14ac:dyDescent="0.25">
      <c r="A10162" t="str">
        <f>"20190303154038220"</f>
        <v>20190303154038220</v>
      </c>
      <c r="B10162" t="str">
        <f>"1551598838218573"</f>
        <v>1551598838218573</v>
      </c>
      <c r="C10162" t="s">
        <v>40</v>
      </c>
      <c r="D10162">
        <v>4.9451980000000004</v>
      </c>
      <c r="E10162">
        <v>0.56145579999999995</v>
      </c>
      <c r="F10162" t="s">
        <v>42</v>
      </c>
      <c r="G10162">
        <v>-146.1712</v>
      </c>
      <c r="H10162" s="1">
        <v>-2.3123490000000002E-6</v>
      </c>
      <c r="I10162">
        <v>135.77010000000001</v>
      </c>
      <c r="J10162">
        <v>-173.14080000000001</v>
      </c>
      <c r="K10162">
        <v>1.116601</v>
      </c>
      <c r="L10162">
        <v>136.54050000000001</v>
      </c>
      <c r="M10162">
        <v>0.93016290000000001</v>
      </c>
      <c r="N10162">
        <v>-8.7371659999999993E-3</v>
      </c>
      <c r="O10162">
        <v>0.36704310000000001</v>
      </c>
      <c r="P10162">
        <v>0.98584150000000004</v>
      </c>
      <c r="Q10162">
        <v>-0.1058148</v>
      </c>
      <c r="R10162">
        <v>0.13007550000000001</v>
      </c>
      <c r="S10162">
        <v>3.0424190000000002</v>
      </c>
      <c r="T10162">
        <v>-0.12554290000000001</v>
      </c>
      <c r="U10162">
        <v>-8.3175659999999998E-2</v>
      </c>
      <c r="V10162">
        <v>0.2399646</v>
      </c>
      <c r="W10162">
        <v>-9.9577959999999993E-2</v>
      </c>
      <c r="X10162">
        <v>0.96566099999999999</v>
      </c>
      <c r="Y10162">
        <v>0.39175549999999998</v>
      </c>
      <c r="Z10162">
        <v>-2.1412830000000001E-2</v>
      </c>
      <c r="AA10162">
        <v>0.91982010000000003</v>
      </c>
      <c r="AB10162">
        <v>16</v>
      </c>
      <c r="AC10162">
        <v>26.9696</v>
      </c>
      <c r="AD10162">
        <v>-1.116603312349</v>
      </c>
      <c r="AE10162">
        <v>-0.77039999999999498</v>
      </c>
      <c r="AF10162">
        <v>10.597856815955099</v>
      </c>
      <c r="AG10162">
        <v>-1.116603312349</v>
      </c>
      <c r="AH10162">
        <v>24.761887187966199</v>
      </c>
      <c r="AI10162">
        <v>92.373911438895107</v>
      </c>
      <c r="AJ10162">
        <v>66.829526797006494</v>
      </c>
      <c r="AK10162">
        <v>26.9576042918914</v>
      </c>
      <c r="AL10162">
        <v>95.714868217760298</v>
      </c>
      <c r="AM10162">
        <v>76.044793818572401</v>
      </c>
      <c r="AN10162">
        <v>0.99999997314596001</v>
      </c>
    </row>
    <row r="10163" spans="1:40" x14ac:dyDescent="0.25">
      <c r="A10163" t="str">
        <f>"20190303154038234"</f>
        <v>20190303154038234</v>
      </c>
      <c r="B10163" t="str">
        <f>"1551598838228333"</f>
        <v>1551598838228333</v>
      </c>
      <c r="C10163" t="s">
        <v>40</v>
      </c>
      <c r="D10163">
        <v>4.9146489999999998</v>
      </c>
      <c r="E10163">
        <v>0.56115499999999996</v>
      </c>
      <c r="F10163" t="s">
        <v>42</v>
      </c>
      <c r="G10163">
        <v>-146.44159999999999</v>
      </c>
      <c r="H10163" s="1">
        <v>-2.2273019999999999E-6</v>
      </c>
      <c r="I10163">
        <v>135.744</v>
      </c>
      <c r="J10163">
        <v>-173.04220000000001</v>
      </c>
      <c r="K10163">
        <v>1.1165430000000001</v>
      </c>
      <c r="L10163">
        <v>136.57299999999901</v>
      </c>
      <c r="M10163">
        <v>0.93208860000000004</v>
      </c>
      <c r="N10163">
        <v>-8.5553309999999994E-3</v>
      </c>
      <c r="O10163">
        <v>0.36212949999999999</v>
      </c>
      <c r="P10163">
        <v>0.98621650000000005</v>
      </c>
      <c r="Q10163">
        <v>-0.10695250000000001</v>
      </c>
      <c r="R10163">
        <v>0.12624649999999901</v>
      </c>
      <c r="S10163">
        <v>3.0413969999999999</v>
      </c>
      <c r="T10163">
        <v>-0.1271958</v>
      </c>
      <c r="U10163">
        <v>-9.0728760000000006E-2</v>
      </c>
      <c r="V10163">
        <v>0.2385544</v>
      </c>
      <c r="W10163">
        <v>-0.10089480000000001</v>
      </c>
      <c r="X10163">
        <v>0.96587369999999995</v>
      </c>
      <c r="Y10163">
        <v>0.38917810000000003</v>
      </c>
      <c r="Z10163">
        <v>-2.1541350000000001E-2</v>
      </c>
      <c r="AA10163">
        <v>0.92091069999999997</v>
      </c>
      <c r="AB10163">
        <v>16</v>
      </c>
      <c r="AC10163">
        <v>26.6006</v>
      </c>
      <c r="AD10163">
        <v>-1.116545227302</v>
      </c>
      <c r="AE10163">
        <v>-0.82899999999997898</v>
      </c>
      <c r="AF10163">
        <v>10.387659823417501</v>
      </c>
      <c r="AG10163">
        <v>-1.116545227302</v>
      </c>
      <c r="AH10163">
        <v>24.451766926364702</v>
      </c>
      <c r="AI10163">
        <v>92.406605801701104</v>
      </c>
      <c r="AJ10163">
        <v>66.983124473427296</v>
      </c>
      <c r="AK10163">
        <v>26.590206010351199</v>
      </c>
      <c r="AL10163">
        <v>95.790699453073898</v>
      </c>
      <c r="AM10163">
        <v>76.126563828029404</v>
      </c>
      <c r="AN10163">
        <v>0.99999998338904394</v>
      </c>
    </row>
    <row r="10164" spans="1:40" x14ac:dyDescent="0.25">
      <c r="A10164" t="str">
        <f>"20190303154038249"</f>
        <v>20190303154038249</v>
      </c>
      <c r="B10164" t="str">
        <f>"1551598838238093"</f>
        <v>1551598838238093</v>
      </c>
      <c r="C10164" t="s">
        <v>40</v>
      </c>
      <c r="D10164">
        <v>4.9295640000000001</v>
      </c>
      <c r="E10164">
        <v>0.56087779999999998</v>
      </c>
      <c r="F10164" t="s">
        <v>42</v>
      </c>
      <c r="G10164">
        <v>-147.1454</v>
      </c>
      <c r="H10164" s="1">
        <v>-1.9937940000000001E-6</v>
      </c>
      <c r="I10164">
        <v>135.72130000000001</v>
      </c>
      <c r="J10164">
        <v>-172.93190000000001</v>
      </c>
      <c r="K10164">
        <v>1.1164799999999999</v>
      </c>
      <c r="L10164">
        <v>136.6088</v>
      </c>
      <c r="M10164">
        <v>0.93421080000000001</v>
      </c>
      <c r="N10164">
        <v>-8.3521009999999903E-3</v>
      </c>
      <c r="O10164">
        <v>0.35662359999999999</v>
      </c>
      <c r="P10164">
        <v>0.98684289999999997</v>
      </c>
      <c r="Q10164">
        <v>-0.1071674</v>
      </c>
      <c r="R10164">
        <v>0.12106359999999999</v>
      </c>
      <c r="S10164">
        <v>3.040527</v>
      </c>
      <c r="T10164">
        <v>-0.13109299999999999</v>
      </c>
      <c r="U10164">
        <v>-9.9990839999999998E-2</v>
      </c>
      <c r="V10164">
        <v>0.2379088</v>
      </c>
      <c r="W10164">
        <v>-0.1013196</v>
      </c>
      <c r="X10164">
        <v>0.96598850000000003</v>
      </c>
      <c r="Y10164">
        <v>0.38651859999999999</v>
      </c>
      <c r="Z10164">
        <v>-2.204472E-2</v>
      </c>
      <c r="AA10164">
        <v>0.92201809999999995</v>
      </c>
      <c r="AB10164">
        <v>16</v>
      </c>
      <c r="AC10164">
        <v>25.7865</v>
      </c>
      <c r="AD10164">
        <v>-1.11648199379399</v>
      </c>
      <c r="AE10164">
        <v>-0.88749999999998797</v>
      </c>
      <c r="AF10164">
        <v>10.0067994042116</v>
      </c>
      <c r="AG10164">
        <v>-1.11648199379399</v>
      </c>
      <c r="AH10164">
        <v>23.7299204544194</v>
      </c>
      <c r="AI10164">
        <v>92.482363948188393</v>
      </c>
      <c r="AJ10164">
        <v>67.135068680501803</v>
      </c>
      <c r="AK10164">
        <v>25.777736346150899</v>
      </c>
      <c r="AL10164">
        <v>95.815163853463105</v>
      </c>
      <c r="AM10164">
        <v>76.164245967154002</v>
      </c>
      <c r="AN10164">
        <v>1.0000000202969199</v>
      </c>
    </row>
    <row r="10165" spans="1:40" x14ac:dyDescent="0.25">
      <c r="A10165" t="str">
        <f>"20190303154038262"</f>
        <v>20190303154038262</v>
      </c>
      <c r="B10165" t="str">
        <f>"1551598838258589"</f>
        <v>1551598838258589</v>
      </c>
      <c r="C10165" t="s">
        <v>40</v>
      </c>
      <c r="D10165">
        <v>4.9366409999999998</v>
      </c>
      <c r="E10165">
        <v>0.56029799999999996</v>
      </c>
      <c r="F10165" t="s">
        <v>42</v>
      </c>
      <c r="G10165">
        <v>-147.27539999999999</v>
      </c>
      <c r="H10165" s="1">
        <v>-1.9692149999999999E-6</v>
      </c>
      <c r="I10165">
        <v>135.64760000000001</v>
      </c>
      <c r="J10165">
        <v>-172.83690000000001</v>
      </c>
      <c r="K10165">
        <v>1.1164240000000001</v>
      </c>
      <c r="L10165">
        <v>136.6388</v>
      </c>
      <c r="M10165">
        <v>0.93601040000000002</v>
      </c>
      <c r="N10165">
        <v>-8.1751769999999901E-3</v>
      </c>
      <c r="O10165">
        <v>0.35187760000000001</v>
      </c>
      <c r="P10165">
        <v>0.98733340000000003</v>
      </c>
      <c r="Q10165">
        <v>-0.1074548</v>
      </c>
      <c r="R10165">
        <v>0.11673169999999999</v>
      </c>
      <c r="S10165">
        <v>3.0395810000000001</v>
      </c>
      <c r="T10165">
        <v>-0.1322719</v>
      </c>
      <c r="U10165">
        <v>-0.1138763</v>
      </c>
      <c r="V10165">
        <v>0.2372225</v>
      </c>
      <c r="W10165">
        <v>-0.1017884</v>
      </c>
      <c r="X10165">
        <v>0.96610799999999997</v>
      </c>
      <c r="Y10165">
        <v>0.38604460000000002</v>
      </c>
      <c r="Z10165">
        <v>-2.2127109999999998E-2</v>
      </c>
      <c r="AA10165">
        <v>0.92221470000000005</v>
      </c>
      <c r="AB10165">
        <v>16</v>
      </c>
      <c r="AC10165">
        <v>25.561499999999999</v>
      </c>
      <c r="AD10165">
        <v>-1.116425969215</v>
      </c>
      <c r="AE10165">
        <v>-0.99119999999999198</v>
      </c>
      <c r="AF10165">
        <v>9.9037595937397693</v>
      </c>
      <c r="AG10165">
        <v>-1.116425969215</v>
      </c>
      <c r="AH10165">
        <v>23.533010769792298</v>
      </c>
      <c r="AI10165">
        <v>92.503743441016496</v>
      </c>
      <c r="AJ10165">
        <v>67.176431511512106</v>
      </c>
      <c r="AK10165">
        <v>25.556475831508699</v>
      </c>
      <c r="AL10165">
        <v>95.842163644583096</v>
      </c>
      <c r="AM10165">
        <v>76.204272386593303</v>
      </c>
      <c r="AN10165">
        <v>1.0000000302723999</v>
      </c>
    </row>
    <row r="10166" spans="1:40" x14ac:dyDescent="0.25">
      <c r="A10166" t="str">
        <f>"20190303154038275"</f>
        <v>20190303154038275</v>
      </c>
      <c r="B10166" t="str">
        <f>"1551598838268349"</f>
        <v>1551598838268349</v>
      </c>
      <c r="C10166" t="s">
        <v>40</v>
      </c>
      <c r="D10166">
        <v>4.9440220000000004</v>
      </c>
      <c r="E10166">
        <v>0.5600193</v>
      </c>
      <c r="F10166" t="s">
        <v>42</v>
      </c>
      <c r="G10166">
        <v>-147.70150000000001</v>
      </c>
      <c r="H10166" s="1">
        <v>-1.8305460000000001E-6</v>
      </c>
      <c r="I10166">
        <v>135.62370000000001</v>
      </c>
      <c r="J10166">
        <v>-172.7473</v>
      </c>
      <c r="K10166">
        <v>1.116371</v>
      </c>
      <c r="L10166">
        <v>136.66679999999999</v>
      </c>
      <c r="M10166">
        <v>0.93768410000000002</v>
      </c>
      <c r="N10166">
        <v>-8.0083140000000008E-3</v>
      </c>
      <c r="O10166">
        <v>0.34739680000000001</v>
      </c>
      <c r="P10166">
        <v>0.98774949999999995</v>
      </c>
      <c r="Q10166">
        <v>-0.1079739</v>
      </c>
      <c r="R10166">
        <v>0.11266180000000001</v>
      </c>
      <c r="S10166">
        <v>3.0383149999999999</v>
      </c>
      <c r="T10166">
        <v>-0.13495119999999999</v>
      </c>
      <c r="U10166">
        <v>-0.122695899999999</v>
      </c>
      <c r="V10166">
        <v>0.23655000000000001</v>
      </c>
      <c r="W10166">
        <v>-0.1024785</v>
      </c>
      <c r="X10166">
        <v>0.9661999</v>
      </c>
      <c r="Y10166">
        <v>0.38429619999999998</v>
      </c>
      <c r="Z10166">
        <v>-2.2442960000000001E-2</v>
      </c>
      <c r="AA10166">
        <v>0.92293700000000001</v>
      </c>
      <c r="AB10166">
        <v>16</v>
      </c>
      <c r="AC10166">
        <v>25.0457999999999</v>
      </c>
      <c r="AD10166">
        <v>-1.1163728305459999</v>
      </c>
      <c r="AE10166">
        <v>-1.0430999999999799</v>
      </c>
      <c r="AF10166">
        <v>9.6600795867707099</v>
      </c>
      <c r="AG10166">
        <v>-1.1163728305459999</v>
      </c>
      <c r="AH10166">
        <v>23.077647993107</v>
      </c>
      <c r="AI10166">
        <v>92.555013209700803</v>
      </c>
      <c r="AJ10166">
        <v>67.286287331225196</v>
      </c>
      <c r="AK10166">
        <v>25.042788638913201</v>
      </c>
      <c r="AL10166">
        <v>95.8819115155069</v>
      </c>
      <c r="AM10166">
        <v>76.243152557657893</v>
      </c>
      <c r="AN10166">
        <v>0.99999999611113</v>
      </c>
    </row>
    <row r="10167" spans="1:40" x14ac:dyDescent="0.25">
      <c r="A10167" t="str">
        <f>"20190303154038289"</f>
        <v>20190303154038289</v>
      </c>
      <c r="B10167" t="str">
        <f>"1551598838278109"</f>
        <v>1551598838278109</v>
      </c>
      <c r="C10167" t="s">
        <v>40</v>
      </c>
      <c r="D10167">
        <v>4.9155939999999996</v>
      </c>
      <c r="E10167">
        <v>0.5596409</v>
      </c>
      <c r="F10167" t="s">
        <v>42</v>
      </c>
      <c r="G10167">
        <v>-148.09010000000001</v>
      </c>
      <c r="H10167" s="1">
        <v>-1.708101E-6</v>
      </c>
      <c r="I10167">
        <v>135.58680000000001</v>
      </c>
      <c r="J10167">
        <v>-172.64109999999999</v>
      </c>
      <c r="K10167">
        <v>1.1163050000000001</v>
      </c>
      <c r="L10167">
        <v>136.6994</v>
      </c>
      <c r="M10167">
        <v>0.93963759999999996</v>
      </c>
      <c r="N10167">
        <v>-7.8106460000000001E-3</v>
      </c>
      <c r="O10167">
        <v>0.3420821</v>
      </c>
      <c r="P10167">
        <v>0.98815750000000002</v>
      </c>
      <c r="Q10167">
        <v>-0.1087579</v>
      </c>
      <c r="R10167">
        <v>0.10824209999999999</v>
      </c>
      <c r="S10167">
        <v>3.0373380000000001</v>
      </c>
      <c r="T10167">
        <v>-0.137518</v>
      </c>
      <c r="U10167">
        <v>-0.13302610000000001</v>
      </c>
      <c r="V10167">
        <v>0.2353547</v>
      </c>
      <c r="W10167">
        <v>-0.1034605</v>
      </c>
      <c r="X10167">
        <v>0.9663872</v>
      </c>
      <c r="Y10167">
        <v>0.38219259999999999</v>
      </c>
      <c r="Z10167">
        <v>-2.2692629999999998E-2</v>
      </c>
      <c r="AA10167">
        <v>0.92380399999999996</v>
      </c>
      <c r="AB10167">
        <v>17</v>
      </c>
      <c r="AC10167">
        <v>24.550999999999899</v>
      </c>
      <c r="AD10167">
        <v>-1.1163067081010001</v>
      </c>
      <c r="AE10167">
        <v>-1.11259999999998</v>
      </c>
      <c r="AF10167">
        <v>9.4247416015533592</v>
      </c>
      <c r="AG10167">
        <v>-1.1163067081010001</v>
      </c>
      <c r="AH10167">
        <v>22.642418953266699</v>
      </c>
      <c r="AI10167">
        <v>92.606075206705697</v>
      </c>
      <c r="AJ10167">
        <v>67.400836246286701</v>
      </c>
      <c r="AK10167">
        <v>24.5509883910578</v>
      </c>
      <c r="AL10167">
        <v>95.938476233579195</v>
      </c>
      <c r="AM10167">
        <v>76.312598260328997</v>
      </c>
      <c r="AN10167">
        <v>1.00000006509808</v>
      </c>
    </row>
    <row r="10168" spans="1:40" x14ac:dyDescent="0.25">
      <c r="A10168" t="str">
        <f>"20190303154038304"</f>
        <v>20190303154038304</v>
      </c>
      <c r="B10168" t="str">
        <f>"1551598838298605"</f>
        <v>1551598838298605</v>
      </c>
      <c r="C10168" t="s">
        <v>40</v>
      </c>
      <c r="D10168">
        <v>4.9401219999999997</v>
      </c>
      <c r="E10168">
        <v>0.55902640000000003</v>
      </c>
      <c r="F10168" t="s">
        <v>42</v>
      </c>
      <c r="G10168">
        <v>-148.59829999999999</v>
      </c>
      <c r="H10168" s="1">
        <v>-1.5417180000000001E-6</v>
      </c>
      <c r="I10168">
        <v>135.56219999999999</v>
      </c>
      <c r="J10168">
        <v>-172.52760000000001</v>
      </c>
      <c r="K10168">
        <v>1.1162369999999999</v>
      </c>
      <c r="L10168">
        <v>136.73339999999999</v>
      </c>
      <c r="M10168">
        <v>0.94168819999999998</v>
      </c>
      <c r="N10168">
        <v>-7.5990340000000002E-3</v>
      </c>
      <c r="O10168">
        <v>0.33640130000000001</v>
      </c>
      <c r="P10168">
        <v>0.98875020000000002</v>
      </c>
      <c r="Q10168">
        <v>-0.10859099999999999</v>
      </c>
      <c r="R10168">
        <v>0.1028645</v>
      </c>
      <c r="S10168">
        <v>3.0361630000000002</v>
      </c>
      <c r="T10168">
        <v>-0.14096900000000001</v>
      </c>
      <c r="U10168">
        <v>-0.14360049999999999</v>
      </c>
      <c r="V10168">
        <v>0.2347725</v>
      </c>
      <c r="W10168">
        <v>-0.1035126</v>
      </c>
      <c r="X10168">
        <v>0.96652320000000003</v>
      </c>
      <c r="Y10168">
        <v>0.37980740000000002</v>
      </c>
      <c r="Z10168">
        <v>-2.3064109999999999E-2</v>
      </c>
      <c r="AA10168">
        <v>0.92477799999999999</v>
      </c>
      <c r="AB10168">
        <v>17</v>
      </c>
      <c r="AC10168">
        <v>23.929300000000001</v>
      </c>
      <c r="AD10168">
        <v>-1.1162385417180001</v>
      </c>
      <c r="AE10168">
        <v>-1.17119999999999</v>
      </c>
      <c r="AF10168">
        <v>9.1331898928204804</v>
      </c>
      <c r="AG10168">
        <v>-1.1162385417180001</v>
      </c>
      <c r="AH10168">
        <v>22.092624656418501</v>
      </c>
      <c r="AI10168">
        <v>92.673354207119104</v>
      </c>
      <c r="AJ10168">
        <v>67.539579749524407</v>
      </c>
      <c r="AK10168">
        <v>23.9320958194164</v>
      </c>
      <c r="AL10168">
        <v>95.941477603427899</v>
      </c>
      <c r="AM10168">
        <v>76.347037380769706</v>
      </c>
      <c r="AN10168">
        <v>1.0000000406266201</v>
      </c>
    </row>
    <row r="10169" spans="1:40" x14ac:dyDescent="0.25">
      <c r="A10169" t="str">
        <f>"20190303154038320"</f>
        <v>20190303154038320</v>
      </c>
      <c r="B10169" t="str">
        <f>"1551598838308366"</f>
        <v>1551598838308366</v>
      </c>
      <c r="C10169" t="s">
        <v>40</v>
      </c>
      <c r="D10169">
        <v>4.952585</v>
      </c>
      <c r="E10169">
        <v>0.55902640000000003</v>
      </c>
      <c r="F10169" t="s">
        <v>42</v>
      </c>
      <c r="G10169">
        <v>-148.65690000000001</v>
      </c>
      <c r="H10169" s="1">
        <v>-1.5351590000000001E-6</v>
      </c>
      <c r="I10169">
        <v>135.512</v>
      </c>
      <c r="J10169">
        <v>-172.41839999999999</v>
      </c>
      <c r="K10169">
        <v>1.1161719999999999</v>
      </c>
      <c r="L10169">
        <v>136.7654</v>
      </c>
      <c r="M10169">
        <v>0.94362520000000005</v>
      </c>
      <c r="N10169">
        <v>-7.3947789999999998E-3</v>
      </c>
      <c r="O10169">
        <v>0.33093349999999999</v>
      </c>
      <c r="P10169">
        <v>0.98930589999999996</v>
      </c>
      <c r="Q10169">
        <v>-0.10839500000000001</v>
      </c>
      <c r="R10169">
        <v>9.7593230000000003E-2</v>
      </c>
      <c r="S10169">
        <v>3.0346980000000001</v>
      </c>
      <c r="T10169">
        <v>-0.1419079</v>
      </c>
      <c r="U10169">
        <v>-0.15527340000000001</v>
      </c>
      <c r="V10169">
        <v>0.23431550000000001</v>
      </c>
      <c r="W10169">
        <v>-0.1035293</v>
      </c>
      <c r="X10169">
        <v>0.96663220000000005</v>
      </c>
      <c r="Y10169">
        <v>0.37800620000000001</v>
      </c>
      <c r="Z10169">
        <v>-2.3017309999999999E-2</v>
      </c>
      <c r="AA10169">
        <v>0.92551689999999998</v>
      </c>
      <c r="AB10169">
        <v>17</v>
      </c>
      <c r="AC10169">
        <v>23.761499999999899</v>
      </c>
      <c r="AD10169">
        <v>-1.1161735351590001</v>
      </c>
      <c r="AE10169">
        <v>-1.2533999999999901</v>
      </c>
      <c r="AF10169">
        <v>9.02660023975222</v>
      </c>
      <c r="AG10169">
        <v>-1.1161735351590001</v>
      </c>
      <c r="AH10169">
        <v>21.959437500496801</v>
      </c>
      <c r="AI10169">
        <v>92.691609650172595</v>
      </c>
      <c r="AJ10169">
        <v>67.654499744959693</v>
      </c>
      <c r="AK10169">
        <v>23.768513848937001</v>
      </c>
      <c r="AL10169">
        <v>95.942440212899598</v>
      </c>
      <c r="AM10169">
        <v>76.374101234011505</v>
      </c>
      <c r="AN10169">
        <v>0.99999993978778801</v>
      </c>
    </row>
    <row r="10170" spans="1:40" x14ac:dyDescent="0.25">
      <c r="A10170" t="str">
        <f>"20190303154038335"</f>
        <v>20190303154038335</v>
      </c>
      <c r="B10170" t="str">
        <f>"1551598838327886"</f>
        <v>1551598838327886</v>
      </c>
      <c r="C10170" t="s">
        <v>40</v>
      </c>
      <c r="D10170">
        <v>4.9664359999999999</v>
      </c>
      <c r="E10170">
        <v>0.54569290000000004</v>
      </c>
      <c r="F10170" t="s">
        <v>42</v>
      </c>
      <c r="G10170">
        <v>-148.44329999999999</v>
      </c>
      <c r="H10170" s="1">
        <v>-1.6348349999999999E-6</v>
      </c>
      <c r="I10170">
        <v>135.41050000000001</v>
      </c>
      <c r="J10170">
        <v>-172.30430000000001</v>
      </c>
      <c r="K10170">
        <v>1.116107</v>
      </c>
      <c r="L10170">
        <v>136.79820000000001</v>
      </c>
      <c r="M10170">
        <v>0.94561309999999998</v>
      </c>
      <c r="N10170">
        <v>-7.179553E-3</v>
      </c>
      <c r="O10170">
        <v>0.32521430000000001</v>
      </c>
      <c r="P10170">
        <v>0.98986819999999998</v>
      </c>
      <c r="Q10170">
        <v>-0.1073585</v>
      </c>
      <c r="R10170">
        <v>9.2926120000000001E-2</v>
      </c>
      <c r="S10170">
        <v>3.0338750000000001</v>
      </c>
      <c r="T10170">
        <v>-0.1412436</v>
      </c>
      <c r="U10170">
        <v>-0.17144779999999901</v>
      </c>
      <c r="V10170">
        <v>0.2330575</v>
      </c>
      <c r="W10170">
        <v>-0.1027076</v>
      </c>
      <c r="X10170">
        <v>0.96702399999999999</v>
      </c>
      <c r="Y10170">
        <v>0.37734509999999899</v>
      </c>
      <c r="Z10170">
        <v>-2.271304E-2</v>
      </c>
      <c r="AA10170">
        <v>0.92579409999999895</v>
      </c>
      <c r="AB10170">
        <v>17</v>
      </c>
      <c r="AC10170">
        <v>23.861000000000001</v>
      </c>
      <c r="AD10170">
        <v>-1.116108634835</v>
      </c>
      <c r="AE10170">
        <v>-1.3876999999999899</v>
      </c>
      <c r="AF10170">
        <v>9.0526595176640701</v>
      </c>
      <c r="AG10170">
        <v>-1.116108634835</v>
      </c>
      <c r="AH10170">
        <v>22.064431022178599</v>
      </c>
      <c r="AI10170">
        <v>92.679393310421204</v>
      </c>
      <c r="AJ10170">
        <v>67.692494144691196</v>
      </c>
      <c r="AK10170">
        <v>23.8754153714649</v>
      </c>
      <c r="AL10170">
        <v>95.8951073908502</v>
      </c>
      <c r="AM10170">
        <v>76.449839660690998</v>
      </c>
      <c r="AN10170">
        <v>1.0000000329900001</v>
      </c>
    </row>
    <row r="10171" spans="1:40" x14ac:dyDescent="0.25">
      <c r="A10171" t="str">
        <f>"20190303154038357"</f>
        <v>20190303154038357</v>
      </c>
      <c r="B10171" t="str">
        <f>"1551598838348381"</f>
        <v>1551598838348381</v>
      </c>
      <c r="C10171" t="s">
        <v>40</v>
      </c>
      <c r="D10171">
        <v>4.9855580000000002</v>
      </c>
      <c r="E10171">
        <v>0.5445641</v>
      </c>
      <c r="F10171" t="s">
        <v>42</v>
      </c>
      <c r="G10171">
        <v>-152.40119999999999</v>
      </c>
      <c r="H10171" s="1">
        <v>-3.8361509999999999E-6</v>
      </c>
      <c r="I10171">
        <v>136.26750000000001</v>
      </c>
      <c r="J10171">
        <v>-172.14089999999999</v>
      </c>
      <c r="K10171">
        <v>1.1160060000000001</v>
      </c>
      <c r="L10171">
        <v>136.84389999999999</v>
      </c>
      <c r="M10171">
        <v>0.9483914</v>
      </c>
      <c r="N10171">
        <v>-6.8678940000000003E-3</v>
      </c>
      <c r="O10171">
        <v>0.31702780000000003</v>
      </c>
      <c r="P10171">
        <v>0.99058780000000002</v>
      </c>
      <c r="Q10171">
        <v>-0.106410199999999</v>
      </c>
      <c r="R10171">
        <v>8.609791E-2</v>
      </c>
      <c r="S10171">
        <v>3.0198969999999998</v>
      </c>
      <c r="T10171">
        <v>-0.16934779999999999</v>
      </c>
      <c r="U10171">
        <v>-8.0520629999999996E-2</v>
      </c>
      <c r="V10171">
        <v>0.2313915</v>
      </c>
      <c r="W10171">
        <v>-0.10207330000000001</v>
      </c>
      <c r="X10171">
        <v>0.96749110000000005</v>
      </c>
      <c r="Y10171">
        <v>0.34122960000000002</v>
      </c>
      <c r="Z10171">
        <v>-2.6073900000000001E-2</v>
      </c>
      <c r="AA10171">
        <v>0.93961830000000002</v>
      </c>
      <c r="AB10171">
        <v>17</v>
      </c>
      <c r="AC10171">
        <v>19.739699999999999</v>
      </c>
      <c r="AD10171">
        <v>-1.116009836151</v>
      </c>
      <c r="AE10171">
        <v>-0.57639999999997804</v>
      </c>
      <c r="AF10171">
        <v>6.7831838227980503</v>
      </c>
      <c r="AG10171">
        <v>-1.116009836151</v>
      </c>
      <c r="AH10171">
        <v>18.479646548311699</v>
      </c>
      <c r="AI10171">
        <v>93.244779329564906</v>
      </c>
      <c r="AJ10171">
        <v>69.843711266206498</v>
      </c>
      <c r="AK10171">
        <v>19.7168556640957</v>
      </c>
      <c r="AL10171">
        <v>95.858572816909401</v>
      </c>
      <c r="AM10171">
        <v>76.549428119632907</v>
      </c>
      <c r="AN10171">
        <v>1.0000000067121699</v>
      </c>
    </row>
    <row r="10172" spans="1:40" x14ac:dyDescent="0.25">
      <c r="A10172" t="str">
        <f>"20190303154038373"</f>
        <v>20190303154038373</v>
      </c>
      <c r="B10172" t="str">
        <f>"1551598838367900"</f>
        <v>1551598838367900</v>
      </c>
      <c r="C10172" t="s">
        <v>40</v>
      </c>
      <c r="D10172">
        <v>4.9538919999999997</v>
      </c>
      <c r="E10172">
        <v>0.543597</v>
      </c>
      <c r="F10172" t="s">
        <v>42</v>
      </c>
      <c r="G10172">
        <v>-152.58879999999999</v>
      </c>
      <c r="H10172" s="1">
        <v>-3.75971E-6</v>
      </c>
      <c r="I10172">
        <v>136.2449</v>
      </c>
      <c r="J10172">
        <v>-172.01650000000001</v>
      </c>
      <c r="K10172">
        <v>1.1159289999999999</v>
      </c>
      <c r="L10172">
        <v>136.8777</v>
      </c>
      <c r="M10172">
        <v>0.95045420000000003</v>
      </c>
      <c r="N10172">
        <v>-6.6315389999999997E-3</v>
      </c>
      <c r="O10172">
        <v>0.31079400000000001</v>
      </c>
      <c r="P10172">
        <v>0.99112520000000004</v>
      </c>
      <c r="Q10172">
        <v>-0.1056019</v>
      </c>
      <c r="R10172">
        <v>8.0741359999999998E-2</v>
      </c>
      <c r="S10172">
        <v>3.0180359999999999</v>
      </c>
      <c r="T10172">
        <v>-0.17226529999999901</v>
      </c>
      <c r="U10172">
        <v>-9.2452999999999994E-2</v>
      </c>
      <c r="V10172">
        <v>0.2302911</v>
      </c>
      <c r="W10172">
        <v>-0.1015059</v>
      </c>
      <c r="X10172">
        <v>0.96781329999999999</v>
      </c>
      <c r="Y10172">
        <v>0.33876000000000001</v>
      </c>
      <c r="Z10172">
        <v>-2.6216650000000001E-2</v>
      </c>
      <c r="AA10172">
        <v>0.94050750000000005</v>
      </c>
      <c r="AB10172">
        <v>17</v>
      </c>
      <c r="AC10172">
        <v>19.427700000000002</v>
      </c>
      <c r="AD10172">
        <v>-1.1159327597099999</v>
      </c>
      <c r="AE10172">
        <v>-0.63280000000000303</v>
      </c>
      <c r="AF10172">
        <v>6.6177942388395303</v>
      </c>
      <c r="AG10172">
        <v>-1.1159327597099999</v>
      </c>
      <c r="AH10172">
        <v>18.208855262785399</v>
      </c>
      <c r="AI10172">
        <v>93.2965408084129</v>
      </c>
      <c r="AJ10172">
        <v>70.026920219593293</v>
      </c>
      <c r="AK10172">
        <v>19.4062597244518</v>
      </c>
      <c r="AL10172">
        <v>95.825893427667197</v>
      </c>
      <c r="AM10172">
        <v>76.615381787118196</v>
      </c>
      <c r="AN10172">
        <v>1.0000000110654499</v>
      </c>
    </row>
    <row r="10173" spans="1:40" x14ac:dyDescent="0.25">
      <c r="A10173" t="str">
        <f>"20190303154038390"</f>
        <v>20190303154038390</v>
      </c>
      <c r="B10173" t="str">
        <f>"1551598838377661"</f>
        <v>1551598838377661</v>
      </c>
      <c r="C10173" t="s">
        <v>40</v>
      </c>
      <c r="D10173">
        <v>4.95242</v>
      </c>
      <c r="E10173">
        <v>0.54322819999999905</v>
      </c>
      <c r="F10173" t="s">
        <v>42</v>
      </c>
      <c r="G10173">
        <v>-152.6327</v>
      </c>
      <c r="H10173" s="1">
        <v>-3.7438390000000001E-6</v>
      </c>
      <c r="I10173">
        <v>136.22799999999901</v>
      </c>
      <c r="J10173">
        <v>-171.88800000000001</v>
      </c>
      <c r="K10173">
        <v>1.1158600000000001</v>
      </c>
      <c r="L10173">
        <v>136.9118</v>
      </c>
      <c r="M10173">
        <v>0.9525342</v>
      </c>
      <c r="N10173">
        <v>-6.3938149999999997E-3</v>
      </c>
      <c r="O10173">
        <v>0.30436469999999999</v>
      </c>
      <c r="P10173">
        <v>0.99157090000000003</v>
      </c>
      <c r="Q10173">
        <v>-0.10496659999999999</v>
      </c>
      <c r="R10173">
        <v>7.595623E-2</v>
      </c>
      <c r="S10173">
        <v>3.0166019999999998</v>
      </c>
      <c r="T10173">
        <v>-0.173667299999999</v>
      </c>
      <c r="U10173">
        <v>-0.10110470000000001</v>
      </c>
      <c r="V10173">
        <v>0.22843659999999999</v>
      </c>
      <c r="W10173">
        <v>-0.1011056</v>
      </c>
      <c r="X10173">
        <v>0.96829460000000001</v>
      </c>
      <c r="Y10173">
        <v>0.3351054</v>
      </c>
      <c r="Z10173">
        <v>-2.60553E-2</v>
      </c>
      <c r="AA10173">
        <v>0.94182030000000005</v>
      </c>
      <c r="AB10173">
        <v>17</v>
      </c>
      <c r="AC10173">
        <v>19.255299999999998</v>
      </c>
      <c r="AD10173">
        <v>-1.115863743839</v>
      </c>
      <c r="AE10173">
        <v>-0.68380000000001895</v>
      </c>
      <c r="AF10173">
        <v>6.4903399365782199</v>
      </c>
      <c r="AG10173">
        <v>-1.115863743839</v>
      </c>
      <c r="AH10173">
        <v>18.072958183325799</v>
      </c>
      <c r="AI10173">
        <v>93.325645508652897</v>
      </c>
      <c r="AJ10173">
        <v>70.245830106305405</v>
      </c>
      <c r="AK10173">
        <v>19.235422581357501</v>
      </c>
      <c r="AL10173">
        <v>95.802839226080593</v>
      </c>
      <c r="AM10173">
        <v>76.725699668819402</v>
      </c>
      <c r="AN10173">
        <v>1.00000002748003</v>
      </c>
    </row>
    <row r="10174" spans="1:40" x14ac:dyDescent="0.25">
      <c r="A10174" t="str">
        <f>"20190303154038405"</f>
        <v>20190303154038405</v>
      </c>
      <c r="B10174" t="str">
        <f>"1551598838398158"</f>
        <v>1551598838398158</v>
      </c>
      <c r="C10174" t="s">
        <v>40</v>
      </c>
      <c r="D10174">
        <v>4.9284780000000001</v>
      </c>
      <c r="E10174">
        <v>0.54274149999999999</v>
      </c>
      <c r="F10174" t="s">
        <v>42</v>
      </c>
      <c r="G10174">
        <v>-152.50319999999999</v>
      </c>
      <c r="H10174" s="1">
        <v>-3.8066239999999999E-6</v>
      </c>
      <c r="I10174">
        <v>136.1874</v>
      </c>
      <c r="J10174">
        <v>-171.7654</v>
      </c>
      <c r="K10174">
        <v>1.1157870000000001</v>
      </c>
      <c r="L10174">
        <v>136.9434</v>
      </c>
      <c r="M10174">
        <v>0.95447139999999997</v>
      </c>
      <c r="N10174">
        <v>-6.1796119999999897E-3</v>
      </c>
      <c r="O10174">
        <v>0.29823820000000001</v>
      </c>
      <c r="P10174">
        <v>0.99203819999999998</v>
      </c>
      <c r="Q10174">
        <v>-0.1042849</v>
      </c>
      <c r="R10174">
        <v>7.0604139999999996E-2</v>
      </c>
      <c r="S10174">
        <v>3.0157620000000001</v>
      </c>
      <c r="T10174">
        <v>-0.17359849999999999</v>
      </c>
      <c r="U10174">
        <v>-0.11270139999999999</v>
      </c>
      <c r="V10174">
        <v>0.2274554</v>
      </c>
      <c r="W10174">
        <v>-0.1006455</v>
      </c>
      <c r="X10174">
        <v>0.96857349999999998</v>
      </c>
      <c r="Y10174">
        <v>0.33268900000000001</v>
      </c>
      <c r="Z10174">
        <v>-2.5705160000000001E-2</v>
      </c>
      <c r="AA10174">
        <v>0.94268620000000003</v>
      </c>
      <c r="AB10174">
        <v>17</v>
      </c>
      <c r="AC10174">
        <v>19.2622</v>
      </c>
      <c r="AD10174">
        <v>-1.1157908066240001</v>
      </c>
      <c r="AE10174">
        <v>-0.75600000000000001</v>
      </c>
      <c r="AF10174">
        <v>6.4448359268512299</v>
      </c>
      <c r="AG10174">
        <v>-1.1157908066240001</v>
      </c>
      <c r="AH10174">
        <v>18.099460050248801</v>
      </c>
      <c r="AI10174">
        <v>93.323765136377204</v>
      </c>
      <c r="AJ10174">
        <v>70.400258163907907</v>
      </c>
      <c r="AK10174">
        <v>19.2450345117574</v>
      </c>
      <c r="AL10174">
        <v>95.776342146709894</v>
      </c>
      <c r="AM10174">
        <v>76.784383390511294</v>
      </c>
      <c r="AN10174">
        <v>1.00000005028082</v>
      </c>
    </row>
    <row r="10175" spans="1:40" x14ac:dyDescent="0.25">
      <c r="A10175" t="str">
        <f>"20190303154038419"</f>
        <v>20190303154038419</v>
      </c>
      <c r="B10175" t="str">
        <f>"1551598838407917"</f>
        <v>1551598838407917</v>
      </c>
      <c r="C10175" t="s">
        <v>40</v>
      </c>
      <c r="D10175">
        <v>4.9541849999999998</v>
      </c>
      <c r="E10175">
        <v>0.53820019999999902</v>
      </c>
      <c r="F10175" t="s">
        <v>42</v>
      </c>
      <c r="G10175">
        <v>-152.48070000000001</v>
      </c>
      <c r="H10175" s="1">
        <v>-3.8241950000000002E-6</v>
      </c>
      <c r="I10175">
        <v>136.14269999999999</v>
      </c>
      <c r="J10175">
        <v>-171.66</v>
      </c>
      <c r="K10175">
        <v>1.115734</v>
      </c>
      <c r="L10175">
        <v>136.96979999999999</v>
      </c>
      <c r="M10175">
        <v>0.95609920000000004</v>
      </c>
      <c r="N10175">
        <v>-6.0059750000000002E-3</v>
      </c>
      <c r="O10175">
        <v>0.2929814</v>
      </c>
      <c r="P10175">
        <v>0.99238990000000005</v>
      </c>
      <c r="Q10175">
        <v>-0.103908399999999</v>
      </c>
      <c r="R10175">
        <v>6.6068409999999994E-2</v>
      </c>
      <c r="S10175">
        <v>3.0146639999999998</v>
      </c>
      <c r="T10175">
        <v>-0.1744252</v>
      </c>
      <c r="U10175">
        <v>-0.1251526</v>
      </c>
      <c r="V10175">
        <v>0.22655739999999999</v>
      </c>
      <c r="W10175">
        <v>-0.10044930000000001</v>
      </c>
      <c r="X10175">
        <v>0.9688042</v>
      </c>
      <c r="Y10175">
        <v>0.33139859999999999</v>
      </c>
      <c r="Z10175">
        <v>-2.556282E-2</v>
      </c>
      <c r="AA10175">
        <v>0.94314450000000005</v>
      </c>
      <c r="AB10175">
        <v>17</v>
      </c>
      <c r="AC10175">
        <v>19.179299999999898</v>
      </c>
      <c r="AD10175">
        <v>-1.115737824195</v>
      </c>
      <c r="AE10175">
        <v>-0.82710000000000095</v>
      </c>
      <c r="AF10175">
        <v>6.3885039171730398</v>
      </c>
      <c r="AG10175">
        <v>-1.115737824195</v>
      </c>
      <c r="AH10175">
        <v>18.034397065953701</v>
      </c>
      <c r="AI10175">
        <v>93.337501977434002</v>
      </c>
      <c r="AJ10175">
        <v>70.493820722883797</v>
      </c>
      <c r="AK10175">
        <v>19.165002758271498</v>
      </c>
      <c r="AL10175">
        <v>95.765044050269793</v>
      </c>
      <c r="AM10175">
        <v>76.837764270189197</v>
      </c>
      <c r="AN10175">
        <v>0.99999994765144296</v>
      </c>
    </row>
    <row r="10176" spans="1:40" x14ac:dyDescent="0.25">
      <c r="A10176" t="str">
        <f>"20190303154038432"</f>
        <v>20190303154038432</v>
      </c>
      <c r="B10176" t="str">
        <f>"1551598838428413"</f>
        <v>1551598838428413</v>
      </c>
      <c r="C10176" t="s">
        <v>40</v>
      </c>
      <c r="D10176">
        <v>4.9398299999999997</v>
      </c>
      <c r="E10176">
        <v>0.53748149999999995</v>
      </c>
      <c r="F10176" t="s">
        <v>42</v>
      </c>
      <c r="G10176">
        <v>-154.48589999999999</v>
      </c>
      <c r="H10176" s="1">
        <v>-2.9218289999999999E-6</v>
      </c>
      <c r="I10176">
        <v>136.3802</v>
      </c>
      <c r="J10176">
        <v>-171.55869999999999</v>
      </c>
      <c r="K10176">
        <v>1.1156809999999999</v>
      </c>
      <c r="L10176">
        <v>136.9948</v>
      </c>
      <c r="M10176">
        <v>0.95763209999999999</v>
      </c>
      <c r="N10176">
        <v>-5.8459879999999999E-3</v>
      </c>
      <c r="O10176">
        <v>0.287935</v>
      </c>
      <c r="P10176">
        <v>0.99269750000000001</v>
      </c>
      <c r="Q10176">
        <v>-0.1036696</v>
      </c>
      <c r="R10176">
        <v>6.1680999999999903E-2</v>
      </c>
      <c r="S10176">
        <v>3.0094150000000002</v>
      </c>
      <c r="T10176">
        <v>-0.1955112</v>
      </c>
      <c r="U10176">
        <v>-0.1033173</v>
      </c>
      <c r="V10176">
        <v>0.22572900000000001</v>
      </c>
      <c r="W10176">
        <v>-0.10037740000000001</v>
      </c>
      <c r="X10176">
        <v>0.96900500000000001</v>
      </c>
      <c r="Y10176">
        <v>0.31940439999999998</v>
      </c>
      <c r="Z10176">
        <v>-2.8100779999999999E-2</v>
      </c>
      <c r="AA10176">
        <v>0.94720170000000004</v>
      </c>
      <c r="AB10176">
        <v>17</v>
      </c>
      <c r="AC10176">
        <v>17.072800000000001</v>
      </c>
      <c r="AD10176">
        <v>-1.115683921829</v>
      </c>
      <c r="AE10176">
        <v>-0.61459999999999504</v>
      </c>
      <c r="AF10176">
        <v>5.4811349003355296</v>
      </c>
      <c r="AG10176">
        <v>-1.115683921829</v>
      </c>
      <c r="AH10176">
        <v>16.104090417023802</v>
      </c>
      <c r="AI10176">
        <v>93.752360825377195</v>
      </c>
      <c r="AJ10176">
        <v>71.203649660459106</v>
      </c>
      <c r="AK10176">
        <v>17.0478537818924</v>
      </c>
      <c r="AL10176">
        <v>95.760903560714794</v>
      </c>
      <c r="AM10176">
        <v>76.886848886737596</v>
      </c>
      <c r="AN10176">
        <v>0.99999994694837802</v>
      </c>
    </row>
    <row r="10177" spans="1:40" x14ac:dyDescent="0.25">
      <c r="A10177" t="str">
        <f>"20190303154038445"</f>
        <v>20190303154038445</v>
      </c>
      <c r="B10177" t="str">
        <f>"1551598838438174"</f>
        <v>1551598838438174</v>
      </c>
      <c r="C10177" t="s">
        <v>40</v>
      </c>
      <c r="D10177">
        <v>4.9602680000000001</v>
      </c>
      <c r="E10177">
        <v>0.53733549999999997</v>
      </c>
      <c r="F10177" t="s">
        <v>42</v>
      </c>
      <c r="G10177">
        <v>-155.00980000000001</v>
      </c>
      <c r="H10177" s="1">
        <v>-2.6965220000000001E-6</v>
      </c>
      <c r="I10177">
        <v>136.3835</v>
      </c>
      <c r="J10177">
        <v>-171.4502</v>
      </c>
      <c r="K10177">
        <v>1.1156330000000001</v>
      </c>
      <c r="L10177">
        <v>137.02090000000001</v>
      </c>
      <c r="M10177">
        <v>0.95923950000000002</v>
      </c>
      <c r="N10177">
        <v>-5.6872819999999897E-3</v>
      </c>
      <c r="O10177">
        <v>0.28253719999999999</v>
      </c>
      <c r="P10177">
        <v>0.99303569999999997</v>
      </c>
      <c r="Q10177">
        <v>-0.1025214</v>
      </c>
      <c r="R10177">
        <v>5.8048549999999997E-2</v>
      </c>
      <c r="S10177">
        <v>3.0077820000000002</v>
      </c>
      <c r="T10177">
        <v>-0.20277580000000001</v>
      </c>
      <c r="U10177">
        <v>-0.1110992</v>
      </c>
      <c r="V10177">
        <v>0.2238513</v>
      </c>
      <c r="W10177">
        <v>-9.9383529999999998E-2</v>
      </c>
      <c r="X10177">
        <v>0.96954289999999999</v>
      </c>
      <c r="Y10177">
        <v>0.3164534</v>
      </c>
      <c r="Z10177">
        <v>-2.8780099999999999E-2</v>
      </c>
      <c r="AA10177">
        <v>0.9481714</v>
      </c>
      <c r="AB10177">
        <v>18</v>
      </c>
      <c r="AC10177">
        <v>16.440399999999901</v>
      </c>
      <c r="AD10177">
        <v>-1.115635696522</v>
      </c>
      <c r="AE10177">
        <v>-0.63740000000001296</v>
      </c>
      <c r="AF10177">
        <v>5.2324699378414596</v>
      </c>
      <c r="AG10177">
        <v>-1.115635696522</v>
      </c>
      <c r="AH10177">
        <v>15.5190871883238</v>
      </c>
      <c r="AI10177">
        <v>93.896981869845803</v>
      </c>
      <c r="AJ10177">
        <v>71.367770883426005</v>
      </c>
      <c r="AK10177">
        <v>16.415402883163299</v>
      </c>
      <c r="AL10177">
        <v>95.703672722867793</v>
      </c>
      <c r="AM10177">
        <v>76.999176127592094</v>
      </c>
      <c r="AN10177">
        <v>0.99999996274367897</v>
      </c>
    </row>
    <row r="10178" spans="1:40" x14ac:dyDescent="0.25">
      <c r="A10178" t="str">
        <f>"20190303154038463"</f>
        <v>20190303154038463</v>
      </c>
      <c r="B10178" t="str">
        <f>"1551598838457693"</f>
        <v>1551598838457693</v>
      </c>
      <c r="C10178" t="s">
        <v>40</v>
      </c>
      <c r="D10178">
        <v>4.9141899999999996</v>
      </c>
      <c r="E10178">
        <v>0.53637579999999996</v>
      </c>
      <c r="F10178" t="s">
        <v>42</v>
      </c>
      <c r="G10178">
        <v>-154.56059999999999</v>
      </c>
      <c r="H10178" s="1">
        <v>-2.8967440000000001E-6</v>
      </c>
      <c r="I10178">
        <v>136.34119999999999</v>
      </c>
      <c r="J10178">
        <v>-171.3107</v>
      </c>
      <c r="K10178">
        <v>1.115564</v>
      </c>
      <c r="L10178">
        <v>137.05340000000001</v>
      </c>
      <c r="M10178">
        <v>0.96125400000000005</v>
      </c>
      <c r="N10178">
        <v>-5.5008749999999997E-3</v>
      </c>
      <c r="O10178">
        <v>0.27560970000000001</v>
      </c>
      <c r="P10178">
        <v>0.99341769999999996</v>
      </c>
      <c r="Q10178">
        <v>-0.10204199999999999</v>
      </c>
      <c r="R10178">
        <v>5.2047419999999997E-2</v>
      </c>
      <c r="S10178">
        <v>3.0076290000000001</v>
      </c>
      <c r="T10178">
        <v>-0.1986668</v>
      </c>
      <c r="U10178">
        <v>-0.12103269999999999</v>
      </c>
      <c r="V10178">
        <v>0.22271879999999999</v>
      </c>
      <c r="W10178">
        <v>-9.9101019999999998E-2</v>
      </c>
      <c r="X10178">
        <v>0.96983260000000004</v>
      </c>
      <c r="Y10178">
        <v>0.31281100000000001</v>
      </c>
      <c r="Z10178">
        <v>-2.7674319999999999E-2</v>
      </c>
      <c r="AA10178">
        <v>0.94941220000000004</v>
      </c>
      <c r="AB10178">
        <v>18</v>
      </c>
      <c r="AC10178">
        <v>16.7501</v>
      </c>
      <c r="AD10178">
        <v>-1.115566896744</v>
      </c>
      <c r="AE10178">
        <v>-0.71220000000002404</v>
      </c>
      <c r="AF10178">
        <v>5.2778065506120697</v>
      </c>
      <c r="AG10178">
        <v>-1.115566896744</v>
      </c>
      <c r="AH10178">
        <v>15.8349389406486</v>
      </c>
      <c r="AI10178">
        <v>93.823682936978699</v>
      </c>
      <c r="AJ10178">
        <v>71.566700372044494</v>
      </c>
      <c r="AK10178">
        <v>16.728569058376198</v>
      </c>
      <c r="AL10178">
        <v>95.687405722141605</v>
      </c>
      <c r="AM10178">
        <v>77.066465686840104</v>
      </c>
      <c r="AN10178">
        <v>0.99999997403061902</v>
      </c>
    </row>
    <row r="10179" spans="1:40" x14ac:dyDescent="0.25">
      <c r="A10179" t="str">
        <f>"20190303154038477"</f>
        <v>20190303154038477</v>
      </c>
      <c r="B10179" t="str">
        <f>"1551598838468431"</f>
        <v>1551598838468431</v>
      </c>
      <c r="C10179" t="s">
        <v>40</v>
      </c>
      <c r="D10179">
        <v>4.921303</v>
      </c>
      <c r="E10179">
        <v>0.53603540000000005</v>
      </c>
      <c r="F10179" t="s">
        <v>42</v>
      </c>
      <c r="G10179">
        <v>-154.56450000000001</v>
      </c>
      <c r="H10179" s="1">
        <v>-2.8987989999999999E-6</v>
      </c>
      <c r="I10179">
        <v>136.32</v>
      </c>
      <c r="J10179">
        <v>-171.1942</v>
      </c>
      <c r="K10179">
        <v>1.11551</v>
      </c>
      <c r="L10179">
        <v>137.07980000000001</v>
      </c>
      <c r="M10179">
        <v>0.96289250000000004</v>
      </c>
      <c r="N10179">
        <v>-5.3595709999999996E-3</v>
      </c>
      <c r="O10179">
        <v>0.26983249999999998</v>
      </c>
      <c r="P10179">
        <v>0.99374150000000006</v>
      </c>
      <c r="Q10179">
        <v>-0.1012057</v>
      </c>
      <c r="R10179">
        <v>4.7280669999999997E-2</v>
      </c>
      <c r="S10179">
        <v>3.0062099999999998</v>
      </c>
      <c r="T10179">
        <v>-0.20026179999999999</v>
      </c>
      <c r="U10179">
        <v>-0.13165279999999999</v>
      </c>
      <c r="V10179">
        <v>0.22156819999999999</v>
      </c>
      <c r="W10179">
        <v>-9.8411970000000001E-2</v>
      </c>
      <c r="X10179">
        <v>0.97016630000000004</v>
      </c>
      <c r="Y10179">
        <v>0.31046829999999997</v>
      </c>
      <c r="Z10179">
        <v>-2.7506010000000001E-2</v>
      </c>
      <c r="AA10179">
        <v>0.95018570000000002</v>
      </c>
      <c r="AB10179">
        <v>18</v>
      </c>
      <c r="AC10179">
        <v>16.6296999999999</v>
      </c>
      <c r="AD10179">
        <v>-1.115512898799</v>
      </c>
      <c r="AE10179">
        <v>-0.75980000000001202</v>
      </c>
      <c r="AF10179">
        <v>5.1955838050919603</v>
      </c>
      <c r="AG10179">
        <v>-1.115512898799</v>
      </c>
      <c r="AH10179">
        <v>15.73715514145</v>
      </c>
      <c r="AI10179">
        <v>93.850801476188295</v>
      </c>
      <c r="AJ10179">
        <v>71.729484687465799</v>
      </c>
      <c r="AK10179">
        <v>16.610132812509001</v>
      </c>
      <c r="AL10179">
        <v>95.647731884248799</v>
      </c>
      <c r="AM10179">
        <v>77.135331396019396</v>
      </c>
      <c r="AN10179">
        <v>1.0000000163731</v>
      </c>
    </row>
    <row r="10180" spans="1:40" x14ac:dyDescent="0.25">
      <c r="A10180" t="str">
        <f>"20190303154038490"</f>
        <v>20190303154038490</v>
      </c>
      <c r="B10180" t="str">
        <f>"1551598838487950"</f>
        <v>1551598838487950</v>
      </c>
      <c r="C10180" t="s">
        <v>40</v>
      </c>
      <c r="D10180">
        <v>4.8794659999999999</v>
      </c>
      <c r="E10180">
        <v>0.53516699999999995</v>
      </c>
      <c r="F10180" t="s">
        <v>42</v>
      </c>
      <c r="G10180">
        <v>-154.37260000000001</v>
      </c>
      <c r="H10180" s="1">
        <v>-2.9886699999999999E-6</v>
      </c>
      <c r="I10180">
        <v>136.2775</v>
      </c>
      <c r="J10180">
        <v>-171.09129999999999</v>
      </c>
      <c r="K10180">
        <v>1.1154710000000001</v>
      </c>
      <c r="L10180">
        <v>137.1026</v>
      </c>
      <c r="M10180">
        <v>0.96430870000000002</v>
      </c>
      <c r="N10180">
        <v>-5.2427109999999997E-3</v>
      </c>
      <c r="O10180">
        <v>0.26472869999999998</v>
      </c>
      <c r="P10180">
        <v>0.99397579999999996</v>
      </c>
      <c r="Q10180">
        <v>-0.1002154</v>
      </c>
      <c r="R10180">
        <v>4.4374360000000002E-2</v>
      </c>
      <c r="S10180">
        <v>3.0054319999999999</v>
      </c>
      <c r="T10180">
        <v>-0.1993026</v>
      </c>
      <c r="U10180">
        <v>-0.1433411</v>
      </c>
      <c r="V10180">
        <v>0.2192943</v>
      </c>
      <c r="W10180">
        <v>-9.7528050000000005E-2</v>
      </c>
      <c r="X10180">
        <v>0.97077199999999997</v>
      </c>
      <c r="Y10180">
        <v>0.30915619999999999</v>
      </c>
      <c r="Z10180">
        <v>-2.704378E-2</v>
      </c>
      <c r="AA10180">
        <v>0.95062670000000005</v>
      </c>
      <c r="AB10180">
        <v>18</v>
      </c>
      <c r="AC10180">
        <v>16.718699999999899</v>
      </c>
      <c r="AD10180">
        <v>-1.11547398866999</v>
      </c>
      <c r="AE10180">
        <v>-0.82509999999999195</v>
      </c>
      <c r="AF10180">
        <v>5.19855693465977</v>
      </c>
      <c r="AG10180">
        <v>-1.11547398866999</v>
      </c>
      <c r="AH10180">
        <v>15.833465828089199</v>
      </c>
      <c r="AI10180">
        <v>93.829378790126597</v>
      </c>
      <c r="AJ10180">
        <v>71.823586834019295</v>
      </c>
      <c r="AK10180">
        <v>16.7023326679709</v>
      </c>
      <c r="AL10180">
        <v>95.596842316045894</v>
      </c>
      <c r="AM10180">
        <v>77.270718314648406</v>
      </c>
      <c r="AN10180">
        <v>0.99999999326664601</v>
      </c>
    </row>
    <row r="10181" spans="1:40" x14ac:dyDescent="0.25">
      <c r="A10181" t="str">
        <f>"20190303154038507"</f>
        <v>20190303154038507</v>
      </c>
      <c r="B10181" t="str">
        <f>"1551598838497710"</f>
        <v>1551598838497710</v>
      </c>
      <c r="C10181" t="s">
        <v>40</v>
      </c>
      <c r="D10181">
        <v>4.8718879999999896</v>
      </c>
      <c r="E10181">
        <v>0.53475899999999998</v>
      </c>
      <c r="F10181" t="s">
        <v>42</v>
      </c>
      <c r="G10181">
        <v>-154.1764</v>
      </c>
      <c r="H10181" s="1">
        <v>-3.0714750000000001E-6</v>
      </c>
      <c r="I10181">
        <v>136.2852</v>
      </c>
      <c r="J10181">
        <v>-170.9487</v>
      </c>
      <c r="K10181">
        <v>1.1154090000000001</v>
      </c>
      <c r="L10181">
        <v>137.13319999999999</v>
      </c>
      <c r="M10181">
        <v>0.96621760000000001</v>
      </c>
      <c r="N10181">
        <v>-5.1000859999999898E-3</v>
      </c>
      <c r="O10181">
        <v>0.2576775</v>
      </c>
      <c r="P10181">
        <v>0.99426999999999999</v>
      </c>
      <c r="Q10181">
        <v>-9.9772189999999997E-2</v>
      </c>
      <c r="R10181">
        <v>3.8378500000000003E-2</v>
      </c>
      <c r="S10181">
        <v>3.0046689999999998</v>
      </c>
      <c r="T10181">
        <v>-0.19814680000000001</v>
      </c>
      <c r="U10181">
        <v>-0.14520259999999999</v>
      </c>
      <c r="V10181">
        <v>0.21806110000000001</v>
      </c>
      <c r="W10181">
        <v>-9.7235279999999993E-2</v>
      </c>
      <c r="X10181">
        <v>0.97107909999999997</v>
      </c>
      <c r="Y10181">
        <v>0.3028438</v>
      </c>
      <c r="Z10181">
        <v>-2.6266520000000002E-2</v>
      </c>
      <c r="AA10181">
        <v>0.95267820000000003</v>
      </c>
      <c r="AB10181">
        <v>18</v>
      </c>
      <c r="AC10181">
        <v>16.772300000000001</v>
      </c>
      <c r="AD10181">
        <v>-1.115412071475</v>
      </c>
      <c r="AE10181">
        <v>-0.84799999999998399</v>
      </c>
      <c r="AF10181">
        <v>5.1186827536582999</v>
      </c>
      <c r="AG10181">
        <v>-1.115412071475</v>
      </c>
      <c r="AH10181">
        <v>15.9171705690606</v>
      </c>
      <c r="AI10181">
        <v>93.816625812486606</v>
      </c>
      <c r="AJ10181">
        <v>72.173120304278797</v>
      </c>
      <c r="AK10181">
        <v>16.757129114092301</v>
      </c>
      <c r="AL10181">
        <v>95.579987792641504</v>
      </c>
      <c r="AM10181">
        <v>77.343862566818402</v>
      </c>
      <c r="AN10181">
        <v>0.99999998073334895</v>
      </c>
    </row>
    <row r="10182" spans="1:40" x14ac:dyDescent="0.25">
      <c r="A10182" t="str">
        <f>"20190303154038525"</f>
        <v>20190303154038525</v>
      </c>
      <c r="B10182" t="str">
        <f>"1551598838518206"</f>
        <v>1551598838518206</v>
      </c>
      <c r="C10182" t="s">
        <v>40</v>
      </c>
      <c r="D10182">
        <v>4.8815359999999997</v>
      </c>
      <c r="E10182">
        <v>0.53440580000000004</v>
      </c>
      <c r="F10182" t="s">
        <v>42</v>
      </c>
      <c r="G10182">
        <v>-153.92920000000001</v>
      </c>
      <c r="H10182" s="1">
        <v>-3.187985E-6</v>
      </c>
      <c r="I10182">
        <v>136.22620000000001</v>
      </c>
      <c r="J10182">
        <v>-170.81559999999999</v>
      </c>
      <c r="K10182">
        <v>1.1153550000000001</v>
      </c>
      <c r="L10182">
        <v>137.16069999999999</v>
      </c>
      <c r="M10182">
        <v>0.96794559999999996</v>
      </c>
      <c r="N10182">
        <v>-4.9833969999999997E-3</v>
      </c>
      <c r="O10182">
        <v>0.25111080000000002</v>
      </c>
      <c r="P10182">
        <v>0.99439010000000005</v>
      </c>
      <c r="Q10182">
        <v>-0.10004300000000001</v>
      </c>
      <c r="R10182">
        <v>3.4348440000000001E-2</v>
      </c>
      <c r="S10182">
        <v>3.003708</v>
      </c>
      <c r="T10182">
        <v>-0.1968549</v>
      </c>
      <c r="U10182">
        <v>-0.16008</v>
      </c>
      <c r="V10182">
        <v>0.21538260000000001</v>
      </c>
      <c r="W10182">
        <v>-9.7609180000000004E-2</v>
      </c>
      <c r="X10182">
        <v>0.97163920000000004</v>
      </c>
      <c r="Y10182">
        <v>0.30112499999999998</v>
      </c>
      <c r="Z10182">
        <v>-2.5665779999999999E-2</v>
      </c>
      <c r="AA10182">
        <v>0.95323919999999995</v>
      </c>
      <c r="AB10182">
        <v>18</v>
      </c>
      <c r="AC10182">
        <v>16.886399999999899</v>
      </c>
      <c r="AD10182">
        <v>-1.1153581879850001</v>
      </c>
      <c r="AE10182">
        <v>-0.93449999999998501</v>
      </c>
      <c r="AF10182">
        <v>5.1226856042614299</v>
      </c>
      <c r="AG10182">
        <v>-1.1153581879850001</v>
      </c>
      <c r="AH10182">
        <v>16.040884582186301</v>
      </c>
      <c r="AI10182">
        <v>93.789542667943806</v>
      </c>
      <c r="AJ10182">
        <v>72.2890232715786</v>
      </c>
      <c r="AK10182">
        <v>16.8758973055252</v>
      </c>
      <c r="AL10182">
        <v>95.601513106242905</v>
      </c>
      <c r="AM10182">
        <v>77.501384054224104</v>
      </c>
      <c r="AN10182">
        <v>0.99999997568983601</v>
      </c>
    </row>
    <row r="10183" spans="1:40" x14ac:dyDescent="0.25">
      <c r="A10183" t="str">
        <f>"20190303154038547"</f>
        <v>20190303154038547</v>
      </c>
      <c r="B10183" t="str">
        <f>"1551598838537726"</f>
        <v>1551598838537726</v>
      </c>
      <c r="C10183" t="s">
        <v>40</v>
      </c>
      <c r="D10183">
        <v>4.8655150000000003</v>
      </c>
      <c r="E10183">
        <v>0.52942800000000001</v>
      </c>
      <c r="F10183" t="s">
        <v>42</v>
      </c>
      <c r="G10183">
        <v>-153.82210000000001</v>
      </c>
      <c r="H10183" s="1">
        <v>-3.2379069999999999E-6</v>
      </c>
      <c r="I10183">
        <v>136.2037</v>
      </c>
      <c r="J10183">
        <v>-170.62989999999999</v>
      </c>
      <c r="K10183">
        <v>1.115278</v>
      </c>
      <c r="L10183">
        <v>137.1977</v>
      </c>
      <c r="M10183">
        <v>0.97026590000000001</v>
      </c>
      <c r="N10183">
        <v>-4.83775E-3</v>
      </c>
      <c r="O10183">
        <v>0.24199290000000001</v>
      </c>
      <c r="P10183">
        <v>0.99439180000000005</v>
      </c>
      <c r="Q10183">
        <v>-0.10190730000000001</v>
      </c>
      <c r="R10183">
        <v>2.8283220000000001E-2</v>
      </c>
      <c r="S10183">
        <v>3.0029599999999999</v>
      </c>
      <c r="T10183">
        <v>-0.197098</v>
      </c>
      <c r="U10183">
        <v>-0.16911319999999999</v>
      </c>
      <c r="V10183">
        <v>0.21208869999999999</v>
      </c>
      <c r="W10183">
        <v>-9.9597920000000006E-2</v>
      </c>
      <c r="X10183">
        <v>0.97216179999999996</v>
      </c>
      <c r="Y10183">
        <v>0.29504770000000002</v>
      </c>
      <c r="Z10183">
        <v>-2.4965089999999999E-2</v>
      </c>
      <c r="AA10183">
        <v>0.95515629999999996</v>
      </c>
      <c r="AB10183">
        <v>18</v>
      </c>
      <c r="AC10183">
        <v>16.807799999999901</v>
      </c>
      <c r="AD10183">
        <v>-1.1152812379070001</v>
      </c>
      <c r="AE10183">
        <v>-0.993999999999999</v>
      </c>
      <c r="AF10183">
        <v>5.0098901596321896</v>
      </c>
      <c r="AG10183">
        <v>-1.1152812379070001</v>
      </c>
      <c r="AH10183">
        <v>15.9974920036844</v>
      </c>
      <c r="AI10183">
        <v>93.806272208088203</v>
      </c>
      <c r="AJ10183">
        <v>72.6111540375082</v>
      </c>
      <c r="AK10183">
        <v>16.800672666865299</v>
      </c>
      <c r="AL10183">
        <v>95.716017608446506</v>
      </c>
      <c r="AM10183">
        <v>77.693071610411394</v>
      </c>
      <c r="AN10183">
        <v>0.99999996385762702</v>
      </c>
    </row>
    <row r="10184" spans="1:40" x14ac:dyDescent="0.25">
      <c r="A10184" t="str">
        <f>"20190303154038568"</f>
        <v>20190303154038568</v>
      </c>
      <c r="B10184" t="str">
        <f>"1551598838558221"</f>
        <v>1551598838558221</v>
      </c>
      <c r="C10184" t="s">
        <v>40</v>
      </c>
      <c r="D10184">
        <v>4.848662</v>
      </c>
      <c r="E10184">
        <v>0.52870969999999995</v>
      </c>
      <c r="F10184" t="s">
        <v>42</v>
      </c>
      <c r="G10184">
        <v>-156.00319999999999</v>
      </c>
      <c r="H10184" s="1">
        <v>-2.2540989999999999E-6</v>
      </c>
      <c r="I10184">
        <v>136.47499999999999</v>
      </c>
      <c r="J10184">
        <v>-170.4468</v>
      </c>
      <c r="K10184">
        <v>1.115227</v>
      </c>
      <c r="L10184">
        <v>137.23259999999999</v>
      </c>
      <c r="M10184">
        <v>0.97244520000000001</v>
      </c>
      <c r="N10184">
        <v>-4.7124760000000002E-3</v>
      </c>
      <c r="O10184">
        <v>0.23308380000000001</v>
      </c>
      <c r="P10184">
        <v>0.99425039999999998</v>
      </c>
      <c r="Q10184">
        <v>-0.10465240000000001</v>
      </c>
      <c r="R10184">
        <v>2.267197E-2</v>
      </c>
      <c r="S10184">
        <v>2.9976959999999999</v>
      </c>
      <c r="T10184">
        <v>-0.22857359999999999</v>
      </c>
      <c r="U10184">
        <v>-0.1481171</v>
      </c>
      <c r="V10184">
        <v>0.2085552</v>
      </c>
      <c r="W10184">
        <v>-0.10243190000000001</v>
      </c>
      <c r="X10184">
        <v>0.97263169999999999</v>
      </c>
      <c r="Y10184">
        <v>0.27934579999999998</v>
      </c>
      <c r="Z10184">
        <v>-2.7823000000000001E-2</v>
      </c>
      <c r="AA10184">
        <v>0.95978739999999996</v>
      </c>
      <c r="AB10184">
        <v>18</v>
      </c>
      <c r="AC10184">
        <v>14.4436</v>
      </c>
      <c r="AD10184">
        <v>-1.1152292540990001</v>
      </c>
      <c r="AE10184">
        <v>-0.75759999999999605</v>
      </c>
      <c r="AF10184">
        <v>4.0790873788185298</v>
      </c>
      <c r="AG10184">
        <v>-1.1152292540990001</v>
      </c>
      <c r="AH10184">
        <v>13.787208616237301</v>
      </c>
      <c r="AI10184">
        <v>94.435274078080795</v>
      </c>
      <c r="AJ10184">
        <v>73.518607132351306</v>
      </c>
      <c r="AK10184">
        <v>14.421158468059501</v>
      </c>
      <c r="AL10184">
        <v>95.879227415611496</v>
      </c>
      <c r="AM10184">
        <v>77.897689177959705</v>
      </c>
      <c r="AN10184">
        <v>0.99999999471476997</v>
      </c>
    </row>
    <row r="10185" spans="1:40" x14ac:dyDescent="0.25">
      <c r="A10185" t="str">
        <f>"20190303154038587"</f>
        <v>20190303154038587</v>
      </c>
      <c r="B10185" t="str">
        <f>"1551598838577741"</f>
        <v>1551598838577741</v>
      </c>
      <c r="C10185" t="s">
        <v>40</v>
      </c>
      <c r="D10185">
        <v>4.850168</v>
      </c>
      <c r="E10185">
        <v>0.52825559999999905</v>
      </c>
      <c r="F10185" t="s">
        <v>42</v>
      </c>
      <c r="G10185">
        <v>-156.08680000000001</v>
      </c>
      <c r="H10185" s="1">
        <v>-2.2190080000000001E-6</v>
      </c>
      <c r="I10185">
        <v>136.47069999999999</v>
      </c>
      <c r="J10185">
        <v>-170.28790000000001</v>
      </c>
      <c r="K10185">
        <v>1.1152120000000001</v>
      </c>
      <c r="L10185">
        <v>137.26150000000001</v>
      </c>
      <c r="M10185">
        <v>0.97424359999999999</v>
      </c>
      <c r="N10185">
        <v>-4.6181750000000004E-3</v>
      </c>
      <c r="O10185">
        <v>0.22545119999999999</v>
      </c>
      <c r="P10185">
        <v>0.99420580000000003</v>
      </c>
      <c r="Q10185">
        <v>-0.1061743</v>
      </c>
      <c r="R10185">
        <v>1.6800559999999999E-2</v>
      </c>
      <c r="S10185">
        <v>2.9964900000000001</v>
      </c>
      <c r="T10185">
        <v>-0.2327137</v>
      </c>
      <c r="U10185">
        <v>-0.15898129999999999</v>
      </c>
      <c r="V10185">
        <v>0.2066202</v>
      </c>
      <c r="W10185">
        <v>-0.10401680000000001</v>
      </c>
      <c r="X10185">
        <v>0.97287639999999997</v>
      </c>
      <c r="Y10185">
        <v>0.27528429999999998</v>
      </c>
      <c r="Z10185">
        <v>-2.7641450000000001E-2</v>
      </c>
      <c r="AA10185">
        <v>0.96096539999999997</v>
      </c>
      <c r="AB10185">
        <v>19</v>
      </c>
      <c r="AC10185">
        <v>14.201099999999901</v>
      </c>
      <c r="AD10185">
        <v>-1.1152142190080001</v>
      </c>
      <c r="AE10185">
        <v>-0.79080000000001804</v>
      </c>
      <c r="AF10185">
        <v>3.9478578066818599</v>
      </c>
      <c r="AG10185">
        <v>-1.1152142190080001</v>
      </c>
      <c r="AH10185">
        <v>13.573738284859999</v>
      </c>
      <c r="AI10185">
        <v>94.510761929619605</v>
      </c>
      <c r="AJ10185">
        <v>73.783176822945194</v>
      </c>
      <c r="AK10185">
        <v>14.1801147753441</v>
      </c>
      <c r="AL10185">
        <v>95.970523493707503</v>
      </c>
      <c r="AM10185">
        <v>78.009639269617793</v>
      </c>
      <c r="AN10185">
        <v>0.99999994570361805</v>
      </c>
    </row>
    <row r="10186" spans="1:40" x14ac:dyDescent="0.25">
      <c r="A10186" t="str">
        <f>"20190303154038603"</f>
        <v>20190303154038603</v>
      </c>
      <c r="B10186" t="str">
        <f>"1551598838598237"</f>
        <v>1551598838598237</v>
      </c>
      <c r="C10186" t="s">
        <v>40</v>
      </c>
      <c r="D10186">
        <v>4.7582800000000001</v>
      </c>
      <c r="E10186">
        <v>0.52924700000000002</v>
      </c>
      <c r="F10186" t="s">
        <v>42</v>
      </c>
      <c r="G10186">
        <v>-156.18289999999999</v>
      </c>
      <c r="H10186" s="1">
        <v>-2.1820239999999998E-6</v>
      </c>
      <c r="I10186">
        <v>136.4468</v>
      </c>
      <c r="J10186">
        <v>-170.1628</v>
      </c>
      <c r="K10186">
        <v>1.115211</v>
      </c>
      <c r="L10186">
        <v>137.2833</v>
      </c>
      <c r="M10186">
        <v>0.97559439999999997</v>
      </c>
      <c r="N10186">
        <v>-4.5561969999999997E-3</v>
      </c>
      <c r="O10186">
        <v>0.21953329999999999</v>
      </c>
      <c r="P10186">
        <v>0.99394099999999996</v>
      </c>
      <c r="Q10186">
        <v>-0.1089963</v>
      </c>
      <c r="R10186">
        <v>1.4178629999999999E-2</v>
      </c>
      <c r="S10186">
        <v>2.995117</v>
      </c>
      <c r="T10186">
        <v>-0.2368093</v>
      </c>
      <c r="U10186">
        <v>-0.1729889</v>
      </c>
      <c r="V10186">
        <v>0.2031887</v>
      </c>
      <c r="W10186">
        <v>-0.1068455</v>
      </c>
      <c r="X10186">
        <v>0.9732925</v>
      </c>
      <c r="Y10186">
        <v>0.27392090000000002</v>
      </c>
      <c r="Z10186">
        <v>-2.76624E-2</v>
      </c>
      <c r="AA10186">
        <v>0.96135429999999999</v>
      </c>
      <c r="AB10186">
        <v>19</v>
      </c>
      <c r="AC10186">
        <v>13.979900000000001</v>
      </c>
      <c r="AD10186">
        <v>-1.1152131820240001</v>
      </c>
      <c r="AE10186">
        <v>-0.83650000000000002</v>
      </c>
      <c r="AF10186">
        <v>3.8606979424909702</v>
      </c>
      <c r="AG10186">
        <v>-1.1152131820240001</v>
      </c>
      <c r="AH10186">
        <v>13.3704303263968</v>
      </c>
      <c r="AI10186">
        <v>94.581613950266302</v>
      </c>
      <c r="AJ10186">
        <v>73.893981456479906</v>
      </c>
      <c r="AK10186">
        <v>13.9612712944612</v>
      </c>
      <c r="AL10186">
        <v>96.133504463973395</v>
      </c>
      <c r="AM10186">
        <v>78.208049228546201</v>
      </c>
      <c r="AN10186">
        <v>0.99999994961709304</v>
      </c>
    </row>
    <row r="10187" spans="1:40" x14ac:dyDescent="0.25">
      <c r="A10187" t="str">
        <f>"20190303154038625"</f>
        <v>20190303154038625</v>
      </c>
      <c r="B10187" t="str">
        <f>"1551598838618737"</f>
        <v>1551598838618737</v>
      </c>
      <c r="C10187" t="s">
        <v>40</v>
      </c>
      <c r="D10187">
        <v>4.8270049999999998</v>
      </c>
      <c r="E10187">
        <v>0.52835699999999997</v>
      </c>
      <c r="F10187" t="s">
        <v>42</v>
      </c>
      <c r="G10187">
        <v>-156.27250000000001</v>
      </c>
      <c r="H10187" s="1">
        <v>-2.150456E-6</v>
      </c>
      <c r="I10187">
        <v>136.40809999999999</v>
      </c>
      <c r="J10187">
        <v>-169.96610000000001</v>
      </c>
      <c r="K10187">
        <v>1.115256</v>
      </c>
      <c r="L10187">
        <v>137.31649999999999</v>
      </c>
      <c r="M10187">
        <v>0.9776089</v>
      </c>
      <c r="N10187">
        <v>-4.4805069999999999E-3</v>
      </c>
      <c r="O10187">
        <v>0.2103825</v>
      </c>
      <c r="P10187">
        <v>0.99379740000000005</v>
      </c>
      <c r="Q10187">
        <v>-0.1109087</v>
      </c>
      <c r="R10187">
        <v>8.1394209999999904E-3</v>
      </c>
      <c r="S10187">
        <v>2.9946290000000002</v>
      </c>
      <c r="T10187">
        <v>-0.24043010000000001</v>
      </c>
      <c r="U10187">
        <v>-0.18867490000000001</v>
      </c>
      <c r="V10187">
        <v>0.19993349999999999</v>
      </c>
      <c r="W10187">
        <v>-0.10876130000000001</v>
      </c>
      <c r="X10187">
        <v>0.97375429999999996</v>
      </c>
      <c r="Y10187">
        <v>0.26992899999999997</v>
      </c>
      <c r="Z10187">
        <v>-2.7249820000000001E-2</v>
      </c>
      <c r="AA10187">
        <v>0.96249459999999998</v>
      </c>
      <c r="AB10187">
        <v>19</v>
      </c>
      <c r="AC10187">
        <v>13.6936</v>
      </c>
      <c r="AD10187">
        <v>-1.115258150456</v>
      </c>
      <c r="AE10187">
        <v>-0.90839999999999999</v>
      </c>
      <c r="AF10187">
        <v>3.74426429115801</v>
      </c>
      <c r="AG10187">
        <v>-1.115258150456</v>
      </c>
      <c r="AH10187">
        <v>13.1094310330692</v>
      </c>
      <c r="AI10187">
        <v>94.676486264771796</v>
      </c>
      <c r="AJ10187">
        <v>74.059806391480507</v>
      </c>
      <c r="AK10187">
        <v>13.6791994588498</v>
      </c>
      <c r="AL10187">
        <v>96.243915307691694</v>
      </c>
      <c r="AM10187">
        <v>78.397151670991093</v>
      </c>
      <c r="AN10187">
        <v>0.99999993078421201</v>
      </c>
    </row>
    <row r="10188" spans="1:40" x14ac:dyDescent="0.25">
      <c r="A10188" t="str">
        <f>"20190303154038643"</f>
        <v>20190303154038643</v>
      </c>
      <c r="B10188" t="str">
        <f>"1551598838638253"</f>
        <v>1551598838638253</v>
      </c>
      <c r="C10188" t="s">
        <v>40</v>
      </c>
      <c r="D10188">
        <v>4.7443049999999998</v>
      </c>
      <c r="E10188">
        <v>0.52844749999999996</v>
      </c>
      <c r="F10188" t="s">
        <v>42</v>
      </c>
      <c r="G10188">
        <v>-156.411</v>
      </c>
      <c r="H10188" s="1">
        <v>-2.0902049999999998E-6</v>
      </c>
      <c r="I10188">
        <v>136.4127</v>
      </c>
      <c r="J10188">
        <v>-169.81620000000001</v>
      </c>
      <c r="K10188">
        <v>1.1153169999999999</v>
      </c>
      <c r="L10188">
        <v>137.34059999999999</v>
      </c>
      <c r="M10188">
        <v>0.97905010000000003</v>
      </c>
      <c r="N10188">
        <v>-4.4476919999999996E-3</v>
      </c>
      <c r="O10188">
        <v>0.2035711</v>
      </c>
      <c r="P10188">
        <v>0.9937764</v>
      </c>
      <c r="Q10188">
        <v>-0.11136219999999999</v>
      </c>
      <c r="R10188">
        <v>2.6856839999999998E-3</v>
      </c>
      <c r="S10188">
        <v>2.9928889999999999</v>
      </c>
      <c r="T10188">
        <v>-0.2462424</v>
      </c>
      <c r="U10188">
        <v>-0.1995392</v>
      </c>
      <c r="V10188">
        <v>0.19849990000000001</v>
      </c>
      <c r="W10188">
        <v>-0.1091983</v>
      </c>
      <c r="X10188">
        <v>0.9739987</v>
      </c>
      <c r="Y10188">
        <v>0.26669609999999999</v>
      </c>
      <c r="Z10188">
        <v>-2.7271409999999999E-2</v>
      </c>
      <c r="AA10188">
        <v>0.9633948</v>
      </c>
      <c r="AB10188">
        <v>19</v>
      </c>
      <c r="AC10188">
        <v>13.405200000000001</v>
      </c>
      <c r="AD10188">
        <v>-1.1153190902050001</v>
      </c>
      <c r="AE10188">
        <v>-0.92789999999999395</v>
      </c>
      <c r="AF10188">
        <v>3.6125199683799201</v>
      </c>
      <c r="AG10188">
        <v>-1.1153190902050001</v>
      </c>
      <c r="AH10188">
        <v>12.8470886599863</v>
      </c>
      <c r="AI10188">
        <v>94.777318433932507</v>
      </c>
      <c r="AJ10188">
        <v>74.294353270653801</v>
      </c>
      <c r="AK10188">
        <v>13.3918603723481</v>
      </c>
      <c r="AL10188">
        <v>96.269103319910997</v>
      </c>
      <c r="AM10188">
        <v>78.480929826424997</v>
      </c>
      <c r="AN10188">
        <v>0.99999997331229395</v>
      </c>
    </row>
    <row r="10189" spans="1:40" x14ac:dyDescent="0.25">
      <c r="A10189" t="str">
        <f>"20190303154038656"</f>
        <v>20190303154038656</v>
      </c>
      <c r="B10189" t="str">
        <f>"1551598838648013"</f>
        <v>1551598838648013</v>
      </c>
      <c r="C10189" t="s">
        <v>40</v>
      </c>
      <c r="D10189">
        <v>4.8101830000000003</v>
      </c>
      <c r="E10189">
        <v>0.5279315</v>
      </c>
      <c r="F10189" t="s">
        <v>42</v>
      </c>
      <c r="G10189">
        <v>-156.06120000000001</v>
      </c>
      <c r="H10189" s="1">
        <v>-2.252222E-6</v>
      </c>
      <c r="I10189">
        <v>136.34549999999999</v>
      </c>
      <c r="J10189">
        <v>-169.69489999999999</v>
      </c>
      <c r="K10189">
        <v>1.1153770000000001</v>
      </c>
      <c r="L10189">
        <v>137.3595</v>
      </c>
      <c r="M10189">
        <v>0.98015870000000005</v>
      </c>
      <c r="N10189">
        <v>-4.4401809999999996E-3</v>
      </c>
      <c r="O10189">
        <v>0.19816449999999999</v>
      </c>
      <c r="P10189">
        <v>0.9937859</v>
      </c>
      <c r="Q10189">
        <v>-0.1113078</v>
      </c>
      <c r="R10189">
        <v>-5.7196799999999996E-4</v>
      </c>
      <c r="S10189">
        <v>2.9921880000000001</v>
      </c>
      <c r="T10189">
        <v>-0.2426188</v>
      </c>
      <c r="U10189">
        <v>-0.21646119999999999</v>
      </c>
      <c r="V10189">
        <v>0.19633519999999999</v>
      </c>
      <c r="W10189">
        <v>-0.109097</v>
      </c>
      <c r="X10189">
        <v>0.97444869999999995</v>
      </c>
      <c r="Y10189">
        <v>0.26687660000000002</v>
      </c>
      <c r="Z10189">
        <v>-2.647124E-2</v>
      </c>
      <c r="AA10189">
        <v>0.96336710000000003</v>
      </c>
      <c r="AB10189">
        <v>19</v>
      </c>
      <c r="AC10189">
        <v>13.6336999999999</v>
      </c>
      <c r="AD10189">
        <v>-1.1153792522220001</v>
      </c>
      <c r="AE10189">
        <v>-1.01400000000001</v>
      </c>
      <c r="AF10189">
        <v>3.6711967953506699</v>
      </c>
      <c r="AG10189">
        <v>-1.1153792522220001</v>
      </c>
      <c r="AH10189">
        <v>13.075349612088299</v>
      </c>
      <c r="AI10189">
        <v>94.695060006451499</v>
      </c>
      <c r="AJ10189">
        <v>74.316725903644794</v>
      </c>
      <c r="AK10189">
        <v>13.6266842725888</v>
      </c>
      <c r="AL10189">
        <v>96.263264409014894</v>
      </c>
      <c r="AM10189">
        <v>78.608369375247605</v>
      </c>
      <c r="AN10189">
        <v>0.99999996754986398</v>
      </c>
    </row>
    <row r="10190" spans="1:40" x14ac:dyDescent="0.25">
      <c r="A10190" t="str">
        <f>"20190303154038669"</f>
        <v>20190303154038669</v>
      </c>
      <c r="B10190" t="str">
        <f>"1551598838658750"</f>
        <v>1551598838658750</v>
      </c>
      <c r="C10190" t="s">
        <v>40</v>
      </c>
      <c r="D10190">
        <v>4.7899989999999999</v>
      </c>
      <c r="E10190">
        <v>0.52754369999999995</v>
      </c>
      <c r="F10190" t="s">
        <v>42</v>
      </c>
      <c r="G10190">
        <v>-156.02690000000001</v>
      </c>
      <c r="H10190" s="1">
        <v>-2.2670449999999998E-6</v>
      </c>
      <c r="I10190">
        <v>136.34469999999999</v>
      </c>
      <c r="J10190">
        <v>-169.58260000000001</v>
      </c>
      <c r="K10190">
        <v>1.1154440000000001</v>
      </c>
      <c r="L10190">
        <v>137.3766</v>
      </c>
      <c r="M10190">
        <v>0.98114480000000004</v>
      </c>
      <c r="N10190">
        <v>-4.4461500000000003E-3</v>
      </c>
      <c r="O10190">
        <v>0.19322300000000001</v>
      </c>
      <c r="P10190">
        <v>0.99385979999999996</v>
      </c>
      <c r="Q10190">
        <v>-0.1106481</v>
      </c>
      <c r="R10190">
        <v>1.383116E-4</v>
      </c>
      <c r="S10190">
        <v>2.9912869999999998</v>
      </c>
      <c r="T10190">
        <v>-0.24410370000000001</v>
      </c>
      <c r="U10190">
        <v>-0.22207640000000001</v>
      </c>
      <c r="V10190">
        <v>0.1907653</v>
      </c>
      <c r="W10190">
        <v>-0.1083388</v>
      </c>
      <c r="X10190">
        <v>0.97563889999999998</v>
      </c>
      <c r="Y10190">
        <v>0.26384649999999998</v>
      </c>
      <c r="Z10190">
        <v>-2.6135829999999999E-2</v>
      </c>
      <c r="AA10190">
        <v>0.96421049999999997</v>
      </c>
      <c r="AB10190">
        <v>19</v>
      </c>
      <c r="AC10190">
        <v>13.5557</v>
      </c>
      <c r="AD10190">
        <v>-1.1154462670450001</v>
      </c>
      <c r="AE10190">
        <v>-1.0319</v>
      </c>
      <c r="AF10190">
        <v>3.6074667468444499</v>
      </c>
      <c r="AG10190">
        <v>-1.1154462670450001</v>
      </c>
      <c r="AH10190">
        <v>13.013242010538001</v>
      </c>
      <c r="AI10190">
        <v>94.721975444481203</v>
      </c>
      <c r="AJ10190">
        <v>74.505824810149406</v>
      </c>
      <c r="AK10190">
        <v>13.550000159744799</v>
      </c>
      <c r="AL10190">
        <v>96.219563643897004</v>
      </c>
      <c r="AM10190">
        <v>78.936617271202806</v>
      </c>
      <c r="AN10190">
        <v>0.99999997923136896</v>
      </c>
    </row>
    <row r="10191" spans="1:40" x14ac:dyDescent="0.25">
      <c r="A10191" t="str">
        <f>"20190303154038692"</f>
        <v>20190303154038692</v>
      </c>
      <c r="B10191" t="str">
        <f>"1551598838688185"</f>
        <v>1551598838688185</v>
      </c>
      <c r="C10191" t="s">
        <v>40</v>
      </c>
      <c r="D10191">
        <v>4.7650499999999996</v>
      </c>
      <c r="E10191">
        <v>0.52719300000000002</v>
      </c>
      <c r="F10191" t="s">
        <v>42</v>
      </c>
      <c r="G10191">
        <v>-155.83109999999999</v>
      </c>
      <c r="H10191" s="1">
        <v>-2.3447549999999998E-6</v>
      </c>
      <c r="I10191">
        <v>136.3802</v>
      </c>
      <c r="J10191">
        <v>-169.3912</v>
      </c>
      <c r="K10191">
        <v>1.115577</v>
      </c>
      <c r="L10191">
        <v>137.40440000000001</v>
      </c>
      <c r="M10191">
        <v>0.98271730000000002</v>
      </c>
      <c r="N10191">
        <v>-4.5194170000000004E-3</v>
      </c>
      <c r="O10191">
        <v>0.18505779999999999</v>
      </c>
      <c r="P10191">
        <v>0.99394780000000005</v>
      </c>
      <c r="Q10191">
        <v>-0.1098471</v>
      </c>
      <c r="R10191">
        <v>-1.129419E-3</v>
      </c>
      <c r="S10191">
        <v>2.9915310000000002</v>
      </c>
      <c r="T10191">
        <v>-0.24265600000000001</v>
      </c>
      <c r="U10191">
        <v>-0.2167664</v>
      </c>
      <c r="V10191">
        <v>0.18395010000000001</v>
      </c>
      <c r="W10191">
        <v>-0.1073393</v>
      </c>
      <c r="X10191">
        <v>0.97705710000000001</v>
      </c>
      <c r="Y10191">
        <v>0.25418269999999998</v>
      </c>
      <c r="Z10191">
        <v>-2.4945019999999998E-2</v>
      </c>
      <c r="AA10191">
        <v>0.96683450000000004</v>
      </c>
      <c r="AB10191">
        <v>19</v>
      </c>
      <c r="AC10191">
        <v>13.5601</v>
      </c>
      <c r="AD10191">
        <v>-1.115579344755</v>
      </c>
      <c r="AE10191">
        <v>-1.0242</v>
      </c>
      <c r="AF10191">
        <v>3.4924335411143899</v>
      </c>
      <c r="AG10191">
        <v>-1.115579344755</v>
      </c>
      <c r="AH10191">
        <v>13.048527644207301</v>
      </c>
      <c r="AI10191">
        <v>94.721210667381698</v>
      </c>
      <c r="AJ10191">
        <v>75.016015339518503</v>
      </c>
      <c r="AK10191">
        <v>13.5538069558035</v>
      </c>
      <c r="AL10191">
        <v>96.161960641779103</v>
      </c>
      <c r="AM10191">
        <v>79.337756194683095</v>
      </c>
      <c r="AN10191">
        <v>0.99999997063745405</v>
      </c>
    </row>
    <row r="10192" spans="1:40" x14ac:dyDescent="0.25">
      <c r="A10192" t="str">
        <f>"20190303154038711"</f>
        <v>20190303154038711</v>
      </c>
      <c r="B10192" t="str">
        <f>"1551598838708682"</f>
        <v>1551598838708682</v>
      </c>
      <c r="C10192" t="s">
        <v>40</v>
      </c>
      <c r="D10192">
        <v>4.752008</v>
      </c>
      <c r="E10192">
        <v>0.52775450000000002</v>
      </c>
      <c r="F10192" t="s">
        <v>42</v>
      </c>
      <c r="G10192">
        <v>-155.41059999999999</v>
      </c>
      <c r="H10192" s="1">
        <v>-2.5239390000000001E-6</v>
      </c>
      <c r="I10192">
        <v>136.387</v>
      </c>
      <c r="J10192">
        <v>-169.2133</v>
      </c>
      <c r="K10192">
        <v>1.1157090000000001</v>
      </c>
      <c r="L10192">
        <v>137.42920000000001</v>
      </c>
      <c r="M10192">
        <v>0.98407659999999997</v>
      </c>
      <c r="N10192">
        <v>-4.6535070000000003E-3</v>
      </c>
      <c r="O10192">
        <v>0.1776838</v>
      </c>
      <c r="P10192">
        <v>0.99397550000000001</v>
      </c>
      <c r="Q10192">
        <v>-0.1094707</v>
      </c>
      <c r="R10192">
        <v>-5.3958859999999999E-3</v>
      </c>
      <c r="S10192">
        <v>2.991638</v>
      </c>
      <c r="T10192">
        <v>-0.2387166</v>
      </c>
      <c r="U10192">
        <v>-0.2177124</v>
      </c>
      <c r="V10192">
        <v>0.1808565</v>
      </c>
      <c r="W10192">
        <v>-0.10675370000000001</v>
      </c>
      <c r="X10192">
        <v>0.97769859999999997</v>
      </c>
      <c r="Y10192">
        <v>0.24731819999999999</v>
      </c>
      <c r="Z10192">
        <v>-2.369257E-2</v>
      </c>
      <c r="AA10192">
        <v>0.96864459999999997</v>
      </c>
      <c r="AB10192">
        <v>19</v>
      </c>
      <c r="AC10192">
        <v>13.8027</v>
      </c>
      <c r="AD10192">
        <v>-1.1157115239390001</v>
      </c>
      <c r="AE10192">
        <v>-1.0422</v>
      </c>
      <c r="AF10192">
        <v>3.4557071667311798</v>
      </c>
      <c r="AG10192">
        <v>-1.1157115239390001</v>
      </c>
      <c r="AH10192">
        <v>13.311394574224201</v>
      </c>
      <c r="AI10192">
        <v>94.638081368303901</v>
      </c>
      <c r="AJ10192">
        <v>75.446974237913693</v>
      </c>
      <c r="AK10192">
        <v>13.7978240943104</v>
      </c>
      <c r="AL10192">
        <v>96.128214211489606</v>
      </c>
      <c r="AM10192">
        <v>79.519787124458801</v>
      </c>
      <c r="AN10192">
        <v>0.99999998924894995</v>
      </c>
    </row>
    <row r="10193" spans="1:40" x14ac:dyDescent="0.25">
      <c r="A10193" t="str">
        <f>"20190303154038725"</f>
        <v>20190303154038725</v>
      </c>
      <c r="B10193" t="str">
        <f>"1551598838718442"</f>
        <v>1551598838718442</v>
      </c>
      <c r="C10193" t="s">
        <v>40</v>
      </c>
      <c r="D10193">
        <v>4.7347390000000003</v>
      </c>
      <c r="E10193">
        <v>0.52790619999999999</v>
      </c>
      <c r="F10193" t="s">
        <v>42</v>
      </c>
      <c r="G10193">
        <v>-154.9743</v>
      </c>
      <c r="H10193" s="1">
        <v>-2.7246710000000002E-6</v>
      </c>
      <c r="I10193">
        <v>136.31049999999999</v>
      </c>
      <c r="J10193">
        <v>-169.0883</v>
      </c>
      <c r="K10193">
        <v>1.1158090000000001</v>
      </c>
      <c r="L10193">
        <v>137.44579999999999</v>
      </c>
      <c r="M10193">
        <v>0.9849753</v>
      </c>
      <c r="N10193">
        <v>-4.7911680000000002E-3</v>
      </c>
      <c r="O10193">
        <v>0.172628799999999</v>
      </c>
      <c r="P10193">
        <v>0.99404800000000004</v>
      </c>
      <c r="Q10193">
        <v>-0.108846499999999</v>
      </c>
      <c r="R10193">
        <v>-4.5854479999999998E-3</v>
      </c>
      <c r="S10193">
        <v>2.9910739999999998</v>
      </c>
      <c r="T10193">
        <v>-0.23436879999999999</v>
      </c>
      <c r="U10193">
        <v>-0.23497009999999999</v>
      </c>
      <c r="V10193">
        <v>0.1750755</v>
      </c>
      <c r="W10193">
        <v>-0.1059039</v>
      </c>
      <c r="X10193">
        <v>0.97884269999999995</v>
      </c>
      <c r="Y10193">
        <v>0.2479751</v>
      </c>
      <c r="Z10193">
        <v>-2.2911939999999999E-2</v>
      </c>
      <c r="AA10193">
        <v>0.96849540000000001</v>
      </c>
      <c r="AB10193">
        <v>20</v>
      </c>
      <c r="AC10193">
        <v>14.114000000000001</v>
      </c>
      <c r="AD10193">
        <v>-1.115811724671</v>
      </c>
      <c r="AE10193">
        <v>-1.1353</v>
      </c>
      <c r="AF10193">
        <v>3.53282783392907</v>
      </c>
      <c r="AG10193">
        <v>-1.115811724671</v>
      </c>
      <c r="AH10193">
        <v>13.621525679747901</v>
      </c>
      <c r="AI10193">
        <v>94.533606624189702</v>
      </c>
      <c r="AJ10193">
        <v>75.460337826592493</v>
      </c>
      <c r="AK10193">
        <v>14.116368872806101</v>
      </c>
      <c r="AL10193">
        <v>96.079246295297807</v>
      </c>
      <c r="AM10193">
        <v>79.859323475076295</v>
      </c>
      <c r="AN10193">
        <v>1.0000000490393699</v>
      </c>
    </row>
    <row r="10194" spans="1:40" x14ac:dyDescent="0.25">
      <c r="A10194" t="str">
        <f>"20190303154038749"</f>
        <v>20190303154038749</v>
      </c>
      <c r="B10194" t="str">
        <f>"1551598838737962"</f>
        <v>1551598838737962</v>
      </c>
      <c r="C10194" t="s">
        <v>40</v>
      </c>
      <c r="D10194">
        <v>4.7720159999999998</v>
      </c>
      <c r="E10194">
        <v>0.52815719999999899</v>
      </c>
      <c r="F10194" t="s">
        <v>42</v>
      </c>
      <c r="G10194">
        <v>-154.64330000000001</v>
      </c>
      <c r="H10194" s="1">
        <v>-2.865479E-6</v>
      </c>
      <c r="I10194">
        <v>136.31729999999999</v>
      </c>
      <c r="J10194">
        <v>-168.8871</v>
      </c>
      <c r="K10194">
        <v>1.1159749999999999</v>
      </c>
      <c r="L10194">
        <v>137.4716</v>
      </c>
      <c r="M10194">
        <v>0.98633380000000004</v>
      </c>
      <c r="N10194">
        <v>-5.0905890000000004E-3</v>
      </c>
      <c r="O10194">
        <v>0.16467999999999999</v>
      </c>
      <c r="P10194">
        <v>0.99403779999999997</v>
      </c>
      <c r="Q10194">
        <v>-0.1088126</v>
      </c>
      <c r="R10194">
        <v>-6.9931460000000004E-3</v>
      </c>
      <c r="S10194">
        <v>2.9915769999999999</v>
      </c>
      <c r="T10194">
        <v>-0.23108519999999999</v>
      </c>
      <c r="U10194">
        <v>-0.23370360000000001</v>
      </c>
      <c r="V10194">
        <v>0.16958290000000001</v>
      </c>
      <c r="W10194">
        <v>-0.10547570000000001</v>
      </c>
      <c r="X10194">
        <v>0.97985540000000004</v>
      </c>
      <c r="Y10194">
        <v>0.239819</v>
      </c>
      <c r="Z10194">
        <v>-2.1668880000000001E-2</v>
      </c>
      <c r="AA10194">
        <v>0.97057570000000004</v>
      </c>
      <c r="AB10194">
        <v>20</v>
      </c>
      <c r="AC10194">
        <v>14.243799999999901</v>
      </c>
      <c r="AD10194">
        <v>-1.115977865479</v>
      </c>
      <c r="AE10194">
        <v>-1.1543000000000001</v>
      </c>
      <c r="AF10194">
        <v>3.4631200895841499</v>
      </c>
      <c r="AG10194">
        <v>-1.115977865479</v>
      </c>
      <c r="AH10194">
        <v>13.775225374383499</v>
      </c>
      <c r="AI10194">
        <v>94.492417905496694</v>
      </c>
      <c r="AJ10194">
        <v>75.888174599013695</v>
      </c>
      <c r="AK10194">
        <v>14.2476468747011</v>
      </c>
      <c r="AL10194">
        <v>96.054574088091698</v>
      </c>
      <c r="AM10194">
        <v>80.181122757627705</v>
      </c>
      <c r="AN10194">
        <v>1.0000000440860199</v>
      </c>
    </row>
    <row r="10195" spans="1:40" x14ac:dyDescent="0.25">
      <c r="A10195" t="str">
        <f>"20190303154038770"</f>
        <v>20190303154038770</v>
      </c>
      <c r="B10195" t="str">
        <f>"1551598838758458"</f>
        <v>1551598838758458</v>
      </c>
      <c r="C10195" t="s">
        <v>40</v>
      </c>
      <c r="D10195">
        <v>4.7296709999999997</v>
      </c>
      <c r="E10195">
        <v>0.52820769999999995</v>
      </c>
      <c r="F10195" t="s">
        <v>42</v>
      </c>
      <c r="G10195">
        <v>-154.3212</v>
      </c>
      <c r="H10195" s="1">
        <v>-3.0087239999999999E-6</v>
      </c>
      <c r="I10195">
        <v>136.28880000000001</v>
      </c>
      <c r="J10195">
        <v>-168.69450000000001</v>
      </c>
      <c r="K10195">
        <v>1.116182</v>
      </c>
      <c r="L10195">
        <v>137.4949</v>
      </c>
      <c r="M10195">
        <v>0.98752459999999997</v>
      </c>
      <c r="N10195">
        <v>-5.5101569999999999E-3</v>
      </c>
      <c r="O10195">
        <v>0.15736820000000001</v>
      </c>
      <c r="P10195">
        <v>0.9940426</v>
      </c>
      <c r="Q10195">
        <v>-0.1087245</v>
      </c>
      <c r="R10195">
        <v>-7.6355199999999998E-3</v>
      </c>
      <c r="S10195">
        <v>2.9912109999999998</v>
      </c>
      <c r="T10195">
        <v>-0.22917309999999999</v>
      </c>
      <c r="U10195">
        <v>-0.24288940000000001</v>
      </c>
      <c r="V10195">
        <v>0.162994</v>
      </c>
      <c r="W10195">
        <v>-0.1048589</v>
      </c>
      <c r="X10195">
        <v>0.98103899999999999</v>
      </c>
      <c r="Y10195">
        <v>0.23564959999999999</v>
      </c>
      <c r="Z10195">
        <v>-2.0785669999999999E-2</v>
      </c>
      <c r="AA10195">
        <v>0.97161580000000003</v>
      </c>
      <c r="AB10195">
        <v>20</v>
      </c>
      <c r="AC10195">
        <v>14.3733</v>
      </c>
      <c r="AD10195">
        <v>-1.1161850087239999</v>
      </c>
      <c r="AE10195">
        <v>-1.20609999999999</v>
      </c>
      <c r="AF10195">
        <v>3.4324513263366301</v>
      </c>
      <c r="AG10195">
        <v>-1.1161850087239999</v>
      </c>
      <c r="AH10195">
        <v>13.921033546841899</v>
      </c>
      <c r="AI10195">
        <v>94.451400123963694</v>
      </c>
      <c r="AJ10195">
        <v>76.149094248232004</v>
      </c>
      <c r="AK10195">
        <v>14.381333946949001</v>
      </c>
      <c r="AL10195">
        <v>96.019037392723405</v>
      </c>
      <c r="AM10195">
        <v>80.566802914523393</v>
      </c>
      <c r="AN10195">
        <v>0.99999997623310399</v>
      </c>
    </row>
    <row r="10196" spans="1:40" x14ac:dyDescent="0.25">
      <c r="A10196" t="str">
        <f>"20190303154038787"</f>
        <v>20190303154038787</v>
      </c>
      <c r="B10196" t="str">
        <f>"1551598838777978"</f>
        <v>1551598838777978</v>
      </c>
      <c r="C10196" t="s">
        <v>40</v>
      </c>
      <c r="D10196">
        <v>4.722836</v>
      </c>
      <c r="E10196">
        <v>0.52826340000000005</v>
      </c>
      <c r="F10196" t="s">
        <v>42</v>
      </c>
      <c r="G10196">
        <v>-154.04339999999999</v>
      </c>
      <c r="H10196" s="1">
        <v>-3.126944E-6</v>
      </c>
      <c r="I10196">
        <v>136.29419999999999</v>
      </c>
      <c r="J10196">
        <v>-168.53200000000001</v>
      </c>
      <c r="K10196">
        <v>1.116398</v>
      </c>
      <c r="L10196">
        <v>137.5137</v>
      </c>
      <c r="M10196">
        <v>0.98844980000000005</v>
      </c>
      <c r="N10196">
        <v>-5.961704E-3</v>
      </c>
      <c r="O10196">
        <v>0.15143209999999999</v>
      </c>
      <c r="P10196">
        <v>0.99404749999999997</v>
      </c>
      <c r="Q10196">
        <v>-0.10871599999999999</v>
      </c>
      <c r="R10196">
        <v>-7.1241050000000004E-3</v>
      </c>
      <c r="S10196">
        <v>2.9911650000000001</v>
      </c>
      <c r="T10196">
        <v>-0.2278792</v>
      </c>
      <c r="U10196">
        <v>-0.2451324</v>
      </c>
      <c r="V10196">
        <v>0.15663239999999901</v>
      </c>
      <c r="W10196">
        <v>-0.10429289999999899</v>
      </c>
      <c r="X10196">
        <v>0.98213510000000004</v>
      </c>
      <c r="Y10196">
        <v>0.23057820000000001</v>
      </c>
      <c r="Z10196">
        <v>-2.0029370000000001E-2</v>
      </c>
      <c r="AA10196">
        <v>0.97284760000000003</v>
      </c>
      <c r="AB10196">
        <v>20</v>
      </c>
      <c r="AC10196">
        <v>14.4886</v>
      </c>
      <c r="AD10196">
        <v>-1.116401126944</v>
      </c>
      <c r="AE10196">
        <v>-1.21950000000001</v>
      </c>
      <c r="AF10196">
        <v>3.3795892575688402</v>
      </c>
      <c r="AG10196">
        <v>-1.116401126944</v>
      </c>
      <c r="AH10196">
        <v>14.053976495982999</v>
      </c>
      <c r="AI10196">
        <v>94.416467658249005</v>
      </c>
      <c r="AJ10196">
        <v>76.478693246916194</v>
      </c>
      <c r="AK10196">
        <v>14.4976629280639</v>
      </c>
      <c r="AL10196">
        <v>95.986428826290705</v>
      </c>
      <c r="AM10196">
        <v>80.938690546232607</v>
      </c>
      <c r="AN10196">
        <v>1.0000000361860799</v>
      </c>
    </row>
    <row r="10197" spans="1:40" x14ac:dyDescent="0.25">
      <c r="A10197" t="str">
        <f>"20190303154038804"</f>
        <v>20190303154038804</v>
      </c>
      <c r="B10197" t="str">
        <f>"1551598838798568"</f>
        <v>1551598838798568</v>
      </c>
      <c r="C10197" t="s">
        <v>40</v>
      </c>
      <c r="D10197">
        <v>4.7415120000000002</v>
      </c>
      <c r="E10197">
        <v>0.52833180000000002</v>
      </c>
      <c r="F10197" t="s">
        <v>42</v>
      </c>
      <c r="G10197">
        <v>-153.75399999999999</v>
      </c>
      <c r="H10197" s="1">
        <v>-3.2484959999999998E-6</v>
      </c>
      <c r="I10197">
        <v>136.30869999999999</v>
      </c>
      <c r="J10197">
        <v>-168.3939</v>
      </c>
      <c r="K10197">
        <v>1.116581</v>
      </c>
      <c r="L10197">
        <v>137.529</v>
      </c>
      <c r="M10197">
        <v>0.98918609999999896</v>
      </c>
      <c r="N10197">
        <v>-6.385295E-3</v>
      </c>
      <c r="O10197">
        <v>0.14652679999999901</v>
      </c>
      <c r="P10197">
        <v>0.99401550000000005</v>
      </c>
      <c r="Q10197">
        <v>-0.1091178</v>
      </c>
      <c r="R10197">
        <v>-5.1672940000000002E-3</v>
      </c>
      <c r="S10197">
        <v>2.9914860000000001</v>
      </c>
      <c r="T10197">
        <v>-0.22599169999999999</v>
      </c>
      <c r="U10197">
        <v>-0.243927</v>
      </c>
      <c r="V10197">
        <v>0.1498485</v>
      </c>
      <c r="W10197">
        <v>-0.1041719</v>
      </c>
      <c r="X10197">
        <v>0.98320580000000002</v>
      </c>
      <c r="Y10197">
        <v>0.22539799999999999</v>
      </c>
      <c r="Z10197">
        <v>-1.929749E-2</v>
      </c>
      <c r="AA10197">
        <v>0.97407560000000004</v>
      </c>
      <c r="AB10197">
        <v>20</v>
      </c>
      <c r="AC10197">
        <v>14.639900000000001</v>
      </c>
      <c r="AD10197">
        <v>-1.116584248496</v>
      </c>
      <c r="AE10197">
        <v>-1.2202999999999999</v>
      </c>
      <c r="AF10197">
        <v>3.33305487006443</v>
      </c>
      <c r="AG10197">
        <v>-1.116584248496</v>
      </c>
      <c r="AH10197">
        <v>14.220916665198599</v>
      </c>
      <c r="AI10197">
        <v>94.371498512099905</v>
      </c>
      <c r="AJ10197">
        <v>76.8092841584306</v>
      </c>
      <c r="AK10197">
        <v>14.648907329537399</v>
      </c>
      <c r="AL10197">
        <v>95.979458275867501</v>
      </c>
      <c r="AM10197">
        <v>81.334346014977399</v>
      </c>
      <c r="AN10197">
        <v>1.0000000014277499</v>
      </c>
    </row>
    <row r="10198" spans="1:40" x14ac:dyDescent="0.25">
      <c r="A10198" t="str">
        <f>"20190303154038825"</f>
        <v>20190303154038825</v>
      </c>
      <c r="B10198" t="str">
        <f>"1551598838818088"</f>
        <v>1551598838818088</v>
      </c>
      <c r="C10198" t="s">
        <v>40</v>
      </c>
      <c r="D10198">
        <v>4.7422129999999996</v>
      </c>
      <c r="E10198">
        <v>0.52830580000000005</v>
      </c>
      <c r="F10198" t="s">
        <v>42</v>
      </c>
      <c r="G10198">
        <v>-153.56799999999899</v>
      </c>
      <c r="H10198" s="1">
        <v>-3.3214749999999998E-6</v>
      </c>
      <c r="I10198">
        <v>136.34729999999999</v>
      </c>
      <c r="J10198">
        <v>-168.1977</v>
      </c>
      <c r="K10198">
        <v>1.116833</v>
      </c>
      <c r="L10198">
        <v>137.54990000000001</v>
      </c>
      <c r="M10198">
        <v>0.99016329999999997</v>
      </c>
      <c r="N10198">
        <v>-6.9905719999999996E-3</v>
      </c>
      <c r="O10198">
        <v>0.13974259999999999</v>
      </c>
      <c r="P10198">
        <v>0.99384649999999997</v>
      </c>
      <c r="Q10198">
        <v>-0.1106313</v>
      </c>
      <c r="R10198">
        <v>-5.4838109999999999E-3</v>
      </c>
      <c r="S10198">
        <v>2.9920960000000001</v>
      </c>
      <c r="T10198">
        <v>-0.2253425</v>
      </c>
      <c r="U10198">
        <v>-0.23847960000000001</v>
      </c>
      <c r="V10198">
        <v>0.14343110000000001</v>
      </c>
      <c r="W10198">
        <v>-0.104974499999999</v>
      </c>
      <c r="X10198">
        <v>0.98407719999999999</v>
      </c>
      <c r="Y10198">
        <v>0.21698390000000001</v>
      </c>
      <c r="Z10198">
        <v>-1.841367E-2</v>
      </c>
      <c r="AA10198">
        <v>0.97600149999999997</v>
      </c>
      <c r="AB10198">
        <v>20</v>
      </c>
      <c r="AC10198">
        <v>14.6297</v>
      </c>
      <c r="AD10198">
        <v>-1.1168363214749999</v>
      </c>
      <c r="AE10198">
        <v>-1.2026000000000101</v>
      </c>
      <c r="AF10198">
        <v>3.2166212318629501</v>
      </c>
      <c r="AG10198">
        <v>-1.1168363214749999</v>
      </c>
      <c r="AH10198">
        <v>14.235679303703799</v>
      </c>
      <c r="AI10198">
        <v>94.375982008838093</v>
      </c>
      <c r="AJ10198">
        <v>77.267552749992007</v>
      </c>
      <c r="AK10198">
        <v>14.637231321398801</v>
      </c>
      <c r="AL10198">
        <v>96.025697212079606</v>
      </c>
      <c r="AM10198">
        <v>81.707424941134903</v>
      </c>
      <c r="AN10198">
        <v>1.0000000308286401</v>
      </c>
    </row>
    <row r="10199" spans="1:40" x14ac:dyDescent="0.25">
      <c r="A10199" t="str">
        <f>"20190303154038848"</f>
        <v>20190303154038848</v>
      </c>
      <c r="B10199" t="str">
        <f>"1551598838838585"</f>
        <v>1551598838838585</v>
      </c>
      <c r="C10199" t="s">
        <v>40</v>
      </c>
      <c r="D10199">
        <v>4.7174740000000002</v>
      </c>
      <c r="E10199">
        <v>0.50833090000000003</v>
      </c>
      <c r="F10199" t="s">
        <v>42</v>
      </c>
      <c r="G10199">
        <v>-153.66970000000001</v>
      </c>
      <c r="H10199" s="1">
        <v>-3.2705700000000001E-6</v>
      </c>
      <c r="I10199">
        <v>136.38820000000001</v>
      </c>
      <c r="J10199">
        <v>-168.00149999999999</v>
      </c>
      <c r="K10199">
        <v>1.1170500000000001</v>
      </c>
      <c r="L10199">
        <v>137.56970000000001</v>
      </c>
      <c r="M10199">
        <v>0.99105670000000001</v>
      </c>
      <c r="N10199">
        <v>-7.5604340000000004E-3</v>
      </c>
      <c r="O10199">
        <v>0.13322800000000001</v>
      </c>
      <c r="P10199">
        <v>0.99371920000000002</v>
      </c>
      <c r="Q10199">
        <v>-0.1117755</v>
      </c>
      <c r="R10199">
        <v>-5.3422010000000004E-3</v>
      </c>
      <c r="S10199">
        <v>2.991638</v>
      </c>
      <c r="T10199">
        <v>-0.22998070000000001</v>
      </c>
      <c r="U10199">
        <v>-0.23919679999999999</v>
      </c>
      <c r="V10199">
        <v>0.13683819999999999</v>
      </c>
      <c r="W10199">
        <v>-0.10544580000000001</v>
      </c>
      <c r="X10199">
        <v>0.98496519999999999</v>
      </c>
      <c r="Y10199">
        <v>0.21080070000000001</v>
      </c>
      <c r="Z10199">
        <v>-1.8073240000000001E-2</v>
      </c>
      <c r="AA10199">
        <v>0.97736199999999995</v>
      </c>
      <c r="AB10199">
        <v>20</v>
      </c>
      <c r="AC10199">
        <v>14.3317999999999</v>
      </c>
      <c r="AD10199">
        <v>-1.11705327057</v>
      </c>
      <c r="AE10199">
        <v>-1.18149999999999</v>
      </c>
      <c r="AF10199">
        <v>3.0619424712579</v>
      </c>
      <c r="AG10199">
        <v>-1.11705327057</v>
      </c>
      <c r="AH10199">
        <v>13.9623684666758</v>
      </c>
      <c r="AI10199">
        <v>94.468439655824</v>
      </c>
      <c r="AJ10199">
        <v>77.630861883533697</v>
      </c>
      <c r="AK10199">
        <v>14.3377485298706</v>
      </c>
      <c r="AL10199">
        <v>96.052851742143503</v>
      </c>
      <c r="AM10199">
        <v>82.090698470771898</v>
      </c>
      <c r="AN10199">
        <v>0.99999997746395897</v>
      </c>
    </row>
    <row r="10200" spans="1:40" x14ac:dyDescent="0.25">
      <c r="A10200" t="str">
        <f>"20190303154038870"</f>
        <v>20190303154038870</v>
      </c>
      <c r="B10200" t="str">
        <f>"1551598838868840"</f>
        <v>1551598838868840</v>
      </c>
      <c r="C10200" t="s">
        <v>40</v>
      </c>
      <c r="D10200">
        <v>4.7094870000000002</v>
      </c>
      <c r="E10200">
        <v>0.49960450000000001</v>
      </c>
      <c r="F10200" t="s">
        <v>42</v>
      </c>
      <c r="G10200">
        <v>-150.87200000000001</v>
      </c>
      <c r="H10200" s="1">
        <v>-4.3406740000000003E-6</v>
      </c>
      <c r="I10200">
        <v>137.1217</v>
      </c>
      <c r="J10200">
        <v>-167.8057</v>
      </c>
      <c r="K10200">
        <v>1.117248</v>
      </c>
      <c r="L10200">
        <v>137.58840000000001</v>
      </c>
      <c r="M10200">
        <v>0.99186660000000004</v>
      </c>
      <c r="N10200">
        <v>-8.0663109999999996E-3</v>
      </c>
      <c r="O10200">
        <v>0.127026</v>
      </c>
      <c r="P10200">
        <v>0.99374099999999999</v>
      </c>
      <c r="Q10200">
        <v>-0.1116037</v>
      </c>
      <c r="R10200">
        <v>-4.8567999999999997E-3</v>
      </c>
      <c r="S10200">
        <v>2.9965670000000002</v>
      </c>
      <c r="T10200">
        <v>-0.195412</v>
      </c>
      <c r="U10200">
        <v>-7.8353880000000001E-2</v>
      </c>
      <c r="V10200">
        <v>0.130244</v>
      </c>
      <c r="W10200">
        <v>-0.104668</v>
      </c>
      <c r="X10200">
        <v>0.98594170000000003</v>
      </c>
      <c r="Y10200">
        <v>0.15234420000000001</v>
      </c>
      <c r="Z10200">
        <v>-1.2811319999999999E-2</v>
      </c>
      <c r="AA10200">
        <v>0.98824449999999997</v>
      </c>
      <c r="AB10200">
        <v>20</v>
      </c>
      <c r="AC10200">
        <v>16.933699999999899</v>
      </c>
      <c r="AD10200">
        <v>-1.117252340674</v>
      </c>
      <c r="AE10200">
        <v>-0.466700000000003</v>
      </c>
      <c r="AF10200">
        <v>2.6026881642442401</v>
      </c>
      <c r="AG10200">
        <v>-1.117252340674</v>
      </c>
      <c r="AH10200">
        <v>16.6647444713524</v>
      </c>
      <c r="AI10200">
        <v>93.789729216052606</v>
      </c>
      <c r="AJ10200">
        <v>81.123295036250894</v>
      </c>
      <c r="AK10200">
        <v>16.903725825051399</v>
      </c>
      <c r="AL10200">
        <v>96.008039187553294</v>
      </c>
      <c r="AM10200">
        <v>82.474735383099599</v>
      </c>
      <c r="AN10200">
        <v>0.99999996277944403</v>
      </c>
    </row>
    <row r="10201" spans="1:40" x14ac:dyDescent="0.25">
      <c r="A10201" t="str">
        <f>"20190303154038893"</f>
        <v>20190303154038893</v>
      </c>
      <c r="B10201" t="str">
        <f>"1551598838888360"</f>
        <v>1551598838888360</v>
      </c>
      <c r="C10201" t="s">
        <v>40</v>
      </c>
      <c r="D10201">
        <v>4.705794</v>
      </c>
      <c r="E10201">
        <v>0.49794870000000002</v>
      </c>
      <c r="F10201" t="s">
        <v>42</v>
      </c>
      <c r="G10201">
        <v>-150.63999999999999</v>
      </c>
      <c r="H10201" s="1">
        <v>-4.364619E-6</v>
      </c>
      <c r="I10201">
        <v>137.54769999999999</v>
      </c>
      <c r="J10201">
        <v>-167.60659999999999</v>
      </c>
      <c r="K10201">
        <v>1.117426</v>
      </c>
      <c r="L10201">
        <v>137.60650000000001</v>
      </c>
      <c r="M10201">
        <v>0.99261480000000002</v>
      </c>
      <c r="N10201">
        <v>-8.5118899999999994E-3</v>
      </c>
      <c r="O10201">
        <v>0.1210099</v>
      </c>
      <c r="P10201">
        <v>0.99378290000000002</v>
      </c>
      <c r="Q10201">
        <v>-0.1112833</v>
      </c>
      <c r="R10201">
        <v>-3.424224E-3</v>
      </c>
      <c r="S10201">
        <v>2.9969480000000002</v>
      </c>
      <c r="T10201">
        <v>-0.19506029999999999</v>
      </c>
      <c r="U10201">
        <v>-7.0953369999999898E-3</v>
      </c>
      <c r="V10201">
        <v>0.1228959</v>
      </c>
      <c r="W10201">
        <v>-0.1037986</v>
      </c>
      <c r="X10201">
        <v>0.98697639999999998</v>
      </c>
      <c r="Y10201">
        <v>0.1228776</v>
      </c>
      <c r="Z10201">
        <v>-1.134074E-2</v>
      </c>
      <c r="AA10201">
        <v>0.99235700000000004</v>
      </c>
      <c r="AB10201">
        <v>20</v>
      </c>
      <c r="AC10201">
        <v>16.9666</v>
      </c>
      <c r="AD10201">
        <v>-1.117430364619</v>
      </c>
      <c r="AE10201">
        <v>-5.8800000000019198E-2</v>
      </c>
      <c r="AF10201">
        <v>2.1024493138948501</v>
      </c>
      <c r="AG10201">
        <v>-1.117430364619</v>
      </c>
      <c r="AH10201">
        <v>16.762086191514499</v>
      </c>
      <c r="AI10201">
        <v>93.784366509320193</v>
      </c>
      <c r="AJ10201">
        <v>82.850791252859693</v>
      </c>
      <c r="AK10201">
        <v>16.9303419111674</v>
      </c>
      <c r="AL10201">
        <v>95.957953289610401</v>
      </c>
      <c r="AM10201">
        <v>82.902201388843494</v>
      </c>
      <c r="AN10201">
        <v>0.99999998287786396</v>
      </c>
    </row>
    <row r="10202" spans="1:40" x14ac:dyDescent="0.25">
      <c r="A10202" t="str">
        <f>"20190303154038915"</f>
        <v>20190303154038915</v>
      </c>
      <c r="B10202" t="str">
        <f>"1551598838907880"</f>
        <v>1551598838907880</v>
      </c>
      <c r="C10202" t="s">
        <v>40</v>
      </c>
      <c r="D10202">
        <v>4.6997949999999999</v>
      </c>
      <c r="E10202">
        <v>0.49718459999999998</v>
      </c>
      <c r="F10202" t="s">
        <v>42</v>
      </c>
      <c r="G10202">
        <v>-150.29920000000001</v>
      </c>
      <c r="H10202" s="1">
        <v>-4.4896600000000001E-6</v>
      </c>
      <c r="I10202">
        <v>137.667</v>
      </c>
      <c r="J10202">
        <v>-167.40549999999999</v>
      </c>
      <c r="K10202">
        <v>1.117572</v>
      </c>
      <c r="L10202">
        <v>137.62379999999999</v>
      </c>
      <c r="M10202">
        <v>0.99330909999999994</v>
      </c>
      <c r="N10202">
        <v>-8.9033519999999998E-3</v>
      </c>
      <c r="O10202">
        <v>0.11514190000000001</v>
      </c>
      <c r="P10202">
        <v>0.99379220000000001</v>
      </c>
      <c r="Q10202">
        <v>-0.11124530000000001</v>
      </c>
      <c r="R10202">
        <v>-1.2108139999999999E-3</v>
      </c>
      <c r="S10202">
        <v>2.997147</v>
      </c>
      <c r="T10202">
        <v>-0.1935076</v>
      </c>
      <c r="U10202">
        <v>1.0482790000000001E-2</v>
      </c>
      <c r="V10202">
        <v>0.1149046</v>
      </c>
      <c r="W10202">
        <v>-0.10327069999999999</v>
      </c>
      <c r="X10202">
        <v>0.98799400000000004</v>
      </c>
      <c r="Y10202">
        <v>0.1112306</v>
      </c>
      <c r="Z10202">
        <v>-1.0470230000000001E-2</v>
      </c>
      <c r="AA10202">
        <v>0.9937395</v>
      </c>
      <c r="AB10202">
        <v>20</v>
      </c>
      <c r="AC10202">
        <v>17.106299999999901</v>
      </c>
      <c r="AD10202">
        <v>-1.11757648966</v>
      </c>
      <c r="AE10202">
        <v>4.3200000000012999E-2</v>
      </c>
      <c r="AF10202">
        <v>1.9186284106606399</v>
      </c>
      <c r="AG10202">
        <v>-1.11757648966</v>
      </c>
      <c r="AH10202">
        <v>16.9252526854428</v>
      </c>
      <c r="AI10202">
        <v>93.753791142772499</v>
      </c>
      <c r="AJ10202">
        <v>83.532620336344195</v>
      </c>
      <c r="AK10202">
        <v>17.070275060892399</v>
      </c>
      <c r="AL10202">
        <v>95.927543172973699</v>
      </c>
      <c r="AM10202">
        <v>83.366250801344805</v>
      </c>
      <c r="AN10202">
        <v>1.00000002430782</v>
      </c>
    </row>
    <row r="10203" spans="1:40" x14ac:dyDescent="0.25">
      <c r="A10203" t="str">
        <f>"20190303154038939"</f>
        <v>20190303154038939</v>
      </c>
      <c r="B10203" t="str">
        <f>"1551598838928377"</f>
        <v>1551598838928377</v>
      </c>
      <c r="C10203" t="s">
        <v>40</v>
      </c>
      <c r="D10203">
        <v>4.7281329999999997</v>
      </c>
      <c r="E10203">
        <v>0.49682559999999898</v>
      </c>
      <c r="F10203" t="s">
        <v>42</v>
      </c>
      <c r="G10203">
        <v>-150.11349999999999</v>
      </c>
      <c r="H10203" s="1">
        <v>-4.5530719999999997E-6</v>
      </c>
      <c r="I10203">
        <v>137.7587</v>
      </c>
      <c r="J10203">
        <v>-167.2004</v>
      </c>
      <c r="K10203">
        <v>1.1176889999999999</v>
      </c>
      <c r="L10203">
        <v>137.6405</v>
      </c>
      <c r="M10203">
        <v>0.99396169999999995</v>
      </c>
      <c r="N10203">
        <v>-9.2438420000000004E-3</v>
      </c>
      <c r="O10203">
        <v>0.1093388</v>
      </c>
      <c r="P10203">
        <v>0.99369719999999995</v>
      </c>
      <c r="Q10203">
        <v>-0.11209139999999999</v>
      </c>
      <c r="R10203">
        <v>1.225425E-3</v>
      </c>
      <c r="S10203">
        <v>2.9971160000000001</v>
      </c>
      <c r="T10203">
        <v>-0.1937025</v>
      </c>
      <c r="U10203">
        <v>2.3391720000000001E-2</v>
      </c>
      <c r="V10203">
        <v>0.1067298</v>
      </c>
      <c r="W10203">
        <v>-0.103687</v>
      </c>
      <c r="X10203">
        <v>0.98886689999999999</v>
      </c>
      <c r="Y10203">
        <v>0.1011744</v>
      </c>
      <c r="Z10203">
        <v>-9.7704030000000004E-3</v>
      </c>
      <c r="AA10203">
        <v>0.9948207</v>
      </c>
      <c r="AB10203">
        <v>20</v>
      </c>
      <c r="AC10203">
        <v>17.0869</v>
      </c>
      <c r="AD10203">
        <v>-1.117693553072</v>
      </c>
      <c r="AE10203">
        <v>0.118200000000001</v>
      </c>
      <c r="AF10203">
        <v>1.74339021785086</v>
      </c>
      <c r="AG10203">
        <v>-1.117693553072</v>
      </c>
      <c r="AH10203">
        <v>16.924957296932298</v>
      </c>
      <c r="AI10203">
        <v>93.758394560828407</v>
      </c>
      <c r="AJ10203">
        <v>84.1188717301455</v>
      </c>
      <c r="AK10203">
        <v>17.0511825933939</v>
      </c>
      <c r="AL10203">
        <v>95.9515243185011</v>
      </c>
      <c r="AM10203">
        <v>83.839832125443806</v>
      </c>
      <c r="AN10203">
        <v>0.99999999504632497</v>
      </c>
    </row>
    <row r="10204" spans="1:40" x14ac:dyDescent="0.25">
      <c r="A10204" t="str">
        <f>"20190303154038960"</f>
        <v>20190303154038960</v>
      </c>
      <c r="B10204" t="str">
        <f>"1551598838947896"</f>
        <v>1551598838947896</v>
      </c>
      <c r="C10204" t="s">
        <v>40</v>
      </c>
      <c r="D10204">
        <v>4.7658129999999996</v>
      </c>
      <c r="E10204">
        <v>0.49633939999999999</v>
      </c>
      <c r="F10204" t="s">
        <v>42</v>
      </c>
      <c r="G10204">
        <v>-150.16919999999999</v>
      </c>
      <c r="H10204" s="1">
        <v>-4.5162299999999996E-6</v>
      </c>
      <c r="I10204">
        <v>137.83179999999999</v>
      </c>
      <c r="J10204">
        <v>-167.00399999999999</v>
      </c>
      <c r="K10204">
        <v>1.1177859999999999</v>
      </c>
      <c r="L10204">
        <v>137.65559999999999</v>
      </c>
      <c r="M10204">
        <v>0.99453639999999999</v>
      </c>
      <c r="N10204">
        <v>-9.5087899999999996E-3</v>
      </c>
      <c r="O10204">
        <v>0.10395699999999999</v>
      </c>
      <c r="P10204">
        <v>0.99350830000000001</v>
      </c>
      <c r="Q10204">
        <v>-0.1137006</v>
      </c>
      <c r="R10204">
        <v>3.6792750000000001E-3</v>
      </c>
      <c r="S10204">
        <v>2.9967959999999998</v>
      </c>
      <c r="T10204">
        <v>-0.19666810000000001</v>
      </c>
      <c r="U10204">
        <v>3.3660889999999999E-2</v>
      </c>
      <c r="V10204">
        <v>9.8933640000000003E-2</v>
      </c>
      <c r="W10204">
        <v>-0.1049542</v>
      </c>
      <c r="X10204">
        <v>0.98954370000000003</v>
      </c>
      <c r="Y10204">
        <v>9.2394100000000007E-2</v>
      </c>
      <c r="Z10204">
        <v>-9.2836410000000005E-3</v>
      </c>
      <c r="AA10204">
        <v>0.99567930000000004</v>
      </c>
      <c r="AB10204">
        <v>20</v>
      </c>
      <c r="AC10204">
        <v>16.834800000000001</v>
      </c>
      <c r="AD10204">
        <v>-1.1177905162299999</v>
      </c>
      <c r="AE10204">
        <v>0.176199999999994</v>
      </c>
      <c r="AF10204">
        <v>1.56801702279873</v>
      </c>
      <c r="AG10204">
        <v>-1.1177905162299999</v>
      </c>
      <c r="AH10204">
        <v>16.688330522736301</v>
      </c>
      <c r="AI10204">
        <v>93.815214763590603</v>
      </c>
      <c r="AJ10204">
        <v>84.632310910596104</v>
      </c>
      <c r="AK10204">
        <v>16.799062731535201</v>
      </c>
      <c r="AL10204">
        <v>96.024527883608101</v>
      </c>
      <c r="AM10204">
        <v>84.290595273008506</v>
      </c>
      <c r="AN10204">
        <v>0.99999999171548903</v>
      </c>
    </row>
    <row r="10205" spans="1:40" x14ac:dyDescent="0.25">
      <c r="A10205" t="str">
        <f>"20190303154038982"</f>
        <v>20190303154038982</v>
      </c>
      <c r="B10205" t="str">
        <f>"1551598838978152"</f>
        <v>1551598838978152</v>
      </c>
      <c r="C10205" t="s">
        <v>40</v>
      </c>
      <c r="D10205">
        <v>4.7293989999999999</v>
      </c>
      <c r="E10205">
        <v>0.49658780000000002</v>
      </c>
      <c r="F10205" t="s">
        <v>42</v>
      </c>
      <c r="G10205">
        <v>-150.7927</v>
      </c>
      <c r="H10205" s="1">
        <v>-4.2369269999999997E-6</v>
      </c>
      <c r="I10205">
        <v>137.89830000000001</v>
      </c>
      <c r="J10205">
        <v>-166.80930000000001</v>
      </c>
      <c r="K10205">
        <v>1.117858</v>
      </c>
      <c r="L10205">
        <v>137.66970000000001</v>
      </c>
      <c r="M10205">
        <v>0.99506099999999997</v>
      </c>
      <c r="N10205">
        <v>-9.7046619999999993E-3</v>
      </c>
      <c r="O10205">
        <v>9.879048E-2</v>
      </c>
      <c r="P10205">
        <v>0.99345969999999995</v>
      </c>
      <c r="Q10205">
        <v>-0.11405170000000001</v>
      </c>
      <c r="R10205">
        <v>5.5034899999999998E-3</v>
      </c>
      <c r="S10205">
        <v>2.9958040000000001</v>
      </c>
      <c r="T10205">
        <v>-0.2065642</v>
      </c>
      <c r="U10205">
        <v>4.4860839999999999E-2</v>
      </c>
      <c r="V10205">
        <v>9.1997709999999996E-2</v>
      </c>
      <c r="W10205">
        <v>-0.1050418</v>
      </c>
      <c r="X10205">
        <v>0.99020330000000001</v>
      </c>
      <c r="Y10205">
        <v>8.3485950000000003E-2</v>
      </c>
      <c r="Z10205">
        <v>-9.1149190000000008E-3</v>
      </c>
      <c r="AA10205">
        <v>0.99646729999999994</v>
      </c>
      <c r="AB10205">
        <v>20</v>
      </c>
      <c r="AC10205">
        <v>16.0166</v>
      </c>
      <c r="AD10205">
        <v>-1.1178622369269999</v>
      </c>
      <c r="AE10205">
        <v>0.2286</v>
      </c>
      <c r="AF10205">
        <v>1.3483138025441701</v>
      </c>
      <c r="AG10205">
        <v>-1.1178622369269999</v>
      </c>
      <c r="AH10205">
        <v>15.8834722675651</v>
      </c>
      <c r="AI10205">
        <v>94.011399552338403</v>
      </c>
      <c r="AJ10205">
        <v>85.147916801632604</v>
      </c>
      <c r="AK10205">
        <v>15.979745222167599</v>
      </c>
      <c r="AL10205">
        <v>96.029575042025598</v>
      </c>
      <c r="AM10205">
        <v>84.692007051116406</v>
      </c>
      <c r="AN10205">
        <v>0.99999996686168602</v>
      </c>
    </row>
    <row r="10206" spans="1:40" x14ac:dyDescent="0.25">
      <c r="A10206" t="str">
        <f>"20190303154039004"</f>
        <v>20190303154039004</v>
      </c>
      <c r="B10206" t="str">
        <f>"1551598838998648"</f>
        <v>1551598838998648</v>
      </c>
      <c r="C10206" t="s">
        <v>40</v>
      </c>
      <c r="D10206">
        <v>4.7272160000000003</v>
      </c>
      <c r="E10206">
        <v>0.49674800000000002</v>
      </c>
      <c r="F10206" t="s">
        <v>42</v>
      </c>
      <c r="G10206">
        <v>-150.84209999999999</v>
      </c>
      <c r="H10206" s="1">
        <v>-4.2107509999999997E-6</v>
      </c>
      <c r="I10206">
        <v>137.9265</v>
      </c>
      <c r="J10206">
        <v>-166.6088</v>
      </c>
      <c r="K10206">
        <v>1.1179300000000001</v>
      </c>
      <c r="L10206">
        <v>137.68340000000001</v>
      </c>
      <c r="M10206">
        <v>0.99555800000000005</v>
      </c>
      <c r="N10206">
        <v>-9.8321120000000005E-3</v>
      </c>
      <c r="O10206">
        <v>9.3637100000000001E-2</v>
      </c>
      <c r="P10206">
        <v>0.99344929999999998</v>
      </c>
      <c r="Q10206">
        <v>-0.114076</v>
      </c>
      <c r="R10206">
        <v>6.7485000000000002E-3</v>
      </c>
      <c r="S10206">
        <v>2.995422</v>
      </c>
      <c r="T10206">
        <v>-0.20970820000000001</v>
      </c>
      <c r="U10206">
        <v>4.8187260000000003E-2</v>
      </c>
      <c r="V10206">
        <v>8.5655460000000003E-2</v>
      </c>
      <c r="W10206">
        <v>-0.10487680000000001</v>
      </c>
      <c r="X10206">
        <v>0.99078960000000005</v>
      </c>
      <c r="Y10206">
        <v>7.723112E-2</v>
      </c>
      <c r="Z10206">
        <v>-8.6979919999999999E-3</v>
      </c>
      <c r="AA10206">
        <v>0.99697530000000001</v>
      </c>
      <c r="AB10206">
        <v>20</v>
      </c>
      <c r="AC10206">
        <v>15.7667</v>
      </c>
      <c r="AD10206">
        <v>-1.117934210751</v>
      </c>
      <c r="AE10206">
        <v>0.24309999999999801</v>
      </c>
      <c r="AF10206">
        <v>1.2282140288701899</v>
      </c>
      <c r="AG10206">
        <v>-1.117934210751</v>
      </c>
      <c r="AH10206">
        <v>15.6415658653964</v>
      </c>
      <c r="AI10206">
        <v>94.075590391523093</v>
      </c>
      <c r="AJ10206">
        <v>85.510207740877902</v>
      </c>
      <c r="AK10206">
        <v>15.729490434270801</v>
      </c>
      <c r="AL10206">
        <v>96.020068431795593</v>
      </c>
      <c r="AM10206">
        <v>85.05896676255</v>
      </c>
      <c r="AN10206">
        <v>1.0000000162371001</v>
      </c>
    </row>
    <row r="10207" spans="1:40" x14ac:dyDescent="0.25">
      <c r="A10207" t="str">
        <f>"20190303154039026"</f>
        <v>20190303154039026</v>
      </c>
      <c r="B10207" t="str">
        <f>"1551598839018168"</f>
        <v>1551598839018168</v>
      </c>
      <c r="C10207" t="s">
        <v>40</v>
      </c>
      <c r="D10207">
        <v>4.7834110000000001</v>
      </c>
      <c r="E10207">
        <v>0.49655890000000003</v>
      </c>
      <c r="F10207" t="s">
        <v>42</v>
      </c>
      <c r="G10207">
        <v>-150.61070000000001</v>
      </c>
      <c r="H10207" s="1">
        <v>-4.3051609999999999E-6</v>
      </c>
      <c r="I10207">
        <v>137.9538</v>
      </c>
      <c r="J10207">
        <v>-166.41040000000001</v>
      </c>
      <c r="K10207">
        <v>1.1179939999999999</v>
      </c>
      <c r="L10207">
        <v>137.6962</v>
      </c>
      <c r="M10207">
        <v>0.99601050000000002</v>
      </c>
      <c r="N10207">
        <v>-9.8754800000000007E-3</v>
      </c>
      <c r="O10207">
        <v>8.8687230000000006E-2</v>
      </c>
      <c r="P10207">
        <v>0.99351160000000005</v>
      </c>
      <c r="Q10207">
        <v>-0.1134686</v>
      </c>
      <c r="R10207">
        <v>7.7061469999999896E-3</v>
      </c>
      <c r="S10207">
        <v>2.9954070000000002</v>
      </c>
      <c r="T10207">
        <v>-0.2093161</v>
      </c>
      <c r="U10207">
        <v>5.0628659999999999E-2</v>
      </c>
      <c r="V10207">
        <v>7.9810909999999999E-2</v>
      </c>
      <c r="W10207">
        <v>-0.10416880000000001</v>
      </c>
      <c r="X10207">
        <v>0.99135209999999996</v>
      </c>
      <c r="Y10207">
        <v>7.1488049999999997E-2</v>
      </c>
      <c r="Z10207">
        <v>-8.1542669999999998E-3</v>
      </c>
      <c r="AA10207">
        <v>0.99740819999999997</v>
      </c>
      <c r="AB10207">
        <v>20</v>
      </c>
      <c r="AC10207">
        <v>15.7997</v>
      </c>
      <c r="AD10207">
        <v>-1.1179983051610001</v>
      </c>
      <c r="AE10207">
        <v>0.257599999999996</v>
      </c>
      <c r="AF10207">
        <v>1.1390136027050799</v>
      </c>
      <c r="AG10207">
        <v>-1.1179983051610001</v>
      </c>
      <c r="AH10207">
        <v>15.6817834223963</v>
      </c>
      <c r="AI10207">
        <v>94.067199141531205</v>
      </c>
      <c r="AJ10207">
        <v>85.845735741819993</v>
      </c>
      <c r="AK10207">
        <v>15.762791742087799</v>
      </c>
      <c r="AL10207">
        <v>95.979279976684893</v>
      </c>
      <c r="AM10207">
        <v>85.397208413418397</v>
      </c>
      <c r="AN10207">
        <v>0.99999995321143798</v>
      </c>
    </row>
    <row r="10208" spans="1:40" x14ac:dyDescent="0.25">
      <c r="A10208" t="str">
        <f>"20190303154039049"</f>
        <v>20190303154039049</v>
      </c>
      <c r="B10208" t="str">
        <f>"1551598839038666"</f>
        <v>1551598839038666</v>
      </c>
      <c r="C10208" t="s">
        <v>40</v>
      </c>
      <c r="D10208">
        <v>4.792338</v>
      </c>
      <c r="E10208">
        <v>0.49650309999999998</v>
      </c>
      <c r="F10208" t="s">
        <v>42</v>
      </c>
      <c r="G10208">
        <v>-150.69329999999999</v>
      </c>
      <c r="H10208" s="1">
        <v>-4.2644460000000002E-6</v>
      </c>
      <c r="I10208">
        <v>137.9837</v>
      </c>
      <c r="J10208">
        <v>-166.21119999999999</v>
      </c>
      <c r="K10208">
        <v>1.118039</v>
      </c>
      <c r="L10208">
        <v>137.70820000000001</v>
      </c>
      <c r="M10208">
        <v>0.99642869999999995</v>
      </c>
      <c r="N10208">
        <v>-9.8167900000000006E-3</v>
      </c>
      <c r="O10208">
        <v>8.3866860000000001E-2</v>
      </c>
      <c r="P10208">
        <v>0.99361140000000003</v>
      </c>
      <c r="Q10208">
        <v>-0.11251650000000001</v>
      </c>
      <c r="R10208">
        <v>8.7585519999999993E-3</v>
      </c>
      <c r="S10208">
        <v>2.9948269999999999</v>
      </c>
      <c r="T10208">
        <v>-0.21302940000000001</v>
      </c>
      <c r="U10208">
        <v>5.4794309999999999E-2</v>
      </c>
      <c r="V10208">
        <v>7.4004089999999995E-2</v>
      </c>
      <c r="W10208">
        <v>-0.1032193</v>
      </c>
      <c r="X10208">
        <v>0.99190179999999994</v>
      </c>
      <c r="Y10208">
        <v>6.5283510000000003E-2</v>
      </c>
      <c r="Z10208">
        <v>-7.7676809999999898E-3</v>
      </c>
      <c r="AA10208">
        <v>0.99783650000000002</v>
      </c>
      <c r="AB10208">
        <v>20</v>
      </c>
      <c r="AC10208">
        <v>15.5178999999999</v>
      </c>
      <c r="AD10208">
        <v>-1.1180432644460001</v>
      </c>
      <c r="AE10208">
        <v>0.27549999999999297</v>
      </c>
      <c r="AF10208">
        <v>1.02166901981891</v>
      </c>
      <c r="AG10208">
        <v>-1.1180432644460001</v>
      </c>
      <c r="AH10208">
        <v>15.406381738163001</v>
      </c>
      <c r="AI10208">
        <v>94.141621541750993</v>
      </c>
      <c r="AJ10208">
        <v>86.206004692916693</v>
      </c>
      <c r="AK10208">
        <v>15.4806468401431</v>
      </c>
      <c r="AL10208">
        <v>95.924582461779096</v>
      </c>
      <c r="AM10208">
        <v>85.7331655247622</v>
      </c>
      <c r="AN10208">
        <v>1.0000000050362201</v>
      </c>
    </row>
    <row r="10209" spans="1:40" x14ac:dyDescent="0.25">
      <c r="A10209" t="str">
        <f>"20190303154039072"</f>
        <v>20190303154039072</v>
      </c>
      <c r="B10209" t="str">
        <f>"1551598839067945"</f>
        <v>1551598839067945</v>
      </c>
      <c r="C10209" t="s">
        <v>40</v>
      </c>
      <c r="D10209">
        <v>4.8120279999999998</v>
      </c>
      <c r="E10209">
        <v>0.49659890000000001</v>
      </c>
      <c r="F10209" t="s">
        <v>42</v>
      </c>
      <c r="G10209">
        <v>-150.5145</v>
      </c>
      <c r="H10209" s="1">
        <v>-4.3360620000000001E-6</v>
      </c>
      <c r="I10209">
        <v>138.01230000000001</v>
      </c>
      <c r="J10209">
        <v>-166.00640000000001</v>
      </c>
      <c r="K10209">
        <v>1.1180699999999999</v>
      </c>
      <c r="L10209">
        <v>137.71979999999999</v>
      </c>
      <c r="M10209">
        <v>0.99682059999999995</v>
      </c>
      <c r="N10209">
        <v>-9.6238439999999995E-3</v>
      </c>
      <c r="O10209">
        <v>7.9095769999999996E-2</v>
      </c>
      <c r="P10209">
        <v>0.99368610000000002</v>
      </c>
      <c r="Q10209">
        <v>-0.11185290000000001</v>
      </c>
      <c r="R10209">
        <v>8.7999819999999996E-3</v>
      </c>
      <c r="S10209">
        <v>2.9946139999999999</v>
      </c>
      <c r="T10209">
        <v>-0.21329960000000001</v>
      </c>
      <c r="U10209">
        <v>5.8029169999999998E-2</v>
      </c>
      <c r="V10209">
        <v>6.9248829999999997E-2</v>
      </c>
      <c r="W10209">
        <v>-0.10270029999999999</v>
      </c>
      <c r="X10209">
        <v>0.99229900000000004</v>
      </c>
      <c r="Y10209">
        <v>5.9450749999999997E-2</v>
      </c>
      <c r="Z10209">
        <v>-7.2605159999999998E-3</v>
      </c>
      <c r="AA10209">
        <v>0.9982048</v>
      </c>
      <c r="AB10209">
        <v>20</v>
      </c>
      <c r="AC10209">
        <v>15.491899999999999</v>
      </c>
      <c r="AD10209">
        <v>-1.118074336062</v>
      </c>
      <c r="AE10209">
        <v>0.29250000000001802</v>
      </c>
      <c r="AF10209">
        <v>0.92897986489233497</v>
      </c>
      <c r="AG10209">
        <v>-1.118074336062</v>
      </c>
      <c r="AH10209">
        <v>15.386381326697901</v>
      </c>
      <c r="AI10209">
        <v>94.148649731481697</v>
      </c>
      <c r="AJ10209">
        <v>86.544860753219496</v>
      </c>
      <c r="AK10209">
        <v>15.4548964454924</v>
      </c>
      <c r="AL10209">
        <v>95.894686933296299</v>
      </c>
      <c r="AM10209">
        <v>86.008014271149193</v>
      </c>
      <c r="AN10209">
        <v>1.0000000287387201</v>
      </c>
    </row>
    <row r="10210" spans="1:40" x14ac:dyDescent="0.25">
      <c r="A10210" t="str">
        <f>"20190303154039093"</f>
        <v>20190303154039093</v>
      </c>
      <c r="B10210" t="str">
        <f>"1551598839088440"</f>
        <v>1551598839088440</v>
      </c>
      <c r="C10210" t="s">
        <v>40</v>
      </c>
      <c r="D10210">
        <v>4.8347949999999997</v>
      </c>
      <c r="E10210">
        <v>0.49670789999999998</v>
      </c>
      <c r="F10210" t="s">
        <v>44</v>
      </c>
      <c r="G10210">
        <v>-165.10910000000001</v>
      </c>
      <c r="H10210">
        <v>1.053477</v>
      </c>
      <c r="I10210">
        <v>137.73679999999999</v>
      </c>
      <c r="J10210">
        <v>-165.80599999999899</v>
      </c>
      <c r="K10210">
        <v>1.118088</v>
      </c>
      <c r="L10210">
        <v>137.7304</v>
      </c>
      <c r="M10210">
        <v>0.99716859999999996</v>
      </c>
      <c r="N10210">
        <v>-9.32587E-3</v>
      </c>
      <c r="O10210">
        <v>7.4617420000000004E-2</v>
      </c>
      <c r="P10210">
        <v>0.99378650000000002</v>
      </c>
      <c r="Q10210">
        <v>-0.1109615</v>
      </c>
      <c r="R10210">
        <v>8.7114359999999995E-3</v>
      </c>
      <c r="S10210">
        <v>2.9943080000000002</v>
      </c>
      <c r="T10210">
        <v>-0.2154586</v>
      </c>
      <c r="U10210">
        <v>5.7235719999999997E-2</v>
      </c>
      <c r="V10210">
        <v>6.4917210000000003E-2</v>
      </c>
      <c r="W10210">
        <v>-0.10206229999999999</v>
      </c>
      <c r="X10210">
        <v>0.99265749999999997</v>
      </c>
      <c r="Y10210">
        <v>5.524196E-2</v>
      </c>
      <c r="Z10210">
        <v>-6.9041479999999997E-3</v>
      </c>
      <c r="AA10210">
        <v>0.99844909999999998</v>
      </c>
      <c r="AB10210">
        <v>20</v>
      </c>
      <c r="AC10210">
        <v>0.69689999999997099</v>
      </c>
      <c r="AD10210">
        <v>-6.4610999999999905E-2</v>
      </c>
      <c r="AE10210">
        <v>6.39999999998508E-3</v>
      </c>
      <c r="AF10210">
        <v>4.5232224495927599E-2</v>
      </c>
      <c r="AG10210">
        <v>-6.4610999999999905E-2</v>
      </c>
      <c r="AH10210">
        <v>0.68950842765236597</v>
      </c>
      <c r="AI10210">
        <v>95.341904329770799</v>
      </c>
      <c r="AJ10210">
        <v>86.246735502455195</v>
      </c>
      <c r="AK10210">
        <v>0.69400461616439402</v>
      </c>
      <c r="AL10210">
        <v>95.857939677426799</v>
      </c>
      <c r="AM10210">
        <v>86.258333615386704</v>
      </c>
      <c r="AN10210">
        <v>0.99999993477085902</v>
      </c>
    </row>
    <row r="10211" spans="1:40" x14ac:dyDescent="0.25">
      <c r="A10211" t="str">
        <f>"20190303154039117"</f>
        <v>20190303154039117</v>
      </c>
      <c r="B10211" t="str">
        <f>"1551598839107961"</f>
        <v>1551598839107961</v>
      </c>
      <c r="C10211" t="s">
        <v>40</v>
      </c>
      <c r="D10211">
        <v>4.7461440000000001</v>
      </c>
      <c r="E10211">
        <v>0.49708940000000001</v>
      </c>
      <c r="F10211" t="s">
        <v>44</v>
      </c>
      <c r="G10211">
        <v>-164.9247</v>
      </c>
      <c r="H10211">
        <v>1.0542910000000001</v>
      </c>
      <c r="I10211">
        <v>137.74690000000001</v>
      </c>
      <c r="J10211">
        <v>-165.5932</v>
      </c>
      <c r="K10211">
        <v>1.1180950000000001</v>
      </c>
      <c r="L10211">
        <v>137.74100000000001</v>
      </c>
      <c r="M10211">
        <v>0.99750369999999999</v>
      </c>
      <c r="N10211">
        <v>-8.9413640000000003E-3</v>
      </c>
      <c r="O10211">
        <v>7.0045540000000003E-2</v>
      </c>
      <c r="P10211">
        <v>0.99391479999999999</v>
      </c>
      <c r="Q10211">
        <v>-0.1098624</v>
      </c>
      <c r="R10211">
        <v>7.9776629999999994E-3</v>
      </c>
      <c r="S10211">
        <v>2.9940799999999999</v>
      </c>
      <c r="T10211">
        <v>-0.21672939999999999</v>
      </c>
      <c r="U10211">
        <v>5.595398E-2</v>
      </c>
      <c r="V10211">
        <v>6.1135719999999998E-2</v>
      </c>
      <c r="W10211">
        <v>-0.1013086</v>
      </c>
      <c r="X10211">
        <v>0.99297480000000005</v>
      </c>
      <c r="Y10211">
        <v>5.1106449999999998E-2</v>
      </c>
      <c r="Z10211">
        <v>-6.5092359999999998E-3</v>
      </c>
      <c r="AA10211">
        <v>0.998672</v>
      </c>
      <c r="AB10211">
        <v>20</v>
      </c>
      <c r="AC10211">
        <v>0.66849999999999399</v>
      </c>
      <c r="AD10211">
        <v>-6.3803999999999902E-2</v>
      </c>
      <c r="AE10211">
        <v>5.8999999999968999E-3</v>
      </c>
      <c r="AF10211">
        <v>4.0572246404583803E-2</v>
      </c>
      <c r="AG10211">
        <v>-6.3803999999999902E-2</v>
      </c>
      <c r="AH10211">
        <v>0.66124803217400996</v>
      </c>
      <c r="AI10211">
        <v>95.501141248300101</v>
      </c>
      <c r="AJ10211">
        <v>86.488900100492003</v>
      </c>
      <c r="AK10211">
        <v>0.66555692292118396</v>
      </c>
      <c r="AL10211">
        <v>95.814530569056103</v>
      </c>
      <c r="AM10211">
        <v>86.476846354086703</v>
      </c>
      <c r="AN10211">
        <v>0.99999998106445898</v>
      </c>
    </row>
    <row r="10212" spans="1:40" x14ac:dyDescent="0.25">
      <c r="A10212" t="str">
        <f>"20190303154039139"</f>
        <v>20190303154039139</v>
      </c>
      <c r="B10212" t="str">
        <f>"1551598839128457"</f>
        <v>1551598839128457</v>
      </c>
      <c r="C10212" t="s">
        <v>40</v>
      </c>
      <c r="D10212">
        <v>4.7378749999999998</v>
      </c>
      <c r="E10212">
        <v>0.49748559999999997</v>
      </c>
      <c r="F10212" t="s">
        <v>42</v>
      </c>
      <c r="G10212">
        <v>-149.7758</v>
      </c>
      <c r="H10212" s="1">
        <v>-4.8990749999999995E-7</v>
      </c>
      <c r="I10212">
        <v>138.0093</v>
      </c>
      <c r="J10212">
        <v>-165.39179999999999</v>
      </c>
      <c r="K10212">
        <v>1.1181030000000001</v>
      </c>
      <c r="L10212">
        <v>137.75049999999999</v>
      </c>
      <c r="M10212">
        <v>0.99778920000000004</v>
      </c>
      <c r="N10212">
        <v>-8.5452489999999996E-3</v>
      </c>
      <c r="O10212">
        <v>6.5906950000000006E-2</v>
      </c>
      <c r="P10212">
        <v>0.99408229999999997</v>
      </c>
      <c r="Q10212">
        <v>-0.1083983</v>
      </c>
      <c r="R10212">
        <v>7.0699359999999998E-3</v>
      </c>
      <c r="S10212">
        <v>2.9945529999999998</v>
      </c>
      <c r="T10212">
        <v>-0.21167830000000001</v>
      </c>
      <c r="U10212">
        <v>5.0796510000000003E-2</v>
      </c>
      <c r="V10212">
        <v>5.7960280000000003E-2</v>
      </c>
      <c r="W10212">
        <v>-0.1002077</v>
      </c>
      <c r="X10212">
        <v>0.99327690000000002</v>
      </c>
      <c r="Y10212">
        <v>4.8713190000000003E-2</v>
      </c>
      <c r="Z10212">
        <v>-6.0144509999999997E-3</v>
      </c>
      <c r="AA10212">
        <v>0.99879470000000004</v>
      </c>
      <c r="AB10212">
        <v>20</v>
      </c>
      <c r="AC10212">
        <v>15.6159999999999</v>
      </c>
      <c r="AD10212">
        <v>-1.1181034899075</v>
      </c>
      <c r="AE10212">
        <v>0.25880000000000702</v>
      </c>
      <c r="AF10212">
        <v>0.76707187769614704</v>
      </c>
      <c r="AG10212">
        <v>-1.1181034899075</v>
      </c>
      <c r="AH10212">
        <v>15.5195623156566</v>
      </c>
      <c r="AI10212">
        <v>94.115735417003805</v>
      </c>
      <c r="AJ10212">
        <v>87.170394141164095</v>
      </c>
      <c r="AK10212">
        <v>15.578683164800699</v>
      </c>
      <c r="AL10212">
        <v>95.751130953484804</v>
      </c>
      <c r="AM10212">
        <v>86.660429856258006</v>
      </c>
      <c r="AN10212">
        <v>0.99999998863528905</v>
      </c>
    </row>
    <row r="10213" spans="1:40" x14ac:dyDescent="0.25">
      <c r="A10213" t="str">
        <f>"20190303154039162"</f>
        <v>20190303154039162</v>
      </c>
      <c r="B10213" t="str">
        <f>"1551598839157737"</f>
        <v>1551598839157737</v>
      </c>
      <c r="C10213" t="s">
        <v>40</v>
      </c>
      <c r="D10213">
        <v>4.8325019999999999</v>
      </c>
      <c r="E10213">
        <v>0.49784149999999999</v>
      </c>
      <c r="F10213" t="s">
        <v>42</v>
      </c>
      <c r="G10213">
        <v>-149.18340000000001</v>
      </c>
      <c r="H10213" s="1">
        <v>-6.9557839999999995E-7</v>
      </c>
      <c r="I10213">
        <v>137.9939</v>
      </c>
      <c r="J10213">
        <v>-165.1781</v>
      </c>
      <c r="K10213">
        <v>1.1181209999999999</v>
      </c>
      <c r="L10213">
        <v>137.75980000000001</v>
      </c>
      <c r="M10213">
        <v>0.99805949999999999</v>
      </c>
      <c r="N10213">
        <v>-8.1073229999999996E-3</v>
      </c>
      <c r="O10213">
        <v>6.1738349999999997E-2</v>
      </c>
      <c r="P10213">
        <v>0.99431619999999998</v>
      </c>
      <c r="Q10213">
        <v>-0.1062988</v>
      </c>
      <c r="R10213">
        <v>6.0014469999999896E-3</v>
      </c>
      <c r="S10213">
        <v>2.9949949999999999</v>
      </c>
      <c r="T10213">
        <v>-0.2066038</v>
      </c>
      <c r="U10213">
        <v>4.4998169999999997E-2</v>
      </c>
      <c r="V10213">
        <v>5.4922360000000003E-2</v>
      </c>
      <c r="W10213">
        <v>-9.8513909999999996E-2</v>
      </c>
      <c r="X10213">
        <v>0.99361889999999997</v>
      </c>
      <c r="Y10213">
        <v>4.6501790000000001E-2</v>
      </c>
      <c r="Z10213">
        <v>-5.5414820000000004E-3</v>
      </c>
      <c r="AA10213">
        <v>0.99890290000000004</v>
      </c>
      <c r="AB10213">
        <v>20</v>
      </c>
      <c r="AC10213">
        <v>15.9946999999999</v>
      </c>
      <c r="AD10213">
        <v>-1.1181216955783999</v>
      </c>
      <c r="AE10213">
        <v>0.23409999999998299</v>
      </c>
      <c r="AF10213">
        <v>0.75020008467059895</v>
      </c>
      <c r="AG10213">
        <v>-1.1181216955783999</v>
      </c>
      <c r="AH10213">
        <v>15.900951051477</v>
      </c>
      <c r="AI10213">
        <v>94.017844266508405</v>
      </c>
      <c r="AJ10213">
        <v>87.298812587973799</v>
      </c>
      <c r="AK10213">
        <v>15.957858272168901</v>
      </c>
      <c r="AL10213">
        <v>95.653601301372305</v>
      </c>
      <c r="AM10213">
        <v>86.836190988524393</v>
      </c>
      <c r="AN10213">
        <v>0.99999998726433303</v>
      </c>
    </row>
    <row r="10214" spans="1:40" x14ac:dyDescent="0.25">
      <c r="A10214" t="str">
        <f>"20190303154039184"</f>
        <v>20190303154039184</v>
      </c>
      <c r="B10214" t="str">
        <f>"1551598839178233"</f>
        <v>1551598839178233</v>
      </c>
      <c r="C10214" t="s">
        <v>40</v>
      </c>
      <c r="D10214">
        <v>4.8157079999999999</v>
      </c>
      <c r="E10214">
        <v>0.4980561</v>
      </c>
      <c r="F10214" t="s">
        <v>42</v>
      </c>
      <c r="G10214">
        <v>-148.62739999999999</v>
      </c>
      <c r="H10214" s="1">
        <v>-8.8977509999999897E-7</v>
      </c>
      <c r="I10214">
        <v>137.9753</v>
      </c>
      <c r="J10214">
        <v>-164.9727</v>
      </c>
      <c r="K10214">
        <v>1.1181570000000001</v>
      </c>
      <c r="L10214">
        <v>137.76820000000001</v>
      </c>
      <c r="M10214">
        <v>0.99828910000000004</v>
      </c>
      <c r="N10214">
        <v>-7.6801899999999999E-3</v>
      </c>
      <c r="O10214">
        <v>5.7964189999999999E-2</v>
      </c>
      <c r="P10214">
        <v>0.99441630000000003</v>
      </c>
      <c r="Q10214">
        <v>-0.1053801</v>
      </c>
      <c r="R10214">
        <v>5.5939980000000002E-3</v>
      </c>
      <c r="S10214">
        <v>2.9952700000000001</v>
      </c>
      <c r="T10214">
        <v>-0.2023517</v>
      </c>
      <c r="U10214">
        <v>3.9001460000000002E-2</v>
      </c>
      <c r="V10214">
        <v>5.1603379999999997E-2</v>
      </c>
      <c r="W10214">
        <v>-9.7990499999999994E-2</v>
      </c>
      <c r="X10214">
        <v>0.99384859999999997</v>
      </c>
      <c r="Y10214">
        <v>4.4745760000000002E-2</v>
      </c>
      <c r="Z10214">
        <v>-5.1460259999999997E-3</v>
      </c>
      <c r="AA10214">
        <v>0.99898520000000002</v>
      </c>
      <c r="AB10214">
        <v>21</v>
      </c>
      <c r="AC10214">
        <v>16.345300000000002</v>
      </c>
      <c r="AD10214">
        <v>-1.1181578897750999</v>
      </c>
      <c r="AE10214">
        <v>0.20709999999999601</v>
      </c>
      <c r="AF10214">
        <v>0.737268601529109</v>
      </c>
      <c r="AG10214">
        <v>-1.1181578897750999</v>
      </c>
      <c r="AH10214">
        <v>16.253770164842201</v>
      </c>
      <c r="AI10214">
        <v>93.931361826584705</v>
      </c>
      <c r="AJ10214">
        <v>87.402852196064003</v>
      </c>
      <c r="AK10214">
        <v>16.3088591455314</v>
      </c>
      <c r="AL10214">
        <v>95.623465993687702</v>
      </c>
      <c r="AM10214">
        <v>87.027713125510601</v>
      </c>
      <c r="AN10214">
        <v>1.00000004331981</v>
      </c>
    </row>
    <row r="10215" spans="1:40" x14ac:dyDescent="0.25">
      <c r="A10215" t="str">
        <f>"20190303154039205"</f>
        <v>20190303154039205</v>
      </c>
      <c r="B10215" t="str">
        <f>"1551598839197753"</f>
        <v>1551598839197753</v>
      </c>
      <c r="C10215" t="s">
        <v>40</v>
      </c>
      <c r="D10215">
        <v>4.8439259999999997</v>
      </c>
      <c r="E10215">
        <v>0.49825419999999998</v>
      </c>
      <c r="F10215" t="s">
        <v>42</v>
      </c>
      <c r="G10215">
        <v>-148.33670000000001</v>
      </c>
      <c r="H10215" s="1">
        <v>-9.9031680000000003E-7</v>
      </c>
      <c r="I10215">
        <v>137.9692</v>
      </c>
      <c r="J10215">
        <v>-164.77029999999999</v>
      </c>
      <c r="K10215">
        <v>1.1181909999999999</v>
      </c>
      <c r="L10215">
        <v>137.77600000000001</v>
      </c>
      <c r="M10215">
        <v>0.99848910000000002</v>
      </c>
      <c r="N10215">
        <v>-7.262063E-3</v>
      </c>
      <c r="O10215">
        <v>5.446956E-2</v>
      </c>
      <c r="P10215">
        <v>0.99453290000000005</v>
      </c>
      <c r="Q10215">
        <v>-0.1042867</v>
      </c>
      <c r="R10215">
        <v>5.3708119999999896E-3</v>
      </c>
      <c r="S10215">
        <v>2.995285</v>
      </c>
      <c r="T10215">
        <v>-0.2013221</v>
      </c>
      <c r="U10215">
        <v>3.619385E-2</v>
      </c>
      <c r="V10215">
        <v>4.838079E-2</v>
      </c>
      <c r="W10215">
        <v>-9.7284919999999997E-2</v>
      </c>
      <c r="X10215">
        <v>0.99407990000000002</v>
      </c>
      <c r="Y10215">
        <v>4.2199090000000002E-2</v>
      </c>
      <c r="Z10215">
        <v>-4.8297490000000004E-3</v>
      </c>
      <c r="AA10215">
        <v>0.99909749999999997</v>
      </c>
      <c r="AB10215">
        <v>21</v>
      </c>
      <c r="AC10215">
        <v>16.433599999999899</v>
      </c>
      <c r="AD10215">
        <v>-1.1181919903167901</v>
      </c>
      <c r="AE10215">
        <v>0.19319999999998999</v>
      </c>
      <c r="AF10215">
        <v>0.69900548438508903</v>
      </c>
      <c r="AG10215">
        <v>-1.1181919903167901</v>
      </c>
      <c r="AH10215">
        <v>16.344065521716399</v>
      </c>
      <c r="AI10215">
        <v>93.9102730927887</v>
      </c>
      <c r="AJ10215">
        <v>87.5510577769045</v>
      </c>
      <c r="AK10215">
        <v>16.397177799016799</v>
      </c>
      <c r="AL10215">
        <v>95.582845664292805</v>
      </c>
      <c r="AM10215">
        <v>87.213675153271595</v>
      </c>
      <c r="AN10215">
        <v>0.99999995204221903</v>
      </c>
    </row>
    <row r="10216" spans="1:40" x14ac:dyDescent="0.25">
      <c r="A10216" t="str">
        <f>"20190303154039229"</f>
        <v>20190303154039229</v>
      </c>
      <c r="B10216" t="str">
        <f>"1551598839218249"</f>
        <v>1551598839218249</v>
      </c>
      <c r="C10216" t="s">
        <v>40</v>
      </c>
      <c r="D10216">
        <v>4.7870179999999998</v>
      </c>
      <c r="E10216">
        <v>0.4985077</v>
      </c>
      <c r="F10216" t="s">
        <v>42</v>
      </c>
      <c r="G10216">
        <v>-147.98509999999999</v>
      </c>
      <c r="H10216" s="1">
        <v>-1.1392400000000001E-6</v>
      </c>
      <c r="I10216">
        <v>137.96709999999999</v>
      </c>
      <c r="J10216">
        <v>-164.54769999999999</v>
      </c>
      <c r="K10216">
        <v>1.1182319999999999</v>
      </c>
      <c r="L10216">
        <v>137.7841</v>
      </c>
      <c r="M10216">
        <v>0.99868290000000004</v>
      </c>
      <c r="N10216">
        <v>-6.8099980000000003E-3</v>
      </c>
      <c r="O10216">
        <v>5.0857800000000002E-2</v>
      </c>
      <c r="P10216">
        <v>0.99462539999999999</v>
      </c>
      <c r="Q10216">
        <v>-0.10345459999999999</v>
      </c>
      <c r="R10216">
        <v>4.1865009999999996E-3</v>
      </c>
      <c r="S10216">
        <v>2.995377</v>
      </c>
      <c r="T10216">
        <v>-0.199544</v>
      </c>
      <c r="U10216">
        <v>3.4103389999999997E-2</v>
      </c>
      <c r="V10216">
        <v>4.6000770000000003E-2</v>
      </c>
      <c r="W10216">
        <v>-9.6878870000000006E-2</v>
      </c>
      <c r="X10216">
        <v>0.99423260000000002</v>
      </c>
      <c r="Y10216">
        <v>3.9299050000000002E-2</v>
      </c>
      <c r="Z10216">
        <v>-4.4781710000000004E-3</v>
      </c>
      <c r="AA10216">
        <v>0.99921749999999998</v>
      </c>
      <c r="AB10216">
        <v>21</v>
      </c>
      <c r="AC10216">
        <v>16.5626</v>
      </c>
      <c r="AD10216">
        <v>-1.11823313923999</v>
      </c>
      <c r="AE10216">
        <v>0.182999999999992</v>
      </c>
      <c r="AF10216">
        <v>0.65660093006900699</v>
      </c>
      <c r="AG10216">
        <v>-1.11823313923999</v>
      </c>
      <c r="AH10216">
        <v>16.4753812329749</v>
      </c>
      <c r="AI10216">
        <v>93.879809339409704</v>
      </c>
      <c r="AJ10216">
        <v>87.717772776175593</v>
      </c>
      <c r="AK10216">
        <v>16.526335253374398</v>
      </c>
      <c r="AL10216">
        <v>95.559469891117402</v>
      </c>
      <c r="AM10216">
        <v>87.350950187860803</v>
      </c>
      <c r="AN10216">
        <v>1.0000000245979099</v>
      </c>
    </row>
    <row r="10217" spans="1:40" x14ac:dyDescent="0.25">
      <c r="A10217" t="str">
        <f>"20190303154039250"</f>
        <v>20190303154039250</v>
      </c>
      <c r="B10217" t="str">
        <f>"1551598839237769"</f>
        <v>1551598839237769</v>
      </c>
      <c r="C10217" t="s">
        <v>40</v>
      </c>
      <c r="D10217">
        <v>4.8205580000000001</v>
      </c>
      <c r="E10217">
        <v>0.49859320000000001</v>
      </c>
      <c r="F10217" t="s">
        <v>42</v>
      </c>
      <c r="G10217">
        <v>-147.6729</v>
      </c>
      <c r="H10217" s="1">
        <v>-1.2773330000000001E-6</v>
      </c>
      <c r="I10217">
        <v>137.9435</v>
      </c>
      <c r="J10217">
        <v>-164.3509</v>
      </c>
      <c r="K10217">
        <v>1.118274</v>
      </c>
      <c r="L10217">
        <v>137.79069999999999</v>
      </c>
      <c r="M10217">
        <v>0.99883299999999997</v>
      </c>
      <c r="N10217">
        <v>-6.4189449999999997E-3</v>
      </c>
      <c r="O10217">
        <v>4.7869960000000003E-2</v>
      </c>
      <c r="P10217">
        <v>0.99472919999999998</v>
      </c>
      <c r="Q10217">
        <v>-0.10249220000000001</v>
      </c>
      <c r="R10217">
        <v>3.0425679999999998E-3</v>
      </c>
      <c r="S10217">
        <v>2.9954529999999999</v>
      </c>
      <c r="T10217">
        <v>-0.1984977</v>
      </c>
      <c r="U10217">
        <v>2.8305049999999998E-2</v>
      </c>
      <c r="V10217">
        <v>4.4197840000000002E-2</v>
      </c>
      <c r="W10217">
        <v>-9.628747E-2</v>
      </c>
      <c r="X10217">
        <v>0.99437180000000003</v>
      </c>
      <c r="Y10217">
        <v>3.825315E-2</v>
      </c>
      <c r="Z10217">
        <v>-4.2494150000000003E-3</v>
      </c>
      <c r="AA10217">
        <v>0.99925909999999996</v>
      </c>
      <c r="AB10217">
        <v>21</v>
      </c>
      <c r="AC10217">
        <v>16.677999999999901</v>
      </c>
      <c r="AD10217">
        <v>-1.118275277333</v>
      </c>
      <c r="AE10217">
        <v>0.15280000000001301</v>
      </c>
      <c r="AF10217">
        <v>0.64287676317535702</v>
      </c>
      <c r="AG10217">
        <v>-1.118275277333</v>
      </c>
      <c r="AH10217">
        <v>16.591607119319502</v>
      </c>
      <c r="AI10217">
        <v>93.853024528841701</v>
      </c>
      <c r="AJ10217">
        <v>87.781064359481206</v>
      </c>
      <c r="AK10217">
        <v>16.641672299693301</v>
      </c>
      <c r="AL10217">
        <v>95.525426138685802</v>
      </c>
      <c r="AM10217">
        <v>87.454992175058607</v>
      </c>
      <c r="AN10217">
        <v>1.0000000012874499</v>
      </c>
    </row>
    <row r="10218" spans="1:40" x14ac:dyDescent="0.25">
      <c r="A10218" t="str">
        <f>"20190303154039272"</f>
        <v>20190303154039272</v>
      </c>
      <c r="B10218" t="str">
        <f>"1551598839268025"</f>
        <v>1551598839268025</v>
      </c>
      <c r="C10218" t="s">
        <v>40</v>
      </c>
      <c r="D10218">
        <v>4.8780830000000002</v>
      </c>
      <c r="E10218">
        <v>0.49879829999999997</v>
      </c>
      <c r="F10218" t="s">
        <v>42</v>
      </c>
      <c r="G10218">
        <v>-147.49520000000001</v>
      </c>
      <c r="H10218" s="1">
        <v>-1.3567390000000001E-6</v>
      </c>
      <c r="I10218">
        <v>137.9256</v>
      </c>
      <c r="J10218">
        <v>-164.12809999999999</v>
      </c>
      <c r="K10218">
        <v>1.118323</v>
      </c>
      <c r="L10218">
        <v>137.7978</v>
      </c>
      <c r="M10218">
        <v>0.99898240000000005</v>
      </c>
      <c r="N10218">
        <v>-5.9899250000000001E-3</v>
      </c>
      <c r="O10218">
        <v>4.4703140000000002E-2</v>
      </c>
      <c r="P10218">
        <v>0.99477450000000001</v>
      </c>
      <c r="Q10218">
        <v>-0.1020938</v>
      </c>
      <c r="R10218">
        <v>9.8967229999999992E-4</v>
      </c>
      <c r="S10218">
        <v>2.9953460000000001</v>
      </c>
      <c r="T10218">
        <v>-0.19872329999999999</v>
      </c>
      <c r="U10218">
        <v>2.3971559999999999E-2</v>
      </c>
      <c r="V10218">
        <v>4.311955E-2</v>
      </c>
      <c r="W10218">
        <v>-9.630184E-2</v>
      </c>
      <c r="X10218">
        <v>0.99441769999999996</v>
      </c>
      <c r="Y10218">
        <v>3.6539000000000002E-2</v>
      </c>
      <c r="Z10218">
        <v>-4.01432E-3</v>
      </c>
      <c r="AA10218">
        <v>0.99932410000000005</v>
      </c>
      <c r="AB10218">
        <v>21</v>
      </c>
      <c r="AC10218">
        <v>16.6328999999999</v>
      </c>
      <c r="AD10218">
        <v>-1.118324356739</v>
      </c>
      <c r="AE10218">
        <v>0.12780000000000699</v>
      </c>
      <c r="AF10218">
        <v>0.61311243408503002</v>
      </c>
      <c r="AG10218">
        <v>-1.118324356739</v>
      </c>
      <c r="AH10218">
        <v>16.547185507070999</v>
      </c>
      <c r="AI10218">
        <v>93.863752950099396</v>
      </c>
      <c r="AJ10218">
        <v>87.878026313206604</v>
      </c>
      <c r="AK10218">
        <v>16.5962617606835</v>
      </c>
      <c r="AL10218">
        <v>95.526253601687799</v>
      </c>
      <c r="AM10218">
        <v>87.517118246554304</v>
      </c>
      <c r="AN10218">
        <v>0.99999995102643702</v>
      </c>
    </row>
    <row r="10219" spans="1:40" x14ac:dyDescent="0.25">
      <c r="A10219" t="str">
        <f>"20190303154039296"</f>
        <v>20190303154039296</v>
      </c>
      <c r="B10219" t="str">
        <f>"1551598839288524"</f>
        <v>1551598839288524</v>
      </c>
      <c r="C10219" t="s">
        <v>40</v>
      </c>
      <c r="D10219">
        <v>4.8397449999999997</v>
      </c>
      <c r="E10219">
        <v>0.4988399</v>
      </c>
      <c r="F10219" t="s">
        <v>42</v>
      </c>
      <c r="G10219">
        <v>-147.4349</v>
      </c>
      <c r="H10219" s="1">
        <v>-1.3893800000000001E-6</v>
      </c>
      <c r="I10219">
        <v>137.88740000000001</v>
      </c>
      <c r="J10219">
        <v>-163.91239999999999</v>
      </c>
      <c r="K10219">
        <v>1.1183559999999999</v>
      </c>
      <c r="L10219">
        <v>137.80420000000001</v>
      </c>
      <c r="M10219">
        <v>0.99911030000000001</v>
      </c>
      <c r="N10219">
        <v>-5.5954469999999999E-3</v>
      </c>
      <c r="O10219">
        <v>4.180387E-2</v>
      </c>
      <c r="P10219">
        <v>0.99480599999999997</v>
      </c>
      <c r="Q10219">
        <v>-0.1017882</v>
      </c>
      <c r="R10219">
        <v>-6.9612869999999998E-4</v>
      </c>
      <c r="S10219">
        <v>2.9951479999999999</v>
      </c>
      <c r="T10219">
        <v>-0.20065359999999999</v>
      </c>
      <c r="U10219">
        <v>1.6098020000000001E-2</v>
      </c>
      <c r="V10219">
        <v>4.1935189999999997E-2</v>
      </c>
      <c r="W10219">
        <v>-9.6377249999999998E-2</v>
      </c>
      <c r="X10219">
        <v>0.99446109999999999</v>
      </c>
      <c r="Y10219">
        <v>3.6267239999999999E-2</v>
      </c>
      <c r="Z10219">
        <v>-3.8780300000000002E-3</v>
      </c>
      <c r="AA10219">
        <v>0.99933459999999996</v>
      </c>
      <c r="AB10219">
        <v>21</v>
      </c>
      <c r="AC10219">
        <v>16.4774999999999</v>
      </c>
      <c r="AD10219">
        <v>-1.1183573893799901</v>
      </c>
      <c r="AE10219">
        <v>8.3200000000005006E-2</v>
      </c>
      <c r="AF10219">
        <v>0.60292932196483295</v>
      </c>
      <c r="AG10219">
        <v>-1.1183573893799901</v>
      </c>
      <c r="AH10219">
        <v>16.3910688150306</v>
      </c>
      <c r="AI10219">
        <v>93.900593524324904</v>
      </c>
      <c r="AJ10219">
        <v>87.893380971510595</v>
      </c>
      <c r="AK10219">
        <v>16.440236735422499</v>
      </c>
      <c r="AL10219">
        <v>95.530594157824098</v>
      </c>
      <c r="AM10219">
        <v>87.585338684120003</v>
      </c>
      <c r="AN10219">
        <v>1.0000000069455499</v>
      </c>
    </row>
    <row r="10220" spans="1:40" x14ac:dyDescent="0.25">
      <c r="A10220" t="str">
        <f>"20190303154039317"</f>
        <v>20190303154039317</v>
      </c>
      <c r="B10220" t="str">
        <f>"1551598839308041"</f>
        <v>1551598839308041</v>
      </c>
      <c r="C10220" t="s">
        <v>40</v>
      </c>
      <c r="D10220">
        <v>4.8616950000000001</v>
      </c>
      <c r="E10220">
        <v>0.49881750000000002</v>
      </c>
      <c r="F10220" t="s">
        <v>42</v>
      </c>
      <c r="G10220">
        <v>-147.3614</v>
      </c>
      <c r="H10220" s="1">
        <v>-1.425235E-6</v>
      </c>
      <c r="I10220">
        <v>137.863</v>
      </c>
      <c r="J10220">
        <v>-163.6968</v>
      </c>
      <c r="K10220">
        <v>1.1183829999999999</v>
      </c>
      <c r="L10220">
        <v>137.81010000000001</v>
      </c>
      <c r="M10220">
        <v>0.99922310000000003</v>
      </c>
      <c r="N10220">
        <v>-5.2289420000000003E-3</v>
      </c>
      <c r="O10220">
        <v>3.906627E-2</v>
      </c>
      <c r="P10220">
        <v>0.99489539999999999</v>
      </c>
      <c r="Q10220">
        <v>-0.10090689999999999</v>
      </c>
      <c r="R10220">
        <v>-1.0932940000000001E-3</v>
      </c>
      <c r="S10220">
        <v>2.9949490000000001</v>
      </c>
      <c r="T10220">
        <v>-0.20236999999999999</v>
      </c>
      <c r="U10220">
        <v>1.0665890000000001E-2</v>
      </c>
      <c r="V10220">
        <v>3.9626139999999997E-2</v>
      </c>
      <c r="W10220">
        <v>-9.5846150000000005E-2</v>
      </c>
      <c r="X10220">
        <v>0.99460709999999997</v>
      </c>
      <c r="Y10220">
        <v>3.5345359999999999E-2</v>
      </c>
      <c r="Z10220">
        <v>-3.717368E-3</v>
      </c>
      <c r="AA10220">
        <v>0.99936829999999999</v>
      </c>
      <c r="AB10220">
        <v>22</v>
      </c>
      <c r="AC10220">
        <v>16.3353999999999</v>
      </c>
      <c r="AD10220">
        <v>-1.1183844252349999</v>
      </c>
      <c r="AE10220">
        <v>5.2899999999993903E-2</v>
      </c>
      <c r="AF10220">
        <v>0.58258144855267302</v>
      </c>
      <c r="AG10220">
        <v>-1.1183844252349999</v>
      </c>
      <c r="AH10220">
        <v>16.2488338630396</v>
      </c>
      <c r="AI10220">
        <v>93.934857946571697</v>
      </c>
      <c r="AJ10220">
        <v>87.946611643989598</v>
      </c>
      <c r="AK10220">
        <v>16.2976926825691</v>
      </c>
      <c r="AL10220">
        <v>95.500022882523893</v>
      </c>
      <c r="AM10220">
        <v>87.718485575831494</v>
      </c>
      <c r="AN10220">
        <v>0.999999999405766</v>
      </c>
    </row>
    <row r="10221" spans="1:40" x14ac:dyDescent="0.25">
      <c r="A10221" t="str">
        <f>"20190303154039351"</f>
        <v>20190303154039351</v>
      </c>
      <c r="B10221" t="str">
        <f>"1551598839348057"</f>
        <v>1551598839348057</v>
      </c>
      <c r="C10221" t="s">
        <v>40</v>
      </c>
      <c r="D10221">
        <v>4.826047</v>
      </c>
      <c r="E10221">
        <v>0.51555580000000001</v>
      </c>
      <c r="F10221" t="s">
        <v>42</v>
      </c>
      <c r="G10221">
        <v>-147.13470000000001</v>
      </c>
      <c r="H10221" s="1">
        <v>-1.5222729999999999E-6</v>
      </c>
      <c r="I10221">
        <v>137.86429999999999</v>
      </c>
      <c r="J10221">
        <v>-163.3631</v>
      </c>
      <c r="K10221">
        <v>1.118447</v>
      </c>
      <c r="L10221">
        <v>137.8186</v>
      </c>
      <c r="M10221">
        <v>0.99937120000000002</v>
      </c>
      <c r="N10221">
        <v>-4.7205850000000002E-3</v>
      </c>
      <c r="O10221">
        <v>3.5145170000000003E-2</v>
      </c>
      <c r="P10221">
        <v>0.99525410000000003</v>
      </c>
      <c r="Q10221">
        <v>-9.7268129999999994E-2</v>
      </c>
      <c r="R10221">
        <v>-2.9046269999999999E-3</v>
      </c>
      <c r="S10221">
        <v>2.994888</v>
      </c>
      <c r="T10221">
        <v>-0.20223430000000001</v>
      </c>
      <c r="U10221">
        <v>9.8114010000000008E-3</v>
      </c>
      <c r="V10221">
        <v>3.7578149999999998E-2</v>
      </c>
      <c r="W10221">
        <v>-9.2695849999999996E-2</v>
      </c>
      <c r="X10221">
        <v>0.99498509999999996</v>
      </c>
      <c r="Y10221">
        <v>3.1724860000000001E-2</v>
      </c>
      <c r="Z10221">
        <v>-3.3492499999999998E-3</v>
      </c>
      <c r="AA10221">
        <v>0.99949100000000002</v>
      </c>
      <c r="AB10221">
        <v>22</v>
      </c>
      <c r="AC10221">
        <v>16.228399999999901</v>
      </c>
      <c r="AD10221">
        <v>-1.1184485222730001</v>
      </c>
      <c r="AE10221">
        <v>4.5699999999982303E-2</v>
      </c>
      <c r="AF10221">
        <v>0.52220401516706005</v>
      </c>
      <c r="AG10221">
        <v>-1.1184485222730001</v>
      </c>
      <c r="AH10221">
        <v>16.143302531914799</v>
      </c>
      <c r="AI10221">
        <v>93.961196872725395</v>
      </c>
      <c r="AJ10221">
        <v>88.147240533580501</v>
      </c>
      <c r="AK10221">
        <v>16.190424354147002</v>
      </c>
      <c r="AL10221">
        <v>95.318716506997703</v>
      </c>
      <c r="AM10221">
        <v>87.837106738469103</v>
      </c>
      <c r="AN10221">
        <v>0.99999999359332703</v>
      </c>
    </row>
    <row r="10222" spans="1:40" x14ac:dyDescent="0.25">
      <c r="A10222" t="str">
        <f>"20190303154039373"</f>
        <v>20190303154039373</v>
      </c>
      <c r="B10222" t="str">
        <f>"1551598839368083"</f>
        <v>1551598839368083</v>
      </c>
      <c r="C10222" t="s">
        <v>40</v>
      </c>
      <c r="D10222">
        <v>4.9511789999999998</v>
      </c>
      <c r="E10222">
        <v>0.51378359999999901</v>
      </c>
      <c r="F10222" t="s">
        <v>42</v>
      </c>
      <c r="G10222">
        <v>-120.8481</v>
      </c>
      <c r="H10222" s="1">
        <v>-4.5400160000000002E-6</v>
      </c>
      <c r="I10222">
        <v>136.0557</v>
      </c>
      <c r="J10222">
        <v>-163.14500000000001</v>
      </c>
      <c r="K10222">
        <v>1.1185050000000001</v>
      </c>
      <c r="L10222">
        <v>137.8236</v>
      </c>
      <c r="M10222">
        <v>0.99945209999999995</v>
      </c>
      <c r="N10222">
        <v>-4.42999E-3</v>
      </c>
      <c r="O10222">
        <v>3.280429E-2</v>
      </c>
      <c r="P10222">
        <v>0.99559350000000002</v>
      </c>
      <c r="Q10222">
        <v>-9.3677979999999994E-2</v>
      </c>
      <c r="R10222">
        <v>-4.2922699999999999E-3</v>
      </c>
      <c r="S10222">
        <v>3.0062099999999998</v>
      </c>
      <c r="T10222">
        <v>-7.908511E-2</v>
      </c>
      <c r="U10222">
        <v>-0.124649</v>
      </c>
      <c r="V10222">
        <v>3.6671370000000002E-2</v>
      </c>
      <c r="W10222">
        <v>-8.9384430000000001E-2</v>
      </c>
      <c r="X10222">
        <v>0.99532189999999998</v>
      </c>
      <c r="Y10222">
        <v>7.4144630000000003E-2</v>
      </c>
      <c r="Z10222">
        <v>-1.8562839999999999E-3</v>
      </c>
      <c r="AA10222">
        <v>0.99724579999999996</v>
      </c>
      <c r="AB10222">
        <v>22</v>
      </c>
      <c r="AC10222">
        <v>42.296900000000001</v>
      </c>
      <c r="AD10222">
        <v>-1.1185095400159999</v>
      </c>
      <c r="AE10222">
        <v>-1.76789999999999</v>
      </c>
      <c r="AF10222">
        <v>3.1522811661483301</v>
      </c>
      <c r="AG10222">
        <v>-1.1185095400159999</v>
      </c>
      <c r="AH10222">
        <v>42.186690245532603</v>
      </c>
      <c r="AI10222">
        <v>91.5145257260845</v>
      </c>
      <c r="AJ10222">
        <v>85.726676274551394</v>
      </c>
      <c r="AK10222">
        <v>42.319082858848397</v>
      </c>
      <c r="AL10222">
        <v>95.128194669749902</v>
      </c>
      <c r="AM10222">
        <v>87.889964264909807</v>
      </c>
      <c r="AN10222">
        <v>1.0000000251618499</v>
      </c>
    </row>
    <row r="10223" spans="1:40" x14ac:dyDescent="0.25">
      <c r="A10223" t="str">
        <f>"20190303154039395"</f>
        <v>20190303154039395</v>
      </c>
      <c r="B10223" t="str">
        <f>"1551598839388579"</f>
        <v>1551598839388579</v>
      </c>
      <c r="C10223" t="s">
        <v>40</v>
      </c>
      <c r="D10223">
        <v>4.8196000000000003</v>
      </c>
      <c r="E10223">
        <v>0.51405500000000004</v>
      </c>
      <c r="F10223" t="s">
        <v>42</v>
      </c>
      <c r="G10223">
        <v>-126.8528</v>
      </c>
      <c r="H10223" s="1">
        <v>-1.905462E-6</v>
      </c>
      <c r="I10223">
        <v>136.42769999999999</v>
      </c>
      <c r="J10223">
        <v>-162.92140000000001</v>
      </c>
      <c r="K10223">
        <v>1.118554</v>
      </c>
      <c r="L10223">
        <v>137.82839999999999</v>
      </c>
      <c r="M10223">
        <v>0.99952490000000005</v>
      </c>
      <c r="N10223">
        <v>-4.1606689999999997E-3</v>
      </c>
      <c r="O10223">
        <v>3.0541510000000001E-2</v>
      </c>
      <c r="P10223">
        <v>0.99575139999999995</v>
      </c>
      <c r="Q10223">
        <v>-9.190624E-2</v>
      </c>
      <c r="R10223">
        <v>-5.6948249999999997E-3</v>
      </c>
      <c r="S10223">
        <v>3.0040740000000001</v>
      </c>
      <c r="T10223">
        <v>-9.2583890000000002E-2</v>
      </c>
      <c r="U10223">
        <v>-0.11553960000000001</v>
      </c>
      <c r="V10223">
        <v>3.5843119999999999E-2</v>
      </c>
      <c r="W10223">
        <v>-8.7872039999999998E-2</v>
      </c>
      <c r="X10223">
        <v>0.99548669999999995</v>
      </c>
      <c r="Y10223">
        <v>6.8885899999999903E-2</v>
      </c>
      <c r="Z10223">
        <v>-2.0179999999999998E-3</v>
      </c>
      <c r="AA10223">
        <v>0.99762249999999997</v>
      </c>
      <c r="AB10223">
        <v>22</v>
      </c>
      <c r="AC10223">
        <v>36.068600000000004</v>
      </c>
      <c r="AD10223">
        <v>-1.118555905462</v>
      </c>
      <c r="AE10223">
        <v>-1.4007000000000001</v>
      </c>
      <c r="AF10223">
        <v>2.4992455371225</v>
      </c>
      <c r="AG10223">
        <v>-1.118555905462</v>
      </c>
      <c r="AH10223">
        <v>35.974447923606</v>
      </c>
      <c r="AI10223">
        <v>91.7766481617018</v>
      </c>
      <c r="AJ10223">
        <v>86.025887346507901</v>
      </c>
      <c r="AK10223">
        <v>36.078501894850298</v>
      </c>
      <c r="AL10223">
        <v>95.041198891899299</v>
      </c>
      <c r="AM10223">
        <v>87.937920484406504</v>
      </c>
      <c r="AN10223">
        <v>0.99999999727099298</v>
      </c>
    </row>
    <row r="10224" spans="1:40" x14ac:dyDescent="0.25">
      <c r="A10224" t="str">
        <f>"20190303154039417"</f>
        <v>20190303154039417</v>
      </c>
      <c r="B10224" t="str">
        <f>"1551598839408099"</f>
        <v>1551598839408099</v>
      </c>
      <c r="C10224" t="s">
        <v>40</v>
      </c>
      <c r="D10224">
        <v>4.9283060000000001</v>
      </c>
      <c r="E10224">
        <v>0.51306450000000003</v>
      </c>
      <c r="F10224" t="s">
        <v>42</v>
      </c>
      <c r="G10224">
        <v>-122.9087</v>
      </c>
      <c r="H10224" s="1">
        <v>-3.6289079999999999E-6</v>
      </c>
      <c r="I10224">
        <v>136.20869999999999</v>
      </c>
      <c r="J10224">
        <v>-162.69470000000001</v>
      </c>
      <c r="K10224">
        <v>1.118592</v>
      </c>
      <c r="L10224">
        <v>137.8329</v>
      </c>
      <c r="M10224">
        <v>0.99958930000000001</v>
      </c>
      <c r="N10224">
        <v>-3.9098780000000003E-3</v>
      </c>
      <c r="O10224">
        <v>2.8394160000000002E-2</v>
      </c>
      <c r="P10224">
        <v>0.99570110000000001</v>
      </c>
      <c r="Q10224">
        <v>-9.240139E-2</v>
      </c>
      <c r="R10224">
        <v>-6.4344229999999999E-3</v>
      </c>
      <c r="S10224">
        <v>3.0043489999999999</v>
      </c>
      <c r="T10224">
        <v>-8.3986640000000001E-2</v>
      </c>
      <c r="U10224">
        <v>-0.1216125</v>
      </c>
      <c r="V10224">
        <v>3.4454220000000001E-2</v>
      </c>
      <c r="W10224">
        <v>-8.8607500000000006E-2</v>
      </c>
      <c r="X10224">
        <v>0.99547050000000004</v>
      </c>
      <c r="Y10224">
        <v>6.8761799999999998E-2</v>
      </c>
      <c r="Z10224">
        <v>-1.7774129999999901E-3</v>
      </c>
      <c r="AA10224">
        <v>0.9976315</v>
      </c>
      <c r="AB10224">
        <v>22</v>
      </c>
      <c r="AC10224">
        <v>39.786000000000001</v>
      </c>
      <c r="AD10224">
        <v>-1.1185956289079999</v>
      </c>
      <c r="AE10224">
        <v>-1.6242000000000001</v>
      </c>
      <c r="AF10224">
        <v>2.7510726206679399</v>
      </c>
      <c r="AG10224">
        <v>-1.1185956289079999</v>
      </c>
      <c r="AH10224">
        <v>39.692516522720602</v>
      </c>
      <c r="AI10224">
        <v>91.610393815126699</v>
      </c>
      <c r="AJ10224">
        <v>86.035192813305599</v>
      </c>
      <c r="AK10224">
        <v>39.803461214467802</v>
      </c>
      <c r="AL10224">
        <v>95.083502907095706</v>
      </c>
      <c r="AM10224">
        <v>88.017727602976095</v>
      </c>
      <c r="AN10224">
        <v>0.999999949351152</v>
      </c>
    </row>
    <row r="10225" spans="1:40" x14ac:dyDescent="0.25">
      <c r="A10225" t="str">
        <f>"20190303154039440"</f>
        <v>20190303154039440</v>
      </c>
      <c r="B10225" t="str">
        <f>"1551598839428595"</f>
        <v>1551598839428595</v>
      </c>
      <c r="C10225" t="s">
        <v>40</v>
      </c>
      <c r="D10225">
        <v>4.8089959999999996</v>
      </c>
      <c r="E10225">
        <v>0.51297040000000005</v>
      </c>
      <c r="F10225" t="s">
        <v>42</v>
      </c>
      <c r="G10225">
        <v>-128.67420000000001</v>
      </c>
      <c r="H10225" s="1">
        <v>-1.2623979999999999E-6</v>
      </c>
      <c r="I10225">
        <v>136.51499999999999</v>
      </c>
      <c r="J10225">
        <v>-162.46870000000001</v>
      </c>
      <c r="K10225">
        <v>1.1186389999999999</v>
      </c>
      <c r="L10225">
        <v>137.83709999999999</v>
      </c>
      <c r="M10225">
        <v>0.99964450000000005</v>
      </c>
      <c r="N10225">
        <v>-3.6771939999999999E-3</v>
      </c>
      <c r="O10225">
        <v>2.6404460000000001E-2</v>
      </c>
      <c r="P10225">
        <v>0.99569450000000004</v>
      </c>
      <c r="Q10225">
        <v>-9.2409989999999997E-2</v>
      </c>
      <c r="R10225">
        <v>-7.2960100000000003E-3</v>
      </c>
      <c r="S10225">
        <v>3.0030359999999998</v>
      </c>
      <c r="T10225">
        <v>-9.8739740000000006E-2</v>
      </c>
      <c r="U10225">
        <v>-0.11633300000000001</v>
      </c>
      <c r="V10225">
        <v>3.33472E-2</v>
      </c>
      <c r="W10225">
        <v>-8.8839370000000001E-2</v>
      </c>
      <c r="X10225">
        <v>0.99548760000000003</v>
      </c>
      <c r="Y10225">
        <v>6.5030499999999894E-2</v>
      </c>
      <c r="Z10225">
        <v>-1.9586790000000001E-3</v>
      </c>
      <c r="AA10225">
        <v>0.99788140000000003</v>
      </c>
      <c r="AB10225">
        <v>22</v>
      </c>
      <c r="AC10225">
        <v>33.794499999999999</v>
      </c>
      <c r="AD10225">
        <v>-1.1186402623980001</v>
      </c>
      <c r="AE10225">
        <v>-1.3221000000000001</v>
      </c>
      <c r="AF10225">
        <v>2.21155118058092</v>
      </c>
      <c r="AG10225">
        <v>-1.1186402623980001</v>
      </c>
      <c r="AH10225">
        <v>33.710927145356699</v>
      </c>
      <c r="AI10225">
        <v>91.896492725065897</v>
      </c>
      <c r="AJ10225">
        <v>86.246580990911795</v>
      </c>
      <c r="AK10225">
        <v>33.801907100939303</v>
      </c>
      <c r="AL10225">
        <v>95.096840341921094</v>
      </c>
      <c r="AM10225">
        <v>88.081402896743995</v>
      </c>
      <c r="AN10225">
        <v>1.0000000155817901</v>
      </c>
    </row>
    <row r="10226" spans="1:40" x14ac:dyDescent="0.25">
      <c r="A10226" t="str">
        <f>"20190303154039462"</f>
        <v>20190303154039462</v>
      </c>
      <c r="B10226" t="str">
        <f>"1551598839457874"</f>
        <v>1551598839457874</v>
      </c>
      <c r="C10226" t="s">
        <v>40</v>
      </c>
      <c r="D10226">
        <v>4.8473699999999997</v>
      </c>
      <c r="E10226">
        <v>0.51284580000000002</v>
      </c>
      <c r="F10226" t="s">
        <v>42</v>
      </c>
      <c r="G10226">
        <v>-128.2099</v>
      </c>
      <c r="H10226" s="1">
        <v>-1.4264169999999899E-6</v>
      </c>
      <c r="I10226">
        <v>136.4924</v>
      </c>
      <c r="J10226">
        <v>-162.23840000000001</v>
      </c>
      <c r="K10226">
        <v>1.1186910000000001</v>
      </c>
      <c r="L10226">
        <v>137.84110000000001</v>
      </c>
      <c r="M10226">
        <v>0.99969319999999895</v>
      </c>
      <c r="N10226">
        <v>-3.4561489999999999E-3</v>
      </c>
      <c r="O10226">
        <v>2.4528680000000001E-2</v>
      </c>
      <c r="P10226">
        <v>0.99577530000000003</v>
      </c>
      <c r="Q10226">
        <v>-9.147479E-2</v>
      </c>
      <c r="R10226">
        <v>-8.0120119999999902E-3</v>
      </c>
      <c r="S10226">
        <v>3.0030060000000001</v>
      </c>
      <c r="T10226">
        <v>-9.8056199999999996E-2</v>
      </c>
      <c r="U10226">
        <v>-0.1178741</v>
      </c>
      <c r="V10226">
        <v>3.221338E-2</v>
      </c>
      <c r="W10226">
        <v>-8.811563E-2</v>
      </c>
      <c r="X10226">
        <v>0.99558930000000001</v>
      </c>
      <c r="Y10226">
        <v>6.3672090000000001E-2</v>
      </c>
      <c r="Z10226">
        <v>-1.8646839999999999E-3</v>
      </c>
      <c r="AA10226">
        <v>0.9979692</v>
      </c>
      <c r="AB10226">
        <v>23</v>
      </c>
      <c r="AC10226">
        <v>34.028500000000001</v>
      </c>
      <c r="AD10226">
        <v>-1.118692426417</v>
      </c>
      <c r="AE10226">
        <v>-1.3487</v>
      </c>
      <c r="AF10226">
        <v>2.1806202739240601</v>
      </c>
      <c r="AG10226">
        <v>-1.118692426417</v>
      </c>
      <c r="AH10226">
        <v>33.948546348434903</v>
      </c>
      <c r="AI10226">
        <v>91.883482493305493</v>
      </c>
      <c r="AJ10226">
        <v>86.324763623312094</v>
      </c>
      <c r="AK10226">
        <v>34.036897283621499</v>
      </c>
      <c r="AL10226">
        <v>95.055209600524705</v>
      </c>
      <c r="AM10226">
        <v>88.146778970715005</v>
      </c>
      <c r="AN10226">
        <v>1.0000000601879</v>
      </c>
    </row>
    <row r="10227" spans="1:40" x14ac:dyDescent="0.25">
      <c r="A10227" t="str">
        <f>"20190303154039485"</f>
        <v>20190303154039485</v>
      </c>
      <c r="B10227" t="str">
        <f>"1551598839478374"</f>
        <v>1551598839478374</v>
      </c>
      <c r="C10227" t="s">
        <v>40</v>
      </c>
      <c r="D10227">
        <v>4.789193</v>
      </c>
      <c r="E10227">
        <v>0.51260620000000001</v>
      </c>
      <c r="F10227" t="s">
        <v>42</v>
      </c>
      <c r="G10227">
        <v>-127.6484</v>
      </c>
      <c r="H10227" s="1">
        <v>-1.6227449999999999E-6</v>
      </c>
      <c r="I10227">
        <v>136.4727</v>
      </c>
      <c r="J10227">
        <v>-162.00749999999999</v>
      </c>
      <c r="K10227">
        <v>1.118746</v>
      </c>
      <c r="L10227">
        <v>137.8449</v>
      </c>
      <c r="M10227">
        <v>0.99973520000000005</v>
      </c>
      <c r="N10227">
        <v>-3.2497189999999999E-3</v>
      </c>
      <c r="O10227">
        <v>2.2787780000000001E-2</v>
      </c>
      <c r="P10227">
        <v>0.99602029999999997</v>
      </c>
      <c r="Q10227">
        <v>-8.8763720000000004E-2</v>
      </c>
      <c r="R10227">
        <v>-8.0504979999999997E-3</v>
      </c>
      <c r="S10227">
        <v>3.002853</v>
      </c>
      <c r="T10227">
        <v>-9.7116469999999996E-2</v>
      </c>
      <c r="U10227">
        <v>-0.1187897</v>
      </c>
      <c r="V10227">
        <v>3.0543689999999998E-2</v>
      </c>
      <c r="W10227">
        <v>-8.5600229999999999E-2</v>
      </c>
      <c r="X10227">
        <v>0.99586129999999995</v>
      </c>
      <c r="Y10227">
        <v>6.2242440000000003E-2</v>
      </c>
      <c r="Z10227">
        <v>-1.769591E-3</v>
      </c>
      <c r="AA10227">
        <v>0.99805949999999999</v>
      </c>
      <c r="AB10227">
        <v>23</v>
      </c>
      <c r="AC10227">
        <v>34.359099999999998</v>
      </c>
      <c r="AD10227">
        <v>-1.1187476227449999</v>
      </c>
      <c r="AE10227">
        <v>-1.3721999999999901</v>
      </c>
      <c r="AF10227">
        <v>2.1525368452554199</v>
      </c>
      <c r="AG10227">
        <v>-1.1187476227449999</v>
      </c>
      <c r="AH10227">
        <v>34.282620190324103</v>
      </c>
      <c r="AI10227">
        <v>91.865403899958295</v>
      </c>
      <c r="AJ10227">
        <v>86.407229460756596</v>
      </c>
      <c r="AK10227">
        <v>34.3683438388817</v>
      </c>
      <c r="AL10227">
        <v>94.910541206585506</v>
      </c>
      <c r="AM10227">
        <v>88.243253256957303</v>
      </c>
      <c r="AN10227">
        <v>1.00000002260627</v>
      </c>
    </row>
    <row r="10228" spans="1:40" x14ac:dyDescent="0.25">
      <c r="A10228" t="str">
        <f>"20190303154039506"</f>
        <v>20190303154039506</v>
      </c>
      <c r="B10228" t="str">
        <f>"1551598839497891"</f>
        <v>1551598839497891</v>
      </c>
      <c r="C10228" t="s">
        <v>40</v>
      </c>
      <c r="D10228">
        <v>4.7998859999999999</v>
      </c>
      <c r="E10228">
        <v>0.51239420000000002</v>
      </c>
      <c r="F10228" t="s">
        <v>42</v>
      </c>
      <c r="G10228">
        <v>-125.30589999999999</v>
      </c>
      <c r="H10228" s="1">
        <v>-2.5642879999999998E-6</v>
      </c>
      <c r="I10228">
        <v>136.41290000000001</v>
      </c>
      <c r="J10228">
        <v>-161.7758</v>
      </c>
      <c r="K10228">
        <v>1.118784</v>
      </c>
      <c r="L10228">
        <v>137.8484</v>
      </c>
      <c r="M10228">
        <v>0.99977150000000004</v>
      </c>
      <c r="N10228">
        <v>-3.0569939999999999E-3</v>
      </c>
      <c r="O10228">
        <v>2.1159730000000002E-2</v>
      </c>
      <c r="P10228">
        <v>0.99613640000000003</v>
      </c>
      <c r="Q10228">
        <v>-8.7411730000000007E-2</v>
      </c>
      <c r="R10228">
        <v>-8.4653530000000001E-3</v>
      </c>
      <c r="S10228">
        <v>3.0028839999999999</v>
      </c>
      <c r="T10228">
        <v>-9.1534610000000002E-2</v>
      </c>
      <c r="U10228">
        <v>-0.117157</v>
      </c>
      <c r="V10228">
        <v>2.9353400000000002E-2</v>
      </c>
      <c r="W10228">
        <v>-8.4433040000000001E-2</v>
      </c>
      <c r="X10228">
        <v>0.99599669999999896</v>
      </c>
      <c r="Y10228">
        <v>6.0081570000000001E-2</v>
      </c>
      <c r="Z10228">
        <v>-1.5870299999999999E-3</v>
      </c>
      <c r="AA10228">
        <v>0.99819219999999997</v>
      </c>
      <c r="AB10228">
        <v>23</v>
      </c>
      <c r="AC10228">
        <v>36.469900000000003</v>
      </c>
      <c r="AD10228">
        <v>-1.1187865642879999</v>
      </c>
      <c r="AE10228">
        <v>-1.43549999999999</v>
      </c>
      <c r="AF10228">
        <v>2.2048037107958698</v>
      </c>
      <c r="AG10228">
        <v>-1.1187865642879999</v>
      </c>
      <c r="AH10228">
        <v>36.397160109205103</v>
      </c>
      <c r="AI10228">
        <v>91.757400685495597</v>
      </c>
      <c r="AJ10228">
        <v>86.533472137722796</v>
      </c>
      <c r="AK10228">
        <v>36.481037633196202</v>
      </c>
      <c r="AL10228">
        <v>94.843423286441805</v>
      </c>
      <c r="AM10228">
        <v>88.311902776018997</v>
      </c>
      <c r="AN10228">
        <v>0.99999999337304502</v>
      </c>
    </row>
    <row r="10229" spans="1:40" x14ac:dyDescent="0.25">
      <c r="A10229" t="str">
        <f>"20190303154039529"</f>
        <v>20190303154039529</v>
      </c>
      <c r="B10229" t="str">
        <f>"1551598839518387"</f>
        <v>1551598839518387</v>
      </c>
      <c r="C10229" t="s">
        <v>40</v>
      </c>
      <c r="D10229">
        <v>4.8146100000000001</v>
      </c>
      <c r="E10229">
        <v>0.51226240000000001</v>
      </c>
      <c r="F10229" t="s">
        <v>42</v>
      </c>
      <c r="G10229">
        <v>-123.9863</v>
      </c>
      <c r="H10229" s="1">
        <v>-3.1364140000000001E-6</v>
      </c>
      <c r="I10229">
        <v>136.37899999999999</v>
      </c>
      <c r="J10229">
        <v>-161.5419</v>
      </c>
      <c r="K10229">
        <v>1.1187940000000001</v>
      </c>
      <c r="L10229">
        <v>137.85169999999999</v>
      </c>
      <c r="M10229">
        <v>0.99980369999999996</v>
      </c>
      <c r="N10229">
        <v>-2.8740060000000001E-3</v>
      </c>
      <c r="O10229">
        <v>1.9609000000000001E-2</v>
      </c>
      <c r="P10229">
        <v>0.99599040000000005</v>
      </c>
      <c r="Q10229">
        <v>-8.9103390000000005E-2</v>
      </c>
      <c r="R10229">
        <v>-7.9889019999999904E-3</v>
      </c>
      <c r="S10229">
        <v>3.0028380000000001</v>
      </c>
      <c r="T10229">
        <v>-8.8901160000000007E-2</v>
      </c>
      <c r="U10229">
        <v>-0.1167603</v>
      </c>
      <c r="V10229">
        <v>2.7333570000000001E-2</v>
      </c>
      <c r="W10229">
        <v>-8.6300100000000005E-2</v>
      </c>
      <c r="X10229">
        <v>0.9958941</v>
      </c>
      <c r="Y10229">
        <v>5.840571E-2</v>
      </c>
      <c r="Z10229">
        <v>-1.471935E-3</v>
      </c>
      <c r="AA10229">
        <v>0.99829190000000001</v>
      </c>
      <c r="AB10229">
        <v>23</v>
      </c>
      <c r="AC10229">
        <v>37.555599999999998</v>
      </c>
      <c r="AD10229">
        <v>-1.1187971364139999</v>
      </c>
      <c r="AE10229">
        <v>-1.4726999999999999</v>
      </c>
      <c r="AF10229">
        <v>2.2068920168841801</v>
      </c>
      <c r="AG10229">
        <v>-1.1187971364139999</v>
      </c>
      <c r="AH10229">
        <v>37.486283807835001</v>
      </c>
      <c r="AI10229">
        <v>91.7065610247504</v>
      </c>
      <c r="AJ10229">
        <v>86.630772497090206</v>
      </c>
      <c r="AK10229">
        <v>37.567852655271501</v>
      </c>
      <c r="AL10229">
        <v>94.950790131816007</v>
      </c>
      <c r="AM10229">
        <v>88.427839735336903</v>
      </c>
      <c r="AN10229">
        <v>0.99999994486188004</v>
      </c>
    </row>
    <row r="10230" spans="1:40" x14ac:dyDescent="0.25">
      <c r="A10230" t="str">
        <f>"20190303154039552"</f>
        <v>20190303154039552</v>
      </c>
      <c r="B10230" t="str">
        <f>"1551598839548643"</f>
        <v>1551598839548643</v>
      </c>
      <c r="C10230" t="s">
        <v>40</v>
      </c>
      <c r="D10230">
        <v>4.7719189999999996</v>
      </c>
      <c r="E10230">
        <v>0.51215559999999904</v>
      </c>
      <c r="F10230" t="s">
        <v>42</v>
      </c>
      <c r="G10230">
        <v>-126.6529</v>
      </c>
      <c r="H10230" s="1">
        <v>-1.9666910000000001E-6</v>
      </c>
      <c r="I10230">
        <v>136.52420000000001</v>
      </c>
      <c r="J10230">
        <v>-161.30000000000001</v>
      </c>
      <c r="K10230">
        <v>1.1187739999999999</v>
      </c>
      <c r="L10230">
        <v>137.85480000000001</v>
      </c>
      <c r="M10230">
        <v>0.99983290000000002</v>
      </c>
      <c r="N10230">
        <v>-2.6873050000000001E-3</v>
      </c>
      <c r="O10230">
        <v>1.8086149999999999E-2</v>
      </c>
      <c r="P10230">
        <v>0.99570099999999995</v>
      </c>
      <c r="Q10230">
        <v>-9.2385490000000001E-2</v>
      </c>
      <c r="R10230">
        <v>-6.7087519999999897E-3</v>
      </c>
      <c r="S10230">
        <v>3.0025629999999999</v>
      </c>
      <c r="T10230">
        <v>-9.6284149999999999E-2</v>
      </c>
      <c r="U10230">
        <v>-0.1142426</v>
      </c>
      <c r="V10230">
        <v>2.4528870000000001E-2</v>
      </c>
      <c r="W10230">
        <v>-8.9761499999999994E-2</v>
      </c>
      <c r="X10230">
        <v>0.99566120000000002</v>
      </c>
      <c r="Y10230">
        <v>5.6048779999999999E-2</v>
      </c>
      <c r="Z10230">
        <v>-1.50454E-3</v>
      </c>
      <c r="AA10230">
        <v>0.99842690000000001</v>
      </c>
      <c r="AB10230">
        <v>23</v>
      </c>
      <c r="AC10230">
        <v>34.647100000000002</v>
      </c>
      <c r="AD10230">
        <v>-1.118775966691</v>
      </c>
      <c r="AE10230">
        <v>-1.3306</v>
      </c>
      <c r="AF10230">
        <v>1.9549817907670599</v>
      </c>
      <c r="AG10230">
        <v>-1.118775966691</v>
      </c>
      <c r="AH10230">
        <v>34.581362982229699</v>
      </c>
      <c r="AI10230">
        <v>91.850034383063203</v>
      </c>
      <c r="AJ10230">
        <v>86.7643523714504</v>
      </c>
      <c r="AK10230">
        <v>34.654642967062998</v>
      </c>
      <c r="AL10230">
        <v>95.149886468571793</v>
      </c>
      <c r="AM10230">
        <v>88.5887604051713</v>
      </c>
      <c r="AN10230">
        <v>1.00000000876558</v>
      </c>
    </row>
    <row r="10231" spans="1:40" x14ac:dyDescent="0.25">
      <c r="A10231" t="str">
        <f>"20190303154039574"</f>
        <v>20190303154039574</v>
      </c>
      <c r="B10231" t="str">
        <f>"1551598839568670"</f>
        <v>1551598839568670</v>
      </c>
      <c r="C10231" t="s">
        <v>40</v>
      </c>
      <c r="D10231">
        <v>4.7948919999999999</v>
      </c>
      <c r="E10231">
        <v>0.51200500000000004</v>
      </c>
      <c r="F10231" t="s">
        <v>42</v>
      </c>
      <c r="G10231">
        <v>-130.56809999999999</v>
      </c>
      <c r="H10231" s="1">
        <v>-4.5397729999999996E-6</v>
      </c>
      <c r="I10231">
        <v>136.73429999999999</v>
      </c>
      <c r="J10231">
        <v>-161.05779999999999</v>
      </c>
      <c r="K10231">
        <v>1.1187400000000001</v>
      </c>
      <c r="L10231">
        <v>137.85759999999999</v>
      </c>
      <c r="M10231">
        <v>0.99985900000000005</v>
      </c>
      <c r="N10231">
        <v>-2.4944089999999999E-3</v>
      </c>
      <c r="O10231">
        <v>1.6613340000000001E-2</v>
      </c>
      <c r="P10231">
        <v>0.99556990000000001</v>
      </c>
      <c r="Q10231">
        <v>-9.3886319999999995E-2</v>
      </c>
      <c r="R10231">
        <v>-5.0999770000000003E-3</v>
      </c>
      <c r="S10231">
        <v>3.0020899999999999</v>
      </c>
      <c r="T10231">
        <v>-0.10928930000000001</v>
      </c>
      <c r="U10231">
        <v>-0.1094513</v>
      </c>
      <c r="V10231">
        <v>2.1449880000000001E-2</v>
      </c>
      <c r="W10231">
        <v>-9.1447799999999996E-2</v>
      </c>
      <c r="X10231">
        <v>0.99557879999999999</v>
      </c>
      <c r="Y10231">
        <v>5.2984490000000002E-2</v>
      </c>
      <c r="Z10231">
        <v>-1.5929329999999999E-3</v>
      </c>
      <c r="AA10231">
        <v>0.99859399999999998</v>
      </c>
      <c r="AB10231">
        <v>24</v>
      </c>
      <c r="AC10231">
        <v>30.489699999999999</v>
      </c>
      <c r="AD10231">
        <v>-1.118744539773</v>
      </c>
      <c r="AE10231">
        <v>-1.1233</v>
      </c>
      <c r="AF10231">
        <v>1.6274940433570599</v>
      </c>
      <c r="AG10231">
        <v>-1.118744539773</v>
      </c>
      <c r="AH10231">
        <v>30.425922052500699</v>
      </c>
      <c r="AI10231">
        <v>92.102782456867999</v>
      </c>
      <c r="AJ10231">
        <v>86.938145138337703</v>
      </c>
      <c r="AK10231">
        <v>30.489950130350898</v>
      </c>
      <c r="AL10231">
        <v>95.246903581114907</v>
      </c>
      <c r="AM10231">
        <v>88.765745628988199</v>
      </c>
      <c r="AN10231">
        <v>0.99999997224314596</v>
      </c>
    </row>
    <row r="10232" spans="1:40" x14ac:dyDescent="0.25">
      <c r="A10232" t="str">
        <f>"20190303154039596"</f>
        <v>20190303154039596</v>
      </c>
      <c r="B10232" t="str">
        <f>"1551598839588190"</f>
        <v>1551598839588190</v>
      </c>
      <c r="C10232" t="s">
        <v>40</v>
      </c>
      <c r="D10232">
        <v>4.7874629999999998</v>
      </c>
      <c r="E10232">
        <v>0.51200329999999905</v>
      </c>
      <c r="F10232" t="s">
        <v>42</v>
      </c>
      <c r="G10232">
        <v>-132.143</v>
      </c>
      <c r="H10232" s="1">
        <v>-3.8415859999999998E-6</v>
      </c>
      <c r="I10232">
        <v>136.8613</v>
      </c>
      <c r="J10232">
        <v>-160.81880000000001</v>
      </c>
      <c r="K10232">
        <v>1.118698</v>
      </c>
      <c r="L10232">
        <v>137.86009999999999</v>
      </c>
      <c r="M10232">
        <v>0.99988220000000005</v>
      </c>
      <c r="N10232">
        <v>-2.3004000000000002E-3</v>
      </c>
      <c r="O10232">
        <v>1.519003E-2</v>
      </c>
      <c r="P10232">
        <v>0.99552450000000003</v>
      </c>
      <c r="Q10232">
        <v>-9.4428410000000004E-2</v>
      </c>
      <c r="R10232">
        <v>-3.8146360000000002E-3</v>
      </c>
      <c r="S10232">
        <v>3.0018919999999998</v>
      </c>
      <c r="T10232">
        <v>-0.11614629999999999</v>
      </c>
      <c r="U10232">
        <v>-0.1034241</v>
      </c>
      <c r="V10232">
        <v>1.8744500000000001E-2</v>
      </c>
      <c r="W10232">
        <v>-9.2177670000000003E-2</v>
      </c>
      <c r="X10232">
        <v>0.99556610000000001</v>
      </c>
      <c r="Y10232">
        <v>4.9560340000000001E-2</v>
      </c>
      <c r="Z10232">
        <v>-1.5675979999999999E-3</v>
      </c>
      <c r="AA10232">
        <v>0.99876989999999999</v>
      </c>
      <c r="AB10232">
        <v>24</v>
      </c>
      <c r="AC10232">
        <v>28.675799999999999</v>
      </c>
      <c r="AD10232">
        <v>-1.1187018415859999</v>
      </c>
      <c r="AE10232">
        <v>-0.99879999999998803</v>
      </c>
      <c r="AF10232">
        <v>1.4320951587608699</v>
      </c>
      <c r="AG10232">
        <v>-1.1187018415859999</v>
      </c>
      <c r="AH10232">
        <v>28.613823906339199</v>
      </c>
      <c r="AI10232">
        <v>92.236131044727202</v>
      </c>
      <c r="AJ10232">
        <v>87.134790521568902</v>
      </c>
      <c r="AK10232">
        <v>28.671472039243199</v>
      </c>
      <c r="AL10232">
        <v>95.288899447713803</v>
      </c>
      <c r="AM10232">
        <v>88.921363574058603</v>
      </c>
      <c r="AN10232">
        <v>0.99999996929804402</v>
      </c>
    </row>
    <row r="10233" spans="1:40" x14ac:dyDescent="0.25">
      <c r="A10233" t="str">
        <f>"20190303154039618"</f>
        <v>20190303154039618</v>
      </c>
      <c r="B10233" t="str">
        <f>"1551598839607711"</f>
        <v>1551598839607711</v>
      </c>
      <c r="C10233" t="s">
        <v>40</v>
      </c>
      <c r="D10233">
        <v>4.7981109999999996</v>
      </c>
      <c r="E10233">
        <v>0.51205979999999995</v>
      </c>
      <c r="F10233" t="s">
        <v>42</v>
      </c>
      <c r="G10233">
        <v>-132.72550000000001</v>
      </c>
      <c r="H10233" s="1">
        <v>-3.5800200000000002E-6</v>
      </c>
      <c r="I10233">
        <v>136.92740000000001</v>
      </c>
      <c r="J10233">
        <v>-160.57689999999999</v>
      </c>
      <c r="K10233">
        <v>1.11864599999999</v>
      </c>
      <c r="L10233">
        <v>137.8622</v>
      </c>
      <c r="M10233">
        <v>0.99990310000000004</v>
      </c>
      <c r="N10233">
        <v>-2.102245E-3</v>
      </c>
      <c r="O10233">
        <v>1.3767629999999999E-2</v>
      </c>
      <c r="P10233">
        <v>0.99553999999999998</v>
      </c>
      <c r="Q10233">
        <v>-9.4299289999999994E-2</v>
      </c>
      <c r="R10233">
        <v>-2.8293319999999999E-3</v>
      </c>
      <c r="S10233">
        <v>3.0017849999999999</v>
      </c>
      <c r="T10233">
        <v>-0.1195338</v>
      </c>
      <c r="U10233">
        <v>-9.9655149999999998E-2</v>
      </c>
      <c r="V10233">
        <v>1.634062E-2</v>
      </c>
      <c r="W10233">
        <v>-9.2241180000000006E-2</v>
      </c>
      <c r="X10233">
        <v>0.9956026</v>
      </c>
      <c r="Y10233">
        <v>4.688842E-2</v>
      </c>
      <c r="Z10233">
        <v>-1.501229E-3</v>
      </c>
      <c r="AA10233">
        <v>0.99889899999999998</v>
      </c>
      <c r="AB10233">
        <v>24</v>
      </c>
      <c r="AC10233">
        <v>27.851399999999899</v>
      </c>
      <c r="AD10233">
        <v>-1.11864958001999</v>
      </c>
      <c r="AE10233">
        <v>-0.93479999999999497</v>
      </c>
      <c r="AF10233">
        <v>1.31603931030208</v>
      </c>
      <c r="AG10233">
        <v>-1.11864958001999</v>
      </c>
      <c r="AH10233">
        <v>27.791107502706101</v>
      </c>
      <c r="AI10233">
        <v>92.302451963752105</v>
      </c>
      <c r="AJ10233">
        <v>87.288801441931298</v>
      </c>
      <c r="AK10233">
        <v>27.844730068293099</v>
      </c>
      <c r="AL10233">
        <v>95.292553740119402</v>
      </c>
      <c r="AM10233">
        <v>89.059700622118299</v>
      </c>
      <c r="AN10233">
        <v>0.99999999413826801</v>
      </c>
    </row>
    <row r="10234" spans="1:40" x14ac:dyDescent="0.25">
      <c r="A10234" t="str">
        <f>"20190303154039640"</f>
        <v>20190303154039640</v>
      </c>
      <c r="B10234" t="str">
        <f>"1551598839637966"</f>
        <v>1551598839637966</v>
      </c>
      <c r="C10234" t="s">
        <v>40</v>
      </c>
      <c r="D10234">
        <v>4.9145320000000003</v>
      </c>
      <c r="E10234">
        <v>0.51197519999999996</v>
      </c>
      <c r="F10234" t="s">
        <v>42</v>
      </c>
      <c r="G10234">
        <v>-132.48269999999999</v>
      </c>
      <c r="H10234" s="1">
        <v>-3.679836E-6</v>
      </c>
      <c r="I10234">
        <v>136.95179999999999</v>
      </c>
      <c r="J10234">
        <v>-160.33359999999999</v>
      </c>
      <c r="K10234">
        <v>1.1185879999999999</v>
      </c>
      <c r="L10234">
        <v>137.86410000000001</v>
      </c>
      <c r="M10234">
        <v>0.99992199999999998</v>
      </c>
      <c r="N10234">
        <v>-1.901853E-3</v>
      </c>
      <c r="O10234">
        <v>1.23467E-2</v>
      </c>
      <c r="P10234">
        <v>0.99550660000000002</v>
      </c>
      <c r="Q10234">
        <v>-9.4674939999999999E-2</v>
      </c>
      <c r="R10234">
        <v>-1.83876E-3</v>
      </c>
      <c r="S10234">
        <v>3.001846</v>
      </c>
      <c r="T10234">
        <v>-0.1195266</v>
      </c>
      <c r="U10234">
        <v>-9.7274780000000005E-2</v>
      </c>
      <c r="V10234">
        <v>1.393052E-2</v>
      </c>
      <c r="W10234">
        <v>-9.2811820000000003E-2</v>
      </c>
      <c r="X10234">
        <v>0.99558619999999998</v>
      </c>
      <c r="Y10234">
        <v>4.4679839999999998E-2</v>
      </c>
      <c r="Z10234">
        <v>-1.399298E-3</v>
      </c>
      <c r="AA10234">
        <v>0.99900040000000001</v>
      </c>
      <c r="AB10234">
        <v>24</v>
      </c>
      <c r="AC10234">
        <v>27.850899999999999</v>
      </c>
      <c r="AD10234">
        <v>-1.1185916798359901</v>
      </c>
      <c r="AE10234">
        <v>-0.91230000000001599</v>
      </c>
      <c r="AF10234">
        <v>1.25407697987808</v>
      </c>
      <c r="AG10234">
        <v>-1.1185916798359901</v>
      </c>
      <c r="AH10234">
        <v>27.792728439020198</v>
      </c>
      <c r="AI10234">
        <v>92.302435655516405</v>
      </c>
      <c r="AJ10234">
        <v>87.416424501206905</v>
      </c>
      <c r="AK10234">
        <v>27.843485961761001</v>
      </c>
      <c r="AL10234">
        <v>95.325389899653302</v>
      </c>
      <c r="AM10234">
        <v>89.198353774301097</v>
      </c>
      <c r="AN10234">
        <v>0.999999987474811</v>
      </c>
    </row>
    <row r="10235" spans="1:40" x14ac:dyDescent="0.25">
      <c r="A10235" t="str">
        <f>"20190303154039663"</f>
        <v>20190303154039663</v>
      </c>
      <c r="B10235" t="str">
        <f>"1551598839658465"</f>
        <v>1551598839658465</v>
      </c>
      <c r="C10235" t="s">
        <v>40</v>
      </c>
      <c r="D10235">
        <v>4.8120440000000002</v>
      </c>
      <c r="E10235">
        <v>0.51214599999999999</v>
      </c>
      <c r="F10235" t="s">
        <v>42</v>
      </c>
      <c r="G10235">
        <v>-133.285</v>
      </c>
      <c r="H10235" s="1">
        <v>-3.3231890000000001E-6</v>
      </c>
      <c r="I10235">
        <v>137.02199999999999</v>
      </c>
      <c r="J10235">
        <v>-160.0872</v>
      </c>
      <c r="K10235">
        <v>1.1185309999999999</v>
      </c>
      <c r="L10235">
        <v>137.8657</v>
      </c>
      <c r="M10235">
        <v>0.99993900000000002</v>
      </c>
      <c r="N10235">
        <v>-1.701131E-3</v>
      </c>
      <c r="O10235">
        <v>1.091603E-2</v>
      </c>
      <c r="P10235">
        <v>0.99543550000000003</v>
      </c>
      <c r="Q10235">
        <v>-9.543836E-2</v>
      </c>
      <c r="R10235">
        <v>-2.7083050000000002E-4</v>
      </c>
      <c r="S10235">
        <v>3.001541</v>
      </c>
      <c r="T10235">
        <v>-0.12412819999999999</v>
      </c>
      <c r="U10235">
        <v>-9.3444819999999998E-2</v>
      </c>
      <c r="V10235">
        <v>1.093158E-2</v>
      </c>
      <c r="W10235">
        <v>-9.3769140000000001E-2</v>
      </c>
      <c r="X10235">
        <v>0.99553389999999997</v>
      </c>
      <c r="Y10235">
        <v>4.1980219999999999E-2</v>
      </c>
      <c r="Z10235">
        <v>-1.335777E-3</v>
      </c>
      <c r="AA10235">
        <v>0.99911760000000005</v>
      </c>
      <c r="AB10235">
        <v>24</v>
      </c>
      <c r="AC10235">
        <v>26.802199999999999</v>
      </c>
      <c r="AD10235">
        <v>-1.1185343231889999</v>
      </c>
      <c r="AE10235">
        <v>-0.84369999999998402</v>
      </c>
      <c r="AF10235">
        <v>1.1342502679243101</v>
      </c>
      <c r="AG10235">
        <v>-1.1185343231889999</v>
      </c>
      <c r="AH10235">
        <v>26.744859472320901</v>
      </c>
      <c r="AI10235">
        <v>92.392703310510399</v>
      </c>
      <c r="AJ10235">
        <v>87.571539578633406</v>
      </c>
      <c r="AK10235">
        <v>26.792259160000501</v>
      </c>
      <c r="AL10235">
        <v>95.380480762178806</v>
      </c>
      <c r="AM10235">
        <v>89.370882070363905</v>
      </c>
      <c r="AN10235">
        <v>0.999999948553421</v>
      </c>
    </row>
    <row r="10236" spans="1:40" x14ac:dyDescent="0.25">
      <c r="A10236" t="str">
        <f>"20190303154039686"</f>
        <v>20190303154039686</v>
      </c>
      <c r="B10236" t="str">
        <f>"1551598839678301"</f>
        <v>1551598839678301</v>
      </c>
      <c r="C10236" t="s">
        <v>40</v>
      </c>
      <c r="D10236">
        <v>4.8142180000000003</v>
      </c>
      <c r="E10236">
        <v>0.51235059999999999</v>
      </c>
      <c r="F10236" t="s">
        <v>42</v>
      </c>
      <c r="G10236">
        <v>-133.59649999999999</v>
      </c>
      <c r="H10236" s="1">
        <v>-3.1805369999999998E-6</v>
      </c>
      <c r="I10236">
        <v>137.0729</v>
      </c>
      <c r="J10236">
        <v>-159.8314</v>
      </c>
      <c r="K10236">
        <v>1.1184750000000001</v>
      </c>
      <c r="L10236">
        <v>137.86699999999999</v>
      </c>
      <c r="M10236">
        <v>0.99995429999999996</v>
      </c>
      <c r="N10236">
        <v>-1.501718E-3</v>
      </c>
      <c r="O10236">
        <v>9.4403449999999993E-3</v>
      </c>
      <c r="P10236">
        <v>0.99521879999999996</v>
      </c>
      <c r="Q10236">
        <v>-9.7662529999999997E-2</v>
      </c>
      <c r="R10236">
        <v>1.354966E-3</v>
      </c>
      <c r="S10236">
        <v>3.0015869999999998</v>
      </c>
      <c r="T10236">
        <v>-0.12673799999999999</v>
      </c>
      <c r="U10236">
        <v>-8.9828489999999997E-2</v>
      </c>
      <c r="V10236">
        <v>7.8258089999999995E-3</v>
      </c>
      <c r="W10236">
        <v>-9.6185640000000003E-2</v>
      </c>
      <c r="X10236">
        <v>0.99533269999999996</v>
      </c>
      <c r="Y10236">
        <v>3.9304350000000002E-2</v>
      </c>
      <c r="Z10236">
        <v>-1.242946E-3</v>
      </c>
      <c r="AA10236">
        <v>0.99922650000000002</v>
      </c>
      <c r="AB10236">
        <v>25</v>
      </c>
      <c r="AC10236">
        <v>26.2349</v>
      </c>
      <c r="AD10236">
        <v>-1.1184781805370001</v>
      </c>
      <c r="AE10236">
        <v>-0.79410000000001402</v>
      </c>
      <c r="AF10236">
        <v>1.03984312345679</v>
      </c>
      <c r="AG10236">
        <v>-1.1184781805370001</v>
      </c>
      <c r="AH10236">
        <v>26.1786957447102</v>
      </c>
      <c r="AI10236">
        <v>92.444534539226197</v>
      </c>
      <c r="AJ10236">
        <v>87.7253519791782</v>
      </c>
      <c r="AK10236">
        <v>26.223203047222199</v>
      </c>
      <c r="AL10236">
        <v>95.519564220965407</v>
      </c>
      <c r="AM10236">
        <v>89.549520891124004</v>
      </c>
      <c r="AN10236">
        <v>1.000000052159</v>
      </c>
    </row>
    <row r="10237" spans="1:40" x14ac:dyDescent="0.25">
      <c r="A10237" t="str">
        <f>"20190303154039708"</f>
        <v>20190303154039708</v>
      </c>
      <c r="B10237" t="str">
        <f>"1551598839697824"</f>
        <v>1551598839697824</v>
      </c>
      <c r="C10237" t="s">
        <v>40</v>
      </c>
      <c r="D10237">
        <v>4.824554</v>
      </c>
      <c r="E10237">
        <v>0.5125402</v>
      </c>
      <c r="F10237" t="s">
        <v>42</v>
      </c>
      <c r="G10237">
        <v>-134.745</v>
      </c>
      <c r="H10237" s="1">
        <v>-2.675121E-6</v>
      </c>
      <c r="I10237">
        <v>137.14449999999999</v>
      </c>
      <c r="J10237">
        <v>-159.57910000000001</v>
      </c>
      <c r="K10237">
        <v>1.1184210000000001</v>
      </c>
      <c r="L10237">
        <v>137.86789999999999</v>
      </c>
      <c r="M10237">
        <v>0.9999673</v>
      </c>
      <c r="N10237">
        <v>-1.320131E-3</v>
      </c>
      <c r="O10237">
        <v>7.9944159999999903E-3</v>
      </c>
      <c r="P10237">
        <v>0.99515390000000004</v>
      </c>
      <c r="Q10237">
        <v>-9.8291890000000007E-2</v>
      </c>
      <c r="R10237">
        <v>2.7523370000000001E-3</v>
      </c>
      <c r="S10237">
        <v>3.0014189999999998</v>
      </c>
      <c r="T10237">
        <v>-0.1338184</v>
      </c>
      <c r="U10237">
        <v>-8.6441039999999997E-2</v>
      </c>
      <c r="V10237">
        <v>4.9831349999999996E-3</v>
      </c>
      <c r="W10237">
        <v>-9.6989640000000002E-2</v>
      </c>
      <c r="X10237">
        <v>0.99527290000000002</v>
      </c>
      <c r="Y10237">
        <v>3.6733290000000002E-2</v>
      </c>
      <c r="Z10237">
        <v>-1.1882069999999999E-3</v>
      </c>
      <c r="AA10237">
        <v>0.9993244</v>
      </c>
      <c r="AB10237">
        <v>25</v>
      </c>
      <c r="AC10237">
        <v>24.834099999999999</v>
      </c>
      <c r="AD10237">
        <v>-1.1184236751209999</v>
      </c>
      <c r="AE10237">
        <v>-0.72339999999999705</v>
      </c>
      <c r="AF10237">
        <v>0.92004667878458102</v>
      </c>
      <c r="AG10237">
        <v>-1.1184236751209999</v>
      </c>
      <c r="AH10237">
        <v>24.777311913074399</v>
      </c>
      <c r="AI10237">
        <v>92.582743608312498</v>
      </c>
      <c r="AJ10237">
        <v>87.873434229735295</v>
      </c>
      <c r="AK10237">
        <v>24.8195999775579</v>
      </c>
      <c r="AL10237">
        <v>95.565846802034301</v>
      </c>
      <c r="AM10237">
        <v>89.713133735953605</v>
      </c>
      <c r="AN10237">
        <v>0.99999998368808296</v>
      </c>
    </row>
    <row r="10238" spans="1:40" x14ac:dyDescent="0.25">
      <c r="A10238" t="str">
        <f>"20190303154039731"</f>
        <v>20190303154039731</v>
      </c>
      <c r="B10238" t="str">
        <f>"1551598839728078"</f>
        <v>1551598839728078</v>
      </c>
      <c r="C10238" t="s">
        <v>40</v>
      </c>
      <c r="D10238">
        <v>4.7854549999999998</v>
      </c>
      <c r="E10238">
        <v>0.51288469999999997</v>
      </c>
      <c r="F10238" t="s">
        <v>42</v>
      </c>
      <c r="G10238">
        <v>-134.94489999999999</v>
      </c>
      <c r="H10238" s="1">
        <v>-2.5829100000000001E-6</v>
      </c>
      <c r="I10238">
        <v>137.18090000000001</v>
      </c>
      <c r="J10238">
        <v>-159.32490000000001</v>
      </c>
      <c r="K10238">
        <v>1.1183809999999901</v>
      </c>
      <c r="L10238">
        <v>137.86850000000001</v>
      </c>
      <c r="M10238">
        <v>0.99997789999999998</v>
      </c>
      <c r="N10238">
        <v>-1.1570479999999999E-3</v>
      </c>
      <c r="O10238">
        <v>6.5478450000000001E-3</v>
      </c>
      <c r="P10238">
        <v>0.99526150000000002</v>
      </c>
      <c r="Q10238">
        <v>-9.7179420000000002E-2</v>
      </c>
      <c r="R10238">
        <v>3.291782E-3</v>
      </c>
      <c r="S10238">
        <v>3.0013890000000001</v>
      </c>
      <c r="T10238">
        <v>-0.13626669999999999</v>
      </c>
      <c r="U10238">
        <v>-8.3709720000000001E-2</v>
      </c>
      <c r="V10238">
        <v>3.002879E-3</v>
      </c>
      <c r="W10238">
        <v>-9.6034969999999997E-2</v>
      </c>
      <c r="X10238">
        <v>0.99537339999999996</v>
      </c>
      <c r="Y10238">
        <v>3.4381500000000002E-2</v>
      </c>
      <c r="Z10238">
        <v>-1.0893369999999999E-3</v>
      </c>
      <c r="AA10238">
        <v>0.99940819999999997</v>
      </c>
      <c r="AB10238">
        <v>25</v>
      </c>
      <c r="AC10238">
        <v>24.38</v>
      </c>
      <c r="AD10238">
        <v>-1.11838358291</v>
      </c>
      <c r="AE10238">
        <v>-0.68760000000000299</v>
      </c>
      <c r="AF10238">
        <v>0.84544414577410198</v>
      </c>
      <c r="AG10238">
        <v>-1.11838358291</v>
      </c>
      <c r="AH10238">
        <v>24.323830334072198</v>
      </c>
      <c r="AI10238">
        <v>92.630957775320098</v>
      </c>
      <c r="AJ10238">
        <v>88.009323048544303</v>
      </c>
      <c r="AK10238">
        <v>24.364200782354299</v>
      </c>
      <c r="AL10238">
        <v>95.510891775965803</v>
      </c>
      <c r="AM10238">
        <v>89.827148514191094</v>
      </c>
      <c r="AN10238">
        <v>0.99999996908637401</v>
      </c>
    </row>
    <row r="10239" spans="1:40" x14ac:dyDescent="0.25">
      <c r="A10239" t="str">
        <f>"20190303154039754"</f>
        <v>20190303154039754</v>
      </c>
      <c r="B10239" t="str">
        <f>"1551598839748573"</f>
        <v>1551598839748573</v>
      </c>
      <c r="C10239" t="s">
        <v>40</v>
      </c>
      <c r="D10239">
        <v>4.8070839999999997</v>
      </c>
      <c r="E10239">
        <v>0.51317040000000003</v>
      </c>
      <c r="F10239" t="s">
        <v>42</v>
      </c>
      <c r="G10239">
        <v>-134.0094</v>
      </c>
      <c r="H10239" s="1">
        <v>-2.9895080000000001E-6</v>
      </c>
      <c r="I10239">
        <v>137.15119999999999</v>
      </c>
      <c r="J10239">
        <v>-159.0506</v>
      </c>
      <c r="K10239">
        <v>1.118352</v>
      </c>
      <c r="L10239">
        <v>137.86869999999999</v>
      </c>
      <c r="M10239">
        <v>0.99998690000000001</v>
      </c>
      <c r="N10239">
        <v>-1.0063959999999999E-3</v>
      </c>
      <c r="O10239">
        <v>5.003197E-3</v>
      </c>
      <c r="P10239">
        <v>0.99548979999999998</v>
      </c>
      <c r="Q10239">
        <v>-9.4818830000000007E-2</v>
      </c>
      <c r="R10239">
        <v>3.094046E-3</v>
      </c>
      <c r="S10239">
        <v>3.0016479999999999</v>
      </c>
      <c r="T10239">
        <v>-0.13260629999999901</v>
      </c>
      <c r="U10239">
        <v>-8.5052489999999994E-2</v>
      </c>
      <c r="V10239">
        <v>1.665571E-3</v>
      </c>
      <c r="W10239">
        <v>-9.3821130000000003E-2</v>
      </c>
      <c r="X10239">
        <v>0.99558760000000002</v>
      </c>
      <c r="Y10239">
        <v>3.3286900000000001E-2</v>
      </c>
      <c r="Z10239">
        <v>-9.6737709999999998E-4</v>
      </c>
      <c r="AA10239">
        <v>0.99944540000000004</v>
      </c>
      <c r="AB10239">
        <v>25</v>
      </c>
      <c r="AC10239">
        <v>25.0412</v>
      </c>
      <c r="AD10239">
        <v>-1.1183549895080001</v>
      </c>
      <c r="AE10239">
        <v>-0.71750000000000103</v>
      </c>
      <c r="AF10239">
        <v>0.841100891916439</v>
      </c>
      <c r="AG10239">
        <v>-1.1183549895080001</v>
      </c>
      <c r="AH10239">
        <v>24.987498377871798</v>
      </c>
      <c r="AI10239">
        <v>92.561204322073294</v>
      </c>
      <c r="AJ10239">
        <v>88.072102229543901</v>
      </c>
      <c r="AK10239">
        <v>25.026650670377101</v>
      </c>
      <c r="AL10239">
        <v>95.383472893095103</v>
      </c>
      <c r="AM10239">
        <v>89.904146958288294</v>
      </c>
      <c r="AN10239">
        <v>0.99999992391749304</v>
      </c>
    </row>
    <row r="10240" spans="1:40" x14ac:dyDescent="0.25">
      <c r="A10240" t="str">
        <f>"20190303154039777"</f>
        <v>20190303154039777</v>
      </c>
      <c r="B10240" t="str">
        <f>"1551598839768599"</f>
        <v>1551598839768599</v>
      </c>
      <c r="C10240" t="s">
        <v>40</v>
      </c>
      <c r="D10240">
        <v>4.7628459999999997</v>
      </c>
      <c r="E10240">
        <v>0.51338329999999999</v>
      </c>
      <c r="F10240" t="s">
        <v>42</v>
      </c>
      <c r="G10240">
        <v>-132.28479999999999</v>
      </c>
      <c r="H10240" s="1">
        <v>-3.7413379999999999E-6</v>
      </c>
      <c r="I10240">
        <v>137.08359999999999</v>
      </c>
      <c r="J10240">
        <v>-158.78460000000001</v>
      </c>
      <c r="K10240">
        <v>1.1183209999999999</v>
      </c>
      <c r="L10240">
        <v>137.86850000000001</v>
      </c>
      <c r="M10240">
        <v>0.99999360000000004</v>
      </c>
      <c r="N10240">
        <v>-8.8318800000000003E-4</v>
      </c>
      <c r="O10240">
        <v>3.5227679999999999E-3</v>
      </c>
      <c r="P10240">
        <v>0.99556619999999996</v>
      </c>
      <c r="Q10240">
        <v>-9.4024670000000005E-2</v>
      </c>
      <c r="R10240">
        <v>2.7807320000000002E-3</v>
      </c>
      <c r="S10240">
        <v>3.0018919999999998</v>
      </c>
      <c r="T10240">
        <v>-0.12542819999999999</v>
      </c>
      <c r="U10240">
        <v>-8.8043209999999997E-2</v>
      </c>
      <c r="V10240">
        <v>5.0414909999999999E-4</v>
      </c>
      <c r="W10240">
        <v>-9.3146820000000005E-2</v>
      </c>
      <c r="X10240">
        <v>0.99565230000000005</v>
      </c>
      <c r="Y10240">
        <v>3.2805559999999998E-2</v>
      </c>
      <c r="Z10240">
        <v>-8.433971E-4</v>
      </c>
      <c r="AA10240">
        <v>0.99946140000000006</v>
      </c>
      <c r="AB10240">
        <v>26</v>
      </c>
      <c r="AC10240">
        <v>26.4998</v>
      </c>
      <c r="AD10240">
        <v>-1.118324741338</v>
      </c>
      <c r="AE10240">
        <v>-0.78490000000002103</v>
      </c>
      <c r="AF10240">
        <v>0.87668783050959997</v>
      </c>
      <c r="AG10240">
        <v>-1.118324741338</v>
      </c>
      <c r="AH10240">
        <v>26.449806169477998</v>
      </c>
      <c r="AI10240">
        <v>92.419754642763706</v>
      </c>
      <c r="AJ10240">
        <v>88.101606877900707</v>
      </c>
      <c r="AK10240">
        <v>26.487949678716401</v>
      </c>
      <c r="AL10240">
        <v>95.344667196295205</v>
      </c>
      <c r="AM10240">
        <v>89.970988252418394</v>
      </c>
      <c r="AN10240">
        <v>1.0000000433688501</v>
      </c>
    </row>
    <row r="10241" spans="1:40" x14ac:dyDescent="0.25">
      <c r="A10241" t="str">
        <f>"20190303154039797"</f>
        <v>20190303154039797</v>
      </c>
      <c r="B10241" t="str">
        <f>"1551598839788120"</f>
        <v>1551598839788120</v>
      </c>
      <c r="C10241" t="s">
        <v>40</v>
      </c>
      <c r="D10241">
        <v>4.8895780000000002</v>
      </c>
      <c r="E10241">
        <v>0.51352849999999906</v>
      </c>
      <c r="F10241" t="s">
        <v>42</v>
      </c>
      <c r="G10241">
        <v>-131.82399999999899</v>
      </c>
      <c r="H10241" s="1">
        <v>-3.944942E-6</v>
      </c>
      <c r="I10241">
        <v>137.05019999999999</v>
      </c>
      <c r="J10241">
        <v>-158.5479</v>
      </c>
      <c r="K10241">
        <v>1.1182939999999999</v>
      </c>
      <c r="L10241">
        <v>137.86799999999999</v>
      </c>
      <c r="M10241">
        <v>0.99999729999999998</v>
      </c>
      <c r="N10241">
        <v>-7.9278789999999997E-4</v>
      </c>
      <c r="O10241">
        <v>2.229356E-3</v>
      </c>
      <c r="P10241">
        <v>0.99541040000000003</v>
      </c>
      <c r="Q10241">
        <v>-9.5686510000000002E-2</v>
      </c>
      <c r="R10241">
        <v>1.685214E-3</v>
      </c>
      <c r="S10241">
        <v>3.001846</v>
      </c>
      <c r="T10241">
        <v>-0.1245164</v>
      </c>
      <c r="U10241">
        <v>-9.111023E-2</v>
      </c>
      <c r="V10241">
        <v>3.0621970000000001E-4</v>
      </c>
      <c r="W10241">
        <v>-9.4898319999999994E-2</v>
      </c>
      <c r="X10241">
        <v>0.99548689999999995</v>
      </c>
      <c r="Y10241">
        <v>3.2535349999999998E-2</v>
      </c>
      <c r="Z10241">
        <v>-7.7788929999999905E-4</v>
      </c>
      <c r="AA10241">
        <v>0.99947030000000003</v>
      </c>
      <c r="AB10241">
        <v>26</v>
      </c>
      <c r="AC10241">
        <v>26.7239</v>
      </c>
      <c r="AD10241">
        <v>-1.1182979449420001</v>
      </c>
      <c r="AE10241">
        <v>-0.81780000000000497</v>
      </c>
      <c r="AF10241">
        <v>0.875842798327371</v>
      </c>
      <c r="AG10241">
        <v>-1.1182979449420001</v>
      </c>
      <c r="AH10241">
        <v>26.675342457490899</v>
      </c>
      <c r="AI10241">
        <v>92.399287176209697</v>
      </c>
      <c r="AJ10241">
        <v>88.119459012262098</v>
      </c>
      <c r="AK10241">
        <v>26.713135086048201</v>
      </c>
      <c r="AL10241">
        <v>95.445467666103596</v>
      </c>
      <c r="AM10241">
        <v>89.9823753623876</v>
      </c>
      <c r="AN10241">
        <v>0.99999997649046801</v>
      </c>
    </row>
    <row r="10242" spans="1:40" x14ac:dyDescent="0.25">
      <c r="A10242" t="str">
        <f>"20190303154039821"</f>
        <v>20190303154039821</v>
      </c>
      <c r="B10242" t="str">
        <f>"1551598839808616"</f>
        <v>1551598839808616</v>
      </c>
      <c r="C10242" t="s">
        <v>40</v>
      </c>
      <c r="D10242">
        <v>4.8871099999999998</v>
      </c>
      <c r="E10242">
        <v>0.51352209999999998</v>
      </c>
      <c r="F10242" t="s">
        <v>42</v>
      </c>
      <c r="G10242">
        <v>-132.93969999999999</v>
      </c>
      <c r="H10242" s="1">
        <v>-3.4661050000000001E-6</v>
      </c>
      <c r="I10242">
        <v>137.0515</v>
      </c>
      <c r="J10242">
        <v>-158.27809999999999</v>
      </c>
      <c r="K10242">
        <v>1.1182879999999999</v>
      </c>
      <c r="L10242">
        <v>137.86709999999999</v>
      </c>
      <c r="M10242">
        <v>0.99999950000000004</v>
      </c>
      <c r="N10242">
        <v>-7.1425939999999999E-4</v>
      </c>
      <c r="O10242">
        <v>8.0621779999999997E-4</v>
      </c>
      <c r="P10242">
        <v>0.99528519999999998</v>
      </c>
      <c r="Q10242">
        <v>-9.6990030000000005E-2</v>
      </c>
      <c r="R10242">
        <v>5.7515080000000002E-4</v>
      </c>
      <c r="S10242">
        <v>3.001404</v>
      </c>
      <c r="T10242">
        <v>-0.13106969999999901</v>
      </c>
      <c r="U10242">
        <v>-9.5687869999999994E-2</v>
      </c>
      <c r="V10242" s="1">
        <v>-9.1735270000000005E-7</v>
      </c>
      <c r="W10242">
        <v>-9.6279400000000001E-2</v>
      </c>
      <c r="X10242">
        <v>0.99535439999999997</v>
      </c>
      <c r="Y10242">
        <v>3.2638319999999998E-2</v>
      </c>
      <c r="Z10242">
        <v>-7.5839949999999897E-4</v>
      </c>
      <c r="AA10242">
        <v>0.99946699999999999</v>
      </c>
      <c r="AB10242">
        <v>26</v>
      </c>
      <c r="AC10242">
        <v>25.3384</v>
      </c>
      <c r="AD10242">
        <v>-1.1182914661050001</v>
      </c>
      <c r="AE10242">
        <v>-0.815599999999989</v>
      </c>
      <c r="AF10242">
        <v>0.83440440963217299</v>
      </c>
      <c r="AG10242">
        <v>-1.1182914661050001</v>
      </c>
      <c r="AH10242">
        <v>25.2885273765534</v>
      </c>
      <c r="AI10242">
        <v>92.530668625174997</v>
      </c>
      <c r="AJ10242">
        <v>88.110189956610995</v>
      </c>
      <c r="AK10242">
        <v>25.3269900184896</v>
      </c>
      <c r="AL10242">
        <v>95.524961321151494</v>
      </c>
      <c r="AM10242">
        <v>90.000052805752404</v>
      </c>
      <c r="AN10242">
        <v>1.0000000522322701</v>
      </c>
    </row>
    <row r="10243" spans="1:40" x14ac:dyDescent="0.25">
      <c r="A10243" t="str">
        <f>"20190303154039842"</f>
        <v>20190303154039842</v>
      </c>
      <c r="B10243" t="str">
        <f>"1551598839837896"</f>
        <v>1551598839837896</v>
      </c>
      <c r="C10243" t="s">
        <v>40</v>
      </c>
      <c r="D10243">
        <v>4.7848860000000002</v>
      </c>
      <c r="E10243">
        <v>0.51386929999999997</v>
      </c>
      <c r="F10243" t="s">
        <v>42</v>
      </c>
      <c r="G10243">
        <v>-134.04949999999999</v>
      </c>
      <c r="H10243" s="1">
        <v>-2.987471E-6</v>
      </c>
      <c r="I10243">
        <v>137.06569999999999</v>
      </c>
      <c r="J10243">
        <v>-158.0181</v>
      </c>
      <c r="K10243">
        <v>1.1183190000000001</v>
      </c>
      <c r="L10243">
        <v>137.86600000000001</v>
      </c>
      <c r="M10243">
        <v>0.99999959999999999</v>
      </c>
      <c r="N10243">
        <v>-6.6498719999999998E-4</v>
      </c>
      <c r="O10243">
        <v>-4.8809040000000003E-4</v>
      </c>
      <c r="P10243">
        <v>0.99536069999999999</v>
      </c>
      <c r="Q10243">
        <v>-9.6210770000000001E-2</v>
      </c>
      <c r="R10243">
        <v>-9.6245339999999997E-4</v>
      </c>
      <c r="S10243">
        <v>3.0007779999999999</v>
      </c>
      <c r="T10243">
        <v>-0.1385034</v>
      </c>
      <c r="U10243">
        <v>-9.925842E-2</v>
      </c>
      <c r="V10243">
        <v>2.5700579999999998E-4</v>
      </c>
      <c r="W10243">
        <v>-9.5549700000000001E-2</v>
      </c>
      <c r="X10243">
        <v>0.99542459999999999</v>
      </c>
      <c r="Y10243">
        <v>3.2537049999999998E-2</v>
      </c>
      <c r="Z10243">
        <v>-7.3892450000000002E-4</v>
      </c>
      <c r="AA10243">
        <v>0.99947019999999998</v>
      </c>
      <c r="AB10243">
        <v>26</v>
      </c>
      <c r="AC10243">
        <v>23.968599999999999</v>
      </c>
      <c r="AD10243">
        <v>-1.118321987471</v>
      </c>
      <c r="AE10243">
        <v>-0.80030000000002099</v>
      </c>
      <c r="AF10243">
        <v>0.78688994565315895</v>
      </c>
      <c r="AG10243">
        <v>-1.118321987471</v>
      </c>
      <c r="AH10243">
        <v>23.916979684088702</v>
      </c>
      <c r="AI10243">
        <v>92.675668876947597</v>
      </c>
      <c r="AJ10243">
        <v>88.1155975332221</v>
      </c>
      <c r="AK10243">
        <v>23.956038008471701</v>
      </c>
      <c r="AL10243">
        <v>95.482959380236295</v>
      </c>
      <c r="AM10243">
        <v>89.985206968641094</v>
      </c>
      <c r="AN10243">
        <v>0.99999997275361496</v>
      </c>
    </row>
    <row r="10244" spans="1:40" x14ac:dyDescent="0.25">
      <c r="A10244" t="str">
        <f>"20190303154039864"</f>
        <v>20190303154039864</v>
      </c>
      <c r="B10244" t="str">
        <f>"1551598839858392"</f>
        <v>1551598839858392</v>
      </c>
      <c r="C10244" t="s">
        <v>40</v>
      </c>
      <c r="D10244">
        <v>4.7775230000000004</v>
      </c>
      <c r="E10244">
        <v>0.51409309999999997</v>
      </c>
      <c r="F10244" t="s">
        <v>42</v>
      </c>
      <c r="G10244">
        <v>-133.22909999999999</v>
      </c>
      <c r="H10244" s="1">
        <v>-3.3535810000000001E-6</v>
      </c>
      <c r="I10244">
        <v>136.98580000000001</v>
      </c>
      <c r="J10244">
        <v>-157.7517</v>
      </c>
      <c r="K10244">
        <v>1.118385</v>
      </c>
      <c r="L10244">
        <v>137.86449999999999</v>
      </c>
      <c r="M10244">
        <v>0.99999850000000001</v>
      </c>
      <c r="N10244">
        <v>-6.4155820000000004E-4</v>
      </c>
      <c r="O10244">
        <v>-1.7110770000000001E-3</v>
      </c>
      <c r="P10244">
        <v>0.99558709999999995</v>
      </c>
      <c r="Q10244">
        <v>-9.3819630000000001E-2</v>
      </c>
      <c r="R10244">
        <v>-2.1247900000000001E-3</v>
      </c>
      <c r="S10244">
        <v>3.0007779999999999</v>
      </c>
      <c r="T10244">
        <v>-0.13537569999999999</v>
      </c>
      <c r="U10244">
        <v>-0.1065369</v>
      </c>
      <c r="V10244">
        <v>2.1934999999999999E-4</v>
      </c>
      <c r="W10244">
        <v>-9.3181570000000005E-2</v>
      </c>
      <c r="X10244">
        <v>0.99564909999999995</v>
      </c>
      <c r="Y10244">
        <v>3.37376E-2</v>
      </c>
      <c r="Z10244">
        <v>-6.9518499999999997E-4</v>
      </c>
      <c r="AA10244">
        <v>0.9994305</v>
      </c>
      <c r="AB10244">
        <v>26</v>
      </c>
      <c r="AC10244">
        <v>24.522600000000001</v>
      </c>
      <c r="AD10244">
        <v>-1.118388353581</v>
      </c>
      <c r="AE10244">
        <v>-0.87869999999998005</v>
      </c>
      <c r="AF10244">
        <v>0.83500411817190501</v>
      </c>
      <c r="AG10244">
        <v>-1.118388353581</v>
      </c>
      <c r="AH10244">
        <v>24.473229879981901</v>
      </c>
      <c r="AI10244">
        <v>92.614987679078496</v>
      </c>
      <c r="AJ10244">
        <v>88.045878681391798</v>
      </c>
      <c r="AK10244">
        <v>24.512996657798201</v>
      </c>
      <c r="AL10244">
        <v>95.346667198808404</v>
      </c>
      <c r="AM10244">
        <v>89.987377250646901</v>
      </c>
      <c r="AN10244">
        <v>0.99999999171644804</v>
      </c>
    </row>
    <row r="10245" spans="1:40" x14ac:dyDescent="0.25">
      <c r="A10245" t="str">
        <f>"20190303154039887"</f>
        <v>20190303154039887</v>
      </c>
      <c r="B10245" t="str">
        <f>"1551598839878274"</f>
        <v>1551598839878274</v>
      </c>
      <c r="C10245" t="s">
        <v>40</v>
      </c>
      <c r="D10245">
        <v>4.7909769999999998</v>
      </c>
      <c r="E10245">
        <v>0.51430559999999903</v>
      </c>
      <c r="F10245" t="s">
        <v>42</v>
      </c>
      <c r="G10245">
        <v>-131.4631</v>
      </c>
      <c r="H10245" s="1">
        <v>-4.1293420000000003E-6</v>
      </c>
      <c r="I10245">
        <v>136.8835</v>
      </c>
      <c r="J10245">
        <v>-157.48429999999999</v>
      </c>
      <c r="K10245">
        <v>1.1184769999999999</v>
      </c>
      <c r="L10245">
        <v>137.8629</v>
      </c>
      <c r="M10245">
        <v>0.99999590000000005</v>
      </c>
      <c r="N10245">
        <v>-6.441312E-4</v>
      </c>
      <c r="O10245">
        <v>-2.8069589999999999E-3</v>
      </c>
      <c r="P10245">
        <v>0.99590959999999995</v>
      </c>
      <c r="Q10245">
        <v>-9.0300080000000005E-2</v>
      </c>
      <c r="R10245">
        <v>-3.205402E-3</v>
      </c>
      <c r="S10245">
        <v>3.0010219999999999</v>
      </c>
      <c r="T10245">
        <v>-0.1276717</v>
      </c>
      <c r="U10245">
        <v>-0.11198429999999999</v>
      </c>
      <c r="V10245">
        <v>2.3228739999999999E-4</v>
      </c>
      <c r="W10245">
        <v>-8.9659199999999994E-2</v>
      </c>
      <c r="X10245">
        <v>0.99597250000000004</v>
      </c>
      <c r="Y10245">
        <v>3.445513E-2</v>
      </c>
      <c r="Z10245">
        <v>-6.2591589999999998E-4</v>
      </c>
      <c r="AA10245">
        <v>0.99940600000000002</v>
      </c>
      <c r="AB10245">
        <v>27</v>
      </c>
      <c r="AC10245">
        <v>26.0212</v>
      </c>
      <c r="AD10245">
        <v>-1.1184811293419901</v>
      </c>
      <c r="AE10245">
        <v>-0.97939999999999805</v>
      </c>
      <c r="AF10245">
        <v>0.90468657432794297</v>
      </c>
      <c r="AG10245">
        <v>-1.1184811293419901</v>
      </c>
      <c r="AH10245">
        <v>25.975921987190699</v>
      </c>
      <c r="AI10245">
        <v>92.464048369353904</v>
      </c>
      <c r="AJ10245">
        <v>88.005315092880707</v>
      </c>
      <c r="AK10245">
        <v>26.015725646598401</v>
      </c>
      <c r="AL10245">
        <v>95.144001305468905</v>
      </c>
      <c r="AM10245">
        <v>89.986637093481207</v>
      </c>
      <c r="AN10245">
        <v>1.0000000234291599</v>
      </c>
    </row>
    <row r="10246" spans="1:40" x14ac:dyDescent="0.25">
      <c r="A10246" t="str">
        <f>"20190303154039909"</f>
        <v>20190303154039909</v>
      </c>
      <c r="B10246" t="str">
        <f>"1551598839897794"</f>
        <v>1551598839897794</v>
      </c>
      <c r="C10246" t="s">
        <v>40</v>
      </c>
      <c r="D10246">
        <v>4.7967060000000004</v>
      </c>
      <c r="E10246">
        <v>0.51442849999999996</v>
      </c>
      <c r="F10246" t="s">
        <v>42</v>
      </c>
      <c r="G10246">
        <v>-128.59970000000001</v>
      </c>
      <c r="H10246" s="1">
        <v>-1.2285819999999999E-6</v>
      </c>
      <c r="I10246">
        <v>136.73740000000001</v>
      </c>
      <c r="J10246">
        <v>-157.21029999999999</v>
      </c>
      <c r="K10246">
        <v>1.1185940000000001</v>
      </c>
      <c r="L10246">
        <v>137.86109999999999</v>
      </c>
      <c r="M10246">
        <v>0.99999280000000002</v>
      </c>
      <c r="N10246">
        <v>-6.7189460000000002E-4</v>
      </c>
      <c r="O10246">
        <v>-3.772526E-3</v>
      </c>
      <c r="P10246">
        <v>0.99608430000000003</v>
      </c>
      <c r="Q10246">
        <v>-8.8335570000000002E-2</v>
      </c>
      <c r="R10246">
        <v>-3.6493290000000002E-3</v>
      </c>
      <c r="S10246">
        <v>3.001404</v>
      </c>
      <c r="T10246">
        <v>-0.11622109999999999</v>
      </c>
      <c r="U10246">
        <v>-0.1169434</v>
      </c>
      <c r="V10246">
        <v>-2.6107659999999999E-4</v>
      </c>
      <c r="W10246">
        <v>-8.7665969999999996E-2</v>
      </c>
      <c r="X10246">
        <v>0.99614990000000003</v>
      </c>
      <c r="Y10246">
        <v>3.5139379999999998E-2</v>
      </c>
      <c r="Z10246">
        <v>-5.4820450000000001E-4</v>
      </c>
      <c r="AA10246">
        <v>0.99938229999999995</v>
      </c>
      <c r="AB10246">
        <v>27</v>
      </c>
      <c r="AC10246">
        <v>28.610599999999899</v>
      </c>
      <c r="AD10246">
        <v>-1.118595228582</v>
      </c>
      <c r="AE10246">
        <v>-1.1236999999999799</v>
      </c>
      <c r="AF10246">
        <v>1.0142098355921401</v>
      </c>
      <c r="AG10246">
        <v>-1.118595228582</v>
      </c>
      <c r="AH10246">
        <v>28.571029372360702</v>
      </c>
      <c r="AI10246">
        <v>92.240653901323697</v>
      </c>
      <c r="AJ10246">
        <v>87.966977221857903</v>
      </c>
      <c r="AK10246">
        <v>28.610899955651799</v>
      </c>
      <c r="AL10246">
        <v>95.029346160964593</v>
      </c>
      <c r="AM10246">
        <v>90.015016401614901</v>
      </c>
      <c r="AN10246">
        <v>1.00000000686352</v>
      </c>
    </row>
    <row r="10247" spans="1:40" x14ac:dyDescent="0.25">
      <c r="A10247" t="str">
        <f>"20190303154039931"</f>
        <v>20190303154039931</v>
      </c>
      <c r="B10247" t="str">
        <f>"1551598839928049"</f>
        <v>1551598839928049</v>
      </c>
      <c r="C10247" t="s">
        <v>40</v>
      </c>
      <c r="D10247">
        <v>4.8771490000000002</v>
      </c>
      <c r="E10247">
        <v>0.51436720000000002</v>
      </c>
      <c r="F10247" t="s">
        <v>42</v>
      </c>
      <c r="G10247">
        <v>-126.65519999999999</v>
      </c>
      <c r="H10247" s="1">
        <v>-1.9436619999999999E-6</v>
      </c>
      <c r="I10247">
        <v>136.64850000000001</v>
      </c>
      <c r="J10247">
        <v>-156.9419</v>
      </c>
      <c r="K10247">
        <v>1.1187210000000001</v>
      </c>
      <c r="L10247">
        <v>137.85919999999999</v>
      </c>
      <c r="M10247">
        <v>0.99998960000000003</v>
      </c>
      <c r="N10247">
        <v>-7.2349950000000001E-4</v>
      </c>
      <c r="O10247">
        <v>-4.5322269999999998E-3</v>
      </c>
      <c r="P10247">
        <v>0.99622299999999997</v>
      </c>
      <c r="Q10247">
        <v>-8.6766640000000006E-2</v>
      </c>
      <c r="R10247">
        <v>-3.4117169999999999E-3</v>
      </c>
      <c r="S10247">
        <v>3.001617</v>
      </c>
      <c r="T10247">
        <v>-0.1098864</v>
      </c>
      <c r="U10247">
        <v>-0.1191101</v>
      </c>
      <c r="V10247">
        <v>-1.2297779999999999E-3</v>
      </c>
      <c r="W10247">
        <v>-8.6044129999999996E-2</v>
      </c>
      <c r="X10247">
        <v>0.99629060000000003</v>
      </c>
      <c r="Y10247">
        <v>3.510067E-2</v>
      </c>
      <c r="Z10247">
        <v>-4.9222190000000002E-4</v>
      </c>
      <c r="AA10247">
        <v>0.99938369999999999</v>
      </c>
      <c r="AB10247">
        <v>27</v>
      </c>
      <c r="AC10247">
        <v>30.2867</v>
      </c>
      <c r="AD10247">
        <v>-1.1187229436620001</v>
      </c>
      <c r="AE10247">
        <v>-1.2106999999999699</v>
      </c>
      <c r="AF10247">
        <v>1.07196109964936</v>
      </c>
      <c r="AG10247">
        <v>-1.1187229436620001</v>
      </c>
      <c r="AH10247">
        <v>30.2506679940462</v>
      </c>
      <c r="AI10247">
        <v>92.116606296287202</v>
      </c>
      <c r="AJ10247">
        <v>87.970518926637794</v>
      </c>
      <c r="AK10247">
        <v>30.2903211556076</v>
      </c>
      <c r="AL10247">
        <v>94.936068941003896</v>
      </c>
      <c r="AM10247">
        <v>90.070723394712701</v>
      </c>
      <c r="AN10247">
        <v>1.0000000321548701</v>
      </c>
    </row>
    <row r="10248" spans="1:40" x14ac:dyDescent="0.25">
      <c r="A10248" t="str">
        <f>"20190303154039955"</f>
        <v>20190303154039955</v>
      </c>
      <c r="B10248" t="str">
        <f>"1551598839948546"</f>
        <v>1551598839948546</v>
      </c>
      <c r="C10248" t="s">
        <v>40</v>
      </c>
      <c r="D10248">
        <v>4.867496</v>
      </c>
      <c r="E10248">
        <v>0.51423920000000001</v>
      </c>
      <c r="F10248" t="s">
        <v>42</v>
      </c>
      <c r="G10248">
        <v>-125.8205</v>
      </c>
      <c r="H10248" s="1">
        <v>-2.3043480000000002E-6</v>
      </c>
      <c r="I10248">
        <v>136.6337</v>
      </c>
      <c r="J10248">
        <v>-156.65600000000001</v>
      </c>
      <c r="K10248">
        <v>1.11887</v>
      </c>
      <c r="L10248">
        <v>137.85720000000001</v>
      </c>
      <c r="M10248">
        <v>0.9999865</v>
      </c>
      <c r="N10248">
        <v>-7.9971570000000002E-4</v>
      </c>
      <c r="O10248">
        <v>-5.1462649999999997E-3</v>
      </c>
      <c r="P10248">
        <v>0.99629690000000004</v>
      </c>
      <c r="Q10248">
        <v>-8.5943839999999994E-2</v>
      </c>
      <c r="R10248">
        <v>-2.4765170000000001E-3</v>
      </c>
      <c r="S10248">
        <v>3.0015559999999999</v>
      </c>
      <c r="T10248">
        <v>-0.1078973</v>
      </c>
      <c r="U10248">
        <v>-0.1181946</v>
      </c>
      <c r="V10248">
        <v>-2.749259E-3</v>
      </c>
      <c r="W10248">
        <v>-8.5143960000000005E-2</v>
      </c>
      <c r="X10248">
        <v>0.9963649</v>
      </c>
      <c r="Y10248">
        <v>3.4185109999999998E-2</v>
      </c>
      <c r="Z10248">
        <v>-4.4692700000000001E-4</v>
      </c>
      <c r="AA10248">
        <v>0.99941539999999995</v>
      </c>
      <c r="AB10248">
        <v>27</v>
      </c>
      <c r="AC10248">
        <v>30.8355</v>
      </c>
      <c r="AD10248">
        <v>-1.118872304348</v>
      </c>
      <c r="AE10248">
        <v>-1.2235</v>
      </c>
      <c r="AF10248">
        <v>1.0633982168467999</v>
      </c>
      <c r="AG10248">
        <v>-1.118872304348</v>
      </c>
      <c r="AH10248">
        <v>30.8008989247088</v>
      </c>
      <c r="AI10248">
        <v>92.079171885998093</v>
      </c>
      <c r="AJ10248">
        <v>88.0226538510708</v>
      </c>
      <c r="AK10248">
        <v>30.8395535890382</v>
      </c>
      <c r="AL10248">
        <v>94.884303018192796</v>
      </c>
      <c r="AM10248">
        <v>90.158095229688399</v>
      </c>
      <c r="AN10248">
        <v>1.0000000331507699</v>
      </c>
    </row>
    <row r="10249" spans="1:40" x14ac:dyDescent="0.25">
      <c r="A10249" t="str">
        <f>"20190303154039976"</f>
        <v>20190303154039976</v>
      </c>
      <c r="B10249" t="str">
        <f>"1551598839968066"</f>
        <v>1551598839968066</v>
      </c>
      <c r="C10249" t="s">
        <v>40</v>
      </c>
      <c r="D10249">
        <v>4.7896479999999997</v>
      </c>
      <c r="E10249">
        <v>0.51419840000000006</v>
      </c>
      <c r="F10249" t="s">
        <v>42</v>
      </c>
      <c r="G10249">
        <v>-125.755</v>
      </c>
      <c r="H10249" s="1">
        <v>-2.324746E-6</v>
      </c>
      <c r="I10249">
        <v>136.6772</v>
      </c>
      <c r="J10249">
        <v>-156.3783</v>
      </c>
      <c r="K10249">
        <v>1.1190009999999999</v>
      </c>
      <c r="L10249">
        <v>137.8552</v>
      </c>
      <c r="M10249">
        <v>0.99998399999999998</v>
      </c>
      <c r="N10249">
        <v>-8.8853509999999903E-4</v>
      </c>
      <c r="O10249">
        <v>-5.5870399999999997E-3</v>
      </c>
      <c r="P10249">
        <v>0.99630640000000004</v>
      </c>
      <c r="Q10249">
        <v>-8.5861010000000001E-2</v>
      </c>
      <c r="R10249">
        <v>-1.252642E-3</v>
      </c>
      <c r="S10249">
        <v>3.0014949999999998</v>
      </c>
      <c r="T10249">
        <v>-0.1086787</v>
      </c>
      <c r="U10249">
        <v>-0.1146088</v>
      </c>
      <c r="V10249">
        <v>-4.3879519999999997E-3</v>
      </c>
      <c r="W10249">
        <v>-8.4971950000000004E-2</v>
      </c>
      <c r="X10249">
        <v>0.99637370000000003</v>
      </c>
      <c r="Y10249">
        <v>3.255417E-2</v>
      </c>
      <c r="Z10249">
        <v>-4.0623969999999999E-4</v>
      </c>
      <c r="AA10249">
        <v>0.99946990000000002</v>
      </c>
      <c r="AB10249">
        <v>28</v>
      </c>
      <c r="AC10249">
        <v>30.6233</v>
      </c>
      <c r="AD10249">
        <v>-1.1190033247459901</v>
      </c>
      <c r="AE10249">
        <v>-1.1779999999999899</v>
      </c>
      <c r="AF10249">
        <v>1.005547283641</v>
      </c>
      <c r="AG10249">
        <v>-1.1190033247459901</v>
      </c>
      <c r="AH10249">
        <v>30.588620828646899</v>
      </c>
      <c r="AI10249">
        <v>92.093949322619807</v>
      </c>
      <c r="AJ10249">
        <v>88.117179724100396</v>
      </c>
      <c r="AK10249">
        <v>30.6255941653245</v>
      </c>
      <c r="AL10249">
        <v>94.874411798387598</v>
      </c>
      <c r="AM10249">
        <v>90.252324509359696</v>
      </c>
      <c r="AN10249">
        <v>1.0000000182306199</v>
      </c>
    </row>
    <row r="10250" spans="1:40" x14ac:dyDescent="0.25">
      <c r="A10250" t="str">
        <f>"20190303154039998"</f>
        <v>20190303154039998</v>
      </c>
      <c r="B10250" t="str">
        <f>"1551598839988561"</f>
        <v>1551598839988561</v>
      </c>
      <c r="C10250" t="s">
        <v>40</v>
      </c>
      <c r="D10250">
        <v>4.8047250000000004</v>
      </c>
      <c r="E10250">
        <v>0.50495760000000001</v>
      </c>
      <c r="F10250" t="s">
        <v>42</v>
      </c>
      <c r="G10250">
        <v>-125.29219999999999</v>
      </c>
      <c r="H10250" s="1">
        <v>-2.5175620000000001E-6</v>
      </c>
      <c r="I10250">
        <v>136.70949999999999</v>
      </c>
      <c r="J10250">
        <v>-156.1052</v>
      </c>
      <c r="K10250">
        <v>1.11911</v>
      </c>
      <c r="L10250">
        <v>137.85339999999999</v>
      </c>
      <c r="M10250">
        <v>0.99998240000000005</v>
      </c>
      <c r="N10250">
        <v>-9.8543710000000007E-4</v>
      </c>
      <c r="O10250">
        <v>-5.8818359999999997E-3</v>
      </c>
      <c r="P10250">
        <v>0.99629999999999996</v>
      </c>
      <c r="Q10250">
        <v>-8.5945830000000001E-2</v>
      </c>
      <c r="R10250">
        <v>1.4059289999999999E-4</v>
      </c>
      <c r="S10250">
        <v>3.0016940000000001</v>
      </c>
      <c r="T10250">
        <v>-0.10805149999999999</v>
      </c>
      <c r="U10250">
        <v>-0.11062619999999999</v>
      </c>
      <c r="V10250">
        <v>-6.0536790000000002E-3</v>
      </c>
      <c r="W10250">
        <v>-8.4960229999999998E-2</v>
      </c>
      <c r="X10250">
        <v>0.99636599999999997</v>
      </c>
      <c r="Y10250">
        <v>3.0934159999999999E-2</v>
      </c>
      <c r="Z10250">
        <v>-3.6586149999999999E-4</v>
      </c>
      <c r="AA10250">
        <v>0.9995214</v>
      </c>
      <c r="AB10250">
        <v>28</v>
      </c>
      <c r="AC10250">
        <v>30.812999999999999</v>
      </c>
      <c r="AD10250">
        <v>-1.119112517562</v>
      </c>
      <c r="AE10250">
        <v>-1.1438999999999999</v>
      </c>
      <c r="AF10250">
        <v>0.96137673325676598</v>
      </c>
      <c r="AG10250">
        <v>-1.119112517562</v>
      </c>
      <c r="AH10250">
        <v>30.778650815572998</v>
      </c>
      <c r="AI10250">
        <v>92.081344468387798</v>
      </c>
      <c r="AJ10250">
        <v>88.210937622327194</v>
      </c>
      <c r="AK10250">
        <v>30.813990395227702</v>
      </c>
      <c r="AL10250">
        <v>94.873737715038104</v>
      </c>
      <c r="AM10250">
        <v>90.3481110248118</v>
      </c>
      <c r="AN10250">
        <v>1.0000000468335399</v>
      </c>
    </row>
    <row r="10251" spans="1:40" x14ac:dyDescent="0.25">
      <c r="A10251" t="str">
        <f>"20190303154040020"</f>
        <v>20190303154040020</v>
      </c>
      <c r="B10251" t="str">
        <f>"1551598840017843"</f>
        <v>1551598840017843</v>
      </c>
      <c r="C10251" t="s">
        <v>40</v>
      </c>
      <c r="D10251">
        <v>4.8230849999999998</v>
      </c>
      <c r="E10251">
        <v>0.50430419999999998</v>
      </c>
      <c r="F10251" t="s">
        <v>42</v>
      </c>
      <c r="G10251">
        <v>-83.333819999999903</v>
      </c>
      <c r="H10251" s="1">
        <v>-3.2827369999999999E-6</v>
      </c>
      <c r="I10251">
        <v>137.13220000000001</v>
      </c>
      <c r="J10251">
        <v>-155.8279</v>
      </c>
      <c r="K10251">
        <v>1.1192089999999999</v>
      </c>
      <c r="L10251">
        <v>137.85149999999999</v>
      </c>
      <c r="M10251">
        <v>0.99998109999999996</v>
      </c>
      <c r="N10251">
        <v>-1.093257E-3</v>
      </c>
      <c r="O10251">
        <v>-6.0568660000000002E-3</v>
      </c>
      <c r="P10251">
        <v>0.99629380000000001</v>
      </c>
      <c r="Q10251">
        <v>-8.6009769999999999E-2</v>
      </c>
      <c r="R10251">
        <v>1.063444E-3</v>
      </c>
      <c r="S10251">
        <v>3.0071409999999998</v>
      </c>
      <c r="T10251">
        <v>-4.6245219999999997E-2</v>
      </c>
      <c r="U10251">
        <v>-2.9800420000000001E-2</v>
      </c>
      <c r="V10251">
        <v>-7.1321889999999997E-3</v>
      </c>
      <c r="W10251">
        <v>-8.4917670000000001E-2</v>
      </c>
      <c r="X10251">
        <v>0.99636239999999998</v>
      </c>
      <c r="Y10251">
        <v>3.8527729999999999E-3</v>
      </c>
      <c r="Z10251" s="1">
        <v>5.4786519999999901E-5</v>
      </c>
      <c r="AA10251">
        <v>0.99999249999999995</v>
      </c>
      <c r="AB10251">
        <v>28</v>
      </c>
      <c r="AC10251">
        <v>72.494079999999997</v>
      </c>
      <c r="AD10251">
        <v>-1.1192122827369999</v>
      </c>
      <c r="AE10251">
        <v>-0.71929999999997496</v>
      </c>
      <c r="AF10251">
        <v>0.280132869132245</v>
      </c>
      <c r="AG10251">
        <v>-1.1192122827369999</v>
      </c>
      <c r="AH10251">
        <v>72.479832892873205</v>
      </c>
      <c r="AI10251">
        <v>90.884667674162102</v>
      </c>
      <c r="AJ10251">
        <v>89.778554246835498</v>
      </c>
      <c r="AK10251">
        <v>72.489014938382397</v>
      </c>
      <c r="AL10251">
        <v>94.871290808583495</v>
      </c>
      <c r="AM10251">
        <v>90.410129235033807</v>
      </c>
      <c r="AN10251">
        <v>0.99999995546595899</v>
      </c>
    </row>
    <row r="10252" spans="1:40" x14ac:dyDescent="0.25">
      <c r="A10252" t="str">
        <f>"20190303154040043"</f>
        <v>20190303154040043</v>
      </c>
      <c r="B10252" t="str">
        <f>"1551598840038341"</f>
        <v>1551598840038341</v>
      </c>
      <c r="C10252" t="s">
        <v>40</v>
      </c>
      <c r="D10252">
        <v>4.8330080000000004</v>
      </c>
      <c r="E10252">
        <v>0.50404189999999904</v>
      </c>
      <c r="F10252" t="s">
        <v>42</v>
      </c>
      <c r="G10252">
        <v>-80.642510000000001</v>
      </c>
      <c r="H10252" s="1">
        <v>-4.4061339999999997E-6</v>
      </c>
      <c r="I10252">
        <v>137.30789999999999</v>
      </c>
      <c r="J10252">
        <v>-155.5429</v>
      </c>
      <c r="K10252">
        <v>1.1193</v>
      </c>
      <c r="L10252">
        <v>137.84970000000001</v>
      </c>
      <c r="M10252">
        <v>0.99998069999999895</v>
      </c>
      <c r="N10252">
        <v>-1.215254E-3</v>
      </c>
      <c r="O10252">
        <v>-6.1227319999999997E-3</v>
      </c>
      <c r="P10252">
        <v>0.99639049999999996</v>
      </c>
      <c r="Q10252">
        <v>-8.4881310000000001E-2</v>
      </c>
      <c r="R10252">
        <v>1.2228880000000001E-3</v>
      </c>
      <c r="S10252">
        <v>3.0073089999999998</v>
      </c>
      <c r="T10252">
        <v>-4.4766899999999998E-2</v>
      </c>
      <c r="U10252">
        <v>-2.1743769999999999E-2</v>
      </c>
      <c r="V10252">
        <v>-7.3405869999999896E-3</v>
      </c>
      <c r="W10252">
        <v>-8.3668930000000002E-2</v>
      </c>
      <c r="X10252">
        <v>0.99646659999999998</v>
      </c>
      <c r="Y10252">
        <v>1.1078489999999999E-3</v>
      </c>
      <c r="Z10252" s="1">
        <v>7.4777340000000003E-5</v>
      </c>
      <c r="AA10252">
        <v>0.99999939999999998</v>
      </c>
      <c r="AB10252">
        <v>28</v>
      </c>
      <c r="AC10252">
        <v>74.900390000000002</v>
      </c>
      <c r="AD10252">
        <v>-1.1193044061340001</v>
      </c>
      <c r="AE10252">
        <v>-0.54180000000002304</v>
      </c>
      <c r="AF10252">
        <v>8.3176000921181797E-2</v>
      </c>
      <c r="AG10252">
        <v>-1.1193044061340001</v>
      </c>
      <c r="AH10252">
        <v>74.885580758244402</v>
      </c>
      <c r="AI10252">
        <v>90.856327787868594</v>
      </c>
      <c r="AJ10252">
        <v>89.936361155224205</v>
      </c>
      <c r="AK10252">
        <v>74.893991522019107</v>
      </c>
      <c r="AL10252">
        <v>94.799487364611906</v>
      </c>
      <c r="AM10252">
        <v>90.422068382960006</v>
      </c>
      <c r="AN10252">
        <v>1.0000000294902001</v>
      </c>
    </row>
    <row r="10253" spans="1:40" x14ac:dyDescent="0.25">
      <c r="A10253" t="str">
        <f>"20190303154040066"</f>
        <v>20190303154040066</v>
      </c>
      <c r="B10253" t="str">
        <f>"1551598840057858"</f>
        <v>1551598840057858</v>
      </c>
      <c r="C10253" t="s">
        <v>40</v>
      </c>
      <c r="D10253">
        <v>4.8450819999999997</v>
      </c>
      <c r="E10253">
        <v>0.50399450000000001</v>
      </c>
      <c r="F10253" t="s">
        <v>42</v>
      </c>
      <c r="G10253">
        <v>-78.65643</v>
      </c>
      <c r="H10253" s="1">
        <v>-1.0458260000000001E-6</v>
      </c>
      <c r="I10253">
        <v>137.3518</v>
      </c>
      <c r="J10253">
        <v>-155.2509</v>
      </c>
      <c r="K10253">
        <v>1.1193930000000001</v>
      </c>
      <c r="L10253">
        <v>137.84790000000001</v>
      </c>
      <c r="M10253">
        <v>0.9999806</v>
      </c>
      <c r="N10253">
        <v>-1.3530409999999999E-3</v>
      </c>
      <c r="O10253">
        <v>-6.0820459999999998E-3</v>
      </c>
      <c r="P10253">
        <v>0.99650539999999999</v>
      </c>
      <c r="Q10253">
        <v>-8.3511710000000003E-2</v>
      </c>
      <c r="R10253">
        <v>1.7075879999999999E-3</v>
      </c>
      <c r="S10253">
        <v>3.0071409999999998</v>
      </c>
      <c r="T10253">
        <v>-4.3777469999999999E-2</v>
      </c>
      <c r="U10253">
        <v>-1.9470210000000002E-2</v>
      </c>
      <c r="V10253">
        <v>-7.7696750000000002E-3</v>
      </c>
      <c r="W10253">
        <v>-8.2163249999999993E-2</v>
      </c>
      <c r="X10253">
        <v>0.99658860000000005</v>
      </c>
      <c r="Y10253">
        <v>3.9296410000000002E-4</v>
      </c>
      <c r="Z10253" s="1">
        <v>7.7180069999999994E-5</v>
      </c>
      <c r="AA10253">
        <v>0.99999990000000005</v>
      </c>
      <c r="AB10253">
        <v>28</v>
      </c>
      <c r="AC10253">
        <v>76.594470000000001</v>
      </c>
      <c r="AD10253">
        <v>-1.1193940458259899</v>
      </c>
      <c r="AE10253">
        <v>-0.49610000000001198</v>
      </c>
      <c r="AF10253">
        <v>3.02328560961714E-2</v>
      </c>
      <c r="AG10253">
        <v>-1.1193940458259899</v>
      </c>
      <c r="AH10253">
        <v>76.579715018650504</v>
      </c>
      <c r="AI10253">
        <v>90.837453913804097</v>
      </c>
      <c r="AJ10253">
        <v>89.977380237488106</v>
      </c>
      <c r="AK10253">
        <v>76.587901847440307</v>
      </c>
      <c r="AL10253">
        <v>94.712920285254597</v>
      </c>
      <c r="AM10253">
        <v>90.446684385721099</v>
      </c>
      <c r="AN10253">
        <v>1.0000000025750599</v>
      </c>
    </row>
    <row r="10254" spans="1:40" x14ac:dyDescent="0.25">
      <c r="A10254" t="str">
        <f>"20190303154040088"</f>
        <v>20190303154040088</v>
      </c>
      <c r="B10254" t="str">
        <f>"1551598840078355"</f>
        <v>1551598840078355</v>
      </c>
      <c r="C10254" t="s">
        <v>40</v>
      </c>
      <c r="D10254">
        <v>4.8339210000000001</v>
      </c>
      <c r="E10254">
        <v>0.50410109999999997</v>
      </c>
      <c r="F10254" t="s">
        <v>42</v>
      </c>
      <c r="G10254">
        <v>-76.170900000000003</v>
      </c>
      <c r="H10254" s="1">
        <v>-2.0226159999999999E-6</v>
      </c>
      <c r="I10254">
        <v>137.37469999999999</v>
      </c>
      <c r="J10254">
        <v>-154.9735</v>
      </c>
      <c r="K10254">
        <v>1.1194729999999999</v>
      </c>
      <c r="L10254">
        <v>137.84630000000001</v>
      </c>
      <c r="M10254">
        <v>0.99998120000000001</v>
      </c>
      <c r="N10254">
        <v>-1.4978630000000001E-3</v>
      </c>
      <c r="O10254">
        <v>-5.9499459999999898E-3</v>
      </c>
      <c r="P10254">
        <v>0.9965659</v>
      </c>
      <c r="Q10254">
        <v>-8.2766069999999997E-2</v>
      </c>
      <c r="R10254">
        <v>2.4927959999999998E-3</v>
      </c>
      <c r="S10254">
        <v>3.0069729999999999</v>
      </c>
      <c r="T10254">
        <v>-4.2564390000000001E-2</v>
      </c>
      <c r="U10254">
        <v>-1.799011E-2</v>
      </c>
      <c r="V10254">
        <v>-8.4099199999999995E-3</v>
      </c>
      <c r="W10254">
        <v>-8.1274600000000002E-2</v>
      </c>
      <c r="X10254">
        <v>0.99665619999999999</v>
      </c>
      <c r="Y10254" s="1">
        <v>3.3211259999999901E-5</v>
      </c>
      <c r="Z10254" s="1">
        <v>7.5045399999999998E-5</v>
      </c>
      <c r="AA10254">
        <v>1</v>
      </c>
      <c r="AB10254">
        <v>28</v>
      </c>
      <c r="AC10254">
        <v>78.802599999999998</v>
      </c>
      <c r="AD10254">
        <v>-1.119475022616</v>
      </c>
      <c r="AE10254">
        <v>-0.471600000000023</v>
      </c>
      <c r="AF10254">
        <v>2.7193734658592602E-3</v>
      </c>
      <c r="AG10254">
        <v>-1.119475022616</v>
      </c>
      <c r="AH10254">
        <v>78.788111259184305</v>
      </c>
      <c r="AI10254">
        <v>90.814042589807798</v>
      </c>
      <c r="AJ10254">
        <v>89.998022434857702</v>
      </c>
      <c r="AK10254">
        <v>78.796064035653899</v>
      </c>
      <c r="AL10254">
        <v>94.661833844773696</v>
      </c>
      <c r="AM10254">
        <v>90.483458073318701</v>
      </c>
      <c r="AN10254">
        <v>0.99999993417900102</v>
      </c>
    </row>
    <row r="10255" spans="1:40" x14ac:dyDescent="0.25">
      <c r="A10255" t="str">
        <f>"20190303154040110"</f>
        <v>20190303154040110</v>
      </c>
      <c r="B10255" t="str">
        <f>"1551598840097874"</f>
        <v>1551598840097874</v>
      </c>
      <c r="C10255" t="s">
        <v>40</v>
      </c>
      <c r="D10255">
        <v>4.8462690000000004</v>
      </c>
      <c r="E10255">
        <v>0.50432630000000001</v>
      </c>
      <c r="F10255" t="s">
        <v>42</v>
      </c>
      <c r="G10255">
        <v>-74.469149999999999</v>
      </c>
      <c r="H10255" s="1">
        <v>-2.7469150000000001E-6</v>
      </c>
      <c r="I10255">
        <v>137.40710000000001</v>
      </c>
      <c r="J10255">
        <v>-154.68989999999999</v>
      </c>
      <c r="K10255">
        <v>1.119569</v>
      </c>
      <c r="L10255">
        <v>137.84479999999999</v>
      </c>
      <c r="M10255">
        <v>0.99998220000000004</v>
      </c>
      <c r="N10255">
        <v>-1.6659369999999999E-3</v>
      </c>
      <c r="O10255">
        <v>-5.7340639999999997E-3</v>
      </c>
      <c r="P10255">
        <v>0.9965619</v>
      </c>
      <c r="Q10255">
        <v>-8.2794519999999996E-2</v>
      </c>
      <c r="R10255">
        <v>3.0917039999999998E-3</v>
      </c>
      <c r="S10255">
        <v>3.0068969999999999</v>
      </c>
      <c r="T10255">
        <v>-4.1813250000000003E-2</v>
      </c>
      <c r="U10255">
        <v>-1.64032E-2</v>
      </c>
      <c r="V10255">
        <v>-8.7807089999999994E-3</v>
      </c>
      <c r="W10255">
        <v>-8.1136990000000006E-2</v>
      </c>
      <c r="X10255">
        <v>0.99666429999999995</v>
      </c>
      <c r="Y10255">
        <v>-2.785067E-4</v>
      </c>
      <c r="Z10255" s="1">
        <v>7.2347679999999997E-5</v>
      </c>
      <c r="AA10255">
        <v>0.99999990000000005</v>
      </c>
      <c r="AB10255">
        <v>28</v>
      </c>
      <c r="AC10255">
        <v>80.220749999999995</v>
      </c>
      <c r="AD10255">
        <v>-1.1195717469149999</v>
      </c>
      <c r="AE10255">
        <v>-0.437699999999978</v>
      </c>
      <c r="AF10255">
        <v>-2.2294393783078102E-2</v>
      </c>
      <c r="AG10255">
        <v>-1.1195717469149999</v>
      </c>
      <c r="AH10255">
        <v>80.206319359634705</v>
      </c>
      <c r="AI10255">
        <v>90.799719626619904</v>
      </c>
      <c r="AJ10255">
        <v>90.015926109661507</v>
      </c>
      <c r="AK10255">
        <v>80.214135930995297</v>
      </c>
      <c r="AL10255">
        <v>94.653922848433197</v>
      </c>
      <c r="AM10255">
        <v>90.504768306635896</v>
      </c>
      <c r="AN10255">
        <v>1.00000001944564</v>
      </c>
    </row>
    <row r="10256" spans="1:40" x14ac:dyDescent="0.25">
      <c r="A10256" t="str">
        <f>"20190303154040133"</f>
        <v>20190303154040133</v>
      </c>
      <c r="B10256" t="str">
        <f>"1551598840128130"</f>
        <v>1551598840128130</v>
      </c>
      <c r="C10256" t="s">
        <v>40</v>
      </c>
      <c r="D10256">
        <v>4.7952459999999997</v>
      </c>
      <c r="E10256">
        <v>0.50437219999999905</v>
      </c>
      <c r="F10256" t="s">
        <v>42</v>
      </c>
      <c r="G10256">
        <v>-75.026119999999906</v>
      </c>
      <c r="H10256" s="1">
        <v>-2.5090710000000001E-6</v>
      </c>
      <c r="I10256">
        <v>137.40100000000001</v>
      </c>
      <c r="J10256">
        <v>-154.39150000000001</v>
      </c>
      <c r="K10256">
        <v>1.1196539999999999</v>
      </c>
      <c r="L10256">
        <v>137.8434</v>
      </c>
      <c r="M10256">
        <v>0.99998359999999997</v>
      </c>
      <c r="N10256">
        <v>-1.872678E-3</v>
      </c>
      <c r="O10256">
        <v>-5.4298840000000003E-3</v>
      </c>
      <c r="P10256">
        <v>0.99657309999999999</v>
      </c>
      <c r="Q10256">
        <v>-8.2594840000000003E-2</v>
      </c>
      <c r="R10256">
        <v>4.5288730000000001E-3</v>
      </c>
      <c r="S10256">
        <v>3.0068969999999999</v>
      </c>
      <c r="T10256">
        <v>-4.225802E-2</v>
      </c>
      <c r="U10256">
        <v>-1.6754149999999999E-2</v>
      </c>
      <c r="V10256">
        <v>-9.9035619999999994E-3</v>
      </c>
      <c r="W10256">
        <v>-8.0733029999999997E-2</v>
      </c>
      <c r="X10256">
        <v>0.99668659999999998</v>
      </c>
      <c r="Y10256">
        <v>1.423156E-4</v>
      </c>
      <c r="Z10256" s="1">
        <v>6.5003800000000003E-5</v>
      </c>
      <c r="AA10256">
        <v>1</v>
      </c>
      <c r="AB10256">
        <v>29</v>
      </c>
      <c r="AC10256">
        <v>79.365380000000002</v>
      </c>
      <c r="AD10256">
        <v>-1.119656509071</v>
      </c>
      <c r="AE10256">
        <v>-0.44239999999999202</v>
      </c>
      <c r="AF10256">
        <v>1.1445678701018199E-2</v>
      </c>
      <c r="AG10256">
        <v>-1.119656509071</v>
      </c>
      <c r="AH10256">
        <v>79.350819883562494</v>
      </c>
      <c r="AI10256">
        <v>90.808401663978898</v>
      </c>
      <c r="AJ10256">
        <v>89.991735572743295</v>
      </c>
      <c r="AK10256">
        <v>79.358719608467993</v>
      </c>
      <c r="AL10256">
        <v>94.630701366728999</v>
      </c>
      <c r="AM10256">
        <v>90.569299949399195</v>
      </c>
      <c r="AN10256">
        <v>1.00000004064641</v>
      </c>
    </row>
    <row r="10257" spans="1:40" x14ac:dyDescent="0.25">
      <c r="A10257" t="str">
        <f>"20190303154040157"</f>
        <v>20190303154040157</v>
      </c>
      <c r="B10257" t="str">
        <f>"1551598840148627"</f>
        <v>1551598840148627</v>
      </c>
      <c r="C10257" t="s">
        <v>40</v>
      </c>
      <c r="D10257">
        <v>4.8231580000000003</v>
      </c>
      <c r="E10257">
        <v>0.50412170000000001</v>
      </c>
      <c r="F10257" t="s">
        <v>42</v>
      </c>
      <c r="G10257">
        <v>-78.845569999999995</v>
      </c>
      <c r="H10257" s="1">
        <v>-9.3768970000000005E-7</v>
      </c>
      <c r="I10257">
        <v>137.5164</v>
      </c>
      <c r="J10257">
        <v>-154.08199999999999</v>
      </c>
      <c r="K10257">
        <v>1.119726</v>
      </c>
      <c r="L10257">
        <v>137.84209999999999</v>
      </c>
      <c r="M10257">
        <v>0.99998500000000001</v>
      </c>
      <c r="N10257">
        <v>-2.1115190000000001E-3</v>
      </c>
      <c r="O10257">
        <v>-5.0579220000000003E-3</v>
      </c>
      <c r="P10257">
        <v>0.99661929999999999</v>
      </c>
      <c r="Q10257">
        <v>-8.1909410000000002E-2</v>
      </c>
      <c r="R10257">
        <v>6.3997569999999998E-3</v>
      </c>
      <c r="S10257">
        <v>3.0066830000000002</v>
      </c>
      <c r="T10257">
        <v>-4.4561620000000003E-2</v>
      </c>
      <c r="U10257">
        <v>-1.301575E-2</v>
      </c>
      <c r="V10257">
        <v>-1.1395280000000001E-2</v>
      </c>
      <c r="W10257">
        <v>-7.9811480000000004E-2</v>
      </c>
      <c r="X10257">
        <v>0.99674479999999999</v>
      </c>
      <c r="Y10257">
        <v>-7.2854339999999895E-4</v>
      </c>
      <c r="Z10257" s="1">
        <v>7.0446130000000005E-5</v>
      </c>
      <c r="AA10257">
        <v>0.99999979999999999</v>
      </c>
      <c r="AB10257">
        <v>29</v>
      </c>
      <c r="AC10257">
        <v>75.236429999999999</v>
      </c>
      <c r="AD10257">
        <v>-1.1197269376896899</v>
      </c>
      <c r="AE10257">
        <v>-0.325699999999983</v>
      </c>
      <c r="AF10257">
        <v>-5.4832856042528702E-2</v>
      </c>
      <c r="AG10257">
        <v>-1.1197269376896899</v>
      </c>
      <c r="AH10257">
        <v>75.220454193207601</v>
      </c>
      <c r="AI10257">
        <v>90.852838144097703</v>
      </c>
      <c r="AJ10257">
        <v>90.041766441150799</v>
      </c>
      <c r="AK10257">
        <v>75.228807807179294</v>
      </c>
      <c r="AL10257">
        <v>94.577729867363502</v>
      </c>
      <c r="AM10257">
        <v>90.655005180300407</v>
      </c>
      <c r="AN10257">
        <v>0.99999996053655305</v>
      </c>
    </row>
    <row r="10258" spans="1:40" x14ac:dyDescent="0.25">
      <c r="A10258" t="str">
        <f>"20190303154040181"</f>
        <v>20190303154040181</v>
      </c>
      <c r="B10258" t="str">
        <f>"1551598840177907"</f>
        <v>1551598840177907</v>
      </c>
      <c r="C10258" t="s">
        <v>40</v>
      </c>
      <c r="D10258">
        <v>4.7686529999999996</v>
      </c>
      <c r="E10258">
        <v>0.50403770000000003</v>
      </c>
      <c r="F10258" t="s">
        <v>42</v>
      </c>
      <c r="G10258">
        <v>-82.454490000000007</v>
      </c>
      <c r="H10258" s="1">
        <v>-3.5569300000000002E-6</v>
      </c>
      <c r="I10258">
        <v>137.71299999999999</v>
      </c>
      <c r="J10258">
        <v>-153.75880000000001</v>
      </c>
      <c r="K10258">
        <v>1.1198129999999999</v>
      </c>
      <c r="L10258">
        <v>137.8409</v>
      </c>
      <c r="M10258">
        <v>0.99998640000000005</v>
      </c>
      <c r="N10258">
        <v>-2.3897800000000002E-3</v>
      </c>
      <c r="O10258">
        <v>-4.6228420000000003E-3</v>
      </c>
      <c r="P10258">
        <v>0.99675849999999999</v>
      </c>
      <c r="Q10258">
        <v>-8.0044290000000004E-2</v>
      </c>
      <c r="R10258">
        <v>8.0915620000000001E-3</v>
      </c>
      <c r="S10258">
        <v>3.006332</v>
      </c>
      <c r="T10258">
        <v>-4.6996950000000003E-2</v>
      </c>
      <c r="U10258">
        <v>-5.4168699999999998E-3</v>
      </c>
      <c r="V10258">
        <v>-1.2648370000000001E-2</v>
      </c>
      <c r="W10258">
        <v>-7.7670539999999996E-2</v>
      </c>
      <c r="X10258">
        <v>0.99689879999999997</v>
      </c>
      <c r="Y10258">
        <v>-2.820248E-3</v>
      </c>
      <c r="Z10258" s="1">
        <v>8.6628259999999894E-5</v>
      </c>
      <c r="AA10258">
        <v>0.999996</v>
      </c>
      <c r="AB10258">
        <v>29</v>
      </c>
      <c r="AC10258">
        <v>71.304310000000001</v>
      </c>
      <c r="AD10258">
        <v>-1.11981655692999</v>
      </c>
      <c r="AE10258">
        <v>-0.127900000000011</v>
      </c>
      <c r="AF10258">
        <v>-0.20168114412160901</v>
      </c>
      <c r="AG10258">
        <v>-1.11981655692999</v>
      </c>
      <c r="AH10258">
        <v>71.286557337275596</v>
      </c>
      <c r="AI10258">
        <v>90.899962510820501</v>
      </c>
      <c r="AJ10258">
        <v>90.162098549385803</v>
      </c>
      <c r="AK10258">
        <v>71.295637464053499</v>
      </c>
      <c r="AL10258">
        <v>94.454680979918606</v>
      </c>
      <c r="AM10258">
        <v>90.726913640192905</v>
      </c>
      <c r="AN10258">
        <v>0.99999995574449296</v>
      </c>
    </row>
    <row r="10259" spans="1:40" x14ac:dyDescent="0.25">
      <c r="A10259" t="str">
        <f>"20190303154040205"</f>
        <v>20190303154040205</v>
      </c>
      <c r="B10259" t="str">
        <f>"1551598840198402"</f>
        <v>1551598840198402</v>
      </c>
      <c r="C10259" t="s">
        <v>40</v>
      </c>
      <c r="D10259">
        <v>4.7247000000000003</v>
      </c>
      <c r="E10259">
        <v>0.50395889999999999</v>
      </c>
      <c r="F10259" t="s">
        <v>42</v>
      </c>
      <c r="G10259">
        <v>-77.329319999999996</v>
      </c>
      <c r="H10259" s="1">
        <v>-1.4419370000000001E-6</v>
      </c>
      <c r="I10259">
        <v>137.8467</v>
      </c>
      <c r="J10259">
        <v>-153.45359999999999</v>
      </c>
      <c r="K10259">
        <v>1.119883</v>
      </c>
      <c r="L10259">
        <v>137.84</v>
      </c>
      <c r="M10259">
        <v>0.99998770000000003</v>
      </c>
      <c r="N10259">
        <v>-2.6776769999999998E-3</v>
      </c>
      <c r="O10259">
        <v>-4.179711E-3</v>
      </c>
      <c r="P10259">
        <v>0.99688920000000003</v>
      </c>
      <c r="Q10259">
        <v>-7.8272850000000005E-2</v>
      </c>
      <c r="R10259">
        <v>9.2414109999999997E-3</v>
      </c>
      <c r="S10259">
        <v>3.006195</v>
      </c>
      <c r="T10259">
        <v>-4.4045569999999999E-2</v>
      </c>
      <c r="U10259">
        <v>2.2888180000000001E-4</v>
      </c>
      <c r="V10259">
        <v>-1.335306E-2</v>
      </c>
      <c r="W10259">
        <v>-7.5613009999999994E-2</v>
      </c>
      <c r="X10259">
        <v>0.99704780000000004</v>
      </c>
      <c r="Y10259">
        <v>-4.2550230000000001E-3</v>
      </c>
      <c r="Z10259" s="1">
        <v>8.6911510000000004E-5</v>
      </c>
      <c r="AA10259">
        <v>0.99999090000000002</v>
      </c>
      <c r="AB10259">
        <v>29</v>
      </c>
      <c r="AC10259">
        <v>76.124279999999999</v>
      </c>
      <c r="AD10259">
        <v>-1.119884441937</v>
      </c>
      <c r="AE10259">
        <v>6.6999999999950398E-3</v>
      </c>
      <c r="AF10259">
        <v>-0.32480827081352198</v>
      </c>
      <c r="AG10259">
        <v>-1.119884441937</v>
      </c>
      <c r="AH10259">
        <v>76.107115841442393</v>
      </c>
      <c r="AI10259">
        <v>90.843014963747194</v>
      </c>
      <c r="AJ10259">
        <v>90.244524179849606</v>
      </c>
      <c r="AK10259">
        <v>76.116047738166401</v>
      </c>
      <c r="AL10259">
        <v>94.336445323992507</v>
      </c>
      <c r="AM10259">
        <v>90.767293448576396</v>
      </c>
      <c r="AN10259">
        <v>0.99999997348873104</v>
      </c>
    </row>
    <row r="10260" spans="1:40" x14ac:dyDescent="0.25">
      <c r="A10260" t="str">
        <f>"20190303154040223"</f>
        <v>20190303154040223</v>
      </c>
      <c r="B10260" t="str">
        <f>"1551598840217922"</f>
        <v>1551598840217922</v>
      </c>
      <c r="C10260" t="s">
        <v>40</v>
      </c>
      <c r="D10260">
        <v>4.7416939999999999</v>
      </c>
      <c r="E10260">
        <v>0.50372029999999901</v>
      </c>
      <c r="F10260" t="s">
        <v>42</v>
      </c>
      <c r="G10260">
        <v>-67.990200000000002</v>
      </c>
      <c r="H10260" s="1">
        <v>-1.137543E-6</v>
      </c>
      <c r="I10260">
        <v>137.96449999999999</v>
      </c>
      <c r="J10260">
        <v>-153.21039999999999</v>
      </c>
      <c r="K10260">
        <v>1.1199300000000001</v>
      </c>
      <c r="L10260">
        <v>137.83930000000001</v>
      </c>
      <c r="M10260">
        <v>0.99998860000000001</v>
      </c>
      <c r="N10260">
        <v>-2.9237220000000001E-3</v>
      </c>
      <c r="O10260">
        <v>-3.8109749999999999E-3</v>
      </c>
      <c r="P10260">
        <v>0.99693209999999999</v>
      </c>
      <c r="Q10260">
        <v>-7.7636640000000007E-2</v>
      </c>
      <c r="R10260">
        <v>9.9646950000000008E-3</v>
      </c>
      <c r="S10260">
        <v>3.0062259999999998</v>
      </c>
      <c r="T10260">
        <v>-3.9392589999999998E-2</v>
      </c>
      <c r="U10260">
        <v>4.379272E-3</v>
      </c>
      <c r="V10260">
        <v>-1.3707220000000001E-2</v>
      </c>
      <c r="W10260">
        <v>-7.4732119999999999E-2</v>
      </c>
      <c r="X10260">
        <v>0.99710940000000003</v>
      </c>
      <c r="Y10260">
        <v>-5.2669600000000002E-3</v>
      </c>
      <c r="Z10260" s="1">
        <v>8.1000390000000004E-5</v>
      </c>
      <c r="AA10260">
        <v>0.99998609999999999</v>
      </c>
      <c r="AB10260">
        <v>29</v>
      </c>
      <c r="AC10260">
        <v>85.220199999999906</v>
      </c>
      <c r="AD10260">
        <v>-1.1199311375430001</v>
      </c>
      <c r="AE10260">
        <v>0.125199999999978</v>
      </c>
      <c r="AF10260">
        <v>-0.44989478888814199</v>
      </c>
      <c r="AG10260">
        <v>-1.1199311375430001</v>
      </c>
      <c r="AH10260">
        <v>85.204389064969803</v>
      </c>
      <c r="AI10260">
        <v>90.753044989454906</v>
      </c>
      <c r="AJ10260">
        <v>90.302529404380294</v>
      </c>
      <c r="AK10260">
        <v>85.212936617679404</v>
      </c>
      <c r="AL10260">
        <v>94.285830859628604</v>
      </c>
      <c r="AM10260">
        <v>90.787593004298699</v>
      </c>
      <c r="AN10260">
        <v>0.99999996660408996</v>
      </c>
    </row>
    <row r="10261" spans="1:40" x14ac:dyDescent="0.25">
      <c r="A10261" t="str">
        <f>"20190303154040245"</f>
        <v>20190303154040245</v>
      </c>
      <c r="B10261" t="str">
        <f>"1551598840238418"</f>
        <v>1551598840238418</v>
      </c>
      <c r="C10261" t="s">
        <v>40</v>
      </c>
      <c r="D10261">
        <v>4.7645119999999999</v>
      </c>
      <c r="E10261">
        <v>0.50337759999999998</v>
      </c>
      <c r="F10261" t="s">
        <v>42</v>
      </c>
      <c r="G10261">
        <v>-70.196910000000003</v>
      </c>
      <c r="H10261" s="1">
        <v>-4.4619919999999996E-6</v>
      </c>
      <c r="I10261">
        <v>138.07069999999999</v>
      </c>
      <c r="J10261">
        <v>-152.92080000000001</v>
      </c>
      <c r="K10261">
        <v>1.1199920000000001</v>
      </c>
      <c r="L10261">
        <v>137.83869999999999</v>
      </c>
      <c r="M10261">
        <v>0.99998920000000002</v>
      </c>
      <c r="N10261">
        <v>-3.240068E-3</v>
      </c>
      <c r="O10261">
        <v>-3.3615260000000001E-3</v>
      </c>
      <c r="P10261">
        <v>0.99687990000000004</v>
      </c>
      <c r="Q10261">
        <v>-7.8276559999999995E-2</v>
      </c>
      <c r="R10261">
        <v>1.0164309999999999E-2</v>
      </c>
      <c r="S10261">
        <v>3.0059659999999999</v>
      </c>
      <c r="T10261">
        <v>-4.0553449999999998E-2</v>
      </c>
      <c r="U10261">
        <v>8.3770749999999995E-3</v>
      </c>
      <c r="V10261">
        <v>-1.345584E-2</v>
      </c>
      <c r="W10261">
        <v>-7.5056960000000006E-2</v>
      </c>
      <c r="X10261">
        <v>0.99708839999999999</v>
      </c>
      <c r="Y10261">
        <v>-6.1474499999999996E-3</v>
      </c>
      <c r="Z10261" s="1">
        <v>8.5882240000000005E-5</v>
      </c>
      <c r="AA10261">
        <v>0.99998109999999996</v>
      </c>
      <c r="AB10261">
        <v>29</v>
      </c>
      <c r="AC10261">
        <v>82.723889999999997</v>
      </c>
      <c r="AD10261">
        <v>-1.119996461992</v>
      </c>
      <c r="AE10261">
        <v>0.23199999999999901</v>
      </c>
      <c r="AF10261">
        <v>-0.50998514690813201</v>
      </c>
      <c r="AG10261">
        <v>-1.119996461992</v>
      </c>
      <c r="AH10261">
        <v>82.7074822574276</v>
      </c>
      <c r="AI10261">
        <v>90.775817699461498</v>
      </c>
      <c r="AJ10261">
        <v>90.353288788595506</v>
      </c>
      <c r="AK10261">
        <v>82.716637372947204</v>
      </c>
      <c r="AL10261">
        <v>94.304495346500801</v>
      </c>
      <c r="AM10261">
        <v>90.773167198307107</v>
      </c>
      <c r="AN10261">
        <v>0.99999994214455101</v>
      </c>
    </row>
    <row r="10262" spans="1:40" x14ac:dyDescent="0.25">
      <c r="A10262" t="str">
        <f>"20190303154040266"</f>
        <v>20190303154040266</v>
      </c>
      <c r="B10262" t="str">
        <f>"1551598840257939"</f>
        <v>1551598840257939</v>
      </c>
      <c r="C10262" t="s">
        <v>40</v>
      </c>
      <c r="D10262">
        <v>4.7174500000000004</v>
      </c>
      <c r="E10262">
        <v>0.50303620000000004</v>
      </c>
      <c r="F10262" t="s">
        <v>42</v>
      </c>
      <c r="G10262">
        <v>-82.108800000000002</v>
      </c>
      <c r="H10262" s="1">
        <v>-3.6348030000000002E-6</v>
      </c>
      <c r="I10262">
        <v>138.11009999999999</v>
      </c>
      <c r="J10262">
        <v>-152.63220000000001</v>
      </c>
      <c r="K10262">
        <v>1.1200540000000001</v>
      </c>
      <c r="L10262">
        <v>137.8382</v>
      </c>
      <c r="M10262">
        <v>0.99998929999999997</v>
      </c>
      <c r="N10262">
        <v>-3.5941369999999999E-3</v>
      </c>
      <c r="O10262">
        <v>-2.908365E-3</v>
      </c>
      <c r="P10262">
        <v>0.99688949999999998</v>
      </c>
      <c r="Q10262">
        <v>-7.8063080000000007E-2</v>
      </c>
      <c r="R10262">
        <v>1.0838489999999999E-2</v>
      </c>
      <c r="S10262">
        <v>3.0055390000000002</v>
      </c>
      <c r="T10262">
        <v>-4.7536969999999998E-2</v>
      </c>
      <c r="U10262">
        <v>1.152039E-2</v>
      </c>
      <c r="V10262">
        <v>-1.367751E-2</v>
      </c>
      <c r="W10262">
        <v>-7.4490899999999999E-2</v>
      </c>
      <c r="X10262">
        <v>0.99712789999999996</v>
      </c>
      <c r="Y10262">
        <v>-6.7401179999999998E-3</v>
      </c>
      <c r="Z10262">
        <v>1.009568E-4</v>
      </c>
      <c r="AA10262">
        <v>0.99997729999999996</v>
      </c>
      <c r="AB10262">
        <v>30</v>
      </c>
      <c r="AC10262">
        <v>70.523399999999995</v>
      </c>
      <c r="AD10262">
        <v>-1.120057634803</v>
      </c>
      <c r="AE10262">
        <v>0.27189999999998798</v>
      </c>
      <c r="AF10262">
        <v>-0.47688767702951201</v>
      </c>
      <c r="AG10262">
        <v>-1.120057634803</v>
      </c>
      <c r="AH10262">
        <v>70.504527131933699</v>
      </c>
      <c r="AI10262">
        <v>90.910121837922802</v>
      </c>
      <c r="AJ10262">
        <v>90.387538724476599</v>
      </c>
      <c r="AK10262">
        <v>70.515035964391004</v>
      </c>
      <c r="AL10262">
        <v>94.271971160023298</v>
      </c>
      <c r="AM10262">
        <v>90.785871554800494</v>
      </c>
      <c r="AN10262">
        <v>1.0000000087105001</v>
      </c>
    </row>
    <row r="10263" spans="1:40" x14ac:dyDescent="0.25">
      <c r="A10263" t="str">
        <f>"20190303154040289"</f>
        <v>20190303154040289</v>
      </c>
      <c r="B10263" t="str">
        <f>"1551598840278435"</f>
        <v>1551598840278435</v>
      </c>
      <c r="C10263" t="s">
        <v>40</v>
      </c>
      <c r="D10263">
        <v>4.6939140000000004</v>
      </c>
      <c r="E10263">
        <v>0.5029342</v>
      </c>
      <c r="F10263" t="s">
        <v>42</v>
      </c>
      <c r="G10263">
        <v>-87.753140000000002</v>
      </c>
      <c r="H10263" s="1">
        <v>-1.200578E-6</v>
      </c>
      <c r="I10263">
        <v>138.1824</v>
      </c>
      <c r="J10263">
        <v>-152.3407</v>
      </c>
      <c r="K10263">
        <v>1.120128</v>
      </c>
      <c r="L10263">
        <v>137.83779999999999</v>
      </c>
      <c r="M10263">
        <v>0.99998889999999996</v>
      </c>
      <c r="N10263">
        <v>-4.0242630000000001E-3</v>
      </c>
      <c r="O10263">
        <v>-2.4487110000000001E-3</v>
      </c>
      <c r="P10263">
        <v>0.99693120000000002</v>
      </c>
      <c r="Q10263">
        <v>-7.7545520000000007E-2</v>
      </c>
      <c r="R10263">
        <v>1.073355E-2</v>
      </c>
      <c r="S10263">
        <v>3.0051269999999999</v>
      </c>
      <c r="T10263">
        <v>-5.1879639999999998E-2</v>
      </c>
      <c r="U10263">
        <v>1.594543E-2</v>
      </c>
      <c r="V10263">
        <v>-1.311358E-2</v>
      </c>
      <c r="W10263">
        <v>-7.3544059999999994E-2</v>
      </c>
      <c r="X10263">
        <v>0.99720569999999997</v>
      </c>
      <c r="Y10263">
        <v>-7.7530439999999997E-3</v>
      </c>
      <c r="Z10263">
        <v>1.149362E-4</v>
      </c>
      <c r="AA10263">
        <v>0.99997000000000003</v>
      </c>
      <c r="AB10263">
        <v>30</v>
      </c>
      <c r="AC10263">
        <v>64.587559999999996</v>
      </c>
      <c r="AD10263">
        <v>-1.1201292005779999</v>
      </c>
      <c r="AE10263">
        <v>0.34460000000001401</v>
      </c>
      <c r="AF10263">
        <v>-0.50260535115850002</v>
      </c>
      <c r="AG10263">
        <v>-1.1201292005779999</v>
      </c>
      <c r="AH10263">
        <v>64.567103052295195</v>
      </c>
      <c r="AI10263">
        <v>90.993854325154402</v>
      </c>
      <c r="AJ10263">
        <v>90.445994669020294</v>
      </c>
      <c r="AK10263">
        <v>64.578774362252403</v>
      </c>
      <c r="AL10263">
        <v>94.217572244660303</v>
      </c>
      <c r="AM10263">
        <v>90.753414748885305</v>
      </c>
      <c r="AN10263">
        <v>0.99999995142709297</v>
      </c>
    </row>
    <row r="10264" spans="1:40" x14ac:dyDescent="0.25">
      <c r="A10264" t="str">
        <f>"20190303154040311"</f>
        <v>20190303154040311</v>
      </c>
      <c r="B10264" t="str">
        <f>"1551598840308690"</f>
        <v>1551598840308690</v>
      </c>
      <c r="C10264" t="s">
        <v>40</v>
      </c>
      <c r="D10264">
        <v>4.6162289999999997</v>
      </c>
      <c r="E10264">
        <v>0.50299459999999996</v>
      </c>
      <c r="F10264" t="s">
        <v>42</v>
      </c>
      <c r="G10264">
        <v>-89.143810000000002</v>
      </c>
      <c r="H10264" s="1">
        <v>-6.5932330000000001E-7</v>
      </c>
      <c r="I10264">
        <v>138.18109999999999</v>
      </c>
      <c r="J10264">
        <v>-152.04329999999999</v>
      </c>
      <c r="K10264">
        <v>1.1202430000000001</v>
      </c>
      <c r="L10264">
        <v>137.83750000000001</v>
      </c>
      <c r="M10264">
        <v>0.99998759999999998</v>
      </c>
      <c r="N10264">
        <v>-4.6018450000000002E-3</v>
      </c>
      <c r="O10264">
        <v>-1.9801179999999999E-3</v>
      </c>
      <c r="P10264">
        <v>0.99704749999999998</v>
      </c>
      <c r="Q10264">
        <v>-7.6004150000000006E-2</v>
      </c>
      <c r="R10264">
        <v>1.0951819999999999E-2</v>
      </c>
      <c r="S10264">
        <v>3.0049130000000002</v>
      </c>
      <c r="T10264">
        <v>-5.3260330000000002E-2</v>
      </c>
      <c r="U10264">
        <v>1.6326899999999998E-2</v>
      </c>
      <c r="V10264">
        <v>-1.286545E-2</v>
      </c>
      <c r="W10264">
        <v>-7.1426149999999994E-2</v>
      </c>
      <c r="X10264">
        <v>0.99736290000000005</v>
      </c>
      <c r="Y10264">
        <v>-7.4117849999999997E-3</v>
      </c>
      <c r="Z10264">
        <v>1.087168E-4</v>
      </c>
      <c r="AA10264">
        <v>0.99997250000000004</v>
      </c>
      <c r="AB10264">
        <v>30</v>
      </c>
      <c r="AC10264">
        <v>62.899489999999901</v>
      </c>
      <c r="AD10264">
        <v>-1.1202436593233001</v>
      </c>
      <c r="AE10264">
        <v>0.34359999999997998</v>
      </c>
      <c r="AF10264">
        <v>-0.46800059443678899</v>
      </c>
      <c r="AG10264">
        <v>-1.1202436593233001</v>
      </c>
      <c r="AH10264">
        <v>62.878741881581099</v>
      </c>
      <c r="AI10264">
        <v>91.020641713334598</v>
      </c>
      <c r="AJ10264">
        <v>90.426439253384203</v>
      </c>
      <c r="AK10264">
        <v>62.890461526555399</v>
      </c>
      <c r="AL10264">
        <v>94.095904728831002</v>
      </c>
      <c r="AM10264">
        <v>90.739044038095301</v>
      </c>
      <c r="AN10264">
        <v>0.99999998450196703</v>
      </c>
    </row>
    <row r="10265" spans="1:40" x14ac:dyDescent="0.25">
      <c r="A10265" t="str">
        <f>"20190303154040334"</f>
        <v>20190303154040334</v>
      </c>
      <c r="B10265" t="str">
        <f>"1551598840328210"</f>
        <v>1551598840328210</v>
      </c>
      <c r="C10265" t="s">
        <v>40</v>
      </c>
      <c r="D10265">
        <v>4.6191769999999996</v>
      </c>
      <c r="E10265">
        <v>0.50309059999999906</v>
      </c>
      <c r="F10265" t="s">
        <v>42</v>
      </c>
      <c r="G10265">
        <v>-84.055260000000004</v>
      </c>
      <c r="H10265" s="1">
        <v>-2.7826080000000001E-6</v>
      </c>
      <c r="I10265">
        <v>138.20689999999999</v>
      </c>
      <c r="J10265">
        <v>-151.74719999999999</v>
      </c>
      <c r="K10265">
        <v>1.1203959999999999</v>
      </c>
      <c r="L10265">
        <v>137.8374</v>
      </c>
      <c r="M10265">
        <v>0.9999846</v>
      </c>
      <c r="N10265">
        <v>-5.3567519999999898E-3</v>
      </c>
      <c r="O10265">
        <v>-1.5162470000000001E-3</v>
      </c>
      <c r="P10265">
        <v>0.9970869</v>
      </c>
      <c r="Q10265">
        <v>-7.5566010000000003E-2</v>
      </c>
      <c r="R10265">
        <v>1.038441E-2</v>
      </c>
      <c r="S10265">
        <v>3.0049290000000002</v>
      </c>
      <c r="T10265">
        <v>-4.9512510000000003E-2</v>
      </c>
      <c r="U10265">
        <v>1.6326899999999998E-2</v>
      </c>
      <c r="V10265">
        <v>-1.1835389999999999E-2</v>
      </c>
      <c r="W10265">
        <v>-7.0234149999999995E-2</v>
      </c>
      <c r="X10265">
        <v>0.99746029999999997</v>
      </c>
      <c r="Y10265">
        <v>-6.9481919999999997E-3</v>
      </c>
      <c r="Z10265" s="1">
        <v>9.2710240000000002E-5</v>
      </c>
      <c r="AA10265">
        <v>0.99997590000000003</v>
      </c>
      <c r="AB10265">
        <v>30</v>
      </c>
      <c r="AC10265">
        <v>67.691939999999903</v>
      </c>
      <c r="AD10265">
        <v>-1.120398782608</v>
      </c>
      <c r="AE10265">
        <v>0.369499999999988</v>
      </c>
      <c r="AF10265">
        <v>-0.47200943571186399</v>
      </c>
      <c r="AG10265">
        <v>-1.120398782608</v>
      </c>
      <c r="AH10265">
        <v>67.672763521948895</v>
      </c>
      <c r="AI10265">
        <v>90.948486406035897</v>
      </c>
      <c r="AJ10265">
        <v>90.399624732395097</v>
      </c>
      <c r="AK10265">
        <v>67.683683477165204</v>
      </c>
      <c r="AL10265">
        <v>94.027436201651994</v>
      </c>
      <c r="AM10265">
        <v>90.679812594398697</v>
      </c>
      <c r="AN10265">
        <v>0.99999998117938205</v>
      </c>
    </row>
    <row r="10266" spans="1:40" x14ac:dyDescent="0.25">
      <c r="A10266" t="str">
        <f>"20190303154040356"</f>
        <v>20190303154040356</v>
      </c>
      <c r="B10266" t="str">
        <f>"1551598840347731"</f>
        <v>1551598840347731</v>
      </c>
      <c r="C10266" t="s">
        <v>40</v>
      </c>
      <c r="D10266">
        <v>4.5718300000000003</v>
      </c>
      <c r="E10266">
        <v>0.50309989999999905</v>
      </c>
      <c r="F10266" t="s">
        <v>42</v>
      </c>
      <c r="G10266">
        <v>-82.070709999999906</v>
      </c>
      <c r="H10266" s="1">
        <v>-3.6431599999999999E-6</v>
      </c>
      <c r="I10266">
        <v>138.1551</v>
      </c>
      <c r="J10266">
        <v>-151.446</v>
      </c>
      <c r="K10266">
        <v>1.1205609999999999</v>
      </c>
      <c r="L10266">
        <v>137.8374</v>
      </c>
      <c r="M10266">
        <v>0.99997999999999998</v>
      </c>
      <c r="N10266">
        <v>-6.2451379999999999E-3</v>
      </c>
      <c r="O10266">
        <v>-1.0489679999999999E-3</v>
      </c>
      <c r="P10266">
        <v>0.99707009999999996</v>
      </c>
      <c r="Q10266">
        <v>-7.5886469999999998E-2</v>
      </c>
      <c r="R10266">
        <v>9.6210749999999998E-3</v>
      </c>
      <c r="S10266">
        <v>3.0049739999999998</v>
      </c>
      <c r="T10266">
        <v>-4.8320059999999998E-2</v>
      </c>
      <c r="U10266">
        <v>1.370239E-2</v>
      </c>
      <c r="V10266">
        <v>-1.060583E-2</v>
      </c>
      <c r="W10266">
        <v>-6.966754E-2</v>
      </c>
      <c r="X10266">
        <v>0.99751389999999995</v>
      </c>
      <c r="Y10266">
        <v>-5.6077740000000003E-3</v>
      </c>
      <c r="Z10266" s="1">
        <v>7.2911449999999998E-5</v>
      </c>
      <c r="AA10266">
        <v>0.99998430000000005</v>
      </c>
      <c r="AB10266">
        <v>30</v>
      </c>
      <c r="AC10266">
        <v>69.375290000000007</v>
      </c>
      <c r="AD10266">
        <v>-1.12056464316</v>
      </c>
      <c r="AE10266">
        <v>0.31770000000000198</v>
      </c>
      <c r="AF10266">
        <v>-0.39037185627830601</v>
      </c>
      <c r="AG10266">
        <v>-1.12056464316</v>
      </c>
      <c r="AH10266">
        <v>69.356824162250305</v>
      </c>
      <c r="AI10266">
        <v>90.925604989451898</v>
      </c>
      <c r="AJ10266">
        <v>90.322483387780906</v>
      </c>
      <c r="AK10266">
        <v>69.366974225340002</v>
      </c>
      <c r="AL10266">
        <v>93.994891984032805</v>
      </c>
      <c r="AM10266">
        <v>90.609160835544699</v>
      </c>
      <c r="AN10266">
        <v>1.0000000152264199</v>
      </c>
    </row>
    <row r="10267" spans="1:40" x14ac:dyDescent="0.25">
      <c r="A10267" t="str">
        <f>"20190303154040379"</f>
        <v>20190303154040379</v>
      </c>
      <c r="B10267" t="str">
        <f>"1551598840368227"</f>
        <v>1551598840368227</v>
      </c>
      <c r="C10267" t="s">
        <v>40</v>
      </c>
      <c r="D10267">
        <v>4.5528629999999897</v>
      </c>
      <c r="E10267">
        <v>0.50299719999999903</v>
      </c>
      <c r="F10267" t="s">
        <v>42</v>
      </c>
      <c r="G10267">
        <v>-83.775329999999997</v>
      </c>
      <c r="H10267" s="1">
        <v>-2.9227669999999999E-6</v>
      </c>
      <c r="I10267">
        <v>138.09370000000001</v>
      </c>
      <c r="J10267">
        <v>-151.1354</v>
      </c>
      <c r="K10267">
        <v>1.1207049999999901</v>
      </c>
      <c r="L10267">
        <v>137.83760000000001</v>
      </c>
      <c r="M10267">
        <v>0.99997389999999997</v>
      </c>
      <c r="N10267">
        <v>-7.2145459999999996E-3</v>
      </c>
      <c r="O10267">
        <v>-5.6555389999999998E-4</v>
      </c>
      <c r="P10267">
        <v>0.99703509999999995</v>
      </c>
      <c r="Q10267">
        <v>-7.6389040000000005E-2</v>
      </c>
      <c r="R10267">
        <v>9.2794020000000008E-3</v>
      </c>
      <c r="S10267">
        <v>3.0049130000000002</v>
      </c>
      <c r="T10267">
        <v>-4.9758549999999999E-2</v>
      </c>
      <c r="U10267">
        <v>1.138306E-2</v>
      </c>
      <c r="V10267">
        <v>-9.7827910000000008E-3</v>
      </c>
      <c r="W10267">
        <v>-6.9202529999999998E-2</v>
      </c>
      <c r="X10267">
        <v>0.99755470000000002</v>
      </c>
      <c r="Y10267">
        <v>-4.352804E-3</v>
      </c>
      <c r="Z10267" s="1">
        <v>5.7024429999999998E-5</v>
      </c>
      <c r="AA10267">
        <v>0.9999905</v>
      </c>
      <c r="AB10267">
        <v>30</v>
      </c>
      <c r="AC10267">
        <v>67.360069999999993</v>
      </c>
      <c r="AD10267">
        <v>-1.1207079227669901</v>
      </c>
      <c r="AE10267">
        <v>0.25610000000000299</v>
      </c>
      <c r="AF10267">
        <v>-0.294115285056193</v>
      </c>
      <c r="AG10267">
        <v>-1.1207079227669901</v>
      </c>
      <c r="AH10267">
        <v>67.341273999841903</v>
      </c>
      <c r="AI10267">
        <v>90.953431541345793</v>
      </c>
      <c r="AJ10267">
        <v>90.250239658005796</v>
      </c>
      <c r="AK10267">
        <v>67.351241072238906</v>
      </c>
      <c r="AL10267">
        <v>93.968184330530605</v>
      </c>
      <c r="AM10267">
        <v>90.561868605813302</v>
      </c>
      <c r="AN10267">
        <v>1.00000003632511</v>
      </c>
    </row>
    <row r="10268" spans="1:40" x14ac:dyDescent="0.25">
      <c r="A10268" t="str">
        <f>"20190303154040401"</f>
        <v>20190303154040401</v>
      </c>
      <c r="B10268" t="str">
        <f>"1551598840398483"</f>
        <v>1551598840398483</v>
      </c>
      <c r="C10268" t="s">
        <v>40</v>
      </c>
      <c r="D10268">
        <v>4.627885</v>
      </c>
      <c r="E10268">
        <v>0.50279569999999996</v>
      </c>
      <c r="F10268" t="s">
        <v>42</v>
      </c>
      <c r="G10268">
        <v>-88.242840000000001</v>
      </c>
      <c r="H10268" s="1">
        <v>-1.010304E-6</v>
      </c>
      <c r="I10268">
        <v>138.07069999999999</v>
      </c>
      <c r="J10268">
        <v>-150.85560000000001</v>
      </c>
      <c r="K10268">
        <v>1.1208260000000001</v>
      </c>
      <c r="L10268">
        <v>137.83789999999999</v>
      </c>
      <c r="M10268">
        <v>0.99996739999999995</v>
      </c>
      <c r="N10268">
        <v>-8.0791630000000003E-3</v>
      </c>
      <c r="O10268">
        <v>-1.2742189999999999E-4</v>
      </c>
      <c r="P10268">
        <v>0.99693529999999997</v>
      </c>
      <c r="Q10268">
        <v>-7.7706399999999995E-2</v>
      </c>
      <c r="R10268">
        <v>9.0503149999999997E-3</v>
      </c>
      <c r="S10268">
        <v>3.0047450000000002</v>
      </c>
      <c r="T10268">
        <v>-5.3542609999999997E-2</v>
      </c>
      <c r="U10268">
        <v>1.113892E-2</v>
      </c>
      <c r="V10268">
        <v>-9.1165619999999999E-3</v>
      </c>
      <c r="W10268">
        <v>-6.9657440000000001E-2</v>
      </c>
      <c r="X10268">
        <v>0.99752929999999995</v>
      </c>
      <c r="Y10268">
        <v>-3.833618E-3</v>
      </c>
      <c r="Z10268" s="1">
        <v>5.0882720000000001E-5</v>
      </c>
      <c r="AA10268">
        <v>0.99999269999999996</v>
      </c>
      <c r="AB10268">
        <v>30</v>
      </c>
      <c r="AC10268">
        <v>62.612760000000002</v>
      </c>
      <c r="AD10268">
        <v>-1.1208270103039999</v>
      </c>
      <c r="AE10268">
        <v>0.23279999999999701</v>
      </c>
      <c r="AF10268">
        <v>-0.24070136486365001</v>
      </c>
      <c r="AG10268">
        <v>-1.1208270103039999</v>
      </c>
      <c r="AH10268">
        <v>62.592672688411199</v>
      </c>
      <c r="AI10268">
        <v>91.025860012898903</v>
      </c>
      <c r="AJ10268">
        <v>90.220330970968305</v>
      </c>
      <c r="AK10268">
        <v>62.603169764898098</v>
      </c>
      <c r="AL10268">
        <v>93.994311998302805</v>
      </c>
      <c r="AM10268">
        <v>90.5236196915275</v>
      </c>
      <c r="AN10268">
        <v>0.99999998750427099</v>
      </c>
    </row>
    <row r="10269" spans="1:40" x14ac:dyDescent="0.25">
      <c r="A10269" t="str">
        <f>"20190303154040422"</f>
        <v>20190303154040422</v>
      </c>
      <c r="B10269" t="str">
        <f>"1551598840418002"</f>
        <v>1551598840418002</v>
      </c>
      <c r="C10269" t="s">
        <v>40</v>
      </c>
      <c r="D10269">
        <v>4.5280500000000004</v>
      </c>
      <c r="E10269">
        <v>0.46283809999999898</v>
      </c>
      <c r="F10269" t="s">
        <v>42</v>
      </c>
      <c r="G10269">
        <v>-95.003159999999994</v>
      </c>
      <c r="H10269" s="1">
        <v>-2.4023080000000001E-6</v>
      </c>
      <c r="I10269">
        <v>138.0583</v>
      </c>
      <c r="J10269">
        <v>-150.56370000000001</v>
      </c>
      <c r="K10269">
        <v>1.12093</v>
      </c>
      <c r="L10269">
        <v>137.83840000000001</v>
      </c>
      <c r="M10269">
        <v>0.99996010000000002</v>
      </c>
      <c r="N10269">
        <v>-8.9355760000000006E-3</v>
      </c>
      <c r="O10269">
        <v>3.2968059999999999E-4</v>
      </c>
      <c r="P10269">
        <v>0.99683460000000002</v>
      </c>
      <c r="Q10269">
        <v>-7.9018640000000001E-2</v>
      </c>
      <c r="R10269">
        <v>8.7795089999999996E-3</v>
      </c>
      <c r="S10269">
        <v>3.0043950000000001</v>
      </c>
      <c r="T10269">
        <v>-6.0291169999999998E-2</v>
      </c>
      <c r="U10269">
        <v>1.185608E-2</v>
      </c>
      <c r="V10269">
        <v>-8.3899579999999994E-3</v>
      </c>
      <c r="W10269">
        <v>-7.0115499999999997E-2</v>
      </c>
      <c r="X10269">
        <v>0.99750360000000005</v>
      </c>
      <c r="Y10269">
        <v>-3.6154920000000001E-3</v>
      </c>
      <c r="Z10269" s="1">
        <v>4.8759979999999898E-5</v>
      </c>
      <c r="AA10269">
        <v>0.99999340000000003</v>
      </c>
      <c r="AB10269">
        <v>30</v>
      </c>
      <c r="AC10269">
        <v>55.560540000000003</v>
      </c>
      <c r="AD10269">
        <v>-1.1209324023080001</v>
      </c>
      <c r="AE10269">
        <v>0.21989999999999499</v>
      </c>
      <c r="AF10269">
        <v>-0.20150001082171601</v>
      </c>
      <c r="AG10269">
        <v>-1.1209324023080001</v>
      </c>
      <c r="AH10269">
        <v>55.538004225709003</v>
      </c>
      <c r="AI10269">
        <v>91.156245266806494</v>
      </c>
      <c r="AJ10269">
        <v>90.207876564804806</v>
      </c>
      <c r="AK10269">
        <v>55.5496805128506</v>
      </c>
      <c r="AL10269">
        <v>94.020621167067304</v>
      </c>
      <c r="AM10269">
        <v>90.481900865704205</v>
      </c>
      <c r="AN10269">
        <v>1.00000000337422</v>
      </c>
    </row>
    <row r="10270" spans="1:40" x14ac:dyDescent="0.25">
      <c r="A10270" t="str">
        <f>"20190303154040445"</f>
        <v>20190303154040445</v>
      </c>
      <c r="B10270" t="str">
        <f>"1551598840438498"</f>
        <v>1551598840438498</v>
      </c>
      <c r="C10270" t="s">
        <v>40</v>
      </c>
      <c r="D10270">
        <v>4.5020470000000001</v>
      </c>
      <c r="E10270">
        <v>0.45450430000000003</v>
      </c>
      <c r="F10270" t="s">
        <v>42</v>
      </c>
      <c r="G10270">
        <v>-123.3612</v>
      </c>
      <c r="H10270" s="1">
        <v>-3.1474799999999998E-6</v>
      </c>
      <c r="I10270">
        <v>140.8083</v>
      </c>
      <c r="J10270">
        <v>-150.27209999999999</v>
      </c>
      <c r="K10270">
        <v>1.1210039999999999</v>
      </c>
      <c r="L10270">
        <v>137.839</v>
      </c>
      <c r="M10270">
        <v>0.99995239999999996</v>
      </c>
      <c r="N10270">
        <v>-9.7247960000000008E-3</v>
      </c>
      <c r="O10270">
        <v>7.8409599999999997E-4</v>
      </c>
      <c r="P10270">
        <v>0.99670740000000002</v>
      </c>
      <c r="Q10270">
        <v>-8.065928E-2</v>
      </c>
      <c r="R10270">
        <v>8.2676030000000001E-3</v>
      </c>
      <c r="S10270">
        <v>2.9968720000000002</v>
      </c>
      <c r="T10270">
        <v>-0.123492</v>
      </c>
      <c r="U10270">
        <v>0.32719419999999999</v>
      </c>
      <c r="V10270">
        <v>-7.4244159999999997E-3</v>
      </c>
      <c r="W10270">
        <v>-7.096914E-2</v>
      </c>
      <c r="X10270">
        <v>0.99745090000000003</v>
      </c>
      <c r="Y10270">
        <v>-0.10764269999999999</v>
      </c>
      <c r="Z10270">
        <v>2.7109510000000001E-3</v>
      </c>
      <c r="AA10270">
        <v>0.99418589999999996</v>
      </c>
      <c r="AB10270">
        <v>29</v>
      </c>
      <c r="AC10270">
        <v>26.910900000000002</v>
      </c>
      <c r="AD10270">
        <v>-1.1210071474799901</v>
      </c>
      <c r="AE10270">
        <v>2.9693000000000001</v>
      </c>
      <c r="AF10270">
        <v>-2.9431517049526299</v>
      </c>
      <c r="AG10270">
        <v>-1.1210071474799901</v>
      </c>
      <c r="AH10270">
        <v>26.867159762075801</v>
      </c>
      <c r="AI10270">
        <v>92.375035742991201</v>
      </c>
      <c r="AJ10270">
        <v>96.251515472792605</v>
      </c>
      <c r="AK10270">
        <v>27.051119619416301</v>
      </c>
      <c r="AL10270">
        <v>94.069653221953999</v>
      </c>
      <c r="AM10270">
        <v>90.426466953253296</v>
      </c>
      <c r="AN10270">
        <v>1.0000000193480401</v>
      </c>
    </row>
    <row r="10271" spans="1:40" x14ac:dyDescent="0.25">
      <c r="A10271" t="str">
        <f>"20190303154040467"</f>
        <v>20190303154040467</v>
      </c>
      <c r="B10271" t="str">
        <f>"1551598840458019"</f>
        <v>1551598840458019</v>
      </c>
      <c r="C10271" t="s">
        <v>40</v>
      </c>
      <c r="D10271">
        <v>4.4445509999999997</v>
      </c>
      <c r="E10271">
        <v>0.4511288</v>
      </c>
      <c r="F10271" t="s">
        <v>42</v>
      </c>
      <c r="G10271">
        <v>-125.76730000000001</v>
      </c>
      <c r="H10271" s="1">
        <v>-2.1779750000000001E-6</v>
      </c>
      <c r="I10271">
        <v>141.04390000000001</v>
      </c>
      <c r="J10271">
        <v>-149.97890000000001</v>
      </c>
      <c r="K10271">
        <v>1.12107</v>
      </c>
      <c r="L10271">
        <v>137.83969999999999</v>
      </c>
      <c r="M10271">
        <v>0.99994490000000003</v>
      </c>
      <c r="N10271">
        <v>-1.0443610000000001E-2</v>
      </c>
      <c r="O10271">
        <v>1.239605E-3</v>
      </c>
      <c r="P10271">
        <v>0.99668849999999998</v>
      </c>
      <c r="Q10271">
        <v>-8.0950640000000004E-2</v>
      </c>
      <c r="R10271">
        <v>7.692595E-3</v>
      </c>
      <c r="S10271">
        <v>2.9955750000000001</v>
      </c>
      <c r="T10271">
        <v>-0.13703660000000001</v>
      </c>
      <c r="U10271">
        <v>0.39178469999999999</v>
      </c>
      <c r="V10271">
        <v>-6.3953630000000003E-3</v>
      </c>
      <c r="W10271">
        <v>-7.05427E-2</v>
      </c>
      <c r="X10271">
        <v>0.99748829999999999</v>
      </c>
      <c r="Y10271">
        <v>-0.1282924</v>
      </c>
      <c r="Z10271">
        <v>3.550152E-3</v>
      </c>
      <c r="AA10271">
        <v>0.99173</v>
      </c>
      <c r="AB10271">
        <v>29</v>
      </c>
      <c r="AC10271">
        <v>24.211600000000001</v>
      </c>
      <c r="AD10271">
        <v>-1.1210721779749999</v>
      </c>
      <c r="AE10271">
        <v>3.2042000000000099</v>
      </c>
      <c r="AF10271">
        <v>-3.1675089131087799</v>
      </c>
      <c r="AG10271">
        <v>-1.1210721779749999</v>
      </c>
      <c r="AH10271">
        <v>24.164636891441798</v>
      </c>
      <c r="AI10271">
        <v>92.633725761824493</v>
      </c>
      <c r="AJ10271">
        <v>97.467774133484198</v>
      </c>
      <c r="AK10271">
        <v>24.3971226098096</v>
      </c>
      <c r="AL10271">
        <v>94.045158530812301</v>
      </c>
      <c r="AM10271">
        <v>90.367344947885996</v>
      </c>
      <c r="AN10271">
        <v>1.0000000409140399</v>
      </c>
    </row>
    <row r="10272" spans="1:40" x14ac:dyDescent="0.25">
      <c r="A10272" t="str">
        <f>"20190303154040490"</f>
        <v>20190303154040490</v>
      </c>
      <c r="B10272" t="str">
        <f>"1551598840478514"</f>
        <v>1551598840478514</v>
      </c>
      <c r="C10272" t="s">
        <v>40</v>
      </c>
      <c r="D10272">
        <v>4.4168820000000002</v>
      </c>
      <c r="E10272">
        <v>0.44943850000000002</v>
      </c>
      <c r="F10272" t="s">
        <v>42</v>
      </c>
      <c r="G10272">
        <v>-126.21169999999999</v>
      </c>
      <c r="H10272" s="1">
        <v>-2.0145989999999999E-6</v>
      </c>
      <c r="I10272">
        <v>141.1463</v>
      </c>
      <c r="J10272">
        <v>-149.6901</v>
      </c>
      <c r="K10272">
        <v>1.1211230000000001</v>
      </c>
      <c r="L10272">
        <v>137.84049999999999</v>
      </c>
      <c r="M10272">
        <v>0.99993730000000003</v>
      </c>
      <c r="N10272">
        <v>-1.1075410000000001E-2</v>
      </c>
      <c r="O10272">
        <v>1.68855E-3</v>
      </c>
      <c r="P10272">
        <v>0.99674600000000002</v>
      </c>
      <c r="Q10272">
        <v>-8.0337790000000006E-2</v>
      </c>
      <c r="R10272">
        <v>6.5692169999999996E-3</v>
      </c>
      <c r="S10272">
        <v>2.9952390000000002</v>
      </c>
      <c r="T10272">
        <v>-0.14128170000000001</v>
      </c>
      <c r="U10272">
        <v>0.41671750000000002</v>
      </c>
      <c r="V10272">
        <v>-4.8256899999999997E-3</v>
      </c>
      <c r="W10272">
        <v>-6.9297609999999996E-2</v>
      </c>
      <c r="X10272">
        <v>0.99758429999999998</v>
      </c>
      <c r="Y10272">
        <v>-0.13594410000000001</v>
      </c>
      <c r="Z10272">
        <v>3.8853859999999998E-3</v>
      </c>
      <c r="AA10272">
        <v>0.9907089</v>
      </c>
      <c r="AB10272">
        <v>29</v>
      </c>
      <c r="AC10272">
        <v>23.478400000000001</v>
      </c>
      <c r="AD10272">
        <v>-1.1211250145989999</v>
      </c>
      <c r="AE10272">
        <v>3.3058000000000001</v>
      </c>
      <c r="AF10272">
        <v>-3.2588620327870501</v>
      </c>
      <c r="AG10272">
        <v>-1.1211250145989999</v>
      </c>
      <c r="AH10272">
        <v>23.4315590967805</v>
      </c>
      <c r="AI10272">
        <v>92.713254012076106</v>
      </c>
      <c r="AJ10272">
        <v>97.917906960187693</v>
      </c>
      <c r="AK10272">
        <v>23.683645512315401</v>
      </c>
      <c r="AL10272">
        <v>93.973645502705907</v>
      </c>
      <c r="AM10272">
        <v>90.277159046724194</v>
      </c>
      <c r="AN10272">
        <v>0.99999994082108701</v>
      </c>
    </row>
    <row r="10273" spans="1:40" x14ac:dyDescent="0.25">
      <c r="A10273" t="str">
        <f>"20190303154040512"</f>
        <v>20190303154040512</v>
      </c>
      <c r="B10273" t="str">
        <f>"1551598840507797"</f>
        <v>1551598840507797</v>
      </c>
      <c r="C10273" t="s">
        <v>40</v>
      </c>
      <c r="D10273">
        <v>4.3920009999999996</v>
      </c>
      <c r="E10273">
        <v>0.44781700000000002</v>
      </c>
      <c r="F10273" t="s">
        <v>42</v>
      </c>
      <c r="G10273">
        <v>-125.8656</v>
      </c>
      <c r="H10273" s="1">
        <v>-2.1864630000000002E-6</v>
      </c>
      <c r="I10273">
        <v>141.23419999999999</v>
      </c>
      <c r="J10273">
        <v>-149.39590000000001</v>
      </c>
      <c r="K10273">
        <v>1.1211530000000001</v>
      </c>
      <c r="L10273">
        <v>137.8415</v>
      </c>
      <c r="M10273">
        <v>0.99992999999999999</v>
      </c>
      <c r="N10273">
        <v>-1.164018E-2</v>
      </c>
      <c r="O10273">
        <v>2.1475309999999998E-3</v>
      </c>
      <c r="P10273">
        <v>0.99676419999999999</v>
      </c>
      <c r="Q10273">
        <v>-8.0187439999999999E-2</v>
      </c>
      <c r="R10273">
        <v>5.5865730000000001E-3</v>
      </c>
      <c r="S10273">
        <v>2.9956209999999999</v>
      </c>
      <c r="T10273">
        <v>-0.14096639999999999</v>
      </c>
      <c r="U10273">
        <v>0.42671199999999998</v>
      </c>
      <c r="V10273">
        <v>-3.3864300000000002E-3</v>
      </c>
      <c r="W10273">
        <v>-6.858235E-2</v>
      </c>
      <c r="X10273">
        <v>0.99763970000000002</v>
      </c>
      <c r="Y10273">
        <v>-0.1387082</v>
      </c>
      <c r="Z10273">
        <v>3.9817699999999999E-3</v>
      </c>
      <c r="AA10273">
        <v>0.99032529999999996</v>
      </c>
      <c r="AB10273">
        <v>29</v>
      </c>
      <c r="AC10273">
        <v>23.5303</v>
      </c>
      <c r="AD10273">
        <v>-1.1211551864630001</v>
      </c>
      <c r="AE10273">
        <v>3.3926999999999898</v>
      </c>
      <c r="AF10273">
        <v>-3.3347401461703901</v>
      </c>
      <c r="AG10273">
        <v>-1.1211551864630001</v>
      </c>
      <c r="AH10273">
        <v>23.485300159315099</v>
      </c>
      <c r="AI10273">
        <v>92.706042494479107</v>
      </c>
      <c r="AJ10273">
        <v>98.0815556698889</v>
      </c>
      <c r="AK10273">
        <v>23.747353628725499</v>
      </c>
      <c r="AL10273">
        <v>93.932566195982801</v>
      </c>
      <c r="AM10273">
        <v>90.194486447771595</v>
      </c>
      <c r="AN10273">
        <v>0.99999998882787799</v>
      </c>
    </row>
    <row r="10274" spans="1:40" x14ac:dyDescent="0.25">
      <c r="A10274" t="str">
        <f>"20190303154040546"</f>
        <v>20190303154040546</v>
      </c>
      <c r="B10274" t="str">
        <f>"1551598840538050"</f>
        <v>1551598840538050</v>
      </c>
      <c r="C10274" t="s">
        <v>40</v>
      </c>
      <c r="D10274">
        <v>4.346552</v>
      </c>
      <c r="E10274">
        <v>0.44638299999999997</v>
      </c>
      <c r="F10274" t="s">
        <v>42</v>
      </c>
      <c r="G10274">
        <v>-125.444</v>
      </c>
      <c r="H10274" s="1">
        <v>-2.3931309999999998E-6</v>
      </c>
      <c r="I10274">
        <v>141.3312</v>
      </c>
      <c r="J10274">
        <v>-148.95160000000001</v>
      </c>
      <c r="K10274">
        <v>1.1211719999999901</v>
      </c>
      <c r="L10274">
        <v>137.8433</v>
      </c>
      <c r="M10274">
        <v>0.99991949999999996</v>
      </c>
      <c r="N10274">
        <v>-1.236685E-2</v>
      </c>
      <c r="O10274">
        <v>2.8433199999999999E-3</v>
      </c>
      <c r="P10274">
        <v>0.99662729999999999</v>
      </c>
      <c r="Q10274">
        <v>-8.1903619999999996E-2</v>
      </c>
      <c r="R10274">
        <v>5.07232E-3</v>
      </c>
      <c r="S10274">
        <v>2.9960170000000002</v>
      </c>
      <c r="T10274">
        <v>-0.14023939999999999</v>
      </c>
      <c r="U10274">
        <v>0.43650820000000001</v>
      </c>
      <c r="V10274">
        <v>-2.1789219999999998E-3</v>
      </c>
      <c r="W10274">
        <v>-6.9573979999999994E-2</v>
      </c>
      <c r="X10274">
        <v>0.99757439999999997</v>
      </c>
      <c r="Y10274">
        <v>-0.14116909999999999</v>
      </c>
      <c r="Z10274">
        <v>4.0656169999999997E-3</v>
      </c>
      <c r="AA10274">
        <v>0.98997710000000005</v>
      </c>
      <c r="AB10274">
        <v>29</v>
      </c>
      <c r="AC10274">
        <v>23.5076</v>
      </c>
      <c r="AD10274">
        <v>-1.1211743931310001</v>
      </c>
      <c r="AE10274">
        <v>3.48789999999999</v>
      </c>
      <c r="AF10274">
        <v>-3.4134437518997101</v>
      </c>
      <c r="AG10274">
        <v>-1.1211743931310001</v>
      </c>
      <c r="AH10274">
        <v>23.465195726610499</v>
      </c>
      <c r="AI10274">
        <v>92.707080505449994</v>
      </c>
      <c r="AJ10274">
        <v>98.276668449598105</v>
      </c>
      <c r="AK10274">
        <v>23.7386613092511</v>
      </c>
      <c r="AL10274">
        <v>93.989518472955297</v>
      </c>
      <c r="AM10274">
        <v>90.125146391040403</v>
      </c>
      <c r="AN10274">
        <v>0.99999998496474096</v>
      </c>
    </row>
    <row r="10275" spans="1:40" x14ac:dyDescent="0.25">
      <c r="A10275" t="str">
        <f>"20190303154040568"</f>
        <v>20190303154040568</v>
      </c>
      <c r="B10275" t="str">
        <f>"1551598840558546"</f>
        <v>1551598840558546</v>
      </c>
      <c r="C10275" t="s">
        <v>40</v>
      </c>
      <c r="D10275">
        <v>4.3405719999999999</v>
      </c>
      <c r="E10275">
        <v>0.44581910000000002</v>
      </c>
      <c r="F10275" t="s">
        <v>42</v>
      </c>
      <c r="G10275">
        <v>-126.1407</v>
      </c>
      <c r="H10275" s="1">
        <v>-2.0706109999999998E-6</v>
      </c>
      <c r="I10275">
        <v>141.2424</v>
      </c>
      <c r="J10275">
        <v>-148.66579999999999</v>
      </c>
      <c r="K10275">
        <v>1.121184</v>
      </c>
      <c r="L10275">
        <v>137.84460000000001</v>
      </c>
      <c r="M10275">
        <v>0.99991319999999995</v>
      </c>
      <c r="N10275">
        <v>-1.276183E-2</v>
      </c>
      <c r="O10275">
        <v>3.2913740000000001E-3</v>
      </c>
      <c r="P10275">
        <v>0.99653760000000002</v>
      </c>
      <c r="Q10275">
        <v>-8.3041710000000005E-2</v>
      </c>
      <c r="R10275">
        <v>4.1611189999999996E-3</v>
      </c>
      <c r="S10275">
        <v>2.9957729999999998</v>
      </c>
      <c r="T10275">
        <v>-0.14724479999999901</v>
      </c>
      <c r="U10275">
        <v>0.44641110000000001</v>
      </c>
      <c r="V10275">
        <v>-8.2128509999999997E-4</v>
      </c>
      <c r="W10275">
        <v>-7.0317920000000006E-2</v>
      </c>
      <c r="X10275">
        <v>0.99752430000000003</v>
      </c>
      <c r="Y10275">
        <v>-0.14391699999999999</v>
      </c>
      <c r="Z10275">
        <v>4.3203829999999997E-3</v>
      </c>
      <c r="AA10275">
        <v>0.98958029999999997</v>
      </c>
      <c r="AB10275">
        <v>29</v>
      </c>
      <c r="AC10275">
        <v>22.525099999999899</v>
      </c>
      <c r="AD10275">
        <v>-1.121186070611</v>
      </c>
      <c r="AE10275">
        <v>3.3977999999999802</v>
      </c>
      <c r="AF10275">
        <v>-3.3156052192868199</v>
      </c>
      <c r="AG10275">
        <v>-1.121186070611</v>
      </c>
      <c r="AH10275">
        <v>22.4817020362505</v>
      </c>
      <c r="AI10275">
        <v>92.824533422201498</v>
      </c>
      <c r="AJ10275">
        <v>98.389514980171995</v>
      </c>
      <c r="AK10275">
        <v>22.752521236598</v>
      </c>
      <c r="AL10275">
        <v>94.032247662163101</v>
      </c>
      <c r="AM10275">
        <v>90.047172945435406</v>
      </c>
      <c r="AN10275">
        <v>1.0000000067364101</v>
      </c>
    </row>
    <row r="10276" spans="1:40" x14ac:dyDescent="0.25">
      <c r="A10276" t="str">
        <f>"20190303154040593"</f>
        <v>20190303154040593</v>
      </c>
      <c r="B10276" t="str">
        <f>"1551598840587827"</f>
        <v>1551598840587827</v>
      </c>
      <c r="C10276" t="s">
        <v>40</v>
      </c>
      <c r="D10276">
        <v>4.3338769999999904</v>
      </c>
      <c r="E10276">
        <v>0.44495849999999998</v>
      </c>
      <c r="F10276" t="s">
        <v>42</v>
      </c>
      <c r="G10276">
        <v>-126.4434</v>
      </c>
      <c r="H10276" s="1">
        <v>-1.9209979999999998E-6</v>
      </c>
      <c r="I10276">
        <v>141.16820000000001</v>
      </c>
      <c r="J10276">
        <v>-148.35130000000001</v>
      </c>
      <c r="K10276">
        <v>1.1211869999999999</v>
      </c>
      <c r="L10276">
        <v>137.84620000000001</v>
      </c>
      <c r="M10276">
        <v>0.99990679999999998</v>
      </c>
      <c r="N10276">
        <v>-1.313459E-2</v>
      </c>
      <c r="O10276">
        <v>3.768591E-3</v>
      </c>
      <c r="P10276">
        <v>0.99645019999999995</v>
      </c>
      <c r="Q10276">
        <v>-8.4125790000000006E-2</v>
      </c>
      <c r="R10276">
        <v>3.220667E-3</v>
      </c>
      <c r="S10276">
        <v>2.9959560000000001</v>
      </c>
      <c r="T10276">
        <v>-0.1511545</v>
      </c>
      <c r="U10276">
        <v>0.44807429999999898</v>
      </c>
      <c r="V10276">
        <v>5.9328609999999998E-4</v>
      </c>
      <c r="W10276">
        <v>-7.1030029999999994E-2</v>
      </c>
      <c r="X10276">
        <v>0.99747399999999997</v>
      </c>
      <c r="Y10276">
        <v>-0.14396199999999901</v>
      </c>
      <c r="Z10276">
        <v>4.421014E-3</v>
      </c>
      <c r="AA10276">
        <v>0.98957340000000005</v>
      </c>
      <c r="AB10276">
        <v>29</v>
      </c>
      <c r="AC10276">
        <v>21.907900000000001</v>
      </c>
      <c r="AD10276">
        <v>-1.1211889209979999</v>
      </c>
      <c r="AE10276">
        <v>3.3220000000000001</v>
      </c>
      <c r="AF10276">
        <v>-3.2311348497956098</v>
      </c>
      <c r="AG10276">
        <v>-1.1211889209979999</v>
      </c>
      <c r="AH10276">
        <v>21.8642865688787</v>
      </c>
      <c r="AI10276">
        <v>92.904040634771505</v>
      </c>
      <c r="AJ10276">
        <v>98.406406021303695</v>
      </c>
      <c r="AK10276">
        <v>22.130167739540099</v>
      </c>
      <c r="AL10276">
        <v>94.073150871927595</v>
      </c>
      <c r="AM10276">
        <v>89.965921131212198</v>
      </c>
      <c r="AN10276">
        <v>0.99999999891309799</v>
      </c>
    </row>
    <row r="10277" spans="1:40" x14ac:dyDescent="0.25">
      <c r="A10277" t="str">
        <f>"20190303154040616"</f>
        <v>20190303154040616</v>
      </c>
      <c r="B10277" t="str">
        <f>"1551598840608323"</f>
        <v>1551598840608323</v>
      </c>
      <c r="C10277" t="s">
        <v>40</v>
      </c>
      <c r="D10277">
        <v>4.7421660000000001</v>
      </c>
      <c r="E10277">
        <v>0.44471070000000001</v>
      </c>
      <c r="F10277" t="s">
        <v>42</v>
      </c>
      <c r="G10277">
        <v>-126.4508</v>
      </c>
      <c r="H10277" s="1">
        <v>-1.913093E-6</v>
      </c>
      <c r="I10277">
        <v>141.15039999999999</v>
      </c>
      <c r="J10277">
        <v>-148.05619999999999</v>
      </c>
      <c r="K10277">
        <v>1.1211850000000001</v>
      </c>
      <c r="L10277">
        <v>137.84780000000001</v>
      </c>
      <c r="M10277">
        <v>0.99990100000000004</v>
      </c>
      <c r="N10277">
        <v>-1.3435559999999999E-2</v>
      </c>
      <c r="O10277">
        <v>4.1905570000000001E-3</v>
      </c>
      <c r="P10277">
        <v>0.99647110000000005</v>
      </c>
      <c r="Q10277">
        <v>-8.388408E-2</v>
      </c>
      <c r="R10277">
        <v>3.0217780000000001E-3</v>
      </c>
      <c r="S10277">
        <v>2.996292</v>
      </c>
      <c r="T10277">
        <v>-0.15339369999999999</v>
      </c>
      <c r="U10277">
        <v>0.45205689999999998</v>
      </c>
      <c r="V10277">
        <v>1.209169E-3</v>
      </c>
      <c r="W10277">
        <v>-7.048741E-2</v>
      </c>
      <c r="X10277">
        <v>0.99751190000000001</v>
      </c>
      <c r="Y10277">
        <v>-0.1448063</v>
      </c>
      <c r="Z10277">
        <v>4.5052959999999998E-3</v>
      </c>
      <c r="AA10277">
        <v>0.98944969999999999</v>
      </c>
      <c r="AB10277">
        <v>29</v>
      </c>
      <c r="AC10277">
        <v>21.6053999999999</v>
      </c>
      <c r="AD10277">
        <v>-1.1211869130929999</v>
      </c>
      <c r="AE10277">
        <v>3.30259999999998</v>
      </c>
      <c r="AF10277">
        <v>-3.2035939681836698</v>
      </c>
      <c r="AG10277">
        <v>-1.1211869130929999</v>
      </c>
      <c r="AH10277">
        <v>21.5623104167001</v>
      </c>
      <c r="AI10277">
        <v>92.944297139287798</v>
      </c>
      <c r="AJ10277">
        <v>98.450830721331798</v>
      </c>
      <c r="AK10277">
        <v>21.8278103554435</v>
      </c>
      <c r="AL10277">
        <v>94.041983053859596</v>
      </c>
      <c r="AM10277">
        <v>89.930546947374907</v>
      </c>
      <c r="AN10277">
        <v>0.99999996384989298</v>
      </c>
    </row>
    <row r="10278" spans="1:40" x14ac:dyDescent="0.25">
      <c r="A10278" t="str">
        <f>"20190303154040635"</f>
        <v>20190303154040635</v>
      </c>
      <c r="B10278" t="str">
        <f>"1551598840627843"</f>
        <v>1551598840627843</v>
      </c>
      <c r="C10278" t="s">
        <v>40</v>
      </c>
      <c r="D10278">
        <v>4.5815169999999998</v>
      </c>
      <c r="E10278">
        <v>0.48314839999999998</v>
      </c>
      <c r="F10278" t="s">
        <v>42</v>
      </c>
      <c r="G10278">
        <v>-126.11020000000001</v>
      </c>
      <c r="H10278" s="1">
        <v>-2.064251E-6</v>
      </c>
      <c r="I10278">
        <v>141.1694</v>
      </c>
      <c r="J10278">
        <v>-147.8005</v>
      </c>
      <c r="K10278">
        <v>1.121176</v>
      </c>
      <c r="L10278">
        <v>137.8493</v>
      </c>
      <c r="M10278">
        <v>0.99989649999999997</v>
      </c>
      <c r="N10278">
        <v>-1.366334E-2</v>
      </c>
      <c r="O10278">
        <v>4.533741E-3</v>
      </c>
      <c r="P10278">
        <v>0.99650720000000004</v>
      </c>
      <c r="Q10278">
        <v>-8.3445210000000006E-2</v>
      </c>
      <c r="R10278">
        <v>3.2250849999999999E-3</v>
      </c>
      <c r="S10278">
        <v>2.9963679999999999</v>
      </c>
      <c r="T10278">
        <v>-0.15307989999999999</v>
      </c>
      <c r="U10278">
        <v>0.45350649999999998</v>
      </c>
      <c r="V10278">
        <v>1.3441219999999999E-3</v>
      </c>
      <c r="W10278">
        <v>-6.9820789999999994E-2</v>
      </c>
      <c r="X10278">
        <v>0.99755870000000002</v>
      </c>
      <c r="Y10278">
        <v>-0.144931</v>
      </c>
      <c r="Z10278">
        <v>4.5068399999999998E-3</v>
      </c>
      <c r="AA10278">
        <v>0.98943150000000002</v>
      </c>
      <c r="AB10278">
        <v>29</v>
      </c>
      <c r="AC10278">
        <v>21.690299999999901</v>
      </c>
      <c r="AD10278">
        <v>-1.1211780642510001</v>
      </c>
      <c r="AE10278">
        <v>3.3200999999999898</v>
      </c>
      <c r="AF10278">
        <v>-3.2133294043246399</v>
      </c>
      <c r="AG10278">
        <v>-1.1211780642510001</v>
      </c>
      <c r="AH10278">
        <v>21.648612493843199</v>
      </c>
      <c r="AI10278">
        <v>92.932617789064906</v>
      </c>
      <c r="AJ10278">
        <v>98.442837419827896</v>
      </c>
      <c r="AK10278">
        <v>21.914491758218801</v>
      </c>
      <c r="AL10278">
        <v>94.003693837651397</v>
      </c>
      <c r="AM10278">
        <v>89.922799058195807</v>
      </c>
      <c r="AN10278">
        <v>1.00000005466293</v>
      </c>
    </row>
    <row r="10279" spans="1:40" x14ac:dyDescent="0.25">
      <c r="A10279" t="str">
        <f>"20190303154040657"</f>
        <v>20190303154040657</v>
      </c>
      <c r="B10279" t="str">
        <f>"1551598840648339"</f>
        <v>1551598840648339</v>
      </c>
      <c r="C10279" t="s">
        <v>40</v>
      </c>
      <c r="D10279">
        <v>4.4680999999999997</v>
      </c>
      <c r="E10279">
        <v>0.54659829999999998</v>
      </c>
      <c r="F10279" t="s">
        <v>42</v>
      </c>
      <c r="G10279">
        <v>-94.761930000000007</v>
      </c>
      <c r="H10279" s="1">
        <v>-2.4668799999999999E-6</v>
      </c>
      <c r="I10279">
        <v>140.50880000000001</v>
      </c>
      <c r="J10279">
        <v>-147.5145</v>
      </c>
      <c r="K10279">
        <v>1.121154</v>
      </c>
      <c r="L10279">
        <v>137.851</v>
      </c>
      <c r="M10279">
        <v>0.9998918</v>
      </c>
      <c r="N10279">
        <v>-1.3884469999999999E-2</v>
      </c>
      <c r="O10279">
        <v>4.878065E-3</v>
      </c>
      <c r="P10279">
        <v>0.99646230000000002</v>
      </c>
      <c r="Q10279">
        <v>-8.3949239999999994E-2</v>
      </c>
      <c r="R10279">
        <v>3.9702729999999999E-3</v>
      </c>
      <c r="S10279">
        <v>3.0046840000000001</v>
      </c>
      <c r="T10279">
        <v>-6.3515779999999994E-2</v>
      </c>
      <c r="U10279">
        <v>0.150665299999999</v>
      </c>
      <c r="V10279">
        <v>9.3654350000000003E-4</v>
      </c>
      <c r="W10279">
        <v>-7.0105109999999998E-2</v>
      </c>
      <c r="X10279">
        <v>0.99753919999999996</v>
      </c>
      <c r="Y10279">
        <v>-4.5190960000000002E-2</v>
      </c>
      <c r="Z10279">
        <v>7.5593959999999995E-4</v>
      </c>
      <c r="AA10279">
        <v>0.99897809999999998</v>
      </c>
      <c r="AB10279">
        <v>29</v>
      </c>
      <c r="AC10279">
        <v>52.752569999999899</v>
      </c>
      <c r="AD10279">
        <v>-1.12115646688</v>
      </c>
      <c r="AE10279">
        <v>2.6577999999999999</v>
      </c>
      <c r="AF10279">
        <v>-2.3993321008297501</v>
      </c>
      <c r="AG10279">
        <v>-1.12115646688</v>
      </c>
      <c r="AH10279">
        <v>52.741145818667903</v>
      </c>
      <c r="AI10279">
        <v>91.216536347899805</v>
      </c>
      <c r="AJ10279">
        <v>92.604738339626095</v>
      </c>
      <c r="AK10279">
        <v>52.807596504852299</v>
      </c>
      <c r="AL10279">
        <v>94.020024290014106</v>
      </c>
      <c r="AM10279">
        <v>89.946207653679807</v>
      </c>
      <c r="AN10279">
        <v>1.00000002954923</v>
      </c>
    </row>
    <row r="10280" spans="1:40" x14ac:dyDescent="0.25">
      <c r="A10280" t="str">
        <f>"20190303154040679"</f>
        <v>20190303154040679</v>
      </c>
      <c r="B10280" t="str">
        <f>"1551598840667859"</f>
        <v>1551598840667859</v>
      </c>
      <c r="C10280" t="s">
        <v>40</v>
      </c>
      <c r="D10280">
        <v>4.4599890000000002</v>
      </c>
      <c r="E10280">
        <v>0.54945669999999902</v>
      </c>
      <c r="F10280" t="s">
        <v>42</v>
      </c>
      <c r="G10280">
        <v>-93.659270000000006</v>
      </c>
      <c r="H10280" s="1">
        <v>-4.2978809999999997E-6</v>
      </c>
      <c r="I10280">
        <v>131.52070000000001</v>
      </c>
      <c r="J10280">
        <v>-147.23089999999999</v>
      </c>
      <c r="K10280">
        <v>1.121124</v>
      </c>
      <c r="L10280">
        <v>137.8527</v>
      </c>
      <c r="M10280">
        <v>0.99988759999999999</v>
      </c>
      <c r="N10280">
        <v>-1.407374E-2</v>
      </c>
      <c r="O10280">
        <v>5.1614740000000001E-3</v>
      </c>
      <c r="P10280">
        <v>0.99642489999999995</v>
      </c>
      <c r="Q10280">
        <v>-8.4387550000000006E-2</v>
      </c>
      <c r="R10280">
        <v>4.0138739999999997E-3</v>
      </c>
      <c r="S10280">
        <v>3.0067900000000001</v>
      </c>
      <c r="T10280">
        <v>-6.2595369999999997E-2</v>
      </c>
      <c r="U10280">
        <v>-0.35342410000000002</v>
      </c>
      <c r="V10280">
        <v>1.168213E-3</v>
      </c>
      <c r="W10280">
        <v>-7.0355059999999997E-2</v>
      </c>
      <c r="X10280">
        <v>0.99752130000000006</v>
      </c>
      <c r="Y10280">
        <v>0.1218195</v>
      </c>
      <c r="Z10280">
        <v>-2.1585910000000001E-3</v>
      </c>
      <c r="AA10280">
        <v>0.99255000000000004</v>
      </c>
      <c r="AB10280">
        <v>29</v>
      </c>
      <c r="AC10280">
        <v>53.571629999999999</v>
      </c>
      <c r="AD10280">
        <v>-1.121128297881</v>
      </c>
      <c r="AE10280">
        <v>-6.3319999999999901</v>
      </c>
      <c r="AF10280">
        <v>6.6055984412740898</v>
      </c>
      <c r="AG10280">
        <v>-1.121128297881</v>
      </c>
      <c r="AH10280">
        <v>53.515115664224503</v>
      </c>
      <c r="AI10280">
        <v>91.191119678477904</v>
      </c>
      <c r="AJ10280">
        <v>82.963331015317195</v>
      </c>
      <c r="AK10280">
        <v>53.932907060374497</v>
      </c>
      <c r="AL10280">
        <v>94.0343810528734</v>
      </c>
      <c r="AM10280">
        <v>89.932900035445599</v>
      </c>
      <c r="AN10280">
        <v>0.99999997157145304</v>
      </c>
    </row>
    <row r="10281" spans="1:40" x14ac:dyDescent="0.25">
      <c r="A10281" t="str">
        <f>"20190303154040702"</f>
        <v>20190303154040702</v>
      </c>
      <c r="B10281" t="str">
        <f>"1551598840698115"</f>
        <v>1551598840698115</v>
      </c>
      <c r="C10281" t="s">
        <v>40</v>
      </c>
      <c r="D10281">
        <v>4.4196910000000003</v>
      </c>
      <c r="E10281">
        <v>0.55239499999999997</v>
      </c>
      <c r="F10281" t="s">
        <v>42</v>
      </c>
      <c r="G10281">
        <v>-100.2281</v>
      </c>
      <c r="H10281" s="1">
        <v>-5.956491E-6</v>
      </c>
      <c r="I10281">
        <v>131.9675</v>
      </c>
      <c r="J10281">
        <v>-146.9315</v>
      </c>
      <c r="K10281">
        <v>1.121081</v>
      </c>
      <c r="L10281">
        <v>137.8545</v>
      </c>
      <c r="M10281">
        <v>0.999884</v>
      </c>
      <c r="N10281">
        <v>-1.4245539999999999E-2</v>
      </c>
      <c r="O10281">
        <v>5.3821399999999997E-3</v>
      </c>
      <c r="P10281">
        <v>0.99644549999999998</v>
      </c>
      <c r="Q10281">
        <v>-8.408939E-2</v>
      </c>
      <c r="R10281">
        <v>5.0191319999999999E-3</v>
      </c>
      <c r="S10281">
        <v>3.0062099999999998</v>
      </c>
      <c r="T10281">
        <v>-7.1705340000000006E-2</v>
      </c>
      <c r="U10281">
        <v>-0.37640380000000001</v>
      </c>
      <c r="V10281">
        <v>3.7309929999999999E-4</v>
      </c>
      <c r="W10281">
        <v>-6.9885660000000002E-2</v>
      </c>
      <c r="X10281">
        <v>0.99755499999999997</v>
      </c>
      <c r="Y10281">
        <v>0.12951940000000001</v>
      </c>
      <c r="Z10281">
        <v>-2.5163329999999999E-3</v>
      </c>
      <c r="AA10281">
        <v>0.9915737</v>
      </c>
      <c r="AB10281">
        <v>29</v>
      </c>
      <c r="AC10281">
        <v>46.703400000000002</v>
      </c>
      <c r="AD10281">
        <v>-1.121086956491</v>
      </c>
      <c r="AE10281">
        <v>-5.8869999999999996</v>
      </c>
      <c r="AF10281">
        <v>6.1348248071784699</v>
      </c>
      <c r="AG10281">
        <v>-1.121086956491</v>
      </c>
      <c r="AH10281">
        <v>46.644578787134002</v>
      </c>
      <c r="AI10281">
        <v>91.365068439953006</v>
      </c>
      <c r="AJ10281">
        <v>82.507305607859806</v>
      </c>
      <c r="AK10281">
        <v>47.059639199721197</v>
      </c>
      <c r="AL10281">
        <v>94.007419689097105</v>
      </c>
      <c r="AM10281">
        <v>89.978570590862105</v>
      </c>
      <c r="AN10281">
        <v>1.00000006135085</v>
      </c>
    </row>
    <row r="10282" spans="1:40" x14ac:dyDescent="0.25">
      <c r="A10282" t="str">
        <f>"20190303154040724"</f>
        <v>20190303154040724</v>
      </c>
      <c r="B10282" t="str">
        <f>"1551598840718611"</f>
        <v>1551598840718611</v>
      </c>
      <c r="C10282" t="s">
        <v>40</v>
      </c>
      <c r="D10282">
        <v>4.422625</v>
      </c>
      <c r="E10282">
        <v>0.55376110000000001</v>
      </c>
      <c r="F10282" t="s">
        <v>42</v>
      </c>
      <c r="G10282">
        <v>-97.617519999999999</v>
      </c>
      <c r="H10282" s="1">
        <v>-2.9964790000000001E-6</v>
      </c>
      <c r="I10282">
        <v>131.3493</v>
      </c>
      <c r="J10282">
        <v>-146.65600000000001</v>
      </c>
      <c r="K10282">
        <v>1.12104</v>
      </c>
      <c r="L10282">
        <v>137.8561</v>
      </c>
      <c r="M10282">
        <v>0.99988140000000003</v>
      </c>
      <c r="N10282">
        <v>-1.438117E-2</v>
      </c>
      <c r="O10282">
        <v>5.5138399999999999E-3</v>
      </c>
      <c r="P10282">
        <v>0.99645170000000005</v>
      </c>
      <c r="Q10282">
        <v>-8.3994050000000001E-2</v>
      </c>
      <c r="R10282">
        <v>5.396718E-3</v>
      </c>
      <c r="S10282">
        <v>3.0069270000000001</v>
      </c>
      <c r="T10282">
        <v>-6.8358180000000004E-2</v>
      </c>
      <c r="U10282">
        <v>-0.39665220000000001</v>
      </c>
      <c r="V10282">
        <v>1.16867E-4</v>
      </c>
      <c r="W10282">
        <v>-6.9654980000000005E-2</v>
      </c>
      <c r="X10282">
        <v>0.99757110000000004</v>
      </c>
      <c r="Y10282">
        <v>0.1361879</v>
      </c>
      <c r="Z10282">
        <v>-2.5707519999999999E-3</v>
      </c>
      <c r="AA10282">
        <v>0.99067969999999905</v>
      </c>
      <c r="AB10282">
        <v>29</v>
      </c>
      <c r="AC10282">
        <v>49.03848</v>
      </c>
      <c r="AD10282">
        <v>-1.1210429964790001</v>
      </c>
      <c r="AE10282">
        <v>-6.5067999999999904</v>
      </c>
      <c r="AF10282">
        <v>6.7736406921493897</v>
      </c>
      <c r="AG10282">
        <v>-1.1210429964790001</v>
      </c>
      <c r="AH10282">
        <v>48.976700775245703</v>
      </c>
      <c r="AI10282">
        <v>91.298872865861696</v>
      </c>
      <c r="AJ10282">
        <v>82.125755171065094</v>
      </c>
      <c r="AK10282">
        <v>49.455597908166503</v>
      </c>
      <c r="AL10282">
        <v>93.994170798624197</v>
      </c>
      <c r="AM10282">
        <v>89.993287710686701</v>
      </c>
      <c r="AN10282">
        <v>0.99999996472595198</v>
      </c>
    </row>
    <row r="10283" spans="1:40" x14ac:dyDescent="0.25">
      <c r="A10283" t="str">
        <f>"20190303154040746"</f>
        <v>20190303154040746</v>
      </c>
      <c r="B10283" t="str">
        <f>"1551598840738131"</f>
        <v>1551598840738131</v>
      </c>
      <c r="C10283" t="s">
        <v>40</v>
      </c>
      <c r="D10283">
        <v>4.4920849999999897</v>
      </c>
      <c r="E10283">
        <v>0.55425950000000002</v>
      </c>
      <c r="F10283" t="s">
        <v>42</v>
      </c>
      <c r="G10283">
        <v>-95.575490000000002</v>
      </c>
      <c r="H10283" s="1">
        <v>-3.79699E-6</v>
      </c>
      <c r="I10283">
        <v>130.95240000000001</v>
      </c>
      <c r="J10283">
        <v>-146.3655</v>
      </c>
      <c r="K10283">
        <v>1.120995</v>
      </c>
      <c r="L10283">
        <v>137.8578</v>
      </c>
      <c r="M10283">
        <v>0.99987930000000003</v>
      </c>
      <c r="N10283">
        <v>-1.4504309999999999E-2</v>
      </c>
      <c r="O10283">
        <v>5.5857469999999899E-3</v>
      </c>
      <c r="P10283">
        <v>0.99639140000000004</v>
      </c>
      <c r="Q10283">
        <v>-8.4658949999999997E-2</v>
      </c>
      <c r="R10283">
        <v>6.114314E-3</v>
      </c>
      <c r="S10283">
        <v>3.0073240000000001</v>
      </c>
      <c r="T10283">
        <v>-6.6000459999999997E-2</v>
      </c>
      <c r="U10283">
        <v>-0.40644839999999999</v>
      </c>
      <c r="V10283">
        <v>-5.3874930000000004E-4</v>
      </c>
      <c r="W10283">
        <v>-7.0197880000000004E-2</v>
      </c>
      <c r="X10283">
        <v>0.997533</v>
      </c>
      <c r="Y10283">
        <v>0.1394138</v>
      </c>
      <c r="Z10283">
        <v>-2.5799880000000001E-3</v>
      </c>
      <c r="AA10283">
        <v>0.99023090000000002</v>
      </c>
      <c r="AB10283">
        <v>29</v>
      </c>
      <c r="AC10283">
        <v>50.790010000000002</v>
      </c>
      <c r="AD10283">
        <v>-1.1209987969899999</v>
      </c>
      <c r="AE10283">
        <v>-6.9053999999999798</v>
      </c>
      <c r="AF10283">
        <v>7.1855853609472096</v>
      </c>
      <c r="AG10283">
        <v>-1.1209987969899999</v>
      </c>
      <c r="AH10283">
        <v>50.726379265332803</v>
      </c>
      <c r="AI10283">
        <v>91.253460138037198</v>
      </c>
      <c r="AJ10283">
        <v>81.937475454398594</v>
      </c>
      <c r="AK10283">
        <v>51.245046869455599</v>
      </c>
      <c r="AL10283">
        <v>94.025352626632198</v>
      </c>
      <c r="AM10283">
        <v>90.030944397933993</v>
      </c>
      <c r="AN10283">
        <v>1.00000005934814</v>
      </c>
    </row>
    <row r="10284" spans="1:40" x14ac:dyDescent="0.25">
      <c r="A10284" t="str">
        <f>"20190303154040770"</f>
        <v>20190303154040770</v>
      </c>
      <c r="B10284" t="str">
        <f>"1551598840758627"</f>
        <v>1551598840758627</v>
      </c>
      <c r="C10284" t="s">
        <v>40</v>
      </c>
      <c r="D10284">
        <v>4.4961739999999999</v>
      </c>
      <c r="E10284">
        <v>0.55456969999999906</v>
      </c>
      <c r="F10284" t="s">
        <v>42</v>
      </c>
      <c r="G10284">
        <v>-97.642970000000005</v>
      </c>
      <c r="H10284" s="1">
        <v>-3.017012E-6</v>
      </c>
      <c r="I10284">
        <v>131.2396</v>
      </c>
      <c r="J10284">
        <v>-146.0805</v>
      </c>
      <c r="K10284">
        <v>1.1209530000000001</v>
      </c>
      <c r="L10284">
        <v>137.8595</v>
      </c>
      <c r="M10284">
        <v>0.99987780000000004</v>
      </c>
      <c r="N10284">
        <v>-1.4607469999999999E-2</v>
      </c>
      <c r="O10284">
        <v>5.5869509999999997E-3</v>
      </c>
      <c r="P10284">
        <v>0.9964054</v>
      </c>
      <c r="Q10284">
        <v>-8.4523029999999999E-2</v>
      </c>
      <c r="R10284">
        <v>5.6998889999999997E-3</v>
      </c>
      <c r="S10284">
        <v>3.0074920000000001</v>
      </c>
      <c r="T10284">
        <v>-6.919575E-2</v>
      </c>
      <c r="U10284">
        <v>-0.40852359999999999</v>
      </c>
      <c r="V10284">
        <v>-1.3253709999999999E-4</v>
      </c>
      <c r="W10284">
        <v>-6.9958809999999996E-2</v>
      </c>
      <c r="X10284">
        <v>0.99754989999999999</v>
      </c>
      <c r="Y10284">
        <v>0.1400737</v>
      </c>
      <c r="Z10284">
        <v>-2.6785490000000001E-3</v>
      </c>
      <c r="AA10284">
        <v>0.9901375</v>
      </c>
      <c r="AB10284">
        <v>29</v>
      </c>
      <c r="AC10284">
        <v>48.437530000000002</v>
      </c>
      <c r="AD10284">
        <v>-1.1209560170119901</v>
      </c>
      <c r="AE10284">
        <v>-6.6199000000000003</v>
      </c>
      <c r="AF10284">
        <v>6.8868228950864703</v>
      </c>
      <c r="AG10284">
        <v>-1.1209560170119901</v>
      </c>
      <c r="AH10284">
        <v>48.374352239766402</v>
      </c>
      <c r="AI10284">
        <v>91.314203958524004</v>
      </c>
      <c r="AJ10284">
        <v>81.897523738248296</v>
      </c>
      <c r="AK10284">
        <v>48.874971371831499</v>
      </c>
      <c r="AL10284">
        <v>94.011621293144998</v>
      </c>
      <c r="AM10284">
        <v>90.007612467721302</v>
      </c>
      <c r="AN10284">
        <v>1.0000000278263499</v>
      </c>
    </row>
    <row r="10285" spans="1:40" x14ac:dyDescent="0.25">
      <c r="A10285" t="str">
        <f>"20190303154040793"</f>
        <v>20190303154040793</v>
      </c>
      <c r="B10285" t="str">
        <f>"1551598840787907"</f>
        <v>1551598840787907</v>
      </c>
      <c r="C10285" t="s">
        <v>40</v>
      </c>
      <c r="D10285">
        <v>4.5152869999999998</v>
      </c>
      <c r="E10285">
        <v>0.55449769999999998</v>
      </c>
      <c r="F10285" t="s">
        <v>42</v>
      </c>
      <c r="G10285">
        <v>-97.233959999999996</v>
      </c>
      <c r="H10285" s="1">
        <v>-3.1765809999999999E-6</v>
      </c>
      <c r="I10285">
        <v>131.16299999999899</v>
      </c>
      <c r="J10285">
        <v>-145.78290000000001</v>
      </c>
      <c r="K10285">
        <v>1.1209279999999999</v>
      </c>
      <c r="L10285">
        <v>137.86099999999999</v>
      </c>
      <c r="M10285">
        <v>0.99987689999999996</v>
      </c>
      <c r="N10285">
        <v>-1.4697969999999999E-2</v>
      </c>
      <c r="O10285">
        <v>5.5104400000000001E-3</v>
      </c>
      <c r="P10285">
        <v>0.99641970000000002</v>
      </c>
      <c r="Q10285">
        <v>-8.442434E-2</v>
      </c>
      <c r="R10285">
        <v>4.5399680000000001E-3</v>
      </c>
      <c r="S10285">
        <v>3.0073089999999998</v>
      </c>
      <c r="T10285">
        <v>-6.9013359999999996E-2</v>
      </c>
      <c r="U10285">
        <v>-0.41227720000000001</v>
      </c>
      <c r="V10285">
        <v>9.4339800000000002E-4</v>
      </c>
      <c r="W10285">
        <v>-6.9769830000000005E-2</v>
      </c>
      <c r="X10285">
        <v>0.99756259999999997</v>
      </c>
      <c r="Y10285">
        <v>0.14121879999999901</v>
      </c>
      <c r="Z10285">
        <v>-2.7008090000000002E-3</v>
      </c>
      <c r="AA10285">
        <v>0.98997469999999999</v>
      </c>
      <c r="AB10285">
        <v>28</v>
      </c>
      <c r="AC10285">
        <v>48.548940000000002</v>
      </c>
      <c r="AD10285">
        <v>-1.1209311765809999</v>
      </c>
      <c r="AE10285">
        <v>-6.6980000000000004</v>
      </c>
      <c r="AF10285">
        <v>6.9618112464127702</v>
      </c>
      <c r="AG10285">
        <v>-1.1209311765809999</v>
      </c>
      <c r="AH10285">
        <v>48.4859253849109</v>
      </c>
      <c r="AI10285">
        <v>91.310927955837101</v>
      </c>
      <c r="AJ10285">
        <v>81.829079455749493</v>
      </c>
      <c r="AK10285">
        <v>48.996002520251203</v>
      </c>
      <c r="AL10285">
        <v>94.000767406446499</v>
      </c>
      <c r="AM10285">
        <v>89.945815222335895</v>
      </c>
      <c r="AN10285">
        <v>0.99999993004838506</v>
      </c>
    </row>
    <row r="10286" spans="1:40" x14ac:dyDescent="0.25">
      <c r="A10286" t="str">
        <f>"20190303154040817"</f>
        <v>20190303154040817</v>
      </c>
      <c r="B10286" t="str">
        <f>"1551598840808403"</f>
        <v>1551598840808403</v>
      </c>
      <c r="C10286" t="s">
        <v>40</v>
      </c>
      <c r="D10286">
        <v>4.5235440000000002</v>
      </c>
      <c r="E10286">
        <v>0.55447150000000001</v>
      </c>
      <c r="F10286" t="s">
        <v>42</v>
      </c>
      <c r="G10286">
        <v>-98.248760000000004</v>
      </c>
      <c r="H10286" s="1">
        <v>-2.7964789999999999E-6</v>
      </c>
      <c r="I10286">
        <v>131.2936</v>
      </c>
      <c r="J10286">
        <v>-145.4802</v>
      </c>
      <c r="K10286">
        <v>1.12090499999999</v>
      </c>
      <c r="L10286">
        <v>137.86259999999999</v>
      </c>
      <c r="M10286">
        <v>0.99987649999999995</v>
      </c>
      <c r="N10286">
        <v>-1.4775999999999999E-2</v>
      </c>
      <c r="O10286">
        <v>5.3781660000000002E-3</v>
      </c>
      <c r="P10286">
        <v>0.99650070000000002</v>
      </c>
      <c r="Q10286">
        <v>-8.3505250000000003E-2</v>
      </c>
      <c r="R10286">
        <v>3.730443E-3</v>
      </c>
      <c r="S10286">
        <v>3.0066679999999999</v>
      </c>
      <c r="T10286">
        <v>-7.0901989999999998E-2</v>
      </c>
      <c r="U10286">
        <v>-0.41540529999999998</v>
      </c>
      <c r="V10286">
        <v>1.61457299999999E-3</v>
      </c>
      <c r="W10286">
        <v>-6.8772089999999994E-2</v>
      </c>
      <c r="X10286">
        <v>0.99763109999999999</v>
      </c>
      <c r="Y10286">
        <v>0.14212379999999999</v>
      </c>
      <c r="Z10286">
        <v>-2.7700020000000001E-3</v>
      </c>
      <c r="AA10286">
        <v>0.98984499999999997</v>
      </c>
      <c r="AB10286">
        <v>28</v>
      </c>
      <c r="AC10286">
        <v>47.2314399999999</v>
      </c>
      <c r="AD10286">
        <v>-1.12090779647899</v>
      </c>
      <c r="AE10286">
        <v>-6.5689999999999804</v>
      </c>
      <c r="AF10286">
        <v>6.8191833886673603</v>
      </c>
      <c r="AG10286">
        <v>-1.12090779647899</v>
      </c>
      <c r="AH10286">
        <v>47.169361199121496</v>
      </c>
      <c r="AI10286">
        <v>91.347289375595196</v>
      </c>
      <c r="AJ10286">
        <v>81.773852561643594</v>
      </c>
      <c r="AK10286">
        <v>47.672909836821098</v>
      </c>
      <c r="AL10286">
        <v>93.943463144507007</v>
      </c>
      <c r="AM10286">
        <v>89.907272199264</v>
      </c>
      <c r="AN10286">
        <v>1.0000000094480701</v>
      </c>
    </row>
    <row r="10287" spans="1:40" x14ac:dyDescent="0.25">
      <c r="A10287" t="str">
        <f>"20190303154040837"</f>
        <v>20190303154040837</v>
      </c>
      <c r="B10287" t="str">
        <f>"1551598840827922"</f>
        <v>1551598840827922</v>
      </c>
      <c r="C10287" t="s">
        <v>40</v>
      </c>
      <c r="D10287">
        <v>4.551132</v>
      </c>
      <c r="E10287">
        <v>0.55438160000000003</v>
      </c>
      <c r="F10287" t="s">
        <v>42</v>
      </c>
      <c r="G10287">
        <v>-97.445999999999998</v>
      </c>
      <c r="H10287" s="1">
        <v>-3.0986709999999999E-6</v>
      </c>
      <c r="I10287">
        <v>131.18459999999999</v>
      </c>
      <c r="J10287">
        <v>-145.22</v>
      </c>
      <c r="K10287">
        <v>1.1208899999999999</v>
      </c>
      <c r="L10287">
        <v>137.8638</v>
      </c>
      <c r="M10287">
        <v>0.9998764</v>
      </c>
      <c r="N10287">
        <v>-1.483337E-2</v>
      </c>
      <c r="O10287">
        <v>5.231421E-3</v>
      </c>
      <c r="P10287">
        <v>0.99651440000000002</v>
      </c>
      <c r="Q10287">
        <v>-8.3404080000000005E-2</v>
      </c>
      <c r="R10287">
        <v>1.6704860000000001E-3</v>
      </c>
      <c r="S10287">
        <v>3.0062099999999998</v>
      </c>
      <c r="T10287">
        <v>-7.0151809999999995E-2</v>
      </c>
      <c r="U10287">
        <v>-0.41793819999999998</v>
      </c>
      <c r="V10287">
        <v>3.523923E-3</v>
      </c>
      <c r="W10287">
        <v>-6.8614300000000003E-2</v>
      </c>
      <c r="X10287">
        <v>0.997637</v>
      </c>
      <c r="Y10287">
        <v>0.14281779999999999</v>
      </c>
      <c r="Z10287">
        <v>-2.767037E-3</v>
      </c>
      <c r="AA10287">
        <v>0.98974510000000004</v>
      </c>
      <c r="AB10287">
        <v>28</v>
      </c>
      <c r="AC10287">
        <v>47.773999999999901</v>
      </c>
      <c r="AD10287">
        <v>-1.120893098671</v>
      </c>
      <c r="AE10287">
        <v>-6.6791999999999998</v>
      </c>
      <c r="AF10287">
        <v>6.92532276629768</v>
      </c>
      <c r="AG10287">
        <v>-1.120893098671</v>
      </c>
      <c r="AH10287">
        <v>47.712639040311103</v>
      </c>
      <c r="AI10287">
        <v>91.331827358028406</v>
      </c>
      <c r="AJ10287">
        <v>81.7413917169836</v>
      </c>
      <c r="AK10287">
        <v>48.2256407002236</v>
      </c>
      <c r="AL10287">
        <v>93.934401224358496</v>
      </c>
      <c r="AM10287">
        <v>89.797616692731495</v>
      </c>
      <c r="AN10287">
        <v>0.99999996198339902</v>
      </c>
    </row>
    <row r="10288" spans="1:40" x14ac:dyDescent="0.25">
      <c r="A10288" t="str">
        <f>"20190303154040859"</f>
        <v>20190303154040859</v>
      </c>
      <c r="B10288" t="str">
        <f>"1551598840848419"</f>
        <v>1551598840848419</v>
      </c>
      <c r="C10288" t="s">
        <v>40</v>
      </c>
      <c r="D10288">
        <v>4.56792</v>
      </c>
      <c r="E10288">
        <v>0.55439869999999902</v>
      </c>
      <c r="F10288" t="s">
        <v>42</v>
      </c>
      <c r="G10288">
        <v>-99.314080000000004</v>
      </c>
      <c r="H10288" s="1">
        <v>-2.408166E-6</v>
      </c>
      <c r="I10288">
        <v>131.3905</v>
      </c>
      <c r="J10288">
        <v>-144.947</v>
      </c>
      <c r="K10288">
        <v>1.1208739999999999</v>
      </c>
      <c r="L10288">
        <v>137.86510000000001</v>
      </c>
      <c r="M10288">
        <v>0.9998766</v>
      </c>
      <c r="N10288">
        <v>-1.48849E-2</v>
      </c>
      <c r="O10288">
        <v>5.0523909999999998E-3</v>
      </c>
      <c r="P10288">
        <v>0.99652339999999995</v>
      </c>
      <c r="Q10288">
        <v>-8.3313880000000007E-2</v>
      </c>
      <c r="R10288">
        <v>-4.1005270000000002E-4</v>
      </c>
      <c r="S10288">
        <v>3.0050810000000001</v>
      </c>
      <c r="T10288">
        <v>-7.3375460000000003E-2</v>
      </c>
      <c r="U10288">
        <v>-0.42375180000000001</v>
      </c>
      <c r="V10288">
        <v>5.4222760000000002E-3</v>
      </c>
      <c r="W10288">
        <v>-6.8473560000000003E-2</v>
      </c>
      <c r="X10288">
        <v>0.99763820000000003</v>
      </c>
      <c r="Y10288">
        <v>0.14456340000000001</v>
      </c>
      <c r="Z10288">
        <v>-2.8854050000000002E-3</v>
      </c>
      <c r="AA10288">
        <v>0.98949129999999996</v>
      </c>
      <c r="AB10288">
        <v>28</v>
      </c>
      <c r="AC10288">
        <v>45.632919999999999</v>
      </c>
      <c r="AD10288">
        <v>-1.1208764081660001</v>
      </c>
      <c r="AE10288">
        <v>-6.4745999999999997</v>
      </c>
      <c r="AF10288">
        <v>6.7011349601521397</v>
      </c>
      <c r="AG10288">
        <v>-1.1208764081660001</v>
      </c>
      <c r="AH10288">
        <v>45.572668592947302</v>
      </c>
      <c r="AI10288">
        <v>91.393943496389795</v>
      </c>
      <c r="AJ10288">
        <v>81.635009857758007</v>
      </c>
      <c r="AK10288">
        <v>46.076346386830203</v>
      </c>
      <c r="AL10288">
        <v>93.926318241613899</v>
      </c>
      <c r="AM10288">
        <v>89.688594050364102</v>
      </c>
      <c r="AN10288">
        <v>1.00000000379766</v>
      </c>
    </row>
    <row r="10289" spans="1:40" x14ac:dyDescent="0.25">
      <c r="A10289" t="str">
        <f>"20190303154040880"</f>
        <v>20190303154040880</v>
      </c>
      <c r="B10289" t="str">
        <f>"1551598840878676"</f>
        <v>1551598840878676</v>
      </c>
      <c r="C10289" t="s">
        <v>40</v>
      </c>
      <c r="D10289">
        <v>4.5891229999999998</v>
      </c>
      <c r="E10289">
        <v>0.55429399999999995</v>
      </c>
      <c r="F10289" t="s">
        <v>42</v>
      </c>
      <c r="G10289">
        <v>-99.957759999999993</v>
      </c>
      <c r="H10289" s="1">
        <v>-6.1812589999999999E-6</v>
      </c>
      <c r="I10289">
        <v>131.42070000000001</v>
      </c>
      <c r="J10289">
        <v>-144.673</v>
      </c>
      <c r="K10289">
        <v>1.120871</v>
      </c>
      <c r="L10289">
        <v>137.86619999999999</v>
      </c>
      <c r="M10289">
        <v>0.99987680000000001</v>
      </c>
      <c r="N10289">
        <v>-1.49288999999999E-2</v>
      </c>
      <c r="O10289">
        <v>4.8563800000000004E-3</v>
      </c>
      <c r="P10289">
        <v>0.99653179999999997</v>
      </c>
      <c r="Q10289">
        <v>-8.3169880000000002E-2</v>
      </c>
      <c r="R10289">
        <v>-2.6910950000000001E-3</v>
      </c>
      <c r="S10289">
        <v>3.004013</v>
      </c>
      <c r="T10289">
        <v>-7.4843170000000001E-2</v>
      </c>
      <c r="U10289">
        <v>-0.43029790000000001</v>
      </c>
      <c r="V10289">
        <v>7.5051869999999904E-3</v>
      </c>
      <c r="W10289">
        <v>-6.8286689999999997E-2</v>
      </c>
      <c r="X10289">
        <v>0.99763749999999995</v>
      </c>
      <c r="Y10289">
        <v>0.14652789999999999</v>
      </c>
      <c r="Z10289">
        <v>-2.9636599999999999E-3</v>
      </c>
      <c r="AA10289">
        <v>0.98920209999999997</v>
      </c>
      <c r="AB10289">
        <v>28</v>
      </c>
      <c r="AC10289">
        <v>44.715240000000001</v>
      </c>
      <c r="AD10289">
        <v>-1.1208771812589999</v>
      </c>
      <c r="AE10289">
        <v>-6.4454999999999796</v>
      </c>
      <c r="AF10289">
        <v>6.6585036288915296</v>
      </c>
      <c r="AG10289">
        <v>-1.1208771812589999</v>
      </c>
      <c r="AH10289">
        <v>44.655918698876697</v>
      </c>
      <c r="AI10289">
        <v>91.422124165745203</v>
      </c>
      <c r="AJ10289">
        <v>81.519288265283194</v>
      </c>
      <c r="AK10289">
        <v>45.163515264781097</v>
      </c>
      <c r="AL10289">
        <v>93.915586311020107</v>
      </c>
      <c r="AM10289">
        <v>89.568974274123406</v>
      </c>
      <c r="AN10289">
        <v>0.99999999063465494</v>
      </c>
    </row>
    <row r="10290" spans="1:40" x14ac:dyDescent="0.25">
      <c r="A10290" t="str">
        <f>"20190303154040903"</f>
        <v>20190303154040903</v>
      </c>
      <c r="B10290" t="str">
        <f>"1551598840898199"</f>
        <v>1551598840898199</v>
      </c>
      <c r="C10290" t="s">
        <v>40</v>
      </c>
      <c r="D10290">
        <v>4.6287710000000004</v>
      </c>
      <c r="E10290">
        <v>0.55426529999999996</v>
      </c>
      <c r="F10290" t="s">
        <v>42</v>
      </c>
      <c r="G10290">
        <v>-101.4807</v>
      </c>
      <c r="H10290" s="1">
        <v>-5.4318829999999998E-6</v>
      </c>
      <c r="I10290">
        <v>131.58680000000001</v>
      </c>
      <c r="J10290">
        <v>-144.38740000000001</v>
      </c>
      <c r="K10290">
        <v>1.1208739999999999</v>
      </c>
      <c r="L10290">
        <v>137.8674</v>
      </c>
      <c r="M10290">
        <v>0.99987729999999997</v>
      </c>
      <c r="N10290">
        <v>-1.4967640000000001E-2</v>
      </c>
      <c r="O10290">
        <v>4.6421049999999997E-3</v>
      </c>
      <c r="P10290">
        <v>0.99655539999999998</v>
      </c>
      <c r="Q10290">
        <v>-8.2792030000000003E-2</v>
      </c>
      <c r="R10290">
        <v>-4.8211290000000004E-3</v>
      </c>
      <c r="S10290">
        <v>3.0027620000000002</v>
      </c>
      <c r="T10290">
        <v>-7.7924370000000007E-2</v>
      </c>
      <c r="U10290">
        <v>-0.436554</v>
      </c>
      <c r="V10290">
        <v>9.4202379999999992E-3</v>
      </c>
      <c r="W10290">
        <v>-6.7870970000000003E-2</v>
      </c>
      <c r="X10290">
        <v>0.99764960000000003</v>
      </c>
      <c r="Y10290">
        <v>0.1483864</v>
      </c>
      <c r="Z10290">
        <v>-3.0823690000000002E-3</v>
      </c>
      <c r="AA10290">
        <v>0.98892460000000004</v>
      </c>
      <c r="AB10290">
        <v>28</v>
      </c>
      <c r="AC10290">
        <v>42.906700000000001</v>
      </c>
      <c r="AD10290">
        <v>-1.120879431883</v>
      </c>
      <c r="AE10290">
        <v>-6.28059999999999</v>
      </c>
      <c r="AF10290">
        <v>6.4754056082012896</v>
      </c>
      <c r="AG10290">
        <v>-1.120879431883</v>
      </c>
      <c r="AH10290">
        <v>42.848450824620201</v>
      </c>
      <c r="AI10290">
        <v>91.481651601199601</v>
      </c>
      <c r="AJ10290">
        <v>81.406292417475001</v>
      </c>
      <c r="AK10290">
        <v>43.349475043666203</v>
      </c>
      <c r="AL10290">
        <v>93.891712011709799</v>
      </c>
      <c r="AM10290">
        <v>89.459004605138603</v>
      </c>
      <c r="AN10290">
        <v>0.999999966916438</v>
      </c>
    </row>
    <row r="10291" spans="1:40" x14ac:dyDescent="0.25">
      <c r="A10291" t="str">
        <f>"20190303154040925"</f>
        <v>20190303154040925</v>
      </c>
      <c r="B10291" t="str">
        <f>"1551598840918690"</f>
        <v>1551598840918690</v>
      </c>
      <c r="C10291" t="s">
        <v>40</v>
      </c>
      <c r="D10291">
        <v>4.6438629999999996</v>
      </c>
      <c r="E10291">
        <v>0.55421129999999996</v>
      </c>
      <c r="F10291" t="s">
        <v>42</v>
      </c>
      <c r="G10291">
        <v>-101.68470000000001</v>
      </c>
      <c r="H10291" s="1">
        <v>-5.33848399999999E-6</v>
      </c>
      <c r="I10291">
        <v>131.56989999999999</v>
      </c>
      <c r="J10291">
        <v>-144.11019999999999</v>
      </c>
      <c r="K10291">
        <v>1.120884</v>
      </c>
      <c r="L10291">
        <v>137.86840000000001</v>
      </c>
      <c r="M10291">
        <v>0.99987780000000004</v>
      </c>
      <c r="N10291">
        <v>-1.499928E-2</v>
      </c>
      <c r="O10291">
        <v>4.430186E-3</v>
      </c>
      <c r="P10291">
        <v>0.99659900000000001</v>
      </c>
      <c r="Q10291">
        <v>-8.2163260000000002E-2</v>
      </c>
      <c r="R10291">
        <v>-6.3320579999999998E-3</v>
      </c>
      <c r="S10291">
        <v>3.001709</v>
      </c>
      <c r="T10291">
        <v>-7.8790189999999996E-2</v>
      </c>
      <c r="U10291">
        <v>-0.44267269999999997</v>
      </c>
      <c r="V10291">
        <v>1.0719589999999999E-2</v>
      </c>
      <c r="W10291">
        <v>-6.7210759999999994E-2</v>
      </c>
      <c r="X10291">
        <v>0.99768120000000005</v>
      </c>
      <c r="Y10291">
        <v>0.150197</v>
      </c>
      <c r="Z10291">
        <v>-3.142695E-3</v>
      </c>
      <c r="AA10291">
        <v>0.9886511</v>
      </c>
      <c r="AB10291">
        <v>28</v>
      </c>
      <c r="AC10291">
        <v>42.4254999999999</v>
      </c>
      <c r="AD10291">
        <v>-1.120889338484</v>
      </c>
      <c r="AE10291">
        <v>-6.2985000000000104</v>
      </c>
      <c r="AF10291">
        <v>6.4819851385694101</v>
      </c>
      <c r="AG10291">
        <v>-1.120889338484</v>
      </c>
      <c r="AH10291">
        <v>42.368240549375599</v>
      </c>
      <c r="AI10291">
        <v>91.4980347726937</v>
      </c>
      <c r="AJ10291">
        <v>81.3016738208172</v>
      </c>
      <c r="AK10291">
        <v>42.875871203924397</v>
      </c>
      <c r="AL10291">
        <v>93.853798112257095</v>
      </c>
      <c r="AM10291">
        <v>89.384408935513406</v>
      </c>
      <c r="AN10291">
        <v>0.99999998635149201</v>
      </c>
    </row>
    <row r="10292" spans="1:40" x14ac:dyDescent="0.25">
      <c r="A10292" t="str">
        <f>"20190303154040947"</f>
        <v>20190303154040947</v>
      </c>
      <c r="B10292" t="str">
        <f>"1551598840938211"</f>
        <v>1551598840938211</v>
      </c>
      <c r="C10292" t="s">
        <v>40</v>
      </c>
      <c r="D10292">
        <v>4.6546409999999998</v>
      </c>
      <c r="E10292">
        <v>0.55403259999999999</v>
      </c>
      <c r="F10292" t="s">
        <v>42</v>
      </c>
      <c r="G10292">
        <v>-100.9568</v>
      </c>
      <c r="H10292" s="1">
        <v>-5.7051260000000001E-6</v>
      </c>
      <c r="I10292">
        <v>131.4426</v>
      </c>
      <c r="J10292">
        <v>-143.82929999999999</v>
      </c>
      <c r="K10292">
        <v>1.1208979999999999</v>
      </c>
      <c r="L10292">
        <v>137.86940000000001</v>
      </c>
      <c r="M10292">
        <v>0.9998783</v>
      </c>
      <c r="N10292">
        <v>-1.5026019999999999E-2</v>
      </c>
      <c r="O10292">
        <v>4.2151460000000003E-3</v>
      </c>
      <c r="P10292">
        <v>0.99661460000000002</v>
      </c>
      <c r="Q10292">
        <v>-8.1829810000000003E-2</v>
      </c>
      <c r="R10292">
        <v>-7.9616410000000002E-3</v>
      </c>
      <c r="S10292">
        <v>3.0009920000000001</v>
      </c>
      <c r="T10292">
        <v>-7.7949519999999994E-2</v>
      </c>
      <c r="U10292">
        <v>-0.44686890000000001</v>
      </c>
      <c r="V10292">
        <v>1.2134870000000001E-2</v>
      </c>
      <c r="W10292">
        <v>-6.6851140000000003E-2</v>
      </c>
      <c r="X10292">
        <v>0.99768920000000005</v>
      </c>
      <c r="Y10292">
        <v>0.151371799999999</v>
      </c>
      <c r="Z10292">
        <v>-3.1445570000000001E-3</v>
      </c>
      <c r="AA10292">
        <v>0.98847189999999996</v>
      </c>
      <c r="AB10292">
        <v>28</v>
      </c>
      <c r="AC10292">
        <v>42.872499999999903</v>
      </c>
      <c r="AD10292">
        <v>-1.120903705126</v>
      </c>
      <c r="AE10292">
        <v>-6.4268000000000098</v>
      </c>
      <c r="AF10292">
        <v>6.6030627139155103</v>
      </c>
      <c r="AG10292">
        <v>-1.120903705126</v>
      </c>
      <c r="AH10292">
        <v>42.816401585408798</v>
      </c>
      <c r="AI10292">
        <v>91.482108123127205</v>
      </c>
      <c r="AJ10292">
        <v>81.233022509291203</v>
      </c>
      <c r="AK10292">
        <v>43.3370638950433</v>
      </c>
      <c r="AL10292">
        <v>93.833146770705895</v>
      </c>
      <c r="AM10292">
        <v>89.303147159425606</v>
      </c>
      <c r="AN10292">
        <v>1.0000000348929201</v>
      </c>
    </row>
    <row r="10293" spans="1:40" x14ac:dyDescent="0.25">
      <c r="A10293" t="str">
        <f>"20190303154040970"</f>
        <v>20190303154040970</v>
      </c>
      <c r="B10293" t="str">
        <f>"1551598840958707"</f>
        <v>1551598840958707</v>
      </c>
      <c r="C10293" t="s">
        <v>40</v>
      </c>
      <c r="D10293">
        <v>4.6824969999999997</v>
      </c>
      <c r="E10293">
        <v>0.55380149999999995</v>
      </c>
      <c r="F10293" t="s">
        <v>42</v>
      </c>
      <c r="G10293">
        <v>-101.4674</v>
      </c>
      <c r="H10293" s="1">
        <v>-5.45203E-6</v>
      </c>
      <c r="I10293">
        <v>131.5087</v>
      </c>
      <c r="J10293">
        <v>-143.55240000000001</v>
      </c>
      <c r="K10293">
        <v>1.120908</v>
      </c>
      <c r="L10293">
        <v>137.87029999999999</v>
      </c>
      <c r="M10293">
        <v>0.99987870000000001</v>
      </c>
      <c r="N10293">
        <v>-1.5047929999999999E-2</v>
      </c>
      <c r="O10293">
        <v>4.0057139999999996E-3</v>
      </c>
      <c r="P10293">
        <v>0.99661860000000002</v>
      </c>
      <c r="Q10293">
        <v>-8.1698179999999995E-2</v>
      </c>
      <c r="R10293">
        <v>-8.7638939999999995E-3</v>
      </c>
      <c r="S10293">
        <v>3.000076</v>
      </c>
      <c r="T10293">
        <v>-7.9382659999999994E-2</v>
      </c>
      <c r="U10293">
        <v>-0.45046999999999998</v>
      </c>
      <c r="V10293">
        <v>1.272833E-2</v>
      </c>
      <c r="W10293">
        <v>-6.6697880000000001E-2</v>
      </c>
      <c r="X10293">
        <v>0.99769200000000002</v>
      </c>
      <c r="Y10293">
        <v>0.1523661</v>
      </c>
      <c r="Z10293">
        <v>-3.2028569999999999E-3</v>
      </c>
      <c r="AA10293">
        <v>0.9883189</v>
      </c>
      <c r="AB10293">
        <v>28</v>
      </c>
      <c r="AC10293">
        <v>42.085000000000001</v>
      </c>
      <c r="AD10293">
        <v>-1.1209134520299999</v>
      </c>
      <c r="AE10293">
        <v>-6.3615999999999797</v>
      </c>
      <c r="AF10293">
        <v>6.5256226767856997</v>
      </c>
      <c r="AG10293">
        <v>-1.1209134520299999</v>
      </c>
      <c r="AH10293">
        <v>42.030026720394602</v>
      </c>
      <c r="AI10293">
        <v>91.509600698581195</v>
      </c>
      <c r="AJ10293">
        <v>81.174665971248402</v>
      </c>
      <c r="AK10293">
        <v>42.548364767682898</v>
      </c>
      <c r="AL10293">
        <v>93.824346217302605</v>
      </c>
      <c r="AM10293">
        <v>89.269072993403896</v>
      </c>
      <c r="AN10293">
        <v>0.999999972222541</v>
      </c>
    </row>
    <row r="10294" spans="1:40" x14ac:dyDescent="0.25">
      <c r="A10294" t="str">
        <f>"20190303154040993"</f>
        <v>20190303154040993</v>
      </c>
      <c r="B10294" t="str">
        <f>"1551598840987986"</f>
        <v>1551598840987986</v>
      </c>
      <c r="C10294" t="s">
        <v>40</v>
      </c>
      <c r="D10294">
        <v>4.6901630000000001</v>
      </c>
      <c r="E10294">
        <v>0.55352040000000002</v>
      </c>
      <c r="F10294" t="s">
        <v>42</v>
      </c>
      <c r="G10294">
        <v>-102.2075</v>
      </c>
      <c r="H10294" s="1">
        <v>-5.0962119999999999E-6</v>
      </c>
      <c r="I10294">
        <v>131.65029999999999</v>
      </c>
      <c r="J10294">
        <v>-143.26349999999999</v>
      </c>
      <c r="K10294">
        <v>1.1209169999999999</v>
      </c>
      <c r="L10294">
        <v>137.87129999999999</v>
      </c>
      <c r="M10294">
        <v>0.99987939999999997</v>
      </c>
      <c r="N10294">
        <v>-1.5066360000000001E-2</v>
      </c>
      <c r="O10294">
        <v>3.789887E-3</v>
      </c>
      <c r="P10294">
        <v>0.9966062</v>
      </c>
      <c r="Q10294">
        <v>-8.1780359999999996E-2</v>
      </c>
      <c r="R10294">
        <v>-9.3942720000000004E-3</v>
      </c>
      <c r="S10294">
        <v>2.9995419999999999</v>
      </c>
      <c r="T10294">
        <v>-8.1321480000000002E-2</v>
      </c>
      <c r="U10294">
        <v>-0.45126339999999998</v>
      </c>
      <c r="V10294">
        <v>1.314366E-2</v>
      </c>
      <c r="W10294">
        <v>-6.6761979999999999E-2</v>
      </c>
      <c r="X10294">
        <v>0.99768230000000002</v>
      </c>
      <c r="Y10294">
        <v>0.15243090000000001</v>
      </c>
      <c r="Z10294">
        <v>-3.2548579999999998E-3</v>
      </c>
      <c r="AA10294">
        <v>0.98830879999999999</v>
      </c>
      <c r="AB10294">
        <v>28</v>
      </c>
      <c r="AC10294">
        <v>41.055999999999997</v>
      </c>
      <c r="AD10294">
        <v>-1.1209220962119999</v>
      </c>
      <c r="AE10294">
        <v>-6.2210000000000001</v>
      </c>
      <c r="AF10294">
        <v>6.3719274434380297</v>
      </c>
      <c r="AG10294">
        <v>-1.1209220962119999</v>
      </c>
      <c r="AH10294">
        <v>41.002247852982201</v>
      </c>
      <c r="AI10294">
        <v>91.547401078181807</v>
      </c>
      <c r="AJ10294">
        <v>81.166644710590205</v>
      </c>
      <c r="AK10294">
        <v>41.509544139722799</v>
      </c>
      <c r="AL10294">
        <v>93.828027186558103</v>
      </c>
      <c r="AM10294">
        <v>89.245217959589795</v>
      </c>
      <c r="AN10294">
        <v>0.99999994475250098</v>
      </c>
    </row>
    <row r="10295" spans="1:40" x14ac:dyDescent="0.25">
      <c r="A10295" t="str">
        <f>"20190303154041017"</f>
        <v>20190303154041017</v>
      </c>
      <c r="B10295" t="str">
        <f>"1551598841008483"</f>
        <v>1551598841008483</v>
      </c>
      <c r="C10295" t="s">
        <v>40</v>
      </c>
      <c r="D10295">
        <v>4.7099609999999998</v>
      </c>
      <c r="E10295">
        <v>0.55341010000000002</v>
      </c>
      <c r="F10295" t="s">
        <v>42</v>
      </c>
      <c r="G10295">
        <v>-103.30880000000001</v>
      </c>
      <c r="H10295" s="1">
        <v>-4.6169270000000003E-6</v>
      </c>
      <c r="I10295">
        <v>131.8622</v>
      </c>
      <c r="J10295">
        <v>-142.964</v>
      </c>
      <c r="K10295">
        <v>1.1209260000000001</v>
      </c>
      <c r="L10295">
        <v>137.87219999999999</v>
      </c>
      <c r="M10295">
        <v>0.99987999999999999</v>
      </c>
      <c r="N10295">
        <v>-1.508176E-2</v>
      </c>
      <c r="O10295">
        <v>3.568543E-3</v>
      </c>
      <c r="P10295">
        <v>0.99655530000000003</v>
      </c>
      <c r="Q10295">
        <v>-8.2396949999999997E-2</v>
      </c>
      <c r="R10295">
        <v>-9.426373E-3</v>
      </c>
      <c r="S10295">
        <v>2.9990540000000001</v>
      </c>
      <c r="T10295">
        <v>-8.4137799999999999E-2</v>
      </c>
      <c r="U10295">
        <v>-0.4510498</v>
      </c>
      <c r="V10295">
        <v>1.2954780000000001E-2</v>
      </c>
      <c r="W10295">
        <v>-6.7363759999999995E-2</v>
      </c>
      <c r="X10295">
        <v>0.99764439999999999</v>
      </c>
      <c r="Y10295">
        <v>0.15216209999999999</v>
      </c>
      <c r="Z10295">
        <v>-3.3223789999999999E-3</v>
      </c>
      <c r="AA10295">
        <v>0.98834999999999995</v>
      </c>
      <c r="AB10295">
        <v>28</v>
      </c>
      <c r="AC10295">
        <v>39.655200000000001</v>
      </c>
      <c r="AD10295">
        <v>-1.1209306169269999</v>
      </c>
      <c r="AE10295">
        <v>-6.00999999999999</v>
      </c>
      <c r="AF10295">
        <v>6.1466880479798798</v>
      </c>
      <c r="AG10295">
        <v>-1.1209306169269999</v>
      </c>
      <c r="AH10295">
        <v>39.602565363396103</v>
      </c>
      <c r="AI10295">
        <v>91.602122736436897</v>
      </c>
      <c r="AJ10295">
        <v>81.177554467085798</v>
      </c>
      <c r="AK10295">
        <v>40.092411286541598</v>
      </c>
      <c r="AL10295">
        <v>93.862584127135705</v>
      </c>
      <c r="AM10295">
        <v>89.256035012919199</v>
      </c>
      <c r="AN10295">
        <v>1.00000002566877</v>
      </c>
    </row>
    <row r="10296" spans="1:40" x14ac:dyDescent="0.25">
      <c r="A10296" t="str">
        <f>"20190303154041036"</f>
        <v>20190303154041036</v>
      </c>
      <c r="B10296" t="str">
        <f>"1551598841028003"</f>
        <v>1551598841028003</v>
      </c>
      <c r="C10296" t="s">
        <v>40</v>
      </c>
      <c r="D10296">
        <v>4.6957399999999998</v>
      </c>
      <c r="E10296">
        <v>0.55329859999999997</v>
      </c>
      <c r="F10296" t="s">
        <v>42</v>
      </c>
      <c r="G10296">
        <v>-104.5844</v>
      </c>
      <c r="H10296" s="1">
        <v>-4.0621310000000003E-6</v>
      </c>
      <c r="I10296">
        <v>132.1063</v>
      </c>
      <c r="J10296">
        <v>-142.71549999999999</v>
      </c>
      <c r="K10296">
        <v>1.120935</v>
      </c>
      <c r="L10296">
        <v>137.87280000000001</v>
      </c>
      <c r="M10296">
        <v>0.99988049999999995</v>
      </c>
      <c r="N10296">
        <v>-1.5092110000000001E-2</v>
      </c>
      <c r="O10296">
        <v>3.3865729999999999E-3</v>
      </c>
      <c r="P10296">
        <v>0.99651940000000006</v>
      </c>
      <c r="Q10296">
        <v>-8.2817329999999995E-2</v>
      </c>
      <c r="R10296">
        <v>-9.5256190000000008E-3</v>
      </c>
      <c r="S10296">
        <v>2.9988860000000002</v>
      </c>
      <c r="T10296">
        <v>-8.7586639999999993E-2</v>
      </c>
      <c r="U10296">
        <v>-0.45053100000000001</v>
      </c>
      <c r="V10296">
        <v>1.287252E-2</v>
      </c>
      <c r="W10296">
        <v>-6.7774210000000001E-2</v>
      </c>
      <c r="X10296">
        <v>0.99761770000000005</v>
      </c>
      <c r="Y10296">
        <v>0.15181710000000001</v>
      </c>
      <c r="Z10296">
        <v>-3.404149E-3</v>
      </c>
      <c r="AA10296">
        <v>0.98840269999999997</v>
      </c>
      <c r="AB10296">
        <v>28</v>
      </c>
      <c r="AC10296">
        <v>38.131099999999897</v>
      </c>
      <c r="AD10296">
        <v>-1.120939062131</v>
      </c>
      <c r="AE10296">
        <v>-5.7664999999999997</v>
      </c>
      <c r="AF10296">
        <v>5.8906386043182897</v>
      </c>
      <c r="AG10296">
        <v>-1.120939062131</v>
      </c>
      <c r="AH10296">
        <v>38.079178807578899</v>
      </c>
      <c r="AI10296">
        <v>91.666323731390193</v>
      </c>
      <c r="AJ10296">
        <v>81.206362355021199</v>
      </c>
      <c r="AK10296">
        <v>38.548410942699903</v>
      </c>
      <c r="AL10296">
        <v>93.886154913356194</v>
      </c>
      <c r="AM10296">
        <v>89.260738718141695</v>
      </c>
      <c r="AN10296">
        <v>1.0000000603327801</v>
      </c>
    </row>
    <row r="10297" spans="1:40" x14ac:dyDescent="0.25">
      <c r="A10297" t="str">
        <f>"20190303154041059"</f>
        <v>20190303154041059</v>
      </c>
      <c r="B10297" t="str">
        <f>"1551598841048499"</f>
        <v>1551598841048499</v>
      </c>
      <c r="C10297" t="s">
        <v>40</v>
      </c>
      <c r="D10297">
        <v>4.6774930000000001</v>
      </c>
      <c r="E10297">
        <v>0.55314229999999998</v>
      </c>
      <c r="F10297" t="s">
        <v>42</v>
      </c>
      <c r="G10297">
        <v>-105.45610000000001</v>
      </c>
      <c r="H10297" s="1">
        <v>-3.6813409999999999E-6</v>
      </c>
      <c r="I10297">
        <v>132.2792</v>
      </c>
      <c r="J10297">
        <v>-142.4402</v>
      </c>
      <c r="K10297">
        <v>1.1209389999999999</v>
      </c>
      <c r="L10297">
        <v>137.87360000000001</v>
      </c>
      <c r="M10297">
        <v>0.99988100000000002</v>
      </c>
      <c r="N10297">
        <v>-1.510119E-2</v>
      </c>
      <c r="O10297">
        <v>3.1859000000000002E-3</v>
      </c>
      <c r="P10297">
        <v>0.99651880000000004</v>
      </c>
      <c r="Q10297">
        <v>-8.2757150000000002E-2</v>
      </c>
      <c r="R10297">
        <v>-1.0095399999999999E-2</v>
      </c>
      <c r="S10297">
        <v>2.998672</v>
      </c>
      <c r="T10297">
        <v>-9.0214249999999996E-2</v>
      </c>
      <c r="U10297">
        <v>-0.45018010000000003</v>
      </c>
      <c r="V10297">
        <v>1.324258E-2</v>
      </c>
      <c r="W10297">
        <v>-6.7705119999999994E-2</v>
      </c>
      <c r="X10297">
        <v>0.99761750000000005</v>
      </c>
      <c r="Y10297">
        <v>0.15151129999999999</v>
      </c>
      <c r="Z10297">
        <v>-3.4641670000000002E-3</v>
      </c>
      <c r="AA10297">
        <v>0.98844949999999998</v>
      </c>
      <c r="AB10297">
        <v>28</v>
      </c>
      <c r="AC10297">
        <v>36.984099999999998</v>
      </c>
      <c r="AD10297">
        <v>-1.1209426813409999</v>
      </c>
      <c r="AE10297">
        <v>-5.5944000000000003</v>
      </c>
      <c r="AF10297">
        <v>5.7070872912430399</v>
      </c>
      <c r="AG10297">
        <v>-1.1209426813409999</v>
      </c>
      <c r="AH10297">
        <v>36.932918583567201</v>
      </c>
      <c r="AI10297">
        <v>91.718058972754093</v>
      </c>
      <c r="AJ10297">
        <v>81.215803410223899</v>
      </c>
      <c r="AK10297">
        <v>37.388070730449897</v>
      </c>
      <c r="AL10297">
        <v>93.882187419550803</v>
      </c>
      <c r="AM10297">
        <v>89.239488697956702</v>
      </c>
      <c r="AN10297">
        <v>1.00000001275276</v>
      </c>
    </row>
    <row r="10298" spans="1:40" x14ac:dyDescent="0.25">
      <c r="A10298" t="str">
        <f>"20190303154041081"</f>
        <v>20190303154041081</v>
      </c>
      <c r="B10298" t="str">
        <f>"1551598841078755"</f>
        <v>1551598841078755</v>
      </c>
      <c r="C10298" t="s">
        <v>40</v>
      </c>
      <c r="D10298">
        <v>4.6954129999999896</v>
      </c>
      <c r="E10298">
        <v>0.5528632</v>
      </c>
      <c r="F10298" t="s">
        <v>42</v>
      </c>
      <c r="G10298">
        <v>-105.59990000000001</v>
      </c>
      <c r="H10298" s="1">
        <v>-3.6111800000000001E-6</v>
      </c>
      <c r="I10298">
        <v>132.33539999999999</v>
      </c>
      <c r="J10298">
        <v>-142.16220000000001</v>
      </c>
      <c r="K10298">
        <v>1.1209359999999999</v>
      </c>
      <c r="L10298">
        <v>137.8742</v>
      </c>
      <c r="M10298">
        <v>0.99988149999999998</v>
      </c>
      <c r="N10298">
        <v>-1.510824E-2</v>
      </c>
      <c r="O10298">
        <v>2.9833960000000001E-3</v>
      </c>
      <c r="P10298">
        <v>0.99642759999999997</v>
      </c>
      <c r="Q10298">
        <v>-8.3760219999999996E-2</v>
      </c>
      <c r="R10298">
        <v>-1.0801140000000001E-2</v>
      </c>
      <c r="S10298">
        <v>2.9983059999999999</v>
      </c>
      <c r="T10298">
        <v>-9.1229560000000001E-2</v>
      </c>
      <c r="U10298">
        <v>-0.4507294</v>
      </c>
      <c r="V10298">
        <v>1.374593E-2</v>
      </c>
      <c r="W10298">
        <v>-6.8702559999999996E-2</v>
      </c>
      <c r="X10298">
        <v>0.9975425</v>
      </c>
      <c r="Y10298">
        <v>0.1515039</v>
      </c>
      <c r="Z10298">
        <v>-3.4882730000000001E-3</v>
      </c>
      <c r="AA10298">
        <v>0.98845050000000001</v>
      </c>
      <c r="AB10298">
        <v>28</v>
      </c>
      <c r="AC10298">
        <v>36.5623</v>
      </c>
      <c r="AD10298">
        <v>-1.1209396111799901</v>
      </c>
      <c r="AE10298">
        <v>-5.5388000000000002</v>
      </c>
      <c r="AF10298">
        <v>5.64268284148016</v>
      </c>
      <c r="AG10298">
        <v>-1.1209396111799901</v>
      </c>
      <c r="AH10298">
        <v>36.512061914237599</v>
      </c>
      <c r="AI10298">
        <v>91.737840852488702</v>
      </c>
      <c r="AJ10298">
        <v>81.214839775281604</v>
      </c>
      <c r="AK10298">
        <v>36.962508579512999</v>
      </c>
      <c r="AL10298">
        <v>93.939469899043601</v>
      </c>
      <c r="AM10298">
        <v>89.210525936844903</v>
      </c>
      <c r="AN10298">
        <v>1.00000001582418</v>
      </c>
    </row>
    <row r="10299" spans="1:40" x14ac:dyDescent="0.25">
      <c r="A10299" t="str">
        <f>"20190303154041104"</f>
        <v>20190303154041104</v>
      </c>
      <c r="B10299" t="str">
        <f>"1551598841098275"</f>
        <v>1551598841098275</v>
      </c>
      <c r="C10299" t="s">
        <v>40</v>
      </c>
      <c r="D10299">
        <v>4.7711540000000001</v>
      </c>
      <c r="E10299">
        <v>0.55278719999999903</v>
      </c>
      <c r="F10299" t="s">
        <v>42</v>
      </c>
      <c r="G10299">
        <v>-107.1405</v>
      </c>
      <c r="H10299" s="1">
        <v>-2.9465690000000001E-6</v>
      </c>
      <c r="I10299">
        <v>132.60980000000001</v>
      </c>
      <c r="J10299">
        <v>-141.8819</v>
      </c>
      <c r="K10299">
        <v>1.120938</v>
      </c>
      <c r="L10299">
        <v>137.87479999999999</v>
      </c>
      <c r="M10299">
        <v>0.99988200000000005</v>
      </c>
      <c r="N10299">
        <v>-1.511352E-2</v>
      </c>
      <c r="O10299">
        <v>2.7793549999999998E-3</v>
      </c>
      <c r="P10299">
        <v>0.99634319999999998</v>
      </c>
      <c r="Q10299">
        <v>-8.4604700000000005E-2</v>
      </c>
      <c r="R10299">
        <v>-1.194478E-2</v>
      </c>
      <c r="S10299">
        <v>2.9978030000000002</v>
      </c>
      <c r="T10299">
        <v>-9.5950369999999993E-2</v>
      </c>
      <c r="U10299">
        <v>-0.45062259999999998</v>
      </c>
      <c r="V10299">
        <v>1.468584E-2</v>
      </c>
      <c r="W10299">
        <v>-6.9543350000000004E-2</v>
      </c>
      <c r="X10299">
        <v>0.99747090000000005</v>
      </c>
      <c r="Y10299">
        <v>0.15128320000000001</v>
      </c>
      <c r="Z10299">
        <v>-3.6036879999999999E-3</v>
      </c>
      <c r="AA10299">
        <v>0.98848389999999997</v>
      </c>
      <c r="AB10299">
        <v>28</v>
      </c>
      <c r="AC10299">
        <v>34.741399999999999</v>
      </c>
      <c r="AD10299">
        <v>-1.1209409465689999</v>
      </c>
      <c r="AE10299">
        <v>-5.2649999999999801</v>
      </c>
      <c r="AF10299">
        <v>5.3560985961512904</v>
      </c>
      <c r="AG10299">
        <v>-1.1209409465689999</v>
      </c>
      <c r="AH10299">
        <v>34.691326301134701</v>
      </c>
      <c r="AI10299">
        <v>91.829032617207304</v>
      </c>
      <c r="AJ10299">
        <v>81.223231661874806</v>
      </c>
      <c r="AK10299">
        <v>35.120256566676602</v>
      </c>
      <c r="AL10299">
        <v>93.987758886932198</v>
      </c>
      <c r="AM10299">
        <v>89.156490821544807</v>
      </c>
      <c r="AN10299">
        <v>1.00000007388626</v>
      </c>
    </row>
    <row r="10300" spans="1:40" x14ac:dyDescent="0.25">
      <c r="A10300" t="str">
        <f>"20190303154041138"</f>
        <v>20190303154041138</v>
      </c>
      <c r="B10300" t="str">
        <f>"1551598841128531"</f>
        <v>1551598841128531</v>
      </c>
      <c r="C10300" t="s">
        <v>40</v>
      </c>
      <c r="D10300">
        <v>4.706912</v>
      </c>
      <c r="E10300">
        <v>0.49731379999999997</v>
      </c>
      <c r="F10300" t="s">
        <v>42</v>
      </c>
      <c r="G10300">
        <v>-108.0617</v>
      </c>
      <c r="H10300" s="1">
        <v>-2.5540500000000001E-6</v>
      </c>
      <c r="I10300">
        <v>132.75550000000001</v>
      </c>
      <c r="J10300">
        <v>-141.4717</v>
      </c>
      <c r="K10300">
        <v>1.1209480000000001</v>
      </c>
      <c r="L10300">
        <v>137.87559999999999</v>
      </c>
      <c r="M10300">
        <v>0.99988279999999996</v>
      </c>
      <c r="N10300">
        <v>-1.5118319999999999E-2</v>
      </c>
      <c r="O10300">
        <v>2.480496E-3</v>
      </c>
      <c r="P10300">
        <v>0.99620560000000002</v>
      </c>
      <c r="Q10300">
        <v>-8.5919040000000002E-2</v>
      </c>
      <c r="R10300">
        <v>-1.3873389999999999E-2</v>
      </c>
      <c r="S10300">
        <v>2.997131</v>
      </c>
      <c r="T10300">
        <v>-9.9337220000000004E-2</v>
      </c>
      <c r="U10300">
        <v>-0.45367429999999997</v>
      </c>
      <c r="V10300">
        <v>1.631604E-2</v>
      </c>
      <c r="W10300">
        <v>-7.085545E-2</v>
      </c>
      <c r="X10300">
        <v>0.99735309999999999</v>
      </c>
      <c r="Y10300">
        <v>0.15199699999999999</v>
      </c>
      <c r="Z10300">
        <v>-3.7044019999999999E-3</v>
      </c>
      <c r="AA10300">
        <v>0.98837399999999997</v>
      </c>
      <c r="AB10300">
        <v>28</v>
      </c>
      <c r="AC10300">
        <v>33.409999999999997</v>
      </c>
      <c r="AD10300">
        <v>-1.12095055405</v>
      </c>
      <c r="AE10300">
        <v>-5.1200999999999697</v>
      </c>
      <c r="AF10300">
        <v>5.1972508166261502</v>
      </c>
      <c r="AG10300">
        <v>-1.12095055405</v>
      </c>
      <c r="AH10300">
        <v>33.3605034078792</v>
      </c>
      <c r="AI10300">
        <v>91.901558208741207</v>
      </c>
      <c r="AJ10300">
        <v>81.145040421746302</v>
      </c>
      <c r="AK10300">
        <v>33.781520596661501</v>
      </c>
      <c r="AL10300">
        <v>94.063123078666194</v>
      </c>
      <c r="AM10300">
        <v>89.062762378475</v>
      </c>
      <c r="AN10300">
        <v>0.99999995701779598</v>
      </c>
    </row>
    <row r="10301" spans="1:40" x14ac:dyDescent="0.25">
      <c r="A10301" t="str">
        <f>"20190303154041160"</f>
        <v>20190303154041160</v>
      </c>
      <c r="B10301" t="str">
        <f>"1551598841148052"</f>
        <v>1551598841148052</v>
      </c>
      <c r="C10301" t="s">
        <v>40</v>
      </c>
      <c r="D10301">
        <v>4.7406329999999999</v>
      </c>
      <c r="E10301">
        <v>0.48614550000000001</v>
      </c>
      <c r="F10301" t="s">
        <v>42</v>
      </c>
      <c r="G10301">
        <v>-122.5681</v>
      </c>
      <c r="H10301" s="1">
        <v>-3.5001749999999999E-6</v>
      </c>
      <c r="I10301">
        <v>137.75799999999899</v>
      </c>
      <c r="J10301">
        <v>-141.1962</v>
      </c>
      <c r="K10301">
        <v>1.1209499999999999</v>
      </c>
      <c r="L10301">
        <v>137.87610000000001</v>
      </c>
      <c r="M10301">
        <v>0.99988319999999997</v>
      </c>
      <c r="N10301">
        <v>-1.512002E-2</v>
      </c>
      <c r="O10301">
        <v>2.2796380000000001E-3</v>
      </c>
      <c r="P10301">
        <v>0.99621899999999997</v>
      </c>
      <c r="Q10301">
        <v>-8.5615979999999994E-2</v>
      </c>
      <c r="R10301">
        <v>-1.4756979999999999E-2</v>
      </c>
      <c r="S10301">
        <v>2.9958499999999999</v>
      </c>
      <c r="T10301">
        <v>-0.1776489</v>
      </c>
      <c r="U10301">
        <v>-1.8630979999999998E-2</v>
      </c>
      <c r="V10301">
        <v>1.6999759999999999E-2</v>
      </c>
      <c r="W10301">
        <v>-7.0550749999999995E-2</v>
      </c>
      <c r="X10301">
        <v>0.99736329999999995</v>
      </c>
      <c r="Y10301">
        <v>8.4777299999999993E-3</v>
      </c>
      <c r="Z10301">
        <v>-4.1591300000000001E-4</v>
      </c>
      <c r="AA10301">
        <v>0.99996399999999996</v>
      </c>
      <c r="AB10301">
        <v>28</v>
      </c>
      <c r="AC10301">
        <v>18.6281</v>
      </c>
      <c r="AD10301">
        <v>-1.120953500175</v>
      </c>
      <c r="AE10301">
        <v>-0.118100000000026</v>
      </c>
      <c r="AF10301">
        <v>0.15999055259609599</v>
      </c>
      <c r="AG10301">
        <v>-1.120953500175</v>
      </c>
      <c r="AH10301">
        <v>18.5605757090804</v>
      </c>
      <c r="AI10301">
        <v>93.456014043177206</v>
      </c>
      <c r="AJ10301">
        <v>89.506127582464202</v>
      </c>
      <c r="AK10301">
        <v>18.595082801078899</v>
      </c>
      <c r="AL10301">
        <v>94.045621176197599</v>
      </c>
      <c r="AM10301">
        <v>89.023505082845602</v>
      </c>
      <c r="AN10301">
        <v>0.99999997617625402</v>
      </c>
    </row>
    <row r="10302" spans="1:40" x14ac:dyDescent="0.25">
      <c r="A10302" t="str">
        <f>"20190303154041185"</f>
        <v>20190303154041185</v>
      </c>
      <c r="B10302" t="str">
        <f>"1551598841178308"</f>
        <v>1551598841178308</v>
      </c>
      <c r="C10302" t="s">
        <v>40</v>
      </c>
      <c r="D10302">
        <v>4.7395949999999996</v>
      </c>
      <c r="E10302">
        <v>0.48163909999999999</v>
      </c>
      <c r="F10302" t="s">
        <v>42</v>
      </c>
      <c r="G10302">
        <v>-123.9671</v>
      </c>
      <c r="H10302" s="1">
        <v>-2.8101130000000001E-6</v>
      </c>
      <c r="I10302">
        <v>138.26499999999999</v>
      </c>
      <c r="J10302">
        <v>-140.8931</v>
      </c>
      <c r="K10302">
        <v>1.1209549999999999</v>
      </c>
      <c r="L10302">
        <v>137.87649999999999</v>
      </c>
      <c r="M10302">
        <v>0.99988370000000004</v>
      </c>
      <c r="N10302">
        <v>-1.5120710000000001E-2</v>
      </c>
      <c r="O10302">
        <v>2.0585239999999999E-3</v>
      </c>
      <c r="P10302">
        <v>0.99619449999999998</v>
      </c>
      <c r="Q10302">
        <v>-8.5743470000000002E-2</v>
      </c>
      <c r="R10302">
        <v>-1.5639449999999999E-2</v>
      </c>
      <c r="S10302">
        <v>2.9956510000000001</v>
      </c>
      <c r="T10302">
        <v>-0.19490099999999999</v>
      </c>
      <c r="U10302">
        <v>6.7626950000000005E-2</v>
      </c>
      <c r="V10302">
        <v>1.7662029999999999E-2</v>
      </c>
      <c r="W10302">
        <v>-7.0678160000000004E-2</v>
      </c>
      <c r="X10302">
        <v>0.99734279999999997</v>
      </c>
      <c r="Y10302">
        <v>-2.0460260000000001E-2</v>
      </c>
      <c r="Z10302">
        <v>7.1704319999999996E-4</v>
      </c>
      <c r="AA10302">
        <v>0.99979039999999997</v>
      </c>
      <c r="AB10302">
        <v>28</v>
      </c>
      <c r="AC10302">
        <v>16.925999999999998</v>
      </c>
      <c r="AD10302">
        <v>-1.120957810113</v>
      </c>
      <c r="AE10302">
        <v>0.38849999999999302</v>
      </c>
      <c r="AF10302">
        <v>-0.35210907901496602</v>
      </c>
      <c r="AG10302">
        <v>-1.120957810113</v>
      </c>
      <c r="AH10302">
        <v>16.852885911325401</v>
      </c>
      <c r="AI10302">
        <v>93.804555216064998</v>
      </c>
      <c r="AJ10302">
        <v>91.196912476255307</v>
      </c>
      <c r="AK10302">
        <v>16.893794445172201</v>
      </c>
      <c r="AL10302">
        <v>94.052939382839696</v>
      </c>
      <c r="AM10302">
        <v>88.985450129039506</v>
      </c>
      <c r="AN10302">
        <v>1.00000000515827</v>
      </c>
    </row>
    <row r="10303" spans="1:40" x14ac:dyDescent="0.25">
      <c r="A10303" t="str">
        <f>"20190303154041206"</f>
        <v>20190303154041206</v>
      </c>
      <c r="B10303" t="str">
        <f>"1551598841198803"</f>
        <v>1551598841198803</v>
      </c>
      <c r="C10303" t="s">
        <v>40</v>
      </c>
      <c r="D10303">
        <v>4.7020629999999999</v>
      </c>
      <c r="E10303">
        <v>0.48012120000000003</v>
      </c>
      <c r="F10303" t="s">
        <v>42</v>
      </c>
      <c r="G10303">
        <v>-124.73050000000001</v>
      </c>
      <c r="H10303" s="1">
        <v>-2.4553279999999999E-6</v>
      </c>
      <c r="I10303">
        <v>138.4187</v>
      </c>
      <c r="J10303">
        <v>-140.6311</v>
      </c>
      <c r="K10303">
        <v>1.1209559999999901</v>
      </c>
      <c r="L10303">
        <v>137.8768</v>
      </c>
      <c r="M10303">
        <v>0.99988410000000005</v>
      </c>
      <c r="N10303">
        <v>-1.512017E-2</v>
      </c>
      <c r="O10303">
        <v>1.8670990000000001E-3</v>
      </c>
      <c r="P10303">
        <v>0.99619159999999995</v>
      </c>
      <c r="Q10303">
        <v>-8.5642280000000001E-2</v>
      </c>
      <c r="R10303">
        <v>-1.637158E-2</v>
      </c>
      <c r="S10303">
        <v>2.9951780000000001</v>
      </c>
      <c r="T10303">
        <v>-0.2077312</v>
      </c>
      <c r="U10303">
        <v>0.1004791</v>
      </c>
      <c r="V10303">
        <v>1.8203509999999999E-2</v>
      </c>
      <c r="W10303">
        <v>-7.0577710000000002E-2</v>
      </c>
      <c r="X10303">
        <v>0.99734009999999995</v>
      </c>
      <c r="Y10303">
        <v>-3.157219E-2</v>
      </c>
      <c r="Z10303">
        <v>1.231244E-3</v>
      </c>
      <c r="AA10303">
        <v>0.99950070000000002</v>
      </c>
      <c r="AB10303">
        <v>27</v>
      </c>
      <c r="AC10303">
        <v>15.900599999999899</v>
      </c>
      <c r="AD10303">
        <v>-1.1209584553280001</v>
      </c>
      <c r="AE10303">
        <v>0.54189999999999805</v>
      </c>
      <c r="AF10303">
        <v>-0.50967753827775697</v>
      </c>
      <c r="AG10303">
        <v>-1.1209584553280001</v>
      </c>
      <c r="AH10303">
        <v>15.823035712766</v>
      </c>
      <c r="AI10303">
        <v>94.050167047544605</v>
      </c>
      <c r="AJ10303">
        <v>91.844922742634793</v>
      </c>
      <c r="AK10303">
        <v>15.870878306479</v>
      </c>
      <c r="AL10303">
        <v>94.047169925944502</v>
      </c>
      <c r="AM10303">
        <v>88.954350176676598</v>
      </c>
      <c r="AN10303">
        <v>0.99999992799658399</v>
      </c>
    </row>
    <row r="10304" spans="1:40" x14ac:dyDescent="0.25">
      <c r="A10304" t="str">
        <f>"20190303154041228"</f>
        <v>20190303154041228</v>
      </c>
      <c r="B10304" t="str">
        <f>"1551598841218323"</f>
        <v>1551598841218323</v>
      </c>
      <c r="C10304" t="s">
        <v>40</v>
      </c>
      <c r="D10304">
        <v>4.7090120000000004</v>
      </c>
      <c r="E10304">
        <v>0.4790566</v>
      </c>
      <c r="F10304" t="s">
        <v>42</v>
      </c>
      <c r="G10304">
        <v>-124.7756</v>
      </c>
      <c r="H10304" s="1">
        <v>-2.4284669999999999E-6</v>
      </c>
      <c r="I10304">
        <v>138.46109999999999</v>
      </c>
      <c r="J10304">
        <v>-140.36099999999999</v>
      </c>
      <c r="K10304">
        <v>1.1209610000000001</v>
      </c>
      <c r="L10304">
        <v>137.87710000000001</v>
      </c>
      <c r="M10304">
        <v>0.99988440000000001</v>
      </c>
      <c r="N10304">
        <v>-1.5118680000000001E-2</v>
      </c>
      <c r="O10304">
        <v>1.6688779999999999E-3</v>
      </c>
      <c r="P10304">
        <v>0.99616850000000001</v>
      </c>
      <c r="Q10304">
        <v>-8.5840169999999993E-2</v>
      </c>
      <c r="R10304">
        <v>-1.673256E-2</v>
      </c>
      <c r="S10304">
        <v>2.9950709999999998</v>
      </c>
      <c r="T10304">
        <v>-0.21174570000000001</v>
      </c>
      <c r="U10304">
        <v>0.1103821</v>
      </c>
      <c r="V10304">
        <v>1.8366779999999999E-2</v>
      </c>
      <c r="W10304">
        <v>-7.0777419999999994E-2</v>
      </c>
      <c r="X10304">
        <v>0.99732299999999996</v>
      </c>
      <c r="Y10304">
        <v>-3.5058010000000001E-2</v>
      </c>
      <c r="Z10304">
        <v>1.4102260000000001E-3</v>
      </c>
      <c r="AA10304">
        <v>0.9993843</v>
      </c>
      <c r="AB10304">
        <v>27</v>
      </c>
      <c r="AC10304">
        <v>15.5853999999999</v>
      </c>
      <c r="AD10304">
        <v>-1.120963428467</v>
      </c>
      <c r="AE10304">
        <v>0.58399999999997398</v>
      </c>
      <c r="AF10304">
        <v>-0.55511845330931997</v>
      </c>
      <c r="AG10304">
        <v>-1.120963428467</v>
      </c>
      <c r="AH10304">
        <v>15.5062508292436</v>
      </c>
      <c r="AI10304">
        <v>94.132142417963394</v>
      </c>
      <c r="AJ10304">
        <v>92.0502936287225</v>
      </c>
      <c r="AK10304">
        <v>15.556623357418699</v>
      </c>
      <c r="AL10304">
        <v>94.058640966740796</v>
      </c>
      <c r="AM10304">
        <v>88.944955612347798</v>
      </c>
      <c r="AN10304">
        <v>0.99999997405921104</v>
      </c>
    </row>
    <row r="10305" spans="1:40" x14ac:dyDescent="0.25">
      <c r="A10305" t="str">
        <f>"20190303154041250"</f>
        <v>20190303154041250</v>
      </c>
      <c r="B10305" t="str">
        <f>"1551598841238820"</f>
        <v>1551598841238820</v>
      </c>
      <c r="C10305" t="s">
        <v>40</v>
      </c>
      <c r="D10305">
        <v>4.7471990000000002</v>
      </c>
      <c r="E10305">
        <v>0.47845779999999899</v>
      </c>
      <c r="F10305" t="s">
        <v>42</v>
      </c>
      <c r="G10305">
        <v>-124.7379</v>
      </c>
      <c r="H10305" s="1">
        <v>-2.4392739999999998E-6</v>
      </c>
      <c r="I10305">
        <v>138.49119999999999</v>
      </c>
      <c r="J10305">
        <v>-140.10210000000001</v>
      </c>
      <c r="K10305">
        <v>1.12096</v>
      </c>
      <c r="L10305">
        <v>137.87729999999999</v>
      </c>
      <c r="M10305">
        <v>0.99988469999999996</v>
      </c>
      <c r="N10305">
        <v>-1.5116549999999999E-2</v>
      </c>
      <c r="O10305">
        <v>1.47463E-3</v>
      </c>
      <c r="P10305">
        <v>0.99615779999999998</v>
      </c>
      <c r="Q10305">
        <v>-8.5958240000000005E-2</v>
      </c>
      <c r="R10305">
        <v>-1.6762240000000001E-2</v>
      </c>
      <c r="S10305">
        <v>2.9949949999999999</v>
      </c>
      <c r="T10305">
        <v>-0.21489249999999999</v>
      </c>
      <c r="U10305">
        <v>0.1177368</v>
      </c>
      <c r="V10305">
        <v>1.8202690000000001E-2</v>
      </c>
      <c r="W10305">
        <v>-7.0897699999999994E-2</v>
      </c>
      <c r="X10305">
        <v>0.99731749999999997</v>
      </c>
      <c r="Y10305">
        <v>-3.7692290000000003E-2</v>
      </c>
      <c r="Z10305">
        <v>1.5520569999999999E-3</v>
      </c>
      <c r="AA10305">
        <v>0.99928819999999996</v>
      </c>
      <c r="AB10305">
        <v>27</v>
      </c>
      <c r="AC10305">
        <v>15.3642</v>
      </c>
      <c r="AD10305">
        <v>-1.1209624392740001</v>
      </c>
      <c r="AE10305">
        <v>0.613900000000001</v>
      </c>
      <c r="AF10305">
        <v>-0.588114648512019</v>
      </c>
      <c r="AG10305">
        <v>-1.1209624392740001</v>
      </c>
      <c r="AH10305">
        <v>15.283861280380499</v>
      </c>
      <c r="AI10305">
        <v>94.191635983080801</v>
      </c>
      <c r="AJ10305">
        <v>92.203623172366093</v>
      </c>
      <c r="AK10305">
        <v>15.336194158524901</v>
      </c>
      <c r="AL10305">
        <v>94.065549717890704</v>
      </c>
      <c r="AM10305">
        <v>88.9543735799096</v>
      </c>
      <c r="AN10305">
        <v>1.0000000087973799</v>
      </c>
    </row>
    <row r="10306" spans="1:40" x14ac:dyDescent="0.25">
      <c r="A10306" t="str">
        <f>"20190303154041272"</f>
        <v>20190303154041272</v>
      </c>
      <c r="B10306" t="str">
        <f>"1551598841268100"</f>
        <v>1551598841268100</v>
      </c>
      <c r="C10306" t="s">
        <v>40</v>
      </c>
      <c r="D10306">
        <v>4.7465380000000001</v>
      </c>
      <c r="E10306">
        <v>0.47771910000000001</v>
      </c>
      <c r="F10306" t="s">
        <v>42</v>
      </c>
      <c r="G10306">
        <v>-124.61069999999999</v>
      </c>
      <c r="H10306" s="1">
        <v>-2.4904100000000002E-6</v>
      </c>
      <c r="I10306">
        <v>138.51060000000001</v>
      </c>
      <c r="J10306">
        <v>-139.83240000000001</v>
      </c>
      <c r="K10306">
        <v>1.120957</v>
      </c>
      <c r="L10306">
        <v>137.8775</v>
      </c>
      <c r="M10306">
        <v>0.99988509999999997</v>
      </c>
      <c r="N10306">
        <v>-1.5113740000000001E-2</v>
      </c>
      <c r="O10306">
        <v>1.2626149999999999E-3</v>
      </c>
      <c r="P10306">
        <v>0.99615940000000003</v>
      </c>
      <c r="Q10306">
        <v>-8.5883020000000004E-2</v>
      </c>
      <c r="R10306">
        <v>-1.7052419999999999E-2</v>
      </c>
      <c r="S10306">
        <v>2.9949490000000001</v>
      </c>
      <c r="T10306">
        <v>-0.2167152</v>
      </c>
      <c r="U10306">
        <v>0.1224365</v>
      </c>
      <c r="V10306">
        <v>1.828082E-2</v>
      </c>
      <c r="W10306">
        <v>-7.0825470000000001E-2</v>
      </c>
      <c r="X10306">
        <v>0.99732120000000002</v>
      </c>
      <c r="Y10306">
        <v>-3.94626E-2</v>
      </c>
      <c r="Z10306">
        <v>1.6519810000000001E-3</v>
      </c>
      <c r="AA10306">
        <v>0.99921970000000004</v>
      </c>
      <c r="AB10306">
        <v>27</v>
      </c>
      <c r="AC10306">
        <v>15.2217</v>
      </c>
      <c r="AD10306">
        <v>-1.12095949041</v>
      </c>
      <c r="AE10306">
        <v>0.63310000000001299</v>
      </c>
      <c r="AF10306">
        <v>-0.61057263199848699</v>
      </c>
      <c r="AG10306">
        <v>-1.12095949041</v>
      </c>
      <c r="AH10306">
        <v>15.1405194443499</v>
      </c>
      <c r="AI10306">
        <v>94.230859041427607</v>
      </c>
      <c r="AJ10306">
        <v>92.309319005139102</v>
      </c>
      <c r="AK10306">
        <v>15.1942317398026</v>
      </c>
      <c r="AL10306">
        <v>94.061400826379895</v>
      </c>
      <c r="AM10306">
        <v>88.949890416244401</v>
      </c>
      <c r="AN10306">
        <v>1.00000000577501</v>
      </c>
    </row>
    <row r="10307" spans="1:40" x14ac:dyDescent="0.25">
      <c r="A10307" t="str">
        <f>"20190303154041295"</f>
        <v>20190303154041295</v>
      </c>
      <c r="B10307" t="str">
        <f>"1551598841288128"</f>
        <v>1551598841288128</v>
      </c>
      <c r="C10307" t="s">
        <v>40</v>
      </c>
      <c r="D10307">
        <v>4.7452540000000001</v>
      </c>
      <c r="E10307">
        <v>0.47726689999999999</v>
      </c>
      <c r="F10307" t="s">
        <v>42</v>
      </c>
      <c r="G10307">
        <v>-124.4606</v>
      </c>
      <c r="H10307" s="1">
        <v>-2.5512069999999998E-6</v>
      </c>
      <c r="I10307">
        <v>138.53100000000001</v>
      </c>
      <c r="J10307">
        <v>-139.54130000000001</v>
      </c>
      <c r="K10307">
        <v>1.120954</v>
      </c>
      <c r="L10307">
        <v>137.8776</v>
      </c>
      <c r="M10307">
        <v>0.99988529999999998</v>
      </c>
      <c r="N10307">
        <v>-1.5110159999999999E-2</v>
      </c>
      <c r="O10307">
        <v>1.0215689999999999E-3</v>
      </c>
      <c r="P10307">
        <v>0.996174</v>
      </c>
      <c r="Q10307">
        <v>-8.5645040000000006E-2</v>
      </c>
      <c r="R10307">
        <v>-1.7388089999999998E-2</v>
      </c>
      <c r="S10307">
        <v>2.9949189999999999</v>
      </c>
      <c r="T10307">
        <v>-0.21839829999999999</v>
      </c>
      <c r="U10307">
        <v>0.12733459999999999</v>
      </c>
      <c r="V10307">
        <v>1.8374950000000001E-2</v>
      </c>
      <c r="W10307">
        <v>-7.0591260000000003E-2</v>
      </c>
      <c r="X10307">
        <v>0.99733609999999995</v>
      </c>
      <c r="Y10307">
        <v>-4.1327080000000002E-2</v>
      </c>
      <c r="Z10307">
        <v>1.75811E-3</v>
      </c>
      <c r="AA10307">
        <v>0.99914409999999998</v>
      </c>
      <c r="AB10307">
        <v>27</v>
      </c>
      <c r="AC10307">
        <v>15.0807</v>
      </c>
      <c r="AD10307">
        <v>-1.1209565512070001</v>
      </c>
      <c r="AE10307">
        <v>0.65340000000000398</v>
      </c>
      <c r="AF10307">
        <v>-0.63449290092589605</v>
      </c>
      <c r="AG10307">
        <v>-1.1209565512070001</v>
      </c>
      <c r="AH10307">
        <v>14.998647009535199</v>
      </c>
      <c r="AI10307">
        <v>94.270373458218103</v>
      </c>
      <c r="AJ10307">
        <v>92.422358675640993</v>
      </c>
      <c r="AK10307">
        <v>15.0538545544873</v>
      </c>
      <c r="AL10307">
        <v>94.047947809140794</v>
      </c>
      <c r="AM10307">
        <v>88.944500269570895</v>
      </c>
      <c r="AN10307">
        <v>1.00000003056954</v>
      </c>
    </row>
    <row r="10308" spans="1:40" x14ac:dyDescent="0.25">
      <c r="A10308" t="str">
        <f>"20190303154041317"</f>
        <v>20190303154041317</v>
      </c>
      <c r="B10308" t="str">
        <f>"1551598841308624"</f>
        <v>1551598841308624</v>
      </c>
      <c r="C10308" t="s">
        <v>40</v>
      </c>
      <c r="D10308">
        <v>4.7552240000000001</v>
      </c>
      <c r="E10308">
        <v>0.47682839999999999</v>
      </c>
      <c r="F10308" t="s">
        <v>42</v>
      </c>
      <c r="G10308">
        <v>-124.1418</v>
      </c>
      <c r="H10308" s="1">
        <v>-2.6854039999999998E-6</v>
      </c>
      <c r="I10308">
        <v>138.5455</v>
      </c>
      <c r="J10308">
        <v>-139.2867</v>
      </c>
      <c r="K10308">
        <v>1.120949</v>
      </c>
      <c r="L10308">
        <v>137.8776</v>
      </c>
      <c r="M10308">
        <v>0.99988560000000004</v>
      </c>
      <c r="N10308">
        <v>-1.5106649999999999E-2</v>
      </c>
      <c r="O10308">
        <v>7.9219999999999996E-4</v>
      </c>
      <c r="P10308">
        <v>0.99608240000000003</v>
      </c>
      <c r="Q10308">
        <v>-8.6636989999999997E-2</v>
      </c>
      <c r="R10308">
        <v>-1.7722849999999998E-2</v>
      </c>
      <c r="S10308">
        <v>2.9950410000000001</v>
      </c>
      <c r="T10308">
        <v>-0.2180134</v>
      </c>
      <c r="U10308">
        <v>0.12991330000000001</v>
      </c>
      <c r="V10308">
        <v>1.847857E-2</v>
      </c>
      <c r="W10308">
        <v>-7.1588490000000005E-2</v>
      </c>
      <c r="X10308">
        <v>0.99726309999999996</v>
      </c>
      <c r="Y10308">
        <v>-4.2409809999999999E-2</v>
      </c>
      <c r="Z10308">
        <v>1.8161780000000001E-3</v>
      </c>
      <c r="AA10308">
        <v>0.99909870000000001</v>
      </c>
      <c r="AB10308">
        <v>27</v>
      </c>
      <c r="AC10308">
        <v>15.1448999999999</v>
      </c>
      <c r="AD10308">
        <v>-1.120951685404</v>
      </c>
      <c r="AE10308">
        <v>0.66790000000000205</v>
      </c>
      <c r="AF10308">
        <v>-0.65233392731699003</v>
      </c>
      <c r="AG10308">
        <v>-1.120951685404</v>
      </c>
      <c r="AH10308">
        <v>15.063065522808399</v>
      </c>
      <c r="AI10308">
        <v>94.251977924790694</v>
      </c>
      <c r="AJ10308">
        <v>92.479750291260402</v>
      </c>
      <c r="AK10308">
        <v>15.1187967503422</v>
      </c>
      <c r="AL10308">
        <v>94.105229810574997</v>
      </c>
      <c r="AM10308">
        <v>88.938471773731607</v>
      </c>
      <c r="AN10308">
        <v>1.00000003003566</v>
      </c>
    </row>
    <row r="10309" spans="1:40" x14ac:dyDescent="0.25">
      <c r="A10309" t="str">
        <f>"20190303154041339"</f>
        <v>20190303154041339</v>
      </c>
      <c r="B10309" t="str">
        <f>"1551598841328144"</f>
        <v>1551598841328144</v>
      </c>
      <c r="C10309" t="s">
        <v>40</v>
      </c>
      <c r="D10309">
        <v>4.7830180000000002</v>
      </c>
      <c r="E10309">
        <v>0.47632920000000001</v>
      </c>
      <c r="F10309" t="s">
        <v>42</v>
      </c>
      <c r="G10309">
        <v>-124.1746</v>
      </c>
      <c r="H10309" s="1">
        <v>-2.671331E-6</v>
      </c>
      <c r="I10309">
        <v>138.5454</v>
      </c>
      <c r="J10309">
        <v>-139.01390000000001</v>
      </c>
      <c r="K10309">
        <v>1.1209279999999999</v>
      </c>
      <c r="L10309">
        <v>137.8775</v>
      </c>
      <c r="M10309">
        <v>0.99988589999999999</v>
      </c>
      <c r="N10309">
        <v>-1.5102519999999999E-2</v>
      </c>
      <c r="O10309">
        <v>5.1331819999999998E-4</v>
      </c>
      <c r="P10309">
        <v>0.99612330000000004</v>
      </c>
      <c r="Q10309">
        <v>-8.6210110000000006E-2</v>
      </c>
      <c r="R10309">
        <v>-1.7508059999999999E-2</v>
      </c>
      <c r="S10309">
        <v>2.9948269999999999</v>
      </c>
      <c r="T10309">
        <v>-0.22214339999999999</v>
      </c>
      <c r="U10309">
        <v>0.13235469999999999</v>
      </c>
      <c r="V10309">
        <v>1.7982519999999998E-2</v>
      </c>
      <c r="W10309">
        <v>-7.1165759999999995E-2</v>
      </c>
      <c r="X10309">
        <v>0.99730240000000003</v>
      </c>
      <c r="Y10309">
        <v>-4.349571E-2</v>
      </c>
      <c r="Z10309">
        <v>1.909071E-3</v>
      </c>
      <c r="AA10309">
        <v>0.99905180000000005</v>
      </c>
      <c r="AB10309">
        <v>27</v>
      </c>
      <c r="AC10309">
        <v>14.8393</v>
      </c>
      <c r="AD10309">
        <v>-1.1209306713310001</v>
      </c>
      <c r="AE10309">
        <v>0.66790000000000205</v>
      </c>
      <c r="AF10309">
        <v>-0.65654310918148195</v>
      </c>
      <c r="AG10309">
        <v>-1.1209306713310001</v>
      </c>
      <c r="AH10309">
        <v>14.7556158145061</v>
      </c>
      <c r="AI10309">
        <v>94.339931496785098</v>
      </c>
      <c r="AJ10309">
        <v>92.547664216497296</v>
      </c>
      <c r="AK10309">
        <v>14.812688226296</v>
      </c>
      <c r="AL10309">
        <v>94.080947326361795</v>
      </c>
      <c r="AM10309">
        <v>88.967002523653605</v>
      </c>
      <c r="AN10309">
        <v>1.0000000067338399</v>
      </c>
    </row>
    <row r="10310" spans="1:40" x14ac:dyDescent="0.25">
      <c r="A10310" t="str">
        <f>"20190303154041361"</f>
        <v>20190303154041361</v>
      </c>
      <c r="B10310" t="str">
        <f>"1551598841348640"</f>
        <v>1551598841348640</v>
      </c>
      <c r="C10310" t="s">
        <v>40</v>
      </c>
      <c r="D10310">
        <v>4.7915760000000001</v>
      </c>
      <c r="E10310">
        <v>0.47588429999999998</v>
      </c>
      <c r="F10310" t="s">
        <v>42</v>
      </c>
      <c r="G10310">
        <v>-123.93389999999999</v>
      </c>
      <c r="H10310" s="1">
        <v>-2.7707879999999999E-6</v>
      </c>
      <c r="I10310">
        <v>138.56700000000001</v>
      </c>
      <c r="J10310">
        <v>-138.75049999999999</v>
      </c>
      <c r="K10310">
        <v>1.1208990000000001</v>
      </c>
      <c r="L10310">
        <v>137.87729999999999</v>
      </c>
      <c r="M10310">
        <v>0.99988600000000005</v>
      </c>
      <c r="N10310">
        <v>-1.509828E-2</v>
      </c>
      <c r="O10310">
        <v>1.962108E-4</v>
      </c>
      <c r="P10310">
        <v>0.996224</v>
      </c>
      <c r="Q10310">
        <v>-8.5053000000000004E-2</v>
      </c>
      <c r="R10310">
        <v>-1.7435599999999999E-2</v>
      </c>
      <c r="S10310">
        <v>2.9947810000000001</v>
      </c>
      <c r="T10310">
        <v>-0.2226081</v>
      </c>
      <c r="U10310">
        <v>0.13693239999999901</v>
      </c>
      <c r="V10310">
        <v>1.7589480000000001E-2</v>
      </c>
      <c r="W10310">
        <v>-7.0012569999999996E-2</v>
      </c>
      <c r="X10310">
        <v>0.99739100000000003</v>
      </c>
      <c r="Y10310">
        <v>-4.5329990000000001E-2</v>
      </c>
      <c r="Z10310">
        <v>2.012907E-3</v>
      </c>
      <c r="AA10310">
        <v>0.99897000000000002</v>
      </c>
      <c r="AB10310">
        <v>27</v>
      </c>
      <c r="AC10310">
        <v>14.8165999999999</v>
      </c>
      <c r="AD10310">
        <v>-1.12090177078799</v>
      </c>
      <c r="AE10310">
        <v>0.68970000000001597</v>
      </c>
      <c r="AF10310">
        <v>-0.68289260607639102</v>
      </c>
      <c r="AG10310">
        <v>-1.12090177078799</v>
      </c>
      <c r="AH10310">
        <v>14.732599926379599</v>
      </c>
      <c r="AI10310">
        <v>94.34620924827</v>
      </c>
      <c r="AJ10310">
        <v>92.653902122403295</v>
      </c>
      <c r="AK10310">
        <v>14.7909520884205</v>
      </c>
      <c r="AL10310">
        <v>94.014709284514794</v>
      </c>
      <c r="AM10310">
        <v>88.989665529159595</v>
      </c>
      <c r="AN10310">
        <v>0.99999997832283705</v>
      </c>
    </row>
    <row r="10311" spans="1:40" x14ac:dyDescent="0.25">
      <c r="A10311" t="str">
        <f>"20190303154041384"</f>
        <v>20190303154041384</v>
      </c>
      <c r="B10311" t="str">
        <f>"1551598841378908"</f>
        <v>1551598841378908</v>
      </c>
      <c r="C10311" t="s">
        <v>40</v>
      </c>
      <c r="D10311">
        <v>4.7877179999999999</v>
      </c>
      <c r="E10311">
        <v>0.4752905</v>
      </c>
      <c r="F10311" t="s">
        <v>42</v>
      </c>
      <c r="G10311">
        <v>-123.5311</v>
      </c>
      <c r="H10311" s="1">
        <v>-2.939116E-6</v>
      </c>
      <c r="I10311">
        <v>138.59209999999999</v>
      </c>
      <c r="J10311">
        <v>-138.47669999999999</v>
      </c>
      <c r="K10311">
        <v>1.120857</v>
      </c>
      <c r="L10311">
        <v>137.87690000000001</v>
      </c>
      <c r="M10311">
        <v>0.99988600000000005</v>
      </c>
      <c r="N10311">
        <v>-1.5093799999999999E-2</v>
      </c>
      <c r="O10311">
        <v>-2.0009920000000001E-4</v>
      </c>
      <c r="P10311">
        <v>0.99630090000000004</v>
      </c>
      <c r="Q10311">
        <v>-8.3992090000000005E-2</v>
      </c>
      <c r="R10311">
        <v>-1.8159689999999999E-2</v>
      </c>
      <c r="S10311">
        <v>2.9949949999999999</v>
      </c>
      <c r="T10311">
        <v>-0.2205799</v>
      </c>
      <c r="U10311">
        <v>0.14067079999999901</v>
      </c>
      <c r="V10311">
        <v>1.7911590000000002E-2</v>
      </c>
      <c r="W10311">
        <v>-6.8957210000000005E-2</v>
      </c>
      <c r="X10311">
        <v>0.99745879999999998</v>
      </c>
      <c r="Y10311">
        <v>-4.6963390000000001E-2</v>
      </c>
      <c r="Z10311">
        <v>2.0930419999999998E-3</v>
      </c>
      <c r="AA10311">
        <v>0.99889439999999996</v>
      </c>
      <c r="AB10311">
        <v>27</v>
      </c>
      <c r="AC10311">
        <v>14.945600000000001</v>
      </c>
      <c r="AD10311">
        <v>-1.1208599391159999</v>
      </c>
      <c r="AE10311">
        <v>0.71519999999998096</v>
      </c>
      <c r="AF10311">
        <v>-0.71418325628686596</v>
      </c>
      <c r="AG10311">
        <v>-1.1208599391159999</v>
      </c>
      <c r="AH10311">
        <v>14.862057439755199</v>
      </c>
      <c r="AI10311">
        <v>94.307990150643704</v>
      </c>
      <c r="AJ10311">
        <v>92.751182524904195</v>
      </c>
      <c r="AK10311">
        <v>14.921365087325601</v>
      </c>
      <c r="AL10311">
        <v>93.954095056855493</v>
      </c>
      <c r="AM10311">
        <v>88.971237485733297</v>
      </c>
      <c r="AN10311">
        <v>0.99999998978237603</v>
      </c>
    </row>
    <row r="10312" spans="1:40" x14ac:dyDescent="0.25">
      <c r="A10312" t="str">
        <f>"20190303154041410"</f>
        <v>20190303154041410</v>
      </c>
      <c r="B10312" t="str">
        <f>"1551598841398416"</f>
        <v>1551598841398416</v>
      </c>
      <c r="C10312" t="s">
        <v>40</v>
      </c>
      <c r="D10312">
        <v>4.8074589999999997</v>
      </c>
      <c r="E10312">
        <v>0.47490250000000001</v>
      </c>
      <c r="F10312" t="s">
        <v>42</v>
      </c>
      <c r="G10312">
        <v>-123.2774</v>
      </c>
      <c r="H10312" s="1">
        <v>-3.0459069999999999E-6</v>
      </c>
      <c r="I10312">
        <v>138.6036</v>
      </c>
      <c r="J10312">
        <v>-138.16980000000001</v>
      </c>
      <c r="K10312">
        <v>1.1207879999999999</v>
      </c>
      <c r="L10312">
        <v>137.87629999999999</v>
      </c>
      <c r="M10312">
        <v>0.99988589999999999</v>
      </c>
      <c r="N10312">
        <v>-1.508872E-2</v>
      </c>
      <c r="O10312">
        <v>-7.4027899999999896E-4</v>
      </c>
      <c r="P10312">
        <v>0.99631369999999997</v>
      </c>
      <c r="Q10312">
        <v>-8.3602789999999996E-2</v>
      </c>
      <c r="R10312">
        <v>-1.922575E-2</v>
      </c>
      <c r="S10312">
        <v>2.9951319999999999</v>
      </c>
      <c r="T10312">
        <v>-0.2208735</v>
      </c>
      <c r="U10312">
        <v>0.14320369999999999</v>
      </c>
      <c r="V10312">
        <v>1.8428320000000002E-2</v>
      </c>
      <c r="W10312">
        <v>-6.8576070000000003E-2</v>
      </c>
      <c r="X10312">
        <v>0.99747569999999997</v>
      </c>
      <c r="Y10312">
        <v>-4.8337949999999998E-2</v>
      </c>
      <c r="Z10312">
        <v>2.1877289999999998E-3</v>
      </c>
      <c r="AA10312">
        <v>0.99882859999999996</v>
      </c>
      <c r="AB10312">
        <v>27</v>
      </c>
      <c r="AC10312">
        <v>14.8924</v>
      </c>
      <c r="AD10312">
        <v>-1.1207910459069901</v>
      </c>
      <c r="AE10312">
        <v>0.72730000000001305</v>
      </c>
      <c r="AF10312">
        <v>-0.73417713349265501</v>
      </c>
      <c r="AG10312">
        <v>-1.1207910459069901</v>
      </c>
      <c r="AH10312">
        <v>14.808184104771399</v>
      </c>
      <c r="AI10312">
        <v>94.323019031120594</v>
      </c>
      <c r="AJ10312">
        <v>92.8383517426265</v>
      </c>
      <c r="AK10312">
        <v>14.8686752978446</v>
      </c>
      <c r="AL10312">
        <v>93.932205382081904</v>
      </c>
      <c r="AM10312">
        <v>88.941583385515202</v>
      </c>
      <c r="AN10312">
        <v>1.0000000262225699</v>
      </c>
    </row>
    <row r="10313" spans="1:40" x14ac:dyDescent="0.25">
      <c r="A10313" t="str">
        <f>"20190303154041429"</f>
        <v>20190303154041429</v>
      </c>
      <c r="B10313" t="str">
        <f>"1551598841418912"</f>
        <v>1551598841418912</v>
      </c>
      <c r="C10313" t="s">
        <v>40</v>
      </c>
      <c r="D10313">
        <v>4.8120079999999996</v>
      </c>
      <c r="E10313">
        <v>0.47454360000000001</v>
      </c>
      <c r="F10313" t="s">
        <v>42</v>
      </c>
      <c r="G10313">
        <v>-122.9943</v>
      </c>
      <c r="H10313" s="1">
        <v>-3.1678239999999998E-6</v>
      </c>
      <c r="I10313">
        <v>138.6011</v>
      </c>
      <c r="J10313">
        <v>-137.9272</v>
      </c>
      <c r="K10313">
        <v>1.120727</v>
      </c>
      <c r="L10313">
        <v>137.87549999999999</v>
      </c>
      <c r="M10313">
        <v>0.99988540000000004</v>
      </c>
      <c r="N10313">
        <v>-1.508463E-2</v>
      </c>
      <c r="O10313">
        <v>-1.25844E-3</v>
      </c>
      <c r="P10313">
        <v>0.9961892</v>
      </c>
      <c r="Q10313">
        <v>-8.4781239999999994E-2</v>
      </c>
      <c r="R10313">
        <v>-2.047827E-2</v>
      </c>
      <c r="S10313">
        <v>2.9953159999999999</v>
      </c>
      <c r="T10313">
        <v>-0.22121830000000001</v>
      </c>
      <c r="U10313">
        <v>0.14306640000000001</v>
      </c>
      <c r="V10313">
        <v>1.9153170000000001E-2</v>
      </c>
      <c r="W10313">
        <v>-6.9763699999999998E-2</v>
      </c>
      <c r="X10313">
        <v>0.99737969999999998</v>
      </c>
      <c r="Y10313">
        <v>-4.8804109999999998E-2</v>
      </c>
      <c r="Z10313">
        <v>2.2414760000000001E-3</v>
      </c>
      <c r="AA10313">
        <v>0.99880590000000002</v>
      </c>
      <c r="AB10313">
        <v>27</v>
      </c>
      <c r="AC10313">
        <v>14.9329</v>
      </c>
      <c r="AD10313">
        <v>-1.120730167824</v>
      </c>
      <c r="AE10313">
        <v>0.72560000000001401</v>
      </c>
      <c r="AF10313">
        <v>-0.74023405475654203</v>
      </c>
      <c r="AG10313">
        <v>-1.120730167824</v>
      </c>
      <c r="AH10313">
        <v>14.8485351481146</v>
      </c>
      <c r="AI10313">
        <v>94.311024057068906</v>
      </c>
      <c r="AJ10313">
        <v>92.853965320754099</v>
      </c>
      <c r="AK10313">
        <v>14.9091575419165</v>
      </c>
      <c r="AL10313">
        <v>94.000414877345406</v>
      </c>
      <c r="AM10313">
        <v>88.899856355479997</v>
      </c>
      <c r="AN10313">
        <v>1.00000004186541</v>
      </c>
    </row>
    <row r="10314" spans="1:40" x14ac:dyDescent="0.25">
      <c r="A10314" t="str">
        <f>"20190303154041451"</f>
        <v>20190303154041451</v>
      </c>
      <c r="B10314" t="str">
        <f>"1551598841448192"</f>
        <v>1551598841448192</v>
      </c>
      <c r="C10314" t="s">
        <v>40</v>
      </c>
      <c r="D10314">
        <v>4.9713560000000001</v>
      </c>
      <c r="E10314">
        <v>0.4956467</v>
      </c>
      <c r="F10314" t="s">
        <v>42</v>
      </c>
      <c r="G10314">
        <v>-123.0789</v>
      </c>
      <c r="H10314" s="1">
        <v>-3.1352570000000002E-6</v>
      </c>
      <c r="I10314">
        <v>138.58000000000001</v>
      </c>
      <c r="J10314">
        <v>-137.6737</v>
      </c>
      <c r="K10314">
        <v>1.1206659999999999</v>
      </c>
      <c r="L10314">
        <v>137.87450000000001</v>
      </c>
      <c r="M10314">
        <v>0.99988460000000001</v>
      </c>
      <c r="N10314">
        <v>-1.50803E-2</v>
      </c>
      <c r="O10314">
        <v>-1.8715820000000001E-3</v>
      </c>
      <c r="P10314">
        <v>0.99604879999999996</v>
      </c>
      <c r="Q10314">
        <v>-8.623045E-2</v>
      </c>
      <c r="R10314">
        <v>-2.1237430000000002E-2</v>
      </c>
      <c r="S10314">
        <v>2.9951629999999998</v>
      </c>
      <c r="T10314">
        <v>-0.22607099999999999</v>
      </c>
      <c r="U10314">
        <v>0.14210510000000001</v>
      </c>
      <c r="V10314">
        <v>1.92896E-2</v>
      </c>
      <c r="W10314">
        <v>-7.1221989999999999E-2</v>
      </c>
      <c r="X10314">
        <v>0.99727399999999999</v>
      </c>
      <c r="Y10314">
        <v>-4.9090460000000002E-2</v>
      </c>
      <c r="Z10314">
        <v>2.3327930000000001E-3</v>
      </c>
      <c r="AA10314">
        <v>0.9987916</v>
      </c>
      <c r="AB10314">
        <v>27</v>
      </c>
      <c r="AC10314">
        <v>14.5947999999999</v>
      </c>
      <c r="AD10314">
        <v>-1.120669135257</v>
      </c>
      <c r="AE10314">
        <v>0.70550000000000002</v>
      </c>
      <c r="AF10314">
        <v>-0.72853181342450901</v>
      </c>
      <c r="AG10314">
        <v>-1.120669135257</v>
      </c>
      <c r="AH10314">
        <v>14.508113251783699</v>
      </c>
      <c r="AI10314">
        <v>94.411465216073694</v>
      </c>
      <c r="AJ10314">
        <v>92.874720173725507</v>
      </c>
      <c r="AK10314">
        <v>14.5695575787487</v>
      </c>
      <c r="AL10314">
        <v>94.084177104168603</v>
      </c>
      <c r="AM10314">
        <v>88.891904461594294</v>
      </c>
      <c r="AN10314">
        <v>1.0000000458018501</v>
      </c>
    </row>
    <row r="10315" spans="1:40" x14ac:dyDescent="0.25">
      <c r="A10315" t="str">
        <f>"20190303154041473"</f>
        <v>20190303154041473</v>
      </c>
      <c r="B10315" t="str">
        <f>"1551598841468688"</f>
        <v>1551598841468688</v>
      </c>
      <c r="C10315" t="s">
        <v>40</v>
      </c>
      <c r="D10315">
        <v>4.8940530000000004</v>
      </c>
      <c r="E10315">
        <v>0.50755969999999995</v>
      </c>
      <c r="F10315" t="s">
        <v>42</v>
      </c>
      <c r="G10315">
        <v>-119.8288</v>
      </c>
      <c r="H10315" s="1">
        <v>-5.5150099999999996E-7</v>
      </c>
      <c r="I10315">
        <v>137.71010000000001</v>
      </c>
      <c r="J10315">
        <v>-137.40649999999999</v>
      </c>
      <c r="K10315">
        <v>1.120609</v>
      </c>
      <c r="L10315">
        <v>137.8732</v>
      </c>
      <c r="M10315">
        <v>0.99988310000000002</v>
      </c>
      <c r="N10315">
        <v>-1.507558E-2</v>
      </c>
      <c r="O10315">
        <v>-2.5989820000000001E-3</v>
      </c>
      <c r="P10315">
        <v>0.99600460000000002</v>
      </c>
      <c r="Q10315">
        <v>-8.6542220000000003E-2</v>
      </c>
      <c r="R10315">
        <v>-2.2038809999999999E-2</v>
      </c>
      <c r="S10315">
        <v>2.9950260000000002</v>
      </c>
      <c r="T10315">
        <v>-0.1880887</v>
      </c>
      <c r="U10315">
        <v>-2.758789E-2</v>
      </c>
      <c r="V10315">
        <v>1.9355919999999999E-2</v>
      </c>
      <c r="W10315">
        <v>-7.1541640000000004E-2</v>
      </c>
      <c r="X10315">
        <v>0.99724979999999996</v>
      </c>
      <c r="Y10315">
        <v>6.5984800000000003E-3</v>
      </c>
      <c r="Z10315">
        <v>-1.32888799999999E-4</v>
      </c>
      <c r="AA10315">
        <v>0.99997820000000004</v>
      </c>
      <c r="AB10315">
        <v>27</v>
      </c>
      <c r="AC10315">
        <v>17.577699999999901</v>
      </c>
      <c r="AD10315">
        <v>-1.1206095515009999</v>
      </c>
      <c r="AE10315">
        <v>-0.16309999999998501</v>
      </c>
      <c r="AF10315">
        <v>0.116934920019276</v>
      </c>
      <c r="AG10315">
        <v>-1.1206095515009999</v>
      </c>
      <c r="AH10315">
        <v>17.506917521843398</v>
      </c>
      <c r="AI10315">
        <v>93.662397867841406</v>
      </c>
      <c r="AJ10315">
        <v>89.617306830086903</v>
      </c>
      <c r="AK10315">
        <v>17.543135428396599</v>
      </c>
      <c r="AL10315">
        <v>94.102538682220498</v>
      </c>
      <c r="AM10315">
        <v>88.888068673136601</v>
      </c>
      <c r="AN10315">
        <v>1.0000000107464799</v>
      </c>
    </row>
    <row r="10316" spans="1:40" x14ac:dyDescent="0.25">
      <c r="A10316" t="str">
        <f>"20190303154041496"</f>
        <v>20190303154041496</v>
      </c>
      <c r="B10316" t="str">
        <f>"1551598841488208"</f>
        <v>1551598841488208</v>
      </c>
      <c r="C10316" t="s">
        <v>40</v>
      </c>
      <c r="D10316">
        <v>4.9413929999999997</v>
      </c>
      <c r="E10316">
        <v>0.55512259999999902</v>
      </c>
      <c r="F10316" t="s">
        <v>42</v>
      </c>
      <c r="G10316">
        <v>-120.208</v>
      </c>
      <c r="H10316" s="1">
        <v>-4.6198549999999998E-6</v>
      </c>
      <c r="I10316">
        <v>137.15369999999999</v>
      </c>
      <c r="J10316">
        <v>-137.13990000000001</v>
      </c>
      <c r="K10316">
        <v>1.120565</v>
      </c>
      <c r="L10316">
        <v>137.8716</v>
      </c>
      <c r="M10316">
        <v>0.99988069999999896</v>
      </c>
      <c r="N10316">
        <v>-1.507087E-2</v>
      </c>
      <c r="O10316">
        <v>-3.4078250000000002E-3</v>
      </c>
      <c r="P10316">
        <v>0.99612679999999998</v>
      </c>
      <c r="Q10316">
        <v>-8.5042850000000003E-2</v>
      </c>
      <c r="R10316">
        <v>-2.2351869999999999E-2</v>
      </c>
      <c r="S10316">
        <v>2.9923250000000001</v>
      </c>
      <c r="T10316">
        <v>-0.19497239999999999</v>
      </c>
      <c r="U10316">
        <v>-0.12518309999999999</v>
      </c>
      <c r="V10316">
        <v>1.8856029999999999E-2</v>
      </c>
      <c r="W10316">
        <v>-7.0046800000000006E-2</v>
      </c>
      <c r="X10316">
        <v>0.99736550000000002</v>
      </c>
      <c r="Y10316">
        <v>3.8297070000000002E-2</v>
      </c>
      <c r="Z10316">
        <v>-1.3644989999999999E-3</v>
      </c>
      <c r="AA10316">
        <v>0.99926550000000003</v>
      </c>
      <c r="AB10316">
        <v>27</v>
      </c>
      <c r="AC10316">
        <v>16.931899999999999</v>
      </c>
      <c r="AD10316">
        <v>-1.1205696198549999</v>
      </c>
      <c r="AE10316">
        <v>-0.71790000000001397</v>
      </c>
      <c r="AF10316">
        <v>0.657314509455175</v>
      </c>
      <c r="AG10316">
        <v>-1.1205696198549999</v>
      </c>
      <c r="AH10316">
        <v>16.860533126358799</v>
      </c>
      <c r="AI10316">
        <v>93.799471054732507</v>
      </c>
      <c r="AJ10316">
        <v>87.767432126830101</v>
      </c>
      <c r="AK10316">
        <v>16.910509038533501</v>
      </c>
      <c r="AL10316">
        <v>94.016675168924195</v>
      </c>
      <c r="AM10316">
        <v>88.916904338753298</v>
      </c>
      <c r="AN10316">
        <v>1.00000002232392</v>
      </c>
    </row>
    <row r="10317" spans="1:40" x14ac:dyDescent="0.25">
      <c r="A10317" t="str">
        <f>"20190303154041517"</f>
        <v>20190303154041517</v>
      </c>
      <c r="B10317" t="str">
        <f>"1551598841508704"</f>
        <v>1551598841508704</v>
      </c>
      <c r="C10317" t="s">
        <v>40</v>
      </c>
      <c r="D10317">
        <v>5.0050359999999996</v>
      </c>
      <c r="E10317">
        <v>0.55737499999999995</v>
      </c>
      <c r="F10317" t="s">
        <v>42</v>
      </c>
      <c r="G10317">
        <v>-114.7003</v>
      </c>
      <c r="H10317" s="1">
        <v>-3.2627370000000001E-6</v>
      </c>
      <c r="I10317">
        <v>134.0796</v>
      </c>
      <c r="J10317">
        <v>-136.8741</v>
      </c>
      <c r="K10317">
        <v>1.120522</v>
      </c>
      <c r="L10317">
        <v>137.86969999999999</v>
      </c>
      <c r="M10317">
        <v>0.99987740000000003</v>
      </c>
      <c r="N10317">
        <v>-1.5066049999999999E-2</v>
      </c>
      <c r="O10317">
        <v>-4.2936490000000001E-3</v>
      </c>
      <c r="P10317">
        <v>0.99629880000000004</v>
      </c>
      <c r="Q10317">
        <v>-8.2823380000000002E-2</v>
      </c>
      <c r="R10317">
        <v>-2.3004340000000002E-2</v>
      </c>
      <c r="S10317">
        <v>2.9875790000000002</v>
      </c>
      <c r="T10317">
        <v>-0.14919109999999999</v>
      </c>
      <c r="U10317">
        <v>-0.50486759999999997</v>
      </c>
      <c r="V10317">
        <v>1.8620089999999999E-2</v>
      </c>
      <c r="W10317">
        <v>-6.7831470000000005E-2</v>
      </c>
      <c r="X10317">
        <v>0.99752300000000005</v>
      </c>
      <c r="Y10317">
        <v>0.16213620000000001</v>
      </c>
      <c r="Z10317">
        <v>-5.0998349999999996E-3</v>
      </c>
      <c r="AA10317">
        <v>0.98675520000000005</v>
      </c>
      <c r="AB10317">
        <v>27</v>
      </c>
      <c r="AC10317">
        <v>22.1738</v>
      </c>
      <c r="AD10317">
        <v>-1.1205252627369999</v>
      </c>
      <c r="AE10317">
        <v>-3.79009999999999</v>
      </c>
      <c r="AF10317">
        <v>3.6857028905311902</v>
      </c>
      <c r="AG10317">
        <v>-1.1205252627369999</v>
      </c>
      <c r="AH10317">
        <v>22.134950191945599</v>
      </c>
      <c r="AI10317">
        <v>92.858686508513699</v>
      </c>
      <c r="AJ10317">
        <v>80.546380683696896</v>
      </c>
      <c r="AK10317">
        <v>22.467665714568898</v>
      </c>
      <c r="AL10317">
        <v>93.889443566067101</v>
      </c>
      <c r="AM10317">
        <v>88.930622463224097</v>
      </c>
      <c r="AN10317">
        <v>0.99999997580148403</v>
      </c>
    </row>
    <row r="10318" spans="1:40" x14ac:dyDescent="0.25">
      <c r="A10318" t="str">
        <f>"20190303154041539"</f>
        <v>20190303154041539</v>
      </c>
      <c r="B10318" t="str">
        <f>"1551598841528224"</f>
        <v>1551598841528224</v>
      </c>
      <c r="C10318" t="s">
        <v>40</v>
      </c>
      <c r="D10318">
        <v>4.9303589999999904</v>
      </c>
      <c r="E10318">
        <v>0.55793499999999996</v>
      </c>
      <c r="F10318" t="s">
        <v>42</v>
      </c>
      <c r="G10318">
        <v>-112.6524</v>
      </c>
      <c r="H10318" s="1">
        <v>-4.1988749999999997E-6</v>
      </c>
      <c r="I10318">
        <v>133.61539999999999</v>
      </c>
      <c r="J10318">
        <v>-136.6163</v>
      </c>
      <c r="K10318">
        <v>1.1204719999999999</v>
      </c>
      <c r="L10318">
        <v>137.86760000000001</v>
      </c>
      <c r="M10318">
        <v>0.99987289999999995</v>
      </c>
      <c r="N10318">
        <v>-1.5061369999999999E-2</v>
      </c>
      <c r="O10318">
        <v>-5.2262039999999999E-3</v>
      </c>
      <c r="P10318">
        <v>0.9963455</v>
      </c>
      <c r="Q10318">
        <v>-8.1777420000000003E-2</v>
      </c>
      <c r="R10318">
        <v>-2.4658490000000002E-2</v>
      </c>
      <c r="S10318">
        <v>2.987549</v>
      </c>
      <c r="T10318">
        <v>-0.1382072</v>
      </c>
      <c r="U10318">
        <v>-0.52473449999999999</v>
      </c>
      <c r="V10318">
        <v>1.9337969999999999E-2</v>
      </c>
      <c r="W10318">
        <v>-6.6792729999999995E-2</v>
      </c>
      <c r="X10318">
        <v>0.99757949999999995</v>
      </c>
      <c r="Y10318">
        <v>0.1676125</v>
      </c>
      <c r="Z10318">
        <v>-4.9566030000000004E-3</v>
      </c>
      <c r="AA10318">
        <v>0.98584050000000001</v>
      </c>
      <c r="AB10318">
        <v>27</v>
      </c>
      <c r="AC10318">
        <v>23.963899999999899</v>
      </c>
      <c r="AD10318">
        <v>-1.1204761988749901</v>
      </c>
      <c r="AE10318">
        <v>-4.25220000000001</v>
      </c>
      <c r="AF10318">
        <v>4.1181591655277296</v>
      </c>
      <c r="AG10318">
        <v>-1.1204761988749901</v>
      </c>
      <c r="AH10318">
        <v>23.935068405658701</v>
      </c>
      <c r="AI10318">
        <v>92.641483095142306</v>
      </c>
      <c r="AJ10318">
        <v>80.237532533634095</v>
      </c>
      <c r="AK10318">
        <v>24.312593473515498</v>
      </c>
      <c r="AL10318">
        <v>93.829792598979495</v>
      </c>
      <c r="AM10318">
        <v>88.889466641241597</v>
      </c>
      <c r="AN10318">
        <v>1.00000004234241</v>
      </c>
    </row>
    <row r="10319" spans="1:40" x14ac:dyDescent="0.25">
      <c r="A10319" t="str">
        <f>"20190303154041562"</f>
        <v>20190303154041562</v>
      </c>
      <c r="B10319" t="str">
        <f>"1551598841558480"</f>
        <v>1551598841558480</v>
      </c>
      <c r="C10319" t="s">
        <v>40</v>
      </c>
      <c r="D10319">
        <v>4.8783440000000002</v>
      </c>
      <c r="E10319">
        <v>0.55879380000000001</v>
      </c>
      <c r="F10319" t="s">
        <v>42</v>
      </c>
      <c r="G10319">
        <v>-112.37439999999999</v>
      </c>
      <c r="H10319" s="1">
        <v>-4.3333700000000003E-6</v>
      </c>
      <c r="I10319">
        <v>133.52940000000001</v>
      </c>
      <c r="J10319">
        <v>-136.34630000000001</v>
      </c>
      <c r="K10319">
        <v>1.1204160000000001</v>
      </c>
      <c r="L10319">
        <v>137.86500000000001</v>
      </c>
      <c r="M10319">
        <v>0.99986710000000001</v>
      </c>
      <c r="N10319">
        <v>-1.505652E-2</v>
      </c>
      <c r="O10319">
        <v>-6.2753009999999996E-3</v>
      </c>
      <c r="P10319">
        <v>0.99622390000000005</v>
      </c>
      <c r="Q10319">
        <v>-8.2720230000000006E-2</v>
      </c>
      <c r="R10319">
        <v>-2.637252E-2</v>
      </c>
      <c r="S10319">
        <v>2.9864649999999999</v>
      </c>
      <c r="T10319">
        <v>-0.1380364</v>
      </c>
      <c r="U10319">
        <v>-0.53443909999999994</v>
      </c>
      <c r="V10319">
        <v>1.999693E-2</v>
      </c>
      <c r="W10319">
        <v>-6.7745399999999997E-2</v>
      </c>
      <c r="X10319">
        <v>0.99750220000000001</v>
      </c>
      <c r="Y10319">
        <v>0.16974259999999999</v>
      </c>
      <c r="Z10319">
        <v>-4.9849120000000002E-3</v>
      </c>
      <c r="AA10319">
        <v>0.98547580000000001</v>
      </c>
      <c r="AB10319">
        <v>27</v>
      </c>
      <c r="AC10319">
        <v>23.971900000000002</v>
      </c>
      <c r="AD10319">
        <v>-1.12042033337</v>
      </c>
      <c r="AE10319">
        <v>-4.3356000000000003</v>
      </c>
      <c r="AF10319">
        <v>4.1762325805712299</v>
      </c>
      <c r="AG10319">
        <v>-1.12042033337</v>
      </c>
      <c r="AH10319">
        <v>23.9479802683861</v>
      </c>
      <c r="AI10319">
        <v>92.638895708858399</v>
      </c>
      <c r="AJ10319">
        <v>80.107799202679104</v>
      </c>
      <c r="AK10319">
        <v>24.335201236592699</v>
      </c>
      <c r="AL10319">
        <v>93.884500740875197</v>
      </c>
      <c r="AM10319">
        <v>88.851545144429195</v>
      </c>
      <c r="AN10319">
        <v>0.99999997771771199</v>
      </c>
    </row>
    <row r="10320" spans="1:40" x14ac:dyDescent="0.25">
      <c r="A10320" t="str">
        <f>"20190303154041584"</f>
        <v>20190303154041584</v>
      </c>
      <c r="B10320" t="str">
        <f>"1551598841578000"</f>
        <v>1551598841578000</v>
      </c>
      <c r="C10320" t="s">
        <v>40</v>
      </c>
      <c r="D10320">
        <v>4.9031159999999998</v>
      </c>
      <c r="E10320">
        <v>0.55935699999999999</v>
      </c>
      <c r="F10320" t="s">
        <v>42</v>
      </c>
      <c r="G10320">
        <v>-112.98560000000001</v>
      </c>
      <c r="H10320" s="1">
        <v>-4.0608309999999999E-6</v>
      </c>
      <c r="I10320">
        <v>133.58779999999999</v>
      </c>
      <c r="J10320">
        <v>-136.07820000000001</v>
      </c>
      <c r="K10320">
        <v>1.1203559999999999</v>
      </c>
      <c r="L10320">
        <v>137.8621</v>
      </c>
      <c r="M10320">
        <v>0.99985950000000001</v>
      </c>
      <c r="N10320">
        <v>-1.505169E-2</v>
      </c>
      <c r="O10320">
        <v>-7.3862399999999996E-3</v>
      </c>
      <c r="P10320">
        <v>0.99603109999999995</v>
      </c>
      <c r="Q10320">
        <v>-8.4384189999999998E-2</v>
      </c>
      <c r="R10320">
        <v>-2.8303100000000001E-2</v>
      </c>
      <c r="S10320">
        <v>2.9850159999999999</v>
      </c>
      <c r="T10320">
        <v>-0.143166299999999</v>
      </c>
      <c r="U10320">
        <v>-0.54653929999999995</v>
      </c>
      <c r="V10320">
        <v>2.0809850000000001E-2</v>
      </c>
      <c r="W10320">
        <v>-6.9420529999999994E-2</v>
      </c>
      <c r="X10320">
        <v>0.99737039999999999</v>
      </c>
      <c r="Y10320">
        <v>0.17257919999999999</v>
      </c>
      <c r="Z10320">
        <v>-5.171882E-3</v>
      </c>
      <c r="AA10320">
        <v>0.98498209999999997</v>
      </c>
      <c r="AB10320">
        <v>27</v>
      </c>
      <c r="AC10320">
        <v>23.092600000000001</v>
      </c>
      <c r="AD10320">
        <v>-1.12036006083099</v>
      </c>
      <c r="AE10320">
        <v>-4.27430000000001</v>
      </c>
      <c r="AF10320">
        <v>4.0942786921775198</v>
      </c>
      <c r="AG10320">
        <v>-1.12036006083099</v>
      </c>
      <c r="AH10320">
        <v>23.071038725884598</v>
      </c>
      <c r="AI10320">
        <v>92.737469110110894</v>
      </c>
      <c r="AJ10320">
        <v>79.936830605523198</v>
      </c>
      <c r="AK10320">
        <v>23.458285371407499</v>
      </c>
      <c r="AL10320">
        <v>93.9807051166446</v>
      </c>
      <c r="AM10320">
        <v>88.804713271127795</v>
      </c>
      <c r="AN10320">
        <v>0.99999998731933104</v>
      </c>
    </row>
    <row r="10321" spans="1:40" x14ac:dyDescent="0.25">
      <c r="A10321" t="str">
        <f>"20190303154041609"</f>
        <v>20190303154041609</v>
      </c>
      <c r="B10321" t="str">
        <f>"1551598841598496"</f>
        <v>1551598841598496</v>
      </c>
      <c r="C10321" t="s">
        <v>40</v>
      </c>
      <c r="D10321">
        <v>4.8567600000000004</v>
      </c>
      <c r="E10321">
        <v>0.55947979999999997</v>
      </c>
      <c r="F10321" t="s">
        <v>42</v>
      </c>
      <c r="G10321">
        <v>-113.5005</v>
      </c>
      <c r="H10321" s="1">
        <v>-3.8291829999999999E-6</v>
      </c>
      <c r="I10321">
        <v>133.64840000000001</v>
      </c>
      <c r="J10321">
        <v>-135.80170000000001</v>
      </c>
      <c r="K10321">
        <v>1.120306</v>
      </c>
      <c r="L10321">
        <v>137.8587</v>
      </c>
      <c r="M10321">
        <v>0.99984989999999996</v>
      </c>
      <c r="N10321">
        <v>-1.504663E-2</v>
      </c>
      <c r="O10321">
        <v>-8.6009580000000006E-3</v>
      </c>
      <c r="P10321">
        <v>0.99585069999999998</v>
      </c>
      <c r="Q10321">
        <v>-8.5710449999999994E-2</v>
      </c>
      <c r="R10321">
        <v>-3.0583900000000001E-2</v>
      </c>
      <c r="S10321">
        <v>2.9835820000000002</v>
      </c>
      <c r="T10321">
        <v>-0.14805209999999999</v>
      </c>
      <c r="U10321">
        <v>-0.55682369999999903</v>
      </c>
      <c r="V10321">
        <v>2.1870529999999999E-2</v>
      </c>
      <c r="W10321">
        <v>-7.0758450000000001E-2</v>
      </c>
      <c r="X10321">
        <v>0.99725370000000002</v>
      </c>
      <c r="Y10321">
        <v>0.17473129999999901</v>
      </c>
      <c r="Z10321">
        <v>-5.3279950000000003E-3</v>
      </c>
      <c r="AA10321">
        <v>0.98460170000000002</v>
      </c>
      <c r="AB10321">
        <v>26</v>
      </c>
      <c r="AC10321">
        <v>22.301200000000001</v>
      </c>
      <c r="AD10321">
        <v>-1.120309829183</v>
      </c>
      <c r="AE10321">
        <v>-4.2102999999999797</v>
      </c>
      <c r="AF10321">
        <v>4.0085430546660001</v>
      </c>
      <c r="AG10321">
        <v>-1.120309829183</v>
      </c>
      <c r="AH10321">
        <v>22.2822953753065</v>
      </c>
      <c r="AI10321">
        <v>92.832894919722705</v>
      </c>
      <c r="AJ10321">
        <v>79.801680461483599</v>
      </c>
      <c r="AK10321">
        <v>22.667690635062002</v>
      </c>
      <c r="AL10321">
        <v>94.0575511867779</v>
      </c>
      <c r="AM10321">
        <v>88.743661489353499</v>
      </c>
      <c r="AN10321">
        <v>1.00000001024628</v>
      </c>
    </row>
    <row r="10322" spans="1:40" x14ac:dyDescent="0.25">
      <c r="A10322" t="str">
        <f>"20190303154041634"</f>
        <v>20190303154041634</v>
      </c>
      <c r="B10322" t="str">
        <f>"1551598841628752"</f>
        <v>1551598841628752</v>
      </c>
      <c r="C10322" t="s">
        <v>40</v>
      </c>
      <c r="D10322">
        <v>4.8458480000000002</v>
      </c>
      <c r="E10322">
        <v>0.55996509999999999</v>
      </c>
      <c r="F10322" t="s">
        <v>42</v>
      </c>
      <c r="G10322">
        <v>-113.8323</v>
      </c>
      <c r="H10322" s="1">
        <v>-3.677955E-6</v>
      </c>
      <c r="I10322">
        <v>133.69829999999999</v>
      </c>
      <c r="J10322">
        <v>-135.50839999999999</v>
      </c>
      <c r="K10322">
        <v>1.12026</v>
      </c>
      <c r="L10322">
        <v>137.8546</v>
      </c>
      <c r="M10322">
        <v>0.99983719999999998</v>
      </c>
      <c r="N10322">
        <v>-1.504115E-2</v>
      </c>
      <c r="O10322">
        <v>-9.9680340000000006E-3</v>
      </c>
      <c r="P10322">
        <v>0.99582110000000001</v>
      </c>
      <c r="Q10322">
        <v>-8.5167339999999994E-2</v>
      </c>
      <c r="R10322">
        <v>-3.297013E-2</v>
      </c>
      <c r="S10322">
        <v>2.9820859999999998</v>
      </c>
      <c r="T10322">
        <v>-0.1520686</v>
      </c>
      <c r="U10322">
        <v>-0.56471249999999995</v>
      </c>
      <c r="V10322">
        <v>2.2888439999999999E-2</v>
      </c>
      <c r="W10322">
        <v>-7.0225159999999995E-2</v>
      </c>
      <c r="X10322">
        <v>0.99726859999999995</v>
      </c>
      <c r="Y10322">
        <v>0.17597570000000001</v>
      </c>
      <c r="Z10322">
        <v>-5.4259779999999997E-3</v>
      </c>
      <c r="AA10322">
        <v>0.98437949999999996</v>
      </c>
      <c r="AB10322">
        <v>26</v>
      </c>
      <c r="AC10322">
        <v>21.676099999999899</v>
      </c>
      <c r="AD10322">
        <v>-1.1202636779549999</v>
      </c>
      <c r="AE10322">
        <v>-4.1563000000000097</v>
      </c>
      <c r="AF10322">
        <v>3.9298763546662698</v>
      </c>
      <c r="AG10322">
        <v>-1.1202636779549999</v>
      </c>
      <c r="AH10322">
        <v>21.6606532178814</v>
      </c>
      <c r="AI10322">
        <v>92.913159420985295</v>
      </c>
      <c r="AJ10322">
        <v>79.716725331196798</v>
      </c>
      <c r="AK10322">
        <v>22.042749753522699</v>
      </c>
      <c r="AL10322">
        <v>94.026919531113805</v>
      </c>
      <c r="AM10322">
        <v>88.685228011203804</v>
      </c>
      <c r="AN10322">
        <v>1.0000000571643</v>
      </c>
    </row>
    <row r="10323" spans="1:40" x14ac:dyDescent="0.25">
      <c r="A10323" t="str">
        <f>"20190303154041653"</f>
        <v>20190303154041653</v>
      </c>
      <c r="B10323" t="str">
        <f>"1551598841648272"</f>
        <v>1551598841648272</v>
      </c>
      <c r="C10323" t="s">
        <v>40</v>
      </c>
      <c r="D10323">
        <v>4.8231539999999997</v>
      </c>
      <c r="E10323">
        <v>0.56044189999999905</v>
      </c>
      <c r="F10323" t="s">
        <v>42</v>
      </c>
      <c r="G10323">
        <v>-113.1366</v>
      </c>
      <c r="H10323" s="1">
        <v>-4.0057670000000004E-6</v>
      </c>
      <c r="I10323">
        <v>133.53299999999999</v>
      </c>
      <c r="J10323">
        <v>-135.2834</v>
      </c>
      <c r="K10323">
        <v>1.1202379999999901</v>
      </c>
      <c r="L10323">
        <v>137.85120000000001</v>
      </c>
      <c r="M10323">
        <v>0.99982579999999999</v>
      </c>
      <c r="N10323">
        <v>-1.5036860000000001E-2</v>
      </c>
      <c r="O10323">
        <v>-1.105836E-2</v>
      </c>
      <c r="P10323">
        <v>0.99586090000000005</v>
      </c>
      <c r="Q10323">
        <v>-8.4162959999999995E-2</v>
      </c>
      <c r="R10323">
        <v>-3.4322569999999997E-2</v>
      </c>
      <c r="S10323">
        <v>2.9807589999999999</v>
      </c>
      <c r="T10323">
        <v>-0.14926059999999999</v>
      </c>
      <c r="U10323">
        <v>-0.57579040000000004</v>
      </c>
      <c r="V10323">
        <v>2.3151250000000002E-2</v>
      </c>
      <c r="W10323">
        <v>-6.9226179999999998E-2</v>
      </c>
      <c r="X10323">
        <v>0.99733229999999995</v>
      </c>
      <c r="Y10323">
        <v>0.1785166</v>
      </c>
      <c r="Z10323">
        <v>-5.3981119999999896E-3</v>
      </c>
      <c r="AA10323">
        <v>0.98392210000000002</v>
      </c>
      <c r="AB10323">
        <v>26</v>
      </c>
      <c r="AC10323">
        <v>22.146799999999999</v>
      </c>
      <c r="AD10323">
        <v>-1.1202420057669999</v>
      </c>
      <c r="AE10323">
        <v>-4.3182000000000098</v>
      </c>
      <c r="AF10323">
        <v>4.0629861222713402</v>
      </c>
      <c r="AG10323">
        <v>-1.1202420057669999</v>
      </c>
      <c r="AH10323">
        <v>22.1386338877392</v>
      </c>
      <c r="AI10323">
        <v>92.849260310990502</v>
      </c>
      <c r="AJ10323">
        <v>79.600534638631601</v>
      </c>
      <c r="AK10323">
        <v>22.536235461953499</v>
      </c>
      <c r="AL10323">
        <v>93.969542855094105</v>
      </c>
      <c r="AM10323">
        <v>88.670221814883604</v>
      </c>
      <c r="AN10323">
        <v>0.99999998049862204</v>
      </c>
    </row>
    <row r="10324" spans="1:40" x14ac:dyDescent="0.25">
      <c r="A10324" t="str">
        <f>"20190303154041674"</f>
        <v>20190303154041674</v>
      </c>
      <c r="B10324" t="str">
        <f>"1551598841668768"</f>
        <v>1551598841668768</v>
      </c>
      <c r="C10324" t="s">
        <v>40</v>
      </c>
      <c r="D10324">
        <v>4.775048</v>
      </c>
      <c r="E10324">
        <v>0.56074729999999995</v>
      </c>
      <c r="F10324" t="s">
        <v>42</v>
      </c>
      <c r="G10324">
        <v>-112.0389</v>
      </c>
      <c r="H10324" s="1">
        <v>-4.518277E-6</v>
      </c>
      <c r="I10324">
        <v>133.29830000000001</v>
      </c>
      <c r="J10324">
        <v>-135.0284</v>
      </c>
      <c r="K10324">
        <v>1.120212</v>
      </c>
      <c r="L10324">
        <v>137.84690000000001</v>
      </c>
      <c r="M10324">
        <v>0.99981109999999895</v>
      </c>
      <c r="N10324">
        <v>-1.5031930000000001E-2</v>
      </c>
      <c r="O10324">
        <v>-1.2330249999999999E-2</v>
      </c>
      <c r="P10324">
        <v>0.99588319999999997</v>
      </c>
      <c r="Q10324">
        <v>-8.3225149999999998E-2</v>
      </c>
      <c r="R10324">
        <v>-3.5924159999999997E-2</v>
      </c>
      <c r="S10324">
        <v>2.9802089999999999</v>
      </c>
      <c r="T10324">
        <v>-0.14362759999999999</v>
      </c>
      <c r="U10324">
        <v>-0.58372500000000005</v>
      </c>
      <c r="V10324">
        <v>2.3483090000000002E-2</v>
      </c>
      <c r="W10324">
        <v>-6.8294499999999994E-2</v>
      </c>
      <c r="X10324">
        <v>0.99738879999999996</v>
      </c>
      <c r="Y10324">
        <v>0.17983929999999901</v>
      </c>
      <c r="Z10324">
        <v>-5.2513009999999999E-3</v>
      </c>
      <c r="AA10324">
        <v>0.98368199999999995</v>
      </c>
      <c r="AB10324">
        <v>26</v>
      </c>
      <c r="AC10324">
        <v>22.9895</v>
      </c>
      <c r="AD10324">
        <v>-1.1202165182770001</v>
      </c>
      <c r="AE10324">
        <v>-4.5485999999999898</v>
      </c>
      <c r="AF10324">
        <v>4.2550335107042399</v>
      </c>
      <c r="AG10324">
        <v>-1.1202165182770001</v>
      </c>
      <c r="AH10324">
        <v>22.991310699520799</v>
      </c>
      <c r="AI10324">
        <v>92.742937143721207</v>
      </c>
      <c r="AJ10324">
        <v>79.514827687228703</v>
      </c>
      <c r="AK10324">
        <v>23.408557471722599</v>
      </c>
      <c r="AL10324">
        <v>93.916034776696804</v>
      </c>
      <c r="AM10324">
        <v>88.651244721815502</v>
      </c>
      <c r="AN10324">
        <v>1.0000000063058101</v>
      </c>
    </row>
    <row r="10325" spans="1:40" x14ac:dyDescent="0.25">
      <c r="A10325" t="str">
        <f>"20190303154041696"</f>
        <v>20190303154041696</v>
      </c>
      <c r="B10325" t="str">
        <f>"1551598841688288"</f>
        <v>1551598841688288</v>
      </c>
      <c r="C10325" t="s">
        <v>40</v>
      </c>
      <c r="D10325">
        <v>4.7771860000000004</v>
      </c>
      <c r="E10325">
        <v>0.56066419999999995</v>
      </c>
      <c r="F10325" t="s">
        <v>42</v>
      </c>
      <c r="G10325">
        <v>-110.95869999999999</v>
      </c>
      <c r="H10325" s="1">
        <v>-5.0216770000000001E-6</v>
      </c>
      <c r="I10325">
        <v>133.0729</v>
      </c>
      <c r="J10325">
        <v>-134.77090000000001</v>
      </c>
      <c r="K10325">
        <v>1.12019</v>
      </c>
      <c r="L10325">
        <v>137.84219999999999</v>
      </c>
      <c r="M10325">
        <v>0.99979399999999996</v>
      </c>
      <c r="N10325">
        <v>-1.5026660000000001E-2</v>
      </c>
      <c r="O10325">
        <v>-1.364636E-2</v>
      </c>
      <c r="P10325">
        <v>0.99585480000000004</v>
      </c>
      <c r="Q10325">
        <v>-8.2880800000000004E-2</v>
      </c>
      <c r="R10325">
        <v>-3.747433E-2</v>
      </c>
      <c r="S10325">
        <v>2.9794770000000002</v>
      </c>
      <c r="T10325">
        <v>-0.13866619999999999</v>
      </c>
      <c r="U10325">
        <v>-0.59094239999999998</v>
      </c>
      <c r="V10325">
        <v>2.3719779999999999E-2</v>
      </c>
      <c r="W10325">
        <v>-6.7956719999999998E-2</v>
      </c>
      <c r="X10325">
        <v>0.99740620000000002</v>
      </c>
      <c r="Y10325">
        <v>0.18089810000000001</v>
      </c>
      <c r="Z10325">
        <v>-5.1146940000000004E-3</v>
      </c>
      <c r="AA10325">
        <v>0.98348860000000005</v>
      </c>
      <c r="AB10325">
        <v>26</v>
      </c>
      <c r="AC10325">
        <v>23.812200000000001</v>
      </c>
      <c r="AD10325">
        <v>-1.120195021677</v>
      </c>
      <c r="AE10325">
        <v>-4.7692999999999799</v>
      </c>
      <c r="AF10325">
        <v>4.43443419975371</v>
      </c>
      <c r="AG10325">
        <v>-1.120195021677</v>
      </c>
      <c r="AH10325">
        <v>23.8243824244066</v>
      </c>
      <c r="AI10325">
        <v>92.646610445882899</v>
      </c>
      <c r="AJ10325">
        <v>79.456188429683294</v>
      </c>
      <c r="AK10325">
        <v>24.259436132418902</v>
      </c>
      <c r="AL10325">
        <v>93.896636616190605</v>
      </c>
      <c r="AM10325">
        <v>88.637679246501705</v>
      </c>
      <c r="AN10325">
        <v>0.99999993577742097</v>
      </c>
    </row>
    <row r="10326" spans="1:40" x14ac:dyDescent="0.25">
      <c r="A10326" t="str">
        <f>"20190303154041718"</f>
        <v>20190303154041718</v>
      </c>
      <c r="B10326" t="str">
        <f>"1551598841708785"</f>
        <v>1551598841708785</v>
      </c>
      <c r="C10326" t="s">
        <v>40</v>
      </c>
      <c r="D10326">
        <v>4.8089629999999897</v>
      </c>
      <c r="E10326">
        <v>0.56064550000000002</v>
      </c>
      <c r="F10326" t="s">
        <v>42</v>
      </c>
      <c r="G10326">
        <v>-110.6606</v>
      </c>
      <c r="H10326" s="1">
        <v>-5.15794599999999E-6</v>
      </c>
      <c r="I10326">
        <v>133.02549999999999</v>
      </c>
      <c r="J10326">
        <v>-134.50880000000001</v>
      </c>
      <c r="K10326">
        <v>1.1201749999999999</v>
      </c>
      <c r="L10326">
        <v>137.83709999999999</v>
      </c>
      <c r="M10326">
        <v>0.99977450000000001</v>
      </c>
      <c r="N10326">
        <v>-1.50212E-2</v>
      </c>
      <c r="O10326">
        <v>-1.501486E-2</v>
      </c>
      <c r="P10326">
        <v>0.99578180000000005</v>
      </c>
      <c r="Q10326">
        <v>-8.3085870000000006E-2</v>
      </c>
      <c r="R10326">
        <v>-3.8931189999999997E-2</v>
      </c>
      <c r="S10326">
        <v>2.9785919999999999</v>
      </c>
      <c r="T10326">
        <v>-0.13838919999999999</v>
      </c>
      <c r="U10326">
        <v>-0.59504699999999999</v>
      </c>
      <c r="V10326">
        <v>2.3810689999999999E-2</v>
      </c>
      <c r="W10326">
        <v>-6.8168629999999994E-2</v>
      </c>
      <c r="X10326">
        <v>0.99738959999999999</v>
      </c>
      <c r="Y10326">
        <v>0.18091280000000001</v>
      </c>
      <c r="Z10326">
        <v>-5.0657139999999998E-3</v>
      </c>
      <c r="AA10326">
        <v>0.98348610000000003</v>
      </c>
      <c r="AB10326">
        <v>26</v>
      </c>
      <c r="AC10326">
        <v>23.848199999999999</v>
      </c>
      <c r="AD10326">
        <v>-1.120180157946</v>
      </c>
      <c r="AE10326">
        <v>-4.8115999999999897</v>
      </c>
      <c r="AF10326">
        <v>4.4435194374555103</v>
      </c>
      <c r="AG10326">
        <v>-1.120180157946</v>
      </c>
      <c r="AH10326">
        <v>23.867166226704899</v>
      </c>
      <c r="AI10326">
        <v>92.641815597105904</v>
      </c>
      <c r="AJ10326">
        <v>79.453585422331898</v>
      </c>
      <c r="AK10326">
        <v>24.3031128103061</v>
      </c>
      <c r="AL10326">
        <v>93.908806281625601</v>
      </c>
      <c r="AM10326">
        <v>88.632437152803902</v>
      </c>
      <c r="AN10326">
        <v>0.99999996263125501</v>
      </c>
    </row>
    <row r="10327" spans="1:40" x14ac:dyDescent="0.25">
      <c r="A10327" t="str">
        <f>"20190303154041752"</f>
        <v>20190303154041752</v>
      </c>
      <c r="B10327" t="str">
        <f>"1551598841748800"</f>
        <v>1551598841748800</v>
      </c>
      <c r="C10327" t="s">
        <v>40</v>
      </c>
      <c r="D10327">
        <v>4.7741769999999999</v>
      </c>
      <c r="E10327">
        <v>0.52316830000000003</v>
      </c>
      <c r="F10327" t="s">
        <v>42</v>
      </c>
      <c r="G10327">
        <v>-110.7075</v>
      </c>
      <c r="H10327" s="1">
        <v>-5.134197E-6</v>
      </c>
      <c r="I10327">
        <v>133.0461</v>
      </c>
      <c r="J10327">
        <v>-134.1139</v>
      </c>
      <c r="K10327">
        <v>1.120152</v>
      </c>
      <c r="L10327">
        <v>137.82859999999999</v>
      </c>
      <c r="M10327">
        <v>0.99974070000000004</v>
      </c>
      <c r="N10327">
        <v>-1.5012849999999999E-2</v>
      </c>
      <c r="O10327">
        <v>-1.7128150000000002E-2</v>
      </c>
      <c r="P10327">
        <v>0.99564149999999996</v>
      </c>
      <c r="Q10327">
        <v>-8.3669899999999894E-2</v>
      </c>
      <c r="R10327">
        <v>-4.1201260000000003E-2</v>
      </c>
      <c r="S10327">
        <v>2.9775700000000001</v>
      </c>
      <c r="T10327">
        <v>-0.14013539999999999</v>
      </c>
      <c r="U10327">
        <v>-0.59935000000000005</v>
      </c>
      <c r="V10327">
        <v>2.3971579999999999E-2</v>
      </c>
      <c r="W10327">
        <v>-6.8763489999999997E-2</v>
      </c>
      <c r="X10327">
        <v>0.99734500000000004</v>
      </c>
      <c r="Y10327">
        <v>0.1802617</v>
      </c>
      <c r="Z10327">
        <v>-5.0224299999999996E-3</v>
      </c>
      <c r="AA10327">
        <v>0.98360590000000003</v>
      </c>
      <c r="AB10327">
        <v>26</v>
      </c>
      <c r="AC10327">
        <v>23.406400000000001</v>
      </c>
      <c r="AD10327">
        <v>-1.120157134197</v>
      </c>
      <c r="AE10327">
        <v>-4.78249999999999</v>
      </c>
      <c r="AF10327">
        <v>4.3712346451860196</v>
      </c>
      <c r="AG10327">
        <v>-1.120157134197</v>
      </c>
      <c r="AH10327">
        <v>23.433371980734002</v>
      </c>
      <c r="AI10327">
        <v>92.690418910315103</v>
      </c>
      <c r="AJ10327">
        <v>79.433552606034993</v>
      </c>
      <c r="AK10327">
        <v>23.8638925306836</v>
      </c>
      <c r="AL10327">
        <v>93.942969065039307</v>
      </c>
      <c r="AM10327">
        <v>88.623138463406406</v>
      </c>
      <c r="AN10327">
        <v>1.00000005161483</v>
      </c>
    </row>
    <row r="10328" spans="1:40" x14ac:dyDescent="0.25">
      <c r="A10328" t="str">
        <f>"20190303154041774"</f>
        <v>20190303154041774</v>
      </c>
      <c r="B10328" t="str">
        <f>"1551598841768320"</f>
        <v>1551598841768320</v>
      </c>
      <c r="C10328" t="s">
        <v>40</v>
      </c>
      <c r="D10328">
        <v>4.7692110000000003</v>
      </c>
      <c r="E10328">
        <v>0.518872</v>
      </c>
      <c r="F10328" t="s">
        <v>44</v>
      </c>
      <c r="G10328">
        <v>-133.18559999999999</v>
      </c>
      <c r="H10328">
        <v>1.0485180000000001</v>
      </c>
      <c r="I10328">
        <v>137.73259999999999</v>
      </c>
      <c r="J10328">
        <v>-133.85849999999999</v>
      </c>
      <c r="K10328">
        <v>1.1201399999999999</v>
      </c>
      <c r="L10328">
        <v>137.82259999999999</v>
      </c>
      <c r="M10328">
        <v>0.99971569999999998</v>
      </c>
      <c r="N10328">
        <v>-1.500751E-2</v>
      </c>
      <c r="O10328">
        <v>-1.8529469999999999E-2</v>
      </c>
      <c r="P10328">
        <v>0.99566149999999998</v>
      </c>
      <c r="Q10328">
        <v>-8.2936990000000002E-2</v>
      </c>
      <c r="R10328">
        <v>-4.2188999999999997E-2</v>
      </c>
      <c r="S10328">
        <v>2.9810490000000001</v>
      </c>
      <c r="T10328">
        <v>-0.2300469</v>
      </c>
      <c r="U10328">
        <v>-0.30809019999999998</v>
      </c>
      <c r="V10328">
        <v>2.3561309999999999E-2</v>
      </c>
      <c r="W10328">
        <v>-6.8034919999999999E-2</v>
      </c>
      <c r="X10328">
        <v>0.99740469999999903</v>
      </c>
      <c r="Y10328">
        <v>8.4090429999999994E-2</v>
      </c>
      <c r="Z10328">
        <v>-2.7185439999999998E-3</v>
      </c>
      <c r="AA10328">
        <v>0.99645439999999996</v>
      </c>
      <c r="AB10328">
        <v>26</v>
      </c>
      <c r="AC10328">
        <v>0.67289999999999806</v>
      </c>
      <c r="AD10328">
        <v>-7.1621999999999797E-2</v>
      </c>
      <c r="AE10328">
        <v>-9.0000000000003397E-2</v>
      </c>
      <c r="AF10328">
        <v>7.6661426053048307E-2</v>
      </c>
      <c r="AG10328">
        <v>-7.1621999999999797E-2</v>
      </c>
      <c r="AH10328">
        <v>0.66702832525816802</v>
      </c>
      <c r="AI10328">
        <v>96.088861479187401</v>
      </c>
      <c r="AJ10328">
        <v>83.443773801499304</v>
      </c>
      <c r="AK10328">
        <v>0.67522845898644002</v>
      </c>
      <c r="AL10328">
        <v>93.901127247763398</v>
      </c>
      <c r="AM10328">
        <v>88.646775375156096</v>
      </c>
      <c r="AN10328">
        <v>1.0000000106252001</v>
      </c>
    </row>
    <row r="10329" spans="1:40" x14ac:dyDescent="0.25">
      <c r="A10329" t="str">
        <f>"20190303154041797"</f>
        <v>20190303154041797</v>
      </c>
      <c r="B10329" t="str">
        <f>"1551598841788816"</f>
        <v>1551598841788816</v>
      </c>
      <c r="C10329" t="s">
        <v>40</v>
      </c>
      <c r="D10329">
        <v>4.6939320000000002</v>
      </c>
      <c r="E10329">
        <v>0.51647240000000005</v>
      </c>
      <c r="F10329" t="s">
        <v>44</v>
      </c>
      <c r="G10329">
        <v>-132.9579</v>
      </c>
      <c r="H10329">
        <v>1.043666</v>
      </c>
      <c r="I10329">
        <v>137.7388</v>
      </c>
      <c r="J10329">
        <v>-133.59620000000001</v>
      </c>
      <c r="K10329">
        <v>1.1201270000000001</v>
      </c>
      <c r="L10329">
        <v>137.81610000000001</v>
      </c>
      <c r="M10329">
        <v>0.99968769999999996</v>
      </c>
      <c r="N10329">
        <v>-1.5002049999999999E-2</v>
      </c>
      <c r="O10329">
        <v>-1.99942E-2</v>
      </c>
      <c r="P10329">
        <v>0.99564010000000003</v>
      </c>
      <c r="Q10329">
        <v>-8.2457230000000006E-2</v>
      </c>
      <c r="R10329">
        <v>-4.3615760000000003E-2</v>
      </c>
      <c r="S10329">
        <v>2.9802550000000001</v>
      </c>
      <c r="T10329">
        <v>-0.2530751</v>
      </c>
      <c r="U10329">
        <v>-0.27705380000000002</v>
      </c>
      <c r="V10329">
        <v>2.3526620000000002E-2</v>
      </c>
      <c r="W10329">
        <v>-6.7560960000000003E-2</v>
      </c>
      <c r="X10329">
        <v>0.99743769999999998</v>
      </c>
      <c r="Y10329">
        <v>7.2378979999999996E-2</v>
      </c>
      <c r="Z10329">
        <v>-2.2145540000000001E-3</v>
      </c>
      <c r="AA10329">
        <v>0.99737480000000001</v>
      </c>
      <c r="AB10329">
        <v>26</v>
      </c>
      <c r="AC10329">
        <v>0.63830000000001497</v>
      </c>
      <c r="AD10329">
        <v>-7.6461000000000098E-2</v>
      </c>
      <c r="AE10329">
        <v>-7.7300000000008098E-2</v>
      </c>
      <c r="AF10329">
        <v>6.3621089885940701E-2</v>
      </c>
      <c r="AG10329">
        <v>-7.6461000000000098E-2</v>
      </c>
      <c r="AH10329">
        <v>0.63079743555145296</v>
      </c>
      <c r="AI10329">
        <v>96.876738920552299</v>
      </c>
      <c r="AJ10329">
        <v>84.240726978769501</v>
      </c>
      <c r="AK10329">
        <v>0.63859167885086299</v>
      </c>
      <c r="AL10329">
        <v>93.873908849420602</v>
      </c>
      <c r="AM10329">
        <v>88.648811716463996</v>
      </c>
      <c r="AN10329">
        <v>0.99999997527301698</v>
      </c>
    </row>
    <row r="10330" spans="1:40" x14ac:dyDescent="0.25">
      <c r="A10330" t="str">
        <f>"20190303154041822"</f>
        <v>20190303154041822</v>
      </c>
      <c r="B10330" t="str">
        <f>"1551598841818096"</f>
        <v>1551598841818096</v>
      </c>
      <c r="C10330" t="s">
        <v>40</v>
      </c>
      <c r="D10330">
        <v>4.7056100000000001</v>
      </c>
      <c r="E10330">
        <v>0.5144299</v>
      </c>
      <c r="F10330" t="s">
        <v>44</v>
      </c>
      <c r="G10330">
        <v>-132.72720000000001</v>
      </c>
      <c r="H10330">
        <v>1.0419579999999999</v>
      </c>
      <c r="I10330">
        <v>137.7396</v>
      </c>
      <c r="J10330">
        <v>-133.31379999999999</v>
      </c>
      <c r="K10330">
        <v>1.1201099999999999</v>
      </c>
      <c r="L10330">
        <v>137.80860000000001</v>
      </c>
      <c r="M10330">
        <v>0.99965420000000005</v>
      </c>
      <c r="N10330">
        <v>-1.499606E-2</v>
      </c>
      <c r="O10330">
        <v>-2.160546E-2</v>
      </c>
      <c r="P10330">
        <v>0.99555170000000004</v>
      </c>
      <c r="Q10330">
        <v>-8.2504759999999996E-2</v>
      </c>
      <c r="R10330">
        <v>-4.5493749999999999E-2</v>
      </c>
      <c r="S10330">
        <v>2.9794309999999999</v>
      </c>
      <c r="T10330">
        <v>-0.2680573</v>
      </c>
      <c r="U10330">
        <v>-0.26225279999999901</v>
      </c>
      <c r="V10330">
        <v>2.3797249999999999E-2</v>
      </c>
      <c r="W10330">
        <v>-6.7616449999999995E-2</v>
      </c>
      <c r="X10330">
        <v>0.99742750000000002</v>
      </c>
      <c r="Y10330">
        <v>6.5888580000000002E-2</v>
      </c>
      <c r="Z10330">
        <v>-1.835826E-3</v>
      </c>
      <c r="AA10330">
        <v>0.99782530000000003</v>
      </c>
      <c r="AB10330">
        <v>26</v>
      </c>
      <c r="AC10330">
        <v>0.58659999999997503</v>
      </c>
      <c r="AD10330">
        <v>-7.8151999999999999E-2</v>
      </c>
      <c r="AE10330">
        <v>-6.9000000000016798E-2</v>
      </c>
      <c r="AF10330">
        <v>5.5339831727055103E-2</v>
      </c>
      <c r="AG10330">
        <v>-7.8151999999999999E-2</v>
      </c>
      <c r="AH10330">
        <v>0.57783740048513199</v>
      </c>
      <c r="AI10330">
        <v>97.667801299149204</v>
      </c>
      <c r="AJ10330">
        <v>84.529433742654305</v>
      </c>
      <c r="AK10330">
        <v>0.58571861288420202</v>
      </c>
      <c r="AL10330">
        <v>93.877095555711193</v>
      </c>
      <c r="AM10330">
        <v>88.633260699264</v>
      </c>
      <c r="AN10330">
        <v>0.999999955587206</v>
      </c>
    </row>
    <row r="10331" spans="1:40" x14ac:dyDescent="0.25">
      <c r="A10331" t="str">
        <f>"20190303154041848"</f>
        <v>20190303154041848</v>
      </c>
      <c r="B10331" t="str">
        <f>"1551598841838592"</f>
        <v>1551598841838592</v>
      </c>
      <c r="C10331" t="s">
        <v>40</v>
      </c>
      <c r="D10331">
        <v>4.7630749999999997</v>
      </c>
      <c r="E10331">
        <v>0.51337679999999997</v>
      </c>
      <c r="F10331" t="s">
        <v>44</v>
      </c>
      <c r="G10331">
        <v>-132.49440000000001</v>
      </c>
      <c r="H10331">
        <v>1.0436989999999999</v>
      </c>
      <c r="I10331">
        <v>137.73929999999999</v>
      </c>
      <c r="J10331">
        <v>-133.01089999999999</v>
      </c>
      <c r="K10331">
        <v>1.12009</v>
      </c>
      <c r="L10331">
        <v>137.80000000000001</v>
      </c>
      <c r="M10331">
        <v>0.99961440000000001</v>
      </c>
      <c r="N10331">
        <v>-1.498968E-2</v>
      </c>
      <c r="O10331">
        <v>-2.3378309999999999E-2</v>
      </c>
      <c r="P10331">
        <v>0.99544849999999996</v>
      </c>
      <c r="Q10331">
        <v>-8.2413330000000007E-2</v>
      </c>
      <c r="R10331">
        <v>-4.786058E-2</v>
      </c>
      <c r="S10331">
        <v>2.9788670000000002</v>
      </c>
      <c r="T10331">
        <v>-0.277827299999999</v>
      </c>
      <c r="U10331">
        <v>-0.25166319999999998</v>
      </c>
      <c r="V10331">
        <v>2.4395320000000002E-2</v>
      </c>
      <c r="W10331">
        <v>-6.7534369999999996E-2</v>
      </c>
      <c r="X10331">
        <v>0.99741860000000004</v>
      </c>
      <c r="Y10331">
        <v>6.0629379999999997E-2</v>
      </c>
      <c r="Z10331">
        <v>-1.450755E-3</v>
      </c>
      <c r="AA10331">
        <v>0.99815929999999997</v>
      </c>
      <c r="AB10331">
        <v>26</v>
      </c>
      <c r="AC10331">
        <v>0.51649999999997898</v>
      </c>
      <c r="AD10331">
        <v>-7.6391000000000098E-2</v>
      </c>
      <c r="AE10331">
        <v>-6.0700000000025497E-2</v>
      </c>
      <c r="AF10331">
        <v>4.75805192941261E-2</v>
      </c>
      <c r="AG10331">
        <v>-7.6391000000000098E-2</v>
      </c>
      <c r="AH10331">
        <v>0.50684200917959299</v>
      </c>
      <c r="AI10331">
        <v>98.534115300478504</v>
      </c>
      <c r="AJ10331">
        <v>84.636994147923801</v>
      </c>
      <c r="AK10331">
        <v>0.51477015547378502</v>
      </c>
      <c r="AL10331">
        <v>93.872381991449302</v>
      </c>
      <c r="AM10331">
        <v>88.598912976726595</v>
      </c>
      <c r="AN10331">
        <v>0.99999994319757801</v>
      </c>
    </row>
    <row r="10332" spans="1:40" x14ac:dyDescent="0.25">
      <c r="A10332" t="str">
        <f>"20190303154041866"</f>
        <v>20190303154041866</v>
      </c>
      <c r="B10332" t="str">
        <f>"1551598841858112"</f>
        <v>1551598841858112</v>
      </c>
      <c r="C10332" t="s">
        <v>40</v>
      </c>
      <c r="D10332">
        <v>4.723821</v>
      </c>
      <c r="E10332">
        <v>0.51222239999999997</v>
      </c>
      <c r="F10332" t="s">
        <v>44</v>
      </c>
      <c r="G10332">
        <v>-132.25819999999999</v>
      </c>
      <c r="H10332">
        <v>1.049113</v>
      </c>
      <c r="I10332">
        <v>137.73670000000001</v>
      </c>
      <c r="J10332">
        <v>-132.7979</v>
      </c>
      <c r="K10332">
        <v>1.120082</v>
      </c>
      <c r="L10332">
        <v>137.7936</v>
      </c>
      <c r="M10332">
        <v>0.99958380000000002</v>
      </c>
      <c r="N10332">
        <v>-1.4985210000000001E-2</v>
      </c>
      <c r="O10332">
        <v>-2.465347E-2</v>
      </c>
      <c r="P10332">
        <v>0.99540640000000002</v>
      </c>
      <c r="Q10332">
        <v>-8.2014429999999999E-2</v>
      </c>
      <c r="R10332">
        <v>-4.939346E-2</v>
      </c>
      <c r="S10332">
        <v>2.9784389999999998</v>
      </c>
      <c r="T10332">
        <v>-0.28090730000000003</v>
      </c>
      <c r="U10332">
        <v>-0.25025940000000002</v>
      </c>
      <c r="V10332">
        <v>2.4656330000000001E-2</v>
      </c>
      <c r="W10332">
        <v>-6.7141149999999997E-2</v>
      </c>
      <c r="X10332">
        <v>0.99743879999999996</v>
      </c>
      <c r="Y10332">
        <v>5.8909169999999997E-2</v>
      </c>
      <c r="Z10332">
        <v>-1.2633519999999999E-3</v>
      </c>
      <c r="AA10332">
        <v>0.99826250000000005</v>
      </c>
      <c r="AB10332">
        <v>26</v>
      </c>
      <c r="AC10332">
        <v>0.53970000000000995</v>
      </c>
      <c r="AD10332">
        <v>-7.0969000000000004E-2</v>
      </c>
      <c r="AE10332">
        <v>-5.6899999999984602E-2</v>
      </c>
      <c r="AF10332">
        <v>4.2843054105094799E-2</v>
      </c>
      <c r="AG10332">
        <v>-7.0969000000000004E-2</v>
      </c>
      <c r="AH10332">
        <v>0.53184359076188104</v>
      </c>
      <c r="AI10332">
        <v>97.576369807051705</v>
      </c>
      <c r="AJ10332">
        <v>85.394441065160294</v>
      </c>
      <c r="AK10332">
        <v>0.53826548401373697</v>
      </c>
      <c r="AL10332">
        <v>93.849800616135198</v>
      </c>
      <c r="AM10332">
        <v>88.583957227742104</v>
      </c>
      <c r="AN10332">
        <v>1.00000001418891</v>
      </c>
    </row>
    <row r="10333" spans="1:40" x14ac:dyDescent="0.25">
      <c r="A10333" t="str">
        <f>"20190303154041886"</f>
        <v>20190303154041886</v>
      </c>
      <c r="B10333" t="str">
        <f>"1551598841878608"</f>
        <v>1551598841878608</v>
      </c>
      <c r="C10333" t="s">
        <v>40</v>
      </c>
      <c r="D10333">
        <v>4.7616769999999997</v>
      </c>
      <c r="E10333">
        <v>0.51185779999999903</v>
      </c>
      <c r="F10333" t="s">
        <v>44</v>
      </c>
      <c r="G10333">
        <v>-132.03039999999999</v>
      </c>
      <c r="H10333">
        <v>1.0460739999999999</v>
      </c>
      <c r="I10333">
        <v>137.73009999999999</v>
      </c>
      <c r="J10333">
        <v>-132.56890000000001</v>
      </c>
      <c r="K10333">
        <v>1.1200699999999999</v>
      </c>
      <c r="L10333">
        <v>137.78639999999999</v>
      </c>
      <c r="M10333">
        <v>0.99954860000000001</v>
      </c>
      <c r="N10333">
        <v>-1.498037E-2</v>
      </c>
      <c r="O10333">
        <v>-2.6042079999999999E-2</v>
      </c>
      <c r="P10333">
        <v>0.99543060000000005</v>
      </c>
      <c r="Q10333">
        <v>-8.0883609999999995E-2</v>
      </c>
      <c r="R10333">
        <v>-5.0749919999999997E-2</v>
      </c>
      <c r="S10333">
        <v>2.9779659999999999</v>
      </c>
      <c r="T10333">
        <v>-0.28720210000000002</v>
      </c>
      <c r="U10333">
        <v>-0.24580379999999999</v>
      </c>
      <c r="V10333">
        <v>2.4628569999999999E-2</v>
      </c>
      <c r="W10333">
        <v>-6.6014669999999998E-2</v>
      </c>
      <c r="X10333">
        <v>0.99751469999999998</v>
      </c>
      <c r="Y10333">
        <v>5.6063219999999997E-2</v>
      </c>
      <c r="Z10333">
        <v>-1.002628E-3</v>
      </c>
      <c r="AA10333">
        <v>0.9984267</v>
      </c>
      <c r="AB10333">
        <v>26</v>
      </c>
      <c r="AC10333">
        <v>0.53850000000002696</v>
      </c>
      <c r="AD10333">
        <v>-7.3996000000000103E-2</v>
      </c>
      <c r="AE10333">
        <v>-5.6299999999993099E-2</v>
      </c>
      <c r="AF10333">
        <v>4.1480899224023801E-2</v>
      </c>
      <c r="AG10333">
        <v>-7.3996000000000103E-2</v>
      </c>
      <c r="AH10333">
        <v>0.52988658900984498</v>
      </c>
      <c r="AI10333">
        <v>97.925720639456301</v>
      </c>
      <c r="AJ10333">
        <v>85.523866084811701</v>
      </c>
      <c r="AK10333">
        <v>0.53663383254219199</v>
      </c>
      <c r="AL10333">
        <v>93.785114442796399</v>
      </c>
      <c r="AM10333">
        <v>88.585658450443901</v>
      </c>
      <c r="AN10333">
        <v>1.00000003991577</v>
      </c>
    </row>
    <row r="10334" spans="1:40" x14ac:dyDescent="0.25">
      <c r="A10334" t="str">
        <f>"20190303154041908"</f>
        <v>20190303154041908</v>
      </c>
      <c r="B10334" t="str">
        <f>"1551598841898128"</f>
        <v>1551598841898128</v>
      </c>
      <c r="C10334" t="s">
        <v>40</v>
      </c>
      <c r="D10334">
        <v>4.7184249999999999</v>
      </c>
      <c r="E10334">
        <v>0.51146080000000005</v>
      </c>
      <c r="F10334" t="s">
        <v>44</v>
      </c>
      <c r="G10334">
        <v>-131.7998</v>
      </c>
      <c r="H10334">
        <v>1.046794</v>
      </c>
      <c r="I10334">
        <v>137.7226</v>
      </c>
      <c r="J10334">
        <v>-132.31120000000001</v>
      </c>
      <c r="K10334">
        <v>1.1200600000000001</v>
      </c>
      <c r="L10334">
        <v>137.77789999999999</v>
      </c>
      <c r="M10334">
        <v>0.99950640000000002</v>
      </c>
      <c r="N10334">
        <v>-1.497481E-2</v>
      </c>
      <c r="O10334">
        <v>-2.7620840000000001E-2</v>
      </c>
      <c r="P10334">
        <v>0.99544200000000005</v>
      </c>
      <c r="Q10334">
        <v>-8.0358180000000001E-2</v>
      </c>
      <c r="R10334">
        <v>-5.1361190000000001E-2</v>
      </c>
      <c r="S10334">
        <v>2.9781490000000002</v>
      </c>
      <c r="T10334">
        <v>-0.28377249999999998</v>
      </c>
      <c r="U10334">
        <v>-0.24685670000000001</v>
      </c>
      <c r="V10334">
        <v>2.366509E-2</v>
      </c>
      <c r="W10334">
        <v>-6.5491789999999994E-2</v>
      </c>
      <c r="X10334">
        <v>0.99757240000000003</v>
      </c>
      <c r="Y10334">
        <v>5.4847359999999998E-2</v>
      </c>
      <c r="Z10334">
        <v>-8.0705179999999998E-4</v>
      </c>
      <c r="AA10334">
        <v>0.9984944</v>
      </c>
      <c r="AB10334">
        <v>26</v>
      </c>
      <c r="AC10334">
        <v>0.51140000000000896</v>
      </c>
      <c r="AD10334">
        <v>-7.3265999999999998E-2</v>
      </c>
      <c r="AE10334">
        <v>-5.5299999999988303E-2</v>
      </c>
      <c r="AF10334">
        <v>4.0333734241188801E-2</v>
      </c>
      <c r="AG10334">
        <v>-7.3265999999999998E-2</v>
      </c>
      <c r="AH10334">
        <v>0.50253707967693595</v>
      </c>
      <c r="AI10334">
        <v>98.268618933090593</v>
      </c>
      <c r="AJ10334">
        <v>85.411264617321294</v>
      </c>
      <c r="AK10334">
        <v>0.50944895065557005</v>
      </c>
      <c r="AL10334">
        <v>93.755090982487602</v>
      </c>
      <c r="AM10334">
        <v>88.641045490470006</v>
      </c>
      <c r="AN10334">
        <v>0.99999995214193504</v>
      </c>
    </row>
    <row r="10335" spans="1:40" x14ac:dyDescent="0.25">
      <c r="A10335" t="str">
        <f>"20190303154041932"</f>
        <v>20190303154041932</v>
      </c>
      <c r="B10335" t="str">
        <f>"1551598841918625"</f>
        <v>1551598841918625</v>
      </c>
      <c r="C10335" t="s">
        <v>40</v>
      </c>
      <c r="D10335">
        <v>4.7295389999999999</v>
      </c>
      <c r="E10335">
        <v>0.510876</v>
      </c>
      <c r="F10335" t="s">
        <v>44</v>
      </c>
      <c r="G10335">
        <v>-131.5677</v>
      </c>
      <c r="H10335">
        <v>1.049412</v>
      </c>
      <c r="I10335">
        <v>137.71639999999999</v>
      </c>
      <c r="J10335">
        <v>-132.05889999999999</v>
      </c>
      <c r="K10335">
        <v>1.1200570000000001</v>
      </c>
      <c r="L10335">
        <v>137.76910000000001</v>
      </c>
      <c r="M10335">
        <v>0.99946210000000002</v>
      </c>
      <c r="N10335">
        <v>-1.496918E-2</v>
      </c>
      <c r="O10335">
        <v>-2.9179429999999999E-2</v>
      </c>
      <c r="P10335">
        <v>0.99539219999999895</v>
      </c>
      <c r="Q10335">
        <v>-8.0314380000000005E-2</v>
      </c>
      <c r="R10335">
        <v>-5.2382459999999999E-2</v>
      </c>
      <c r="S10335">
        <v>2.9782099999999998</v>
      </c>
      <c r="T10335">
        <v>-0.28303420000000001</v>
      </c>
      <c r="U10335">
        <v>-0.24549869999999999</v>
      </c>
      <c r="V10335">
        <v>2.3133219999999999E-2</v>
      </c>
      <c r="W10335">
        <v>-6.5452109999999994E-2</v>
      </c>
      <c r="X10335">
        <v>0.99758749999999996</v>
      </c>
      <c r="Y10335">
        <v>5.2852469999999999E-2</v>
      </c>
      <c r="Z10335">
        <v>-5.7322720000000001E-4</v>
      </c>
      <c r="AA10335">
        <v>0.9986022</v>
      </c>
      <c r="AB10335">
        <v>26</v>
      </c>
      <c r="AC10335">
        <v>0.49119999999999198</v>
      </c>
      <c r="AD10335">
        <v>-7.0644999999999999E-2</v>
      </c>
      <c r="AE10335">
        <v>-5.27000000000157E-2</v>
      </c>
      <c r="AF10335">
        <v>3.7574642528888202E-2</v>
      </c>
      <c r="AG10335">
        <v>-7.0644999999999999E-2</v>
      </c>
      <c r="AH10335">
        <v>0.482658753758683</v>
      </c>
      <c r="AI10335">
        <v>98.302278003086499</v>
      </c>
      <c r="AJ10335">
        <v>85.548542315406195</v>
      </c>
      <c r="AK10335">
        <v>0.48924640250701701</v>
      </c>
      <c r="AL10335">
        <v>93.752812521370103</v>
      </c>
      <c r="AM10335">
        <v>88.671596857024497</v>
      </c>
      <c r="AN10335">
        <v>0.99999997236363403</v>
      </c>
    </row>
    <row r="10336" spans="1:40" x14ac:dyDescent="0.25">
      <c r="A10336" t="str">
        <f>"20190303154041952"</f>
        <v>20190303154041952</v>
      </c>
      <c r="B10336" t="str">
        <f>"1551598841947904"</f>
        <v>1551598841947904</v>
      </c>
      <c r="C10336" t="s">
        <v>40</v>
      </c>
      <c r="D10336">
        <v>4.715884</v>
      </c>
      <c r="E10336">
        <v>0.51014369999999998</v>
      </c>
      <c r="F10336" t="s">
        <v>44</v>
      </c>
      <c r="G10336">
        <v>-131.12360000000001</v>
      </c>
      <c r="H10336">
        <v>1.029701</v>
      </c>
      <c r="I10336">
        <v>137.69239999999999</v>
      </c>
      <c r="J10336">
        <v>-131.7998</v>
      </c>
      <c r="K10336">
        <v>1.120053</v>
      </c>
      <c r="L10336">
        <v>137.75970000000001</v>
      </c>
      <c r="M10336">
        <v>0.99941400000000002</v>
      </c>
      <c r="N10336">
        <v>-1.496333E-2</v>
      </c>
      <c r="O10336">
        <v>-3.078678E-2</v>
      </c>
      <c r="P10336">
        <v>0.99537359999999997</v>
      </c>
      <c r="Q10336">
        <v>-8.0296919999999994E-2</v>
      </c>
      <c r="R10336">
        <v>-5.2761679999999998E-2</v>
      </c>
      <c r="S10336">
        <v>2.9778440000000002</v>
      </c>
      <c r="T10336">
        <v>-0.28766989999999998</v>
      </c>
      <c r="U10336">
        <v>-0.24395749999999999</v>
      </c>
      <c r="V10336">
        <v>2.1910539999999999E-2</v>
      </c>
      <c r="W10336">
        <v>-6.5436560000000005E-2</v>
      </c>
      <c r="X10336">
        <v>0.99761619999999995</v>
      </c>
      <c r="Y10336">
        <v>5.0754790000000001E-2</v>
      </c>
      <c r="Z10336">
        <v>-3.2142569999999999E-4</v>
      </c>
      <c r="AA10336">
        <v>0.99871109999999996</v>
      </c>
      <c r="AB10336">
        <v>26</v>
      </c>
      <c r="AC10336">
        <v>0.67619999999999403</v>
      </c>
      <c r="AD10336">
        <v>-9.0352000000000002E-2</v>
      </c>
      <c r="AE10336">
        <v>-6.7300000000017193E-2</v>
      </c>
      <c r="AF10336">
        <v>4.5640879594557503E-2</v>
      </c>
      <c r="AG10336">
        <v>-9.0352000000000002E-2</v>
      </c>
      <c r="AH10336">
        <v>0.66617463276631905</v>
      </c>
      <c r="AI10336">
        <v>97.705941793955006</v>
      </c>
      <c r="AJ10336">
        <v>86.080682772394496</v>
      </c>
      <c r="AK10336">
        <v>0.67382135253752895</v>
      </c>
      <c r="AL10336">
        <v>93.751919370584503</v>
      </c>
      <c r="AM10336">
        <v>88.741821078102006</v>
      </c>
      <c r="AN10336">
        <v>1.00000004882508</v>
      </c>
    </row>
    <row r="10337" spans="1:40" x14ac:dyDescent="0.25">
      <c r="A10337" t="str">
        <f>"20190303154041976"</f>
        <v>20190303154041976</v>
      </c>
      <c r="B10337" t="str">
        <f>"1551598841968401"</f>
        <v>1551598841968401</v>
      </c>
      <c r="C10337" t="s">
        <v>40</v>
      </c>
      <c r="D10337">
        <v>4.7726940000000004</v>
      </c>
      <c r="E10337">
        <v>0.50953400000000004</v>
      </c>
      <c r="F10337" t="s">
        <v>44</v>
      </c>
      <c r="G10337">
        <v>-130.8947</v>
      </c>
      <c r="H10337">
        <v>1.0308850000000001</v>
      </c>
      <c r="I10337">
        <v>137.68680000000001</v>
      </c>
      <c r="J10337">
        <v>-131.54390000000001</v>
      </c>
      <c r="K10337">
        <v>1.1200559999999999</v>
      </c>
      <c r="L10337">
        <v>137.75</v>
      </c>
      <c r="M10337">
        <v>0.99936380000000002</v>
      </c>
      <c r="N10337">
        <v>-1.4957399999999999E-2</v>
      </c>
      <c r="O10337">
        <v>-3.2377019999999999E-2</v>
      </c>
      <c r="P10337">
        <v>0.99533919999999998</v>
      </c>
      <c r="Q10337">
        <v>-8.0400159999999998E-2</v>
      </c>
      <c r="R10337">
        <v>-5.3251409999999999E-2</v>
      </c>
      <c r="S10337">
        <v>2.9775849999999999</v>
      </c>
      <c r="T10337">
        <v>-0.29333730000000002</v>
      </c>
      <c r="U10337">
        <v>-0.2394104</v>
      </c>
      <c r="V10337">
        <v>2.0815899999999998E-2</v>
      </c>
      <c r="W10337">
        <v>-6.5542240000000002E-2</v>
      </c>
      <c r="X10337">
        <v>0.99763270000000004</v>
      </c>
      <c r="Y10337">
        <v>4.7674639999999997E-2</v>
      </c>
      <c r="Z10337" s="1">
        <v>-4.413538E-6</v>
      </c>
      <c r="AA10337">
        <v>0.9988629</v>
      </c>
      <c r="AB10337">
        <v>26</v>
      </c>
      <c r="AC10337">
        <v>0.64920000000000699</v>
      </c>
      <c r="AD10337">
        <v>-8.9170999999999806E-2</v>
      </c>
      <c r="AE10337">
        <v>-6.3199999999994802E-2</v>
      </c>
      <c r="AF10337">
        <v>4.1372128086818297E-2</v>
      </c>
      <c r="AG10337">
        <v>-8.9170999999999806E-2</v>
      </c>
      <c r="AH10337">
        <v>0.63896420845559998</v>
      </c>
      <c r="AI10337">
        <v>97.9282431130475</v>
      </c>
      <c r="AJ10337">
        <v>86.295341768368999</v>
      </c>
      <c r="AK10337">
        <v>0.64648153872382397</v>
      </c>
      <c r="AL10337">
        <v>93.757987427216193</v>
      </c>
      <c r="AM10337">
        <v>88.804680136813403</v>
      </c>
      <c r="AN10337">
        <v>1.0000000455131499</v>
      </c>
    </row>
    <row r="10338" spans="1:40" x14ac:dyDescent="0.25">
      <c r="A10338" t="str">
        <f>"20190303154041998"</f>
        <v>20190303154041998</v>
      </c>
      <c r="B10338" t="str">
        <f>"1551598841987920"</f>
        <v>1551598841987920</v>
      </c>
      <c r="C10338" t="s">
        <v>40</v>
      </c>
      <c r="D10338">
        <v>4.7733540000000003</v>
      </c>
      <c r="E10338">
        <v>0.50895679999999999</v>
      </c>
      <c r="F10338" t="s">
        <v>44</v>
      </c>
      <c r="G10338">
        <v>-130.66630000000001</v>
      </c>
      <c r="H10338">
        <v>1.031833</v>
      </c>
      <c r="I10338">
        <v>137.68020000000001</v>
      </c>
      <c r="J10338">
        <v>-131.28659999999999</v>
      </c>
      <c r="K10338">
        <v>1.120066</v>
      </c>
      <c r="L10338">
        <v>137.7398</v>
      </c>
      <c r="M10338">
        <v>0.99931099999999995</v>
      </c>
      <c r="N10338">
        <v>-1.495138E-2</v>
      </c>
      <c r="O10338">
        <v>-3.3974150000000002E-2</v>
      </c>
      <c r="P10338">
        <v>0.99532969999999998</v>
      </c>
      <c r="Q10338">
        <v>-8.0479670000000003E-2</v>
      </c>
      <c r="R10338">
        <v>-5.3309780000000001E-2</v>
      </c>
      <c r="S10338">
        <v>2.9772340000000002</v>
      </c>
      <c r="T10338">
        <v>-0.29937370000000002</v>
      </c>
      <c r="U10338">
        <v>-0.23608399999999999</v>
      </c>
      <c r="V10338">
        <v>1.928291E-2</v>
      </c>
      <c r="W10338">
        <v>-6.5622929999999996E-2</v>
      </c>
      <c r="X10338">
        <v>0.99765809999999999</v>
      </c>
      <c r="Y10338">
        <v>4.499504E-2</v>
      </c>
      <c r="Z10338">
        <v>3.034604E-4</v>
      </c>
      <c r="AA10338">
        <v>0.99898710000000002</v>
      </c>
      <c r="AB10338">
        <v>25</v>
      </c>
      <c r="AC10338">
        <v>0.62029999999998597</v>
      </c>
      <c r="AD10338">
        <v>-8.8233000000000006E-2</v>
      </c>
      <c r="AE10338">
        <v>-5.9599999999989002E-2</v>
      </c>
      <c r="AF10338">
        <v>3.77326102417695E-2</v>
      </c>
      <c r="AG10338">
        <v>-8.8233000000000006E-2</v>
      </c>
      <c r="AH10338">
        <v>0.60974288605632299</v>
      </c>
      <c r="AI10338">
        <v>98.218341048151302</v>
      </c>
      <c r="AJ10338">
        <v>86.458891097153199</v>
      </c>
      <c r="AK10338">
        <v>0.61724808566811395</v>
      </c>
      <c r="AL10338">
        <v>93.762620987937595</v>
      </c>
      <c r="AM10338">
        <v>88.8927150388934</v>
      </c>
      <c r="AN10338">
        <v>0.99999994202772902</v>
      </c>
    </row>
    <row r="10339" spans="1:40" x14ac:dyDescent="0.25">
      <c r="A10339" t="str">
        <f>"20190303154042023"</f>
        <v>20190303154042023</v>
      </c>
      <c r="B10339" t="str">
        <f>"1551598842018176"</f>
        <v>1551598842018176</v>
      </c>
      <c r="C10339" t="s">
        <v>40</v>
      </c>
      <c r="D10339">
        <v>4.7895390000000004</v>
      </c>
      <c r="E10339">
        <v>0.50811759999999995</v>
      </c>
      <c r="F10339" t="s">
        <v>44</v>
      </c>
      <c r="G10339">
        <v>-130.43819999999999</v>
      </c>
      <c r="H10339">
        <v>1.0331999999999999</v>
      </c>
      <c r="I10339">
        <v>137.6737</v>
      </c>
      <c r="J10339">
        <v>-131.01130000000001</v>
      </c>
      <c r="K10339">
        <v>1.1200749999999999</v>
      </c>
      <c r="L10339">
        <v>137.7285</v>
      </c>
      <c r="M10339">
        <v>0.99925180000000002</v>
      </c>
      <c r="N10339">
        <v>-1.4944890000000001E-2</v>
      </c>
      <c r="O10339">
        <v>-3.5672780000000001E-2</v>
      </c>
      <c r="P10339">
        <v>0.99546500000000004</v>
      </c>
      <c r="Q10339">
        <v>-7.8666139999999996E-2</v>
      </c>
      <c r="R10339">
        <v>-5.3491759999999999E-2</v>
      </c>
      <c r="S10339">
        <v>2.97702</v>
      </c>
      <c r="T10339">
        <v>-0.3048342</v>
      </c>
      <c r="U10339">
        <v>-0.23168949999999999</v>
      </c>
      <c r="V10339">
        <v>1.777169E-2</v>
      </c>
      <c r="W10339">
        <v>-6.3808989999999996E-2</v>
      </c>
      <c r="X10339">
        <v>0.99780389999999997</v>
      </c>
      <c r="Y10339">
        <v>4.1858289999999999E-2</v>
      </c>
      <c r="Z10339">
        <v>6.56013E-4</v>
      </c>
      <c r="AA10339">
        <v>0.99912330000000005</v>
      </c>
      <c r="AB10339">
        <v>25</v>
      </c>
      <c r="AC10339">
        <v>0.57310000000001005</v>
      </c>
      <c r="AD10339">
        <v>-8.6874999999999994E-2</v>
      </c>
      <c r="AE10339">
        <v>-5.4800000000000099E-2</v>
      </c>
      <c r="AF10339">
        <v>3.3554696936219701E-2</v>
      </c>
      <c r="AG10339">
        <v>-8.6874999999999994E-2</v>
      </c>
      <c r="AH10339">
        <v>0.56189549803528305</v>
      </c>
      <c r="AI10339">
        <v>98.773558140148396</v>
      </c>
      <c r="AJ10339">
        <v>86.582528131063697</v>
      </c>
      <c r="AK10339">
        <v>0.56956100114368802</v>
      </c>
      <c r="AL10339">
        <v>93.658471244032299</v>
      </c>
      <c r="AM10339">
        <v>88.979623970507205</v>
      </c>
      <c r="AN10339">
        <v>1.00000002151274</v>
      </c>
    </row>
    <row r="10340" spans="1:40" x14ac:dyDescent="0.25">
      <c r="A10340" t="str">
        <f>"20190303154042046"</f>
        <v>20190303154042046</v>
      </c>
      <c r="B10340" t="str">
        <f>"1551598842038672"</f>
        <v>1551598842038672</v>
      </c>
      <c r="C10340" t="s">
        <v>40</v>
      </c>
      <c r="D10340">
        <v>4.8194210000000002</v>
      </c>
      <c r="E10340">
        <v>0.49106349999999999</v>
      </c>
      <c r="F10340" t="s">
        <v>44</v>
      </c>
      <c r="G10340">
        <v>-130.20689999999999</v>
      </c>
      <c r="H10340">
        <v>1.0406070000000001</v>
      </c>
      <c r="I10340">
        <v>137.66749999999999</v>
      </c>
      <c r="J10340">
        <v>-130.74719999999999</v>
      </c>
      <c r="K10340">
        <v>1.1200939999999999</v>
      </c>
      <c r="L10340">
        <v>137.71719999999999</v>
      </c>
      <c r="M10340">
        <v>0.9991932</v>
      </c>
      <c r="N10340">
        <v>-1.493853E-2</v>
      </c>
      <c r="O10340">
        <v>-3.7284409999999997E-2</v>
      </c>
      <c r="P10340">
        <v>0.9955214</v>
      </c>
      <c r="Q10340">
        <v>-7.7971940000000003E-2</v>
      </c>
      <c r="R10340">
        <v>-5.345975E-2</v>
      </c>
      <c r="S10340">
        <v>2.9783019999999998</v>
      </c>
      <c r="T10340">
        <v>-0.29425000000000001</v>
      </c>
      <c r="U10340">
        <v>-0.2255249</v>
      </c>
      <c r="V10340">
        <v>1.6134240000000001E-2</v>
      </c>
      <c r="W10340">
        <v>-6.3115039999999997E-2</v>
      </c>
      <c r="X10340">
        <v>0.99787579999999998</v>
      </c>
      <c r="Y10340">
        <v>3.8188729999999997E-2</v>
      </c>
      <c r="Z10340">
        <v>9.4648040000000001E-4</v>
      </c>
      <c r="AA10340">
        <v>0.99927010000000005</v>
      </c>
      <c r="AB10340">
        <v>25</v>
      </c>
      <c r="AC10340">
        <v>0.540300000000002</v>
      </c>
      <c r="AD10340">
        <v>-7.9487000000000002E-2</v>
      </c>
      <c r="AE10340">
        <v>-4.9700000000001403E-2</v>
      </c>
      <c r="AF10340">
        <v>2.8898220839134101E-2</v>
      </c>
      <c r="AG10340">
        <v>-7.9487000000000002E-2</v>
      </c>
      <c r="AH10340">
        <v>0.53039434957086695</v>
      </c>
      <c r="AI10340">
        <v>98.510705105802003</v>
      </c>
      <c r="AJ10340">
        <v>86.881357023751093</v>
      </c>
      <c r="AK10340">
        <v>0.53709538854226802</v>
      </c>
      <c r="AL10340">
        <v>93.618630726315402</v>
      </c>
      <c r="AM10340">
        <v>89.073689015187696</v>
      </c>
      <c r="AN10340">
        <v>0.99999996710010897</v>
      </c>
    </row>
    <row r="10341" spans="1:40" x14ac:dyDescent="0.25">
      <c r="A10341" t="str">
        <f>"20190303154042065"</f>
        <v>20190303154042065</v>
      </c>
      <c r="B10341" t="str">
        <f>"1551598842058192"</f>
        <v>1551598842058192</v>
      </c>
      <c r="C10341" t="s">
        <v>40</v>
      </c>
      <c r="D10341">
        <v>4.8037910000000004</v>
      </c>
      <c r="E10341">
        <v>0.48928319999999997</v>
      </c>
      <c r="F10341" t="s">
        <v>42</v>
      </c>
      <c r="G10341">
        <v>-109.8797</v>
      </c>
      <c r="H10341" s="1">
        <v>-6.9984459999999996E-7</v>
      </c>
      <c r="I10341">
        <v>137.1003</v>
      </c>
      <c r="J10341">
        <v>-130.53059999999999</v>
      </c>
      <c r="K10341">
        <v>1.1201219999999901</v>
      </c>
      <c r="L10341">
        <v>137.70760000000001</v>
      </c>
      <c r="M10341">
        <v>0.99914389999999997</v>
      </c>
      <c r="N10341">
        <v>-1.493305E-2</v>
      </c>
      <c r="O10341">
        <v>-3.8581120000000003E-2</v>
      </c>
      <c r="P10341">
        <v>0.99563749999999995</v>
      </c>
      <c r="Q10341">
        <v>-7.6494380000000001E-2</v>
      </c>
      <c r="R10341">
        <v>-5.3426559999999998E-2</v>
      </c>
      <c r="S10341">
        <v>2.99614</v>
      </c>
      <c r="T10341">
        <v>-0.1608224</v>
      </c>
      <c r="U10341">
        <v>-8.8562009999999997E-2</v>
      </c>
      <c r="V10341">
        <v>1.48097E-2</v>
      </c>
      <c r="W10341">
        <v>-6.1636910000000003E-2</v>
      </c>
      <c r="X10341">
        <v>0.99798880000000001</v>
      </c>
      <c r="Y10341">
        <v>-8.9993529999999999E-3</v>
      </c>
      <c r="Z10341">
        <v>1.800924E-3</v>
      </c>
      <c r="AA10341">
        <v>0.99995789999999996</v>
      </c>
      <c r="AB10341">
        <v>25</v>
      </c>
      <c r="AC10341">
        <v>20.6509</v>
      </c>
      <c r="AD10341">
        <v>-1.1201226998445999</v>
      </c>
      <c r="AE10341">
        <v>-0.60730000000000905</v>
      </c>
      <c r="AF10341">
        <v>-0.189419137525347</v>
      </c>
      <c r="AG10341">
        <v>-1.1201226998445999</v>
      </c>
      <c r="AH10341">
        <v>20.598404695965399</v>
      </c>
      <c r="AI10341">
        <v>93.112495872334506</v>
      </c>
      <c r="AJ10341">
        <v>90.526866589738205</v>
      </c>
      <c r="AK10341">
        <v>20.629707474686501</v>
      </c>
      <c r="AL10341">
        <v>93.533774607868196</v>
      </c>
      <c r="AM10341">
        <v>89.149819087834501</v>
      </c>
      <c r="AN10341">
        <v>1.00000004040693</v>
      </c>
    </row>
    <row r="10342" spans="1:40" x14ac:dyDescent="0.25">
      <c r="A10342" t="str">
        <f>"20190303154042087"</f>
        <v>20190303154042087</v>
      </c>
      <c r="B10342" t="str">
        <f>"1551598842078689"</f>
        <v>1551598842078689</v>
      </c>
      <c r="C10342" t="s">
        <v>40</v>
      </c>
      <c r="D10342">
        <v>4.7958790000000002</v>
      </c>
      <c r="E10342">
        <v>0.48779670000000003</v>
      </c>
      <c r="F10342" t="s">
        <v>42</v>
      </c>
      <c r="G10342">
        <v>-110.5183</v>
      </c>
      <c r="H10342" s="1">
        <v>-4.4767230000000003E-6</v>
      </c>
      <c r="I10342">
        <v>137.21029999999999</v>
      </c>
      <c r="J10342">
        <v>-130.2801</v>
      </c>
      <c r="K10342">
        <v>1.120174</v>
      </c>
      <c r="L10342">
        <v>137.6962</v>
      </c>
      <c r="M10342">
        <v>0.99908680000000005</v>
      </c>
      <c r="N10342">
        <v>-1.4926419999999999E-2</v>
      </c>
      <c r="O10342">
        <v>-4.0038049999999999E-2</v>
      </c>
      <c r="P10342">
        <v>0.99553820000000004</v>
      </c>
      <c r="Q10342">
        <v>-7.654511E-2</v>
      </c>
      <c r="R10342">
        <v>-5.5182009999999997E-2</v>
      </c>
      <c r="S10342">
        <v>2.9962620000000002</v>
      </c>
      <c r="T10342">
        <v>-0.167706299999999</v>
      </c>
      <c r="U10342">
        <v>-7.4447630000000001E-2</v>
      </c>
      <c r="V10342">
        <v>1.511885E-2</v>
      </c>
      <c r="W10342">
        <v>-6.1693869999999998E-2</v>
      </c>
      <c r="X10342">
        <v>0.9979806</v>
      </c>
      <c r="Y10342">
        <v>-1.5147249999999999E-2</v>
      </c>
      <c r="Z10342">
        <v>2.1774559999999999E-3</v>
      </c>
      <c r="AA10342">
        <v>0.99988290000000002</v>
      </c>
      <c r="AB10342">
        <v>25</v>
      </c>
      <c r="AC10342">
        <v>19.761800000000001</v>
      </c>
      <c r="AD10342">
        <v>-1.1201784767229901</v>
      </c>
      <c r="AE10342">
        <v>-0.48590000000001499</v>
      </c>
      <c r="AF10342">
        <v>-0.30482285759233801</v>
      </c>
      <c r="AG10342">
        <v>-1.1201784767229901</v>
      </c>
      <c r="AH10342">
        <v>19.702140946966601</v>
      </c>
      <c r="AI10342">
        <v>93.253698194057904</v>
      </c>
      <c r="AJ10342">
        <v>90.886384375875593</v>
      </c>
      <c r="AK10342">
        <v>19.736313604327499</v>
      </c>
      <c r="AL10342">
        <v>93.5370445568348</v>
      </c>
      <c r="AM10342">
        <v>89.132067260874607</v>
      </c>
      <c r="AN10342">
        <v>0.99999999559862895</v>
      </c>
    </row>
    <row r="10343" spans="1:40" x14ac:dyDescent="0.25">
      <c r="A10343" t="str">
        <f>"20190303154042109"</f>
        <v>20190303154042109</v>
      </c>
      <c r="B10343" t="str">
        <f>"1551598842098209"</f>
        <v>1551598842098209</v>
      </c>
      <c r="C10343" t="s">
        <v>40</v>
      </c>
      <c r="D10343">
        <v>4.7178120000000003</v>
      </c>
      <c r="E10343">
        <v>0.48805880000000001</v>
      </c>
      <c r="F10343" t="s">
        <v>42</v>
      </c>
      <c r="G10343">
        <v>-111.22799999999999</v>
      </c>
      <c r="H10343" s="1">
        <v>-4.162739E-6</v>
      </c>
      <c r="I10343">
        <v>137.26400000000001</v>
      </c>
      <c r="J10343">
        <v>-130.0301</v>
      </c>
      <c r="K10343">
        <v>1.1202289999999999</v>
      </c>
      <c r="L10343">
        <v>137.68450000000001</v>
      </c>
      <c r="M10343">
        <v>0.99903019999999998</v>
      </c>
      <c r="N10343">
        <v>-1.491928E-2</v>
      </c>
      <c r="O10343">
        <v>-4.1427650000000003E-2</v>
      </c>
      <c r="P10343">
        <v>0.99540949999999995</v>
      </c>
      <c r="Q10343">
        <v>-7.6371800000000004E-2</v>
      </c>
      <c r="R10343">
        <v>-5.7685729999999998E-2</v>
      </c>
      <c r="S10343">
        <v>2.9961090000000001</v>
      </c>
      <c r="T10343">
        <v>-0.17615710000000001</v>
      </c>
      <c r="U10343">
        <v>-6.7962649999999999E-2</v>
      </c>
      <c r="V10343">
        <v>1.6247149999999998E-2</v>
      </c>
      <c r="W10343">
        <v>-6.1528579999999999E-2</v>
      </c>
      <c r="X10343">
        <v>0.99797309999999995</v>
      </c>
      <c r="Y10343">
        <v>-1.8683060000000001E-2</v>
      </c>
      <c r="Z10343">
        <v>2.502935E-3</v>
      </c>
      <c r="AA10343">
        <v>0.99982230000000005</v>
      </c>
      <c r="AB10343">
        <v>25</v>
      </c>
      <c r="AC10343">
        <v>18.802099999999999</v>
      </c>
      <c r="AD10343">
        <v>-1.1202331627390001</v>
      </c>
      <c r="AE10343">
        <v>-0.42050000000000398</v>
      </c>
      <c r="AF10343">
        <v>-0.35760573475233498</v>
      </c>
      <c r="AG10343">
        <v>-1.1202331627390001</v>
      </c>
      <c r="AH10343">
        <v>18.736898161273899</v>
      </c>
      <c r="AI10343">
        <v>93.420879650623604</v>
      </c>
      <c r="AJ10343">
        <v>91.093394001271406</v>
      </c>
      <c r="AK10343">
        <v>18.773762460049898</v>
      </c>
      <c r="AL10343">
        <v>93.527556017572394</v>
      </c>
      <c r="AM10343">
        <v>89.067298612671493</v>
      </c>
      <c r="AN10343">
        <v>1.00000002218177</v>
      </c>
    </row>
    <row r="10344" spans="1:40" x14ac:dyDescent="0.25">
      <c r="A10344" t="str">
        <f>"20190303154042133"</f>
        <v>20190303154042133</v>
      </c>
      <c r="B10344" t="str">
        <f>"1551598842128464"</f>
        <v>1551598842128464</v>
      </c>
      <c r="C10344" t="s">
        <v>40</v>
      </c>
      <c r="D10344">
        <v>4.7397019999999896</v>
      </c>
      <c r="E10344">
        <v>0.48834650000000002</v>
      </c>
      <c r="F10344" t="s">
        <v>42</v>
      </c>
      <c r="G10344">
        <v>-109.5423</v>
      </c>
      <c r="H10344" s="1">
        <v>-8.1492189999999995E-7</v>
      </c>
      <c r="I10344">
        <v>137.15479999999999</v>
      </c>
      <c r="J10344">
        <v>-129.7732</v>
      </c>
      <c r="K10344">
        <v>1.120303</v>
      </c>
      <c r="L10344">
        <v>137.67230000000001</v>
      </c>
      <c r="M10344">
        <v>0.99897449999999999</v>
      </c>
      <c r="N10344">
        <v>-1.491168E-2</v>
      </c>
      <c r="O10344">
        <v>-4.275135E-2</v>
      </c>
      <c r="P10344">
        <v>0.99539219999999895</v>
      </c>
      <c r="Q10344">
        <v>-7.5307440000000003E-2</v>
      </c>
      <c r="R10344">
        <v>-5.9356359999999997E-2</v>
      </c>
      <c r="S10344">
        <v>2.9967800000000002</v>
      </c>
      <c r="T10344">
        <v>-0.1638579</v>
      </c>
      <c r="U10344">
        <v>-7.7484129999999998E-2</v>
      </c>
      <c r="V10344">
        <v>1.6609280000000001E-2</v>
      </c>
      <c r="W10344">
        <v>-6.0468729999999998E-2</v>
      </c>
      <c r="X10344">
        <v>0.99803189999999997</v>
      </c>
      <c r="Y10344">
        <v>-1.6852570000000001E-2</v>
      </c>
      <c r="Z10344">
        <v>2.2833649999999999E-3</v>
      </c>
      <c r="AA10344">
        <v>0.99985539999999995</v>
      </c>
      <c r="AB10344">
        <v>25</v>
      </c>
      <c r="AC10344">
        <v>20.230899999999998</v>
      </c>
      <c r="AD10344">
        <v>-1.12030381492189</v>
      </c>
      <c r="AE10344">
        <v>-0.51750000000001195</v>
      </c>
      <c r="AF10344">
        <v>-0.34690457357197702</v>
      </c>
      <c r="AG10344">
        <v>-1.12030381492189</v>
      </c>
      <c r="AH10344">
        <v>20.1727070209533</v>
      </c>
      <c r="AI10344">
        <v>93.178222530713896</v>
      </c>
      <c r="AJ10344">
        <v>90.985202877168604</v>
      </c>
      <c r="AK10344">
        <v>20.2067694591221</v>
      </c>
      <c r="AL10344">
        <v>93.466717855650998</v>
      </c>
      <c r="AM10344">
        <v>89.046569749266297</v>
      </c>
      <c r="AN10344">
        <v>1.00000000445377</v>
      </c>
    </row>
    <row r="10345" spans="1:40" x14ac:dyDescent="0.25">
      <c r="A10345" t="str">
        <f>"20190303154042155"</f>
        <v>20190303154042155</v>
      </c>
      <c r="B10345" t="str">
        <f>"1551598842147985"</f>
        <v>1551598842147985</v>
      </c>
      <c r="C10345" t="s">
        <v>40</v>
      </c>
      <c r="D10345">
        <v>4.7479199999999997</v>
      </c>
      <c r="E10345">
        <v>0.48794369999999998</v>
      </c>
      <c r="F10345" t="s">
        <v>42</v>
      </c>
      <c r="G10345">
        <v>-108.379</v>
      </c>
      <c r="H10345" s="1">
        <v>-1.285217E-6</v>
      </c>
      <c r="I10345">
        <v>137.06620000000001</v>
      </c>
      <c r="J10345">
        <v>-129.5172</v>
      </c>
      <c r="K10345">
        <v>1.1204019999999999</v>
      </c>
      <c r="L10345">
        <v>137.65989999999999</v>
      </c>
      <c r="M10345">
        <v>0.99892230000000004</v>
      </c>
      <c r="N10345">
        <v>-1.490384E-2</v>
      </c>
      <c r="O10345">
        <v>-4.3953649999999997E-2</v>
      </c>
      <c r="P10345">
        <v>0.9954056</v>
      </c>
      <c r="Q10345">
        <v>-7.4134420000000006E-2</v>
      </c>
      <c r="R10345">
        <v>-6.0595450000000002E-2</v>
      </c>
      <c r="S10345">
        <v>2.9969329999999998</v>
      </c>
      <c r="T10345">
        <v>-0.1569345</v>
      </c>
      <c r="U10345">
        <v>-8.4899899999999903E-2</v>
      </c>
      <c r="V10345">
        <v>1.6661749999999999E-2</v>
      </c>
      <c r="W10345">
        <v>-5.9298879999999998E-2</v>
      </c>
      <c r="X10345">
        <v>0.99810120000000002</v>
      </c>
      <c r="Y10345">
        <v>-1.559254E-2</v>
      </c>
      <c r="Z10345">
        <v>2.167979E-3</v>
      </c>
      <c r="AA10345">
        <v>0.99987610000000005</v>
      </c>
      <c r="AB10345">
        <v>25</v>
      </c>
      <c r="AC10345">
        <v>21.138200000000001</v>
      </c>
      <c r="AD10345">
        <v>-1.1204032852170001</v>
      </c>
      <c r="AE10345">
        <v>-0.59369999999998402</v>
      </c>
      <c r="AF10345">
        <v>-0.33513744347763902</v>
      </c>
      <c r="AG10345">
        <v>-1.1204032852170001</v>
      </c>
      <c r="AH10345">
        <v>21.084676590835599</v>
      </c>
      <c r="AI10345">
        <v>93.041354475939798</v>
      </c>
      <c r="AJ10345">
        <v>90.910630245259696</v>
      </c>
      <c r="AK10345">
        <v>21.117083311093801</v>
      </c>
      <c r="AL10345">
        <v>93.399569932708303</v>
      </c>
      <c r="AM10345">
        <v>89.043624743163207</v>
      </c>
      <c r="AN10345">
        <v>0.99999998826187797</v>
      </c>
    </row>
    <row r="10346" spans="1:40" x14ac:dyDescent="0.25">
      <c r="A10346" t="str">
        <f>"20190303154042179"</f>
        <v>20190303154042179</v>
      </c>
      <c r="B10346" t="str">
        <f>"1551598842168481"</f>
        <v>1551598842168481</v>
      </c>
      <c r="C10346" t="s">
        <v>40</v>
      </c>
      <c r="D10346">
        <v>4.702159</v>
      </c>
      <c r="E10346">
        <v>0.48770999999999998</v>
      </c>
      <c r="F10346" t="s">
        <v>42</v>
      </c>
      <c r="G10346">
        <v>-108.05419999999999</v>
      </c>
      <c r="H10346" s="1">
        <v>-1.414831E-6</v>
      </c>
      <c r="I10346">
        <v>137.0479</v>
      </c>
      <c r="J10346">
        <v>-129.25399999999999</v>
      </c>
      <c r="K10346">
        <v>1.120501</v>
      </c>
      <c r="L10346">
        <v>137.64689999999999</v>
      </c>
      <c r="M10346">
        <v>0.99887280000000001</v>
      </c>
      <c r="N10346">
        <v>-1.489571E-2</v>
      </c>
      <c r="O10346">
        <v>-4.5073040000000002E-2</v>
      </c>
      <c r="P10346">
        <v>0.99539999999999995</v>
      </c>
      <c r="Q10346">
        <v>-7.2853429999999997E-2</v>
      </c>
      <c r="R10346">
        <v>-6.2224160000000001E-2</v>
      </c>
      <c r="S10346">
        <v>2.9969790000000001</v>
      </c>
      <c r="T10346">
        <v>-0.1564468</v>
      </c>
      <c r="U10346">
        <v>-8.5449220000000006E-2</v>
      </c>
      <c r="V10346">
        <v>1.718718E-2</v>
      </c>
      <c r="W10346">
        <v>-5.8022039999999997E-2</v>
      </c>
      <c r="X10346">
        <v>0.99816729999999998</v>
      </c>
      <c r="Y10346">
        <v>-1.6528310000000001E-2</v>
      </c>
      <c r="Z10346">
        <v>2.2328399999999998E-3</v>
      </c>
      <c r="AA10346">
        <v>0.99986090000000005</v>
      </c>
      <c r="AB10346">
        <v>25</v>
      </c>
      <c r="AC10346">
        <v>21.1998</v>
      </c>
      <c r="AD10346">
        <v>-1.1205024148310001</v>
      </c>
      <c r="AE10346">
        <v>-0.59899999999998899</v>
      </c>
      <c r="AF10346">
        <v>-0.356259754906605</v>
      </c>
      <c r="AG10346">
        <v>-1.1205024148310001</v>
      </c>
      <c r="AH10346">
        <v>21.146224806635601</v>
      </c>
      <c r="AI10346">
        <v>93.032739464960798</v>
      </c>
      <c r="AJ10346">
        <v>90.965195898708004</v>
      </c>
      <c r="AK10346">
        <v>21.178887370383201</v>
      </c>
      <c r="AL10346">
        <v>93.326286290861205</v>
      </c>
      <c r="AM10346">
        <v>89.013536536821803</v>
      </c>
      <c r="AN10346">
        <v>0.99999995753570103</v>
      </c>
    </row>
    <row r="10347" spans="1:40" x14ac:dyDescent="0.25">
      <c r="A10347" t="str">
        <f>"20190303154042199"</f>
        <v>20190303154042199</v>
      </c>
      <c r="B10347" t="str">
        <f>"1551598842188001"</f>
        <v>1551598842188001</v>
      </c>
      <c r="C10347" t="s">
        <v>40</v>
      </c>
      <c r="D10347">
        <v>4.6539469999999996</v>
      </c>
      <c r="E10347">
        <v>0.48740640000000002</v>
      </c>
      <c r="F10347" t="s">
        <v>42</v>
      </c>
      <c r="G10347">
        <v>-107.631</v>
      </c>
      <c r="H10347" s="1">
        <v>-1.5879719999999999E-6</v>
      </c>
      <c r="I10347">
        <v>137.00790000000001</v>
      </c>
      <c r="J10347">
        <v>-129.0249</v>
      </c>
      <c r="K10347">
        <v>1.12059</v>
      </c>
      <c r="L10347">
        <v>137.63550000000001</v>
      </c>
      <c r="M10347">
        <v>0.99883379999999999</v>
      </c>
      <c r="N10347">
        <v>-1.488861E-2</v>
      </c>
      <c r="O10347">
        <v>-4.5930510000000001E-2</v>
      </c>
      <c r="P10347">
        <v>0.99542299999999995</v>
      </c>
      <c r="Q10347">
        <v>-7.1660580000000001E-2</v>
      </c>
      <c r="R10347">
        <v>-6.3231090000000004E-2</v>
      </c>
      <c r="S10347">
        <v>2.9969640000000002</v>
      </c>
      <c r="T10347">
        <v>-0.15530250000000001</v>
      </c>
      <c r="U10347">
        <v>-8.8562009999999997E-2</v>
      </c>
      <c r="V10347">
        <v>1.7349610000000001E-2</v>
      </c>
      <c r="W10347">
        <v>-5.6831909999999999E-2</v>
      </c>
      <c r="X10347">
        <v>0.99823300000000004</v>
      </c>
      <c r="Y10347">
        <v>-1.6349610000000001E-2</v>
      </c>
      <c r="Z10347">
        <v>2.2383640000000001E-3</v>
      </c>
      <c r="AA10347">
        <v>0.99986379999999997</v>
      </c>
      <c r="AB10347">
        <v>25</v>
      </c>
      <c r="AC10347">
        <v>21.393899999999999</v>
      </c>
      <c r="AD10347">
        <v>-1.1205915879720001</v>
      </c>
      <c r="AE10347">
        <v>-0.62760000000000005</v>
      </c>
      <c r="AF10347">
        <v>-0.35483137485680799</v>
      </c>
      <c r="AG10347">
        <v>-1.1205915879720001</v>
      </c>
      <c r="AH10347">
        <v>21.3416440705284</v>
      </c>
      <c r="AI10347">
        <v>93.005270491385005</v>
      </c>
      <c r="AJ10347">
        <v>90.952525828978295</v>
      </c>
      <c r="AK10347">
        <v>21.373988922162798</v>
      </c>
      <c r="AL10347">
        <v>93.257984005404197</v>
      </c>
      <c r="AM10347">
        <v>89.0042812112506</v>
      </c>
      <c r="AN10347">
        <v>0.99999999862519995</v>
      </c>
    </row>
    <row r="10348" spans="1:40" x14ac:dyDescent="0.25">
      <c r="A10348" t="str">
        <f>"20190303154042223"</f>
        <v>20190303154042223</v>
      </c>
      <c r="B10348" t="str">
        <f>"1551598842218256"</f>
        <v>1551598842218256</v>
      </c>
      <c r="C10348" t="s">
        <v>40</v>
      </c>
      <c r="D10348">
        <v>4.5474969999999999</v>
      </c>
      <c r="E10348">
        <v>0.4875815</v>
      </c>
      <c r="F10348" t="s">
        <v>42</v>
      </c>
      <c r="G10348">
        <v>-107.3274</v>
      </c>
      <c r="H10348" s="1">
        <v>-1.7097070000000001E-6</v>
      </c>
      <c r="I10348">
        <v>136.98990000000001</v>
      </c>
      <c r="J10348">
        <v>-128.76410000000001</v>
      </c>
      <c r="K10348">
        <v>1.1207020000000001</v>
      </c>
      <c r="L10348">
        <v>137.6225</v>
      </c>
      <c r="M10348">
        <v>0.99879600000000002</v>
      </c>
      <c r="N10348">
        <v>-1.488052E-2</v>
      </c>
      <c r="O10348">
        <v>-4.6745830000000002E-2</v>
      </c>
      <c r="P10348">
        <v>0.9955254</v>
      </c>
      <c r="Q10348">
        <v>-6.9784699999999894E-2</v>
      </c>
      <c r="R10348">
        <v>-6.3713950000000005E-2</v>
      </c>
      <c r="S10348">
        <v>2.9969939999999999</v>
      </c>
      <c r="T10348">
        <v>-0.15478310000000001</v>
      </c>
      <c r="U10348">
        <v>-8.9187619999999995E-2</v>
      </c>
      <c r="V10348">
        <v>1.703029E-2</v>
      </c>
      <c r="W10348">
        <v>-5.4957350000000002E-2</v>
      </c>
      <c r="X10348">
        <v>0.99834350000000005</v>
      </c>
      <c r="Y10348">
        <v>-1.6956410000000002E-2</v>
      </c>
      <c r="Z10348">
        <v>2.279334E-3</v>
      </c>
      <c r="AA10348">
        <v>0.99985360000000001</v>
      </c>
      <c r="AB10348">
        <v>25</v>
      </c>
      <c r="AC10348">
        <v>21.436699999999998</v>
      </c>
      <c r="AD10348">
        <v>-1.1207037097070001</v>
      </c>
      <c r="AE10348">
        <v>-0.63259999999999605</v>
      </c>
      <c r="AF10348">
        <v>-0.36927057336430802</v>
      </c>
      <c r="AG10348">
        <v>-1.1207037097070001</v>
      </c>
      <c r="AH10348">
        <v>21.3844389068264</v>
      </c>
      <c r="AI10348">
        <v>92.999534276464203</v>
      </c>
      <c r="AJ10348">
        <v>90.989296133423906</v>
      </c>
      <c r="AK10348">
        <v>21.4169690881109</v>
      </c>
      <c r="AL10348">
        <v>93.150411303311103</v>
      </c>
      <c r="AM10348">
        <v>89.022712012187796</v>
      </c>
      <c r="AN10348">
        <v>1.00000004254437</v>
      </c>
    </row>
    <row r="10349" spans="1:40" x14ac:dyDescent="0.25">
      <c r="A10349" t="str">
        <f>"20190303154042248"</f>
        <v>20190303154042248</v>
      </c>
      <c r="B10349" t="str">
        <f>"1551598842238752"</f>
        <v>1551598842238752</v>
      </c>
      <c r="C10349" t="s">
        <v>40</v>
      </c>
      <c r="D10349">
        <v>4.56616</v>
      </c>
      <c r="E10349">
        <v>0.48740459999999902</v>
      </c>
      <c r="F10349" t="s">
        <v>42</v>
      </c>
      <c r="G10349">
        <v>-105.8724</v>
      </c>
      <c r="H10349" s="1">
        <v>-2.410024E-6</v>
      </c>
      <c r="I10349">
        <v>136.91929999999999</v>
      </c>
      <c r="J10349">
        <v>-128.48599999999999</v>
      </c>
      <c r="K10349">
        <v>1.1208400000000001</v>
      </c>
      <c r="L10349">
        <v>137.6086</v>
      </c>
      <c r="M10349">
        <v>0.99876480000000001</v>
      </c>
      <c r="N10349">
        <v>-1.487192E-2</v>
      </c>
      <c r="O10349">
        <v>-4.7412540000000003E-2</v>
      </c>
      <c r="P10349">
        <v>0.99563170000000001</v>
      </c>
      <c r="Q10349">
        <v>-6.8286650000000004E-2</v>
      </c>
      <c r="R10349">
        <v>-6.3678059999999995E-2</v>
      </c>
      <c r="S10349">
        <v>2.9973139999999998</v>
      </c>
      <c r="T10349">
        <v>-0.14673900000000001</v>
      </c>
      <c r="U10349">
        <v>-9.2071529999999999E-2</v>
      </c>
      <c r="V10349">
        <v>1.634238E-2</v>
      </c>
      <c r="W10349">
        <v>-5.3460229999999997E-2</v>
      </c>
      <c r="X10349">
        <v>0.99843630000000005</v>
      </c>
      <c r="Y10349">
        <v>-1.6672969999999999E-2</v>
      </c>
      <c r="Z10349">
        <v>2.1450359999999999E-3</v>
      </c>
      <c r="AA10349">
        <v>0.99985869999999999</v>
      </c>
      <c r="AB10349">
        <v>25</v>
      </c>
      <c r="AC10349">
        <v>22.613599999999899</v>
      </c>
      <c r="AD10349">
        <v>-1.120842410024</v>
      </c>
      <c r="AE10349">
        <v>-0.68930000000000202</v>
      </c>
      <c r="AF10349">
        <v>-0.382822430028114</v>
      </c>
      <c r="AG10349">
        <v>-1.120842410024</v>
      </c>
      <c r="AH10349">
        <v>22.565463238341199</v>
      </c>
      <c r="AI10349">
        <v>92.843176161549806</v>
      </c>
      <c r="AJ10349">
        <v>90.971928002899105</v>
      </c>
      <c r="AK10349">
        <v>22.5965256595338</v>
      </c>
      <c r="AL10349">
        <v>93.064506283236199</v>
      </c>
      <c r="AM10349">
        <v>89.062267872942599</v>
      </c>
      <c r="AN10349">
        <v>1.0000000573667001</v>
      </c>
    </row>
    <row r="10350" spans="1:40" x14ac:dyDescent="0.25">
      <c r="A10350" t="str">
        <f>"20190303154042271"</f>
        <v>20190303154042271</v>
      </c>
      <c r="B10350" t="str">
        <f>"1551598842268033"</f>
        <v>1551598842268033</v>
      </c>
      <c r="C10350" t="s">
        <v>40</v>
      </c>
      <c r="D10350">
        <v>4.5306819999999997</v>
      </c>
      <c r="E10350">
        <v>0.4873073</v>
      </c>
      <c r="F10350" t="s">
        <v>42</v>
      </c>
      <c r="G10350">
        <v>-104.88290000000001</v>
      </c>
      <c r="H10350" s="1">
        <v>-2.8819560000000002E-6</v>
      </c>
      <c r="I10350">
        <v>136.89570000000001</v>
      </c>
      <c r="J10350">
        <v>-128.22329999999999</v>
      </c>
      <c r="K10350">
        <v>1.120984</v>
      </c>
      <c r="L10350">
        <v>137.59559999999999</v>
      </c>
      <c r="M10350">
        <v>0.99874510000000005</v>
      </c>
      <c r="N10350">
        <v>-1.486414E-2</v>
      </c>
      <c r="O10350">
        <v>-4.78267E-2</v>
      </c>
      <c r="P10350">
        <v>0.99568480000000004</v>
      </c>
      <c r="Q10350">
        <v>-6.7378419999999994E-2</v>
      </c>
      <c r="R10350">
        <v>-6.3814399999999993E-2</v>
      </c>
      <c r="S10350">
        <v>2.9976039999999999</v>
      </c>
      <c r="T10350">
        <v>-0.14234769999999999</v>
      </c>
      <c r="U10350">
        <v>-9.0545650000000005E-2</v>
      </c>
      <c r="V10350">
        <v>1.608089E-2</v>
      </c>
      <c r="W10350">
        <v>-5.2553229999999999E-2</v>
      </c>
      <c r="X10350">
        <v>0.99848870000000001</v>
      </c>
      <c r="Y10350">
        <v>-1.7601120000000001E-2</v>
      </c>
      <c r="Z10350">
        <v>2.1059910000000002E-3</v>
      </c>
      <c r="AA10350">
        <v>0.99984289999999998</v>
      </c>
      <c r="AB10350">
        <v>25</v>
      </c>
      <c r="AC10350">
        <v>23.340399999999899</v>
      </c>
      <c r="AD10350">
        <v>-1.120986881956</v>
      </c>
      <c r="AE10350">
        <v>-0.69989999999998498</v>
      </c>
      <c r="AF10350">
        <v>-0.41635915623550301</v>
      </c>
      <c r="AG10350">
        <v>-1.120986881956</v>
      </c>
      <c r="AH10350">
        <v>23.293480104036401</v>
      </c>
      <c r="AI10350">
        <v>92.754765213522504</v>
      </c>
      <c r="AJ10350">
        <v>91.024023983976804</v>
      </c>
      <c r="AK10350">
        <v>23.324154473284501</v>
      </c>
      <c r="AL10350">
        <v>93.012465842130595</v>
      </c>
      <c r="AM10350">
        <v>89.0773180715113</v>
      </c>
      <c r="AN10350">
        <v>1.00000006051715</v>
      </c>
    </row>
    <row r="10351" spans="1:40" x14ac:dyDescent="0.25">
      <c r="A10351" t="str">
        <f>"20190303154042288"</f>
        <v>20190303154042288</v>
      </c>
      <c r="B10351" t="str">
        <f>"1551598842278769"</f>
        <v>1551598842278769</v>
      </c>
      <c r="C10351" t="s">
        <v>40</v>
      </c>
      <c r="D10351">
        <v>4.4910699999999997</v>
      </c>
      <c r="E10351">
        <v>0.48734670000000002</v>
      </c>
      <c r="F10351" t="s">
        <v>42</v>
      </c>
      <c r="G10351">
        <v>-103.9297</v>
      </c>
      <c r="H10351" s="1">
        <v>-3.337975E-6</v>
      </c>
      <c r="I10351">
        <v>136.86490000000001</v>
      </c>
      <c r="J10351">
        <v>-128.029</v>
      </c>
      <c r="K10351">
        <v>1.1211</v>
      </c>
      <c r="L10351">
        <v>137.58600000000001</v>
      </c>
      <c r="M10351">
        <v>0.99873619999999996</v>
      </c>
      <c r="N10351">
        <v>-1.485859E-2</v>
      </c>
      <c r="O10351">
        <v>-4.8015580000000002E-2</v>
      </c>
      <c r="P10351">
        <v>0.99570380000000003</v>
      </c>
      <c r="Q10351">
        <v>-6.6747710000000002E-2</v>
      </c>
      <c r="R10351">
        <v>-6.4180890000000004E-2</v>
      </c>
      <c r="S10351">
        <v>2.9978790000000002</v>
      </c>
      <c r="T10351">
        <v>-0.1383326</v>
      </c>
      <c r="U10351">
        <v>-9.0164179999999997E-2</v>
      </c>
      <c r="V10351">
        <v>1.6270799999999998E-2</v>
      </c>
      <c r="W10351">
        <v>-5.19236E-2</v>
      </c>
      <c r="X10351">
        <v>0.99851849999999998</v>
      </c>
      <c r="Y10351">
        <v>-1.7922850000000001E-2</v>
      </c>
      <c r="Z10351">
        <v>2.0459739999999999E-3</v>
      </c>
      <c r="AA10351">
        <v>0.99983730000000004</v>
      </c>
      <c r="AB10351">
        <v>25</v>
      </c>
      <c r="AC10351">
        <v>24.099299999999999</v>
      </c>
      <c r="AD10351">
        <v>-1.1211033379749999</v>
      </c>
      <c r="AE10351">
        <v>-0.72110000000000696</v>
      </c>
      <c r="AF10351">
        <v>-0.436058535608145</v>
      </c>
      <c r="AG10351">
        <v>-1.1211033379749999</v>
      </c>
      <c r="AH10351">
        <v>24.0541157105264</v>
      </c>
      <c r="AI10351">
        <v>92.668046925677601</v>
      </c>
      <c r="AJ10351">
        <v>91.038557295706298</v>
      </c>
      <c r="AK10351">
        <v>24.0841753513856</v>
      </c>
      <c r="AL10351">
        <v>92.9763415684357</v>
      </c>
      <c r="AM10351">
        <v>89.066451276885303</v>
      </c>
      <c r="AN10351">
        <v>0.99999999700592401</v>
      </c>
    </row>
    <row r="10352" spans="1:40" x14ac:dyDescent="0.25">
      <c r="A10352" t="str">
        <f>"20190303154042310"</f>
        <v>20190303154042310</v>
      </c>
      <c r="B10352" t="str">
        <f>"1551598842308048"</f>
        <v>1551598842308048</v>
      </c>
      <c r="C10352" t="s">
        <v>40</v>
      </c>
      <c r="D10352">
        <v>4.4585910000000002</v>
      </c>
      <c r="E10352">
        <v>0.48734889999999997</v>
      </c>
      <c r="F10352" t="s">
        <v>42</v>
      </c>
      <c r="G10352">
        <v>-103.1635</v>
      </c>
      <c r="H10352" s="1">
        <v>-3.7069590000000002E-6</v>
      </c>
      <c r="I10352">
        <v>136.82679999999999</v>
      </c>
      <c r="J10352">
        <v>-127.7944</v>
      </c>
      <c r="K10352">
        <v>1.1212169999999999</v>
      </c>
      <c r="L10352">
        <v>137.5745</v>
      </c>
      <c r="M10352">
        <v>0.99873100000000004</v>
      </c>
      <c r="N10352">
        <v>-1.4852010000000001E-2</v>
      </c>
      <c r="O10352">
        <v>-4.8125630000000003E-2</v>
      </c>
      <c r="P10352">
        <v>0.99580679999999999</v>
      </c>
      <c r="Q10352">
        <v>-6.5195959999999997E-2</v>
      </c>
      <c r="R10352">
        <v>-6.4174170000000003E-2</v>
      </c>
      <c r="S10352">
        <v>2.9979710000000002</v>
      </c>
      <c r="T10352">
        <v>-0.13516879999999901</v>
      </c>
      <c r="U10352">
        <v>-9.1537480000000004E-2</v>
      </c>
      <c r="V10352">
        <v>1.6162860000000001E-2</v>
      </c>
      <c r="W10352">
        <v>-5.0372819999999999E-2</v>
      </c>
      <c r="X10352">
        <v>0.99859969999999998</v>
      </c>
      <c r="Y10352">
        <v>-1.7579319999999999E-2</v>
      </c>
      <c r="Z10352">
        <v>1.979139E-3</v>
      </c>
      <c r="AA10352">
        <v>0.9998435</v>
      </c>
      <c r="AB10352">
        <v>25</v>
      </c>
      <c r="AC10352">
        <v>24.6309</v>
      </c>
      <c r="AD10352">
        <v>-1.1212207069589999</v>
      </c>
      <c r="AE10352">
        <v>-0.74770000000000802</v>
      </c>
      <c r="AF10352">
        <v>-0.437768449158704</v>
      </c>
      <c r="AG10352">
        <v>-1.1212207069589999</v>
      </c>
      <c r="AH10352">
        <v>24.5874391382497</v>
      </c>
      <c r="AI10352">
        <v>92.610543588328994</v>
      </c>
      <c r="AJ10352">
        <v>91.020018169590401</v>
      </c>
      <c r="AK10352">
        <v>24.616883240286999</v>
      </c>
      <c r="AL10352">
        <v>92.887371918174395</v>
      </c>
      <c r="AM10352">
        <v>89.072718719792206</v>
      </c>
      <c r="AN10352">
        <v>1.00000000993911</v>
      </c>
    </row>
    <row r="10353" spans="1:40" x14ac:dyDescent="0.25">
      <c r="A10353" t="str">
        <f>"20190303154042332"</f>
        <v>20190303154042332</v>
      </c>
      <c r="B10353" t="str">
        <f>"1551598842328564"</f>
        <v>1551598842328564</v>
      </c>
      <c r="C10353" t="s">
        <v>40</v>
      </c>
      <c r="D10353">
        <v>4.4274149999999999</v>
      </c>
      <c r="E10353">
        <v>0.48740109999999998</v>
      </c>
      <c r="F10353" t="s">
        <v>42</v>
      </c>
      <c r="G10353">
        <v>-101.7717</v>
      </c>
      <c r="H10353" s="1">
        <v>-4.3730009999999997E-6</v>
      </c>
      <c r="I10353">
        <v>136.78100000000001</v>
      </c>
      <c r="J10353">
        <v>-127.548</v>
      </c>
      <c r="K10353">
        <v>1.1213299999999999</v>
      </c>
      <c r="L10353">
        <v>137.5626</v>
      </c>
      <c r="M10353">
        <v>0.99873290000000003</v>
      </c>
      <c r="N10353">
        <v>-1.484538E-2</v>
      </c>
      <c r="O10353">
        <v>-4.8087209999999998E-2</v>
      </c>
      <c r="P10353">
        <v>0.99595840000000002</v>
      </c>
      <c r="Q10353">
        <v>-6.3309459999999998E-2</v>
      </c>
      <c r="R10353">
        <v>-6.3711320000000002E-2</v>
      </c>
      <c r="S10353">
        <v>2.9982760000000002</v>
      </c>
      <c r="T10353">
        <v>-0.12918450000000001</v>
      </c>
      <c r="U10353">
        <v>-9.1430659999999997E-2</v>
      </c>
      <c r="V10353">
        <v>1.5743389999999999E-2</v>
      </c>
      <c r="W10353">
        <v>-4.8487389999999998E-2</v>
      </c>
      <c r="X10353">
        <v>0.99869969999999997</v>
      </c>
      <c r="Y10353">
        <v>-1.7584160000000001E-2</v>
      </c>
      <c r="Z10353">
        <v>1.8648060000000001E-3</v>
      </c>
      <c r="AA10353">
        <v>0.9998437</v>
      </c>
      <c r="AB10353">
        <v>25</v>
      </c>
      <c r="AC10353">
        <v>25.7762999999999</v>
      </c>
      <c r="AD10353">
        <v>-1.1213343730009999</v>
      </c>
      <c r="AE10353">
        <v>-0.78159999999999696</v>
      </c>
      <c r="AF10353">
        <v>-0.45808513691922398</v>
      </c>
      <c r="AG10353">
        <v>-1.1213343730009999</v>
      </c>
      <c r="AH10353">
        <v>25.735404231033201</v>
      </c>
      <c r="AI10353">
        <v>92.494499739740405</v>
      </c>
      <c r="AJ10353">
        <v>91.019745926335602</v>
      </c>
      <c r="AK10353">
        <v>25.763894575615399</v>
      </c>
      <c r="AL10353">
        <v>92.779212572308396</v>
      </c>
      <c r="AM10353">
        <v>89.096870565612207</v>
      </c>
      <c r="AN10353">
        <v>0.99999998604889695</v>
      </c>
    </row>
    <row r="10354" spans="1:40" x14ac:dyDescent="0.25">
      <c r="A10354" t="str">
        <f>"20190303154042355"</f>
        <v>20190303154042355</v>
      </c>
      <c r="B10354" t="str">
        <f>"1551598842348065"</f>
        <v>1551598842348065</v>
      </c>
      <c r="C10354" t="s">
        <v>40</v>
      </c>
      <c r="D10354">
        <v>4.43438</v>
      </c>
      <c r="E10354">
        <v>0.48745830000000001</v>
      </c>
      <c r="F10354" t="s">
        <v>42</v>
      </c>
      <c r="G10354">
        <v>-99.775180000000006</v>
      </c>
      <c r="H10354" s="1">
        <v>-8.3154139999999898E-7</v>
      </c>
      <c r="I10354">
        <v>136.72630000000001</v>
      </c>
      <c r="J10354">
        <v>-127.30240000000001</v>
      </c>
      <c r="K10354">
        <v>1.121426</v>
      </c>
      <c r="L10354">
        <v>137.55099999999999</v>
      </c>
      <c r="M10354">
        <v>0.99874110000000005</v>
      </c>
      <c r="N10354">
        <v>-1.4838850000000001E-2</v>
      </c>
      <c r="O10354">
        <v>-4.7918099999999998E-2</v>
      </c>
      <c r="P10354">
        <v>0.99617149999999999</v>
      </c>
      <c r="Q10354">
        <v>-6.0904149999999997E-2</v>
      </c>
      <c r="R10354">
        <v>-6.2712599999999993E-2</v>
      </c>
      <c r="S10354">
        <v>2.9987029999999999</v>
      </c>
      <c r="T10354">
        <v>-0.12107279999999999</v>
      </c>
      <c r="U10354">
        <v>-9.0301510000000001E-2</v>
      </c>
      <c r="V10354">
        <v>1.491381E-2</v>
      </c>
      <c r="W10354">
        <v>-4.6083539999999999E-2</v>
      </c>
      <c r="X10354">
        <v>0.99882629999999994</v>
      </c>
      <c r="Y10354">
        <v>-1.7800980000000001E-2</v>
      </c>
      <c r="Z10354">
        <v>1.712802E-3</v>
      </c>
      <c r="AA10354">
        <v>0.99984010000000001</v>
      </c>
      <c r="AB10354">
        <v>25</v>
      </c>
      <c r="AC10354">
        <v>27.52722</v>
      </c>
      <c r="AD10354">
        <v>-1.1214268315414</v>
      </c>
      <c r="AE10354">
        <v>-0.82470000000000698</v>
      </c>
      <c r="AF10354">
        <v>-0.49462464609644302</v>
      </c>
      <c r="AG10354">
        <v>-1.1214268315414</v>
      </c>
      <c r="AH10354">
        <v>27.489531885995198</v>
      </c>
      <c r="AI10354">
        <v>92.335690383323197</v>
      </c>
      <c r="AJ10354">
        <v>91.0308231867442</v>
      </c>
      <c r="AK10354">
        <v>27.516842387711801</v>
      </c>
      <c r="AL10354">
        <v>92.641327683386805</v>
      </c>
      <c r="AM10354">
        <v>89.144561095383096</v>
      </c>
      <c r="AN10354">
        <v>1.0000000459796601</v>
      </c>
    </row>
    <row r="10355" spans="1:40" x14ac:dyDescent="0.25">
      <c r="A10355" t="str">
        <f>"20190303154042378"</f>
        <v>20190303154042378</v>
      </c>
      <c r="B10355" t="str">
        <f>"1551598842368561"</f>
        <v>1551598842368561</v>
      </c>
      <c r="C10355" t="s">
        <v>40</v>
      </c>
      <c r="D10355">
        <v>4.3930980000000002</v>
      </c>
      <c r="E10355">
        <v>0.4874445</v>
      </c>
      <c r="F10355" t="s">
        <v>42</v>
      </c>
      <c r="G10355">
        <v>-97.266959999999997</v>
      </c>
      <c r="H10355" s="1">
        <v>-1.699264E-6</v>
      </c>
      <c r="I10355">
        <v>136.673</v>
      </c>
      <c r="J10355">
        <v>-127.0538</v>
      </c>
      <c r="K10355">
        <v>1.121505</v>
      </c>
      <c r="L10355">
        <v>137.5393</v>
      </c>
      <c r="M10355">
        <v>0.99875510000000001</v>
      </c>
      <c r="N10355">
        <v>-1.4832430000000001E-2</v>
      </c>
      <c r="O10355">
        <v>-4.7625529999999999E-2</v>
      </c>
      <c r="P10355">
        <v>0.99641230000000003</v>
      </c>
      <c r="Q10355">
        <v>-5.8765440000000002E-2</v>
      </c>
      <c r="R10355">
        <v>-6.090309E-2</v>
      </c>
      <c r="S10355">
        <v>2.9991759999999998</v>
      </c>
      <c r="T10355">
        <v>-0.1119795</v>
      </c>
      <c r="U10355">
        <v>-8.7661740000000002E-2</v>
      </c>
      <c r="V10355">
        <v>1.3394680000000001E-2</v>
      </c>
      <c r="W10355">
        <v>-4.394725E-2</v>
      </c>
      <c r="X10355">
        <v>0.99894400000000005</v>
      </c>
      <c r="Y10355">
        <v>-1.839756E-2</v>
      </c>
      <c r="Z10355">
        <v>1.5497079999999999E-3</v>
      </c>
      <c r="AA10355">
        <v>0.99982950000000004</v>
      </c>
      <c r="AB10355">
        <v>25</v>
      </c>
      <c r="AC10355">
        <v>29.786840000000002</v>
      </c>
      <c r="AD10355">
        <v>-1.1215066992639999</v>
      </c>
      <c r="AE10355">
        <v>-0.86629999999999496</v>
      </c>
      <c r="AF10355">
        <v>-0.55267059265535201</v>
      </c>
      <c r="AG10355">
        <v>-1.1215066992639999</v>
      </c>
      <c r="AH10355">
        <v>29.752153670483199</v>
      </c>
      <c r="AI10355">
        <v>92.158368923816994</v>
      </c>
      <c r="AJ10355">
        <v>91.064193581615498</v>
      </c>
      <c r="AK10355">
        <v>29.778412820238199</v>
      </c>
      <c r="AL10355">
        <v>92.518803310979393</v>
      </c>
      <c r="AM10355">
        <v>89.231776114269294</v>
      </c>
      <c r="AN10355">
        <v>0.99999994668543102</v>
      </c>
    </row>
    <row r="10356" spans="1:40" x14ac:dyDescent="0.25">
      <c r="A10356" t="str">
        <f>"20190303154042399"</f>
        <v>20190303154042399</v>
      </c>
      <c r="B10356" t="str">
        <f>"1551598842388081"</f>
        <v>1551598842388081</v>
      </c>
      <c r="C10356" t="s">
        <v>40</v>
      </c>
      <c r="D10356">
        <v>4.4073070000000003</v>
      </c>
      <c r="E10356">
        <v>0.48747659999999998</v>
      </c>
      <c r="F10356" t="s">
        <v>42</v>
      </c>
      <c r="G10356">
        <v>-94.828429999999997</v>
      </c>
      <c r="H10356" s="1">
        <v>-2.7256799999999999E-6</v>
      </c>
      <c r="I10356">
        <v>136.65790000000001</v>
      </c>
      <c r="J10356">
        <v>-126.8168</v>
      </c>
      <c r="K10356">
        <v>1.1215839999999999</v>
      </c>
      <c r="L10356">
        <v>137.5284</v>
      </c>
      <c r="M10356">
        <v>0.9987741</v>
      </c>
      <c r="N10356">
        <v>-1.4826539999999999E-2</v>
      </c>
      <c r="O10356">
        <v>-4.7230590000000003E-2</v>
      </c>
      <c r="P10356">
        <v>0.99671699999999996</v>
      </c>
      <c r="Q10356">
        <v>-5.622688E-2</v>
      </c>
      <c r="R10356">
        <v>-5.8258570000000003E-2</v>
      </c>
      <c r="S10356">
        <v>2.9996339999999999</v>
      </c>
      <c r="T10356">
        <v>-0.10439320000000001</v>
      </c>
      <c r="U10356">
        <v>-8.2046510000000003E-2</v>
      </c>
      <c r="V10356">
        <v>1.113957E-2</v>
      </c>
      <c r="W10356">
        <v>-4.1411330000000003E-2</v>
      </c>
      <c r="X10356">
        <v>0.99908010000000003</v>
      </c>
      <c r="Y10356">
        <v>-1.9880149999999999E-2</v>
      </c>
      <c r="Z10356">
        <v>1.435071E-3</v>
      </c>
      <c r="AA10356">
        <v>0.9998013</v>
      </c>
      <c r="AB10356">
        <v>25</v>
      </c>
      <c r="AC10356">
        <v>31.9883699999999</v>
      </c>
      <c r="AD10356">
        <v>-1.1215867256799901</v>
      </c>
      <c r="AE10356">
        <v>-0.87049999999999195</v>
      </c>
      <c r="AF10356">
        <v>-0.64068011300915895</v>
      </c>
      <c r="AG10356">
        <v>-1.1215867256799901</v>
      </c>
      <c r="AH10356">
        <v>31.954527525676799</v>
      </c>
      <c r="AI10356">
        <v>92.009822200068399</v>
      </c>
      <c r="AJ10356">
        <v>91.148611846537406</v>
      </c>
      <c r="AK10356">
        <v>31.980623151834699</v>
      </c>
      <c r="AL10356">
        <v>92.373373070865995</v>
      </c>
      <c r="AM10356">
        <v>89.361188457503005</v>
      </c>
      <c r="AN10356">
        <v>1.0000000172440799</v>
      </c>
    </row>
    <row r="10357" spans="1:40" x14ac:dyDescent="0.25">
      <c r="A10357" t="str">
        <f>"20190303154042423"</f>
        <v>20190303154042423</v>
      </c>
      <c r="B10357" t="str">
        <f>"1551598842418337"</f>
        <v>1551598842418337</v>
      </c>
      <c r="C10357" t="s">
        <v>40</v>
      </c>
      <c r="D10357">
        <v>4.4249980000000004</v>
      </c>
      <c r="E10357">
        <v>0.48754249999999999</v>
      </c>
      <c r="F10357" t="s">
        <v>42</v>
      </c>
      <c r="G10357">
        <v>-91.852130000000002</v>
      </c>
      <c r="H10357" s="1">
        <v>-4.0013649999999996E-6</v>
      </c>
      <c r="I10357">
        <v>136.6643</v>
      </c>
      <c r="J10357">
        <v>-126.5651</v>
      </c>
      <c r="K10357">
        <v>1.1216809999999999</v>
      </c>
      <c r="L10357">
        <v>137.5171</v>
      </c>
      <c r="M10357">
        <v>0.99880009999999997</v>
      </c>
      <c r="N10357">
        <v>-1.482059E-2</v>
      </c>
      <c r="O10357">
        <v>-4.6677929999999999E-2</v>
      </c>
      <c r="P10357">
        <v>0.99701150000000005</v>
      </c>
      <c r="Q10357">
        <v>-5.4086509999999997E-2</v>
      </c>
      <c r="R10357">
        <v>-5.5160460000000001E-2</v>
      </c>
      <c r="S10357">
        <v>3.0001220000000002</v>
      </c>
      <c r="T10357">
        <v>-9.6237180000000005E-2</v>
      </c>
      <c r="U10357">
        <v>-7.4142459999999993E-2</v>
      </c>
      <c r="V10357">
        <v>8.5908779999999997E-3</v>
      </c>
      <c r="W10357">
        <v>-3.9274759999999999E-2</v>
      </c>
      <c r="X10357">
        <v>0.99919150000000001</v>
      </c>
      <c r="Y10357">
        <v>-2.1966699999999999E-2</v>
      </c>
      <c r="Z10357">
        <v>1.3192179999999901E-3</v>
      </c>
      <c r="AA10357">
        <v>0.99975780000000003</v>
      </c>
      <c r="AB10357">
        <v>24</v>
      </c>
      <c r="AC10357">
        <v>34.712969999999999</v>
      </c>
      <c r="AD10357">
        <v>-1.1216850013649999</v>
      </c>
      <c r="AE10357">
        <v>-0.852800000000002</v>
      </c>
      <c r="AF10357">
        <v>-0.76783598914456097</v>
      </c>
      <c r="AG10357">
        <v>-1.1216850013649999</v>
      </c>
      <c r="AH10357">
        <v>34.678747969834099</v>
      </c>
      <c r="AI10357">
        <v>91.852133968548401</v>
      </c>
      <c r="AJ10357">
        <v>91.268401457243996</v>
      </c>
      <c r="AK10357">
        <v>34.7053786912604</v>
      </c>
      <c r="AL10357">
        <v>92.2508569437787</v>
      </c>
      <c r="AM10357">
        <v>89.507392803596602</v>
      </c>
      <c r="AN10357">
        <v>0.999999981815059</v>
      </c>
    </row>
    <row r="10358" spans="1:40" x14ac:dyDescent="0.25">
      <c r="A10358" t="str">
        <f>"20190303154042448"</f>
        <v>20190303154042448</v>
      </c>
      <c r="B10358" t="str">
        <f>"1551598842438833"</f>
        <v>1551598842438833</v>
      </c>
      <c r="C10358" t="s">
        <v>40</v>
      </c>
      <c r="D10358">
        <v>4.4005349999999996</v>
      </c>
      <c r="E10358">
        <v>0.4875892</v>
      </c>
      <c r="F10358" t="s">
        <v>42</v>
      </c>
      <c r="G10358">
        <v>-89.305059999999997</v>
      </c>
      <c r="H10358" s="1">
        <v>-9.9626669999999895E-7</v>
      </c>
      <c r="I10358">
        <v>136.70849999999999</v>
      </c>
      <c r="J10358">
        <v>-126.2919</v>
      </c>
      <c r="K10358">
        <v>1.121796</v>
      </c>
      <c r="L10358">
        <v>137.5051</v>
      </c>
      <c r="M10358">
        <v>0.99883549999999999</v>
      </c>
      <c r="N10358">
        <v>-1.481469E-2</v>
      </c>
      <c r="O10358">
        <v>-4.5914759999999999E-2</v>
      </c>
      <c r="P10358">
        <v>0.99718490000000004</v>
      </c>
      <c r="Q10358">
        <v>-5.3615179999999998E-2</v>
      </c>
      <c r="R10358">
        <v>-5.24219E-2</v>
      </c>
      <c r="S10358">
        <v>3.0004879999999998</v>
      </c>
      <c r="T10358">
        <v>-9.032714E-2</v>
      </c>
      <c r="U10358">
        <v>-6.5109249999999994E-2</v>
      </c>
      <c r="V10358">
        <v>6.620473E-3</v>
      </c>
      <c r="W10358">
        <v>-3.8808679999999998E-2</v>
      </c>
      <c r="X10358">
        <v>0.99922469999999997</v>
      </c>
      <c r="Y10358">
        <v>-2.421572E-2</v>
      </c>
      <c r="Z10358">
        <v>1.244694E-3</v>
      </c>
      <c r="AA10358">
        <v>0.99970599999999998</v>
      </c>
      <c r="AB10358">
        <v>24</v>
      </c>
      <c r="AC10358">
        <v>36.986840000000001</v>
      </c>
      <c r="AD10358">
        <v>-1.12179699626669</v>
      </c>
      <c r="AE10358">
        <v>-0.79660000000001197</v>
      </c>
      <c r="AF10358">
        <v>-0.90183938124461305</v>
      </c>
      <c r="AG10358">
        <v>-1.12179699626669</v>
      </c>
      <c r="AH10358">
        <v>36.950428961603102</v>
      </c>
      <c r="AI10358">
        <v>91.738420400862097</v>
      </c>
      <c r="AJ10358">
        <v>91.398125418271604</v>
      </c>
      <c r="AK10358">
        <v>36.978452417818602</v>
      </c>
      <c r="AL10358">
        <v>92.224132170942198</v>
      </c>
      <c r="AM10358">
        <v>89.620386074524902</v>
      </c>
      <c r="AN10358">
        <v>0.99999997269808705</v>
      </c>
    </row>
    <row r="10359" spans="1:40" x14ac:dyDescent="0.25">
      <c r="A10359" t="str">
        <f>"20190303154042470"</f>
        <v>20190303154042470</v>
      </c>
      <c r="B10359" t="str">
        <f>"1551598842458353"</f>
        <v>1551598842458353</v>
      </c>
      <c r="C10359" t="s">
        <v>40</v>
      </c>
      <c r="D10359">
        <v>4.3815269999999904</v>
      </c>
      <c r="E10359">
        <v>0.48764469999999999</v>
      </c>
      <c r="F10359" t="s">
        <v>42</v>
      </c>
      <c r="G10359">
        <v>-88.857770000000002</v>
      </c>
      <c r="H10359" s="1">
        <v>-1.126274E-6</v>
      </c>
      <c r="I10359">
        <v>136.7919</v>
      </c>
      <c r="J10359">
        <v>-126.0551</v>
      </c>
      <c r="K10359">
        <v>1.121891</v>
      </c>
      <c r="L10359">
        <v>137.49510000000001</v>
      </c>
      <c r="M10359">
        <v>0.99887309999999996</v>
      </c>
      <c r="N10359">
        <v>-1.481009E-2</v>
      </c>
      <c r="O10359">
        <v>-4.50944E-2</v>
      </c>
      <c r="P10359">
        <v>0.99720940000000002</v>
      </c>
      <c r="Q10359">
        <v>-5.4688529999999999E-2</v>
      </c>
      <c r="R10359">
        <v>-5.0823649999999998E-2</v>
      </c>
      <c r="S10359">
        <v>3.000626</v>
      </c>
      <c r="T10359">
        <v>-8.9920280000000005E-2</v>
      </c>
      <c r="U10359">
        <v>-5.7159420000000002E-2</v>
      </c>
      <c r="V10359">
        <v>5.8546020000000004E-3</v>
      </c>
      <c r="W10359">
        <v>-3.9886659999999997E-2</v>
      </c>
      <c r="X10359">
        <v>0.99918709999999999</v>
      </c>
      <c r="Y10359">
        <v>-2.604221E-2</v>
      </c>
      <c r="Z10359">
        <v>1.2654630000000001E-3</v>
      </c>
      <c r="AA10359">
        <v>0.99965999999999999</v>
      </c>
      <c r="AB10359">
        <v>24</v>
      </c>
      <c r="AC10359">
        <v>37.197330000000001</v>
      </c>
      <c r="AD10359">
        <v>-1.121892126274</v>
      </c>
      <c r="AE10359">
        <v>-0.70320000000000904</v>
      </c>
      <c r="AF10359">
        <v>-0.97420462706972999</v>
      </c>
      <c r="AG10359">
        <v>-1.121892126274</v>
      </c>
      <c r="AH10359">
        <v>37.157407340224403</v>
      </c>
      <c r="AI10359">
        <v>91.728810080322503</v>
      </c>
      <c r="AJ10359">
        <v>91.501854759449799</v>
      </c>
      <c r="AK10359">
        <v>37.187103098329104</v>
      </c>
      <c r="AL10359">
        <v>92.285943590974497</v>
      </c>
      <c r="AM10359">
        <v>89.664286952294304</v>
      </c>
      <c r="AN10359">
        <v>1.00000004140847</v>
      </c>
    </row>
    <row r="10360" spans="1:40" x14ac:dyDescent="0.25">
      <c r="A10360" t="str">
        <f>"20190303154042488"</f>
        <v>20190303154042488</v>
      </c>
      <c r="B10360" t="str">
        <f>"1551598842478849"</f>
        <v>1551598842478849</v>
      </c>
      <c r="C10360" t="s">
        <v>40</v>
      </c>
      <c r="D10360">
        <v>4.3828839999999998</v>
      </c>
      <c r="E10360">
        <v>0.48771560000000003</v>
      </c>
      <c r="F10360" t="s">
        <v>42</v>
      </c>
      <c r="G10360">
        <v>-90.515000000000001</v>
      </c>
      <c r="H10360" s="1">
        <v>-4.5385529999999998E-6</v>
      </c>
      <c r="I10360">
        <v>136.86969999999999</v>
      </c>
      <c r="J10360">
        <v>-125.8421</v>
      </c>
      <c r="K10360">
        <v>1.1219889999999999</v>
      </c>
      <c r="L10360">
        <v>137.4864</v>
      </c>
      <c r="M10360">
        <v>0.99891220000000003</v>
      </c>
      <c r="N10360">
        <v>-1.4806410000000001E-2</v>
      </c>
      <c r="O10360">
        <v>-4.4220460000000003E-2</v>
      </c>
      <c r="P10360">
        <v>0.99724480000000004</v>
      </c>
      <c r="Q10360">
        <v>-5.5708590000000002E-2</v>
      </c>
      <c r="R10360">
        <v>-4.8985569999999999E-2</v>
      </c>
      <c r="S10360">
        <v>3.0005039999999998</v>
      </c>
      <c r="T10360">
        <v>-9.4717029999999994E-2</v>
      </c>
      <c r="U10360">
        <v>-5.2795410000000001E-2</v>
      </c>
      <c r="V10360">
        <v>4.9016620000000002E-3</v>
      </c>
      <c r="W10360">
        <v>-4.0911219999999998E-2</v>
      </c>
      <c r="X10360">
        <v>0.99915080000000001</v>
      </c>
      <c r="Y10360">
        <v>-2.6617209999999999E-2</v>
      </c>
      <c r="Z10360">
        <v>1.357235E-3</v>
      </c>
      <c r="AA10360">
        <v>0.9996448</v>
      </c>
      <c r="AB10360">
        <v>24</v>
      </c>
      <c r="AC10360">
        <v>35.327100000000002</v>
      </c>
      <c r="AD10360">
        <v>-1.121993538553</v>
      </c>
      <c r="AE10360">
        <v>-0.61670000000000802</v>
      </c>
      <c r="AF10360">
        <v>-0.94530182258387196</v>
      </c>
      <c r="AG10360">
        <v>-1.121993538553</v>
      </c>
      <c r="AH10360">
        <v>35.284228516114602</v>
      </c>
      <c r="AI10360">
        <v>91.820666272454304</v>
      </c>
      <c r="AJ10360">
        <v>91.534647468521598</v>
      </c>
      <c r="AK10360">
        <v>35.314717144750396</v>
      </c>
      <c r="AL10360">
        <v>92.344694526255196</v>
      </c>
      <c r="AM10360">
        <v>89.718919013836796</v>
      </c>
      <c r="AN10360">
        <v>1.00000003767644</v>
      </c>
    </row>
    <row r="10361" spans="1:40" x14ac:dyDescent="0.25">
      <c r="A10361" t="str">
        <f>"20190303154042514"</f>
        <v>20190303154042514</v>
      </c>
      <c r="B10361" t="str">
        <f>"1551598842508129"</f>
        <v>1551598842508129</v>
      </c>
      <c r="C10361" t="s">
        <v>40</v>
      </c>
      <c r="D10361">
        <v>4.3881230000000002</v>
      </c>
      <c r="E10361">
        <v>0.48786459999999998</v>
      </c>
      <c r="F10361" t="s">
        <v>42</v>
      </c>
      <c r="G10361">
        <v>-91.844390000000004</v>
      </c>
      <c r="H10361" s="1">
        <v>-3.9549729999999997E-6</v>
      </c>
      <c r="I10361">
        <v>136.94450000000001</v>
      </c>
      <c r="J10361">
        <v>-125.5737</v>
      </c>
      <c r="K10361">
        <v>1.1221019999999999</v>
      </c>
      <c r="L10361">
        <v>137.476</v>
      </c>
      <c r="M10361">
        <v>0.99896750000000001</v>
      </c>
      <c r="N10361">
        <v>-1.4802040000000001E-2</v>
      </c>
      <c r="O10361">
        <v>-4.2953999999999999E-2</v>
      </c>
      <c r="P10361">
        <v>0.99734179999999995</v>
      </c>
      <c r="Q10361">
        <v>-5.641587E-2</v>
      </c>
      <c r="R10361">
        <v>-4.6117690000000003E-2</v>
      </c>
      <c r="S10361">
        <v>3.0004119999999999</v>
      </c>
      <c r="T10361">
        <v>-9.9019529999999994E-2</v>
      </c>
      <c r="U10361">
        <v>-4.7821040000000002E-2</v>
      </c>
      <c r="V10361">
        <v>3.3101390000000001E-3</v>
      </c>
      <c r="W10361">
        <v>-4.162507E-2</v>
      </c>
      <c r="X10361">
        <v>0.99912780000000001</v>
      </c>
      <c r="Y10361">
        <v>-2.700344E-2</v>
      </c>
      <c r="Z10361">
        <v>1.4261250000000001E-3</v>
      </c>
      <c r="AA10361">
        <v>0.99963429999999998</v>
      </c>
      <c r="AB10361">
        <v>24</v>
      </c>
      <c r="AC10361">
        <v>33.729309999999998</v>
      </c>
      <c r="AD10361">
        <v>-1.1221059549729999</v>
      </c>
      <c r="AE10361">
        <v>-0.53149999999999398</v>
      </c>
      <c r="AF10361">
        <v>-0.916943442993991</v>
      </c>
      <c r="AG10361">
        <v>-1.1221059549729999</v>
      </c>
      <c r="AH10361">
        <v>33.683734797900598</v>
      </c>
      <c r="AI10361">
        <v>91.907282159322705</v>
      </c>
      <c r="AJ10361">
        <v>91.559328797485804</v>
      </c>
      <c r="AK10361">
        <v>33.714891323970498</v>
      </c>
      <c r="AL10361">
        <v>92.385630123071607</v>
      </c>
      <c r="AM10361">
        <v>89.810178136966499</v>
      </c>
      <c r="AN10361">
        <v>0.99999998210277197</v>
      </c>
    </row>
    <row r="10362" spans="1:40" x14ac:dyDescent="0.25">
      <c r="A10362" t="str">
        <f>"20190303154042535"</f>
        <v>20190303154042535</v>
      </c>
      <c r="B10362" t="str">
        <f>"1551598842528625"</f>
        <v>1551598842528625</v>
      </c>
      <c r="C10362" t="s">
        <v>40</v>
      </c>
      <c r="D10362">
        <v>4.3801610000000002</v>
      </c>
      <c r="E10362">
        <v>0.48794589999999999</v>
      </c>
      <c r="F10362" t="s">
        <v>42</v>
      </c>
      <c r="G10362">
        <v>-92.646699999999996</v>
      </c>
      <c r="H10362" s="1">
        <v>-3.5951180000000002E-6</v>
      </c>
      <c r="I10362">
        <v>137.03290000000001</v>
      </c>
      <c r="J10362">
        <v>-125.3511</v>
      </c>
      <c r="K10362">
        <v>1.12218</v>
      </c>
      <c r="L10362">
        <v>137.46770000000001</v>
      </c>
      <c r="M10362">
        <v>0.99901709999999999</v>
      </c>
      <c r="N10362">
        <v>-1.479839E-2</v>
      </c>
      <c r="O10362">
        <v>-4.1784139999999997E-2</v>
      </c>
      <c r="P10362">
        <v>0.99748720000000002</v>
      </c>
      <c r="Q10362">
        <v>-5.6037869999999997E-2</v>
      </c>
      <c r="R10362">
        <v>-4.3349020000000002E-2</v>
      </c>
      <c r="S10362">
        <v>3.0003359999999999</v>
      </c>
      <c r="T10362">
        <v>-0.102247</v>
      </c>
      <c r="U10362">
        <v>-4.0374760000000003E-2</v>
      </c>
      <c r="V10362">
        <v>1.713836E-3</v>
      </c>
      <c r="W10362">
        <v>-4.1253119999999997E-2</v>
      </c>
      <c r="X10362">
        <v>0.99914720000000001</v>
      </c>
      <c r="Y10362">
        <v>-2.8309850000000001E-2</v>
      </c>
      <c r="Z10362">
        <v>1.496428E-3</v>
      </c>
      <c r="AA10362">
        <v>0.99959810000000004</v>
      </c>
      <c r="AB10362">
        <v>24</v>
      </c>
      <c r="AC10362">
        <v>32.7044</v>
      </c>
      <c r="AD10362">
        <v>-1.1221835951179999</v>
      </c>
      <c r="AE10362">
        <v>-0.43479999999999502</v>
      </c>
      <c r="AF10362">
        <v>-0.93115851245719305</v>
      </c>
      <c r="AG10362">
        <v>-1.1221835951179999</v>
      </c>
      <c r="AH10362">
        <v>32.655560359975802</v>
      </c>
      <c r="AI10362">
        <v>91.967352558649594</v>
      </c>
      <c r="AJ10362">
        <v>91.6333206237436</v>
      </c>
      <c r="AK10362">
        <v>32.688101422696597</v>
      </c>
      <c r="AL10362">
        <v>92.364300730406995</v>
      </c>
      <c r="AM10362">
        <v>89.901720714152503</v>
      </c>
      <c r="AN10362">
        <v>0.99999994220570299</v>
      </c>
    </row>
    <row r="10363" spans="1:40" x14ac:dyDescent="0.25">
      <c r="A10363" t="str">
        <f>"20190303154042555"</f>
        <v>20190303154042555</v>
      </c>
      <c r="B10363" t="str">
        <f>"1551598842548145"</f>
        <v>1551598842548145</v>
      </c>
      <c r="C10363" t="s">
        <v>40</v>
      </c>
      <c r="D10363">
        <v>4.3236169999999996</v>
      </c>
      <c r="E10363">
        <v>0.48809380000000002</v>
      </c>
      <c r="F10363" t="s">
        <v>42</v>
      </c>
      <c r="G10363">
        <v>-92.380420000000001</v>
      </c>
      <c r="H10363" s="1">
        <v>-3.6957500000000001E-6</v>
      </c>
      <c r="I10363">
        <v>137.1095</v>
      </c>
      <c r="J10363">
        <v>-125.12139999999999</v>
      </c>
      <c r="K10363">
        <v>1.12225</v>
      </c>
      <c r="L10363">
        <v>137.45959999999999</v>
      </c>
      <c r="M10363">
        <v>0.99907080000000004</v>
      </c>
      <c r="N10363">
        <v>-1.4794470000000001E-2</v>
      </c>
      <c r="O10363">
        <v>-4.0479609999999999E-2</v>
      </c>
      <c r="P10363">
        <v>0.9976197</v>
      </c>
      <c r="Q10363">
        <v>-5.5496360000000002E-2</v>
      </c>
      <c r="R10363">
        <v>-4.0926980000000002E-2</v>
      </c>
      <c r="S10363">
        <v>3.000397</v>
      </c>
      <c r="T10363">
        <v>-0.102121</v>
      </c>
      <c r="U10363">
        <v>-3.259277E-2</v>
      </c>
      <c r="V10363">
        <v>5.9698889999999999E-4</v>
      </c>
      <c r="W10363">
        <v>-4.0717389999999999E-2</v>
      </c>
      <c r="X10363">
        <v>0.99917049999999996</v>
      </c>
      <c r="Y10363">
        <v>-2.9596319999999999E-2</v>
      </c>
      <c r="Z10363">
        <v>1.50056E-3</v>
      </c>
      <c r="AA10363">
        <v>0.99956080000000003</v>
      </c>
      <c r="AB10363">
        <v>24</v>
      </c>
      <c r="AC10363">
        <v>32.740979999999901</v>
      </c>
      <c r="AD10363">
        <v>-1.12225369575</v>
      </c>
      <c r="AE10363">
        <v>-0.35009999999999702</v>
      </c>
      <c r="AF10363">
        <v>-0.97452938817939105</v>
      </c>
      <c r="AG10363">
        <v>-1.12225369575</v>
      </c>
      <c r="AH10363">
        <v>32.689909128812801</v>
      </c>
      <c r="AI10363">
        <v>91.965335460911504</v>
      </c>
      <c r="AJ10363">
        <v>91.707557174984402</v>
      </c>
      <c r="AK10363">
        <v>32.723681329216099</v>
      </c>
      <c r="AL10363">
        <v>92.333579770186006</v>
      </c>
      <c r="AM10363">
        <v>89.965766663131106</v>
      </c>
      <c r="AN10363">
        <v>0.99999997515720396</v>
      </c>
    </row>
    <row r="10364" spans="1:40" x14ac:dyDescent="0.25">
      <c r="A10364" t="str">
        <f>"20190303154042578"</f>
        <v>20190303154042578</v>
      </c>
      <c r="B10364" t="str">
        <f>"1551598842568641"</f>
        <v>1551598842568641</v>
      </c>
      <c r="C10364" t="s">
        <v>40</v>
      </c>
      <c r="D10364">
        <v>4.3337329999999996</v>
      </c>
      <c r="E10364">
        <v>0.48823929999999999</v>
      </c>
      <c r="F10364" t="s">
        <v>42</v>
      </c>
      <c r="G10364">
        <v>-91.855900000000005</v>
      </c>
      <c r="H10364" s="1">
        <v>-3.9107690000000001E-6</v>
      </c>
      <c r="I10364">
        <v>137.16589999999999</v>
      </c>
      <c r="J10364">
        <v>-124.87990000000001</v>
      </c>
      <c r="K10364">
        <v>1.122298</v>
      </c>
      <c r="L10364">
        <v>137.45150000000001</v>
      </c>
      <c r="M10364">
        <v>0.99912849999999997</v>
      </c>
      <c r="N10364">
        <v>-1.479015E-2</v>
      </c>
      <c r="O10364">
        <v>-3.9030860000000001E-2</v>
      </c>
      <c r="P10364">
        <v>0.99780449999999998</v>
      </c>
      <c r="Q10364">
        <v>-5.4119830000000001E-2</v>
      </c>
      <c r="R10364">
        <v>-3.8173060000000002E-2</v>
      </c>
      <c r="S10364">
        <v>3.0004270000000002</v>
      </c>
      <c r="T10364">
        <v>-0.1012232</v>
      </c>
      <c r="U10364">
        <v>-2.6489260000000001E-2</v>
      </c>
      <c r="V10364">
        <v>-7.1309759999999998E-4</v>
      </c>
      <c r="W10364">
        <v>-3.9347220000000002E-2</v>
      </c>
      <c r="X10364">
        <v>0.99922529999999998</v>
      </c>
      <c r="Y10364">
        <v>-3.0180499999999999E-2</v>
      </c>
      <c r="Z10364">
        <v>1.470942E-3</v>
      </c>
      <c r="AA10364">
        <v>0.99954339999999997</v>
      </c>
      <c r="AB10364">
        <v>24</v>
      </c>
      <c r="AC10364">
        <v>33.024000000000001</v>
      </c>
      <c r="AD10364">
        <v>-1.122301910769</v>
      </c>
      <c r="AE10364">
        <v>-0.28560000000001601</v>
      </c>
      <c r="AF10364">
        <v>-1.00255604247025</v>
      </c>
      <c r="AG10364">
        <v>-1.122301910769</v>
      </c>
      <c r="AH10364">
        <v>32.971901047834699</v>
      </c>
      <c r="AI10364">
        <v>91.948588754570693</v>
      </c>
      <c r="AJ10364">
        <v>91.741620448108904</v>
      </c>
      <c r="AK10364">
        <v>33.0062257597776</v>
      </c>
      <c r="AL10364">
        <v>92.255011865450996</v>
      </c>
      <c r="AM10364">
        <v>90.040889152751305</v>
      </c>
      <c r="AN10364">
        <v>0.99999995619500104</v>
      </c>
    </row>
    <row r="10365" spans="1:40" x14ac:dyDescent="0.25">
      <c r="A10365" t="str">
        <f>"20190303154042601"</f>
        <v>20190303154042601</v>
      </c>
      <c r="B10365" t="str">
        <f>"1551598842588162"</f>
        <v>1551598842588162</v>
      </c>
      <c r="C10365" t="s">
        <v>40</v>
      </c>
      <c r="D10365">
        <v>4.3171929999999996</v>
      </c>
      <c r="E10365">
        <v>0.48835840000000003</v>
      </c>
      <c r="F10365" t="s">
        <v>42</v>
      </c>
      <c r="G10365">
        <v>-90.322590000000005</v>
      </c>
      <c r="H10365" s="1">
        <v>-4.5575830000000004E-6</v>
      </c>
      <c r="I10365">
        <v>137.2278</v>
      </c>
      <c r="J10365">
        <v>-124.6404</v>
      </c>
      <c r="K10365">
        <v>1.1223320000000001</v>
      </c>
      <c r="L10365">
        <v>137.44380000000001</v>
      </c>
      <c r="M10365">
        <v>0.99918560000000001</v>
      </c>
      <c r="N10365">
        <v>-1.478554E-2</v>
      </c>
      <c r="O10365">
        <v>-3.7543189999999997E-2</v>
      </c>
      <c r="P10365">
        <v>0.99796799999999997</v>
      </c>
      <c r="Q10365">
        <v>-5.2562869999999998E-2</v>
      </c>
      <c r="R10365">
        <v>-3.6018069999999999E-2</v>
      </c>
      <c r="S10365">
        <v>3.0005799999999998</v>
      </c>
      <c r="T10365">
        <v>-9.7448229999999997E-2</v>
      </c>
      <c r="U10365">
        <v>-1.9424440000000001E-2</v>
      </c>
      <c r="V10365">
        <v>-1.387859E-3</v>
      </c>
      <c r="W10365">
        <v>-3.7795490000000001E-2</v>
      </c>
      <c r="X10365">
        <v>0.99928450000000002</v>
      </c>
      <c r="Y10365">
        <v>-3.1047950000000001E-2</v>
      </c>
      <c r="Z10365">
        <v>1.397187E-3</v>
      </c>
      <c r="AA10365">
        <v>0.99951690000000004</v>
      </c>
      <c r="AB10365">
        <v>24</v>
      </c>
      <c r="AC10365">
        <v>34.317809999999902</v>
      </c>
      <c r="AD10365">
        <v>-1.122336557583</v>
      </c>
      <c r="AE10365">
        <v>-0.21600000000000799</v>
      </c>
      <c r="AF10365">
        <v>-1.0715472041410601</v>
      </c>
      <c r="AG10365">
        <v>-1.122336557583</v>
      </c>
      <c r="AH10365">
        <v>34.265073806575998</v>
      </c>
      <c r="AI10365">
        <v>91.875109891844303</v>
      </c>
      <c r="AJ10365">
        <v>91.791186282497307</v>
      </c>
      <c r="AK10365">
        <v>34.300191482399804</v>
      </c>
      <c r="AL10365">
        <v>92.166038035800398</v>
      </c>
      <c r="AM10365">
        <v>90.079575348292906</v>
      </c>
      <c r="AN10365">
        <v>0.99999996857859597</v>
      </c>
    </row>
    <row r="10366" spans="1:40" x14ac:dyDescent="0.25">
      <c r="A10366" t="str">
        <f>"20190303154042623"</f>
        <v>20190303154042623</v>
      </c>
      <c r="B10366" t="str">
        <f>"1551598842618417"</f>
        <v>1551598842618417</v>
      </c>
      <c r="C10366" t="s">
        <v>40</v>
      </c>
      <c r="D10366">
        <v>4.308541</v>
      </c>
      <c r="E10366">
        <v>0.48851679999999997</v>
      </c>
      <c r="F10366" t="s">
        <v>42</v>
      </c>
      <c r="G10366">
        <v>-88.544240000000002</v>
      </c>
      <c r="H10366" s="1">
        <v>-1.1037309999999999E-6</v>
      </c>
      <c r="I10366">
        <v>137.27770000000001</v>
      </c>
      <c r="J10366">
        <v>-124.4049</v>
      </c>
      <c r="K10366">
        <v>1.1223449999999999</v>
      </c>
      <c r="L10366">
        <v>137.4367</v>
      </c>
      <c r="M10366">
        <v>0.99924069999999998</v>
      </c>
      <c r="N10366">
        <v>-1.4780669999999999E-2</v>
      </c>
      <c r="O10366">
        <v>-3.6053580000000002E-2</v>
      </c>
      <c r="P10366">
        <v>0.99816320000000003</v>
      </c>
      <c r="Q10366">
        <v>-5.0861950000000003E-2</v>
      </c>
      <c r="R10366">
        <v>-3.2920989999999997E-2</v>
      </c>
      <c r="S10366">
        <v>3.0006710000000001</v>
      </c>
      <c r="T10366">
        <v>-9.3299510000000002E-2</v>
      </c>
      <c r="U10366">
        <v>-1.3809200000000001E-2</v>
      </c>
      <c r="V10366">
        <v>-3.00432E-3</v>
      </c>
      <c r="W10366">
        <v>-3.6102299999999997E-2</v>
      </c>
      <c r="X10366">
        <v>0.9993436</v>
      </c>
      <c r="Y10366">
        <v>-3.1430930000000003E-2</v>
      </c>
      <c r="Z10366">
        <v>1.3084749999999999E-3</v>
      </c>
      <c r="AA10366">
        <v>0.99950499999999998</v>
      </c>
      <c r="AB10366">
        <v>24</v>
      </c>
      <c r="AC10366">
        <v>35.860660000000003</v>
      </c>
      <c r="AD10366">
        <v>-1.1223461037310001</v>
      </c>
      <c r="AE10366">
        <v>-0.15899999999999101</v>
      </c>
      <c r="AF10366">
        <v>-1.1330398013674401</v>
      </c>
      <c r="AG10366">
        <v>-1.1223461037310001</v>
      </c>
      <c r="AH10366">
        <v>35.807999282430401</v>
      </c>
      <c r="AI10366">
        <v>91.794361984760101</v>
      </c>
      <c r="AJ10366">
        <v>91.812353302163004</v>
      </c>
      <c r="AK10366">
        <v>35.843496656695997</v>
      </c>
      <c r="AL10366">
        <v>92.068958991399001</v>
      </c>
      <c r="AM10366">
        <v>90.172247400930004</v>
      </c>
      <c r="AN10366">
        <v>1.0000000164324501</v>
      </c>
    </row>
    <row r="10367" spans="1:40" x14ac:dyDescent="0.25">
      <c r="A10367" t="str">
        <f>"20190303154042649"</f>
        <v>20190303154042649</v>
      </c>
      <c r="B10367" t="str">
        <f>"1551598842637938"</f>
        <v>1551598842637938</v>
      </c>
      <c r="C10367" t="s">
        <v>40</v>
      </c>
      <c r="D10367">
        <v>4.3057349999999897</v>
      </c>
      <c r="E10367">
        <v>0.49716690000000002</v>
      </c>
      <c r="F10367" t="s">
        <v>42</v>
      </c>
      <c r="G10367">
        <v>-85.621600000000001</v>
      </c>
      <c r="H10367" s="1">
        <v>-2.2600439999999999E-6</v>
      </c>
      <c r="I10367">
        <v>137.3647</v>
      </c>
      <c r="J10367">
        <v>-124.1315</v>
      </c>
      <c r="K10367">
        <v>1.1223559999999999</v>
      </c>
      <c r="L10367">
        <v>137.4288</v>
      </c>
      <c r="M10367">
        <v>0.99930200000000002</v>
      </c>
      <c r="N10367">
        <v>-1.477475E-2</v>
      </c>
      <c r="O10367">
        <v>-3.4310809999999997E-2</v>
      </c>
      <c r="P10367">
        <v>0.99837220000000004</v>
      </c>
      <c r="Q10367">
        <v>-4.8817520000000003E-2</v>
      </c>
      <c r="R10367">
        <v>-2.9490499999999999E-2</v>
      </c>
      <c r="S10367">
        <v>3.0009160000000001</v>
      </c>
      <c r="T10367">
        <v>-8.6843249999999997E-2</v>
      </c>
      <c r="U10367">
        <v>-5.5694580000000002E-3</v>
      </c>
      <c r="V10367">
        <v>-4.7029819999999996E-3</v>
      </c>
      <c r="W10367">
        <v>-3.406671E-2</v>
      </c>
      <c r="X10367">
        <v>0.99940850000000003</v>
      </c>
      <c r="Y10367">
        <v>-3.2435720000000001E-2</v>
      </c>
      <c r="Z10367">
        <v>1.1945E-3</v>
      </c>
      <c r="AA10367">
        <v>0.9994731</v>
      </c>
      <c r="AB10367">
        <v>24</v>
      </c>
      <c r="AC10367">
        <v>38.509900000000002</v>
      </c>
      <c r="AD10367">
        <v>-1.1223582600440001</v>
      </c>
      <c r="AE10367">
        <v>-6.4099999999996202E-2</v>
      </c>
      <c r="AF10367">
        <v>-1.25632071277728</v>
      </c>
      <c r="AG10367">
        <v>-1.1223582600440001</v>
      </c>
      <c r="AH10367">
        <v>38.456754872189599</v>
      </c>
      <c r="AI10367">
        <v>91.670808807913204</v>
      </c>
      <c r="AJ10367">
        <v>91.871096098501098</v>
      </c>
      <c r="AK10367">
        <v>38.493636163616998</v>
      </c>
      <c r="AL10367">
        <v>91.952256432883502</v>
      </c>
      <c r="AM10367">
        <v>90.269618510098994</v>
      </c>
      <c r="AN10367">
        <v>1.0000000043210799</v>
      </c>
    </row>
    <row r="10368" spans="1:40" x14ac:dyDescent="0.25">
      <c r="A10368" t="str">
        <f>"20190303154042672"</f>
        <v>20190303154042672</v>
      </c>
      <c r="B10368" t="str">
        <f>"1551598842668192"</f>
        <v>1551598842668192</v>
      </c>
      <c r="C10368" t="s">
        <v>40</v>
      </c>
      <c r="D10368">
        <v>4.3014659999999996</v>
      </c>
      <c r="E10368">
        <v>0.4954112</v>
      </c>
      <c r="F10368" t="s">
        <v>42</v>
      </c>
      <c r="G10368">
        <v>-75.876580000000004</v>
      </c>
      <c r="H10368" s="1">
        <v>-2.3214669999999999E-6</v>
      </c>
      <c r="I10368">
        <v>136.40180000000001</v>
      </c>
      <c r="J10368">
        <v>-123.89409999999999</v>
      </c>
      <c r="K10368">
        <v>1.12235</v>
      </c>
      <c r="L10368">
        <v>137.42250000000001</v>
      </c>
      <c r="M10368">
        <v>0.99935289999999999</v>
      </c>
      <c r="N10368">
        <v>-1.4769350000000001E-2</v>
      </c>
      <c r="O10368">
        <v>-3.2798550000000003E-2</v>
      </c>
      <c r="P10368">
        <v>0.99851409999999996</v>
      </c>
      <c r="Q10368">
        <v>-4.7486889999999997E-2</v>
      </c>
      <c r="R10368">
        <v>-2.673244E-2</v>
      </c>
      <c r="S10368">
        <v>2.999603</v>
      </c>
      <c r="T10368">
        <v>-6.9767590000000004E-2</v>
      </c>
      <c r="U10368">
        <v>-6.3842769999999993E-2</v>
      </c>
      <c r="V10368">
        <v>-5.9570589999999998E-3</v>
      </c>
      <c r="W10368">
        <v>-3.2743700000000001E-2</v>
      </c>
      <c r="X10368">
        <v>0.99944599999999995</v>
      </c>
      <c r="Y10368">
        <v>-1.152096E-2</v>
      </c>
      <c r="Z10368">
        <v>4.9709349999999995E-4</v>
      </c>
      <c r="AA10368">
        <v>0.99993350000000003</v>
      </c>
      <c r="AB10368">
        <v>24</v>
      </c>
      <c r="AC10368">
        <v>48.017519999999898</v>
      </c>
      <c r="AD10368">
        <v>-1.1223523214669999</v>
      </c>
      <c r="AE10368">
        <v>-1.0206999999999999</v>
      </c>
      <c r="AF10368">
        <v>-0.554623152748557</v>
      </c>
      <c r="AG10368">
        <v>-1.1223523214669999</v>
      </c>
      <c r="AH10368">
        <v>47.998949585492802</v>
      </c>
      <c r="AI10368">
        <v>91.339405246176796</v>
      </c>
      <c r="AJ10368">
        <v>90.662017648132604</v>
      </c>
      <c r="AK10368">
        <v>48.015273016882396</v>
      </c>
      <c r="AL10368">
        <v>91.876411269728706</v>
      </c>
      <c r="AM10368">
        <v>90.341499487979405</v>
      </c>
      <c r="AN10368">
        <v>0.99999997167880905</v>
      </c>
    </row>
    <row r="10369" spans="1:40" x14ac:dyDescent="0.25">
      <c r="A10369" t="str">
        <f>"20190303154042690"</f>
        <v>20190303154042690</v>
      </c>
      <c r="B10369" t="str">
        <f>"1551598842678929"</f>
        <v>1551598842678929</v>
      </c>
      <c r="C10369" t="s">
        <v>40</v>
      </c>
      <c r="D10369">
        <v>4.3184189999999996</v>
      </c>
      <c r="E10369">
        <v>0.49508930000000001</v>
      </c>
      <c r="F10369" t="s">
        <v>42</v>
      </c>
      <c r="G10369">
        <v>-70.138149999999996</v>
      </c>
      <c r="H10369" s="1">
        <v>-4.7339849999999997E-6</v>
      </c>
      <c r="I10369">
        <v>136.67939999999999</v>
      </c>
      <c r="J10369">
        <v>-123.6938</v>
      </c>
      <c r="K10369">
        <v>1.1223399999999999</v>
      </c>
      <c r="L10369">
        <v>137.41730000000001</v>
      </c>
      <c r="M10369">
        <v>0.99939389999999995</v>
      </c>
      <c r="N10369">
        <v>-1.476469E-2</v>
      </c>
      <c r="O10369">
        <v>-3.1527340000000001E-2</v>
      </c>
      <c r="P10369">
        <v>0.99858159999999896</v>
      </c>
      <c r="Q10369">
        <v>-4.7473080000000001E-2</v>
      </c>
      <c r="R10369">
        <v>-2.4110820000000002E-2</v>
      </c>
      <c r="S10369">
        <v>3.000381</v>
      </c>
      <c r="T10369">
        <v>-6.2644000000000005E-2</v>
      </c>
      <c r="U10369">
        <v>-4.1473389999999999E-2</v>
      </c>
      <c r="V10369">
        <v>-7.309093E-3</v>
      </c>
      <c r="W10369">
        <v>-3.2737780000000001E-2</v>
      </c>
      <c r="X10369">
        <v>0.99943729999999997</v>
      </c>
      <c r="Y10369">
        <v>-1.7706079999999999E-2</v>
      </c>
      <c r="Z10369">
        <v>5.0802639999999999E-4</v>
      </c>
      <c r="AA10369">
        <v>0.99984309999999998</v>
      </c>
      <c r="AB10369">
        <v>24</v>
      </c>
      <c r="AC10369">
        <v>53.55565</v>
      </c>
      <c r="AD10369">
        <v>-1.1223447339849999</v>
      </c>
      <c r="AE10369">
        <v>-0.73790000000002398</v>
      </c>
      <c r="AF10369">
        <v>-0.95070058948007397</v>
      </c>
      <c r="AG10369">
        <v>-1.1223447339849999</v>
      </c>
      <c r="AH10369">
        <v>53.528783422370303</v>
      </c>
      <c r="AI10369">
        <v>91.200962474821296</v>
      </c>
      <c r="AJ10369">
        <v>91.017497532242203</v>
      </c>
      <c r="AK10369">
        <v>53.548988263007999</v>
      </c>
      <c r="AL10369">
        <v>91.876071748164804</v>
      </c>
      <c r="AM10369">
        <v>90.419008491410906</v>
      </c>
      <c r="AN10369">
        <v>1.00000005085554</v>
      </c>
    </row>
    <row r="10370" spans="1:40" x14ac:dyDescent="0.25">
      <c r="A10370" t="str">
        <f>"20190303154042712"</f>
        <v>20190303154042712</v>
      </c>
      <c r="B10370" t="str">
        <f>"1551598842708912"</f>
        <v>1551598842708912</v>
      </c>
      <c r="C10370" t="s">
        <v>40</v>
      </c>
      <c r="D10370">
        <v>4.29955</v>
      </c>
      <c r="E10370">
        <v>0.49476219999999999</v>
      </c>
      <c r="F10370" t="s">
        <v>42</v>
      </c>
      <c r="G10370">
        <v>-70.568550000000002</v>
      </c>
      <c r="H10370" s="1">
        <v>-4.5158790000000003E-6</v>
      </c>
      <c r="I10370">
        <v>136.8681</v>
      </c>
      <c r="J10370">
        <v>-123.4551</v>
      </c>
      <c r="K10370">
        <v>1.1223259999999999</v>
      </c>
      <c r="L10370">
        <v>137.41159999999999</v>
      </c>
      <c r="M10370">
        <v>0.99944040000000001</v>
      </c>
      <c r="N10370">
        <v>-1.4759049999999999E-2</v>
      </c>
      <c r="O10370">
        <v>-3.0021340000000001E-2</v>
      </c>
      <c r="P10370">
        <v>0.99860439999999995</v>
      </c>
      <c r="Q10370">
        <v>-4.8218280000000002E-2</v>
      </c>
      <c r="R10370">
        <v>-2.1556140000000001E-2</v>
      </c>
      <c r="S10370">
        <v>3.0004879999999998</v>
      </c>
      <c r="T10370">
        <v>-6.3389420000000002E-2</v>
      </c>
      <c r="U10370">
        <v>-3.1021119999999999E-2</v>
      </c>
      <c r="V10370">
        <v>-8.3578070000000001E-3</v>
      </c>
      <c r="W10370">
        <v>-3.3491479999999997E-2</v>
      </c>
      <c r="X10370">
        <v>0.99940410000000002</v>
      </c>
      <c r="Y10370">
        <v>-1.9681460000000001E-2</v>
      </c>
      <c r="Z10370">
        <v>5.4405649999999996E-4</v>
      </c>
      <c r="AA10370">
        <v>0.99980619999999998</v>
      </c>
      <c r="AB10370">
        <v>24</v>
      </c>
      <c r="AC10370">
        <v>52.88655</v>
      </c>
      <c r="AD10370">
        <v>-1.122330515879</v>
      </c>
      <c r="AE10370">
        <v>-0.54349999999999399</v>
      </c>
      <c r="AF10370">
        <v>-1.0441727135394201</v>
      </c>
      <c r="AG10370">
        <v>-1.122330515879</v>
      </c>
      <c r="AH10370">
        <v>52.855224108343201</v>
      </c>
      <c r="AI10370">
        <v>91.216201461426095</v>
      </c>
      <c r="AJ10370">
        <v>91.131750162443495</v>
      </c>
      <c r="AK10370">
        <v>52.877449238647699</v>
      </c>
      <c r="AL10370">
        <v>91.919279286602105</v>
      </c>
      <c r="AM10370">
        <v>90.479141424537104</v>
      </c>
      <c r="AN10370">
        <v>1.0000000436336201</v>
      </c>
    </row>
    <row r="10371" spans="1:40" x14ac:dyDescent="0.25">
      <c r="A10371" t="str">
        <f>"20190303154042735"</f>
        <v>20190303154042735</v>
      </c>
      <c r="B10371" t="str">
        <f>"1551598842728431"</f>
        <v>1551598842728431</v>
      </c>
      <c r="C10371" t="s">
        <v>40</v>
      </c>
      <c r="D10371">
        <v>4.2974300000000003</v>
      </c>
      <c r="E10371">
        <v>0.4946913</v>
      </c>
      <c r="F10371" t="s">
        <v>42</v>
      </c>
      <c r="G10371">
        <v>-80.786529999999999</v>
      </c>
      <c r="H10371" s="1">
        <v>-4.379195E-6</v>
      </c>
      <c r="I10371">
        <v>137.1114</v>
      </c>
      <c r="J10371">
        <v>-123.2176</v>
      </c>
      <c r="K10371">
        <v>1.122317</v>
      </c>
      <c r="L10371">
        <v>137.40620000000001</v>
      </c>
      <c r="M10371">
        <v>0.99948409999999999</v>
      </c>
      <c r="N10371">
        <v>-1.475333E-2</v>
      </c>
      <c r="O10371">
        <v>-2.8531190000000001E-2</v>
      </c>
      <c r="P10371">
        <v>0.99867930000000005</v>
      </c>
      <c r="Q10371">
        <v>-4.7744330000000001E-2</v>
      </c>
      <c r="R10371">
        <v>-1.898043E-2</v>
      </c>
      <c r="S10371">
        <v>2.999924</v>
      </c>
      <c r="T10371">
        <v>-7.8908210000000006E-2</v>
      </c>
      <c r="U10371">
        <v>-2.1102909999999999E-2</v>
      </c>
      <c r="V10371">
        <v>-9.4468710000000008E-3</v>
      </c>
      <c r="W10371">
        <v>-3.3025430000000001E-2</v>
      </c>
      <c r="X10371">
        <v>0.99940989999999996</v>
      </c>
      <c r="Y10371">
        <v>-2.148864E-2</v>
      </c>
      <c r="Z10371">
        <v>7.7039169999999996E-4</v>
      </c>
      <c r="AA10371">
        <v>0.99976880000000001</v>
      </c>
      <c r="AB10371">
        <v>24</v>
      </c>
      <c r="AC10371">
        <v>42.431069999999998</v>
      </c>
      <c r="AD10371">
        <v>-1.122321379195</v>
      </c>
      <c r="AE10371">
        <v>-0.294800000000009</v>
      </c>
      <c r="AF10371">
        <v>-0.91542021501481896</v>
      </c>
      <c r="AG10371">
        <v>-1.122321379195</v>
      </c>
      <c r="AH10371">
        <v>42.3925470434164</v>
      </c>
      <c r="AI10371">
        <v>91.516169439984793</v>
      </c>
      <c r="AJ10371">
        <v>91.237046801133602</v>
      </c>
      <c r="AK10371">
        <v>42.417280019781202</v>
      </c>
      <c r="AL10371">
        <v>91.892561824724694</v>
      </c>
      <c r="AM10371">
        <v>90.541569298328994</v>
      </c>
      <c r="AN10371">
        <v>1.0000000353081899</v>
      </c>
    </row>
    <row r="10372" spans="1:40" x14ac:dyDescent="0.25">
      <c r="A10372" t="str">
        <f>"20190303154042757"</f>
        <v>20190303154042757</v>
      </c>
      <c r="B10372" t="str">
        <f>"1551598842747952"</f>
        <v>1551598842747952</v>
      </c>
      <c r="C10372" t="s">
        <v>40</v>
      </c>
      <c r="D10372">
        <v>4.2983529999999996</v>
      </c>
      <c r="E10372">
        <v>0.49480499999999999</v>
      </c>
      <c r="F10372" t="s">
        <v>42</v>
      </c>
      <c r="G10372">
        <v>-80.718719999999905</v>
      </c>
      <c r="H10372" s="1">
        <v>-4.3882459999999998E-6</v>
      </c>
      <c r="I10372">
        <v>137.2244</v>
      </c>
      <c r="J10372">
        <v>-122.9795</v>
      </c>
      <c r="K10372">
        <v>1.1223160000000001</v>
      </c>
      <c r="L10372">
        <v>137.40119999999999</v>
      </c>
      <c r="M10372">
        <v>0.99952549999999996</v>
      </c>
      <c r="N10372">
        <v>-1.474752E-2</v>
      </c>
      <c r="O10372">
        <v>-2.7043660000000001E-2</v>
      </c>
      <c r="P10372">
        <v>0.99879439999999997</v>
      </c>
      <c r="Q10372">
        <v>-4.6141219999999997E-2</v>
      </c>
      <c r="R10372">
        <v>-1.6756670000000001E-2</v>
      </c>
      <c r="S10372">
        <v>2.999924</v>
      </c>
      <c r="T10372">
        <v>-7.9222680000000004E-2</v>
      </c>
      <c r="U10372">
        <v>-1.2832639999999999E-2</v>
      </c>
      <c r="V10372">
        <v>-1.019082E-2</v>
      </c>
      <c r="W10372">
        <v>-3.142876E-2</v>
      </c>
      <c r="X10372">
        <v>0.99945399999999995</v>
      </c>
      <c r="Y10372">
        <v>-2.275609E-2</v>
      </c>
      <c r="Z10372">
        <v>7.8338720000000004E-4</v>
      </c>
      <c r="AA10372">
        <v>0.99974070000000004</v>
      </c>
      <c r="AB10372">
        <v>24</v>
      </c>
      <c r="AC10372">
        <v>42.260779999999997</v>
      </c>
      <c r="AD10372">
        <v>-1.122320388246</v>
      </c>
      <c r="AE10372">
        <v>-0.176799999999985</v>
      </c>
      <c r="AF10372">
        <v>-0.96559410668672696</v>
      </c>
      <c r="AG10372">
        <v>-1.122320388246</v>
      </c>
      <c r="AH10372">
        <v>42.220325305616797</v>
      </c>
      <c r="AI10372">
        <v>91.5223066680107</v>
      </c>
      <c r="AJ10372">
        <v>91.310146801978505</v>
      </c>
      <c r="AK10372">
        <v>42.246276095590403</v>
      </c>
      <c r="AL10372">
        <v>91.801031960287801</v>
      </c>
      <c r="AM10372">
        <v>90.584189709623899</v>
      </c>
      <c r="AN10372">
        <v>0.99999995894170401</v>
      </c>
    </row>
    <row r="10373" spans="1:40" x14ac:dyDescent="0.25">
      <c r="A10373" t="str">
        <f>"20190303154042780"</f>
        <v>20190303154042780</v>
      </c>
      <c r="B10373" t="str">
        <f>"1551598842768448"</f>
        <v>1551598842768448</v>
      </c>
      <c r="C10373" t="s">
        <v>40</v>
      </c>
      <c r="D10373">
        <v>4.3076119999999998</v>
      </c>
      <c r="E10373">
        <v>0.49482419999999999</v>
      </c>
      <c r="F10373" t="s">
        <v>42</v>
      </c>
      <c r="G10373">
        <v>-78.477620000000002</v>
      </c>
      <c r="H10373" s="1">
        <v>-1.121561E-6</v>
      </c>
      <c r="I10373">
        <v>137.29589999999999</v>
      </c>
      <c r="J10373">
        <v>-122.7469</v>
      </c>
      <c r="K10373">
        <v>1.1223110000000001</v>
      </c>
      <c r="L10373">
        <v>137.39660000000001</v>
      </c>
      <c r="M10373">
        <v>0.9995638</v>
      </c>
      <c r="N10373">
        <v>-1.4741789999999999E-2</v>
      </c>
      <c r="O10373">
        <v>-2.559378E-2</v>
      </c>
      <c r="P10373">
        <v>0.99891379999999996</v>
      </c>
      <c r="Q10373">
        <v>-4.4317299999999997E-2</v>
      </c>
      <c r="R10373">
        <v>-1.440233E-2</v>
      </c>
      <c r="S10373">
        <v>3.0000149999999999</v>
      </c>
      <c r="T10373">
        <v>-7.5658920000000005E-2</v>
      </c>
      <c r="U10373">
        <v>-7.0953369999999898E-3</v>
      </c>
      <c r="V10373">
        <v>-1.11036E-2</v>
      </c>
      <c r="W10373">
        <v>-2.9611539999999999E-2</v>
      </c>
      <c r="X10373">
        <v>0.99949980000000005</v>
      </c>
      <c r="Y10373">
        <v>-2.3219070000000001E-2</v>
      </c>
      <c r="Z10373">
        <v>7.319122E-4</v>
      </c>
      <c r="AA10373">
        <v>0.99973009999999995</v>
      </c>
      <c r="AB10373">
        <v>24</v>
      </c>
      <c r="AC10373">
        <v>44.269280000000002</v>
      </c>
      <c r="AD10373">
        <v>-1.1223121215609999</v>
      </c>
      <c r="AE10373">
        <v>-0.100700000000017</v>
      </c>
      <c r="AF10373">
        <v>-1.0318110916979999</v>
      </c>
      <c r="AG10373">
        <v>-1.1223121215609999</v>
      </c>
      <c r="AH10373">
        <v>44.2289262324391</v>
      </c>
      <c r="AI10373">
        <v>91.453177303491003</v>
      </c>
      <c r="AJ10373">
        <v>91.336403673925204</v>
      </c>
      <c r="AK10373">
        <v>44.255193303178501</v>
      </c>
      <c r="AL10373">
        <v>91.696864323261494</v>
      </c>
      <c r="AM10373">
        <v>90.636481616018003</v>
      </c>
      <c r="AN10373">
        <v>0.99999999171708498</v>
      </c>
    </row>
    <row r="10374" spans="1:40" x14ac:dyDescent="0.25">
      <c r="A10374" t="str">
        <f>"20190303154042802"</f>
        <v>20190303154042802</v>
      </c>
      <c r="B10374" t="str">
        <f>"1551598842798781"</f>
        <v>1551598842798781</v>
      </c>
      <c r="C10374" t="s">
        <v>40</v>
      </c>
      <c r="D10374">
        <v>4.3125070000000001</v>
      </c>
      <c r="E10374">
        <v>0.49212099999999998</v>
      </c>
      <c r="F10374" t="s">
        <v>42</v>
      </c>
      <c r="G10374">
        <v>-74.786699999999996</v>
      </c>
      <c r="H10374" s="1">
        <v>-2.6130359999999999E-6</v>
      </c>
      <c r="I10374">
        <v>137.3939</v>
      </c>
      <c r="J10374">
        <v>-122.5127</v>
      </c>
      <c r="K10374">
        <v>1.1223110000000001</v>
      </c>
      <c r="L10374">
        <v>137.39230000000001</v>
      </c>
      <c r="M10374">
        <v>0.99960009999999999</v>
      </c>
      <c r="N10374">
        <v>-1.473606E-2</v>
      </c>
      <c r="O10374">
        <v>-2.4136250000000001E-2</v>
      </c>
      <c r="P10374">
        <v>0.99903109999999995</v>
      </c>
      <c r="Q10374">
        <v>-4.2362749999999998E-2</v>
      </c>
      <c r="R10374">
        <v>-1.1945239999999999E-2</v>
      </c>
      <c r="S10374">
        <v>3.0001370000000001</v>
      </c>
      <c r="T10374">
        <v>-7.020593E-2</v>
      </c>
      <c r="U10374">
        <v>-1.67846699999999E-4</v>
      </c>
      <c r="V10374">
        <v>-1.211133E-2</v>
      </c>
      <c r="W10374">
        <v>-2.766389E-2</v>
      </c>
      <c r="X10374">
        <v>0.99954390000000004</v>
      </c>
      <c r="Y10374">
        <v>-2.40713E-2</v>
      </c>
      <c r="Z10374">
        <v>6.6800490000000002E-4</v>
      </c>
      <c r="AA10374">
        <v>0.99970999999999999</v>
      </c>
      <c r="AB10374">
        <v>24</v>
      </c>
      <c r="AC10374">
        <v>47.725999999999999</v>
      </c>
      <c r="AD10374">
        <v>-1.1223136130360001</v>
      </c>
      <c r="AE10374">
        <v>1.59999999999627E-3</v>
      </c>
      <c r="AF10374">
        <v>-1.15301364599306</v>
      </c>
      <c r="AG10374">
        <v>-1.1223136130360001</v>
      </c>
      <c r="AH10374">
        <v>47.685684963983299</v>
      </c>
      <c r="AI10374">
        <v>91.347850728320395</v>
      </c>
      <c r="AJ10374">
        <v>91.385110557834494</v>
      </c>
      <c r="AK10374">
        <v>47.712824049705098</v>
      </c>
      <c r="AL10374">
        <v>91.585226392327698</v>
      </c>
      <c r="AM10374">
        <v>90.694210765384398</v>
      </c>
      <c r="AN10374">
        <v>0.99999999157575503</v>
      </c>
    </row>
    <row r="10375" spans="1:40" x14ac:dyDescent="0.25">
      <c r="A10375" t="str">
        <f>"20190303154042828"</f>
        <v>20190303154042828</v>
      </c>
      <c r="B10375" t="str">
        <f>"1551598842818301"</f>
        <v>1551598842818301</v>
      </c>
      <c r="C10375" t="s">
        <v>40</v>
      </c>
      <c r="D10375">
        <v>4.2995369999999999</v>
      </c>
      <c r="E10375">
        <v>0.4911758</v>
      </c>
      <c r="F10375" t="s">
        <v>42</v>
      </c>
      <c r="G10375">
        <v>-71.069059999999993</v>
      </c>
      <c r="H10375" s="1">
        <v>-4.1206500000000001E-6</v>
      </c>
      <c r="I10375">
        <v>137.88570000000001</v>
      </c>
      <c r="J10375">
        <v>-122.2385</v>
      </c>
      <c r="K10375">
        <v>1.1223129999999999</v>
      </c>
      <c r="L10375">
        <v>137.3877</v>
      </c>
      <c r="M10375">
        <v>0.99963999999999997</v>
      </c>
      <c r="N10375">
        <v>-1.4729330000000001E-2</v>
      </c>
      <c r="O10375">
        <v>-2.2431139999999999E-2</v>
      </c>
      <c r="P10375">
        <v>0.99908810000000003</v>
      </c>
      <c r="Q10375">
        <v>-4.1495860000000002E-2</v>
      </c>
      <c r="R10375">
        <v>-1.0057389999999999E-2</v>
      </c>
      <c r="S10375">
        <v>3.0004729999999999</v>
      </c>
      <c r="T10375">
        <v>-6.5459489999999995E-2</v>
      </c>
      <c r="U10375">
        <v>2.8778080000000001E-2</v>
      </c>
      <c r="V10375">
        <v>-1.229797E-2</v>
      </c>
      <c r="W10375">
        <v>-2.6803489999999999E-2</v>
      </c>
      <c r="X10375">
        <v>0.99956509999999998</v>
      </c>
      <c r="Y10375">
        <v>-3.2007550000000003E-2</v>
      </c>
      <c r="Z10375">
        <v>7.4375929999999997E-4</v>
      </c>
      <c r="AA10375">
        <v>0.99948729999999997</v>
      </c>
      <c r="AB10375">
        <v>24</v>
      </c>
      <c r="AC10375">
        <v>51.169440000000002</v>
      </c>
      <c r="AD10375">
        <v>-1.12231712065</v>
      </c>
      <c r="AE10375">
        <v>0.49800000000001798</v>
      </c>
      <c r="AF10375">
        <v>-1.6449966485081899</v>
      </c>
      <c r="AG10375">
        <v>-1.12231712065</v>
      </c>
      <c r="AH10375">
        <v>51.120800121201398</v>
      </c>
      <c r="AI10375">
        <v>91.257031491815496</v>
      </c>
      <c r="AJ10375">
        <v>91.843062979566895</v>
      </c>
      <c r="AK10375">
        <v>51.159572073315204</v>
      </c>
      <c r="AL10375">
        <v>91.535910754089301</v>
      </c>
      <c r="AM10375">
        <v>90.704892785414003</v>
      </c>
      <c r="AN10375">
        <v>1.00000002814015</v>
      </c>
    </row>
    <row r="10376" spans="1:40" x14ac:dyDescent="0.25">
      <c r="A10376" t="str">
        <f>"20190303154042849"</f>
        <v>20190303154042849</v>
      </c>
      <c r="B10376" t="str">
        <f>"1551598842838795"</f>
        <v>1551598842838795</v>
      </c>
      <c r="C10376" t="s">
        <v>40</v>
      </c>
      <c r="D10376">
        <v>4.3069480000000002</v>
      </c>
      <c r="E10376">
        <v>0.49049229999999999</v>
      </c>
      <c r="F10376" t="s">
        <v>42</v>
      </c>
      <c r="G10376">
        <v>-69.162759999999906</v>
      </c>
      <c r="H10376" s="1">
        <v>-6.6729220000000003E-7</v>
      </c>
      <c r="I10376">
        <v>138.12700000000001</v>
      </c>
      <c r="J10376">
        <v>-122.0188</v>
      </c>
      <c r="K10376">
        <v>1.1223160000000001</v>
      </c>
      <c r="L10376">
        <v>137.3844</v>
      </c>
      <c r="M10376">
        <v>0.99966969999999999</v>
      </c>
      <c r="N10376">
        <v>-1.472394E-2</v>
      </c>
      <c r="O10376">
        <v>-2.1064889999999999E-2</v>
      </c>
      <c r="P10376">
        <v>0.99914460000000005</v>
      </c>
      <c r="Q10376">
        <v>-4.0473339999999997E-2</v>
      </c>
      <c r="R10376">
        <v>-8.4792119999999999E-3</v>
      </c>
      <c r="S10376">
        <v>3.000534</v>
      </c>
      <c r="T10376">
        <v>-6.3447829999999997E-2</v>
      </c>
      <c r="U10376">
        <v>4.1793820000000002E-2</v>
      </c>
      <c r="V10376">
        <v>-1.251469E-2</v>
      </c>
      <c r="W10376">
        <v>-2.578621E-2</v>
      </c>
      <c r="X10376">
        <v>0.99958910000000001</v>
      </c>
      <c r="Y10376">
        <v>-3.497579E-2</v>
      </c>
      <c r="Z10376">
        <v>7.6249E-4</v>
      </c>
      <c r="AA10376">
        <v>0.9993879</v>
      </c>
      <c r="AB10376">
        <v>24</v>
      </c>
      <c r="AC10376">
        <v>52.85604</v>
      </c>
      <c r="AD10376">
        <v>-1.12231666729219</v>
      </c>
      <c r="AE10376">
        <v>0.74260000000001003</v>
      </c>
      <c r="AF10376">
        <v>-1.85512631205261</v>
      </c>
      <c r="AG10376">
        <v>-1.12231666729219</v>
      </c>
      <c r="AH10376">
        <v>52.804861883611203</v>
      </c>
      <c r="AI10376">
        <v>91.216833018980196</v>
      </c>
      <c r="AJ10376">
        <v>92.012072511123407</v>
      </c>
      <c r="AK10376">
        <v>52.849356920237</v>
      </c>
      <c r="AL10376">
        <v>91.477604846648305</v>
      </c>
      <c r="AM10376">
        <v>90.717296195056093</v>
      </c>
      <c r="AN10376">
        <v>0.99999995746538395</v>
      </c>
    </row>
    <row r="10377" spans="1:40" x14ac:dyDescent="0.25">
      <c r="A10377" t="str">
        <f>"20190303154042873"</f>
        <v>20190303154042873</v>
      </c>
      <c r="B10377" t="str">
        <f>"1551598842868075"</f>
        <v>1551598842868075</v>
      </c>
      <c r="C10377" t="s">
        <v>40</v>
      </c>
      <c r="D10377">
        <v>4.3821649999999996</v>
      </c>
      <c r="E10377">
        <v>0.48980259999999998</v>
      </c>
      <c r="F10377" t="s">
        <v>42</v>
      </c>
      <c r="G10377">
        <v>-66.704920000000001</v>
      </c>
      <c r="H10377" s="1">
        <v>-1.6216339999999999E-6</v>
      </c>
      <c r="I10377">
        <v>138.34379999999999</v>
      </c>
      <c r="J10377">
        <v>-121.77030000000001</v>
      </c>
      <c r="K10377">
        <v>1.1223129999999999</v>
      </c>
      <c r="L10377">
        <v>137.381</v>
      </c>
      <c r="M10377">
        <v>0.99970130000000001</v>
      </c>
      <c r="N10377">
        <v>-1.471782E-2</v>
      </c>
      <c r="O10377">
        <v>-1.9520059999999999E-2</v>
      </c>
      <c r="P10377">
        <v>0.99919809999999998</v>
      </c>
      <c r="Q10377">
        <v>-3.9491859999999997E-2</v>
      </c>
      <c r="R10377">
        <v>-6.6188619999999997E-3</v>
      </c>
      <c r="S10377">
        <v>3.000534</v>
      </c>
      <c r="T10377">
        <v>-6.0880780000000002E-2</v>
      </c>
      <c r="U10377">
        <v>5.204773E-2</v>
      </c>
      <c r="V10377">
        <v>-1.283436E-2</v>
      </c>
      <c r="W10377">
        <v>-2.481098E-2</v>
      </c>
      <c r="X10377">
        <v>0.99960979999999999</v>
      </c>
      <c r="Y10377">
        <v>-3.6846089999999998E-2</v>
      </c>
      <c r="Z10377">
        <v>7.5367580000000004E-4</v>
      </c>
      <c r="AA10377">
        <v>0.99932069999999995</v>
      </c>
      <c r="AB10377">
        <v>23</v>
      </c>
      <c r="AC10377">
        <v>55.065379999999998</v>
      </c>
      <c r="AD10377">
        <v>-1.1223146216340001</v>
      </c>
      <c r="AE10377">
        <v>0.962799999999987</v>
      </c>
      <c r="AF10377">
        <v>-2.0367664656067701</v>
      </c>
      <c r="AG10377">
        <v>-1.1223146216340001</v>
      </c>
      <c r="AH10377">
        <v>55.0132441226827</v>
      </c>
      <c r="AI10377">
        <v>91.167918121146101</v>
      </c>
      <c r="AJ10377">
        <v>92.1203048093099</v>
      </c>
      <c r="AK10377">
        <v>55.0623740556765</v>
      </c>
      <c r="AL10377">
        <v>91.421710287811095</v>
      </c>
      <c r="AM10377">
        <v>90.735601288774205</v>
      </c>
      <c r="AN10377">
        <v>1.0000000288905999</v>
      </c>
    </row>
    <row r="10378" spans="1:40" x14ac:dyDescent="0.25">
      <c r="A10378" t="str">
        <f>"20190303154042894"</f>
        <v>20190303154042894</v>
      </c>
      <c r="B10378" t="str">
        <f>"1551598842888572"</f>
        <v>1551598842888572</v>
      </c>
      <c r="C10378" t="s">
        <v>40</v>
      </c>
      <c r="D10378">
        <v>4.320614</v>
      </c>
      <c r="E10378">
        <v>0.48934670000000002</v>
      </c>
      <c r="F10378" t="s">
        <v>42</v>
      </c>
      <c r="G10378">
        <v>-66.782769999999999</v>
      </c>
      <c r="H10378" s="1">
        <v>-1.5538170000000001E-6</v>
      </c>
      <c r="I10378">
        <v>138.53790000000001</v>
      </c>
      <c r="J10378">
        <v>-121.5521</v>
      </c>
      <c r="K10378">
        <v>1.1223110000000001</v>
      </c>
      <c r="L10378">
        <v>137.3783</v>
      </c>
      <c r="M10378">
        <v>0.99972700000000003</v>
      </c>
      <c r="N10378">
        <v>-1.471241E-2</v>
      </c>
      <c r="O10378">
        <v>-1.8161529999999999E-2</v>
      </c>
      <c r="P10378">
        <v>0.99925339999999996</v>
      </c>
      <c r="Q10378">
        <v>-3.8284699999999998E-2</v>
      </c>
      <c r="R10378">
        <v>-5.2278430000000002E-3</v>
      </c>
      <c r="S10378">
        <v>3.0004119999999999</v>
      </c>
      <c r="T10378">
        <v>-6.123936E-2</v>
      </c>
      <c r="U10378">
        <v>6.3125609999999999E-2</v>
      </c>
      <c r="V10378">
        <v>-1.2870960000000001E-2</v>
      </c>
      <c r="W10378">
        <v>-2.3608609999999999E-2</v>
      </c>
      <c r="X10378">
        <v>0.99963840000000004</v>
      </c>
      <c r="Y10378">
        <v>-3.9176009999999997E-2</v>
      </c>
      <c r="Z10378">
        <v>7.9142759999999905E-4</v>
      </c>
      <c r="AA10378">
        <v>0.99923200000000001</v>
      </c>
      <c r="AB10378">
        <v>23</v>
      </c>
      <c r="AC10378">
        <v>54.769329999999997</v>
      </c>
      <c r="AD10378">
        <v>-1.122312553817</v>
      </c>
      <c r="AE10378">
        <v>1.15960000000001</v>
      </c>
      <c r="AF10378">
        <v>-2.15330723428352</v>
      </c>
      <c r="AG10378">
        <v>-1.122312553817</v>
      </c>
      <c r="AH10378">
        <v>54.716266895263999</v>
      </c>
      <c r="AI10378">
        <v>91.174148827110002</v>
      </c>
      <c r="AJ10378">
        <v>92.253658562733605</v>
      </c>
      <c r="AK10378">
        <v>54.7701212383854</v>
      </c>
      <c r="AL10378">
        <v>91.352799428376201</v>
      </c>
      <c r="AM10378">
        <v>90.737677682640097</v>
      </c>
      <c r="AN10378">
        <v>0.99999997941600605</v>
      </c>
    </row>
    <row r="10379" spans="1:40" x14ac:dyDescent="0.25">
      <c r="A10379" t="str">
        <f>"20190303154042913"</f>
        <v>20190303154042913</v>
      </c>
      <c r="B10379" t="str">
        <f>"1551598842908092"</f>
        <v>1551598842908092</v>
      </c>
      <c r="C10379" t="s">
        <v>40</v>
      </c>
      <c r="D10379">
        <v>4.3100969999999998</v>
      </c>
      <c r="E10379">
        <v>0.48870659999999999</v>
      </c>
      <c r="F10379" t="s">
        <v>42</v>
      </c>
      <c r="G10379">
        <v>-64.450680000000006</v>
      </c>
      <c r="H10379" s="1">
        <v>-2.5204820000000002E-6</v>
      </c>
      <c r="I10379">
        <v>138.72839999999999</v>
      </c>
      <c r="J10379">
        <v>-121.3484</v>
      </c>
      <c r="K10379">
        <v>1.122314</v>
      </c>
      <c r="L10379">
        <v>137.37610000000001</v>
      </c>
      <c r="M10379">
        <v>0.99974929999999995</v>
      </c>
      <c r="N10379">
        <v>-1.4707380000000001E-2</v>
      </c>
      <c r="O10379">
        <v>-1.6892520000000001E-2</v>
      </c>
      <c r="P10379">
        <v>0.99931400000000004</v>
      </c>
      <c r="Q10379">
        <v>-3.680539E-2</v>
      </c>
      <c r="R10379">
        <v>-4.1685250000000002E-3</v>
      </c>
      <c r="S10379">
        <v>3.0003510000000002</v>
      </c>
      <c r="T10379">
        <v>-5.8971049999999997E-2</v>
      </c>
      <c r="U10379">
        <v>7.0938109999999999E-2</v>
      </c>
      <c r="V10379">
        <v>-1.2666419999999999E-2</v>
      </c>
      <c r="W10379">
        <v>-2.2133070000000001E-2</v>
      </c>
      <c r="X10379">
        <v>0.99967479999999997</v>
      </c>
      <c r="Y10379">
        <v>-4.0509040000000003E-2</v>
      </c>
      <c r="Z10379">
        <v>7.7953179999999905E-4</v>
      </c>
      <c r="AA10379">
        <v>0.99917889999999998</v>
      </c>
      <c r="AB10379">
        <v>23</v>
      </c>
      <c r="AC10379">
        <v>56.8977199999999</v>
      </c>
      <c r="AD10379">
        <v>-1.122316520482</v>
      </c>
      <c r="AE10379">
        <v>1.3522999999999801</v>
      </c>
      <c r="AF10379">
        <v>-2.3124574569334899</v>
      </c>
      <c r="AG10379">
        <v>-1.122316520482</v>
      </c>
      <c r="AH10379">
        <v>56.844648621645902</v>
      </c>
      <c r="AI10379">
        <v>91.130142004690398</v>
      </c>
      <c r="AJ10379">
        <v>92.329525130731597</v>
      </c>
      <c r="AK10379">
        <v>56.902733948208997</v>
      </c>
      <c r="AL10379">
        <v>91.268235048067893</v>
      </c>
      <c r="AM10379">
        <v>90.725929646613594</v>
      </c>
      <c r="AN10379">
        <v>1.00000000836914</v>
      </c>
    </row>
    <row r="10380" spans="1:40" x14ac:dyDescent="0.25">
      <c r="A10380" t="str">
        <f>"20190303154042936"</f>
        <v>20190303154042936</v>
      </c>
      <c r="B10380" t="str">
        <f>"1551598842928588"</f>
        <v>1551598842928588</v>
      </c>
      <c r="C10380" t="s">
        <v>40</v>
      </c>
      <c r="D10380">
        <v>4.3551679999999999</v>
      </c>
      <c r="E10380">
        <v>0.48819279999999998</v>
      </c>
      <c r="F10380" t="s">
        <v>42</v>
      </c>
      <c r="G10380">
        <v>-63.56861</v>
      </c>
      <c r="H10380" s="1">
        <v>-2.868593E-6</v>
      </c>
      <c r="I10380">
        <v>138.8991</v>
      </c>
      <c r="J10380">
        <v>-121.1144</v>
      </c>
      <c r="K10380">
        <v>1.1223209999999999</v>
      </c>
      <c r="L10380">
        <v>137.37379999999999</v>
      </c>
      <c r="M10380">
        <v>0.99977289999999996</v>
      </c>
      <c r="N10380">
        <v>-1.470166E-2</v>
      </c>
      <c r="O10380">
        <v>-1.543398E-2</v>
      </c>
      <c r="P10380">
        <v>0.99940070000000003</v>
      </c>
      <c r="Q10380">
        <v>-3.4496180000000001E-2</v>
      </c>
      <c r="R10380">
        <v>-2.9691100000000001E-3</v>
      </c>
      <c r="S10380">
        <v>3.0002589999999998</v>
      </c>
      <c r="T10380">
        <v>-5.8277130000000003E-2</v>
      </c>
      <c r="U10380">
        <v>7.9086299999999998E-2</v>
      </c>
      <c r="V10380">
        <v>-1.2414379999999999E-2</v>
      </c>
      <c r="W10380">
        <v>-1.9827899999999999E-2</v>
      </c>
      <c r="X10380">
        <v>0.99972640000000002</v>
      </c>
      <c r="Y10380">
        <v>-4.1763809999999998E-2</v>
      </c>
      <c r="Z10380">
        <v>7.8546940000000004E-4</v>
      </c>
      <c r="AA10380">
        <v>0.99912719999999999</v>
      </c>
      <c r="AB10380">
        <v>23</v>
      </c>
      <c r="AC10380">
        <v>57.545789999999997</v>
      </c>
      <c r="AD10380">
        <v>-1.1223238685929999</v>
      </c>
      <c r="AE10380">
        <v>1.5253000000000101</v>
      </c>
      <c r="AF10380">
        <v>-2.4124577745611901</v>
      </c>
      <c r="AG10380">
        <v>-1.1223238685929999</v>
      </c>
      <c r="AH10380">
        <v>57.4935365775656</v>
      </c>
      <c r="AI10380">
        <v>91.117338484437695</v>
      </c>
      <c r="AJ10380">
        <v>92.402750288688495</v>
      </c>
      <c r="AK10380">
        <v>57.555071988278499</v>
      </c>
      <c r="AL10380">
        <v>91.136129360944295</v>
      </c>
      <c r="AM10380">
        <v>90.711449674613505</v>
      </c>
      <c r="AN10380">
        <v>1.0000000686530699</v>
      </c>
    </row>
    <row r="10381" spans="1:40" x14ac:dyDescent="0.25">
      <c r="A10381" t="str">
        <f>"20190303154042958"</f>
        <v>20190303154042958</v>
      </c>
      <c r="B10381" t="str">
        <f>"1551598842948108"</f>
        <v>1551598842948108</v>
      </c>
      <c r="C10381" t="s">
        <v>40</v>
      </c>
      <c r="D10381">
        <v>4.3848710000000004</v>
      </c>
      <c r="E10381">
        <v>0.48772179999999998</v>
      </c>
      <c r="F10381" t="s">
        <v>42</v>
      </c>
      <c r="G10381">
        <v>-60.26249</v>
      </c>
      <c r="H10381" s="1">
        <v>-4.2458659999999998E-6</v>
      </c>
      <c r="I10381">
        <v>139.13050000000001</v>
      </c>
      <c r="J10381">
        <v>-120.8844</v>
      </c>
      <c r="K10381">
        <v>1.1223339999999999</v>
      </c>
      <c r="L10381">
        <v>137.37200000000001</v>
      </c>
      <c r="M10381">
        <v>0.99979399999999996</v>
      </c>
      <c r="N10381">
        <v>-1.469613E-2</v>
      </c>
      <c r="O10381">
        <v>-1.3999269999999999E-2</v>
      </c>
      <c r="P10381">
        <v>0.99947390000000003</v>
      </c>
      <c r="Q10381">
        <v>-3.2382550000000003E-2</v>
      </c>
      <c r="R10381">
        <v>-1.8174860000000001E-3</v>
      </c>
      <c r="S10381">
        <v>3.0001370000000001</v>
      </c>
      <c r="T10381">
        <v>-5.5333140000000003E-2</v>
      </c>
      <c r="U10381">
        <v>8.6608889999999994E-2</v>
      </c>
      <c r="V10381">
        <v>-1.2137419999999999E-2</v>
      </c>
      <c r="W10381">
        <v>-1.7718210000000002E-2</v>
      </c>
      <c r="X10381">
        <v>0.99976929999999997</v>
      </c>
      <c r="Y10381">
        <v>-4.2835230000000002E-2</v>
      </c>
      <c r="Z10381">
        <v>7.6221999999999998E-4</v>
      </c>
      <c r="AA10381">
        <v>0.99908189999999997</v>
      </c>
      <c r="AB10381">
        <v>23</v>
      </c>
      <c r="AC10381">
        <v>60.62191</v>
      </c>
      <c r="AD10381">
        <v>-1.1223382458659901</v>
      </c>
      <c r="AE10381">
        <v>1.75849999999999</v>
      </c>
      <c r="AF10381">
        <v>-2.6061892437526599</v>
      </c>
      <c r="AG10381">
        <v>-1.1223382458659901</v>
      </c>
      <c r="AH10381">
        <v>60.570604085053198</v>
      </c>
      <c r="AI10381">
        <v>91.060555113535798</v>
      </c>
      <c r="AJ10381">
        <v>92.463762723588303</v>
      </c>
      <c r="AK10381">
        <v>60.637034432272898</v>
      </c>
      <c r="AL10381">
        <v>91.015231825862202</v>
      </c>
      <c r="AM10381">
        <v>90.695549241447907</v>
      </c>
      <c r="AN10381">
        <v>0.99999995257617402</v>
      </c>
    </row>
    <row r="10382" spans="1:40" x14ac:dyDescent="0.25">
      <c r="A10382" t="str">
        <f>"20190303154042981"</f>
        <v>20190303154042981</v>
      </c>
      <c r="B10382" t="str">
        <f>"1551598842978364"</f>
        <v>1551598842978364</v>
      </c>
      <c r="C10382" t="s">
        <v>40</v>
      </c>
      <c r="D10382">
        <v>4.343242</v>
      </c>
      <c r="E10382">
        <v>0.48725839999999998</v>
      </c>
      <c r="F10382" t="s">
        <v>42</v>
      </c>
      <c r="G10382">
        <v>-51.629240000000003</v>
      </c>
      <c r="H10382" s="1">
        <v>-3.5871010000000002E-6</v>
      </c>
      <c r="I10382">
        <v>139.53890000000001</v>
      </c>
      <c r="J10382">
        <v>-120.64870000000001</v>
      </c>
      <c r="K10382">
        <v>1.122344</v>
      </c>
      <c r="L10382">
        <v>137.37039999999999</v>
      </c>
      <c r="M10382">
        <v>0.99981359999999997</v>
      </c>
      <c r="N10382">
        <v>-1.469031E-2</v>
      </c>
      <c r="O10382">
        <v>-1.2528930000000001E-2</v>
      </c>
      <c r="P10382">
        <v>0.99954730000000003</v>
      </c>
      <c r="Q10382">
        <v>-3.0055080000000001E-2</v>
      </c>
      <c r="R10382">
        <v>-1.4775669999999999E-3</v>
      </c>
      <c r="S10382">
        <v>3.0001679999999999</v>
      </c>
      <c r="T10382">
        <v>-4.8620219999999999E-2</v>
      </c>
      <c r="U10382">
        <v>9.3872070000000002E-2</v>
      </c>
      <c r="V10382">
        <v>-1.1013709999999999E-2</v>
      </c>
      <c r="W10382">
        <v>-1.539299E-2</v>
      </c>
      <c r="X10382">
        <v>0.99982090000000001</v>
      </c>
      <c r="Y10382">
        <v>-4.3784360000000001E-2</v>
      </c>
      <c r="Z10382">
        <v>6.9538259999999904E-4</v>
      </c>
      <c r="AA10382">
        <v>0.99904079999999995</v>
      </c>
      <c r="AB10382">
        <v>23</v>
      </c>
      <c r="AC10382">
        <v>69.019459999999995</v>
      </c>
      <c r="AD10382">
        <v>-1.122347587101</v>
      </c>
      <c r="AE10382">
        <v>2.1685000000000199</v>
      </c>
      <c r="AF10382">
        <v>-3.0323619987126702</v>
      </c>
      <c r="AG10382">
        <v>-1.122347587101</v>
      </c>
      <c r="AH10382">
        <v>68.968650134549506</v>
      </c>
      <c r="AI10382">
        <v>90.931409490956995</v>
      </c>
      <c r="AJ10382">
        <v>92.517516573747699</v>
      </c>
      <c r="AK10382">
        <v>69.044402993866299</v>
      </c>
      <c r="AL10382">
        <v>90.881988159336501</v>
      </c>
      <c r="AM10382">
        <v>90.631126611878699</v>
      </c>
      <c r="AN10382">
        <v>1.00000003901295</v>
      </c>
    </row>
    <row r="10383" spans="1:40" x14ac:dyDescent="0.25">
      <c r="A10383" t="str">
        <f>"20190303154043003"</f>
        <v>20190303154043003</v>
      </c>
      <c r="B10383" t="str">
        <f>"1551598842998392"</f>
        <v>1551598842998392</v>
      </c>
      <c r="C10383" t="s">
        <v>40</v>
      </c>
      <c r="D10383">
        <v>4.3910589999999896</v>
      </c>
      <c r="E10383">
        <v>0.48693049999999999</v>
      </c>
      <c r="F10383" t="s">
        <v>46</v>
      </c>
      <c r="G10383">
        <v>0</v>
      </c>
      <c r="H10383">
        <v>0</v>
      </c>
      <c r="I10383">
        <v>0</v>
      </c>
      <c r="J10383">
        <v>-120.4263</v>
      </c>
      <c r="K10383">
        <v>1.1223430000000001</v>
      </c>
      <c r="L10383">
        <v>137.36920000000001</v>
      </c>
      <c r="M10383">
        <v>0.99983010000000005</v>
      </c>
      <c r="N10383">
        <v>-1.4684640000000001E-2</v>
      </c>
      <c r="O10383">
        <v>-1.114071E-2</v>
      </c>
      <c r="P10383">
        <v>0.9995906</v>
      </c>
      <c r="Q10383">
        <v>-2.859302E-2</v>
      </c>
      <c r="R10383">
        <v>-1.0636619999999999E-3</v>
      </c>
      <c r="S10383">
        <v>3.0003199999999999</v>
      </c>
      <c r="T10383">
        <v>-4.0034649999999998E-2</v>
      </c>
      <c r="U10383">
        <v>9.869385E-2</v>
      </c>
      <c r="V10383">
        <v>-1.0043730000000001E-2</v>
      </c>
      <c r="W10383">
        <v>-1.393379E-2</v>
      </c>
      <c r="X10383">
        <v>0.99985250000000003</v>
      </c>
      <c r="Y10383">
        <v>-4.4002260000000001E-2</v>
      </c>
      <c r="Z10383">
        <v>6.0174790000000001E-4</v>
      </c>
      <c r="AA10383">
        <v>0.99903120000000001</v>
      </c>
      <c r="AB10383">
        <v>23</v>
      </c>
      <c r="AC10383">
        <v>3.0003199999999999</v>
      </c>
      <c r="AD10383">
        <v>-4.0034649999999998E-2</v>
      </c>
      <c r="AE10383">
        <v>9.869385E-2</v>
      </c>
      <c r="AF10383">
        <v>-0.13209353004785299</v>
      </c>
      <c r="AG10383">
        <v>-4.0034649999999998E-2</v>
      </c>
      <c r="AH10383">
        <v>2.9985008231329999</v>
      </c>
      <c r="AI10383">
        <v>90.764201236373196</v>
      </c>
      <c r="AJ10383">
        <v>92.522431026037495</v>
      </c>
      <c r="AK10383">
        <v>3.0016759752195799</v>
      </c>
      <c r="AL10383">
        <v>90.798373175665304</v>
      </c>
      <c r="AM10383">
        <v>90.575528875295305</v>
      </c>
      <c r="AN10383">
        <v>1.00000002438616</v>
      </c>
    </row>
    <row r="10384" spans="1:40" x14ac:dyDescent="0.25">
      <c r="A10384" t="str">
        <f>"20190303154043025"</f>
        <v>20190303154043025</v>
      </c>
      <c r="B10384" t="str">
        <f>"1551598843018888"</f>
        <v>1551598843018888</v>
      </c>
      <c r="C10384" t="s">
        <v>40</v>
      </c>
      <c r="D10384">
        <v>4.3976639999999998</v>
      </c>
      <c r="E10384">
        <v>0.48660789999999998</v>
      </c>
      <c r="F10384" t="s">
        <v>46</v>
      </c>
      <c r="G10384">
        <v>0</v>
      </c>
      <c r="H10384">
        <v>0</v>
      </c>
      <c r="I10384">
        <v>0</v>
      </c>
      <c r="J10384">
        <v>-120.1969</v>
      </c>
      <c r="K10384">
        <v>1.122349</v>
      </c>
      <c r="L10384">
        <v>137.36840000000001</v>
      </c>
      <c r="M10384">
        <v>0.99984510000000004</v>
      </c>
      <c r="N10384">
        <v>-1.4678729999999999E-2</v>
      </c>
      <c r="O10384">
        <v>-9.7087370000000003E-3</v>
      </c>
      <c r="P10384">
        <v>0.99962870000000004</v>
      </c>
      <c r="Q10384">
        <v>-2.7249269999999999E-2</v>
      </c>
      <c r="R10384">
        <v>-3.6123040000000001E-4</v>
      </c>
      <c r="S10384">
        <v>3.0003199999999999</v>
      </c>
      <c r="T10384">
        <v>-3.547049E-2</v>
      </c>
      <c r="U10384">
        <v>0.1024475</v>
      </c>
      <c r="V10384">
        <v>-9.3182569999999999E-3</v>
      </c>
      <c r="W10384">
        <v>-1.2593770000000001E-2</v>
      </c>
      <c r="X10384">
        <v>0.99987729999999997</v>
      </c>
      <c r="Y10384">
        <v>-4.3821260000000001E-2</v>
      </c>
      <c r="Z10384">
        <v>5.5297440000000005E-4</v>
      </c>
      <c r="AA10384">
        <v>0.99903920000000002</v>
      </c>
      <c r="AB10384">
        <v>23</v>
      </c>
      <c r="AC10384">
        <v>3.0003199999999999</v>
      </c>
      <c r="AD10384">
        <v>-3.547049E-2</v>
      </c>
      <c r="AE10384">
        <v>0.1024475</v>
      </c>
      <c r="AF10384">
        <v>-0.13155676209150099</v>
      </c>
      <c r="AG10384">
        <v>-3.547049E-2</v>
      </c>
      <c r="AH10384">
        <v>2.998765183623</v>
      </c>
      <c r="AI10384">
        <v>90.677032669575794</v>
      </c>
      <c r="AJ10384">
        <v>92.511972991158103</v>
      </c>
      <c r="AK10384">
        <v>3.0018590846044599</v>
      </c>
      <c r="AL10384">
        <v>90.7215889270594</v>
      </c>
      <c r="AM10384">
        <v>90.533946858072696</v>
      </c>
      <c r="AN10384">
        <v>1.00000002400581</v>
      </c>
    </row>
    <row r="10385" spans="1:40" x14ac:dyDescent="0.25">
      <c r="A10385" t="str">
        <f>"20190303154043049"</f>
        <v>20190303154043049</v>
      </c>
      <c r="B10385" t="str">
        <f>"1551598843038409"</f>
        <v>1551598843038409</v>
      </c>
      <c r="C10385" t="s">
        <v>40</v>
      </c>
      <c r="D10385">
        <v>4.3500550000000002</v>
      </c>
      <c r="E10385">
        <v>0.48634280000000002</v>
      </c>
      <c r="F10385" t="s">
        <v>46</v>
      </c>
      <c r="G10385">
        <v>0</v>
      </c>
      <c r="H10385">
        <v>0</v>
      </c>
      <c r="I10385">
        <v>0</v>
      </c>
      <c r="J10385">
        <v>-119.9589</v>
      </c>
      <c r="K10385">
        <v>1.122355</v>
      </c>
      <c r="L10385">
        <v>137.36779999999999</v>
      </c>
      <c r="M10385">
        <v>0.99985849999999998</v>
      </c>
      <c r="N10385">
        <v>-1.4672620000000001E-2</v>
      </c>
      <c r="O10385">
        <v>-8.2230099999999993E-3</v>
      </c>
      <c r="P10385">
        <v>0.99966370000000004</v>
      </c>
      <c r="Q10385">
        <v>-2.5932130000000001E-2</v>
      </c>
      <c r="R10385">
        <v>5.3056909999999997E-4</v>
      </c>
      <c r="S10385">
        <v>3.0002900000000001</v>
      </c>
      <c r="T10385">
        <v>-3.1951899999999998E-2</v>
      </c>
      <c r="U10385">
        <v>0.1071472</v>
      </c>
      <c r="V10385">
        <v>-8.7276650000000008E-3</v>
      </c>
      <c r="W10385">
        <v>-1.128094E-2</v>
      </c>
      <c r="X10385">
        <v>0.99989830000000002</v>
      </c>
      <c r="Y10385">
        <v>-4.3901000000000003E-2</v>
      </c>
      <c r="Z10385">
        <v>5.2282100000000003E-4</v>
      </c>
      <c r="AA10385">
        <v>0.99903580000000003</v>
      </c>
      <c r="AB10385">
        <v>23</v>
      </c>
      <c r="AC10385">
        <v>3.0002900000000001</v>
      </c>
      <c r="AD10385">
        <v>-3.1951899999999998E-2</v>
      </c>
      <c r="AE10385">
        <v>0.1071472</v>
      </c>
      <c r="AF10385">
        <v>-0.13180271912857899</v>
      </c>
      <c r="AG10385">
        <v>-3.1951899999999998E-2</v>
      </c>
      <c r="AH10385">
        <v>2.9989676805256602</v>
      </c>
      <c r="AI10385">
        <v>90.609834667831294</v>
      </c>
      <c r="AJ10385">
        <v>92.516493602739303</v>
      </c>
      <c r="AK10385">
        <v>3.0020326496426999</v>
      </c>
      <c r="AL10385">
        <v>90.646363947169704</v>
      </c>
      <c r="AM10385">
        <v>90.500096530480604</v>
      </c>
      <c r="AN10385">
        <v>1.00000002104326</v>
      </c>
    </row>
    <row r="10386" spans="1:40" x14ac:dyDescent="0.25">
      <c r="A10386" t="str">
        <f>"20190303154043076"</f>
        <v>20190303154043076</v>
      </c>
      <c r="B10386" t="str">
        <f>"1551598843068664"</f>
        <v>1551598843068664</v>
      </c>
      <c r="C10386" t="s">
        <v>40</v>
      </c>
      <c r="D10386">
        <v>4.3867269999999996</v>
      </c>
      <c r="E10386">
        <v>0.4860294</v>
      </c>
      <c r="F10386" t="s">
        <v>46</v>
      </c>
      <c r="G10386">
        <v>0</v>
      </c>
      <c r="H10386">
        <v>0</v>
      </c>
      <c r="I10386">
        <v>0</v>
      </c>
      <c r="J10386">
        <v>-119.6812</v>
      </c>
      <c r="K10386">
        <v>1.1223510000000001</v>
      </c>
      <c r="L10386">
        <v>137.36760000000001</v>
      </c>
      <c r="M10386">
        <v>0.99987139999999997</v>
      </c>
      <c r="N10386">
        <v>-1.4665539999999999E-2</v>
      </c>
      <c r="O10386">
        <v>-6.4882789999999996E-3</v>
      </c>
      <c r="P10386">
        <v>0.99967459999999997</v>
      </c>
      <c r="Q10386">
        <v>-2.541013E-2</v>
      </c>
      <c r="R10386">
        <v>2.2407870000000002E-3</v>
      </c>
      <c r="S10386">
        <v>3.0001370000000001</v>
      </c>
      <c r="T10386">
        <v>-3.1911250000000002E-2</v>
      </c>
      <c r="U10386">
        <v>0.11183170000000001</v>
      </c>
      <c r="V10386">
        <v>-8.7048279999999995E-3</v>
      </c>
      <c r="W10386">
        <v>-1.0765729999999999E-2</v>
      </c>
      <c r="X10386">
        <v>0.99990420000000002</v>
      </c>
      <c r="Y10386">
        <v>-4.37274E-2</v>
      </c>
      <c r="Z10386">
        <v>5.2712539999999995E-4</v>
      </c>
      <c r="AA10386">
        <v>0.99904329999999997</v>
      </c>
      <c r="AB10386">
        <v>23</v>
      </c>
      <c r="AC10386">
        <v>3.0001370000000001</v>
      </c>
      <c r="AD10386">
        <v>-3.1911250000000002E-2</v>
      </c>
      <c r="AE10386">
        <v>0.11183170000000001</v>
      </c>
      <c r="AF10386">
        <v>-0.13128233286044899</v>
      </c>
      <c r="AG10386">
        <v>-3.1911250000000002E-2</v>
      </c>
      <c r="AH10386">
        <v>2.9990093341502302</v>
      </c>
      <c r="AI10386">
        <v>90.609055063358298</v>
      </c>
      <c r="AJ10386">
        <v>92.506535857418498</v>
      </c>
      <c r="AK10386">
        <v>3.0020510264014599</v>
      </c>
      <c r="AL10386">
        <v>90.616842782257606</v>
      </c>
      <c r="AM10386">
        <v>90.498785090127598</v>
      </c>
      <c r="AN10386">
        <v>1.0000000420752899</v>
      </c>
    </row>
    <row r="10387" spans="1:40" x14ac:dyDescent="0.25">
      <c r="A10387" t="str">
        <f>"20190303154043098"</f>
        <v>20190303154043098</v>
      </c>
      <c r="B10387" t="str">
        <f>"1551598843088692"</f>
        <v>1551598843088692</v>
      </c>
      <c r="C10387" t="s">
        <v>40</v>
      </c>
      <c r="D10387">
        <v>4.3659509999999999</v>
      </c>
      <c r="E10387">
        <v>0.48591479999999998</v>
      </c>
      <c r="F10387" t="s">
        <v>46</v>
      </c>
      <c r="G10387">
        <v>0</v>
      </c>
      <c r="H10387">
        <v>0</v>
      </c>
      <c r="I10387">
        <v>0</v>
      </c>
      <c r="J10387">
        <v>-119.452</v>
      </c>
      <c r="K10387">
        <v>1.1223369999999999</v>
      </c>
      <c r="L10387">
        <v>137.36779999999999</v>
      </c>
      <c r="M10387">
        <v>0.99987979999999999</v>
      </c>
      <c r="N10387">
        <v>-1.465969E-2</v>
      </c>
      <c r="O10387">
        <v>-5.0597910000000001E-3</v>
      </c>
      <c r="P10387">
        <v>0.9996505</v>
      </c>
      <c r="Q10387">
        <v>-2.613064E-2</v>
      </c>
      <c r="R10387">
        <v>4.0470549999999999E-3</v>
      </c>
      <c r="S10387">
        <v>2.9998930000000001</v>
      </c>
      <c r="T10387">
        <v>-3.2458309999999997E-2</v>
      </c>
      <c r="U10387">
        <v>0.11935419999999999</v>
      </c>
      <c r="V10387">
        <v>-9.0814190000000003E-3</v>
      </c>
      <c r="W10387">
        <v>-1.149302E-2</v>
      </c>
      <c r="X10387">
        <v>0.99989269999999997</v>
      </c>
      <c r="Y10387">
        <v>-4.4804330000000003E-2</v>
      </c>
      <c r="Z10387">
        <v>5.5143870000000004E-4</v>
      </c>
      <c r="AA10387">
        <v>0.99899559999999998</v>
      </c>
      <c r="AB10387">
        <v>23</v>
      </c>
      <c r="AC10387">
        <v>2.9998930000000001</v>
      </c>
      <c r="AD10387">
        <v>-3.2458309999999997E-2</v>
      </c>
      <c r="AE10387">
        <v>0.11935419999999999</v>
      </c>
      <c r="AF10387">
        <v>-0.13451741091887201</v>
      </c>
      <c r="AG10387">
        <v>-3.2458309999999997E-2</v>
      </c>
      <c r="AH10387">
        <v>2.9989000964116399</v>
      </c>
      <c r="AI10387">
        <v>90.619488356270594</v>
      </c>
      <c r="AJ10387">
        <v>92.568313990039002</v>
      </c>
      <c r="AK10387">
        <v>3.0020909819634198</v>
      </c>
      <c r="AL10387">
        <v>90.658516046405396</v>
      </c>
      <c r="AM10387">
        <v>90.520368509703601</v>
      </c>
      <c r="AN10387">
        <v>0.999999986596531</v>
      </c>
    </row>
    <row r="10388" spans="1:40" x14ac:dyDescent="0.25">
      <c r="A10388" t="str">
        <f>"20190303154043116"</f>
        <v>20190303154043116</v>
      </c>
      <c r="B10388" t="str">
        <f>"1551598843108213"</f>
        <v>1551598843108213</v>
      </c>
      <c r="C10388" t="s">
        <v>40</v>
      </c>
      <c r="D10388">
        <v>4.3868220000000004</v>
      </c>
      <c r="E10388">
        <v>0.48575049999999997</v>
      </c>
      <c r="F10388" t="s">
        <v>46</v>
      </c>
      <c r="G10388">
        <v>0</v>
      </c>
      <c r="H10388">
        <v>0</v>
      </c>
      <c r="I10388">
        <v>0</v>
      </c>
      <c r="J10388">
        <v>-119.26130000000001</v>
      </c>
      <c r="K10388">
        <v>1.1223270000000001</v>
      </c>
      <c r="L10388">
        <v>137.3682</v>
      </c>
      <c r="M10388">
        <v>0.99988509999999997</v>
      </c>
      <c r="N10388">
        <v>-1.4654800000000001E-2</v>
      </c>
      <c r="O10388">
        <v>-3.8756860000000001E-3</v>
      </c>
      <c r="P10388">
        <v>0.99960139999999997</v>
      </c>
      <c r="Q10388">
        <v>-2.774561E-2</v>
      </c>
      <c r="R10388">
        <v>5.2152750000000001E-3</v>
      </c>
      <c r="S10388">
        <v>2.999603</v>
      </c>
      <c r="T10388">
        <v>-3.5749789999999997E-2</v>
      </c>
      <c r="U10388">
        <v>0.12577819999999901</v>
      </c>
      <c r="V10388">
        <v>-9.0626430000000004E-3</v>
      </c>
      <c r="W10388">
        <v>-1.311319E-2</v>
      </c>
      <c r="X10388">
        <v>0.99987289999999995</v>
      </c>
      <c r="Y10388">
        <v>-4.5759929999999997E-2</v>
      </c>
      <c r="Z10388">
        <v>5.9744609999999999E-4</v>
      </c>
      <c r="AA10388">
        <v>0.99895230000000002</v>
      </c>
      <c r="AB10388">
        <v>23</v>
      </c>
      <c r="AC10388">
        <v>2.999603</v>
      </c>
      <c r="AD10388">
        <v>-3.5749789999999997E-2</v>
      </c>
      <c r="AE10388">
        <v>0.12577819999999901</v>
      </c>
      <c r="AF10388">
        <v>-0.137384542832996</v>
      </c>
      <c r="AG10388">
        <v>-3.5749789999999997E-2</v>
      </c>
      <c r="AH10388">
        <v>2.9986677457128601</v>
      </c>
      <c r="AI10388">
        <v>90.682326009701399</v>
      </c>
      <c r="AJ10388">
        <v>92.623182866366903</v>
      </c>
      <c r="AK10388">
        <v>3.0020261173535898</v>
      </c>
      <c r="AL10388">
        <v>90.751352013508694</v>
      </c>
      <c r="AM10388">
        <v>90.519302980002905</v>
      </c>
      <c r="AN10388">
        <v>0.99999995170226397</v>
      </c>
    </row>
    <row r="10389" spans="1:40" x14ac:dyDescent="0.25">
      <c r="A10389" t="str">
        <f>"20190303154043139"</f>
        <v>20190303154043139</v>
      </c>
      <c r="B10389" t="str">
        <f>"1551598843128708"</f>
        <v>1551598843128708</v>
      </c>
      <c r="C10389" t="s">
        <v>40</v>
      </c>
      <c r="D10389">
        <v>4.3595839999999999</v>
      </c>
      <c r="E10389">
        <v>0.48571769999999997</v>
      </c>
      <c r="F10389" t="s">
        <v>46</v>
      </c>
      <c r="G10389">
        <v>0</v>
      </c>
      <c r="H10389">
        <v>0</v>
      </c>
      <c r="I10389">
        <v>0</v>
      </c>
      <c r="J10389">
        <v>-119.0367</v>
      </c>
      <c r="K10389">
        <v>1.122312</v>
      </c>
      <c r="L10389">
        <v>137.369</v>
      </c>
      <c r="M10389">
        <v>0.99988969999999999</v>
      </c>
      <c r="N10389">
        <v>-1.464903E-2</v>
      </c>
      <c r="O10389">
        <v>-2.493426E-3</v>
      </c>
      <c r="P10389">
        <v>0.99958630000000004</v>
      </c>
      <c r="Q10389">
        <v>-2.7979360000000002E-2</v>
      </c>
      <c r="R10389">
        <v>6.6934949999999998E-3</v>
      </c>
      <c r="S10389">
        <v>2.9993439999999998</v>
      </c>
      <c r="T10389">
        <v>-4.2493459999999997E-2</v>
      </c>
      <c r="U10389">
        <v>0.13044739999999999</v>
      </c>
      <c r="V10389">
        <v>-9.1584470000000001E-3</v>
      </c>
      <c r="W10389">
        <v>-1.335274E-2</v>
      </c>
      <c r="X10389">
        <v>0.99986889999999995</v>
      </c>
      <c r="Y10389">
        <v>-4.593274E-2</v>
      </c>
      <c r="Z10389">
        <v>6.6065139999999997E-4</v>
      </c>
      <c r="AA10389">
        <v>0.99894430000000001</v>
      </c>
      <c r="AB10389">
        <v>23</v>
      </c>
      <c r="AC10389">
        <v>2.9993439999999998</v>
      </c>
      <c r="AD10389">
        <v>-4.2493459999999997E-2</v>
      </c>
      <c r="AE10389">
        <v>0.13044739999999999</v>
      </c>
      <c r="AF10389">
        <v>-0.13789881159304501</v>
      </c>
      <c r="AG10389">
        <v>-4.2493459999999997E-2</v>
      </c>
      <c r="AH10389">
        <v>2.99840867277211</v>
      </c>
      <c r="AI10389">
        <v>90.811084455354703</v>
      </c>
      <c r="AJ10389">
        <v>92.633215559782798</v>
      </c>
      <c r="AK10389">
        <v>3.00187880257291</v>
      </c>
      <c r="AL10389">
        <v>90.765078386934704</v>
      </c>
      <c r="AM10389">
        <v>90.524794486200307</v>
      </c>
      <c r="AN10389">
        <v>0.99999999500208403</v>
      </c>
    </row>
    <row r="10390" spans="1:40" x14ac:dyDescent="0.25">
      <c r="A10390" t="str">
        <f>"20190303154043164"</f>
        <v>20190303154043164</v>
      </c>
      <c r="B10390" t="str">
        <f>"1551598843157988"</f>
        <v>1551598843157988</v>
      </c>
      <c r="C10390" t="s">
        <v>40</v>
      </c>
      <c r="D10390">
        <v>4.3981219999999999</v>
      </c>
      <c r="E10390">
        <v>0.48582619999999999</v>
      </c>
      <c r="F10390" t="s">
        <v>46</v>
      </c>
      <c r="G10390">
        <v>0</v>
      </c>
      <c r="H10390">
        <v>0</v>
      </c>
      <c r="I10390">
        <v>0</v>
      </c>
      <c r="J10390">
        <v>-118.79259999999999</v>
      </c>
      <c r="K10390">
        <v>1.12229</v>
      </c>
      <c r="L10390">
        <v>137.37010000000001</v>
      </c>
      <c r="M10390">
        <v>0.99989240000000001</v>
      </c>
      <c r="N10390">
        <v>-1.4642550000000001E-2</v>
      </c>
      <c r="O10390">
        <v>-1.0188059999999999E-3</v>
      </c>
      <c r="P10390">
        <v>0.99953199999999998</v>
      </c>
      <c r="Q10390">
        <v>-2.9503209999999998E-2</v>
      </c>
      <c r="R10390">
        <v>8.1263099999999994E-3</v>
      </c>
      <c r="S10390">
        <v>2.999069</v>
      </c>
      <c r="T10390">
        <v>-4.4987800000000001E-2</v>
      </c>
      <c r="U10390">
        <v>0.13517760000000001</v>
      </c>
      <c r="V10390">
        <v>-9.1148619999999996E-3</v>
      </c>
      <c r="W10390">
        <v>-1.488299E-2</v>
      </c>
      <c r="X10390">
        <v>0.99984770000000001</v>
      </c>
      <c r="Y10390">
        <v>-4.6035119999999999E-2</v>
      </c>
      <c r="Z10390">
        <v>6.8270750000000002E-4</v>
      </c>
      <c r="AA10390">
        <v>0.99893960000000004</v>
      </c>
      <c r="AB10390">
        <v>23</v>
      </c>
      <c r="AC10390">
        <v>2.999069</v>
      </c>
      <c r="AD10390">
        <v>-4.4987800000000001E-2</v>
      </c>
      <c r="AE10390">
        <v>0.13517760000000001</v>
      </c>
      <c r="AF10390">
        <v>-0.13820229163394401</v>
      </c>
      <c r="AG10390">
        <v>-4.4987800000000001E-2</v>
      </c>
      <c r="AH10390">
        <v>2.9982564159282901</v>
      </c>
      <c r="AI10390">
        <v>90.858727197603599</v>
      </c>
      <c r="AJ10390">
        <v>92.639136234563793</v>
      </c>
      <c r="AK10390">
        <v>3.0017770255661702</v>
      </c>
      <c r="AL10390">
        <v>90.852763994086501</v>
      </c>
      <c r="AM10390">
        <v>90.522308204522304</v>
      </c>
      <c r="AN10390">
        <v>1.0000000036479499</v>
      </c>
    </row>
    <row r="10391" spans="1:40" x14ac:dyDescent="0.25">
      <c r="A10391" t="str">
        <f>"20190303154043184"</f>
        <v>20190303154043184</v>
      </c>
      <c r="B10391" t="str">
        <f>"1551598843178485"</f>
        <v>1551598843178485</v>
      </c>
      <c r="C10391" t="s">
        <v>40</v>
      </c>
      <c r="D10391">
        <v>4.4647129999999997</v>
      </c>
      <c r="E10391">
        <v>0.48581930000000001</v>
      </c>
      <c r="F10391" t="s">
        <v>42</v>
      </c>
      <c r="G10391">
        <v>-53.361260000000001</v>
      </c>
      <c r="H10391" s="1">
        <v>-3.0369710000000001E-6</v>
      </c>
      <c r="I10391">
        <v>140.39320000000001</v>
      </c>
      <c r="J10391">
        <v>-118.56910000000001</v>
      </c>
      <c r="K10391">
        <v>1.122242</v>
      </c>
      <c r="L10391">
        <v>137.3715</v>
      </c>
      <c r="M10391">
        <v>0.99989300000000003</v>
      </c>
      <c r="N10391">
        <v>-1.463647E-2</v>
      </c>
      <c r="O10391">
        <v>2.9392539999999998E-4</v>
      </c>
      <c r="P10391">
        <v>0.99941840000000004</v>
      </c>
      <c r="Q10391">
        <v>-3.258834E-2</v>
      </c>
      <c r="R10391">
        <v>1.0057490000000001E-2</v>
      </c>
      <c r="S10391">
        <v>2.998764</v>
      </c>
      <c r="T10391">
        <v>-5.1435469999999997E-2</v>
      </c>
      <c r="U10391">
        <v>0.138549799999999</v>
      </c>
      <c r="V10391">
        <v>-9.7284390000000002E-3</v>
      </c>
      <c r="W10391">
        <v>-1.7975919999999999E-2</v>
      </c>
      <c r="X10391">
        <v>0.99979110000000004</v>
      </c>
      <c r="Y10391">
        <v>-4.5846940000000003E-2</v>
      </c>
      <c r="Z10391">
        <v>7.2797279999999996E-4</v>
      </c>
      <c r="AA10391">
        <v>0.99894819999999995</v>
      </c>
      <c r="AB10391">
        <v>23</v>
      </c>
      <c r="AC10391">
        <v>65.207840000000004</v>
      </c>
      <c r="AD10391">
        <v>-1.122245036971</v>
      </c>
      <c r="AE10391">
        <v>3.0217000000000001</v>
      </c>
      <c r="AF10391">
        <v>-3.0016444158179998</v>
      </c>
      <c r="AG10391">
        <v>-1.122245036971</v>
      </c>
      <c r="AH10391">
        <v>65.189458101611194</v>
      </c>
      <c r="AI10391">
        <v>90.985213273270205</v>
      </c>
      <c r="AJ10391">
        <v>92.636318425869504</v>
      </c>
      <c r="AK10391">
        <v>65.268175634866196</v>
      </c>
      <c r="AL10391">
        <v>91.029999814988699</v>
      </c>
      <c r="AM10391">
        <v>90.557497366266702</v>
      </c>
      <c r="AN10391">
        <v>1.0000000099322099</v>
      </c>
    </row>
    <row r="10392" spans="1:40" x14ac:dyDescent="0.25">
      <c r="A10392" t="str">
        <f>"20190303154043207"</f>
        <v>20190303154043207</v>
      </c>
      <c r="B10392" t="str">
        <f>"1551598843198512"</f>
        <v>1551598843198512</v>
      </c>
      <c r="C10392" t="s">
        <v>40</v>
      </c>
      <c r="D10392">
        <v>4.4711930000000004</v>
      </c>
      <c r="E10392">
        <v>0.48582059999999999</v>
      </c>
      <c r="F10392" t="s">
        <v>42</v>
      </c>
      <c r="G10392">
        <v>-64.857190000000003</v>
      </c>
      <c r="H10392" s="1">
        <v>-2.2792710000000002E-6</v>
      </c>
      <c r="I10392">
        <v>139.95740000000001</v>
      </c>
      <c r="J10392">
        <v>-118.35599999999999</v>
      </c>
      <c r="K10392">
        <v>1.1221859999999999</v>
      </c>
      <c r="L10392">
        <v>137.37299999999999</v>
      </c>
      <c r="M10392">
        <v>0.99989189999999994</v>
      </c>
      <c r="N10392">
        <v>-1.4630499999999999E-2</v>
      </c>
      <c r="O10392">
        <v>1.496793E-3</v>
      </c>
      <c r="P10392">
        <v>0.99928519999999998</v>
      </c>
      <c r="Q10392">
        <v>-3.5815119999999999E-2</v>
      </c>
      <c r="R10392">
        <v>1.2097129999999999E-2</v>
      </c>
      <c r="S10392">
        <v>2.9982600000000001</v>
      </c>
      <c r="T10392">
        <v>-6.264496E-2</v>
      </c>
      <c r="U10392">
        <v>0.14434810000000001</v>
      </c>
      <c r="V10392">
        <v>-1.0561579999999999E-2</v>
      </c>
      <c r="W10392">
        <v>-2.1210730000000001E-2</v>
      </c>
      <c r="X10392">
        <v>0.99971929999999998</v>
      </c>
      <c r="Y10392">
        <v>-4.6575760000000001E-2</v>
      </c>
      <c r="Z10392">
        <v>8.1786399999999996E-4</v>
      </c>
      <c r="AA10392">
        <v>0.99891439999999998</v>
      </c>
      <c r="AB10392">
        <v>23</v>
      </c>
      <c r="AC10392">
        <v>53.498809999999999</v>
      </c>
      <c r="AD10392">
        <v>-1.1221882792710001</v>
      </c>
      <c r="AE10392">
        <v>2.5844000000000098</v>
      </c>
      <c r="AF10392">
        <v>-2.5032130670389998</v>
      </c>
      <c r="AG10392">
        <v>-1.1221882792710001</v>
      </c>
      <c r="AH10392">
        <v>53.479143256573501</v>
      </c>
      <c r="AI10392">
        <v>91.200784565515804</v>
      </c>
      <c r="AJ10392">
        <v>92.679903406919095</v>
      </c>
      <c r="AK10392">
        <v>53.549455138686902</v>
      </c>
      <c r="AL10392">
        <v>91.215376379550193</v>
      </c>
      <c r="AM10392">
        <v>90.605281350048301</v>
      </c>
      <c r="AN10392">
        <v>1.0000000604158501</v>
      </c>
    </row>
    <row r="10393" spans="1:40" x14ac:dyDescent="0.25">
      <c r="A10393" t="str">
        <f>"20190303154043226"</f>
        <v>20190303154043226</v>
      </c>
      <c r="B10393" t="str">
        <f>"1551598843218032"</f>
        <v>1551598843218032</v>
      </c>
      <c r="C10393" t="s">
        <v>40</v>
      </c>
      <c r="D10393">
        <v>4.4520850000000003</v>
      </c>
      <c r="E10393">
        <v>0.5071753</v>
      </c>
      <c r="F10393" t="s">
        <v>42</v>
      </c>
      <c r="G10393">
        <v>-73.011569999999907</v>
      </c>
      <c r="H10393" s="1">
        <v>-2.988382E-6</v>
      </c>
      <c r="I10393">
        <v>139.64670000000001</v>
      </c>
      <c r="J10393">
        <v>-118.15089999999999</v>
      </c>
      <c r="K10393">
        <v>1.122126</v>
      </c>
      <c r="L10393">
        <v>137.37459999999999</v>
      </c>
      <c r="M10393">
        <v>0.99988969999999999</v>
      </c>
      <c r="N10393">
        <v>-1.462455E-2</v>
      </c>
      <c r="O10393">
        <v>2.5962989999999998E-3</v>
      </c>
      <c r="P10393">
        <v>0.99919080000000005</v>
      </c>
      <c r="Q10393">
        <v>-3.8085269999999997E-2</v>
      </c>
      <c r="R10393">
        <v>1.293247E-2</v>
      </c>
      <c r="S10393">
        <v>2.9976500000000001</v>
      </c>
      <c r="T10393">
        <v>-7.4186089999999996E-2</v>
      </c>
      <c r="U10393">
        <v>0.15031429999999901</v>
      </c>
      <c r="V10393">
        <v>-1.0296960000000001E-2</v>
      </c>
      <c r="W10393">
        <v>-2.3486119999999999E-2</v>
      </c>
      <c r="X10393">
        <v>0.99967119999999998</v>
      </c>
      <c r="Y10393">
        <v>-4.7464689999999997E-2</v>
      </c>
      <c r="Z10393">
        <v>9.0801130000000001E-4</v>
      </c>
      <c r="AA10393">
        <v>0.99887250000000005</v>
      </c>
      <c r="AB10393">
        <v>23</v>
      </c>
      <c r="AC10393">
        <v>45.139330000000001</v>
      </c>
      <c r="AD10393">
        <v>-1.122128988382</v>
      </c>
      <c r="AE10393">
        <v>2.27210000000002</v>
      </c>
      <c r="AF10393">
        <v>-2.15355711555133</v>
      </c>
      <c r="AG10393">
        <v>-1.122128988382</v>
      </c>
      <c r="AH10393">
        <v>45.117266347828</v>
      </c>
      <c r="AI10393">
        <v>91.423112167623799</v>
      </c>
      <c r="AJ10393">
        <v>92.732793046642499</v>
      </c>
      <c r="AK10393">
        <v>45.182570803544998</v>
      </c>
      <c r="AL10393">
        <v>91.345779204238397</v>
      </c>
      <c r="AM10393">
        <v>90.590145526198498</v>
      </c>
      <c r="AN10393">
        <v>1.0000000666636599</v>
      </c>
    </row>
    <row r="10394" spans="1:40" x14ac:dyDescent="0.25">
      <c r="A10394" t="str">
        <f>"20190303154043249"</f>
        <v>20190303154043249</v>
      </c>
      <c r="B10394" t="str">
        <f>"1551598843238529"</f>
        <v>1551598843238529</v>
      </c>
      <c r="C10394" t="s">
        <v>40</v>
      </c>
      <c r="D10394">
        <v>4.4958929999999997</v>
      </c>
      <c r="E10394">
        <v>0.50742569999999998</v>
      </c>
      <c r="F10394" t="s">
        <v>42</v>
      </c>
      <c r="G10394">
        <v>-78.604439999999997</v>
      </c>
      <c r="H10394" s="1">
        <v>-1.119083E-6</v>
      </c>
      <c r="I10394">
        <v>137.143</v>
      </c>
      <c r="J10394">
        <v>-117.92700000000001</v>
      </c>
      <c r="K10394">
        <v>1.1220589999999999</v>
      </c>
      <c r="L10394">
        <v>137.3766</v>
      </c>
      <c r="M10394">
        <v>0.99988630000000001</v>
      </c>
      <c r="N10394">
        <v>-1.461792E-2</v>
      </c>
      <c r="O10394">
        <v>3.7229059999999998E-3</v>
      </c>
      <c r="P10394">
        <v>0.99915889999999996</v>
      </c>
      <c r="Q10394">
        <v>-3.8726360000000001E-2</v>
      </c>
      <c r="R10394">
        <v>1.3493359999999999E-2</v>
      </c>
      <c r="S10394">
        <v>2.9994200000000002</v>
      </c>
      <c r="T10394">
        <v>-8.5108160000000002E-2</v>
      </c>
      <c r="U10394">
        <v>-1.7562870000000001E-2</v>
      </c>
      <c r="V10394">
        <v>-9.7343280000000004E-3</v>
      </c>
      <c r="W10394">
        <v>-2.4131670000000001E-2</v>
      </c>
      <c r="X10394">
        <v>0.99966140000000003</v>
      </c>
      <c r="Y10394">
        <v>9.5723319999999994E-3</v>
      </c>
      <c r="Z10394">
        <v>-2.569645E-4</v>
      </c>
      <c r="AA10394">
        <v>0.99995420000000002</v>
      </c>
      <c r="AB10394">
        <v>23</v>
      </c>
      <c r="AC10394">
        <v>39.322560000000003</v>
      </c>
      <c r="AD10394">
        <v>-1.122060119083</v>
      </c>
      <c r="AE10394">
        <v>-0.23359999999999501</v>
      </c>
      <c r="AF10394">
        <v>0.37969905483954203</v>
      </c>
      <c r="AG10394">
        <v>-1.122060119083</v>
      </c>
      <c r="AH10394">
        <v>39.289428052341499</v>
      </c>
      <c r="AI10394">
        <v>91.635779473781696</v>
      </c>
      <c r="AJ10394">
        <v>89.446302041964699</v>
      </c>
      <c r="AK10394">
        <v>39.307281093497203</v>
      </c>
      <c r="AL10394">
        <v>91.382777066486</v>
      </c>
      <c r="AM10394">
        <v>90.557907190750797</v>
      </c>
      <c r="AN10394">
        <v>1.0000000046442801</v>
      </c>
    </row>
    <row r="10395" spans="1:40" x14ac:dyDescent="0.25">
      <c r="A10395" t="str">
        <f>"20190303154043277"</f>
        <v>20190303154043277</v>
      </c>
      <c r="B10395" t="str">
        <f>"1551598843268784"</f>
        <v>1551598843268784</v>
      </c>
      <c r="C10395" t="s">
        <v>40</v>
      </c>
      <c r="D10395">
        <v>4.4854529999999997</v>
      </c>
      <c r="E10395">
        <v>0.50716830000000002</v>
      </c>
      <c r="F10395" t="s">
        <v>42</v>
      </c>
      <c r="G10395">
        <v>-83.223519999999994</v>
      </c>
      <c r="H10395" s="1">
        <v>-3.3240459999999999E-6</v>
      </c>
      <c r="I10395">
        <v>137.166</v>
      </c>
      <c r="J10395">
        <v>-117.6456</v>
      </c>
      <c r="K10395">
        <v>1.1219939999999999</v>
      </c>
      <c r="L10395">
        <v>137.3792</v>
      </c>
      <c r="M10395">
        <v>0.99988089999999996</v>
      </c>
      <c r="N10395">
        <v>-1.4609499999999999E-2</v>
      </c>
      <c r="O10395">
        <v>5.0014389999999999E-3</v>
      </c>
      <c r="P10395">
        <v>0.99922109999999997</v>
      </c>
      <c r="Q10395">
        <v>-3.6678759999999998E-2</v>
      </c>
      <c r="R10395">
        <v>1.456007E-2</v>
      </c>
      <c r="S10395">
        <v>2.9990230000000002</v>
      </c>
      <c r="T10395">
        <v>-9.6966739999999996E-2</v>
      </c>
      <c r="U10395">
        <v>-1.818848E-2</v>
      </c>
      <c r="V10395">
        <v>-9.5307589999999998E-3</v>
      </c>
      <c r="W10395">
        <v>-2.2089339999999999E-2</v>
      </c>
      <c r="X10395">
        <v>0.9997106</v>
      </c>
      <c r="Y10395">
        <v>1.1057320000000001E-2</v>
      </c>
      <c r="Z10395">
        <v>-3.4812070000000002E-4</v>
      </c>
      <c r="AA10395">
        <v>0.99993880000000002</v>
      </c>
      <c r="AB10395">
        <v>23</v>
      </c>
      <c r="AC10395">
        <v>34.422080000000001</v>
      </c>
      <c r="AD10395">
        <v>-1.1219973240459999</v>
      </c>
      <c r="AE10395">
        <v>-0.2132</v>
      </c>
      <c r="AF10395">
        <v>0.38496662600639697</v>
      </c>
      <c r="AG10395">
        <v>-1.1219973240459999</v>
      </c>
      <c r="AH10395">
        <v>34.384052948077098</v>
      </c>
      <c r="AI10395">
        <v>91.868857176987902</v>
      </c>
      <c r="AJ10395">
        <v>89.358538640095006</v>
      </c>
      <c r="AK10395">
        <v>34.404508053952398</v>
      </c>
      <c r="AL10395">
        <v>91.265728864782801</v>
      </c>
      <c r="AM10395">
        <v>90.546213797632404</v>
      </c>
      <c r="AN10395">
        <v>1.00000002903055</v>
      </c>
    </row>
    <row r="10396" spans="1:40" x14ac:dyDescent="0.25">
      <c r="A10396" t="str">
        <f>"20190303154043299"</f>
        <v>20190303154043299</v>
      </c>
      <c r="B10396" t="str">
        <f>"1551598843288810"</f>
        <v>1551598843288810</v>
      </c>
      <c r="C10396" t="s">
        <v>40</v>
      </c>
      <c r="D10396">
        <v>4.4759659999999997</v>
      </c>
      <c r="E10396">
        <v>0.50740560000000001</v>
      </c>
      <c r="F10396" t="s">
        <v>42</v>
      </c>
      <c r="G10396">
        <v>-81.663449999999997</v>
      </c>
      <c r="H10396" s="1">
        <v>-3.9830709999999999E-6</v>
      </c>
      <c r="I10396">
        <v>137.22380000000001</v>
      </c>
      <c r="J10396">
        <v>-117.42140000000001</v>
      </c>
      <c r="K10396">
        <v>1.1219490000000001</v>
      </c>
      <c r="L10396">
        <v>137.38149999999999</v>
      </c>
      <c r="M10396">
        <v>0.99987579999999998</v>
      </c>
      <c r="N10396">
        <v>-1.460291E-2</v>
      </c>
      <c r="O10396">
        <v>5.9257270000000004E-3</v>
      </c>
      <c r="P10396">
        <v>0.99934970000000001</v>
      </c>
      <c r="Q10396">
        <v>-3.2617559999999997E-2</v>
      </c>
      <c r="R10396">
        <v>1.537636E-2</v>
      </c>
      <c r="S10396">
        <v>2.9990839999999999</v>
      </c>
      <c r="T10396">
        <v>-9.3517539999999996E-2</v>
      </c>
      <c r="U10396">
        <v>-1.2954709999999999E-2</v>
      </c>
      <c r="V10396">
        <v>-9.4309440000000001E-3</v>
      </c>
      <c r="W10396">
        <v>-1.8031510000000001E-2</v>
      </c>
      <c r="X10396">
        <v>0.99979289999999998</v>
      </c>
      <c r="Y10396">
        <v>1.0237619999999999E-2</v>
      </c>
      <c r="Z10396">
        <v>-3.3256019999999999E-4</v>
      </c>
      <c r="AA10396">
        <v>0.99994749999999999</v>
      </c>
      <c r="AB10396">
        <v>23</v>
      </c>
      <c r="AC10396">
        <v>35.757950000000001</v>
      </c>
      <c r="AD10396">
        <v>-1.121952983071</v>
      </c>
      <c r="AE10396">
        <v>-0.157699999999977</v>
      </c>
      <c r="AF10396">
        <v>0.369248171125521</v>
      </c>
      <c r="AG10396">
        <v>-1.121952983071</v>
      </c>
      <c r="AH10396">
        <v>35.721221550288597</v>
      </c>
      <c r="AI10396">
        <v>91.798891843020101</v>
      </c>
      <c r="AJ10396">
        <v>89.407757982709498</v>
      </c>
      <c r="AK10396">
        <v>35.740744141006701</v>
      </c>
      <c r="AL10396">
        <v>91.033185454765899</v>
      </c>
      <c r="AM10396">
        <v>90.540449189108202</v>
      </c>
      <c r="AN10396">
        <v>0.99999996047400896</v>
      </c>
    </row>
    <row r="10397" spans="1:40" x14ac:dyDescent="0.25">
      <c r="A10397" t="str">
        <f>"20190303154043318"</f>
        <v>20190303154043318</v>
      </c>
      <c r="B10397" t="str">
        <f>"1551598843308330"</f>
        <v>1551598843308330</v>
      </c>
      <c r="C10397" t="s">
        <v>40</v>
      </c>
      <c r="D10397">
        <v>4.4736520000000004</v>
      </c>
      <c r="E10397">
        <v>0.50746239999999998</v>
      </c>
      <c r="F10397" t="s">
        <v>42</v>
      </c>
      <c r="G10397">
        <v>-77.073409999999996</v>
      </c>
      <c r="H10397" s="1">
        <v>-1.664075E-6</v>
      </c>
      <c r="I10397">
        <v>137.2133</v>
      </c>
      <c r="J10397">
        <v>-117.2308</v>
      </c>
      <c r="K10397">
        <v>1.121907</v>
      </c>
      <c r="L10397">
        <v>137.3835</v>
      </c>
      <c r="M10397">
        <v>0.99987139999999997</v>
      </c>
      <c r="N10397">
        <v>-1.459734E-2</v>
      </c>
      <c r="O10397">
        <v>6.6487909999999898E-3</v>
      </c>
      <c r="P10397">
        <v>0.99937770000000004</v>
      </c>
      <c r="Q10397">
        <v>-3.1363259999999997E-2</v>
      </c>
      <c r="R10397">
        <v>1.614171E-2</v>
      </c>
      <c r="S10397">
        <v>2.9994200000000002</v>
      </c>
      <c r="T10397">
        <v>-8.3404420000000007E-2</v>
      </c>
      <c r="U10397">
        <v>-1.249695E-2</v>
      </c>
      <c r="V10397">
        <v>-9.4769169999999996E-3</v>
      </c>
      <c r="W10397">
        <v>-1.6781290000000001E-2</v>
      </c>
      <c r="X10397">
        <v>0.99981430000000004</v>
      </c>
      <c r="Y10397">
        <v>1.080882E-2</v>
      </c>
      <c r="Z10397">
        <v>-3.1696200000000001E-4</v>
      </c>
      <c r="AA10397">
        <v>0.99994150000000004</v>
      </c>
      <c r="AB10397">
        <v>22</v>
      </c>
      <c r="AC10397">
        <v>40.157389999999999</v>
      </c>
      <c r="AD10397">
        <v>-1.121908664075</v>
      </c>
      <c r="AE10397">
        <v>-0.17019999999999399</v>
      </c>
      <c r="AF10397">
        <v>0.43688177833112901</v>
      </c>
      <c r="AG10397">
        <v>-1.121908664075</v>
      </c>
      <c r="AH10397">
        <v>40.124053384701199</v>
      </c>
      <c r="AI10397">
        <v>91.601535111972694</v>
      </c>
      <c r="AJ10397">
        <v>89.376172375304805</v>
      </c>
      <c r="AK10397">
        <v>40.142112609541499</v>
      </c>
      <c r="AL10397">
        <v>90.961542197690406</v>
      </c>
      <c r="AM10397">
        <v>90.543071934606402</v>
      </c>
      <c r="AN10397">
        <v>1.00000002906718</v>
      </c>
    </row>
    <row r="10398" spans="1:40" x14ac:dyDescent="0.25">
      <c r="A10398" t="str">
        <f>"20190303154043338"</f>
        <v>20190303154043338</v>
      </c>
      <c r="B10398" t="str">
        <f>"1551598843328827"</f>
        <v>1551598843328827</v>
      </c>
      <c r="C10398" t="s">
        <v>40</v>
      </c>
      <c r="D10398">
        <v>4.4712199999999998</v>
      </c>
      <c r="E10398">
        <v>0.50773440000000003</v>
      </c>
      <c r="F10398" t="s">
        <v>42</v>
      </c>
      <c r="G10398">
        <v>-74.902789999999996</v>
      </c>
      <c r="H10398" s="1">
        <v>-2.591779E-6</v>
      </c>
      <c r="I10398">
        <v>137.233</v>
      </c>
      <c r="J10398">
        <v>-117.02889999999999</v>
      </c>
      <c r="K10398">
        <v>1.1218509999999999</v>
      </c>
      <c r="L10398">
        <v>137.38570000000001</v>
      </c>
      <c r="M10398">
        <v>0.9998667</v>
      </c>
      <c r="N10398">
        <v>-1.4591430000000001E-2</v>
      </c>
      <c r="O10398">
        <v>7.3480280000000004E-3</v>
      </c>
      <c r="P10398">
        <v>0.99929140000000005</v>
      </c>
      <c r="Q10398">
        <v>-3.3638679999999997E-2</v>
      </c>
      <c r="R10398">
        <v>1.688831E-2</v>
      </c>
      <c r="S10398">
        <v>2.9995569999999998</v>
      </c>
      <c r="T10398">
        <v>-7.9503660000000004E-2</v>
      </c>
      <c r="U10398">
        <v>-1.0665890000000001E-2</v>
      </c>
      <c r="V10398">
        <v>-9.5242050000000009E-3</v>
      </c>
      <c r="W10398">
        <v>-1.9062450000000002E-2</v>
      </c>
      <c r="X10398">
        <v>0.99977289999999996</v>
      </c>
      <c r="Y10398">
        <v>1.089801E-2</v>
      </c>
      <c r="Z10398">
        <v>-3.114452E-4</v>
      </c>
      <c r="AA10398">
        <v>0.99994059999999996</v>
      </c>
      <c r="AB10398">
        <v>22</v>
      </c>
      <c r="AC10398">
        <v>42.126109999999997</v>
      </c>
      <c r="AD10398">
        <v>-1.121853591779</v>
      </c>
      <c r="AE10398">
        <v>-0.15270000000000999</v>
      </c>
      <c r="AF10398">
        <v>0.46194501268900101</v>
      </c>
      <c r="AG10398">
        <v>-1.121853591779</v>
      </c>
      <c r="AH10398">
        <v>42.093997576946599</v>
      </c>
      <c r="AI10398">
        <v>91.526545359908894</v>
      </c>
      <c r="AJ10398">
        <v>89.371253891593796</v>
      </c>
      <c r="AK10398">
        <v>42.111478015905902</v>
      </c>
      <c r="AL10398">
        <v>91.092264122887002</v>
      </c>
      <c r="AM10398">
        <v>90.545804195113803</v>
      </c>
      <c r="AN10398">
        <v>0.99999996952764603</v>
      </c>
    </row>
    <row r="10399" spans="1:40" x14ac:dyDescent="0.25">
      <c r="A10399" t="str">
        <f>"20190303154043361"</f>
        <v>20190303154043361</v>
      </c>
      <c r="B10399" t="str">
        <f>"1551598843348347"</f>
        <v>1551598843348347</v>
      </c>
      <c r="C10399" t="s">
        <v>40</v>
      </c>
      <c r="D10399">
        <v>4.4634210000000003</v>
      </c>
      <c r="E10399">
        <v>0.50795310000000005</v>
      </c>
      <c r="F10399" t="s">
        <v>42</v>
      </c>
      <c r="G10399">
        <v>-78.193269999999998</v>
      </c>
      <c r="H10399" s="1">
        <v>-1.230987E-6</v>
      </c>
      <c r="I10399">
        <v>137.2483</v>
      </c>
      <c r="J10399">
        <v>-116.8109</v>
      </c>
      <c r="K10399">
        <v>1.1217919999999999</v>
      </c>
      <c r="L10399">
        <v>137.38810000000001</v>
      </c>
      <c r="M10399">
        <v>0.99986149999999996</v>
      </c>
      <c r="N10399">
        <v>-1.458512E-2</v>
      </c>
      <c r="O10399">
        <v>8.0284169999999995E-3</v>
      </c>
      <c r="P10399">
        <v>0.99919279999999999</v>
      </c>
      <c r="Q10399">
        <v>-3.5664700000000001E-2</v>
      </c>
      <c r="R10399">
        <v>1.8491520000000001E-2</v>
      </c>
      <c r="S10399">
        <v>2.99939</v>
      </c>
      <c r="T10399">
        <v>-8.6643819999999996E-2</v>
      </c>
      <c r="U10399">
        <v>-1.0604860000000001E-2</v>
      </c>
      <c r="V10399">
        <v>-1.044863E-2</v>
      </c>
      <c r="W10399">
        <v>-2.1095470000000002E-2</v>
      </c>
      <c r="X10399">
        <v>0.99972280000000002</v>
      </c>
      <c r="Y10399">
        <v>1.155668E-2</v>
      </c>
      <c r="Z10399">
        <v>-3.659717E-4</v>
      </c>
      <c r="AA10399">
        <v>0.99993310000000002</v>
      </c>
      <c r="AB10399">
        <v>22</v>
      </c>
      <c r="AC10399">
        <v>38.617629999999998</v>
      </c>
      <c r="AD10399">
        <v>-1.12179323098699</v>
      </c>
      <c r="AE10399">
        <v>-0.139800000000008</v>
      </c>
      <c r="AF10399">
        <v>0.449487595834066</v>
      </c>
      <c r="AG10399">
        <v>-1.12179323098699</v>
      </c>
      <c r="AH10399">
        <v>38.582705888823398</v>
      </c>
      <c r="AI10399">
        <v>91.665294236141406</v>
      </c>
      <c r="AJ10399">
        <v>89.332535741844893</v>
      </c>
      <c r="AK10399">
        <v>38.601627593345697</v>
      </c>
      <c r="AL10399">
        <v>91.208771142316607</v>
      </c>
      <c r="AM10399">
        <v>90.598806593129893</v>
      </c>
      <c r="AN10399">
        <v>0.99999993478161597</v>
      </c>
    </row>
    <row r="10400" spans="1:40" x14ac:dyDescent="0.25">
      <c r="A10400" t="str">
        <f>"20190303154043383"</f>
        <v>20190303154043383</v>
      </c>
      <c r="B10400" t="str">
        <f>"1551598843378602"</f>
        <v>1551598843378602</v>
      </c>
      <c r="C10400" t="s">
        <v>40</v>
      </c>
      <c r="D10400">
        <v>4.4341809999999997</v>
      </c>
      <c r="E10400">
        <v>0.50842679999999996</v>
      </c>
      <c r="F10400" t="s">
        <v>42</v>
      </c>
      <c r="G10400">
        <v>-80.632679999999993</v>
      </c>
      <c r="H10400" s="1">
        <v>-4.4123839999999999E-6</v>
      </c>
      <c r="I10400">
        <v>137.29640000000001</v>
      </c>
      <c r="J10400">
        <v>-116.5836</v>
      </c>
      <c r="K10400">
        <v>1.1217469999999901</v>
      </c>
      <c r="L10400">
        <v>137.39070000000001</v>
      </c>
      <c r="M10400">
        <v>0.99985610000000003</v>
      </c>
      <c r="N10400">
        <v>-1.457866E-2</v>
      </c>
      <c r="O10400">
        <v>8.6679410000000002E-3</v>
      </c>
      <c r="P10400">
        <v>0.99914849999999999</v>
      </c>
      <c r="Q10400">
        <v>-3.6212870000000001E-2</v>
      </c>
      <c r="R10400">
        <v>1.976371E-2</v>
      </c>
      <c r="S10400">
        <v>2.9992519999999998</v>
      </c>
      <c r="T10400">
        <v>-9.2999219999999994E-2</v>
      </c>
      <c r="U10400">
        <v>-7.59887699999999E-3</v>
      </c>
      <c r="V10400">
        <v>-1.108394E-2</v>
      </c>
      <c r="W10400">
        <v>-2.1649789999999999E-2</v>
      </c>
      <c r="X10400">
        <v>0.99970420000000004</v>
      </c>
      <c r="Y10400">
        <v>1.119325E-2</v>
      </c>
      <c r="Z10400">
        <v>-3.9746559999999999E-4</v>
      </c>
      <c r="AA10400">
        <v>0.99993730000000003</v>
      </c>
      <c r="AB10400">
        <v>22</v>
      </c>
      <c r="AC10400">
        <v>35.950920000000004</v>
      </c>
      <c r="AD10400">
        <v>-1.12175141238399</v>
      </c>
      <c r="AE10400">
        <v>-9.4300000000004006E-2</v>
      </c>
      <c r="AF10400">
        <v>0.405555208657916</v>
      </c>
      <c r="AG10400">
        <v>-1.12175141238399</v>
      </c>
      <c r="AH10400">
        <v>35.913786827813702</v>
      </c>
      <c r="AI10400">
        <v>91.788912973011705</v>
      </c>
      <c r="AJ10400">
        <v>89.353016870824405</v>
      </c>
      <c r="AK10400">
        <v>35.933589934378901</v>
      </c>
      <c r="AL10400">
        <v>91.240538482832207</v>
      </c>
      <c r="AM10400">
        <v>90.635224861799202</v>
      </c>
      <c r="AN10400">
        <v>1.0000000273153</v>
      </c>
    </row>
    <row r="10401" spans="1:40" x14ac:dyDescent="0.25">
      <c r="A10401" t="str">
        <f>"20190303154043405"</f>
        <v>20190303154043405</v>
      </c>
      <c r="B10401" t="str">
        <f>"1551598843398630"</f>
        <v>1551598843398630</v>
      </c>
      <c r="C10401" t="s">
        <v>40</v>
      </c>
      <c r="D10401">
        <v>4.4031549999999999</v>
      </c>
      <c r="E10401">
        <v>0.5086562</v>
      </c>
      <c r="F10401" t="s">
        <v>42</v>
      </c>
      <c r="G10401">
        <v>-81.228589999999997</v>
      </c>
      <c r="H10401" s="1">
        <v>-4.1557389999999999E-6</v>
      </c>
      <c r="I10401">
        <v>137.30199999999999</v>
      </c>
      <c r="J10401">
        <v>-116.3623</v>
      </c>
      <c r="K10401">
        <v>1.121705</v>
      </c>
      <c r="L10401">
        <v>137.39340000000001</v>
      </c>
      <c r="M10401">
        <v>0.9998513</v>
      </c>
      <c r="N10401">
        <v>-1.457251E-2</v>
      </c>
      <c r="O10401">
        <v>9.2355700000000002E-3</v>
      </c>
      <c r="P10401">
        <v>0.99910010000000005</v>
      </c>
      <c r="Q10401">
        <v>-3.6994340000000001E-2</v>
      </c>
      <c r="R10401">
        <v>2.075225E-2</v>
      </c>
      <c r="S10401">
        <v>2.9992519999999998</v>
      </c>
      <c r="T10401">
        <v>-9.5160720000000004E-2</v>
      </c>
      <c r="U10401">
        <v>-7.5225830000000002E-3</v>
      </c>
      <c r="V10401">
        <v>-1.150705E-2</v>
      </c>
      <c r="W10401">
        <v>-2.243707E-2</v>
      </c>
      <c r="X10401">
        <v>0.99968199999999996</v>
      </c>
      <c r="Y10401">
        <v>1.173458E-2</v>
      </c>
      <c r="Z10401">
        <v>-4.3002429999999998E-4</v>
      </c>
      <c r="AA10401">
        <v>0.99993100000000001</v>
      </c>
      <c r="AB10401">
        <v>22</v>
      </c>
      <c r="AC10401">
        <v>35.133710000000001</v>
      </c>
      <c r="AD10401">
        <v>-1.121709155739</v>
      </c>
      <c r="AE10401">
        <v>-9.1399999999993001E-2</v>
      </c>
      <c r="AF10401">
        <v>0.415486839711106</v>
      </c>
      <c r="AG10401">
        <v>-1.121709155739</v>
      </c>
      <c r="AH10401">
        <v>35.0955934917775</v>
      </c>
      <c r="AI10401">
        <v>91.830509878726303</v>
      </c>
      <c r="AJ10401">
        <v>89.321723101908205</v>
      </c>
      <c r="AK10401">
        <v>35.115972765739201</v>
      </c>
      <c r="AL10401">
        <v>91.285657343927198</v>
      </c>
      <c r="AM10401">
        <v>90.659485999966094</v>
      </c>
      <c r="AN10401">
        <v>0.99999996771694299</v>
      </c>
    </row>
    <row r="10402" spans="1:40" x14ac:dyDescent="0.25">
      <c r="A10402" t="str">
        <f>"20190303154043427"</f>
        <v>20190303154043427</v>
      </c>
      <c r="B10402" t="str">
        <f>"1551598843418150"</f>
        <v>1551598843418150</v>
      </c>
      <c r="C10402" t="s">
        <v>40</v>
      </c>
      <c r="D10402">
        <v>4.3985120000000002</v>
      </c>
      <c r="E10402">
        <v>0.50888619999999996</v>
      </c>
      <c r="F10402" t="s">
        <v>42</v>
      </c>
      <c r="G10402">
        <v>-81.679609999999997</v>
      </c>
      <c r="H10402" s="1">
        <v>-3.9592379999999999E-6</v>
      </c>
      <c r="I10402">
        <v>137.31899999999999</v>
      </c>
      <c r="J10402">
        <v>-116.1463</v>
      </c>
      <c r="K10402">
        <v>1.1216680000000001</v>
      </c>
      <c r="L10402">
        <v>137.39599999999999</v>
      </c>
      <c r="M10402">
        <v>0.99984649999999997</v>
      </c>
      <c r="N10402">
        <v>-1.4566590000000001E-2</v>
      </c>
      <c r="O10402">
        <v>9.7515039999999994E-3</v>
      </c>
      <c r="P10402">
        <v>0.99903299999999995</v>
      </c>
      <c r="Q10402">
        <v>-3.8686579999999998E-2</v>
      </c>
      <c r="R10402">
        <v>2.0897059999999999E-2</v>
      </c>
      <c r="S10402">
        <v>2.9992369999999999</v>
      </c>
      <c r="T10402">
        <v>-9.7001309999999993E-2</v>
      </c>
      <c r="U10402">
        <v>-6.4239500000000003E-3</v>
      </c>
      <c r="V10402">
        <v>-1.1137650000000001E-2</v>
      </c>
      <c r="W10402">
        <v>-2.4134849999999999E-2</v>
      </c>
      <c r="X10402">
        <v>0.9996467</v>
      </c>
      <c r="Y10402">
        <v>1.188372E-2</v>
      </c>
      <c r="Z10402">
        <v>-4.5197420000000002E-4</v>
      </c>
      <c r="AA10402">
        <v>0.99992930000000002</v>
      </c>
      <c r="AB10402">
        <v>22</v>
      </c>
      <c r="AC10402">
        <v>34.46669</v>
      </c>
      <c r="AD10402">
        <v>-1.121671959238</v>
      </c>
      <c r="AE10402">
        <v>-7.7000000000026603E-2</v>
      </c>
      <c r="AF10402">
        <v>0.412696935872921</v>
      </c>
      <c r="AG10402">
        <v>-1.121671959238</v>
      </c>
      <c r="AH10402">
        <v>34.427837946096801</v>
      </c>
      <c r="AI10402">
        <v>91.865924092027498</v>
      </c>
      <c r="AJ10402">
        <v>89.313211007306705</v>
      </c>
      <c r="AK10402">
        <v>34.448577508915001</v>
      </c>
      <c r="AL10402">
        <v>91.382959282961096</v>
      </c>
      <c r="AM10402">
        <v>90.638339460819793</v>
      </c>
      <c r="AN10402">
        <v>1.0000000315264601</v>
      </c>
    </row>
    <row r="10403" spans="1:40" x14ac:dyDescent="0.25">
      <c r="A10403" t="str">
        <f>"20190303154043449"</f>
        <v>20190303154043449</v>
      </c>
      <c r="B10403" t="str">
        <f>"1551598843438647"</f>
        <v>1551598843438647</v>
      </c>
      <c r="C10403" t="s">
        <v>40</v>
      </c>
      <c r="D10403">
        <v>4.3641990000000002</v>
      </c>
      <c r="E10403">
        <v>0.50904340000000003</v>
      </c>
      <c r="F10403" t="s">
        <v>42</v>
      </c>
      <c r="G10403">
        <v>-83.157519999999906</v>
      </c>
      <c r="H10403" s="1">
        <v>-3.326729E-6</v>
      </c>
      <c r="I10403">
        <v>137.31049999999999</v>
      </c>
      <c r="J10403">
        <v>-115.9286</v>
      </c>
      <c r="K10403">
        <v>1.1216520000000001</v>
      </c>
      <c r="L10403">
        <v>137.39869999999999</v>
      </c>
      <c r="M10403">
        <v>0.99984150000000005</v>
      </c>
      <c r="N10403">
        <v>-1.4560780000000001E-2</v>
      </c>
      <c r="O10403">
        <v>1.0245219999999999E-2</v>
      </c>
      <c r="P10403">
        <v>0.99899919999999998</v>
      </c>
      <c r="Q10403">
        <v>-4.019524E-2</v>
      </c>
      <c r="R10403">
        <v>1.9625879999999998E-2</v>
      </c>
      <c r="S10403">
        <v>2.9991300000000001</v>
      </c>
      <c r="T10403">
        <v>-0.1019752</v>
      </c>
      <c r="U10403">
        <v>-7.766724E-3</v>
      </c>
      <c r="V10403">
        <v>-9.3731289999999991E-3</v>
      </c>
      <c r="W10403">
        <v>-2.5648239999999999E-2</v>
      </c>
      <c r="X10403">
        <v>0.99962709999999999</v>
      </c>
      <c r="Y10403">
        <v>1.2823269999999999E-2</v>
      </c>
      <c r="Z10403">
        <v>-5.1043089999999996E-4</v>
      </c>
      <c r="AA10403">
        <v>0.99991759999999996</v>
      </c>
      <c r="AB10403">
        <v>22</v>
      </c>
      <c r="AC10403">
        <v>32.771079999999998</v>
      </c>
      <c r="AD10403">
        <v>-1.1216553267289999</v>
      </c>
      <c r="AE10403">
        <v>-8.82000000000005E-2</v>
      </c>
      <c r="AF10403">
        <v>0.42348179110492501</v>
      </c>
      <c r="AG10403">
        <v>-1.1216553267289999</v>
      </c>
      <c r="AH10403">
        <v>32.7301133527871</v>
      </c>
      <c r="AI10403">
        <v>91.962584195543798</v>
      </c>
      <c r="AJ10403">
        <v>89.258714284591093</v>
      </c>
      <c r="AK10403">
        <v>32.752065088871397</v>
      </c>
      <c r="AL10403">
        <v>91.469697049951407</v>
      </c>
      <c r="AM10403">
        <v>90.537225325614003</v>
      </c>
      <c r="AN10403">
        <v>1.00000001340837</v>
      </c>
    </row>
    <row r="10404" spans="1:40" x14ac:dyDescent="0.25">
      <c r="A10404" t="str">
        <f>"20190303154043476"</f>
        <v>20190303154043476</v>
      </c>
      <c r="B10404" t="str">
        <f>"1551598843468902"</f>
        <v>1551598843468902</v>
      </c>
      <c r="C10404" t="s">
        <v>40</v>
      </c>
      <c r="D10404">
        <v>4.3644569999999998</v>
      </c>
      <c r="E10404">
        <v>0.50931570000000004</v>
      </c>
      <c r="F10404" t="s">
        <v>42</v>
      </c>
      <c r="G10404">
        <v>-84.132279999999994</v>
      </c>
      <c r="H10404" s="1">
        <v>-2.9170000000000002E-6</v>
      </c>
      <c r="I10404">
        <v>137.26300000000001</v>
      </c>
      <c r="J10404">
        <v>-115.6674</v>
      </c>
      <c r="K10404">
        <v>1.1216520000000001</v>
      </c>
      <c r="L10404">
        <v>137.40209999999999</v>
      </c>
      <c r="M10404">
        <v>0.99983560000000005</v>
      </c>
      <c r="N10404">
        <v>-1.455389E-2</v>
      </c>
      <c r="O10404">
        <v>1.081701E-2</v>
      </c>
      <c r="P10404">
        <v>0.99905449999999996</v>
      </c>
      <c r="Q10404">
        <v>-3.9118140000000003E-2</v>
      </c>
      <c r="R10404">
        <v>1.8968599999999999E-2</v>
      </c>
      <c r="S10404">
        <v>2.998993</v>
      </c>
      <c r="T10404">
        <v>-0.1057931</v>
      </c>
      <c r="U10404">
        <v>-1.280212E-2</v>
      </c>
      <c r="V10404">
        <v>-8.1449899999999995E-3</v>
      </c>
      <c r="W10404">
        <v>-2.4576529999999999E-2</v>
      </c>
      <c r="X10404">
        <v>0.99966480000000002</v>
      </c>
      <c r="Y10404">
        <v>1.5071009999999999E-2</v>
      </c>
      <c r="Z10404">
        <v>-5.995153E-4</v>
      </c>
      <c r="AA10404">
        <v>0.99988630000000001</v>
      </c>
      <c r="AB10404">
        <v>22</v>
      </c>
      <c r="AC10404">
        <v>31.5351199999999</v>
      </c>
      <c r="AD10404">
        <v>-1.1216549170000001</v>
      </c>
      <c r="AE10404">
        <v>-0.13909999999998399</v>
      </c>
      <c r="AF10404">
        <v>0.47963690909953</v>
      </c>
      <c r="AG10404">
        <v>-1.1216549170000001</v>
      </c>
      <c r="AH10404">
        <v>31.491929727715998</v>
      </c>
      <c r="AI10404">
        <v>92.039617618438101</v>
      </c>
      <c r="AJ10404">
        <v>89.127425781366398</v>
      </c>
      <c r="AK10404">
        <v>31.5155485323166</v>
      </c>
      <c r="AL10404">
        <v>91.408273194299397</v>
      </c>
      <c r="AM10404">
        <v>90.466819702788101</v>
      </c>
      <c r="AN10404">
        <v>1.0000000295239899</v>
      </c>
    </row>
    <row r="10405" spans="1:40" x14ac:dyDescent="0.25">
      <c r="A10405" t="str">
        <f>"20190303154043500"</f>
        <v>20190303154043500</v>
      </c>
      <c r="B10405" t="str">
        <f>"1551598843488422"</f>
        <v>1551598843488422</v>
      </c>
      <c r="C10405" t="s">
        <v>40</v>
      </c>
      <c r="D10405">
        <v>4.3552460000000002</v>
      </c>
      <c r="E10405">
        <v>0.50946519999999995</v>
      </c>
      <c r="F10405" t="s">
        <v>42</v>
      </c>
      <c r="G10405">
        <v>-82.132549999999995</v>
      </c>
      <c r="H10405" s="1">
        <v>-3.7837930000000001E-6</v>
      </c>
      <c r="I10405">
        <v>137.21270000000001</v>
      </c>
      <c r="J10405">
        <v>-115.43770000000001</v>
      </c>
      <c r="K10405">
        <v>1.121664</v>
      </c>
      <c r="L10405">
        <v>137.40520000000001</v>
      </c>
      <c r="M10405">
        <v>0.99983029999999995</v>
      </c>
      <c r="N10405">
        <v>-1.4547920000000001E-2</v>
      </c>
      <c r="O10405">
        <v>1.1316E-2</v>
      </c>
      <c r="P10405">
        <v>0.99911209999999995</v>
      </c>
      <c r="Q10405">
        <v>-3.8180789999999999E-2</v>
      </c>
      <c r="R10405">
        <v>1.7824409999999999E-2</v>
      </c>
      <c r="S10405">
        <v>2.9992369999999999</v>
      </c>
      <c r="T10405">
        <v>-0.10031660000000001</v>
      </c>
      <c r="U10405">
        <v>-1.6937259999999999E-2</v>
      </c>
      <c r="V10405">
        <v>-6.5020199999999998E-3</v>
      </c>
      <c r="W10405">
        <v>-2.3643649999999999E-2</v>
      </c>
      <c r="X10405">
        <v>0.99969929999999996</v>
      </c>
      <c r="Y10405">
        <v>1.6948129999999999E-2</v>
      </c>
      <c r="Z10405">
        <v>-6.2046269999999895E-4</v>
      </c>
      <c r="AA10405">
        <v>0.99985619999999997</v>
      </c>
      <c r="AB10405">
        <v>22</v>
      </c>
      <c r="AC10405">
        <v>33.305149999999998</v>
      </c>
      <c r="AD10405">
        <v>-1.121667783793</v>
      </c>
      <c r="AE10405">
        <v>-0.19249999999999501</v>
      </c>
      <c r="AF10405">
        <v>0.56876348300269297</v>
      </c>
      <c r="AG10405">
        <v>-1.121667783793</v>
      </c>
      <c r="AH10405">
        <v>33.263111371780397</v>
      </c>
      <c r="AI10405">
        <v>91.9310612344687</v>
      </c>
      <c r="AJ10405">
        <v>89.020399162866298</v>
      </c>
      <c r="AK10405">
        <v>33.286877424118103</v>
      </c>
      <c r="AL10405">
        <v>91.354807612742405</v>
      </c>
      <c r="AM10405">
        <v>90.372645105825001</v>
      </c>
      <c r="AN10405">
        <v>0.99999999443494603</v>
      </c>
    </row>
    <row r="10406" spans="1:40" x14ac:dyDescent="0.25">
      <c r="A10406" t="str">
        <f>"20190303154043516"</f>
        <v>20190303154043516</v>
      </c>
      <c r="B10406" t="str">
        <f>"1551598843508918"</f>
        <v>1551598843508918</v>
      </c>
      <c r="C10406" t="s">
        <v>40</v>
      </c>
      <c r="D10406">
        <v>4.3378880000000004</v>
      </c>
      <c r="E10406">
        <v>0.50954429999999995</v>
      </c>
      <c r="F10406" t="s">
        <v>42</v>
      </c>
      <c r="G10406">
        <v>-80.107489999999999</v>
      </c>
      <c r="H10406" s="1">
        <v>-4.6632889999999998E-6</v>
      </c>
      <c r="I10406">
        <v>137.15209999999999</v>
      </c>
      <c r="J10406">
        <v>-115.2637</v>
      </c>
      <c r="K10406">
        <v>1.1216729999999999</v>
      </c>
      <c r="L10406">
        <v>137.4076</v>
      </c>
      <c r="M10406">
        <v>0.99982590000000005</v>
      </c>
      <c r="N10406">
        <v>-1.4543449999999999E-2</v>
      </c>
      <c r="O10406">
        <v>1.1697279999999999E-2</v>
      </c>
      <c r="P10406">
        <v>0.99919250000000004</v>
      </c>
      <c r="Q10406">
        <v>-3.6494400000000003E-2</v>
      </c>
      <c r="R10406">
        <v>1.6808569999999998E-2</v>
      </c>
      <c r="S10406">
        <v>2.9994200000000002</v>
      </c>
      <c r="T10406">
        <v>-9.5226050000000007E-2</v>
      </c>
      <c r="U10406">
        <v>-2.1484380000000001E-2</v>
      </c>
      <c r="V10406">
        <v>-5.1045439999999999E-3</v>
      </c>
      <c r="W10406">
        <v>-2.1960110000000001E-2</v>
      </c>
      <c r="X10406">
        <v>0.99974580000000002</v>
      </c>
      <c r="Y10406">
        <v>1.8844820000000002E-2</v>
      </c>
      <c r="Z10406">
        <v>-6.3732139999999997E-4</v>
      </c>
      <c r="AA10406">
        <v>0.99982219999999999</v>
      </c>
      <c r="AB10406">
        <v>22</v>
      </c>
      <c r="AC10406">
        <v>35.156209999999902</v>
      </c>
      <c r="AD10406">
        <v>-1.121677663289</v>
      </c>
      <c r="AE10406">
        <v>-0.255500000000012</v>
      </c>
      <c r="AF10406">
        <v>0.66608000164660597</v>
      </c>
      <c r="AG10406">
        <v>-1.121677663289</v>
      </c>
      <c r="AH10406">
        <v>35.115071330667199</v>
      </c>
      <c r="AI10406">
        <v>91.829243162176894</v>
      </c>
      <c r="AJ10406">
        <v>88.9133156982993</v>
      </c>
      <c r="AK10406">
        <v>35.139295068438201</v>
      </c>
      <c r="AL10406">
        <v>91.258322791912207</v>
      </c>
      <c r="AM10406">
        <v>90.292540649894505</v>
      </c>
      <c r="AN10406">
        <v>0.999999983709149</v>
      </c>
    </row>
    <row r="10407" spans="1:40" x14ac:dyDescent="0.25">
      <c r="A10407" t="str">
        <f>"20190303154043539"</f>
        <v>20190303154043539</v>
      </c>
      <c r="B10407" t="str">
        <f>"1551598843528438"</f>
        <v>1551598843528438</v>
      </c>
      <c r="C10407" t="s">
        <v>40</v>
      </c>
      <c r="D10407">
        <v>4.2967199999999997</v>
      </c>
      <c r="E10407">
        <v>0.50973139999999995</v>
      </c>
      <c r="F10407" t="s">
        <v>42</v>
      </c>
      <c r="G10407">
        <v>-77.464690000000004</v>
      </c>
      <c r="H10407" s="1">
        <v>-1.52071E-6</v>
      </c>
      <c r="I10407">
        <v>137.09129999999999</v>
      </c>
      <c r="J10407">
        <v>-115.0457</v>
      </c>
      <c r="K10407">
        <v>1.1216980000000001</v>
      </c>
      <c r="L10407">
        <v>137.41069999999999</v>
      </c>
      <c r="M10407">
        <v>0.99982009999999999</v>
      </c>
      <c r="N10407">
        <v>-1.4537929999999999E-2</v>
      </c>
      <c r="O10407">
        <v>1.2183390000000001E-2</v>
      </c>
      <c r="P10407">
        <v>0.99921720000000003</v>
      </c>
      <c r="Q10407">
        <v>-3.5941899999999999E-2</v>
      </c>
      <c r="R10407">
        <v>1.6527670000000001E-2</v>
      </c>
      <c r="S10407">
        <v>2.9995880000000001</v>
      </c>
      <c r="T10407">
        <v>-8.9011789999999993E-2</v>
      </c>
      <c r="U10407">
        <v>-2.5100709999999998E-2</v>
      </c>
      <c r="V10407">
        <v>-4.3380349999999996E-3</v>
      </c>
      <c r="W10407">
        <v>-2.1412460000000001E-2</v>
      </c>
      <c r="X10407">
        <v>0.99976129999999996</v>
      </c>
      <c r="Y10407">
        <v>2.0536530000000001E-2</v>
      </c>
      <c r="Z10407">
        <v>-6.3831529999999997E-4</v>
      </c>
      <c r="AA10407">
        <v>0.99978889999999998</v>
      </c>
      <c r="AB10407">
        <v>22</v>
      </c>
      <c r="AC10407">
        <v>37.5810099999999</v>
      </c>
      <c r="AD10407">
        <v>-1.12169952070999</v>
      </c>
      <c r="AE10407">
        <v>-0.31940000000000102</v>
      </c>
      <c r="AF10407">
        <v>0.77659697904053304</v>
      </c>
      <c r="AG10407">
        <v>-1.12169952070999</v>
      </c>
      <c r="AH10407">
        <v>37.5408865767564</v>
      </c>
      <c r="AI10407">
        <v>91.711088994916395</v>
      </c>
      <c r="AJ10407">
        <v>88.814908548835206</v>
      </c>
      <c r="AK10407">
        <v>37.565668870013504</v>
      </c>
      <c r="AL10407">
        <v>91.226937375337101</v>
      </c>
      <c r="AM10407">
        <v>90.248608879969098</v>
      </c>
      <c r="AN10407">
        <v>0.99999998448430105</v>
      </c>
    </row>
    <row r="10408" spans="1:40" x14ac:dyDescent="0.25">
      <c r="A10408" t="str">
        <f>"20190303154043561"</f>
        <v>20190303154043561</v>
      </c>
      <c r="B10408" t="str">
        <f>"1551598843558695"</f>
        <v>1551598843558695</v>
      </c>
      <c r="C10408" t="s">
        <v>40</v>
      </c>
      <c r="D10408">
        <v>4.3251210000000002</v>
      </c>
      <c r="E10408">
        <v>0.50990809999999998</v>
      </c>
      <c r="F10408" t="s">
        <v>42</v>
      </c>
      <c r="G10408">
        <v>-76.091999999999999</v>
      </c>
      <c r="H10408" s="1">
        <v>-2.1132099999999998E-6</v>
      </c>
      <c r="I10408">
        <v>137.0548</v>
      </c>
      <c r="J10408">
        <v>-114.8292</v>
      </c>
      <c r="K10408">
        <v>1.121715</v>
      </c>
      <c r="L10408">
        <v>137.41399999999999</v>
      </c>
      <c r="M10408">
        <v>0.99981399999999998</v>
      </c>
      <c r="N10408">
        <v>-1.453251E-2</v>
      </c>
      <c r="O10408">
        <v>1.2677229999999999E-2</v>
      </c>
      <c r="P10408">
        <v>0.99921950000000004</v>
      </c>
      <c r="Q10408">
        <v>-3.6014789999999998E-2</v>
      </c>
      <c r="R10408">
        <v>1.6224269999999999E-2</v>
      </c>
      <c r="S10408">
        <v>2.9996800000000001</v>
      </c>
      <c r="T10408">
        <v>-8.6377979999999993E-2</v>
      </c>
      <c r="U10408">
        <v>-2.7404789999999998E-2</v>
      </c>
      <c r="V10408">
        <v>-3.539993E-3</v>
      </c>
      <c r="W10408">
        <v>-2.1490309999999999E-2</v>
      </c>
      <c r="X10408">
        <v>0.99976279999999995</v>
      </c>
      <c r="Y10408">
        <v>2.1797939999999998E-2</v>
      </c>
      <c r="Z10408">
        <v>-6.5296769999999998E-4</v>
      </c>
      <c r="AA10408">
        <v>0.99976220000000005</v>
      </c>
      <c r="AB10408">
        <v>22</v>
      </c>
      <c r="AC10408">
        <v>38.737200000000001</v>
      </c>
      <c r="AD10408">
        <v>-1.1217171132099999</v>
      </c>
      <c r="AE10408">
        <v>-0.35919999999998697</v>
      </c>
      <c r="AF10408">
        <v>0.84959106954749397</v>
      </c>
      <c r="AG10408">
        <v>-1.1217171132099999</v>
      </c>
      <c r="AH10408">
        <v>38.6970870518984</v>
      </c>
      <c r="AI10408">
        <v>91.659974909145006</v>
      </c>
      <c r="AJ10408">
        <v>88.742278363990593</v>
      </c>
      <c r="AK10408">
        <v>38.722662622419499</v>
      </c>
      <c r="AL10408">
        <v>91.2313988462803</v>
      </c>
      <c r="AM10408">
        <v>90.202873932462694</v>
      </c>
      <c r="AN10408">
        <v>1.0000000106190801</v>
      </c>
    </row>
    <row r="10409" spans="1:40" x14ac:dyDescent="0.25">
      <c r="A10409" t="str">
        <f>"20190303154043584"</f>
        <v>20190303154043584</v>
      </c>
      <c r="B10409" t="str">
        <f>"1551598843578215"</f>
        <v>1551598843578215</v>
      </c>
      <c r="C10409" t="s">
        <v>40</v>
      </c>
      <c r="D10409">
        <v>4.3587660000000001</v>
      </c>
      <c r="E10409">
        <v>0.50995649999999904</v>
      </c>
      <c r="F10409" t="s">
        <v>42</v>
      </c>
      <c r="G10409">
        <v>-75.687640000000002</v>
      </c>
      <c r="H10409" s="1">
        <v>-2.291601E-6</v>
      </c>
      <c r="I10409">
        <v>137.02709999999999</v>
      </c>
      <c r="J10409">
        <v>-114.611</v>
      </c>
      <c r="K10409">
        <v>1.1217429999999999</v>
      </c>
      <c r="L10409">
        <v>137.41730000000001</v>
      </c>
      <c r="M10409">
        <v>0.99980769999999997</v>
      </c>
      <c r="N10409">
        <v>-1.452707E-2</v>
      </c>
      <c r="O10409">
        <v>1.318451E-2</v>
      </c>
      <c r="P10409">
        <v>0.99923729999999999</v>
      </c>
      <c r="Q10409">
        <v>-3.492982E-2</v>
      </c>
      <c r="R10409">
        <v>1.7459760000000001E-2</v>
      </c>
      <c r="S10409">
        <v>2.9997250000000002</v>
      </c>
      <c r="T10409">
        <v>-8.5965990000000006E-2</v>
      </c>
      <c r="U10409">
        <v>-2.964783E-2</v>
      </c>
      <c r="V10409">
        <v>-4.2685229999999998E-3</v>
      </c>
      <c r="W10409">
        <v>-2.0410919999999999E-2</v>
      </c>
      <c r="X10409">
        <v>0.99978259999999997</v>
      </c>
      <c r="Y10409">
        <v>2.3051849999999999E-2</v>
      </c>
      <c r="Z10409">
        <v>-6.8396910000000002E-4</v>
      </c>
      <c r="AA10409">
        <v>0.99973400000000001</v>
      </c>
      <c r="AB10409">
        <v>22</v>
      </c>
      <c r="AC10409">
        <v>38.923359999999903</v>
      </c>
      <c r="AD10409">
        <v>-1.121745291601</v>
      </c>
      <c r="AE10409">
        <v>-0.39020000000002097</v>
      </c>
      <c r="AF10409">
        <v>0.90265595765000495</v>
      </c>
      <c r="AG10409">
        <v>-1.121745291601</v>
      </c>
      <c r="AH10409">
        <v>38.882540149273098</v>
      </c>
      <c r="AI10409">
        <v>91.652056450022599</v>
      </c>
      <c r="AJ10409">
        <v>88.670120609225705</v>
      </c>
      <c r="AK10409">
        <v>38.909189515292397</v>
      </c>
      <c r="AL10409">
        <v>91.169540744969296</v>
      </c>
      <c r="AM10409">
        <v>90.244620047054298</v>
      </c>
      <c r="AN10409">
        <v>1.0000000366032999</v>
      </c>
    </row>
    <row r="10410" spans="1:40" x14ac:dyDescent="0.25">
      <c r="A10410" t="str">
        <f>"20190303154043606"</f>
        <v>20190303154043606</v>
      </c>
      <c r="B10410" t="str">
        <f>"1551598843598710"</f>
        <v>1551598843598710</v>
      </c>
      <c r="C10410" t="s">
        <v>40</v>
      </c>
      <c r="D10410">
        <v>4.3526009999999999</v>
      </c>
      <c r="E10410">
        <v>0.50998840000000001</v>
      </c>
      <c r="F10410" t="s">
        <v>42</v>
      </c>
      <c r="G10410">
        <v>-73.735159999999993</v>
      </c>
      <c r="H10410" s="1">
        <v>-3.1237210000000002E-6</v>
      </c>
      <c r="I10410">
        <v>137.05799999999999</v>
      </c>
      <c r="J10410">
        <v>-114.39230000000001</v>
      </c>
      <c r="K10410">
        <v>1.121764</v>
      </c>
      <c r="L10410">
        <v>137.42080000000001</v>
      </c>
      <c r="M10410">
        <v>0.99980069999999999</v>
      </c>
      <c r="N10410">
        <v>-1.452171E-2</v>
      </c>
      <c r="O10410">
        <v>1.369915E-2</v>
      </c>
      <c r="P10410">
        <v>0.99922370000000005</v>
      </c>
      <c r="Q10410">
        <v>-3.4696640000000001E-2</v>
      </c>
      <c r="R10410">
        <v>1.866636E-2</v>
      </c>
      <c r="S10410">
        <v>2.9998779999999998</v>
      </c>
      <c r="T10410">
        <v>-8.232486E-2</v>
      </c>
      <c r="U10410">
        <v>-2.6367189999999999E-2</v>
      </c>
      <c r="V10410">
        <v>-4.9612390000000001E-3</v>
      </c>
      <c r="W10410">
        <v>-2.018354E-2</v>
      </c>
      <c r="X10410">
        <v>0.99978400000000001</v>
      </c>
      <c r="Y10410">
        <v>2.2474230000000001E-2</v>
      </c>
      <c r="Z10410">
        <v>-6.4848939999999995E-4</v>
      </c>
      <c r="AA10410">
        <v>0.99974719999999995</v>
      </c>
      <c r="AB10410">
        <v>22</v>
      </c>
      <c r="AC10410">
        <v>40.657139999999998</v>
      </c>
      <c r="AD10410">
        <v>-1.1217671237209901</v>
      </c>
      <c r="AE10410">
        <v>-0.36280000000002099</v>
      </c>
      <c r="AF10410">
        <v>0.91909333643519797</v>
      </c>
      <c r="AG10410">
        <v>-1.1217671237209901</v>
      </c>
      <c r="AH10410">
        <v>40.617435566131</v>
      </c>
      <c r="AI10410">
        <v>91.581580700704606</v>
      </c>
      <c r="AJ10410">
        <v>88.703729485999901</v>
      </c>
      <c r="AK10410">
        <v>40.643316375632402</v>
      </c>
      <c r="AL10410">
        <v>91.156510168252197</v>
      </c>
      <c r="AM10410">
        <v>90.284317135151099</v>
      </c>
      <c r="AN10410">
        <v>1.00000001791767</v>
      </c>
    </row>
    <row r="10411" spans="1:40" x14ac:dyDescent="0.25">
      <c r="A10411" t="str">
        <f>"20190303154043628"</f>
        <v>20190303154043628</v>
      </c>
      <c r="B10411" t="str">
        <f>"1551598843618231"</f>
        <v>1551598843618231</v>
      </c>
      <c r="C10411" t="s">
        <v>40</v>
      </c>
      <c r="D10411">
        <v>4.2829709999999999</v>
      </c>
      <c r="E10411">
        <v>0.51054730000000004</v>
      </c>
      <c r="F10411" t="s">
        <v>42</v>
      </c>
      <c r="G10411">
        <v>-73.161090000000002</v>
      </c>
      <c r="H10411" s="1">
        <v>-3.3618550000000002E-6</v>
      </c>
      <c r="I10411">
        <v>137.10390000000001</v>
      </c>
      <c r="J10411">
        <v>-114.1756</v>
      </c>
      <c r="K10411">
        <v>1.1217820000000001</v>
      </c>
      <c r="L10411">
        <v>137.42439999999999</v>
      </c>
      <c r="M10411">
        <v>0.99979370000000001</v>
      </c>
      <c r="N10411">
        <v>-1.451644E-2</v>
      </c>
      <c r="O10411">
        <v>1.421006E-2</v>
      </c>
      <c r="P10411">
        <v>0.99914890000000001</v>
      </c>
      <c r="Q10411">
        <v>-3.661524E-2</v>
      </c>
      <c r="R10411">
        <v>1.900083E-2</v>
      </c>
      <c r="S10411">
        <v>2.9999389999999999</v>
      </c>
      <c r="T10411">
        <v>-8.1618549999999998E-2</v>
      </c>
      <c r="U10411">
        <v>-2.3056030000000002E-2</v>
      </c>
      <c r="V10411">
        <v>-4.7846520000000003E-3</v>
      </c>
      <c r="W10411">
        <v>-2.210809E-2</v>
      </c>
      <c r="X10411">
        <v>0.99974410000000002</v>
      </c>
      <c r="Y10411">
        <v>2.188207E-2</v>
      </c>
      <c r="Z10411">
        <v>-6.3674670000000001E-4</v>
      </c>
      <c r="AA10411">
        <v>0.99976030000000005</v>
      </c>
      <c r="AB10411">
        <v>22</v>
      </c>
      <c r="AC10411">
        <v>41.014509999999902</v>
      </c>
      <c r="AD10411">
        <v>-1.121785361855</v>
      </c>
      <c r="AE10411">
        <v>-0.32049999999998102</v>
      </c>
      <c r="AF10411">
        <v>0.90267244619498899</v>
      </c>
      <c r="AG10411">
        <v>-1.121785361855</v>
      </c>
      <c r="AH10411">
        <v>40.975162593897302</v>
      </c>
      <c r="AI10411">
        <v>91.567826288859607</v>
      </c>
      <c r="AJ10411">
        <v>88.737992628177906</v>
      </c>
      <c r="AK10411">
        <v>41.000453284561601</v>
      </c>
      <c r="AL10411">
        <v>91.266803506678301</v>
      </c>
      <c r="AM10411">
        <v>90.274208442981504</v>
      </c>
      <c r="AN10411">
        <v>0.99999996301150895</v>
      </c>
    </row>
    <row r="10412" spans="1:40" x14ac:dyDescent="0.25">
      <c r="A10412" t="str">
        <f>"20190303154043651"</f>
        <v>20190303154043651</v>
      </c>
      <c r="B10412" t="str">
        <f>"1551598843648486"</f>
        <v>1551598843648486</v>
      </c>
      <c r="C10412" t="s">
        <v>40</v>
      </c>
      <c r="D10412">
        <v>4.4005589999999897</v>
      </c>
      <c r="E10412">
        <v>0.51138649999999997</v>
      </c>
      <c r="F10412" t="s">
        <v>42</v>
      </c>
      <c r="G10412">
        <v>-75.960489999999993</v>
      </c>
      <c r="H10412" s="1">
        <v>-2.1640029999999998E-6</v>
      </c>
      <c r="I10412">
        <v>137.0865</v>
      </c>
      <c r="J10412">
        <v>-113.96210000000001</v>
      </c>
      <c r="K10412">
        <v>1.1218049999999999</v>
      </c>
      <c r="L10412">
        <v>137.428</v>
      </c>
      <c r="M10412">
        <v>0.99978659999999997</v>
      </c>
      <c r="N10412">
        <v>-1.451121E-2</v>
      </c>
      <c r="O10412">
        <v>1.470983E-2</v>
      </c>
      <c r="P10412">
        <v>0.99904970000000004</v>
      </c>
      <c r="Q10412">
        <v>-3.9354649999999998E-2</v>
      </c>
      <c r="R10412">
        <v>1.8730420000000001E-2</v>
      </c>
      <c r="S10412">
        <v>2.9998320000000001</v>
      </c>
      <c r="T10412">
        <v>-8.805847E-2</v>
      </c>
      <c r="U10412">
        <v>-2.651978E-2</v>
      </c>
      <c r="V10412">
        <v>-4.0144969999999997E-3</v>
      </c>
      <c r="W10412">
        <v>-2.485337E-2</v>
      </c>
      <c r="X10412">
        <v>0.99968299999999999</v>
      </c>
      <c r="Y10412">
        <v>2.3533160000000001E-2</v>
      </c>
      <c r="Z10412">
        <v>-7.3438479999999998E-4</v>
      </c>
      <c r="AA10412">
        <v>0.99972280000000002</v>
      </c>
      <c r="AB10412">
        <v>22</v>
      </c>
      <c r="AC10412">
        <v>38.001609999999999</v>
      </c>
      <c r="AD10412">
        <v>-1.1218071640029901</v>
      </c>
      <c r="AE10412">
        <v>-0.34149999999999597</v>
      </c>
      <c r="AF10412">
        <v>0.89973508253914503</v>
      </c>
      <c r="AG10412">
        <v>-1.1218071640029901</v>
      </c>
      <c r="AH10412">
        <v>37.959397319629304</v>
      </c>
      <c r="AI10412">
        <v>91.692284034037996</v>
      </c>
      <c r="AJ10412">
        <v>88.6421972998955</v>
      </c>
      <c r="AK10412">
        <v>37.986626849477503</v>
      </c>
      <c r="AL10412">
        <v>91.424139912635098</v>
      </c>
      <c r="AM10412">
        <v>90.230085435631096</v>
      </c>
      <c r="AN10412">
        <v>0.99999995333775804</v>
      </c>
    </row>
    <row r="10413" spans="1:40" x14ac:dyDescent="0.25">
      <c r="A10413" t="str">
        <f>"20190303154043674"</f>
        <v>20190303154043674</v>
      </c>
      <c r="B10413" t="str">
        <f>"1551598843668982"</f>
        <v>1551598843668982</v>
      </c>
      <c r="C10413" t="s">
        <v>40</v>
      </c>
      <c r="D10413">
        <v>4.4210750000000001</v>
      </c>
      <c r="E10413">
        <v>0.51161060000000003</v>
      </c>
      <c r="F10413" t="s">
        <v>42</v>
      </c>
      <c r="G10413">
        <v>-82.255290000000002</v>
      </c>
      <c r="H10413" s="1">
        <v>-3.757415E-6</v>
      </c>
      <c r="I10413">
        <v>137.06460000000001</v>
      </c>
      <c r="J10413">
        <v>-113.7299</v>
      </c>
      <c r="K10413">
        <v>1.1218189999999999</v>
      </c>
      <c r="L10413">
        <v>137.43209999999999</v>
      </c>
      <c r="M10413">
        <v>0.99977859999999996</v>
      </c>
      <c r="N10413">
        <v>-1.45054E-2</v>
      </c>
      <c r="O10413">
        <v>1.5244479999999999E-2</v>
      </c>
      <c r="P10413">
        <v>0.99898010000000004</v>
      </c>
      <c r="Q10413">
        <v>-4.1487110000000001E-2</v>
      </c>
      <c r="R10413">
        <v>1.7821989999999999E-2</v>
      </c>
      <c r="S10413">
        <v>2.9993289999999999</v>
      </c>
      <c r="T10413">
        <v>-0.10611810000000001</v>
      </c>
      <c r="U10413">
        <v>-3.437805E-2</v>
      </c>
      <c r="V10413">
        <v>-2.571898E-3</v>
      </c>
      <c r="W10413">
        <v>-2.6991589999999999E-2</v>
      </c>
      <c r="X10413">
        <v>0.99963239999999998</v>
      </c>
      <c r="Y10413">
        <v>2.667806E-2</v>
      </c>
      <c r="Z10413">
        <v>-9.834462999999999E-4</v>
      </c>
      <c r="AA10413">
        <v>0.99964359999999997</v>
      </c>
      <c r="AB10413">
        <v>22</v>
      </c>
      <c r="AC10413">
        <v>31.474609999999998</v>
      </c>
      <c r="AD10413">
        <v>-1.1218227574149999</v>
      </c>
      <c r="AE10413">
        <v>-0.36749999999997801</v>
      </c>
      <c r="AF10413">
        <v>0.84624692869962004</v>
      </c>
      <c r="AG10413">
        <v>-1.1218227574149999</v>
      </c>
      <c r="AH10413">
        <v>31.425432564719099</v>
      </c>
      <c r="AI10413">
        <v>92.043732074013505</v>
      </c>
      <c r="AJ10413">
        <v>88.457470319037299</v>
      </c>
      <c r="AK10413">
        <v>31.456834425019601</v>
      </c>
      <c r="AL10413">
        <v>91.546691960117897</v>
      </c>
      <c r="AM10413">
        <v>90.147412764522997</v>
      </c>
      <c r="AN10413">
        <v>1.0000000478599</v>
      </c>
    </row>
    <row r="10414" spans="1:40" x14ac:dyDescent="0.25">
      <c r="A10414" t="str">
        <f>"20190303154043700"</f>
        <v>20190303154043700</v>
      </c>
      <c r="B10414" t="str">
        <f>"1551598843688503"</f>
        <v>1551598843688503</v>
      </c>
      <c r="C10414" t="s">
        <v>40</v>
      </c>
      <c r="D10414">
        <v>4.3647269999999896</v>
      </c>
      <c r="E10414">
        <v>0.51198379999999999</v>
      </c>
      <c r="F10414" t="s">
        <v>42</v>
      </c>
      <c r="G10414">
        <v>-86.008870000000002</v>
      </c>
      <c r="H10414" s="1">
        <v>-2.1460650000000002E-6</v>
      </c>
      <c r="I10414">
        <v>137.07060000000001</v>
      </c>
      <c r="J10414">
        <v>-113.4858</v>
      </c>
      <c r="K10414">
        <v>1.1218220000000001</v>
      </c>
      <c r="L10414">
        <v>137.4365</v>
      </c>
      <c r="M10414">
        <v>0.9997703</v>
      </c>
      <c r="N10414">
        <v>-1.4499339999999999E-2</v>
      </c>
      <c r="O10414">
        <v>1.5795719999999999E-2</v>
      </c>
      <c r="P10414">
        <v>0.9989574</v>
      </c>
      <c r="Q10414">
        <v>-4.2538850000000003E-2</v>
      </c>
      <c r="R10414">
        <v>1.6588169999999999E-2</v>
      </c>
      <c r="S10414">
        <v>2.9987180000000002</v>
      </c>
      <c r="T10414">
        <v>-0.12135269999999999</v>
      </c>
      <c r="U10414">
        <v>-3.9093019999999999E-2</v>
      </c>
      <c r="V10414">
        <v>-7.8677360000000004E-4</v>
      </c>
      <c r="W10414">
        <v>-2.8048670000000001E-2</v>
      </c>
      <c r="X10414">
        <v>0.99960629999999995</v>
      </c>
      <c r="Y10414">
        <v>2.8792539999999998E-2</v>
      </c>
      <c r="Z10414">
        <v>-1.2011610000000001E-3</v>
      </c>
      <c r="AA10414">
        <v>0.99958469999999999</v>
      </c>
      <c r="AB10414">
        <v>22</v>
      </c>
      <c r="AC10414">
        <v>27.476929999999999</v>
      </c>
      <c r="AD10414">
        <v>-1.12182414606499</v>
      </c>
      <c r="AE10414">
        <v>-0.36589999999998202</v>
      </c>
      <c r="AF10414">
        <v>0.79858683883833403</v>
      </c>
      <c r="AG10414">
        <v>-1.12182414606499</v>
      </c>
      <c r="AH10414">
        <v>27.422018955165399</v>
      </c>
      <c r="AI10414">
        <v>92.3416501360268</v>
      </c>
      <c r="AJ10414">
        <v>88.3318979168711</v>
      </c>
      <c r="AK10414">
        <v>27.456572144594301</v>
      </c>
      <c r="AL10414">
        <v>91.607281125863196</v>
      </c>
      <c r="AM10414">
        <v>90.045096551916004</v>
      </c>
      <c r="AN10414">
        <v>1.00000005095057</v>
      </c>
    </row>
    <row r="10415" spans="1:40" x14ac:dyDescent="0.25">
      <c r="A10415" t="str">
        <f>"20190303154043720"</f>
        <v>20190303154043720</v>
      </c>
      <c r="B10415" t="str">
        <f>"1551598843718758"</f>
        <v>1551598843718758</v>
      </c>
      <c r="C10415" t="s">
        <v>40</v>
      </c>
      <c r="D10415">
        <v>4.4637919999999998</v>
      </c>
      <c r="E10415">
        <v>0.51255649999999997</v>
      </c>
      <c r="F10415" t="s">
        <v>42</v>
      </c>
      <c r="G10415">
        <v>-87.861289999999997</v>
      </c>
      <c r="H10415" s="1">
        <v>-1.3983419999999999E-6</v>
      </c>
      <c r="I10415">
        <v>137.04390000000001</v>
      </c>
      <c r="J10415">
        <v>-113.2848</v>
      </c>
      <c r="K10415">
        <v>1.1218170000000001</v>
      </c>
      <c r="L10415">
        <v>137.4402</v>
      </c>
      <c r="M10415">
        <v>0.99976310000000002</v>
      </c>
      <c r="N10415">
        <v>-1.449431E-2</v>
      </c>
      <c r="O10415">
        <v>1.6238039999999999E-2</v>
      </c>
      <c r="P10415">
        <v>0.99902670000000005</v>
      </c>
      <c r="Q10415">
        <v>-4.1636630000000001E-2</v>
      </c>
      <c r="R10415">
        <v>1.457235E-2</v>
      </c>
      <c r="S10415">
        <v>2.9983219999999999</v>
      </c>
      <c r="T10415">
        <v>-0.131264299999999</v>
      </c>
      <c r="U10415">
        <v>-4.5928959999999998E-2</v>
      </c>
      <c r="V10415">
        <v>1.670424E-3</v>
      </c>
      <c r="W10415">
        <v>-2.7149489999999998E-2</v>
      </c>
      <c r="X10415">
        <v>0.99963000000000002</v>
      </c>
      <c r="Y10415">
        <v>3.1505119999999998E-2</v>
      </c>
      <c r="Z10415">
        <v>-1.3929820000000001E-3</v>
      </c>
      <c r="AA10415">
        <v>0.99950260000000002</v>
      </c>
      <c r="AB10415">
        <v>22</v>
      </c>
      <c r="AC10415">
        <v>25.42351</v>
      </c>
      <c r="AD10415">
        <v>-1.121818398342</v>
      </c>
      <c r="AE10415">
        <v>-0.39629999999999599</v>
      </c>
      <c r="AF10415">
        <v>0.80754713729851102</v>
      </c>
      <c r="AG10415">
        <v>-1.121818398342</v>
      </c>
      <c r="AH10415">
        <v>25.364348189520101</v>
      </c>
      <c r="AI10415">
        <v>92.531155529470993</v>
      </c>
      <c r="AJ10415">
        <v>88.176439688864207</v>
      </c>
      <c r="AK10415">
        <v>25.401983544145398</v>
      </c>
      <c r="AL10415">
        <v>91.555742337328297</v>
      </c>
      <c r="AM10415">
        <v>89.904256418762102</v>
      </c>
      <c r="AN10415">
        <v>1.0000000110117999</v>
      </c>
    </row>
    <row r="10416" spans="1:40" x14ac:dyDescent="0.25">
      <c r="A10416" t="str">
        <f>"20190303154043741"</f>
        <v>20190303154043741</v>
      </c>
      <c r="B10416" t="str">
        <f>"1551598843738278"</f>
        <v>1551598843738278</v>
      </c>
      <c r="C10416" t="s">
        <v>40</v>
      </c>
      <c r="D10416">
        <v>4.4929870000000003</v>
      </c>
      <c r="E10416">
        <v>0.51274779999999998</v>
      </c>
      <c r="F10416" t="s">
        <v>42</v>
      </c>
      <c r="G10416">
        <v>-88.591519999999903</v>
      </c>
      <c r="H10416" s="1">
        <v>-1.1686989999999999E-6</v>
      </c>
      <c r="I10416">
        <v>136.97299999999899</v>
      </c>
      <c r="J10416">
        <v>-113.0908</v>
      </c>
      <c r="K10416">
        <v>1.121802</v>
      </c>
      <c r="L10416">
        <v>137.44390000000001</v>
      </c>
      <c r="M10416">
        <v>0.99975650000000005</v>
      </c>
      <c r="N10416">
        <v>-1.4489459999999999E-2</v>
      </c>
      <c r="O10416">
        <v>1.6649509999999999E-2</v>
      </c>
      <c r="P10416">
        <v>0.99919979999999997</v>
      </c>
      <c r="Q10416">
        <v>-3.7828439999999998E-2</v>
      </c>
      <c r="R10416">
        <v>1.301132E-2</v>
      </c>
      <c r="S10416">
        <v>2.9980769999999999</v>
      </c>
      <c r="T10416">
        <v>-0.13620289999999999</v>
      </c>
      <c r="U10416">
        <v>-5.6716919999999997E-2</v>
      </c>
      <c r="V10416">
        <v>3.642359E-3</v>
      </c>
      <c r="W10416">
        <v>-2.3343280000000001E-2</v>
      </c>
      <c r="X10416">
        <v>0.99972090000000002</v>
      </c>
      <c r="Y10416">
        <v>3.5503779999999999E-2</v>
      </c>
      <c r="Z10416">
        <v>-1.5781969999999999E-3</v>
      </c>
      <c r="AA10416">
        <v>0.99936829999999999</v>
      </c>
      <c r="AB10416">
        <v>22</v>
      </c>
      <c r="AC10416">
        <v>24.499279999999999</v>
      </c>
      <c r="AD10416">
        <v>-1.121803168699</v>
      </c>
      <c r="AE10416">
        <v>-0.47090000000002802</v>
      </c>
      <c r="AF10416">
        <v>0.87694054162236501</v>
      </c>
      <c r="AG10416">
        <v>-1.121803168699</v>
      </c>
      <c r="AH10416">
        <v>24.436825663164001</v>
      </c>
      <c r="AI10416">
        <v>92.626700975004297</v>
      </c>
      <c r="AJ10416">
        <v>87.944764158512299</v>
      </c>
      <c r="AK10416">
        <v>24.4782743581878</v>
      </c>
      <c r="AL10416">
        <v>91.337592884708798</v>
      </c>
      <c r="AM10416">
        <v>89.791250863341801</v>
      </c>
      <c r="AN10416">
        <v>1.0000000266985201</v>
      </c>
    </row>
    <row r="10417" spans="1:40" x14ac:dyDescent="0.25">
      <c r="A10417" t="str">
        <f>"20190303154043762"</f>
        <v>20190303154043762</v>
      </c>
      <c r="B10417" t="str">
        <f>"1551598843758775"</f>
        <v>1551598843758775</v>
      </c>
      <c r="C10417" t="s">
        <v>40</v>
      </c>
      <c r="D10417">
        <v>4.482145</v>
      </c>
      <c r="E10417">
        <v>0.51300380000000001</v>
      </c>
      <c r="F10417" t="s">
        <v>42</v>
      </c>
      <c r="G10417">
        <v>-87.454949999999997</v>
      </c>
      <c r="H10417" s="1">
        <v>-1.5738629999999999E-6</v>
      </c>
      <c r="I10417">
        <v>136.90389999999999</v>
      </c>
      <c r="J10417">
        <v>-112.8856</v>
      </c>
      <c r="K10417">
        <v>1.1217729999999999</v>
      </c>
      <c r="L10417">
        <v>137.4478</v>
      </c>
      <c r="M10417">
        <v>0.99974949999999996</v>
      </c>
      <c r="N10417">
        <v>-1.448429E-2</v>
      </c>
      <c r="O10417">
        <v>1.7065219999999999E-2</v>
      </c>
      <c r="P10417">
        <v>0.99934559999999995</v>
      </c>
      <c r="Q10417">
        <v>-3.4039420000000001E-2</v>
      </c>
      <c r="R10417">
        <v>1.224714E-2</v>
      </c>
      <c r="S10417">
        <v>2.9982600000000001</v>
      </c>
      <c r="T10417">
        <v>-0.13120109999999999</v>
      </c>
      <c r="U10417">
        <v>-6.3140870000000002E-2</v>
      </c>
      <c r="V10417">
        <v>4.8214240000000004E-3</v>
      </c>
      <c r="W10417">
        <v>-1.9557379999999999E-2</v>
      </c>
      <c r="X10417">
        <v>0.99979709999999999</v>
      </c>
      <c r="Y10417">
        <v>3.8058880000000003E-2</v>
      </c>
      <c r="Z10417">
        <v>-1.6073120000000001E-3</v>
      </c>
      <c r="AA10417">
        <v>0.9992742</v>
      </c>
      <c r="AB10417">
        <v>22</v>
      </c>
      <c r="AC10417">
        <v>25.43065</v>
      </c>
      <c r="AD10417">
        <v>-1.1217745738629901</v>
      </c>
      <c r="AE10417">
        <v>-0.54390000000000704</v>
      </c>
      <c r="AF10417">
        <v>0.97594780762976496</v>
      </c>
      <c r="AG10417">
        <v>-1.1217745738629901</v>
      </c>
      <c r="AH10417">
        <v>25.3683243315736</v>
      </c>
      <c r="AI10417">
        <v>92.530072033305004</v>
      </c>
      <c r="AJ10417">
        <v>87.796853762183702</v>
      </c>
      <c r="AK10417">
        <v>25.4118620275983</v>
      </c>
      <c r="AL10417">
        <v>91.120626790472699</v>
      </c>
      <c r="AM10417">
        <v>89.723698833448907</v>
      </c>
      <c r="AN10417">
        <v>0.999999989205131</v>
      </c>
    </row>
    <row r="10418" spans="1:40" x14ac:dyDescent="0.25">
      <c r="A10418" t="str">
        <f>"20190303154043785"</f>
        <v>20190303154043785</v>
      </c>
      <c r="B10418" t="str">
        <f>"1551598843778295"</f>
        <v>1551598843778295</v>
      </c>
      <c r="C10418" t="s">
        <v>40</v>
      </c>
      <c r="D10418">
        <v>4.4304759999999996</v>
      </c>
      <c r="E10418">
        <v>0.51348749999999999</v>
      </c>
      <c r="F10418" t="s">
        <v>42</v>
      </c>
      <c r="G10418">
        <v>-85.683199999999999</v>
      </c>
      <c r="H10418" s="1">
        <v>-2.3276809999999999E-6</v>
      </c>
      <c r="I10418">
        <v>136.83439999999999</v>
      </c>
      <c r="J10418">
        <v>-112.66840000000001</v>
      </c>
      <c r="K10418">
        <v>1.121737</v>
      </c>
      <c r="L10418">
        <v>137.452</v>
      </c>
      <c r="M10418">
        <v>0.99974240000000003</v>
      </c>
      <c r="N10418">
        <v>-1.447884E-2</v>
      </c>
      <c r="O10418">
        <v>1.7483080000000002E-2</v>
      </c>
      <c r="P10418">
        <v>0.9993668</v>
      </c>
      <c r="Q10418">
        <v>-3.2902899999999999E-2</v>
      </c>
      <c r="R10418">
        <v>1.3562589999999999E-2</v>
      </c>
      <c r="S10418">
        <v>2.9985810000000002</v>
      </c>
      <c r="T10418">
        <v>-0.1236556</v>
      </c>
      <c r="U10418">
        <v>-6.7611690000000002E-2</v>
      </c>
      <c r="V10418">
        <v>3.922989E-3</v>
      </c>
      <c r="W10418">
        <v>-1.842649E-2</v>
      </c>
      <c r="X10418">
        <v>0.99982249999999995</v>
      </c>
      <c r="Y10418">
        <v>3.9967049999999997E-2</v>
      </c>
      <c r="Z10418">
        <v>-1.5807169999999999E-3</v>
      </c>
      <c r="AA10418">
        <v>0.99919970000000002</v>
      </c>
      <c r="AB10418">
        <v>21</v>
      </c>
      <c r="AC10418">
        <v>26.985199999999999</v>
      </c>
      <c r="AD10418">
        <v>-1.1217393276809999</v>
      </c>
      <c r="AE10418">
        <v>-0.61760000000001003</v>
      </c>
      <c r="AF10418">
        <v>1.08746131635966</v>
      </c>
      <c r="AG10418">
        <v>-1.1217393276809999</v>
      </c>
      <c r="AH10418">
        <v>26.923777277850899</v>
      </c>
      <c r="AI10418">
        <v>92.3838226153905</v>
      </c>
      <c r="AJ10418">
        <v>87.687059503079197</v>
      </c>
      <c r="AK10418">
        <v>26.969068470029899</v>
      </c>
      <c r="AL10418">
        <v>91.055819884813502</v>
      </c>
      <c r="AM10418">
        <v>89.775190537004804</v>
      </c>
      <c r="AN10418">
        <v>0.99999997844133104</v>
      </c>
    </row>
    <row r="10419" spans="1:40" x14ac:dyDescent="0.25">
      <c r="A10419" t="str">
        <f>"20190303154043807"</f>
        <v>20190303154043807</v>
      </c>
      <c r="B10419" t="str">
        <f>"1551598843798791"</f>
        <v>1551598843798791</v>
      </c>
      <c r="C10419" t="s">
        <v>40</v>
      </c>
      <c r="D10419">
        <v>4.5501339999999999</v>
      </c>
      <c r="E10419">
        <v>0.51352439999999999</v>
      </c>
      <c r="F10419" t="s">
        <v>42</v>
      </c>
      <c r="G10419">
        <v>-85.031890000000004</v>
      </c>
      <c r="H10419" s="1">
        <v>-2.6078639999999999E-6</v>
      </c>
      <c r="I10419">
        <v>136.83000000000001</v>
      </c>
      <c r="J10419">
        <v>-112.4546</v>
      </c>
      <c r="K10419">
        <v>1.1217109999999999</v>
      </c>
      <c r="L10419">
        <v>137.4563</v>
      </c>
      <c r="M10419">
        <v>0.9997355</v>
      </c>
      <c r="N10419">
        <v>-1.447348E-2</v>
      </c>
      <c r="O10419">
        <v>1.7874620000000001E-2</v>
      </c>
      <c r="P10419">
        <v>0.99929800000000002</v>
      </c>
      <c r="Q10419">
        <v>-3.3936349999999997E-2</v>
      </c>
      <c r="R10419">
        <v>1.586864E-2</v>
      </c>
      <c r="S10419">
        <v>2.9988100000000002</v>
      </c>
      <c r="T10419">
        <v>-0.1217188</v>
      </c>
      <c r="U10419">
        <v>-6.748962E-2</v>
      </c>
      <c r="V10419">
        <v>2.007464E-3</v>
      </c>
      <c r="W10419">
        <v>-1.94667E-2</v>
      </c>
      <c r="X10419">
        <v>0.99980849999999999</v>
      </c>
      <c r="Y10419">
        <v>4.0317029999999997E-2</v>
      </c>
      <c r="Z10419">
        <v>-1.576266E-3</v>
      </c>
      <c r="AA10419">
        <v>0.99918569999999995</v>
      </c>
      <c r="AB10419">
        <v>21</v>
      </c>
      <c r="AC10419">
        <v>27.422709999999899</v>
      </c>
      <c r="AD10419">
        <v>-1.121713607864</v>
      </c>
      <c r="AE10419">
        <v>-0.62629999999998598</v>
      </c>
      <c r="AF10419">
        <v>1.11455788918065</v>
      </c>
      <c r="AG10419">
        <v>-1.121713607864</v>
      </c>
      <c r="AH10419">
        <v>27.361375180580101</v>
      </c>
      <c r="AI10419">
        <v>92.345654029307298</v>
      </c>
      <c r="AJ10419">
        <v>87.667362230879206</v>
      </c>
      <c r="AK10419">
        <v>27.407030712553802</v>
      </c>
      <c r="AL10419">
        <v>91.115430197179606</v>
      </c>
      <c r="AM10419">
        <v>89.884958909471294</v>
      </c>
      <c r="AN10419">
        <v>1.0000000094964201</v>
      </c>
    </row>
    <row r="10420" spans="1:40" x14ac:dyDescent="0.25">
      <c r="A10420" t="str">
        <f>"20190303154043831"</f>
        <v>20190303154043831</v>
      </c>
      <c r="B10420" t="str">
        <f>"1551598843829047"</f>
        <v>1551598843829047</v>
      </c>
      <c r="C10420" t="s">
        <v>40</v>
      </c>
      <c r="D10420">
        <v>4.5075059999999896</v>
      </c>
      <c r="E10420">
        <v>0.51371</v>
      </c>
      <c r="F10420" t="s">
        <v>42</v>
      </c>
      <c r="G10420">
        <v>-86.726550000000003</v>
      </c>
      <c r="H10420" s="1">
        <v>-1.862979E-6</v>
      </c>
      <c r="I10420">
        <v>136.9308</v>
      </c>
      <c r="J10420">
        <v>-112.2298</v>
      </c>
      <c r="K10420">
        <v>1.121685</v>
      </c>
      <c r="L10420">
        <v>137.46080000000001</v>
      </c>
      <c r="M10420">
        <v>0.99972839999999996</v>
      </c>
      <c r="N10420">
        <v>-1.4467870000000001E-2</v>
      </c>
      <c r="O10420">
        <v>1.8269540000000001E-2</v>
      </c>
      <c r="P10420">
        <v>0.9992316</v>
      </c>
      <c r="Q10420">
        <v>-3.5105270000000001E-2</v>
      </c>
      <c r="R10420">
        <v>1.7440819999999999E-2</v>
      </c>
      <c r="S10420">
        <v>2.9986419999999998</v>
      </c>
      <c r="T10420">
        <v>-0.13073689999999999</v>
      </c>
      <c r="U10420">
        <v>-6.123352E-2</v>
      </c>
      <c r="V10420">
        <v>8.2876599999999999E-4</v>
      </c>
      <c r="W10420">
        <v>-2.0642270000000001E-2</v>
      </c>
      <c r="X10420">
        <v>0.99978659999999997</v>
      </c>
      <c r="Y10420">
        <v>3.8623780000000003E-2</v>
      </c>
      <c r="Z10420">
        <v>-1.6529579999999999E-3</v>
      </c>
      <c r="AA10420">
        <v>0.99925240000000004</v>
      </c>
      <c r="AB10420">
        <v>21</v>
      </c>
      <c r="AC10420">
        <v>25.503249999999898</v>
      </c>
      <c r="AD10420">
        <v>-1.121686862979</v>
      </c>
      <c r="AE10420">
        <v>-0.53000000000000103</v>
      </c>
      <c r="AF10420">
        <v>0.99397101489394901</v>
      </c>
      <c r="AG10420">
        <v>-1.121686862979</v>
      </c>
      <c r="AH10420">
        <v>25.4401179046415</v>
      </c>
      <c r="AI10420">
        <v>92.522685731054594</v>
      </c>
      <c r="AJ10420">
        <v>87.762534286256596</v>
      </c>
      <c r="AK10420">
        <v>25.484225685688202</v>
      </c>
      <c r="AL10420">
        <v>91.182798938687</v>
      </c>
      <c r="AM10420">
        <v>89.952505081456707</v>
      </c>
      <c r="AN10420">
        <v>1.0000000178516899</v>
      </c>
    </row>
    <row r="10421" spans="1:40" x14ac:dyDescent="0.25">
      <c r="A10421" t="str">
        <f>"20190303154043852"</f>
        <v>20190303154043852</v>
      </c>
      <c r="B10421" t="str">
        <f>"1551598843848567"</f>
        <v>1551598843848567</v>
      </c>
      <c r="C10421" t="s">
        <v>40</v>
      </c>
      <c r="D10421">
        <v>4.5785939999999998</v>
      </c>
      <c r="E10421">
        <v>0.51335399999999998</v>
      </c>
      <c r="F10421" t="s">
        <v>42</v>
      </c>
      <c r="G10421">
        <v>-87.638499999999993</v>
      </c>
      <c r="H10421" s="1">
        <v>-1.48991E-6</v>
      </c>
      <c r="I10421">
        <v>136.9847</v>
      </c>
      <c r="J10421">
        <v>-112.03100000000001</v>
      </c>
      <c r="K10421">
        <v>1.1216699999999999</v>
      </c>
      <c r="L10421">
        <v>137.4648</v>
      </c>
      <c r="M10421">
        <v>0.99972229999999995</v>
      </c>
      <c r="N10421">
        <v>-1.4462890000000001E-2</v>
      </c>
      <c r="O10421">
        <v>1.8607820000000001E-2</v>
      </c>
      <c r="P10421">
        <v>0.99915830000000005</v>
      </c>
      <c r="Q10421">
        <v>-3.6607630000000002E-2</v>
      </c>
      <c r="R10421">
        <v>1.8519939999999999E-2</v>
      </c>
      <c r="S10421">
        <v>2.9985050000000002</v>
      </c>
      <c r="T10421">
        <v>-0.13677120000000001</v>
      </c>
      <c r="U10421">
        <v>-5.8044430000000001E-2</v>
      </c>
      <c r="V10421" s="1">
        <v>8.7147510000000006E-5</v>
      </c>
      <c r="W10421">
        <v>-2.215058E-2</v>
      </c>
      <c r="X10421">
        <v>0.9997547</v>
      </c>
      <c r="Y10421">
        <v>3.7896180000000002E-2</v>
      </c>
      <c r="Z10421">
        <v>-1.71725E-3</v>
      </c>
      <c r="AA10421">
        <v>0.99928019999999995</v>
      </c>
      <c r="AB10421">
        <v>21</v>
      </c>
      <c r="AC10421">
        <v>24.392499999999998</v>
      </c>
      <c r="AD10421">
        <v>-1.12167148991</v>
      </c>
      <c r="AE10421">
        <v>-0.48009999999999298</v>
      </c>
      <c r="AF10421">
        <v>0.93198559211721299</v>
      </c>
      <c r="AG10421">
        <v>-1.12167148991</v>
      </c>
      <c r="AH10421">
        <v>24.3279184681959</v>
      </c>
      <c r="AI10421">
        <v>92.637897417474306</v>
      </c>
      <c r="AJ10421">
        <v>87.806111472991901</v>
      </c>
      <c r="AK10421">
        <v>24.371589219219501</v>
      </c>
      <c r="AL10421">
        <v>91.269238480196805</v>
      </c>
      <c r="AM10421">
        <v>89.995005590365807</v>
      </c>
      <c r="AN10421">
        <v>1.0000000579805499</v>
      </c>
    </row>
    <row r="10422" spans="1:40" x14ac:dyDescent="0.25">
      <c r="A10422" t="str">
        <f>"20190303154043875"</f>
        <v>20190303154043875</v>
      </c>
      <c r="B10422" t="str">
        <f>"1551598843868087"</f>
        <v>1551598843868087</v>
      </c>
      <c r="C10422" t="s">
        <v>40</v>
      </c>
      <c r="D10422">
        <v>4.6246530000000003</v>
      </c>
      <c r="E10422">
        <v>0.51286699999999996</v>
      </c>
      <c r="F10422" t="s">
        <v>42</v>
      </c>
      <c r="G10422">
        <v>-87.90916</v>
      </c>
      <c r="H10422" s="1">
        <v>-1.3811819999999999E-6</v>
      </c>
      <c r="I10422">
        <v>137.0472</v>
      </c>
      <c r="J10422">
        <v>-111.81189999999999</v>
      </c>
      <c r="K10422">
        <v>1.121677</v>
      </c>
      <c r="L10422">
        <v>137.46940000000001</v>
      </c>
      <c r="M10422">
        <v>0.99971549999999998</v>
      </c>
      <c r="N10422">
        <v>-1.445744E-2</v>
      </c>
      <c r="O10422">
        <v>1.8973830000000001E-2</v>
      </c>
      <c r="P10422">
        <v>0.99914250000000004</v>
      </c>
      <c r="Q10422">
        <v>-3.6606069999999997E-2</v>
      </c>
      <c r="R10422">
        <v>1.9357780000000002E-2</v>
      </c>
      <c r="S10422">
        <v>2.998383</v>
      </c>
      <c r="T10422">
        <v>-0.1394252</v>
      </c>
      <c r="U10422">
        <v>-5.1910400000000002E-2</v>
      </c>
      <c r="V10422">
        <v>-3.8501509999999998E-4</v>
      </c>
      <c r="W10422">
        <v>-2.2154670000000001E-2</v>
      </c>
      <c r="X10422">
        <v>0.99975449999999999</v>
      </c>
      <c r="Y10422">
        <v>3.6219029999999999E-2</v>
      </c>
      <c r="Z10422">
        <v>-1.7111470000000001E-3</v>
      </c>
      <c r="AA10422">
        <v>0.99934239999999996</v>
      </c>
      <c r="AB10422">
        <v>21</v>
      </c>
      <c r="AC10422">
        <v>23.902739999999898</v>
      </c>
      <c r="AD10422">
        <v>-1.1216783811819999</v>
      </c>
      <c r="AE10422">
        <v>-0.42220000000000302</v>
      </c>
      <c r="AF10422">
        <v>0.873774329123013</v>
      </c>
      <c r="AG10422">
        <v>-1.1216783811819999</v>
      </c>
      <c r="AH10422">
        <v>23.837946869491599</v>
      </c>
      <c r="AI10422">
        <v>92.692221502647101</v>
      </c>
      <c r="AJ10422">
        <v>87.900776509863903</v>
      </c>
      <c r="AK10422">
        <v>23.880313124449401</v>
      </c>
      <c r="AL10422">
        <v>91.269472926992606</v>
      </c>
      <c r="AM10422">
        <v>90.022065156184098</v>
      </c>
      <c r="AN10422">
        <v>1.0000000189548399</v>
      </c>
    </row>
    <row r="10423" spans="1:40" x14ac:dyDescent="0.25">
      <c r="A10423" t="str">
        <f>"20190303154043901"</f>
        <v>20190303154043901</v>
      </c>
      <c r="B10423" t="str">
        <f>"1551598843888583"</f>
        <v>1551598843888583</v>
      </c>
      <c r="C10423" t="s">
        <v>40</v>
      </c>
      <c r="D10423">
        <v>4.6141300000000003</v>
      </c>
      <c r="E10423">
        <v>0.51247739999999997</v>
      </c>
      <c r="F10423" t="s">
        <v>42</v>
      </c>
      <c r="G10423">
        <v>-87.21799</v>
      </c>
      <c r="H10423" s="1">
        <v>-1.622724E-6</v>
      </c>
      <c r="I10423">
        <v>137.0968</v>
      </c>
      <c r="J10423">
        <v>-111.57129999999999</v>
      </c>
      <c r="K10423">
        <v>1.1216919999999999</v>
      </c>
      <c r="L10423">
        <v>137.47450000000001</v>
      </c>
      <c r="M10423">
        <v>0.99970789999999998</v>
      </c>
      <c r="N10423">
        <v>-1.4451429999999999E-2</v>
      </c>
      <c r="O10423">
        <v>1.937322E-2</v>
      </c>
      <c r="P10423">
        <v>0.99918030000000002</v>
      </c>
      <c r="Q10423">
        <v>-3.5118440000000001E-2</v>
      </c>
      <c r="R10423">
        <v>2.0139750000000001E-2</v>
      </c>
      <c r="S10423">
        <v>2.998459</v>
      </c>
      <c r="T10423">
        <v>-0.13675329999999999</v>
      </c>
      <c r="U10423">
        <v>-4.5425420000000001E-2</v>
      </c>
      <c r="V10423">
        <v>-7.6736879999999999E-4</v>
      </c>
      <c r="W10423">
        <v>-2.0672590000000001E-2</v>
      </c>
      <c r="X10423">
        <v>0.99978599999999995</v>
      </c>
      <c r="Y10423">
        <v>3.4461459999999999E-2</v>
      </c>
      <c r="Z10423">
        <v>-1.6377900000000001E-3</v>
      </c>
      <c r="AA10423">
        <v>0.99940469999999904</v>
      </c>
      <c r="AB10423">
        <v>21</v>
      </c>
      <c r="AC10423">
        <v>24.35331</v>
      </c>
      <c r="AD10423">
        <v>-1.121693622724</v>
      </c>
      <c r="AE10423">
        <v>-0.37770000000000398</v>
      </c>
      <c r="AF10423">
        <v>0.84768251121142402</v>
      </c>
      <c r="AG10423">
        <v>-1.121693622724</v>
      </c>
      <c r="AH10423">
        <v>24.289903036706999</v>
      </c>
      <c r="AI10423">
        <v>92.642401093855298</v>
      </c>
      <c r="AJ10423">
        <v>88.001271261176996</v>
      </c>
      <c r="AK10423">
        <v>24.330560037855701</v>
      </c>
      <c r="AL10423">
        <v>91.184536544168793</v>
      </c>
      <c r="AM10423">
        <v>90.043976395884997</v>
      </c>
      <c r="AN10423">
        <v>0.99999999531409101</v>
      </c>
    </row>
    <row r="10424" spans="1:40" x14ac:dyDescent="0.25">
      <c r="A10424" t="str">
        <f>"20190303154043922"</f>
        <v>20190303154043922</v>
      </c>
      <c r="B10424" t="str">
        <f>"1551598843908103"</f>
        <v>1551598843908103</v>
      </c>
      <c r="C10424" t="s">
        <v>40</v>
      </c>
      <c r="D10424">
        <v>4.6123799999999999</v>
      </c>
      <c r="E10424">
        <v>0.51210679999999997</v>
      </c>
      <c r="F10424" t="s">
        <v>42</v>
      </c>
      <c r="G10424">
        <v>-85.582369999999997</v>
      </c>
      <c r="H10424" s="1">
        <v>-2.3186539999999999E-6</v>
      </c>
      <c r="I10424">
        <v>137.12909999999999</v>
      </c>
      <c r="J10424">
        <v>-111.36969999999999</v>
      </c>
      <c r="K10424">
        <v>1.121715</v>
      </c>
      <c r="L10424">
        <v>137.47880000000001</v>
      </c>
      <c r="M10424">
        <v>0.99970139999999996</v>
      </c>
      <c r="N10424">
        <v>-1.4446489999999999E-2</v>
      </c>
      <c r="O10424">
        <v>1.9708960000000001E-2</v>
      </c>
      <c r="P10424">
        <v>0.99924279999999999</v>
      </c>
      <c r="Q10424">
        <v>-3.3305050000000003E-2</v>
      </c>
      <c r="R10424">
        <v>2.0113510000000001E-2</v>
      </c>
      <c r="S10424">
        <v>2.9987029999999999</v>
      </c>
      <c r="T10424">
        <v>-0.12942519999999999</v>
      </c>
      <c r="U10424">
        <v>-3.98407E-2</v>
      </c>
      <c r="V10424">
        <v>-4.0554140000000001E-4</v>
      </c>
      <c r="W10424">
        <v>-1.886328E-2</v>
      </c>
      <c r="X10424">
        <v>0.99982199999999999</v>
      </c>
      <c r="Y10424">
        <v>3.2942440000000003E-2</v>
      </c>
      <c r="Z10424">
        <v>-1.5142199999999999E-3</v>
      </c>
      <c r="AA10424">
        <v>0.99945609999999996</v>
      </c>
      <c r="AB10424">
        <v>21</v>
      </c>
      <c r="AC10424">
        <v>25.787330000000001</v>
      </c>
      <c r="AD10424">
        <v>-1.1217173186539999</v>
      </c>
      <c r="AE10424">
        <v>-0.349700000000012</v>
      </c>
      <c r="AF10424">
        <v>0.85630659338398896</v>
      </c>
      <c r="AG10424">
        <v>-1.1217173186539999</v>
      </c>
      <c r="AH10424">
        <v>25.726757301211101</v>
      </c>
      <c r="AI10424">
        <v>92.495203056770407</v>
      </c>
      <c r="AJ10424">
        <v>88.093632755217101</v>
      </c>
      <c r="AK10424">
        <v>25.765433277169201</v>
      </c>
      <c r="AL10424">
        <v>91.080850426342096</v>
      </c>
      <c r="AM10424">
        <v>90.0232399460739</v>
      </c>
      <c r="AN10424">
        <v>1.0000000097400901</v>
      </c>
    </row>
    <row r="10425" spans="1:40" x14ac:dyDescent="0.25">
      <c r="A10425" t="str">
        <f>"20190303154043941"</f>
        <v>20190303154043941</v>
      </c>
      <c r="B10425" t="str">
        <f>"1551598843928599"</f>
        <v>1551598843928599</v>
      </c>
      <c r="C10425" t="s">
        <v>40</v>
      </c>
      <c r="D10425">
        <v>4.6143409999999996</v>
      </c>
      <c r="E10425">
        <v>0.51177569999999994</v>
      </c>
      <c r="F10425" t="s">
        <v>42</v>
      </c>
      <c r="G10425">
        <v>-83.661709999999999</v>
      </c>
      <c r="H10425" s="1">
        <v>-3.141012E-6</v>
      </c>
      <c r="I10425">
        <v>137.13820000000001</v>
      </c>
      <c r="J10425">
        <v>-111.19110000000001</v>
      </c>
      <c r="K10425">
        <v>1.121737</v>
      </c>
      <c r="L10425">
        <v>137.48269999999999</v>
      </c>
      <c r="M10425">
        <v>0.99969560000000002</v>
      </c>
      <c r="N10425">
        <v>-1.444221E-2</v>
      </c>
      <c r="O10425">
        <v>2.0009949999999999E-2</v>
      </c>
      <c r="P10425">
        <v>0.99931729999999996</v>
      </c>
      <c r="Q10425">
        <v>-3.092379E-2</v>
      </c>
      <c r="R10425">
        <v>2.022726E-2</v>
      </c>
      <c r="S10425">
        <v>2.9989780000000001</v>
      </c>
      <c r="T10425">
        <v>-0.12140910000000001</v>
      </c>
      <c r="U10425">
        <v>-3.6865229999999999E-2</v>
      </c>
      <c r="V10425">
        <v>-2.172334E-4</v>
      </c>
      <c r="W10425">
        <v>-1.6485369999999999E-2</v>
      </c>
      <c r="X10425">
        <v>0.99986410000000003</v>
      </c>
      <c r="Y10425">
        <v>3.2257099999999997E-2</v>
      </c>
      <c r="Z10425">
        <v>-1.4065029999999999E-3</v>
      </c>
      <c r="AA10425">
        <v>0.99947859999999999</v>
      </c>
      <c r="AB10425">
        <v>21</v>
      </c>
      <c r="AC10425">
        <v>27.529389999999999</v>
      </c>
      <c r="AD10425">
        <v>-1.121740141012</v>
      </c>
      <c r="AE10425">
        <v>-0.34449999999998199</v>
      </c>
      <c r="AF10425">
        <v>0.89386624126201097</v>
      </c>
      <c r="AG10425">
        <v>-1.121740141012</v>
      </c>
      <c r="AH10425">
        <v>27.471378705736001</v>
      </c>
      <c r="AI10425">
        <v>92.337026929785296</v>
      </c>
      <c r="AJ10425">
        <v>88.136362177642894</v>
      </c>
      <c r="AK10425">
        <v>27.508797607223599</v>
      </c>
      <c r="AL10425">
        <v>90.9445848969482</v>
      </c>
      <c r="AM10425">
        <v>90.012448248510395</v>
      </c>
      <c r="AN10425">
        <v>1.0000000165415901</v>
      </c>
    </row>
    <row r="10426" spans="1:40" x14ac:dyDescent="0.25">
      <c r="A10426" t="str">
        <f>"20190303154043963"</f>
        <v>20190303154043963</v>
      </c>
      <c r="B10426" t="str">
        <f>"1551598843958855"</f>
        <v>1551598843958855</v>
      </c>
      <c r="C10426" t="s">
        <v>40</v>
      </c>
      <c r="D10426">
        <v>4.6523879999999904</v>
      </c>
      <c r="E10426">
        <v>0.51123189999999996</v>
      </c>
      <c r="F10426" t="s">
        <v>42</v>
      </c>
      <c r="G10426">
        <v>-81.124279999999999</v>
      </c>
      <c r="H10426" s="1">
        <v>-4.2287919999999998E-6</v>
      </c>
      <c r="I10426">
        <v>137.14250000000001</v>
      </c>
      <c r="J10426">
        <v>-110.9783</v>
      </c>
      <c r="K10426">
        <v>1.1217549999999901</v>
      </c>
      <c r="L10426">
        <v>137.48740000000001</v>
      </c>
      <c r="M10426">
        <v>0.99968829999999997</v>
      </c>
      <c r="N10426">
        <v>-1.443709E-2</v>
      </c>
      <c r="O10426">
        <v>2.0373100000000002E-2</v>
      </c>
      <c r="P10426">
        <v>0.99932120000000002</v>
      </c>
      <c r="Q10426">
        <v>-3.0308379999999999E-2</v>
      </c>
      <c r="R10426">
        <v>2.0945220000000001E-2</v>
      </c>
      <c r="S10426">
        <v>2.9992679999999998</v>
      </c>
      <c r="T10426">
        <v>-0.11189730000000001</v>
      </c>
      <c r="U10426">
        <v>-3.3935550000000002E-2</v>
      </c>
      <c r="V10426">
        <v>-5.7195770000000002E-4</v>
      </c>
      <c r="W10426">
        <v>-1.5875029999999998E-2</v>
      </c>
      <c r="X10426">
        <v>0.99987380000000003</v>
      </c>
      <c r="Y10426">
        <v>3.1649589999999998E-2</v>
      </c>
      <c r="Z10426">
        <v>-1.2844639999999999E-3</v>
      </c>
      <c r="AA10426">
        <v>0.9994982</v>
      </c>
      <c r="AB10426">
        <v>21</v>
      </c>
      <c r="AC10426">
        <v>29.854019999999998</v>
      </c>
      <c r="AD10426">
        <v>-1.12175922879199</v>
      </c>
      <c r="AE10426">
        <v>-0.34489999999999499</v>
      </c>
      <c r="AF10426">
        <v>0.95176708358427997</v>
      </c>
      <c r="AG10426">
        <v>-1.12175922879199</v>
      </c>
      <c r="AH10426">
        <v>29.798728784472502</v>
      </c>
      <c r="AI10426">
        <v>92.1547571091359</v>
      </c>
      <c r="AJ10426">
        <v>88.170603016689697</v>
      </c>
      <c r="AK10426">
        <v>29.8350203874461</v>
      </c>
      <c r="AL10426">
        <v>90.909610445880801</v>
      </c>
      <c r="AM10426">
        <v>90.032774894887297</v>
      </c>
      <c r="AN10426">
        <v>0.99999997981977495</v>
      </c>
    </row>
    <row r="10427" spans="1:40" x14ac:dyDescent="0.25">
      <c r="A10427" t="str">
        <f>"20190303154043986"</f>
        <v>20190303154043986</v>
      </c>
      <c r="B10427" t="str">
        <f>"1551598843978375"</f>
        <v>1551598843978375</v>
      </c>
      <c r="C10427" t="s">
        <v>40</v>
      </c>
      <c r="D10427">
        <v>4.6022999999999996</v>
      </c>
      <c r="E10427">
        <v>0.51090089999999999</v>
      </c>
      <c r="F10427" t="s">
        <v>42</v>
      </c>
      <c r="G10427">
        <v>-79.682590000000005</v>
      </c>
      <c r="H10427" s="1">
        <v>-7.3652010000000003E-7</v>
      </c>
      <c r="I10427">
        <v>137.20189999999999</v>
      </c>
      <c r="J10427">
        <v>-110.76990000000001</v>
      </c>
      <c r="K10427">
        <v>1.1217839999999999</v>
      </c>
      <c r="L10427">
        <v>137.49209999999999</v>
      </c>
      <c r="M10427">
        <v>0.99968089999999998</v>
      </c>
      <c r="N10427">
        <v>-1.4431950000000001E-2</v>
      </c>
      <c r="O10427">
        <v>2.073303E-2</v>
      </c>
      <c r="P10427">
        <v>0.99928269999999997</v>
      </c>
      <c r="Q10427">
        <v>-3.1098859999999999E-2</v>
      </c>
      <c r="R10427">
        <v>2.1610649999999999E-2</v>
      </c>
      <c r="S10427">
        <v>2.9993590000000001</v>
      </c>
      <c r="T10427">
        <v>-0.107508199999999</v>
      </c>
      <c r="U10427">
        <v>-2.735901E-2</v>
      </c>
      <c r="V10427">
        <v>-8.7803709999999995E-4</v>
      </c>
      <c r="W10427">
        <v>-1.6671060000000001E-2</v>
      </c>
      <c r="X10427">
        <v>0.99986059999999999</v>
      </c>
      <c r="Y10427">
        <v>2.982199E-2</v>
      </c>
      <c r="Z10427">
        <v>-1.193284E-3</v>
      </c>
      <c r="AA10427">
        <v>0.99955450000000001</v>
      </c>
      <c r="AB10427">
        <v>21</v>
      </c>
      <c r="AC10427">
        <v>31.087309999999999</v>
      </c>
      <c r="AD10427">
        <v>-1.1217847365200999</v>
      </c>
      <c r="AE10427">
        <v>-0.29019999999999802</v>
      </c>
      <c r="AF10427">
        <v>0.933523399454255</v>
      </c>
      <c r="AG10427">
        <v>-1.1217847365200999</v>
      </c>
      <c r="AH10427">
        <v>31.034202067850298</v>
      </c>
      <c r="AI10427">
        <v>92.069218306632393</v>
      </c>
      <c r="AJ10427">
        <v>88.277035535891301</v>
      </c>
      <c r="AK10427">
        <v>31.068497950827599</v>
      </c>
      <c r="AL10427">
        <v>90.955225669001294</v>
      </c>
      <c r="AM10427">
        <v>90.050314821040104</v>
      </c>
      <c r="AN10427">
        <v>0.99999995731151503</v>
      </c>
    </row>
    <row r="10428" spans="1:40" x14ac:dyDescent="0.25">
      <c r="A10428" t="str">
        <f>"20190303154044008"</f>
        <v>20190303154044008</v>
      </c>
      <c r="B10428" t="str">
        <f>"1551598843998871"</f>
        <v>1551598843998871</v>
      </c>
      <c r="C10428" t="s">
        <v>40</v>
      </c>
      <c r="D10428">
        <v>4.5736150000000002</v>
      </c>
      <c r="E10428">
        <v>0.51061880000000004</v>
      </c>
      <c r="F10428" t="s">
        <v>42</v>
      </c>
      <c r="G10428">
        <v>-80.006259999999997</v>
      </c>
      <c r="H10428" s="1">
        <v>-4.6877790000000003E-6</v>
      </c>
      <c r="I10428">
        <v>137.25880000000001</v>
      </c>
      <c r="J10428">
        <v>-110.55589999999999</v>
      </c>
      <c r="K10428">
        <v>1.1217999999999999</v>
      </c>
      <c r="L10428">
        <v>137.49690000000001</v>
      </c>
      <c r="M10428">
        <v>0.99967329999999999</v>
      </c>
      <c r="N10428">
        <v>-1.4426499999999899E-2</v>
      </c>
      <c r="O10428">
        <v>2.1104700000000001E-2</v>
      </c>
      <c r="P10428">
        <v>0.99925489999999995</v>
      </c>
      <c r="Q10428">
        <v>-3.161837E-2</v>
      </c>
      <c r="R10428">
        <v>2.2137939999999998E-2</v>
      </c>
      <c r="S10428">
        <v>2.9992369999999999</v>
      </c>
      <c r="T10428">
        <v>-0.1093664</v>
      </c>
      <c r="U10428">
        <v>-2.2735600000000002E-2</v>
      </c>
      <c r="V10428">
        <v>-1.034409E-3</v>
      </c>
      <c r="W10428">
        <v>-1.719627E-2</v>
      </c>
      <c r="X10428">
        <v>0.99985159999999995</v>
      </c>
      <c r="Y10428">
        <v>2.8653140000000001E-2</v>
      </c>
      <c r="Z10428">
        <v>-1.1938809999999999E-3</v>
      </c>
      <c r="AA10428">
        <v>0.9995887</v>
      </c>
      <c r="AB10428">
        <v>21</v>
      </c>
      <c r="AC10428">
        <v>30.54964</v>
      </c>
      <c r="AD10428">
        <v>-1.121804687779</v>
      </c>
      <c r="AE10428">
        <v>-0.238100000000002</v>
      </c>
      <c r="AF10428">
        <v>0.88166619467853902</v>
      </c>
      <c r="AG10428">
        <v>-1.121804687779</v>
      </c>
      <c r="AH10428">
        <v>30.496689167958401</v>
      </c>
      <c r="AI10428">
        <v>92.105766298015695</v>
      </c>
      <c r="AJ10428">
        <v>88.344027282402294</v>
      </c>
      <c r="AK10428">
        <v>30.530048005914299</v>
      </c>
      <c r="AL10428">
        <v>90.985322258487798</v>
      </c>
      <c r="AM10428">
        <v>90.059276045410499</v>
      </c>
      <c r="AN10428">
        <v>1.00000000186322</v>
      </c>
    </row>
    <row r="10429" spans="1:40" x14ac:dyDescent="0.25">
      <c r="A10429" t="str">
        <f>"20190303154044030"</f>
        <v>20190303154044030</v>
      </c>
      <c r="B10429" t="str">
        <f>"1551598844018391"</f>
        <v>1551598844018391</v>
      </c>
      <c r="C10429" t="s">
        <v>40</v>
      </c>
      <c r="D10429">
        <v>4.5597960000000004</v>
      </c>
      <c r="E10429">
        <v>0.51034550000000001</v>
      </c>
      <c r="F10429" t="s">
        <v>42</v>
      </c>
      <c r="G10429">
        <v>-80.349429999999998</v>
      </c>
      <c r="H10429" s="1">
        <v>-4.53210699999999E-6</v>
      </c>
      <c r="I10429">
        <v>137.3065</v>
      </c>
      <c r="J10429">
        <v>-110.3545</v>
      </c>
      <c r="K10429">
        <v>1.121807</v>
      </c>
      <c r="L10429">
        <v>137.5016</v>
      </c>
      <c r="M10429">
        <v>0.9996659</v>
      </c>
      <c r="N10429">
        <v>-1.4421399999999999E-2</v>
      </c>
      <c r="O10429">
        <v>2.1455789999999999E-2</v>
      </c>
      <c r="P10429">
        <v>0.99923660000000003</v>
      </c>
      <c r="Q10429">
        <v>-3.2447520000000001E-2</v>
      </c>
      <c r="R10429">
        <v>2.1762409999999999E-2</v>
      </c>
      <c r="S10429">
        <v>2.9991300000000001</v>
      </c>
      <c r="T10429">
        <v>-0.1113813</v>
      </c>
      <c r="U10429">
        <v>-1.8905640000000001E-2</v>
      </c>
      <c r="V10429">
        <v>-3.0733509999999998E-4</v>
      </c>
      <c r="W10429">
        <v>-1.8030480000000002E-2</v>
      </c>
      <c r="X10429">
        <v>0.99983739999999999</v>
      </c>
      <c r="Y10429">
        <v>2.7727660000000001E-2</v>
      </c>
      <c r="Z10429">
        <v>-1.201859E-3</v>
      </c>
      <c r="AA10429">
        <v>0.99961480000000003</v>
      </c>
      <c r="AB10429">
        <v>21</v>
      </c>
      <c r="AC10429">
        <v>30.00507</v>
      </c>
      <c r="AD10429">
        <v>-1.1218115321069999</v>
      </c>
      <c r="AE10429">
        <v>-0.195099999999996</v>
      </c>
      <c r="AF10429">
        <v>0.83773348927781799</v>
      </c>
      <c r="AG10429">
        <v>-1.1218115321069999</v>
      </c>
      <c r="AH10429">
        <v>29.952109063392399</v>
      </c>
      <c r="AI10429">
        <v>92.144087641267703</v>
      </c>
      <c r="AJ10429">
        <v>88.397906367751204</v>
      </c>
      <c r="AK10429">
        <v>29.9848144209361</v>
      </c>
      <c r="AL10429">
        <v>91.033126379806404</v>
      </c>
      <c r="AM10429">
        <v>90.017611867261195</v>
      </c>
      <c r="AN10429">
        <v>1.00000000955132</v>
      </c>
    </row>
    <row r="10430" spans="1:40" x14ac:dyDescent="0.25">
      <c r="A10430" t="str">
        <f>"20190303154044052"</f>
        <v>20190303154044052</v>
      </c>
      <c r="B10430" t="str">
        <f>"1551598844048650"</f>
        <v>1551598844048650</v>
      </c>
      <c r="C10430" t="s">
        <v>40</v>
      </c>
      <c r="D10430">
        <v>4.5727140000000004</v>
      </c>
      <c r="E10430">
        <v>0.50992380000000004</v>
      </c>
      <c r="F10430" t="s">
        <v>42</v>
      </c>
      <c r="G10430">
        <v>-80.876329999999996</v>
      </c>
      <c r="H10430" s="1">
        <v>-4.3026220000000003E-6</v>
      </c>
      <c r="I10430">
        <v>137.32589999999999</v>
      </c>
      <c r="J10430">
        <v>-110.1435</v>
      </c>
      <c r="K10430">
        <v>1.1218030000000001</v>
      </c>
      <c r="L10430">
        <v>137.50659999999999</v>
      </c>
      <c r="M10430">
        <v>0.99965789999999999</v>
      </c>
      <c r="N10430">
        <v>-1.441604E-2</v>
      </c>
      <c r="O10430">
        <v>2.1824179999999999E-2</v>
      </c>
      <c r="P10430">
        <v>0.99923680000000004</v>
      </c>
      <c r="Q10430">
        <v>-3.2542050000000003E-2</v>
      </c>
      <c r="R10430">
        <v>2.1605059999999999E-2</v>
      </c>
      <c r="S10430">
        <v>2.9989620000000001</v>
      </c>
      <c r="T10430">
        <v>-0.1141273</v>
      </c>
      <c r="U10430">
        <v>-1.7868040000000002E-2</v>
      </c>
      <c r="V10430">
        <v>2.18316E-4</v>
      </c>
      <c r="W10430">
        <v>-1.8130159999999999E-2</v>
      </c>
      <c r="X10430">
        <v>0.99983560000000005</v>
      </c>
      <c r="Y10430">
        <v>2.774882E-2</v>
      </c>
      <c r="Z10430">
        <v>-1.243542E-3</v>
      </c>
      <c r="AA10430">
        <v>0.99961420000000001</v>
      </c>
      <c r="AB10430">
        <v>21</v>
      </c>
      <c r="AC10430">
        <v>29.26717</v>
      </c>
      <c r="AD10430">
        <v>-1.1218073026219999</v>
      </c>
      <c r="AE10430">
        <v>-0.180700000000001</v>
      </c>
      <c r="AF10430">
        <v>0.81825319410663599</v>
      </c>
      <c r="AG10430">
        <v>-1.1218073026219999</v>
      </c>
      <c r="AH10430">
        <v>29.2133357626495</v>
      </c>
      <c r="AI10430">
        <v>92.1982459667352</v>
      </c>
      <c r="AJ10430">
        <v>88.395588904570204</v>
      </c>
      <c r="AK10430">
        <v>29.246315602058001</v>
      </c>
      <c r="AL10430">
        <v>91.038838578450196</v>
      </c>
      <c r="AM10430">
        <v>89.987489358049004</v>
      </c>
      <c r="AN10430">
        <v>0.99999998869543005</v>
      </c>
    </row>
    <row r="10431" spans="1:40" x14ac:dyDescent="0.25">
      <c r="A10431" t="str">
        <f>"20190303154044076"</f>
        <v>20190303154044076</v>
      </c>
      <c r="B10431" t="str">
        <f>"1551598844068167"</f>
        <v>1551598844068167</v>
      </c>
      <c r="C10431" t="s">
        <v>40</v>
      </c>
      <c r="D10431">
        <v>4.527539</v>
      </c>
      <c r="E10431">
        <v>0.5097119</v>
      </c>
      <c r="F10431" t="s">
        <v>42</v>
      </c>
      <c r="G10431">
        <v>-80.226140000000001</v>
      </c>
      <c r="H10431" s="1">
        <v>-4.5758960000000004E-6</v>
      </c>
      <c r="I10431">
        <v>137.3578</v>
      </c>
      <c r="J10431">
        <v>-109.9271</v>
      </c>
      <c r="K10431">
        <v>1.121777</v>
      </c>
      <c r="L10431">
        <v>137.51169999999999</v>
      </c>
      <c r="M10431">
        <v>0.99964980000000003</v>
      </c>
      <c r="N10431">
        <v>-1.4410589999999999E-2</v>
      </c>
      <c r="O10431">
        <v>2.2201490000000001E-2</v>
      </c>
      <c r="P10431">
        <v>0.99924869999999999</v>
      </c>
      <c r="Q10431">
        <v>-3.232728E-2</v>
      </c>
      <c r="R10431">
        <v>2.138721E-2</v>
      </c>
      <c r="S10431">
        <v>2.9989620000000001</v>
      </c>
      <c r="T10431">
        <v>-0.11245140000000001</v>
      </c>
      <c r="U10431">
        <v>-1.490784E-2</v>
      </c>
      <c r="V10431">
        <v>8.1343599999999996E-4</v>
      </c>
      <c r="W10431">
        <v>-1.7920490000000001E-2</v>
      </c>
      <c r="X10431">
        <v>0.99983909999999998</v>
      </c>
      <c r="Y10431">
        <v>2.7140910000000001E-2</v>
      </c>
      <c r="Z10431">
        <v>-1.216581E-3</v>
      </c>
      <c r="AA10431">
        <v>0.99963089999999999</v>
      </c>
      <c r="AB10431">
        <v>21</v>
      </c>
      <c r="AC10431">
        <v>29.700959999999899</v>
      </c>
      <c r="AD10431">
        <v>-1.1217815758959999</v>
      </c>
      <c r="AE10431">
        <v>-0.15389999999999299</v>
      </c>
      <c r="AF10431">
        <v>0.812177455934183</v>
      </c>
      <c r="AG10431">
        <v>-1.1217815758959999</v>
      </c>
      <c r="AH10431">
        <v>29.647928512449798</v>
      </c>
      <c r="AI10431">
        <v>92.166041245180097</v>
      </c>
      <c r="AJ10431">
        <v>88.430827795436599</v>
      </c>
      <c r="AK10431">
        <v>29.680257600015601</v>
      </c>
      <c r="AL10431">
        <v>91.0268233923086</v>
      </c>
      <c r="AM10431">
        <v>89.9533860603959</v>
      </c>
      <c r="AN10431">
        <v>1.00000001576438</v>
      </c>
    </row>
    <row r="10432" spans="1:40" x14ac:dyDescent="0.25">
      <c r="A10432" t="str">
        <f>"20190303154044102"</f>
        <v>20190303154044102</v>
      </c>
      <c r="B10432" t="str">
        <f>"1551598844098423"</f>
        <v>1551598844098423</v>
      </c>
      <c r="C10432" t="s">
        <v>40</v>
      </c>
      <c r="D10432">
        <v>4.5206229999999996</v>
      </c>
      <c r="E10432">
        <v>0.50938660000000002</v>
      </c>
      <c r="F10432" t="s">
        <v>42</v>
      </c>
      <c r="G10432">
        <v>-79.49709</v>
      </c>
      <c r="H10432" s="1">
        <v>-7.5440619999999997E-7</v>
      </c>
      <c r="I10432">
        <v>137.37190000000001</v>
      </c>
      <c r="J10432">
        <v>-109.69119999999999</v>
      </c>
      <c r="K10432">
        <v>1.1217469999999901</v>
      </c>
      <c r="L10432">
        <v>137.51750000000001</v>
      </c>
      <c r="M10432">
        <v>0.99964059999999999</v>
      </c>
      <c r="N10432">
        <v>-1.440468E-2</v>
      </c>
      <c r="O10432">
        <v>2.2613020000000001E-2</v>
      </c>
      <c r="P10432">
        <v>0.99925520000000001</v>
      </c>
      <c r="Q10432">
        <v>-3.2377740000000002E-2</v>
      </c>
      <c r="R10432">
        <v>2.0996850000000001E-2</v>
      </c>
      <c r="S10432">
        <v>2.9989780000000001</v>
      </c>
      <c r="T10432">
        <v>-0.1105549</v>
      </c>
      <c r="U10432">
        <v>-1.377869E-2</v>
      </c>
      <c r="V10432">
        <v>1.6153929999999999E-3</v>
      </c>
      <c r="W10432">
        <v>-1.7976530000000001E-2</v>
      </c>
      <c r="X10432">
        <v>0.99983710000000003</v>
      </c>
      <c r="Y10432">
        <v>2.717698E-2</v>
      </c>
      <c r="Z10432">
        <v>-1.2041809999999999E-3</v>
      </c>
      <c r="AA10432">
        <v>0.99962989999999996</v>
      </c>
      <c r="AB10432">
        <v>21</v>
      </c>
      <c r="AC10432">
        <v>30.194109999999899</v>
      </c>
      <c r="AD10432">
        <v>-1.12174775440619</v>
      </c>
      <c r="AE10432">
        <v>-0.14560000000000101</v>
      </c>
      <c r="AF10432">
        <v>0.82727177907872895</v>
      </c>
      <c r="AG10432">
        <v>-1.12174775440619</v>
      </c>
      <c r="AH10432">
        <v>30.1414940564141</v>
      </c>
      <c r="AI10432">
        <v>92.130538159333398</v>
      </c>
      <c r="AJ10432">
        <v>88.4278388843301</v>
      </c>
      <c r="AK10432">
        <v>30.173703129941199</v>
      </c>
      <c r="AL10432">
        <v>91.030034785588697</v>
      </c>
      <c r="AM10432">
        <v>89.907429799692906</v>
      </c>
      <c r="AN10432">
        <v>0.99999999583089705</v>
      </c>
    </row>
    <row r="10433" spans="1:40" x14ac:dyDescent="0.25">
      <c r="A10433" t="str">
        <f>"20190303154044121"</f>
        <v>20190303154044121</v>
      </c>
      <c r="B10433" t="str">
        <f>"1551598844118919"</f>
        <v>1551598844118919</v>
      </c>
      <c r="C10433" t="s">
        <v>40</v>
      </c>
      <c r="D10433">
        <v>4.516521</v>
      </c>
      <c r="E10433">
        <v>0.50917849999999998</v>
      </c>
      <c r="F10433" t="s">
        <v>42</v>
      </c>
      <c r="G10433">
        <v>-78.841149999999999</v>
      </c>
      <c r="H10433" s="1">
        <v>-9.7273039999999997E-7</v>
      </c>
      <c r="I10433">
        <v>137.3903</v>
      </c>
      <c r="J10433">
        <v>-109.50449999999999</v>
      </c>
      <c r="K10433">
        <v>1.1217250000000001</v>
      </c>
      <c r="L10433">
        <v>137.52209999999999</v>
      </c>
      <c r="M10433">
        <v>0.99963329999999995</v>
      </c>
      <c r="N10433">
        <v>-1.440001E-2</v>
      </c>
      <c r="O10433">
        <v>2.2938699999999999E-2</v>
      </c>
      <c r="P10433">
        <v>0.99921269999999995</v>
      </c>
      <c r="Q10433">
        <v>-3.3464609999999999E-2</v>
      </c>
      <c r="R10433">
        <v>2.1310880000000001E-2</v>
      </c>
      <c r="S10433">
        <v>2.9989620000000001</v>
      </c>
      <c r="T10433">
        <v>-0.10904610000000001</v>
      </c>
      <c r="U10433">
        <v>-1.235962E-2</v>
      </c>
      <c r="V10433">
        <v>1.626441E-3</v>
      </c>
      <c r="W10433">
        <v>-1.9068479999999999E-2</v>
      </c>
      <c r="X10433">
        <v>0.99981679999999995</v>
      </c>
      <c r="Y10433">
        <v>2.703059E-2</v>
      </c>
      <c r="Z10433">
        <v>-1.1894609999999999E-3</v>
      </c>
      <c r="AA10433">
        <v>0.99963389999999996</v>
      </c>
      <c r="AB10433">
        <v>21</v>
      </c>
      <c r="AC10433">
        <v>30.663349999999902</v>
      </c>
      <c r="AD10433">
        <v>-1.1217259727303901</v>
      </c>
      <c r="AE10433">
        <v>-0.131799999999998</v>
      </c>
      <c r="AF10433">
        <v>0.83409933358156096</v>
      </c>
      <c r="AG10433">
        <v>-1.1217259727303901</v>
      </c>
      <c r="AH10433">
        <v>30.611291821142601</v>
      </c>
      <c r="AI10433">
        <v>92.097840449208405</v>
      </c>
      <c r="AJ10433">
        <v>88.439185461466096</v>
      </c>
      <c r="AK10433">
        <v>30.643191377781299</v>
      </c>
      <c r="AL10433">
        <v>91.092609708353194</v>
      </c>
      <c r="AM10433">
        <v>89.906794802081194</v>
      </c>
      <c r="AN10433">
        <v>0.999999942901036</v>
      </c>
    </row>
    <row r="10434" spans="1:40" x14ac:dyDescent="0.25">
      <c r="A10434" t="str">
        <f>"20190303154044145"</f>
        <v>20190303154044145</v>
      </c>
      <c r="B10434" t="str">
        <f>"1551598844138439"</f>
        <v>1551598844138439</v>
      </c>
      <c r="C10434" t="s">
        <v>40</v>
      </c>
      <c r="D10434">
        <v>4.4618859999999998</v>
      </c>
      <c r="E10434">
        <v>0.50894269999999997</v>
      </c>
      <c r="F10434" t="s">
        <v>42</v>
      </c>
      <c r="G10434">
        <v>-79.174350000000004</v>
      </c>
      <c r="H10434" s="1">
        <v>-8.5032099999999998E-7</v>
      </c>
      <c r="I10434">
        <v>137.42420000000001</v>
      </c>
      <c r="J10434">
        <v>-109.289</v>
      </c>
      <c r="K10434">
        <v>1.121702</v>
      </c>
      <c r="L10434">
        <v>137.5274</v>
      </c>
      <c r="M10434">
        <v>0.99962459999999997</v>
      </c>
      <c r="N10434">
        <v>-1.439461E-2</v>
      </c>
      <c r="O10434">
        <v>2.3314390000000001E-2</v>
      </c>
      <c r="P10434">
        <v>0.99915730000000003</v>
      </c>
      <c r="Q10434">
        <v>-3.478092E-2</v>
      </c>
      <c r="R10434">
        <v>2.1789329999999999E-2</v>
      </c>
      <c r="S10434">
        <v>2.998856</v>
      </c>
      <c r="T10434">
        <v>-0.1109092</v>
      </c>
      <c r="U10434">
        <v>-9.6740720000000006E-3</v>
      </c>
      <c r="V10434">
        <v>1.5230759999999999E-3</v>
      </c>
      <c r="W10434">
        <v>-2.0390749999999999E-2</v>
      </c>
      <c r="X10434">
        <v>0.99979090000000004</v>
      </c>
      <c r="Y10434">
        <v>2.6510590000000001E-2</v>
      </c>
      <c r="Z10434">
        <v>-1.2073100000000001E-3</v>
      </c>
      <c r="AA10434">
        <v>0.99964779999999998</v>
      </c>
      <c r="AB10434">
        <v>21</v>
      </c>
      <c r="AC10434">
        <v>30.114650000000001</v>
      </c>
      <c r="AD10434">
        <v>-1.121702850321</v>
      </c>
      <c r="AE10434">
        <v>-0.103199999999986</v>
      </c>
      <c r="AF10434">
        <v>0.80423357485634095</v>
      </c>
      <c r="AG10434">
        <v>-1.121702850321</v>
      </c>
      <c r="AH10434">
        <v>30.062348475299299</v>
      </c>
      <c r="AI10434">
        <v>92.136096748401499</v>
      </c>
      <c r="AJ10434">
        <v>88.467578083806799</v>
      </c>
      <c r="AK10434">
        <v>30.094016095856599</v>
      </c>
      <c r="AL10434">
        <v>91.168384922800001</v>
      </c>
      <c r="AM10434">
        <v>89.912715989742495</v>
      </c>
      <c r="AN10434">
        <v>0.999999973084436</v>
      </c>
    </row>
    <row r="10435" spans="1:40" x14ac:dyDescent="0.25">
      <c r="A10435" t="str">
        <f>"20190303154044167"</f>
        <v>20190303154044167</v>
      </c>
      <c r="B10435" t="str">
        <f>"1551598844158935"</f>
        <v>1551598844158935</v>
      </c>
      <c r="C10435" t="s">
        <v>40</v>
      </c>
      <c r="D10435">
        <v>4.4955369999999997</v>
      </c>
      <c r="E10435">
        <v>0.50873679999999999</v>
      </c>
      <c r="F10435" t="s">
        <v>42</v>
      </c>
      <c r="G10435">
        <v>-79.649240000000006</v>
      </c>
      <c r="H10435" s="1">
        <v>-6.7786679999999995E-7</v>
      </c>
      <c r="I10435">
        <v>137.465</v>
      </c>
      <c r="J10435">
        <v>-109.08710000000001</v>
      </c>
      <c r="K10435">
        <v>1.1216820000000001</v>
      </c>
      <c r="L10435">
        <v>137.5326</v>
      </c>
      <c r="M10435">
        <v>0.99961639999999996</v>
      </c>
      <c r="N10435">
        <v>-1.4389570000000001E-2</v>
      </c>
      <c r="O10435">
        <v>2.3665760000000001E-2</v>
      </c>
      <c r="P10435">
        <v>0.9991044</v>
      </c>
      <c r="Q10435">
        <v>-3.5977139999999998E-2</v>
      </c>
      <c r="R10435">
        <v>2.2269730000000001E-2</v>
      </c>
      <c r="S10435">
        <v>2.9987180000000002</v>
      </c>
      <c r="T10435">
        <v>-0.113485</v>
      </c>
      <c r="U10435">
        <v>-6.3171390000000003E-3</v>
      </c>
      <c r="V10435">
        <v>1.393451E-3</v>
      </c>
      <c r="W10435">
        <v>-2.1592549999999999E-2</v>
      </c>
      <c r="X10435">
        <v>0.99976589999999999</v>
      </c>
      <c r="Y10435">
        <v>2.5742230000000001E-2</v>
      </c>
      <c r="Z10435">
        <v>-1.226974E-3</v>
      </c>
      <c r="AA10435">
        <v>0.99966790000000005</v>
      </c>
      <c r="AB10435">
        <v>21</v>
      </c>
      <c r="AC10435">
        <v>29.437859999999901</v>
      </c>
      <c r="AD10435">
        <v>-1.1216826778667901</v>
      </c>
      <c r="AE10435">
        <v>-6.7599999999998703E-2</v>
      </c>
      <c r="AF10435">
        <v>0.763214422092242</v>
      </c>
      <c r="AG10435">
        <v>-1.1216826778667901</v>
      </c>
      <c r="AH10435">
        <v>29.385350096812001</v>
      </c>
      <c r="AI10435">
        <v>92.1852679023322</v>
      </c>
      <c r="AJ10435">
        <v>88.512213186678594</v>
      </c>
      <c r="AK10435">
        <v>29.416652912867701</v>
      </c>
      <c r="AL10435">
        <v>91.237258117981995</v>
      </c>
      <c r="AM10435">
        <v>89.920142495798601</v>
      </c>
      <c r="AN10435">
        <v>1.0000000173620001</v>
      </c>
    </row>
    <row r="10436" spans="1:40" x14ac:dyDescent="0.25">
      <c r="A10436" t="str">
        <f>"20190303154044189"</f>
        <v>20190303154044189</v>
      </c>
      <c r="B10436" t="str">
        <f>"1551598844178455"</f>
        <v>1551598844178455</v>
      </c>
      <c r="C10436" t="s">
        <v>40</v>
      </c>
      <c r="D10436">
        <v>4.4759349999999998</v>
      </c>
      <c r="E10436">
        <v>0.50854739999999998</v>
      </c>
      <c r="F10436" t="s">
        <v>42</v>
      </c>
      <c r="G10436">
        <v>-80.022359999999907</v>
      </c>
      <c r="H10436" s="1">
        <v>-4.6377760000000001E-6</v>
      </c>
      <c r="I10436">
        <v>137.5018</v>
      </c>
      <c r="J10436">
        <v>-108.8827</v>
      </c>
      <c r="K10436">
        <v>1.121667</v>
      </c>
      <c r="L10436">
        <v>137.5378</v>
      </c>
      <c r="M10436">
        <v>0.9996081</v>
      </c>
      <c r="N10436">
        <v>-1.438446E-2</v>
      </c>
      <c r="O10436">
        <v>2.4021359999999999E-2</v>
      </c>
      <c r="P10436">
        <v>0.99902990000000003</v>
      </c>
      <c r="Q10436">
        <v>-3.7516529999999999E-2</v>
      </c>
      <c r="R10436">
        <v>2.3064959999999999E-2</v>
      </c>
      <c r="S10436">
        <v>2.998596</v>
      </c>
      <c r="T10436">
        <v>-0.1157238</v>
      </c>
      <c r="U10436">
        <v>-3.1738280000000001E-3</v>
      </c>
      <c r="V10436">
        <v>9.5268879999999998E-4</v>
      </c>
      <c r="W10436">
        <v>-2.3137899999999999E-2</v>
      </c>
      <c r="X10436">
        <v>0.99973179999999995</v>
      </c>
      <c r="Y10436">
        <v>2.5049330000000002E-2</v>
      </c>
      <c r="Z10436">
        <v>-1.244586E-3</v>
      </c>
      <c r="AA10436">
        <v>0.9996855</v>
      </c>
      <c r="AB10436">
        <v>21</v>
      </c>
      <c r="AC10436">
        <v>28.860340000000001</v>
      </c>
      <c r="AD10436">
        <v>-1.1216716377760001</v>
      </c>
      <c r="AE10436">
        <v>-3.6000000000001302E-2</v>
      </c>
      <c r="AF10436">
        <v>0.72822585590168898</v>
      </c>
      <c r="AG10436">
        <v>-1.1216716377760001</v>
      </c>
      <c r="AH10436">
        <v>28.807630992844899</v>
      </c>
      <c r="AI10436">
        <v>92.229065958502105</v>
      </c>
      <c r="AJ10436">
        <v>88.551932857982493</v>
      </c>
      <c r="AK10436">
        <v>28.838655717285299</v>
      </c>
      <c r="AL10436">
        <v>91.325822372466206</v>
      </c>
      <c r="AM10436">
        <v>89.945400325460795</v>
      </c>
      <c r="AN10436">
        <v>0.99999997098179905</v>
      </c>
    </row>
    <row r="10437" spans="1:40" x14ac:dyDescent="0.25">
      <c r="A10437" t="str">
        <f>"20190303154044209"</f>
        <v>20190303154044209</v>
      </c>
      <c r="B10437" t="str">
        <f>"1551598844197975"</f>
        <v>1551598844197975</v>
      </c>
      <c r="C10437" t="s">
        <v>40</v>
      </c>
      <c r="D10437">
        <v>4.4660380000000002</v>
      </c>
      <c r="E10437">
        <v>0.50838689999999997</v>
      </c>
      <c r="F10437" t="s">
        <v>42</v>
      </c>
      <c r="G10437">
        <v>-80.602419999999995</v>
      </c>
      <c r="H10437" s="1">
        <v>-4.3811119999999998E-6</v>
      </c>
      <c r="I10437">
        <v>137.54589999999999</v>
      </c>
      <c r="J10437">
        <v>-108.6966</v>
      </c>
      <c r="K10437">
        <v>1.121669</v>
      </c>
      <c r="L10437">
        <v>137.5427</v>
      </c>
      <c r="M10437">
        <v>0.99960020000000005</v>
      </c>
      <c r="N10437">
        <v>-1.437984E-2</v>
      </c>
      <c r="O10437">
        <v>2.434507E-2</v>
      </c>
      <c r="P10437">
        <v>0.9989365</v>
      </c>
      <c r="Q10437">
        <v>-3.9284079999999999E-2</v>
      </c>
      <c r="R10437">
        <v>2.4141820000000001E-2</v>
      </c>
      <c r="S10437">
        <v>2.9984280000000001</v>
      </c>
      <c r="T10437">
        <v>-0.1189253</v>
      </c>
      <c r="U10437">
        <v>8.5449219999999995E-4</v>
      </c>
      <c r="V10437">
        <v>1.9818860000000001E-4</v>
      </c>
      <c r="W10437">
        <v>-2.491119E-2</v>
      </c>
      <c r="X10437">
        <v>0.99968959999999996</v>
      </c>
      <c r="Y10437">
        <v>2.4029169999999999E-2</v>
      </c>
      <c r="Z10437">
        <v>-1.2643120000000001E-3</v>
      </c>
      <c r="AA10437">
        <v>0.9997104</v>
      </c>
      <c r="AB10437">
        <v>21</v>
      </c>
      <c r="AC10437">
        <v>28.094180000000001</v>
      </c>
      <c r="AD10437">
        <v>-1.1216733811120001</v>
      </c>
      <c r="AE10437">
        <v>3.19999999999254E-3</v>
      </c>
      <c r="AF10437">
        <v>0.67974290516618197</v>
      </c>
      <c r="AG10437">
        <v>-1.1216733811120001</v>
      </c>
      <c r="AH10437">
        <v>28.041230558364401</v>
      </c>
      <c r="AI10437">
        <v>92.289987322875703</v>
      </c>
      <c r="AJ10437">
        <v>88.611374287237197</v>
      </c>
      <c r="AK10437">
        <v>28.071886520473999</v>
      </c>
      <c r="AL10437">
        <v>91.427453783388401</v>
      </c>
      <c r="AM10437">
        <v>89.988641104019806</v>
      </c>
      <c r="AN10437">
        <v>0.99999995150704701</v>
      </c>
    </row>
    <row r="10438" spans="1:40" x14ac:dyDescent="0.25">
      <c r="A10438" t="str">
        <f>"20190303154044232"</f>
        <v>20190303154044232</v>
      </c>
      <c r="B10438" t="str">
        <f>"1551598844218471"</f>
        <v>1551598844218471</v>
      </c>
      <c r="C10438" t="s">
        <v>40</v>
      </c>
      <c r="D10438">
        <v>4.4851539999999996</v>
      </c>
      <c r="E10438">
        <v>0.50822909999999999</v>
      </c>
      <c r="F10438" t="s">
        <v>42</v>
      </c>
      <c r="G10438">
        <v>-81.559139999999999</v>
      </c>
      <c r="H10438" s="1">
        <v>-3.9627540000000004E-6</v>
      </c>
      <c r="I10438">
        <v>137.59059999999999</v>
      </c>
      <c r="J10438">
        <v>-108.4967</v>
      </c>
      <c r="K10438">
        <v>1.1216729999999999</v>
      </c>
      <c r="L10438">
        <v>137.548</v>
      </c>
      <c r="M10438">
        <v>0.99959180000000003</v>
      </c>
      <c r="N10438">
        <v>-1.4374970000000001E-2</v>
      </c>
      <c r="O10438">
        <v>2.4692749999999999E-2</v>
      </c>
      <c r="P10438">
        <v>0.99885230000000003</v>
      </c>
      <c r="Q10438">
        <v>-4.0895569999999999E-2</v>
      </c>
      <c r="R10438">
        <v>2.4942120000000002E-2</v>
      </c>
      <c r="S10438">
        <v>2.9981990000000001</v>
      </c>
      <c r="T10438">
        <v>-0.1239243</v>
      </c>
      <c r="U10438">
        <v>5.2947999999999997E-3</v>
      </c>
      <c r="V10438">
        <v>-2.562733E-4</v>
      </c>
      <c r="W10438">
        <v>-2.6528510000000002E-2</v>
      </c>
      <c r="X10438">
        <v>0.99964799999999998</v>
      </c>
      <c r="Y10438">
        <v>2.2894500000000002E-2</v>
      </c>
      <c r="Z10438">
        <v>-1.30279999999999E-3</v>
      </c>
      <c r="AA10438">
        <v>0.99973699999999999</v>
      </c>
      <c r="AB10438">
        <v>21</v>
      </c>
      <c r="AC10438">
        <v>26.937560000000001</v>
      </c>
      <c r="AD10438">
        <v>-1.121676962754</v>
      </c>
      <c r="AE10438">
        <v>4.2599999999992998E-2</v>
      </c>
      <c r="AF10438">
        <v>0.62156639680947801</v>
      </c>
      <c r="AG10438">
        <v>-1.121676962754</v>
      </c>
      <c r="AH10438">
        <v>26.8837835820983</v>
      </c>
      <c r="AI10438">
        <v>92.388538851226201</v>
      </c>
      <c r="AJ10438">
        <v>88.675529156939504</v>
      </c>
      <c r="AK10438">
        <v>26.914351630375801</v>
      </c>
      <c r="AL10438">
        <v>91.520150036195503</v>
      </c>
      <c r="AM10438">
        <v>90.014688548539297</v>
      </c>
      <c r="AN10438">
        <v>0.99999997571141097</v>
      </c>
    </row>
    <row r="10439" spans="1:40" x14ac:dyDescent="0.25">
      <c r="A10439" t="str">
        <f>"20190303154044254"</f>
        <v>20190303154044254</v>
      </c>
      <c r="B10439" t="str">
        <f>"1551598844248727"</f>
        <v>1551598844248727</v>
      </c>
      <c r="C10439" t="s">
        <v>40</v>
      </c>
      <c r="D10439">
        <v>4.508</v>
      </c>
      <c r="E10439">
        <v>0.50798710000000002</v>
      </c>
      <c r="F10439" t="s">
        <v>42</v>
      </c>
      <c r="G10439">
        <v>-82.252069999999904</v>
      </c>
      <c r="H10439" s="1">
        <v>-3.6590769999999998E-6</v>
      </c>
      <c r="I10439">
        <v>137.6267</v>
      </c>
      <c r="J10439">
        <v>-108.2895</v>
      </c>
      <c r="K10439">
        <v>1.121672</v>
      </c>
      <c r="L10439">
        <v>137.55350000000001</v>
      </c>
      <c r="M10439">
        <v>0.99958290000000005</v>
      </c>
      <c r="N10439">
        <v>-1.436991E-2</v>
      </c>
      <c r="O10439">
        <v>2.5053180000000001E-2</v>
      </c>
      <c r="P10439">
        <v>0.99886629999999998</v>
      </c>
      <c r="Q10439">
        <v>-4.0387689999999997E-2</v>
      </c>
      <c r="R10439">
        <v>2.5205459999999999E-2</v>
      </c>
      <c r="S10439">
        <v>2.9979710000000002</v>
      </c>
      <c r="T10439">
        <v>-0.12813079999999999</v>
      </c>
      <c r="U10439">
        <v>9.0026859999999993E-3</v>
      </c>
      <c r="V10439">
        <v>-1.585581E-4</v>
      </c>
      <c r="W10439">
        <v>-2.6025409999999999E-2</v>
      </c>
      <c r="X10439">
        <v>0.99966129999999997</v>
      </c>
      <c r="Y10439">
        <v>2.2016750000000002E-2</v>
      </c>
      <c r="Z10439">
        <v>-1.3387819999999999E-3</v>
      </c>
      <c r="AA10439">
        <v>0.99975670000000005</v>
      </c>
      <c r="AB10439">
        <v>20</v>
      </c>
      <c r="AC10439">
        <v>26.037430000000001</v>
      </c>
      <c r="AD10439">
        <v>-1.1216756590770001</v>
      </c>
      <c r="AE10439">
        <v>7.3199999999985693E-2</v>
      </c>
      <c r="AF10439">
        <v>0.57813780209333598</v>
      </c>
      <c r="AG10439">
        <v>-1.1216756590770001</v>
      </c>
      <c r="AH10439">
        <v>25.982870333851601</v>
      </c>
      <c r="AI10439">
        <v>92.471302352109902</v>
      </c>
      <c r="AJ10439">
        <v>88.725337478683599</v>
      </c>
      <c r="AK10439">
        <v>26.013495543431301</v>
      </c>
      <c r="AL10439">
        <v>91.491314489321994</v>
      </c>
      <c r="AM10439">
        <v>90.009087787895098</v>
      </c>
      <c r="AN10439">
        <v>1.0000000309120101</v>
      </c>
    </row>
    <row r="10440" spans="1:40" x14ac:dyDescent="0.25">
      <c r="A10440" t="str">
        <f>"20190303154044277"</f>
        <v>20190303154044277</v>
      </c>
      <c r="B10440" t="str">
        <f>"1551598844268247"</f>
        <v>1551598844268247</v>
      </c>
      <c r="C10440" t="s">
        <v>40</v>
      </c>
      <c r="D10440">
        <v>4.4643540000000002</v>
      </c>
      <c r="E10440">
        <v>0.50789790000000001</v>
      </c>
      <c r="F10440" t="s">
        <v>42</v>
      </c>
      <c r="G10440">
        <v>-81.263649999999998</v>
      </c>
      <c r="H10440" s="1">
        <v>-4.0772669999999996E-6</v>
      </c>
      <c r="I10440">
        <v>137.65960000000001</v>
      </c>
      <c r="J10440">
        <v>-108.08540000000001</v>
      </c>
      <c r="K10440">
        <v>1.1216889999999999</v>
      </c>
      <c r="L10440">
        <v>137.559</v>
      </c>
      <c r="M10440">
        <v>0.99957399999999996</v>
      </c>
      <c r="N10440">
        <v>-1.43649E-2</v>
      </c>
      <c r="O10440">
        <v>2.5408010000000002E-2</v>
      </c>
      <c r="P10440">
        <v>0.99888239999999995</v>
      </c>
      <c r="Q10440">
        <v>-4.0228350000000003E-2</v>
      </c>
      <c r="R10440">
        <v>2.4814309999999999E-2</v>
      </c>
      <c r="S10440">
        <v>2.9980929999999999</v>
      </c>
      <c r="T10440">
        <v>-0.12443220000000001</v>
      </c>
      <c r="U10440">
        <v>1.177979E-2</v>
      </c>
      <c r="V10440">
        <v>5.8741519999999897E-4</v>
      </c>
      <c r="W10440">
        <v>-2.5870669999999998E-2</v>
      </c>
      <c r="X10440">
        <v>0.99966509999999997</v>
      </c>
      <c r="Y10440">
        <v>2.1448439999999999E-2</v>
      </c>
      <c r="Z10440">
        <v>-1.2880929999999999E-3</v>
      </c>
      <c r="AA10440">
        <v>0.99976920000000002</v>
      </c>
      <c r="AB10440">
        <v>20</v>
      </c>
      <c r="AC10440">
        <v>26.821750000000002</v>
      </c>
      <c r="AD10440">
        <v>-1.121693077267</v>
      </c>
      <c r="AE10440">
        <v>0.100600000000014</v>
      </c>
      <c r="AF10440">
        <v>0.57997573991412699</v>
      </c>
      <c r="AG10440">
        <v>-1.121693077267</v>
      </c>
      <c r="AH10440">
        <v>26.768829203011698</v>
      </c>
      <c r="AI10440">
        <v>92.398896506022098</v>
      </c>
      <c r="AJ10440">
        <v>88.758818934400495</v>
      </c>
      <c r="AK10440">
        <v>26.798596681887901</v>
      </c>
      <c r="AL10440">
        <v>91.482445638241202</v>
      </c>
      <c r="AM10440">
        <v>89.966332316784701</v>
      </c>
      <c r="AN10440">
        <v>0.99999997439043697</v>
      </c>
    </row>
    <row r="10441" spans="1:40" x14ac:dyDescent="0.25">
      <c r="A10441" t="str">
        <f>"20190303154044307"</f>
        <v>20190303154044307</v>
      </c>
      <c r="B10441" t="str">
        <f>"1551598844298503"</f>
        <v>1551598844298503</v>
      </c>
      <c r="C10441" t="s">
        <v>40</v>
      </c>
      <c r="D10441">
        <v>4.5521349999999998</v>
      </c>
      <c r="E10441">
        <v>0.50772269999999997</v>
      </c>
      <c r="F10441" t="s">
        <v>42</v>
      </c>
      <c r="G10441">
        <v>-80.487979999999993</v>
      </c>
      <c r="H10441" s="1">
        <v>-4.4092460000000001E-6</v>
      </c>
      <c r="I10441">
        <v>137.66399999999999</v>
      </c>
      <c r="J10441">
        <v>-107.8156</v>
      </c>
      <c r="K10441">
        <v>1.1216919999999999</v>
      </c>
      <c r="L10441">
        <v>137.56649999999999</v>
      </c>
      <c r="M10441">
        <v>0.99956210000000001</v>
      </c>
      <c r="N10441">
        <v>-1.4358299999999999E-2</v>
      </c>
      <c r="O10441">
        <v>2.587764E-2</v>
      </c>
      <c r="P10441">
        <v>0.99888509999999997</v>
      </c>
      <c r="Q10441">
        <v>-4.045348E-2</v>
      </c>
      <c r="R10441">
        <v>2.4340250000000001E-2</v>
      </c>
      <c r="S10441">
        <v>2.9981689999999999</v>
      </c>
      <c r="T10441">
        <v>-0.1218598</v>
      </c>
      <c r="U10441">
        <v>1.141357E-2</v>
      </c>
      <c r="V10441">
        <v>1.530659E-3</v>
      </c>
      <c r="W10441">
        <v>-2.6102110000000001E-2</v>
      </c>
      <c r="X10441">
        <v>0.99965809999999999</v>
      </c>
      <c r="Y10441">
        <v>2.204101E-2</v>
      </c>
      <c r="Z10441">
        <v>-1.2858100000000001E-3</v>
      </c>
      <c r="AA10441">
        <v>0.99975619999999998</v>
      </c>
      <c r="AB10441">
        <v>20</v>
      </c>
      <c r="AC10441">
        <v>27.32762</v>
      </c>
      <c r="AD10441">
        <v>-1.121696409246</v>
      </c>
      <c r="AE10441">
        <v>9.7499999999996603E-2</v>
      </c>
      <c r="AF10441">
        <v>0.60875419190009195</v>
      </c>
      <c r="AG10441">
        <v>-1.121696409246</v>
      </c>
      <c r="AH10441">
        <v>27.275037651376401</v>
      </c>
      <c r="AI10441">
        <v>92.354398219410996</v>
      </c>
      <c r="AJ10441">
        <v>88.721422255776403</v>
      </c>
      <c r="AK10441">
        <v>27.304879845636901</v>
      </c>
      <c r="AL10441">
        <v>91.495710630138007</v>
      </c>
      <c r="AM10441">
        <v>89.912269772999906</v>
      </c>
      <c r="AN10441">
        <v>0.999999989979518</v>
      </c>
    </row>
    <row r="10442" spans="1:40" x14ac:dyDescent="0.25">
      <c r="A10442" t="str">
        <f>"20190303154044326"</f>
        <v>20190303154044326</v>
      </c>
      <c r="B10442" t="str">
        <f>"1551598844318023"</f>
        <v>1551598844318023</v>
      </c>
      <c r="C10442" t="s">
        <v>40</v>
      </c>
      <c r="D10442">
        <v>4.5535500000000004</v>
      </c>
      <c r="E10442">
        <v>0.50759290000000001</v>
      </c>
      <c r="F10442" t="s">
        <v>42</v>
      </c>
      <c r="G10442">
        <v>-79.814459999999997</v>
      </c>
      <c r="H10442" s="1">
        <v>-5.662409E-7</v>
      </c>
      <c r="I10442">
        <v>137.67320000000001</v>
      </c>
      <c r="J10442">
        <v>-107.62949999999999</v>
      </c>
      <c r="K10442">
        <v>1.121694</v>
      </c>
      <c r="L10442">
        <v>137.57169999999999</v>
      </c>
      <c r="M10442">
        <v>0.99955369999999999</v>
      </c>
      <c r="N10442">
        <v>-1.435379E-2</v>
      </c>
      <c r="O10442">
        <v>2.620105E-2</v>
      </c>
      <c r="P10442">
        <v>0.99885950000000001</v>
      </c>
      <c r="Q10442">
        <v>-4.1372720000000002E-2</v>
      </c>
      <c r="R10442">
        <v>2.3832760000000001E-2</v>
      </c>
      <c r="S10442">
        <v>2.9982150000000001</v>
      </c>
      <c r="T10442">
        <v>-0.120105</v>
      </c>
      <c r="U10442">
        <v>1.1428829999999999E-2</v>
      </c>
      <c r="V10442">
        <v>2.3611040000000002E-3</v>
      </c>
      <c r="W10442">
        <v>-2.7025980000000002E-2</v>
      </c>
      <c r="X10442">
        <v>0.99963190000000002</v>
      </c>
      <c r="Y10442">
        <v>2.2360000000000001E-2</v>
      </c>
      <c r="Z10442">
        <v>-1.281262E-3</v>
      </c>
      <c r="AA10442">
        <v>0.9997492</v>
      </c>
      <c r="AB10442">
        <v>20</v>
      </c>
      <c r="AC10442">
        <v>27.81504</v>
      </c>
      <c r="AD10442">
        <v>-1.1216945662408999</v>
      </c>
      <c r="AE10442">
        <v>0.10150000000001499</v>
      </c>
      <c r="AF10442">
        <v>0.626374514550602</v>
      </c>
      <c r="AG10442">
        <v>-1.1216945662408999</v>
      </c>
      <c r="AH10442">
        <v>27.7629993899689</v>
      </c>
      <c r="AI10442">
        <v>92.313046369086294</v>
      </c>
      <c r="AJ10442">
        <v>88.7075413544258</v>
      </c>
      <c r="AK10442">
        <v>27.7927090953694</v>
      </c>
      <c r="AL10442">
        <v>91.548663221772898</v>
      </c>
      <c r="AM10442">
        <v>89.864669142093305</v>
      </c>
      <c r="AN10442">
        <v>0.99999995695233301</v>
      </c>
    </row>
    <row r="10443" spans="1:40" x14ac:dyDescent="0.25">
      <c r="A10443" t="str">
        <f>"20190303154044343"</f>
        <v>20190303154044343</v>
      </c>
      <c r="B10443" t="str">
        <f>"1551598844338519"</f>
        <v>1551598844338519</v>
      </c>
      <c r="C10443" t="s">
        <v>40</v>
      </c>
      <c r="D10443">
        <v>4.5761719999999997</v>
      </c>
      <c r="E10443">
        <v>0.50748649999999995</v>
      </c>
      <c r="F10443" t="s">
        <v>42</v>
      </c>
      <c r="G10443">
        <v>-79.918759999999907</v>
      </c>
      <c r="H10443" s="1">
        <v>-5.3090320000000004E-7</v>
      </c>
      <c r="I10443">
        <v>137.67259999999999</v>
      </c>
      <c r="J10443">
        <v>-107.4776</v>
      </c>
      <c r="K10443">
        <v>1.121704</v>
      </c>
      <c r="L10443">
        <v>137.57589999999999</v>
      </c>
      <c r="M10443">
        <v>0.99954670000000001</v>
      </c>
      <c r="N10443">
        <v>-1.4350140000000001E-2</v>
      </c>
      <c r="O10443">
        <v>2.6464069999999999E-2</v>
      </c>
      <c r="P10443">
        <v>0.99886359999999996</v>
      </c>
      <c r="Q10443">
        <v>-4.1702540000000003E-2</v>
      </c>
      <c r="R10443">
        <v>2.3070420000000001E-2</v>
      </c>
      <c r="S10443">
        <v>2.998138</v>
      </c>
      <c r="T10443">
        <v>-0.12136039999999999</v>
      </c>
      <c r="U10443">
        <v>1.0925290000000001E-2</v>
      </c>
      <c r="V10443">
        <v>3.3861590000000001E-3</v>
      </c>
      <c r="W10443">
        <v>-2.735922E-2</v>
      </c>
      <c r="X10443">
        <v>0.99961999999999995</v>
      </c>
      <c r="Y10443">
        <v>2.2789589999999998E-2</v>
      </c>
      <c r="Z10443">
        <v>-1.315632E-3</v>
      </c>
      <c r="AA10443">
        <v>0.99973939999999994</v>
      </c>
      <c r="AB10443">
        <v>20</v>
      </c>
      <c r="AC10443">
        <v>27.55884</v>
      </c>
      <c r="AD10443">
        <v>-1.1217045309031899</v>
      </c>
      <c r="AE10443">
        <v>9.6699999999998398E-2</v>
      </c>
      <c r="AF10443">
        <v>0.63168162149839602</v>
      </c>
      <c r="AG10443">
        <v>-1.1217045309031899</v>
      </c>
      <c r="AH10443">
        <v>27.506177283515299</v>
      </c>
      <c r="AI10443">
        <v>92.334618541434097</v>
      </c>
      <c r="AJ10443">
        <v>88.684428958166905</v>
      </c>
      <c r="AK10443">
        <v>27.536285724072499</v>
      </c>
      <c r="AL10443">
        <v>91.567763356066195</v>
      </c>
      <c r="AM10443">
        <v>89.805914370080103</v>
      </c>
      <c r="AN10443">
        <v>1.0000000686958801</v>
      </c>
    </row>
    <row r="10444" spans="1:40" x14ac:dyDescent="0.25">
      <c r="A10444" t="str">
        <f>"20190303154044365"</f>
        <v>20190303154044365</v>
      </c>
      <c r="B10444" t="str">
        <f>"1551598844359015"</f>
        <v>1551598844359015</v>
      </c>
      <c r="C10444" t="s">
        <v>40</v>
      </c>
      <c r="D10444">
        <v>4.5334770000000004</v>
      </c>
      <c r="E10444">
        <v>0.50735799999999998</v>
      </c>
      <c r="F10444" t="s">
        <v>42</v>
      </c>
      <c r="G10444">
        <v>-79.599950000000007</v>
      </c>
      <c r="H10444" s="1">
        <v>-6.414509E-7</v>
      </c>
      <c r="I10444">
        <v>137.66489999999999</v>
      </c>
      <c r="J10444">
        <v>-107.27889999999999</v>
      </c>
      <c r="K10444">
        <v>1.1217060000000001</v>
      </c>
      <c r="L10444">
        <v>137.58160000000001</v>
      </c>
      <c r="M10444">
        <v>0.99953780000000003</v>
      </c>
      <c r="N10444">
        <v>-1.434539E-2</v>
      </c>
      <c r="O10444">
        <v>2.6804140000000001E-2</v>
      </c>
      <c r="P10444">
        <v>0.998888</v>
      </c>
      <c r="Q10444">
        <v>-4.120244E-2</v>
      </c>
      <c r="R10444">
        <v>2.2910650000000001E-2</v>
      </c>
      <c r="S10444">
        <v>2.998138</v>
      </c>
      <c r="T10444">
        <v>-0.1206353</v>
      </c>
      <c r="U10444">
        <v>9.5672610000000005E-3</v>
      </c>
      <c r="V10444">
        <v>3.8860919999999998E-3</v>
      </c>
      <c r="W10444">
        <v>-2.686347E-2</v>
      </c>
      <c r="X10444">
        <v>0.99963159999999895</v>
      </c>
      <c r="Y10444">
        <v>2.3581999999999999E-2</v>
      </c>
      <c r="Z10444">
        <v>-1.336977E-3</v>
      </c>
      <c r="AA10444">
        <v>0.99972099999999997</v>
      </c>
      <c r="AB10444">
        <v>20</v>
      </c>
      <c r="AC10444">
        <v>27.678949999999901</v>
      </c>
      <c r="AD10444">
        <v>-1.1217066414508901</v>
      </c>
      <c r="AE10444">
        <v>8.3299999999979904E-2</v>
      </c>
      <c r="AF10444">
        <v>0.65763666866766002</v>
      </c>
      <c r="AG10444">
        <v>-1.1217066414508901</v>
      </c>
      <c r="AH10444">
        <v>27.625865779613701</v>
      </c>
      <c r="AI10444">
        <v>92.324473755337905</v>
      </c>
      <c r="AJ10444">
        <v>88.636325435571607</v>
      </c>
      <c r="AK10444">
        <v>27.656449010143699</v>
      </c>
      <c r="AL10444">
        <v>91.539348571837493</v>
      </c>
      <c r="AM10444">
        <v>89.777262394714995</v>
      </c>
      <c r="AN10444">
        <v>1.0000000417250099</v>
      </c>
    </row>
    <row r="10445" spans="1:40" x14ac:dyDescent="0.25">
      <c r="A10445" t="str">
        <f>"20190303154044388"</f>
        <v>20190303154044388</v>
      </c>
      <c r="B10445" t="str">
        <f>"1551598844378535"</f>
        <v>1551598844378535</v>
      </c>
      <c r="C10445" t="s">
        <v>40</v>
      </c>
      <c r="D10445">
        <v>4.6068680000000004</v>
      </c>
      <c r="E10445">
        <v>0.4828131</v>
      </c>
      <c r="F10445" t="s">
        <v>42</v>
      </c>
      <c r="G10445">
        <v>-78.697890000000001</v>
      </c>
      <c r="H10445" s="1">
        <v>-9.4447300000000002E-7</v>
      </c>
      <c r="I10445">
        <v>137.6797</v>
      </c>
      <c r="J10445">
        <v>-107.0767</v>
      </c>
      <c r="K10445">
        <v>1.12169599999999</v>
      </c>
      <c r="L10445">
        <v>137.5874</v>
      </c>
      <c r="M10445">
        <v>0.9995288</v>
      </c>
      <c r="N10445">
        <v>-1.4340520000000001E-2</v>
      </c>
      <c r="O10445">
        <v>2.714316E-2</v>
      </c>
      <c r="P10445">
        <v>0.99894119999999997</v>
      </c>
      <c r="Q10445">
        <v>-4.0193149999999997E-2</v>
      </c>
      <c r="R10445">
        <v>2.2386079999999999E-2</v>
      </c>
      <c r="S10445">
        <v>2.9982449999999998</v>
      </c>
      <c r="T10445">
        <v>-0.11767080000000001</v>
      </c>
      <c r="U10445">
        <v>1.029968E-2</v>
      </c>
      <c r="V10445">
        <v>4.7501490000000004E-3</v>
      </c>
      <c r="W10445">
        <v>-2.5858300000000001E-2</v>
      </c>
      <c r="X10445">
        <v>0.99965440000000005</v>
      </c>
      <c r="Y10445">
        <v>2.3678540000000001E-2</v>
      </c>
      <c r="Z10445">
        <v>-1.3098910000000001E-3</v>
      </c>
      <c r="AA10445">
        <v>0.99971880000000002</v>
      </c>
      <c r="AB10445">
        <v>20</v>
      </c>
      <c r="AC10445">
        <v>28.378809999999898</v>
      </c>
      <c r="AD10445">
        <v>-1.1216969444729901</v>
      </c>
      <c r="AE10445">
        <v>9.2299999999994498E-2</v>
      </c>
      <c r="AF10445">
        <v>0.67704599255187503</v>
      </c>
      <c r="AG10445">
        <v>-1.1216969444729901</v>
      </c>
      <c r="AH10445">
        <v>28.326603426649001</v>
      </c>
      <c r="AI10445">
        <v>92.267007384194301</v>
      </c>
      <c r="AJ10445">
        <v>88.6308103065914</v>
      </c>
      <c r="AK10445">
        <v>28.356887293952301</v>
      </c>
      <c r="AL10445">
        <v>91.481736514225403</v>
      </c>
      <c r="AM10445">
        <v>89.727744467142102</v>
      </c>
      <c r="AN10445">
        <v>1.0000000675168801</v>
      </c>
    </row>
    <row r="10446" spans="1:40" x14ac:dyDescent="0.25">
      <c r="A10446" t="str">
        <f>"20190303154044410"</f>
        <v>20190303154044410</v>
      </c>
      <c r="B10446" t="str">
        <f>"1551598844398055"</f>
        <v>1551598844398055</v>
      </c>
      <c r="C10446" t="s">
        <v>40</v>
      </c>
      <c r="D10446">
        <v>4.577731</v>
      </c>
      <c r="E10446">
        <v>0.48182989999999998</v>
      </c>
      <c r="F10446" t="s">
        <v>42</v>
      </c>
      <c r="G10446">
        <v>-82.132739999999998</v>
      </c>
      <c r="H10446" s="1">
        <v>-3.4158789999999998E-6</v>
      </c>
      <c r="I10446">
        <v>139.28639999999999</v>
      </c>
      <c r="J10446">
        <v>-106.8755</v>
      </c>
      <c r="K10446">
        <v>1.1216900000000001</v>
      </c>
      <c r="L10446">
        <v>137.5933</v>
      </c>
      <c r="M10446">
        <v>0.99951990000000002</v>
      </c>
      <c r="N10446">
        <v>-1.433564E-2</v>
      </c>
      <c r="O10446">
        <v>2.7468900000000001E-2</v>
      </c>
      <c r="P10446">
        <v>0.99898140000000002</v>
      </c>
      <c r="Q10446">
        <v>-3.9706140000000001E-2</v>
      </c>
      <c r="R10446">
        <v>2.1441040000000001E-2</v>
      </c>
      <c r="S10446">
        <v>2.9931950000000001</v>
      </c>
      <c r="T10446">
        <v>-0.1346002</v>
      </c>
      <c r="U10446">
        <v>0.20387269999999999</v>
      </c>
      <c r="V10446">
        <v>6.02076E-3</v>
      </c>
      <c r="W10446">
        <v>-2.5375640000000001E-2</v>
      </c>
      <c r="X10446">
        <v>0.99965979999999999</v>
      </c>
      <c r="Y10446">
        <v>-4.0479809999999998E-2</v>
      </c>
      <c r="Z10446">
        <v>3.599036E-4</v>
      </c>
      <c r="AA10446">
        <v>0.99918030000000002</v>
      </c>
      <c r="AB10446">
        <v>20</v>
      </c>
      <c r="AC10446">
        <v>24.742760000000001</v>
      </c>
      <c r="AD10446">
        <v>-1.121693415879</v>
      </c>
      <c r="AE10446">
        <v>1.6930999999999801</v>
      </c>
      <c r="AF10446">
        <v>-1.01066733721373</v>
      </c>
      <c r="AG10446">
        <v>-1.121693415879</v>
      </c>
      <c r="AH10446">
        <v>24.729347335902599</v>
      </c>
      <c r="AI10446">
        <v>92.594924173209407</v>
      </c>
      <c r="AJ10446">
        <v>92.340327222339695</v>
      </c>
      <c r="AK10446">
        <v>24.7753963489073</v>
      </c>
      <c r="AL10446">
        <v>91.4540732359674</v>
      </c>
      <c r="AM10446">
        <v>89.654922638232094</v>
      </c>
      <c r="AN10446">
        <v>0.99999994419621197</v>
      </c>
    </row>
    <row r="10447" spans="1:40" x14ac:dyDescent="0.25">
      <c r="A10447" t="str">
        <f>"20190303154044433"</f>
        <v>20190303154044433</v>
      </c>
      <c r="B10447" t="str">
        <f>"1551598844428311"</f>
        <v>1551598844428311</v>
      </c>
      <c r="C10447" t="s">
        <v>40</v>
      </c>
      <c r="D10447">
        <v>4.6081750000000001</v>
      </c>
      <c r="E10447">
        <v>0.48118689999999997</v>
      </c>
      <c r="F10447" t="s">
        <v>42</v>
      </c>
      <c r="G10447">
        <v>-80.190869999999904</v>
      </c>
      <c r="H10447" s="1">
        <v>-4.2188010000000004E-6</v>
      </c>
      <c r="I10447">
        <v>139.4562</v>
      </c>
      <c r="J10447">
        <v>-106.67310000000001</v>
      </c>
      <c r="K10447">
        <v>1.121675</v>
      </c>
      <c r="L10447">
        <v>137.5992</v>
      </c>
      <c r="M10447">
        <v>0.99951140000000005</v>
      </c>
      <c r="N10447">
        <v>-1.433071E-2</v>
      </c>
      <c r="O10447">
        <v>2.778046E-2</v>
      </c>
      <c r="P10447">
        <v>0.99897380000000002</v>
      </c>
      <c r="Q10447">
        <v>-4.0426459999999997E-2</v>
      </c>
      <c r="R10447">
        <v>2.0423549999999999E-2</v>
      </c>
      <c r="S10447">
        <v>2.993576</v>
      </c>
      <c r="T10447">
        <v>-0.12583519999999901</v>
      </c>
      <c r="U10447">
        <v>0.20899960000000001</v>
      </c>
      <c r="V10447">
        <v>7.3484249999999996E-3</v>
      </c>
      <c r="W10447">
        <v>-2.6101030000000001E-2</v>
      </c>
      <c r="X10447">
        <v>0.99963230000000003</v>
      </c>
      <c r="Y10447">
        <v>-4.1864980000000003E-2</v>
      </c>
      <c r="Z10447">
        <v>4.1122080000000001E-4</v>
      </c>
      <c r="AA10447">
        <v>0.99912319999999999</v>
      </c>
      <c r="AB10447">
        <v>20</v>
      </c>
      <c r="AC10447">
        <v>26.482230000000001</v>
      </c>
      <c r="AD10447">
        <v>-1.1216792188010001</v>
      </c>
      <c r="AE10447">
        <v>1.85699999999999</v>
      </c>
      <c r="AF10447">
        <v>-1.11852227683007</v>
      </c>
      <c r="AG10447">
        <v>-1.1216792188010001</v>
      </c>
      <c r="AH10447">
        <v>26.4763338954292</v>
      </c>
      <c r="AI10447">
        <v>92.423745908386394</v>
      </c>
      <c r="AJ10447">
        <v>92.419085698432397</v>
      </c>
      <c r="AK10447">
        <v>26.5236783439987</v>
      </c>
      <c r="AL10447">
        <v>91.495648715871596</v>
      </c>
      <c r="AM10447">
        <v>89.578818977015899</v>
      </c>
      <c r="AN10447">
        <v>0.99999999916016502</v>
      </c>
    </row>
    <row r="10448" spans="1:40" x14ac:dyDescent="0.25">
      <c r="A10448" t="str">
        <f>"20190303154044455"</f>
        <v>20190303154044455</v>
      </c>
      <c r="B10448" t="str">
        <f>"1551598844448807"</f>
        <v>1551598844448807</v>
      </c>
      <c r="C10448" t="s">
        <v>40</v>
      </c>
      <c r="D10448">
        <v>4.5000790000000004</v>
      </c>
      <c r="E10448">
        <v>0.48222369999999998</v>
      </c>
      <c r="F10448" t="s">
        <v>42</v>
      </c>
      <c r="G10448">
        <v>-79.864339999999999</v>
      </c>
      <c r="H10448" s="1">
        <v>-6.5627739999999994E-8</v>
      </c>
      <c r="I10448">
        <v>139.49090000000001</v>
      </c>
      <c r="J10448">
        <v>-106.4729</v>
      </c>
      <c r="K10448">
        <v>1.121651</v>
      </c>
      <c r="L10448">
        <v>137.60509999999999</v>
      </c>
      <c r="M10448">
        <v>0.99950320000000004</v>
      </c>
      <c r="N10448">
        <v>-1.4325849999999999E-2</v>
      </c>
      <c r="O10448">
        <v>2.8073290000000001E-2</v>
      </c>
      <c r="P10448">
        <v>0.99895460000000003</v>
      </c>
      <c r="Q10448">
        <v>-4.1100980000000002E-2</v>
      </c>
      <c r="R10448">
        <v>2.0017420000000001E-2</v>
      </c>
      <c r="S10448">
        <v>2.9936980000000002</v>
      </c>
      <c r="T10448">
        <v>-0.1252557</v>
      </c>
      <c r="U10448">
        <v>0.21124270000000001</v>
      </c>
      <c r="V10448">
        <v>8.0460529999999992E-3</v>
      </c>
      <c r="W10448">
        <v>-2.67808E-2</v>
      </c>
      <c r="X10448">
        <v>0.99960890000000002</v>
      </c>
      <c r="Y10448">
        <v>-4.2314209999999998E-2</v>
      </c>
      <c r="Z10448">
        <v>4.169008E-4</v>
      </c>
      <c r="AA10448">
        <v>0.99910429999999995</v>
      </c>
      <c r="AB10448">
        <v>20</v>
      </c>
      <c r="AC10448">
        <v>26.608560000000001</v>
      </c>
      <c r="AD10448">
        <v>-1.1216510656277401</v>
      </c>
      <c r="AE10448">
        <v>1.8858000000000099</v>
      </c>
      <c r="AF10448">
        <v>-1.1359816186833001</v>
      </c>
      <c r="AG10448">
        <v>-1.1216510656277401</v>
      </c>
      <c r="AH10448">
        <v>26.603979175033999</v>
      </c>
      <c r="AI10448">
        <v>92.412023800885606</v>
      </c>
      <c r="AJ10448">
        <v>92.445026672840797</v>
      </c>
      <c r="AK10448">
        <v>26.6518341450763</v>
      </c>
      <c r="AL10448">
        <v>91.534610363545497</v>
      </c>
      <c r="AM10448">
        <v>89.538824711432</v>
      </c>
      <c r="AN10448">
        <v>0.99999995158836297</v>
      </c>
    </row>
    <row r="10449" spans="1:40" x14ac:dyDescent="0.25">
      <c r="A10449" t="str">
        <f>"20190303154044478"</f>
        <v>20190303154044478</v>
      </c>
      <c r="B10449" t="str">
        <f>"1551598844468327"</f>
        <v>1551598844468327</v>
      </c>
      <c r="C10449" t="s">
        <v>40</v>
      </c>
      <c r="D10449">
        <v>4.4493640000000001</v>
      </c>
      <c r="E10449">
        <v>0.48278700000000002</v>
      </c>
      <c r="F10449" t="s">
        <v>42</v>
      </c>
      <c r="G10449">
        <v>-78.024699999999996</v>
      </c>
      <c r="H10449" s="1">
        <v>-8.4611019999999998E-7</v>
      </c>
      <c r="I10449">
        <v>139.5239</v>
      </c>
      <c r="J10449">
        <v>-106.26949999999999</v>
      </c>
      <c r="K10449">
        <v>1.1216140000000001</v>
      </c>
      <c r="L10449">
        <v>137.61109999999999</v>
      </c>
      <c r="M10449">
        <v>0.99949549999999998</v>
      </c>
      <c r="N10449">
        <v>-1.432084E-2</v>
      </c>
      <c r="O10449">
        <v>2.8350420000000001E-2</v>
      </c>
      <c r="P10449">
        <v>0.99888929999999998</v>
      </c>
      <c r="Q10449">
        <v>-4.2243210000000003E-2</v>
      </c>
      <c r="R10449">
        <v>2.0877070000000001E-2</v>
      </c>
      <c r="S10449">
        <v>2.9942319999999998</v>
      </c>
      <c r="T10449">
        <v>-0.11805590000000001</v>
      </c>
      <c r="U10449">
        <v>0.20196529999999999</v>
      </c>
      <c r="V10449">
        <v>7.4615710000000002E-3</v>
      </c>
      <c r="W10449">
        <v>-2.7928970000000001E-2</v>
      </c>
      <c r="X10449">
        <v>0.99958210000000003</v>
      </c>
      <c r="Y10449">
        <v>-3.8950199999999997E-2</v>
      </c>
      <c r="Z10449">
        <v>3.3595439999999999E-4</v>
      </c>
      <c r="AA10449">
        <v>0.99924109999999999</v>
      </c>
      <c r="AB10449">
        <v>20</v>
      </c>
      <c r="AC10449">
        <v>28.244800000000001</v>
      </c>
      <c r="AD10449">
        <v>-1.12161484611019</v>
      </c>
      <c r="AE10449">
        <v>1.9128000000000001</v>
      </c>
      <c r="AF10449">
        <v>-1.1094554140858801</v>
      </c>
      <c r="AG10449">
        <v>-1.12161484611019</v>
      </c>
      <c r="AH10449">
        <v>28.243344555741398</v>
      </c>
      <c r="AI10449">
        <v>92.272414968762504</v>
      </c>
      <c r="AJ10449">
        <v>92.249536933983507</v>
      </c>
      <c r="AK10449">
        <v>28.287372145061301</v>
      </c>
      <c r="AL10449">
        <v>91.600420153406304</v>
      </c>
      <c r="AM10449">
        <v>89.572312683003105</v>
      </c>
      <c r="AN10449">
        <v>1.00000003852372</v>
      </c>
    </row>
    <row r="10450" spans="1:40" x14ac:dyDescent="0.25">
      <c r="A10450" t="str">
        <f>"20190303154044503"</f>
        <v>20190303154044503</v>
      </c>
      <c r="B10450" t="str">
        <f>"1551598844498583"</f>
        <v>1551598844498583</v>
      </c>
      <c r="C10450" t="s">
        <v>40</v>
      </c>
      <c r="D10450">
        <v>4.4682639999999996</v>
      </c>
      <c r="E10450">
        <v>0.48317959999999899</v>
      </c>
      <c r="F10450" t="s">
        <v>42</v>
      </c>
      <c r="G10450">
        <v>-77.405850000000001</v>
      </c>
      <c r="H10450" s="1">
        <v>-1.108627E-6</v>
      </c>
      <c r="I10450">
        <v>139.54069999999999</v>
      </c>
      <c r="J10450">
        <v>-106.05110000000001</v>
      </c>
      <c r="K10450">
        <v>1.1215820000000001</v>
      </c>
      <c r="L10450">
        <v>137.61770000000001</v>
      </c>
      <c r="M10450">
        <v>0.99948800000000004</v>
      </c>
      <c r="N10450">
        <v>-1.4315430000000001E-2</v>
      </c>
      <c r="O10450">
        <v>2.861903E-2</v>
      </c>
      <c r="P10450">
        <v>0.99878639999999996</v>
      </c>
      <c r="Q10450">
        <v>-4.4047940000000001E-2</v>
      </c>
      <c r="R10450">
        <v>2.2042200000000001E-2</v>
      </c>
      <c r="S10450">
        <v>2.9942169999999999</v>
      </c>
      <c r="T10450">
        <v>-0.11635230000000001</v>
      </c>
      <c r="U10450">
        <v>0.2001648</v>
      </c>
      <c r="V10450">
        <v>6.5616399999999997E-3</v>
      </c>
      <c r="W10450">
        <v>-2.97405E-2</v>
      </c>
      <c r="X10450">
        <v>0.99953610000000004</v>
      </c>
      <c r="Y10450">
        <v>-3.8085420000000002E-2</v>
      </c>
      <c r="Z10450">
        <v>3.111705E-4</v>
      </c>
      <c r="AA10450">
        <v>0.99927440000000001</v>
      </c>
      <c r="AB10450">
        <v>20</v>
      </c>
      <c r="AC10450">
        <v>28.645250000000001</v>
      </c>
      <c r="AD10450">
        <v>-1.1215831086270001</v>
      </c>
      <c r="AE10450">
        <v>1.9229999999999701</v>
      </c>
      <c r="AF10450">
        <v>-1.10064919260265</v>
      </c>
      <c r="AG10450">
        <v>-1.1215831086270001</v>
      </c>
      <c r="AH10450">
        <v>28.644837203882702</v>
      </c>
      <c r="AI10450">
        <v>92.240608136798301</v>
      </c>
      <c r="AJ10450">
        <v>92.200450476054698</v>
      </c>
      <c r="AK10450">
        <v>28.687908180131899</v>
      </c>
      <c r="AL10450">
        <v>91.704256456208597</v>
      </c>
      <c r="AM10450">
        <v>89.6238766381435</v>
      </c>
      <c r="AN10450">
        <v>0.99999998383147404</v>
      </c>
    </row>
    <row r="10451" spans="1:40" x14ac:dyDescent="0.25">
      <c r="A10451" t="str">
        <f>"20190303154044526"</f>
        <v>20190303154044526</v>
      </c>
      <c r="B10451" t="str">
        <f>"1551598844518103"</f>
        <v>1551598844518103</v>
      </c>
      <c r="C10451" t="s">
        <v>40</v>
      </c>
      <c r="D10451">
        <v>4.4364889999999999</v>
      </c>
      <c r="E10451">
        <v>0.48333939999999997</v>
      </c>
      <c r="F10451" t="s">
        <v>42</v>
      </c>
      <c r="G10451">
        <v>-77.281139999999994</v>
      </c>
      <c r="H10451" s="1">
        <v>-1.1611560000000001E-6</v>
      </c>
      <c r="I10451">
        <v>139.5462</v>
      </c>
      <c r="J10451">
        <v>-105.83929999999999</v>
      </c>
      <c r="K10451">
        <v>1.1215539999999999</v>
      </c>
      <c r="L10451">
        <v>137.624</v>
      </c>
      <c r="M10451">
        <v>0.99948150000000002</v>
      </c>
      <c r="N10451">
        <v>-1.4310160000000001E-2</v>
      </c>
      <c r="O10451">
        <v>2.8845329999999999E-2</v>
      </c>
      <c r="P10451">
        <v>0.99867050000000002</v>
      </c>
      <c r="Q10451">
        <v>-4.6051910000000001E-2</v>
      </c>
      <c r="R10451">
        <v>2.3163349999999999E-2</v>
      </c>
      <c r="S10451">
        <v>2.9940639999999998</v>
      </c>
      <c r="T10451">
        <v>-0.11672200000000001</v>
      </c>
      <c r="U10451">
        <v>0.20069890000000001</v>
      </c>
      <c r="V10451">
        <v>5.6628959999999997E-3</v>
      </c>
      <c r="W10451">
        <v>-3.1751260000000003E-2</v>
      </c>
      <c r="X10451">
        <v>0.99947980000000003</v>
      </c>
      <c r="Y10451">
        <v>-3.8039999999999997E-2</v>
      </c>
      <c r="Z10451">
        <v>3.029493E-4</v>
      </c>
      <c r="AA10451">
        <v>0.99927619999999895</v>
      </c>
      <c r="AB10451">
        <v>20</v>
      </c>
      <c r="AC10451">
        <v>28.558159999999901</v>
      </c>
      <c r="AD10451">
        <v>-1.121555161156</v>
      </c>
      <c r="AE10451">
        <v>1.9221999999999999</v>
      </c>
      <c r="AF10451">
        <v>-1.09586354327738</v>
      </c>
      <c r="AG10451">
        <v>-1.121555161156</v>
      </c>
      <c r="AH10451">
        <v>28.557878925897501</v>
      </c>
      <c r="AI10451">
        <v>92.247372176881996</v>
      </c>
      <c r="AJ10451">
        <v>92.197556908499195</v>
      </c>
      <c r="AK10451">
        <v>28.600895993503801</v>
      </c>
      <c r="AL10451">
        <v>91.819518927823793</v>
      </c>
      <c r="AM10451">
        <v>89.675374561073298</v>
      </c>
      <c r="AN10451">
        <v>1.00000004075536</v>
      </c>
    </row>
    <row r="10452" spans="1:40" x14ac:dyDescent="0.25">
      <c r="A10452" t="str">
        <f>"20190303154044545"</f>
        <v>20190303154044545</v>
      </c>
      <c r="B10452" t="str">
        <f>"1551598844538599"</f>
        <v>1551598844538599</v>
      </c>
      <c r="C10452" t="s">
        <v>40</v>
      </c>
      <c r="D10452">
        <v>4.4379359999999997</v>
      </c>
      <c r="E10452">
        <v>0.48308760000000001</v>
      </c>
      <c r="F10452" t="s">
        <v>42</v>
      </c>
      <c r="G10452">
        <v>-77.937259999999995</v>
      </c>
      <c r="H10452" s="1">
        <v>-8.8535829999999996E-7</v>
      </c>
      <c r="I10452">
        <v>139.51419999999999</v>
      </c>
      <c r="J10452">
        <v>-105.66930000000001</v>
      </c>
      <c r="K10452">
        <v>1.121532</v>
      </c>
      <c r="L10452">
        <v>137.62909999999999</v>
      </c>
      <c r="M10452">
        <v>0.99947719999999995</v>
      </c>
      <c r="N10452">
        <v>-1.43059E-2</v>
      </c>
      <c r="O10452">
        <v>2.899767E-2</v>
      </c>
      <c r="P10452">
        <v>0.99861219999999995</v>
      </c>
      <c r="Q10452">
        <v>-4.709605E-2</v>
      </c>
      <c r="R10452">
        <v>2.3580509999999999E-2</v>
      </c>
      <c r="S10452">
        <v>2.993744</v>
      </c>
      <c r="T10452">
        <v>-0.120337</v>
      </c>
      <c r="U10452">
        <v>0.2028046</v>
      </c>
      <c r="V10452">
        <v>5.3950569999999896E-3</v>
      </c>
      <c r="W10452">
        <v>-3.2800540000000003E-2</v>
      </c>
      <c r="X10452">
        <v>0.99944730000000004</v>
      </c>
      <c r="Y10452">
        <v>-3.8592679999999997E-2</v>
      </c>
      <c r="Z10452">
        <v>3.0200890000000002E-4</v>
      </c>
      <c r="AA10452">
        <v>0.999255</v>
      </c>
      <c r="AB10452">
        <v>20</v>
      </c>
      <c r="AC10452">
        <v>27.732040000000001</v>
      </c>
      <c r="AD10452">
        <v>-1.1215328853583</v>
      </c>
      <c r="AE10452">
        <v>1.88509999999999</v>
      </c>
      <c r="AF10452">
        <v>-1.07830485059485</v>
      </c>
      <c r="AG10452">
        <v>-1.1215328853583</v>
      </c>
      <c r="AH10452">
        <v>27.729900129872401</v>
      </c>
      <c r="AI10452">
        <v>92.314312251488403</v>
      </c>
      <c r="AJ10452">
        <v>92.226881601597697</v>
      </c>
      <c r="AK10452">
        <v>27.773511455638001</v>
      </c>
      <c r="AL10452">
        <v>91.879669764678695</v>
      </c>
      <c r="AM10452">
        <v>89.690718065897897</v>
      </c>
      <c r="AN10452">
        <v>0.99999994377080503</v>
      </c>
    </row>
    <row r="10453" spans="1:40" x14ac:dyDescent="0.25">
      <c r="A10453" t="str">
        <f>"20190303154044566"</f>
        <v>20190303154044566</v>
      </c>
      <c r="B10453" t="str">
        <f>"1551598844558120"</f>
        <v>1551598844558120</v>
      </c>
      <c r="C10453" t="s">
        <v>40</v>
      </c>
      <c r="D10453">
        <v>4.4358069999999996</v>
      </c>
      <c r="E10453">
        <v>0.48326920000000001</v>
      </c>
      <c r="F10453" t="s">
        <v>42</v>
      </c>
      <c r="G10453">
        <v>-78.443460000000002</v>
      </c>
      <c r="H10453" s="1">
        <v>-6.7002530000000002E-7</v>
      </c>
      <c r="I10453">
        <v>139.50389999999999</v>
      </c>
      <c r="J10453">
        <v>-105.4808</v>
      </c>
      <c r="K10453">
        <v>1.12151</v>
      </c>
      <c r="L10453">
        <v>137.63480000000001</v>
      </c>
      <c r="M10453">
        <v>0.9994731</v>
      </c>
      <c r="N10453">
        <v>-1.430116E-2</v>
      </c>
      <c r="O10453">
        <v>2.913804E-2</v>
      </c>
      <c r="P10453">
        <v>0.99862680000000004</v>
      </c>
      <c r="Q10453">
        <v>-4.6837520000000001E-2</v>
      </c>
      <c r="R10453">
        <v>2.34778E-2</v>
      </c>
      <c r="S10453">
        <v>2.9934690000000002</v>
      </c>
      <c r="T10453">
        <v>-0.1233118</v>
      </c>
      <c r="U10453">
        <v>0.20613100000000001</v>
      </c>
      <c r="V10453">
        <v>5.6365080000000001E-3</v>
      </c>
      <c r="W10453">
        <v>-3.2546869999999999E-2</v>
      </c>
      <c r="X10453">
        <v>0.99945430000000002</v>
      </c>
      <c r="Y10453">
        <v>-3.9561649999999997E-2</v>
      </c>
      <c r="Z10453">
        <v>3.1525729999999999E-4</v>
      </c>
      <c r="AA10453">
        <v>0.99921709999999997</v>
      </c>
      <c r="AB10453">
        <v>20</v>
      </c>
      <c r="AC10453">
        <v>27.03734</v>
      </c>
      <c r="AD10453">
        <v>-1.1215106700252999</v>
      </c>
      <c r="AE10453">
        <v>1.86909999999997</v>
      </c>
      <c r="AF10453">
        <v>-1.0785636071914599</v>
      </c>
      <c r="AG10453">
        <v>-1.1215106700252999</v>
      </c>
      <c r="AH10453">
        <v>27.034031591476801</v>
      </c>
      <c r="AI10453">
        <v>92.373675231432202</v>
      </c>
      <c r="AJ10453">
        <v>92.284690152078696</v>
      </c>
      <c r="AK10453">
        <v>27.078773046921899</v>
      </c>
      <c r="AL10453">
        <v>91.865127705158301</v>
      </c>
      <c r="AM10453">
        <v>89.676878976980902</v>
      </c>
      <c r="AN10453">
        <v>0.99999998337885998</v>
      </c>
    </row>
    <row r="10454" spans="1:40" x14ac:dyDescent="0.25">
      <c r="A10454" t="str">
        <f>"20190303154044589"</f>
        <v>20190303154044589</v>
      </c>
      <c r="B10454" t="str">
        <f>"1551598844578616"</f>
        <v>1551598844578616</v>
      </c>
      <c r="C10454" t="s">
        <v>40</v>
      </c>
      <c r="D10454">
        <v>4.4142130000000002</v>
      </c>
      <c r="E10454">
        <v>0.48340250000000001</v>
      </c>
      <c r="F10454" t="s">
        <v>42</v>
      </c>
      <c r="G10454">
        <v>-77.921139999999994</v>
      </c>
      <c r="H10454" s="1">
        <v>-8.9195009999999898E-7</v>
      </c>
      <c r="I10454">
        <v>139.51599999999999</v>
      </c>
      <c r="J10454">
        <v>-105.2831</v>
      </c>
      <c r="K10454">
        <v>1.1214900000000001</v>
      </c>
      <c r="L10454">
        <v>137.64070000000001</v>
      </c>
      <c r="M10454">
        <v>0.99946990000000002</v>
      </c>
      <c r="N10454">
        <v>-1.429622E-2</v>
      </c>
      <c r="O10454">
        <v>2.9253419999999999E-2</v>
      </c>
      <c r="P10454">
        <v>0.99869819999999998</v>
      </c>
      <c r="Q10454">
        <v>-4.5435690000000001E-2</v>
      </c>
      <c r="R10454">
        <v>2.3196669999999999E-2</v>
      </c>
      <c r="S10454">
        <v>2.9936219999999998</v>
      </c>
      <c r="T10454">
        <v>-0.12182220000000001</v>
      </c>
      <c r="U10454">
        <v>0.20434569999999999</v>
      </c>
      <c r="V10454">
        <v>6.0330610000000002E-3</v>
      </c>
      <c r="W10454">
        <v>-3.1149530000000002E-2</v>
      </c>
      <c r="X10454">
        <v>0.99949650000000001</v>
      </c>
      <c r="Y10454">
        <v>-3.8851080000000003E-2</v>
      </c>
      <c r="Z10454">
        <v>2.9710730000000001E-4</v>
      </c>
      <c r="AA10454">
        <v>0.99924500000000005</v>
      </c>
      <c r="AB10454">
        <v>20</v>
      </c>
      <c r="AC10454">
        <v>27.36196</v>
      </c>
      <c r="AD10454">
        <v>-1.1214908919501001</v>
      </c>
      <c r="AE10454">
        <v>1.87529999999998</v>
      </c>
      <c r="AF10454">
        <v>-1.0721918212202499</v>
      </c>
      <c r="AG10454">
        <v>-1.1214908919501001</v>
      </c>
      <c r="AH10454">
        <v>27.359364417993898</v>
      </c>
      <c r="AI10454">
        <v>92.345505451562204</v>
      </c>
      <c r="AJ10454">
        <v>92.244227796893</v>
      </c>
      <c r="AK10454">
        <v>27.4033238582258</v>
      </c>
      <c r="AL10454">
        <v>91.785025398046798</v>
      </c>
      <c r="AM10454">
        <v>89.654161135286998</v>
      </c>
      <c r="AN10454">
        <v>0.99999997227824999</v>
      </c>
    </row>
    <row r="10455" spans="1:40" x14ac:dyDescent="0.25">
      <c r="A10455" t="str">
        <f>"20190303154044611"</f>
        <v>20190303154044611</v>
      </c>
      <c r="B10455" t="str">
        <f>"1551598844598136"</f>
        <v>1551598844598136</v>
      </c>
      <c r="C10455" t="s">
        <v>40</v>
      </c>
      <c r="D10455">
        <v>4.394692</v>
      </c>
      <c r="E10455">
        <v>0.48339949999999998</v>
      </c>
      <c r="F10455" t="s">
        <v>42</v>
      </c>
      <c r="G10455">
        <v>-76.478409999999997</v>
      </c>
      <c r="H10455" s="1">
        <v>-1.4979669999999901E-6</v>
      </c>
      <c r="I10455">
        <v>139.58879999999999</v>
      </c>
      <c r="J10455">
        <v>-105.0882</v>
      </c>
      <c r="K10455">
        <v>1.121489</v>
      </c>
      <c r="L10455">
        <v>137.6465</v>
      </c>
      <c r="M10455">
        <v>0.99946749999999995</v>
      </c>
      <c r="N10455">
        <v>-1.4291420000000001E-2</v>
      </c>
      <c r="O10455">
        <v>2.933736E-2</v>
      </c>
      <c r="P10455">
        <v>0.99877369999999999</v>
      </c>
      <c r="Q10455">
        <v>-4.4547530000000002E-2</v>
      </c>
      <c r="R10455">
        <v>2.160434E-2</v>
      </c>
      <c r="S10455">
        <v>2.9938959999999999</v>
      </c>
      <c r="T10455">
        <v>-0.11656519999999999</v>
      </c>
      <c r="U10455">
        <v>0.2024841</v>
      </c>
      <c r="V10455">
        <v>7.7097049999999999E-3</v>
      </c>
      <c r="W10455">
        <v>-3.0266109999999999E-2</v>
      </c>
      <c r="X10455">
        <v>0.99951210000000001</v>
      </c>
      <c r="Y10455">
        <v>-3.8145119999999998E-2</v>
      </c>
      <c r="Z10455">
        <v>2.9326310000000002E-4</v>
      </c>
      <c r="AA10455">
        <v>0.99927220000000005</v>
      </c>
      <c r="AB10455">
        <v>20</v>
      </c>
      <c r="AC10455">
        <v>28.60979</v>
      </c>
      <c r="AD10455">
        <v>-1.121490497967</v>
      </c>
      <c r="AE10455">
        <v>1.9422999999999799</v>
      </c>
      <c r="AF10455">
        <v>-1.1003593911776499</v>
      </c>
      <c r="AG10455">
        <v>-1.121490497967</v>
      </c>
      <c r="AH10455">
        <v>28.610699048967501</v>
      </c>
      <c r="AI10455">
        <v>92.243090776792002</v>
      </c>
      <c r="AJ10455">
        <v>92.202493959016905</v>
      </c>
      <c r="AK10455">
        <v>28.653806584769299</v>
      </c>
      <c r="AL10455">
        <v>91.734385301386595</v>
      </c>
      <c r="AM10455">
        <v>89.5580595798601</v>
      </c>
      <c r="AN10455">
        <v>0.99999995750606296</v>
      </c>
    </row>
    <row r="10456" spans="1:40" x14ac:dyDescent="0.25">
      <c r="A10456" t="str">
        <f>"20190303154044634"</f>
        <v>20190303154044634</v>
      </c>
      <c r="B10456" t="str">
        <f>"1551598844628391"</f>
        <v>1551598844628391</v>
      </c>
      <c r="C10456" t="s">
        <v>40</v>
      </c>
      <c r="D10456">
        <v>4.4205750000000004</v>
      </c>
      <c r="E10456">
        <v>0.48341630000000002</v>
      </c>
      <c r="F10456" t="s">
        <v>42</v>
      </c>
      <c r="G10456">
        <v>-75.461759999999998</v>
      </c>
      <c r="H10456" s="1">
        <v>-1.9317589999999998E-6</v>
      </c>
      <c r="I10456">
        <v>139.602</v>
      </c>
      <c r="J10456">
        <v>-104.8869</v>
      </c>
      <c r="K10456">
        <v>1.121489</v>
      </c>
      <c r="L10456">
        <v>137.6525</v>
      </c>
      <c r="M10456">
        <v>0.99946559999999995</v>
      </c>
      <c r="N10456">
        <v>-1.4286460000000001E-2</v>
      </c>
      <c r="O10456">
        <v>2.940067E-2</v>
      </c>
      <c r="P10456">
        <v>0.99888860000000002</v>
      </c>
      <c r="Q10456">
        <v>-4.3143199999999902E-2</v>
      </c>
      <c r="R10456">
        <v>1.897884E-2</v>
      </c>
      <c r="S10456">
        <v>2.9943390000000001</v>
      </c>
      <c r="T10456">
        <v>-0.1133487</v>
      </c>
      <c r="U10456">
        <v>0.19764709999999999</v>
      </c>
      <c r="V10456">
        <v>1.0399739999999999E-2</v>
      </c>
      <c r="W10456">
        <v>-2.8866619999999999E-2</v>
      </c>
      <c r="X10456">
        <v>0.99952920000000001</v>
      </c>
      <c r="Y10456">
        <v>-3.6467560000000003E-2</v>
      </c>
      <c r="Z10456">
        <v>2.5885529999999999E-4</v>
      </c>
      <c r="AA10456">
        <v>0.99933479999999997</v>
      </c>
      <c r="AB10456">
        <v>20</v>
      </c>
      <c r="AC10456">
        <v>29.425139999999999</v>
      </c>
      <c r="AD10456">
        <v>-1.1214909317590001</v>
      </c>
      <c r="AE10456">
        <v>1.9495</v>
      </c>
      <c r="AF10456">
        <v>-1.0818852274617501</v>
      </c>
      <c r="AG10456">
        <v>-1.1214909317590001</v>
      </c>
      <c r="AH10456">
        <v>29.427179637876801</v>
      </c>
      <c r="AI10456">
        <v>92.181054933677402</v>
      </c>
      <c r="AJ10456">
        <v>92.105521233694802</v>
      </c>
      <c r="AK10456">
        <v>29.4684088303948</v>
      </c>
      <c r="AL10456">
        <v>91.654165232046495</v>
      </c>
      <c r="AM10456">
        <v>89.403879637053393</v>
      </c>
      <c r="AN10456">
        <v>1.00000002899746</v>
      </c>
    </row>
    <row r="10457" spans="1:40" x14ac:dyDescent="0.25">
      <c r="A10457" t="str">
        <f>"20190303154044656"</f>
        <v>20190303154044656</v>
      </c>
      <c r="B10457" t="str">
        <f>"1551598844648887"</f>
        <v>1551598844648887</v>
      </c>
      <c r="C10457" t="s">
        <v>40</v>
      </c>
      <c r="D10457">
        <v>4.428407</v>
      </c>
      <c r="E10457">
        <v>0.48345300000000002</v>
      </c>
      <c r="F10457" t="s">
        <v>42</v>
      </c>
      <c r="G10457">
        <v>-73.936639999999997</v>
      </c>
      <c r="H10457" s="1">
        <v>-2.5841859999999998E-6</v>
      </c>
      <c r="I10457">
        <v>139.61240000000001</v>
      </c>
      <c r="J10457">
        <v>-104.694</v>
      </c>
      <c r="K10457">
        <v>1.121502</v>
      </c>
      <c r="L10457">
        <v>137.65819999999999</v>
      </c>
      <c r="M10457">
        <v>0.99946429999999997</v>
      </c>
      <c r="N10457">
        <v>-1.428169E-2</v>
      </c>
      <c r="O10457">
        <v>2.9447290000000001E-2</v>
      </c>
      <c r="P10457">
        <v>0.99897179999999997</v>
      </c>
      <c r="Q10457">
        <v>-4.2605339999999998E-2</v>
      </c>
      <c r="R10457">
        <v>1.549674E-2</v>
      </c>
      <c r="S10457">
        <v>2.9950559999999999</v>
      </c>
      <c r="T10457">
        <v>-0.1085265</v>
      </c>
      <c r="U10457">
        <v>0.18966669999999999</v>
      </c>
      <c r="V10457">
        <v>1.392899E-2</v>
      </c>
      <c r="W10457">
        <v>-2.8334089999999999E-2</v>
      </c>
      <c r="X10457">
        <v>0.99950150000000004</v>
      </c>
      <c r="Y10457">
        <v>-3.375744E-2</v>
      </c>
      <c r="Z10457">
        <v>2.071819E-4</v>
      </c>
      <c r="AA10457">
        <v>0.99943009999999999</v>
      </c>
      <c r="AB10457">
        <v>20</v>
      </c>
      <c r="AC10457">
        <v>30.757359999999998</v>
      </c>
      <c r="AD10457">
        <v>-1.1215045841859901</v>
      </c>
      <c r="AE10457">
        <v>1.9542000000000099</v>
      </c>
      <c r="AF10457">
        <v>-1.04615375504187</v>
      </c>
      <c r="AG10457">
        <v>-1.1215045841859901</v>
      </c>
      <c r="AH10457">
        <v>30.7608370642644</v>
      </c>
      <c r="AI10457">
        <v>92.086807681615397</v>
      </c>
      <c r="AJ10457">
        <v>91.947837154985905</v>
      </c>
      <c r="AK10457">
        <v>30.7990471785373</v>
      </c>
      <c r="AL10457">
        <v>91.623641001774999</v>
      </c>
      <c r="AM10457">
        <v>89.201581307016099</v>
      </c>
      <c r="AN10457">
        <v>1.0000000429603899</v>
      </c>
    </row>
    <row r="10458" spans="1:40" x14ac:dyDescent="0.25">
      <c r="A10458" t="str">
        <f>"20190303154044679"</f>
        <v>20190303154044679</v>
      </c>
      <c r="B10458" t="str">
        <f>"1551598844668407"</f>
        <v>1551598844668407</v>
      </c>
      <c r="C10458" t="s">
        <v>40</v>
      </c>
      <c r="D10458">
        <v>4.386641</v>
      </c>
      <c r="E10458">
        <v>0.48346090000000003</v>
      </c>
      <c r="F10458" t="s">
        <v>42</v>
      </c>
      <c r="G10458">
        <v>-73.266949999999994</v>
      </c>
      <c r="H10458" s="1">
        <v>-2.8852060000000001E-6</v>
      </c>
      <c r="I10458">
        <v>139.535</v>
      </c>
      <c r="J10458">
        <v>-104.4954</v>
      </c>
      <c r="K10458">
        <v>1.1215200000000001</v>
      </c>
      <c r="L10458">
        <v>137.66409999999999</v>
      </c>
      <c r="M10458">
        <v>0.99946330000000005</v>
      </c>
      <c r="N10458">
        <v>-1.4276860000000001E-2</v>
      </c>
      <c r="O10458">
        <v>2.9487800000000002E-2</v>
      </c>
      <c r="P10458">
        <v>0.99911450000000002</v>
      </c>
      <c r="Q10458">
        <v>-4.0210410000000002E-2</v>
      </c>
      <c r="R10458">
        <v>1.239528E-2</v>
      </c>
      <c r="S10458">
        <v>2.995743</v>
      </c>
      <c r="T10458">
        <v>-0.1069061</v>
      </c>
      <c r="U10458">
        <v>0.17890929999999999</v>
      </c>
      <c r="V10458">
        <v>1.7073970000000001E-2</v>
      </c>
      <c r="W10458">
        <v>-2.5943589999999999E-2</v>
      </c>
      <c r="X10458">
        <v>0.99951760000000001</v>
      </c>
      <c r="Y10458">
        <v>-3.0130629999999999E-2</v>
      </c>
      <c r="Z10458">
        <v>1.223675E-4</v>
      </c>
      <c r="AA10458">
        <v>0.99954600000000005</v>
      </c>
      <c r="AB10458">
        <v>20</v>
      </c>
      <c r="AC10458">
        <v>31.228449999999999</v>
      </c>
      <c r="AD10458">
        <v>-1.121522885206</v>
      </c>
      <c r="AE10458">
        <v>1.8709</v>
      </c>
      <c r="AF10458">
        <v>-0.94791598813366695</v>
      </c>
      <c r="AG10458">
        <v>-1.121522885206</v>
      </c>
      <c r="AH10458">
        <v>31.229905948166898</v>
      </c>
      <c r="AI10458">
        <v>92.055766148015906</v>
      </c>
      <c r="AJ10458">
        <v>91.738555209665705</v>
      </c>
      <c r="AK10458">
        <v>31.264410818596101</v>
      </c>
      <c r="AL10458">
        <v>91.486624994196205</v>
      </c>
      <c r="AM10458">
        <v>89.021356618581706</v>
      </c>
      <c r="AN10458">
        <v>1.0000000115117</v>
      </c>
    </row>
    <row r="10459" spans="1:40" x14ac:dyDescent="0.25">
      <c r="A10459" t="str">
        <f>"20190303154044702"</f>
        <v>20190303154044702</v>
      </c>
      <c r="B10459" t="str">
        <f>"1551598844698665"</f>
        <v>1551598844698665</v>
      </c>
      <c r="C10459" t="s">
        <v>40</v>
      </c>
      <c r="D10459">
        <v>4.4915859999999999</v>
      </c>
      <c r="E10459">
        <v>0.48347570000000001</v>
      </c>
      <c r="F10459" t="s">
        <v>42</v>
      </c>
      <c r="G10459">
        <v>-70.797209999999893</v>
      </c>
      <c r="H10459" s="1">
        <v>-3.9383610000000003E-6</v>
      </c>
      <c r="I10459">
        <v>139.57079999999999</v>
      </c>
      <c r="J10459">
        <v>-104.291</v>
      </c>
      <c r="K10459">
        <v>1.12154</v>
      </c>
      <c r="L10459">
        <v>137.67019999999999</v>
      </c>
      <c r="M10459">
        <v>0.99946199999999996</v>
      </c>
      <c r="N10459">
        <v>-1.4271900000000001E-2</v>
      </c>
      <c r="O10459">
        <v>2.9529639999999999E-2</v>
      </c>
      <c r="P10459">
        <v>0.99912590000000001</v>
      </c>
      <c r="Q10459">
        <v>-4.0112710000000003E-2</v>
      </c>
      <c r="R10459">
        <v>1.1769369999999999E-2</v>
      </c>
      <c r="S10459">
        <v>2.9965359999999999</v>
      </c>
      <c r="T10459">
        <v>-9.9728940000000002E-2</v>
      </c>
      <c r="U10459">
        <v>0.1695557</v>
      </c>
      <c r="V10459">
        <v>1.77421E-2</v>
      </c>
      <c r="W10459">
        <v>-2.58508E-2</v>
      </c>
      <c r="X10459">
        <v>0.99950839999999996</v>
      </c>
      <c r="Y10459">
        <v>-2.6967419999999999E-2</v>
      </c>
      <c r="Z10459" s="1">
        <v>8.0728859999999996E-5</v>
      </c>
      <c r="AA10459">
        <v>0.99963630000000003</v>
      </c>
      <c r="AB10459">
        <v>20</v>
      </c>
      <c r="AC10459">
        <v>33.493789999999997</v>
      </c>
      <c r="AD10459">
        <v>-1.121543938361</v>
      </c>
      <c r="AE10459">
        <v>1.9005999999999901</v>
      </c>
      <c r="AF10459">
        <v>-0.90959405916382396</v>
      </c>
      <c r="AG10459">
        <v>-1.121543938361</v>
      </c>
      <c r="AH10459">
        <v>33.497871234570503</v>
      </c>
      <c r="AI10459">
        <v>91.916900567324802</v>
      </c>
      <c r="AJ10459">
        <v>91.555415182023694</v>
      </c>
      <c r="AK10459">
        <v>33.528981484769297</v>
      </c>
      <c r="AL10459">
        <v>91.481306687319304</v>
      </c>
      <c r="AM10459">
        <v>88.983059370707196</v>
      </c>
      <c r="AN10459">
        <v>1.0000000438218</v>
      </c>
    </row>
    <row r="10460" spans="1:40" x14ac:dyDescent="0.25">
      <c r="A10460" t="str">
        <f>"20190303154044726"</f>
        <v>20190303154044726</v>
      </c>
      <c r="B10460" t="str">
        <f>"1551598844718183"</f>
        <v>1551598844718183</v>
      </c>
      <c r="C10460" t="s">
        <v>40</v>
      </c>
      <c r="D10460">
        <v>4.4481739999999999</v>
      </c>
      <c r="E10460">
        <v>0.5077488</v>
      </c>
      <c r="F10460" t="s">
        <v>42</v>
      </c>
      <c r="G10460">
        <v>-70.328769999999906</v>
      </c>
      <c r="H10460" s="1">
        <v>-4.1397829999999999E-6</v>
      </c>
      <c r="I10460">
        <v>139.56819999999999</v>
      </c>
      <c r="J10460">
        <v>-104.0805</v>
      </c>
      <c r="K10460">
        <v>1.121564</v>
      </c>
      <c r="L10460">
        <v>137.6764</v>
      </c>
      <c r="M10460">
        <v>0.99946069999999998</v>
      </c>
      <c r="N10460">
        <v>-1.426678E-2</v>
      </c>
      <c r="O10460">
        <v>2.9577579999999999E-2</v>
      </c>
      <c r="P10460">
        <v>0.99900840000000002</v>
      </c>
      <c r="Q10460">
        <v>-4.276953E-2</v>
      </c>
      <c r="R10460">
        <v>1.2373200000000001E-2</v>
      </c>
      <c r="S10460">
        <v>2.9966740000000001</v>
      </c>
      <c r="T10460">
        <v>-9.8959800000000001E-2</v>
      </c>
      <c r="U10460">
        <v>0.1674805</v>
      </c>
      <c r="V10460">
        <v>1.7183319999999998E-2</v>
      </c>
      <c r="W10460">
        <v>-2.8513630000000002E-2</v>
      </c>
      <c r="X10460">
        <v>0.99944569999999999</v>
      </c>
      <c r="Y10460">
        <v>-2.6227549999999999E-2</v>
      </c>
      <c r="Z10460" s="1">
        <v>6.6248900000000002E-5</v>
      </c>
      <c r="AA10460">
        <v>0.99965599999999999</v>
      </c>
      <c r="AB10460">
        <v>20</v>
      </c>
      <c r="AC10460">
        <v>33.751730000000002</v>
      </c>
      <c r="AD10460">
        <v>-1.121568139783</v>
      </c>
      <c r="AE10460">
        <v>1.8917999999999799</v>
      </c>
      <c r="AF10460">
        <v>-0.89159463000415196</v>
      </c>
      <c r="AG10460">
        <v>-1.121568139783</v>
      </c>
      <c r="AH10460">
        <v>33.755763389460697</v>
      </c>
      <c r="AI10460">
        <v>91.902345056334994</v>
      </c>
      <c r="AJ10460">
        <v>91.513007836677005</v>
      </c>
      <c r="AK10460">
        <v>33.786157196131199</v>
      </c>
      <c r="AL10460">
        <v>91.633932113122796</v>
      </c>
      <c r="AM10460">
        <v>89.015019301226999</v>
      </c>
      <c r="AN10460">
        <v>1.0000000004152401</v>
      </c>
    </row>
    <row r="10461" spans="1:40" x14ac:dyDescent="0.25">
      <c r="A10461" t="str">
        <f>"20190303154044747"</f>
        <v>20190303154044747</v>
      </c>
      <c r="B10461" t="str">
        <f>"1551598844738680"</f>
        <v>1551598844738680</v>
      </c>
      <c r="C10461" t="s">
        <v>40</v>
      </c>
      <c r="D10461">
        <v>4.4467850000000002</v>
      </c>
      <c r="E10461">
        <v>0.51163029999999998</v>
      </c>
      <c r="F10461" t="s">
        <v>42</v>
      </c>
      <c r="G10461">
        <v>-77.208510000000004</v>
      </c>
      <c r="H10461" s="1">
        <v>-1.5631309999999999E-6</v>
      </c>
      <c r="I10461">
        <v>137.45570000000001</v>
      </c>
      <c r="J10461">
        <v>-103.9007</v>
      </c>
      <c r="K10461">
        <v>1.121583</v>
      </c>
      <c r="L10461">
        <v>137.68180000000001</v>
      </c>
      <c r="M10461">
        <v>0.99945930000000005</v>
      </c>
      <c r="N10461">
        <v>-1.42624E-2</v>
      </c>
      <c r="O10461">
        <v>2.9625209999999999E-2</v>
      </c>
      <c r="P10461">
        <v>0.99897199999999997</v>
      </c>
      <c r="Q10461">
        <v>-4.3310410000000001E-2</v>
      </c>
      <c r="R10461">
        <v>1.339193E-2</v>
      </c>
      <c r="S10461">
        <v>2.997925</v>
      </c>
      <c r="T10461">
        <v>-0.1251255</v>
      </c>
      <c r="U10461">
        <v>-2.4627690000000001E-2</v>
      </c>
      <c r="V10461">
        <v>1.6211960000000001E-2</v>
      </c>
      <c r="W10461">
        <v>-2.905872E-2</v>
      </c>
      <c r="X10461">
        <v>0.99944619999999995</v>
      </c>
      <c r="Y10461">
        <v>3.7782929999999999E-2</v>
      </c>
      <c r="Z10461">
        <v>-1.8711050000000001E-3</v>
      </c>
      <c r="AA10461">
        <v>0.99928419999999896</v>
      </c>
      <c r="AB10461">
        <v>20</v>
      </c>
      <c r="AC10461">
        <v>26.69219</v>
      </c>
      <c r="AD10461">
        <v>-1.121584563131</v>
      </c>
      <c r="AE10461">
        <v>-0.22610000000000199</v>
      </c>
      <c r="AF10461">
        <v>1.0150508688801601</v>
      </c>
      <c r="AG10461">
        <v>-1.121584563131</v>
      </c>
      <c r="AH10461">
        <v>26.626763662119899</v>
      </c>
      <c r="AI10461">
        <v>92.410264177711696</v>
      </c>
      <c r="AJ10461">
        <v>87.816858879900295</v>
      </c>
      <c r="AK10461">
        <v>26.6696985981668</v>
      </c>
      <c r="AL10461">
        <v>91.665176465541094</v>
      </c>
      <c r="AM10461">
        <v>89.0706899179673</v>
      </c>
      <c r="AN10461">
        <v>0.99999997177475897</v>
      </c>
    </row>
    <row r="10462" spans="1:40" x14ac:dyDescent="0.25">
      <c r="A10462" t="str">
        <f>"20190303154044767"</f>
        <v>20190303154044767</v>
      </c>
      <c r="B10462" t="str">
        <f>"1551598844758200"</f>
        <v>1551598844758200</v>
      </c>
      <c r="C10462" t="s">
        <v>40</v>
      </c>
      <c r="D10462">
        <v>4.5002079999999998</v>
      </c>
      <c r="E10462">
        <v>0.51177050000000002</v>
      </c>
      <c r="F10462" t="s">
        <v>42</v>
      </c>
      <c r="G10462">
        <v>-81.143929999999997</v>
      </c>
      <c r="H10462" s="1">
        <v>-4.1960680000000003E-6</v>
      </c>
      <c r="I10462">
        <v>137.27940000000001</v>
      </c>
      <c r="J10462">
        <v>-103.7195</v>
      </c>
      <c r="K10462">
        <v>1.1215900000000001</v>
      </c>
      <c r="L10462">
        <v>137.68729999999999</v>
      </c>
      <c r="M10462">
        <v>0.99945790000000001</v>
      </c>
      <c r="N10462">
        <v>-1.425798E-2</v>
      </c>
      <c r="O10462">
        <v>2.9679440000000001E-2</v>
      </c>
      <c r="P10462">
        <v>0.99897329999999995</v>
      </c>
      <c r="Q10462">
        <v>-4.3342539999999999E-2</v>
      </c>
      <c r="R10462">
        <v>1.319291E-2</v>
      </c>
      <c r="S10462">
        <v>2.9973909999999999</v>
      </c>
      <c r="T10462">
        <v>-0.1477289</v>
      </c>
      <c r="U10462">
        <v>-5.2993770000000003E-2</v>
      </c>
      <c r="V10462">
        <v>1.6465420000000001E-2</v>
      </c>
      <c r="W10462">
        <v>-2.9095159999999998E-2</v>
      </c>
      <c r="X10462">
        <v>0.99944100000000002</v>
      </c>
      <c r="Y10462">
        <v>4.7255079999999998E-2</v>
      </c>
      <c r="Z10462">
        <v>-2.5396099999999999E-3</v>
      </c>
      <c r="AA10462">
        <v>0.99887959999999998</v>
      </c>
      <c r="AB10462">
        <v>20</v>
      </c>
      <c r="AC10462">
        <v>22.5755699999999</v>
      </c>
      <c r="AD10462">
        <v>-1.12159419606799</v>
      </c>
      <c r="AE10462">
        <v>-0.407899999999983</v>
      </c>
      <c r="AF10462">
        <v>1.0751656352385</v>
      </c>
      <c r="AG10462">
        <v>-1.12159419606799</v>
      </c>
      <c r="AH10462">
        <v>22.498002056032501</v>
      </c>
      <c r="AI10462">
        <v>92.850758905181806</v>
      </c>
      <c r="AJ10462">
        <v>87.263951671324904</v>
      </c>
      <c r="AK10462">
        <v>22.551586445239099</v>
      </c>
      <c r="AL10462">
        <v>91.667265200868698</v>
      </c>
      <c r="AM10462">
        <v>89.056158655268405</v>
      </c>
      <c r="AN10462">
        <v>0.99999997543609997</v>
      </c>
    </row>
    <row r="10463" spans="1:40" x14ac:dyDescent="0.25">
      <c r="A10463" t="str">
        <f>"20190303154044790"</f>
        <v>20190303154044790</v>
      </c>
      <c r="B10463" t="str">
        <f>"1551598844778696"</f>
        <v>1551598844778696</v>
      </c>
      <c r="C10463" t="s">
        <v>40</v>
      </c>
      <c r="D10463">
        <v>4.4098800000000002</v>
      </c>
      <c r="E10463">
        <v>0.51328390000000002</v>
      </c>
      <c r="F10463" t="s">
        <v>42</v>
      </c>
      <c r="G10463">
        <v>-82.995249999999999</v>
      </c>
      <c r="H10463" s="1">
        <v>-3.396831E-6</v>
      </c>
      <c r="I10463">
        <v>137.30779999999999</v>
      </c>
      <c r="J10463">
        <v>-103.5247</v>
      </c>
      <c r="K10463">
        <v>1.1215919999999999</v>
      </c>
      <c r="L10463">
        <v>137.69309999999999</v>
      </c>
      <c r="M10463">
        <v>0.99945589999999995</v>
      </c>
      <c r="N10463">
        <v>-1.425323E-2</v>
      </c>
      <c r="O10463">
        <v>2.9743309999999998E-2</v>
      </c>
      <c r="P10463">
        <v>0.99895990000000001</v>
      </c>
      <c r="Q10463">
        <v>-4.3767889999999997E-2</v>
      </c>
      <c r="R10463">
        <v>1.2790050000000001E-2</v>
      </c>
      <c r="S10463">
        <v>2.9967800000000002</v>
      </c>
      <c r="T10463">
        <v>-0.16218529999999901</v>
      </c>
      <c r="U10463">
        <v>-5.487061E-2</v>
      </c>
      <c r="V10463">
        <v>1.6931769999999999E-2</v>
      </c>
      <c r="W10463">
        <v>-2.952542E-2</v>
      </c>
      <c r="X10463">
        <v>0.99942059999999999</v>
      </c>
      <c r="Y10463">
        <v>4.7927810000000001E-2</v>
      </c>
      <c r="Z10463">
        <v>-2.8224000000000001E-3</v>
      </c>
      <c r="AA10463">
        <v>0.99884680000000003</v>
      </c>
      <c r="AB10463">
        <v>19</v>
      </c>
      <c r="AC10463">
        <v>20.529450000000001</v>
      </c>
      <c r="AD10463">
        <v>-1.121595396831</v>
      </c>
      <c r="AE10463">
        <v>-0.38529999999999998</v>
      </c>
      <c r="AF10463">
        <v>0.99284294070004997</v>
      </c>
      <c r="AG10463">
        <v>-1.121595396831</v>
      </c>
      <c r="AH10463">
        <v>20.447892304831399</v>
      </c>
      <c r="AI10463">
        <v>93.135920203299705</v>
      </c>
      <c r="AJ10463">
        <v>87.220199101722201</v>
      </c>
      <c r="AK10463">
        <v>20.5026830695173</v>
      </c>
      <c r="AL10463">
        <v>91.691927862800298</v>
      </c>
      <c r="AM10463">
        <v>89.029411477996703</v>
      </c>
      <c r="AN10463">
        <v>0.99999998548293401</v>
      </c>
    </row>
    <row r="10464" spans="1:40" x14ac:dyDescent="0.25">
      <c r="A10464" t="str">
        <f>"20190303154044813"</f>
        <v>20190303154044813</v>
      </c>
      <c r="B10464" t="str">
        <f>"1551598844808951"</f>
        <v>1551598844808951</v>
      </c>
      <c r="C10464" t="s">
        <v>40</v>
      </c>
      <c r="D10464">
        <v>4.4887959999999998</v>
      </c>
      <c r="E10464">
        <v>0.51320949999999999</v>
      </c>
      <c r="F10464" t="s">
        <v>42</v>
      </c>
      <c r="G10464">
        <v>-81.921840000000003</v>
      </c>
      <c r="H10464" s="1">
        <v>-3.875983E-6</v>
      </c>
      <c r="I10464">
        <v>137.20259999999999</v>
      </c>
      <c r="J10464">
        <v>-103.32640000000001</v>
      </c>
      <c r="K10464">
        <v>1.1215850000000001</v>
      </c>
      <c r="L10464">
        <v>137.69909999999999</v>
      </c>
      <c r="M10464">
        <v>0.99945399999999995</v>
      </c>
      <c r="N10464">
        <v>-1.424839E-2</v>
      </c>
      <c r="O10464">
        <v>2.9812479999999999E-2</v>
      </c>
      <c r="P10464">
        <v>0.99897780000000003</v>
      </c>
      <c r="Q10464">
        <v>-4.3243129999999998E-2</v>
      </c>
      <c r="R10464">
        <v>1.316084E-2</v>
      </c>
      <c r="S10464">
        <v>2.9971619999999999</v>
      </c>
      <c r="T10464">
        <v>-0.15560929999999901</v>
      </c>
      <c r="U10464">
        <v>-6.8054199999999995E-2</v>
      </c>
      <c r="V10464">
        <v>1.6631150000000001E-2</v>
      </c>
      <c r="W10464">
        <v>-2.9005039999999999E-2</v>
      </c>
      <c r="X10464">
        <v>0.99944089999999997</v>
      </c>
      <c r="Y10464">
        <v>5.2387059999999999E-2</v>
      </c>
      <c r="Z10464">
        <v>-2.8544489999999998E-3</v>
      </c>
      <c r="AA10464">
        <v>0.99862280000000003</v>
      </c>
      <c r="AB10464">
        <v>19</v>
      </c>
      <c r="AC10464">
        <v>21.40456</v>
      </c>
      <c r="AD10464">
        <v>-1.1215888759829999</v>
      </c>
      <c r="AE10464">
        <v>-0.496499999999997</v>
      </c>
      <c r="AF10464">
        <v>1.13136231248958</v>
      </c>
      <c r="AG10464">
        <v>-1.1215888759829999</v>
      </c>
      <c r="AH10464">
        <v>21.3217287246433</v>
      </c>
      <c r="AI10464">
        <v>93.006937586060204</v>
      </c>
      <c r="AJ10464">
        <v>86.962650033495194</v>
      </c>
      <c r="AK10464">
        <v>21.3811612896992</v>
      </c>
      <c r="AL10464">
        <v>91.662099484039103</v>
      </c>
      <c r="AM10464">
        <v>89.046660223345398</v>
      </c>
      <c r="AN10464">
        <v>1.0000000000442599</v>
      </c>
    </row>
    <row r="10465" spans="1:40" x14ac:dyDescent="0.25">
      <c r="A10465" t="str">
        <f>"20190303154044839"</f>
        <v>20190303154044839</v>
      </c>
      <c r="B10465" t="str">
        <f>"1551598844828472"</f>
        <v>1551598844828472</v>
      </c>
      <c r="C10465" t="s">
        <v>40</v>
      </c>
      <c r="D10465">
        <v>4.4623839999999904</v>
      </c>
      <c r="E10465">
        <v>0.51395789999999997</v>
      </c>
      <c r="F10465" t="s">
        <v>42</v>
      </c>
      <c r="G10465">
        <v>-82.813109999999995</v>
      </c>
      <c r="H10465" s="1">
        <v>-3.4862639999999998E-6</v>
      </c>
      <c r="I10465">
        <v>137.2441</v>
      </c>
      <c r="J10465">
        <v>-103.1086</v>
      </c>
      <c r="K10465">
        <v>1.1215740000000001</v>
      </c>
      <c r="L10465">
        <v>137.70570000000001</v>
      </c>
      <c r="M10465">
        <v>0.9994518</v>
      </c>
      <c r="N10465">
        <v>-1.424308E-2</v>
      </c>
      <c r="O10465">
        <v>2.989029E-2</v>
      </c>
      <c r="P10465">
        <v>0.99900270000000002</v>
      </c>
      <c r="Q10465">
        <v>-4.2607560000000003E-2</v>
      </c>
      <c r="R10465">
        <v>1.33531E-2</v>
      </c>
      <c r="S10465">
        <v>2.9968569999999999</v>
      </c>
      <c r="T10465">
        <v>-0.163856</v>
      </c>
      <c r="U10465">
        <v>-6.6467289999999998E-2</v>
      </c>
      <c r="V10465">
        <v>1.6517540000000001E-2</v>
      </c>
      <c r="W10465">
        <v>-2.8374320000000001E-2</v>
      </c>
      <c r="X10465">
        <v>0.99946089999999999</v>
      </c>
      <c r="Y10465">
        <v>5.1927439999999998E-2</v>
      </c>
      <c r="Z10465">
        <v>-2.9959100000000001E-3</v>
      </c>
      <c r="AA10465">
        <v>0.99864640000000005</v>
      </c>
      <c r="AB10465">
        <v>19</v>
      </c>
      <c r="AC10465">
        <v>20.295490000000001</v>
      </c>
      <c r="AD10465">
        <v>-1.121577486264</v>
      </c>
      <c r="AE10465">
        <v>-0.46160000000000401</v>
      </c>
      <c r="AF10465">
        <v>1.0648429957332699</v>
      </c>
      <c r="AG10465">
        <v>-1.121577486264</v>
      </c>
      <c r="AH10465">
        <v>20.2109301734334</v>
      </c>
      <c r="AI10465">
        <v>93.1719015015493</v>
      </c>
      <c r="AJ10465">
        <v>86.984074952968399</v>
      </c>
      <c r="AK10465">
        <v>20.270015420286601</v>
      </c>
      <c r="AL10465">
        <v>91.625946990162703</v>
      </c>
      <c r="AM10465">
        <v>89.053190390918601</v>
      </c>
      <c r="AN10465">
        <v>1.0000000108959599</v>
      </c>
    </row>
    <row r="10466" spans="1:40" x14ac:dyDescent="0.25">
      <c r="A10466" t="str">
        <f>"20190303154044857"</f>
        <v>20190303154044857</v>
      </c>
      <c r="B10466" t="str">
        <f>"1551598844847992"</f>
        <v>1551598844847992</v>
      </c>
      <c r="C10466" t="s">
        <v>40</v>
      </c>
      <c r="D10466">
        <v>4.4203939999999999</v>
      </c>
      <c r="E10466">
        <v>0.51423949999999996</v>
      </c>
      <c r="F10466" t="s">
        <v>42</v>
      </c>
      <c r="G10466">
        <v>-81.777789999999996</v>
      </c>
      <c r="H10466" s="1">
        <v>-3.9393069999999997E-6</v>
      </c>
      <c r="I10466">
        <v>137.19399999999999</v>
      </c>
      <c r="J10466">
        <v>-102.941</v>
      </c>
      <c r="K10466">
        <v>1.1215520000000001</v>
      </c>
      <c r="L10466">
        <v>137.71080000000001</v>
      </c>
      <c r="M10466">
        <v>0.99944999999999995</v>
      </c>
      <c r="N10466">
        <v>-1.423897E-2</v>
      </c>
      <c r="O10466">
        <v>2.9950419999999998E-2</v>
      </c>
      <c r="P10466">
        <v>0.99893860000000001</v>
      </c>
      <c r="Q10466">
        <v>-4.405953E-2</v>
      </c>
      <c r="R10466">
        <v>1.3434369999999999E-2</v>
      </c>
      <c r="S10466">
        <v>2.9972379999999998</v>
      </c>
      <c r="T10466">
        <v>-0.15759519999999999</v>
      </c>
      <c r="U10466">
        <v>-7.1899409999999997E-2</v>
      </c>
      <c r="V10466">
        <v>1.6494749999999999E-2</v>
      </c>
      <c r="W10466">
        <v>-2.9831090000000001E-2</v>
      </c>
      <c r="X10466">
        <v>0.9994189</v>
      </c>
      <c r="Y10466">
        <v>5.3799319999999998E-2</v>
      </c>
      <c r="Z10466">
        <v>-2.9438730000000001E-3</v>
      </c>
      <c r="AA10466">
        <v>0.99854739999999997</v>
      </c>
      <c r="AB10466">
        <v>19</v>
      </c>
      <c r="AC10466">
        <v>21.163209999999999</v>
      </c>
      <c r="AD10466">
        <v>-1.121555939307</v>
      </c>
      <c r="AE10466">
        <v>-0.51680000000001702</v>
      </c>
      <c r="AF10466">
        <v>1.14725918813006</v>
      </c>
      <c r="AG10466">
        <v>-1.121555939307</v>
      </c>
      <c r="AH10466">
        <v>21.0790681309809</v>
      </c>
      <c r="AI10466">
        <v>93.0411773958742</v>
      </c>
      <c r="AJ10466">
        <v>86.884666891239107</v>
      </c>
      <c r="AK10466">
        <v>21.140037952668798</v>
      </c>
      <c r="AL10466">
        <v>91.709449064634896</v>
      </c>
      <c r="AM10466">
        <v>89.054456782792101</v>
      </c>
      <c r="AN10466">
        <v>1.0000000541926699</v>
      </c>
    </row>
    <row r="10467" spans="1:40" x14ac:dyDescent="0.25">
      <c r="A10467" t="str">
        <f>"20190303154044879"</f>
        <v>20190303154044879</v>
      </c>
      <c r="B10467" t="str">
        <f>"1551598844868488"</f>
        <v>1551598844868488</v>
      </c>
      <c r="C10467" t="s">
        <v>40</v>
      </c>
      <c r="D10467">
        <v>4.4346459999999999</v>
      </c>
      <c r="E10467">
        <v>0.51442129999999997</v>
      </c>
      <c r="F10467" t="s">
        <v>42</v>
      </c>
      <c r="G10467">
        <v>-82.318479999999994</v>
      </c>
      <c r="H10467" s="1">
        <v>-3.7060339999999998E-6</v>
      </c>
      <c r="I10467">
        <v>137.20140000000001</v>
      </c>
      <c r="J10467">
        <v>-102.7576</v>
      </c>
      <c r="K10467">
        <v>1.1215349999999999</v>
      </c>
      <c r="L10467">
        <v>137.71629999999999</v>
      </c>
      <c r="M10467">
        <v>0.99944809999999995</v>
      </c>
      <c r="N10467">
        <v>-1.4234429999999999E-2</v>
      </c>
      <c r="O10467">
        <v>3.0015730000000001E-2</v>
      </c>
      <c r="P10467">
        <v>0.99895290000000003</v>
      </c>
      <c r="Q10467">
        <v>-4.3630519999999999E-2</v>
      </c>
      <c r="R10467">
        <v>1.37736E-2</v>
      </c>
      <c r="S10467">
        <v>2.9969939999999999</v>
      </c>
      <c r="T10467">
        <v>-0.1629912</v>
      </c>
      <c r="U10467">
        <v>-7.4020390000000005E-2</v>
      </c>
      <c r="V10467">
        <v>1.6221340000000001E-2</v>
      </c>
      <c r="W10467">
        <v>-2.9406290000000002E-2</v>
      </c>
      <c r="X10467">
        <v>0.99943590000000004</v>
      </c>
      <c r="Y10467">
        <v>5.456329E-2</v>
      </c>
      <c r="Z10467">
        <v>-3.075094E-3</v>
      </c>
      <c r="AA10467">
        <v>0.99850559999999999</v>
      </c>
      <c r="AB10467">
        <v>19</v>
      </c>
      <c r="AC10467">
        <v>20.4391199999999</v>
      </c>
      <c r="AD10467">
        <v>-1.1215387060340001</v>
      </c>
      <c r="AE10467">
        <v>-0.51489999999998204</v>
      </c>
      <c r="AF10467">
        <v>1.12484050642244</v>
      </c>
      <c r="AG10467">
        <v>-1.1215387060340001</v>
      </c>
      <c r="AH10467">
        <v>20.353208431782601</v>
      </c>
      <c r="AI10467">
        <v>93.149228219485494</v>
      </c>
      <c r="AJ10467">
        <v>86.836709158647295</v>
      </c>
      <c r="AK10467">
        <v>20.4150975677709</v>
      </c>
      <c r="AL10467">
        <v>91.685099243824595</v>
      </c>
      <c r="AM10467">
        <v>89.070142746137407</v>
      </c>
      <c r="AN10467">
        <v>0.99999998998588402</v>
      </c>
    </row>
    <row r="10468" spans="1:40" x14ac:dyDescent="0.25">
      <c r="A10468" t="str">
        <f>"20190303154044904"</f>
        <v>20190303154044904</v>
      </c>
      <c r="B10468" t="str">
        <f>"1551598844898276"</f>
        <v>1551598844898276</v>
      </c>
      <c r="C10468" t="s">
        <v>40</v>
      </c>
      <c r="D10468">
        <v>4.5150730000000001</v>
      </c>
      <c r="E10468">
        <v>0.51462280000000005</v>
      </c>
      <c r="F10468" t="s">
        <v>42</v>
      </c>
      <c r="G10468">
        <v>-82.125369999999904</v>
      </c>
      <c r="H10468" s="1">
        <v>-3.7885299999999998E-6</v>
      </c>
      <c r="I10468">
        <v>137.20339999999999</v>
      </c>
      <c r="J10468">
        <v>-102.5513</v>
      </c>
      <c r="K10468">
        <v>1.121524</v>
      </c>
      <c r="L10468">
        <v>137.7226</v>
      </c>
      <c r="M10468">
        <v>0.9994461</v>
      </c>
      <c r="N10468">
        <v>-1.422937E-2</v>
      </c>
      <c r="O10468">
        <v>3.0088190000000001E-2</v>
      </c>
      <c r="P10468">
        <v>0.99894119999999997</v>
      </c>
      <c r="Q10468">
        <v>-4.3824490000000001E-2</v>
      </c>
      <c r="R10468">
        <v>1.40021E-2</v>
      </c>
      <c r="S10468">
        <v>2.997055</v>
      </c>
      <c r="T10468">
        <v>-0.16291549999999999</v>
      </c>
      <c r="U10468">
        <v>-7.4508669999999999E-2</v>
      </c>
      <c r="V10468">
        <v>1.6065139999999999E-2</v>
      </c>
      <c r="W10468">
        <v>-2.9605389999999999E-2</v>
      </c>
      <c r="X10468">
        <v>0.9994326</v>
      </c>
      <c r="Y10468">
        <v>5.4797369999999998E-2</v>
      </c>
      <c r="Z10468">
        <v>-3.0845239999999999E-3</v>
      </c>
      <c r="AA10468">
        <v>0.99849270000000001</v>
      </c>
      <c r="AB10468">
        <v>19</v>
      </c>
      <c r="AC10468">
        <v>20.425930000000001</v>
      </c>
      <c r="AD10468">
        <v>-1.1215277885299999</v>
      </c>
      <c r="AE10468">
        <v>-0.51920000000001199</v>
      </c>
      <c r="AF10468">
        <v>1.13020117399548</v>
      </c>
      <c r="AG10468">
        <v>-1.1215277885299999</v>
      </c>
      <c r="AH10468">
        <v>20.339776412721399</v>
      </c>
      <c r="AI10468">
        <v>93.151220975824103</v>
      </c>
      <c r="AJ10468">
        <v>86.819570047659695</v>
      </c>
      <c r="AK10468">
        <v>20.402001955534701</v>
      </c>
      <c r="AL10468">
        <v>91.696511709421401</v>
      </c>
      <c r="AM10468">
        <v>89.079092022364904</v>
      </c>
      <c r="AN10468">
        <v>1.0000000448915101</v>
      </c>
    </row>
    <row r="10469" spans="1:40" x14ac:dyDescent="0.25">
      <c r="A10469" t="str">
        <f>"20190303154044928"</f>
        <v>20190303154044928</v>
      </c>
      <c r="B10469" t="str">
        <f>"1551598844918772"</f>
        <v>1551598844918772</v>
      </c>
      <c r="C10469" t="s">
        <v>40</v>
      </c>
      <c r="D10469">
        <v>4.5082180000000003</v>
      </c>
      <c r="E10469">
        <v>0.51443799999999995</v>
      </c>
      <c r="F10469" t="s">
        <v>42</v>
      </c>
      <c r="G10469">
        <v>-82.200530000000001</v>
      </c>
      <c r="H10469" s="1">
        <v>-3.7550379999999998E-6</v>
      </c>
      <c r="I10469">
        <v>137.21039999999999</v>
      </c>
      <c r="J10469">
        <v>-102.34099999999999</v>
      </c>
      <c r="K10469">
        <v>1.121513</v>
      </c>
      <c r="L10469">
        <v>137.72899999999899</v>
      </c>
      <c r="M10469">
        <v>0.999444</v>
      </c>
      <c r="N10469">
        <v>-1.4224260000000001E-2</v>
      </c>
      <c r="O10469">
        <v>3.016075E-2</v>
      </c>
      <c r="P10469">
        <v>0.99895060000000002</v>
      </c>
      <c r="Q10469">
        <v>-4.3439869999999998E-2</v>
      </c>
      <c r="R10469">
        <v>1.4522719999999999E-2</v>
      </c>
      <c r="S10469">
        <v>2.9969939999999999</v>
      </c>
      <c r="T10469">
        <v>-0.16516330000000001</v>
      </c>
      <c r="U10469">
        <v>-7.5424190000000002E-2</v>
      </c>
      <c r="V10469">
        <v>1.561743E-2</v>
      </c>
      <c r="W10469">
        <v>-2.9225620000000001E-2</v>
      </c>
      <c r="X10469">
        <v>0.99945079999999997</v>
      </c>
      <c r="Y10469">
        <v>5.5170980000000001E-2</v>
      </c>
      <c r="Z10469">
        <v>-3.1435320000000001E-3</v>
      </c>
      <c r="AA10469">
        <v>0.99847200000000003</v>
      </c>
      <c r="AB10469">
        <v>19</v>
      </c>
      <c r="AC10469">
        <v>20.140470000000001</v>
      </c>
      <c r="AD10469">
        <v>-1.1215167550380001</v>
      </c>
      <c r="AE10469">
        <v>-0.51859999999999196</v>
      </c>
      <c r="AF10469">
        <v>1.12239905198441</v>
      </c>
      <c r="AG10469">
        <v>-1.1215167550380001</v>
      </c>
      <c r="AH10469">
        <v>20.053521963177101</v>
      </c>
      <c r="AI10469">
        <v>93.196007514505297</v>
      </c>
      <c r="AJ10469">
        <v>86.796487808844702</v>
      </c>
      <c r="AK10469">
        <v>20.116195529755402</v>
      </c>
      <c r="AL10469">
        <v>91.674743195426501</v>
      </c>
      <c r="AM10469">
        <v>89.104768331744395</v>
      </c>
      <c r="AN10469">
        <v>0.99999997130241403</v>
      </c>
    </row>
    <row r="10470" spans="1:40" x14ac:dyDescent="0.25">
      <c r="A10470" t="str">
        <f>"20190303154044950"</f>
        <v>20190303154044950</v>
      </c>
      <c r="B10470" t="str">
        <f>"1551598844938292"</f>
        <v>1551598844938292</v>
      </c>
      <c r="C10470" t="s">
        <v>40</v>
      </c>
      <c r="D10470">
        <v>4.5114530000000004</v>
      </c>
      <c r="E10470">
        <v>0.51431549999999904</v>
      </c>
      <c r="F10470" t="s">
        <v>42</v>
      </c>
      <c r="G10470">
        <v>-82.187089999999998</v>
      </c>
      <c r="H10470" s="1">
        <v>-3.755345E-6</v>
      </c>
      <c r="I10470">
        <v>137.24119999999999</v>
      </c>
      <c r="J10470">
        <v>-102.1541</v>
      </c>
      <c r="K10470">
        <v>1.1215660000000001</v>
      </c>
      <c r="L10470">
        <v>137.73480000000001</v>
      </c>
      <c r="M10470">
        <v>0.99944</v>
      </c>
      <c r="N10470">
        <v>-1.436291E-2</v>
      </c>
      <c r="O10470">
        <v>3.0223969999999999E-2</v>
      </c>
      <c r="P10470">
        <v>0.99892700000000001</v>
      </c>
      <c r="Q10470">
        <v>-4.4179339999999998E-2</v>
      </c>
      <c r="R10470">
        <v>1.3903179999999999E-2</v>
      </c>
      <c r="S10470">
        <v>2.9969640000000002</v>
      </c>
      <c r="T10470">
        <v>-0.16677310000000001</v>
      </c>
      <c r="U10470">
        <v>-7.2540279999999999E-2</v>
      </c>
      <c r="V10470">
        <v>1.629918E-2</v>
      </c>
      <c r="W10470">
        <v>-2.9827039999999999E-2</v>
      </c>
      <c r="X10470">
        <v>0.99942220000000004</v>
      </c>
      <c r="Y10470">
        <v>5.4273340000000003E-2</v>
      </c>
      <c r="Z10470">
        <v>-3.1453900000000001E-3</v>
      </c>
      <c r="AA10470">
        <v>0.99852110000000005</v>
      </c>
      <c r="AB10470">
        <v>19</v>
      </c>
      <c r="AC10470">
        <v>19.967009999999998</v>
      </c>
      <c r="AD10470">
        <v>-1.1215697553449999</v>
      </c>
      <c r="AE10470">
        <v>-0.49360000000001403</v>
      </c>
      <c r="AF10470">
        <v>1.0934709828838001</v>
      </c>
      <c r="AG10470">
        <v>-1.1215697553449999</v>
      </c>
      <c r="AH10470">
        <v>19.8802782404113</v>
      </c>
      <c r="AI10470">
        <v>93.224124340452903</v>
      </c>
      <c r="AJ10470">
        <v>86.851743913349296</v>
      </c>
      <c r="AK10470">
        <v>19.941892097358402</v>
      </c>
      <c r="AL10470">
        <v>91.709216963829505</v>
      </c>
      <c r="AM10470">
        <v>89.065668700983807</v>
      </c>
      <c r="AN10470">
        <v>1.00000002471833</v>
      </c>
    </row>
    <row r="10471" spans="1:40" x14ac:dyDescent="0.25">
      <c r="A10471" t="str">
        <f>"20190303154044968"</f>
        <v>20190303154044968</v>
      </c>
      <c r="B10471" t="str">
        <f>"1551598844958788"</f>
        <v>1551598844958788</v>
      </c>
      <c r="C10471" t="s">
        <v>40</v>
      </c>
      <c r="D10471">
        <v>4.5261199999999997</v>
      </c>
      <c r="E10471">
        <v>0.51429670000000005</v>
      </c>
      <c r="F10471" t="s">
        <v>42</v>
      </c>
      <c r="G10471">
        <v>-82.609359999999995</v>
      </c>
      <c r="H10471" s="1">
        <v>-3.5716100000000001E-6</v>
      </c>
      <c r="I10471">
        <v>137.25569999999999</v>
      </c>
      <c r="J10471">
        <v>-101.9897</v>
      </c>
      <c r="K10471">
        <v>1.1216839999999999</v>
      </c>
      <c r="L10471">
        <v>137.7398</v>
      </c>
      <c r="M10471">
        <v>0.99943230000000005</v>
      </c>
      <c r="N10471">
        <v>-1.4781549999999999E-2</v>
      </c>
      <c r="O10471">
        <v>3.0278570000000001E-2</v>
      </c>
      <c r="P10471">
        <v>0.9989962</v>
      </c>
      <c r="Q10471">
        <v>-4.2534549999999997E-2</v>
      </c>
      <c r="R10471">
        <v>1.406373E-2</v>
      </c>
      <c r="S10471">
        <v>2.9966279999999998</v>
      </c>
      <c r="T10471">
        <v>-0.17196040000000001</v>
      </c>
      <c r="U10471">
        <v>-7.3440549999999993E-2</v>
      </c>
      <c r="V10471">
        <v>1.619543E-2</v>
      </c>
      <c r="W10471">
        <v>-2.776296E-2</v>
      </c>
      <c r="X10471">
        <v>0.99948329999999996</v>
      </c>
      <c r="Y10471">
        <v>5.4621500000000003E-2</v>
      </c>
      <c r="Z10471">
        <v>-3.2584290000000002E-3</v>
      </c>
      <c r="AA10471">
        <v>0.99850179999999999</v>
      </c>
      <c r="AB10471">
        <v>19</v>
      </c>
      <c r="AC10471">
        <v>19.38034</v>
      </c>
      <c r="AD10471">
        <v>-1.1216875716099901</v>
      </c>
      <c r="AE10471">
        <v>-0.48410000000001202</v>
      </c>
      <c r="AF10471">
        <v>1.06717840622777</v>
      </c>
      <c r="AG10471">
        <v>-1.1216875716099901</v>
      </c>
      <c r="AH10471">
        <v>19.292207638133299</v>
      </c>
      <c r="AI10471">
        <v>93.322477139664301</v>
      </c>
      <c r="AJ10471">
        <v>86.833821822865005</v>
      </c>
      <c r="AK10471">
        <v>19.354232826745498</v>
      </c>
      <c r="AL10471">
        <v>91.5909048999373</v>
      </c>
      <c r="AM10471">
        <v>89.071671747009802</v>
      </c>
      <c r="AN10471">
        <v>0.99999997043986699</v>
      </c>
    </row>
    <row r="10472" spans="1:40" x14ac:dyDescent="0.25">
      <c r="A10472" t="str">
        <f>"20190303154044991"</f>
        <v>20190303154044991</v>
      </c>
      <c r="B10472" t="str">
        <f>"1551598844989044"</f>
        <v>1551598844989044</v>
      </c>
      <c r="C10472" t="s">
        <v>40</v>
      </c>
      <c r="D10472">
        <v>4.5259939999999999</v>
      </c>
      <c r="E10472">
        <v>0.51419820000000005</v>
      </c>
      <c r="F10472" t="s">
        <v>42</v>
      </c>
      <c r="G10472">
        <v>-82.169460000000001</v>
      </c>
      <c r="H10472" s="1">
        <v>-3.7599819999999999E-6</v>
      </c>
      <c r="I10472">
        <v>137.2577</v>
      </c>
      <c r="J10472">
        <v>-101.8112</v>
      </c>
      <c r="K10472">
        <v>1.121904</v>
      </c>
      <c r="L10472">
        <v>137.74529999999999</v>
      </c>
      <c r="M10472">
        <v>0.99941720000000001</v>
      </c>
      <c r="N10472">
        <v>-1.566114E-2</v>
      </c>
      <c r="O10472">
        <v>3.0336390000000001E-2</v>
      </c>
      <c r="P10472">
        <v>0.99899139999999997</v>
      </c>
      <c r="Q10472">
        <v>-4.2452099999999902E-2</v>
      </c>
      <c r="R10472">
        <v>1.464056E-2</v>
      </c>
      <c r="S10472">
        <v>2.9968110000000001</v>
      </c>
      <c r="T10472">
        <v>-0.1695981</v>
      </c>
      <c r="U10472">
        <v>-7.2891239999999996E-2</v>
      </c>
      <c r="V10472">
        <v>1.5676720000000002E-2</v>
      </c>
      <c r="W10472">
        <v>-2.6801169999999999E-2</v>
      </c>
      <c r="X10472">
        <v>0.99951789999999996</v>
      </c>
      <c r="Y10472">
        <v>5.4498980000000002E-2</v>
      </c>
      <c r="Z10472">
        <v>-3.2083099999999998E-3</v>
      </c>
      <c r="AA10472">
        <v>0.99850870000000003</v>
      </c>
      <c r="AB10472">
        <v>19</v>
      </c>
      <c r="AC10472">
        <v>19.641739999999999</v>
      </c>
      <c r="AD10472">
        <v>-1.121907759982</v>
      </c>
      <c r="AE10472">
        <v>-0.48759999999998599</v>
      </c>
      <c r="AF10472">
        <v>1.0797873374832401</v>
      </c>
      <c r="AG10472">
        <v>-1.121907759982</v>
      </c>
      <c r="AH10472">
        <v>19.554147073362198</v>
      </c>
      <c r="AI10472">
        <v>93.278727719248806</v>
      </c>
      <c r="AJ10472">
        <v>86.839315565889393</v>
      </c>
      <c r="AK10472">
        <v>19.616046632356301</v>
      </c>
      <c r="AL10472">
        <v>91.535777750617498</v>
      </c>
      <c r="AM10472">
        <v>89.101430548408004</v>
      </c>
      <c r="AN10472">
        <v>1.00000004734186</v>
      </c>
    </row>
    <row r="10473" spans="1:40" x14ac:dyDescent="0.25">
      <c r="A10473" t="str">
        <f>"20190303154045013"</f>
        <v>20190303154045013</v>
      </c>
      <c r="B10473" t="str">
        <f>"1551598845008095"</f>
        <v>1551598845008095</v>
      </c>
      <c r="C10473" t="s">
        <v>40</v>
      </c>
      <c r="D10473">
        <v>4.5097820000000004</v>
      </c>
      <c r="E10473">
        <v>0.51432259999999996</v>
      </c>
      <c r="F10473" t="s">
        <v>42</v>
      </c>
      <c r="G10473">
        <v>-82.336100000000002</v>
      </c>
      <c r="H10473" s="1">
        <v>-3.6831860000000002E-6</v>
      </c>
      <c r="I10473">
        <v>137.2876</v>
      </c>
      <c r="J10473">
        <v>-101.627</v>
      </c>
      <c r="K10473">
        <v>1.1221669999999999</v>
      </c>
      <c r="L10473">
        <v>137.7509</v>
      </c>
      <c r="M10473">
        <v>0.99939529999999999</v>
      </c>
      <c r="N10473">
        <v>-1.6891469999999999E-2</v>
      </c>
      <c r="O10473">
        <v>3.039563E-2</v>
      </c>
      <c r="P10473">
        <v>0.99887840000000006</v>
      </c>
      <c r="Q10473">
        <v>-4.4902600000000001E-2</v>
      </c>
      <c r="R10473">
        <v>1.502354E-2</v>
      </c>
      <c r="S10473">
        <v>2.9967350000000001</v>
      </c>
      <c r="T10473">
        <v>-0.17263310000000001</v>
      </c>
      <c r="U10473">
        <v>-7.0419309999999999E-2</v>
      </c>
      <c r="V10473">
        <v>1.535044E-2</v>
      </c>
      <c r="W10473">
        <v>-2.8023180000000002E-2</v>
      </c>
      <c r="X10473">
        <v>0.99948939999999997</v>
      </c>
      <c r="Y10473">
        <v>5.3732549999999997E-2</v>
      </c>
      <c r="Z10473">
        <v>-3.2367440000000002E-3</v>
      </c>
      <c r="AA10473">
        <v>0.9985501</v>
      </c>
      <c r="AB10473">
        <v>19</v>
      </c>
      <c r="AC10473">
        <v>19.290900000000001</v>
      </c>
      <c r="AD10473">
        <v>-1.1221706831860001</v>
      </c>
      <c r="AE10473">
        <v>-0.46330000000000299</v>
      </c>
      <c r="AF10473">
        <v>1.0459910923372899</v>
      </c>
      <c r="AG10473">
        <v>-1.1221706831860001</v>
      </c>
      <c r="AH10473">
        <v>19.202956987845099</v>
      </c>
      <c r="AI10473">
        <v>93.339473051369495</v>
      </c>
      <c r="AJ10473">
        <v>86.882162034015096</v>
      </c>
      <c r="AK10473">
        <v>19.2641356277535</v>
      </c>
      <c r="AL10473">
        <v>91.605820167788394</v>
      </c>
      <c r="AM10473">
        <v>89.120104442309298</v>
      </c>
      <c r="AN10473">
        <v>0.99999999766893299</v>
      </c>
    </row>
    <row r="10474" spans="1:40" x14ac:dyDescent="0.25">
      <c r="A10474" t="str">
        <f>"20190303154045036"</f>
        <v>20190303154045036</v>
      </c>
      <c r="B10474" t="str">
        <f>"1551598845028591"</f>
        <v>1551598845028591</v>
      </c>
      <c r="C10474" t="s">
        <v>40</v>
      </c>
      <c r="D10474">
        <v>4.5924529999999999</v>
      </c>
      <c r="E10474">
        <v>0.51420999999999994</v>
      </c>
      <c r="F10474" t="s">
        <v>42</v>
      </c>
      <c r="G10474">
        <v>-83.038399999999996</v>
      </c>
      <c r="H10474" s="1">
        <v>-3.3770149999999998E-6</v>
      </c>
      <c r="I10474">
        <v>137.3151</v>
      </c>
      <c r="J10474">
        <v>-101.4496</v>
      </c>
      <c r="K10474">
        <v>1.1224419999999999</v>
      </c>
      <c r="L10474">
        <v>137.75640000000001</v>
      </c>
      <c r="M10474">
        <v>0.99936840000000005</v>
      </c>
      <c r="N10474">
        <v>-1.8319229999999999E-2</v>
      </c>
      <c r="O10474">
        <v>3.0450939999999999E-2</v>
      </c>
      <c r="P10474">
        <v>0.9986659</v>
      </c>
      <c r="Q10474">
        <v>-4.9505210000000001E-2</v>
      </c>
      <c r="R10474">
        <v>1.469145E-2</v>
      </c>
      <c r="S10474">
        <v>2.996292</v>
      </c>
      <c r="T10474">
        <v>-0.1808816</v>
      </c>
      <c r="U10474">
        <v>-7.0236209999999993E-2</v>
      </c>
      <c r="V10474">
        <v>1.5731869999999998E-2</v>
      </c>
      <c r="W10474">
        <v>-3.120183E-2</v>
      </c>
      <c r="X10474">
        <v>0.99938930000000004</v>
      </c>
      <c r="Y10474">
        <v>5.3717059999999997E-2</v>
      </c>
      <c r="Z10474">
        <v>-3.3912669999999999E-3</v>
      </c>
      <c r="AA10474">
        <v>0.99855039999999995</v>
      </c>
      <c r="AB10474">
        <v>18</v>
      </c>
      <c r="AC10474">
        <v>18.411200000000001</v>
      </c>
      <c r="AD10474">
        <v>-1.122445377015</v>
      </c>
      <c r="AE10474">
        <v>-0.44130000000001202</v>
      </c>
      <c r="AF10474">
        <v>0.99812005557031103</v>
      </c>
      <c r="AG10474">
        <v>-1.122445377015</v>
      </c>
      <c r="AH10474">
        <v>18.321162382983601</v>
      </c>
      <c r="AI10474">
        <v>93.5006639060705</v>
      </c>
      <c r="AJ10474">
        <v>86.881661300391201</v>
      </c>
      <c r="AK10474">
        <v>18.382630887154601</v>
      </c>
      <c r="AL10474">
        <v>91.788023358207795</v>
      </c>
      <c r="AM10474">
        <v>89.098153928116503</v>
      </c>
      <c r="AN10474">
        <v>1.00000000944176</v>
      </c>
    </row>
    <row r="10475" spans="1:40" x14ac:dyDescent="0.25">
      <c r="A10475" t="str">
        <f>"20190303154045057"</f>
        <v>20190303154045057</v>
      </c>
      <c r="B10475" t="str">
        <f>"1551598845048111"</f>
        <v>1551598845048111</v>
      </c>
      <c r="C10475" t="s">
        <v>40</v>
      </c>
      <c r="D10475">
        <v>4.5868310000000001</v>
      </c>
      <c r="E10475">
        <v>0.51414159999999998</v>
      </c>
      <c r="F10475" t="s">
        <v>42</v>
      </c>
      <c r="G10475">
        <v>-84.332099999999997</v>
      </c>
      <c r="H10475" s="1">
        <v>-2.8151719999999998E-6</v>
      </c>
      <c r="I10475">
        <v>137.35380000000001</v>
      </c>
      <c r="J10475">
        <v>-101.27630000000001</v>
      </c>
      <c r="K10475">
        <v>1.1227279999999999</v>
      </c>
      <c r="L10475">
        <v>137.76169999999999</v>
      </c>
      <c r="M10475">
        <v>0.99933559999999999</v>
      </c>
      <c r="N10475">
        <v>-1.9943969999999998E-2</v>
      </c>
      <c r="O10475">
        <v>3.0503300000000001E-2</v>
      </c>
      <c r="P10475">
        <v>0.99850209999999995</v>
      </c>
      <c r="Q10475">
        <v>-5.2824240000000001E-2</v>
      </c>
      <c r="R10475">
        <v>1.425332E-2</v>
      </c>
      <c r="S10475">
        <v>2.9952999999999999</v>
      </c>
      <c r="T10475">
        <v>-0.1964101</v>
      </c>
      <c r="U10475">
        <v>-7.0449830000000005E-2</v>
      </c>
      <c r="V10475">
        <v>1.6218099999999999E-2</v>
      </c>
      <c r="W10475">
        <v>-3.2899669999999999E-2</v>
      </c>
      <c r="X10475">
        <v>0.99932710000000002</v>
      </c>
      <c r="Y10475">
        <v>5.3821149999999998E-2</v>
      </c>
      <c r="Z10475">
        <v>-3.6898619999999999E-3</v>
      </c>
      <c r="AA10475">
        <v>0.99854379999999998</v>
      </c>
      <c r="AB10475">
        <v>18</v>
      </c>
      <c r="AC10475">
        <v>16.944199999999999</v>
      </c>
      <c r="AD10475">
        <v>-1.1227308151719999</v>
      </c>
      <c r="AE10475">
        <v>-0.407899999999983</v>
      </c>
      <c r="AF10475">
        <v>0.92062736284100399</v>
      </c>
      <c r="AG10475">
        <v>-1.1227308151719999</v>
      </c>
      <c r="AH10475">
        <v>16.8499314238951</v>
      </c>
      <c r="AI10475">
        <v>93.806390162680998</v>
      </c>
      <c r="AJ10475">
        <v>86.872647889317903</v>
      </c>
      <c r="AK10475">
        <v>16.912370271919698</v>
      </c>
      <c r="AL10475">
        <v>91.885352392656699</v>
      </c>
      <c r="AM10475">
        <v>89.0702272417264</v>
      </c>
      <c r="AN10475">
        <v>1.00000003392406</v>
      </c>
    </row>
    <row r="10476" spans="1:40" x14ac:dyDescent="0.25">
      <c r="A10476" t="str">
        <f>"20190303154045080"</f>
        <v>20190303154045080</v>
      </c>
      <c r="B10476" t="str">
        <f>"1551598845068607"</f>
        <v>1551598845068607</v>
      </c>
      <c r="C10476" t="s">
        <v>40</v>
      </c>
      <c r="D10476">
        <v>4.5794100000000002</v>
      </c>
      <c r="E10476">
        <v>0.51409470000000002</v>
      </c>
      <c r="F10476" t="s">
        <v>42</v>
      </c>
      <c r="G10476">
        <v>-85.10378</v>
      </c>
      <c r="H10476" s="1">
        <v>-2.4799429999999999E-6</v>
      </c>
      <c r="I10476">
        <v>137.37729999999999</v>
      </c>
      <c r="J10476">
        <v>-101.10980000000001</v>
      </c>
      <c r="K10476">
        <v>1.1230009999999999</v>
      </c>
      <c r="L10476">
        <v>137.76689999999999</v>
      </c>
      <c r="M10476">
        <v>0.99929849999999998</v>
      </c>
      <c r="N10476">
        <v>-2.1663769999999999E-2</v>
      </c>
      <c r="O10476">
        <v>3.0553759999999999E-2</v>
      </c>
      <c r="P10476">
        <v>0.99841650000000004</v>
      </c>
      <c r="Q10476">
        <v>-5.4479359999999998E-2</v>
      </c>
      <c r="R10476">
        <v>1.4029099999999999E-2</v>
      </c>
      <c r="S10476">
        <v>2.994507</v>
      </c>
      <c r="T10476">
        <v>-0.20788409999999999</v>
      </c>
      <c r="U10476">
        <v>-7.1166989999999999E-2</v>
      </c>
      <c r="V10476">
        <v>1.6491059999999998E-2</v>
      </c>
      <c r="W10476">
        <v>-3.2837400000000003E-2</v>
      </c>
      <c r="X10476">
        <v>0.99932460000000001</v>
      </c>
      <c r="Y10476">
        <v>5.4094700000000003E-2</v>
      </c>
      <c r="Z10476">
        <v>-3.9190079999999999E-3</v>
      </c>
      <c r="AA10476">
        <v>0.99852810000000003</v>
      </c>
      <c r="AB10476">
        <v>17</v>
      </c>
      <c r="AC10476">
        <v>16.006019999999999</v>
      </c>
      <c r="AD10476">
        <v>-1.123003479943</v>
      </c>
      <c r="AE10476">
        <v>-0.389600000000001</v>
      </c>
      <c r="AF10476">
        <v>0.87427565857202005</v>
      </c>
      <c r="AG10476">
        <v>-1.123003479943</v>
      </c>
      <c r="AH10476">
        <v>15.908372786726</v>
      </c>
      <c r="AI10476">
        <v>94.031859975646299</v>
      </c>
      <c r="AJ10476">
        <v>86.854363012034298</v>
      </c>
      <c r="AK10476">
        <v>15.971907195591299</v>
      </c>
      <c r="AL10476">
        <v>91.881782808076295</v>
      </c>
      <c r="AM10476">
        <v>89.054579080711505</v>
      </c>
      <c r="AN10476">
        <v>0.99999995303192002</v>
      </c>
    </row>
    <row r="10477" spans="1:40" x14ac:dyDescent="0.25">
      <c r="A10477" t="str">
        <f>"20190303154045103"</f>
        <v>20190303154045103</v>
      </c>
      <c r="B10477" t="str">
        <f>"1551598845098866"</f>
        <v>1551598845098866</v>
      </c>
      <c r="C10477" t="s">
        <v>40</v>
      </c>
      <c r="D10477">
        <v>4.609521</v>
      </c>
      <c r="E10477">
        <v>0.51403290000000001</v>
      </c>
      <c r="F10477" t="s">
        <v>42</v>
      </c>
      <c r="G10477">
        <v>-85.405690000000007</v>
      </c>
      <c r="H10477" s="1">
        <v>-2.3478019999999998E-6</v>
      </c>
      <c r="I10477">
        <v>137.3921</v>
      </c>
      <c r="J10477">
        <v>-100.93859999999999</v>
      </c>
      <c r="K10477">
        <v>1.123246</v>
      </c>
      <c r="L10477">
        <v>137.7722</v>
      </c>
      <c r="M10477">
        <v>0.99925589999999997</v>
      </c>
      <c r="N10477">
        <v>-2.3473150000000002E-2</v>
      </c>
      <c r="O10477">
        <v>3.0608839999999998E-2</v>
      </c>
      <c r="P10477">
        <v>0.99832600000000005</v>
      </c>
      <c r="Q10477">
        <v>-5.6236750000000002E-2</v>
      </c>
      <c r="R10477">
        <v>1.3522269999999999E-2</v>
      </c>
      <c r="S10477">
        <v>2.9940799999999999</v>
      </c>
      <c r="T10477">
        <v>-0.2141063</v>
      </c>
      <c r="U10477">
        <v>-7.1441649999999995E-2</v>
      </c>
      <c r="V10477">
        <v>1.7050900000000001E-2</v>
      </c>
      <c r="W10477">
        <v>-3.278822E-2</v>
      </c>
      <c r="X10477">
        <v>0.99931689999999995</v>
      </c>
      <c r="Y10477">
        <v>5.4232320000000001E-2</v>
      </c>
      <c r="Z10477">
        <v>-4.0418759999999998E-3</v>
      </c>
      <c r="AA10477">
        <v>0.99852010000000002</v>
      </c>
      <c r="AB10477">
        <v>17</v>
      </c>
      <c r="AC10477">
        <v>15.5329099999999</v>
      </c>
      <c r="AD10477">
        <v>-1.1232483478019999</v>
      </c>
      <c r="AE10477">
        <v>-0.380099999999998</v>
      </c>
      <c r="AF10477">
        <v>0.85104938400371699</v>
      </c>
      <c r="AG10477">
        <v>-1.1232483478019999</v>
      </c>
      <c r="AH10477">
        <v>15.433332590673899</v>
      </c>
      <c r="AI10477">
        <v>94.156393414673303</v>
      </c>
      <c r="AJ10477">
        <v>86.843701604622396</v>
      </c>
      <c r="AK10477">
        <v>15.497539377566</v>
      </c>
      <c r="AL10477">
        <v>91.8789633319156</v>
      </c>
      <c r="AM10477">
        <v>89.022482440519298</v>
      </c>
      <c r="AN10477">
        <v>1.0000000335935899</v>
      </c>
    </row>
    <row r="10478" spans="1:40" x14ac:dyDescent="0.25">
      <c r="A10478" t="str">
        <f>"20190303154045132"</f>
        <v>20190303154045132</v>
      </c>
      <c r="B10478" t="str">
        <f>"1551598845128143"</f>
        <v>1551598845128143</v>
      </c>
      <c r="C10478" t="s">
        <v>40</v>
      </c>
      <c r="D10478">
        <v>4.6870459999999996</v>
      </c>
      <c r="E10478">
        <v>0.51400429999999997</v>
      </c>
      <c r="F10478" t="s">
        <v>42</v>
      </c>
      <c r="G10478">
        <v>-85.701480000000004</v>
      </c>
      <c r="H10478" s="1">
        <v>-2.2188790000000001E-6</v>
      </c>
      <c r="I10478">
        <v>137.40350000000001</v>
      </c>
      <c r="J10478">
        <v>-100.7458</v>
      </c>
      <c r="K10478">
        <v>1.1234519999999999</v>
      </c>
      <c r="L10478">
        <v>137.7782</v>
      </c>
      <c r="M10478">
        <v>0.9992067</v>
      </c>
      <c r="N10478">
        <v>-2.5405009999999999E-2</v>
      </c>
      <c r="O10478">
        <v>3.067421E-2</v>
      </c>
      <c r="P10478">
        <v>0.99825560000000002</v>
      </c>
      <c r="Q10478">
        <v>-5.7641440000000002E-2</v>
      </c>
      <c r="R10478">
        <v>1.278022E-2</v>
      </c>
      <c r="S10478">
        <v>2.9935909999999999</v>
      </c>
      <c r="T10478">
        <v>-0.22068080000000001</v>
      </c>
      <c r="U10478">
        <v>-7.2418209999999997E-2</v>
      </c>
      <c r="V10478">
        <v>1.7857060000000001E-2</v>
      </c>
      <c r="W10478">
        <v>-3.2263750000000001E-2</v>
      </c>
      <c r="X10478">
        <v>0.99931990000000004</v>
      </c>
      <c r="Y10478">
        <v>5.4612699999999903E-2</v>
      </c>
      <c r="Z10478">
        <v>-4.1843039999999998E-3</v>
      </c>
      <c r="AA10478">
        <v>0.99849889999999997</v>
      </c>
      <c r="AB10478">
        <v>17</v>
      </c>
      <c r="AC10478">
        <v>15.044320000000001</v>
      </c>
      <c r="AD10478">
        <v>-1.123454218879</v>
      </c>
      <c r="AE10478">
        <v>-0.37469999999998999</v>
      </c>
      <c r="AF10478">
        <v>0.83151101985930698</v>
      </c>
      <c r="AG10478">
        <v>-1.123454218879</v>
      </c>
      <c r="AH10478">
        <v>14.9424630339172</v>
      </c>
      <c r="AI10478">
        <v>94.293096121068402</v>
      </c>
      <c r="AJ10478">
        <v>86.814916909553304</v>
      </c>
      <c r="AK10478">
        <v>15.007690078024799</v>
      </c>
      <c r="AL10478">
        <v>91.848897488938206</v>
      </c>
      <c r="AM10478">
        <v>88.976278472189094</v>
      </c>
      <c r="AN10478">
        <v>1.0000000433459499</v>
      </c>
    </row>
    <row r="10479" spans="1:40" x14ac:dyDescent="0.25">
      <c r="A10479" t="str">
        <f>"20190303154045153"</f>
        <v>20190303154045153</v>
      </c>
      <c r="B10479" t="str">
        <f>"1551598845148639"</f>
        <v>1551598845148639</v>
      </c>
      <c r="C10479" t="s">
        <v>40</v>
      </c>
      <c r="D10479">
        <v>4.6616</v>
      </c>
      <c r="E10479">
        <v>0.51411279999999904</v>
      </c>
      <c r="F10479" t="s">
        <v>42</v>
      </c>
      <c r="G10479">
        <v>-85.948539999999994</v>
      </c>
      <c r="H10479" s="1">
        <v>-2.1118190000000002E-6</v>
      </c>
      <c r="I10479">
        <v>137.40960000000001</v>
      </c>
      <c r="J10479">
        <v>-100.59269999999999</v>
      </c>
      <c r="K10479">
        <v>1.1235459999999999</v>
      </c>
      <c r="L10479">
        <v>137.78290000000001</v>
      </c>
      <c r="M10479">
        <v>0.99916919999999998</v>
      </c>
      <c r="N10479">
        <v>-2.6778059999999999E-2</v>
      </c>
      <c r="O10479">
        <v>3.0726460000000001E-2</v>
      </c>
      <c r="P10479">
        <v>0.99820850000000005</v>
      </c>
      <c r="Q10479">
        <v>-5.8581899999999999E-2</v>
      </c>
      <c r="R10479">
        <v>1.2189530000000001E-2</v>
      </c>
      <c r="S10479">
        <v>2.9930729999999999</v>
      </c>
      <c r="T10479">
        <v>-0.2272429</v>
      </c>
      <c r="U10479">
        <v>-7.4539179999999997E-2</v>
      </c>
      <c r="V10479">
        <v>1.8499060000000001E-2</v>
      </c>
      <c r="W10479">
        <v>-3.1833060000000003E-2</v>
      </c>
      <c r="X10479">
        <v>0.99932200000000004</v>
      </c>
      <c r="Y10479">
        <v>5.5359749999999999E-2</v>
      </c>
      <c r="Z10479">
        <v>-4.3481079999999998E-3</v>
      </c>
      <c r="AA10479">
        <v>0.99845700000000004</v>
      </c>
      <c r="AB10479">
        <v>16</v>
      </c>
      <c r="AC10479">
        <v>14.6441599999999</v>
      </c>
      <c r="AD10479">
        <v>-1.1235481118189901</v>
      </c>
      <c r="AE10479">
        <v>-0.37330000000000002</v>
      </c>
      <c r="AF10479">
        <v>0.818433610958756</v>
      </c>
      <c r="AG10479">
        <v>-1.1235481118189901</v>
      </c>
      <c r="AH10479">
        <v>14.540231266203101</v>
      </c>
      <c r="AI10479">
        <v>94.411605421366602</v>
      </c>
      <c r="AJ10479">
        <v>86.778361943224496</v>
      </c>
      <c r="AK10479">
        <v>14.606523173219101</v>
      </c>
      <c r="AL10479">
        <v>91.824208150151705</v>
      </c>
      <c r="AM10479">
        <v>88.9394839530882</v>
      </c>
      <c r="AN10479">
        <v>1.0000000093069199</v>
      </c>
    </row>
    <row r="10480" spans="1:40" x14ac:dyDescent="0.25">
      <c r="A10480" t="str">
        <f>"20190303154045175"</f>
        <v>20190303154045175</v>
      </c>
      <c r="B10480" t="str">
        <f>"1551598845168159"</f>
        <v>1551598845168159</v>
      </c>
      <c r="C10480" t="s">
        <v>40</v>
      </c>
      <c r="D10480">
        <v>4.6789489999999896</v>
      </c>
      <c r="E10480">
        <v>0.51404589999999994</v>
      </c>
      <c r="F10480" t="s">
        <v>42</v>
      </c>
      <c r="G10480">
        <v>-85.999049999999997</v>
      </c>
      <c r="H10480" s="1">
        <v>-2.0906259999999998E-6</v>
      </c>
      <c r="I10480">
        <v>137.40690000000001</v>
      </c>
      <c r="J10480">
        <v>-100.4414</v>
      </c>
      <c r="K10480">
        <v>1.123607</v>
      </c>
      <c r="L10480">
        <v>137.7876</v>
      </c>
      <c r="M10480">
        <v>0.99913390000000002</v>
      </c>
      <c r="N10480">
        <v>-2.8008100000000001E-2</v>
      </c>
      <c r="O10480">
        <v>3.077707E-2</v>
      </c>
      <c r="P10480">
        <v>0.99815050000000005</v>
      </c>
      <c r="Q10480">
        <v>-5.9756299999999998E-2</v>
      </c>
      <c r="R10480">
        <v>1.118129E-2</v>
      </c>
      <c r="S10480">
        <v>2.9928129999999999</v>
      </c>
      <c r="T10480">
        <v>-0.23041200000000001</v>
      </c>
      <c r="U10480">
        <v>-7.7102660000000003E-2</v>
      </c>
      <c r="V10480">
        <v>1.955664E-2</v>
      </c>
      <c r="W10480">
        <v>-3.177986E-2</v>
      </c>
      <c r="X10480">
        <v>0.99930350000000001</v>
      </c>
      <c r="Y10480">
        <v>5.6256819999999999E-2</v>
      </c>
      <c r="Z10480">
        <v>-4.4560019999999997E-3</v>
      </c>
      <c r="AA10480">
        <v>0.99840640000000003</v>
      </c>
      <c r="AB10480">
        <v>15</v>
      </c>
      <c r="AC10480">
        <v>14.442349999999999</v>
      </c>
      <c r="AD10480">
        <v>-1.1236090906259999</v>
      </c>
      <c r="AE10480">
        <v>-0.38069999999998999</v>
      </c>
      <c r="AF10480">
        <v>0.82022592270945105</v>
      </c>
      <c r="AG10480">
        <v>-1.1236090906259999</v>
      </c>
      <c r="AH10480">
        <v>14.3370626780524</v>
      </c>
      <c r="AI10480">
        <v>94.473878919209298</v>
      </c>
      <c r="AJ10480">
        <v>86.725667385171107</v>
      </c>
      <c r="AK10480">
        <v>14.4043963492825</v>
      </c>
      <c r="AL10480">
        <v>91.821158573580504</v>
      </c>
      <c r="AM10480">
        <v>88.878849202617801</v>
      </c>
      <c r="AN10480">
        <v>0.99999995339097802</v>
      </c>
    </row>
    <row r="10481" spans="1:40" x14ac:dyDescent="0.25">
      <c r="A10481" t="str">
        <f>"20190303154045195"</f>
        <v>20190303154045195</v>
      </c>
      <c r="B10481" t="str">
        <f>"1551598845188656"</f>
        <v>1551598845188656</v>
      </c>
      <c r="C10481" t="s">
        <v>40</v>
      </c>
      <c r="D10481">
        <v>4.6813060000000002</v>
      </c>
      <c r="E10481">
        <v>0.51397820000000005</v>
      </c>
      <c r="F10481" t="s">
        <v>42</v>
      </c>
      <c r="G10481">
        <v>-86.168790000000001</v>
      </c>
      <c r="H10481" s="1">
        <v>-2.0176599999999999E-6</v>
      </c>
      <c r="I10481">
        <v>137.40780000000001</v>
      </c>
      <c r="J10481">
        <v>-100.3137</v>
      </c>
      <c r="K10481">
        <v>1.123634</v>
      </c>
      <c r="L10481">
        <v>137.79169999999999</v>
      </c>
      <c r="M10481">
        <v>0.99910529999999997</v>
      </c>
      <c r="N10481">
        <v>-2.8965939999999999E-2</v>
      </c>
      <c r="O10481">
        <v>3.0818760000000001E-2</v>
      </c>
      <c r="P10481">
        <v>0.99808589999999997</v>
      </c>
      <c r="Q10481">
        <v>-6.0945909999999999E-2</v>
      </c>
      <c r="R10481">
        <v>1.050915E-2</v>
      </c>
      <c r="S10481">
        <v>2.9923549999999999</v>
      </c>
      <c r="T10481">
        <v>-0.23557149999999999</v>
      </c>
      <c r="U10481">
        <v>-7.9635620000000004E-2</v>
      </c>
      <c r="V10481">
        <v>2.0268979999999999E-2</v>
      </c>
      <c r="W10481">
        <v>-3.201391E-2</v>
      </c>
      <c r="X10481">
        <v>0.99928189999999995</v>
      </c>
      <c r="Y10481">
        <v>5.7131769999999998E-2</v>
      </c>
      <c r="Z10481">
        <v>-4.6045790000000001E-3</v>
      </c>
      <c r="AA10481">
        <v>0.99835600000000002</v>
      </c>
      <c r="AB10481">
        <v>15</v>
      </c>
      <c r="AC10481">
        <v>14.1449099999999</v>
      </c>
      <c r="AD10481">
        <v>-1.12363601766</v>
      </c>
      <c r="AE10481">
        <v>-0.38389999999998198</v>
      </c>
      <c r="AF10481">
        <v>0.81469184430325003</v>
      </c>
      <c r="AG10481">
        <v>-1.12363601766</v>
      </c>
      <c r="AH10481">
        <v>14.037831175002401</v>
      </c>
      <c r="AI10481">
        <v>94.568738298360003</v>
      </c>
      <c r="AJ10481">
        <v>86.678539348464099</v>
      </c>
      <c r="AK10481">
        <v>14.1062746605624</v>
      </c>
      <c r="AL10481">
        <v>91.834575358338</v>
      </c>
      <c r="AM10481">
        <v>88.837997783115796</v>
      </c>
      <c r="AN10481">
        <v>1.0000000188256599</v>
      </c>
    </row>
    <row r="10482" spans="1:40" x14ac:dyDescent="0.25">
      <c r="A10482" t="str">
        <f>"20190303154045215"</f>
        <v>20190303154045215</v>
      </c>
      <c r="B10482" t="str">
        <f>"1551598845208175"</f>
        <v>1551598845208175</v>
      </c>
      <c r="C10482" t="s">
        <v>40</v>
      </c>
      <c r="D10482">
        <v>4.6412250000000004</v>
      </c>
      <c r="E10482">
        <v>0.51400459999999903</v>
      </c>
      <c r="F10482" t="s">
        <v>42</v>
      </c>
      <c r="G10482">
        <v>-86.352019999999996</v>
      </c>
      <c r="H10482" s="1">
        <v>-1.9381480000000002E-6</v>
      </c>
      <c r="I10482">
        <v>137.41290000000001</v>
      </c>
      <c r="J10482">
        <v>-100.1905</v>
      </c>
      <c r="K10482">
        <v>1.1236489999999999</v>
      </c>
      <c r="L10482">
        <v>137.7955</v>
      </c>
      <c r="M10482">
        <v>0.99907860000000004</v>
      </c>
      <c r="N10482">
        <v>-2.9826289999999998E-2</v>
      </c>
      <c r="O10482">
        <v>3.0859080000000001E-2</v>
      </c>
      <c r="P10482">
        <v>0.99810849999999995</v>
      </c>
      <c r="Q10482">
        <v>-6.0779510000000002E-2</v>
      </c>
      <c r="R10482">
        <v>9.2367749999999992E-3</v>
      </c>
      <c r="S10482">
        <v>2.9919129999999998</v>
      </c>
      <c r="T10482">
        <v>-0.24078820000000001</v>
      </c>
      <c r="U10482">
        <v>-8.1161499999999998E-2</v>
      </c>
      <c r="V10482">
        <v>2.158241E-2</v>
      </c>
      <c r="W10482">
        <v>-3.0988040000000001E-2</v>
      </c>
      <c r="X10482">
        <v>0.99928669999999997</v>
      </c>
      <c r="Y10482">
        <v>5.7670350000000002E-2</v>
      </c>
      <c r="Z10482">
        <v>-4.7382789999999998E-3</v>
      </c>
      <c r="AA10482">
        <v>0.99832449999999995</v>
      </c>
      <c r="AB10482">
        <v>15</v>
      </c>
      <c r="AC10482">
        <v>13.838480000000001</v>
      </c>
      <c r="AD10482">
        <v>-1.123650938148</v>
      </c>
      <c r="AE10482">
        <v>-0.382599999999996</v>
      </c>
      <c r="AF10482">
        <v>0.80435139940842404</v>
      </c>
      <c r="AG10482">
        <v>-1.123650938148</v>
      </c>
      <c r="AH10482">
        <v>13.7296206766087</v>
      </c>
      <c r="AI10482">
        <v>94.670764347867404</v>
      </c>
      <c r="AJ10482">
        <v>86.647152590646897</v>
      </c>
      <c r="AK10482">
        <v>13.798987518223701</v>
      </c>
      <c r="AL10482">
        <v>91.775768212757995</v>
      </c>
      <c r="AM10482">
        <v>88.762728670028594</v>
      </c>
      <c r="AN10482">
        <v>0.99999998392066902</v>
      </c>
    </row>
    <row r="10483" spans="1:40" x14ac:dyDescent="0.25">
      <c r="A10483" t="str">
        <f>"20190303154045237"</f>
        <v>20190303154045237</v>
      </c>
      <c r="B10483" t="str">
        <f>"1551598845228672"</f>
        <v>1551598845228672</v>
      </c>
      <c r="C10483" t="s">
        <v>40</v>
      </c>
      <c r="D10483">
        <v>4.7150239999999997</v>
      </c>
      <c r="E10483">
        <v>0.51397399999999904</v>
      </c>
      <c r="F10483" t="s">
        <v>42</v>
      </c>
      <c r="G10483">
        <v>-86.195250000000001</v>
      </c>
      <c r="H10483" s="1">
        <v>-2.0081479999999999E-6</v>
      </c>
      <c r="I10483">
        <v>137.3974</v>
      </c>
      <c r="J10483">
        <v>-100.0573</v>
      </c>
      <c r="K10483">
        <v>1.1236740000000001</v>
      </c>
      <c r="L10483">
        <v>137.7997</v>
      </c>
      <c r="M10483">
        <v>0.99905129999999998</v>
      </c>
      <c r="N10483">
        <v>-3.068384E-2</v>
      </c>
      <c r="O10483">
        <v>3.0902720000000002E-2</v>
      </c>
      <c r="P10483">
        <v>0.99810920000000003</v>
      </c>
      <c r="Q10483">
        <v>-6.0978230000000001E-2</v>
      </c>
      <c r="R10483">
        <v>7.7095549999999999E-3</v>
      </c>
      <c r="S10483">
        <v>2.9918520000000002</v>
      </c>
      <c r="T10483">
        <v>-0.24020900000000001</v>
      </c>
      <c r="U10483">
        <v>-8.5098270000000004E-2</v>
      </c>
      <c r="V10483">
        <v>2.315321E-2</v>
      </c>
      <c r="W10483">
        <v>-3.0330880000000001E-2</v>
      </c>
      <c r="X10483">
        <v>0.99927169999999998</v>
      </c>
      <c r="Y10483">
        <v>5.9022489999999997E-2</v>
      </c>
      <c r="Z10483">
        <v>-4.802321E-3</v>
      </c>
      <c r="AA10483">
        <v>0.9982451</v>
      </c>
      <c r="AB10483">
        <v>14</v>
      </c>
      <c r="AC10483">
        <v>13.862049999999901</v>
      </c>
      <c r="AD10483">
        <v>-1.1236760081479999</v>
      </c>
      <c r="AE10483">
        <v>-0.40229999999999599</v>
      </c>
      <c r="AF10483">
        <v>0.82526632429689795</v>
      </c>
      <c r="AG10483">
        <v>-1.1236760081479999</v>
      </c>
      <c r="AH10483">
        <v>13.7526931509048</v>
      </c>
      <c r="AI10483">
        <v>94.662676307083203</v>
      </c>
      <c r="AJ10483">
        <v>86.565934860238698</v>
      </c>
      <c r="AK10483">
        <v>13.823179127112899</v>
      </c>
      <c r="AL10483">
        <v>91.738098011283398</v>
      </c>
      <c r="AM10483">
        <v>88.672689421046599</v>
      </c>
      <c r="AN10483">
        <v>0.99999998191788397</v>
      </c>
    </row>
    <row r="10484" spans="1:40" x14ac:dyDescent="0.25">
      <c r="A10484" t="str">
        <f>"20190303154045258"</f>
        <v>20190303154045258</v>
      </c>
      <c r="B10484" t="str">
        <f>"1551598845248191"</f>
        <v>1551598845248191</v>
      </c>
      <c r="C10484" t="s">
        <v>40</v>
      </c>
      <c r="D10484">
        <v>4.6815889999999998</v>
      </c>
      <c r="E10484">
        <v>0.51385970000000003</v>
      </c>
      <c r="F10484" t="s">
        <v>42</v>
      </c>
      <c r="G10484">
        <v>-86.075000000000003</v>
      </c>
      <c r="H10484" s="1">
        <v>-2.0624669999999999E-6</v>
      </c>
      <c r="I10484">
        <v>137.38200000000001</v>
      </c>
      <c r="J10484">
        <v>-99.926100000000005</v>
      </c>
      <c r="K10484">
        <v>1.1236870000000001</v>
      </c>
      <c r="L10484">
        <v>137.8038</v>
      </c>
      <c r="M10484">
        <v>0.99902619999999998</v>
      </c>
      <c r="N10484">
        <v>-3.144889E-2</v>
      </c>
      <c r="O10484">
        <v>3.0945429999999999E-2</v>
      </c>
      <c r="P10484">
        <v>0.99810750000000004</v>
      </c>
      <c r="Q10484">
        <v>-6.1127439999999998E-2</v>
      </c>
      <c r="R10484">
        <v>6.7050419999999996E-3</v>
      </c>
      <c r="S10484">
        <v>2.9916839999999998</v>
      </c>
      <c r="T10484">
        <v>-0.2404239</v>
      </c>
      <c r="U10484">
        <v>-8.9355470000000006E-2</v>
      </c>
      <c r="V10484">
        <v>2.4200329999999999E-2</v>
      </c>
      <c r="W10484">
        <v>-2.9716360000000001E-2</v>
      </c>
      <c r="X10484">
        <v>0.99926539999999997</v>
      </c>
      <c r="Y10484">
        <v>6.0478940000000002E-2</v>
      </c>
      <c r="Z10484">
        <v>-4.8893540000000003E-3</v>
      </c>
      <c r="AA10484">
        <v>0.99815750000000003</v>
      </c>
      <c r="AB10484">
        <v>14</v>
      </c>
      <c r="AC10484">
        <v>13.851100000000001</v>
      </c>
      <c r="AD10484">
        <v>-1.123689062467</v>
      </c>
      <c r="AE10484">
        <v>-0.42179999999999002</v>
      </c>
      <c r="AF10484">
        <v>0.84488272633719197</v>
      </c>
      <c r="AG10484">
        <v>-1.123689062467</v>
      </c>
      <c r="AH10484">
        <v>13.741047870768</v>
      </c>
      <c r="AI10484">
        <v>94.666248657933707</v>
      </c>
      <c r="AJ10484">
        <v>86.481538388410101</v>
      </c>
      <c r="AK10484">
        <v>13.8127803326162</v>
      </c>
      <c r="AL10484">
        <v>91.702872647826595</v>
      </c>
      <c r="AM10484">
        <v>88.612675087724099</v>
      </c>
      <c r="AN10484">
        <v>1.00000002883045</v>
      </c>
    </row>
    <row r="10485" spans="1:40" x14ac:dyDescent="0.25">
      <c r="A10485" t="str">
        <f>"20190303154045282"</f>
        <v>20190303154045282</v>
      </c>
      <c r="B10485" t="str">
        <f>"1551598845278447"</f>
        <v>1551598845278447</v>
      </c>
      <c r="C10485" t="s">
        <v>40</v>
      </c>
      <c r="D10485">
        <v>4.6637820000000003</v>
      </c>
      <c r="E10485">
        <v>0.51389399999999996</v>
      </c>
      <c r="F10485" t="s">
        <v>42</v>
      </c>
      <c r="G10485">
        <v>-86.018059999999906</v>
      </c>
      <c r="H10485" s="1">
        <v>-2.0875010000000002E-6</v>
      </c>
      <c r="I10485">
        <v>137.37860000000001</v>
      </c>
      <c r="J10485">
        <v>-99.80095</v>
      </c>
      <c r="K10485">
        <v>1.1236889999999999</v>
      </c>
      <c r="L10485">
        <v>137.80770000000001</v>
      </c>
      <c r="M10485">
        <v>0.99900429999999996</v>
      </c>
      <c r="N10485">
        <v>-3.2100860000000002E-2</v>
      </c>
      <c r="O10485">
        <v>3.0983730000000001E-2</v>
      </c>
      <c r="P10485">
        <v>0.99808260000000004</v>
      </c>
      <c r="Q10485">
        <v>-6.164033E-2</v>
      </c>
      <c r="R10485">
        <v>5.6452840000000004E-3</v>
      </c>
      <c r="S10485">
        <v>2.991501</v>
      </c>
      <c r="T10485">
        <v>-0.2416953</v>
      </c>
      <c r="U10485">
        <v>-9.144592E-2</v>
      </c>
      <c r="V10485">
        <v>2.5297380000000001E-2</v>
      </c>
      <c r="W10485">
        <v>-2.9579230000000001E-2</v>
      </c>
      <c r="X10485">
        <v>0.99924219999999997</v>
      </c>
      <c r="Y10485">
        <v>6.1209399999999997E-2</v>
      </c>
      <c r="Z10485">
        <v>-4.9582189999999998E-3</v>
      </c>
      <c r="AA10485">
        <v>0.99811260000000002</v>
      </c>
      <c r="AB10485">
        <v>13</v>
      </c>
      <c r="AC10485">
        <v>13.78289</v>
      </c>
      <c r="AD10485">
        <v>-1.123691087501</v>
      </c>
      <c r="AE10485">
        <v>-0.42910000000000498</v>
      </c>
      <c r="AF10485">
        <v>0.85051158654719405</v>
      </c>
      <c r="AG10485">
        <v>-1.123691087501</v>
      </c>
      <c r="AH10485">
        <v>13.6721755197785</v>
      </c>
      <c r="AI10485">
        <v>94.689450783934106</v>
      </c>
      <c r="AJ10485">
        <v>86.440360869749696</v>
      </c>
      <c r="AK10485">
        <v>13.744614765885901</v>
      </c>
      <c r="AL10485">
        <v>91.695012387830303</v>
      </c>
      <c r="AM10485">
        <v>88.549777456565394</v>
      </c>
      <c r="AN10485">
        <v>0.99999993127154596</v>
      </c>
    </row>
    <row r="10486" spans="1:40" x14ac:dyDescent="0.25">
      <c r="A10486" t="str">
        <f>"20190303154045305"</f>
        <v>20190303154045305</v>
      </c>
      <c r="B10486" t="str">
        <f>"1551598845298943"</f>
        <v>1551598845298943</v>
      </c>
      <c r="C10486" t="s">
        <v>40</v>
      </c>
      <c r="D10486">
        <v>4.6600270000000004</v>
      </c>
      <c r="E10486">
        <v>0.51399830000000002</v>
      </c>
      <c r="F10486" t="s">
        <v>42</v>
      </c>
      <c r="G10486">
        <v>-85.933109999999999</v>
      </c>
      <c r="H10486" s="1">
        <v>-2.1259310000000001E-6</v>
      </c>
      <c r="I10486">
        <v>137.3674</v>
      </c>
      <c r="J10486">
        <v>-99.671880000000002</v>
      </c>
      <c r="K10486">
        <v>1.123686</v>
      </c>
      <c r="L10486">
        <v>137.8117</v>
      </c>
      <c r="M10486">
        <v>0.99898399999999998</v>
      </c>
      <c r="N10486">
        <v>-3.2695299999999997E-2</v>
      </c>
      <c r="O10486">
        <v>3.101895E-2</v>
      </c>
      <c r="P10486">
        <v>0.99793080000000001</v>
      </c>
      <c r="Q10486">
        <v>-6.4125489999999993E-2</v>
      </c>
      <c r="R10486">
        <v>4.7111970000000003E-3</v>
      </c>
      <c r="S10486">
        <v>2.9913479999999999</v>
      </c>
      <c r="T10486">
        <v>-0.24238419999999999</v>
      </c>
      <c r="U10486">
        <v>-9.4970700000000005E-2</v>
      </c>
      <c r="V10486">
        <v>2.6262029999999999E-2</v>
      </c>
      <c r="W10486">
        <v>-3.147494E-2</v>
      </c>
      <c r="X10486">
        <v>0.99915949999999998</v>
      </c>
      <c r="Y10486">
        <v>6.2413759999999999E-2</v>
      </c>
      <c r="Z10486">
        <v>-5.042548E-3</v>
      </c>
      <c r="AA10486">
        <v>0.99803759999999997</v>
      </c>
      <c r="AB10486">
        <v>13</v>
      </c>
      <c r="AC10486">
        <v>13.738770000000001</v>
      </c>
      <c r="AD10486">
        <v>-1.1236881259310001</v>
      </c>
      <c r="AE10486">
        <v>-0.44429999999999797</v>
      </c>
      <c r="AF10486">
        <v>0.86469773252662296</v>
      </c>
      <c r="AG10486">
        <v>-1.1236881259310001</v>
      </c>
      <c r="AH10486">
        <v>13.6272976557246</v>
      </c>
      <c r="AI10486">
        <v>94.704447500224802</v>
      </c>
      <c r="AJ10486">
        <v>86.369258292043696</v>
      </c>
      <c r="AK10486">
        <v>13.700861964515701</v>
      </c>
      <c r="AL10486">
        <v>91.803679049670393</v>
      </c>
      <c r="AM10486">
        <v>88.494377410876098</v>
      </c>
      <c r="AN10486">
        <v>1.00000003625398</v>
      </c>
    </row>
    <row r="10487" spans="1:40" x14ac:dyDescent="0.25">
      <c r="A10487" t="str">
        <f>"20190303154045335"</f>
        <v>20190303154045335</v>
      </c>
      <c r="B10487" t="str">
        <f>"1551598845328223"</f>
        <v>1551598845328223</v>
      </c>
      <c r="C10487" t="s">
        <v>40</v>
      </c>
      <c r="D10487">
        <v>4.6731280000000002</v>
      </c>
      <c r="E10487">
        <v>0.51393329999999904</v>
      </c>
      <c r="F10487" t="s">
        <v>42</v>
      </c>
      <c r="G10487">
        <v>-86.181019999999904</v>
      </c>
      <c r="H10487" s="1">
        <v>-2.0195380000000001E-6</v>
      </c>
      <c r="I10487">
        <v>137.36760000000001</v>
      </c>
      <c r="J10487">
        <v>-99.523910000000001</v>
      </c>
      <c r="K10487">
        <v>1.123672</v>
      </c>
      <c r="L10487">
        <v>137.81630000000001</v>
      </c>
      <c r="M10487">
        <v>0.9989635</v>
      </c>
      <c r="N10487">
        <v>-3.3283489999999999E-2</v>
      </c>
      <c r="O10487">
        <v>3.1052369999999999E-2</v>
      </c>
      <c r="P10487">
        <v>0.99783520000000003</v>
      </c>
      <c r="Q10487">
        <v>-6.5645179999999997E-2</v>
      </c>
      <c r="R10487">
        <v>3.9587279999999999E-3</v>
      </c>
      <c r="S10487">
        <v>2.9906769999999998</v>
      </c>
      <c r="T10487">
        <v>-0.24910060000000001</v>
      </c>
      <c r="U10487">
        <v>-9.8449709999999996E-2</v>
      </c>
      <c r="V10487">
        <v>2.704467E-2</v>
      </c>
      <c r="W10487">
        <v>-3.2410050000000003E-2</v>
      </c>
      <c r="X10487">
        <v>0.99910869999999996</v>
      </c>
      <c r="Y10487">
        <v>6.3590889999999997E-2</v>
      </c>
      <c r="Z10487">
        <v>-5.2532509999999996E-3</v>
      </c>
      <c r="AA10487">
        <v>0.99796220000000002</v>
      </c>
      <c r="AB10487">
        <v>12</v>
      </c>
      <c r="AC10487">
        <v>13.342890000000001</v>
      </c>
      <c r="AD10487">
        <v>-1.1236740195379999</v>
      </c>
      <c r="AE10487">
        <v>-0.44870000000000199</v>
      </c>
      <c r="AF10487">
        <v>0.85697045819102002</v>
      </c>
      <c r="AG10487">
        <v>-1.1236740195379999</v>
      </c>
      <c r="AH10487">
        <v>13.2287922137373</v>
      </c>
      <c r="AI10487">
        <v>94.845030532415393</v>
      </c>
      <c r="AJ10487">
        <v>86.293518139317499</v>
      </c>
      <c r="AK10487">
        <v>13.304058970954401</v>
      </c>
      <c r="AL10487">
        <v>91.857284309201503</v>
      </c>
      <c r="AM10487">
        <v>88.449450840759795</v>
      </c>
      <c r="AN10487">
        <v>1.00000000996605</v>
      </c>
    </row>
    <row r="10488" spans="1:40" x14ac:dyDescent="0.25">
      <c r="A10488" t="str">
        <f>"20190303154045354"</f>
        <v>20190303154045354</v>
      </c>
      <c r="B10488" t="str">
        <f>"1551598845348719"</f>
        <v>1551598845348719</v>
      </c>
      <c r="C10488" t="s">
        <v>40</v>
      </c>
      <c r="D10488">
        <v>4.6801949999999897</v>
      </c>
      <c r="E10488">
        <v>0.51396229999999998</v>
      </c>
      <c r="F10488" t="s">
        <v>42</v>
      </c>
      <c r="G10488">
        <v>-86.289929999999998</v>
      </c>
      <c r="H10488" s="1">
        <v>-1.9719009999999999E-6</v>
      </c>
      <c r="I10488">
        <v>137.37270000000001</v>
      </c>
      <c r="J10488">
        <v>-99.420289999999994</v>
      </c>
      <c r="K10488">
        <v>1.1236660000000001</v>
      </c>
      <c r="L10488">
        <v>137.81960000000001</v>
      </c>
      <c r="M10488">
        <v>0.99895089999999997</v>
      </c>
      <c r="N10488">
        <v>-3.3642739999999997E-2</v>
      </c>
      <c r="O10488">
        <v>3.107039E-2</v>
      </c>
      <c r="P10488">
        <v>0.99770979999999998</v>
      </c>
      <c r="Q10488">
        <v>-6.7515980000000003E-2</v>
      </c>
      <c r="R10488">
        <v>4.1585629999999997E-3</v>
      </c>
      <c r="S10488">
        <v>2.9902039999999999</v>
      </c>
      <c r="T10488">
        <v>-0.25389240000000002</v>
      </c>
      <c r="U10488">
        <v>-0.10021969999999999</v>
      </c>
      <c r="V10488">
        <v>2.6858940000000001E-2</v>
      </c>
      <c r="W10488">
        <v>-3.3924910000000003E-2</v>
      </c>
      <c r="X10488">
        <v>0.99906340000000005</v>
      </c>
      <c r="Y10488">
        <v>6.4188229999999999E-2</v>
      </c>
      <c r="Z10488">
        <v>-5.3909709999999996E-3</v>
      </c>
      <c r="AA10488">
        <v>0.99792329999999996</v>
      </c>
      <c r="AB10488">
        <v>12</v>
      </c>
      <c r="AC10488">
        <v>13.13036</v>
      </c>
      <c r="AD10488">
        <v>-1.1236679719010001</v>
      </c>
      <c r="AE10488">
        <v>-0.44689999999999902</v>
      </c>
      <c r="AF10488">
        <v>0.84867232907318002</v>
      </c>
      <c r="AG10488">
        <v>-1.1236679719010001</v>
      </c>
      <c r="AH10488">
        <v>13.0149149115563</v>
      </c>
      <c r="AI10488">
        <v>94.9240999825887</v>
      </c>
      <c r="AJ10488">
        <v>86.269157401994605</v>
      </c>
      <c r="AK10488">
        <v>13.0908702761987</v>
      </c>
      <c r="AL10488">
        <v>91.944127220915902</v>
      </c>
      <c r="AM10488">
        <v>88.460024344532002</v>
      </c>
      <c r="AN10488">
        <v>0.99999998969799497</v>
      </c>
    </row>
    <row r="10489" spans="1:40" x14ac:dyDescent="0.25">
      <c r="A10489" t="str">
        <f>"20190303154045372"</f>
        <v>20190303154045372</v>
      </c>
      <c r="B10489" t="str">
        <f>"1551598845368239"</f>
        <v>1551598845368239</v>
      </c>
      <c r="C10489" t="s">
        <v>40</v>
      </c>
      <c r="D10489">
        <v>4.6591610000000001</v>
      </c>
      <c r="E10489">
        <v>0.51388540000000005</v>
      </c>
      <c r="F10489" t="s">
        <v>42</v>
      </c>
      <c r="G10489">
        <v>-86.435670000000002</v>
      </c>
      <c r="H10489" s="1">
        <v>-1.90705E-6</v>
      </c>
      <c r="I10489">
        <v>137.38589999999999</v>
      </c>
      <c r="J10489">
        <v>-99.334010000000006</v>
      </c>
      <c r="K10489">
        <v>1.1236630000000001</v>
      </c>
      <c r="L10489">
        <v>137.82230000000001</v>
      </c>
      <c r="M10489">
        <v>0.99894139999999998</v>
      </c>
      <c r="N10489">
        <v>-3.3912400000000002E-2</v>
      </c>
      <c r="O10489">
        <v>3.1082499999999999E-2</v>
      </c>
      <c r="P10489">
        <v>0.99765110000000001</v>
      </c>
      <c r="Q10489">
        <v>-6.8371959999999996E-2</v>
      </c>
      <c r="R10489">
        <v>4.2087579999999999E-3</v>
      </c>
      <c r="S10489">
        <v>2.9898069999999999</v>
      </c>
      <c r="T10489">
        <v>-0.25873239999999997</v>
      </c>
      <c r="U10489">
        <v>-9.9853520000000001E-2</v>
      </c>
      <c r="V10489">
        <v>2.6819010000000001E-2</v>
      </c>
      <c r="W10489">
        <v>-3.4512969999999997E-2</v>
      </c>
      <c r="X10489">
        <v>0.99904440000000005</v>
      </c>
      <c r="Y10489">
        <v>6.4069929999999997E-2</v>
      </c>
      <c r="Z10489">
        <v>-5.4873250000000004E-3</v>
      </c>
      <c r="AA10489">
        <v>0.99793030000000005</v>
      </c>
      <c r="AB10489">
        <v>11</v>
      </c>
      <c r="AC10489">
        <v>12.8983399999999</v>
      </c>
      <c r="AD10489">
        <v>-1.12366490704999</v>
      </c>
      <c r="AE10489">
        <v>-0.43640000000001999</v>
      </c>
      <c r="AF10489">
        <v>0.83103246162093103</v>
      </c>
      <c r="AG10489">
        <v>-1.12366490704999</v>
      </c>
      <c r="AH10489">
        <v>12.7816347267586</v>
      </c>
      <c r="AI10489">
        <v>95.013564590529199</v>
      </c>
      <c r="AJ10489">
        <v>86.279996295779</v>
      </c>
      <c r="AK10489">
        <v>12.8578156801179</v>
      </c>
      <c r="AL10489">
        <v>91.977840184877806</v>
      </c>
      <c r="AM10489">
        <v>88.462283428390194</v>
      </c>
      <c r="AN10489">
        <v>1.0000000587834701</v>
      </c>
    </row>
    <row r="10490" spans="1:40" x14ac:dyDescent="0.25">
      <c r="A10490" t="str">
        <f>"20190303154045393"</f>
        <v>20190303154045393</v>
      </c>
      <c r="B10490" t="str">
        <f>"1551598845388735"</f>
        <v>1551598845388735</v>
      </c>
      <c r="C10490" t="s">
        <v>40</v>
      </c>
      <c r="D10490">
        <v>4.7307620000000004</v>
      </c>
      <c r="E10490">
        <v>0.51371709999999904</v>
      </c>
      <c r="F10490" t="s">
        <v>42</v>
      </c>
      <c r="G10490">
        <v>-86.472589999999997</v>
      </c>
      <c r="H10490" s="1">
        <v>-1.889505E-6</v>
      </c>
      <c r="I10490">
        <v>137.3955</v>
      </c>
      <c r="J10490">
        <v>-99.236859999999993</v>
      </c>
      <c r="K10490">
        <v>1.1236619999999999</v>
      </c>
      <c r="L10490">
        <v>137.8253</v>
      </c>
      <c r="M10490">
        <v>0.99893200000000004</v>
      </c>
      <c r="N10490">
        <v>-3.418235E-2</v>
      </c>
      <c r="O10490">
        <v>3.109222E-2</v>
      </c>
      <c r="P10490">
        <v>0.99760970000000004</v>
      </c>
      <c r="Q10490">
        <v>-6.8944329999999998E-2</v>
      </c>
      <c r="R10490">
        <v>4.6512819999999996E-3</v>
      </c>
      <c r="S10490">
        <v>2.9895939999999999</v>
      </c>
      <c r="T10490">
        <v>-0.26119140000000002</v>
      </c>
      <c r="U10490">
        <v>-9.9197389999999996E-2</v>
      </c>
      <c r="V10490">
        <v>2.6385369999999998E-2</v>
      </c>
      <c r="W10490">
        <v>-3.4816279999999998E-2</v>
      </c>
      <c r="X10490">
        <v>0.99904539999999997</v>
      </c>
      <c r="Y10490">
        <v>6.385747E-2</v>
      </c>
      <c r="Z10490">
        <v>-5.5273120000000004E-3</v>
      </c>
      <c r="AA10490">
        <v>0.99794369999999999</v>
      </c>
      <c r="AB10490">
        <v>11</v>
      </c>
      <c r="AC10490">
        <v>12.7642699999999</v>
      </c>
      <c r="AD10490">
        <v>-1.123663889505</v>
      </c>
      <c r="AE10490">
        <v>-0.42980000000000002</v>
      </c>
      <c r="AF10490">
        <v>0.82034329381448101</v>
      </c>
      <c r="AG10490">
        <v>-1.123663889505</v>
      </c>
      <c r="AH10490">
        <v>12.646823080441999</v>
      </c>
      <c r="AI10490">
        <v>95.066776102108804</v>
      </c>
      <c r="AJ10490">
        <v>86.288676384009406</v>
      </c>
      <c r="AK10490">
        <v>12.7231174514851</v>
      </c>
      <c r="AL10490">
        <v>91.995229062585196</v>
      </c>
      <c r="AM10490">
        <v>88.487136827979995</v>
      </c>
      <c r="AN10490">
        <v>1.00000003618211</v>
      </c>
    </row>
    <row r="10491" spans="1:40" x14ac:dyDescent="0.25">
      <c r="A10491" t="str">
        <f>"20190303154045416"</f>
        <v>20190303154045416</v>
      </c>
      <c r="B10491" t="str">
        <f>"1551598845408255"</f>
        <v>1551598845408255</v>
      </c>
      <c r="C10491" t="s">
        <v>40</v>
      </c>
      <c r="D10491">
        <v>4.7218799999999996</v>
      </c>
      <c r="E10491">
        <v>0.51354940000000004</v>
      </c>
      <c r="F10491" t="s">
        <v>42</v>
      </c>
      <c r="G10491">
        <v>-86.474519999999998</v>
      </c>
      <c r="H10491" s="1">
        <v>-1.8854439999999999E-6</v>
      </c>
      <c r="I10491">
        <v>137.41370000000001</v>
      </c>
      <c r="J10491">
        <v>-99.136920000000003</v>
      </c>
      <c r="K10491">
        <v>1.1236660000000001</v>
      </c>
      <c r="L10491">
        <v>137.82839999999999</v>
      </c>
      <c r="M10491">
        <v>0.99892340000000002</v>
      </c>
      <c r="N10491">
        <v>-3.4425480000000001E-2</v>
      </c>
      <c r="O10491">
        <v>3.109814E-2</v>
      </c>
      <c r="P10491">
        <v>0.99754069999999995</v>
      </c>
      <c r="Q10491">
        <v>-6.9946980000000006E-2</v>
      </c>
      <c r="R10491">
        <v>4.496941E-3</v>
      </c>
      <c r="S10491">
        <v>2.9894560000000001</v>
      </c>
      <c r="T10491">
        <v>-0.26320700000000002</v>
      </c>
      <c r="U10491">
        <v>-9.6405030000000003E-2</v>
      </c>
      <c r="V10491">
        <v>2.6543279999999999E-2</v>
      </c>
      <c r="W10491">
        <v>-3.5577989999999997E-2</v>
      </c>
      <c r="X10491">
        <v>0.99901430000000002</v>
      </c>
      <c r="Y10491">
        <v>6.2932989999999994E-2</v>
      </c>
      <c r="Z10491">
        <v>-5.5138820000000003E-3</v>
      </c>
      <c r="AA10491">
        <v>0.99800250000000001</v>
      </c>
      <c r="AB10491">
        <v>10</v>
      </c>
      <c r="AC10491">
        <v>12.6623999999999</v>
      </c>
      <c r="AD10491">
        <v>-1.1236678854440001</v>
      </c>
      <c r="AE10491">
        <v>-0.41469999999998203</v>
      </c>
      <c r="AF10491">
        <v>0.80219933040590596</v>
      </c>
      <c r="AG10491">
        <v>-1.1236678854440001</v>
      </c>
      <c r="AH10491">
        <v>12.544682330276901</v>
      </c>
      <c r="AI10491">
        <v>95.108130528442203</v>
      </c>
      <c r="AJ10491">
        <v>86.341068120336004</v>
      </c>
      <c r="AK10491">
        <v>12.620428203909899</v>
      </c>
      <c r="AL10491">
        <v>92.038899053475205</v>
      </c>
      <c r="AM10491">
        <v>88.478039600764305</v>
      </c>
      <c r="AN10491">
        <v>0.99999995534504305</v>
      </c>
    </row>
    <row r="10492" spans="1:40" x14ac:dyDescent="0.25">
      <c r="A10492" t="str">
        <f>"20190303154045438"</f>
        <v>20190303154045438</v>
      </c>
      <c r="B10492" t="str">
        <f>"1551598845428752"</f>
        <v>1551598845428752</v>
      </c>
      <c r="C10492" t="s">
        <v>40</v>
      </c>
      <c r="D10492">
        <v>4.7111010000000002</v>
      </c>
      <c r="E10492">
        <v>0.51340450000000004</v>
      </c>
      <c r="F10492" t="s">
        <v>42</v>
      </c>
      <c r="G10492">
        <v>-86.521550000000005</v>
      </c>
      <c r="H10492" s="1">
        <v>-1.863146E-6</v>
      </c>
      <c r="I10492">
        <v>137.42570000000001</v>
      </c>
      <c r="J10492">
        <v>-99.042140000000003</v>
      </c>
      <c r="K10492">
        <v>1.1236790000000001</v>
      </c>
      <c r="L10492">
        <v>137.8314</v>
      </c>
      <c r="M10492">
        <v>0.99891640000000004</v>
      </c>
      <c r="N10492">
        <v>-3.4625830000000003E-2</v>
      </c>
      <c r="O10492">
        <v>3.1100300000000001E-2</v>
      </c>
      <c r="P10492">
        <v>0.99755870000000002</v>
      </c>
      <c r="Q10492">
        <v>-6.969475E-2</v>
      </c>
      <c r="R10492">
        <v>4.4108250000000002E-3</v>
      </c>
      <c r="S10492">
        <v>2.989166</v>
      </c>
      <c r="T10492">
        <v>-0.26624829999999999</v>
      </c>
      <c r="U10492">
        <v>-9.5413209999999998E-2</v>
      </c>
      <c r="V10492">
        <v>2.663227E-2</v>
      </c>
      <c r="W10492">
        <v>-3.5125179999999999E-2</v>
      </c>
      <c r="X10492">
        <v>0.99902800000000003</v>
      </c>
      <c r="Y10492">
        <v>6.2600779999999995E-2</v>
      </c>
      <c r="Z10492">
        <v>-5.5574789999999997E-3</v>
      </c>
      <c r="AA10492">
        <v>0.9980232</v>
      </c>
      <c r="AB10492">
        <v>10</v>
      </c>
      <c r="AC10492">
        <v>12.52059</v>
      </c>
      <c r="AD10492">
        <v>-1.123680863146</v>
      </c>
      <c r="AE10492">
        <v>-0.40569999999999601</v>
      </c>
      <c r="AF10492">
        <v>0.78878466176465001</v>
      </c>
      <c r="AG10492">
        <v>-1.123680863146</v>
      </c>
      <c r="AH10492">
        <v>12.4021136189312</v>
      </c>
      <c r="AI10492">
        <v>95.166707579518402</v>
      </c>
      <c r="AJ10492">
        <v>86.360842730225301</v>
      </c>
      <c r="AK10492">
        <v>12.477870897781999</v>
      </c>
      <c r="AL10492">
        <v>92.012938632548796</v>
      </c>
      <c r="AM10492">
        <v>88.472960362197895</v>
      </c>
      <c r="AN10492">
        <v>1.0000000004296901</v>
      </c>
    </row>
    <row r="10493" spans="1:40" x14ac:dyDescent="0.25">
      <c r="A10493" t="str">
        <f>"20190303154045459"</f>
        <v>20190303154045459</v>
      </c>
      <c r="B10493" t="str">
        <f>"1551598845448271"</f>
        <v>1551598845448271</v>
      </c>
      <c r="C10493" t="s">
        <v>40</v>
      </c>
      <c r="D10493">
        <v>4.7282659999999996</v>
      </c>
      <c r="E10493">
        <v>0.51332860000000002</v>
      </c>
      <c r="F10493" t="s">
        <v>42</v>
      </c>
      <c r="G10493">
        <v>-86.395790000000005</v>
      </c>
      <c r="H10493" s="1">
        <v>-1.9161019999999998E-6</v>
      </c>
      <c r="I10493">
        <v>137.43129999999999</v>
      </c>
      <c r="J10493">
        <v>-98.953739999999996</v>
      </c>
      <c r="K10493">
        <v>1.1236930000000001</v>
      </c>
      <c r="L10493">
        <v>137.83410000000001</v>
      </c>
      <c r="M10493">
        <v>0.99891079999999999</v>
      </c>
      <c r="N10493">
        <v>-3.4787720000000001E-2</v>
      </c>
      <c r="O10493">
        <v>3.110007E-2</v>
      </c>
      <c r="P10493">
        <v>0.99754770000000004</v>
      </c>
      <c r="Q10493">
        <v>-6.9884169999999995E-2</v>
      </c>
      <c r="R10493">
        <v>3.8526960000000001E-3</v>
      </c>
      <c r="S10493">
        <v>2.9891969999999999</v>
      </c>
      <c r="T10493">
        <v>-0.265602</v>
      </c>
      <c r="U10493">
        <v>-9.4558719999999999E-2</v>
      </c>
      <c r="V10493">
        <v>2.7189620000000001E-2</v>
      </c>
      <c r="W10493">
        <v>-3.515368E-2</v>
      </c>
      <c r="X10493">
        <v>0.99901200000000001</v>
      </c>
      <c r="Y10493">
        <v>6.231855E-2</v>
      </c>
      <c r="Z10493">
        <v>-5.5266100000000004E-3</v>
      </c>
      <c r="AA10493">
        <v>0.99804099999999996</v>
      </c>
      <c r="AB10493">
        <v>10</v>
      </c>
      <c r="AC10493">
        <v>12.5579499999999</v>
      </c>
      <c r="AD10493">
        <v>-1.123694916102</v>
      </c>
      <c r="AE10493">
        <v>-0.40280000000001298</v>
      </c>
      <c r="AF10493">
        <v>0.78709887178464</v>
      </c>
      <c r="AG10493">
        <v>-1.123694916102</v>
      </c>
      <c r="AH10493">
        <v>12.439832399319901</v>
      </c>
      <c r="AI10493">
        <v>95.151296396671299</v>
      </c>
      <c r="AJ10493">
        <v>86.379580929770995</v>
      </c>
      <c r="AK10493">
        <v>12.5152564904442</v>
      </c>
      <c r="AL10493">
        <v>92.014572539169194</v>
      </c>
      <c r="AM10493">
        <v>88.440993711584696</v>
      </c>
      <c r="AN10493">
        <v>1.00000001639864</v>
      </c>
    </row>
    <row r="10494" spans="1:40" x14ac:dyDescent="0.25">
      <c r="A10494" t="str">
        <f>"20190303154045482"</f>
        <v>20190303154045482</v>
      </c>
      <c r="B10494" t="str">
        <f>"1551598845478527"</f>
        <v>1551598845478527</v>
      </c>
      <c r="C10494" t="s">
        <v>40</v>
      </c>
      <c r="D10494">
        <v>4.7118010000000004</v>
      </c>
      <c r="E10494">
        <v>0.5131289</v>
      </c>
      <c r="F10494" t="s">
        <v>42</v>
      </c>
      <c r="G10494">
        <v>-86.300250000000005</v>
      </c>
      <c r="H10494" s="1">
        <v>-1.9572800000000002E-6</v>
      </c>
      <c r="I10494">
        <v>137.43020000000001</v>
      </c>
      <c r="J10494">
        <v>-98.868070000000003</v>
      </c>
      <c r="K10494">
        <v>1.123718</v>
      </c>
      <c r="L10494">
        <v>137.83680000000001</v>
      </c>
      <c r="M10494">
        <v>0.99890619999999997</v>
      </c>
      <c r="N10494">
        <v>-3.4923000000000003E-2</v>
      </c>
      <c r="O10494">
        <v>3.1098310000000001E-2</v>
      </c>
      <c r="P10494">
        <v>0.99757839999999998</v>
      </c>
      <c r="Q10494">
        <v>-6.9496989999999995E-2</v>
      </c>
      <c r="R10494">
        <v>2.8046820000000002E-3</v>
      </c>
      <c r="S10494">
        <v>2.9891359999999998</v>
      </c>
      <c r="T10494">
        <v>-0.26545020000000003</v>
      </c>
      <c r="U10494">
        <v>-9.5413209999999998E-2</v>
      </c>
      <c r="V10494">
        <v>2.8236600000000001E-2</v>
      </c>
      <c r="W10494">
        <v>-3.4631599999999998E-2</v>
      </c>
      <c r="X10494">
        <v>0.99900109999999998</v>
      </c>
      <c r="Y10494">
        <v>6.2601309999999993E-2</v>
      </c>
      <c r="Z10494">
        <v>-5.5409789999999997E-3</v>
      </c>
      <c r="AA10494">
        <v>0.9980232</v>
      </c>
      <c r="AB10494">
        <v>9</v>
      </c>
      <c r="AC10494">
        <v>12.5678199999999</v>
      </c>
      <c r="AD10494">
        <v>-1.1237199572799901</v>
      </c>
      <c r="AE10494">
        <v>-0.40659999999999702</v>
      </c>
      <c r="AF10494">
        <v>0.79116115748726301</v>
      </c>
      <c r="AG10494">
        <v>-1.1237199572799901</v>
      </c>
      <c r="AH10494">
        <v>12.449655772237101</v>
      </c>
      <c r="AI10494">
        <v>95.147278346492598</v>
      </c>
      <c r="AJ10494">
        <v>86.363809394746099</v>
      </c>
      <c r="AK10494">
        <v>12.5252788937693</v>
      </c>
      <c r="AL10494">
        <v>91.984641513009294</v>
      </c>
      <c r="AM10494">
        <v>88.380975372811093</v>
      </c>
      <c r="AN10494">
        <v>0.99999992554966199</v>
      </c>
    </row>
    <row r="10495" spans="1:40" x14ac:dyDescent="0.25">
      <c r="A10495" t="str">
        <f>"20190303154045504"</f>
        <v>20190303154045504</v>
      </c>
      <c r="B10495" t="str">
        <f>"1551598845498047"</f>
        <v>1551598845498047</v>
      </c>
      <c r="C10495" t="s">
        <v>40</v>
      </c>
      <c r="D10495">
        <v>4.7139800000000003</v>
      </c>
      <c r="E10495">
        <v>0.49872810000000001</v>
      </c>
      <c r="F10495" t="s">
        <v>42</v>
      </c>
      <c r="G10495">
        <v>-86.149150000000006</v>
      </c>
      <c r="H10495" s="1">
        <v>-2.0232069999999999E-6</v>
      </c>
      <c r="I10495">
        <v>137.42400000000001</v>
      </c>
      <c r="J10495">
        <v>-98.786910000000006</v>
      </c>
      <c r="K10495">
        <v>1.123742</v>
      </c>
      <c r="L10495">
        <v>137.83930000000001</v>
      </c>
      <c r="M10495">
        <v>0.99890230000000002</v>
      </c>
      <c r="N10495">
        <v>-3.5032639999999997E-2</v>
      </c>
      <c r="O10495">
        <v>3.1096550000000001E-2</v>
      </c>
      <c r="P10495">
        <v>0.99766169999999998</v>
      </c>
      <c r="Q10495">
        <v>-6.8311319999999995E-2</v>
      </c>
      <c r="R10495">
        <v>2.2883959999999998E-3</v>
      </c>
      <c r="S10495">
        <v>2.989166</v>
      </c>
      <c r="T10495">
        <v>-0.26409300000000002</v>
      </c>
      <c r="U10495">
        <v>-9.7015379999999998E-2</v>
      </c>
      <c r="V10495">
        <v>2.8753529999999999E-2</v>
      </c>
      <c r="W10495">
        <v>-3.333465E-2</v>
      </c>
      <c r="X10495">
        <v>0.99903050000000004</v>
      </c>
      <c r="Y10495">
        <v>6.3134469999999998E-2</v>
      </c>
      <c r="Z10495">
        <v>-5.5455130000000002E-3</v>
      </c>
      <c r="AA10495">
        <v>0.99798960000000003</v>
      </c>
      <c r="AB10495">
        <v>9</v>
      </c>
      <c r="AC10495">
        <v>12.637759999999901</v>
      </c>
      <c r="AD10495">
        <v>-1.123744023207</v>
      </c>
      <c r="AE10495">
        <v>-0.415300000000002</v>
      </c>
      <c r="AF10495">
        <v>0.80199670787934996</v>
      </c>
      <c r="AG10495">
        <v>-1.123744023207</v>
      </c>
      <c r="AH10495">
        <v>12.519834715767701</v>
      </c>
      <c r="AI10495">
        <v>95.118523660997297</v>
      </c>
      <c r="AJ10495">
        <v>86.334749661644295</v>
      </c>
      <c r="AK10495">
        <v>12.595723903741501</v>
      </c>
      <c r="AL10495">
        <v>91.910288744533602</v>
      </c>
      <c r="AM10495">
        <v>88.351400443188297</v>
      </c>
      <c r="AN10495">
        <v>0.99999995215416504</v>
      </c>
    </row>
    <row r="10496" spans="1:40" x14ac:dyDescent="0.25">
      <c r="A10496" t="str">
        <f>"20190303154045532"</f>
        <v>20190303154045532</v>
      </c>
      <c r="B10496" t="str">
        <f>"1551598845528303"</f>
        <v>1551598845528303</v>
      </c>
      <c r="C10496" t="s">
        <v>40</v>
      </c>
      <c r="D10496">
        <v>4.7357950000000004</v>
      </c>
      <c r="E10496">
        <v>0.49169410000000002</v>
      </c>
      <c r="F10496" t="s">
        <v>42</v>
      </c>
      <c r="G10496">
        <v>-82.757189999999994</v>
      </c>
      <c r="H10496" s="1">
        <v>-3.3885810000000002E-6</v>
      </c>
      <c r="I10496">
        <v>137.93</v>
      </c>
      <c r="J10496">
        <v>-98.698300000000003</v>
      </c>
      <c r="K10496">
        <v>1.1237649999999999</v>
      </c>
      <c r="L10496">
        <v>137.84209999999999</v>
      </c>
      <c r="M10496">
        <v>0.99889890000000003</v>
      </c>
      <c r="N10496">
        <v>-3.5132389999999999E-2</v>
      </c>
      <c r="O10496">
        <v>3.1094989999999999E-2</v>
      </c>
      <c r="P10496">
        <v>0.99765769999999998</v>
      </c>
      <c r="Q10496">
        <v>-6.8378549999999996E-2</v>
      </c>
      <c r="R10496">
        <v>1.942112E-3</v>
      </c>
      <c r="S10496">
        <v>2.9926300000000001</v>
      </c>
      <c r="T10496">
        <v>-0.2097946</v>
      </c>
      <c r="U10496">
        <v>1.6937259999999999E-2</v>
      </c>
      <c r="V10496">
        <v>2.909832E-2</v>
      </c>
      <c r="W10496">
        <v>-3.3302569999999997E-2</v>
      </c>
      <c r="X10496">
        <v>0.99902159999999995</v>
      </c>
      <c r="Y10496">
        <v>2.5344459999999999E-2</v>
      </c>
      <c r="Z10496">
        <v>-2.4180579999999998E-3</v>
      </c>
      <c r="AA10496">
        <v>0.99967589999999995</v>
      </c>
      <c r="AB10496">
        <v>8</v>
      </c>
      <c r="AC10496">
        <v>15.941109999999901</v>
      </c>
      <c r="AD10496">
        <v>-1.1237683885809999</v>
      </c>
      <c r="AE10496">
        <v>8.7900000000018894E-2</v>
      </c>
      <c r="AF10496">
        <v>0.406119193744225</v>
      </c>
      <c r="AG10496">
        <v>-1.1237683885809999</v>
      </c>
      <c r="AH10496">
        <v>15.8573255550459</v>
      </c>
      <c r="AI10496">
        <v>94.052305064497403</v>
      </c>
      <c r="AJ10496">
        <v>88.532928504923802</v>
      </c>
      <c r="AK10496">
        <v>15.902281658599</v>
      </c>
      <c r="AL10496">
        <v>91.908449649595497</v>
      </c>
      <c r="AM10496">
        <v>88.331627969455894</v>
      </c>
      <c r="AN10496">
        <v>0.999999965330993</v>
      </c>
    </row>
    <row r="10497" spans="1:40" x14ac:dyDescent="0.25">
      <c r="A10497" t="str">
        <f>"20190303154045556"</f>
        <v>20190303154045556</v>
      </c>
      <c r="B10497" t="str">
        <f>"1551598845548799"</f>
        <v>1551598845548799</v>
      </c>
      <c r="C10497" t="s">
        <v>40</v>
      </c>
      <c r="D10497">
        <v>4.7055150000000001</v>
      </c>
      <c r="E10497">
        <v>0.49054140000000002</v>
      </c>
      <c r="F10497" t="s">
        <v>42</v>
      </c>
      <c r="G10497">
        <v>-80.335530000000006</v>
      </c>
      <c r="H10497" s="1">
        <v>-4.364421E-6</v>
      </c>
      <c r="I10497">
        <v>138.28550000000001</v>
      </c>
      <c r="J10497">
        <v>-98.620469999999997</v>
      </c>
      <c r="K10497">
        <v>1.123837</v>
      </c>
      <c r="L10497">
        <v>137.84450000000001</v>
      </c>
      <c r="M10497">
        <v>0.99888949999999999</v>
      </c>
      <c r="N10497">
        <v>-3.5400090000000002E-2</v>
      </c>
      <c r="O10497">
        <v>3.1094090000000001E-2</v>
      </c>
      <c r="P10497">
        <v>0.9975543</v>
      </c>
      <c r="Q10497">
        <v>-6.9870660000000001E-2</v>
      </c>
      <c r="R10497">
        <v>1.940322E-3</v>
      </c>
      <c r="S10497">
        <v>2.994354</v>
      </c>
      <c r="T10497">
        <v>-0.18324889999999999</v>
      </c>
      <c r="U10497">
        <v>7.2311399999999998E-2</v>
      </c>
      <c r="V10497">
        <v>2.909643E-2</v>
      </c>
      <c r="W10497">
        <v>-3.4529730000000002E-2</v>
      </c>
      <c r="X10497">
        <v>0.99897999999999998</v>
      </c>
      <c r="Y10497">
        <v>6.9431950000000001E-3</v>
      </c>
      <c r="Z10497">
        <v>-1.135074E-3</v>
      </c>
      <c r="AA10497">
        <v>0.99997530000000001</v>
      </c>
      <c r="AB10497">
        <v>8</v>
      </c>
      <c r="AC10497">
        <v>18.284939999999899</v>
      </c>
      <c r="AD10497">
        <v>-1.1238413644209999</v>
      </c>
      <c r="AE10497">
        <v>0.441000000000002</v>
      </c>
      <c r="AF10497">
        <v>0.12764168359450601</v>
      </c>
      <c r="AG10497">
        <v>-1.1238413644209999</v>
      </c>
      <c r="AH10497">
        <v>18.221015733482101</v>
      </c>
      <c r="AI10497">
        <v>93.529349138328499</v>
      </c>
      <c r="AJ10497">
        <v>89.598638723431094</v>
      </c>
      <c r="AK10497">
        <v>18.256087373026499</v>
      </c>
      <c r="AL10497">
        <v>91.978801205702396</v>
      </c>
      <c r="AM10497">
        <v>88.331666841286193</v>
      </c>
      <c r="AN10497">
        <v>0.99999997244630801</v>
      </c>
    </row>
    <row r="10498" spans="1:40" x14ac:dyDescent="0.25">
      <c r="A10498" t="str">
        <f>"20190303154045577"</f>
        <v>20190303154045577</v>
      </c>
      <c r="B10498" t="str">
        <f>"1551598845568319"</f>
        <v>1551598845568319</v>
      </c>
      <c r="C10498" t="s">
        <v>40</v>
      </c>
      <c r="D10498">
        <v>4.6874129999999896</v>
      </c>
      <c r="E10498">
        <v>0.490143</v>
      </c>
      <c r="F10498" t="s">
        <v>42</v>
      </c>
      <c r="G10498">
        <v>-79.645969999999906</v>
      </c>
      <c r="H10498" s="1">
        <v>-4.4047160000000001E-7</v>
      </c>
      <c r="I10498">
        <v>138.3614</v>
      </c>
      <c r="J10498">
        <v>-98.561599999999999</v>
      </c>
      <c r="K10498">
        <v>1.1240509999999999</v>
      </c>
      <c r="L10498">
        <v>137.84630000000001</v>
      </c>
      <c r="M10498">
        <v>0.99885829999999998</v>
      </c>
      <c r="N10498">
        <v>-3.626981E-2</v>
      </c>
      <c r="O10498">
        <v>3.1092789999999999E-2</v>
      </c>
      <c r="P10498">
        <v>0.99743820000000005</v>
      </c>
      <c r="Q10498">
        <v>-7.1522939999999993E-2</v>
      </c>
      <c r="R10498">
        <v>1.3051009999999999E-3</v>
      </c>
      <c r="S10498">
        <v>2.9947659999999998</v>
      </c>
      <c r="T10498">
        <v>-0.17737629999999999</v>
      </c>
      <c r="U10498">
        <v>8.1588750000000002E-2</v>
      </c>
      <c r="V10498">
        <v>2.97275E-2</v>
      </c>
      <c r="W10498">
        <v>-3.5316449999999999E-2</v>
      </c>
      <c r="X10498">
        <v>0.99893399999999999</v>
      </c>
      <c r="Y10498">
        <v>3.8621649999999999E-3</v>
      </c>
      <c r="Z10498">
        <v>-8.9588089999999895E-4</v>
      </c>
      <c r="AA10498">
        <v>0.99999210000000005</v>
      </c>
      <c r="AB10498">
        <v>7</v>
      </c>
      <c r="AC10498">
        <v>18.91563</v>
      </c>
      <c r="AD10498">
        <v>-1.1240514404716</v>
      </c>
      <c r="AE10498">
        <v>0.51509999999998901</v>
      </c>
      <c r="AF10498">
        <v>7.3417207637808998E-2</v>
      </c>
      <c r="AG10498">
        <v>-1.1240514404716</v>
      </c>
      <c r="AH10498">
        <v>18.855962599480101</v>
      </c>
      <c r="AI10498">
        <v>93.411482699898102</v>
      </c>
      <c r="AJ10498">
        <v>89.776915399439304</v>
      </c>
      <c r="AK10498">
        <v>18.8895793304191</v>
      </c>
      <c r="AL10498">
        <v>92.023904287196402</v>
      </c>
      <c r="AM10498">
        <v>88.295425179652796</v>
      </c>
      <c r="AN10498">
        <v>1.00000005612642</v>
      </c>
    </row>
    <row r="10499" spans="1:40" x14ac:dyDescent="0.25">
      <c r="A10499" t="str">
        <f>"20190303154045595"</f>
        <v>20190303154045595</v>
      </c>
      <c r="B10499" t="str">
        <f>"1551598845588815"</f>
        <v>1551598845588815</v>
      </c>
      <c r="C10499" t="s">
        <v>40</v>
      </c>
      <c r="D10499">
        <v>4.6811339999999904</v>
      </c>
      <c r="E10499">
        <v>0.48971910000000002</v>
      </c>
      <c r="F10499" t="s">
        <v>42</v>
      </c>
      <c r="G10499">
        <v>-79.616609999999994</v>
      </c>
      <c r="H10499" s="1">
        <v>-4.478795E-7</v>
      </c>
      <c r="I10499">
        <v>138.37110000000001</v>
      </c>
      <c r="J10499">
        <v>-98.513949999999994</v>
      </c>
      <c r="K10499">
        <v>1.1242909999999999</v>
      </c>
      <c r="L10499">
        <v>137.84780000000001</v>
      </c>
      <c r="M10499">
        <v>0.99881989999999998</v>
      </c>
      <c r="N10499">
        <v>-3.7314529999999999E-2</v>
      </c>
      <c r="O10499">
        <v>3.1090880000000001E-2</v>
      </c>
      <c r="P10499">
        <v>0.99736950000000002</v>
      </c>
      <c r="Q10499">
        <v>-7.2486099999999998E-2</v>
      </c>
      <c r="R10499">
        <v>6.823558E-4</v>
      </c>
      <c r="S10499">
        <v>2.9948579999999998</v>
      </c>
      <c r="T10499">
        <v>-0.17769190000000001</v>
      </c>
      <c r="U10499">
        <v>8.2962040000000001E-2</v>
      </c>
      <c r="V10499">
        <v>3.0346850000000002E-2</v>
      </c>
      <c r="W10499">
        <v>-3.5237900000000003E-2</v>
      </c>
      <c r="X10499">
        <v>0.99891810000000003</v>
      </c>
      <c r="Y10499">
        <v>3.4058980000000001E-3</v>
      </c>
      <c r="Z10499">
        <v>-8.46691E-4</v>
      </c>
      <c r="AA10499">
        <v>0.99999389999999999</v>
      </c>
      <c r="AB10499">
        <v>6</v>
      </c>
      <c r="AC10499">
        <v>18.89734</v>
      </c>
      <c r="AD10499">
        <v>-1.1242914478795001</v>
      </c>
      <c r="AE10499">
        <v>0.52330000000000598</v>
      </c>
      <c r="AF10499">
        <v>6.4668938460506503E-2</v>
      </c>
      <c r="AG10499">
        <v>-1.1242914478795001</v>
      </c>
      <c r="AH10499">
        <v>18.8378450647287</v>
      </c>
      <c r="AI10499">
        <v>93.415489118599893</v>
      </c>
      <c r="AJ10499">
        <v>89.803308569993902</v>
      </c>
      <c r="AK10499">
        <v>18.871476360213599</v>
      </c>
      <c r="AL10499">
        <v>92.019401002774302</v>
      </c>
      <c r="AM10499">
        <v>88.259905581471401</v>
      </c>
      <c r="AN10499">
        <v>1.00000000570447</v>
      </c>
    </row>
    <row r="10500" spans="1:40" x14ac:dyDescent="0.25">
      <c r="A10500" t="str">
        <f>"20190303154045617"</f>
        <v>20190303154045617</v>
      </c>
      <c r="B10500" t="str">
        <f>"1551598845608335"</f>
        <v>1551598845608335</v>
      </c>
      <c r="C10500" t="s">
        <v>40</v>
      </c>
      <c r="D10500">
        <v>4.6930930000000002</v>
      </c>
      <c r="E10500">
        <v>0.48945300000000003</v>
      </c>
      <c r="F10500" t="s">
        <v>42</v>
      </c>
      <c r="G10500">
        <v>-79.612210000000005</v>
      </c>
      <c r="H10500" s="1">
        <v>-4.466384E-7</v>
      </c>
      <c r="I10500">
        <v>138.38140000000001</v>
      </c>
      <c r="J10500">
        <v>-98.466369999999998</v>
      </c>
      <c r="K10500">
        <v>1.1245459999999901</v>
      </c>
      <c r="L10500">
        <v>137.8493</v>
      </c>
      <c r="M10500">
        <v>0.99877099999999996</v>
      </c>
      <c r="N10500">
        <v>-3.860239E-2</v>
      </c>
      <c r="O10500">
        <v>3.10887E-2</v>
      </c>
      <c r="P10500">
        <v>0.99734730000000005</v>
      </c>
      <c r="Q10500">
        <v>-7.2789580000000006E-2</v>
      </c>
      <c r="R10500">
        <v>4.8157920000000001E-4</v>
      </c>
      <c r="S10500">
        <v>2.994904</v>
      </c>
      <c r="T10500">
        <v>-0.178139299999999</v>
      </c>
      <c r="U10500">
        <v>8.4548949999999998E-2</v>
      </c>
      <c r="V10500">
        <v>3.0546400000000001E-2</v>
      </c>
      <c r="W10500">
        <v>-3.425483E-2</v>
      </c>
      <c r="X10500">
        <v>0.99894620000000001</v>
      </c>
      <c r="Y10500">
        <v>2.8783400000000001E-3</v>
      </c>
      <c r="Z10500">
        <v>-7.8772169999999895E-4</v>
      </c>
      <c r="AA10500">
        <v>0.99999550000000004</v>
      </c>
      <c r="AB10500">
        <v>6</v>
      </c>
      <c r="AC10500">
        <v>18.85416</v>
      </c>
      <c r="AD10500">
        <v>-1.1245464466384001</v>
      </c>
      <c r="AE10500">
        <v>0.53210000000001401</v>
      </c>
      <c r="AF10500">
        <v>5.4552162571955803E-2</v>
      </c>
      <c r="AG10500">
        <v>-1.1245464466384001</v>
      </c>
      <c r="AH10500">
        <v>18.794778964828101</v>
      </c>
      <c r="AI10500">
        <v>93.424077057633099</v>
      </c>
      <c r="AJ10500">
        <v>89.833698501735995</v>
      </c>
      <c r="AK10500">
        <v>18.828470383592801</v>
      </c>
      <c r="AL10500">
        <v>91.963041231237895</v>
      </c>
      <c r="AM10500">
        <v>88.248519688063894</v>
      </c>
      <c r="AN10500">
        <v>0.99999999321286404</v>
      </c>
    </row>
    <row r="10501" spans="1:40" x14ac:dyDescent="0.25">
      <c r="A10501" t="str">
        <f>"20190303154045638"</f>
        <v>20190303154045638</v>
      </c>
      <c r="B10501" t="str">
        <f>"1551598845628832"</f>
        <v>1551598845628832</v>
      </c>
      <c r="C10501" t="s">
        <v>40</v>
      </c>
      <c r="D10501">
        <v>4.6786669999999999</v>
      </c>
      <c r="E10501">
        <v>0.48925819999999998</v>
      </c>
      <c r="F10501" t="s">
        <v>42</v>
      </c>
      <c r="G10501">
        <v>-79.960089999999994</v>
      </c>
      <c r="H10501" s="1">
        <v>-4.5086929999999997E-6</v>
      </c>
      <c r="I10501">
        <v>138.3801</v>
      </c>
      <c r="J10501">
        <v>-98.424040000000005</v>
      </c>
      <c r="K10501">
        <v>1.1247720000000001</v>
      </c>
      <c r="L10501">
        <v>137.85059999999999</v>
      </c>
      <c r="M10501">
        <v>0.99871920000000003</v>
      </c>
      <c r="N10501">
        <v>-3.9921930000000001E-2</v>
      </c>
      <c r="O10501">
        <v>3.1085680000000001E-2</v>
      </c>
      <c r="P10501">
        <v>0.99733910000000003</v>
      </c>
      <c r="Q10501">
        <v>-7.2898969999999993E-2</v>
      </c>
      <c r="R10501">
        <v>7.6287019999999998E-4</v>
      </c>
      <c r="S10501">
        <v>2.994659</v>
      </c>
      <c r="T10501">
        <v>-0.18197269999999999</v>
      </c>
      <c r="U10501">
        <v>8.5906979999999994E-2</v>
      </c>
      <c r="V10501">
        <v>3.0263559999999998E-2</v>
      </c>
      <c r="W10501">
        <v>-3.3044869999999997E-2</v>
      </c>
      <c r="X10501">
        <v>0.99899550000000004</v>
      </c>
      <c r="Y10501">
        <v>2.4225219999999999E-3</v>
      </c>
      <c r="Z10501">
        <v>-7.6722019999999995E-4</v>
      </c>
      <c r="AA10501">
        <v>0.99999680000000002</v>
      </c>
      <c r="AB10501">
        <v>5</v>
      </c>
      <c r="AC10501">
        <v>18.463950000000001</v>
      </c>
      <c r="AD10501">
        <v>-1.1247765086929999</v>
      </c>
      <c r="AE10501">
        <v>0.52950000000001296</v>
      </c>
      <c r="AF10501">
        <v>4.5011740088848999E-2</v>
      </c>
      <c r="AG10501">
        <v>-1.1247765086929999</v>
      </c>
      <c r="AH10501">
        <v>18.403248434338799</v>
      </c>
      <c r="AI10501">
        <v>93.497463541193994</v>
      </c>
      <c r="AJ10501">
        <v>89.859862914845294</v>
      </c>
      <c r="AK10501">
        <v>18.4376435909594</v>
      </c>
      <c r="AL10501">
        <v>91.893676466648202</v>
      </c>
      <c r="AM10501">
        <v>88.264812889286802</v>
      </c>
      <c r="AN10501">
        <v>0.99999992775871704</v>
      </c>
    </row>
    <row r="10502" spans="1:40" x14ac:dyDescent="0.25">
      <c r="A10502" t="str">
        <f>"20190303154045661"</f>
        <v>20190303154045661</v>
      </c>
      <c r="B10502" t="str">
        <f>"1551598845658111"</f>
        <v>1551598845658111</v>
      </c>
      <c r="C10502" t="s">
        <v>40</v>
      </c>
      <c r="D10502">
        <v>4.6698529999999998</v>
      </c>
      <c r="E10502">
        <v>0.48856870000000002</v>
      </c>
      <c r="F10502" t="s">
        <v>42</v>
      </c>
      <c r="G10502">
        <v>-80.180049999999994</v>
      </c>
      <c r="H10502" s="1">
        <v>-4.4127530000000001E-6</v>
      </c>
      <c r="I10502">
        <v>138.38900000000001</v>
      </c>
      <c r="J10502">
        <v>-98.388639999999995</v>
      </c>
      <c r="K10502">
        <v>1.1249180000000001</v>
      </c>
      <c r="L10502">
        <v>137.85169999999999</v>
      </c>
      <c r="M10502">
        <v>0.99867240000000002</v>
      </c>
      <c r="N10502">
        <v>-4.1076469999999997E-2</v>
      </c>
      <c r="O10502">
        <v>3.1082950000000002E-2</v>
      </c>
      <c r="P10502">
        <v>0.99729480000000004</v>
      </c>
      <c r="Q10502">
        <v>-7.3503970000000002E-2</v>
      </c>
      <c r="R10502">
        <v>6.186478E-4</v>
      </c>
      <c r="S10502">
        <v>2.9944459999999999</v>
      </c>
      <c r="T10502">
        <v>-0.184613</v>
      </c>
      <c r="U10502">
        <v>8.8378910000000005E-2</v>
      </c>
      <c r="V10502">
        <v>3.0405209999999998E-2</v>
      </c>
      <c r="W10502">
        <v>-3.2496990000000003E-2</v>
      </c>
      <c r="X10502">
        <v>0.99900929999999999</v>
      </c>
      <c r="Y10502">
        <v>1.596931E-3</v>
      </c>
      <c r="Z10502">
        <v>-7.1873949999999999E-4</v>
      </c>
      <c r="AA10502">
        <v>0.99999850000000001</v>
      </c>
      <c r="AB10502">
        <v>4</v>
      </c>
      <c r="AC10502">
        <v>18.208590000000001</v>
      </c>
      <c r="AD10502">
        <v>-1.124922412753</v>
      </c>
      <c r="AE10502">
        <v>0.53730000000001599</v>
      </c>
      <c r="AF10502">
        <v>2.9303093174017799E-2</v>
      </c>
      <c r="AG10502">
        <v>-1.124922412753</v>
      </c>
      <c r="AH10502">
        <v>18.1472886502386</v>
      </c>
      <c r="AI10502">
        <v>93.547133594432097</v>
      </c>
      <c r="AJ10502">
        <v>89.907482481890298</v>
      </c>
      <c r="AK10502">
        <v>18.182144935652101</v>
      </c>
      <c r="AL10502">
        <v>91.862268143170695</v>
      </c>
      <c r="AM10502">
        <v>88.256720331796799</v>
      </c>
      <c r="AN10502">
        <v>1.0000000563203399</v>
      </c>
    </row>
    <row r="10503" spans="1:40" x14ac:dyDescent="0.25">
      <c r="A10503" t="str">
        <f>"20190303154045683"</f>
        <v>20190303154045683</v>
      </c>
      <c r="B10503" t="str">
        <f>"1551598845678607"</f>
        <v>1551598845678607</v>
      </c>
      <c r="C10503" t="s">
        <v>40</v>
      </c>
      <c r="D10503">
        <v>4.6786130000000004</v>
      </c>
      <c r="E10503">
        <v>0.48851519999999998</v>
      </c>
      <c r="F10503" t="s">
        <v>42</v>
      </c>
      <c r="G10503">
        <v>-80.194149999999993</v>
      </c>
      <c r="H10503" s="1">
        <v>-4.4014120000000002E-6</v>
      </c>
      <c r="I10503">
        <v>138.4188</v>
      </c>
      <c r="J10503">
        <v>-98.357910000000004</v>
      </c>
      <c r="K10503">
        <v>1.1248940000000001</v>
      </c>
      <c r="L10503">
        <v>137.8526</v>
      </c>
      <c r="M10503">
        <v>0.9986488</v>
      </c>
      <c r="N10503">
        <v>-4.1649680000000001E-2</v>
      </c>
      <c r="O10503">
        <v>3.1079039999999999E-2</v>
      </c>
      <c r="P10503">
        <v>0.99726899999999996</v>
      </c>
      <c r="Q10503">
        <v>-7.3854920000000004E-2</v>
      </c>
      <c r="R10503">
        <v>4.2445360000000003E-4</v>
      </c>
      <c r="S10503">
        <v>2.9944310000000001</v>
      </c>
      <c r="T10503">
        <v>-0.1851382</v>
      </c>
      <c r="U10503">
        <v>9.3353270000000002E-2</v>
      </c>
      <c r="V10503">
        <v>3.059535E-2</v>
      </c>
      <c r="W10503">
        <v>-3.2275749999999999E-2</v>
      </c>
      <c r="X10503">
        <v>0.99901059999999997</v>
      </c>
      <c r="Y10503" s="1">
        <v>-6.0568079999999999E-5</v>
      </c>
      <c r="Z10503">
        <v>-6.2105220000000004E-4</v>
      </c>
      <c r="AA10503">
        <v>0.99999979999999999</v>
      </c>
      <c r="AB10503">
        <v>4</v>
      </c>
      <c r="AC10503">
        <v>18.16376</v>
      </c>
      <c r="AD10503">
        <v>-1.124898401412</v>
      </c>
      <c r="AE10503">
        <v>0.56620000000000903</v>
      </c>
      <c r="AF10503">
        <v>-9.2000313399942502E-4</v>
      </c>
      <c r="AG10503">
        <v>-1.124898401412</v>
      </c>
      <c r="AH10503">
        <v>18.103216235313301</v>
      </c>
      <c r="AI10503">
        <v>93.555675905737004</v>
      </c>
      <c r="AJ10503">
        <v>90.0029117641852</v>
      </c>
      <c r="AK10503">
        <v>18.1381320791976</v>
      </c>
      <c r="AL10503">
        <v>91.849585496717296</v>
      </c>
      <c r="AM10503">
        <v>88.2458277452142</v>
      </c>
      <c r="AN10503">
        <v>0.99999998919602195</v>
      </c>
    </row>
    <row r="10504" spans="1:40" x14ac:dyDescent="0.25">
      <c r="A10504" t="str">
        <f>"20190303154045705"</f>
        <v>20190303154045705</v>
      </c>
      <c r="B10504" t="str">
        <f>"1551598845698128"</f>
        <v>1551598845698128</v>
      </c>
      <c r="C10504" t="s">
        <v>40</v>
      </c>
      <c r="D10504">
        <v>4.6560370000000004</v>
      </c>
      <c r="E10504">
        <v>0.48848039999999998</v>
      </c>
      <c r="F10504" t="s">
        <v>42</v>
      </c>
      <c r="G10504">
        <v>-80.059039999999996</v>
      </c>
      <c r="H10504" s="1">
        <v>-4.4587220000000004E-6</v>
      </c>
      <c r="I10504">
        <v>138.42250000000001</v>
      </c>
      <c r="J10504">
        <v>-98.330659999999995</v>
      </c>
      <c r="K10504">
        <v>1.1246430000000001</v>
      </c>
      <c r="L10504">
        <v>137.8535</v>
      </c>
      <c r="M10504">
        <v>0.99866650000000001</v>
      </c>
      <c r="N10504">
        <v>-4.1224190000000001E-2</v>
      </c>
      <c r="O10504">
        <v>3.107822E-2</v>
      </c>
      <c r="P10504">
        <v>0.99728349999999999</v>
      </c>
      <c r="Q10504">
        <v>-7.3659550000000004E-2</v>
      </c>
      <c r="R10504">
        <v>1.0837019999999999E-4</v>
      </c>
      <c r="S10504">
        <v>2.9945369999999998</v>
      </c>
      <c r="T10504">
        <v>-0.18408479999999999</v>
      </c>
      <c r="U10504">
        <v>9.3261720000000006E-2</v>
      </c>
      <c r="V10504">
        <v>3.0910509999999999E-2</v>
      </c>
      <c r="W10504">
        <v>-3.2505770000000003E-2</v>
      </c>
      <c r="X10504">
        <v>0.99899349999999998</v>
      </c>
      <c r="Y10504" s="1">
        <v>-3.0432850000000001E-5</v>
      </c>
      <c r="Z10504">
        <v>-6.2487830000000004E-4</v>
      </c>
      <c r="AA10504">
        <v>0.99999979999999999</v>
      </c>
      <c r="AB10504">
        <v>3</v>
      </c>
      <c r="AC10504">
        <v>18.271619999999999</v>
      </c>
      <c r="AD10504">
        <v>-1.1246474587219999</v>
      </c>
      <c r="AE10504">
        <v>0.56900000000001605</v>
      </c>
      <c r="AF10504">
        <v>-3.9066707769197501E-4</v>
      </c>
      <c r="AG10504">
        <v>-1.1246474587219999</v>
      </c>
      <c r="AH10504">
        <v>18.211548100558399</v>
      </c>
      <c r="AI10504">
        <v>93.533792164088297</v>
      </c>
      <c r="AJ10504">
        <v>90.001229086874901</v>
      </c>
      <c r="AK10504">
        <v>18.246241154768899</v>
      </c>
      <c r="AL10504">
        <v>91.862771479866794</v>
      </c>
      <c r="AM10504">
        <v>88.227739319711404</v>
      </c>
      <c r="AN10504">
        <v>1.000000048877</v>
      </c>
    </row>
    <row r="10505" spans="1:40" x14ac:dyDescent="0.25">
      <c r="A10505" t="str">
        <f>"20190303154045729"</f>
        <v>20190303154045729</v>
      </c>
      <c r="B10505" t="str">
        <f>"1551598845718625"</f>
        <v>1551598845718625</v>
      </c>
      <c r="C10505" t="s">
        <v>40</v>
      </c>
      <c r="D10505">
        <v>4.6780989999999996</v>
      </c>
      <c r="E10505">
        <v>0.48842140000000001</v>
      </c>
      <c r="F10505" t="s">
        <v>42</v>
      </c>
      <c r="G10505">
        <v>-79.84451</v>
      </c>
      <c r="H10505" s="1">
        <v>-3.5600130000000002E-7</v>
      </c>
      <c r="I10505">
        <v>138.42490000000001</v>
      </c>
      <c r="J10505">
        <v>-98.304180000000002</v>
      </c>
      <c r="K10505">
        <v>1.1242529999999999</v>
      </c>
      <c r="L10505">
        <v>137.85429999999999</v>
      </c>
      <c r="M10505">
        <v>0.99871460000000001</v>
      </c>
      <c r="N10505">
        <v>-4.003955E-2</v>
      </c>
      <c r="O10505">
        <v>3.1083320000000001E-2</v>
      </c>
      <c r="P10505">
        <v>0.99740720000000005</v>
      </c>
      <c r="Q10505">
        <v>-7.1966069999999993E-2</v>
      </c>
      <c r="R10505">
        <v>-2.1305010000000001E-4</v>
      </c>
      <c r="S10505">
        <v>2.9947050000000002</v>
      </c>
      <c r="T10505">
        <v>-0.18218899999999999</v>
      </c>
      <c r="U10505">
        <v>9.2575069999999995E-2</v>
      </c>
      <c r="V10505">
        <v>3.1239079999999999E-2</v>
      </c>
      <c r="W10505">
        <v>-3.1993559999999997E-2</v>
      </c>
      <c r="X10505">
        <v>0.99899979999999999</v>
      </c>
      <c r="Y10505">
        <v>2.0291299999999999E-4</v>
      </c>
      <c r="Z10505">
        <v>-6.5392900000000003E-4</v>
      </c>
      <c r="AA10505">
        <v>0.99999979999999999</v>
      </c>
      <c r="AB10505">
        <v>3</v>
      </c>
      <c r="AC10505">
        <v>18.459669999999999</v>
      </c>
      <c r="AD10505">
        <v>-1.1242533560012999</v>
      </c>
      <c r="AE10505">
        <v>0.57060000000001299</v>
      </c>
      <c r="AF10505">
        <v>3.9099366814395698E-3</v>
      </c>
      <c r="AG10505">
        <v>-1.1242533560012999</v>
      </c>
      <c r="AH10505">
        <v>18.400300990015801</v>
      </c>
      <c r="AI10505">
        <v>93.496409790672402</v>
      </c>
      <c r="AJ10505">
        <v>89.987825043364197</v>
      </c>
      <c r="AK10505">
        <v>18.434615195855301</v>
      </c>
      <c r="AL10505">
        <v>91.833408763474495</v>
      </c>
      <c r="AM10505">
        <v>88.208924182517706</v>
      </c>
      <c r="AN10505">
        <v>1.0000000342003701</v>
      </c>
    </row>
    <row r="10506" spans="1:40" x14ac:dyDescent="0.25">
      <c r="A10506" t="str">
        <f>"20190303154045758"</f>
        <v>20190303154045758</v>
      </c>
      <c r="B10506" t="str">
        <f>"1551598845748879"</f>
        <v>1551598845748879</v>
      </c>
      <c r="C10506" t="s">
        <v>40</v>
      </c>
      <c r="D10506">
        <v>4.6721399999999997</v>
      </c>
      <c r="E10506">
        <v>0.48831780000000002</v>
      </c>
      <c r="F10506" t="s">
        <v>42</v>
      </c>
      <c r="G10506">
        <v>-79.267269999999996</v>
      </c>
      <c r="H10506" s="1">
        <v>-5.4858809999999995E-7</v>
      </c>
      <c r="I10506">
        <v>138.43940000000001</v>
      </c>
      <c r="J10506">
        <v>-98.27704</v>
      </c>
      <c r="K10506">
        <v>1.123891</v>
      </c>
      <c r="L10506">
        <v>137.85509999999999</v>
      </c>
      <c r="M10506">
        <v>0.99877459999999996</v>
      </c>
      <c r="N10506">
        <v>-3.8503019999999999E-2</v>
      </c>
      <c r="O10506">
        <v>3.109143E-2</v>
      </c>
      <c r="P10506">
        <v>0.99756319999999998</v>
      </c>
      <c r="Q10506">
        <v>-6.9763149999999996E-2</v>
      </c>
      <c r="R10506">
        <v>-7.2178429999999896E-4</v>
      </c>
      <c r="S10506">
        <v>2.9950410000000001</v>
      </c>
      <c r="T10506">
        <v>-0.17687639999999999</v>
      </c>
      <c r="U10506">
        <v>9.2056269999999996E-2</v>
      </c>
      <c r="V10506">
        <v>3.175886E-2</v>
      </c>
      <c r="W10506">
        <v>-3.1323030000000002E-2</v>
      </c>
      <c r="X10506">
        <v>0.99900460000000002</v>
      </c>
      <c r="Y10506">
        <v>3.8533099999999999E-4</v>
      </c>
      <c r="Z10506">
        <v>-6.5527480000000002E-4</v>
      </c>
      <c r="AA10506">
        <v>0.99999970000000005</v>
      </c>
      <c r="AB10506">
        <v>3</v>
      </c>
      <c r="AC10506">
        <v>19.00977</v>
      </c>
      <c r="AD10506">
        <v>-1.1238915485881</v>
      </c>
      <c r="AE10506">
        <v>0.58430000000001303</v>
      </c>
      <c r="AF10506">
        <v>7.4364996515491298E-3</v>
      </c>
      <c r="AG10506">
        <v>-1.1238915485881</v>
      </c>
      <c r="AH10506">
        <v>18.952562195379901</v>
      </c>
      <c r="AI10506">
        <v>93.393679146517002</v>
      </c>
      <c r="AJ10506">
        <v>89.977518605762796</v>
      </c>
      <c r="AK10506">
        <v>18.985857928580899</v>
      </c>
      <c r="AL10506">
        <v>91.794971065999107</v>
      </c>
      <c r="AM10506">
        <v>88.179151516734194</v>
      </c>
      <c r="AN10506">
        <v>0.99999997410901997</v>
      </c>
    </row>
    <row r="10507" spans="1:40" x14ac:dyDescent="0.25">
      <c r="A10507" t="str">
        <f>"20190303154045781"</f>
        <v>20190303154045781</v>
      </c>
      <c r="B10507" t="str">
        <f>"1551598845768400"</f>
        <v>1551598845768400</v>
      </c>
      <c r="C10507" t="s">
        <v>40</v>
      </c>
      <c r="D10507">
        <v>4.6888139999999998</v>
      </c>
      <c r="E10507">
        <v>0.48821209999999998</v>
      </c>
      <c r="F10507" t="s">
        <v>42</v>
      </c>
      <c r="G10507">
        <v>-78.440259999999995</v>
      </c>
      <c r="H10507" s="1">
        <v>-8.5664140000000002E-7</v>
      </c>
      <c r="I10507">
        <v>138.45959999999999</v>
      </c>
      <c r="J10507">
        <v>-98.25958</v>
      </c>
      <c r="K10507">
        <v>1.1237250000000001</v>
      </c>
      <c r="L10507">
        <v>137.85570000000001</v>
      </c>
      <c r="M10507">
        <v>0.99881260000000005</v>
      </c>
      <c r="N10507">
        <v>-3.7503729999999999E-2</v>
      </c>
      <c r="O10507">
        <v>3.1095640000000001E-2</v>
      </c>
      <c r="P10507">
        <v>0.99762119999999999</v>
      </c>
      <c r="Q10507">
        <v>-6.8927920000000004E-2</v>
      </c>
      <c r="R10507">
        <v>-9.9407040000000003E-4</v>
      </c>
      <c r="S10507">
        <v>2.995514</v>
      </c>
      <c r="T10507">
        <v>-0.1697166</v>
      </c>
      <c r="U10507">
        <v>9.1278079999999998E-2</v>
      </c>
      <c r="V10507">
        <v>3.2035840000000003E-2</v>
      </c>
      <c r="W10507">
        <v>-3.1485480000000003E-2</v>
      </c>
      <c r="X10507">
        <v>0.99899070000000001</v>
      </c>
      <c r="Y10507">
        <v>6.5298299999999999E-4</v>
      </c>
      <c r="Z10507">
        <v>-6.2398309999999997E-4</v>
      </c>
      <c r="AA10507">
        <v>0.99999959999999999</v>
      </c>
      <c r="AB10507">
        <v>2</v>
      </c>
      <c r="AC10507">
        <v>19.819320000000001</v>
      </c>
      <c r="AD10507">
        <v>-1.1237258566413999</v>
      </c>
      <c r="AE10507">
        <v>0.60389999999998101</v>
      </c>
      <c r="AF10507">
        <v>1.30787352309066E-2</v>
      </c>
      <c r="AG10507">
        <v>-1.1237258566413999</v>
      </c>
      <c r="AH10507">
        <v>19.765033895414199</v>
      </c>
      <c r="AI10507">
        <v>93.254003860302205</v>
      </c>
      <c r="AJ10507">
        <v>89.962086772798102</v>
      </c>
      <c r="AK10507">
        <v>19.796956729282201</v>
      </c>
      <c r="AL10507">
        <v>91.804283267669902</v>
      </c>
      <c r="AM10507">
        <v>88.163256559022997</v>
      </c>
      <c r="AN10507">
        <v>1.00000002459091</v>
      </c>
    </row>
    <row r="10508" spans="1:40" x14ac:dyDescent="0.25">
      <c r="A10508" t="str">
        <f>"20190303154045798"</f>
        <v>20190303154045798</v>
      </c>
      <c r="B10508" t="str">
        <f>"1551598845788896"</f>
        <v>1551598845788896</v>
      </c>
      <c r="C10508" t="s">
        <v>40</v>
      </c>
      <c r="D10508">
        <v>4.6923589999999997</v>
      </c>
      <c r="E10508">
        <v>0.4881934</v>
      </c>
      <c r="F10508" t="s">
        <v>42</v>
      </c>
      <c r="G10508">
        <v>-78.098569999999995</v>
      </c>
      <c r="H10508" s="1">
        <v>-1.0013639999999999E-6</v>
      </c>
      <c r="I10508">
        <v>138.47</v>
      </c>
      <c r="J10508">
        <v>-98.248310000000004</v>
      </c>
      <c r="K10508">
        <v>1.1236349999999999</v>
      </c>
      <c r="L10508">
        <v>137.85599999999999</v>
      </c>
      <c r="M10508">
        <v>0.99883849999999996</v>
      </c>
      <c r="N10508">
        <v>-3.6808E-2</v>
      </c>
      <c r="O10508">
        <v>3.1097380000000001E-2</v>
      </c>
      <c r="P10508">
        <v>0.99767229999999996</v>
      </c>
      <c r="Q10508">
        <v>-6.817107E-2</v>
      </c>
      <c r="R10508">
        <v>-1.74477799999999E-3</v>
      </c>
      <c r="S10508">
        <v>2.9956969999999998</v>
      </c>
      <c r="T10508">
        <v>-0.16697279999999901</v>
      </c>
      <c r="U10508">
        <v>9.1293330000000006E-2</v>
      </c>
      <c r="V10508">
        <v>3.2788629999999999E-2</v>
      </c>
      <c r="W10508">
        <v>-3.1423619999999999E-2</v>
      </c>
      <c r="X10508">
        <v>0.99896819999999997</v>
      </c>
      <c r="Y10508">
        <v>6.5088869999999999E-4</v>
      </c>
      <c r="Z10508">
        <v>-6.1652560000000003E-4</v>
      </c>
      <c r="AA10508">
        <v>0.99999959999999999</v>
      </c>
      <c r="AB10508">
        <v>2</v>
      </c>
      <c r="AC10508">
        <v>20.149740000000001</v>
      </c>
      <c r="AD10508">
        <v>-1.1236360013640001</v>
      </c>
      <c r="AE10508">
        <v>0.61400000000000399</v>
      </c>
      <c r="AF10508">
        <v>1.3285038097441601E-2</v>
      </c>
      <c r="AG10508">
        <v>-1.1236360013640001</v>
      </c>
      <c r="AH10508">
        <v>20.096652575208299</v>
      </c>
      <c r="AI10508">
        <v>93.200166098965099</v>
      </c>
      <c r="AJ10508">
        <v>89.962124214471601</v>
      </c>
      <c r="AK10508">
        <v>20.1280445916742</v>
      </c>
      <c r="AL10508">
        <v>91.8007372379885</v>
      </c>
      <c r="AM10508">
        <v>88.120084385750999</v>
      </c>
      <c r="AN10508">
        <v>1.00000000138121</v>
      </c>
    </row>
    <row r="10509" spans="1:40" x14ac:dyDescent="0.25">
      <c r="A10509" t="str">
        <f>"20190303154045823"</f>
        <v>20190303154045823</v>
      </c>
      <c r="B10509" t="str">
        <f>"1551598845818175"</f>
        <v>1551598845818175</v>
      </c>
      <c r="C10509" t="s">
        <v>40</v>
      </c>
      <c r="D10509">
        <v>4.6885859999999999</v>
      </c>
      <c r="E10509">
        <v>0.4879019</v>
      </c>
      <c r="F10509" t="s">
        <v>42</v>
      </c>
      <c r="G10509">
        <v>-77.849800000000002</v>
      </c>
      <c r="H10509" s="1">
        <v>-1.109328E-6</v>
      </c>
      <c r="I10509">
        <v>138.46299999999999</v>
      </c>
      <c r="J10509">
        <v>-98.236069999999998</v>
      </c>
      <c r="K10509">
        <v>1.1235379999999999</v>
      </c>
      <c r="L10509">
        <v>137.85640000000001</v>
      </c>
      <c r="M10509">
        <v>0.99887329999999996</v>
      </c>
      <c r="N10509">
        <v>-3.5844679999999997E-2</v>
      </c>
      <c r="O10509">
        <v>3.1099169999999999E-2</v>
      </c>
      <c r="P10509">
        <v>0.99773750000000005</v>
      </c>
      <c r="Q10509">
        <v>-6.7183240000000005E-2</v>
      </c>
      <c r="R10509">
        <v>-2.5150319999999999E-3</v>
      </c>
      <c r="S10509">
        <v>2.9958800000000001</v>
      </c>
      <c r="T10509">
        <v>-0.16502559999999999</v>
      </c>
      <c r="U10509">
        <v>8.9157100000000003E-2</v>
      </c>
      <c r="V10509">
        <v>3.3561210000000001E-2</v>
      </c>
      <c r="W10509">
        <v>-3.1397950000000001E-2</v>
      </c>
      <c r="X10509">
        <v>0.99894329999999998</v>
      </c>
      <c r="Y10509">
        <v>1.3639429999999901E-3</v>
      </c>
      <c r="Z10509">
        <v>-6.5818820000000005E-4</v>
      </c>
      <c r="AA10509">
        <v>0.99999890000000002</v>
      </c>
      <c r="AB10509">
        <v>2</v>
      </c>
      <c r="AC10509">
        <v>20.38627</v>
      </c>
      <c r="AD10509">
        <v>-1.1235391093279901</v>
      </c>
      <c r="AE10509">
        <v>0.60659999999998604</v>
      </c>
      <c r="AF10509">
        <v>2.80125808070027E-2</v>
      </c>
      <c r="AG10509">
        <v>-1.1235391093279901</v>
      </c>
      <c r="AH10509">
        <v>20.3335670572596</v>
      </c>
      <c r="AI10509">
        <v>93.162681345810896</v>
      </c>
      <c r="AJ10509">
        <v>89.921066400518896</v>
      </c>
      <c r="AK10509">
        <v>20.364603460586899</v>
      </c>
      <c r="AL10509">
        <v>91.799265819281302</v>
      </c>
      <c r="AM10509">
        <v>88.075773982429197</v>
      </c>
      <c r="AN10509">
        <v>0.999999951347877</v>
      </c>
    </row>
    <row r="10510" spans="1:40" x14ac:dyDescent="0.25">
      <c r="A10510" t="str">
        <f>"20190303154045843"</f>
        <v>20190303154045843</v>
      </c>
      <c r="B10510" t="str">
        <f>"1551598845838672"</f>
        <v>1551598845838672</v>
      </c>
      <c r="C10510" t="s">
        <v>40</v>
      </c>
      <c r="D10510">
        <v>4.7137909999999996</v>
      </c>
      <c r="E10510">
        <v>0.48776819999999999</v>
      </c>
      <c r="F10510" t="s">
        <v>42</v>
      </c>
      <c r="G10510">
        <v>-77.726429999999993</v>
      </c>
      <c r="H10510" s="1">
        <v>-1.161607E-6</v>
      </c>
      <c r="I10510">
        <v>138.4667</v>
      </c>
      <c r="J10510">
        <v>-98.228070000000002</v>
      </c>
      <c r="K10510">
        <v>1.123429</v>
      </c>
      <c r="L10510">
        <v>137.85659999999999</v>
      </c>
      <c r="M10510">
        <v>0.99890699999999999</v>
      </c>
      <c r="N10510">
        <v>-3.4897690000000002E-2</v>
      </c>
      <c r="O10510">
        <v>3.1100989999999998E-2</v>
      </c>
      <c r="P10510">
        <v>0.99781529999999996</v>
      </c>
      <c r="Q10510">
        <v>-6.5959909999999997E-2</v>
      </c>
      <c r="R10510">
        <v>-3.8261800000000002E-3</v>
      </c>
      <c r="S10510">
        <v>2.995987</v>
      </c>
      <c r="T10510">
        <v>-0.16412309999999999</v>
      </c>
      <c r="U10510">
        <v>8.9157100000000003E-2</v>
      </c>
      <c r="V10510">
        <v>3.4874780000000001E-2</v>
      </c>
      <c r="W10510">
        <v>-3.1120769999999999E-2</v>
      </c>
      <c r="X10510">
        <v>0.99890699999999999</v>
      </c>
      <c r="Y10510">
        <v>1.365446E-3</v>
      </c>
      <c r="Z10510">
        <v>-6.7751240000000004E-4</v>
      </c>
      <c r="AA10510">
        <v>0.99999890000000002</v>
      </c>
      <c r="AB10510">
        <v>1</v>
      </c>
      <c r="AC10510">
        <v>20.501639999999899</v>
      </c>
      <c r="AD10510">
        <v>-1.1234301616069999</v>
      </c>
      <c r="AE10510">
        <v>0.61010000000001696</v>
      </c>
      <c r="AF10510">
        <v>2.8120950962046299E-2</v>
      </c>
      <c r="AG10510">
        <v>-1.1234301616069999</v>
      </c>
      <c r="AH10510">
        <v>20.449347106655299</v>
      </c>
      <c r="AI10510">
        <v>93.144506606045198</v>
      </c>
      <c r="AJ10510">
        <v>89.921209670802895</v>
      </c>
      <c r="AK10510">
        <v>20.480202225670599</v>
      </c>
      <c r="AL10510">
        <v>91.783376769694996</v>
      </c>
      <c r="AM10510">
        <v>88.000448059545803</v>
      </c>
      <c r="AN10510">
        <v>0.99999997362722004</v>
      </c>
    </row>
    <row r="10511" spans="1:40" x14ac:dyDescent="0.25">
      <c r="A10511" t="str">
        <f>"20190303154045865"</f>
        <v>20190303154045865</v>
      </c>
      <c r="B10511" t="str">
        <f>"1551598845858191"</f>
        <v>1551598845858191</v>
      </c>
      <c r="C10511" t="s">
        <v>40</v>
      </c>
      <c r="D10511">
        <v>4.6880839999999999</v>
      </c>
      <c r="E10511">
        <v>0.48770259999999999</v>
      </c>
      <c r="F10511" t="s">
        <v>42</v>
      </c>
      <c r="G10511">
        <v>-77.293210000000002</v>
      </c>
      <c r="H10511" s="1">
        <v>-1.348905E-6</v>
      </c>
      <c r="I10511">
        <v>138.45849999999999</v>
      </c>
      <c r="J10511">
        <v>-98.221360000000004</v>
      </c>
      <c r="K10511">
        <v>1.1232839999999999</v>
      </c>
      <c r="L10511">
        <v>137.85679999999999</v>
      </c>
      <c r="M10511">
        <v>0.99894700000000003</v>
      </c>
      <c r="N10511">
        <v>-3.3726819999999998E-2</v>
      </c>
      <c r="O10511">
        <v>3.1103289999999999E-2</v>
      </c>
      <c r="P10511">
        <v>0.99794139999999998</v>
      </c>
      <c r="Q10511">
        <v>-6.3956360000000004E-2</v>
      </c>
      <c r="R10511">
        <v>-4.7602390000000003E-3</v>
      </c>
      <c r="S10511">
        <v>2.9962770000000001</v>
      </c>
      <c r="T10511">
        <v>-0.1607895</v>
      </c>
      <c r="U10511">
        <v>8.6151119999999998E-2</v>
      </c>
      <c r="V10511">
        <v>3.581347E-2</v>
      </c>
      <c r="W10511">
        <v>-3.0285490000000002E-2</v>
      </c>
      <c r="X10511">
        <v>0.99889950000000005</v>
      </c>
      <c r="Y10511">
        <v>2.369515E-3</v>
      </c>
      <c r="Z10511">
        <v>-7.2164859999999996E-4</v>
      </c>
      <c r="AA10511">
        <v>0.99999700000000002</v>
      </c>
      <c r="AB10511">
        <v>1</v>
      </c>
      <c r="AC10511">
        <v>20.928149999999999</v>
      </c>
      <c r="AD10511">
        <v>-1.1232853489050001</v>
      </c>
      <c r="AE10511">
        <v>0.60169999999999302</v>
      </c>
      <c r="AF10511">
        <v>4.97530826370704E-2</v>
      </c>
      <c r="AG10511">
        <v>-1.1232853489050001</v>
      </c>
      <c r="AH10511">
        <v>20.876645903385299</v>
      </c>
      <c r="AI10511">
        <v>93.079868625423401</v>
      </c>
      <c r="AJ10511">
        <v>89.863453340673701</v>
      </c>
      <c r="AK10511">
        <v>20.9069029155356</v>
      </c>
      <c r="AL10511">
        <v>91.735496106004106</v>
      </c>
      <c r="AM10511">
        <v>87.946658157955397</v>
      </c>
      <c r="AN10511">
        <v>1.00000001331911</v>
      </c>
    </row>
    <row r="10512" spans="1:40" x14ac:dyDescent="0.25">
      <c r="A10512" t="str">
        <f>"20190303154045885"</f>
        <v>20190303154045885</v>
      </c>
      <c r="B10512" t="str">
        <f>"1551598845878688"</f>
        <v>1551598845878688</v>
      </c>
      <c r="C10512" t="s">
        <v>40</v>
      </c>
      <c r="D10512">
        <v>4.7139530000000001</v>
      </c>
      <c r="E10512">
        <v>0.48760130000000002</v>
      </c>
      <c r="F10512" t="s">
        <v>42</v>
      </c>
      <c r="G10512">
        <v>-76.477099999999993</v>
      </c>
      <c r="H10512" s="1">
        <v>-1.6977470000000001E-6</v>
      </c>
      <c r="I10512">
        <v>138.4657</v>
      </c>
      <c r="J10512">
        <v>-98.215990000000005</v>
      </c>
      <c r="K10512">
        <v>1.1231100000000001</v>
      </c>
      <c r="L10512">
        <v>137.857</v>
      </c>
      <c r="M10512">
        <v>0.9989905</v>
      </c>
      <c r="N10512">
        <v>-3.2415640000000003E-2</v>
      </c>
      <c r="O10512">
        <v>3.110481E-2</v>
      </c>
      <c r="P10512">
        <v>0.99804349999999997</v>
      </c>
      <c r="Q10512">
        <v>-6.2277609999999997E-2</v>
      </c>
      <c r="R10512">
        <v>-5.5740379999999999E-3</v>
      </c>
      <c r="S10512">
        <v>2.996658</v>
      </c>
      <c r="T10512">
        <v>-0.1548041</v>
      </c>
      <c r="U10512">
        <v>8.3908079999999996E-2</v>
      </c>
      <c r="V10512">
        <v>3.6630269999999999E-2</v>
      </c>
      <c r="W10512">
        <v>-2.9915609999999999E-2</v>
      </c>
      <c r="X10512">
        <v>0.99888100000000002</v>
      </c>
      <c r="Y10512">
        <v>3.1204430000000001E-3</v>
      </c>
      <c r="Z10512">
        <v>-7.2793860000000001E-4</v>
      </c>
      <c r="AA10512">
        <v>0.99999490000000002</v>
      </c>
      <c r="AB10512">
        <v>1</v>
      </c>
      <c r="AC10512">
        <v>21.738890000000001</v>
      </c>
      <c r="AD10512">
        <v>-1.1231116977469999</v>
      </c>
      <c r="AE10512">
        <v>0.60869999999999802</v>
      </c>
      <c r="AF10512">
        <v>6.7953087567332898E-2</v>
      </c>
      <c r="AG10512">
        <v>-1.1231116977469999</v>
      </c>
      <c r="AH10512">
        <v>21.689456734552</v>
      </c>
      <c r="AI10512">
        <v>92.964197050263806</v>
      </c>
      <c r="AJ10512">
        <v>89.820492858289299</v>
      </c>
      <c r="AK10512">
        <v>21.718621755252599</v>
      </c>
      <c r="AL10512">
        <v>91.714293982386707</v>
      </c>
      <c r="AM10512">
        <v>87.899830071390895</v>
      </c>
      <c r="AN10512">
        <v>0.99999998628147202</v>
      </c>
    </row>
    <row r="10513" spans="1:40" x14ac:dyDescent="0.25">
      <c r="A10513" t="str">
        <f>"20190303154045906"</f>
        <v>20190303154045906</v>
      </c>
      <c r="B10513" t="str">
        <f>"1551598845898208"</f>
        <v>1551598845898208</v>
      </c>
      <c r="C10513" t="s">
        <v>40</v>
      </c>
      <c r="D10513">
        <v>4.7224949999999897</v>
      </c>
      <c r="E10513">
        <v>0.48748829999999999</v>
      </c>
      <c r="F10513" t="s">
        <v>42</v>
      </c>
      <c r="G10513">
        <v>-75.78389</v>
      </c>
      <c r="H10513" s="1">
        <v>-1.9937870000000001E-6</v>
      </c>
      <c r="I10513">
        <v>138.47329999999999</v>
      </c>
      <c r="J10513">
        <v>-98.211299999999994</v>
      </c>
      <c r="K10513">
        <v>1.1229229999999999</v>
      </c>
      <c r="L10513">
        <v>137.8571</v>
      </c>
      <c r="M10513">
        <v>0.99903710000000001</v>
      </c>
      <c r="N10513">
        <v>-3.0940740000000001E-2</v>
      </c>
      <c r="O10513">
        <v>3.1106060000000001E-2</v>
      </c>
      <c r="P10513">
        <v>0.99814139999999996</v>
      </c>
      <c r="Q10513">
        <v>-6.0617070000000002E-2</v>
      </c>
      <c r="R10513">
        <v>-6.2874269999999999E-3</v>
      </c>
      <c r="S10513">
        <v>2.9969640000000002</v>
      </c>
      <c r="T10513">
        <v>-0.1500493</v>
      </c>
      <c r="U10513">
        <v>8.2336430000000002E-2</v>
      </c>
      <c r="V10513">
        <v>3.7346009999999999E-2</v>
      </c>
      <c r="W10513">
        <v>-2.9727509999999999E-2</v>
      </c>
      <c r="X10513">
        <v>0.99886010000000003</v>
      </c>
      <c r="Y10513">
        <v>3.6465540000000002E-3</v>
      </c>
      <c r="Z10513">
        <v>-7.4099229999999999E-4</v>
      </c>
      <c r="AA10513">
        <v>0.99999309999999997</v>
      </c>
      <c r="AB10513">
        <v>1</v>
      </c>
      <c r="AC10513">
        <v>22.427409999999899</v>
      </c>
      <c r="AD10513">
        <v>-1.1229249937869901</v>
      </c>
      <c r="AE10513">
        <v>0.61619999999999198</v>
      </c>
      <c r="AF10513">
        <v>8.1855934601738498E-2</v>
      </c>
      <c r="AG10513">
        <v>-1.1229249937869901</v>
      </c>
      <c r="AH10513">
        <v>22.379661414034299</v>
      </c>
      <c r="AI10513">
        <v>92.872452789379693</v>
      </c>
      <c r="AJ10513">
        <v>89.790435673721504</v>
      </c>
      <c r="AK10513">
        <v>22.407965234320599</v>
      </c>
      <c r="AL10513">
        <v>91.703511870961506</v>
      </c>
      <c r="AM10513">
        <v>87.858786708625402</v>
      </c>
      <c r="AN10513">
        <v>0.99999997434286403</v>
      </c>
    </row>
    <row r="10514" spans="1:40" x14ac:dyDescent="0.25">
      <c r="A10514" t="str">
        <f>"20190303154045934"</f>
        <v>20190303154045934</v>
      </c>
      <c r="B10514" t="str">
        <f>"1551598845928463"</f>
        <v>1551598845928463</v>
      </c>
      <c r="C10514" t="s">
        <v>40</v>
      </c>
      <c r="D10514">
        <v>4.7189920000000001</v>
      </c>
      <c r="E10514">
        <v>0.48730000000000001</v>
      </c>
      <c r="F10514" t="s">
        <v>42</v>
      </c>
      <c r="G10514">
        <v>-75.144930000000002</v>
      </c>
      <c r="H10514" s="1">
        <v>-2.2665429999999999E-6</v>
      </c>
      <c r="I10514">
        <v>138.48089999999999</v>
      </c>
      <c r="J10514">
        <v>-98.20702</v>
      </c>
      <c r="K10514">
        <v>1.1227309999999999</v>
      </c>
      <c r="L10514">
        <v>137.85720000000001</v>
      </c>
      <c r="M10514">
        <v>0.99908859999999999</v>
      </c>
      <c r="N10514">
        <v>-2.9228489999999999E-2</v>
      </c>
      <c r="O10514">
        <v>3.110777E-2</v>
      </c>
      <c r="P10514">
        <v>0.99830260000000004</v>
      </c>
      <c r="Q10514">
        <v>-5.7805429999999998E-2</v>
      </c>
      <c r="R10514">
        <v>-7.1140020000000003E-3</v>
      </c>
      <c r="S10514">
        <v>2.9972379999999998</v>
      </c>
      <c r="T10514">
        <v>-0.1459124</v>
      </c>
      <c r="U10514">
        <v>8.1054689999999999E-2</v>
      </c>
      <c r="V10514">
        <v>3.817752E-2</v>
      </c>
      <c r="W10514">
        <v>-2.8624139999999999E-2</v>
      </c>
      <c r="X10514">
        <v>0.99886090000000005</v>
      </c>
      <c r="Y10514">
        <v>4.0759569999999998E-3</v>
      </c>
      <c r="Z10514">
        <v>-7.6241410000000003E-4</v>
      </c>
      <c r="AA10514">
        <v>0.99999139999999997</v>
      </c>
      <c r="AB10514">
        <v>1</v>
      </c>
      <c r="AC10514">
        <v>23.062090000000001</v>
      </c>
      <c r="AD10514">
        <v>-1.1227332665430001</v>
      </c>
      <c r="AE10514">
        <v>0.62369999999998504</v>
      </c>
      <c r="AF10514">
        <v>9.4096078852474493E-2</v>
      </c>
      <c r="AG10514">
        <v>-1.1227332665430001</v>
      </c>
      <c r="AH10514">
        <v>23.0158208757816</v>
      </c>
      <c r="AI10514">
        <v>92.792704636173795</v>
      </c>
      <c r="AJ10514">
        <v>89.765757729045205</v>
      </c>
      <c r="AK10514">
        <v>23.043380712168101</v>
      </c>
      <c r="AL10514">
        <v>91.640266487107596</v>
      </c>
      <c r="AM10514">
        <v>87.811160150725101</v>
      </c>
      <c r="AN10514">
        <v>0.99999998098644904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2020-05-20T14:49:05Z</dcterms:created>
  <dcterms:modified xsi:type="dcterms:W3CDTF">2020-05-20T14:49:06Z</dcterms:modified>
</cp:coreProperties>
</file>